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df58a027317b458f"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3aabead08404080"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showInkAnnotation="0" codeName="ThisWorkbook" hidePivotFieldList="1"/>
  <mc:AlternateContent xmlns:mc="http://schemas.openxmlformats.org/markup-compatibility/2006">
    <mc:Choice Requires="x15">
      <x15ac:absPath xmlns:x15ac="http://schemas.microsoft.com/office/spreadsheetml/2010/11/ac" url="C:\DATA_References\Subbuteo\Competition\080-FFFT\ChptFrance\2025\"/>
    </mc:Choice>
  </mc:AlternateContent>
  <xr:revisionPtr revIDLastSave="0" documentId="13_ncr:1_{52087076-5BD6-420A-B89C-69A16F8735F0}" xr6:coauthVersionLast="47" xr6:coauthVersionMax="47" xr10:uidLastSave="{00000000-0000-0000-0000-000000000000}"/>
  <workbookProtection lockStructure="1"/>
  <bookViews>
    <workbookView xWindow="-120" yWindow="-120" windowWidth="29040" windowHeight="17790" tabRatio="751" firstSheet="2" activeTab="36" xr2:uid="{00000000-000D-0000-FFFF-FFFF00000000}"/>
  </bookViews>
  <sheets>
    <sheet name="Release-TODO" sheetId="29999" state="hidden" r:id="rId1"/>
    <sheet name="language" sheetId="29960" state="hidden" r:id="rId2"/>
    <sheet name="Home" sheetId="29998" r:id="rId3"/>
    <sheet name="Parameters" sheetId="24620" r:id="rId4"/>
    <sheet name="Licences" sheetId="29955" state="hidden" r:id="rId5"/>
    <sheet name="Clubs" sheetId="30000" state="hidden" r:id="rId6"/>
    <sheet name="Nationalities" sheetId="30001" state="hidden" r:id="rId7"/>
    <sheet name="Ranking" sheetId="30004" state="hidden" r:id="rId8"/>
    <sheet name="RankingTeams" sheetId="30049" state="hidden" r:id="rId9"/>
    <sheet name="CheckIn" sheetId="29954" r:id="rId10"/>
    <sheet name="Teams" sheetId="19124" state="hidden" r:id="rId11"/>
    <sheet name="Doubles" sheetId="30016" state="hidden" r:id="rId12"/>
    <sheet name="Lists" sheetId="30010" state="hidden" r:id="rId13"/>
    <sheet name="FISTFFormulas" sheetId="30002" state="hidden" r:id="rId14"/>
    <sheet name="CompetitionFormulas" sheetId="30003" state="hidden" r:id="rId15"/>
    <sheet name="PlanningModel" sheetId="440" state="hidden" r:id="rId16"/>
    <sheet name="ExportScorerTableModel" sheetId="30028" state="hidden" r:id="rId17"/>
    <sheet name="ExportPlanningModel" sheetId="30017" state="hidden" r:id="rId18"/>
    <sheet name="Ind Groups" sheetId="29184" state="hidden" r:id="rId19"/>
    <sheet name="Dble Groups" sheetId="8192" state="hidden" r:id="rId20"/>
    <sheet name="Team Groups" sheetId="30041" state="hidden" r:id="rId21"/>
    <sheet name="Ind FDL" sheetId="29957" state="hidden" r:id="rId22"/>
    <sheet name="Team FDL" sheetId="29952" state="hidden" r:id="rId23"/>
    <sheet name="Dble FDL" sheetId="28160" state="hidden" r:id="rId24"/>
    <sheet name="Ind by Sel. Match" sheetId="18944" state="hidden" r:id="rId25"/>
    <sheet name="Team by Sel. Match" sheetId="28416" state="hidden" r:id="rId26"/>
    <sheet name="Dble by Sel. Match" sheetId="30100" state="hidden" r:id="rId27"/>
    <sheet name="DrawModel" sheetId="30043" state="hidden" r:id="rId28"/>
    <sheet name="ExportResultsModel" sheetId="30031" state="hidden" r:id="rId29"/>
    <sheet name="Planning" sheetId="30019" r:id="rId30"/>
    <sheet name="Refereeing" sheetId="30008" state="hidden" r:id="rId31"/>
    <sheet name="Timeline" sheetId="30044" state="hidden" r:id="rId32"/>
    <sheet name="Stats" sheetId="30038" state="hidden" r:id="rId33"/>
    <sheet name="Venue" sheetId="30027" state="hidden" r:id="rId34"/>
    <sheet name="Scoresheet_Models" sheetId="30099" state="hidden" r:id="rId35"/>
    <sheet name="Podium" sheetId="30053" state="hidden" r:id="rId36"/>
    <sheet name="D1_Tr1" sheetId="30102" r:id="rId37"/>
    <sheet name="D1_Top8" sheetId="30103" r:id="rId38"/>
    <sheet name="D1_Last8" sheetId="30104" r:id="rId39"/>
  </sheets>
  <functionGroups builtInGroupCount="19"/>
  <definedNames>
    <definedName name="_xlnm._FilterDatabase" localSheetId="9" hidden="1">CheckIn!$A$5:$AP$62</definedName>
    <definedName name="_xlnm._FilterDatabase" localSheetId="5" hidden="1">Clubs!$B$6:$E$6</definedName>
    <definedName name="_xlnm._FilterDatabase" localSheetId="14" hidden="1">CompetitionFormulas!$A$5:$O$5</definedName>
    <definedName name="_xlnm._FilterDatabase" localSheetId="2" hidden="1">Home!$B$1:$B$2</definedName>
    <definedName name="_xlnm._FilterDatabase" localSheetId="4" hidden="1">Licences!$B$6:$H$4347</definedName>
    <definedName name="_xlnm._FilterDatabase" localSheetId="12" hidden="1">Lists!$B$5:$B$226</definedName>
    <definedName name="_xlnm._FilterDatabase" localSheetId="6" hidden="1">Nationalities!$B$4:$L$4</definedName>
    <definedName name="_xlnm._FilterDatabase" localSheetId="7" hidden="1">Ranking!$C$6:$J$2255</definedName>
    <definedName name="_xlnm._FilterDatabase" localSheetId="8" hidden="1">RankingTeams!$C$6:$H$287</definedName>
    <definedName name="_xlnm._FilterDatabase" localSheetId="30" hidden="1">Refereeing!$B$6:$AD$235</definedName>
    <definedName name="_xlnm._FilterDatabase" localSheetId="32" hidden="1">Stats!$B$4:$K$21</definedName>
    <definedName name="_xlnm._FilterDatabase" localSheetId="10" hidden="1">Teams!$A$3:$U$3</definedName>
    <definedName name="_xlnm._FilterDatabase" localSheetId="31" hidden="1">Timeline!$B$4:$P$21</definedName>
    <definedName name="Category_List">CheckIn!$H$5:$N$5</definedName>
    <definedName name="Check_Referee_Club_InGroup">Parameters!$C$62</definedName>
    <definedName name="Check_Referee_Nat_InGroup">Parameters!$C$63</definedName>
    <definedName name="Check_Referee_SameClub">Parameters!$C$60</definedName>
    <definedName name="Check_Referee_SameGroup">Parameters!$C$59</definedName>
    <definedName name="Check_Referee_SameNat">Parameters!$C$61</definedName>
    <definedName name="Checked_Players">Lists!$Q$6:$Q$500</definedName>
    <definedName name="Checked_Referee">Lists!$B$6:$B$500</definedName>
    <definedName name="CompetitionArea" localSheetId="38">D1_Last8!$3:$36</definedName>
    <definedName name="CompetitionArea" localSheetId="37">D1_Top8!$3:$36</definedName>
    <definedName name="CompetitionArea" localSheetId="36">D1_Tr1!$3:$68</definedName>
    <definedName name="CompetitionSheetList">OFFSET(EventSheetTable,0,0,COUNTA(EventSheetTable)-COUNTBLANK(EventSheetTable),1)</definedName>
    <definedName name="CompetitorsExportToWebSite">Parameters!$J$65:$J$78</definedName>
    <definedName name="ConditionalFormatFormulass" localSheetId="38">D1_Last8!$BY$1</definedName>
    <definedName name="ConditionalFormatFormulass" localSheetId="37">D1_Top8!$BY$1</definedName>
    <definedName name="ConditionalFormatFormulass" localSheetId="36">D1_Tr1!$BY$1</definedName>
    <definedName name="ConditionalFormatFormulass" localSheetId="18">'Ind Groups'!$BY$1</definedName>
    <definedName name="CritClassEq_DiffPart">Parameters!$E$40</definedName>
    <definedName name="CritClassEq_GoalPart">Parameters!$E$43</definedName>
    <definedName name="CritClassEq_IndsPart">Parameters!$E$41</definedName>
    <definedName name="CritClassEq_ScorePart">Parameters!$E$44</definedName>
    <definedName name="CritClassEq_WinsPart">Parameters!$E$42</definedName>
    <definedName name="CritClassEq1_Attaque">Parameters!$E$38</definedName>
    <definedName name="CritClassEq1_DiffButs">Parameters!$E$36</definedName>
    <definedName name="CritClassEq1_DiffMatches">Parameters!$E$35</definedName>
    <definedName name="CritClassEq1_DiffRencontres">Parameters!$E$34</definedName>
    <definedName name="CritClassEq1_Matches">Parameters!$E$37</definedName>
    <definedName name="CritClassEq1_Points">Parameters!$E$33</definedName>
    <definedName name="CritClassEq2_Attaque">Parameters!$E$51</definedName>
    <definedName name="CritClassEq2_DiffButs">Parameters!$E$49</definedName>
    <definedName name="CritClassEq2_DiffMatches">Parameters!$E$48</definedName>
    <definedName name="CritClassEq2_DiffRencontres">Parameters!$E$47</definedName>
    <definedName name="CritClassEq2_Matches">Parameters!$E$50</definedName>
    <definedName name="CritClassEq2_Points">Parameters!$E$46</definedName>
    <definedName name="CritClassInd_DiffPart">Parameters!$E$19</definedName>
    <definedName name="CritClassInd_GoalPart">Parameters!$E$20</definedName>
    <definedName name="CritClassInd_Ranking">Parameters!$E$28</definedName>
    <definedName name="CritClassInd_ScorePart">Parameters!$E$21</definedName>
    <definedName name="CritClassInd1_Attaque">Parameters!$E$17</definedName>
    <definedName name="CritClassInd1_DiffButs">Parameters!$E$15</definedName>
    <definedName name="CritClassInd1_Matches">Parameters!$E$16</definedName>
    <definedName name="CritClassInd1_Points">Parameters!$E$14</definedName>
    <definedName name="CritClassInd2_Attaque">Parameters!$E$26</definedName>
    <definedName name="CritClassInd2_DiffButs">Parameters!$E$24</definedName>
    <definedName name="CritClassInd2_Matches">Parameters!$E$25</definedName>
    <definedName name="CritClassInd2_Points">Parameters!$E$23</definedName>
    <definedName name="DashboardSessionTitle">Parameters!$I$56</definedName>
    <definedName name="DashboardTemplateFileName">Parameters!$I$53</definedName>
    <definedName name="DashboardTemplatePath">Parameters!$I$52</definedName>
    <definedName name="Dble_Elim_Type_Last16">'Dble FDL'!$28:$93</definedName>
    <definedName name="Dble_Elim_Type_Last2">'Dble FDL'!$156:$165</definedName>
    <definedName name="Dble_Elim_Type_Last4">'Dble FDL'!$128:$145</definedName>
    <definedName name="Dble_Elim_Type_Last8">'Dble FDL'!$94:$127</definedName>
    <definedName name="Dble_Elim_Type_PlayOff_Head">'Dble FDL'!$4:$4</definedName>
    <definedName name="Dble_Elim_Type_PlayOff_PreQualified_Footer">'Dble FDL'!$27:$27</definedName>
    <definedName name="Dble_Elim_Type_PlayOff_PreQualified_Head">'Dble FDL'!$22:$22</definedName>
    <definedName name="Dble_Elim_Type_PlayOff_PreQualified_Line">'Dble FDL'!$23:$23</definedName>
    <definedName name="Dble_Elim_Type_PlayOffMatch_Head">'Dble FDL'!$5:$5</definedName>
    <definedName name="Dble_Elim_Type_PlayOffMatch_Line">'Dble FDL'!$6:$13</definedName>
    <definedName name="Dble_Elim_Type_Third">'Dble FDL'!$146:$155</definedName>
    <definedName name="Dble_Group_Type_3">'Dble Groups'!$4:$20</definedName>
    <definedName name="Dble_Group_Type_3FS">'Dble Groups'!$22:$47</definedName>
    <definedName name="Dble_Group_Type_4">'Dble Groups'!$49:$75</definedName>
    <definedName name="Dble_Group_Type_5">'Dble Groups'!$77:$116</definedName>
    <definedName name="Dble_Group_Type_6">'Dble Groups'!$118:$173</definedName>
    <definedName name="Debut_matches" localSheetId="29">Planning!$4:$4</definedName>
    <definedName name="Debut_matches" localSheetId="15">PlanningModel!$4:$4</definedName>
    <definedName name="DefaultExportIndMatches">Parameters!$J$104</definedName>
    <definedName name="DefaultNumberOfSessions">Parameters!$J$102</definedName>
    <definedName name="DefaultStartSessionNumber">Parameters!$J$101</definedName>
    <definedName name="DisqualifiedUsed">Parameters!$D$58</definedName>
    <definedName name="DrawAreaToClear" localSheetId="27">DrawModel!$A$4:$X$132</definedName>
    <definedName name="DrawCurrentDraw" localSheetId="27">DrawModel!$AM$4</definedName>
    <definedName name="DrawEventName" localSheetId="27">DrawModel!$H$2</definedName>
    <definedName name="DrawGroupColumn1">DrawModel!$A:$A</definedName>
    <definedName name="DrawGroupColumn2">DrawModel!$D:$D</definedName>
    <definedName name="DrawGroupColumn3">DrawModel!$G:$G</definedName>
    <definedName name="DrawGroupColumn4">DrawModel!$J:$J</definedName>
    <definedName name="DrawGroupDrawColumn1">DrawModel!$N:$N</definedName>
    <definedName name="DrawGroupDrawColumn2">DrawModel!$Q:$Q</definedName>
    <definedName name="DrawGroupDrawColumn3">DrawModel!$T:$T</definedName>
    <definedName name="DrawGroupDrawColumn4">DrawModel!$W:$W</definedName>
    <definedName name="DrawGroupEvenLine">DrawModel!$A$6:$C$6</definedName>
    <definedName name="DrawGroupevenLineDraw">DrawModel!$N$6:$O$6</definedName>
    <definedName name="DrawGroupFirstLine">DrawModel!$A$5:$C$5</definedName>
    <definedName name="DrawGroupFirstLineDraw">DrawModel!$N$5:$O$5</definedName>
    <definedName name="DrawGroupHeader">DrawModel!$B$4</definedName>
    <definedName name="DrawGroupHeaderDraw">DrawModel!$O$4</definedName>
    <definedName name="DrawGroupLastLine">DrawModel!$A$8:$C$8</definedName>
    <definedName name="DrawGroupLastLineDraw">DrawModel!$N$8:$O$8</definedName>
    <definedName name="DrawGroupOddLine">DrawModel!$A$7:$C$7</definedName>
    <definedName name="DrawGroupOddLineDraw">DrawModel!$N$7:$O$7</definedName>
    <definedName name="DrawGroupSize" localSheetId="27">DrawModel!$AL$2</definedName>
    <definedName name="DrawHeaderDrawArea" localSheetId="27">DrawModel!$O$3</definedName>
    <definedName name="DrawNbGroups" localSheetId="27">DrawModel!$AM$2</definedName>
    <definedName name="DrawNbParticipants" localSheetId="27">DrawModel!$AK$2</definedName>
    <definedName name="DrawOriginalSheet" localSheetId="27">""</definedName>
    <definedName name="DrawParticipantsListAlphbetical" localSheetId="27">DrawModel!$AF$5:$AI$132</definedName>
    <definedName name="DrawParticipantsListByName" localSheetId="27">DrawModel!$AA$5:$AD$132</definedName>
    <definedName name="DrawParticipantsLists" localSheetId="27">DrawModel!$Z$5:$AI$132</definedName>
    <definedName name="DrawParticipantsRankingList" localSheetId="27">DrawModel!$Z$5:$AD$132</definedName>
    <definedName name="DrawTournamentTitle" localSheetId="27">DrawModel!$E$1:$I$1</definedName>
    <definedName name="Durations_List">Parameters!$J$7:$J$12</definedName>
    <definedName name="Event" localSheetId="32">Stats!$C$3</definedName>
    <definedName name="Event_Type_List">Parameters!$I$21:$I$34</definedName>
    <definedName name="Event1">Parameters!$I$21</definedName>
    <definedName name="Event10">Parameters!$I$30</definedName>
    <definedName name="Event11">Parameters!$I$31</definedName>
    <definedName name="Event12">Parameters!$I$32</definedName>
    <definedName name="Event13">Parameters!$I$33</definedName>
    <definedName name="Event14">Parameters!$I$34</definedName>
    <definedName name="Event2">Parameters!$I$22</definedName>
    <definedName name="Event3">Parameters!$I$23</definedName>
    <definedName name="Event4">Parameters!$I$24</definedName>
    <definedName name="Event5">Parameters!$I$25</definedName>
    <definedName name="Event6">Parameters!$I$26</definedName>
    <definedName name="Event7">Parameters!$I$27</definedName>
    <definedName name="Event8">Parameters!$I$28</definedName>
    <definedName name="Event9">Parameters!$I$29</definedName>
    <definedName name="EventList_1">Lists!$C$6:$C$500</definedName>
    <definedName name="EventList_10">Lists!$L$6:$L$500</definedName>
    <definedName name="EventList_11">Lists!$M$6:$M$500</definedName>
    <definedName name="EventList_12">Lists!$N$6:$N$500</definedName>
    <definedName name="EventList_13">Lists!$O$6:$O$500</definedName>
    <definedName name="EventList_14">Lists!$P$6:$P$500</definedName>
    <definedName name="EventList_2">Lists!$D$6:$D$500</definedName>
    <definedName name="EventList_3">Lists!$E$6:$E$500</definedName>
    <definedName name="EventList_4">Lists!$F$6:$F$500</definedName>
    <definedName name="EventList_5">Lists!$G$6:$G$500</definedName>
    <definedName name="EventList_6">Lists!$H$6:$H$500</definedName>
    <definedName name="EventList_7">Lists!$I$6:$I$500</definedName>
    <definedName name="EventList_8">Lists!$J$6:$J$500</definedName>
    <definedName name="EventList_9">Lists!$K$6:$K$500</definedName>
    <definedName name="EventSheetNameToShow">Home!$C$19</definedName>
    <definedName name="EventSheetTable">Parameters!$B$92:$B$111</definedName>
    <definedName name="ExportGroupsToWebSite">Parameters!$J$80</definedName>
    <definedName name="ExportIndivRegistrationsToWebSite">Parameters!$J$111</definedName>
    <definedName name="ExportIndivToWebSite">Parameters!$J$62</definedName>
    <definedName name="ExportMatchesToWebSite">Parameters!$J$83</definedName>
    <definedName name="ExportPlanning_Category">ExportPlanningModel!$C$6</definedName>
    <definedName name="ExportPlanning_Group">ExportPlanningModel!$E$6</definedName>
    <definedName name="ExportPlanning_Player1">ExportPlanningModel!$I$6</definedName>
    <definedName name="ExportPlanning_Player2">ExportPlanningModel!$K$6</definedName>
    <definedName name="ExportPlanning_Referee">ExportPlanningModel!$L$6</definedName>
    <definedName name="ExportPlanning_Round">ExportPlanningModel!$F$6</definedName>
    <definedName name="ExportPlanning_Session">ExportPlanningModel!$A$6</definedName>
    <definedName name="ExportPlanning_Stage">ExportPlanningModel!$D$6</definedName>
    <definedName name="ExportPlanning_Table">ExportPlanningModel!$H$6</definedName>
    <definedName name="ExportPlanning_Time">ExportPlanningModel!$B$6</definedName>
    <definedName name="ExportPlanningBreak">ExportPlanningModel!$7:$7</definedName>
    <definedName name="ExportPlanningFooter">ExportPlanningModel!$8:$8</definedName>
    <definedName name="ExportPlanningHeader">ExportPlanningModel!$5:$5</definedName>
    <definedName name="ExportPlanningMatch">ExportPlanningModel!$6:$6</definedName>
    <definedName name="ExportPlanningToWebSite">Parameters!$J$79</definedName>
    <definedName name="ExportResultsToWebSite">Parameters!$J$82</definedName>
    <definedName name="ExportScorerDoubleElimMatch">ExportScorerTableModel!$24:$27</definedName>
    <definedName name="ExportScorerDoubleGroupMatch">ExportScorerTableModel!$21:$23</definedName>
    <definedName name="ExportScorerIndElimMatch">ExportScorerTableModel!$5:$5</definedName>
    <definedName name="ExportScorerIndGroupMatch">ExportScorerTableModel!$4:$4</definedName>
    <definedName name="ExportScorerTableBreak">ExportScorerTableModel!$29:$29</definedName>
    <definedName name="ExportScorerTableFooter">ExportScorerTableModel!$30:$30</definedName>
    <definedName name="ExportScorerTableHeader">ExportScorerTableModel!$1:$2</definedName>
    <definedName name="ExportScorerTeamElimMatch">ExportScorerTableModel!$13:$20</definedName>
    <definedName name="ExportScorerTeamGroupMatch">ExportScorerTableModel!$6:$12</definedName>
    <definedName name="ExportStatsToWebSite">Parameters!$J$81</definedName>
    <definedName name="ExportTeamsRegistrationsToWebSite">Parameters!$J$112</definedName>
    <definedName name="ExportTeamsToWebSite">Parameters!$J$63</definedName>
    <definedName name="ExpPlanning_Header">ExportPlanningModel!$4:$5</definedName>
    <definedName name="Fin_Planning" localSheetId="29">Planning!$134:$135</definedName>
    <definedName name="Fin_Planning" localSheetId="15">PlanningModel!$73:$74</definedName>
    <definedName name="FISTF_Category_List">Parameters!$I$15:$I$19</definedName>
    <definedName name="Following_Session">PlanningModel!$5:$5</definedName>
    <definedName name="Full_Planning">Planning!$A$1:$AD$134</definedName>
    <definedName name="FullCheckinList">CheckIn!$B$6:$AP$62</definedName>
    <definedName name="FullClubList">Clubs!$B$7:$E$430</definedName>
    <definedName name="FullDoubleList">Doubles!$A$4:$M$17</definedName>
    <definedName name="FullLicencedPlayerList">Licences!$B$7:$H$4347</definedName>
    <definedName name="FullPlayersRankingList">Ranking!$B$7:$J$2255</definedName>
    <definedName name="FullTeamList">Teams!$A$4:$AP$67</definedName>
    <definedName name="FullTeamsRankingList">RankingTeams!$B$7:$H$287</definedName>
    <definedName name="GenerateConfigurationFile">Parameters!$J$89</definedName>
    <definedName name="GetStage" localSheetId="17">GET.CELL(6,INDIRECT("D"&amp;ROW()))</definedName>
    <definedName name="GroupOfTables_AREA_A_5_to_8" localSheetId="33">Venue!$AK$8:$AY$18</definedName>
    <definedName name="GroupOfTables_AREA_B_9_to_12" localSheetId="33">Venue!$AK$20:$AY$30</definedName>
    <definedName name="GroupOfTables_AREA_C_13_to_16" localSheetId="33">Venue!$T$20:$AH$30</definedName>
    <definedName name="GroupOfTables_AREA_CENTRAL_1_to_4" localSheetId="33">Venue!$T$8:$AH$18</definedName>
    <definedName name="GroupOfTables_AREA_D_17_to_20" localSheetId="33">Venue!$C$20:$Q$30</definedName>
    <definedName name="GroupOfTables_AREA_E_21_to_24" localSheetId="33">Venue!$C$8:$Q$18</definedName>
    <definedName name="GroupOfTables_AREA_F_25_to_28" localSheetId="33">Venue!$BB$20:$BP$30</definedName>
    <definedName name="GroupOfTables_AREA_G_29_to_32" localSheetId="33">Venue!$BB$8:$BP$18</definedName>
    <definedName name="GroupOfTables_AREA_H_33_to_36" localSheetId="33">Venue!$BB$32:$BP$42</definedName>
    <definedName name="GroupOfTables_AREA_I_37_to_40" localSheetId="33">Venue!$AK$32:$AY$42</definedName>
    <definedName name="GroupOfTables_AREA_J_41_to_44" localSheetId="33">Venue!$T$32:$AH$42</definedName>
    <definedName name="GroupOfTables_AREA_K_45_to_48" localSheetId="33">Venue!$C$32:$Q$42</definedName>
    <definedName name="GroupsOf10MatchOrganisationList">FISTFFormulas!$CE$6:$CR$131</definedName>
    <definedName name="GroupsOf3MatchOrganisationList">FISTFFormulas!$B$6:$J$131</definedName>
    <definedName name="GroupsOf4MatchOrganisationList">FISTFFormulas!$M$6:$U$131</definedName>
    <definedName name="GroupsOf5MatchOrganisationList">FISTFFormulas!$W$6:$AE$131</definedName>
    <definedName name="GroupsOf6MatchOrganisationList">FISTFFormulas!$AG$6:$AP$131</definedName>
    <definedName name="GroupsOf7MatchOrganisationList">FISTFFormulas!$AR$6:$BB$131</definedName>
    <definedName name="GroupsOf8MatchOrganisationList">FISTFFormulas!$BD$6:$BO$131</definedName>
    <definedName name="GroupsOf9MatchOrganisationList">FISTFFormulas!$BQ$6:$CC$131</definedName>
    <definedName name="HidePlayerFormulas">Parameters!$C$79</definedName>
    <definedName name="_xlnm.Print_Titles" localSheetId="9">CheckIn!$4:$5</definedName>
    <definedName name="_xlnm.Print_Titles" localSheetId="5">Clubs!$2:$5</definedName>
    <definedName name="_xlnm.Print_Titles" localSheetId="17">ExportPlanningModel!$4:$5</definedName>
    <definedName name="_xlnm.Print_Titles" localSheetId="28">ExportResultsModel!$1:$2</definedName>
    <definedName name="_xlnm.Print_Titles" localSheetId="16">ExportScorerTableModel!$2:$2</definedName>
    <definedName name="_xlnm.Print_Titles" localSheetId="12">Lists!$5:$5</definedName>
    <definedName name="_xlnm.Print_Titles" localSheetId="29">Planning!$1:$3</definedName>
    <definedName name="_xlnm.Print_Titles" localSheetId="15">PlanningModel!$1:$3</definedName>
    <definedName name="_xlnm.Print_Titles" localSheetId="7">Ranking!$5:$6</definedName>
    <definedName name="_xlnm.Print_Titles" localSheetId="8">RankingTeams!$5:$6</definedName>
    <definedName name="_xlnm.Print_Titles" localSheetId="30">Refereeing!$6:$6</definedName>
    <definedName name="_xlnm.Print_Titles" localSheetId="32">Stats!$4:$4</definedName>
    <definedName name="_xlnm.Print_Titles" localSheetId="31">Timeline!$4:$4</definedName>
    <definedName name="Ind_Elim_Type_Last128">'Ind FDL'!$172:$238</definedName>
    <definedName name="Ind_Elim_Type_Last16">'Ind FDL'!$293:$303</definedName>
    <definedName name="Ind_Elim_Type_Last2">'Ind FDL'!$320:$323</definedName>
    <definedName name="Ind_Elim_Type_Last256">'Ind FDL'!$41:$171</definedName>
    <definedName name="Ind_Elim_Type_Last32">'Ind FDL'!$274:$292</definedName>
    <definedName name="Ind_Elim_Type_Last4">'Ind FDL'!$311:$315</definedName>
    <definedName name="Ind_Elim_Type_Last64">'Ind FDL'!$239:$273</definedName>
    <definedName name="Ind_Elim_Type_Last8">'Ind FDL'!$304:$310</definedName>
    <definedName name="Ind_Elim_Type_PlayOff_Head">'Ind FDL'!$4:$4</definedName>
    <definedName name="Ind_Elim_Type_PlayOff_PreQualified_Footer">'Ind FDL'!$40:$40</definedName>
    <definedName name="Ind_Elim_Type_PlayOff_PreQualified_Head">'Ind FDL'!$31:$31</definedName>
    <definedName name="Ind_Elim_Type_PlayOff_PreQualified_Line">'Ind FDL'!$32:$32</definedName>
    <definedName name="Ind_Elim_Type_PlayOffMatch_Head">'Ind FDL'!$5:$5</definedName>
    <definedName name="Ind_Elim_Type_PlayOffMatch_Line">'Ind FDL'!$6:$6</definedName>
    <definedName name="Ind_Elim_Type_Third">'Ind FDL'!$316:$319</definedName>
    <definedName name="Ind_Group_Type_10" localSheetId="38">D1_Last8!#REF!</definedName>
    <definedName name="Ind_Group_Type_10" localSheetId="37">D1_Top8!#REF!</definedName>
    <definedName name="Ind_Group_Type_10" localSheetId="36">D1_Tr1!#REF!</definedName>
    <definedName name="Ind_Group_Type_10">'Ind Groups'!$257:$332</definedName>
    <definedName name="Ind_Group_Type_11" localSheetId="38">D1_Last8!#REF!</definedName>
    <definedName name="Ind_Group_Type_11" localSheetId="37">D1_Top8!#REF!</definedName>
    <definedName name="Ind_Group_Type_11" localSheetId="36">D1_Tr1!#REF!</definedName>
    <definedName name="Ind_Group_Type_11">'Ind Groups'!$334:$424</definedName>
    <definedName name="Ind_Group_Type_12" localSheetId="38">D1_Last8!#REF!</definedName>
    <definedName name="Ind_Group_Type_12" localSheetId="37">D1_Top8!#REF!</definedName>
    <definedName name="Ind_Group_Type_12" localSheetId="36">D1_Tr1!#REF!</definedName>
    <definedName name="Ind_Group_Type_12">'Ind Groups'!$426:$528</definedName>
    <definedName name="Ind_Group_Type_13" localSheetId="38">D1_Last8!#REF!</definedName>
    <definedName name="Ind_Group_Type_13" localSheetId="37">D1_Top8!#REF!</definedName>
    <definedName name="Ind_Group_Type_13" localSheetId="36">D1_Tr1!#REF!</definedName>
    <definedName name="Ind_Group_Type_13">'Ind Groups'!$530:$649</definedName>
    <definedName name="Ind_Group_Type_14" localSheetId="38">D1_Last8!#REF!</definedName>
    <definedName name="Ind_Group_Type_14" localSheetId="37">D1_Top8!#REF!</definedName>
    <definedName name="Ind_Group_Type_14" localSheetId="36">D1_Tr1!#REF!</definedName>
    <definedName name="Ind_Group_Type_14">'Ind Groups'!$651:$784</definedName>
    <definedName name="Ind_Group_Type_15" localSheetId="38">D1_Last8!#REF!</definedName>
    <definedName name="Ind_Group_Type_15" localSheetId="37">D1_Top8!#REF!</definedName>
    <definedName name="Ind_Group_Type_15" localSheetId="36">D1_Tr1!#REF!</definedName>
    <definedName name="Ind_Group_Type_15">'Ind Groups'!$786:$938</definedName>
    <definedName name="Ind_Group_Type_16" localSheetId="38">D1_Last8!#REF!</definedName>
    <definedName name="Ind_Group_Type_16" localSheetId="37">D1_Top8!#REF!</definedName>
    <definedName name="Ind_Group_Type_16" localSheetId="36">D1_Tr1!#REF!</definedName>
    <definedName name="Ind_Group_Type_16">'Ind Groups'!$940:$1108</definedName>
    <definedName name="Ind_Group_Type_17" localSheetId="38">D1_Last8!#REF!</definedName>
    <definedName name="Ind_Group_Type_17" localSheetId="37">D1_Top8!#REF!</definedName>
    <definedName name="Ind_Group_Type_17" localSheetId="36">D1_Tr1!#REF!</definedName>
    <definedName name="Ind_Group_Type_17">'Ind Groups'!$1110:$1299</definedName>
    <definedName name="Ind_Group_Type_18" localSheetId="38">D1_Last8!#REF!</definedName>
    <definedName name="Ind_Group_Type_18" localSheetId="37">D1_Top8!#REF!</definedName>
    <definedName name="Ind_Group_Type_18" localSheetId="36">D1_Tr1!#REF!</definedName>
    <definedName name="Ind_Group_Type_18">'Ind Groups'!$1301:$1508</definedName>
    <definedName name="Ind_Group_Type_19" localSheetId="38">D1_Last8!#REF!</definedName>
    <definedName name="Ind_Group_Type_19" localSheetId="37">D1_Top8!#REF!</definedName>
    <definedName name="Ind_Group_Type_19" localSheetId="36">D1_Tr1!#REF!</definedName>
    <definedName name="Ind_Group_Type_19">'Ind Groups'!$1510:$1740</definedName>
    <definedName name="Ind_Group_Type_20" localSheetId="38">D1_Last8!#REF!</definedName>
    <definedName name="Ind_Group_Type_20" localSheetId="37">D1_Top8!#REF!</definedName>
    <definedName name="Ind_Group_Type_20" localSheetId="36">D1_Tr1!#REF!</definedName>
    <definedName name="Ind_Group_Type_20">'Ind Groups'!$1742:$1992</definedName>
    <definedName name="Ind_Group_Type_3" localSheetId="38">D1_Last8!#REF!</definedName>
    <definedName name="Ind_Group_Type_3" localSheetId="37">D1_Top8!#REF!</definedName>
    <definedName name="Ind_Group_Type_3" localSheetId="36">D1_Tr1!#REF!</definedName>
    <definedName name="Ind_Group_Type_3">'Ind Groups'!$4:$10</definedName>
    <definedName name="Ind_Group_Type_3FS" localSheetId="38">D1_Last8!#REF!</definedName>
    <definedName name="Ind_Group_Type_3FS" localSheetId="37">D1_Top8!#REF!</definedName>
    <definedName name="Ind_Group_Type_3FS" localSheetId="36">D1_Tr1!#REF!</definedName>
    <definedName name="Ind_Group_Type_3FS">'Ind Groups'!$12:$21</definedName>
    <definedName name="Ind_Group_Type_4" localSheetId="38">D1_Last8!#REF!</definedName>
    <definedName name="Ind_Group_Type_4" localSheetId="37">D1_Top8!#REF!</definedName>
    <definedName name="Ind_Group_Type_4" localSheetId="36">D1_Tr1!#REF!</definedName>
    <definedName name="Ind_Group_Type_4">'Ind Groups'!$23:$32</definedName>
    <definedName name="Ind_Group_Type_4FS" localSheetId="38">D1_Last8!#REF!</definedName>
    <definedName name="Ind_Group_Type_4FS" localSheetId="37">D1_Top8!#REF!</definedName>
    <definedName name="Ind_Group_Type_4FS" localSheetId="36">D1_Tr1!#REF!</definedName>
    <definedName name="Ind_Group_Type_4FS">'Ind Groups'!$34:$49</definedName>
    <definedName name="Ind_Group_Type_5" localSheetId="38">D1_Last8!#REF!</definedName>
    <definedName name="Ind_Group_Type_5" localSheetId="37">D1_Top8!#REF!</definedName>
    <definedName name="Ind_Group_Type_5" localSheetId="36">D1_Tr1!#REF!</definedName>
    <definedName name="Ind_Group_Type_5">'Ind Groups'!$51:$64</definedName>
    <definedName name="Ind_Group_Type_5FS" localSheetId="38">D1_Last8!#REF!</definedName>
    <definedName name="Ind_Group_Type_5FS" localSheetId="37">D1_Top8!#REF!</definedName>
    <definedName name="Ind_Group_Type_5FS" localSheetId="36">D1_Tr1!#REF!</definedName>
    <definedName name="Ind_Group_Type_5FS">'Ind Groups'!$66:$89</definedName>
    <definedName name="Ind_Group_Type_6" localSheetId="38">D1_Last8!#REF!</definedName>
    <definedName name="Ind_Group_Type_6" localSheetId="37">D1_Top8!#REF!</definedName>
    <definedName name="Ind_Group_Type_6" localSheetId="36">D1_Tr1!#REF!</definedName>
    <definedName name="Ind_Group_Type_6">'Ind Groups'!$91:$109</definedName>
    <definedName name="Ind_Group_Type_6SR" localSheetId="38">D1_Last8!#REF!</definedName>
    <definedName name="Ind_Group_Type_6SR" localSheetId="37">D1_Top8!#REF!</definedName>
    <definedName name="Ind_Group_Type_6SR" localSheetId="36">D1_Tr1!#REF!</definedName>
    <definedName name="Ind_Group_Type_6SR">'Ind Groups'!$111:$129</definedName>
    <definedName name="Ind_Group_Type_7" localSheetId="38">D1_Last8!#REF!</definedName>
    <definedName name="Ind_Group_Type_7" localSheetId="37">D1_Top8!#REF!</definedName>
    <definedName name="Ind_Group_Type_7" localSheetId="36">D1_Tr1!#REF!</definedName>
    <definedName name="Ind_Group_Type_7">'Ind Groups'!$131:$155</definedName>
    <definedName name="Ind_Group_Type_8" localSheetId="38">D1_Last8!#REF!</definedName>
    <definedName name="Ind_Group_Type_8" localSheetId="37">D1_Top8!#REF!</definedName>
    <definedName name="Ind_Group_Type_8" localSheetId="36">D1_Tr1!#REF!</definedName>
    <definedName name="Ind_Group_Type_8">'Ind Groups'!$157:$188</definedName>
    <definedName name="Ind_Group_Type_9" localSheetId="38">D1_Last8!#REF!</definedName>
    <definedName name="Ind_Group_Type_9" localSheetId="37">D1_Top8!#REF!</definedName>
    <definedName name="Ind_Group_Type_9" localSheetId="36">D1_Tr1!#REF!</definedName>
    <definedName name="Ind_Group_Type_9">'Ind Groups'!$190:$255</definedName>
    <definedName name="Inscrits_Arbitres">Checked_Referee</definedName>
    <definedName name="Inscrits_Cadets">EventList_6</definedName>
    <definedName name="Inscrits_Doubles">EventList_9</definedName>
    <definedName name="Inscrits_Equipes">EventList_8</definedName>
    <definedName name="Inscrits_Féminines">EventList_4</definedName>
    <definedName name="Inscrits_Juniors">EventList_5</definedName>
    <definedName name="Inscrits_Minimes">EventList_7</definedName>
    <definedName name="Inscrits_Open">Lists!$C$6:$C$500</definedName>
    <definedName name="Inscrits_Séniors">EventList_3</definedName>
    <definedName name="Inscrits_Vétérans">EventList_2</definedName>
    <definedName name="Inter_matches">Parameters!$J$7</definedName>
    <definedName name="Inter_matches_elim">Parameters!$J$8</definedName>
    <definedName name="LangList">OFFSET(VerticalLanguageList,0,0,NbLanguages,1)</definedName>
    <definedName name="Language">Parameters!$J$3</definedName>
    <definedName name="LanguageList">language!$D$2:$L$2</definedName>
    <definedName name="Last_Session" localSheetId="29">Planning!$133:$133</definedName>
    <definedName name="Last_Session" localSheetId="15">PlanningModel!$20:$20</definedName>
    <definedName name="Licenced_Clubs">Clubs!$B$6:$D$431</definedName>
    <definedName name="List_Categories">CheckIn!$H$5:$U$5</definedName>
    <definedName name="List_Categories_All">CheckIn!$G$5:$U$5</definedName>
    <definedName name="List_Doubles">Doubles!$B$4:$B$17</definedName>
    <definedName name="List_headers">Lists!$B$5:$O$5</definedName>
    <definedName name="List_Referee">OFFSET(Inscrits_Arbitres,0,0,OFFSET(Inscrits_Arbitres,-2,0,1,1),1)</definedName>
    <definedName name="List_Teams">Teams!$H$4:$H$67</definedName>
    <definedName name="Liste_Clubs">Clubs!$B$7:$B$430</definedName>
    <definedName name="Liste_Doubles">Doubles!$B$4:$B$17</definedName>
    <definedName name="Liste_Equipes">Teams!$H$4:$H$67</definedName>
    <definedName name="Liste_Inscrits">CheckIn!$B$6:$B$62</definedName>
    <definedName name="Liste_licenciés">Licences!$B$7:$H$4347</definedName>
    <definedName name="Liste_licenciés_noms_prénoms">Licences!$B$7:$B$4347</definedName>
    <definedName name="Liste_Nb_Equipiers">Teams!$S$4:$S$67</definedName>
    <definedName name="Liste_Nb_Equipiers_Doubles">Doubles!$M$4:$M$17</definedName>
    <definedName name="ListIndividualCategories">CheckIn!$H$5:$N$5</definedName>
    <definedName name="ListOfTeams" localSheetId="23">'Team Groups'!$CJ$4:$CJ$67</definedName>
    <definedName name="ListOfTeams" localSheetId="19">'Dble Groups'!$CJ$4:$CJ$67</definedName>
    <definedName name="ListOfTeams" localSheetId="22">'Team Groups'!$CJ$4:$CJ$67</definedName>
    <definedName name="ListOfTeams" localSheetId="20">'Team Groups'!$CJ$4:$CJ$67</definedName>
    <definedName name="MatchFormulaList">FISTFFormulas!$B$138:$I$1212</definedName>
    <definedName name="MaxGoalsValue">Parameters!$C$9</definedName>
    <definedName name="MaxScore" localSheetId="38">D1_Last8!$C$3</definedName>
    <definedName name="MaxScore" localSheetId="37">D1_Top8!$C$3</definedName>
    <definedName name="MaxScore" localSheetId="36">D1_Tr1!$C$3</definedName>
    <definedName name="MaxScore" localSheetId="19">'Dble Groups'!$C$3</definedName>
    <definedName name="MaxScore" localSheetId="18">'Ind Groups'!$C$3</definedName>
    <definedName name="MaxScore" localSheetId="20">'Team Groups'!$C$3</definedName>
    <definedName name="mess_egalite">Parameters!$I$37</definedName>
    <definedName name="mess_erreur_marque">Parameters!$I$39</definedName>
    <definedName name="Model_Consolation" localSheetId="33">Venue!$L$47:$P$47</definedName>
    <definedName name="Model_Free" localSheetId="33">Venue!$S$45:$W$45</definedName>
    <definedName name="Model_FreeGroup" localSheetId="33">Venue!$S$46:$W$46</definedName>
    <definedName name="Model_Ladies" localSheetId="33">Venue!$L$45:$P$45</definedName>
    <definedName name="Model_Open" localSheetId="33">Venue!$D$44:$H$44</definedName>
    <definedName name="Model_Team" localSheetId="33">Venue!$S$44:$W$44</definedName>
    <definedName name="Model_U12" localSheetId="33">Venue!$L$46:$P$46</definedName>
    <definedName name="Model_U15" localSheetId="33">Venue!$D$46:$H$46</definedName>
    <definedName name="Model_U19" localSheetId="33">Venue!$D$45:$H$45</definedName>
    <definedName name="Model_Veterans" localSheetId="33">Venue!$L$44:$P$44</definedName>
    <definedName name="ModifiableCells">Parameters!$B$81</definedName>
    <definedName name="ModifiableFormulas">CheckIn!$D$6:$F$62,CheckIn!$W$6:$X$62</definedName>
    <definedName name="ModifiableFormulas1">CheckIn!$D$6:$F$62</definedName>
    <definedName name="ModifiableFormulas2">CheckIn!$W$6:$X$62</definedName>
    <definedName name="N__1_128_DE_FINALE">language!$B$59</definedName>
    <definedName name="N__1_16_DE_FINALE">language!$B$56</definedName>
    <definedName name="N__1_32_DE_FINALE">language!$B$57</definedName>
    <definedName name="N__1_64_DE_FINALE">language!$B$58</definedName>
    <definedName name="N__1_8_DE_FINALE">language!$B$55</definedName>
    <definedName name="N__2èmes_de_Poule">language!$B$47</definedName>
    <definedName name="N__3èmes_de_Poule">language!$B$49</definedName>
    <definedName name="N_1st_Name">language!$B$90</definedName>
    <definedName name="N_1st_Round">language!$B$61</definedName>
    <definedName name="N_Abbreviation">language!$B$93</definedName>
    <definedName name="N_AboutForm_Caption">language!$B$367</definedName>
    <definedName name="N_AboutForm_DescriptionLabel">language!$B$368</definedName>
    <definedName name="N_AboutForm_NoWarrantyLabel">language!$B$369</definedName>
    <definedName name="N_AboutForm_SloganLabel">language!$B$370</definedName>
    <definedName name="N_AboutForm_VersionLabel">language!$B$371</definedName>
    <definedName name="N_AboutForm_WelcomeLabel">language!$B$372</definedName>
    <definedName name="N_Action">language!$B$252</definedName>
    <definedName name="N_AdaptPlanning">language!$B$355</definedName>
    <definedName name="N_Add_Delete_Last_Session">language!$B$338</definedName>
    <definedName name="N_Add_Delete_Session">language!$B$337</definedName>
    <definedName name="N_AlreadyRefereed">language!$B$527</definedName>
    <definedName name="N_AlreadyRefereed_Title">language!$B$531</definedName>
    <definedName name="N_Applicable">language!$B$318</definedName>
    <definedName name="N_Arbitre">language!$B$6</definedName>
    <definedName name="N_AssignReferees">language!$B$509</definedName>
    <definedName name="N_Average_Goals">language!$B$481</definedName>
    <definedName name="N_BadDashBoardFile">language!$B$583</definedName>
    <definedName name="N_BadDirectoryPath">language!$B$856</definedName>
    <definedName name="N_BadMatchTypeIndicator">language!$B$243</definedName>
    <definedName name="N_BadSessionNo">language!$B$239</definedName>
    <definedName name="N_BadSwitchRefereesHour">language!$B$520</definedName>
    <definedName name="N_BadSwitchRefereesPlanning">language!$B$518</definedName>
    <definedName name="N_BadSwitchRefereesSelection">language!$B$517</definedName>
    <definedName name="N_BadSwitchRefereesSession">language!$B$519</definedName>
    <definedName name="N_BARRAGES">language!$B$62</definedName>
    <definedName name="N_BC">language!$B$24</definedName>
    <definedName name="N_Best_Attack">language!$B$145</definedName>
    <definedName name="N_BP">language!$B$23</definedName>
    <definedName name="N_Break1">language!$B$463</definedName>
    <definedName name="N_Break2">language!$B$464</definedName>
    <definedName name="N_Break3">language!$B$465</definedName>
    <definedName name="N_Break4">language!$B$466</definedName>
    <definedName name="N_Buts">language!$B$7</definedName>
    <definedName name="N_calculation_ind_rank">language!$B$140</definedName>
    <definedName name="N_Calculation_team_rank">language!$B$141</definedName>
    <definedName name="N_CalculationAuto">language!$B$592</definedName>
    <definedName name="N_CalculationManual">language!$B$593</definedName>
    <definedName name="N_CalculationMode">language!$B$424</definedName>
    <definedName name="N_CantDeleteFirstSession">language!$B$308</definedName>
    <definedName name="N_Catégorie">language!$B$10</definedName>
    <definedName name="N_Category">language!$B$73</definedName>
    <definedName name="N_Checkin">language!$B$246</definedName>
    <definedName name="N_CheckinForm_Caption">language!$B$401</definedName>
    <definedName name="N_CheckinForm_Title">language!$B$402</definedName>
    <definedName name="N_CheckinForm_Validate">language!$B$550</definedName>
    <definedName name="N_CheckingReferees">language!$B$452</definedName>
    <definedName name="N_CheckReferee_Club_InGroup">language!$B$456</definedName>
    <definedName name="N_CheckReferee_Nat_InGroup">language!$B$457</definedName>
    <definedName name="N_CheckReferee_SameClub">language!$B$454</definedName>
    <definedName name="N_CheckReferee_SameGroup">language!$B$453</definedName>
    <definedName name="N_CheckReferee_SameNat">language!$B$455</definedName>
    <definedName name="N_ChkBoxConfirmGlobalSave_Label">language!$B$442</definedName>
    <definedName name="N_Cla.">language!$B$17</definedName>
    <definedName name="N_Class._2èmes_de_Poule">language!$B$48</definedName>
    <definedName name="N_Class._3èmes_de_Poule">language!$B$50</definedName>
    <definedName name="N_ClosePreviousVersionOfFISTFExportFirst">language!$B$474</definedName>
    <definedName name="N_Club">language!$B$72</definedName>
    <definedName name="N_Club_list">language!$B$96</definedName>
    <definedName name="N_Club_Name">language!$B$92</definedName>
    <definedName name="N_ClubName">language!$B$547</definedName>
    <definedName name="N_ClubsSheetTitle">language!$B$264</definedName>
    <definedName name="N_CompetitionFormula">language!$B$312</definedName>
    <definedName name="N_ConditionalFormatLabel">language!$B$500</definedName>
    <definedName name="N_ConfirmDeleteSheet">language!$B$502</definedName>
    <definedName name="N_ConfirmDeletion">language!$B$503</definedName>
    <definedName name="N_ConfirmFullPlanning">language!$B$515</definedName>
    <definedName name="N_ConfirmOneSession">language!$B$512</definedName>
    <definedName name="N_ConfirmRefereeSelection">language!$B$513</definedName>
    <definedName name="N_ContinuousSelectionInSession">language!$B$237</definedName>
    <definedName name="N_Copy_Unvalidate">language!$B$341</definedName>
    <definedName name="N_Copy_Validate">language!$B$342</definedName>
    <definedName name="N_CreateEventBefore">language!$B$494</definedName>
    <definedName name="N_Criteria">language!$B$136</definedName>
    <definedName name="N_Criteria_after_diff">language!$B$139</definedName>
    <definedName name="N_Criteria_before_diff">language!$B$137</definedName>
    <definedName name="N_Criteria_on_WR">language!$B$325</definedName>
    <definedName name="N_DashboardTemplatePath">language!$B$577</definedName>
    <definedName name="N_DateOfBirth">language!$B$334</definedName>
    <definedName name="N_DefaultCompetitorsExportToWebSite">language!$B$560</definedName>
    <definedName name="N_DefaultExportIndMAtches">language!$B$419</definedName>
    <definedName name="N_DefaultNumberOfSessions">language!$B$418</definedName>
    <definedName name="N_DefaultRefereesCategories">language!$B$514</definedName>
    <definedName name="N_DefaultStartSessionNmber">language!$B$417</definedName>
    <definedName name="N_DefineDoubles">language!$B$249</definedName>
    <definedName name="N_DefineTeams">language!$B$248</definedName>
    <definedName name="N_Delay_Group">language!$B$133</definedName>
    <definedName name="N_Delay_Sel_Match">language!$B$134</definedName>
    <definedName name="N_Delete_Bad_Ref">language!$B$343</definedName>
    <definedName name="N_DeleteCheckin">language!$B$549</definedName>
    <definedName name="N_DeleteSheet">language!$B$426</definedName>
    <definedName name="N_DEMI_FINALE">language!$B$53</definedName>
    <definedName name="N_Diff">language!$B$9</definedName>
    <definedName name="N_Diff.">language!$B$25</definedName>
    <definedName name="N_Diff_B">language!$B$36</definedName>
    <definedName name="N_Diff_M">language!$B$35</definedName>
    <definedName name="N_Diff_Part">language!$B$63</definedName>
    <definedName name="N_Diff_R">language!$B$32</definedName>
    <definedName name="N_Différentiel">language!$B$39</definedName>
    <definedName name="N_Dispatch_Results">language!$B$364</definedName>
    <definedName name="N_Disqualified">language!$B$42</definedName>
    <definedName name="N_DisqualifiedFrom">language!$B$529</definedName>
    <definedName name="N_Double">language!$B$84</definedName>
    <definedName name="N_Double_FDL">language!$B$108</definedName>
    <definedName name="N_DoubleCheckin">language!$B$267</definedName>
    <definedName name="N_Doubles">language!$B$258</definedName>
    <definedName name="N_DownNotPossible">language!$B$242</definedName>
    <definedName name="N_Draw">language!$B$155</definedName>
    <definedName name="N_Drawing">language!$B$497</definedName>
    <definedName name="N_DrawManage">language!$B$358</definedName>
    <definedName name="N_DrawPlayerSelection">language!$B$508</definedName>
    <definedName name="N_Draws">language!$B$480</definedName>
    <definedName name="N_Duration">language!$B$231</definedName>
    <definedName name="N_Encounter_Diff">language!$B$151</definedName>
    <definedName name="N_End_Planning">language!$B$157</definedName>
    <definedName name="N_EndEvent">language!$B$234</definedName>
    <definedName name="N_Epreuve">language!$B$67</definedName>
    <definedName name="N_Equality_Group">language!$B$132</definedName>
    <definedName name="N_Equipes">language!$B$27</definedName>
    <definedName name="N_ERROR_Sel_Match">language!$B$131</definedName>
    <definedName name="N_ErrorCheckRefereeTarget">language!$B$444</definedName>
    <definedName name="N_Event_Category">language!$B$160</definedName>
    <definedName name="N_Event_Category_List">language!$B$524</definedName>
    <definedName name="N_Event_participation">language!$B$87</definedName>
    <definedName name="N_Event_Type">language!$B$492</definedName>
    <definedName name="N_EventDate">language!$B$377</definedName>
    <definedName name="N_EventModelsNotDefined">language!$B$857</definedName>
    <definedName name="N_EventNameEmpty">language!$B$309</definedName>
    <definedName name="N_EventPlayed">language!$B$530</definedName>
    <definedName name="N_Events">language!$B$491</definedName>
    <definedName name="N_ExcludeCategories">language!$B$525</definedName>
    <definedName name="N_ExportDataToWebSite">language!$B$363</definedName>
    <definedName name="N_ExportDecorationToWebSite">language!$B$570</definedName>
    <definedName name="N_ExportForm_CommentPatterns">language!$B$415</definedName>
    <definedName name="N_ExportForm_ExportIndMatches">language!$B$410</definedName>
    <definedName name="N_ExportForm_NumberOfSessions">language!$B$409</definedName>
    <definedName name="N_ExportForm_Planning_Caption">language!$B$393</definedName>
    <definedName name="N_ExportForm_Planning_Title">language!$B$394</definedName>
    <definedName name="N_ExportForm_PlayerOrTeamPattern">language!$B$414</definedName>
    <definedName name="N_ExportForm_Result_Caption">language!$B$395</definedName>
    <definedName name="N_ExportForm_Result_Title">language!$B$396</definedName>
    <definedName name="N_ExportForm_ScorerTable_Caption">language!$B$397</definedName>
    <definedName name="N_ExportForm_ScorerTable_Title">language!$B$398</definedName>
    <definedName name="N_ExportForm_Scores_Caption">language!$B$399</definedName>
    <definedName name="N_ExportForm_Scores_Title">language!$B$400</definedName>
    <definedName name="N_ExportForm_StagePattern">language!$B$412</definedName>
    <definedName name="N_ExportForm_StartSession">language!$B$406</definedName>
    <definedName name="N_ExportForm_TablePattern">language!$B$413</definedName>
    <definedName name="N_ExportGroups">language!$B$380</definedName>
    <definedName name="N_Exporting">language!$B$366</definedName>
    <definedName name="N_ExportMatches">language!$B$383</definedName>
    <definedName name="N_ExportPlanning">language!$B$379</definedName>
    <definedName name="N_ExportResults">language!$B$382</definedName>
    <definedName name="N_ExportScorerTable">language!$B$468</definedName>
    <definedName name="N_ExportScoresheets">language!$B$384</definedName>
    <definedName name="N_ExportStats">language!$B$381</definedName>
    <definedName name="N_ExportTypeOfEventToWebSite">language!$B$561</definedName>
    <definedName name="N_Family_Name">language!$B$89</definedName>
    <definedName name="N_FillIn_Players_And_Clubs">language!$B$245</definedName>
    <definedName name="N_FillinFormula">language!$B$259</definedName>
    <definedName name="N_FillinPlayers">language!$B$356</definedName>
    <definedName name="N_FillWithX">language!$B$541</definedName>
    <definedName name="N_FilterFrame">language!$B$411</definedName>
    <definedName name="N_FINALE">language!$B$51</definedName>
    <definedName name="N_Finalist">language!$B$43</definedName>
    <definedName name="N_FirstSessionToExport">language!$B$385</definedName>
    <definedName name="N_FISTF_Categories">language!$B$522</definedName>
    <definedName name="N_FISTF_Category_List">language!$B$523</definedName>
    <definedName name="N_FISTFCompetitionFormula">language!$B$288</definedName>
    <definedName name="N_G">language!$B$20</definedName>
    <definedName name="N_GenerateConfigurationFile">language!$B$569</definedName>
    <definedName name="N_GetFISTFClubsFile">language!$B$438</definedName>
    <definedName name="N_GetFISTFScoreSheetTemplateFile">language!$B$436</definedName>
    <definedName name="N_GetFISTFWorldRankingFile">language!$B$437</definedName>
    <definedName name="N_GetScorerTableFile">language!$B$440</definedName>
    <definedName name="N_GetScoreSheetFileName">language!$B$439</definedName>
    <definedName name="N_GetSessionNumber">language!$B$238</definedName>
    <definedName name="N_GMFT">language!$B$261</definedName>
    <definedName name="N_GMFT_Version">language!$B$262</definedName>
    <definedName name="N_Goal_Diff">language!$B$143</definedName>
    <definedName name="N_GoalsConceded">language!$B$482</definedName>
    <definedName name="N_Group">language!$B$161</definedName>
    <definedName name="N_Group_10">language!$B$116</definedName>
    <definedName name="N_Group_11">language!$B$117</definedName>
    <definedName name="N_Group_12">language!$B$118</definedName>
    <definedName name="N_Group_13">language!$B$119</definedName>
    <definedName name="N_Group_14">language!$B$120</definedName>
    <definedName name="N_Group_15">language!$B$121</definedName>
    <definedName name="N_Group_16">language!$B$122</definedName>
    <definedName name="N_Group_17">language!$B$123</definedName>
    <definedName name="N_Group_18">language!$B$124</definedName>
    <definedName name="N_Group_19">language!$B$125</definedName>
    <definedName name="N_Group_20">language!$B$126</definedName>
    <definedName name="N_Group_3">language!$B$109</definedName>
    <definedName name="N_Group_3_2Leg">language!$B$127</definedName>
    <definedName name="N_Group_4">language!$B$110</definedName>
    <definedName name="N_Group_4_2leg">language!$B$128</definedName>
    <definedName name="N_Group_5">language!$B$111</definedName>
    <definedName name="N_Group_5_2leg">language!$B$129</definedName>
    <definedName name="N_Group_6">language!$B$112</definedName>
    <definedName name="N_Group_6_Self_Refereeing">language!$B$130</definedName>
    <definedName name="N_Group_7">language!$B$113</definedName>
    <definedName name="N_Group_8">language!$B$114</definedName>
    <definedName name="N_Group_9">language!$B$115</definedName>
    <definedName name="N_Groups">language!$B$60</definedName>
    <definedName name="N_HalfTimeScore">language!$B$493</definedName>
    <definedName name="N_Heure">language!$B$3</definedName>
    <definedName name="N_HideIt">language!$B$255</definedName>
    <definedName name="N_HidePlayerFormulas">language!$B$378</definedName>
    <definedName name="N_Import_FISTF_Clubs">language!$B$434</definedName>
    <definedName name="N_Import_FISTF_File">language!$B$332</definedName>
    <definedName name="N_Import_FISTF_Players">language!$B$435</definedName>
    <definedName name="N_Individual_FDL">language!$B$107</definedName>
    <definedName name="N_Individuals">language!$B$256</definedName>
    <definedName name="N_Insert_above">language!$B$158</definedName>
    <definedName name="N_Insert_team_line">language!$B$97</definedName>
    <definedName name="N_Insert_Upper">language!$B$94</definedName>
    <definedName name="N_InvalidSessionNumber">language!$B$416</definedName>
    <definedName name="N_J">language!$B$19</definedName>
    <definedName name="N_Joueurs">language!$B$16</definedName>
    <definedName name="N_Ladies">language!$B$85</definedName>
    <definedName name="N_Language">language!$B$156</definedName>
    <definedName name="N_LastHourRefereeing">language!$B$348</definedName>
    <definedName name="N_LastMatches">language!$B$305</definedName>
    <definedName name="N_Layout">language!$B$373</definedName>
    <definedName name="N_Let_Empty_for_all">language!$B$490</definedName>
    <definedName name="N_Licence">language!$B$71</definedName>
    <definedName name="N_LicencesSheetTitle">language!$B$263</definedName>
    <definedName name="N_Lists">language!$B$250</definedName>
    <definedName name="N_ListsMessage">language!$B$269</definedName>
    <definedName name="N_ListsSheet">language!$B$268</definedName>
    <definedName name="N_LockSheets">language!$B$344</definedName>
    <definedName name="N_Loser">language!$B$316</definedName>
    <definedName name="N_Loses">language!$B$479</definedName>
    <definedName name="N_ManagePodium">language!$B$362</definedName>
    <definedName name="N_ManageRefereeList">language!$B$357</definedName>
    <definedName name="N_ManageStats">language!$B$361</definedName>
    <definedName name="N_ManageTimeline">language!$B$359</definedName>
    <definedName name="N_ManageVenue">language!$B$360</definedName>
    <definedName name="N_Match_Diff">language!$B$152</definedName>
    <definedName name="N_Matches">language!$B$26</definedName>
    <definedName name="N_MatchFormsSheetExists">language!$B$233</definedName>
    <definedName name="N_MatchFormula">language!$B$297</definedName>
    <definedName name="N_MatchForumlaNotFound">language!$B$307</definedName>
    <definedName name="N_MatchOrganisationFor10">language!$B$296</definedName>
    <definedName name="N_MatchOrganisationFor3">language!$B$289</definedName>
    <definedName name="N_MatchOrganisationFor4">language!$B$290</definedName>
    <definedName name="N_MatchOrganisationFor5">language!$B$291</definedName>
    <definedName name="N_MatchOrganisationFor6">language!$B$292</definedName>
    <definedName name="N_MatchOrganisationFor7">language!$B$293</definedName>
    <definedName name="N_MatchOrganisationFor8">language!$B$294</definedName>
    <definedName name="N_MatchOrganisationFor9">language!$B$295</definedName>
    <definedName name="N_MaxGoals">language!$B$315</definedName>
    <definedName name="N_MaxNumberOfEvents">language!$B$587</definedName>
    <definedName name="N_MaxScore">language!$B$317</definedName>
    <definedName name="N_MC">language!$B$34</definedName>
    <definedName name="N_Membres">language!$B$13</definedName>
    <definedName name="N_ModifyingWithDrawLabel">language!$B$505</definedName>
    <definedName name="N_Most_Ind_Match_Wins">language!$B$153</definedName>
    <definedName name="N_Move_Delete_Matches">language!$B$339</definedName>
    <definedName name="N_Move_Matches_To_Session">language!$B$340</definedName>
    <definedName name="N_MP">language!$B$33</definedName>
    <definedName name="N_MS">language!$B$8</definedName>
    <definedName name="N_MsgConfirmGlobalSave_Label">language!$B$443</definedName>
    <definedName name="N_MultiRowSelection">language!$B$271</definedName>
    <definedName name="N_N">language!$B$21</definedName>
    <definedName name="N_N__de_table">language!$B$14</definedName>
    <definedName name="N_Name">language!$B$88</definedName>
    <definedName name="N_Name_1stname">language!$B$70</definedName>
    <definedName name="N_Nationality">language!$B$91</definedName>
    <definedName name="N_NationalityCodes">language!$B$274</definedName>
    <definedName name="N_Nb_Goals">language!$B$477</definedName>
    <definedName name="N_Nb_Matches">language!$B$483</definedName>
    <definedName name="N_nb_max_members">language!$B$99</definedName>
    <definedName name="N_Nb_Refereeing">language!$B$347</definedName>
    <definedName name="N_Nb_Team_Members">language!$B$98</definedName>
    <definedName name="N_NbGroupsOf">language!$B$303</definedName>
    <definedName name="N_NbLastPlayers">language!$B$301</definedName>
    <definedName name="N_NbMatchImported">language!$B$471</definedName>
    <definedName name="N_NbMatchProceed">language!$B$470</definedName>
    <definedName name="N_NbMaxRefereing">language!$B$521</definedName>
    <definedName name="N_NbOfSession">language!$B$388</definedName>
    <definedName name="N_NbOfSessionToExport">language!$B$387</definedName>
    <definedName name="N_NbPlayerMax128">language!$B$278</definedName>
    <definedName name="N_NbPlayerMax64">language!$B$279</definedName>
    <definedName name="N_NbPlayerMin10">language!$B$287</definedName>
    <definedName name="N_NbPlayerMin3">language!$B$280</definedName>
    <definedName name="N_NbPlayerMin4">language!$B$281</definedName>
    <definedName name="N_NbPlayerMin5">language!$B$282</definedName>
    <definedName name="N_NbPlayerMin6">language!$B$283</definedName>
    <definedName name="N_NbPlayerMin7">language!$B$284</definedName>
    <definedName name="N_NbPlayerMin8">language!$B$285</definedName>
    <definedName name="N_NbPlayerMin9">language!$B$286</definedName>
    <definedName name="N_NbPlayers">language!$B$302</definedName>
    <definedName name="N_NbPlayOffMatches">language!$B$300</definedName>
    <definedName name="N_NbPointsInRanking">language!$B$326</definedName>
    <definedName name="N_NbRowtoAdd">language!$B$273</definedName>
    <definedName name="N_NbTeams">language!$B$533</definedName>
    <definedName name="N_NewEvent">language!$B$251</definedName>
    <definedName name="N_NewEventFISTF">language!$B$310</definedName>
    <definedName name="N_NewEventForm_Caption">language!$B$210</definedName>
    <definedName name="N_NewEventForm_Category">language!$B$172</definedName>
    <definedName name="N_NewEventForm_Elim_16">language!$B$200</definedName>
    <definedName name="N_NewEventForm_Elim_32">language!$B$199</definedName>
    <definedName name="N_NewEventForm_Elim_64">language!$B$198</definedName>
    <definedName name="N_NewEventForm_Elim_8">language!$B$201</definedName>
    <definedName name="N_NewEventForm_Elim_Final">language!$B$204</definedName>
    <definedName name="N_NewEventForm_Elim_Quart">language!$B$202</definedName>
    <definedName name="N_NewEventForm_Elim_Semi">language!$B$203</definedName>
    <definedName name="N_NewEventForm_Elim_Third">language!$B$205</definedName>
    <definedName name="N_NewEventForm_EventName">language!$B$171</definedName>
    <definedName name="N_NewEventForm_Exit">language!$B$209</definedName>
    <definedName name="N_NewEventForm_FinalPhase">language!$B$194</definedName>
    <definedName name="N_NewEventForm_FullDraw">language!$B$197</definedName>
    <definedName name="N_NewEventForm_GroupOf_10">language!$B$180</definedName>
    <definedName name="N_NewEventForm_GroupOf_11">language!$B$181</definedName>
    <definedName name="N_NewEventForm_GroupOf_12">language!$B$182</definedName>
    <definedName name="N_NewEventForm_GroupOf_13">language!$B$183</definedName>
    <definedName name="N_NewEventForm_GroupOf_14">language!$B$184</definedName>
    <definedName name="N_NewEventForm_GroupOf_15">language!$B$185</definedName>
    <definedName name="N_NewEventForm_GroupOf_16">language!$B$186</definedName>
    <definedName name="N_NewEventForm_GroupOf_17">language!$B$187</definedName>
    <definedName name="N_NewEventForm_GroupOf_18">language!$B$188</definedName>
    <definedName name="N_NewEventForm_GroupOf_19">language!$B$189</definedName>
    <definedName name="N_NewEventForm_GroupOf_20">language!$B$190</definedName>
    <definedName name="N_NewEventForm_GroupOf_3">language!$B$173</definedName>
    <definedName name="N_NewEventForm_GroupOf_4">language!$B$174</definedName>
    <definedName name="N_NewEventForm_GroupOf_5">language!$B$175</definedName>
    <definedName name="N_NewEventForm_GroupOf_6">language!$B$176</definedName>
    <definedName name="N_NewEventForm_GroupOf_7">language!$B$177</definedName>
    <definedName name="N_NewEventForm_GroupOf_8">language!$B$178</definedName>
    <definedName name="N_NewEventForm_GroupOf_9">language!$B$179</definedName>
    <definedName name="N_NewEventForm_GroupOf_X_FS">language!$B$191</definedName>
    <definedName name="N_NewEventForm_GroupPhase">language!$B$192</definedName>
    <definedName name="N_NewEventForm_Hide">language!$B$229</definedName>
    <definedName name="N_NewEventForm_NbMatchPlayOff">language!$B$195</definedName>
    <definedName name="N_NewEventForm_NbPreQualified">language!$B$196</definedName>
    <definedName name="N_NewEventForm_PlayOffPhase">language!$B$193</definedName>
    <definedName name="N_NewEventForm_SessionNumber">language!$B$462</definedName>
    <definedName name="N_NewEventForm_SheetExists">language!$B$207</definedName>
    <definedName name="N_NewEventForm_Title">language!$B$162</definedName>
    <definedName name="N_NewEventForm_Validate">language!$B$206</definedName>
    <definedName name="N_NewEventFormForDoubles_Caption">language!$B$212</definedName>
    <definedName name="N_NewEventFormForDoubles_Title">language!$B$164</definedName>
    <definedName name="N_NewEventFormForTeams_Caption">language!$B$211</definedName>
    <definedName name="N_NewEventFormForTeams_Title">language!$B$163</definedName>
    <definedName name="N_NewEventPersonnalized">language!$B$311</definedName>
    <definedName name="N_NewEventWithFormulas">language!$B$313</definedName>
    <definedName name="N_NewEventWithFormulasForm_Caption">language!$B$216</definedName>
    <definedName name="N_NewEventWithFormulasForm_Title">language!$B$168</definedName>
    <definedName name="N_NewEventWithFormulasFormForDoubles_Caption">language!$B$218</definedName>
    <definedName name="N_NewEventWithFormulasFormForDoubles_Title">language!$B$170</definedName>
    <definedName name="N_NewEventWithFormulasFormForTeams_Caption">language!$B$217</definedName>
    <definedName name="N_NewEventWithFormulasFormForTeams_Title">language!$B$169</definedName>
    <definedName name="N_NewOfficialEventForm_Caption">language!$B$213</definedName>
    <definedName name="N_NewOfficialEventForm_GroupSizeOf10">language!$B$228</definedName>
    <definedName name="N_NewOfficialEventForm_GroupSizeOf3">language!$B$221</definedName>
    <definedName name="N_NewOfficialEventForm_GroupSizeOf4">language!$B$222</definedName>
    <definedName name="N_NewOfficialEventForm_GroupSizeOf5">language!$B$223</definedName>
    <definedName name="N_NewOfficialEventForm_GroupSizeOf6">language!$B$224</definedName>
    <definedName name="N_NewOfficialEventForm_GroupSizeOf7">language!$B$225</definedName>
    <definedName name="N_NewOfficialEventForm_GroupSizeOf8">language!$B$226</definedName>
    <definedName name="N_NewOfficialEventForm_GroupSizeOf9">language!$B$227</definedName>
    <definedName name="N_NewOfficialEventForm_GroupsOf">language!$B$220</definedName>
    <definedName name="N_NewOfficialEventForm_NbPlayersInvolved">language!$B$219</definedName>
    <definedName name="N_NewOfficialEventForm_Title">language!$B$165</definedName>
    <definedName name="N_NewOfficialEventFormForDoubles_Caption">language!$B$215</definedName>
    <definedName name="N_NewOfficialEventFormForDoubles_Title">language!$B$167</definedName>
    <definedName name="N_NewOfficialEventFormForTeams_Caption">language!$B$214</definedName>
    <definedName name="N_NewOfficialEventFormForTeams_Title">language!$B$166</definedName>
    <definedName name="N_NoDisqualifiedForTheMoment">language!$B$532</definedName>
    <definedName name="N_NoDrawWithWithdraw">language!$B$504</definedName>
    <definedName name="N_NoEventToPrint">language!$B$422</definedName>
    <definedName name="N_NoIndivAndTeamMatch">language!$B$536</definedName>
    <definedName name="N_Nom_double">language!$B$12</definedName>
    <definedName name="N_Nom_équipe">language!$B$11</definedName>
    <definedName name="N_NonNumeric">language!$B$208</definedName>
    <definedName name="N_NormalView">language!$B$376</definedName>
    <definedName name="N_NotAFistfLicencesFile">language!$B$427</definedName>
    <definedName name="N_NotAFistfSSFile">language!$B$441</definedName>
    <definedName name="N_NotAFistfWRFile">language!$B$328</definedName>
    <definedName name="N_NotAScorerTableFile">language!$B$329</definedName>
    <definedName name="N_NotEnoughClubListLines">language!$B$428</definedName>
    <definedName name="N_NotEnoughMatchesInATeamMatch">language!$B$244</definedName>
    <definedName name="N_NotEnoughPlayerListLines">language!$B$429</definedName>
    <definedName name="N_Nothing">language!$B$543</definedName>
    <definedName name="N_NothingSelected">language!$B$235</definedName>
    <definedName name="N_NotOnlyMatchSelected">language!$B$236</definedName>
    <definedName name="N_NotSameTypeOfReferees">language!$B$538</definedName>
    <definedName name="N_NotSessionRow">language!$B$336</definedName>
    <definedName name="N_Only2Members">language!$B$270</definedName>
    <definedName name="N_OnlyOneLineSelection">language!$B$335</definedName>
    <definedName name="N_OnlyParticularEventNames">language!$B$858</definedName>
    <definedName name="N_Open">language!$B$75</definedName>
    <definedName name="N_OpenDashboard">language!$B$582</definedName>
    <definedName name="N_Order">language!$B$135</definedName>
    <definedName name="N_P">language!$B$22</definedName>
    <definedName name="N_PageBreak">language!$B$374</definedName>
    <definedName name="N_Parameter">language!$B$247</definedName>
    <definedName name="N_ParticipantsAlphabeticals">language!$B$499</definedName>
    <definedName name="N_ParticipantsRanking">language!$B$498</definedName>
    <definedName name="N_Particular_Attack">language!$B$148</definedName>
    <definedName name="N_particular_diff">language!$B$138</definedName>
    <definedName name="N_Particular_Difference">language!$B$146</definedName>
    <definedName name="N_Particular_Goals">language!$B$147</definedName>
    <definedName name="N_Particular_More_Wins">language!$B$150</definedName>
    <definedName name="N_Particular_Win_Diff">language!$B$149</definedName>
    <definedName name="N_PathToTemplateDirName_Label">language!$B$586</definedName>
    <definedName name="N_PathToTemplateFileName_Label">language!$B$585</definedName>
    <definedName name="N_PathToTemplatePath_Label">language!$B$584</definedName>
    <definedName name="N_PathToTemplateTitle_Label">language!$B$581</definedName>
    <definedName name="N_Petite_FINALE">language!$B$64</definedName>
    <definedName name="N_Planning">language!$B$260</definedName>
    <definedName name="N_PlanningTitle">language!$B$507</definedName>
    <definedName name="N_Play">language!$B$486</definedName>
    <definedName name="N_Player_list">language!$B$95</definedName>
    <definedName name="N_Player1">language!$B$100</definedName>
    <definedName name="N_Player2">language!$B$101</definedName>
    <definedName name="N_PlayerCheckin">language!$B$265</definedName>
    <definedName name="N_PlayerName">language!$B$548</definedName>
    <definedName name="N_Players">language!$B$544</definedName>
    <definedName name="N_PlayerStatistics">language!$B$487</definedName>
    <definedName name="N_PlayerStatisticsDescription">language!$B$489</definedName>
    <definedName name="N_PlayerTimeline">language!$B$484</definedName>
    <definedName name="N_PlayOffMatches">language!$B$299</definedName>
    <definedName name="N_Points">language!$B$142</definedName>
    <definedName name="N_Poule">language!$B$46</definedName>
    <definedName name="N_Pre_Qualified">language!$B$105</definedName>
    <definedName name="N_Printing">language!$B$365</definedName>
    <definedName name="N_printing_sheet">language!$B$159</definedName>
    <definedName name="N_PrintStats">language!$B$476</definedName>
    <definedName name="N_PrintVenue">language!$B$475</definedName>
    <definedName name="N_Pts">language!$B$18</definedName>
    <definedName name="N_QualifiedPlayers">language!$B$298</definedName>
    <definedName name="N_Qualifiés">language!$B$41</definedName>
    <definedName name="N_QUART_DE_FINALE">language!$B$54</definedName>
    <definedName name="N_Rank">language!$B$319</definedName>
    <definedName name="N_RankedPlayers_list">language!$B$324</definedName>
    <definedName name="N_RankedTeams_list">language!$B$323</definedName>
    <definedName name="N_Ranking">language!$B$327</definedName>
    <definedName name="N_RankingAsLicenceList">language!$B$333</definedName>
    <definedName name="N_RankingSheetTitle">language!$B$322</definedName>
    <definedName name="N_RankingTeamSheetTitle">language!$B$321</definedName>
    <definedName name="N_RankPoints">language!$B$320</definedName>
    <definedName name="N_Refer">language!$B$485</definedName>
    <definedName name="N_Referee">language!$B$74</definedName>
    <definedName name="N_RefereeChecking">language!$B$451</definedName>
    <definedName name="N_RefereeList">language!$B$350</definedName>
    <definedName name="N_RefereeListAdapt">language!$B$351</definedName>
    <definedName name="N_RefereeListReason">language!$B$349</definedName>
    <definedName name="N_RefereeListValidate">language!$B$352</definedName>
    <definedName name="N_Referees">language!$B$545</definedName>
    <definedName name="N_RefereeSameClubAsOneInGroup">language!$B$458</definedName>
    <definedName name="N_RefereeSameClubAsPlayer1">language!$B$447</definedName>
    <definedName name="N_RefereeSameClubAsPlayer2">language!$B$448</definedName>
    <definedName name="N_RefereeSameNationalityAsOneInGroup">language!$B$459</definedName>
    <definedName name="N_RefereeSameNationalityAsPlayer1">language!$B$449</definedName>
    <definedName name="N_RefereeSameNationalityAsPlayer2">language!$B$450</definedName>
    <definedName name="N_RefereesCategory_Caption">language!$B$404</definedName>
    <definedName name="N_RefereesCategory_Title">language!$B$405</definedName>
    <definedName name="N_RefereeSheetTitle">language!$B$353</definedName>
    <definedName name="N_RefereeWithinGroup">language!$B$445</definedName>
    <definedName name="N_RefereeWithinStage">language!$B$446</definedName>
    <definedName name="N_RefForIndiv">language!$B$534</definedName>
    <definedName name="N_RefForTeams">language!$B$535</definedName>
    <definedName name="N_RegistrationExport_ExportCompetitors">language!$B$554</definedName>
    <definedName name="N_RegistrationExportForm_Caption">language!$B$390</definedName>
    <definedName name="N_RegistrationExportForm_Title">language!$B$392</definedName>
    <definedName name="N_RegistrationExportForm_WebSiteRootPath">language!$B$408</definedName>
    <definedName name="N_res_Diff">language!$B$65</definedName>
    <definedName name="N_res_MS">language!$B$66</definedName>
    <definedName name="N_Results_Export">language!$B$473</definedName>
    <definedName name="N_RG">language!$B$29</definedName>
    <definedName name="N_Rib_GmftAssignReferees">language!$B$777</definedName>
    <definedName name="N_Rib_GmftCalculateCheckin">language!$B$615</definedName>
    <definedName name="N_Rib_GmftCalculateNow">language!$B$594</definedName>
    <definedName name="N_Rib_GmftCheckin">language!$B$602</definedName>
    <definedName name="N_Rib_GmftCheckinForm">language!$B$552</definedName>
    <definedName name="N_Rib_GmftClubs">language!$B$599</definedName>
    <definedName name="N_Rib_GmftCreateDrawSheet">language!$B$822</definedName>
    <definedName name="N_Rib_GmftCreateGroupOfTablesName">language!$B$634</definedName>
    <definedName name="N_Rib_GmftCreateModel">language!$B$635</definedName>
    <definedName name="N_Rib_GmftCreateTableName">language!$B$633</definedName>
    <definedName name="N_Rib_GmftDatabaseSheets">language!$B$606</definedName>
    <definedName name="N_Rib_GmftDefineFirstSeeds">language!$B$829</definedName>
    <definedName name="N_Rib_GmftDelete_This_sheet">language!$B$825</definedName>
    <definedName name="N_Rib_GmftDeleteDraw">language!$B$847</definedName>
    <definedName name="N_Rib_GmftDeleteMatches">language!$B$747</definedName>
    <definedName name="N_Rib_GmftDoubles">language!$B$605</definedName>
    <definedName name="N_Rib_GmftFISTFExport">language!$B$654</definedName>
    <definedName name="N_Rib_GmftGroupCalculation">language!$B$595</definedName>
    <definedName name="N_Rib_GmftGroupCheckIn">language!$B$616</definedName>
    <definedName name="N_Rib_GmftGroupClubs">language!$B$625</definedName>
    <definedName name="N_Rib_GmftGroupDraw">language!$B$828</definedName>
    <definedName name="N_Rib_GmftGroupEvent">language!$B$821</definedName>
    <definedName name="N_Rib_GmftGroupHome">language!$B$589</definedName>
    <definedName name="N_Rib_GmftGroupHomeCreateEvents">language!$B$647</definedName>
    <definedName name="N_Rib_GmftGroupHomeExport">language!$B$651</definedName>
    <definedName name="N_Rib_GmftGroupHomePrinting">language!$B$655</definedName>
    <definedName name="N_Rib_GmftGroupLicences">language!$B$624</definedName>
    <definedName name="N_Rib_GmftGroupListMgt">language!$B$620</definedName>
    <definedName name="N_Rib_GmftGroupNavigation">language!$B$621</definedName>
    <definedName name="N_Rib_GmftGroupParameters">language!$B$740</definedName>
    <definedName name="N_Rib_GmftGroupPlanningDashboard">language!$B$739</definedName>
    <definedName name="N_Rib_GmftGroupPlanningExports">language!$B$738</definedName>
    <definedName name="N_Rib_GmftGroupPlanningMoveMatches">language!$B$734</definedName>
    <definedName name="N_Rib_GmftGroupPlanningRecord">language!$B$736</definedName>
    <definedName name="N_Rib_GmftGroupPlanningReferees">language!$B$737</definedName>
    <definedName name="N_Rib_GmftGroupPlanningSessionMgt">language!$B$735</definedName>
    <definedName name="N_Rib_GmftGroupRanking">language!$B$626</definedName>
    <definedName name="N_Rib_GmftGroupRankingTeams">language!$B$627</definedName>
    <definedName name="N_Rib_GmftGroupRefereeing">language!$B$629</definedName>
    <definedName name="N_Rib_GmftGroupStats">language!$B$631</definedName>
    <definedName name="N_Rib_GmftGroupTeams">language!$B$628</definedName>
    <definedName name="N_Rib_GmftGroupTimeline">language!$B$630</definedName>
    <definedName name="N_Rib_GmftGroupVenueDefinition">language!$B$639</definedName>
    <definedName name="N_Rib_GmftGroupVenueShow">language!$B$640</definedName>
    <definedName name="N_Rib_GmftHideCompetitionData">language!$B$612</definedName>
    <definedName name="N_Rib_GmftHideDatabase">language!$B$608</definedName>
    <definedName name="N_Rib_GmftHideDraws">language!$B$611</definedName>
    <definedName name="N_Rib_GmftHideEvents">language!$B$610</definedName>
    <definedName name="N_Rib_GmftHidePlanning">language!$B$609</definedName>
    <definedName name="N_Rib_GmftHideRegistrations">language!$B$607</definedName>
    <definedName name="N_Rib_GmftHideVenue">language!$B$613</definedName>
    <definedName name="N_Rib_GmftHome">language!$B$590</definedName>
    <definedName name="N_Rib_GmftImportClubs">language!$B$434</definedName>
    <definedName name="N_Rib_GmftImportLicenses">language!$B$435</definedName>
    <definedName name="N_Rib_GmftImportRanking">language!$B$332</definedName>
    <definedName name="N_Rib_GmftImportRankingTeams">language!$B$332</definedName>
    <definedName name="N_Rib_GmftInitLayout">language!$B$656</definedName>
    <definedName name="N_Rib_GmftLicences">language!$B$598</definedName>
    <definedName name="N_Rib_GmftLists">language!$B$603</definedName>
    <definedName name="N_Rib_GmftListsAddRows">language!$B$618</definedName>
    <definedName name="N_Rib_GmftListsRemoveRows">language!$B$619</definedName>
    <definedName name="N_Rib_GmftLockSheet">language!$B$597</definedName>
    <definedName name="N_Rib_GmftMAJListes">language!$B$277</definedName>
    <definedName name="N_Rib_GmftMakeAllDraw">language!$B$838</definedName>
    <definedName name="N_Rib_GmftMakeNextDraw">language!$B$832</definedName>
    <definedName name="N_Rib_GmftMakeNextDrawInSecondPot">language!$B$833</definedName>
    <definedName name="N_Rib_GmftMakeWithDraw">language!$B$841</definedName>
    <definedName name="N_Rib_GmftMaxScore">language!$B$850</definedName>
    <definedName name="N_Rib_GmftMaxScoreDeactivated">language!$B$851</definedName>
    <definedName name="N_Rib_GmftMenuNav">language!$B$622</definedName>
    <definedName name="N_Rib_GmftMenuNavHide">language!$B$623</definedName>
    <definedName name="N_Rib_GmftMenuSepCompData">language!$B$664</definedName>
    <definedName name="N_Rib_GmftMenuSepDatabase">language!$B$661</definedName>
    <definedName name="N_Rib_GmftMenuSepPlanningEvent">language!$B$663</definedName>
    <definedName name="N_Rib_GmftMenuSepRegistrations">language!$B$662</definedName>
    <definedName name="N_Rib_GmftMenuSepVenue">language!$B$665</definedName>
    <definedName name="N_Rib_GmftMoveMatchesDown">language!$B$744</definedName>
    <definedName name="N_Rib_GmftMoveMatchesSessionDown">language!$B$753</definedName>
    <definedName name="N_Rib_GmftMoveMatchesSessionUp">language!$B$750</definedName>
    <definedName name="N_Rib_GmftMoveMatchesToParticularSession">language!$B$756</definedName>
    <definedName name="N_Rib_GmftMoveMatchesUp">language!$B$741</definedName>
    <definedName name="N_Rib_GmftNewEvent_Custom">language!$B$650</definedName>
    <definedName name="N_Rib_GmftNewEvent_FISTF">language!$B$648</definedName>
    <definedName name="N_Rib_GmftNewEvent_Predefined">language!$B$649</definedName>
    <definedName name="N_Rib_GmftNumberOfRowsToAdd">language!$B$617</definedName>
    <definedName name="N_Rib_GmftOpenDashboard">language!$B$797</definedName>
    <definedName name="N_Rib_GmftPlanning_AddSession">language!$B$765</definedName>
    <definedName name="N_Rib_GmftPlanning_DeleteSession">language!$B$768</definedName>
    <definedName name="N_Rib_GmftPlanning_DeleteThisSession">language!$B$762</definedName>
    <definedName name="N_Rib_GmftPlanning_InsertSession">language!$B$759</definedName>
    <definedName name="N_Rib_GmftPlanningExport">language!$B$786</definedName>
    <definedName name="N_Rib_GmftPrintResults">language!$B$660</definedName>
    <definedName name="N_Rib_GmftRankingPlayers">language!$B$600</definedName>
    <definedName name="N_Rib_GmftRankingTeams">language!$B$601</definedName>
    <definedName name="N_Rib_GmftRecopier_matches">language!$B$771</definedName>
    <definedName name="N_Rib_GmftRegistrationsExport">language!$B$653</definedName>
    <definedName name="N_Rib_GmftRegistrationSheets">language!$B$614</definedName>
    <definedName name="N_Rib_GmftResultExport">language!$B$794</definedName>
    <definedName name="N_Rib_GmftSaveResultsAsPDF">language!$B$659</definedName>
    <definedName name="N_Rib_GmftScorerTableLabel">language!$B$789</definedName>
    <definedName name="N_Rib_GmftScoresheetsExport">language!$B$783</definedName>
    <definedName name="N_Rib_GmftSession_Number">language!$B$230</definedName>
    <definedName name="N_Rib_GmftShowDrawModel">language!$B$812</definedName>
    <definedName name="N_Rib_GmftShowNationalities">language!$B$800</definedName>
    <definedName name="N_Rib_GmftShowPlanningModel">language!$B$809</definedName>
    <definedName name="N_Rib_GmftShowREsultModel">language!$B$803</definedName>
    <definedName name="N_Rib_GmftShowScoresheetModel">language!$B$806</definedName>
    <definedName name="N_Rib_GmftSortPlayersInTeams">language!$B$472</definedName>
    <definedName name="N_Rib_GmftSwitchReferees">language!$B$780</definedName>
    <definedName name="N_Rib_GmftTabsHidden">language!$B$816</definedName>
    <definedName name="N_Rib_GmftTabsVisible">language!$B$815</definedName>
    <definedName name="N_Rib_GmftTeams">language!$B$604</definedName>
    <definedName name="N_Rib_GmftTeamsForm">language!$B$551</definedName>
    <definedName name="N_Rib_GmftUndefineGroupOfTableNames">language!$B$637</definedName>
    <definedName name="N_Rib_GmftUndefineModels">language!$B$638</definedName>
    <definedName name="N_Rib_GmftUndefineTableNames">language!$B$636</definedName>
    <definedName name="N_Rib_GmftUnlockSheet">language!$B$596</definedName>
    <definedName name="N_Rib_GmftUpdatePlayerTimelineFromTimeline">language!$B$632</definedName>
    <definedName name="N_Rib_GmftUpdateRefereeing">language!$B$632</definedName>
    <definedName name="N_Rib_GmftUpdateStatistics">language!$B$632</definedName>
    <definedName name="N_Rib_GmftValidateDraw">language!$B$844</definedName>
    <definedName name="N_Rib_GmftValider_matches">language!$B$774</definedName>
    <definedName name="N_Rib_GmftViewNormal">language!$B$658</definedName>
    <definedName name="N_Rib_GmftViewPageBreaks">language!$B$657</definedName>
    <definedName name="N_Rib_GmftWebSiteExport">language!$B$652</definedName>
    <definedName name="N_Rib_LanguageDropDown">language!$B$591</definedName>
    <definedName name="N_Rib_ScrTip_CategoryDropDown">language!$B$854</definedName>
    <definedName name="N_Rib_ScrTip_GmftAssignReferees">language!$B$778</definedName>
    <definedName name="N_Rib_ScrTip_GmftCalculateCheckin">language!$B$672</definedName>
    <definedName name="N_Rib_ScrTip_GmftCheckinForm">language!$B$677</definedName>
    <definedName name="N_Rib_ScrTip_GmftCreateDrawSheet">language!$B$823</definedName>
    <definedName name="N_Rib_ScrTip_GmftCreateGroupOfTablesName">language!$B$698</definedName>
    <definedName name="N_Rib_ScrTip_GmftCreateModel">language!$B$700</definedName>
    <definedName name="N_Rib_ScrTip_GmftCreateTableName">language!$B$696</definedName>
    <definedName name="N_Rib_ScrTip_GmftDefineFirstSeeds">language!$B$830</definedName>
    <definedName name="N_Rib_ScrTip_GmftDelete_This_sheet">language!$B$826</definedName>
    <definedName name="N_Rib_ScrTip_GmftDeleteDraw">language!$B$848</definedName>
    <definedName name="N_Rib_ScrTip_GmftDeleteMatches">language!$B$748</definedName>
    <definedName name="N_Rib_ScrTip_GmftFISTFExport">language!$B$722</definedName>
    <definedName name="N_Rib_ScrTip_GmftHome">language!$B$641</definedName>
    <definedName name="N_Rib_ScrTip_GmftImportClubs">language!$B$682</definedName>
    <definedName name="N_Rib_ScrTip_GmftImportLicenses">language!$B$680</definedName>
    <definedName name="N_Rib_ScrTip_GmftImportRanking">language!$B$684</definedName>
    <definedName name="N_Rib_ScrTip_GmftImportRankingTeams">language!$B$686</definedName>
    <definedName name="N_Rib_ScrTip_GmftImportScorerTable">language!$B$792</definedName>
    <definedName name="N_Rib_ScrTip_GmftInitLayout">language!$B$724</definedName>
    <definedName name="N_Rib_ScrTip_GmftListsAddRows">language!$B$668</definedName>
    <definedName name="N_Rib_ScrTip_GmftListsRemoveRows">language!$B$670</definedName>
    <definedName name="N_Rib_ScrTip_GmftLockUnlockWB">language!$B$817</definedName>
    <definedName name="N_Rib_ScrTip_GmftMAJListes">language!$B$674</definedName>
    <definedName name="N_Rib_ScrTip_GmftMakeAllDraw">language!$B$839</definedName>
    <definedName name="N_Rib_ScrTip_GmftMakeNextDraw">language!$B$834</definedName>
    <definedName name="N_Rib_ScrTip_GmftMakeNextDrawInSecondPot">language!$B$835</definedName>
    <definedName name="N_Rib_ScrTip_GmftMakeWithDraw">language!$B$842</definedName>
    <definedName name="N_Rib_ScrTip_GmftMaxScore">language!$B$852</definedName>
    <definedName name="N_Rib_ScrTip_GmftMoveMatchesDown">language!$B$745</definedName>
    <definedName name="N_Rib_ScrTip_GmftMoveMatchesSessionDown">language!$B$754</definedName>
    <definedName name="N_Rib_ScrTip_GmftMoveMatchesSessionUp">language!$B$751</definedName>
    <definedName name="N_Rib_ScrTip_GmftMoveMatchesToParticularSession">language!$B$757</definedName>
    <definedName name="N_Rib_ScrTip_GmftMoveMatchesUp">language!$B$742</definedName>
    <definedName name="N_Rib_ScrTip_GmftNewEvent_Custom">language!$B$716</definedName>
    <definedName name="N_Rib_ScrTip_GmftNewEvent_FISTF">language!$B$712</definedName>
    <definedName name="N_Rib_ScrTip_GmftNewEvent_Predefined">language!$B$714</definedName>
    <definedName name="N_Rib_ScrTip_GmftNumberOfRowsToAdd">language!$B$667</definedName>
    <definedName name="N_Rib_ScrTip_GmftOpenDashboard">language!$B$798</definedName>
    <definedName name="N_Rib_ScrTip_GmftParameters">language!$B$645</definedName>
    <definedName name="N_Rib_ScrTip_GmftPlanning_AddSession">language!$B$766</definedName>
    <definedName name="N_Rib_ScrTip_GmftPlanning_DeleteSession">language!$B$769</definedName>
    <definedName name="N_Rib_ScrTip_GmftPlanning_DeleteThisSession">language!$B$763</definedName>
    <definedName name="N_Rib_ScrTip_GmftPlanning_InsertSession">language!$B$760</definedName>
    <definedName name="N_Rib_ScrTip_GmftPlanningExport">language!$B$787</definedName>
    <definedName name="N_Rib_ScrTip_GmftPrintResults">language!$B$731</definedName>
    <definedName name="N_Rib_ScrTip_GmftRecopier_matches">language!$B$772</definedName>
    <definedName name="N_Rib_ScrTip_GmftRegistrationsExport">language!$B$720</definedName>
    <definedName name="N_Rib_ScrTip_GmftResultExport">language!$B$795</definedName>
    <definedName name="N_Rib_ScrTip_GmftSaveResultsAsPDF">language!$B$730</definedName>
    <definedName name="N_Rib_ScrTip_GmftScorerTableExport">language!$B$790</definedName>
    <definedName name="N_Rib_ScrTip_GmftScoresheetsExport">language!$B$784</definedName>
    <definedName name="N_Rib_ScrTip_GmftSession_Number">language!$B$710</definedName>
    <definedName name="N_Rib_ScrTip_GmftShowDrawModel">language!$B$813</definedName>
    <definedName name="N_Rib_ScrTip_GmftShowNationalities">language!$B$801</definedName>
    <definedName name="N_Rib_ScrTip_GmftShowPlanningModel">language!$B$810</definedName>
    <definedName name="N_Rib_ScrTip_GmftShowREsultModel">language!$B$804</definedName>
    <definedName name="N_Rib_ScrTip_GmftShowScoresheetModel">language!$B$807</definedName>
    <definedName name="N_Rib_ScrTip_GmftSortPlayersInTeams">language!$B$688</definedName>
    <definedName name="N_Rib_ScrTip_GmftSwitchReferees">language!$B$781</definedName>
    <definedName name="N_Rib_ScrTip_GmftTeamsForm">language!$B$676</definedName>
    <definedName name="N_Rib_ScrTip_GmftUndefineGroupOfTableNames">language!$B$704</definedName>
    <definedName name="N_Rib_ScrTip_GmftUndefineModels">language!$B$706</definedName>
    <definedName name="N_Rib_ScrTip_GmftUndefineTableNames">language!$B$702</definedName>
    <definedName name="N_Rib_ScrTip_GmftUpdatePlayerTimelineFromTimeline">language!$B$692</definedName>
    <definedName name="N_Rib_ScrTip_GmftUpdateRefereeing">language!$B$690</definedName>
    <definedName name="N_Rib_ScrTip_GmftUpdateStatistics">language!$B$694</definedName>
    <definedName name="N_Rib_ScrTip_GmftValidateDraw">language!$B$845</definedName>
    <definedName name="N_Rib_ScrTip_GmftValider_matches">language!$B$775</definedName>
    <definedName name="N_Rib_ScrTip_GmftVersion">language!$B$643</definedName>
    <definedName name="N_Rib_ScrTip_GmftViewHideRibbonTabs">language!$B$819</definedName>
    <definedName name="N_Rib_ScrTip_GmftViewNormal">language!$B$728</definedName>
    <definedName name="N_Rib_ScrTip_GmftViewPageBreaks">language!$B$726</definedName>
    <definedName name="N_Rib_ScrTip_GmftWebSiteExport">language!$B$718</definedName>
    <definedName name="N_Rib_ScrTip_TableDisplayDropDown">language!$B$708</definedName>
    <definedName name="N_Rib_SupTip_CategoryDropDown">language!$B$855</definedName>
    <definedName name="N_Rib_SupTip_GmftAssignReferees">language!$B$779</definedName>
    <definedName name="N_Rib_SupTip_GmftCalculateCheckin">language!$B$673</definedName>
    <definedName name="N_Rib_SupTip_GmftCheckinForm">language!$B$679</definedName>
    <definedName name="N_Rib_SupTip_GmftCreateDrawSheet">language!$B$824</definedName>
    <definedName name="N_Rib_SupTip_GmftCreateGroupOfTablesName">language!$B$699</definedName>
    <definedName name="N_Rib_SupTip_GmftCreateModel">language!$B$701</definedName>
    <definedName name="N_Rib_SupTip_GmftCreateTableName">language!$B$697</definedName>
    <definedName name="N_Rib_SupTip_GmftDefineFirstSeeds">language!$B$831</definedName>
    <definedName name="N_Rib_SupTip_GmftDelete_This_sheet">language!$B$827</definedName>
    <definedName name="N_Rib_SupTip_GmftDeleteDraw">language!$B$849</definedName>
    <definedName name="N_Rib_SupTip_GmftDeleteMatches">language!$B$749</definedName>
    <definedName name="N_Rib_SupTip_GmftFISTFExport">language!$B$723</definedName>
    <definedName name="N_Rib_SupTip_GmftHome">language!$B$642</definedName>
    <definedName name="N_Rib_SupTip_GmftImportClubs">language!$B$683</definedName>
    <definedName name="N_Rib_SupTip_GmftImportLicenses">language!$B$681</definedName>
    <definedName name="N_Rib_SupTip_GmftImportRanking">language!$B$685</definedName>
    <definedName name="N_Rib_SupTip_GmftImportRankingTeams">language!$B$687</definedName>
    <definedName name="N_Rib_SupTip_GmftImportScorerTable">language!$B$793</definedName>
    <definedName name="N_Rib_SupTip_GmftInitLayout">language!$B$725</definedName>
    <definedName name="N_Rib_SupTip_GmftListsAddRows">language!$B$669</definedName>
    <definedName name="N_Rib_SupTip_GmftListsRemoveRows">language!$B$671</definedName>
    <definedName name="N_Rib_SupTip_GmftLockUnlockWB">language!$B$818</definedName>
    <definedName name="N_Rib_SupTip_GmftMAJListes">language!$B$675</definedName>
    <definedName name="N_Rib_SupTip_GmftMakeAllDraw">language!$B$840</definedName>
    <definedName name="N_Rib_SupTip_GmftMakeNextDraw">language!$B$836</definedName>
    <definedName name="N_Rib_SupTip_GmftMakeNextDrawInSecondPot">language!$B$837</definedName>
    <definedName name="N_Rib_SupTip_GmftMakeWithDraw">language!$B$843</definedName>
    <definedName name="N_Rib_SupTip_GmftMaxScore">language!$B$853</definedName>
    <definedName name="N_Rib_SupTip_GmftMoveMatchesDown">language!$B$746</definedName>
    <definedName name="N_Rib_SupTip_GmftMoveMatchesSessionDown">language!$B$755</definedName>
    <definedName name="N_Rib_SupTip_GmftMoveMatchesSessionUp">language!$B$752</definedName>
    <definedName name="N_Rib_SupTip_GmftMoveMatchesToParticularSession">language!$B$758</definedName>
    <definedName name="N_Rib_SupTip_GmftMoveMatchesUp">language!$B$743</definedName>
    <definedName name="N_Rib_SupTip_GmftNewEvent_Custom">language!$B$717</definedName>
    <definedName name="N_Rib_SupTip_GmftNewEvent_FISTF">language!$B$713</definedName>
    <definedName name="N_Rib_SupTip_GmftNewEvent_Predefined">language!$B$715</definedName>
    <definedName name="N_Rib_SupTip_GmftNumberOfRowsToAdd">language!$B$666</definedName>
    <definedName name="N_Rib_SupTip_GmftOpenDashboard">language!$B$799</definedName>
    <definedName name="N_Rib_SupTip_GmftParameters">language!$B$646</definedName>
    <definedName name="N_Rib_SupTip_GmftPlanning_AddSession">language!$B$767</definedName>
    <definedName name="N_Rib_SupTip_GmftPlanning_DeleteSession">language!$B$770</definedName>
    <definedName name="N_Rib_SupTip_GmftPlanning_DeleteThisSession">language!$B$764</definedName>
    <definedName name="N_Rib_SupTip_GmftPlanning_InsertSession">language!$B$761</definedName>
    <definedName name="N_Rib_SupTip_GmftPlanningExport">language!$B$788</definedName>
    <definedName name="N_Rib_SupTip_GmftPrintResults">language!$B$733</definedName>
    <definedName name="N_Rib_SupTip_GmftRecopier_matches">language!$B$773</definedName>
    <definedName name="N_Rib_SupTip_GmftRegistrationsExport">language!$B$721</definedName>
    <definedName name="N_Rib_SupTip_GmftResultExport">language!$B$796</definedName>
    <definedName name="N_Rib_SupTip_GmftSaveResultsAsPDF">language!$B$732</definedName>
    <definedName name="N_Rib_SupTip_GmftScorerTableExport">language!$B$791</definedName>
    <definedName name="N_Rib_SupTip_GmftScoresheetsExport">language!$B$785</definedName>
    <definedName name="N_Rib_SupTip_GmftSession_Number">language!$B$711</definedName>
    <definedName name="N_Rib_SupTip_GmftShowDrawModel">language!$B$814</definedName>
    <definedName name="N_Rib_SupTip_GmftShowNationalities">language!$B$802</definedName>
    <definedName name="N_Rib_SupTip_GmftShowPlanningModel">language!$B$811</definedName>
    <definedName name="N_Rib_SupTip_GmftShowREsultModel">language!$B$805</definedName>
    <definedName name="N_Rib_SupTip_GmftShowScoresheetModel">language!$B$808</definedName>
    <definedName name="N_Rib_SupTip_GmftSortPlayersInTeams">language!$B$689</definedName>
    <definedName name="N_Rib_SupTip_GmftSwitchReferees">language!$B$782</definedName>
    <definedName name="N_Rib_SupTip_GmftTeamsForm">language!$B$678</definedName>
    <definedName name="N_Rib_SupTip_GmftUndefineGroupOfTableNames">language!$B$705</definedName>
    <definedName name="N_Rib_SupTip_GmftUndefineModels">language!$B$707</definedName>
    <definedName name="N_Rib_SupTip_GmftUndefineTableNames">language!$B$703</definedName>
    <definedName name="N_Rib_SupTip_GmftUpdatePlayerTimelineFromTimeline">language!$B$693</definedName>
    <definedName name="N_Rib_SupTip_GmftUpdateRefereeing">language!$B$691</definedName>
    <definedName name="N_Rib_SupTip_GmftUpdateStatistics">language!$B$695</definedName>
    <definedName name="N_Rib_SupTip_GmftValidateDraw">language!$B$846</definedName>
    <definedName name="N_Rib_SupTip_GmftValider_matches">language!$B$776</definedName>
    <definedName name="N_Rib_SupTip_GmftVersion">language!$B$644</definedName>
    <definedName name="N_Rib_SupTip_GmftViewHideRibbonTabs">language!$B$820</definedName>
    <definedName name="N_Rib_SupTip_GmftViewNormal">language!$B$729</definedName>
    <definedName name="N_Rib_SupTip_GmftViewPageBreaks">language!$B$727</definedName>
    <definedName name="N_Rib_SupTip_GmftWebSiteExport">language!$B$719</definedName>
    <definedName name="N_Rib_SupTip_TableDisplayDropDown">language!$B$709</definedName>
    <definedName name="N_Rib_TableDisplayDropDown">language!$B$542</definedName>
    <definedName name="N_RJ">language!$B$28</definedName>
    <definedName name="N_RN">language!$B$30</definedName>
    <definedName name="N_Round">language!$B$232</definedName>
    <definedName name="N_Row">language!$B$506</definedName>
    <definedName name="N_RP">language!$B$31</definedName>
    <definedName name="N_SaveFiles">language!$B$460</definedName>
    <definedName name="N_ScorerTable">language!$B$469</definedName>
    <definedName name="N_Scores">language!$B$37</definedName>
    <definedName name="N_ScoreSheet">language!$B$420</definedName>
    <definedName name="N_SelectionOnOneSession">language!$B$511</definedName>
    <definedName name="N_SelectionOutside">language!$B$272</definedName>
    <definedName name="N_SelectionOutsidePlanning">language!$B$510</definedName>
    <definedName name="N_Serie">language!$B$306</definedName>
    <definedName name="N_Session">language!$B$230</definedName>
    <definedName name="N_SessionTitle">language!$B$579</definedName>
    <definedName name="N_SessionTitle_Label">language!$B$580</definedName>
    <definedName name="N_SessionUpNotPossible">language!$B$241</definedName>
    <definedName name="N_SetCalculationMode_Label">language!$B$425</definedName>
    <definedName name="N_Shout_Out">language!$B$588</definedName>
    <definedName name="N_Show">language!$B$542</definedName>
    <definedName name="N_ShowDashboard_Title">language!$B$578</definedName>
    <definedName name="N_ShowIt">language!$B$254</definedName>
    <definedName name="N_SortByNameFirstname">language!$B$276</definedName>
    <definedName name="N_SortTeamMembers">language!$B$472</definedName>
    <definedName name="N_Stade_Epreuve">language!$B$68</definedName>
    <definedName name="N_Stages">language!$B$546</definedName>
    <definedName name="N_StartPrint">language!$B$375</definedName>
    <definedName name="N_StartSession">language!$B$386</definedName>
    <definedName name="N_Substitue">language!$B$421</definedName>
    <definedName name="N_Substitute">language!$B$345</definedName>
    <definedName name="N_Substitute_Codes">language!$B$346</definedName>
    <definedName name="N_SubstituteCodeRule">language!$B$540</definedName>
    <definedName name="N_SwitchReferees">language!$B$516</definedName>
    <definedName name="N_Table">language!$B$4</definedName>
    <definedName name="N_TableDisplay">language!$B$543:$B$546</definedName>
    <definedName name="N_Tables">language!$B$5</definedName>
    <definedName name="N_Team">language!$B$83</definedName>
    <definedName name="N_Team_FDL">language!$B$106</definedName>
    <definedName name="N_Team1">language!$B$102</definedName>
    <definedName name="N_Team2">language!$B$103</definedName>
    <definedName name="N_TeamCheckin">language!$B$266</definedName>
    <definedName name="N_TeamNumber">language!$B$403</definedName>
    <definedName name="N_Teams">language!$B$257</definedName>
    <definedName name="N_TeamsRegisteredPlayers">language!$B$539</definedName>
    <definedName name="N_THIRD">language!$B$52</definedName>
    <definedName name="N_ThirdLoser">language!$B$45</definedName>
    <definedName name="N_ThirdWinner">language!$B$44</definedName>
    <definedName name="N_TimelineDescription">language!$B$488</definedName>
    <definedName name="N_Tirage">language!$B$15</definedName>
    <definedName name="N_ToBeDone">language!$B$423</definedName>
    <definedName name="N_ToBeDrawn">language!$B$496</definedName>
    <definedName name="N_ToBeDrawnLeft">language!$B$501</definedName>
    <definedName name="N_ToMuchFormulas">language!$B$314</definedName>
    <definedName name="N_Total_buts">language!$B$38</definedName>
    <definedName name="N_TotalNbClubs">language!$B$430</definedName>
    <definedName name="N_TotalNbClubsLines">language!$B$431</definedName>
    <definedName name="N_TotalNbGroups">language!$B$304</definedName>
    <definedName name="N_TotalNbPlayers">language!$B$432</definedName>
    <definedName name="N_TotalNbPlayersLines">language!$B$433</definedName>
    <definedName name="N_TotalNbRankedPlayers">language!$B$330</definedName>
    <definedName name="N_TotalNbRankingLines">language!$B$331</definedName>
    <definedName name="N_Trigram">language!$B$275</definedName>
    <definedName name="N_Type_Match">language!$B$69</definedName>
    <definedName name="N_U12">language!$B$82</definedName>
    <definedName name="N_U15">language!$B$81</definedName>
    <definedName name="N_U16">language!$B$80</definedName>
    <definedName name="N_U19">language!$B$79</definedName>
    <definedName name="N_U20">language!$B$78</definedName>
    <definedName name="N_U40">language!$B$77</definedName>
    <definedName name="N_UnknownPlayer">language!$B$461</definedName>
    <definedName name="N_UpNotPossible">language!$B$240</definedName>
    <definedName name="N_UseCategories">language!$B$528</definedName>
    <definedName name="N_UseDisqualified">language!$B$526</definedName>
    <definedName name="N_VAINQUEUR">language!$B$40</definedName>
    <definedName name="N_ValidateRegistered">language!$B$277</definedName>
    <definedName name="N_VenueTitle">language!$B$467</definedName>
    <definedName name="N_Veterans">language!$B$76</definedName>
    <definedName name="N_Visa">language!$B$86</definedName>
    <definedName name="N_Web_Club">language!$B$565</definedName>
    <definedName name="N_Web_MatchNo">language!$B$568</definedName>
    <definedName name="N_Web_Nation">language!$B$564</definedName>
    <definedName name="N_Web_PlayerName">language!$B$562</definedName>
    <definedName name="N_Web_Ranking">language!$B$563</definedName>
    <definedName name="N_Web_Rk">language!$B$566</definedName>
    <definedName name="N_Web_Stage">language!$B$567</definedName>
    <definedName name="N_WebChangingImages">language!$B$576</definedName>
    <definedName name="N_WebEventDescriptionLabel">language!$B$573</definedName>
    <definedName name="N_WebEventTitleLabel">language!$B$572</definedName>
    <definedName name="N_WebNavBarTitleLabel">language!$B$571</definedName>
    <definedName name="N_WebSiteExport_ExportCompetitonData">language!$B$574</definedName>
    <definedName name="N_WebSiteExport_ExportCompetitors">language!$B$553</definedName>
    <definedName name="N_WebSiteExport_ExportGroups">language!$B$556</definedName>
    <definedName name="N_WebSiteExport_ExportMatches">language!$B$559</definedName>
    <definedName name="N_WebSiteExport_ExportPlanning">language!$B$555</definedName>
    <definedName name="N_WebSiteExport_ExportResults">language!$B$558</definedName>
    <definedName name="N_WebSiteExport_ExportStats">language!$B$557</definedName>
    <definedName name="N_WebSiteExport_ExportWebDecoration">language!$B$575</definedName>
    <definedName name="N_WebSiteExportForm_Caption">language!$B$389</definedName>
    <definedName name="N_WebSiteExportForm_Title">language!$B$391</definedName>
    <definedName name="N_WebSiteExportForm_WebSiteRootPath">language!$B$407</definedName>
    <definedName name="N_Win">language!$B$154</definedName>
    <definedName name="N_Winner">language!$B$104</definedName>
    <definedName name="N_Wins">language!$B$478</definedName>
    <definedName name="N_Withdraw">language!$B$495</definedName>
    <definedName name="N_Won_Matches">language!$B$144</definedName>
    <definedName name="N_Worksheet">language!$B$253</definedName>
    <definedName name="N_YouMustSelectIndivOrTeam">language!$B$537</definedName>
    <definedName name="N_YourCriteria">language!$B$354</definedName>
    <definedName name="NatClubColNum" localSheetId="27">DrawModel!$Z$2</definedName>
    <definedName name="Nationalities">Nationalities!$B$5:$B$58</definedName>
    <definedName name="Nationality_Codes">Nationalities!$C$5:$C$58</definedName>
    <definedName name="NationalityDoublesFormat">DrawModel!$W$43</definedName>
    <definedName name="NationalityTrigram">Parameters!$C$86</definedName>
    <definedName name="Nb_Max_Equipiers">Teams!$U$2</definedName>
    <definedName name="Nb_Referees">Refereeing!$A$6</definedName>
    <definedName name="NbEvents">Parameters!$B$91</definedName>
    <definedName name="NbLanguages">language!$B$1</definedName>
    <definedName name="NbLicences">Licences!$B$4</definedName>
    <definedName name="NbMaxRefereing">Parameters!$C$65</definedName>
    <definedName name="NbOfTeams" localSheetId="23">'Team Groups'!$CJ$3</definedName>
    <definedName name="NbOfTeams" localSheetId="19">'Dble Groups'!$CJ$3</definedName>
    <definedName name="NbOfTeams" localSheetId="22">'Team Groups'!$CJ$3</definedName>
    <definedName name="NbOfTeams" localSheetId="20">'Team Groups'!$CJ$3</definedName>
    <definedName name="NbRankedPlayers">Ranking!$G$2</definedName>
    <definedName name="NbRankedTeams">RankingTeams!$H$2</definedName>
    <definedName name="NbTeams">Teams!$T$2</definedName>
    <definedName name="NoDrawWithWithdraw">Parameters!$C$53</definedName>
    <definedName name="NumberOfRowsToAdd" localSheetId="9">CheckIn!$A$1</definedName>
    <definedName name="NumberOfRowsToAdd" localSheetId="5">Clubs!$A$1</definedName>
    <definedName name="NumberOfRowsToAdd" localSheetId="4">Licences!$A$1</definedName>
    <definedName name="NumberOfRowsToAdd" localSheetId="7">Ranking!$A$1</definedName>
    <definedName name="NumberOfRowsToAdd" localSheetId="8">RankingTeams!$A$1</definedName>
    <definedName name="NumberOfRowsToAdd" localSheetId="10">Teams!$A$1</definedName>
    <definedName name="NumberOfRowsToAdd">Doubles!$A$1</definedName>
    <definedName name="NumbersDoublesFormat">DrawModel!$U$31</definedName>
    <definedName name="P_1A" localSheetId="38">D1_Last8!$AO$7</definedName>
    <definedName name="P_1A" localSheetId="37">D1_Top8!$AO$7</definedName>
    <definedName name="P_1A" localSheetId="36">D1_Tr1!$AO$7</definedName>
    <definedName name="P_1B" localSheetId="38">D1_Last8!$AO$8</definedName>
    <definedName name="P_1B" localSheetId="37">D1_Top8!$AO$8</definedName>
    <definedName name="P_1B" localSheetId="36">D1_Tr1!$AO$8</definedName>
    <definedName name="P_1C" localSheetId="38">D1_Last8!$AO$9</definedName>
    <definedName name="P_1C" localSheetId="37">D1_Top8!$AO$9</definedName>
    <definedName name="P_1C" localSheetId="36">D1_Tr1!$AO$9</definedName>
    <definedName name="P_1C">#REF!</definedName>
    <definedName name="P_1D" localSheetId="38">D1_Last8!$AO$10</definedName>
    <definedName name="P_1D" localSheetId="37">D1_Top8!$AO$10</definedName>
    <definedName name="P_1D" localSheetId="36">D1_Tr1!$AO$10</definedName>
    <definedName name="P_1D">#REF!</definedName>
    <definedName name="P_1E" localSheetId="38">D1_Last8!$AO$11</definedName>
    <definedName name="P_1E" localSheetId="37">D1_Top8!$AO$11</definedName>
    <definedName name="P_1E" localSheetId="36">D1_Tr1!$AO$11</definedName>
    <definedName name="P_1F" localSheetId="38">D1_Last8!$AO$12</definedName>
    <definedName name="P_1F" localSheetId="37">D1_Top8!$AO$12</definedName>
    <definedName name="P_1F" localSheetId="36">D1_Tr1!$AO$12</definedName>
    <definedName name="P_1G" localSheetId="38">D1_Last8!$AO$13</definedName>
    <definedName name="P_1G" localSheetId="37">D1_Top8!$AO$13</definedName>
    <definedName name="P_1G" localSheetId="36">D1_Tr1!$AO$13</definedName>
    <definedName name="P_1H" localSheetId="38">D1_Last8!$AO$14</definedName>
    <definedName name="P_1H" localSheetId="37">D1_Top8!$AO$14</definedName>
    <definedName name="P_1H" localSheetId="36">D1_Tr1!$AO$14</definedName>
    <definedName name="P_2A" localSheetId="36">D1_Tr1!$AO$39</definedName>
    <definedName name="P_2B" localSheetId="36">D1_Tr1!$AO$40</definedName>
    <definedName name="P_2C" localSheetId="36">D1_Tr1!$AO$41</definedName>
    <definedName name="P_2D" localSheetId="36">D1_Tr1!$AO$42</definedName>
    <definedName name="P_2E" localSheetId="36">D1_Tr1!$AO$43</definedName>
    <definedName name="P_2F" localSheetId="36">D1_Tr1!$AO$44</definedName>
    <definedName name="P_2G" localSheetId="36">D1_Tr1!$AO$45</definedName>
    <definedName name="P_2H" localSheetId="36">D1_Tr1!$AO$46</definedName>
    <definedName name="Particular_Category" localSheetId="38">D1_Last8!$D$1</definedName>
    <definedName name="Particular_Category" localSheetId="37">D1_Top8!$D$1</definedName>
    <definedName name="Particular_Category" localSheetId="36">D1_Tr1!$D$1</definedName>
    <definedName name="Particular_Category" localSheetId="23">'Dble FDL'!$Y$2</definedName>
    <definedName name="Particular_Category" localSheetId="19">'Dble Groups'!$D$1</definedName>
    <definedName name="Particular_Category" localSheetId="21">'Ind FDL'!$G$2</definedName>
    <definedName name="Particular_Category" localSheetId="18">'Ind Groups'!$D$1</definedName>
    <definedName name="Particular_Category" localSheetId="22">'Team FDL'!$Y$2</definedName>
    <definedName name="Particular_Category" localSheetId="20">'Team Groups'!$D$1</definedName>
    <definedName name="PL_Check">Planning!$AB$3:$AB$134</definedName>
    <definedName name="PL_Diff1">Planning!$R$3:$R$134</definedName>
    <definedName name="PL_Diff2">Planning!$T$3:$T$134</definedName>
    <definedName name="PL_Draws1">Planning!$AI$3:$AI$134</definedName>
    <definedName name="PL_Draws2">Planning!$AJ$3:$AJ$134</definedName>
    <definedName name="PL_Goals1">Planning!$M$3:$M$134</definedName>
    <definedName name="PL_Goals2">Planning!$O$3:$O$134</definedName>
    <definedName name="PL_Hours">Planning!$A$3:$A$134</definedName>
    <definedName name="PL_Losers">Planning!$AK$3:$AK$134</definedName>
    <definedName name="PL_Player1">Planning!$L$3:$L$134</definedName>
    <definedName name="PL_Player2">Planning!$P$3:$P$134</definedName>
    <definedName name="PL_Referees">Planning!$AA$3:$AA$134</definedName>
    <definedName name="PL_SessionTable">Planning!$E$3:$E$134</definedName>
    <definedName name="PL_Stage">Planning!$C$3:$C$134</definedName>
    <definedName name="PL_Winners">Planning!$AH$3:$AH$134</definedName>
    <definedName name="Planning_complet" localSheetId="29">Planning!$A$1:$AD$134</definedName>
    <definedName name="Planning_complet" localSheetId="15">PlanningModel!$A$1:$AD$73</definedName>
    <definedName name="Planning_Dble_Elim_Match">PlanningModel!$63:$66</definedName>
    <definedName name="Planning_Dble_Group_Match">PlanningModel!$59:$61</definedName>
    <definedName name="Planning_Dble_Tab_Match">PlanningModel!$68:$71</definedName>
    <definedName name="Planning_Ind_Elim_Match">PlanningModel!$23:$23</definedName>
    <definedName name="Planning_Ind_Elim_Match_SR">PlanningModel!$31:$31</definedName>
    <definedName name="Planning_Ind_Group_Match">PlanningModel!$21:$21</definedName>
    <definedName name="Planning_Ind_Group_Match_SR">PlanningModel!$27:$27</definedName>
    <definedName name="Planning_Ind_Tab_Match">PlanningModel!$25:$25</definedName>
    <definedName name="Planning_Ind_Tab_Match_SR">PlanningModel!$29:$29</definedName>
    <definedName name="Planning_Match_Lines_Templates" localSheetId="15">PlanningModel!$21:$72</definedName>
    <definedName name="Planning_Team_Elim_Match">PlanningModel!$41:$48</definedName>
    <definedName name="Planning_Team_Group_Match">PlanningModel!$33:$39</definedName>
    <definedName name="Planning_Team_Tab_Match">PlanningModel!$50:$57</definedName>
    <definedName name="PlayerChoice" localSheetId="38">#N/A</definedName>
    <definedName name="PlayerChoice" localSheetId="37">#N/A</definedName>
    <definedName name="PlayerChoice" localSheetId="36">#N/A</definedName>
    <definedName name="PlayerChoice" localSheetId="18">OFFSET(List_headers,1,MATCH('Team Groups'!Particular_Category,List_headers,0)-1,OFFSET(List_headers,-1,MATCH('Team Groups'!Particular_Category,List_headers,0)-1,1,1)+1,1)</definedName>
    <definedName name="PlayerNamesWithinGroups" localSheetId="38">D1_Last8!$G$3:$G$14</definedName>
    <definedName name="PlayerNamesWithinGroups" localSheetId="37">D1_Top8!$G$3:$G$14</definedName>
    <definedName name="PlayerNamesWithinGroups" localSheetId="36">D1_Tr1!$G$3:$G$46</definedName>
    <definedName name="PlayerNamesWithinGroups" localSheetId="19">'Dble Groups'!$G$3:$G$172</definedName>
    <definedName name="PlayerNamesWithinGroups" localSheetId="18">'Ind Groups'!$G$3:$G$187</definedName>
    <definedName name="PlayerNamesWithinGroups" localSheetId="20">'Team Groups'!$G$3:$G$702</definedName>
    <definedName name="PlayerNamesWithinGroups_CDF" localSheetId="38">D1_Last8!$BZ$7</definedName>
    <definedName name="PlayerNamesWithinGroups_CDF" localSheetId="37">D1_Top8!$BZ$7</definedName>
    <definedName name="PlayerNamesWithinGroups_CDF" localSheetId="36">D1_Tr1!$BZ$7</definedName>
    <definedName name="PlayerNamesWithinRanking" localSheetId="38">D1_Last8!$AO$3:$AO$14</definedName>
    <definedName name="PlayerNamesWithinRanking" localSheetId="37">D1_Top8!$AO$3:$AO$14</definedName>
    <definedName name="PlayerNamesWithinRanking" localSheetId="36">D1_Tr1!$AO$3:$AO$46</definedName>
    <definedName name="PlayerNamesWithinRanking_CDF" localSheetId="38">D1_Last8!$CA$7</definedName>
    <definedName name="PlayerNamesWithinRanking_CDF" localSheetId="37">D1_Top8!$CA$7</definedName>
    <definedName name="PlayerNamesWithinRanking_CDF" localSheetId="36">D1_Tr1!$CA$7</definedName>
    <definedName name="PlayersAndHoursCol1" localSheetId="16">ExportScorerTableModel!$V$31:$V$31</definedName>
    <definedName name="PlayersAndHoursCol1" localSheetId="29">Planning!$V$3:$V$134</definedName>
    <definedName name="PlayersAndHoursCol1" localSheetId="15">PlanningModel!$V$3:$V$73</definedName>
    <definedName name="PlayersAndHoursCol2" localSheetId="16">ExportScorerTableModel!$W$31:$W$31</definedName>
    <definedName name="PlayersAndHoursCol2" localSheetId="29">Planning!$W$3:$W$134</definedName>
    <definedName name="PlayersAndHoursCol2" localSheetId="15">PlanningModel!$W$3:$W$73</definedName>
    <definedName name="PlayersDatabase" localSheetId="9">IF(RankingAsLicencesList,OFFSET(FullPlayersRankingList,0,1),FullLicencedPlayerList)</definedName>
    <definedName name="PlayersList" localSheetId="9">IF(RankingAsLicencesList,OFFSET(FullPlayersRankingList,0,1,NbRankedPlayers,1),OFFSET(Liste_licenciés_noms_prénoms,0,0,NbLicences,1))</definedName>
    <definedName name="Points_Null">Parameters!$C$7</definedName>
    <definedName name="Points_Victoire">Parameters!$C$6</definedName>
    <definedName name="PrintStats">Parameters!$C$72</definedName>
    <definedName name="PrintVenue">Parameters!$C$71</definedName>
    <definedName name="Protection_Feuilles">Parameters!$C$77</definedName>
    <definedName name="RankingAsLicencesList">Parameters!$C$85</definedName>
    <definedName name="RankingCategories">CheckIn!$AC$5:$AP$5</definedName>
    <definedName name="RankingData">Ranking!$D$7:$J$2255</definedName>
    <definedName name="RankingDataTeams">RankingTeams!$D$7:$H$287</definedName>
    <definedName name="RankingTables" localSheetId="38">D1_Last8!$AN$3:$AW$14</definedName>
    <definedName name="RankingTables" localSheetId="37">D1_Top8!$AN$3:$AW$14</definedName>
    <definedName name="RankingTables" localSheetId="36">D1_Tr1!$AN$3:$AW$46</definedName>
    <definedName name="RankingTables_CDF" localSheetId="38">D1_Last8!$CB$7</definedName>
    <definedName name="RankingTables_CDF" localSheetId="37">D1_Top8!$CB$7</definedName>
    <definedName name="RankingTables_CDF" localSheetId="36">D1_Tr1!$CB$7</definedName>
    <definedName name="RefereeDisqualifiedEvent">Parameters!$E$58:$E$66</definedName>
    <definedName name="RefereeFISTFCategories">Parameters!$J$15:$J$19</definedName>
    <definedName name="RefereeList_NameFirstname">Refereeing!$B$7:$B$638</definedName>
    <definedName name="RefereeList_Visible">Refereeing!$B$7:$I$638</definedName>
    <definedName name="RefereesCategories">Parameters!$J$21:$J$34</definedName>
    <definedName name="RefereesHours">Planning!$AD$3:$AD$134</definedName>
    <definedName name="RegistrationsExportToWebSite">Parameters!$J$114:$J$132</definedName>
    <definedName name="RegistrationsTheme">Parameters!$I$133</definedName>
    <definedName name="RegistrationsWebSiteRootDirName">Parameters!$I$131</definedName>
    <definedName name="RegistrationsWebSiteRootPath">Parameters!$I$130</definedName>
    <definedName name="ReleaseHistory">'Release-TODO'!$B$56:$C$70</definedName>
    <definedName name="Results_Group_EvenLine">ExportResultsModel!$I$6:$Q$6</definedName>
    <definedName name="Results_Group_EvenLine_Team">ExportResultsModel!$I$12:$U$12</definedName>
    <definedName name="Results_Group_FirstLine">ExportResultsModel!$I$5:$Q$5</definedName>
    <definedName name="Results_Group_FirstLine_Team">ExportResultsModel!$I$11:$U$11</definedName>
    <definedName name="Results_Group_Header">ExportResultsModel!$I$4:$Q$4</definedName>
    <definedName name="Results_Group_Header_Team">ExportResultsModel!$I$10:$U$10</definedName>
    <definedName name="Results_Group_LastLine">ExportResultsModel!$I$8:$Q$8</definedName>
    <definedName name="Results_Group_LastLine_Team">ExportResultsModel!$I$15:$U$15</definedName>
    <definedName name="Results_Group_OddLine">ExportResultsModel!$I$7:$Q$7</definedName>
    <definedName name="Results_Group_OddLine_Team">ExportResultsModel!$I$13:$U$13</definedName>
    <definedName name="Results_Match_Even">ExportResultsModel!$A$5:$G$5</definedName>
    <definedName name="Results_Match_First">ExportResultsModel!$A$4:$G$4</definedName>
    <definedName name="Results_Match_Odd">ExportResultsModel!$A$6:$G$6</definedName>
    <definedName name="Results_Match_Team_Even">ExportResultsModel!$A$17:$G$17</definedName>
    <definedName name="Results_Match_Team_First">ExportResultsModel!$A$9:$G$9</definedName>
    <definedName name="Results_Match_Team_Odd">ExportResultsModel!$A$23:$G$23</definedName>
    <definedName name="Results_Match_TeamLastMatch">ExportResultsModel!$A$13:$G$13</definedName>
    <definedName name="Results_Match_TeamMatch">ExportResultsModel!$A$10:$G$10</definedName>
    <definedName name="Results_Match_TeamShouts">ExportResultsModel!$A$14:$G$14</definedName>
    <definedName name="Results_Match_TeamSubstitute">ExportResultsModel!$A$15:$G$15</definedName>
    <definedName name="Results_Match_TeamSubstituteEnd">ExportResultsModel!$A$16:$G$16</definedName>
    <definedName name="Results_Session_Header">ExportResultsModel!$A$3:$G$3</definedName>
    <definedName name="RibbonPtr">Parameters!$D$109</definedName>
    <definedName name="RibbonTabsMsoVisible">Parameters!$D$110</definedName>
    <definedName name="Scoresheet_Dble_Copyright">Scoresheet_Models!$M$75</definedName>
    <definedName name="Scoresheet_Dble_GD1">Scoresheet_Models!$G$69</definedName>
    <definedName name="Scoresheet_Dble_GD2">Scoresheet_Models!$I$69</definedName>
    <definedName name="Scoresheet_Dble_Referee">Scoresheet_Models!$B$70</definedName>
    <definedName name="Scoresheet_Dble_Referee_M1">Scoresheet_Models!$B$71</definedName>
    <definedName name="Scoresheet_Dble_Referee_M2">Scoresheet_Models!$B$72</definedName>
    <definedName name="Scoresheet_Dble_SD">Scoresheet_Models!$M$67</definedName>
    <definedName name="Scoresheet_Dble_SD_M1">Scoresheet_Models!$M$71</definedName>
    <definedName name="Scoresheet_Dble_SD_M2">Scoresheet_Models!$M$72</definedName>
    <definedName name="Scoresheet_Dble_SessionNb">Scoresheet_Models!$B$65</definedName>
    <definedName name="Scoresheet_Dble_StageName">Scoresheet_Models!$C$65</definedName>
    <definedName name="Scoresheet_Dble_Table">Scoresheet_Models!$C$67</definedName>
    <definedName name="Scoresheet_Dble_Team1">Scoresheet_Models!$E$67</definedName>
    <definedName name="Scoresheet_Dble_Team1_DIFF">Scoresheet_Models!$E$73</definedName>
    <definedName name="Scoresheet_Dble_Team1_DIFF_Goals">Scoresheet_Models!$G$73</definedName>
    <definedName name="Scoresheet_Dble_Team1_PL1">Scoresheet_Models!$E$71</definedName>
    <definedName name="Scoresheet_Dble_Team1_PL2">Scoresheet_Models!$E$72</definedName>
    <definedName name="Scoresheet_Dble_Team1_S1">Scoresheet_Models!$E$74</definedName>
    <definedName name="Scoresheet_Dble_Team2">Scoresheet_Models!$K$67</definedName>
    <definedName name="Scoresheet_Dble_Team2_DIFF">Scoresheet_Models!$K$73</definedName>
    <definedName name="Scoresheet_Dble_Team2_DIFF_Goals">Scoresheet_Models!$I$73</definedName>
    <definedName name="Scoresheet_Dble_Team2_PL1">Scoresheet_Models!$K$71</definedName>
    <definedName name="Scoresheet_Dble_Team2_PL2">Scoresheet_Models!$K$72</definedName>
    <definedName name="Scoresheet_Dble_Team2_S1">Scoresheet_Models!$K$74</definedName>
    <definedName name="Scoresheet_Dble_Time">Scoresheet_Models!$B$67</definedName>
    <definedName name="Scoresheet_Dble_TournamentName">Scoresheet_Models!$C$64</definedName>
    <definedName name="Scoresheet_DbleScoresheet">Scoresheet_Models!$63:$75</definedName>
    <definedName name="Scoresheet_Ind_Copyright">Scoresheet_Models!$B$14</definedName>
    <definedName name="Scoresheet_Ind_GD1">Scoresheet_Models!$G$9</definedName>
    <definedName name="Scoresheet_Ind_GD2">Scoresheet_Models!$I$9</definedName>
    <definedName name="Scoresheet_Ind_Player1">Scoresheet_Models!$E$7</definedName>
    <definedName name="Scoresheet_Ind_Player2">Scoresheet_Models!$K$7</definedName>
    <definedName name="Scoresheet_Ind_Referee">Scoresheet_Models!$G$11</definedName>
    <definedName name="Scoresheet_Ind_SD">Scoresheet_Models!$M$7</definedName>
    <definedName name="Scoresheet_Ind_SessionNb">Scoresheet_Models!$A$5</definedName>
    <definedName name="Scoresheet_Ind_StageName">Scoresheet_Models!$D$5</definedName>
    <definedName name="Scoresheet_Ind_Table">Scoresheet_Models!$M$5</definedName>
    <definedName name="Scoresheet_Ind_Time">Scoresheet_Models!$C$5</definedName>
    <definedName name="Scoresheet_Ind_TournamentName">Scoresheet_Models!$D$4</definedName>
    <definedName name="Scoresheet_IndScoresheet">Scoresheet_Models!$4:$15</definedName>
    <definedName name="Scoresheet_Team_Copyright">Scoresheet_Models!$M$61</definedName>
    <definedName name="Scoresheet_Team_GD1">Scoresheet_Models!$G$25</definedName>
    <definedName name="Scoresheet_Team_GD2">Scoresheet_Models!$I$25</definedName>
    <definedName name="Scoresheet_Team_Referee">Scoresheet_Models!$F$27</definedName>
    <definedName name="Scoresheet_Team_Referee_M1">Scoresheet_Models!$B$30</definedName>
    <definedName name="Scoresheet_Team_Referee_M2">Scoresheet_Models!$B$32</definedName>
    <definedName name="Scoresheet_Team_Referee_M3">Scoresheet_Models!$B$34</definedName>
    <definedName name="Scoresheet_Team_Referee_M4">Scoresheet_Models!$B$36</definedName>
    <definedName name="Scoresheet_Team_SD">Scoresheet_Models!$M$21</definedName>
    <definedName name="Scoresheet_Team_SD_M1">Scoresheet_Models!$M$30</definedName>
    <definedName name="Scoresheet_Team_SD_M2">Scoresheet_Models!$M$32</definedName>
    <definedName name="Scoresheet_Team_SD_M3">Scoresheet_Models!$M$34</definedName>
    <definedName name="Scoresheet_Team_SD_M4">Scoresheet_Models!$M$36</definedName>
    <definedName name="Scoresheet_Team_SessionNb">Scoresheet_Models!$A$19</definedName>
    <definedName name="Scoresheet_Team_StageName">Scoresheet_Models!$D$19</definedName>
    <definedName name="Scoresheet_Team_Table">Scoresheet_Models!$M$19</definedName>
    <definedName name="Scoresheet_Team_Team1">Scoresheet_Models!$E$21</definedName>
    <definedName name="Scoresheet_Team_Team1_DIFF">Scoresheet_Models!$E$38</definedName>
    <definedName name="Scoresheet_Team_Team1_DIFF_Goals">Scoresheet_Models!$G$38</definedName>
    <definedName name="Scoresheet_Team_Team1_PL1">Scoresheet_Models!$E$30</definedName>
    <definedName name="Scoresheet_Team_Team1_PL2">Scoresheet_Models!$E$32</definedName>
    <definedName name="Scoresheet_Team_Team1_PL3">Scoresheet_Models!$E$34</definedName>
    <definedName name="Scoresheet_Team_Team1_PL4">Scoresheet_Models!$E$36</definedName>
    <definedName name="Scoresheet_Team_Team1_Player1">Scoresheet_Models!$E$48</definedName>
    <definedName name="Scoresheet_Team_Team1_Player10">Scoresheet_Models!$E$57</definedName>
    <definedName name="Scoresheet_Team_Team1_Player2">Scoresheet_Models!$E$49</definedName>
    <definedName name="Scoresheet_Team_Team1_Player3">Scoresheet_Models!$E$50</definedName>
    <definedName name="Scoresheet_Team_Team1_Player4">Scoresheet_Models!$E$51</definedName>
    <definedName name="Scoresheet_Team_Team1_Player5">Scoresheet_Models!$E$52</definedName>
    <definedName name="Scoresheet_Team_Team1_Player6">Scoresheet_Models!$E$53</definedName>
    <definedName name="Scoresheet_Team_Team1_Player7">Scoresheet_Models!$E$54</definedName>
    <definedName name="Scoresheet_Team_Team1_Player8">Scoresheet_Models!$E$55</definedName>
    <definedName name="Scoresheet_Team_Team1_Player9">Scoresheet_Models!$E$56</definedName>
    <definedName name="Scoresheet_Team_Team1_S1">Scoresheet_Models!$E$41</definedName>
    <definedName name="Scoresheet_Team_Team1_S2">Scoresheet_Models!$E$43</definedName>
    <definedName name="Scoresheet_Team_Team2">Scoresheet_Models!$K$21</definedName>
    <definedName name="Scoresheet_Team_Team2_DIFF">Scoresheet_Models!$K$38</definedName>
    <definedName name="Scoresheet_Team_Team2_DIFF_Goals">Scoresheet_Models!$I$38</definedName>
    <definedName name="Scoresheet_Team_Team2_PL1">Scoresheet_Models!$K$30</definedName>
    <definedName name="Scoresheet_Team_Team2_PL2">Scoresheet_Models!$K$32</definedName>
    <definedName name="Scoresheet_Team_Team2_PL3">Scoresheet_Models!$K$34</definedName>
    <definedName name="Scoresheet_Team_Team2_PL4">Scoresheet_Models!$K$36</definedName>
    <definedName name="Scoresheet_Team_Team2_Player1">Scoresheet_Models!$K$48</definedName>
    <definedName name="Scoresheet_Team_Team2_Player10">Scoresheet_Models!$K$57</definedName>
    <definedName name="Scoresheet_Team_Team2_Player2">Scoresheet_Models!$K$49</definedName>
    <definedName name="Scoresheet_Team_Team2_Player3">Scoresheet_Models!$K$50</definedName>
    <definedName name="Scoresheet_Team_Team2_Player4">Scoresheet_Models!$K$51</definedName>
    <definedName name="Scoresheet_Team_Team2_Player5">Scoresheet_Models!$K$52</definedName>
    <definedName name="Scoresheet_Team_Team2_Player6">Scoresheet_Models!$K$53</definedName>
    <definedName name="Scoresheet_Team_Team2_Player7">Scoresheet_Models!$K$54</definedName>
    <definedName name="Scoresheet_Team_Team2_Player8">Scoresheet_Models!$K$55</definedName>
    <definedName name="Scoresheet_Team_Team2_Player9">Scoresheet_Models!$K$56</definedName>
    <definedName name="Scoresheet_Team_Team2_S1">Scoresheet_Models!$K$41</definedName>
    <definedName name="Scoresheet_Team_Team2_S2">Scoresheet_Models!$K$43</definedName>
    <definedName name="Scoresheet_Team_Time">Scoresheet_Models!$C$19</definedName>
    <definedName name="Scoresheet_Team_TournamentName">Scoresheet_Models!$D$18</definedName>
    <definedName name="Scoresheet_TeamScoresheet">Scoresheet_Models!$17:$61</definedName>
    <definedName name="Session_1" localSheetId="29">Planning!$4:$4</definedName>
    <definedName name="Session_1" localSheetId="15">PlanningModel!$4:$4</definedName>
    <definedName name="Session_Number" localSheetId="33">Venue!$DB$1</definedName>
    <definedName name="Sessions_Hours">Refereeing!$J$6:$AD$6</definedName>
    <definedName name="Sessions_Hours_Teams">Teams!$V$3:$AP$3</definedName>
    <definedName name="Sheet_Type" localSheetId="38">D1_Last8!$C$2</definedName>
    <definedName name="Sheet_Type" localSheetId="37">D1_Top8!$C$2</definedName>
    <definedName name="Sheet_Type" localSheetId="36">D1_Tr1!$C$2</definedName>
    <definedName name="Sheet_Type" localSheetId="19">'Dble Groups'!$C$2</definedName>
    <definedName name="Sheet_Type" localSheetId="18">'Ind Groups'!$C$2</definedName>
    <definedName name="Sheet_Type" localSheetId="20">'Team Groups'!$C$2</definedName>
    <definedName name="StartPrinting">FALSE</definedName>
    <definedName name="StatList_NameFirstname">Stats!$B$5:$B$276</definedName>
    <definedName name="StatList_Visible">Stats!$B$5:$K$276</definedName>
    <definedName name="Substitute_Codes">Parameters!$I$42:$I$45</definedName>
    <definedName name="Table_1" localSheetId="33">Venue!$U$10:$Y$11</definedName>
    <definedName name="Table_10" localSheetId="33">Venue!$AT$22:$AX$23</definedName>
    <definedName name="Table_11" localSheetId="33">Venue!$AL$22:$AP$23</definedName>
    <definedName name="Table_12" localSheetId="33">Venue!$AL$27:$AP$28</definedName>
    <definedName name="Table_13" localSheetId="33">Venue!$AC$27:$AG$28</definedName>
    <definedName name="Table_14" localSheetId="33">Venue!$AC$22:$AG$23</definedName>
    <definedName name="Table_15" localSheetId="33">Venue!$U$22:$Y$23</definedName>
    <definedName name="Table_16" localSheetId="33">Venue!$U$27:$Y$28</definedName>
    <definedName name="Table_17" localSheetId="33">Venue!$L$27:$P$28</definedName>
    <definedName name="Table_18" localSheetId="33">Venue!$L$22:$P$23</definedName>
    <definedName name="Table_19" localSheetId="33">Venue!$D$22:$H$23</definedName>
    <definedName name="Table_2" localSheetId="33">Venue!$U$15:$Y$16</definedName>
    <definedName name="Table_20" localSheetId="33">Venue!$D$27:$H$28</definedName>
    <definedName name="Table_21" localSheetId="33">Venue!$D$10:$H$11</definedName>
    <definedName name="Table_22" localSheetId="33">Venue!$D$15:$H$16</definedName>
    <definedName name="Table_23" localSheetId="33">Venue!$L$15:$P$16</definedName>
    <definedName name="Table_24" localSheetId="33">Venue!$L$10:$P$11</definedName>
    <definedName name="Table_25" localSheetId="33">Venue!$BC$22:$BG$23</definedName>
    <definedName name="Table_26" localSheetId="33">Venue!$BK$22:$BO$23</definedName>
    <definedName name="Table_27" localSheetId="33">Venue!$BK$27:$BO$28</definedName>
    <definedName name="Table_28" localSheetId="33">Venue!$BC$27:$BG$28</definedName>
    <definedName name="Table_29" localSheetId="33">Venue!$BC$10:$BG$11</definedName>
    <definedName name="Table_3" localSheetId="33">Venue!$AC$15:$AG$16</definedName>
    <definedName name="Table_30" localSheetId="33">Venue!$BK$10:$BO$11</definedName>
    <definedName name="Table_31" localSheetId="33">Venue!$BK$15:$BO$16</definedName>
    <definedName name="Table_32" localSheetId="33">Venue!$BC$15:$BG$16</definedName>
    <definedName name="Table_33" localSheetId="33">Venue!$BC$34:$BG$35</definedName>
    <definedName name="Table_34" localSheetId="33">Venue!$BK$34:$BO$35</definedName>
    <definedName name="Table_35" localSheetId="33">Venue!$BK$39:$BO$40</definedName>
    <definedName name="Table_36" localSheetId="33">Venue!$BC$39:$BG$40</definedName>
    <definedName name="Table_37" localSheetId="33">Venue!$AT$39:$AX$40</definedName>
    <definedName name="Table_38" localSheetId="33">Venue!$AT$34:$AX$35</definedName>
    <definedName name="Table_39" localSheetId="33">Venue!$AL$34:$AP$35</definedName>
    <definedName name="Table_4" localSheetId="33">Venue!$AC$10:$AG$11</definedName>
    <definedName name="Table_40" localSheetId="33">Venue!$AL$39:$AP$40</definedName>
    <definedName name="Table_41" localSheetId="33">Venue!$AC$39:$AG$40</definedName>
    <definedName name="Table_42" localSheetId="33">Venue!$AC$34:$AG$35</definedName>
    <definedName name="Table_43" localSheetId="33">Venue!$U$34:$Y$35</definedName>
    <definedName name="Table_44" localSheetId="33">Venue!$U$39:$Y$40</definedName>
    <definedName name="Table_45" localSheetId="33">Venue!$L$39:$P$40</definedName>
    <definedName name="Table_46" localSheetId="33">Venue!$L$34:$P$35</definedName>
    <definedName name="Table_47" localSheetId="33">Venue!$D$34:$H$35</definedName>
    <definedName name="Table_48" localSheetId="33">Venue!$D$39:$H$40</definedName>
    <definedName name="Table_5" localSheetId="33">Venue!$AL$10:$AP$11</definedName>
    <definedName name="Table_6" localSheetId="33">Venue!$AL$15:$AP$16</definedName>
    <definedName name="Table_7" localSheetId="33">Venue!$AT$15:$AX$16</definedName>
    <definedName name="Table_8" localSheetId="33">Venue!$AT$10:$AX$11</definedName>
    <definedName name="Table_9" localSheetId="33">Venue!$AT$27:$AX$28</definedName>
    <definedName name="TableDisplay" localSheetId="33">Venue!$DA$1</definedName>
    <definedName name="Team_Elim_Type_Last16">'Team FDL'!$36:$133</definedName>
    <definedName name="Team_Elim_Type_Last2">'Team FDL'!$224:$237</definedName>
    <definedName name="Team_Elim_Type_Last4">'Team FDL'!$184:$209</definedName>
    <definedName name="Team_Elim_Type_Last8">'Team FDL'!$134:$183</definedName>
    <definedName name="Team_Elim_Type_PlayOff_Head">'Team FDL'!$4:$4</definedName>
    <definedName name="Team_Elim_Type_PlayOff_PreQualified_Footer">'Team FDL'!$35:$35</definedName>
    <definedName name="Team_Elim_Type_PlayOff_PreQualified_Head">'Team FDL'!$30:$30</definedName>
    <definedName name="Team_Elim_Type_PlayOff_PreQualified_Line">'Team FDL'!$31:$31</definedName>
    <definedName name="Team_Elim_Type_PlayOffMatch_Head">'Team FDL'!$5:$5</definedName>
    <definedName name="Team_Elim_Type_PlayOffMatch_Line">'Team FDL'!$6:$17</definedName>
    <definedName name="Team_Elim_Type_Third">'Team FDL'!$210:$223</definedName>
    <definedName name="Team_Group_Type_3" localSheetId="20">'Team Groups'!$4:$32</definedName>
    <definedName name="Team_Group_Type_3FS" localSheetId="20">'Team Groups'!$34:$83</definedName>
    <definedName name="Team_Group_Type_4" localSheetId="20">'Team Groups'!$85:$135</definedName>
    <definedName name="Team_Group_Type_5" localSheetId="20">'Team Groups'!$137:$216</definedName>
    <definedName name="Team_Group_Type_6" localSheetId="20">'Team Groups'!$218:$333</definedName>
    <definedName name="Team_Group_Type_7" localSheetId="20">'Team Groups'!$335:$493</definedName>
    <definedName name="Team_Group_Type_8" localSheetId="20">'Team Groups'!$495:$703</definedName>
    <definedName name="Team_List">Teams!$E$4:$E$67</definedName>
    <definedName name="TimelineList_NameFirstname">Timeline!$B$5:$B$337</definedName>
    <definedName name="TimelineList_Visible">Timeline!$B$5:$P$337</definedName>
    <definedName name="Tournament_Date">Home!$B$8</definedName>
    <definedName name="Tournament_Title" localSheetId="28">ExportResultsModel!$B$1</definedName>
    <definedName name="Tournament_Title">Home!$B$5</definedName>
    <definedName name="TypeOfSheet" localSheetId="38">"Event"</definedName>
    <definedName name="TypeOfSheet" localSheetId="37">"Event"</definedName>
    <definedName name="TypeOfSheet" localSheetId="36">"Event"</definedName>
    <definedName name="TypeOfSheet" localSheetId="26">"EventElim"</definedName>
    <definedName name="TypeOfSheet" localSheetId="23">"EventFDL"</definedName>
    <definedName name="TypeOfSheet" localSheetId="19">"Event"</definedName>
    <definedName name="TypeOfSheet" localSheetId="27">"Draw"</definedName>
    <definedName name="TypeOfSheet" localSheetId="24">"EventElim"</definedName>
    <definedName name="TypeOfSheet" localSheetId="21">"EventFDL"</definedName>
    <definedName name="TypeOfSheet" localSheetId="18">"Event"</definedName>
    <definedName name="TypeOfSheet" localSheetId="25">"EventElim"</definedName>
    <definedName name="TypeOfSheet" localSheetId="22">"EventFDL"</definedName>
    <definedName name="TypeOfSheet" localSheetId="20">"Event"</definedName>
    <definedName name="UnofficialMatchOrganisationList">CompetitionFormulas!$B$6:$O$1825</definedName>
    <definedName name="UseExclusionCriteria">Parameters!$K$20</definedName>
    <definedName name="Version_Outil">Parameters!$J$2</definedName>
    <definedName name="VerticalLanguageList">Parameters!$D$92:$D$107</definedName>
    <definedName name="WebEventDescription">Parameters!$I$95</definedName>
    <definedName name="WebEventTitle">Parameters!$I$93</definedName>
    <definedName name="WebNavBarTitle">Parameters!$I$91</definedName>
    <definedName name="WebSiteRootDirName">Parameters!$I$87</definedName>
    <definedName name="WebSiteRootPath">Parameters!$I$86</definedName>
    <definedName name="WithdrawLabel">Parameters!$C$83</definedName>
    <definedName name="Z_13F24B0A_7740_483A_BEF7_5257F8522605_.wvu.Cols" localSheetId="38" hidden="1">D1_Last8!$C:$F,D1_Last8!$J:$Q,D1_Last8!$S:$U,D1_Last8!$AE:$AK,D1_Last8!$AX:$CB</definedName>
    <definedName name="Z_13F24B0A_7740_483A_BEF7_5257F8522605_.wvu.Cols" localSheetId="37" hidden="1">D1_Top8!$C:$F,D1_Top8!$J:$Q,D1_Top8!$S:$U,D1_Top8!$AE:$AK,D1_Top8!$AX:$CB</definedName>
    <definedName name="Z_13F24B0A_7740_483A_BEF7_5257F8522605_.wvu.Cols" localSheetId="36" hidden="1">D1_Tr1!$C:$F,D1_Tr1!$J:$Q,D1_Tr1!$S:$U,D1_Tr1!$AE:$AK,D1_Tr1!$AX:$CB</definedName>
    <definedName name="Z_13F24B0A_7740_483A_BEF7_5257F8522605_.wvu.Cols" localSheetId="26" hidden="1">'Dble by Sel. Match'!$H:$J,'Dble by Sel. Match'!$X:$Z,'Dble by Sel. Match'!$AN:$AP,'Dble by Sel. Match'!$BD:$BF</definedName>
    <definedName name="Z_13F24B0A_7740_483A_BEF7_5257F8522605_.wvu.Cols" localSheetId="23" hidden="1">'Dble FDL'!$V:$X,'Dble FDL'!$AE:$AL</definedName>
    <definedName name="Z_13F24B0A_7740_483A_BEF7_5257F8522605_.wvu.Cols" localSheetId="19" hidden="1">'Dble Groups'!$C:$F,'Dble Groups'!$H:$S,'Dble Groups'!$V:$X,'Dble Groups'!$BC:$BT</definedName>
    <definedName name="Z_13F24B0A_7740_483A_BEF7_5257F8522605_.wvu.Cols" localSheetId="11" hidden="1">Doubles!$M:$M</definedName>
    <definedName name="Z_13F24B0A_7740_483A_BEF7_5257F8522605_.wvu.Cols" localSheetId="27" hidden="1">DrawModel!$AK:$AO</definedName>
    <definedName name="Z_13F24B0A_7740_483A_BEF7_5257F8522605_.wvu.Cols" localSheetId="17" hidden="1">ExportPlanningModel!$D:$F</definedName>
    <definedName name="Z_13F24B0A_7740_483A_BEF7_5257F8522605_.wvu.Cols" localSheetId="16" hidden="1">ExportScorerTableModel!$B:$B,ExportScorerTableModel!$D:$D,ExportScorerTableModel!$G:$K,ExportScorerTableModel!$N:$N,ExportScorerTableModel!$S:$S,ExportScorerTableModel!$U:$Z</definedName>
    <definedName name="Z_13F24B0A_7740_483A_BEF7_5257F8522605_.wvu.Cols" localSheetId="24" hidden="1">'Ind by Sel. Match'!$C:$E,'Ind by Sel. Match'!$L:$N,'Ind by Sel. Match'!$S:$U,'Ind by Sel. Match'!$Z:$AB,'Ind by Sel. Match'!$AG:$AI,'Ind by Sel. Match'!$AN:$AP</definedName>
    <definedName name="Z_13F24B0A_7740_483A_BEF7_5257F8522605_.wvu.Cols" localSheetId="21" hidden="1">'Ind FDL'!$C:$F,'Ind FDL'!$S:$U,'Ind FDL'!$AE:$AK</definedName>
    <definedName name="Z_13F24B0A_7740_483A_BEF7_5257F8522605_.wvu.Cols" localSheetId="18" hidden="1">'Ind Groups'!$C:$F,'Ind Groups'!$J:$Q,'Ind Groups'!$S:$U,'Ind Groups'!$AE:$AK,'Ind Groups'!$AX:$CB</definedName>
    <definedName name="Z_13F24B0A_7740_483A_BEF7_5257F8522605_.wvu.Cols" localSheetId="29" hidden="1">Planning!$G:$K,Planning!$V:$Z,Planning!$AD:$AK,Planning!$IV:$XFD</definedName>
    <definedName name="Z_13F24B0A_7740_483A_BEF7_5257F8522605_.wvu.Cols" localSheetId="15" hidden="1">PlanningModel!$G:$K,PlanningModel!$V:$Z</definedName>
    <definedName name="Z_13F24B0A_7740_483A_BEF7_5257F8522605_.wvu.Cols" localSheetId="7" hidden="1">Ranking!$B:$B</definedName>
    <definedName name="Z_13F24B0A_7740_483A_BEF7_5257F8522605_.wvu.Cols" localSheetId="8" hidden="1">RankingTeams!$B:$B</definedName>
    <definedName name="Z_13F24B0A_7740_483A_BEF7_5257F8522605_.wvu.Cols" localSheetId="30" hidden="1">Refereeing!$J:$AD</definedName>
    <definedName name="Z_13F24B0A_7740_483A_BEF7_5257F8522605_.wvu.Cols" localSheetId="25" hidden="1">'Team by Sel. Match'!$H:$J,'Team by Sel. Match'!$X:$Z,'Team by Sel. Match'!$AN:$AP,'Team by Sel. Match'!$BD:$BF</definedName>
    <definedName name="Z_13F24B0A_7740_483A_BEF7_5257F8522605_.wvu.Cols" localSheetId="22" hidden="1">'Team FDL'!$V:$X,'Team FDL'!$AE:$AL</definedName>
    <definedName name="Z_13F24B0A_7740_483A_BEF7_5257F8522605_.wvu.Cols" localSheetId="20" hidden="1">'Team Groups'!$C:$F,'Team Groups'!$H:$S,'Team Groups'!$V:$X,'Team Groups'!$AE:$AL,'Team Groups'!$BC:$CG,'Team Groups'!$CJ:$CJ</definedName>
    <definedName name="Z_13F24B0A_7740_483A_BEF7_5257F8522605_.wvu.Cols" localSheetId="33" hidden="1">Venue!$DA:$DB</definedName>
    <definedName name="Z_13F24B0A_7740_483A_BEF7_5257F8522605_.wvu.FilterData" localSheetId="9" hidden="1">CheckIn!$B$5:$AP$62</definedName>
    <definedName name="Z_13F24B0A_7740_483A_BEF7_5257F8522605_.wvu.FilterData" localSheetId="5" hidden="1">Clubs!$B$6:$D$430</definedName>
    <definedName name="Z_13F24B0A_7740_483A_BEF7_5257F8522605_.wvu.FilterData" localSheetId="14" hidden="1">CompetitionFormulas!$A$5:$O$5</definedName>
    <definedName name="Z_13F24B0A_7740_483A_BEF7_5257F8522605_.wvu.FilterData" localSheetId="2" hidden="1">Home!$B$1:$B$2</definedName>
    <definedName name="Z_13F24B0A_7740_483A_BEF7_5257F8522605_.wvu.FilterData" localSheetId="4" hidden="1">Licences!$B$6:$H$4347</definedName>
    <definedName name="Z_13F24B0A_7740_483A_BEF7_5257F8522605_.wvu.FilterData" localSheetId="12" hidden="1">Lists!$B$5:$B$226</definedName>
    <definedName name="Z_13F24B0A_7740_483A_BEF7_5257F8522605_.wvu.FilterData" localSheetId="6" hidden="1">Nationalities!$B$4:$L$4</definedName>
    <definedName name="Z_13F24B0A_7740_483A_BEF7_5257F8522605_.wvu.FilterData" localSheetId="7" hidden="1">Ranking!$C$6:$J$2255</definedName>
    <definedName name="Z_13F24B0A_7740_483A_BEF7_5257F8522605_.wvu.FilterData" localSheetId="8" hidden="1">RankingTeams!$C$6:$H$287</definedName>
    <definedName name="Z_13F24B0A_7740_483A_BEF7_5257F8522605_.wvu.FilterData" localSheetId="30" hidden="1">Refereeing!$B$6:$AD$235</definedName>
    <definedName name="Z_13F24B0A_7740_483A_BEF7_5257F8522605_.wvu.FilterData" localSheetId="32" hidden="1">Stats!$B$4:$K$21</definedName>
    <definedName name="Z_13F24B0A_7740_483A_BEF7_5257F8522605_.wvu.FilterData" localSheetId="10" hidden="1">Teams!$A$3:$U$3</definedName>
    <definedName name="Z_13F24B0A_7740_483A_BEF7_5257F8522605_.wvu.FilterData" localSheetId="31" hidden="1">Timeline!$B$4:$P$21</definedName>
    <definedName name="Z_13F24B0A_7740_483A_BEF7_5257F8522605_.wvu.PrintArea" localSheetId="9" hidden="1">CheckIn!$B$5:$V$62</definedName>
    <definedName name="Z_13F24B0A_7740_483A_BEF7_5257F8522605_.wvu.PrintArea" localSheetId="5" hidden="1">Clubs!$B$2:$D$430</definedName>
    <definedName name="Z_13F24B0A_7740_483A_BEF7_5257F8522605_.wvu.PrintArea" localSheetId="26" hidden="1">'Dble by Sel. Match'!$B$6:$BM$66,'Dble by Sel. Match'!$BN$37:$BQ$52</definedName>
    <definedName name="Z_13F24B0A_7740_483A_BEF7_5257F8522605_.wvu.PrintArea" localSheetId="27" hidden="1">DrawModel!$A$1:$M$27</definedName>
    <definedName name="Z_13F24B0A_7740_483A_BEF7_5257F8522605_.wvu.PrintArea" localSheetId="17" hidden="1">ExportPlanningModel!$B$5:$L$8</definedName>
    <definedName name="Z_13F24B0A_7740_483A_BEF7_5257F8522605_.wvu.PrintArea" localSheetId="16" hidden="1">ExportScorerTableModel!$A$2:$H$30</definedName>
    <definedName name="Z_13F24B0A_7740_483A_BEF7_5257F8522605_.wvu.PrintArea" localSheetId="2" hidden="1">Home!$A$2:$B$30</definedName>
    <definedName name="Z_13F24B0A_7740_483A_BEF7_5257F8522605_.wvu.PrintArea" localSheetId="4" hidden="1">Licences!$B$5:$H$4348</definedName>
    <definedName name="Z_13F24B0A_7740_483A_BEF7_5257F8522605_.wvu.PrintArea" localSheetId="12" hidden="1">Lists!$B$5:$O$500</definedName>
    <definedName name="Z_13F24B0A_7740_483A_BEF7_5257F8522605_.wvu.PrintArea" localSheetId="3" hidden="1">Parameters!$A$2:$L$41</definedName>
    <definedName name="Z_13F24B0A_7740_483A_BEF7_5257F8522605_.wvu.PrintArea" localSheetId="29" hidden="1">Planning!$A$1:$AA$134</definedName>
    <definedName name="Z_13F24B0A_7740_483A_BEF7_5257F8522605_.wvu.PrintArea" localSheetId="15" hidden="1">PlanningModel!$A$1:$AA$73</definedName>
    <definedName name="Z_13F24B0A_7740_483A_BEF7_5257F8522605_.wvu.PrintArea" localSheetId="35" hidden="1">Podium!$A$1:$I$47</definedName>
    <definedName name="Z_13F24B0A_7740_483A_BEF7_5257F8522605_.wvu.PrintArea" localSheetId="7" hidden="1">Ranking!$C$5:$J$2255</definedName>
    <definedName name="Z_13F24B0A_7740_483A_BEF7_5257F8522605_.wvu.PrintArea" localSheetId="8" hidden="1">RankingTeams!$C$5:$H$287</definedName>
    <definedName name="Z_13F24B0A_7740_483A_BEF7_5257F8522605_.wvu.PrintArea" localSheetId="30" hidden="1">Refereeing!$A$1:$AD$223</definedName>
    <definedName name="Z_13F24B0A_7740_483A_BEF7_5257F8522605_.wvu.PrintArea" localSheetId="34" hidden="1">Scoresheet_Models!$A$4:$N$75</definedName>
    <definedName name="Z_13F24B0A_7740_483A_BEF7_5257F8522605_.wvu.PrintArea" localSheetId="32" hidden="1">Stats!$B$2:$K$5</definedName>
    <definedName name="Z_13F24B0A_7740_483A_BEF7_5257F8522605_.wvu.PrintArea" localSheetId="25" hidden="1">'Team by Sel. Match'!$B$6:$BM$128,'Team by Sel. Match'!$BO$38:$BV$60</definedName>
    <definedName name="Z_13F24B0A_7740_483A_BEF7_5257F8522605_.wvu.PrintArea" localSheetId="31" hidden="1">Timeline!$B$2:$P$4</definedName>
    <definedName name="Z_13F24B0A_7740_483A_BEF7_5257F8522605_.wvu.PrintArea" localSheetId="33" hidden="1">Venue!#REF!</definedName>
    <definedName name="Z_13F24B0A_7740_483A_BEF7_5257F8522605_.wvu.PrintTitles" localSheetId="9" hidden="1">CheckIn!$4:$5</definedName>
    <definedName name="Z_13F24B0A_7740_483A_BEF7_5257F8522605_.wvu.PrintTitles" localSheetId="5" hidden="1">Clubs!$2:$5</definedName>
    <definedName name="Z_13F24B0A_7740_483A_BEF7_5257F8522605_.wvu.PrintTitles" localSheetId="17" hidden="1">ExportPlanningModel!$4:$5</definedName>
    <definedName name="Z_13F24B0A_7740_483A_BEF7_5257F8522605_.wvu.PrintTitles" localSheetId="28" hidden="1">ExportResultsModel!$1:$2</definedName>
    <definedName name="Z_13F24B0A_7740_483A_BEF7_5257F8522605_.wvu.PrintTitles" localSheetId="16" hidden="1">ExportScorerTableModel!$2:$2</definedName>
    <definedName name="Z_13F24B0A_7740_483A_BEF7_5257F8522605_.wvu.PrintTitles" localSheetId="12" hidden="1">Lists!$5:$5</definedName>
    <definedName name="Z_13F24B0A_7740_483A_BEF7_5257F8522605_.wvu.PrintTitles" localSheetId="29" hidden="1">Planning!$1:$3</definedName>
    <definedName name="Z_13F24B0A_7740_483A_BEF7_5257F8522605_.wvu.PrintTitles" localSheetId="15" hidden="1">PlanningModel!$1:$3</definedName>
    <definedName name="Z_13F24B0A_7740_483A_BEF7_5257F8522605_.wvu.PrintTitles" localSheetId="7" hidden="1">Ranking!$5:$6</definedName>
    <definedName name="Z_13F24B0A_7740_483A_BEF7_5257F8522605_.wvu.PrintTitles" localSheetId="8" hidden="1">RankingTeams!$5:$6</definedName>
    <definedName name="Z_13F24B0A_7740_483A_BEF7_5257F8522605_.wvu.PrintTitles" localSheetId="30" hidden="1">Refereeing!$6:$6</definedName>
    <definedName name="Z_13F24B0A_7740_483A_BEF7_5257F8522605_.wvu.PrintTitles" localSheetId="32" hidden="1">Stats!$4:$4</definedName>
    <definedName name="Z_13F24B0A_7740_483A_BEF7_5257F8522605_.wvu.PrintTitles" localSheetId="31" hidden="1">Timeline!$4:$4</definedName>
    <definedName name="Z_13F24B0A_7740_483A_BEF7_5257F8522605_.wvu.Rows" localSheetId="9" hidden="1">CheckIn!$2:$3</definedName>
    <definedName name="Z_13F24B0A_7740_483A_BEF7_5257F8522605_.wvu.Rows" localSheetId="38" hidden="1">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1_Last8!#REF!</definedName>
    <definedName name="Z_13F24B0A_7740_483A_BEF7_5257F8522605_.wvu.Rows" localSheetId="37" hidden="1">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1_Top8!#REF!</definedName>
    <definedName name="Z_13F24B0A_7740_483A_BEF7_5257F8522605_.wvu.Rows" localSheetId="36" hidden="1">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1_Tr1!#REF!</definedName>
    <definedName name="Z_13F24B0A_7740_483A_BEF7_5257F8522605_.wvu.Rows" localSheetId="23" hidden="1">'Dble FDL'!$5:$27,'Dble FDL'!$29:$93,'Dble FDL'!$95:$127,'Dble FDL'!$129:$145,'Dble FDL'!$147:$155,'Dble FDL'!$157:$165</definedName>
    <definedName name="Z_13F24B0A_7740_483A_BEF7_5257F8522605_.wvu.Rows" localSheetId="19" hidden="1">'Dble Groups'!#REF!,'Dble Groups'!$10:$19,'Dble Groups'!$28:$46,'Dble Groups'!$56:$74,'Dble Groups'!$85:$115,'Dble Groups'!$127:$172,'Dble Groups'!$174:$174</definedName>
    <definedName name="Z_13F24B0A_7740_483A_BEF7_5257F8522605_.wvu.Rows" localSheetId="21" hidden="1">'Ind FDL'!$5:$40,'Ind FDL'!$42:$171,'Ind FDL'!$173:$238,'Ind FDL'!$240:$273,'Ind FDL'!$275:$292,'Ind FDL'!$294:$303,'Ind FDL'!$305:$310,'Ind FDL'!$312:$315,'Ind FDL'!$317:$319,'Ind FDL'!$321:$323</definedName>
    <definedName name="Z_13F24B0A_7740_483A_BEF7_5257F8522605_.wvu.Rows" localSheetId="18" hidden="1">'Ind Groups'!$18:$20,'Ind Groups'!$30:$31,'Ind Groups'!$41:$48,'Ind Groups'!$59:$63,'Ind Groups'!$74:$88,'Ind Groups'!$100:$108,'Ind Groups'!$120:$128,'Ind Groups'!$141:$154,'Ind Groups'!$168:$187,'Ind Groups'!$203:$207,'Ind Groups'!$209:$213,'Ind Groups'!$215:$219,'Ind Groups'!$221:$225,'Ind Groups'!$227:$231,'Ind Groups'!$233:$237,'Ind Groups'!$239:$243,'Ind Groups'!$245:$249,'Ind Groups'!$251:$255,'Ind Groups'!$271:$276,'Ind Groups'!$278:$283,'Ind Groups'!$285:$290,'Ind Groups'!$292:$297,'Ind Groups'!$299:$304,'Ind Groups'!$306:$311,'Ind Groups'!$313:$318,'Ind Groups'!$320:$325,'Ind Groups'!$327:$332,'Ind Groups'!$349:$354,'Ind Groups'!$356:$361,'Ind Groups'!$363:$368,'Ind Groups'!$370:$375,'Ind Groups'!$377:$382,'Ind Groups'!$384:$389,'Ind Groups'!$391:$396,'Ind Groups'!$398:$403,'Ind Groups'!$405:$410,'Ind Groups'!$412:$417,'Ind Groups'!$419:$424,'Ind Groups'!$442:$448,'Ind Groups'!$450:$456,'Ind Groups'!$458:$464,'Ind Groups'!$466:$472,'Ind Groups'!$474:$480,'Ind Groups'!$482:$488,'Ind Groups'!$490:$496,'Ind Groups'!$498:$504,'Ind Groups'!$506:$512,'Ind Groups'!$514:$520,'Ind Groups'!$522:$528,'Ind Groups'!$547:$553,'Ind Groups'!$555:$561,'Ind Groups'!$563:$569,'Ind Groups'!$571:$577,'Ind Groups'!$579:$585,'Ind Groups'!$587:$593,'Ind Groups'!$595:$601,'Ind Groups'!$603:$609,'Ind Groups'!$611:$617,'Ind Groups'!$619:$625,'Ind Groups'!$627:$633,'Ind Groups'!$635:$641,'Ind Groups'!$643:$649,'Ind Groups'!$669:$676,'Ind Groups'!$678:$685,'Ind Groups'!$687:$694,'Ind Groups'!$696:$703,'Ind Groups'!$705:$712,'Ind Groups'!$714:$721,'Ind Groups'!$723:$730,'Ind Groups'!$732:$739,'Ind Groups'!$741:$748,'Ind Groups'!$750:$757,'Ind Groups'!$759:$766,'Ind Groups'!$768:$775,'Ind Groups'!$777:$784,'Ind Groups'!$805:$812,'Ind Groups'!$814:$821,'Ind Groups'!$823:$830,'Ind Groups'!$832:$839,'Ind Groups'!$841:$848,'Ind Groups'!$850:$857,'Ind Groups'!$859:$866,'Ind Groups'!$868:$875,'Ind Groups'!$877:$884,'Ind Groups'!$886:$893,'Ind Groups'!$895:$902,'Ind Groups'!$904:$911,'Ind Groups'!$913:$920,'Ind Groups'!$922:$929,'Ind Groups'!$931:$938,'Ind Groups'!$960:$968,'Ind Groups'!$970:$978,'Ind Groups'!$980:$988,'Ind Groups'!$990:$998,'Ind Groups'!$1000:$1008,'Ind Groups'!$1010:$1018,'Ind Groups'!$1020:$1028,'Ind Groups'!$1030:$1038,'Ind Groups'!$1040:$1048,'Ind Groups'!$1050:$1058,'Ind Groups'!$1060:$1068,'Ind Groups'!$1070:$1078,'Ind Groups'!$1080:$1088,'Ind Groups'!$1090:$1098,'Ind Groups'!$1100:$1108,'Ind Groups'!$1131:$1139,'Ind Groups'!$1141:$1149,'Ind Groups'!$1151:$1159,'Ind Groups'!$1161:$1169,'Ind Groups'!$1171:$1179,'Ind Groups'!$1181:$1189,'Ind Groups'!$1191:$1199,'Ind Groups'!$1201:$1209,'Ind Groups'!$1211:$1219,'Ind Groups'!$1221:$1229,'Ind Groups'!$1231:$1239,'Ind Groups'!$1241:$1249,'Ind Groups'!$1251:$1259,'Ind Groups'!$1261:$1269,'Ind Groups'!$1271:$1279,'Ind Groups'!$1281:$1289,'Ind Groups'!$1291:$1299,'Ind Groups'!$1323:$1332,'Ind Groups'!$1334:$1343,'Ind Groups'!$1345:$1354,'Ind Groups'!$1356:$1365,'Ind Groups'!$1367:$1376,'Ind Groups'!$1378:$1387,'Ind Groups'!$1389:$1398,'Ind Groups'!$1400:$1409,'Ind Groups'!$1411:$1420,'Ind Groups'!$1422:$1431,'Ind Groups'!$1433:$1442,'Ind Groups'!$1444:$1453,'Ind Groups'!$1455:$1464,'Ind Groups'!$1466:$1475,'Ind Groups'!$1477:$1486,'Ind Groups'!$1488:$1497,'Ind Groups'!$1499:$1508,'Ind Groups'!$1533:$1542,'Ind Groups'!$1544:$1553,'Ind Groups'!$1555:$1564,'Ind Groups'!$1566:$1575,'Ind Groups'!$1577:$1586,'Ind Groups'!$1588:$1597,'Ind Groups'!$1599:$1608,'Ind Groups'!$1610:$1619,'Ind Groups'!$1621:$1630,'Ind Groups'!$1632:$1641,'Ind Groups'!$1643:$1652,'Ind Groups'!$1654:$1663,'Ind Groups'!$1665:$1674,'Ind Groups'!$1676:$1685,'Ind Groups'!$1687:$1696,'Ind Groups'!$1698:$1707,'Ind Groups'!$1709:$1718,'Ind Groups'!$1720:$1729,'Ind Groups'!$1731:$1740,'Ind Groups'!$1766:$1776,'Ind Groups'!$1778:$1788,'Ind Groups'!$1790:$1800,'Ind Groups'!$1802:$1812,'Ind Groups'!$1814:$1824,'Ind Groups'!$1826:$1836,'Ind Groups'!$1838:$1848,'Ind Groups'!$1850:$1860,'Ind Groups'!$1862:$1872,'Ind Groups'!$1874:$1884,'Ind Groups'!$1886:$1896,'Ind Groups'!$1898:$1908,'Ind Groups'!$1910:$1920,'Ind Groups'!$1922:$1932,'Ind Groups'!$1934:$1944,'Ind Groups'!$1946:$1956,'Ind Groups'!$1958:$1968,'Ind Groups'!$1970:$1980,'Ind Groups'!$1982:$1992</definedName>
    <definedName name="Z_13F24B0A_7740_483A_BEF7_5257F8522605_.wvu.Rows" localSheetId="12" hidden="1">Lists!$632:$1048576,Lists!$501:$631</definedName>
    <definedName name="Z_13F24B0A_7740_483A_BEF7_5257F8522605_.wvu.Rows" localSheetId="15" hidden="1">PlanningModel!$34:$39,PlanningModel!$42:$48,PlanningModel!$51:$57,PlanningModel!$60:$61,PlanningModel!$64:$66,PlanningModel!$69:$71</definedName>
    <definedName name="Z_13F24B0A_7740_483A_BEF7_5257F8522605_.wvu.Rows" localSheetId="7" hidden="1">Ranking!$1756:$1048576</definedName>
    <definedName name="Z_13F24B0A_7740_483A_BEF7_5257F8522605_.wvu.Rows" localSheetId="22" hidden="1">'Team FDL'!$5:$35,'Team FDL'!$37:$133,'Team FDL'!$135:$183,'Team FDL'!$185:$209,'Team FDL'!$211:$223,'Team FDL'!$225:$237</definedName>
    <definedName name="Z_13F24B0A_7740_483A_BEF7_5257F8522605_.wvu.Rows" localSheetId="20" hidden="1">'Team Groups'!$40:$83,'Team Groups'!$92:$134,'Team Groups'!$145:$215,'Team Groups'!$227:$332,'Team Groups'!$345:$492,'Team Groups'!$506:$702</definedName>
    <definedName name="Z_13F24B0A_7740_483A_BEF7_5257F8522605_.wvu.Rows" localSheetId="10" hidden="1">Teams!$2:$2</definedName>
    <definedName name="_xlnm.Print_Area" localSheetId="9">CheckIn!$B$5:$V$62</definedName>
    <definedName name="_xlnm.Print_Area" localSheetId="5">Clubs!$B$2:$D$430</definedName>
    <definedName name="_xlnm.Print_Area" localSheetId="26">'Dble by Sel. Match'!$B$6:$BM$66,'Dble by Sel. Match'!$BN$37:$BQ$52</definedName>
    <definedName name="_xlnm.Print_Area" localSheetId="27">DrawModel!$A$1:$M$27</definedName>
    <definedName name="_xlnm.Print_Area" localSheetId="17">ExportPlanningModel!$B$5:$L$8</definedName>
    <definedName name="_xlnm.Print_Area" localSheetId="16">ExportScorerTableModel!$A$2:$H$30</definedName>
    <definedName name="_xlnm.Print_Area" localSheetId="2">Home!$A$2:$B$30</definedName>
    <definedName name="_xlnm.Print_Area" localSheetId="4">Licences!$B$5:$H$4348</definedName>
    <definedName name="_xlnm.Print_Area" localSheetId="12">Lists!$B$5:$O$500</definedName>
    <definedName name="_xlnm.Print_Area" localSheetId="3">Parameters!$A$2:$L$41</definedName>
    <definedName name="_xlnm.Print_Area" localSheetId="29">Planning!$A$1:$AA$134</definedName>
    <definedName name="_xlnm.Print_Area" localSheetId="15">PlanningModel!$A$1:$AA$73</definedName>
    <definedName name="_xlnm.Print_Area" localSheetId="35">Podium!$A$1:$I$47</definedName>
    <definedName name="_xlnm.Print_Area" localSheetId="7">Ranking!$C$5:$J$2255</definedName>
    <definedName name="_xlnm.Print_Area" localSheetId="8">RankingTeams!$C$5:$H$287</definedName>
    <definedName name="_xlnm.Print_Area" localSheetId="30">Refereeing!$A$1:$AD$223</definedName>
    <definedName name="_xlnm.Print_Area" localSheetId="34">Scoresheet_Models!$A$4:$N$75</definedName>
    <definedName name="_xlnm.Print_Area" localSheetId="32">Stats!$B$2:$K$60</definedName>
    <definedName name="_xlnm.Print_Area" localSheetId="25">'Team by Sel. Match'!$B$6:$BM$128,'Team by Sel. Match'!$BO$38:$BV$60</definedName>
    <definedName name="_xlnm.Print_Area" localSheetId="10">Teams!$A$3:$R$67,Doubles!$B$3:$E$17</definedName>
    <definedName name="_xlnm.Print_Area" localSheetId="31">Timeline!$B$2:$P$60</definedName>
    <definedName name="_xlnm.Print_Area" localSheetId="33">Venue!$B$2:$BQ$47</definedName>
  </definedNames>
  <calcPr calcId="191029" calcMode="manual"/>
  <customWorkbookViews>
    <customWorkbookView name="GMFT" guid="{13F24B0A-7740-483A-BEF7-5257F8522605}" maximized="1" xWindow="1" yWindow="1" windowWidth="1596" windowHeight="709" tabRatio="751" activeSheetId="30019"/>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 i="30010" l="1"/>
  <c r="O6" i="30010"/>
  <c r="N6" i="30010"/>
  <c r="M6" i="30010"/>
  <c r="L14" i="30010"/>
  <c r="K22" i="30010"/>
  <c r="J22" i="30010"/>
  <c r="I22" i="30010"/>
  <c r="H6" i="30010"/>
  <c r="G6" i="30010"/>
  <c r="F6" i="30010"/>
  <c r="E6" i="30010"/>
  <c r="D6" i="30010"/>
  <c r="C6" i="30010"/>
  <c r="AL61" i="29954"/>
  <c r="AK61" i="29954"/>
  <c r="AJ61" i="29954"/>
  <c r="AI61" i="29954"/>
  <c r="AL60" i="29954"/>
  <c r="AK60" i="29954"/>
  <c r="AJ60" i="29954"/>
  <c r="AI60" i="29954"/>
  <c r="AL59" i="29954"/>
  <c r="AK59" i="29954"/>
  <c r="AJ59" i="29954"/>
  <c r="AI59" i="29954"/>
  <c r="AL58" i="29954"/>
  <c r="AK58" i="29954"/>
  <c r="AJ58" i="29954"/>
  <c r="AI58" i="29954"/>
  <c r="AL57" i="29954"/>
  <c r="AK57" i="29954"/>
  <c r="AJ57" i="29954"/>
  <c r="AI57" i="29954"/>
  <c r="AL56" i="29954"/>
  <c r="AK56" i="29954"/>
  <c r="AJ56" i="29954"/>
  <c r="AI56" i="29954"/>
  <c r="AL55" i="29954"/>
  <c r="AK55" i="29954"/>
  <c r="AJ55" i="29954"/>
  <c r="AI55" i="29954"/>
  <c r="AL54" i="29954"/>
  <c r="AK54" i="29954"/>
  <c r="AJ54" i="29954"/>
  <c r="AI54" i="29954"/>
  <c r="AL53" i="29954"/>
  <c r="AK53" i="29954"/>
  <c r="AJ53" i="29954"/>
  <c r="AI53" i="29954"/>
  <c r="AL52" i="29954"/>
  <c r="AK52" i="29954"/>
  <c r="AJ52" i="29954"/>
  <c r="AI52" i="29954"/>
  <c r="AL51" i="29954"/>
  <c r="AK51" i="29954"/>
  <c r="AJ51" i="29954"/>
  <c r="AI51" i="29954"/>
  <c r="AL50" i="29954"/>
  <c r="AK50" i="29954"/>
  <c r="AJ50" i="29954"/>
  <c r="AI50" i="29954"/>
  <c r="AL49" i="29954"/>
  <c r="AK49" i="29954"/>
  <c r="AJ49" i="29954"/>
  <c r="AI49" i="29954"/>
  <c r="AL48" i="29954"/>
  <c r="AK48" i="29954"/>
  <c r="AJ48" i="29954"/>
  <c r="AI48" i="29954"/>
  <c r="AL47" i="29954"/>
  <c r="AK47" i="29954"/>
  <c r="AJ47" i="29954"/>
  <c r="AI47" i="29954"/>
  <c r="AL46" i="29954"/>
  <c r="AK46" i="29954"/>
  <c r="AJ46" i="29954"/>
  <c r="AI46" i="29954"/>
  <c r="AL45" i="29954"/>
  <c r="AK45" i="29954"/>
  <c r="AJ45" i="29954"/>
  <c r="AI45" i="29954"/>
  <c r="AL44" i="29954"/>
  <c r="AK44" i="29954"/>
  <c r="AJ44" i="29954"/>
  <c r="AI44" i="29954"/>
  <c r="AL43" i="29954"/>
  <c r="AK43" i="29954"/>
  <c r="AJ43" i="29954"/>
  <c r="AI43" i="29954"/>
  <c r="AL42" i="29954"/>
  <c r="AK42" i="29954"/>
  <c r="AJ42" i="29954"/>
  <c r="AI42" i="29954"/>
  <c r="AL41" i="29954"/>
  <c r="AK41" i="29954"/>
  <c r="AJ41" i="29954"/>
  <c r="AI41" i="29954"/>
  <c r="AL40" i="29954"/>
  <c r="AK40" i="29954"/>
  <c r="AJ40" i="29954"/>
  <c r="AI40" i="29954"/>
  <c r="AL39" i="29954"/>
  <c r="AK39" i="29954"/>
  <c r="AJ39" i="29954"/>
  <c r="AI39" i="29954"/>
  <c r="AL38" i="29954"/>
  <c r="AK38" i="29954"/>
  <c r="AJ38" i="29954"/>
  <c r="AI38" i="29954"/>
  <c r="AL37" i="29954"/>
  <c r="AK37" i="29954"/>
  <c r="AJ37" i="29954"/>
  <c r="AI37" i="29954"/>
  <c r="AL36" i="29954"/>
  <c r="AK36" i="29954"/>
  <c r="AJ36" i="29954"/>
  <c r="AI36" i="29954"/>
  <c r="AL35" i="29954"/>
  <c r="AK35" i="29954"/>
  <c r="AJ35" i="29954"/>
  <c r="AI35" i="29954"/>
  <c r="AL34" i="29954"/>
  <c r="AK34" i="29954"/>
  <c r="AJ34" i="29954"/>
  <c r="AI34" i="29954"/>
  <c r="AL33" i="29954"/>
  <c r="AK33" i="29954"/>
  <c r="AJ33" i="29954"/>
  <c r="AI33" i="29954"/>
  <c r="AL32" i="29954"/>
  <c r="AK32" i="29954"/>
  <c r="AJ32" i="29954"/>
  <c r="AI32" i="29954"/>
  <c r="AL31" i="29954"/>
  <c r="AK31" i="29954"/>
  <c r="AJ31" i="29954"/>
  <c r="AI31" i="29954"/>
  <c r="AL30" i="29954"/>
  <c r="AK30" i="29954"/>
  <c r="AJ30" i="29954"/>
  <c r="AI30" i="29954"/>
  <c r="AL29" i="29954"/>
  <c r="AK29" i="29954"/>
  <c r="AJ29" i="29954"/>
  <c r="AI29" i="29954"/>
  <c r="AL28" i="29954"/>
  <c r="AK28" i="29954"/>
  <c r="AJ28" i="29954"/>
  <c r="AI28" i="29954"/>
  <c r="AL27" i="29954"/>
  <c r="AK27" i="29954"/>
  <c r="AJ27" i="29954"/>
  <c r="AI27" i="29954"/>
  <c r="AL26" i="29954"/>
  <c r="AK26" i="29954"/>
  <c r="AJ26" i="29954"/>
  <c r="AI26" i="29954"/>
  <c r="AL25" i="29954"/>
  <c r="AK25" i="29954"/>
  <c r="AJ25" i="29954"/>
  <c r="AI25" i="29954"/>
  <c r="AL24" i="29954"/>
  <c r="AK24" i="29954"/>
  <c r="AJ24" i="29954"/>
  <c r="AI24" i="29954"/>
  <c r="AL23" i="29954"/>
  <c r="AK23" i="29954"/>
  <c r="AJ23" i="29954"/>
  <c r="AI23" i="29954"/>
  <c r="AL22" i="29954"/>
  <c r="AK22" i="29954"/>
  <c r="AJ22" i="29954"/>
  <c r="AI22" i="29954"/>
  <c r="AL21" i="29954"/>
  <c r="AK21" i="29954"/>
  <c r="AJ21" i="29954"/>
  <c r="AI21" i="29954"/>
  <c r="AL20" i="29954"/>
  <c r="AK20" i="29954"/>
  <c r="AJ20" i="29954"/>
  <c r="AI20" i="29954"/>
  <c r="AL19" i="29954"/>
  <c r="AK19" i="29954"/>
  <c r="AJ19" i="29954"/>
  <c r="AI19" i="29954"/>
  <c r="AL18" i="29954"/>
  <c r="AK18" i="29954"/>
  <c r="AJ18" i="29954"/>
  <c r="AI18" i="29954"/>
  <c r="AL17" i="29954"/>
  <c r="AK17" i="29954"/>
  <c r="AJ17" i="29954"/>
  <c r="AI17" i="29954"/>
  <c r="AL16" i="29954"/>
  <c r="AK16" i="29954"/>
  <c r="AJ16" i="29954"/>
  <c r="AI16" i="29954"/>
  <c r="AL15" i="29954"/>
  <c r="AK15" i="29954"/>
  <c r="AJ15" i="29954"/>
  <c r="AI15" i="29954"/>
  <c r="AL14" i="29954"/>
  <c r="AK14" i="29954"/>
  <c r="AJ14" i="29954"/>
  <c r="AI14" i="29954"/>
  <c r="AL13" i="29954"/>
  <c r="AK13" i="29954"/>
  <c r="AJ13" i="29954"/>
  <c r="AI13" i="29954"/>
  <c r="AL12" i="29954"/>
  <c r="AK12" i="29954"/>
  <c r="AJ12" i="29954"/>
  <c r="AI12" i="29954"/>
  <c r="AL11" i="29954"/>
  <c r="AK11" i="29954"/>
  <c r="AJ11" i="29954"/>
  <c r="AI11" i="29954"/>
  <c r="AL10" i="29954"/>
  <c r="AK10" i="29954"/>
  <c r="AJ10" i="29954"/>
  <c r="AI10" i="29954"/>
  <c r="AL9" i="29954"/>
  <c r="AK9" i="29954"/>
  <c r="AJ9" i="29954"/>
  <c r="AI9" i="29954"/>
  <c r="AL8" i="29954"/>
  <c r="AK8" i="29954"/>
  <c r="AJ8" i="29954"/>
  <c r="AI8" i="29954"/>
  <c r="AL7" i="29954"/>
  <c r="AK7" i="29954"/>
  <c r="AJ7" i="29954"/>
  <c r="AI7" i="29954"/>
  <c r="AL6" i="29954"/>
  <c r="AK6" i="29954"/>
  <c r="AJ6" i="29954"/>
  <c r="AI6" i="29954"/>
  <c r="X62" i="29954"/>
  <c r="W62" i="29954"/>
  <c r="F62" i="29954"/>
  <c r="E62" i="29954"/>
  <c r="D62" i="29954"/>
  <c r="F61" i="29954"/>
  <c r="X61" i="29954"/>
  <c r="W61" i="29954"/>
  <c r="E61" i="29954"/>
  <c r="D61" i="29954"/>
  <c r="F60" i="29954"/>
  <c r="X60" i="29954"/>
  <c r="W60" i="29954"/>
  <c r="E60" i="29954"/>
  <c r="D60" i="29954"/>
  <c r="F59" i="29954"/>
  <c r="X59" i="29954"/>
  <c r="W59" i="29954"/>
  <c r="E59" i="29954"/>
  <c r="D59" i="29954"/>
  <c r="F58" i="29954"/>
  <c r="X58" i="29954"/>
  <c r="W58" i="29954"/>
  <c r="E58" i="29954"/>
  <c r="D58" i="29954"/>
  <c r="F57" i="29954"/>
  <c r="X57" i="29954"/>
  <c r="W57" i="29954"/>
  <c r="E57" i="29954"/>
  <c r="D57" i="29954"/>
  <c r="F56" i="29954"/>
  <c r="X56" i="29954"/>
  <c r="W56" i="29954"/>
  <c r="E56" i="29954"/>
  <c r="D56" i="29954"/>
  <c r="F55" i="29954"/>
  <c r="X55" i="29954"/>
  <c r="W55" i="29954"/>
  <c r="E55" i="29954"/>
  <c r="D55" i="29954"/>
  <c r="F54" i="29954"/>
  <c r="X54" i="29954"/>
  <c r="W54" i="29954"/>
  <c r="E54" i="29954"/>
  <c r="D54" i="29954"/>
  <c r="F53" i="29954"/>
  <c r="X53" i="29954"/>
  <c r="W53" i="29954"/>
  <c r="E53" i="29954"/>
  <c r="D53" i="29954"/>
  <c r="F52" i="29954"/>
  <c r="X52" i="29954"/>
  <c r="W52" i="29954"/>
  <c r="E52" i="29954"/>
  <c r="D52" i="29954"/>
  <c r="F51" i="29954"/>
  <c r="X51" i="29954"/>
  <c r="W51" i="29954"/>
  <c r="E51" i="29954"/>
  <c r="D51" i="29954"/>
  <c r="F50" i="29954"/>
  <c r="X50" i="29954"/>
  <c r="W50" i="29954"/>
  <c r="E50" i="29954"/>
  <c r="D50" i="29954"/>
  <c r="F49" i="29954"/>
  <c r="X49" i="29954"/>
  <c r="W49" i="29954"/>
  <c r="E49" i="29954"/>
  <c r="D49" i="29954"/>
  <c r="F48" i="29954"/>
  <c r="X48" i="29954"/>
  <c r="W48" i="29954"/>
  <c r="E48" i="29954"/>
  <c r="D48" i="29954"/>
  <c r="F47" i="29954"/>
  <c r="X47" i="29954"/>
  <c r="W47" i="29954"/>
  <c r="E47" i="29954"/>
  <c r="D47" i="29954"/>
  <c r="F46" i="29954"/>
  <c r="X46" i="29954"/>
  <c r="W46" i="29954"/>
  <c r="E46" i="29954"/>
  <c r="D46" i="29954"/>
  <c r="F45" i="29954"/>
  <c r="X45" i="29954"/>
  <c r="W45" i="29954"/>
  <c r="E45" i="29954"/>
  <c r="D45" i="29954"/>
  <c r="F44" i="29954"/>
  <c r="X44" i="29954"/>
  <c r="W44" i="29954"/>
  <c r="E44" i="29954"/>
  <c r="D44" i="29954"/>
  <c r="F43" i="29954"/>
  <c r="X43" i="29954"/>
  <c r="W43" i="29954"/>
  <c r="E43" i="29954"/>
  <c r="D43" i="29954"/>
  <c r="F42" i="29954"/>
  <c r="X42" i="29954"/>
  <c r="W42" i="29954"/>
  <c r="E42" i="29954"/>
  <c r="D42" i="29954"/>
  <c r="F41" i="29954"/>
  <c r="X41" i="29954"/>
  <c r="W41" i="29954"/>
  <c r="E41" i="29954"/>
  <c r="D41" i="29954"/>
  <c r="F40" i="29954"/>
  <c r="X40" i="29954"/>
  <c r="W40" i="29954"/>
  <c r="E40" i="29954"/>
  <c r="D40" i="29954"/>
  <c r="F39" i="29954"/>
  <c r="X39" i="29954"/>
  <c r="W39" i="29954"/>
  <c r="E39" i="29954"/>
  <c r="D39" i="29954"/>
  <c r="F38" i="29954"/>
  <c r="X38" i="29954"/>
  <c r="W38" i="29954"/>
  <c r="E38" i="29954"/>
  <c r="D38" i="29954"/>
  <c r="F37" i="29954"/>
  <c r="X37" i="29954"/>
  <c r="W37" i="29954"/>
  <c r="E37" i="29954"/>
  <c r="D37" i="29954"/>
  <c r="F36" i="29954"/>
  <c r="X36" i="29954"/>
  <c r="W36" i="29954"/>
  <c r="E36" i="29954"/>
  <c r="D36" i="29954"/>
  <c r="F35" i="29954"/>
  <c r="X35" i="29954"/>
  <c r="W35" i="29954"/>
  <c r="E35" i="29954"/>
  <c r="D35" i="29954"/>
  <c r="F34" i="29954"/>
  <c r="X34" i="29954"/>
  <c r="W34" i="29954"/>
  <c r="E34" i="29954"/>
  <c r="D34" i="29954"/>
  <c r="F33" i="29954"/>
  <c r="X33" i="29954"/>
  <c r="W33" i="29954"/>
  <c r="E33" i="29954"/>
  <c r="D33" i="29954"/>
  <c r="F32" i="29954"/>
  <c r="X32" i="29954"/>
  <c r="W32" i="29954"/>
  <c r="E32" i="29954"/>
  <c r="D32" i="29954"/>
  <c r="F31" i="29954"/>
  <c r="X31" i="29954"/>
  <c r="W31" i="29954"/>
  <c r="E31" i="29954"/>
  <c r="D31" i="29954"/>
  <c r="F30" i="29954"/>
  <c r="X30" i="29954"/>
  <c r="W30" i="29954"/>
  <c r="E30" i="29954"/>
  <c r="D30" i="29954"/>
  <c r="F29" i="29954"/>
  <c r="X29" i="29954"/>
  <c r="W29" i="29954"/>
  <c r="E29" i="29954"/>
  <c r="D29" i="29954"/>
  <c r="F28" i="29954"/>
  <c r="X28" i="29954"/>
  <c r="W28" i="29954"/>
  <c r="E28" i="29954"/>
  <c r="D28" i="29954"/>
  <c r="F27" i="29954"/>
  <c r="X27" i="29954"/>
  <c r="W27" i="29954"/>
  <c r="E27" i="29954"/>
  <c r="D27" i="29954"/>
  <c r="F26" i="29954"/>
  <c r="X26" i="29954"/>
  <c r="W26" i="29954"/>
  <c r="E26" i="29954"/>
  <c r="D26" i="29954"/>
  <c r="F25" i="29954"/>
  <c r="X25" i="29954"/>
  <c r="W25" i="29954"/>
  <c r="E25" i="29954"/>
  <c r="D25" i="29954"/>
  <c r="F24" i="29954"/>
  <c r="X24" i="29954"/>
  <c r="W24" i="29954"/>
  <c r="E24" i="29954"/>
  <c r="D24" i="29954"/>
  <c r="F23" i="29954"/>
  <c r="X23" i="29954"/>
  <c r="W23" i="29954"/>
  <c r="E23" i="29954"/>
  <c r="D23" i="29954"/>
  <c r="F22" i="29954"/>
  <c r="X22" i="29954"/>
  <c r="W22" i="29954"/>
  <c r="E22" i="29954"/>
  <c r="D22" i="29954"/>
  <c r="F21" i="29954"/>
  <c r="X21" i="29954"/>
  <c r="W21" i="29954"/>
  <c r="E21" i="29954"/>
  <c r="D21" i="29954"/>
  <c r="F20" i="29954"/>
  <c r="X20" i="29954"/>
  <c r="W20" i="29954"/>
  <c r="E20" i="29954"/>
  <c r="D20" i="29954"/>
  <c r="F19" i="29954"/>
  <c r="X19" i="29954"/>
  <c r="W19" i="29954"/>
  <c r="E19" i="29954"/>
  <c r="D19" i="29954"/>
  <c r="F18" i="29954"/>
  <c r="X18" i="29954"/>
  <c r="W18" i="29954"/>
  <c r="E18" i="29954"/>
  <c r="D18" i="29954"/>
  <c r="F17" i="29954"/>
  <c r="X17" i="29954"/>
  <c r="W17" i="29954"/>
  <c r="E17" i="29954"/>
  <c r="D17" i="29954"/>
  <c r="F16" i="29954"/>
  <c r="X16" i="29954"/>
  <c r="W16" i="29954"/>
  <c r="E16" i="29954"/>
  <c r="D16" i="29954"/>
  <c r="F15" i="29954"/>
  <c r="X15" i="29954"/>
  <c r="W15" i="29954"/>
  <c r="E15" i="29954"/>
  <c r="D15" i="29954"/>
  <c r="F14" i="29954"/>
  <c r="X14" i="29954"/>
  <c r="W14" i="29954"/>
  <c r="E14" i="29954"/>
  <c r="D14" i="29954"/>
  <c r="F13" i="29954"/>
  <c r="X13" i="29954"/>
  <c r="W13" i="29954"/>
  <c r="E13" i="29954"/>
  <c r="D13" i="29954"/>
  <c r="F12" i="29954"/>
  <c r="X12" i="29954"/>
  <c r="W12" i="29954"/>
  <c r="E12" i="29954"/>
  <c r="D12" i="29954"/>
  <c r="F11" i="29954"/>
  <c r="X11" i="29954"/>
  <c r="W11" i="29954"/>
  <c r="E11" i="29954"/>
  <c r="D11" i="29954"/>
  <c r="F10" i="29954"/>
  <c r="X10" i="29954"/>
  <c r="W10" i="29954"/>
  <c r="E10" i="29954"/>
  <c r="D10" i="29954"/>
  <c r="F9" i="29954"/>
  <c r="X9" i="29954"/>
  <c r="W9" i="29954"/>
  <c r="E9" i="29954"/>
  <c r="D9" i="29954"/>
  <c r="F8" i="29954"/>
  <c r="X8" i="29954"/>
  <c r="W8" i="29954"/>
  <c r="E8" i="29954"/>
  <c r="D8" i="29954"/>
  <c r="F7" i="29954"/>
  <c r="X7" i="29954"/>
  <c r="W7" i="29954"/>
  <c r="E7" i="29954"/>
  <c r="D7" i="29954"/>
  <c r="F6" i="29954"/>
  <c r="X6" i="29954"/>
  <c r="W6" i="29954"/>
  <c r="E6" i="29954"/>
  <c r="D6" i="29954"/>
  <c r="I26" i="24620"/>
  <c r="I25" i="24620"/>
  <c r="I24" i="24620"/>
  <c r="I23" i="24620"/>
  <c r="I22" i="24620"/>
  <c r="I21" i="24620"/>
  <c r="L94" i="30019"/>
  <c r="C94" i="30019"/>
  <c r="A85" i="30019"/>
  <c r="A94" i="30019" s="1"/>
  <c r="A103" i="30019" s="1"/>
  <c r="A104" i="30019" s="1"/>
  <c r="L85" i="30019"/>
  <c r="C85" i="30019"/>
  <c r="L76" i="30019"/>
  <c r="C76" i="30019"/>
  <c r="L103" i="30019"/>
  <c r="C103" i="30019"/>
  <c r="AE112" i="30019"/>
  <c r="AP112" i="30019"/>
  <c r="AO112" i="30019"/>
  <c r="AN112" i="30019"/>
  <c r="AM112" i="30019"/>
  <c r="AL112" i="30019"/>
  <c r="Z112" i="30019"/>
  <c r="AE113" i="30019"/>
  <c r="AP113" i="30019"/>
  <c r="AO113" i="30019"/>
  <c r="AN113" i="30019"/>
  <c r="AM113" i="30019"/>
  <c r="AL113" i="30019"/>
  <c r="Z113" i="30019"/>
  <c r="AE72" i="30019"/>
  <c r="AP72" i="30019"/>
  <c r="AO72" i="30019"/>
  <c r="AN72" i="30019"/>
  <c r="AM72" i="30019"/>
  <c r="AL72" i="30019"/>
  <c r="Z72" i="30019"/>
  <c r="AE73" i="30019"/>
  <c r="AP73" i="30019"/>
  <c r="AO73" i="30019"/>
  <c r="AN73" i="30019"/>
  <c r="AM73" i="30019"/>
  <c r="AL73" i="30019"/>
  <c r="Z73" i="30019"/>
  <c r="AE116" i="30019"/>
  <c r="AP116" i="30019"/>
  <c r="AO116" i="30019"/>
  <c r="AN116" i="30019"/>
  <c r="AM116" i="30019"/>
  <c r="AL116" i="30019"/>
  <c r="Z116" i="30019"/>
  <c r="AE117" i="30019"/>
  <c r="AP117" i="30019"/>
  <c r="AO117" i="30019"/>
  <c r="AN117" i="30019"/>
  <c r="AM117" i="30019"/>
  <c r="AL117" i="30019"/>
  <c r="Z117" i="30019"/>
  <c r="AE74" i="30019"/>
  <c r="AP74" i="30019"/>
  <c r="AO74" i="30019"/>
  <c r="AN74" i="30019"/>
  <c r="AM74" i="30019"/>
  <c r="AL74" i="30019"/>
  <c r="Z74" i="30019"/>
  <c r="AE81" i="30019"/>
  <c r="AP81" i="30019"/>
  <c r="AO81" i="30019"/>
  <c r="AN81" i="30019"/>
  <c r="AM81" i="30019"/>
  <c r="AL81" i="30019"/>
  <c r="Z81" i="30019"/>
  <c r="AE120" i="30019"/>
  <c r="AP120" i="30019"/>
  <c r="AO120" i="30019"/>
  <c r="AN120" i="30019"/>
  <c r="AM120" i="30019"/>
  <c r="AL120" i="30019"/>
  <c r="Z120" i="30019"/>
  <c r="AE121" i="30019"/>
  <c r="AP121" i="30019"/>
  <c r="AO121" i="30019"/>
  <c r="AN121" i="30019"/>
  <c r="AM121" i="30019"/>
  <c r="AL121" i="30019"/>
  <c r="Z121" i="30019"/>
  <c r="AE122" i="30019"/>
  <c r="AP122" i="30019"/>
  <c r="AO122" i="30019"/>
  <c r="AN122" i="30019"/>
  <c r="AM122" i="30019"/>
  <c r="AL122" i="30019"/>
  <c r="Z122" i="30019"/>
  <c r="AE123" i="30019"/>
  <c r="AP123" i="30019"/>
  <c r="AO123" i="30019"/>
  <c r="AN123" i="30019"/>
  <c r="AM123" i="30019"/>
  <c r="AL123" i="30019"/>
  <c r="Z123" i="30019"/>
  <c r="AE75" i="30019"/>
  <c r="AP75" i="30019"/>
  <c r="AO75" i="30019"/>
  <c r="AN75" i="30019"/>
  <c r="AM75" i="30019"/>
  <c r="AL75" i="30019"/>
  <c r="Z75" i="30019"/>
  <c r="AE128" i="30019"/>
  <c r="AP128" i="30019"/>
  <c r="AO128" i="30019"/>
  <c r="AN128" i="30019"/>
  <c r="AM128" i="30019"/>
  <c r="AL128" i="30019"/>
  <c r="Z128" i="30019"/>
  <c r="AE82" i="30019"/>
  <c r="AP82" i="30019"/>
  <c r="AO82" i="30019"/>
  <c r="AN82" i="30019"/>
  <c r="AM82" i="30019"/>
  <c r="AL82" i="30019"/>
  <c r="Z82" i="30019"/>
  <c r="AE129" i="30019"/>
  <c r="AP129" i="30019"/>
  <c r="AO129" i="30019"/>
  <c r="AN129" i="30019"/>
  <c r="AM129" i="30019"/>
  <c r="AL129" i="30019"/>
  <c r="Z129" i="30019"/>
  <c r="AE83" i="30019"/>
  <c r="AP83" i="30019"/>
  <c r="AO83" i="30019"/>
  <c r="AN83" i="30019"/>
  <c r="AM83" i="30019"/>
  <c r="AL83" i="30019"/>
  <c r="Z83" i="30019"/>
  <c r="AE84" i="30019"/>
  <c r="AP84" i="30019"/>
  <c r="AO84" i="30019"/>
  <c r="AN84" i="30019"/>
  <c r="AM84" i="30019"/>
  <c r="AL84" i="30019"/>
  <c r="Z84" i="30019"/>
  <c r="AE110" i="30019"/>
  <c r="AP110" i="30019"/>
  <c r="AO110" i="30019"/>
  <c r="AN110" i="30019"/>
  <c r="AM110" i="30019"/>
  <c r="AL110" i="30019"/>
  <c r="Z110" i="30019"/>
  <c r="AE111" i="30019"/>
  <c r="AP111" i="30019"/>
  <c r="AO111" i="30019"/>
  <c r="AN111" i="30019"/>
  <c r="AM111" i="30019"/>
  <c r="AL111" i="30019"/>
  <c r="Z111" i="30019"/>
  <c r="AE90" i="30019"/>
  <c r="AP90" i="30019"/>
  <c r="AO90" i="30019"/>
  <c r="AN90" i="30019"/>
  <c r="AM90" i="30019"/>
  <c r="AL90" i="30019"/>
  <c r="Z90" i="30019"/>
  <c r="AE91" i="30019"/>
  <c r="AP91" i="30019"/>
  <c r="AO91" i="30019"/>
  <c r="AN91" i="30019"/>
  <c r="AM91" i="30019"/>
  <c r="AL91" i="30019"/>
  <c r="Z91" i="30019"/>
  <c r="AE92" i="30019"/>
  <c r="AP92" i="30019"/>
  <c r="AO92" i="30019"/>
  <c r="AN92" i="30019"/>
  <c r="AM92" i="30019"/>
  <c r="AL92" i="30019"/>
  <c r="Z92" i="30019"/>
  <c r="AE93" i="30019"/>
  <c r="AP93" i="30019"/>
  <c r="AO93" i="30019"/>
  <c r="AN93" i="30019"/>
  <c r="AM93" i="30019"/>
  <c r="AL93" i="30019"/>
  <c r="Z93" i="30019"/>
  <c r="AE99" i="30019"/>
  <c r="AP99" i="30019"/>
  <c r="AO99" i="30019"/>
  <c r="AN99" i="30019"/>
  <c r="AM99" i="30019"/>
  <c r="AL99" i="30019"/>
  <c r="Z99" i="30019"/>
  <c r="AE100" i="30019"/>
  <c r="AP100" i="30019"/>
  <c r="AO100" i="30019"/>
  <c r="AN100" i="30019"/>
  <c r="AM100" i="30019"/>
  <c r="AL100" i="30019"/>
  <c r="Z100" i="30019"/>
  <c r="AE101" i="30019"/>
  <c r="AP101" i="30019"/>
  <c r="AO101" i="30019"/>
  <c r="AN101" i="30019"/>
  <c r="AM101" i="30019"/>
  <c r="AL101" i="30019"/>
  <c r="Z101" i="30019"/>
  <c r="AE102" i="30019"/>
  <c r="AP102" i="30019"/>
  <c r="AO102" i="30019"/>
  <c r="AN102" i="30019"/>
  <c r="AM102" i="30019"/>
  <c r="AL102" i="30019"/>
  <c r="Z102" i="30019"/>
  <c r="AC34" i="30104"/>
  <c r="AC33" i="30104"/>
  <c r="AC32" i="30104"/>
  <c r="AC31" i="30104"/>
  <c r="AC30" i="30104"/>
  <c r="AC29" i="30104"/>
  <c r="AC28" i="30104"/>
  <c r="AC27" i="30104"/>
  <c r="AC26" i="30104"/>
  <c r="AC25" i="30104"/>
  <c r="AC24" i="30104"/>
  <c r="AC23" i="30104"/>
  <c r="AC22" i="30104"/>
  <c r="AC21" i="30104"/>
  <c r="AC20" i="30104"/>
  <c r="AC19" i="30104"/>
  <c r="AC18" i="30104"/>
  <c r="AC17" i="30104"/>
  <c r="AC16" i="30104"/>
  <c r="AC15" i="30104"/>
  <c r="AC14" i="30104"/>
  <c r="AC13" i="30104"/>
  <c r="AC12" i="30104"/>
  <c r="AC11" i="30104"/>
  <c r="AC10" i="30104"/>
  <c r="AC9" i="30104"/>
  <c r="AC8" i="30104"/>
  <c r="AC7" i="30104"/>
  <c r="AE114" i="30019"/>
  <c r="AP114" i="30019"/>
  <c r="AO114" i="30019"/>
  <c r="AN114" i="30019"/>
  <c r="AM114" i="30019"/>
  <c r="AL114" i="30019"/>
  <c r="Z114" i="30019"/>
  <c r="AE115" i="30019"/>
  <c r="AP115" i="30019"/>
  <c r="AO115" i="30019"/>
  <c r="AN115" i="30019"/>
  <c r="AM115" i="30019"/>
  <c r="AL115" i="30019"/>
  <c r="Z115" i="30019"/>
  <c r="AE68" i="30019"/>
  <c r="AP68" i="30019"/>
  <c r="AO68" i="30019"/>
  <c r="AN68" i="30019"/>
  <c r="AM68" i="30019"/>
  <c r="AL68" i="30019"/>
  <c r="Z68" i="30019"/>
  <c r="AE69" i="30019"/>
  <c r="AP69" i="30019"/>
  <c r="AO69" i="30019"/>
  <c r="AN69" i="30019"/>
  <c r="AM69" i="30019"/>
  <c r="AL69" i="30019"/>
  <c r="Z69" i="30019"/>
  <c r="AE118" i="30019"/>
  <c r="AP118" i="30019"/>
  <c r="AO118" i="30019"/>
  <c r="AN118" i="30019"/>
  <c r="AM118" i="30019"/>
  <c r="AL118" i="30019"/>
  <c r="Z118" i="30019"/>
  <c r="AE119" i="30019"/>
  <c r="AP119" i="30019"/>
  <c r="AO119" i="30019"/>
  <c r="AN119" i="30019"/>
  <c r="AM119" i="30019"/>
  <c r="AL119" i="30019"/>
  <c r="Z119" i="30019"/>
  <c r="AE70" i="30019"/>
  <c r="AP70" i="30019"/>
  <c r="AO70" i="30019"/>
  <c r="AN70" i="30019"/>
  <c r="AM70" i="30019"/>
  <c r="AL70" i="30019"/>
  <c r="Z70" i="30019"/>
  <c r="AE77" i="30019"/>
  <c r="AP77" i="30019"/>
  <c r="AO77" i="30019"/>
  <c r="AN77" i="30019"/>
  <c r="AM77" i="30019"/>
  <c r="AL77" i="30019"/>
  <c r="Z77" i="30019"/>
  <c r="AE124" i="30019"/>
  <c r="AP124" i="30019"/>
  <c r="AO124" i="30019"/>
  <c r="AN124" i="30019"/>
  <c r="AM124" i="30019"/>
  <c r="AL124" i="30019"/>
  <c r="Z124" i="30019"/>
  <c r="AE125" i="30019"/>
  <c r="AP125" i="30019"/>
  <c r="AO125" i="30019"/>
  <c r="AN125" i="30019"/>
  <c r="AM125" i="30019"/>
  <c r="AL125" i="30019"/>
  <c r="Z125" i="30019"/>
  <c r="AE126" i="30019"/>
  <c r="AP126" i="30019"/>
  <c r="AO126" i="30019"/>
  <c r="AN126" i="30019"/>
  <c r="AM126" i="30019"/>
  <c r="AL126" i="30019"/>
  <c r="Z126" i="30019"/>
  <c r="AE127" i="30019"/>
  <c r="AP127" i="30019"/>
  <c r="AO127" i="30019"/>
  <c r="AN127" i="30019"/>
  <c r="AM127" i="30019"/>
  <c r="AL127" i="30019"/>
  <c r="Z127" i="30019"/>
  <c r="AE71" i="30019"/>
  <c r="AP71" i="30019"/>
  <c r="AO71" i="30019"/>
  <c r="AN71" i="30019"/>
  <c r="AM71" i="30019"/>
  <c r="AL71" i="30019"/>
  <c r="Z71" i="30019"/>
  <c r="AE130" i="30019"/>
  <c r="AP130" i="30019"/>
  <c r="AO130" i="30019"/>
  <c r="AN130" i="30019"/>
  <c r="AM130" i="30019"/>
  <c r="AL130" i="30019"/>
  <c r="Z130" i="30019"/>
  <c r="AE78" i="30019"/>
  <c r="AP78" i="30019"/>
  <c r="AO78" i="30019"/>
  <c r="AN78" i="30019"/>
  <c r="AM78" i="30019"/>
  <c r="AL78" i="30019"/>
  <c r="Z78" i="30019"/>
  <c r="AE131" i="30019"/>
  <c r="AP131" i="30019"/>
  <c r="AO131" i="30019"/>
  <c r="AN131" i="30019"/>
  <c r="AM131" i="30019"/>
  <c r="AL131" i="30019"/>
  <c r="Z131" i="30019"/>
  <c r="AE79" i="30019"/>
  <c r="AP79" i="30019"/>
  <c r="AO79" i="30019"/>
  <c r="AN79" i="30019"/>
  <c r="AM79" i="30019"/>
  <c r="AL79" i="30019"/>
  <c r="Z79" i="30019"/>
  <c r="AE80" i="30019"/>
  <c r="AP80" i="30019"/>
  <c r="AO80" i="30019"/>
  <c r="AN80" i="30019"/>
  <c r="AM80" i="30019"/>
  <c r="AL80" i="30019"/>
  <c r="Z80" i="30019"/>
  <c r="AE108" i="30019"/>
  <c r="AP108" i="30019"/>
  <c r="AO108" i="30019"/>
  <c r="AN108" i="30019"/>
  <c r="AM108" i="30019"/>
  <c r="AL108" i="30019"/>
  <c r="Z108" i="30019"/>
  <c r="AE109" i="30019"/>
  <c r="AP109" i="30019"/>
  <c r="AO109" i="30019"/>
  <c r="AN109" i="30019"/>
  <c r="AM109" i="30019"/>
  <c r="AL109" i="30019"/>
  <c r="Z109" i="30019"/>
  <c r="AE86" i="30019"/>
  <c r="AP86" i="30019"/>
  <c r="AO86" i="30019"/>
  <c r="AN86" i="30019"/>
  <c r="AM86" i="30019"/>
  <c r="AL86" i="30019"/>
  <c r="Z86" i="30019"/>
  <c r="AE87" i="30019"/>
  <c r="AP87" i="30019"/>
  <c r="AO87" i="30019"/>
  <c r="AN87" i="30019"/>
  <c r="AM87" i="30019"/>
  <c r="AL87" i="30019"/>
  <c r="Z87" i="30019"/>
  <c r="AE88" i="30019"/>
  <c r="AP88" i="30019"/>
  <c r="AO88" i="30019"/>
  <c r="AN88" i="30019"/>
  <c r="AM88" i="30019"/>
  <c r="AL88" i="30019"/>
  <c r="Z88" i="30019"/>
  <c r="AE89" i="30019"/>
  <c r="AP89" i="30019"/>
  <c r="AO89" i="30019"/>
  <c r="AN89" i="30019"/>
  <c r="AM89" i="30019"/>
  <c r="AL89" i="30019"/>
  <c r="Z89" i="30019"/>
  <c r="AE95" i="30019"/>
  <c r="AP95" i="30019"/>
  <c r="AO95" i="30019"/>
  <c r="AN95" i="30019"/>
  <c r="AM95" i="30019"/>
  <c r="AL95" i="30019"/>
  <c r="Z95" i="30019"/>
  <c r="AE96" i="30019"/>
  <c r="AP96" i="30019"/>
  <c r="AO96" i="30019"/>
  <c r="AN96" i="30019"/>
  <c r="AM96" i="30019"/>
  <c r="AL96" i="30019"/>
  <c r="Z96" i="30019"/>
  <c r="AE97" i="30019"/>
  <c r="AP97" i="30019"/>
  <c r="AO97" i="30019"/>
  <c r="AN97" i="30019"/>
  <c r="AM97" i="30019"/>
  <c r="AL97" i="30019"/>
  <c r="Z97" i="30019"/>
  <c r="AE98" i="30019"/>
  <c r="AP98" i="30019"/>
  <c r="AO98" i="30019"/>
  <c r="AN98" i="30019"/>
  <c r="AM98" i="30019"/>
  <c r="AL98" i="30019"/>
  <c r="Z98" i="30019"/>
  <c r="AC34" i="30103"/>
  <c r="AC33" i="30103"/>
  <c r="AC32" i="30103"/>
  <c r="AC31" i="30103"/>
  <c r="AC30" i="30103"/>
  <c r="AC29" i="30103"/>
  <c r="AC28" i="30103"/>
  <c r="AC27" i="30103"/>
  <c r="AC26" i="30103"/>
  <c r="AC25" i="30103"/>
  <c r="AC24" i="30103"/>
  <c r="AC23" i="30103"/>
  <c r="AC22" i="30103"/>
  <c r="AC21" i="30103"/>
  <c r="AC20" i="30103"/>
  <c r="AC19" i="30103"/>
  <c r="AC18" i="30103"/>
  <c r="AC17" i="30103"/>
  <c r="AC16" i="30103"/>
  <c r="AC15" i="30103"/>
  <c r="AC14" i="30103"/>
  <c r="AC13" i="30103"/>
  <c r="AC12" i="30103"/>
  <c r="AC11" i="30103"/>
  <c r="AC10" i="30103"/>
  <c r="AC9" i="30103"/>
  <c r="AC8" i="30103"/>
  <c r="AC7" i="30103"/>
  <c r="AE5" i="30019"/>
  <c r="AP5" i="30019"/>
  <c r="AO5" i="30019"/>
  <c r="AN5" i="30019"/>
  <c r="AM5" i="30019"/>
  <c r="AL5" i="30019"/>
  <c r="AJ5" i="30019"/>
  <c r="AI5" i="30019"/>
  <c r="Z5" i="30019"/>
  <c r="A5" i="30019"/>
  <c r="A6" i="30019" s="1"/>
  <c r="AE6" i="30019"/>
  <c r="AP6" i="30019"/>
  <c r="AO6" i="30019"/>
  <c r="AN6" i="30019"/>
  <c r="AM6" i="30019"/>
  <c r="AL6" i="30019"/>
  <c r="AJ6" i="30019"/>
  <c r="AI6" i="30019"/>
  <c r="Z6" i="30019"/>
  <c r="AE7" i="30019"/>
  <c r="AP7" i="30019"/>
  <c r="AO7" i="30019"/>
  <c r="AN7" i="30019"/>
  <c r="AM7" i="30019"/>
  <c r="AL7" i="30019"/>
  <c r="AJ7" i="30019"/>
  <c r="AI7" i="30019"/>
  <c r="Z7" i="30019"/>
  <c r="AE8" i="30019"/>
  <c r="AP8" i="30019"/>
  <c r="AO8" i="30019"/>
  <c r="AN8" i="30019"/>
  <c r="AM8" i="30019"/>
  <c r="AL8" i="30019"/>
  <c r="AJ8" i="30019"/>
  <c r="AI8" i="30019"/>
  <c r="Z8" i="30019"/>
  <c r="AE14" i="30019"/>
  <c r="AP14" i="30019"/>
  <c r="AO14" i="30019"/>
  <c r="AN14" i="30019"/>
  <c r="AM14" i="30019"/>
  <c r="AL14" i="30019"/>
  <c r="AJ14" i="30019"/>
  <c r="AI14" i="30019"/>
  <c r="Z14" i="30019"/>
  <c r="AE15" i="30019"/>
  <c r="AP15" i="30019"/>
  <c r="AO15" i="30019"/>
  <c r="AN15" i="30019"/>
  <c r="AM15" i="30019"/>
  <c r="AL15" i="30019"/>
  <c r="AJ15" i="30019"/>
  <c r="AI15" i="30019"/>
  <c r="Z15" i="30019"/>
  <c r="AE16" i="30019"/>
  <c r="AP16" i="30019"/>
  <c r="AO16" i="30019"/>
  <c r="AN16" i="30019"/>
  <c r="AM16" i="30019"/>
  <c r="AL16" i="30019"/>
  <c r="AJ16" i="30019"/>
  <c r="AI16" i="30019"/>
  <c r="Z16" i="30019"/>
  <c r="AE17" i="30019"/>
  <c r="AP17" i="30019"/>
  <c r="AO17" i="30019"/>
  <c r="AN17" i="30019"/>
  <c r="AM17" i="30019"/>
  <c r="AL17" i="30019"/>
  <c r="AJ17" i="30019"/>
  <c r="AI17" i="30019"/>
  <c r="Z17" i="30019"/>
  <c r="AE23" i="30019"/>
  <c r="AP23" i="30019"/>
  <c r="AO23" i="30019"/>
  <c r="AN23" i="30019"/>
  <c r="AM23" i="30019"/>
  <c r="AL23" i="30019"/>
  <c r="AJ23" i="30019"/>
  <c r="AI23" i="30019"/>
  <c r="Z23" i="30019"/>
  <c r="AE24" i="30019"/>
  <c r="AP24" i="30019"/>
  <c r="AO24" i="30019"/>
  <c r="AN24" i="30019"/>
  <c r="AM24" i="30019"/>
  <c r="AL24" i="30019"/>
  <c r="AJ24" i="30019"/>
  <c r="AI24" i="30019"/>
  <c r="Z24" i="30019"/>
  <c r="AE25" i="30019"/>
  <c r="AP25" i="30019"/>
  <c r="AO25" i="30019"/>
  <c r="AN25" i="30019"/>
  <c r="AM25" i="30019"/>
  <c r="AL25" i="30019"/>
  <c r="AJ25" i="30019"/>
  <c r="AI25" i="30019"/>
  <c r="Z25" i="30019"/>
  <c r="AE26" i="30019"/>
  <c r="AP26" i="30019"/>
  <c r="AO26" i="30019"/>
  <c r="AN26" i="30019"/>
  <c r="AM26" i="30019"/>
  <c r="AL26" i="30019"/>
  <c r="AJ26" i="30019"/>
  <c r="AI26" i="30019"/>
  <c r="Z26" i="30019"/>
  <c r="AE32" i="30019"/>
  <c r="AP32" i="30019"/>
  <c r="AO32" i="30019"/>
  <c r="AN32" i="30019"/>
  <c r="AM32" i="30019"/>
  <c r="AL32" i="30019"/>
  <c r="AJ32" i="30019"/>
  <c r="AI32" i="30019"/>
  <c r="Z32" i="30019"/>
  <c r="AE33" i="30019"/>
  <c r="AP33" i="30019"/>
  <c r="AO33" i="30019"/>
  <c r="AN33" i="30019"/>
  <c r="AM33" i="30019"/>
  <c r="AL33" i="30019"/>
  <c r="AJ33" i="30019"/>
  <c r="AI33" i="30019"/>
  <c r="Z33" i="30019"/>
  <c r="AE34" i="30019"/>
  <c r="AP34" i="30019"/>
  <c r="AO34" i="30019"/>
  <c r="AN34" i="30019"/>
  <c r="AM34" i="30019"/>
  <c r="AL34" i="30019"/>
  <c r="AJ34" i="30019"/>
  <c r="AI34" i="30019"/>
  <c r="Z34" i="30019"/>
  <c r="AE35" i="30019"/>
  <c r="AP35" i="30019"/>
  <c r="AO35" i="30019"/>
  <c r="AN35" i="30019"/>
  <c r="AM35" i="30019"/>
  <c r="AL35" i="30019"/>
  <c r="AJ35" i="30019"/>
  <c r="AI35" i="30019"/>
  <c r="Z35" i="30019"/>
  <c r="AE41" i="30019"/>
  <c r="AP41" i="30019"/>
  <c r="AO41" i="30019"/>
  <c r="AN41" i="30019"/>
  <c r="AM41" i="30019"/>
  <c r="AL41" i="30019"/>
  <c r="AJ41" i="30019"/>
  <c r="AI41" i="30019"/>
  <c r="Z41" i="30019"/>
  <c r="AE42" i="30019"/>
  <c r="AP42" i="30019"/>
  <c r="AO42" i="30019"/>
  <c r="AN42" i="30019"/>
  <c r="AM42" i="30019"/>
  <c r="AL42" i="30019"/>
  <c r="AJ42" i="30019"/>
  <c r="AI42" i="30019"/>
  <c r="Z42" i="30019"/>
  <c r="AE43" i="30019"/>
  <c r="AP43" i="30019"/>
  <c r="AO43" i="30019"/>
  <c r="AN43" i="30019"/>
  <c r="AM43" i="30019"/>
  <c r="AL43" i="30019"/>
  <c r="AJ43" i="30019"/>
  <c r="AI43" i="30019"/>
  <c r="Z43" i="30019"/>
  <c r="AE44" i="30019"/>
  <c r="AP44" i="30019"/>
  <c r="AO44" i="30019"/>
  <c r="AN44" i="30019"/>
  <c r="AM44" i="30019"/>
  <c r="AL44" i="30019"/>
  <c r="AJ44" i="30019"/>
  <c r="AI44" i="30019"/>
  <c r="Z44" i="30019"/>
  <c r="AE50" i="30019"/>
  <c r="AP50" i="30019"/>
  <c r="AO50" i="30019"/>
  <c r="AN50" i="30019"/>
  <c r="AM50" i="30019"/>
  <c r="AL50" i="30019"/>
  <c r="AJ50" i="30019"/>
  <c r="AI50" i="30019"/>
  <c r="Z50" i="30019"/>
  <c r="AE51" i="30019"/>
  <c r="AP51" i="30019"/>
  <c r="AO51" i="30019"/>
  <c r="AN51" i="30019"/>
  <c r="AM51" i="30019"/>
  <c r="AL51" i="30019"/>
  <c r="AJ51" i="30019"/>
  <c r="AI51" i="30019"/>
  <c r="Z51" i="30019"/>
  <c r="AE52" i="30019"/>
  <c r="AP52" i="30019"/>
  <c r="AO52" i="30019"/>
  <c r="AN52" i="30019"/>
  <c r="AM52" i="30019"/>
  <c r="AL52" i="30019"/>
  <c r="AJ52" i="30019"/>
  <c r="AI52" i="30019"/>
  <c r="Z52" i="30019"/>
  <c r="AE53" i="30019"/>
  <c r="AP53" i="30019"/>
  <c r="AO53" i="30019"/>
  <c r="AN53" i="30019"/>
  <c r="AM53" i="30019"/>
  <c r="AL53" i="30019"/>
  <c r="AJ53" i="30019"/>
  <c r="AI53" i="30019"/>
  <c r="Z53" i="30019"/>
  <c r="AE59" i="30019"/>
  <c r="AP59" i="30019"/>
  <c r="AO59" i="30019"/>
  <c r="AN59" i="30019"/>
  <c r="AM59" i="30019"/>
  <c r="AL59" i="30019"/>
  <c r="Z59" i="30019"/>
  <c r="AE60" i="30019"/>
  <c r="AP60" i="30019"/>
  <c r="AO60" i="30019"/>
  <c r="AN60" i="30019"/>
  <c r="AM60" i="30019"/>
  <c r="AL60" i="30019"/>
  <c r="Z60" i="30019"/>
  <c r="AE61" i="30019"/>
  <c r="AP61" i="30019"/>
  <c r="AO61" i="30019"/>
  <c r="AN61" i="30019"/>
  <c r="AM61" i="30019"/>
  <c r="AL61" i="30019"/>
  <c r="AJ61" i="30019"/>
  <c r="AI61" i="30019"/>
  <c r="Z61" i="30019"/>
  <c r="AE62" i="30019"/>
  <c r="AP62" i="30019"/>
  <c r="AO62" i="30019"/>
  <c r="AN62" i="30019"/>
  <c r="AM62" i="30019"/>
  <c r="AL62" i="30019"/>
  <c r="AJ62" i="30019"/>
  <c r="AI62" i="30019"/>
  <c r="Z62" i="30019"/>
  <c r="AG34" i="30102"/>
  <c r="AF34" i="30102"/>
  <c r="AE34" i="30102"/>
  <c r="AC34" i="30102"/>
  <c r="Z34" i="30102"/>
  <c r="AH34" i="30102" s="1"/>
  <c r="V34" i="30102"/>
  <c r="L62" i="30019" s="1"/>
  <c r="AH62" i="30019" s="1"/>
  <c r="AG33" i="30102"/>
  <c r="AF33" i="30102"/>
  <c r="AE33" i="30102"/>
  <c r="AC33" i="30102"/>
  <c r="Z33" i="30102"/>
  <c r="AH33" i="30102" s="1"/>
  <c r="V33" i="30102"/>
  <c r="L61" i="30019" s="1"/>
  <c r="AH61" i="30019" s="1"/>
  <c r="AG32" i="30102"/>
  <c r="AF32" i="30102"/>
  <c r="AC32" i="30102"/>
  <c r="Z32" i="30102"/>
  <c r="AH32" i="30102" s="1"/>
  <c r="V32" i="30102"/>
  <c r="L60" i="30019" s="1"/>
  <c r="AG31" i="30102"/>
  <c r="AF31" i="30102"/>
  <c r="AC31" i="30102"/>
  <c r="Z31" i="30102"/>
  <c r="AH31" i="30102" s="1"/>
  <c r="V31" i="30102"/>
  <c r="L59" i="30019" s="1"/>
  <c r="AG30" i="30102"/>
  <c r="AF30" i="30102"/>
  <c r="AC30" i="30102"/>
  <c r="Z30" i="30102"/>
  <c r="AH30" i="30102" s="1"/>
  <c r="V30" i="30102"/>
  <c r="L53" i="30019" s="1"/>
  <c r="AH53" i="30019" s="1"/>
  <c r="AH29" i="30102"/>
  <c r="AG29" i="30102"/>
  <c r="AF29" i="30102"/>
  <c r="AE29" i="30102"/>
  <c r="AC29" i="30102"/>
  <c r="Z29" i="30102"/>
  <c r="V29" i="30102"/>
  <c r="L52" i="30019" s="1"/>
  <c r="AH52" i="30019" s="1"/>
  <c r="AH28" i="30102"/>
  <c r="AG28" i="30102"/>
  <c r="AF28" i="30102"/>
  <c r="AE28" i="30102"/>
  <c r="AC28" i="30102"/>
  <c r="Z28" i="30102"/>
  <c r="V28" i="30102"/>
  <c r="L51" i="30019" s="1"/>
  <c r="AH51" i="30019" s="1"/>
  <c r="AG27" i="30102"/>
  <c r="AF27" i="30102"/>
  <c r="AC27" i="30102"/>
  <c r="Z27" i="30102"/>
  <c r="AH27" i="30102" s="1"/>
  <c r="V27" i="30102"/>
  <c r="L50" i="30019" s="1"/>
  <c r="AH50" i="30019" s="1"/>
  <c r="AG26" i="30102"/>
  <c r="AF26" i="30102"/>
  <c r="AE26" i="30102"/>
  <c r="AC26" i="30102"/>
  <c r="Z26" i="30102"/>
  <c r="AH26" i="30102" s="1"/>
  <c r="AI26" i="30102" s="1"/>
  <c r="V26" i="30102"/>
  <c r="L44" i="30019" s="1"/>
  <c r="AH44" i="30019" s="1"/>
  <c r="AH25" i="30102"/>
  <c r="AG25" i="30102"/>
  <c r="AF25" i="30102"/>
  <c r="AE25" i="30102"/>
  <c r="AC25" i="30102"/>
  <c r="Z25" i="30102"/>
  <c r="V25" i="30102"/>
  <c r="L43" i="30019" s="1"/>
  <c r="AH43" i="30019" s="1"/>
  <c r="AG24" i="30102"/>
  <c r="AF24" i="30102"/>
  <c r="AE24" i="30102"/>
  <c r="AC24" i="30102"/>
  <c r="Z24" i="30102"/>
  <c r="AH24" i="30102" s="1"/>
  <c r="V24" i="30102"/>
  <c r="L42" i="30019" s="1"/>
  <c r="AH42" i="30019" s="1"/>
  <c r="AG23" i="30102"/>
  <c r="AF23" i="30102"/>
  <c r="AC23" i="30102"/>
  <c r="Z23" i="30102"/>
  <c r="AH23" i="30102" s="1"/>
  <c r="V23" i="30102"/>
  <c r="L41" i="30019" s="1"/>
  <c r="AH41" i="30019" s="1"/>
  <c r="AG22" i="30102"/>
  <c r="AF22" i="30102"/>
  <c r="AC22" i="30102"/>
  <c r="Z22" i="30102"/>
  <c r="AH22" i="30102" s="1"/>
  <c r="V22" i="30102"/>
  <c r="L35" i="30019" s="1"/>
  <c r="AH35" i="30019" s="1"/>
  <c r="AH21" i="30102"/>
  <c r="AG21" i="30102"/>
  <c r="AF21" i="30102"/>
  <c r="AE21" i="30102"/>
  <c r="AC21" i="30102"/>
  <c r="Z21" i="30102"/>
  <c r="V21" i="30102"/>
  <c r="L34" i="30019" s="1"/>
  <c r="AH34" i="30019" s="1"/>
  <c r="AH20" i="30102"/>
  <c r="AG20" i="30102"/>
  <c r="AF20" i="30102"/>
  <c r="AE20" i="30102"/>
  <c r="AC20" i="30102"/>
  <c r="Z20" i="30102"/>
  <c r="V20" i="30102"/>
  <c r="L33" i="30019" s="1"/>
  <c r="AH33" i="30019" s="1"/>
  <c r="AG19" i="30102"/>
  <c r="AF19" i="30102"/>
  <c r="AC19" i="30102"/>
  <c r="Z19" i="30102"/>
  <c r="AH19" i="30102" s="1"/>
  <c r="V19" i="30102"/>
  <c r="L32" i="30019" s="1"/>
  <c r="AH32" i="30019" s="1"/>
  <c r="AG18" i="30102"/>
  <c r="AF18" i="30102"/>
  <c r="AE18" i="30102"/>
  <c r="AC18" i="30102"/>
  <c r="Z18" i="30102"/>
  <c r="AH18" i="30102" s="1"/>
  <c r="V18" i="30102"/>
  <c r="L26" i="30019" s="1"/>
  <c r="AH26" i="30019" s="1"/>
  <c r="AH17" i="30102"/>
  <c r="AG17" i="30102"/>
  <c r="AF17" i="30102"/>
  <c r="AE17" i="30102"/>
  <c r="AC17" i="30102"/>
  <c r="Z17" i="30102"/>
  <c r="V17" i="30102"/>
  <c r="L25" i="30019" s="1"/>
  <c r="AH25" i="30019" s="1"/>
  <c r="AG16" i="30102"/>
  <c r="AF16" i="30102"/>
  <c r="AE16" i="30102"/>
  <c r="AC16" i="30102"/>
  <c r="Z16" i="30102"/>
  <c r="AH16" i="30102" s="1"/>
  <c r="V16" i="30102"/>
  <c r="L24" i="30019" s="1"/>
  <c r="AH24" i="30019" s="1"/>
  <c r="AG15" i="30102"/>
  <c r="AF15" i="30102"/>
  <c r="AC15" i="30102"/>
  <c r="Z15" i="30102"/>
  <c r="AH15" i="30102" s="1"/>
  <c r="V15" i="30102"/>
  <c r="L23" i="30019" s="1"/>
  <c r="AH23" i="30019" s="1"/>
  <c r="AG14" i="30102"/>
  <c r="AF14" i="30102"/>
  <c r="AC14" i="30102"/>
  <c r="Z14" i="30102"/>
  <c r="AH14" i="30102" s="1"/>
  <c r="V14" i="30102"/>
  <c r="L17" i="30019" s="1"/>
  <c r="AH17" i="30019" s="1"/>
  <c r="AH13" i="30102"/>
  <c r="AG13" i="30102"/>
  <c r="AF13" i="30102"/>
  <c r="AE13" i="30102"/>
  <c r="AC13" i="30102"/>
  <c r="Z13" i="30102"/>
  <c r="V13" i="30102"/>
  <c r="L16" i="30019" s="1"/>
  <c r="AH16" i="30019" s="1"/>
  <c r="AH12" i="30102"/>
  <c r="AG12" i="30102"/>
  <c r="AF12" i="30102"/>
  <c r="AE12" i="30102"/>
  <c r="AC12" i="30102"/>
  <c r="Z12" i="30102"/>
  <c r="V12" i="30102"/>
  <c r="L15" i="30019" s="1"/>
  <c r="AH15" i="30019" s="1"/>
  <c r="AG11" i="30102"/>
  <c r="AF11" i="30102"/>
  <c r="AC11" i="30102"/>
  <c r="Z11" i="30102"/>
  <c r="AH11" i="30102" s="1"/>
  <c r="V11" i="30102"/>
  <c r="L14" i="30019" s="1"/>
  <c r="AH14" i="30019" s="1"/>
  <c r="AG10" i="30102"/>
  <c r="AF10" i="30102"/>
  <c r="AE10" i="30102"/>
  <c r="AC10" i="30102"/>
  <c r="Z10" i="30102"/>
  <c r="AH10" i="30102" s="1"/>
  <c r="V10" i="30102"/>
  <c r="L8" i="30019" s="1"/>
  <c r="AH8" i="30019" s="1"/>
  <c r="AH9" i="30102"/>
  <c r="AG9" i="30102"/>
  <c r="AF9" i="30102"/>
  <c r="AE9" i="30102"/>
  <c r="AC9" i="30102"/>
  <c r="Z9" i="30102"/>
  <c r="V9" i="30102"/>
  <c r="L7" i="30019" s="1"/>
  <c r="AH7" i="30019" s="1"/>
  <c r="AG8" i="30102"/>
  <c r="AF8" i="30102"/>
  <c r="AE8" i="30102"/>
  <c r="AC8" i="30102"/>
  <c r="Z8" i="30102"/>
  <c r="AH8" i="30102" s="1"/>
  <c r="V8" i="30102"/>
  <c r="L6" i="30019" s="1"/>
  <c r="AH6" i="30019" s="1"/>
  <c r="AG7" i="30102"/>
  <c r="AF7" i="30102"/>
  <c r="AC7" i="30102"/>
  <c r="Z7" i="30102"/>
  <c r="AH7" i="30102" s="1"/>
  <c r="V7" i="30102"/>
  <c r="L5" i="30019" s="1"/>
  <c r="AH5" i="30019" s="1"/>
  <c r="AK6" i="30102"/>
  <c r="AE9" i="30019"/>
  <c r="AP9" i="30019"/>
  <c r="AO9" i="30019"/>
  <c r="AN9" i="30019"/>
  <c r="AM9" i="30019"/>
  <c r="AL9" i="30019"/>
  <c r="AJ9" i="30019"/>
  <c r="AI9" i="30019"/>
  <c r="Z9" i="30019"/>
  <c r="AE10" i="30019"/>
  <c r="AP10" i="30019"/>
  <c r="AO10" i="30019"/>
  <c r="AN10" i="30019"/>
  <c r="AM10" i="30019"/>
  <c r="AL10" i="30019"/>
  <c r="Z10" i="30019"/>
  <c r="AE11" i="30019"/>
  <c r="AP11" i="30019"/>
  <c r="AO11" i="30019"/>
  <c r="AN11" i="30019"/>
  <c r="AM11" i="30019"/>
  <c r="AL11" i="30019"/>
  <c r="AJ11" i="30019"/>
  <c r="AI11" i="30019"/>
  <c r="Z11" i="30019"/>
  <c r="AE12" i="30019"/>
  <c r="AP12" i="30019"/>
  <c r="AO12" i="30019"/>
  <c r="AN12" i="30019"/>
  <c r="AM12" i="30019"/>
  <c r="AL12" i="30019"/>
  <c r="AJ12" i="30019"/>
  <c r="AI12" i="30019"/>
  <c r="Z12" i="30019"/>
  <c r="AE18" i="30019"/>
  <c r="AP18" i="30019"/>
  <c r="AO18" i="30019"/>
  <c r="AN18" i="30019"/>
  <c r="AM18" i="30019"/>
  <c r="AL18" i="30019"/>
  <c r="AJ18" i="30019"/>
  <c r="AI18" i="30019"/>
  <c r="Z18" i="30019"/>
  <c r="AE19" i="30019"/>
  <c r="AP19" i="30019"/>
  <c r="AO19" i="30019"/>
  <c r="AN19" i="30019"/>
  <c r="AM19" i="30019"/>
  <c r="AL19" i="30019"/>
  <c r="Z19" i="30019"/>
  <c r="AE20" i="30019"/>
  <c r="AP20" i="30019"/>
  <c r="AO20" i="30019"/>
  <c r="AN20" i="30019"/>
  <c r="AM20" i="30019"/>
  <c r="AL20" i="30019"/>
  <c r="AJ20" i="30019"/>
  <c r="AI20" i="30019"/>
  <c r="Z20" i="30019"/>
  <c r="AE21" i="30019"/>
  <c r="AP21" i="30019"/>
  <c r="AO21" i="30019"/>
  <c r="AN21" i="30019"/>
  <c r="AM21" i="30019"/>
  <c r="AL21" i="30019"/>
  <c r="AJ21" i="30019"/>
  <c r="AI21" i="30019"/>
  <c r="Z21" i="30019"/>
  <c r="AE27" i="30019"/>
  <c r="AP27" i="30019"/>
  <c r="AO27" i="30019"/>
  <c r="AN27" i="30019"/>
  <c r="AM27" i="30019"/>
  <c r="AL27" i="30019"/>
  <c r="AJ27" i="30019"/>
  <c r="AI27" i="30019"/>
  <c r="Z27" i="30019"/>
  <c r="AE28" i="30019"/>
  <c r="AP28" i="30019"/>
  <c r="AO28" i="30019"/>
  <c r="AN28" i="30019"/>
  <c r="AM28" i="30019"/>
  <c r="AL28" i="30019"/>
  <c r="Z28" i="30019"/>
  <c r="AE29" i="30019"/>
  <c r="AP29" i="30019"/>
  <c r="AO29" i="30019"/>
  <c r="AN29" i="30019"/>
  <c r="AM29" i="30019"/>
  <c r="AL29" i="30019"/>
  <c r="AJ29" i="30019"/>
  <c r="AI29" i="30019"/>
  <c r="Z29" i="30019"/>
  <c r="AE30" i="30019"/>
  <c r="AP30" i="30019"/>
  <c r="AO30" i="30019"/>
  <c r="AN30" i="30019"/>
  <c r="AM30" i="30019"/>
  <c r="AL30" i="30019"/>
  <c r="AJ30" i="30019"/>
  <c r="AI30" i="30019"/>
  <c r="Z30" i="30019"/>
  <c r="AE36" i="30019"/>
  <c r="AP36" i="30019"/>
  <c r="AO36" i="30019"/>
  <c r="AN36" i="30019"/>
  <c r="AM36" i="30019"/>
  <c r="AL36" i="30019"/>
  <c r="AJ36" i="30019"/>
  <c r="AI36" i="30019"/>
  <c r="Z36" i="30019"/>
  <c r="AE37" i="30019"/>
  <c r="AP37" i="30019"/>
  <c r="AO37" i="30019"/>
  <c r="AN37" i="30019"/>
  <c r="AM37" i="30019"/>
  <c r="AL37" i="30019"/>
  <c r="Z37" i="30019"/>
  <c r="AE38" i="30019"/>
  <c r="AP38" i="30019"/>
  <c r="AO38" i="30019"/>
  <c r="AN38" i="30019"/>
  <c r="AM38" i="30019"/>
  <c r="AL38" i="30019"/>
  <c r="AJ38" i="30019"/>
  <c r="AI38" i="30019"/>
  <c r="Z38" i="30019"/>
  <c r="AE39" i="30019"/>
  <c r="AP39" i="30019"/>
  <c r="AO39" i="30019"/>
  <c r="AN39" i="30019"/>
  <c r="AM39" i="30019"/>
  <c r="AL39" i="30019"/>
  <c r="AJ39" i="30019"/>
  <c r="AI39" i="30019"/>
  <c r="Z39" i="30019"/>
  <c r="AE45" i="30019"/>
  <c r="AP45" i="30019"/>
  <c r="AO45" i="30019"/>
  <c r="AN45" i="30019"/>
  <c r="AM45" i="30019"/>
  <c r="AL45" i="30019"/>
  <c r="AJ45" i="30019"/>
  <c r="AI45" i="30019"/>
  <c r="Z45" i="30019"/>
  <c r="AE46" i="30019"/>
  <c r="AP46" i="30019"/>
  <c r="AO46" i="30019"/>
  <c r="AN46" i="30019"/>
  <c r="AM46" i="30019"/>
  <c r="AL46" i="30019"/>
  <c r="Z46" i="30019"/>
  <c r="AE47" i="30019"/>
  <c r="AP47" i="30019"/>
  <c r="AO47" i="30019"/>
  <c r="AN47" i="30019"/>
  <c r="AM47" i="30019"/>
  <c r="AL47" i="30019"/>
  <c r="AJ47" i="30019"/>
  <c r="AI47" i="30019"/>
  <c r="Z47" i="30019"/>
  <c r="AE48" i="30019"/>
  <c r="AP48" i="30019"/>
  <c r="AO48" i="30019"/>
  <c r="AN48" i="30019"/>
  <c r="AM48" i="30019"/>
  <c r="AL48" i="30019"/>
  <c r="AJ48" i="30019"/>
  <c r="AI48" i="30019"/>
  <c r="Z48" i="30019"/>
  <c r="AE54" i="30019"/>
  <c r="AP54" i="30019"/>
  <c r="AO54" i="30019"/>
  <c r="AN54" i="30019"/>
  <c r="AM54" i="30019"/>
  <c r="AL54" i="30019"/>
  <c r="AJ54" i="30019"/>
  <c r="AI54" i="30019"/>
  <c r="Z54" i="30019"/>
  <c r="AE55" i="30019"/>
  <c r="AP55" i="30019"/>
  <c r="AO55" i="30019"/>
  <c r="AN55" i="30019"/>
  <c r="AM55" i="30019"/>
  <c r="AL55" i="30019"/>
  <c r="Z55" i="30019"/>
  <c r="AE56" i="30019"/>
  <c r="AP56" i="30019"/>
  <c r="AO56" i="30019"/>
  <c r="AN56" i="30019"/>
  <c r="AM56" i="30019"/>
  <c r="AL56" i="30019"/>
  <c r="AJ56" i="30019"/>
  <c r="AI56" i="30019"/>
  <c r="Z56" i="30019"/>
  <c r="AE57" i="30019"/>
  <c r="AP57" i="30019"/>
  <c r="AO57" i="30019"/>
  <c r="AN57" i="30019"/>
  <c r="AM57" i="30019"/>
  <c r="AL57" i="30019"/>
  <c r="AJ57" i="30019"/>
  <c r="AI57" i="30019"/>
  <c r="Z57" i="30019"/>
  <c r="AE63" i="30019"/>
  <c r="AP63" i="30019"/>
  <c r="AO63" i="30019"/>
  <c r="AN63" i="30019"/>
  <c r="AM63" i="30019"/>
  <c r="AL63" i="30019"/>
  <c r="AJ63" i="30019"/>
  <c r="AI63" i="30019"/>
  <c r="Z63" i="30019"/>
  <c r="AE64" i="30019"/>
  <c r="AP64" i="30019"/>
  <c r="AO64" i="30019"/>
  <c r="AN64" i="30019"/>
  <c r="AM64" i="30019"/>
  <c r="AL64" i="30019"/>
  <c r="Z64" i="30019"/>
  <c r="AE65" i="30019"/>
  <c r="AP65" i="30019"/>
  <c r="AO65" i="30019"/>
  <c r="AN65" i="30019"/>
  <c r="AM65" i="30019"/>
  <c r="AL65" i="30019"/>
  <c r="AJ65" i="30019"/>
  <c r="AI65" i="30019"/>
  <c r="Z65" i="30019"/>
  <c r="AE66" i="30019"/>
  <c r="L66" i="30019"/>
  <c r="AP66" i="30019"/>
  <c r="AO66" i="30019"/>
  <c r="AN66" i="30019"/>
  <c r="AM66" i="30019"/>
  <c r="AL66" i="30019"/>
  <c r="AJ66" i="30019"/>
  <c r="AI66" i="30019"/>
  <c r="Z66" i="30019"/>
  <c r="AG66" i="30102"/>
  <c r="AF66" i="30102"/>
  <c r="AE66" i="30102"/>
  <c r="AC66" i="30102"/>
  <c r="Z66" i="30102"/>
  <c r="V66" i="30102"/>
  <c r="AH66" i="30102" s="1"/>
  <c r="AH65" i="30102"/>
  <c r="AG65" i="30102"/>
  <c r="AF65" i="30102"/>
  <c r="AE65" i="30102"/>
  <c r="AC65" i="30102"/>
  <c r="Z65" i="30102"/>
  <c r="V65" i="30102"/>
  <c r="L65" i="30019" s="1"/>
  <c r="AH64" i="30102"/>
  <c r="AG64" i="30102"/>
  <c r="AE64" i="30102"/>
  <c r="AC64" i="30102"/>
  <c r="Z64" i="30102"/>
  <c r="V64" i="30102"/>
  <c r="L64" i="30019" s="1"/>
  <c r="AH64" i="30019" s="1"/>
  <c r="AG63" i="30102"/>
  <c r="AF63" i="30102"/>
  <c r="AC63" i="30102"/>
  <c r="Z63" i="30102"/>
  <c r="AH63" i="30102" s="1"/>
  <c r="V63" i="30102"/>
  <c r="L63" i="30019" s="1"/>
  <c r="AH63" i="30019" s="1"/>
  <c r="AG62" i="30102"/>
  <c r="AF62" i="30102"/>
  <c r="AE62" i="30102"/>
  <c r="AC62" i="30102"/>
  <c r="Z62" i="30102"/>
  <c r="V62" i="30102"/>
  <c r="L57" i="30019" s="1"/>
  <c r="AH61" i="30102"/>
  <c r="AG61" i="30102"/>
  <c r="AF61" i="30102"/>
  <c r="AE61" i="30102"/>
  <c r="AC61" i="30102"/>
  <c r="Z61" i="30102"/>
  <c r="V61" i="30102"/>
  <c r="L56" i="30019" s="1"/>
  <c r="AH60" i="30102"/>
  <c r="AF60" i="30102"/>
  <c r="AE60" i="30102"/>
  <c r="AC60" i="30102"/>
  <c r="Z60" i="30102"/>
  <c r="AG60" i="30102" s="1"/>
  <c r="V60" i="30102"/>
  <c r="L55" i="30019" s="1"/>
  <c r="AH55" i="30019" s="1"/>
  <c r="AG59" i="30102"/>
  <c r="AF59" i="30102"/>
  <c r="AC59" i="30102"/>
  <c r="Z59" i="30102"/>
  <c r="AH59" i="30102" s="1"/>
  <c r="V59" i="30102"/>
  <c r="L54" i="30019" s="1"/>
  <c r="AH54" i="30019" s="1"/>
  <c r="AG58" i="30102"/>
  <c r="AF58" i="30102"/>
  <c r="AE58" i="30102"/>
  <c r="AC58" i="30102"/>
  <c r="Z58" i="30102"/>
  <c r="V58" i="30102"/>
  <c r="L48" i="30019" s="1"/>
  <c r="AH57" i="30102"/>
  <c r="AG57" i="30102"/>
  <c r="AF57" i="30102"/>
  <c r="AE57" i="30102"/>
  <c r="AC57" i="30102"/>
  <c r="Z57" i="30102"/>
  <c r="V57" i="30102"/>
  <c r="L47" i="30019" s="1"/>
  <c r="AH56" i="30102"/>
  <c r="AG56" i="30102"/>
  <c r="AE56" i="30102"/>
  <c r="AC56" i="30102"/>
  <c r="Z56" i="30102"/>
  <c r="V56" i="30102"/>
  <c r="L46" i="30019" s="1"/>
  <c r="AH46" i="30019" s="1"/>
  <c r="AG55" i="30102"/>
  <c r="AF55" i="30102"/>
  <c r="AC55" i="30102"/>
  <c r="Z55" i="30102"/>
  <c r="AH55" i="30102" s="1"/>
  <c r="V55" i="30102"/>
  <c r="L45" i="30019" s="1"/>
  <c r="AH45" i="30019" s="1"/>
  <c r="AH54" i="30102"/>
  <c r="AG54" i="30102"/>
  <c r="AF54" i="30102"/>
  <c r="AE54" i="30102"/>
  <c r="AC54" i="30102"/>
  <c r="Z54" i="30102"/>
  <c r="V54" i="30102"/>
  <c r="L39" i="30019" s="1"/>
  <c r="AH53" i="30102"/>
  <c r="AG53" i="30102"/>
  <c r="AF53" i="30102"/>
  <c r="AE53" i="30102"/>
  <c r="AC53" i="30102"/>
  <c r="Z53" i="30102"/>
  <c r="V53" i="30102"/>
  <c r="L38" i="30019" s="1"/>
  <c r="AH52" i="30102"/>
  <c r="AF52" i="30102"/>
  <c r="AE52" i="30102"/>
  <c r="AC52" i="30102"/>
  <c r="Z52" i="30102"/>
  <c r="AG52" i="30102" s="1"/>
  <c r="V52" i="30102"/>
  <c r="L37" i="30019" s="1"/>
  <c r="AH37" i="30019" s="1"/>
  <c r="AG51" i="30102"/>
  <c r="AF51" i="30102"/>
  <c r="AC51" i="30102"/>
  <c r="Z51" i="30102"/>
  <c r="AH51" i="30102" s="1"/>
  <c r="V51" i="30102"/>
  <c r="L36" i="30019" s="1"/>
  <c r="AH36" i="30019" s="1"/>
  <c r="AG50" i="30102"/>
  <c r="AF50" i="30102"/>
  <c r="AE50" i="30102"/>
  <c r="AC50" i="30102"/>
  <c r="Z50" i="30102"/>
  <c r="V50" i="30102"/>
  <c r="L30" i="30019" s="1"/>
  <c r="AH49" i="30102"/>
  <c r="AG49" i="30102"/>
  <c r="AF49" i="30102"/>
  <c r="AC49" i="30102"/>
  <c r="Z49" i="30102"/>
  <c r="AE49" i="30102" s="1"/>
  <c r="V49" i="30102"/>
  <c r="L29" i="30019" s="1"/>
  <c r="AH48" i="30102"/>
  <c r="AG48" i="30102"/>
  <c r="AE48" i="30102"/>
  <c r="AC48" i="30102"/>
  <c r="Z48" i="30102"/>
  <c r="V48" i="30102"/>
  <c r="L28" i="30019" s="1"/>
  <c r="AH28" i="30019" s="1"/>
  <c r="AG47" i="30102"/>
  <c r="AF47" i="30102"/>
  <c r="AE47" i="30102"/>
  <c r="AC47" i="30102"/>
  <c r="Z47" i="30102"/>
  <c r="AH47" i="30102" s="1"/>
  <c r="V47" i="30102"/>
  <c r="L27" i="30019" s="1"/>
  <c r="AH27" i="30019" s="1"/>
  <c r="AH46" i="30102"/>
  <c r="AG46" i="30102"/>
  <c r="AF46" i="30102"/>
  <c r="AE46" i="30102"/>
  <c r="AC46" i="30102"/>
  <c r="Z46" i="30102"/>
  <c r="V46" i="30102"/>
  <c r="L21" i="30019" s="1"/>
  <c r="AH45" i="30102"/>
  <c r="AG45" i="30102"/>
  <c r="AF45" i="30102"/>
  <c r="AE45" i="30102"/>
  <c r="AC45" i="30102"/>
  <c r="Z45" i="30102"/>
  <c r="V45" i="30102"/>
  <c r="L20" i="30019" s="1"/>
  <c r="AH44" i="30102"/>
  <c r="AF44" i="30102"/>
  <c r="AE44" i="30102"/>
  <c r="AC44" i="30102"/>
  <c r="Z44" i="30102"/>
  <c r="AG44" i="30102" s="1"/>
  <c r="V44" i="30102"/>
  <c r="L19" i="30019" s="1"/>
  <c r="AH19" i="30019" s="1"/>
  <c r="AG43" i="30102"/>
  <c r="AF43" i="30102"/>
  <c r="AC43" i="30102"/>
  <c r="Z43" i="30102"/>
  <c r="AH43" i="30102" s="1"/>
  <c r="V43" i="30102"/>
  <c r="L18" i="30019" s="1"/>
  <c r="AH18" i="30019" s="1"/>
  <c r="AG42" i="30102"/>
  <c r="AF42" i="30102"/>
  <c r="AE42" i="30102"/>
  <c r="AC42" i="30102"/>
  <c r="Z42" i="30102"/>
  <c r="V42" i="30102"/>
  <c r="L12" i="30019" s="1"/>
  <c r="AH41" i="30102"/>
  <c r="AG41" i="30102"/>
  <c r="AF41" i="30102"/>
  <c r="AC41" i="30102"/>
  <c r="Z41" i="30102"/>
  <c r="AE41" i="30102" s="1"/>
  <c r="AI41" i="30102" s="1"/>
  <c r="V41" i="30102"/>
  <c r="L11" i="30019" s="1"/>
  <c r="AH40" i="30102"/>
  <c r="AG40" i="30102"/>
  <c r="AE40" i="30102"/>
  <c r="AC40" i="30102"/>
  <c r="Z40" i="30102"/>
  <c r="V40" i="30102"/>
  <c r="L10" i="30019" s="1"/>
  <c r="AH10" i="30019" s="1"/>
  <c r="AG39" i="30102"/>
  <c r="AF39" i="30102"/>
  <c r="AE39" i="30102"/>
  <c r="AC39" i="30102"/>
  <c r="Z39" i="30102"/>
  <c r="AH39" i="30102" s="1"/>
  <c r="V39" i="30102"/>
  <c r="L9" i="30019" s="1"/>
  <c r="AH9" i="30019" s="1"/>
  <c r="AK38" i="30102"/>
  <c r="B4346" i="29955"/>
  <c r="B4345" i="29955"/>
  <c r="B4344" i="29955"/>
  <c r="B4343" i="29955"/>
  <c r="B4342" i="29955"/>
  <c r="B4341" i="29955"/>
  <c r="B4340" i="29955"/>
  <c r="B4339" i="29955"/>
  <c r="B4338" i="29955"/>
  <c r="B4337" i="29955"/>
  <c r="B4336" i="29955"/>
  <c r="B4335" i="29955"/>
  <c r="B4334" i="29955"/>
  <c r="B4333" i="29955"/>
  <c r="B4332" i="29955"/>
  <c r="B4331" i="29955"/>
  <c r="B4330" i="29955"/>
  <c r="B4329" i="29955"/>
  <c r="B4328" i="29955"/>
  <c r="B4327" i="29955"/>
  <c r="B4326" i="29955"/>
  <c r="B4325" i="29955"/>
  <c r="B4324" i="29955"/>
  <c r="B4323" i="29955"/>
  <c r="B4322" i="29955"/>
  <c r="B4321" i="29955"/>
  <c r="B4320" i="29955"/>
  <c r="B4319" i="29955"/>
  <c r="B4318" i="29955"/>
  <c r="B4317" i="29955"/>
  <c r="B4316" i="29955"/>
  <c r="B4315" i="29955"/>
  <c r="B4314" i="29955"/>
  <c r="B4313" i="29955"/>
  <c r="B4312" i="29955"/>
  <c r="B4311" i="29955"/>
  <c r="B4310" i="29955"/>
  <c r="B4309" i="29955"/>
  <c r="B4308" i="29955"/>
  <c r="B4307" i="29955"/>
  <c r="B4306" i="29955"/>
  <c r="B4305" i="29955"/>
  <c r="B4304" i="29955"/>
  <c r="B4303" i="29955"/>
  <c r="B4302" i="29955"/>
  <c r="B4301" i="29955"/>
  <c r="B4300" i="29955"/>
  <c r="B4299" i="29955"/>
  <c r="B4298" i="29955"/>
  <c r="B4297" i="29955"/>
  <c r="B4296" i="29955"/>
  <c r="B4295" i="29955"/>
  <c r="B4294" i="29955"/>
  <c r="B4293" i="29955"/>
  <c r="B4292" i="29955"/>
  <c r="B4291" i="29955"/>
  <c r="B4290" i="29955"/>
  <c r="B4289" i="29955"/>
  <c r="B4288" i="29955"/>
  <c r="B4287" i="29955"/>
  <c r="B4286" i="29955"/>
  <c r="B4285" i="29955"/>
  <c r="B4284" i="29955"/>
  <c r="B4283" i="29955"/>
  <c r="B4282" i="29955"/>
  <c r="B4281" i="29955"/>
  <c r="B4280" i="29955"/>
  <c r="B4279" i="29955"/>
  <c r="B4278" i="29955"/>
  <c r="B4277" i="29955"/>
  <c r="B4276" i="29955"/>
  <c r="B4275" i="29955"/>
  <c r="B4274" i="29955"/>
  <c r="B4273" i="29955"/>
  <c r="B4272" i="29955"/>
  <c r="B4271" i="29955"/>
  <c r="B4270" i="29955"/>
  <c r="B4269" i="29955"/>
  <c r="B4268" i="29955"/>
  <c r="B4267" i="29955"/>
  <c r="B4266" i="29955"/>
  <c r="B4265" i="29955"/>
  <c r="B4264" i="29955"/>
  <c r="B4263" i="29955"/>
  <c r="B4262" i="29955"/>
  <c r="B4261" i="29955"/>
  <c r="B4260" i="29955"/>
  <c r="B4259" i="29955"/>
  <c r="B4258" i="29955"/>
  <c r="B4257" i="29955"/>
  <c r="B4256" i="29955"/>
  <c r="B4255" i="29955"/>
  <c r="B4254" i="29955"/>
  <c r="B4253" i="29955"/>
  <c r="B4252" i="29955"/>
  <c r="B4251" i="29955"/>
  <c r="B4250" i="29955"/>
  <c r="B4249" i="29955"/>
  <c r="B4248" i="29955"/>
  <c r="B4247" i="29955"/>
  <c r="B4246" i="29955"/>
  <c r="B4245" i="29955"/>
  <c r="B4244" i="29955"/>
  <c r="B4243" i="29955"/>
  <c r="B4242" i="29955"/>
  <c r="B4241" i="29955"/>
  <c r="B4240" i="29955"/>
  <c r="B4239" i="29955"/>
  <c r="B4238" i="29955"/>
  <c r="B4237" i="29955"/>
  <c r="B4236" i="29955"/>
  <c r="B4235" i="29955"/>
  <c r="B4234" i="29955"/>
  <c r="B4233" i="29955"/>
  <c r="B4232" i="29955"/>
  <c r="B4231" i="29955"/>
  <c r="B4230" i="29955"/>
  <c r="B4229" i="29955"/>
  <c r="B4228" i="29955"/>
  <c r="B4227" i="29955"/>
  <c r="B4226" i="29955"/>
  <c r="B4225" i="29955"/>
  <c r="B4224" i="29955"/>
  <c r="B4223" i="29955"/>
  <c r="B4222" i="29955"/>
  <c r="B4221" i="29955"/>
  <c r="B4220" i="29955"/>
  <c r="B4219" i="29955"/>
  <c r="B4218" i="29955"/>
  <c r="B4217" i="29955"/>
  <c r="B4216" i="29955"/>
  <c r="B4215" i="29955"/>
  <c r="B4214" i="29955"/>
  <c r="B4213" i="29955"/>
  <c r="B4212" i="29955"/>
  <c r="B4211" i="29955"/>
  <c r="B4210" i="29955"/>
  <c r="B4209" i="29955"/>
  <c r="B4208" i="29955"/>
  <c r="B4207" i="29955"/>
  <c r="B4206" i="29955"/>
  <c r="B4205" i="29955"/>
  <c r="B4204" i="29955"/>
  <c r="B4203" i="29955"/>
  <c r="B4202" i="29955"/>
  <c r="B4201" i="29955"/>
  <c r="B4200" i="29955"/>
  <c r="B4199" i="29955"/>
  <c r="B4198" i="29955"/>
  <c r="B4197" i="29955"/>
  <c r="B4196" i="29955"/>
  <c r="B4195" i="29955"/>
  <c r="B4194" i="29955"/>
  <c r="B4193" i="29955"/>
  <c r="B4192" i="29955"/>
  <c r="B4191" i="29955"/>
  <c r="B4190" i="29955"/>
  <c r="B4189" i="29955"/>
  <c r="B4188" i="29955"/>
  <c r="B4187" i="29955"/>
  <c r="B4186" i="29955"/>
  <c r="B4185" i="29955"/>
  <c r="B4184" i="29955"/>
  <c r="B4183" i="29955"/>
  <c r="B4182" i="29955"/>
  <c r="B4181" i="29955"/>
  <c r="B4180" i="29955"/>
  <c r="B4179" i="29955"/>
  <c r="B4178" i="29955"/>
  <c r="B4177" i="29955"/>
  <c r="B4176" i="29955"/>
  <c r="B4175" i="29955"/>
  <c r="B4174" i="29955"/>
  <c r="B4173" i="29955"/>
  <c r="B4172" i="29955"/>
  <c r="B4171" i="29955"/>
  <c r="B4170" i="29955"/>
  <c r="B4169" i="29955"/>
  <c r="B4168" i="29955"/>
  <c r="B4167" i="29955"/>
  <c r="B4166" i="29955"/>
  <c r="B4165" i="29955"/>
  <c r="B4164" i="29955"/>
  <c r="B4163" i="29955"/>
  <c r="B4162" i="29955"/>
  <c r="B4161" i="29955"/>
  <c r="B4160" i="29955"/>
  <c r="B4159" i="29955"/>
  <c r="B4158" i="29955"/>
  <c r="B4157" i="29955"/>
  <c r="B4156" i="29955"/>
  <c r="B4155" i="29955"/>
  <c r="B4154" i="29955"/>
  <c r="B4153" i="29955"/>
  <c r="B4152" i="29955"/>
  <c r="B4151" i="29955"/>
  <c r="B4150" i="29955"/>
  <c r="B4149" i="29955"/>
  <c r="B4148" i="29955"/>
  <c r="B4147" i="29955"/>
  <c r="AB9" i="30103"/>
  <c r="V2" i="30104"/>
  <c r="AD9" i="30102"/>
  <c r="AB54" i="30102"/>
  <c r="V2" i="30103"/>
  <c r="AD29" i="30102"/>
  <c r="AB55" i="30102"/>
  <c r="AD48" i="30102"/>
  <c r="AB65" i="30102"/>
  <c r="AD64" i="30102"/>
  <c r="AD30" i="30102"/>
  <c r="AB41" i="30102"/>
  <c r="AB27" i="30102"/>
  <c r="AB42" i="30102"/>
  <c r="AD63" i="30102"/>
  <c r="AB31" i="30102"/>
  <c r="AD50" i="30102"/>
  <c r="AD59" i="30102"/>
  <c r="AB11" i="30102"/>
  <c r="AD27" i="30102"/>
  <c r="AB47" i="30102"/>
  <c r="AB64" i="30102"/>
  <c r="V2" i="30102"/>
  <c r="AB21" i="30102"/>
  <c r="AB52" i="30102"/>
  <c r="AB51" i="30102"/>
  <c r="AB49" i="30102"/>
  <c r="AB7" i="30102"/>
  <c r="AD25" i="30102"/>
  <c r="AB66" i="30102"/>
  <c r="AD44" i="30102"/>
  <c r="AB10" i="30102"/>
  <c r="AD24" i="30102"/>
  <c r="AB62" i="30102"/>
  <c r="AB59" i="30102"/>
  <c r="AD33" i="30102"/>
  <c r="AD39" i="30102"/>
  <c r="AB40" i="30102"/>
  <c r="AB24" i="30102"/>
  <c r="AD43" i="30102"/>
  <c r="AB48" i="30102"/>
  <c r="AB26" i="30102"/>
  <c r="AD54" i="30102"/>
  <c r="AD42" i="30102"/>
  <c r="AD10" i="30102"/>
  <c r="AB50" i="30102"/>
  <c r="AD62" i="30102"/>
  <c r="AD65" i="30102"/>
  <c r="AB30" i="30102"/>
  <c r="AB53" i="30102"/>
  <c r="AB23" i="30102"/>
  <c r="AB28" i="30102"/>
  <c r="AD58" i="30102"/>
  <c r="AD16" i="30102"/>
  <c r="AD31" i="30102"/>
  <c r="AD22" i="30102"/>
  <c r="AB44" i="30102"/>
  <c r="AD13" i="30102"/>
  <c r="AD51" i="30102"/>
  <c r="AB45" i="30102"/>
  <c r="AD60" i="30102"/>
  <c r="AB60" i="30102"/>
  <c r="AB34" i="30102"/>
  <c r="AD49" i="30102"/>
  <c r="AB22" i="30102"/>
  <c r="AB16" i="30102"/>
  <c r="AD14" i="30102"/>
  <c r="AD53" i="30102"/>
  <c r="AD32" i="30102"/>
  <c r="AD11" i="30102"/>
  <c r="K57" i="30019"/>
  <c r="K55" i="30019"/>
  <c r="K70" i="30019"/>
  <c r="K14" i="30019"/>
  <c r="K77" i="30019"/>
  <c r="K32" i="30019"/>
  <c r="H12" i="30102"/>
  <c r="K27" i="30019"/>
  <c r="K12" i="30019"/>
  <c r="K87" i="30019"/>
  <c r="K15" i="30019"/>
  <c r="H44" i="30102"/>
  <c r="K93" i="30019"/>
  <c r="K7" i="30019"/>
  <c r="K60" i="30019"/>
  <c r="K66" i="30019"/>
  <c r="K18" i="30019"/>
  <c r="K36" i="30019"/>
  <c r="K108" i="30019"/>
  <c r="K61" i="30019"/>
  <c r="K129" i="30019"/>
  <c r="K64" i="30019"/>
  <c r="K124" i="30019"/>
  <c r="H43" i="30102"/>
  <c r="K90" i="30019"/>
  <c r="K123" i="30019"/>
  <c r="H9" i="30102"/>
  <c r="H8" i="30102"/>
  <c r="K19" i="30019"/>
  <c r="K126" i="30019"/>
  <c r="K45" i="30019"/>
  <c r="K56" i="30019"/>
  <c r="K78" i="30019"/>
  <c r="K28" i="30019"/>
  <c r="K88" i="30019"/>
  <c r="K50" i="30019"/>
  <c r="K16" i="30019"/>
  <c r="K5" i="30019"/>
  <c r="K20" i="30019"/>
  <c r="K21" i="30019"/>
  <c r="K48" i="30019"/>
  <c r="K97" i="30019"/>
  <c r="K43" i="30019"/>
  <c r="K62" i="30019"/>
  <c r="K17" i="30019"/>
  <c r="K110" i="30019"/>
  <c r="K99" i="30019"/>
  <c r="K47" i="30019"/>
  <c r="H46" i="30102"/>
  <c r="K9" i="30019"/>
  <c r="K59" i="30019"/>
  <c r="H11" i="30102"/>
  <c r="K42" i="30019"/>
  <c r="K109" i="30019"/>
  <c r="K54" i="30019"/>
  <c r="K73" i="30019"/>
  <c r="K25" i="30019"/>
  <c r="K86" i="30019"/>
  <c r="K79" i="30019"/>
  <c r="K29" i="30019"/>
  <c r="K117" i="30019"/>
  <c r="K24" i="30019"/>
  <c r="K63" i="30019"/>
  <c r="K26" i="30019"/>
  <c r="K122" i="30019"/>
  <c r="H39" i="30102"/>
  <c r="K96" i="30019"/>
  <c r="K38" i="30019"/>
  <c r="K116" i="30019"/>
  <c r="K119" i="30019"/>
  <c r="K118" i="30019"/>
  <c r="H45" i="30102"/>
  <c r="K75" i="30019"/>
  <c r="K130" i="30019"/>
  <c r="K95" i="30019"/>
  <c r="K98" i="30019"/>
  <c r="K10" i="30019"/>
  <c r="K74" i="30019"/>
  <c r="K81" i="30019"/>
  <c r="H42" i="30102"/>
  <c r="K44" i="30019"/>
  <c r="K8" i="30019"/>
  <c r="H14" i="30102"/>
  <c r="H13" i="30102"/>
  <c r="K11" i="30019"/>
  <c r="AF40" i="30102" l="1"/>
  <c r="AH42" i="30102"/>
  <c r="AF48" i="30102"/>
  <c r="AH50" i="30102"/>
  <c r="AE55" i="30102"/>
  <c r="AI55" i="30102" s="1"/>
  <c r="AF56" i="30102"/>
  <c r="AH58" i="30102"/>
  <c r="AE63" i="30102"/>
  <c r="AF64" i="30102"/>
  <c r="AE11" i="30102"/>
  <c r="AE19" i="30102"/>
  <c r="AE27" i="30102"/>
  <c r="AI18" i="30102"/>
  <c r="AE32" i="30102"/>
  <c r="AE43" i="30102"/>
  <c r="AE51" i="30102"/>
  <c r="AE59" i="30102"/>
  <c r="AI59" i="30102" s="1"/>
  <c r="AH62" i="30102"/>
  <c r="AE7" i="30102"/>
  <c r="AE15" i="30102"/>
  <c r="AE23" i="30102"/>
  <c r="AI23" i="30102" s="1"/>
  <c r="AE31" i="30102"/>
  <c r="AI31" i="30102" s="1"/>
  <c r="AI58" i="30102"/>
  <c r="AI66" i="30102"/>
  <c r="AE14" i="30102"/>
  <c r="AE22" i="30102"/>
  <c r="AI22" i="30102" s="1"/>
  <c r="AE30" i="30102"/>
  <c r="AI57" i="30102"/>
  <c r="AI13" i="30102"/>
  <c r="AI46" i="30019"/>
  <c r="AI19" i="30019"/>
  <c r="AI64" i="30019"/>
  <c r="AI37" i="30019"/>
  <c r="AI10" i="30019"/>
  <c r="AI55" i="30019"/>
  <c r="AI28" i="30019"/>
  <c r="AD23" i="30102"/>
  <c r="AB43" i="30102"/>
  <c r="AD20" i="30102"/>
  <c r="AB39" i="30102"/>
  <c r="AB56" i="30102"/>
  <c r="AD21" i="30102"/>
  <c r="AD8" i="30102"/>
  <c r="AB18" i="30102"/>
  <c r="AB57" i="30102"/>
  <c r="AB13" i="30102"/>
  <c r="AD26" i="30102"/>
  <c r="AD7" i="30102"/>
  <c r="AB15" i="30102"/>
  <c r="AB32" i="30102"/>
  <c r="AB25" i="30102"/>
  <c r="AB58" i="30102"/>
  <c r="AB33" i="30102"/>
  <c r="AB19" i="30102"/>
  <c r="AD41" i="30102"/>
  <c r="AB29" i="30102"/>
  <c r="AB8" i="30102"/>
  <c r="AD28" i="30102"/>
  <c r="AB12" i="30102"/>
  <c r="AD56" i="30102"/>
  <c r="AD61" i="30102"/>
  <c r="AD40" i="30102"/>
  <c r="AD46" i="30102"/>
  <c r="AD55" i="30102"/>
  <c r="AB61" i="30102"/>
  <c r="AD52" i="30102"/>
  <c r="AD34" i="30102"/>
  <c r="AB20" i="30102"/>
  <c r="AB17" i="30102"/>
  <c r="AB14" i="30102"/>
  <c r="AB63" i="30102"/>
  <c r="AD12" i="30102"/>
  <c r="AD19" i="30102"/>
  <c r="AD15" i="30102"/>
  <c r="AD17" i="30102"/>
  <c r="AB9" i="30102"/>
  <c r="AB46" i="30102"/>
  <c r="AD45" i="30102"/>
  <c r="AD66" i="30102"/>
  <c r="AD57" i="30102"/>
  <c r="AD18" i="30102"/>
  <c r="AD47" i="30102"/>
  <c r="K128" i="30019"/>
  <c r="K101" i="30019"/>
  <c r="K35" i="30019"/>
  <c r="K53" i="30019"/>
  <c r="K111" i="30019"/>
  <c r="K41" i="30019"/>
  <c r="K65" i="30019"/>
  <c r="K46" i="30019"/>
  <c r="K80" i="30019"/>
  <c r="K23" i="30019"/>
  <c r="K83" i="30019"/>
  <c r="K112" i="30019"/>
  <c r="K120" i="30019"/>
  <c r="K39" i="30019"/>
  <c r="K92" i="30019"/>
  <c r="K89" i="30019"/>
  <c r="K6" i="30019"/>
  <c r="K69" i="30019"/>
  <c r="K72" i="30019"/>
  <c r="K100" i="30019"/>
  <c r="K82" i="30019"/>
  <c r="K114" i="30019"/>
  <c r="H7" i="30102"/>
  <c r="H10" i="30102"/>
  <c r="K127" i="30019"/>
  <c r="K131" i="30019"/>
  <c r="H41" i="30102"/>
  <c r="K125" i="30019"/>
  <c r="H40" i="30102"/>
  <c r="K115" i="30019"/>
  <c r="K30" i="30019"/>
  <c r="K37" i="30019"/>
  <c r="K113" i="30019"/>
  <c r="K34" i="30019"/>
  <c r="K91" i="30019"/>
  <c r="K102" i="30019"/>
  <c r="K68" i="30019"/>
  <c r="K71" i="30019"/>
  <c r="K33" i="30019"/>
  <c r="K121" i="30019"/>
  <c r="K51" i="30019"/>
  <c r="K84" i="30019"/>
  <c r="K52" i="30019"/>
  <c r="AI30" i="30102" l="1"/>
  <c r="AI52" i="30102"/>
  <c r="AI17" i="30102"/>
  <c r="AI12" i="30102"/>
  <c r="AI48" i="30102"/>
  <c r="AI51" i="30102"/>
  <c r="AI11" i="30102"/>
  <c r="AI20" i="30102"/>
  <c r="AI47" i="30102"/>
  <c r="AI19" i="30102"/>
  <c r="AI46" i="30102"/>
  <c r="AI54" i="30102"/>
  <c r="AI62" i="30102"/>
  <c r="AI34" i="30102"/>
  <c r="AI45" i="30102"/>
  <c r="AI60" i="30102"/>
  <c r="AI24" i="30102"/>
  <c r="AI25" i="30102"/>
  <c r="AI40" i="30102"/>
  <c r="AI43" i="30102"/>
  <c r="AI63" i="30102"/>
  <c r="AI32" i="30102"/>
  <c r="AI56" i="30102"/>
  <c r="AI14" i="30102"/>
  <c r="AI44" i="30102"/>
  <c r="AI33" i="30102"/>
  <c r="M46" i="30102"/>
  <c r="N40" i="30102"/>
  <c r="AI21" i="30102"/>
  <c r="AI28" i="30102"/>
  <c r="M39" i="30102"/>
  <c r="M41" i="30102"/>
  <c r="AI50" i="30102"/>
  <c r="AI64" i="30102"/>
  <c r="AI7" i="30102"/>
  <c r="AI16" i="30102"/>
  <c r="AI27" i="30102"/>
  <c r="AI49" i="30102"/>
  <c r="AI15" i="30102"/>
  <c r="AI29" i="30102"/>
  <c r="O39" i="30102"/>
  <c r="AI8" i="30102"/>
  <c r="AI9" i="30102"/>
  <c r="AI10" i="30102"/>
  <c r="AI39" i="30102"/>
  <c r="AI42" i="30102"/>
  <c r="L40" i="30102"/>
  <c r="L42" i="30102"/>
  <c r="H102" i="30019"/>
  <c r="H101" i="30019"/>
  <c r="H100" i="30019"/>
  <c r="H99" i="30019"/>
  <c r="H93" i="30019"/>
  <c r="H92" i="30019"/>
  <c r="H91" i="30019"/>
  <c r="H90" i="30019"/>
  <c r="H111" i="30019"/>
  <c r="H110" i="30019"/>
  <c r="H84" i="30019"/>
  <c r="H83" i="30019"/>
  <c r="H129" i="30019"/>
  <c r="H82" i="30019"/>
  <c r="H128" i="30019"/>
  <c r="H75" i="30019"/>
  <c r="H123" i="30019"/>
  <c r="H122" i="30019"/>
  <c r="H121" i="30019"/>
  <c r="H120" i="30019"/>
  <c r="H81" i="30019"/>
  <c r="H74" i="30019"/>
  <c r="H117" i="30019"/>
  <c r="H116" i="30019"/>
  <c r="H73" i="30019"/>
  <c r="H72" i="30019"/>
  <c r="H113" i="30019"/>
  <c r="H112" i="30019"/>
  <c r="AD5" i="30019"/>
  <c r="H98" i="30019"/>
  <c r="H97" i="30019"/>
  <c r="H96" i="30019"/>
  <c r="H95" i="30019"/>
  <c r="H89" i="30019"/>
  <c r="H88" i="30019"/>
  <c r="H87" i="30019"/>
  <c r="H86" i="30019"/>
  <c r="H109" i="30019"/>
  <c r="H108" i="30019"/>
  <c r="H80" i="30019"/>
  <c r="H79" i="30019"/>
  <c r="H131" i="30019"/>
  <c r="H78" i="30019"/>
  <c r="H130" i="30019"/>
  <c r="H71" i="30019"/>
  <c r="H127" i="30019"/>
  <c r="H126" i="30019"/>
  <c r="H125" i="30019"/>
  <c r="H124" i="30019"/>
  <c r="H77" i="30019"/>
  <c r="H70" i="30019"/>
  <c r="H119" i="30019"/>
  <c r="H118" i="30019"/>
  <c r="H69" i="30019"/>
  <c r="H68" i="30019"/>
  <c r="H115" i="30019"/>
  <c r="H114" i="30019"/>
  <c r="A7" i="30019"/>
  <c r="V7" i="30019" s="1"/>
  <c r="AD6" i="30019"/>
  <c r="H48" i="30019"/>
  <c r="H56" i="30019"/>
  <c r="H38" i="30019"/>
  <c r="H64" i="30019"/>
  <c r="H46" i="30019"/>
  <c r="H54" i="30019"/>
  <c r="H36" i="30019"/>
  <c r="H57" i="30019"/>
  <c r="H39" i="30019"/>
  <c r="H65" i="30019"/>
  <c r="H47" i="30019"/>
  <c r="H55" i="30019"/>
  <c r="H37" i="30019"/>
  <c r="H66" i="30019"/>
  <c r="H63" i="30019"/>
  <c r="H45" i="30019"/>
  <c r="H30" i="30019"/>
  <c r="H29" i="30019"/>
  <c r="H28" i="30019"/>
  <c r="H27" i="30019"/>
  <c r="H21" i="30019"/>
  <c r="H20" i="30019"/>
  <c r="H19" i="30019"/>
  <c r="H18" i="30019"/>
  <c r="H12" i="30019"/>
  <c r="H11" i="30019"/>
  <c r="H10" i="30019"/>
  <c r="H9" i="30019"/>
  <c r="H62" i="30019"/>
  <c r="H61" i="30019"/>
  <c r="H60" i="30019"/>
  <c r="H59" i="30019"/>
  <c r="H53" i="30019"/>
  <c r="H52" i="30019"/>
  <c r="H51" i="30019"/>
  <c r="H50" i="30019"/>
  <c r="H44" i="30019"/>
  <c r="H43" i="30019"/>
  <c r="H42" i="30019"/>
  <c r="H41" i="30019"/>
  <c r="H35" i="30019"/>
  <c r="H34" i="30019"/>
  <c r="H33" i="30019"/>
  <c r="H32" i="30019"/>
  <c r="H26" i="30019"/>
  <c r="H25" i="30019"/>
  <c r="H24" i="30019"/>
  <c r="H23" i="30019"/>
  <c r="H17" i="30019"/>
  <c r="H16" i="30019"/>
  <c r="H15" i="30019"/>
  <c r="H14" i="30019"/>
  <c r="H8" i="30019"/>
  <c r="H7" i="30019"/>
  <c r="H6" i="30019"/>
  <c r="H5" i="30019"/>
  <c r="P39" i="30102"/>
  <c r="Q39" i="30102" s="1"/>
  <c r="O40" i="30102"/>
  <c r="N41" i="30102"/>
  <c r="M42" i="30102"/>
  <c r="L43" i="30102"/>
  <c r="L45" i="30102"/>
  <c r="AI53" i="30102"/>
  <c r="N42" i="30102"/>
  <c r="M43" i="30102"/>
  <c r="L44" i="30102"/>
  <c r="N45" i="30102"/>
  <c r="O42" i="30102"/>
  <c r="P45" i="30102"/>
  <c r="AI61" i="30102"/>
  <c r="AI65" i="30102"/>
  <c r="N46" i="30102"/>
  <c r="O45" i="30102"/>
  <c r="L46" i="30102"/>
  <c r="J46" i="30102" s="1"/>
  <c r="M45" i="30102"/>
  <c r="O41" i="30102"/>
  <c r="P41" i="30102"/>
  <c r="N43" i="30102"/>
  <c r="P42" i="30102"/>
  <c r="O43" i="30102"/>
  <c r="N44" i="30102"/>
  <c r="O46" i="30102"/>
  <c r="P40" i="30102"/>
  <c r="M44" i="30102"/>
  <c r="L39" i="30102"/>
  <c r="P43" i="30102"/>
  <c r="O44" i="30102"/>
  <c r="P46" i="30102"/>
  <c r="P44" i="30102"/>
  <c r="N39" i="30102"/>
  <c r="M40" i="30102"/>
  <c r="L41" i="30102"/>
  <c r="L7" i="30102"/>
  <c r="J7" i="30102" s="1"/>
  <c r="L11" i="30102"/>
  <c r="M7" i="30102"/>
  <c r="L8" i="30102"/>
  <c r="M10" i="30102"/>
  <c r="M11" i="30102"/>
  <c r="N7" i="30102"/>
  <c r="M8" i="30102"/>
  <c r="N9" i="30102"/>
  <c r="N10" i="30102"/>
  <c r="P11" i="30102"/>
  <c r="N13" i="30102"/>
  <c r="O7" i="30102"/>
  <c r="N8" i="30102"/>
  <c r="O9" i="30102"/>
  <c r="P7" i="30102"/>
  <c r="O8" i="30102"/>
  <c r="N14" i="30102"/>
  <c r="O13" i="30102"/>
  <c r="P12" i="30102"/>
  <c r="M14" i="30102"/>
  <c r="L14" i="30102"/>
  <c r="M13" i="30102"/>
  <c r="N12" i="30102"/>
  <c r="O11" i="30102"/>
  <c r="Q11" i="30102" s="1"/>
  <c r="P10" i="30102"/>
  <c r="L13" i="30102"/>
  <c r="M12" i="30102"/>
  <c r="N11" i="30102"/>
  <c r="O10" i="30102"/>
  <c r="P9" i="30102"/>
  <c r="Q9" i="30102" s="1"/>
  <c r="P14" i="30102"/>
  <c r="L10" i="30102"/>
  <c r="M9" i="30102"/>
  <c r="O14" i="30102"/>
  <c r="P13" i="30102"/>
  <c r="L9" i="30102"/>
  <c r="P8" i="30102"/>
  <c r="V5" i="30019"/>
  <c r="L12" i="30102"/>
  <c r="V6" i="30019"/>
  <c r="O12" i="30102"/>
  <c r="J118" i="30019"/>
  <c r="J127" i="30019"/>
  <c r="I18" i="30019"/>
  <c r="J51" i="30019"/>
  <c r="I34" i="30019"/>
  <c r="J120" i="30019"/>
  <c r="J14" i="30019"/>
  <c r="J110" i="30019"/>
  <c r="I129" i="30019"/>
  <c r="J75" i="30019"/>
  <c r="I35" i="30019"/>
  <c r="I37" i="30019"/>
  <c r="J114" i="30019"/>
  <c r="J16" i="30019"/>
  <c r="I128" i="30019"/>
  <c r="I33" i="30019"/>
  <c r="I99" i="30019"/>
  <c r="I116" i="30019"/>
  <c r="J119" i="30019"/>
  <c r="J59" i="30019"/>
  <c r="I6" i="30019"/>
  <c r="J82" i="30019"/>
  <c r="I96" i="30019"/>
  <c r="I39" i="30019"/>
  <c r="I108" i="30019"/>
  <c r="J89" i="30019"/>
  <c r="I23" i="30019"/>
  <c r="J20" i="30019"/>
  <c r="J96" i="30019"/>
  <c r="I9" i="30019"/>
  <c r="J109" i="30019"/>
  <c r="J131" i="30019"/>
  <c r="J101" i="30019"/>
  <c r="J50" i="30019"/>
  <c r="I86" i="30019"/>
  <c r="I8" i="30019"/>
  <c r="J113" i="30019"/>
  <c r="J98" i="30019"/>
  <c r="I90" i="30019"/>
  <c r="I83" i="30019"/>
  <c r="I74" i="30019"/>
  <c r="I10" i="30019"/>
  <c r="I97" i="30019"/>
  <c r="I71" i="30019"/>
  <c r="J38" i="30019"/>
  <c r="J24" i="30019"/>
  <c r="J93" i="30019"/>
  <c r="I100" i="30019"/>
  <c r="J48" i="30019"/>
  <c r="J66" i="30019"/>
  <c r="J8" i="30019"/>
  <c r="I19" i="30019"/>
  <c r="I126" i="30019"/>
  <c r="I68" i="30019"/>
  <c r="I57" i="30019"/>
  <c r="I92" i="30019"/>
  <c r="J55" i="30019"/>
  <c r="I118" i="30019"/>
  <c r="J52" i="30019"/>
  <c r="I130" i="30019"/>
  <c r="J29" i="30019"/>
  <c r="J128" i="30019"/>
  <c r="J43" i="30019"/>
  <c r="J5" i="30019"/>
  <c r="I95" i="30019"/>
  <c r="J54" i="30019"/>
  <c r="J87" i="30019"/>
  <c r="I30" i="30019"/>
  <c r="I43" i="30019"/>
  <c r="J44" i="30019"/>
  <c r="J57" i="30019"/>
  <c r="J77" i="30019"/>
  <c r="I51" i="30019"/>
  <c r="J100" i="30019"/>
  <c r="I114" i="30019"/>
  <c r="I89" i="30019"/>
  <c r="J129" i="30019"/>
  <c r="J7" i="30019"/>
  <c r="I77" i="30019"/>
  <c r="J46" i="30019"/>
  <c r="I54" i="30019"/>
  <c r="I26" i="30019"/>
  <c r="J41" i="30019"/>
  <c r="J61" i="30019"/>
  <c r="J34" i="30019"/>
  <c r="I91" i="30019"/>
  <c r="J28" i="30019"/>
  <c r="J62" i="30019"/>
  <c r="I123" i="30019"/>
  <c r="J102" i="30019"/>
  <c r="J122" i="30019"/>
  <c r="I28" i="30019"/>
  <c r="I80" i="30019"/>
  <c r="J80" i="30019"/>
  <c r="I88" i="30019"/>
  <c r="I122" i="30019"/>
  <c r="I24" i="30019"/>
  <c r="I66" i="30019"/>
  <c r="I7" i="30019"/>
  <c r="J10" i="30019"/>
  <c r="J99" i="30019"/>
  <c r="J90" i="30019"/>
  <c r="J91" i="30019"/>
  <c r="I87" i="30019"/>
  <c r="I70" i="30019"/>
  <c r="I125" i="30019"/>
  <c r="I73" i="30019"/>
  <c r="I17" i="30019"/>
  <c r="I121" i="30019"/>
  <c r="J45" i="30019"/>
  <c r="I60" i="30019"/>
  <c r="I20" i="30019"/>
  <c r="J126" i="30019"/>
  <c r="I113" i="30019"/>
  <c r="I44" i="30019"/>
  <c r="J53" i="30019"/>
  <c r="I41" i="30019"/>
  <c r="J32" i="30019"/>
  <c r="J64" i="30019"/>
  <c r="I120" i="30019"/>
  <c r="J25" i="30019"/>
  <c r="I63" i="30019"/>
  <c r="J79" i="30019"/>
  <c r="I46" i="30019"/>
  <c r="J63" i="30019"/>
  <c r="I79" i="30019"/>
  <c r="J47" i="30019"/>
  <c r="I72" i="30019"/>
  <c r="J42" i="30019"/>
  <c r="I45" i="30019"/>
  <c r="I16" i="30019"/>
  <c r="I75" i="30019"/>
  <c r="I64" i="30019"/>
  <c r="I84" i="30019"/>
  <c r="J39" i="30019"/>
  <c r="I78" i="30019"/>
  <c r="J125" i="30019"/>
  <c r="I93" i="30019"/>
  <c r="J97" i="30019"/>
  <c r="I98" i="30019"/>
  <c r="I59" i="30019"/>
  <c r="J60" i="30019"/>
  <c r="J121" i="30019"/>
  <c r="J33" i="30019"/>
  <c r="J68" i="30019"/>
  <c r="I102" i="30019"/>
  <c r="J84" i="30019"/>
  <c r="J117" i="30019"/>
  <c r="I119" i="30019"/>
  <c r="J108" i="30019"/>
  <c r="J37" i="30019"/>
  <c r="J88" i="30019"/>
  <c r="I55" i="30019"/>
  <c r="I81" i="30019"/>
  <c r="I131" i="30019"/>
  <c r="I27" i="30019"/>
  <c r="J6" i="30019"/>
  <c r="I101" i="30019"/>
  <c r="J56" i="30019"/>
  <c r="I124" i="30019"/>
  <c r="J11" i="30019"/>
  <c r="J36" i="30019"/>
  <c r="J81" i="30019"/>
  <c r="J30" i="30019"/>
  <c r="J71" i="30019"/>
  <c r="I82" i="30019"/>
  <c r="I127" i="30019"/>
  <c r="I12" i="30019"/>
  <c r="I42" i="30019"/>
  <c r="I112" i="30019"/>
  <c r="J115" i="30019"/>
  <c r="I110" i="30019"/>
  <c r="I25" i="30019"/>
  <c r="J73" i="30019"/>
  <c r="I115" i="30019"/>
  <c r="I21" i="30019"/>
  <c r="I36" i="30019"/>
  <c r="J12" i="30019"/>
  <c r="I56" i="30019"/>
  <c r="J65" i="30019"/>
  <c r="I69" i="30019"/>
  <c r="I65" i="30019"/>
  <c r="J72" i="30019"/>
  <c r="I48" i="30019"/>
  <c r="J123" i="30019"/>
  <c r="J26" i="30019"/>
  <c r="J70" i="30019"/>
  <c r="I62" i="30019"/>
  <c r="J35" i="30019"/>
  <c r="I29" i="30019"/>
  <c r="I61" i="30019"/>
  <c r="I32" i="30019"/>
  <c r="J9" i="30019"/>
  <c r="I14" i="30019"/>
  <c r="J69" i="30019"/>
  <c r="J83" i="30019"/>
  <c r="J111" i="30019"/>
  <c r="I38" i="30019"/>
  <c r="J124" i="30019"/>
  <c r="J18" i="30019"/>
  <c r="I109" i="30019"/>
  <c r="I47" i="30019"/>
  <c r="I52" i="30019"/>
  <c r="J130" i="30019"/>
  <c r="I50" i="30019"/>
  <c r="J19" i="30019"/>
  <c r="I111" i="30019"/>
  <c r="J116" i="30019"/>
  <c r="I53" i="30019"/>
  <c r="J112" i="30019"/>
  <c r="J17" i="30019"/>
  <c r="I5" i="30019"/>
  <c r="J78" i="30019"/>
  <c r="J27" i="30019"/>
  <c r="I11" i="30019"/>
  <c r="J74" i="30019"/>
  <c r="I117" i="30019"/>
  <c r="I15" i="30019"/>
  <c r="J21" i="30019"/>
  <c r="J92" i="30019"/>
  <c r="J86" i="30019"/>
  <c r="J23" i="30019"/>
  <c r="J15" i="30019"/>
  <c r="J95" i="30019"/>
  <c r="J40" i="30102" l="1"/>
  <c r="J43" i="30102"/>
  <c r="Q12" i="30102"/>
  <c r="Q8" i="30102"/>
  <c r="J13" i="30102"/>
  <c r="J41" i="30102"/>
  <c r="J39" i="30102"/>
  <c r="D39" i="30102" s="1"/>
  <c r="J14" i="30102"/>
  <c r="Q41" i="30102"/>
  <c r="D41" i="30102" s="1"/>
  <c r="Q42" i="30102"/>
  <c r="Q7" i="30102"/>
  <c r="D7" i="30102" s="1"/>
  <c r="Q40" i="30102"/>
  <c r="J12" i="30102"/>
  <c r="J10" i="30102"/>
  <c r="J8" i="30102"/>
  <c r="Q44" i="30102"/>
  <c r="J45" i="30102"/>
  <c r="Q13" i="30102"/>
  <c r="Q46" i="30102"/>
  <c r="D46" i="30102" s="1"/>
  <c r="J11" i="30102"/>
  <c r="D11" i="30102" s="1"/>
  <c r="Q45" i="30102"/>
  <c r="J9" i="30102"/>
  <c r="Q43" i="30102"/>
  <c r="K42" i="30102"/>
  <c r="Q10" i="30102"/>
  <c r="D10" i="30102" s="1"/>
  <c r="Q14" i="30102"/>
  <c r="J44" i="30102"/>
  <c r="K40" i="30102"/>
  <c r="J42" i="30102"/>
  <c r="A8" i="30019"/>
  <c r="AD7" i="30019"/>
  <c r="K12" i="30102"/>
  <c r="K9" i="30102"/>
  <c r="D9" i="30102"/>
  <c r="K14" i="30102"/>
  <c r="K44" i="30102"/>
  <c r="K45" i="30102"/>
  <c r="K13" i="30102"/>
  <c r="K7" i="30102"/>
  <c r="K10" i="30102"/>
  <c r="K46" i="30102"/>
  <c r="K41" i="30102"/>
  <c r="K43" i="30102"/>
  <c r="K8" i="30102"/>
  <c r="K39" i="30102"/>
  <c r="K11" i="30102"/>
  <c r="AP64" i="29954"/>
  <c r="AO64" i="29954"/>
  <c r="AN64" i="29954"/>
  <c r="AM64" i="29954"/>
  <c r="AL64" i="29954"/>
  <c r="AK64" i="29954"/>
  <c r="AJ64" i="29954"/>
  <c r="AI64" i="29954"/>
  <c r="P61" i="30019"/>
  <c r="P50" i="30019"/>
  <c r="P26" i="30019"/>
  <c r="P54" i="30019"/>
  <c r="P10" i="30019"/>
  <c r="P12" i="30019"/>
  <c r="P19" i="30019"/>
  <c r="P39" i="30019"/>
  <c r="P36" i="30019"/>
  <c r="P23" i="30019"/>
  <c r="P65" i="30019"/>
  <c r="P25" i="30019"/>
  <c r="P51" i="30019"/>
  <c r="P27" i="30019"/>
  <c r="P14" i="30019"/>
  <c r="P64" i="30019"/>
  <c r="P28" i="30019"/>
  <c r="P48" i="30019"/>
  <c r="P7" i="30019"/>
  <c r="P62" i="30019"/>
  <c r="P45" i="30019"/>
  <c r="P24" i="30019"/>
  <c r="P60" i="30019"/>
  <c r="P34" i="30019"/>
  <c r="P38" i="30019"/>
  <c r="P35" i="30019"/>
  <c r="P47" i="30019"/>
  <c r="P9" i="30019"/>
  <c r="P46" i="30019"/>
  <c r="P5" i="30019"/>
  <c r="P44" i="30019"/>
  <c r="P41" i="30019"/>
  <c r="P33" i="30019"/>
  <c r="P18" i="30019"/>
  <c r="P59" i="30019"/>
  <c r="P37" i="30019"/>
  <c r="P15" i="30019"/>
  <c r="P30" i="30019"/>
  <c r="P11" i="30019"/>
  <c r="P57" i="30019"/>
  <c r="P52" i="30019"/>
  <c r="P63" i="30019"/>
  <c r="P8" i="30019"/>
  <c r="P53" i="30019"/>
  <c r="P43" i="30019"/>
  <c r="P21" i="30019"/>
  <c r="P6" i="30019"/>
  <c r="P56" i="30019"/>
  <c r="P17" i="30019"/>
  <c r="P20" i="30019"/>
  <c r="P55" i="30019"/>
  <c r="P16" i="30019"/>
  <c r="P32" i="30019"/>
  <c r="P42" i="30019"/>
  <c r="P29" i="30019"/>
  <c r="P66" i="30019"/>
  <c r="D43" i="30102" l="1"/>
  <c r="D40" i="30102"/>
  <c r="D42" i="30102"/>
  <c r="D13" i="30102"/>
  <c r="D12" i="30102"/>
  <c r="D44" i="30102"/>
  <c r="D8" i="30102"/>
  <c r="AH47" i="30019"/>
  <c r="AH39" i="30019"/>
  <c r="AJ10" i="30019"/>
  <c r="AH57" i="30019"/>
  <c r="AH11" i="30019"/>
  <c r="AH12" i="30019"/>
  <c r="AH65" i="30019"/>
  <c r="AJ46" i="30019"/>
  <c r="AJ19" i="30019"/>
  <c r="AJ64" i="30019"/>
  <c r="AH20" i="30019"/>
  <c r="AH38" i="30019"/>
  <c r="AH21" i="30019"/>
  <c r="AH56" i="30019"/>
  <c r="AH48" i="30019"/>
  <c r="AJ28" i="30019"/>
  <c r="AH29" i="30019"/>
  <c r="AH30" i="30019"/>
  <c r="AH66" i="30019"/>
  <c r="AJ37" i="30019"/>
  <c r="AJ55" i="30019"/>
  <c r="D14" i="30102"/>
  <c r="D45" i="30102"/>
  <c r="AK47" i="30019"/>
  <c r="AK62" i="30019"/>
  <c r="AK24" i="30019"/>
  <c r="AK39" i="30019"/>
  <c r="AK25" i="30019"/>
  <c r="AK57" i="30019"/>
  <c r="AK26" i="30019"/>
  <c r="AK36" i="30019"/>
  <c r="AK32" i="30019"/>
  <c r="AK54" i="30019"/>
  <c r="AK18" i="30019"/>
  <c r="AK33" i="30019"/>
  <c r="AK65" i="30019"/>
  <c r="AK46" i="30019"/>
  <c r="AK19" i="30019"/>
  <c r="AK34" i="30019"/>
  <c r="AK64" i="30019"/>
  <c r="AK20" i="30019"/>
  <c r="AK35" i="30019"/>
  <c r="AK38" i="30019"/>
  <c r="AK21" i="30019"/>
  <c r="AK41" i="30019"/>
  <c r="AK56" i="30019"/>
  <c r="AK27" i="30019"/>
  <c r="AK42" i="30019"/>
  <c r="AK48" i="30019"/>
  <c r="AK28" i="30019"/>
  <c r="AK23" i="30019"/>
  <c r="AK29" i="30019"/>
  <c r="AK44" i="30019"/>
  <c r="AK30" i="30019"/>
  <c r="AK50" i="30019"/>
  <c r="AK61" i="30019"/>
  <c r="AK45" i="30019"/>
  <c r="AK51" i="30019"/>
  <c r="AK63" i="30019"/>
  <c r="AK52" i="30019"/>
  <c r="AK14" i="30019"/>
  <c r="AK17" i="30019"/>
  <c r="AK43" i="30019"/>
  <c r="AK66" i="30019"/>
  <c r="AK53" i="30019"/>
  <c r="AK15" i="30019"/>
  <c r="AK37" i="30019"/>
  <c r="AK16" i="30019"/>
  <c r="AK55" i="30019"/>
  <c r="E59" i="30019" a="1"/>
  <c r="E59" i="30019" s="1"/>
  <c r="AK7" i="30019"/>
  <c r="AK5" i="30019"/>
  <c r="AK12" i="30019"/>
  <c r="AK10" i="30019"/>
  <c r="AK8" i="30019"/>
  <c r="AK6" i="30019"/>
  <c r="AK11" i="30019"/>
  <c r="AK9" i="30019"/>
  <c r="AD8" i="30019"/>
  <c r="A9" i="30019"/>
  <c r="W9" i="30019" s="1"/>
  <c r="V8" i="30019"/>
  <c r="W7" i="30019"/>
  <c r="W5" i="30019"/>
  <c r="W8" i="30019"/>
  <c r="W6" i="30019"/>
  <c r="AP71" i="440"/>
  <c r="AO71" i="440"/>
  <c r="AN71" i="440"/>
  <c r="AM71" i="440"/>
  <c r="AL71" i="440"/>
  <c r="AP70" i="440"/>
  <c r="AO70" i="440"/>
  <c r="AN70" i="440"/>
  <c r="AM70" i="440"/>
  <c r="AL70" i="440"/>
  <c r="AP69" i="440"/>
  <c r="AO69" i="440"/>
  <c r="AN69" i="440"/>
  <c r="AM69" i="440"/>
  <c r="AL69" i="440"/>
  <c r="AP68" i="440"/>
  <c r="AO68" i="440"/>
  <c r="AN68" i="440"/>
  <c r="AM68" i="440"/>
  <c r="AL68" i="440"/>
  <c r="AP66" i="440"/>
  <c r="AO66" i="440"/>
  <c r="AN66" i="440"/>
  <c r="AM66" i="440"/>
  <c r="AL66" i="440"/>
  <c r="AP65" i="440"/>
  <c r="AO65" i="440"/>
  <c r="AN65" i="440"/>
  <c r="AM65" i="440"/>
  <c r="AL65" i="440"/>
  <c r="AP64" i="440"/>
  <c r="AO64" i="440"/>
  <c r="AN64" i="440"/>
  <c r="AM64" i="440"/>
  <c r="AL64" i="440"/>
  <c r="AP63" i="440"/>
  <c r="AO63" i="440"/>
  <c r="AN63" i="440"/>
  <c r="AM63" i="440"/>
  <c r="AL63" i="440"/>
  <c r="AP61" i="440"/>
  <c r="AO61" i="440"/>
  <c r="AN61" i="440"/>
  <c r="AM61" i="440"/>
  <c r="AL61" i="440"/>
  <c r="AP60" i="440"/>
  <c r="AO60" i="440"/>
  <c r="AN60" i="440"/>
  <c r="AM60" i="440"/>
  <c r="AL60" i="440"/>
  <c r="AP59" i="440"/>
  <c r="AO59" i="440"/>
  <c r="AN59" i="440"/>
  <c r="AM59" i="440"/>
  <c r="AL59" i="440"/>
  <c r="AP55" i="440"/>
  <c r="AO55" i="440"/>
  <c r="AN55" i="440"/>
  <c r="AM55" i="440"/>
  <c r="AL55" i="440"/>
  <c r="AP54" i="440"/>
  <c r="AO54" i="440"/>
  <c r="AN54" i="440"/>
  <c r="AM54" i="440"/>
  <c r="AL54" i="440"/>
  <c r="AP53" i="440"/>
  <c r="AO53" i="440"/>
  <c r="AN53" i="440"/>
  <c r="AM53" i="440"/>
  <c r="AL53" i="440"/>
  <c r="AP52" i="440"/>
  <c r="AO52" i="440"/>
  <c r="AN52" i="440"/>
  <c r="AM52" i="440"/>
  <c r="AL52" i="440"/>
  <c r="AP51" i="440"/>
  <c r="AO51" i="440"/>
  <c r="AN51" i="440"/>
  <c r="AM51" i="440"/>
  <c r="AL51" i="440"/>
  <c r="AP50" i="440"/>
  <c r="AO50" i="440"/>
  <c r="AN50" i="440"/>
  <c r="AM50" i="440"/>
  <c r="AL50" i="440"/>
  <c r="AP46" i="440"/>
  <c r="AO46" i="440"/>
  <c r="AN46" i="440"/>
  <c r="AM46" i="440"/>
  <c r="AL46" i="440"/>
  <c r="AP45" i="440"/>
  <c r="AO45" i="440"/>
  <c r="AN45" i="440"/>
  <c r="AM45" i="440"/>
  <c r="AL45" i="440"/>
  <c r="AP44" i="440"/>
  <c r="AO44" i="440"/>
  <c r="AN44" i="440"/>
  <c r="AM44" i="440"/>
  <c r="AL44" i="440"/>
  <c r="AP43" i="440"/>
  <c r="AO43" i="440"/>
  <c r="AN43" i="440"/>
  <c r="AM43" i="440"/>
  <c r="AL43" i="440"/>
  <c r="AP42" i="440"/>
  <c r="AO42" i="440"/>
  <c r="AN42" i="440"/>
  <c r="AM42" i="440"/>
  <c r="AL42" i="440"/>
  <c r="AP41" i="440"/>
  <c r="AO41" i="440"/>
  <c r="AN41" i="440"/>
  <c r="AM41" i="440"/>
  <c r="AL41" i="440"/>
  <c r="AP37" i="440"/>
  <c r="AO37" i="440"/>
  <c r="AN37" i="440"/>
  <c r="AM37" i="440"/>
  <c r="AL37" i="440"/>
  <c r="AP36" i="440"/>
  <c r="AO36" i="440"/>
  <c r="AN36" i="440"/>
  <c r="AM36" i="440"/>
  <c r="AL36" i="440"/>
  <c r="AP35" i="440"/>
  <c r="AO35" i="440"/>
  <c r="AN35" i="440"/>
  <c r="AM35" i="440"/>
  <c r="AL35" i="440"/>
  <c r="AP34" i="440"/>
  <c r="AO34" i="440"/>
  <c r="AN34" i="440"/>
  <c r="AM34" i="440"/>
  <c r="AL34" i="440"/>
  <c r="AP33" i="440"/>
  <c r="AO33" i="440"/>
  <c r="AN33" i="440"/>
  <c r="AM33" i="440"/>
  <c r="AL33" i="440"/>
  <c r="AP31" i="440"/>
  <c r="AO31" i="440"/>
  <c r="AN31" i="440"/>
  <c r="AM31" i="440"/>
  <c r="AL31" i="440"/>
  <c r="AP29" i="440"/>
  <c r="AO29" i="440"/>
  <c r="AN29" i="440"/>
  <c r="AM29" i="440"/>
  <c r="AL29" i="440"/>
  <c r="AP27" i="440"/>
  <c r="AO27" i="440"/>
  <c r="AN27" i="440"/>
  <c r="AM27" i="440"/>
  <c r="AL27" i="440"/>
  <c r="AP25" i="440"/>
  <c r="AO25" i="440"/>
  <c r="AN25" i="440"/>
  <c r="AM25" i="440"/>
  <c r="AL25" i="440"/>
  <c r="AP23" i="440"/>
  <c r="AO23" i="440"/>
  <c r="AN23" i="440"/>
  <c r="AM23" i="440"/>
  <c r="AL23" i="440"/>
  <c r="AP21" i="440"/>
  <c r="AO21" i="440"/>
  <c r="AN21" i="440"/>
  <c r="AM21" i="440"/>
  <c r="AL21" i="440"/>
  <c r="E41" i="30102"/>
  <c r="E14" i="30102"/>
  <c r="E40" i="30102"/>
  <c r="E9" i="30102"/>
  <c r="E12" i="30102"/>
  <c r="E46" i="30102"/>
  <c r="E44" i="30102"/>
  <c r="E45" i="30102"/>
  <c r="E42" i="30102"/>
  <c r="E10" i="30102"/>
  <c r="E7" i="30102"/>
  <c r="E11" i="30102"/>
  <c r="E43" i="30102"/>
  <c r="E13" i="30102"/>
  <c r="E39" i="30102"/>
  <c r="E8" i="30102"/>
  <c r="F8" i="30102" l="1"/>
  <c r="F10" i="30102"/>
  <c r="F11" i="30102"/>
  <c r="F9" i="30102"/>
  <c r="F13" i="30102"/>
  <c r="F14" i="30102"/>
  <c r="F7" i="30102"/>
  <c r="F12" i="30102"/>
  <c r="F42" i="30102"/>
  <c r="F40" i="30102"/>
  <c r="F41" i="30102"/>
  <c r="F45" i="30102"/>
  <c r="F39" i="30102"/>
  <c r="F44" i="30102"/>
  <c r="F43" i="30102"/>
  <c r="F46" i="30102"/>
  <c r="AK60" i="30019"/>
  <c r="AJ60" i="30019"/>
  <c r="AI60" i="30019"/>
  <c r="AH60" i="30019"/>
  <c r="AK59" i="30019"/>
  <c r="AI59" i="30019"/>
  <c r="AH59" i="30019"/>
  <c r="AJ59" i="30019"/>
  <c r="A10" i="30019"/>
  <c r="AD9" i="30019"/>
  <c r="V9" i="30019"/>
  <c r="B4146" i="29955"/>
  <c r="B4145" i="29955"/>
  <c r="B4144" i="29955"/>
  <c r="B4143" i="29955"/>
  <c r="B4142" i="29955"/>
  <c r="B4141" i="29955"/>
  <c r="B4140" i="29955"/>
  <c r="B4139" i="29955"/>
  <c r="B4138" i="29955"/>
  <c r="B4137" i="29955"/>
  <c r="C8" i="30102" l="1"/>
  <c r="C11" i="30102"/>
  <c r="C14" i="30102"/>
  <c r="C40" i="30102"/>
  <c r="C12" i="30102"/>
  <c r="C46" i="30102"/>
  <c r="C7" i="30102"/>
  <c r="C13" i="30102"/>
  <c r="C10" i="30102"/>
  <c r="C9" i="30102"/>
  <c r="C41" i="30102"/>
  <c r="C43" i="30102"/>
  <c r="C42" i="30102"/>
  <c r="C39" i="30102"/>
  <c r="C44" i="30102"/>
  <c r="C45" i="30102"/>
  <c r="A11" i="30019"/>
  <c r="AD10" i="30019"/>
  <c r="V10" i="30019"/>
  <c r="W10" i="30019"/>
  <c r="AM132" i="30043"/>
  <c r="AL132" i="30043"/>
  <c r="AO132" i="30043" s="1"/>
  <c r="AK132" i="30043"/>
  <c r="AM131" i="30043"/>
  <c r="AL131" i="30043"/>
  <c r="AO131" i="30043" s="1"/>
  <c r="AK131" i="30043"/>
  <c r="AM130" i="30043"/>
  <c r="AL130" i="30043"/>
  <c r="AO130" i="30043" s="1"/>
  <c r="AK130" i="30043"/>
  <c r="AM129" i="30043"/>
  <c r="AL129" i="30043"/>
  <c r="AO129" i="30043" s="1"/>
  <c r="AK129" i="30043"/>
  <c r="AM128" i="30043"/>
  <c r="AL128" i="30043"/>
  <c r="AO128" i="30043" s="1"/>
  <c r="AK128" i="30043"/>
  <c r="AM127" i="30043"/>
  <c r="AL127" i="30043"/>
  <c r="AO127" i="30043" s="1"/>
  <c r="AK127" i="30043"/>
  <c r="AM126" i="30043"/>
  <c r="AL126" i="30043"/>
  <c r="AO126" i="30043" s="1"/>
  <c r="AK126" i="30043"/>
  <c r="AM125" i="30043"/>
  <c r="AL125" i="30043"/>
  <c r="AO125" i="30043" s="1"/>
  <c r="AK125" i="30043"/>
  <c r="AM124" i="30043"/>
  <c r="AL124" i="30043"/>
  <c r="AO124" i="30043" s="1"/>
  <c r="AK124" i="30043"/>
  <c r="AM123" i="30043"/>
  <c r="AL123" i="30043"/>
  <c r="AO123" i="30043" s="1"/>
  <c r="AK123" i="30043"/>
  <c r="AM122" i="30043"/>
  <c r="AL122" i="30043"/>
  <c r="AO122" i="30043" s="1"/>
  <c r="AK122" i="30043"/>
  <c r="AM121" i="30043"/>
  <c r="AL121" i="30043"/>
  <c r="AO121" i="30043" s="1"/>
  <c r="AK121" i="30043"/>
  <c r="AM120" i="30043"/>
  <c r="AL120" i="30043"/>
  <c r="AO120" i="30043" s="1"/>
  <c r="AK120" i="30043"/>
  <c r="AM119" i="30043"/>
  <c r="AL119" i="30043"/>
  <c r="AO119" i="30043" s="1"/>
  <c r="AK119" i="30043"/>
  <c r="AM118" i="30043"/>
  <c r="AL118" i="30043"/>
  <c r="AO118" i="30043" s="1"/>
  <c r="AK118" i="30043"/>
  <c r="AM117" i="30043"/>
  <c r="AL117" i="30043"/>
  <c r="AO117" i="30043" s="1"/>
  <c r="AK117" i="30043"/>
  <c r="AM116" i="30043"/>
  <c r="AL116" i="30043"/>
  <c r="AO116" i="30043" s="1"/>
  <c r="AK116" i="30043"/>
  <c r="AM115" i="30043"/>
  <c r="AL115" i="30043"/>
  <c r="AO115" i="30043" s="1"/>
  <c r="AK115" i="30043"/>
  <c r="AM114" i="30043"/>
  <c r="AL114" i="30043"/>
  <c r="AO114" i="30043" s="1"/>
  <c r="AK114" i="30043"/>
  <c r="AM113" i="30043"/>
  <c r="AL113" i="30043"/>
  <c r="AO113" i="30043" s="1"/>
  <c r="AK113" i="30043"/>
  <c r="AM112" i="30043"/>
  <c r="AL112" i="30043"/>
  <c r="AO112" i="30043" s="1"/>
  <c r="AK112" i="30043"/>
  <c r="AM111" i="30043"/>
  <c r="AL111" i="30043"/>
  <c r="AO111" i="30043" s="1"/>
  <c r="AK111" i="30043"/>
  <c r="AM110" i="30043"/>
  <c r="AL110" i="30043"/>
  <c r="AO110" i="30043" s="1"/>
  <c r="AK110" i="30043"/>
  <c r="AM109" i="30043"/>
  <c r="AL109" i="30043"/>
  <c r="AO109" i="30043" s="1"/>
  <c r="AK109" i="30043"/>
  <c r="AM108" i="30043"/>
  <c r="AL108" i="30043"/>
  <c r="AO108" i="30043" s="1"/>
  <c r="AK108" i="30043"/>
  <c r="AM107" i="30043"/>
  <c r="AL107" i="30043"/>
  <c r="AO107" i="30043" s="1"/>
  <c r="AK107" i="30043"/>
  <c r="AM106" i="30043"/>
  <c r="AL106" i="30043"/>
  <c r="AO106" i="30043" s="1"/>
  <c r="AK106" i="30043"/>
  <c r="AM105" i="30043"/>
  <c r="AL105" i="30043"/>
  <c r="AO105" i="30043" s="1"/>
  <c r="AK105" i="30043"/>
  <c r="AM104" i="30043"/>
  <c r="AL104" i="30043"/>
  <c r="AO104" i="30043" s="1"/>
  <c r="AK104" i="30043"/>
  <c r="AM103" i="30043"/>
  <c r="AL103" i="30043"/>
  <c r="AO103" i="30043" s="1"/>
  <c r="AK103" i="30043"/>
  <c r="AM102" i="30043"/>
  <c r="AL102" i="30043"/>
  <c r="AO102" i="30043" s="1"/>
  <c r="AK102" i="30043"/>
  <c r="AM101" i="30043"/>
  <c r="AL101" i="30043"/>
  <c r="AO101" i="30043" s="1"/>
  <c r="AK101" i="30043"/>
  <c r="AM100" i="30043"/>
  <c r="AL100" i="30043"/>
  <c r="AO100" i="30043" s="1"/>
  <c r="AK100" i="30043"/>
  <c r="AM99" i="30043"/>
  <c r="AL99" i="30043"/>
  <c r="AO99" i="30043" s="1"/>
  <c r="AK99" i="30043"/>
  <c r="AM98" i="30043"/>
  <c r="AL98" i="30043"/>
  <c r="AO98" i="30043" s="1"/>
  <c r="AK98" i="30043"/>
  <c r="AM97" i="30043"/>
  <c r="AL97" i="30043"/>
  <c r="AO97" i="30043" s="1"/>
  <c r="AK97" i="30043"/>
  <c r="AM96" i="30043"/>
  <c r="AL96" i="30043"/>
  <c r="AO96" i="30043" s="1"/>
  <c r="AK96" i="30043"/>
  <c r="AM95" i="30043"/>
  <c r="AL95" i="30043"/>
  <c r="AO95" i="30043" s="1"/>
  <c r="AK95" i="30043"/>
  <c r="AM94" i="30043"/>
  <c r="AL94" i="30043"/>
  <c r="AO94" i="30043" s="1"/>
  <c r="AK94" i="30043"/>
  <c r="AM93" i="30043"/>
  <c r="AL93" i="30043"/>
  <c r="AO93" i="30043" s="1"/>
  <c r="AK93" i="30043"/>
  <c r="AM92" i="30043"/>
  <c r="AL92" i="30043"/>
  <c r="AO92" i="30043" s="1"/>
  <c r="AK92" i="30043"/>
  <c r="AM91" i="30043"/>
  <c r="AL91" i="30043"/>
  <c r="AO91" i="30043" s="1"/>
  <c r="AK91" i="30043"/>
  <c r="AM90" i="30043"/>
  <c r="AL90" i="30043"/>
  <c r="AO90" i="30043" s="1"/>
  <c r="AK90" i="30043"/>
  <c r="AM89" i="30043"/>
  <c r="AL89" i="30043"/>
  <c r="AO89" i="30043" s="1"/>
  <c r="AK89" i="30043"/>
  <c r="AM88" i="30043"/>
  <c r="AL88" i="30043"/>
  <c r="AO88" i="30043" s="1"/>
  <c r="AK88" i="30043"/>
  <c r="AM87" i="30043"/>
  <c r="AL87" i="30043"/>
  <c r="AO87" i="30043" s="1"/>
  <c r="AK87" i="30043"/>
  <c r="AM86" i="30043"/>
  <c r="AL86" i="30043"/>
  <c r="AO86" i="30043" s="1"/>
  <c r="AK86" i="30043"/>
  <c r="AM85" i="30043"/>
  <c r="AL85" i="30043"/>
  <c r="AO85" i="30043" s="1"/>
  <c r="AK85" i="30043"/>
  <c r="AM84" i="30043"/>
  <c r="AL84" i="30043"/>
  <c r="AO84" i="30043" s="1"/>
  <c r="AK84" i="30043"/>
  <c r="AM83" i="30043"/>
  <c r="AL83" i="30043"/>
  <c r="AO83" i="30043" s="1"/>
  <c r="AK83" i="30043"/>
  <c r="AM82" i="30043"/>
  <c r="AL82" i="30043"/>
  <c r="AO82" i="30043" s="1"/>
  <c r="AK82" i="30043"/>
  <c r="AM81" i="30043"/>
  <c r="AL81" i="30043"/>
  <c r="AO81" i="30043" s="1"/>
  <c r="AK81" i="30043"/>
  <c r="AM80" i="30043"/>
  <c r="AL80" i="30043"/>
  <c r="AO80" i="30043" s="1"/>
  <c r="AK80" i="30043"/>
  <c r="AM79" i="30043"/>
  <c r="AL79" i="30043"/>
  <c r="AO79" i="30043" s="1"/>
  <c r="AK79" i="30043"/>
  <c r="AM78" i="30043"/>
  <c r="AL78" i="30043"/>
  <c r="AK78" i="30043"/>
  <c r="AM77" i="30043"/>
  <c r="AL77" i="30043"/>
  <c r="AO77" i="30043" s="1"/>
  <c r="AK77" i="30043"/>
  <c r="AM76" i="30043"/>
  <c r="AL76" i="30043"/>
  <c r="AO76" i="30043" s="1"/>
  <c r="AK76" i="30043"/>
  <c r="AM75" i="30043"/>
  <c r="AL75" i="30043"/>
  <c r="AO75" i="30043" s="1"/>
  <c r="AK75" i="30043"/>
  <c r="AM74" i="30043"/>
  <c r="AL74" i="30043"/>
  <c r="AO74" i="30043" s="1"/>
  <c r="AK74" i="30043"/>
  <c r="AM73" i="30043"/>
  <c r="AL73" i="30043"/>
  <c r="AO73" i="30043" s="1"/>
  <c r="AK73" i="30043"/>
  <c r="AM72" i="30043"/>
  <c r="AL72" i="30043"/>
  <c r="AO72" i="30043" s="1"/>
  <c r="AK72" i="30043"/>
  <c r="AM71" i="30043"/>
  <c r="AL71" i="30043"/>
  <c r="AO71" i="30043" s="1"/>
  <c r="AK71" i="30043"/>
  <c r="AM70" i="30043"/>
  <c r="AL70" i="30043"/>
  <c r="AO70" i="30043" s="1"/>
  <c r="AK70" i="30043"/>
  <c r="AM69" i="30043"/>
  <c r="AL69" i="30043"/>
  <c r="AO69" i="30043" s="1"/>
  <c r="AK69" i="30043"/>
  <c r="AL68" i="30043"/>
  <c r="AO68" i="30043" s="1"/>
  <c r="AK68" i="30043"/>
  <c r="AL67" i="30043"/>
  <c r="AO67" i="30043" s="1"/>
  <c r="AK67" i="30043"/>
  <c r="AL66" i="30043"/>
  <c r="AO66" i="30043" s="1"/>
  <c r="AK66" i="30043"/>
  <c r="AL65" i="30043"/>
  <c r="AO65" i="30043" s="1"/>
  <c r="AK65" i="30043"/>
  <c r="AL64" i="30043"/>
  <c r="AK64" i="30043"/>
  <c r="AL63" i="30043"/>
  <c r="AO63" i="30043" s="1"/>
  <c r="AK63" i="30043"/>
  <c r="AL62" i="30043"/>
  <c r="AO62" i="30043" s="1"/>
  <c r="AK62" i="30043"/>
  <c r="AL61" i="30043"/>
  <c r="AO61" i="30043" s="1"/>
  <c r="AK61" i="30043"/>
  <c r="AL60" i="30043"/>
  <c r="AO60" i="30043" s="1"/>
  <c r="AK60" i="30043"/>
  <c r="AL59" i="30043"/>
  <c r="AO59" i="30043" s="1"/>
  <c r="AK59" i="30043"/>
  <c r="AL58" i="30043"/>
  <c r="AO58" i="30043" s="1"/>
  <c r="AK58" i="30043"/>
  <c r="AL57" i="30043"/>
  <c r="AO57" i="30043" s="1"/>
  <c r="AK57" i="30043"/>
  <c r="AL56" i="30043"/>
  <c r="AO56" i="30043" s="1"/>
  <c r="AK56" i="30043"/>
  <c r="AL55" i="30043"/>
  <c r="AK55" i="30043"/>
  <c r="AL54" i="30043"/>
  <c r="AO54" i="30043" s="1"/>
  <c r="AK54" i="30043"/>
  <c r="AL53" i="30043"/>
  <c r="AO53" i="30043" s="1"/>
  <c r="AK53" i="30043"/>
  <c r="AL52" i="30043"/>
  <c r="AO52" i="30043" s="1"/>
  <c r="AK52" i="30043"/>
  <c r="AL51" i="30043"/>
  <c r="AO51" i="30043" s="1"/>
  <c r="AK51" i="30043"/>
  <c r="AL50" i="30043"/>
  <c r="AO50" i="30043" s="1"/>
  <c r="AK50" i="30043"/>
  <c r="AL49" i="30043"/>
  <c r="AO49" i="30043" s="1"/>
  <c r="AK49" i="30043"/>
  <c r="AL48" i="30043"/>
  <c r="AK48" i="30043"/>
  <c r="AL47" i="30043"/>
  <c r="AK47" i="30043"/>
  <c r="AL46" i="30043"/>
  <c r="AO46" i="30043" s="1"/>
  <c r="AK46" i="30043"/>
  <c r="AL45" i="30043"/>
  <c r="AO45" i="30043" s="1"/>
  <c r="AK45" i="30043"/>
  <c r="AL44" i="30043"/>
  <c r="AO44" i="30043" s="1"/>
  <c r="AK44" i="30043"/>
  <c r="AL43" i="30043"/>
  <c r="AO43" i="30043" s="1"/>
  <c r="AK43" i="30043"/>
  <c r="AL42" i="30043"/>
  <c r="AO42" i="30043" s="1"/>
  <c r="AK42" i="30043"/>
  <c r="AL41" i="30043"/>
  <c r="AO41" i="30043" s="1"/>
  <c r="AK41" i="30043"/>
  <c r="AL40" i="30043"/>
  <c r="AO40" i="30043" s="1"/>
  <c r="AK40" i="30043"/>
  <c r="AL39" i="30043"/>
  <c r="AO39" i="30043" s="1"/>
  <c r="AK39" i="30043"/>
  <c r="AL38" i="30043"/>
  <c r="AO38" i="30043" s="1"/>
  <c r="AK38" i="30043"/>
  <c r="AL37" i="30043"/>
  <c r="AO37" i="30043" s="1"/>
  <c r="AK37" i="30043"/>
  <c r="AL36" i="30043"/>
  <c r="AO36" i="30043" s="1"/>
  <c r="AK36" i="30043"/>
  <c r="AL35" i="30043"/>
  <c r="AO35" i="30043" s="1"/>
  <c r="AK35" i="30043"/>
  <c r="AL34" i="30043"/>
  <c r="AO34" i="30043" s="1"/>
  <c r="AK34" i="30043"/>
  <c r="AL33" i="30043"/>
  <c r="AO33" i="30043" s="1"/>
  <c r="AK33" i="30043"/>
  <c r="AL32" i="30043"/>
  <c r="AK32" i="30043"/>
  <c r="AL31" i="30043"/>
  <c r="AK31" i="30043"/>
  <c r="AL30" i="30043"/>
  <c r="AO30" i="30043" s="1"/>
  <c r="AK30" i="30043"/>
  <c r="AL29" i="30043"/>
  <c r="AO29" i="30043" s="1"/>
  <c r="AK29" i="30043"/>
  <c r="AL28" i="30043"/>
  <c r="AO28" i="30043" s="1"/>
  <c r="AK28" i="30043"/>
  <c r="AL27" i="30043"/>
  <c r="AO27" i="30043" s="1"/>
  <c r="AK27" i="30043"/>
  <c r="AL26" i="30043"/>
  <c r="AO26" i="30043" s="1"/>
  <c r="AK26" i="30043"/>
  <c r="AL25" i="30043"/>
  <c r="AO25" i="30043" s="1"/>
  <c r="AK25" i="30043"/>
  <c r="AL24" i="30043"/>
  <c r="AO24" i="30043" s="1"/>
  <c r="AK24" i="30043"/>
  <c r="AL23" i="30043"/>
  <c r="AO23" i="30043" s="1"/>
  <c r="AK23" i="30043"/>
  <c r="AL22" i="30043"/>
  <c r="AO22" i="30043" s="1"/>
  <c r="AK22" i="30043"/>
  <c r="AL21" i="30043"/>
  <c r="AO21" i="30043" s="1"/>
  <c r="AK21" i="30043"/>
  <c r="AL20" i="30043"/>
  <c r="AO20" i="30043" s="1"/>
  <c r="AK20" i="30043"/>
  <c r="AL19" i="30043"/>
  <c r="AO19" i="30043" s="1"/>
  <c r="AK19" i="30043"/>
  <c r="AL18" i="30043"/>
  <c r="AO18" i="30043" s="1"/>
  <c r="AK18" i="30043"/>
  <c r="AL17" i="30043"/>
  <c r="AO17" i="30043" s="1"/>
  <c r="AK17" i="30043"/>
  <c r="AL16" i="30043"/>
  <c r="AK16" i="30043"/>
  <c r="AL15" i="30043"/>
  <c r="AO15" i="30043" s="1"/>
  <c r="AK15" i="30043"/>
  <c r="AL14" i="30043"/>
  <c r="AO14" i="30043" s="1"/>
  <c r="AK14" i="30043"/>
  <c r="AL13" i="30043"/>
  <c r="AO13" i="30043" s="1"/>
  <c r="AK13" i="30043"/>
  <c r="AL12" i="30043"/>
  <c r="AO12" i="30043" s="1"/>
  <c r="AK12" i="30043"/>
  <c r="AL11" i="30043"/>
  <c r="AO11" i="30043" s="1"/>
  <c r="AK11" i="30043"/>
  <c r="AL10" i="30043"/>
  <c r="AO10" i="30043" s="1"/>
  <c r="AK10" i="30043"/>
  <c r="AL9" i="30043"/>
  <c r="AO9" i="30043" s="1"/>
  <c r="AK9" i="30043"/>
  <c r="AL8" i="30043"/>
  <c r="AO8" i="30043" s="1"/>
  <c r="AK8" i="30043"/>
  <c r="AL7" i="30043"/>
  <c r="AO7" i="30043" s="1"/>
  <c r="AK7" i="30043"/>
  <c r="AL6" i="30043"/>
  <c r="AO6" i="30043" s="1"/>
  <c r="AK6" i="30043"/>
  <c r="AK5" i="30043"/>
  <c r="AL5" i="30043"/>
  <c r="AO5" i="30043" s="1"/>
  <c r="AK11" i="30102" l="1"/>
  <c r="AN11" i="30102" s="1"/>
  <c r="AK10" i="30102"/>
  <c r="AR10" i="30102" s="1"/>
  <c r="AK9" i="30102"/>
  <c r="AV9" i="30102" s="1"/>
  <c r="AK14" i="30102"/>
  <c r="AT14" i="30102" s="1"/>
  <c r="AK13" i="30102"/>
  <c r="AO13" i="30102" s="1"/>
  <c r="AK12" i="30102"/>
  <c r="AV12" i="30102" s="1"/>
  <c r="AK8" i="30102"/>
  <c r="AP8" i="30102" s="1"/>
  <c r="AK7" i="30102"/>
  <c r="AT7" i="30102" s="1"/>
  <c r="AK46" i="30102"/>
  <c r="AN46" i="30102" s="1"/>
  <c r="AK39" i="30102"/>
  <c r="AT39" i="30102" s="1"/>
  <c r="AK43" i="30102"/>
  <c r="AW43" i="30102" s="1"/>
  <c r="AK45" i="30102"/>
  <c r="AU45" i="30102" s="1"/>
  <c r="AK44" i="30102"/>
  <c r="AU44" i="30102" s="1"/>
  <c r="AK40" i="30102"/>
  <c r="AK42" i="30102"/>
  <c r="AQ42" i="30102" s="1"/>
  <c r="AK41" i="30102"/>
  <c r="AS46" i="30102"/>
  <c r="AR14" i="30102"/>
  <c r="AV10" i="30102"/>
  <c r="AW10" i="30102"/>
  <c r="AQ9" i="30102"/>
  <c r="AT13" i="30102"/>
  <c r="A12" i="30019"/>
  <c r="AD11" i="30019"/>
  <c r="V11" i="30019"/>
  <c r="W11" i="30019"/>
  <c r="AN126" i="30043"/>
  <c r="AN131" i="30043"/>
  <c r="AN35" i="30043"/>
  <c r="AM17" i="30043"/>
  <c r="AM33" i="30043"/>
  <c r="AN41" i="30043"/>
  <c r="AN99" i="30043"/>
  <c r="AN94" i="30043"/>
  <c r="AN52" i="30043"/>
  <c r="AM68" i="30043"/>
  <c r="AN79" i="30043"/>
  <c r="AN87" i="30043"/>
  <c r="AN103" i="30043"/>
  <c r="AN111" i="30043"/>
  <c r="AN31" i="30043"/>
  <c r="AN12" i="30043"/>
  <c r="AN16" i="30043"/>
  <c r="AN74" i="30043"/>
  <c r="AN5" i="30043"/>
  <c r="AN6" i="30043"/>
  <c r="AN62" i="30043"/>
  <c r="AN75" i="30043"/>
  <c r="AN117" i="30043"/>
  <c r="AM47" i="30043"/>
  <c r="AN51" i="30043"/>
  <c r="AM55" i="30043"/>
  <c r="AN59" i="30043"/>
  <c r="AN63" i="30043"/>
  <c r="AM67" i="30043"/>
  <c r="AN110" i="30043"/>
  <c r="AN28" i="30043"/>
  <c r="AN32" i="30043"/>
  <c r="AN44" i="30043"/>
  <c r="AN48" i="30043"/>
  <c r="AN76" i="30043"/>
  <c r="AN97" i="30043"/>
  <c r="AN118" i="30043"/>
  <c r="AM64" i="30043"/>
  <c r="AN53" i="30043"/>
  <c r="AM57" i="30043"/>
  <c r="AM65" i="30043"/>
  <c r="AN93" i="30043"/>
  <c r="AN129" i="30043"/>
  <c r="AN18" i="30043"/>
  <c r="AN22" i="30043"/>
  <c r="AN72" i="30043"/>
  <c r="AN80" i="30043"/>
  <c r="AN109" i="30043"/>
  <c r="AN19" i="30043"/>
  <c r="AN83" i="30043"/>
  <c r="AN9" i="30043"/>
  <c r="AN34" i="30043"/>
  <c r="AN38" i="30043"/>
  <c r="AN60" i="30043"/>
  <c r="AN86" i="30043"/>
  <c r="AN101" i="30043"/>
  <c r="AN113" i="30043"/>
  <c r="AN21" i="30043"/>
  <c r="AN25" i="30043"/>
  <c r="AM54" i="30043"/>
  <c r="AN102" i="30043"/>
  <c r="AN119" i="30043"/>
  <c r="AN124" i="30043"/>
  <c r="AN85" i="30043"/>
  <c r="AN95" i="30043"/>
  <c r="AN55" i="30043"/>
  <c r="AN115" i="30043"/>
  <c r="AN15" i="30043"/>
  <c r="AM59" i="30043"/>
  <c r="AO47" i="30043"/>
  <c r="AM14" i="30043"/>
  <c r="AM30" i="30043"/>
  <c r="AM46" i="30043"/>
  <c r="AN70" i="30043"/>
  <c r="AN125" i="30043"/>
  <c r="AN127" i="30043"/>
  <c r="AN132" i="30043"/>
  <c r="AM15" i="30043"/>
  <c r="AN47" i="30043"/>
  <c r="AO31" i="30043"/>
  <c r="AM7" i="30043"/>
  <c r="AM23" i="30043"/>
  <c r="AM39" i="30043"/>
  <c r="AN49" i="30043"/>
  <c r="AN58" i="30043"/>
  <c r="AN61" i="30043"/>
  <c r="AN91" i="30043"/>
  <c r="AN107" i="30043"/>
  <c r="AN123" i="30043"/>
  <c r="AN130" i="30043"/>
  <c r="AM31" i="30043"/>
  <c r="AN89" i="30043"/>
  <c r="AN105" i="30043"/>
  <c r="AN121" i="30043"/>
  <c r="AN37" i="30043"/>
  <c r="AN78" i="30043"/>
  <c r="AM20" i="30043"/>
  <c r="AN36" i="30043"/>
  <c r="AN108" i="30043"/>
  <c r="AM16" i="30043"/>
  <c r="AO55" i="30043"/>
  <c r="AM63" i="30043"/>
  <c r="AM5" i="30043"/>
  <c r="AN7" i="30043"/>
  <c r="AN10" i="30043"/>
  <c r="AN17" i="30043"/>
  <c r="AN23" i="30043"/>
  <c r="AN26" i="30043"/>
  <c r="AN33" i="30043"/>
  <c r="AN39" i="30043"/>
  <c r="AN42" i="30043"/>
  <c r="AM51" i="30043"/>
  <c r="AN56" i="30043"/>
  <c r="AN66" i="30043"/>
  <c r="AN77" i="30043"/>
  <c r="AN81" i="30043"/>
  <c r="AM27" i="30043"/>
  <c r="AM9" i="30043"/>
  <c r="AN20" i="30043"/>
  <c r="AM25" i="30043"/>
  <c r="AM41" i="30043"/>
  <c r="AN46" i="30043"/>
  <c r="AN116" i="30043"/>
  <c r="AN30" i="30043"/>
  <c r="AM6" i="30043"/>
  <c r="AM12" i="30043"/>
  <c r="AM19" i="30043"/>
  <c r="AM22" i="30043"/>
  <c r="AM28" i="30043"/>
  <c r="AM35" i="30043"/>
  <c r="AM38" i="30043"/>
  <c r="AM49" i="30043"/>
  <c r="AN54" i="30043"/>
  <c r="AM62" i="30043"/>
  <c r="AN68" i="30043"/>
  <c r="AN73" i="30043"/>
  <c r="AM36" i="30043"/>
  <c r="AN43" i="30043"/>
  <c r="AN84" i="30043"/>
  <c r="AN100" i="30043"/>
  <c r="AO78" i="30043"/>
  <c r="AN8" i="30043"/>
  <c r="AN24" i="30043"/>
  <c r="AN40" i="30043"/>
  <c r="AN45" i="30043"/>
  <c r="AN57" i="30043"/>
  <c r="AN64" i="30043"/>
  <c r="AN69" i="30043"/>
  <c r="AN71" i="30043"/>
  <c r="AM11" i="30043"/>
  <c r="AM43" i="30043"/>
  <c r="AN11" i="30043"/>
  <c r="AM32" i="30043"/>
  <c r="AN13" i="30043"/>
  <c r="AN29" i="30043"/>
  <c r="AN50" i="30043"/>
  <c r="AN90" i="30043"/>
  <c r="AN98" i="30043"/>
  <c r="AN106" i="30043"/>
  <c r="AN114" i="30043"/>
  <c r="AN122" i="30043"/>
  <c r="AN128" i="30043"/>
  <c r="AN65" i="30043"/>
  <c r="AN82" i="30043"/>
  <c r="AN88" i="30043"/>
  <c r="AN96" i="30043"/>
  <c r="AN104" i="30043"/>
  <c r="AN112" i="30043"/>
  <c r="AN120" i="30043"/>
  <c r="AN27" i="30043"/>
  <c r="AM48" i="30043"/>
  <c r="AN67" i="30043"/>
  <c r="AN92" i="30043"/>
  <c r="AN14" i="30043"/>
  <c r="AM24" i="30043"/>
  <c r="AM56" i="30043"/>
  <c r="AM13" i="30043"/>
  <c r="AM21" i="30043"/>
  <c r="AM29" i="30043"/>
  <c r="AM37" i="30043"/>
  <c r="AM45" i="30043"/>
  <c r="AM53" i="30043"/>
  <c r="AM61" i="30043"/>
  <c r="AM8" i="30043"/>
  <c r="AM40" i="30043"/>
  <c r="AM10" i="30043"/>
  <c r="AO16" i="30043"/>
  <c r="AM18" i="30043"/>
  <c r="AM26" i="30043"/>
  <c r="AO32" i="30043"/>
  <c r="AM34" i="30043"/>
  <c r="AM42" i="30043"/>
  <c r="AO48" i="30043"/>
  <c r="AM50" i="30043"/>
  <c r="AM58" i="30043"/>
  <c r="AO64" i="30043"/>
  <c r="AM66" i="30043"/>
  <c r="AM44" i="30043"/>
  <c r="AM52" i="30043"/>
  <c r="AM60" i="30043"/>
  <c r="AR13" i="30102" l="1"/>
  <c r="AT11" i="30102"/>
  <c r="AU12" i="30102"/>
  <c r="AQ12" i="30102"/>
  <c r="AQ44" i="30102"/>
  <c r="AN12" i="30102"/>
  <c r="AR44" i="30102"/>
  <c r="AV44" i="30102"/>
  <c r="AW46" i="30102"/>
  <c r="AT44" i="30102"/>
  <c r="AS10" i="30102"/>
  <c r="AT46" i="30102"/>
  <c r="AS8" i="30102"/>
  <c r="AW44" i="30102"/>
  <c r="AN10" i="30102"/>
  <c r="AU46" i="30102"/>
  <c r="AQ11" i="30102"/>
  <c r="AO46" i="30102"/>
  <c r="BH46" i="30102" s="1"/>
  <c r="AP9" i="30102"/>
  <c r="AS12" i="30102"/>
  <c r="AW13" i="30102"/>
  <c r="AO9" i="30102"/>
  <c r="BE9" i="30102" s="1"/>
  <c r="AO12" i="30102"/>
  <c r="BH12" i="30102" s="1"/>
  <c r="AP7" i="30102"/>
  <c r="AP45" i="30102"/>
  <c r="AU11" i="30102"/>
  <c r="AR11" i="30102"/>
  <c r="AQ10" i="30102"/>
  <c r="AP12" i="30102"/>
  <c r="AR46" i="30102"/>
  <c r="AT45" i="30102"/>
  <c r="AO11" i="30102"/>
  <c r="BW11" i="30102" s="1"/>
  <c r="AP11" i="30102"/>
  <c r="AV11" i="30102"/>
  <c r="AO10" i="30102"/>
  <c r="BU10" i="30102" s="1"/>
  <c r="AR9" i="30102"/>
  <c r="AT10" i="30102"/>
  <c r="BT11" i="30102"/>
  <c r="AU9" i="30102"/>
  <c r="AU10" i="30102"/>
  <c r="AS7" i="30102"/>
  <c r="AN8" i="30102"/>
  <c r="AW11" i="30102"/>
  <c r="AS11" i="30102"/>
  <c r="AS9" i="30102"/>
  <c r="AP10" i="30102"/>
  <c r="AT8" i="30102"/>
  <c r="AR42" i="30102"/>
  <c r="AW39" i="30102"/>
  <c r="AX11" i="30102"/>
  <c r="BN11" i="30102"/>
  <c r="AV13" i="30102"/>
  <c r="AN44" i="30102"/>
  <c r="AN9" i="30102"/>
  <c r="AT12" i="30102"/>
  <c r="AN14" i="30102"/>
  <c r="AW7" i="30102"/>
  <c r="AQ14" i="30102"/>
  <c r="AQ8" i="30102"/>
  <c r="AP44" i="30102"/>
  <c r="AT9" i="30102"/>
  <c r="AW12" i="30102"/>
  <c r="AV14" i="30102"/>
  <c r="AP46" i="30102"/>
  <c r="AO39" i="30102"/>
  <c r="BN39" i="30102" s="1"/>
  <c r="AP14" i="30102"/>
  <c r="AO14" i="30102"/>
  <c r="BF14" i="30102" s="1"/>
  <c r="AU7" i="30102"/>
  <c r="AP13" i="30102"/>
  <c r="AN13" i="30102"/>
  <c r="CB12" i="30102" s="1"/>
  <c r="AS44" i="30102"/>
  <c r="AO44" i="30102"/>
  <c r="AY44" i="30102" s="1"/>
  <c r="AW9" i="30102"/>
  <c r="AR12" i="30102"/>
  <c r="AP43" i="30102"/>
  <c r="AU14" i="30102"/>
  <c r="AQ46" i="30102"/>
  <c r="AV7" i="30102"/>
  <c r="AR8" i="30102"/>
  <c r="AO8" i="30102"/>
  <c r="BK8" i="30102" s="1"/>
  <c r="AS13" i="30102"/>
  <c r="AW14" i="30102"/>
  <c r="AQ7" i="30102"/>
  <c r="AO7" i="30102"/>
  <c r="BJ7" i="30102" s="1"/>
  <c r="AV8" i="30102"/>
  <c r="AU13" i="30102"/>
  <c r="AS14" i="30102"/>
  <c r="AV46" i="30102"/>
  <c r="AR7" i="30102"/>
  <c r="AN7" i="30102"/>
  <c r="AV42" i="30102"/>
  <c r="AQ13" i="30102"/>
  <c r="AQ43" i="30102"/>
  <c r="AU43" i="30102"/>
  <c r="AN39" i="30102"/>
  <c r="AS43" i="30102"/>
  <c r="BX39" i="30102"/>
  <c r="AV39" i="30102"/>
  <c r="AS39" i="30102"/>
  <c r="AO43" i="30102"/>
  <c r="BN43" i="30102" s="1"/>
  <c r="AU8" i="30102"/>
  <c r="AW8" i="30102"/>
  <c r="AN45" i="30102"/>
  <c r="CB46" i="30102" s="1"/>
  <c r="AP42" i="30102"/>
  <c r="AU39" i="30102"/>
  <c r="AP39" i="30102"/>
  <c r="AR39" i="30102"/>
  <c r="AV43" i="30102"/>
  <c r="AQ39" i="30102"/>
  <c r="AW45" i="30102"/>
  <c r="AS40" i="30102"/>
  <c r="AP40" i="30102"/>
  <c r="AW40" i="30102"/>
  <c r="AT40" i="30102"/>
  <c r="AO40" i="30102"/>
  <c r="AV40" i="30102"/>
  <c r="AR40" i="30102"/>
  <c r="AQ40" i="30102"/>
  <c r="AU40" i="30102"/>
  <c r="AN40" i="30102"/>
  <c r="AR43" i="30102"/>
  <c r="AQ45" i="30102"/>
  <c r="AO45" i="30102"/>
  <c r="BG45" i="30102" s="1"/>
  <c r="AR45" i="30102"/>
  <c r="AT43" i="30102"/>
  <c r="AN43" i="30102"/>
  <c r="AS45" i="30102"/>
  <c r="AV45" i="30102"/>
  <c r="AO41" i="30102"/>
  <c r="AS41" i="30102"/>
  <c r="AN41" i="30102"/>
  <c r="AQ41" i="30102"/>
  <c r="AR41" i="30102"/>
  <c r="AW41" i="30102"/>
  <c r="AP41" i="30102"/>
  <c r="AU41" i="30102"/>
  <c r="AT41" i="30102"/>
  <c r="AV41" i="30102"/>
  <c r="AW42" i="30102"/>
  <c r="AU42" i="30102"/>
  <c r="AO42" i="30102"/>
  <c r="AN42" i="30102"/>
  <c r="AS42" i="30102"/>
  <c r="AT42" i="30102"/>
  <c r="AZ12" i="30102"/>
  <c r="BU12" i="30102"/>
  <c r="BE12" i="30102"/>
  <c r="BN12" i="30102"/>
  <c r="BT12" i="30102"/>
  <c r="BD12" i="30102"/>
  <c r="BC12" i="30102"/>
  <c r="BR12" i="30102"/>
  <c r="BA12" i="30102"/>
  <c r="BP13" i="30102"/>
  <c r="BH13" i="30102"/>
  <c r="AZ13" i="30102"/>
  <c r="BU13" i="30102"/>
  <c r="BO13" i="30102"/>
  <c r="BG13" i="30102"/>
  <c r="AY13" i="30102"/>
  <c r="BE13" i="30102"/>
  <c r="BN13" i="30102"/>
  <c r="BF13" i="30102"/>
  <c r="AX13" i="30102"/>
  <c r="BM13" i="30102"/>
  <c r="BT13" i="30102"/>
  <c r="BL13" i="30102"/>
  <c r="BD13" i="30102"/>
  <c r="BJ13" i="30102"/>
  <c r="BS13" i="30102"/>
  <c r="BK13" i="30102"/>
  <c r="BC13" i="30102"/>
  <c r="BR13" i="30102"/>
  <c r="BB13" i="30102"/>
  <c r="BQ13" i="30102"/>
  <c r="BI13" i="30102"/>
  <c r="BA13" i="30102"/>
  <c r="AY14" i="30102"/>
  <c r="AX44" i="30102"/>
  <c r="BM9" i="30102"/>
  <c r="BT9" i="30102"/>
  <c r="BS9" i="30102"/>
  <c r="BK9" i="30102"/>
  <c r="BQ9" i="30102"/>
  <c r="BI9" i="30102"/>
  <c r="AZ9" i="30102"/>
  <c r="BG9" i="30102"/>
  <c r="BO9" i="30102"/>
  <c r="BG8" i="30102"/>
  <c r="BO46" i="30102"/>
  <c r="BG46" i="30102"/>
  <c r="BF46" i="30102"/>
  <c r="BE46" i="30102"/>
  <c r="BD46" i="30102"/>
  <c r="BS46" i="30102"/>
  <c r="BJ46" i="30102"/>
  <c r="BI46" i="30102"/>
  <c r="BP7" i="30102"/>
  <c r="BP45" i="30102"/>
  <c r="BS45" i="30102"/>
  <c r="BM10" i="30102"/>
  <c r="BP10" i="30102"/>
  <c r="BG39" i="30102"/>
  <c r="AY39" i="30102"/>
  <c r="BE39" i="30102"/>
  <c r="BQ39" i="30102"/>
  <c r="BI39" i="30102"/>
  <c r="AZ39" i="30102"/>
  <c r="CA12" i="30102"/>
  <c r="BW12" i="30102"/>
  <c r="BX12" i="30102"/>
  <c r="CA13" i="30102"/>
  <c r="BW13" i="30102"/>
  <c r="BV13" i="30102"/>
  <c r="BY13" i="30102"/>
  <c r="G11" i="30104"/>
  <c r="BX13" i="30102"/>
  <c r="BV44" i="30102"/>
  <c r="BX9" i="30102"/>
  <c r="BV9" i="30102"/>
  <c r="CB11" i="30102"/>
  <c r="CA46" i="30102"/>
  <c r="G14" i="30104"/>
  <c r="BW46" i="30102"/>
  <c r="BV46" i="30102"/>
  <c r="G7" i="30103"/>
  <c r="BX45" i="30102"/>
  <c r="BW45" i="30102"/>
  <c r="BY45" i="30102"/>
  <c r="BW43" i="30102"/>
  <c r="AD12" i="30019"/>
  <c r="V12" i="30019"/>
  <c r="W12" i="30019"/>
  <c r="S66" i="19124"/>
  <c r="E66" i="19124"/>
  <c r="H66" i="19124" s="1"/>
  <c r="B66" i="19124"/>
  <c r="S65" i="19124"/>
  <c r="E65" i="19124"/>
  <c r="G65" i="19124" s="1"/>
  <c r="B65" i="19124"/>
  <c r="S64" i="19124"/>
  <c r="E64" i="19124"/>
  <c r="G64" i="19124" s="1"/>
  <c r="B64" i="19124"/>
  <c r="S63" i="19124"/>
  <c r="E63" i="19124"/>
  <c r="H63" i="19124" s="1"/>
  <c r="B63" i="19124"/>
  <c r="S62" i="19124"/>
  <c r="E62" i="19124"/>
  <c r="S61" i="19124"/>
  <c r="E61" i="19124"/>
  <c r="S60" i="19124"/>
  <c r="E60" i="19124"/>
  <c r="S59" i="19124"/>
  <c r="E59" i="19124"/>
  <c r="S58" i="19124"/>
  <c r="E58" i="19124"/>
  <c r="S57" i="19124"/>
  <c r="E57" i="19124"/>
  <c r="S56" i="19124"/>
  <c r="E56" i="19124"/>
  <c r="S55" i="19124"/>
  <c r="E55" i="19124"/>
  <c r="S54" i="19124"/>
  <c r="E54" i="19124"/>
  <c r="S53" i="19124"/>
  <c r="E53" i="19124"/>
  <c r="S52" i="19124"/>
  <c r="E52" i="19124"/>
  <c r="S51" i="19124"/>
  <c r="E51" i="19124"/>
  <c r="S50" i="19124"/>
  <c r="E50" i="19124"/>
  <c r="S49" i="19124"/>
  <c r="E49" i="19124"/>
  <c r="S48" i="19124"/>
  <c r="E48" i="19124"/>
  <c r="H7" i="30103"/>
  <c r="H11" i="30104"/>
  <c r="H14" i="30104"/>
  <c r="BY9" i="30102" l="1"/>
  <c r="BI45" i="30102"/>
  <c r="BA46" i="30102"/>
  <c r="BU46" i="30102"/>
  <c r="BP46" i="30102"/>
  <c r="BP9" i="30102"/>
  <c r="BL9" i="30102"/>
  <c r="BB12" i="30102"/>
  <c r="AX12" i="30102"/>
  <c r="BM45" i="30102"/>
  <c r="BV45" i="30102"/>
  <c r="BY46" i="30102"/>
  <c r="BY12" i="30102"/>
  <c r="BF45" i="30102"/>
  <c r="BQ46" i="30102"/>
  <c r="BN46" i="30102"/>
  <c r="AY9" i="30102"/>
  <c r="BJ9" i="30102"/>
  <c r="BU9" i="30102"/>
  <c r="BS12" i="30102"/>
  <c r="AY12" i="30102"/>
  <c r="G12" i="30104"/>
  <c r="BV12" i="30102"/>
  <c r="AY45" i="30102"/>
  <c r="BK46" i="30102"/>
  <c r="BM46" i="30102"/>
  <c r="BF9" i="30102"/>
  <c r="BC9" i="30102"/>
  <c r="BJ12" i="30102"/>
  <c r="BO12" i="30102"/>
  <c r="CA45" i="30102"/>
  <c r="CA9" i="30102"/>
  <c r="BA45" i="30102"/>
  <c r="BR46" i="30102"/>
  <c r="BT46" i="30102"/>
  <c r="AZ46" i="30102"/>
  <c r="BH9" i="30102"/>
  <c r="BD9" i="30102"/>
  <c r="BI12" i="30102"/>
  <c r="BM12" i="30102"/>
  <c r="BP12" i="30102"/>
  <c r="BY14" i="30102"/>
  <c r="BA10" i="30102"/>
  <c r="BK10" i="30102"/>
  <c r="BB14" i="30102"/>
  <c r="BG14" i="30102"/>
  <c r="BQ10" i="30102"/>
  <c r="BF10" i="30102"/>
  <c r="BJ14" i="30102"/>
  <c r="AZ14" i="30102"/>
  <c r="G13" i="30104"/>
  <c r="BB10" i="30102"/>
  <c r="BC14" i="30102"/>
  <c r="BH14" i="30102"/>
  <c r="BW14" i="30102"/>
  <c r="CA10" i="30102"/>
  <c r="BX14" i="30102"/>
  <c r="BS10" i="30102"/>
  <c r="BL14" i="30102"/>
  <c r="BP14" i="30102"/>
  <c r="BY39" i="30102"/>
  <c r="CB10" i="30102"/>
  <c r="BD10" i="30102"/>
  <c r="BT14" i="30102"/>
  <c r="BI14" i="30102"/>
  <c r="BW10" i="30102"/>
  <c r="BY10" i="30102"/>
  <c r="BG10" i="30102"/>
  <c r="BL10" i="30102"/>
  <c r="BE14" i="30102"/>
  <c r="BQ14" i="30102"/>
  <c r="BH10" i="30102"/>
  <c r="BE10" i="30102"/>
  <c r="BU14" i="30102"/>
  <c r="G13" i="30103"/>
  <c r="BX46" i="30102"/>
  <c r="BW9" i="30102"/>
  <c r="G9" i="30104"/>
  <c r="BK39" i="30102"/>
  <c r="AY10" i="30102"/>
  <c r="BC10" i="30102"/>
  <c r="BB46" i="30102"/>
  <c r="BL46" i="30102"/>
  <c r="AY46" i="30102"/>
  <c r="AX9" i="30102"/>
  <c r="BA9" i="30102"/>
  <c r="BR9" i="30102"/>
  <c r="BQ12" i="30102"/>
  <c r="BL12" i="30102"/>
  <c r="BG12" i="30102"/>
  <c r="CB42" i="30102"/>
  <c r="CA39" i="30102"/>
  <c r="BL11" i="30102"/>
  <c r="BO11" i="30102"/>
  <c r="BM11" i="30102"/>
  <c r="BK11" i="30102"/>
  <c r="BD11" i="30102"/>
  <c r="AZ11" i="30102"/>
  <c r="BB11" i="30102"/>
  <c r="CB14" i="30102"/>
  <c r="BE11" i="30102"/>
  <c r="CA11" i="30102"/>
  <c r="BQ11" i="30102"/>
  <c r="BX10" i="30102"/>
  <c r="BW7" i="30102"/>
  <c r="G11" i="30103"/>
  <c r="AZ10" i="30102"/>
  <c r="BJ10" i="30102"/>
  <c r="AX10" i="30102"/>
  <c r="BC46" i="30102"/>
  <c r="AX46" i="30102"/>
  <c r="BN9" i="30102"/>
  <c r="BB9" i="30102"/>
  <c r="BK12" i="30102"/>
  <c r="BF12" i="30102"/>
  <c r="BX11" i="30102"/>
  <c r="BU11" i="30102"/>
  <c r="BA11" i="30102"/>
  <c r="BH11" i="30102"/>
  <c r="BR11" i="30102"/>
  <c r="BJ39" i="30102"/>
  <c r="BO39" i="30102"/>
  <c r="G8" i="30104"/>
  <c r="BY7" i="30102"/>
  <c r="CA44" i="30102"/>
  <c r="BR39" i="30102"/>
  <c r="BL43" i="30102"/>
  <c r="BI10" i="30102"/>
  <c r="BT10" i="30102"/>
  <c r="BN10" i="30102"/>
  <c r="AY7" i="30102"/>
  <c r="CB8" i="30102"/>
  <c r="BG11" i="30102"/>
  <c r="BF11" i="30102"/>
  <c r="BS11" i="30102"/>
  <c r="BY11" i="30102"/>
  <c r="BC11" i="30102"/>
  <c r="BV11" i="30102"/>
  <c r="BJ11" i="30102"/>
  <c r="G7" i="30104"/>
  <c r="BP11" i="30102"/>
  <c r="BI11" i="30102"/>
  <c r="AY11" i="30102"/>
  <c r="BU39" i="30102"/>
  <c r="BC8" i="30102"/>
  <c r="BT39" i="30102"/>
  <c r="BV10" i="30102"/>
  <c r="BH39" i="30102"/>
  <c r="AX39" i="30102"/>
  <c r="BO10" i="30102"/>
  <c r="BR10" i="30102"/>
  <c r="BB44" i="30102"/>
  <c r="CB9" i="30102"/>
  <c r="BY44" i="30102"/>
  <c r="BX43" i="30102"/>
  <c r="AX43" i="30102"/>
  <c r="BA8" i="30102"/>
  <c r="BV7" i="30102"/>
  <c r="G10" i="30104"/>
  <c r="CA14" i="30102"/>
  <c r="BQ45" i="30102"/>
  <c r="BO45" i="30102"/>
  <c r="BH7" i="30102"/>
  <c r="BI8" i="30102"/>
  <c r="BL44" i="30102"/>
  <c r="BD14" i="30102"/>
  <c r="BO14" i="30102"/>
  <c r="CB45" i="30102"/>
  <c r="BE7" i="30102"/>
  <c r="BC7" i="30102"/>
  <c r="BS8" i="30102"/>
  <c r="BF44" i="30102"/>
  <c r="BO44" i="30102"/>
  <c r="BT7" i="30102"/>
  <c r="BU8" i="30102"/>
  <c r="BT8" i="30102"/>
  <c r="CA7" i="30102"/>
  <c r="BV14" i="30102"/>
  <c r="BI43" i="30102"/>
  <c r="BD45" i="30102"/>
  <c r="BU7" i="30102"/>
  <c r="BM8" i="30102"/>
  <c r="BE44" i="30102"/>
  <c r="AZ44" i="30102"/>
  <c r="BM14" i="30102"/>
  <c r="BA14" i="30102"/>
  <c r="BD43" i="30102"/>
  <c r="BO7" i="30102"/>
  <c r="BO8" i="30102"/>
  <c r="BQ44" i="30102"/>
  <c r="BW44" i="30102"/>
  <c r="BQ7" i="30102"/>
  <c r="BS44" i="30102"/>
  <c r="BL7" i="30102"/>
  <c r="BS7" i="30102"/>
  <c r="BC44" i="30102"/>
  <c r="BX44" i="30102"/>
  <c r="BA39" i="30102"/>
  <c r="BS39" i="30102"/>
  <c r="BH43" i="30102"/>
  <c r="AY43" i="30102"/>
  <c r="BU45" i="30102"/>
  <c r="BM7" i="30102"/>
  <c r="BA7" i="30102"/>
  <c r="BN8" i="30102"/>
  <c r="BP8" i="30102"/>
  <c r="BD8" i="30102"/>
  <c r="BK44" i="30102"/>
  <c r="BG44" i="30102"/>
  <c r="BS14" i="30102"/>
  <c r="AX14" i="30102"/>
  <c r="BN14" i="30102"/>
  <c r="BC43" i="30102"/>
  <c r="BF7" i="30102"/>
  <c r="AX8" i="30102"/>
  <c r="BJ8" i="30102"/>
  <c r="BI44" i="30102"/>
  <c r="BP44" i="30102"/>
  <c r="BB7" i="30102"/>
  <c r="BT44" i="30102"/>
  <c r="CA43" i="30102"/>
  <c r="BX7" i="30102"/>
  <c r="BB39" i="30102"/>
  <c r="BF39" i="30102"/>
  <c r="BK43" i="30102"/>
  <c r="BK45" i="30102"/>
  <c r="BE45" i="30102"/>
  <c r="BN7" i="30102"/>
  <c r="BR7" i="30102"/>
  <c r="BE8" i="30102"/>
  <c r="BR8" i="30102"/>
  <c r="BJ44" i="30102"/>
  <c r="BM44" i="30102"/>
  <c r="BR14" i="30102"/>
  <c r="BK14" i="30102"/>
  <c r="CB13" i="30102"/>
  <c r="BF43" i="30102"/>
  <c r="AZ7" i="30102"/>
  <c r="AZ8" i="30102"/>
  <c r="BQ8" i="30102"/>
  <c r="BN44" i="30102"/>
  <c r="BY43" i="30102"/>
  <c r="CB44" i="30102"/>
  <c r="BD39" i="30102"/>
  <c r="BC39" i="30102"/>
  <c r="BJ43" i="30102"/>
  <c r="BJ45" i="30102"/>
  <c r="BT45" i="30102"/>
  <c r="AZ45" i="30102"/>
  <c r="AX7" i="30102"/>
  <c r="BI7" i="30102"/>
  <c r="BK7" i="30102"/>
  <c r="AY8" i="30102"/>
  <c r="BB8" i="30102"/>
  <c r="BL8" i="30102"/>
  <c r="BR44" i="30102"/>
  <c r="BU44" i="30102"/>
  <c r="BH44" i="30102"/>
  <c r="BV39" i="30102"/>
  <c r="G8" i="30103"/>
  <c r="BP39" i="30102"/>
  <c r="BL39" i="30102"/>
  <c r="BM39" i="30102"/>
  <c r="AZ43" i="30102"/>
  <c r="BM43" i="30102"/>
  <c r="BB45" i="30102"/>
  <c r="BN45" i="30102"/>
  <c r="BD7" i="30102"/>
  <c r="BG7" i="30102"/>
  <c r="BF8" i="30102"/>
  <c r="BH8" i="30102"/>
  <c r="BA44" i="30102"/>
  <c r="BD44" i="30102"/>
  <c r="BW39" i="30102"/>
  <c r="BC45" i="30102"/>
  <c r="AX45" i="30102"/>
  <c r="BH45" i="30102"/>
  <c r="BR45" i="30102"/>
  <c r="BL45" i="30102"/>
  <c r="BW8" i="30102"/>
  <c r="BV8" i="30102"/>
  <c r="BY8" i="30102"/>
  <c r="CA8" i="30102"/>
  <c r="BX8" i="30102"/>
  <c r="G9" i="30103"/>
  <c r="CB43" i="30102"/>
  <c r="BP43" i="30102"/>
  <c r="BT43" i="30102"/>
  <c r="BG43" i="30102"/>
  <c r="BB43" i="30102"/>
  <c r="BE43" i="30102"/>
  <c r="BO43" i="30102"/>
  <c r="BV43" i="30102"/>
  <c r="BA43" i="30102"/>
  <c r="BR43" i="30102"/>
  <c r="BU43" i="30102"/>
  <c r="BQ43" i="30102"/>
  <c r="BS43" i="30102"/>
  <c r="CB41" i="30102"/>
  <c r="BE41" i="30102"/>
  <c r="BI41" i="30102"/>
  <c r="BS41" i="30102"/>
  <c r="BW41" i="30102"/>
  <c r="BT41" i="30102"/>
  <c r="BA41" i="30102"/>
  <c r="AY41" i="30102"/>
  <c r="CA41" i="30102"/>
  <c r="BL41" i="30102"/>
  <c r="BK41" i="30102"/>
  <c r="BO41" i="30102"/>
  <c r="G12" i="30103"/>
  <c r="BN41" i="30102"/>
  <c r="BD41" i="30102"/>
  <c r="BH41" i="30102"/>
  <c r="BF41" i="30102"/>
  <c r="BR41" i="30102"/>
  <c r="BP41" i="30102"/>
  <c r="AX41" i="30102"/>
  <c r="BJ41" i="30102"/>
  <c r="BG41" i="30102"/>
  <c r="BY41" i="30102"/>
  <c r="BU41" i="30102"/>
  <c r="BB41" i="30102"/>
  <c r="BC41" i="30102"/>
  <c r="BV41" i="30102"/>
  <c r="BM41" i="30102"/>
  <c r="BQ41" i="30102"/>
  <c r="AZ41" i="30102"/>
  <c r="BX41" i="30102"/>
  <c r="BF40" i="30102"/>
  <c r="BR40" i="30102"/>
  <c r="BA40" i="30102"/>
  <c r="AX40" i="30102"/>
  <c r="BJ40" i="30102"/>
  <c r="BT40" i="30102"/>
  <c r="BU40" i="30102"/>
  <c r="BB40" i="30102"/>
  <c r="AZ40" i="30102"/>
  <c r="CA40" i="30102"/>
  <c r="BM40" i="30102"/>
  <c r="BL40" i="30102"/>
  <c r="BQ40" i="30102"/>
  <c r="BY40" i="30102"/>
  <c r="BO40" i="30102"/>
  <c r="BE40" i="30102"/>
  <c r="BI40" i="30102"/>
  <c r="BV40" i="30102"/>
  <c r="BG40" i="30102"/>
  <c r="BS40" i="30102"/>
  <c r="BP40" i="30102"/>
  <c r="BX40" i="30102"/>
  <c r="AY40" i="30102"/>
  <c r="BK40" i="30102"/>
  <c r="BH40" i="30102"/>
  <c r="BW40" i="30102"/>
  <c r="BN40" i="30102"/>
  <c r="BC40" i="30102"/>
  <c r="BD40" i="30102"/>
  <c r="G10" i="30103"/>
  <c r="AX42" i="30102"/>
  <c r="BJ42" i="30102"/>
  <c r="BQ42" i="30102"/>
  <c r="CA42" i="30102"/>
  <c r="BU42" i="30102"/>
  <c r="BB42" i="30102"/>
  <c r="BT42" i="30102"/>
  <c r="BM42" i="30102"/>
  <c r="BL42" i="30102"/>
  <c r="AZ42" i="30102"/>
  <c r="BO42" i="30102"/>
  <c r="BE42" i="30102"/>
  <c r="BI42" i="30102"/>
  <c r="BY42" i="30102"/>
  <c r="BG42" i="30102"/>
  <c r="BS42" i="30102"/>
  <c r="BH42" i="30102"/>
  <c r="BX42" i="30102"/>
  <c r="AY42" i="30102"/>
  <c r="BK42" i="30102"/>
  <c r="BP42" i="30102"/>
  <c r="BW42" i="30102"/>
  <c r="BN42" i="30102"/>
  <c r="BC42" i="30102"/>
  <c r="BD42" i="30102"/>
  <c r="BV42" i="30102"/>
  <c r="BF42" i="30102"/>
  <c r="BR42" i="30102"/>
  <c r="BA42" i="30102"/>
  <c r="G14" i="30103"/>
  <c r="CB40" i="30102"/>
  <c r="Z26" i="30104"/>
  <c r="Z10" i="30104"/>
  <c r="V16" i="30104"/>
  <c r="Z20" i="30104"/>
  <c r="Z32" i="30104"/>
  <c r="V29" i="30104"/>
  <c r="V14" i="30104"/>
  <c r="V9" i="30104"/>
  <c r="Z23" i="30104"/>
  <c r="Z27" i="30104"/>
  <c r="V20" i="30104"/>
  <c r="Z12" i="30104"/>
  <c r="V33" i="30104"/>
  <c r="Z18" i="30104"/>
  <c r="Z19" i="30104"/>
  <c r="V31" i="30104"/>
  <c r="V8" i="30104"/>
  <c r="Z28" i="30104"/>
  <c r="V12" i="30104"/>
  <c r="Z16" i="30104"/>
  <c r="V24" i="30104"/>
  <c r="Z31" i="30104"/>
  <c r="Z9" i="30104"/>
  <c r="V22" i="30104"/>
  <c r="V17" i="30104"/>
  <c r="Z14" i="30104"/>
  <c r="V30" i="30104"/>
  <c r="Z25" i="30104"/>
  <c r="V30" i="30103"/>
  <c r="V22" i="30103"/>
  <c r="Z9" i="30103"/>
  <c r="Z25" i="30103"/>
  <c r="V17" i="30103"/>
  <c r="Z31" i="30103"/>
  <c r="Z14" i="30103"/>
  <c r="V21" i="30103"/>
  <c r="Z11" i="30103"/>
  <c r="Z33" i="30103"/>
  <c r="V25" i="30103"/>
  <c r="V10" i="30103"/>
  <c r="Z15" i="30103"/>
  <c r="V28" i="30103"/>
  <c r="V13" i="30104"/>
  <c r="Z22" i="30104"/>
  <c r="V32" i="30104"/>
  <c r="V15" i="30104"/>
  <c r="Z7" i="30104"/>
  <c r="V27" i="30104"/>
  <c r="Z24" i="30104"/>
  <c r="V23" i="30103"/>
  <c r="Z17" i="30103"/>
  <c r="Z29" i="30103"/>
  <c r="V11" i="30103"/>
  <c r="V7" i="30103"/>
  <c r="V19" i="30103"/>
  <c r="Z34" i="30103"/>
  <c r="V25" i="30104"/>
  <c r="V10" i="30104"/>
  <c r="V28" i="30104"/>
  <c r="V21" i="30104"/>
  <c r="Z33" i="30104"/>
  <c r="Z15" i="30104"/>
  <c r="Z11" i="30104"/>
  <c r="Z30" i="30104"/>
  <c r="Z8" i="30104"/>
  <c r="V26" i="30104"/>
  <c r="V34" i="30104"/>
  <c r="Z21" i="30104"/>
  <c r="Z13" i="30104"/>
  <c r="V18" i="30104"/>
  <c r="H58" i="19124"/>
  <c r="H54" i="19124"/>
  <c r="H62" i="19124"/>
  <c r="H51" i="19124"/>
  <c r="H55" i="19124"/>
  <c r="H59" i="19124"/>
  <c r="H49" i="19124"/>
  <c r="H48" i="19124"/>
  <c r="H52" i="19124"/>
  <c r="H56" i="19124"/>
  <c r="H64" i="19124"/>
  <c r="G66" i="19124"/>
  <c r="G63" i="19124"/>
  <c r="H65" i="19124"/>
  <c r="H53" i="19124"/>
  <c r="H61" i="19124"/>
  <c r="H50" i="19124"/>
  <c r="H57" i="19124"/>
  <c r="H60" i="19124"/>
  <c r="H12" i="30103"/>
  <c r="H14" i="30103"/>
  <c r="H11" i="30103"/>
  <c r="H10" i="30103"/>
  <c r="H13" i="30103"/>
  <c r="H12" i="30104"/>
  <c r="H9" i="30103"/>
  <c r="H8" i="30104"/>
  <c r="H10" i="30104"/>
  <c r="H8" i="30103"/>
  <c r="H9" i="30104"/>
  <c r="H7" i="30104"/>
  <c r="H13" i="30104"/>
  <c r="P81" i="30019"/>
  <c r="P93" i="30019"/>
  <c r="P99" i="30019"/>
  <c r="P100" i="30019"/>
  <c r="P112" i="30019"/>
  <c r="P113" i="30019"/>
  <c r="P123" i="30019"/>
  <c r="P73" i="30019"/>
  <c r="P90" i="30019"/>
  <c r="P88" i="30019"/>
  <c r="P124" i="30019"/>
  <c r="P91" i="30019"/>
  <c r="P129" i="30019"/>
  <c r="P82" i="30019"/>
  <c r="P83" i="30019"/>
  <c r="P97" i="30019"/>
  <c r="L73" i="30019" l="1"/>
  <c r="L90" i="30019"/>
  <c r="L69" i="30019"/>
  <c r="L99" i="30019"/>
  <c r="L72" i="30019"/>
  <c r="AE18" i="30104"/>
  <c r="L92" i="30019"/>
  <c r="L81" i="30019"/>
  <c r="AH11" i="30103"/>
  <c r="L100" i="30019"/>
  <c r="L89" i="30019"/>
  <c r="L84" i="30019"/>
  <c r="L101" i="30019"/>
  <c r="L79" i="30019"/>
  <c r="L71" i="30019"/>
  <c r="L82" i="30019"/>
  <c r="AE22" i="30104"/>
  <c r="L78" i="30019"/>
  <c r="L87" i="30019"/>
  <c r="AE26" i="30104"/>
  <c r="L102" i="30019"/>
  <c r="L91" i="30019"/>
  <c r="L74" i="30019"/>
  <c r="L93" i="30019"/>
  <c r="AH12" i="30104"/>
  <c r="AE16" i="30104"/>
  <c r="AH16" i="30104"/>
  <c r="V7" i="30104"/>
  <c r="Z34" i="30104"/>
  <c r="V23" i="30104"/>
  <c r="V11" i="30104"/>
  <c r="Z17" i="30104"/>
  <c r="V19" i="30104"/>
  <c r="Z29" i="30104"/>
  <c r="Z19" i="30103"/>
  <c r="V31" i="30103"/>
  <c r="Z28" i="30103"/>
  <c r="V24" i="30103"/>
  <c r="Z16" i="30103"/>
  <c r="V12" i="30103"/>
  <c r="V8" i="30103"/>
  <c r="V13" i="30103"/>
  <c r="Z7" i="30103"/>
  <c r="V32" i="30103"/>
  <c r="Z24" i="30103"/>
  <c r="V15" i="30103"/>
  <c r="V27" i="30103"/>
  <c r="Z22" i="30103"/>
  <c r="L128" i="30019"/>
  <c r="L110" i="30019"/>
  <c r="L122" i="30019"/>
  <c r="L113" i="30019"/>
  <c r="AH8" i="30104"/>
  <c r="L129" i="30019"/>
  <c r="AH22" i="30104"/>
  <c r="AI22" i="30104" s="1"/>
  <c r="L108" i="30019"/>
  <c r="AE25" i="30103"/>
  <c r="V33" i="30103"/>
  <c r="V9" i="30103"/>
  <c r="Z27" i="30103"/>
  <c r="Z18" i="30103"/>
  <c r="Z12" i="30103"/>
  <c r="V20" i="30103"/>
  <c r="Z23" i="30103"/>
  <c r="V29" i="30103"/>
  <c r="V14" i="30103"/>
  <c r="Z10" i="30103"/>
  <c r="Z32" i="30103"/>
  <c r="Z26" i="30103"/>
  <c r="Z20" i="30103"/>
  <c r="V16" i="30103"/>
  <c r="L117" i="30019"/>
  <c r="AE12" i="30104"/>
  <c r="L121" i="30019"/>
  <c r="L111" i="30019"/>
  <c r="L123" i="30019"/>
  <c r="AH18" i="30104"/>
  <c r="L114" i="30019"/>
  <c r="L120" i="30019"/>
  <c r="AE15" i="30104"/>
  <c r="L131" i="30019"/>
  <c r="L118" i="30019"/>
  <c r="Z21" i="30103"/>
  <c r="Z13" i="30103"/>
  <c r="V18" i="30103"/>
  <c r="Z8" i="30103"/>
  <c r="V26" i="30103"/>
  <c r="V34" i="30103"/>
  <c r="Z30" i="30103"/>
  <c r="L126" i="30019"/>
  <c r="AD9" i="30104"/>
  <c r="AD32" i="30104"/>
  <c r="AB24" i="30104"/>
  <c r="AB17" i="30103"/>
  <c r="AB21" i="30104"/>
  <c r="AD34" i="30104"/>
  <c r="AB13" i="30104"/>
  <c r="AD16" i="30104"/>
  <c r="AD10" i="30104"/>
  <c r="AB9" i="30104"/>
  <c r="AD18" i="30104"/>
  <c r="AB32" i="30104"/>
  <c r="AB16" i="30104"/>
  <c r="AB11" i="30103"/>
  <c r="AB10" i="30104"/>
  <c r="AD22" i="30104"/>
  <c r="AB18" i="30104"/>
  <c r="AD33" i="30104"/>
  <c r="AD30" i="30104"/>
  <c r="AB12" i="30104"/>
  <c r="AB22" i="30104"/>
  <c r="AD14" i="30104"/>
  <c r="AB33" i="30104"/>
  <c r="AD28" i="30104"/>
  <c r="AB30" i="30104"/>
  <c r="AB28" i="30104"/>
  <c r="AD20" i="30104"/>
  <c r="AD27" i="30104"/>
  <c r="AB14" i="30104"/>
  <c r="AD25" i="30103"/>
  <c r="AD25" i="30104"/>
  <c r="AD12" i="30104"/>
  <c r="AB20" i="30104"/>
  <c r="AB27" i="30104"/>
  <c r="AD31" i="30104"/>
  <c r="AD11" i="30103"/>
  <c r="AB25" i="30103"/>
  <c r="AB25" i="30104"/>
  <c r="AD21" i="30104"/>
  <c r="AB31" i="30104"/>
  <c r="AD8" i="30104"/>
  <c r="AD15" i="30104"/>
  <c r="AD26" i="30104"/>
  <c r="AB23" i="30103"/>
  <c r="AD17" i="30103"/>
  <c r="AB8" i="30104"/>
  <c r="AB15" i="30104"/>
  <c r="AB26" i="30104"/>
  <c r="AD24" i="30104"/>
  <c r="AD13" i="30104"/>
  <c r="AB34" i="30104"/>
  <c r="AD23" i="30103"/>
  <c r="P101" i="30019"/>
  <c r="P110" i="30019"/>
  <c r="P96" i="30019"/>
  <c r="P119" i="30019"/>
  <c r="P68" i="30019"/>
  <c r="P116" i="30019"/>
  <c r="P75" i="30019"/>
  <c r="P98" i="30019"/>
  <c r="P118" i="30019"/>
  <c r="P120" i="30019"/>
  <c r="P109" i="30019"/>
  <c r="P128" i="30019"/>
  <c r="P87" i="30019"/>
  <c r="P111" i="30019"/>
  <c r="P77" i="30019"/>
  <c r="P86" i="30019"/>
  <c r="P69" i="30019"/>
  <c r="P79" i="30019"/>
  <c r="P126" i="30019"/>
  <c r="P70" i="30019"/>
  <c r="P78" i="30019"/>
  <c r="P115" i="30019"/>
  <c r="P80" i="30019"/>
  <c r="P121" i="30019"/>
  <c r="P108" i="30019"/>
  <c r="P125" i="30019"/>
  <c r="P117" i="30019"/>
  <c r="P102" i="30019"/>
  <c r="P114" i="30019"/>
  <c r="P89" i="30019"/>
  <c r="P122" i="30019"/>
  <c r="P130" i="30019"/>
  <c r="P92" i="30019"/>
  <c r="P95" i="30019"/>
  <c r="P84" i="30019"/>
  <c r="P74" i="30019"/>
  <c r="P131" i="30019"/>
  <c r="P71" i="30019"/>
  <c r="P72" i="30019"/>
  <c r="P127" i="30019"/>
  <c r="AI18" i="30104" l="1"/>
  <c r="AG10" i="30103"/>
  <c r="AE10" i="30103"/>
  <c r="AI10" i="30103" s="1"/>
  <c r="AF10" i="30103"/>
  <c r="BY7" i="30103"/>
  <c r="BY9" i="30103"/>
  <c r="BY12" i="30103"/>
  <c r="BY14" i="30103"/>
  <c r="BY11" i="30103"/>
  <c r="BY8" i="30103"/>
  <c r="BY13" i="30103"/>
  <c r="BY10" i="30103"/>
  <c r="AH10" i="30103"/>
  <c r="AH34" i="30104"/>
  <c r="BA14" i="30104"/>
  <c r="BA10" i="30104"/>
  <c r="AG34" i="30104"/>
  <c r="AE34" i="30104"/>
  <c r="AF34" i="30104"/>
  <c r="BA13" i="30104"/>
  <c r="BA7" i="30104"/>
  <c r="BA12" i="30104"/>
  <c r="BA9" i="30104"/>
  <c r="BA11" i="30104"/>
  <c r="BA8" i="30104"/>
  <c r="AG26" i="30104"/>
  <c r="AF26" i="30104"/>
  <c r="AG15" i="30104"/>
  <c r="AF15" i="30104"/>
  <c r="AG8" i="30104"/>
  <c r="AF8" i="30104"/>
  <c r="L98" i="30019"/>
  <c r="AE11" i="30103"/>
  <c r="AI11" i="30103" s="1"/>
  <c r="AF23" i="30103"/>
  <c r="BF12" i="30103"/>
  <c r="BF8" i="30103"/>
  <c r="BF13" i="30103"/>
  <c r="BF11" i="30103"/>
  <c r="BF9" i="30103"/>
  <c r="BF7" i="30103"/>
  <c r="BF10" i="30103"/>
  <c r="AH23" i="30103"/>
  <c r="AG23" i="30103"/>
  <c r="AE23" i="30103"/>
  <c r="BF14" i="30103"/>
  <c r="AG31" i="30104"/>
  <c r="AX13" i="30104"/>
  <c r="AX11" i="30104"/>
  <c r="AX9" i="30104"/>
  <c r="AX7" i="30104"/>
  <c r="AF31" i="30104"/>
  <c r="AX14" i="30104"/>
  <c r="AX10" i="30104"/>
  <c r="AX8" i="30104"/>
  <c r="AH31" i="30104"/>
  <c r="AE31" i="30104"/>
  <c r="AX12" i="30104"/>
  <c r="AG25" i="30104"/>
  <c r="AF25" i="30104"/>
  <c r="AH25" i="30104"/>
  <c r="AG25" i="30103"/>
  <c r="AF25" i="30103"/>
  <c r="AE8" i="30104"/>
  <c r="AE27" i="30104"/>
  <c r="BB12" i="30104"/>
  <c r="BB8" i="30104"/>
  <c r="AH27" i="30104"/>
  <c r="BB13" i="30104"/>
  <c r="BB10" i="30104"/>
  <c r="BB7" i="30104"/>
  <c r="BB9" i="30104"/>
  <c r="AG27" i="30104"/>
  <c r="BB14" i="30104"/>
  <c r="BB11" i="30104"/>
  <c r="AF27" i="30104"/>
  <c r="AG20" i="30104"/>
  <c r="AF20" i="30104"/>
  <c r="BU14" i="30104"/>
  <c r="AF14" i="30104"/>
  <c r="BU10" i="30104"/>
  <c r="BU12" i="30104"/>
  <c r="BU8" i="30104"/>
  <c r="BU13" i="30104"/>
  <c r="BU11" i="30104"/>
  <c r="BU9" i="30104"/>
  <c r="BU7" i="30104"/>
  <c r="AH14" i="30104"/>
  <c r="AG14" i="30104"/>
  <c r="AE14" i="30104"/>
  <c r="AH28" i="30104"/>
  <c r="BC14" i="30104"/>
  <c r="BC10" i="30104"/>
  <c r="AF28" i="30104"/>
  <c r="BC12" i="30104"/>
  <c r="BC8" i="30104"/>
  <c r="AE28" i="30104"/>
  <c r="BC13" i="30104"/>
  <c r="BC11" i="30104"/>
  <c r="BC9" i="30104"/>
  <c r="BC7" i="30104"/>
  <c r="AG28" i="30104"/>
  <c r="AE20" i="30104"/>
  <c r="L95" i="30019"/>
  <c r="AF30" i="30104"/>
  <c r="BE12" i="30104"/>
  <c r="BE8" i="30104"/>
  <c r="BE13" i="30104"/>
  <c r="BE11" i="30104"/>
  <c r="BE9" i="30104"/>
  <c r="BE7" i="30104"/>
  <c r="BE14" i="30104"/>
  <c r="AH30" i="30104"/>
  <c r="AG30" i="30104"/>
  <c r="AE30" i="30104"/>
  <c r="AI30" i="30104" s="1"/>
  <c r="BE10" i="30104"/>
  <c r="AG33" i="30104"/>
  <c r="AZ13" i="30104"/>
  <c r="AZ11" i="30104"/>
  <c r="AZ9" i="30104"/>
  <c r="AZ7" i="30104"/>
  <c r="AE33" i="30104"/>
  <c r="AZ14" i="30104"/>
  <c r="AZ10" i="30104"/>
  <c r="AZ12" i="30104"/>
  <c r="AZ8" i="30104"/>
  <c r="AH33" i="30104"/>
  <c r="AF33" i="30104"/>
  <c r="AH15" i="30104"/>
  <c r="AG22" i="30104"/>
  <c r="AF22" i="30104"/>
  <c r="AI12" i="30104"/>
  <c r="L77" i="30019"/>
  <c r="L86" i="30019"/>
  <c r="O86" i="30019" s="1" a="1"/>
  <c r="O86" i="30019" s="1"/>
  <c r="L75" i="30019"/>
  <c r="L88" i="30019"/>
  <c r="L97" i="30019"/>
  <c r="AG12" i="30104"/>
  <c r="AF12" i="30104"/>
  <c r="AE17" i="30103"/>
  <c r="AH26" i="30104"/>
  <c r="AI26" i="30104" s="1"/>
  <c r="L96" i="30019"/>
  <c r="L83" i="30019"/>
  <c r="AH17" i="30103"/>
  <c r="AI17" i="30103" s="1"/>
  <c r="AI15" i="30104"/>
  <c r="L70" i="30019"/>
  <c r="AG18" i="30104"/>
  <c r="AF18" i="30104"/>
  <c r="BY12" i="30104"/>
  <c r="AF10" i="30104"/>
  <c r="BY8" i="30104"/>
  <c r="BY13" i="30104"/>
  <c r="BY11" i="30104"/>
  <c r="BY9" i="30104"/>
  <c r="BY7" i="30104"/>
  <c r="BY14" i="30104"/>
  <c r="BY10" i="30104"/>
  <c r="AH10" i="30104"/>
  <c r="AG10" i="30104"/>
  <c r="AE10" i="30104"/>
  <c r="AF11" i="30103"/>
  <c r="AG11" i="30103"/>
  <c r="AE25" i="30104"/>
  <c r="AI25" i="30104" s="1"/>
  <c r="L80" i="30019"/>
  <c r="AI8" i="30104"/>
  <c r="AG16" i="30104"/>
  <c r="AF16" i="30104"/>
  <c r="AG32" i="30104"/>
  <c r="AE32" i="30104"/>
  <c r="AY11" i="30104"/>
  <c r="AY8" i="30104"/>
  <c r="AY10" i="30104"/>
  <c r="AY13" i="30104"/>
  <c r="AY7" i="30104"/>
  <c r="AY12" i="30104"/>
  <c r="AH32" i="30104"/>
  <c r="AY9" i="30104"/>
  <c r="AF32" i="30104"/>
  <c r="AY14" i="30104"/>
  <c r="AH9" i="30104"/>
  <c r="AF9" i="30104"/>
  <c r="AE9" i="30104"/>
  <c r="AI9" i="30104" s="1"/>
  <c r="BX14" i="30104"/>
  <c r="BX11" i="30104"/>
  <c r="BX8" i="30104"/>
  <c r="BX13" i="30104"/>
  <c r="BX10" i="30104"/>
  <c r="BX7" i="30104"/>
  <c r="BX12" i="30104"/>
  <c r="BX9" i="30104"/>
  <c r="AG9" i="30104"/>
  <c r="AH25" i="30103"/>
  <c r="AI25" i="30103" s="1"/>
  <c r="AH13" i="30104"/>
  <c r="BT12" i="30104"/>
  <c r="BT8" i="30104"/>
  <c r="AF13" i="30104"/>
  <c r="BT9" i="30104"/>
  <c r="BT14" i="30104"/>
  <c r="BT11" i="30104"/>
  <c r="AG13" i="30104"/>
  <c r="BT13" i="30104"/>
  <c r="AE13" i="30104"/>
  <c r="AI13" i="30104" s="1"/>
  <c r="BT10" i="30104"/>
  <c r="BT7" i="30104"/>
  <c r="AH20" i="30104"/>
  <c r="AE21" i="30104"/>
  <c r="AI21" i="30104" s="1"/>
  <c r="BL14" i="30104"/>
  <c r="BL10" i="30104"/>
  <c r="AH21" i="30104"/>
  <c r="BL12" i="30104"/>
  <c r="BL9" i="30104"/>
  <c r="AG21" i="30104"/>
  <c r="AF21" i="30104"/>
  <c r="BL11" i="30104"/>
  <c r="BL8" i="30104"/>
  <c r="BL13" i="30104"/>
  <c r="BL7" i="30104"/>
  <c r="AG17" i="30103"/>
  <c r="AF17" i="30103"/>
  <c r="AH24" i="30104"/>
  <c r="AF24" i="30104"/>
  <c r="AE24" i="30104"/>
  <c r="AI24" i="30104" s="1"/>
  <c r="BG12" i="30104"/>
  <c r="BG9" i="30104"/>
  <c r="BG14" i="30104"/>
  <c r="AG24" i="30104"/>
  <c r="BG11" i="30104"/>
  <c r="BG8" i="30104"/>
  <c r="BG10" i="30104"/>
  <c r="BG13" i="30104"/>
  <c r="BG7" i="30104"/>
  <c r="O102" i="30019" a="1"/>
  <c r="O102" i="30019" s="1"/>
  <c r="O92" i="30019" a="1"/>
  <c r="O92" i="30019" s="1"/>
  <c r="M92" i="30019" a="1"/>
  <c r="M92" i="30019" s="1"/>
  <c r="L112" i="30019"/>
  <c r="AE7" i="30104"/>
  <c r="M122" i="30019" a="1"/>
  <c r="M122" i="30019" s="1"/>
  <c r="AH17" i="30104"/>
  <c r="L116" i="30019"/>
  <c r="AE11" i="30104"/>
  <c r="O87" i="30019" a="1"/>
  <c r="O87" i="30019" s="1"/>
  <c r="M87" i="30019" a="1"/>
  <c r="M87" i="30019" s="1"/>
  <c r="AE16" i="30103"/>
  <c r="L119" i="30019"/>
  <c r="M119" i="30019" s="1" a="1"/>
  <c r="M119" i="30019" s="1"/>
  <c r="AE12" i="30103"/>
  <c r="L115" i="30019"/>
  <c r="AE8" i="30103"/>
  <c r="M80" i="30019" a="1"/>
  <c r="M80" i="30019" s="1"/>
  <c r="O80" i="30019" a="1"/>
  <c r="O80" i="30019" s="1"/>
  <c r="M114" i="30019" a="1"/>
  <c r="M114" i="30019" s="1"/>
  <c r="AH22" i="30103"/>
  <c r="L124" i="30019"/>
  <c r="AE15" i="30103"/>
  <c r="AH7" i="30103"/>
  <c r="AI16" i="30104"/>
  <c r="O115" i="30019" a="1"/>
  <c r="O115" i="30019" s="1"/>
  <c r="M115" i="30019" a="1"/>
  <c r="M115" i="30019" s="1"/>
  <c r="O89" i="30019" a="1"/>
  <c r="O89" i="30019" s="1"/>
  <c r="M86" i="30019" a="1"/>
  <c r="M86" i="30019" s="1"/>
  <c r="M69" i="30019" a="1"/>
  <c r="M69" i="30019" s="1"/>
  <c r="O69" i="30019" a="1"/>
  <c r="O69" i="30019" s="1"/>
  <c r="O70" i="30019" a="1"/>
  <c r="O70" i="30019" s="1"/>
  <c r="M70" i="30019" a="1"/>
  <c r="M70" i="30019" s="1"/>
  <c r="M96" i="30019" a="1"/>
  <c r="M96" i="30019" s="1"/>
  <c r="O96" i="30019" a="1"/>
  <c r="O96" i="30019" s="1"/>
  <c r="L130" i="30019"/>
  <c r="AE20" i="30103"/>
  <c r="AH8" i="30103"/>
  <c r="AH12" i="30103"/>
  <c r="AI12" i="30103" s="1"/>
  <c r="L127" i="30019"/>
  <c r="AE18" i="30103"/>
  <c r="L125" i="30019"/>
  <c r="AH16" i="30103"/>
  <c r="AI16" i="30103" s="1"/>
  <c r="AH18" i="30103"/>
  <c r="AH20" i="30103"/>
  <c r="L109" i="30019"/>
  <c r="AH26" i="30103"/>
  <c r="AE26" i="30103"/>
  <c r="L68" i="30019"/>
  <c r="M131" i="30019" a="1"/>
  <c r="M131" i="30019" s="1"/>
  <c r="M102" i="30019" a="1"/>
  <c r="M102" i="30019" s="1"/>
  <c r="O122" i="30019" a="1"/>
  <c r="O122" i="30019" s="1"/>
  <c r="O131" i="30019" a="1"/>
  <c r="O131" i="30019" s="1"/>
  <c r="O78" i="30019" a="1"/>
  <c r="O78" i="30019" s="1"/>
  <c r="M78" i="30019" a="1"/>
  <c r="M78" i="30019" s="1"/>
  <c r="O114" i="30019" a="1"/>
  <c r="O114" i="30019" s="1"/>
  <c r="M79" i="30019" a="1"/>
  <c r="M79" i="30019" s="1"/>
  <c r="M71" i="30019" a="1"/>
  <c r="M71" i="30019" s="1"/>
  <c r="M89" i="30019" a="1"/>
  <c r="M89" i="30019" s="1"/>
  <c r="O79" i="30019" a="1"/>
  <c r="O79" i="30019" s="1"/>
  <c r="O71" i="30019" a="1"/>
  <c r="O71" i="30019" s="1"/>
  <c r="O121" i="30019" a="1"/>
  <c r="O121" i="30019" s="1"/>
  <c r="M121" i="30019" a="1"/>
  <c r="M121" i="30019" s="1"/>
  <c r="O84" i="30019" a="1"/>
  <c r="O84" i="30019" s="1"/>
  <c r="M84" i="30019" a="1"/>
  <c r="M84" i="30019" s="1"/>
  <c r="O98" i="30019" a="1"/>
  <c r="O98" i="30019" s="1"/>
  <c r="M98" i="30019" a="1"/>
  <c r="M98" i="30019" s="1"/>
  <c r="O75" i="30019" a="1"/>
  <c r="O75" i="30019" s="1"/>
  <c r="M75" i="30019" a="1"/>
  <c r="M75" i="30019" s="1"/>
  <c r="O117" i="30019" a="1"/>
  <c r="O117" i="30019" s="1"/>
  <c r="M117" i="30019" a="1"/>
  <c r="M117" i="30019" s="1"/>
  <c r="O111" i="30019" a="1"/>
  <c r="O111" i="30019" s="1"/>
  <c r="M111" i="30019" a="1"/>
  <c r="M111" i="30019" s="1"/>
  <c r="M118" i="30019" a="1"/>
  <c r="M118" i="30019" s="1"/>
  <c r="O118" i="30019" a="1"/>
  <c r="O118" i="30019" s="1"/>
  <c r="O110" i="30019" a="1"/>
  <c r="O110" i="30019" s="1"/>
  <c r="M110" i="30019" a="1"/>
  <c r="M110" i="30019" s="1"/>
  <c r="M108" i="30019" a="1"/>
  <c r="M108" i="30019" s="1"/>
  <c r="O108" i="30019" a="1"/>
  <c r="O108" i="30019" s="1"/>
  <c r="M74" i="30019" a="1"/>
  <c r="M74" i="30019" s="1"/>
  <c r="O74" i="30019" a="1"/>
  <c r="O74" i="30019" s="1"/>
  <c r="O128" i="30019" a="1"/>
  <c r="O128" i="30019" s="1"/>
  <c r="M128" i="30019" a="1"/>
  <c r="M128" i="30019" s="1"/>
  <c r="M126" i="30019" a="1"/>
  <c r="M126" i="30019" s="1"/>
  <c r="O126" i="30019" a="1"/>
  <c r="O126" i="30019" s="1"/>
  <c r="O120" i="30019" a="1"/>
  <c r="O120" i="30019" s="1"/>
  <c r="M120" i="30019" a="1"/>
  <c r="M120" i="30019" s="1"/>
  <c r="O116" i="30019" a="1"/>
  <c r="O116" i="30019" s="1"/>
  <c r="M116" i="30019" a="1"/>
  <c r="M116" i="30019" s="1"/>
  <c r="O101" i="30019" a="1"/>
  <c r="O101" i="30019" s="1"/>
  <c r="M101" i="30019" a="1"/>
  <c r="M101" i="30019" s="1"/>
  <c r="M95" i="30019" a="1"/>
  <c r="M95" i="30019" s="1"/>
  <c r="O95" i="30019" a="1"/>
  <c r="O95" i="30019" s="1"/>
  <c r="O77" i="30019" a="1"/>
  <c r="O77" i="30019" s="1"/>
  <c r="M77" i="30019" a="1"/>
  <c r="M77" i="30019" s="1"/>
  <c r="O93" i="30019" a="1"/>
  <c r="O93" i="30019" s="1"/>
  <c r="M93" i="30019" a="1"/>
  <c r="M93" i="30019" s="1"/>
  <c r="O97" i="30019" a="1"/>
  <c r="O97" i="30019" s="1"/>
  <c r="M97" i="30019" a="1"/>
  <c r="M97" i="30019" s="1"/>
  <c r="M82" i="30019" a="1"/>
  <c r="M82" i="30019" s="1"/>
  <c r="O82" i="30019" a="1"/>
  <c r="O82" i="30019" s="1"/>
  <c r="O81" i="30019" a="1"/>
  <c r="O81" i="30019" s="1"/>
  <c r="M81" i="30019" a="1"/>
  <c r="M81" i="30019" s="1"/>
  <c r="M124" i="30019" a="1"/>
  <c r="M124" i="30019" s="1"/>
  <c r="O124" i="30019" a="1"/>
  <c r="O124" i="30019" s="1"/>
  <c r="O91" i="30019" a="1"/>
  <c r="O91" i="30019" s="1"/>
  <c r="M91" i="30019" a="1"/>
  <c r="M91" i="30019" s="1"/>
  <c r="M99" i="30019" a="1"/>
  <c r="M99" i="30019" s="1"/>
  <c r="O99" i="30019" a="1"/>
  <c r="O99" i="30019" s="1"/>
  <c r="M88" i="30019" a="1"/>
  <c r="M88" i="30019" s="1"/>
  <c r="O88" i="30019" a="1"/>
  <c r="O88" i="30019" s="1"/>
  <c r="M83" i="30019" a="1"/>
  <c r="M83" i="30019" s="1"/>
  <c r="O83" i="30019" a="1"/>
  <c r="O83" i="30019" s="1"/>
  <c r="O123" i="30019" a="1"/>
  <c r="O123" i="30019" s="1"/>
  <c r="M123" i="30019" a="1"/>
  <c r="M123" i="30019" s="1"/>
  <c r="O100" i="30019" a="1"/>
  <c r="O100" i="30019" s="1"/>
  <c r="M100" i="30019" a="1"/>
  <c r="M100" i="30019" s="1"/>
  <c r="O129" i="30019" a="1"/>
  <c r="O129" i="30019" s="1"/>
  <c r="M129" i="30019" a="1"/>
  <c r="M129" i="30019" s="1"/>
  <c r="M90" i="30019" a="1"/>
  <c r="M90" i="30019" s="1"/>
  <c r="O90" i="30019" a="1"/>
  <c r="O90" i="30019" s="1"/>
  <c r="AK70" i="30019"/>
  <c r="AJ70" i="30019"/>
  <c r="AI70" i="30019"/>
  <c r="AH70" i="30019"/>
  <c r="AK96" i="30019"/>
  <c r="AJ96" i="30019"/>
  <c r="AI96" i="30019"/>
  <c r="AH96" i="30019"/>
  <c r="AJ78" i="30019"/>
  <c r="AI78" i="30019"/>
  <c r="AH78" i="30019"/>
  <c r="AK78" i="30019"/>
  <c r="AK92" i="30019"/>
  <c r="AJ92" i="30019"/>
  <c r="AI92" i="30019"/>
  <c r="AH92" i="30019"/>
  <c r="AJ79" i="30019"/>
  <c r="AH79" i="30019"/>
  <c r="AK79" i="30019"/>
  <c r="AI79" i="30019"/>
  <c r="AK71" i="30019"/>
  <c r="AJ71" i="30019"/>
  <c r="AI71" i="30019"/>
  <c r="AH71" i="30019"/>
  <c r="AK89" i="30019"/>
  <c r="AJ89" i="30019"/>
  <c r="AH89" i="30019"/>
  <c r="AI89" i="30019"/>
  <c r="AI87" i="30019"/>
  <c r="AK87" i="30019"/>
  <c r="AJ87" i="30019"/>
  <c r="AH87" i="30019"/>
  <c r="AH131" i="30019"/>
  <c r="AK131" i="30019"/>
  <c r="AJ131" i="30019"/>
  <c r="AI131" i="30019"/>
  <c r="AK80" i="30019"/>
  <c r="AJ80" i="30019"/>
  <c r="AI80" i="30019"/>
  <c r="AH80" i="30019"/>
  <c r="AK102" i="30019"/>
  <c r="AJ102" i="30019"/>
  <c r="AI102" i="30019"/>
  <c r="AH102" i="30019"/>
  <c r="AH122" i="30019"/>
  <c r="AK122" i="30019"/>
  <c r="AJ122" i="30019"/>
  <c r="AI122" i="30019"/>
  <c r="O68" i="30019" a="1"/>
  <c r="O68" i="30019" s="1"/>
  <c r="O72" i="30019" a="1"/>
  <c r="O72" i="30019" s="1"/>
  <c r="O113" i="30019" a="1"/>
  <c r="O113" i="30019" s="1"/>
  <c r="O112" i="30019" a="1"/>
  <c r="O112" i="30019" s="1"/>
  <c r="O73" i="30019" a="1"/>
  <c r="O73" i="30019" s="1"/>
  <c r="M68" i="30019" a="1"/>
  <c r="M68" i="30019" s="1"/>
  <c r="M72" i="30019" a="1"/>
  <c r="M72" i="30019" s="1"/>
  <c r="M113" i="30019" a="1"/>
  <c r="M113" i="30019" s="1"/>
  <c r="M112" i="30019" a="1"/>
  <c r="M112" i="30019" s="1"/>
  <c r="M73" i="30019" a="1"/>
  <c r="M73" i="30019" s="1"/>
  <c r="AK115" i="30019"/>
  <c r="AJ115" i="30019"/>
  <c r="AI115" i="30019"/>
  <c r="AH115" i="30019"/>
  <c r="AI114" i="30019"/>
  <c r="AJ114" i="30019"/>
  <c r="AH114" i="30019"/>
  <c r="AK114" i="30019"/>
  <c r="AJ69" i="30019"/>
  <c r="AI69" i="30019"/>
  <c r="AK69" i="30019"/>
  <c r="AH69" i="30019"/>
  <c r="B4136" i="29955"/>
  <c r="B4135" i="29955"/>
  <c r="B4134" i="29955"/>
  <c r="B4133" i="29955"/>
  <c r="B4132" i="29955"/>
  <c r="B4131" i="29955"/>
  <c r="B4130" i="29955"/>
  <c r="B4129" i="29955"/>
  <c r="B4128" i="29955"/>
  <c r="B4127" i="29955"/>
  <c r="B4126" i="29955"/>
  <c r="B4125" i="29955"/>
  <c r="B4124" i="29955"/>
  <c r="B4123" i="29955"/>
  <c r="B4122" i="29955"/>
  <c r="B4121" i="29955"/>
  <c r="B4120" i="29955"/>
  <c r="B4119" i="29955"/>
  <c r="B4118" i="29955"/>
  <c r="B4117" i="29955"/>
  <c r="B4116" i="29955"/>
  <c r="B4115" i="29955"/>
  <c r="B4114" i="29955"/>
  <c r="B4113" i="29955"/>
  <c r="B4112" i="29955"/>
  <c r="B4111" i="29955"/>
  <c r="B4110" i="29955"/>
  <c r="B4109" i="29955"/>
  <c r="B4108" i="29955"/>
  <c r="B4107" i="29955"/>
  <c r="B4106" i="29955"/>
  <c r="B4105" i="29955"/>
  <c r="B4104" i="29955"/>
  <c r="B4103" i="29955"/>
  <c r="B4102" i="29955"/>
  <c r="B4101" i="29955"/>
  <c r="B4100" i="29955"/>
  <c r="B4099" i="29955"/>
  <c r="B4098" i="29955"/>
  <c r="B4097" i="29955"/>
  <c r="B4096" i="29955"/>
  <c r="B4095" i="29955"/>
  <c r="B4094" i="29955"/>
  <c r="B4093" i="29955"/>
  <c r="B4092" i="29955"/>
  <c r="B4091" i="29955"/>
  <c r="B4090" i="29955"/>
  <c r="B4089" i="29955"/>
  <c r="B4088" i="29955"/>
  <c r="B4087" i="29955"/>
  <c r="B837" i="29960"/>
  <c r="C837" i="29960"/>
  <c r="AD34" i="30103"/>
  <c r="AD23" i="30104"/>
  <c r="AD7" i="30104"/>
  <c r="AD31" i="30103"/>
  <c r="AD12" i="30103"/>
  <c r="AD24" i="30103"/>
  <c r="AD14" i="30103"/>
  <c r="AD33" i="30103"/>
  <c r="AD20" i="30103"/>
  <c r="AD26" i="30103"/>
  <c r="AD11" i="30104"/>
  <c r="AD9" i="30103"/>
  <c r="AD19" i="30104"/>
  <c r="AD15" i="30103"/>
  <c r="AD16" i="30103"/>
  <c r="AD8" i="30103"/>
  <c r="AD18" i="30103"/>
  <c r="AD32" i="30103"/>
  <c r="AD13" i="30103"/>
  <c r="AD27" i="30103"/>
  <c r="AD29" i="30103"/>
  <c r="AB10" i="30103"/>
  <c r="AD10" i="30103"/>
  <c r="AB34" i="30103"/>
  <c r="AB11" i="30104"/>
  <c r="AD30" i="30103"/>
  <c r="AB30" i="30103"/>
  <c r="AD29" i="30104"/>
  <c r="AB29" i="30104"/>
  <c r="AD7" i="30103"/>
  <c r="AB7" i="30103"/>
  <c r="AD21" i="30103"/>
  <c r="AB21" i="30103"/>
  <c r="AB18" i="30103"/>
  <c r="AB31" i="30103"/>
  <c r="AD28" i="30103"/>
  <c r="AB28" i="30103"/>
  <c r="AD19" i="30103"/>
  <c r="AB19" i="30103"/>
  <c r="AB14" i="30103"/>
  <c r="AB27" i="30103"/>
  <c r="AB12" i="30103"/>
  <c r="AB19" i="30104"/>
  <c r="AB29" i="30103"/>
  <c r="AB33" i="30103"/>
  <c r="AB15" i="30103"/>
  <c r="AB20" i="30103"/>
  <c r="AB32" i="30103"/>
  <c r="AB23" i="30104"/>
  <c r="AB13" i="30103"/>
  <c r="AB7" i="30104"/>
  <c r="AB26" i="30103"/>
  <c r="AB16" i="30103"/>
  <c r="AB24" i="30103"/>
  <c r="AB8" i="30103"/>
  <c r="AD17" i="30104"/>
  <c r="AB17" i="30104"/>
  <c r="AD22" i="30103"/>
  <c r="AB22" i="30103"/>
  <c r="AI28" i="30104" l="1"/>
  <c r="AI27" i="30104"/>
  <c r="AI31" i="30104"/>
  <c r="AI10" i="30104"/>
  <c r="AI20" i="30104"/>
  <c r="AI34" i="30104"/>
  <c r="AI23" i="30103"/>
  <c r="AI32" i="30104"/>
  <c r="AI33" i="30104"/>
  <c r="AI14" i="30104"/>
  <c r="AK86" i="30019"/>
  <c r="AJ86" i="30019"/>
  <c r="AI86" i="30019"/>
  <c r="AH86" i="30019"/>
  <c r="AG22" i="30103"/>
  <c r="AF22" i="30103"/>
  <c r="AE22" i="30103"/>
  <c r="AI22" i="30103" s="1"/>
  <c r="AG17" i="30104"/>
  <c r="AF17" i="30104"/>
  <c r="AE17" i="30104"/>
  <c r="AI17" i="30104" s="1"/>
  <c r="AF8" i="30103"/>
  <c r="AG8" i="30103"/>
  <c r="AG24" i="30103"/>
  <c r="BG13" i="30103"/>
  <c r="BG11" i="30103"/>
  <c r="BG9" i="30103"/>
  <c r="BG7" i="30103"/>
  <c r="AF24" i="30103"/>
  <c r="BG14" i="30103"/>
  <c r="BG10" i="30103"/>
  <c r="AH24" i="30103"/>
  <c r="AE24" i="30103"/>
  <c r="BG8" i="30103"/>
  <c r="BG12" i="30103"/>
  <c r="AF16" i="30103"/>
  <c r="AG16" i="30103"/>
  <c r="AG26" i="30103"/>
  <c r="AF26" i="30103"/>
  <c r="AG7" i="30104"/>
  <c r="AF7" i="30104"/>
  <c r="AK6" i="30104"/>
  <c r="AH7" i="30104"/>
  <c r="AI7" i="30104" s="1"/>
  <c r="BT14" i="30103"/>
  <c r="BT10" i="30103"/>
  <c r="AG13" i="30103"/>
  <c r="AF13" i="30103"/>
  <c r="BT13" i="30103"/>
  <c r="AE13" i="30103"/>
  <c r="BT7" i="30103"/>
  <c r="BT12" i="30103"/>
  <c r="BT9" i="30103"/>
  <c r="AH13" i="30103"/>
  <c r="BT11" i="30103"/>
  <c r="BT8" i="30103"/>
  <c r="AE23" i="30104"/>
  <c r="BF13" i="30104"/>
  <c r="BF11" i="30104"/>
  <c r="BF9" i="30104"/>
  <c r="BF7" i="30104"/>
  <c r="AH23" i="30104"/>
  <c r="BF14" i="30104"/>
  <c r="BF10" i="30104"/>
  <c r="BF12" i="30104"/>
  <c r="BF8" i="30104"/>
  <c r="AG23" i="30104"/>
  <c r="AF23" i="30104"/>
  <c r="AE32" i="30103"/>
  <c r="AY13" i="30103"/>
  <c r="AY11" i="30103"/>
  <c r="AY9" i="30103"/>
  <c r="AY7" i="30103"/>
  <c r="AH32" i="30103"/>
  <c r="AY14" i="30103"/>
  <c r="AY10" i="30103"/>
  <c r="AG32" i="30103"/>
  <c r="AF32" i="30103"/>
  <c r="AY12" i="30103"/>
  <c r="AY8" i="30103"/>
  <c r="AG20" i="30103"/>
  <c r="AF20" i="30103"/>
  <c r="AF15" i="30103"/>
  <c r="AG15" i="30103"/>
  <c r="AH15" i="30103"/>
  <c r="AI15" i="30103" s="1"/>
  <c r="AH33" i="30103"/>
  <c r="AF33" i="30103"/>
  <c r="AE33" i="30103"/>
  <c r="AZ12" i="30103"/>
  <c r="AZ9" i="30103"/>
  <c r="AZ14" i="30103"/>
  <c r="AZ11" i="30103"/>
  <c r="AZ8" i="30103"/>
  <c r="AZ10" i="30103"/>
  <c r="AG33" i="30103"/>
  <c r="AZ13" i="30103"/>
  <c r="AZ7" i="30103"/>
  <c r="BD14" i="30103"/>
  <c r="BD10" i="30103"/>
  <c r="BD12" i="30103"/>
  <c r="BD8" i="30103"/>
  <c r="AG29" i="30103"/>
  <c r="BD13" i="30103"/>
  <c r="BD11" i="30103"/>
  <c r="BD9" i="30103"/>
  <c r="BD7" i="30103"/>
  <c r="AH29" i="30103"/>
  <c r="AF29" i="30103"/>
  <c r="AE29" i="30103"/>
  <c r="AE19" i="30104"/>
  <c r="L11" i="30104" s="1"/>
  <c r="BJ13" i="30104"/>
  <c r="BJ11" i="30104"/>
  <c r="BJ9" i="30104"/>
  <c r="BJ7" i="30104"/>
  <c r="BJ14" i="30104"/>
  <c r="BJ10" i="30104"/>
  <c r="AH19" i="30104"/>
  <c r="BJ12" i="30104"/>
  <c r="BJ8" i="30104"/>
  <c r="AG19" i="30104"/>
  <c r="AF19" i="30104"/>
  <c r="AF12" i="30103"/>
  <c r="AG12" i="30103"/>
  <c r="AF27" i="30103"/>
  <c r="BB14" i="30103"/>
  <c r="BB10" i="30103"/>
  <c r="AG27" i="30103"/>
  <c r="BB12" i="30103"/>
  <c r="BB9" i="30103"/>
  <c r="AE27" i="30103"/>
  <c r="BB11" i="30103"/>
  <c r="BB8" i="30103"/>
  <c r="BB13" i="30103"/>
  <c r="BB7" i="30103"/>
  <c r="AH27" i="30103"/>
  <c r="BX14" i="30103"/>
  <c r="BX10" i="30103"/>
  <c r="BX12" i="30103"/>
  <c r="BX8" i="30103"/>
  <c r="BX13" i="30103"/>
  <c r="BX11" i="30103"/>
  <c r="BX9" i="30103"/>
  <c r="AG9" i="30103"/>
  <c r="BX7" i="30103"/>
  <c r="AH9" i="30103"/>
  <c r="N9" i="30103" s="1"/>
  <c r="AF9" i="30103"/>
  <c r="AE9" i="30103"/>
  <c r="AG14" i="30103"/>
  <c r="AE14" i="30103"/>
  <c r="BU12" i="30103"/>
  <c r="BU8" i="30103"/>
  <c r="BU13" i="30103"/>
  <c r="BU10" i="30103"/>
  <c r="BU7" i="30103"/>
  <c r="BU9" i="30103"/>
  <c r="AH14" i="30103"/>
  <c r="BU14" i="30103"/>
  <c r="AF14" i="30103"/>
  <c r="BU11" i="30103"/>
  <c r="AF19" i="30103"/>
  <c r="AG19" i="30103"/>
  <c r="BJ11" i="30103"/>
  <c r="BJ8" i="30103"/>
  <c r="AE19" i="30103"/>
  <c r="BJ10" i="30103"/>
  <c r="BJ13" i="30103"/>
  <c r="BJ7" i="30103"/>
  <c r="BJ12" i="30103"/>
  <c r="BJ9" i="30103"/>
  <c r="BJ14" i="30103"/>
  <c r="AH19" i="30103"/>
  <c r="AG28" i="30103"/>
  <c r="AF28" i="30103"/>
  <c r="BC12" i="30103"/>
  <c r="BC8" i="30103"/>
  <c r="BC14" i="30103"/>
  <c r="BC11" i="30103"/>
  <c r="AH28" i="30103"/>
  <c r="BC13" i="30103"/>
  <c r="BC10" i="30103"/>
  <c r="AE28" i="30103"/>
  <c r="BC7" i="30103"/>
  <c r="BC9" i="30103"/>
  <c r="AX12" i="30103"/>
  <c r="AX8" i="30103"/>
  <c r="AH31" i="30103"/>
  <c r="AG31" i="30103"/>
  <c r="AX13" i="30103"/>
  <c r="AX11" i="30103"/>
  <c r="AX9" i="30103"/>
  <c r="AX7" i="30103"/>
  <c r="AE31" i="30103"/>
  <c r="AF31" i="30103"/>
  <c r="AX14" i="30103"/>
  <c r="AX10" i="30103"/>
  <c r="AG18" i="30103"/>
  <c r="AF18" i="30103"/>
  <c r="AF21" i="30103"/>
  <c r="BL13" i="30103"/>
  <c r="BL11" i="30103"/>
  <c r="BL9" i="30103"/>
  <c r="BL7" i="30103"/>
  <c r="BL14" i="30103"/>
  <c r="BL10" i="30103"/>
  <c r="BL12" i="30103"/>
  <c r="BL8" i="30103"/>
  <c r="AH21" i="30103"/>
  <c r="AG21" i="30103"/>
  <c r="AE21" i="30103"/>
  <c r="AI21" i="30103" s="1"/>
  <c r="AF7" i="30103"/>
  <c r="AG7" i="30103"/>
  <c r="AK6" i="30103"/>
  <c r="AE7" i="30103"/>
  <c r="AI7" i="30103" s="1"/>
  <c r="AH29" i="30104"/>
  <c r="AF29" i="30104"/>
  <c r="BD13" i="30104"/>
  <c r="BD10" i="30104"/>
  <c r="BD7" i="30104"/>
  <c r="AG29" i="30104"/>
  <c r="AE29" i="30104"/>
  <c r="BD12" i="30104"/>
  <c r="BD9" i="30104"/>
  <c r="BD14" i="30104"/>
  <c r="BD11" i="30104"/>
  <c r="BD8" i="30104"/>
  <c r="AG30" i="30103"/>
  <c r="AE30" i="30103"/>
  <c r="BE14" i="30103"/>
  <c r="BE11" i="30103"/>
  <c r="BE8" i="30103"/>
  <c r="BE13" i="30103"/>
  <c r="BE10" i="30103"/>
  <c r="BE7" i="30103"/>
  <c r="AH30" i="30103"/>
  <c r="AF30" i="30103"/>
  <c r="BE9" i="30103"/>
  <c r="BE12" i="30103"/>
  <c r="AG11" i="30104"/>
  <c r="AF11" i="30104"/>
  <c r="AH11" i="30104"/>
  <c r="BA13" i="30103"/>
  <c r="BA11" i="30103"/>
  <c r="BA9" i="30103"/>
  <c r="BA7" i="30103"/>
  <c r="AH34" i="30103"/>
  <c r="BA14" i="30103"/>
  <c r="BA10" i="30103"/>
  <c r="AF34" i="30103"/>
  <c r="BA12" i="30103"/>
  <c r="BA8" i="30103"/>
  <c r="AG34" i="30103"/>
  <c r="AE34" i="30103"/>
  <c r="O119" i="30019" a="1"/>
  <c r="O119" i="30019" s="1"/>
  <c r="AI119" i="30019" s="1"/>
  <c r="L8" i="30104"/>
  <c r="L7" i="30103"/>
  <c r="O125" i="30019" a="1"/>
  <c r="O125" i="30019" s="1"/>
  <c r="M125" i="30019" a="1"/>
  <c r="M125" i="30019" s="1"/>
  <c r="N13" i="30103"/>
  <c r="N7" i="30103"/>
  <c r="N14" i="30103"/>
  <c r="N12" i="30103"/>
  <c r="AI8" i="30103"/>
  <c r="AI20" i="30103"/>
  <c r="M130" i="30019" a="1"/>
  <c r="M130" i="30019" s="1"/>
  <c r="O130" i="30019" a="1"/>
  <c r="O130" i="30019" s="1"/>
  <c r="AI18" i="30103"/>
  <c r="M127" i="30019" a="1"/>
  <c r="M127" i="30019" s="1"/>
  <c r="O127" i="30019" a="1"/>
  <c r="O127" i="30019" s="1"/>
  <c r="L10" i="30103"/>
  <c r="AI26" i="30103"/>
  <c r="M109" i="30019" a="1"/>
  <c r="M109" i="30019" s="1"/>
  <c r="O109" i="30019" a="1"/>
  <c r="O109" i="30019" s="1"/>
  <c r="AH100" i="30019"/>
  <c r="AK100" i="30019"/>
  <c r="AJ100" i="30019"/>
  <c r="AI100" i="30019"/>
  <c r="AJ110" i="30019"/>
  <c r="AI110" i="30019"/>
  <c r="AH110" i="30019"/>
  <c r="AK110" i="30019"/>
  <c r="AK75" i="30019"/>
  <c r="AJ75" i="30019"/>
  <c r="AI75" i="30019"/>
  <c r="AH75" i="30019"/>
  <c r="AH129" i="30019"/>
  <c r="AK129" i="30019"/>
  <c r="AI129" i="30019"/>
  <c r="AJ129" i="30019"/>
  <c r="AK99" i="30019"/>
  <c r="AJ99" i="30019"/>
  <c r="AI99" i="30019"/>
  <c r="AH99" i="30019"/>
  <c r="AK82" i="30019"/>
  <c r="AJ82" i="30019"/>
  <c r="AI82" i="30019"/>
  <c r="AH82" i="30019"/>
  <c r="AJ95" i="30019"/>
  <c r="AH95" i="30019"/>
  <c r="AK95" i="30019"/>
  <c r="AI95" i="30019"/>
  <c r="AH126" i="30019"/>
  <c r="AK126" i="30019"/>
  <c r="AI126" i="30019"/>
  <c r="AJ126" i="30019"/>
  <c r="AK123" i="30019"/>
  <c r="AJ123" i="30019"/>
  <c r="AI123" i="30019"/>
  <c r="AH123" i="30019"/>
  <c r="AK91" i="30019"/>
  <c r="AJ91" i="30019"/>
  <c r="AI91" i="30019"/>
  <c r="AH91" i="30019"/>
  <c r="AH97" i="30019"/>
  <c r="AI97" i="30019"/>
  <c r="AK97" i="30019"/>
  <c r="AJ97" i="30019"/>
  <c r="AJ101" i="30019"/>
  <c r="AI101" i="30019"/>
  <c r="AH101" i="30019"/>
  <c r="AK101" i="30019"/>
  <c r="AJ128" i="30019"/>
  <c r="AI128" i="30019"/>
  <c r="AH128" i="30019"/>
  <c r="AK128" i="30019"/>
  <c r="AK98" i="30019"/>
  <c r="AI98" i="30019"/>
  <c r="AH98" i="30019"/>
  <c r="AJ98" i="30019"/>
  <c r="AK118" i="30019"/>
  <c r="AJ118" i="30019"/>
  <c r="AI118" i="30019"/>
  <c r="AH118" i="30019"/>
  <c r="AI93" i="30019"/>
  <c r="AH93" i="30019"/>
  <c r="AJ93" i="30019"/>
  <c r="AK93" i="30019"/>
  <c r="AK116" i="30019"/>
  <c r="AJ116" i="30019"/>
  <c r="AI116" i="30019"/>
  <c r="AH116" i="30019"/>
  <c r="AK111" i="30019"/>
  <c r="AJ111" i="30019"/>
  <c r="AI111" i="30019"/>
  <c r="AH111" i="30019"/>
  <c r="AH84" i="30019"/>
  <c r="AK84" i="30019"/>
  <c r="AJ84" i="30019"/>
  <c r="AI84" i="30019"/>
  <c r="AH90" i="30019"/>
  <c r="AI90" i="30019"/>
  <c r="AK90" i="30019"/>
  <c r="AJ90" i="30019"/>
  <c r="AK83" i="30019"/>
  <c r="AJ83" i="30019"/>
  <c r="AI83" i="30019"/>
  <c r="AH83" i="30019"/>
  <c r="AJ124" i="30019"/>
  <c r="AH124" i="30019"/>
  <c r="AK124" i="30019"/>
  <c r="AI124" i="30019"/>
  <c r="AK74" i="30019"/>
  <c r="AJ74" i="30019"/>
  <c r="AI74" i="30019"/>
  <c r="AH74" i="30019"/>
  <c r="AH81" i="30019"/>
  <c r="AK81" i="30019"/>
  <c r="AJ81" i="30019"/>
  <c r="AI81" i="30019"/>
  <c r="AK77" i="30019"/>
  <c r="AJ77" i="30019"/>
  <c r="AI77" i="30019"/>
  <c r="AH77" i="30019"/>
  <c r="AJ120" i="30019"/>
  <c r="AI120" i="30019"/>
  <c r="AH120" i="30019"/>
  <c r="AK120" i="30019"/>
  <c r="AI117" i="30019"/>
  <c r="AH117" i="30019"/>
  <c r="AJ117" i="30019"/>
  <c r="AK117" i="30019"/>
  <c r="AK121" i="30019"/>
  <c r="AJ121" i="30019"/>
  <c r="AI121" i="30019"/>
  <c r="AH121" i="30019"/>
  <c r="AJ88" i="30019"/>
  <c r="AI88" i="30019"/>
  <c r="AH88" i="30019"/>
  <c r="AK88" i="30019"/>
  <c r="AH108" i="30019"/>
  <c r="AI108" i="30019"/>
  <c r="AK108" i="30019"/>
  <c r="AJ108" i="30019"/>
  <c r="AH73" i="30019"/>
  <c r="AJ73" i="30019"/>
  <c r="AK73" i="30019"/>
  <c r="AI73" i="30019"/>
  <c r="AI112" i="30019"/>
  <c r="AK112" i="30019"/>
  <c r="AH112" i="30019"/>
  <c r="AJ112" i="30019"/>
  <c r="AJ113" i="30019"/>
  <c r="AI113" i="30019"/>
  <c r="AH113" i="30019"/>
  <c r="AK113" i="30019"/>
  <c r="AK72" i="30019"/>
  <c r="AJ72" i="30019"/>
  <c r="AI72" i="30019"/>
  <c r="AH72" i="30019"/>
  <c r="AI68" i="30019"/>
  <c r="AK68" i="30019"/>
  <c r="AJ68" i="30019"/>
  <c r="AH68" i="30019"/>
  <c r="B835" i="29960"/>
  <c r="B833" i="29960"/>
  <c r="B4086" i="29955"/>
  <c r="B4085" i="29955"/>
  <c r="B4084" i="29955"/>
  <c r="B4083" i="29955"/>
  <c r="B4082" i="29955"/>
  <c r="B4081" i="29955"/>
  <c r="B4080" i="29955"/>
  <c r="B4079" i="29955"/>
  <c r="B4078" i="29955"/>
  <c r="B4077" i="29955"/>
  <c r="B4076" i="29955"/>
  <c r="B4075" i="29955"/>
  <c r="B4074" i="29955"/>
  <c r="B4073" i="29955"/>
  <c r="B4072" i="29955"/>
  <c r="B4071" i="29955"/>
  <c r="B4070" i="29955"/>
  <c r="B4069" i="29955"/>
  <c r="B4068" i="29955"/>
  <c r="B4067" i="29955"/>
  <c r="B4066" i="29955"/>
  <c r="B4065" i="29955"/>
  <c r="B4064" i="29955"/>
  <c r="B4063" i="29955"/>
  <c r="B4062" i="29955"/>
  <c r="B4061" i="29955"/>
  <c r="B4060" i="29955"/>
  <c r="B4059" i="29955"/>
  <c r="B4058" i="29955"/>
  <c r="B4057" i="29955"/>
  <c r="B4056" i="29955"/>
  <c r="B4055" i="29955"/>
  <c r="B4054" i="29955"/>
  <c r="B4053" i="29955"/>
  <c r="B4052" i="29955"/>
  <c r="B4051" i="29955"/>
  <c r="B4050" i="29955"/>
  <c r="B4049" i="29955"/>
  <c r="B4048" i="29955"/>
  <c r="B4047" i="29955"/>
  <c r="B4046" i="29955"/>
  <c r="B4045" i="29955"/>
  <c r="B4044" i="29955"/>
  <c r="B4043" i="29955"/>
  <c r="B4042" i="29955"/>
  <c r="B4041" i="29955"/>
  <c r="B4040" i="29955"/>
  <c r="B4039" i="29955"/>
  <c r="B4038" i="29955"/>
  <c r="B4037" i="29955"/>
  <c r="C835" i="29960"/>
  <c r="C833" i="29960"/>
  <c r="L13" i="30103" l="1"/>
  <c r="N10" i="30103"/>
  <c r="L8" i="30103"/>
  <c r="L14" i="30103"/>
  <c r="L12" i="30103"/>
  <c r="N11" i="30103"/>
  <c r="N8" i="30103"/>
  <c r="L9" i="30103"/>
  <c r="K9" i="30103" s="1"/>
  <c r="AI30" i="30103"/>
  <c r="AI9" i="30103"/>
  <c r="N9" i="30104"/>
  <c r="AI31" i="30103"/>
  <c r="AI33" i="30103"/>
  <c r="L14" i="30104"/>
  <c r="AI28" i="30103"/>
  <c r="L11" i="30103"/>
  <c r="J11" i="30103" s="1"/>
  <c r="AI34" i="30103"/>
  <c r="AI29" i="30104"/>
  <c r="AI19" i="30103"/>
  <c r="N7" i="30104"/>
  <c r="AI19" i="30104"/>
  <c r="AI14" i="30103"/>
  <c r="AI29" i="30103"/>
  <c r="AI32" i="30103"/>
  <c r="O10" i="30103"/>
  <c r="P13" i="30103"/>
  <c r="O14" i="30103"/>
  <c r="P14" i="30103"/>
  <c r="O7" i="30103"/>
  <c r="O11" i="30103"/>
  <c r="O13" i="30103"/>
  <c r="Q13" i="30103" s="1"/>
  <c r="O8" i="30103"/>
  <c r="P11" i="30103"/>
  <c r="P10" i="30103"/>
  <c r="O9" i="30103"/>
  <c r="P12" i="30103"/>
  <c r="P7" i="30103"/>
  <c r="O12" i="30103"/>
  <c r="P9" i="30103"/>
  <c r="P8" i="30103"/>
  <c r="Q8" i="30103" s="1"/>
  <c r="AI11" i="30104"/>
  <c r="L12" i="30104"/>
  <c r="O10" i="30104"/>
  <c r="O11" i="30104"/>
  <c r="N13" i="30104"/>
  <c r="O12" i="30104"/>
  <c r="N14" i="30104"/>
  <c r="O8" i="30104"/>
  <c r="P11" i="30104"/>
  <c r="P14" i="30104"/>
  <c r="N12" i="30104"/>
  <c r="L7" i="30104"/>
  <c r="P13" i="30104"/>
  <c r="O14" i="30104"/>
  <c r="P12" i="30104"/>
  <c r="N8" i="30104"/>
  <c r="L13" i="30104"/>
  <c r="O13" i="30104"/>
  <c r="Q13" i="30104" s="1"/>
  <c r="O7" i="30104"/>
  <c r="L10" i="30104"/>
  <c r="L9" i="30104"/>
  <c r="N10" i="30104"/>
  <c r="AI27" i="30103"/>
  <c r="AI13" i="30103"/>
  <c r="AI24" i="30103"/>
  <c r="AI23" i="30104"/>
  <c r="N11" i="30104"/>
  <c r="M13" i="30103"/>
  <c r="M7" i="30103"/>
  <c r="J7" i="30103" s="1"/>
  <c r="M11" i="30103"/>
  <c r="M8" i="30103"/>
  <c r="M14" i="30103"/>
  <c r="K14" i="30103" s="1"/>
  <c r="M9" i="30103"/>
  <c r="M10" i="30103"/>
  <c r="M12" i="30103"/>
  <c r="J12" i="30103" s="1"/>
  <c r="M11" i="30104"/>
  <c r="M14" i="30104"/>
  <c r="M13" i="30104"/>
  <c r="M12" i="30104"/>
  <c r="J12" i="30104" s="1"/>
  <c r="M8" i="30104"/>
  <c r="M9" i="30104"/>
  <c r="M7" i="30104"/>
  <c r="M10" i="30104"/>
  <c r="P7" i="30104"/>
  <c r="P9" i="30104"/>
  <c r="P8" i="30104"/>
  <c r="O9" i="30104"/>
  <c r="P10" i="30104"/>
  <c r="AK119" i="30019"/>
  <c r="AJ119" i="30019"/>
  <c r="AH119" i="30019"/>
  <c r="J11" i="30104"/>
  <c r="AJ109" i="30019"/>
  <c r="AK109" i="30019"/>
  <c r="AI109" i="30019"/>
  <c r="AH109" i="30019"/>
  <c r="J10" i="30103"/>
  <c r="K10" i="30103"/>
  <c r="AJ127" i="30019"/>
  <c r="AK127" i="30019"/>
  <c r="AI127" i="30019"/>
  <c r="AH127" i="30019"/>
  <c r="J13" i="30103"/>
  <c r="D13" i="30103" s="1"/>
  <c r="K13" i="30103"/>
  <c r="AJ130" i="30019"/>
  <c r="AK130" i="30019"/>
  <c r="AH130" i="30019"/>
  <c r="AI130" i="30019"/>
  <c r="AH125" i="30019"/>
  <c r="AK125" i="30019"/>
  <c r="AJ125" i="30019"/>
  <c r="AI125" i="30019"/>
  <c r="G13" i="30019"/>
  <c r="G22" i="30019" s="1"/>
  <c r="G31" i="30019" s="1"/>
  <c r="G40" i="30019" s="1"/>
  <c r="E13" i="30019"/>
  <c r="E22" i="30019" s="1"/>
  <c r="A13" i="30019"/>
  <c r="A14" i="30019" s="1"/>
  <c r="J9" i="30103" l="1"/>
  <c r="D9" i="30103" s="1"/>
  <c r="Q9" i="30104"/>
  <c r="K11" i="30103"/>
  <c r="J14" i="30103"/>
  <c r="D14" i="30103" s="1"/>
  <c r="K11" i="30104"/>
  <c r="Q7" i="30104"/>
  <c r="Q12" i="30104"/>
  <c r="D12" i="30104" s="1"/>
  <c r="Q14" i="30104"/>
  <c r="Q12" i="30103"/>
  <c r="Q11" i="30104"/>
  <c r="D11" i="30104" s="1"/>
  <c r="Q14" i="30103"/>
  <c r="Q10" i="30104"/>
  <c r="D12" i="30103"/>
  <c r="Q8" i="30104"/>
  <c r="J10" i="30104"/>
  <c r="K10" i="30104"/>
  <c r="K7" i="30103"/>
  <c r="Q9" i="30103"/>
  <c r="J8" i="30104"/>
  <c r="K8" i="30104"/>
  <c r="Q10" i="30103"/>
  <c r="D10" i="30103" s="1"/>
  <c r="J8" i="30103"/>
  <c r="D8" i="30103" s="1"/>
  <c r="K8" i="30103"/>
  <c r="K7" i="30104"/>
  <c r="J7" i="30104"/>
  <c r="J14" i="30104"/>
  <c r="D14" i="30104" s="1"/>
  <c r="K14" i="30104"/>
  <c r="K12" i="30104"/>
  <c r="K12" i="30103"/>
  <c r="J13" i="30104"/>
  <c r="D13" i="30104" s="1"/>
  <c r="K13" i="30104"/>
  <c r="Q11" i="30103"/>
  <c r="D11" i="30103" s="1"/>
  <c r="K9" i="30104"/>
  <c r="J9" i="30104"/>
  <c r="D9" i="30104" s="1"/>
  <c r="Q7" i="30103"/>
  <c r="D7" i="30103" s="1"/>
  <c r="A15" i="30019"/>
  <c r="AD14" i="30019"/>
  <c r="V14" i="30019"/>
  <c r="W14" i="30019"/>
  <c r="E31" i="30019"/>
  <c r="E40" i="30019" s="1"/>
  <c r="A22" i="30019"/>
  <c r="A23" i="30019" s="1"/>
  <c r="V40" i="29184"/>
  <c r="V18" i="29184"/>
  <c r="Z41" i="29184"/>
  <c r="Z28" i="29184"/>
  <c r="Z27" i="29184"/>
  <c r="V41" i="29184"/>
  <c r="V39" i="29184"/>
  <c r="V37" i="29184"/>
  <c r="Z29" i="29184"/>
  <c r="V30" i="29184"/>
  <c r="Z26" i="29184"/>
  <c r="Z20" i="29184"/>
  <c r="Z18" i="29184"/>
  <c r="Z37" i="29184"/>
  <c r="V28" i="29184"/>
  <c r="Z39" i="29184"/>
  <c r="Z19" i="29184"/>
  <c r="V27" i="29184"/>
  <c r="V19" i="29184"/>
  <c r="Z38" i="29184"/>
  <c r="Z40" i="29184"/>
  <c r="V29" i="29184"/>
  <c r="Z30" i="29184"/>
  <c r="V38" i="29184"/>
  <c r="V31" i="29184"/>
  <c r="V26" i="29184"/>
  <c r="Z31" i="29184"/>
  <c r="V42" i="29184"/>
  <c r="V20" i="29184"/>
  <c r="Z42" i="29184"/>
  <c r="E11" i="30103"/>
  <c r="E7" i="30103"/>
  <c r="E12" i="30103"/>
  <c r="E9" i="30103"/>
  <c r="E10" i="30103"/>
  <c r="E8" i="30103"/>
  <c r="E14" i="30103"/>
  <c r="E13" i="30103"/>
  <c r="D8" i="30104" l="1"/>
  <c r="D7" i="30104"/>
  <c r="D10" i="30104"/>
  <c r="F13" i="30103"/>
  <c r="F14" i="30103"/>
  <c r="F12" i="30103"/>
  <c r="F9" i="30103"/>
  <c r="F10" i="30103"/>
  <c r="F8" i="30103"/>
  <c r="F7" i="30103"/>
  <c r="F11" i="30103"/>
  <c r="A24" i="30019"/>
  <c r="AD23" i="30019"/>
  <c r="V23" i="30019"/>
  <c r="W23" i="30019"/>
  <c r="A16" i="30019"/>
  <c r="AD15" i="30019"/>
  <c r="V15" i="30019"/>
  <c r="W15" i="30019"/>
  <c r="A31" i="30019"/>
  <c r="A32" i="30019" s="1"/>
  <c r="V47" i="29184"/>
  <c r="Z48" i="29184"/>
  <c r="V46" i="29184"/>
  <c r="V48" i="29184"/>
  <c r="V44" i="29184"/>
  <c r="Z45" i="29184"/>
  <c r="Z44" i="29184"/>
  <c r="Z43" i="29184"/>
  <c r="V45" i="29184"/>
  <c r="Z46" i="29184"/>
  <c r="V43" i="29184"/>
  <c r="Z47" i="29184"/>
  <c r="B858" i="29960"/>
  <c r="C858" i="29960"/>
  <c r="E10" i="30104"/>
  <c r="E11" i="30104"/>
  <c r="E14" i="30104"/>
  <c r="E7" i="30104"/>
  <c r="E13" i="30104"/>
  <c r="E12" i="30104"/>
  <c r="E9" i="30104"/>
  <c r="E8" i="30104"/>
  <c r="C12" i="30103" l="1"/>
  <c r="C14" i="30103"/>
  <c r="C10" i="30103"/>
  <c r="F9" i="30104"/>
  <c r="F12" i="30104"/>
  <c r="F13" i="30104"/>
  <c r="F8" i="30104"/>
  <c r="F7" i="30104"/>
  <c r="F14" i="30104"/>
  <c r="F11" i="30104"/>
  <c r="C8" i="30103"/>
  <c r="C11" i="30103"/>
  <c r="C7" i="30103"/>
  <c r="C13" i="30103"/>
  <c r="C9" i="30103"/>
  <c r="AK11" i="30103" s="1"/>
  <c r="F10" i="30104"/>
  <c r="A17" i="30019"/>
  <c r="AD16" i="30019"/>
  <c r="V16" i="30019"/>
  <c r="W16" i="30019"/>
  <c r="A33" i="30019"/>
  <c r="AD32" i="30019"/>
  <c r="V32" i="30019"/>
  <c r="W32" i="30019"/>
  <c r="A25" i="30019"/>
  <c r="AD24" i="30019"/>
  <c r="V24" i="30019"/>
  <c r="W24" i="30019"/>
  <c r="A40" i="30019"/>
  <c r="A41" i="30019" s="1"/>
  <c r="AC696" i="30041"/>
  <c r="AC689" i="30041"/>
  <c r="AC682" i="30041"/>
  <c r="AC675" i="30041"/>
  <c r="AC668" i="30041"/>
  <c r="AC661" i="30041"/>
  <c r="AC654" i="30041"/>
  <c r="AC647" i="30041"/>
  <c r="AC640" i="30041"/>
  <c r="AC633" i="30041"/>
  <c r="AC626" i="30041"/>
  <c r="AC619" i="30041"/>
  <c r="AC612" i="30041"/>
  <c r="AC605" i="30041"/>
  <c r="AC598" i="30041"/>
  <c r="AC591" i="30041"/>
  <c r="AC584" i="30041"/>
  <c r="AC577" i="30041"/>
  <c r="AC570" i="30041"/>
  <c r="AC563" i="30041"/>
  <c r="AC556" i="30041"/>
  <c r="AC549" i="30041"/>
  <c r="AC542" i="30041"/>
  <c r="AC535" i="30041"/>
  <c r="AC528" i="30041"/>
  <c r="AC521" i="30041"/>
  <c r="AC514" i="30041"/>
  <c r="AC507" i="30041"/>
  <c r="Y696" i="30041"/>
  <c r="Y689" i="30041"/>
  <c r="Y682" i="30041"/>
  <c r="Y675" i="30041"/>
  <c r="Y668" i="30041"/>
  <c r="Y661" i="30041"/>
  <c r="Y654" i="30041"/>
  <c r="Y647" i="30041"/>
  <c r="Y640" i="30041"/>
  <c r="Y633" i="30041"/>
  <c r="Y626" i="30041"/>
  <c r="Y619" i="30041"/>
  <c r="Y612" i="30041"/>
  <c r="Y605" i="30041"/>
  <c r="Y598" i="30041"/>
  <c r="Y591" i="30041"/>
  <c r="Y584" i="30041"/>
  <c r="Y577" i="30041"/>
  <c r="Y570" i="30041"/>
  <c r="Y563" i="30041"/>
  <c r="Y556" i="30041"/>
  <c r="Y549" i="30041"/>
  <c r="Y542" i="30041"/>
  <c r="Y535" i="30041"/>
  <c r="Y528" i="30041"/>
  <c r="Y521" i="30041"/>
  <c r="Y514" i="30041"/>
  <c r="Y507" i="30041"/>
  <c r="AC486" i="30041"/>
  <c r="AC479" i="30041"/>
  <c r="AC472" i="30041"/>
  <c r="Y486" i="30041"/>
  <c r="Y479" i="30041"/>
  <c r="Y472" i="30041"/>
  <c r="AC465" i="30041"/>
  <c r="AC458" i="30041"/>
  <c r="AC451" i="30041"/>
  <c r="Y465" i="30041"/>
  <c r="Y458" i="30041"/>
  <c r="Y451" i="30041"/>
  <c r="AC444" i="30041"/>
  <c r="AC437" i="30041"/>
  <c r="AC430" i="30041"/>
  <c r="Y444" i="30041"/>
  <c r="Y437" i="30041"/>
  <c r="Y430" i="30041"/>
  <c r="AC423" i="30041"/>
  <c r="AC416" i="30041"/>
  <c r="AC409" i="30041"/>
  <c r="Y423" i="30041"/>
  <c r="Y416" i="30041"/>
  <c r="Y409" i="30041"/>
  <c r="AC402" i="30041"/>
  <c r="AC395" i="30041"/>
  <c r="AC388" i="30041"/>
  <c r="Y402" i="30041"/>
  <c r="Y395" i="30041"/>
  <c r="Y388" i="30041"/>
  <c r="AC381" i="30041"/>
  <c r="AC374" i="30041"/>
  <c r="AC367" i="30041"/>
  <c r="Y381" i="30041"/>
  <c r="Y374" i="30041"/>
  <c r="Y367" i="30041"/>
  <c r="AC360" i="30041"/>
  <c r="AC353" i="30041"/>
  <c r="AC346" i="30041"/>
  <c r="Y360" i="30041"/>
  <c r="Y353" i="30041"/>
  <c r="AC326" i="30041"/>
  <c r="AC312" i="30041"/>
  <c r="Y326" i="30041"/>
  <c r="Y312" i="30041"/>
  <c r="AC305" i="30041"/>
  <c r="AC298" i="30041"/>
  <c r="AC291" i="30041"/>
  <c r="Y298" i="30041"/>
  <c r="Y291" i="30041"/>
  <c r="AC284" i="30041"/>
  <c r="AC277" i="30041"/>
  <c r="AC270" i="30041"/>
  <c r="Y284" i="30041"/>
  <c r="Y277" i="30041"/>
  <c r="Y263" i="30041"/>
  <c r="Y256" i="30041"/>
  <c r="AC263" i="30041"/>
  <c r="AC249" i="30041"/>
  <c r="Y249" i="30041"/>
  <c r="AC242" i="30041"/>
  <c r="Y242" i="30041"/>
  <c r="Y235" i="30041"/>
  <c r="AC235" i="30041"/>
  <c r="AC228" i="30041"/>
  <c r="AC209" i="30041"/>
  <c r="AC195" i="30041"/>
  <c r="Y195" i="30041"/>
  <c r="AC188" i="30041"/>
  <c r="Y188" i="30041"/>
  <c r="AC181" i="30041"/>
  <c r="Y181" i="30041"/>
  <c r="AC174" i="30041"/>
  <c r="Y174" i="30041"/>
  <c r="AC167" i="30041"/>
  <c r="Y167" i="30041"/>
  <c r="Y160" i="30041"/>
  <c r="AC153" i="30041"/>
  <c r="Y153" i="30041"/>
  <c r="AC146" i="30041"/>
  <c r="Y146" i="30041"/>
  <c r="Z332" i="29184"/>
  <c r="Z331" i="29184"/>
  <c r="Z330" i="29184"/>
  <c r="Z329" i="29184"/>
  <c r="Z328" i="29184"/>
  <c r="V332" i="29184"/>
  <c r="V331" i="29184"/>
  <c r="V330" i="29184"/>
  <c r="V329" i="29184"/>
  <c r="V328" i="29184"/>
  <c r="Z325" i="29184"/>
  <c r="Z324" i="29184"/>
  <c r="Z323" i="29184"/>
  <c r="Z322" i="29184"/>
  <c r="Z321" i="29184"/>
  <c r="V325" i="29184"/>
  <c r="V324" i="29184"/>
  <c r="V323" i="29184"/>
  <c r="V322" i="29184"/>
  <c r="V321" i="29184"/>
  <c r="Z318" i="29184"/>
  <c r="Z317" i="29184"/>
  <c r="Z316" i="29184"/>
  <c r="Z315" i="29184"/>
  <c r="Z314" i="29184"/>
  <c r="V318" i="29184"/>
  <c r="V317" i="29184"/>
  <c r="V316" i="29184"/>
  <c r="V315" i="29184"/>
  <c r="V314" i="29184"/>
  <c r="Z311" i="29184"/>
  <c r="Z310" i="29184"/>
  <c r="Z309" i="29184"/>
  <c r="Z308" i="29184"/>
  <c r="Z307" i="29184"/>
  <c r="V311" i="29184"/>
  <c r="V310" i="29184"/>
  <c r="V309" i="29184"/>
  <c r="V308" i="29184"/>
  <c r="V307" i="29184"/>
  <c r="Z304" i="29184"/>
  <c r="Z303" i="29184"/>
  <c r="Z302" i="29184"/>
  <c r="Z301" i="29184"/>
  <c r="Z300" i="29184"/>
  <c r="V304" i="29184"/>
  <c r="V303" i="29184"/>
  <c r="V302" i="29184"/>
  <c r="V301" i="29184"/>
  <c r="V300" i="29184"/>
  <c r="Z297" i="29184"/>
  <c r="Z296" i="29184"/>
  <c r="Z295" i="29184"/>
  <c r="Z294" i="29184"/>
  <c r="Z293" i="29184"/>
  <c r="V297" i="29184"/>
  <c r="V296" i="29184"/>
  <c r="V295" i="29184"/>
  <c r="V294" i="29184"/>
  <c r="V293" i="29184"/>
  <c r="Z290" i="29184"/>
  <c r="Z289" i="29184"/>
  <c r="Z288" i="29184"/>
  <c r="Z287" i="29184"/>
  <c r="Z286" i="29184"/>
  <c r="V290" i="29184"/>
  <c r="V289" i="29184"/>
  <c r="V288" i="29184"/>
  <c r="V287" i="29184"/>
  <c r="V286" i="29184"/>
  <c r="Z283" i="29184"/>
  <c r="Z282" i="29184"/>
  <c r="Z281" i="29184"/>
  <c r="Z280" i="29184"/>
  <c r="Z279" i="29184"/>
  <c r="V283" i="29184"/>
  <c r="V282" i="29184"/>
  <c r="V281" i="29184"/>
  <c r="V280" i="29184"/>
  <c r="V279" i="29184"/>
  <c r="Z276" i="29184"/>
  <c r="Z275" i="29184"/>
  <c r="Z274" i="29184"/>
  <c r="Z273" i="29184"/>
  <c r="Z272" i="29184"/>
  <c r="V276" i="29184"/>
  <c r="V275" i="29184"/>
  <c r="V274" i="29184"/>
  <c r="V273" i="29184"/>
  <c r="V211" i="29184"/>
  <c r="V241" i="29184"/>
  <c r="Z255" i="29184"/>
  <c r="Z254" i="29184"/>
  <c r="Z253" i="29184"/>
  <c r="Z252" i="29184"/>
  <c r="V255" i="29184"/>
  <c r="V254" i="29184"/>
  <c r="V253" i="29184"/>
  <c r="V252" i="29184"/>
  <c r="Z249" i="29184"/>
  <c r="Z248" i="29184"/>
  <c r="Z247" i="29184"/>
  <c r="Z246" i="29184"/>
  <c r="V249" i="29184"/>
  <c r="V248" i="29184"/>
  <c r="V247" i="29184"/>
  <c r="V246" i="29184"/>
  <c r="Z243" i="29184"/>
  <c r="Z242" i="29184"/>
  <c r="Z241" i="29184"/>
  <c r="Z240" i="29184"/>
  <c r="V243" i="29184"/>
  <c r="V242" i="29184"/>
  <c r="V240" i="29184"/>
  <c r="Z237" i="29184"/>
  <c r="Z236" i="29184"/>
  <c r="Z235" i="29184"/>
  <c r="Z234" i="29184"/>
  <c r="V237" i="29184"/>
  <c r="V236" i="29184"/>
  <c r="V235" i="29184"/>
  <c r="V234" i="29184"/>
  <c r="Z231" i="29184"/>
  <c r="Z230" i="29184"/>
  <c r="Z229" i="29184"/>
  <c r="Z228" i="29184"/>
  <c r="V231" i="29184"/>
  <c r="V230" i="29184"/>
  <c r="V229" i="29184"/>
  <c r="V228" i="29184"/>
  <c r="V225" i="29184"/>
  <c r="V224" i="29184"/>
  <c r="V223" i="29184"/>
  <c r="V222" i="29184"/>
  <c r="V219" i="29184"/>
  <c r="V218" i="29184"/>
  <c r="V217" i="29184"/>
  <c r="V216" i="29184"/>
  <c r="Z225" i="29184"/>
  <c r="Z224" i="29184"/>
  <c r="Z223" i="29184"/>
  <c r="Z222" i="29184"/>
  <c r="Z219" i="29184"/>
  <c r="Z218" i="29184"/>
  <c r="Z217" i="29184"/>
  <c r="Z216" i="29184"/>
  <c r="Z213" i="29184"/>
  <c r="Z212" i="29184"/>
  <c r="Z211" i="29184"/>
  <c r="Z210" i="29184"/>
  <c r="V213" i="29184"/>
  <c r="V212" i="29184"/>
  <c r="V210" i="29184"/>
  <c r="V207" i="29184"/>
  <c r="V205" i="29184"/>
  <c r="Z207" i="29184"/>
  <c r="Z206" i="29184"/>
  <c r="Z205" i="29184"/>
  <c r="Z204" i="29184"/>
  <c r="Z175" i="29184"/>
  <c r="V175" i="29184"/>
  <c r="V186" i="29184"/>
  <c r="V187" i="29184"/>
  <c r="Z187" i="29184"/>
  <c r="Z186" i="29184"/>
  <c r="Z185" i="29184"/>
  <c r="Z184" i="29184"/>
  <c r="V184" i="29184"/>
  <c r="V183" i="29184"/>
  <c r="Z182" i="29184"/>
  <c r="V182" i="29184"/>
  <c r="Z181" i="29184"/>
  <c r="V181" i="29184"/>
  <c r="Z180" i="29184"/>
  <c r="V180" i="29184"/>
  <c r="Z179" i="29184"/>
  <c r="V179" i="29184"/>
  <c r="Z178" i="29184"/>
  <c r="Z174" i="29184"/>
  <c r="V174" i="29184"/>
  <c r="V173" i="29184"/>
  <c r="Z172" i="29184"/>
  <c r="Z171" i="29184"/>
  <c r="V171" i="29184"/>
  <c r="Z170" i="29184"/>
  <c r="V170" i="29184"/>
  <c r="Z169" i="29184"/>
  <c r="V169" i="29184"/>
  <c r="Z168" i="29184"/>
  <c r="V168" i="29184"/>
  <c r="Z167" i="29184"/>
  <c r="V167" i="29184"/>
  <c r="Z166" i="29184"/>
  <c r="Z165" i="29184"/>
  <c r="Z164" i="29184"/>
  <c r="Z163" i="29184"/>
  <c r="V163" i="29184"/>
  <c r="Z162" i="29184"/>
  <c r="V162" i="29184"/>
  <c r="Z161" i="29184"/>
  <c r="Z160" i="29184"/>
  <c r="Z154" i="29184"/>
  <c r="Z153" i="29184"/>
  <c r="Z151" i="29184"/>
  <c r="Z150" i="29184"/>
  <c r="V154" i="29184"/>
  <c r="V153" i="29184"/>
  <c r="Z152" i="29184"/>
  <c r="V152" i="29184"/>
  <c r="V151" i="29184"/>
  <c r="V150" i="29184"/>
  <c r="Z149" i="29184"/>
  <c r="V149" i="29184"/>
  <c r="Z148" i="29184"/>
  <c r="V148" i="29184"/>
  <c r="Z147" i="29184"/>
  <c r="V147" i="29184"/>
  <c r="V146" i="29184"/>
  <c r="Z145" i="29184"/>
  <c r="V145" i="29184"/>
  <c r="Z143" i="29184"/>
  <c r="Z142" i="29184"/>
  <c r="V142" i="29184"/>
  <c r="Z141" i="29184"/>
  <c r="V141" i="29184"/>
  <c r="Z140" i="29184"/>
  <c r="V140" i="29184"/>
  <c r="Z138" i="29184"/>
  <c r="V138" i="29184"/>
  <c r="Z139" i="29184"/>
  <c r="V137" i="29184"/>
  <c r="V139" i="29184"/>
  <c r="Z137" i="29184"/>
  <c r="Z136" i="29184"/>
  <c r="V136" i="29184"/>
  <c r="Z135" i="29184"/>
  <c r="V135" i="29184"/>
  <c r="Z134" i="29184"/>
  <c r="Z104" i="29184"/>
  <c r="V104" i="29184"/>
  <c r="Z102" i="29184"/>
  <c r="V102" i="29184"/>
  <c r="V101" i="29184"/>
  <c r="Z101" i="29184"/>
  <c r="Z99" i="29184"/>
  <c r="V99" i="29184"/>
  <c r="Z88" i="29184"/>
  <c r="V88" i="29184"/>
  <c r="Z87" i="29184"/>
  <c r="V87" i="29184"/>
  <c r="Z86" i="29184"/>
  <c r="V86" i="29184"/>
  <c r="Z85" i="29184"/>
  <c r="V85" i="29184"/>
  <c r="Z84" i="29184"/>
  <c r="V84" i="29184"/>
  <c r="Z83" i="29184"/>
  <c r="V83" i="29184"/>
  <c r="Z82" i="29184"/>
  <c r="V82" i="29184"/>
  <c r="Z81" i="29184"/>
  <c r="V81" i="29184"/>
  <c r="Z80" i="29184"/>
  <c r="V80" i="29184"/>
  <c r="Z79" i="29184"/>
  <c r="V79" i="29184"/>
  <c r="Z78" i="29184"/>
  <c r="V78" i="29184"/>
  <c r="Z77" i="29184"/>
  <c r="V77" i="29184"/>
  <c r="Z76" i="29184"/>
  <c r="V76" i="29184"/>
  <c r="Z75" i="29184"/>
  <c r="V75" i="29184"/>
  <c r="Z74" i="29184"/>
  <c r="V74" i="29184"/>
  <c r="Z73" i="29184"/>
  <c r="V73" i="29184"/>
  <c r="Z72" i="29184"/>
  <c r="V72" i="29184"/>
  <c r="Z71" i="29184"/>
  <c r="V71" i="29184"/>
  <c r="Z70" i="29184"/>
  <c r="V70" i="29184"/>
  <c r="Z69" i="29184"/>
  <c r="V69" i="29184"/>
  <c r="V59" i="29184"/>
  <c r="Z59" i="29184"/>
  <c r="Z58" i="29184"/>
  <c r="V58" i="29184"/>
  <c r="Z54" i="29184"/>
  <c r="V54" i="29184"/>
  <c r="Z16" i="29184"/>
  <c r="Z7" i="29184"/>
  <c r="V17" i="29184"/>
  <c r="Z9" i="29184"/>
  <c r="V8" i="29184"/>
  <c r="V16" i="29184"/>
  <c r="V9" i="29184"/>
  <c r="V7" i="29184"/>
  <c r="Z8" i="29184"/>
  <c r="V15" i="29184"/>
  <c r="Z15" i="29184"/>
  <c r="Z17" i="29184"/>
  <c r="AK8" i="30103" l="1"/>
  <c r="C9" i="30104"/>
  <c r="AK9" i="30103"/>
  <c r="C11" i="30104"/>
  <c r="C14" i="30104"/>
  <c r="C10" i="30104"/>
  <c r="C7" i="30104"/>
  <c r="C8" i="30104"/>
  <c r="C13" i="30104"/>
  <c r="C12" i="30104"/>
  <c r="AK7" i="30103"/>
  <c r="AK14" i="30103"/>
  <c r="AR14" i="30103" s="1"/>
  <c r="AK12" i="30103"/>
  <c r="AT12" i="30103" s="1"/>
  <c r="AK13" i="30103"/>
  <c r="AR13" i="30103" s="1"/>
  <c r="AK10" i="30103"/>
  <c r="AO10" i="30103" s="1"/>
  <c r="AO13" i="30103"/>
  <c r="AV12" i="30103"/>
  <c r="AR12" i="30103"/>
  <c r="AN12" i="30103"/>
  <c r="AO12" i="30103"/>
  <c r="AS12" i="30103"/>
  <c r="AR10" i="30103"/>
  <c r="AQ10" i="30103"/>
  <c r="AT10" i="30103"/>
  <c r="AP10" i="30103"/>
  <c r="AU10" i="30103"/>
  <c r="AQ11" i="30103"/>
  <c r="AU11" i="30103"/>
  <c r="AV11" i="30103"/>
  <c r="AP11" i="30103"/>
  <c r="AO11" i="30103"/>
  <c r="AS11" i="30103"/>
  <c r="AN11" i="30103"/>
  <c r="AW11" i="30103"/>
  <c r="AT11" i="30103"/>
  <c r="AR11" i="30103"/>
  <c r="AW9" i="30103"/>
  <c r="AN9" i="30103"/>
  <c r="AT9" i="30103"/>
  <c r="AO9" i="30103"/>
  <c r="AS9" i="30103"/>
  <c r="AV9" i="30103"/>
  <c r="AR9" i="30103"/>
  <c r="AQ9" i="30103"/>
  <c r="AP9" i="30103"/>
  <c r="AU9" i="30103"/>
  <c r="AW8" i="30103"/>
  <c r="AT8" i="30103"/>
  <c r="AS8" i="30103"/>
  <c r="AN8" i="30103"/>
  <c r="AV8" i="30103"/>
  <c r="AR8" i="30103"/>
  <c r="AO8" i="30103"/>
  <c r="AQ8" i="30103"/>
  <c r="AU8" i="30103"/>
  <c r="AP8" i="30103"/>
  <c r="AO7" i="30103"/>
  <c r="AR7" i="30103"/>
  <c r="AV7" i="30103"/>
  <c r="AW7" i="30103"/>
  <c r="AT7" i="30103"/>
  <c r="AQ7" i="30103"/>
  <c r="AU7" i="30103"/>
  <c r="AS7" i="30103"/>
  <c r="AN7" i="30103"/>
  <c r="AP7" i="30103"/>
  <c r="AU14" i="30103"/>
  <c r="AO14" i="30103"/>
  <c r="AP14" i="30103"/>
  <c r="AV14" i="30103"/>
  <c r="AT14" i="30103"/>
  <c r="AW14" i="30103"/>
  <c r="AD17" i="30019"/>
  <c r="A18" i="30019"/>
  <c r="V17" i="30019"/>
  <c r="W17" i="30019"/>
  <c r="A34" i="30019"/>
  <c r="AD33" i="30019"/>
  <c r="V33" i="30019"/>
  <c r="W33" i="30019"/>
  <c r="A26" i="30019"/>
  <c r="AD25" i="30019"/>
  <c r="V25" i="30019"/>
  <c r="W25" i="30019"/>
  <c r="A42" i="30019"/>
  <c r="AD41" i="30019"/>
  <c r="V41" i="30019"/>
  <c r="W41" i="30019"/>
  <c r="C7" i="30004"/>
  <c r="AS10" i="30103" l="1"/>
  <c r="AU12" i="30103"/>
  <c r="AW10" i="30103"/>
  <c r="AV10" i="30103"/>
  <c r="AW12" i="30103"/>
  <c r="AN10" i="30103"/>
  <c r="CB11" i="30103" s="1"/>
  <c r="AU13" i="30103"/>
  <c r="AK14" i="30104"/>
  <c r="AK10" i="30104"/>
  <c r="AK13" i="30104"/>
  <c r="AK9" i="30104"/>
  <c r="AK11" i="30104"/>
  <c r="AK8" i="30104"/>
  <c r="AK7" i="30104"/>
  <c r="AK12" i="30104"/>
  <c r="AS14" i="30103"/>
  <c r="AN14" i="30103"/>
  <c r="AP12" i="30103"/>
  <c r="AQ12" i="30103"/>
  <c r="AS13" i="30103"/>
  <c r="AQ14" i="30103"/>
  <c r="AP13" i="30103"/>
  <c r="AW13" i="30103"/>
  <c r="AV13" i="30103"/>
  <c r="AQ13" i="30103"/>
  <c r="AT13" i="30103"/>
  <c r="AN13" i="30103"/>
  <c r="CB12" i="30103" s="1"/>
  <c r="BS11" i="30103"/>
  <c r="BK11" i="30103"/>
  <c r="CA11" i="30103"/>
  <c r="BR11" i="30103"/>
  <c r="BI11" i="30103"/>
  <c r="BV11" i="30103"/>
  <c r="BW11" i="30103"/>
  <c r="BQ11" i="30103"/>
  <c r="BO11" i="30103"/>
  <c r="BP11" i="30103"/>
  <c r="BN11" i="30103"/>
  <c r="BH11" i="30103"/>
  <c r="BM11" i="30103"/>
  <c r="BV8" i="30103"/>
  <c r="BP8" i="30103"/>
  <c r="BN8" i="30103"/>
  <c r="BM8" i="30103"/>
  <c r="BS8" i="30103"/>
  <c r="BK8" i="30103"/>
  <c r="CA8" i="30103"/>
  <c r="BR8" i="30103"/>
  <c r="BW8" i="30103"/>
  <c r="BI8" i="30103"/>
  <c r="BO8" i="30103"/>
  <c r="BQ8" i="30103"/>
  <c r="BH8" i="30103"/>
  <c r="BP14" i="30103"/>
  <c r="BH14" i="30103"/>
  <c r="BR14" i="30103"/>
  <c r="CA14" i="30103"/>
  <c r="BW14" i="30103"/>
  <c r="BS14" i="30103"/>
  <c r="BO14" i="30103"/>
  <c r="BK14" i="30103"/>
  <c r="BV14" i="30103"/>
  <c r="BQ14" i="30103"/>
  <c r="BN14" i="30103"/>
  <c r="BI14" i="30103"/>
  <c r="BM14" i="30103"/>
  <c r="BS9" i="30103"/>
  <c r="BO9" i="30103"/>
  <c r="BK9" i="30103"/>
  <c r="BR9" i="30103"/>
  <c r="BN9" i="30103"/>
  <c r="BP9" i="30103"/>
  <c r="BQ9" i="30103"/>
  <c r="BM9" i="30103"/>
  <c r="BI9" i="30103"/>
  <c r="BH9" i="30103"/>
  <c r="CA9" i="30103"/>
  <c r="BW9" i="30103"/>
  <c r="BV9" i="30103"/>
  <c r="CB8" i="30103"/>
  <c r="BP10" i="30103"/>
  <c r="BK10" i="30103"/>
  <c r="BH10" i="30103"/>
  <c r="BW10" i="30103"/>
  <c r="BO10" i="30103"/>
  <c r="BV10" i="30103"/>
  <c r="CA10" i="30103"/>
  <c r="BR10" i="30103"/>
  <c r="BN10" i="30103"/>
  <c r="BQ10" i="30103"/>
  <c r="BM10" i="30103"/>
  <c r="BI10" i="30103"/>
  <c r="BS10" i="30103"/>
  <c r="CA7" i="30103"/>
  <c r="BW7" i="30103"/>
  <c r="BS7" i="30103"/>
  <c r="BO7" i="30103"/>
  <c r="BK7" i="30103"/>
  <c r="BV7" i="30103"/>
  <c r="BR7" i="30103"/>
  <c r="BQ7" i="30103"/>
  <c r="BN7" i="30103"/>
  <c r="BI7" i="30103"/>
  <c r="BM7" i="30103"/>
  <c r="BP7" i="30103"/>
  <c r="BH7" i="30103"/>
  <c r="BP12" i="30103"/>
  <c r="CA12" i="30103"/>
  <c r="BM12" i="30103"/>
  <c r="BW12" i="30103"/>
  <c r="BN12" i="30103"/>
  <c r="BS12" i="30103"/>
  <c r="BO12" i="30103"/>
  <c r="BV12" i="30103"/>
  <c r="BK12" i="30103"/>
  <c r="BR12" i="30103"/>
  <c r="BQ12" i="30103"/>
  <c r="BI12" i="30103"/>
  <c r="BH12" i="30103"/>
  <c r="BR13" i="30103"/>
  <c r="BN13" i="30103"/>
  <c r="BQ13" i="30103"/>
  <c r="BK13" i="30103"/>
  <c r="BI13" i="30103"/>
  <c r="BM13" i="30103"/>
  <c r="BW13" i="30103"/>
  <c r="BP13" i="30103"/>
  <c r="BH13" i="30103"/>
  <c r="CA13" i="30103"/>
  <c r="BO13" i="30103"/>
  <c r="BS13" i="30103"/>
  <c r="BV13" i="30103"/>
  <c r="A19" i="30019"/>
  <c r="AD18" i="30019"/>
  <c r="V18" i="30019"/>
  <c r="W18" i="30019"/>
  <c r="A35" i="30019"/>
  <c r="AD34" i="30019"/>
  <c r="V34" i="30019"/>
  <c r="W34" i="30019"/>
  <c r="AD26" i="30019"/>
  <c r="A27" i="30019"/>
  <c r="V26" i="30019"/>
  <c r="W26" i="30019"/>
  <c r="A43" i="30019"/>
  <c r="AD42" i="30019"/>
  <c r="V42" i="30019"/>
  <c r="W42" i="30019"/>
  <c r="S67" i="19124"/>
  <c r="S47" i="19124"/>
  <c r="S46" i="19124"/>
  <c r="S45" i="19124"/>
  <c r="S44" i="19124"/>
  <c r="S43" i="19124"/>
  <c r="S42" i="19124"/>
  <c r="S41" i="19124"/>
  <c r="S40" i="19124"/>
  <c r="S39" i="19124"/>
  <c r="S38" i="19124"/>
  <c r="S37" i="19124"/>
  <c r="S36" i="19124"/>
  <c r="S35" i="19124"/>
  <c r="S34" i="19124"/>
  <c r="S33" i="19124"/>
  <c r="S32" i="19124"/>
  <c r="S31" i="19124"/>
  <c r="S30" i="19124"/>
  <c r="S29" i="19124"/>
  <c r="S28" i="19124"/>
  <c r="S27" i="19124"/>
  <c r="S26" i="19124"/>
  <c r="S25" i="19124"/>
  <c r="S24" i="19124"/>
  <c r="S23" i="19124"/>
  <c r="S22" i="19124"/>
  <c r="S21" i="19124"/>
  <c r="S20" i="19124"/>
  <c r="S19" i="19124"/>
  <c r="S18" i="19124"/>
  <c r="S17" i="19124"/>
  <c r="S16" i="19124"/>
  <c r="S15" i="19124"/>
  <c r="S14" i="19124"/>
  <c r="S13" i="19124"/>
  <c r="S12" i="19124"/>
  <c r="S11" i="19124"/>
  <c r="S10" i="19124"/>
  <c r="S9" i="19124"/>
  <c r="S8" i="19124"/>
  <c r="S7" i="19124"/>
  <c r="S6" i="19124"/>
  <c r="S5" i="19124"/>
  <c r="B676" i="29960"/>
  <c r="B678" i="29960"/>
  <c r="B551" i="29960"/>
  <c r="B547" i="29960"/>
  <c r="B403" i="29960"/>
  <c r="C286" i="30049"/>
  <c r="B286" i="30049" s="1"/>
  <c r="C285" i="30049"/>
  <c r="B285" i="30049" s="1"/>
  <c r="C284" i="30049"/>
  <c r="B284" i="30049" s="1"/>
  <c r="C283" i="30049"/>
  <c r="B283" i="30049" s="1"/>
  <c r="C282" i="30049"/>
  <c r="B282" i="30049" s="1"/>
  <c r="C281" i="30049"/>
  <c r="B281" i="30049" s="1"/>
  <c r="C280" i="30049"/>
  <c r="B280" i="30049" s="1"/>
  <c r="C279" i="30049"/>
  <c r="B279" i="30049" s="1"/>
  <c r="C278" i="30049"/>
  <c r="B278" i="30049" s="1"/>
  <c r="C277" i="30049"/>
  <c r="B277" i="30049" s="1"/>
  <c r="C276" i="30049"/>
  <c r="B276" i="30049" s="1"/>
  <c r="C275" i="30049"/>
  <c r="B275" i="30049" s="1"/>
  <c r="C274" i="30049"/>
  <c r="B274" i="30049" s="1"/>
  <c r="C273" i="30049"/>
  <c r="B273" i="30049" s="1"/>
  <c r="C272" i="30049"/>
  <c r="B272" i="30049" s="1"/>
  <c r="C271" i="30049"/>
  <c r="B271" i="30049" s="1"/>
  <c r="C270" i="30049"/>
  <c r="B270" i="30049" s="1"/>
  <c r="C269" i="30049"/>
  <c r="B269" i="30049" s="1"/>
  <c r="C268" i="30049"/>
  <c r="B268" i="30049" s="1"/>
  <c r="C267" i="30049"/>
  <c r="B267" i="30049" s="1"/>
  <c r="C266" i="30049"/>
  <c r="B266" i="30049" s="1"/>
  <c r="C265" i="30049"/>
  <c r="B265" i="30049" s="1"/>
  <c r="C264" i="30049"/>
  <c r="B264" i="30049" s="1"/>
  <c r="C263" i="30049"/>
  <c r="B263" i="30049" s="1"/>
  <c r="C262" i="30049"/>
  <c r="B262" i="30049" s="1"/>
  <c r="C261" i="30049"/>
  <c r="B261" i="30049" s="1"/>
  <c r="C260" i="30049"/>
  <c r="B260" i="30049" s="1"/>
  <c r="C259" i="30049"/>
  <c r="B259" i="30049" s="1"/>
  <c r="C258" i="30049"/>
  <c r="B258" i="30049" s="1"/>
  <c r="C257" i="30049"/>
  <c r="B257" i="30049" s="1"/>
  <c r="C256" i="30049"/>
  <c r="B256" i="30049" s="1"/>
  <c r="C255" i="30049"/>
  <c r="B255" i="30049" s="1"/>
  <c r="C254" i="30049"/>
  <c r="B254" i="30049" s="1"/>
  <c r="C253" i="30049"/>
  <c r="B253" i="30049" s="1"/>
  <c r="C252" i="30049"/>
  <c r="B252" i="30049" s="1"/>
  <c r="C251" i="30049"/>
  <c r="B251" i="30049" s="1"/>
  <c r="C250" i="30049"/>
  <c r="B250" i="30049" s="1"/>
  <c r="C249" i="30049"/>
  <c r="B249" i="30049" s="1"/>
  <c r="C248" i="30049"/>
  <c r="B248" i="30049" s="1"/>
  <c r="C247" i="30049"/>
  <c r="B247" i="30049" s="1"/>
  <c r="C2254" i="30004"/>
  <c r="B2254" i="30004" s="1"/>
  <c r="C2253" i="30004"/>
  <c r="B2253" i="30004" s="1"/>
  <c r="C2252" i="30004"/>
  <c r="B2252" i="30004" s="1"/>
  <c r="C2251" i="30004"/>
  <c r="B2251" i="30004" s="1"/>
  <c r="C2250" i="30004"/>
  <c r="B2250" i="30004" s="1"/>
  <c r="C2249" i="30004"/>
  <c r="B2249" i="30004" s="1"/>
  <c r="C2248" i="30004"/>
  <c r="B2248" i="30004" s="1"/>
  <c r="C2247" i="30004"/>
  <c r="B2247" i="30004" s="1"/>
  <c r="C2246" i="30004"/>
  <c r="B2246" i="30004" s="1"/>
  <c r="C2245" i="30004"/>
  <c r="B2245" i="30004" s="1"/>
  <c r="C2244" i="30004"/>
  <c r="B2244" i="30004" s="1"/>
  <c r="C2243" i="30004"/>
  <c r="B2243" i="30004" s="1"/>
  <c r="C2242" i="30004"/>
  <c r="B2242" i="30004" s="1"/>
  <c r="C2241" i="30004"/>
  <c r="B2241" i="30004" s="1"/>
  <c r="C2240" i="30004"/>
  <c r="B2240" i="30004" s="1"/>
  <c r="C2239" i="30004"/>
  <c r="B2239" i="30004" s="1"/>
  <c r="C2238" i="30004"/>
  <c r="B2238" i="30004" s="1"/>
  <c r="C2237" i="30004"/>
  <c r="B2237" i="30004" s="1"/>
  <c r="C2236" i="30004"/>
  <c r="B2236" i="30004" s="1"/>
  <c r="C2235" i="30004"/>
  <c r="B2235" i="30004" s="1"/>
  <c r="C2234" i="30004"/>
  <c r="B2234" i="30004" s="1"/>
  <c r="C2233" i="30004"/>
  <c r="B2233" i="30004" s="1"/>
  <c r="C2232" i="30004"/>
  <c r="B2232" i="30004" s="1"/>
  <c r="C2231" i="30004"/>
  <c r="B2231" i="30004" s="1"/>
  <c r="C2230" i="30004"/>
  <c r="B2230" i="30004" s="1"/>
  <c r="C2229" i="30004"/>
  <c r="B2229" i="30004" s="1"/>
  <c r="C2228" i="30004"/>
  <c r="B2228" i="30004" s="1"/>
  <c r="C2227" i="30004"/>
  <c r="B2227" i="30004" s="1"/>
  <c r="C2226" i="30004"/>
  <c r="B2226" i="30004" s="1"/>
  <c r="C2225" i="30004"/>
  <c r="B2225" i="30004" s="1"/>
  <c r="C2224" i="30004"/>
  <c r="B2224" i="30004" s="1"/>
  <c r="C2223" i="30004"/>
  <c r="B2223" i="30004" s="1"/>
  <c r="C2222" i="30004"/>
  <c r="B2222" i="30004" s="1"/>
  <c r="C2221" i="30004"/>
  <c r="B2221" i="30004" s="1"/>
  <c r="C2220" i="30004"/>
  <c r="B2220" i="30004" s="1"/>
  <c r="C2219" i="30004"/>
  <c r="B2219" i="30004" s="1"/>
  <c r="C2218" i="30004"/>
  <c r="B2218" i="30004" s="1"/>
  <c r="C2217" i="30004"/>
  <c r="B2217" i="30004" s="1"/>
  <c r="C2216" i="30004"/>
  <c r="B2216" i="30004" s="1"/>
  <c r="C2215" i="30004"/>
  <c r="B2215" i="30004" s="1"/>
  <c r="C2214" i="30004"/>
  <c r="B2214" i="30004" s="1"/>
  <c r="C2213" i="30004"/>
  <c r="B2213" i="30004" s="1"/>
  <c r="C2212" i="30004"/>
  <c r="B2212" i="30004" s="1"/>
  <c r="C2211" i="30004"/>
  <c r="B2211" i="30004" s="1"/>
  <c r="C2210" i="30004"/>
  <c r="B2210" i="30004" s="1"/>
  <c r="C2209" i="30004"/>
  <c r="B2209" i="30004" s="1"/>
  <c r="C2208" i="30004"/>
  <c r="B2208" i="30004" s="1"/>
  <c r="C2207" i="30004"/>
  <c r="B2207" i="30004" s="1"/>
  <c r="C2206" i="30004"/>
  <c r="B2206" i="30004" s="1"/>
  <c r="C2205" i="30004"/>
  <c r="B2205" i="30004" s="1"/>
  <c r="C2204" i="30004"/>
  <c r="B2204" i="30004" s="1"/>
  <c r="C2203" i="30004"/>
  <c r="B2203" i="30004" s="1"/>
  <c r="C2202" i="30004"/>
  <c r="B2202" i="30004" s="1"/>
  <c r="C2201" i="30004"/>
  <c r="B2201" i="30004" s="1"/>
  <c r="C2200" i="30004"/>
  <c r="B2200" i="30004" s="1"/>
  <c r="C2199" i="30004"/>
  <c r="B2199" i="30004" s="1"/>
  <c r="C2198" i="30004"/>
  <c r="B2198" i="30004" s="1"/>
  <c r="C2197" i="30004"/>
  <c r="B2197" i="30004" s="1"/>
  <c r="C2196" i="30004"/>
  <c r="B2196" i="30004" s="1"/>
  <c r="C2195" i="30004"/>
  <c r="B2195" i="30004" s="1"/>
  <c r="C2194" i="30004"/>
  <c r="B2194" i="30004" s="1"/>
  <c r="C2193" i="30004"/>
  <c r="B2193" i="30004" s="1"/>
  <c r="C2192" i="30004"/>
  <c r="B2192" i="30004" s="1"/>
  <c r="C2191" i="30004"/>
  <c r="B2191" i="30004" s="1"/>
  <c r="C2190" i="30004"/>
  <c r="B2190" i="30004" s="1"/>
  <c r="C2189" i="30004"/>
  <c r="B2189" i="30004" s="1"/>
  <c r="C2188" i="30004"/>
  <c r="B2188" i="30004" s="1"/>
  <c r="C2187" i="30004"/>
  <c r="B2187" i="30004" s="1"/>
  <c r="C2186" i="30004"/>
  <c r="B2186" i="30004" s="1"/>
  <c r="C2185" i="30004"/>
  <c r="B2185" i="30004" s="1"/>
  <c r="C2184" i="30004"/>
  <c r="B2184" i="30004" s="1"/>
  <c r="C2183" i="30004"/>
  <c r="B2183" i="30004" s="1"/>
  <c r="C2182" i="30004"/>
  <c r="B2182" i="30004" s="1"/>
  <c r="C2181" i="30004"/>
  <c r="B2181" i="30004" s="1"/>
  <c r="C2180" i="30004"/>
  <c r="B2180" i="30004" s="1"/>
  <c r="C2179" i="30004"/>
  <c r="B2179" i="30004" s="1"/>
  <c r="C2178" i="30004"/>
  <c r="B2178" i="30004" s="1"/>
  <c r="C2177" i="30004"/>
  <c r="B2177" i="30004" s="1"/>
  <c r="C2176" i="30004"/>
  <c r="B2176" i="30004" s="1"/>
  <c r="C2175" i="30004"/>
  <c r="B2175" i="30004" s="1"/>
  <c r="C2174" i="30004"/>
  <c r="B2174" i="30004" s="1"/>
  <c r="C2173" i="30004"/>
  <c r="B2173" i="30004" s="1"/>
  <c r="C2172" i="30004"/>
  <c r="B2172" i="30004" s="1"/>
  <c r="C2171" i="30004"/>
  <c r="B2171" i="30004" s="1"/>
  <c r="C2170" i="30004"/>
  <c r="B2170" i="30004" s="1"/>
  <c r="C2169" i="30004"/>
  <c r="B2169" i="30004" s="1"/>
  <c r="C2168" i="30004"/>
  <c r="B2168" i="30004" s="1"/>
  <c r="C2167" i="30004"/>
  <c r="B2167" i="30004" s="1"/>
  <c r="C2166" i="30004"/>
  <c r="B2166" i="30004" s="1"/>
  <c r="C2165" i="30004"/>
  <c r="B2165" i="30004" s="1"/>
  <c r="C2164" i="30004"/>
  <c r="B2164" i="30004" s="1"/>
  <c r="C2163" i="30004"/>
  <c r="B2163" i="30004" s="1"/>
  <c r="C2162" i="30004"/>
  <c r="B2162" i="30004" s="1"/>
  <c r="C2161" i="30004"/>
  <c r="B2161" i="30004" s="1"/>
  <c r="C2160" i="30004"/>
  <c r="B2160" i="30004" s="1"/>
  <c r="C2159" i="30004"/>
  <c r="B2159" i="30004" s="1"/>
  <c r="C2158" i="30004"/>
  <c r="B2158" i="30004" s="1"/>
  <c r="C2157" i="30004"/>
  <c r="B2157" i="30004" s="1"/>
  <c r="C2156" i="30004"/>
  <c r="B2156" i="30004" s="1"/>
  <c r="C2155" i="30004"/>
  <c r="B2155" i="30004" s="1"/>
  <c r="C2154" i="30004"/>
  <c r="B2154" i="30004" s="1"/>
  <c r="C2153" i="30004"/>
  <c r="B2153" i="30004" s="1"/>
  <c r="C2152" i="30004"/>
  <c r="B2152" i="30004" s="1"/>
  <c r="C2151" i="30004"/>
  <c r="B2151" i="30004" s="1"/>
  <c r="C2150" i="30004"/>
  <c r="B2150" i="30004" s="1"/>
  <c r="C2149" i="30004"/>
  <c r="B2149" i="30004" s="1"/>
  <c r="C2148" i="30004"/>
  <c r="B2148" i="30004" s="1"/>
  <c r="C2147" i="30004"/>
  <c r="B2147" i="30004" s="1"/>
  <c r="C2146" i="30004"/>
  <c r="B2146" i="30004" s="1"/>
  <c r="C2145" i="30004"/>
  <c r="B2145" i="30004" s="1"/>
  <c r="C2144" i="30004"/>
  <c r="B2144" i="30004" s="1"/>
  <c r="C2143" i="30004"/>
  <c r="B2143" i="30004" s="1"/>
  <c r="C2142" i="30004"/>
  <c r="B2142" i="30004" s="1"/>
  <c r="C2141" i="30004"/>
  <c r="B2141" i="30004" s="1"/>
  <c r="C2140" i="30004"/>
  <c r="B2140" i="30004" s="1"/>
  <c r="C2139" i="30004"/>
  <c r="B2139" i="30004" s="1"/>
  <c r="C2138" i="30004"/>
  <c r="B2138" i="30004" s="1"/>
  <c r="C2137" i="30004"/>
  <c r="B2137" i="30004" s="1"/>
  <c r="C2136" i="30004"/>
  <c r="B2136" i="30004" s="1"/>
  <c r="C2135" i="30004"/>
  <c r="B2135" i="30004" s="1"/>
  <c r="C2134" i="30004"/>
  <c r="B2134" i="30004" s="1"/>
  <c r="C2133" i="30004"/>
  <c r="B2133" i="30004" s="1"/>
  <c r="C2132" i="30004"/>
  <c r="B2132" i="30004" s="1"/>
  <c r="C2131" i="30004"/>
  <c r="B2131" i="30004" s="1"/>
  <c r="C2130" i="30004"/>
  <c r="B2130" i="30004" s="1"/>
  <c r="C2129" i="30004"/>
  <c r="B2129" i="30004" s="1"/>
  <c r="C2128" i="30004"/>
  <c r="B2128" i="30004" s="1"/>
  <c r="C2127" i="30004"/>
  <c r="B2127" i="30004" s="1"/>
  <c r="C2126" i="30004"/>
  <c r="B2126" i="30004" s="1"/>
  <c r="C2125" i="30004"/>
  <c r="B2125" i="30004" s="1"/>
  <c r="C2124" i="30004"/>
  <c r="B2124" i="30004" s="1"/>
  <c r="C2123" i="30004"/>
  <c r="B2123" i="30004" s="1"/>
  <c r="C2122" i="30004"/>
  <c r="B2122" i="30004" s="1"/>
  <c r="C2121" i="30004"/>
  <c r="B2121" i="30004" s="1"/>
  <c r="C2120" i="30004"/>
  <c r="B2120" i="30004" s="1"/>
  <c r="C2119" i="30004"/>
  <c r="B2119" i="30004" s="1"/>
  <c r="C2118" i="30004"/>
  <c r="B2118" i="30004" s="1"/>
  <c r="C2117" i="30004"/>
  <c r="B2117" i="30004" s="1"/>
  <c r="C2116" i="30004"/>
  <c r="B2116" i="30004" s="1"/>
  <c r="C2115" i="30004"/>
  <c r="B2115" i="30004" s="1"/>
  <c r="C2114" i="30004"/>
  <c r="B2114" i="30004" s="1"/>
  <c r="C2113" i="30004"/>
  <c r="B2113" i="30004" s="1"/>
  <c r="C2112" i="30004"/>
  <c r="B2112" i="30004" s="1"/>
  <c r="C2111" i="30004"/>
  <c r="B2111" i="30004" s="1"/>
  <c r="C2110" i="30004"/>
  <c r="B2110" i="30004" s="1"/>
  <c r="C2109" i="30004"/>
  <c r="B2109" i="30004" s="1"/>
  <c r="C2108" i="30004"/>
  <c r="B2108" i="30004" s="1"/>
  <c r="C2107" i="30004"/>
  <c r="B2107" i="30004" s="1"/>
  <c r="C2106" i="30004"/>
  <c r="B2106" i="30004" s="1"/>
  <c r="C2105" i="30004"/>
  <c r="B2105" i="30004" s="1"/>
  <c r="C2104" i="30004"/>
  <c r="B2104" i="30004" s="1"/>
  <c r="C2103" i="30004"/>
  <c r="B2103" i="30004" s="1"/>
  <c r="C2102" i="30004"/>
  <c r="B2102" i="30004" s="1"/>
  <c r="C2101" i="30004"/>
  <c r="B2101" i="30004" s="1"/>
  <c r="C2100" i="30004"/>
  <c r="B2100" i="30004" s="1"/>
  <c r="C2099" i="30004"/>
  <c r="B2099" i="30004" s="1"/>
  <c r="C2098" i="30004"/>
  <c r="B2098" i="30004" s="1"/>
  <c r="C2097" i="30004"/>
  <c r="B2097" i="30004" s="1"/>
  <c r="C2096" i="30004"/>
  <c r="B2096" i="30004" s="1"/>
  <c r="C2095" i="30004"/>
  <c r="B2095" i="30004" s="1"/>
  <c r="C2094" i="30004"/>
  <c r="B2094" i="30004" s="1"/>
  <c r="C2093" i="30004"/>
  <c r="B2093" i="30004" s="1"/>
  <c r="C2092" i="30004"/>
  <c r="B2092" i="30004" s="1"/>
  <c r="C2091" i="30004"/>
  <c r="B2091" i="30004" s="1"/>
  <c r="C2090" i="30004"/>
  <c r="B2090" i="30004" s="1"/>
  <c r="C2089" i="30004"/>
  <c r="B2089" i="30004" s="1"/>
  <c r="C2088" i="30004"/>
  <c r="B2088" i="30004" s="1"/>
  <c r="C2087" i="30004"/>
  <c r="B2087" i="30004" s="1"/>
  <c r="C2086" i="30004"/>
  <c r="B2086" i="30004" s="1"/>
  <c r="C2085" i="30004"/>
  <c r="B2085" i="30004" s="1"/>
  <c r="C2084" i="30004"/>
  <c r="B2084" i="30004" s="1"/>
  <c r="C2083" i="30004"/>
  <c r="B2083" i="30004" s="1"/>
  <c r="C2082" i="30004"/>
  <c r="B2082" i="30004" s="1"/>
  <c r="C2081" i="30004"/>
  <c r="B2081" i="30004" s="1"/>
  <c r="C2080" i="30004"/>
  <c r="B2080" i="30004" s="1"/>
  <c r="C2079" i="30004"/>
  <c r="B2079" i="30004" s="1"/>
  <c r="C2078" i="30004"/>
  <c r="B2078" i="30004" s="1"/>
  <c r="C2077" i="30004"/>
  <c r="B2077" i="30004" s="1"/>
  <c r="C2076" i="30004"/>
  <c r="B2076" i="30004" s="1"/>
  <c r="C2075" i="30004"/>
  <c r="B2075" i="30004" s="1"/>
  <c r="C2074" i="30004"/>
  <c r="B2074" i="30004" s="1"/>
  <c r="C2073" i="30004"/>
  <c r="B2073" i="30004" s="1"/>
  <c r="C2072" i="30004"/>
  <c r="B2072" i="30004" s="1"/>
  <c r="C2071" i="30004"/>
  <c r="B2071" i="30004" s="1"/>
  <c r="C2070" i="30004"/>
  <c r="B2070" i="30004" s="1"/>
  <c r="C2069" i="30004"/>
  <c r="B2069" i="30004" s="1"/>
  <c r="C2068" i="30004"/>
  <c r="B2068" i="30004" s="1"/>
  <c r="C2067" i="30004"/>
  <c r="B2067" i="30004" s="1"/>
  <c r="C2066" i="30004"/>
  <c r="B2066" i="30004" s="1"/>
  <c r="C2065" i="30004"/>
  <c r="B2065" i="30004" s="1"/>
  <c r="C2064" i="30004"/>
  <c r="B2064" i="30004" s="1"/>
  <c r="C2063" i="30004"/>
  <c r="B2063" i="30004" s="1"/>
  <c r="C2062" i="30004"/>
  <c r="B2062" i="30004" s="1"/>
  <c r="C2061" i="30004"/>
  <c r="B2061" i="30004" s="1"/>
  <c r="C2060" i="30004"/>
  <c r="B2060" i="30004" s="1"/>
  <c r="C2059" i="30004"/>
  <c r="B2059" i="30004" s="1"/>
  <c r="C2058" i="30004"/>
  <c r="B2058" i="30004" s="1"/>
  <c r="C2057" i="30004"/>
  <c r="B2057" i="30004" s="1"/>
  <c r="C2056" i="30004"/>
  <c r="B2056" i="30004" s="1"/>
  <c r="C2055" i="30004"/>
  <c r="B2055" i="30004" s="1"/>
  <c r="C2054" i="30004"/>
  <c r="B2054" i="30004" s="1"/>
  <c r="C2053" i="30004"/>
  <c r="B2053" i="30004" s="1"/>
  <c r="C2052" i="30004"/>
  <c r="B2052" i="30004" s="1"/>
  <c r="C2051" i="30004"/>
  <c r="B2051" i="30004" s="1"/>
  <c r="C2050" i="30004"/>
  <c r="B2050" i="30004" s="1"/>
  <c r="C2049" i="30004"/>
  <c r="B2049" i="30004" s="1"/>
  <c r="C2048" i="30004"/>
  <c r="B2048" i="30004" s="1"/>
  <c r="C2047" i="30004"/>
  <c r="B2047" i="30004" s="1"/>
  <c r="C2046" i="30004"/>
  <c r="B2046" i="30004" s="1"/>
  <c r="C2045" i="30004"/>
  <c r="B2045" i="30004" s="1"/>
  <c r="C2044" i="30004"/>
  <c r="B2044" i="30004" s="1"/>
  <c r="C2043" i="30004"/>
  <c r="B2043" i="30004" s="1"/>
  <c r="C2042" i="30004"/>
  <c r="B2042" i="30004" s="1"/>
  <c r="C2041" i="30004"/>
  <c r="B2041" i="30004" s="1"/>
  <c r="C2040" i="30004"/>
  <c r="B2040" i="30004" s="1"/>
  <c r="C2039" i="30004"/>
  <c r="B2039" i="30004" s="1"/>
  <c r="C2038" i="30004"/>
  <c r="B2038" i="30004" s="1"/>
  <c r="C2037" i="30004"/>
  <c r="B2037" i="30004" s="1"/>
  <c r="C2036" i="30004"/>
  <c r="B2036" i="30004" s="1"/>
  <c r="C2035" i="30004"/>
  <c r="B2035" i="30004" s="1"/>
  <c r="C2034" i="30004"/>
  <c r="B2034" i="30004" s="1"/>
  <c r="C2033" i="30004"/>
  <c r="B2033" i="30004" s="1"/>
  <c r="C2032" i="30004"/>
  <c r="B2032" i="30004" s="1"/>
  <c r="C2031" i="30004"/>
  <c r="B2031" i="30004" s="1"/>
  <c r="C2030" i="30004"/>
  <c r="B2030" i="30004" s="1"/>
  <c r="C2029" i="30004"/>
  <c r="B2029" i="30004" s="1"/>
  <c r="C2028" i="30004"/>
  <c r="B2028" i="30004" s="1"/>
  <c r="C2027" i="30004"/>
  <c r="B2027" i="30004" s="1"/>
  <c r="C2026" i="30004"/>
  <c r="B2026" i="30004" s="1"/>
  <c r="C2025" i="30004"/>
  <c r="B2025" i="30004" s="1"/>
  <c r="C2024" i="30004"/>
  <c r="B2024" i="30004" s="1"/>
  <c r="C2023" i="30004"/>
  <c r="B2023" i="30004" s="1"/>
  <c r="C2022" i="30004"/>
  <c r="B2022" i="30004" s="1"/>
  <c r="C2021" i="30004"/>
  <c r="B2021" i="30004" s="1"/>
  <c r="C2020" i="30004"/>
  <c r="B2020" i="30004" s="1"/>
  <c r="C2019" i="30004"/>
  <c r="B2019" i="30004" s="1"/>
  <c r="C2018" i="30004"/>
  <c r="B2018" i="30004" s="1"/>
  <c r="C2017" i="30004"/>
  <c r="B2017" i="30004" s="1"/>
  <c r="C2016" i="30004"/>
  <c r="B2016" i="30004" s="1"/>
  <c r="C2015" i="30004"/>
  <c r="B2015" i="30004" s="1"/>
  <c r="C2014" i="30004"/>
  <c r="B2014" i="30004" s="1"/>
  <c r="C2013" i="30004"/>
  <c r="B2013" i="30004" s="1"/>
  <c r="C2012" i="30004"/>
  <c r="B2012" i="30004" s="1"/>
  <c r="C2011" i="30004"/>
  <c r="B2011" i="30004" s="1"/>
  <c r="C2010" i="30004"/>
  <c r="B2010" i="30004" s="1"/>
  <c r="C2009" i="30004"/>
  <c r="B2009" i="30004" s="1"/>
  <c r="C2008" i="30004"/>
  <c r="B2008" i="30004" s="1"/>
  <c r="C2007" i="30004"/>
  <c r="B2007" i="30004" s="1"/>
  <c r="C2006" i="30004"/>
  <c r="B2006" i="30004" s="1"/>
  <c r="C2005" i="30004"/>
  <c r="B2005" i="30004" s="1"/>
  <c r="C2004" i="30004"/>
  <c r="B2004" i="30004" s="1"/>
  <c r="C2003" i="30004"/>
  <c r="B2003" i="30004" s="1"/>
  <c r="C2002" i="30004"/>
  <c r="B2002" i="30004" s="1"/>
  <c r="C2001" i="30004"/>
  <c r="B2001" i="30004" s="1"/>
  <c r="C2000" i="30004"/>
  <c r="B2000" i="30004" s="1"/>
  <c r="C1999" i="30004"/>
  <c r="B1999" i="30004" s="1"/>
  <c r="C1998" i="30004"/>
  <c r="B1998" i="30004" s="1"/>
  <c r="C1997" i="30004"/>
  <c r="B1997" i="30004" s="1"/>
  <c r="C1996" i="30004"/>
  <c r="B1996" i="30004" s="1"/>
  <c r="C1995" i="30004"/>
  <c r="B1995" i="30004" s="1"/>
  <c r="C1994" i="30004"/>
  <c r="B1994" i="30004" s="1"/>
  <c r="C1993" i="30004"/>
  <c r="B1993" i="30004" s="1"/>
  <c r="C1992" i="30004"/>
  <c r="B1992" i="30004" s="1"/>
  <c r="C1991" i="30004"/>
  <c r="B1991" i="30004" s="1"/>
  <c r="C1990" i="30004"/>
  <c r="B1990" i="30004" s="1"/>
  <c r="C1989" i="30004"/>
  <c r="B1989" i="30004" s="1"/>
  <c r="C1988" i="30004"/>
  <c r="B1988" i="30004" s="1"/>
  <c r="C1987" i="30004"/>
  <c r="B1987" i="30004" s="1"/>
  <c r="C1986" i="30004"/>
  <c r="B1986" i="30004" s="1"/>
  <c r="C1985" i="30004"/>
  <c r="B1985" i="30004" s="1"/>
  <c r="C1984" i="30004"/>
  <c r="B1984" i="30004" s="1"/>
  <c r="C1983" i="30004"/>
  <c r="B1983" i="30004" s="1"/>
  <c r="C1982" i="30004"/>
  <c r="B1982" i="30004" s="1"/>
  <c r="C1981" i="30004"/>
  <c r="B1981" i="30004" s="1"/>
  <c r="C1980" i="30004"/>
  <c r="B1980" i="30004" s="1"/>
  <c r="C1979" i="30004"/>
  <c r="B1979" i="30004" s="1"/>
  <c r="C1978" i="30004"/>
  <c r="B1978" i="30004" s="1"/>
  <c r="C1977" i="30004"/>
  <c r="B1977" i="30004" s="1"/>
  <c r="C1976" i="30004"/>
  <c r="B1976" i="30004" s="1"/>
  <c r="C1975" i="30004"/>
  <c r="B1975" i="30004" s="1"/>
  <c r="C1974" i="30004"/>
  <c r="B1974" i="30004" s="1"/>
  <c r="C1973" i="30004"/>
  <c r="B1973" i="30004" s="1"/>
  <c r="C1972" i="30004"/>
  <c r="B1972" i="30004" s="1"/>
  <c r="C1971" i="30004"/>
  <c r="B1971" i="30004" s="1"/>
  <c r="C1970" i="30004"/>
  <c r="B1970" i="30004" s="1"/>
  <c r="C1969" i="30004"/>
  <c r="B1969" i="30004" s="1"/>
  <c r="C1968" i="30004"/>
  <c r="B1968" i="30004" s="1"/>
  <c r="C1967" i="30004"/>
  <c r="B1967" i="30004" s="1"/>
  <c r="C1966" i="30004"/>
  <c r="B1966" i="30004" s="1"/>
  <c r="C1965" i="30004"/>
  <c r="B1965" i="30004" s="1"/>
  <c r="C1964" i="30004"/>
  <c r="B1964" i="30004" s="1"/>
  <c r="C1963" i="30004"/>
  <c r="B1963" i="30004" s="1"/>
  <c r="C1962" i="30004"/>
  <c r="B1962" i="30004" s="1"/>
  <c r="C1961" i="30004"/>
  <c r="B1961" i="30004" s="1"/>
  <c r="C1960" i="30004"/>
  <c r="B1960" i="30004" s="1"/>
  <c r="C1959" i="30004"/>
  <c r="B1959" i="30004" s="1"/>
  <c r="C1958" i="30004"/>
  <c r="B1958" i="30004" s="1"/>
  <c r="C1957" i="30004"/>
  <c r="B1957" i="30004" s="1"/>
  <c r="C1956" i="30004"/>
  <c r="B1956" i="30004" s="1"/>
  <c r="C1955" i="30004"/>
  <c r="B1955" i="30004" s="1"/>
  <c r="C1954" i="30004"/>
  <c r="B1954" i="30004" s="1"/>
  <c r="C1953" i="30004"/>
  <c r="B1953" i="30004" s="1"/>
  <c r="C1952" i="30004"/>
  <c r="B1952" i="30004" s="1"/>
  <c r="C1951" i="30004"/>
  <c r="B1951" i="30004" s="1"/>
  <c r="C1950" i="30004"/>
  <c r="B1950" i="30004" s="1"/>
  <c r="C1949" i="30004"/>
  <c r="B1949" i="30004" s="1"/>
  <c r="C1948" i="30004"/>
  <c r="B1948" i="30004" s="1"/>
  <c r="C1947" i="30004"/>
  <c r="B1947" i="30004" s="1"/>
  <c r="C1946" i="30004"/>
  <c r="B1946" i="30004" s="1"/>
  <c r="C1945" i="30004"/>
  <c r="B1945" i="30004" s="1"/>
  <c r="C1944" i="30004"/>
  <c r="B1944" i="30004" s="1"/>
  <c r="C1943" i="30004"/>
  <c r="B1943" i="30004" s="1"/>
  <c r="C1942" i="30004"/>
  <c r="B1942" i="30004" s="1"/>
  <c r="C1941" i="30004"/>
  <c r="B1941" i="30004" s="1"/>
  <c r="C1940" i="30004"/>
  <c r="B1940" i="30004" s="1"/>
  <c r="C1939" i="30004"/>
  <c r="B1939" i="30004" s="1"/>
  <c r="C1938" i="30004"/>
  <c r="B1938" i="30004" s="1"/>
  <c r="C1937" i="30004"/>
  <c r="B1937" i="30004" s="1"/>
  <c r="C1936" i="30004"/>
  <c r="B1936" i="30004" s="1"/>
  <c r="C1935" i="30004"/>
  <c r="B1935" i="30004" s="1"/>
  <c r="C1934" i="30004"/>
  <c r="B1934" i="30004" s="1"/>
  <c r="C1933" i="30004"/>
  <c r="B1933" i="30004" s="1"/>
  <c r="C1932" i="30004"/>
  <c r="B1932" i="30004" s="1"/>
  <c r="C1931" i="30004"/>
  <c r="B1931" i="30004" s="1"/>
  <c r="C1930" i="30004"/>
  <c r="B1930" i="30004" s="1"/>
  <c r="C1929" i="30004"/>
  <c r="B1929" i="30004" s="1"/>
  <c r="C1928" i="30004"/>
  <c r="B1928" i="30004" s="1"/>
  <c r="C1927" i="30004"/>
  <c r="B1927" i="30004" s="1"/>
  <c r="C1926" i="30004"/>
  <c r="B1926" i="30004" s="1"/>
  <c r="C1925" i="30004"/>
  <c r="B1925" i="30004" s="1"/>
  <c r="C1924" i="30004"/>
  <c r="B1924" i="30004" s="1"/>
  <c r="C1923" i="30004"/>
  <c r="B1923" i="30004" s="1"/>
  <c r="C1922" i="30004"/>
  <c r="B1922" i="30004" s="1"/>
  <c r="C1921" i="30004"/>
  <c r="B1921" i="30004" s="1"/>
  <c r="C1920" i="30004"/>
  <c r="B1920" i="30004" s="1"/>
  <c r="C1919" i="30004"/>
  <c r="B1919" i="30004" s="1"/>
  <c r="C1918" i="30004"/>
  <c r="B1918" i="30004" s="1"/>
  <c r="C1917" i="30004"/>
  <c r="B1917" i="30004" s="1"/>
  <c r="C1916" i="30004"/>
  <c r="B1916" i="30004" s="1"/>
  <c r="C1915" i="30004"/>
  <c r="B1915" i="30004" s="1"/>
  <c r="C1914" i="30004"/>
  <c r="B1914" i="30004" s="1"/>
  <c r="C1913" i="30004"/>
  <c r="B1913" i="30004" s="1"/>
  <c r="C1912" i="30004"/>
  <c r="B1912" i="30004" s="1"/>
  <c r="C1911" i="30004"/>
  <c r="B1911" i="30004" s="1"/>
  <c r="C1910" i="30004"/>
  <c r="B1910" i="30004" s="1"/>
  <c r="C1909" i="30004"/>
  <c r="B1909" i="30004" s="1"/>
  <c r="C1908" i="30004"/>
  <c r="B1908" i="30004" s="1"/>
  <c r="C1907" i="30004"/>
  <c r="B1907" i="30004" s="1"/>
  <c r="C1906" i="30004"/>
  <c r="B1906" i="30004" s="1"/>
  <c r="C1905" i="30004"/>
  <c r="B1905" i="30004" s="1"/>
  <c r="C1904" i="30004"/>
  <c r="B1904" i="30004" s="1"/>
  <c r="C1903" i="30004"/>
  <c r="B1903" i="30004" s="1"/>
  <c r="C1902" i="30004"/>
  <c r="B1902" i="30004" s="1"/>
  <c r="C1901" i="30004"/>
  <c r="B1901" i="30004" s="1"/>
  <c r="C1900" i="30004"/>
  <c r="B1900" i="30004" s="1"/>
  <c r="C1899" i="30004"/>
  <c r="B1899" i="30004" s="1"/>
  <c r="C1898" i="30004"/>
  <c r="B1898" i="30004" s="1"/>
  <c r="C1897" i="30004"/>
  <c r="B1897" i="30004" s="1"/>
  <c r="C1896" i="30004"/>
  <c r="B1896" i="30004" s="1"/>
  <c r="C1895" i="30004"/>
  <c r="B1895" i="30004" s="1"/>
  <c r="C1894" i="30004"/>
  <c r="B1894" i="30004" s="1"/>
  <c r="C1893" i="30004"/>
  <c r="B1893" i="30004" s="1"/>
  <c r="C1892" i="30004"/>
  <c r="B1892" i="30004" s="1"/>
  <c r="C1891" i="30004"/>
  <c r="B1891" i="30004" s="1"/>
  <c r="C1890" i="30004"/>
  <c r="B1890" i="30004" s="1"/>
  <c r="C1889" i="30004"/>
  <c r="B1889" i="30004" s="1"/>
  <c r="C1888" i="30004"/>
  <c r="B1888" i="30004" s="1"/>
  <c r="C1887" i="30004"/>
  <c r="B1887" i="30004" s="1"/>
  <c r="C1886" i="30004"/>
  <c r="B1886" i="30004" s="1"/>
  <c r="C1885" i="30004"/>
  <c r="B1885" i="30004" s="1"/>
  <c r="C1884" i="30004"/>
  <c r="B1884" i="30004" s="1"/>
  <c r="C1883" i="30004"/>
  <c r="B1883" i="30004" s="1"/>
  <c r="C1882" i="30004"/>
  <c r="B1882" i="30004" s="1"/>
  <c r="C1881" i="30004"/>
  <c r="B1881" i="30004" s="1"/>
  <c r="C1880" i="30004"/>
  <c r="B1880" i="30004" s="1"/>
  <c r="C1879" i="30004"/>
  <c r="B1879" i="30004" s="1"/>
  <c r="C1878" i="30004"/>
  <c r="B1878" i="30004" s="1"/>
  <c r="C1877" i="30004"/>
  <c r="B1877" i="30004" s="1"/>
  <c r="C1876" i="30004"/>
  <c r="B1876" i="30004" s="1"/>
  <c r="C1875" i="30004"/>
  <c r="B1875" i="30004" s="1"/>
  <c r="C1874" i="30004"/>
  <c r="B1874" i="30004" s="1"/>
  <c r="C1873" i="30004"/>
  <c r="B1873" i="30004" s="1"/>
  <c r="C1872" i="30004"/>
  <c r="B1872" i="30004" s="1"/>
  <c r="C1871" i="30004"/>
  <c r="B1871" i="30004" s="1"/>
  <c r="C1870" i="30004"/>
  <c r="B1870" i="30004" s="1"/>
  <c r="C1869" i="30004"/>
  <c r="B1869" i="30004" s="1"/>
  <c r="C1868" i="30004"/>
  <c r="B1868" i="30004" s="1"/>
  <c r="C1867" i="30004"/>
  <c r="B1867" i="30004" s="1"/>
  <c r="C1866" i="30004"/>
  <c r="B1866" i="30004" s="1"/>
  <c r="C1865" i="30004"/>
  <c r="B1865" i="30004" s="1"/>
  <c r="C1864" i="30004"/>
  <c r="B1864" i="30004" s="1"/>
  <c r="C1863" i="30004"/>
  <c r="B1863" i="30004" s="1"/>
  <c r="C1862" i="30004"/>
  <c r="B1862" i="30004" s="1"/>
  <c r="C1861" i="30004"/>
  <c r="B1861" i="30004" s="1"/>
  <c r="C1860" i="30004"/>
  <c r="B1860" i="30004" s="1"/>
  <c r="C1859" i="30004"/>
  <c r="B1859" i="30004" s="1"/>
  <c r="C1858" i="30004"/>
  <c r="B1858" i="30004" s="1"/>
  <c r="C1857" i="30004"/>
  <c r="B1857" i="30004" s="1"/>
  <c r="C1856" i="30004"/>
  <c r="B1856" i="30004" s="1"/>
  <c r="C1855" i="30004"/>
  <c r="B1855" i="30004" s="1"/>
  <c r="C1854" i="30004"/>
  <c r="B1854" i="30004" s="1"/>
  <c r="C1853" i="30004"/>
  <c r="B1853" i="30004" s="1"/>
  <c r="C1852" i="30004"/>
  <c r="B1852" i="30004" s="1"/>
  <c r="C1851" i="30004"/>
  <c r="B1851" i="30004" s="1"/>
  <c r="C1850" i="30004"/>
  <c r="B1850" i="30004" s="1"/>
  <c r="C1849" i="30004"/>
  <c r="B1849" i="30004" s="1"/>
  <c r="C1848" i="30004"/>
  <c r="B1848" i="30004" s="1"/>
  <c r="C1847" i="30004"/>
  <c r="B1847" i="30004" s="1"/>
  <c r="C1846" i="30004"/>
  <c r="B1846" i="30004" s="1"/>
  <c r="C1845" i="30004"/>
  <c r="B1845" i="30004" s="1"/>
  <c r="C1844" i="30004"/>
  <c r="B1844" i="30004" s="1"/>
  <c r="C1843" i="30004"/>
  <c r="B1843" i="30004" s="1"/>
  <c r="C1842" i="30004"/>
  <c r="B1842" i="30004" s="1"/>
  <c r="C1841" i="30004"/>
  <c r="B1841" i="30004" s="1"/>
  <c r="C1840" i="30004"/>
  <c r="B1840" i="30004" s="1"/>
  <c r="C1839" i="30004"/>
  <c r="B1839" i="30004" s="1"/>
  <c r="C1838" i="30004"/>
  <c r="B1838" i="30004" s="1"/>
  <c r="C1837" i="30004"/>
  <c r="B1837" i="30004" s="1"/>
  <c r="C1836" i="30004"/>
  <c r="B1836" i="30004" s="1"/>
  <c r="C1835" i="30004"/>
  <c r="B1835" i="30004" s="1"/>
  <c r="C1834" i="30004"/>
  <c r="B1834" i="30004" s="1"/>
  <c r="C1833" i="30004"/>
  <c r="B1833" i="30004" s="1"/>
  <c r="C1832" i="30004"/>
  <c r="B1832" i="30004" s="1"/>
  <c r="C1831" i="30004"/>
  <c r="B1831" i="30004" s="1"/>
  <c r="C1830" i="30004"/>
  <c r="B1830" i="30004" s="1"/>
  <c r="C1829" i="30004"/>
  <c r="B1829" i="30004" s="1"/>
  <c r="C1828" i="30004"/>
  <c r="B1828" i="30004" s="1"/>
  <c r="C1827" i="30004"/>
  <c r="B1827" i="30004" s="1"/>
  <c r="C1826" i="30004"/>
  <c r="B1826" i="30004" s="1"/>
  <c r="C1825" i="30004"/>
  <c r="B1825" i="30004" s="1"/>
  <c r="C1824" i="30004"/>
  <c r="B1824" i="30004" s="1"/>
  <c r="C1823" i="30004"/>
  <c r="B1823" i="30004" s="1"/>
  <c r="C1822" i="30004"/>
  <c r="B1822" i="30004" s="1"/>
  <c r="C1821" i="30004"/>
  <c r="B1821" i="30004" s="1"/>
  <c r="C1820" i="30004"/>
  <c r="B1820" i="30004" s="1"/>
  <c r="C1819" i="30004"/>
  <c r="B1819" i="30004" s="1"/>
  <c r="C1818" i="30004"/>
  <c r="B1818" i="30004" s="1"/>
  <c r="C1817" i="30004"/>
  <c r="B1817" i="30004" s="1"/>
  <c r="C1816" i="30004"/>
  <c r="B1816" i="30004" s="1"/>
  <c r="C1815" i="30004"/>
  <c r="B1815" i="30004" s="1"/>
  <c r="C1814" i="30004"/>
  <c r="B1814" i="30004" s="1"/>
  <c r="C1813" i="30004"/>
  <c r="B1813" i="30004" s="1"/>
  <c r="C1812" i="30004"/>
  <c r="B1812" i="30004" s="1"/>
  <c r="C1811" i="30004"/>
  <c r="B1811" i="30004" s="1"/>
  <c r="C1810" i="30004"/>
  <c r="B1810" i="30004" s="1"/>
  <c r="C1809" i="30004"/>
  <c r="B1809" i="30004" s="1"/>
  <c r="C1808" i="30004"/>
  <c r="B1808" i="30004" s="1"/>
  <c r="C1807" i="30004"/>
  <c r="B1807" i="30004" s="1"/>
  <c r="C1806" i="30004"/>
  <c r="B1806" i="30004" s="1"/>
  <c r="C1805" i="30004"/>
  <c r="B1805" i="30004" s="1"/>
  <c r="C1804" i="30004"/>
  <c r="B1804" i="30004" s="1"/>
  <c r="C1803" i="30004"/>
  <c r="B1803" i="30004" s="1"/>
  <c r="C1802" i="30004"/>
  <c r="B1802" i="30004" s="1"/>
  <c r="C1801" i="30004"/>
  <c r="B1801" i="30004" s="1"/>
  <c r="C1800" i="30004"/>
  <c r="B1800" i="30004" s="1"/>
  <c r="C1799" i="30004"/>
  <c r="B1799" i="30004" s="1"/>
  <c r="C1798" i="30004"/>
  <c r="B1798" i="30004" s="1"/>
  <c r="C1797" i="30004"/>
  <c r="B1797" i="30004" s="1"/>
  <c r="C1796" i="30004"/>
  <c r="B1796" i="30004" s="1"/>
  <c r="C1795" i="30004"/>
  <c r="B1795" i="30004" s="1"/>
  <c r="C1794" i="30004"/>
  <c r="B1794" i="30004" s="1"/>
  <c r="C1793" i="30004"/>
  <c r="B1793" i="30004" s="1"/>
  <c r="C1792" i="30004"/>
  <c r="B1792" i="30004" s="1"/>
  <c r="C1791" i="30004"/>
  <c r="B1791" i="30004" s="1"/>
  <c r="C1790" i="30004"/>
  <c r="B1790" i="30004" s="1"/>
  <c r="C1789" i="30004"/>
  <c r="B1789" i="30004" s="1"/>
  <c r="C1788" i="30004"/>
  <c r="B1788" i="30004" s="1"/>
  <c r="C1787" i="30004"/>
  <c r="B1787" i="30004" s="1"/>
  <c r="C1786" i="30004"/>
  <c r="B1786" i="30004" s="1"/>
  <c r="C1785" i="30004"/>
  <c r="B1785" i="30004" s="1"/>
  <c r="C1784" i="30004"/>
  <c r="B1784" i="30004" s="1"/>
  <c r="C1783" i="30004"/>
  <c r="B1783" i="30004" s="1"/>
  <c r="C1782" i="30004"/>
  <c r="B1782" i="30004" s="1"/>
  <c r="C1781" i="30004"/>
  <c r="B1781" i="30004" s="1"/>
  <c r="C1780" i="30004"/>
  <c r="B1780" i="30004" s="1"/>
  <c r="C1779" i="30004"/>
  <c r="B1779" i="30004" s="1"/>
  <c r="C1778" i="30004"/>
  <c r="B1778" i="30004" s="1"/>
  <c r="C1777" i="30004"/>
  <c r="B1777" i="30004" s="1"/>
  <c r="C1776" i="30004"/>
  <c r="B1776" i="30004" s="1"/>
  <c r="C1775" i="30004"/>
  <c r="B1775" i="30004" s="1"/>
  <c r="C1774" i="30004"/>
  <c r="B1774" i="30004" s="1"/>
  <c r="C1773" i="30004"/>
  <c r="B1773" i="30004" s="1"/>
  <c r="C1772" i="30004"/>
  <c r="B1772" i="30004" s="1"/>
  <c r="C1771" i="30004"/>
  <c r="B1771" i="30004" s="1"/>
  <c r="C1770" i="30004"/>
  <c r="B1770" i="30004" s="1"/>
  <c r="C1769" i="30004"/>
  <c r="B1769" i="30004" s="1"/>
  <c r="C1768" i="30004"/>
  <c r="B1768" i="30004" s="1"/>
  <c r="C1767" i="30004"/>
  <c r="B1767" i="30004" s="1"/>
  <c r="C1766" i="30004"/>
  <c r="B1766" i="30004" s="1"/>
  <c r="C1765" i="30004"/>
  <c r="B1765" i="30004" s="1"/>
  <c r="C1764" i="30004"/>
  <c r="B1764" i="30004" s="1"/>
  <c r="C1763" i="30004"/>
  <c r="B1763" i="30004" s="1"/>
  <c r="C1762" i="30004"/>
  <c r="B1762" i="30004" s="1"/>
  <c r="C1761" i="30004"/>
  <c r="B1761" i="30004" s="1"/>
  <c r="C1760" i="30004"/>
  <c r="B1760" i="30004" s="1"/>
  <c r="C1759" i="30004"/>
  <c r="B1759" i="30004" s="1"/>
  <c r="C1758" i="30004"/>
  <c r="B1758" i="30004" s="1"/>
  <c r="C1757" i="30004"/>
  <c r="B1757" i="30004" s="1"/>
  <c r="C1756" i="30004"/>
  <c r="B1756" i="30004" s="1"/>
  <c r="C1755" i="30004"/>
  <c r="B1755" i="30004" s="1"/>
  <c r="C676" i="29960"/>
  <c r="C552" i="29960"/>
  <c r="C678" i="29960"/>
  <c r="C403" i="29960"/>
  <c r="C551" i="29960"/>
  <c r="C547" i="29960"/>
  <c r="CB9" i="30103" l="1"/>
  <c r="CB10" i="30103"/>
  <c r="AV14" i="30104"/>
  <c r="AU14" i="30104"/>
  <c r="AN14" i="30104"/>
  <c r="AW14" i="30104"/>
  <c r="AO14" i="30104"/>
  <c r="AS14" i="30104"/>
  <c r="AR14" i="30104"/>
  <c r="AQ14" i="30104"/>
  <c r="AP14" i="30104"/>
  <c r="AT14" i="30104"/>
  <c r="AW12" i="30104"/>
  <c r="AP12" i="30104"/>
  <c r="AV12" i="30104"/>
  <c r="AU12" i="30104"/>
  <c r="AO12" i="30104"/>
  <c r="AT12" i="30104"/>
  <c r="AS12" i="30104"/>
  <c r="AR12" i="30104"/>
  <c r="AQ12" i="30104"/>
  <c r="AN12" i="30104"/>
  <c r="AS7" i="30104"/>
  <c r="AT7" i="30104"/>
  <c r="AQ7" i="30104"/>
  <c r="AN7" i="30104"/>
  <c r="AU7" i="30104"/>
  <c r="AO7" i="30104"/>
  <c r="AW7" i="30104"/>
  <c r="AV7" i="30104"/>
  <c r="AR7" i="30104"/>
  <c r="AP7" i="30104"/>
  <c r="AN8" i="30104"/>
  <c r="AP8" i="30104"/>
  <c r="AT8" i="30104"/>
  <c r="AR8" i="30104"/>
  <c r="AU8" i="30104"/>
  <c r="AS8" i="30104"/>
  <c r="AV8" i="30104"/>
  <c r="AQ8" i="30104"/>
  <c r="AO8" i="30104"/>
  <c r="AW8" i="30104"/>
  <c r="AR11" i="30104"/>
  <c r="AN11" i="30104"/>
  <c r="AW11" i="30104"/>
  <c r="AP11" i="30104"/>
  <c r="AO11" i="30104"/>
  <c r="AS11" i="30104"/>
  <c r="AQ11" i="30104"/>
  <c r="AT11" i="30104"/>
  <c r="AU11" i="30104"/>
  <c r="AV11" i="30104"/>
  <c r="AU9" i="30104"/>
  <c r="AP9" i="30104"/>
  <c r="AN9" i="30104"/>
  <c r="AW9" i="30104"/>
  <c r="AO9" i="30104"/>
  <c r="AT9" i="30104"/>
  <c r="AR9" i="30104"/>
  <c r="AV9" i="30104"/>
  <c r="AQ9" i="30104"/>
  <c r="AS9" i="30104"/>
  <c r="AS13" i="30104"/>
  <c r="AQ13" i="30104"/>
  <c r="AV13" i="30104"/>
  <c r="AR13" i="30104"/>
  <c r="AO13" i="30104"/>
  <c r="AU13" i="30104"/>
  <c r="AN13" i="30104"/>
  <c r="AT13" i="30104"/>
  <c r="AP13" i="30104"/>
  <c r="AW13" i="30104"/>
  <c r="AW10" i="30104"/>
  <c r="AR10" i="30104"/>
  <c r="AN10" i="30104"/>
  <c r="AU10" i="30104"/>
  <c r="AQ10" i="30104"/>
  <c r="AP10" i="30104"/>
  <c r="AT10" i="30104"/>
  <c r="AS10" i="30104"/>
  <c r="AV10" i="30104"/>
  <c r="AO10" i="30104"/>
  <c r="CB13" i="30103"/>
  <c r="CB14" i="30103"/>
  <c r="A28" i="30019"/>
  <c r="AD27" i="30019"/>
  <c r="V27" i="30019"/>
  <c r="W27" i="30019"/>
  <c r="A44" i="30019"/>
  <c r="AD43" i="30019"/>
  <c r="V43" i="30019"/>
  <c r="W43" i="30019"/>
  <c r="A20" i="30019"/>
  <c r="AD19" i="30019"/>
  <c r="V19" i="30019"/>
  <c r="W19" i="30019"/>
  <c r="AD35" i="30019"/>
  <c r="A36" i="30019"/>
  <c r="V35" i="30019"/>
  <c r="W35" i="30019"/>
  <c r="D2" i="30049"/>
  <c r="B80" i="29960"/>
  <c r="B78" i="29960"/>
  <c r="CB10" i="30104" l="1"/>
  <c r="CB8" i="30104"/>
  <c r="BP13" i="30104"/>
  <c r="BS13" i="30104"/>
  <c r="BK13" i="30104"/>
  <c r="BQ13" i="30104"/>
  <c r="BN13" i="30104"/>
  <c r="BV13" i="30104"/>
  <c r="CA13" i="30104"/>
  <c r="BI13" i="30104"/>
  <c r="BH13" i="30104"/>
  <c r="BM13" i="30104"/>
  <c r="BO13" i="30104"/>
  <c r="BW13" i="30104"/>
  <c r="BR13" i="30104"/>
  <c r="BM10" i="30104"/>
  <c r="BW10" i="30104"/>
  <c r="CA10" i="30104"/>
  <c r="BN10" i="30104"/>
  <c r="BI10" i="30104"/>
  <c r="BK10" i="30104"/>
  <c r="BS10" i="30104"/>
  <c r="BR10" i="30104"/>
  <c r="BH10" i="30104"/>
  <c r="BV10" i="30104"/>
  <c r="BQ10" i="30104"/>
  <c r="BP10" i="30104"/>
  <c r="BO10" i="30104"/>
  <c r="BP9" i="30104"/>
  <c r="BN9" i="30104"/>
  <c r="BQ9" i="30104"/>
  <c r="BS9" i="30104"/>
  <c r="BR9" i="30104"/>
  <c r="BK9" i="30104"/>
  <c r="BO9" i="30104"/>
  <c r="BV9" i="30104"/>
  <c r="BW9" i="30104"/>
  <c r="CA9" i="30104"/>
  <c r="BH9" i="30104"/>
  <c r="BI9" i="30104"/>
  <c r="BM9" i="30104"/>
  <c r="BN8" i="30104"/>
  <c r="BK8" i="30104"/>
  <c r="BO8" i="30104"/>
  <c r="BV8" i="30104"/>
  <c r="BH8" i="30104"/>
  <c r="BI8" i="30104"/>
  <c r="BP8" i="30104"/>
  <c r="BM8" i="30104"/>
  <c r="CA8" i="30104"/>
  <c r="BW8" i="30104"/>
  <c r="BS8" i="30104"/>
  <c r="BQ8" i="30104"/>
  <c r="BR8" i="30104"/>
  <c r="BW12" i="30104"/>
  <c r="BH12" i="30104"/>
  <c r="BV12" i="30104"/>
  <c r="CA12" i="30104"/>
  <c r="BO12" i="30104"/>
  <c r="BS12" i="30104"/>
  <c r="BP12" i="30104"/>
  <c r="BM12" i="30104"/>
  <c r="BI12" i="30104"/>
  <c r="BK12" i="30104"/>
  <c r="BN12" i="30104"/>
  <c r="BR12" i="30104"/>
  <c r="BQ12" i="30104"/>
  <c r="CB9" i="30104"/>
  <c r="BV11" i="30104"/>
  <c r="BM11" i="30104"/>
  <c r="BR11" i="30104"/>
  <c r="CA11" i="30104"/>
  <c r="BQ11" i="30104"/>
  <c r="BP11" i="30104"/>
  <c r="BW11" i="30104"/>
  <c r="BS11" i="30104"/>
  <c r="BO11" i="30104"/>
  <c r="BK11" i="30104"/>
  <c r="BI11" i="30104"/>
  <c r="BH11" i="30104"/>
  <c r="BN11" i="30104"/>
  <c r="BP14" i="30104"/>
  <c r="BV14" i="30104"/>
  <c r="BS14" i="30104"/>
  <c r="BN14" i="30104"/>
  <c r="CA14" i="30104"/>
  <c r="BQ14" i="30104"/>
  <c r="BM14" i="30104"/>
  <c r="BH14" i="30104"/>
  <c r="BO14" i="30104"/>
  <c r="BI14" i="30104"/>
  <c r="BK14" i="30104"/>
  <c r="BW14" i="30104"/>
  <c r="BR14" i="30104"/>
  <c r="CB12" i="30104"/>
  <c r="CB13" i="30104"/>
  <c r="CB14" i="30104"/>
  <c r="CB11" i="30104"/>
  <c r="BR7" i="30104"/>
  <c r="BO7" i="30104"/>
  <c r="BH7" i="30104"/>
  <c r="BI7" i="30104"/>
  <c r="CA7" i="30104"/>
  <c r="BS7" i="30104"/>
  <c r="BV7" i="30104"/>
  <c r="BP7" i="30104"/>
  <c r="BQ7" i="30104"/>
  <c r="BN7" i="30104"/>
  <c r="BK7" i="30104"/>
  <c r="BM7" i="30104"/>
  <c r="BW7" i="30104"/>
  <c r="A37" i="30019"/>
  <c r="AD36" i="30019"/>
  <c r="V36" i="30019"/>
  <c r="W36" i="30019"/>
  <c r="A21" i="30019"/>
  <c r="AD20" i="30019"/>
  <c r="V20" i="30019"/>
  <c r="W20" i="30019"/>
  <c r="AD44" i="30019"/>
  <c r="A45" i="30019"/>
  <c r="V44" i="30019"/>
  <c r="W44" i="30019"/>
  <c r="A29" i="30019"/>
  <c r="AD28" i="30019"/>
  <c r="V28" i="30019"/>
  <c r="W28" i="30019"/>
  <c r="C287" i="30049"/>
  <c r="C246" i="30049"/>
  <c r="C245" i="30049"/>
  <c r="C244" i="30049"/>
  <c r="C243" i="30049"/>
  <c r="C242" i="30049"/>
  <c r="C241" i="30049"/>
  <c r="C240" i="30049"/>
  <c r="C239" i="30049"/>
  <c r="C238" i="30049"/>
  <c r="C237" i="30049"/>
  <c r="C236" i="30049"/>
  <c r="C235" i="30049"/>
  <c r="C234" i="30049"/>
  <c r="C233" i="30049"/>
  <c r="C232" i="30049"/>
  <c r="C231" i="30049"/>
  <c r="C230" i="30049"/>
  <c r="C229" i="30049"/>
  <c r="C228" i="30049"/>
  <c r="C227" i="30049"/>
  <c r="C226" i="30049"/>
  <c r="C225" i="30049"/>
  <c r="C224" i="30049"/>
  <c r="C223" i="30049"/>
  <c r="C222" i="30049"/>
  <c r="C221" i="30049"/>
  <c r="C220" i="30049"/>
  <c r="C219" i="30049"/>
  <c r="C218" i="30049"/>
  <c r="C217" i="30049"/>
  <c r="C216" i="30049"/>
  <c r="C215" i="30049"/>
  <c r="C214" i="30049"/>
  <c r="C213" i="30049"/>
  <c r="C212" i="30049"/>
  <c r="C211" i="30049"/>
  <c r="C210" i="30049"/>
  <c r="C209" i="30049"/>
  <c r="C208" i="30049"/>
  <c r="C207" i="30049"/>
  <c r="C206" i="30049"/>
  <c r="C205" i="30049"/>
  <c r="C204" i="30049"/>
  <c r="C203" i="30049"/>
  <c r="C202" i="30049"/>
  <c r="C201" i="30049"/>
  <c r="C200" i="30049"/>
  <c r="C199" i="30049"/>
  <c r="C198" i="30049"/>
  <c r="C197" i="30049"/>
  <c r="C196" i="30049"/>
  <c r="C195" i="30049"/>
  <c r="C194" i="30049"/>
  <c r="C193" i="30049"/>
  <c r="C192" i="30049"/>
  <c r="C191" i="30049"/>
  <c r="C190" i="30049"/>
  <c r="C189" i="30049"/>
  <c r="C188" i="30049"/>
  <c r="C187" i="30049"/>
  <c r="C186" i="30049"/>
  <c r="C185" i="30049"/>
  <c r="C184" i="30049"/>
  <c r="C183" i="30049"/>
  <c r="C182" i="30049"/>
  <c r="C181" i="30049"/>
  <c r="C180" i="30049"/>
  <c r="C179" i="30049"/>
  <c r="C178" i="30049"/>
  <c r="C177" i="30049"/>
  <c r="C176" i="30049"/>
  <c r="C175" i="30049"/>
  <c r="C174" i="30049"/>
  <c r="C173" i="30049"/>
  <c r="C172" i="30049"/>
  <c r="C171" i="30049"/>
  <c r="C170" i="30049"/>
  <c r="C169" i="30049"/>
  <c r="C168" i="30049"/>
  <c r="C167" i="30049"/>
  <c r="C166" i="30049"/>
  <c r="C165" i="30049"/>
  <c r="C164" i="30049"/>
  <c r="C163" i="30049"/>
  <c r="C162" i="30049"/>
  <c r="C161" i="30049"/>
  <c r="C160" i="30049"/>
  <c r="C159" i="30049"/>
  <c r="C158" i="30049"/>
  <c r="C157" i="30049"/>
  <c r="C156" i="30049"/>
  <c r="C155" i="30049"/>
  <c r="C154" i="30049"/>
  <c r="C153" i="30049"/>
  <c r="C152" i="30049"/>
  <c r="C151" i="30049"/>
  <c r="C150" i="30049"/>
  <c r="C149" i="30049"/>
  <c r="C148" i="30049"/>
  <c r="C147" i="30049"/>
  <c r="C146" i="30049"/>
  <c r="C145" i="30049"/>
  <c r="C144" i="30049"/>
  <c r="C143" i="30049"/>
  <c r="C142" i="30049"/>
  <c r="C141" i="30049"/>
  <c r="C140" i="30049"/>
  <c r="C139" i="30049"/>
  <c r="C138" i="30049"/>
  <c r="C137" i="30049"/>
  <c r="C136" i="30049"/>
  <c r="C135" i="30049"/>
  <c r="C134" i="30049"/>
  <c r="C133" i="30049"/>
  <c r="C132" i="30049"/>
  <c r="C131" i="30049"/>
  <c r="C130" i="30049"/>
  <c r="C129" i="30049"/>
  <c r="C128" i="30049"/>
  <c r="C127" i="30049"/>
  <c r="C126" i="30049"/>
  <c r="C125" i="30049"/>
  <c r="C124" i="30049"/>
  <c r="C123" i="30049"/>
  <c r="C122" i="30049"/>
  <c r="C121" i="30049"/>
  <c r="C120" i="30049"/>
  <c r="C119" i="30049"/>
  <c r="C118" i="30049"/>
  <c r="C117" i="30049"/>
  <c r="C116" i="30049"/>
  <c r="C115" i="30049"/>
  <c r="C114" i="30049"/>
  <c r="C113" i="30049"/>
  <c r="C112" i="30049"/>
  <c r="C111" i="30049"/>
  <c r="C110" i="30049"/>
  <c r="C109" i="30049"/>
  <c r="C108" i="30049"/>
  <c r="C107" i="30049"/>
  <c r="C106" i="30049"/>
  <c r="C105" i="30049"/>
  <c r="C104" i="30049"/>
  <c r="C103" i="30049"/>
  <c r="C102" i="30049"/>
  <c r="C101" i="30049"/>
  <c r="C100" i="30049"/>
  <c r="C99" i="30049"/>
  <c r="C98" i="30049"/>
  <c r="C97" i="30049"/>
  <c r="C96" i="30049"/>
  <c r="C95" i="30049"/>
  <c r="C94" i="30049"/>
  <c r="C93" i="30049"/>
  <c r="C92" i="30049"/>
  <c r="C91" i="30049"/>
  <c r="C90" i="30049"/>
  <c r="C89" i="30049"/>
  <c r="C88" i="30049"/>
  <c r="C87" i="30049"/>
  <c r="C86" i="30049"/>
  <c r="C85" i="30049"/>
  <c r="C84" i="30049"/>
  <c r="C83" i="30049"/>
  <c r="C82" i="30049"/>
  <c r="C81" i="30049"/>
  <c r="C80" i="30049"/>
  <c r="C79" i="30049"/>
  <c r="C78" i="30049"/>
  <c r="C77" i="30049"/>
  <c r="C76" i="30049"/>
  <c r="C75" i="30049"/>
  <c r="C74" i="30049"/>
  <c r="C73" i="30049"/>
  <c r="C72" i="30049"/>
  <c r="C71" i="30049"/>
  <c r="C70" i="30049"/>
  <c r="C69" i="30049"/>
  <c r="C68" i="30049"/>
  <c r="C67" i="30049"/>
  <c r="C66" i="30049"/>
  <c r="C65" i="30049"/>
  <c r="C64" i="30049"/>
  <c r="C63" i="30049"/>
  <c r="C62" i="30049"/>
  <c r="C61" i="30049"/>
  <c r="C60" i="30049"/>
  <c r="C59" i="30049"/>
  <c r="C58" i="30049"/>
  <c r="C57" i="30049"/>
  <c r="C56" i="30049"/>
  <c r="C55" i="30049"/>
  <c r="C54" i="30049"/>
  <c r="C53" i="30049"/>
  <c r="C52" i="30049"/>
  <c r="C51" i="30049"/>
  <c r="C50" i="30049"/>
  <c r="C49" i="30049"/>
  <c r="C48" i="30049"/>
  <c r="C47" i="30049"/>
  <c r="C46" i="30049"/>
  <c r="C45" i="30049"/>
  <c r="C44" i="30049"/>
  <c r="C43" i="30049"/>
  <c r="C42" i="30049"/>
  <c r="C41" i="30049"/>
  <c r="C40" i="30049"/>
  <c r="C39" i="30049"/>
  <c r="C38" i="30049"/>
  <c r="C37" i="30049"/>
  <c r="C36" i="30049"/>
  <c r="C35" i="30049"/>
  <c r="C34" i="30049"/>
  <c r="C33" i="30049"/>
  <c r="C32" i="30049"/>
  <c r="C31" i="30049"/>
  <c r="C30" i="30049"/>
  <c r="C29" i="30049"/>
  <c r="C28" i="30049"/>
  <c r="C27" i="30049"/>
  <c r="C26" i="30049"/>
  <c r="C25" i="30049"/>
  <c r="C24" i="30049"/>
  <c r="C23" i="30049"/>
  <c r="C22" i="30049"/>
  <c r="C21" i="30049"/>
  <c r="C20" i="30049"/>
  <c r="C19" i="30049"/>
  <c r="C18" i="30049"/>
  <c r="C17" i="30049"/>
  <c r="C16" i="30049"/>
  <c r="C15" i="30049"/>
  <c r="C14" i="30049"/>
  <c r="C13" i="30049"/>
  <c r="C12" i="30049"/>
  <c r="C11" i="30049"/>
  <c r="C10" i="30049"/>
  <c r="C9" i="30049"/>
  <c r="C8" i="30049"/>
  <c r="C7" i="30049"/>
  <c r="A30" i="30019" l="1"/>
  <c r="AD29" i="30019"/>
  <c r="V29" i="30019"/>
  <c r="W29" i="30019"/>
  <c r="AD21" i="30019"/>
  <c r="V21" i="30019"/>
  <c r="W21" i="30019"/>
  <c r="A46" i="30019"/>
  <c r="AD45" i="30019"/>
  <c r="V45" i="30019"/>
  <c r="W45" i="30019"/>
  <c r="A38" i="30019"/>
  <c r="AD37" i="30019"/>
  <c r="V37" i="30019"/>
  <c r="W37" i="30019"/>
  <c r="B89" i="29960"/>
  <c r="F6" i="30004" s="1"/>
  <c r="C89" i="29960"/>
  <c r="A47" i="30019" l="1"/>
  <c r="AD46" i="30019"/>
  <c r="V46" i="30019"/>
  <c r="W46" i="30019"/>
  <c r="A39" i="30019"/>
  <c r="AD38" i="30019"/>
  <c r="V38" i="30019"/>
  <c r="W38" i="30019"/>
  <c r="AD30" i="30019"/>
  <c r="V30" i="30019"/>
  <c r="W30" i="30019"/>
  <c r="C6" i="29955"/>
  <c r="B659" i="29960"/>
  <c r="B660" i="29960"/>
  <c r="C660" i="29960"/>
  <c r="C659" i="29960"/>
  <c r="A48" i="30019" l="1"/>
  <c r="AD47" i="30019"/>
  <c r="V47" i="30019"/>
  <c r="W47" i="30019"/>
  <c r="AD39" i="30019"/>
  <c r="V39" i="30019"/>
  <c r="W39" i="30019"/>
  <c r="B730" i="29960"/>
  <c r="B732" i="29960"/>
  <c r="C730" i="29960"/>
  <c r="C732" i="29960"/>
  <c r="AD48" i="30019" l="1"/>
  <c r="V48" i="30019"/>
  <c r="W48" i="30019"/>
  <c r="B4036" i="29955"/>
  <c r="B4035" i="29955"/>
  <c r="B4034" i="29955"/>
  <c r="B4033" i="29955"/>
  <c r="B4032" i="29955"/>
  <c r="B4031" i="29955"/>
  <c r="B4030" i="29955"/>
  <c r="C1411" i="30004" l="1"/>
  <c r="B1411" i="30004" s="1"/>
  <c r="C1412" i="30004"/>
  <c r="B1412" i="30004" s="1"/>
  <c r="C1413" i="30004"/>
  <c r="B1413" i="30004" s="1"/>
  <c r="C1414" i="30004"/>
  <c r="B1414" i="30004" s="1"/>
  <c r="C1415" i="30004"/>
  <c r="B1415" i="30004" s="1"/>
  <c r="C1416" i="30004"/>
  <c r="B1416" i="30004" s="1"/>
  <c r="C1417" i="30004"/>
  <c r="B1417" i="30004" s="1"/>
  <c r="C1418" i="30004"/>
  <c r="B1418" i="30004" s="1"/>
  <c r="C1484" i="30004"/>
  <c r="B1484" i="30004" s="1"/>
  <c r="C1485" i="30004"/>
  <c r="B1485" i="30004" s="1"/>
  <c r="C1486" i="30004"/>
  <c r="B1486" i="30004" s="1"/>
  <c r="C1487" i="30004"/>
  <c r="B1487" i="30004" s="1"/>
  <c r="C1488" i="30004"/>
  <c r="B1488" i="30004" s="1"/>
  <c r="C105" i="30004"/>
  <c r="B105" i="30004" s="1"/>
  <c r="C106" i="30004"/>
  <c r="B106" i="30004" s="1"/>
  <c r="C107" i="30004"/>
  <c r="B107" i="30004" s="1"/>
  <c r="C108" i="30004"/>
  <c r="B108" i="30004" s="1"/>
  <c r="C109" i="30004"/>
  <c r="B109" i="30004" s="1"/>
  <c r="C110" i="30004"/>
  <c r="B110" i="30004" s="1"/>
  <c r="C111" i="30004"/>
  <c r="B111" i="30004" s="1"/>
  <c r="C1448" i="30004"/>
  <c r="B1448" i="30004" s="1"/>
  <c r="C1449" i="30004"/>
  <c r="B1449" i="30004" s="1"/>
  <c r="C1450" i="30004"/>
  <c r="B1450" i="30004" s="1"/>
  <c r="C1451" i="30004"/>
  <c r="B1451" i="30004" s="1"/>
  <c r="C1452" i="30004"/>
  <c r="B1452" i="30004" s="1"/>
  <c r="C1453" i="30004"/>
  <c r="B1453" i="30004" s="1"/>
  <c r="C1454" i="30004"/>
  <c r="B1454" i="30004" s="1"/>
  <c r="C1455" i="30004"/>
  <c r="B1455" i="30004" s="1"/>
  <c r="C1456" i="30004"/>
  <c r="B1456" i="30004" s="1"/>
  <c r="C1457" i="30004"/>
  <c r="B1457" i="30004" s="1"/>
  <c r="C1458" i="30004"/>
  <c r="B1458" i="30004" s="1"/>
  <c r="C1459" i="30004"/>
  <c r="B1459" i="30004" s="1"/>
  <c r="C1460" i="30004"/>
  <c r="B1460" i="30004" s="1"/>
  <c r="C1461" i="30004"/>
  <c r="B1461" i="30004" s="1"/>
  <c r="C1462" i="30004"/>
  <c r="B1462" i="30004" s="1"/>
  <c r="C1463" i="30004"/>
  <c r="B1463" i="30004" s="1"/>
  <c r="C1464" i="30004"/>
  <c r="B1464" i="30004" s="1"/>
  <c r="C1465" i="30004"/>
  <c r="B1465" i="30004" s="1"/>
  <c r="C1466" i="30004"/>
  <c r="B1466" i="30004" s="1"/>
  <c r="C1467" i="30004"/>
  <c r="B1467" i="30004" s="1"/>
  <c r="C1468" i="30004"/>
  <c r="B1468" i="30004" s="1"/>
  <c r="C1469" i="30004"/>
  <c r="B1469" i="30004" s="1"/>
  <c r="C1470" i="30004"/>
  <c r="B1470" i="30004" s="1"/>
  <c r="C1471" i="30004"/>
  <c r="B1471" i="30004" s="1"/>
  <c r="C1472" i="30004"/>
  <c r="B1472" i="30004" s="1"/>
  <c r="C1473" i="30004"/>
  <c r="B1473" i="30004" s="1"/>
  <c r="C1474" i="30004"/>
  <c r="B1474" i="30004" s="1"/>
  <c r="C1475" i="30004"/>
  <c r="B1475" i="30004" s="1"/>
  <c r="C1476" i="30004"/>
  <c r="B1476" i="30004" s="1"/>
  <c r="C1477" i="30004"/>
  <c r="B1477" i="30004" s="1"/>
  <c r="C1546" i="30004"/>
  <c r="B1546" i="30004" s="1"/>
  <c r="C1609" i="30004"/>
  <c r="B1609" i="30004" s="1"/>
  <c r="C1610" i="30004"/>
  <c r="B1610" i="30004" s="1"/>
  <c r="C1611" i="30004"/>
  <c r="B1611" i="30004" s="1"/>
  <c r="C1612" i="30004"/>
  <c r="B1612" i="30004" s="1"/>
  <c r="C1613" i="30004"/>
  <c r="B1613" i="30004" s="1"/>
  <c r="C1682" i="30004"/>
  <c r="B1682" i="30004" s="1"/>
  <c r="C1683" i="30004"/>
  <c r="B1683" i="30004" s="1"/>
  <c r="C1684" i="30004"/>
  <c r="B1684" i="30004" s="1"/>
  <c r="C1547" i="30004"/>
  <c r="B1547" i="30004" s="1"/>
  <c r="C1548" i="30004"/>
  <c r="B1548" i="30004" s="1"/>
  <c r="C1549" i="30004"/>
  <c r="B1549" i="30004" s="1"/>
  <c r="C1550" i="30004"/>
  <c r="B1550" i="30004" s="1"/>
  <c r="C1551" i="30004"/>
  <c r="B1551" i="30004" s="1"/>
  <c r="C1552" i="30004"/>
  <c r="B1552" i="30004" s="1"/>
  <c r="C1274" i="30004"/>
  <c r="B1274" i="30004" s="1"/>
  <c r="C1275" i="30004"/>
  <c r="B1275" i="30004" s="1"/>
  <c r="C1276" i="30004"/>
  <c r="B1276" i="30004" s="1"/>
  <c r="C1277" i="30004"/>
  <c r="B1277" i="30004" s="1"/>
  <c r="C1278" i="30004"/>
  <c r="B1278" i="30004" s="1"/>
  <c r="C1752" i="30004"/>
  <c r="B1752" i="30004" s="1"/>
  <c r="C1753" i="30004"/>
  <c r="B1753" i="30004" s="1"/>
  <c r="C1754" i="30004"/>
  <c r="B1754" i="30004" s="1"/>
  <c r="C2255" i="30004"/>
  <c r="B4029" i="29955" l="1"/>
  <c r="B4028" i="29955"/>
  <c r="B4027" i="29955"/>
  <c r="B4026" i="29955"/>
  <c r="B4025" i="29955"/>
  <c r="B4024" i="29955"/>
  <c r="B4023" i="29955"/>
  <c r="G49" i="30019" l="1"/>
  <c r="E49" i="30019"/>
  <c r="E58" i="30019" l="1"/>
  <c r="E67" i="30019" s="1"/>
  <c r="G58" i="30019"/>
  <c r="G67" i="30019" s="1"/>
  <c r="A49" i="30019"/>
  <c r="G76" i="30019" l="1"/>
  <c r="G85" i="30019" s="1"/>
  <c r="G94" i="30019" s="1"/>
  <c r="G103" i="30019" s="1"/>
  <c r="G104" i="30019" s="1"/>
  <c r="E76" i="30019"/>
  <c r="E85" i="30019" s="1"/>
  <c r="E94" i="30019" s="1"/>
  <c r="E103" i="30019" s="1"/>
  <c r="E104" i="30019" s="1"/>
  <c r="A50" i="30019"/>
  <c r="V50" i="30019" s="1"/>
  <c r="A58" i="30019"/>
  <c r="A67" i="30019" s="1"/>
  <c r="A51" i="30019" l="1"/>
  <c r="W51" i="30019" s="1"/>
  <c r="AD50" i="30019"/>
  <c r="W50" i="30019"/>
  <c r="E47" i="19124"/>
  <c r="E46" i="19124"/>
  <c r="E45" i="19124"/>
  <c r="E44" i="19124"/>
  <c r="E43" i="19124"/>
  <c r="E42" i="19124"/>
  <c r="A52" i="30019" l="1"/>
  <c r="A53" i="30019" s="1"/>
  <c r="V51" i="30019"/>
  <c r="AD51" i="30019"/>
  <c r="H47" i="19124"/>
  <c r="E38" i="19124"/>
  <c r="B4022" i="29955"/>
  <c r="B4021" i="29955"/>
  <c r="E41" i="19124"/>
  <c r="E40" i="19124"/>
  <c r="E39" i="19124"/>
  <c r="E37" i="19124"/>
  <c r="E36" i="19124"/>
  <c r="E35" i="19124"/>
  <c r="E34" i="19124"/>
  <c r="E33" i="19124"/>
  <c r="E32" i="19124"/>
  <c r="E31" i="19124"/>
  <c r="E30" i="19124"/>
  <c r="E29" i="19124"/>
  <c r="E28" i="19124"/>
  <c r="E27" i="19124"/>
  <c r="E26" i="19124"/>
  <c r="E25" i="19124"/>
  <c r="E24" i="19124"/>
  <c r="W52" i="30019" l="1"/>
  <c r="V52" i="30019"/>
  <c r="AD52" i="30019"/>
  <c r="AD53" i="30019"/>
  <c r="A54" i="30019"/>
  <c r="V53" i="30019"/>
  <c r="W53" i="30019"/>
  <c r="B721" i="29960"/>
  <c r="B720" i="29960"/>
  <c r="C720" i="29960"/>
  <c r="C721" i="29960"/>
  <c r="A55" i="30019" l="1"/>
  <c r="AD54" i="30019"/>
  <c r="V54" i="30019"/>
  <c r="W54" i="30019"/>
  <c r="B653" i="29960"/>
  <c r="B554" i="29960"/>
  <c r="B408" i="29960"/>
  <c r="B392" i="29960"/>
  <c r="B390" i="29960"/>
  <c r="C653" i="29960"/>
  <c r="C554" i="29960"/>
  <c r="C390" i="29960"/>
  <c r="C408" i="29960"/>
  <c r="C392" i="29960"/>
  <c r="A59" i="30019" l="1"/>
  <c r="A56" i="30019"/>
  <c r="AD55" i="30019"/>
  <c r="V55" i="30019"/>
  <c r="W55" i="30019"/>
  <c r="B246" i="30049"/>
  <c r="B245" i="30049"/>
  <c r="B244" i="30049"/>
  <c r="B243" i="30049"/>
  <c r="B242" i="30049"/>
  <c r="B241" i="30049"/>
  <c r="B240" i="30049"/>
  <c r="B239" i="30049"/>
  <c r="B238" i="30049"/>
  <c r="B237" i="30049"/>
  <c r="B236" i="30049"/>
  <c r="B235" i="30049"/>
  <c r="B234" i="30049"/>
  <c r="B233" i="30049"/>
  <c r="B232" i="30049"/>
  <c r="B231" i="30049"/>
  <c r="B230" i="30049"/>
  <c r="B229" i="30049"/>
  <c r="B228" i="30049"/>
  <c r="B227" i="30049"/>
  <c r="V59" i="30019" l="1"/>
  <c r="W59" i="30019"/>
  <c r="A60" i="30019"/>
  <c r="AD59" i="30019"/>
  <c r="A57" i="30019"/>
  <c r="AD56" i="30019"/>
  <c r="V56" i="30019"/>
  <c r="W56" i="30019"/>
  <c r="B4020" i="29955"/>
  <c r="B4019" i="29955"/>
  <c r="B4018" i="29955"/>
  <c r="B4017" i="29955"/>
  <c r="B4016" i="29955"/>
  <c r="B4015" i="29955"/>
  <c r="B4014" i="29955"/>
  <c r="B4013" i="29955"/>
  <c r="B4012" i="29955"/>
  <c r="B4011" i="29955"/>
  <c r="B4010" i="29955"/>
  <c r="B4009" i="29955"/>
  <c r="B4008" i="29955"/>
  <c r="B4007" i="29955"/>
  <c r="B4006" i="29955"/>
  <c r="B4005" i="29955"/>
  <c r="B4004" i="29955"/>
  <c r="B4003" i="29955"/>
  <c r="B4002" i="29955"/>
  <c r="B4001" i="29955"/>
  <c r="B4000" i="29955"/>
  <c r="B3999" i="29955"/>
  <c r="B3998" i="29955"/>
  <c r="B3997" i="29955"/>
  <c r="B3996" i="29955"/>
  <c r="B3995" i="29955"/>
  <c r="B3994" i="29955"/>
  <c r="B3993" i="29955"/>
  <c r="B3992" i="29955"/>
  <c r="B3991" i="29955"/>
  <c r="B3990" i="29955"/>
  <c r="B3989" i="29955"/>
  <c r="B3988" i="29955"/>
  <c r="B3987" i="29955"/>
  <c r="B3986" i="29955"/>
  <c r="B3985" i="29955"/>
  <c r="B3984" i="29955"/>
  <c r="B3983" i="29955"/>
  <c r="B3982" i="29955"/>
  <c r="B3981" i="29955"/>
  <c r="B3980" i="29955"/>
  <c r="B3979" i="29955"/>
  <c r="A61" i="30019" l="1"/>
  <c r="AD60" i="30019"/>
  <c r="V60" i="30019"/>
  <c r="W60" i="30019"/>
  <c r="AD57" i="30019"/>
  <c r="V57" i="30019"/>
  <c r="W57" i="30019"/>
  <c r="B3978" i="29955"/>
  <c r="AD61" i="30019" l="1"/>
  <c r="V61" i="30019"/>
  <c r="A62" i="30019"/>
  <c r="W61" i="30019"/>
  <c r="B857" i="29960"/>
  <c r="C857" i="29960"/>
  <c r="C586" i="29960"/>
  <c r="A63" i="30019" l="1"/>
  <c r="V62" i="30019"/>
  <c r="AD62" i="30019"/>
  <c r="W62" i="30019"/>
  <c r="B586" i="29960"/>
  <c r="A64" i="30019" l="1"/>
  <c r="AD63" i="30019"/>
  <c r="V63" i="30019"/>
  <c r="W63" i="30019"/>
  <c r="B856" i="29960"/>
  <c r="C856" i="29960"/>
  <c r="Y2" i="8192"/>
  <c r="AD64" i="30019" l="1"/>
  <c r="V64" i="30019"/>
  <c r="W64" i="30019"/>
  <c r="A65" i="30019"/>
  <c r="Y2" i="30041"/>
  <c r="V2" i="29184"/>
  <c r="A66" i="30019" l="1"/>
  <c r="AD65" i="30019"/>
  <c r="V65" i="30019"/>
  <c r="W65" i="30019"/>
  <c r="B45" i="29960"/>
  <c r="B44" i="29960"/>
  <c r="B43" i="29960"/>
  <c r="B42" i="29960"/>
  <c r="C44" i="29960"/>
  <c r="C45" i="29960"/>
  <c r="C42" i="29960"/>
  <c r="C43" i="29960"/>
  <c r="AD66" i="30019" l="1"/>
  <c r="V66" i="30019"/>
  <c r="W66" i="30019"/>
  <c r="G317" i="29957"/>
  <c r="I317" i="29957"/>
  <c r="I321" i="29957"/>
  <c r="I5" i="29957"/>
  <c r="I305" i="29957"/>
  <c r="I173" i="29957"/>
  <c r="I240" i="29957"/>
  <c r="I312" i="29957"/>
  <c r="I275" i="29957"/>
  <c r="I42" i="29957"/>
  <c r="I294" i="29957"/>
  <c r="A77" i="30019" l="1"/>
  <c r="A78" i="30019" s="1"/>
  <c r="B855" i="29960"/>
  <c r="B854" i="29960"/>
  <c r="B851" i="29960"/>
  <c r="B853" i="29960"/>
  <c r="B852" i="29960"/>
  <c r="B850" i="29960"/>
  <c r="C852" i="29960"/>
  <c r="C855" i="29960"/>
  <c r="C853" i="29960"/>
  <c r="C854" i="29960"/>
  <c r="C850" i="29960"/>
  <c r="C851" i="29960"/>
  <c r="W78" i="30019" l="1"/>
  <c r="V78" i="30019"/>
  <c r="AD78" i="30019"/>
  <c r="W77" i="30019"/>
  <c r="AD77" i="30019"/>
  <c r="V77" i="30019"/>
  <c r="B830" i="29960"/>
  <c r="B849" i="29960"/>
  <c r="B848" i="29960"/>
  <c r="B847" i="29960"/>
  <c r="B846" i="29960"/>
  <c r="B845" i="29960"/>
  <c r="B844" i="29960"/>
  <c r="B843" i="29960"/>
  <c r="B842" i="29960"/>
  <c r="B841" i="29960"/>
  <c r="B840" i="29960"/>
  <c r="B839" i="29960"/>
  <c r="B838" i="29960"/>
  <c r="B836" i="29960"/>
  <c r="B834" i="29960"/>
  <c r="B832" i="29960"/>
  <c r="B831" i="29960"/>
  <c r="B829" i="29960"/>
  <c r="C843" i="29960"/>
  <c r="C838" i="29960"/>
  <c r="C842" i="29960"/>
  <c r="C844" i="29960"/>
  <c r="C847" i="29960"/>
  <c r="C839" i="29960"/>
  <c r="C829" i="29960"/>
  <c r="C832" i="29960"/>
  <c r="C841" i="29960"/>
  <c r="C846" i="29960"/>
  <c r="C840" i="29960"/>
  <c r="C849" i="29960"/>
  <c r="C848" i="29960"/>
  <c r="C834" i="29960"/>
  <c r="C836" i="29960"/>
  <c r="C830" i="29960"/>
  <c r="C831" i="29960"/>
  <c r="C845" i="29960"/>
  <c r="B828" i="29960" l="1"/>
  <c r="C828" i="29960"/>
  <c r="B827" i="29960" l="1"/>
  <c r="B826" i="29960"/>
  <c r="B825" i="29960"/>
  <c r="B824" i="29960"/>
  <c r="B823" i="29960"/>
  <c r="B822" i="29960"/>
  <c r="B821" i="29960"/>
  <c r="C821" i="29960"/>
  <c r="C827" i="29960"/>
  <c r="C823" i="29960"/>
  <c r="C825" i="29960"/>
  <c r="C826" i="29960"/>
  <c r="C824" i="29960"/>
  <c r="C822" i="29960"/>
  <c r="B820" i="29960" l="1"/>
  <c r="B819" i="29960"/>
  <c r="B818" i="29960"/>
  <c r="B817" i="29960"/>
  <c r="C817" i="29960"/>
  <c r="C819" i="29960"/>
  <c r="C820" i="29960"/>
  <c r="C818" i="29960"/>
  <c r="B816" i="29960" l="1"/>
  <c r="B815" i="29960"/>
  <c r="C816" i="29960"/>
  <c r="C815" i="29960"/>
  <c r="G4" i="30001" l="1"/>
  <c r="F4" i="30001"/>
  <c r="B814" i="29960" l="1"/>
  <c r="B812" i="29960"/>
  <c r="B813" i="29960" s="1"/>
  <c r="B811" i="29960"/>
  <c r="B800" i="29960"/>
  <c r="B801" i="29960" s="1"/>
  <c r="B809" i="29960"/>
  <c r="B810" i="29960" s="1"/>
  <c r="B808" i="29960"/>
  <c r="B806" i="29960"/>
  <c r="B807" i="29960" s="1"/>
  <c r="B805" i="29960"/>
  <c r="B803" i="29960"/>
  <c r="B804" i="29960" s="1"/>
  <c r="B802" i="29960"/>
  <c r="B740" i="29960"/>
  <c r="E4" i="19124" l="1"/>
  <c r="C65" i="29960"/>
  <c r="C49" i="29960"/>
  <c r="C789" i="29960"/>
  <c r="C804" i="29960"/>
  <c r="C809" i="29960"/>
  <c r="C54" i="29960"/>
  <c r="C677" i="29960"/>
  <c r="C61" i="29960"/>
  <c r="C737" i="29960"/>
  <c r="C757" i="29960"/>
  <c r="C35" i="29960"/>
  <c r="C57" i="29960"/>
  <c r="C53" i="29960"/>
  <c r="C707" i="29960"/>
  <c r="C24" i="29960"/>
  <c r="C3" i="29960"/>
  <c r="C743" i="29960"/>
  <c r="C754" i="29960"/>
  <c r="C744" i="29960"/>
  <c r="C794" i="29960"/>
  <c r="C699" i="29960"/>
  <c r="C714" i="29960"/>
  <c r="C51" i="29960"/>
  <c r="C803" i="29960"/>
  <c r="C698" i="29960"/>
  <c r="C25" i="29960"/>
  <c r="C719" i="29960"/>
  <c r="C785" i="29960"/>
  <c r="C798" i="29960"/>
  <c r="C688" i="29960"/>
  <c r="C29" i="29960"/>
  <c r="C791" i="29960"/>
  <c r="C727" i="29960"/>
  <c r="C690" i="29960"/>
  <c r="C15" i="29960"/>
  <c r="C69" i="29960"/>
  <c r="C731" i="29960"/>
  <c r="C716" i="29960"/>
  <c r="C774" i="29960"/>
  <c r="C679" i="29960"/>
  <c r="C693" i="29960"/>
  <c r="C723" i="29960"/>
  <c r="C807" i="29960"/>
  <c r="C674" i="29960"/>
  <c r="C795" i="29960"/>
  <c r="C18" i="29960"/>
  <c r="C40" i="29960"/>
  <c r="C50" i="29960"/>
  <c r="C684" i="29960"/>
  <c r="C779" i="29960"/>
  <c r="C736" i="29960"/>
  <c r="C8" i="29960"/>
  <c r="C702" i="29960"/>
  <c r="C792" i="29960"/>
  <c r="C38" i="29960"/>
  <c r="C710" i="29960"/>
  <c r="C675" i="29960"/>
  <c r="C28" i="29960"/>
  <c r="C67" i="29960"/>
  <c r="C680" i="29960"/>
  <c r="C708" i="29960"/>
  <c r="C813" i="29960"/>
  <c r="C793" i="29960"/>
  <c r="C713" i="29960"/>
  <c r="C772" i="29960"/>
  <c r="C681" i="29960"/>
  <c r="C667" i="29960"/>
  <c r="C724" i="29960"/>
  <c r="C740" i="29960"/>
  <c r="C811" i="29960"/>
  <c r="C17" i="29960"/>
  <c r="C11" i="29960"/>
  <c r="C712" i="29960"/>
  <c r="C10" i="29960"/>
  <c r="C761" i="29960"/>
  <c r="C756" i="29960"/>
  <c r="C729" i="29960"/>
  <c r="C689" i="29960"/>
  <c r="C22" i="29960"/>
  <c r="C7" i="29960"/>
  <c r="C741" i="29960"/>
  <c r="C4" i="29960"/>
  <c r="C776" i="29960"/>
  <c r="C23" i="29960"/>
  <c r="C722" i="29960"/>
  <c r="C52" i="29960"/>
  <c r="C30" i="29960"/>
  <c r="C802" i="29960"/>
  <c r="C735" i="29960"/>
  <c r="C739" i="29960"/>
  <c r="C14" i="29960"/>
  <c r="C694" i="29960"/>
  <c r="C734" i="29960"/>
  <c r="C59" i="29960"/>
  <c r="C717" i="29960"/>
  <c r="C696" i="29960"/>
  <c r="C671" i="29960"/>
  <c r="C33" i="29960"/>
  <c r="C783" i="29960"/>
  <c r="C769" i="29960"/>
  <c r="C753" i="29960"/>
  <c r="C32" i="29960"/>
  <c r="C733" i="29960"/>
  <c r="C70" i="29960"/>
  <c r="C812" i="29960"/>
  <c r="C771" i="29960"/>
  <c r="C19" i="29960"/>
  <c r="C801" i="29960"/>
  <c r="C752" i="29960"/>
  <c r="C805" i="29960"/>
  <c r="C68" i="29960"/>
  <c r="C669" i="29960"/>
  <c r="C12" i="29960"/>
  <c r="C5" i="29960"/>
  <c r="C697" i="29960"/>
  <c r="C780" i="29960"/>
  <c r="C808" i="29960"/>
  <c r="C31" i="29960"/>
  <c r="C760" i="29960"/>
  <c r="C692" i="29960"/>
  <c r="C672" i="29960"/>
  <c r="C704" i="29960"/>
  <c r="C796" i="29960"/>
  <c r="C747" i="29960"/>
  <c r="C726" i="29960"/>
  <c r="C787" i="29960"/>
  <c r="C790" i="29960"/>
  <c r="C782" i="29960"/>
  <c r="C746" i="29960"/>
  <c r="C37" i="29960"/>
  <c r="C62" i="29960"/>
  <c r="C764" i="29960"/>
  <c r="C775" i="29960"/>
  <c r="C670" i="29960"/>
  <c r="C668" i="29960"/>
  <c r="C758" i="29960"/>
  <c r="C26" i="29960"/>
  <c r="C765" i="29960"/>
  <c r="C749" i="29960"/>
  <c r="C21" i="29960"/>
  <c r="C64" i="29960"/>
  <c r="C706" i="29960"/>
  <c r="C705" i="29960"/>
  <c r="C759" i="29960"/>
  <c r="C800" i="29960"/>
  <c r="C55" i="29960"/>
  <c r="C48" i="29960"/>
  <c r="C63" i="29960"/>
  <c r="C701" i="29960"/>
  <c r="C58" i="29960"/>
  <c r="C691" i="29960"/>
  <c r="C709" i="29960"/>
  <c r="C738" i="29960"/>
  <c r="C745" i="29960"/>
  <c r="C46" i="29960"/>
  <c r="C762" i="29960"/>
  <c r="C755" i="29960"/>
  <c r="C27" i="29960"/>
  <c r="C695" i="29960"/>
  <c r="C6" i="29960"/>
  <c r="C703" i="29960"/>
  <c r="C718" i="29960"/>
  <c r="C715" i="29960"/>
  <c r="C742" i="29960"/>
  <c r="C768" i="29960"/>
  <c r="C766" i="29960"/>
  <c r="C797" i="29960"/>
  <c r="C763" i="29960"/>
  <c r="C36" i="29960"/>
  <c r="C9" i="29960"/>
  <c r="C47" i="29960"/>
  <c r="C20" i="29960"/>
  <c r="C34" i="29960"/>
  <c r="C66" i="29960"/>
  <c r="C687" i="29960"/>
  <c r="C41" i="29960"/>
  <c r="C686" i="29960"/>
  <c r="C799" i="29960"/>
  <c r="C666" i="29960"/>
  <c r="C806" i="29960"/>
  <c r="C673" i="29960"/>
  <c r="C773" i="29960"/>
  <c r="C683" i="29960"/>
  <c r="C16" i="29960"/>
  <c r="C711" i="29960"/>
  <c r="C777" i="29960"/>
  <c r="C73" i="29960"/>
  <c r="C56" i="29960"/>
  <c r="C39" i="29960"/>
  <c r="C700" i="29960"/>
  <c r="C60" i="29960"/>
  <c r="C725" i="29960"/>
  <c r="C13" i="29960"/>
  <c r="C781" i="29960"/>
  <c r="C72" i="29960"/>
  <c r="C751" i="29960"/>
  <c r="C728" i="29960"/>
  <c r="C71" i="29960"/>
  <c r="C788" i="29960"/>
  <c r="C770" i="29960"/>
  <c r="C685" i="29960"/>
  <c r="C810" i="29960"/>
  <c r="C767" i="29960"/>
  <c r="C682" i="29960"/>
  <c r="C784" i="29960"/>
  <c r="C750" i="29960"/>
  <c r="C748" i="29960"/>
  <c r="C786" i="29960"/>
  <c r="C814" i="29960"/>
  <c r="C778" i="29960"/>
  <c r="A79" i="30019" l="1"/>
  <c r="B3977" i="29955"/>
  <c r="B3976" i="29955"/>
  <c r="B3975" i="29955"/>
  <c r="B3974" i="29955"/>
  <c r="B3973" i="29955"/>
  <c r="B3972" i="29955"/>
  <c r="B3971" i="29955"/>
  <c r="B3970" i="29955"/>
  <c r="B3969" i="29955"/>
  <c r="B3968" i="29955"/>
  <c r="B3967" i="29955"/>
  <c r="B3966" i="29955"/>
  <c r="B3965" i="29955"/>
  <c r="B3964" i="29955"/>
  <c r="B3963" i="29955"/>
  <c r="B3962" i="29955"/>
  <c r="B3961" i="29955"/>
  <c r="B3960" i="29955"/>
  <c r="B3959" i="29955"/>
  <c r="B3958" i="29955"/>
  <c r="B3957" i="29955"/>
  <c r="B3956" i="29955"/>
  <c r="B3955" i="29955"/>
  <c r="B3954" i="29955"/>
  <c r="B3953" i="29955"/>
  <c r="B3952" i="29955"/>
  <c r="B3951" i="29955"/>
  <c r="B3950" i="29955"/>
  <c r="B3949" i="29955"/>
  <c r="B3948" i="29955"/>
  <c r="B3947" i="29955"/>
  <c r="B3946" i="29955"/>
  <c r="B3945" i="29955"/>
  <c r="B3944" i="29955"/>
  <c r="B3943" i="29955"/>
  <c r="B3942" i="29955"/>
  <c r="B3941" i="29955"/>
  <c r="B3940" i="29955"/>
  <c r="B3939" i="29955"/>
  <c r="B3938" i="29955"/>
  <c r="B3937" i="29955"/>
  <c r="B3936" i="29955"/>
  <c r="B3935" i="29955"/>
  <c r="B3934" i="29955"/>
  <c r="B3933" i="29955"/>
  <c r="B3932" i="29955"/>
  <c r="B3931" i="29955"/>
  <c r="B3930" i="29955"/>
  <c r="B3929" i="29955"/>
  <c r="B3928" i="29955"/>
  <c r="B3927" i="29955"/>
  <c r="B3926" i="29955"/>
  <c r="B3925" i="29955"/>
  <c r="B3924" i="29955"/>
  <c r="B3923" i="29955"/>
  <c r="B3922" i="29955"/>
  <c r="A80" i="30019" l="1"/>
  <c r="A81" i="30019" s="1"/>
  <c r="AD79" i="30019"/>
  <c r="W79" i="30019"/>
  <c r="V79" i="30019"/>
  <c r="E23" i="19124"/>
  <c r="E22" i="19124"/>
  <c r="E21" i="19124"/>
  <c r="E20" i="19124"/>
  <c r="E19" i="19124"/>
  <c r="E18" i="19124"/>
  <c r="E17" i="19124"/>
  <c r="E16" i="19124"/>
  <c r="D3" i="29955"/>
  <c r="D2" i="29955"/>
  <c r="B4347" i="29955"/>
  <c r="B3921" i="29955"/>
  <c r="B3920" i="29955"/>
  <c r="B3919" i="29955"/>
  <c r="A82" i="30019" l="1"/>
  <c r="AD81" i="30019"/>
  <c r="V81" i="30019"/>
  <c r="W81" i="30019"/>
  <c r="AD80" i="30019"/>
  <c r="V80" i="30019"/>
  <c r="W80" i="30019"/>
  <c r="B3918" i="29955"/>
  <c r="B3917" i="29955"/>
  <c r="B3916" i="29955"/>
  <c r="B3915" i="29955"/>
  <c r="B3914" i="29955"/>
  <c r="B3913" i="29955"/>
  <c r="B3912" i="29955"/>
  <c r="B3911" i="29955"/>
  <c r="B3910" i="29955"/>
  <c r="B3909" i="29955"/>
  <c r="B3908" i="29955"/>
  <c r="B3907" i="29955"/>
  <c r="B3906" i="29955"/>
  <c r="B3905" i="29955"/>
  <c r="E105" i="30019"/>
  <c r="E106" i="30019" s="1"/>
  <c r="E107" i="30019" s="1"/>
  <c r="E132" i="30019" s="1"/>
  <c r="E133" i="30019" s="1"/>
  <c r="AL2" i="30043"/>
  <c r="C4" i="30044"/>
  <c r="B3" i="30053"/>
  <c r="B2" i="30053"/>
  <c r="E67" i="19124"/>
  <c r="E15" i="19124"/>
  <c r="E14" i="19124"/>
  <c r="E13" i="19124"/>
  <c r="E12" i="19124"/>
  <c r="E11" i="19124"/>
  <c r="E10" i="19124"/>
  <c r="E9" i="19124"/>
  <c r="E8" i="19124"/>
  <c r="E7" i="19124"/>
  <c r="E6" i="19124"/>
  <c r="E5" i="19124"/>
  <c r="B67" i="19124"/>
  <c r="S4" i="19124"/>
  <c r="B287" i="30049"/>
  <c r="B226" i="30049"/>
  <c r="B225" i="30049"/>
  <c r="B224" i="30049"/>
  <c r="B223" i="30049"/>
  <c r="B222" i="30049"/>
  <c r="B221" i="30049"/>
  <c r="B220" i="30049"/>
  <c r="B219" i="30049"/>
  <c r="B218" i="30049"/>
  <c r="B217" i="30049"/>
  <c r="B216" i="30049"/>
  <c r="B215" i="30049"/>
  <c r="B214" i="30049"/>
  <c r="B213" i="30049"/>
  <c r="B212" i="30049"/>
  <c r="B211" i="30049"/>
  <c r="B210" i="30049"/>
  <c r="B209" i="30049"/>
  <c r="B139" i="30049"/>
  <c r="B138" i="30049"/>
  <c r="B137" i="30049"/>
  <c r="B136" i="30049"/>
  <c r="B131" i="30049"/>
  <c r="B130" i="30049"/>
  <c r="B129" i="30049"/>
  <c r="B128" i="30049"/>
  <c r="B123" i="30049"/>
  <c r="B122" i="30049"/>
  <c r="B121" i="30049"/>
  <c r="B120" i="30049"/>
  <c r="B115" i="30049"/>
  <c r="B114" i="30049"/>
  <c r="B113" i="30049"/>
  <c r="B112" i="30049"/>
  <c r="B107" i="30049"/>
  <c r="B106" i="30049"/>
  <c r="B105" i="30049"/>
  <c r="B104" i="30049"/>
  <c r="B99" i="30049"/>
  <c r="B98" i="30049"/>
  <c r="B97" i="30049"/>
  <c r="B96" i="30049"/>
  <c r="B91" i="30049"/>
  <c r="B90" i="30049"/>
  <c r="B89" i="30049"/>
  <c r="B88" i="30049"/>
  <c r="B83" i="30049"/>
  <c r="B82" i="30049"/>
  <c r="B81" i="30049"/>
  <c r="B80" i="30049"/>
  <c r="B75" i="30049"/>
  <c r="B74" i="30049"/>
  <c r="B73" i="30049"/>
  <c r="B72" i="30049"/>
  <c r="B71" i="30049"/>
  <c r="B70" i="30049"/>
  <c r="B69" i="30049"/>
  <c r="B68" i="30049"/>
  <c r="B67" i="30049"/>
  <c r="B66" i="30049"/>
  <c r="B65" i="30049"/>
  <c r="B64" i="30049"/>
  <c r="B63" i="30049"/>
  <c r="B62" i="30049"/>
  <c r="B61" i="30049"/>
  <c r="B60" i="30049"/>
  <c r="B59" i="30049"/>
  <c r="B58" i="30049"/>
  <c r="B57" i="30049"/>
  <c r="B56" i="30049"/>
  <c r="B55" i="30049"/>
  <c r="B54" i="30049"/>
  <c r="B53" i="30049"/>
  <c r="B52" i="30049"/>
  <c r="B51" i="30049"/>
  <c r="B50" i="30049"/>
  <c r="B49" i="30049"/>
  <c r="B48" i="30049"/>
  <c r="B47" i="30049"/>
  <c r="B46" i="30049"/>
  <c r="B45" i="30049"/>
  <c r="B44" i="30049"/>
  <c r="B43" i="30049"/>
  <c r="B42" i="30049"/>
  <c r="B41" i="30049"/>
  <c r="B40" i="30049"/>
  <c r="B39" i="30049"/>
  <c r="B38" i="30049"/>
  <c r="B37" i="30049"/>
  <c r="B36" i="30049"/>
  <c r="B35" i="30049"/>
  <c r="B34" i="30049"/>
  <c r="B33" i="30049"/>
  <c r="B32" i="30049"/>
  <c r="B31" i="30049"/>
  <c r="B30" i="30049"/>
  <c r="B29" i="30049"/>
  <c r="B28" i="30049"/>
  <c r="B27" i="30049"/>
  <c r="B26" i="30049"/>
  <c r="B25" i="30049"/>
  <c r="B24" i="30049"/>
  <c r="B23" i="30049"/>
  <c r="B22" i="30049"/>
  <c r="B21" i="30049"/>
  <c r="B20" i="30049"/>
  <c r="B19" i="30049"/>
  <c r="B18" i="30049"/>
  <c r="B17" i="30049"/>
  <c r="B16" i="30049"/>
  <c r="B15" i="30049"/>
  <c r="B14" i="30049"/>
  <c r="B13" i="30049"/>
  <c r="B12" i="30049"/>
  <c r="B11" i="30049"/>
  <c r="B10" i="30049"/>
  <c r="B9" i="30049"/>
  <c r="B8" i="30049"/>
  <c r="B7" i="30049"/>
  <c r="C69" i="440"/>
  <c r="C70" i="440" s="1"/>
  <c r="C64" i="440"/>
  <c r="C65" i="440" s="1"/>
  <c r="C60" i="440"/>
  <c r="C61" i="440" s="1"/>
  <c r="C51" i="440"/>
  <c r="C52" i="440" s="1"/>
  <c r="C53" i="440" s="1"/>
  <c r="C54" i="440" s="1"/>
  <c r="C42" i="440"/>
  <c r="C43" i="440" s="1"/>
  <c r="C44" i="440" s="1"/>
  <c r="C45" i="440" s="1"/>
  <c r="C34" i="440"/>
  <c r="C35" i="440" s="1"/>
  <c r="C36" i="440" s="1"/>
  <c r="C37" i="440" s="1"/>
  <c r="E51" i="24620"/>
  <c r="E50" i="24620"/>
  <c r="E49" i="24620"/>
  <c r="E48" i="24620"/>
  <c r="E47" i="24620"/>
  <c r="E46" i="24620"/>
  <c r="E44" i="24620"/>
  <c r="E43" i="24620"/>
  <c r="E42" i="24620"/>
  <c r="E41" i="24620"/>
  <c r="E40" i="24620"/>
  <c r="E38" i="24620"/>
  <c r="E37" i="24620"/>
  <c r="E36" i="24620"/>
  <c r="E35" i="24620"/>
  <c r="E34" i="24620"/>
  <c r="E33" i="24620"/>
  <c r="G105" i="30019"/>
  <c r="B405" i="29955"/>
  <c r="B1358" i="29955"/>
  <c r="B1016" i="29955"/>
  <c r="B2368" i="29955"/>
  <c r="B212" i="29955"/>
  <c r="B34" i="29955"/>
  <c r="B22" i="29955"/>
  <c r="B255" i="29955"/>
  <c r="B1528" i="29955"/>
  <c r="B986" i="29955"/>
  <c r="B632" i="29955"/>
  <c r="B3252" i="29955"/>
  <c r="B3562" i="29955"/>
  <c r="B29" i="29955"/>
  <c r="B1024" i="29955"/>
  <c r="B3066" i="29955"/>
  <c r="B2171" i="29955"/>
  <c r="B3168" i="29955"/>
  <c r="B3751" i="29955"/>
  <c r="B2594" i="29955"/>
  <c r="B3111" i="29955"/>
  <c r="B2175" i="29955"/>
  <c r="B2293" i="29955"/>
  <c r="B1693" i="29955"/>
  <c r="B1022" i="29955"/>
  <c r="B3113" i="29955"/>
  <c r="B871" i="29955"/>
  <c r="B1012" i="29955"/>
  <c r="B1840" i="29955"/>
  <c r="B642" i="29955"/>
  <c r="B2278" i="29955"/>
  <c r="B886" i="29955"/>
  <c r="B2321" i="29955"/>
  <c r="B787" i="29955"/>
  <c r="B3167" i="29955"/>
  <c r="B2258" i="29955"/>
  <c r="B2268" i="29955"/>
  <c r="B200" i="29955"/>
  <c r="B2184" i="29955"/>
  <c r="B3368" i="29955"/>
  <c r="B3693" i="29955"/>
  <c r="B655" i="29955"/>
  <c r="B3728" i="29955"/>
  <c r="B1183" i="29955"/>
  <c r="B3391" i="29955"/>
  <c r="B3272" i="29955"/>
  <c r="B3284" i="29955"/>
  <c r="B3063" i="29955"/>
  <c r="B2583" i="29955"/>
  <c r="B2555" i="29955"/>
  <c r="B2449" i="29955"/>
  <c r="B2308" i="29955"/>
  <c r="B2299" i="29955"/>
  <c r="B2284" i="29955"/>
  <c r="B2276" i="29955"/>
  <c r="B2238" i="29955"/>
  <c r="B2223" i="29955"/>
  <c r="B896" i="29955"/>
  <c r="B3390" i="29955"/>
  <c r="B3218" i="29955"/>
  <c r="B983" i="29955"/>
  <c r="B2206" i="29955"/>
  <c r="B653" i="29955"/>
  <c r="B743" i="29955"/>
  <c r="B1529" i="29955"/>
  <c r="B776" i="29955"/>
  <c r="B641" i="29955"/>
  <c r="B3741" i="29955"/>
  <c r="B875" i="29955"/>
  <c r="B2371" i="29955"/>
  <c r="B3691" i="29955"/>
  <c r="B681" i="29955"/>
  <c r="B3068" i="29955"/>
  <c r="B2323" i="29955"/>
  <c r="C2" i="30000"/>
  <c r="E14" i="24620"/>
  <c r="E16" i="24620"/>
  <c r="E17" i="24620"/>
  <c r="E15" i="24620"/>
  <c r="E19" i="24620"/>
  <c r="E20" i="24620"/>
  <c r="E21" i="24620"/>
  <c r="E23" i="24620"/>
  <c r="E25" i="24620"/>
  <c r="E26" i="24620"/>
  <c r="E24" i="24620"/>
  <c r="E28" i="24620"/>
  <c r="D4" i="30001"/>
  <c r="E4" i="30001"/>
  <c r="A3" i="30044"/>
  <c r="A4" i="30044"/>
  <c r="A4" i="30038"/>
  <c r="E1" i="30043"/>
  <c r="Z2" i="30043"/>
  <c r="Z5" i="30043"/>
  <c r="Z6" i="30043"/>
  <c r="C7" i="30043"/>
  <c r="F7" i="30043"/>
  <c r="I7" i="30043"/>
  <c r="L7" i="30043"/>
  <c r="Z7" i="30043"/>
  <c r="C8" i="30043"/>
  <c r="F8" i="30043"/>
  <c r="I8" i="30043"/>
  <c r="L8" i="30043"/>
  <c r="Z8" i="30043"/>
  <c r="Z9" i="30043"/>
  <c r="Z10" i="30043"/>
  <c r="C11" i="30043"/>
  <c r="F11" i="30043"/>
  <c r="I11" i="30043"/>
  <c r="L11" i="30043"/>
  <c r="Z11" i="30043"/>
  <c r="C12" i="30043"/>
  <c r="F12" i="30043"/>
  <c r="I12" i="30043"/>
  <c r="L12" i="30043"/>
  <c r="Z12" i="30043"/>
  <c r="C13" i="30043"/>
  <c r="F13" i="30043"/>
  <c r="I13" i="30043"/>
  <c r="L13" i="30043"/>
  <c r="Z13" i="30043"/>
  <c r="C14" i="30043"/>
  <c r="F14" i="30043"/>
  <c r="I14" i="30043"/>
  <c r="L14" i="30043"/>
  <c r="Z14" i="30043"/>
  <c r="Z15" i="30043"/>
  <c r="Z16" i="30043"/>
  <c r="C17" i="30043"/>
  <c r="F17" i="30043"/>
  <c r="I17" i="30043"/>
  <c r="L17" i="30043"/>
  <c r="Z17" i="30043"/>
  <c r="C18" i="30043"/>
  <c r="F18" i="30043"/>
  <c r="I18" i="30043"/>
  <c r="L18" i="30043"/>
  <c r="Z18" i="30043"/>
  <c r="C19" i="30043"/>
  <c r="F19" i="30043"/>
  <c r="I19" i="30043"/>
  <c r="L19" i="30043"/>
  <c r="Z19" i="30043"/>
  <c r="C20" i="30043"/>
  <c r="F20" i="30043"/>
  <c r="I20" i="30043"/>
  <c r="L20" i="30043"/>
  <c r="Z20" i="30043"/>
  <c r="Z21" i="30043"/>
  <c r="Z22" i="30043"/>
  <c r="C23" i="30043"/>
  <c r="F23" i="30043"/>
  <c r="I23" i="30043"/>
  <c r="L23" i="30043"/>
  <c r="Z23" i="30043"/>
  <c r="C24" i="30043"/>
  <c r="F24" i="30043"/>
  <c r="I24" i="30043"/>
  <c r="L24" i="30043"/>
  <c r="Z24" i="30043"/>
  <c r="C25" i="30043"/>
  <c r="F25" i="30043"/>
  <c r="I25" i="30043"/>
  <c r="L25" i="30043"/>
  <c r="Z25" i="30043"/>
  <c r="C26" i="30043"/>
  <c r="F26" i="30043"/>
  <c r="I26" i="30043"/>
  <c r="L26" i="30043"/>
  <c r="Z26" i="30043"/>
  <c r="Z27" i="30043"/>
  <c r="Z28" i="30043"/>
  <c r="Z29" i="30043"/>
  <c r="Z30" i="30043"/>
  <c r="Z31" i="30043"/>
  <c r="Z32" i="30043"/>
  <c r="Z33" i="30043"/>
  <c r="Z34" i="30043"/>
  <c r="Z35" i="30043"/>
  <c r="Z36" i="30043"/>
  <c r="Z37" i="30043"/>
  <c r="Z38" i="30043"/>
  <c r="Z39" i="30043"/>
  <c r="Z40" i="30043"/>
  <c r="Z41" i="30043"/>
  <c r="Z42" i="30043"/>
  <c r="Z43" i="30043"/>
  <c r="Z44" i="30043"/>
  <c r="Z45" i="30043"/>
  <c r="Z46" i="30043"/>
  <c r="Z47" i="30043"/>
  <c r="Z48" i="30043"/>
  <c r="Z49" i="30043"/>
  <c r="Z50" i="30043"/>
  <c r="Z51" i="30043"/>
  <c r="Z52" i="30043"/>
  <c r="Z53" i="30043"/>
  <c r="Z54" i="30043"/>
  <c r="Z55" i="30043"/>
  <c r="Z56" i="30043"/>
  <c r="Z57" i="30043"/>
  <c r="Z58" i="30043"/>
  <c r="Z59" i="30043"/>
  <c r="Z60" i="30043"/>
  <c r="Z61" i="30043"/>
  <c r="Z62" i="30043"/>
  <c r="Z63" i="30043"/>
  <c r="Z64" i="30043"/>
  <c r="Z65" i="30043"/>
  <c r="Z66" i="30043"/>
  <c r="Z67" i="30043"/>
  <c r="Z68" i="30043"/>
  <c r="Z69" i="30043"/>
  <c r="Z70" i="30043"/>
  <c r="Z71" i="30043"/>
  <c r="Z72" i="30043"/>
  <c r="Z73" i="30043"/>
  <c r="Z74" i="30043"/>
  <c r="Z75" i="30043"/>
  <c r="Z76" i="30043"/>
  <c r="Z77" i="30043"/>
  <c r="Z78" i="30043"/>
  <c r="Z79" i="30043"/>
  <c r="Z80" i="30043"/>
  <c r="Z81" i="30043"/>
  <c r="Z82" i="30043"/>
  <c r="Z83" i="30043"/>
  <c r="Z84" i="30043"/>
  <c r="Z85" i="30043"/>
  <c r="Z86" i="30043"/>
  <c r="Z87" i="30043"/>
  <c r="Z88" i="30043"/>
  <c r="Z89" i="30043"/>
  <c r="Z90" i="30043"/>
  <c r="Z91" i="30043"/>
  <c r="Z92" i="30043"/>
  <c r="Z93" i="30043"/>
  <c r="Z94" i="30043"/>
  <c r="Z95" i="30043"/>
  <c r="Z96" i="30043"/>
  <c r="Z97" i="30043"/>
  <c r="Z98" i="30043"/>
  <c r="Z99" i="30043"/>
  <c r="Z100" i="30043"/>
  <c r="Z101" i="30043"/>
  <c r="Z102" i="30043"/>
  <c r="Z103" i="30043"/>
  <c r="Z104" i="30043"/>
  <c r="Z105" i="30043"/>
  <c r="Z106" i="30043"/>
  <c r="Z107" i="30043"/>
  <c r="Z108" i="30043"/>
  <c r="Z109" i="30043"/>
  <c r="Z110" i="30043"/>
  <c r="Z111" i="30043"/>
  <c r="Z112" i="30043"/>
  <c r="Z113" i="30043"/>
  <c r="Z114" i="30043"/>
  <c r="Z115" i="30043"/>
  <c r="Z116" i="30043"/>
  <c r="Z117" i="30043"/>
  <c r="Z118" i="30043"/>
  <c r="Z119" i="30043"/>
  <c r="Z120" i="30043"/>
  <c r="Z121" i="30043"/>
  <c r="Z122" i="30043"/>
  <c r="Z123" i="30043"/>
  <c r="Z124" i="30043"/>
  <c r="Z125" i="30043"/>
  <c r="Z126" i="30043"/>
  <c r="Z127" i="30043"/>
  <c r="Z128" i="30043"/>
  <c r="Z129" i="30043"/>
  <c r="Z130" i="30043"/>
  <c r="Z131" i="30043"/>
  <c r="Z132" i="30043"/>
  <c r="C10" i="28416"/>
  <c r="Q11" i="28416" s="1"/>
  <c r="R14" i="28416" s="1"/>
  <c r="D10" i="28416"/>
  <c r="F10" i="28416"/>
  <c r="E11" i="28416"/>
  <c r="C12" i="28416"/>
  <c r="Q12" i="28416" s="1"/>
  <c r="D12" i="28416"/>
  <c r="F12" i="28416"/>
  <c r="S14" i="28416"/>
  <c r="T14" i="28416"/>
  <c r="V14" i="28416"/>
  <c r="U15" i="28416"/>
  <c r="C18" i="28416"/>
  <c r="S16" i="28416"/>
  <c r="AG16" i="28416" s="1"/>
  <c r="T16" i="28416"/>
  <c r="V16" i="28416"/>
  <c r="D18" i="28416"/>
  <c r="F18" i="28416"/>
  <c r="E19" i="28416"/>
  <c r="C20" i="28416"/>
  <c r="Q20" i="28416" s="1"/>
  <c r="D20" i="28416"/>
  <c r="F20" i="28416"/>
  <c r="AI22" i="28416"/>
  <c r="AJ22" i="28416"/>
  <c r="AL22" i="28416"/>
  <c r="AK23" i="28416"/>
  <c r="S30" i="28416"/>
  <c r="AG30" i="28416" s="1"/>
  <c r="AI24" i="28416"/>
  <c r="AW24" i="28416" s="1"/>
  <c r="AJ24" i="28416"/>
  <c r="AL24" i="28416"/>
  <c r="C26" i="28416"/>
  <c r="Q26" i="28416" s="1"/>
  <c r="D26" i="28416"/>
  <c r="F26" i="28416"/>
  <c r="E27" i="28416"/>
  <c r="C28" i="28416"/>
  <c r="Q28" i="28416" s="1"/>
  <c r="D28" i="28416"/>
  <c r="F28" i="28416"/>
  <c r="T30" i="28416"/>
  <c r="V30" i="28416"/>
  <c r="U31" i="28416"/>
  <c r="Q35" i="28416"/>
  <c r="R32" i="28416" s="1"/>
  <c r="S32" i="28416"/>
  <c r="AG32" i="28416" s="1"/>
  <c r="T32" i="28416"/>
  <c r="V32" i="28416"/>
  <c r="F34" i="28416"/>
  <c r="Q34" i="28416"/>
  <c r="E35" i="28416"/>
  <c r="F36" i="28416"/>
  <c r="Q36" i="28416"/>
  <c r="AY37" i="28416"/>
  <c r="AZ37" i="28416"/>
  <c r="BB37" i="28416"/>
  <c r="BA38" i="28416"/>
  <c r="AI53" i="28416"/>
  <c r="AY39" i="28416"/>
  <c r="BM39" i="28416" s="1"/>
  <c r="AZ39" i="28416"/>
  <c r="BB39" i="28416"/>
  <c r="C41" i="28416"/>
  <c r="Q41" i="28416" s="1"/>
  <c r="D41" i="28416"/>
  <c r="F41" i="28416"/>
  <c r="E42" i="28416"/>
  <c r="C43" i="28416"/>
  <c r="Q43" i="28416" s="1"/>
  <c r="D43" i="28416"/>
  <c r="F43" i="28416"/>
  <c r="S45" i="28416"/>
  <c r="T45" i="28416"/>
  <c r="V45" i="28416"/>
  <c r="U46" i="28416"/>
  <c r="AY59" i="28416"/>
  <c r="BM59" i="28416" s="1"/>
  <c r="C49" i="28416"/>
  <c r="S47" i="28416"/>
  <c r="AG47" i="28416" s="1"/>
  <c r="T47" i="28416"/>
  <c r="V47" i="28416"/>
  <c r="S61" i="28416"/>
  <c r="AY97" i="28416"/>
  <c r="D49" i="28416"/>
  <c r="F49" i="28416"/>
  <c r="AI82" i="28416"/>
  <c r="AI113" i="28416"/>
  <c r="AW114" i="28416" s="1"/>
  <c r="AX99" i="28416" s="1"/>
  <c r="E50" i="28416"/>
  <c r="AY119" i="28416"/>
  <c r="BM119" i="28416" s="1"/>
  <c r="C51" i="28416"/>
  <c r="Q51" i="28416" s="1"/>
  <c r="D51" i="28416"/>
  <c r="F51" i="28416"/>
  <c r="S74" i="28416"/>
  <c r="S90" i="28416"/>
  <c r="S105" i="28416"/>
  <c r="S121" i="28416"/>
  <c r="AJ53" i="28416"/>
  <c r="AL53" i="28416"/>
  <c r="AK54" i="28416"/>
  <c r="AI55" i="28416"/>
  <c r="AW55" i="28416" s="1"/>
  <c r="AJ55" i="28416"/>
  <c r="AL55" i="28416"/>
  <c r="C57" i="28416"/>
  <c r="Q57" i="28416" s="1"/>
  <c r="D57" i="28416"/>
  <c r="F57" i="28416"/>
  <c r="E58" i="28416"/>
  <c r="C59" i="28416"/>
  <c r="Q59" i="28416" s="1"/>
  <c r="D59" i="28416"/>
  <c r="F59" i="28416"/>
  <c r="AZ59" i="28416"/>
  <c r="BB59" i="28416"/>
  <c r="BA60" i="28416"/>
  <c r="T61" i="28416"/>
  <c r="V61" i="28416"/>
  <c r="AY61" i="28416"/>
  <c r="BM61" i="28416" s="1"/>
  <c r="AZ61" i="28416"/>
  <c r="BB61" i="28416"/>
  <c r="U62" i="28416"/>
  <c r="C65" i="28416"/>
  <c r="S63" i="28416"/>
  <c r="AG63" i="28416" s="1"/>
  <c r="T63" i="28416"/>
  <c r="V63" i="28416"/>
  <c r="D65" i="28416"/>
  <c r="F65" i="28416"/>
  <c r="E66" i="28416"/>
  <c r="C67" i="28416"/>
  <c r="Q67" i="28416" s="1"/>
  <c r="D67" i="28416"/>
  <c r="F67" i="28416"/>
  <c r="T74" i="28416"/>
  <c r="V74" i="28416"/>
  <c r="U75" i="28416"/>
  <c r="C78" i="28416"/>
  <c r="S76" i="28416"/>
  <c r="AG76" i="28416" s="1"/>
  <c r="T76" i="28416"/>
  <c r="V76" i="28416"/>
  <c r="D78" i="28416"/>
  <c r="F78" i="28416"/>
  <c r="E79" i="28416"/>
  <c r="C80" i="28416"/>
  <c r="Q80" i="28416" s="1"/>
  <c r="D80" i="28416"/>
  <c r="F80" i="28416"/>
  <c r="AJ82" i="28416"/>
  <c r="AL82" i="28416"/>
  <c r="AK83" i="28416"/>
  <c r="AI84" i="28416"/>
  <c r="AW84" i="28416" s="1"/>
  <c r="AJ84" i="28416"/>
  <c r="AL84" i="28416"/>
  <c r="T90" i="28416"/>
  <c r="V90" i="28416"/>
  <c r="U91" i="28416"/>
  <c r="C94" i="28416"/>
  <c r="S92" i="28416"/>
  <c r="AG92" i="28416" s="1"/>
  <c r="T92" i="28416"/>
  <c r="V92" i="28416"/>
  <c r="D94" i="28416"/>
  <c r="F94" i="28416"/>
  <c r="E95" i="28416"/>
  <c r="C96" i="28416"/>
  <c r="Q96" i="28416" s="1"/>
  <c r="D96" i="28416"/>
  <c r="F96" i="28416"/>
  <c r="AZ97" i="28416"/>
  <c r="BB97" i="28416"/>
  <c r="BA98" i="28416"/>
  <c r="AY99" i="28416"/>
  <c r="BM99" i="28416" s="1"/>
  <c r="AZ99" i="28416"/>
  <c r="BB99" i="28416"/>
  <c r="T105" i="28416"/>
  <c r="V105" i="28416"/>
  <c r="U106" i="28416"/>
  <c r="C109" i="28416"/>
  <c r="S107" i="28416"/>
  <c r="AG107" i="28416" s="1"/>
  <c r="T107" i="28416"/>
  <c r="V107" i="28416"/>
  <c r="D109" i="28416"/>
  <c r="F109" i="28416"/>
  <c r="E110" i="28416"/>
  <c r="C111" i="28416"/>
  <c r="Q111" i="28416" s="1"/>
  <c r="D111" i="28416"/>
  <c r="F111" i="28416"/>
  <c r="AJ113" i="28416"/>
  <c r="AL113" i="28416"/>
  <c r="AK114" i="28416"/>
  <c r="AI115" i="28416"/>
  <c r="AW115" i="28416" s="1"/>
  <c r="AJ115" i="28416"/>
  <c r="AL115" i="28416"/>
  <c r="AZ119" i="28416"/>
  <c r="BB119" i="28416"/>
  <c r="BA120" i="28416"/>
  <c r="T121" i="28416"/>
  <c r="V121" i="28416"/>
  <c r="AY121" i="28416"/>
  <c r="BM121" i="28416" s="1"/>
  <c r="AZ121" i="28416"/>
  <c r="BB121" i="28416"/>
  <c r="U122" i="28416"/>
  <c r="C125" i="28416"/>
  <c r="Q126" i="28416" s="1"/>
  <c r="R123" i="28416" s="1"/>
  <c r="S123" i="28416"/>
  <c r="AG123" i="28416" s="1"/>
  <c r="T123" i="28416"/>
  <c r="V123" i="28416"/>
  <c r="D125" i="28416"/>
  <c r="F125" i="28416"/>
  <c r="E126" i="28416"/>
  <c r="C127" i="28416"/>
  <c r="Q127" i="28416" s="1"/>
  <c r="D127" i="28416"/>
  <c r="F127" i="28416"/>
  <c r="R9" i="18944"/>
  <c r="I10" i="18944"/>
  <c r="R10" i="18944"/>
  <c r="I11" i="18944"/>
  <c r="K11" i="18944" s="1"/>
  <c r="R11" i="18944"/>
  <c r="Y11" i="18944"/>
  <c r="I12" i="18944"/>
  <c r="Y12" i="18944"/>
  <c r="R13" i="18944"/>
  <c r="Y13" i="18944"/>
  <c r="R14" i="18944"/>
  <c r="R15" i="18944"/>
  <c r="AF15" i="18944"/>
  <c r="AF16" i="18944"/>
  <c r="R17" i="18944"/>
  <c r="AF17" i="18944"/>
  <c r="I18" i="18944"/>
  <c r="R18" i="18944"/>
  <c r="I19" i="18944"/>
  <c r="K19" i="18944" s="1"/>
  <c r="R19" i="18944"/>
  <c r="Y19" i="18944"/>
  <c r="I20" i="18944"/>
  <c r="Y20" i="18944"/>
  <c r="R21" i="18944"/>
  <c r="Y21" i="18944"/>
  <c r="R22" i="18944"/>
  <c r="R23" i="18944"/>
  <c r="AM23" i="18944"/>
  <c r="AM24" i="18944"/>
  <c r="R25" i="18944"/>
  <c r="AM25" i="18944"/>
  <c r="I26" i="18944"/>
  <c r="R26" i="18944"/>
  <c r="I27" i="18944"/>
  <c r="K27" i="18944" s="1"/>
  <c r="R27" i="18944"/>
  <c r="Y27" i="18944"/>
  <c r="I28" i="18944"/>
  <c r="Y28" i="18944"/>
  <c r="R29" i="18944"/>
  <c r="Y29" i="18944"/>
  <c r="R30" i="18944"/>
  <c r="R31" i="18944"/>
  <c r="AF31" i="18944"/>
  <c r="AF32" i="18944"/>
  <c r="R33" i="18944"/>
  <c r="AF33" i="18944"/>
  <c r="I34" i="18944"/>
  <c r="R34" i="18944"/>
  <c r="I35" i="18944"/>
  <c r="K35" i="18944" s="1"/>
  <c r="R35" i="18944"/>
  <c r="Y35" i="18944"/>
  <c r="I36" i="18944"/>
  <c r="Y36" i="18944"/>
  <c r="R37" i="18944"/>
  <c r="Y37" i="18944"/>
  <c r="R38" i="18944"/>
  <c r="R39" i="18944"/>
  <c r="AT39" i="18944"/>
  <c r="I40" i="18944"/>
  <c r="AT40" i="18944"/>
  <c r="I41" i="18944"/>
  <c r="K41" i="18944" s="1"/>
  <c r="R41" i="18944"/>
  <c r="AT41" i="18944"/>
  <c r="I42" i="18944"/>
  <c r="R42" i="18944"/>
  <c r="R43" i="18944"/>
  <c r="Y43" i="18944"/>
  <c r="Y44" i="18944"/>
  <c r="R45" i="18944"/>
  <c r="Y45" i="18944"/>
  <c r="R46" i="18944"/>
  <c r="R47" i="18944"/>
  <c r="AF47" i="18944"/>
  <c r="AF48" i="18944"/>
  <c r="R49" i="18944"/>
  <c r="AF49" i="18944"/>
  <c r="R50" i="18944"/>
  <c r="R51" i="18944"/>
  <c r="Y51" i="18944"/>
  <c r="I52" i="18944"/>
  <c r="Y52" i="18944"/>
  <c r="I53" i="18944"/>
  <c r="K53" i="18944" s="1"/>
  <c r="R53" i="18944"/>
  <c r="Y53" i="18944"/>
  <c r="I54" i="18944"/>
  <c r="R54" i="18944"/>
  <c r="R55" i="18944"/>
  <c r="AM55" i="18944"/>
  <c r="AM56" i="18944"/>
  <c r="R57" i="18944"/>
  <c r="AM57" i="18944"/>
  <c r="R58" i="18944"/>
  <c r="R59" i="18944"/>
  <c r="Y59" i="18944"/>
  <c r="I60" i="18944"/>
  <c r="Y60" i="18944"/>
  <c r="I61" i="18944"/>
  <c r="K61" i="18944" s="1"/>
  <c r="R61" i="18944"/>
  <c r="Y61" i="18944"/>
  <c r="I62" i="18944"/>
  <c r="R62" i="18944"/>
  <c r="R63" i="18944"/>
  <c r="AF63" i="18944"/>
  <c r="AF64" i="18944"/>
  <c r="R65" i="18944"/>
  <c r="AF65" i="18944"/>
  <c r="R66" i="18944"/>
  <c r="R67" i="18944"/>
  <c r="Y67" i="18944"/>
  <c r="I68" i="18944"/>
  <c r="Y68" i="18944"/>
  <c r="I69" i="18944"/>
  <c r="K69" i="18944" s="1"/>
  <c r="R69" i="18944"/>
  <c r="Y69" i="18944"/>
  <c r="I70" i="18944"/>
  <c r="R70" i="18944"/>
  <c r="R71" i="18944"/>
  <c r="Z7" i="28160"/>
  <c r="AB7" i="28160"/>
  <c r="AD7" i="28160"/>
  <c r="Z8" i="28160"/>
  <c r="AB8" i="28160"/>
  <c r="AC8" i="28160"/>
  <c r="Z9" i="28160"/>
  <c r="J9" i="28160" s="1"/>
  <c r="Z15" i="28160"/>
  <c r="AB15" i="28160"/>
  <c r="AD15" i="28160"/>
  <c r="Z16" i="28160"/>
  <c r="AB16" i="28160"/>
  <c r="AC16" i="28160"/>
  <c r="Z17" i="28160"/>
  <c r="J17" i="28160" s="1"/>
  <c r="Z31" i="28160"/>
  <c r="AB31" i="28160"/>
  <c r="AD31" i="28160"/>
  <c r="Z32" i="28160"/>
  <c r="AB32" i="28160"/>
  <c r="AC32" i="28160"/>
  <c r="Z33" i="28160"/>
  <c r="J33" i="28160" s="1"/>
  <c r="Z39" i="28160"/>
  <c r="AB39" i="28160"/>
  <c r="AD39" i="28160"/>
  <c r="Z40" i="28160"/>
  <c r="AB40" i="28160"/>
  <c r="AC40" i="28160"/>
  <c r="Z41" i="28160"/>
  <c r="J41" i="28160" s="1"/>
  <c r="Z47" i="28160"/>
  <c r="AB47" i="28160"/>
  <c r="AD47" i="28160"/>
  <c r="Z48" i="28160"/>
  <c r="AB48" i="28160"/>
  <c r="AC48" i="28160"/>
  <c r="Z49" i="28160"/>
  <c r="J49" i="28160" s="1"/>
  <c r="Z55" i="28160"/>
  <c r="AB55" i="28160"/>
  <c r="AD55" i="28160"/>
  <c r="Z56" i="28160"/>
  <c r="AB56" i="28160"/>
  <c r="AC56" i="28160"/>
  <c r="Z57" i="28160"/>
  <c r="J57" i="28160" s="1"/>
  <c r="Z63" i="28160"/>
  <c r="AB63" i="28160"/>
  <c r="AD63" i="28160"/>
  <c r="Z64" i="28160"/>
  <c r="AB64" i="28160"/>
  <c r="AC64" i="28160"/>
  <c r="Z65" i="28160"/>
  <c r="J65" i="28160" s="1"/>
  <c r="Z71" i="28160"/>
  <c r="AB71" i="28160"/>
  <c r="AD71" i="28160"/>
  <c r="Z72" i="28160"/>
  <c r="AB72" i="28160"/>
  <c r="AC72" i="28160"/>
  <c r="Z73" i="28160"/>
  <c r="J73" i="28160" s="1"/>
  <c r="Z79" i="28160"/>
  <c r="AB79" i="28160"/>
  <c r="AD79" i="28160"/>
  <c r="Z80" i="28160"/>
  <c r="AB80" i="28160"/>
  <c r="AC80" i="28160"/>
  <c r="Z81" i="28160"/>
  <c r="J81" i="28160" s="1"/>
  <c r="Z87" i="28160"/>
  <c r="AB87" i="28160"/>
  <c r="AD87" i="28160"/>
  <c r="Z88" i="28160"/>
  <c r="AB88" i="28160"/>
  <c r="AC88" i="28160"/>
  <c r="Z89" i="28160"/>
  <c r="J89" i="28160" s="1"/>
  <c r="Z97" i="28160"/>
  <c r="AB97" i="28160"/>
  <c r="AD97" i="28160"/>
  <c r="Z98" i="28160"/>
  <c r="AB98" i="28160"/>
  <c r="AC98" i="28160"/>
  <c r="Z99" i="28160"/>
  <c r="J99" i="28160" s="1"/>
  <c r="Z105" i="28160"/>
  <c r="AB105" i="28160"/>
  <c r="AD105" i="28160"/>
  <c r="Z106" i="28160"/>
  <c r="AB106" i="28160"/>
  <c r="AC106" i="28160"/>
  <c r="Z107" i="28160"/>
  <c r="J107" i="28160" s="1"/>
  <c r="Z113" i="28160"/>
  <c r="AB113" i="28160"/>
  <c r="AD113" i="28160"/>
  <c r="Z114" i="28160"/>
  <c r="AB114" i="28160"/>
  <c r="AC114" i="28160"/>
  <c r="Z115" i="28160"/>
  <c r="J115" i="28160" s="1"/>
  <c r="Z121" i="28160"/>
  <c r="AB121" i="28160"/>
  <c r="AD121" i="28160"/>
  <c r="Z122" i="28160"/>
  <c r="AB122" i="28160"/>
  <c r="AC122" i="28160"/>
  <c r="Z123" i="28160"/>
  <c r="J123" i="28160" s="1"/>
  <c r="Z131" i="28160"/>
  <c r="AB131" i="28160"/>
  <c r="AD131" i="28160"/>
  <c r="Z132" i="28160"/>
  <c r="AB132" i="28160"/>
  <c r="AC132" i="28160"/>
  <c r="Z133" i="28160"/>
  <c r="J133" i="28160" s="1"/>
  <c r="Z139" i="28160"/>
  <c r="AB139" i="28160"/>
  <c r="AD139" i="28160"/>
  <c r="Z140" i="28160"/>
  <c r="AB140" i="28160"/>
  <c r="AC140" i="28160"/>
  <c r="Z141" i="28160"/>
  <c r="J141" i="28160" s="1"/>
  <c r="Z149" i="28160"/>
  <c r="AB149" i="28160"/>
  <c r="AD149" i="28160"/>
  <c r="Z150" i="28160"/>
  <c r="AB150" i="28160"/>
  <c r="AC150" i="28160"/>
  <c r="Z151" i="28160"/>
  <c r="J151" i="28160" s="1"/>
  <c r="Z159" i="28160"/>
  <c r="AB159" i="28160"/>
  <c r="AD159" i="28160"/>
  <c r="Z160" i="28160"/>
  <c r="AB160" i="28160"/>
  <c r="AC160" i="28160"/>
  <c r="Z161" i="28160"/>
  <c r="J161" i="28160" s="1"/>
  <c r="AL6" i="29952"/>
  <c r="Z9" i="29952" s="1"/>
  <c r="Z7" i="29952"/>
  <c r="AH7" i="29952" s="1"/>
  <c r="AB7" i="29952"/>
  <c r="AD7" i="29952"/>
  <c r="Z8" i="29952"/>
  <c r="AB8" i="29952"/>
  <c r="AC8" i="29952"/>
  <c r="AL18" i="29952"/>
  <c r="Z21" i="29952" s="1"/>
  <c r="J21" i="29952" s="1"/>
  <c r="Z19" i="29952"/>
  <c r="AB19" i="29952"/>
  <c r="AD19" i="29952"/>
  <c r="Z20" i="29952"/>
  <c r="AB20" i="29952"/>
  <c r="AC20" i="29952"/>
  <c r="AL38" i="29952"/>
  <c r="Z41" i="29952" s="1"/>
  <c r="J41" i="29952" s="1"/>
  <c r="Z39" i="29952"/>
  <c r="AB39" i="29952"/>
  <c r="AD39" i="29952"/>
  <c r="Z40" i="29952"/>
  <c r="AB40" i="29952"/>
  <c r="AC40" i="29952"/>
  <c r="AL50" i="29952"/>
  <c r="Z53" i="29952" s="1"/>
  <c r="J53" i="29952" s="1"/>
  <c r="Z51" i="29952"/>
  <c r="AB51" i="29952"/>
  <c r="AD51" i="29952"/>
  <c r="Z52" i="29952"/>
  <c r="AB52" i="29952"/>
  <c r="AC52" i="29952"/>
  <c r="AL62" i="29952"/>
  <c r="Z65" i="29952" s="1"/>
  <c r="J65" i="29952" s="1"/>
  <c r="Z63" i="29952"/>
  <c r="AF63" i="29952" s="1"/>
  <c r="AB63" i="29952"/>
  <c r="AD63" i="29952"/>
  <c r="Z64" i="29952"/>
  <c r="AB64" i="29952"/>
  <c r="AC64" i="29952"/>
  <c r="AL74" i="29952"/>
  <c r="Z77" i="29952" s="1"/>
  <c r="J77" i="29952" s="1"/>
  <c r="Z75" i="29952"/>
  <c r="AE75" i="29952" s="1"/>
  <c r="AB75" i="29952"/>
  <c r="AD75" i="29952"/>
  <c r="Z76" i="29952"/>
  <c r="AB76" i="29952"/>
  <c r="AC76" i="29952"/>
  <c r="AL86" i="29952"/>
  <c r="Z89" i="29952" s="1"/>
  <c r="J89" i="29952" s="1"/>
  <c r="Z87" i="29952"/>
  <c r="AB87" i="29952"/>
  <c r="AD87" i="29952"/>
  <c r="Z88" i="29952"/>
  <c r="AB88" i="29952"/>
  <c r="AC88" i="29952"/>
  <c r="AL98" i="29952"/>
  <c r="Z101" i="29952" s="1"/>
  <c r="J101" i="29952" s="1"/>
  <c r="Z99" i="29952"/>
  <c r="AB99" i="29952"/>
  <c r="AD99" i="29952"/>
  <c r="Z100" i="29952"/>
  <c r="AB100" i="29952"/>
  <c r="AC100" i="29952"/>
  <c r="AL110" i="29952"/>
  <c r="Z113" i="29952" s="1"/>
  <c r="J113" i="29952" s="1"/>
  <c r="Z111" i="29952"/>
  <c r="AE111" i="29952" s="1"/>
  <c r="AB111" i="29952"/>
  <c r="AD111" i="29952"/>
  <c r="Z112" i="29952"/>
  <c r="AB112" i="29952"/>
  <c r="AC112" i="29952"/>
  <c r="AL122" i="29952"/>
  <c r="Z125" i="29952" s="1"/>
  <c r="J125" i="29952" s="1"/>
  <c r="Z123" i="29952"/>
  <c r="AG123" i="29952" s="1"/>
  <c r="AB123" i="29952"/>
  <c r="AD123" i="29952"/>
  <c r="Z124" i="29952"/>
  <c r="AB124" i="29952"/>
  <c r="AC124" i="29952"/>
  <c r="AL136" i="29952"/>
  <c r="Z139" i="29952" s="1"/>
  <c r="J139" i="29952" s="1"/>
  <c r="Z137" i="29952"/>
  <c r="AE137" i="29952" s="1"/>
  <c r="AB137" i="29952"/>
  <c r="AD137" i="29952"/>
  <c r="Z138" i="29952"/>
  <c r="AB138" i="29952"/>
  <c r="AC138" i="29952"/>
  <c r="AL148" i="29952"/>
  <c r="Z151" i="29952" s="1"/>
  <c r="J151" i="29952" s="1"/>
  <c r="Z149" i="29952"/>
  <c r="AB149" i="29952"/>
  <c r="AD149" i="29952"/>
  <c r="Z150" i="29952"/>
  <c r="AB150" i="29952"/>
  <c r="AC150" i="29952"/>
  <c r="AL160" i="29952"/>
  <c r="Z163" i="29952" s="1"/>
  <c r="J163" i="29952" s="1"/>
  <c r="Z161" i="29952"/>
  <c r="AB161" i="29952"/>
  <c r="AD161" i="29952"/>
  <c r="Z162" i="29952"/>
  <c r="AB162" i="29952"/>
  <c r="AC162" i="29952"/>
  <c r="AL172" i="29952"/>
  <c r="Z175" i="29952" s="1"/>
  <c r="J175" i="29952" s="1"/>
  <c r="Z173" i="29952"/>
  <c r="AB173" i="29952"/>
  <c r="AD173" i="29952"/>
  <c r="Z174" i="29952"/>
  <c r="AB174" i="29952"/>
  <c r="AC174" i="29952"/>
  <c r="AL186" i="29952"/>
  <c r="Z189" i="29952" s="1"/>
  <c r="J189" i="29952" s="1"/>
  <c r="Z187" i="29952"/>
  <c r="AB187" i="29952"/>
  <c r="AD187" i="29952"/>
  <c r="Z188" i="29952"/>
  <c r="AB188" i="29952"/>
  <c r="AC188" i="29952"/>
  <c r="AL198" i="29952"/>
  <c r="Z201" i="29952" s="1"/>
  <c r="J201" i="29952" s="1"/>
  <c r="Z199" i="29952"/>
  <c r="AF199" i="29952" s="1"/>
  <c r="AB199" i="29952"/>
  <c r="AD199" i="29952"/>
  <c r="Z200" i="29952"/>
  <c r="AB200" i="29952"/>
  <c r="AC200" i="29952"/>
  <c r="AL212" i="29952"/>
  <c r="Z215" i="29952" s="1"/>
  <c r="J215" i="29952" s="1"/>
  <c r="Z213" i="29952"/>
  <c r="AE213" i="29952" s="1"/>
  <c r="AB213" i="29952"/>
  <c r="AD213" i="29952"/>
  <c r="Z214" i="29952"/>
  <c r="AB214" i="29952"/>
  <c r="AC214" i="29952"/>
  <c r="AL226" i="29952"/>
  <c r="Z229" i="29952" s="1"/>
  <c r="J229" i="29952" s="1"/>
  <c r="Z227" i="29952"/>
  <c r="AF227" i="29952" s="1"/>
  <c r="AB227" i="29952"/>
  <c r="AD227" i="29952"/>
  <c r="Z228" i="29952"/>
  <c r="AB228" i="29952"/>
  <c r="AC228" i="29952"/>
  <c r="G6" i="29957"/>
  <c r="I6" i="29957" s="1"/>
  <c r="G7" i="29957"/>
  <c r="I7" i="29957" s="1"/>
  <c r="G8" i="29957"/>
  <c r="I8" i="29957" s="1"/>
  <c r="G9" i="29957"/>
  <c r="I9" i="29957" s="1"/>
  <c r="G10" i="29957"/>
  <c r="I10" i="29957" s="1"/>
  <c r="G11" i="29957"/>
  <c r="I11" i="29957" s="1"/>
  <c r="G12" i="29957"/>
  <c r="I12" i="29957" s="1"/>
  <c r="G13" i="29957"/>
  <c r="I13" i="29957" s="1"/>
  <c r="G14" i="29957"/>
  <c r="I14" i="29957" s="1"/>
  <c r="G15" i="29957"/>
  <c r="I15" i="29957" s="1"/>
  <c r="G16" i="29957"/>
  <c r="I16" i="29957" s="1"/>
  <c r="G17" i="29957"/>
  <c r="I17" i="29957" s="1"/>
  <c r="G19" i="29957"/>
  <c r="I19" i="29957" s="1"/>
  <c r="G20" i="29957"/>
  <c r="I20" i="29957" s="1"/>
  <c r="G21" i="29957"/>
  <c r="I21" i="29957" s="1"/>
  <c r="G22" i="29957"/>
  <c r="I22" i="29957" s="1"/>
  <c r="G23" i="29957"/>
  <c r="I23" i="29957" s="1"/>
  <c r="G24" i="29957"/>
  <c r="I24" i="29957" s="1"/>
  <c r="G25" i="29957"/>
  <c r="I25" i="29957" s="1"/>
  <c r="G26" i="29957"/>
  <c r="I26" i="29957" s="1"/>
  <c r="G27" i="29957"/>
  <c r="I27" i="29957" s="1"/>
  <c r="G28" i="29957"/>
  <c r="I28" i="29957" s="1"/>
  <c r="G29" i="29957"/>
  <c r="I29" i="29957" s="1"/>
  <c r="G30" i="29957"/>
  <c r="I30" i="29957" s="1"/>
  <c r="G43" i="29957"/>
  <c r="I43" i="29957" s="1"/>
  <c r="G44" i="29957"/>
  <c r="I44" i="29957" s="1"/>
  <c r="G45" i="29957"/>
  <c r="I45" i="29957" s="1"/>
  <c r="G46" i="29957"/>
  <c r="I46" i="29957" s="1"/>
  <c r="G47" i="29957"/>
  <c r="I47" i="29957" s="1"/>
  <c r="G48" i="29957"/>
  <c r="I48" i="29957" s="1"/>
  <c r="G49" i="29957"/>
  <c r="I49" i="29957" s="1"/>
  <c r="G50" i="29957"/>
  <c r="I50" i="29957" s="1"/>
  <c r="G51" i="29957"/>
  <c r="I51" i="29957" s="1"/>
  <c r="G52" i="29957"/>
  <c r="I52" i="29957" s="1"/>
  <c r="G53" i="29957"/>
  <c r="I53" i="29957" s="1"/>
  <c r="G54" i="29957"/>
  <c r="I54" i="29957" s="1"/>
  <c r="G55" i="29957"/>
  <c r="I55" i="29957" s="1"/>
  <c r="G56" i="29957"/>
  <c r="I56" i="29957" s="1"/>
  <c r="G57" i="29957"/>
  <c r="I57" i="29957" s="1"/>
  <c r="G58" i="29957"/>
  <c r="I58" i="29957" s="1"/>
  <c r="G59" i="29957"/>
  <c r="I59" i="29957" s="1"/>
  <c r="G60" i="29957"/>
  <c r="I60" i="29957" s="1"/>
  <c r="G61" i="29957"/>
  <c r="I61" i="29957" s="1"/>
  <c r="G62" i="29957"/>
  <c r="I62" i="29957" s="1"/>
  <c r="G63" i="29957"/>
  <c r="I63" i="29957" s="1"/>
  <c r="G64" i="29957"/>
  <c r="I64" i="29957" s="1"/>
  <c r="G65" i="29957"/>
  <c r="I65" i="29957" s="1"/>
  <c r="G66" i="29957"/>
  <c r="I66" i="29957" s="1"/>
  <c r="G67" i="29957"/>
  <c r="I67" i="29957" s="1"/>
  <c r="G68" i="29957"/>
  <c r="I68" i="29957" s="1"/>
  <c r="G69" i="29957"/>
  <c r="I69" i="29957" s="1"/>
  <c r="G70" i="29957"/>
  <c r="I70" i="29957" s="1"/>
  <c r="G71" i="29957"/>
  <c r="I71" i="29957" s="1"/>
  <c r="G72" i="29957"/>
  <c r="I72" i="29957" s="1"/>
  <c r="G73" i="29957"/>
  <c r="I73" i="29957" s="1"/>
  <c r="G74" i="29957"/>
  <c r="I74" i="29957" s="1"/>
  <c r="G75" i="29957"/>
  <c r="I75" i="29957" s="1"/>
  <c r="G76" i="29957"/>
  <c r="I76" i="29957" s="1"/>
  <c r="G77" i="29957"/>
  <c r="I77" i="29957" s="1"/>
  <c r="G78" i="29957"/>
  <c r="I78" i="29957" s="1"/>
  <c r="G79" i="29957"/>
  <c r="I79" i="29957" s="1"/>
  <c r="G80" i="29957"/>
  <c r="I80" i="29957" s="1"/>
  <c r="G81" i="29957"/>
  <c r="I81" i="29957" s="1"/>
  <c r="G82" i="29957"/>
  <c r="I82" i="29957" s="1"/>
  <c r="G83" i="29957"/>
  <c r="I83" i="29957" s="1"/>
  <c r="G84" i="29957"/>
  <c r="I84" i="29957" s="1"/>
  <c r="G85" i="29957"/>
  <c r="I85" i="29957" s="1"/>
  <c r="G86" i="29957"/>
  <c r="I86" i="29957" s="1"/>
  <c r="G87" i="29957"/>
  <c r="I87" i="29957" s="1"/>
  <c r="G88" i="29957"/>
  <c r="I88" i="29957" s="1"/>
  <c r="G89" i="29957"/>
  <c r="I89" i="29957" s="1"/>
  <c r="G90" i="29957"/>
  <c r="I90" i="29957" s="1"/>
  <c r="G91" i="29957"/>
  <c r="I91" i="29957" s="1"/>
  <c r="G92" i="29957"/>
  <c r="I92" i="29957" s="1"/>
  <c r="G93" i="29957"/>
  <c r="I93" i="29957" s="1"/>
  <c r="G94" i="29957"/>
  <c r="I94" i="29957" s="1"/>
  <c r="G95" i="29957"/>
  <c r="I95" i="29957" s="1"/>
  <c r="G96" i="29957"/>
  <c r="I96" i="29957" s="1"/>
  <c r="G97" i="29957"/>
  <c r="I97" i="29957" s="1"/>
  <c r="G98" i="29957"/>
  <c r="I98" i="29957" s="1"/>
  <c r="G99" i="29957"/>
  <c r="I99" i="29957" s="1"/>
  <c r="G100" i="29957"/>
  <c r="I100" i="29957" s="1"/>
  <c r="G101" i="29957"/>
  <c r="I101" i="29957" s="1"/>
  <c r="G102" i="29957"/>
  <c r="I102" i="29957" s="1"/>
  <c r="G103" i="29957"/>
  <c r="I103" i="29957" s="1"/>
  <c r="G104" i="29957"/>
  <c r="I104" i="29957" s="1"/>
  <c r="G105" i="29957"/>
  <c r="I105" i="29957" s="1"/>
  <c r="G106" i="29957"/>
  <c r="I106" i="29957" s="1"/>
  <c r="G107" i="29957"/>
  <c r="I107" i="29957" s="1"/>
  <c r="G108" i="29957"/>
  <c r="I108" i="29957" s="1"/>
  <c r="G109" i="29957"/>
  <c r="I109" i="29957" s="1"/>
  <c r="G110" i="29957"/>
  <c r="I110" i="29957" s="1"/>
  <c r="G111" i="29957"/>
  <c r="I111" i="29957" s="1"/>
  <c r="G112" i="29957"/>
  <c r="I112" i="29957" s="1"/>
  <c r="G113" i="29957"/>
  <c r="I113" i="29957" s="1"/>
  <c r="G114" i="29957"/>
  <c r="I114" i="29957" s="1"/>
  <c r="G115" i="29957"/>
  <c r="I115" i="29957" s="1"/>
  <c r="G116" i="29957"/>
  <c r="I116" i="29957" s="1"/>
  <c r="G117" i="29957"/>
  <c r="I117" i="29957" s="1"/>
  <c r="G118" i="29957"/>
  <c r="I118" i="29957" s="1"/>
  <c r="G119" i="29957"/>
  <c r="I119" i="29957" s="1"/>
  <c r="G120" i="29957"/>
  <c r="I120" i="29957" s="1"/>
  <c r="G121" i="29957"/>
  <c r="I121" i="29957" s="1"/>
  <c r="G122" i="29957"/>
  <c r="I122" i="29957" s="1"/>
  <c r="G123" i="29957"/>
  <c r="I123" i="29957" s="1"/>
  <c r="G124" i="29957"/>
  <c r="I124" i="29957" s="1"/>
  <c r="G125" i="29957"/>
  <c r="I125" i="29957" s="1"/>
  <c r="G126" i="29957"/>
  <c r="I126" i="29957" s="1"/>
  <c r="G127" i="29957"/>
  <c r="I127" i="29957" s="1"/>
  <c r="G128" i="29957"/>
  <c r="I128" i="29957" s="1"/>
  <c r="G129" i="29957"/>
  <c r="I129" i="29957" s="1"/>
  <c r="G130" i="29957"/>
  <c r="I130" i="29957" s="1"/>
  <c r="G131" i="29957"/>
  <c r="I131" i="29957" s="1"/>
  <c r="G132" i="29957"/>
  <c r="I132" i="29957" s="1"/>
  <c r="G133" i="29957"/>
  <c r="I133" i="29957" s="1"/>
  <c r="G134" i="29957"/>
  <c r="I134" i="29957" s="1"/>
  <c r="G135" i="29957"/>
  <c r="I135" i="29957" s="1"/>
  <c r="G136" i="29957"/>
  <c r="I136" i="29957" s="1"/>
  <c r="G137" i="29957"/>
  <c r="I137" i="29957" s="1"/>
  <c r="G138" i="29957"/>
  <c r="I138" i="29957" s="1"/>
  <c r="G139" i="29957"/>
  <c r="I139" i="29957" s="1"/>
  <c r="G140" i="29957"/>
  <c r="I140" i="29957" s="1"/>
  <c r="G141" i="29957"/>
  <c r="I141" i="29957" s="1"/>
  <c r="G142" i="29957"/>
  <c r="I142" i="29957" s="1"/>
  <c r="G143" i="29957"/>
  <c r="I143" i="29957" s="1"/>
  <c r="G144" i="29957"/>
  <c r="I144" i="29957" s="1"/>
  <c r="G145" i="29957"/>
  <c r="I145" i="29957" s="1"/>
  <c r="G146" i="29957"/>
  <c r="I146" i="29957" s="1"/>
  <c r="G147" i="29957"/>
  <c r="I147" i="29957" s="1"/>
  <c r="G148" i="29957"/>
  <c r="I148" i="29957" s="1"/>
  <c r="G149" i="29957"/>
  <c r="I149" i="29957" s="1"/>
  <c r="G150" i="29957"/>
  <c r="I150" i="29957" s="1"/>
  <c r="G151" i="29957"/>
  <c r="I151" i="29957" s="1"/>
  <c r="G152" i="29957"/>
  <c r="I152" i="29957" s="1"/>
  <c r="G153" i="29957"/>
  <c r="I153" i="29957" s="1"/>
  <c r="G154" i="29957"/>
  <c r="I154" i="29957" s="1"/>
  <c r="G155" i="29957"/>
  <c r="I155" i="29957" s="1"/>
  <c r="G156" i="29957"/>
  <c r="I156" i="29957" s="1"/>
  <c r="G157" i="29957"/>
  <c r="I157" i="29957" s="1"/>
  <c r="G158" i="29957"/>
  <c r="I158" i="29957" s="1"/>
  <c r="G159" i="29957"/>
  <c r="I159" i="29957" s="1"/>
  <c r="G160" i="29957"/>
  <c r="I160" i="29957" s="1"/>
  <c r="G161" i="29957"/>
  <c r="I161" i="29957" s="1"/>
  <c r="G162" i="29957"/>
  <c r="I162" i="29957" s="1"/>
  <c r="G163" i="29957"/>
  <c r="I163" i="29957" s="1"/>
  <c r="G164" i="29957"/>
  <c r="I164" i="29957" s="1"/>
  <c r="G165" i="29957"/>
  <c r="I165" i="29957" s="1"/>
  <c r="G166" i="29957"/>
  <c r="I166" i="29957" s="1"/>
  <c r="G167" i="29957"/>
  <c r="I167" i="29957" s="1"/>
  <c r="G168" i="29957"/>
  <c r="I168" i="29957" s="1"/>
  <c r="G169" i="29957"/>
  <c r="I169" i="29957" s="1"/>
  <c r="G170" i="29957"/>
  <c r="I170" i="29957" s="1"/>
  <c r="G174" i="29957"/>
  <c r="I174" i="29957" s="1"/>
  <c r="G175" i="29957"/>
  <c r="I175" i="29957" s="1"/>
  <c r="G176" i="29957"/>
  <c r="I176" i="29957" s="1"/>
  <c r="G177" i="29957"/>
  <c r="I177" i="29957" s="1"/>
  <c r="G178" i="29957"/>
  <c r="I178" i="29957" s="1"/>
  <c r="G179" i="29957"/>
  <c r="I179" i="29957" s="1"/>
  <c r="G180" i="29957"/>
  <c r="I180" i="29957" s="1"/>
  <c r="G181" i="29957"/>
  <c r="I181" i="29957" s="1"/>
  <c r="G182" i="29957"/>
  <c r="I182" i="29957" s="1"/>
  <c r="G183" i="29957"/>
  <c r="I183" i="29957" s="1"/>
  <c r="G184" i="29957"/>
  <c r="I184" i="29957" s="1"/>
  <c r="G185" i="29957"/>
  <c r="I185" i="29957" s="1"/>
  <c r="G186" i="29957"/>
  <c r="I186" i="29957" s="1"/>
  <c r="G187" i="29957"/>
  <c r="I187" i="29957" s="1"/>
  <c r="G188" i="29957"/>
  <c r="I188" i="29957" s="1"/>
  <c r="G189" i="29957"/>
  <c r="I189" i="29957" s="1"/>
  <c r="G190" i="29957"/>
  <c r="I190" i="29957" s="1"/>
  <c r="G191" i="29957"/>
  <c r="I191" i="29957" s="1"/>
  <c r="G192" i="29957"/>
  <c r="I192" i="29957" s="1"/>
  <c r="G193" i="29957"/>
  <c r="I193" i="29957" s="1"/>
  <c r="G194" i="29957"/>
  <c r="I194" i="29957" s="1"/>
  <c r="G195" i="29957"/>
  <c r="I195" i="29957" s="1"/>
  <c r="G196" i="29957"/>
  <c r="I196" i="29957" s="1"/>
  <c r="G197" i="29957"/>
  <c r="I197" i="29957" s="1"/>
  <c r="G198" i="29957"/>
  <c r="I198" i="29957" s="1"/>
  <c r="G199" i="29957"/>
  <c r="I199" i="29957" s="1"/>
  <c r="G200" i="29957"/>
  <c r="I200" i="29957" s="1"/>
  <c r="G201" i="29957"/>
  <c r="I201" i="29957" s="1"/>
  <c r="G202" i="29957"/>
  <c r="I202" i="29957" s="1"/>
  <c r="G203" i="29957"/>
  <c r="I203" i="29957" s="1"/>
  <c r="G204" i="29957"/>
  <c r="I204" i="29957" s="1"/>
  <c r="G205" i="29957"/>
  <c r="I205" i="29957" s="1"/>
  <c r="G206" i="29957"/>
  <c r="I206" i="29957" s="1"/>
  <c r="G207" i="29957"/>
  <c r="I207" i="29957" s="1"/>
  <c r="G208" i="29957"/>
  <c r="I208" i="29957" s="1"/>
  <c r="G209" i="29957"/>
  <c r="I209" i="29957" s="1"/>
  <c r="G210" i="29957"/>
  <c r="I210" i="29957" s="1"/>
  <c r="G211" i="29957"/>
  <c r="I211" i="29957" s="1"/>
  <c r="G212" i="29957"/>
  <c r="I212" i="29957" s="1"/>
  <c r="G213" i="29957"/>
  <c r="I213" i="29957" s="1"/>
  <c r="G214" i="29957"/>
  <c r="I214" i="29957" s="1"/>
  <c r="G215" i="29957"/>
  <c r="I215" i="29957" s="1"/>
  <c r="G216" i="29957"/>
  <c r="I216" i="29957" s="1"/>
  <c r="G217" i="29957"/>
  <c r="I217" i="29957" s="1"/>
  <c r="G218" i="29957"/>
  <c r="I218" i="29957" s="1"/>
  <c r="G219" i="29957"/>
  <c r="I219" i="29957" s="1"/>
  <c r="G220" i="29957"/>
  <c r="I220" i="29957" s="1"/>
  <c r="G221" i="29957"/>
  <c r="I221" i="29957" s="1"/>
  <c r="G222" i="29957"/>
  <c r="I222" i="29957" s="1"/>
  <c r="G223" i="29957"/>
  <c r="I223" i="29957" s="1"/>
  <c r="G224" i="29957"/>
  <c r="I224" i="29957" s="1"/>
  <c r="G225" i="29957"/>
  <c r="I225" i="29957" s="1"/>
  <c r="G226" i="29957"/>
  <c r="I226" i="29957" s="1"/>
  <c r="G227" i="29957"/>
  <c r="I227" i="29957" s="1"/>
  <c r="G228" i="29957"/>
  <c r="I228" i="29957" s="1"/>
  <c r="G229" i="29957"/>
  <c r="I229" i="29957" s="1"/>
  <c r="G230" i="29957"/>
  <c r="I230" i="29957" s="1"/>
  <c r="G231" i="29957"/>
  <c r="I231" i="29957" s="1"/>
  <c r="G232" i="29957"/>
  <c r="I232" i="29957" s="1"/>
  <c r="G233" i="29957"/>
  <c r="I233" i="29957" s="1"/>
  <c r="G234" i="29957"/>
  <c r="I234" i="29957" s="1"/>
  <c r="G235" i="29957"/>
  <c r="I235" i="29957" s="1"/>
  <c r="G236" i="29957"/>
  <c r="I236" i="29957" s="1"/>
  <c r="G237" i="29957"/>
  <c r="I237" i="29957" s="1"/>
  <c r="G241" i="29957"/>
  <c r="I241" i="29957" s="1"/>
  <c r="G242" i="29957"/>
  <c r="I242" i="29957" s="1"/>
  <c r="G243" i="29957"/>
  <c r="I243" i="29957" s="1"/>
  <c r="G244" i="29957"/>
  <c r="I244" i="29957" s="1"/>
  <c r="G245" i="29957"/>
  <c r="I245" i="29957" s="1"/>
  <c r="G246" i="29957"/>
  <c r="I246" i="29957" s="1"/>
  <c r="G247" i="29957"/>
  <c r="I247" i="29957" s="1"/>
  <c r="G248" i="29957"/>
  <c r="I248" i="29957" s="1"/>
  <c r="G249" i="29957"/>
  <c r="I249" i="29957" s="1"/>
  <c r="G250" i="29957"/>
  <c r="I250" i="29957" s="1"/>
  <c r="G251" i="29957"/>
  <c r="I251" i="29957" s="1"/>
  <c r="G252" i="29957"/>
  <c r="I252" i="29957" s="1"/>
  <c r="G253" i="29957"/>
  <c r="I253" i="29957" s="1"/>
  <c r="G254" i="29957"/>
  <c r="I254" i="29957" s="1"/>
  <c r="G255" i="29957"/>
  <c r="I255" i="29957" s="1"/>
  <c r="G256" i="29957"/>
  <c r="I256" i="29957" s="1"/>
  <c r="G257" i="29957"/>
  <c r="I257" i="29957" s="1"/>
  <c r="G258" i="29957"/>
  <c r="I258" i="29957" s="1"/>
  <c r="G259" i="29957"/>
  <c r="I259" i="29957" s="1"/>
  <c r="G260" i="29957"/>
  <c r="I260" i="29957" s="1"/>
  <c r="G261" i="29957"/>
  <c r="I261" i="29957" s="1"/>
  <c r="G262" i="29957"/>
  <c r="I262" i="29957" s="1"/>
  <c r="G263" i="29957"/>
  <c r="I263" i="29957" s="1"/>
  <c r="G264" i="29957"/>
  <c r="I264" i="29957" s="1"/>
  <c r="G265" i="29957"/>
  <c r="I265" i="29957" s="1"/>
  <c r="G266" i="29957"/>
  <c r="I266" i="29957" s="1"/>
  <c r="G267" i="29957"/>
  <c r="I267" i="29957" s="1"/>
  <c r="G268" i="29957"/>
  <c r="I268" i="29957" s="1"/>
  <c r="G269" i="29957"/>
  <c r="I269" i="29957" s="1"/>
  <c r="G270" i="29957"/>
  <c r="I270" i="29957" s="1"/>
  <c r="G271" i="29957"/>
  <c r="I271" i="29957" s="1"/>
  <c r="G272" i="29957"/>
  <c r="I272" i="29957" s="1"/>
  <c r="G276" i="29957"/>
  <c r="I276" i="29957" s="1"/>
  <c r="G277" i="29957"/>
  <c r="I277" i="29957" s="1"/>
  <c r="G278" i="29957"/>
  <c r="I278" i="29957" s="1"/>
  <c r="G279" i="29957"/>
  <c r="I279" i="29957" s="1"/>
  <c r="G280" i="29957"/>
  <c r="I280" i="29957" s="1"/>
  <c r="G281" i="29957"/>
  <c r="I281" i="29957" s="1"/>
  <c r="G282" i="29957"/>
  <c r="I282" i="29957" s="1"/>
  <c r="G283" i="29957"/>
  <c r="I283" i="29957" s="1"/>
  <c r="G284" i="29957"/>
  <c r="I284" i="29957" s="1"/>
  <c r="G285" i="29957"/>
  <c r="I285" i="29957" s="1"/>
  <c r="G286" i="29957"/>
  <c r="I286" i="29957" s="1"/>
  <c r="G287" i="29957"/>
  <c r="I287" i="29957" s="1"/>
  <c r="G288" i="29957"/>
  <c r="I288" i="29957" s="1"/>
  <c r="G289" i="29957"/>
  <c r="I289" i="29957" s="1"/>
  <c r="G290" i="29957"/>
  <c r="I290" i="29957" s="1"/>
  <c r="G291" i="29957"/>
  <c r="I291" i="29957" s="1"/>
  <c r="G295" i="29957"/>
  <c r="I295" i="29957" s="1"/>
  <c r="G296" i="29957"/>
  <c r="I296" i="29957" s="1"/>
  <c r="G297" i="29957"/>
  <c r="I297" i="29957" s="1"/>
  <c r="G298" i="29957"/>
  <c r="I298" i="29957" s="1"/>
  <c r="G299" i="29957"/>
  <c r="I299" i="29957" s="1"/>
  <c r="G300" i="29957"/>
  <c r="I300" i="29957" s="1"/>
  <c r="G301" i="29957"/>
  <c r="I301" i="29957" s="1"/>
  <c r="G302" i="29957"/>
  <c r="I302" i="29957" s="1"/>
  <c r="G306" i="29957"/>
  <c r="I306" i="29957" s="1"/>
  <c r="G307" i="29957"/>
  <c r="I307" i="29957" s="1"/>
  <c r="G308" i="29957"/>
  <c r="I308" i="29957" s="1"/>
  <c r="G309" i="29957"/>
  <c r="I309" i="29957" s="1"/>
  <c r="G313" i="29957"/>
  <c r="I313" i="29957" s="1"/>
  <c r="G314" i="29957"/>
  <c r="I314" i="29957" s="1"/>
  <c r="G318" i="29957"/>
  <c r="I318" i="29957" s="1"/>
  <c r="G322" i="29957"/>
  <c r="I322" i="29957" s="1"/>
  <c r="Z11" i="30041"/>
  <c r="Z18" i="30041"/>
  <c r="AE18" i="30041" s="1"/>
  <c r="Z25" i="30041"/>
  <c r="AG25" i="30041" s="1"/>
  <c r="AB11" i="30041"/>
  <c r="AE12" i="30041"/>
  <c r="AF12" i="30041"/>
  <c r="AG12" i="30041"/>
  <c r="AH12" i="30041"/>
  <c r="AI12" i="30041"/>
  <c r="AJ12" i="30041"/>
  <c r="AE13" i="30041"/>
  <c r="AF13" i="30041"/>
  <c r="AG13" i="30041"/>
  <c r="AH13" i="30041"/>
  <c r="AI13" i="30041"/>
  <c r="AJ13" i="30041"/>
  <c r="AE14" i="30041"/>
  <c r="AF14" i="30041"/>
  <c r="AG14" i="30041"/>
  <c r="AH14" i="30041"/>
  <c r="AI14" i="30041"/>
  <c r="AJ14" i="30041"/>
  <c r="AE15" i="30041"/>
  <c r="AF15" i="30041"/>
  <c r="AG15" i="30041"/>
  <c r="AH15" i="30041"/>
  <c r="AI15" i="30041"/>
  <c r="AJ15" i="30041"/>
  <c r="AB18" i="30041"/>
  <c r="AE19" i="30041"/>
  <c r="AF19" i="30041"/>
  <c r="AG19" i="30041"/>
  <c r="AH19" i="30041"/>
  <c r="AI19" i="30041"/>
  <c r="AJ19" i="30041"/>
  <c r="AE20" i="30041"/>
  <c r="AF20" i="30041"/>
  <c r="AG20" i="30041"/>
  <c r="AH20" i="30041"/>
  <c r="AI20" i="30041"/>
  <c r="AJ20" i="30041"/>
  <c r="AE21" i="30041"/>
  <c r="AF21" i="30041"/>
  <c r="AG21" i="30041"/>
  <c r="AH21" i="30041"/>
  <c r="AI21" i="30041"/>
  <c r="AJ21" i="30041"/>
  <c r="AE22" i="30041"/>
  <c r="AF22" i="30041"/>
  <c r="AG22" i="30041"/>
  <c r="AH22" i="30041"/>
  <c r="AI22" i="30041"/>
  <c r="AJ22" i="30041"/>
  <c r="AB25" i="30041"/>
  <c r="AE26" i="30041"/>
  <c r="AF26" i="30041"/>
  <c r="AG26" i="30041"/>
  <c r="AH26" i="30041"/>
  <c r="AI26" i="30041"/>
  <c r="AJ26" i="30041"/>
  <c r="AE27" i="30041"/>
  <c r="AF27" i="30041"/>
  <c r="AG27" i="30041"/>
  <c r="AH27" i="30041"/>
  <c r="AI27" i="30041"/>
  <c r="AJ27" i="30041"/>
  <c r="AE28" i="30041"/>
  <c r="AF28" i="30041"/>
  <c r="AG28" i="30041"/>
  <c r="AH28" i="30041"/>
  <c r="AI28" i="30041"/>
  <c r="AJ28" i="30041"/>
  <c r="AE29" i="30041"/>
  <c r="AF29" i="30041"/>
  <c r="AG29" i="30041"/>
  <c r="AH29" i="30041"/>
  <c r="AI29" i="30041"/>
  <c r="AJ29" i="30041"/>
  <c r="Z41" i="30041"/>
  <c r="AH41" i="30041" s="1"/>
  <c r="Z48" i="30041"/>
  <c r="Z55" i="30041"/>
  <c r="AE55" i="30041" s="1"/>
  <c r="Z62" i="30041"/>
  <c r="AJ62" i="30041" s="1"/>
  <c r="Z69" i="30041"/>
  <c r="AE69" i="30041" s="1"/>
  <c r="Z76" i="30041"/>
  <c r="AB41" i="30041"/>
  <c r="AE42" i="30041"/>
  <c r="AF42" i="30041"/>
  <c r="AG42" i="30041"/>
  <c r="AH42" i="30041"/>
  <c r="AI42" i="30041"/>
  <c r="AJ42" i="30041"/>
  <c r="AE43" i="30041"/>
  <c r="AF43" i="30041"/>
  <c r="AG43" i="30041"/>
  <c r="AH43" i="30041"/>
  <c r="AI43" i="30041"/>
  <c r="AJ43" i="30041"/>
  <c r="AE44" i="30041"/>
  <c r="AF44" i="30041"/>
  <c r="AG44" i="30041"/>
  <c r="AH44" i="30041"/>
  <c r="AI44" i="30041"/>
  <c r="AJ44" i="30041"/>
  <c r="AE45" i="30041"/>
  <c r="AF45" i="30041"/>
  <c r="AG45" i="30041"/>
  <c r="AH45" i="30041"/>
  <c r="AI45" i="30041"/>
  <c r="AJ45" i="30041"/>
  <c r="AB48" i="30041"/>
  <c r="AE49" i="30041"/>
  <c r="AF49" i="30041"/>
  <c r="AG49" i="30041"/>
  <c r="AH49" i="30041"/>
  <c r="AI49" i="30041"/>
  <c r="AJ49" i="30041"/>
  <c r="AE50" i="30041"/>
  <c r="AF50" i="30041"/>
  <c r="AG50" i="30041"/>
  <c r="AH50" i="30041"/>
  <c r="AI50" i="30041"/>
  <c r="AJ50" i="30041"/>
  <c r="AE51" i="30041"/>
  <c r="AF51" i="30041"/>
  <c r="AG51" i="30041"/>
  <c r="AH51" i="30041"/>
  <c r="AI51" i="30041"/>
  <c r="AJ51" i="30041"/>
  <c r="AE52" i="30041"/>
  <c r="AF52" i="30041"/>
  <c r="AG52" i="30041"/>
  <c r="AH52" i="30041"/>
  <c r="AI52" i="30041"/>
  <c r="AJ52" i="30041"/>
  <c r="AB55" i="30041"/>
  <c r="AE56" i="30041"/>
  <c r="AF56" i="30041"/>
  <c r="AG56" i="30041"/>
  <c r="AH56" i="30041"/>
  <c r="AI56" i="30041"/>
  <c r="AJ56" i="30041"/>
  <c r="AE57" i="30041"/>
  <c r="AF57" i="30041"/>
  <c r="AG57" i="30041"/>
  <c r="AH57" i="30041"/>
  <c r="AI57" i="30041"/>
  <c r="AJ57" i="30041"/>
  <c r="AE58" i="30041"/>
  <c r="AF58" i="30041"/>
  <c r="AG58" i="30041"/>
  <c r="AH58" i="30041"/>
  <c r="AI58" i="30041"/>
  <c r="AJ58" i="30041"/>
  <c r="AE59" i="30041"/>
  <c r="AF59" i="30041"/>
  <c r="AG59" i="30041"/>
  <c r="AH59" i="30041"/>
  <c r="AI59" i="30041"/>
  <c r="AJ59" i="30041"/>
  <c r="AB62" i="30041"/>
  <c r="AE63" i="30041"/>
  <c r="AF63" i="30041"/>
  <c r="AG63" i="30041"/>
  <c r="AH63" i="30041"/>
  <c r="AI63" i="30041"/>
  <c r="AJ63" i="30041"/>
  <c r="AE64" i="30041"/>
  <c r="AF64" i="30041"/>
  <c r="AG64" i="30041"/>
  <c r="AH64" i="30041"/>
  <c r="AI64" i="30041"/>
  <c r="AJ64" i="30041"/>
  <c r="AE65" i="30041"/>
  <c r="AF65" i="30041"/>
  <c r="AG65" i="30041"/>
  <c r="AH65" i="30041"/>
  <c r="AI65" i="30041"/>
  <c r="AJ65" i="30041"/>
  <c r="AE66" i="30041"/>
  <c r="AF66" i="30041"/>
  <c r="AG66" i="30041"/>
  <c r="AH66" i="30041"/>
  <c r="AI66" i="30041"/>
  <c r="AJ66" i="30041"/>
  <c r="AB69" i="30041"/>
  <c r="AE70" i="30041"/>
  <c r="AF70" i="30041"/>
  <c r="AG70" i="30041"/>
  <c r="AH70" i="30041"/>
  <c r="AI70" i="30041"/>
  <c r="AJ70" i="30041"/>
  <c r="AE71" i="30041"/>
  <c r="AF71" i="30041"/>
  <c r="AG71" i="30041"/>
  <c r="AH71" i="30041"/>
  <c r="AI71" i="30041"/>
  <c r="AJ71" i="30041"/>
  <c r="AE72" i="30041"/>
  <c r="AF72" i="30041"/>
  <c r="AG72" i="30041"/>
  <c r="AH72" i="30041"/>
  <c r="AI72" i="30041"/>
  <c r="AJ72" i="30041"/>
  <c r="AE73" i="30041"/>
  <c r="AF73" i="30041"/>
  <c r="AG73" i="30041"/>
  <c r="AH73" i="30041"/>
  <c r="AI73" i="30041"/>
  <c r="AJ73" i="30041"/>
  <c r="AB76" i="30041"/>
  <c r="AE77" i="30041"/>
  <c r="AF77" i="30041"/>
  <c r="AG77" i="30041"/>
  <c r="AH77" i="30041"/>
  <c r="AI77" i="30041"/>
  <c r="AJ77" i="30041"/>
  <c r="AE78" i="30041"/>
  <c r="AF78" i="30041"/>
  <c r="AG78" i="30041"/>
  <c r="AH78" i="30041"/>
  <c r="AI78" i="30041"/>
  <c r="AJ78" i="30041"/>
  <c r="AE79" i="30041"/>
  <c r="AF79" i="30041"/>
  <c r="AG79" i="30041"/>
  <c r="AH79" i="30041"/>
  <c r="AI79" i="30041"/>
  <c r="AJ79" i="30041"/>
  <c r="AE80" i="30041"/>
  <c r="AF80" i="30041"/>
  <c r="AG80" i="30041"/>
  <c r="AH80" i="30041"/>
  <c r="AI80" i="30041"/>
  <c r="AJ80" i="30041"/>
  <c r="Z93" i="30041"/>
  <c r="Z100" i="30041"/>
  <c r="BD90" i="30041" s="1"/>
  <c r="Z107" i="30041"/>
  <c r="BE88" i="30041" s="1"/>
  <c r="Z114" i="30041"/>
  <c r="AG114" i="30041" s="1"/>
  <c r="Z121" i="30041"/>
  <c r="Z128" i="30041"/>
  <c r="BH89" i="30041" s="1"/>
  <c r="AB93" i="30041"/>
  <c r="AE94" i="30041"/>
  <c r="AF94" i="30041"/>
  <c r="AG94" i="30041"/>
  <c r="AH94" i="30041"/>
  <c r="AI94" i="30041"/>
  <c r="AJ94" i="30041"/>
  <c r="AE95" i="30041"/>
  <c r="AF95" i="30041"/>
  <c r="AG95" i="30041"/>
  <c r="AH95" i="30041"/>
  <c r="AI95" i="30041"/>
  <c r="AJ95" i="30041"/>
  <c r="AE96" i="30041"/>
  <c r="AF96" i="30041"/>
  <c r="AG96" i="30041"/>
  <c r="AH96" i="30041"/>
  <c r="AI96" i="30041"/>
  <c r="AJ96" i="30041"/>
  <c r="AE97" i="30041"/>
  <c r="AF97" i="30041"/>
  <c r="AG97" i="30041"/>
  <c r="AH97" i="30041"/>
  <c r="AI97" i="30041"/>
  <c r="AJ97" i="30041"/>
  <c r="AB100" i="30041"/>
  <c r="AE101" i="30041"/>
  <c r="AF101" i="30041"/>
  <c r="AG101" i="30041"/>
  <c r="AH101" i="30041"/>
  <c r="AI101" i="30041"/>
  <c r="AJ101" i="30041"/>
  <c r="AE102" i="30041"/>
  <c r="AF102" i="30041"/>
  <c r="AG102" i="30041"/>
  <c r="AH102" i="30041"/>
  <c r="AI102" i="30041"/>
  <c r="AJ102" i="30041"/>
  <c r="AE103" i="30041"/>
  <c r="AF103" i="30041"/>
  <c r="AG103" i="30041"/>
  <c r="AH103" i="30041"/>
  <c r="AI103" i="30041"/>
  <c r="AJ103" i="30041"/>
  <c r="AE104" i="30041"/>
  <c r="AF104" i="30041"/>
  <c r="AG104" i="30041"/>
  <c r="AH104" i="30041"/>
  <c r="AI104" i="30041"/>
  <c r="AJ104" i="30041"/>
  <c r="AB107" i="30041"/>
  <c r="AE108" i="30041"/>
  <c r="AF108" i="30041"/>
  <c r="AG108" i="30041"/>
  <c r="AH108" i="30041"/>
  <c r="AI108" i="30041"/>
  <c r="AJ108" i="30041"/>
  <c r="AE109" i="30041"/>
  <c r="AF109" i="30041"/>
  <c r="AG109" i="30041"/>
  <c r="AH109" i="30041"/>
  <c r="AI109" i="30041"/>
  <c r="AJ109" i="30041"/>
  <c r="AE110" i="30041"/>
  <c r="AF110" i="30041"/>
  <c r="AG110" i="30041"/>
  <c r="AH110" i="30041"/>
  <c r="AI110" i="30041"/>
  <c r="AJ110" i="30041"/>
  <c r="AE111" i="30041"/>
  <c r="AF111" i="30041"/>
  <c r="AG111" i="30041"/>
  <c r="AH111" i="30041"/>
  <c r="AI111" i="30041"/>
  <c r="AJ111" i="30041"/>
  <c r="AB114" i="30041"/>
  <c r="AE115" i="30041"/>
  <c r="AF115" i="30041"/>
  <c r="AG115" i="30041"/>
  <c r="AH115" i="30041"/>
  <c r="AI115" i="30041"/>
  <c r="AJ115" i="30041"/>
  <c r="AE116" i="30041"/>
  <c r="AF116" i="30041"/>
  <c r="AG116" i="30041"/>
  <c r="AH116" i="30041"/>
  <c r="AI116" i="30041"/>
  <c r="AJ116" i="30041"/>
  <c r="AE117" i="30041"/>
  <c r="AF117" i="30041"/>
  <c r="AG117" i="30041"/>
  <c r="AH117" i="30041"/>
  <c r="AI117" i="30041"/>
  <c r="AJ117" i="30041"/>
  <c r="AE118" i="30041"/>
  <c r="AF118" i="30041"/>
  <c r="AG118" i="30041"/>
  <c r="AH118" i="30041"/>
  <c r="AI118" i="30041"/>
  <c r="AJ118" i="30041"/>
  <c r="AB121" i="30041"/>
  <c r="AE122" i="30041"/>
  <c r="AF122" i="30041"/>
  <c r="AG122" i="30041"/>
  <c r="AH122" i="30041"/>
  <c r="AI122" i="30041"/>
  <c r="AJ122" i="30041"/>
  <c r="AE123" i="30041"/>
  <c r="AF123" i="30041"/>
  <c r="AG123" i="30041"/>
  <c r="AH123" i="30041"/>
  <c r="AI123" i="30041"/>
  <c r="AJ123" i="30041"/>
  <c r="AE124" i="30041"/>
  <c r="AF124" i="30041"/>
  <c r="AG124" i="30041"/>
  <c r="AH124" i="30041"/>
  <c r="AI124" i="30041"/>
  <c r="AJ124" i="30041"/>
  <c r="AE125" i="30041"/>
  <c r="AF125" i="30041"/>
  <c r="AG125" i="30041"/>
  <c r="AH125" i="30041"/>
  <c r="AI125" i="30041"/>
  <c r="AJ125" i="30041"/>
  <c r="AB128" i="30041"/>
  <c r="AE129" i="30041"/>
  <c r="AF129" i="30041"/>
  <c r="AG129" i="30041"/>
  <c r="AH129" i="30041"/>
  <c r="AI129" i="30041"/>
  <c r="AJ129" i="30041"/>
  <c r="AE130" i="30041"/>
  <c r="AF130" i="30041"/>
  <c r="AG130" i="30041"/>
  <c r="AH130" i="30041"/>
  <c r="AI130" i="30041"/>
  <c r="AJ130" i="30041"/>
  <c r="AE131" i="30041"/>
  <c r="AF131" i="30041"/>
  <c r="AG131" i="30041"/>
  <c r="AH131" i="30041"/>
  <c r="AI131" i="30041"/>
  <c r="AJ131" i="30041"/>
  <c r="AE132" i="30041"/>
  <c r="AF132" i="30041"/>
  <c r="AG132" i="30041"/>
  <c r="AH132" i="30041"/>
  <c r="AI132" i="30041"/>
  <c r="AJ132" i="30041"/>
  <c r="Z146" i="30041"/>
  <c r="Z153" i="30041"/>
  <c r="Z160" i="30041"/>
  <c r="Z167" i="30041"/>
  <c r="Z174" i="30041"/>
  <c r="Z181" i="30041"/>
  <c r="Z188" i="30041"/>
  <c r="Z195" i="30041"/>
  <c r="Z202" i="30041"/>
  <c r="Z209" i="30041"/>
  <c r="AB146" i="30041"/>
  <c r="AE147" i="30041"/>
  <c r="AF147" i="30041"/>
  <c r="AG147" i="30041"/>
  <c r="AH147" i="30041"/>
  <c r="AI147" i="30041"/>
  <c r="AJ147" i="30041"/>
  <c r="AE148" i="30041"/>
  <c r="AF148" i="30041"/>
  <c r="AG148" i="30041"/>
  <c r="AH148" i="30041"/>
  <c r="AI148" i="30041"/>
  <c r="AJ148" i="30041"/>
  <c r="AE149" i="30041"/>
  <c r="AF149" i="30041"/>
  <c r="AG149" i="30041"/>
  <c r="AH149" i="30041"/>
  <c r="AI149" i="30041"/>
  <c r="AJ149" i="30041"/>
  <c r="AE150" i="30041"/>
  <c r="AF150" i="30041"/>
  <c r="AG150" i="30041"/>
  <c r="AH150" i="30041"/>
  <c r="AI150" i="30041"/>
  <c r="AJ150" i="30041"/>
  <c r="AB153" i="30041"/>
  <c r="AE154" i="30041"/>
  <c r="AF154" i="30041"/>
  <c r="AG154" i="30041"/>
  <c r="AH154" i="30041"/>
  <c r="AI154" i="30041"/>
  <c r="AJ154" i="30041"/>
  <c r="AE155" i="30041"/>
  <c r="AF155" i="30041"/>
  <c r="AG155" i="30041"/>
  <c r="AH155" i="30041"/>
  <c r="AI155" i="30041"/>
  <c r="AJ155" i="30041"/>
  <c r="AE156" i="30041"/>
  <c r="AF156" i="30041"/>
  <c r="AG156" i="30041"/>
  <c r="AH156" i="30041"/>
  <c r="AI156" i="30041"/>
  <c r="AJ156" i="30041"/>
  <c r="AE157" i="30041"/>
  <c r="AF157" i="30041"/>
  <c r="AG157" i="30041"/>
  <c r="AH157" i="30041"/>
  <c r="AI157" i="30041"/>
  <c r="AJ157" i="30041"/>
  <c r="AB160" i="30041"/>
  <c r="AC160" i="30041"/>
  <c r="AE161" i="30041"/>
  <c r="AF161" i="30041"/>
  <c r="AG161" i="30041"/>
  <c r="AH161" i="30041"/>
  <c r="AI161" i="30041"/>
  <c r="AJ161" i="30041"/>
  <c r="AE162" i="30041"/>
  <c r="AF162" i="30041"/>
  <c r="AG162" i="30041"/>
  <c r="AH162" i="30041"/>
  <c r="AI162" i="30041"/>
  <c r="AJ162" i="30041"/>
  <c r="AE163" i="30041"/>
  <c r="AF163" i="30041"/>
  <c r="AG163" i="30041"/>
  <c r="AH163" i="30041"/>
  <c r="AI163" i="30041"/>
  <c r="AJ163" i="30041"/>
  <c r="AE164" i="30041"/>
  <c r="AF164" i="30041"/>
  <c r="AG164" i="30041"/>
  <c r="AH164" i="30041"/>
  <c r="AI164" i="30041"/>
  <c r="AJ164" i="30041"/>
  <c r="AB167" i="30041"/>
  <c r="AE168" i="30041"/>
  <c r="AF168" i="30041"/>
  <c r="AG168" i="30041"/>
  <c r="AH168" i="30041"/>
  <c r="AI168" i="30041"/>
  <c r="AJ168" i="30041"/>
  <c r="AE169" i="30041"/>
  <c r="AF169" i="30041"/>
  <c r="AG169" i="30041"/>
  <c r="AH169" i="30041"/>
  <c r="AI169" i="30041"/>
  <c r="AJ169" i="30041"/>
  <c r="AE170" i="30041"/>
  <c r="AF170" i="30041"/>
  <c r="AG170" i="30041"/>
  <c r="AH170" i="30041"/>
  <c r="AI170" i="30041"/>
  <c r="AJ170" i="30041"/>
  <c r="AE171" i="30041"/>
  <c r="AF171" i="30041"/>
  <c r="AG171" i="30041"/>
  <c r="AH171" i="30041"/>
  <c r="AI171" i="30041"/>
  <c r="AJ171" i="30041"/>
  <c r="AB174" i="30041"/>
  <c r="AE175" i="30041"/>
  <c r="AF175" i="30041"/>
  <c r="AG175" i="30041"/>
  <c r="AH175" i="30041"/>
  <c r="AI175" i="30041"/>
  <c r="AJ175" i="30041"/>
  <c r="AE176" i="30041"/>
  <c r="AF176" i="30041"/>
  <c r="AG176" i="30041"/>
  <c r="AH176" i="30041"/>
  <c r="AI176" i="30041"/>
  <c r="AJ176" i="30041"/>
  <c r="AE177" i="30041"/>
  <c r="AF177" i="30041"/>
  <c r="AG177" i="30041"/>
  <c r="AH177" i="30041"/>
  <c r="AI177" i="30041"/>
  <c r="AJ177" i="30041"/>
  <c r="AE178" i="30041"/>
  <c r="AF178" i="30041"/>
  <c r="AG178" i="30041"/>
  <c r="AH178" i="30041"/>
  <c r="AI178" i="30041"/>
  <c r="AJ178" i="30041"/>
  <c r="AB181" i="30041"/>
  <c r="AE182" i="30041"/>
  <c r="AF182" i="30041"/>
  <c r="AG182" i="30041"/>
  <c r="AH182" i="30041"/>
  <c r="AI182" i="30041"/>
  <c r="AJ182" i="30041"/>
  <c r="AE183" i="30041"/>
  <c r="AF183" i="30041"/>
  <c r="AG183" i="30041"/>
  <c r="AH183" i="30041"/>
  <c r="AI183" i="30041"/>
  <c r="AJ183" i="30041"/>
  <c r="AE184" i="30041"/>
  <c r="AF184" i="30041"/>
  <c r="AG184" i="30041"/>
  <c r="AH184" i="30041"/>
  <c r="AI184" i="30041"/>
  <c r="AJ184" i="30041"/>
  <c r="AE185" i="30041"/>
  <c r="AF185" i="30041"/>
  <c r="AG185" i="30041"/>
  <c r="AH185" i="30041"/>
  <c r="AI185" i="30041"/>
  <c r="AJ185" i="30041"/>
  <c r="AB188" i="30041"/>
  <c r="AE189" i="30041"/>
  <c r="AF189" i="30041"/>
  <c r="AG189" i="30041"/>
  <c r="AH189" i="30041"/>
  <c r="AI189" i="30041"/>
  <c r="AJ189" i="30041"/>
  <c r="AE190" i="30041"/>
  <c r="AF190" i="30041"/>
  <c r="AG190" i="30041"/>
  <c r="AH190" i="30041"/>
  <c r="AI190" i="30041"/>
  <c r="AJ190" i="30041"/>
  <c r="AE191" i="30041"/>
  <c r="AF191" i="30041"/>
  <c r="AG191" i="30041"/>
  <c r="AH191" i="30041"/>
  <c r="AI191" i="30041"/>
  <c r="AJ191" i="30041"/>
  <c r="AE192" i="30041"/>
  <c r="AF192" i="30041"/>
  <c r="AG192" i="30041"/>
  <c r="AH192" i="30041"/>
  <c r="AI192" i="30041"/>
  <c r="AJ192" i="30041"/>
  <c r="AB195" i="30041"/>
  <c r="AE196" i="30041"/>
  <c r="AF196" i="30041"/>
  <c r="AG196" i="30041"/>
  <c r="AH196" i="30041"/>
  <c r="AI196" i="30041"/>
  <c r="AJ196" i="30041"/>
  <c r="AE197" i="30041"/>
  <c r="AF197" i="30041"/>
  <c r="AG197" i="30041"/>
  <c r="AH197" i="30041"/>
  <c r="AI197" i="30041"/>
  <c r="AJ197" i="30041"/>
  <c r="AE198" i="30041"/>
  <c r="AF198" i="30041"/>
  <c r="AG198" i="30041"/>
  <c r="AH198" i="30041"/>
  <c r="AI198" i="30041"/>
  <c r="AJ198" i="30041"/>
  <c r="AE199" i="30041"/>
  <c r="AF199" i="30041"/>
  <c r="AG199" i="30041"/>
  <c r="AH199" i="30041"/>
  <c r="AI199" i="30041"/>
  <c r="AJ199" i="30041"/>
  <c r="Y202" i="30041"/>
  <c r="AB202" i="30041"/>
  <c r="AC202" i="30041"/>
  <c r="AE203" i="30041"/>
  <c r="AF203" i="30041"/>
  <c r="AG203" i="30041"/>
  <c r="AH203" i="30041"/>
  <c r="AI203" i="30041"/>
  <c r="AJ203" i="30041"/>
  <c r="AE204" i="30041"/>
  <c r="AF204" i="30041"/>
  <c r="AG204" i="30041"/>
  <c r="AH204" i="30041"/>
  <c r="AI204" i="30041"/>
  <c r="AJ204" i="30041"/>
  <c r="AE205" i="30041"/>
  <c r="AF205" i="30041"/>
  <c r="AG205" i="30041"/>
  <c r="AH205" i="30041"/>
  <c r="AI205" i="30041"/>
  <c r="AJ205" i="30041"/>
  <c r="AE206" i="30041"/>
  <c r="AF206" i="30041"/>
  <c r="AG206" i="30041"/>
  <c r="AH206" i="30041"/>
  <c r="AI206" i="30041"/>
  <c r="AJ206" i="30041"/>
  <c r="Y209" i="30041"/>
  <c r="AB209" i="30041"/>
  <c r="AE210" i="30041"/>
  <c r="AF210" i="30041"/>
  <c r="AG210" i="30041"/>
  <c r="AH210" i="30041"/>
  <c r="AI210" i="30041"/>
  <c r="AJ210" i="30041"/>
  <c r="AE211" i="30041"/>
  <c r="AF211" i="30041"/>
  <c r="AG211" i="30041"/>
  <c r="AH211" i="30041"/>
  <c r="AI211" i="30041"/>
  <c r="AJ211" i="30041"/>
  <c r="AE212" i="30041"/>
  <c r="AF212" i="30041"/>
  <c r="AG212" i="30041"/>
  <c r="AH212" i="30041"/>
  <c r="AI212" i="30041"/>
  <c r="AJ212" i="30041"/>
  <c r="AE213" i="30041"/>
  <c r="AF213" i="30041"/>
  <c r="AG213" i="30041"/>
  <c r="AH213" i="30041"/>
  <c r="AI213" i="30041"/>
  <c r="AJ213" i="30041"/>
  <c r="Z228" i="30041"/>
  <c r="AE228" i="30041" s="1"/>
  <c r="Z235" i="30041"/>
  <c r="BD225" i="30041" s="1"/>
  <c r="Z242" i="30041"/>
  <c r="Z249" i="30041"/>
  <c r="Z256" i="30041"/>
  <c r="AG256" i="30041" s="1"/>
  <c r="Z263" i="30041"/>
  <c r="AI263" i="30041" s="1"/>
  <c r="Z270" i="30041"/>
  <c r="Z277" i="30041"/>
  <c r="AI277" i="30041" s="1"/>
  <c r="Z284" i="30041"/>
  <c r="BK223" i="30041" s="1"/>
  <c r="Z291" i="30041"/>
  <c r="BL224" i="30041" s="1"/>
  <c r="Z298" i="30041"/>
  <c r="Z305" i="30041"/>
  <c r="BN225" i="30041" s="1"/>
  <c r="Z312" i="30041"/>
  <c r="AH312" i="30041" s="1"/>
  <c r="Z319" i="30041"/>
  <c r="BP221" i="30041" s="1"/>
  <c r="Z326" i="30041"/>
  <c r="Y228" i="30041"/>
  <c r="AB228" i="30041"/>
  <c r="AE229" i="30041"/>
  <c r="AF229" i="30041"/>
  <c r="AG229" i="30041"/>
  <c r="AH229" i="30041"/>
  <c r="AI229" i="30041"/>
  <c r="AJ229" i="30041"/>
  <c r="AE230" i="30041"/>
  <c r="AF230" i="30041"/>
  <c r="AG230" i="30041"/>
  <c r="AH230" i="30041"/>
  <c r="AI230" i="30041"/>
  <c r="AJ230" i="30041"/>
  <c r="AE231" i="30041"/>
  <c r="AF231" i="30041"/>
  <c r="AG231" i="30041"/>
  <c r="AH231" i="30041"/>
  <c r="AI231" i="30041"/>
  <c r="AJ231" i="30041"/>
  <c r="AE232" i="30041"/>
  <c r="AF232" i="30041"/>
  <c r="AG232" i="30041"/>
  <c r="AH232" i="30041"/>
  <c r="AI232" i="30041"/>
  <c r="AJ232" i="30041"/>
  <c r="AB235" i="30041"/>
  <c r="AE236" i="30041"/>
  <c r="AF236" i="30041"/>
  <c r="AG236" i="30041"/>
  <c r="AH236" i="30041"/>
  <c r="AI236" i="30041"/>
  <c r="AJ236" i="30041"/>
  <c r="AE237" i="30041"/>
  <c r="AF237" i="30041"/>
  <c r="AG237" i="30041"/>
  <c r="AH237" i="30041"/>
  <c r="AI237" i="30041"/>
  <c r="AJ237" i="30041"/>
  <c r="AE238" i="30041"/>
  <c r="AF238" i="30041"/>
  <c r="AG238" i="30041"/>
  <c r="AH238" i="30041"/>
  <c r="AI238" i="30041"/>
  <c r="AJ238" i="30041"/>
  <c r="AE239" i="30041"/>
  <c r="AF239" i="30041"/>
  <c r="AG239" i="30041"/>
  <c r="AH239" i="30041"/>
  <c r="AI239" i="30041"/>
  <c r="AJ239" i="30041"/>
  <c r="AB242" i="30041"/>
  <c r="AE243" i="30041"/>
  <c r="AF243" i="30041"/>
  <c r="AG243" i="30041"/>
  <c r="AH243" i="30041"/>
  <c r="AI243" i="30041"/>
  <c r="AJ243" i="30041"/>
  <c r="AE244" i="30041"/>
  <c r="AF244" i="30041"/>
  <c r="AG244" i="30041"/>
  <c r="AH244" i="30041"/>
  <c r="AI244" i="30041"/>
  <c r="AJ244" i="30041"/>
  <c r="AE245" i="30041"/>
  <c r="AF245" i="30041"/>
  <c r="AG245" i="30041"/>
  <c r="AH245" i="30041"/>
  <c r="AI245" i="30041"/>
  <c r="AJ245" i="30041"/>
  <c r="AE246" i="30041"/>
  <c r="AF246" i="30041"/>
  <c r="AG246" i="30041"/>
  <c r="AH246" i="30041"/>
  <c r="AI246" i="30041"/>
  <c r="AJ246" i="30041"/>
  <c r="AB249" i="30041"/>
  <c r="AE250" i="30041"/>
  <c r="AF250" i="30041"/>
  <c r="AG250" i="30041"/>
  <c r="AH250" i="30041"/>
  <c r="AI250" i="30041"/>
  <c r="AJ250" i="30041"/>
  <c r="AE251" i="30041"/>
  <c r="AF251" i="30041"/>
  <c r="AG251" i="30041"/>
  <c r="AH251" i="30041"/>
  <c r="AI251" i="30041"/>
  <c r="AJ251" i="30041"/>
  <c r="AE252" i="30041"/>
  <c r="AF252" i="30041"/>
  <c r="AG252" i="30041"/>
  <c r="AH252" i="30041"/>
  <c r="AI252" i="30041"/>
  <c r="AJ252" i="30041"/>
  <c r="AE253" i="30041"/>
  <c r="AF253" i="30041"/>
  <c r="AG253" i="30041"/>
  <c r="AH253" i="30041"/>
  <c r="AI253" i="30041"/>
  <c r="AJ253" i="30041"/>
  <c r="AB256" i="30041"/>
  <c r="AC256" i="30041"/>
  <c r="AE257" i="30041"/>
  <c r="AF257" i="30041"/>
  <c r="AG257" i="30041"/>
  <c r="AH257" i="30041"/>
  <c r="AI257" i="30041"/>
  <c r="AJ257" i="30041"/>
  <c r="AE258" i="30041"/>
  <c r="AF258" i="30041"/>
  <c r="AG258" i="30041"/>
  <c r="AH258" i="30041"/>
  <c r="AI258" i="30041"/>
  <c r="AJ258" i="30041"/>
  <c r="AE259" i="30041"/>
  <c r="AF259" i="30041"/>
  <c r="AG259" i="30041"/>
  <c r="AH259" i="30041"/>
  <c r="AI259" i="30041"/>
  <c r="AJ259" i="30041"/>
  <c r="AE260" i="30041"/>
  <c r="AF260" i="30041"/>
  <c r="AG260" i="30041"/>
  <c r="AH260" i="30041"/>
  <c r="AI260" i="30041"/>
  <c r="AJ260" i="30041"/>
  <c r="AB263" i="30041"/>
  <c r="AE264" i="30041"/>
  <c r="AF264" i="30041"/>
  <c r="AG264" i="30041"/>
  <c r="AH264" i="30041"/>
  <c r="AI264" i="30041"/>
  <c r="AJ264" i="30041"/>
  <c r="AE265" i="30041"/>
  <c r="AF265" i="30041"/>
  <c r="AG265" i="30041"/>
  <c r="AH265" i="30041"/>
  <c r="AI265" i="30041"/>
  <c r="AJ265" i="30041"/>
  <c r="AE266" i="30041"/>
  <c r="AF266" i="30041"/>
  <c r="AG266" i="30041"/>
  <c r="AH266" i="30041"/>
  <c r="AI266" i="30041"/>
  <c r="AJ266" i="30041"/>
  <c r="AE267" i="30041"/>
  <c r="AF267" i="30041"/>
  <c r="AG267" i="30041"/>
  <c r="AH267" i="30041"/>
  <c r="AI267" i="30041"/>
  <c r="AJ267" i="30041"/>
  <c r="Y270" i="30041"/>
  <c r="AB270" i="30041"/>
  <c r="AE271" i="30041"/>
  <c r="AF271" i="30041"/>
  <c r="AG271" i="30041"/>
  <c r="AH271" i="30041"/>
  <c r="AI271" i="30041"/>
  <c r="AJ271" i="30041"/>
  <c r="AE272" i="30041"/>
  <c r="AF272" i="30041"/>
  <c r="AG272" i="30041"/>
  <c r="AH272" i="30041"/>
  <c r="AI272" i="30041"/>
  <c r="AJ272" i="30041"/>
  <c r="AE273" i="30041"/>
  <c r="AF273" i="30041"/>
  <c r="AG273" i="30041"/>
  <c r="AH273" i="30041"/>
  <c r="AI273" i="30041"/>
  <c r="AJ273" i="30041"/>
  <c r="AE274" i="30041"/>
  <c r="AF274" i="30041"/>
  <c r="AG274" i="30041"/>
  <c r="AH274" i="30041"/>
  <c r="AI274" i="30041"/>
  <c r="AJ274" i="30041"/>
  <c r="AB277" i="30041"/>
  <c r="AE278" i="30041"/>
  <c r="AF278" i="30041"/>
  <c r="AG278" i="30041"/>
  <c r="AH278" i="30041"/>
  <c r="AI278" i="30041"/>
  <c r="AJ278" i="30041"/>
  <c r="AE279" i="30041"/>
  <c r="AF279" i="30041"/>
  <c r="AG279" i="30041"/>
  <c r="AH279" i="30041"/>
  <c r="AI279" i="30041"/>
  <c r="AJ279" i="30041"/>
  <c r="AE280" i="30041"/>
  <c r="AF280" i="30041"/>
  <c r="AG280" i="30041"/>
  <c r="AH280" i="30041"/>
  <c r="AI280" i="30041"/>
  <c r="AJ280" i="30041"/>
  <c r="AE281" i="30041"/>
  <c r="AF281" i="30041"/>
  <c r="AG281" i="30041"/>
  <c r="AH281" i="30041"/>
  <c r="AI281" i="30041"/>
  <c r="AJ281" i="30041"/>
  <c r="AB284" i="30041"/>
  <c r="AE285" i="30041"/>
  <c r="AF285" i="30041"/>
  <c r="AG285" i="30041"/>
  <c r="AH285" i="30041"/>
  <c r="AI285" i="30041"/>
  <c r="AJ285" i="30041"/>
  <c r="AE286" i="30041"/>
  <c r="AF286" i="30041"/>
  <c r="AG286" i="30041"/>
  <c r="AH286" i="30041"/>
  <c r="AI286" i="30041"/>
  <c r="AJ286" i="30041"/>
  <c r="AE287" i="30041"/>
  <c r="AF287" i="30041"/>
  <c r="AG287" i="30041"/>
  <c r="AH287" i="30041"/>
  <c r="AI287" i="30041"/>
  <c r="AJ287" i="30041"/>
  <c r="AE288" i="30041"/>
  <c r="AF288" i="30041"/>
  <c r="AG288" i="30041"/>
  <c r="AH288" i="30041"/>
  <c r="AI288" i="30041"/>
  <c r="AJ288" i="30041"/>
  <c r="AB291" i="30041"/>
  <c r="AE292" i="30041"/>
  <c r="AF292" i="30041"/>
  <c r="AG292" i="30041"/>
  <c r="AH292" i="30041"/>
  <c r="AI292" i="30041"/>
  <c r="AJ292" i="30041"/>
  <c r="AE293" i="30041"/>
  <c r="AF293" i="30041"/>
  <c r="AG293" i="30041"/>
  <c r="AH293" i="30041"/>
  <c r="AI293" i="30041"/>
  <c r="AJ293" i="30041"/>
  <c r="AE294" i="30041"/>
  <c r="AF294" i="30041"/>
  <c r="AG294" i="30041"/>
  <c r="AH294" i="30041"/>
  <c r="AI294" i="30041"/>
  <c r="AJ294" i="30041"/>
  <c r="AE295" i="30041"/>
  <c r="AF295" i="30041"/>
  <c r="AG295" i="30041"/>
  <c r="AH295" i="30041"/>
  <c r="AI295" i="30041"/>
  <c r="AJ295" i="30041"/>
  <c r="AB298" i="30041"/>
  <c r="AE299" i="30041"/>
  <c r="AF299" i="30041"/>
  <c r="AG299" i="30041"/>
  <c r="AH299" i="30041"/>
  <c r="AI299" i="30041"/>
  <c r="AJ299" i="30041"/>
  <c r="AE300" i="30041"/>
  <c r="AF300" i="30041"/>
  <c r="AG300" i="30041"/>
  <c r="AH300" i="30041"/>
  <c r="AI300" i="30041"/>
  <c r="AJ300" i="30041"/>
  <c r="AE301" i="30041"/>
  <c r="AF301" i="30041"/>
  <c r="AG301" i="30041"/>
  <c r="AH301" i="30041"/>
  <c r="AI301" i="30041"/>
  <c r="AJ301" i="30041"/>
  <c r="AE302" i="30041"/>
  <c r="AF302" i="30041"/>
  <c r="AG302" i="30041"/>
  <c r="AH302" i="30041"/>
  <c r="AI302" i="30041"/>
  <c r="AJ302" i="30041"/>
  <c r="Y305" i="30041"/>
  <c r="AB305" i="30041"/>
  <c r="AI306" i="30041"/>
  <c r="AJ306" i="30041"/>
  <c r="AI307" i="30041"/>
  <c r="AJ307" i="30041"/>
  <c r="AI308" i="30041"/>
  <c r="AJ308" i="30041"/>
  <c r="AI309" i="30041"/>
  <c r="AJ309" i="30041"/>
  <c r="AB312" i="30041"/>
  <c r="AE313" i="30041"/>
  <c r="AF313" i="30041"/>
  <c r="AG313" i="30041"/>
  <c r="AH313" i="30041"/>
  <c r="AI313" i="30041"/>
  <c r="AJ313" i="30041"/>
  <c r="AE314" i="30041"/>
  <c r="AF314" i="30041"/>
  <c r="AG314" i="30041"/>
  <c r="AH314" i="30041"/>
  <c r="AI314" i="30041"/>
  <c r="AJ314" i="30041"/>
  <c r="AE315" i="30041"/>
  <c r="AF315" i="30041"/>
  <c r="AG315" i="30041"/>
  <c r="AH315" i="30041"/>
  <c r="AI315" i="30041"/>
  <c r="AJ315" i="30041"/>
  <c r="AE316" i="30041"/>
  <c r="AF316" i="30041"/>
  <c r="AG316" i="30041"/>
  <c r="AH316" i="30041"/>
  <c r="AI316" i="30041"/>
  <c r="AJ316" i="30041"/>
  <c r="Y319" i="30041"/>
  <c r="AB319" i="30041"/>
  <c r="AC319" i="30041"/>
  <c r="AE320" i="30041"/>
  <c r="AF320" i="30041"/>
  <c r="AG320" i="30041"/>
  <c r="AH320" i="30041"/>
  <c r="AI320" i="30041"/>
  <c r="AJ320" i="30041"/>
  <c r="AE321" i="30041"/>
  <c r="AF321" i="30041"/>
  <c r="AG321" i="30041"/>
  <c r="AH321" i="30041"/>
  <c r="AI321" i="30041"/>
  <c r="AJ321" i="30041"/>
  <c r="AE322" i="30041"/>
  <c r="AF322" i="30041"/>
  <c r="AG322" i="30041"/>
  <c r="AH322" i="30041"/>
  <c r="AI322" i="30041"/>
  <c r="AJ322" i="30041"/>
  <c r="AE323" i="30041"/>
  <c r="AF323" i="30041"/>
  <c r="AG323" i="30041"/>
  <c r="AH323" i="30041"/>
  <c r="AI323" i="30041"/>
  <c r="AJ323" i="30041"/>
  <c r="AB326" i="30041"/>
  <c r="AE327" i="30041"/>
  <c r="AF327" i="30041"/>
  <c r="AG327" i="30041"/>
  <c r="AH327" i="30041"/>
  <c r="AI327" i="30041"/>
  <c r="AJ327" i="30041"/>
  <c r="AE328" i="30041"/>
  <c r="AF328" i="30041"/>
  <c r="AG328" i="30041"/>
  <c r="AH328" i="30041"/>
  <c r="AI328" i="30041"/>
  <c r="AJ328" i="30041"/>
  <c r="AE329" i="30041"/>
  <c r="AF329" i="30041"/>
  <c r="AG329" i="30041"/>
  <c r="AH329" i="30041"/>
  <c r="AI329" i="30041"/>
  <c r="AJ329" i="30041"/>
  <c r="AE330" i="30041"/>
  <c r="AF330" i="30041"/>
  <c r="AG330" i="30041"/>
  <c r="AH330" i="30041"/>
  <c r="AI330" i="30041"/>
  <c r="AJ330" i="30041"/>
  <c r="Z346" i="30041"/>
  <c r="BC338" i="30041" s="1"/>
  <c r="Z353" i="30041"/>
  <c r="AF353" i="30041" s="1"/>
  <c r="Z360" i="30041"/>
  <c r="BE343" i="30041" s="1"/>
  <c r="Z367" i="30041"/>
  <c r="AJ367" i="30041" s="1"/>
  <c r="Z374" i="30041"/>
  <c r="AH374" i="30041" s="1"/>
  <c r="Z381" i="30041"/>
  <c r="AF381" i="30041" s="1"/>
  <c r="Z388" i="30041"/>
  <c r="Z395" i="30041"/>
  <c r="AE395" i="30041" s="1"/>
  <c r="Z402" i="30041"/>
  <c r="BK344" i="30041" s="1"/>
  <c r="Z409" i="30041"/>
  <c r="AH409" i="30041" s="1"/>
  <c r="Z416" i="30041"/>
  <c r="BM338" i="30041" s="1"/>
  <c r="Z423" i="30041"/>
  <c r="Z430" i="30041"/>
  <c r="BO341" i="30041" s="1"/>
  <c r="Z437" i="30041"/>
  <c r="AI437" i="30041" s="1"/>
  <c r="Z444" i="30041"/>
  <c r="Z451" i="30041"/>
  <c r="BR338" i="30041" s="1"/>
  <c r="Z458" i="30041"/>
  <c r="AH458" i="30041" s="1"/>
  <c r="Z465" i="30041"/>
  <c r="AI465" i="30041" s="1"/>
  <c r="Z472" i="30041"/>
  <c r="Z479" i="30041"/>
  <c r="BV342" i="30041" s="1"/>
  <c r="Z486" i="30041"/>
  <c r="BW344" i="30041" s="1"/>
  <c r="Y346" i="30041"/>
  <c r="AB346" i="30041"/>
  <c r="AE347" i="30041"/>
  <c r="AF347" i="30041"/>
  <c r="AG347" i="30041"/>
  <c r="AH347" i="30041"/>
  <c r="AI347" i="30041"/>
  <c r="AJ347" i="30041"/>
  <c r="AE348" i="30041"/>
  <c r="AF348" i="30041"/>
  <c r="AG348" i="30041"/>
  <c r="AH348" i="30041"/>
  <c r="AI348" i="30041"/>
  <c r="AJ348" i="30041"/>
  <c r="AE349" i="30041"/>
  <c r="AF349" i="30041"/>
  <c r="AG349" i="30041"/>
  <c r="AH349" i="30041"/>
  <c r="AI349" i="30041"/>
  <c r="AJ349" i="30041"/>
  <c r="AE350" i="30041"/>
  <c r="AF350" i="30041"/>
  <c r="AG350" i="30041"/>
  <c r="AH350" i="30041"/>
  <c r="AI350" i="30041"/>
  <c r="AJ350" i="30041"/>
  <c r="AB353" i="30041"/>
  <c r="AE354" i="30041"/>
  <c r="AF354" i="30041"/>
  <c r="AG354" i="30041"/>
  <c r="AH354" i="30041"/>
  <c r="AI354" i="30041"/>
  <c r="AJ354" i="30041"/>
  <c r="AE355" i="30041"/>
  <c r="AF355" i="30041"/>
  <c r="AG355" i="30041"/>
  <c r="AH355" i="30041"/>
  <c r="AI355" i="30041"/>
  <c r="AJ355" i="30041"/>
  <c r="AE356" i="30041"/>
  <c r="AF356" i="30041"/>
  <c r="AG356" i="30041"/>
  <c r="AH356" i="30041"/>
  <c r="AI356" i="30041"/>
  <c r="AJ356" i="30041"/>
  <c r="AE357" i="30041"/>
  <c r="AF357" i="30041"/>
  <c r="AG357" i="30041"/>
  <c r="AH357" i="30041"/>
  <c r="AI357" i="30041"/>
  <c r="AJ357" i="30041"/>
  <c r="AB360" i="30041"/>
  <c r="AE361" i="30041"/>
  <c r="AF361" i="30041"/>
  <c r="AG361" i="30041"/>
  <c r="AH361" i="30041"/>
  <c r="AI361" i="30041"/>
  <c r="AJ361" i="30041"/>
  <c r="AE362" i="30041"/>
  <c r="AF362" i="30041"/>
  <c r="AG362" i="30041"/>
  <c r="AH362" i="30041"/>
  <c r="AI362" i="30041"/>
  <c r="AJ362" i="30041"/>
  <c r="AE363" i="30041"/>
  <c r="AF363" i="30041"/>
  <c r="AG363" i="30041"/>
  <c r="AH363" i="30041"/>
  <c r="AI363" i="30041"/>
  <c r="AJ363" i="30041"/>
  <c r="AE364" i="30041"/>
  <c r="AF364" i="30041"/>
  <c r="AG364" i="30041"/>
  <c r="AH364" i="30041"/>
  <c r="AI364" i="30041"/>
  <c r="AJ364" i="30041"/>
  <c r="AB367" i="30041"/>
  <c r="AE368" i="30041"/>
  <c r="AF368" i="30041"/>
  <c r="AG368" i="30041"/>
  <c r="AH368" i="30041"/>
  <c r="AI368" i="30041"/>
  <c r="AJ368" i="30041"/>
  <c r="AE369" i="30041"/>
  <c r="AF369" i="30041"/>
  <c r="AG369" i="30041"/>
  <c r="AH369" i="30041"/>
  <c r="AI369" i="30041"/>
  <c r="AJ369" i="30041"/>
  <c r="AE370" i="30041"/>
  <c r="AF370" i="30041"/>
  <c r="AG370" i="30041"/>
  <c r="AH370" i="30041"/>
  <c r="AI370" i="30041"/>
  <c r="AJ370" i="30041"/>
  <c r="AE371" i="30041"/>
  <c r="AF371" i="30041"/>
  <c r="AG371" i="30041"/>
  <c r="AH371" i="30041"/>
  <c r="AI371" i="30041"/>
  <c r="AJ371" i="30041"/>
  <c r="AB374" i="30041"/>
  <c r="AE375" i="30041"/>
  <c r="AF375" i="30041"/>
  <c r="AG375" i="30041"/>
  <c r="AH375" i="30041"/>
  <c r="AI375" i="30041"/>
  <c r="AJ375" i="30041"/>
  <c r="AE376" i="30041"/>
  <c r="AF376" i="30041"/>
  <c r="AG376" i="30041"/>
  <c r="AH376" i="30041"/>
  <c r="AI376" i="30041"/>
  <c r="AJ376" i="30041"/>
  <c r="AE377" i="30041"/>
  <c r="AF377" i="30041"/>
  <c r="AG377" i="30041"/>
  <c r="AH377" i="30041"/>
  <c r="AI377" i="30041"/>
  <c r="AJ377" i="30041"/>
  <c r="AE378" i="30041"/>
  <c r="AF378" i="30041"/>
  <c r="AG378" i="30041"/>
  <c r="AH378" i="30041"/>
  <c r="AI378" i="30041"/>
  <c r="AJ378" i="30041"/>
  <c r="AB381" i="30041"/>
  <c r="AE382" i="30041"/>
  <c r="AF382" i="30041"/>
  <c r="AG382" i="30041"/>
  <c r="AH382" i="30041"/>
  <c r="AI382" i="30041"/>
  <c r="AJ382" i="30041"/>
  <c r="AE383" i="30041"/>
  <c r="AF383" i="30041"/>
  <c r="AG383" i="30041"/>
  <c r="AH383" i="30041"/>
  <c r="AI383" i="30041"/>
  <c r="AJ383" i="30041"/>
  <c r="AE384" i="30041"/>
  <c r="AF384" i="30041"/>
  <c r="AG384" i="30041"/>
  <c r="AH384" i="30041"/>
  <c r="AI384" i="30041"/>
  <c r="AJ384" i="30041"/>
  <c r="AE385" i="30041"/>
  <c r="AF385" i="30041"/>
  <c r="AG385" i="30041"/>
  <c r="AH385" i="30041"/>
  <c r="AI385" i="30041"/>
  <c r="AJ385" i="30041"/>
  <c r="AB388" i="30041"/>
  <c r="AE389" i="30041"/>
  <c r="AF389" i="30041"/>
  <c r="AG389" i="30041"/>
  <c r="AH389" i="30041"/>
  <c r="AI389" i="30041"/>
  <c r="AJ389" i="30041"/>
  <c r="AE390" i="30041"/>
  <c r="AF390" i="30041"/>
  <c r="AG390" i="30041"/>
  <c r="AH390" i="30041"/>
  <c r="AI390" i="30041"/>
  <c r="AJ390" i="30041"/>
  <c r="AE391" i="30041"/>
  <c r="AF391" i="30041"/>
  <c r="AG391" i="30041"/>
  <c r="AH391" i="30041"/>
  <c r="AI391" i="30041"/>
  <c r="AJ391" i="30041"/>
  <c r="AE392" i="30041"/>
  <c r="AF392" i="30041"/>
  <c r="AG392" i="30041"/>
  <c r="AH392" i="30041"/>
  <c r="AI392" i="30041"/>
  <c r="AJ392" i="30041"/>
  <c r="AB395" i="30041"/>
  <c r="AE396" i="30041"/>
  <c r="AF396" i="30041"/>
  <c r="AG396" i="30041"/>
  <c r="AH396" i="30041"/>
  <c r="AI396" i="30041"/>
  <c r="AJ396" i="30041"/>
  <c r="AE397" i="30041"/>
  <c r="AF397" i="30041"/>
  <c r="AG397" i="30041"/>
  <c r="AH397" i="30041"/>
  <c r="AI397" i="30041"/>
  <c r="AJ397" i="30041"/>
  <c r="AE398" i="30041"/>
  <c r="AF398" i="30041"/>
  <c r="AG398" i="30041"/>
  <c r="AH398" i="30041"/>
  <c r="AI398" i="30041"/>
  <c r="AJ398" i="30041"/>
  <c r="AE399" i="30041"/>
  <c r="AF399" i="30041"/>
  <c r="AG399" i="30041"/>
  <c r="AH399" i="30041"/>
  <c r="AI399" i="30041"/>
  <c r="AJ399" i="30041"/>
  <c r="AB402" i="30041"/>
  <c r="AE403" i="30041"/>
  <c r="AF403" i="30041"/>
  <c r="AG403" i="30041"/>
  <c r="AH403" i="30041"/>
  <c r="AI403" i="30041"/>
  <c r="AJ403" i="30041"/>
  <c r="AE404" i="30041"/>
  <c r="AF404" i="30041"/>
  <c r="AG404" i="30041"/>
  <c r="AH404" i="30041"/>
  <c r="AI404" i="30041"/>
  <c r="AJ404" i="30041"/>
  <c r="AE405" i="30041"/>
  <c r="AF405" i="30041"/>
  <c r="AG405" i="30041"/>
  <c r="AH405" i="30041"/>
  <c r="AI405" i="30041"/>
  <c r="AJ405" i="30041"/>
  <c r="AE406" i="30041"/>
  <c r="AF406" i="30041"/>
  <c r="AG406" i="30041"/>
  <c r="AH406" i="30041"/>
  <c r="AI406" i="30041"/>
  <c r="AJ406" i="30041"/>
  <c r="AB409" i="30041"/>
  <c r="AE410" i="30041"/>
  <c r="AF410" i="30041"/>
  <c r="AG410" i="30041"/>
  <c r="AH410" i="30041"/>
  <c r="AI410" i="30041"/>
  <c r="AJ410" i="30041"/>
  <c r="AE411" i="30041"/>
  <c r="AF411" i="30041"/>
  <c r="AG411" i="30041"/>
  <c r="AH411" i="30041"/>
  <c r="AI411" i="30041"/>
  <c r="AJ411" i="30041"/>
  <c r="AE412" i="30041"/>
  <c r="AF412" i="30041"/>
  <c r="AG412" i="30041"/>
  <c r="AH412" i="30041"/>
  <c r="AI412" i="30041"/>
  <c r="AJ412" i="30041"/>
  <c r="AE413" i="30041"/>
  <c r="AF413" i="30041"/>
  <c r="AG413" i="30041"/>
  <c r="AH413" i="30041"/>
  <c r="AI413" i="30041"/>
  <c r="AJ413" i="30041"/>
  <c r="AB416" i="30041"/>
  <c r="AE417" i="30041"/>
  <c r="AF417" i="30041"/>
  <c r="AG417" i="30041"/>
  <c r="AH417" i="30041"/>
  <c r="AI417" i="30041"/>
  <c r="AJ417" i="30041"/>
  <c r="AE418" i="30041"/>
  <c r="AF418" i="30041"/>
  <c r="AG418" i="30041"/>
  <c r="AH418" i="30041"/>
  <c r="AI418" i="30041"/>
  <c r="AJ418" i="30041"/>
  <c r="AE419" i="30041"/>
  <c r="AF419" i="30041"/>
  <c r="AG419" i="30041"/>
  <c r="AH419" i="30041"/>
  <c r="AI419" i="30041"/>
  <c r="AJ419" i="30041"/>
  <c r="AE420" i="30041"/>
  <c r="AF420" i="30041"/>
  <c r="AG420" i="30041"/>
  <c r="AH420" i="30041"/>
  <c r="AI420" i="30041"/>
  <c r="AJ420" i="30041"/>
  <c r="AB423" i="30041"/>
  <c r="AE424" i="30041"/>
  <c r="AF424" i="30041"/>
  <c r="AG424" i="30041"/>
  <c r="AH424" i="30041"/>
  <c r="AI424" i="30041"/>
  <c r="AJ424" i="30041"/>
  <c r="AE425" i="30041"/>
  <c r="AF425" i="30041"/>
  <c r="AG425" i="30041"/>
  <c r="AH425" i="30041"/>
  <c r="AI425" i="30041"/>
  <c r="AJ425" i="30041"/>
  <c r="AE426" i="30041"/>
  <c r="AF426" i="30041"/>
  <c r="AG426" i="30041"/>
  <c r="AH426" i="30041"/>
  <c r="AI426" i="30041"/>
  <c r="AJ426" i="30041"/>
  <c r="AE427" i="30041"/>
  <c r="AF427" i="30041"/>
  <c r="AG427" i="30041"/>
  <c r="AH427" i="30041"/>
  <c r="AI427" i="30041"/>
  <c r="AJ427" i="30041"/>
  <c r="AB430" i="30041"/>
  <c r="AE431" i="30041"/>
  <c r="AF431" i="30041"/>
  <c r="AG431" i="30041"/>
  <c r="AH431" i="30041"/>
  <c r="AI431" i="30041"/>
  <c r="AJ431" i="30041"/>
  <c r="AE432" i="30041"/>
  <c r="AF432" i="30041"/>
  <c r="AG432" i="30041"/>
  <c r="AH432" i="30041"/>
  <c r="AI432" i="30041"/>
  <c r="AJ432" i="30041"/>
  <c r="AE433" i="30041"/>
  <c r="AF433" i="30041"/>
  <c r="AG433" i="30041"/>
  <c r="AH433" i="30041"/>
  <c r="AI433" i="30041"/>
  <c r="AJ433" i="30041"/>
  <c r="AE434" i="30041"/>
  <c r="AF434" i="30041"/>
  <c r="AG434" i="30041"/>
  <c r="AH434" i="30041"/>
  <c r="AI434" i="30041"/>
  <c r="AJ434" i="30041"/>
  <c r="AB437" i="30041"/>
  <c r="AE438" i="30041"/>
  <c r="AF438" i="30041"/>
  <c r="AG438" i="30041"/>
  <c r="AH438" i="30041"/>
  <c r="AI438" i="30041"/>
  <c r="AJ438" i="30041"/>
  <c r="AE439" i="30041"/>
  <c r="AF439" i="30041"/>
  <c r="AG439" i="30041"/>
  <c r="AH439" i="30041"/>
  <c r="AI439" i="30041"/>
  <c r="AJ439" i="30041"/>
  <c r="AE440" i="30041"/>
  <c r="AF440" i="30041"/>
  <c r="AG440" i="30041"/>
  <c r="AH440" i="30041"/>
  <c r="AI440" i="30041"/>
  <c r="AJ440" i="30041"/>
  <c r="AE441" i="30041"/>
  <c r="AF441" i="30041"/>
  <c r="AG441" i="30041"/>
  <c r="AH441" i="30041"/>
  <c r="AI441" i="30041"/>
  <c r="AJ441" i="30041"/>
  <c r="AB444" i="30041"/>
  <c r="AE445" i="30041"/>
  <c r="AF445" i="30041"/>
  <c r="AG445" i="30041"/>
  <c r="AH445" i="30041"/>
  <c r="AI445" i="30041"/>
  <c r="AJ445" i="30041"/>
  <c r="AE446" i="30041"/>
  <c r="AF446" i="30041"/>
  <c r="AG446" i="30041"/>
  <c r="AH446" i="30041"/>
  <c r="AI446" i="30041"/>
  <c r="AJ446" i="30041"/>
  <c r="AE447" i="30041"/>
  <c r="AF447" i="30041"/>
  <c r="AG447" i="30041"/>
  <c r="AH447" i="30041"/>
  <c r="AI447" i="30041"/>
  <c r="AJ447" i="30041"/>
  <c r="AE448" i="30041"/>
  <c r="AF448" i="30041"/>
  <c r="AG448" i="30041"/>
  <c r="AH448" i="30041"/>
  <c r="AI448" i="30041"/>
  <c r="AJ448" i="30041"/>
  <c r="AB451" i="30041"/>
  <c r="AE452" i="30041"/>
  <c r="AF452" i="30041"/>
  <c r="AG452" i="30041"/>
  <c r="AH452" i="30041"/>
  <c r="AI452" i="30041"/>
  <c r="AJ452" i="30041"/>
  <c r="AE453" i="30041"/>
  <c r="AF453" i="30041"/>
  <c r="AG453" i="30041"/>
  <c r="AH453" i="30041"/>
  <c r="AI453" i="30041"/>
  <c r="AJ453" i="30041"/>
  <c r="AE454" i="30041"/>
  <c r="AF454" i="30041"/>
  <c r="AG454" i="30041"/>
  <c r="AH454" i="30041"/>
  <c r="AI454" i="30041"/>
  <c r="AJ454" i="30041"/>
  <c r="AE455" i="30041"/>
  <c r="AF455" i="30041"/>
  <c r="AG455" i="30041"/>
  <c r="AH455" i="30041"/>
  <c r="AI455" i="30041"/>
  <c r="AJ455" i="30041"/>
  <c r="AB458" i="30041"/>
  <c r="AE459" i="30041"/>
  <c r="AF459" i="30041"/>
  <c r="AG459" i="30041"/>
  <c r="AH459" i="30041"/>
  <c r="AI459" i="30041"/>
  <c r="AJ459" i="30041"/>
  <c r="AE460" i="30041"/>
  <c r="AF460" i="30041"/>
  <c r="AG460" i="30041"/>
  <c r="AH460" i="30041"/>
  <c r="AI460" i="30041"/>
  <c r="AJ460" i="30041"/>
  <c r="AE461" i="30041"/>
  <c r="AF461" i="30041"/>
  <c r="AG461" i="30041"/>
  <c r="AH461" i="30041"/>
  <c r="AI461" i="30041"/>
  <c r="AJ461" i="30041"/>
  <c r="AE462" i="30041"/>
  <c r="AF462" i="30041"/>
  <c r="AG462" i="30041"/>
  <c r="AH462" i="30041"/>
  <c r="AI462" i="30041"/>
  <c r="AJ462" i="30041"/>
  <c r="AB465" i="30041"/>
  <c r="AE466" i="30041"/>
  <c r="AF466" i="30041"/>
  <c r="AG466" i="30041"/>
  <c r="AH466" i="30041"/>
  <c r="AI466" i="30041"/>
  <c r="AJ466" i="30041"/>
  <c r="AE467" i="30041"/>
  <c r="AF467" i="30041"/>
  <c r="AG467" i="30041"/>
  <c r="AH467" i="30041"/>
  <c r="AI467" i="30041"/>
  <c r="AJ467" i="30041"/>
  <c r="AE468" i="30041"/>
  <c r="AF468" i="30041"/>
  <c r="AG468" i="30041"/>
  <c r="AH468" i="30041"/>
  <c r="AI468" i="30041"/>
  <c r="AJ468" i="30041"/>
  <c r="AE469" i="30041"/>
  <c r="AF469" i="30041"/>
  <c r="AG469" i="30041"/>
  <c r="AH469" i="30041"/>
  <c r="AI469" i="30041"/>
  <c r="AJ469" i="30041"/>
  <c r="AB472" i="30041"/>
  <c r="AE473" i="30041"/>
  <c r="AF473" i="30041"/>
  <c r="AG473" i="30041"/>
  <c r="AH473" i="30041"/>
  <c r="AI473" i="30041"/>
  <c r="AJ473" i="30041"/>
  <c r="AE474" i="30041"/>
  <c r="AF474" i="30041"/>
  <c r="AG474" i="30041"/>
  <c r="AH474" i="30041"/>
  <c r="AI474" i="30041"/>
  <c r="AJ474" i="30041"/>
  <c r="AE475" i="30041"/>
  <c r="AF475" i="30041"/>
  <c r="AG475" i="30041"/>
  <c r="AH475" i="30041"/>
  <c r="AI475" i="30041"/>
  <c r="AJ475" i="30041"/>
  <c r="AE476" i="30041"/>
  <c r="AF476" i="30041"/>
  <c r="AG476" i="30041"/>
  <c r="AH476" i="30041"/>
  <c r="AI476" i="30041"/>
  <c r="AJ476" i="30041"/>
  <c r="AB479" i="30041"/>
  <c r="AE480" i="30041"/>
  <c r="AF480" i="30041"/>
  <c r="AG480" i="30041"/>
  <c r="AH480" i="30041"/>
  <c r="AI480" i="30041"/>
  <c r="AJ480" i="30041"/>
  <c r="AE481" i="30041"/>
  <c r="AF481" i="30041"/>
  <c r="AG481" i="30041"/>
  <c r="AH481" i="30041"/>
  <c r="AI481" i="30041"/>
  <c r="AJ481" i="30041"/>
  <c r="AE482" i="30041"/>
  <c r="AF482" i="30041"/>
  <c r="AG482" i="30041"/>
  <c r="AH482" i="30041"/>
  <c r="AI482" i="30041"/>
  <c r="AJ482" i="30041"/>
  <c r="AE483" i="30041"/>
  <c r="AF483" i="30041"/>
  <c r="AG483" i="30041"/>
  <c r="AH483" i="30041"/>
  <c r="AI483" i="30041"/>
  <c r="AJ483" i="30041"/>
  <c r="AB486" i="30041"/>
  <c r="AE487" i="30041"/>
  <c r="AF487" i="30041"/>
  <c r="AG487" i="30041"/>
  <c r="AH487" i="30041"/>
  <c r="AI487" i="30041"/>
  <c r="AJ487" i="30041"/>
  <c r="AE488" i="30041"/>
  <c r="AF488" i="30041"/>
  <c r="AG488" i="30041"/>
  <c r="AH488" i="30041"/>
  <c r="AI488" i="30041"/>
  <c r="AJ488" i="30041"/>
  <c r="AE489" i="30041"/>
  <c r="AF489" i="30041"/>
  <c r="AG489" i="30041"/>
  <c r="AH489" i="30041"/>
  <c r="AI489" i="30041"/>
  <c r="AJ489" i="30041"/>
  <c r="AE490" i="30041"/>
  <c r="AF490" i="30041"/>
  <c r="AG490" i="30041"/>
  <c r="AH490" i="30041"/>
  <c r="AI490" i="30041"/>
  <c r="AJ490" i="30041"/>
  <c r="Z507" i="30041"/>
  <c r="BC501" i="30041" s="1"/>
  <c r="Z514" i="30041"/>
  <c r="AI514" i="30041" s="1"/>
  <c r="Z521" i="30041"/>
  <c r="BE503" i="30041" s="1"/>
  <c r="Z528" i="30041"/>
  <c r="BF500" i="30041" s="1"/>
  <c r="Z535" i="30041"/>
  <c r="AF535" i="30041" s="1"/>
  <c r="Z542" i="30041"/>
  <c r="BH498" i="30041" s="1"/>
  <c r="Z549" i="30041"/>
  <c r="BI499" i="30041" s="1"/>
  <c r="Z556" i="30041"/>
  <c r="AG556" i="30041" s="1"/>
  <c r="Z563" i="30041"/>
  <c r="AG563" i="30041" s="1"/>
  <c r="Z570" i="30041"/>
  <c r="AE570" i="30041" s="1"/>
  <c r="Z577" i="30041"/>
  <c r="AJ577" i="30041" s="1"/>
  <c r="Z584" i="30041"/>
  <c r="Z591" i="30041"/>
  <c r="AH591" i="30041" s="1"/>
  <c r="Z598" i="30041"/>
  <c r="BP500" i="30041" s="1"/>
  <c r="Z605" i="30041"/>
  <c r="AE605" i="30041" s="1"/>
  <c r="Z612" i="30041"/>
  <c r="BR501" i="30041" s="1"/>
  <c r="Z619" i="30041"/>
  <c r="AJ619" i="30041" s="1"/>
  <c r="Z626" i="30041"/>
  <c r="AH626" i="30041" s="1"/>
  <c r="Z633" i="30041"/>
  <c r="AH633" i="30041" s="1"/>
  <c r="Z640" i="30041"/>
  <c r="BV505" i="30041" s="1"/>
  <c r="Z647" i="30041"/>
  <c r="BW502" i="30041" s="1"/>
  <c r="Z654" i="30041"/>
  <c r="AG654" i="30041" s="1"/>
  <c r="Z661" i="30041"/>
  <c r="AJ661" i="30041" s="1"/>
  <c r="Z668" i="30041"/>
  <c r="BZ505" i="30041" s="1"/>
  <c r="Z675" i="30041"/>
  <c r="CA500" i="30041" s="1"/>
  <c r="Z682" i="30041"/>
  <c r="AF682" i="30041" s="1"/>
  <c r="Z689" i="30041"/>
  <c r="CC498" i="30041" s="1"/>
  <c r="Z696" i="30041"/>
  <c r="AI696" i="30041" s="1"/>
  <c r="AB507" i="30041"/>
  <c r="AE508" i="30041"/>
  <c r="AF508" i="30041"/>
  <c r="AG508" i="30041"/>
  <c r="AH508" i="30041"/>
  <c r="AI508" i="30041"/>
  <c r="AJ508" i="30041"/>
  <c r="AE509" i="30041"/>
  <c r="AF509" i="30041"/>
  <c r="AG509" i="30041"/>
  <c r="AH509" i="30041"/>
  <c r="AI509" i="30041"/>
  <c r="AJ509" i="30041"/>
  <c r="AE510" i="30041"/>
  <c r="AF510" i="30041"/>
  <c r="AG510" i="30041"/>
  <c r="AH510" i="30041"/>
  <c r="AI510" i="30041"/>
  <c r="AJ510" i="30041"/>
  <c r="AE511" i="30041"/>
  <c r="AF511" i="30041"/>
  <c r="AG511" i="30041"/>
  <c r="AH511" i="30041"/>
  <c r="AI511" i="30041"/>
  <c r="AJ511" i="30041"/>
  <c r="AB514" i="30041"/>
  <c r="AE515" i="30041"/>
  <c r="AF515" i="30041"/>
  <c r="AG515" i="30041"/>
  <c r="AH515" i="30041"/>
  <c r="AI515" i="30041"/>
  <c r="AJ515" i="30041"/>
  <c r="AE516" i="30041"/>
  <c r="AF516" i="30041"/>
  <c r="AG516" i="30041"/>
  <c r="AH516" i="30041"/>
  <c r="AI516" i="30041"/>
  <c r="AJ516" i="30041"/>
  <c r="AE517" i="30041"/>
  <c r="AF517" i="30041"/>
  <c r="AG517" i="30041"/>
  <c r="AH517" i="30041"/>
  <c r="AI517" i="30041"/>
  <c r="AJ517" i="30041"/>
  <c r="AE518" i="30041"/>
  <c r="AF518" i="30041"/>
  <c r="AG518" i="30041"/>
  <c r="AH518" i="30041"/>
  <c r="AI518" i="30041"/>
  <c r="AJ518" i="30041"/>
  <c r="AB521" i="30041"/>
  <c r="AE522" i="30041"/>
  <c r="AF522" i="30041"/>
  <c r="AG522" i="30041"/>
  <c r="AH522" i="30041"/>
  <c r="AI522" i="30041"/>
  <c r="AJ522" i="30041"/>
  <c r="AE523" i="30041"/>
  <c r="AF523" i="30041"/>
  <c r="AG523" i="30041"/>
  <c r="AH523" i="30041"/>
  <c r="AI523" i="30041"/>
  <c r="AJ523" i="30041"/>
  <c r="AE524" i="30041"/>
  <c r="AF524" i="30041"/>
  <c r="AG524" i="30041"/>
  <c r="AH524" i="30041"/>
  <c r="AI524" i="30041"/>
  <c r="AJ524" i="30041"/>
  <c r="AE525" i="30041"/>
  <c r="AF525" i="30041"/>
  <c r="AG525" i="30041"/>
  <c r="AH525" i="30041"/>
  <c r="AI525" i="30041"/>
  <c r="AJ525" i="30041"/>
  <c r="AB528" i="30041"/>
  <c r="AE529" i="30041"/>
  <c r="AF529" i="30041"/>
  <c r="AG529" i="30041"/>
  <c r="AH529" i="30041"/>
  <c r="AI529" i="30041"/>
  <c r="AJ529" i="30041"/>
  <c r="AE530" i="30041"/>
  <c r="AF530" i="30041"/>
  <c r="AG530" i="30041"/>
  <c r="AH530" i="30041"/>
  <c r="AI530" i="30041"/>
  <c r="AJ530" i="30041"/>
  <c r="AE531" i="30041"/>
  <c r="AF531" i="30041"/>
  <c r="AG531" i="30041"/>
  <c r="AH531" i="30041"/>
  <c r="AI531" i="30041"/>
  <c r="AJ531" i="30041"/>
  <c r="AE532" i="30041"/>
  <c r="AF532" i="30041"/>
  <c r="AG532" i="30041"/>
  <c r="AH532" i="30041"/>
  <c r="AI532" i="30041"/>
  <c r="AJ532" i="30041"/>
  <c r="AB535" i="30041"/>
  <c r="AE536" i="30041"/>
  <c r="AF536" i="30041"/>
  <c r="AG536" i="30041"/>
  <c r="AH536" i="30041"/>
  <c r="AI536" i="30041"/>
  <c r="AJ536" i="30041"/>
  <c r="AE537" i="30041"/>
  <c r="AF537" i="30041"/>
  <c r="AG537" i="30041"/>
  <c r="AH537" i="30041"/>
  <c r="AI537" i="30041"/>
  <c r="AJ537" i="30041"/>
  <c r="AE538" i="30041"/>
  <c r="AF538" i="30041"/>
  <c r="AG538" i="30041"/>
  <c r="AH538" i="30041"/>
  <c r="AI538" i="30041"/>
  <c r="AJ538" i="30041"/>
  <c r="AE539" i="30041"/>
  <c r="AF539" i="30041"/>
  <c r="AG539" i="30041"/>
  <c r="AH539" i="30041"/>
  <c r="AI539" i="30041"/>
  <c r="AJ539" i="30041"/>
  <c r="AB542" i="30041"/>
  <c r="AE543" i="30041"/>
  <c r="AF543" i="30041"/>
  <c r="AG543" i="30041"/>
  <c r="AH543" i="30041"/>
  <c r="AI543" i="30041"/>
  <c r="AJ543" i="30041"/>
  <c r="AE544" i="30041"/>
  <c r="AF544" i="30041"/>
  <c r="AG544" i="30041"/>
  <c r="AH544" i="30041"/>
  <c r="AI544" i="30041"/>
  <c r="AJ544" i="30041"/>
  <c r="AE545" i="30041"/>
  <c r="AF545" i="30041"/>
  <c r="AG545" i="30041"/>
  <c r="AH545" i="30041"/>
  <c r="AI545" i="30041"/>
  <c r="AJ545" i="30041"/>
  <c r="AE546" i="30041"/>
  <c r="AF546" i="30041"/>
  <c r="AG546" i="30041"/>
  <c r="AH546" i="30041"/>
  <c r="AI546" i="30041"/>
  <c r="AJ546" i="30041"/>
  <c r="AB549" i="30041"/>
  <c r="AE550" i="30041"/>
  <c r="AF550" i="30041"/>
  <c r="AG550" i="30041"/>
  <c r="AH550" i="30041"/>
  <c r="AI550" i="30041"/>
  <c r="AJ550" i="30041"/>
  <c r="AE551" i="30041"/>
  <c r="AF551" i="30041"/>
  <c r="AG551" i="30041"/>
  <c r="AH551" i="30041"/>
  <c r="AI551" i="30041"/>
  <c r="AJ551" i="30041"/>
  <c r="AE552" i="30041"/>
  <c r="AF552" i="30041"/>
  <c r="AG552" i="30041"/>
  <c r="AH552" i="30041"/>
  <c r="AI552" i="30041"/>
  <c r="AJ552" i="30041"/>
  <c r="AE553" i="30041"/>
  <c r="AF553" i="30041"/>
  <c r="AG553" i="30041"/>
  <c r="AH553" i="30041"/>
  <c r="AI553" i="30041"/>
  <c r="AJ553" i="30041"/>
  <c r="AB556" i="30041"/>
  <c r="AE557" i="30041"/>
  <c r="AF557" i="30041"/>
  <c r="AG557" i="30041"/>
  <c r="AH557" i="30041"/>
  <c r="AI557" i="30041"/>
  <c r="AJ557" i="30041"/>
  <c r="AE558" i="30041"/>
  <c r="AF558" i="30041"/>
  <c r="AG558" i="30041"/>
  <c r="AH558" i="30041"/>
  <c r="AI558" i="30041"/>
  <c r="AJ558" i="30041"/>
  <c r="AE559" i="30041"/>
  <c r="AF559" i="30041"/>
  <c r="AG559" i="30041"/>
  <c r="AH559" i="30041"/>
  <c r="AI559" i="30041"/>
  <c r="AJ559" i="30041"/>
  <c r="AE560" i="30041"/>
  <c r="AF560" i="30041"/>
  <c r="AG560" i="30041"/>
  <c r="AH560" i="30041"/>
  <c r="AI560" i="30041"/>
  <c r="AJ560" i="30041"/>
  <c r="AB563" i="30041"/>
  <c r="AE564" i="30041"/>
  <c r="AF564" i="30041"/>
  <c r="AG564" i="30041"/>
  <c r="AH564" i="30041"/>
  <c r="AI564" i="30041"/>
  <c r="AJ564" i="30041"/>
  <c r="AE565" i="30041"/>
  <c r="AF565" i="30041"/>
  <c r="AG565" i="30041"/>
  <c r="AH565" i="30041"/>
  <c r="AI565" i="30041"/>
  <c r="AJ565" i="30041"/>
  <c r="AE566" i="30041"/>
  <c r="AF566" i="30041"/>
  <c r="AG566" i="30041"/>
  <c r="AH566" i="30041"/>
  <c r="AI566" i="30041"/>
  <c r="AJ566" i="30041"/>
  <c r="AE567" i="30041"/>
  <c r="AF567" i="30041"/>
  <c r="AG567" i="30041"/>
  <c r="AH567" i="30041"/>
  <c r="AI567" i="30041"/>
  <c r="AJ567" i="30041"/>
  <c r="AB570" i="30041"/>
  <c r="AE571" i="30041"/>
  <c r="AF571" i="30041"/>
  <c r="AG571" i="30041"/>
  <c r="AH571" i="30041"/>
  <c r="AI571" i="30041"/>
  <c r="AJ571" i="30041"/>
  <c r="AE572" i="30041"/>
  <c r="AF572" i="30041"/>
  <c r="AG572" i="30041"/>
  <c r="AH572" i="30041"/>
  <c r="AI572" i="30041"/>
  <c r="AJ572" i="30041"/>
  <c r="AE573" i="30041"/>
  <c r="AF573" i="30041"/>
  <c r="AG573" i="30041"/>
  <c r="AH573" i="30041"/>
  <c r="AI573" i="30041"/>
  <c r="AJ573" i="30041"/>
  <c r="AE574" i="30041"/>
  <c r="AF574" i="30041"/>
  <c r="AG574" i="30041"/>
  <c r="AH574" i="30041"/>
  <c r="AI574" i="30041"/>
  <c r="AJ574" i="30041"/>
  <c r="AB577" i="30041"/>
  <c r="AE578" i="30041"/>
  <c r="AF578" i="30041"/>
  <c r="AG578" i="30041"/>
  <c r="AH578" i="30041"/>
  <c r="AI578" i="30041"/>
  <c r="AJ578" i="30041"/>
  <c r="AE579" i="30041"/>
  <c r="AF579" i="30041"/>
  <c r="AG579" i="30041"/>
  <c r="AH579" i="30041"/>
  <c r="AI579" i="30041"/>
  <c r="AJ579" i="30041"/>
  <c r="AE580" i="30041"/>
  <c r="AF580" i="30041"/>
  <c r="AG580" i="30041"/>
  <c r="AH580" i="30041"/>
  <c r="AI580" i="30041"/>
  <c r="AJ580" i="30041"/>
  <c r="AE581" i="30041"/>
  <c r="AF581" i="30041"/>
  <c r="AG581" i="30041"/>
  <c r="AH581" i="30041"/>
  <c r="AI581" i="30041"/>
  <c r="AJ581" i="30041"/>
  <c r="AB584" i="30041"/>
  <c r="AE585" i="30041"/>
  <c r="AF585" i="30041"/>
  <c r="AG585" i="30041"/>
  <c r="AH585" i="30041"/>
  <c r="AI585" i="30041"/>
  <c r="AJ585" i="30041"/>
  <c r="AE586" i="30041"/>
  <c r="AF586" i="30041"/>
  <c r="AG586" i="30041"/>
  <c r="AH586" i="30041"/>
  <c r="AI586" i="30041"/>
  <c r="AJ586" i="30041"/>
  <c r="AE587" i="30041"/>
  <c r="AF587" i="30041"/>
  <c r="AG587" i="30041"/>
  <c r="AH587" i="30041"/>
  <c r="AI587" i="30041"/>
  <c r="AJ587" i="30041"/>
  <c r="AE588" i="30041"/>
  <c r="AF588" i="30041"/>
  <c r="AG588" i="30041"/>
  <c r="AH588" i="30041"/>
  <c r="AI588" i="30041"/>
  <c r="AJ588" i="30041"/>
  <c r="AB591" i="30041"/>
  <c r="AE592" i="30041"/>
  <c r="AF592" i="30041"/>
  <c r="AG592" i="30041"/>
  <c r="AH592" i="30041"/>
  <c r="AI592" i="30041"/>
  <c r="AJ592" i="30041"/>
  <c r="AE593" i="30041"/>
  <c r="AF593" i="30041"/>
  <c r="AG593" i="30041"/>
  <c r="AH593" i="30041"/>
  <c r="AI593" i="30041"/>
  <c r="AJ593" i="30041"/>
  <c r="AE594" i="30041"/>
  <c r="AF594" i="30041"/>
  <c r="AG594" i="30041"/>
  <c r="AH594" i="30041"/>
  <c r="AI594" i="30041"/>
  <c r="AJ594" i="30041"/>
  <c r="AE595" i="30041"/>
  <c r="AF595" i="30041"/>
  <c r="AG595" i="30041"/>
  <c r="AH595" i="30041"/>
  <c r="AI595" i="30041"/>
  <c r="AJ595" i="30041"/>
  <c r="AB598" i="30041"/>
  <c r="AE599" i="30041"/>
  <c r="AF599" i="30041"/>
  <c r="AG599" i="30041"/>
  <c r="AH599" i="30041"/>
  <c r="AI599" i="30041"/>
  <c r="AJ599" i="30041"/>
  <c r="AE600" i="30041"/>
  <c r="AF600" i="30041"/>
  <c r="AG600" i="30041"/>
  <c r="AH600" i="30041"/>
  <c r="AI600" i="30041"/>
  <c r="AJ600" i="30041"/>
  <c r="AE601" i="30041"/>
  <c r="AF601" i="30041"/>
  <c r="AG601" i="30041"/>
  <c r="AH601" i="30041"/>
  <c r="AI601" i="30041"/>
  <c r="AJ601" i="30041"/>
  <c r="AE602" i="30041"/>
  <c r="AF602" i="30041"/>
  <c r="AG602" i="30041"/>
  <c r="AH602" i="30041"/>
  <c r="AI602" i="30041"/>
  <c r="AJ602" i="30041"/>
  <c r="AB605" i="30041"/>
  <c r="AE606" i="30041"/>
  <c r="AF606" i="30041"/>
  <c r="AG606" i="30041"/>
  <c r="AH606" i="30041"/>
  <c r="AI606" i="30041"/>
  <c r="AJ606" i="30041"/>
  <c r="AE607" i="30041"/>
  <c r="AF607" i="30041"/>
  <c r="AG607" i="30041"/>
  <c r="AH607" i="30041"/>
  <c r="AI607" i="30041"/>
  <c r="AJ607" i="30041"/>
  <c r="AE608" i="30041"/>
  <c r="AF608" i="30041"/>
  <c r="AG608" i="30041"/>
  <c r="AH608" i="30041"/>
  <c r="AI608" i="30041"/>
  <c r="AJ608" i="30041"/>
  <c r="AE609" i="30041"/>
  <c r="AF609" i="30041"/>
  <c r="AG609" i="30041"/>
  <c r="AH609" i="30041"/>
  <c r="AI609" i="30041"/>
  <c r="AJ609" i="30041"/>
  <c r="AB612" i="30041"/>
  <c r="AE613" i="30041"/>
  <c r="AF613" i="30041"/>
  <c r="AG613" i="30041"/>
  <c r="AH613" i="30041"/>
  <c r="AI613" i="30041"/>
  <c r="AJ613" i="30041"/>
  <c r="AE614" i="30041"/>
  <c r="AF614" i="30041"/>
  <c r="AG614" i="30041"/>
  <c r="AH614" i="30041"/>
  <c r="AI614" i="30041"/>
  <c r="AJ614" i="30041"/>
  <c r="AE615" i="30041"/>
  <c r="AF615" i="30041"/>
  <c r="AG615" i="30041"/>
  <c r="AH615" i="30041"/>
  <c r="AI615" i="30041"/>
  <c r="AJ615" i="30041"/>
  <c r="AE616" i="30041"/>
  <c r="AF616" i="30041"/>
  <c r="AG616" i="30041"/>
  <c r="AH616" i="30041"/>
  <c r="AI616" i="30041"/>
  <c r="AJ616" i="30041"/>
  <c r="AB619" i="30041"/>
  <c r="AE620" i="30041"/>
  <c r="AF620" i="30041"/>
  <c r="AG620" i="30041"/>
  <c r="AH620" i="30041"/>
  <c r="AI620" i="30041"/>
  <c r="AJ620" i="30041"/>
  <c r="AE621" i="30041"/>
  <c r="AF621" i="30041"/>
  <c r="AG621" i="30041"/>
  <c r="AH621" i="30041"/>
  <c r="AI621" i="30041"/>
  <c r="AJ621" i="30041"/>
  <c r="AE622" i="30041"/>
  <c r="AF622" i="30041"/>
  <c r="AG622" i="30041"/>
  <c r="AH622" i="30041"/>
  <c r="AI622" i="30041"/>
  <c r="AJ622" i="30041"/>
  <c r="AE623" i="30041"/>
  <c r="AF623" i="30041"/>
  <c r="AG623" i="30041"/>
  <c r="AH623" i="30041"/>
  <c r="AI623" i="30041"/>
  <c r="AJ623" i="30041"/>
  <c r="AB626" i="30041"/>
  <c r="AE627" i="30041"/>
  <c r="AF627" i="30041"/>
  <c r="AG627" i="30041"/>
  <c r="AH627" i="30041"/>
  <c r="AI627" i="30041"/>
  <c r="AJ627" i="30041"/>
  <c r="AE628" i="30041"/>
  <c r="AF628" i="30041"/>
  <c r="AG628" i="30041"/>
  <c r="AH628" i="30041"/>
  <c r="AI628" i="30041"/>
  <c r="AJ628" i="30041"/>
  <c r="AE629" i="30041"/>
  <c r="AF629" i="30041"/>
  <c r="AG629" i="30041"/>
  <c r="AH629" i="30041"/>
  <c r="AI629" i="30041"/>
  <c r="AJ629" i="30041"/>
  <c r="AE630" i="30041"/>
  <c r="AF630" i="30041"/>
  <c r="AG630" i="30041"/>
  <c r="AH630" i="30041"/>
  <c r="AI630" i="30041"/>
  <c r="AJ630" i="30041"/>
  <c r="AB633" i="30041"/>
  <c r="AE634" i="30041"/>
  <c r="AF634" i="30041"/>
  <c r="AG634" i="30041"/>
  <c r="AH634" i="30041"/>
  <c r="AI634" i="30041"/>
  <c r="AJ634" i="30041"/>
  <c r="AE635" i="30041"/>
  <c r="AF635" i="30041"/>
  <c r="AG635" i="30041"/>
  <c r="AH635" i="30041"/>
  <c r="AI635" i="30041"/>
  <c r="AJ635" i="30041"/>
  <c r="AE636" i="30041"/>
  <c r="AF636" i="30041"/>
  <c r="AG636" i="30041"/>
  <c r="AH636" i="30041"/>
  <c r="AI636" i="30041"/>
  <c r="AJ636" i="30041"/>
  <c r="AE637" i="30041"/>
  <c r="AF637" i="30041"/>
  <c r="AG637" i="30041"/>
  <c r="AH637" i="30041"/>
  <c r="AI637" i="30041"/>
  <c r="AJ637" i="30041"/>
  <c r="AB640" i="30041"/>
  <c r="AE641" i="30041"/>
  <c r="AF641" i="30041"/>
  <c r="AG641" i="30041"/>
  <c r="AH641" i="30041"/>
  <c r="AI641" i="30041"/>
  <c r="AJ641" i="30041"/>
  <c r="AE642" i="30041"/>
  <c r="AF642" i="30041"/>
  <c r="AG642" i="30041"/>
  <c r="AH642" i="30041"/>
  <c r="AI642" i="30041"/>
  <c r="AJ642" i="30041"/>
  <c r="AE643" i="30041"/>
  <c r="AF643" i="30041"/>
  <c r="AG643" i="30041"/>
  <c r="AH643" i="30041"/>
  <c r="AI643" i="30041"/>
  <c r="AJ643" i="30041"/>
  <c r="AE644" i="30041"/>
  <c r="AF644" i="30041"/>
  <c r="AG644" i="30041"/>
  <c r="AH644" i="30041"/>
  <c r="AI644" i="30041"/>
  <c r="AJ644" i="30041"/>
  <c r="AB647" i="30041"/>
  <c r="AE648" i="30041"/>
  <c r="AF648" i="30041"/>
  <c r="AG648" i="30041"/>
  <c r="AH648" i="30041"/>
  <c r="AI648" i="30041"/>
  <c r="AJ648" i="30041"/>
  <c r="AE649" i="30041"/>
  <c r="AF649" i="30041"/>
  <c r="AG649" i="30041"/>
  <c r="AH649" i="30041"/>
  <c r="AI649" i="30041"/>
  <c r="AJ649" i="30041"/>
  <c r="AE650" i="30041"/>
  <c r="AF650" i="30041"/>
  <c r="AG650" i="30041"/>
  <c r="AH650" i="30041"/>
  <c r="AI650" i="30041"/>
  <c r="AJ650" i="30041"/>
  <c r="AE651" i="30041"/>
  <c r="AF651" i="30041"/>
  <c r="AG651" i="30041"/>
  <c r="AH651" i="30041"/>
  <c r="AI651" i="30041"/>
  <c r="AJ651" i="30041"/>
  <c r="AB654" i="30041"/>
  <c r="AE655" i="30041"/>
  <c r="AF655" i="30041"/>
  <c r="AG655" i="30041"/>
  <c r="AH655" i="30041"/>
  <c r="AI655" i="30041"/>
  <c r="AJ655" i="30041"/>
  <c r="AE656" i="30041"/>
  <c r="AF656" i="30041"/>
  <c r="AG656" i="30041"/>
  <c r="AH656" i="30041"/>
  <c r="AI656" i="30041"/>
  <c r="AJ656" i="30041"/>
  <c r="AE657" i="30041"/>
  <c r="AF657" i="30041"/>
  <c r="AG657" i="30041"/>
  <c r="AH657" i="30041"/>
  <c r="AI657" i="30041"/>
  <c r="AJ657" i="30041"/>
  <c r="AE658" i="30041"/>
  <c r="AF658" i="30041"/>
  <c r="AG658" i="30041"/>
  <c r="AH658" i="30041"/>
  <c r="AI658" i="30041"/>
  <c r="AJ658" i="30041"/>
  <c r="AB661" i="30041"/>
  <c r="AE662" i="30041"/>
  <c r="AF662" i="30041"/>
  <c r="AG662" i="30041"/>
  <c r="AH662" i="30041"/>
  <c r="AI662" i="30041"/>
  <c r="AJ662" i="30041"/>
  <c r="AE663" i="30041"/>
  <c r="AF663" i="30041"/>
  <c r="AG663" i="30041"/>
  <c r="AH663" i="30041"/>
  <c r="AI663" i="30041"/>
  <c r="AJ663" i="30041"/>
  <c r="AE664" i="30041"/>
  <c r="AF664" i="30041"/>
  <c r="AG664" i="30041"/>
  <c r="AH664" i="30041"/>
  <c r="AI664" i="30041"/>
  <c r="AJ664" i="30041"/>
  <c r="AE665" i="30041"/>
  <c r="AF665" i="30041"/>
  <c r="AG665" i="30041"/>
  <c r="AH665" i="30041"/>
  <c r="AI665" i="30041"/>
  <c r="AJ665" i="30041"/>
  <c r="AB668" i="30041"/>
  <c r="AE669" i="30041"/>
  <c r="AF669" i="30041"/>
  <c r="AG669" i="30041"/>
  <c r="AH669" i="30041"/>
  <c r="AI669" i="30041"/>
  <c r="AJ669" i="30041"/>
  <c r="AE670" i="30041"/>
  <c r="AF670" i="30041"/>
  <c r="AG670" i="30041"/>
  <c r="AH670" i="30041"/>
  <c r="AI670" i="30041"/>
  <c r="AJ670" i="30041"/>
  <c r="AE671" i="30041"/>
  <c r="AF671" i="30041"/>
  <c r="AG671" i="30041"/>
  <c r="AH671" i="30041"/>
  <c r="AI671" i="30041"/>
  <c r="AJ671" i="30041"/>
  <c r="AE672" i="30041"/>
  <c r="AF672" i="30041"/>
  <c r="AG672" i="30041"/>
  <c r="AH672" i="30041"/>
  <c r="AI672" i="30041"/>
  <c r="AJ672" i="30041"/>
  <c r="AB675" i="30041"/>
  <c r="AE676" i="30041"/>
  <c r="AF676" i="30041"/>
  <c r="AG676" i="30041"/>
  <c r="AH676" i="30041"/>
  <c r="AI676" i="30041"/>
  <c r="AJ676" i="30041"/>
  <c r="AE677" i="30041"/>
  <c r="AF677" i="30041"/>
  <c r="AG677" i="30041"/>
  <c r="AH677" i="30041"/>
  <c r="AI677" i="30041"/>
  <c r="AJ677" i="30041"/>
  <c r="AE678" i="30041"/>
  <c r="AF678" i="30041"/>
  <c r="AG678" i="30041"/>
  <c r="AH678" i="30041"/>
  <c r="AI678" i="30041"/>
  <c r="AJ678" i="30041"/>
  <c r="AE679" i="30041"/>
  <c r="AF679" i="30041"/>
  <c r="AG679" i="30041"/>
  <c r="AH679" i="30041"/>
  <c r="AI679" i="30041"/>
  <c r="AJ679" i="30041"/>
  <c r="AB682" i="30041"/>
  <c r="AE683" i="30041"/>
  <c r="AF683" i="30041"/>
  <c r="AG683" i="30041"/>
  <c r="AH683" i="30041"/>
  <c r="AI683" i="30041"/>
  <c r="AJ683" i="30041"/>
  <c r="AE684" i="30041"/>
  <c r="AF684" i="30041"/>
  <c r="AG684" i="30041"/>
  <c r="AH684" i="30041"/>
  <c r="AI684" i="30041"/>
  <c r="AJ684" i="30041"/>
  <c r="AE685" i="30041"/>
  <c r="AF685" i="30041"/>
  <c r="AG685" i="30041"/>
  <c r="AH685" i="30041"/>
  <c r="AI685" i="30041"/>
  <c r="AJ685" i="30041"/>
  <c r="AE686" i="30041"/>
  <c r="AF686" i="30041"/>
  <c r="AG686" i="30041"/>
  <c r="AH686" i="30041"/>
  <c r="AI686" i="30041"/>
  <c r="AJ686" i="30041"/>
  <c r="AB689" i="30041"/>
  <c r="AE690" i="30041"/>
  <c r="AF690" i="30041"/>
  <c r="AG690" i="30041"/>
  <c r="AH690" i="30041"/>
  <c r="AI690" i="30041"/>
  <c r="AJ690" i="30041"/>
  <c r="AE691" i="30041"/>
  <c r="AF691" i="30041"/>
  <c r="AG691" i="30041"/>
  <c r="AH691" i="30041"/>
  <c r="AI691" i="30041"/>
  <c r="AJ691" i="30041"/>
  <c r="AE692" i="30041"/>
  <c r="AF692" i="30041"/>
  <c r="AG692" i="30041"/>
  <c r="AH692" i="30041"/>
  <c r="AI692" i="30041"/>
  <c r="AJ692" i="30041"/>
  <c r="AE693" i="30041"/>
  <c r="AF693" i="30041"/>
  <c r="AG693" i="30041"/>
  <c r="AH693" i="30041"/>
  <c r="AI693" i="30041"/>
  <c r="AJ693" i="30041"/>
  <c r="AB696" i="30041"/>
  <c r="AE697" i="30041"/>
  <c r="AF697" i="30041"/>
  <c r="AG697" i="30041"/>
  <c r="AH697" i="30041"/>
  <c r="AI697" i="30041"/>
  <c r="AJ697" i="30041"/>
  <c r="AE698" i="30041"/>
  <c r="AF698" i="30041"/>
  <c r="AG698" i="30041"/>
  <c r="AH698" i="30041"/>
  <c r="AI698" i="30041"/>
  <c r="AJ698" i="30041"/>
  <c r="AE699" i="30041"/>
  <c r="AF699" i="30041"/>
  <c r="AG699" i="30041"/>
  <c r="AH699" i="30041"/>
  <c r="AI699" i="30041"/>
  <c r="AJ699" i="30041"/>
  <c r="AE700" i="30041"/>
  <c r="AF700" i="30041"/>
  <c r="AG700" i="30041"/>
  <c r="AH700" i="30041"/>
  <c r="AI700" i="30041"/>
  <c r="AJ700" i="30041"/>
  <c r="Z11" i="8192"/>
  <c r="AH11" i="8192" s="1"/>
  <c r="Z14" i="8192"/>
  <c r="Z17" i="8192"/>
  <c r="AB11" i="8192"/>
  <c r="AE12" i="8192"/>
  <c r="AF12" i="8192"/>
  <c r="AG12" i="8192"/>
  <c r="AH12" i="8192"/>
  <c r="AI12" i="8192"/>
  <c r="AJ12" i="8192"/>
  <c r="AE13" i="8192"/>
  <c r="AF13" i="8192"/>
  <c r="AG13" i="8192"/>
  <c r="AH13" i="8192"/>
  <c r="AI13" i="8192"/>
  <c r="AJ13" i="8192"/>
  <c r="AB14" i="8192"/>
  <c r="AE15" i="8192"/>
  <c r="AF15" i="8192"/>
  <c r="AG15" i="8192"/>
  <c r="AH15" i="8192"/>
  <c r="AI15" i="8192"/>
  <c r="AJ15" i="8192"/>
  <c r="AE16" i="8192"/>
  <c r="AF16" i="8192"/>
  <c r="AG16" i="8192"/>
  <c r="AH16" i="8192"/>
  <c r="AI16" i="8192"/>
  <c r="AJ16" i="8192"/>
  <c r="AB17" i="8192"/>
  <c r="AE18" i="8192"/>
  <c r="AF18" i="8192"/>
  <c r="AG18" i="8192"/>
  <c r="AH18" i="8192"/>
  <c r="AI18" i="8192"/>
  <c r="AJ18" i="8192"/>
  <c r="AE19" i="8192"/>
  <c r="AF19" i="8192"/>
  <c r="AG19" i="8192"/>
  <c r="AH19" i="8192"/>
  <c r="AI19" i="8192"/>
  <c r="AJ19" i="8192"/>
  <c r="Z29" i="8192"/>
  <c r="Z32" i="8192"/>
  <c r="BD25" i="8192" s="1"/>
  <c r="Z35" i="8192"/>
  <c r="BE27" i="8192" s="1"/>
  <c r="Z38" i="8192"/>
  <c r="BF26" i="8192" s="1"/>
  <c r="Z41" i="8192"/>
  <c r="Z44" i="8192"/>
  <c r="AB29" i="8192"/>
  <c r="AE30" i="8192"/>
  <c r="AF30" i="8192"/>
  <c r="AG30" i="8192"/>
  <c r="AH30" i="8192"/>
  <c r="AI30" i="8192"/>
  <c r="AJ30" i="8192"/>
  <c r="AE31" i="8192"/>
  <c r="AF31" i="8192"/>
  <c r="AG31" i="8192"/>
  <c r="AH31" i="8192"/>
  <c r="AI31" i="8192"/>
  <c r="AJ31" i="8192"/>
  <c r="AB32" i="8192"/>
  <c r="AE33" i="8192"/>
  <c r="AF33" i="8192"/>
  <c r="AG33" i="8192"/>
  <c r="AH33" i="8192"/>
  <c r="AI33" i="8192"/>
  <c r="AJ33" i="8192"/>
  <c r="AE34" i="8192"/>
  <c r="AF34" i="8192"/>
  <c r="AG34" i="8192"/>
  <c r="AH34" i="8192"/>
  <c r="AI34" i="8192"/>
  <c r="AJ34" i="8192"/>
  <c r="AB35" i="8192"/>
  <c r="AE36" i="8192"/>
  <c r="AF36" i="8192"/>
  <c r="AG36" i="8192"/>
  <c r="AH36" i="8192"/>
  <c r="AI36" i="8192"/>
  <c r="AJ36" i="8192"/>
  <c r="AE37" i="8192"/>
  <c r="AF37" i="8192"/>
  <c r="AG37" i="8192"/>
  <c r="AH37" i="8192"/>
  <c r="AI37" i="8192"/>
  <c r="AJ37" i="8192"/>
  <c r="AB38" i="8192"/>
  <c r="AE39" i="8192"/>
  <c r="AF39" i="8192"/>
  <c r="AG39" i="8192"/>
  <c r="AH39" i="8192"/>
  <c r="AI39" i="8192"/>
  <c r="AJ39" i="8192"/>
  <c r="AE40" i="8192"/>
  <c r="AF40" i="8192"/>
  <c r="AG40" i="8192"/>
  <c r="AH40" i="8192"/>
  <c r="AI40" i="8192"/>
  <c r="AJ40" i="8192"/>
  <c r="AB41" i="8192"/>
  <c r="AE42" i="8192"/>
  <c r="AF42" i="8192"/>
  <c r="AG42" i="8192"/>
  <c r="AH42" i="8192"/>
  <c r="AI42" i="8192"/>
  <c r="AJ42" i="8192"/>
  <c r="AE43" i="8192"/>
  <c r="AF43" i="8192"/>
  <c r="AG43" i="8192"/>
  <c r="AH43" i="8192"/>
  <c r="AI43" i="8192"/>
  <c r="AJ43" i="8192"/>
  <c r="AB44" i="8192"/>
  <c r="AE45" i="8192"/>
  <c r="AF45" i="8192"/>
  <c r="AG45" i="8192"/>
  <c r="AH45" i="8192"/>
  <c r="AI45" i="8192"/>
  <c r="AJ45" i="8192"/>
  <c r="AE46" i="8192"/>
  <c r="AF46" i="8192"/>
  <c r="AG46" i="8192"/>
  <c r="AH46" i="8192"/>
  <c r="AI46" i="8192"/>
  <c r="AJ46" i="8192"/>
  <c r="Z57" i="8192"/>
  <c r="Z60" i="8192"/>
  <c r="AJ60" i="8192" s="1"/>
  <c r="Z63" i="8192"/>
  <c r="BE54" i="8192" s="1"/>
  <c r="Z66" i="8192"/>
  <c r="AJ66" i="8192" s="1"/>
  <c r="Z69" i="8192"/>
  <c r="AF69" i="8192" s="1"/>
  <c r="Z72" i="8192"/>
  <c r="AB57" i="8192"/>
  <c r="AE58" i="8192"/>
  <c r="AF58" i="8192"/>
  <c r="AG58" i="8192"/>
  <c r="AH58" i="8192"/>
  <c r="AI58" i="8192"/>
  <c r="AJ58" i="8192"/>
  <c r="AE59" i="8192"/>
  <c r="AF59" i="8192"/>
  <c r="AG59" i="8192"/>
  <c r="AH59" i="8192"/>
  <c r="AI59" i="8192"/>
  <c r="AJ59" i="8192"/>
  <c r="AB60" i="8192"/>
  <c r="AE61" i="8192"/>
  <c r="AF61" i="8192"/>
  <c r="AG61" i="8192"/>
  <c r="AH61" i="8192"/>
  <c r="AI61" i="8192"/>
  <c r="AJ61" i="8192"/>
  <c r="AE62" i="8192"/>
  <c r="AF62" i="8192"/>
  <c r="AG62" i="8192"/>
  <c r="AH62" i="8192"/>
  <c r="AI62" i="8192"/>
  <c r="AJ62" i="8192"/>
  <c r="AB63" i="8192"/>
  <c r="AE64" i="8192"/>
  <c r="AF64" i="8192"/>
  <c r="AG64" i="8192"/>
  <c r="AH64" i="8192"/>
  <c r="AI64" i="8192"/>
  <c r="AJ64" i="8192"/>
  <c r="AE65" i="8192"/>
  <c r="AF65" i="8192"/>
  <c r="AG65" i="8192"/>
  <c r="AH65" i="8192"/>
  <c r="AI65" i="8192"/>
  <c r="AJ65" i="8192"/>
  <c r="AB66" i="8192"/>
  <c r="AE67" i="8192"/>
  <c r="AF67" i="8192"/>
  <c r="AG67" i="8192"/>
  <c r="AH67" i="8192"/>
  <c r="AI67" i="8192"/>
  <c r="AJ67" i="8192"/>
  <c r="AE68" i="8192"/>
  <c r="AF68" i="8192"/>
  <c r="AG68" i="8192"/>
  <c r="AH68" i="8192"/>
  <c r="AI68" i="8192"/>
  <c r="AJ68" i="8192"/>
  <c r="AB69" i="8192"/>
  <c r="AE70" i="8192"/>
  <c r="AF70" i="8192"/>
  <c r="AG70" i="8192"/>
  <c r="AH70" i="8192"/>
  <c r="AI70" i="8192"/>
  <c r="AJ70" i="8192"/>
  <c r="AE71" i="8192"/>
  <c r="AF71" i="8192"/>
  <c r="AG71" i="8192"/>
  <c r="AH71" i="8192"/>
  <c r="AI71" i="8192"/>
  <c r="AJ71" i="8192"/>
  <c r="AB72" i="8192"/>
  <c r="AE73" i="8192"/>
  <c r="AF73" i="8192"/>
  <c r="AG73" i="8192"/>
  <c r="AH73" i="8192"/>
  <c r="AI73" i="8192"/>
  <c r="AJ73" i="8192"/>
  <c r="AE74" i="8192"/>
  <c r="AF74" i="8192"/>
  <c r="AG74" i="8192"/>
  <c r="AH74" i="8192"/>
  <c r="AI74" i="8192"/>
  <c r="AJ74" i="8192"/>
  <c r="Z86" i="8192"/>
  <c r="Z89" i="8192"/>
  <c r="AI89" i="8192" s="1"/>
  <c r="Z92" i="8192"/>
  <c r="AI92" i="8192" s="1"/>
  <c r="Z95" i="8192"/>
  <c r="AG95" i="8192" s="1"/>
  <c r="Z98" i="8192"/>
  <c r="Z101" i="8192"/>
  <c r="AF101" i="8192" s="1"/>
  <c r="Z104" i="8192"/>
  <c r="BI81" i="8192" s="1"/>
  <c r="Z107" i="8192"/>
  <c r="AF107" i="8192" s="1"/>
  <c r="Z110" i="8192"/>
  <c r="AF110" i="8192" s="1"/>
  <c r="Z113" i="8192"/>
  <c r="BL81" i="8192" s="1"/>
  <c r="Y86" i="8192"/>
  <c r="AB86" i="8192"/>
  <c r="AC86" i="8192"/>
  <c r="AE87" i="8192"/>
  <c r="AF87" i="8192"/>
  <c r="AG87" i="8192"/>
  <c r="AH87" i="8192"/>
  <c r="AI87" i="8192"/>
  <c r="AJ87" i="8192"/>
  <c r="AE88" i="8192"/>
  <c r="AF88" i="8192"/>
  <c r="AG88" i="8192"/>
  <c r="AH88" i="8192"/>
  <c r="AI88" i="8192"/>
  <c r="AJ88" i="8192"/>
  <c r="Y89" i="8192"/>
  <c r="AB89" i="8192"/>
  <c r="AC89" i="8192"/>
  <c r="AE90" i="8192"/>
  <c r="AF90" i="8192"/>
  <c r="AG90" i="8192"/>
  <c r="AH90" i="8192"/>
  <c r="AI90" i="8192"/>
  <c r="AJ90" i="8192"/>
  <c r="AE91" i="8192"/>
  <c r="AF91" i="8192"/>
  <c r="AG91" i="8192"/>
  <c r="AH91" i="8192"/>
  <c r="AI91" i="8192"/>
  <c r="AJ91" i="8192"/>
  <c r="Y92" i="8192"/>
  <c r="AB92" i="8192"/>
  <c r="AC92" i="8192"/>
  <c r="AE93" i="8192"/>
  <c r="AF93" i="8192"/>
  <c r="AG93" i="8192"/>
  <c r="AH93" i="8192"/>
  <c r="AI93" i="8192"/>
  <c r="AJ93" i="8192"/>
  <c r="AE94" i="8192"/>
  <c r="AF94" i="8192"/>
  <c r="AG94" i="8192"/>
  <c r="AH94" i="8192"/>
  <c r="AI94" i="8192"/>
  <c r="AJ94" i="8192"/>
  <c r="Y95" i="8192"/>
  <c r="AB95" i="8192"/>
  <c r="AC95" i="8192"/>
  <c r="AE96" i="8192"/>
  <c r="AF96" i="8192"/>
  <c r="AG96" i="8192"/>
  <c r="AH96" i="8192"/>
  <c r="AI96" i="8192"/>
  <c r="AJ96" i="8192"/>
  <c r="AE97" i="8192"/>
  <c r="AF97" i="8192"/>
  <c r="AG97" i="8192"/>
  <c r="AH97" i="8192"/>
  <c r="AI97" i="8192"/>
  <c r="AJ97" i="8192"/>
  <c r="Y98" i="8192"/>
  <c r="AB98" i="8192"/>
  <c r="AC98" i="8192"/>
  <c r="AE99" i="8192"/>
  <c r="AF99" i="8192"/>
  <c r="AG99" i="8192"/>
  <c r="AH99" i="8192"/>
  <c r="AI99" i="8192"/>
  <c r="AJ99" i="8192"/>
  <c r="AE100" i="8192"/>
  <c r="AF100" i="8192"/>
  <c r="AG100" i="8192"/>
  <c r="AH100" i="8192"/>
  <c r="AI100" i="8192"/>
  <c r="AJ100" i="8192"/>
  <c r="Y101" i="8192"/>
  <c r="AB101" i="8192"/>
  <c r="AC101" i="8192"/>
  <c r="AE102" i="8192"/>
  <c r="AF102" i="8192"/>
  <c r="AG102" i="8192"/>
  <c r="AH102" i="8192"/>
  <c r="AI102" i="8192"/>
  <c r="AJ102" i="8192"/>
  <c r="AE103" i="8192"/>
  <c r="AF103" i="8192"/>
  <c r="AG103" i="8192"/>
  <c r="AH103" i="8192"/>
  <c r="AI103" i="8192"/>
  <c r="AJ103" i="8192"/>
  <c r="Y104" i="8192"/>
  <c r="AB104" i="8192"/>
  <c r="AC104" i="8192"/>
  <c r="AE105" i="8192"/>
  <c r="AF105" i="8192"/>
  <c r="AG105" i="8192"/>
  <c r="AH105" i="8192"/>
  <c r="AI105" i="8192"/>
  <c r="AJ105" i="8192"/>
  <c r="AE106" i="8192"/>
  <c r="AF106" i="8192"/>
  <c r="AG106" i="8192"/>
  <c r="AH106" i="8192"/>
  <c r="AI106" i="8192"/>
  <c r="AJ106" i="8192"/>
  <c r="Y107" i="8192"/>
  <c r="AB107" i="8192"/>
  <c r="AC107" i="8192"/>
  <c r="AE108" i="8192"/>
  <c r="AF108" i="8192"/>
  <c r="AG108" i="8192"/>
  <c r="AH108" i="8192"/>
  <c r="AI108" i="8192"/>
  <c r="AJ108" i="8192"/>
  <c r="AE109" i="8192"/>
  <c r="AF109" i="8192"/>
  <c r="AG109" i="8192"/>
  <c r="AH109" i="8192"/>
  <c r="AI109" i="8192"/>
  <c r="AJ109" i="8192"/>
  <c r="Y110" i="8192"/>
  <c r="AB110" i="8192"/>
  <c r="AC110" i="8192"/>
  <c r="AE111" i="8192"/>
  <c r="AF111" i="8192"/>
  <c r="AG111" i="8192"/>
  <c r="AH111" i="8192"/>
  <c r="AI111" i="8192"/>
  <c r="AJ111" i="8192"/>
  <c r="AE112" i="8192"/>
  <c r="AF112" i="8192"/>
  <c r="AG112" i="8192"/>
  <c r="AH112" i="8192"/>
  <c r="AI112" i="8192"/>
  <c r="AJ112" i="8192"/>
  <c r="Y113" i="8192"/>
  <c r="AB113" i="8192"/>
  <c r="AC113" i="8192"/>
  <c r="AE114" i="8192"/>
  <c r="AF114" i="8192"/>
  <c r="AG114" i="8192"/>
  <c r="AH114" i="8192"/>
  <c r="AI114" i="8192"/>
  <c r="AJ114" i="8192"/>
  <c r="AE115" i="8192"/>
  <c r="AF115" i="8192"/>
  <c r="AG115" i="8192"/>
  <c r="AH115" i="8192"/>
  <c r="AI115" i="8192"/>
  <c r="AJ115" i="8192"/>
  <c r="Z128" i="8192"/>
  <c r="BC121" i="8192" s="1"/>
  <c r="Z131" i="8192"/>
  <c r="BD125" i="8192" s="1"/>
  <c r="Z134" i="8192"/>
  <c r="AG134" i="8192" s="1"/>
  <c r="Z137" i="8192"/>
  <c r="BF124" i="8192" s="1"/>
  <c r="Z140" i="8192"/>
  <c r="AH140" i="8192" s="1"/>
  <c r="Z143" i="8192"/>
  <c r="BH124" i="8192" s="1"/>
  <c r="Z146" i="8192"/>
  <c r="AE146" i="8192" s="1"/>
  <c r="Z149" i="8192"/>
  <c r="AJ149" i="8192" s="1"/>
  <c r="Z152" i="8192"/>
  <c r="AH152" i="8192" s="1"/>
  <c r="Z155" i="8192"/>
  <c r="AF155" i="8192" s="1"/>
  <c r="Z158" i="8192"/>
  <c r="BM121" i="8192" s="1"/>
  <c r="Z161" i="8192"/>
  <c r="AI161" i="8192" s="1"/>
  <c r="Z164" i="8192"/>
  <c r="BO125" i="8192" s="1"/>
  <c r="Z167" i="8192"/>
  <c r="BP124" i="8192" s="1"/>
  <c r="Z170" i="8192"/>
  <c r="BQ125" i="8192" s="1"/>
  <c r="Y128" i="8192"/>
  <c r="AB128" i="8192"/>
  <c r="AC128" i="8192"/>
  <c r="AE129" i="8192"/>
  <c r="AF129" i="8192"/>
  <c r="AG129" i="8192"/>
  <c r="AH129" i="8192"/>
  <c r="AI129" i="8192"/>
  <c r="AJ129" i="8192"/>
  <c r="AE130" i="8192"/>
  <c r="AF130" i="8192"/>
  <c r="AG130" i="8192"/>
  <c r="AH130" i="8192"/>
  <c r="AI130" i="8192"/>
  <c r="AJ130" i="8192"/>
  <c r="Y131" i="8192"/>
  <c r="AB131" i="8192"/>
  <c r="AC131" i="8192"/>
  <c r="AE132" i="8192"/>
  <c r="AF132" i="8192"/>
  <c r="AG132" i="8192"/>
  <c r="AH132" i="8192"/>
  <c r="AI132" i="8192"/>
  <c r="AJ132" i="8192"/>
  <c r="AE133" i="8192"/>
  <c r="AF133" i="8192"/>
  <c r="AG133" i="8192"/>
  <c r="AH133" i="8192"/>
  <c r="AI133" i="8192"/>
  <c r="AJ133" i="8192"/>
  <c r="Y134" i="8192"/>
  <c r="AB134" i="8192"/>
  <c r="AC134" i="8192"/>
  <c r="AE135" i="8192"/>
  <c r="AF135" i="8192"/>
  <c r="AG135" i="8192"/>
  <c r="AH135" i="8192"/>
  <c r="AI135" i="8192"/>
  <c r="AJ135" i="8192"/>
  <c r="AE136" i="8192"/>
  <c r="AF136" i="8192"/>
  <c r="AG136" i="8192"/>
  <c r="AH136" i="8192"/>
  <c r="AI136" i="8192"/>
  <c r="AJ136" i="8192"/>
  <c r="Y137" i="8192"/>
  <c r="AB137" i="8192"/>
  <c r="AC137" i="8192"/>
  <c r="AE138" i="8192"/>
  <c r="AF138" i="8192"/>
  <c r="AG138" i="8192"/>
  <c r="AH138" i="8192"/>
  <c r="AI138" i="8192"/>
  <c r="AJ138" i="8192"/>
  <c r="AE139" i="8192"/>
  <c r="AF139" i="8192"/>
  <c r="AG139" i="8192"/>
  <c r="AH139" i="8192"/>
  <c r="AI139" i="8192"/>
  <c r="AJ139" i="8192"/>
  <c r="Y140" i="8192"/>
  <c r="AB140" i="8192"/>
  <c r="AC140" i="8192"/>
  <c r="AE141" i="8192"/>
  <c r="AF141" i="8192"/>
  <c r="AG141" i="8192"/>
  <c r="AH141" i="8192"/>
  <c r="AI141" i="8192"/>
  <c r="AJ141" i="8192"/>
  <c r="AE142" i="8192"/>
  <c r="AF142" i="8192"/>
  <c r="AG142" i="8192"/>
  <c r="AH142" i="8192"/>
  <c r="AI142" i="8192"/>
  <c r="AJ142" i="8192"/>
  <c r="Y143" i="8192"/>
  <c r="AB143" i="8192"/>
  <c r="AC143" i="8192"/>
  <c r="AE144" i="8192"/>
  <c r="AF144" i="8192"/>
  <c r="AG144" i="8192"/>
  <c r="AH144" i="8192"/>
  <c r="AI144" i="8192"/>
  <c r="AJ144" i="8192"/>
  <c r="AE145" i="8192"/>
  <c r="AF145" i="8192"/>
  <c r="AG145" i="8192"/>
  <c r="AH145" i="8192"/>
  <c r="AI145" i="8192"/>
  <c r="AJ145" i="8192"/>
  <c r="Y146" i="8192"/>
  <c r="AB146" i="8192"/>
  <c r="AC146" i="8192"/>
  <c r="AE147" i="8192"/>
  <c r="AF147" i="8192"/>
  <c r="AG147" i="8192"/>
  <c r="AH147" i="8192"/>
  <c r="AI147" i="8192"/>
  <c r="AJ147" i="8192"/>
  <c r="AE148" i="8192"/>
  <c r="AF148" i="8192"/>
  <c r="AG148" i="8192"/>
  <c r="AH148" i="8192"/>
  <c r="AI148" i="8192"/>
  <c r="AJ148" i="8192"/>
  <c r="Y149" i="8192"/>
  <c r="AB149" i="8192"/>
  <c r="AC149" i="8192"/>
  <c r="AE150" i="8192"/>
  <c r="AF150" i="8192"/>
  <c r="AG150" i="8192"/>
  <c r="AH150" i="8192"/>
  <c r="AI150" i="8192"/>
  <c r="AJ150" i="8192"/>
  <c r="AE151" i="8192"/>
  <c r="AF151" i="8192"/>
  <c r="AG151" i="8192"/>
  <c r="AH151" i="8192"/>
  <c r="AI151" i="8192"/>
  <c r="AJ151" i="8192"/>
  <c r="Y152" i="8192"/>
  <c r="AB152" i="8192"/>
  <c r="AC152" i="8192"/>
  <c r="AE153" i="8192"/>
  <c r="AF153" i="8192"/>
  <c r="AG153" i="8192"/>
  <c r="AH153" i="8192"/>
  <c r="AI153" i="8192"/>
  <c r="AJ153" i="8192"/>
  <c r="AE154" i="8192"/>
  <c r="AF154" i="8192"/>
  <c r="AG154" i="8192"/>
  <c r="AH154" i="8192"/>
  <c r="AI154" i="8192"/>
  <c r="AJ154" i="8192"/>
  <c r="Y155" i="8192"/>
  <c r="AB155" i="8192"/>
  <c r="AC155" i="8192"/>
  <c r="AE156" i="8192"/>
  <c r="AF156" i="8192"/>
  <c r="AG156" i="8192"/>
  <c r="AH156" i="8192"/>
  <c r="AI156" i="8192"/>
  <c r="AJ156" i="8192"/>
  <c r="AE157" i="8192"/>
  <c r="AF157" i="8192"/>
  <c r="AG157" i="8192"/>
  <c r="AH157" i="8192"/>
  <c r="AI157" i="8192"/>
  <c r="AJ157" i="8192"/>
  <c r="Y158" i="8192"/>
  <c r="AB158" i="8192"/>
  <c r="AC158" i="8192"/>
  <c r="AC159" i="8192"/>
  <c r="AE159" i="8192"/>
  <c r="AF159" i="8192"/>
  <c r="AG159" i="8192"/>
  <c r="AH159" i="8192"/>
  <c r="AI159" i="8192"/>
  <c r="AJ159" i="8192"/>
  <c r="AC160" i="8192"/>
  <c r="AE160" i="8192"/>
  <c r="AF160" i="8192"/>
  <c r="AG160" i="8192"/>
  <c r="AH160" i="8192"/>
  <c r="AI160" i="8192"/>
  <c r="AJ160" i="8192"/>
  <c r="Y161" i="8192"/>
  <c r="AB161" i="8192"/>
  <c r="AC161" i="8192"/>
  <c r="Y162" i="8192"/>
  <c r="AC162" i="8192"/>
  <c r="AE162" i="8192"/>
  <c r="AF162" i="8192"/>
  <c r="AG162" i="8192"/>
  <c r="AH162" i="8192"/>
  <c r="AI162" i="8192"/>
  <c r="AJ162" i="8192"/>
  <c r="Y163" i="8192"/>
  <c r="AC163" i="8192"/>
  <c r="AE163" i="8192"/>
  <c r="AF163" i="8192"/>
  <c r="AG163" i="8192"/>
  <c r="AH163" i="8192"/>
  <c r="AI163" i="8192"/>
  <c r="AJ163" i="8192"/>
  <c r="Y164" i="8192"/>
  <c r="AB164" i="8192"/>
  <c r="AC164" i="8192"/>
  <c r="Y165" i="8192"/>
  <c r="AC165" i="8192"/>
  <c r="AE165" i="8192"/>
  <c r="AF165" i="8192"/>
  <c r="AG165" i="8192"/>
  <c r="AH165" i="8192"/>
  <c r="AI165" i="8192"/>
  <c r="AJ165" i="8192"/>
  <c r="Y166" i="8192"/>
  <c r="AC166" i="8192"/>
  <c r="AE166" i="8192"/>
  <c r="AF166" i="8192"/>
  <c r="AG166" i="8192"/>
  <c r="AH166" i="8192"/>
  <c r="AI166" i="8192"/>
  <c r="AJ166" i="8192"/>
  <c r="Y167" i="8192"/>
  <c r="AB167" i="8192"/>
  <c r="AC167" i="8192"/>
  <c r="Y168" i="8192"/>
  <c r="AC168" i="8192"/>
  <c r="AE168" i="8192"/>
  <c r="AF168" i="8192"/>
  <c r="AG168" i="8192"/>
  <c r="AH168" i="8192"/>
  <c r="AI168" i="8192"/>
  <c r="AJ168" i="8192"/>
  <c r="Y169" i="8192"/>
  <c r="AC169" i="8192"/>
  <c r="AE169" i="8192"/>
  <c r="AF169" i="8192"/>
  <c r="AG169" i="8192"/>
  <c r="AH169" i="8192"/>
  <c r="AI169" i="8192"/>
  <c r="AJ169" i="8192"/>
  <c r="Y170" i="8192"/>
  <c r="AB170" i="8192"/>
  <c r="AC170" i="8192"/>
  <c r="AE171" i="8192"/>
  <c r="AF171" i="8192"/>
  <c r="AG171" i="8192"/>
  <c r="AH171" i="8192"/>
  <c r="AI171" i="8192"/>
  <c r="AJ171" i="8192"/>
  <c r="AE172" i="8192"/>
  <c r="AF172" i="8192"/>
  <c r="AG172" i="8192"/>
  <c r="AH172" i="8192"/>
  <c r="AI172" i="8192"/>
  <c r="AJ172" i="8192"/>
  <c r="AK6" i="29184"/>
  <c r="Q8" i="29184" s="1"/>
  <c r="AC7" i="29184"/>
  <c r="AE7" i="29184"/>
  <c r="AF7" i="29184"/>
  <c r="AG7" i="29184"/>
  <c r="AH7" i="29184"/>
  <c r="AX7" i="29184"/>
  <c r="AY7" i="29184"/>
  <c r="AZ7" i="29184"/>
  <c r="AC8" i="29184"/>
  <c r="AE8" i="29184"/>
  <c r="AF8" i="29184"/>
  <c r="AG8" i="29184"/>
  <c r="AH8" i="29184"/>
  <c r="AX8" i="29184"/>
  <c r="AY8" i="29184"/>
  <c r="AZ8" i="29184"/>
  <c r="AC9" i="29184"/>
  <c r="AE9" i="29184"/>
  <c r="AF9" i="29184"/>
  <c r="AG9" i="29184"/>
  <c r="AH9" i="29184"/>
  <c r="AX9" i="29184"/>
  <c r="AY9" i="29184"/>
  <c r="AZ9" i="29184"/>
  <c r="AK14" i="29184"/>
  <c r="Q17" i="29184" s="1"/>
  <c r="AC15" i="29184"/>
  <c r="AE15" i="29184"/>
  <c r="AF15" i="29184"/>
  <c r="AG15" i="29184"/>
  <c r="AH15" i="29184"/>
  <c r="AX15" i="29184"/>
  <c r="AY15" i="29184"/>
  <c r="AZ15" i="29184"/>
  <c r="BA15" i="29184"/>
  <c r="BB15" i="29184"/>
  <c r="BC15" i="29184"/>
  <c r="AC16" i="29184"/>
  <c r="AE16" i="29184"/>
  <c r="AF16" i="29184"/>
  <c r="AG16" i="29184"/>
  <c r="AH16" i="29184"/>
  <c r="AX16" i="29184"/>
  <c r="AY16" i="29184"/>
  <c r="AZ16" i="29184"/>
  <c r="BA16" i="29184"/>
  <c r="BB16" i="29184"/>
  <c r="BC16" i="29184"/>
  <c r="AC17" i="29184"/>
  <c r="AE17" i="29184"/>
  <c r="AF17" i="29184"/>
  <c r="AG17" i="29184"/>
  <c r="AH17" i="29184"/>
  <c r="AX17" i="29184"/>
  <c r="AY17" i="29184"/>
  <c r="AZ17" i="29184"/>
  <c r="BA17" i="29184"/>
  <c r="BB17" i="29184"/>
  <c r="BC17" i="29184"/>
  <c r="AC18" i="29184"/>
  <c r="AE18" i="29184"/>
  <c r="AF18" i="29184"/>
  <c r="AG18" i="29184"/>
  <c r="AH18" i="29184"/>
  <c r="AC19" i="29184"/>
  <c r="AE19" i="29184"/>
  <c r="AF19" i="29184"/>
  <c r="AG19" i="29184"/>
  <c r="AH19" i="29184"/>
  <c r="AC20" i="29184"/>
  <c r="AE20" i="29184"/>
  <c r="AF20" i="29184"/>
  <c r="AG20" i="29184"/>
  <c r="AH20" i="29184"/>
  <c r="AK25" i="29184"/>
  <c r="Q28" i="29184" s="1"/>
  <c r="AC26" i="29184"/>
  <c r="AE26" i="29184"/>
  <c r="AF26" i="29184"/>
  <c r="AG26" i="29184"/>
  <c r="AH26" i="29184"/>
  <c r="AX26" i="29184"/>
  <c r="AY26" i="29184"/>
  <c r="AZ26" i="29184"/>
  <c r="BA26" i="29184"/>
  <c r="BB26" i="29184"/>
  <c r="BC26" i="29184"/>
  <c r="AC27" i="29184"/>
  <c r="AE27" i="29184"/>
  <c r="AF27" i="29184"/>
  <c r="AG27" i="29184"/>
  <c r="AH27" i="29184"/>
  <c r="AX27" i="29184"/>
  <c r="AY27" i="29184"/>
  <c r="AZ27" i="29184"/>
  <c r="BA27" i="29184"/>
  <c r="BB27" i="29184"/>
  <c r="BC27" i="29184"/>
  <c r="AC28" i="29184"/>
  <c r="AE28" i="29184"/>
  <c r="AG28" i="29184"/>
  <c r="AH28" i="29184"/>
  <c r="AX28" i="29184"/>
  <c r="AY28" i="29184"/>
  <c r="AZ28" i="29184"/>
  <c r="BA28" i="29184"/>
  <c r="BB28" i="29184"/>
  <c r="BC28" i="29184"/>
  <c r="AC29" i="29184"/>
  <c r="AE29" i="29184"/>
  <c r="AF29" i="29184"/>
  <c r="AH29" i="29184"/>
  <c r="AX29" i="29184"/>
  <c r="AY29" i="29184"/>
  <c r="AZ29" i="29184"/>
  <c r="BA29" i="29184"/>
  <c r="BB29" i="29184"/>
  <c r="BC29" i="29184"/>
  <c r="AC30" i="29184"/>
  <c r="AE30" i="29184"/>
  <c r="AF30" i="29184"/>
  <c r="AH30" i="29184"/>
  <c r="AC31" i="29184"/>
  <c r="AE31" i="29184"/>
  <c r="AF31" i="29184"/>
  <c r="AG31" i="29184" s="1"/>
  <c r="AH31" i="29184"/>
  <c r="AK36" i="29184"/>
  <c r="Q37" i="29184" s="1"/>
  <c r="AC37" i="29184"/>
  <c r="AE37" i="29184"/>
  <c r="AF37" i="29184"/>
  <c r="AG37" i="29184"/>
  <c r="AH37" i="29184"/>
  <c r="AX37" i="29184"/>
  <c r="AY37" i="29184"/>
  <c r="AZ37" i="29184"/>
  <c r="BA37" i="29184"/>
  <c r="BB37" i="29184"/>
  <c r="BC37" i="29184"/>
  <c r="BD37" i="29184"/>
  <c r="BE37" i="29184"/>
  <c r="BF37" i="29184"/>
  <c r="BG37" i="29184"/>
  <c r="BH37" i="29184"/>
  <c r="BI37" i="29184"/>
  <c r="AC38" i="29184"/>
  <c r="AE38" i="29184"/>
  <c r="AF38" i="29184"/>
  <c r="AG38" i="29184"/>
  <c r="AH38" i="29184"/>
  <c r="AY38" i="29184"/>
  <c r="AZ38" i="29184"/>
  <c r="BA38" i="29184"/>
  <c r="BB38" i="29184"/>
  <c r="BC38" i="29184"/>
  <c r="BD38" i="29184"/>
  <c r="BF38" i="29184"/>
  <c r="BG38" i="29184"/>
  <c r="BH38" i="29184"/>
  <c r="BI38" i="29184"/>
  <c r="AC39" i="29184"/>
  <c r="AE39" i="29184"/>
  <c r="AF39" i="29184"/>
  <c r="AG39" i="29184"/>
  <c r="AH39" i="29184"/>
  <c r="AX39" i="29184"/>
  <c r="AY39" i="29184"/>
  <c r="AZ39" i="29184"/>
  <c r="BA39" i="29184"/>
  <c r="BB39" i="29184"/>
  <c r="BC39" i="29184"/>
  <c r="BD39" i="29184"/>
  <c r="BE39" i="29184"/>
  <c r="BF39" i="29184"/>
  <c r="BG39" i="29184"/>
  <c r="BH39" i="29184"/>
  <c r="BI39" i="29184"/>
  <c r="AC40" i="29184"/>
  <c r="AE40" i="29184"/>
  <c r="AF40" i="29184"/>
  <c r="AG40" i="29184"/>
  <c r="AH40" i="29184"/>
  <c r="AX40" i="29184"/>
  <c r="AY40" i="29184"/>
  <c r="AZ40" i="29184"/>
  <c r="BA40" i="29184"/>
  <c r="BB40" i="29184"/>
  <c r="BC40" i="29184"/>
  <c r="BD40" i="29184"/>
  <c r="BE40" i="29184"/>
  <c r="BF40" i="29184"/>
  <c r="BG40" i="29184"/>
  <c r="BH40" i="29184"/>
  <c r="BI40" i="29184"/>
  <c r="AC41" i="29184"/>
  <c r="AE41" i="29184"/>
  <c r="AF41" i="29184"/>
  <c r="AG41" i="29184"/>
  <c r="AH41" i="29184"/>
  <c r="AC42" i="29184"/>
  <c r="AE42" i="29184"/>
  <c r="AF42" i="29184"/>
  <c r="AG42" i="29184"/>
  <c r="AH42" i="29184"/>
  <c r="AC43" i="29184"/>
  <c r="AE43" i="29184"/>
  <c r="AG43" i="29184"/>
  <c r="AH43" i="29184"/>
  <c r="AC44" i="29184"/>
  <c r="AE44" i="29184"/>
  <c r="AF44" i="29184"/>
  <c r="AG44" i="29184" s="1"/>
  <c r="AH44" i="29184"/>
  <c r="AC45" i="29184"/>
  <c r="AE45" i="29184"/>
  <c r="AF45" i="29184"/>
  <c r="AH45" i="29184"/>
  <c r="AC46" i="29184"/>
  <c r="AE46" i="29184"/>
  <c r="AF46" i="29184"/>
  <c r="AG46" i="29184"/>
  <c r="AH46" i="29184"/>
  <c r="AC47" i="29184"/>
  <c r="AE47" i="29184"/>
  <c r="AF47" i="29184"/>
  <c r="AG47" i="29184"/>
  <c r="AH47" i="29184"/>
  <c r="AC48" i="29184"/>
  <c r="AE48" i="29184"/>
  <c r="AF48" i="29184"/>
  <c r="AG48" i="29184"/>
  <c r="AH48" i="29184"/>
  <c r="AK53" i="29184"/>
  <c r="C57" i="29184" s="1"/>
  <c r="AC54" i="29184"/>
  <c r="AE54" i="29184"/>
  <c r="AF54" i="29184"/>
  <c r="AG54" i="29184"/>
  <c r="AX54" i="29184"/>
  <c r="AY54" i="29184"/>
  <c r="AZ54" i="29184"/>
  <c r="BA54" i="29184"/>
  <c r="BB54" i="29184"/>
  <c r="BC54" i="29184"/>
  <c r="BD54" i="29184"/>
  <c r="BE54" i="29184"/>
  <c r="BF54" i="29184"/>
  <c r="BG54" i="29184"/>
  <c r="V55" i="29184"/>
  <c r="Z55" i="29184"/>
  <c r="AC55" i="29184"/>
  <c r="AE55" i="29184"/>
  <c r="AF55" i="29184"/>
  <c r="AG55" i="29184"/>
  <c r="AH55" i="29184"/>
  <c r="AY55" i="29184"/>
  <c r="AZ55" i="29184"/>
  <c r="BA55" i="29184"/>
  <c r="BB55" i="29184"/>
  <c r="BC55" i="29184"/>
  <c r="BD55" i="29184"/>
  <c r="BE55" i="29184"/>
  <c r="BF55" i="29184"/>
  <c r="BG55" i="29184"/>
  <c r="V56" i="29184"/>
  <c r="Z56" i="29184"/>
  <c r="AC56" i="29184"/>
  <c r="AE56" i="29184"/>
  <c r="AF56" i="29184"/>
  <c r="AG56" i="29184"/>
  <c r="AH56" i="29184"/>
  <c r="AX56" i="29184"/>
  <c r="AY56" i="29184"/>
  <c r="AZ56" i="29184"/>
  <c r="BA56" i="29184"/>
  <c r="BB56" i="29184"/>
  <c r="BC56" i="29184"/>
  <c r="BD56" i="29184"/>
  <c r="BE56" i="29184"/>
  <c r="BF56" i="29184"/>
  <c r="BG56" i="29184"/>
  <c r="V57" i="29184"/>
  <c r="Z57" i="29184"/>
  <c r="AC57" i="29184"/>
  <c r="AE57" i="29184"/>
  <c r="AF57" i="29184"/>
  <c r="AG57" i="29184"/>
  <c r="AH57" i="29184"/>
  <c r="AX57" i="29184"/>
  <c r="BC57" i="29184"/>
  <c r="AC58" i="29184"/>
  <c r="AE58" i="29184"/>
  <c r="AF58" i="29184"/>
  <c r="AG58" i="29184"/>
  <c r="AH58" i="29184"/>
  <c r="AY58" i="29184"/>
  <c r="AZ58" i="29184"/>
  <c r="BA58" i="29184"/>
  <c r="BB58" i="29184"/>
  <c r="BC58" i="29184"/>
  <c r="BD58" i="29184"/>
  <c r="BE58" i="29184"/>
  <c r="BF58" i="29184"/>
  <c r="BG58" i="29184"/>
  <c r="AC59" i="29184"/>
  <c r="AE59" i="29184"/>
  <c r="AG59" i="29184"/>
  <c r="AH59" i="29184"/>
  <c r="V60" i="29184"/>
  <c r="Z60" i="29184"/>
  <c r="AC60" i="29184"/>
  <c r="AE60" i="29184"/>
  <c r="AF60" i="29184"/>
  <c r="AG60" i="29184"/>
  <c r="AH60" i="29184"/>
  <c r="V61" i="29184"/>
  <c r="Z61" i="29184"/>
  <c r="AC61" i="29184"/>
  <c r="AE61" i="29184"/>
  <c r="AF61" i="29184"/>
  <c r="AH61" i="29184"/>
  <c r="V62" i="29184"/>
  <c r="Z62" i="29184"/>
  <c r="AC62" i="29184"/>
  <c r="AE62" i="29184"/>
  <c r="AF62" i="29184"/>
  <c r="AG62" i="29184" s="1"/>
  <c r="AH62" i="29184"/>
  <c r="V63" i="29184"/>
  <c r="Z63" i="29184"/>
  <c r="AC63" i="29184"/>
  <c r="AE63" i="29184"/>
  <c r="AF63" i="29184"/>
  <c r="AG63" i="29184"/>
  <c r="AH63" i="29184"/>
  <c r="AK68" i="29184"/>
  <c r="AO69" i="29184" s="1"/>
  <c r="CA69" i="29184" s="1"/>
  <c r="AC69" i="29184"/>
  <c r="AE69" i="29184"/>
  <c r="AF69" i="29184"/>
  <c r="AG69" i="29184"/>
  <c r="AH69" i="29184"/>
  <c r="AX69" i="29184"/>
  <c r="AY69" i="29184"/>
  <c r="AZ69" i="29184"/>
  <c r="BA69" i="29184"/>
  <c r="BB69" i="29184"/>
  <c r="BC69" i="29184"/>
  <c r="BD69" i="29184"/>
  <c r="BE69" i="29184"/>
  <c r="BF69" i="29184"/>
  <c r="BG69" i="29184"/>
  <c r="BH69" i="29184"/>
  <c r="BI69" i="29184"/>
  <c r="BJ69" i="29184"/>
  <c r="BK69" i="29184"/>
  <c r="BL69" i="29184"/>
  <c r="BM69" i="29184"/>
  <c r="BN69" i="29184"/>
  <c r="BO69" i="29184"/>
  <c r="BP69" i="29184"/>
  <c r="BQ69" i="29184"/>
  <c r="AC70" i="29184"/>
  <c r="AE70" i="29184"/>
  <c r="AF70" i="29184"/>
  <c r="AG70" i="29184"/>
  <c r="AH70" i="29184"/>
  <c r="AX70" i="29184"/>
  <c r="AY70" i="29184"/>
  <c r="AZ70" i="29184"/>
  <c r="BA70" i="29184"/>
  <c r="BB70" i="29184"/>
  <c r="BC70" i="29184"/>
  <c r="BD70" i="29184"/>
  <c r="BE70" i="29184"/>
  <c r="BF70" i="29184"/>
  <c r="BG70" i="29184"/>
  <c r="BH70" i="29184"/>
  <c r="BI70" i="29184"/>
  <c r="BJ70" i="29184"/>
  <c r="BK70" i="29184"/>
  <c r="BL70" i="29184"/>
  <c r="BM70" i="29184"/>
  <c r="BN70" i="29184"/>
  <c r="BO70" i="29184"/>
  <c r="BP70" i="29184"/>
  <c r="BQ70" i="29184"/>
  <c r="AC71" i="29184"/>
  <c r="AE71" i="29184"/>
  <c r="AF71" i="29184"/>
  <c r="AG71" i="29184"/>
  <c r="AH71" i="29184"/>
  <c r="AX71" i="29184"/>
  <c r="AY71" i="29184"/>
  <c r="AZ71" i="29184"/>
  <c r="BA71" i="29184"/>
  <c r="BB71" i="29184"/>
  <c r="BC71" i="29184"/>
  <c r="BD71" i="29184"/>
  <c r="BE71" i="29184"/>
  <c r="BF71" i="29184"/>
  <c r="BG71" i="29184"/>
  <c r="BH71" i="29184"/>
  <c r="BI71" i="29184"/>
  <c r="BJ71" i="29184"/>
  <c r="BK71" i="29184"/>
  <c r="BL71" i="29184"/>
  <c r="BM71" i="29184"/>
  <c r="BN71" i="29184"/>
  <c r="BO71" i="29184"/>
  <c r="BP71" i="29184"/>
  <c r="BQ71" i="29184"/>
  <c r="AC72" i="29184"/>
  <c r="AE72" i="29184"/>
  <c r="AF72" i="29184"/>
  <c r="AG72" i="29184"/>
  <c r="AH72" i="29184"/>
  <c r="AX72" i="29184"/>
  <c r="AY72" i="29184"/>
  <c r="AZ72" i="29184"/>
  <c r="BA72" i="29184"/>
  <c r="BB72" i="29184"/>
  <c r="BC72" i="29184"/>
  <c r="BD72" i="29184"/>
  <c r="BE72" i="29184"/>
  <c r="BF72" i="29184"/>
  <c r="BG72" i="29184"/>
  <c r="BH72" i="29184"/>
  <c r="BI72" i="29184"/>
  <c r="BJ72" i="29184"/>
  <c r="BK72" i="29184"/>
  <c r="BL72" i="29184"/>
  <c r="BM72" i="29184"/>
  <c r="BN72" i="29184"/>
  <c r="BO72" i="29184"/>
  <c r="BP72" i="29184"/>
  <c r="BQ72" i="29184"/>
  <c r="AC73" i="29184"/>
  <c r="AE73" i="29184"/>
  <c r="AF73" i="29184"/>
  <c r="AG73" i="29184"/>
  <c r="AH73" i="29184"/>
  <c r="AX73" i="29184"/>
  <c r="AY73" i="29184"/>
  <c r="AZ73" i="29184"/>
  <c r="BA73" i="29184"/>
  <c r="BB73" i="29184"/>
  <c r="BC73" i="29184"/>
  <c r="BD73" i="29184"/>
  <c r="BE73" i="29184"/>
  <c r="BF73" i="29184"/>
  <c r="BG73" i="29184"/>
  <c r="BH73" i="29184"/>
  <c r="BI73" i="29184"/>
  <c r="BJ73" i="29184"/>
  <c r="BK73" i="29184"/>
  <c r="BL73" i="29184"/>
  <c r="BM73" i="29184"/>
  <c r="BN73" i="29184"/>
  <c r="BO73" i="29184"/>
  <c r="BP73" i="29184"/>
  <c r="BQ73" i="29184"/>
  <c r="AC74" i="29184"/>
  <c r="AE74" i="29184"/>
  <c r="AF74" i="29184"/>
  <c r="AG74" i="29184"/>
  <c r="AH74" i="29184"/>
  <c r="AC75" i="29184"/>
  <c r="AE75" i="29184"/>
  <c r="AF75" i="29184"/>
  <c r="AG75" i="29184"/>
  <c r="AH75" i="29184"/>
  <c r="AC76" i="29184"/>
  <c r="AE76" i="29184"/>
  <c r="AF76" i="29184"/>
  <c r="AG76" i="29184"/>
  <c r="AH76" i="29184"/>
  <c r="AC77" i="29184"/>
  <c r="AE77" i="29184"/>
  <c r="AF77" i="29184"/>
  <c r="AG77" i="29184"/>
  <c r="AH77" i="29184"/>
  <c r="AC78" i="29184"/>
  <c r="AE78" i="29184"/>
  <c r="AF78" i="29184"/>
  <c r="AG78" i="29184"/>
  <c r="AH78" i="29184"/>
  <c r="AC79" i="29184"/>
  <c r="AE79" i="29184"/>
  <c r="AF79" i="29184"/>
  <c r="AG79" i="29184"/>
  <c r="AH79" i="29184"/>
  <c r="AK79" i="29184"/>
  <c r="AC80" i="29184"/>
  <c r="AE80" i="29184"/>
  <c r="AF80" i="29184"/>
  <c r="AG80" i="29184"/>
  <c r="AH80" i="29184"/>
  <c r="AK80" i="29184"/>
  <c r="AC81" i="29184"/>
  <c r="AE81" i="29184"/>
  <c r="AF81" i="29184"/>
  <c r="AG81" i="29184"/>
  <c r="AH81" i="29184"/>
  <c r="AK81" i="29184"/>
  <c r="AC82" i="29184"/>
  <c r="AE82" i="29184"/>
  <c r="AF82" i="29184"/>
  <c r="AG82" i="29184"/>
  <c r="AH82" i="29184"/>
  <c r="AK82" i="29184"/>
  <c r="AC83" i="29184"/>
  <c r="AE83" i="29184"/>
  <c r="AF83" i="29184"/>
  <c r="AG83" i="29184"/>
  <c r="AH83" i="29184"/>
  <c r="AK83" i="29184"/>
  <c r="AC84" i="29184"/>
  <c r="AE84" i="29184"/>
  <c r="AF84" i="29184"/>
  <c r="AG84" i="29184"/>
  <c r="AH84" i="29184"/>
  <c r="AC85" i="29184"/>
  <c r="AE85" i="29184"/>
  <c r="AF85" i="29184"/>
  <c r="AG85" i="29184"/>
  <c r="AH85" i="29184"/>
  <c r="AC86" i="29184"/>
  <c r="AE86" i="29184"/>
  <c r="AF86" i="29184"/>
  <c r="AG86" i="29184"/>
  <c r="AH86" i="29184"/>
  <c r="AC87" i="29184"/>
  <c r="AE87" i="29184"/>
  <c r="AF87" i="29184"/>
  <c r="AG87" i="29184"/>
  <c r="AH87" i="29184"/>
  <c r="AC88" i="29184"/>
  <c r="AE88" i="29184"/>
  <c r="AF88" i="29184"/>
  <c r="AG88" i="29184"/>
  <c r="AH88" i="29184"/>
  <c r="AK93" i="29184"/>
  <c r="M97" i="29184" s="1"/>
  <c r="AC99" i="29184"/>
  <c r="AE99" i="29184"/>
  <c r="AF99" i="29184"/>
  <c r="AG99" i="29184"/>
  <c r="AH99" i="29184"/>
  <c r="AX94" i="29184"/>
  <c r="AY94" i="29184"/>
  <c r="AZ94" i="29184"/>
  <c r="BA94" i="29184"/>
  <c r="BB94" i="29184"/>
  <c r="BC94" i="29184"/>
  <c r="BD94" i="29184"/>
  <c r="BE94" i="29184"/>
  <c r="BF94" i="29184"/>
  <c r="BG94" i="29184"/>
  <c r="BH94" i="29184"/>
  <c r="BI94" i="29184"/>
  <c r="BJ94" i="29184"/>
  <c r="BK94" i="29184"/>
  <c r="BL94" i="29184"/>
  <c r="V98" i="29184"/>
  <c r="Z98" i="29184"/>
  <c r="AC98" i="29184"/>
  <c r="AE98" i="29184"/>
  <c r="AF98" i="29184"/>
  <c r="AG98" i="29184"/>
  <c r="AH98" i="29184"/>
  <c r="AX95" i="29184"/>
  <c r="AY95" i="29184"/>
  <c r="AZ95" i="29184"/>
  <c r="BA95" i="29184"/>
  <c r="BB95" i="29184"/>
  <c r="BC95" i="29184"/>
  <c r="BD95" i="29184"/>
  <c r="BE95" i="29184"/>
  <c r="BF95" i="29184"/>
  <c r="BG95" i="29184"/>
  <c r="BH95" i="29184"/>
  <c r="BI95" i="29184"/>
  <c r="BJ95" i="29184"/>
  <c r="BK95" i="29184"/>
  <c r="BL95" i="29184"/>
  <c r="V97" i="29184"/>
  <c r="Z97" i="29184"/>
  <c r="AC97" i="29184"/>
  <c r="AE97" i="29184"/>
  <c r="AF97" i="29184"/>
  <c r="AG97" i="29184"/>
  <c r="AH97" i="29184"/>
  <c r="AX96" i="29184"/>
  <c r="AY96" i="29184"/>
  <c r="AZ96" i="29184"/>
  <c r="BA96" i="29184"/>
  <c r="BB96" i="29184"/>
  <c r="BC96" i="29184"/>
  <c r="BD96" i="29184"/>
  <c r="BE96" i="29184"/>
  <c r="BF96" i="29184"/>
  <c r="BG96" i="29184"/>
  <c r="BH96" i="29184"/>
  <c r="BI96" i="29184"/>
  <c r="BJ96" i="29184"/>
  <c r="BK96" i="29184"/>
  <c r="BL96" i="29184"/>
  <c r="AC102" i="29184"/>
  <c r="AE102" i="29184"/>
  <c r="AF102" i="29184"/>
  <c r="AG102" i="29184"/>
  <c r="AH102" i="29184"/>
  <c r="AX97" i="29184"/>
  <c r="AY97" i="29184"/>
  <c r="AZ97" i="29184"/>
  <c r="BA97" i="29184"/>
  <c r="BB97" i="29184"/>
  <c r="BC97" i="29184"/>
  <c r="BD97" i="29184"/>
  <c r="BE97" i="29184"/>
  <c r="BF97" i="29184"/>
  <c r="BG97" i="29184"/>
  <c r="BH97" i="29184"/>
  <c r="BI97" i="29184"/>
  <c r="BJ97" i="29184"/>
  <c r="BK97" i="29184"/>
  <c r="BL97" i="29184"/>
  <c r="AC101" i="29184"/>
  <c r="AE101" i="29184"/>
  <c r="AF101" i="29184"/>
  <c r="AG101" i="29184"/>
  <c r="AH101" i="29184"/>
  <c r="AX98" i="29184"/>
  <c r="AY98" i="29184"/>
  <c r="AZ98" i="29184"/>
  <c r="BA98" i="29184"/>
  <c r="BB98" i="29184"/>
  <c r="BC98" i="29184"/>
  <c r="BD98" i="29184"/>
  <c r="BE98" i="29184"/>
  <c r="BF98" i="29184"/>
  <c r="BG98" i="29184"/>
  <c r="BH98" i="29184"/>
  <c r="BI98" i="29184"/>
  <c r="BJ98" i="29184"/>
  <c r="BK98" i="29184"/>
  <c r="BL98" i="29184"/>
  <c r="V100" i="29184"/>
  <c r="Z100" i="29184"/>
  <c r="AC100" i="29184"/>
  <c r="AE100" i="29184"/>
  <c r="AF100" i="29184"/>
  <c r="AG100" i="29184"/>
  <c r="AH100" i="29184"/>
  <c r="AX99" i="29184"/>
  <c r="AY99" i="29184"/>
  <c r="AZ99" i="29184"/>
  <c r="BA99" i="29184"/>
  <c r="BB99" i="29184"/>
  <c r="BC99" i="29184"/>
  <c r="BD99" i="29184"/>
  <c r="BE99" i="29184"/>
  <c r="BF99" i="29184"/>
  <c r="BG99" i="29184"/>
  <c r="BH99" i="29184"/>
  <c r="BI99" i="29184"/>
  <c r="BJ99" i="29184"/>
  <c r="BK99" i="29184"/>
  <c r="BL99" i="29184"/>
  <c r="V94" i="29184"/>
  <c r="Z94" i="29184"/>
  <c r="AC94" i="29184"/>
  <c r="AE94" i="29184"/>
  <c r="AF94" i="29184"/>
  <c r="AG94" i="29184"/>
  <c r="AH94" i="29184"/>
  <c r="V95" i="29184"/>
  <c r="Z95" i="29184"/>
  <c r="AC95" i="29184"/>
  <c r="AE95" i="29184"/>
  <c r="AF95" i="29184"/>
  <c r="AG95" i="29184"/>
  <c r="AH95" i="29184"/>
  <c r="V96" i="29184"/>
  <c r="Z96" i="29184"/>
  <c r="AC96" i="29184"/>
  <c r="AE96" i="29184"/>
  <c r="AF96" i="29184"/>
  <c r="AG96" i="29184"/>
  <c r="AH96" i="29184"/>
  <c r="AC104" i="29184"/>
  <c r="AE104" i="29184"/>
  <c r="AF104" i="29184"/>
  <c r="AG104" i="29184"/>
  <c r="AH104" i="29184"/>
  <c r="V103" i="29184"/>
  <c r="Z103" i="29184"/>
  <c r="AC103" i="29184"/>
  <c r="AE103" i="29184"/>
  <c r="AF103" i="29184"/>
  <c r="AG103" i="29184"/>
  <c r="AH103" i="29184"/>
  <c r="V105" i="29184"/>
  <c r="Z105" i="29184"/>
  <c r="AC105" i="29184"/>
  <c r="AE105" i="29184"/>
  <c r="AF105" i="29184"/>
  <c r="AG105" i="29184"/>
  <c r="AH105" i="29184"/>
  <c r="V108" i="29184"/>
  <c r="Z108" i="29184"/>
  <c r="AC108" i="29184"/>
  <c r="AE108" i="29184"/>
  <c r="AF108" i="29184"/>
  <c r="AG108" i="29184"/>
  <c r="AH108" i="29184"/>
  <c r="V107" i="29184"/>
  <c r="Z107" i="29184"/>
  <c r="AC107" i="29184"/>
  <c r="AE107" i="29184"/>
  <c r="AF107" i="29184"/>
  <c r="AG107" i="29184"/>
  <c r="AH107" i="29184"/>
  <c r="V106" i="29184"/>
  <c r="Z106" i="29184"/>
  <c r="AC106" i="29184"/>
  <c r="AE106" i="29184"/>
  <c r="AF106" i="29184"/>
  <c r="AG106" i="29184"/>
  <c r="AH106" i="29184"/>
  <c r="AK113" i="29184"/>
  <c r="AO115" i="29184" s="1"/>
  <c r="CA115" i="29184" s="1"/>
  <c r="V114" i="29184"/>
  <c r="Z114" i="29184"/>
  <c r="AC114" i="29184"/>
  <c r="AE114" i="29184"/>
  <c r="AF114" i="29184"/>
  <c r="AG114" i="29184"/>
  <c r="AH114" i="29184"/>
  <c r="AX114" i="29184"/>
  <c r="AY114" i="29184"/>
  <c r="AZ114" i="29184"/>
  <c r="BA114" i="29184"/>
  <c r="BB114" i="29184"/>
  <c r="BC114" i="29184"/>
  <c r="BD114" i="29184"/>
  <c r="BE114" i="29184"/>
  <c r="BF114" i="29184"/>
  <c r="BG114" i="29184"/>
  <c r="BH114" i="29184"/>
  <c r="BI114" i="29184"/>
  <c r="BJ114" i="29184"/>
  <c r="BK114" i="29184"/>
  <c r="BL114" i="29184"/>
  <c r="V115" i="29184"/>
  <c r="Z115" i="29184"/>
  <c r="AC115" i="29184"/>
  <c r="AE115" i="29184"/>
  <c r="AF115" i="29184"/>
  <c r="AG115" i="29184"/>
  <c r="AH115" i="29184"/>
  <c r="AX115" i="29184"/>
  <c r="AY115" i="29184"/>
  <c r="AZ115" i="29184"/>
  <c r="BA115" i="29184"/>
  <c r="BB115" i="29184"/>
  <c r="BC115" i="29184"/>
  <c r="BD115" i="29184"/>
  <c r="BE115" i="29184"/>
  <c r="BF115" i="29184"/>
  <c r="BG115" i="29184"/>
  <c r="BH115" i="29184"/>
  <c r="BI115" i="29184"/>
  <c r="BJ115" i="29184"/>
  <c r="BK115" i="29184"/>
  <c r="BL115" i="29184"/>
  <c r="V116" i="29184"/>
  <c r="Z116" i="29184"/>
  <c r="AC116" i="29184"/>
  <c r="AE116" i="29184"/>
  <c r="AF116" i="29184"/>
  <c r="AG116" i="29184"/>
  <c r="AH116" i="29184"/>
  <c r="AX116" i="29184"/>
  <c r="AY116" i="29184"/>
  <c r="AZ116" i="29184"/>
  <c r="BA116" i="29184"/>
  <c r="BB116" i="29184"/>
  <c r="BC116" i="29184"/>
  <c r="BD116" i="29184"/>
  <c r="BE116" i="29184"/>
  <c r="BF116" i="29184"/>
  <c r="BG116" i="29184"/>
  <c r="BH116" i="29184"/>
  <c r="BI116" i="29184"/>
  <c r="BJ116" i="29184"/>
  <c r="BK116" i="29184"/>
  <c r="BL116" i="29184"/>
  <c r="V117" i="29184"/>
  <c r="Z117" i="29184"/>
  <c r="AC117" i="29184"/>
  <c r="AE117" i="29184"/>
  <c r="AF117" i="29184"/>
  <c r="AG117" i="29184"/>
  <c r="AH117" i="29184"/>
  <c r="AX117" i="29184"/>
  <c r="AY117" i="29184"/>
  <c r="AZ117" i="29184"/>
  <c r="BA117" i="29184"/>
  <c r="BB117" i="29184"/>
  <c r="BC117" i="29184"/>
  <c r="BD117" i="29184"/>
  <c r="BE117" i="29184"/>
  <c r="BF117" i="29184"/>
  <c r="BG117" i="29184"/>
  <c r="BH117" i="29184"/>
  <c r="BI117" i="29184"/>
  <c r="BJ117" i="29184"/>
  <c r="BK117" i="29184"/>
  <c r="BL117" i="29184"/>
  <c r="V118" i="29184"/>
  <c r="Z118" i="29184"/>
  <c r="AC118" i="29184"/>
  <c r="AE118" i="29184"/>
  <c r="AF118" i="29184"/>
  <c r="AG118" i="29184"/>
  <c r="AH118" i="29184"/>
  <c r="AX118" i="29184"/>
  <c r="AY118" i="29184"/>
  <c r="AZ118" i="29184"/>
  <c r="BA118" i="29184"/>
  <c r="BB118" i="29184"/>
  <c r="BC118" i="29184"/>
  <c r="BD118" i="29184"/>
  <c r="BE118" i="29184"/>
  <c r="BF118" i="29184"/>
  <c r="BG118" i="29184"/>
  <c r="BH118" i="29184"/>
  <c r="BI118" i="29184"/>
  <c r="BJ118" i="29184"/>
  <c r="BK118" i="29184"/>
  <c r="BL118" i="29184"/>
  <c r="V119" i="29184"/>
  <c r="Z119" i="29184"/>
  <c r="AC119" i="29184"/>
  <c r="AE119" i="29184"/>
  <c r="AF119" i="29184"/>
  <c r="AG119" i="29184"/>
  <c r="AH119" i="29184"/>
  <c r="AX119" i="29184"/>
  <c r="AY119" i="29184"/>
  <c r="AZ119" i="29184"/>
  <c r="BA119" i="29184"/>
  <c r="BB119" i="29184"/>
  <c r="BC119" i="29184"/>
  <c r="BD119" i="29184"/>
  <c r="BE119" i="29184"/>
  <c r="BF119" i="29184"/>
  <c r="BG119" i="29184"/>
  <c r="BH119" i="29184"/>
  <c r="BI119" i="29184"/>
  <c r="BJ119" i="29184"/>
  <c r="BK119" i="29184"/>
  <c r="BL119" i="29184"/>
  <c r="V120" i="29184"/>
  <c r="Z120" i="29184"/>
  <c r="AC120" i="29184"/>
  <c r="AE120" i="29184"/>
  <c r="AF120" i="29184"/>
  <c r="AG120" i="29184"/>
  <c r="AH120" i="29184"/>
  <c r="V121" i="29184"/>
  <c r="Z121" i="29184"/>
  <c r="AC121" i="29184"/>
  <c r="AE121" i="29184"/>
  <c r="AF121" i="29184"/>
  <c r="AG121" i="29184"/>
  <c r="AH121" i="29184"/>
  <c r="V122" i="29184"/>
  <c r="Z122" i="29184"/>
  <c r="AC122" i="29184"/>
  <c r="AE122" i="29184"/>
  <c r="AF122" i="29184"/>
  <c r="AG122" i="29184"/>
  <c r="AH122" i="29184"/>
  <c r="V123" i="29184"/>
  <c r="Z123" i="29184"/>
  <c r="AC123" i="29184"/>
  <c r="AE123" i="29184"/>
  <c r="AF123" i="29184"/>
  <c r="AG123" i="29184"/>
  <c r="AH123" i="29184"/>
  <c r="V124" i="29184"/>
  <c r="Z124" i="29184"/>
  <c r="AC124" i="29184"/>
  <c r="AE124" i="29184"/>
  <c r="AF124" i="29184"/>
  <c r="AG124" i="29184"/>
  <c r="AH124" i="29184"/>
  <c r="V125" i="29184"/>
  <c r="Z125" i="29184"/>
  <c r="AC125" i="29184"/>
  <c r="AE125" i="29184"/>
  <c r="AF125" i="29184"/>
  <c r="AG125" i="29184"/>
  <c r="AH125" i="29184"/>
  <c r="V126" i="29184"/>
  <c r="Z126" i="29184"/>
  <c r="AC126" i="29184"/>
  <c r="AE126" i="29184"/>
  <c r="AF126" i="29184"/>
  <c r="AG126" i="29184"/>
  <c r="AH126" i="29184"/>
  <c r="V127" i="29184"/>
  <c r="Z127" i="29184"/>
  <c r="AC127" i="29184"/>
  <c r="AE127" i="29184"/>
  <c r="AF127" i="29184"/>
  <c r="AG127" i="29184"/>
  <c r="AH127" i="29184"/>
  <c r="V128" i="29184"/>
  <c r="Z128" i="29184"/>
  <c r="AC128" i="29184"/>
  <c r="AE128" i="29184"/>
  <c r="AF128" i="29184"/>
  <c r="AG128" i="29184"/>
  <c r="AH128" i="29184"/>
  <c r="AK133" i="29184"/>
  <c r="V134" i="29184"/>
  <c r="AE134" i="29184" s="1"/>
  <c r="AC134" i="29184"/>
  <c r="AF134" i="29184"/>
  <c r="AG134" i="29184"/>
  <c r="AH134" i="29184"/>
  <c r="AC135" i="29184"/>
  <c r="AE135" i="29184"/>
  <c r="AF135" i="29184"/>
  <c r="AG135" i="29184"/>
  <c r="AH135" i="29184"/>
  <c r="AC136" i="29184"/>
  <c r="AE136" i="29184"/>
  <c r="AF136" i="29184"/>
  <c r="AG136" i="29184"/>
  <c r="AH136" i="29184"/>
  <c r="AC137" i="29184"/>
  <c r="AE137" i="29184"/>
  <c r="AF137" i="29184"/>
  <c r="AG137" i="29184"/>
  <c r="AH137" i="29184"/>
  <c r="AC138" i="29184"/>
  <c r="AE138" i="29184"/>
  <c r="AF138" i="29184"/>
  <c r="AG138" i="29184"/>
  <c r="AH138" i="29184"/>
  <c r="AC139" i="29184"/>
  <c r="AE139" i="29184"/>
  <c r="AF139" i="29184"/>
  <c r="AG139" i="29184"/>
  <c r="AH139" i="29184"/>
  <c r="AC140" i="29184"/>
  <c r="AE140" i="29184"/>
  <c r="AF140" i="29184"/>
  <c r="AG140" i="29184"/>
  <c r="AH140" i="29184"/>
  <c r="AC141" i="29184"/>
  <c r="AE141" i="29184"/>
  <c r="AF141" i="29184"/>
  <c r="AG141" i="29184"/>
  <c r="AH141" i="29184"/>
  <c r="AC142" i="29184"/>
  <c r="AE142" i="29184"/>
  <c r="AF142" i="29184"/>
  <c r="AG142" i="29184"/>
  <c r="AH142" i="29184"/>
  <c r="V143" i="29184"/>
  <c r="AC143" i="29184"/>
  <c r="AE143" i="29184"/>
  <c r="AF143" i="29184"/>
  <c r="AG143" i="29184"/>
  <c r="AH143" i="29184"/>
  <c r="AC145" i="29184"/>
  <c r="AE145" i="29184"/>
  <c r="AF145" i="29184"/>
  <c r="AG145" i="29184"/>
  <c r="AH145" i="29184"/>
  <c r="V144" i="29184"/>
  <c r="Z144" i="29184"/>
  <c r="AH144" i="29184" s="1"/>
  <c r="AC144" i="29184"/>
  <c r="AE144" i="29184"/>
  <c r="AF144" i="29184"/>
  <c r="AG144" i="29184"/>
  <c r="Z146" i="29184"/>
  <c r="AH146" i="29184" s="1"/>
  <c r="AC146" i="29184"/>
  <c r="AE146" i="29184"/>
  <c r="AF146" i="29184"/>
  <c r="AG146" i="29184"/>
  <c r="AC147" i="29184"/>
  <c r="AE147" i="29184"/>
  <c r="AF147" i="29184"/>
  <c r="AG147" i="29184"/>
  <c r="AH147" i="29184"/>
  <c r="AC148" i="29184"/>
  <c r="AE148" i="29184"/>
  <c r="AF148" i="29184"/>
  <c r="AG148" i="29184"/>
  <c r="AH148" i="29184"/>
  <c r="AC149" i="29184"/>
  <c r="AE149" i="29184"/>
  <c r="AF149" i="29184"/>
  <c r="AG149" i="29184"/>
  <c r="AH149" i="29184"/>
  <c r="AC150" i="29184"/>
  <c r="AE150" i="29184"/>
  <c r="AF150" i="29184"/>
  <c r="AG150" i="29184"/>
  <c r="AH150" i="29184"/>
  <c r="AC151" i="29184"/>
  <c r="AE151" i="29184"/>
  <c r="AF151" i="29184"/>
  <c r="AG151" i="29184"/>
  <c r="AH151" i="29184"/>
  <c r="AC152" i="29184"/>
  <c r="AE152" i="29184"/>
  <c r="AF152" i="29184"/>
  <c r="AG152" i="29184"/>
  <c r="AH152" i="29184"/>
  <c r="AC153" i="29184"/>
  <c r="AE153" i="29184"/>
  <c r="AF153" i="29184"/>
  <c r="AG153" i="29184"/>
  <c r="AH153" i="29184"/>
  <c r="AC154" i="29184"/>
  <c r="AE154" i="29184"/>
  <c r="AF154" i="29184"/>
  <c r="AG154" i="29184"/>
  <c r="AH154" i="29184"/>
  <c r="AK159" i="29184"/>
  <c r="V160" i="29184"/>
  <c r="AE160" i="29184" s="1"/>
  <c r="AC160" i="29184"/>
  <c r="AF160" i="29184"/>
  <c r="AG160" i="29184"/>
  <c r="AH160" i="29184"/>
  <c r="V161" i="29184"/>
  <c r="AE161" i="29184" s="1"/>
  <c r="AC161" i="29184"/>
  <c r="AF161" i="29184"/>
  <c r="AG161" i="29184"/>
  <c r="AH161" i="29184"/>
  <c r="AC162" i="29184"/>
  <c r="AE162" i="29184"/>
  <c r="AF162" i="29184"/>
  <c r="AG162" i="29184"/>
  <c r="AH162" i="29184"/>
  <c r="AC163" i="29184"/>
  <c r="AE163" i="29184"/>
  <c r="AF163" i="29184"/>
  <c r="AG163" i="29184"/>
  <c r="AH163" i="29184"/>
  <c r="V164" i="29184"/>
  <c r="AE164" i="29184" s="1"/>
  <c r="AC164" i="29184"/>
  <c r="AF164" i="29184"/>
  <c r="AG164" i="29184"/>
  <c r="AH164" i="29184"/>
  <c r="V165" i="29184"/>
  <c r="AC165" i="29184"/>
  <c r="AE165" i="29184"/>
  <c r="AF165" i="29184"/>
  <c r="AG165" i="29184"/>
  <c r="AH165" i="29184"/>
  <c r="V166" i="29184"/>
  <c r="AE166" i="29184" s="1"/>
  <c r="AC166" i="29184"/>
  <c r="AF166" i="29184"/>
  <c r="AG166" i="29184"/>
  <c r="AH166" i="29184"/>
  <c r="AC167" i="29184"/>
  <c r="AE167" i="29184"/>
  <c r="AF167" i="29184"/>
  <c r="AG167" i="29184"/>
  <c r="AH167" i="29184"/>
  <c r="AC168" i="29184"/>
  <c r="AE168" i="29184"/>
  <c r="AF168" i="29184"/>
  <c r="AG168" i="29184"/>
  <c r="AH168" i="29184"/>
  <c r="AC169" i="29184"/>
  <c r="AE169" i="29184"/>
  <c r="AF169" i="29184"/>
  <c r="AG169" i="29184"/>
  <c r="AH169" i="29184"/>
  <c r="AC170" i="29184"/>
  <c r="AE170" i="29184"/>
  <c r="AF170" i="29184"/>
  <c r="AG170" i="29184"/>
  <c r="AH170" i="29184"/>
  <c r="AC171" i="29184"/>
  <c r="AE171" i="29184"/>
  <c r="AF171" i="29184"/>
  <c r="AG171" i="29184"/>
  <c r="AH171" i="29184"/>
  <c r="V172" i="29184"/>
  <c r="AE172" i="29184" s="1"/>
  <c r="AC172" i="29184"/>
  <c r="AF172" i="29184"/>
  <c r="AG172" i="29184"/>
  <c r="AH172" i="29184"/>
  <c r="Z173" i="29184"/>
  <c r="AC173" i="29184"/>
  <c r="AE173" i="29184"/>
  <c r="AF173" i="29184"/>
  <c r="AG173" i="29184"/>
  <c r="AH173" i="29184"/>
  <c r="AC174" i="29184"/>
  <c r="AE174" i="29184"/>
  <c r="AF174" i="29184"/>
  <c r="AG174" i="29184"/>
  <c r="AH174" i="29184"/>
  <c r="AC175" i="29184"/>
  <c r="AE175" i="29184"/>
  <c r="AF175" i="29184"/>
  <c r="AG175" i="29184"/>
  <c r="AH175" i="29184"/>
  <c r="V176" i="29184"/>
  <c r="AE176" i="29184" s="1"/>
  <c r="Z176" i="29184"/>
  <c r="AC176" i="29184"/>
  <c r="AF176" i="29184"/>
  <c r="AG176" i="29184"/>
  <c r="AH176" i="29184"/>
  <c r="V177" i="29184"/>
  <c r="Z177" i="29184"/>
  <c r="AC177" i="29184"/>
  <c r="AE177" i="29184"/>
  <c r="AF177" i="29184"/>
  <c r="AG177" i="29184"/>
  <c r="AH177" i="29184"/>
  <c r="V178" i="29184"/>
  <c r="AE178" i="29184" s="1"/>
  <c r="AC178" i="29184"/>
  <c r="AF178" i="29184"/>
  <c r="AG178" i="29184"/>
  <c r="AH178" i="29184"/>
  <c r="AC179" i="29184"/>
  <c r="AE179" i="29184"/>
  <c r="AF179" i="29184"/>
  <c r="AG179" i="29184"/>
  <c r="AH179" i="29184"/>
  <c r="AC180" i="29184"/>
  <c r="AE180" i="29184"/>
  <c r="AF180" i="29184"/>
  <c r="AG180" i="29184"/>
  <c r="AH180" i="29184"/>
  <c r="AC181" i="29184"/>
  <c r="AE181" i="29184"/>
  <c r="AF181" i="29184"/>
  <c r="AG181" i="29184"/>
  <c r="AH181" i="29184"/>
  <c r="AC182" i="29184"/>
  <c r="AE182" i="29184"/>
  <c r="AF182" i="29184"/>
  <c r="AG182" i="29184"/>
  <c r="AH182" i="29184"/>
  <c r="Z183" i="29184"/>
  <c r="AC183" i="29184"/>
  <c r="AE183" i="29184"/>
  <c r="AF183" i="29184"/>
  <c r="AG183" i="29184"/>
  <c r="AH183" i="29184"/>
  <c r="AC184" i="29184"/>
  <c r="AE184" i="29184"/>
  <c r="AF184" i="29184"/>
  <c r="AG184" i="29184"/>
  <c r="AH184" i="29184"/>
  <c r="V185" i="29184"/>
  <c r="AC185" i="29184"/>
  <c r="AE185" i="29184"/>
  <c r="AF185" i="29184"/>
  <c r="AG185" i="29184"/>
  <c r="AH185" i="29184"/>
  <c r="AC186" i="29184"/>
  <c r="AE186" i="29184"/>
  <c r="AF186" i="29184"/>
  <c r="AG186" i="29184"/>
  <c r="AH186" i="29184"/>
  <c r="AC187" i="29184"/>
  <c r="AE187" i="29184"/>
  <c r="AF187" i="29184"/>
  <c r="AG187" i="29184"/>
  <c r="AH187" i="29184"/>
  <c r="AK192" i="29184"/>
  <c r="V204" i="29184"/>
  <c r="AC204" i="29184"/>
  <c r="AE204" i="29184"/>
  <c r="AF204" i="29184"/>
  <c r="AG204" i="29184"/>
  <c r="AH204" i="29184"/>
  <c r="AE241" i="29184"/>
  <c r="AC205" i="29184"/>
  <c r="AE205" i="29184"/>
  <c r="AF205" i="29184"/>
  <c r="AG205" i="29184"/>
  <c r="AH205" i="29184"/>
  <c r="V206" i="29184"/>
  <c r="AC206" i="29184"/>
  <c r="AE206" i="29184"/>
  <c r="AF206" i="29184"/>
  <c r="AG206" i="29184"/>
  <c r="AH206" i="29184"/>
  <c r="AC207" i="29184"/>
  <c r="AE207" i="29184"/>
  <c r="AF207" i="29184"/>
  <c r="AG207" i="29184"/>
  <c r="AH207" i="29184"/>
  <c r="S208" i="29184"/>
  <c r="S214" i="29184" s="1"/>
  <c r="S220" i="29184" s="1"/>
  <c r="S226" i="29184" s="1"/>
  <c r="S232" i="29184" s="1"/>
  <c r="S238" i="29184" s="1"/>
  <c r="S244" i="29184" s="1"/>
  <c r="S250" i="29184" s="1"/>
  <c r="AC210" i="29184"/>
  <c r="AE210" i="29184"/>
  <c r="AF210" i="29184"/>
  <c r="AG210" i="29184"/>
  <c r="AH210" i="29184"/>
  <c r="AC211" i="29184"/>
  <c r="AE211" i="29184"/>
  <c r="AF211" i="29184"/>
  <c r="AG211" i="29184"/>
  <c r="AH211" i="29184"/>
  <c r="AC212" i="29184"/>
  <c r="AE212" i="29184"/>
  <c r="AF212" i="29184"/>
  <c r="AG212" i="29184"/>
  <c r="AH212" i="29184"/>
  <c r="AC213" i="29184"/>
  <c r="AE213" i="29184"/>
  <c r="AF213" i="29184"/>
  <c r="AG213" i="29184"/>
  <c r="AH213" i="29184"/>
  <c r="AC216" i="29184"/>
  <c r="AE216" i="29184"/>
  <c r="AF216" i="29184"/>
  <c r="AG216" i="29184"/>
  <c r="AH216" i="29184"/>
  <c r="AC217" i="29184"/>
  <c r="AE217" i="29184"/>
  <c r="AF217" i="29184"/>
  <c r="AG217" i="29184"/>
  <c r="AH217" i="29184"/>
  <c r="AC218" i="29184"/>
  <c r="AE218" i="29184"/>
  <c r="AF218" i="29184"/>
  <c r="AG218" i="29184"/>
  <c r="AH218" i="29184"/>
  <c r="AC219" i="29184"/>
  <c r="AE219" i="29184"/>
  <c r="AF219" i="29184"/>
  <c r="AG219" i="29184"/>
  <c r="AH219" i="29184"/>
  <c r="AC222" i="29184"/>
  <c r="AE222" i="29184"/>
  <c r="AF222" i="29184"/>
  <c r="AG222" i="29184"/>
  <c r="AH222" i="29184"/>
  <c r="AC223" i="29184"/>
  <c r="AE223" i="29184"/>
  <c r="AF223" i="29184"/>
  <c r="AG223" i="29184"/>
  <c r="AH223" i="29184"/>
  <c r="AC224" i="29184"/>
  <c r="AE224" i="29184"/>
  <c r="AF224" i="29184"/>
  <c r="AG224" i="29184"/>
  <c r="AH224" i="29184"/>
  <c r="AC225" i="29184"/>
  <c r="AE225" i="29184"/>
  <c r="AF225" i="29184"/>
  <c r="AG225" i="29184"/>
  <c r="AH225" i="29184"/>
  <c r="AC228" i="29184"/>
  <c r="AE228" i="29184"/>
  <c r="AF228" i="29184"/>
  <c r="AG228" i="29184"/>
  <c r="AH228" i="29184"/>
  <c r="AC229" i="29184"/>
  <c r="AE229" i="29184"/>
  <c r="AF229" i="29184"/>
  <c r="AG229" i="29184"/>
  <c r="AH229" i="29184"/>
  <c r="AC230" i="29184"/>
  <c r="AE230" i="29184"/>
  <c r="AF230" i="29184"/>
  <c r="AG230" i="29184"/>
  <c r="AH230" i="29184"/>
  <c r="AC231" i="29184"/>
  <c r="AE231" i="29184"/>
  <c r="AF231" i="29184"/>
  <c r="AG231" i="29184"/>
  <c r="AH231" i="29184"/>
  <c r="AC234" i="29184"/>
  <c r="AE234" i="29184"/>
  <c r="AF234" i="29184"/>
  <c r="AG234" i="29184"/>
  <c r="AH234" i="29184"/>
  <c r="AC235" i="29184"/>
  <c r="AE235" i="29184"/>
  <c r="AF235" i="29184"/>
  <c r="AG235" i="29184"/>
  <c r="AH235" i="29184"/>
  <c r="AC236" i="29184"/>
  <c r="AE236" i="29184"/>
  <c r="AF236" i="29184"/>
  <c r="AG236" i="29184"/>
  <c r="AH236" i="29184"/>
  <c r="AC237" i="29184"/>
  <c r="AE237" i="29184"/>
  <c r="AF237" i="29184"/>
  <c r="AG237" i="29184"/>
  <c r="AH237" i="29184"/>
  <c r="AC240" i="29184"/>
  <c r="AE240" i="29184"/>
  <c r="AF240" i="29184"/>
  <c r="AG240" i="29184"/>
  <c r="AH240" i="29184"/>
  <c r="AC241" i="29184"/>
  <c r="AF241" i="29184"/>
  <c r="AG241" i="29184"/>
  <c r="AH241" i="29184"/>
  <c r="AC242" i="29184"/>
  <c r="AE242" i="29184"/>
  <c r="AF242" i="29184"/>
  <c r="AG242" i="29184"/>
  <c r="AH242" i="29184"/>
  <c r="AC243" i="29184"/>
  <c r="AE243" i="29184"/>
  <c r="AF243" i="29184"/>
  <c r="AG243" i="29184"/>
  <c r="AH243" i="29184"/>
  <c r="AC246" i="29184"/>
  <c r="AE246" i="29184"/>
  <c r="AF246" i="29184"/>
  <c r="AG246" i="29184"/>
  <c r="AH246" i="29184"/>
  <c r="AC247" i="29184"/>
  <c r="AE247" i="29184"/>
  <c r="AF247" i="29184"/>
  <c r="AG247" i="29184"/>
  <c r="AH247" i="29184"/>
  <c r="AC248" i="29184"/>
  <c r="AE248" i="29184"/>
  <c r="AF248" i="29184"/>
  <c r="AG248" i="29184"/>
  <c r="AH248" i="29184"/>
  <c r="AC249" i="29184"/>
  <c r="AE249" i="29184"/>
  <c r="AF249" i="29184"/>
  <c r="AG249" i="29184"/>
  <c r="AH249" i="29184"/>
  <c r="AC252" i="29184"/>
  <c r="AE252" i="29184"/>
  <c r="AF252" i="29184"/>
  <c r="AG252" i="29184"/>
  <c r="AH252" i="29184"/>
  <c r="AC253" i="29184"/>
  <c r="AE253" i="29184"/>
  <c r="AF253" i="29184"/>
  <c r="AG253" i="29184"/>
  <c r="AH253" i="29184"/>
  <c r="AC254" i="29184"/>
  <c r="AE254" i="29184"/>
  <c r="AF254" i="29184"/>
  <c r="AG254" i="29184"/>
  <c r="AH254" i="29184"/>
  <c r="AC255" i="29184"/>
  <c r="AE255" i="29184"/>
  <c r="AF255" i="29184"/>
  <c r="AG255" i="29184"/>
  <c r="AH255" i="29184"/>
  <c r="AK259" i="29184"/>
  <c r="V272" i="29184"/>
  <c r="AC272" i="29184"/>
  <c r="AE272" i="29184"/>
  <c r="AF272" i="29184"/>
  <c r="AG272" i="29184"/>
  <c r="AH272" i="29184"/>
  <c r="AC273" i="29184"/>
  <c r="AE273" i="29184"/>
  <c r="AF273" i="29184"/>
  <c r="AG273" i="29184"/>
  <c r="AH273" i="29184"/>
  <c r="AC274" i="29184"/>
  <c r="AE274" i="29184"/>
  <c r="AF274" i="29184"/>
  <c r="AG274" i="29184"/>
  <c r="AH274" i="29184"/>
  <c r="AC275" i="29184"/>
  <c r="AE275" i="29184"/>
  <c r="AF275" i="29184"/>
  <c r="AG275" i="29184"/>
  <c r="AH275" i="29184"/>
  <c r="AC276" i="29184"/>
  <c r="AE276" i="29184"/>
  <c r="AF276" i="29184"/>
  <c r="AG276" i="29184"/>
  <c r="AH276" i="29184"/>
  <c r="S277" i="29184"/>
  <c r="S284" i="29184" s="1"/>
  <c r="S291" i="29184" s="1"/>
  <c r="S298" i="29184" s="1"/>
  <c r="S305" i="29184" s="1"/>
  <c r="S312" i="29184" s="1"/>
  <c r="S319" i="29184" s="1"/>
  <c r="S326" i="29184" s="1"/>
  <c r="AC279" i="29184"/>
  <c r="AE279" i="29184"/>
  <c r="AF279" i="29184"/>
  <c r="AG279" i="29184"/>
  <c r="AH279" i="29184"/>
  <c r="AC280" i="29184"/>
  <c r="AE280" i="29184"/>
  <c r="AF280" i="29184"/>
  <c r="AG280" i="29184"/>
  <c r="AH280" i="29184"/>
  <c r="AC281" i="29184"/>
  <c r="AE281" i="29184"/>
  <c r="AF281" i="29184"/>
  <c r="AG281" i="29184"/>
  <c r="AH281" i="29184"/>
  <c r="AC282" i="29184"/>
  <c r="AE282" i="29184"/>
  <c r="AF282" i="29184"/>
  <c r="AG282" i="29184"/>
  <c r="AH282" i="29184"/>
  <c r="AC283" i="29184"/>
  <c r="AE283" i="29184"/>
  <c r="AF283" i="29184"/>
  <c r="AG283" i="29184"/>
  <c r="AH283" i="29184"/>
  <c r="AC286" i="29184"/>
  <c r="AE286" i="29184"/>
  <c r="AF286" i="29184"/>
  <c r="AG286" i="29184"/>
  <c r="AH286" i="29184"/>
  <c r="AC287" i="29184"/>
  <c r="AE287" i="29184"/>
  <c r="AF287" i="29184"/>
  <c r="AG287" i="29184"/>
  <c r="AH287" i="29184"/>
  <c r="AC288" i="29184"/>
  <c r="AE288" i="29184"/>
  <c r="AF288" i="29184"/>
  <c r="AG288" i="29184"/>
  <c r="AH288" i="29184"/>
  <c r="AC289" i="29184"/>
  <c r="AE289" i="29184"/>
  <c r="AF289" i="29184"/>
  <c r="AG289" i="29184"/>
  <c r="AH289" i="29184"/>
  <c r="AC290" i="29184"/>
  <c r="AE290" i="29184"/>
  <c r="AF290" i="29184"/>
  <c r="AG290" i="29184"/>
  <c r="AH290" i="29184"/>
  <c r="AC293" i="29184"/>
  <c r="AE293" i="29184"/>
  <c r="AF293" i="29184"/>
  <c r="AG293" i="29184"/>
  <c r="AH293" i="29184"/>
  <c r="AC294" i="29184"/>
  <c r="AE294" i="29184"/>
  <c r="AF294" i="29184"/>
  <c r="AG294" i="29184"/>
  <c r="AH294" i="29184"/>
  <c r="AC295" i="29184"/>
  <c r="AE295" i="29184"/>
  <c r="AF295" i="29184"/>
  <c r="AG295" i="29184"/>
  <c r="AH295" i="29184"/>
  <c r="AC296" i="29184"/>
  <c r="AE296" i="29184"/>
  <c r="AF296" i="29184"/>
  <c r="AG296" i="29184"/>
  <c r="AH296" i="29184"/>
  <c r="AC297" i="29184"/>
  <c r="AE297" i="29184"/>
  <c r="AF297" i="29184"/>
  <c r="AG297" i="29184"/>
  <c r="AH297" i="29184"/>
  <c r="AC300" i="29184"/>
  <c r="AE300" i="29184"/>
  <c r="AF300" i="29184"/>
  <c r="AG300" i="29184"/>
  <c r="AH300" i="29184"/>
  <c r="AC301" i="29184"/>
  <c r="AE301" i="29184"/>
  <c r="AF301" i="29184"/>
  <c r="AG301" i="29184"/>
  <c r="AH301" i="29184"/>
  <c r="AC302" i="29184"/>
  <c r="AE302" i="29184"/>
  <c r="AF302" i="29184"/>
  <c r="AG302" i="29184"/>
  <c r="AH302" i="29184"/>
  <c r="AC303" i="29184"/>
  <c r="AE303" i="29184"/>
  <c r="AF303" i="29184"/>
  <c r="AG303" i="29184"/>
  <c r="AH303" i="29184"/>
  <c r="AC304" i="29184"/>
  <c r="AE304" i="29184"/>
  <c r="AF304" i="29184"/>
  <c r="AG304" i="29184"/>
  <c r="AH304" i="29184"/>
  <c r="AC307" i="29184"/>
  <c r="AE307" i="29184"/>
  <c r="AF307" i="29184"/>
  <c r="AG307" i="29184"/>
  <c r="AH307" i="29184"/>
  <c r="AC308" i="29184"/>
  <c r="AE308" i="29184"/>
  <c r="AF308" i="29184"/>
  <c r="AG308" i="29184"/>
  <c r="AH308" i="29184"/>
  <c r="AC309" i="29184"/>
  <c r="AE309" i="29184"/>
  <c r="AF309" i="29184"/>
  <c r="AG309" i="29184"/>
  <c r="AH309" i="29184"/>
  <c r="AC310" i="29184"/>
  <c r="AE310" i="29184"/>
  <c r="AF310" i="29184"/>
  <c r="AG310" i="29184"/>
  <c r="AH310" i="29184"/>
  <c r="AC311" i="29184"/>
  <c r="AE311" i="29184"/>
  <c r="AF311" i="29184"/>
  <c r="AG311" i="29184"/>
  <c r="AH311" i="29184"/>
  <c r="AC314" i="29184"/>
  <c r="AE314" i="29184"/>
  <c r="AF314" i="29184"/>
  <c r="AG314" i="29184"/>
  <c r="AH314" i="29184"/>
  <c r="AC315" i="29184"/>
  <c r="AE315" i="29184"/>
  <c r="AF315" i="29184"/>
  <c r="AG315" i="29184"/>
  <c r="AH315" i="29184"/>
  <c r="AC316" i="29184"/>
  <c r="AE316" i="29184"/>
  <c r="AF316" i="29184"/>
  <c r="AG316" i="29184"/>
  <c r="AH316" i="29184"/>
  <c r="AC317" i="29184"/>
  <c r="AE317" i="29184"/>
  <c r="AF317" i="29184"/>
  <c r="AG317" i="29184"/>
  <c r="AH317" i="29184"/>
  <c r="AC318" i="29184"/>
  <c r="AE318" i="29184"/>
  <c r="AF318" i="29184"/>
  <c r="AG318" i="29184"/>
  <c r="AH318" i="29184"/>
  <c r="AC321" i="29184"/>
  <c r="AE321" i="29184"/>
  <c r="AF321" i="29184"/>
  <c r="AG321" i="29184"/>
  <c r="AH321" i="29184"/>
  <c r="AC322" i="29184"/>
  <c r="AE322" i="29184"/>
  <c r="AF322" i="29184"/>
  <c r="AG322" i="29184"/>
  <c r="AH322" i="29184"/>
  <c r="AC323" i="29184"/>
  <c r="AE323" i="29184"/>
  <c r="AF323" i="29184"/>
  <c r="AG323" i="29184"/>
  <c r="AH323" i="29184"/>
  <c r="AC324" i="29184"/>
  <c r="AE324" i="29184"/>
  <c r="AF324" i="29184"/>
  <c r="AG324" i="29184"/>
  <c r="AH324" i="29184"/>
  <c r="AC325" i="29184"/>
  <c r="AE325" i="29184"/>
  <c r="AF325" i="29184"/>
  <c r="AG325" i="29184"/>
  <c r="AH325" i="29184"/>
  <c r="AC328" i="29184"/>
  <c r="AE328" i="29184"/>
  <c r="AF328" i="29184"/>
  <c r="AG328" i="29184"/>
  <c r="AH328" i="29184"/>
  <c r="AC329" i="29184"/>
  <c r="AE329" i="29184"/>
  <c r="AF329" i="29184"/>
  <c r="AG329" i="29184"/>
  <c r="AH329" i="29184"/>
  <c r="AC330" i="29184"/>
  <c r="AE330" i="29184"/>
  <c r="AF330" i="29184"/>
  <c r="AG330" i="29184"/>
  <c r="AH330" i="29184"/>
  <c r="AC331" i="29184"/>
  <c r="AE331" i="29184"/>
  <c r="AF331" i="29184"/>
  <c r="AG331" i="29184"/>
  <c r="AH331" i="29184"/>
  <c r="AC332" i="29184"/>
  <c r="AE332" i="29184"/>
  <c r="AF332" i="29184"/>
  <c r="AG332" i="29184"/>
  <c r="AH332" i="29184"/>
  <c r="AK336" i="29184"/>
  <c r="O339" i="29184" s="1"/>
  <c r="V350" i="29184"/>
  <c r="Z357" i="29184" s="1"/>
  <c r="V364" i="29184" s="1"/>
  <c r="Z371" i="29184" s="1"/>
  <c r="V378" i="29184" s="1"/>
  <c r="Z385" i="29184" s="1"/>
  <c r="Z399" i="29184" s="1"/>
  <c r="V406" i="29184" s="1"/>
  <c r="Z413" i="29184" s="1"/>
  <c r="V420" i="29184" s="1"/>
  <c r="Z350" i="29184"/>
  <c r="V358" i="29184" s="1"/>
  <c r="Z366" i="29184" s="1"/>
  <c r="Z381" i="29184" s="1"/>
  <c r="V389" i="29184" s="1"/>
  <c r="V396" i="29184" s="1"/>
  <c r="Z402" i="29184" s="1"/>
  <c r="V408" i="29184" s="1"/>
  <c r="Z415" i="29184" s="1"/>
  <c r="V421" i="29184" s="1"/>
  <c r="AC350" i="29184"/>
  <c r="AE350" i="29184"/>
  <c r="AF350" i="29184"/>
  <c r="AG350" i="29184"/>
  <c r="AH350" i="29184"/>
  <c r="V351" i="29184"/>
  <c r="V357" i="29184" s="1"/>
  <c r="Z365" i="29184" s="1"/>
  <c r="V373" i="29184" s="1"/>
  <c r="Z380" i="29184" s="1"/>
  <c r="V388" i="29184" s="1"/>
  <c r="Z396" i="29184" s="1"/>
  <c r="Z403" i="29184" s="1"/>
  <c r="V409" i="29184" s="1"/>
  <c r="V422" i="29184" s="1"/>
  <c r="Z351" i="29184"/>
  <c r="V359" i="29184" s="1"/>
  <c r="Z367" i="29184" s="1"/>
  <c r="V374" i="29184" s="1"/>
  <c r="Z382" i="29184" s="1"/>
  <c r="Z389" i="29184" s="1"/>
  <c r="V395" i="29184" s="1"/>
  <c r="Z401" i="29184" s="1"/>
  <c r="Z414" i="29184" s="1"/>
  <c r="Z420" i="29184" s="1"/>
  <c r="AC351" i="29184"/>
  <c r="AE351" i="29184"/>
  <c r="AF351" i="29184"/>
  <c r="AG351" i="29184"/>
  <c r="AH351" i="29184"/>
  <c r="V352" i="29184"/>
  <c r="Z358" i="29184" s="1"/>
  <c r="Z364" i="29184" s="1"/>
  <c r="V372" i="29184" s="1"/>
  <c r="V387" i="29184" s="1"/>
  <c r="Z395" i="29184" s="1"/>
  <c r="V403" i="29184" s="1"/>
  <c r="V410" i="29184" s="1"/>
  <c r="Z416" i="29184" s="1"/>
  <c r="V423" i="29184" s="1"/>
  <c r="Z352" i="29184"/>
  <c r="V360" i="29184" s="1"/>
  <c r="V375" i="29184" s="1"/>
  <c r="V382" i="29184" s="1"/>
  <c r="Z388" i="29184" s="1"/>
  <c r="V394" i="29184" s="1"/>
  <c r="Z400" i="29184" s="1"/>
  <c r="V407" i="29184" s="1"/>
  <c r="V413" i="29184" s="1"/>
  <c r="Z421" i="29184" s="1"/>
  <c r="AC352" i="29184"/>
  <c r="AE352" i="29184"/>
  <c r="AF352" i="29184"/>
  <c r="AG352" i="29184"/>
  <c r="AH352" i="29184"/>
  <c r="V353" i="29184"/>
  <c r="Z359" i="29184" s="1"/>
  <c r="V365" i="29184" s="1"/>
  <c r="V371" i="29184" s="1"/>
  <c r="Z379" i="29184" s="1"/>
  <c r="V386" i="29184" s="1"/>
  <c r="Z394" i="29184" s="1"/>
  <c r="V402" i="29184" s="1"/>
  <c r="Z410" i="29184" s="1"/>
  <c r="Z417" i="29184" s="1"/>
  <c r="Z353" i="29184"/>
  <c r="V361" i="29184" s="1"/>
  <c r="Z368" i="29184" s="1"/>
  <c r="Z375" i="29184" s="1"/>
  <c r="V381" i="29184" s="1"/>
  <c r="Z387" i="29184" s="1"/>
  <c r="V393" i="29184" s="1"/>
  <c r="Z406" i="29184" s="1"/>
  <c r="V414" i="29184" s="1"/>
  <c r="Z422" i="29184" s="1"/>
  <c r="AC353" i="29184"/>
  <c r="AE353" i="29184"/>
  <c r="AF353" i="29184"/>
  <c r="AG353" i="29184"/>
  <c r="AH353" i="29184"/>
  <c r="V354" i="29184"/>
  <c r="Z360" i="29184" s="1"/>
  <c r="V366" i="29184" s="1"/>
  <c r="Z372" i="29184" s="1"/>
  <c r="Z378" i="29184" s="1"/>
  <c r="Z393" i="29184" s="1"/>
  <c r="V401" i="29184" s="1"/>
  <c r="Z409" i="29184" s="1"/>
  <c r="V417" i="29184" s="1"/>
  <c r="V424" i="29184" s="1"/>
  <c r="Z354" i="29184"/>
  <c r="V368" i="29184" s="1"/>
  <c r="Z374" i="29184" s="1"/>
  <c r="V380" i="29184" s="1"/>
  <c r="Z386" i="29184" s="1"/>
  <c r="V392" i="29184" s="1"/>
  <c r="V399" i="29184" s="1"/>
  <c r="Z407" i="29184" s="1"/>
  <c r="V415" i="29184" s="1"/>
  <c r="Z423" i="29184" s="1"/>
  <c r="AC354" i="29184"/>
  <c r="AE354" i="29184"/>
  <c r="AF354" i="29184"/>
  <c r="AG354" i="29184"/>
  <c r="AH354" i="29184"/>
  <c r="S355" i="29184"/>
  <c r="S362" i="29184" s="1"/>
  <c r="S369" i="29184" s="1"/>
  <c r="S376" i="29184" s="1"/>
  <c r="S383" i="29184" s="1"/>
  <c r="S390" i="29184" s="1"/>
  <c r="S397" i="29184" s="1"/>
  <c r="S404" i="29184" s="1"/>
  <c r="S411" i="29184" s="1"/>
  <c r="S418" i="29184" s="1"/>
  <c r="AC357" i="29184"/>
  <c r="AE357" i="29184"/>
  <c r="AF357" i="29184"/>
  <c r="AG357" i="29184"/>
  <c r="AH357" i="29184"/>
  <c r="AC358" i="29184"/>
  <c r="AE358" i="29184"/>
  <c r="AF358" i="29184"/>
  <c r="AG358" i="29184"/>
  <c r="AH358" i="29184"/>
  <c r="AC359" i="29184"/>
  <c r="AE359" i="29184"/>
  <c r="AF359" i="29184"/>
  <c r="AG359" i="29184"/>
  <c r="AH359" i="29184"/>
  <c r="AC360" i="29184"/>
  <c r="AE360" i="29184"/>
  <c r="AF360" i="29184"/>
  <c r="AG360" i="29184"/>
  <c r="AH360" i="29184"/>
  <c r="Z361" i="29184"/>
  <c r="V367" i="29184" s="1"/>
  <c r="Z373" i="29184" s="1"/>
  <c r="V379" i="29184" s="1"/>
  <c r="V385" i="29184" s="1"/>
  <c r="Z392" i="29184" s="1"/>
  <c r="V400" i="29184" s="1"/>
  <c r="Z408" i="29184" s="1"/>
  <c r="V416" i="29184" s="1"/>
  <c r="Z424" i="29184" s="1"/>
  <c r="AC361" i="29184"/>
  <c r="AE361" i="29184"/>
  <c r="AF361" i="29184"/>
  <c r="AG361" i="29184"/>
  <c r="AH361" i="29184"/>
  <c r="AC364" i="29184"/>
  <c r="AE364" i="29184"/>
  <c r="AF364" i="29184"/>
  <c r="AG364" i="29184"/>
  <c r="AH364" i="29184"/>
  <c r="AC365" i="29184"/>
  <c r="AE365" i="29184"/>
  <c r="AF365" i="29184"/>
  <c r="AG365" i="29184"/>
  <c r="AH365" i="29184"/>
  <c r="AC366" i="29184"/>
  <c r="AE366" i="29184"/>
  <c r="AF366" i="29184"/>
  <c r="AG366" i="29184"/>
  <c r="AH366" i="29184"/>
  <c r="AC367" i="29184"/>
  <c r="AE367" i="29184"/>
  <c r="AF367" i="29184"/>
  <c r="AG367" i="29184"/>
  <c r="AH367" i="29184"/>
  <c r="AC368" i="29184"/>
  <c r="AE368" i="29184"/>
  <c r="AF368" i="29184"/>
  <c r="AG368" i="29184"/>
  <c r="AH368" i="29184"/>
  <c r="AC371" i="29184"/>
  <c r="AE371" i="29184"/>
  <c r="AF371" i="29184"/>
  <c r="AG371" i="29184"/>
  <c r="AH371" i="29184"/>
  <c r="AC372" i="29184"/>
  <c r="AE372" i="29184"/>
  <c r="AF372" i="29184"/>
  <c r="AG372" i="29184"/>
  <c r="AH372" i="29184"/>
  <c r="AC373" i="29184"/>
  <c r="AE373" i="29184"/>
  <c r="AF373" i="29184"/>
  <c r="AG373" i="29184"/>
  <c r="AH373" i="29184"/>
  <c r="AC374" i="29184"/>
  <c r="AE374" i="29184"/>
  <c r="AF374" i="29184"/>
  <c r="AG374" i="29184"/>
  <c r="AH374" i="29184"/>
  <c r="AC375" i="29184"/>
  <c r="AE375" i="29184"/>
  <c r="AF375" i="29184"/>
  <c r="AG375" i="29184"/>
  <c r="AH375" i="29184"/>
  <c r="AC378" i="29184"/>
  <c r="AE378" i="29184"/>
  <c r="AF378" i="29184"/>
  <c r="AG378" i="29184"/>
  <c r="AH378" i="29184"/>
  <c r="AC379" i="29184"/>
  <c r="AE379" i="29184"/>
  <c r="AF379" i="29184"/>
  <c r="AG379" i="29184"/>
  <c r="AH379" i="29184"/>
  <c r="AC380" i="29184"/>
  <c r="AE380" i="29184"/>
  <c r="AF380" i="29184"/>
  <c r="AG380" i="29184"/>
  <c r="AH380" i="29184"/>
  <c r="AC381" i="29184"/>
  <c r="AE381" i="29184"/>
  <c r="AF381" i="29184"/>
  <c r="AG381" i="29184"/>
  <c r="AH381" i="29184"/>
  <c r="AC382" i="29184"/>
  <c r="AE382" i="29184"/>
  <c r="AF382" i="29184"/>
  <c r="AG382" i="29184"/>
  <c r="AH382" i="29184"/>
  <c r="AC385" i="29184"/>
  <c r="AE385" i="29184"/>
  <c r="AF385" i="29184"/>
  <c r="AG385" i="29184"/>
  <c r="AH385" i="29184"/>
  <c r="AC386" i="29184"/>
  <c r="AE386" i="29184"/>
  <c r="AF386" i="29184"/>
  <c r="AG386" i="29184"/>
  <c r="AH386" i="29184"/>
  <c r="AC387" i="29184"/>
  <c r="AE387" i="29184"/>
  <c r="AF387" i="29184"/>
  <c r="AG387" i="29184"/>
  <c r="AH387" i="29184"/>
  <c r="AC388" i="29184"/>
  <c r="AE388" i="29184"/>
  <c r="AF388" i="29184"/>
  <c r="AG388" i="29184"/>
  <c r="AH388" i="29184"/>
  <c r="AC389" i="29184"/>
  <c r="AE389" i="29184"/>
  <c r="AF389" i="29184"/>
  <c r="AG389" i="29184"/>
  <c r="AH389" i="29184"/>
  <c r="AC392" i="29184"/>
  <c r="AE392" i="29184"/>
  <c r="AF392" i="29184"/>
  <c r="AG392" i="29184"/>
  <c r="AH392" i="29184"/>
  <c r="AC393" i="29184"/>
  <c r="AE393" i="29184"/>
  <c r="AF393" i="29184"/>
  <c r="AG393" i="29184"/>
  <c r="AH393" i="29184"/>
  <c r="AC394" i="29184"/>
  <c r="AE394" i="29184"/>
  <c r="AF394" i="29184"/>
  <c r="AG394" i="29184"/>
  <c r="AH394" i="29184"/>
  <c r="AC395" i="29184"/>
  <c r="AE395" i="29184"/>
  <c r="AF395" i="29184"/>
  <c r="AG395" i="29184"/>
  <c r="AH395" i="29184"/>
  <c r="AC396" i="29184"/>
  <c r="AE396" i="29184"/>
  <c r="AF396" i="29184"/>
  <c r="AG396" i="29184"/>
  <c r="AH396" i="29184"/>
  <c r="AC399" i="29184"/>
  <c r="AE399" i="29184"/>
  <c r="AF399" i="29184"/>
  <c r="AG399" i="29184"/>
  <c r="AH399" i="29184"/>
  <c r="AC400" i="29184"/>
  <c r="AE400" i="29184"/>
  <c r="AF400" i="29184"/>
  <c r="AG400" i="29184"/>
  <c r="AH400" i="29184"/>
  <c r="AC401" i="29184"/>
  <c r="AE401" i="29184"/>
  <c r="AF401" i="29184"/>
  <c r="AG401" i="29184"/>
  <c r="AH401" i="29184"/>
  <c r="AC402" i="29184"/>
  <c r="AE402" i="29184"/>
  <c r="AF402" i="29184"/>
  <c r="AG402" i="29184"/>
  <c r="AH402" i="29184"/>
  <c r="AC403" i="29184"/>
  <c r="AE403" i="29184"/>
  <c r="AF403" i="29184"/>
  <c r="AG403" i="29184"/>
  <c r="AH403" i="29184"/>
  <c r="AC406" i="29184"/>
  <c r="AE406" i="29184"/>
  <c r="AF406" i="29184"/>
  <c r="AG406" i="29184"/>
  <c r="AH406" i="29184"/>
  <c r="AC407" i="29184"/>
  <c r="AE407" i="29184"/>
  <c r="AF407" i="29184"/>
  <c r="AG407" i="29184"/>
  <c r="AH407" i="29184"/>
  <c r="AC408" i="29184"/>
  <c r="AE408" i="29184"/>
  <c r="AF408" i="29184"/>
  <c r="AG408" i="29184"/>
  <c r="AH408" i="29184"/>
  <c r="AC409" i="29184"/>
  <c r="AE409" i="29184"/>
  <c r="AF409" i="29184"/>
  <c r="AG409" i="29184"/>
  <c r="AH409" i="29184"/>
  <c r="AC410" i="29184"/>
  <c r="AE410" i="29184"/>
  <c r="AF410" i="29184"/>
  <c r="AG410" i="29184"/>
  <c r="AH410" i="29184"/>
  <c r="AC413" i="29184"/>
  <c r="AE413" i="29184"/>
  <c r="AF413" i="29184"/>
  <c r="AG413" i="29184"/>
  <c r="AH413" i="29184"/>
  <c r="AC414" i="29184"/>
  <c r="AE414" i="29184"/>
  <c r="AF414" i="29184"/>
  <c r="AG414" i="29184"/>
  <c r="AH414" i="29184"/>
  <c r="AC415" i="29184"/>
  <c r="AE415" i="29184"/>
  <c r="AF415" i="29184"/>
  <c r="AG415" i="29184"/>
  <c r="AH415" i="29184"/>
  <c r="AC416" i="29184"/>
  <c r="AE416" i="29184"/>
  <c r="AF416" i="29184"/>
  <c r="AG416" i="29184"/>
  <c r="AH416" i="29184"/>
  <c r="AC417" i="29184"/>
  <c r="AE417" i="29184"/>
  <c r="AF417" i="29184"/>
  <c r="AG417" i="29184"/>
  <c r="AH417" i="29184"/>
  <c r="AC420" i="29184"/>
  <c r="AE420" i="29184"/>
  <c r="AF420" i="29184"/>
  <c r="AG420" i="29184"/>
  <c r="AH420" i="29184"/>
  <c r="AC421" i="29184"/>
  <c r="AE421" i="29184"/>
  <c r="AF421" i="29184"/>
  <c r="AG421" i="29184"/>
  <c r="AH421" i="29184"/>
  <c r="AC422" i="29184"/>
  <c r="AE422" i="29184"/>
  <c r="AF422" i="29184"/>
  <c r="AG422" i="29184"/>
  <c r="AH422" i="29184"/>
  <c r="AC423" i="29184"/>
  <c r="AE423" i="29184"/>
  <c r="AF423" i="29184"/>
  <c r="AG423" i="29184"/>
  <c r="AH423" i="29184"/>
  <c r="AC424" i="29184"/>
  <c r="AE424" i="29184"/>
  <c r="AF424" i="29184"/>
  <c r="AG424" i="29184"/>
  <c r="AH424" i="29184"/>
  <c r="AK428" i="29184"/>
  <c r="M437" i="29184" s="1"/>
  <c r="V443" i="29184"/>
  <c r="Z451" i="29184" s="1"/>
  <c r="V459" i="29184" s="1"/>
  <c r="Z467" i="29184" s="1"/>
  <c r="V475" i="29184" s="1"/>
  <c r="Z483" i="29184" s="1"/>
  <c r="V491" i="29184" s="1"/>
  <c r="Z499" i="29184" s="1"/>
  <c r="V507" i="29184" s="1"/>
  <c r="Z515" i="29184" s="1"/>
  <c r="V523" i="29184" s="1"/>
  <c r="Z443" i="29184"/>
  <c r="V452" i="29184" s="1"/>
  <c r="Z461" i="29184" s="1"/>
  <c r="V470" i="29184" s="1"/>
  <c r="Z479" i="29184" s="1"/>
  <c r="V488" i="29184" s="1"/>
  <c r="V496" i="29184" s="1"/>
  <c r="Z503" i="29184" s="1"/>
  <c r="V510" i="29184" s="1"/>
  <c r="Z517" i="29184" s="1"/>
  <c r="V524" i="29184" s="1"/>
  <c r="AC443" i="29184"/>
  <c r="AE443" i="29184"/>
  <c r="AF443" i="29184"/>
  <c r="AG443" i="29184"/>
  <c r="AH443" i="29184"/>
  <c r="V444" i="29184"/>
  <c r="V451" i="29184" s="1"/>
  <c r="Z460" i="29184" s="1"/>
  <c r="V469" i="29184" s="1"/>
  <c r="Z478" i="29184" s="1"/>
  <c r="V487" i="29184" s="1"/>
  <c r="Z496" i="29184" s="1"/>
  <c r="Z504" i="29184" s="1"/>
  <c r="V511" i="29184" s="1"/>
  <c r="Z518" i="29184" s="1"/>
  <c r="V525" i="29184" s="1"/>
  <c r="Z444" i="29184"/>
  <c r="V453" i="29184" s="1"/>
  <c r="Z462" i="29184" s="1"/>
  <c r="V471" i="29184" s="1"/>
  <c r="Z480" i="29184" s="1"/>
  <c r="Z488" i="29184" s="1"/>
  <c r="V495" i="29184" s="1"/>
  <c r="Z502" i="29184" s="1"/>
  <c r="V509" i="29184" s="1"/>
  <c r="Z516" i="29184" s="1"/>
  <c r="Z523" i="29184" s="1"/>
  <c r="AC444" i="29184"/>
  <c r="AE444" i="29184"/>
  <c r="AF444" i="29184"/>
  <c r="AG444" i="29184"/>
  <c r="AH444" i="29184"/>
  <c r="V445" i="29184"/>
  <c r="Z452" i="29184" s="1"/>
  <c r="Z459" i="29184" s="1"/>
  <c r="V468" i="29184" s="1"/>
  <c r="Z477" i="29184" s="1"/>
  <c r="V486" i="29184" s="1"/>
  <c r="Z495" i="29184" s="1"/>
  <c r="V504" i="29184" s="1"/>
  <c r="V512" i="29184" s="1"/>
  <c r="Z519" i="29184" s="1"/>
  <c r="V526" i="29184" s="1"/>
  <c r="Z445" i="29184"/>
  <c r="V454" i="29184" s="1"/>
  <c r="Z463" i="29184" s="1"/>
  <c r="V472" i="29184" s="1"/>
  <c r="V480" i="29184" s="1"/>
  <c r="Z487" i="29184" s="1"/>
  <c r="V494" i="29184" s="1"/>
  <c r="Z501" i="29184" s="1"/>
  <c r="V508" i="29184" s="1"/>
  <c r="V515" i="29184" s="1"/>
  <c r="Z524" i="29184" s="1"/>
  <c r="AC445" i="29184"/>
  <c r="AE445" i="29184"/>
  <c r="AF445" i="29184"/>
  <c r="AG445" i="29184"/>
  <c r="AH445" i="29184"/>
  <c r="V446" i="29184"/>
  <c r="Z453" i="29184" s="1"/>
  <c r="V460" i="29184" s="1"/>
  <c r="V467" i="29184" s="1"/>
  <c r="Z476" i="29184" s="1"/>
  <c r="V485" i="29184" s="1"/>
  <c r="Z494" i="29184" s="1"/>
  <c r="V503" i="29184" s="1"/>
  <c r="Z512" i="29184" s="1"/>
  <c r="Z520" i="29184" s="1"/>
  <c r="V527" i="29184" s="1"/>
  <c r="Z446" i="29184"/>
  <c r="V455" i="29184" s="1"/>
  <c r="Z464" i="29184" s="1"/>
  <c r="Z472" i="29184" s="1"/>
  <c r="V479" i="29184" s="1"/>
  <c r="Z486" i="29184" s="1"/>
  <c r="V493" i="29184" s="1"/>
  <c r="Z500" i="29184" s="1"/>
  <c r="Z507" i="29184" s="1"/>
  <c r="V516" i="29184" s="1"/>
  <c r="Z525" i="29184" s="1"/>
  <c r="AC446" i="29184"/>
  <c r="AE446" i="29184"/>
  <c r="AF446" i="29184"/>
  <c r="AG446" i="29184"/>
  <c r="AH446" i="29184"/>
  <c r="V447" i="29184"/>
  <c r="Z454" i="29184" s="1"/>
  <c r="V461" i="29184" s="1"/>
  <c r="Z468" i="29184" s="1"/>
  <c r="Z475" i="29184" s="1"/>
  <c r="V484" i="29184" s="1"/>
  <c r="Z493" i="29184" s="1"/>
  <c r="V502" i="29184" s="1"/>
  <c r="Z511" i="29184" s="1"/>
  <c r="V520" i="29184" s="1"/>
  <c r="V528" i="29184" s="1"/>
  <c r="Z447" i="29184"/>
  <c r="V456" i="29184" s="1"/>
  <c r="V464" i="29184" s="1"/>
  <c r="Z471" i="29184" s="1"/>
  <c r="V478" i="29184" s="1"/>
  <c r="Z485" i="29184" s="1"/>
  <c r="V492" i="29184" s="1"/>
  <c r="V499" i="29184" s="1"/>
  <c r="Z508" i="29184" s="1"/>
  <c r="V517" i="29184" s="1"/>
  <c r="Z526" i="29184" s="1"/>
  <c r="AC447" i="29184"/>
  <c r="AE447" i="29184"/>
  <c r="AF447" i="29184"/>
  <c r="AG447" i="29184"/>
  <c r="AH447" i="29184"/>
  <c r="V448" i="29184"/>
  <c r="Z455" i="29184" s="1"/>
  <c r="V462" i="29184" s="1"/>
  <c r="Z469" i="29184" s="1"/>
  <c r="V476" i="29184" s="1"/>
  <c r="V483" i="29184" s="1"/>
  <c r="Z492" i="29184" s="1"/>
  <c r="V501" i="29184" s="1"/>
  <c r="Z510" i="29184" s="1"/>
  <c r="V519" i="29184" s="1"/>
  <c r="Z528" i="29184" s="1"/>
  <c r="Z448" i="29184"/>
  <c r="Z456" i="29184" s="1"/>
  <c r="V463" i="29184" s="1"/>
  <c r="Z470" i="29184" s="1"/>
  <c r="V477" i="29184" s="1"/>
  <c r="Z484" i="29184" s="1"/>
  <c r="Z491" i="29184" s="1"/>
  <c r="V500" i="29184" s="1"/>
  <c r="Z509" i="29184" s="1"/>
  <c r="V518" i="29184" s="1"/>
  <c r="Z527" i="29184" s="1"/>
  <c r="AC448" i="29184"/>
  <c r="AE448" i="29184"/>
  <c r="AF448" i="29184"/>
  <c r="AG448" i="29184"/>
  <c r="AH448" i="29184"/>
  <c r="S449" i="29184"/>
  <c r="S457" i="29184" s="1"/>
  <c r="S465" i="29184" s="1"/>
  <c r="S473" i="29184" s="1"/>
  <c r="S481" i="29184" s="1"/>
  <c r="S489" i="29184" s="1"/>
  <c r="S497" i="29184" s="1"/>
  <c r="S505" i="29184" s="1"/>
  <c r="S513" i="29184" s="1"/>
  <c r="S521" i="29184" s="1"/>
  <c r="AC451" i="29184"/>
  <c r="AE451" i="29184"/>
  <c r="AF451" i="29184"/>
  <c r="AG451" i="29184"/>
  <c r="AH451" i="29184"/>
  <c r="AC452" i="29184"/>
  <c r="AE452" i="29184"/>
  <c r="AF452" i="29184"/>
  <c r="AG452" i="29184"/>
  <c r="AH452" i="29184"/>
  <c r="AC453" i="29184"/>
  <c r="AE453" i="29184"/>
  <c r="AF453" i="29184"/>
  <c r="AG453" i="29184"/>
  <c r="AH453" i="29184"/>
  <c r="AC454" i="29184"/>
  <c r="AE454" i="29184"/>
  <c r="AF454" i="29184"/>
  <c r="AG454" i="29184"/>
  <c r="AH454" i="29184"/>
  <c r="AC455" i="29184"/>
  <c r="AE455" i="29184"/>
  <c r="AF455" i="29184"/>
  <c r="AG455" i="29184"/>
  <c r="AH455" i="29184"/>
  <c r="AC456" i="29184"/>
  <c r="AE456" i="29184"/>
  <c r="AF456" i="29184"/>
  <c r="AG456" i="29184"/>
  <c r="AH456" i="29184"/>
  <c r="AC459" i="29184"/>
  <c r="AE459" i="29184"/>
  <c r="AF459" i="29184"/>
  <c r="AG459" i="29184"/>
  <c r="AH459" i="29184"/>
  <c r="AC460" i="29184"/>
  <c r="AE460" i="29184"/>
  <c r="AF460" i="29184"/>
  <c r="AG460" i="29184"/>
  <c r="AH460" i="29184"/>
  <c r="AC461" i="29184"/>
  <c r="AE461" i="29184"/>
  <c r="AF461" i="29184"/>
  <c r="AG461" i="29184"/>
  <c r="AH461" i="29184"/>
  <c r="AC462" i="29184"/>
  <c r="AE462" i="29184"/>
  <c r="AF462" i="29184"/>
  <c r="AG462" i="29184"/>
  <c r="AH462" i="29184"/>
  <c r="AC463" i="29184"/>
  <c r="AE463" i="29184"/>
  <c r="AF463" i="29184"/>
  <c r="AG463" i="29184"/>
  <c r="AH463" i="29184"/>
  <c r="AC464" i="29184"/>
  <c r="AE464" i="29184"/>
  <c r="AF464" i="29184"/>
  <c r="AG464" i="29184"/>
  <c r="AH464" i="29184"/>
  <c r="AC467" i="29184"/>
  <c r="AE467" i="29184"/>
  <c r="AF467" i="29184"/>
  <c r="AG467" i="29184"/>
  <c r="AH467" i="29184"/>
  <c r="AC468" i="29184"/>
  <c r="AE468" i="29184"/>
  <c r="AF468" i="29184"/>
  <c r="AG468" i="29184"/>
  <c r="AH468" i="29184"/>
  <c r="AC469" i="29184"/>
  <c r="AE469" i="29184"/>
  <c r="AF469" i="29184"/>
  <c r="AG469" i="29184"/>
  <c r="AH469" i="29184"/>
  <c r="AC470" i="29184"/>
  <c r="AE470" i="29184"/>
  <c r="AF470" i="29184"/>
  <c r="AG470" i="29184"/>
  <c r="AH470" i="29184"/>
  <c r="AC471" i="29184"/>
  <c r="AE471" i="29184"/>
  <c r="AF471" i="29184"/>
  <c r="AG471" i="29184"/>
  <c r="AH471" i="29184"/>
  <c r="AC472" i="29184"/>
  <c r="AE472" i="29184"/>
  <c r="AF472" i="29184"/>
  <c r="AG472" i="29184"/>
  <c r="AH472" i="29184"/>
  <c r="AC475" i="29184"/>
  <c r="AE475" i="29184"/>
  <c r="AF475" i="29184"/>
  <c r="AG475" i="29184"/>
  <c r="AH475" i="29184"/>
  <c r="AC476" i="29184"/>
  <c r="AE476" i="29184"/>
  <c r="AF476" i="29184"/>
  <c r="AG476" i="29184"/>
  <c r="AH476" i="29184"/>
  <c r="AC477" i="29184"/>
  <c r="AE477" i="29184"/>
  <c r="AF477" i="29184"/>
  <c r="AG477" i="29184"/>
  <c r="AH477" i="29184"/>
  <c r="AC478" i="29184"/>
  <c r="AE478" i="29184"/>
  <c r="AF478" i="29184"/>
  <c r="AG478" i="29184"/>
  <c r="AH478" i="29184"/>
  <c r="AC479" i="29184"/>
  <c r="AE479" i="29184"/>
  <c r="AF479" i="29184"/>
  <c r="AG479" i="29184"/>
  <c r="AH479" i="29184"/>
  <c r="AC480" i="29184"/>
  <c r="AE480" i="29184"/>
  <c r="AF480" i="29184"/>
  <c r="AG480" i="29184"/>
  <c r="AH480" i="29184"/>
  <c r="AC483" i="29184"/>
  <c r="AE483" i="29184"/>
  <c r="AF483" i="29184"/>
  <c r="AG483" i="29184"/>
  <c r="AH483" i="29184"/>
  <c r="AC484" i="29184"/>
  <c r="AE484" i="29184"/>
  <c r="AF484" i="29184"/>
  <c r="AG484" i="29184"/>
  <c r="AH484" i="29184"/>
  <c r="AC485" i="29184"/>
  <c r="AE485" i="29184"/>
  <c r="AF485" i="29184"/>
  <c r="AG485" i="29184"/>
  <c r="AH485" i="29184"/>
  <c r="AC486" i="29184"/>
  <c r="AE486" i="29184"/>
  <c r="AF486" i="29184"/>
  <c r="AG486" i="29184"/>
  <c r="AH486" i="29184"/>
  <c r="AC487" i="29184"/>
  <c r="AE487" i="29184"/>
  <c r="AF487" i="29184"/>
  <c r="AG487" i="29184"/>
  <c r="AH487" i="29184"/>
  <c r="AC488" i="29184"/>
  <c r="AE488" i="29184"/>
  <c r="AF488" i="29184"/>
  <c r="AG488" i="29184"/>
  <c r="AH488" i="29184"/>
  <c r="AC491" i="29184"/>
  <c r="AE491" i="29184"/>
  <c r="AF491" i="29184"/>
  <c r="AG491" i="29184"/>
  <c r="AH491" i="29184"/>
  <c r="AC492" i="29184"/>
  <c r="AE492" i="29184"/>
  <c r="AF492" i="29184"/>
  <c r="AG492" i="29184"/>
  <c r="AH492" i="29184"/>
  <c r="AC493" i="29184"/>
  <c r="AE493" i="29184"/>
  <c r="AF493" i="29184"/>
  <c r="AG493" i="29184"/>
  <c r="AH493" i="29184"/>
  <c r="AC494" i="29184"/>
  <c r="AE494" i="29184"/>
  <c r="AF494" i="29184"/>
  <c r="AG494" i="29184"/>
  <c r="AH494" i="29184"/>
  <c r="AC495" i="29184"/>
  <c r="AE495" i="29184"/>
  <c r="AF495" i="29184"/>
  <c r="AG495" i="29184"/>
  <c r="AH495" i="29184"/>
  <c r="AC496" i="29184"/>
  <c r="AE496" i="29184"/>
  <c r="AF496" i="29184"/>
  <c r="AG496" i="29184"/>
  <c r="AH496" i="29184"/>
  <c r="AC499" i="29184"/>
  <c r="AE499" i="29184"/>
  <c r="AF499" i="29184"/>
  <c r="AG499" i="29184"/>
  <c r="AH499" i="29184"/>
  <c r="AC500" i="29184"/>
  <c r="AE500" i="29184"/>
  <c r="AF500" i="29184"/>
  <c r="AG500" i="29184"/>
  <c r="AH500" i="29184"/>
  <c r="AC501" i="29184"/>
  <c r="AE501" i="29184"/>
  <c r="AF501" i="29184"/>
  <c r="AG501" i="29184"/>
  <c r="AH501" i="29184"/>
  <c r="AC502" i="29184"/>
  <c r="AE502" i="29184"/>
  <c r="AF502" i="29184"/>
  <c r="AG502" i="29184"/>
  <c r="AH502" i="29184"/>
  <c r="AC503" i="29184"/>
  <c r="AE503" i="29184"/>
  <c r="AF503" i="29184"/>
  <c r="AG503" i="29184"/>
  <c r="AH503" i="29184"/>
  <c r="AC504" i="29184"/>
  <c r="AE504" i="29184"/>
  <c r="AF504" i="29184"/>
  <c r="AG504" i="29184"/>
  <c r="AH504" i="29184"/>
  <c r="AC507" i="29184"/>
  <c r="AE507" i="29184"/>
  <c r="AF507" i="29184"/>
  <c r="AG507" i="29184"/>
  <c r="AH507" i="29184"/>
  <c r="AC508" i="29184"/>
  <c r="AE508" i="29184"/>
  <c r="AF508" i="29184"/>
  <c r="AG508" i="29184"/>
  <c r="AH508" i="29184"/>
  <c r="AC509" i="29184"/>
  <c r="AE509" i="29184"/>
  <c r="AF509" i="29184"/>
  <c r="AG509" i="29184"/>
  <c r="AH509" i="29184"/>
  <c r="AC510" i="29184"/>
  <c r="AE510" i="29184"/>
  <c r="AF510" i="29184"/>
  <c r="AG510" i="29184"/>
  <c r="AH510" i="29184"/>
  <c r="AC511" i="29184"/>
  <c r="AE511" i="29184"/>
  <c r="AF511" i="29184"/>
  <c r="AG511" i="29184"/>
  <c r="AH511" i="29184"/>
  <c r="AC512" i="29184"/>
  <c r="AE512" i="29184"/>
  <c r="AF512" i="29184"/>
  <c r="AG512" i="29184"/>
  <c r="AH512" i="29184"/>
  <c r="AC515" i="29184"/>
  <c r="AE515" i="29184"/>
  <c r="AF515" i="29184"/>
  <c r="AG515" i="29184"/>
  <c r="AH515" i="29184"/>
  <c r="AC516" i="29184"/>
  <c r="AE516" i="29184"/>
  <c r="AF516" i="29184"/>
  <c r="AG516" i="29184"/>
  <c r="AH516" i="29184"/>
  <c r="AC517" i="29184"/>
  <c r="AE517" i="29184"/>
  <c r="AF517" i="29184"/>
  <c r="AG517" i="29184"/>
  <c r="AH517" i="29184"/>
  <c r="AC518" i="29184"/>
  <c r="AE518" i="29184"/>
  <c r="AF518" i="29184"/>
  <c r="AG518" i="29184"/>
  <c r="AH518" i="29184"/>
  <c r="AC519" i="29184"/>
  <c r="AE519" i="29184"/>
  <c r="AF519" i="29184"/>
  <c r="AG519" i="29184"/>
  <c r="AH519" i="29184"/>
  <c r="AC520" i="29184"/>
  <c r="AE520" i="29184"/>
  <c r="AF520" i="29184"/>
  <c r="AG520" i="29184"/>
  <c r="AH520" i="29184"/>
  <c r="AC523" i="29184"/>
  <c r="AE523" i="29184"/>
  <c r="AF523" i="29184"/>
  <c r="AG523" i="29184"/>
  <c r="AH523" i="29184"/>
  <c r="AC524" i="29184"/>
  <c r="AE524" i="29184"/>
  <c r="AF524" i="29184"/>
  <c r="AG524" i="29184"/>
  <c r="AH524" i="29184"/>
  <c r="AC525" i="29184"/>
  <c r="AE525" i="29184"/>
  <c r="AF525" i="29184"/>
  <c r="AG525" i="29184"/>
  <c r="AH525" i="29184"/>
  <c r="AC526" i="29184"/>
  <c r="AE526" i="29184"/>
  <c r="AF526" i="29184"/>
  <c r="AG526" i="29184"/>
  <c r="AH526" i="29184"/>
  <c r="AC527" i="29184"/>
  <c r="AE527" i="29184"/>
  <c r="AF527" i="29184"/>
  <c r="AG527" i="29184"/>
  <c r="AH527" i="29184"/>
  <c r="AC528" i="29184"/>
  <c r="AE528" i="29184"/>
  <c r="AF528" i="29184"/>
  <c r="AG528" i="29184"/>
  <c r="AH528" i="29184"/>
  <c r="AK532" i="29184"/>
  <c r="P535" i="29184" s="1"/>
  <c r="V548" i="29184"/>
  <c r="Z556" i="29184" s="1"/>
  <c r="V564" i="29184" s="1"/>
  <c r="Z572" i="29184" s="1"/>
  <c r="V580" i="29184" s="1"/>
  <c r="Z588" i="29184" s="1"/>
  <c r="V596" i="29184" s="1"/>
  <c r="V612" i="29184" s="1"/>
  <c r="Z620" i="29184" s="1"/>
  <c r="V628" i="29184" s="1"/>
  <c r="Z636" i="29184" s="1"/>
  <c r="V644" i="29184" s="1"/>
  <c r="Z548" i="29184"/>
  <c r="V557" i="29184" s="1"/>
  <c r="Z566" i="29184" s="1"/>
  <c r="V575" i="29184" s="1"/>
  <c r="Z583" i="29184" s="1"/>
  <c r="V592" i="29184" s="1"/>
  <c r="Z601" i="29184" s="1"/>
  <c r="Z609" i="29184" s="1"/>
  <c r="V616" i="29184" s="1"/>
  <c r="Z623" i="29184" s="1"/>
  <c r="Z638" i="29184" s="1"/>
  <c r="V645" i="29184" s="1"/>
  <c r="AC548" i="29184"/>
  <c r="AE548" i="29184"/>
  <c r="AF548" i="29184"/>
  <c r="AG548" i="29184"/>
  <c r="AH548" i="29184"/>
  <c r="V549" i="29184"/>
  <c r="V556" i="29184" s="1"/>
  <c r="Z565" i="29184" s="1"/>
  <c r="V574" i="29184" s="1"/>
  <c r="V591" i="29184" s="1"/>
  <c r="Z600" i="29184" s="1"/>
  <c r="V609" i="29184" s="1"/>
  <c r="V617" i="29184" s="1"/>
  <c r="Z624" i="29184" s="1"/>
  <c r="V631" i="29184" s="1"/>
  <c r="Z639" i="29184" s="1"/>
  <c r="V646" i="29184" s="1"/>
  <c r="Z549" i="29184"/>
  <c r="V558" i="29184" s="1"/>
  <c r="Z567" i="29184" s="1"/>
  <c r="Z584" i="29184" s="1"/>
  <c r="V593" i="29184" s="1"/>
  <c r="V601" i="29184" s="1"/>
  <c r="Z608" i="29184" s="1"/>
  <c r="V615" i="29184" s="1"/>
  <c r="Z622" i="29184" s="1"/>
  <c r="V630" i="29184" s="1"/>
  <c r="Z637" i="29184" s="1"/>
  <c r="Z644" i="29184" s="1"/>
  <c r="AC549" i="29184"/>
  <c r="AE549" i="29184"/>
  <c r="AF549" i="29184"/>
  <c r="AG549" i="29184"/>
  <c r="AH549" i="29184"/>
  <c r="V550" i="29184"/>
  <c r="Z557" i="29184" s="1"/>
  <c r="Z564" i="29184" s="1"/>
  <c r="V573" i="29184" s="1"/>
  <c r="Z582" i="29184" s="1"/>
  <c r="V590" i="29184" s="1"/>
  <c r="Z599" i="29184" s="1"/>
  <c r="V608" i="29184" s="1"/>
  <c r="Z617" i="29184" s="1"/>
  <c r="Z625" i="29184" s="1"/>
  <c r="V632" i="29184" s="1"/>
  <c r="V647" i="29184" s="1"/>
  <c r="Z550" i="29184"/>
  <c r="V559" i="29184" s="1"/>
  <c r="Z568" i="29184" s="1"/>
  <c r="V576" i="29184" s="1"/>
  <c r="Z585" i="29184" s="1"/>
  <c r="Z593" i="29184" s="1"/>
  <c r="V600" i="29184" s="1"/>
  <c r="Z607" i="29184" s="1"/>
  <c r="V614" i="29184" s="1"/>
  <c r="V629" i="29184" s="1"/>
  <c r="V636" i="29184" s="1"/>
  <c r="Z645" i="29184" s="1"/>
  <c r="AC550" i="29184"/>
  <c r="AE550" i="29184"/>
  <c r="AF550" i="29184"/>
  <c r="AG550" i="29184"/>
  <c r="AH550" i="29184"/>
  <c r="V551" i="29184"/>
  <c r="Z558" i="29184" s="1"/>
  <c r="V565" i="29184" s="1"/>
  <c r="V572" i="29184" s="1"/>
  <c r="Z581" i="29184" s="1"/>
  <c r="Z598" i="29184" s="1"/>
  <c r="V607" i="29184" s="1"/>
  <c r="Z616" i="29184" s="1"/>
  <c r="V625" i="29184" s="1"/>
  <c r="V633" i="29184" s="1"/>
  <c r="Z640" i="29184" s="1"/>
  <c r="V648" i="29184" s="1"/>
  <c r="Z551" i="29184"/>
  <c r="V560" i="29184" s="1"/>
  <c r="V577" i="29184" s="1"/>
  <c r="V585" i="29184" s="1"/>
  <c r="Z592" i="29184" s="1"/>
  <c r="V599" i="29184" s="1"/>
  <c r="Z606" i="29184" s="1"/>
  <c r="V613" i="29184" s="1"/>
  <c r="Z621" i="29184" s="1"/>
  <c r="Z628" i="29184" s="1"/>
  <c r="V637" i="29184" s="1"/>
  <c r="Z646" i="29184" s="1"/>
  <c r="AC551" i="29184"/>
  <c r="AE551" i="29184"/>
  <c r="AF551" i="29184"/>
  <c r="AG551" i="29184"/>
  <c r="AH551" i="29184"/>
  <c r="V552" i="29184"/>
  <c r="Z559" i="29184" s="1"/>
  <c r="V566" i="29184" s="1"/>
  <c r="Z573" i="29184" s="1"/>
  <c r="Z580" i="29184" s="1"/>
  <c r="V589" i="29184" s="1"/>
  <c r="Z597" i="29184" s="1"/>
  <c r="V606" i="29184" s="1"/>
  <c r="Z615" i="29184" s="1"/>
  <c r="V624" i="29184" s="1"/>
  <c r="Z633" i="29184" s="1"/>
  <c r="Z641" i="29184" s="1"/>
  <c r="Z552" i="29184"/>
  <c r="V561" i="29184" s="1"/>
  <c r="Z569" i="29184" s="1"/>
  <c r="Z577" i="29184" s="1"/>
  <c r="V584" i="29184" s="1"/>
  <c r="Z591" i="29184" s="1"/>
  <c r="V598" i="29184" s="1"/>
  <c r="Z605" i="29184" s="1"/>
  <c r="V620" i="29184" s="1"/>
  <c r="Z629" i="29184" s="1"/>
  <c r="V638" i="29184" s="1"/>
  <c r="Z647" i="29184" s="1"/>
  <c r="AC552" i="29184"/>
  <c r="AE552" i="29184"/>
  <c r="AF552" i="29184"/>
  <c r="AG552" i="29184"/>
  <c r="AH552" i="29184"/>
  <c r="V553" i="29184"/>
  <c r="Z560" i="29184" s="1"/>
  <c r="V567" i="29184" s="1"/>
  <c r="Z574" i="29184" s="1"/>
  <c r="V581" i="29184" s="1"/>
  <c r="V588" i="29184" s="1"/>
  <c r="V605" i="29184" s="1"/>
  <c r="Z614" i="29184" s="1"/>
  <c r="V623" i="29184" s="1"/>
  <c r="Z632" i="29184" s="1"/>
  <c r="V641" i="29184" s="1"/>
  <c r="V649" i="29184" s="1"/>
  <c r="Z553" i="29184"/>
  <c r="V569" i="29184" s="1"/>
  <c r="Z576" i="29184" s="1"/>
  <c r="V583" i="29184" s="1"/>
  <c r="Z590" i="29184" s="1"/>
  <c r="V597" i="29184" s="1"/>
  <c r="Z604" i="29184" s="1"/>
  <c r="Z612" i="29184" s="1"/>
  <c r="V621" i="29184" s="1"/>
  <c r="Z630" i="29184" s="1"/>
  <c r="V639" i="29184" s="1"/>
  <c r="Z648" i="29184" s="1"/>
  <c r="AC553" i="29184"/>
  <c r="AE553" i="29184"/>
  <c r="AF553" i="29184"/>
  <c r="AG553" i="29184"/>
  <c r="AH553" i="29184"/>
  <c r="S554" i="29184"/>
  <c r="S562" i="29184" s="1"/>
  <c r="S570" i="29184" s="1"/>
  <c r="S578" i="29184" s="1"/>
  <c r="S586" i="29184" s="1"/>
  <c r="S594" i="29184" s="1"/>
  <c r="S602" i="29184" s="1"/>
  <c r="S610" i="29184" s="1"/>
  <c r="S618" i="29184" s="1"/>
  <c r="S626" i="29184" s="1"/>
  <c r="S634" i="29184" s="1"/>
  <c r="S642" i="29184" s="1"/>
  <c r="AC556" i="29184"/>
  <c r="AE556" i="29184"/>
  <c r="AF556" i="29184"/>
  <c r="AG556" i="29184"/>
  <c r="AH556" i="29184"/>
  <c r="AC557" i="29184"/>
  <c r="AE557" i="29184"/>
  <c r="AF557" i="29184"/>
  <c r="AG557" i="29184"/>
  <c r="AH557" i="29184"/>
  <c r="AC558" i="29184"/>
  <c r="AE558" i="29184"/>
  <c r="AF558" i="29184"/>
  <c r="AG558" i="29184"/>
  <c r="AH558" i="29184"/>
  <c r="AC559" i="29184"/>
  <c r="AE559" i="29184"/>
  <c r="AF559" i="29184"/>
  <c r="AG559" i="29184"/>
  <c r="AH559" i="29184"/>
  <c r="AC560" i="29184"/>
  <c r="AE560" i="29184"/>
  <c r="AF560" i="29184"/>
  <c r="AG560" i="29184"/>
  <c r="AH560" i="29184"/>
  <c r="Z561" i="29184"/>
  <c r="V568" i="29184" s="1"/>
  <c r="Z575" i="29184" s="1"/>
  <c r="V582" i="29184" s="1"/>
  <c r="Z589" i="29184" s="1"/>
  <c r="Z596" i="29184" s="1"/>
  <c r="V604" i="29184" s="1"/>
  <c r="Z613" i="29184" s="1"/>
  <c r="V622" i="29184" s="1"/>
  <c r="Z631" i="29184" s="1"/>
  <c r="V640" i="29184" s="1"/>
  <c r="Z649" i="29184" s="1"/>
  <c r="AC561" i="29184"/>
  <c r="AE561" i="29184"/>
  <c r="AF561" i="29184"/>
  <c r="AG561" i="29184"/>
  <c r="AH561" i="29184"/>
  <c r="AC564" i="29184"/>
  <c r="AE564" i="29184"/>
  <c r="AF564" i="29184"/>
  <c r="AG564" i="29184"/>
  <c r="AH564" i="29184"/>
  <c r="AC565" i="29184"/>
  <c r="AE565" i="29184"/>
  <c r="AF565" i="29184"/>
  <c r="AG565" i="29184"/>
  <c r="AH565" i="29184"/>
  <c r="AC566" i="29184"/>
  <c r="AE566" i="29184"/>
  <c r="AF566" i="29184"/>
  <c r="AG566" i="29184"/>
  <c r="AH566" i="29184"/>
  <c r="AC567" i="29184"/>
  <c r="AE567" i="29184"/>
  <c r="AF567" i="29184"/>
  <c r="AG567" i="29184"/>
  <c r="AH567" i="29184"/>
  <c r="AC568" i="29184"/>
  <c r="AE568" i="29184"/>
  <c r="AF568" i="29184"/>
  <c r="AG568" i="29184"/>
  <c r="AH568" i="29184"/>
  <c r="AC569" i="29184"/>
  <c r="AE569" i="29184"/>
  <c r="AF569" i="29184"/>
  <c r="AG569" i="29184"/>
  <c r="AH569" i="29184"/>
  <c r="AC572" i="29184"/>
  <c r="AE572" i="29184"/>
  <c r="AF572" i="29184"/>
  <c r="AG572" i="29184"/>
  <c r="AH572" i="29184"/>
  <c r="AC573" i="29184"/>
  <c r="AE573" i="29184"/>
  <c r="AF573" i="29184"/>
  <c r="AG573" i="29184"/>
  <c r="AH573" i="29184"/>
  <c r="AC574" i="29184"/>
  <c r="AE574" i="29184"/>
  <c r="AF574" i="29184"/>
  <c r="AG574" i="29184"/>
  <c r="AH574" i="29184"/>
  <c r="AC575" i="29184"/>
  <c r="AE575" i="29184"/>
  <c r="AF575" i="29184"/>
  <c r="AG575" i="29184"/>
  <c r="AH575" i="29184"/>
  <c r="AC576" i="29184"/>
  <c r="AE576" i="29184"/>
  <c r="AF576" i="29184"/>
  <c r="AG576" i="29184"/>
  <c r="AH576" i="29184"/>
  <c r="AC577" i="29184"/>
  <c r="AE577" i="29184"/>
  <c r="AF577" i="29184"/>
  <c r="AG577" i="29184"/>
  <c r="AH577" i="29184"/>
  <c r="AC580" i="29184"/>
  <c r="AE580" i="29184"/>
  <c r="AF580" i="29184"/>
  <c r="AG580" i="29184"/>
  <c r="AH580" i="29184"/>
  <c r="AC581" i="29184"/>
  <c r="AE581" i="29184"/>
  <c r="AF581" i="29184"/>
  <c r="AG581" i="29184"/>
  <c r="AH581" i="29184"/>
  <c r="AC582" i="29184"/>
  <c r="AE582" i="29184"/>
  <c r="AF582" i="29184"/>
  <c r="AG582" i="29184"/>
  <c r="AH582" i="29184"/>
  <c r="AC583" i="29184"/>
  <c r="AE583" i="29184"/>
  <c r="AF583" i="29184"/>
  <c r="AG583" i="29184"/>
  <c r="AH583" i="29184"/>
  <c r="AC584" i="29184"/>
  <c r="AE584" i="29184"/>
  <c r="AF584" i="29184"/>
  <c r="AG584" i="29184"/>
  <c r="AH584" i="29184"/>
  <c r="AC585" i="29184"/>
  <c r="AE585" i="29184"/>
  <c r="AF585" i="29184"/>
  <c r="AG585" i="29184"/>
  <c r="AH585" i="29184"/>
  <c r="AC588" i="29184"/>
  <c r="AE588" i="29184"/>
  <c r="AF588" i="29184"/>
  <c r="AG588" i="29184"/>
  <c r="AH588" i="29184"/>
  <c r="AC589" i="29184"/>
  <c r="AE589" i="29184"/>
  <c r="AF589" i="29184"/>
  <c r="AG589" i="29184"/>
  <c r="AH589" i="29184"/>
  <c r="AC590" i="29184"/>
  <c r="AE590" i="29184"/>
  <c r="AF590" i="29184"/>
  <c r="AG590" i="29184"/>
  <c r="AH590" i="29184"/>
  <c r="AC591" i="29184"/>
  <c r="AE591" i="29184"/>
  <c r="AF591" i="29184"/>
  <c r="AG591" i="29184"/>
  <c r="AH591" i="29184"/>
  <c r="AC592" i="29184"/>
  <c r="AE592" i="29184"/>
  <c r="AF592" i="29184"/>
  <c r="AG592" i="29184"/>
  <c r="AH592" i="29184"/>
  <c r="AC593" i="29184"/>
  <c r="AE593" i="29184"/>
  <c r="AF593" i="29184"/>
  <c r="AG593" i="29184"/>
  <c r="AH593" i="29184"/>
  <c r="AC596" i="29184"/>
  <c r="AE596" i="29184"/>
  <c r="AF596" i="29184"/>
  <c r="AG596" i="29184"/>
  <c r="AH596" i="29184"/>
  <c r="AC597" i="29184"/>
  <c r="AE597" i="29184"/>
  <c r="AF597" i="29184"/>
  <c r="AG597" i="29184"/>
  <c r="AH597" i="29184"/>
  <c r="AC598" i="29184"/>
  <c r="AE598" i="29184"/>
  <c r="AF598" i="29184"/>
  <c r="AG598" i="29184"/>
  <c r="AH598" i="29184"/>
  <c r="AC599" i="29184"/>
  <c r="AE599" i="29184"/>
  <c r="AF599" i="29184"/>
  <c r="AG599" i="29184"/>
  <c r="AH599" i="29184"/>
  <c r="AC600" i="29184"/>
  <c r="AE600" i="29184"/>
  <c r="AF600" i="29184"/>
  <c r="AG600" i="29184"/>
  <c r="AH600" i="29184"/>
  <c r="AC601" i="29184"/>
  <c r="AE601" i="29184"/>
  <c r="AF601" i="29184"/>
  <c r="AG601" i="29184"/>
  <c r="AH601" i="29184"/>
  <c r="AC604" i="29184"/>
  <c r="AE604" i="29184"/>
  <c r="AF604" i="29184"/>
  <c r="AG604" i="29184"/>
  <c r="AH604" i="29184"/>
  <c r="AC605" i="29184"/>
  <c r="AE605" i="29184"/>
  <c r="AF605" i="29184"/>
  <c r="AG605" i="29184"/>
  <c r="AH605" i="29184"/>
  <c r="AC606" i="29184"/>
  <c r="AE606" i="29184"/>
  <c r="AF606" i="29184"/>
  <c r="AG606" i="29184"/>
  <c r="AH606" i="29184"/>
  <c r="AC607" i="29184"/>
  <c r="AE607" i="29184"/>
  <c r="AF607" i="29184"/>
  <c r="AG607" i="29184"/>
  <c r="AH607" i="29184"/>
  <c r="AC608" i="29184"/>
  <c r="AE608" i="29184"/>
  <c r="AF608" i="29184"/>
  <c r="AG608" i="29184"/>
  <c r="AH608" i="29184"/>
  <c r="AC609" i="29184"/>
  <c r="AE609" i="29184"/>
  <c r="AF609" i="29184"/>
  <c r="AG609" i="29184"/>
  <c r="AH609" i="29184"/>
  <c r="AC612" i="29184"/>
  <c r="AE612" i="29184"/>
  <c r="AF612" i="29184"/>
  <c r="AG612" i="29184"/>
  <c r="AH612" i="29184"/>
  <c r="AC613" i="29184"/>
  <c r="AE613" i="29184"/>
  <c r="AF613" i="29184"/>
  <c r="AG613" i="29184"/>
  <c r="AH613" i="29184"/>
  <c r="AC614" i="29184"/>
  <c r="AE614" i="29184"/>
  <c r="AF614" i="29184"/>
  <c r="AG614" i="29184"/>
  <c r="AH614" i="29184"/>
  <c r="AC615" i="29184"/>
  <c r="AE615" i="29184"/>
  <c r="AF615" i="29184"/>
  <c r="AG615" i="29184"/>
  <c r="AH615" i="29184"/>
  <c r="AC616" i="29184"/>
  <c r="AE616" i="29184"/>
  <c r="AF616" i="29184"/>
  <c r="AG616" i="29184"/>
  <c r="AH616" i="29184"/>
  <c r="AC617" i="29184"/>
  <c r="AE617" i="29184"/>
  <c r="AF617" i="29184"/>
  <c r="AG617" i="29184"/>
  <c r="AH617" i="29184"/>
  <c r="AC620" i="29184"/>
  <c r="AE620" i="29184"/>
  <c r="AF620" i="29184"/>
  <c r="AG620" i="29184"/>
  <c r="AH620" i="29184"/>
  <c r="AC621" i="29184"/>
  <c r="AE621" i="29184"/>
  <c r="AF621" i="29184"/>
  <c r="AG621" i="29184"/>
  <c r="AH621" i="29184"/>
  <c r="AC622" i="29184"/>
  <c r="AE622" i="29184"/>
  <c r="AF622" i="29184"/>
  <c r="AG622" i="29184"/>
  <c r="AH622" i="29184"/>
  <c r="AC623" i="29184"/>
  <c r="AE623" i="29184"/>
  <c r="AF623" i="29184"/>
  <c r="AG623" i="29184"/>
  <c r="AH623" i="29184"/>
  <c r="AC624" i="29184"/>
  <c r="AE624" i="29184"/>
  <c r="AF624" i="29184"/>
  <c r="AG624" i="29184"/>
  <c r="AH624" i="29184"/>
  <c r="AC625" i="29184"/>
  <c r="AE625" i="29184"/>
  <c r="AF625" i="29184"/>
  <c r="AG625" i="29184"/>
  <c r="AH625" i="29184"/>
  <c r="AC628" i="29184"/>
  <c r="AE628" i="29184"/>
  <c r="AF628" i="29184"/>
  <c r="AG628" i="29184"/>
  <c r="AH628" i="29184"/>
  <c r="AC629" i="29184"/>
  <c r="AE629" i="29184"/>
  <c r="AF629" i="29184"/>
  <c r="AG629" i="29184"/>
  <c r="AH629" i="29184"/>
  <c r="AC630" i="29184"/>
  <c r="AE630" i="29184"/>
  <c r="AF630" i="29184"/>
  <c r="AG630" i="29184"/>
  <c r="AH630" i="29184"/>
  <c r="AC631" i="29184"/>
  <c r="AE631" i="29184"/>
  <c r="AF631" i="29184"/>
  <c r="AG631" i="29184"/>
  <c r="AH631" i="29184"/>
  <c r="AC632" i="29184"/>
  <c r="AE632" i="29184"/>
  <c r="AF632" i="29184"/>
  <c r="AG632" i="29184"/>
  <c r="AH632" i="29184"/>
  <c r="AC633" i="29184"/>
  <c r="AE633" i="29184"/>
  <c r="AF633" i="29184"/>
  <c r="AG633" i="29184"/>
  <c r="AH633" i="29184"/>
  <c r="AC636" i="29184"/>
  <c r="AE636" i="29184"/>
  <c r="AF636" i="29184"/>
  <c r="AG636" i="29184"/>
  <c r="AH636" i="29184"/>
  <c r="AC637" i="29184"/>
  <c r="AE637" i="29184"/>
  <c r="AF637" i="29184"/>
  <c r="AG637" i="29184"/>
  <c r="AH637" i="29184"/>
  <c r="AC638" i="29184"/>
  <c r="AE638" i="29184"/>
  <c r="AF638" i="29184"/>
  <c r="AG638" i="29184"/>
  <c r="AH638" i="29184"/>
  <c r="AC639" i="29184"/>
  <c r="AE639" i="29184"/>
  <c r="AF639" i="29184"/>
  <c r="AG639" i="29184"/>
  <c r="AH639" i="29184"/>
  <c r="AC640" i="29184"/>
  <c r="AE640" i="29184"/>
  <c r="AF640" i="29184"/>
  <c r="AG640" i="29184"/>
  <c r="AH640" i="29184"/>
  <c r="AC641" i="29184"/>
  <c r="AE641" i="29184"/>
  <c r="AF641" i="29184"/>
  <c r="AG641" i="29184"/>
  <c r="AH641" i="29184"/>
  <c r="AC644" i="29184"/>
  <c r="AE644" i="29184"/>
  <c r="AF644" i="29184"/>
  <c r="AG644" i="29184"/>
  <c r="AH644" i="29184"/>
  <c r="AC645" i="29184"/>
  <c r="AE645" i="29184"/>
  <c r="AF645" i="29184"/>
  <c r="AG645" i="29184"/>
  <c r="AH645" i="29184"/>
  <c r="AC646" i="29184"/>
  <c r="AE646" i="29184"/>
  <c r="AF646" i="29184"/>
  <c r="AG646" i="29184"/>
  <c r="AH646" i="29184"/>
  <c r="AC647" i="29184"/>
  <c r="AE647" i="29184"/>
  <c r="AF647" i="29184"/>
  <c r="AG647" i="29184"/>
  <c r="AH647" i="29184"/>
  <c r="AC648" i="29184"/>
  <c r="AE648" i="29184"/>
  <c r="AF648" i="29184"/>
  <c r="AG648" i="29184"/>
  <c r="AH648" i="29184"/>
  <c r="AC649" i="29184"/>
  <c r="AE649" i="29184"/>
  <c r="AF649" i="29184"/>
  <c r="AG649" i="29184"/>
  <c r="AH649" i="29184"/>
  <c r="AK653" i="29184"/>
  <c r="C654" i="29184" s="1"/>
  <c r="V670" i="29184"/>
  <c r="Z679" i="29184" s="1"/>
  <c r="V688" i="29184" s="1"/>
  <c r="Z697" i="29184" s="1"/>
  <c r="V706" i="29184" s="1"/>
  <c r="Z715" i="29184" s="1"/>
  <c r="V724" i="29184" s="1"/>
  <c r="Z733" i="29184" s="1"/>
  <c r="V742" i="29184" s="1"/>
  <c r="Z751" i="29184" s="1"/>
  <c r="V760" i="29184" s="1"/>
  <c r="Z769" i="29184" s="1"/>
  <c r="V778" i="29184" s="1"/>
  <c r="Z670" i="29184"/>
  <c r="V680" i="29184" s="1"/>
  <c r="Z690" i="29184" s="1"/>
  <c r="V700" i="29184" s="1"/>
  <c r="Z710" i="29184" s="1"/>
  <c r="V720" i="29184" s="1"/>
  <c r="Z730" i="29184" s="1"/>
  <c r="Z739" i="29184" s="1"/>
  <c r="V747" i="29184" s="1"/>
  <c r="Z755" i="29184" s="1"/>
  <c r="V763" i="29184" s="1"/>
  <c r="Z771" i="29184" s="1"/>
  <c r="V779" i="29184" s="1"/>
  <c r="AC670" i="29184"/>
  <c r="AE670" i="29184"/>
  <c r="AF670" i="29184"/>
  <c r="AG670" i="29184"/>
  <c r="AH670" i="29184"/>
  <c r="V671" i="29184"/>
  <c r="V679" i="29184" s="1"/>
  <c r="Z689" i="29184" s="1"/>
  <c r="V699" i="29184" s="1"/>
  <c r="Z709" i="29184" s="1"/>
  <c r="V719" i="29184" s="1"/>
  <c r="Z729" i="29184" s="1"/>
  <c r="V739" i="29184" s="1"/>
  <c r="V748" i="29184" s="1"/>
  <c r="Z756" i="29184" s="1"/>
  <c r="V764" i="29184" s="1"/>
  <c r="Z772" i="29184" s="1"/>
  <c r="V780" i="29184" s="1"/>
  <c r="Z671" i="29184"/>
  <c r="V681" i="29184" s="1"/>
  <c r="Z691" i="29184" s="1"/>
  <c r="V701" i="29184" s="1"/>
  <c r="Z711" i="29184" s="1"/>
  <c r="V721" i="29184" s="1"/>
  <c r="V730" i="29184" s="1"/>
  <c r="Z738" i="29184" s="1"/>
  <c r="V746" i="29184" s="1"/>
  <c r="Z754" i="29184" s="1"/>
  <c r="V762" i="29184" s="1"/>
  <c r="Z770" i="29184" s="1"/>
  <c r="Z778" i="29184" s="1"/>
  <c r="AC671" i="29184"/>
  <c r="AE671" i="29184"/>
  <c r="AF671" i="29184"/>
  <c r="AG671" i="29184"/>
  <c r="AH671" i="29184"/>
  <c r="V672" i="29184"/>
  <c r="Z680" i="29184" s="1"/>
  <c r="Z688" i="29184" s="1"/>
  <c r="V698" i="29184" s="1"/>
  <c r="Z708" i="29184" s="1"/>
  <c r="V718" i="29184" s="1"/>
  <c r="Z728" i="29184" s="1"/>
  <c r="V738" i="29184" s="1"/>
  <c r="Z748" i="29184" s="1"/>
  <c r="Z757" i="29184" s="1"/>
  <c r="V765" i="29184" s="1"/>
  <c r="Z773" i="29184" s="1"/>
  <c r="V781" i="29184" s="1"/>
  <c r="Z672" i="29184"/>
  <c r="V682" i="29184" s="1"/>
  <c r="Z692" i="29184" s="1"/>
  <c r="V702" i="29184" s="1"/>
  <c r="Z712" i="29184" s="1"/>
  <c r="Z721" i="29184" s="1"/>
  <c r="V729" i="29184" s="1"/>
  <c r="Z737" i="29184" s="1"/>
  <c r="V745" i="29184" s="1"/>
  <c r="Z753" i="29184" s="1"/>
  <c r="V761" i="29184" s="1"/>
  <c r="V769" i="29184" s="1"/>
  <c r="Z779" i="29184" s="1"/>
  <c r="AC672" i="29184"/>
  <c r="AE672" i="29184"/>
  <c r="AF672" i="29184"/>
  <c r="AG672" i="29184"/>
  <c r="AH672" i="29184"/>
  <c r="V673" i="29184"/>
  <c r="Z681" i="29184" s="1"/>
  <c r="V689" i="29184" s="1"/>
  <c r="V697" i="29184" s="1"/>
  <c r="Z707" i="29184" s="1"/>
  <c r="V717" i="29184" s="1"/>
  <c r="Z727" i="29184" s="1"/>
  <c r="V737" i="29184" s="1"/>
  <c r="Z747" i="29184" s="1"/>
  <c r="V757" i="29184" s="1"/>
  <c r="V766" i="29184" s="1"/>
  <c r="Z774" i="29184" s="1"/>
  <c r="V782" i="29184" s="1"/>
  <c r="Z673" i="29184"/>
  <c r="V683" i="29184" s="1"/>
  <c r="Z693" i="29184" s="1"/>
  <c r="V703" i="29184" s="1"/>
  <c r="V712" i="29184" s="1"/>
  <c r="Z720" i="29184" s="1"/>
  <c r="V728" i="29184" s="1"/>
  <c r="Z736" i="29184" s="1"/>
  <c r="V744" i="29184" s="1"/>
  <c r="Z752" i="29184" s="1"/>
  <c r="Z760" i="29184" s="1"/>
  <c r="V770" i="29184" s="1"/>
  <c r="Z780" i="29184" s="1"/>
  <c r="AC673" i="29184"/>
  <c r="AE673" i="29184"/>
  <c r="AF673" i="29184"/>
  <c r="AG673" i="29184"/>
  <c r="AH673" i="29184"/>
  <c r="V674" i="29184"/>
  <c r="Z682" i="29184" s="1"/>
  <c r="V690" i="29184" s="1"/>
  <c r="Z698" i="29184" s="1"/>
  <c r="Z706" i="29184" s="1"/>
  <c r="V716" i="29184" s="1"/>
  <c r="Z726" i="29184" s="1"/>
  <c r="V736" i="29184" s="1"/>
  <c r="Z746" i="29184" s="1"/>
  <c r="V756" i="29184" s="1"/>
  <c r="Z766" i="29184" s="1"/>
  <c r="Z775" i="29184" s="1"/>
  <c r="V783" i="29184" s="1"/>
  <c r="Z674" i="29184"/>
  <c r="V684" i="29184" s="1"/>
  <c r="Z694" i="29184" s="1"/>
  <c r="Z703" i="29184" s="1"/>
  <c r="V711" i="29184" s="1"/>
  <c r="Z719" i="29184" s="1"/>
  <c r="V727" i="29184" s="1"/>
  <c r="Z735" i="29184" s="1"/>
  <c r="V743" i="29184" s="1"/>
  <c r="V751" i="29184" s="1"/>
  <c r="Z761" i="29184" s="1"/>
  <c r="V771" i="29184" s="1"/>
  <c r="Z781" i="29184" s="1"/>
  <c r="AC674" i="29184"/>
  <c r="AE674" i="29184"/>
  <c r="AF674" i="29184"/>
  <c r="AG674" i="29184"/>
  <c r="AH674" i="29184"/>
  <c r="V675" i="29184"/>
  <c r="Z683" i="29184" s="1"/>
  <c r="V691" i="29184" s="1"/>
  <c r="Z699" i="29184" s="1"/>
  <c r="V707" i="29184" s="1"/>
  <c r="V715" i="29184" s="1"/>
  <c r="Z725" i="29184" s="1"/>
  <c r="V735" i="29184" s="1"/>
  <c r="Z745" i="29184" s="1"/>
  <c r="V755" i="29184" s="1"/>
  <c r="Z765" i="29184" s="1"/>
  <c r="V775" i="29184" s="1"/>
  <c r="V784" i="29184" s="1"/>
  <c r="Z675" i="29184"/>
  <c r="V685" i="29184" s="1"/>
  <c r="V694" i="29184" s="1"/>
  <c r="Z702" i="29184" s="1"/>
  <c r="V710" i="29184" s="1"/>
  <c r="Z718" i="29184" s="1"/>
  <c r="V726" i="29184" s="1"/>
  <c r="Z734" i="29184" s="1"/>
  <c r="Z742" i="29184" s="1"/>
  <c r="V752" i="29184" s="1"/>
  <c r="Z762" i="29184" s="1"/>
  <c r="V772" i="29184" s="1"/>
  <c r="Z782" i="29184" s="1"/>
  <c r="AC675" i="29184"/>
  <c r="AE675" i="29184"/>
  <c r="AF675" i="29184"/>
  <c r="AG675" i="29184"/>
  <c r="AH675" i="29184"/>
  <c r="V676" i="29184"/>
  <c r="Z684" i="29184" s="1"/>
  <c r="V692" i="29184" s="1"/>
  <c r="Z700" i="29184" s="1"/>
  <c r="V708" i="29184" s="1"/>
  <c r="Z716" i="29184" s="1"/>
  <c r="Z724" i="29184" s="1"/>
  <c r="V734" i="29184" s="1"/>
  <c r="Z744" i="29184" s="1"/>
  <c r="V754" i="29184" s="1"/>
  <c r="Z764" i="29184" s="1"/>
  <c r="V774" i="29184" s="1"/>
  <c r="Z784" i="29184" s="1"/>
  <c r="Z676" i="29184"/>
  <c r="Z685" i="29184" s="1"/>
  <c r="V693" i="29184" s="1"/>
  <c r="Z701" i="29184" s="1"/>
  <c r="V709" i="29184" s="1"/>
  <c r="Z717" i="29184" s="1"/>
  <c r="V725" i="29184" s="1"/>
  <c r="V733" i="29184" s="1"/>
  <c r="Z743" i="29184" s="1"/>
  <c r="V753" i="29184" s="1"/>
  <c r="Z763" i="29184" s="1"/>
  <c r="V773" i="29184" s="1"/>
  <c r="Z783" i="29184" s="1"/>
  <c r="AC676" i="29184"/>
  <c r="AE676" i="29184"/>
  <c r="AF676" i="29184"/>
  <c r="AG676" i="29184"/>
  <c r="AH676" i="29184"/>
  <c r="S677" i="29184"/>
  <c r="S686" i="29184" s="1"/>
  <c r="S695" i="29184" s="1"/>
  <c r="S704" i="29184" s="1"/>
  <c r="S713" i="29184" s="1"/>
  <c r="S722" i="29184" s="1"/>
  <c r="S731" i="29184" s="1"/>
  <c r="S740" i="29184" s="1"/>
  <c r="S749" i="29184" s="1"/>
  <c r="S758" i="29184" s="1"/>
  <c r="S767" i="29184" s="1"/>
  <c r="S776" i="29184" s="1"/>
  <c r="AC679" i="29184"/>
  <c r="AE679" i="29184"/>
  <c r="AF679" i="29184"/>
  <c r="AG679" i="29184"/>
  <c r="AH679" i="29184"/>
  <c r="AC680" i="29184"/>
  <c r="AE680" i="29184"/>
  <c r="AF680" i="29184"/>
  <c r="AG680" i="29184"/>
  <c r="AH680" i="29184"/>
  <c r="AC681" i="29184"/>
  <c r="AE681" i="29184"/>
  <c r="AF681" i="29184"/>
  <c r="AG681" i="29184"/>
  <c r="AH681" i="29184"/>
  <c r="AC682" i="29184"/>
  <c r="AE682" i="29184"/>
  <c r="AF682" i="29184"/>
  <c r="AG682" i="29184"/>
  <c r="AH682" i="29184"/>
  <c r="AC683" i="29184"/>
  <c r="AE683" i="29184"/>
  <c r="AF683" i="29184"/>
  <c r="AG683" i="29184"/>
  <c r="AH683" i="29184"/>
  <c r="AC684" i="29184"/>
  <c r="AE684" i="29184"/>
  <c r="AF684" i="29184"/>
  <c r="AG684" i="29184"/>
  <c r="AH684" i="29184"/>
  <c r="AC685" i="29184"/>
  <c r="AE685" i="29184"/>
  <c r="AF685" i="29184"/>
  <c r="AG685" i="29184"/>
  <c r="AH685" i="29184"/>
  <c r="AC688" i="29184"/>
  <c r="AE688" i="29184"/>
  <c r="AF688" i="29184"/>
  <c r="AG688" i="29184"/>
  <c r="AH688" i="29184"/>
  <c r="AC689" i="29184"/>
  <c r="AE689" i="29184"/>
  <c r="AF689" i="29184"/>
  <c r="AG689" i="29184"/>
  <c r="AH689" i="29184"/>
  <c r="AC690" i="29184"/>
  <c r="AE690" i="29184"/>
  <c r="AF690" i="29184"/>
  <c r="AG690" i="29184"/>
  <c r="AH690" i="29184"/>
  <c r="AC691" i="29184"/>
  <c r="AE691" i="29184"/>
  <c r="AF691" i="29184"/>
  <c r="AG691" i="29184"/>
  <c r="AH691" i="29184"/>
  <c r="AC692" i="29184"/>
  <c r="AE692" i="29184"/>
  <c r="AF692" i="29184"/>
  <c r="AG692" i="29184"/>
  <c r="AH692" i="29184"/>
  <c r="AC693" i="29184"/>
  <c r="AE693" i="29184"/>
  <c r="AF693" i="29184"/>
  <c r="AG693" i="29184"/>
  <c r="AH693" i="29184"/>
  <c r="AC694" i="29184"/>
  <c r="AE694" i="29184"/>
  <c r="AF694" i="29184"/>
  <c r="AG694" i="29184"/>
  <c r="AH694" i="29184"/>
  <c r="AC697" i="29184"/>
  <c r="AE697" i="29184"/>
  <c r="AF697" i="29184"/>
  <c r="AG697" i="29184"/>
  <c r="AH697" i="29184"/>
  <c r="AC698" i="29184"/>
  <c r="AE698" i="29184"/>
  <c r="AF698" i="29184"/>
  <c r="AG698" i="29184"/>
  <c r="AH698" i="29184"/>
  <c r="AC699" i="29184"/>
  <c r="AE699" i="29184"/>
  <c r="AF699" i="29184"/>
  <c r="AG699" i="29184"/>
  <c r="AH699" i="29184"/>
  <c r="AC700" i="29184"/>
  <c r="AE700" i="29184"/>
  <c r="AF700" i="29184"/>
  <c r="AG700" i="29184"/>
  <c r="AH700" i="29184"/>
  <c r="AC701" i="29184"/>
  <c r="AE701" i="29184"/>
  <c r="AF701" i="29184"/>
  <c r="AG701" i="29184"/>
  <c r="AH701" i="29184"/>
  <c r="AC702" i="29184"/>
  <c r="AE702" i="29184"/>
  <c r="AF702" i="29184"/>
  <c r="AG702" i="29184"/>
  <c r="AH702" i="29184"/>
  <c r="AC703" i="29184"/>
  <c r="AE703" i="29184"/>
  <c r="AF703" i="29184"/>
  <c r="AG703" i="29184"/>
  <c r="AH703" i="29184"/>
  <c r="AC706" i="29184"/>
  <c r="AE706" i="29184"/>
  <c r="AF706" i="29184"/>
  <c r="AG706" i="29184"/>
  <c r="AH706" i="29184"/>
  <c r="AC707" i="29184"/>
  <c r="AE707" i="29184"/>
  <c r="AF707" i="29184"/>
  <c r="AG707" i="29184"/>
  <c r="AH707" i="29184"/>
  <c r="AC708" i="29184"/>
  <c r="AE708" i="29184"/>
  <c r="AF708" i="29184"/>
  <c r="AG708" i="29184"/>
  <c r="AH708" i="29184"/>
  <c r="AC709" i="29184"/>
  <c r="AE709" i="29184"/>
  <c r="AF709" i="29184"/>
  <c r="AG709" i="29184"/>
  <c r="AH709" i="29184"/>
  <c r="AC710" i="29184"/>
  <c r="AE710" i="29184"/>
  <c r="AF710" i="29184"/>
  <c r="AG710" i="29184"/>
  <c r="AH710" i="29184"/>
  <c r="AC711" i="29184"/>
  <c r="AE711" i="29184"/>
  <c r="AF711" i="29184"/>
  <c r="AG711" i="29184"/>
  <c r="AH711" i="29184"/>
  <c r="AC712" i="29184"/>
  <c r="AE712" i="29184"/>
  <c r="AF712" i="29184"/>
  <c r="AG712" i="29184"/>
  <c r="AH712" i="29184"/>
  <c r="AC715" i="29184"/>
  <c r="AE715" i="29184"/>
  <c r="AF715" i="29184"/>
  <c r="AG715" i="29184"/>
  <c r="AH715" i="29184"/>
  <c r="AC716" i="29184"/>
  <c r="AE716" i="29184"/>
  <c r="AF716" i="29184"/>
  <c r="AG716" i="29184"/>
  <c r="AH716" i="29184"/>
  <c r="AC717" i="29184"/>
  <c r="AE717" i="29184"/>
  <c r="AF717" i="29184"/>
  <c r="AG717" i="29184"/>
  <c r="AH717" i="29184"/>
  <c r="AC718" i="29184"/>
  <c r="AE718" i="29184"/>
  <c r="AF718" i="29184"/>
  <c r="AG718" i="29184"/>
  <c r="AH718" i="29184"/>
  <c r="AC719" i="29184"/>
  <c r="AE719" i="29184"/>
  <c r="AF719" i="29184"/>
  <c r="AG719" i="29184"/>
  <c r="AH719" i="29184"/>
  <c r="AC720" i="29184"/>
  <c r="AE720" i="29184"/>
  <c r="AF720" i="29184"/>
  <c r="AG720" i="29184"/>
  <c r="AH720" i="29184"/>
  <c r="AC721" i="29184"/>
  <c r="AE721" i="29184"/>
  <c r="AF721" i="29184"/>
  <c r="AG721" i="29184"/>
  <c r="AH721" i="29184"/>
  <c r="AC724" i="29184"/>
  <c r="AE724" i="29184"/>
  <c r="AF724" i="29184"/>
  <c r="AG724" i="29184"/>
  <c r="AH724" i="29184"/>
  <c r="AC725" i="29184"/>
  <c r="AE725" i="29184"/>
  <c r="AF725" i="29184"/>
  <c r="AG725" i="29184"/>
  <c r="AH725" i="29184"/>
  <c r="AC726" i="29184"/>
  <c r="AE726" i="29184"/>
  <c r="AF726" i="29184"/>
  <c r="AG726" i="29184"/>
  <c r="AH726" i="29184"/>
  <c r="AC727" i="29184"/>
  <c r="AE727" i="29184"/>
  <c r="AF727" i="29184"/>
  <c r="AG727" i="29184"/>
  <c r="AH727" i="29184"/>
  <c r="AC728" i="29184"/>
  <c r="AE728" i="29184"/>
  <c r="AF728" i="29184"/>
  <c r="AG728" i="29184"/>
  <c r="AH728" i="29184"/>
  <c r="AC729" i="29184"/>
  <c r="AE729" i="29184"/>
  <c r="AF729" i="29184"/>
  <c r="AG729" i="29184"/>
  <c r="AH729" i="29184"/>
  <c r="AC730" i="29184"/>
  <c r="AE730" i="29184"/>
  <c r="AF730" i="29184"/>
  <c r="AG730" i="29184"/>
  <c r="AH730" i="29184"/>
  <c r="AC733" i="29184"/>
  <c r="AE733" i="29184"/>
  <c r="AF733" i="29184"/>
  <c r="AG733" i="29184"/>
  <c r="AH733" i="29184"/>
  <c r="AC734" i="29184"/>
  <c r="AE734" i="29184"/>
  <c r="AF734" i="29184"/>
  <c r="AG734" i="29184"/>
  <c r="AH734" i="29184"/>
  <c r="AC735" i="29184"/>
  <c r="AE735" i="29184"/>
  <c r="AF735" i="29184"/>
  <c r="AG735" i="29184"/>
  <c r="AH735" i="29184"/>
  <c r="AC736" i="29184"/>
  <c r="AE736" i="29184"/>
  <c r="AF736" i="29184"/>
  <c r="AG736" i="29184"/>
  <c r="AH736" i="29184"/>
  <c r="AC737" i="29184"/>
  <c r="AE737" i="29184"/>
  <c r="AF737" i="29184"/>
  <c r="AG737" i="29184"/>
  <c r="AH737" i="29184"/>
  <c r="AC738" i="29184"/>
  <c r="AE738" i="29184"/>
  <c r="AF738" i="29184"/>
  <c r="AG738" i="29184"/>
  <c r="AH738" i="29184"/>
  <c r="AC739" i="29184"/>
  <c r="AE739" i="29184"/>
  <c r="AF739" i="29184"/>
  <c r="AG739" i="29184"/>
  <c r="AH739" i="29184"/>
  <c r="AC742" i="29184"/>
  <c r="AE742" i="29184"/>
  <c r="AF742" i="29184"/>
  <c r="AG742" i="29184"/>
  <c r="AH742" i="29184"/>
  <c r="AC743" i="29184"/>
  <c r="AE743" i="29184"/>
  <c r="AF743" i="29184"/>
  <c r="AG743" i="29184"/>
  <c r="AH743" i="29184"/>
  <c r="AC744" i="29184"/>
  <c r="AE744" i="29184"/>
  <c r="AF744" i="29184"/>
  <c r="AG744" i="29184"/>
  <c r="AH744" i="29184"/>
  <c r="AC745" i="29184"/>
  <c r="AE745" i="29184"/>
  <c r="AF745" i="29184"/>
  <c r="AG745" i="29184"/>
  <c r="AH745" i="29184"/>
  <c r="AC746" i="29184"/>
  <c r="AE746" i="29184"/>
  <c r="AF746" i="29184"/>
  <c r="AG746" i="29184"/>
  <c r="AH746" i="29184"/>
  <c r="AC747" i="29184"/>
  <c r="AE747" i="29184"/>
  <c r="AF747" i="29184"/>
  <c r="AG747" i="29184"/>
  <c r="AH747" i="29184"/>
  <c r="AC748" i="29184"/>
  <c r="AE748" i="29184"/>
  <c r="AF748" i="29184"/>
  <c r="AG748" i="29184"/>
  <c r="AH748" i="29184"/>
  <c r="AC751" i="29184"/>
  <c r="AE751" i="29184"/>
  <c r="AF751" i="29184"/>
  <c r="AG751" i="29184"/>
  <c r="AH751" i="29184"/>
  <c r="AC752" i="29184"/>
  <c r="AE752" i="29184"/>
  <c r="AF752" i="29184"/>
  <c r="AG752" i="29184"/>
  <c r="AH752" i="29184"/>
  <c r="AC753" i="29184"/>
  <c r="AE753" i="29184"/>
  <c r="AF753" i="29184"/>
  <c r="AG753" i="29184"/>
  <c r="AH753" i="29184"/>
  <c r="AC754" i="29184"/>
  <c r="AE754" i="29184"/>
  <c r="AF754" i="29184"/>
  <c r="AG754" i="29184"/>
  <c r="AH754" i="29184"/>
  <c r="AC755" i="29184"/>
  <c r="AE755" i="29184"/>
  <c r="AF755" i="29184"/>
  <c r="AG755" i="29184"/>
  <c r="AH755" i="29184"/>
  <c r="AC756" i="29184"/>
  <c r="AE756" i="29184"/>
  <c r="AF756" i="29184"/>
  <c r="AG756" i="29184"/>
  <c r="AH756" i="29184"/>
  <c r="AC757" i="29184"/>
  <c r="AE757" i="29184"/>
  <c r="AF757" i="29184"/>
  <c r="AG757" i="29184"/>
  <c r="AH757" i="29184"/>
  <c r="AC760" i="29184"/>
  <c r="AE760" i="29184"/>
  <c r="AF760" i="29184"/>
  <c r="AG760" i="29184"/>
  <c r="AH760" i="29184"/>
  <c r="AC761" i="29184"/>
  <c r="AE761" i="29184"/>
  <c r="AF761" i="29184"/>
  <c r="AG761" i="29184"/>
  <c r="AH761" i="29184"/>
  <c r="AC762" i="29184"/>
  <c r="AE762" i="29184"/>
  <c r="AF762" i="29184"/>
  <c r="AG762" i="29184"/>
  <c r="AH762" i="29184"/>
  <c r="AC763" i="29184"/>
  <c r="AE763" i="29184"/>
  <c r="AF763" i="29184"/>
  <c r="AG763" i="29184"/>
  <c r="AH763" i="29184"/>
  <c r="AC764" i="29184"/>
  <c r="AE764" i="29184"/>
  <c r="AF764" i="29184"/>
  <c r="AG764" i="29184"/>
  <c r="AH764" i="29184"/>
  <c r="AC765" i="29184"/>
  <c r="AE765" i="29184"/>
  <c r="AF765" i="29184"/>
  <c r="AG765" i="29184"/>
  <c r="AH765" i="29184"/>
  <c r="AC766" i="29184"/>
  <c r="AE766" i="29184"/>
  <c r="AF766" i="29184"/>
  <c r="AG766" i="29184"/>
  <c r="AH766" i="29184"/>
  <c r="AC769" i="29184"/>
  <c r="AE769" i="29184"/>
  <c r="AF769" i="29184"/>
  <c r="AG769" i="29184"/>
  <c r="AH769" i="29184"/>
  <c r="AC770" i="29184"/>
  <c r="AE770" i="29184"/>
  <c r="AF770" i="29184"/>
  <c r="AG770" i="29184"/>
  <c r="AH770" i="29184"/>
  <c r="AC771" i="29184"/>
  <c r="AE771" i="29184"/>
  <c r="AF771" i="29184"/>
  <c r="AG771" i="29184"/>
  <c r="AH771" i="29184"/>
  <c r="AC772" i="29184"/>
  <c r="AE772" i="29184"/>
  <c r="AF772" i="29184"/>
  <c r="AG772" i="29184"/>
  <c r="AH772" i="29184"/>
  <c r="AC773" i="29184"/>
  <c r="AE773" i="29184"/>
  <c r="AF773" i="29184"/>
  <c r="AG773" i="29184"/>
  <c r="AH773" i="29184"/>
  <c r="AC774" i="29184"/>
  <c r="AE774" i="29184"/>
  <c r="AF774" i="29184"/>
  <c r="AG774" i="29184"/>
  <c r="AH774" i="29184"/>
  <c r="AC775" i="29184"/>
  <c r="AE775" i="29184"/>
  <c r="AF775" i="29184"/>
  <c r="AG775" i="29184"/>
  <c r="AH775" i="29184"/>
  <c r="AC778" i="29184"/>
  <c r="AE778" i="29184"/>
  <c r="AF778" i="29184"/>
  <c r="AG778" i="29184"/>
  <c r="AH778" i="29184"/>
  <c r="AC779" i="29184"/>
  <c r="AE779" i="29184"/>
  <c r="AF779" i="29184"/>
  <c r="AG779" i="29184"/>
  <c r="AH779" i="29184"/>
  <c r="AC780" i="29184"/>
  <c r="AE780" i="29184"/>
  <c r="AF780" i="29184"/>
  <c r="AG780" i="29184"/>
  <c r="AH780" i="29184"/>
  <c r="AC781" i="29184"/>
  <c r="AE781" i="29184"/>
  <c r="AF781" i="29184"/>
  <c r="AG781" i="29184"/>
  <c r="AH781" i="29184"/>
  <c r="AC782" i="29184"/>
  <c r="AE782" i="29184"/>
  <c r="AF782" i="29184"/>
  <c r="AG782" i="29184"/>
  <c r="AH782" i="29184"/>
  <c r="AC783" i="29184"/>
  <c r="AE783" i="29184"/>
  <c r="AF783" i="29184"/>
  <c r="AG783" i="29184"/>
  <c r="AH783" i="29184"/>
  <c r="AC784" i="29184"/>
  <c r="AE784" i="29184"/>
  <c r="AF784" i="29184"/>
  <c r="AG784" i="29184"/>
  <c r="AH784" i="29184"/>
  <c r="AK788" i="29184"/>
  <c r="O801" i="29184" s="1"/>
  <c r="V806" i="29184"/>
  <c r="Z815" i="29184" s="1"/>
  <c r="V824" i="29184" s="1"/>
  <c r="Z833" i="29184" s="1"/>
  <c r="V842" i="29184" s="1"/>
  <c r="Z851" i="29184" s="1"/>
  <c r="V860" i="29184" s="1"/>
  <c r="Z869" i="29184" s="1"/>
  <c r="Z887" i="29184" s="1"/>
  <c r="V896" i="29184" s="1"/>
  <c r="Z905" i="29184" s="1"/>
  <c r="V914" i="29184" s="1"/>
  <c r="Z923" i="29184" s="1"/>
  <c r="V932" i="29184" s="1"/>
  <c r="Z806" i="29184"/>
  <c r="V816" i="29184" s="1"/>
  <c r="Z826" i="29184" s="1"/>
  <c r="V836" i="29184" s="1"/>
  <c r="V855" i="29184" s="1"/>
  <c r="Z865" i="29184" s="1"/>
  <c r="V875" i="29184" s="1"/>
  <c r="V884" i="29184" s="1"/>
  <c r="Z892" i="29184" s="1"/>
  <c r="V900" i="29184" s="1"/>
  <c r="Z908" i="29184" s="1"/>
  <c r="V917" i="29184" s="1"/>
  <c r="Z925" i="29184" s="1"/>
  <c r="V933" i="29184" s="1"/>
  <c r="AC806" i="29184"/>
  <c r="AE806" i="29184"/>
  <c r="AF806" i="29184"/>
  <c r="AG806" i="29184"/>
  <c r="AH806" i="29184"/>
  <c r="V807" i="29184"/>
  <c r="V815" i="29184" s="1"/>
  <c r="Z825" i="29184" s="1"/>
  <c r="V835" i="29184" s="1"/>
  <c r="Z845" i="29184" s="1"/>
  <c r="V854" i="29184" s="1"/>
  <c r="Z864" i="29184" s="1"/>
  <c r="V874" i="29184" s="1"/>
  <c r="Z884" i="29184" s="1"/>
  <c r="Z893" i="29184" s="1"/>
  <c r="V901" i="29184" s="1"/>
  <c r="Z909" i="29184" s="1"/>
  <c r="Z926" i="29184" s="1"/>
  <c r="V934" i="29184" s="1"/>
  <c r="Z807" i="29184"/>
  <c r="V817" i="29184" s="1"/>
  <c r="Z827" i="29184" s="1"/>
  <c r="V837" i="29184" s="1"/>
  <c r="Z846" i="29184" s="1"/>
  <c r="V856" i="29184" s="1"/>
  <c r="Z866" i="29184" s="1"/>
  <c r="Z875" i="29184" s="1"/>
  <c r="V883" i="29184" s="1"/>
  <c r="Z891" i="29184" s="1"/>
  <c r="V899" i="29184" s="1"/>
  <c r="V916" i="29184" s="1"/>
  <c r="Z924" i="29184" s="1"/>
  <c r="Z932" i="29184" s="1"/>
  <c r="AC807" i="29184"/>
  <c r="AE807" i="29184"/>
  <c r="AF807" i="29184"/>
  <c r="AG807" i="29184"/>
  <c r="AH807" i="29184"/>
  <c r="V808" i="29184"/>
  <c r="Z816" i="29184" s="1"/>
  <c r="Z824" i="29184" s="1"/>
  <c r="V834" i="29184" s="1"/>
  <c r="Z844" i="29184" s="1"/>
  <c r="Z863" i="29184" s="1"/>
  <c r="V873" i="29184" s="1"/>
  <c r="Z883" i="29184" s="1"/>
  <c r="V893" i="29184" s="1"/>
  <c r="V902" i="29184" s="1"/>
  <c r="Z910" i="29184" s="1"/>
  <c r="V918" i="29184" s="1"/>
  <c r="Z927" i="29184" s="1"/>
  <c r="V935" i="29184" s="1"/>
  <c r="Z808" i="29184"/>
  <c r="V818" i="29184" s="1"/>
  <c r="Z828" i="29184" s="1"/>
  <c r="Z847" i="29184" s="1"/>
  <c r="V857" i="29184" s="1"/>
  <c r="V866" i="29184" s="1"/>
  <c r="Z874" i="29184" s="1"/>
  <c r="V882" i="29184" s="1"/>
  <c r="Z890" i="29184" s="1"/>
  <c r="V898" i="29184" s="1"/>
  <c r="Z907" i="29184" s="1"/>
  <c r="V915" i="29184" s="1"/>
  <c r="V923" i="29184" s="1"/>
  <c r="Z933" i="29184" s="1"/>
  <c r="AC808" i="29184"/>
  <c r="AE808" i="29184"/>
  <c r="AF808" i="29184"/>
  <c r="AG808" i="29184"/>
  <c r="AH808" i="29184"/>
  <c r="V809" i="29184"/>
  <c r="Z817" i="29184" s="1"/>
  <c r="V825" i="29184" s="1"/>
  <c r="V833" i="29184" s="1"/>
  <c r="Z843" i="29184" s="1"/>
  <c r="V853" i="29184" s="1"/>
  <c r="Z862" i="29184" s="1"/>
  <c r="V872" i="29184" s="1"/>
  <c r="Z882" i="29184" s="1"/>
  <c r="V892" i="29184" s="1"/>
  <c r="Z902" i="29184" s="1"/>
  <c r="Z911" i="29184" s="1"/>
  <c r="V919" i="29184" s="1"/>
  <c r="V936" i="29184" s="1"/>
  <c r="Z809" i="29184"/>
  <c r="V819" i="29184" s="1"/>
  <c r="Z829" i="29184" s="1"/>
  <c r="V838" i="29184" s="1"/>
  <c r="Z848" i="29184" s="1"/>
  <c r="Z857" i="29184" s="1"/>
  <c r="V865" i="29184" s="1"/>
  <c r="Z873" i="29184" s="1"/>
  <c r="V881" i="29184" s="1"/>
  <c r="Z889" i="29184" s="1"/>
  <c r="Z906" i="29184" s="1"/>
  <c r="Z914" i="29184" s="1"/>
  <c r="V924" i="29184" s="1"/>
  <c r="Z934" i="29184" s="1"/>
  <c r="AC809" i="29184"/>
  <c r="AE809" i="29184"/>
  <c r="AF809" i="29184"/>
  <c r="AG809" i="29184"/>
  <c r="AH809" i="29184"/>
  <c r="V810" i="29184"/>
  <c r="Z818" i="29184" s="1"/>
  <c r="V826" i="29184" s="1"/>
  <c r="Z834" i="29184" s="1"/>
  <c r="Z842" i="29184" s="1"/>
  <c r="V852" i="29184" s="1"/>
  <c r="V871" i="29184" s="1"/>
  <c r="Z881" i="29184" s="1"/>
  <c r="V891" i="29184" s="1"/>
  <c r="Z901" i="29184" s="1"/>
  <c r="V911" i="29184" s="1"/>
  <c r="V920" i="29184" s="1"/>
  <c r="Z928" i="29184" s="1"/>
  <c r="V937" i="29184" s="1"/>
  <c r="Z810" i="29184"/>
  <c r="V820" i="29184" s="1"/>
  <c r="V839" i="29184" s="1"/>
  <c r="V848" i="29184" s="1"/>
  <c r="Z856" i="29184" s="1"/>
  <c r="V864" i="29184" s="1"/>
  <c r="Z872" i="29184" s="1"/>
  <c r="V880" i="29184" s="1"/>
  <c r="Z888" i="29184" s="1"/>
  <c r="V897" i="29184" s="1"/>
  <c r="V905" i="29184" s="1"/>
  <c r="Z915" i="29184" s="1"/>
  <c r="V925" i="29184" s="1"/>
  <c r="Z935" i="29184" s="1"/>
  <c r="AC810" i="29184"/>
  <c r="AE810" i="29184"/>
  <c r="AF810" i="29184"/>
  <c r="AG810" i="29184"/>
  <c r="AH810" i="29184"/>
  <c r="V811" i="29184"/>
  <c r="Z819" i="29184" s="1"/>
  <c r="V827" i="29184" s="1"/>
  <c r="Z835" i="29184" s="1"/>
  <c r="V843" i="29184" s="1"/>
  <c r="V851" i="29184" s="1"/>
  <c r="Z861" i="29184" s="1"/>
  <c r="V870" i="29184" s="1"/>
  <c r="Z880" i="29184" s="1"/>
  <c r="V890" i="29184" s="1"/>
  <c r="Z900" i="29184" s="1"/>
  <c r="V910" i="29184" s="1"/>
  <c r="Z920" i="29184" s="1"/>
  <c r="Z929" i="29184" s="1"/>
  <c r="Z811" i="29184"/>
  <c r="V821" i="29184" s="1"/>
  <c r="Z830" i="29184" s="1"/>
  <c r="Z839" i="29184" s="1"/>
  <c r="V847" i="29184" s="1"/>
  <c r="Z855" i="29184" s="1"/>
  <c r="V863" i="29184" s="1"/>
  <c r="Z871" i="29184" s="1"/>
  <c r="V879" i="29184" s="1"/>
  <c r="Z896" i="29184" s="1"/>
  <c r="V906" i="29184" s="1"/>
  <c r="Z916" i="29184" s="1"/>
  <c r="V926" i="29184" s="1"/>
  <c r="Z936" i="29184" s="1"/>
  <c r="AC811" i="29184"/>
  <c r="AE811" i="29184"/>
  <c r="AF811" i="29184"/>
  <c r="AG811" i="29184"/>
  <c r="AH811" i="29184"/>
  <c r="V812" i="29184"/>
  <c r="Z820" i="29184" s="1"/>
  <c r="V828" i="29184" s="1"/>
  <c r="Z836" i="29184" s="1"/>
  <c r="V844" i="29184" s="1"/>
  <c r="Z852" i="29184" s="1"/>
  <c r="Z860" i="29184" s="1"/>
  <c r="Z879" i="29184" s="1"/>
  <c r="V889" i="29184" s="1"/>
  <c r="Z899" i="29184" s="1"/>
  <c r="V909" i="29184" s="1"/>
  <c r="Z919" i="29184" s="1"/>
  <c r="V929" i="29184" s="1"/>
  <c r="V938" i="29184" s="1"/>
  <c r="Z812" i="29184"/>
  <c r="V830" i="29184" s="1"/>
  <c r="Z838" i="29184" s="1"/>
  <c r="V846" i="29184" s="1"/>
  <c r="Z854" i="29184" s="1"/>
  <c r="V862" i="29184" s="1"/>
  <c r="Z870" i="29184" s="1"/>
  <c r="V878" i="29184" s="1"/>
  <c r="V887" i="29184" s="1"/>
  <c r="Z897" i="29184" s="1"/>
  <c r="V907" i="29184" s="1"/>
  <c r="Z917" i="29184" s="1"/>
  <c r="V927" i="29184" s="1"/>
  <c r="Z937" i="29184" s="1"/>
  <c r="AC812" i="29184"/>
  <c r="AE812" i="29184"/>
  <c r="AF812" i="29184"/>
  <c r="AG812" i="29184"/>
  <c r="AH812" i="29184"/>
  <c r="S813" i="29184"/>
  <c r="S822" i="29184" s="1"/>
  <c r="S831" i="29184" s="1"/>
  <c r="S840" i="29184" s="1"/>
  <c r="S849" i="29184" s="1"/>
  <c r="S858" i="29184" s="1"/>
  <c r="S867" i="29184" s="1"/>
  <c r="S876" i="29184" s="1"/>
  <c r="S885" i="29184" s="1"/>
  <c r="S894" i="29184" s="1"/>
  <c r="S903" i="29184" s="1"/>
  <c r="S912" i="29184" s="1"/>
  <c r="S921" i="29184" s="1"/>
  <c r="S930" i="29184" s="1"/>
  <c r="AC815" i="29184"/>
  <c r="AE815" i="29184"/>
  <c r="AF815" i="29184"/>
  <c r="AG815" i="29184"/>
  <c r="AH815" i="29184"/>
  <c r="AC816" i="29184"/>
  <c r="AE816" i="29184"/>
  <c r="AF816" i="29184"/>
  <c r="AG816" i="29184"/>
  <c r="AH816" i="29184"/>
  <c r="AC817" i="29184"/>
  <c r="AE817" i="29184"/>
  <c r="AF817" i="29184"/>
  <c r="AG817" i="29184"/>
  <c r="AH817" i="29184"/>
  <c r="AC818" i="29184"/>
  <c r="AE818" i="29184"/>
  <c r="AF818" i="29184"/>
  <c r="AG818" i="29184"/>
  <c r="AH818" i="29184"/>
  <c r="AC819" i="29184"/>
  <c r="AE819" i="29184"/>
  <c r="AF819" i="29184"/>
  <c r="AG819" i="29184"/>
  <c r="AH819" i="29184"/>
  <c r="AC820" i="29184"/>
  <c r="AE820" i="29184"/>
  <c r="AF820" i="29184"/>
  <c r="AG820" i="29184"/>
  <c r="AH820" i="29184"/>
  <c r="Z821" i="29184"/>
  <c r="V829" i="29184" s="1"/>
  <c r="Z837" i="29184" s="1"/>
  <c r="V845" i="29184" s="1"/>
  <c r="Z853" i="29184" s="1"/>
  <c r="V861" i="29184" s="1"/>
  <c r="V869" i="29184" s="1"/>
  <c r="Z878" i="29184" s="1"/>
  <c r="V888" i="29184" s="1"/>
  <c r="Z898" i="29184" s="1"/>
  <c r="V908" i="29184" s="1"/>
  <c r="Z918" i="29184" s="1"/>
  <c r="V928" i="29184" s="1"/>
  <c r="Z938" i="29184" s="1"/>
  <c r="AC821" i="29184"/>
  <c r="AE821" i="29184"/>
  <c r="AF821" i="29184"/>
  <c r="AG821" i="29184"/>
  <c r="AH821" i="29184"/>
  <c r="AC824" i="29184"/>
  <c r="AE824" i="29184"/>
  <c r="AF824" i="29184"/>
  <c r="AG824" i="29184"/>
  <c r="AH824" i="29184"/>
  <c r="AC825" i="29184"/>
  <c r="AE825" i="29184"/>
  <c r="AF825" i="29184"/>
  <c r="AG825" i="29184"/>
  <c r="AH825" i="29184"/>
  <c r="AC826" i="29184"/>
  <c r="AE826" i="29184"/>
  <c r="AF826" i="29184"/>
  <c r="AG826" i="29184"/>
  <c r="AH826" i="29184"/>
  <c r="AC827" i="29184"/>
  <c r="AE827" i="29184"/>
  <c r="AF827" i="29184"/>
  <c r="AG827" i="29184"/>
  <c r="AH827" i="29184"/>
  <c r="AC828" i="29184"/>
  <c r="AE828" i="29184"/>
  <c r="AF828" i="29184"/>
  <c r="AG828" i="29184"/>
  <c r="AH828" i="29184"/>
  <c r="AC829" i="29184"/>
  <c r="AE829" i="29184"/>
  <c r="AF829" i="29184"/>
  <c r="AG829" i="29184"/>
  <c r="AH829" i="29184"/>
  <c r="AC830" i="29184"/>
  <c r="AE830" i="29184"/>
  <c r="AF830" i="29184"/>
  <c r="AG830" i="29184"/>
  <c r="AH830" i="29184"/>
  <c r="AC833" i="29184"/>
  <c r="AE833" i="29184"/>
  <c r="AF833" i="29184"/>
  <c r="AG833" i="29184"/>
  <c r="AH833" i="29184"/>
  <c r="AC834" i="29184"/>
  <c r="AE834" i="29184"/>
  <c r="AF834" i="29184"/>
  <c r="AG834" i="29184"/>
  <c r="AH834" i="29184"/>
  <c r="AC835" i="29184"/>
  <c r="AE835" i="29184"/>
  <c r="AF835" i="29184"/>
  <c r="AG835" i="29184"/>
  <c r="AH835" i="29184"/>
  <c r="AC836" i="29184"/>
  <c r="AE836" i="29184"/>
  <c r="AF836" i="29184"/>
  <c r="AG836" i="29184"/>
  <c r="AH836" i="29184"/>
  <c r="AC837" i="29184"/>
  <c r="AE837" i="29184"/>
  <c r="AF837" i="29184"/>
  <c r="AG837" i="29184"/>
  <c r="AH837" i="29184"/>
  <c r="AC838" i="29184"/>
  <c r="AE838" i="29184"/>
  <c r="AF838" i="29184"/>
  <c r="AG838" i="29184"/>
  <c r="AH838" i="29184"/>
  <c r="AC839" i="29184"/>
  <c r="AE839" i="29184"/>
  <c r="AF839" i="29184"/>
  <c r="AG839" i="29184"/>
  <c r="AH839" i="29184"/>
  <c r="AC842" i="29184"/>
  <c r="AE842" i="29184"/>
  <c r="AF842" i="29184"/>
  <c r="AG842" i="29184"/>
  <c r="AH842" i="29184"/>
  <c r="AC843" i="29184"/>
  <c r="AE843" i="29184"/>
  <c r="AF843" i="29184"/>
  <c r="AG843" i="29184"/>
  <c r="AH843" i="29184"/>
  <c r="AC844" i="29184"/>
  <c r="AE844" i="29184"/>
  <c r="AF844" i="29184"/>
  <c r="AG844" i="29184"/>
  <c r="AH844" i="29184"/>
  <c r="AC845" i="29184"/>
  <c r="AE845" i="29184"/>
  <c r="AF845" i="29184"/>
  <c r="AG845" i="29184"/>
  <c r="AH845" i="29184"/>
  <c r="AC846" i="29184"/>
  <c r="AE846" i="29184"/>
  <c r="AF846" i="29184"/>
  <c r="AG846" i="29184"/>
  <c r="AH846" i="29184"/>
  <c r="AC847" i="29184"/>
  <c r="AE847" i="29184"/>
  <c r="AF847" i="29184"/>
  <c r="AG847" i="29184"/>
  <c r="AH847" i="29184"/>
  <c r="AC848" i="29184"/>
  <c r="AE848" i="29184"/>
  <c r="AF848" i="29184"/>
  <c r="AG848" i="29184"/>
  <c r="AH848" i="29184"/>
  <c r="AC851" i="29184"/>
  <c r="AE851" i="29184"/>
  <c r="AF851" i="29184"/>
  <c r="AG851" i="29184"/>
  <c r="AH851" i="29184"/>
  <c r="AC852" i="29184"/>
  <c r="AE852" i="29184"/>
  <c r="AF852" i="29184"/>
  <c r="AG852" i="29184"/>
  <c r="AH852" i="29184"/>
  <c r="AC853" i="29184"/>
  <c r="AE853" i="29184"/>
  <c r="AF853" i="29184"/>
  <c r="AG853" i="29184"/>
  <c r="AH853" i="29184"/>
  <c r="AC854" i="29184"/>
  <c r="AE854" i="29184"/>
  <c r="AF854" i="29184"/>
  <c r="AG854" i="29184"/>
  <c r="AH854" i="29184"/>
  <c r="AC855" i="29184"/>
  <c r="AE855" i="29184"/>
  <c r="AF855" i="29184"/>
  <c r="AG855" i="29184"/>
  <c r="AH855" i="29184"/>
  <c r="AC856" i="29184"/>
  <c r="AE856" i="29184"/>
  <c r="AF856" i="29184"/>
  <c r="AG856" i="29184"/>
  <c r="AH856" i="29184"/>
  <c r="AC857" i="29184"/>
  <c r="AE857" i="29184"/>
  <c r="AF857" i="29184"/>
  <c r="AG857" i="29184"/>
  <c r="AH857" i="29184"/>
  <c r="AC860" i="29184"/>
  <c r="AE860" i="29184"/>
  <c r="AF860" i="29184"/>
  <c r="AG860" i="29184"/>
  <c r="AH860" i="29184"/>
  <c r="AC861" i="29184"/>
  <c r="AE861" i="29184"/>
  <c r="AF861" i="29184"/>
  <c r="AG861" i="29184"/>
  <c r="AH861" i="29184"/>
  <c r="AC862" i="29184"/>
  <c r="AE862" i="29184"/>
  <c r="AF862" i="29184"/>
  <c r="AG862" i="29184"/>
  <c r="AH862" i="29184"/>
  <c r="AC863" i="29184"/>
  <c r="AE863" i="29184"/>
  <c r="AF863" i="29184"/>
  <c r="AG863" i="29184"/>
  <c r="AH863" i="29184"/>
  <c r="AC864" i="29184"/>
  <c r="AE864" i="29184"/>
  <c r="AF864" i="29184"/>
  <c r="AG864" i="29184"/>
  <c r="AH864" i="29184"/>
  <c r="AC865" i="29184"/>
  <c r="AE865" i="29184"/>
  <c r="AF865" i="29184"/>
  <c r="AG865" i="29184"/>
  <c r="AH865" i="29184"/>
  <c r="AC866" i="29184"/>
  <c r="AE866" i="29184"/>
  <c r="AF866" i="29184"/>
  <c r="AG866" i="29184"/>
  <c r="AH866" i="29184"/>
  <c r="AC869" i="29184"/>
  <c r="AE869" i="29184"/>
  <c r="AF869" i="29184"/>
  <c r="AG869" i="29184"/>
  <c r="AH869" i="29184"/>
  <c r="AC870" i="29184"/>
  <c r="AE870" i="29184"/>
  <c r="AF870" i="29184"/>
  <c r="AG870" i="29184"/>
  <c r="AH870" i="29184"/>
  <c r="AC871" i="29184"/>
  <c r="AE871" i="29184"/>
  <c r="AF871" i="29184"/>
  <c r="AG871" i="29184"/>
  <c r="AH871" i="29184"/>
  <c r="AC872" i="29184"/>
  <c r="AE872" i="29184"/>
  <c r="AF872" i="29184"/>
  <c r="AG872" i="29184"/>
  <c r="AH872" i="29184"/>
  <c r="AC873" i="29184"/>
  <c r="AE873" i="29184"/>
  <c r="AF873" i="29184"/>
  <c r="AG873" i="29184"/>
  <c r="AH873" i="29184"/>
  <c r="AC874" i="29184"/>
  <c r="AE874" i="29184"/>
  <c r="AF874" i="29184"/>
  <c r="AG874" i="29184"/>
  <c r="AH874" i="29184"/>
  <c r="AC875" i="29184"/>
  <c r="AE875" i="29184"/>
  <c r="AF875" i="29184"/>
  <c r="AG875" i="29184"/>
  <c r="AH875" i="29184"/>
  <c r="AC878" i="29184"/>
  <c r="AE878" i="29184"/>
  <c r="AF878" i="29184"/>
  <c r="AG878" i="29184"/>
  <c r="AH878" i="29184"/>
  <c r="AC879" i="29184"/>
  <c r="AE879" i="29184"/>
  <c r="AF879" i="29184"/>
  <c r="AG879" i="29184"/>
  <c r="AH879" i="29184"/>
  <c r="AC880" i="29184"/>
  <c r="AE880" i="29184"/>
  <c r="AF880" i="29184"/>
  <c r="AG880" i="29184"/>
  <c r="AH880" i="29184"/>
  <c r="AC881" i="29184"/>
  <c r="AE881" i="29184"/>
  <c r="AF881" i="29184"/>
  <c r="AG881" i="29184"/>
  <c r="AH881" i="29184"/>
  <c r="AC882" i="29184"/>
  <c r="AE882" i="29184"/>
  <c r="AF882" i="29184"/>
  <c r="AG882" i="29184"/>
  <c r="AH882" i="29184"/>
  <c r="AC883" i="29184"/>
  <c r="AE883" i="29184"/>
  <c r="AF883" i="29184"/>
  <c r="AG883" i="29184"/>
  <c r="AH883" i="29184"/>
  <c r="AC884" i="29184"/>
  <c r="AE884" i="29184"/>
  <c r="AF884" i="29184"/>
  <c r="AG884" i="29184"/>
  <c r="AH884" i="29184"/>
  <c r="AC887" i="29184"/>
  <c r="AE887" i="29184"/>
  <c r="AF887" i="29184"/>
  <c r="AG887" i="29184"/>
  <c r="AH887" i="29184"/>
  <c r="AC888" i="29184"/>
  <c r="AE888" i="29184"/>
  <c r="AF888" i="29184"/>
  <c r="AG888" i="29184"/>
  <c r="AH888" i="29184"/>
  <c r="AC889" i="29184"/>
  <c r="AE889" i="29184"/>
  <c r="AF889" i="29184"/>
  <c r="AG889" i="29184"/>
  <c r="AH889" i="29184"/>
  <c r="AC890" i="29184"/>
  <c r="AE890" i="29184"/>
  <c r="AF890" i="29184"/>
  <c r="AG890" i="29184"/>
  <c r="AH890" i="29184"/>
  <c r="AC891" i="29184"/>
  <c r="AE891" i="29184"/>
  <c r="AF891" i="29184"/>
  <c r="AG891" i="29184"/>
  <c r="AH891" i="29184"/>
  <c r="AC892" i="29184"/>
  <c r="AE892" i="29184"/>
  <c r="AF892" i="29184"/>
  <c r="AG892" i="29184"/>
  <c r="AH892" i="29184"/>
  <c r="AC893" i="29184"/>
  <c r="AE893" i="29184"/>
  <c r="AF893" i="29184"/>
  <c r="AG893" i="29184"/>
  <c r="AH893" i="29184"/>
  <c r="AC896" i="29184"/>
  <c r="AE896" i="29184"/>
  <c r="AF896" i="29184"/>
  <c r="AG896" i="29184"/>
  <c r="AH896" i="29184"/>
  <c r="AC897" i="29184"/>
  <c r="AE897" i="29184"/>
  <c r="AF897" i="29184"/>
  <c r="AG897" i="29184"/>
  <c r="AH897" i="29184"/>
  <c r="AC898" i="29184"/>
  <c r="AE898" i="29184"/>
  <c r="AF898" i="29184"/>
  <c r="AG898" i="29184"/>
  <c r="AH898" i="29184"/>
  <c r="AC899" i="29184"/>
  <c r="AE899" i="29184"/>
  <c r="AF899" i="29184"/>
  <c r="AG899" i="29184"/>
  <c r="AH899" i="29184"/>
  <c r="AC900" i="29184"/>
  <c r="AE900" i="29184"/>
  <c r="AF900" i="29184"/>
  <c r="AG900" i="29184"/>
  <c r="AH900" i="29184"/>
  <c r="AC901" i="29184"/>
  <c r="AE901" i="29184"/>
  <c r="AF901" i="29184"/>
  <c r="AG901" i="29184"/>
  <c r="AH901" i="29184"/>
  <c r="AC902" i="29184"/>
  <c r="AE902" i="29184"/>
  <c r="AF902" i="29184"/>
  <c r="AG902" i="29184"/>
  <c r="AH902" i="29184"/>
  <c r="AC905" i="29184"/>
  <c r="AE905" i="29184"/>
  <c r="AF905" i="29184"/>
  <c r="AG905" i="29184"/>
  <c r="AH905" i="29184"/>
  <c r="AC906" i="29184"/>
  <c r="AE906" i="29184"/>
  <c r="AF906" i="29184"/>
  <c r="AG906" i="29184"/>
  <c r="AH906" i="29184"/>
  <c r="AC907" i="29184"/>
  <c r="AE907" i="29184"/>
  <c r="AF907" i="29184"/>
  <c r="AG907" i="29184"/>
  <c r="AH907" i="29184"/>
  <c r="AC908" i="29184"/>
  <c r="AE908" i="29184"/>
  <c r="AF908" i="29184"/>
  <c r="AG908" i="29184"/>
  <c r="AH908" i="29184"/>
  <c r="AC909" i="29184"/>
  <c r="AE909" i="29184"/>
  <c r="AF909" i="29184"/>
  <c r="AG909" i="29184"/>
  <c r="AH909" i="29184"/>
  <c r="AC910" i="29184"/>
  <c r="AE910" i="29184"/>
  <c r="AF910" i="29184"/>
  <c r="AG910" i="29184"/>
  <c r="AH910" i="29184"/>
  <c r="AC911" i="29184"/>
  <c r="AE911" i="29184"/>
  <c r="AF911" i="29184"/>
  <c r="AG911" i="29184"/>
  <c r="AH911" i="29184"/>
  <c r="AC914" i="29184"/>
  <c r="AE914" i="29184"/>
  <c r="AF914" i="29184"/>
  <c r="AG914" i="29184"/>
  <c r="AH914" i="29184"/>
  <c r="AC915" i="29184"/>
  <c r="AE915" i="29184"/>
  <c r="AF915" i="29184"/>
  <c r="AG915" i="29184"/>
  <c r="AH915" i="29184"/>
  <c r="AC916" i="29184"/>
  <c r="AE916" i="29184"/>
  <c r="AF916" i="29184"/>
  <c r="AG916" i="29184"/>
  <c r="AH916" i="29184"/>
  <c r="AC917" i="29184"/>
  <c r="AE917" i="29184"/>
  <c r="AF917" i="29184"/>
  <c r="AG917" i="29184"/>
  <c r="AH917" i="29184"/>
  <c r="AC918" i="29184"/>
  <c r="AE918" i="29184"/>
  <c r="AF918" i="29184"/>
  <c r="AG918" i="29184"/>
  <c r="AH918" i="29184"/>
  <c r="AC919" i="29184"/>
  <c r="AE919" i="29184"/>
  <c r="AF919" i="29184"/>
  <c r="AG919" i="29184"/>
  <c r="AH919" i="29184"/>
  <c r="AC920" i="29184"/>
  <c r="AE920" i="29184"/>
  <c r="AF920" i="29184"/>
  <c r="AG920" i="29184"/>
  <c r="AH920" i="29184"/>
  <c r="AC923" i="29184"/>
  <c r="AE923" i="29184"/>
  <c r="AF923" i="29184"/>
  <c r="AG923" i="29184"/>
  <c r="AH923" i="29184"/>
  <c r="AC924" i="29184"/>
  <c r="AE924" i="29184"/>
  <c r="AF924" i="29184"/>
  <c r="AG924" i="29184"/>
  <c r="AH924" i="29184"/>
  <c r="AC925" i="29184"/>
  <c r="AE925" i="29184"/>
  <c r="AF925" i="29184"/>
  <c r="AG925" i="29184"/>
  <c r="AH925" i="29184"/>
  <c r="AC926" i="29184"/>
  <c r="AE926" i="29184"/>
  <c r="AF926" i="29184"/>
  <c r="AG926" i="29184"/>
  <c r="AH926" i="29184"/>
  <c r="AC927" i="29184"/>
  <c r="AE927" i="29184"/>
  <c r="AF927" i="29184"/>
  <c r="AG927" i="29184"/>
  <c r="AH927" i="29184"/>
  <c r="AC928" i="29184"/>
  <c r="AE928" i="29184"/>
  <c r="AF928" i="29184"/>
  <c r="AG928" i="29184"/>
  <c r="AH928" i="29184"/>
  <c r="AC929" i="29184"/>
  <c r="AE929" i="29184"/>
  <c r="AF929" i="29184"/>
  <c r="AG929" i="29184"/>
  <c r="AH929" i="29184"/>
  <c r="AC932" i="29184"/>
  <c r="AE932" i="29184"/>
  <c r="AF932" i="29184"/>
  <c r="AG932" i="29184"/>
  <c r="AH932" i="29184"/>
  <c r="AC933" i="29184"/>
  <c r="AE933" i="29184"/>
  <c r="AF933" i="29184"/>
  <c r="AG933" i="29184"/>
  <c r="AH933" i="29184"/>
  <c r="AC934" i="29184"/>
  <c r="AE934" i="29184"/>
  <c r="AF934" i="29184"/>
  <c r="AG934" i="29184"/>
  <c r="AH934" i="29184"/>
  <c r="AC935" i="29184"/>
  <c r="AE935" i="29184"/>
  <c r="AF935" i="29184"/>
  <c r="AG935" i="29184"/>
  <c r="AH935" i="29184"/>
  <c r="AC936" i="29184"/>
  <c r="AE936" i="29184"/>
  <c r="AF936" i="29184"/>
  <c r="AG936" i="29184"/>
  <c r="AH936" i="29184"/>
  <c r="AC937" i="29184"/>
  <c r="AE937" i="29184"/>
  <c r="AF937" i="29184"/>
  <c r="AG937" i="29184"/>
  <c r="AH937" i="29184"/>
  <c r="AC938" i="29184"/>
  <c r="AE938" i="29184"/>
  <c r="AF938" i="29184"/>
  <c r="AG938" i="29184"/>
  <c r="AH938" i="29184"/>
  <c r="AK942" i="29184"/>
  <c r="P943" i="29184" s="1"/>
  <c r="V961" i="29184"/>
  <c r="Z971" i="29184" s="1"/>
  <c r="V981" i="29184" s="1"/>
  <c r="Z991" i="29184" s="1"/>
  <c r="V1001" i="29184" s="1"/>
  <c r="Z1011" i="29184" s="1"/>
  <c r="V1021" i="29184" s="1"/>
  <c r="Z1031" i="29184" s="1"/>
  <c r="V1041" i="29184" s="1"/>
  <c r="Z1051" i="29184" s="1"/>
  <c r="V1061" i="29184" s="1"/>
  <c r="Z1071" i="29184" s="1"/>
  <c r="V1081" i="29184" s="1"/>
  <c r="Z1091" i="29184" s="1"/>
  <c r="V1101" i="29184" s="1"/>
  <c r="Z961" i="29184"/>
  <c r="V972" i="29184" s="1"/>
  <c r="Z983" i="29184" s="1"/>
  <c r="V994" i="29184" s="1"/>
  <c r="Z1005" i="29184" s="1"/>
  <c r="V1016" i="29184" s="1"/>
  <c r="Z1027" i="29184" s="1"/>
  <c r="V1038" i="29184" s="1"/>
  <c r="V1048" i="29184" s="1"/>
  <c r="Z1057" i="29184" s="1"/>
  <c r="V1066" i="29184" s="1"/>
  <c r="Z1075" i="29184" s="1"/>
  <c r="V1084" i="29184" s="1"/>
  <c r="Z1093" i="29184" s="1"/>
  <c r="V1102" i="29184" s="1"/>
  <c r="AC961" i="29184"/>
  <c r="AE961" i="29184"/>
  <c r="AF961" i="29184"/>
  <c r="AG961" i="29184"/>
  <c r="AH961" i="29184"/>
  <c r="V962" i="29184"/>
  <c r="V971" i="29184" s="1"/>
  <c r="Z982" i="29184" s="1"/>
  <c r="V993" i="29184" s="1"/>
  <c r="Z1004" i="29184" s="1"/>
  <c r="V1015" i="29184" s="1"/>
  <c r="Z1026" i="29184" s="1"/>
  <c r="V1037" i="29184" s="1"/>
  <c r="Z1048" i="29184" s="1"/>
  <c r="Z1058" i="29184" s="1"/>
  <c r="V1067" i="29184" s="1"/>
  <c r="Z1076" i="29184" s="1"/>
  <c r="V1085" i="29184" s="1"/>
  <c r="Z1094" i="29184" s="1"/>
  <c r="V1103" i="29184" s="1"/>
  <c r="Z962" i="29184"/>
  <c r="V973" i="29184" s="1"/>
  <c r="Z984" i="29184" s="1"/>
  <c r="V995" i="29184" s="1"/>
  <c r="Z1006" i="29184" s="1"/>
  <c r="V1017" i="29184" s="1"/>
  <c r="Z1028" i="29184" s="1"/>
  <c r="Z1038" i="29184" s="1"/>
  <c r="V1047" i="29184" s="1"/>
  <c r="Z1056" i="29184" s="1"/>
  <c r="V1065" i="29184" s="1"/>
  <c r="Z1074" i="29184" s="1"/>
  <c r="V1083" i="29184" s="1"/>
  <c r="Z1092" i="29184" s="1"/>
  <c r="Z1101" i="29184" s="1"/>
  <c r="AC962" i="29184"/>
  <c r="AE962" i="29184"/>
  <c r="AF962" i="29184"/>
  <c r="AG962" i="29184"/>
  <c r="AH962" i="29184"/>
  <c r="V963" i="29184"/>
  <c r="Z972" i="29184" s="1"/>
  <c r="Z981" i="29184" s="1"/>
  <c r="V992" i="29184" s="1"/>
  <c r="Z1003" i="29184" s="1"/>
  <c r="V1014" i="29184" s="1"/>
  <c r="Z1025" i="29184" s="1"/>
  <c r="V1036" i="29184" s="1"/>
  <c r="Z1047" i="29184" s="1"/>
  <c r="V1058" i="29184" s="1"/>
  <c r="V1068" i="29184" s="1"/>
  <c r="Z1077" i="29184" s="1"/>
  <c r="V1086" i="29184" s="1"/>
  <c r="Z1095" i="29184" s="1"/>
  <c r="V1104" i="29184" s="1"/>
  <c r="Z963" i="29184"/>
  <c r="V974" i="29184" s="1"/>
  <c r="Z985" i="29184" s="1"/>
  <c r="V996" i="29184" s="1"/>
  <c r="Z1007" i="29184" s="1"/>
  <c r="V1018" i="29184" s="1"/>
  <c r="V1028" i="29184" s="1"/>
  <c r="Z1037" i="29184" s="1"/>
  <c r="V1046" i="29184" s="1"/>
  <c r="Z1055" i="29184" s="1"/>
  <c r="V1064" i="29184" s="1"/>
  <c r="Z1073" i="29184" s="1"/>
  <c r="V1082" i="29184" s="1"/>
  <c r="V1091" i="29184" s="1"/>
  <c r="Z1102" i="29184" s="1"/>
  <c r="AC963" i="29184"/>
  <c r="AE963" i="29184"/>
  <c r="AF963" i="29184"/>
  <c r="AG963" i="29184"/>
  <c r="AH963" i="29184"/>
  <c r="V964" i="29184"/>
  <c r="Z973" i="29184" s="1"/>
  <c r="V982" i="29184" s="1"/>
  <c r="V991" i="29184" s="1"/>
  <c r="Z1002" i="29184" s="1"/>
  <c r="V1013" i="29184" s="1"/>
  <c r="Z1024" i="29184" s="1"/>
  <c r="V1035" i="29184" s="1"/>
  <c r="Z1046" i="29184" s="1"/>
  <c r="V1057" i="29184" s="1"/>
  <c r="Z1068" i="29184" s="1"/>
  <c r="Z1078" i="29184" s="1"/>
  <c r="V1087" i="29184" s="1"/>
  <c r="Z1096" i="29184" s="1"/>
  <c r="V1105" i="29184" s="1"/>
  <c r="Z964" i="29184"/>
  <c r="V975" i="29184" s="1"/>
  <c r="Z986" i="29184" s="1"/>
  <c r="V997" i="29184" s="1"/>
  <c r="Z1008" i="29184" s="1"/>
  <c r="Z1018" i="29184" s="1"/>
  <c r="V1027" i="29184" s="1"/>
  <c r="Z1036" i="29184" s="1"/>
  <c r="V1045" i="29184" s="1"/>
  <c r="Z1054" i="29184" s="1"/>
  <c r="V1063" i="29184" s="1"/>
  <c r="Z1072" i="29184" s="1"/>
  <c r="Z1081" i="29184" s="1"/>
  <c r="V1092" i="29184" s="1"/>
  <c r="Z1103" i="29184" s="1"/>
  <c r="AC964" i="29184"/>
  <c r="AE964" i="29184"/>
  <c r="AF964" i="29184"/>
  <c r="AG964" i="29184"/>
  <c r="AH964" i="29184"/>
  <c r="V965" i="29184"/>
  <c r="Z974" i="29184" s="1"/>
  <c r="V983" i="29184" s="1"/>
  <c r="Z992" i="29184" s="1"/>
  <c r="Z1001" i="29184" s="1"/>
  <c r="V1012" i="29184" s="1"/>
  <c r="Z1023" i="29184" s="1"/>
  <c r="V1034" i="29184" s="1"/>
  <c r="Z1045" i="29184" s="1"/>
  <c r="V1056" i="29184" s="1"/>
  <c r="Z1067" i="29184" s="1"/>
  <c r="V1078" i="29184" s="1"/>
  <c r="V1088" i="29184" s="1"/>
  <c r="Z1097" i="29184" s="1"/>
  <c r="V1106" i="29184" s="1"/>
  <c r="Z965" i="29184"/>
  <c r="V976" i="29184" s="1"/>
  <c r="Z987" i="29184" s="1"/>
  <c r="V998" i="29184" s="1"/>
  <c r="V1008" i="29184" s="1"/>
  <c r="Z1017" i="29184" s="1"/>
  <c r="V1026" i="29184" s="1"/>
  <c r="Z1035" i="29184" s="1"/>
  <c r="V1044" i="29184" s="1"/>
  <c r="Z1053" i="29184" s="1"/>
  <c r="V1062" i="29184" s="1"/>
  <c r="V1071" i="29184" s="1"/>
  <c r="Z1082" i="29184" s="1"/>
  <c r="V1093" i="29184" s="1"/>
  <c r="Z1104" i="29184" s="1"/>
  <c r="AC965" i="29184"/>
  <c r="AE965" i="29184"/>
  <c r="AF965" i="29184"/>
  <c r="AG965" i="29184"/>
  <c r="AH965" i="29184"/>
  <c r="V966" i="29184"/>
  <c r="Z975" i="29184" s="1"/>
  <c r="V984" i="29184" s="1"/>
  <c r="Z993" i="29184" s="1"/>
  <c r="V1002" i="29184" s="1"/>
  <c r="V1011" i="29184" s="1"/>
  <c r="Z1022" i="29184" s="1"/>
  <c r="V1033" i="29184" s="1"/>
  <c r="Z1044" i="29184" s="1"/>
  <c r="V1055" i="29184" s="1"/>
  <c r="Z1066" i="29184" s="1"/>
  <c r="V1077" i="29184" s="1"/>
  <c r="Z1088" i="29184" s="1"/>
  <c r="Z1098" i="29184" s="1"/>
  <c r="V1107" i="29184" s="1"/>
  <c r="Z966" i="29184"/>
  <c r="V977" i="29184" s="1"/>
  <c r="Z988" i="29184" s="1"/>
  <c r="Z998" i="29184" s="1"/>
  <c r="V1007" i="29184" s="1"/>
  <c r="Z1016" i="29184" s="1"/>
  <c r="V1025" i="29184" s="1"/>
  <c r="Z1034" i="29184" s="1"/>
  <c r="V1043" i="29184" s="1"/>
  <c r="Z1052" i="29184" s="1"/>
  <c r="Z1061" i="29184" s="1"/>
  <c r="V1072" i="29184" s="1"/>
  <c r="Z1083" i="29184" s="1"/>
  <c r="V1094" i="29184" s="1"/>
  <c r="Z1105" i="29184" s="1"/>
  <c r="AC966" i="29184"/>
  <c r="AE966" i="29184"/>
  <c r="AF966" i="29184"/>
  <c r="AG966" i="29184"/>
  <c r="AH966" i="29184"/>
  <c r="V967" i="29184"/>
  <c r="Z976" i="29184" s="1"/>
  <c r="V985" i="29184" s="1"/>
  <c r="Z994" i="29184" s="1"/>
  <c r="V1003" i="29184" s="1"/>
  <c r="Z1012" i="29184" s="1"/>
  <c r="Z1021" i="29184" s="1"/>
  <c r="V1032" i="29184" s="1"/>
  <c r="Z1043" i="29184" s="1"/>
  <c r="V1054" i="29184" s="1"/>
  <c r="Z1065" i="29184" s="1"/>
  <c r="V1076" i="29184" s="1"/>
  <c r="Z1087" i="29184" s="1"/>
  <c r="V1098" i="29184" s="1"/>
  <c r="V1108" i="29184" s="1"/>
  <c r="Z967" i="29184"/>
  <c r="V978" i="29184" s="1"/>
  <c r="V988" i="29184" s="1"/>
  <c r="Z997" i="29184" s="1"/>
  <c r="V1006" i="29184" s="1"/>
  <c r="Z1015" i="29184" s="1"/>
  <c r="V1024" i="29184" s="1"/>
  <c r="Z1033" i="29184" s="1"/>
  <c r="V1042" i="29184" s="1"/>
  <c r="V1051" i="29184" s="1"/>
  <c r="Z1062" i="29184" s="1"/>
  <c r="V1073" i="29184" s="1"/>
  <c r="Z1084" i="29184" s="1"/>
  <c r="V1095" i="29184" s="1"/>
  <c r="Z1106" i="29184" s="1"/>
  <c r="AC967" i="29184"/>
  <c r="AE967" i="29184"/>
  <c r="AF967" i="29184"/>
  <c r="AG967" i="29184"/>
  <c r="AH967" i="29184"/>
  <c r="V968" i="29184"/>
  <c r="Z977" i="29184" s="1"/>
  <c r="V986" i="29184" s="1"/>
  <c r="Z995" i="29184" s="1"/>
  <c r="V1004" i="29184" s="1"/>
  <c r="Z1013" i="29184" s="1"/>
  <c r="V1022" i="29184" s="1"/>
  <c r="V1031" i="29184" s="1"/>
  <c r="Z1042" i="29184" s="1"/>
  <c r="V1053" i="29184" s="1"/>
  <c r="Z1064" i="29184" s="1"/>
  <c r="V1075" i="29184" s="1"/>
  <c r="Z1086" i="29184" s="1"/>
  <c r="V1097" i="29184" s="1"/>
  <c r="Z1108" i="29184" s="1"/>
  <c r="Z968" i="29184"/>
  <c r="Z978" i="29184" s="1"/>
  <c r="V987" i="29184" s="1"/>
  <c r="Z996" i="29184" s="1"/>
  <c r="V1005" i="29184" s="1"/>
  <c r="Z1014" i="29184" s="1"/>
  <c r="V1023" i="29184" s="1"/>
  <c r="Z1032" i="29184" s="1"/>
  <c r="Z1041" i="29184" s="1"/>
  <c r="V1052" i="29184" s="1"/>
  <c r="Z1063" i="29184" s="1"/>
  <c r="V1074" i="29184" s="1"/>
  <c r="Z1085" i="29184" s="1"/>
  <c r="V1096" i="29184" s="1"/>
  <c r="Z1107" i="29184" s="1"/>
  <c r="AC968" i="29184"/>
  <c r="AE968" i="29184"/>
  <c r="AF968" i="29184"/>
  <c r="AG968" i="29184"/>
  <c r="AH968" i="29184"/>
  <c r="S969" i="29184"/>
  <c r="S979" i="29184" s="1"/>
  <c r="S989" i="29184" s="1"/>
  <c r="S999" i="29184" s="1"/>
  <c r="S1009" i="29184" s="1"/>
  <c r="S1019" i="29184" s="1"/>
  <c r="S1029" i="29184" s="1"/>
  <c r="S1039" i="29184" s="1"/>
  <c r="S1049" i="29184" s="1"/>
  <c r="S1059" i="29184" s="1"/>
  <c r="S1069" i="29184" s="1"/>
  <c r="S1079" i="29184" s="1"/>
  <c r="S1089" i="29184" s="1"/>
  <c r="S1099" i="29184" s="1"/>
  <c r="AC971" i="29184"/>
  <c r="AE971" i="29184"/>
  <c r="AF971" i="29184"/>
  <c r="AG971" i="29184"/>
  <c r="AH971" i="29184"/>
  <c r="AC972" i="29184"/>
  <c r="AE972" i="29184"/>
  <c r="AF972" i="29184"/>
  <c r="AG972" i="29184"/>
  <c r="AH972" i="29184"/>
  <c r="AC973" i="29184"/>
  <c r="AE973" i="29184"/>
  <c r="AF973" i="29184"/>
  <c r="AG973" i="29184"/>
  <c r="AH973" i="29184"/>
  <c r="AC974" i="29184"/>
  <c r="AE974" i="29184"/>
  <c r="AF974" i="29184"/>
  <c r="AG974" i="29184"/>
  <c r="AH974" i="29184"/>
  <c r="AC975" i="29184"/>
  <c r="AE975" i="29184"/>
  <c r="AF975" i="29184"/>
  <c r="AG975" i="29184"/>
  <c r="AH975" i="29184"/>
  <c r="AC976" i="29184"/>
  <c r="AE976" i="29184"/>
  <c r="AF976" i="29184"/>
  <c r="AG976" i="29184"/>
  <c r="AH976" i="29184"/>
  <c r="AC977" i="29184"/>
  <c r="AE977" i="29184"/>
  <c r="AF977" i="29184"/>
  <c r="AG977" i="29184"/>
  <c r="AH977" i="29184"/>
  <c r="AC978" i="29184"/>
  <c r="AE978" i="29184"/>
  <c r="AF978" i="29184"/>
  <c r="AG978" i="29184"/>
  <c r="AH978" i="29184"/>
  <c r="AC981" i="29184"/>
  <c r="AE981" i="29184"/>
  <c r="AF981" i="29184"/>
  <c r="AG981" i="29184"/>
  <c r="AH981" i="29184"/>
  <c r="AC982" i="29184"/>
  <c r="AE982" i="29184"/>
  <c r="AF982" i="29184"/>
  <c r="AG982" i="29184"/>
  <c r="AH982" i="29184"/>
  <c r="AC983" i="29184"/>
  <c r="AE983" i="29184"/>
  <c r="AF983" i="29184"/>
  <c r="AG983" i="29184"/>
  <c r="AH983" i="29184"/>
  <c r="AC984" i="29184"/>
  <c r="AE984" i="29184"/>
  <c r="AF984" i="29184"/>
  <c r="AG984" i="29184"/>
  <c r="AH984" i="29184"/>
  <c r="AC985" i="29184"/>
  <c r="AE985" i="29184"/>
  <c r="AF985" i="29184"/>
  <c r="AG985" i="29184"/>
  <c r="AH985" i="29184"/>
  <c r="AC986" i="29184"/>
  <c r="AE986" i="29184"/>
  <c r="AF986" i="29184"/>
  <c r="AG986" i="29184"/>
  <c r="AH986" i="29184"/>
  <c r="AC987" i="29184"/>
  <c r="AE987" i="29184"/>
  <c r="AF987" i="29184"/>
  <c r="AG987" i="29184"/>
  <c r="AH987" i="29184"/>
  <c r="AC988" i="29184"/>
  <c r="AE988" i="29184"/>
  <c r="AF988" i="29184"/>
  <c r="AG988" i="29184"/>
  <c r="AH988" i="29184"/>
  <c r="AC991" i="29184"/>
  <c r="AE991" i="29184"/>
  <c r="AF991" i="29184"/>
  <c r="AG991" i="29184"/>
  <c r="AH991" i="29184"/>
  <c r="AC992" i="29184"/>
  <c r="AE992" i="29184"/>
  <c r="AF992" i="29184"/>
  <c r="AG992" i="29184"/>
  <c r="AH992" i="29184"/>
  <c r="AC993" i="29184"/>
  <c r="AE993" i="29184"/>
  <c r="AF993" i="29184"/>
  <c r="AG993" i="29184"/>
  <c r="AH993" i="29184"/>
  <c r="AC994" i="29184"/>
  <c r="AE994" i="29184"/>
  <c r="AF994" i="29184"/>
  <c r="AG994" i="29184"/>
  <c r="AH994" i="29184"/>
  <c r="AC995" i="29184"/>
  <c r="AE995" i="29184"/>
  <c r="AF995" i="29184"/>
  <c r="AG995" i="29184"/>
  <c r="AH995" i="29184"/>
  <c r="AC996" i="29184"/>
  <c r="AE996" i="29184"/>
  <c r="AF996" i="29184"/>
  <c r="AG996" i="29184"/>
  <c r="AH996" i="29184"/>
  <c r="AC997" i="29184"/>
  <c r="AE997" i="29184"/>
  <c r="AF997" i="29184"/>
  <c r="AG997" i="29184"/>
  <c r="AH997" i="29184"/>
  <c r="AC998" i="29184"/>
  <c r="AE998" i="29184"/>
  <c r="AF998" i="29184"/>
  <c r="AG998" i="29184"/>
  <c r="AH998" i="29184"/>
  <c r="AC1001" i="29184"/>
  <c r="AE1001" i="29184"/>
  <c r="AF1001" i="29184"/>
  <c r="AG1001" i="29184"/>
  <c r="AH1001" i="29184"/>
  <c r="AC1002" i="29184"/>
  <c r="AE1002" i="29184"/>
  <c r="AF1002" i="29184"/>
  <c r="AG1002" i="29184"/>
  <c r="AH1002" i="29184"/>
  <c r="AC1003" i="29184"/>
  <c r="AE1003" i="29184"/>
  <c r="AF1003" i="29184"/>
  <c r="AG1003" i="29184"/>
  <c r="AH1003" i="29184"/>
  <c r="AC1004" i="29184"/>
  <c r="AE1004" i="29184"/>
  <c r="AF1004" i="29184"/>
  <c r="AG1004" i="29184"/>
  <c r="AH1004" i="29184"/>
  <c r="AC1005" i="29184"/>
  <c r="AE1005" i="29184"/>
  <c r="AF1005" i="29184"/>
  <c r="AG1005" i="29184"/>
  <c r="AH1005" i="29184"/>
  <c r="AC1006" i="29184"/>
  <c r="AE1006" i="29184"/>
  <c r="AF1006" i="29184"/>
  <c r="AG1006" i="29184"/>
  <c r="AH1006" i="29184"/>
  <c r="AC1007" i="29184"/>
  <c r="AE1007" i="29184"/>
  <c r="AF1007" i="29184"/>
  <c r="AG1007" i="29184"/>
  <c r="AH1007" i="29184"/>
  <c r="AC1008" i="29184"/>
  <c r="AE1008" i="29184"/>
  <c r="AF1008" i="29184"/>
  <c r="AG1008" i="29184"/>
  <c r="AH1008" i="29184"/>
  <c r="AC1011" i="29184"/>
  <c r="AE1011" i="29184"/>
  <c r="AF1011" i="29184"/>
  <c r="AG1011" i="29184"/>
  <c r="AH1011" i="29184"/>
  <c r="AC1012" i="29184"/>
  <c r="AE1012" i="29184"/>
  <c r="AF1012" i="29184"/>
  <c r="AG1012" i="29184"/>
  <c r="AH1012" i="29184"/>
  <c r="AC1013" i="29184"/>
  <c r="AE1013" i="29184"/>
  <c r="AF1013" i="29184"/>
  <c r="AG1013" i="29184"/>
  <c r="AH1013" i="29184"/>
  <c r="AC1014" i="29184"/>
  <c r="AE1014" i="29184"/>
  <c r="AF1014" i="29184"/>
  <c r="AG1014" i="29184"/>
  <c r="AH1014" i="29184"/>
  <c r="AC1015" i="29184"/>
  <c r="AE1015" i="29184"/>
  <c r="AF1015" i="29184"/>
  <c r="AG1015" i="29184"/>
  <c r="AH1015" i="29184"/>
  <c r="AC1016" i="29184"/>
  <c r="AE1016" i="29184"/>
  <c r="AF1016" i="29184"/>
  <c r="AG1016" i="29184"/>
  <c r="AH1016" i="29184"/>
  <c r="AC1017" i="29184"/>
  <c r="AE1017" i="29184"/>
  <c r="AF1017" i="29184"/>
  <c r="AG1017" i="29184"/>
  <c r="AH1017" i="29184"/>
  <c r="AC1018" i="29184"/>
  <c r="AE1018" i="29184"/>
  <c r="AF1018" i="29184"/>
  <c r="AG1018" i="29184"/>
  <c r="AH1018" i="29184"/>
  <c r="AC1021" i="29184"/>
  <c r="AE1021" i="29184"/>
  <c r="AF1021" i="29184"/>
  <c r="AG1021" i="29184"/>
  <c r="AH1021" i="29184"/>
  <c r="AC1022" i="29184"/>
  <c r="AE1022" i="29184"/>
  <c r="AF1022" i="29184"/>
  <c r="AG1022" i="29184"/>
  <c r="AH1022" i="29184"/>
  <c r="AC1023" i="29184"/>
  <c r="AE1023" i="29184"/>
  <c r="AF1023" i="29184"/>
  <c r="AG1023" i="29184"/>
  <c r="AH1023" i="29184"/>
  <c r="AC1024" i="29184"/>
  <c r="AE1024" i="29184"/>
  <c r="AF1024" i="29184"/>
  <c r="AG1024" i="29184"/>
  <c r="AH1024" i="29184"/>
  <c r="AC1025" i="29184"/>
  <c r="AE1025" i="29184"/>
  <c r="AF1025" i="29184"/>
  <c r="AG1025" i="29184"/>
  <c r="AH1025" i="29184"/>
  <c r="AC1026" i="29184"/>
  <c r="AE1026" i="29184"/>
  <c r="AF1026" i="29184"/>
  <c r="AG1026" i="29184"/>
  <c r="AH1026" i="29184"/>
  <c r="AC1027" i="29184"/>
  <c r="AE1027" i="29184"/>
  <c r="AF1027" i="29184"/>
  <c r="AG1027" i="29184"/>
  <c r="AH1027" i="29184"/>
  <c r="AC1028" i="29184"/>
  <c r="AE1028" i="29184"/>
  <c r="AF1028" i="29184"/>
  <c r="AG1028" i="29184"/>
  <c r="AH1028" i="29184"/>
  <c r="AC1031" i="29184"/>
  <c r="AE1031" i="29184"/>
  <c r="AF1031" i="29184"/>
  <c r="AG1031" i="29184"/>
  <c r="AH1031" i="29184"/>
  <c r="AC1032" i="29184"/>
  <c r="AE1032" i="29184"/>
  <c r="AF1032" i="29184"/>
  <c r="AG1032" i="29184"/>
  <c r="AH1032" i="29184"/>
  <c r="AC1033" i="29184"/>
  <c r="AE1033" i="29184"/>
  <c r="AF1033" i="29184"/>
  <c r="AG1033" i="29184"/>
  <c r="AH1033" i="29184"/>
  <c r="AC1034" i="29184"/>
  <c r="AE1034" i="29184"/>
  <c r="AF1034" i="29184"/>
  <c r="AG1034" i="29184"/>
  <c r="AH1034" i="29184"/>
  <c r="AC1035" i="29184"/>
  <c r="AE1035" i="29184"/>
  <c r="AF1035" i="29184"/>
  <c r="AG1035" i="29184"/>
  <c r="AH1035" i="29184"/>
  <c r="AC1036" i="29184"/>
  <c r="AE1036" i="29184"/>
  <c r="AF1036" i="29184"/>
  <c r="AG1036" i="29184"/>
  <c r="AH1036" i="29184"/>
  <c r="AC1037" i="29184"/>
  <c r="AE1037" i="29184"/>
  <c r="AF1037" i="29184"/>
  <c r="AG1037" i="29184"/>
  <c r="AH1037" i="29184"/>
  <c r="AC1038" i="29184"/>
  <c r="AE1038" i="29184"/>
  <c r="AF1038" i="29184"/>
  <c r="AG1038" i="29184"/>
  <c r="AH1038" i="29184"/>
  <c r="AC1041" i="29184"/>
  <c r="AE1041" i="29184"/>
  <c r="AF1041" i="29184"/>
  <c r="AG1041" i="29184"/>
  <c r="AH1041" i="29184"/>
  <c r="AC1042" i="29184"/>
  <c r="AE1042" i="29184"/>
  <c r="AF1042" i="29184"/>
  <c r="AG1042" i="29184"/>
  <c r="AH1042" i="29184"/>
  <c r="AC1043" i="29184"/>
  <c r="AE1043" i="29184"/>
  <c r="AF1043" i="29184"/>
  <c r="AG1043" i="29184"/>
  <c r="AH1043" i="29184"/>
  <c r="AC1044" i="29184"/>
  <c r="AE1044" i="29184"/>
  <c r="AF1044" i="29184"/>
  <c r="AG1044" i="29184"/>
  <c r="AH1044" i="29184"/>
  <c r="AC1045" i="29184"/>
  <c r="AE1045" i="29184"/>
  <c r="AF1045" i="29184"/>
  <c r="AG1045" i="29184"/>
  <c r="AH1045" i="29184"/>
  <c r="AC1046" i="29184"/>
  <c r="AE1046" i="29184"/>
  <c r="AF1046" i="29184"/>
  <c r="AG1046" i="29184"/>
  <c r="AH1046" i="29184"/>
  <c r="AC1047" i="29184"/>
  <c r="AE1047" i="29184"/>
  <c r="AF1047" i="29184"/>
  <c r="AG1047" i="29184"/>
  <c r="AH1047" i="29184"/>
  <c r="AC1048" i="29184"/>
  <c r="AE1048" i="29184"/>
  <c r="AF1048" i="29184"/>
  <c r="AG1048" i="29184"/>
  <c r="AH1048" i="29184"/>
  <c r="AC1051" i="29184"/>
  <c r="AE1051" i="29184"/>
  <c r="AF1051" i="29184"/>
  <c r="AG1051" i="29184"/>
  <c r="AH1051" i="29184"/>
  <c r="AC1052" i="29184"/>
  <c r="AE1052" i="29184"/>
  <c r="AF1052" i="29184"/>
  <c r="AG1052" i="29184"/>
  <c r="AH1052" i="29184"/>
  <c r="AC1053" i="29184"/>
  <c r="AE1053" i="29184"/>
  <c r="AF1053" i="29184"/>
  <c r="AG1053" i="29184"/>
  <c r="AH1053" i="29184"/>
  <c r="AC1054" i="29184"/>
  <c r="AE1054" i="29184"/>
  <c r="AF1054" i="29184"/>
  <c r="AG1054" i="29184"/>
  <c r="AH1054" i="29184"/>
  <c r="AC1055" i="29184"/>
  <c r="AE1055" i="29184"/>
  <c r="AF1055" i="29184"/>
  <c r="AG1055" i="29184"/>
  <c r="AH1055" i="29184"/>
  <c r="AC1056" i="29184"/>
  <c r="AE1056" i="29184"/>
  <c r="AF1056" i="29184"/>
  <c r="AG1056" i="29184"/>
  <c r="AH1056" i="29184"/>
  <c r="AC1057" i="29184"/>
  <c r="AE1057" i="29184"/>
  <c r="AF1057" i="29184"/>
  <c r="AG1057" i="29184"/>
  <c r="AH1057" i="29184"/>
  <c r="AC1058" i="29184"/>
  <c r="AE1058" i="29184"/>
  <c r="AF1058" i="29184"/>
  <c r="AG1058" i="29184"/>
  <c r="AH1058" i="29184"/>
  <c r="AC1061" i="29184"/>
  <c r="AE1061" i="29184"/>
  <c r="AF1061" i="29184"/>
  <c r="AG1061" i="29184"/>
  <c r="AH1061" i="29184"/>
  <c r="AC1062" i="29184"/>
  <c r="AE1062" i="29184"/>
  <c r="AF1062" i="29184"/>
  <c r="AG1062" i="29184"/>
  <c r="AH1062" i="29184"/>
  <c r="AC1063" i="29184"/>
  <c r="AE1063" i="29184"/>
  <c r="AF1063" i="29184"/>
  <c r="AG1063" i="29184"/>
  <c r="AH1063" i="29184"/>
  <c r="AC1064" i="29184"/>
  <c r="AE1064" i="29184"/>
  <c r="AF1064" i="29184"/>
  <c r="AG1064" i="29184"/>
  <c r="AH1064" i="29184"/>
  <c r="AC1065" i="29184"/>
  <c r="AE1065" i="29184"/>
  <c r="AF1065" i="29184"/>
  <c r="AG1065" i="29184"/>
  <c r="AH1065" i="29184"/>
  <c r="AC1066" i="29184"/>
  <c r="AE1066" i="29184"/>
  <c r="AF1066" i="29184"/>
  <c r="AG1066" i="29184"/>
  <c r="AH1066" i="29184"/>
  <c r="AC1067" i="29184"/>
  <c r="AE1067" i="29184"/>
  <c r="AF1067" i="29184"/>
  <c r="AG1067" i="29184"/>
  <c r="AH1067" i="29184"/>
  <c r="AC1068" i="29184"/>
  <c r="AE1068" i="29184"/>
  <c r="AF1068" i="29184"/>
  <c r="AG1068" i="29184"/>
  <c r="AH1068" i="29184"/>
  <c r="AC1071" i="29184"/>
  <c r="AE1071" i="29184"/>
  <c r="AF1071" i="29184"/>
  <c r="AG1071" i="29184"/>
  <c r="AH1071" i="29184"/>
  <c r="AC1072" i="29184"/>
  <c r="AE1072" i="29184"/>
  <c r="AF1072" i="29184"/>
  <c r="AG1072" i="29184"/>
  <c r="AH1072" i="29184"/>
  <c r="AC1073" i="29184"/>
  <c r="AE1073" i="29184"/>
  <c r="AF1073" i="29184"/>
  <c r="AG1073" i="29184"/>
  <c r="AH1073" i="29184"/>
  <c r="AC1074" i="29184"/>
  <c r="AE1074" i="29184"/>
  <c r="AF1074" i="29184"/>
  <c r="AG1074" i="29184"/>
  <c r="AH1074" i="29184"/>
  <c r="AC1075" i="29184"/>
  <c r="AE1075" i="29184"/>
  <c r="AF1075" i="29184"/>
  <c r="AG1075" i="29184"/>
  <c r="AH1075" i="29184"/>
  <c r="AC1076" i="29184"/>
  <c r="AE1076" i="29184"/>
  <c r="AF1076" i="29184"/>
  <c r="AG1076" i="29184"/>
  <c r="AH1076" i="29184"/>
  <c r="AC1077" i="29184"/>
  <c r="AE1077" i="29184"/>
  <c r="AF1077" i="29184"/>
  <c r="AG1077" i="29184"/>
  <c r="AH1077" i="29184"/>
  <c r="AC1078" i="29184"/>
  <c r="AE1078" i="29184"/>
  <c r="AF1078" i="29184"/>
  <c r="AG1078" i="29184"/>
  <c r="AH1078" i="29184"/>
  <c r="AC1081" i="29184"/>
  <c r="AE1081" i="29184"/>
  <c r="AF1081" i="29184"/>
  <c r="AG1081" i="29184"/>
  <c r="AH1081" i="29184"/>
  <c r="AC1082" i="29184"/>
  <c r="AE1082" i="29184"/>
  <c r="AF1082" i="29184"/>
  <c r="AG1082" i="29184"/>
  <c r="AH1082" i="29184"/>
  <c r="AC1083" i="29184"/>
  <c r="AE1083" i="29184"/>
  <c r="AF1083" i="29184"/>
  <c r="AG1083" i="29184"/>
  <c r="AH1083" i="29184"/>
  <c r="AC1084" i="29184"/>
  <c r="AE1084" i="29184"/>
  <c r="AF1084" i="29184"/>
  <c r="AG1084" i="29184"/>
  <c r="AH1084" i="29184"/>
  <c r="AC1085" i="29184"/>
  <c r="AE1085" i="29184"/>
  <c r="AF1085" i="29184"/>
  <c r="AG1085" i="29184"/>
  <c r="AH1085" i="29184"/>
  <c r="AC1086" i="29184"/>
  <c r="AE1086" i="29184"/>
  <c r="AF1086" i="29184"/>
  <c r="AG1086" i="29184"/>
  <c r="AH1086" i="29184"/>
  <c r="AC1087" i="29184"/>
  <c r="AE1087" i="29184"/>
  <c r="AF1087" i="29184"/>
  <c r="AG1087" i="29184"/>
  <c r="AH1087" i="29184"/>
  <c r="AC1088" i="29184"/>
  <c r="AE1088" i="29184"/>
  <c r="AF1088" i="29184"/>
  <c r="AG1088" i="29184"/>
  <c r="AH1088" i="29184"/>
  <c r="AC1091" i="29184"/>
  <c r="AE1091" i="29184"/>
  <c r="AF1091" i="29184"/>
  <c r="AG1091" i="29184"/>
  <c r="AH1091" i="29184"/>
  <c r="AC1092" i="29184"/>
  <c r="AE1092" i="29184"/>
  <c r="AF1092" i="29184"/>
  <c r="AG1092" i="29184"/>
  <c r="AH1092" i="29184"/>
  <c r="AC1093" i="29184"/>
  <c r="AE1093" i="29184"/>
  <c r="AF1093" i="29184"/>
  <c r="AG1093" i="29184"/>
  <c r="AH1093" i="29184"/>
  <c r="AC1094" i="29184"/>
  <c r="AE1094" i="29184"/>
  <c r="AF1094" i="29184"/>
  <c r="AG1094" i="29184"/>
  <c r="AH1094" i="29184"/>
  <c r="AC1095" i="29184"/>
  <c r="AE1095" i="29184"/>
  <c r="AF1095" i="29184"/>
  <c r="AG1095" i="29184"/>
  <c r="AH1095" i="29184"/>
  <c r="AC1096" i="29184"/>
  <c r="AE1096" i="29184"/>
  <c r="AF1096" i="29184"/>
  <c r="AG1096" i="29184"/>
  <c r="AH1096" i="29184"/>
  <c r="AC1097" i="29184"/>
  <c r="AE1097" i="29184"/>
  <c r="AF1097" i="29184"/>
  <c r="AG1097" i="29184"/>
  <c r="AH1097" i="29184"/>
  <c r="AC1098" i="29184"/>
  <c r="AE1098" i="29184"/>
  <c r="AF1098" i="29184"/>
  <c r="AG1098" i="29184"/>
  <c r="AH1098" i="29184"/>
  <c r="AC1101" i="29184"/>
  <c r="AE1101" i="29184"/>
  <c r="AF1101" i="29184"/>
  <c r="AG1101" i="29184"/>
  <c r="AH1101" i="29184"/>
  <c r="AC1102" i="29184"/>
  <c r="AE1102" i="29184"/>
  <c r="AF1102" i="29184"/>
  <c r="AG1102" i="29184"/>
  <c r="AH1102" i="29184"/>
  <c r="AC1103" i="29184"/>
  <c r="AE1103" i="29184"/>
  <c r="AF1103" i="29184"/>
  <c r="AG1103" i="29184"/>
  <c r="AH1103" i="29184"/>
  <c r="AC1104" i="29184"/>
  <c r="AE1104" i="29184"/>
  <c r="AF1104" i="29184"/>
  <c r="AG1104" i="29184"/>
  <c r="AH1104" i="29184"/>
  <c r="AC1105" i="29184"/>
  <c r="AE1105" i="29184"/>
  <c r="AF1105" i="29184"/>
  <c r="AG1105" i="29184"/>
  <c r="AH1105" i="29184"/>
  <c r="AC1106" i="29184"/>
  <c r="AE1106" i="29184"/>
  <c r="AF1106" i="29184"/>
  <c r="AG1106" i="29184"/>
  <c r="AH1106" i="29184"/>
  <c r="AC1107" i="29184"/>
  <c r="AE1107" i="29184"/>
  <c r="AF1107" i="29184"/>
  <c r="AG1107" i="29184"/>
  <c r="AH1107" i="29184"/>
  <c r="AC1108" i="29184"/>
  <c r="AE1108" i="29184"/>
  <c r="AF1108" i="29184"/>
  <c r="AG1108" i="29184"/>
  <c r="AH1108" i="29184"/>
  <c r="AK1112" i="29184"/>
  <c r="O1120" i="29184" s="1"/>
  <c r="V1132" i="29184"/>
  <c r="Z1142" i="29184" s="1"/>
  <c r="V1152" i="29184" s="1"/>
  <c r="Z1162" i="29184" s="1"/>
  <c r="V1172" i="29184" s="1"/>
  <c r="Z1182" i="29184" s="1"/>
  <c r="V1192" i="29184" s="1"/>
  <c r="Z1202" i="29184" s="1"/>
  <c r="V1212" i="29184" s="1"/>
  <c r="V1232" i="29184" s="1"/>
  <c r="Z1242" i="29184" s="1"/>
  <c r="V1252" i="29184" s="1"/>
  <c r="Z1262" i="29184" s="1"/>
  <c r="V1272" i="29184" s="1"/>
  <c r="Z1282" i="29184" s="1"/>
  <c r="V1292" i="29184" s="1"/>
  <c r="Z1132" i="29184"/>
  <c r="V1143" i="29184" s="1"/>
  <c r="Z1154" i="29184" s="1"/>
  <c r="V1165" i="29184" s="1"/>
  <c r="Z1176" i="29184" s="1"/>
  <c r="V1186" i="29184" s="1"/>
  <c r="Z1197" i="29184" s="1"/>
  <c r="V1208" i="29184" s="1"/>
  <c r="Z1219" i="29184" s="1"/>
  <c r="Z1229" i="29184" s="1"/>
  <c r="V1238" i="29184" s="1"/>
  <c r="Z1247" i="29184" s="1"/>
  <c r="V1256" i="29184" s="1"/>
  <c r="V1275" i="29184" s="1"/>
  <c r="Z1284" i="29184" s="1"/>
  <c r="V1293" i="29184" s="1"/>
  <c r="AC1132" i="29184"/>
  <c r="AE1132" i="29184"/>
  <c r="AF1132" i="29184"/>
  <c r="AG1132" i="29184"/>
  <c r="AH1132" i="29184"/>
  <c r="V1133" i="29184"/>
  <c r="V1142" i="29184" s="1"/>
  <c r="Z1153" i="29184" s="1"/>
  <c r="V1164" i="29184" s="1"/>
  <c r="Z1175" i="29184" s="1"/>
  <c r="Z1196" i="29184" s="1"/>
  <c r="V1207" i="29184" s="1"/>
  <c r="Z1218" i="29184" s="1"/>
  <c r="V1229" i="29184" s="1"/>
  <c r="V1239" i="29184" s="1"/>
  <c r="Z1248" i="29184" s="1"/>
  <c r="V1257" i="29184" s="1"/>
  <c r="Z1266" i="29184" s="1"/>
  <c r="V1276" i="29184" s="1"/>
  <c r="Z1285" i="29184" s="1"/>
  <c r="V1294" i="29184" s="1"/>
  <c r="Z1133" i="29184"/>
  <c r="V1144" i="29184" s="1"/>
  <c r="Z1155" i="29184" s="1"/>
  <c r="V1166" i="29184" s="1"/>
  <c r="V1187" i="29184" s="1"/>
  <c r="Z1198" i="29184" s="1"/>
  <c r="V1209" i="29184" s="1"/>
  <c r="V1219" i="29184" s="1"/>
  <c r="Z1228" i="29184" s="1"/>
  <c r="V1237" i="29184" s="1"/>
  <c r="Z1246" i="29184" s="1"/>
  <c r="V1255" i="29184" s="1"/>
  <c r="Z1265" i="29184" s="1"/>
  <c r="V1274" i="29184" s="1"/>
  <c r="Z1283" i="29184" s="1"/>
  <c r="Z1292" i="29184" s="1"/>
  <c r="AC1133" i="29184"/>
  <c r="AE1133" i="29184"/>
  <c r="AF1133" i="29184"/>
  <c r="AG1133" i="29184"/>
  <c r="AH1133" i="29184"/>
  <c r="V1134" i="29184"/>
  <c r="Z1143" i="29184" s="1"/>
  <c r="Z1152" i="29184" s="1"/>
  <c r="V1163" i="29184" s="1"/>
  <c r="Z1174" i="29184" s="1"/>
  <c r="V1185" i="29184" s="1"/>
  <c r="Z1195" i="29184" s="1"/>
  <c r="V1206" i="29184" s="1"/>
  <c r="Z1217" i="29184" s="1"/>
  <c r="V1228" i="29184" s="1"/>
  <c r="Z1239" i="29184" s="1"/>
  <c r="Z1249" i="29184" s="1"/>
  <c r="V1258" i="29184" s="1"/>
  <c r="Z1267" i="29184" s="1"/>
  <c r="Z1286" i="29184" s="1"/>
  <c r="V1295" i="29184" s="1"/>
  <c r="Z1134" i="29184"/>
  <c r="V1145" i="29184" s="1"/>
  <c r="Z1156" i="29184" s="1"/>
  <c r="V1167" i="29184" s="1"/>
  <c r="Z1177" i="29184" s="1"/>
  <c r="V1188" i="29184" s="1"/>
  <c r="Z1199" i="29184" s="1"/>
  <c r="Z1209" i="29184" s="1"/>
  <c r="V1218" i="29184" s="1"/>
  <c r="Z1227" i="29184" s="1"/>
  <c r="V1236" i="29184" s="1"/>
  <c r="Z1245" i="29184" s="1"/>
  <c r="Z1264" i="29184" s="1"/>
  <c r="V1273" i="29184" s="1"/>
  <c r="V1282" i="29184" s="1"/>
  <c r="Z1293" i="29184" s="1"/>
  <c r="AC1134" i="29184"/>
  <c r="AE1134" i="29184"/>
  <c r="AF1134" i="29184"/>
  <c r="AG1134" i="29184"/>
  <c r="AH1134" i="29184"/>
  <c r="V1135" i="29184"/>
  <c r="Z1144" i="29184" s="1"/>
  <c r="V1153" i="29184" s="1"/>
  <c r="V1162" i="29184" s="1"/>
  <c r="Z1173" i="29184" s="1"/>
  <c r="V1184" i="29184" s="1"/>
  <c r="V1205" i="29184" s="1"/>
  <c r="Z1216" i="29184" s="1"/>
  <c r="V1227" i="29184" s="1"/>
  <c r="Z1238" i="29184" s="1"/>
  <c r="V1249" i="29184" s="1"/>
  <c r="V1259" i="29184" s="1"/>
  <c r="Z1268" i="29184" s="1"/>
  <c r="V1277" i="29184" s="1"/>
  <c r="Z1287" i="29184" s="1"/>
  <c r="V1296" i="29184" s="1"/>
  <c r="Z1135" i="29184"/>
  <c r="V1146" i="29184" s="1"/>
  <c r="Z1157" i="29184" s="1"/>
  <c r="Z1178" i="29184" s="1"/>
  <c r="V1189" i="29184" s="1"/>
  <c r="V1199" i="29184" s="1"/>
  <c r="Z1208" i="29184" s="1"/>
  <c r="V1217" i="29184" s="1"/>
  <c r="Z1226" i="29184" s="1"/>
  <c r="V1235" i="29184" s="1"/>
  <c r="Z1244" i="29184" s="1"/>
  <c r="V1254" i="29184" s="1"/>
  <c r="Z1263" i="29184" s="1"/>
  <c r="Z1272" i="29184" s="1"/>
  <c r="V1283" i="29184" s="1"/>
  <c r="Z1294" i="29184" s="1"/>
  <c r="AC1135" i="29184"/>
  <c r="AE1135" i="29184"/>
  <c r="AF1135" i="29184"/>
  <c r="AG1135" i="29184"/>
  <c r="AH1135" i="29184"/>
  <c r="V1136" i="29184"/>
  <c r="Z1145" i="29184" s="1"/>
  <c r="V1154" i="29184" s="1"/>
  <c r="Z1163" i="29184" s="1"/>
  <c r="Z1172" i="29184" s="1"/>
  <c r="V1183" i="29184" s="1"/>
  <c r="Z1194" i="29184" s="1"/>
  <c r="V1204" i="29184" s="1"/>
  <c r="Z1215" i="29184" s="1"/>
  <c r="V1226" i="29184" s="1"/>
  <c r="Z1237" i="29184" s="1"/>
  <c r="V1248" i="29184" s="1"/>
  <c r="Z1259" i="29184" s="1"/>
  <c r="Z1269" i="29184" s="1"/>
  <c r="V1278" i="29184" s="1"/>
  <c r="V1297" i="29184" s="1"/>
  <c r="Z1136" i="29184"/>
  <c r="V1147" i="29184" s="1"/>
  <c r="Z1158" i="29184" s="1"/>
  <c r="V1168" i="29184" s="1"/>
  <c r="Z1179" i="29184" s="1"/>
  <c r="Z1189" i="29184" s="1"/>
  <c r="V1198" i="29184" s="1"/>
  <c r="Z1207" i="29184" s="1"/>
  <c r="V1216" i="29184" s="1"/>
  <c r="Z1225" i="29184" s="1"/>
  <c r="V1234" i="29184" s="1"/>
  <c r="V1253" i="29184" s="1"/>
  <c r="V1262" i="29184" s="1"/>
  <c r="Z1273" i="29184" s="1"/>
  <c r="V1284" i="29184" s="1"/>
  <c r="Z1295" i="29184" s="1"/>
  <c r="AC1136" i="29184"/>
  <c r="AE1136" i="29184"/>
  <c r="AF1136" i="29184"/>
  <c r="AG1136" i="29184"/>
  <c r="AH1136" i="29184"/>
  <c r="V1137" i="29184"/>
  <c r="Z1146" i="29184" s="1"/>
  <c r="V1155" i="29184" s="1"/>
  <c r="Z1164" i="29184" s="1"/>
  <c r="V1173" i="29184" s="1"/>
  <c r="V1182" i="29184" s="1"/>
  <c r="Z1193" i="29184" s="1"/>
  <c r="Z1214" i="29184" s="1"/>
  <c r="V1225" i="29184" s="1"/>
  <c r="Z1236" i="29184" s="1"/>
  <c r="V1247" i="29184" s="1"/>
  <c r="Z1258" i="29184" s="1"/>
  <c r="V1269" i="29184" s="1"/>
  <c r="V1279" i="29184" s="1"/>
  <c r="Z1288" i="29184" s="1"/>
  <c r="V1298" i="29184" s="1"/>
  <c r="Z1137" i="29184"/>
  <c r="V1148" i="29184" s="1"/>
  <c r="V1169" i="29184" s="1"/>
  <c r="V1179" i="29184" s="1"/>
  <c r="Z1188" i="29184" s="1"/>
  <c r="V1197" i="29184" s="1"/>
  <c r="Z1206" i="29184" s="1"/>
  <c r="V1215" i="29184" s="1"/>
  <c r="Z1224" i="29184" s="1"/>
  <c r="V1233" i="29184" s="1"/>
  <c r="Z1243" i="29184" s="1"/>
  <c r="Z1252" i="29184" s="1"/>
  <c r="V1263" i="29184" s="1"/>
  <c r="Z1274" i="29184" s="1"/>
  <c r="V1285" i="29184" s="1"/>
  <c r="Z1296" i="29184" s="1"/>
  <c r="AC1137" i="29184"/>
  <c r="AE1137" i="29184"/>
  <c r="AF1137" i="29184"/>
  <c r="AG1137" i="29184"/>
  <c r="AH1137" i="29184"/>
  <c r="V1138" i="29184"/>
  <c r="Z1147" i="29184" s="1"/>
  <c r="V1156" i="29184" s="1"/>
  <c r="Z1165" i="29184" s="1"/>
  <c r="V1174" i="29184" s="1"/>
  <c r="Z1183" i="29184" s="1"/>
  <c r="Z1192" i="29184" s="1"/>
  <c r="V1203" i="29184" s="1"/>
  <c r="Z1213" i="29184" s="1"/>
  <c r="V1224" i="29184" s="1"/>
  <c r="Z1235" i="29184" s="1"/>
  <c r="V1246" i="29184" s="1"/>
  <c r="Z1257" i="29184" s="1"/>
  <c r="V1268" i="29184" s="1"/>
  <c r="Z1279" i="29184" s="1"/>
  <c r="Z1289" i="29184" s="1"/>
  <c r="Z1138" i="29184"/>
  <c r="V1149" i="29184" s="1"/>
  <c r="Z1159" i="29184" s="1"/>
  <c r="Z1169" i="29184" s="1"/>
  <c r="V1178" i="29184" s="1"/>
  <c r="Z1187" i="29184" s="1"/>
  <c r="V1196" i="29184" s="1"/>
  <c r="Z1205" i="29184" s="1"/>
  <c r="V1214" i="29184" s="1"/>
  <c r="Z1223" i="29184" s="1"/>
  <c r="V1242" i="29184" s="1"/>
  <c r="Z1253" i="29184" s="1"/>
  <c r="V1264" i="29184" s="1"/>
  <c r="Z1275" i="29184" s="1"/>
  <c r="V1286" i="29184" s="1"/>
  <c r="Z1297" i="29184" s="1"/>
  <c r="AC1138" i="29184"/>
  <c r="AE1138" i="29184"/>
  <c r="AF1138" i="29184"/>
  <c r="AG1138" i="29184"/>
  <c r="AH1138" i="29184"/>
  <c r="V1139" i="29184"/>
  <c r="Z1148" i="29184" s="1"/>
  <c r="V1157" i="29184" s="1"/>
  <c r="Z1166" i="29184" s="1"/>
  <c r="V1175" i="29184" s="1"/>
  <c r="Z1184" i="29184" s="1"/>
  <c r="V1193" i="29184" s="1"/>
  <c r="V1202" i="29184" s="1"/>
  <c r="V1223" i="29184" s="1"/>
  <c r="Z1234" i="29184" s="1"/>
  <c r="V1245" i="29184" s="1"/>
  <c r="Z1256" i="29184" s="1"/>
  <c r="V1267" i="29184" s="1"/>
  <c r="Z1278" i="29184" s="1"/>
  <c r="V1289" i="29184" s="1"/>
  <c r="V1299" i="29184" s="1"/>
  <c r="Z1139" i="29184"/>
  <c r="V1159" i="29184" s="1"/>
  <c r="Z1168" i="29184" s="1"/>
  <c r="V1177" i="29184" s="1"/>
  <c r="Z1186" i="29184" s="1"/>
  <c r="V1195" i="29184" s="1"/>
  <c r="Z1204" i="29184" s="1"/>
  <c r="V1213" i="29184" s="1"/>
  <c r="Z1222" i="29184" s="1"/>
  <c r="Z1232" i="29184" s="1"/>
  <c r="V1243" i="29184" s="1"/>
  <c r="Z1254" i="29184" s="1"/>
  <c r="V1265" i="29184" s="1"/>
  <c r="Z1276" i="29184" s="1"/>
  <c r="V1287" i="29184" s="1"/>
  <c r="Z1298" i="29184" s="1"/>
  <c r="AC1139" i="29184"/>
  <c r="AE1139" i="29184"/>
  <c r="AF1139" i="29184"/>
  <c r="AG1139" i="29184"/>
  <c r="AH1139" i="29184"/>
  <c r="S1140" i="29184"/>
  <c r="S1150" i="29184" s="1"/>
  <c r="S1160" i="29184" s="1"/>
  <c r="S1170" i="29184" s="1"/>
  <c r="S1180" i="29184" s="1"/>
  <c r="S1190" i="29184" s="1"/>
  <c r="S1200" i="29184" s="1"/>
  <c r="S1210" i="29184" s="1"/>
  <c r="S1220" i="29184" s="1"/>
  <c r="S1230" i="29184" s="1"/>
  <c r="S1240" i="29184" s="1"/>
  <c r="S1250" i="29184" s="1"/>
  <c r="S1260" i="29184" s="1"/>
  <c r="S1270" i="29184" s="1"/>
  <c r="S1280" i="29184" s="1"/>
  <c r="S1290" i="29184" s="1"/>
  <c r="AC1142" i="29184"/>
  <c r="AE1142" i="29184"/>
  <c r="AF1142" i="29184"/>
  <c r="AG1142" i="29184"/>
  <c r="AH1142" i="29184"/>
  <c r="AC1143" i="29184"/>
  <c r="AE1143" i="29184"/>
  <c r="AF1143" i="29184"/>
  <c r="AG1143" i="29184"/>
  <c r="AH1143" i="29184"/>
  <c r="AC1144" i="29184"/>
  <c r="AE1144" i="29184"/>
  <c r="AF1144" i="29184"/>
  <c r="AG1144" i="29184"/>
  <c r="AH1144" i="29184"/>
  <c r="AC1145" i="29184"/>
  <c r="AE1145" i="29184"/>
  <c r="AF1145" i="29184"/>
  <c r="AG1145" i="29184"/>
  <c r="AH1145" i="29184"/>
  <c r="AC1146" i="29184"/>
  <c r="AE1146" i="29184"/>
  <c r="AF1146" i="29184"/>
  <c r="AG1146" i="29184"/>
  <c r="AH1146" i="29184"/>
  <c r="AC1147" i="29184"/>
  <c r="AE1147" i="29184"/>
  <c r="AF1147" i="29184"/>
  <c r="AG1147" i="29184"/>
  <c r="AH1147" i="29184"/>
  <c r="AC1148" i="29184"/>
  <c r="AE1148" i="29184"/>
  <c r="AF1148" i="29184"/>
  <c r="AG1148" i="29184"/>
  <c r="AH1148" i="29184"/>
  <c r="Z1149" i="29184"/>
  <c r="V1158" i="29184" s="1"/>
  <c r="Z1167" i="29184" s="1"/>
  <c r="V1176" i="29184" s="1"/>
  <c r="Z1185" i="29184" s="1"/>
  <c r="V1194" i="29184" s="1"/>
  <c r="Z1203" i="29184" s="1"/>
  <c r="Z1212" i="29184" s="1"/>
  <c r="V1222" i="29184" s="1"/>
  <c r="Z1233" i="29184" s="1"/>
  <c r="V1244" i="29184" s="1"/>
  <c r="Z1255" i="29184" s="1"/>
  <c r="V1266" i="29184" s="1"/>
  <c r="Z1277" i="29184" s="1"/>
  <c r="V1288" i="29184" s="1"/>
  <c r="Z1299" i="29184" s="1"/>
  <c r="AC1149" i="29184"/>
  <c r="AE1149" i="29184"/>
  <c r="AF1149" i="29184"/>
  <c r="AG1149" i="29184"/>
  <c r="AH1149" i="29184"/>
  <c r="AC1152" i="29184"/>
  <c r="AE1152" i="29184"/>
  <c r="AF1152" i="29184"/>
  <c r="AG1152" i="29184"/>
  <c r="AH1152" i="29184"/>
  <c r="AC1153" i="29184"/>
  <c r="AE1153" i="29184"/>
  <c r="AF1153" i="29184"/>
  <c r="AG1153" i="29184"/>
  <c r="AH1153" i="29184"/>
  <c r="AC1154" i="29184"/>
  <c r="AE1154" i="29184"/>
  <c r="AF1154" i="29184"/>
  <c r="AG1154" i="29184"/>
  <c r="AH1154" i="29184"/>
  <c r="AC1155" i="29184"/>
  <c r="AE1155" i="29184"/>
  <c r="AF1155" i="29184"/>
  <c r="AG1155" i="29184"/>
  <c r="AH1155" i="29184"/>
  <c r="AC1156" i="29184"/>
  <c r="AE1156" i="29184"/>
  <c r="AF1156" i="29184"/>
  <c r="AG1156" i="29184"/>
  <c r="AH1156" i="29184"/>
  <c r="AC1157" i="29184"/>
  <c r="AE1157" i="29184"/>
  <c r="AF1157" i="29184"/>
  <c r="AG1157" i="29184"/>
  <c r="AH1157" i="29184"/>
  <c r="AC1158" i="29184"/>
  <c r="AE1158" i="29184"/>
  <c r="AF1158" i="29184"/>
  <c r="AG1158" i="29184"/>
  <c r="AH1158" i="29184"/>
  <c r="AC1159" i="29184"/>
  <c r="AE1159" i="29184"/>
  <c r="AF1159" i="29184"/>
  <c r="AG1159" i="29184"/>
  <c r="AH1159" i="29184"/>
  <c r="AC1162" i="29184"/>
  <c r="AE1162" i="29184"/>
  <c r="AF1162" i="29184"/>
  <c r="AG1162" i="29184"/>
  <c r="AH1162" i="29184"/>
  <c r="AC1163" i="29184"/>
  <c r="AE1163" i="29184"/>
  <c r="AF1163" i="29184"/>
  <c r="AG1163" i="29184"/>
  <c r="AH1163" i="29184"/>
  <c r="AC1164" i="29184"/>
  <c r="AE1164" i="29184"/>
  <c r="AF1164" i="29184"/>
  <c r="AG1164" i="29184"/>
  <c r="AH1164" i="29184"/>
  <c r="AC1165" i="29184"/>
  <c r="AE1165" i="29184"/>
  <c r="AF1165" i="29184"/>
  <c r="AG1165" i="29184"/>
  <c r="AH1165" i="29184"/>
  <c r="AC1166" i="29184"/>
  <c r="AE1166" i="29184"/>
  <c r="AF1166" i="29184"/>
  <c r="AG1166" i="29184"/>
  <c r="AH1166" i="29184"/>
  <c r="AC1167" i="29184"/>
  <c r="AE1167" i="29184"/>
  <c r="AF1167" i="29184"/>
  <c r="AG1167" i="29184"/>
  <c r="AH1167" i="29184"/>
  <c r="AC1168" i="29184"/>
  <c r="AE1168" i="29184"/>
  <c r="AF1168" i="29184"/>
  <c r="AG1168" i="29184"/>
  <c r="AH1168" i="29184"/>
  <c r="AC1169" i="29184"/>
  <c r="AE1169" i="29184"/>
  <c r="AF1169" i="29184"/>
  <c r="AG1169" i="29184"/>
  <c r="AH1169" i="29184"/>
  <c r="AC1172" i="29184"/>
  <c r="AE1172" i="29184"/>
  <c r="AF1172" i="29184"/>
  <c r="AG1172" i="29184"/>
  <c r="AH1172" i="29184"/>
  <c r="AC1173" i="29184"/>
  <c r="AE1173" i="29184"/>
  <c r="AF1173" i="29184"/>
  <c r="AG1173" i="29184"/>
  <c r="AH1173" i="29184"/>
  <c r="AC1174" i="29184"/>
  <c r="AE1174" i="29184"/>
  <c r="AF1174" i="29184"/>
  <c r="AG1174" i="29184"/>
  <c r="AH1174" i="29184"/>
  <c r="AC1175" i="29184"/>
  <c r="AE1175" i="29184"/>
  <c r="AF1175" i="29184"/>
  <c r="AG1175" i="29184"/>
  <c r="AH1175" i="29184"/>
  <c r="AC1176" i="29184"/>
  <c r="AE1176" i="29184"/>
  <c r="AF1176" i="29184"/>
  <c r="AG1176" i="29184"/>
  <c r="AH1176" i="29184"/>
  <c r="AC1177" i="29184"/>
  <c r="AE1177" i="29184"/>
  <c r="AF1177" i="29184"/>
  <c r="AG1177" i="29184"/>
  <c r="AH1177" i="29184"/>
  <c r="AC1178" i="29184"/>
  <c r="AE1178" i="29184"/>
  <c r="AF1178" i="29184"/>
  <c r="AG1178" i="29184"/>
  <c r="AH1178" i="29184"/>
  <c r="AC1179" i="29184"/>
  <c r="AE1179" i="29184"/>
  <c r="AF1179" i="29184"/>
  <c r="AG1179" i="29184"/>
  <c r="AH1179" i="29184"/>
  <c r="AC1182" i="29184"/>
  <c r="AE1182" i="29184"/>
  <c r="AF1182" i="29184"/>
  <c r="AG1182" i="29184"/>
  <c r="AH1182" i="29184"/>
  <c r="AC1183" i="29184"/>
  <c r="AE1183" i="29184"/>
  <c r="AF1183" i="29184"/>
  <c r="AG1183" i="29184"/>
  <c r="AH1183" i="29184"/>
  <c r="AC1184" i="29184"/>
  <c r="AE1184" i="29184"/>
  <c r="AF1184" i="29184"/>
  <c r="AG1184" i="29184"/>
  <c r="AH1184" i="29184"/>
  <c r="AC1185" i="29184"/>
  <c r="AE1185" i="29184"/>
  <c r="AF1185" i="29184"/>
  <c r="AG1185" i="29184"/>
  <c r="AH1185" i="29184"/>
  <c r="AC1186" i="29184"/>
  <c r="AE1186" i="29184"/>
  <c r="AF1186" i="29184"/>
  <c r="AG1186" i="29184"/>
  <c r="AH1186" i="29184"/>
  <c r="AC1187" i="29184"/>
  <c r="AE1187" i="29184"/>
  <c r="AF1187" i="29184"/>
  <c r="AG1187" i="29184"/>
  <c r="AH1187" i="29184"/>
  <c r="AC1188" i="29184"/>
  <c r="AE1188" i="29184"/>
  <c r="AF1188" i="29184"/>
  <c r="AG1188" i="29184"/>
  <c r="AH1188" i="29184"/>
  <c r="AC1189" i="29184"/>
  <c r="AE1189" i="29184"/>
  <c r="AF1189" i="29184"/>
  <c r="AG1189" i="29184"/>
  <c r="AH1189" i="29184"/>
  <c r="AC1192" i="29184"/>
  <c r="AE1192" i="29184"/>
  <c r="AF1192" i="29184"/>
  <c r="AG1192" i="29184"/>
  <c r="AH1192" i="29184"/>
  <c r="AC1193" i="29184"/>
  <c r="AE1193" i="29184"/>
  <c r="AF1193" i="29184"/>
  <c r="AG1193" i="29184"/>
  <c r="AH1193" i="29184"/>
  <c r="AC1194" i="29184"/>
  <c r="AE1194" i="29184"/>
  <c r="AF1194" i="29184"/>
  <c r="AG1194" i="29184"/>
  <c r="AH1194" i="29184"/>
  <c r="AC1195" i="29184"/>
  <c r="AE1195" i="29184"/>
  <c r="AF1195" i="29184"/>
  <c r="AG1195" i="29184"/>
  <c r="AH1195" i="29184"/>
  <c r="AC1196" i="29184"/>
  <c r="AE1196" i="29184"/>
  <c r="AF1196" i="29184"/>
  <c r="AG1196" i="29184"/>
  <c r="AH1196" i="29184"/>
  <c r="AC1197" i="29184"/>
  <c r="AE1197" i="29184"/>
  <c r="AF1197" i="29184"/>
  <c r="AG1197" i="29184"/>
  <c r="AH1197" i="29184"/>
  <c r="AC1198" i="29184"/>
  <c r="AE1198" i="29184"/>
  <c r="AF1198" i="29184"/>
  <c r="AG1198" i="29184"/>
  <c r="AH1198" i="29184"/>
  <c r="AC1199" i="29184"/>
  <c r="AE1199" i="29184"/>
  <c r="AF1199" i="29184"/>
  <c r="AG1199" i="29184"/>
  <c r="AH1199" i="29184"/>
  <c r="AC1202" i="29184"/>
  <c r="AE1202" i="29184"/>
  <c r="AF1202" i="29184"/>
  <c r="AG1202" i="29184"/>
  <c r="AH1202" i="29184"/>
  <c r="AC1203" i="29184"/>
  <c r="AE1203" i="29184"/>
  <c r="AF1203" i="29184"/>
  <c r="AG1203" i="29184"/>
  <c r="AH1203" i="29184"/>
  <c r="AC1204" i="29184"/>
  <c r="AE1204" i="29184"/>
  <c r="AF1204" i="29184"/>
  <c r="AG1204" i="29184"/>
  <c r="AH1204" i="29184"/>
  <c r="AC1205" i="29184"/>
  <c r="AE1205" i="29184"/>
  <c r="AF1205" i="29184"/>
  <c r="AG1205" i="29184"/>
  <c r="AH1205" i="29184"/>
  <c r="AC1206" i="29184"/>
  <c r="AE1206" i="29184"/>
  <c r="AF1206" i="29184"/>
  <c r="AG1206" i="29184"/>
  <c r="AH1206" i="29184"/>
  <c r="AC1207" i="29184"/>
  <c r="AE1207" i="29184"/>
  <c r="AF1207" i="29184"/>
  <c r="AG1207" i="29184"/>
  <c r="AH1207" i="29184"/>
  <c r="AC1208" i="29184"/>
  <c r="AE1208" i="29184"/>
  <c r="AF1208" i="29184"/>
  <c r="AG1208" i="29184"/>
  <c r="AH1208" i="29184"/>
  <c r="AC1209" i="29184"/>
  <c r="AE1209" i="29184"/>
  <c r="AF1209" i="29184"/>
  <c r="AG1209" i="29184"/>
  <c r="AH1209" i="29184"/>
  <c r="AC1212" i="29184"/>
  <c r="AE1212" i="29184"/>
  <c r="AF1212" i="29184"/>
  <c r="AG1212" i="29184"/>
  <c r="AH1212" i="29184"/>
  <c r="AC1213" i="29184"/>
  <c r="AE1213" i="29184"/>
  <c r="AF1213" i="29184"/>
  <c r="AG1213" i="29184"/>
  <c r="AH1213" i="29184"/>
  <c r="AC1214" i="29184"/>
  <c r="AE1214" i="29184"/>
  <c r="AF1214" i="29184"/>
  <c r="AG1214" i="29184"/>
  <c r="AH1214" i="29184"/>
  <c r="AC1215" i="29184"/>
  <c r="AE1215" i="29184"/>
  <c r="AF1215" i="29184"/>
  <c r="AG1215" i="29184"/>
  <c r="AH1215" i="29184"/>
  <c r="AC1216" i="29184"/>
  <c r="AE1216" i="29184"/>
  <c r="AF1216" i="29184"/>
  <c r="AG1216" i="29184"/>
  <c r="AH1216" i="29184"/>
  <c r="AC1217" i="29184"/>
  <c r="AE1217" i="29184"/>
  <c r="AF1217" i="29184"/>
  <c r="AG1217" i="29184"/>
  <c r="AH1217" i="29184"/>
  <c r="AC1218" i="29184"/>
  <c r="AE1218" i="29184"/>
  <c r="AF1218" i="29184"/>
  <c r="AG1218" i="29184"/>
  <c r="AH1218" i="29184"/>
  <c r="AC1219" i="29184"/>
  <c r="AE1219" i="29184"/>
  <c r="AF1219" i="29184"/>
  <c r="AG1219" i="29184"/>
  <c r="AH1219" i="29184"/>
  <c r="AC1222" i="29184"/>
  <c r="AE1222" i="29184"/>
  <c r="AF1222" i="29184"/>
  <c r="AG1222" i="29184"/>
  <c r="AH1222" i="29184"/>
  <c r="AC1223" i="29184"/>
  <c r="AE1223" i="29184"/>
  <c r="AF1223" i="29184"/>
  <c r="AG1223" i="29184"/>
  <c r="AH1223" i="29184"/>
  <c r="AC1224" i="29184"/>
  <c r="AE1224" i="29184"/>
  <c r="AF1224" i="29184"/>
  <c r="AG1224" i="29184"/>
  <c r="AH1224" i="29184"/>
  <c r="AC1225" i="29184"/>
  <c r="AE1225" i="29184"/>
  <c r="AF1225" i="29184"/>
  <c r="AG1225" i="29184"/>
  <c r="AH1225" i="29184"/>
  <c r="AC1226" i="29184"/>
  <c r="AE1226" i="29184"/>
  <c r="AF1226" i="29184"/>
  <c r="AG1226" i="29184"/>
  <c r="AH1226" i="29184"/>
  <c r="AC1227" i="29184"/>
  <c r="AE1227" i="29184"/>
  <c r="AF1227" i="29184"/>
  <c r="AG1227" i="29184"/>
  <c r="AH1227" i="29184"/>
  <c r="AC1228" i="29184"/>
  <c r="AE1228" i="29184"/>
  <c r="AF1228" i="29184"/>
  <c r="AG1228" i="29184"/>
  <c r="AH1228" i="29184"/>
  <c r="AC1229" i="29184"/>
  <c r="AE1229" i="29184"/>
  <c r="AF1229" i="29184"/>
  <c r="AG1229" i="29184"/>
  <c r="AH1229" i="29184"/>
  <c r="AC1232" i="29184"/>
  <c r="AE1232" i="29184"/>
  <c r="AF1232" i="29184"/>
  <c r="AG1232" i="29184"/>
  <c r="AH1232" i="29184"/>
  <c r="AC1233" i="29184"/>
  <c r="AE1233" i="29184"/>
  <c r="AF1233" i="29184"/>
  <c r="AG1233" i="29184"/>
  <c r="AH1233" i="29184"/>
  <c r="AC1234" i="29184"/>
  <c r="AE1234" i="29184"/>
  <c r="AF1234" i="29184"/>
  <c r="AG1234" i="29184"/>
  <c r="AH1234" i="29184"/>
  <c r="AC1235" i="29184"/>
  <c r="AE1235" i="29184"/>
  <c r="AF1235" i="29184"/>
  <c r="AG1235" i="29184"/>
  <c r="AH1235" i="29184"/>
  <c r="AC1236" i="29184"/>
  <c r="AE1236" i="29184"/>
  <c r="AF1236" i="29184"/>
  <c r="AG1236" i="29184"/>
  <c r="AH1236" i="29184"/>
  <c r="AC1237" i="29184"/>
  <c r="AE1237" i="29184"/>
  <c r="AF1237" i="29184"/>
  <c r="AG1237" i="29184"/>
  <c r="AH1237" i="29184"/>
  <c r="AC1238" i="29184"/>
  <c r="AE1238" i="29184"/>
  <c r="AF1238" i="29184"/>
  <c r="AG1238" i="29184"/>
  <c r="AH1238" i="29184"/>
  <c r="AC1239" i="29184"/>
  <c r="AE1239" i="29184"/>
  <c r="AF1239" i="29184"/>
  <c r="AG1239" i="29184"/>
  <c r="AH1239" i="29184"/>
  <c r="AC1242" i="29184"/>
  <c r="AE1242" i="29184"/>
  <c r="AF1242" i="29184"/>
  <c r="AG1242" i="29184"/>
  <c r="AH1242" i="29184"/>
  <c r="AC1243" i="29184"/>
  <c r="AE1243" i="29184"/>
  <c r="AF1243" i="29184"/>
  <c r="AG1243" i="29184"/>
  <c r="AH1243" i="29184"/>
  <c r="AC1244" i="29184"/>
  <c r="AE1244" i="29184"/>
  <c r="AF1244" i="29184"/>
  <c r="AG1244" i="29184"/>
  <c r="AH1244" i="29184"/>
  <c r="AC1245" i="29184"/>
  <c r="AE1245" i="29184"/>
  <c r="AF1245" i="29184"/>
  <c r="AG1245" i="29184"/>
  <c r="AH1245" i="29184"/>
  <c r="AC1246" i="29184"/>
  <c r="AE1246" i="29184"/>
  <c r="AF1246" i="29184"/>
  <c r="AG1246" i="29184"/>
  <c r="AH1246" i="29184"/>
  <c r="AC1247" i="29184"/>
  <c r="AE1247" i="29184"/>
  <c r="AF1247" i="29184"/>
  <c r="AG1247" i="29184"/>
  <c r="AH1247" i="29184"/>
  <c r="AC1248" i="29184"/>
  <c r="AE1248" i="29184"/>
  <c r="AF1248" i="29184"/>
  <c r="AG1248" i="29184"/>
  <c r="AH1248" i="29184"/>
  <c r="AC1249" i="29184"/>
  <c r="AE1249" i="29184"/>
  <c r="AF1249" i="29184"/>
  <c r="AG1249" i="29184"/>
  <c r="AH1249" i="29184"/>
  <c r="AC1252" i="29184"/>
  <c r="AE1252" i="29184"/>
  <c r="AF1252" i="29184"/>
  <c r="AG1252" i="29184"/>
  <c r="AH1252" i="29184"/>
  <c r="AC1253" i="29184"/>
  <c r="AE1253" i="29184"/>
  <c r="AF1253" i="29184"/>
  <c r="AG1253" i="29184"/>
  <c r="AH1253" i="29184"/>
  <c r="AC1254" i="29184"/>
  <c r="AE1254" i="29184"/>
  <c r="AF1254" i="29184"/>
  <c r="AG1254" i="29184"/>
  <c r="AH1254" i="29184"/>
  <c r="AC1255" i="29184"/>
  <c r="AE1255" i="29184"/>
  <c r="AF1255" i="29184"/>
  <c r="AG1255" i="29184"/>
  <c r="AH1255" i="29184"/>
  <c r="AC1256" i="29184"/>
  <c r="AE1256" i="29184"/>
  <c r="AF1256" i="29184"/>
  <c r="AG1256" i="29184"/>
  <c r="AH1256" i="29184"/>
  <c r="AC1257" i="29184"/>
  <c r="AE1257" i="29184"/>
  <c r="AF1257" i="29184"/>
  <c r="AG1257" i="29184"/>
  <c r="AH1257" i="29184"/>
  <c r="AC1258" i="29184"/>
  <c r="AE1258" i="29184"/>
  <c r="AF1258" i="29184"/>
  <c r="AG1258" i="29184"/>
  <c r="AH1258" i="29184"/>
  <c r="AC1259" i="29184"/>
  <c r="AE1259" i="29184"/>
  <c r="AF1259" i="29184"/>
  <c r="AG1259" i="29184"/>
  <c r="AH1259" i="29184"/>
  <c r="AC1262" i="29184"/>
  <c r="AE1262" i="29184"/>
  <c r="AF1262" i="29184"/>
  <c r="AG1262" i="29184"/>
  <c r="AH1262" i="29184"/>
  <c r="AC1263" i="29184"/>
  <c r="AE1263" i="29184"/>
  <c r="AF1263" i="29184"/>
  <c r="AG1263" i="29184"/>
  <c r="AH1263" i="29184"/>
  <c r="AC1264" i="29184"/>
  <c r="AE1264" i="29184"/>
  <c r="AF1264" i="29184"/>
  <c r="AG1264" i="29184"/>
  <c r="AH1264" i="29184"/>
  <c r="AC1265" i="29184"/>
  <c r="AE1265" i="29184"/>
  <c r="AF1265" i="29184"/>
  <c r="AG1265" i="29184"/>
  <c r="AH1265" i="29184"/>
  <c r="AC1266" i="29184"/>
  <c r="AE1266" i="29184"/>
  <c r="AF1266" i="29184"/>
  <c r="AG1266" i="29184"/>
  <c r="AH1266" i="29184"/>
  <c r="AC1267" i="29184"/>
  <c r="AE1267" i="29184"/>
  <c r="AF1267" i="29184"/>
  <c r="AG1267" i="29184"/>
  <c r="AH1267" i="29184"/>
  <c r="AC1268" i="29184"/>
  <c r="AE1268" i="29184"/>
  <c r="AF1268" i="29184"/>
  <c r="AG1268" i="29184"/>
  <c r="AH1268" i="29184"/>
  <c r="AC1269" i="29184"/>
  <c r="AE1269" i="29184"/>
  <c r="AF1269" i="29184"/>
  <c r="AG1269" i="29184"/>
  <c r="AH1269" i="29184"/>
  <c r="AC1272" i="29184"/>
  <c r="AE1272" i="29184"/>
  <c r="AF1272" i="29184"/>
  <c r="AG1272" i="29184"/>
  <c r="AH1272" i="29184"/>
  <c r="AC1273" i="29184"/>
  <c r="AE1273" i="29184"/>
  <c r="AF1273" i="29184"/>
  <c r="AG1273" i="29184"/>
  <c r="AH1273" i="29184"/>
  <c r="AC1274" i="29184"/>
  <c r="AE1274" i="29184"/>
  <c r="AF1274" i="29184"/>
  <c r="AG1274" i="29184"/>
  <c r="AH1274" i="29184"/>
  <c r="AC1275" i="29184"/>
  <c r="AE1275" i="29184"/>
  <c r="AF1275" i="29184"/>
  <c r="AG1275" i="29184"/>
  <c r="AH1275" i="29184"/>
  <c r="AC1276" i="29184"/>
  <c r="AE1276" i="29184"/>
  <c r="AF1276" i="29184"/>
  <c r="AG1276" i="29184"/>
  <c r="AH1276" i="29184"/>
  <c r="AC1277" i="29184"/>
  <c r="AE1277" i="29184"/>
  <c r="AF1277" i="29184"/>
  <c r="AG1277" i="29184"/>
  <c r="AH1277" i="29184"/>
  <c r="AC1278" i="29184"/>
  <c r="AE1278" i="29184"/>
  <c r="AF1278" i="29184"/>
  <c r="AG1278" i="29184"/>
  <c r="AH1278" i="29184"/>
  <c r="AC1279" i="29184"/>
  <c r="AE1279" i="29184"/>
  <c r="AF1279" i="29184"/>
  <c r="AG1279" i="29184"/>
  <c r="AH1279" i="29184"/>
  <c r="AC1282" i="29184"/>
  <c r="AE1282" i="29184"/>
  <c r="AF1282" i="29184"/>
  <c r="AG1282" i="29184"/>
  <c r="AH1282" i="29184"/>
  <c r="AC1283" i="29184"/>
  <c r="AE1283" i="29184"/>
  <c r="AF1283" i="29184"/>
  <c r="AG1283" i="29184"/>
  <c r="AH1283" i="29184"/>
  <c r="AC1284" i="29184"/>
  <c r="AE1284" i="29184"/>
  <c r="AF1284" i="29184"/>
  <c r="AG1284" i="29184"/>
  <c r="AH1284" i="29184"/>
  <c r="AC1285" i="29184"/>
  <c r="AE1285" i="29184"/>
  <c r="AF1285" i="29184"/>
  <c r="AG1285" i="29184"/>
  <c r="AH1285" i="29184"/>
  <c r="AC1286" i="29184"/>
  <c r="AE1286" i="29184"/>
  <c r="AF1286" i="29184"/>
  <c r="AG1286" i="29184"/>
  <c r="AH1286" i="29184"/>
  <c r="AC1287" i="29184"/>
  <c r="AE1287" i="29184"/>
  <c r="AF1287" i="29184"/>
  <c r="AG1287" i="29184"/>
  <c r="AH1287" i="29184"/>
  <c r="AC1288" i="29184"/>
  <c r="AE1288" i="29184"/>
  <c r="AF1288" i="29184"/>
  <c r="AG1288" i="29184"/>
  <c r="AH1288" i="29184"/>
  <c r="AC1289" i="29184"/>
  <c r="AE1289" i="29184"/>
  <c r="AF1289" i="29184"/>
  <c r="AG1289" i="29184"/>
  <c r="AH1289" i="29184"/>
  <c r="AC1292" i="29184"/>
  <c r="AE1292" i="29184"/>
  <c r="AF1292" i="29184"/>
  <c r="AG1292" i="29184"/>
  <c r="AH1292" i="29184"/>
  <c r="AC1293" i="29184"/>
  <c r="AE1293" i="29184"/>
  <c r="AF1293" i="29184"/>
  <c r="AG1293" i="29184"/>
  <c r="AH1293" i="29184"/>
  <c r="AC1294" i="29184"/>
  <c r="AE1294" i="29184"/>
  <c r="AF1294" i="29184"/>
  <c r="AG1294" i="29184"/>
  <c r="AH1294" i="29184"/>
  <c r="AC1295" i="29184"/>
  <c r="AE1295" i="29184"/>
  <c r="AF1295" i="29184"/>
  <c r="AG1295" i="29184"/>
  <c r="AH1295" i="29184"/>
  <c r="AC1296" i="29184"/>
  <c r="AE1296" i="29184"/>
  <c r="AF1296" i="29184"/>
  <c r="AG1296" i="29184"/>
  <c r="AH1296" i="29184"/>
  <c r="AC1297" i="29184"/>
  <c r="AE1297" i="29184"/>
  <c r="AF1297" i="29184"/>
  <c r="AG1297" i="29184"/>
  <c r="AH1297" i="29184"/>
  <c r="AC1298" i="29184"/>
  <c r="AE1298" i="29184"/>
  <c r="AF1298" i="29184"/>
  <c r="AG1298" i="29184"/>
  <c r="AH1298" i="29184"/>
  <c r="AC1299" i="29184"/>
  <c r="AE1299" i="29184"/>
  <c r="AF1299" i="29184"/>
  <c r="AG1299" i="29184"/>
  <c r="AH1299" i="29184"/>
  <c r="AK1303" i="29184"/>
  <c r="V1324" i="29184"/>
  <c r="Z1335" i="29184" s="1"/>
  <c r="V1346" i="29184" s="1"/>
  <c r="Z1357" i="29184" s="1"/>
  <c r="V1368" i="29184" s="1"/>
  <c r="Z1379" i="29184" s="1"/>
  <c r="V1390" i="29184" s="1"/>
  <c r="Z1401" i="29184" s="1"/>
  <c r="V1412" i="29184" s="1"/>
  <c r="Z1423" i="29184" s="1"/>
  <c r="V1434" i="29184" s="1"/>
  <c r="Z1445" i="29184" s="1"/>
  <c r="V1456" i="29184" s="1"/>
  <c r="Z1467" i="29184" s="1"/>
  <c r="V1478" i="29184" s="1"/>
  <c r="Z1489" i="29184" s="1"/>
  <c r="V1500" i="29184" s="1"/>
  <c r="Z1324" i="29184"/>
  <c r="V1336" i="29184" s="1"/>
  <c r="Z1348" i="29184" s="1"/>
  <c r="V1360" i="29184" s="1"/>
  <c r="Z1372" i="29184" s="1"/>
  <c r="V1384" i="29184" s="1"/>
  <c r="Z1396" i="29184" s="1"/>
  <c r="V1408" i="29184" s="1"/>
  <c r="Z1420" i="29184" s="1"/>
  <c r="Z1431" i="29184" s="1"/>
  <c r="V1441" i="29184" s="1"/>
  <c r="Z1451" i="29184" s="1"/>
  <c r="V1461" i="29184" s="1"/>
  <c r="Z1471" i="29184" s="1"/>
  <c r="V1481" i="29184" s="1"/>
  <c r="Z1491" i="29184" s="1"/>
  <c r="V1501" i="29184" s="1"/>
  <c r="AC1324" i="29184"/>
  <c r="AE1324" i="29184"/>
  <c r="AF1324" i="29184"/>
  <c r="AG1324" i="29184"/>
  <c r="AH1324" i="29184"/>
  <c r="V1325" i="29184"/>
  <c r="V1335" i="29184" s="1"/>
  <c r="Z1347" i="29184" s="1"/>
  <c r="V1359" i="29184" s="1"/>
  <c r="Z1371" i="29184" s="1"/>
  <c r="V1383" i="29184" s="1"/>
  <c r="Z1395" i="29184" s="1"/>
  <c r="V1407" i="29184" s="1"/>
  <c r="Z1419" i="29184" s="1"/>
  <c r="V1431" i="29184" s="1"/>
  <c r="V1442" i="29184" s="1"/>
  <c r="Z1452" i="29184" s="1"/>
  <c r="V1462" i="29184" s="1"/>
  <c r="Z1472" i="29184" s="1"/>
  <c r="V1482" i="29184" s="1"/>
  <c r="Z1492" i="29184" s="1"/>
  <c r="V1502" i="29184" s="1"/>
  <c r="Z1325" i="29184"/>
  <c r="V1337" i="29184" s="1"/>
  <c r="Z1349" i="29184" s="1"/>
  <c r="V1361" i="29184" s="1"/>
  <c r="Z1373" i="29184" s="1"/>
  <c r="V1385" i="29184" s="1"/>
  <c r="Z1397" i="29184" s="1"/>
  <c r="V1409" i="29184" s="1"/>
  <c r="V1420" i="29184" s="1"/>
  <c r="Z1430" i="29184" s="1"/>
  <c r="V1440" i="29184" s="1"/>
  <c r="Z1450" i="29184" s="1"/>
  <c r="V1460" i="29184" s="1"/>
  <c r="Z1470" i="29184" s="1"/>
  <c r="V1480" i="29184" s="1"/>
  <c r="Z1490" i="29184" s="1"/>
  <c r="Z1500" i="29184" s="1"/>
  <c r="AC1325" i="29184"/>
  <c r="AE1325" i="29184"/>
  <c r="AF1325" i="29184"/>
  <c r="AG1325" i="29184"/>
  <c r="AH1325" i="29184"/>
  <c r="V1326" i="29184"/>
  <c r="Z1336" i="29184" s="1"/>
  <c r="Z1346" i="29184" s="1"/>
  <c r="V1358" i="29184" s="1"/>
  <c r="Z1370" i="29184" s="1"/>
  <c r="V1382" i="29184" s="1"/>
  <c r="Z1394" i="29184" s="1"/>
  <c r="V1406" i="29184" s="1"/>
  <c r="Z1418" i="29184" s="1"/>
  <c r="V1430" i="29184" s="1"/>
  <c r="Z1442" i="29184" s="1"/>
  <c r="Z1453" i="29184" s="1"/>
  <c r="V1463" i="29184" s="1"/>
  <c r="Z1473" i="29184" s="1"/>
  <c r="V1483" i="29184" s="1"/>
  <c r="Z1493" i="29184" s="1"/>
  <c r="V1503" i="29184" s="1"/>
  <c r="Z1326" i="29184"/>
  <c r="V1338" i="29184" s="1"/>
  <c r="Z1350" i="29184" s="1"/>
  <c r="V1362" i="29184" s="1"/>
  <c r="Z1374" i="29184" s="1"/>
  <c r="V1386" i="29184" s="1"/>
  <c r="Z1398" i="29184" s="1"/>
  <c r="Z1409" i="29184" s="1"/>
  <c r="V1419" i="29184" s="1"/>
  <c r="Z1429" i="29184" s="1"/>
  <c r="V1439" i="29184" s="1"/>
  <c r="Z1449" i="29184" s="1"/>
  <c r="V1459" i="29184" s="1"/>
  <c r="Z1469" i="29184" s="1"/>
  <c r="V1479" i="29184" s="1"/>
  <c r="V1489" i="29184" s="1"/>
  <c r="Z1501" i="29184" s="1"/>
  <c r="AC1326" i="29184"/>
  <c r="AE1326" i="29184"/>
  <c r="AF1326" i="29184"/>
  <c r="AG1326" i="29184"/>
  <c r="AH1326" i="29184"/>
  <c r="V1327" i="29184"/>
  <c r="Z1337" i="29184" s="1"/>
  <c r="V1347" i="29184" s="1"/>
  <c r="V1357" i="29184" s="1"/>
  <c r="Z1369" i="29184" s="1"/>
  <c r="V1381" i="29184" s="1"/>
  <c r="Z1393" i="29184" s="1"/>
  <c r="V1405" i="29184" s="1"/>
  <c r="Z1417" i="29184" s="1"/>
  <c r="V1429" i="29184" s="1"/>
  <c r="Z1441" i="29184" s="1"/>
  <c r="V1453" i="29184" s="1"/>
  <c r="V1464" i="29184" s="1"/>
  <c r="Z1474" i="29184" s="1"/>
  <c r="V1484" i="29184" s="1"/>
  <c r="Z1494" i="29184" s="1"/>
  <c r="V1504" i="29184" s="1"/>
  <c r="Z1327" i="29184"/>
  <c r="V1339" i="29184" s="1"/>
  <c r="Z1351" i="29184" s="1"/>
  <c r="V1363" i="29184" s="1"/>
  <c r="Z1375" i="29184" s="1"/>
  <c r="V1387" i="29184" s="1"/>
  <c r="V1398" i="29184" s="1"/>
  <c r="Z1408" i="29184" s="1"/>
  <c r="V1418" i="29184" s="1"/>
  <c r="Z1428" i="29184" s="1"/>
  <c r="V1438" i="29184" s="1"/>
  <c r="Z1448" i="29184" s="1"/>
  <c r="V1458" i="29184" s="1"/>
  <c r="Z1468" i="29184" s="1"/>
  <c r="Z1478" i="29184" s="1"/>
  <c r="V1490" i="29184" s="1"/>
  <c r="Z1502" i="29184" s="1"/>
  <c r="AC1327" i="29184"/>
  <c r="AE1327" i="29184"/>
  <c r="AF1327" i="29184"/>
  <c r="AG1327" i="29184"/>
  <c r="AH1327" i="29184"/>
  <c r="V1328" i="29184"/>
  <c r="Z1338" i="29184" s="1"/>
  <c r="V1348" i="29184" s="1"/>
  <c r="Z1358" i="29184" s="1"/>
  <c r="Z1368" i="29184" s="1"/>
  <c r="V1380" i="29184" s="1"/>
  <c r="Z1392" i="29184" s="1"/>
  <c r="V1404" i="29184" s="1"/>
  <c r="Z1416" i="29184" s="1"/>
  <c r="V1428" i="29184" s="1"/>
  <c r="Z1440" i="29184" s="1"/>
  <c r="V1452" i="29184" s="1"/>
  <c r="Z1464" i="29184" s="1"/>
  <c r="Z1475" i="29184" s="1"/>
  <c r="V1485" i="29184" s="1"/>
  <c r="Z1495" i="29184" s="1"/>
  <c r="V1505" i="29184" s="1"/>
  <c r="Z1328" i="29184"/>
  <c r="V1340" i="29184" s="1"/>
  <c r="Z1352" i="29184" s="1"/>
  <c r="V1364" i="29184" s="1"/>
  <c r="Z1376" i="29184" s="1"/>
  <c r="Z1387" i="29184" s="1"/>
  <c r="V1397" i="29184" s="1"/>
  <c r="Z1407" i="29184" s="1"/>
  <c r="V1417" i="29184" s="1"/>
  <c r="Z1427" i="29184" s="1"/>
  <c r="V1437" i="29184" s="1"/>
  <c r="Z1447" i="29184" s="1"/>
  <c r="V1457" i="29184" s="1"/>
  <c r="V1467" i="29184" s="1"/>
  <c r="Z1479" i="29184" s="1"/>
  <c r="V1491" i="29184" s="1"/>
  <c r="Z1503" i="29184" s="1"/>
  <c r="AC1328" i="29184"/>
  <c r="AE1328" i="29184"/>
  <c r="AF1328" i="29184"/>
  <c r="AG1328" i="29184"/>
  <c r="AH1328" i="29184"/>
  <c r="V1329" i="29184"/>
  <c r="Z1339" i="29184" s="1"/>
  <c r="V1349" i="29184" s="1"/>
  <c r="Z1359" i="29184" s="1"/>
  <c r="V1369" i="29184" s="1"/>
  <c r="V1379" i="29184" s="1"/>
  <c r="Z1391" i="29184" s="1"/>
  <c r="V1403" i="29184" s="1"/>
  <c r="Z1415" i="29184" s="1"/>
  <c r="V1427" i="29184" s="1"/>
  <c r="Z1439" i="29184" s="1"/>
  <c r="V1451" i="29184" s="1"/>
  <c r="Z1463" i="29184" s="1"/>
  <c r="V1475" i="29184" s="1"/>
  <c r="V1486" i="29184" s="1"/>
  <c r="Z1496" i="29184" s="1"/>
  <c r="V1506" i="29184" s="1"/>
  <c r="Z1329" i="29184"/>
  <c r="V1341" i="29184" s="1"/>
  <c r="Z1353" i="29184" s="1"/>
  <c r="V1365" i="29184" s="1"/>
  <c r="V1376" i="29184" s="1"/>
  <c r="Z1386" i="29184" s="1"/>
  <c r="V1396" i="29184" s="1"/>
  <c r="Z1406" i="29184" s="1"/>
  <c r="V1416" i="29184" s="1"/>
  <c r="Z1426" i="29184" s="1"/>
  <c r="V1436" i="29184" s="1"/>
  <c r="Z1446" i="29184" s="1"/>
  <c r="Z1456" i="29184" s="1"/>
  <c r="V1468" i="29184" s="1"/>
  <c r="Z1480" i="29184" s="1"/>
  <c r="V1492" i="29184" s="1"/>
  <c r="Z1504" i="29184" s="1"/>
  <c r="AC1329" i="29184"/>
  <c r="AE1329" i="29184"/>
  <c r="AF1329" i="29184"/>
  <c r="AG1329" i="29184"/>
  <c r="AH1329" i="29184"/>
  <c r="V1330" i="29184"/>
  <c r="Z1340" i="29184" s="1"/>
  <c r="V1350" i="29184" s="1"/>
  <c r="Z1360" i="29184" s="1"/>
  <c r="V1370" i="29184" s="1"/>
  <c r="Z1380" i="29184" s="1"/>
  <c r="Z1390" i="29184" s="1"/>
  <c r="V1402" i="29184" s="1"/>
  <c r="Z1414" i="29184" s="1"/>
  <c r="V1426" i="29184" s="1"/>
  <c r="Z1438" i="29184" s="1"/>
  <c r="V1450" i="29184" s="1"/>
  <c r="Z1462" i="29184" s="1"/>
  <c r="V1474" i="29184" s="1"/>
  <c r="Z1486" i="29184" s="1"/>
  <c r="Z1497" i="29184" s="1"/>
  <c r="V1507" i="29184" s="1"/>
  <c r="Z1330" i="29184"/>
  <c r="V1342" i="29184" s="1"/>
  <c r="Z1354" i="29184" s="1"/>
  <c r="Z1365" i="29184" s="1"/>
  <c r="V1375" i="29184" s="1"/>
  <c r="Z1385" i="29184" s="1"/>
  <c r="V1395" i="29184" s="1"/>
  <c r="Z1405" i="29184" s="1"/>
  <c r="V1415" i="29184" s="1"/>
  <c r="Z1425" i="29184" s="1"/>
  <c r="V1435" i="29184" s="1"/>
  <c r="V1445" i="29184" s="1"/>
  <c r="Z1457" i="29184" s="1"/>
  <c r="V1469" i="29184" s="1"/>
  <c r="Z1481" i="29184" s="1"/>
  <c r="V1493" i="29184" s="1"/>
  <c r="Z1505" i="29184" s="1"/>
  <c r="AC1330" i="29184"/>
  <c r="AE1330" i="29184"/>
  <c r="AF1330" i="29184"/>
  <c r="AG1330" i="29184"/>
  <c r="AH1330" i="29184"/>
  <c r="V1331" i="29184"/>
  <c r="Z1341" i="29184" s="1"/>
  <c r="V1351" i="29184" s="1"/>
  <c r="Z1361" i="29184" s="1"/>
  <c r="V1371" i="29184" s="1"/>
  <c r="Z1381" i="29184" s="1"/>
  <c r="V1391" i="29184" s="1"/>
  <c r="V1401" i="29184" s="1"/>
  <c r="Z1413" i="29184" s="1"/>
  <c r="V1425" i="29184" s="1"/>
  <c r="Z1437" i="29184" s="1"/>
  <c r="V1449" i="29184" s="1"/>
  <c r="Z1461" i="29184" s="1"/>
  <c r="V1473" i="29184" s="1"/>
  <c r="Z1485" i="29184" s="1"/>
  <c r="V1497" i="29184" s="1"/>
  <c r="V1508" i="29184" s="1"/>
  <c r="Z1331" i="29184"/>
  <c r="V1343" i="29184" s="1"/>
  <c r="V1354" i="29184" s="1"/>
  <c r="Z1364" i="29184" s="1"/>
  <c r="V1374" i="29184" s="1"/>
  <c r="Z1384" i="29184" s="1"/>
  <c r="V1394" i="29184" s="1"/>
  <c r="Z1404" i="29184" s="1"/>
  <c r="V1414" i="29184" s="1"/>
  <c r="Z1424" i="29184" s="1"/>
  <c r="Z1434" i="29184" s="1"/>
  <c r="V1446" i="29184" s="1"/>
  <c r="Z1458" i="29184" s="1"/>
  <c r="V1470" i="29184" s="1"/>
  <c r="Z1482" i="29184" s="1"/>
  <c r="V1494" i="29184" s="1"/>
  <c r="Z1506" i="29184" s="1"/>
  <c r="AC1331" i="29184"/>
  <c r="AE1331" i="29184"/>
  <c r="AF1331" i="29184"/>
  <c r="AG1331" i="29184"/>
  <c r="AH1331" i="29184"/>
  <c r="V1332" i="29184"/>
  <c r="Z1342" i="29184" s="1"/>
  <c r="V1352" i="29184" s="1"/>
  <c r="Z1362" i="29184" s="1"/>
  <c r="V1372" i="29184" s="1"/>
  <c r="Z1382" i="29184" s="1"/>
  <c r="V1392" i="29184" s="1"/>
  <c r="Z1402" i="29184" s="1"/>
  <c r="Z1412" i="29184" s="1"/>
  <c r="V1424" i="29184" s="1"/>
  <c r="Z1436" i="29184" s="1"/>
  <c r="V1448" i="29184" s="1"/>
  <c r="Z1460" i="29184" s="1"/>
  <c r="V1472" i="29184" s="1"/>
  <c r="Z1484" i="29184" s="1"/>
  <c r="V1496" i="29184" s="1"/>
  <c r="Z1508" i="29184" s="1"/>
  <c r="Z1332" i="29184"/>
  <c r="Z1343" i="29184" s="1"/>
  <c r="V1353" i="29184" s="1"/>
  <c r="Z1363" i="29184" s="1"/>
  <c r="V1373" i="29184" s="1"/>
  <c r="Z1383" i="29184" s="1"/>
  <c r="V1393" i="29184" s="1"/>
  <c r="Z1403" i="29184" s="1"/>
  <c r="V1413" i="29184" s="1"/>
  <c r="V1423" i="29184" s="1"/>
  <c r="Z1435" i="29184" s="1"/>
  <c r="V1447" i="29184" s="1"/>
  <c r="Z1459" i="29184" s="1"/>
  <c r="V1471" i="29184" s="1"/>
  <c r="Z1483" i="29184" s="1"/>
  <c r="V1495" i="29184" s="1"/>
  <c r="Z1507" i="29184" s="1"/>
  <c r="AC1332" i="29184"/>
  <c r="AE1332" i="29184"/>
  <c r="AF1332" i="29184"/>
  <c r="AG1332" i="29184"/>
  <c r="AH1332" i="29184"/>
  <c r="S1333" i="29184"/>
  <c r="S1344" i="29184" s="1"/>
  <c r="S1355" i="29184" s="1"/>
  <c r="S1366" i="29184" s="1"/>
  <c r="S1377" i="29184" s="1"/>
  <c r="S1388" i="29184" s="1"/>
  <c r="S1399" i="29184" s="1"/>
  <c r="S1410" i="29184" s="1"/>
  <c r="S1421" i="29184" s="1"/>
  <c r="S1432" i="29184" s="1"/>
  <c r="S1443" i="29184" s="1"/>
  <c r="S1454" i="29184" s="1"/>
  <c r="S1465" i="29184" s="1"/>
  <c r="S1476" i="29184" s="1"/>
  <c r="S1487" i="29184" s="1"/>
  <c r="S1498" i="29184" s="1"/>
  <c r="AC1335" i="29184"/>
  <c r="AE1335" i="29184"/>
  <c r="AF1335" i="29184"/>
  <c r="AG1335" i="29184"/>
  <c r="AH1335" i="29184"/>
  <c r="AC1336" i="29184"/>
  <c r="AE1336" i="29184"/>
  <c r="AF1336" i="29184"/>
  <c r="AG1336" i="29184"/>
  <c r="AH1336" i="29184"/>
  <c r="AC1337" i="29184"/>
  <c r="AE1337" i="29184"/>
  <c r="AF1337" i="29184"/>
  <c r="AG1337" i="29184"/>
  <c r="AH1337" i="29184"/>
  <c r="AC1338" i="29184"/>
  <c r="AE1338" i="29184"/>
  <c r="AF1338" i="29184"/>
  <c r="AG1338" i="29184"/>
  <c r="AH1338" i="29184"/>
  <c r="AC1339" i="29184"/>
  <c r="AE1339" i="29184"/>
  <c r="AF1339" i="29184"/>
  <c r="AG1339" i="29184"/>
  <c r="AH1339" i="29184"/>
  <c r="AC1340" i="29184"/>
  <c r="AE1340" i="29184"/>
  <c r="AF1340" i="29184"/>
  <c r="AG1340" i="29184"/>
  <c r="AH1340" i="29184"/>
  <c r="AC1341" i="29184"/>
  <c r="AE1341" i="29184"/>
  <c r="AF1341" i="29184"/>
  <c r="AG1341" i="29184"/>
  <c r="AH1341" i="29184"/>
  <c r="AC1342" i="29184"/>
  <c r="AE1342" i="29184"/>
  <c r="AF1342" i="29184"/>
  <c r="AG1342" i="29184"/>
  <c r="AH1342" i="29184"/>
  <c r="AC1343" i="29184"/>
  <c r="AE1343" i="29184"/>
  <c r="AF1343" i="29184"/>
  <c r="AG1343" i="29184"/>
  <c r="AH1343" i="29184"/>
  <c r="AC1346" i="29184"/>
  <c r="AE1346" i="29184"/>
  <c r="AF1346" i="29184"/>
  <c r="AG1346" i="29184"/>
  <c r="AH1346" i="29184"/>
  <c r="AC1347" i="29184"/>
  <c r="AE1347" i="29184"/>
  <c r="AF1347" i="29184"/>
  <c r="AG1347" i="29184"/>
  <c r="AH1347" i="29184"/>
  <c r="AC1348" i="29184"/>
  <c r="AE1348" i="29184"/>
  <c r="AF1348" i="29184"/>
  <c r="AG1348" i="29184"/>
  <c r="AH1348" i="29184"/>
  <c r="AC1349" i="29184"/>
  <c r="AE1349" i="29184"/>
  <c r="AF1349" i="29184"/>
  <c r="AG1349" i="29184"/>
  <c r="AH1349" i="29184"/>
  <c r="AC1350" i="29184"/>
  <c r="AE1350" i="29184"/>
  <c r="AF1350" i="29184"/>
  <c r="AG1350" i="29184"/>
  <c r="AH1350" i="29184"/>
  <c r="AC1351" i="29184"/>
  <c r="AE1351" i="29184"/>
  <c r="AF1351" i="29184"/>
  <c r="AG1351" i="29184"/>
  <c r="AH1351" i="29184"/>
  <c r="AC1352" i="29184"/>
  <c r="AE1352" i="29184"/>
  <c r="AF1352" i="29184"/>
  <c r="AG1352" i="29184"/>
  <c r="AH1352" i="29184"/>
  <c r="AC1353" i="29184"/>
  <c r="AE1353" i="29184"/>
  <c r="AF1353" i="29184"/>
  <c r="AG1353" i="29184"/>
  <c r="AH1353" i="29184"/>
  <c r="AC1354" i="29184"/>
  <c r="AE1354" i="29184"/>
  <c r="AF1354" i="29184"/>
  <c r="AG1354" i="29184"/>
  <c r="AH1354" i="29184"/>
  <c r="AC1357" i="29184"/>
  <c r="AE1357" i="29184"/>
  <c r="AF1357" i="29184"/>
  <c r="AG1357" i="29184"/>
  <c r="AH1357" i="29184"/>
  <c r="AC1358" i="29184"/>
  <c r="AE1358" i="29184"/>
  <c r="AF1358" i="29184"/>
  <c r="AG1358" i="29184"/>
  <c r="AH1358" i="29184"/>
  <c r="AC1359" i="29184"/>
  <c r="AE1359" i="29184"/>
  <c r="AF1359" i="29184"/>
  <c r="AG1359" i="29184"/>
  <c r="AH1359" i="29184"/>
  <c r="AC1360" i="29184"/>
  <c r="AE1360" i="29184"/>
  <c r="AF1360" i="29184"/>
  <c r="AG1360" i="29184"/>
  <c r="AH1360" i="29184"/>
  <c r="AC1361" i="29184"/>
  <c r="AE1361" i="29184"/>
  <c r="AF1361" i="29184"/>
  <c r="AG1361" i="29184"/>
  <c r="AH1361" i="29184"/>
  <c r="AC1362" i="29184"/>
  <c r="AE1362" i="29184"/>
  <c r="AF1362" i="29184"/>
  <c r="AG1362" i="29184"/>
  <c r="AH1362" i="29184"/>
  <c r="AC1363" i="29184"/>
  <c r="AE1363" i="29184"/>
  <c r="AF1363" i="29184"/>
  <c r="AG1363" i="29184"/>
  <c r="AH1363" i="29184"/>
  <c r="AC1364" i="29184"/>
  <c r="AE1364" i="29184"/>
  <c r="AF1364" i="29184"/>
  <c r="AG1364" i="29184"/>
  <c r="AH1364" i="29184"/>
  <c r="AC1365" i="29184"/>
  <c r="AE1365" i="29184"/>
  <c r="AF1365" i="29184"/>
  <c r="AG1365" i="29184"/>
  <c r="AH1365" i="29184"/>
  <c r="AC1368" i="29184"/>
  <c r="AE1368" i="29184"/>
  <c r="AF1368" i="29184"/>
  <c r="AG1368" i="29184"/>
  <c r="AH1368" i="29184"/>
  <c r="AC1369" i="29184"/>
  <c r="AE1369" i="29184"/>
  <c r="AF1369" i="29184"/>
  <c r="AG1369" i="29184"/>
  <c r="AH1369" i="29184"/>
  <c r="AC1370" i="29184"/>
  <c r="AE1370" i="29184"/>
  <c r="AF1370" i="29184"/>
  <c r="AG1370" i="29184"/>
  <c r="AH1370" i="29184"/>
  <c r="AC1371" i="29184"/>
  <c r="AE1371" i="29184"/>
  <c r="AF1371" i="29184"/>
  <c r="AG1371" i="29184"/>
  <c r="AH1371" i="29184"/>
  <c r="AC1372" i="29184"/>
  <c r="AE1372" i="29184"/>
  <c r="AF1372" i="29184"/>
  <c r="AG1372" i="29184"/>
  <c r="AH1372" i="29184"/>
  <c r="AC1373" i="29184"/>
  <c r="AE1373" i="29184"/>
  <c r="AF1373" i="29184"/>
  <c r="AG1373" i="29184"/>
  <c r="AH1373" i="29184"/>
  <c r="AC1374" i="29184"/>
  <c r="AE1374" i="29184"/>
  <c r="AF1374" i="29184"/>
  <c r="AG1374" i="29184"/>
  <c r="AH1374" i="29184"/>
  <c r="AC1375" i="29184"/>
  <c r="AE1375" i="29184"/>
  <c r="AF1375" i="29184"/>
  <c r="AG1375" i="29184"/>
  <c r="AH1375" i="29184"/>
  <c r="AC1376" i="29184"/>
  <c r="AE1376" i="29184"/>
  <c r="AF1376" i="29184"/>
  <c r="AG1376" i="29184"/>
  <c r="AH1376" i="29184"/>
  <c r="AC1379" i="29184"/>
  <c r="AE1379" i="29184"/>
  <c r="AF1379" i="29184"/>
  <c r="AG1379" i="29184"/>
  <c r="AH1379" i="29184"/>
  <c r="AC1380" i="29184"/>
  <c r="AE1380" i="29184"/>
  <c r="AF1380" i="29184"/>
  <c r="AG1380" i="29184"/>
  <c r="AH1380" i="29184"/>
  <c r="AC1381" i="29184"/>
  <c r="AE1381" i="29184"/>
  <c r="AF1381" i="29184"/>
  <c r="AG1381" i="29184"/>
  <c r="AH1381" i="29184"/>
  <c r="AC1382" i="29184"/>
  <c r="AE1382" i="29184"/>
  <c r="AF1382" i="29184"/>
  <c r="AG1382" i="29184"/>
  <c r="AH1382" i="29184"/>
  <c r="AC1383" i="29184"/>
  <c r="AE1383" i="29184"/>
  <c r="AF1383" i="29184"/>
  <c r="AG1383" i="29184"/>
  <c r="AH1383" i="29184"/>
  <c r="AC1384" i="29184"/>
  <c r="AE1384" i="29184"/>
  <c r="AF1384" i="29184"/>
  <c r="AG1384" i="29184"/>
  <c r="AH1384" i="29184"/>
  <c r="AC1385" i="29184"/>
  <c r="AE1385" i="29184"/>
  <c r="AF1385" i="29184"/>
  <c r="AG1385" i="29184"/>
  <c r="AH1385" i="29184"/>
  <c r="AC1386" i="29184"/>
  <c r="AE1386" i="29184"/>
  <c r="AF1386" i="29184"/>
  <c r="AG1386" i="29184"/>
  <c r="AH1386" i="29184"/>
  <c r="AC1387" i="29184"/>
  <c r="AE1387" i="29184"/>
  <c r="AF1387" i="29184"/>
  <c r="AG1387" i="29184"/>
  <c r="AH1387" i="29184"/>
  <c r="AC1390" i="29184"/>
  <c r="AE1390" i="29184"/>
  <c r="AF1390" i="29184"/>
  <c r="AG1390" i="29184"/>
  <c r="AH1390" i="29184"/>
  <c r="AC1391" i="29184"/>
  <c r="AE1391" i="29184"/>
  <c r="AF1391" i="29184"/>
  <c r="AG1391" i="29184"/>
  <c r="AH1391" i="29184"/>
  <c r="AC1392" i="29184"/>
  <c r="AE1392" i="29184"/>
  <c r="AF1392" i="29184"/>
  <c r="AG1392" i="29184"/>
  <c r="AH1392" i="29184"/>
  <c r="AC1393" i="29184"/>
  <c r="AE1393" i="29184"/>
  <c r="AF1393" i="29184"/>
  <c r="AG1393" i="29184"/>
  <c r="AH1393" i="29184"/>
  <c r="AC1394" i="29184"/>
  <c r="AE1394" i="29184"/>
  <c r="AF1394" i="29184"/>
  <c r="AG1394" i="29184"/>
  <c r="AH1394" i="29184"/>
  <c r="AC1395" i="29184"/>
  <c r="AE1395" i="29184"/>
  <c r="AF1395" i="29184"/>
  <c r="AG1395" i="29184"/>
  <c r="AH1395" i="29184"/>
  <c r="AC1396" i="29184"/>
  <c r="AE1396" i="29184"/>
  <c r="AF1396" i="29184"/>
  <c r="AG1396" i="29184"/>
  <c r="AH1396" i="29184"/>
  <c r="AC1397" i="29184"/>
  <c r="AE1397" i="29184"/>
  <c r="AF1397" i="29184"/>
  <c r="AG1397" i="29184"/>
  <c r="AH1397" i="29184"/>
  <c r="AC1398" i="29184"/>
  <c r="AE1398" i="29184"/>
  <c r="AF1398" i="29184"/>
  <c r="AG1398" i="29184"/>
  <c r="AH1398" i="29184"/>
  <c r="AC1401" i="29184"/>
  <c r="AE1401" i="29184"/>
  <c r="AF1401" i="29184"/>
  <c r="AG1401" i="29184"/>
  <c r="AH1401" i="29184"/>
  <c r="AC1402" i="29184"/>
  <c r="AE1402" i="29184"/>
  <c r="AF1402" i="29184"/>
  <c r="AG1402" i="29184"/>
  <c r="AH1402" i="29184"/>
  <c r="AC1403" i="29184"/>
  <c r="AE1403" i="29184"/>
  <c r="AF1403" i="29184"/>
  <c r="AG1403" i="29184"/>
  <c r="AH1403" i="29184"/>
  <c r="AC1404" i="29184"/>
  <c r="AE1404" i="29184"/>
  <c r="AF1404" i="29184"/>
  <c r="AG1404" i="29184"/>
  <c r="AH1404" i="29184"/>
  <c r="AC1405" i="29184"/>
  <c r="AE1405" i="29184"/>
  <c r="AF1405" i="29184"/>
  <c r="AG1405" i="29184"/>
  <c r="AH1405" i="29184"/>
  <c r="AC1406" i="29184"/>
  <c r="AE1406" i="29184"/>
  <c r="AF1406" i="29184"/>
  <c r="AG1406" i="29184"/>
  <c r="AH1406" i="29184"/>
  <c r="AC1407" i="29184"/>
  <c r="AE1407" i="29184"/>
  <c r="AF1407" i="29184"/>
  <c r="AG1407" i="29184"/>
  <c r="AH1407" i="29184"/>
  <c r="AC1408" i="29184"/>
  <c r="AE1408" i="29184"/>
  <c r="AF1408" i="29184"/>
  <c r="AG1408" i="29184"/>
  <c r="AH1408" i="29184"/>
  <c r="AC1409" i="29184"/>
  <c r="AE1409" i="29184"/>
  <c r="AF1409" i="29184"/>
  <c r="AG1409" i="29184"/>
  <c r="AH1409" i="29184"/>
  <c r="AC1412" i="29184"/>
  <c r="AE1412" i="29184"/>
  <c r="AF1412" i="29184"/>
  <c r="AG1412" i="29184"/>
  <c r="AH1412" i="29184"/>
  <c r="AC1413" i="29184"/>
  <c r="AE1413" i="29184"/>
  <c r="AF1413" i="29184"/>
  <c r="AG1413" i="29184"/>
  <c r="AH1413" i="29184"/>
  <c r="AC1414" i="29184"/>
  <c r="AE1414" i="29184"/>
  <c r="AF1414" i="29184"/>
  <c r="AG1414" i="29184"/>
  <c r="AH1414" i="29184"/>
  <c r="AC1415" i="29184"/>
  <c r="AE1415" i="29184"/>
  <c r="AF1415" i="29184"/>
  <c r="AG1415" i="29184"/>
  <c r="AH1415" i="29184"/>
  <c r="AC1416" i="29184"/>
  <c r="AE1416" i="29184"/>
  <c r="AF1416" i="29184"/>
  <c r="AG1416" i="29184"/>
  <c r="AH1416" i="29184"/>
  <c r="AC1417" i="29184"/>
  <c r="AE1417" i="29184"/>
  <c r="AF1417" i="29184"/>
  <c r="AG1417" i="29184"/>
  <c r="AH1417" i="29184"/>
  <c r="AC1418" i="29184"/>
  <c r="AE1418" i="29184"/>
  <c r="AF1418" i="29184"/>
  <c r="AG1418" i="29184"/>
  <c r="AH1418" i="29184"/>
  <c r="AC1419" i="29184"/>
  <c r="AE1419" i="29184"/>
  <c r="AF1419" i="29184"/>
  <c r="AG1419" i="29184"/>
  <c r="AH1419" i="29184"/>
  <c r="AC1420" i="29184"/>
  <c r="AE1420" i="29184"/>
  <c r="AF1420" i="29184"/>
  <c r="AG1420" i="29184"/>
  <c r="AH1420" i="29184"/>
  <c r="AC1423" i="29184"/>
  <c r="AE1423" i="29184"/>
  <c r="AF1423" i="29184"/>
  <c r="AG1423" i="29184"/>
  <c r="AH1423" i="29184"/>
  <c r="AC1424" i="29184"/>
  <c r="AE1424" i="29184"/>
  <c r="AF1424" i="29184"/>
  <c r="AG1424" i="29184"/>
  <c r="AH1424" i="29184"/>
  <c r="AC1425" i="29184"/>
  <c r="AE1425" i="29184"/>
  <c r="AF1425" i="29184"/>
  <c r="AG1425" i="29184"/>
  <c r="AH1425" i="29184"/>
  <c r="AC1426" i="29184"/>
  <c r="AE1426" i="29184"/>
  <c r="AF1426" i="29184"/>
  <c r="AG1426" i="29184"/>
  <c r="AH1426" i="29184"/>
  <c r="AC1427" i="29184"/>
  <c r="AE1427" i="29184"/>
  <c r="AF1427" i="29184"/>
  <c r="AG1427" i="29184"/>
  <c r="AH1427" i="29184"/>
  <c r="AC1428" i="29184"/>
  <c r="AE1428" i="29184"/>
  <c r="AF1428" i="29184"/>
  <c r="AG1428" i="29184"/>
  <c r="AH1428" i="29184"/>
  <c r="AC1429" i="29184"/>
  <c r="AE1429" i="29184"/>
  <c r="AF1429" i="29184"/>
  <c r="AG1429" i="29184"/>
  <c r="AH1429" i="29184"/>
  <c r="AC1430" i="29184"/>
  <c r="AE1430" i="29184"/>
  <c r="AF1430" i="29184"/>
  <c r="AG1430" i="29184"/>
  <c r="AH1430" i="29184"/>
  <c r="AC1431" i="29184"/>
  <c r="AE1431" i="29184"/>
  <c r="AF1431" i="29184"/>
  <c r="AG1431" i="29184"/>
  <c r="AH1431" i="29184"/>
  <c r="AC1434" i="29184"/>
  <c r="AE1434" i="29184"/>
  <c r="AF1434" i="29184"/>
  <c r="AG1434" i="29184"/>
  <c r="AH1434" i="29184"/>
  <c r="AC1435" i="29184"/>
  <c r="AE1435" i="29184"/>
  <c r="AF1435" i="29184"/>
  <c r="AG1435" i="29184"/>
  <c r="AH1435" i="29184"/>
  <c r="AC1436" i="29184"/>
  <c r="AE1436" i="29184"/>
  <c r="AF1436" i="29184"/>
  <c r="AG1436" i="29184"/>
  <c r="AH1436" i="29184"/>
  <c r="AC1437" i="29184"/>
  <c r="AE1437" i="29184"/>
  <c r="AF1437" i="29184"/>
  <c r="AG1437" i="29184"/>
  <c r="AH1437" i="29184"/>
  <c r="AC1438" i="29184"/>
  <c r="AE1438" i="29184"/>
  <c r="AF1438" i="29184"/>
  <c r="AG1438" i="29184"/>
  <c r="AH1438" i="29184"/>
  <c r="AC1439" i="29184"/>
  <c r="AE1439" i="29184"/>
  <c r="AF1439" i="29184"/>
  <c r="AG1439" i="29184"/>
  <c r="AH1439" i="29184"/>
  <c r="AC1440" i="29184"/>
  <c r="AE1440" i="29184"/>
  <c r="AF1440" i="29184"/>
  <c r="AG1440" i="29184"/>
  <c r="AH1440" i="29184"/>
  <c r="AC1441" i="29184"/>
  <c r="AE1441" i="29184"/>
  <c r="AF1441" i="29184"/>
  <c r="AG1441" i="29184"/>
  <c r="AH1441" i="29184"/>
  <c r="AC1442" i="29184"/>
  <c r="AE1442" i="29184"/>
  <c r="AF1442" i="29184"/>
  <c r="AG1442" i="29184"/>
  <c r="AH1442" i="29184"/>
  <c r="AC1445" i="29184"/>
  <c r="AE1445" i="29184"/>
  <c r="AF1445" i="29184"/>
  <c r="AG1445" i="29184"/>
  <c r="AH1445" i="29184"/>
  <c r="AC1446" i="29184"/>
  <c r="AE1446" i="29184"/>
  <c r="AF1446" i="29184"/>
  <c r="AG1446" i="29184"/>
  <c r="AH1446" i="29184"/>
  <c r="AC1447" i="29184"/>
  <c r="AE1447" i="29184"/>
  <c r="AF1447" i="29184"/>
  <c r="AG1447" i="29184"/>
  <c r="AH1447" i="29184"/>
  <c r="AC1448" i="29184"/>
  <c r="AE1448" i="29184"/>
  <c r="AF1448" i="29184"/>
  <c r="AG1448" i="29184"/>
  <c r="AH1448" i="29184"/>
  <c r="AC1449" i="29184"/>
  <c r="AE1449" i="29184"/>
  <c r="AF1449" i="29184"/>
  <c r="AG1449" i="29184"/>
  <c r="AH1449" i="29184"/>
  <c r="AC1450" i="29184"/>
  <c r="AE1450" i="29184"/>
  <c r="AF1450" i="29184"/>
  <c r="AG1450" i="29184"/>
  <c r="AH1450" i="29184"/>
  <c r="AC1451" i="29184"/>
  <c r="AE1451" i="29184"/>
  <c r="AF1451" i="29184"/>
  <c r="AG1451" i="29184"/>
  <c r="AH1451" i="29184"/>
  <c r="AC1452" i="29184"/>
  <c r="AE1452" i="29184"/>
  <c r="AF1452" i="29184"/>
  <c r="AG1452" i="29184"/>
  <c r="AH1452" i="29184"/>
  <c r="AC1453" i="29184"/>
  <c r="AE1453" i="29184"/>
  <c r="AF1453" i="29184"/>
  <c r="AG1453" i="29184"/>
  <c r="AH1453" i="29184"/>
  <c r="AC1456" i="29184"/>
  <c r="AE1456" i="29184"/>
  <c r="AF1456" i="29184"/>
  <c r="AG1456" i="29184"/>
  <c r="AH1456" i="29184"/>
  <c r="AC1457" i="29184"/>
  <c r="AE1457" i="29184"/>
  <c r="AF1457" i="29184"/>
  <c r="AG1457" i="29184"/>
  <c r="AH1457" i="29184"/>
  <c r="AC1458" i="29184"/>
  <c r="AE1458" i="29184"/>
  <c r="AF1458" i="29184"/>
  <c r="AG1458" i="29184"/>
  <c r="AH1458" i="29184"/>
  <c r="AC1459" i="29184"/>
  <c r="AE1459" i="29184"/>
  <c r="AF1459" i="29184"/>
  <c r="AG1459" i="29184"/>
  <c r="AH1459" i="29184"/>
  <c r="AC1460" i="29184"/>
  <c r="AE1460" i="29184"/>
  <c r="AF1460" i="29184"/>
  <c r="AG1460" i="29184"/>
  <c r="AH1460" i="29184"/>
  <c r="AC1461" i="29184"/>
  <c r="AE1461" i="29184"/>
  <c r="AF1461" i="29184"/>
  <c r="AG1461" i="29184"/>
  <c r="AH1461" i="29184"/>
  <c r="AC1462" i="29184"/>
  <c r="AE1462" i="29184"/>
  <c r="AF1462" i="29184"/>
  <c r="AG1462" i="29184"/>
  <c r="AH1462" i="29184"/>
  <c r="AC1463" i="29184"/>
  <c r="AE1463" i="29184"/>
  <c r="AF1463" i="29184"/>
  <c r="AG1463" i="29184"/>
  <c r="AH1463" i="29184"/>
  <c r="AC1464" i="29184"/>
  <c r="AE1464" i="29184"/>
  <c r="AF1464" i="29184"/>
  <c r="AG1464" i="29184"/>
  <c r="AH1464" i="29184"/>
  <c r="AC1467" i="29184"/>
  <c r="AE1467" i="29184"/>
  <c r="AF1467" i="29184"/>
  <c r="AG1467" i="29184"/>
  <c r="AH1467" i="29184"/>
  <c r="AC1468" i="29184"/>
  <c r="AE1468" i="29184"/>
  <c r="AF1468" i="29184"/>
  <c r="AG1468" i="29184"/>
  <c r="AH1468" i="29184"/>
  <c r="AC1469" i="29184"/>
  <c r="AE1469" i="29184"/>
  <c r="AF1469" i="29184"/>
  <c r="AG1469" i="29184"/>
  <c r="AH1469" i="29184"/>
  <c r="AC1470" i="29184"/>
  <c r="AE1470" i="29184"/>
  <c r="AF1470" i="29184"/>
  <c r="AG1470" i="29184"/>
  <c r="AH1470" i="29184"/>
  <c r="AC1471" i="29184"/>
  <c r="AE1471" i="29184"/>
  <c r="AF1471" i="29184"/>
  <c r="AG1471" i="29184"/>
  <c r="AH1471" i="29184"/>
  <c r="AC1472" i="29184"/>
  <c r="AE1472" i="29184"/>
  <c r="AF1472" i="29184"/>
  <c r="AG1472" i="29184"/>
  <c r="AH1472" i="29184"/>
  <c r="AC1473" i="29184"/>
  <c r="AE1473" i="29184"/>
  <c r="AF1473" i="29184"/>
  <c r="AG1473" i="29184"/>
  <c r="AH1473" i="29184"/>
  <c r="AC1474" i="29184"/>
  <c r="AE1474" i="29184"/>
  <c r="AF1474" i="29184"/>
  <c r="AG1474" i="29184"/>
  <c r="AH1474" i="29184"/>
  <c r="AC1475" i="29184"/>
  <c r="AE1475" i="29184"/>
  <c r="AF1475" i="29184"/>
  <c r="AG1475" i="29184"/>
  <c r="AH1475" i="29184"/>
  <c r="AC1478" i="29184"/>
  <c r="AE1478" i="29184"/>
  <c r="AF1478" i="29184"/>
  <c r="AG1478" i="29184"/>
  <c r="AH1478" i="29184"/>
  <c r="AC1479" i="29184"/>
  <c r="AE1479" i="29184"/>
  <c r="AF1479" i="29184"/>
  <c r="AG1479" i="29184"/>
  <c r="AH1479" i="29184"/>
  <c r="AC1480" i="29184"/>
  <c r="AE1480" i="29184"/>
  <c r="AF1480" i="29184"/>
  <c r="AG1480" i="29184"/>
  <c r="AH1480" i="29184"/>
  <c r="AC1481" i="29184"/>
  <c r="AE1481" i="29184"/>
  <c r="AF1481" i="29184"/>
  <c r="AG1481" i="29184"/>
  <c r="AH1481" i="29184"/>
  <c r="AC1482" i="29184"/>
  <c r="AE1482" i="29184"/>
  <c r="AF1482" i="29184"/>
  <c r="AG1482" i="29184"/>
  <c r="AH1482" i="29184"/>
  <c r="AC1483" i="29184"/>
  <c r="AE1483" i="29184"/>
  <c r="AF1483" i="29184"/>
  <c r="AG1483" i="29184"/>
  <c r="AH1483" i="29184"/>
  <c r="AC1484" i="29184"/>
  <c r="AE1484" i="29184"/>
  <c r="AF1484" i="29184"/>
  <c r="AG1484" i="29184"/>
  <c r="AH1484" i="29184"/>
  <c r="AC1485" i="29184"/>
  <c r="AE1485" i="29184"/>
  <c r="AF1485" i="29184"/>
  <c r="AG1485" i="29184"/>
  <c r="AH1485" i="29184"/>
  <c r="AC1486" i="29184"/>
  <c r="AE1486" i="29184"/>
  <c r="AF1486" i="29184"/>
  <c r="AG1486" i="29184"/>
  <c r="AH1486" i="29184"/>
  <c r="AC1489" i="29184"/>
  <c r="AE1489" i="29184"/>
  <c r="AF1489" i="29184"/>
  <c r="AG1489" i="29184"/>
  <c r="AH1489" i="29184"/>
  <c r="AC1490" i="29184"/>
  <c r="AE1490" i="29184"/>
  <c r="AF1490" i="29184"/>
  <c r="AG1490" i="29184"/>
  <c r="AH1490" i="29184"/>
  <c r="AC1491" i="29184"/>
  <c r="AE1491" i="29184"/>
  <c r="AF1491" i="29184"/>
  <c r="AG1491" i="29184"/>
  <c r="AH1491" i="29184"/>
  <c r="AC1492" i="29184"/>
  <c r="AE1492" i="29184"/>
  <c r="AF1492" i="29184"/>
  <c r="AG1492" i="29184"/>
  <c r="AH1492" i="29184"/>
  <c r="AC1493" i="29184"/>
  <c r="AE1493" i="29184"/>
  <c r="AF1493" i="29184"/>
  <c r="AG1493" i="29184"/>
  <c r="AH1493" i="29184"/>
  <c r="AC1494" i="29184"/>
  <c r="AE1494" i="29184"/>
  <c r="AF1494" i="29184"/>
  <c r="AG1494" i="29184"/>
  <c r="AH1494" i="29184"/>
  <c r="AC1495" i="29184"/>
  <c r="AE1495" i="29184"/>
  <c r="AF1495" i="29184"/>
  <c r="AG1495" i="29184"/>
  <c r="AH1495" i="29184"/>
  <c r="AC1496" i="29184"/>
  <c r="AE1496" i="29184"/>
  <c r="AF1496" i="29184"/>
  <c r="AG1496" i="29184"/>
  <c r="AH1496" i="29184"/>
  <c r="AC1497" i="29184"/>
  <c r="AE1497" i="29184"/>
  <c r="AF1497" i="29184"/>
  <c r="AG1497" i="29184"/>
  <c r="AH1497" i="29184"/>
  <c r="AC1500" i="29184"/>
  <c r="AE1500" i="29184"/>
  <c r="AF1500" i="29184"/>
  <c r="AG1500" i="29184"/>
  <c r="AH1500" i="29184"/>
  <c r="AC1501" i="29184"/>
  <c r="AE1501" i="29184"/>
  <c r="AF1501" i="29184"/>
  <c r="AG1501" i="29184"/>
  <c r="AH1501" i="29184"/>
  <c r="AC1502" i="29184"/>
  <c r="AE1502" i="29184"/>
  <c r="AF1502" i="29184"/>
  <c r="AG1502" i="29184"/>
  <c r="AH1502" i="29184"/>
  <c r="AC1503" i="29184"/>
  <c r="AE1503" i="29184"/>
  <c r="AF1503" i="29184"/>
  <c r="AG1503" i="29184"/>
  <c r="AH1503" i="29184"/>
  <c r="AC1504" i="29184"/>
  <c r="AE1504" i="29184"/>
  <c r="AF1504" i="29184"/>
  <c r="AG1504" i="29184"/>
  <c r="AH1504" i="29184"/>
  <c r="AC1505" i="29184"/>
  <c r="AE1505" i="29184"/>
  <c r="AF1505" i="29184"/>
  <c r="AG1505" i="29184"/>
  <c r="AH1505" i="29184"/>
  <c r="AC1506" i="29184"/>
  <c r="AE1506" i="29184"/>
  <c r="AF1506" i="29184"/>
  <c r="AG1506" i="29184"/>
  <c r="AH1506" i="29184"/>
  <c r="AC1507" i="29184"/>
  <c r="AE1507" i="29184"/>
  <c r="AF1507" i="29184"/>
  <c r="AG1507" i="29184"/>
  <c r="AH1507" i="29184"/>
  <c r="AC1508" i="29184"/>
  <c r="AE1508" i="29184"/>
  <c r="AF1508" i="29184"/>
  <c r="AG1508" i="29184"/>
  <c r="AH1508" i="29184"/>
  <c r="AK1512" i="29184"/>
  <c r="P1518" i="29184" s="1"/>
  <c r="V1534" i="29184"/>
  <c r="Z1545" i="29184" s="1"/>
  <c r="V1556" i="29184" s="1"/>
  <c r="Z1567" i="29184" s="1"/>
  <c r="V1578" i="29184" s="1"/>
  <c r="Z1589" i="29184" s="1"/>
  <c r="V1600" i="29184" s="1"/>
  <c r="Z1611" i="29184" s="1"/>
  <c r="V1622" i="29184" s="1"/>
  <c r="Z1633" i="29184" s="1"/>
  <c r="Z1655" i="29184" s="1"/>
  <c r="V1666" i="29184" s="1"/>
  <c r="Z1677" i="29184" s="1"/>
  <c r="V1688" i="29184" s="1"/>
  <c r="Z1699" i="29184" s="1"/>
  <c r="V1710" i="29184" s="1"/>
  <c r="Z1721" i="29184" s="1"/>
  <c r="V1732" i="29184" s="1"/>
  <c r="Z1534" i="29184"/>
  <c r="V1546" i="29184" s="1"/>
  <c r="Z1558" i="29184" s="1"/>
  <c r="V1570" i="29184" s="1"/>
  <c r="Z1582" i="29184" s="1"/>
  <c r="Z1605" i="29184" s="1"/>
  <c r="V1617" i="29184" s="1"/>
  <c r="Z1629" i="29184" s="1"/>
  <c r="V1641" i="29184" s="1"/>
  <c r="V1652" i="29184" s="1"/>
  <c r="Z1662" i="29184" s="1"/>
  <c r="V1672" i="29184" s="1"/>
  <c r="Z1682" i="29184" s="1"/>
  <c r="V1692" i="29184" s="1"/>
  <c r="Z1703" i="29184" s="1"/>
  <c r="V1713" i="29184" s="1"/>
  <c r="Z1723" i="29184" s="1"/>
  <c r="V1733" i="29184" s="1"/>
  <c r="AC1534" i="29184"/>
  <c r="AE1534" i="29184"/>
  <c r="AF1534" i="29184"/>
  <c r="AG1534" i="29184"/>
  <c r="AH1534" i="29184"/>
  <c r="V1535" i="29184"/>
  <c r="V1545" i="29184" s="1"/>
  <c r="Z1557" i="29184" s="1"/>
  <c r="V1569" i="29184" s="1"/>
  <c r="Z1581" i="29184" s="1"/>
  <c r="V1593" i="29184" s="1"/>
  <c r="Z1604" i="29184" s="1"/>
  <c r="V1616" i="29184" s="1"/>
  <c r="Z1628" i="29184" s="1"/>
  <c r="V1640" i="29184" s="1"/>
  <c r="Z1652" i="29184" s="1"/>
  <c r="Z1663" i="29184" s="1"/>
  <c r="V1673" i="29184" s="1"/>
  <c r="Z1683" i="29184" s="1"/>
  <c r="V1693" i="29184" s="1"/>
  <c r="V1714" i="29184" s="1"/>
  <c r="Z1724" i="29184" s="1"/>
  <c r="V1734" i="29184" s="1"/>
  <c r="Z1535" i="29184"/>
  <c r="V1547" i="29184" s="1"/>
  <c r="Z1559" i="29184" s="1"/>
  <c r="V1571" i="29184" s="1"/>
  <c r="Z1583" i="29184" s="1"/>
  <c r="V1594" i="29184" s="1"/>
  <c r="Z1606" i="29184" s="1"/>
  <c r="V1618" i="29184" s="1"/>
  <c r="Z1630" i="29184" s="1"/>
  <c r="Z1641" i="29184" s="1"/>
  <c r="V1651" i="29184" s="1"/>
  <c r="Z1661" i="29184" s="1"/>
  <c r="V1671" i="29184" s="1"/>
  <c r="Z1681" i="29184" s="1"/>
  <c r="Z1702" i="29184" s="1"/>
  <c r="V1712" i="29184" s="1"/>
  <c r="Z1722" i="29184" s="1"/>
  <c r="Z1732" i="29184" s="1"/>
  <c r="AC1535" i="29184"/>
  <c r="AE1535" i="29184"/>
  <c r="AF1535" i="29184"/>
  <c r="AG1535" i="29184"/>
  <c r="AH1535" i="29184"/>
  <c r="V1536" i="29184"/>
  <c r="Z1546" i="29184" s="1"/>
  <c r="Z1556" i="29184" s="1"/>
  <c r="V1568" i="29184" s="1"/>
  <c r="Z1580" i="29184" s="1"/>
  <c r="V1592" i="29184" s="1"/>
  <c r="V1615" i="29184" s="1"/>
  <c r="Z1627" i="29184" s="1"/>
  <c r="V1639" i="29184" s="1"/>
  <c r="Z1651" i="29184" s="1"/>
  <c r="V1663" i="29184" s="1"/>
  <c r="V1674" i="29184" s="1"/>
  <c r="Z1684" i="29184" s="1"/>
  <c r="V1694" i="29184" s="1"/>
  <c r="Z1704" i="29184" s="1"/>
  <c r="V1715" i="29184" s="1"/>
  <c r="Z1725" i="29184" s="1"/>
  <c r="V1735" i="29184" s="1"/>
  <c r="Z1536" i="29184"/>
  <c r="V1548" i="29184" s="1"/>
  <c r="Z1560" i="29184" s="1"/>
  <c r="V1572" i="29184" s="1"/>
  <c r="V1595" i="29184" s="1"/>
  <c r="Z1607" i="29184" s="1"/>
  <c r="V1619" i="29184" s="1"/>
  <c r="V1630" i="29184" s="1"/>
  <c r="Z1640" i="29184" s="1"/>
  <c r="V1650" i="29184" s="1"/>
  <c r="Z1660" i="29184" s="1"/>
  <c r="V1670" i="29184" s="1"/>
  <c r="Z1680" i="29184" s="1"/>
  <c r="V1691" i="29184" s="1"/>
  <c r="Z1701" i="29184" s="1"/>
  <c r="V1711" i="29184" s="1"/>
  <c r="V1721" i="29184" s="1"/>
  <c r="Z1733" i="29184" s="1"/>
  <c r="AC1536" i="29184"/>
  <c r="AE1536" i="29184"/>
  <c r="AF1536" i="29184"/>
  <c r="AG1536" i="29184"/>
  <c r="AH1536" i="29184"/>
  <c r="V1537" i="29184"/>
  <c r="Z1547" i="29184" s="1"/>
  <c r="V1557" i="29184" s="1"/>
  <c r="V1567" i="29184" s="1"/>
  <c r="Z1579" i="29184" s="1"/>
  <c r="V1591" i="29184" s="1"/>
  <c r="Z1603" i="29184" s="1"/>
  <c r="V1614" i="29184" s="1"/>
  <c r="Z1626" i="29184" s="1"/>
  <c r="V1638" i="29184" s="1"/>
  <c r="Z1650" i="29184" s="1"/>
  <c r="V1662" i="29184" s="1"/>
  <c r="Z1674" i="29184" s="1"/>
  <c r="Z1685" i="29184" s="1"/>
  <c r="V1695" i="29184" s="1"/>
  <c r="Z1705" i="29184" s="1"/>
  <c r="Z1726" i="29184" s="1"/>
  <c r="V1736" i="29184" s="1"/>
  <c r="Z1537" i="29184"/>
  <c r="V1549" i="29184" s="1"/>
  <c r="Z1561" i="29184" s="1"/>
  <c r="V1573" i="29184" s="1"/>
  <c r="Z1584" i="29184" s="1"/>
  <c r="V1596" i="29184" s="1"/>
  <c r="Z1608" i="29184" s="1"/>
  <c r="Z1619" i="29184" s="1"/>
  <c r="V1629" i="29184" s="1"/>
  <c r="Z1639" i="29184" s="1"/>
  <c r="V1649" i="29184" s="1"/>
  <c r="Z1659" i="29184" s="1"/>
  <c r="V1669" i="29184" s="1"/>
  <c r="V1690" i="29184" s="1"/>
  <c r="Z1700" i="29184" s="1"/>
  <c r="Z1710" i="29184" s="1"/>
  <c r="V1722" i="29184" s="1"/>
  <c r="Z1734" i="29184" s="1"/>
  <c r="AC1537" i="29184"/>
  <c r="AE1537" i="29184"/>
  <c r="AF1537" i="29184"/>
  <c r="AG1537" i="29184"/>
  <c r="AH1537" i="29184"/>
  <c r="V1538" i="29184"/>
  <c r="Z1548" i="29184" s="1"/>
  <c r="V1558" i="29184" s="1"/>
  <c r="Z1568" i="29184" s="1"/>
  <c r="Z1578" i="29184" s="1"/>
  <c r="V1590" i="29184" s="1"/>
  <c r="Z1602" i="29184" s="1"/>
  <c r="Z1625" i="29184" s="1"/>
  <c r="V1637" i="29184" s="1"/>
  <c r="Z1649" i="29184" s="1"/>
  <c r="V1661" i="29184" s="1"/>
  <c r="Z1673" i="29184" s="1"/>
  <c r="V1685" i="29184" s="1"/>
  <c r="V1696" i="29184" s="1"/>
  <c r="Z1706" i="29184" s="1"/>
  <c r="V1716" i="29184" s="1"/>
  <c r="Z1727" i="29184" s="1"/>
  <c r="V1737" i="29184" s="1"/>
  <c r="Z1538" i="29184"/>
  <c r="V1550" i="29184" s="1"/>
  <c r="Z1562" i="29184" s="1"/>
  <c r="Z1585" i="29184" s="1"/>
  <c r="V1597" i="29184" s="1"/>
  <c r="V1608" i="29184" s="1"/>
  <c r="Z1618" i="29184" s="1"/>
  <c r="V1628" i="29184" s="1"/>
  <c r="Z1638" i="29184" s="1"/>
  <c r="V1648" i="29184" s="1"/>
  <c r="Z1658" i="29184" s="1"/>
  <c r="V1668" i="29184" s="1"/>
  <c r="Z1679" i="29184" s="1"/>
  <c r="V1689" i="29184" s="1"/>
  <c r="V1699" i="29184" s="1"/>
  <c r="Z1711" i="29184" s="1"/>
  <c r="V1723" i="29184" s="1"/>
  <c r="Z1735" i="29184" s="1"/>
  <c r="AC1538" i="29184"/>
  <c r="AE1538" i="29184"/>
  <c r="AF1538" i="29184"/>
  <c r="AG1538" i="29184"/>
  <c r="AH1538" i="29184"/>
  <c r="V1539" i="29184"/>
  <c r="Z1549" i="29184" s="1"/>
  <c r="V1559" i="29184" s="1"/>
  <c r="Z1569" i="29184" s="1"/>
  <c r="V1579" i="29184" s="1"/>
  <c r="V1589" i="29184" s="1"/>
  <c r="Z1601" i="29184" s="1"/>
  <c r="V1613" i="29184" s="1"/>
  <c r="Z1624" i="29184" s="1"/>
  <c r="V1636" i="29184" s="1"/>
  <c r="Z1648" i="29184" s="1"/>
  <c r="V1660" i="29184" s="1"/>
  <c r="Z1672" i="29184" s="1"/>
  <c r="V1684" i="29184" s="1"/>
  <c r="Z1696" i="29184" s="1"/>
  <c r="Z1707" i="29184" s="1"/>
  <c r="V1717" i="29184" s="1"/>
  <c r="V1738" i="29184" s="1"/>
  <c r="Z1539" i="29184"/>
  <c r="V1551" i="29184" s="1"/>
  <c r="Z1563" i="29184" s="1"/>
  <c r="V1574" i="29184" s="1"/>
  <c r="Z1586" i="29184" s="1"/>
  <c r="Z1597" i="29184" s="1"/>
  <c r="V1607" i="29184" s="1"/>
  <c r="Z1617" i="29184" s="1"/>
  <c r="V1627" i="29184" s="1"/>
  <c r="Z1637" i="29184" s="1"/>
  <c r="V1647" i="29184" s="1"/>
  <c r="Z1657" i="29184" s="1"/>
  <c r="Z1678" i="29184" s="1"/>
  <c r="Z1688" i="29184" s="1"/>
  <c r="V1700" i="29184" s="1"/>
  <c r="Z1712" i="29184" s="1"/>
  <c r="V1724" i="29184" s="1"/>
  <c r="Z1736" i="29184" s="1"/>
  <c r="AC1539" i="29184"/>
  <c r="AE1539" i="29184"/>
  <c r="AF1539" i="29184"/>
  <c r="AG1539" i="29184"/>
  <c r="AH1539" i="29184"/>
  <c r="V1540" i="29184"/>
  <c r="Z1550" i="29184" s="1"/>
  <c r="V1560" i="29184" s="1"/>
  <c r="Z1570" i="29184" s="1"/>
  <c r="V1580" i="29184" s="1"/>
  <c r="Z1590" i="29184" s="1"/>
  <c r="Z1600" i="29184" s="1"/>
  <c r="V1612" i="29184" s="1"/>
  <c r="V1635" i="29184" s="1"/>
  <c r="Z1647" i="29184" s="1"/>
  <c r="V1659" i="29184" s="1"/>
  <c r="Z1671" i="29184" s="1"/>
  <c r="V1683" i="29184" s="1"/>
  <c r="Z1695" i="29184" s="1"/>
  <c r="V1707" i="29184" s="1"/>
  <c r="V1718" i="29184" s="1"/>
  <c r="Z1728" i="29184" s="1"/>
  <c r="V1739" i="29184" s="1"/>
  <c r="Z1540" i="29184"/>
  <c r="V1552" i="29184" s="1"/>
  <c r="V1575" i="29184" s="1"/>
  <c r="V1586" i="29184" s="1"/>
  <c r="Z1596" i="29184" s="1"/>
  <c r="V1606" i="29184" s="1"/>
  <c r="Z1616" i="29184" s="1"/>
  <c r="V1626" i="29184" s="1"/>
  <c r="Z1636" i="29184" s="1"/>
  <c r="V1646" i="29184" s="1"/>
  <c r="Z1656" i="29184" s="1"/>
  <c r="V1667" i="29184" s="1"/>
  <c r="V1677" i="29184" s="1"/>
  <c r="Z1689" i="29184" s="1"/>
  <c r="V1701" i="29184" s="1"/>
  <c r="Z1713" i="29184" s="1"/>
  <c r="V1725" i="29184" s="1"/>
  <c r="Z1737" i="29184" s="1"/>
  <c r="AC1540" i="29184"/>
  <c r="AE1540" i="29184"/>
  <c r="AF1540" i="29184"/>
  <c r="AG1540" i="29184"/>
  <c r="AH1540" i="29184"/>
  <c r="V1541" i="29184"/>
  <c r="Z1551" i="29184" s="1"/>
  <c r="V1561" i="29184" s="1"/>
  <c r="Z1571" i="29184" s="1"/>
  <c r="V1581" i="29184" s="1"/>
  <c r="Z1591" i="29184" s="1"/>
  <c r="V1601" i="29184" s="1"/>
  <c r="V1611" i="29184" s="1"/>
  <c r="Z1623" i="29184" s="1"/>
  <c r="V1634" i="29184" s="1"/>
  <c r="Z1646" i="29184" s="1"/>
  <c r="V1658" i="29184" s="1"/>
  <c r="Z1670" i="29184" s="1"/>
  <c r="V1682" i="29184" s="1"/>
  <c r="Z1694" i="29184" s="1"/>
  <c r="V1706" i="29184" s="1"/>
  <c r="Z1718" i="29184" s="1"/>
  <c r="Z1729" i="29184" s="1"/>
  <c r="Z1541" i="29184"/>
  <c r="V1553" i="29184" s="1"/>
  <c r="Z1564" i="29184" s="1"/>
  <c r="Z1575" i="29184" s="1"/>
  <c r="V1585" i="29184" s="1"/>
  <c r="Z1595" i="29184" s="1"/>
  <c r="V1605" i="29184" s="1"/>
  <c r="Z1615" i="29184" s="1"/>
  <c r="V1625" i="29184" s="1"/>
  <c r="Z1635" i="29184" s="1"/>
  <c r="V1645" i="29184" s="1"/>
  <c r="Z1666" i="29184" s="1"/>
  <c r="V1678" i="29184" s="1"/>
  <c r="Z1690" i="29184" s="1"/>
  <c r="V1702" i="29184" s="1"/>
  <c r="Z1714" i="29184" s="1"/>
  <c r="V1726" i="29184" s="1"/>
  <c r="Z1738" i="29184" s="1"/>
  <c r="AC1541" i="29184"/>
  <c r="AE1541" i="29184"/>
  <c r="AF1541" i="29184"/>
  <c r="AG1541" i="29184"/>
  <c r="AH1541" i="29184"/>
  <c r="V1542" i="29184"/>
  <c r="Z1552" i="29184" s="1"/>
  <c r="V1562" i="29184" s="1"/>
  <c r="Z1572" i="29184" s="1"/>
  <c r="V1582" i="29184" s="1"/>
  <c r="Z1592" i="29184" s="1"/>
  <c r="V1602" i="29184" s="1"/>
  <c r="Z1612" i="29184" s="1"/>
  <c r="Z1622" i="29184" s="1"/>
  <c r="Z1645" i="29184" s="1"/>
  <c r="V1657" i="29184" s="1"/>
  <c r="Z1669" i="29184" s="1"/>
  <c r="V1681" i="29184" s="1"/>
  <c r="Z1693" i="29184" s="1"/>
  <c r="V1705" i="29184" s="1"/>
  <c r="Z1717" i="29184" s="1"/>
  <c r="V1729" i="29184" s="1"/>
  <c r="V1740" i="29184" s="1"/>
  <c r="Z1542" i="29184"/>
  <c r="V1564" i="29184" s="1"/>
  <c r="Z1574" i="29184" s="1"/>
  <c r="V1584" i="29184" s="1"/>
  <c r="Z1594" i="29184" s="1"/>
  <c r="V1604" i="29184" s="1"/>
  <c r="Z1614" i="29184" s="1"/>
  <c r="V1624" i="29184" s="1"/>
  <c r="Z1634" i="29184" s="1"/>
  <c r="V1644" i="29184" s="1"/>
  <c r="V1655" i="29184" s="1"/>
  <c r="Z1667" i="29184" s="1"/>
  <c r="V1679" i="29184" s="1"/>
  <c r="Z1691" i="29184" s="1"/>
  <c r="V1703" i="29184" s="1"/>
  <c r="Z1715" i="29184" s="1"/>
  <c r="V1727" i="29184" s="1"/>
  <c r="Z1739" i="29184" s="1"/>
  <c r="AC1542" i="29184"/>
  <c r="AE1542" i="29184"/>
  <c r="AF1542" i="29184"/>
  <c r="AG1542" i="29184"/>
  <c r="AH1542" i="29184"/>
  <c r="S1543" i="29184"/>
  <c r="S1554" i="29184" s="1"/>
  <c r="S1565" i="29184" s="1"/>
  <c r="S1576" i="29184" s="1"/>
  <c r="S1587" i="29184" s="1"/>
  <c r="S1598" i="29184" s="1"/>
  <c r="S1609" i="29184" s="1"/>
  <c r="S1620" i="29184" s="1"/>
  <c r="S1631" i="29184" s="1"/>
  <c r="S1642" i="29184" s="1"/>
  <c r="S1653" i="29184" s="1"/>
  <c r="S1664" i="29184" s="1"/>
  <c r="S1675" i="29184" s="1"/>
  <c r="S1686" i="29184" s="1"/>
  <c r="S1697" i="29184" s="1"/>
  <c r="S1708" i="29184" s="1"/>
  <c r="S1719" i="29184" s="1"/>
  <c r="S1730" i="29184" s="1"/>
  <c r="AC1545" i="29184"/>
  <c r="AE1545" i="29184"/>
  <c r="AF1545" i="29184"/>
  <c r="AG1545" i="29184"/>
  <c r="AH1545" i="29184"/>
  <c r="AC1546" i="29184"/>
  <c r="AE1546" i="29184"/>
  <c r="AF1546" i="29184"/>
  <c r="AG1546" i="29184"/>
  <c r="AH1546" i="29184"/>
  <c r="AC1547" i="29184"/>
  <c r="AE1547" i="29184"/>
  <c r="AF1547" i="29184"/>
  <c r="AG1547" i="29184"/>
  <c r="AH1547" i="29184"/>
  <c r="AC1548" i="29184"/>
  <c r="AE1548" i="29184"/>
  <c r="AF1548" i="29184"/>
  <c r="AG1548" i="29184"/>
  <c r="AH1548" i="29184"/>
  <c r="AC1549" i="29184"/>
  <c r="AE1549" i="29184"/>
  <c r="AF1549" i="29184"/>
  <c r="AG1549" i="29184"/>
  <c r="AH1549" i="29184"/>
  <c r="AC1550" i="29184"/>
  <c r="AE1550" i="29184"/>
  <c r="AF1550" i="29184"/>
  <c r="AG1550" i="29184"/>
  <c r="AH1550" i="29184"/>
  <c r="AC1551" i="29184"/>
  <c r="AE1551" i="29184"/>
  <c r="AF1551" i="29184"/>
  <c r="AG1551" i="29184"/>
  <c r="AH1551" i="29184"/>
  <c r="AC1552" i="29184"/>
  <c r="AE1552" i="29184"/>
  <c r="AF1552" i="29184"/>
  <c r="AG1552" i="29184"/>
  <c r="AH1552" i="29184"/>
  <c r="Z1553" i="29184"/>
  <c r="V1563" i="29184" s="1"/>
  <c r="Z1573" i="29184" s="1"/>
  <c r="V1583" i="29184" s="1"/>
  <c r="Z1593" i="29184" s="1"/>
  <c r="V1603" i="29184" s="1"/>
  <c r="Z1613" i="29184" s="1"/>
  <c r="V1623" i="29184" s="1"/>
  <c r="V1633" i="29184" s="1"/>
  <c r="Z1644" i="29184" s="1"/>
  <c r="V1656" i="29184" s="1"/>
  <c r="Z1668" i="29184" s="1"/>
  <c r="V1680" i="29184" s="1"/>
  <c r="Z1692" i="29184" s="1"/>
  <c r="V1704" i="29184" s="1"/>
  <c r="Z1716" i="29184" s="1"/>
  <c r="V1728" i="29184" s="1"/>
  <c r="Z1740" i="29184" s="1"/>
  <c r="AC1553" i="29184"/>
  <c r="AE1553" i="29184"/>
  <c r="AF1553" i="29184"/>
  <c r="AG1553" i="29184"/>
  <c r="AH1553" i="29184"/>
  <c r="AC1556" i="29184"/>
  <c r="AE1556" i="29184"/>
  <c r="AF1556" i="29184"/>
  <c r="AG1556" i="29184"/>
  <c r="AH1556" i="29184"/>
  <c r="AC1557" i="29184"/>
  <c r="AE1557" i="29184"/>
  <c r="AF1557" i="29184"/>
  <c r="AG1557" i="29184"/>
  <c r="AH1557" i="29184"/>
  <c r="AC1558" i="29184"/>
  <c r="AE1558" i="29184"/>
  <c r="AF1558" i="29184"/>
  <c r="AG1558" i="29184"/>
  <c r="AH1558" i="29184"/>
  <c r="AC1559" i="29184"/>
  <c r="AE1559" i="29184"/>
  <c r="AF1559" i="29184"/>
  <c r="AG1559" i="29184"/>
  <c r="AH1559" i="29184"/>
  <c r="AC1560" i="29184"/>
  <c r="AE1560" i="29184"/>
  <c r="AF1560" i="29184"/>
  <c r="AG1560" i="29184"/>
  <c r="AH1560" i="29184"/>
  <c r="AC1561" i="29184"/>
  <c r="AE1561" i="29184"/>
  <c r="AF1561" i="29184"/>
  <c r="AG1561" i="29184"/>
  <c r="AH1561" i="29184"/>
  <c r="AC1562" i="29184"/>
  <c r="AE1562" i="29184"/>
  <c r="AF1562" i="29184"/>
  <c r="AG1562" i="29184"/>
  <c r="AH1562" i="29184"/>
  <c r="AC1563" i="29184"/>
  <c r="AE1563" i="29184"/>
  <c r="AF1563" i="29184"/>
  <c r="AG1563" i="29184"/>
  <c r="AH1563" i="29184"/>
  <c r="AC1564" i="29184"/>
  <c r="AE1564" i="29184"/>
  <c r="AF1564" i="29184"/>
  <c r="AG1564" i="29184"/>
  <c r="AH1564" i="29184"/>
  <c r="AC1567" i="29184"/>
  <c r="AE1567" i="29184"/>
  <c r="AF1567" i="29184"/>
  <c r="AG1567" i="29184"/>
  <c r="AH1567" i="29184"/>
  <c r="AC1568" i="29184"/>
  <c r="AE1568" i="29184"/>
  <c r="AF1568" i="29184"/>
  <c r="AG1568" i="29184"/>
  <c r="AH1568" i="29184"/>
  <c r="AC1569" i="29184"/>
  <c r="AE1569" i="29184"/>
  <c r="AF1569" i="29184"/>
  <c r="AG1569" i="29184"/>
  <c r="AH1569" i="29184"/>
  <c r="AC1570" i="29184"/>
  <c r="AE1570" i="29184"/>
  <c r="AF1570" i="29184"/>
  <c r="AG1570" i="29184"/>
  <c r="AH1570" i="29184"/>
  <c r="AC1571" i="29184"/>
  <c r="AE1571" i="29184"/>
  <c r="AF1571" i="29184"/>
  <c r="AG1571" i="29184"/>
  <c r="AH1571" i="29184"/>
  <c r="AC1572" i="29184"/>
  <c r="AE1572" i="29184"/>
  <c r="AF1572" i="29184"/>
  <c r="AG1572" i="29184"/>
  <c r="AH1572" i="29184"/>
  <c r="AC1573" i="29184"/>
  <c r="AE1573" i="29184"/>
  <c r="AF1573" i="29184"/>
  <c r="AG1573" i="29184"/>
  <c r="AH1573" i="29184"/>
  <c r="AC1574" i="29184"/>
  <c r="AE1574" i="29184"/>
  <c r="AF1574" i="29184"/>
  <c r="AG1574" i="29184"/>
  <c r="AH1574" i="29184"/>
  <c r="AC1575" i="29184"/>
  <c r="AE1575" i="29184"/>
  <c r="AF1575" i="29184"/>
  <c r="AG1575" i="29184"/>
  <c r="AH1575" i="29184"/>
  <c r="AC1578" i="29184"/>
  <c r="AE1578" i="29184"/>
  <c r="AF1578" i="29184"/>
  <c r="AG1578" i="29184"/>
  <c r="AH1578" i="29184"/>
  <c r="AC1579" i="29184"/>
  <c r="AE1579" i="29184"/>
  <c r="AF1579" i="29184"/>
  <c r="AG1579" i="29184"/>
  <c r="AH1579" i="29184"/>
  <c r="AC1580" i="29184"/>
  <c r="AE1580" i="29184"/>
  <c r="AF1580" i="29184"/>
  <c r="AG1580" i="29184"/>
  <c r="AH1580" i="29184"/>
  <c r="AC1581" i="29184"/>
  <c r="AE1581" i="29184"/>
  <c r="AF1581" i="29184"/>
  <c r="AG1581" i="29184"/>
  <c r="AH1581" i="29184"/>
  <c r="AC1582" i="29184"/>
  <c r="AE1582" i="29184"/>
  <c r="AF1582" i="29184"/>
  <c r="AG1582" i="29184"/>
  <c r="AH1582" i="29184"/>
  <c r="AC1583" i="29184"/>
  <c r="AE1583" i="29184"/>
  <c r="AF1583" i="29184"/>
  <c r="AG1583" i="29184"/>
  <c r="AH1583" i="29184"/>
  <c r="AC1584" i="29184"/>
  <c r="AE1584" i="29184"/>
  <c r="AF1584" i="29184"/>
  <c r="AG1584" i="29184"/>
  <c r="AH1584" i="29184"/>
  <c r="AC1585" i="29184"/>
  <c r="AE1585" i="29184"/>
  <c r="AF1585" i="29184"/>
  <c r="AG1585" i="29184"/>
  <c r="AH1585" i="29184"/>
  <c r="AC1586" i="29184"/>
  <c r="AE1586" i="29184"/>
  <c r="AF1586" i="29184"/>
  <c r="AG1586" i="29184"/>
  <c r="AH1586" i="29184"/>
  <c r="AC1589" i="29184"/>
  <c r="AE1589" i="29184"/>
  <c r="AF1589" i="29184"/>
  <c r="AG1589" i="29184"/>
  <c r="AH1589" i="29184"/>
  <c r="AC1590" i="29184"/>
  <c r="AE1590" i="29184"/>
  <c r="AF1590" i="29184"/>
  <c r="AG1590" i="29184"/>
  <c r="AH1590" i="29184"/>
  <c r="AC1591" i="29184"/>
  <c r="AE1591" i="29184"/>
  <c r="AF1591" i="29184"/>
  <c r="AG1591" i="29184"/>
  <c r="AH1591" i="29184"/>
  <c r="AC1592" i="29184"/>
  <c r="AE1592" i="29184"/>
  <c r="AF1592" i="29184"/>
  <c r="AG1592" i="29184"/>
  <c r="AH1592" i="29184"/>
  <c r="AC1593" i="29184"/>
  <c r="AE1593" i="29184"/>
  <c r="AF1593" i="29184"/>
  <c r="AG1593" i="29184"/>
  <c r="AH1593" i="29184"/>
  <c r="AC1594" i="29184"/>
  <c r="AE1594" i="29184"/>
  <c r="AF1594" i="29184"/>
  <c r="AG1594" i="29184"/>
  <c r="AH1594" i="29184"/>
  <c r="AC1595" i="29184"/>
  <c r="AE1595" i="29184"/>
  <c r="AF1595" i="29184"/>
  <c r="AG1595" i="29184"/>
  <c r="AH1595" i="29184"/>
  <c r="AC1596" i="29184"/>
  <c r="AE1596" i="29184"/>
  <c r="AF1596" i="29184"/>
  <c r="AG1596" i="29184"/>
  <c r="AH1596" i="29184"/>
  <c r="AC1597" i="29184"/>
  <c r="AE1597" i="29184"/>
  <c r="AF1597" i="29184"/>
  <c r="AG1597" i="29184"/>
  <c r="AH1597" i="29184"/>
  <c r="AC1600" i="29184"/>
  <c r="AE1600" i="29184"/>
  <c r="AF1600" i="29184"/>
  <c r="AG1600" i="29184"/>
  <c r="AH1600" i="29184"/>
  <c r="AC1601" i="29184"/>
  <c r="AE1601" i="29184"/>
  <c r="AF1601" i="29184"/>
  <c r="AG1601" i="29184"/>
  <c r="AH1601" i="29184"/>
  <c r="AC1602" i="29184"/>
  <c r="AE1602" i="29184"/>
  <c r="AF1602" i="29184"/>
  <c r="AG1602" i="29184"/>
  <c r="AH1602" i="29184"/>
  <c r="AC1603" i="29184"/>
  <c r="AE1603" i="29184"/>
  <c r="AF1603" i="29184"/>
  <c r="AG1603" i="29184"/>
  <c r="AH1603" i="29184"/>
  <c r="AC1604" i="29184"/>
  <c r="AE1604" i="29184"/>
  <c r="AF1604" i="29184"/>
  <c r="AG1604" i="29184"/>
  <c r="AH1604" i="29184"/>
  <c r="AC1605" i="29184"/>
  <c r="AE1605" i="29184"/>
  <c r="AF1605" i="29184"/>
  <c r="AG1605" i="29184"/>
  <c r="AH1605" i="29184"/>
  <c r="AC1606" i="29184"/>
  <c r="AE1606" i="29184"/>
  <c r="AF1606" i="29184"/>
  <c r="AG1606" i="29184"/>
  <c r="AH1606" i="29184"/>
  <c r="AC1607" i="29184"/>
  <c r="AE1607" i="29184"/>
  <c r="AF1607" i="29184"/>
  <c r="AG1607" i="29184"/>
  <c r="AH1607" i="29184"/>
  <c r="AC1608" i="29184"/>
  <c r="AE1608" i="29184"/>
  <c r="AF1608" i="29184"/>
  <c r="AG1608" i="29184"/>
  <c r="AH1608" i="29184"/>
  <c r="AC1611" i="29184"/>
  <c r="AE1611" i="29184"/>
  <c r="AF1611" i="29184"/>
  <c r="AG1611" i="29184"/>
  <c r="AH1611" i="29184"/>
  <c r="AC1612" i="29184"/>
  <c r="AE1612" i="29184"/>
  <c r="AF1612" i="29184"/>
  <c r="AG1612" i="29184"/>
  <c r="AH1612" i="29184"/>
  <c r="AC1613" i="29184"/>
  <c r="AE1613" i="29184"/>
  <c r="AF1613" i="29184"/>
  <c r="AG1613" i="29184"/>
  <c r="AH1613" i="29184"/>
  <c r="AC1614" i="29184"/>
  <c r="AE1614" i="29184"/>
  <c r="AF1614" i="29184"/>
  <c r="AG1614" i="29184"/>
  <c r="AH1614" i="29184"/>
  <c r="AC1615" i="29184"/>
  <c r="AE1615" i="29184"/>
  <c r="AF1615" i="29184"/>
  <c r="AG1615" i="29184"/>
  <c r="AH1615" i="29184"/>
  <c r="AC1616" i="29184"/>
  <c r="AE1616" i="29184"/>
  <c r="AF1616" i="29184"/>
  <c r="AG1616" i="29184"/>
  <c r="AH1616" i="29184"/>
  <c r="AC1617" i="29184"/>
  <c r="AE1617" i="29184"/>
  <c r="AF1617" i="29184"/>
  <c r="AG1617" i="29184"/>
  <c r="AH1617" i="29184"/>
  <c r="AC1618" i="29184"/>
  <c r="AE1618" i="29184"/>
  <c r="AF1618" i="29184"/>
  <c r="AG1618" i="29184"/>
  <c r="AH1618" i="29184"/>
  <c r="AC1619" i="29184"/>
  <c r="AE1619" i="29184"/>
  <c r="AF1619" i="29184"/>
  <c r="AG1619" i="29184"/>
  <c r="AH1619" i="29184"/>
  <c r="AC1622" i="29184"/>
  <c r="AE1622" i="29184"/>
  <c r="AF1622" i="29184"/>
  <c r="AG1622" i="29184"/>
  <c r="AH1622" i="29184"/>
  <c r="AC1623" i="29184"/>
  <c r="AE1623" i="29184"/>
  <c r="AF1623" i="29184"/>
  <c r="AG1623" i="29184"/>
  <c r="AH1623" i="29184"/>
  <c r="AC1624" i="29184"/>
  <c r="AE1624" i="29184"/>
  <c r="AF1624" i="29184"/>
  <c r="AG1624" i="29184"/>
  <c r="AH1624" i="29184"/>
  <c r="AC1625" i="29184"/>
  <c r="AE1625" i="29184"/>
  <c r="AF1625" i="29184"/>
  <c r="AG1625" i="29184"/>
  <c r="AH1625" i="29184"/>
  <c r="AC1626" i="29184"/>
  <c r="AE1626" i="29184"/>
  <c r="AF1626" i="29184"/>
  <c r="AG1626" i="29184"/>
  <c r="AH1626" i="29184"/>
  <c r="AC1627" i="29184"/>
  <c r="AE1627" i="29184"/>
  <c r="AF1627" i="29184"/>
  <c r="AG1627" i="29184"/>
  <c r="AH1627" i="29184"/>
  <c r="AC1628" i="29184"/>
  <c r="AE1628" i="29184"/>
  <c r="AF1628" i="29184"/>
  <c r="AG1628" i="29184"/>
  <c r="AH1628" i="29184"/>
  <c r="AC1629" i="29184"/>
  <c r="AE1629" i="29184"/>
  <c r="AF1629" i="29184"/>
  <c r="AG1629" i="29184"/>
  <c r="AH1629" i="29184"/>
  <c r="AC1630" i="29184"/>
  <c r="AE1630" i="29184"/>
  <c r="AF1630" i="29184"/>
  <c r="AG1630" i="29184"/>
  <c r="AH1630" i="29184"/>
  <c r="AC1633" i="29184"/>
  <c r="AE1633" i="29184"/>
  <c r="AF1633" i="29184"/>
  <c r="AG1633" i="29184"/>
  <c r="AH1633" i="29184"/>
  <c r="AC1634" i="29184"/>
  <c r="AE1634" i="29184"/>
  <c r="AF1634" i="29184"/>
  <c r="AG1634" i="29184"/>
  <c r="AH1634" i="29184"/>
  <c r="AC1635" i="29184"/>
  <c r="AE1635" i="29184"/>
  <c r="AF1635" i="29184"/>
  <c r="AG1635" i="29184"/>
  <c r="AH1635" i="29184"/>
  <c r="AC1636" i="29184"/>
  <c r="AE1636" i="29184"/>
  <c r="AF1636" i="29184"/>
  <c r="AG1636" i="29184"/>
  <c r="AH1636" i="29184"/>
  <c r="AC1637" i="29184"/>
  <c r="AE1637" i="29184"/>
  <c r="AF1637" i="29184"/>
  <c r="AG1637" i="29184"/>
  <c r="AH1637" i="29184"/>
  <c r="AC1638" i="29184"/>
  <c r="AE1638" i="29184"/>
  <c r="AF1638" i="29184"/>
  <c r="AG1638" i="29184"/>
  <c r="AH1638" i="29184"/>
  <c r="AC1639" i="29184"/>
  <c r="AE1639" i="29184"/>
  <c r="AF1639" i="29184"/>
  <c r="AG1639" i="29184"/>
  <c r="AH1639" i="29184"/>
  <c r="AC1640" i="29184"/>
  <c r="AE1640" i="29184"/>
  <c r="AF1640" i="29184"/>
  <c r="AG1640" i="29184"/>
  <c r="AH1640" i="29184"/>
  <c r="AC1641" i="29184"/>
  <c r="AE1641" i="29184"/>
  <c r="AF1641" i="29184"/>
  <c r="AG1641" i="29184"/>
  <c r="AH1641" i="29184"/>
  <c r="AC1644" i="29184"/>
  <c r="AE1644" i="29184"/>
  <c r="AF1644" i="29184"/>
  <c r="AG1644" i="29184"/>
  <c r="AH1644" i="29184"/>
  <c r="AC1645" i="29184"/>
  <c r="AE1645" i="29184"/>
  <c r="AF1645" i="29184"/>
  <c r="AG1645" i="29184"/>
  <c r="AH1645" i="29184"/>
  <c r="AC1646" i="29184"/>
  <c r="AE1646" i="29184"/>
  <c r="AF1646" i="29184"/>
  <c r="AG1646" i="29184"/>
  <c r="AH1646" i="29184"/>
  <c r="AC1647" i="29184"/>
  <c r="AE1647" i="29184"/>
  <c r="AF1647" i="29184"/>
  <c r="AG1647" i="29184"/>
  <c r="AH1647" i="29184"/>
  <c r="AC1648" i="29184"/>
  <c r="AE1648" i="29184"/>
  <c r="AF1648" i="29184"/>
  <c r="AG1648" i="29184"/>
  <c r="AH1648" i="29184"/>
  <c r="AC1649" i="29184"/>
  <c r="AE1649" i="29184"/>
  <c r="AF1649" i="29184"/>
  <c r="AG1649" i="29184"/>
  <c r="AH1649" i="29184"/>
  <c r="AC1650" i="29184"/>
  <c r="AE1650" i="29184"/>
  <c r="AF1650" i="29184"/>
  <c r="AG1650" i="29184"/>
  <c r="AH1650" i="29184"/>
  <c r="AC1651" i="29184"/>
  <c r="AE1651" i="29184"/>
  <c r="AF1651" i="29184"/>
  <c r="AG1651" i="29184"/>
  <c r="AH1651" i="29184"/>
  <c r="AC1652" i="29184"/>
  <c r="AE1652" i="29184"/>
  <c r="AF1652" i="29184"/>
  <c r="AG1652" i="29184"/>
  <c r="AH1652" i="29184"/>
  <c r="AC1655" i="29184"/>
  <c r="AE1655" i="29184"/>
  <c r="AF1655" i="29184"/>
  <c r="AG1655" i="29184"/>
  <c r="AH1655" i="29184"/>
  <c r="AC1656" i="29184"/>
  <c r="AE1656" i="29184"/>
  <c r="AF1656" i="29184"/>
  <c r="AG1656" i="29184"/>
  <c r="AH1656" i="29184"/>
  <c r="AC1657" i="29184"/>
  <c r="AE1657" i="29184"/>
  <c r="AF1657" i="29184"/>
  <c r="AG1657" i="29184"/>
  <c r="AH1657" i="29184"/>
  <c r="AC1658" i="29184"/>
  <c r="AE1658" i="29184"/>
  <c r="AF1658" i="29184"/>
  <c r="AG1658" i="29184"/>
  <c r="AH1658" i="29184"/>
  <c r="AC1659" i="29184"/>
  <c r="AE1659" i="29184"/>
  <c r="AF1659" i="29184"/>
  <c r="AG1659" i="29184"/>
  <c r="AH1659" i="29184"/>
  <c r="AC1660" i="29184"/>
  <c r="AE1660" i="29184"/>
  <c r="AF1660" i="29184"/>
  <c r="AG1660" i="29184"/>
  <c r="AH1660" i="29184"/>
  <c r="AC1661" i="29184"/>
  <c r="AE1661" i="29184"/>
  <c r="AF1661" i="29184"/>
  <c r="AG1661" i="29184"/>
  <c r="AH1661" i="29184"/>
  <c r="AC1662" i="29184"/>
  <c r="AE1662" i="29184"/>
  <c r="AF1662" i="29184"/>
  <c r="AG1662" i="29184"/>
  <c r="AH1662" i="29184"/>
  <c r="AC1663" i="29184"/>
  <c r="AE1663" i="29184"/>
  <c r="AF1663" i="29184"/>
  <c r="AG1663" i="29184"/>
  <c r="AH1663" i="29184"/>
  <c r="AC1666" i="29184"/>
  <c r="AE1666" i="29184"/>
  <c r="AF1666" i="29184"/>
  <c r="AG1666" i="29184"/>
  <c r="AH1666" i="29184"/>
  <c r="AC1667" i="29184"/>
  <c r="AE1667" i="29184"/>
  <c r="AF1667" i="29184"/>
  <c r="AG1667" i="29184"/>
  <c r="AH1667" i="29184"/>
  <c r="AC1668" i="29184"/>
  <c r="AE1668" i="29184"/>
  <c r="AF1668" i="29184"/>
  <c r="AG1668" i="29184"/>
  <c r="AH1668" i="29184"/>
  <c r="AC1669" i="29184"/>
  <c r="AE1669" i="29184"/>
  <c r="AF1669" i="29184"/>
  <c r="AG1669" i="29184"/>
  <c r="AH1669" i="29184"/>
  <c r="AC1670" i="29184"/>
  <c r="AE1670" i="29184"/>
  <c r="AF1670" i="29184"/>
  <c r="AG1670" i="29184"/>
  <c r="AH1670" i="29184"/>
  <c r="AC1671" i="29184"/>
  <c r="AE1671" i="29184"/>
  <c r="AF1671" i="29184"/>
  <c r="AG1671" i="29184"/>
  <c r="AH1671" i="29184"/>
  <c r="AC1672" i="29184"/>
  <c r="AE1672" i="29184"/>
  <c r="AF1672" i="29184"/>
  <c r="AG1672" i="29184"/>
  <c r="AH1672" i="29184"/>
  <c r="AC1673" i="29184"/>
  <c r="AE1673" i="29184"/>
  <c r="AF1673" i="29184"/>
  <c r="AG1673" i="29184"/>
  <c r="AH1673" i="29184"/>
  <c r="AC1674" i="29184"/>
  <c r="AE1674" i="29184"/>
  <c r="AF1674" i="29184"/>
  <c r="AG1674" i="29184"/>
  <c r="AH1674" i="29184"/>
  <c r="AC1677" i="29184"/>
  <c r="AE1677" i="29184"/>
  <c r="AF1677" i="29184"/>
  <c r="AG1677" i="29184"/>
  <c r="AH1677" i="29184"/>
  <c r="AC1678" i="29184"/>
  <c r="AE1678" i="29184"/>
  <c r="AF1678" i="29184"/>
  <c r="AG1678" i="29184"/>
  <c r="AH1678" i="29184"/>
  <c r="AC1679" i="29184"/>
  <c r="AE1679" i="29184"/>
  <c r="AF1679" i="29184"/>
  <c r="AG1679" i="29184"/>
  <c r="AH1679" i="29184"/>
  <c r="AC1680" i="29184"/>
  <c r="AE1680" i="29184"/>
  <c r="AF1680" i="29184"/>
  <c r="AG1680" i="29184"/>
  <c r="AH1680" i="29184"/>
  <c r="AC1681" i="29184"/>
  <c r="AE1681" i="29184"/>
  <c r="AF1681" i="29184"/>
  <c r="AG1681" i="29184"/>
  <c r="AH1681" i="29184"/>
  <c r="AC1682" i="29184"/>
  <c r="AE1682" i="29184"/>
  <c r="AF1682" i="29184"/>
  <c r="AG1682" i="29184"/>
  <c r="AH1682" i="29184"/>
  <c r="AC1683" i="29184"/>
  <c r="AE1683" i="29184"/>
  <c r="AF1683" i="29184"/>
  <c r="AG1683" i="29184"/>
  <c r="AH1683" i="29184"/>
  <c r="AC1684" i="29184"/>
  <c r="AE1684" i="29184"/>
  <c r="AF1684" i="29184"/>
  <c r="AG1684" i="29184"/>
  <c r="AH1684" i="29184"/>
  <c r="AC1685" i="29184"/>
  <c r="AE1685" i="29184"/>
  <c r="AF1685" i="29184"/>
  <c r="AG1685" i="29184"/>
  <c r="AH1685" i="29184"/>
  <c r="AC1688" i="29184"/>
  <c r="AE1688" i="29184"/>
  <c r="AF1688" i="29184"/>
  <c r="AG1688" i="29184"/>
  <c r="AH1688" i="29184"/>
  <c r="AC1689" i="29184"/>
  <c r="AE1689" i="29184"/>
  <c r="AF1689" i="29184"/>
  <c r="AG1689" i="29184"/>
  <c r="AH1689" i="29184"/>
  <c r="AC1690" i="29184"/>
  <c r="AE1690" i="29184"/>
  <c r="AF1690" i="29184"/>
  <c r="AG1690" i="29184"/>
  <c r="AH1690" i="29184"/>
  <c r="AC1691" i="29184"/>
  <c r="AE1691" i="29184"/>
  <c r="AF1691" i="29184"/>
  <c r="AG1691" i="29184"/>
  <c r="AH1691" i="29184"/>
  <c r="AC1692" i="29184"/>
  <c r="AE1692" i="29184"/>
  <c r="AF1692" i="29184"/>
  <c r="AG1692" i="29184"/>
  <c r="AH1692" i="29184"/>
  <c r="AC1693" i="29184"/>
  <c r="AE1693" i="29184"/>
  <c r="AF1693" i="29184"/>
  <c r="AG1693" i="29184"/>
  <c r="AH1693" i="29184"/>
  <c r="AC1694" i="29184"/>
  <c r="AE1694" i="29184"/>
  <c r="AF1694" i="29184"/>
  <c r="AG1694" i="29184"/>
  <c r="AH1694" i="29184"/>
  <c r="AC1695" i="29184"/>
  <c r="AE1695" i="29184"/>
  <c r="AF1695" i="29184"/>
  <c r="AG1695" i="29184"/>
  <c r="AH1695" i="29184"/>
  <c r="AC1696" i="29184"/>
  <c r="AE1696" i="29184"/>
  <c r="AF1696" i="29184"/>
  <c r="AG1696" i="29184"/>
  <c r="AH1696" i="29184"/>
  <c r="AC1699" i="29184"/>
  <c r="AE1699" i="29184"/>
  <c r="AF1699" i="29184"/>
  <c r="AG1699" i="29184"/>
  <c r="AH1699" i="29184"/>
  <c r="AC1700" i="29184"/>
  <c r="AE1700" i="29184"/>
  <c r="AF1700" i="29184"/>
  <c r="AG1700" i="29184"/>
  <c r="AH1700" i="29184"/>
  <c r="AC1701" i="29184"/>
  <c r="AE1701" i="29184"/>
  <c r="AF1701" i="29184"/>
  <c r="AG1701" i="29184"/>
  <c r="AH1701" i="29184"/>
  <c r="AC1702" i="29184"/>
  <c r="AE1702" i="29184"/>
  <c r="AF1702" i="29184"/>
  <c r="AG1702" i="29184"/>
  <c r="AH1702" i="29184"/>
  <c r="AC1703" i="29184"/>
  <c r="AE1703" i="29184"/>
  <c r="AF1703" i="29184"/>
  <c r="AG1703" i="29184"/>
  <c r="AH1703" i="29184"/>
  <c r="AC1704" i="29184"/>
  <c r="AE1704" i="29184"/>
  <c r="AF1704" i="29184"/>
  <c r="AG1704" i="29184"/>
  <c r="AH1704" i="29184"/>
  <c r="AC1705" i="29184"/>
  <c r="AE1705" i="29184"/>
  <c r="AF1705" i="29184"/>
  <c r="AG1705" i="29184"/>
  <c r="AH1705" i="29184"/>
  <c r="AC1706" i="29184"/>
  <c r="AE1706" i="29184"/>
  <c r="AF1706" i="29184"/>
  <c r="AG1706" i="29184"/>
  <c r="AH1706" i="29184"/>
  <c r="AC1707" i="29184"/>
  <c r="AE1707" i="29184"/>
  <c r="AF1707" i="29184"/>
  <c r="AG1707" i="29184"/>
  <c r="AH1707" i="29184"/>
  <c r="AC1710" i="29184"/>
  <c r="AE1710" i="29184"/>
  <c r="AF1710" i="29184"/>
  <c r="AG1710" i="29184"/>
  <c r="AH1710" i="29184"/>
  <c r="AC1711" i="29184"/>
  <c r="AE1711" i="29184"/>
  <c r="AF1711" i="29184"/>
  <c r="AG1711" i="29184"/>
  <c r="AH1711" i="29184"/>
  <c r="AC1712" i="29184"/>
  <c r="AE1712" i="29184"/>
  <c r="AF1712" i="29184"/>
  <c r="AG1712" i="29184"/>
  <c r="AH1712" i="29184"/>
  <c r="AC1713" i="29184"/>
  <c r="AE1713" i="29184"/>
  <c r="AF1713" i="29184"/>
  <c r="AG1713" i="29184"/>
  <c r="AH1713" i="29184"/>
  <c r="AC1714" i="29184"/>
  <c r="AE1714" i="29184"/>
  <c r="AF1714" i="29184"/>
  <c r="AG1714" i="29184"/>
  <c r="AH1714" i="29184"/>
  <c r="AC1715" i="29184"/>
  <c r="AE1715" i="29184"/>
  <c r="AF1715" i="29184"/>
  <c r="AG1715" i="29184"/>
  <c r="AH1715" i="29184"/>
  <c r="AC1716" i="29184"/>
  <c r="AE1716" i="29184"/>
  <c r="AF1716" i="29184"/>
  <c r="AG1716" i="29184"/>
  <c r="AH1716" i="29184"/>
  <c r="AC1717" i="29184"/>
  <c r="AE1717" i="29184"/>
  <c r="AF1717" i="29184"/>
  <c r="AG1717" i="29184"/>
  <c r="AH1717" i="29184"/>
  <c r="AC1718" i="29184"/>
  <c r="AE1718" i="29184"/>
  <c r="AF1718" i="29184"/>
  <c r="AG1718" i="29184"/>
  <c r="AH1718" i="29184"/>
  <c r="AC1721" i="29184"/>
  <c r="AE1721" i="29184"/>
  <c r="AF1721" i="29184"/>
  <c r="AG1721" i="29184"/>
  <c r="AH1721" i="29184"/>
  <c r="AC1722" i="29184"/>
  <c r="AE1722" i="29184"/>
  <c r="AF1722" i="29184"/>
  <c r="AG1722" i="29184"/>
  <c r="AH1722" i="29184"/>
  <c r="AC1723" i="29184"/>
  <c r="AE1723" i="29184"/>
  <c r="AF1723" i="29184"/>
  <c r="AG1723" i="29184"/>
  <c r="AH1723" i="29184"/>
  <c r="AC1724" i="29184"/>
  <c r="AE1724" i="29184"/>
  <c r="AF1724" i="29184"/>
  <c r="AG1724" i="29184"/>
  <c r="AH1724" i="29184"/>
  <c r="AC1725" i="29184"/>
  <c r="AE1725" i="29184"/>
  <c r="AF1725" i="29184"/>
  <c r="AG1725" i="29184"/>
  <c r="AH1725" i="29184"/>
  <c r="AC1726" i="29184"/>
  <c r="AE1726" i="29184"/>
  <c r="AF1726" i="29184"/>
  <c r="AG1726" i="29184"/>
  <c r="AH1726" i="29184"/>
  <c r="AC1727" i="29184"/>
  <c r="AE1727" i="29184"/>
  <c r="AF1727" i="29184"/>
  <c r="AG1727" i="29184"/>
  <c r="AH1727" i="29184"/>
  <c r="AC1728" i="29184"/>
  <c r="AE1728" i="29184"/>
  <c r="AF1728" i="29184"/>
  <c r="AG1728" i="29184"/>
  <c r="AH1728" i="29184"/>
  <c r="AC1729" i="29184"/>
  <c r="AE1729" i="29184"/>
  <c r="AF1729" i="29184"/>
  <c r="AG1729" i="29184"/>
  <c r="AH1729" i="29184"/>
  <c r="AC1732" i="29184"/>
  <c r="AE1732" i="29184"/>
  <c r="AF1732" i="29184"/>
  <c r="AG1732" i="29184"/>
  <c r="AH1732" i="29184"/>
  <c r="AC1733" i="29184"/>
  <c r="AE1733" i="29184"/>
  <c r="AF1733" i="29184"/>
  <c r="AG1733" i="29184"/>
  <c r="AH1733" i="29184"/>
  <c r="AC1734" i="29184"/>
  <c r="AE1734" i="29184"/>
  <c r="AF1734" i="29184"/>
  <c r="AG1734" i="29184"/>
  <c r="AH1734" i="29184"/>
  <c r="AC1735" i="29184"/>
  <c r="AE1735" i="29184"/>
  <c r="AF1735" i="29184"/>
  <c r="AG1735" i="29184"/>
  <c r="AH1735" i="29184"/>
  <c r="AC1736" i="29184"/>
  <c r="AE1736" i="29184"/>
  <c r="AF1736" i="29184"/>
  <c r="AG1736" i="29184"/>
  <c r="AH1736" i="29184"/>
  <c r="AC1737" i="29184"/>
  <c r="AE1737" i="29184"/>
  <c r="AF1737" i="29184"/>
  <c r="AG1737" i="29184"/>
  <c r="AH1737" i="29184"/>
  <c r="AC1738" i="29184"/>
  <c r="AE1738" i="29184"/>
  <c r="AF1738" i="29184"/>
  <c r="AG1738" i="29184"/>
  <c r="AH1738" i="29184"/>
  <c r="AC1739" i="29184"/>
  <c r="AE1739" i="29184"/>
  <c r="AF1739" i="29184"/>
  <c r="AG1739" i="29184"/>
  <c r="AH1739" i="29184"/>
  <c r="AC1740" i="29184"/>
  <c r="AE1740" i="29184"/>
  <c r="AF1740" i="29184"/>
  <c r="AG1740" i="29184"/>
  <c r="AH1740" i="29184"/>
  <c r="AK1744" i="29184"/>
  <c r="V1767" i="29184"/>
  <c r="Z1779" i="29184" s="1"/>
  <c r="V1791" i="29184" s="1"/>
  <c r="Z1803" i="29184" s="1"/>
  <c r="V1815" i="29184" s="1"/>
  <c r="Z1827" i="29184" s="1"/>
  <c r="V1839" i="29184" s="1"/>
  <c r="Z1851" i="29184" s="1"/>
  <c r="V1863" i="29184" s="1"/>
  <c r="Z1875" i="29184" s="1"/>
  <c r="V1887" i="29184" s="1"/>
  <c r="Z1899" i="29184" s="1"/>
  <c r="V1911" i="29184" s="1"/>
  <c r="Z1923" i="29184" s="1"/>
  <c r="V1935" i="29184" s="1"/>
  <c r="Z1947" i="29184" s="1"/>
  <c r="V1959" i="29184" s="1"/>
  <c r="Z1971" i="29184" s="1"/>
  <c r="V1983" i="29184" s="1"/>
  <c r="Z1767" i="29184"/>
  <c r="V1780" i="29184" s="1"/>
  <c r="Z1793" i="29184" s="1"/>
  <c r="V1806" i="29184" s="1"/>
  <c r="Z1819" i="29184" s="1"/>
  <c r="V1832" i="29184" s="1"/>
  <c r="Z1845" i="29184" s="1"/>
  <c r="V1858" i="29184" s="1"/>
  <c r="Z1871" i="29184" s="1"/>
  <c r="V1884" i="29184" s="1"/>
  <c r="V1896" i="29184" s="1"/>
  <c r="Z1907" i="29184" s="1"/>
  <c r="V1918" i="29184" s="1"/>
  <c r="Z1929" i="29184" s="1"/>
  <c r="V1940" i="29184" s="1"/>
  <c r="Z1951" i="29184" s="1"/>
  <c r="V1962" i="29184" s="1"/>
  <c r="Z1973" i="29184" s="1"/>
  <c r="V1984" i="29184" s="1"/>
  <c r="AC1767" i="29184"/>
  <c r="AE1767" i="29184"/>
  <c r="AF1767" i="29184"/>
  <c r="AG1767" i="29184"/>
  <c r="AH1767" i="29184"/>
  <c r="V1768" i="29184"/>
  <c r="V1779" i="29184" s="1"/>
  <c r="Z1792" i="29184" s="1"/>
  <c r="V1805" i="29184" s="1"/>
  <c r="Z1818" i="29184" s="1"/>
  <c r="V1831" i="29184" s="1"/>
  <c r="Z1844" i="29184" s="1"/>
  <c r="V1857" i="29184" s="1"/>
  <c r="Z1870" i="29184" s="1"/>
  <c r="V1883" i="29184" s="1"/>
  <c r="Z1896" i="29184" s="1"/>
  <c r="Z1908" i="29184" s="1"/>
  <c r="V1919" i="29184" s="1"/>
  <c r="Z1930" i="29184" s="1"/>
  <c r="V1941" i="29184" s="1"/>
  <c r="Z1952" i="29184" s="1"/>
  <c r="V1963" i="29184" s="1"/>
  <c r="Z1974" i="29184" s="1"/>
  <c r="V1985" i="29184" s="1"/>
  <c r="Z1768" i="29184"/>
  <c r="V1781" i="29184" s="1"/>
  <c r="Z1794" i="29184" s="1"/>
  <c r="V1807" i="29184" s="1"/>
  <c r="Z1820" i="29184" s="1"/>
  <c r="V1833" i="29184" s="1"/>
  <c r="Z1846" i="29184" s="1"/>
  <c r="V1859" i="29184" s="1"/>
  <c r="Z1872" i="29184" s="1"/>
  <c r="Z1884" i="29184" s="1"/>
  <c r="V1895" i="29184" s="1"/>
  <c r="Z1906" i="29184" s="1"/>
  <c r="V1917" i="29184" s="1"/>
  <c r="Z1928" i="29184" s="1"/>
  <c r="V1939" i="29184" s="1"/>
  <c r="Z1950" i="29184" s="1"/>
  <c r="V1961" i="29184" s="1"/>
  <c r="Z1972" i="29184" s="1"/>
  <c r="Z1983" i="29184" s="1"/>
  <c r="AC1768" i="29184"/>
  <c r="AE1768" i="29184"/>
  <c r="AF1768" i="29184"/>
  <c r="AG1768" i="29184"/>
  <c r="AH1768" i="29184"/>
  <c r="V1769" i="29184"/>
  <c r="Z1780" i="29184" s="1"/>
  <c r="Z1791" i="29184" s="1"/>
  <c r="V1804" i="29184" s="1"/>
  <c r="Z1817" i="29184" s="1"/>
  <c r="V1830" i="29184" s="1"/>
  <c r="Z1843" i="29184" s="1"/>
  <c r="V1856" i="29184" s="1"/>
  <c r="Z1869" i="29184" s="1"/>
  <c r="V1882" i="29184" s="1"/>
  <c r="Z1895" i="29184" s="1"/>
  <c r="V1908" i="29184" s="1"/>
  <c r="V1920" i="29184" s="1"/>
  <c r="Z1931" i="29184" s="1"/>
  <c r="V1942" i="29184" s="1"/>
  <c r="Z1953" i="29184" s="1"/>
  <c r="V1964" i="29184" s="1"/>
  <c r="Z1975" i="29184" s="1"/>
  <c r="V1986" i="29184" s="1"/>
  <c r="Z1769" i="29184"/>
  <c r="V1782" i="29184" s="1"/>
  <c r="Z1795" i="29184" s="1"/>
  <c r="V1808" i="29184" s="1"/>
  <c r="Z1821" i="29184" s="1"/>
  <c r="V1834" i="29184" s="1"/>
  <c r="Z1847" i="29184" s="1"/>
  <c r="V1860" i="29184" s="1"/>
  <c r="V1872" i="29184" s="1"/>
  <c r="Z1883" i="29184" s="1"/>
  <c r="V1894" i="29184" s="1"/>
  <c r="Z1905" i="29184" s="1"/>
  <c r="V1916" i="29184" s="1"/>
  <c r="Z1927" i="29184" s="1"/>
  <c r="V1938" i="29184" s="1"/>
  <c r="Z1949" i="29184" s="1"/>
  <c r="V1960" i="29184" s="1"/>
  <c r="V1971" i="29184" s="1"/>
  <c r="Z1984" i="29184" s="1"/>
  <c r="AC1769" i="29184"/>
  <c r="AE1769" i="29184"/>
  <c r="AF1769" i="29184"/>
  <c r="AG1769" i="29184"/>
  <c r="AH1769" i="29184"/>
  <c r="V1770" i="29184"/>
  <c r="Z1781" i="29184" s="1"/>
  <c r="V1792" i="29184" s="1"/>
  <c r="V1803" i="29184" s="1"/>
  <c r="Z1816" i="29184" s="1"/>
  <c r="V1829" i="29184" s="1"/>
  <c r="Z1842" i="29184" s="1"/>
  <c r="V1855" i="29184" s="1"/>
  <c r="Z1868" i="29184" s="1"/>
  <c r="V1881" i="29184" s="1"/>
  <c r="Z1894" i="29184" s="1"/>
  <c r="V1907" i="29184" s="1"/>
  <c r="Z1920" i="29184" s="1"/>
  <c r="Z1932" i="29184" s="1"/>
  <c r="V1943" i="29184" s="1"/>
  <c r="Z1954" i="29184" s="1"/>
  <c r="V1965" i="29184" s="1"/>
  <c r="Z1976" i="29184" s="1"/>
  <c r="V1987" i="29184" s="1"/>
  <c r="Z1770" i="29184"/>
  <c r="V1783" i="29184" s="1"/>
  <c r="Z1796" i="29184" s="1"/>
  <c r="V1809" i="29184" s="1"/>
  <c r="Z1822" i="29184" s="1"/>
  <c r="V1835" i="29184" s="1"/>
  <c r="Z1848" i="29184" s="1"/>
  <c r="Z1860" i="29184" s="1"/>
  <c r="V1871" i="29184" s="1"/>
  <c r="Z1882" i="29184" s="1"/>
  <c r="V1893" i="29184" s="1"/>
  <c r="Z1904" i="29184" s="1"/>
  <c r="V1915" i="29184" s="1"/>
  <c r="Z1926" i="29184" s="1"/>
  <c r="V1937" i="29184" s="1"/>
  <c r="Z1948" i="29184" s="1"/>
  <c r="Z1959" i="29184" s="1"/>
  <c r="V1972" i="29184" s="1"/>
  <c r="Z1985" i="29184" s="1"/>
  <c r="AC1770" i="29184"/>
  <c r="AE1770" i="29184"/>
  <c r="AF1770" i="29184"/>
  <c r="AG1770" i="29184"/>
  <c r="AH1770" i="29184"/>
  <c r="V1771" i="29184"/>
  <c r="Z1782" i="29184" s="1"/>
  <c r="V1793" i="29184" s="1"/>
  <c r="Z1804" i="29184" s="1"/>
  <c r="Z1815" i="29184" s="1"/>
  <c r="V1828" i="29184" s="1"/>
  <c r="Z1841" i="29184" s="1"/>
  <c r="V1854" i="29184" s="1"/>
  <c r="Z1867" i="29184" s="1"/>
  <c r="V1880" i="29184" s="1"/>
  <c r="Z1893" i="29184" s="1"/>
  <c r="V1906" i="29184" s="1"/>
  <c r="Z1919" i="29184" s="1"/>
  <c r="V1932" i="29184" s="1"/>
  <c r="V1944" i="29184" s="1"/>
  <c r="Z1955" i="29184" s="1"/>
  <c r="V1966" i="29184" s="1"/>
  <c r="Z1977" i="29184" s="1"/>
  <c r="V1988" i="29184" s="1"/>
  <c r="Z1771" i="29184"/>
  <c r="V1784" i="29184" s="1"/>
  <c r="Z1797" i="29184" s="1"/>
  <c r="V1810" i="29184" s="1"/>
  <c r="Z1823" i="29184" s="1"/>
  <c r="V1836" i="29184" s="1"/>
  <c r="V1848" i="29184" s="1"/>
  <c r="Z1859" i="29184" s="1"/>
  <c r="V1870" i="29184" s="1"/>
  <c r="Z1881" i="29184" s="1"/>
  <c r="V1892" i="29184" s="1"/>
  <c r="Z1903" i="29184" s="1"/>
  <c r="V1914" i="29184" s="1"/>
  <c r="Z1925" i="29184" s="1"/>
  <c r="V1936" i="29184" s="1"/>
  <c r="V1947" i="29184" s="1"/>
  <c r="Z1960" i="29184" s="1"/>
  <c r="V1973" i="29184" s="1"/>
  <c r="Z1986" i="29184" s="1"/>
  <c r="AC1771" i="29184"/>
  <c r="AE1771" i="29184"/>
  <c r="AF1771" i="29184"/>
  <c r="AG1771" i="29184"/>
  <c r="AH1771" i="29184"/>
  <c r="V1772" i="29184"/>
  <c r="Z1783" i="29184" s="1"/>
  <c r="V1794" i="29184" s="1"/>
  <c r="Z1805" i="29184" s="1"/>
  <c r="V1816" i="29184" s="1"/>
  <c r="V1827" i="29184" s="1"/>
  <c r="Z1840" i="29184" s="1"/>
  <c r="V1853" i="29184" s="1"/>
  <c r="Z1866" i="29184" s="1"/>
  <c r="V1879" i="29184" s="1"/>
  <c r="Z1892" i="29184" s="1"/>
  <c r="V1905" i="29184" s="1"/>
  <c r="Z1918" i="29184" s="1"/>
  <c r="V1931" i="29184" s="1"/>
  <c r="Z1944" i="29184" s="1"/>
  <c r="Z1956" i="29184" s="1"/>
  <c r="V1967" i="29184" s="1"/>
  <c r="Z1978" i="29184" s="1"/>
  <c r="V1989" i="29184" s="1"/>
  <c r="Z1772" i="29184"/>
  <c r="V1785" i="29184" s="1"/>
  <c r="Z1798" i="29184" s="1"/>
  <c r="V1811" i="29184" s="1"/>
  <c r="Z1824" i="29184" s="1"/>
  <c r="Z1836" i="29184" s="1"/>
  <c r="V1847" i="29184" s="1"/>
  <c r="Z1858" i="29184" s="1"/>
  <c r="V1869" i="29184" s="1"/>
  <c r="Z1880" i="29184" s="1"/>
  <c r="V1891" i="29184" s="1"/>
  <c r="Z1902" i="29184" s="1"/>
  <c r="V1913" i="29184" s="1"/>
  <c r="Z1924" i="29184" s="1"/>
  <c r="Z1935" i="29184" s="1"/>
  <c r="V1948" i="29184" s="1"/>
  <c r="Z1961" i="29184" s="1"/>
  <c r="V1974" i="29184" s="1"/>
  <c r="Z1987" i="29184" s="1"/>
  <c r="AC1772" i="29184"/>
  <c r="AE1772" i="29184"/>
  <c r="AF1772" i="29184"/>
  <c r="AG1772" i="29184"/>
  <c r="AH1772" i="29184"/>
  <c r="V1773" i="29184"/>
  <c r="Z1784" i="29184" s="1"/>
  <c r="V1795" i="29184" s="1"/>
  <c r="Z1806" i="29184" s="1"/>
  <c r="V1817" i="29184" s="1"/>
  <c r="Z1828" i="29184" s="1"/>
  <c r="Z1839" i="29184" s="1"/>
  <c r="V1852" i="29184" s="1"/>
  <c r="Z1865" i="29184" s="1"/>
  <c r="V1878" i="29184" s="1"/>
  <c r="Z1891" i="29184" s="1"/>
  <c r="V1904" i="29184" s="1"/>
  <c r="Z1917" i="29184" s="1"/>
  <c r="V1930" i="29184" s="1"/>
  <c r="Z1943" i="29184" s="1"/>
  <c r="V1956" i="29184" s="1"/>
  <c r="V1968" i="29184" s="1"/>
  <c r="Z1979" i="29184" s="1"/>
  <c r="V1990" i="29184" s="1"/>
  <c r="Z1773" i="29184"/>
  <c r="V1786" i="29184" s="1"/>
  <c r="Z1799" i="29184" s="1"/>
  <c r="V1812" i="29184" s="1"/>
  <c r="V1824" i="29184" s="1"/>
  <c r="Z1835" i="29184" s="1"/>
  <c r="V1846" i="29184" s="1"/>
  <c r="Z1857" i="29184" s="1"/>
  <c r="V1868" i="29184" s="1"/>
  <c r="Z1879" i="29184" s="1"/>
  <c r="V1890" i="29184" s="1"/>
  <c r="Z1901" i="29184" s="1"/>
  <c r="V1912" i="29184" s="1"/>
  <c r="V1923" i="29184" s="1"/>
  <c r="Z1936" i="29184" s="1"/>
  <c r="V1949" i="29184" s="1"/>
  <c r="Z1962" i="29184" s="1"/>
  <c r="V1975" i="29184" s="1"/>
  <c r="Z1988" i="29184" s="1"/>
  <c r="AC1773" i="29184"/>
  <c r="AE1773" i="29184"/>
  <c r="AF1773" i="29184"/>
  <c r="AG1773" i="29184"/>
  <c r="AH1773" i="29184"/>
  <c r="V1774" i="29184"/>
  <c r="Z1785" i="29184" s="1"/>
  <c r="V1796" i="29184" s="1"/>
  <c r="Z1807" i="29184" s="1"/>
  <c r="V1818" i="29184" s="1"/>
  <c r="Z1829" i="29184" s="1"/>
  <c r="V1840" i="29184" s="1"/>
  <c r="V1851" i="29184" s="1"/>
  <c r="Z1864" i="29184" s="1"/>
  <c r="V1877" i="29184" s="1"/>
  <c r="Z1890" i="29184" s="1"/>
  <c r="V1903" i="29184" s="1"/>
  <c r="Z1916" i="29184" s="1"/>
  <c r="V1929" i="29184" s="1"/>
  <c r="Z1942" i="29184" s="1"/>
  <c r="V1955" i="29184" s="1"/>
  <c r="Z1968" i="29184" s="1"/>
  <c r="Z1980" i="29184" s="1"/>
  <c r="V1991" i="29184" s="1"/>
  <c r="Z1774" i="29184"/>
  <c r="V1787" i="29184" s="1"/>
  <c r="Z1800" i="29184" s="1"/>
  <c r="Z1812" i="29184" s="1"/>
  <c r="V1823" i="29184" s="1"/>
  <c r="Z1834" i="29184" s="1"/>
  <c r="V1845" i="29184" s="1"/>
  <c r="Z1856" i="29184" s="1"/>
  <c r="V1867" i="29184" s="1"/>
  <c r="Z1878" i="29184" s="1"/>
  <c r="V1889" i="29184" s="1"/>
  <c r="Z1900" i="29184" s="1"/>
  <c r="Z1911" i="29184" s="1"/>
  <c r="V1924" i="29184" s="1"/>
  <c r="Z1937" i="29184" s="1"/>
  <c r="V1950" i="29184" s="1"/>
  <c r="Z1963" i="29184" s="1"/>
  <c r="V1976" i="29184" s="1"/>
  <c r="Z1989" i="29184" s="1"/>
  <c r="AC1774" i="29184"/>
  <c r="AE1774" i="29184"/>
  <c r="AF1774" i="29184"/>
  <c r="AG1774" i="29184"/>
  <c r="AH1774" i="29184"/>
  <c r="V1775" i="29184"/>
  <c r="Z1786" i="29184" s="1"/>
  <c r="V1797" i="29184" s="1"/>
  <c r="Z1808" i="29184" s="1"/>
  <c r="V1819" i="29184" s="1"/>
  <c r="Z1830" i="29184" s="1"/>
  <c r="V1841" i="29184" s="1"/>
  <c r="Z1852" i="29184" s="1"/>
  <c r="Z1863" i="29184" s="1"/>
  <c r="V1876" i="29184" s="1"/>
  <c r="Z1889" i="29184" s="1"/>
  <c r="V1902" i="29184" s="1"/>
  <c r="Z1915" i="29184" s="1"/>
  <c r="V1928" i="29184" s="1"/>
  <c r="Z1941" i="29184" s="1"/>
  <c r="V1954" i="29184" s="1"/>
  <c r="Z1967" i="29184" s="1"/>
  <c r="V1980" i="29184" s="1"/>
  <c r="V1992" i="29184" s="1"/>
  <c r="Z1775" i="29184"/>
  <c r="V1788" i="29184" s="1"/>
  <c r="V1800" i="29184" s="1"/>
  <c r="Z1811" i="29184" s="1"/>
  <c r="V1822" i="29184" s="1"/>
  <c r="Z1833" i="29184" s="1"/>
  <c r="V1844" i="29184" s="1"/>
  <c r="Z1855" i="29184" s="1"/>
  <c r="V1866" i="29184" s="1"/>
  <c r="Z1877" i="29184" s="1"/>
  <c r="V1888" i="29184" s="1"/>
  <c r="V1899" i="29184" s="1"/>
  <c r="Z1912" i="29184" s="1"/>
  <c r="V1925" i="29184" s="1"/>
  <c r="Z1938" i="29184" s="1"/>
  <c r="V1951" i="29184" s="1"/>
  <c r="Z1964" i="29184" s="1"/>
  <c r="V1977" i="29184" s="1"/>
  <c r="Z1990" i="29184" s="1"/>
  <c r="AC1775" i="29184"/>
  <c r="AE1775" i="29184"/>
  <c r="AF1775" i="29184"/>
  <c r="AG1775" i="29184"/>
  <c r="AH1775" i="29184"/>
  <c r="V1776" i="29184"/>
  <c r="Z1787" i="29184" s="1"/>
  <c r="V1798" i="29184" s="1"/>
  <c r="Z1809" i="29184" s="1"/>
  <c r="V1820" i="29184" s="1"/>
  <c r="Z1831" i="29184" s="1"/>
  <c r="V1842" i="29184" s="1"/>
  <c r="Z1853" i="29184" s="1"/>
  <c r="V1864" i="29184" s="1"/>
  <c r="V1875" i="29184" s="1"/>
  <c r="Z1888" i="29184" s="1"/>
  <c r="V1901" i="29184" s="1"/>
  <c r="Z1914" i="29184" s="1"/>
  <c r="V1927" i="29184" s="1"/>
  <c r="Z1940" i="29184" s="1"/>
  <c r="V1953" i="29184" s="1"/>
  <c r="Z1966" i="29184" s="1"/>
  <c r="V1979" i="29184" s="1"/>
  <c r="Z1992" i="29184" s="1"/>
  <c r="Z1776" i="29184"/>
  <c r="Z1788" i="29184" s="1"/>
  <c r="V1799" i="29184" s="1"/>
  <c r="Z1810" i="29184" s="1"/>
  <c r="V1821" i="29184" s="1"/>
  <c r="Z1832" i="29184" s="1"/>
  <c r="V1843" i="29184" s="1"/>
  <c r="Z1854" i="29184" s="1"/>
  <c r="V1865" i="29184" s="1"/>
  <c r="Z1876" i="29184" s="1"/>
  <c r="Z1887" i="29184" s="1"/>
  <c r="V1900" i="29184" s="1"/>
  <c r="Z1913" i="29184" s="1"/>
  <c r="V1926" i="29184" s="1"/>
  <c r="Z1939" i="29184" s="1"/>
  <c r="V1952" i="29184" s="1"/>
  <c r="Z1965" i="29184" s="1"/>
  <c r="V1978" i="29184" s="1"/>
  <c r="Z1991" i="29184" s="1"/>
  <c r="AC1776" i="29184"/>
  <c r="AE1776" i="29184"/>
  <c r="AF1776" i="29184"/>
  <c r="AG1776" i="29184"/>
  <c r="AH1776" i="29184"/>
  <c r="S1777" i="29184"/>
  <c r="S1789" i="29184" s="1"/>
  <c r="S1801" i="29184" s="1"/>
  <c r="S1813" i="29184" s="1"/>
  <c r="S1825" i="29184" s="1"/>
  <c r="S1837" i="29184" s="1"/>
  <c r="S1849" i="29184" s="1"/>
  <c r="S1861" i="29184" s="1"/>
  <c r="S1873" i="29184" s="1"/>
  <c r="S1885" i="29184" s="1"/>
  <c r="S1897" i="29184" s="1"/>
  <c r="S1909" i="29184" s="1"/>
  <c r="S1921" i="29184" s="1"/>
  <c r="S1933" i="29184" s="1"/>
  <c r="S1945" i="29184" s="1"/>
  <c r="S1957" i="29184" s="1"/>
  <c r="S1969" i="29184" s="1"/>
  <c r="S1981" i="29184" s="1"/>
  <c r="AC1779" i="29184"/>
  <c r="AE1779" i="29184"/>
  <c r="AF1779" i="29184"/>
  <c r="AG1779" i="29184"/>
  <c r="AH1779" i="29184"/>
  <c r="AC1780" i="29184"/>
  <c r="AE1780" i="29184"/>
  <c r="AF1780" i="29184"/>
  <c r="AG1780" i="29184"/>
  <c r="AH1780" i="29184"/>
  <c r="AC1781" i="29184"/>
  <c r="AE1781" i="29184"/>
  <c r="AF1781" i="29184"/>
  <c r="AG1781" i="29184"/>
  <c r="AH1781" i="29184"/>
  <c r="AC1782" i="29184"/>
  <c r="AE1782" i="29184"/>
  <c r="AF1782" i="29184"/>
  <c r="AG1782" i="29184"/>
  <c r="AH1782" i="29184"/>
  <c r="AC1783" i="29184"/>
  <c r="AE1783" i="29184"/>
  <c r="AF1783" i="29184"/>
  <c r="AG1783" i="29184"/>
  <c r="AH1783" i="29184"/>
  <c r="AC1784" i="29184"/>
  <c r="AE1784" i="29184"/>
  <c r="AF1784" i="29184"/>
  <c r="AG1784" i="29184"/>
  <c r="AH1784" i="29184"/>
  <c r="AC1785" i="29184"/>
  <c r="AE1785" i="29184"/>
  <c r="AF1785" i="29184"/>
  <c r="AG1785" i="29184"/>
  <c r="AH1785" i="29184"/>
  <c r="AC1786" i="29184"/>
  <c r="AE1786" i="29184"/>
  <c r="AF1786" i="29184"/>
  <c r="AG1786" i="29184"/>
  <c r="AH1786" i="29184"/>
  <c r="AC1787" i="29184"/>
  <c r="AE1787" i="29184"/>
  <c r="AF1787" i="29184"/>
  <c r="AG1787" i="29184"/>
  <c r="AH1787" i="29184"/>
  <c r="AC1788" i="29184"/>
  <c r="AE1788" i="29184"/>
  <c r="AF1788" i="29184"/>
  <c r="AG1788" i="29184"/>
  <c r="AH1788" i="29184"/>
  <c r="AC1791" i="29184"/>
  <c r="AE1791" i="29184"/>
  <c r="AF1791" i="29184"/>
  <c r="AG1791" i="29184"/>
  <c r="AH1791" i="29184"/>
  <c r="AC1792" i="29184"/>
  <c r="AE1792" i="29184"/>
  <c r="AF1792" i="29184"/>
  <c r="AG1792" i="29184"/>
  <c r="AH1792" i="29184"/>
  <c r="AC1793" i="29184"/>
  <c r="AE1793" i="29184"/>
  <c r="AF1793" i="29184"/>
  <c r="AG1793" i="29184"/>
  <c r="AH1793" i="29184"/>
  <c r="AC1794" i="29184"/>
  <c r="AE1794" i="29184"/>
  <c r="AF1794" i="29184"/>
  <c r="AG1794" i="29184"/>
  <c r="AH1794" i="29184"/>
  <c r="AC1795" i="29184"/>
  <c r="AE1795" i="29184"/>
  <c r="AF1795" i="29184"/>
  <c r="AG1795" i="29184"/>
  <c r="AH1795" i="29184"/>
  <c r="AC1796" i="29184"/>
  <c r="AE1796" i="29184"/>
  <c r="AF1796" i="29184"/>
  <c r="AG1796" i="29184"/>
  <c r="AH1796" i="29184"/>
  <c r="AC1797" i="29184"/>
  <c r="AE1797" i="29184"/>
  <c r="AF1797" i="29184"/>
  <c r="AG1797" i="29184"/>
  <c r="AH1797" i="29184"/>
  <c r="AC1798" i="29184"/>
  <c r="AE1798" i="29184"/>
  <c r="AF1798" i="29184"/>
  <c r="AG1798" i="29184"/>
  <c r="AH1798" i="29184"/>
  <c r="AC1799" i="29184"/>
  <c r="AE1799" i="29184"/>
  <c r="AF1799" i="29184"/>
  <c r="AG1799" i="29184"/>
  <c r="AH1799" i="29184"/>
  <c r="AC1800" i="29184"/>
  <c r="AE1800" i="29184"/>
  <c r="AF1800" i="29184"/>
  <c r="AG1800" i="29184"/>
  <c r="AH1800" i="29184"/>
  <c r="AC1803" i="29184"/>
  <c r="AE1803" i="29184"/>
  <c r="AF1803" i="29184"/>
  <c r="AG1803" i="29184"/>
  <c r="AH1803" i="29184"/>
  <c r="AC1804" i="29184"/>
  <c r="AE1804" i="29184"/>
  <c r="AF1804" i="29184"/>
  <c r="AG1804" i="29184"/>
  <c r="AH1804" i="29184"/>
  <c r="AC1805" i="29184"/>
  <c r="AE1805" i="29184"/>
  <c r="AF1805" i="29184"/>
  <c r="AG1805" i="29184"/>
  <c r="AH1805" i="29184"/>
  <c r="AC1806" i="29184"/>
  <c r="AE1806" i="29184"/>
  <c r="AF1806" i="29184"/>
  <c r="AG1806" i="29184"/>
  <c r="AH1806" i="29184"/>
  <c r="AC1807" i="29184"/>
  <c r="AE1807" i="29184"/>
  <c r="AF1807" i="29184"/>
  <c r="AG1807" i="29184"/>
  <c r="AH1807" i="29184"/>
  <c r="AC1808" i="29184"/>
  <c r="AE1808" i="29184"/>
  <c r="AF1808" i="29184"/>
  <c r="AG1808" i="29184"/>
  <c r="AH1808" i="29184"/>
  <c r="AC1809" i="29184"/>
  <c r="AE1809" i="29184"/>
  <c r="AF1809" i="29184"/>
  <c r="AG1809" i="29184"/>
  <c r="AH1809" i="29184"/>
  <c r="AC1810" i="29184"/>
  <c r="AE1810" i="29184"/>
  <c r="AF1810" i="29184"/>
  <c r="AG1810" i="29184"/>
  <c r="AH1810" i="29184"/>
  <c r="AC1811" i="29184"/>
  <c r="AE1811" i="29184"/>
  <c r="AF1811" i="29184"/>
  <c r="AG1811" i="29184"/>
  <c r="AH1811" i="29184"/>
  <c r="AC1812" i="29184"/>
  <c r="AE1812" i="29184"/>
  <c r="AF1812" i="29184"/>
  <c r="AG1812" i="29184"/>
  <c r="AH1812" i="29184"/>
  <c r="AC1815" i="29184"/>
  <c r="AE1815" i="29184"/>
  <c r="AF1815" i="29184"/>
  <c r="AG1815" i="29184"/>
  <c r="AH1815" i="29184"/>
  <c r="AC1816" i="29184"/>
  <c r="AE1816" i="29184"/>
  <c r="AF1816" i="29184"/>
  <c r="AG1816" i="29184"/>
  <c r="AH1816" i="29184"/>
  <c r="AC1817" i="29184"/>
  <c r="AE1817" i="29184"/>
  <c r="AF1817" i="29184"/>
  <c r="AG1817" i="29184"/>
  <c r="AH1817" i="29184"/>
  <c r="AC1818" i="29184"/>
  <c r="AE1818" i="29184"/>
  <c r="AF1818" i="29184"/>
  <c r="AG1818" i="29184"/>
  <c r="AH1818" i="29184"/>
  <c r="AC1819" i="29184"/>
  <c r="AE1819" i="29184"/>
  <c r="AF1819" i="29184"/>
  <c r="AG1819" i="29184"/>
  <c r="AH1819" i="29184"/>
  <c r="AC1820" i="29184"/>
  <c r="AE1820" i="29184"/>
  <c r="AF1820" i="29184"/>
  <c r="AG1820" i="29184"/>
  <c r="AH1820" i="29184"/>
  <c r="AC1821" i="29184"/>
  <c r="AE1821" i="29184"/>
  <c r="AF1821" i="29184"/>
  <c r="AG1821" i="29184"/>
  <c r="AH1821" i="29184"/>
  <c r="AC1822" i="29184"/>
  <c r="AE1822" i="29184"/>
  <c r="AF1822" i="29184"/>
  <c r="AG1822" i="29184"/>
  <c r="AH1822" i="29184"/>
  <c r="AC1823" i="29184"/>
  <c r="AE1823" i="29184"/>
  <c r="AF1823" i="29184"/>
  <c r="AG1823" i="29184"/>
  <c r="AH1823" i="29184"/>
  <c r="AC1824" i="29184"/>
  <c r="AE1824" i="29184"/>
  <c r="AF1824" i="29184"/>
  <c r="AG1824" i="29184"/>
  <c r="AH1824" i="29184"/>
  <c r="AC1827" i="29184"/>
  <c r="AE1827" i="29184"/>
  <c r="AF1827" i="29184"/>
  <c r="AG1827" i="29184"/>
  <c r="AH1827" i="29184"/>
  <c r="AC1828" i="29184"/>
  <c r="AE1828" i="29184"/>
  <c r="AF1828" i="29184"/>
  <c r="AG1828" i="29184"/>
  <c r="AH1828" i="29184"/>
  <c r="AC1829" i="29184"/>
  <c r="AE1829" i="29184"/>
  <c r="AF1829" i="29184"/>
  <c r="AG1829" i="29184"/>
  <c r="AH1829" i="29184"/>
  <c r="AC1830" i="29184"/>
  <c r="AE1830" i="29184"/>
  <c r="AF1830" i="29184"/>
  <c r="AG1830" i="29184"/>
  <c r="AH1830" i="29184"/>
  <c r="AC1831" i="29184"/>
  <c r="AE1831" i="29184"/>
  <c r="AF1831" i="29184"/>
  <c r="AG1831" i="29184"/>
  <c r="AH1831" i="29184"/>
  <c r="AC1832" i="29184"/>
  <c r="AE1832" i="29184"/>
  <c r="AF1832" i="29184"/>
  <c r="AG1832" i="29184"/>
  <c r="AH1832" i="29184"/>
  <c r="AC1833" i="29184"/>
  <c r="AE1833" i="29184"/>
  <c r="AF1833" i="29184"/>
  <c r="AG1833" i="29184"/>
  <c r="AH1833" i="29184"/>
  <c r="AC1834" i="29184"/>
  <c r="AE1834" i="29184"/>
  <c r="AF1834" i="29184"/>
  <c r="AG1834" i="29184"/>
  <c r="AH1834" i="29184"/>
  <c r="AC1835" i="29184"/>
  <c r="AE1835" i="29184"/>
  <c r="AF1835" i="29184"/>
  <c r="AG1835" i="29184"/>
  <c r="AH1835" i="29184"/>
  <c r="AC1836" i="29184"/>
  <c r="AE1836" i="29184"/>
  <c r="AF1836" i="29184"/>
  <c r="AG1836" i="29184"/>
  <c r="AH1836" i="29184"/>
  <c r="AC1839" i="29184"/>
  <c r="AE1839" i="29184"/>
  <c r="AF1839" i="29184"/>
  <c r="AG1839" i="29184"/>
  <c r="AH1839" i="29184"/>
  <c r="AC1840" i="29184"/>
  <c r="AE1840" i="29184"/>
  <c r="AF1840" i="29184"/>
  <c r="AG1840" i="29184"/>
  <c r="AH1840" i="29184"/>
  <c r="AC1841" i="29184"/>
  <c r="AE1841" i="29184"/>
  <c r="AF1841" i="29184"/>
  <c r="AG1841" i="29184"/>
  <c r="AH1841" i="29184"/>
  <c r="AC1842" i="29184"/>
  <c r="AE1842" i="29184"/>
  <c r="AF1842" i="29184"/>
  <c r="AG1842" i="29184"/>
  <c r="AH1842" i="29184"/>
  <c r="AC1843" i="29184"/>
  <c r="AE1843" i="29184"/>
  <c r="AF1843" i="29184"/>
  <c r="AG1843" i="29184"/>
  <c r="AH1843" i="29184"/>
  <c r="AC1844" i="29184"/>
  <c r="AE1844" i="29184"/>
  <c r="AF1844" i="29184"/>
  <c r="AG1844" i="29184"/>
  <c r="AH1844" i="29184"/>
  <c r="AC1845" i="29184"/>
  <c r="AE1845" i="29184"/>
  <c r="AF1845" i="29184"/>
  <c r="AG1845" i="29184"/>
  <c r="AH1845" i="29184"/>
  <c r="AC1846" i="29184"/>
  <c r="AE1846" i="29184"/>
  <c r="AF1846" i="29184"/>
  <c r="AG1846" i="29184"/>
  <c r="AH1846" i="29184"/>
  <c r="AC1847" i="29184"/>
  <c r="AE1847" i="29184"/>
  <c r="AF1847" i="29184"/>
  <c r="AG1847" i="29184"/>
  <c r="AH1847" i="29184"/>
  <c r="AC1848" i="29184"/>
  <c r="AE1848" i="29184"/>
  <c r="AF1848" i="29184"/>
  <c r="AG1848" i="29184"/>
  <c r="AH1848" i="29184"/>
  <c r="AC1851" i="29184"/>
  <c r="AE1851" i="29184"/>
  <c r="AF1851" i="29184"/>
  <c r="AG1851" i="29184"/>
  <c r="AH1851" i="29184"/>
  <c r="AC1852" i="29184"/>
  <c r="AE1852" i="29184"/>
  <c r="AF1852" i="29184"/>
  <c r="AG1852" i="29184"/>
  <c r="AH1852" i="29184"/>
  <c r="AC1853" i="29184"/>
  <c r="AE1853" i="29184"/>
  <c r="AF1853" i="29184"/>
  <c r="AG1853" i="29184"/>
  <c r="AH1853" i="29184"/>
  <c r="AC1854" i="29184"/>
  <c r="AE1854" i="29184"/>
  <c r="AF1854" i="29184"/>
  <c r="AG1854" i="29184"/>
  <c r="AH1854" i="29184"/>
  <c r="AC1855" i="29184"/>
  <c r="AE1855" i="29184"/>
  <c r="AF1855" i="29184"/>
  <c r="AG1855" i="29184"/>
  <c r="AH1855" i="29184"/>
  <c r="AC1856" i="29184"/>
  <c r="AE1856" i="29184"/>
  <c r="AF1856" i="29184"/>
  <c r="AG1856" i="29184"/>
  <c r="AH1856" i="29184"/>
  <c r="AC1857" i="29184"/>
  <c r="AE1857" i="29184"/>
  <c r="AF1857" i="29184"/>
  <c r="AG1857" i="29184"/>
  <c r="AH1857" i="29184"/>
  <c r="AC1858" i="29184"/>
  <c r="AE1858" i="29184"/>
  <c r="AF1858" i="29184"/>
  <c r="AG1858" i="29184"/>
  <c r="AH1858" i="29184"/>
  <c r="AC1859" i="29184"/>
  <c r="AE1859" i="29184"/>
  <c r="AF1859" i="29184"/>
  <c r="AG1859" i="29184"/>
  <c r="AH1859" i="29184"/>
  <c r="AC1860" i="29184"/>
  <c r="AE1860" i="29184"/>
  <c r="AF1860" i="29184"/>
  <c r="AG1860" i="29184"/>
  <c r="AH1860" i="29184"/>
  <c r="AC1863" i="29184"/>
  <c r="AE1863" i="29184"/>
  <c r="AF1863" i="29184"/>
  <c r="AG1863" i="29184"/>
  <c r="AH1863" i="29184"/>
  <c r="AC1864" i="29184"/>
  <c r="AE1864" i="29184"/>
  <c r="AF1864" i="29184"/>
  <c r="AG1864" i="29184"/>
  <c r="AH1864" i="29184"/>
  <c r="AC1865" i="29184"/>
  <c r="AE1865" i="29184"/>
  <c r="AF1865" i="29184"/>
  <c r="AG1865" i="29184"/>
  <c r="AH1865" i="29184"/>
  <c r="AC1866" i="29184"/>
  <c r="AE1866" i="29184"/>
  <c r="AF1866" i="29184"/>
  <c r="AG1866" i="29184"/>
  <c r="AH1866" i="29184"/>
  <c r="AC1867" i="29184"/>
  <c r="AE1867" i="29184"/>
  <c r="AF1867" i="29184"/>
  <c r="AG1867" i="29184"/>
  <c r="AH1867" i="29184"/>
  <c r="AC1868" i="29184"/>
  <c r="AE1868" i="29184"/>
  <c r="AF1868" i="29184"/>
  <c r="AG1868" i="29184"/>
  <c r="AH1868" i="29184"/>
  <c r="AC1869" i="29184"/>
  <c r="AE1869" i="29184"/>
  <c r="AF1869" i="29184"/>
  <c r="AG1869" i="29184"/>
  <c r="AH1869" i="29184"/>
  <c r="AC1870" i="29184"/>
  <c r="AE1870" i="29184"/>
  <c r="AF1870" i="29184"/>
  <c r="AG1870" i="29184"/>
  <c r="AH1870" i="29184"/>
  <c r="AC1871" i="29184"/>
  <c r="AE1871" i="29184"/>
  <c r="AF1871" i="29184"/>
  <c r="AG1871" i="29184"/>
  <c r="AH1871" i="29184"/>
  <c r="AC1872" i="29184"/>
  <c r="AE1872" i="29184"/>
  <c r="AF1872" i="29184"/>
  <c r="AG1872" i="29184"/>
  <c r="AH1872" i="29184"/>
  <c r="AC1875" i="29184"/>
  <c r="AE1875" i="29184"/>
  <c r="AF1875" i="29184"/>
  <c r="AG1875" i="29184"/>
  <c r="AH1875" i="29184"/>
  <c r="AC1876" i="29184"/>
  <c r="AE1876" i="29184"/>
  <c r="AF1876" i="29184"/>
  <c r="AG1876" i="29184"/>
  <c r="AH1876" i="29184"/>
  <c r="AC1877" i="29184"/>
  <c r="AE1877" i="29184"/>
  <c r="AF1877" i="29184"/>
  <c r="AG1877" i="29184"/>
  <c r="AH1877" i="29184"/>
  <c r="AC1878" i="29184"/>
  <c r="AE1878" i="29184"/>
  <c r="AF1878" i="29184"/>
  <c r="AG1878" i="29184"/>
  <c r="AH1878" i="29184"/>
  <c r="AC1879" i="29184"/>
  <c r="AE1879" i="29184"/>
  <c r="AF1879" i="29184"/>
  <c r="AG1879" i="29184"/>
  <c r="AH1879" i="29184"/>
  <c r="AC1880" i="29184"/>
  <c r="AE1880" i="29184"/>
  <c r="AF1880" i="29184"/>
  <c r="AG1880" i="29184"/>
  <c r="AH1880" i="29184"/>
  <c r="AC1881" i="29184"/>
  <c r="AE1881" i="29184"/>
  <c r="AF1881" i="29184"/>
  <c r="AG1881" i="29184"/>
  <c r="AH1881" i="29184"/>
  <c r="AC1882" i="29184"/>
  <c r="AE1882" i="29184"/>
  <c r="AF1882" i="29184"/>
  <c r="AG1882" i="29184"/>
  <c r="AH1882" i="29184"/>
  <c r="AC1883" i="29184"/>
  <c r="AE1883" i="29184"/>
  <c r="AF1883" i="29184"/>
  <c r="AG1883" i="29184"/>
  <c r="AH1883" i="29184"/>
  <c r="AC1884" i="29184"/>
  <c r="AE1884" i="29184"/>
  <c r="AF1884" i="29184"/>
  <c r="AG1884" i="29184"/>
  <c r="AH1884" i="29184"/>
  <c r="AC1887" i="29184"/>
  <c r="AE1887" i="29184"/>
  <c r="AF1887" i="29184"/>
  <c r="AG1887" i="29184"/>
  <c r="AH1887" i="29184"/>
  <c r="AC1888" i="29184"/>
  <c r="AE1888" i="29184"/>
  <c r="AF1888" i="29184"/>
  <c r="AG1888" i="29184"/>
  <c r="AH1888" i="29184"/>
  <c r="AC1889" i="29184"/>
  <c r="AE1889" i="29184"/>
  <c r="AF1889" i="29184"/>
  <c r="AG1889" i="29184"/>
  <c r="AH1889" i="29184"/>
  <c r="AC1890" i="29184"/>
  <c r="AE1890" i="29184"/>
  <c r="AF1890" i="29184"/>
  <c r="AG1890" i="29184"/>
  <c r="AH1890" i="29184"/>
  <c r="AC1891" i="29184"/>
  <c r="AE1891" i="29184"/>
  <c r="AF1891" i="29184"/>
  <c r="AG1891" i="29184"/>
  <c r="AH1891" i="29184"/>
  <c r="AC1892" i="29184"/>
  <c r="AE1892" i="29184"/>
  <c r="AF1892" i="29184"/>
  <c r="AG1892" i="29184"/>
  <c r="AH1892" i="29184"/>
  <c r="AC1893" i="29184"/>
  <c r="AE1893" i="29184"/>
  <c r="AF1893" i="29184"/>
  <c r="AG1893" i="29184"/>
  <c r="AH1893" i="29184"/>
  <c r="AC1894" i="29184"/>
  <c r="AE1894" i="29184"/>
  <c r="AF1894" i="29184"/>
  <c r="AG1894" i="29184"/>
  <c r="AH1894" i="29184"/>
  <c r="AC1895" i="29184"/>
  <c r="AE1895" i="29184"/>
  <c r="AF1895" i="29184"/>
  <c r="AG1895" i="29184"/>
  <c r="AH1895" i="29184"/>
  <c r="AC1896" i="29184"/>
  <c r="AE1896" i="29184"/>
  <c r="AF1896" i="29184"/>
  <c r="AG1896" i="29184"/>
  <c r="AH1896" i="29184"/>
  <c r="AC1899" i="29184"/>
  <c r="AE1899" i="29184"/>
  <c r="AF1899" i="29184"/>
  <c r="AG1899" i="29184"/>
  <c r="AH1899" i="29184"/>
  <c r="AC1900" i="29184"/>
  <c r="AE1900" i="29184"/>
  <c r="AF1900" i="29184"/>
  <c r="AG1900" i="29184"/>
  <c r="AH1900" i="29184"/>
  <c r="AC1901" i="29184"/>
  <c r="AE1901" i="29184"/>
  <c r="AF1901" i="29184"/>
  <c r="AG1901" i="29184"/>
  <c r="AH1901" i="29184"/>
  <c r="AC1902" i="29184"/>
  <c r="AE1902" i="29184"/>
  <c r="AF1902" i="29184"/>
  <c r="AG1902" i="29184"/>
  <c r="AH1902" i="29184"/>
  <c r="AC1903" i="29184"/>
  <c r="AE1903" i="29184"/>
  <c r="AF1903" i="29184"/>
  <c r="AG1903" i="29184"/>
  <c r="AH1903" i="29184"/>
  <c r="AC1904" i="29184"/>
  <c r="AE1904" i="29184"/>
  <c r="AF1904" i="29184"/>
  <c r="AG1904" i="29184"/>
  <c r="AH1904" i="29184"/>
  <c r="AC1905" i="29184"/>
  <c r="AE1905" i="29184"/>
  <c r="AF1905" i="29184"/>
  <c r="AG1905" i="29184"/>
  <c r="AH1905" i="29184"/>
  <c r="AC1906" i="29184"/>
  <c r="AE1906" i="29184"/>
  <c r="AF1906" i="29184"/>
  <c r="AG1906" i="29184"/>
  <c r="AH1906" i="29184"/>
  <c r="AC1907" i="29184"/>
  <c r="AE1907" i="29184"/>
  <c r="AF1907" i="29184"/>
  <c r="AG1907" i="29184"/>
  <c r="AH1907" i="29184"/>
  <c r="AC1908" i="29184"/>
  <c r="AE1908" i="29184"/>
  <c r="AF1908" i="29184"/>
  <c r="AG1908" i="29184"/>
  <c r="AH1908" i="29184"/>
  <c r="AC1911" i="29184"/>
  <c r="AE1911" i="29184"/>
  <c r="AF1911" i="29184"/>
  <c r="AG1911" i="29184"/>
  <c r="AH1911" i="29184"/>
  <c r="AC1912" i="29184"/>
  <c r="AE1912" i="29184"/>
  <c r="AF1912" i="29184"/>
  <c r="AG1912" i="29184"/>
  <c r="AH1912" i="29184"/>
  <c r="AC1913" i="29184"/>
  <c r="AE1913" i="29184"/>
  <c r="AF1913" i="29184"/>
  <c r="AG1913" i="29184"/>
  <c r="AH1913" i="29184"/>
  <c r="AC1914" i="29184"/>
  <c r="AE1914" i="29184"/>
  <c r="AF1914" i="29184"/>
  <c r="AG1914" i="29184"/>
  <c r="AH1914" i="29184"/>
  <c r="AC1915" i="29184"/>
  <c r="AE1915" i="29184"/>
  <c r="AF1915" i="29184"/>
  <c r="AG1915" i="29184"/>
  <c r="AH1915" i="29184"/>
  <c r="AC1916" i="29184"/>
  <c r="AE1916" i="29184"/>
  <c r="AF1916" i="29184"/>
  <c r="AG1916" i="29184"/>
  <c r="AH1916" i="29184"/>
  <c r="AC1917" i="29184"/>
  <c r="AE1917" i="29184"/>
  <c r="AF1917" i="29184"/>
  <c r="AG1917" i="29184"/>
  <c r="AH1917" i="29184"/>
  <c r="AC1918" i="29184"/>
  <c r="AE1918" i="29184"/>
  <c r="AF1918" i="29184"/>
  <c r="AG1918" i="29184"/>
  <c r="AH1918" i="29184"/>
  <c r="AC1919" i="29184"/>
  <c r="AE1919" i="29184"/>
  <c r="AF1919" i="29184"/>
  <c r="AG1919" i="29184"/>
  <c r="AH1919" i="29184"/>
  <c r="AC1920" i="29184"/>
  <c r="AE1920" i="29184"/>
  <c r="AF1920" i="29184"/>
  <c r="AG1920" i="29184"/>
  <c r="AH1920" i="29184"/>
  <c r="AC1923" i="29184"/>
  <c r="AE1923" i="29184"/>
  <c r="AF1923" i="29184"/>
  <c r="AG1923" i="29184"/>
  <c r="AH1923" i="29184"/>
  <c r="AC1924" i="29184"/>
  <c r="AE1924" i="29184"/>
  <c r="AF1924" i="29184"/>
  <c r="AG1924" i="29184"/>
  <c r="AH1924" i="29184"/>
  <c r="AC1925" i="29184"/>
  <c r="AE1925" i="29184"/>
  <c r="AF1925" i="29184"/>
  <c r="AG1925" i="29184"/>
  <c r="AH1925" i="29184"/>
  <c r="AC1926" i="29184"/>
  <c r="AE1926" i="29184"/>
  <c r="AF1926" i="29184"/>
  <c r="AG1926" i="29184"/>
  <c r="AH1926" i="29184"/>
  <c r="AC1927" i="29184"/>
  <c r="AE1927" i="29184"/>
  <c r="AF1927" i="29184"/>
  <c r="AG1927" i="29184"/>
  <c r="AH1927" i="29184"/>
  <c r="AC1928" i="29184"/>
  <c r="AE1928" i="29184"/>
  <c r="AF1928" i="29184"/>
  <c r="AG1928" i="29184"/>
  <c r="AH1928" i="29184"/>
  <c r="AC1929" i="29184"/>
  <c r="AE1929" i="29184"/>
  <c r="AF1929" i="29184"/>
  <c r="AG1929" i="29184"/>
  <c r="AH1929" i="29184"/>
  <c r="AC1930" i="29184"/>
  <c r="AE1930" i="29184"/>
  <c r="AF1930" i="29184"/>
  <c r="AG1930" i="29184"/>
  <c r="AH1930" i="29184"/>
  <c r="AC1931" i="29184"/>
  <c r="AE1931" i="29184"/>
  <c r="AF1931" i="29184"/>
  <c r="AG1931" i="29184"/>
  <c r="AH1931" i="29184"/>
  <c r="AC1932" i="29184"/>
  <c r="AE1932" i="29184"/>
  <c r="AF1932" i="29184"/>
  <c r="AG1932" i="29184"/>
  <c r="AH1932" i="29184"/>
  <c r="AC1935" i="29184"/>
  <c r="AE1935" i="29184"/>
  <c r="AF1935" i="29184"/>
  <c r="AG1935" i="29184"/>
  <c r="AH1935" i="29184"/>
  <c r="AC1936" i="29184"/>
  <c r="AE1936" i="29184"/>
  <c r="AF1936" i="29184"/>
  <c r="AG1936" i="29184"/>
  <c r="AH1936" i="29184"/>
  <c r="AC1937" i="29184"/>
  <c r="AE1937" i="29184"/>
  <c r="AF1937" i="29184"/>
  <c r="AG1937" i="29184"/>
  <c r="AH1937" i="29184"/>
  <c r="AC1938" i="29184"/>
  <c r="AE1938" i="29184"/>
  <c r="AF1938" i="29184"/>
  <c r="AG1938" i="29184"/>
  <c r="AH1938" i="29184"/>
  <c r="AC1939" i="29184"/>
  <c r="AE1939" i="29184"/>
  <c r="AF1939" i="29184"/>
  <c r="AG1939" i="29184"/>
  <c r="AH1939" i="29184"/>
  <c r="AC1940" i="29184"/>
  <c r="AE1940" i="29184"/>
  <c r="AF1940" i="29184"/>
  <c r="AG1940" i="29184"/>
  <c r="AH1940" i="29184"/>
  <c r="AC1941" i="29184"/>
  <c r="AE1941" i="29184"/>
  <c r="AF1941" i="29184"/>
  <c r="AG1941" i="29184"/>
  <c r="AH1941" i="29184"/>
  <c r="AC1942" i="29184"/>
  <c r="AE1942" i="29184"/>
  <c r="AF1942" i="29184"/>
  <c r="AG1942" i="29184"/>
  <c r="AH1942" i="29184"/>
  <c r="AC1943" i="29184"/>
  <c r="AE1943" i="29184"/>
  <c r="AF1943" i="29184"/>
  <c r="AG1943" i="29184"/>
  <c r="AH1943" i="29184"/>
  <c r="AC1944" i="29184"/>
  <c r="AE1944" i="29184"/>
  <c r="AF1944" i="29184"/>
  <c r="AG1944" i="29184"/>
  <c r="AH1944" i="29184"/>
  <c r="AC1947" i="29184"/>
  <c r="AE1947" i="29184"/>
  <c r="AF1947" i="29184"/>
  <c r="AG1947" i="29184"/>
  <c r="AH1947" i="29184"/>
  <c r="AC1948" i="29184"/>
  <c r="AE1948" i="29184"/>
  <c r="AF1948" i="29184"/>
  <c r="AG1948" i="29184"/>
  <c r="AH1948" i="29184"/>
  <c r="AC1949" i="29184"/>
  <c r="AE1949" i="29184"/>
  <c r="AF1949" i="29184"/>
  <c r="AG1949" i="29184"/>
  <c r="AH1949" i="29184"/>
  <c r="AC1950" i="29184"/>
  <c r="AE1950" i="29184"/>
  <c r="AF1950" i="29184"/>
  <c r="AG1950" i="29184"/>
  <c r="AH1950" i="29184"/>
  <c r="AC1951" i="29184"/>
  <c r="AE1951" i="29184"/>
  <c r="AF1951" i="29184"/>
  <c r="AG1951" i="29184"/>
  <c r="AH1951" i="29184"/>
  <c r="AC1952" i="29184"/>
  <c r="AE1952" i="29184"/>
  <c r="AF1952" i="29184"/>
  <c r="AG1952" i="29184"/>
  <c r="AH1952" i="29184"/>
  <c r="AC1953" i="29184"/>
  <c r="AE1953" i="29184"/>
  <c r="AF1953" i="29184"/>
  <c r="AG1953" i="29184"/>
  <c r="AH1953" i="29184"/>
  <c r="AC1954" i="29184"/>
  <c r="AE1954" i="29184"/>
  <c r="AF1954" i="29184"/>
  <c r="AG1954" i="29184"/>
  <c r="AH1954" i="29184"/>
  <c r="AC1955" i="29184"/>
  <c r="AE1955" i="29184"/>
  <c r="AF1955" i="29184"/>
  <c r="AG1955" i="29184"/>
  <c r="AH1955" i="29184"/>
  <c r="AC1956" i="29184"/>
  <c r="AE1956" i="29184"/>
  <c r="AF1956" i="29184"/>
  <c r="AG1956" i="29184"/>
  <c r="AH1956" i="29184"/>
  <c r="AC1959" i="29184"/>
  <c r="AE1959" i="29184"/>
  <c r="AF1959" i="29184"/>
  <c r="AG1959" i="29184"/>
  <c r="AH1959" i="29184"/>
  <c r="AC1960" i="29184"/>
  <c r="AE1960" i="29184"/>
  <c r="AF1960" i="29184"/>
  <c r="AG1960" i="29184"/>
  <c r="AH1960" i="29184"/>
  <c r="AC1961" i="29184"/>
  <c r="AE1961" i="29184"/>
  <c r="AF1961" i="29184"/>
  <c r="AG1961" i="29184"/>
  <c r="AH1961" i="29184"/>
  <c r="AC1962" i="29184"/>
  <c r="AE1962" i="29184"/>
  <c r="AF1962" i="29184"/>
  <c r="AG1962" i="29184"/>
  <c r="AH1962" i="29184"/>
  <c r="AC1963" i="29184"/>
  <c r="AE1963" i="29184"/>
  <c r="AF1963" i="29184"/>
  <c r="AG1963" i="29184"/>
  <c r="AH1963" i="29184"/>
  <c r="AC1964" i="29184"/>
  <c r="AE1964" i="29184"/>
  <c r="AF1964" i="29184"/>
  <c r="AG1964" i="29184"/>
  <c r="AH1964" i="29184"/>
  <c r="AC1965" i="29184"/>
  <c r="AE1965" i="29184"/>
  <c r="AF1965" i="29184"/>
  <c r="AG1965" i="29184"/>
  <c r="AH1965" i="29184"/>
  <c r="AC1966" i="29184"/>
  <c r="AE1966" i="29184"/>
  <c r="AF1966" i="29184"/>
  <c r="AG1966" i="29184"/>
  <c r="AH1966" i="29184"/>
  <c r="AC1967" i="29184"/>
  <c r="AE1967" i="29184"/>
  <c r="AF1967" i="29184"/>
  <c r="AG1967" i="29184"/>
  <c r="AH1967" i="29184"/>
  <c r="AC1968" i="29184"/>
  <c r="AE1968" i="29184"/>
  <c r="AF1968" i="29184"/>
  <c r="AG1968" i="29184"/>
  <c r="AH1968" i="29184"/>
  <c r="AC1971" i="29184"/>
  <c r="AE1971" i="29184"/>
  <c r="AF1971" i="29184"/>
  <c r="AG1971" i="29184"/>
  <c r="AH1971" i="29184"/>
  <c r="AC1972" i="29184"/>
  <c r="AE1972" i="29184"/>
  <c r="AF1972" i="29184"/>
  <c r="AG1972" i="29184"/>
  <c r="AH1972" i="29184"/>
  <c r="AC1973" i="29184"/>
  <c r="AE1973" i="29184"/>
  <c r="AF1973" i="29184"/>
  <c r="AG1973" i="29184"/>
  <c r="AH1973" i="29184"/>
  <c r="AC1974" i="29184"/>
  <c r="AE1974" i="29184"/>
  <c r="AF1974" i="29184"/>
  <c r="AG1974" i="29184"/>
  <c r="AH1974" i="29184"/>
  <c r="AC1975" i="29184"/>
  <c r="AE1975" i="29184"/>
  <c r="AF1975" i="29184"/>
  <c r="AG1975" i="29184"/>
  <c r="AH1975" i="29184"/>
  <c r="AC1976" i="29184"/>
  <c r="AE1976" i="29184"/>
  <c r="AF1976" i="29184"/>
  <c r="AG1976" i="29184"/>
  <c r="AH1976" i="29184"/>
  <c r="AC1977" i="29184"/>
  <c r="AE1977" i="29184"/>
  <c r="AF1977" i="29184"/>
  <c r="AG1977" i="29184"/>
  <c r="AH1977" i="29184"/>
  <c r="AC1978" i="29184"/>
  <c r="AE1978" i="29184"/>
  <c r="AF1978" i="29184"/>
  <c r="AG1978" i="29184"/>
  <c r="AH1978" i="29184"/>
  <c r="AC1979" i="29184"/>
  <c r="AE1979" i="29184"/>
  <c r="AF1979" i="29184"/>
  <c r="AG1979" i="29184"/>
  <c r="AH1979" i="29184"/>
  <c r="AC1980" i="29184"/>
  <c r="AE1980" i="29184"/>
  <c r="AF1980" i="29184"/>
  <c r="AG1980" i="29184"/>
  <c r="AH1980" i="29184"/>
  <c r="AC1983" i="29184"/>
  <c r="AE1983" i="29184"/>
  <c r="AF1983" i="29184"/>
  <c r="AG1983" i="29184"/>
  <c r="AH1983" i="29184"/>
  <c r="AC1984" i="29184"/>
  <c r="AE1984" i="29184"/>
  <c r="AF1984" i="29184"/>
  <c r="AG1984" i="29184"/>
  <c r="AH1984" i="29184"/>
  <c r="AC1985" i="29184"/>
  <c r="AE1985" i="29184"/>
  <c r="AF1985" i="29184"/>
  <c r="AG1985" i="29184"/>
  <c r="AH1985" i="29184"/>
  <c r="AC1986" i="29184"/>
  <c r="AE1986" i="29184"/>
  <c r="AF1986" i="29184"/>
  <c r="AG1986" i="29184"/>
  <c r="AH1986" i="29184"/>
  <c r="AC1987" i="29184"/>
  <c r="AE1987" i="29184"/>
  <c r="AF1987" i="29184"/>
  <c r="AG1987" i="29184"/>
  <c r="AH1987" i="29184"/>
  <c r="AC1988" i="29184"/>
  <c r="AE1988" i="29184"/>
  <c r="AF1988" i="29184"/>
  <c r="AG1988" i="29184"/>
  <c r="AH1988" i="29184"/>
  <c r="AC1989" i="29184"/>
  <c r="AE1989" i="29184"/>
  <c r="AF1989" i="29184"/>
  <c r="AG1989" i="29184"/>
  <c r="AH1989" i="29184"/>
  <c r="AC1990" i="29184"/>
  <c r="AE1990" i="29184"/>
  <c r="AF1990" i="29184"/>
  <c r="AG1990" i="29184"/>
  <c r="AH1990" i="29184"/>
  <c r="AC1991" i="29184"/>
  <c r="AE1991" i="29184"/>
  <c r="AF1991" i="29184"/>
  <c r="AG1991" i="29184"/>
  <c r="AH1991" i="29184"/>
  <c r="AC1992" i="29184"/>
  <c r="AE1992" i="29184"/>
  <c r="AF1992" i="29184"/>
  <c r="AG1992" i="29184"/>
  <c r="AH1992" i="29184"/>
  <c r="G4" i="30017"/>
  <c r="V6" i="30028"/>
  <c r="W6" i="30028"/>
  <c r="X6" i="30028"/>
  <c r="Y6" i="30028"/>
  <c r="Z6" i="30028"/>
  <c r="A7" i="30028"/>
  <c r="A8" i="30028" s="1"/>
  <c r="A9" i="30028" s="1"/>
  <c r="A10" i="30028" s="1"/>
  <c r="A11" i="30028" s="1"/>
  <c r="G7" i="30028"/>
  <c r="V7" i="30028"/>
  <c r="W7" i="30028"/>
  <c r="X7" i="30028"/>
  <c r="Y7" i="30028"/>
  <c r="Z7" i="30028"/>
  <c r="G8" i="30028"/>
  <c r="V8" i="30028"/>
  <c r="W8" i="30028"/>
  <c r="X8" i="30028"/>
  <c r="Y8" i="30028"/>
  <c r="Z8" i="30028"/>
  <c r="G9" i="30028"/>
  <c r="V9" i="30028"/>
  <c r="W9" i="30028"/>
  <c r="X9" i="30028"/>
  <c r="Y9" i="30028"/>
  <c r="Z9" i="30028"/>
  <c r="G10" i="30028"/>
  <c r="V10" i="30028"/>
  <c r="W10" i="30028"/>
  <c r="X10" i="30028"/>
  <c r="Y10" i="30028"/>
  <c r="Z10" i="30028"/>
  <c r="G11" i="30028"/>
  <c r="V11" i="30028"/>
  <c r="W11" i="30028"/>
  <c r="X11" i="30028"/>
  <c r="Y11" i="30028"/>
  <c r="Z11" i="30028"/>
  <c r="A12" i="30028"/>
  <c r="G12" i="30028"/>
  <c r="V12" i="30028"/>
  <c r="W12" i="30028"/>
  <c r="X12" i="30028"/>
  <c r="Y12" i="30028"/>
  <c r="Z12" i="30028"/>
  <c r="V21" i="30028"/>
  <c r="W21" i="30028"/>
  <c r="X21" i="30028"/>
  <c r="Y21" i="30028"/>
  <c r="Z21" i="30028"/>
  <c r="A22" i="30028"/>
  <c r="A23" i="30028" s="1"/>
  <c r="G22" i="30028"/>
  <c r="V22" i="30028"/>
  <c r="W22" i="30028"/>
  <c r="X22" i="30028"/>
  <c r="Y22" i="30028"/>
  <c r="Z22" i="30028"/>
  <c r="G23" i="30028"/>
  <c r="V23" i="30028"/>
  <c r="W23" i="30028"/>
  <c r="X23" i="30028"/>
  <c r="Y23" i="30028"/>
  <c r="Z23" i="30028"/>
  <c r="V24" i="30028"/>
  <c r="W24" i="30028"/>
  <c r="X24" i="30028"/>
  <c r="Y24" i="30028"/>
  <c r="Z24" i="30028"/>
  <c r="A25" i="30028"/>
  <c r="A26" i="30028" s="1"/>
  <c r="A27" i="30028" s="1"/>
  <c r="G25" i="30028"/>
  <c r="V25" i="30028"/>
  <c r="W25" i="30028"/>
  <c r="X25" i="30028"/>
  <c r="Y25" i="30028"/>
  <c r="Z25" i="30028"/>
  <c r="G26" i="30028"/>
  <c r="V26" i="30028"/>
  <c r="W26" i="30028"/>
  <c r="X26" i="30028"/>
  <c r="Y26" i="30028"/>
  <c r="Z26" i="30028"/>
  <c r="G27" i="30028"/>
  <c r="V27" i="30028"/>
  <c r="W27" i="30028"/>
  <c r="X27" i="30028"/>
  <c r="Y27" i="30028"/>
  <c r="Z27" i="30028"/>
  <c r="A5" i="440"/>
  <c r="A6" i="440" s="1"/>
  <c r="A7" i="440" s="1"/>
  <c r="A8" i="440" s="1"/>
  <c r="A9" i="440" s="1"/>
  <c r="A10" i="440" s="1"/>
  <c r="A11" i="440" s="1"/>
  <c r="A12" i="440" s="1"/>
  <c r="A13" i="440" s="1"/>
  <c r="A14" i="440" s="1"/>
  <c r="A15" i="440" s="1"/>
  <c r="A16" i="440" s="1"/>
  <c r="A17" i="440" s="1"/>
  <c r="A18" i="440" s="1"/>
  <c r="A19" i="440" s="1"/>
  <c r="A20" i="440" s="1"/>
  <c r="A21" i="440" s="1"/>
  <c r="V21" i="440" s="1"/>
  <c r="E5" i="440"/>
  <c r="E6" i="440" s="1"/>
  <c r="E7" i="440" s="1"/>
  <c r="E8" i="440" s="1"/>
  <c r="E9" i="440" s="1"/>
  <c r="E10" i="440" s="1"/>
  <c r="E11" i="440" s="1"/>
  <c r="E12" i="440" s="1"/>
  <c r="E13" i="440" s="1"/>
  <c r="E14" i="440" s="1"/>
  <c r="E15" i="440" s="1"/>
  <c r="E16" i="440" s="1"/>
  <c r="E17" i="440" s="1"/>
  <c r="E18" i="440" s="1"/>
  <c r="E19" i="440" s="1"/>
  <c r="E20" i="440" s="1"/>
  <c r="G5" i="440"/>
  <c r="G6" i="440" s="1"/>
  <c r="G7" i="440" s="1"/>
  <c r="G8" i="440" s="1"/>
  <c r="G9" i="440" s="1"/>
  <c r="G10" i="440" s="1"/>
  <c r="G11" i="440" s="1"/>
  <c r="G12" i="440" s="1"/>
  <c r="G13" i="440" s="1"/>
  <c r="G14" i="440" s="1"/>
  <c r="G15" i="440" s="1"/>
  <c r="G16" i="440" s="1"/>
  <c r="G17" i="440" s="1"/>
  <c r="G18" i="440" s="1"/>
  <c r="G19" i="440" s="1"/>
  <c r="G20" i="440" s="1"/>
  <c r="X21" i="440"/>
  <c r="Z21" i="440"/>
  <c r="AH21" i="440"/>
  <c r="AI21" i="440"/>
  <c r="AJ21" i="440"/>
  <c r="AK21" i="440"/>
  <c r="A23" i="440"/>
  <c r="AD23" i="440" s="1"/>
  <c r="X23" i="440"/>
  <c r="Z23" i="440"/>
  <c r="AH23" i="440"/>
  <c r="AI23" i="440"/>
  <c r="AJ23" i="440"/>
  <c r="AK23" i="440"/>
  <c r="A25" i="440"/>
  <c r="V25" i="440" s="1"/>
  <c r="X25" i="440"/>
  <c r="Z25" i="440"/>
  <c r="AH25" i="440"/>
  <c r="AI25" i="440"/>
  <c r="AJ25" i="440"/>
  <c r="AK25" i="440"/>
  <c r="A27" i="440"/>
  <c r="V27" i="440" s="1"/>
  <c r="X27" i="440"/>
  <c r="A29" i="440"/>
  <c r="V29" i="440" s="1"/>
  <c r="A31" i="440"/>
  <c r="V31" i="440" s="1"/>
  <c r="A33" i="440"/>
  <c r="A39" i="440" s="1"/>
  <c r="W39" i="440" s="1"/>
  <c r="A41" i="440"/>
  <c r="AD41" i="440" s="1"/>
  <c r="A50" i="440"/>
  <c r="V50" i="440" s="1"/>
  <c r="A59" i="440"/>
  <c r="V59" i="440" s="1"/>
  <c r="A63" i="440"/>
  <c r="AD63" i="440" s="1"/>
  <c r="A68" i="440"/>
  <c r="V70" i="440" s="1"/>
  <c r="AH27" i="440"/>
  <c r="AI27" i="440"/>
  <c r="AJ27" i="440"/>
  <c r="AK27" i="440"/>
  <c r="X29" i="440"/>
  <c r="AH29" i="440"/>
  <c r="AI29" i="440"/>
  <c r="AJ29" i="440"/>
  <c r="AK29" i="440"/>
  <c r="X31" i="440"/>
  <c r="AH31" i="440"/>
  <c r="AI31" i="440"/>
  <c r="AJ31" i="440"/>
  <c r="AK31" i="440"/>
  <c r="X33" i="440"/>
  <c r="Z33" i="440"/>
  <c r="G34" i="440"/>
  <c r="X34" i="440"/>
  <c r="Y34" i="440"/>
  <c r="Z34" i="440"/>
  <c r="AH34" i="440"/>
  <c r="AI34" i="440"/>
  <c r="AJ34" i="440"/>
  <c r="AK34" i="440"/>
  <c r="G35" i="440"/>
  <c r="X35" i="440"/>
  <c r="Y35" i="440"/>
  <c r="Z35" i="440"/>
  <c r="AH35" i="440"/>
  <c r="AI35" i="440"/>
  <c r="AJ35" i="440"/>
  <c r="AK35" i="440"/>
  <c r="G36" i="440"/>
  <c r="X36" i="440"/>
  <c r="Y36" i="440"/>
  <c r="Z36" i="440"/>
  <c r="AH36" i="440"/>
  <c r="AI36" i="440"/>
  <c r="AJ36" i="440"/>
  <c r="AK36" i="440"/>
  <c r="G37" i="440"/>
  <c r="X37" i="440"/>
  <c r="Y37" i="440"/>
  <c r="Z37" i="440"/>
  <c r="AH37" i="440"/>
  <c r="AI37" i="440"/>
  <c r="AJ37" i="440"/>
  <c r="AK37" i="440"/>
  <c r="G38" i="440"/>
  <c r="X38" i="440"/>
  <c r="Y38" i="440"/>
  <c r="G39" i="440"/>
  <c r="X39" i="440"/>
  <c r="Y39" i="440"/>
  <c r="X41" i="440"/>
  <c r="Z41" i="440"/>
  <c r="G42" i="440"/>
  <c r="X42" i="440"/>
  <c r="Y42" i="440"/>
  <c r="Z42" i="440"/>
  <c r="AH42" i="440"/>
  <c r="AI42" i="440"/>
  <c r="AJ42" i="440"/>
  <c r="AK42" i="440"/>
  <c r="G43" i="440"/>
  <c r="X43" i="440"/>
  <c r="Y43" i="440"/>
  <c r="Z43" i="440"/>
  <c r="AH43" i="440"/>
  <c r="AI43" i="440"/>
  <c r="AJ43" i="440"/>
  <c r="AK43" i="440"/>
  <c r="G44" i="440"/>
  <c r="X44" i="440"/>
  <c r="Y44" i="440"/>
  <c r="Z44" i="440"/>
  <c r="AH44" i="440"/>
  <c r="AI44" i="440"/>
  <c r="AJ44" i="440"/>
  <c r="AK44" i="440"/>
  <c r="G45" i="440"/>
  <c r="X45" i="440"/>
  <c r="Y45" i="440"/>
  <c r="Z45" i="440"/>
  <c r="AH45" i="440"/>
  <c r="AI45" i="440"/>
  <c r="AJ45" i="440"/>
  <c r="AK45" i="440"/>
  <c r="G46" i="440"/>
  <c r="X46" i="440"/>
  <c r="Y46" i="440"/>
  <c r="Z46" i="440"/>
  <c r="G47" i="440"/>
  <c r="X47" i="440"/>
  <c r="Y47" i="440"/>
  <c r="G48" i="440"/>
  <c r="X48" i="440"/>
  <c r="Y48" i="440"/>
  <c r="X50" i="440"/>
  <c r="Z50" i="440"/>
  <c r="G51" i="440"/>
  <c r="X51" i="440"/>
  <c r="Y51" i="440"/>
  <c r="Z51" i="440"/>
  <c r="AH51" i="440"/>
  <c r="AI51" i="440"/>
  <c r="AJ51" i="440"/>
  <c r="AK51" i="440"/>
  <c r="G52" i="440"/>
  <c r="X52" i="440"/>
  <c r="Y52" i="440"/>
  <c r="Z52" i="440"/>
  <c r="AH52" i="440"/>
  <c r="AI52" i="440"/>
  <c r="AJ52" i="440"/>
  <c r="AK52" i="440"/>
  <c r="G53" i="440"/>
  <c r="X53" i="440"/>
  <c r="Y53" i="440"/>
  <c r="Z53" i="440"/>
  <c r="AH53" i="440"/>
  <c r="AI53" i="440"/>
  <c r="AJ53" i="440"/>
  <c r="AK53" i="440"/>
  <c r="G54" i="440"/>
  <c r="X54" i="440"/>
  <c r="Y54" i="440"/>
  <c r="Z54" i="440"/>
  <c r="AH54" i="440"/>
  <c r="AI54" i="440"/>
  <c r="AJ54" i="440"/>
  <c r="AK54" i="440"/>
  <c r="G55" i="440"/>
  <c r="X55" i="440"/>
  <c r="Y55" i="440"/>
  <c r="Z55" i="440"/>
  <c r="G56" i="440"/>
  <c r="X56" i="440"/>
  <c r="Y56" i="440"/>
  <c r="G57" i="440"/>
  <c r="X57" i="440"/>
  <c r="Y57" i="440"/>
  <c r="X59" i="440"/>
  <c r="Z59" i="440"/>
  <c r="G60" i="440"/>
  <c r="X60" i="440"/>
  <c r="Y60" i="440"/>
  <c r="Z60" i="440"/>
  <c r="AH60" i="440"/>
  <c r="AI60" i="440"/>
  <c r="AJ60" i="440"/>
  <c r="AK60" i="440"/>
  <c r="G61" i="440"/>
  <c r="X61" i="440"/>
  <c r="Y61" i="440"/>
  <c r="Z61" i="440"/>
  <c r="AH61" i="440"/>
  <c r="AI61" i="440"/>
  <c r="AJ61" i="440"/>
  <c r="AK61" i="440"/>
  <c r="X63" i="440"/>
  <c r="Z63" i="440"/>
  <c r="G64" i="440"/>
  <c r="X64" i="440"/>
  <c r="Y64" i="440"/>
  <c r="Z64" i="440"/>
  <c r="AH64" i="440"/>
  <c r="AI64" i="440"/>
  <c r="AJ64" i="440"/>
  <c r="AK64" i="440"/>
  <c r="G65" i="440"/>
  <c r="X65" i="440"/>
  <c r="Y65" i="440"/>
  <c r="Z65" i="440"/>
  <c r="AH65" i="440"/>
  <c r="AI65" i="440"/>
  <c r="AJ65" i="440"/>
  <c r="AK65" i="440"/>
  <c r="G66" i="440"/>
  <c r="X66" i="440"/>
  <c r="Y66" i="440"/>
  <c r="Z66" i="440"/>
  <c r="X68" i="440"/>
  <c r="Z68" i="440"/>
  <c r="G69" i="440"/>
  <c r="X69" i="440"/>
  <c r="Y69" i="440"/>
  <c r="Z69" i="440"/>
  <c r="AH69" i="440"/>
  <c r="AI69" i="440"/>
  <c r="AJ69" i="440"/>
  <c r="AK69" i="440"/>
  <c r="G70" i="440"/>
  <c r="X70" i="440"/>
  <c r="Y70" i="440"/>
  <c r="Z70" i="440"/>
  <c r="AH70" i="440"/>
  <c r="AI70" i="440"/>
  <c r="AJ70" i="440"/>
  <c r="AK70" i="440"/>
  <c r="G71" i="440"/>
  <c r="X71" i="440"/>
  <c r="Y71" i="440"/>
  <c r="Z71" i="440"/>
  <c r="K6" i="30003"/>
  <c r="K7" i="30003"/>
  <c r="K8" i="30003"/>
  <c r="K9" i="30003"/>
  <c r="K10" i="30003"/>
  <c r="K11" i="30003"/>
  <c r="K12" i="30003"/>
  <c r="K13" i="30003"/>
  <c r="K14" i="30003"/>
  <c r="K15" i="30003"/>
  <c r="K16" i="30003"/>
  <c r="K17" i="30003"/>
  <c r="K18" i="30003"/>
  <c r="K19" i="30003"/>
  <c r="K20" i="30003"/>
  <c r="K21" i="30003"/>
  <c r="K22" i="30003"/>
  <c r="K23" i="30003"/>
  <c r="K24" i="30003"/>
  <c r="K25" i="30003"/>
  <c r="K26" i="30003"/>
  <c r="K27" i="30003"/>
  <c r="K28" i="30003"/>
  <c r="K29" i="30003"/>
  <c r="K30" i="30003"/>
  <c r="K31" i="30003"/>
  <c r="K32" i="30003"/>
  <c r="K33" i="30003"/>
  <c r="K34" i="30003"/>
  <c r="K35" i="30003"/>
  <c r="K36" i="30003"/>
  <c r="K37" i="30003"/>
  <c r="K38" i="30003"/>
  <c r="K39" i="30003"/>
  <c r="K40" i="30003"/>
  <c r="K41" i="30003"/>
  <c r="K42" i="30003"/>
  <c r="K43" i="30003"/>
  <c r="K44" i="30003"/>
  <c r="K45" i="30003"/>
  <c r="K46" i="30003"/>
  <c r="K47" i="30003"/>
  <c r="K48" i="30003"/>
  <c r="K49" i="30003"/>
  <c r="K50" i="30003"/>
  <c r="K51" i="30003"/>
  <c r="K52" i="30003"/>
  <c r="K53" i="30003"/>
  <c r="K54" i="30003"/>
  <c r="K55" i="30003"/>
  <c r="K56" i="30003"/>
  <c r="K57" i="30003"/>
  <c r="K58" i="30003"/>
  <c r="K59" i="30003"/>
  <c r="K60" i="30003"/>
  <c r="K61" i="30003"/>
  <c r="K62" i="30003"/>
  <c r="K63" i="30003"/>
  <c r="K64" i="30003"/>
  <c r="K65" i="30003"/>
  <c r="K66" i="30003"/>
  <c r="K67" i="30003"/>
  <c r="K68" i="30003"/>
  <c r="K69" i="30003"/>
  <c r="K70" i="30003"/>
  <c r="K71" i="30003"/>
  <c r="K72" i="30003"/>
  <c r="K73" i="30003"/>
  <c r="K74" i="30003"/>
  <c r="K75" i="30003"/>
  <c r="K76" i="30003"/>
  <c r="K77" i="30003"/>
  <c r="K78" i="30003"/>
  <c r="K79" i="30003"/>
  <c r="K80" i="30003"/>
  <c r="K81" i="30003"/>
  <c r="K82" i="30003"/>
  <c r="K83" i="30003"/>
  <c r="K84" i="30003"/>
  <c r="K85" i="30003"/>
  <c r="K86" i="30003"/>
  <c r="K87" i="30003"/>
  <c r="K88" i="30003"/>
  <c r="K89" i="30003"/>
  <c r="K90" i="30003"/>
  <c r="K91" i="30003"/>
  <c r="K92" i="30003"/>
  <c r="K93" i="30003"/>
  <c r="K94" i="30003"/>
  <c r="K95" i="30003"/>
  <c r="K96" i="30003"/>
  <c r="K97" i="30003"/>
  <c r="K98" i="30003"/>
  <c r="K99" i="30003"/>
  <c r="K100" i="30003"/>
  <c r="K101" i="30003"/>
  <c r="K102" i="30003"/>
  <c r="K103" i="30003"/>
  <c r="K104" i="30003"/>
  <c r="K105" i="30003"/>
  <c r="K106" i="30003"/>
  <c r="K107" i="30003"/>
  <c r="K108" i="30003"/>
  <c r="K109" i="30003"/>
  <c r="K110" i="30003"/>
  <c r="K111" i="30003"/>
  <c r="K112" i="30003"/>
  <c r="K113" i="30003"/>
  <c r="K114" i="30003"/>
  <c r="K115" i="30003"/>
  <c r="K116" i="30003"/>
  <c r="K117" i="30003"/>
  <c r="K118" i="30003"/>
  <c r="K119" i="30003"/>
  <c r="K120" i="30003"/>
  <c r="K121" i="30003"/>
  <c r="K122" i="30003"/>
  <c r="K123" i="30003"/>
  <c r="K124" i="30003"/>
  <c r="K125" i="30003"/>
  <c r="K126" i="30003"/>
  <c r="K127" i="30003"/>
  <c r="K128" i="30003"/>
  <c r="K129" i="30003"/>
  <c r="K130" i="30003"/>
  <c r="K131" i="30003"/>
  <c r="K132" i="30003"/>
  <c r="K133" i="30003"/>
  <c r="K134" i="30003"/>
  <c r="K135" i="30003"/>
  <c r="K136" i="30003"/>
  <c r="K137" i="30003"/>
  <c r="K138" i="30003"/>
  <c r="K139" i="30003"/>
  <c r="K140" i="30003"/>
  <c r="K141" i="30003"/>
  <c r="K142" i="30003"/>
  <c r="K143" i="30003"/>
  <c r="K144" i="30003"/>
  <c r="K145" i="30003"/>
  <c r="K146" i="30003"/>
  <c r="K147" i="30003"/>
  <c r="K148" i="30003"/>
  <c r="K149" i="30003"/>
  <c r="K150" i="30003"/>
  <c r="K151" i="30003"/>
  <c r="K152" i="30003"/>
  <c r="K153" i="30003"/>
  <c r="K154" i="30003"/>
  <c r="K155" i="30003"/>
  <c r="K156" i="30003"/>
  <c r="K157" i="30003"/>
  <c r="K158" i="30003"/>
  <c r="K159" i="30003"/>
  <c r="K160" i="30003"/>
  <c r="K161" i="30003"/>
  <c r="K162" i="30003"/>
  <c r="K163" i="30003"/>
  <c r="K164" i="30003"/>
  <c r="K165" i="30003"/>
  <c r="K166" i="30003"/>
  <c r="K167" i="30003"/>
  <c r="K168" i="30003"/>
  <c r="K169" i="30003"/>
  <c r="K170" i="30003"/>
  <c r="K171" i="30003"/>
  <c r="K172" i="30003"/>
  <c r="K173" i="30003"/>
  <c r="K174" i="30003"/>
  <c r="K175" i="30003"/>
  <c r="K176" i="30003"/>
  <c r="K177" i="30003"/>
  <c r="K178" i="30003"/>
  <c r="K179" i="30003"/>
  <c r="K180" i="30003"/>
  <c r="K181" i="30003"/>
  <c r="K182" i="30003"/>
  <c r="K183" i="30003"/>
  <c r="K184" i="30003"/>
  <c r="K185" i="30003"/>
  <c r="K186" i="30003"/>
  <c r="K187" i="30003"/>
  <c r="K188" i="30003"/>
  <c r="K189" i="30003"/>
  <c r="K190" i="30003"/>
  <c r="K191" i="30003"/>
  <c r="K192" i="30003"/>
  <c r="K193" i="30003"/>
  <c r="K194" i="30003"/>
  <c r="K195" i="30003"/>
  <c r="K196" i="30003"/>
  <c r="K197" i="30003"/>
  <c r="K198" i="30003"/>
  <c r="K199" i="30003"/>
  <c r="K200" i="30003"/>
  <c r="K201" i="30003"/>
  <c r="K202" i="30003"/>
  <c r="K203" i="30003"/>
  <c r="K204" i="30003"/>
  <c r="K205" i="30003"/>
  <c r="K206" i="30003"/>
  <c r="K207" i="30003"/>
  <c r="K208" i="30003"/>
  <c r="K209" i="30003"/>
  <c r="K210" i="30003"/>
  <c r="K211" i="30003"/>
  <c r="K212" i="30003"/>
  <c r="K213" i="30003"/>
  <c r="K214" i="30003"/>
  <c r="K215" i="30003"/>
  <c r="K216" i="30003"/>
  <c r="K217" i="30003"/>
  <c r="K218" i="30003"/>
  <c r="K219" i="30003"/>
  <c r="K220" i="30003"/>
  <c r="K221" i="30003"/>
  <c r="K222" i="30003"/>
  <c r="K223" i="30003"/>
  <c r="K224" i="30003"/>
  <c r="K225" i="30003"/>
  <c r="K226" i="30003"/>
  <c r="K227" i="30003"/>
  <c r="K228" i="30003"/>
  <c r="K229" i="30003"/>
  <c r="K230" i="30003"/>
  <c r="K231" i="30003"/>
  <c r="K232" i="30003"/>
  <c r="K233" i="30003"/>
  <c r="K234" i="30003"/>
  <c r="K235" i="30003"/>
  <c r="K236" i="30003"/>
  <c r="K237" i="30003"/>
  <c r="K238" i="30003"/>
  <c r="K239" i="30003"/>
  <c r="K240" i="30003"/>
  <c r="K241" i="30003"/>
  <c r="K242" i="30003"/>
  <c r="K243" i="30003"/>
  <c r="K244" i="30003"/>
  <c r="K245" i="30003"/>
  <c r="K246" i="30003"/>
  <c r="K247" i="30003"/>
  <c r="K248" i="30003"/>
  <c r="K249" i="30003"/>
  <c r="K250" i="30003"/>
  <c r="K251" i="30003"/>
  <c r="K252" i="30003"/>
  <c r="K253" i="30003"/>
  <c r="K254" i="30003"/>
  <c r="K255" i="30003"/>
  <c r="K256" i="30003"/>
  <c r="K257" i="30003"/>
  <c r="K258" i="30003"/>
  <c r="K259" i="30003"/>
  <c r="K260" i="30003"/>
  <c r="K261" i="30003"/>
  <c r="K262" i="30003"/>
  <c r="K263" i="30003"/>
  <c r="K264" i="30003"/>
  <c r="K265" i="30003"/>
  <c r="K266" i="30003"/>
  <c r="K267" i="30003"/>
  <c r="K268" i="30003"/>
  <c r="K269" i="30003"/>
  <c r="K270" i="30003"/>
  <c r="K271" i="30003"/>
  <c r="K272" i="30003"/>
  <c r="K273" i="30003"/>
  <c r="K274" i="30003"/>
  <c r="K275" i="30003"/>
  <c r="K276" i="30003"/>
  <c r="K277" i="30003"/>
  <c r="K278" i="30003"/>
  <c r="K279" i="30003"/>
  <c r="K280" i="30003"/>
  <c r="K281" i="30003"/>
  <c r="K282" i="30003"/>
  <c r="K283" i="30003"/>
  <c r="K284" i="30003"/>
  <c r="K285" i="30003"/>
  <c r="K286" i="30003"/>
  <c r="K287" i="30003"/>
  <c r="K288" i="30003"/>
  <c r="K289" i="30003"/>
  <c r="K290" i="30003"/>
  <c r="K291" i="30003"/>
  <c r="K292" i="30003"/>
  <c r="K293" i="30003"/>
  <c r="K294" i="30003"/>
  <c r="K295" i="30003"/>
  <c r="K296" i="30003"/>
  <c r="K297" i="30003"/>
  <c r="K298" i="30003"/>
  <c r="K299" i="30003"/>
  <c r="K300" i="30003"/>
  <c r="K301" i="30003"/>
  <c r="K302" i="30003"/>
  <c r="K303" i="30003"/>
  <c r="K304" i="30003"/>
  <c r="K305" i="30003"/>
  <c r="K306" i="30003"/>
  <c r="K307" i="30003"/>
  <c r="K308" i="30003"/>
  <c r="K309" i="30003"/>
  <c r="K310" i="30003"/>
  <c r="K311" i="30003"/>
  <c r="K312" i="30003"/>
  <c r="K313" i="30003"/>
  <c r="K314" i="30003"/>
  <c r="K315" i="30003"/>
  <c r="K316" i="30003"/>
  <c r="K317" i="30003"/>
  <c r="K318" i="30003"/>
  <c r="K319" i="30003"/>
  <c r="K320" i="30003"/>
  <c r="K321" i="30003"/>
  <c r="K322" i="30003"/>
  <c r="K323" i="30003"/>
  <c r="K324" i="30003"/>
  <c r="K325" i="30003"/>
  <c r="K326" i="30003"/>
  <c r="K327" i="30003"/>
  <c r="K328" i="30003"/>
  <c r="K329" i="30003"/>
  <c r="K330" i="30003"/>
  <c r="K331" i="30003"/>
  <c r="K332" i="30003"/>
  <c r="K333" i="30003"/>
  <c r="K334" i="30003"/>
  <c r="K335" i="30003"/>
  <c r="K336" i="30003"/>
  <c r="K337" i="30003"/>
  <c r="K338" i="30003"/>
  <c r="K339" i="30003"/>
  <c r="K340" i="30003"/>
  <c r="K341" i="30003"/>
  <c r="K342" i="30003"/>
  <c r="K343" i="30003"/>
  <c r="K344" i="30003"/>
  <c r="K345" i="30003"/>
  <c r="K346" i="30003"/>
  <c r="K347" i="30003"/>
  <c r="K348" i="30003"/>
  <c r="K349" i="30003"/>
  <c r="K350" i="30003"/>
  <c r="K351" i="30003"/>
  <c r="K352" i="30003"/>
  <c r="K353" i="30003"/>
  <c r="K354" i="30003"/>
  <c r="K355" i="30003"/>
  <c r="K356" i="30003"/>
  <c r="K357" i="30003"/>
  <c r="K358" i="30003"/>
  <c r="K359" i="30003"/>
  <c r="K360" i="30003"/>
  <c r="K361" i="30003"/>
  <c r="K362" i="30003"/>
  <c r="K363" i="30003"/>
  <c r="K364" i="30003"/>
  <c r="K365" i="30003"/>
  <c r="K366" i="30003"/>
  <c r="K367" i="30003"/>
  <c r="K368" i="30003"/>
  <c r="K369" i="30003"/>
  <c r="K370" i="30003"/>
  <c r="K371" i="30003"/>
  <c r="K372" i="30003"/>
  <c r="K373" i="30003"/>
  <c r="K374" i="30003"/>
  <c r="K375" i="30003"/>
  <c r="K376" i="30003"/>
  <c r="K377" i="30003"/>
  <c r="K378" i="30003"/>
  <c r="K379" i="30003"/>
  <c r="K380" i="30003"/>
  <c r="K381" i="30003"/>
  <c r="K382" i="30003"/>
  <c r="K383" i="30003"/>
  <c r="K384" i="30003"/>
  <c r="K385" i="30003"/>
  <c r="K386" i="30003"/>
  <c r="K387" i="30003"/>
  <c r="K388" i="30003"/>
  <c r="K389" i="30003"/>
  <c r="K390" i="30003"/>
  <c r="K391" i="30003"/>
  <c r="K392" i="30003"/>
  <c r="K393" i="30003"/>
  <c r="K394" i="30003"/>
  <c r="K395" i="30003"/>
  <c r="K396" i="30003"/>
  <c r="K397" i="30003"/>
  <c r="K398" i="30003"/>
  <c r="K399" i="30003"/>
  <c r="K400" i="30003"/>
  <c r="K401" i="30003"/>
  <c r="K402" i="30003"/>
  <c r="K403" i="30003"/>
  <c r="K404" i="30003"/>
  <c r="K405" i="30003"/>
  <c r="K406" i="30003"/>
  <c r="K407" i="30003"/>
  <c r="K408" i="30003"/>
  <c r="K409" i="30003"/>
  <c r="K410" i="30003"/>
  <c r="K411" i="30003"/>
  <c r="K412" i="30003"/>
  <c r="K413" i="30003"/>
  <c r="K414" i="30003"/>
  <c r="K415" i="30003"/>
  <c r="K416" i="30003"/>
  <c r="K417" i="30003"/>
  <c r="K418" i="30003"/>
  <c r="K419" i="30003"/>
  <c r="K420" i="30003"/>
  <c r="K421" i="30003"/>
  <c r="K422" i="30003"/>
  <c r="K423" i="30003"/>
  <c r="K424" i="30003"/>
  <c r="K425" i="30003"/>
  <c r="K426" i="30003"/>
  <c r="K427" i="30003"/>
  <c r="K428" i="30003"/>
  <c r="K429" i="30003"/>
  <c r="K430" i="30003"/>
  <c r="K431" i="30003"/>
  <c r="K432" i="30003"/>
  <c r="K433" i="30003"/>
  <c r="K434" i="30003"/>
  <c r="K435" i="30003"/>
  <c r="K436" i="30003"/>
  <c r="K437" i="30003"/>
  <c r="K438" i="30003"/>
  <c r="K439" i="30003"/>
  <c r="K440" i="30003"/>
  <c r="K441" i="30003"/>
  <c r="K442" i="30003"/>
  <c r="K443" i="30003"/>
  <c r="K444" i="30003"/>
  <c r="K445" i="30003"/>
  <c r="K446" i="30003"/>
  <c r="K447" i="30003"/>
  <c r="K448" i="30003"/>
  <c r="K449" i="30003"/>
  <c r="K450" i="30003"/>
  <c r="K451" i="30003"/>
  <c r="K452" i="30003"/>
  <c r="K453" i="30003"/>
  <c r="K454" i="30003"/>
  <c r="K455" i="30003"/>
  <c r="K456" i="30003"/>
  <c r="K457" i="30003"/>
  <c r="K458" i="30003"/>
  <c r="K459" i="30003"/>
  <c r="K460" i="30003"/>
  <c r="K461" i="30003"/>
  <c r="K462" i="30003"/>
  <c r="K463" i="30003"/>
  <c r="K464" i="30003"/>
  <c r="K465" i="30003"/>
  <c r="K466" i="30003"/>
  <c r="K467" i="30003"/>
  <c r="K468" i="30003"/>
  <c r="K469" i="30003"/>
  <c r="K470" i="30003"/>
  <c r="K471" i="30003"/>
  <c r="K472" i="30003"/>
  <c r="K473" i="30003"/>
  <c r="K474" i="30003"/>
  <c r="K475" i="30003"/>
  <c r="K476" i="30003"/>
  <c r="K477" i="30003"/>
  <c r="K478" i="30003"/>
  <c r="K479" i="30003"/>
  <c r="K480" i="30003"/>
  <c r="K481" i="30003"/>
  <c r="K482" i="30003"/>
  <c r="K483" i="30003"/>
  <c r="K484" i="30003"/>
  <c r="K485" i="30003"/>
  <c r="K486" i="30003"/>
  <c r="K487" i="30003"/>
  <c r="K488" i="30003"/>
  <c r="K489" i="30003"/>
  <c r="K490" i="30003"/>
  <c r="K491" i="30003"/>
  <c r="K492" i="30003"/>
  <c r="K493" i="30003"/>
  <c r="K494" i="30003"/>
  <c r="K495" i="30003"/>
  <c r="K496" i="30003"/>
  <c r="K497" i="30003"/>
  <c r="K498" i="30003"/>
  <c r="K499" i="30003"/>
  <c r="K500" i="30003"/>
  <c r="K501" i="30003"/>
  <c r="K502" i="30003"/>
  <c r="K503" i="30003"/>
  <c r="K504" i="30003"/>
  <c r="K505" i="30003"/>
  <c r="K506" i="30003"/>
  <c r="K507" i="30003"/>
  <c r="K508" i="30003"/>
  <c r="K509" i="30003"/>
  <c r="K510" i="30003"/>
  <c r="K511" i="30003"/>
  <c r="K512" i="30003"/>
  <c r="K513" i="30003"/>
  <c r="K514" i="30003"/>
  <c r="K515" i="30003"/>
  <c r="K516" i="30003"/>
  <c r="K517" i="30003"/>
  <c r="K518" i="30003"/>
  <c r="K519" i="30003"/>
  <c r="K520" i="30003"/>
  <c r="K521" i="30003"/>
  <c r="K522" i="30003"/>
  <c r="K523" i="30003"/>
  <c r="K524" i="30003"/>
  <c r="K525" i="30003"/>
  <c r="K526" i="30003"/>
  <c r="K527" i="30003"/>
  <c r="K528" i="30003"/>
  <c r="K529" i="30003"/>
  <c r="K530" i="30003"/>
  <c r="K531" i="30003"/>
  <c r="K532" i="30003"/>
  <c r="K533" i="30003"/>
  <c r="K534" i="30003"/>
  <c r="K535" i="30003"/>
  <c r="K536" i="30003"/>
  <c r="K537" i="30003"/>
  <c r="K538" i="30003"/>
  <c r="K539" i="30003"/>
  <c r="K540" i="30003"/>
  <c r="K541" i="30003"/>
  <c r="K542" i="30003"/>
  <c r="K543" i="30003"/>
  <c r="K544" i="30003"/>
  <c r="K545" i="30003"/>
  <c r="K546" i="30003"/>
  <c r="K547" i="30003"/>
  <c r="K548" i="30003"/>
  <c r="K549" i="30003"/>
  <c r="K550" i="30003"/>
  <c r="K551" i="30003"/>
  <c r="K552" i="30003"/>
  <c r="K553" i="30003"/>
  <c r="K554" i="30003"/>
  <c r="K555" i="30003"/>
  <c r="K556" i="30003"/>
  <c r="K557" i="30003"/>
  <c r="K558" i="30003"/>
  <c r="K559" i="30003"/>
  <c r="K560" i="30003"/>
  <c r="K561" i="30003"/>
  <c r="K562" i="30003"/>
  <c r="K563" i="30003"/>
  <c r="K564" i="30003"/>
  <c r="K565" i="30003"/>
  <c r="K566" i="30003"/>
  <c r="K567" i="30003"/>
  <c r="K568" i="30003"/>
  <c r="K569" i="30003"/>
  <c r="K570" i="30003"/>
  <c r="K571" i="30003"/>
  <c r="K572" i="30003"/>
  <c r="K573" i="30003"/>
  <c r="K574" i="30003"/>
  <c r="K575" i="30003"/>
  <c r="K576" i="30003"/>
  <c r="K577" i="30003"/>
  <c r="K578" i="30003"/>
  <c r="K579" i="30003"/>
  <c r="K580" i="30003"/>
  <c r="K581" i="30003"/>
  <c r="K582" i="30003"/>
  <c r="K583" i="30003"/>
  <c r="K584" i="30003"/>
  <c r="K585" i="30003"/>
  <c r="K586" i="30003"/>
  <c r="K587" i="30003"/>
  <c r="K588" i="30003"/>
  <c r="K589" i="30003"/>
  <c r="K590" i="30003"/>
  <c r="K591" i="30003"/>
  <c r="K592" i="30003"/>
  <c r="K593" i="30003"/>
  <c r="K594" i="30003"/>
  <c r="K595" i="30003"/>
  <c r="K596" i="30003"/>
  <c r="K597" i="30003"/>
  <c r="K598" i="30003"/>
  <c r="K599" i="30003"/>
  <c r="K600" i="30003"/>
  <c r="K601" i="30003"/>
  <c r="K602" i="30003"/>
  <c r="K603" i="30003"/>
  <c r="K604" i="30003"/>
  <c r="K605" i="30003"/>
  <c r="K606" i="30003"/>
  <c r="K607" i="30003"/>
  <c r="K608" i="30003"/>
  <c r="K609" i="30003"/>
  <c r="K610" i="30003"/>
  <c r="K611" i="30003"/>
  <c r="K612" i="30003"/>
  <c r="K613" i="30003"/>
  <c r="K614" i="30003"/>
  <c r="K615" i="30003"/>
  <c r="K616" i="30003"/>
  <c r="K617" i="30003"/>
  <c r="K618" i="30003"/>
  <c r="K619" i="30003"/>
  <c r="K620" i="30003"/>
  <c r="K621" i="30003"/>
  <c r="K622" i="30003"/>
  <c r="K623" i="30003"/>
  <c r="K624" i="30003"/>
  <c r="K625" i="30003"/>
  <c r="K626" i="30003"/>
  <c r="K627" i="30003"/>
  <c r="K628" i="30003"/>
  <c r="K629" i="30003"/>
  <c r="K630" i="30003"/>
  <c r="K631" i="30003"/>
  <c r="K632" i="30003"/>
  <c r="K633" i="30003"/>
  <c r="K634" i="30003"/>
  <c r="K635" i="30003"/>
  <c r="K636" i="30003"/>
  <c r="K637" i="30003"/>
  <c r="K638" i="30003"/>
  <c r="K639" i="30003"/>
  <c r="K640" i="30003"/>
  <c r="K641" i="30003"/>
  <c r="K642" i="30003"/>
  <c r="K643" i="30003"/>
  <c r="K644" i="30003"/>
  <c r="K645" i="30003"/>
  <c r="K646" i="30003"/>
  <c r="K647" i="30003"/>
  <c r="K648" i="30003"/>
  <c r="K649" i="30003"/>
  <c r="K650" i="30003"/>
  <c r="K651" i="30003"/>
  <c r="K652" i="30003"/>
  <c r="K653" i="30003"/>
  <c r="K654" i="30003"/>
  <c r="K655" i="30003"/>
  <c r="K656" i="30003"/>
  <c r="K657" i="30003"/>
  <c r="K658" i="30003"/>
  <c r="K659" i="30003"/>
  <c r="K660" i="30003"/>
  <c r="K661" i="30003"/>
  <c r="K662" i="30003"/>
  <c r="K663" i="30003"/>
  <c r="K664" i="30003"/>
  <c r="K665" i="30003"/>
  <c r="K666" i="30003"/>
  <c r="K667" i="30003"/>
  <c r="K668" i="30003"/>
  <c r="K669" i="30003"/>
  <c r="K670" i="30003"/>
  <c r="K671" i="30003"/>
  <c r="K672" i="30003"/>
  <c r="K673" i="30003"/>
  <c r="K674" i="30003"/>
  <c r="K675" i="30003"/>
  <c r="K676" i="30003"/>
  <c r="K677" i="30003"/>
  <c r="K678" i="30003"/>
  <c r="K679" i="30003"/>
  <c r="K680" i="30003"/>
  <c r="K681" i="30003"/>
  <c r="K682" i="30003"/>
  <c r="K683" i="30003"/>
  <c r="K684" i="30003"/>
  <c r="K685" i="30003"/>
  <c r="K686" i="30003"/>
  <c r="K687" i="30003"/>
  <c r="K688" i="30003"/>
  <c r="K689" i="30003"/>
  <c r="K690" i="30003"/>
  <c r="K691" i="30003"/>
  <c r="K692" i="30003"/>
  <c r="K693" i="30003"/>
  <c r="K694" i="30003"/>
  <c r="K695" i="30003"/>
  <c r="K696" i="30003"/>
  <c r="K697" i="30003"/>
  <c r="K698" i="30003"/>
  <c r="K699" i="30003"/>
  <c r="K700" i="30003"/>
  <c r="K701" i="30003"/>
  <c r="K702" i="30003"/>
  <c r="K703" i="30003"/>
  <c r="K704" i="30003"/>
  <c r="K705" i="30003"/>
  <c r="K706" i="30003"/>
  <c r="K707" i="30003"/>
  <c r="K708" i="30003"/>
  <c r="K709" i="30003"/>
  <c r="K710" i="30003"/>
  <c r="K711" i="30003"/>
  <c r="K712" i="30003"/>
  <c r="K713" i="30003"/>
  <c r="K714" i="30003"/>
  <c r="K715" i="30003"/>
  <c r="K716" i="30003"/>
  <c r="K717" i="30003"/>
  <c r="K718" i="30003"/>
  <c r="K719" i="30003"/>
  <c r="K720" i="30003"/>
  <c r="K721" i="30003"/>
  <c r="K722" i="30003"/>
  <c r="K723" i="30003"/>
  <c r="K724" i="30003"/>
  <c r="K725" i="30003"/>
  <c r="K726" i="30003"/>
  <c r="K727" i="30003"/>
  <c r="K728" i="30003"/>
  <c r="K729" i="30003"/>
  <c r="K730" i="30003"/>
  <c r="K731" i="30003"/>
  <c r="K732" i="30003"/>
  <c r="K733" i="30003"/>
  <c r="K734" i="30003"/>
  <c r="K735" i="30003"/>
  <c r="K736" i="30003"/>
  <c r="K737" i="30003"/>
  <c r="K738" i="30003"/>
  <c r="K739" i="30003"/>
  <c r="K740" i="30003"/>
  <c r="K741" i="30003"/>
  <c r="K742" i="30003"/>
  <c r="K743" i="30003"/>
  <c r="K744" i="30003"/>
  <c r="K745" i="30003"/>
  <c r="K746" i="30003"/>
  <c r="K747" i="30003"/>
  <c r="K748" i="30003"/>
  <c r="K749" i="30003"/>
  <c r="K750" i="30003"/>
  <c r="K751" i="30003"/>
  <c r="K752" i="30003"/>
  <c r="K753" i="30003"/>
  <c r="K754" i="30003"/>
  <c r="K755" i="30003"/>
  <c r="K756" i="30003"/>
  <c r="K757" i="30003"/>
  <c r="K758" i="30003"/>
  <c r="K759" i="30003"/>
  <c r="K760" i="30003"/>
  <c r="K761" i="30003"/>
  <c r="K762" i="30003"/>
  <c r="K763" i="30003"/>
  <c r="K764" i="30003"/>
  <c r="K765" i="30003"/>
  <c r="K766" i="30003"/>
  <c r="K767" i="30003"/>
  <c r="K768" i="30003"/>
  <c r="K769" i="30003"/>
  <c r="K770" i="30003"/>
  <c r="K771" i="30003"/>
  <c r="K772" i="30003"/>
  <c r="K773" i="30003"/>
  <c r="K774" i="30003"/>
  <c r="K775" i="30003"/>
  <c r="K776" i="30003"/>
  <c r="K777" i="30003"/>
  <c r="K778" i="30003"/>
  <c r="K779" i="30003"/>
  <c r="K780" i="30003"/>
  <c r="K781" i="30003"/>
  <c r="K782" i="30003"/>
  <c r="K783" i="30003"/>
  <c r="K784" i="30003"/>
  <c r="K785" i="30003"/>
  <c r="K786" i="30003"/>
  <c r="K787" i="30003"/>
  <c r="K788" i="30003"/>
  <c r="K789" i="30003"/>
  <c r="K790" i="30003"/>
  <c r="K791" i="30003"/>
  <c r="K792" i="30003"/>
  <c r="K793" i="30003"/>
  <c r="K794" i="30003"/>
  <c r="K795" i="30003"/>
  <c r="K796" i="30003"/>
  <c r="K797" i="30003"/>
  <c r="K798" i="30003"/>
  <c r="K799" i="30003"/>
  <c r="K800" i="30003"/>
  <c r="K801" i="30003"/>
  <c r="K802" i="30003"/>
  <c r="K803" i="30003"/>
  <c r="K804" i="30003"/>
  <c r="K805" i="30003"/>
  <c r="K806" i="30003"/>
  <c r="K807" i="30003"/>
  <c r="K808" i="30003"/>
  <c r="K809" i="30003"/>
  <c r="K810" i="30003"/>
  <c r="K811" i="30003"/>
  <c r="K812" i="30003"/>
  <c r="K813" i="30003"/>
  <c r="K814" i="30003"/>
  <c r="K815" i="30003"/>
  <c r="K816" i="30003"/>
  <c r="K817" i="30003"/>
  <c r="K818" i="30003"/>
  <c r="K819" i="30003"/>
  <c r="K820" i="30003"/>
  <c r="K821" i="30003"/>
  <c r="K822" i="30003"/>
  <c r="K823" i="30003"/>
  <c r="K824" i="30003"/>
  <c r="K825" i="30003"/>
  <c r="K826" i="30003"/>
  <c r="K827" i="30003"/>
  <c r="K828" i="30003"/>
  <c r="K829" i="30003"/>
  <c r="K830" i="30003"/>
  <c r="K831" i="30003"/>
  <c r="K832" i="30003"/>
  <c r="K833" i="30003"/>
  <c r="K834" i="30003"/>
  <c r="K835" i="30003"/>
  <c r="K836" i="30003"/>
  <c r="K837" i="30003"/>
  <c r="K838" i="30003"/>
  <c r="K839" i="30003"/>
  <c r="K840" i="30003"/>
  <c r="K841" i="30003"/>
  <c r="K842" i="30003"/>
  <c r="K843" i="30003"/>
  <c r="K844" i="30003"/>
  <c r="K845" i="30003"/>
  <c r="K846" i="30003"/>
  <c r="K847" i="30003"/>
  <c r="K848" i="30003"/>
  <c r="K849" i="30003"/>
  <c r="K850" i="30003"/>
  <c r="K851" i="30003"/>
  <c r="K852" i="30003"/>
  <c r="K853" i="30003"/>
  <c r="K854" i="30003"/>
  <c r="K855" i="30003"/>
  <c r="K856" i="30003"/>
  <c r="K857" i="30003"/>
  <c r="K858" i="30003"/>
  <c r="K859" i="30003"/>
  <c r="K860" i="30003"/>
  <c r="K861" i="30003"/>
  <c r="K862" i="30003"/>
  <c r="K863" i="30003"/>
  <c r="K864" i="30003"/>
  <c r="K865" i="30003"/>
  <c r="K866" i="30003"/>
  <c r="K867" i="30003"/>
  <c r="K868" i="30003"/>
  <c r="K869" i="30003"/>
  <c r="K870" i="30003"/>
  <c r="K871" i="30003"/>
  <c r="K872" i="30003"/>
  <c r="K873" i="30003"/>
  <c r="K874" i="30003"/>
  <c r="K875" i="30003"/>
  <c r="K876" i="30003"/>
  <c r="K877" i="30003"/>
  <c r="K878" i="30003"/>
  <c r="K879" i="30003"/>
  <c r="K880" i="30003"/>
  <c r="K881" i="30003"/>
  <c r="K882" i="30003"/>
  <c r="K883" i="30003"/>
  <c r="K884" i="30003"/>
  <c r="K885" i="30003"/>
  <c r="K886" i="30003"/>
  <c r="K887" i="30003"/>
  <c r="K888" i="30003"/>
  <c r="K889" i="30003"/>
  <c r="K890" i="30003"/>
  <c r="K891" i="30003"/>
  <c r="K892" i="30003"/>
  <c r="K893" i="30003"/>
  <c r="K894" i="30003"/>
  <c r="K895" i="30003"/>
  <c r="K896" i="30003"/>
  <c r="K897" i="30003"/>
  <c r="K898" i="30003"/>
  <c r="K899" i="30003"/>
  <c r="K900" i="30003"/>
  <c r="K901" i="30003"/>
  <c r="K902" i="30003"/>
  <c r="K903" i="30003"/>
  <c r="K904" i="30003"/>
  <c r="K905" i="30003"/>
  <c r="K906" i="30003"/>
  <c r="K907" i="30003"/>
  <c r="K908" i="30003"/>
  <c r="K909" i="30003"/>
  <c r="K910" i="30003"/>
  <c r="K911" i="30003"/>
  <c r="K912" i="30003"/>
  <c r="K913" i="30003"/>
  <c r="K914" i="30003"/>
  <c r="K915" i="30003"/>
  <c r="K916" i="30003"/>
  <c r="K917" i="30003"/>
  <c r="K918" i="30003"/>
  <c r="K919" i="30003"/>
  <c r="K920" i="30003"/>
  <c r="K921" i="30003"/>
  <c r="K922" i="30003"/>
  <c r="K923" i="30003"/>
  <c r="K924" i="30003"/>
  <c r="K925" i="30003"/>
  <c r="K926" i="30003"/>
  <c r="K927" i="30003"/>
  <c r="K928" i="30003"/>
  <c r="K929" i="30003"/>
  <c r="K930" i="30003"/>
  <c r="K931" i="30003"/>
  <c r="K932" i="30003"/>
  <c r="K933" i="30003"/>
  <c r="K934" i="30003"/>
  <c r="K935" i="30003"/>
  <c r="K936" i="30003"/>
  <c r="K937" i="30003"/>
  <c r="K938" i="30003"/>
  <c r="K939" i="30003"/>
  <c r="K940" i="30003"/>
  <c r="K941" i="30003"/>
  <c r="K942" i="30003"/>
  <c r="K943" i="30003"/>
  <c r="K944" i="30003"/>
  <c r="K945" i="30003"/>
  <c r="K946" i="30003"/>
  <c r="K947" i="30003"/>
  <c r="K948" i="30003"/>
  <c r="K949" i="30003"/>
  <c r="K950" i="30003"/>
  <c r="K951" i="30003"/>
  <c r="K952" i="30003"/>
  <c r="K953" i="30003"/>
  <c r="K954" i="30003"/>
  <c r="K955" i="30003"/>
  <c r="K956" i="30003"/>
  <c r="K957" i="30003"/>
  <c r="K958" i="30003"/>
  <c r="K959" i="30003"/>
  <c r="K960" i="30003"/>
  <c r="K961" i="30003"/>
  <c r="K962" i="30003"/>
  <c r="K963" i="30003"/>
  <c r="K964" i="30003"/>
  <c r="K965" i="30003"/>
  <c r="K966" i="30003"/>
  <c r="K967" i="30003"/>
  <c r="K968" i="30003"/>
  <c r="K969" i="30003"/>
  <c r="K970" i="30003"/>
  <c r="K971" i="30003"/>
  <c r="K972" i="30003"/>
  <c r="K973" i="30003"/>
  <c r="K974" i="30003"/>
  <c r="K975" i="30003"/>
  <c r="K976" i="30003"/>
  <c r="K977" i="30003"/>
  <c r="K978" i="30003"/>
  <c r="K979" i="30003"/>
  <c r="K980" i="30003"/>
  <c r="K981" i="30003"/>
  <c r="K982" i="30003"/>
  <c r="K983" i="30003"/>
  <c r="K984" i="30003"/>
  <c r="K985" i="30003"/>
  <c r="K986" i="30003"/>
  <c r="K987" i="30003"/>
  <c r="K988" i="30003"/>
  <c r="K989" i="30003"/>
  <c r="K990" i="30003"/>
  <c r="K991" i="30003"/>
  <c r="K992" i="30003"/>
  <c r="K993" i="30003"/>
  <c r="K994" i="30003"/>
  <c r="K995" i="30003"/>
  <c r="K996" i="30003"/>
  <c r="K997" i="30003"/>
  <c r="K998" i="30003"/>
  <c r="K999" i="30003"/>
  <c r="K1000" i="30003"/>
  <c r="K1001" i="30003"/>
  <c r="K1002" i="30003"/>
  <c r="K1003" i="30003"/>
  <c r="K1004" i="30003"/>
  <c r="K1005" i="30003"/>
  <c r="K1006" i="30003"/>
  <c r="K1007" i="30003"/>
  <c r="K1008" i="30003"/>
  <c r="K1009" i="30003"/>
  <c r="K1010" i="30003"/>
  <c r="K1011" i="30003"/>
  <c r="K1012" i="30003"/>
  <c r="K1013" i="30003"/>
  <c r="K1014" i="30003"/>
  <c r="K1015" i="30003"/>
  <c r="K1016" i="30003"/>
  <c r="K1017" i="30003"/>
  <c r="K1018" i="30003"/>
  <c r="K1019" i="30003"/>
  <c r="K1020" i="30003"/>
  <c r="K1021" i="30003"/>
  <c r="K1022" i="30003"/>
  <c r="K1023" i="30003"/>
  <c r="K1024" i="30003"/>
  <c r="K1025" i="30003"/>
  <c r="K1026" i="30003"/>
  <c r="K1027" i="30003"/>
  <c r="K1028" i="30003"/>
  <c r="K1029" i="30003"/>
  <c r="K1030" i="30003"/>
  <c r="K1031" i="30003"/>
  <c r="K1032" i="30003"/>
  <c r="K1033" i="30003"/>
  <c r="K1034" i="30003"/>
  <c r="K1035" i="30003"/>
  <c r="K1036" i="30003"/>
  <c r="K1037" i="30003"/>
  <c r="K1038" i="30003"/>
  <c r="K1039" i="30003"/>
  <c r="K1040" i="30003"/>
  <c r="K1041" i="30003"/>
  <c r="K1042" i="30003"/>
  <c r="K1043" i="30003"/>
  <c r="K1044" i="30003"/>
  <c r="K1045" i="30003"/>
  <c r="K1046" i="30003"/>
  <c r="K1047" i="30003"/>
  <c r="K1048" i="30003"/>
  <c r="K1049" i="30003"/>
  <c r="K1050" i="30003"/>
  <c r="K1051" i="30003"/>
  <c r="K1052" i="30003"/>
  <c r="K1053" i="30003"/>
  <c r="K1054" i="30003"/>
  <c r="K1055" i="30003"/>
  <c r="K1056" i="30003"/>
  <c r="K1057" i="30003"/>
  <c r="K1058" i="30003"/>
  <c r="K1059" i="30003"/>
  <c r="K1060" i="30003"/>
  <c r="K1061" i="30003"/>
  <c r="K1062" i="30003"/>
  <c r="K1063" i="30003"/>
  <c r="K1064" i="30003"/>
  <c r="K1065" i="30003"/>
  <c r="K1066" i="30003"/>
  <c r="K1067" i="30003"/>
  <c r="K1068" i="30003"/>
  <c r="K1069" i="30003"/>
  <c r="K1070" i="30003"/>
  <c r="K1071" i="30003"/>
  <c r="K1072" i="30003"/>
  <c r="K1073" i="30003"/>
  <c r="K1074" i="30003"/>
  <c r="K1075" i="30003"/>
  <c r="K1076" i="30003"/>
  <c r="K1077" i="30003"/>
  <c r="K1078" i="30003"/>
  <c r="K1079" i="30003"/>
  <c r="K1080" i="30003"/>
  <c r="K1081" i="30003"/>
  <c r="K1082" i="30003"/>
  <c r="K1083" i="30003"/>
  <c r="K1084" i="30003"/>
  <c r="K1085" i="30003"/>
  <c r="K1086" i="30003"/>
  <c r="K1087" i="30003"/>
  <c r="K1088" i="30003"/>
  <c r="K1089" i="30003"/>
  <c r="K1090" i="30003"/>
  <c r="K1091" i="30003"/>
  <c r="K1092" i="30003"/>
  <c r="K1093" i="30003"/>
  <c r="K1094" i="30003"/>
  <c r="K1095" i="30003"/>
  <c r="K1096" i="30003"/>
  <c r="K1097" i="30003"/>
  <c r="K1098" i="30003"/>
  <c r="K1099" i="30003"/>
  <c r="K1100" i="30003"/>
  <c r="K1101" i="30003"/>
  <c r="K1102" i="30003"/>
  <c r="K1103" i="30003"/>
  <c r="K1104" i="30003"/>
  <c r="K1105" i="30003"/>
  <c r="K1106" i="30003"/>
  <c r="K1107" i="30003"/>
  <c r="K1108" i="30003"/>
  <c r="K1109" i="30003"/>
  <c r="K1110" i="30003"/>
  <c r="K1111" i="30003"/>
  <c r="K1112" i="30003"/>
  <c r="K1113" i="30003"/>
  <c r="K1114" i="30003"/>
  <c r="K1115" i="30003"/>
  <c r="K1116" i="30003"/>
  <c r="K1117" i="30003"/>
  <c r="K1118" i="30003"/>
  <c r="K1119" i="30003"/>
  <c r="K1120" i="30003"/>
  <c r="K1121" i="30003"/>
  <c r="K1122" i="30003"/>
  <c r="K1123" i="30003"/>
  <c r="K1124" i="30003"/>
  <c r="K1125" i="30003"/>
  <c r="K1126" i="30003"/>
  <c r="K1127" i="30003"/>
  <c r="K1128" i="30003"/>
  <c r="K1129" i="30003"/>
  <c r="K1130" i="30003"/>
  <c r="K1131" i="30003"/>
  <c r="K1132" i="30003"/>
  <c r="K1133" i="30003"/>
  <c r="K1134" i="30003"/>
  <c r="K1135" i="30003"/>
  <c r="K1136" i="30003"/>
  <c r="K1137" i="30003"/>
  <c r="K1138" i="30003"/>
  <c r="K1139" i="30003"/>
  <c r="K1140" i="30003"/>
  <c r="K1141" i="30003"/>
  <c r="K1142" i="30003"/>
  <c r="K1143" i="30003"/>
  <c r="K1144" i="30003"/>
  <c r="K1145" i="30003"/>
  <c r="K1146" i="30003"/>
  <c r="K1147" i="30003"/>
  <c r="K1148" i="30003"/>
  <c r="K1149" i="30003"/>
  <c r="K1150" i="30003"/>
  <c r="K1151" i="30003"/>
  <c r="K1152" i="30003"/>
  <c r="K1153" i="30003"/>
  <c r="K1154" i="30003"/>
  <c r="K1155" i="30003"/>
  <c r="K1156" i="30003"/>
  <c r="K1157" i="30003"/>
  <c r="K1158" i="30003"/>
  <c r="K1159" i="30003"/>
  <c r="K1160" i="30003"/>
  <c r="K1161" i="30003"/>
  <c r="K1162" i="30003"/>
  <c r="K1163" i="30003"/>
  <c r="K1164" i="30003"/>
  <c r="K1165" i="30003"/>
  <c r="K1166" i="30003"/>
  <c r="K1167" i="30003"/>
  <c r="K1168" i="30003"/>
  <c r="K1169" i="30003"/>
  <c r="K1170" i="30003"/>
  <c r="K1171" i="30003"/>
  <c r="K1172" i="30003"/>
  <c r="K1173" i="30003"/>
  <c r="K1174" i="30003"/>
  <c r="K1175" i="30003"/>
  <c r="K1176" i="30003"/>
  <c r="K1177" i="30003"/>
  <c r="K1178" i="30003"/>
  <c r="K1179" i="30003"/>
  <c r="K1180" i="30003"/>
  <c r="K1181" i="30003"/>
  <c r="K1182" i="30003"/>
  <c r="K1183" i="30003"/>
  <c r="K1184" i="30003"/>
  <c r="K1185" i="30003"/>
  <c r="K1186" i="30003"/>
  <c r="K1187" i="30003"/>
  <c r="K1188" i="30003"/>
  <c r="K1189" i="30003"/>
  <c r="K1190" i="30003"/>
  <c r="K1191" i="30003"/>
  <c r="K1192" i="30003"/>
  <c r="K1193" i="30003"/>
  <c r="K1194" i="30003"/>
  <c r="K1195" i="30003"/>
  <c r="K1196" i="30003"/>
  <c r="K1197" i="30003"/>
  <c r="K1198" i="30003"/>
  <c r="K1199" i="30003"/>
  <c r="K1200" i="30003"/>
  <c r="K1201" i="30003"/>
  <c r="K1202" i="30003"/>
  <c r="K1203" i="30003"/>
  <c r="K1204" i="30003"/>
  <c r="K1205" i="30003"/>
  <c r="K1206" i="30003"/>
  <c r="K1207" i="30003"/>
  <c r="K1208" i="30003"/>
  <c r="K1209" i="30003"/>
  <c r="K1210" i="30003"/>
  <c r="K1211" i="30003"/>
  <c r="K1212" i="30003"/>
  <c r="K1213" i="30003"/>
  <c r="K1214" i="30003"/>
  <c r="K1215" i="30003"/>
  <c r="K1216" i="30003"/>
  <c r="K1217" i="30003"/>
  <c r="K1218" i="30003"/>
  <c r="K1219" i="30003"/>
  <c r="K1220" i="30003"/>
  <c r="K1221" i="30003"/>
  <c r="K1222" i="30003"/>
  <c r="K1223" i="30003"/>
  <c r="K1224" i="30003"/>
  <c r="K1225" i="30003"/>
  <c r="K1226" i="30003"/>
  <c r="K1227" i="30003"/>
  <c r="K1228" i="30003"/>
  <c r="K1229" i="30003"/>
  <c r="K1230" i="30003"/>
  <c r="K1231" i="30003"/>
  <c r="K1232" i="30003"/>
  <c r="K1233" i="30003"/>
  <c r="K1234" i="30003"/>
  <c r="K1235" i="30003"/>
  <c r="K1236" i="30003"/>
  <c r="K1237" i="30003"/>
  <c r="K1238" i="30003"/>
  <c r="K1239" i="30003"/>
  <c r="K1240" i="30003"/>
  <c r="K1241" i="30003"/>
  <c r="K1242" i="30003"/>
  <c r="K1243" i="30003"/>
  <c r="K1244" i="30003"/>
  <c r="K1245" i="30003"/>
  <c r="K1246" i="30003"/>
  <c r="K1247" i="30003"/>
  <c r="K1248" i="30003"/>
  <c r="K1249" i="30003"/>
  <c r="K1250" i="30003"/>
  <c r="K1251" i="30003"/>
  <c r="K1252" i="30003"/>
  <c r="K1253" i="30003"/>
  <c r="K1254" i="30003"/>
  <c r="K1255" i="30003"/>
  <c r="K1256" i="30003"/>
  <c r="K1257" i="30003"/>
  <c r="K1258" i="30003"/>
  <c r="K1259" i="30003"/>
  <c r="K1260" i="30003"/>
  <c r="K1261" i="30003"/>
  <c r="K1262" i="30003"/>
  <c r="K1263" i="30003"/>
  <c r="K1264" i="30003"/>
  <c r="K1265" i="30003"/>
  <c r="K1266" i="30003"/>
  <c r="K1267" i="30003"/>
  <c r="K1268" i="30003"/>
  <c r="K1269" i="30003"/>
  <c r="K1270" i="30003"/>
  <c r="K1271" i="30003"/>
  <c r="K1272" i="30003"/>
  <c r="K1273" i="30003"/>
  <c r="K1274" i="30003"/>
  <c r="K1275" i="30003"/>
  <c r="K1276" i="30003"/>
  <c r="K1277" i="30003"/>
  <c r="K1278" i="30003"/>
  <c r="K1279" i="30003"/>
  <c r="K1280" i="30003"/>
  <c r="K1281" i="30003"/>
  <c r="K1282" i="30003"/>
  <c r="K1283" i="30003"/>
  <c r="K1284" i="30003"/>
  <c r="K1285" i="30003"/>
  <c r="K1286" i="30003"/>
  <c r="K1287" i="30003"/>
  <c r="K1288" i="30003"/>
  <c r="K1289" i="30003"/>
  <c r="K1290" i="30003"/>
  <c r="K1291" i="30003"/>
  <c r="K1292" i="30003"/>
  <c r="K1293" i="30003"/>
  <c r="K1294" i="30003"/>
  <c r="K1295" i="30003"/>
  <c r="K1296" i="30003"/>
  <c r="K1297" i="30003"/>
  <c r="K1298" i="30003"/>
  <c r="K1299" i="30003"/>
  <c r="K1300" i="30003"/>
  <c r="K1301" i="30003"/>
  <c r="K1302" i="30003"/>
  <c r="K1303" i="30003"/>
  <c r="K1304" i="30003"/>
  <c r="K1305" i="30003"/>
  <c r="K1306" i="30003"/>
  <c r="K1307" i="30003"/>
  <c r="K1308" i="30003"/>
  <c r="K1309" i="30003"/>
  <c r="K1310" i="30003"/>
  <c r="K1311" i="30003"/>
  <c r="K1312" i="30003"/>
  <c r="K1313" i="30003"/>
  <c r="K1314" i="30003"/>
  <c r="K1315" i="30003"/>
  <c r="K1316" i="30003"/>
  <c r="K1317" i="30003"/>
  <c r="K1318" i="30003"/>
  <c r="K1319" i="30003"/>
  <c r="K1320" i="30003"/>
  <c r="K1321" i="30003"/>
  <c r="K1322" i="30003"/>
  <c r="K1323" i="30003"/>
  <c r="K1324" i="30003"/>
  <c r="K1325" i="30003"/>
  <c r="K1326" i="30003"/>
  <c r="K1327" i="30003"/>
  <c r="K1328" i="30003"/>
  <c r="K1329" i="30003"/>
  <c r="K1330" i="30003"/>
  <c r="K1331" i="30003"/>
  <c r="K1332" i="30003"/>
  <c r="K1333" i="30003"/>
  <c r="K1334" i="30003"/>
  <c r="K1335" i="30003"/>
  <c r="K1336" i="30003"/>
  <c r="K1337" i="30003"/>
  <c r="K1338" i="30003"/>
  <c r="K1339" i="30003"/>
  <c r="K1340" i="30003"/>
  <c r="K1341" i="30003"/>
  <c r="K1342" i="30003"/>
  <c r="K1343" i="30003"/>
  <c r="K1344" i="30003"/>
  <c r="K1345" i="30003"/>
  <c r="K1346" i="30003"/>
  <c r="K1347" i="30003"/>
  <c r="K1348" i="30003"/>
  <c r="K1349" i="30003"/>
  <c r="K1350" i="30003"/>
  <c r="K1351" i="30003"/>
  <c r="K1352" i="30003"/>
  <c r="K1353" i="30003"/>
  <c r="K1354" i="30003"/>
  <c r="K1355" i="30003"/>
  <c r="K1356" i="30003"/>
  <c r="K1357" i="30003"/>
  <c r="K1358" i="30003"/>
  <c r="K1359" i="30003"/>
  <c r="K1360" i="30003"/>
  <c r="K1361" i="30003"/>
  <c r="K1362" i="30003"/>
  <c r="K1363" i="30003"/>
  <c r="K1364" i="30003"/>
  <c r="K1365" i="30003"/>
  <c r="K1366" i="30003"/>
  <c r="K1367" i="30003"/>
  <c r="K1368" i="30003"/>
  <c r="K1369" i="30003"/>
  <c r="K1370" i="30003"/>
  <c r="K1371" i="30003"/>
  <c r="K1372" i="30003"/>
  <c r="K1373" i="30003"/>
  <c r="K1374" i="30003"/>
  <c r="K1375" i="30003"/>
  <c r="K1376" i="30003"/>
  <c r="K1377" i="30003"/>
  <c r="K1378" i="30003"/>
  <c r="K1379" i="30003"/>
  <c r="K1380" i="30003"/>
  <c r="K1381" i="30003"/>
  <c r="K1382" i="30003"/>
  <c r="K1383" i="30003"/>
  <c r="K1384" i="30003"/>
  <c r="K1385" i="30003"/>
  <c r="K1386" i="30003"/>
  <c r="K1387" i="30003"/>
  <c r="K1388" i="30003"/>
  <c r="K1389" i="30003"/>
  <c r="K1390" i="30003"/>
  <c r="K1391" i="30003"/>
  <c r="K1392" i="30003"/>
  <c r="K1393" i="30003"/>
  <c r="K1394" i="30003"/>
  <c r="K1395" i="30003"/>
  <c r="K1396" i="30003"/>
  <c r="K1397" i="30003"/>
  <c r="K1398" i="30003"/>
  <c r="K1399" i="30003"/>
  <c r="K1400" i="30003"/>
  <c r="K1401" i="30003"/>
  <c r="K1402" i="30003"/>
  <c r="K1403" i="30003"/>
  <c r="K1404" i="30003"/>
  <c r="K1405" i="30003"/>
  <c r="K1406" i="30003"/>
  <c r="K1407" i="30003"/>
  <c r="K1408" i="30003"/>
  <c r="K1409" i="30003"/>
  <c r="K1410" i="30003"/>
  <c r="K1411" i="30003"/>
  <c r="K1412" i="30003"/>
  <c r="K1413" i="30003"/>
  <c r="K1414" i="30003"/>
  <c r="K1415" i="30003"/>
  <c r="K1416" i="30003"/>
  <c r="K1417" i="30003"/>
  <c r="K1418" i="30003"/>
  <c r="K1419" i="30003"/>
  <c r="K1420" i="30003"/>
  <c r="K1421" i="30003"/>
  <c r="K1422" i="30003"/>
  <c r="K1423" i="30003"/>
  <c r="K1424" i="30003"/>
  <c r="K1425" i="30003"/>
  <c r="K1426" i="30003"/>
  <c r="K1427" i="30003"/>
  <c r="K1428" i="30003"/>
  <c r="K1429" i="30003"/>
  <c r="K1430" i="30003"/>
  <c r="K1431" i="30003"/>
  <c r="K1432" i="30003"/>
  <c r="K1433" i="30003"/>
  <c r="K1434" i="30003"/>
  <c r="K1435" i="30003"/>
  <c r="K1436" i="30003"/>
  <c r="K1437" i="30003"/>
  <c r="K1438" i="30003"/>
  <c r="K1439" i="30003"/>
  <c r="K1440" i="30003"/>
  <c r="K1441" i="30003"/>
  <c r="K1442" i="30003"/>
  <c r="K1443" i="30003"/>
  <c r="K1444" i="30003"/>
  <c r="K1445" i="30003"/>
  <c r="K1446" i="30003"/>
  <c r="K1447" i="30003"/>
  <c r="K1448" i="30003"/>
  <c r="K1449" i="30003"/>
  <c r="K1450" i="30003"/>
  <c r="K1451" i="30003"/>
  <c r="K1452" i="30003"/>
  <c r="K1453" i="30003"/>
  <c r="K1454" i="30003"/>
  <c r="K1455" i="30003"/>
  <c r="K1456" i="30003"/>
  <c r="K1457" i="30003"/>
  <c r="K1458" i="30003"/>
  <c r="K1459" i="30003"/>
  <c r="K1460" i="30003"/>
  <c r="K1461" i="30003"/>
  <c r="K1462" i="30003"/>
  <c r="K1463" i="30003"/>
  <c r="K1464" i="30003"/>
  <c r="K1465" i="30003"/>
  <c r="K1466" i="30003"/>
  <c r="K1467" i="30003"/>
  <c r="K1468" i="30003"/>
  <c r="K1469" i="30003"/>
  <c r="K1470" i="30003"/>
  <c r="K1471" i="30003"/>
  <c r="K1472" i="30003"/>
  <c r="K1473" i="30003"/>
  <c r="K1474" i="30003"/>
  <c r="K1475" i="30003"/>
  <c r="K1476" i="30003"/>
  <c r="K1477" i="30003"/>
  <c r="K1478" i="30003"/>
  <c r="K1479" i="30003"/>
  <c r="K1480" i="30003"/>
  <c r="K1481" i="30003"/>
  <c r="K1482" i="30003"/>
  <c r="K1483" i="30003"/>
  <c r="K1484" i="30003"/>
  <c r="K1485" i="30003"/>
  <c r="K1486" i="30003"/>
  <c r="K1487" i="30003"/>
  <c r="K1488" i="30003"/>
  <c r="K1489" i="30003"/>
  <c r="K1490" i="30003"/>
  <c r="K1491" i="30003"/>
  <c r="K1492" i="30003"/>
  <c r="K1493" i="30003"/>
  <c r="K1494" i="30003"/>
  <c r="K1495" i="30003"/>
  <c r="K1496" i="30003"/>
  <c r="K1497" i="30003"/>
  <c r="K1498" i="30003"/>
  <c r="K1499" i="30003"/>
  <c r="K1500" i="30003"/>
  <c r="K1501" i="30003"/>
  <c r="K1502" i="30003"/>
  <c r="K1503" i="30003"/>
  <c r="K1504" i="30003"/>
  <c r="K1505" i="30003"/>
  <c r="K1506" i="30003"/>
  <c r="K1507" i="30003"/>
  <c r="K1508" i="30003"/>
  <c r="K1509" i="30003"/>
  <c r="K1510" i="30003"/>
  <c r="K1511" i="30003"/>
  <c r="K1512" i="30003"/>
  <c r="K1513" i="30003"/>
  <c r="K1514" i="30003"/>
  <c r="K1515" i="30003"/>
  <c r="K1516" i="30003"/>
  <c r="K1517" i="30003"/>
  <c r="K1518" i="30003"/>
  <c r="K1519" i="30003"/>
  <c r="K1520" i="30003"/>
  <c r="K1521" i="30003"/>
  <c r="K1522" i="30003"/>
  <c r="K1523" i="30003"/>
  <c r="K1524" i="30003"/>
  <c r="K1525" i="30003"/>
  <c r="K1526" i="30003"/>
  <c r="K1527" i="30003"/>
  <c r="K1528" i="30003"/>
  <c r="K1529" i="30003"/>
  <c r="K1530" i="30003"/>
  <c r="K1531" i="30003"/>
  <c r="K1532" i="30003"/>
  <c r="K1533" i="30003"/>
  <c r="K1534" i="30003"/>
  <c r="K1535" i="30003"/>
  <c r="K1536" i="30003"/>
  <c r="K1537" i="30003"/>
  <c r="K1538" i="30003"/>
  <c r="K1539" i="30003"/>
  <c r="K1540" i="30003"/>
  <c r="K1541" i="30003"/>
  <c r="K1542" i="30003"/>
  <c r="K1543" i="30003"/>
  <c r="K1544" i="30003"/>
  <c r="K1545" i="30003"/>
  <c r="K1546" i="30003"/>
  <c r="K1547" i="30003"/>
  <c r="K1548" i="30003"/>
  <c r="K1549" i="30003"/>
  <c r="K1550" i="30003"/>
  <c r="K1551" i="30003"/>
  <c r="K1552" i="30003"/>
  <c r="K1553" i="30003"/>
  <c r="K1554" i="30003"/>
  <c r="K1555" i="30003"/>
  <c r="K1556" i="30003"/>
  <c r="K1557" i="30003"/>
  <c r="K1558" i="30003"/>
  <c r="K1559" i="30003"/>
  <c r="K1560" i="30003"/>
  <c r="K1561" i="30003"/>
  <c r="K1562" i="30003"/>
  <c r="K1563" i="30003"/>
  <c r="K1564" i="30003"/>
  <c r="K1565" i="30003"/>
  <c r="K1566" i="30003"/>
  <c r="K1567" i="30003"/>
  <c r="K1568" i="30003"/>
  <c r="K1569" i="30003"/>
  <c r="K1570" i="30003"/>
  <c r="K1571" i="30003"/>
  <c r="K1572" i="30003"/>
  <c r="K1573" i="30003"/>
  <c r="K1574" i="30003"/>
  <c r="K1575" i="30003"/>
  <c r="K1576" i="30003"/>
  <c r="K1577" i="30003"/>
  <c r="K1578" i="30003"/>
  <c r="K1579" i="30003"/>
  <c r="K1580" i="30003"/>
  <c r="K1581" i="30003"/>
  <c r="K1582" i="30003"/>
  <c r="K1583" i="30003"/>
  <c r="K1584" i="30003"/>
  <c r="K1585" i="30003"/>
  <c r="K1586" i="30003"/>
  <c r="K1587" i="30003"/>
  <c r="K1588" i="30003"/>
  <c r="K1589" i="30003"/>
  <c r="K1590" i="30003"/>
  <c r="K1591" i="30003"/>
  <c r="K1592" i="30003"/>
  <c r="K1593" i="30003"/>
  <c r="K1594" i="30003"/>
  <c r="K1595" i="30003"/>
  <c r="K1596" i="30003"/>
  <c r="K1597" i="30003"/>
  <c r="K1598" i="30003"/>
  <c r="K1599" i="30003"/>
  <c r="K1600" i="30003"/>
  <c r="K1601" i="30003"/>
  <c r="K1602" i="30003"/>
  <c r="K1603" i="30003"/>
  <c r="K1604" i="30003"/>
  <c r="K1605" i="30003"/>
  <c r="K1606" i="30003"/>
  <c r="K1607" i="30003"/>
  <c r="K1608" i="30003"/>
  <c r="K1609" i="30003"/>
  <c r="K1610" i="30003"/>
  <c r="K1611" i="30003"/>
  <c r="K1612" i="30003"/>
  <c r="K1613" i="30003"/>
  <c r="K1614" i="30003"/>
  <c r="K1615" i="30003"/>
  <c r="K1616" i="30003"/>
  <c r="K1617" i="30003"/>
  <c r="K1618" i="30003"/>
  <c r="K1619" i="30003"/>
  <c r="K1620" i="30003"/>
  <c r="K1621" i="30003"/>
  <c r="K1622" i="30003"/>
  <c r="K1623" i="30003"/>
  <c r="K1624" i="30003"/>
  <c r="K1625" i="30003"/>
  <c r="K1626" i="30003"/>
  <c r="K1627" i="30003"/>
  <c r="K1628" i="30003"/>
  <c r="K1629" i="30003"/>
  <c r="K1630" i="30003"/>
  <c r="K1631" i="30003"/>
  <c r="K1632" i="30003"/>
  <c r="K1633" i="30003"/>
  <c r="K1634" i="30003"/>
  <c r="K1635" i="30003"/>
  <c r="K1636" i="30003"/>
  <c r="K1637" i="30003"/>
  <c r="K1638" i="30003"/>
  <c r="K1639" i="30003"/>
  <c r="K1640" i="30003"/>
  <c r="K1641" i="30003"/>
  <c r="K1642" i="30003"/>
  <c r="K1643" i="30003"/>
  <c r="K1644" i="30003"/>
  <c r="K1645" i="30003"/>
  <c r="K1646" i="30003"/>
  <c r="K1647" i="30003"/>
  <c r="K1648" i="30003"/>
  <c r="K1649" i="30003"/>
  <c r="K1650" i="30003"/>
  <c r="K1651" i="30003"/>
  <c r="K1652" i="30003"/>
  <c r="K1653" i="30003"/>
  <c r="K1654" i="30003"/>
  <c r="K1655" i="30003"/>
  <c r="K1656" i="30003"/>
  <c r="K1657" i="30003"/>
  <c r="K1658" i="30003"/>
  <c r="K1659" i="30003"/>
  <c r="K1660" i="30003"/>
  <c r="K1661" i="30003"/>
  <c r="K1662" i="30003"/>
  <c r="K1663" i="30003"/>
  <c r="K1664" i="30003"/>
  <c r="K1665" i="30003"/>
  <c r="K1666" i="30003"/>
  <c r="K1667" i="30003"/>
  <c r="K1668" i="30003"/>
  <c r="K1669" i="30003"/>
  <c r="K1670" i="30003"/>
  <c r="K1671" i="30003"/>
  <c r="K1672" i="30003"/>
  <c r="K1673" i="30003"/>
  <c r="K1674" i="30003"/>
  <c r="K1675" i="30003"/>
  <c r="K1676" i="30003"/>
  <c r="K1677" i="30003"/>
  <c r="K1678" i="30003"/>
  <c r="K1679" i="30003"/>
  <c r="K1680" i="30003"/>
  <c r="K1681" i="30003"/>
  <c r="K1682" i="30003"/>
  <c r="K1683" i="30003"/>
  <c r="K1684" i="30003"/>
  <c r="K1685" i="30003"/>
  <c r="K1686" i="30003"/>
  <c r="K1687" i="30003"/>
  <c r="K1688" i="30003"/>
  <c r="K1689" i="30003"/>
  <c r="K1690" i="30003"/>
  <c r="K1691" i="30003"/>
  <c r="K1692" i="30003"/>
  <c r="K1693" i="30003"/>
  <c r="K1694" i="30003"/>
  <c r="K1695" i="30003"/>
  <c r="K1696" i="30003"/>
  <c r="K1697" i="30003"/>
  <c r="K1698" i="30003"/>
  <c r="K1699" i="30003"/>
  <c r="K1700" i="30003"/>
  <c r="K1701" i="30003"/>
  <c r="K1702" i="30003"/>
  <c r="K1703" i="30003"/>
  <c r="K1704" i="30003"/>
  <c r="K1705" i="30003"/>
  <c r="K1706" i="30003"/>
  <c r="K1707" i="30003"/>
  <c r="K1708" i="30003"/>
  <c r="K1709" i="30003"/>
  <c r="K1710" i="30003"/>
  <c r="K1711" i="30003"/>
  <c r="K1712" i="30003"/>
  <c r="K1713" i="30003"/>
  <c r="K1714" i="30003"/>
  <c r="K1715" i="30003"/>
  <c r="K1716" i="30003"/>
  <c r="K1717" i="30003"/>
  <c r="K1718" i="30003"/>
  <c r="K1719" i="30003"/>
  <c r="K1720" i="30003"/>
  <c r="K1721" i="30003"/>
  <c r="K1722" i="30003"/>
  <c r="K1723" i="30003"/>
  <c r="K1724" i="30003"/>
  <c r="K1725" i="30003"/>
  <c r="K1726" i="30003"/>
  <c r="K1727" i="30003"/>
  <c r="K1728" i="30003"/>
  <c r="K1729" i="30003"/>
  <c r="K1730" i="30003"/>
  <c r="K1731" i="30003"/>
  <c r="K1732" i="30003"/>
  <c r="K1733" i="30003"/>
  <c r="K1734" i="30003"/>
  <c r="K1735" i="30003"/>
  <c r="K1736" i="30003"/>
  <c r="K1737" i="30003"/>
  <c r="K1738" i="30003"/>
  <c r="K1739" i="30003"/>
  <c r="K1740" i="30003"/>
  <c r="K1741" i="30003"/>
  <c r="K1742" i="30003"/>
  <c r="K1743" i="30003"/>
  <c r="K1744" i="30003"/>
  <c r="K1745" i="30003"/>
  <c r="K1746" i="30003"/>
  <c r="K1747" i="30003"/>
  <c r="K1748" i="30003"/>
  <c r="K1749" i="30003"/>
  <c r="K1750" i="30003"/>
  <c r="K1751" i="30003"/>
  <c r="K1752" i="30003"/>
  <c r="K1753" i="30003"/>
  <c r="K1754" i="30003"/>
  <c r="K1755" i="30003"/>
  <c r="K1756" i="30003"/>
  <c r="K1757" i="30003"/>
  <c r="K1758" i="30003"/>
  <c r="K1759" i="30003"/>
  <c r="K1760" i="30003"/>
  <c r="K1761" i="30003"/>
  <c r="K1762" i="30003"/>
  <c r="K1763" i="30003"/>
  <c r="K1764" i="30003"/>
  <c r="K1765" i="30003"/>
  <c r="K1766" i="30003"/>
  <c r="K1767" i="30003"/>
  <c r="K1768" i="30003"/>
  <c r="K1769" i="30003"/>
  <c r="K1770" i="30003"/>
  <c r="K1771" i="30003"/>
  <c r="K1772" i="30003"/>
  <c r="K1773" i="30003"/>
  <c r="K1774" i="30003"/>
  <c r="K1775" i="30003"/>
  <c r="K1776" i="30003"/>
  <c r="K1777" i="30003"/>
  <c r="K1778" i="30003"/>
  <c r="K1779" i="30003"/>
  <c r="K1780" i="30003"/>
  <c r="K1781" i="30003"/>
  <c r="K1782" i="30003"/>
  <c r="K1783" i="30003"/>
  <c r="K1784" i="30003"/>
  <c r="K1785" i="30003"/>
  <c r="K1786" i="30003"/>
  <c r="K1787" i="30003"/>
  <c r="K1788" i="30003"/>
  <c r="K1789" i="30003"/>
  <c r="K1790" i="30003"/>
  <c r="K1791" i="30003"/>
  <c r="K1792" i="30003"/>
  <c r="K1793" i="30003"/>
  <c r="K1794" i="30003"/>
  <c r="K1795" i="30003"/>
  <c r="K1796" i="30003"/>
  <c r="K1797" i="30003"/>
  <c r="K1798" i="30003"/>
  <c r="K1799" i="30003"/>
  <c r="K1800" i="30003"/>
  <c r="K1801" i="30003"/>
  <c r="K1802" i="30003"/>
  <c r="K1803" i="30003"/>
  <c r="K1804" i="30003"/>
  <c r="K1805" i="30003"/>
  <c r="K1806" i="30003"/>
  <c r="K1807" i="30003"/>
  <c r="K1808" i="30003"/>
  <c r="K1809" i="30003"/>
  <c r="K1810" i="30003"/>
  <c r="K1811" i="30003"/>
  <c r="K1812" i="30003"/>
  <c r="K1813" i="30003"/>
  <c r="K1814" i="30003"/>
  <c r="K1815" i="30003"/>
  <c r="K1816" i="30003"/>
  <c r="K1817" i="30003"/>
  <c r="K1818" i="30003"/>
  <c r="K1819" i="30003"/>
  <c r="K1820" i="30003"/>
  <c r="K1821" i="30003"/>
  <c r="K1822" i="30003"/>
  <c r="K1823" i="30003"/>
  <c r="K1824" i="30003"/>
  <c r="K1825" i="30003"/>
  <c r="F6" i="30002"/>
  <c r="Q6" i="30002"/>
  <c r="AA6" i="30002"/>
  <c r="AL6" i="30002"/>
  <c r="AX6" i="30002"/>
  <c r="BK6" i="30002"/>
  <c r="BY6" i="30002"/>
  <c r="CN6" i="30002"/>
  <c r="F7" i="30002"/>
  <c r="Q7" i="30002"/>
  <c r="AA7" i="30002"/>
  <c r="AL7" i="30002"/>
  <c r="AX7" i="30002"/>
  <c r="BK7" i="30002"/>
  <c r="BY7" i="30002"/>
  <c r="CN7" i="30002"/>
  <c r="F8" i="30002"/>
  <c r="Q8" i="30002"/>
  <c r="AA8" i="30002"/>
  <c r="AL8" i="30002"/>
  <c r="AX8" i="30002"/>
  <c r="BK8" i="30002"/>
  <c r="BY8" i="30002"/>
  <c r="CN8" i="30002"/>
  <c r="F9" i="30002"/>
  <c r="Q9" i="30002"/>
  <c r="AA9" i="30002"/>
  <c r="AL9" i="30002"/>
  <c r="AX9" i="30002"/>
  <c r="BK9" i="30002"/>
  <c r="BY9" i="30002"/>
  <c r="CN9" i="30002"/>
  <c r="F10" i="30002"/>
  <c r="Q10" i="30002"/>
  <c r="AA10" i="30002"/>
  <c r="AL10" i="30002"/>
  <c r="AX10" i="30002"/>
  <c r="BK10" i="30002"/>
  <c r="BY10" i="30002"/>
  <c r="CN10" i="30002"/>
  <c r="F11" i="30002"/>
  <c r="Q11" i="30002"/>
  <c r="AA11" i="30002"/>
  <c r="AL11" i="30002"/>
  <c r="AX11" i="30002"/>
  <c r="BK11" i="30002"/>
  <c r="BY11" i="30002"/>
  <c r="CN11" i="30002"/>
  <c r="F12" i="30002"/>
  <c r="Q12" i="30002"/>
  <c r="AA12" i="30002"/>
  <c r="AL12" i="30002"/>
  <c r="AX12" i="30002"/>
  <c r="BK12" i="30002"/>
  <c r="BY12" i="30002"/>
  <c r="CN12" i="30002"/>
  <c r="F13" i="30002"/>
  <c r="Q13" i="30002"/>
  <c r="AA13" i="30002"/>
  <c r="AL13" i="30002"/>
  <c r="AX13" i="30002"/>
  <c r="BK13" i="30002"/>
  <c r="BY13" i="30002"/>
  <c r="CN13" i="30002"/>
  <c r="F14" i="30002"/>
  <c r="Q14" i="30002"/>
  <c r="AA14" i="30002"/>
  <c r="AL14" i="30002"/>
  <c r="AX14" i="30002"/>
  <c r="BK14" i="30002"/>
  <c r="BY14" i="30002"/>
  <c r="CN14" i="30002"/>
  <c r="F15" i="30002"/>
  <c r="Q15" i="30002"/>
  <c r="AA15" i="30002"/>
  <c r="AL15" i="30002"/>
  <c r="AX15" i="30002"/>
  <c r="BK15" i="30002"/>
  <c r="BY15" i="30002"/>
  <c r="CN15" i="30002"/>
  <c r="F16" i="30002"/>
  <c r="Q16" i="30002"/>
  <c r="AA16" i="30002"/>
  <c r="AL16" i="30002"/>
  <c r="AX16" i="30002"/>
  <c r="BK16" i="30002"/>
  <c r="BY16" i="30002"/>
  <c r="CN16" i="30002"/>
  <c r="F17" i="30002"/>
  <c r="Q17" i="30002"/>
  <c r="AA17" i="30002"/>
  <c r="AL17" i="30002"/>
  <c r="AX17" i="30002"/>
  <c r="BK17" i="30002"/>
  <c r="BY17" i="30002"/>
  <c r="CN17" i="30002"/>
  <c r="F18" i="30002"/>
  <c r="Q18" i="30002"/>
  <c r="AA18" i="30002"/>
  <c r="AL18" i="30002"/>
  <c r="AX18" i="30002"/>
  <c r="BK18" i="30002"/>
  <c r="BY18" i="30002"/>
  <c r="CN18" i="30002"/>
  <c r="F19" i="30002"/>
  <c r="Q19" i="30002"/>
  <c r="AA19" i="30002"/>
  <c r="AL19" i="30002"/>
  <c r="AX19" i="30002"/>
  <c r="BK19" i="30002"/>
  <c r="BY19" i="30002"/>
  <c r="CN19" i="30002"/>
  <c r="F20" i="30002"/>
  <c r="Q20" i="30002"/>
  <c r="AA20" i="30002"/>
  <c r="AL20" i="30002"/>
  <c r="AX20" i="30002"/>
  <c r="BK20" i="30002"/>
  <c r="BY20" i="30002"/>
  <c r="CN20" i="30002"/>
  <c r="F21" i="30002"/>
  <c r="Q21" i="30002"/>
  <c r="AA21" i="30002"/>
  <c r="AL21" i="30002"/>
  <c r="AX21" i="30002"/>
  <c r="BK21" i="30002"/>
  <c r="BY21" i="30002"/>
  <c r="CN21" i="30002"/>
  <c r="F22" i="30002"/>
  <c r="Q22" i="30002"/>
  <c r="AA22" i="30002"/>
  <c r="AL22" i="30002"/>
  <c r="AX22" i="30002"/>
  <c r="BK22" i="30002"/>
  <c r="BY22" i="30002"/>
  <c r="CN22" i="30002"/>
  <c r="F23" i="30002"/>
  <c r="Q23" i="30002"/>
  <c r="AA23" i="30002"/>
  <c r="AL23" i="30002"/>
  <c r="AX23" i="30002"/>
  <c r="BK23" i="30002"/>
  <c r="BY23" i="30002"/>
  <c r="CN23" i="30002"/>
  <c r="F24" i="30002"/>
  <c r="Q24" i="30002"/>
  <c r="AA24" i="30002"/>
  <c r="AL24" i="30002"/>
  <c r="AX24" i="30002"/>
  <c r="BK24" i="30002"/>
  <c r="BY24" i="30002"/>
  <c r="CN24" i="30002"/>
  <c r="CQ24" i="30002"/>
  <c r="F25" i="30002"/>
  <c r="Q25" i="30002"/>
  <c r="AA25" i="30002"/>
  <c r="AL25" i="30002"/>
  <c r="AX25" i="30002"/>
  <c r="BK25" i="30002"/>
  <c r="BY25" i="30002"/>
  <c r="CN25" i="30002"/>
  <c r="CQ25" i="30002"/>
  <c r="F26" i="30002"/>
  <c r="Q26" i="30002"/>
  <c r="AA26" i="30002"/>
  <c r="AL26" i="30002"/>
  <c r="AX26" i="30002"/>
  <c r="BK26" i="30002"/>
  <c r="BY26" i="30002"/>
  <c r="CN26" i="30002"/>
  <c r="CQ26" i="30002"/>
  <c r="F27" i="30002"/>
  <c r="Q27" i="30002"/>
  <c r="AA27" i="30002"/>
  <c r="AL27" i="30002"/>
  <c r="AX27" i="30002"/>
  <c r="BK27" i="30002"/>
  <c r="BY27" i="30002"/>
  <c r="CN27" i="30002"/>
  <c r="CQ27" i="30002"/>
  <c r="F28" i="30002"/>
  <c r="Q28" i="30002"/>
  <c r="AA28" i="30002"/>
  <c r="AL28" i="30002"/>
  <c r="AX28" i="30002"/>
  <c r="BK28" i="30002"/>
  <c r="BY28" i="30002"/>
  <c r="CN28" i="30002"/>
  <c r="CQ28" i="30002"/>
  <c r="F29" i="30002"/>
  <c r="Q29" i="30002"/>
  <c r="Z29" i="30002"/>
  <c r="AA29" i="30002" s="1"/>
  <c r="AL29" i="30002"/>
  <c r="AX29" i="30002"/>
  <c r="BK29" i="30002"/>
  <c r="BY29" i="30002"/>
  <c r="CN29" i="30002"/>
  <c r="CQ29" i="30002"/>
  <c r="F30" i="30002"/>
  <c r="Q30" i="30002"/>
  <c r="Z30" i="30002"/>
  <c r="Z35" i="30002" s="1"/>
  <c r="Z40" i="30002" s="1"/>
  <c r="AA40" i="30002" s="1"/>
  <c r="AL30" i="30002"/>
  <c r="AX30" i="30002"/>
  <c r="BK30" i="30002"/>
  <c r="BY30" i="30002"/>
  <c r="CN30" i="30002"/>
  <c r="CQ30" i="30002"/>
  <c r="F31" i="30002"/>
  <c r="Q31" i="30002"/>
  <c r="Z31" i="30002"/>
  <c r="AL31" i="30002"/>
  <c r="AX31" i="30002"/>
  <c r="BK31" i="30002"/>
  <c r="BY31" i="30002"/>
  <c r="CN31" i="30002"/>
  <c r="CQ31" i="30002"/>
  <c r="F32" i="30002"/>
  <c r="Q32" i="30002"/>
  <c r="Z32" i="30002"/>
  <c r="AA32" i="30002" s="1"/>
  <c r="AL32" i="30002"/>
  <c r="AX32" i="30002"/>
  <c r="BA32" i="30002"/>
  <c r="BA39" i="30002" s="1"/>
  <c r="BA46" i="30002" s="1"/>
  <c r="BK32" i="30002"/>
  <c r="BY32" i="30002"/>
  <c r="CN32" i="30002"/>
  <c r="CQ32" i="30002"/>
  <c r="F33" i="30002"/>
  <c r="Q33" i="30002"/>
  <c r="Z33" i="30002"/>
  <c r="AA33" i="30002" s="1"/>
  <c r="AL33" i="30002"/>
  <c r="AX33" i="30002"/>
  <c r="BA33" i="30002"/>
  <c r="BA40" i="30002" s="1"/>
  <c r="BA47" i="30002" s="1"/>
  <c r="BK33" i="30002"/>
  <c r="BY33" i="30002"/>
  <c r="CN33" i="30002"/>
  <c r="CQ33" i="30002"/>
  <c r="F34" i="30002"/>
  <c r="Q34" i="30002"/>
  <c r="AL34" i="30002"/>
  <c r="AX34" i="30002"/>
  <c r="BA34" i="30002"/>
  <c r="BA41" i="30002" s="1"/>
  <c r="BA48" i="30002" s="1"/>
  <c r="BK34" i="30002"/>
  <c r="BY34" i="30002"/>
  <c r="CN34" i="30002"/>
  <c r="F35" i="30002"/>
  <c r="Q35" i="30002"/>
  <c r="AL35" i="30002"/>
  <c r="AX35" i="30002"/>
  <c r="BA35" i="30002"/>
  <c r="BA42" i="30002" s="1"/>
  <c r="BA49" i="30002" s="1"/>
  <c r="BK35" i="30002"/>
  <c r="BY35" i="30002"/>
  <c r="CN35" i="30002"/>
  <c r="F36" i="30002"/>
  <c r="Q36" i="30002"/>
  <c r="AL36" i="30002"/>
  <c r="AX36" i="30002"/>
  <c r="BA36" i="30002"/>
  <c r="BA43" i="30002" s="1"/>
  <c r="BA50" i="30002" s="1"/>
  <c r="BK36" i="30002"/>
  <c r="BN36" i="30002"/>
  <c r="BN44" i="30002" s="1"/>
  <c r="BN52" i="30002" s="1"/>
  <c r="BY36" i="30002"/>
  <c r="CN36" i="30002"/>
  <c r="F37" i="30002"/>
  <c r="Q37" i="30002"/>
  <c r="AL37" i="30002"/>
  <c r="AX37" i="30002"/>
  <c r="BA37" i="30002"/>
  <c r="BA44" i="30002" s="1"/>
  <c r="BA51" i="30002" s="1"/>
  <c r="BK37" i="30002"/>
  <c r="BN37" i="30002"/>
  <c r="BN45" i="30002" s="1"/>
  <c r="BN53" i="30002" s="1"/>
  <c r="BY37" i="30002"/>
  <c r="CN37" i="30002"/>
  <c r="F38" i="30002"/>
  <c r="Q38" i="30002"/>
  <c r="AL38" i="30002"/>
  <c r="AX38" i="30002"/>
  <c r="BA38" i="30002"/>
  <c r="BA45" i="30002" s="1"/>
  <c r="BA52" i="30002" s="1"/>
  <c r="BK38" i="30002"/>
  <c r="BN38" i="30002"/>
  <c r="BN46" i="30002" s="1"/>
  <c r="BN54" i="30002" s="1"/>
  <c r="BY38" i="30002"/>
  <c r="CN38" i="30002"/>
  <c r="F39" i="30002"/>
  <c r="Q39" i="30002"/>
  <c r="AL39" i="30002"/>
  <c r="AX39" i="30002"/>
  <c r="BK39" i="30002"/>
  <c r="BN39" i="30002"/>
  <c r="BN47" i="30002" s="1"/>
  <c r="BN55" i="30002" s="1"/>
  <c r="BY39" i="30002"/>
  <c r="CN39" i="30002"/>
  <c r="F40" i="30002"/>
  <c r="Q40" i="30002"/>
  <c r="AK40" i="30002"/>
  <c r="AK46" i="30002" s="1"/>
  <c r="AL46" i="30002" s="1"/>
  <c r="AX40" i="30002"/>
  <c r="BK40" i="30002"/>
  <c r="BN40" i="30002"/>
  <c r="BN48" i="30002" s="1"/>
  <c r="BN56" i="30002" s="1"/>
  <c r="BY40" i="30002"/>
  <c r="CB40" i="30002"/>
  <c r="CB49" i="30002" s="1"/>
  <c r="CB58" i="30002" s="1"/>
  <c r="CN40" i="30002"/>
  <c r="F41" i="30002"/>
  <c r="Q41" i="30002"/>
  <c r="AK41" i="30002"/>
  <c r="AK47" i="30002" s="1"/>
  <c r="AX41" i="30002"/>
  <c r="BK41" i="30002"/>
  <c r="BN41" i="30002"/>
  <c r="BN49" i="30002" s="1"/>
  <c r="BN57" i="30002" s="1"/>
  <c r="BY41" i="30002"/>
  <c r="CB41" i="30002"/>
  <c r="CB50" i="30002" s="1"/>
  <c r="CB59" i="30002" s="1"/>
  <c r="CN41" i="30002"/>
  <c r="F42" i="30002"/>
  <c r="Q42" i="30002"/>
  <c r="AK42" i="30002"/>
  <c r="AK48" i="30002" s="1"/>
  <c r="AX42" i="30002"/>
  <c r="BK42" i="30002"/>
  <c r="BN42" i="30002"/>
  <c r="BN50" i="30002" s="1"/>
  <c r="BN58" i="30002" s="1"/>
  <c r="BY42" i="30002"/>
  <c r="CB42" i="30002"/>
  <c r="CB51" i="30002" s="1"/>
  <c r="CB60" i="30002" s="1"/>
  <c r="CN42" i="30002"/>
  <c r="F43" i="30002"/>
  <c r="Q43" i="30002"/>
  <c r="AK43" i="30002"/>
  <c r="AX43" i="30002"/>
  <c r="BK43" i="30002"/>
  <c r="BN43" i="30002"/>
  <c r="BN51" i="30002" s="1"/>
  <c r="BN59" i="30002" s="1"/>
  <c r="BY43" i="30002"/>
  <c r="CB43" i="30002"/>
  <c r="CB52" i="30002" s="1"/>
  <c r="CB61" i="30002" s="1"/>
  <c r="CN43" i="30002"/>
  <c r="F44" i="30002"/>
  <c r="Q44" i="30002"/>
  <c r="AK44" i="30002"/>
  <c r="AL44" i="30002" s="1"/>
  <c r="AX44" i="30002"/>
  <c r="BK44" i="30002"/>
  <c r="BY44" i="30002"/>
  <c r="CB44" i="30002"/>
  <c r="CB53" i="30002" s="1"/>
  <c r="CB62" i="30002" s="1"/>
  <c r="CN44" i="30002"/>
  <c r="F45" i="30002"/>
  <c r="Q45" i="30002"/>
  <c r="AK45" i="30002"/>
  <c r="AK51" i="30002" s="1"/>
  <c r="AX45" i="30002"/>
  <c r="BK45" i="30002"/>
  <c r="BY45" i="30002"/>
  <c r="CB45" i="30002"/>
  <c r="CB54" i="30002" s="1"/>
  <c r="CB63" i="30002" s="1"/>
  <c r="CN45" i="30002"/>
  <c r="F46" i="30002"/>
  <c r="Q46" i="30002"/>
  <c r="AX46" i="30002"/>
  <c r="BK46" i="30002"/>
  <c r="BY46" i="30002"/>
  <c r="CB46" i="30002"/>
  <c r="CB55" i="30002" s="1"/>
  <c r="CB64" i="30002" s="1"/>
  <c r="CN46" i="30002"/>
  <c r="F47" i="30002"/>
  <c r="Q47" i="30002"/>
  <c r="AX47" i="30002"/>
  <c r="BK47" i="30002"/>
  <c r="BY47" i="30002"/>
  <c r="CB47" i="30002"/>
  <c r="CB56" i="30002" s="1"/>
  <c r="CB65" i="30002" s="1"/>
  <c r="CN47" i="30002"/>
  <c r="F48" i="30002"/>
  <c r="Q48" i="30002"/>
  <c r="AX48" i="30002"/>
  <c r="BK48" i="30002"/>
  <c r="BY48" i="30002"/>
  <c r="CB48" i="30002"/>
  <c r="CB57" i="30002" s="1"/>
  <c r="CB66" i="30002" s="1"/>
  <c r="CN48" i="30002"/>
  <c r="F49" i="30002"/>
  <c r="Q49" i="30002"/>
  <c r="AX49" i="30002"/>
  <c r="BK49" i="30002"/>
  <c r="BY49" i="30002"/>
  <c r="CN49" i="30002"/>
  <c r="F50" i="30002"/>
  <c r="Q50" i="30002"/>
  <c r="AX50" i="30002"/>
  <c r="BK50" i="30002"/>
  <c r="BY50" i="30002"/>
  <c r="CN50" i="30002"/>
  <c r="F51" i="30002"/>
  <c r="Q51" i="30002"/>
  <c r="AX51" i="30002"/>
  <c r="BK51" i="30002"/>
  <c r="BY51" i="30002"/>
  <c r="CN51" i="30002"/>
  <c r="F52" i="30002"/>
  <c r="Q52" i="30002"/>
  <c r="AO52" i="30002"/>
  <c r="AO58" i="30002" s="1"/>
  <c r="AX52" i="30002"/>
  <c r="BK52" i="30002"/>
  <c r="BY52" i="30002"/>
  <c r="CN52" i="30002"/>
  <c r="F53" i="30002"/>
  <c r="Q53" i="30002"/>
  <c r="AW53" i="30002"/>
  <c r="AX53" i="30002" s="1"/>
  <c r="BK53" i="30002"/>
  <c r="BY53" i="30002"/>
  <c r="CN53" i="30002"/>
  <c r="F54" i="30002"/>
  <c r="Q54" i="30002"/>
  <c r="AW54" i="30002"/>
  <c r="AW61" i="30002" s="1"/>
  <c r="AW68" i="30002" s="1"/>
  <c r="AX68" i="30002" s="1"/>
  <c r="BK54" i="30002"/>
  <c r="BY54" i="30002"/>
  <c r="CN54" i="30002"/>
  <c r="F55" i="30002"/>
  <c r="Q55" i="30002"/>
  <c r="AW55" i="30002"/>
  <c r="BK55" i="30002"/>
  <c r="BY55" i="30002"/>
  <c r="CN55" i="30002"/>
  <c r="F56" i="30002"/>
  <c r="Q56" i="30002"/>
  <c r="AW56" i="30002"/>
  <c r="AX56" i="30002" s="1"/>
  <c r="BK56" i="30002"/>
  <c r="BY56" i="30002"/>
  <c r="CN56" i="30002"/>
  <c r="F57" i="30002"/>
  <c r="Q57" i="30002"/>
  <c r="AW57" i="30002"/>
  <c r="AW64" i="30002" s="1"/>
  <c r="AW71" i="30002" s="1"/>
  <c r="AX71" i="30002" s="1"/>
  <c r="BK57" i="30002"/>
  <c r="BY57" i="30002"/>
  <c r="CN57" i="30002"/>
  <c r="F58" i="30002"/>
  <c r="Q58" i="30002"/>
  <c r="AW58" i="30002"/>
  <c r="AW65" i="30002" s="1"/>
  <c r="BK58" i="30002"/>
  <c r="BY58" i="30002"/>
  <c r="CN58" i="30002"/>
  <c r="F59" i="30002"/>
  <c r="Q59" i="30002"/>
  <c r="AW59" i="30002"/>
  <c r="AX59" i="30002" s="1"/>
  <c r="BK59" i="30002"/>
  <c r="BY59" i="30002"/>
  <c r="CN59" i="30002"/>
  <c r="F60" i="30002"/>
  <c r="Q60" i="30002"/>
  <c r="BA60" i="30002"/>
  <c r="BA67" i="30002" s="1"/>
  <c r="BA74" i="30002" s="1"/>
  <c r="BA81" i="30002" s="1"/>
  <c r="BA88" i="30002" s="1"/>
  <c r="BA95" i="30002" s="1"/>
  <c r="BA102" i="30002" s="1"/>
  <c r="BK60" i="30002"/>
  <c r="BY60" i="30002"/>
  <c r="CN60" i="30002"/>
  <c r="F61" i="30002"/>
  <c r="Q61" i="30002"/>
  <c r="BA61" i="30002"/>
  <c r="BA68" i="30002" s="1"/>
  <c r="BA75" i="30002" s="1"/>
  <c r="BA82" i="30002" s="1"/>
  <c r="BA89" i="30002" s="1"/>
  <c r="BA96" i="30002" s="1"/>
  <c r="BA103" i="30002" s="1"/>
  <c r="BK61" i="30002"/>
  <c r="BY61" i="30002"/>
  <c r="CN61" i="30002"/>
  <c r="F62" i="30002"/>
  <c r="Q62" i="30002"/>
  <c r="BA62" i="30002"/>
  <c r="BA69" i="30002" s="1"/>
  <c r="BA76" i="30002" s="1"/>
  <c r="BA83" i="30002" s="1"/>
  <c r="BA90" i="30002" s="1"/>
  <c r="BA97" i="30002" s="1"/>
  <c r="BA104" i="30002" s="1"/>
  <c r="BK62" i="30002"/>
  <c r="BY62" i="30002"/>
  <c r="CN62" i="30002"/>
  <c r="F63" i="30002"/>
  <c r="Q63" i="30002"/>
  <c r="BA63" i="30002"/>
  <c r="BA70" i="30002" s="1"/>
  <c r="BA77" i="30002" s="1"/>
  <c r="BA84" i="30002" s="1"/>
  <c r="BA91" i="30002" s="1"/>
  <c r="BA98" i="30002" s="1"/>
  <c r="BA105" i="30002" s="1"/>
  <c r="BK63" i="30002"/>
  <c r="BY63" i="30002"/>
  <c r="CN63" i="30002"/>
  <c r="F64" i="30002"/>
  <c r="Q64" i="30002"/>
  <c r="BA64" i="30002"/>
  <c r="BA71" i="30002" s="1"/>
  <c r="BA78" i="30002" s="1"/>
  <c r="BA85" i="30002" s="1"/>
  <c r="BA92" i="30002" s="1"/>
  <c r="BA99" i="30002" s="1"/>
  <c r="BA106" i="30002" s="1"/>
  <c r="BK64" i="30002"/>
  <c r="BY64" i="30002"/>
  <c r="CN64" i="30002"/>
  <c r="CQ64" i="30002"/>
  <c r="F65" i="30002"/>
  <c r="Q65" i="30002"/>
  <c r="BA65" i="30002"/>
  <c r="BA72" i="30002" s="1"/>
  <c r="BA79" i="30002" s="1"/>
  <c r="BA86" i="30002" s="1"/>
  <c r="BA93" i="30002" s="1"/>
  <c r="BA100" i="30002" s="1"/>
  <c r="BA107" i="30002" s="1"/>
  <c r="BK65" i="30002"/>
  <c r="BY65" i="30002"/>
  <c r="CN65" i="30002"/>
  <c r="CQ65" i="30002"/>
  <c r="F66" i="30002"/>
  <c r="Q66" i="30002"/>
  <c r="BA66" i="30002"/>
  <c r="BA73" i="30002" s="1"/>
  <c r="BA80" i="30002" s="1"/>
  <c r="BA87" i="30002" s="1"/>
  <c r="BA94" i="30002" s="1"/>
  <c r="BA101" i="30002" s="1"/>
  <c r="BA108" i="30002" s="1"/>
  <c r="BK66" i="30002"/>
  <c r="BY66" i="30002"/>
  <c r="CN66" i="30002"/>
  <c r="CQ66" i="30002"/>
  <c r="F67" i="30002"/>
  <c r="Q67" i="30002"/>
  <c r="BK67" i="30002"/>
  <c r="BY67" i="30002"/>
  <c r="CN67" i="30002"/>
  <c r="F68" i="30002"/>
  <c r="Q68" i="30002"/>
  <c r="BJ68" i="30002"/>
  <c r="BN68" i="30002"/>
  <c r="BN76" i="30002" s="1"/>
  <c r="BN84" i="30002" s="1"/>
  <c r="BN92" i="30002" s="1"/>
  <c r="BN100" i="30002" s="1"/>
  <c r="BN108" i="30002" s="1"/>
  <c r="BN116" i="30002" s="1"/>
  <c r="BY68" i="30002"/>
  <c r="CN68" i="30002"/>
  <c r="F69" i="30002"/>
  <c r="Q69" i="30002"/>
  <c r="BJ69" i="30002"/>
  <c r="BJ77" i="30002" s="1"/>
  <c r="BJ85" i="30002" s="1"/>
  <c r="BJ93" i="30002" s="1"/>
  <c r="BK93" i="30002" s="1"/>
  <c r="BN69" i="30002"/>
  <c r="BN77" i="30002" s="1"/>
  <c r="BN85" i="30002" s="1"/>
  <c r="BN93" i="30002" s="1"/>
  <c r="BN101" i="30002" s="1"/>
  <c r="BN109" i="30002" s="1"/>
  <c r="BN117" i="30002" s="1"/>
  <c r="BY69" i="30002"/>
  <c r="CN69" i="30002"/>
  <c r="F70" i="30002"/>
  <c r="Q70" i="30002"/>
  <c r="BJ70" i="30002"/>
  <c r="BK70" i="30002" s="1"/>
  <c r="BN70" i="30002"/>
  <c r="BN78" i="30002" s="1"/>
  <c r="BN86" i="30002" s="1"/>
  <c r="BN94" i="30002" s="1"/>
  <c r="BN102" i="30002" s="1"/>
  <c r="BN110" i="30002" s="1"/>
  <c r="BN118" i="30002" s="1"/>
  <c r="BY70" i="30002"/>
  <c r="CN70" i="30002"/>
  <c r="F71" i="30002"/>
  <c r="Q71" i="30002"/>
  <c r="BJ71" i="30002"/>
  <c r="BK71" i="30002" s="1"/>
  <c r="BN71" i="30002"/>
  <c r="BN79" i="30002" s="1"/>
  <c r="BN87" i="30002" s="1"/>
  <c r="BN95" i="30002" s="1"/>
  <c r="BN103" i="30002" s="1"/>
  <c r="BN111" i="30002" s="1"/>
  <c r="BN119" i="30002" s="1"/>
  <c r="BY71" i="30002"/>
  <c r="CN71" i="30002"/>
  <c r="F72" i="30002"/>
  <c r="Q72" i="30002"/>
  <c r="BJ72" i="30002"/>
  <c r="BK72" i="30002" s="1"/>
  <c r="BN72" i="30002"/>
  <c r="BN80" i="30002" s="1"/>
  <c r="BN88" i="30002" s="1"/>
  <c r="BN96" i="30002" s="1"/>
  <c r="BN104" i="30002" s="1"/>
  <c r="BN112" i="30002" s="1"/>
  <c r="BN120" i="30002" s="1"/>
  <c r="BY72" i="30002"/>
  <c r="CN72" i="30002"/>
  <c r="F73" i="30002"/>
  <c r="Q73" i="30002"/>
  <c r="BJ73" i="30002"/>
  <c r="BJ81" i="30002" s="1"/>
  <c r="BK81" i="30002" s="1"/>
  <c r="BN73" i="30002"/>
  <c r="BN81" i="30002" s="1"/>
  <c r="BN89" i="30002" s="1"/>
  <c r="BN97" i="30002" s="1"/>
  <c r="BN105" i="30002" s="1"/>
  <c r="BN113" i="30002" s="1"/>
  <c r="BN121" i="30002" s="1"/>
  <c r="BY73" i="30002"/>
  <c r="CN73" i="30002"/>
  <c r="F74" i="30002"/>
  <c r="Q74" i="30002"/>
  <c r="BJ74" i="30002"/>
  <c r="BN74" i="30002"/>
  <c r="BN82" i="30002" s="1"/>
  <c r="BN90" i="30002" s="1"/>
  <c r="BN98" i="30002" s="1"/>
  <c r="BN106" i="30002" s="1"/>
  <c r="BN114" i="30002" s="1"/>
  <c r="BN122" i="30002" s="1"/>
  <c r="BY74" i="30002"/>
  <c r="CN74" i="30002"/>
  <c r="F75" i="30002"/>
  <c r="Q75" i="30002"/>
  <c r="BJ75" i="30002"/>
  <c r="BK75" i="30002" s="1"/>
  <c r="BN75" i="30002"/>
  <c r="BN83" i="30002" s="1"/>
  <c r="BN91" i="30002" s="1"/>
  <c r="BN99" i="30002" s="1"/>
  <c r="BN107" i="30002" s="1"/>
  <c r="BN115" i="30002" s="1"/>
  <c r="BN123" i="30002" s="1"/>
  <c r="BY75" i="30002"/>
  <c r="CN75" i="30002"/>
  <c r="F76" i="30002"/>
  <c r="Q76" i="30002"/>
  <c r="BX76" i="30002"/>
  <c r="BY76" i="30002" s="1"/>
  <c r="CB76" i="30002"/>
  <c r="CB85" i="30002" s="1"/>
  <c r="CB94" i="30002" s="1"/>
  <c r="CB103" i="30002" s="1"/>
  <c r="CB112" i="30002" s="1"/>
  <c r="CB121" i="30002" s="1"/>
  <c r="CB130" i="30002" s="1"/>
  <c r="CN76" i="30002"/>
  <c r="F77" i="30002"/>
  <c r="Q77" i="30002"/>
  <c r="BX77" i="30002"/>
  <c r="BX86" i="30002" s="1"/>
  <c r="BX95" i="30002" s="1"/>
  <c r="BX104" i="30002" s="1"/>
  <c r="CB77" i="30002"/>
  <c r="CB86" i="30002" s="1"/>
  <c r="CB95" i="30002" s="1"/>
  <c r="CB104" i="30002" s="1"/>
  <c r="CB113" i="30002" s="1"/>
  <c r="CB122" i="30002" s="1"/>
  <c r="CB131" i="30002" s="1"/>
  <c r="CN77" i="30002"/>
  <c r="F78" i="30002"/>
  <c r="Q78" i="30002"/>
  <c r="BX78" i="30002"/>
  <c r="BY78" i="30002" s="1"/>
  <c r="CB78" i="30002"/>
  <c r="CB87" i="30002" s="1"/>
  <c r="CB96" i="30002" s="1"/>
  <c r="CB105" i="30002" s="1"/>
  <c r="CB114" i="30002" s="1"/>
  <c r="CB123" i="30002" s="1"/>
  <c r="CN78" i="30002"/>
  <c r="F79" i="30002"/>
  <c r="Q79" i="30002"/>
  <c r="BX79" i="30002"/>
  <c r="CB79" i="30002"/>
  <c r="CB88" i="30002" s="1"/>
  <c r="CB97" i="30002" s="1"/>
  <c r="CB106" i="30002" s="1"/>
  <c r="CB115" i="30002" s="1"/>
  <c r="CB124" i="30002" s="1"/>
  <c r="CN79" i="30002"/>
  <c r="F80" i="30002"/>
  <c r="Q80" i="30002"/>
  <c r="BX80" i="30002"/>
  <c r="BY80" i="30002" s="1"/>
  <c r="CB80" i="30002"/>
  <c r="CB89" i="30002" s="1"/>
  <c r="CB98" i="30002" s="1"/>
  <c r="CB107" i="30002" s="1"/>
  <c r="CB116" i="30002" s="1"/>
  <c r="CB125" i="30002" s="1"/>
  <c r="CN80" i="30002"/>
  <c r="F81" i="30002"/>
  <c r="Q81" i="30002"/>
  <c r="BX81" i="30002"/>
  <c r="BX90" i="30002" s="1"/>
  <c r="BY90" i="30002" s="1"/>
  <c r="CB81" i="30002"/>
  <c r="CB90" i="30002" s="1"/>
  <c r="CB99" i="30002" s="1"/>
  <c r="CB108" i="30002" s="1"/>
  <c r="CB117" i="30002" s="1"/>
  <c r="CB126" i="30002" s="1"/>
  <c r="CN81" i="30002"/>
  <c r="F82" i="30002"/>
  <c r="Q82" i="30002"/>
  <c r="BX82" i="30002"/>
  <c r="BX91" i="30002" s="1"/>
  <c r="BX100" i="30002" s="1"/>
  <c r="CB82" i="30002"/>
  <c r="CB91" i="30002" s="1"/>
  <c r="CB100" i="30002" s="1"/>
  <c r="CB109" i="30002" s="1"/>
  <c r="CB118" i="30002" s="1"/>
  <c r="CB127" i="30002" s="1"/>
  <c r="CN82" i="30002"/>
  <c r="F83" i="30002"/>
  <c r="Q83" i="30002"/>
  <c r="BX83" i="30002"/>
  <c r="BX92" i="30002" s="1"/>
  <c r="CB83" i="30002"/>
  <c r="CB92" i="30002" s="1"/>
  <c r="CB101" i="30002" s="1"/>
  <c r="CB110" i="30002" s="1"/>
  <c r="CB119" i="30002" s="1"/>
  <c r="CB128" i="30002" s="1"/>
  <c r="CN83" i="30002"/>
  <c r="F84" i="30002"/>
  <c r="Q84" i="30002"/>
  <c r="BX84" i="30002"/>
  <c r="CB84" i="30002"/>
  <c r="CB93" i="30002" s="1"/>
  <c r="CB102" i="30002" s="1"/>
  <c r="CB111" i="30002" s="1"/>
  <c r="CB120" i="30002" s="1"/>
  <c r="CB129" i="30002" s="1"/>
  <c r="CL84" i="30002"/>
  <c r="CN84" i="30002" s="1"/>
  <c r="CQ84" i="30002"/>
  <c r="CQ94" i="30002" s="1"/>
  <c r="CQ104" i="30002" s="1"/>
  <c r="CQ114" i="30002" s="1"/>
  <c r="CQ124" i="30002" s="1"/>
  <c r="F85" i="30002"/>
  <c r="Q85" i="30002"/>
  <c r="CN85" i="30002"/>
  <c r="CQ85" i="30002"/>
  <c r="CQ95" i="30002" s="1"/>
  <c r="CQ105" i="30002" s="1"/>
  <c r="CQ115" i="30002" s="1"/>
  <c r="CQ125" i="30002" s="1"/>
  <c r="F86" i="30002"/>
  <c r="Q86" i="30002"/>
  <c r="CN86" i="30002"/>
  <c r="CQ86" i="30002"/>
  <c r="CQ96" i="30002" s="1"/>
  <c r="CQ106" i="30002" s="1"/>
  <c r="CQ116" i="30002" s="1"/>
  <c r="CQ126" i="30002" s="1"/>
  <c r="F87" i="30002"/>
  <c r="Q87" i="30002"/>
  <c r="CN87" i="30002"/>
  <c r="CQ87" i="30002"/>
  <c r="CQ97" i="30002" s="1"/>
  <c r="CQ107" i="30002" s="1"/>
  <c r="CQ117" i="30002" s="1"/>
  <c r="CQ127" i="30002" s="1"/>
  <c r="F88" i="30002"/>
  <c r="Q88" i="30002"/>
  <c r="CN88" i="30002"/>
  <c r="CQ88" i="30002"/>
  <c r="CQ98" i="30002" s="1"/>
  <c r="CQ108" i="30002" s="1"/>
  <c r="CQ118" i="30002" s="1"/>
  <c r="CQ128" i="30002" s="1"/>
  <c r="F89" i="30002"/>
  <c r="Q89" i="30002"/>
  <c r="CN89" i="30002"/>
  <c r="CQ89" i="30002"/>
  <c r="CQ99" i="30002" s="1"/>
  <c r="CQ109" i="30002" s="1"/>
  <c r="CQ119" i="30002" s="1"/>
  <c r="CQ129" i="30002" s="1"/>
  <c r="F90" i="30002"/>
  <c r="Q90" i="30002"/>
  <c r="CN90" i="30002"/>
  <c r="CQ90" i="30002"/>
  <c r="CQ100" i="30002" s="1"/>
  <c r="CQ110" i="30002" s="1"/>
  <c r="CQ120" i="30002" s="1"/>
  <c r="CQ130" i="30002" s="1"/>
  <c r="F91" i="30002"/>
  <c r="Q91" i="30002"/>
  <c r="CN91" i="30002"/>
  <c r="CQ91" i="30002"/>
  <c r="CQ101" i="30002" s="1"/>
  <c r="CQ111" i="30002" s="1"/>
  <c r="CQ121" i="30002" s="1"/>
  <c r="CQ131" i="30002" s="1"/>
  <c r="F92" i="30002"/>
  <c r="Q92" i="30002"/>
  <c r="CN92" i="30002"/>
  <c r="CQ92" i="30002"/>
  <c r="CQ102" i="30002" s="1"/>
  <c r="CQ112" i="30002" s="1"/>
  <c r="CQ122" i="30002" s="1"/>
  <c r="F93" i="30002"/>
  <c r="Q93" i="30002"/>
  <c r="CN93" i="30002"/>
  <c r="CQ93" i="30002"/>
  <c r="CQ103" i="30002" s="1"/>
  <c r="CQ113" i="30002" s="1"/>
  <c r="CQ123" i="30002" s="1"/>
  <c r="F94" i="30002"/>
  <c r="Q94" i="30002"/>
  <c r="CL94" i="30002"/>
  <c r="CM94" i="30002"/>
  <c r="F95" i="30002"/>
  <c r="Q95" i="30002"/>
  <c r="AO95" i="30002"/>
  <c r="AO96" i="30002" s="1"/>
  <c r="AO97" i="30002" s="1"/>
  <c r="AO98" i="30002" s="1"/>
  <c r="AO99" i="30002" s="1"/>
  <c r="CM95" i="30002"/>
  <c r="CM105" i="30002" s="1"/>
  <c r="F96" i="30002"/>
  <c r="Q96" i="30002"/>
  <c r="CM96" i="30002"/>
  <c r="F97" i="30002"/>
  <c r="Q97" i="30002"/>
  <c r="CM97" i="30002"/>
  <c r="CN97" i="30002" s="1"/>
  <c r="F98" i="30002"/>
  <c r="Q98" i="30002"/>
  <c r="CM98" i="30002"/>
  <c r="CN98" i="30002" s="1"/>
  <c r="F99" i="30002"/>
  <c r="Q99" i="30002"/>
  <c r="CM99" i="30002"/>
  <c r="F100" i="30002"/>
  <c r="Q100" i="30002"/>
  <c r="AO100" i="30002"/>
  <c r="AO106" i="30002" s="1"/>
  <c r="AO112" i="30002" s="1"/>
  <c r="AO118" i="30002" s="1"/>
  <c r="AO124" i="30002" s="1"/>
  <c r="AO125" i="30002" s="1"/>
  <c r="AO126" i="30002" s="1"/>
  <c r="AO127" i="30002" s="1"/>
  <c r="AO128" i="30002" s="1"/>
  <c r="AO129" i="30002" s="1"/>
  <c r="CM100" i="30002"/>
  <c r="F101" i="30002"/>
  <c r="Q101" i="30002"/>
  <c r="CM101" i="30002"/>
  <c r="CN101" i="30002" s="1"/>
  <c r="F102" i="30002"/>
  <c r="Q102" i="30002"/>
  <c r="CM102" i="30002"/>
  <c r="CM112" i="30002" s="1"/>
  <c r="CM122" i="30002" s="1"/>
  <c r="CN122" i="30002" s="1"/>
  <c r="F103" i="30002"/>
  <c r="Q103" i="30002"/>
  <c r="CM103" i="30002"/>
  <c r="CM113" i="30002" s="1"/>
  <c r="CM123" i="30002" s="1"/>
  <c r="CN123" i="30002" s="1"/>
  <c r="F104" i="30002"/>
  <c r="Q104" i="30002"/>
  <c r="CL104" i="30002"/>
  <c r="F105" i="30002"/>
  <c r="Q105" i="30002"/>
  <c r="F106" i="30002"/>
  <c r="Q106" i="30002"/>
  <c r="F107" i="30002"/>
  <c r="Q107" i="30002"/>
  <c r="F108" i="30002"/>
  <c r="Q108" i="30002"/>
  <c r="F109" i="30002"/>
  <c r="Q109" i="30002"/>
  <c r="F110" i="30002"/>
  <c r="Q110" i="30002"/>
  <c r="F111" i="30002"/>
  <c r="Q111" i="30002"/>
  <c r="F112" i="30002"/>
  <c r="Q112" i="30002"/>
  <c r="F113" i="30002"/>
  <c r="Q113" i="30002"/>
  <c r="F114" i="30002"/>
  <c r="Q114" i="30002"/>
  <c r="CL114" i="30002"/>
  <c r="F115" i="30002"/>
  <c r="Q115" i="30002"/>
  <c r="F116" i="30002"/>
  <c r="Q116" i="30002"/>
  <c r="BA116" i="30002"/>
  <c r="BA123" i="30002" s="1"/>
  <c r="BA130" i="30002" s="1"/>
  <c r="F117" i="30002"/>
  <c r="Q117" i="30002"/>
  <c r="BA117" i="30002"/>
  <c r="BA124" i="30002" s="1"/>
  <c r="BA131" i="30002" s="1"/>
  <c r="F118" i="30002"/>
  <c r="Q118" i="30002"/>
  <c r="BA118" i="30002"/>
  <c r="BA125" i="30002" s="1"/>
  <c r="F119" i="30002"/>
  <c r="Q119" i="30002"/>
  <c r="BA119" i="30002"/>
  <c r="BA126" i="30002" s="1"/>
  <c r="F120" i="30002"/>
  <c r="Q120" i="30002"/>
  <c r="BA120" i="30002"/>
  <c r="BA127" i="30002" s="1"/>
  <c r="F121" i="30002"/>
  <c r="Q121" i="30002"/>
  <c r="BA121" i="30002"/>
  <c r="BA128" i="30002" s="1"/>
  <c r="F122" i="30002"/>
  <c r="Q122" i="30002"/>
  <c r="BA122" i="30002"/>
  <c r="BA129" i="30002" s="1"/>
  <c r="F123" i="30002"/>
  <c r="Q123" i="30002"/>
  <c r="F124" i="30002"/>
  <c r="Q124" i="30002"/>
  <c r="CL124" i="30002"/>
  <c r="F125" i="30002"/>
  <c r="Q125" i="30002"/>
  <c r="F126" i="30002"/>
  <c r="Q126" i="30002"/>
  <c r="F127" i="30002"/>
  <c r="Q127" i="30002"/>
  <c r="F128" i="30002"/>
  <c r="Q128" i="30002"/>
  <c r="F129" i="30002"/>
  <c r="Q129" i="30002"/>
  <c r="F130" i="30002"/>
  <c r="Q130" i="30002"/>
  <c r="F131" i="30002"/>
  <c r="Q131" i="30002"/>
  <c r="B138" i="30002"/>
  <c r="B139" i="30002"/>
  <c r="B141" i="30002"/>
  <c r="B143" i="30002"/>
  <c r="B147" i="30002"/>
  <c r="B151" i="30002"/>
  <c r="B155" i="30002"/>
  <c r="B161" i="30002"/>
  <c r="B169" i="30002"/>
  <c r="B177" i="30002"/>
  <c r="B185" i="30002"/>
  <c r="B193" i="30002"/>
  <c r="B201" i="30002"/>
  <c r="B211" i="30002"/>
  <c r="B223" i="30002"/>
  <c r="B237" i="30002"/>
  <c r="B253" i="30002"/>
  <c r="B269" i="30002"/>
  <c r="B285" i="30002"/>
  <c r="B301" i="30002"/>
  <c r="B317" i="30002"/>
  <c r="B333" i="30002"/>
  <c r="B349" i="30002"/>
  <c r="B365" i="30002"/>
  <c r="B381" i="30002"/>
  <c r="B399" i="30002"/>
  <c r="B419" i="30002"/>
  <c r="B441" i="30002"/>
  <c r="B465" i="30002"/>
  <c r="B491" i="30002"/>
  <c r="B519" i="30002"/>
  <c r="B549" i="30002"/>
  <c r="B565" i="30002"/>
  <c r="B581" i="30002"/>
  <c r="B597" i="30002"/>
  <c r="B613" i="30002"/>
  <c r="B629" i="30002"/>
  <c r="B645" i="30002"/>
  <c r="B661" i="30002"/>
  <c r="B677" i="30002"/>
  <c r="B693" i="30002"/>
  <c r="B709" i="30002"/>
  <c r="B725" i="30002"/>
  <c r="B741" i="30002"/>
  <c r="B757" i="30002"/>
  <c r="B773" i="30002"/>
  <c r="B789" i="30002"/>
  <c r="B805" i="30002"/>
  <c r="B821" i="30002"/>
  <c r="B838" i="30002"/>
  <c r="B856" i="30002"/>
  <c r="B875" i="30002"/>
  <c r="B895" i="30002"/>
  <c r="B916" i="30002"/>
  <c r="B938" i="30002"/>
  <c r="B961" i="30002"/>
  <c r="B985" i="30002"/>
  <c r="B1010" i="30002"/>
  <c r="B1036" i="30002"/>
  <c r="B1063" i="30002"/>
  <c r="B1091" i="30002"/>
  <c r="B1120" i="30002"/>
  <c r="B1150" i="30002"/>
  <c r="B1181" i="30002"/>
  <c r="A6" i="30008"/>
  <c r="J6" i="30008"/>
  <c r="M4" i="30016"/>
  <c r="M5" i="30016"/>
  <c r="M6" i="30016"/>
  <c r="M7" i="30016"/>
  <c r="M8" i="30016"/>
  <c r="M9" i="30016"/>
  <c r="M10" i="30016"/>
  <c r="M11" i="30016"/>
  <c r="M12" i="30016"/>
  <c r="M13" i="30016"/>
  <c r="M14" i="30016"/>
  <c r="M15" i="30016"/>
  <c r="M16" i="30016"/>
  <c r="M17" i="30016"/>
  <c r="B1" i="19124"/>
  <c r="H2" i="19124"/>
  <c r="V3" i="19124"/>
  <c r="B3" i="29954"/>
  <c r="D3" i="29954"/>
  <c r="E3" i="29954"/>
  <c r="F3" i="29954"/>
  <c r="W3" i="29954"/>
  <c r="X3" i="29954"/>
  <c r="Z3" i="29954"/>
  <c r="AA3" i="29954"/>
  <c r="AB3" i="29954"/>
  <c r="G2" i="30004"/>
  <c r="C709" i="30004"/>
  <c r="B709" i="30004" s="1"/>
  <c r="C710" i="30004"/>
  <c r="B710" i="30004" s="1"/>
  <c r="C711" i="30004"/>
  <c r="B711" i="30004" s="1"/>
  <c r="C712" i="30004"/>
  <c r="B712" i="30004" s="1"/>
  <c r="C713" i="30004"/>
  <c r="B713" i="30004" s="1"/>
  <c r="C714" i="30004"/>
  <c r="B714" i="30004" s="1"/>
  <c r="C715" i="30004"/>
  <c r="B715" i="30004" s="1"/>
  <c r="C965" i="30004"/>
  <c r="B965" i="30004" s="1"/>
  <c r="C966" i="30004"/>
  <c r="B966" i="30004" s="1"/>
  <c r="C967" i="30004"/>
  <c r="B967" i="30004" s="1"/>
  <c r="C968" i="30004"/>
  <c r="B968" i="30004" s="1"/>
  <c r="C969" i="30004"/>
  <c r="B969" i="30004" s="1"/>
  <c r="C970" i="30004"/>
  <c r="B970" i="30004" s="1"/>
  <c r="C971" i="30004"/>
  <c r="B971" i="30004" s="1"/>
  <c r="C972" i="30004"/>
  <c r="B972" i="30004" s="1"/>
  <c r="C973" i="30004"/>
  <c r="B973" i="30004" s="1"/>
  <c r="C974" i="30004"/>
  <c r="B974" i="30004" s="1"/>
  <c r="C975" i="30004"/>
  <c r="B975" i="30004" s="1"/>
  <c r="C976" i="30004"/>
  <c r="B976" i="30004" s="1"/>
  <c r="C977" i="30004"/>
  <c r="B977" i="30004" s="1"/>
  <c r="C978" i="30004"/>
  <c r="B978" i="30004" s="1"/>
  <c r="C979" i="30004"/>
  <c r="B979" i="30004" s="1"/>
  <c r="C980" i="30004"/>
  <c r="B980" i="30004" s="1"/>
  <c r="C981" i="30004"/>
  <c r="B981" i="30004" s="1"/>
  <c r="C982" i="30004"/>
  <c r="B982" i="30004" s="1"/>
  <c r="C983" i="30004"/>
  <c r="B983" i="30004" s="1"/>
  <c r="C984" i="30004"/>
  <c r="B984" i="30004" s="1"/>
  <c r="C985" i="30004"/>
  <c r="B985" i="30004" s="1"/>
  <c r="C986" i="30004"/>
  <c r="B986" i="30004" s="1"/>
  <c r="C987" i="30004"/>
  <c r="B987" i="30004" s="1"/>
  <c r="C988" i="30004"/>
  <c r="B988" i="30004" s="1"/>
  <c r="C989" i="30004"/>
  <c r="B989" i="30004" s="1"/>
  <c r="C990" i="30004"/>
  <c r="B990" i="30004" s="1"/>
  <c r="C991" i="30004"/>
  <c r="B991" i="30004" s="1"/>
  <c r="C992" i="30004"/>
  <c r="B992" i="30004" s="1"/>
  <c r="C993" i="30004"/>
  <c r="B993" i="30004" s="1"/>
  <c r="C994" i="30004"/>
  <c r="B994" i="30004" s="1"/>
  <c r="C995" i="30004"/>
  <c r="B995" i="30004" s="1"/>
  <c r="C996" i="30004"/>
  <c r="B996" i="30004" s="1"/>
  <c r="C997" i="30004"/>
  <c r="B997" i="30004" s="1"/>
  <c r="C998" i="30004"/>
  <c r="B998" i="30004" s="1"/>
  <c r="C1128" i="30004"/>
  <c r="B1128" i="30004" s="1"/>
  <c r="C1129" i="30004"/>
  <c r="B1129" i="30004" s="1"/>
  <c r="C1130" i="30004"/>
  <c r="B1130" i="30004" s="1"/>
  <c r="C1131" i="30004"/>
  <c r="B1131" i="30004" s="1"/>
  <c r="C1132" i="30004"/>
  <c r="B1132" i="30004" s="1"/>
  <c r="C1133" i="30004"/>
  <c r="B1133" i="30004" s="1"/>
  <c r="C1134" i="30004"/>
  <c r="B1134" i="30004" s="1"/>
  <c r="C1135" i="30004"/>
  <c r="B1135" i="30004" s="1"/>
  <c r="C1136" i="30004"/>
  <c r="B1136" i="30004" s="1"/>
  <c r="C1137" i="30004"/>
  <c r="B1137" i="30004" s="1"/>
  <c r="C1206" i="30004"/>
  <c r="B1206" i="30004" s="1"/>
  <c r="C1207" i="30004"/>
  <c r="B1207" i="30004" s="1"/>
  <c r="C1208" i="30004"/>
  <c r="B1208" i="30004" s="1"/>
  <c r="C1209" i="30004"/>
  <c r="B1209" i="30004" s="1"/>
  <c r="C1210" i="30004"/>
  <c r="B1210" i="30004" s="1"/>
  <c r="C1211" i="30004"/>
  <c r="B1211" i="30004" s="1"/>
  <c r="C1279" i="30004"/>
  <c r="B1279" i="30004" s="1"/>
  <c r="C1280" i="30004"/>
  <c r="B1280" i="30004" s="1"/>
  <c r="C1510" i="30004"/>
  <c r="B1510" i="30004" s="1"/>
  <c r="C1511" i="30004"/>
  <c r="B1511" i="30004" s="1"/>
  <c r="C1512" i="30004"/>
  <c r="B1512" i="30004" s="1"/>
  <c r="C1513" i="30004"/>
  <c r="B1513" i="30004" s="1"/>
  <c r="C1514" i="30004"/>
  <c r="B1514" i="30004" s="1"/>
  <c r="C1515" i="30004"/>
  <c r="B1515" i="30004" s="1"/>
  <c r="C1516" i="30004"/>
  <c r="B1516" i="30004" s="1"/>
  <c r="C1517" i="30004"/>
  <c r="B1517" i="30004" s="1"/>
  <c r="C1518" i="30004"/>
  <c r="B1518" i="30004" s="1"/>
  <c r="C1519" i="30004"/>
  <c r="B1519" i="30004" s="1"/>
  <c r="C1520" i="30004"/>
  <c r="B1520" i="30004" s="1"/>
  <c r="C1521" i="30004"/>
  <c r="B1521" i="30004" s="1"/>
  <c r="C1522" i="30004"/>
  <c r="B1522" i="30004" s="1"/>
  <c r="C1523" i="30004"/>
  <c r="B1523" i="30004" s="1"/>
  <c r="C1524" i="30004"/>
  <c r="B1524" i="30004" s="1"/>
  <c r="C1525" i="30004"/>
  <c r="B1525" i="30004" s="1"/>
  <c r="C1526" i="30004"/>
  <c r="B1526" i="30004" s="1"/>
  <c r="C1590" i="30004"/>
  <c r="B1590" i="30004" s="1"/>
  <c r="C1591" i="30004"/>
  <c r="B1591" i="30004" s="1"/>
  <c r="C1592" i="30004"/>
  <c r="B1592" i="30004" s="1"/>
  <c r="C1195" i="30004"/>
  <c r="B1195" i="30004" s="1"/>
  <c r="C1196" i="30004"/>
  <c r="B1196" i="30004" s="1"/>
  <c r="C1197" i="30004"/>
  <c r="B1197" i="30004" s="1"/>
  <c r="C1198" i="30004"/>
  <c r="B1198" i="30004" s="1"/>
  <c r="C1199" i="30004"/>
  <c r="B1199" i="30004" s="1"/>
  <c r="C1200" i="30004"/>
  <c r="B1200" i="30004" s="1"/>
  <c r="C1201" i="30004"/>
  <c r="B1201" i="30004" s="1"/>
  <c r="C1202" i="30004"/>
  <c r="B1202" i="30004" s="1"/>
  <c r="C1203" i="30004"/>
  <c r="B1203" i="30004" s="1"/>
  <c r="C1204" i="30004"/>
  <c r="B1204" i="30004" s="1"/>
  <c r="C1205" i="30004"/>
  <c r="B1205" i="30004" s="1"/>
  <c r="C20" i="30004"/>
  <c r="B20" i="30004" s="1"/>
  <c r="C21" i="30004"/>
  <c r="B21" i="30004" s="1"/>
  <c r="C22" i="30004"/>
  <c r="B22" i="30004" s="1"/>
  <c r="C23" i="30004"/>
  <c r="B23" i="30004" s="1"/>
  <c r="C300" i="30004"/>
  <c r="B300" i="30004" s="1"/>
  <c r="C301" i="30004"/>
  <c r="B301" i="30004" s="1"/>
  <c r="C40" i="30004"/>
  <c r="B40" i="30004" s="1"/>
  <c r="C41" i="30004"/>
  <c r="B41" i="30004" s="1"/>
  <c r="C42" i="30004"/>
  <c r="B42" i="30004" s="1"/>
  <c r="C43" i="30004"/>
  <c r="B43" i="30004" s="1"/>
  <c r="C44" i="30004"/>
  <c r="B44" i="30004" s="1"/>
  <c r="C45" i="30004"/>
  <c r="B45" i="30004" s="1"/>
  <c r="C46" i="30004"/>
  <c r="B46" i="30004" s="1"/>
  <c r="C1300" i="30004"/>
  <c r="B1300" i="30004" s="1"/>
  <c r="C1301" i="30004"/>
  <c r="B1301" i="30004" s="1"/>
  <c r="C1302" i="30004"/>
  <c r="B1302" i="30004" s="1"/>
  <c r="C1303" i="30004"/>
  <c r="B1303" i="30004" s="1"/>
  <c r="C1304" i="30004"/>
  <c r="B1304" i="30004" s="1"/>
  <c r="C1305" i="30004"/>
  <c r="B1305" i="30004" s="1"/>
  <c r="C1306" i="30004"/>
  <c r="B1306" i="30004" s="1"/>
  <c r="C24" i="30004"/>
  <c r="B24" i="30004" s="1"/>
  <c r="C25" i="30004"/>
  <c r="B25" i="30004" s="1"/>
  <c r="C26" i="30004"/>
  <c r="B26" i="30004" s="1"/>
  <c r="C241" i="30004"/>
  <c r="B241" i="30004" s="1"/>
  <c r="C242" i="30004"/>
  <c r="B242" i="30004" s="1"/>
  <c r="C243" i="30004"/>
  <c r="B243" i="30004" s="1"/>
  <c r="C244" i="30004"/>
  <c r="B244" i="30004" s="1"/>
  <c r="C245" i="30004"/>
  <c r="B245" i="30004" s="1"/>
  <c r="C246" i="30004"/>
  <c r="B246" i="30004" s="1"/>
  <c r="C247" i="30004"/>
  <c r="B247" i="30004" s="1"/>
  <c r="C248" i="30004"/>
  <c r="B248" i="30004" s="1"/>
  <c r="C249" i="30004"/>
  <c r="B249" i="30004" s="1"/>
  <c r="C250" i="30004"/>
  <c r="B250" i="30004" s="1"/>
  <c r="C251" i="30004"/>
  <c r="B251" i="30004" s="1"/>
  <c r="C252" i="30004"/>
  <c r="B252" i="30004" s="1"/>
  <c r="C253" i="30004"/>
  <c r="B253" i="30004" s="1"/>
  <c r="C254" i="30004"/>
  <c r="B254" i="30004" s="1"/>
  <c r="C255" i="30004"/>
  <c r="B255" i="30004" s="1"/>
  <c r="C256" i="30004"/>
  <c r="B256" i="30004" s="1"/>
  <c r="C257" i="30004"/>
  <c r="B257" i="30004" s="1"/>
  <c r="C258" i="30004"/>
  <c r="B258" i="30004" s="1"/>
  <c r="C259" i="30004"/>
  <c r="B259" i="30004" s="1"/>
  <c r="C260" i="30004"/>
  <c r="B260" i="30004" s="1"/>
  <c r="C261" i="30004"/>
  <c r="B261" i="30004" s="1"/>
  <c r="C262" i="30004"/>
  <c r="B262" i="30004" s="1"/>
  <c r="C263" i="30004"/>
  <c r="B263" i="30004" s="1"/>
  <c r="C264" i="30004"/>
  <c r="B264" i="30004" s="1"/>
  <c r="C1687" i="30004"/>
  <c r="B1687" i="30004" s="1"/>
  <c r="C1688" i="30004"/>
  <c r="B1688" i="30004" s="1"/>
  <c r="C1689" i="30004"/>
  <c r="B1689" i="30004" s="1"/>
  <c r="C1690" i="30004"/>
  <c r="B1690" i="30004" s="1"/>
  <c r="C1691" i="30004"/>
  <c r="B1691" i="30004" s="1"/>
  <c r="C1692" i="30004"/>
  <c r="B1692" i="30004" s="1"/>
  <c r="C1693" i="30004"/>
  <c r="B1693" i="30004" s="1"/>
  <c r="C1694" i="30004"/>
  <c r="B1694" i="30004" s="1"/>
  <c r="C1084" i="30004"/>
  <c r="B1084" i="30004" s="1"/>
  <c r="C1085" i="30004"/>
  <c r="B1085" i="30004" s="1"/>
  <c r="C673" i="30004"/>
  <c r="B673" i="30004" s="1"/>
  <c r="C674" i="30004"/>
  <c r="B674" i="30004" s="1"/>
  <c r="C675" i="30004"/>
  <c r="B675" i="30004" s="1"/>
  <c r="C676" i="30004"/>
  <c r="B676" i="30004" s="1"/>
  <c r="C677" i="30004"/>
  <c r="B677" i="30004" s="1"/>
  <c r="C678" i="30004"/>
  <c r="B678" i="30004" s="1"/>
  <c r="C679" i="30004"/>
  <c r="B679" i="30004" s="1"/>
  <c r="C355" i="30004"/>
  <c r="B355" i="30004" s="1"/>
  <c r="C356" i="30004"/>
  <c r="B356" i="30004" s="1"/>
  <c r="C357" i="30004"/>
  <c r="B357" i="30004" s="1"/>
  <c r="C358" i="30004"/>
  <c r="B358" i="30004" s="1"/>
  <c r="C359" i="30004"/>
  <c r="B359" i="30004" s="1"/>
  <c r="C360" i="30004"/>
  <c r="B360" i="30004" s="1"/>
  <c r="C361" i="30004"/>
  <c r="B361" i="30004" s="1"/>
  <c r="C362" i="30004"/>
  <c r="B362" i="30004" s="1"/>
  <c r="C363" i="30004"/>
  <c r="B363" i="30004" s="1"/>
  <c r="C364" i="30004"/>
  <c r="B364" i="30004" s="1"/>
  <c r="C365" i="30004"/>
  <c r="B365" i="30004" s="1"/>
  <c r="C1731" i="30004"/>
  <c r="B1731" i="30004" s="1"/>
  <c r="C1732" i="30004"/>
  <c r="B1732" i="30004" s="1"/>
  <c r="C1733" i="30004"/>
  <c r="B1733" i="30004" s="1"/>
  <c r="C1734" i="30004"/>
  <c r="B1734" i="30004" s="1"/>
  <c r="C1735" i="30004"/>
  <c r="B1735" i="30004" s="1"/>
  <c r="C1736" i="30004"/>
  <c r="B1736" i="30004" s="1"/>
  <c r="C1737" i="30004"/>
  <c r="B1737" i="30004" s="1"/>
  <c r="B7" i="30004"/>
  <c r="C8" i="30004"/>
  <c r="B8" i="30004" s="1"/>
  <c r="C9" i="30004"/>
  <c r="B9" i="30004" s="1"/>
  <c r="C10" i="30004"/>
  <c r="B10" i="30004" s="1"/>
  <c r="C11" i="30004"/>
  <c r="B11" i="30004" s="1"/>
  <c r="C12" i="30004"/>
  <c r="B12" i="30004" s="1"/>
  <c r="C13" i="30004"/>
  <c r="B13" i="30004" s="1"/>
  <c r="C14" i="30004"/>
  <c r="B14" i="30004" s="1"/>
  <c r="C15" i="30004"/>
  <c r="B15" i="30004" s="1"/>
  <c r="C16" i="30004"/>
  <c r="B16" i="30004" s="1"/>
  <c r="C17" i="30004"/>
  <c r="B17" i="30004" s="1"/>
  <c r="C18" i="30004"/>
  <c r="B18" i="30004" s="1"/>
  <c r="C19" i="30004"/>
  <c r="B19" i="30004" s="1"/>
  <c r="C1223" i="30004"/>
  <c r="B1223" i="30004" s="1"/>
  <c r="C1224" i="30004"/>
  <c r="B1224" i="30004" s="1"/>
  <c r="C1225" i="30004"/>
  <c r="B1225" i="30004" s="1"/>
  <c r="C1226" i="30004"/>
  <c r="B1226" i="30004" s="1"/>
  <c r="C1227" i="30004"/>
  <c r="B1227" i="30004" s="1"/>
  <c r="C1228" i="30004"/>
  <c r="B1228" i="30004" s="1"/>
  <c r="C1229" i="30004"/>
  <c r="B1229" i="30004" s="1"/>
  <c r="C1230" i="30004"/>
  <c r="B1230" i="30004" s="1"/>
  <c r="C1231" i="30004"/>
  <c r="B1231" i="30004" s="1"/>
  <c r="C1232" i="30004"/>
  <c r="B1232" i="30004" s="1"/>
  <c r="C1233" i="30004"/>
  <c r="B1233" i="30004" s="1"/>
  <c r="C1234" i="30004"/>
  <c r="B1234" i="30004" s="1"/>
  <c r="C1235" i="30004"/>
  <c r="B1235" i="30004" s="1"/>
  <c r="C1236" i="30004"/>
  <c r="B1236" i="30004" s="1"/>
  <c r="C1237" i="30004"/>
  <c r="B1237" i="30004" s="1"/>
  <c r="C612" i="30004"/>
  <c r="B612" i="30004" s="1"/>
  <c r="C613" i="30004"/>
  <c r="B613" i="30004" s="1"/>
  <c r="C317" i="30004"/>
  <c r="B317" i="30004" s="1"/>
  <c r="C318" i="30004"/>
  <c r="B318" i="30004" s="1"/>
  <c r="C319" i="30004"/>
  <c r="B319" i="30004" s="1"/>
  <c r="C476" i="30004"/>
  <c r="B476" i="30004" s="1"/>
  <c r="C477" i="30004"/>
  <c r="B477" i="30004" s="1"/>
  <c r="C478" i="30004"/>
  <c r="B478" i="30004" s="1"/>
  <c r="C479" i="30004"/>
  <c r="B479" i="30004" s="1"/>
  <c r="C480" i="30004"/>
  <c r="B480" i="30004" s="1"/>
  <c r="C481" i="30004"/>
  <c r="B481" i="30004" s="1"/>
  <c r="C716" i="30004"/>
  <c r="B716" i="30004" s="1"/>
  <c r="C717" i="30004"/>
  <c r="B717" i="30004" s="1"/>
  <c r="C718" i="30004"/>
  <c r="B718" i="30004" s="1"/>
  <c r="C719" i="30004"/>
  <c r="B719" i="30004" s="1"/>
  <c r="C1112" i="30004"/>
  <c r="B1112" i="30004" s="1"/>
  <c r="C1113" i="30004"/>
  <c r="B1113" i="30004" s="1"/>
  <c r="C1114" i="30004"/>
  <c r="B1114" i="30004" s="1"/>
  <c r="C1115" i="30004"/>
  <c r="B1115" i="30004" s="1"/>
  <c r="C1116" i="30004"/>
  <c r="B1116" i="30004" s="1"/>
  <c r="C1117" i="30004"/>
  <c r="B1117" i="30004" s="1"/>
  <c r="C1118" i="30004"/>
  <c r="B1118" i="30004" s="1"/>
  <c r="C1119" i="30004"/>
  <c r="B1119" i="30004" s="1"/>
  <c r="C1120" i="30004"/>
  <c r="B1120" i="30004" s="1"/>
  <c r="C1121" i="30004"/>
  <c r="B1121" i="30004" s="1"/>
  <c r="C1055" i="30004"/>
  <c r="B1055" i="30004" s="1"/>
  <c r="C1056" i="30004"/>
  <c r="B1056" i="30004" s="1"/>
  <c r="C1057" i="30004"/>
  <c r="B1057" i="30004" s="1"/>
  <c r="C1058" i="30004"/>
  <c r="B1058" i="30004" s="1"/>
  <c r="C1059" i="30004"/>
  <c r="B1059" i="30004" s="1"/>
  <c r="C1060" i="30004"/>
  <c r="B1060" i="30004" s="1"/>
  <c r="C1061" i="30004"/>
  <c r="B1061" i="30004" s="1"/>
  <c r="C228" i="30004"/>
  <c r="B228" i="30004" s="1"/>
  <c r="C229" i="30004"/>
  <c r="B229" i="30004" s="1"/>
  <c r="C230" i="30004"/>
  <c r="B230" i="30004" s="1"/>
  <c r="C231" i="30004"/>
  <c r="B231" i="30004" s="1"/>
  <c r="C856" i="30004"/>
  <c r="B856" i="30004" s="1"/>
  <c r="C935" i="30004"/>
  <c r="B935" i="30004" s="1"/>
  <c r="C936" i="30004"/>
  <c r="B936" i="30004" s="1"/>
  <c r="C937" i="30004"/>
  <c r="B937" i="30004" s="1"/>
  <c r="C1150" i="30004"/>
  <c r="B1150" i="30004" s="1"/>
  <c r="C1151" i="30004"/>
  <c r="B1151" i="30004" s="1"/>
  <c r="C1152" i="30004"/>
  <c r="B1152" i="30004" s="1"/>
  <c r="C1153" i="30004"/>
  <c r="B1153" i="30004" s="1"/>
  <c r="C1154" i="30004"/>
  <c r="B1154" i="30004" s="1"/>
  <c r="C1155" i="30004"/>
  <c r="B1155" i="30004" s="1"/>
  <c r="C1156" i="30004"/>
  <c r="B1156" i="30004" s="1"/>
  <c r="C1157" i="30004"/>
  <c r="B1157" i="30004" s="1"/>
  <c r="C1158" i="30004"/>
  <c r="B1158" i="30004" s="1"/>
  <c r="C1159" i="30004"/>
  <c r="B1159" i="30004" s="1"/>
  <c r="C1160" i="30004"/>
  <c r="B1160" i="30004" s="1"/>
  <c r="C1161" i="30004"/>
  <c r="B1161" i="30004" s="1"/>
  <c r="C1162" i="30004"/>
  <c r="B1162" i="30004" s="1"/>
  <c r="C1163" i="30004"/>
  <c r="B1163" i="30004" s="1"/>
  <c r="C1164" i="30004"/>
  <c r="B1164" i="30004" s="1"/>
  <c r="C1165" i="30004"/>
  <c r="B1165" i="30004" s="1"/>
  <c r="C1166" i="30004"/>
  <c r="B1166" i="30004" s="1"/>
  <c r="C1167" i="30004"/>
  <c r="B1167" i="30004" s="1"/>
  <c r="C1168" i="30004"/>
  <c r="B1168" i="30004" s="1"/>
  <c r="C1169" i="30004"/>
  <c r="B1169" i="30004" s="1"/>
  <c r="C1170" i="30004"/>
  <c r="B1170" i="30004" s="1"/>
  <c r="C1171" i="30004"/>
  <c r="B1171" i="30004" s="1"/>
  <c r="C1172" i="30004"/>
  <c r="B1172" i="30004" s="1"/>
  <c r="C1173" i="30004"/>
  <c r="B1173" i="30004" s="1"/>
  <c r="C1174" i="30004"/>
  <c r="B1174" i="30004" s="1"/>
  <c r="C1175" i="30004"/>
  <c r="B1175" i="30004" s="1"/>
  <c r="C1176" i="30004"/>
  <c r="B1176" i="30004" s="1"/>
  <c r="C1177" i="30004"/>
  <c r="B1177" i="30004" s="1"/>
  <c r="C1178" i="30004"/>
  <c r="B1178" i="30004" s="1"/>
  <c r="C1179" i="30004"/>
  <c r="B1179" i="30004" s="1"/>
  <c r="C1180" i="30004"/>
  <c r="B1180" i="30004" s="1"/>
  <c r="C1181" i="30004"/>
  <c r="B1181" i="30004" s="1"/>
  <c r="C1182" i="30004"/>
  <c r="B1182" i="30004" s="1"/>
  <c r="C1183" i="30004"/>
  <c r="B1183" i="30004" s="1"/>
  <c r="C1184" i="30004"/>
  <c r="B1184" i="30004" s="1"/>
  <c r="C1185" i="30004"/>
  <c r="B1185" i="30004" s="1"/>
  <c r="C1186" i="30004"/>
  <c r="B1186" i="30004" s="1"/>
  <c r="C1187" i="30004"/>
  <c r="B1187" i="30004" s="1"/>
  <c r="C1188" i="30004"/>
  <c r="B1188" i="30004" s="1"/>
  <c r="C1189" i="30004"/>
  <c r="B1189" i="30004" s="1"/>
  <c r="C1190" i="30004"/>
  <c r="B1190" i="30004" s="1"/>
  <c r="C1191" i="30004"/>
  <c r="B1191" i="30004" s="1"/>
  <c r="C691" i="30004"/>
  <c r="B691" i="30004" s="1"/>
  <c r="C692" i="30004"/>
  <c r="B692" i="30004" s="1"/>
  <c r="C693" i="30004"/>
  <c r="B693" i="30004" s="1"/>
  <c r="C694" i="30004"/>
  <c r="B694" i="30004" s="1"/>
  <c r="C695" i="30004"/>
  <c r="B695" i="30004" s="1"/>
  <c r="C696" i="30004"/>
  <c r="B696" i="30004" s="1"/>
  <c r="C697" i="30004"/>
  <c r="B697" i="30004" s="1"/>
  <c r="C698" i="30004"/>
  <c r="B698" i="30004" s="1"/>
  <c r="C699" i="30004"/>
  <c r="B699" i="30004" s="1"/>
  <c r="C700" i="30004"/>
  <c r="B700" i="30004" s="1"/>
  <c r="C779" i="30004"/>
  <c r="B779" i="30004" s="1"/>
  <c r="C780" i="30004"/>
  <c r="B780" i="30004" s="1"/>
  <c r="C781" i="30004"/>
  <c r="B781" i="30004" s="1"/>
  <c r="C782" i="30004"/>
  <c r="B782" i="30004" s="1"/>
  <c r="C783" i="30004"/>
  <c r="B783" i="30004" s="1"/>
  <c r="C784" i="30004"/>
  <c r="B784" i="30004" s="1"/>
  <c r="C785" i="30004"/>
  <c r="B785" i="30004" s="1"/>
  <c r="C383" i="30004"/>
  <c r="B383" i="30004" s="1"/>
  <c r="C384" i="30004"/>
  <c r="B384" i="30004" s="1"/>
  <c r="C385" i="30004"/>
  <c r="B385" i="30004" s="1"/>
  <c r="C386" i="30004"/>
  <c r="B386" i="30004" s="1"/>
  <c r="C387" i="30004"/>
  <c r="B387" i="30004" s="1"/>
  <c r="C388" i="30004"/>
  <c r="B388" i="30004" s="1"/>
  <c r="C467" i="30004"/>
  <c r="B467" i="30004" s="1"/>
  <c r="C468" i="30004"/>
  <c r="B468" i="30004" s="1"/>
  <c r="C469" i="30004"/>
  <c r="B469" i="30004" s="1"/>
  <c r="C470" i="30004"/>
  <c r="B470" i="30004" s="1"/>
  <c r="C471" i="30004"/>
  <c r="B471" i="30004" s="1"/>
  <c r="C472" i="30004"/>
  <c r="B472" i="30004" s="1"/>
  <c r="C473" i="30004"/>
  <c r="B473" i="30004" s="1"/>
  <c r="C474" i="30004"/>
  <c r="B474" i="30004" s="1"/>
  <c r="C475" i="30004"/>
  <c r="B475" i="30004" s="1"/>
  <c r="C632" i="30004"/>
  <c r="B632" i="30004" s="1"/>
  <c r="C633" i="30004"/>
  <c r="B633" i="30004" s="1"/>
  <c r="C634" i="30004"/>
  <c r="B634" i="30004" s="1"/>
  <c r="C635" i="30004"/>
  <c r="B635" i="30004" s="1"/>
  <c r="C636" i="30004"/>
  <c r="B636" i="30004" s="1"/>
  <c r="C637" i="30004"/>
  <c r="B637" i="30004" s="1"/>
  <c r="C638" i="30004"/>
  <c r="B638" i="30004" s="1"/>
  <c r="C639" i="30004"/>
  <c r="B639" i="30004" s="1"/>
  <c r="C640" i="30004"/>
  <c r="B640" i="30004" s="1"/>
  <c r="C641" i="30004"/>
  <c r="B641" i="30004" s="1"/>
  <c r="C954" i="30004"/>
  <c r="B954" i="30004" s="1"/>
  <c r="C955" i="30004"/>
  <c r="B955" i="30004" s="1"/>
  <c r="C1086" i="30004"/>
  <c r="B1086" i="30004" s="1"/>
  <c r="C1087" i="30004"/>
  <c r="B1087" i="30004" s="1"/>
  <c r="C631" i="30004"/>
  <c r="B631" i="30004" s="1"/>
  <c r="C788" i="30004"/>
  <c r="B788" i="30004" s="1"/>
  <c r="C789" i="30004"/>
  <c r="B789" i="30004" s="1"/>
  <c r="C790" i="30004"/>
  <c r="B790" i="30004" s="1"/>
  <c r="C791" i="30004"/>
  <c r="B791" i="30004" s="1"/>
  <c r="C792" i="30004"/>
  <c r="B792" i="30004" s="1"/>
  <c r="C793" i="30004"/>
  <c r="B793" i="30004" s="1"/>
  <c r="C794" i="30004"/>
  <c r="B794" i="30004" s="1"/>
  <c r="C795" i="30004"/>
  <c r="B795" i="30004" s="1"/>
  <c r="C796" i="30004"/>
  <c r="B796" i="30004" s="1"/>
  <c r="C797" i="30004"/>
  <c r="B797" i="30004" s="1"/>
  <c r="C798" i="30004"/>
  <c r="B798" i="30004" s="1"/>
  <c r="C799" i="30004"/>
  <c r="B799" i="30004" s="1"/>
  <c r="C800" i="30004"/>
  <c r="B800" i="30004" s="1"/>
  <c r="C1713" i="30004"/>
  <c r="B1713" i="30004" s="1"/>
  <c r="C1714" i="30004"/>
  <c r="B1714" i="30004" s="1"/>
  <c r="C1715" i="30004"/>
  <c r="B1715" i="30004" s="1"/>
  <c r="C1716" i="30004"/>
  <c r="B1716" i="30004" s="1"/>
  <c r="C1717" i="30004"/>
  <c r="B1717" i="30004" s="1"/>
  <c r="C1718" i="30004"/>
  <c r="B1718" i="30004" s="1"/>
  <c r="C1719" i="30004"/>
  <c r="B1719" i="30004" s="1"/>
  <c r="C1720" i="30004"/>
  <c r="B1720" i="30004" s="1"/>
  <c r="C1721" i="30004"/>
  <c r="B1721" i="30004" s="1"/>
  <c r="C1722" i="30004"/>
  <c r="B1722" i="30004" s="1"/>
  <c r="C1723" i="30004"/>
  <c r="B1723" i="30004" s="1"/>
  <c r="C1724" i="30004"/>
  <c r="B1724" i="30004" s="1"/>
  <c r="C1725" i="30004"/>
  <c r="B1725" i="30004" s="1"/>
  <c r="C1726" i="30004"/>
  <c r="B1726" i="30004" s="1"/>
  <c r="C1727" i="30004"/>
  <c r="B1727" i="30004" s="1"/>
  <c r="C1728" i="30004"/>
  <c r="B1728" i="30004" s="1"/>
  <c r="C1729" i="30004"/>
  <c r="B1729" i="30004" s="1"/>
  <c r="C1730" i="30004"/>
  <c r="B1730" i="30004" s="1"/>
  <c r="C1073" i="30004"/>
  <c r="B1073" i="30004" s="1"/>
  <c r="C1074" i="30004"/>
  <c r="B1074" i="30004" s="1"/>
  <c r="C1075" i="30004"/>
  <c r="B1075" i="30004" s="1"/>
  <c r="C155" i="30004"/>
  <c r="B155" i="30004" s="1"/>
  <c r="C156" i="30004"/>
  <c r="B156" i="30004" s="1"/>
  <c r="C157" i="30004"/>
  <c r="B157" i="30004" s="1"/>
  <c r="C158" i="30004"/>
  <c r="B158" i="30004" s="1"/>
  <c r="C159" i="30004"/>
  <c r="B159" i="30004" s="1"/>
  <c r="C160" i="30004"/>
  <c r="B160" i="30004" s="1"/>
  <c r="C161" i="30004"/>
  <c r="B161" i="30004" s="1"/>
  <c r="C162" i="30004"/>
  <c r="B162" i="30004" s="1"/>
  <c r="C163" i="30004"/>
  <c r="B163" i="30004" s="1"/>
  <c r="C320" i="30004"/>
  <c r="B320" i="30004" s="1"/>
  <c r="C321" i="30004"/>
  <c r="B321" i="30004" s="1"/>
  <c r="C322" i="30004"/>
  <c r="B322" i="30004" s="1"/>
  <c r="C323" i="30004"/>
  <c r="B323" i="30004" s="1"/>
  <c r="C324" i="30004"/>
  <c r="B324" i="30004" s="1"/>
  <c r="C748" i="30004"/>
  <c r="B748" i="30004" s="1"/>
  <c r="C749" i="30004"/>
  <c r="B749" i="30004" s="1"/>
  <c r="C750" i="30004"/>
  <c r="B750" i="30004" s="1"/>
  <c r="C751" i="30004"/>
  <c r="B751" i="30004" s="1"/>
  <c r="C752" i="30004"/>
  <c r="B752" i="30004" s="1"/>
  <c r="C753" i="30004"/>
  <c r="B753" i="30004" s="1"/>
  <c r="C754" i="30004"/>
  <c r="B754" i="30004" s="1"/>
  <c r="C755" i="30004"/>
  <c r="B755" i="30004" s="1"/>
  <c r="C756" i="30004"/>
  <c r="B756" i="30004" s="1"/>
  <c r="C757" i="30004"/>
  <c r="B757" i="30004" s="1"/>
  <c r="C758" i="30004"/>
  <c r="B758" i="30004" s="1"/>
  <c r="C759" i="30004"/>
  <c r="B759" i="30004" s="1"/>
  <c r="C760" i="30004"/>
  <c r="B760" i="30004" s="1"/>
  <c r="C761" i="30004"/>
  <c r="B761" i="30004" s="1"/>
  <c r="C762" i="30004"/>
  <c r="B762" i="30004" s="1"/>
  <c r="C763" i="30004"/>
  <c r="B763" i="30004" s="1"/>
  <c r="C764" i="30004"/>
  <c r="B764" i="30004" s="1"/>
  <c r="C765" i="30004"/>
  <c r="B765" i="30004" s="1"/>
  <c r="C766" i="30004"/>
  <c r="B766" i="30004" s="1"/>
  <c r="C767" i="30004"/>
  <c r="B767" i="30004" s="1"/>
  <c r="C768" i="30004"/>
  <c r="B768" i="30004" s="1"/>
  <c r="C769" i="30004"/>
  <c r="B769" i="30004" s="1"/>
  <c r="C770" i="30004"/>
  <c r="B770" i="30004" s="1"/>
  <c r="C771" i="30004"/>
  <c r="B771" i="30004" s="1"/>
  <c r="C772" i="30004"/>
  <c r="B772" i="30004" s="1"/>
  <c r="C929" i="30004"/>
  <c r="B929" i="30004" s="1"/>
  <c r="C930" i="30004"/>
  <c r="B930" i="30004" s="1"/>
  <c r="C931" i="30004"/>
  <c r="B931" i="30004" s="1"/>
  <c r="C932" i="30004"/>
  <c r="B932" i="30004" s="1"/>
  <c r="C933" i="30004"/>
  <c r="B933" i="30004" s="1"/>
  <c r="C934" i="30004"/>
  <c r="B934" i="30004" s="1"/>
  <c r="C1013" i="30004"/>
  <c r="B1013" i="30004" s="1"/>
  <c r="C1014" i="30004"/>
  <c r="B1014" i="30004" s="1"/>
  <c r="C1015" i="30004"/>
  <c r="B1015" i="30004" s="1"/>
  <c r="C1016" i="30004"/>
  <c r="B1016" i="30004" s="1"/>
  <c r="C330" i="30004"/>
  <c r="B330" i="30004" s="1"/>
  <c r="C331" i="30004"/>
  <c r="B331" i="30004" s="1"/>
  <c r="C956" i="30004"/>
  <c r="B956" i="30004" s="1"/>
  <c r="C957" i="30004"/>
  <c r="B957" i="30004" s="1"/>
  <c r="C958" i="30004"/>
  <c r="B958" i="30004" s="1"/>
  <c r="C959" i="30004"/>
  <c r="B959" i="30004" s="1"/>
  <c r="C960" i="30004"/>
  <c r="B960" i="30004" s="1"/>
  <c r="C961" i="30004"/>
  <c r="B961" i="30004" s="1"/>
  <c r="C962" i="30004"/>
  <c r="B962" i="30004" s="1"/>
  <c r="C963" i="30004"/>
  <c r="B963" i="30004" s="1"/>
  <c r="C964" i="30004"/>
  <c r="B964" i="30004" s="1"/>
  <c r="C1351" i="30004"/>
  <c r="B1351" i="30004" s="1"/>
  <c r="C1352" i="30004"/>
  <c r="B1352" i="30004" s="1"/>
  <c r="C1685" i="30004"/>
  <c r="B1685" i="30004" s="1"/>
  <c r="C1686" i="30004"/>
  <c r="B1686" i="30004" s="1"/>
  <c r="C1045" i="30004"/>
  <c r="B1045" i="30004" s="1"/>
  <c r="C1046" i="30004"/>
  <c r="B1046" i="30004" s="1"/>
  <c r="C1047" i="30004"/>
  <c r="B1047" i="30004" s="1"/>
  <c r="C1048" i="30004"/>
  <c r="B1048" i="30004" s="1"/>
  <c r="C1049" i="30004"/>
  <c r="B1049" i="30004" s="1"/>
  <c r="C1050" i="30004"/>
  <c r="B1050" i="30004" s="1"/>
  <c r="C1051" i="30004"/>
  <c r="B1051" i="30004" s="1"/>
  <c r="C1052" i="30004"/>
  <c r="B1052" i="30004" s="1"/>
  <c r="C1053" i="30004"/>
  <c r="B1053" i="30004" s="1"/>
  <c r="C1054" i="30004"/>
  <c r="B1054" i="30004" s="1"/>
  <c r="C516" i="30004"/>
  <c r="B516" i="30004" s="1"/>
  <c r="C517" i="30004"/>
  <c r="B517" i="30004" s="1"/>
  <c r="C518" i="30004"/>
  <c r="B518" i="30004" s="1"/>
  <c r="C519" i="30004"/>
  <c r="B519" i="30004" s="1"/>
  <c r="C520" i="30004"/>
  <c r="B520" i="30004" s="1"/>
  <c r="C521" i="30004"/>
  <c r="B521" i="30004" s="1"/>
  <c r="C522" i="30004"/>
  <c r="B522" i="30004" s="1"/>
  <c r="C1499" i="30004"/>
  <c r="B1499" i="30004" s="1"/>
  <c r="C1500" i="30004"/>
  <c r="B1500" i="30004" s="1"/>
  <c r="C1501" i="30004"/>
  <c r="B1501" i="30004" s="1"/>
  <c r="C1502" i="30004"/>
  <c r="B1502" i="30004" s="1"/>
  <c r="C1503" i="30004"/>
  <c r="B1503" i="30004" s="1"/>
  <c r="C1504" i="30004"/>
  <c r="B1504" i="30004" s="1"/>
  <c r="C1505" i="30004"/>
  <c r="B1505" i="30004" s="1"/>
  <c r="C1506" i="30004"/>
  <c r="B1506" i="30004" s="1"/>
  <c r="C1507" i="30004"/>
  <c r="B1507" i="30004" s="1"/>
  <c r="C1508" i="30004"/>
  <c r="B1508" i="30004" s="1"/>
  <c r="C1509" i="30004"/>
  <c r="B1509" i="30004" s="1"/>
  <c r="C1404" i="30004"/>
  <c r="B1404" i="30004" s="1"/>
  <c r="C1405" i="30004"/>
  <c r="B1405" i="30004" s="1"/>
  <c r="C1406" i="30004"/>
  <c r="B1406" i="30004" s="1"/>
  <c r="C1407" i="30004"/>
  <c r="B1407" i="30004" s="1"/>
  <c r="C1408" i="30004"/>
  <c r="B1408" i="30004" s="1"/>
  <c r="C1409" i="30004"/>
  <c r="B1409" i="30004" s="1"/>
  <c r="C1478" i="30004"/>
  <c r="B1478" i="30004" s="1"/>
  <c r="C1479" i="30004"/>
  <c r="B1479" i="30004" s="1"/>
  <c r="C1480" i="30004"/>
  <c r="B1480" i="30004" s="1"/>
  <c r="C1481" i="30004"/>
  <c r="B1481" i="30004" s="1"/>
  <c r="C1482" i="30004"/>
  <c r="B1482" i="30004" s="1"/>
  <c r="C1483" i="30004"/>
  <c r="B1483" i="30004" s="1"/>
  <c r="C305" i="30004"/>
  <c r="B305" i="30004" s="1"/>
  <c r="C306" i="30004"/>
  <c r="B306" i="30004" s="1"/>
  <c r="C307" i="30004"/>
  <c r="B307" i="30004" s="1"/>
  <c r="C308" i="30004"/>
  <c r="B308" i="30004" s="1"/>
  <c r="C309" i="30004"/>
  <c r="B309" i="30004" s="1"/>
  <c r="C310" i="30004"/>
  <c r="B310" i="30004" s="1"/>
  <c r="C389" i="30004"/>
  <c r="B389" i="30004" s="1"/>
  <c r="C390" i="30004"/>
  <c r="B390" i="30004" s="1"/>
  <c r="C391" i="30004"/>
  <c r="B391" i="30004" s="1"/>
  <c r="C392" i="30004"/>
  <c r="B392" i="30004" s="1"/>
  <c r="C705" i="30004"/>
  <c r="B705" i="30004" s="1"/>
  <c r="C706" i="30004"/>
  <c r="B706" i="30004" s="1"/>
  <c r="C332" i="30004"/>
  <c r="B332" i="30004" s="1"/>
  <c r="C333" i="30004"/>
  <c r="B333" i="30004" s="1"/>
  <c r="C1088" i="30004"/>
  <c r="B1088" i="30004" s="1"/>
  <c r="C1089" i="30004"/>
  <c r="B1089" i="30004" s="1"/>
  <c r="C1090" i="30004"/>
  <c r="B1090" i="30004" s="1"/>
  <c r="C1091" i="30004"/>
  <c r="B1091" i="30004" s="1"/>
  <c r="C1092" i="30004"/>
  <c r="B1092" i="30004" s="1"/>
  <c r="C1093" i="30004"/>
  <c r="B1093" i="30004" s="1"/>
  <c r="C1094" i="30004"/>
  <c r="B1094" i="30004" s="1"/>
  <c r="C1095" i="30004"/>
  <c r="B1095" i="30004" s="1"/>
  <c r="C1096" i="30004"/>
  <c r="B1096" i="30004" s="1"/>
  <c r="C1097" i="30004"/>
  <c r="B1097" i="30004" s="1"/>
  <c r="C1098" i="30004"/>
  <c r="B1098" i="30004" s="1"/>
  <c r="C1099" i="30004"/>
  <c r="B1099" i="30004" s="1"/>
  <c r="C1100" i="30004"/>
  <c r="B1100" i="30004" s="1"/>
  <c r="C1101" i="30004"/>
  <c r="B1101" i="30004" s="1"/>
  <c r="C1102" i="30004"/>
  <c r="B1102" i="30004" s="1"/>
  <c r="C1103" i="30004"/>
  <c r="B1103" i="30004" s="1"/>
  <c r="C1104" i="30004"/>
  <c r="B1104" i="30004" s="1"/>
  <c r="C1105" i="30004"/>
  <c r="B1105" i="30004" s="1"/>
  <c r="C1106" i="30004"/>
  <c r="B1106" i="30004" s="1"/>
  <c r="C1107" i="30004"/>
  <c r="B1107" i="30004" s="1"/>
  <c r="C1108" i="30004"/>
  <c r="B1108" i="30004" s="1"/>
  <c r="C1109" i="30004"/>
  <c r="B1109" i="30004" s="1"/>
  <c r="C1110" i="30004"/>
  <c r="B1110" i="30004" s="1"/>
  <c r="C1111" i="30004"/>
  <c r="B1111" i="30004" s="1"/>
  <c r="C1331" i="30004"/>
  <c r="B1331" i="30004" s="1"/>
  <c r="C1332" i="30004"/>
  <c r="B1332" i="30004" s="1"/>
  <c r="C1333" i="30004"/>
  <c r="B1333" i="30004" s="1"/>
  <c r="C1334" i="30004"/>
  <c r="B1334" i="30004" s="1"/>
  <c r="C1335" i="30004"/>
  <c r="B1335" i="30004" s="1"/>
  <c r="C1123" i="30004"/>
  <c r="B1123" i="30004" s="1"/>
  <c r="C1124" i="30004"/>
  <c r="B1124" i="30004" s="1"/>
  <c r="C1125" i="30004"/>
  <c r="B1125" i="30004" s="1"/>
  <c r="C1126" i="30004"/>
  <c r="B1126" i="30004" s="1"/>
  <c r="C1127" i="30004"/>
  <c r="B1127" i="30004" s="1"/>
  <c r="C598" i="30004"/>
  <c r="B598" i="30004" s="1"/>
  <c r="C599" i="30004"/>
  <c r="B599" i="30004" s="1"/>
  <c r="C600" i="30004"/>
  <c r="B600" i="30004" s="1"/>
  <c r="C601" i="30004"/>
  <c r="B601" i="30004" s="1"/>
  <c r="C602" i="30004"/>
  <c r="B602" i="30004" s="1"/>
  <c r="C603" i="30004"/>
  <c r="B603" i="30004" s="1"/>
  <c r="C604" i="30004"/>
  <c r="B604" i="30004" s="1"/>
  <c r="C302" i="30004"/>
  <c r="B302" i="30004" s="1"/>
  <c r="C303" i="30004"/>
  <c r="B303" i="30004" s="1"/>
  <c r="C304" i="30004"/>
  <c r="B304" i="30004" s="1"/>
  <c r="C461" i="30004"/>
  <c r="B461" i="30004" s="1"/>
  <c r="C462" i="30004"/>
  <c r="B462" i="30004" s="1"/>
  <c r="C463" i="30004"/>
  <c r="B463" i="30004" s="1"/>
  <c r="C464" i="30004"/>
  <c r="B464" i="30004" s="1"/>
  <c r="C465" i="30004"/>
  <c r="B465" i="30004" s="1"/>
  <c r="C466" i="30004"/>
  <c r="B466" i="30004" s="1"/>
  <c r="C545" i="30004"/>
  <c r="B545" i="30004" s="1"/>
  <c r="C546" i="30004"/>
  <c r="B546" i="30004" s="1"/>
  <c r="C547" i="30004"/>
  <c r="B547" i="30004" s="1"/>
  <c r="C548" i="30004"/>
  <c r="B548" i="30004" s="1"/>
  <c r="C549" i="30004"/>
  <c r="B549" i="30004" s="1"/>
  <c r="C550" i="30004"/>
  <c r="B550" i="30004" s="1"/>
  <c r="C551" i="30004"/>
  <c r="B551" i="30004" s="1"/>
  <c r="C123" i="30004"/>
  <c r="B123" i="30004" s="1"/>
  <c r="C124" i="30004"/>
  <c r="B124" i="30004" s="1"/>
  <c r="C125" i="30004"/>
  <c r="B125" i="30004" s="1"/>
  <c r="C126" i="30004"/>
  <c r="B126" i="30004" s="1"/>
  <c r="C127" i="30004"/>
  <c r="B127" i="30004" s="1"/>
  <c r="C128" i="30004"/>
  <c r="B128" i="30004" s="1"/>
  <c r="C129" i="30004"/>
  <c r="B129" i="30004" s="1"/>
  <c r="C130" i="30004"/>
  <c r="B130" i="30004" s="1"/>
  <c r="C131" i="30004"/>
  <c r="B131" i="30004" s="1"/>
  <c r="C132" i="30004"/>
  <c r="B132" i="30004" s="1"/>
  <c r="C133" i="30004"/>
  <c r="B133" i="30004" s="1"/>
  <c r="C134" i="30004"/>
  <c r="B134" i="30004" s="1"/>
  <c r="C135" i="30004"/>
  <c r="B135" i="30004" s="1"/>
  <c r="C136" i="30004"/>
  <c r="B136" i="30004" s="1"/>
  <c r="C137" i="30004"/>
  <c r="B137" i="30004" s="1"/>
  <c r="C138" i="30004"/>
  <c r="B138" i="30004" s="1"/>
  <c r="C139" i="30004"/>
  <c r="B139" i="30004" s="1"/>
  <c r="C140" i="30004"/>
  <c r="B140" i="30004" s="1"/>
  <c r="C141" i="30004"/>
  <c r="B141" i="30004" s="1"/>
  <c r="C142" i="30004"/>
  <c r="B142" i="30004" s="1"/>
  <c r="C143" i="30004"/>
  <c r="B143" i="30004" s="1"/>
  <c r="C144" i="30004"/>
  <c r="B144" i="30004" s="1"/>
  <c r="C145" i="30004"/>
  <c r="B145" i="30004" s="1"/>
  <c r="C146" i="30004"/>
  <c r="B146" i="30004" s="1"/>
  <c r="C147" i="30004"/>
  <c r="B147" i="30004" s="1"/>
  <c r="C148" i="30004"/>
  <c r="B148" i="30004" s="1"/>
  <c r="C149" i="30004"/>
  <c r="B149" i="30004" s="1"/>
  <c r="C150" i="30004"/>
  <c r="B150" i="30004" s="1"/>
  <c r="C1419" i="30004"/>
  <c r="B1419" i="30004" s="1"/>
  <c r="C1420" i="30004"/>
  <c r="B1420" i="30004" s="1"/>
  <c r="C1421" i="30004"/>
  <c r="B1421" i="30004" s="1"/>
  <c r="C1422" i="30004"/>
  <c r="B1422" i="30004" s="1"/>
  <c r="C1423" i="30004"/>
  <c r="B1423" i="30004" s="1"/>
  <c r="C1424" i="30004"/>
  <c r="B1424" i="30004" s="1"/>
  <c r="C1425" i="30004"/>
  <c r="B1425" i="30004" s="1"/>
  <c r="C1426" i="30004"/>
  <c r="B1426" i="30004" s="1"/>
  <c r="C1427" i="30004"/>
  <c r="B1427" i="30004" s="1"/>
  <c r="C1428" i="30004"/>
  <c r="B1428" i="30004" s="1"/>
  <c r="C1429" i="30004"/>
  <c r="B1429" i="30004" s="1"/>
  <c r="C1430" i="30004"/>
  <c r="B1430" i="30004" s="1"/>
  <c r="C1431" i="30004"/>
  <c r="B1431" i="30004" s="1"/>
  <c r="C177" i="30004"/>
  <c r="B177" i="30004" s="1"/>
  <c r="C178" i="30004"/>
  <c r="B178" i="30004" s="1"/>
  <c r="C179" i="30004"/>
  <c r="B179" i="30004" s="1"/>
  <c r="C1527" i="30004"/>
  <c r="B1527" i="30004" s="1"/>
  <c r="C1528" i="30004"/>
  <c r="B1528" i="30004" s="1"/>
  <c r="C1529" i="30004"/>
  <c r="B1529" i="30004" s="1"/>
  <c r="C1530" i="30004"/>
  <c r="B1530" i="30004" s="1"/>
  <c r="C1531" i="30004"/>
  <c r="B1531" i="30004" s="1"/>
  <c r="C1738" i="30004"/>
  <c r="B1738" i="30004" s="1"/>
  <c r="C1739" i="30004"/>
  <c r="B1739" i="30004" s="1"/>
  <c r="C1740" i="30004"/>
  <c r="B1740" i="30004" s="1"/>
  <c r="C1741" i="30004"/>
  <c r="B1741" i="30004" s="1"/>
  <c r="C327" i="30004"/>
  <c r="B327" i="30004" s="1"/>
  <c r="C328" i="30004"/>
  <c r="B328" i="30004" s="1"/>
  <c r="C329" i="30004"/>
  <c r="B329" i="30004" s="1"/>
  <c r="C642" i="30004"/>
  <c r="B642" i="30004" s="1"/>
  <c r="C643" i="30004"/>
  <c r="B643" i="30004" s="1"/>
  <c r="C644" i="30004"/>
  <c r="B644" i="30004" s="1"/>
  <c r="C645" i="30004"/>
  <c r="B645" i="30004" s="1"/>
  <c r="C646" i="30004"/>
  <c r="B646" i="30004" s="1"/>
  <c r="C647" i="30004"/>
  <c r="B647" i="30004" s="1"/>
  <c r="C648" i="30004"/>
  <c r="B648" i="30004" s="1"/>
  <c r="C649" i="30004"/>
  <c r="B649" i="30004" s="1"/>
  <c r="C650" i="30004"/>
  <c r="B650" i="30004" s="1"/>
  <c r="C651" i="30004"/>
  <c r="B651" i="30004" s="1"/>
  <c r="C652" i="30004"/>
  <c r="B652" i="30004" s="1"/>
  <c r="C653" i="30004"/>
  <c r="B653" i="30004" s="1"/>
  <c r="C654" i="30004"/>
  <c r="B654" i="30004" s="1"/>
  <c r="C655" i="30004"/>
  <c r="B655" i="30004" s="1"/>
  <c r="C656" i="30004"/>
  <c r="B656" i="30004" s="1"/>
  <c r="C657" i="30004"/>
  <c r="B657" i="30004" s="1"/>
  <c r="C658" i="30004"/>
  <c r="B658" i="30004" s="1"/>
  <c r="C659" i="30004"/>
  <c r="B659" i="30004" s="1"/>
  <c r="C660" i="30004"/>
  <c r="B660" i="30004" s="1"/>
  <c r="C661" i="30004"/>
  <c r="B661" i="30004" s="1"/>
  <c r="C662" i="30004"/>
  <c r="B662" i="30004" s="1"/>
  <c r="C663" i="30004"/>
  <c r="B663" i="30004" s="1"/>
  <c r="C664" i="30004"/>
  <c r="B664" i="30004" s="1"/>
  <c r="C665" i="30004"/>
  <c r="B665" i="30004" s="1"/>
  <c r="C666" i="30004"/>
  <c r="B666" i="30004" s="1"/>
  <c r="C667" i="30004"/>
  <c r="B667" i="30004" s="1"/>
  <c r="C668" i="30004"/>
  <c r="B668" i="30004" s="1"/>
  <c r="C669" i="30004"/>
  <c r="B669" i="30004" s="1"/>
  <c r="C670" i="30004"/>
  <c r="B670" i="30004" s="1"/>
  <c r="C671" i="30004"/>
  <c r="B671" i="30004" s="1"/>
  <c r="C672" i="30004"/>
  <c r="B672" i="30004" s="1"/>
  <c r="C1386" i="30004"/>
  <c r="B1386" i="30004" s="1"/>
  <c r="C1387" i="30004"/>
  <c r="B1387" i="30004" s="1"/>
  <c r="C1388" i="30004"/>
  <c r="B1388" i="30004" s="1"/>
  <c r="C1389" i="30004"/>
  <c r="B1389" i="30004" s="1"/>
  <c r="C1390" i="30004"/>
  <c r="B1390" i="30004" s="1"/>
  <c r="C1391" i="30004"/>
  <c r="B1391" i="30004" s="1"/>
  <c r="C1392" i="30004"/>
  <c r="B1392" i="30004" s="1"/>
  <c r="C1393" i="30004"/>
  <c r="B1393" i="30004" s="1"/>
  <c r="C1394" i="30004"/>
  <c r="B1394" i="30004" s="1"/>
  <c r="C1395" i="30004"/>
  <c r="B1395" i="30004" s="1"/>
  <c r="C1396" i="30004"/>
  <c r="B1396" i="30004" s="1"/>
  <c r="C1397" i="30004"/>
  <c r="B1397" i="30004" s="1"/>
  <c r="C1398" i="30004"/>
  <c r="B1398" i="30004" s="1"/>
  <c r="C1399" i="30004"/>
  <c r="B1399" i="30004" s="1"/>
  <c r="C1400" i="30004"/>
  <c r="B1400" i="30004" s="1"/>
  <c r="C1401" i="30004"/>
  <c r="B1401" i="30004" s="1"/>
  <c r="C1402" i="30004"/>
  <c r="B1402" i="30004" s="1"/>
  <c r="C1403" i="30004"/>
  <c r="B1403" i="30004" s="1"/>
  <c r="C119" i="30004"/>
  <c r="B119" i="30004" s="1"/>
  <c r="C120" i="30004"/>
  <c r="B120" i="30004" s="1"/>
  <c r="C121" i="30004"/>
  <c r="B121" i="30004" s="1"/>
  <c r="C122" i="30004"/>
  <c r="B122" i="30004" s="1"/>
  <c r="C1577" i="30004"/>
  <c r="B1577" i="30004" s="1"/>
  <c r="C1578" i="30004"/>
  <c r="B1578" i="30004" s="1"/>
  <c r="C1579" i="30004"/>
  <c r="B1579" i="30004" s="1"/>
  <c r="C1580" i="30004"/>
  <c r="B1580" i="30004" s="1"/>
  <c r="C1581" i="30004"/>
  <c r="B1581" i="30004" s="1"/>
  <c r="C1582" i="30004"/>
  <c r="B1582" i="30004" s="1"/>
  <c r="C1583" i="30004"/>
  <c r="B1583" i="30004" s="1"/>
  <c r="C1584" i="30004"/>
  <c r="B1584" i="30004" s="1"/>
  <c r="C1585" i="30004"/>
  <c r="B1585" i="30004" s="1"/>
  <c r="C1586" i="30004"/>
  <c r="B1586" i="30004" s="1"/>
  <c r="C1587" i="30004"/>
  <c r="B1587" i="30004" s="1"/>
  <c r="C1588" i="30004"/>
  <c r="B1588" i="30004" s="1"/>
  <c r="C1589" i="30004"/>
  <c r="B1589" i="30004" s="1"/>
  <c r="C680" i="30004"/>
  <c r="B680" i="30004" s="1"/>
  <c r="C681" i="30004"/>
  <c r="B681" i="30004" s="1"/>
  <c r="C682" i="30004"/>
  <c r="B682" i="30004" s="1"/>
  <c r="C683" i="30004"/>
  <c r="B683" i="30004" s="1"/>
  <c r="C684" i="30004"/>
  <c r="B684" i="30004" s="1"/>
  <c r="C685" i="30004"/>
  <c r="B685" i="30004" s="1"/>
  <c r="C686" i="30004"/>
  <c r="B686" i="30004" s="1"/>
  <c r="C687" i="30004"/>
  <c r="B687" i="30004" s="1"/>
  <c r="C688" i="30004"/>
  <c r="B688" i="30004" s="1"/>
  <c r="C689" i="30004"/>
  <c r="B689" i="30004" s="1"/>
  <c r="C690" i="30004"/>
  <c r="B690" i="30004" s="1"/>
  <c r="C95" i="30004"/>
  <c r="B95" i="30004" s="1"/>
  <c r="C96" i="30004"/>
  <c r="B96" i="30004" s="1"/>
  <c r="C97" i="30004"/>
  <c r="B97" i="30004" s="1"/>
  <c r="C98" i="30004"/>
  <c r="B98" i="30004" s="1"/>
  <c r="C99" i="30004"/>
  <c r="B99" i="30004" s="1"/>
  <c r="C100" i="30004"/>
  <c r="B100" i="30004" s="1"/>
  <c r="C101" i="30004"/>
  <c r="B101" i="30004" s="1"/>
  <c r="C102" i="30004"/>
  <c r="B102" i="30004" s="1"/>
  <c r="C103" i="30004"/>
  <c r="B103" i="30004" s="1"/>
  <c r="C104" i="30004"/>
  <c r="B104" i="30004" s="1"/>
  <c r="C1441" i="30004"/>
  <c r="B1441" i="30004" s="1"/>
  <c r="C1442" i="30004"/>
  <c r="B1442" i="30004" s="1"/>
  <c r="C1443" i="30004"/>
  <c r="B1443" i="30004" s="1"/>
  <c r="C1444" i="30004"/>
  <c r="B1444" i="30004" s="1"/>
  <c r="C1445" i="30004"/>
  <c r="B1445" i="30004" s="1"/>
  <c r="C1446" i="30004"/>
  <c r="B1446" i="30004" s="1"/>
  <c r="C1447" i="30004"/>
  <c r="B1447" i="30004" s="1"/>
  <c r="C232" i="30004"/>
  <c r="B232" i="30004" s="1"/>
  <c r="C311" i="30004"/>
  <c r="B311" i="30004" s="1"/>
  <c r="C312" i="30004"/>
  <c r="B312" i="30004" s="1"/>
  <c r="C313" i="30004"/>
  <c r="B313" i="30004" s="1"/>
  <c r="C314" i="30004"/>
  <c r="B314" i="30004" s="1"/>
  <c r="C627" i="30004"/>
  <c r="B627" i="30004" s="1"/>
  <c r="C628" i="30004"/>
  <c r="B628" i="30004" s="1"/>
  <c r="C629" i="30004"/>
  <c r="B629" i="30004" s="1"/>
  <c r="C630" i="30004"/>
  <c r="B630" i="30004" s="1"/>
  <c r="C1021" i="30004"/>
  <c r="B1021" i="30004" s="1"/>
  <c r="C1022" i="30004"/>
  <c r="B1022" i="30004" s="1"/>
  <c r="C1023" i="30004"/>
  <c r="B1023" i="30004" s="1"/>
  <c r="C1024" i="30004"/>
  <c r="B1024" i="30004" s="1"/>
  <c r="C1025" i="30004"/>
  <c r="B1025" i="30004" s="1"/>
  <c r="C1026" i="30004"/>
  <c r="B1026" i="30004" s="1"/>
  <c r="C1027" i="30004"/>
  <c r="B1027" i="30004" s="1"/>
  <c r="C1028" i="30004"/>
  <c r="B1028" i="30004" s="1"/>
  <c r="C1029" i="30004"/>
  <c r="B1029" i="30004" s="1"/>
  <c r="C1030" i="30004"/>
  <c r="B1030" i="30004" s="1"/>
  <c r="C1031" i="30004"/>
  <c r="B1031" i="30004" s="1"/>
  <c r="C1032" i="30004"/>
  <c r="B1032" i="30004" s="1"/>
  <c r="C1033" i="30004"/>
  <c r="B1033" i="30004" s="1"/>
  <c r="C1034" i="30004"/>
  <c r="B1034" i="30004" s="1"/>
  <c r="C1035" i="30004"/>
  <c r="B1035" i="30004" s="1"/>
  <c r="C1036" i="30004"/>
  <c r="B1036" i="30004" s="1"/>
  <c r="C1037" i="30004"/>
  <c r="B1037" i="30004" s="1"/>
  <c r="C1038" i="30004"/>
  <c r="B1038" i="30004" s="1"/>
  <c r="C1039" i="30004"/>
  <c r="B1039" i="30004" s="1"/>
  <c r="C1040" i="30004"/>
  <c r="B1040" i="30004" s="1"/>
  <c r="C1041" i="30004"/>
  <c r="B1041" i="30004" s="1"/>
  <c r="C1042" i="30004"/>
  <c r="B1042" i="30004" s="1"/>
  <c r="C1043" i="30004"/>
  <c r="B1043" i="30004" s="1"/>
  <c r="C1044" i="30004"/>
  <c r="B1044" i="30004" s="1"/>
  <c r="C588" i="30004"/>
  <c r="B588" i="30004" s="1"/>
  <c r="C589" i="30004"/>
  <c r="B589" i="30004" s="1"/>
  <c r="C590" i="30004"/>
  <c r="B590" i="30004" s="1"/>
  <c r="C591" i="30004"/>
  <c r="B591" i="30004" s="1"/>
  <c r="C592" i="30004"/>
  <c r="B592" i="30004" s="1"/>
  <c r="C593" i="30004"/>
  <c r="B593" i="30004" s="1"/>
  <c r="C594" i="30004"/>
  <c r="B594" i="30004" s="1"/>
  <c r="C595" i="30004"/>
  <c r="B595" i="30004" s="1"/>
  <c r="C596" i="30004"/>
  <c r="B596" i="30004" s="1"/>
  <c r="C597" i="30004"/>
  <c r="B597" i="30004" s="1"/>
  <c r="C348" i="30004"/>
  <c r="B348" i="30004" s="1"/>
  <c r="C349" i="30004"/>
  <c r="B349" i="30004" s="1"/>
  <c r="C350" i="30004"/>
  <c r="B350" i="30004" s="1"/>
  <c r="C351" i="30004"/>
  <c r="B351" i="30004" s="1"/>
  <c r="C352" i="30004"/>
  <c r="B352" i="30004" s="1"/>
  <c r="C353" i="30004"/>
  <c r="B353" i="30004" s="1"/>
  <c r="C354" i="30004"/>
  <c r="B354" i="30004" s="1"/>
  <c r="C1062" i="30004"/>
  <c r="B1062" i="30004" s="1"/>
  <c r="C1063" i="30004"/>
  <c r="B1063" i="30004" s="1"/>
  <c r="C1064" i="30004"/>
  <c r="B1064" i="30004" s="1"/>
  <c r="C1065" i="30004"/>
  <c r="B1065" i="30004" s="1"/>
  <c r="C1066" i="30004"/>
  <c r="B1066" i="30004" s="1"/>
  <c r="C1067" i="30004"/>
  <c r="B1067" i="30004" s="1"/>
  <c r="C1068" i="30004"/>
  <c r="B1068" i="30004" s="1"/>
  <c r="C1069" i="30004"/>
  <c r="B1069" i="30004" s="1"/>
  <c r="C1070" i="30004"/>
  <c r="B1070" i="30004" s="1"/>
  <c r="C1071" i="30004"/>
  <c r="B1071" i="30004" s="1"/>
  <c r="C1072" i="30004"/>
  <c r="B1072" i="30004" s="1"/>
  <c r="C1348" i="30004"/>
  <c r="B1348" i="30004" s="1"/>
  <c r="C1349" i="30004"/>
  <c r="B1349" i="30004" s="1"/>
  <c r="C1350" i="30004"/>
  <c r="B1350" i="30004" s="1"/>
  <c r="C1307" i="30004"/>
  <c r="B1307" i="30004" s="1"/>
  <c r="C1308" i="30004"/>
  <c r="B1308" i="30004" s="1"/>
  <c r="C1309" i="30004"/>
  <c r="B1309" i="30004" s="1"/>
  <c r="C1310" i="30004"/>
  <c r="B1310" i="30004" s="1"/>
  <c r="C1311" i="30004"/>
  <c r="B1311" i="30004" s="1"/>
  <c r="C1312" i="30004"/>
  <c r="B1312" i="30004" s="1"/>
  <c r="C1313" i="30004"/>
  <c r="B1313" i="30004" s="1"/>
  <c r="C1314" i="30004"/>
  <c r="B1314" i="30004" s="1"/>
  <c r="C1315" i="30004"/>
  <c r="B1315" i="30004" s="1"/>
  <c r="C1316" i="30004"/>
  <c r="B1316" i="30004" s="1"/>
  <c r="C1317" i="30004"/>
  <c r="B1317" i="30004" s="1"/>
  <c r="C1318" i="30004"/>
  <c r="B1318" i="30004" s="1"/>
  <c r="C1319" i="30004"/>
  <c r="B1319" i="30004" s="1"/>
  <c r="C1320" i="30004"/>
  <c r="B1320" i="30004" s="1"/>
  <c r="C1321" i="30004"/>
  <c r="B1321" i="30004" s="1"/>
  <c r="C1322" i="30004"/>
  <c r="B1322" i="30004" s="1"/>
  <c r="C1323" i="30004"/>
  <c r="B1323" i="30004" s="1"/>
  <c r="C1324" i="30004"/>
  <c r="B1324" i="30004" s="1"/>
  <c r="C1325" i="30004"/>
  <c r="B1325" i="30004" s="1"/>
  <c r="C1326" i="30004"/>
  <c r="B1326" i="30004" s="1"/>
  <c r="C1327" i="30004"/>
  <c r="B1327" i="30004" s="1"/>
  <c r="C1328" i="30004"/>
  <c r="B1328" i="30004" s="1"/>
  <c r="C1329" i="30004"/>
  <c r="B1329" i="30004" s="1"/>
  <c r="C1330" i="30004"/>
  <c r="B1330" i="30004" s="1"/>
  <c r="C1745" i="30004"/>
  <c r="B1745" i="30004" s="1"/>
  <c r="C1746" i="30004"/>
  <c r="B1746" i="30004" s="1"/>
  <c r="C1747" i="30004"/>
  <c r="B1747" i="30004" s="1"/>
  <c r="C1748" i="30004"/>
  <c r="B1748" i="30004" s="1"/>
  <c r="C1749" i="30004"/>
  <c r="B1749" i="30004" s="1"/>
  <c r="C1750" i="30004"/>
  <c r="B1750" i="30004" s="1"/>
  <c r="C1751" i="30004"/>
  <c r="C151" i="30004"/>
  <c r="B151" i="30004" s="1"/>
  <c r="C152" i="30004"/>
  <c r="B152" i="30004" s="1"/>
  <c r="C153" i="30004"/>
  <c r="B153" i="30004" s="1"/>
  <c r="C154" i="30004"/>
  <c r="B154" i="30004" s="1"/>
  <c r="C233" i="30004"/>
  <c r="B233" i="30004" s="1"/>
  <c r="C786" i="30004"/>
  <c r="B786" i="30004" s="1"/>
  <c r="C787" i="30004"/>
  <c r="B787" i="30004" s="1"/>
  <c r="C944" i="30004"/>
  <c r="B944" i="30004" s="1"/>
  <c r="C945" i="30004"/>
  <c r="B945" i="30004" s="1"/>
  <c r="C946" i="30004"/>
  <c r="B946" i="30004" s="1"/>
  <c r="C947" i="30004"/>
  <c r="B947" i="30004" s="1"/>
  <c r="C948" i="30004"/>
  <c r="B948" i="30004" s="1"/>
  <c r="C614" i="30004"/>
  <c r="B614" i="30004" s="1"/>
  <c r="C615" i="30004"/>
  <c r="B615" i="30004" s="1"/>
  <c r="C943" i="30004"/>
  <c r="B943" i="30004" s="1"/>
  <c r="C1353" i="30004"/>
  <c r="B1353" i="30004" s="1"/>
  <c r="C1354" i="30004"/>
  <c r="B1354" i="30004" s="1"/>
  <c r="C1355" i="30004"/>
  <c r="B1355" i="30004" s="1"/>
  <c r="C1356" i="30004"/>
  <c r="B1356" i="30004" s="1"/>
  <c r="C1357" i="30004"/>
  <c r="B1357" i="30004" s="1"/>
  <c r="C1358" i="30004"/>
  <c r="B1358" i="30004" s="1"/>
  <c r="C1359" i="30004"/>
  <c r="B1359" i="30004" s="1"/>
  <c r="C1360" i="30004"/>
  <c r="B1360" i="30004" s="1"/>
  <c r="C1361" i="30004"/>
  <c r="B1361" i="30004" s="1"/>
  <c r="C1362" i="30004"/>
  <c r="B1362" i="30004" s="1"/>
  <c r="C1363" i="30004"/>
  <c r="B1363" i="30004" s="1"/>
  <c r="C1364" i="30004"/>
  <c r="B1364" i="30004" s="1"/>
  <c r="C1365" i="30004"/>
  <c r="B1365" i="30004" s="1"/>
  <c r="C1366" i="30004"/>
  <c r="B1366" i="30004" s="1"/>
  <c r="C1367" i="30004"/>
  <c r="B1367" i="30004" s="1"/>
  <c r="C1368" i="30004"/>
  <c r="B1368" i="30004" s="1"/>
  <c r="C1369" i="30004"/>
  <c r="B1369" i="30004" s="1"/>
  <c r="C1370" i="30004"/>
  <c r="B1370" i="30004" s="1"/>
  <c r="C1371" i="30004"/>
  <c r="B1371" i="30004" s="1"/>
  <c r="C1372" i="30004"/>
  <c r="B1372" i="30004" s="1"/>
  <c r="C1373" i="30004"/>
  <c r="B1373" i="30004" s="1"/>
  <c r="C1374" i="30004"/>
  <c r="B1374" i="30004" s="1"/>
  <c r="C1375" i="30004"/>
  <c r="B1375" i="30004" s="1"/>
  <c r="C1376" i="30004"/>
  <c r="B1376" i="30004" s="1"/>
  <c r="C1377" i="30004"/>
  <c r="B1377" i="30004" s="1"/>
  <c r="C1378" i="30004"/>
  <c r="B1378" i="30004" s="1"/>
  <c r="C1379" i="30004"/>
  <c r="B1379" i="30004" s="1"/>
  <c r="C1380" i="30004"/>
  <c r="B1380" i="30004" s="1"/>
  <c r="C1381" i="30004"/>
  <c r="B1381" i="30004" s="1"/>
  <c r="C1382" i="30004"/>
  <c r="B1382" i="30004" s="1"/>
  <c r="C1383" i="30004"/>
  <c r="B1383" i="30004" s="1"/>
  <c r="C1384" i="30004"/>
  <c r="B1384" i="30004" s="1"/>
  <c r="C1385" i="30004"/>
  <c r="B1385" i="30004" s="1"/>
  <c r="C1122" i="30004"/>
  <c r="B1122" i="30004" s="1"/>
  <c r="C79" i="30004"/>
  <c r="B79" i="30004" s="1"/>
  <c r="C80" i="30004"/>
  <c r="B80" i="30004" s="1"/>
  <c r="C81" i="30004"/>
  <c r="B81" i="30004" s="1"/>
  <c r="C82" i="30004"/>
  <c r="B82" i="30004" s="1"/>
  <c r="C83" i="30004"/>
  <c r="B83" i="30004" s="1"/>
  <c r="C84" i="30004"/>
  <c r="B84" i="30004" s="1"/>
  <c r="C85" i="30004"/>
  <c r="B85" i="30004" s="1"/>
  <c r="C86" i="30004"/>
  <c r="B86" i="30004" s="1"/>
  <c r="C87" i="30004"/>
  <c r="B87" i="30004" s="1"/>
  <c r="C88" i="30004"/>
  <c r="B88" i="30004" s="1"/>
  <c r="C89" i="30004"/>
  <c r="B89" i="30004" s="1"/>
  <c r="C90" i="30004"/>
  <c r="B90" i="30004" s="1"/>
  <c r="C91" i="30004"/>
  <c r="B91" i="30004" s="1"/>
  <c r="C92" i="30004"/>
  <c r="B92" i="30004" s="1"/>
  <c r="C93" i="30004"/>
  <c r="B93" i="30004" s="1"/>
  <c r="C94" i="30004"/>
  <c r="B94" i="30004" s="1"/>
  <c r="C366" i="30004"/>
  <c r="B366" i="30004" s="1"/>
  <c r="C367" i="30004"/>
  <c r="B367" i="30004" s="1"/>
  <c r="C368" i="30004"/>
  <c r="B368" i="30004" s="1"/>
  <c r="C369" i="30004"/>
  <c r="B369" i="30004" s="1"/>
  <c r="C370" i="30004"/>
  <c r="B370" i="30004" s="1"/>
  <c r="C371" i="30004"/>
  <c r="B371" i="30004" s="1"/>
  <c r="C372" i="30004"/>
  <c r="B372" i="30004" s="1"/>
  <c r="C373" i="30004"/>
  <c r="B373" i="30004" s="1"/>
  <c r="C374" i="30004"/>
  <c r="B374" i="30004" s="1"/>
  <c r="C375" i="30004"/>
  <c r="B375" i="30004" s="1"/>
  <c r="C376" i="30004"/>
  <c r="B376" i="30004" s="1"/>
  <c r="C377" i="30004"/>
  <c r="B377" i="30004" s="1"/>
  <c r="C378" i="30004"/>
  <c r="B378" i="30004" s="1"/>
  <c r="C379" i="30004"/>
  <c r="B379" i="30004" s="1"/>
  <c r="C380" i="30004"/>
  <c r="B380" i="30004" s="1"/>
  <c r="C381" i="30004"/>
  <c r="B381" i="30004" s="1"/>
  <c r="C382" i="30004"/>
  <c r="B382" i="30004" s="1"/>
  <c r="C949" i="30004"/>
  <c r="B949" i="30004" s="1"/>
  <c r="C950" i="30004"/>
  <c r="B950" i="30004" s="1"/>
  <c r="C951" i="30004"/>
  <c r="B951" i="30004" s="1"/>
  <c r="C952" i="30004"/>
  <c r="B952" i="30004" s="1"/>
  <c r="C953" i="30004"/>
  <c r="B953" i="30004" s="1"/>
  <c r="C1695" i="30004"/>
  <c r="B1695" i="30004" s="1"/>
  <c r="C1696" i="30004"/>
  <c r="B1696" i="30004" s="1"/>
  <c r="C1697" i="30004"/>
  <c r="B1697" i="30004" s="1"/>
  <c r="C1698" i="30004"/>
  <c r="B1698" i="30004" s="1"/>
  <c r="C482" i="30004"/>
  <c r="B482" i="30004" s="1"/>
  <c r="C483" i="30004"/>
  <c r="B483" i="30004" s="1"/>
  <c r="C484" i="30004"/>
  <c r="B484" i="30004" s="1"/>
  <c r="C485" i="30004"/>
  <c r="B485" i="30004" s="1"/>
  <c r="C486" i="30004"/>
  <c r="B486" i="30004" s="1"/>
  <c r="C487" i="30004"/>
  <c r="B487" i="30004" s="1"/>
  <c r="C488" i="30004"/>
  <c r="B488" i="30004" s="1"/>
  <c r="C489" i="30004"/>
  <c r="B489" i="30004" s="1"/>
  <c r="C490" i="30004"/>
  <c r="B490" i="30004" s="1"/>
  <c r="C491" i="30004"/>
  <c r="B491" i="30004" s="1"/>
  <c r="C492" i="30004"/>
  <c r="B492" i="30004" s="1"/>
  <c r="C493" i="30004"/>
  <c r="B493" i="30004" s="1"/>
  <c r="C494" i="30004"/>
  <c r="B494" i="30004" s="1"/>
  <c r="C495" i="30004"/>
  <c r="B495" i="30004" s="1"/>
  <c r="C496" i="30004"/>
  <c r="B496" i="30004" s="1"/>
  <c r="C497" i="30004"/>
  <c r="B497" i="30004" s="1"/>
  <c r="C498" i="30004"/>
  <c r="B498" i="30004" s="1"/>
  <c r="C499" i="30004"/>
  <c r="B499" i="30004" s="1"/>
  <c r="C500" i="30004"/>
  <c r="B500" i="30004" s="1"/>
  <c r="C501" i="30004"/>
  <c r="B501" i="30004" s="1"/>
  <c r="C502" i="30004"/>
  <c r="B502" i="30004" s="1"/>
  <c r="C503" i="30004"/>
  <c r="B503" i="30004" s="1"/>
  <c r="C504" i="30004"/>
  <c r="B504" i="30004" s="1"/>
  <c r="C505" i="30004"/>
  <c r="B505" i="30004" s="1"/>
  <c r="C506" i="30004"/>
  <c r="B506" i="30004" s="1"/>
  <c r="C507" i="30004"/>
  <c r="B507" i="30004" s="1"/>
  <c r="C508" i="30004"/>
  <c r="B508" i="30004" s="1"/>
  <c r="C509" i="30004"/>
  <c r="B509" i="30004" s="1"/>
  <c r="C510" i="30004"/>
  <c r="B510" i="30004" s="1"/>
  <c r="C511" i="30004"/>
  <c r="B511" i="30004" s="1"/>
  <c r="C512" i="30004"/>
  <c r="B512" i="30004" s="1"/>
  <c r="C513" i="30004"/>
  <c r="B513" i="30004" s="1"/>
  <c r="C514" i="30004"/>
  <c r="B514" i="30004" s="1"/>
  <c r="C515" i="30004"/>
  <c r="B515" i="30004" s="1"/>
  <c r="C999" i="30004"/>
  <c r="B999" i="30004" s="1"/>
  <c r="C1000" i="30004"/>
  <c r="B1000" i="30004" s="1"/>
  <c r="C1001" i="30004"/>
  <c r="B1001" i="30004" s="1"/>
  <c r="C1002" i="30004"/>
  <c r="B1002" i="30004" s="1"/>
  <c r="C1003" i="30004"/>
  <c r="B1003" i="30004" s="1"/>
  <c r="C1004" i="30004"/>
  <c r="B1004" i="30004" s="1"/>
  <c r="C1005" i="30004"/>
  <c r="B1005" i="30004" s="1"/>
  <c r="C1006" i="30004"/>
  <c r="B1006" i="30004" s="1"/>
  <c r="C1007" i="30004"/>
  <c r="B1007" i="30004" s="1"/>
  <c r="C1008" i="30004"/>
  <c r="B1008" i="30004" s="1"/>
  <c r="C1009" i="30004"/>
  <c r="B1009" i="30004" s="1"/>
  <c r="C1010" i="30004"/>
  <c r="B1010" i="30004" s="1"/>
  <c r="C1011" i="30004"/>
  <c r="B1011" i="30004" s="1"/>
  <c r="C1012" i="30004"/>
  <c r="B1012" i="30004" s="1"/>
  <c r="C1344" i="30004"/>
  <c r="B1344" i="30004" s="1"/>
  <c r="C1345" i="30004"/>
  <c r="B1345" i="30004" s="1"/>
  <c r="C1346" i="30004"/>
  <c r="B1346" i="30004" s="1"/>
  <c r="C1347" i="30004"/>
  <c r="B1347" i="30004" s="1"/>
  <c r="C523" i="30004"/>
  <c r="B523" i="30004" s="1"/>
  <c r="C524" i="30004"/>
  <c r="B524" i="30004" s="1"/>
  <c r="C525" i="30004"/>
  <c r="B525" i="30004" s="1"/>
  <c r="C526" i="30004"/>
  <c r="B526" i="30004" s="1"/>
  <c r="C527" i="30004"/>
  <c r="B527" i="30004" s="1"/>
  <c r="C528" i="30004"/>
  <c r="B528" i="30004" s="1"/>
  <c r="C529" i="30004"/>
  <c r="B529" i="30004" s="1"/>
  <c r="C530" i="30004"/>
  <c r="B530" i="30004" s="1"/>
  <c r="C531" i="30004"/>
  <c r="B531" i="30004" s="1"/>
  <c r="C532" i="30004"/>
  <c r="B532" i="30004" s="1"/>
  <c r="C533" i="30004"/>
  <c r="B533" i="30004" s="1"/>
  <c r="C1281" i="30004"/>
  <c r="B1281" i="30004" s="1"/>
  <c r="C1282" i="30004"/>
  <c r="B1282" i="30004" s="1"/>
  <c r="C1138" i="30004"/>
  <c r="B1138" i="30004" s="1"/>
  <c r="C1139" i="30004"/>
  <c r="B1139" i="30004" s="1"/>
  <c r="C1140" i="30004"/>
  <c r="B1140" i="30004" s="1"/>
  <c r="C1141" i="30004"/>
  <c r="B1141" i="30004" s="1"/>
  <c r="C1142" i="30004"/>
  <c r="B1142" i="30004" s="1"/>
  <c r="C1143" i="30004"/>
  <c r="B1143" i="30004" s="1"/>
  <c r="C1144" i="30004"/>
  <c r="B1144" i="30004" s="1"/>
  <c r="C27" i="30004"/>
  <c r="B27" i="30004" s="1"/>
  <c r="C28" i="30004"/>
  <c r="B28" i="30004" s="1"/>
  <c r="C29" i="30004"/>
  <c r="B29" i="30004" s="1"/>
  <c r="C30" i="30004"/>
  <c r="B30" i="30004" s="1"/>
  <c r="C31" i="30004"/>
  <c r="B31" i="30004" s="1"/>
  <c r="C552" i="30004"/>
  <c r="B552" i="30004" s="1"/>
  <c r="C553" i="30004"/>
  <c r="B553" i="30004" s="1"/>
  <c r="C554" i="30004"/>
  <c r="B554" i="30004" s="1"/>
  <c r="C555" i="30004"/>
  <c r="B555" i="30004" s="1"/>
  <c r="C556" i="30004"/>
  <c r="B556" i="30004" s="1"/>
  <c r="C557" i="30004"/>
  <c r="B557" i="30004" s="1"/>
  <c r="C558" i="30004"/>
  <c r="B558" i="30004" s="1"/>
  <c r="C559" i="30004"/>
  <c r="B559" i="30004" s="1"/>
  <c r="C560" i="30004"/>
  <c r="B560" i="30004" s="1"/>
  <c r="C561" i="30004"/>
  <c r="B561" i="30004" s="1"/>
  <c r="C562" i="30004"/>
  <c r="B562" i="30004" s="1"/>
  <c r="C563" i="30004"/>
  <c r="B563" i="30004" s="1"/>
  <c r="C564" i="30004"/>
  <c r="B564" i="30004" s="1"/>
  <c r="C565" i="30004"/>
  <c r="B565" i="30004" s="1"/>
  <c r="C566" i="30004"/>
  <c r="B566" i="30004" s="1"/>
  <c r="C567" i="30004"/>
  <c r="B567" i="30004" s="1"/>
  <c r="C568" i="30004"/>
  <c r="B568" i="30004" s="1"/>
  <c r="C569" i="30004"/>
  <c r="B569" i="30004" s="1"/>
  <c r="C570" i="30004"/>
  <c r="B570" i="30004" s="1"/>
  <c r="C571" i="30004"/>
  <c r="B571" i="30004" s="1"/>
  <c r="C572" i="30004"/>
  <c r="B572" i="30004" s="1"/>
  <c r="C573" i="30004"/>
  <c r="B573" i="30004" s="1"/>
  <c r="C574" i="30004"/>
  <c r="B574" i="30004" s="1"/>
  <c r="C575" i="30004"/>
  <c r="B575" i="30004" s="1"/>
  <c r="C576" i="30004"/>
  <c r="B576" i="30004" s="1"/>
  <c r="C577" i="30004"/>
  <c r="B577" i="30004" s="1"/>
  <c r="C578" i="30004"/>
  <c r="B578" i="30004" s="1"/>
  <c r="C579" i="30004"/>
  <c r="B579" i="30004" s="1"/>
  <c r="C580" i="30004"/>
  <c r="B580" i="30004" s="1"/>
  <c r="C581" i="30004"/>
  <c r="B581" i="30004" s="1"/>
  <c r="C582" i="30004"/>
  <c r="B582" i="30004" s="1"/>
  <c r="C583" i="30004"/>
  <c r="B583" i="30004" s="1"/>
  <c r="C584" i="30004"/>
  <c r="B584" i="30004" s="1"/>
  <c r="C585" i="30004"/>
  <c r="B585" i="30004" s="1"/>
  <c r="C586" i="30004"/>
  <c r="B586" i="30004" s="1"/>
  <c r="C587" i="30004"/>
  <c r="B587" i="30004" s="1"/>
  <c r="C720" i="30004"/>
  <c r="B720" i="30004" s="1"/>
  <c r="C721" i="30004"/>
  <c r="B721" i="30004" s="1"/>
  <c r="C722" i="30004"/>
  <c r="B722" i="30004" s="1"/>
  <c r="C723" i="30004"/>
  <c r="B723" i="30004" s="1"/>
  <c r="C724" i="30004"/>
  <c r="B724" i="30004" s="1"/>
  <c r="C725" i="30004"/>
  <c r="B725" i="30004" s="1"/>
  <c r="C726" i="30004"/>
  <c r="B726" i="30004" s="1"/>
  <c r="C727" i="30004"/>
  <c r="B727" i="30004" s="1"/>
  <c r="C728" i="30004"/>
  <c r="B728" i="30004" s="1"/>
  <c r="C729" i="30004"/>
  <c r="B729" i="30004" s="1"/>
  <c r="C1492" i="30004"/>
  <c r="B1492" i="30004" s="1"/>
  <c r="C1493" i="30004"/>
  <c r="B1493" i="30004" s="1"/>
  <c r="C1494" i="30004"/>
  <c r="B1494" i="30004" s="1"/>
  <c r="C1495" i="30004"/>
  <c r="B1495" i="30004" s="1"/>
  <c r="C1496" i="30004"/>
  <c r="B1496" i="30004" s="1"/>
  <c r="C1497" i="30004"/>
  <c r="B1497" i="30004" s="1"/>
  <c r="C1498" i="30004"/>
  <c r="B1498" i="30004" s="1"/>
  <c r="C605" i="30004"/>
  <c r="B605" i="30004" s="1"/>
  <c r="C606" i="30004"/>
  <c r="B606" i="30004" s="1"/>
  <c r="C607" i="30004"/>
  <c r="B607" i="30004" s="1"/>
  <c r="C608" i="30004"/>
  <c r="B608" i="30004" s="1"/>
  <c r="C112" i="30004"/>
  <c r="B112" i="30004" s="1"/>
  <c r="C113" i="30004"/>
  <c r="B113" i="30004" s="1"/>
  <c r="C114" i="30004"/>
  <c r="B114" i="30004" s="1"/>
  <c r="C115" i="30004"/>
  <c r="B115" i="30004" s="1"/>
  <c r="C116" i="30004"/>
  <c r="B116" i="30004" s="1"/>
  <c r="C117" i="30004"/>
  <c r="B117" i="30004" s="1"/>
  <c r="C118" i="30004"/>
  <c r="B118" i="30004" s="1"/>
  <c r="C265" i="30004"/>
  <c r="B265" i="30004" s="1"/>
  <c r="C266" i="30004"/>
  <c r="B266" i="30004" s="1"/>
  <c r="C267" i="30004"/>
  <c r="B267" i="30004" s="1"/>
  <c r="C268" i="30004"/>
  <c r="B268" i="30004" s="1"/>
  <c r="C269" i="30004"/>
  <c r="B269" i="30004" s="1"/>
  <c r="C270" i="30004"/>
  <c r="B270" i="30004" s="1"/>
  <c r="C271" i="30004"/>
  <c r="B271" i="30004" s="1"/>
  <c r="C272" i="30004"/>
  <c r="B272" i="30004" s="1"/>
  <c r="C1216" i="30004"/>
  <c r="B1216" i="30004" s="1"/>
  <c r="C1217" i="30004"/>
  <c r="B1217" i="30004" s="1"/>
  <c r="C1218" i="30004"/>
  <c r="B1218" i="30004" s="1"/>
  <c r="C1219" i="30004"/>
  <c r="B1219" i="30004" s="1"/>
  <c r="C1220" i="30004"/>
  <c r="B1220" i="30004" s="1"/>
  <c r="C1221" i="30004"/>
  <c r="B1221" i="30004" s="1"/>
  <c r="C1222" i="30004"/>
  <c r="B1222" i="30004" s="1"/>
  <c r="C1283" i="30004"/>
  <c r="B1283" i="30004" s="1"/>
  <c r="C1284" i="30004"/>
  <c r="B1284" i="30004" s="1"/>
  <c r="C1285" i="30004"/>
  <c r="B1285" i="30004" s="1"/>
  <c r="C1286" i="30004"/>
  <c r="B1286" i="30004" s="1"/>
  <c r="C1287" i="30004"/>
  <c r="B1287" i="30004" s="1"/>
  <c r="C1288" i="30004"/>
  <c r="B1288" i="30004" s="1"/>
  <c r="C1289" i="30004"/>
  <c r="B1289" i="30004" s="1"/>
  <c r="C1290" i="30004"/>
  <c r="B1290" i="30004" s="1"/>
  <c r="C1291" i="30004"/>
  <c r="B1291" i="30004" s="1"/>
  <c r="C1292" i="30004"/>
  <c r="B1292" i="30004" s="1"/>
  <c r="C1293" i="30004"/>
  <c r="B1293" i="30004" s="1"/>
  <c r="C1294" i="30004"/>
  <c r="B1294" i="30004" s="1"/>
  <c r="C1212" i="30004"/>
  <c r="B1212" i="30004" s="1"/>
  <c r="C1213" i="30004"/>
  <c r="B1213" i="30004" s="1"/>
  <c r="C1076" i="30004"/>
  <c r="B1076" i="30004" s="1"/>
  <c r="C1077" i="30004"/>
  <c r="B1077" i="30004" s="1"/>
  <c r="C1078" i="30004"/>
  <c r="B1078" i="30004" s="1"/>
  <c r="C1079" i="30004"/>
  <c r="B1079" i="30004" s="1"/>
  <c r="C1080" i="30004"/>
  <c r="B1080" i="30004" s="1"/>
  <c r="C1081" i="30004"/>
  <c r="B1081" i="30004" s="1"/>
  <c r="C1082" i="30004"/>
  <c r="B1082" i="30004" s="1"/>
  <c r="C1083" i="30004"/>
  <c r="B1083" i="30004" s="1"/>
  <c r="C1295" i="30004"/>
  <c r="B1295" i="30004" s="1"/>
  <c r="C1296" i="30004"/>
  <c r="B1296" i="30004" s="1"/>
  <c r="C1297" i="30004"/>
  <c r="B1297" i="30004" s="1"/>
  <c r="C1298" i="30004"/>
  <c r="B1298" i="30004" s="1"/>
  <c r="C1299" i="30004"/>
  <c r="B1299" i="30004" s="1"/>
  <c r="C1145" i="30004"/>
  <c r="B1145" i="30004" s="1"/>
  <c r="C1146" i="30004"/>
  <c r="B1146" i="30004" s="1"/>
  <c r="C1147" i="30004"/>
  <c r="B1147" i="30004" s="1"/>
  <c r="C1148" i="30004"/>
  <c r="B1148" i="30004" s="1"/>
  <c r="C1149" i="30004"/>
  <c r="B1149" i="30004" s="1"/>
  <c r="C1742" i="30004"/>
  <c r="B1742" i="30004" s="1"/>
  <c r="C1743" i="30004"/>
  <c r="B1743" i="30004" s="1"/>
  <c r="C1744" i="30004"/>
  <c r="B1744" i="30004" s="1"/>
  <c r="C1192" i="30004"/>
  <c r="B1192" i="30004" s="1"/>
  <c r="C1193" i="30004"/>
  <c r="B1193" i="30004" s="1"/>
  <c r="C1194" i="30004"/>
  <c r="B1194" i="30004" s="1"/>
  <c r="C164" i="30004"/>
  <c r="B164" i="30004" s="1"/>
  <c r="C165" i="30004"/>
  <c r="B165" i="30004" s="1"/>
  <c r="C166" i="30004"/>
  <c r="B166" i="30004" s="1"/>
  <c r="C167" i="30004"/>
  <c r="B167" i="30004" s="1"/>
  <c r="C168" i="30004"/>
  <c r="B168" i="30004" s="1"/>
  <c r="C169" i="30004"/>
  <c r="B169" i="30004" s="1"/>
  <c r="C170" i="30004"/>
  <c r="B170" i="30004" s="1"/>
  <c r="C171" i="30004"/>
  <c r="B171" i="30004" s="1"/>
  <c r="C172" i="30004"/>
  <c r="B172" i="30004" s="1"/>
  <c r="C173" i="30004"/>
  <c r="B173" i="30004" s="1"/>
  <c r="C174" i="30004"/>
  <c r="B174" i="30004" s="1"/>
  <c r="C175" i="30004"/>
  <c r="B175" i="30004" s="1"/>
  <c r="C176" i="30004"/>
  <c r="B176" i="30004" s="1"/>
  <c r="C1343" i="30004"/>
  <c r="B1343" i="30004" s="1"/>
  <c r="C180" i="30004"/>
  <c r="B180" i="30004" s="1"/>
  <c r="C181" i="30004"/>
  <c r="B181" i="30004" s="1"/>
  <c r="C182" i="30004"/>
  <c r="B182" i="30004" s="1"/>
  <c r="C183" i="30004"/>
  <c r="B183" i="30004" s="1"/>
  <c r="C184" i="30004"/>
  <c r="B184" i="30004" s="1"/>
  <c r="C185" i="30004"/>
  <c r="B185" i="30004" s="1"/>
  <c r="C186" i="30004"/>
  <c r="B186" i="30004" s="1"/>
  <c r="C187" i="30004"/>
  <c r="B187" i="30004" s="1"/>
  <c r="C938" i="30004"/>
  <c r="B938" i="30004" s="1"/>
  <c r="C393" i="30004"/>
  <c r="B393" i="30004" s="1"/>
  <c r="C394" i="30004"/>
  <c r="B394" i="30004" s="1"/>
  <c r="C395" i="30004"/>
  <c r="B395" i="30004" s="1"/>
  <c r="C396" i="30004"/>
  <c r="B396" i="30004" s="1"/>
  <c r="C397" i="30004"/>
  <c r="B397" i="30004" s="1"/>
  <c r="C398" i="30004"/>
  <c r="B398" i="30004" s="1"/>
  <c r="C399" i="30004"/>
  <c r="B399" i="30004" s="1"/>
  <c r="C400" i="30004"/>
  <c r="B400" i="30004" s="1"/>
  <c r="C401" i="30004"/>
  <c r="B401" i="30004" s="1"/>
  <c r="C402" i="30004"/>
  <c r="B402" i="30004" s="1"/>
  <c r="C403" i="30004"/>
  <c r="B403" i="30004" s="1"/>
  <c r="C404" i="30004"/>
  <c r="B404" i="30004" s="1"/>
  <c r="C405" i="30004"/>
  <c r="B405" i="30004" s="1"/>
  <c r="C406" i="30004"/>
  <c r="B406" i="30004" s="1"/>
  <c r="C407" i="30004"/>
  <c r="B407" i="30004" s="1"/>
  <c r="C408" i="30004"/>
  <c r="B408" i="30004" s="1"/>
  <c r="C409" i="30004"/>
  <c r="B409" i="30004" s="1"/>
  <c r="C410" i="30004"/>
  <c r="B410" i="30004" s="1"/>
  <c r="C411" i="30004"/>
  <c r="B411" i="30004" s="1"/>
  <c r="C412" i="30004"/>
  <c r="B412" i="30004" s="1"/>
  <c r="C413" i="30004"/>
  <c r="B413" i="30004" s="1"/>
  <c r="C414" i="30004"/>
  <c r="B414" i="30004" s="1"/>
  <c r="C415" i="30004"/>
  <c r="B415" i="30004" s="1"/>
  <c r="C416" i="30004"/>
  <c r="B416" i="30004" s="1"/>
  <c r="C417" i="30004"/>
  <c r="B417" i="30004" s="1"/>
  <c r="C418" i="30004"/>
  <c r="B418" i="30004" s="1"/>
  <c r="C419" i="30004"/>
  <c r="B419" i="30004" s="1"/>
  <c r="C420" i="30004"/>
  <c r="B420" i="30004" s="1"/>
  <c r="C421" i="30004"/>
  <c r="B421" i="30004" s="1"/>
  <c r="C422" i="30004"/>
  <c r="B422" i="30004" s="1"/>
  <c r="C423" i="30004"/>
  <c r="B423" i="30004" s="1"/>
  <c r="C424" i="30004"/>
  <c r="B424" i="30004" s="1"/>
  <c r="C425" i="30004"/>
  <c r="B425" i="30004" s="1"/>
  <c r="C426" i="30004"/>
  <c r="B426" i="30004" s="1"/>
  <c r="C427" i="30004"/>
  <c r="B427" i="30004" s="1"/>
  <c r="C428" i="30004"/>
  <c r="B428" i="30004" s="1"/>
  <c r="C429" i="30004"/>
  <c r="B429" i="30004" s="1"/>
  <c r="C430" i="30004"/>
  <c r="B430" i="30004" s="1"/>
  <c r="C431" i="30004"/>
  <c r="B431" i="30004" s="1"/>
  <c r="C432" i="30004"/>
  <c r="B432" i="30004" s="1"/>
  <c r="C433" i="30004"/>
  <c r="B433" i="30004" s="1"/>
  <c r="C434" i="30004"/>
  <c r="B434" i="30004" s="1"/>
  <c r="C435" i="30004"/>
  <c r="B435" i="30004" s="1"/>
  <c r="C436" i="30004"/>
  <c r="B436" i="30004" s="1"/>
  <c r="C437" i="30004"/>
  <c r="B437" i="30004" s="1"/>
  <c r="C1650" i="30004"/>
  <c r="B1650" i="30004" s="1"/>
  <c r="C1651" i="30004"/>
  <c r="B1651" i="30004" s="1"/>
  <c r="C1652" i="30004"/>
  <c r="B1652" i="30004" s="1"/>
  <c r="C1653" i="30004"/>
  <c r="B1653" i="30004" s="1"/>
  <c r="C1654" i="30004"/>
  <c r="B1654" i="30004" s="1"/>
  <c r="C1655" i="30004"/>
  <c r="B1655" i="30004" s="1"/>
  <c r="C1656" i="30004"/>
  <c r="B1656" i="30004" s="1"/>
  <c r="C1657" i="30004"/>
  <c r="B1657" i="30004" s="1"/>
  <c r="C1658" i="30004"/>
  <c r="B1658" i="30004" s="1"/>
  <c r="C1659" i="30004"/>
  <c r="B1659" i="30004" s="1"/>
  <c r="C444" i="30004"/>
  <c r="B444" i="30004" s="1"/>
  <c r="C445" i="30004"/>
  <c r="B445" i="30004" s="1"/>
  <c r="C446" i="30004"/>
  <c r="B446" i="30004" s="1"/>
  <c r="C447" i="30004"/>
  <c r="B447" i="30004" s="1"/>
  <c r="C448" i="30004"/>
  <c r="B448" i="30004" s="1"/>
  <c r="C449" i="30004"/>
  <c r="B449" i="30004" s="1"/>
  <c r="C450" i="30004"/>
  <c r="B450" i="30004" s="1"/>
  <c r="C451" i="30004"/>
  <c r="B451" i="30004" s="1"/>
  <c r="C452" i="30004"/>
  <c r="B452" i="30004" s="1"/>
  <c r="C453" i="30004"/>
  <c r="B453" i="30004" s="1"/>
  <c r="C454" i="30004"/>
  <c r="B454" i="30004" s="1"/>
  <c r="C455" i="30004"/>
  <c r="B455" i="30004" s="1"/>
  <c r="C456" i="30004"/>
  <c r="B456" i="30004" s="1"/>
  <c r="C457" i="30004"/>
  <c r="B457" i="30004" s="1"/>
  <c r="C458" i="30004"/>
  <c r="B458" i="30004" s="1"/>
  <c r="C459" i="30004"/>
  <c r="B459" i="30004" s="1"/>
  <c r="C460" i="30004"/>
  <c r="B460" i="30004" s="1"/>
  <c r="C617" i="30004"/>
  <c r="B617" i="30004" s="1"/>
  <c r="C618" i="30004"/>
  <c r="B618" i="30004" s="1"/>
  <c r="C619" i="30004"/>
  <c r="B619" i="30004" s="1"/>
  <c r="C620" i="30004"/>
  <c r="B620" i="30004" s="1"/>
  <c r="C621" i="30004"/>
  <c r="B621" i="30004" s="1"/>
  <c r="C325" i="30004"/>
  <c r="B325" i="30004" s="1"/>
  <c r="C326" i="30004"/>
  <c r="B326" i="30004" s="1"/>
  <c r="C616" i="30004"/>
  <c r="B616" i="30004" s="1"/>
  <c r="C773" i="30004"/>
  <c r="B773" i="30004" s="1"/>
  <c r="C774" i="30004"/>
  <c r="B774" i="30004" s="1"/>
  <c r="C775" i="30004"/>
  <c r="B775" i="30004" s="1"/>
  <c r="C776" i="30004"/>
  <c r="B776" i="30004" s="1"/>
  <c r="C777" i="30004"/>
  <c r="B777" i="30004" s="1"/>
  <c r="C778" i="30004"/>
  <c r="B778" i="30004" s="1"/>
  <c r="C857" i="30004"/>
  <c r="B857" i="30004" s="1"/>
  <c r="C858" i="30004"/>
  <c r="B858" i="30004" s="1"/>
  <c r="C859" i="30004"/>
  <c r="B859" i="30004" s="1"/>
  <c r="C860" i="30004"/>
  <c r="B860" i="30004" s="1"/>
  <c r="C861" i="30004"/>
  <c r="B861" i="30004" s="1"/>
  <c r="C862" i="30004"/>
  <c r="B862" i="30004" s="1"/>
  <c r="C863" i="30004"/>
  <c r="B863" i="30004" s="1"/>
  <c r="C864" i="30004"/>
  <c r="B864" i="30004" s="1"/>
  <c r="C865" i="30004"/>
  <c r="B865" i="30004" s="1"/>
  <c r="C1634" i="30004"/>
  <c r="B1634" i="30004" s="1"/>
  <c r="C1635" i="30004"/>
  <c r="B1635" i="30004" s="1"/>
  <c r="C1636" i="30004"/>
  <c r="B1636" i="30004" s="1"/>
  <c r="C1637" i="30004"/>
  <c r="B1637" i="30004" s="1"/>
  <c r="C1638" i="30004"/>
  <c r="B1638" i="30004" s="1"/>
  <c r="C1639" i="30004"/>
  <c r="B1639" i="30004" s="1"/>
  <c r="C1640" i="30004"/>
  <c r="B1640" i="30004" s="1"/>
  <c r="C1641" i="30004"/>
  <c r="B1641" i="30004" s="1"/>
  <c r="C1642" i="30004"/>
  <c r="B1642" i="30004" s="1"/>
  <c r="C1643" i="30004"/>
  <c r="B1643" i="30004" s="1"/>
  <c r="C1644" i="30004"/>
  <c r="B1644" i="30004" s="1"/>
  <c r="C1645" i="30004"/>
  <c r="B1645" i="30004" s="1"/>
  <c r="C1646" i="30004"/>
  <c r="B1646" i="30004" s="1"/>
  <c r="C1647" i="30004"/>
  <c r="B1647" i="30004" s="1"/>
  <c r="C1648" i="30004"/>
  <c r="B1648" i="30004" s="1"/>
  <c r="C1649" i="30004"/>
  <c r="B1649" i="30004" s="1"/>
  <c r="C74" i="30004"/>
  <c r="B74" i="30004" s="1"/>
  <c r="C75" i="30004"/>
  <c r="B75" i="30004" s="1"/>
  <c r="C76" i="30004"/>
  <c r="B76" i="30004" s="1"/>
  <c r="C273" i="30004"/>
  <c r="B273" i="30004" s="1"/>
  <c r="C274" i="30004"/>
  <c r="B274" i="30004" s="1"/>
  <c r="C275" i="30004"/>
  <c r="B275" i="30004" s="1"/>
  <c r="C276" i="30004"/>
  <c r="B276" i="30004" s="1"/>
  <c r="C277" i="30004"/>
  <c r="B277" i="30004" s="1"/>
  <c r="C278" i="30004"/>
  <c r="B278" i="30004" s="1"/>
  <c r="C279" i="30004"/>
  <c r="B279" i="30004" s="1"/>
  <c r="C280" i="30004"/>
  <c r="B280" i="30004" s="1"/>
  <c r="C281" i="30004"/>
  <c r="B281" i="30004" s="1"/>
  <c r="C282" i="30004"/>
  <c r="B282" i="30004" s="1"/>
  <c r="C283" i="30004"/>
  <c r="B283" i="30004" s="1"/>
  <c r="C284" i="30004"/>
  <c r="B284" i="30004" s="1"/>
  <c r="C285" i="30004"/>
  <c r="B285" i="30004" s="1"/>
  <c r="C286" i="30004"/>
  <c r="B286" i="30004" s="1"/>
  <c r="C287" i="30004"/>
  <c r="B287" i="30004" s="1"/>
  <c r="C288" i="30004"/>
  <c r="B288" i="30004" s="1"/>
  <c r="C289" i="30004"/>
  <c r="B289" i="30004" s="1"/>
  <c r="C290" i="30004"/>
  <c r="B290" i="30004" s="1"/>
  <c r="C1660" i="30004"/>
  <c r="B1660" i="30004" s="1"/>
  <c r="C1661" i="30004"/>
  <c r="B1661" i="30004" s="1"/>
  <c r="C1662" i="30004"/>
  <c r="B1662" i="30004" s="1"/>
  <c r="C1663" i="30004"/>
  <c r="B1663" i="30004" s="1"/>
  <c r="C1664" i="30004"/>
  <c r="B1664" i="30004" s="1"/>
  <c r="C1665" i="30004"/>
  <c r="B1665" i="30004" s="1"/>
  <c r="C1666" i="30004"/>
  <c r="B1666" i="30004" s="1"/>
  <c r="C1667" i="30004"/>
  <c r="B1667" i="30004" s="1"/>
  <c r="C1668" i="30004"/>
  <c r="B1668" i="30004" s="1"/>
  <c r="C1669" i="30004"/>
  <c r="B1669" i="30004" s="1"/>
  <c r="C1670" i="30004"/>
  <c r="B1670" i="30004" s="1"/>
  <c r="C1671" i="30004"/>
  <c r="B1671" i="30004" s="1"/>
  <c r="C1672" i="30004"/>
  <c r="B1672" i="30004" s="1"/>
  <c r="C1673" i="30004"/>
  <c r="B1673" i="30004" s="1"/>
  <c r="C1674" i="30004"/>
  <c r="B1674" i="30004" s="1"/>
  <c r="C1675" i="30004"/>
  <c r="B1675" i="30004" s="1"/>
  <c r="C1676" i="30004"/>
  <c r="B1676" i="30004" s="1"/>
  <c r="C1677" i="30004"/>
  <c r="B1677" i="30004" s="1"/>
  <c r="C1678" i="30004"/>
  <c r="B1678" i="30004" s="1"/>
  <c r="C1679" i="30004"/>
  <c r="B1679" i="30004" s="1"/>
  <c r="C1680" i="30004"/>
  <c r="B1680" i="30004" s="1"/>
  <c r="C1681" i="30004"/>
  <c r="B1681" i="30004" s="1"/>
  <c r="C1410" i="30004"/>
  <c r="B1410" i="30004" s="1"/>
  <c r="C609" i="30004"/>
  <c r="B609" i="30004" s="1"/>
  <c r="C610" i="30004"/>
  <c r="B610" i="30004" s="1"/>
  <c r="C611" i="30004"/>
  <c r="B611" i="30004" s="1"/>
  <c r="C924" i="30004"/>
  <c r="B924" i="30004" s="1"/>
  <c r="C925" i="30004"/>
  <c r="B925" i="30004" s="1"/>
  <c r="C926" i="30004"/>
  <c r="B926" i="30004" s="1"/>
  <c r="C927" i="30004"/>
  <c r="B927" i="30004" s="1"/>
  <c r="C928" i="30004"/>
  <c r="B928" i="30004" s="1"/>
  <c r="C226" i="30004"/>
  <c r="B226" i="30004" s="1"/>
  <c r="C227" i="30004"/>
  <c r="B227" i="30004" s="1"/>
  <c r="C438" i="30004"/>
  <c r="B438" i="30004" s="1"/>
  <c r="C439" i="30004"/>
  <c r="B439" i="30004" s="1"/>
  <c r="C440" i="30004"/>
  <c r="B440" i="30004" s="1"/>
  <c r="C441" i="30004"/>
  <c r="B441" i="30004" s="1"/>
  <c r="C442" i="30004"/>
  <c r="B442" i="30004" s="1"/>
  <c r="C443" i="30004"/>
  <c r="B443" i="30004" s="1"/>
  <c r="C1215" i="30004"/>
  <c r="B1215" i="30004" s="1"/>
  <c r="C77" i="30004"/>
  <c r="B77" i="30004" s="1"/>
  <c r="C78" i="30004"/>
  <c r="B78" i="30004" s="1"/>
  <c r="C1214" i="30004"/>
  <c r="B1214" i="30004" s="1"/>
  <c r="C291" i="30004"/>
  <c r="B291" i="30004" s="1"/>
  <c r="C292" i="30004"/>
  <c r="B292" i="30004" s="1"/>
  <c r="C293" i="30004"/>
  <c r="B293" i="30004" s="1"/>
  <c r="C294" i="30004"/>
  <c r="B294" i="30004" s="1"/>
  <c r="C295" i="30004"/>
  <c r="B295" i="30004" s="1"/>
  <c r="C296" i="30004"/>
  <c r="B296" i="30004" s="1"/>
  <c r="C297" i="30004"/>
  <c r="B297" i="30004" s="1"/>
  <c r="C298" i="30004"/>
  <c r="B298" i="30004" s="1"/>
  <c r="C299" i="30004"/>
  <c r="B299" i="30004" s="1"/>
  <c r="C234" i="30004"/>
  <c r="B234" i="30004" s="1"/>
  <c r="C235" i="30004"/>
  <c r="B235" i="30004" s="1"/>
  <c r="C236" i="30004"/>
  <c r="B236" i="30004" s="1"/>
  <c r="C237" i="30004"/>
  <c r="B237" i="30004" s="1"/>
  <c r="C238" i="30004"/>
  <c r="B238" i="30004" s="1"/>
  <c r="C239" i="30004"/>
  <c r="B239" i="30004" s="1"/>
  <c r="C240" i="30004"/>
  <c r="B240" i="30004" s="1"/>
  <c r="C47" i="30004"/>
  <c r="B47" i="30004" s="1"/>
  <c r="C48" i="30004"/>
  <c r="B48" i="30004" s="1"/>
  <c r="C49" i="30004"/>
  <c r="B49" i="30004" s="1"/>
  <c r="C50" i="30004"/>
  <c r="B50" i="30004" s="1"/>
  <c r="C51" i="30004"/>
  <c r="B51" i="30004" s="1"/>
  <c r="C52" i="30004"/>
  <c r="B52" i="30004" s="1"/>
  <c r="C53" i="30004"/>
  <c r="B53" i="30004" s="1"/>
  <c r="C54" i="30004"/>
  <c r="B54" i="30004" s="1"/>
  <c r="C55" i="30004"/>
  <c r="B55" i="30004" s="1"/>
  <c r="C56" i="30004"/>
  <c r="B56" i="30004" s="1"/>
  <c r="C57" i="30004"/>
  <c r="B57" i="30004" s="1"/>
  <c r="C58" i="30004"/>
  <c r="B58" i="30004" s="1"/>
  <c r="C59" i="30004"/>
  <c r="B59" i="30004" s="1"/>
  <c r="C60" i="30004"/>
  <c r="B60" i="30004" s="1"/>
  <c r="C61" i="30004"/>
  <c r="B61" i="30004" s="1"/>
  <c r="C62" i="30004"/>
  <c r="B62" i="30004" s="1"/>
  <c r="C63" i="30004"/>
  <c r="B63" i="30004" s="1"/>
  <c r="C64" i="30004"/>
  <c r="B64" i="30004" s="1"/>
  <c r="C65" i="30004"/>
  <c r="B65" i="30004" s="1"/>
  <c r="C66" i="30004"/>
  <c r="B66" i="30004" s="1"/>
  <c r="C67" i="30004"/>
  <c r="B67" i="30004" s="1"/>
  <c r="C68" i="30004"/>
  <c r="B68" i="30004" s="1"/>
  <c r="C69" i="30004"/>
  <c r="B69" i="30004" s="1"/>
  <c r="C70" i="30004"/>
  <c r="B70" i="30004" s="1"/>
  <c r="C71" i="30004"/>
  <c r="B71" i="30004" s="1"/>
  <c r="C72" i="30004"/>
  <c r="B72" i="30004" s="1"/>
  <c r="C73" i="30004"/>
  <c r="B73" i="30004" s="1"/>
  <c r="C821" i="30004"/>
  <c r="B821" i="30004" s="1"/>
  <c r="C822" i="30004"/>
  <c r="B822" i="30004" s="1"/>
  <c r="C823" i="30004"/>
  <c r="B823" i="30004" s="1"/>
  <c r="C824" i="30004"/>
  <c r="B824" i="30004" s="1"/>
  <c r="C825" i="30004"/>
  <c r="B825" i="30004" s="1"/>
  <c r="C826" i="30004"/>
  <c r="B826" i="30004" s="1"/>
  <c r="C827" i="30004"/>
  <c r="B827" i="30004" s="1"/>
  <c r="C828" i="30004"/>
  <c r="B828" i="30004" s="1"/>
  <c r="C829" i="30004"/>
  <c r="B829" i="30004" s="1"/>
  <c r="C830" i="30004"/>
  <c r="B830" i="30004" s="1"/>
  <c r="C831" i="30004"/>
  <c r="B831" i="30004" s="1"/>
  <c r="C832" i="30004"/>
  <c r="B832" i="30004" s="1"/>
  <c r="C833" i="30004"/>
  <c r="B833" i="30004" s="1"/>
  <c r="C834" i="30004"/>
  <c r="B834" i="30004" s="1"/>
  <c r="C835" i="30004"/>
  <c r="B835" i="30004" s="1"/>
  <c r="C836" i="30004"/>
  <c r="B836" i="30004" s="1"/>
  <c r="C837" i="30004"/>
  <c r="B837" i="30004" s="1"/>
  <c r="C838" i="30004"/>
  <c r="B838" i="30004" s="1"/>
  <c r="C839" i="30004"/>
  <c r="B839" i="30004" s="1"/>
  <c r="C840" i="30004"/>
  <c r="B840" i="30004" s="1"/>
  <c r="C841" i="30004"/>
  <c r="B841" i="30004" s="1"/>
  <c r="C842" i="30004"/>
  <c r="B842" i="30004" s="1"/>
  <c r="C843" i="30004"/>
  <c r="B843" i="30004" s="1"/>
  <c r="C844" i="30004"/>
  <c r="B844" i="30004" s="1"/>
  <c r="C845" i="30004"/>
  <c r="B845" i="30004" s="1"/>
  <c r="C846" i="30004"/>
  <c r="B846" i="30004" s="1"/>
  <c r="C847" i="30004"/>
  <c r="B847" i="30004" s="1"/>
  <c r="C848" i="30004"/>
  <c r="B848" i="30004" s="1"/>
  <c r="C849" i="30004"/>
  <c r="B849" i="30004" s="1"/>
  <c r="C850" i="30004"/>
  <c r="B850" i="30004" s="1"/>
  <c r="C851" i="30004"/>
  <c r="B851" i="30004" s="1"/>
  <c r="C852" i="30004"/>
  <c r="B852" i="30004" s="1"/>
  <c r="C853" i="30004"/>
  <c r="B853" i="30004" s="1"/>
  <c r="C854" i="30004"/>
  <c r="B854" i="30004" s="1"/>
  <c r="C855" i="30004"/>
  <c r="B855" i="30004" s="1"/>
  <c r="C622" i="30004"/>
  <c r="B622" i="30004" s="1"/>
  <c r="C701" i="30004"/>
  <c r="B701" i="30004" s="1"/>
  <c r="C702" i="30004"/>
  <c r="B702" i="30004" s="1"/>
  <c r="C703" i="30004"/>
  <c r="B703" i="30004" s="1"/>
  <c r="C704" i="30004"/>
  <c r="B704" i="30004" s="1"/>
  <c r="C1017" i="30004"/>
  <c r="B1017" i="30004" s="1"/>
  <c r="C1018" i="30004"/>
  <c r="B1018" i="30004" s="1"/>
  <c r="C1019" i="30004"/>
  <c r="B1019" i="30004" s="1"/>
  <c r="C1020" i="30004"/>
  <c r="B1020" i="30004" s="1"/>
  <c r="C1699" i="30004"/>
  <c r="B1699" i="30004" s="1"/>
  <c r="C1700" i="30004"/>
  <c r="B1700" i="30004" s="1"/>
  <c r="C1701" i="30004"/>
  <c r="B1701" i="30004" s="1"/>
  <c r="C1702" i="30004"/>
  <c r="B1702" i="30004" s="1"/>
  <c r="C1703" i="30004"/>
  <c r="B1703" i="30004" s="1"/>
  <c r="C1704" i="30004"/>
  <c r="B1704" i="30004" s="1"/>
  <c r="C1705" i="30004"/>
  <c r="B1705" i="30004" s="1"/>
  <c r="C1706" i="30004"/>
  <c r="B1706" i="30004" s="1"/>
  <c r="C1707" i="30004"/>
  <c r="B1707" i="30004" s="1"/>
  <c r="C1708" i="30004"/>
  <c r="B1708" i="30004" s="1"/>
  <c r="C1709" i="30004"/>
  <c r="B1709" i="30004" s="1"/>
  <c r="C1710" i="30004"/>
  <c r="B1710" i="30004" s="1"/>
  <c r="C1711" i="30004"/>
  <c r="B1711" i="30004" s="1"/>
  <c r="C1712" i="30004"/>
  <c r="B1712" i="30004" s="1"/>
  <c r="C730" i="30004"/>
  <c r="B730" i="30004" s="1"/>
  <c r="C731" i="30004"/>
  <c r="B731" i="30004" s="1"/>
  <c r="C732" i="30004"/>
  <c r="B732" i="30004" s="1"/>
  <c r="C733" i="30004"/>
  <c r="B733" i="30004" s="1"/>
  <c r="C734" i="30004"/>
  <c r="B734" i="30004" s="1"/>
  <c r="C735" i="30004"/>
  <c r="B735" i="30004" s="1"/>
  <c r="C736" i="30004"/>
  <c r="B736" i="30004" s="1"/>
  <c r="C737" i="30004"/>
  <c r="B737" i="30004" s="1"/>
  <c r="C738" i="30004"/>
  <c r="B738" i="30004" s="1"/>
  <c r="C739" i="30004"/>
  <c r="B739" i="30004" s="1"/>
  <c r="C740" i="30004"/>
  <c r="B740" i="30004" s="1"/>
  <c r="C741" i="30004"/>
  <c r="B741" i="30004" s="1"/>
  <c r="C742" i="30004"/>
  <c r="B742" i="30004" s="1"/>
  <c r="C743" i="30004"/>
  <c r="B743" i="30004" s="1"/>
  <c r="C744" i="30004"/>
  <c r="B744" i="30004" s="1"/>
  <c r="C745" i="30004"/>
  <c r="B745" i="30004" s="1"/>
  <c r="C746" i="30004"/>
  <c r="B746" i="30004" s="1"/>
  <c r="C747" i="30004"/>
  <c r="B747" i="30004" s="1"/>
  <c r="C534" i="30004"/>
  <c r="B534" i="30004" s="1"/>
  <c r="C535" i="30004"/>
  <c r="B535" i="30004" s="1"/>
  <c r="C536" i="30004"/>
  <c r="B536" i="30004" s="1"/>
  <c r="C537" i="30004"/>
  <c r="B537" i="30004" s="1"/>
  <c r="C538" i="30004"/>
  <c r="B538" i="30004" s="1"/>
  <c r="C539" i="30004"/>
  <c r="B539" i="30004" s="1"/>
  <c r="C540" i="30004"/>
  <c r="B540" i="30004" s="1"/>
  <c r="C541" i="30004"/>
  <c r="B541" i="30004" s="1"/>
  <c r="C542" i="30004"/>
  <c r="B542" i="30004" s="1"/>
  <c r="C543" i="30004"/>
  <c r="B543" i="30004" s="1"/>
  <c r="C544" i="30004"/>
  <c r="B544" i="30004" s="1"/>
  <c r="C623" i="30004"/>
  <c r="B623" i="30004" s="1"/>
  <c r="C624" i="30004"/>
  <c r="B624" i="30004" s="1"/>
  <c r="C625" i="30004"/>
  <c r="B625" i="30004" s="1"/>
  <c r="C626" i="30004"/>
  <c r="B626" i="30004" s="1"/>
  <c r="C939" i="30004"/>
  <c r="B939" i="30004" s="1"/>
  <c r="C940" i="30004"/>
  <c r="B940" i="30004" s="1"/>
  <c r="C707" i="30004"/>
  <c r="B707" i="30004" s="1"/>
  <c r="C708" i="30004"/>
  <c r="B708" i="30004" s="1"/>
  <c r="C1570" i="30004"/>
  <c r="B1570" i="30004" s="1"/>
  <c r="C1571" i="30004"/>
  <c r="B1571" i="30004" s="1"/>
  <c r="C1572" i="30004"/>
  <c r="B1572" i="30004" s="1"/>
  <c r="C1573" i="30004"/>
  <c r="B1573" i="30004" s="1"/>
  <c r="C1574" i="30004"/>
  <c r="B1574" i="30004" s="1"/>
  <c r="C1575" i="30004"/>
  <c r="B1575" i="30004" s="1"/>
  <c r="C1576" i="30004"/>
  <c r="B1576" i="30004" s="1"/>
  <c r="C1567" i="30004"/>
  <c r="B1567" i="30004" s="1"/>
  <c r="C1568" i="30004"/>
  <c r="B1568" i="30004" s="1"/>
  <c r="C1628" i="30004"/>
  <c r="B1628" i="30004" s="1"/>
  <c r="C1629" i="30004"/>
  <c r="B1629" i="30004" s="1"/>
  <c r="C1630" i="30004"/>
  <c r="B1630" i="30004" s="1"/>
  <c r="C1631" i="30004"/>
  <c r="B1631" i="30004" s="1"/>
  <c r="C1632" i="30004"/>
  <c r="B1632" i="30004" s="1"/>
  <c r="C1633" i="30004"/>
  <c r="B1633" i="30004" s="1"/>
  <c r="C1593" i="30004"/>
  <c r="B1593" i="30004" s="1"/>
  <c r="C1594" i="30004"/>
  <c r="B1594" i="30004" s="1"/>
  <c r="C1595" i="30004"/>
  <c r="B1595" i="30004" s="1"/>
  <c r="C1596" i="30004"/>
  <c r="B1596" i="30004" s="1"/>
  <c r="C1597" i="30004"/>
  <c r="B1597" i="30004" s="1"/>
  <c r="C1598" i="30004"/>
  <c r="B1598" i="30004" s="1"/>
  <c r="C1599" i="30004"/>
  <c r="B1599" i="30004" s="1"/>
  <c r="C1600" i="30004"/>
  <c r="B1600" i="30004" s="1"/>
  <c r="C1601" i="30004"/>
  <c r="B1601" i="30004" s="1"/>
  <c r="C1602" i="30004"/>
  <c r="B1602" i="30004" s="1"/>
  <c r="C1603" i="30004"/>
  <c r="B1603" i="30004" s="1"/>
  <c r="C1604" i="30004"/>
  <c r="B1604" i="30004" s="1"/>
  <c r="C1605" i="30004"/>
  <c r="B1605" i="30004" s="1"/>
  <c r="C1606" i="30004"/>
  <c r="B1606" i="30004" s="1"/>
  <c r="C1607" i="30004"/>
  <c r="B1607" i="30004" s="1"/>
  <c r="C1608" i="30004"/>
  <c r="B1608" i="30004" s="1"/>
  <c r="C1532" i="30004"/>
  <c r="B1532" i="30004" s="1"/>
  <c r="C1533" i="30004"/>
  <c r="B1533" i="30004" s="1"/>
  <c r="C1534" i="30004"/>
  <c r="B1534" i="30004" s="1"/>
  <c r="C1535" i="30004"/>
  <c r="B1535" i="30004" s="1"/>
  <c r="C1536" i="30004"/>
  <c r="B1536" i="30004" s="1"/>
  <c r="C1537" i="30004"/>
  <c r="B1537" i="30004" s="1"/>
  <c r="C1538" i="30004"/>
  <c r="B1538" i="30004" s="1"/>
  <c r="C1539" i="30004"/>
  <c r="B1539" i="30004" s="1"/>
  <c r="C1540" i="30004"/>
  <c r="B1540" i="30004" s="1"/>
  <c r="C866" i="30004"/>
  <c r="B866" i="30004" s="1"/>
  <c r="C867" i="30004"/>
  <c r="B867" i="30004" s="1"/>
  <c r="C340" i="30004"/>
  <c r="B340" i="30004" s="1"/>
  <c r="C341" i="30004"/>
  <c r="B341" i="30004" s="1"/>
  <c r="C342" i="30004"/>
  <c r="B342" i="30004" s="1"/>
  <c r="C343" i="30004"/>
  <c r="B343" i="30004" s="1"/>
  <c r="C344" i="30004"/>
  <c r="B344" i="30004" s="1"/>
  <c r="C345" i="30004"/>
  <c r="B345" i="30004" s="1"/>
  <c r="C346" i="30004"/>
  <c r="B346" i="30004" s="1"/>
  <c r="C347" i="30004"/>
  <c r="B347" i="30004" s="1"/>
  <c r="C801" i="30004"/>
  <c r="B801" i="30004" s="1"/>
  <c r="C802" i="30004"/>
  <c r="B802" i="30004" s="1"/>
  <c r="C803" i="30004"/>
  <c r="B803" i="30004" s="1"/>
  <c r="C804" i="30004"/>
  <c r="B804" i="30004" s="1"/>
  <c r="C805" i="30004"/>
  <c r="B805" i="30004" s="1"/>
  <c r="C806" i="30004"/>
  <c r="B806" i="30004" s="1"/>
  <c r="C807" i="30004"/>
  <c r="B807" i="30004" s="1"/>
  <c r="C808" i="30004"/>
  <c r="B808" i="30004" s="1"/>
  <c r="C809" i="30004"/>
  <c r="B809" i="30004" s="1"/>
  <c r="C810" i="30004"/>
  <c r="B810" i="30004" s="1"/>
  <c r="C811" i="30004"/>
  <c r="B811" i="30004" s="1"/>
  <c r="C812" i="30004"/>
  <c r="B812" i="30004" s="1"/>
  <c r="C813" i="30004"/>
  <c r="B813" i="30004" s="1"/>
  <c r="C814" i="30004"/>
  <c r="B814" i="30004" s="1"/>
  <c r="C815" i="30004"/>
  <c r="B815" i="30004" s="1"/>
  <c r="C816" i="30004"/>
  <c r="B816" i="30004" s="1"/>
  <c r="C817" i="30004"/>
  <c r="B817" i="30004" s="1"/>
  <c r="C818" i="30004"/>
  <c r="B818" i="30004" s="1"/>
  <c r="C819" i="30004"/>
  <c r="B819" i="30004" s="1"/>
  <c r="C820" i="30004"/>
  <c r="B820" i="30004" s="1"/>
  <c r="C868" i="30004"/>
  <c r="B868" i="30004" s="1"/>
  <c r="C869" i="30004"/>
  <c r="B869" i="30004" s="1"/>
  <c r="C870" i="30004"/>
  <c r="B870" i="30004" s="1"/>
  <c r="C871" i="30004"/>
  <c r="B871" i="30004" s="1"/>
  <c r="C872" i="30004"/>
  <c r="B872" i="30004" s="1"/>
  <c r="C873" i="30004"/>
  <c r="B873" i="30004" s="1"/>
  <c r="C874" i="30004"/>
  <c r="B874" i="30004" s="1"/>
  <c r="C875" i="30004"/>
  <c r="B875" i="30004" s="1"/>
  <c r="C876" i="30004"/>
  <c r="B876" i="30004" s="1"/>
  <c r="C877" i="30004"/>
  <c r="B877" i="30004" s="1"/>
  <c r="C878" i="30004"/>
  <c r="B878" i="30004" s="1"/>
  <c r="C879" i="30004"/>
  <c r="B879" i="30004" s="1"/>
  <c r="C880" i="30004"/>
  <c r="B880" i="30004" s="1"/>
  <c r="C881" i="30004"/>
  <c r="B881" i="30004" s="1"/>
  <c r="C882" i="30004"/>
  <c r="B882" i="30004" s="1"/>
  <c r="C883" i="30004"/>
  <c r="B883" i="30004" s="1"/>
  <c r="C884" i="30004"/>
  <c r="B884" i="30004" s="1"/>
  <c r="C885" i="30004"/>
  <c r="B885" i="30004" s="1"/>
  <c r="C886" i="30004"/>
  <c r="B886" i="30004" s="1"/>
  <c r="C887" i="30004"/>
  <c r="B887" i="30004" s="1"/>
  <c r="C888" i="30004"/>
  <c r="B888" i="30004" s="1"/>
  <c r="C889" i="30004"/>
  <c r="B889" i="30004" s="1"/>
  <c r="C890" i="30004"/>
  <c r="B890" i="30004" s="1"/>
  <c r="C891" i="30004"/>
  <c r="B891" i="30004" s="1"/>
  <c r="C892" i="30004"/>
  <c r="B892" i="30004" s="1"/>
  <c r="C893" i="30004"/>
  <c r="B893" i="30004" s="1"/>
  <c r="C894" i="30004"/>
  <c r="B894" i="30004" s="1"/>
  <c r="C895" i="30004"/>
  <c r="B895" i="30004" s="1"/>
  <c r="C896" i="30004"/>
  <c r="B896" i="30004" s="1"/>
  <c r="C897" i="30004"/>
  <c r="B897" i="30004" s="1"/>
  <c r="C898" i="30004"/>
  <c r="B898" i="30004" s="1"/>
  <c r="C899" i="30004"/>
  <c r="B899" i="30004" s="1"/>
  <c r="C900" i="30004"/>
  <c r="B900" i="30004" s="1"/>
  <c r="C901" i="30004"/>
  <c r="B901" i="30004" s="1"/>
  <c r="C902" i="30004"/>
  <c r="B902" i="30004" s="1"/>
  <c r="C903" i="30004"/>
  <c r="B903" i="30004" s="1"/>
  <c r="C904" i="30004"/>
  <c r="B904" i="30004" s="1"/>
  <c r="C905" i="30004"/>
  <c r="B905" i="30004" s="1"/>
  <c r="C906" i="30004"/>
  <c r="B906" i="30004" s="1"/>
  <c r="C907" i="30004"/>
  <c r="B907" i="30004" s="1"/>
  <c r="C908" i="30004"/>
  <c r="B908" i="30004" s="1"/>
  <c r="C909" i="30004"/>
  <c r="B909" i="30004" s="1"/>
  <c r="C910" i="30004"/>
  <c r="B910" i="30004" s="1"/>
  <c r="C911" i="30004"/>
  <c r="B911" i="30004" s="1"/>
  <c r="C912" i="30004"/>
  <c r="B912" i="30004" s="1"/>
  <c r="C913" i="30004"/>
  <c r="B913" i="30004" s="1"/>
  <c r="C914" i="30004"/>
  <c r="B914" i="30004" s="1"/>
  <c r="C915" i="30004"/>
  <c r="B915" i="30004" s="1"/>
  <c r="C920" i="30004"/>
  <c r="B920" i="30004" s="1"/>
  <c r="C921" i="30004"/>
  <c r="B921" i="30004" s="1"/>
  <c r="C922" i="30004"/>
  <c r="B922" i="30004" s="1"/>
  <c r="C923" i="30004"/>
  <c r="B923" i="30004" s="1"/>
  <c r="C315" i="30004"/>
  <c r="B315" i="30004" s="1"/>
  <c r="C316" i="30004"/>
  <c r="B316" i="30004" s="1"/>
  <c r="C941" i="30004"/>
  <c r="B941" i="30004" s="1"/>
  <c r="C942" i="30004"/>
  <c r="B942" i="30004" s="1"/>
  <c r="C334" i="30004"/>
  <c r="B334" i="30004" s="1"/>
  <c r="C335" i="30004"/>
  <c r="B335" i="30004" s="1"/>
  <c r="C336" i="30004"/>
  <c r="B336" i="30004" s="1"/>
  <c r="C337" i="30004"/>
  <c r="B337" i="30004" s="1"/>
  <c r="C338" i="30004"/>
  <c r="B338" i="30004" s="1"/>
  <c r="C339" i="30004"/>
  <c r="B339" i="30004" s="1"/>
  <c r="C916" i="30004"/>
  <c r="B916" i="30004" s="1"/>
  <c r="C917" i="30004"/>
  <c r="B917" i="30004" s="1"/>
  <c r="C918" i="30004"/>
  <c r="B918" i="30004" s="1"/>
  <c r="C919" i="30004"/>
  <c r="B919" i="30004" s="1"/>
  <c r="C1432" i="30004"/>
  <c r="B1432" i="30004" s="1"/>
  <c r="C1433" i="30004"/>
  <c r="B1433" i="30004" s="1"/>
  <c r="C1434" i="30004"/>
  <c r="B1434" i="30004" s="1"/>
  <c r="C1435" i="30004"/>
  <c r="B1435" i="30004" s="1"/>
  <c r="C1436" i="30004"/>
  <c r="B1436" i="30004" s="1"/>
  <c r="C1437" i="30004"/>
  <c r="B1437" i="30004" s="1"/>
  <c r="C1438" i="30004"/>
  <c r="B1438" i="30004" s="1"/>
  <c r="C1439" i="30004"/>
  <c r="B1439" i="30004" s="1"/>
  <c r="C1621" i="30004"/>
  <c r="B1621" i="30004" s="1"/>
  <c r="C1622" i="30004"/>
  <c r="B1622" i="30004" s="1"/>
  <c r="C1558" i="30004"/>
  <c r="B1558" i="30004" s="1"/>
  <c r="C1559" i="30004"/>
  <c r="B1559" i="30004" s="1"/>
  <c r="C1560" i="30004"/>
  <c r="B1560" i="30004" s="1"/>
  <c r="C1561" i="30004"/>
  <c r="B1561" i="30004" s="1"/>
  <c r="C1562" i="30004"/>
  <c r="B1562" i="30004" s="1"/>
  <c r="C1563" i="30004"/>
  <c r="B1563" i="30004" s="1"/>
  <c r="C1564" i="30004"/>
  <c r="B1564" i="30004" s="1"/>
  <c r="C1565" i="30004"/>
  <c r="B1565" i="30004" s="1"/>
  <c r="C1566" i="30004"/>
  <c r="B1566" i="30004" s="1"/>
  <c r="C32" i="30004"/>
  <c r="B32" i="30004" s="1"/>
  <c r="C33" i="30004"/>
  <c r="B33" i="30004" s="1"/>
  <c r="C34" i="30004"/>
  <c r="B34" i="30004" s="1"/>
  <c r="C35" i="30004"/>
  <c r="B35" i="30004" s="1"/>
  <c r="C36" i="30004"/>
  <c r="B36" i="30004" s="1"/>
  <c r="C37" i="30004"/>
  <c r="B37" i="30004" s="1"/>
  <c r="C38" i="30004"/>
  <c r="B38" i="30004" s="1"/>
  <c r="C39" i="30004"/>
  <c r="B39" i="30004" s="1"/>
  <c r="C1238" i="30004"/>
  <c r="B1238" i="30004" s="1"/>
  <c r="C1239" i="30004"/>
  <c r="B1239" i="30004" s="1"/>
  <c r="C1240" i="30004"/>
  <c r="B1240" i="30004" s="1"/>
  <c r="C1241" i="30004"/>
  <c r="B1241" i="30004" s="1"/>
  <c r="C1242" i="30004"/>
  <c r="B1242" i="30004" s="1"/>
  <c r="C1243" i="30004"/>
  <c r="B1243" i="30004" s="1"/>
  <c r="C1244" i="30004"/>
  <c r="B1244" i="30004" s="1"/>
  <c r="C1245" i="30004"/>
  <c r="B1245" i="30004" s="1"/>
  <c r="C1246" i="30004"/>
  <c r="B1246" i="30004" s="1"/>
  <c r="C1247" i="30004"/>
  <c r="B1247" i="30004" s="1"/>
  <c r="C1248" i="30004"/>
  <c r="B1248" i="30004" s="1"/>
  <c r="C1249" i="30004"/>
  <c r="B1249" i="30004" s="1"/>
  <c r="C1250" i="30004"/>
  <c r="B1250" i="30004" s="1"/>
  <c r="C1251" i="30004"/>
  <c r="B1251" i="30004" s="1"/>
  <c r="C1252" i="30004"/>
  <c r="B1252" i="30004" s="1"/>
  <c r="C1253" i="30004"/>
  <c r="B1253" i="30004" s="1"/>
  <c r="C1254" i="30004"/>
  <c r="B1254" i="30004" s="1"/>
  <c r="C1255" i="30004"/>
  <c r="B1255" i="30004" s="1"/>
  <c r="C1256" i="30004"/>
  <c r="B1256" i="30004" s="1"/>
  <c r="C1257" i="30004"/>
  <c r="B1257" i="30004" s="1"/>
  <c r="C1258" i="30004"/>
  <c r="B1258" i="30004" s="1"/>
  <c r="C1259" i="30004"/>
  <c r="B1259" i="30004" s="1"/>
  <c r="C1260" i="30004"/>
  <c r="B1260" i="30004" s="1"/>
  <c r="C1261" i="30004"/>
  <c r="B1261" i="30004" s="1"/>
  <c r="C1263" i="30004"/>
  <c r="B1263" i="30004" s="1"/>
  <c r="C1264" i="30004"/>
  <c r="B1264" i="30004" s="1"/>
  <c r="C1265" i="30004"/>
  <c r="B1265" i="30004" s="1"/>
  <c r="C1266" i="30004"/>
  <c r="B1266" i="30004" s="1"/>
  <c r="C1267" i="30004"/>
  <c r="B1267" i="30004" s="1"/>
  <c r="C1268" i="30004"/>
  <c r="B1268" i="30004" s="1"/>
  <c r="C1269" i="30004"/>
  <c r="B1269" i="30004" s="1"/>
  <c r="C1270" i="30004"/>
  <c r="B1270" i="30004" s="1"/>
  <c r="C1271" i="30004"/>
  <c r="B1271" i="30004" s="1"/>
  <c r="C1272" i="30004"/>
  <c r="B1272" i="30004" s="1"/>
  <c r="C1273" i="30004"/>
  <c r="B1273" i="30004" s="1"/>
  <c r="C1336" i="30004"/>
  <c r="B1336" i="30004" s="1"/>
  <c r="C1337" i="30004"/>
  <c r="B1337" i="30004" s="1"/>
  <c r="C1338" i="30004"/>
  <c r="B1338" i="30004" s="1"/>
  <c r="C1339" i="30004"/>
  <c r="B1339" i="30004" s="1"/>
  <c r="C1340" i="30004"/>
  <c r="B1340" i="30004" s="1"/>
  <c r="C1341" i="30004"/>
  <c r="B1341" i="30004" s="1"/>
  <c r="C1342" i="30004"/>
  <c r="B1342" i="30004" s="1"/>
  <c r="C1623" i="30004"/>
  <c r="B1623" i="30004" s="1"/>
  <c r="C1624" i="30004"/>
  <c r="B1624" i="30004" s="1"/>
  <c r="C1625" i="30004"/>
  <c r="B1625" i="30004" s="1"/>
  <c r="C1626" i="30004"/>
  <c r="B1626" i="30004" s="1"/>
  <c r="C1627" i="30004"/>
  <c r="B1627" i="30004" s="1"/>
  <c r="C1489" i="30004"/>
  <c r="B1489" i="30004" s="1"/>
  <c r="C1490" i="30004"/>
  <c r="B1490" i="30004" s="1"/>
  <c r="C1491" i="30004"/>
  <c r="B1491" i="30004" s="1"/>
  <c r="C1440" i="30004"/>
  <c r="B1440" i="30004" s="1"/>
  <c r="C1569" i="30004"/>
  <c r="B1569" i="30004" s="1"/>
  <c r="C188" i="30004"/>
  <c r="B188" i="30004" s="1"/>
  <c r="C189" i="30004"/>
  <c r="B189" i="30004" s="1"/>
  <c r="C190" i="30004"/>
  <c r="B190" i="30004" s="1"/>
  <c r="C191" i="30004"/>
  <c r="B191" i="30004" s="1"/>
  <c r="C192" i="30004"/>
  <c r="B192" i="30004" s="1"/>
  <c r="C193" i="30004"/>
  <c r="B193" i="30004" s="1"/>
  <c r="C194" i="30004"/>
  <c r="B194" i="30004" s="1"/>
  <c r="C195" i="30004"/>
  <c r="B195" i="30004" s="1"/>
  <c r="C196" i="30004"/>
  <c r="B196" i="30004" s="1"/>
  <c r="C197" i="30004"/>
  <c r="B197" i="30004" s="1"/>
  <c r="C198" i="30004"/>
  <c r="B198" i="30004" s="1"/>
  <c r="C199" i="30004"/>
  <c r="B199" i="30004" s="1"/>
  <c r="C200" i="30004"/>
  <c r="B200" i="30004" s="1"/>
  <c r="C201" i="30004"/>
  <c r="B201" i="30004" s="1"/>
  <c r="C202" i="30004"/>
  <c r="B202" i="30004" s="1"/>
  <c r="C203" i="30004"/>
  <c r="B203" i="30004" s="1"/>
  <c r="C204" i="30004"/>
  <c r="B204" i="30004" s="1"/>
  <c r="C205" i="30004"/>
  <c r="B205" i="30004" s="1"/>
  <c r="C206" i="30004"/>
  <c r="B206" i="30004" s="1"/>
  <c r="C207" i="30004"/>
  <c r="B207" i="30004" s="1"/>
  <c r="C208" i="30004"/>
  <c r="B208" i="30004" s="1"/>
  <c r="C209" i="30004"/>
  <c r="B209" i="30004" s="1"/>
  <c r="C210" i="30004"/>
  <c r="B210" i="30004" s="1"/>
  <c r="C211" i="30004"/>
  <c r="B211" i="30004" s="1"/>
  <c r="C212" i="30004"/>
  <c r="B212" i="30004" s="1"/>
  <c r="C213" i="30004"/>
  <c r="B213" i="30004" s="1"/>
  <c r="C214" i="30004"/>
  <c r="B214" i="30004" s="1"/>
  <c r="C215" i="30004"/>
  <c r="B215" i="30004" s="1"/>
  <c r="C216" i="30004"/>
  <c r="B216" i="30004" s="1"/>
  <c r="C217" i="30004"/>
  <c r="B217" i="30004" s="1"/>
  <c r="C218" i="30004"/>
  <c r="B218" i="30004" s="1"/>
  <c r="C219" i="30004"/>
  <c r="B219" i="30004" s="1"/>
  <c r="C220" i="30004"/>
  <c r="B220" i="30004" s="1"/>
  <c r="C221" i="30004"/>
  <c r="B221" i="30004" s="1"/>
  <c r="C222" i="30004"/>
  <c r="B222" i="30004" s="1"/>
  <c r="C223" i="30004"/>
  <c r="B223" i="30004" s="1"/>
  <c r="C224" i="30004"/>
  <c r="B224" i="30004" s="1"/>
  <c r="C225" i="30004"/>
  <c r="B225" i="30004" s="1"/>
  <c r="C1262" i="30004"/>
  <c r="B1262" i="30004" s="1"/>
  <c r="C1541" i="30004"/>
  <c r="B1541" i="30004" s="1"/>
  <c r="C1542" i="30004"/>
  <c r="B1542" i="30004" s="1"/>
  <c r="C1543" i="30004"/>
  <c r="B1543" i="30004" s="1"/>
  <c r="C1544" i="30004"/>
  <c r="B1544" i="30004" s="1"/>
  <c r="C1545" i="30004"/>
  <c r="B1545" i="30004" s="1"/>
  <c r="C1614" i="30004"/>
  <c r="B1614" i="30004" s="1"/>
  <c r="C1615" i="30004"/>
  <c r="B1615" i="30004" s="1"/>
  <c r="C1616" i="30004"/>
  <c r="B1616" i="30004" s="1"/>
  <c r="C1617" i="30004"/>
  <c r="B1617" i="30004" s="1"/>
  <c r="C1618" i="30004"/>
  <c r="B1618" i="30004" s="1"/>
  <c r="C1619" i="30004"/>
  <c r="B1619" i="30004" s="1"/>
  <c r="C1620" i="30004"/>
  <c r="B1620" i="30004" s="1"/>
  <c r="C1553" i="30004"/>
  <c r="B1553" i="30004" s="1"/>
  <c r="C1554" i="30004"/>
  <c r="B1554" i="30004" s="1"/>
  <c r="C1555" i="30004"/>
  <c r="B1555" i="30004" s="1"/>
  <c r="C1556" i="30004"/>
  <c r="B1556" i="30004" s="1"/>
  <c r="C1557" i="30004"/>
  <c r="B1557" i="30004" s="1"/>
  <c r="H4" i="30001"/>
  <c r="I4" i="30001"/>
  <c r="J4" i="30001"/>
  <c r="K4" i="30001"/>
  <c r="L4" i="30001"/>
  <c r="C3" i="30000"/>
  <c r="B4" i="29955"/>
  <c r="B2086" i="29955"/>
  <c r="B1076" i="29955"/>
  <c r="B1532" i="29955"/>
  <c r="B2886" i="29955"/>
  <c r="B1412" i="29955"/>
  <c r="B1852" i="29955"/>
  <c r="B2033" i="29955"/>
  <c r="B3501" i="29955"/>
  <c r="B666" i="29955"/>
  <c r="B3618" i="29955"/>
  <c r="B2001" i="29955"/>
  <c r="B2568" i="29955"/>
  <c r="B3060" i="29955"/>
  <c r="B3422" i="29955"/>
  <c r="B861" i="29955"/>
  <c r="B3870" i="29955"/>
  <c r="B3894" i="29955"/>
  <c r="B1194" i="29955"/>
  <c r="B1483" i="29955"/>
  <c r="B2577" i="29955"/>
  <c r="B2012" i="29955"/>
  <c r="B1511" i="29955"/>
  <c r="B814" i="29955"/>
  <c r="B1770" i="29955"/>
  <c r="B3663" i="29955"/>
  <c r="B1482" i="29955"/>
  <c r="B842" i="29955"/>
  <c r="B2381" i="29955"/>
  <c r="B2566" i="29955"/>
  <c r="B2389" i="29955"/>
  <c r="B3149" i="29955"/>
  <c r="B51" i="29955"/>
  <c r="B50" i="29955"/>
  <c r="B265" i="29955"/>
  <c r="B3889" i="29955"/>
  <c r="B2987" i="29955"/>
  <c r="B1033" i="29955"/>
  <c r="B3512" i="29955"/>
  <c r="B3514" i="29955"/>
  <c r="B709" i="29955"/>
  <c r="B2028" i="29955"/>
  <c r="B3175" i="29955"/>
  <c r="B2924" i="29955"/>
  <c r="B3157" i="29955"/>
  <c r="B2270" i="29955"/>
  <c r="B2978" i="29955"/>
  <c r="B2837" i="29955"/>
  <c r="B2392" i="29955"/>
  <c r="B573" i="29955"/>
  <c r="B1650" i="29955"/>
  <c r="B650" i="29955"/>
  <c r="B1759" i="29955"/>
  <c r="B3740" i="29955"/>
  <c r="B608" i="29955"/>
  <c r="B30" i="29955"/>
  <c r="B1249" i="29955"/>
  <c r="B3832" i="29955"/>
  <c r="B692" i="29955"/>
  <c r="B651" i="29955"/>
  <c r="B2760" i="29955"/>
  <c r="B1085" i="29955"/>
  <c r="B607" i="29955"/>
  <c r="B1025" i="29955"/>
  <c r="B1990" i="29955"/>
  <c r="B234" i="29955"/>
  <c r="B955" i="29955"/>
  <c r="B2626" i="29955"/>
  <c r="B2176" i="29955"/>
  <c r="B2105" i="29955"/>
  <c r="B40" i="29955"/>
  <c r="B2002" i="29955"/>
  <c r="B332" i="29955"/>
  <c r="B2325" i="29955"/>
  <c r="B3435" i="29955"/>
  <c r="B3689" i="29955"/>
  <c r="B1848" i="29955"/>
  <c r="B2054" i="29955"/>
  <c r="B3735" i="29955"/>
  <c r="B2177" i="29955"/>
  <c r="B1660" i="29955"/>
  <c r="B3506" i="29955"/>
  <c r="B3688" i="29955"/>
  <c r="B3110" i="29955"/>
  <c r="B23" i="29955"/>
  <c r="B3882" i="29955"/>
  <c r="B821" i="29955"/>
  <c r="B2400" i="29955"/>
  <c r="B19" i="29955"/>
  <c r="B2202" i="29955"/>
  <c r="B2046" i="29955"/>
  <c r="B2071" i="29955"/>
  <c r="B3372" i="29955"/>
  <c r="B2326" i="29955"/>
  <c r="B1419" i="29955"/>
  <c r="B1153" i="29955"/>
  <c r="B1710" i="29955"/>
  <c r="B2237" i="29955"/>
  <c r="B467" i="29955"/>
  <c r="B934" i="29955"/>
  <c r="B1661" i="29955"/>
  <c r="B3274" i="29955"/>
  <c r="B1696" i="29955"/>
  <c r="B2003" i="29955"/>
  <c r="B2032" i="29955"/>
  <c r="B2089" i="29955"/>
  <c r="B1694" i="29955"/>
  <c r="B402" i="29955"/>
  <c r="B18" i="29955"/>
  <c r="B56" i="29955"/>
  <c r="B66" i="29955"/>
  <c r="B205" i="29955"/>
  <c r="B393" i="29955"/>
  <c r="B627" i="29955"/>
  <c r="B645" i="29955"/>
  <c r="B755" i="29955"/>
  <c r="B767" i="29955"/>
  <c r="B778" i="29955"/>
  <c r="B772" i="29955"/>
  <c r="B774" i="29955"/>
  <c r="B894" i="29955"/>
  <c r="B925" i="29955"/>
  <c r="B1026" i="29955"/>
  <c r="B1015" i="29955"/>
  <c r="B1019" i="29955"/>
  <c r="B1224" i="29955"/>
  <c r="B1337" i="29955"/>
  <c r="B1438" i="29955"/>
  <c r="B2051" i="29955"/>
  <c r="B2172" i="29955"/>
  <c r="B2285" i="29955"/>
  <c r="B2289" i="29955"/>
  <c r="B2390" i="29955"/>
  <c r="B2625" i="29955"/>
  <c r="B2697" i="29955"/>
  <c r="B2982" i="29955"/>
  <c r="B3062" i="29955"/>
  <c r="B3065" i="29955"/>
  <c r="B3441" i="29955"/>
  <c r="B3686" i="29955"/>
  <c r="B3734" i="29955"/>
  <c r="B3759" i="29955"/>
  <c r="B1185" i="29955"/>
  <c r="B3067" i="29955"/>
  <c r="B397" i="29955"/>
  <c r="B3760" i="29955"/>
  <c r="B1625" i="29955"/>
  <c r="B2181" i="29955"/>
  <c r="B2298" i="29955"/>
  <c r="B2079" i="29955"/>
  <c r="B28" i="29955"/>
  <c r="B2457" i="29955"/>
  <c r="B3696" i="29955"/>
  <c r="B3687" i="29955"/>
  <c r="B198" i="29955"/>
  <c r="B756" i="29955"/>
  <c r="B2050" i="29955"/>
  <c r="B2159" i="29955"/>
  <c r="B2328" i="29955"/>
  <c r="B771" i="29955"/>
  <c r="B3559" i="29955"/>
  <c r="B398" i="29955"/>
  <c r="B633" i="29955"/>
  <c r="B3387" i="29955"/>
  <c r="B2503" i="29955"/>
  <c r="B3532" i="29955"/>
  <c r="B2060" i="29955"/>
  <c r="B2010" i="29955"/>
  <c r="B760" i="29955"/>
  <c r="B634" i="29955"/>
  <c r="B531" i="29955"/>
  <c r="B2029" i="29955"/>
  <c r="B2422" i="29955"/>
  <c r="B3879" i="29955"/>
  <c r="B3442" i="29955"/>
  <c r="B2958" i="29955"/>
  <c r="B1768" i="29955"/>
  <c r="B2967" i="29955"/>
  <c r="B1766" i="29955"/>
  <c r="B2061" i="29955"/>
  <c r="B801" i="29955"/>
  <c r="B2069" i="29955"/>
  <c r="B214" i="29955"/>
  <c r="B793" i="29955"/>
  <c r="B3195" i="29955"/>
  <c r="B2965" i="29955"/>
  <c r="B3862" i="29955"/>
  <c r="B2785" i="29955"/>
  <c r="B1253" i="29955"/>
  <c r="B3348" i="29955"/>
  <c r="B3744" i="29955"/>
  <c r="B2030" i="29955"/>
  <c r="B780" i="29955"/>
  <c r="B1321" i="29955"/>
  <c r="B2409" i="29955"/>
  <c r="B2784" i="29955"/>
  <c r="B246" i="29955"/>
  <c r="B2320" i="29955"/>
  <c r="B3737" i="29955"/>
  <c r="B2954" i="29955"/>
  <c r="B1003" i="29955"/>
  <c r="B2077" i="29955"/>
  <c r="B936" i="29955"/>
  <c r="B628" i="29955"/>
  <c r="B2822" i="29955"/>
  <c r="B20" i="29955"/>
  <c r="B2421" i="29955"/>
  <c r="B2757" i="29955"/>
  <c r="B2968" i="29955"/>
  <c r="B3055" i="29955"/>
  <c r="B1246" i="29955"/>
  <c r="B2824" i="29955"/>
  <c r="B2304" i="29955"/>
  <c r="B2809" i="29955"/>
  <c r="B3684" i="29955"/>
  <c r="B723" i="29955"/>
  <c r="B3329" i="29955"/>
  <c r="B2896" i="29955"/>
  <c r="B3694" i="29955"/>
  <c r="B3445" i="29955"/>
  <c r="B2758" i="29955"/>
  <c r="B2044" i="29955"/>
  <c r="B1023" i="29955"/>
  <c r="B3330" i="29955"/>
  <c r="B1715" i="29955"/>
  <c r="B2541" i="29955"/>
  <c r="B1845" i="29955"/>
  <c r="B734" i="29955"/>
  <c r="B1645" i="29955"/>
  <c r="B1318" i="29955"/>
  <c r="B1320" i="29955"/>
  <c r="B683" i="29955"/>
  <c r="B2443" i="29955"/>
  <c r="B3223" i="29955"/>
  <c r="B591" i="29955"/>
  <c r="B1638" i="29955"/>
  <c r="B2219" i="29955"/>
  <c r="B3190" i="29955"/>
  <c r="B3782" i="29955"/>
  <c r="B804" i="29955"/>
  <c r="B626" i="29955"/>
  <c r="B60" i="29955"/>
  <c r="B2277" i="29955"/>
  <c r="B2243" i="29955"/>
  <c r="B61" i="29955"/>
  <c r="B1372" i="29955"/>
  <c r="B1408" i="29955"/>
  <c r="B3671" i="29955"/>
  <c r="B883" i="29955"/>
  <c r="B1065" i="29955"/>
  <c r="B1272" i="29955"/>
  <c r="B1446" i="29955"/>
  <c r="B2272" i="29955"/>
  <c r="B2279" i="29955"/>
  <c r="B2459" i="29955"/>
  <c r="B3032" i="29955"/>
  <c r="B2624" i="29955"/>
  <c r="B3199" i="29955"/>
  <c r="B807" i="29955"/>
  <c r="B3174" i="29955"/>
  <c r="B2464" i="29955"/>
  <c r="B1275" i="29955"/>
  <c r="B2305" i="29955"/>
  <c r="B2337" i="29955"/>
  <c r="B975" i="29955"/>
  <c r="B434" i="29955"/>
  <c r="B1633" i="29955"/>
  <c r="B1702" i="29955"/>
  <c r="B1089" i="29955"/>
  <c r="B587" i="29955"/>
  <c r="B1485" i="29955"/>
  <c r="B238" i="29955"/>
  <c r="B433" i="29955"/>
  <c r="B3535" i="29955"/>
  <c r="B1277" i="29955"/>
  <c r="B1405" i="29955"/>
  <c r="B1062" i="29955"/>
  <c r="B3366" i="29955"/>
  <c r="B746" i="29955"/>
  <c r="B2542" i="29955"/>
  <c r="B3755" i="29955"/>
  <c r="B3670" i="29955"/>
  <c r="B3537" i="29955"/>
  <c r="B2762" i="29955"/>
  <c r="B688" i="29955"/>
  <c r="B1029" i="29955"/>
  <c r="B1522" i="29955"/>
  <c r="B2234" i="29955"/>
  <c r="B271" i="29955"/>
  <c r="B682" i="29955"/>
  <c r="B2332" i="29955"/>
  <c r="B916" i="29955"/>
  <c r="B1642" i="29955"/>
  <c r="B3365" i="29955"/>
  <c r="B2247" i="29955"/>
  <c r="B3864" i="29955"/>
  <c r="B625" i="29955"/>
  <c r="B3848" i="29955"/>
  <c r="B2589" i="29955"/>
  <c r="B3173" i="29955"/>
  <c r="B3200" i="29955"/>
  <c r="B539" i="29955"/>
  <c r="B3538" i="29955"/>
  <c r="B1079" i="29955"/>
  <c r="B2412" i="29955"/>
  <c r="B2239" i="29955"/>
  <c r="B3054" i="29955"/>
  <c r="B730" i="29955"/>
  <c r="B2402" i="29955"/>
  <c r="B3171" i="29955"/>
  <c r="B3179" i="29955"/>
  <c r="B669" i="29955"/>
  <c r="B1525" i="29955"/>
  <c r="B2632" i="29955"/>
  <c r="B2458" i="29955"/>
  <c r="B3865" i="29955"/>
  <c r="B1407" i="29955"/>
  <c r="B612" i="29955"/>
  <c r="B2623" i="29955"/>
  <c r="B1014" i="29955"/>
  <c r="B2411" i="29955"/>
  <c r="B2631" i="29955"/>
  <c r="B3363" i="29955"/>
  <c r="B1028" i="29955"/>
  <c r="B2450" i="29955"/>
  <c r="B2535" i="29955"/>
  <c r="B2451" i="29955"/>
  <c r="B3188" i="29955"/>
  <c r="B802" i="29955"/>
  <c r="B2970" i="29955"/>
  <c r="B2315" i="29955"/>
  <c r="B3192" i="29955"/>
  <c r="B2782" i="29955"/>
  <c r="B803" i="29955"/>
  <c r="B1711" i="29955"/>
  <c r="B1006" i="29955"/>
  <c r="B430" i="29955"/>
  <c r="B671" i="29955"/>
  <c r="B3875" i="29955"/>
  <c r="B2242" i="29955"/>
  <c r="B261" i="29955"/>
  <c r="B575" i="29955"/>
  <c r="B2714" i="29955"/>
  <c r="B933" i="29955"/>
  <c r="B2778" i="29955"/>
  <c r="B3508" i="29955"/>
  <c r="B3648" i="29955"/>
  <c r="B794" i="29955"/>
  <c r="B3851" i="29955"/>
  <c r="B684" i="29955"/>
  <c r="B540" i="29955"/>
  <c r="B1317" i="29955"/>
  <c r="B2330" i="29955"/>
  <c r="B1646" i="29955"/>
  <c r="B3536" i="29955"/>
  <c r="B3843" i="29955"/>
  <c r="B613" i="29955"/>
  <c r="B3327" i="29955"/>
  <c r="B3808" i="29955"/>
  <c r="B3809" i="29955"/>
  <c r="B1255" i="29955"/>
  <c r="B3867" i="29955"/>
  <c r="B1714" i="29955"/>
  <c r="B1643" i="29955"/>
  <c r="B538" i="29955"/>
  <c r="B3756" i="29955"/>
  <c r="B223" i="29955"/>
  <c r="B615" i="29955"/>
  <c r="B2255" i="29955"/>
  <c r="B3426" i="29955"/>
  <c r="B2914" i="29955"/>
  <c r="B2596" i="29955"/>
  <c r="B3698" i="29955"/>
  <c r="B2777" i="29955"/>
  <c r="B2781" i="29955"/>
  <c r="B2810" i="29955"/>
  <c r="B2216" i="29955"/>
  <c r="B1020" i="29955"/>
  <c r="B3754" i="29955"/>
  <c r="B1080" i="29955"/>
  <c r="B3540" i="29955"/>
  <c r="B3818" i="29955"/>
  <c r="B2554" i="29955"/>
  <c r="B2699" i="29955"/>
  <c r="B589" i="29955"/>
  <c r="B3423" i="29955"/>
  <c r="B680" i="29955"/>
  <c r="B1186" i="29955"/>
  <c r="B884" i="29955"/>
  <c r="B2141" i="29955"/>
  <c r="B1712" i="29955"/>
  <c r="B2455" i="29955"/>
  <c r="B2210" i="29955"/>
  <c r="B614" i="29955"/>
  <c r="B2537" i="29955"/>
  <c r="B3270" i="29955"/>
  <c r="B2232" i="29955"/>
  <c r="B2454" i="29955"/>
  <c r="B432" i="29955"/>
  <c r="B437" i="29955"/>
  <c r="B602" i="29955"/>
  <c r="B882" i="29955"/>
  <c r="B796" i="29955"/>
  <c r="B1010" i="29955"/>
  <c r="B2220" i="29955"/>
  <c r="B2560" i="29955"/>
  <c r="B2621" i="29955"/>
  <c r="B2815" i="29955"/>
  <c r="B3222" i="29955"/>
  <c r="B3815" i="29955"/>
  <c r="B3840" i="29955"/>
  <c r="B3757" i="29955"/>
  <c r="B3645" i="29955"/>
  <c r="B436" i="29955"/>
  <c r="B1409" i="29955"/>
  <c r="B2547" i="29955"/>
  <c r="B2595" i="29955"/>
  <c r="B2331" i="29955"/>
  <c r="B201" i="29955"/>
  <c r="B1151" i="29955"/>
  <c r="B3114" i="29955"/>
  <c r="B2056" i="29955"/>
  <c r="B1695" i="29955"/>
  <c r="B2592" i="29955"/>
  <c r="B2187" i="29955"/>
  <c r="B977" i="29955"/>
  <c r="B2972" i="29955"/>
  <c r="B2281" i="29955"/>
  <c r="B2467" i="29955"/>
  <c r="B2034" i="29955"/>
  <c r="B2256" i="29955"/>
  <c r="B2212" i="29955"/>
  <c r="B1336" i="29955"/>
  <c r="B59" i="29955"/>
  <c r="B1406" i="29955"/>
  <c r="B754" i="29955"/>
  <c r="B3846" i="29955"/>
  <c r="B611" i="29955"/>
  <c r="B1371" i="29955"/>
  <c r="B759" i="29955"/>
  <c r="B2712" i="29955"/>
  <c r="B3194" i="29955"/>
  <c r="B3750" i="29955"/>
  <c r="B2327" i="29955"/>
  <c r="B590" i="29955"/>
  <c r="B885" i="29955"/>
  <c r="B3817" i="29955"/>
  <c r="B1626" i="29955"/>
  <c r="B3850" i="29955"/>
  <c r="B2201" i="29955"/>
  <c r="B270" i="29955"/>
  <c r="B1009" i="29955"/>
  <c r="B2706" i="29955"/>
  <c r="B2761" i="29955"/>
  <c r="B3051" i="29955"/>
  <c r="B2221" i="29955"/>
  <c r="B2790" i="29955"/>
  <c r="B3646" i="29955"/>
  <c r="B2813" i="29955"/>
  <c r="B3876" i="29955"/>
  <c r="B2013" i="29955"/>
  <c r="B3675" i="29955"/>
  <c r="B2302" i="29955"/>
  <c r="B3353" i="29955"/>
  <c r="B606" i="29955"/>
  <c r="B297" i="29955"/>
  <c r="B2240" i="29955"/>
  <c r="B1526" i="29955"/>
  <c r="B1659" i="29955"/>
  <c r="B810" i="29955"/>
  <c r="B576" i="29955"/>
  <c r="B3816" i="29955"/>
  <c r="B2084" i="29955"/>
  <c r="B2059" i="29955"/>
  <c r="B62" i="29955"/>
  <c r="B917" i="29955"/>
  <c r="B657" i="29955"/>
  <c r="B2462" i="29955"/>
  <c r="B676" i="29955"/>
  <c r="B733" i="29955"/>
  <c r="B812" i="29955"/>
  <c r="B501" i="29955"/>
  <c r="B55" i="29955"/>
  <c r="B2812" i="29955"/>
  <c r="B1713" i="29955"/>
  <c r="B3427" i="29955"/>
  <c r="B765" i="29955"/>
  <c r="B911" i="29955"/>
  <c r="B2319" i="29955"/>
  <c r="B758" i="29955"/>
  <c r="B3504" i="29955"/>
  <c r="B867" i="29955"/>
  <c r="B3505" i="29955"/>
  <c r="B3507" i="29955"/>
  <c r="B2211" i="29955"/>
  <c r="B2066" i="29955"/>
  <c r="B2700" i="29955"/>
  <c r="B912" i="29955"/>
  <c r="B1644" i="29955"/>
  <c r="B664" i="29955"/>
  <c r="B1886" i="29955"/>
  <c r="B604" i="29955"/>
  <c r="B2834" i="29955"/>
  <c r="B1466" i="29955"/>
  <c r="B221" i="29955"/>
  <c r="B2097" i="29955"/>
  <c r="B2339" i="29955"/>
  <c r="B2835" i="29955"/>
  <c r="B1380" i="29955"/>
  <c r="B3705" i="29955"/>
  <c r="B3720" i="29955"/>
  <c r="B2765" i="29955"/>
  <c r="B2405" i="29955"/>
  <c r="B1401" i="29955"/>
  <c r="B219" i="29955"/>
  <c r="B57" i="29955"/>
  <c r="B1658" i="29955"/>
  <c r="B711" i="29955"/>
  <c r="B1196" i="29955"/>
  <c r="B3887" i="29955"/>
  <c r="B2908" i="29955"/>
  <c r="B3052" i="29955"/>
  <c r="B3871" i="29955"/>
  <c r="B678" i="29955"/>
  <c r="B2023" i="29955"/>
  <c r="B1061" i="29955"/>
  <c r="B2074" i="29955"/>
  <c r="B2344" i="29955"/>
  <c r="B1243" i="29955"/>
  <c r="B220" i="29955"/>
  <c r="B1204" i="29955"/>
  <c r="B736" i="29955"/>
  <c r="B470" i="29955"/>
  <c r="B924" i="29955"/>
  <c r="B2354" i="29955"/>
  <c r="B199" i="29955"/>
  <c r="B3699" i="29955"/>
  <c r="B2047" i="29955"/>
  <c r="B2755" i="29955"/>
  <c r="B1206" i="29955"/>
  <c r="B1850" i="29955"/>
  <c r="B2406" i="29955"/>
  <c r="B3379" i="29955"/>
  <c r="B1513" i="29955"/>
  <c r="B1613" i="29955"/>
  <c r="B3861" i="29955"/>
  <c r="B2222" i="29955"/>
  <c r="B2550" i="29955"/>
  <c r="B1465" i="29955"/>
  <c r="B2836" i="29955"/>
  <c r="B1365" i="29955"/>
  <c r="B1647" i="29955"/>
  <c r="B2561" i="29955"/>
  <c r="B2265" i="29955"/>
  <c r="B2753" i="29955"/>
  <c r="B2839" i="29955"/>
  <c r="B1400" i="29955"/>
  <c r="B2754" i="29955"/>
  <c r="B2261" i="29955"/>
  <c r="B1516" i="29955"/>
  <c r="B1851" i="29955"/>
  <c r="B2904" i="29955"/>
  <c r="B2838" i="29955"/>
  <c r="B49" i="29955"/>
  <c r="B2025" i="29955"/>
  <c r="B3892" i="29955"/>
  <c r="B2225" i="29955"/>
  <c r="B3159" i="29955"/>
  <c r="B3704" i="29955"/>
  <c r="B1063" i="29955"/>
  <c r="B1387" i="29955"/>
  <c r="B548" i="29955"/>
  <c r="B2087" i="29955"/>
  <c r="B1329" i="29955"/>
  <c r="B1273" i="29955"/>
  <c r="B2912" i="29955"/>
  <c r="B3613" i="29955"/>
  <c r="B1471" i="29955"/>
  <c r="B668" i="29955"/>
  <c r="B2571" i="29955"/>
  <c r="B929" i="29955"/>
  <c r="B981" i="29955"/>
  <c r="B1366" i="29955"/>
  <c r="B2701" i="29955"/>
  <c r="B2572" i="29955"/>
  <c r="B2909" i="29955"/>
  <c r="B797" i="29955"/>
  <c r="B196" i="29955"/>
  <c r="B1207" i="29955"/>
  <c r="B3883" i="29955"/>
  <c r="B1467" i="29955"/>
  <c r="B12" i="29955"/>
  <c r="B259" i="29955"/>
  <c r="B665" i="29955"/>
  <c r="B921" i="29955"/>
  <c r="B3700" i="29955"/>
  <c r="B2544" i="29955"/>
  <c r="B1478" i="29955"/>
  <c r="B999" i="29955"/>
  <c r="B2960" i="29955"/>
  <c r="B656" i="29955"/>
  <c r="B2179" i="29955"/>
  <c r="B2369" i="29955"/>
  <c r="B2597" i="29955"/>
  <c r="B3367" i="29955"/>
  <c r="B594" i="29955"/>
  <c r="B2031" i="29955"/>
  <c r="B3644" i="29955"/>
  <c r="B260" i="29955"/>
  <c r="B2224" i="29955"/>
  <c r="B3739" i="29955"/>
  <c r="B658" i="29955"/>
  <c r="B2586" i="29955"/>
  <c r="B2088" i="29955"/>
  <c r="B2520" i="29955"/>
  <c r="B399" i="29955"/>
  <c r="B773" i="29955"/>
  <c r="B1760" i="29955"/>
  <c r="B2300" i="29955"/>
  <c r="B593" i="29955"/>
  <c r="B2295" i="29955"/>
  <c r="B3682" i="29955"/>
  <c r="B769" i="29955"/>
  <c r="B3254" i="29955"/>
  <c r="B918" i="29955"/>
  <c r="B2437" i="29955"/>
  <c r="B3885" i="29955"/>
  <c r="B2193" i="29955"/>
  <c r="B770" i="29955"/>
  <c r="B2460" i="29955"/>
  <c r="B919" i="29955"/>
  <c r="B1700" i="29955"/>
  <c r="B96" i="29955"/>
  <c r="B2841" i="29955"/>
  <c r="B92" i="29955"/>
  <c r="B1481" i="29955"/>
  <c r="B1520" i="29955"/>
  <c r="B3680" i="29955"/>
  <c r="B406" i="29955"/>
  <c r="B378" i="29955"/>
  <c r="B3380" i="29955"/>
  <c r="B2508" i="29955"/>
  <c r="B2905" i="29955"/>
  <c r="B2522" i="29955"/>
  <c r="B2951" i="29955"/>
  <c r="B829" i="29955"/>
  <c r="B1135" i="29955"/>
  <c r="B232" i="29955"/>
  <c r="B932" i="29955"/>
  <c r="B3276" i="29955"/>
  <c r="B3499" i="29955"/>
  <c r="B837" i="29955"/>
  <c r="B1719" i="29955"/>
  <c r="B1884" i="29955"/>
  <c r="B1838" i="29955"/>
  <c r="B3567" i="29955"/>
  <c r="B779" i="29955"/>
  <c r="B16" i="29955"/>
  <c r="B3388" i="29955"/>
  <c r="B509" i="29955"/>
  <c r="B836" i="29955"/>
  <c r="B2473" i="29955"/>
  <c r="B3424" i="29955"/>
  <c r="B1882" i="29955"/>
  <c r="B798" i="29955"/>
  <c r="B3181" i="29955"/>
  <c r="B3497" i="29955"/>
  <c r="B2633" i="29955"/>
  <c r="B1832" i="29955"/>
  <c r="B3440" i="29955"/>
  <c r="B294" i="29955"/>
  <c r="B258" i="29955"/>
  <c r="B2952" i="29955"/>
  <c r="B428" i="29955"/>
  <c r="B400" i="29955"/>
  <c r="B2475" i="29955"/>
  <c r="B2928" i="29955"/>
  <c r="B3177" i="29955"/>
  <c r="B2955" i="29955"/>
  <c r="B1013" i="29955"/>
  <c r="B2174" i="29955"/>
  <c r="B1027" i="29955"/>
  <c r="B1172" i="29955"/>
  <c r="B2903" i="29955"/>
  <c r="B953" i="29955"/>
  <c r="B1030" i="29955"/>
  <c r="B3543" i="29955"/>
  <c r="B2257" i="29955"/>
  <c r="B3616" i="29955"/>
  <c r="B2981" i="29955"/>
  <c r="B3852" i="29955"/>
  <c r="B786" i="29955"/>
  <c r="B3731" i="29955"/>
  <c r="B2246" i="29955"/>
  <c r="B2515" i="29955"/>
  <c r="B292" i="29955"/>
  <c r="B3854" i="29955"/>
  <c r="B2309" i="29955"/>
  <c r="B288" i="29955"/>
  <c r="B2417" i="29955"/>
  <c r="B2756" i="29955"/>
  <c r="B3400" i="29955"/>
  <c r="B2531" i="29955"/>
  <c r="B1007" i="29955"/>
  <c r="B1636" i="29955"/>
  <c r="B791" i="29955"/>
  <c r="B2780" i="29955"/>
  <c r="B1648" i="29955"/>
  <c r="B2310" i="29955"/>
  <c r="B215" i="29955"/>
  <c r="B439" i="29955"/>
  <c r="B2533" i="29955"/>
  <c r="B3733" i="29955"/>
  <c r="B287" i="29955"/>
  <c r="B388" i="29955"/>
  <c r="B583" i="29955"/>
  <c r="B2229" i="29955"/>
  <c r="B3196" i="29955"/>
  <c r="B2431" i="29955"/>
  <c r="B2226" i="29955"/>
  <c r="B387" i="29955"/>
  <c r="B1652" i="29955"/>
  <c r="B2763" i="29955"/>
  <c r="B2764" i="29955"/>
  <c r="B216" i="29955"/>
  <c r="B3279" i="29955"/>
  <c r="B3531" i="29955"/>
  <c r="B3668" i="29955"/>
  <c r="B2311" i="29955"/>
  <c r="B3389" i="29955"/>
  <c r="B3666" i="29955"/>
  <c r="B3855" i="29955"/>
  <c r="B652" i="29955"/>
  <c r="B2770" i="29955"/>
  <c r="B2466" i="29955"/>
  <c r="B1628" i="29955"/>
  <c r="B926" i="29955"/>
  <c r="B1177" i="29955"/>
  <c r="B291" i="29955"/>
  <c r="B1223" i="29955"/>
  <c r="B2630" i="29955"/>
  <c r="B3530" i="29955"/>
  <c r="B689" i="29955"/>
  <c r="B299" i="29955"/>
  <c r="B2318" i="29955"/>
  <c r="B2039" i="29955"/>
  <c r="B2166" i="29955"/>
  <c r="B541" i="29955"/>
  <c r="B3182" i="29955"/>
  <c r="B2779" i="29955"/>
  <c r="B3853" i="29955"/>
  <c r="B290" i="29955"/>
  <c r="B3275" i="29955"/>
  <c r="B3112" i="29955"/>
  <c r="B2053" i="29955"/>
  <c r="B408" i="29955"/>
  <c r="B2980" i="29955"/>
  <c r="B596" i="29955"/>
  <c r="B1187" i="29955"/>
  <c r="B994" i="29955"/>
  <c r="B3064" i="29955"/>
  <c r="B64" i="29955"/>
  <c r="B3753" i="29955"/>
  <c r="B2236" i="29955"/>
  <c r="B3264" i="29955"/>
  <c r="B868" i="29955"/>
  <c r="B2456" i="29955"/>
  <c r="B775" i="29955"/>
  <c r="B208" i="29955"/>
  <c r="B2585" i="29955"/>
  <c r="B1254" i="29955"/>
  <c r="B2973" i="29955"/>
  <c r="B2426" i="29955"/>
  <c r="B777" i="29955"/>
  <c r="B2410" i="29955"/>
  <c r="B1021" i="29955"/>
  <c r="B897" i="29955"/>
  <c r="B930" i="29955"/>
  <c r="B2178" i="29955"/>
  <c r="B2518" i="29955"/>
  <c r="B1072" i="29955"/>
  <c r="B654" i="29955"/>
  <c r="B1364" i="29955"/>
  <c r="B2364" i="29955"/>
  <c r="B649" i="29955"/>
  <c r="B870" i="29955"/>
  <c r="B987" i="29955"/>
  <c r="B2235" i="29955"/>
  <c r="B873" i="29955"/>
  <c r="B646" i="29955"/>
  <c r="B2160" i="29955"/>
  <c r="B1508" i="29955"/>
  <c r="B2301" i="29955"/>
  <c r="B2161" i="29955"/>
  <c r="B3053" i="29955"/>
  <c r="B3752" i="29955"/>
  <c r="B2418" i="29955"/>
  <c r="B2165" i="29955"/>
  <c r="B637" i="29955"/>
  <c r="B1533" i="29955"/>
  <c r="B3591" i="29955"/>
  <c r="B991" i="29955"/>
  <c r="B976" i="29955"/>
  <c r="B9" i="29955"/>
  <c r="B3116" i="29955"/>
  <c r="B2552" i="29955"/>
  <c r="B998" i="29955"/>
  <c r="B3563" i="29955"/>
  <c r="B809" i="29955"/>
  <c r="B553" i="29955"/>
  <c r="B2274" i="29955"/>
  <c r="B2453" i="29955"/>
  <c r="B2180" i="29955"/>
  <c r="B757" i="29955"/>
  <c r="B2372" i="29955"/>
  <c r="B877" i="29955"/>
  <c r="B605" i="29955"/>
  <c r="B2374" i="29955"/>
  <c r="B2975" i="29955"/>
  <c r="B879" i="29955"/>
  <c r="B647" i="29955"/>
  <c r="B1017" i="29955"/>
  <c r="B2078" i="29955"/>
  <c r="B3685" i="29955"/>
  <c r="B435" i="29955"/>
  <c r="B2207" i="29955"/>
  <c r="B2429" i="29955"/>
  <c r="B2628" i="29955"/>
  <c r="B3884" i="29955"/>
  <c r="B974" i="29955"/>
  <c r="B2373" i="29955"/>
  <c r="B2910" i="29955"/>
  <c r="B3273" i="29955"/>
  <c r="B2666" i="29955"/>
  <c r="B2283" i="29955"/>
  <c r="B2163" i="29955"/>
  <c r="B1363" i="29955"/>
  <c r="B3370" i="29955"/>
  <c r="B210" i="29955"/>
  <c r="B2370" i="29955"/>
  <c r="B3369" i="29955"/>
  <c r="B2461" i="29955"/>
  <c r="B2868" i="29955"/>
  <c r="B3373" i="29955"/>
  <c r="B21" i="29955"/>
  <c r="B728" i="29955"/>
  <c r="B2252" i="29955"/>
  <c r="B2984" i="29955"/>
  <c r="B636" i="29955"/>
  <c r="B211" i="29955"/>
  <c r="B2581" i="29955"/>
  <c r="B880" i="29955"/>
  <c r="B209" i="29955"/>
  <c r="B3556" i="29955"/>
  <c r="B640" i="29955"/>
  <c r="B2587" i="29955"/>
  <c r="B595" i="29955"/>
  <c r="B2519" i="29955"/>
  <c r="B1188" i="29955"/>
  <c r="B550" i="29955"/>
  <c r="B2348" i="29955"/>
  <c r="B2800" i="29955"/>
  <c r="B3856" i="29955"/>
  <c r="B1479" i="29955"/>
  <c r="B2382" i="29955"/>
  <c r="B3256" i="29955"/>
  <c r="B1608" i="29955"/>
  <c r="B79" i="29955"/>
  <c r="B2748" i="29955"/>
  <c r="B710" i="29955"/>
  <c r="B409" i="29955"/>
  <c r="B58" i="29955"/>
  <c r="B3257" i="29955"/>
  <c r="B2391" i="29955"/>
  <c r="B2338" i="29955"/>
  <c r="B2333" i="29955"/>
  <c r="B3170" i="29955"/>
  <c r="B1484" i="29955"/>
  <c r="B2138" i="29955"/>
  <c r="B2353" i="29955"/>
  <c r="B2404" i="29955"/>
  <c r="B2027" i="29955"/>
  <c r="B2816" i="29955"/>
  <c r="B2744" i="29955"/>
  <c r="B488" i="29955"/>
  <c r="B242" i="29955"/>
  <c r="B2352" i="29955"/>
  <c r="B2350" i="29955"/>
  <c r="B2747" i="29955"/>
  <c r="B2251" i="29955"/>
  <c r="B1008" i="29955"/>
  <c r="B481" i="29955"/>
  <c r="B2379" i="29955"/>
  <c r="B32" i="29955"/>
  <c r="B1612" i="29955"/>
  <c r="B2342" i="29955"/>
  <c r="B2351" i="29955"/>
  <c r="B3351" i="29955"/>
  <c r="B267" i="29955"/>
  <c r="B263" i="29955"/>
  <c r="B638" i="29955"/>
  <c r="B2377" i="29955"/>
  <c r="B1614" i="29955"/>
  <c r="B474" i="29955"/>
  <c r="B1231" i="29955"/>
  <c r="B1335" i="29955"/>
  <c r="B264" i="29955"/>
  <c r="B2749" i="29955"/>
  <c r="B477" i="29955"/>
  <c r="B2378" i="29955"/>
  <c r="B2380" i="29955"/>
  <c r="B2743" i="29955"/>
  <c r="B1480" i="29955"/>
  <c r="B2516" i="29955"/>
  <c r="B2396" i="29955"/>
  <c r="B2083" i="29955"/>
  <c r="B2804" i="29955"/>
  <c r="B3723" i="29955"/>
  <c r="B2334" i="29955"/>
  <c r="B2355" i="29955"/>
  <c r="B3259" i="29955"/>
  <c r="B2204" i="29955"/>
  <c r="B2205" i="29955"/>
  <c r="B1615" i="29955"/>
  <c r="B2387" i="29955"/>
  <c r="B2386" i="29955"/>
  <c r="B3719" i="29955"/>
  <c r="B1609" i="29955"/>
  <c r="B2169" i="29955"/>
  <c r="B2446" i="29955"/>
  <c r="B2907" i="29955"/>
  <c r="B2934" i="29955"/>
  <c r="B2093" i="29955"/>
  <c r="B910" i="29955"/>
  <c r="B76" i="29955"/>
  <c r="B708" i="29955"/>
  <c r="B2057" i="29955"/>
  <c r="B2918" i="29955"/>
  <c r="B390" i="29955"/>
  <c r="B2398" i="29955"/>
  <c r="B2152" i="29955"/>
  <c r="B714" i="29955"/>
  <c r="B2384" i="29955"/>
  <c r="B93" i="29955"/>
  <c r="B391" i="29955"/>
  <c r="B2000" i="29955"/>
  <c r="B2357" i="29955"/>
  <c r="B3697" i="29955"/>
  <c r="B2336" i="29955"/>
  <c r="B3258" i="29955"/>
  <c r="B2340" i="29955"/>
  <c r="B1005" i="29955"/>
  <c r="B2388" i="29955"/>
  <c r="B206" i="29955"/>
  <c r="B2151" i="29955"/>
  <c r="B900" i="29955"/>
  <c r="B3565" i="29955"/>
  <c r="B2250" i="29955"/>
  <c r="B83" i="29955"/>
  <c r="B2393" i="29955"/>
  <c r="B2383" i="29955"/>
  <c r="B2026" i="29955"/>
  <c r="B2249" i="29955"/>
  <c r="B3261" i="29955"/>
  <c r="B3611" i="29955"/>
  <c r="B2081" i="29955"/>
  <c r="B2343" i="29955"/>
  <c r="B266" i="29955"/>
  <c r="B931" i="29955"/>
  <c r="B3718" i="29955"/>
  <c r="B2346" i="29955"/>
  <c r="B2149" i="29955"/>
  <c r="B2427" i="29955"/>
  <c r="B3059" i="29955"/>
  <c r="B2415" i="29955"/>
  <c r="B2419" i="29955"/>
  <c r="B2195" i="29955"/>
  <c r="B2394" i="29955"/>
  <c r="B2962" i="29955"/>
  <c r="B2324" i="29955"/>
  <c r="B2067" i="29955"/>
  <c r="B3283" i="29955"/>
  <c r="B3745" i="29955"/>
  <c r="B3746" i="29955"/>
  <c r="B2196" i="29955"/>
  <c r="B1274" i="29955"/>
  <c r="B2048" i="29955"/>
  <c r="B3285" i="29955"/>
  <c r="B2188" i="29955"/>
  <c r="B2197" i="29955"/>
  <c r="B2231" i="29955"/>
  <c r="B2313" i="29955"/>
  <c r="B2532" i="29955"/>
  <c r="B2186" i="29955"/>
  <c r="B3267" i="29955"/>
  <c r="B3280" i="29955"/>
  <c r="B3308" i="29955"/>
  <c r="B3268" i="29955"/>
  <c r="B3747" i="29955"/>
  <c r="B3444" i="29955"/>
  <c r="B3649" i="29955"/>
  <c r="B547" i="29955"/>
  <c r="B2395" i="29955"/>
  <c r="B2963" i="29955"/>
  <c r="B2099" i="29955"/>
  <c r="B2230" i="29955"/>
  <c r="B3269" i="29955"/>
  <c r="B2413" i="29955"/>
  <c r="B2158" i="29955"/>
  <c r="B515" i="29955"/>
  <c r="B3281" i="29955"/>
  <c r="B2915" i="29955"/>
  <c r="B3057" i="29955"/>
  <c r="B218" i="29955"/>
  <c r="B2213" i="29955"/>
  <c r="B805" i="29955"/>
  <c r="B1316" i="29955"/>
  <c r="B1282" i="29955"/>
  <c r="B1018" i="29955"/>
  <c r="B2217" i="29955"/>
  <c r="B577" i="29955"/>
  <c r="B578" i="29955"/>
  <c r="B1031" i="29955"/>
  <c r="B1439" i="29955"/>
  <c r="B1315" i="29955"/>
  <c r="B3690" i="29955"/>
  <c r="B537" i="29955"/>
  <c r="B528" i="29955"/>
  <c r="B2814" i="29955"/>
  <c r="B438" i="29955"/>
  <c r="B571" i="29955"/>
  <c r="B2214" i="29955"/>
  <c r="B2306" i="29955"/>
  <c r="B1627" i="29955"/>
  <c r="B732" i="29955"/>
  <c r="B2218" i="29955"/>
  <c r="B3539" i="29955"/>
  <c r="B3849" i="29955"/>
  <c r="B2233" i="29955"/>
  <c r="B3534" i="29955"/>
  <c r="B222" i="29955"/>
  <c r="B1619" i="29955"/>
  <c r="B2543" i="29955"/>
  <c r="B2548" i="29955"/>
  <c r="B2215" i="29955"/>
  <c r="B2014" i="29955"/>
  <c r="B2713" i="29955"/>
  <c r="B3863" i="29955"/>
  <c r="B603" i="29955"/>
  <c r="B2403" i="29955"/>
  <c r="B3866" i="29955"/>
  <c r="B3224" i="29955"/>
  <c r="B3561" i="29955"/>
  <c r="B2280" i="29955"/>
  <c r="B2540" i="29955"/>
  <c r="B3814" i="29955"/>
  <c r="B1523" i="29955"/>
  <c r="B2627" i="29955"/>
  <c r="B617" i="29955"/>
  <c r="B2711" i="29955"/>
  <c r="B3692" i="29955"/>
  <c r="B3058" i="29955"/>
  <c r="B1250" i="29955"/>
  <c r="B2961" i="29955"/>
  <c r="B2082" i="29955"/>
  <c r="B2072" i="29955"/>
  <c r="B2241" i="29955"/>
  <c r="B866" i="29955"/>
  <c r="B806" i="29955"/>
  <c r="B3172" i="29955"/>
  <c r="B1313" i="29955"/>
  <c r="B3820" i="29955"/>
  <c r="B2629" i="29955"/>
  <c r="B1618" i="29955"/>
  <c r="B1617" i="29955"/>
  <c r="B1510" i="29955"/>
  <c r="B2135" i="29955"/>
  <c r="B2553" i="29955"/>
  <c r="B213" i="29955"/>
  <c r="B1469" i="29955"/>
  <c r="B2076" i="29955"/>
  <c r="B2766" i="29955"/>
  <c r="B3880" i="29955"/>
  <c r="B2821" i="29955"/>
  <c r="B2983" i="29955"/>
  <c r="B1084" i="29955"/>
  <c r="B1641" i="29955"/>
  <c r="B1379" i="29955"/>
  <c r="B1468" i="29955"/>
  <c r="B800" i="29955"/>
  <c r="B635" i="29955"/>
  <c r="B2819" i="29955"/>
  <c r="B3115" i="29955"/>
  <c r="B2228" i="29955"/>
  <c r="B2806" i="29955"/>
  <c r="B3203" i="29955"/>
  <c r="B2911" i="29955"/>
  <c r="B3839" i="29955"/>
  <c r="B1150" i="29955"/>
  <c r="B1630" i="29955"/>
  <c r="B2416" i="29955"/>
  <c r="B1171" i="29955"/>
  <c r="B2769" i="29955"/>
  <c r="B3528" i="29955"/>
  <c r="B2472" i="29955"/>
  <c r="B1651" i="29955"/>
  <c r="B2942" i="29955"/>
  <c r="B2966" i="29955"/>
  <c r="B3529" i="29955"/>
  <c r="B579" i="29955"/>
  <c r="B2817" i="29955"/>
  <c r="B1629" i="29955"/>
  <c r="B17" i="29955"/>
  <c r="B3202" i="29955"/>
  <c r="B1769" i="29955"/>
  <c r="B622" i="29955"/>
  <c r="B2408" i="29955"/>
  <c r="B790" i="29955"/>
  <c r="B3667" i="29955"/>
  <c r="B381" i="29955"/>
  <c r="B380" i="29955"/>
  <c r="B542" i="29955"/>
  <c r="B599" i="29955"/>
  <c r="B1527" i="29955"/>
  <c r="B217" i="29955"/>
  <c r="B2040" i="29955"/>
  <c r="B878" i="29955"/>
  <c r="B2037" i="29955"/>
  <c r="B2043" i="29955"/>
  <c r="B3187" i="29955"/>
  <c r="B2192" i="29955"/>
  <c r="B3197" i="29955"/>
  <c r="B3838" i="29955"/>
  <c r="B624" i="29955"/>
  <c r="B3647" i="29955"/>
  <c r="B920" i="29955"/>
  <c r="B1767" i="29955"/>
  <c r="B269" i="29955"/>
  <c r="B2808" i="29955"/>
  <c r="B3328" i="29955"/>
  <c r="B2068" i="29955"/>
  <c r="B2818" i="29955"/>
  <c r="B2447" i="29955"/>
  <c r="B1373" i="29955"/>
  <c r="B3672" i="29955"/>
  <c r="B623" i="29955"/>
  <c r="B1637" i="29955"/>
  <c r="B3404" i="29955"/>
  <c r="B1195" i="29955"/>
  <c r="B1632" i="29955"/>
  <c r="B726" i="29955"/>
  <c r="B2375" i="29955"/>
  <c r="B1764" i="29955"/>
  <c r="B3878" i="29955"/>
  <c r="B3673" i="29955"/>
  <c r="B1228" i="29955"/>
  <c r="B2471" i="29955"/>
  <c r="B383" i="29955"/>
  <c r="B978" i="29955"/>
  <c r="B3557" i="29955"/>
  <c r="B431" i="29955"/>
  <c r="B2227" i="29955"/>
  <c r="B2783" i="29955"/>
  <c r="B3399" i="29955"/>
  <c r="B3398" i="29955"/>
  <c r="B2803" i="29955"/>
  <c r="B3443" i="29955"/>
  <c r="B3578" i="29955"/>
  <c r="B2430" i="29955"/>
  <c r="B937" i="29955"/>
  <c r="B3180" i="29955"/>
  <c r="B2465" i="29955"/>
  <c r="B2801" i="29955"/>
  <c r="B2287" i="29955"/>
  <c r="B2545" i="29955"/>
  <c r="B2035" i="29955"/>
  <c r="B1191" i="29955"/>
  <c r="B65" i="29955"/>
  <c r="B2347" i="29955"/>
  <c r="B2521" i="29955"/>
  <c r="B2036" i="29955"/>
  <c r="B2401" i="29955"/>
  <c r="B643" i="29955"/>
  <c r="B2090" i="29955"/>
  <c r="B2208" i="29955"/>
  <c r="B2200" i="29955"/>
  <c r="B2361" i="29955"/>
  <c r="B3665" i="29955"/>
  <c r="B1606" i="29955"/>
  <c r="B3382" i="29955"/>
  <c r="B2559" i="29955"/>
  <c r="B2316" i="29955"/>
  <c r="B2349" i="29955"/>
  <c r="B2199" i="29955"/>
  <c r="B1607" i="29955"/>
  <c r="B31" i="29955"/>
  <c r="B639" i="29955"/>
  <c r="B2546" i="29955"/>
  <c r="B2579" i="29955"/>
  <c r="B2906" i="29955"/>
  <c r="B1220" i="29955"/>
  <c r="B3726" i="29955"/>
  <c r="B39" i="29955"/>
  <c r="B3288" i="29955"/>
  <c r="B2492" i="29955"/>
  <c r="B1739" i="29955"/>
  <c r="B1360" i="29955"/>
  <c r="B1359" i="29955"/>
  <c r="B2123" i="29955"/>
  <c r="B1117" i="29955"/>
  <c r="B3451" i="29955"/>
  <c r="B832" i="29955"/>
  <c r="B276" i="29955"/>
  <c r="B1747" i="29955"/>
  <c r="B3375" i="29955"/>
  <c r="B3220" i="29955"/>
  <c r="B239" i="29955"/>
  <c r="B14" i="29955"/>
  <c r="B825" i="29955"/>
  <c r="B3487" i="29955"/>
  <c r="B3485" i="29955"/>
  <c r="B3217" i="29955"/>
  <c r="B3595" i="29955"/>
  <c r="B1729" i="29955"/>
  <c r="B3466" i="29955"/>
  <c r="B3486" i="29955"/>
  <c r="B3463" i="29955"/>
  <c r="B1736" i="29955"/>
  <c r="B3584" i="29955"/>
  <c r="B3570" i="29955"/>
  <c r="B2793" i="29955"/>
  <c r="B1120" i="29955"/>
  <c r="B3492" i="29955"/>
  <c r="B2506" i="29955"/>
  <c r="B747" i="29955"/>
  <c r="B833" i="29955"/>
  <c r="B1763" i="29955"/>
  <c r="B3709" i="29955"/>
  <c r="B3358" i="29955"/>
  <c r="B3450" i="29955"/>
  <c r="B1752" i="29955"/>
  <c r="B557" i="29955"/>
  <c r="B915" i="29955"/>
  <c r="B3713" i="29955"/>
  <c r="B518" i="29955"/>
  <c r="B555" i="29955"/>
  <c r="B1725" i="29955"/>
  <c r="B750" i="29955"/>
  <c r="B3208" i="29955"/>
  <c r="B1257" i="29955"/>
  <c r="B1830" i="29955"/>
  <c r="B2110" i="29955"/>
  <c r="B521" i="29955"/>
  <c r="B2482" i="29955"/>
  <c r="B2794" i="29955"/>
  <c r="B2112" i="29955"/>
  <c r="B3574" i="29955"/>
  <c r="B2121" i="29955"/>
  <c r="B2486" i="29955"/>
  <c r="B1125" i="29955"/>
  <c r="B1834" i="29955"/>
  <c r="B384" i="29955"/>
  <c r="B2487" i="29955"/>
  <c r="B1133" i="29955"/>
  <c r="B3480" i="29955"/>
  <c r="B1727" i="29955"/>
  <c r="B1754" i="29955"/>
  <c r="B1138" i="29955"/>
  <c r="B835" i="29955"/>
  <c r="B818" i="29955"/>
  <c r="B1722" i="29955"/>
  <c r="B3725" i="29955"/>
  <c r="B1753" i="29955"/>
  <c r="B236" i="29955"/>
  <c r="B1356" i="29955"/>
  <c r="B2117" i="29955"/>
  <c r="B562" i="29955"/>
  <c r="B284" i="29955"/>
  <c r="B819" i="29955"/>
  <c r="B831" i="29955"/>
  <c r="B1745" i="29955"/>
  <c r="B3500" i="29955"/>
  <c r="B280" i="29955"/>
  <c r="B3724" i="29955"/>
  <c r="B506" i="29955"/>
  <c r="B1232" i="29955"/>
  <c r="B3352" i="29955"/>
  <c r="B3479" i="29955"/>
  <c r="B427" i="29955"/>
  <c r="B520" i="29955"/>
  <c r="B1147" i="29955"/>
  <c r="B3474" i="29955"/>
  <c r="B3569" i="29955"/>
  <c r="B2529" i="29955"/>
  <c r="B2132" i="29955"/>
  <c r="B1348" i="29955"/>
  <c r="B823" i="29955"/>
  <c r="B231" i="29955"/>
  <c r="B3219" i="29955"/>
  <c r="B565" i="29955"/>
  <c r="B2128" i="29955"/>
  <c r="B561" i="29955"/>
  <c r="B3643" i="29955"/>
  <c r="B1112" i="29955"/>
  <c r="B47" i="29955"/>
  <c r="B379" i="29955"/>
  <c r="B1119" i="29955"/>
  <c r="B2502" i="29955"/>
  <c r="B2480" i="29955"/>
  <c r="B1744" i="29955"/>
  <c r="B502" i="29955"/>
  <c r="B2490" i="29955"/>
  <c r="B1103" i="29955"/>
  <c r="B1762" i="29955"/>
  <c r="B2526" i="29955"/>
  <c r="B1113" i="29955"/>
  <c r="B556" i="29955"/>
  <c r="B3596" i="29955"/>
  <c r="B816" i="29955"/>
  <c r="B567" i="29955"/>
  <c r="B227" i="29955"/>
  <c r="B202" i="29955"/>
  <c r="B3580" i="29955"/>
  <c r="B526" i="29955"/>
  <c r="B1880" i="29955"/>
  <c r="B1126" i="29955"/>
  <c r="B2296" i="29955"/>
  <c r="B2114" i="29955"/>
  <c r="B2510" i="29955"/>
  <c r="B3184" i="29955"/>
  <c r="B3460" i="29955"/>
  <c r="B3453" i="29955"/>
  <c r="B1105" i="29955"/>
  <c r="B2479" i="29955"/>
  <c r="B2484" i="29955"/>
  <c r="B2528" i="29955"/>
  <c r="B1755" i="29955"/>
  <c r="B1128" i="29955"/>
  <c r="B2500" i="29955"/>
  <c r="B2501" i="29955"/>
  <c r="B1131" i="29955"/>
  <c r="B1109" i="29955"/>
  <c r="B235" i="29955"/>
  <c r="B2120" i="29955"/>
  <c r="B2118" i="29955"/>
  <c r="B1107" i="29955"/>
  <c r="B1139" i="29955"/>
  <c r="B1236" i="29955"/>
  <c r="B3475" i="29955"/>
  <c r="B3571" i="29955"/>
  <c r="B2115" i="29955"/>
  <c r="B2476" i="29955"/>
  <c r="B820" i="29955"/>
  <c r="B566" i="29955"/>
  <c r="B1751" i="29955"/>
  <c r="B1836" i="29955"/>
  <c r="B1353" i="29955"/>
  <c r="B507" i="29955"/>
  <c r="B2499" i="29955"/>
  <c r="B1721" i="29955"/>
  <c r="B513" i="29955"/>
  <c r="B94" i="29955"/>
  <c r="B514" i="29955"/>
  <c r="B1219" i="29955"/>
  <c r="B1831" i="29955"/>
  <c r="B3489" i="29955"/>
  <c r="B3473" i="29955"/>
  <c r="B1102" i="29955"/>
  <c r="B3456" i="29955"/>
  <c r="B2950" i="29955"/>
  <c r="B3496" i="29955"/>
  <c r="B3221" i="29955"/>
  <c r="B2507" i="29955"/>
  <c r="B46" i="29955"/>
  <c r="B1350" i="29955"/>
  <c r="B2551" i="29955"/>
  <c r="B2042" i="29955"/>
  <c r="B2113" i="29955"/>
  <c r="B1737" i="29955"/>
  <c r="B3491" i="29955"/>
  <c r="B1885" i="29955"/>
  <c r="B1877" i="29955"/>
  <c r="B3573" i="29955"/>
  <c r="B2496" i="29955"/>
  <c r="B3641" i="29955"/>
  <c r="B3477" i="29955"/>
  <c r="B2772" i="29955"/>
  <c r="B1874" i="29955"/>
  <c r="B1093" i="29955"/>
  <c r="B3821" i="29955"/>
  <c r="B1732" i="29955"/>
  <c r="B45" i="29955"/>
  <c r="B1734" i="29955"/>
  <c r="B3438" i="29955"/>
  <c r="B1883" i="29955"/>
  <c r="B2493" i="29955"/>
  <c r="B3493" i="29955"/>
  <c r="B225" i="29955"/>
  <c r="B3714" i="29955"/>
  <c r="B3599" i="29955"/>
  <c r="B3526" i="29955"/>
  <c r="B1104" i="29955"/>
  <c r="B1239" i="29955"/>
  <c r="B1226" i="29955"/>
  <c r="B2131" i="29955"/>
  <c r="B544" i="29955"/>
  <c r="B1123" i="29955"/>
  <c r="B1217" i="29955"/>
  <c r="B3478" i="29955"/>
  <c r="B2103" i="29955"/>
  <c r="B2949" i="29955"/>
  <c r="B3749" i="29955"/>
  <c r="B828" i="29955"/>
  <c r="B529" i="29955"/>
  <c r="B1357" i="29955"/>
  <c r="B3448" i="29955"/>
  <c r="B2791" i="29955"/>
  <c r="B282" i="29955"/>
  <c r="B2792" i="29955"/>
  <c r="B1096" i="29955"/>
  <c r="B1115" i="29955"/>
  <c r="B1878" i="29955"/>
  <c r="B1106" i="29955"/>
  <c r="B1129" i="29955"/>
  <c r="B2524" i="29955"/>
  <c r="B2509" i="29955"/>
  <c r="B1881" i="29955"/>
  <c r="B3544" i="29955"/>
  <c r="B1505" i="29955"/>
  <c r="B237" i="29955"/>
  <c r="B510" i="29955"/>
  <c r="B512" i="29955"/>
  <c r="B1146" i="29955"/>
  <c r="B1221" i="29955"/>
  <c r="B2481" i="29955"/>
  <c r="B2504" i="29955"/>
  <c r="B2513" i="29955"/>
  <c r="B2580" i="29955"/>
  <c r="B3594" i="29955"/>
  <c r="B3602" i="29955"/>
  <c r="B3823" i="29955"/>
  <c r="B1227" i="29955"/>
  <c r="B3461" i="29955"/>
  <c r="B3727" i="29955"/>
  <c r="B3810" i="29955"/>
  <c r="B3458" i="29955"/>
  <c r="B2505" i="29955"/>
  <c r="B822" i="29955"/>
  <c r="B558" i="29955"/>
  <c r="B3586" i="29955"/>
  <c r="B1531" i="29955"/>
  <c r="B2497" i="29955"/>
  <c r="B834" i="29955"/>
  <c r="B3454" i="29955"/>
  <c r="B1137" i="29955"/>
  <c r="B277" i="29955"/>
  <c r="B826" i="29955"/>
  <c r="B1130" i="29955"/>
  <c r="B3433" i="29955"/>
  <c r="B2045" i="29955"/>
  <c r="B2477" i="29955"/>
  <c r="B1724" i="29955"/>
  <c r="B1730" i="29955"/>
  <c r="B1879" i="29955"/>
  <c r="B2511" i="29955"/>
  <c r="B2133" i="29955"/>
  <c r="B1507" i="29955"/>
  <c r="B2111" i="29955"/>
  <c r="B2788" i="29955"/>
  <c r="B2049" i="29955"/>
  <c r="B382" i="29955"/>
  <c r="B48" i="29955"/>
  <c r="B2017" i="29955"/>
  <c r="B3205" i="29955"/>
  <c r="B2127" i="29955"/>
  <c r="B3452" i="29955"/>
  <c r="B3642" i="29955"/>
  <c r="B1728" i="29955"/>
  <c r="B799" i="29955"/>
  <c r="B1346" i="29955"/>
  <c r="B3359" i="29955"/>
  <c r="B560" i="29955"/>
  <c r="B2106" i="29955"/>
  <c r="B3447" i="29955"/>
  <c r="B1723" i="29955"/>
  <c r="B1235" i="29955"/>
  <c r="B3289" i="29955"/>
  <c r="B1738" i="29955"/>
  <c r="B751" i="29955"/>
  <c r="B2488" i="29955"/>
  <c r="B1122" i="29955"/>
  <c r="B1718" i="29955"/>
  <c r="B3211" i="29955"/>
  <c r="B1733" i="29955"/>
  <c r="B508" i="29955"/>
  <c r="B1134" i="29955"/>
  <c r="B229" i="29955"/>
  <c r="B2489" i="29955"/>
  <c r="B2494" i="29955"/>
  <c r="B2919" i="29955"/>
  <c r="B519" i="29955"/>
  <c r="B1873" i="29955"/>
  <c r="B1087" i="29955"/>
  <c r="B2948" i="29955"/>
  <c r="B564" i="29955"/>
  <c r="B2923" i="29955"/>
  <c r="B3597" i="29955"/>
  <c r="B3494" i="29955"/>
  <c r="B2491" i="29955"/>
  <c r="B1281" i="29955"/>
  <c r="B1116" i="29955"/>
  <c r="B1746" i="29955"/>
  <c r="B1833" i="29955"/>
  <c r="B1837" i="29955"/>
  <c r="B3576" i="29955"/>
  <c r="B3476" i="29955"/>
  <c r="B3712" i="29955"/>
  <c r="B386" i="29955"/>
  <c r="B3590" i="29955"/>
  <c r="B228" i="29955"/>
  <c r="B233" i="29955"/>
  <c r="B2527" i="29955"/>
  <c r="B3577" i="29955"/>
  <c r="B3811" i="29955"/>
  <c r="B1347" i="29955"/>
  <c r="B2964" i="29955"/>
  <c r="B3711" i="29955"/>
  <c r="B3449" i="29955"/>
  <c r="B1279" i="29955"/>
  <c r="B1743" i="29955"/>
  <c r="B1100" i="29955"/>
  <c r="B2292" i="29955"/>
  <c r="B2478" i="29955"/>
  <c r="B3495" i="29955"/>
  <c r="B511" i="29955"/>
  <c r="B3545" i="29955"/>
  <c r="B3575" i="29955"/>
  <c r="B1757" i="29955"/>
  <c r="B3469" i="29955"/>
  <c r="B1234" i="29955"/>
  <c r="B3568" i="29955"/>
  <c r="B3498" i="29955"/>
  <c r="B1229" i="29955"/>
  <c r="B827" i="29955"/>
  <c r="B1351" i="29955"/>
  <c r="B824" i="29955"/>
  <c r="B1140" i="29955"/>
  <c r="B3434" i="29955"/>
  <c r="B1121" i="29955"/>
  <c r="B3464" i="29955"/>
  <c r="B3585" i="29955"/>
  <c r="B523" i="29955"/>
  <c r="B1349" i="29955"/>
  <c r="B749" i="29955"/>
  <c r="B1835" i="29955"/>
  <c r="B830" i="29955"/>
  <c r="B1216" i="29955"/>
  <c r="B1095" i="29955"/>
  <c r="B385" i="29955"/>
  <c r="B3581" i="29955"/>
  <c r="B3758" i="29955"/>
  <c r="B3364" i="29955"/>
  <c r="B3216" i="29955"/>
  <c r="B3470" i="29955"/>
  <c r="B968" i="29955"/>
  <c r="B3455" i="29955"/>
  <c r="B3481" i="29955"/>
  <c r="B1091" i="29955"/>
  <c r="B2107" i="29955"/>
  <c r="B44" i="29955"/>
  <c r="B3490" i="29955"/>
  <c r="B3572" i="29955"/>
  <c r="B505" i="29955"/>
  <c r="B3361" i="29955"/>
  <c r="B1740" i="29955"/>
  <c r="B285" i="29955"/>
  <c r="B3807" i="29955"/>
  <c r="B2018" i="29955"/>
  <c r="B3212" i="29955"/>
  <c r="B3598" i="29955"/>
  <c r="B2495" i="29955"/>
  <c r="B1136" i="29955"/>
  <c r="B3206" i="29955"/>
  <c r="B1726" i="29955"/>
  <c r="B1352" i="29955"/>
  <c r="B1731" i="29955"/>
  <c r="B73" i="29955"/>
  <c r="B283" i="29955"/>
  <c r="B1245" i="29955"/>
  <c r="B2921" i="29955"/>
  <c r="B1530" i="29955"/>
  <c r="B1748" i="29955"/>
  <c r="B1620" i="29955"/>
  <c r="B2953" i="29955"/>
  <c r="B1092" i="29955"/>
  <c r="B1110" i="29955"/>
  <c r="B43" i="29955"/>
  <c r="B2119" i="29955"/>
  <c r="B1756" i="29955"/>
  <c r="B563" i="29955"/>
  <c r="B504" i="29955"/>
  <c r="B3207" i="29955"/>
  <c r="B1094" i="29955"/>
  <c r="B2789" i="29955"/>
  <c r="B1506" i="29955"/>
  <c r="B3360" i="29955"/>
  <c r="B3210" i="29955"/>
  <c r="B2091" i="29955"/>
  <c r="B1098" i="29955"/>
  <c r="B1749" i="29955"/>
  <c r="B1875" i="29955"/>
  <c r="B817" i="29955"/>
  <c r="B1124" i="29955"/>
  <c r="B3209" i="29955"/>
  <c r="B1218" i="29955"/>
  <c r="B1127" i="29955"/>
  <c r="B1233" i="29955"/>
  <c r="B1145" i="29955"/>
  <c r="B1758" i="29955"/>
  <c r="B3468" i="29955"/>
  <c r="B281" i="29955"/>
  <c r="B503" i="29955"/>
  <c r="B2130" i="29955"/>
  <c r="B3350" i="29955"/>
  <c r="B3465" i="29955"/>
  <c r="B3215" i="29955"/>
  <c r="B1354" i="29955"/>
  <c r="B2122" i="29955"/>
  <c r="B1750" i="29955"/>
  <c r="B1108" i="29955"/>
  <c r="B230" i="29955"/>
  <c r="B3710" i="29955"/>
  <c r="B3472" i="29955"/>
  <c r="B3822" i="29955"/>
  <c r="B1735" i="29955"/>
  <c r="B1280" i="29955"/>
  <c r="B3488" i="29955"/>
  <c r="B1742" i="29955"/>
  <c r="B1086" i="29955"/>
  <c r="B279" i="29955"/>
  <c r="B3582" i="29955"/>
  <c r="B3462" i="29955"/>
  <c r="B3483" i="29955"/>
  <c r="B3484" i="29955"/>
  <c r="B2485" i="29955"/>
  <c r="B3457" i="29955"/>
  <c r="B1099" i="29955"/>
  <c r="B1325" i="29955"/>
  <c r="B2129" i="29955"/>
  <c r="B3583" i="29955"/>
  <c r="B881" i="29955"/>
  <c r="B3601" i="29955"/>
  <c r="B1090" i="29955"/>
  <c r="B2109" i="29955"/>
  <c r="B2104" i="29955"/>
  <c r="B2134" i="29955"/>
  <c r="B1114" i="29955"/>
  <c r="B3482" i="29955"/>
  <c r="B1720" i="29955"/>
  <c r="B3214" i="29955"/>
  <c r="B3761" i="29955"/>
  <c r="B752" i="29955"/>
  <c r="B2525" i="29955"/>
  <c r="B1741" i="29955"/>
  <c r="B1111" i="29955"/>
  <c r="B530" i="29955"/>
  <c r="B3587" i="29955"/>
  <c r="B2523" i="29955"/>
  <c r="B517" i="29955"/>
  <c r="B3471" i="29955"/>
  <c r="B1355" i="29955"/>
  <c r="B3439" i="29955"/>
  <c r="B224" i="29955"/>
  <c r="B1101" i="29955"/>
  <c r="B2124" i="29955"/>
  <c r="B3213" i="29955"/>
  <c r="B2108" i="29955"/>
  <c r="B1148" i="29955"/>
  <c r="B3588" i="29955"/>
  <c r="B15" i="29955"/>
  <c r="B559" i="29955"/>
  <c r="B2126" i="29955"/>
  <c r="B815" i="29955"/>
  <c r="B2102" i="29955"/>
  <c r="B3748" i="29955"/>
  <c r="B2483" i="29955"/>
  <c r="B3467" i="29955"/>
  <c r="B3579" i="29955"/>
  <c r="B1118" i="29955"/>
  <c r="B522" i="29955"/>
  <c r="B3459" i="29955"/>
  <c r="B1097" i="29955"/>
  <c r="B42" i="29955"/>
  <c r="B928" i="29955"/>
  <c r="B1888" i="29955"/>
  <c r="B3176" i="29955"/>
  <c r="B3593" i="29955"/>
  <c r="B257" i="29955"/>
  <c r="B3592" i="29955"/>
  <c r="B1717" i="29955"/>
  <c r="B1132" i="29955"/>
  <c r="B1149" i="29955"/>
  <c r="B1876" i="29955"/>
  <c r="B2125" i="29955"/>
  <c r="B226" i="29955"/>
  <c r="B3589" i="29955"/>
  <c r="B748" i="29955"/>
  <c r="B2512" i="29955"/>
  <c r="B2116" i="29955"/>
  <c r="B516" i="29955"/>
  <c r="B460" i="29955"/>
  <c r="B2190" i="29955"/>
  <c r="B295" i="29955"/>
  <c r="B2423" i="29955"/>
  <c r="B2534" i="29955"/>
  <c r="B3050" i="29955"/>
  <c r="B2823" i="29955"/>
  <c r="B908" i="29955"/>
  <c r="B1657" i="29955"/>
  <c r="B2312" i="29955"/>
  <c r="B2145" i="29955"/>
  <c r="B909" i="29955"/>
  <c r="B597" i="29955"/>
  <c r="B3566" i="29955"/>
  <c r="B3676" i="29955"/>
  <c r="B33" i="29955"/>
  <c r="B2189" i="29955"/>
  <c r="B1001" i="29955"/>
  <c r="B3732" i="29955"/>
  <c r="B3282" i="29955"/>
  <c r="B543" i="29955"/>
  <c r="B2424" i="29955"/>
  <c r="B551" i="29955"/>
  <c r="B2771" i="29955"/>
  <c r="B1842" i="29955"/>
  <c r="B1362" i="29955"/>
  <c r="B1361" i="29955"/>
  <c r="B2147" i="29955"/>
  <c r="B1256" i="29955"/>
  <c r="B3546" i="29955"/>
  <c r="B1180" i="29955"/>
  <c r="B1846" i="29955"/>
  <c r="B1184" i="29955"/>
  <c r="B3527" i="29955"/>
  <c r="B2146" i="29955"/>
  <c r="B1264" i="29955"/>
  <c r="B1691" i="29955"/>
  <c r="B927" i="29955"/>
  <c r="B3547" i="29955"/>
  <c r="B3564" i="29955"/>
  <c r="B1173" i="29955"/>
  <c r="B3858" i="29955"/>
  <c r="B3859" i="29955"/>
  <c r="B2584" i="29955"/>
  <c r="B3542" i="29955"/>
  <c r="B3503" i="29955"/>
  <c r="B1847" i="29955"/>
  <c r="B1663" i="29955"/>
  <c r="B1197" i="29955"/>
  <c r="B2634" i="29955"/>
  <c r="B3070" i="29955"/>
  <c r="B98" i="29955"/>
  <c r="B1948" i="29955"/>
  <c r="B1675" i="29955"/>
  <c r="B1374" i="29955"/>
  <c r="B694" i="29955"/>
  <c r="B8" i="29955"/>
  <c r="B68" i="29955"/>
  <c r="B1709" i="29955"/>
  <c r="B303" i="29955"/>
  <c r="B3148" i="29955"/>
  <c r="B2992" i="29955"/>
  <c r="B1487" i="29955"/>
  <c r="B69" i="29955"/>
  <c r="B101" i="29955"/>
  <c r="B3128" i="29955"/>
  <c r="B103" i="29955"/>
  <c r="B846" i="29955"/>
  <c r="B3011" i="29955"/>
  <c r="B2842" i="29955"/>
  <c r="B1784" i="29955"/>
  <c r="B660" i="29955"/>
  <c r="B661" i="29955"/>
  <c r="B3073" i="29955"/>
  <c r="B3012" i="29955"/>
  <c r="B533" i="29955"/>
  <c r="B2929" i="29955"/>
  <c r="B2639" i="29955"/>
  <c r="B3604" i="29955"/>
  <c r="B3605" i="29955"/>
  <c r="B2622" i="29955"/>
  <c r="B1537" i="29955"/>
  <c r="B2993" i="29955"/>
  <c r="B3075" i="29955"/>
  <c r="B3868" i="29955"/>
  <c r="B2015" i="29955"/>
  <c r="B2720" i="29955"/>
  <c r="B3606" i="29955"/>
  <c r="B3607" i="29955"/>
  <c r="B1949" i="29955"/>
  <c r="B2640" i="29955"/>
  <c r="B3650" i="29955"/>
  <c r="B104" i="29955"/>
  <c r="B1378" i="29955"/>
  <c r="B3016" i="29955"/>
  <c r="B3117" i="29955"/>
  <c r="B1199" i="29955"/>
  <c r="B3302" i="29955"/>
  <c r="B662" i="29955"/>
  <c r="B2641" i="29955"/>
  <c r="B2845" i="29955"/>
  <c r="B106" i="29955"/>
  <c r="B2846" i="29955"/>
  <c r="B2847" i="29955"/>
  <c r="B2994" i="29955"/>
  <c r="B940" i="29955"/>
  <c r="B979" i="29955"/>
  <c r="B180" i="29955"/>
  <c r="B2848" i="29955"/>
  <c r="B3770" i="29955"/>
  <c r="B2642" i="29955"/>
  <c r="B108" i="29955"/>
  <c r="B2643" i="29955"/>
  <c r="B2825" i="29955"/>
  <c r="B3017" i="29955"/>
  <c r="B1541" i="29955"/>
  <c r="B781" i="29955"/>
  <c r="B1002" i="29955"/>
  <c r="B1142" i="29955"/>
  <c r="B969" i="29955"/>
  <c r="B2702" i="29955"/>
  <c r="B1798" i="29955"/>
  <c r="B70" i="29955"/>
  <c r="B2849" i="29955"/>
  <c r="B3785" i="29955"/>
  <c r="B307" i="29955"/>
  <c r="B3402" i="29955"/>
  <c r="B2850" i="29955"/>
  <c r="B458" i="29955"/>
  <c r="B3678" i="29955"/>
  <c r="B1367" i="29955"/>
  <c r="B1258" i="29955"/>
  <c r="B2019" i="29955"/>
  <c r="B1543" i="29955"/>
  <c r="B308" i="29955"/>
  <c r="B3129" i="29955"/>
  <c r="B2851" i="29955"/>
  <c r="B3771" i="29955"/>
  <c r="B1240" i="29955"/>
  <c r="B1544" i="29955"/>
  <c r="B3018" i="29955"/>
  <c r="B943" i="29955"/>
  <c r="B2852" i="29955"/>
  <c r="B2363" i="29955"/>
  <c r="B1792" i="29955"/>
  <c r="B111" i="29955"/>
  <c r="B3895" i="29955"/>
  <c r="B2707" i="29955"/>
  <c r="B782" i="29955"/>
  <c r="B1490" i="29955"/>
  <c r="B1414" i="29955"/>
  <c r="B2647" i="29955"/>
  <c r="B309" i="29955"/>
  <c r="B2648" i="29955"/>
  <c r="B310" i="29955"/>
  <c r="B1417" i="29955"/>
  <c r="B2562" i="29955"/>
  <c r="B570" i="29955"/>
  <c r="B2602" i="29955"/>
  <c r="B3610" i="29955"/>
  <c r="B2722" i="29955"/>
  <c r="B848" i="29955"/>
  <c r="B3541" i="29955"/>
  <c r="B113" i="29955"/>
  <c r="B1953" i="29955"/>
  <c r="B737" i="29955"/>
  <c r="B312" i="29955"/>
  <c r="B1368" i="29955"/>
  <c r="B3152" i="29955"/>
  <c r="B313" i="29955"/>
  <c r="B3384" i="29955"/>
  <c r="B3293" i="29955"/>
  <c r="B1954" i="29955"/>
  <c r="B1259" i="29955"/>
  <c r="B3131" i="29955"/>
  <c r="B2855" i="29955"/>
  <c r="B3186" i="29955"/>
  <c r="B1547" i="29955"/>
  <c r="B2708" i="29955"/>
  <c r="B2593" i="29955"/>
  <c r="B2650" i="29955"/>
  <c r="B783" i="29955"/>
  <c r="B2651" i="29955"/>
  <c r="B315" i="29955"/>
  <c r="B3019" i="29955"/>
  <c r="B316" i="29955"/>
  <c r="B2704" i="29955"/>
  <c r="B3084" i="29955"/>
  <c r="B945" i="29955"/>
  <c r="B1292" i="29955"/>
  <c r="B1436" i="29955"/>
  <c r="B2856" i="29955"/>
  <c r="B696" i="29955"/>
  <c r="B3020" i="29955"/>
  <c r="B850" i="29955"/>
  <c r="B318" i="29955"/>
  <c r="B1082" i="29955"/>
  <c r="B1035" i="29955"/>
  <c r="B2652" i="29955"/>
  <c r="B851" i="29955"/>
  <c r="B2564" i="29955"/>
  <c r="B3133" i="29955"/>
  <c r="B72" i="29955"/>
  <c r="B1222" i="29955"/>
  <c r="B852" i="29955"/>
  <c r="B3021" i="29955"/>
  <c r="B3612" i="29955"/>
  <c r="B450" i="29955"/>
  <c r="B2933" i="29955"/>
  <c r="B1294" i="29955"/>
  <c r="B948" i="29955"/>
  <c r="B1662" i="29955"/>
  <c r="B3230" i="29955"/>
  <c r="B1549" i="29955"/>
  <c r="B3614" i="29955"/>
  <c r="B2556" i="29955"/>
  <c r="B2997" i="29955"/>
  <c r="B3326" i="29955"/>
  <c r="B1492" i="29955"/>
  <c r="B319" i="29955"/>
  <c r="B1341" i="29955"/>
  <c r="B1800" i="29955"/>
  <c r="B1940" i="29955"/>
  <c r="B2549" i="29955"/>
  <c r="B3134" i="29955"/>
  <c r="B1771" i="29955"/>
  <c r="B320" i="29955"/>
  <c r="B3897" i="29955"/>
  <c r="B2858" i="29955"/>
  <c r="B2922" i="29955"/>
  <c r="B1445" i="29955"/>
  <c r="B2859" i="29955"/>
  <c r="B3185" i="29955"/>
  <c r="B1310" i="29955"/>
  <c r="B2860" i="29955"/>
  <c r="B2517" i="29955"/>
  <c r="B469" i="29955"/>
  <c r="B3788" i="29955"/>
  <c r="B2862" i="29955"/>
  <c r="B3549" i="29955"/>
  <c r="B3522" i="29955"/>
  <c r="B471" i="29955"/>
  <c r="B3232" i="29955"/>
  <c r="B1823" i="29955"/>
  <c r="B3086" i="29955"/>
  <c r="B853" i="29955"/>
  <c r="B698" i="29955"/>
  <c r="B950" i="29955"/>
  <c r="B3615" i="29955"/>
  <c r="B324" i="29955"/>
  <c r="B3789" i="29955"/>
  <c r="B1671" i="29955"/>
  <c r="B843" i="29955"/>
  <c r="B2607" i="29955"/>
  <c r="B415" i="29955"/>
  <c r="B3805" i="29955"/>
  <c r="B3406" i="29955"/>
  <c r="B325" i="29955"/>
  <c r="B326" i="29955"/>
  <c r="B1553" i="29955"/>
  <c r="B1554" i="29955"/>
  <c r="B855" i="29955"/>
  <c r="B1263" i="29955"/>
  <c r="B2098" i="29955"/>
  <c r="B1073" i="29955"/>
  <c r="B1555" i="29955"/>
  <c r="B1887" i="29955"/>
  <c r="B3028" i="29955"/>
  <c r="B952" i="29955"/>
  <c r="B1447" i="29955"/>
  <c r="B3088" i="29955"/>
  <c r="B3233" i="29955"/>
  <c r="B2657" i="29955"/>
  <c r="B1900" i="29955"/>
  <c r="B1672" i="29955"/>
  <c r="B1825" i="29955"/>
  <c r="B2999" i="29955"/>
  <c r="B1861" i="29955"/>
  <c r="B3089" i="29955"/>
  <c r="B329" i="29955"/>
  <c r="B1421" i="29955"/>
  <c r="B2168" i="29955"/>
  <c r="B125" i="29955"/>
  <c r="B2705" i="29955"/>
  <c r="B857" i="29955"/>
  <c r="B330" i="29955"/>
  <c r="B3234" i="29955"/>
  <c r="B1801" i="29955"/>
  <c r="B2536" i="29955"/>
  <c r="B1783" i="29955"/>
  <c r="B3619" i="29955"/>
  <c r="B185" i="29955"/>
  <c r="B1514" i="29955"/>
  <c r="B1213" i="29955"/>
  <c r="B3603" i="29955"/>
  <c r="B858" i="29955"/>
  <c r="B2660" i="29955"/>
  <c r="B1901" i="29955"/>
  <c r="B1963" i="29955"/>
  <c r="B3881" i="29955"/>
  <c r="B3169" i="29955"/>
  <c r="B1041" i="29955"/>
  <c r="B1449" i="29955"/>
  <c r="B1903" i="29955"/>
  <c r="B2867" i="29955"/>
  <c r="B2609" i="29955"/>
  <c r="B601" i="29955"/>
  <c r="B1802" i="29955"/>
  <c r="B972" i="29955"/>
  <c r="B2938" i="29955"/>
  <c r="B416" i="29955"/>
  <c r="B3000" i="29955"/>
  <c r="B240" i="29955"/>
  <c r="B725" i="29955"/>
  <c r="B1474" i="29955"/>
  <c r="B1938" i="29955"/>
  <c r="B479" i="29955"/>
  <c r="B1331" i="29955"/>
  <c r="B2661" i="29955"/>
  <c r="B1561" i="29955"/>
  <c r="B1563" i="29955"/>
  <c r="B335" i="29955"/>
  <c r="B1296" i="29955"/>
  <c r="B1803" i="29955"/>
  <c r="B336" i="29955"/>
  <c r="B1515" i="29955"/>
  <c r="B670" i="29955"/>
  <c r="B700" i="29955"/>
  <c r="B1388" i="29955"/>
  <c r="B1788" i="29955"/>
  <c r="B132" i="29955"/>
  <c r="B3001" i="29955"/>
  <c r="B1267" i="29955"/>
  <c r="B249" i="29955"/>
  <c r="B2870" i="29955"/>
  <c r="B892" i="29955"/>
  <c r="B1450" i="29955"/>
  <c r="B441" i="29955"/>
  <c r="B77" i="29955"/>
  <c r="B1690" i="29955"/>
  <c r="B1906" i="29955"/>
  <c r="B3654" i="29955"/>
  <c r="B1297" i="29955"/>
  <c r="B2610" i="29955"/>
  <c r="B1967" i="29955"/>
  <c r="B1804" i="29955"/>
  <c r="B134" i="29955"/>
  <c r="B1451" i="29955"/>
  <c r="B1683" i="29955"/>
  <c r="B3793" i="29955"/>
  <c r="B1175" i="29955"/>
  <c r="B619" i="29955"/>
  <c r="B203" i="29955"/>
  <c r="B2709" i="29955"/>
  <c r="B3794" i="29955"/>
  <c r="B1215" i="29955"/>
  <c r="B1237" i="29955"/>
  <c r="B2194" i="29955"/>
  <c r="B135" i="29955"/>
  <c r="B204" i="29955"/>
  <c r="B2939" i="29955"/>
  <c r="B3138" i="29955"/>
  <c r="B1389" i="29955"/>
  <c r="B482" i="29955"/>
  <c r="B78" i="29955"/>
  <c r="B3904" i="29955"/>
  <c r="B483" i="29955"/>
  <c r="B859" i="29955"/>
  <c r="B1566" i="29955"/>
  <c r="B1251" i="29955"/>
  <c r="B2873" i="29955"/>
  <c r="B339" i="29955"/>
  <c r="B137" i="29955"/>
  <c r="B2874" i="29955"/>
  <c r="B3679" i="29955"/>
  <c r="B1782" i="29955"/>
  <c r="B3003" i="29955"/>
  <c r="B3139" i="29955"/>
  <c r="B2876" i="29955"/>
  <c r="B1284" i="29955"/>
  <c r="B1268" i="29955"/>
  <c r="B3623" i="29955"/>
  <c r="B841" i="29955"/>
  <c r="B1269" i="29955"/>
  <c r="B1928" i="29955"/>
  <c r="B1969" i="29955"/>
  <c r="B418" i="29955"/>
  <c r="B1567" i="29955"/>
  <c r="B1568" i="29955"/>
  <c r="B3095" i="29955"/>
  <c r="B3034" i="29955"/>
  <c r="B1684" i="29955"/>
  <c r="B1390" i="29955"/>
  <c r="B2879" i="29955"/>
  <c r="B3237" i="29955"/>
  <c r="B1424" i="29955"/>
  <c r="B1299" i="29955"/>
  <c r="B1391" i="29955"/>
  <c r="B3036" i="29955"/>
  <c r="B1369" i="29955"/>
  <c r="B2663" i="29955"/>
  <c r="B2881" i="29955"/>
  <c r="B3096" i="29955"/>
  <c r="B1462" i="29955"/>
  <c r="B341" i="29955"/>
  <c r="B3158" i="29955"/>
  <c r="B446" i="29955"/>
  <c r="B2728" i="29955"/>
  <c r="B1345" i="29955"/>
  <c r="B2799" i="29955"/>
  <c r="B342" i="29955"/>
  <c r="B142" i="29955"/>
  <c r="B2007" i="29955"/>
  <c r="B2664" i="29955"/>
  <c r="B2882" i="29955"/>
  <c r="B860" i="29955"/>
  <c r="B914" i="29955"/>
  <c r="B1045" i="29955"/>
  <c r="B1573" i="29955"/>
  <c r="B2730" i="29955"/>
  <c r="B1046" i="29955"/>
  <c r="B1574" i="29955"/>
  <c r="B1821" i="29955"/>
  <c r="B343" i="29955"/>
  <c r="B3627" i="29955"/>
  <c r="B958" i="29955"/>
  <c r="B3297" i="29955"/>
  <c r="B3410" i="29955"/>
  <c r="B146" i="29955"/>
  <c r="B3305" i="29955"/>
  <c r="B1797" i="29955"/>
  <c r="B2802" i="29955"/>
  <c r="B147" i="29955"/>
  <c r="B241" i="29955"/>
  <c r="B1453" i="29955"/>
  <c r="B1575" i="29955"/>
  <c r="B673" i="29955"/>
  <c r="B1866" i="29955"/>
  <c r="B3225" i="29955"/>
  <c r="B148" i="29955"/>
  <c r="B1271" i="29955"/>
  <c r="B345" i="29955"/>
  <c r="B702" i="29955"/>
  <c r="B620" i="29955"/>
  <c r="B2883" i="29955"/>
  <c r="B152" i="29955"/>
  <c r="B1973" i="29955"/>
  <c r="B1974" i="29955"/>
  <c r="B89" i="29955"/>
  <c r="B487" i="29955"/>
  <c r="B1301" i="29955"/>
  <c r="B2885" i="29955"/>
  <c r="B2926" i="29955"/>
  <c r="B1324" i="29955"/>
  <c r="B3628" i="29955"/>
  <c r="B1774" i="29955"/>
  <c r="B453" i="29955"/>
  <c r="B2094" i="29955"/>
  <c r="B1193" i="29955"/>
  <c r="B1685" i="29955"/>
  <c r="B2248" i="29955"/>
  <c r="B1499" i="29955"/>
  <c r="B982" i="29955"/>
  <c r="B2569" i="29955"/>
  <c r="B1201" i="29955"/>
  <c r="B2913" i="29955"/>
  <c r="B1975" i="29955"/>
  <c r="B1395" i="29955"/>
  <c r="B720" i="29955"/>
  <c r="B1049" i="29955"/>
  <c r="B3393" i="29955"/>
  <c r="B3414" i="29955"/>
  <c r="B3415" i="29955"/>
  <c r="B3007" i="29955"/>
  <c r="B157" i="29955"/>
  <c r="B740" i="29955"/>
  <c r="B158" i="29955"/>
  <c r="B1425" i="29955"/>
  <c r="B1050" i="29955"/>
  <c r="B1581" i="29955"/>
  <c r="B1519" i="29955"/>
  <c r="B3161" i="29955"/>
  <c r="B348" i="29955"/>
  <c r="B598" i="29955"/>
  <c r="B1285" i="29955"/>
  <c r="B1945" i="29955"/>
  <c r="B1051" i="29955"/>
  <c r="B3774" i="29955"/>
  <c r="B959" i="29955"/>
  <c r="B293" i="29955"/>
  <c r="B1052" i="29955"/>
  <c r="B3242" i="29955"/>
  <c r="B1915" i="29955"/>
  <c r="B2891" i="29955"/>
  <c r="B159" i="29955"/>
  <c r="B187" i="29955"/>
  <c r="B251" i="29955"/>
  <c r="B1455" i="29955"/>
  <c r="B862" i="29955"/>
  <c r="B1978" i="29955"/>
  <c r="B1396" i="29955"/>
  <c r="B2538" i="29955"/>
  <c r="B2613" i="29955"/>
  <c r="B352" i="29955"/>
  <c r="B1585" i="29955"/>
  <c r="B1761" i="29955"/>
  <c r="B160" i="29955"/>
  <c r="B568" i="29955"/>
  <c r="B355" i="29955"/>
  <c r="B494" i="29955"/>
  <c r="B1397" i="29955"/>
  <c r="B2732" i="29955"/>
  <c r="B2893" i="29955"/>
  <c r="B864" i="29955"/>
  <c r="B3124" i="29955"/>
  <c r="B3141" i="29955"/>
  <c r="B2669" i="29955"/>
  <c r="B420" i="29955"/>
  <c r="B3162" i="29955"/>
  <c r="B162" i="29955"/>
  <c r="B3243" i="29955"/>
  <c r="B356" i="29955"/>
  <c r="B2672" i="29955"/>
  <c r="B3244" i="29955"/>
  <c r="B2894" i="29955"/>
  <c r="B2673" i="29955"/>
  <c r="B1428" i="29955"/>
  <c r="B1456" i="29955"/>
  <c r="B704" i="29955"/>
  <c r="B2943" i="29955"/>
  <c r="B81" i="29955"/>
  <c r="B497" i="29955"/>
  <c r="B961" i="29955"/>
  <c r="B2733" i="29955"/>
  <c r="B82" i="29955"/>
  <c r="B1984" i="29955"/>
  <c r="B3226" i="29955"/>
  <c r="B2573" i="29955"/>
  <c r="B2616" i="29955"/>
  <c r="B2734" i="29955"/>
  <c r="B357" i="29955"/>
  <c r="B1476" i="29955"/>
  <c r="B1707" i="29955"/>
  <c r="B2787" i="29955"/>
  <c r="B2898" i="29955"/>
  <c r="B2988" i="29955"/>
  <c r="B3125" i="29955"/>
  <c r="B1809" i="29955"/>
  <c r="B1687" i="29955"/>
  <c r="B1588" i="29955"/>
  <c r="B1164" i="29955"/>
  <c r="B2674" i="29955"/>
  <c r="B84" i="29955"/>
  <c r="B3105" i="29955"/>
  <c r="B1909" i="29955"/>
  <c r="B1054" i="29955"/>
  <c r="B1986" i="29955"/>
  <c r="B498" i="29955"/>
  <c r="B85" i="29955"/>
  <c r="B1592" i="29955"/>
  <c r="B1278" i="29955"/>
  <c r="B1088" i="29955"/>
  <c r="B358" i="29955"/>
  <c r="B447" i="29955"/>
  <c r="B272" i="29955"/>
  <c r="B1477" i="29955"/>
  <c r="B3632" i="29955"/>
  <c r="B1458" i="29955"/>
  <c r="B1500" i="29955"/>
  <c r="B1918" i="29955"/>
  <c r="B1779" i="29955"/>
  <c r="B844" i="29955"/>
  <c r="B2155" i="29955"/>
  <c r="B1214" i="29955"/>
  <c r="B1501" i="29955"/>
  <c r="B674" i="29955"/>
  <c r="B1459" i="29955"/>
  <c r="B2678" i="29955"/>
  <c r="B3164" i="29955"/>
  <c r="B167" i="29955"/>
  <c r="B741" i="29955"/>
  <c r="B2679" i="29955"/>
  <c r="B1165" i="29955"/>
  <c r="B2990" i="29955"/>
  <c r="B1688" i="29955"/>
  <c r="B3144" i="29955"/>
  <c r="B1919" i="29955"/>
  <c r="B3801" i="29955"/>
  <c r="B1167" i="29955"/>
  <c r="B3145" i="29955"/>
  <c r="B2832" i="29955"/>
  <c r="B273" i="29955"/>
  <c r="B1596" i="29955"/>
  <c r="B499" i="29955"/>
  <c r="B3009" i="29955"/>
  <c r="B718" i="29955"/>
  <c r="B1920" i="29955"/>
  <c r="B1168" i="29955"/>
  <c r="B2944" i="29955"/>
  <c r="B1502" i="29955"/>
  <c r="B3835" i="29955"/>
  <c r="B3659" i="29955"/>
  <c r="B362" i="29955"/>
  <c r="B1946" i="29955"/>
  <c r="B3044" i="29955"/>
  <c r="B1811" i="29955"/>
  <c r="B1781" i="29955"/>
  <c r="B2945" i="29955"/>
  <c r="B1987" i="29955"/>
  <c r="B2946" i="29955"/>
  <c r="B706" i="29955"/>
  <c r="B1988" i="29955"/>
  <c r="B3781" i="29955"/>
  <c r="B3247" i="29955"/>
  <c r="B1678" i="29955"/>
  <c r="B1790" i="29955"/>
  <c r="B1989" i="29955"/>
  <c r="B3248" i="29955"/>
  <c r="B1460" i="29955"/>
  <c r="B3165" i="29955"/>
  <c r="B3802" i="29955"/>
  <c r="B1429" i="29955"/>
  <c r="B2618" i="29955"/>
  <c r="B965" i="29955"/>
  <c r="B254" i="29955"/>
  <c r="B3046" i="29955"/>
  <c r="B3249" i="29955"/>
  <c r="B170" i="29955"/>
  <c r="B171" i="29955"/>
  <c r="B3418" i="29955"/>
  <c r="B3250" i="29955"/>
  <c r="B3431" i="29955"/>
  <c r="B1402" i="29955"/>
  <c r="B3251" i="29955"/>
  <c r="B3127" i="29955"/>
  <c r="B365" i="29955"/>
  <c r="B3425" i="29955"/>
  <c r="B172" i="29955"/>
  <c r="B3106" i="29955"/>
  <c r="B1083" i="29955"/>
  <c r="B1934" i="29955"/>
  <c r="B1922" i="29955"/>
  <c r="B2685" i="29955"/>
  <c r="B2619" i="29955"/>
  <c r="B2738" i="29955"/>
  <c r="B1305" i="29955"/>
  <c r="B1503" i="29955"/>
  <c r="B3290" i="29955"/>
  <c r="B367" i="29955"/>
  <c r="B366" i="29955"/>
  <c r="B1306" i="29955"/>
  <c r="B527" i="29955"/>
  <c r="B368" i="29955"/>
  <c r="B1598" i="29955"/>
  <c r="B1599" i="29955"/>
  <c r="B3812" i="29955"/>
  <c r="B173" i="29955"/>
  <c r="B369" i="29955"/>
  <c r="B1600" i="29955"/>
  <c r="B3661" i="29955"/>
  <c r="B1404" i="29955"/>
  <c r="B1992" i="29955"/>
  <c r="B2687" i="29955"/>
  <c r="B889" i="29955"/>
  <c r="B455" i="29955"/>
  <c r="B2688" i="29955"/>
  <c r="B574" i="29955"/>
  <c r="B2833" i="29955"/>
  <c r="B890" i="29955"/>
  <c r="B86" i="29955"/>
  <c r="B1815" i="29955"/>
  <c r="B1872" i="29955"/>
  <c r="B1603" i="29955"/>
  <c r="B2691" i="29955"/>
  <c r="B3147" i="29955"/>
  <c r="B1431" i="29955"/>
  <c r="B1701" i="29955"/>
  <c r="B88" i="29955"/>
  <c r="B3874" i="29955"/>
  <c r="B373" i="29955"/>
  <c r="B1060" i="29955"/>
  <c r="B449" i="29955"/>
  <c r="B175" i="29955"/>
  <c r="B2620" i="29955"/>
  <c r="B1927" i="29955"/>
  <c r="B2692" i="29955"/>
  <c r="B374" i="29955"/>
  <c r="B3291" i="29955"/>
  <c r="B3419" i="29955"/>
  <c r="B3837" i="29955"/>
  <c r="B2693" i="29955"/>
  <c r="B3638" i="29955"/>
  <c r="B3762" i="29955"/>
  <c r="B1995" i="29955"/>
  <c r="B1308" i="29955"/>
  <c r="B1828" i="29955"/>
  <c r="B2695" i="29955"/>
  <c r="B3420" i="29955"/>
  <c r="B1328" i="29955"/>
  <c r="B377" i="29955"/>
  <c r="B444" i="29955"/>
  <c r="B321" i="29955"/>
  <c r="B2884" i="29955"/>
  <c r="B3136" i="29955"/>
  <c r="B1817" i="29955"/>
  <c r="B3015" i="29955"/>
  <c r="B902" i="29955"/>
  <c r="B1156" i="29955"/>
  <c r="B3163" i="29955"/>
  <c r="B145" i="29955"/>
  <c r="B1276" i="29955"/>
  <c r="B123" i="29955"/>
  <c r="B1991" i="29955"/>
  <c r="B1921" i="29955"/>
  <c r="B1965" i="29955"/>
  <c r="B1597" i="29955"/>
  <c r="B1924" i="29955"/>
  <c r="B2070" i="29955"/>
  <c r="B1244" i="29955"/>
  <c r="B376" i="29955"/>
  <c r="B347" i="29955"/>
  <c r="B3791" i="29955"/>
  <c r="B1170" i="29955"/>
  <c r="B190" i="29955"/>
  <c r="B3301" i="29955"/>
  <c r="B2721" i="29955"/>
  <c r="B1956" i="29955"/>
  <c r="B451" i="29955"/>
  <c r="B364" i="29955"/>
  <c r="B849" i="29955"/>
  <c r="B984" i="29955"/>
  <c r="B1286" i="29955"/>
  <c r="B1810" i="29955"/>
  <c r="B2680" i="29955"/>
  <c r="B3617" i="29955"/>
  <c r="B3825" i="29955"/>
  <c r="B116" i="29955"/>
  <c r="B1579" i="29955"/>
  <c r="B421" i="29955"/>
  <c r="B715" i="29955"/>
  <c r="B2899" i="29955"/>
  <c r="B2599" i="29955"/>
  <c r="B3201" i="29955"/>
  <c r="B939" i="29955"/>
  <c r="B2665" i="29955"/>
  <c r="B1166" i="29955"/>
  <c r="B1977" i="29955"/>
  <c r="B1941" i="29955"/>
  <c r="B38" i="29955"/>
  <c r="B3413" i="29955"/>
  <c r="B130" i="29955"/>
  <c r="B1559" i="29955"/>
  <c r="B1856" i="29955"/>
  <c r="B1448" i="29955"/>
  <c r="B3624" i="29955"/>
  <c r="B1081" i="29955"/>
  <c r="B3078" i="29955"/>
  <c r="B1930" i="29955"/>
  <c r="B2857" i="29955"/>
  <c r="B1036" i="29955"/>
  <c r="B1994" i="29955"/>
  <c r="B1154" i="29955"/>
  <c r="B1375" i="29955"/>
  <c r="B3629" i="29955"/>
  <c r="B2901" i="29955"/>
  <c r="B327" i="29955"/>
  <c r="B1304" i="29955"/>
  <c r="B3386" i="29955"/>
  <c r="B3037" i="29955"/>
  <c r="B1947" i="29955"/>
  <c r="B1203" i="29955"/>
  <c r="B372" i="29955"/>
  <c r="B3049" i="29955"/>
  <c r="B3153" i="29955"/>
  <c r="B1290" i="29955"/>
  <c r="B3548" i="29955"/>
  <c r="B3622" i="29955"/>
  <c r="B2655" i="29955"/>
  <c r="B1853" i="29955"/>
  <c r="B490" i="29955"/>
  <c r="B361" i="29955"/>
  <c r="B1605" i="29955"/>
  <c r="B448" i="29955"/>
  <c r="B3155" i="29955"/>
  <c r="B244" i="29955"/>
  <c r="B2917" i="29955"/>
  <c r="B1403" i="29955"/>
  <c r="B1415" i="29955"/>
  <c r="B1668" i="29955"/>
  <c r="B2947" i="29955"/>
  <c r="B2614" i="29955"/>
  <c r="B789" i="29955"/>
  <c r="B3769" i="29955"/>
  <c r="B1496" i="29955"/>
  <c r="B169" i="29955"/>
  <c r="B2694" i="29955"/>
  <c r="B1548" i="29955"/>
  <c r="B3651" i="29955"/>
  <c r="B1765" i="29955"/>
  <c r="B3560" i="29955"/>
  <c r="B1198" i="29955"/>
  <c r="B3130" i="29955"/>
  <c r="B1816" i="29955"/>
  <c r="B3829" i="29955"/>
  <c r="B2725" i="29955"/>
  <c r="B2865" i="29955"/>
  <c r="B476" i="29955"/>
  <c r="B91" i="29955"/>
  <c r="B495" i="29955"/>
  <c r="B1593" i="29955"/>
  <c r="B3101" i="29955"/>
  <c r="B1789" i="29955"/>
  <c r="B1822" i="29955"/>
  <c r="B153" i="29955"/>
  <c r="B3385" i="29955"/>
  <c r="B3621" i="29955"/>
  <c r="B2998" i="29955"/>
  <c r="B1955" i="29955"/>
  <c r="B192" i="29955"/>
  <c r="B2150" i="29955"/>
  <c r="B1699" i="29955"/>
  <c r="B1590" i="29955"/>
  <c r="B425" i="29955"/>
  <c r="B3657" i="29955"/>
  <c r="B2727" i="29955"/>
  <c r="B1430" i="29955"/>
  <c r="B784" i="29955"/>
  <c r="B963" i="29955"/>
  <c r="B3765" i="29955"/>
  <c r="B2682" i="29955"/>
  <c r="B3635" i="29955"/>
  <c r="B1869" i="29955"/>
  <c r="B3620" i="29955"/>
  <c r="B3246" i="29955"/>
  <c r="B2644" i="29955"/>
  <c r="B2645" i="29955"/>
  <c r="B2638" i="29955"/>
  <c r="B163" i="29955"/>
  <c r="B1902" i="29955"/>
  <c r="B1655" i="29955"/>
  <c r="B1926" i="29955"/>
  <c r="B3156" i="29955"/>
  <c r="B1775" i="29955"/>
  <c r="B1950" i="29955"/>
  <c r="B3784" i="29955"/>
  <c r="B1870" i="29955"/>
  <c r="B1552" i="29955"/>
  <c r="B1155" i="29955"/>
  <c r="B1208" i="29955"/>
  <c r="B3236" i="29955"/>
  <c r="B195" i="29955"/>
  <c r="B1495" i="29955"/>
  <c r="B1489" i="29955"/>
  <c r="B63" i="29955"/>
  <c r="B472" i="29955"/>
  <c r="B133" i="29955"/>
  <c r="B136" i="29955"/>
  <c r="B942" i="29955"/>
  <c r="B1420" i="29955"/>
  <c r="B155" i="29955"/>
  <c r="B3779" i="29955"/>
  <c r="B2567" i="29955"/>
  <c r="B3416" i="29955"/>
  <c r="B419" i="29955"/>
  <c r="B1572" i="29955"/>
  <c r="B2829" i="29955"/>
  <c r="B1966" i="29955"/>
  <c r="B2827" i="29955"/>
  <c r="B621" i="29955"/>
  <c r="B3004" i="29955"/>
  <c r="B1980" i="29955"/>
  <c r="B3146" i="29955"/>
  <c r="B1681" i="29955"/>
  <c r="B370" i="29955"/>
  <c r="B426" i="29955"/>
  <c r="B3228" i="29955"/>
  <c r="B1923" i="29955"/>
  <c r="B701" i="29955"/>
  <c r="B3132" i="29955"/>
  <c r="B3430" i="29955"/>
  <c r="B1340" i="29955"/>
  <c r="B667" i="29955"/>
  <c r="B493" i="29955"/>
  <c r="B1461" i="29955"/>
  <c r="B485" i="29955"/>
  <c r="B690" i="29955"/>
  <c r="B1209" i="29955"/>
  <c r="B3160" i="29955"/>
  <c r="B207" i="29955"/>
  <c r="B3625" i="29955"/>
  <c r="B1291" i="29955"/>
  <c r="B967" i="29955"/>
  <c r="B3639" i="29955"/>
  <c r="B3108" i="29955"/>
  <c r="B1053" i="29955"/>
  <c r="B2005" i="29955"/>
  <c r="B468" i="29955"/>
  <c r="B3803" i="29955"/>
  <c r="B2710" i="29955"/>
  <c r="B1897" i="29955"/>
  <c r="B3872" i="29955"/>
  <c r="B99" i="29955"/>
  <c r="B181" i="29955"/>
  <c r="B3077" i="29955"/>
  <c r="B697" i="29955"/>
  <c r="B716" i="29955"/>
  <c r="B899" i="29955"/>
  <c r="B1624" i="29955"/>
  <c r="B150" i="29955"/>
  <c r="B3634" i="29955"/>
  <c r="B3403" i="29955"/>
  <c r="B3093" i="29955"/>
  <c r="B334" i="29955"/>
  <c r="B165" i="29955"/>
  <c r="B3081" i="29955"/>
  <c r="B243" i="29955"/>
  <c r="B1586" i="29955"/>
  <c r="B3082" i="29955"/>
  <c r="B1777" i="29955"/>
  <c r="B1785" i="29955"/>
  <c r="B2740" i="29955"/>
  <c r="B1942" i="29955"/>
  <c r="B3229" i="29955"/>
  <c r="B534" i="29955"/>
  <c r="B3799" i="29955"/>
  <c r="B1399" i="29955"/>
  <c r="B1058" i="29955"/>
  <c r="B156" i="29955"/>
  <c r="B588" i="29955"/>
  <c r="B1342" i="29955"/>
  <c r="B2671" i="29955"/>
  <c r="B1556" i="29955"/>
  <c r="B3029" i="29955"/>
  <c r="B3405" i="29955"/>
  <c r="B1551" i="29955"/>
  <c r="B473" i="29955"/>
  <c r="B1057" i="29955"/>
  <c r="B2684" i="29955"/>
  <c r="B3083" i="29955"/>
  <c r="B3787" i="29955"/>
  <c r="B3103" i="29955"/>
  <c r="B672" i="29955"/>
  <c r="B3102" i="29955"/>
  <c r="B143" i="29955"/>
  <c r="B1576" i="29955"/>
  <c r="B3764" i="29955"/>
  <c r="B2889" i="29955"/>
  <c r="B1262" i="29955"/>
  <c r="B2932" i="29955"/>
  <c r="B2612" i="29955"/>
  <c r="B486" i="29955"/>
  <c r="B554" i="29955"/>
  <c r="B738" i="29955"/>
  <c r="B1708" i="29955"/>
  <c r="B3873" i="29955"/>
  <c r="B121" i="29955"/>
  <c r="B489" i="29955"/>
  <c r="B2675" i="29955"/>
  <c r="B1287" i="29955"/>
  <c r="B2670" i="29955"/>
  <c r="B1893" i="29955"/>
  <c r="B2603" i="29955"/>
  <c r="B3772" i="29955"/>
  <c r="B1059" i="29955"/>
  <c r="B1860" i="29955"/>
  <c r="B1260" i="29955"/>
  <c r="B3836" i="29955"/>
  <c r="B3014" i="29955"/>
  <c r="B141" i="29955"/>
  <c r="B1473" i="29955"/>
  <c r="B1936" i="29955"/>
  <c r="B1161" i="29955"/>
  <c r="B1686" i="29955"/>
  <c r="B2539" i="29955"/>
  <c r="B2681" i="29955"/>
  <c r="B964" i="29955"/>
  <c r="B1806" i="29955"/>
  <c r="B1979" i="29955"/>
  <c r="B3023" i="29955"/>
  <c r="B3824" i="29955"/>
  <c r="B675" i="29955"/>
  <c r="B1392" i="29955"/>
  <c r="B2148" i="29955"/>
  <c r="B679" i="29955"/>
  <c r="B1604" i="29955"/>
  <c r="B1898" i="29955"/>
  <c r="B3295" i="29955"/>
  <c r="B2154" i="29955"/>
  <c r="B2574" i="29955"/>
  <c r="B2676" i="29955"/>
  <c r="B3662" i="29955"/>
  <c r="B2878" i="29955"/>
  <c r="B1040" i="29955"/>
  <c r="B1799" i="29955"/>
  <c r="B1773" i="29955"/>
  <c r="B114" i="29955"/>
  <c r="B3417" i="29955"/>
  <c r="B2582" i="29955"/>
  <c r="B317" i="29955"/>
  <c r="B3041" i="29955"/>
  <c r="B1370" i="29955"/>
  <c r="B1241" i="29955"/>
  <c r="B314" i="29955"/>
  <c r="B3227" i="29955"/>
  <c r="B3079" i="29955"/>
  <c r="B3300" i="29955"/>
  <c r="B3401" i="29955"/>
  <c r="B1996" i="29955"/>
  <c r="B2840" i="29955"/>
  <c r="B168" i="29955"/>
  <c r="B2636" i="29955"/>
  <c r="B3040" i="29955"/>
  <c r="B2317" i="29955"/>
  <c r="B2646" i="29955"/>
  <c r="B122" i="29955"/>
  <c r="B3189" i="29955"/>
  <c r="B3006" i="29955"/>
  <c r="B1899" i="29955"/>
  <c r="B126" i="29955"/>
  <c r="B177" i="29955"/>
  <c r="B353" i="29955"/>
  <c r="B3797" i="29955"/>
  <c r="B3826" i="29955"/>
  <c r="B191" i="29955"/>
  <c r="B3298" i="29955"/>
  <c r="B3833" i="29955"/>
  <c r="B1689" i="29955"/>
  <c r="B1536" i="29955"/>
  <c r="B1912" i="29955"/>
  <c r="B1295" i="29955"/>
  <c r="B1266" i="29955"/>
  <c r="B2796" i="29955"/>
  <c r="B3287" i="29955"/>
  <c r="B3231" i="29955"/>
  <c r="B1163" i="29955"/>
  <c r="B250" i="29955"/>
  <c r="B174" i="29955"/>
  <c r="B1546" i="29955"/>
  <c r="B2654" i="29955"/>
  <c r="B3658" i="29955"/>
  <c r="B1776" i="29955"/>
  <c r="B3857" i="29955"/>
  <c r="B1377" i="29955"/>
  <c r="B389" i="29955"/>
  <c r="B2615" i="29955"/>
  <c r="B371" i="29955"/>
  <c r="B80" i="29955"/>
  <c r="B2322" i="29955"/>
  <c r="B2892" i="29955"/>
  <c r="B3121" i="29955"/>
  <c r="B1972" i="29955"/>
  <c r="B443" i="29955"/>
  <c r="B144" i="29955"/>
  <c r="B3137" i="29955"/>
  <c r="B2826" i="29955"/>
  <c r="B3408" i="29955"/>
  <c r="B115" i="29955"/>
  <c r="B3844" i="29955"/>
  <c r="B1394" i="29955"/>
  <c r="B1252" i="29955"/>
  <c r="B1298" i="29955"/>
  <c r="B2576" i="29955"/>
  <c r="B124" i="29955"/>
  <c r="B3008" i="29955"/>
  <c r="B120" i="29955"/>
  <c r="B2718" i="29955"/>
  <c r="B412" i="29955"/>
  <c r="B112" i="29955"/>
  <c r="B375" i="29955"/>
  <c r="B3775" i="29955"/>
  <c r="B2723" i="29955"/>
  <c r="B2925" i="29955"/>
  <c r="B3608" i="29955"/>
  <c r="B3239" i="29955"/>
  <c r="B3118" i="29955"/>
  <c r="B188" i="29955"/>
  <c r="B3677" i="29955"/>
  <c r="B2604" i="29955"/>
  <c r="B151" i="29955"/>
  <c r="B893" i="29955"/>
  <c r="B3303" i="29955"/>
  <c r="B949" i="29955"/>
  <c r="B630" i="29955"/>
  <c r="B1908" i="29955"/>
  <c r="B524" i="29955"/>
  <c r="B1565" i="29955"/>
  <c r="B2843" i="29955"/>
  <c r="B2570" i="29955"/>
  <c r="B2600" i="29955"/>
  <c r="B1497" i="29955"/>
  <c r="B1518" i="29955"/>
  <c r="B1159" i="29955"/>
  <c r="B1807" i="29955"/>
  <c r="B3796" i="29955"/>
  <c r="B838" i="29955"/>
  <c r="B1791" i="29955"/>
  <c r="B2931" i="29955"/>
  <c r="B182" i="29955"/>
  <c r="B1818" i="29955"/>
  <c r="B1442" i="29955"/>
  <c r="B1569" i="29955"/>
  <c r="B1384" i="29955"/>
  <c r="B1211" i="29955"/>
  <c r="B465" i="29955"/>
  <c r="B1665" i="29955"/>
  <c r="B1261" i="29955"/>
  <c r="B3777" i="29955"/>
  <c r="B2888" i="29955"/>
  <c r="B464" i="29955"/>
  <c r="B36" i="29955"/>
  <c r="B2606" i="29955"/>
  <c r="B1796" i="29955"/>
  <c r="B785" i="29955"/>
  <c r="B1452" i="29955"/>
  <c r="B1381" i="29955"/>
  <c r="B3896" i="29955"/>
  <c r="B462" i="29955"/>
  <c r="B1037" i="29955"/>
  <c r="B3120" i="29955"/>
  <c r="B2611" i="29955"/>
  <c r="B1157" i="29955"/>
  <c r="B3235" i="29955"/>
  <c r="B1577" i="29955"/>
  <c r="B985" i="29955"/>
  <c r="B1143" i="29955"/>
  <c r="B3395" i="29955"/>
  <c r="B176" i="29955"/>
  <c r="B3140" i="29955"/>
  <c r="B956" i="29955"/>
  <c r="B705" i="29955"/>
  <c r="B2871" i="29955"/>
  <c r="B1343" i="29955"/>
  <c r="B97" i="29955"/>
  <c r="B2927" i="29955"/>
  <c r="B1580" i="29955"/>
  <c r="B1426" i="29955"/>
  <c r="B1623" i="29955"/>
  <c r="B344" i="29955"/>
  <c r="B1795" i="29955"/>
  <c r="B549" i="29955"/>
  <c r="B1488" i="29955"/>
  <c r="B1413" i="29955"/>
  <c r="B3031" i="29955"/>
  <c r="B3630" i="29955"/>
  <c r="B1907" i="29955"/>
  <c r="B1959" i="29955"/>
  <c r="B1327" i="29955"/>
  <c r="B876" i="29955"/>
  <c r="B3558" i="29955"/>
  <c r="B1932" i="29955"/>
  <c r="B1676" i="29955"/>
  <c r="B762" i="29955"/>
  <c r="B2937" i="29955"/>
  <c r="B1210" i="29955"/>
  <c r="B938" i="29955"/>
  <c r="B2935" i="29955"/>
  <c r="B1706" i="29955"/>
  <c r="B3076" i="29955"/>
  <c r="B3240" i="29955"/>
  <c r="B350" i="29955"/>
  <c r="B1808" i="29955"/>
  <c r="B1557" i="29955"/>
  <c r="B891" i="29955"/>
  <c r="B3296" i="29955"/>
  <c r="B331" i="29955"/>
  <c r="B3555" i="29955"/>
  <c r="B3091" i="29955"/>
  <c r="B2900" i="29955"/>
  <c r="B3013" i="29955"/>
  <c r="B306" i="29955"/>
  <c r="B1971" i="29955"/>
  <c r="B903" i="29955"/>
  <c r="B1300" i="29955"/>
  <c r="B2590" i="29955"/>
  <c r="B1656" i="29955"/>
  <c r="B1951" i="29955"/>
  <c r="B854" i="29955"/>
  <c r="B3085" i="29955"/>
  <c r="B1038" i="29955"/>
  <c r="B1422" i="29955"/>
  <c r="B3094" i="29955"/>
  <c r="B351" i="29955"/>
  <c r="B2736" i="29955"/>
  <c r="B3098" i="29955"/>
  <c r="B2142" i="29955"/>
  <c r="B1587" i="29955"/>
  <c r="B1043" i="29955"/>
  <c r="B1423" i="29955"/>
  <c r="B887" i="29955"/>
  <c r="B1538" i="29955"/>
  <c r="B304" i="29955"/>
  <c r="B1521" i="29955"/>
  <c r="B3869" i="29955"/>
  <c r="B947" i="29955"/>
  <c r="B1307" i="29955"/>
  <c r="B1703" i="29955"/>
  <c r="B1560" i="29955"/>
  <c r="B3104" i="29955"/>
  <c r="B1864" i="29955"/>
  <c r="B3552" i="29955"/>
  <c r="B2902" i="29955"/>
  <c r="B1820" i="29955"/>
  <c r="B1826" i="29955"/>
  <c r="B888" i="29955"/>
  <c r="B1787" i="29955"/>
  <c r="B109" i="29955"/>
  <c r="B3126" i="29955"/>
  <c r="B3010" i="29955"/>
  <c r="B3428" i="29955"/>
  <c r="B107" i="29955"/>
  <c r="B3071" i="29955"/>
  <c r="B179" i="29955"/>
  <c r="B1812" i="29955"/>
  <c r="B3847" i="29955"/>
  <c r="B1498" i="29955"/>
  <c r="B1583" i="29955"/>
  <c r="B2591" i="29955"/>
  <c r="B328" i="29955"/>
  <c r="B90" i="29955"/>
  <c r="B1939" i="29955"/>
  <c r="B2719" i="29955"/>
  <c r="B727" i="29955"/>
  <c r="B3795" i="29955"/>
  <c r="B3150" i="29955"/>
  <c r="B2677" i="29955"/>
  <c r="B3828" i="29955"/>
  <c r="B2989" i="29955"/>
  <c r="B1952" i="29955"/>
  <c r="B1410" i="29955"/>
  <c r="B478" i="29955"/>
  <c r="B119" i="29955"/>
  <c r="B3039" i="29955"/>
  <c r="B1778" i="29955"/>
  <c r="B3773" i="29955"/>
  <c r="B1944" i="29955"/>
  <c r="B2690" i="29955"/>
  <c r="B1913" i="29955"/>
  <c r="B2864" i="29955"/>
  <c r="B1265" i="29955"/>
  <c r="B3278" i="29955"/>
  <c r="B1493" i="29955"/>
  <c r="B3381" i="29955"/>
  <c r="B1682" i="29955"/>
  <c r="B631" i="29955"/>
  <c r="B1601" i="29955"/>
  <c r="B139" i="29955"/>
  <c r="B1558" i="29955"/>
  <c r="B2575" i="29955"/>
  <c r="B183" i="29955"/>
  <c r="B693" i="29955"/>
  <c r="B149" i="29955"/>
  <c r="B971" i="29955"/>
  <c r="B2844" i="29955"/>
  <c r="B3407" i="29955"/>
  <c r="B2726" i="29955"/>
  <c r="B138" i="29955"/>
  <c r="B413" i="29955"/>
  <c r="B3776" i="29955"/>
  <c r="B452" i="29955"/>
  <c r="B1494" i="29955"/>
  <c r="B1039" i="29955"/>
  <c r="B3502" i="29955"/>
  <c r="B1829" i="29955"/>
  <c r="B1589" i="29955"/>
  <c r="B1066" i="29955"/>
  <c r="B1935" i="29955"/>
  <c r="B2021" i="29955"/>
  <c r="B75" i="29955"/>
  <c r="B2095" i="29955"/>
  <c r="B3090" i="29955"/>
  <c r="B3429" i="29955"/>
  <c r="B1943" i="29955"/>
  <c r="B1189" i="29955"/>
  <c r="B1048" i="29955"/>
  <c r="B3412" i="29955"/>
  <c r="B1571" i="29955"/>
  <c r="B1200" i="29955"/>
  <c r="B3193" i="29955"/>
  <c r="B2557" i="29955"/>
  <c r="B856" i="29955"/>
  <c r="B1602" i="29955"/>
  <c r="B3768" i="29955"/>
  <c r="B1564" i="29955"/>
  <c r="B2795" i="29955"/>
  <c r="B2598" i="29955"/>
  <c r="B1962" i="29955"/>
  <c r="B1302" i="29955"/>
  <c r="B454" i="29955"/>
  <c r="B3307" i="29955"/>
  <c r="B1457" i="29955"/>
  <c r="B3048" i="29955"/>
  <c r="B2863" i="29955"/>
  <c r="B973" i="29955"/>
  <c r="B2006" i="29955"/>
  <c r="B1895" i="29955"/>
  <c r="B3123" i="29955"/>
  <c r="B475" i="29955"/>
  <c r="B491" i="29955"/>
  <c r="B322" i="29955"/>
  <c r="B1993" i="29955"/>
  <c r="B2735" i="29955"/>
  <c r="B3637" i="29955"/>
  <c r="B2689" i="29955"/>
  <c r="B1904" i="29955"/>
  <c r="B1162" i="29955"/>
  <c r="B1524" i="29955"/>
  <c r="B1964" i="29955"/>
  <c r="B194" i="29955"/>
  <c r="B252" i="29955"/>
  <c r="B1202" i="29955"/>
  <c r="B1669" i="29955"/>
  <c r="B1044" i="29955"/>
  <c r="B713" i="29955"/>
  <c r="B1677" i="29955"/>
  <c r="B118" i="29955"/>
  <c r="B3099" i="29955"/>
  <c r="B1542" i="29955"/>
  <c r="B788" i="29955"/>
  <c r="B3432" i="29955"/>
  <c r="B1326" i="29955"/>
  <c r="B2936" i="29955"/>
  <c r="B980" i="29955"/>
  <c r="B1865" i="29955"/>
  <c r="B1867" i="29955"/>
  <c r="B3653" i="29955"/>
  <c r="B3035" i="29955"/>
  <c r="B140" i="29955"/>
  <c r="B2167" i="29955"/>
  <c r="B349" i="29955"/>
  <c r="B1535" i="29955"/>
  <c r="B600" i="29955"/>
  <c r="B1890" i="29955"/>
  <c r="B1160" i="29955"/>
  <c r="B1667" i="29955"/>
  <c r="B311" i="29955"/>
  <c r="B707" i="29955"/>
  <c r="B2020" i="29955"/>
  <c r="B1824" i="29955"/>
  <c r="B960" i="29955"/>
  <c r="B1238" i="29955"/>
  <c r="B3550" i="29955"/>
  <c r="B1914" i="29955"/>
  <c r="B2063" i="29955"/>
  <c r="B417" i="29955"/>
  <c r="B2869" i="29955"/>
  <c r="B3767" i="29955"/>
  <c r="B484" i="29955"/>
  <c r="B1839" i="29955"/>
  <c r="B3072" i="29955"/>
  <c r="B3763" i="29955"/>
  <c r="B1891" i="29955"/>
  <c r="B2565" i="29955"/>
  <c r="B2996" i="29955"/>
  <c r="B2731" i="29955"/>
  <c r="B1793" i="29955"/>
  <c r="B2890" i="29955"/>
  <c r="B1504" i="29955"/>
  <c r="B3790" i="29955"/>
  <c r="B184" i="29955"/>
  <c r="B703" i="29955"/>
  <c r="B944" i="29955"/>
  <c r="B1067" i="29955"/>
  <c r="B1293" i="29955"/>
  <c r="B1772" i="29955"/>
  <c r="B2969" i="29955"/>
  <c r="B3092" i="29955"/>
  <c r="B3362" i="29955"/>
  <c r="B3831" i="29955"/>
  <c r="B970" i="29955"/>
  <c r="B3241" i="29955"/>
  <c r="B2683" i="29955"/>
  <c r="B3636" i="29955"/>
  <c r="B923" i="29955"/>
  <c r="B954" i="29955"/>
  <c r="B3800" i="29955"/>
  <c r="B2668" i="29955"/>
  <c r="B1841" i="29955"/>
  <c r="B1937" i="29955"/>
  <c r="B1871" i="29955"/>
  <c r="B3245" i="29955"/>
  <c r="B3900" i="29955"/>
  <c r="B346" i="29955"/>
  <c r="B3778" i="29955"/>
  <c r="B3005" i="29955"/>
  <c r="B1270" i="29955"/>
  <c r="B729" i="29955"/>
  <c r="B1056" i="29955"/>
  <c r="B1911" i="29955"/>
  <c r="B2995" i="29955"/>
  <c r="B1034" i="29955"/>
  <c r="B3002" i="29955"/>
  <c r="B3376" i="29955"/>
  <c r="B1550" i="29955"/>
  <c r="B3087" i="29955"/>
  <c r="B442" i="29955"/>
  <c r="B946" i="29955"/>
  <c r="B2797" i="29955"/>
  <c r="B445" i="29955"/>
  <c r="B2724" i="29955"/>
  <c r="B845" i="29955"/>
  <c r="B3026" i="29955"/>
  <c r="B1780" i="29955"/>
  <c r="B1475" i="29955"/>
  <c r="B323" i="29955"/>
  <c r="B1827" i="29955"/>
  <c r="B2016" i="29955"/>
  <c r="B127" i="29955"/>
  <c r="B699" i="29955"/>
  <c r="B2601" i="29955"/>
  <c r="B3080" i="29955"/>
  <c r="B1958" i="29955"/>
  <c r="B1248" i="29955"/>
  <c r="B3656" i="29955"/>
  <c r="B1970" i="29955"/>
  <c r="B1594" i="29955"/>
  <c r="B2895" i="29955"/>
  <c r="B105" i="29955"/>
  <c r="B1032" i="29955"/>
  <c r="B1892" i="29955"/>
  <c r="B1176" i="29955"/>
  <c r="B847" i="29955"/>
  <c r="B3600" i="29955"/>
  <c r="B1386" i="29955"/>
  <c r="B1339" i="29955"/>
  <c r="B110" i="29955"/>
  <c r="B3166" i="29955"/>
  <c r="B863" i="29955"/>
  <c r="B1925" i="29955"/>
  <c r="B1998" i="29955"/>
  <c r="B248" i="29955"/>
  <c r="B1862" i="29955"/>
  <c r="B1982" i="29955"/>
  <c r="B3045" i="29955"/>
  <c r="B2807" i="29955"/>
  <c r="B1931" i="29955"/>
  <c r="B2653" i="29955"/>
  <c r="B906" i="29955"/>
  <c r="B1961" i="29955"/>
  <c r="B2880" i="29955"/>
  <c r="B354" i="29955"/>
  <c r="B2897" i="29955"/>
  <c r="B572" i="29955"/>
  <c r="B1323" i="29955"/>
  <c r="B2716" i="29955"/>
  <c r="B3135" i="29955"/>
  <c r="B3304" i="29955"/>
  <c r="B3306" i="29955"/>
  <c r="B463" i="29955"/>
  <c r="B951" i="29955"/>
  <c r="B3027" i="29955"/>
  <c r="B71" i="29955"/>
  <c r="B129" i="29955"/>
  <c r="B67" i="29955"/>
  <c r="B360" i="29955"/>
  <c r="B3633" i="29955"/>
  <c r="B2737" i="29955"/>
  <c r="B2578" i="29955"/>
  <c r="B102" i="29955"/>
  <c r="B2828" i="29955"/>
  <c r="B1786" i="29955"/>
  <c r="B2385" i="29955"/>
  <c r="B337" i="29955"/>
  <c r="B1441" i="29955"/>
  <c r="B1047" i="29955"/>
  <c r="B457" i="29955"/>
  <c r="B2635" i="29955"/>
  <c r="B100" i="29955"/>
  <c r="B3609" i="29955"/>
  <c r="B189" i="29955"/>
  <c r="B1584" i="29955"/>
  <c r="B3660" i="29955"/>
  <c r="B2739" i="29955"/>
  <c r="B459" i="29955"/>
  <c r="B117" i="29955"/>
  <c r="B178" i="29955"/>
  <c r="B3409" i="29955"/>
  <c r="B1174" i="29955"/>
  <c r="B359" i="29955"/>
  <c r="B1917" i="29955"/>
  <c r="B1985" i="29955"/>
  <c r="B1205" i="29955"/>
  <c r="B1454" i="29955"/>
  <c r="B763" i="29955"/>
  <c r="B1539" i="29955"/>
  <c r="B1582" i="29955"/>
  <c r="B2916" i="29955"/>
  <c r="B1289" i="29955"/>
  <c r="B1794" i="29955"/>
  <c r="B3834" i="29955"/>
  <c r="B1591" i="29955"/>
  <c r="B1169" i="29955"/>
  <c r="B424" i="29955"/>
  <c r="B3780" i="29955"/>
  <c r="B253" i="29955"/>
  <c r="B1432" i="29955"/>
  <c r="B2729" i="29955"/>
  <c r="B1303" i="29955"/>
  <c r="B161" i="29955"/>
  <c r="B2397" i="29955"/>
  <c r="B461" i="29955"/>
  <c r="B2649" i="29955"/>
  <c r="B3652" i="29955"/>
  <c r="B2659" i="29955"/>
  <c r="B128" i="29955"/>
  <c r="B1622" i="29955"/>
  <c r="B1042" i="29955"/>
  <c r="B429" i="29955"/>
  <c r="B1472" i="29955"/>
  <c r="B3030" i="29955"/>
  <c r="B480" i="29955"/>
  <c r="B3655" i="29955"/>
  <c r="B1463" i="29955"/>
  <c r="B1910" i="29955"/>
  <c r="B1983" i="29955"/>
  <c r="B1464" i="29955"/>
  <c r="B3294" i="29955"/>
  <c r="B2156" i="29955"/>
  <c r="B3903" i="29955"/>
  <c r="B3901" i="29955"/>
  <c r="B2940" i="29955"/>
  <c r="B1332" i="29955"/>
  <c r="B1654" i="29955"/>
  <c r="B905" i="29955"/>
  <c r="B1393" i="29955"/>
  <c r="B1512" i="29955"/>
  <c r="B719" i="29955"/>
  <c r="B1309" i="29955"/>
  <c r="B414" i="29955"/>
  <c r="B2830" i="29955"/>
  <c r="B3142" i="29955"/>
  <c r="B35" i="29955"/>
  <c r="B840" i="29955"/>
  <c r="B2658" i="29955"/>
  <c r="B1673" i="29955"/>
  <c r="B3107" i="29955"/>
  <c r="B87" i="29955"/>
  <c r="B3043" i="29955"/>
  <c r="B154" i="29955"/>
  <c r="B3898" i="29955"/>
  <c r="B1863" i="29955"/>
  <c r="B1182" i="29955"/>
  <c r="B305" i="29955"/>
  <c r="B1383" i="29955"/>
  <c r="B2853" i="29955"/>
  <c r="B724" i="29955"/>
  <c r="B2887" i="29955"/>
  <c r="B1916" i="29955"/>
  <c r="B3553" i="29955"/>
  <c r="B423" i="29955"/>
  <c r="B1813" i="29955"/>
  <c r="B1242" i="29955"/>
  <c r="B268" i="29955"/>
  <c r="B131" i="29955"/>
  <c r="B164" i="29955"/>
  <c r="B340" i="29955"/>
  <c r="B901" i="29955"/>
  <c r="B1055" i="29955"/>
  <c r="B1385" i="29955"/>
  <c r="B1398" i="29955"/>
  <c r="B1444" i="29955"/>
  <c r="B1491" i="29955"/>
  <c r="B1595" i="29955"/>
  <c r="B1664" i="29955"/>
  <c r="B1666" i="29955"/>
  <c r="B1670" i="29955"/>
  <c r="B1705" i="29955"/>
  <c r="B1859" i="29955"/>
  <c r="B2329" i="29955"/>
  <c r="B2608" i="29955"/>
  <c r="B2617" i="29955"/>
  <c r="B2656" i="29955"/>
  <c r="B2686" i="29955"/>
  <c r="B2715" i="29955"/>
  <c r="B3025" i="29955"/>
  <c r="B3097" i="29955"/>
  <c r="B3411" i="29955"/>
  <c r="B3792" i="29955"/>
  <c r="B3902" i="29955"/>
  <c r="B37" i="29955"/>
  <c r="B166" i="29955"/>
  <c r="B186" i="29955"/>
  <c r="B193" i="29955"/>
  <c r="B247" i="29955"/>
  <c r="B338" i="29955"/>
  <c r="B363" i="29955"/>
  <c r="B410" i="29955"/>
  <c r="B422" i="29955"/>
  <c r="B440" i="29955"/>
  <c r="B466" i="29955"/>
  <c r="B492" i="29955"/>
  <c r="B584" i="29955"/>
  <c r="B695" i="29955"/>
  <c r="B717" i="29955"/>
  <c r="B739" i="29955"/>
  <c r="B792" i="29955"/>
  <c r="B839" i="29955"/>
  <c r="B865" i="29955"/>
  <c r="B895" i="29955"/>
  <c r="B904" i="29955"/>
  <c r="B907" i="29955"/>
  <c r="B941" i="29955"/>
  <c r="B957" i="29955"/>
  <c r="B962" i="29955"/>
  <c r="B966" i="29955"/>
  <c r="B1158" i="29955"/>
  <c r="B1247" i="29955"/>
  <c r="B1288" i="29955"/>
  <c r="B1376" i="29955"/>
  <c r="B1411" i="29955"/>
  <c r="B1416" i="29955"/>
  <c r="B1427" i="29955"/>
  <c r="B1437" i="29955"/>
  <c r="B1443" i="29955"/>
  <c r="B1517" i="29955"/>
  <c r="B1534" i="29955"/>
  <c r="B1540" i="29955"/>
  <c r="B1545" i="29955"/>
  <c r="B1562" i="29955"/>
  <c r="B1570" i="29955"/>
  <c r="B1578" i="29955"/>
  <c r="B1621" i="29955"/>
  <c r="B1674" i="29955"/>
  <c r="B1679" i="29955"/>
  <c r="B1680" i="29955"/>
  <c r="B1704" i="29955"/>
  <c r="B1814" i="29955"/>
  <c r="B1819" i="29955"/>
  <c r="B1854" i="29955"/>
  <c r="B1855" i="29955"/>
  <c r="B1857" i="29955"/>
  <c r="B1858" i="29955"/>
  <c r="B1868" i="29955"/>
  <c r="B1889" i="29955"/>
  <c r="B1896" i="29955"/>
  <c r="B1929" i="29955"/>
  <c r="B1905" i="29955"/>
  <c r="B1933" i="29955"/>
  <c r="B1981" i="29955"/>
  <c r="B1957" i="29955"/>
  <c r="B1960" i="29955"/>
  <c r="B1968" i="29955"/>
  <c r="B1976" i="29955"/>
  <c r="B1997" i="29955"/>
  <c r="B2008" i="29955"/>
  <c r="B2062" i="29955"/>
  <c r="B2605" i="29955"/>
  <c r="B2637" i="29955"/>
  <c r="B2662" i="29955"/>
  <c r="B2667" i="29955"/>
  <c r="B2703" i="29955"/>
  <c r="B2717" i="29955"/>
  <c r="B2741" i="29955"/>
  <c r="B2786" i="29955"/>
  <c r="B2798" i="29955"/>
  <c r="B2820" i="29955"/>
  <c r="B2831" i="29955"/>
  <c r="B2854" i="29955"/>
  <c r="B2866" i="29955"/>
  <c r="B2877" i="29955"/>
  <c r="B3033" i="29955"/>
  <c r="B3038" i="29955"/>
  <c r="B3042" i="29955"/>
  <c r="B3047" i="29955"/>
  <c r="B3074" i="29955"/>
  <c r="B3100" i="29955"/>
  <c r="B3119" i="29955"/>
  <c r="B3122" i="29955"/>
  <c r="B3143" i="29955"/>
  <c r="B3154" i="29955"/>
  <c r="B3238" i="29955"/>
  <c r="B3396" i="29955"/>
  <c r="B3509" i="29955"/>
  <c r="B3551" i="29955"/>
  <c r="B3626" i="29955"/>
  <c r="B3631" i="29955"/>
  <c r="B3640" i="29955"/>
  <c r="B3766" i="29955"/>
  <c r="B3783" i="29955"/>
  <c r="B3786" i="29955"/>
  <c r="B3804" i="29955"/>
  <c r="B3827" i="29955"/>
  <c r="B3830" i="29955"/>
  <c r="B3899" i="29955"/>
  <c r="B2872" i="29955"/>
  <c r="B2445" i="29955"/>
  <c r="B2073" i="29955"/>
  <c r="B3357" i="29955"/>
  <c r="B2514" i="29955"/>
  <c r="B2774" i="29955"/>
  <c r="B2420" i="29955"/>
  <c r="B3355" i="29955"/>
  <c r="B913" i="29955"/>
  <c r="B3860" i="29955"/>
  <c r="B2435" i="29955"/>
  <c r="B2432" i="29955"/>
  <c r="B2469" i="29955"/>
  <c r="B2434" i="29955"/>
  <c r="B2444" i="29955"/>
  <c r="B2768" i="29955"/>
  <c r="B2433" i="29955"/>
  <c r="B3356" i="29955"/>
  <c r="B2498" i="29955"/>
  <c r="B2440" i="29955"/>
  <c r="B764" i="29955"/>
  <c r="B3554" i="29955"/>
  <c r="B2773" i="29955"/>
  <c r="B2991" i="29955"/>
  <c r="B2468" i="29955"/>
  <c r="B1225" i="29955"/>
  <c r="B275" i="29955"/>
  <c r="B2438" i="29955"/>
  <c r="B2811" i="29955"/>
  <c r="B3198" i="29955"/>
  <c r="B3333" i="29955"/>
  <c r="B2183" i="29955"/>
  <c r="B3332" i="29955"/>
  <c r="B3841" i="29955"/>
  <c r="B1849" i="29955"/>
  <c r="B3334" i="29955"/>
  <c r="B2075" i="29955"/>
  <c r="B3336" i="29955"/>
  <c r="B1212" i="29955"/>
  <c r="B262" i="29955"/>
  <c r="B2136" i="29955"/>
  <c r="B536" i="29955"/>
  <c r="B1283" i="29955"/>
  <c r="B3354" i="29955"/>
  <c r="B392" i="29955"/>
  <c r="B753" i="29955"/>
  <c r="B3183" i="29955"/>
  <c r="B3374" i="29955"/>
  <c r="B27" i="29955"/>
  <c r="B411" i="29955"/>
  <c r="B2362" i="29955"/>
  <c r="B2282" i="29955"/>
  <c r="B2359" i="29955"/>
  <c r="B2930" i="29955"/>
  <c r="B3151" i="29955"/>
  <c r="B1071" i="29955"/>
  <c r="B3024" i="29955"/>
  <c r="B1716" i="29955"/>
  <c r="B2957" i="29955"/>
  <c r="B2041" i="29955"/>
  <c r="B3669" i="29955"/>
  <c r="B2203" i="29955"/>
  <c r="B935" i="29955"/>
  <c r="B2209" i="29955"/>
  <c r="B2366" i="29955"/>
  <c r="B2367" i="29955"/>
  <c r="B1470" i="29955"/>
  <c r="B2365" i="29955"/>
  <c r="B2058" i="29955"/>
  <c r="B1338" i="29955"/>
  <c r="B997" i="29955"/>
  <c r="B2303" i="29955"/>
  <c r="B2407" i="29955"/>
  <c r="B2182" i="29955"/>
  <c r="B2245" i="29955"/>
  <c r="B395" i="29955"/>
  <c r="B3266" i="29955"/>
  <c r="B691" i="29955"/>
  <c r="B2360" i="29955"/>
  <c r="B3437" i="29955"/>
  <c r="B3421" i="29955"/>
  <c r="B245" i="29955"/>
  <c r="B3845" i="29955"/>
  <c r="B1068" i="29955"/>
  <c r="B731" i="29955"/>
  <c r="B2767" i="29955"/>
  <c r="B1069" i="29955"/>
  <c r="B2875" i="29955"/>
  <c r="B2861" i="29955"/>
  <c r="B3681" i="29955"/>
  <c r="B2698" i="29955"/>
  <c r="B3397" i="29955"/>
  <c r="B3394" i="29955"/>
  <c r="B2244" i="29955"/>
  <c r="B722" i="29955"/>
  <c r="B2442" i="29955"/>
  <c r="B3877" i="29955"/>
  <c r="B3664" i="29955"/>
  <c r="B3742" i="29955"/>
  <c r="B2436" i="29955"/>
  <c r="B2376" i="29955"/>
  <c r="B761" i="29955"/>
  <c r="B3819" i="29955"/>
  <c r="B745" i="29955"/>
  <c r="B3299" i="29955"/>
  <c r="B3277" i="29955"/>
  <c r="B2064" i="29955"/>
  <c r="B2065" i="29955"/>
  <c r="B2971" i="29955"/>
  <c r="B2979" i="29955"/>
  <c r="B525" i="29955"/>
  <c r="B1077" i="29955"/>
  <c r="B3743" i="29955"/>
  <c r="B2162" i="29955"/>
  <c r="B2974" i="29955"/>
  <c r="B1333" i="29955"/>
  <c r="B2558" i="29955"/>
  <c r="B686" i="29955"/>
  <c r="B2588" i="29955"/>
  <c r="B2198" i="29955"/>
  <c r="B1418" i="29955"/>
  <c r="B2052" i="29955"/>
  <c r="B3309" i="29955"/>
  <c r="B2441" i="29955"/>
  <c r="B586" i="29955"/>
  <c r="B256" i="29955"/>
  <c r="B401" i="29955"/>
  <c r="B3736" i="29955"/>
  <c r="B1311" i="29955"/>
  <c r="B2275" i="29955"/>
  <c r="B2290" i="29955"/>
  <c r="B1004" i="29955"/>
  <c r="B24" i="29955"/>
  <c r="B2959" i="29955"/>
  <c r="B2164" i="29955"/>
  <c r="B3109" i="29955"/>
  <c r="B1330" i="29955"/>
  <c r="B3729" i="29955"/>
  <c r="B286" i="29955"/>
  <c r="B289" i="29955"/>
  <c r="B2307" i="29955"/>
  <c r="B2530" i="29955"/>
  <c r="B1649" i="29955"/>
  <c r="B795" i="29955"/>
  <c r="B2977" i="29955"/>
  <c r="B2038" i="29955"/>
  <c r="B3056" i="29955"/>
  <c r="B2470" i="29955"/>
  <c r="B1653" i="29955"/>
  <c r="B2191" i="29955"/>
  <c r="B95" i="29955"/>
  <c r="B2173" i="29955"/>
  <c r="B41" i="29955"/>
  <c r="B721" i="29955"/>
  <c r="B2269" i="29955"/>
  <c r="B2356" i="29955"/>
  <c r="B3260" i="29955"/>
  <c r="B3262" i="29955"/>
  <c r="B3513" i="29955"/>
  <c r="B3519" i="29955"/>
  <c r="B3703" i="29955"/>
  <c r="B3706" i="29955"/>
  <c r="B3707" i="29955"/>
  <c r="B3893" i="29955"/>
  <c r="B3891" i="29955"/>
  <c r="B2745" i="29955"/>
  <c r="B2345" i="29955"/>
  <c r="B677" i="29955"/>
  <c r="B2341" i="29955"/>
  <c r="B1843" i="29955"/>
  <c r="B3377" i="29955"/>
  <c r="B2805" i="29955"/>
  <c r="B2080" i="29955"/>
  <c r="B3255" i="29955"/>
  <c r="B2170" i="29955"/>
  <c r="B2266" i="29955"/>
  <c r="B532" i="29955"/>
  <c r="B3717" i="29955"/>
  <c r="B1486" i="29955"/>
  <c r="B3701" i="29955"/>
  <c r="B2264" i="29955"/>
  <c r="B3702" i="29955"/>
  <c r="B3890" i="29955"/>
  <c r="B2335" i="29955"/>
  <c r="B13" i="29955"/>
  <c r="B3520" i="29955"/>
  <c r="B1144" i="29955"/>
  <c r="B300" i="29955"/>
  <c r="B3888" i="29955"/>
  <c r="B3378" i="29955"/>
  <c r="B2750" i="29955"/>
  <c r="B2742" i="29955"/>
  <c r="B3518" i="29955"/>
  <c r="B500" i="29955"/>
  <c r="B2746" i="29955"/>
  <c r="B2260" i="29955"/>
  <c r="B2263" i="29955"/>
  <c r="B1611" i="29955"/>
  <c r="B2259" i="29955"/>
  <c r="B1999" i="29955"/>
  <c r="B3061" i="29955"/>
  <c r="B2024" i="29955"/>
  <c r="B618" i="29955"/>
  <c r="B659" i="29955"/>
  <c r="B1844" i="29955"/>
  <c r="B3715" i="29955"/>
  <c r="B496" i="29955"/>
  <c r="B3806" i="29955"/>
  <c r="B3517" i="29955"/>
  <c r="B3722" i="29955"/>
  <c r="B712" i="29955"/>
  <c r="B3521" i="29955"/>
  <c r="B2751" i="29955"/>
  <c r="B2267" i="29955"/>
  <c r="B296" i="29955"/>
  <c r="B2358" i="29955"/>
  <c r="B3265" i="29955"/>
  <c r="B1616" i="29955"/>
  <c r="B3721" i="29955"/>
  <c r="B456" i="29955"/>
  <c r="B3716" i="29955"/>
  <c r="B2262" i="29955"/>
  <c r="B3516" i="29955"/>
  <c r="B2920" i="29955"/>
  <c r="B298" i="29955"/>
  <c r="B1610" i="29955"/>
  <c r="B2399" i="29955"/>
  <c r="B2696" i="29955"/>
  <c r="B1181" i="29955"/>
  <c r="B302" i="29955"/>
  <c r="B301" i="29955"/>
  <c r="B2022" i="29955"/>
  <c r="B2956" i="29955"/>
  <c r="B1697" i="29955"/>
  <c r="B2297" i="29955"/>
  <c r="B3392" i="29955"/>
  <c r="B2439" i="29955"/>
  <c r="B3253" i="29955"/>
  <c r="B644" i="29955"/>
  <c r="B742" i="29955"/>
  <c r="B2775" i="29955"/>
  <c r="B404" i="29955"/>
  <c r="B1152" i="29955"/>
  <c r="B569" i="29955"/>
  <c r="B3271" i="29955"/>
  <c r="B2452" i="29955"/>
  <c r="B2776" i="29955"/>
  <c r="B996" i="29955"/>
  <c r="B992" i="29955"/>
  <c r="B585" i="29955"/>
  <c r="B874" i="29955"/>
  <c r="B990" i="29955"/>
  <c r="B869" i="29955"/>
  <c r="B648" i="29955"/>
  <c r="B1639" i="29955"/>
  <c r="B1692" i="29955"/>
  <c r="B592" i="29955"/>
  <c r="B1000" i="29955"/>
  <c r="B2976" i="29955"/>
  <c r="B1011" i="29955"/>
  <c r="B2009" i="29955"/>
  <c r="B872" i="29955"/>
  <c r="B2288" i="29955"/>
  <c r="B407" i="29955"/>
  <c r="B1640" i="29955"/>
  <c r="B898" i="29955"/>
  <c r="B1179" i="29955"/>
  <c r="B995" i="29955"/>
  <c r="B989" i="29955"/>
  <c r="B2294" i="29955"/>
  <c r="B993" i="29955"/>
  <c r="B2096" i="29955"/>
  <c r="B3446" i="29955"/>
  <c r="B2153" i="29955"/>
  <c r="B3286" i="29955"/>
  <c r="B3886" i="29955"/>
  <c r="B274" i="29955"/>
  <c r="B3346" i="29955"/>
  <c r="B3511" i="29955"/>
  <c r="B3343" i="29955"/>
  <c r="B3324" i="29955"/>
  <c r="B3317" i="29955"/>
  <c r="B3340" i="29955"/>
  <c r="B2314" i="29955"/>
  <c r="B3331" i="29955"/>
  <c r="B3339" i="29955"/>
  <c r="B3525" i="29955"/>
  <c r="B766" i="29955"/>
  <c r="B1435" i="29955"/>
  <c r="B3337" i="29955"/>
  <c r="B3341" i="29955"/>
  <c r="B2085" i="29955"/>
  <c r="B3338" i="29955"/>
  <c r="B581" i="29955"/>
  <c r="B2055" i="29955"/>
  <c r="B735" i="29955"/>
  <c r="B3738" i="29955"/>
  <c r="B1064" i="29955"/>
  <c r="B2253" i="29955"/>
  <c r="B3349" i="29955"/>
  <c r="B3533" i="29955"/>
  <c r="B3344" i="29955"/>
  <c r="B11" i="29955"/>
  <c r="B3342" i="29955"/>
  <c r="B3515" i="29955"/>
  <c r="B3312" i="29955"/>
  <c r="B3345" i="29955"/>
  <c r="B3318" i="29955"/>
  <c r="B1334" i="29955"/>
  <c r="B1312" i="29955"/>
  <c r="B3314" i="29955"/>
  <c r="B2474" i="29955"/>
  <c r="B3315" i="29955"/>
  <c r="B813" i="29955"/>
  <c r="B808" i="29955"/>
  <c r="B53" i="29955"/>
  <c r="B3347" i="29955"/>
  <c r="B278" i="29955"/>
  <c r="B3316" i="29955"/>
  <c r="B3320" i="29955"/>
  <c r="B3321" i="29955"/>
  <c r="B744" i="29955"/>
  <c r="B3842" i="29955"/>
  <c r="B3191" i="29955"/>
  <c r="B1894" i="29955"/>
  <c r="B3322" i="29955"/>
  <c r="B3323" i="29955"/>
  <c r="B3708" i="29955"/>
  <c r="B3524" i="29955"/>
  <c r="B582" i="29955"/>
  <c r="B2157" i="29955"/>
  <c r="B1434" i="29955"/>
  <c r="B3319" i="29955"/>
  <c r="B2286" i="29955"/>
  <c r="B616" i="29955"/>
  <c r="B546" i="29955"/>
  <c r="B3383" i="29955"/>
  <c r="B1698" i="29955"/>
  <c r="B52" i="29955"/>
  <c r="B811" i="29955"/>
  <c r="B2759" i="29955"/>
  <c r="B2139" i="29955"/>
  <c r="B2271" i="29955"/>
  <c r="B1078" i="29955"/>
  <c r="B988" i="29955"/>
  <c r="B1178" i="29955"/>
  <c r="B629" i="29955"/>
  <c r="B545" i="29955"/>
  <c r="B1344" i="29955"/>
  <c r="B3310" i="29955"/>
  <c r="B2137" i="29955"/>
  <c r="B609" i="29955"/>
  <c r="B2428" i="29955"/>
  <c r="B3813" i="29955"/>
  <c r="B3313" i="29955"/>
  <c r="B2144" i="29955"/>
  <c r="B1141" i="29955"/>
  <c r="B2100" i="29955"/>
  <c r="B1070" i="29955"/>
  <c r="B3292" i="29955"/>
  <c r="B2463" i="29955"/>
  <c r="B1440" i="29955"/>
  <c r="B2414" i="29955"/>
  <c r="B3335" i="29955"/>
  <c r="B1509" i="29955"/>
  <c r="B552" i="29955"/>
  <c r="B3436" i="29955"/>
  <c r="B1433" i="29955"/>
  <c r="B2143" i="29955"/>
  <c r="B26" i="29955"/>
  <c r="B2092" i="29955"/>
  <c r="B663" i="29955"/>
  <c r="B1382" i="29955"/>
  <c r="B3730" i="29955"/>
  <c r="B3178" i="29955"/>
  <c r="B2941" i="29955"/>
  <c r="B3695" i="29955"/>
  <c r="B2985" i="29955"/>
  <c r="B2986" i="29955"/>
  <c r="B2563" i="29955"/>
  <c r="B2291" i="29955"/>
  <c r="B3523" i="29955"/>
  <c r="B3798" i="29955"/>
  <c r="B3510" i="29955"/>
  <c r="B2425" i="29955"/>
  <c r="B535" i="29955"/>
  <c r="B74" i="29955"/>
  <c r="B1805" i="29955"/>
  <c r="B2185" i="29955"/>
  <c r="B3325" i="29955"/>
  <c r="B580" i="29955"/>
  <c r="B3311" i="29955"/>
  <c r="B1230" i="29955"/>
  <c r="B1075" i="29955"/>
  <c r="B54" i="29955"/>
  <c r="B10" i="29955"/>
  <c r="B922" i="29955"/>
  <c r="B3683" i="29955"/>
  <c r="B3022" i="29955"/>
  <c r="B3204" i="29955"/>
  <c r="B3674" i="29955"/>
  <c r="B685" i="29955"/>
  <c r="B333" i="29955"/>
  <c r="B25" i="29955"/>
  <c r="B3263" i="29955"/>
  <c r="B2011" i="29955"/>
  <c r="B403" i="29955"/>
  <c r="B3069" i="29955"/>
  <c r="B2254" i="29955"/>
  <c r="B1074" i="29955"/>
  <c r="B3371" i="29955"/>
  <c r="B197" i="29955"/>
  <c r="B396" i="29955"/>
  <c r="B2448" i="29955"/>
  <c r="B2140" i="29955"/>
  <c r="B2273" i="29955"/>
  <c r="B2004" i="29955"/>
  <c r="B2752" i="29955"/>
  <c r="B394" i="29955"/>
  <c r="B610" i="29955"/>
  <c r="B687" i="29955"/>
  <c r="B768" i="29955"/>
  <c r="B1190" i="29955"/>
  <c r="B1192" i="29955"/>
  <c r="B1314" i="29955"/>
  <c r="B1319" i="29955"/>
  <c r="B1322" i="29955"/>
  <c r="B1634" i="29955"/>
  <c r="B1635" i="29955"/>
  <c r="B1631" i="29955"/>
  <c r="B2101" i="29955"/>
  <c r="D92" i="24620" a="1"/>
  <c r="D103" i="24620" s="1"/>
  <c r="B1" i="29960"/>
  <c r="AK52" i="30002"/>
  <c r="AL52" i="30002" s="1"/>
  <c r="B5" i="30043"/>
  <c r="CM108" i="30002"/>
  <c r="CN108" i="30002" s="1"/>
  <c r="AL41" i="30002"/>
  <c r="CM111" i="30002"/>
  <c r="CN111" i="30002" s="1"/>
  <c r="BX85" i="30002"/>
  <c r="BX94" i="30002" s="1"/>
  <c r="Z34" i="30002"/>
  <c r="AA34" i="30002" s="1"/>
  <c r="E5" i="30043"/>
  <c r="AZ57" i="29184"/>
  <c r="BB57" i="29184"/>
  <c r="AF59" i="29184"/>
  <c r="BA57" i="29184"/>
  <c r="AF43" i="29184"/>
  <c r="BG57" i="29184"/>
  <c r="AY57" i="29184"/>
  <c r="BD57" i="29184"/>
  <c r="BE57" i="29184"/>
  <c r="BF57" i="29184"/>
  <c r="AF28" i="29184"/>
  <c r="BE38" i="29184"/>
  <c r="AG30" i="29184"/>
  <c r="AG29" i="29184"/>
  <c r="AX55" i="29184"/>
  <c r="BY81" i="30002"/>
  <c r="AW66" i="30002"/>
  <c r="AX66" i="30002" s="1"/>
  <c r="AX57" i="30002"/>
  <c r="AX61" i="30002"/>
  <c r="AA30" i="30002"/>
  <c r="AG45" i="29184"/>
  <c r="AX58" i="29184"/>
  <c r="AG61" i="29184"/>
  <c r="AH54" i="29184" s="1"/>
  <c r="AX38" i="29184"/>
  <c r="AD82" i="30019" l="1"/>
  <c r="A83" i="30019"/>
  <c r="V82" i="30019"/>
  <c r="W82" i="30019"/>
  <c r="AI153" i="30041"/>
  <c r="BD144" i="30041"/>
  <c r="BD142" i="30041"/>
  <c r="BD140" i="30041"/>
  <c r="BD143" i="30041"/>
  <c r="BD141" i="30041"/>
  <c r="BK142" i="30041"/>
  <c r="BK143" i="30041"/>
  <c r="BK141" i="30041"/>
  <c r="BK144" i="30041"/>
  <c r="BK140" i="30041"/>
  <c r="BG140" i="30041"/>
  <c r="BG144" i="30041"/>
  <c r="BG142" i="30041"/>
  <c r="BG143" i="30041"/>
  <c r="BG141" i="30041"/>
  <c r="BC142" i="30041"/>
  <c r="BC143" i="30041"/>
  <c r="BC141" i="30041"/>
  <c r="BC144" i="30041"/>
  <c r="BC140" i="30041"/>
  <c r="AI188" i="30041"/>
  <c r="BI144" i="30041"/>
  <c r="BI143" i="30041"/>
  <c r="BI141" i="30041"/>
  <c r="BI142" i="30041"/>
  <c r="BI140" i="30041"/>
  <c r="BE141" i="30041"/>
  <c r="BE142" i="30041"/>
  <c r="BE140" i="30041"/>
  <c r="BE143" i="30041"/>
  <c r="BE144" i="30041"/>
  <c r="AJ209" i="30041"/>
  <c r="BL144" i="30041"/>
  <c r="BL142" i="30041"/>
  <c r="BL140" i="30041"/>
  <c r="BL143" i="30041"/>
  <c r="BL141" i="30041"/>
  <c r="AF181" i="30041"/>
  <c r="BH144" i="30041"/>
  <c r="BH142" i="30041"/>
  <c r="BH140" i="30041"/>
  <c r="BH143" i="30041"/>
  <c r="BH141" i="30041"/>
  <c r="BJ143" i="30041"/>
  <c r="BJ141" i="30041"/>
  <c r="BJ144" i="30041"/>
  <c r="BJ142" i="30041"/>
  <c r="BJ140" i="30041"/>
  <c r="BF143" i="30041"/>
  <c r="BF141" i="30041"/>
  <c r="BF142" i="30041"/>
  <c r="BF144" i="30041"/>
  <c r="BF140" i="30041"/>
  <c r="CM107" i="30002"/>
  <c r="CM117" i="30002" s="1"/>
  <c r="BY77" i="30002"/>
  <c r="CN113" i="30002"/>
  <c r="CN103" i="30002"/>
  <c r="Z38" i="30002"/>
  <c r="AA38" i="30002" s="1"/>
  <c r="G9" i="29952"/>
  <c r="J9" i="29952"/>
  <c r="B2255" i="30004"/>
  <c r="B1751" i="30004"/>
  <c r="G3" i="30004" s="1"/>
  <c r="BX89" i="30002"/>
  <c r="BY89" i="30002" s="1"/>
  <c r="B78" i="30049"/>
  <c r="B86" i="30049"/>
  <c r="B94" i="30049"/>
  <c r="B102" i="30049"/>
  <c r="B110" i="30049"/>
  <c r="B118" i="30049"/>
  <c r="B126" i="30049"/>
  <c r="B134" i="30049"/>
  <c r="BJ78" i="30002"/>
  <c r="BJ86" i="30002" s="1"/>
  <c r="AW63" i="30002"/>
  <c r="AX63" i="30002" s="1"/>
  <c r="B79" i="30049"/>
  <c r="B87" i="30049"/>
  <c r="B95" i="30049"/>
  <c r="B103" i="30049"/>
  <c r="B111" i="30049"/>
  <c r="B119" i="30049"/>
  <c r="B127" i="30049"/>
  <c r="B135" i="30049"/>
  <c r="AO113" i="30002"/>
  <c r="AO114" i="30002" s="1"/>
  <c r="AO115" i="30002" s="1"/>
  <c r="AO116" i="30002" s="1"/>
  <c r="AO117" i="30002" s="1"/>
  <c r="B76" i="30049"/>
  <c r="B84" i="30049"/>
  <c r="B92" i="30049"/>
  <c r="B100" i="30049"/>
  <c r="B108" i="30049"/>
  <c r="B116" i="30049"/>
  <c r="B124" i="30049"/>
  <c r="B132" i="30049"/>
  <c r="B140" i="30049"/>
  <c r="B77" i="30049"/>
  <c r="B85" i="30049"/>
  <c r="F29" i="19124" s="1"/>
  <c r="B93" i="30049"/>
  <c r="B101" i="30049"/>
  <c r="B109" i="30049"/>
  <c r="B117" i="30049"/>
  <c r="B125" i="30049"/>
  <c r="B133" i="30049"/>
  <c r="K5" i="30043"/>
  <c r="E6" i="30043"/>
  <c r="BK85" i="30002"/>
  <c r="AL40" i="30002"/>
  <c r="AO107" i="30002"/>
  <c r="AO108" i="30002" s="1"/>
  <c r="AO109" i="30002" s="1"/>
  <c r="AO110" i="30002" s="1"/>
  <c r="AO111" i="30002" s="1"/>
  <c r="AL45" i="30002"/>
  <c r="AK50" i="30002"/>
  <c r="AK56" i="30002" s="1"/>
  <c r="AK62" i="30002" s="1"/>
  <c r="AK68" i="30002" s="1"/>
  <c r="AO101" i="30002"/>
  <c r="AO102" i="30002" s="1"/>
  <c r="AO103" i="30002" s="1"/>
  <c r="AO104" i="30002" s="1"/>
  <c r="AO105" i="30002" s="1"/>
  <c r="AX54" i="30002"/>
  <c r="AX58" i="30002"/>
  <c r="CN95" i="30002"/>
  <c r="BY83" i="30002"/>
  <c r="CM104" i="30002"/>
  <c r="CM114" i="30002" s="1"/>
  <c r="CM124" i="30002" s="1"/>
  <c r="CN124" i="30002" s="1"/>
  <c r="CN94" i="30002"/>
  <c r="B160" i="30049"/>
  <c r="B164" i="30049"/>
  <c r="B168" i="30049"/>
  <c r="B172" i="30049"/>
  <c r="B176" i="30049"/>
  <c r="B184" i="30049"/>
  <c r="B192" i="30049"/>
  <c r="B196" i="30049"/>
  <c r="B208" i="30049"/>
  <c r="B147" i="30049"/>
  <c r="B155" i="30049"/>
  <c r="B163" i="30049"/>
  <c r="B171" i="30049"/>
  <c r="B179" i="30049"/>
  <c r="B187" i="30049"/>
  <c r="B195" i="30049"/>
  <c r="B203" i="30049"/>
  <c r="B207" i="30049"/>
  <c r="B142" i="30049"/>
  <c r="B146" i="30049"/>
  <c r="B150" i="30049"/>
  <c r="B154" i="30049"/>
  <c r="B158" i="30049"/>
  <c r="B162" i="30049"/>
  <c r="B166" i="30049"/>
  <c r="B170" i="30049"/>
  <c r="B174" i="30049"/>
  <c r="B178" i="30049"/>
  <c r="B182" i="30049"/>
  <c r="B186" i="30049"/>
  <c r="B190" i="30049"/>
  <c r="B194" i="30049"/>
  <c r="B198" i="30049"/>
  <c r="B202" i="30049"/>
  <c r="B206" i="30049"/>
  <c r="B144" i="30049"/>
  <c r="B148" i="30049"/>
  <c r="B152" i="30049"/>
  <c r="B156" i="30049"/>
  <c r="B180" i="30049"/>
  <c r="B188" i="30049"/>
  <c r="B200" i="30049"/>
  <c r="B204" i="30049"/>
  <c r="B143" i="30049"/>
  <c r="B151" i="30049"/>
  <c r="B159" i="30049"/>
  <c r="B167" i="30049"/>
  <c r="B175" i="30049"/>
  <c r="B183" i="30049"/>
  <c r="B191" i="30049"/>
  <c r="B199" i="30049"/>
  <c r="B141" i="30049"/>
  <c r="B145" i="30049"/>
  <c r="B149" i="30049"/>
  <c r="B153" i="30049"/>
  <c r="B157" i="30049"/>
  <c r="B161" i="30049"/>
  <c r="B165" i="30049"/>
  <c r="B169" i="30049"/>
  <c r="B173" i="30049"/>
  <c r="B177" i="30049"/>
  <c r="B181" i="30049"/>
  <c r="B185" i="30049"/>
  <c r="B189" i="30049"/>
  <c r="B193" i="30049"/>
  <c r="B197" i="30049"/>
  <c r="B201" i="30049"/>
  <c r="B205" i="30049"/>
  <c r="BY86" i="30002"/>
  <c r="AL48" i="30002"/>
  <c r="AK54" i="30002"/>
  <c r="AL54" i="30002" s="1"/>
  <c r="Z37" i="30002"/>
  <c r="Z42" i="30002" s="1"/>
  <c r="AL42" i="30002"/>
  <c r="BJ83" i="30002"/>
  <c r="BJ91" i="30002" s="1"/>
  <c r="BK91" i="30002" s="1"/>
  <c r="BK69" i="30002"/>
  <c r="BJ89" i="30002"/>
  <c r="BK89" i="30002" s="1"/>
  <c r="AW60" i="30002"/>
  <c r="CN102" i="30002"/>
  <c r="BK73" i="30002"/>
  <c r="BY91" i="30002"/>
  <c r="BK77" i="30002"/>
  <c r="BJ79" i="30002"/>
  <c r="BK79" i="30002" s="1"/>
  <c r="BX87" i="30002"/>
  <c r="BX96" i="30002" s="1"/>
  <c r="BY96" i="30002" s="1"/>
  <c r="AK58" i="30002"/>
  <c r="AK64" i="30002" s="1"/>
  <c r="AK70" i="30002" s="1"/>
  <c r="AL70" i="30002" s="1"/>
  <c r="R501" i="30041"/>
  <c r="CA503" i="30041"/>
  <c r="P505" i="30041"/>
  <c r="AJ458" i="30041"/>
  <c r="BI83" i="8192"/>
  <c r="BY94" i="30002"/>
  <c r="BX103" i="30002"/>
  <c r="BX112" i="30002" s="1"/>
  <c r="BY112" i="30002" s="1"/>
  <c r="AW72" i="30002"/>
  <c r="AW79" i="30002" s="1"/>
  <c r="AX79" i="30002" s="1"/>
  <c r="AX65" i="30002"/>
  <c r="BY85" i="30002"/>
  <c r="Z43" i="30002"/>
  <c r="Z48" i="30002" s="1"/>
  <c r="AA48" i="30002" s="1"/>
  <c r="AJ228" i="30041"/>
  <c r="AL51" i="30002"/>
  <c r="AK57" i="30002"/>
  <c r="AL57" i="30002" s="1"/>
  <c r="AO53" i="30002"/>
  <c r="AO54" i="30002" s="1"/>
  <c r="AO55" i="30002" s="1"/>
  <c r="AO56" i="30002" s="1"/>
  <c r="AO57" i="30002" s="1"/>
  <c r="BX99" i="30002"/>
  <c r="BX108" i="30002" s="1"/>
  <c r="BX117" i="30002" s="1"/>
  <c r="BX126" i="30002" s="1"/>
  <c r="BY126" i="30002" s="1"/>
  <c r="CN112" i="30002"/>
  <c r="B6" i="30043"/>
  <c r="AO119" i="30002"/>
  <c r="AO120" i="30002" s="1"/>
  <c r="AO121" i="30002" s="1"/>
  <c r="AO122" i="30002" s="1"/>
  <c r="AO123" i="30002" s="1"/>
  <c r="AG647" i="30041"/>
  <c r="BK339" i="30041"/>
  <c r="BO343" i="30041"/>
  <c r="S501" i="30041"/>
  <c r="BG505" i="30041"/>
  <c r="BI126" i="8192"/>
  <c r="BK341" i="30041"/>
  <c r="AF312" i="30041"/>
  <c r="AJ134" i="8192"/>
  <c r="AJ146" i="30041"/>
  <c r="AH170" i="8192"/>
  <c r="AF507" i="30041"/>
  <c r="K498" i="30041"/>
  <c r="AK641" i="30041"/>
  <c r="N56" i="29184"/>
  <c r="AN432" i="29184"/>
  <c r="AK439" i="29184"/>
  <c r="C341" i="29184"/>
  <c r="BL222" i="30041"/>
  <c r="AN434" i="29184"/>
  <c r="N434" i="29184"/>
  <c r="O54" i="29184"/>
  <c r="P342" i="29184"/>
  <c r="O545" i="29184"/>
  <c r="AH113" i="8192"/>
  <c r="BR344" i="30041"/>
  <c r="P70" i="29184"/>
  <c r="Z45" i="30002"/>
  <c r="AA35" i="30002"/>
  <c r="AA31" i="30002"/>
  <c r="Z36" i="30002"/>
  <c r="Z41" i="30002" s="1"/>
  <c r="Z46" i="30002" s="1"/>
  <c r="K6" i="30043"/>
  <c r="AB6" i="30043"/>
  <c r="AB7" i="30043" s="1"/>
  <c r="AB8" i="30043" s="1"/>
  <c r="AB9" i="30043" s="1"/>
  <c r="AB10" i="30043" s="1"/>
  <c r="AB11" i="30043" s="1"/>
  <c r="AB12" i="30043" s="1"/>
  <c r="AB13" i="30043" s="1"/>
  <c r="AB14" i="30043" s="1"/>
  <c r="AB15" i="30043" s="1"/>
  <c r="AB16" i="30043" s="1"/>
  <c r="AB17" i="30043" s="1"/>
  <c r="AB18" i="30043" s="1"/>
  <c r="AB19" i="30043" s="1"/>
  <c r="AB20" i="30043" s="1"/>
  <c r="AB21" i="30043" s="1"/>
  <c r="AB22" i="30043" s="1"/>
  <c r="AB23" i="30043" s="1"/>
  <c r="AB24" i="30043" s="1"/>
  <c r="AB25" i="30043" s="1"/>
  <c r="AB26" i="30043" s="1"/>
  <c r="AB27" i="30043" s="1"/>
  <c r="AB28" i="30043" s="1"/>
  <c r="AB29" i="30043" s="1"/>
  <c r="AB30" i="30043" s="1"/>
  <c r="AB31" i="30043" s="1"/>
  <c r="AB32" i="30043" s="1"/>
  <c r="AB33" i="30043" s="1"/>
  <c r="AB34" i="30043" s="1"/>
  <c r="AB35" i="30043" s="1"/>
  <c r="AB36" i="30043" s="1"/>
  <c r="AB37" i="30043" s="1"/>
  <c r="AB38" i="30043" s="1"/>
  <c r="AB39" i="30043" s="1"/>
  <c r="AB40" i="30043" s="1"/>
  <c r="AB41" i="30043" s="1"/>
  <c r="AB42" i="30043" s="1"/>
  <c r="AB43" i="30043" s="1"/>
  <c r="AB44" i="30043" s="1"/>
  <c r="AB45" i="30043" s="1"/>
  <c r="AB46" i="30043" s="1"/>
  <c r="AB47" i="30043" s="1"/>
  <c r="AB48" i="30043" s="1"/>
  <c r="AB49" i="30043" s="1"/>
  <c r="AB50" i="30043" s="1"/>
  <c r="AB51" i="30043" s="1"/>
  <c r="AB52" i="30043" s="1"/>
  <c r="AB53" i="30043" s="1"/>
  <c r="AB54" i="30043" s="1"/>
  <c r="AB55" i="30043" s="1"/>
  <c r="AB56" i="30043" s="1"/>
  <c r="AB57" i="30043" s="1"/>
  <c r="AB58" i="30043" s="1"/>
  <c r="AB59" i="30043" s="1"/>
  <c r="AB60" i="30043" s="1"/>
  <c r="AB61" i="30043" s="1"/>
  <c r="AB62" i="30043" s="1"/>
  <c r="AB63" i="30043" s="1"/>
  <c r="AB64" i="30043" s="1"/>
  <c r="AB65" i="30043" s="1"/>
  <c r="AB66" i="30043" s="1"/>
  <c r="AB67" i="30043" s="1"/>
  <c r="AB68" i="30043" s="1"/>
  <c r="BX98" i="30002"/>
  <c r="BY98" i="30002" s="1"/>
  <c r="CM121" i="30002"/>
  <c r="CN121" i="30002" s="1"/>
  <c r="BJ80" i="30002"/>
  <c r="CM109" i="30002"/>
  <c r="CN99" i="30002"/>
  <c r="BX88" i="30002"/>
  <c r="BY79" i="30002"/>
  <c r="O1314" i="29184"/>
  <c r="AN1309" i="29184"/>
  <c r="Z39" i="30002"/>
  <c r="AA39" i="30002" s="1"/>
  <c r="CM106" i="30002"/>
  <c r="CN96" i="30002"/>
  <c r="H5" i="30043"/>
  <c r="J347" i="29184"/>
  <c r="BE81" i="8192"/>
  <c r="AN57" i="29184"/>
  <c r="M543" i="29184"/>
  <c r="AI374" i="30041"/>
  <c r="BS499" i="30041"/>
  <c r="J438" i="29184"/>
  <c r="BI124" i="8192"/>
  <c r="AH146" i="30041"/>
  <c r="AL499" i="30041"/>
  <c r="AJ256" i="30041"/>
  <c r="BW339" i="30041"/>
  <c r="N37" i="29184"/>
  <c r="J501" i="30041"/>
  <c r="F501" i="30041" s="1"/>
  <c r="Q544" i="29184"/>
  <c r="AN344" i="29184"/>
  <c r="O340" i="29184"/>
  <c r="AJ647" i="30041"/>
  <c r="O55" i="29184"/>
  <c r="BE82" i="8192"/>
  <c r="AG591" i="30041"/>
  <c r="L440" i="29184"/>
  <c r="E440" i="29184" s="1"/>
  <c r="BM124" i="8192"/>
  <c r="AJ174" i="30041"/>
  <c r="O502" i="30041"/>
  <c r="P15" i="29184"/>
  <c r="AF228" i="30041"/>
  <c r="AF486" i="30041"/>
  <c r="BC343" i="30041"/>
  <c r="C503" i="30041"/>
  <c r="AF256" i="30041"/>
  <c r="AK595" i="30041"/>
  <c r="AK320" i="30041"/>
  <c r="AN96" i="29184"/>
  <c r="BD81" i="8192"/>
  <c r="BR500" i="30041"/>
  <c r="AK1124" i="29184"/>
  <c r="M98" i="29184"/>
  <c r="AJ143" i="8192"/>
  <c r="AG465" i="30041"/>
  <c r="M1311" i="29184"/>
  <c r="Q1305" i="29184"/>
  <c r="BH502" i="30041"/>
  <c r="BD223" i="30041"/>
  <c r="AH598" i="30041"/>
  <c r="BL504" i="30041"/>
  <c r="AI519" i="29184"/>
  <c r="AI416" i="29184"/>
  <c r="AH479" i="30041"/>
  <c r="N70" i="29184"/>
  <c r="AH319" i="30041"/>
  <c r="BH225" i="30041"/>
  <c r="O537" i="29184"/>
  <c r="P440" i="29184"/>
  <c r="J429" i="29184"/>
  <c r="L429" i="29184"/>
  <c r="D429" i="29184" s="1"/>
  <c r="CB501" i="30041"/>
  <c r="N430" i="29184"/>
  <c r="AJ465" i="30041"/>
  <c r="AI1990" i="29184"/>
  <c r="AI1986" i="29184"/>
  <c r="AI1966" i="29184"/>
  <c r="AI1956" i="29184"/>
  <c r="AI1942" i="29184"/>
  <c r="AI1932" i="29184"/>
  <c r="AI1928" i="29184"/>
  <c r="AI1890" i="29184"/>
  <c r="AI1880" i="29184"/>
  <c r="AI1876" i="29184"/>
  <c r="AI1866" i="29184"/>
  <c r="AI1804" i="29184"/>
  <c r="AI140" i="29184"/>
  <c r="AK545" i="30041"/>
  <c r="AJ409" i="30041"/>
  <c r="BP501" i="30041"/>
  <c r="BD504" i="30041"/>
  <c r="L545" i="29184"/>
  <c r="E545" i="29184" s="1"/>
  <c r="BT498" i="30041"/>
  <c r="AJ654" i="30041"/>
  <c r="C438" i="29184"/>
  <c r="O26" i="29184"/>
  <c r="N439" i="29184"/>
  <c r="M264" i="29184"/>
  <c r="J264" i="29184"/>
  <c r="M431" i="29184"/>
  <c r="W3" i="19124"/>
  <c r="K6" i="30008"/>
  <c r="D4" i="30044"/>
  <c r="B783" i="29960"/>
  <c r="B784" i="29960" s="1"/>
  <c r="B786" i="29960"/>
  <c r="B787" i="29960" s="1"/>
  <c r="B752" i="29960"/>
  <c r="B753" i="29960"/>
  <c r="B754" i="29960" s="1"/>
  <c r="B741" i="29960"/>
  <c r="B742" i="29960" s="1"/>
  <c r="B750" i="29960"/>
  <c r="B751" i="29960" s="1"/>
  <c r="B747" i="29960"/>
  <c r="B748" i="29960" s="1"/>
  <c r="B756" i="29960"/>
  <c r="B757" i="29960" s="1"/>
  <c r="B744" i="29960"/>
  <c r="B745" i="29960" s="1"/>
  <c r="B799" i="29960"/>
  <c r="B793" i="29960"/>
  <c r="B796" i="29960"/>
  <c r="B790" i="29960"/>
  <c r="B785" i="29960"/>
  <c r="B777" i="29960"/>
  <c r="B778" i="29960" s="1"/>
  <c r="B773" i="29960"/>
  <c r="B765" i="29960"/>
  <c r="B766" i="29960" s="1"/>
  <c r="B761" i="29960"/>
  <c r="B739" i="29960"/>
  <c r="B735" i="29960"/>
  <c r="B788" i="29960"/>
  <c r="B780" i="29960"/>
  <c r="B781" i="29960" s="1"/>
  <c r="B776" i="29960"/>
  <c r="B768" i="29960"/>
  <c r="B764" i="29960"/>
  <c r="B755" i="29960"/>
  <c r="B749" i="29960"/>
  <c r="B743" i="29960"/>
  <c r="B738" i="29960"/>
  <c r="B734" i="29960"/>
  <c r="B792" i="29960"/>
  <c r="B779" i="29960"/>
  <c r="B771" i="29960"/>
  <c r="B772" i="29960" s="1"/>
  <c r="B767" i="29960"/>
  <c r="B759" i="29960"/>
  <c r="B760" i="29960" s="1"/>
  <c r="B737" i="29960"/>
  <c r="B791" i="29960"/>
  <c r="B782" i="29960"/>
  <c r="B774" i="29960"/>
  <c r="B775" i="29960" s="1"/>
  <c r="B770" i="29960"/>
  <c r="B762" i="29960"/>
  <c r="B763" i="29960" s="1"/>
  <c r="B758" i="29960"/>
  <c r="B746" i="29960"/>
  <c r="B736" i="29960"/>
  <c r="B677" i="29960"/>
  <c r="B679" i="29960"/>
  <c r="B733" i="29960"/>
  <c r="B727" i="29960"/>
  <c r="B723" i="29960"/>
  <c r="B731" i="29960"/>
  <c r="B726" i="29960"/>
  <c r="B722" i="29960"/>
  <c r="B718" i="29960"/>
  <c r="B729" i="29960"/>
  <c r="B725" i="29960"/>
  <c r="B719" i="29960"/>
  <c r="B728" i="29960"/>
  <c r="B724" i="29960"/>
  <c r="B714" i="29960"/>
  <c r="B710" i="29960"/>
  <c r="B706" i="29960"/>
  <c r="B702" i="29960"/>
  <c r="B698" i="29960"/>
  <c r="B694" i="29960"/>
  <c r="B690" i="29960"/>
  <c r="B686" i="29960"/>
  <c r="B684" i="29960"/>
  <c r="B675" i="29960"/>
  <c r="B670" i="29960"/>
  <c r="B666" i="29960"/>
  <c r="B717" i="29960"/>
  <c r="B713" i="29960"/>
  <c r="B709" i="29960"/>
  <c r="B705" i="29960"/>
  <c r="B701" i="29960"/>
  <c r="B697" i="29960"/>
  <c r="B693" i="29960"/>
  <c r="B689" i="29960"/>
  <c r="B685" i="29960"/>
  <c r="B683" i="29960"/>
  <c r="B673" i="29960"/>
  <c r="B669" i="29960"/>
  <c r="B716" i="29960"/>
  <c r="B712" i="29960"/>
  <c r="B708" i="29960"/>
  <c r="B704" i="29960"/>
  <c r="B700" i="29960"/>
  <c r="B696" i="29960"/>
  <c r="B692" i="29960"/>
  <c r="B688" i="29960"/>
  <c r="B680" i="29960"/>
  <c r="B682" i="29960"/>
  <c r="B672" i="29960"/>
  <c r="B668" i="29960"/>
  <c r="B715" i="29960"/>
  <c r="B711" i="29960"/>
  <c r="B707" i="29960"/>
  <c r="B703" i="29960"/>
  <c r="B699" i="29960"/>
  <c r="B695" i="29960"/>
  <c r="B691" i="29960"/>
  <c r="B687" i="29960"/>
  <c r="B674" i="29960"/>
  <c r="B681" i="29960"/>
  <c r="B671" i="29960"/>
  <c r="B667" i="29960"/>
  <c r="B663" i="29960"/>
  <c r="B662" i="29960"/>
  <c r="B665" i="29960"/>
  <c r="B664" i="29960"/>
  <c r="B658" i="29960"/>
  <c r="B654" i="29960"/>
  <c r="B649" i="29960"/>
  <c r="B657" i="29960"/>
  <c r="B652" i="29960"/>
  <c r="B648" i="29960"/>
  <c r="B661" i="29960"/>
  <c r="B656" i="29960"/>
  <c r="B651" i="29960"/>
  <c r="B647" i="29960"/>
  <c r="B655" i="29960"/>
  <c r="B650" i="29960"/>
  <c r="B644" i="29960"/>
  <c r="B643" i="29960"/>
  <c r="B646" i="29960"/>
  <c r="B642" i="29960"/>
  <c r="B645" i="29960"/>
  <c r="B641" i="29960"/>
  <c r="BY92" i="30002"/>
  <c r="BX101" i="30002"/>
  <c r="BJ94" i="30002"/>
  <c r="BK86" i="30002"/>
  <c r="BY100" i="30002"/>
  <c r="BX109" i="30002"/>
  <c r="AW75" i="30002"/>
  <c r="AX75" i="30002" s="1"/>
  <c r="BJ101" i="30002"/>
  <c r="BJ109" i="30002" s="1"/>
  <c r="BJ117" i="30002" s="1"/>
  <c r="H6" i="30043"/>
  <c r="C538" i="29184"/>
  <c r="BK78" i="30002"/>
  <c r="BK74" i="30002"/>
  <c r="BJ82" i="30002"/>
  <c r="AW62" i="30002"/>
  <c r="AX55" i="30002"/>
  <c r="AK543" i="29184"/>
  <c r="M542" i="29184"/>
  <c r="J538" i="29184"/>
  <c r="O536" i="29184"/>
  <c r="O540" i="29184"/>
  <c r="AO534" i="29184"/>
  <c r="M538" i="29184"/>
  <c r="BY82" i="30002"/>
  <c r="AI470" i="29184"/>
  <c r="AI464" i="29184"/>
  <c r="AI460" i="29184"/>
  <c r="AI322" i="29184"/>
  <c r="AI316" i="29184"/>
  <c r="B639" i="29960"/>
  <c r="B640" i="29960"/>
  <c r="AF675" i="30041"/>
  <c r="BO225" i="30041"/>
  <c r="O439" i="29184"/>
  <c r="AE134" i="8192"/>
  <c r="AJ146" i="8192"/>
  <c r="AG174" i="30041"/>
  <c r="AE284" i="30041"/>
  <c r="P434" i="29184"/>
  <c r="M267" i="29184"/>
  <c r="M268" i="29184"/>
  <c r="S498" i="30041"/>
  <c r="AJ535" i="30041"/>
  <c r="AF374" i="30041"/>
  <c r="J432" i="29184"/>
  <c r="BG221" i="30041"/>
  <c r="AO437" i="29184"/>
  <c r="AN440" i="29184"/>
  <c r="J433" i="29184"/>
  <c r="BO344" i="30041"/>
  <c r="AF458" i="30041"/>
  <c r="AE458" i="30041"/>
  <c r="AK458" i="30041" s="1"/>
  <c r="AG486" i="30041"/>
  <c r="BW343" i="30041"/>
  <c r="AI346" i="30041"/>
  <c r="AH346" i="30041"/>
  <c r="N429" i="29184"/>
  <c r="N40" i="29184"/>
  <c r="BG343" i="30041"/>
  <c r="P502" i="30041"/>
  <c r="O499" i="30041"/>
  <c r="AE170" i="8192"/>
  <c r="N261" i="29184"/>
  <c r="Q438" i="29184"/>
  <c r="J15" i="29184"/>
  <c r="BK225" i="30041"/>
  <c r="P55" i="29184"/>
  <c r="BE80" i="8192"/>
  <c r="BE84" i="8192"/>
  <c r="BW500" i="30041"/>
  <c r="AI647" i="30041"/>
  <c r="N57" i="29184"/>
  <c r="M56" i="29184"/>
  <c r="AN58" i="29184"/>
  <c r="Q54" i="29184"/>
  <c r="L54" i="29184"/>
  <c r="E54" i="29184" s="1"/>
  <c r="AG535" i="30041"/>
  <c r="BG344" i="30041"/>
  <c r="AJ402" i="30041"/>
  <c r="BO339" i="30041"/>
  <c r="AH535" i="30041"/>
  <c r="BG499" i="30041"/>
  <c r="BK505" i="30041"/>
  <c r="BO504" i="30041"/>
  <c r="AH647" i="30041"/>
  <c r="AJ202" i="30041"/>
  <c r="L436" i="29184"/>
  <c r="F436" i="29184" s="1"/>
  <c r="O433" i="29184"/>
  <c r="M434" i="29184"/>
  <c r="BQ124" i="8192"/>
  <c r="AF158" i="8192"/>
  <c r="O58" i="29184"/>
  <c r="AI430" i="30041"/>
  <c r="AN429" i="29184"/>
  <c r="M261" i="29184"/>
  <c r="K501" i="30041"/>
  <c r="BC222" i="30041"/>
  <c r="Q436" i="29184"/>
  <c r="AL500" i="30041"/>
  <c r="P500" i="30041"/>
  <c r="B80" i="28416"/>
  <c r="AG92" i="8192"/>
  <c r="BE83" i="8192"/>
  <c r="AF647" i="30041"/>
  <c r="BW505" i="30041"/>
  <c r="AN56" i="29184"/>
  <c r="P54" i="29184"/>
  <c r="Q58" i="29184"/>
  <c r="AO57" i="29184"/>
  <c r="CA57" i="29184" s="1"/>
  <c r="M58" i="29184"/>
  <c r="O56" i="29184"/>
  <c r="AO1313" i="29184"/>
  <c r="AE374" i="30041"/>
  <c r="AK374" i="30041" s="1"/>
  <c r="AH402" i="30041"/>
  <c r="AG675" i="30041"/>
  <c r="BO342" i="30041"/>
  <c r="BW503" i="30041"/>
  <c r="AE312" i="30041"/>
  <c r="AK312" i="30041" s="1"/>
  <c r="BO222" i="30041"/>
  <c r="BK498" i="30041"/>
  <c r="BO503" i="30041"/>
  <c r="AH619" i="30041"/>
  <c r="AG202" i="30041"/>
  <c r="N432" i="29184"/>
  <c r="M432" i="29184"/>
  <c r="AK433" i="29184"/>
  <c r="Q430" i="29184"/>
  <c r="BQ126" i="8192"/>
  <c r="AF134" i="8192"/>
  <c r="AE158" i="8192"/>
  <c r="AI146" i="8192"/>
  <c r="AI284" i="30041"/>
  <c r="AE146" i="30041"/>
  <c r="C429" i="29184"/>
  <c r="C431" i="29184"/>
  <c r="J436" i="29184"/>
  <c r="AO500" i="30041"/>
  <c r="AP499" i="30041"/>
  <c r="CF499" i="30041" s="1"/>
  <c r="S505" i="30041"/>
  <c r="Q439" i="29184"/>
  <c r="AO17" i="29184"/>
  <c r="CA17" i="29184" s="1"/>
  <c r="BC221" i="30041"/>
  <c r="BC224" i="30041"/>
  <c r="BG223" i="30041"/>
  <c r="AK440" i="29184"/>
  <c r="P430" i="29184"/>
  <c r="AO430" i="29184"/>
  <c r="L435" i="29184"/>
  <c r="E435" i="29184" s="1"/>
  <c r="M17" i="29184"/>
  <c r="BS339" i="30041"/>
  <c r="BS341" i="30041"/>
  <c r="AI486" i="30041"/>
  <c r="BW338" i="30041"/>
  <c r="BC344" i="30041"/>
  <c r="AJ346" i="30041"/>
  <c r="AH256" i="30041"/>
  <c r="N38" i="29184"/>
  <c r="BG341" i="30041"/>
  <c r="S499" i="30041"/>
  <c r="AP500" i="30041"/>
  <c r="CF500" i="30041" s="1"/>
  <c r="M498" i="30041"/>
  <c r="BQ123" i="8192"/>
  <c r="BK222" i="30041"/>
  <c r="BG222" i="30041"/>
  <c r="N435" i="29184"/>
  <c r="BK343" i="30041"/>
  <c r="Q57" i="29184"/>
  <c r="AO54" i="29184"/>
  <c r="CA54" i="29184" s="1"/>
  <c r="C55" i="29184"/>
  <c r="AF92" i="8192"/>
  <c r="BW501" i="30041"/>
  <c r="L58" i="29184"/>
  <c r="E58" i="29184" s="1"/>
  <c r="AN55" i="29184"/>
  <c r="AK56" i="29184"/>
  <c r="BG498" i="30041"/>
  <c r="BG340" i="30041"/>
  <c r="AE92" i="8192"/>
  <c r="AG430" i="30041"/>
  <c r="BG502" i="30041"/>
  <c r="AO429" i="29184"/>
  <c r="Q432" i="29184"/>
  <c r="AN439" i="29184"/>
  <c r="P439" i="29184"/>
  <c r="BE126" i="8192"/>
  <c r="AK431" i="29184"/>
  <c r="M433" i="29184"/>
  <c r="C433" i="29184"/>
  <c r="N268" i="29184"/>
  <c r="L266" i="29184"/>
  <c r="N266" i="29184"/>
  <c r="Q503" i="30041"/>
  <c r="O500" i="30041"/>
  <c r="AG146" i="30041"/>
  <c r="O440" i="29184"/>
  <c r="Q431" i="29184"/>
  <c r="O432" i="29184"/>
  <c r="P429" i="29184"/>
  <c r="AI458" i="30041"/>
  <c r="AF146" i="30041"/>
  <c r="BC342" i="30041"/>
  <c r="AO40" i="29184"/>
  <c r="CA40" i="29184" s="1"/>
  <c r="J503" i="30041"/>
  <c r="D503" i="30041" s="1"/>
  <c r="J499" i="30041"/>
  <c r="I499" i="30041" s="1"/>
  <c r="AO499" i="30041"/>
  <c r="C501" i="30041"/>
  <c r="B613" i="29960"/>
  <c r="B609" i="29960"/>
  <c r="B635" i="29960"/>
  <c r="B631" i="29960"/>
  <c r="B610" i="29960"/>
  <c r="B636" i="29960"/>
  <c r="B632" i="29960"/>
  <c r="B611" i="29960"/>
  <c r="B637" i="29960"/>
  <c r="B633" i="29960"/>
  <c r="B629" i="29960"/>
  <c r="B612" i="29960"/>
  <c r="B638" i="29960"/>
  <c r="B634" i="29960"/>
  <c r="B630" i="29960"/>
  <c r="L1128" i="29184"/>
  <c r="D1128" i="29184" s="1"/>
  <c r="BY504" i="30041"/>
  <c r="AO344" i="29184"/>
  <c r="BI505" i="30041"/>
  <c r="Q537" i="29184"/>
  <c r="O535" i="29184"/>
  <c r="O70" i="29184"/>
  <c r="AK1321" i="29184"/>
  <c r="N540" i="29184"/>
  <c r="AF161" i="8192"/>
  <c r="BV341" i="30041"/>
  <c r="CD505" i="30041"/>
  <c r="AF605" i="30041"/>
  <c r="J8" i="29184"/>
  <c r="AO98" i="29184"/>
  <c r="CA98" i="29184" s="1"/>
  <c r="J345" i="29184"/>
  <c r="AO342" i="29184"/>
  <c r="L342" i="29184"/>
  <c r="E342" i="29184" s="1"/>
  <c r="AK346" i="29184"/>
  <c r="AE451" i="30041"/>
  <c r="AJ668" i="30041"/>
  <c r="CD498" i="30041"/>
  <c r="O543" i="29184"/>
  <c r="L543" i="29184"/>
  <c r="D543" i="29184" s="1"/>
  <c r="AN542" i="29184"/>
  <c r="AN534" i="29184"/>
  <c r="BD124" i="8192"/>
  <c r="O542" i="29184"/>
  <c r="M534" i="29184"/>
  <c r="BD84" i="8192"/>
  <c r="BJ503" i="30041"/>
  <c r="AO99" i="29184"/>
  <c r="CA99" i="29184" s="1"/>
  <c r="BL83" i="8192"/>
  <c r="M338" i="29184"/>
  <c r="L339" i="29184"/>
  <c r="E339" i="29184" s="1"/>
  <c r="L346" i="29184"/>
  <c r="E346" i="29184" s="1"/>
  <c r="J343" i="29184"/>
  <c r="BV339" i="30041"/>
  <c r="AF668" i="30041"/>
  <c r="AH696" i="30041"/>
  <c r="P540" i="29184"/>
  <c r="M540" i="29184"/>
  <c r="J665" i="29184"/>
  <c r="L542" i="29184"/>
  <c r="D542" i="29184" s="1"/>
  <c r="L94" i="29184"/>
  <c r="K94" i="29184" s="1"/>
  <c r="J542" i="29184"/>
  <c r="P655" i="29184"/>
  <c r="AI640" i="30041"/>
  <c r="L535" i="29184"/>
  <c r="F535" i="29184" s="1"/>
  <c r="AE277" i="30041"/>
  <c r="AH35" i="8192"/>
  <c r="AO1513" i="29184"/>
  <c r="AI1065" i="29184"/>
  <c r="AI551" i="29184"/>
  <c r="AI368" i="29184"/>
  <c r="AI353" i="29184"/>
  <c r="AI301" i="29184"/>
  <c r="AI279" i="29184"/>
  <c r="AI276" i="29184"/>
  <c r="AI225" i="29184"/>
  <c r="AI186" i="29184"/>
  <c r="AK67" i="8192"/>
  <c r="AK62" i="8192"/>
  <c r="AK643" i="30041"/>
  <c r="AK630" i="30041"/>
  <c r="AK461" i="30041"/>
  <c r="AK392" i="30041"/>
  <c r="AK375" i="30041"/>
  <c r="AK329" i="30041"/>
  <c r="AK182" i="30041"/>
  <c r="AK171" i="30041"/>
  <c r="AK169" i="30041"/>
  <c r="AK154" i="30041"/>
  <c r="AK66" i="30041"/>
  <c r="AK26" i="30041"/>
  <c r="AI1729" i="29184"/>
  <c r="AI1419" i="29184"/>
  <c r="AI1401" i="29184"/>
  <c r="L99" i="29184"/>
  <c r="F99" i="29184" s="1"/>
  <c r="O98" i="29184"/>
  <c r="AJ101" i="8192"/>
  <c r="AI113" i="8192"/>
  <c r="BU498" i="30041"/>
  <c r="L341" i="29184"/>
  <c r="E341" i="29184" s="1"/>
  <c r="AO337" i="29184"/>
  <c r="C344" i="29184"/>
  <c r="N344" i="29184"/>
  <c r="M339" i="29184"/>
  <c r="L338" i="29184"/>
  <c r="E338" i="29184" s="1"/>
  <c r="O345" i="29184"/>
  <c r="AJ360" i="30041"/>
  <c r="BR340" i="30041"/>
  <c r="BV340" i="30041"/>
  <c r="BM505" i="30041"/>
  <c r="BD83" i="8192"/>
  <c r="AJ140" i="8192"/>
  <c r="Q534" i="29184"/>
  <c r="AO544" i="29184"/>
  <c r="Q535" i="29184"/>
  <c r="O534" i="29184"/>
  <c r="M536" i="29184"/>
  <c r="C657" i="29184"/>
  <c r="L540" i="29184"/>
  <c r="E540" i="29184" s="1"/>
  <c r="C536" i="29184"/>
  <c r="Q542" i="29184"/>
  <c r="C534" i="29184"/>
  <c r="P1522" i="29184"/>
  <c r="AN1117" i="29184"/>
  <c r="J340" i="29184"/>
  <c r="P99" i="29184"/>
  <c r="M99" i="29184"/>
  <c r="AK535" i="29184"/>
  <c r="Q540" i="29184"/>
  <c r="AK542" i="29184"/>
  <c r="AO7" i="29184"/>
  <c r="CA7" i="29184" s="1"/>
  <c r="BV502" i="30041"/>
  <c r="AO537" i="29184"/>
  <c r="M533" i="29184"/>
  <c r="BM500" i="30041"/>
  <c r="C1524" i="29184"/>
  <c r="L1518" i="29184"/>
  <c r="M162" i="29184"/>
  <c r="L96" i="29184"/>
  <c r="E96" i="29184" s="1"/>
  <c r="AF113" i="8192"/>
  <c r="AO340" i="29184"/>
  <c r="AO341" i="29184"/>
  <c r="AK343" i="29184"/>
  <c r="N339" i="29184"/>
  <c r="M337" i="29184"/>
  <c r="AN341" i="29184"/>
  <c r="AI360" i="30041"/>
  <c r="AE479" i="30041"/>
  <c r="AF140" i="8192"/>
  <c r="N537" i="29184"/>
  <c r="P534" i="29184"/>
  <c r="AK541" i="29184"/>
  <c r="N543" i="29184"/>
  <c r="Q533" i="29184"/>
  <c r="AK658" i="29184"/>
  <c r="P541" i="29184"/>
  <c r="AN543" i="29184"/>
  <c r="J535" i="29184"/>
  <c r="J541" i="29184"/>
  <c r="P667" i="29184"/>
  <c r="C94" i="29184"/>
  <c r="P94" i="29184"/>
  <c r="N533" i="29184"/>
  <c r="C535" i="29184"/>
  <c r="Q536" i="29184"/>
  <c r="O657" i="29184"/>
  <c r="AG155" i="8192"/>
  <c r="C537" i="29184"/>
  <c r="BL84" i="8192"/>
  <c r="J1520" i="29184"/>
  <c r="J1523" i="29184"/>
  <c r="P1517" i="29184"/>
  <c r="O1525" i="29184"/>
  <c r="M1513" i="29184"/>
  <c r="AN1524" i="29184"/>
  <c r="N1527" i="29184"/>
  <c r="Q1528" i="29184"/>
  <c r="M1519" i="29184"/>
  <c r="AK1525" i="29184"/>
  <c r="L1520" i="29184"/>
  <c r="K1520" i="29184" s="1"/>
  <c r="AH164" i="8192"/>
  <c r="AG164" i="8192"/>
  <c r="AI98" i="8192"/>
  <c r="BG81" i="8192"/>
  <c r="AI661" i="30041"/>
  <c r="BY502" i="30041"/>
  <c r="AG605" i="30041"/>
  <c r="BQ504" i="30041"/>
  <c r="BQ341" i="30041"/>
  <c r="AF444" i="30041"/>
  <c r="BQ343" i="30041"/>
  <c r="BI340" i="30041"/>
  <c r="BI341" i="30041"/>
  <c r="AE388" i="30041"/>
  <c r="AJ188" i="30041"/>
  <c r="AF188" i="30041"/>
  <c r="M1114" i="29184"/>
  <c r="AK1121" i="29184"/>
  <c r="O1124" i="29184"/>
  <c r="O1127" i="29184"/>
  <c r="P1125" i="29184"/>
  <c r="Q958" i="29184"/>
  <c r="M953" i="29184"/>
  <c r="O944" i="29184"/>
  <c r="O951" i="29184"/>
  <c r="J662" i="29184"/>
  <c r="L655" i="29184"/>
  <c r="F655" i="29184" s="1"/>
  <c r="AK667" i="29184"/>
  <c r="Q661" i="29184"/>
  <c r="N657" i="29184"/>
  <c r="AK534" i="29184"/>
  <c r="J534" i="29184"/>
  <c r="AO545" i="29184"/>
  <c r="P544" i="29184"/>
  <c r="O541" i="29184"/>
  <c r="P539" i="29184"/>
  <c r="J543" i="29184"/>
  <c r="AN538" i="29184"/>
  <c r="M537" i="29184"/>
  <c r="AN545" i="29184"/>
  <c r="N542" i="29184"/>
  <c r="C544" i="29184"/>
  <c r="AN539" i="29184"/>
  <c r="P536" i="29184"/>
  <c r="AO536" i="29184"/>
  <c r="O533" i="29184"/>
  <c r="J536" i="29184"/>
  <c r="L541" i="29184"/>
  <c r="K541" i="29184" s="1"/>
  <c r="AO533" i="29184"/>
  <c r="L533" i="29184"/>
  <c r="F533" i="29184" s="1"/>
  <c r="C533" i="29184"/>
  <c r="M535" i="29184"/>
  <c r="J533" i="29184"/>
  <c r="AN537" i="29184"/>
  <c r="AO538" i="29184"/>
  <c r="AN535" i="29184"/>
  <c r="Q538" i="29184"/>
  <c r="P537" i="29184"/>
  <c r="J544" i="29184"/>
  <c r="AO541" i="29184"/>
  <c r="M544" i="29184"/>
  <c r="AN540" i="29184"/>
  <c r="Q541" i="29184"/>
  <c r="N544" i="29184"/>
  <c r="AK545" i="29184"/>
  <c r="C542" i="29184"/>
  <c r="P545" i="29184"/>
  <c r="O539" i="29184"/>
  <c r="L544" i="29184"/>
  <c r="D544" i="29184" s="1"/>
  <c r="L538" i="29184"/>
  <c r="K538" i="29184" s="1"/>
  <c r="AN533" i="29184"/>
  <c r="C539" i="29184"/>
  <c r="Q539" i="29184"/>
  <c r="AO542" i="29184"/>
  <c r="C543" i="29184"/>
  <c r="AK538" i="29184"/>
  <c r="N536" i="29184"/>
  <c r="Q543" i="29184"/>
  <c r="AK539" i="29184"/>
  <c r="P543" i="29184"/>
  <c r="N545" i="29184"/>
  <c r="J545" i="29184"/>
  <c r="AK544" i="29184"/>
  <c r="J539" i="29184"/>
  <c r="M539" i="29184"/>
  <c r="C540" i="29184"/>
  <c r="N541" i="29184"/>
  <c r="J537" i="29184"/>
  <c r="AK536" i="29184"/>
  <c r="C541" i="29184"/>
  <c r="O544" i="29184"/>
  <c r="N534" i="29184"/>
  <c r="L536" i="29184"/>
  <c r="K536" i="29184" s="1"/>
  <c r="J540" i="29184"/>
  <c r="N538" i="29184"/>
  <c r="P542" i="29184"/>
  <c r="AO540" i="29184"/>
  <c r="AK540" i="29184"/>
  <c r="AO543" i="29184"/>
  <c r="O538" i="29184"/>
  <c r="AN536" i="29184"/>
  <c r="M344" i="29184"/>
  <c r="P338" i="29184"/>
  <c r="J344" i="29184"/>
  <c r="M340" i="29184"/>
  <c r="AO339" i="29184"/>
  <c r="Q340" i="29184"/>
  <c r="N342" i="29184"/>
  <c r="AK337" i="29184"/>
  <c r="AN340" i="29184"/>
  <c r="AK341" i="29184"/>
  <c r="P337" i="29184"/>
  <c r="M196" i="29184"/>
  <c r="M201" i="29184"/>
  <c r="L197" i="29184"/>
  <c r="C96" i="29184"/>
  <c r="P98" i="29184"/>
  <c r="AN99" i="29184"/>
  <c r="Q95" i="29184"/>
  <c r="C98" i="29184"/>
  <c r="AK96" i="29184"/>
  <c r="N98" i="29184"/>
  <c r="O96" i="29184"/>
  <c r="L8" i="29184"/>
  <c r="F8" i="29184" s="1"/>
  <c r="AO9" i="29184"/>
  <c r="CA9" i="29184" s="1"/>
  <c r="Q7" i="29184"/>
  <c r="C8" i="29184"/>
  <c r="P9" i="29184"/>
  <c r="BP121" i="8192"/>
  <c r="BP122" i="8192"/>
  <c r="AE131" i="8192"/>
  <c r="AH131" i="8192"/>
  <c r="AI101" i="8192"/>
  <c r="AH101" i="8192"/>
  <c r="BH82" i="8192"/>
  <c r="AG89" i="8192"/>
  <c r="BD80" i="8192"/>
  <c r="AJ696" i="30041"/>
  <c r="AF696" i="30041"/>
  <c r="AE668" i="30041"/>
  <c r="BZ499" i="30041"/>
  <c r="BN501" i="30041"/>
  <c r="BN500" i="30041"/>
  <c r="AJ584" i="30041"/>
  <c r="BF505" i="30041"/>
  <c r="BF503" i="30041"/>
  <c r="BF501" i="30041"/>
  <c r="BR342" i="30041"/>
  <c r="AJ451" i="30041"/>
  <c r="BF340" i="30041"/>
  <c r="BF344" i="30041"/>
  <c r="AJ249" i="30041"/>
  <c r="AG249" i="30041"/>
  <c r="AF249" i="30041"/>
  <c r="BY503" i="30041"/>
  <c r="BI339" i="30041"/>
  <c r="Q1525" i="29184"/>
  <c r="P1521" i="29184"/>
  <c r="O1522" i="29184"/>
  <c r="AI772" i="29184"/>
  <c r="Q1757" i="29184"/>
  <c r="N1756" i="29184"/>
  <c r="L1760" i="29184"/>
  <c r="F1760" i="29184" s="1"/>
  <c r="AI152" i="8192"/>
  <c r="BK125" i="8192"/>
  <c r="BG121" i="8192"/>
  <c r="BG123" i="8192"/>
  <c r="BK80" i="8192"/>
  <c r="AJ110" i="8192"/>
  <c r="AH86" i="8192"/>
  <c r="AI86" i="8192"/>
  <c r="AG689" i="30041"/>
  <c r="CC504" i="30041"/>
  <c r="BU502" i="30041"/>
  <c r="BU500" i="30041"/>
  <c r="AF577" i="30041"/>
  <c r="BM504" i="30041"/>
  <c r="BI504" i="30041"/>
  <c r="AE549" i="30041"/>
  <c r="BU338" i="30041"/>
  <c r="BU343" i="30041"/>
  <c r="AI472" i="30041"/>
  <c r="BM344" i="30041"/>
  <c r="AI416" i="30041"/>
  <c r="BE338" i="30041"/>
  <c r="AF360" i="30041"/>
  <c r="AJ160" i="30041"/>
  <c r="AG105" i="28416"/>
  <c r="AG106" i="28416"/>
  <c r="AH113" i="28416" s="1"/>
  <c r="AG633" i="30041"/>
  <c r="CC501" i="30041"/>
  <c r="AI110" i="8192"/>
  <c r="AJ152" i="8192"/>
  <c r="AO1522" i="29184"/>
  <c r="Q1516" i="29184"/>
  <c r="AI160" i="30041"/>
  <c r="BQ499" i="30041"/>
  <c r="AJ633" i="30041"/>
  <c r="AE689" i="30041"/>
  <c r="AH360" i="30041"/>
  <c r="AJ549" i="30041"/>
  <c r="AH110" i="8192"/>
  <c r="AE140" i="8192"/>
  <c r="AK140" i="8192" s="1"/>
  <c r="AE152" i="8192"/>
  <c r="AK152" i="8192" s="1"/>
  <c r="J1754" i="29184"/>
  <c r="M545" i="29184"/>
  <c r="AK537" i="29184"/>
  <c r="N535" i="29184"/>
  <c r="AK533" i="29184"/>
  <c r="AN544" i="29184"/>
  <c r="L537" i="29184"/>
  <c r="D537" i="29184" s="1"/>
  <c r="Q664" i="29184"/>
  <c r="AH416" i="30041"/>
  <c r="Q1121" i="29184"/>
  <c r="N539" i="29184"/>
  <c r="P538" i="29184"/>
  <c r="L539" i="29184"/>
  <c r="E539" i="29184" s="1"/>
  <c r="M541" i="29184"/>
  <c r="P533" i="29184"/>
  <c r="L1515" i="29184"/>
  <c r="E1515" i="29184" s="1"/>
  <c r="O1518" i="29184"/>
  <c r="AO1529" i="29184"/>
  <c r="C944" i="29184"/>
  <c r="BO124" i="8192"/>
  <c r="AO535" i="29184"/>
  <c r="L534" i="29184"/>
  <c r="F534" i="29184" s="1"/>
  <c r="AN541" i="29184"/>
  <c r="Q545" i="29184"/>
  <c r="AF661" i="30041"/>
  <c r="N947" i="29184"/>
  <c r="AE160" i="30041"/>
  <c r="AO539" i="29184"/>
  <c r="C545" i="29184"/>
  <c r="AI689" i="29184"/>
  <c r="AI641" i="29184"/>
  <c r="AI621" i="29184"/>
  <c r="AI296" i="29184"/>
  <c r="AK157" i="8192"/>
  <c r="AK61" i="8192"/>
  <c r="AK601" i="30041"/>
  <c r="AK198" i="30041"/>
  <c r="AK196" i="30041"/>
  <c r="AK190" i="30041"/>
  <c r="BH340" i="30041"/>
  <c r="AN1745" i="29184"/>
  <c r="Q1752" i="29184"/>
  <c r="J73" i="29184"/>
  <c r="P1527" i="29184"/>
  <c r="J1513" i="29184"/>
  <c r="AO1518" i="29184"/>
  <c r="J1528" i="29184"/>
  <c r="AN1523" i="29184"/>
  <c r="AN1522" i="29184"/>
  <c r="P1524" i="29184"/>
  <c r="BP225" i="30041"/>
  <c r="AF263" i="30041"/>
  <c r="BX504" i="30041"/>
  <c r="AI291" i="30041"/>
  <c r="O797" i="29184"/>
  <c r="N29" i="29184"/>
  <c r="BD505" i="30041"/>
  <c r="AH235" i="30041"/>
  <c r="AH514" i="30041"/>
  <c r="AI1648" i="29184"/>
  <c r="AI1212" i="29184"/>
  <c r="AI1166" i="29184"/>
  <c r="AI762" i="29184"/>
  <c r="AI321" i="29184"/>
  <c r="AK663" i="30041"/>
  <c r="AK655" i="30041"/>
  <c r="AK629" i="30041"/>
  <c r="AK532" i="30041"/>
  <c r="AK363" i="30041"/>
  <c r="AK315" i="30041"/>
  <c r="AK267" i="30041"/>
  <c r="AK191" i="30041"/>
  <c r="AK178" i="30041"/>
  <c r="AK115" i="30041"/>
  <c r="L803" i="29184"/>
  <c r="E803" i="29184" s="1"/>
  <c r="BD91" i="30041"/>
  <c r="D99" i="24620"/>
  <c r="BP502" i="30041"/>
  <c r="C1745" i="29184"/>
  <c r="AO72" i="29184"/>
  <c r="CA72" i="29184" s="1"/>
  <c r="AJ570" i="30041"/>
  <c r="BH500" i="30041"/>
  <c r="AG263" i="30041"/>
  <c r="AE291" i="30041"/>
  <c r="AE682" i="30041"/>
  <c r="AN26" i="29184"/>
  <c r="L71" i="29184"/>
  <c r="E71" i="29184" s="1"/>
  <c r="AI1718" i="29184"/>
  <c r="AI1704" i="29184"/>
  <c r="AI1680" i="29184"/>
  <c r="AI1606" i="29184"/>
  <c r="AI995" i="29184"/>
  <c r="AI503" i="29184"/>
  <c r="Q27" i="28416"/>
  <c r="R30" i="28416" s="1"/>
  <c r="AW113" i="28416"/>
  <c r="BF39" i="30041"/>
  <c r="B524" i="29960"/>
  <c r="B626" i="29960"/>
  <c r="B627" i="29960"/>
  <c r="B628" i="29960"/>
  <c r="B624" i="29960"/>
  <c r="B625" i="29960"/>
  <c r="AK1752" i="29184"/>
  <c r="M1746" i="29184"/>
  <c r="L1746" i="29184"/>
  <c r="F1746" i="29184" s="1"/>
  <c r="J1120" i="29184"/>
  <c r="O1114" i="29184"/>
  <c r="P1116" i="29184"/>
  <c r="AG437" i="30041"/>
  <c r="L69" i="29184"/>
  <c r="F69" i="29184" s="1"/>
  <c r="L70" i="29184"/>
  <c r="D70" i="29184" s="1"/>
  <c r="AE319" i="30041"/>
  <c r="AI542" i="30041"/>
  <c r="BT499" i="30041"/>
  <c r="AG626" i="30041"/>
  <c r="AJ263" i="30041"/>
  <c r="BL499" i="30041"/>
  <c r="BX501" i="30041"/>
  <c r="CB504" i="30041"/>
  <c r="AO28" i="29184"/>
  <c r="CA28" i="29184" s="1"/>
  <c r="M27" i="29184"/>
  <c r="AI682" i="30041"/>
  <c r="AE149" i="8192"/>
  <c r="AE235" i="30041"/>
  <c r="BD499" i="30041"/>
  <c r="AG209" i="30041"/>
  <c r="BJ126" i="8192"/>
  <c r="AI1660" i="29184"/>
  <c r="AI557" i="29184"/>
  <c r="AK183" i="30041"/>
  <c r="AH100" i="30041"/>
  <c r="BQ502" i="30041"/>
  <c r="AH605" i="30041"/>
  <c r="AK605" i="30041" s="1"/>
  <c r="BU505" i="30041"/>
  <c r="BU501" i="30041"/>
  <c r="BY499" i="30041"/>
  <c r="BY500" i="30041"/>
  <c r="CC500" i="30041"/>
  <c r="CC505" i="30041"/>
  <c r="AI689" i="30041"/>
  <c r="AG360" i="30041"/>
  <c r="BE341" i="30041"/>
  <c r="AJ381" i="30041"/>
  <c r="BH344" i="30041"/>
  <c r="BL339" i="30041"/>
  <c r="BI503" i="30041"/>
  <c r="AG549" i="30041"/>
  <c r="AI577" i="30041"/>
  <c r="AH577" i="30041"/>
  <c r="AF598" i="30041"/>
  <c r="AE598" i="30041"/>
  <c r="BK81" i="8192"/>
  <c r="AG110" i="8192"/>
  <c r="BG122" i="8192"/>
  <c r="BG124" i="8192"/>
  <c r="BK122" i="8192"/>
  <c r="AG152" i="8192"/>
  <c r="M165" i="29184"/>
  <c r="M166" i="29184"/>
  <c r="L162" i="29184"/>
  <c r="N1751" i="29184"/>
  <c r="AK1757" i="29184"/>
  <c r="M1752" i="29184"/>
  <c r="AG409" i="30041"/>
  <c r="AG416" i="30041"/>
  <c r="BM342" i="30041"/>
  <c r="AI388" i="30041"/>
  <c r="AF388" i="30041"/>
  <c r="Q1123" i="29184"/>
  <c r="C1114" i="29184"/>
  <c r="Q1125" i="29184"/>
  <c r="AO1116" i="29184"/>
  <c r="J1122" i="29184"/>
  <c r="N1127" i="29184"/>
  <c r="O1756" i="29184"/>
  <c r="AH465" i="30041"/>
  <c r="O69" i="29184"/>
  <c r="N73" i="29184"/>
  <c r="P72" i="29184"/>
  <c r="M69" i="29184"/>
  <c r="Q73" i="29184"/>
  <c r="M73" i="29184"/>
  <c r="AG140" i="8192"/>
  <c r="AG319" i="30041"/>
  <c r="BP224" i="30041"/>
  <c r="AG542" i="30041"/>
  <c r="BH503" i="30041"/>
  <c r="BT503" i="30041"/>
  <c r="BT502" i="30041"/>
  <c r="BH223" i="30041"/>
  <c r="BH226" i="30041"/>
  <c r="BL502" i="30041"/>
  <c r="BL498" i="30041"/>
  <c r="AF654" i="30041"/>
  <c r="BX505" i="30041"/>
  <c r="M1115" i="29184"/>
  <c r="BL223" i="30041"/>
  <c r="BC84" i="8192"/>
  <c r="AI633" i="30041"/>
  <c r="CB505" i="30041"/>
  <c r="P794" i="29184"/>
  <c r="C796" i="29184"/>
  <c r="AE128" i="8192"/>
  <c r="AK26" i="29184"/>
  <c r="C26" i="29184"/>
  <c r="CB499" i="30041"/>
  <c r="BJ121" i="8192"/>
  <c r="AG472" i="30041"/>
  <c r="BD221" i="30041"/>
  <c r="BD222" i="30041"/>
  <c r="AF164" i="8192"/>
  <c r="BL225" i="30041"/>
  <c r="AJ235" i="30041"/>
  <c r="AG160" i="30041"/>
  <c r="BG82" i="8192"/>
  <c r="AF209" i="30041"/>
  <c r="BU342" i="30041"/>
  <c r="BC126" i="8192"/>
  <c r="BQ338" i="30041"/>
  <c r="AH209" i="30041"/>
  <c r="AE465" i="30041"/>
  <c r="AI455" i="29184"/>
  <c r="AI364" i="29184"/>
  <c r="AI358" i="29184"/>
  <c r="AI182" i="29184"/>
  <c r="AI166" i="29184"/>
  <c r="AK581" i="30041"/>
  <c r="AK510" i="30041"/>
  <c r="AK481" i="30041"/>
  <c r="AK453" i="30041"/>
  <c r="AK412" i="30041"/>
  <c r="AK70" i="30041"/>
  <c r="AK42" i="30041"/>
  <c r="BF53" i="8192"/>
  <c r="BH338" i="30041"/>
  <c r="BL338" i="30041"/>
  <c r="BL341" i="30041"/>
  <c r="AJ598" i="30041"/>
  <c r="AI598" i="30041"/>
  <c r="BP498" i="30041"/>
  <c r="BD502" i="30041"/>
  <c r="Q1129" i="29184"/>
  <c r="C1129" i="29184"/>
  <c r="Q1127" i="29184"/>
  <c r="N72" i="29184"/>
  <c r="M72" i="29184"/>
  <c r="AN70" i="29184"/>
  <c r="BP505" i="30041"/>
  <c r="BP222" i="30041"/>
  <c r="BH501" i="30041"/>
  <c r="BH222" i="30041"/>
  <c r="BL500" i="30041"/>
  <c r="AN1124" i="29184"/>
  <c r="AG291" i="30041"/>
  <c r="O27" i="29184"/>
  <c r="AI235" i="30041"/>
  <c r="AI315" i="29184"/>
  <c r="AK172" i="8192"/>
  <c r="AK68" i="8192"/>
  <c r="AK117" i="30041"/>
  <c r="Q26" i="29184"/>
  <c r="BH91" i="30041"/>
  <c r="BQ500" i="30041"/>
  <c r="BQ501" i="30041"/>
  <c r="AE633" i="30041"/>
  <c r="AK633" i="30041" s="1"/>
  <c r="BU499" i="30041"/>
  <c r="BY498" i="30041"/>
  <c r="AE661" i="30041"/>
  <c r="AG661" i="30041"/>
  <c r="CC502" i="30041"/>
  <c r="AH689" i="30041"/>
  <c r="BE344" i="30041"/>
  <c r="BE340" i="30041"/>
  <c r="BE342" i="30041"/>
  <c r="AE409" i="30041"/>
  <c r="AK409" i="30041" s="1"/>
  <c r="BI501" i="30041"/>
  <c r="BM503" i="30041"/>
  <c r="AG577" i="30041"/>
  <c r="BP504" i="30041"/>
  <c r="BP503" i="30041"/>
  <c r="BK82" i="8192"/>
  <c r="BK83" i="8192"/>
  <c r="BG126" i="8192"/>
  <c r="BK126" i="8192"/>
  <c r="BK124" i="8192"/>
  <c r="M167" i="29184"/>
  <c r="N164" i="29184"/>
  <c r="Q1764" i="29184"/>
  <c r="AN1756" i="29184"/>
  <c r="P1754" i="29184"/>
  <c r="BD501" i="30041"/>
  <c r="BI343" i="30041"/>
  <c r="O1128" i="29184"/>
  <c r="AN1120" i="29184"/>
  <c r="M1125" i="29184"/>
  <c r="Q1124" i="29184"/>
  <c r="C1124" i="29184"/>
  <c r="C1756" i="29184"/>
  <c r="Q799" i="29184"/>
  <c r="L73" i="29184"/>
  <c r="D73" i="29184" s="1"/>
  <c r="AN72" i="29184"/>
  <c r="C71" i="29184"/>
  <c r="N71" i="29184"/>
  <c r="C73" i="29184"/>
  <c r="C1113" i="29184"/>
  <c r="P1113" i="29184"/>
  <c r="AI319" i="30041"/>
  <c r="AF319" i="30041"/>
  <c r="BT501" i="30041"/>
  <c r="AE263" i="30041"/>
  <c r="AG570" i="30041"/>
  <c r="BX503" i="30041"/>
  <c r="AH291" i="30041"/>
  <c r="AG682" i="30041"/>
  <c r="L797" i="29184"/>
  <c r="E797" i="29184" s="1"/>
  <c r="BC122" i="8192"/>
  <c r="AN28" i="29184"/>
  <c r="AO29" i="29184"/>
  <c r="CA29" i="29184" s="1"/>
  <c r="BD500" i="30041"/>
  <c r="AF472" i="30041"/>
  <c r="AI209" i="30041"/>
  <c r="AI415" i="29184"/>
  <c r="AI409" i="29184"/>
  <c r="AI275" i="29184"/>
  <c r="AK133" i="8192"/>
  <c r="AK279" i="30041"/>
  <c r="AK266" i="30041"/>
  <c r="AK264" i="30041"/>
  <c r="AK253" i="30041"/>
  <c r="AK251" i="30041"/>
  <c r="AK205" i="30041"/>
  <c r="AK203" i="30041"/>
  <c r="AK192" i="30041"/>
  <c r="AK177" i="30041"/>
  <c r="AK108" i="30041"/>
  <c r="J1125" i="29184"/>
  <c r="AN1126" i="29184"/>
  <c r="AK1122" i="29184"/>
  <c r="M1127" i="29184"/>
  <c r="AO1123" i="29184"/>
  <c r="M1119" i="29184"/>
  <c r="J1127" i="29184"/>
  <c r="C1119" i="29184"/>
  <c r="AO1120" i="29184"/>
  <c r="M1128" i="29184"/>
  <c r="O1119" i="29184"/>
  <c r="N1122" i="29184"/>
  <c r="AN1123" i="29184"/>
  <c r="M1124" i="29184"/>
  <c r="P1117" i="29184"/>
  <c r="AK1129" i="29184"/>
  <c r="O1116" i="29184"/>
  <c r="C1120" i="29184"/>
  <c r="L1121" i="29184"/>
  <c r="F1121" i="29184" s="1"/>
  <c r="O1126" i="29184"/>
  <c r="Q1116" i="29184"/>
  <c r="N1118" i="29184"/>
  <c r="O1118" i="29184"/>
  <c r="M1122" i="29184"/>
  <c r="O1115" i="29184"/>
  <c r="O1113" i="29184"/>
  <c r="AK1113" i="29184"/>
  <c r="M1129" i="29184"/>
  <c r="AN1122" i="29184"/>
  <c r="C1115" i="29184"/>
  <c r="M1113" i="29184"/>
  <c r="L1120" i="29184"/>
  <c r="D1120" i="29184" s="1"/>
  <c r="AN1118" i="29184"/>
  <c r="AK1120" i="29184"/>
  <c r="O1129" i="29184"/>
  <c r="J1124" i="29184"/>
  <c r="J1116" i="29184"/>
  <c r="Q1126" i="29184"/>
  <c r="AN1121" i="29184"/>
  <c r="M1121" i="29184"/>
  <c r="L1127" i="29184"/>
  <c r="D1127" i="29184" s="1"/>
  <c r="P1115" i="29184"/>
  <c r="C1121" i="29184"/>
  <c r="P1129" i="29184"/>
  <c r="AO1122" i="29184"/>
  <c r="AO1115" i="29184"/>
  <c r="N1117" i="29184"/>
  <c r="Q1115" i="29184"/>
  <c r="N1115" i="29184"/>
  <c r="Q1119" i="29184"/>
  <c r="J1119" i="29184"/>
  <c r="AK1123" i="29184"/>
  <c r="AO1121" i="29184"/>
  <c r="Q1122" i="29184"/>
  <c r="N791" i="29184"/>
  <c r="L799" i="29184"/>
  <c r="K799" i="29184" s="1"/>
  <c r="AO791" i="29184"/>
  <c r="P801" i="29184"/>
  <c r="Q798" i="29184"/>
  <c r="L798" i="29184"/>
  <c r="F798" i="29184" s="1"/>
  <c r="M789" i="29184"/>
  <c r="M797" i="29184"/>
  <c r="AN793" i="29184"/>
  <c r="L794" i="29184"/>
  <c r="E794" i="29184" s="1"/>
  <c r="AK800" i="29184"/>
  <c r="L792" i="29184"/>
  <c r="E792" i="29184" s="1"/>
  <c r="AO802" i="29184"/>
  <c r="O803" i="29184"/>
  <c r="AK793" i="29184"/>
  <c r="O791" i="29184"/>
  <c r="M798" i="29184"/>
  <c r="Q795" i="29184"/>
  <c r="J796" i="29184"/>
  <c r="AK795" i="29184"/>
  <c r="Q800" i="29184"/>
  <c r="C792" i="29184"/>
  <c r="L791" i="29184"/>
  <c r="F791" i="29184" s="1"/>
  <c r="N798" i="29184"/>
  <c r="AK792" i="29184"/>
  <c r="J791" i="29184"/>
  <c r="N165" i="29184"/>
  <c r="N167" i="29184"/>
  <c r="N162" i="29184"/>
  <c r="L166" i="29184"/>
  <c r="J166" i="29184" s="1"/>
  <c r="M163" i="29184"/>
  <c r="L161" i="29184"/>
  <c r="M161" i="29184"/>
  <c r="N199" i="29184"/>
  <c r="L199" i="29184"/>
  <c r="N197" i="29184"/>
  <c r="M200" i="29184"/>
  <c r="L140" i="29184"/>
  <c r="AO94" i="29184"/>
  <c r="CA94" i="29184" s="1"/>
  <c r="AK94" i="29184"/>
  <c r="L97" i="29184"/>
  <c r="F97" i="29184" s="1"/>
  <c r="Q98" i="29184"/>
  <c r="J99" i="29184"/>
  <c r="P95" i="29184"/>
  <c r="Q97" i="29184"/>
  <c r="AN98" i="29184"/>
  <c r="AN94" i="29184"/>
  <c r="AO95" i="29184"/>
  <c r="CA95" i="29184" s="1"/>
  <c r="J97" i="29184"/>
  <c r="N97" i="29184"/>
  <c r="O97" i="29184"/>
  <c r="M95" i="29184"/>
  <c r="AN97" i="29184"/>
  <c r="AK99" i="29184"/>
  <c r="C99" i="29184"/>
  <c r="N99" i="29184"/>
  <c r="J96" i="29184"/>
  <c r="M96" i="29184"/>
  <c r="J98" i="29184"/>
  <c r="AK98" i="29184"/>
  <c r="Q99" i="29184"/>
  <c r="BP125" i="8192"/>
  <c r="AJ167" i="8192"/>
  <c r="BP123" i="8192"/>
  <c r="AE167" i="8192"/>
  <c r="AI167" i="8192"/>
  <c r="AF167" i="8192"/>
  <c r="AH167" i="8192"/>
  <c r="AG131" i="8192"/>
  <c r="BD126" i="8192"/>
  <c r="BD123" i="8192"/>
  <c r="BD121" i="8192"/>
  <c r="AI131" i="8192"/>
  <c r="AF131" i="8192"/>
  <c r="BH81" i="8192"/>
  <c r="BH80" i="8192"/>
  <c r="BH83" i="8192"/>
  <c r="CD502" i="30041"/>
  <c r="CD499" i="30041"/>
  <c r="CD500" i="30041"/>
  <c r="CD504" i="30041"/>
  <c r="CD503" i="30041"/>
  <c r="CD501" i="30041"/>
  <c r="AE696" i="30041"/>
  <c r="AE640" i="30041"/>
  <c r="BV503" i="30041"/>
  <c r="AG640" i="30041"/>
  <c r="BV501" i="30041"/>
  <c r="BV500" i="30041"/>
  <c r="AH640" i="30041"/>
  <c r="AE584" i="30041"/>
  <c r="BN504" i="30041"/>
  <c r="AI584" i="30041"/>
  <c r="BN505" i="30041"/>
  <c r="BN502" i="30041"/>
  <c r="AF584" i="30041"/>
  <c r="AI528" i="30041"/>
  <c r="BF498" i="30041"/>
  <c r="BF499" i="30041"/>
  <c r="AJ528" i="30041"/>
  <c r="BF504" i="30041"/>
  <c r="AH528" i="30041"/>
  <c r="BV338" i="30041"/>
  <c r="AG479" i="30041"/>
  <c r="AI479" i="30041"/>
  <c r="AJ479" i="30041"/>
  <c r="BV343" i="30041"/>
  <c r="AF395" i="30041"/>
  <c r="AG395" i="30041"/>
  <c r="L167" i="29184"/>
  <c r="M160" i="29184"/>
  <c r="AO1128" i="29184"/>
  <c r="L1117" i="29184"/>
  <c r="K1117" i="29184" s="1"/>
  <c r="AK1127" i="29184"/>
  <c r="L1115" i="29184"/>
  <c r="K1115" i="29184" s="1"/>
  <c r="AO1127" i="29184"/>
  <c r="P1124" i="29184"/>
  <c r="P1114" i="29184"/>
  <c r="C1123" i="29184"/>
  <c r="P795" i="29184"/>
  <c r="AI300" i="29184"/>
  <c r="J1745" i="29184"/>
  <c r="O1751" i="29184"/>
  <c r="AK1754" i="29184"/>
  <c r="P1746" i="29184"/>
  <c r="J1761" i="29184"/>
  <c r="AO1745" i="29184"/>
  <c r="AN1759" i="29184"/>
  <c r="AN1761" i="29184"/>
  <c r="N1758" i="29184"/>
  <c r="J1755" i="29184"/>
  <c r="AN1755" i="29184"/>
  <c r="AK1762" i="29184"/>
  <c r="AN1764" i="29184"/>
  <c r="M1751" i="29184"/>
  <c r="N1746" i="29184"/>
  <c r="P1755" i="29184"/>
  <c r="AO1751" i="29184"/>
  <c r="M1754" i="29184"/>
  <c r="Q1748" i="29184"/>
  <c r="AO1762" i="29184"/>
  <c r="C655" i="29184"/>
  <c r="M663" i="29184"/>
  <c r="AN663" i="29184"/>
  <c r="M655" i="29184"/>
  <c r="AN654" i="29184"/>
  <c r="N656" i="29184"/>
  <c r="L656" i="29184"/>
  <c r="E656" i="29184" s="1"/>
  <c r="AN662" i="29184"/>
  <c r="N663" i="29184"/>
  <c r="AK663" i="29184"/>
  <c r="N665" i="29184"/>
  <c r="AK665" i="29184"/>
  <c r="AK659" i="29184"/>
  <c r="AO666" i="29184"/>
  <c r="L667" i="29184"/>
  <c r="K667" i="29184" s="1"/>
  <c r="J659" i="29184"/>
  <c r="M656" i="29184"/>
  <c r="Q339" i="29184"/>
  <c r="AN339" i="29184"/>
  <c r="C340" i="29184"/>
  <c r="L345" i="29184"/>
  <c r="F345" i="29184" s="1"/>
  <c r="Q341" i="29184"/>
  <c r="AO343" i="29184"/>
  <c r="O338" i="29184"/>
  <c r="J342" i="29184"/>
  <c r="AK340" i="29184"/>
  <c r="AN343" i="29184"/>
  <c r="P343" i="29184"/>
  <c r="O337" i="29184"/>
  <c r="AK344" i="29184"/>
  <c r="N341" i="29184"/>
  <c r="AN337" i="29184"/>
  <c r="C347" i="29184"/>
  <c r="AO347" i="29184"/>
  <c r="C343" i="29184"/>
  <c r="P341" i="29184"/>
  <c r="AK114" i="29184"/>
  <c r="J119" i="29184"/>
  <c r="AK116" i="29184"/>
  <c r="J118" i="29184"/>
  <c r="M9" i="29184"/>
  <c r="J9" i="29184"/>
  <c r="AO8" i="29184"/>
  <c r="CA8" i="29184" s="1"/>
  <c r="M8" i="29184"/>
  <c r="N8" i="29184"/>
  <c r="O7" i="29184"/>
  <c r="C7" i="29184"/>
  <c r="L7" i="29184"/>
  <c r="K7" i="29184" s="1"/>
  <c r="C9" i="29184"/>
  <c r="AN8" i="29184"/>
  <c r="P8" i="29184"/>
  <c r="Q9" i="29184"/>
  <c r="AN9" i="29184"/>
  <c r="O8" i="29184"/>
  <c r="BL125" i="8192"/>
  <c r="AJ155" i="8192"/>
  <c r="AH155" i="8192"/>
  <c r="AI155" i="8192"/>
  <c r="BL124" i="8192"/>
  <c r="BL123" i="8192"/>
  <c r="AE143" i="8192"/>
  <c r="BH126" i="8192"/>
  <c r="AF143" i="8192"/>
  <c r="AH143" i="8192"/>
  <c r="BH125" i="8192"/>
  <c r="AG143" i="8192"/>
  <c r="AE113" i="8192"/>
  <c r="BL80" i="8192"/>
  <c r="AG113" i="8192"/>
  <c r="AJ113" i="8192"/>
  <c r="AE89" i="8192"/>
  <c r="BD82" i="8192"/>
  <c r="AJ89" i="8192"/>
  <c r="BZ501" i="30041"/>
  <c r="AH668" i="30041"/>
  <c r="BZ498" i="30041"/>
  <c r="BZ504" i="30041"/>
  <c r="BZ500" i="30041"/>
  <c r="BZ503" i="30041"/>
  <c r="AI612" i="30041"/>
  <c r="AF612" i="30041"/>
  <c r="AG612" i="30041"/>
  <c r="AJ612" i="30041"/>
  <c r="BR502" i="30041"/>
  <c r="BR499" i="30041"/>
  <c r="BR498" i="30041"/>
  <c r="AH612" i="30041"/>
  <c r="AI556" i="30041"/>
  <c r="BJ501" i="30041"/>
  <c r="AH556" i="30041"/>
  <c r="BJ502" i="30041"/>
  <c r="BJ499" i="30041"/>
  <c r="AF556" i="30041"/>
  <c r="AJ556" i="30041"/>
  <c r="BJ505" i="30041"/>
  <c r="BR343" i="30041"/>
  <c r="AH451" i="30041"/>
  <c r="BR339" i="30041"/>
  <c r="N163" i="29184"/>
  <c r="M164" i="29184"/>
  <c r="N166" i="29184"/>
  <c r="Q1118" i="29184"/>
  <c r="O1122" i="29184"/>
  <c r="L1113" i="29184"/>
  <c r="K1113" i="29184" s="1"/>
  <c r="P1119" i="29184"/>
  <c r="AN1113" i="29184"/>
  <c r="AK1114" i="29184"/>
  <c r="N1123" i="29184"/>
  <c r="N795" i="29184"/>
  <c r="M801" i="29184"/>
  <c r="AO797" i="29184"/>
  <c r="AK169" i="8192"/>
  <c r="N95" i="29184"/>
  <c r="AK95" i="29184"/>
  <c r="Q96" i="29184"/>
  <c r="AG101" i="8192"/>
  <c r="AE101" i="8192"/>
  <c r="BL82" i="8192"/>
  <c r="Q338" i="29184"/>
  <c r="M347" i="29184"/>
  <c r="C345" i="29184"/>
  <c r="AK347" i="29184"/>
  <c r="J341" i="29184"/>
  <c r="Q337" i="29184"/>
  <c r="N347" i="29184"/>
  <c r="C346" i="29184"/>
  <c r="C337" i="29184"/>
  <c r="N346" i="29184"/>
  <c r="J337" i="29184"/>
  <c r="P347" i="29184"/>
  <c r="AI451" i="30041"/>
  <c r="AF451" i="30041"/>
  <c r="BV344" i="30041"/>
  <c r="AL506" i="30041"/>
  <c r="AG668" i="30041"/>
  <c r="BZ502" i="30041"/>
  <c r="AH89" i="8192"/>
  <c r="AF89" i="8192"/>
  <c r="N161" i="29184"/>
  <c r="L165" i="29184"/>
  <c r="L163" i="29184"/>
  <c r="C1750" i="29184"/>
  <c r="J1756" i="29184"/>
  <c r="L1759" i="29184"/>
  <c r="E1759" i="29184" s="1"/>
  <c r="C1753" i="29184"/>
  <c r="AG696" i="30041"/>
  <c r="O660" i="29184"/>
  <c r="J660" i="29184"/>
  <c r="C1128" i="29184"/>
  <c r="AK1118" i="29184"/>
  <c r="J1128" i="29184"/>
  <c r="P1122" i="29184"/>
  <c r="M1116" i="29184"/>
  <c r="N1119" i="29184"/>
  <c r="L1129" i="29184"/>
  <c r="E1129" i="29184" s="1"/>
  <c r="AN1115" i="29184"/>
  <c r="O1123" i="29184"/>
  <c r="M1120" i="29184"/>
  <c r="AK1126" i="29184"/>
  <c r="AO1125" i="29184"/>
  <c r="BH84" i="8192"/>
  <c r="AN1116" i="29184"/>
  <c r="AK1761" i="29184"/>
  <c r="N7" i="29184"/>
  <c r="L1119" i="29184"/>
  <c r="K1119" i="29184" s="1"/>
  <c r="N194" i="29184"/>
  <c r="AJ131" i="8192"/>
  <c r="BD122" i="8192"/>
  <c r="L98" i="29184"/>
  <c r="F98" i="29184" s="1"/>
  <c r="C95" i="29184"/>
  <c r="L95" i="29184"/>
  <c r="N94" i="29184"/>
  <c r="P1128" i="29184"/>
  <c r="N1113" i="29184"/>
  <c r="J1118" i="29184"/>
  <c r="BL122" i="8192"/>
  <c r="Q789" i="29184"/>
  <c r="P802" i="29184"/>
  <c r="C800" i="29184"/>
  <c r="P791" i="29184"/>
  <c r="M659" i="29184"/>
  <c r="AK8" i="29184"/>
  <c r="BJ504" i="30041"/>
  <c r="BL126" i="8192"/>
  <c r="AJ640" i="30041"/>
  <c r="O9" i="29184"/>
  <c r="BF502" i="30041"/>
  <c r="BH121" i="8192"/>
  <c r="AH584" i="30041"/>
  <c r="BJ498" i="30041"/>
  <c r="AI668" i="30041"/>
  <c r="O99" i="29184"/>
  <c r="AK28" i="30041"/>
  <c r="AJ170" i="8192"/>
  <c r="AI170" i="8192"/>
  <c r="BQ122" i="8192"/>
  <c r="AH158" i="8192"/>
  <c r="BM125" i="8192"/>
  <c r="BM122" i="8192"/>
  <c r="BI122" i="8192"/>
  <c r="BI125" i="8192"/>
  <c r="AH146" i="8192"/>
  <c r="AI134" i="8192"/>
  <c r="BE124" i="8192"/>
  <c r="BI82" i="8192"/>
  <c r="BI84" i="8192"/>
  <c r="AE104" i="8192"/>
  <c r="AI104" i="8192"/>
  <c r="AI675" i="30041"/>
  <c r="CA498" i="30041"/>
  <c r="BW498" i="30041"/>
  <c r="AE647" i="30041"/>
  <c r="AE619" i="30041"/>
  <c r="BS500" i="30041"/>
  <c r="BO501" i="30041"/>
  <c r="BO502" i="30041"/>
  <c r="BK504" i="30041"/>
  <c r="BK500" i="30041"/>
  <c r="Q502" i="30041"/>
  <c r="AL503" i="30041"/>
  <c r="M504" i="30041"/>
  <c r="L499" i="30041"/>
  <c r="BC499" i="30041"/>
  <c r="R500" i="30041"/>
  <c r="R499" i="30041"/>
  <c r="K500" i="30041"/>
  <c r="BC504" i="30041"/>
  <c r="P503" i="30041"/>
  <c r="K505" i="30041"/>
  <c r="N501" i="30041"/>
  <c r="AO504" i="30041"/>
  <c r="BW342" i="30041"/>
  <c r="AH486" i="30041"/>
  <c r="BW341" i="30041"/>
  <c r="AE486" i="30041"/>
  <c r="BS344" i="30041"/>
  <c r="BS343" i="30041"/>
  <c r="BS342" i="30041"/>
  <c r="BO338" i="30041"/>
  <c r="AJ430" i="30041"/>
  <c r="AE430" i="30041"/>
  <c r="AF402" i="30041"/>
  <c r="AI402" i="30041"/>
  <c r="BK338" i="30041"/>
  <c r="BK342" i="30041"/>
  <c r="BG342" i="30041"/>
  <c r="AG374" i="30041"/>
  <c r="BC341" i="30041"/>
  <c r="AG346" i="30041"/>
  <c r="AE346" i="30041"/>
  <c r="BO224" i="30041"/>
  <c r="AJ312" i="30041"/>
  <c r="AF284" i="30041"/>
  <c r="BK226" i="30041"/>
  <c r="AH284" i="30041"/>
  <c r="AJ284" i="30041"/>
  <c r="AI256" i="30041"/>
  <c r="AE256" i="30041"/>
  <c r="AG228" i="30041"/>
  <c r="BC225" i="30041"/>
  <c r="AF202" i="30041"/>
  <c r="AI202" i="30041"/>
  <c r="P1519" i="29184"/>
  <c r="L1524" i="29184"/>
  <c r="D1524" i="29184" s="1"/>
  <c r="M1524" i="29184"/>
  <c r="AN1526" i="29184"/>
  <c r="AK1523" i="29184"/>
  <c r="AO1514" i="29184"/>
  <c r="O1517" i="29184"/>
  <c r="AK1527" i="29184"/>
  <c r="Q1514" i="29184"/>
  <c r="BP223" i="30041"/>
  <c r="AJ319" i="30041"/>
  <c r="BP226" i="30041"/>
  <c r="BL226" i="30041"/>
  <c r="AJ291" i="30041"/>
  <c r="AF291" i="30041"/>
  <c r="BL221" i="30041"/>
  <c r="AH263" i="30041"/>
  <c r="BH224" i="30041"/>
  <c r="BH221" i="30041"/>
  <c r="BD226" i="30041"/>
  <c r="AF235" i="30041"/>
  <c r="BD224" i="30041"/>
  <c r="AG235" i="30041"/>
  <c r="AI1589" i="29184"/>
  <c r="AK108" i="8192"/>
  <c r="AH92" i="8192"/>
  <c r="AJ92" i="8192"/>
  <c r="BW499" i="30041"/>
  <c r="BW504" i="30041"/>
  <c r="AI535" i="30041"/>
  <c r="BG338" i="30041"/>
  <c r="BK340" i="30041"/>
  <c r="AG402" i="30041"/>
  <c r="AH675" i="30041"/>
  <c r="AF430" i="30041"/>
  <c r="AG312" i="30041"/>
  <c r="BO223" i="30041"/>
  <c r="BO226" i="30041"/>
  <c r="BG500" i="30041"/>
  <c r="BK499" i="30041"/>
  <c r="AJ591" i="30041"/>
  <c r="AF619" i="30041"/>
  <c r="AH202" i="30041"/>
  <c r="AH104" i="8192"/>
  <c r="AG146" i="8192"/>
  <c r="AH134" i="8192"/>
  <c r="AJ158" i="8192"/>
  <c r="AI158" i="8192"/>
  <c r="AF146" i="8192"/>
  <c r="BK221" i="30041"/>
  <c r="AG284" i="30041"/>
  <c r="AH430" i="30041"/>
  <c r="K499" i="30041"/>
  <c r="H504" i="30041"/>
  <c r="Q499" i="30041"/>
  <c r="N499" i="30041"/>
  <c r="BG339" i="30041"/>
  <c r="AG170" i="8192"/>
  <c r="BC223" i="30041"/>
  <c r="AH228" i="30041"/>
  <c r="BG226" i="30041"/>
  <c r="BO340" i="30041"/>
  <c r="AG458" i="30041"/>
  <c r="BS338" i="30041"/>
  <c r="BS340" i="30041"/>
  <c r="BW340" i="30041"/>
  <c r="AJ486" i="30041"/>
  <c r="AF174" i="30041"/>
  <c r="BC339" i="30041"/>
  <c r="AF346" i="30041"/>
  <c r="BC340" i="30041"/>
  <c r="AJ374" i="30041"/>
  <c r="K504" i="30041"/>
  <c r="M505" i="30041"/>
  <c r="H502" i="30041"/>
  <c r="N500" i="30041"/>
  <c r="C504" i="30041"/>
  <c r="AF104" i="8192"/>
  <c r="BK224" i="30041"/>
  <c r="BI80" i="8192"/>
  <c r="S500" i="30041"/>
  <c r="AE402" i="30041"/>
  <c r="O501" i="30041"/>
  <c r="AI1950" i="29184"/>
  <c r="AI1920" i="29184"/>
  <c r="AI1902" i="29184"/>
  <c r="AI1882" i="29184"/>
  <c r="AI549" i="29184"/>
  <c r="AK322" i="30041"/>
  <c r="AI1864" i="29184"/>
  <c r="AI1824" i="29184"/>
  <c r="AI1696" i="29184"/>
  <c r="AI1507" i="29184"/>
  <c r="AI1503" i="29184"/>
  <c r="AI1497" i="29184"/>
  <c r="AI1483" i="29184"/>
  <c r="AI1469" i="29184"/>
  <c r="AI1459" i="29184"/>
  <c r="AI1449" i="29184"/>
  <c r="AI1445" i="29184"/>
  <c r="AI964" i="29184"/>
  <c r="AI525" i="29184"/>
  <c r="AI274" i="29184"/>
  <c r="AI247" i="29184"/>
  <c r="AI85" i="29184"/>
  <c r="AI58" i="29184"/>
  <c r="AK142" i="8192"/>
  <c r="AK111" i="8192"/>
  <c r="AK64" i="8192"/>
  <c r="AK36" i="8192"/>
  <c r="AK676" i="30041"/>
  <c r="AK635" i="30041"/>
  <c r="AK620" i="30041"/>
  <c r="AK525" i="30041"/>
  <c r="AK425" i="30041"/>
  <c r="AK369" i="30041"/>
  <c r="AK286" i="30041"/>
  <c r="AK258" i="30041"/>
  <c r="AK243" i="30041"/>
  <c r="AK232" i="30041"/>
  <c r="AK230" i="30041"/>
  <c r="AK199" i="30041"/>
  <c r="AK197" i="30041"/>
  <c r="AK163" i="30041"/>
  <c r="AI1614" i="29184"/>
  <c r="AI690" i="29184"/>
  <c r="AI456" i="29184"/>
  <c r="AI399" i="29184"/>
  <c r="AK136" i="8192"/>
  <c r="AK651" i="30041"/>
  <c r="AK634" i="30041"/>
  <c r="AK467" i="30041"/>
  <c r="AK368" i="30041"/>
  <c r="AK259" i="30041"/>
  <c r="AK213" i="30041"/>
  <c r="AK211" i="30041"/>
  <c r="AK22" i="30041"/>
  <c r="AG63" i="8192"/>
  <c r="AI69" i="30041"/>
  <c r="AF137" i="29952"/>
  <c r="AK73" i="29184"/>
  <c r="P73" i="29184"/>
  <c r="AK71" i="29184"/>
  <c r="O71" i="29184"/>
  <c r="N69" i="29184"/>
  <c r="AK69" i="29184"/>
  <c r="AK72" i="29184"/>
  <c r="AK70" i="29184"/>
  <c r="AN73" i="29184"/>
  <c r="AO73" i="29184"/>
  <c r="CA73" i="29184" s="1"/>
  <c r="J69" i="29184"/>
  <c r="O72" i="29184"/>
  <c r="J71" i="29184"/>
  <c r="O73" i="29184"/>
  <c r="P71" i="29184"/>
  <c r="C69" i="29184"/>
  <c r="Q72" i="29184"/>
  <c r="J72" i="29184"/>
  <c r="AO70" i="29184"/>
  <c r="CA70" i="29184" s="1"/>
  <c r="L72" i="29184"/>
  <c r="E72" i="29184" s="1"/>
  <c r="AO71" i="29184"/>
  <c r="CA71" i="29184" s="1"/>
  <c r="AN69" i="29184"/>
  <c r="L26" i="29184"/>
  <c r="K26" i="29184" s="1"/>
  <c r="AK28" i="29184"/>
  <c r="J28" i="29184"/>
  <c r="J26" i="29184"/>
  <c r="N26" i="29184"/>
  <c r="O29" i="29184"/>
  <c r="M29" i="29184"/>
  <c r="Q27" i="29184"/>
  <c r="P26" i="29184"/>
  <c r="L28" i="29184"/>
  <c r="D28" i="29184" s="1"/>
  <c r="BO123" i="8192"/>
  <c r="AJ164" i="8192"/>
  <c r="BO121" i="8192"/>
  <c r="AJ128" i="8192"/>
  <c r="BC123" i="8192"/>
  <c r="BC124" i="8192"/>
  <c r="BG80" i="8192"/>
  <c r="BG84" i="8192"/>
  <c r="BC83" i="8192"/>
  <c r="AG86" i="8192"/>
  <c r="BC82" i="8192"/>
  <c r="BQ503" i="30041"/>
  <c r="BQ505" i="30041"/>
  <c r="BI498" i="30041"/>
  <c r="BI500" i="30041"/>
  <c r="AE472" i="30041"/>
  <c r="BU344" i="30041"/>
  <c r="BU340" i="30041"/>
  <c r="AJ472" i="30041"/>
  <c r="AE444" i="30041"/>
  <c r="BQ339" i="30041"/>
  <c r="BQ344" i="30041"/>
  <c r="AJ444" i="30041"/>
  <c r="AG444" i="30041"/>
  <c r="AI444" i="30041"/>
  <c r="BQ340" i="30041"/>
  <c r="BM343" i="30041"/>
  <c r="AJ416" i="30041"/>
  <c r="BM341" i="30041"/>
  <c r="AF416" i="30041"/>
  <c r="AE416" i="30041"/>
  <c r="BM339" i="30041"/>
  <c r="BM340" i="30041"/>
  <c r="BI344" i="30041"/>
  <c r="BI342" i="30041"/>
  <c r="BI338" i="30041"/>
  <c r="AJ388" i="30041"/>
  <c r="AG388" i="30041"/>
  <c r="AH388" i="30041"/>
  <c r="AE360" i="30041"/>
  <c r="BE339" i="30041"/>
  <c r="AF305" i="30041"/>
  <c r="BN224" i="30041"/>
  <c r="BN226" i="30041"/>
  <c r="AE305" i="30041"/>
  <c r="BN222" i="30041"/>
  <c r="AH305" i="30041"/>
  <c r="BJ222" i="30041"/>
  <c r="AF277" i="30041"/>
  <c r="BJ226" i="30041"/>
  <c r="AH249" i="30041"/>
  <c r="BF222" i="30041"/>
  <c r="BF224" i="30041"/>
  <c r="BF223" i="30041"/>
  <c r="BF225" i="30041"/>
  <c r="AG188" i="30041"/>
  <c r="AH188" i="30041"/>
  <c r="AE188" i="30041"/>
  <c r="AF160" i="30041"/>
  <c r="AH160" i="30041"/>
  <c r="AI1796" i="29184"/>
  <c r="AI1768" i="29184"/>
  <c r="AI1726" i="29184"/>
  <c r="AI926" i="29184"/>
  <c r="AI864" i="29184"/>
  <c r="AI760" i="29184"/>
  <c r="AI754" i="29184"/>
  <c r="AI748" i="29184"/>
  <c r="AI744" i="29184"/>
  <c r="AI738" i="29184"/>
  <c r="AI728" i="29184"/>
  <c r="AI692" i="29184"/>
  <c r="AI510" i="29184"/>
  <c r="AI504" i="29184"/>
  <c r="AI501" i="29184"/>
  <c r="AK19" i="30041"/>
  <c r="P344" i="29184"/>
  <c r="C338" i="29184"/>
  <c r="AO338" i="29184"/>
  <c r="C342" i="29184"/>
  <c r="M198" i="29184"/>
  <c r="M195" i="29184"/>
  <c r="M193" i="29184"/>
  <c r="L194" i="29184"/>
  <c r="M197" i="29184"/>
  <c r="L201" i="29184"/>
  <c r="J201" i="29184" s="1"/>
  <c r="L200" i="29184"/>
  <c r="AK660" i="29184"/>
  <c r="O798" i="29184"/>
  <c r="AK790" i="29184"/>
  <c r="Q790" i="29184"/>
  <c r="N790" i="29184"/>
  <c r="N796" i="29184"/>
  <c r="C789" i="29184"/>
  <c r="J792" i="29184"/>
  <c r="P792" i="29184"/>
  <c r="AO793" i="29184"/>
  <c r="AN789" i="29184"/>
  <c r="L790" i="29184"/>
  <c r="D790" i="29184" s="1"/>
  <c r="C801" i="29184"/>
  <c r="AN798" i="29184"/>
  <c r="L793" i="29184"/>
  <c r="K793" i="29184" s="1"/>
  <c r="AK791" i="29184"/>
  <c r="O802" i="29184"/>
  <c r="O796" i="29184"/>
  <c r="Q796" i="29184"/>
  <c r="P796" i="29184"/>
  <c r="O666" i="29184"/>
  <c r="AK666" i="29184"/>
  <c r="P666" i="29184"/>
  <c r="Q655" i="29184"/>
  <c r="J663" i="29184"/>
  <c r="AK662" i="29184"/>
  <c r="J794" i="29184"/>
  <c r="J793" i="29184"/>
  <c r="N800" i="29184"/>
  <c r="AN800" i="29184"/>
  <c r="C791" i="29184"/>
  <c r="AN797" i="29184"/>
  <c r="N801" i="29184"/>
  <c r="AN792" i="29184"/>
  <c r="C798" i="29184"/>
  <c r="J799" i="29184"/>
  <c r="AO792" i="29184"/>
  <c r="N799" i="29184"/>
  <c r="M794" i="29184"/>
  <c r="O799" i="29184"/>
  <c r="AO800" i="29184"/>
  <c r="Q797" i="29184"/>
  <c r="P793" i="29184"/>
  <c r="J801" i="29184"/>
  <c r="AN790" i="29184"/>
  <c r="L789" i="29184"/>
  <c r="K789" i="29184" s="1"/>
  <c r="M802" i="29184"/>
  <c r="Q794" i="29184"/>
  <c r="AK801" i="29184"/>
  <c r="C795" i="29184"/>
  <c r="C794" i="29184"/>
  <c r="L796" i="29184"/>
  <c r="D796" i="29184" s="1"/>
  <c r="J800" i="29184"/>
  <c r="O795" i="29184"/>
  <c r="AO790" i="29184"/>
  <c r="AO798" i="29184"/>
  <c r="M796" i="29184"/>
  <c r="J803" i="29184"/>
  <c r="C802" i="29184"/>
  <c r="C803" i="29184"/>
  <c r="N794" i="29184"/>
  <c r="L800" i="29184"/>
  <c r="D800" i="29184" s="1"/>
  <c r="J790" i="29184"/>
  <c r="N803" i="29184"/>
  <c r="Q803" i="29184"/>
  <c r="AK797" i="29184"/>
  <c r="AK798" i="29184"/>
  <c r="AK803" i="29184"/>
  <c r="N789" i="29184"/>
  <c r="Q801" i="29184"/>
  <c r="AK789" i="29184"/>
  <c r="J797" i="29184"/>
  <c r="AN791" i="29184"/>
  <c r="Q791" i="29184"/>
  <c r="L795" i="29184"/>
  <c r="J802" i="29184"/>
  <c r="M790" i="29184"/>
  <c r="AO795" i="29184"/>
  <c r="AO796" i="29184"/>
  <c r="L801" i="29184"/>
  <c r="D801" i="29184" s="1"/>
  <c r="J795" i="29184"/>
  <c r="Q793" i="29184"/>
  <c r="AN795" i="29184"/>
  <c r="J798" i="29184"/>
  <c r="N792" i="29184"/>
  <c r="J789" i="29184"/>
  <c r="O794" i="29184"/>
  <c r="AO789" i="29184"/>
  <c r="P799" i="29184"/>
  <c r="M793" i="29184"/>
  <c r="AK796" i="29184"/>
  <c r="AK802" i="29184"/>
  <c r="M800" i="29184"/>
  <c r="C793" i="29184"/>
  <c r="AO799" i="29184"/>
  <c r="AN801" i="29184"/>
  <c r="C799" i="29184"/>
  <c r="M791" i="29184"/>
  <c r="M792" i="29184"/>
  <c r="O789" i="29184"/>
  <c r="O792" i="29184"/>
  <c r="P790" i="29184"/>
  <c r="M799" i="29184"/>
  <c r="P797" i="29184"/>
  <c r="AN803" i="29184"/>
  <c r="L802" i="29184"/>
  <c r="K802" i="29184" s="1"/>
  <c r="N793" i="29184"/>
  <c r="AK799" i="29184"/>
  <c r="P798" i="29184"/>
  <c r="N797" i="29184"/>
  <c r="M667" i="29184"/>
  <c r="Q659" i="29184"/>
  <c r="C661" i="29184"/>
  <c r="M654" i="29184"/>
  <c r="J664" i="29184"/>
  <c r="P665" i="29184"/>
  <c r="Q667" i="29184"/>
  <c r="L657" i="29184"/>
  <c r="Q662" i="29184"/>
  <c r="Q657" i="29184"/>
  <c r="P663" i="29184"/>
  <c r="N654" i="29184"/>
  <c r="J655" i="29184"/>
  <c r="C663" i="29184"/>
  <c r="O664" i="29184"/>
  <c r="Q663" i="29184"/>
  <c r="AK656" i="29184"/>
  <c r="AO658" i="29184"/>
  <c r="M658" i="29184"/>
  <c r="Q658" i="29184"/>
  <c r="P658" i="29184"/>
  <c r="C656" i="29184"/>
  <c r="L666" i="29184"/>
  <c r="F666" i="29184" s="1"/>
  <c r="P661" i="29184"/>
  <c r="AO665" i="29184"/>
  <c r="M660" i="29184"/>
  <c r="P654" i="29184"/>
  <c r="C665" i="29184"/>
  <c r="N660" i="29184"/>
  <c r="M661" i="29184"/>
  <c r="O665" i="29184"/>
  <c r="O656" i="29184"/>
  <c r="O655" i="29184"/>
  <c r="C659" i="29184"/>
  <c r="N658" i="29184"/>
  <c r="O662" i="29184"/>
  <c r="J657" i="29184"/>
  <c r="AO656" i="29184"/>
  <c r="AK661" i="29184"/>
  <c r="N661" i="29184"/>
  <c r="P656" i="29184"/>
  <c r="N667" i="29184"/>
  <c r="AN660" i="29184"/>
  <c r="AO659" i="29184"/>
  <c r="P660" i="29184"/>
  <c r="J661" i="29184"/>
  <c r="C667" i="29184"/>
  <c r="P662" i="29184"/>
  <c r="Q654" i="29184"/>
  <c r="J654" i="29184"/>
  <c r="AK655" i="29184"/>
  <c r="N655" i="29184"/>
  <c r="O661" i="29184"/>
  <c r="P664" i="29184"/>
  <c r="C658" i="29184"/>
  <c r="Q656" i="29184"/>
  <c r="AK657" i="29184"/>
  <c r="AW657" i="29184" s="1"/>
  <c r="Q665" i="29184"/>
  <c r="AO667" i="29184"/>
  <c r="O659" i="29184"/>
  <c r="M664" i="29184"/>
  <c r="C664" i="29184"/>
  <c r="N662" i="29184"/>
  <c r="Q666" i="29184"/>
  <c r="O663" i="29184"/>
  <c r="L658" i="29184"/>
  <c r="D658" i="29184" s="1"/>
  <c r="M666" i="29184"/>
  <c r="J667" i="29184"/>
  <c r="AO433" i="29184"/>
  <c r="AO439" i="29184"/>
  <c r="N437" i="29184"/>
  <c r="P433" i="29184"/>
  <c r="N433" i="29184"/>
  <c r="AO435" i="29184"/>
  <c r="AK432" i="29184"/>
  <c r="N438" i="29184"/>
  <c r="AK436" i="29184"/>
  <c r="AN431" i="29184"/>
  <c r="O437" i="29184"/>
  <c r="AN438" i="29184"/>
  <c r="L433" i="29184"/>
  <c r="F433" i="29184" s="1"/>
  <c r="AK434" i="29184"/>
  <c r="AO440" i="29184"/>
  <c r="AN433" i="29184"/>
  <c r="L437" i="29184"/>
  <c r="F437" i="29184" s="1"/>
  <c r="AO438" i="29184"/>
  <c r="P431" i="29184"/>
  <c r="L439" i="29184"/>
  <c r="C436" i="29184"/>
  <c r="J430" i="29184"/>
  <c r="Q435" i="29184"/>
  <c r="AK435" i="29184"/>
  <c r="AN435" i="29184"/>
  <c r="O434" i="29184"/>
  <c r="O429" i="29184"/>
  <c r="J431" i="29184"/>
  <c r="C434" i="29184"/>
  <c r="AO432" i="29184"/>
  <c r="P436" i="29184"/>
  <c r="M439" i="29184"/>
  <c r="Q437" i="29184"/>
  <c r="Q434" i="29184"/>
  <c r="Q440" i="29184"/>
  <c r="AO434" i="29184"/>
  <c r="O436" i="29184"/>
  <c r="J435" i="29184"/>
  <c r="O435" i="29184"/>
  <c r="AK438" i="29184"/>
  <c r="O438" i="29184"/>
  <c r="N431" i="29184"/>
  <c r="P432" i="29184"/>
  <c r="L431" i="29184"/>
  <c r="K431" i="29184" s="1"/>
  <c r="M440" i="29184"/>
  <c r="M436" i="29184"/>
  <c r="C440" i="29184"/>
  <c r="AN436" i="29184"/>
  <c r="L262" i="29184"/>
  <c r="K262" i="29184" s="1"/>
  <c r="L263" i="29184"/>
  <c r="J263" i="29184" s="1"/>
  <c r="M263" i="29184"/>
  <c r="L260" i="29184"/>
  <c r="J260" i="29184" s="1"/>
  <c r="M260" i="29184"/>
  <c r="L261" i="29184"/>
  <c r="J261" i="29184" s="1"/>
  <c r="M266" i="29184"/>
  <c r="N264" i="29184"/>
  <c r="AK58" i="29184"/>
  <c r="AK55" i="29184"/>
  <c r="M57" i="29184"/>
  <c r="P57" i="29184"/>
  <c r="J57" i="29184"/>
  <c r="J40" i="29184"/>
  <c r="Q39" i="29184"/>
  <c r="AO37" i="29184"/>
  <c r="CA37" i="29184" s="1"/>
  <c r="AK38" i="29184"/>
  <c r="O37" i="29184"/>
  <c r="M39" i="29184"/>
  <c r="AN15" i="29184"/>
  <c r="AK15" i="29184"/>
  <c r="AK16" i="29184"/>
  <c r="AO15" i="29184"/>
  <c r="CA15" i="29184" s="1"/>
  <c r="O16" i="29184"/>
  <c r="BN124" i="8192"/>
  <c r="BN121" i="8192"/>
  <c r="AE137" i="8192"/>
  <c r="BF123" i="8192"/>
  <c r="AJ137" i="8192"/>
  <c r="AG137" i="8192"/>
  <c r="AF137" i="8192"/>
  <c r="CB503" i="30041"/>
  <c r="CB502" i="30041"/>
  <c r="AJ682" i="30041"/>
  <c r="AH682" i="30041"/>
  <c r="CB498" i="30041"/>
  <c r="CB500" i="30041"/>
  <c r="BX498" i="30041"/>
  <c r="BX500" i="30041"/>
  <c r="AH654" i="30041"/>
  <c r="BX502" i="30041"/>
  <c r="BX499" i="30041"/>
  <c r="AE654" i="30041"/>
  <c r="AI654" i="30041"/>
  <c r="AE626" i="30041"/>
  <c r="AK626" i="30041" s="1"/>
  <c r="BT505" i="30041"/>
  <c r="BT504" i="30041"/>
  <c r="BT500" i="30041"/>
  <c r="AI626" i="30041"/>
  <c r="AJ626" i="30041"/>
  <c r="AF626" i="30041"/>
  <c r="BP499" i="30041"/>
  <c r="AG598" i="30041"/>
  <c r="BL501" i="30041"/>
  <c r="BL503" i="30041"/>
  <c r="AI570" i="30041"/>
  <c r="AF570" i="30041"/>
  <c r="BL505" i="30041"/>
  <c r="AH570" i="30041"/>
  <c r="AK570" i="30041" s="1"/>
  <c r="BH504" i="30041"/>
  <c r="AJ542" i="30041"/>
  <c r="BH505" i="30041"/>
  <c r="AH542" i="30041"/>
  <c r="AF542" i="30041"/>
  <c r="BH499" i="30041"/>
  <c r="AE542" i="30041"/>
  <c r="AJ514" i="30041"/>
  <c r="AF514" i="30041"/>
  <c r="AE514" i="30041"/>
  <c r="AG514" i="30041"/>
  <c r="BD503" i="30041"/>
  <c r="BD498" i="30041"/>
  <c r="BT342" i="30041"/>
  <c r="BT338" i="30041"/>
  <c r="BT341" i="30041"/>
  <c r="AJ437" i="30041"/>
  <c r="AE437" i="30041"/>
  <c r="BH341" i="30041"/>
  <c r="AG381" i="30041"/>
  <c r="AE209" i="30041"/>
  <c r="AF62" i="30041"/>
  <c r="AO655" i="29184"/>
  <c r="O658" i="29184"/>
  <c r="L664" i="29184"/>
  <c r="K664" i="29184" s="1"/>
  <c r="AK664" i="29184"/>
  <c r="J666" i="29184"/>
  <c r="J658" i="29184"/>
  <c r="AO662" i="29184"/>
  <c r="M803" i="29184"/>
  <c r="O667" i="29184"/>
  <c r="L665" i="29184"/>
  <c r="BF38" i="30041"/>
  <c r="AO664" i="29184"/>
  <c r="AN655" i="29184"/>
  <c r="M657" i="29184"/>
  <c r="L661" i="29184"/>
  <c r="E661" i="29184" s="1"/>
  <c r="C666" i="29184"/>
  <c r="AN664" i="29184"/>
  <c r="AN659" i="29184"/>
  <c r="L663" i="29184"/>
  <c r="F663" i="29184" s="1"/>
  <c r="Q802" i="29184"/>
  <c r="AN796" i="29184"/>
  <c r="O654" i="29184"/>
  <c r="L659" i="29184"/>
  <c r="E659" i="29184" s="1"/>
  <c r="AO801" i="29184"/>
  <c r="AO803" i="29184"/>
  <c r="O793" i="29184"/>
  <c r="O790" i="29184"/>
  <c r="M795" i="29184"/>
  <c r="C797" i="29184"/>
  <c r="P803" i="29184"/>
  <c r="AK794" i="29184"/>
  <c r="AN799" i="29184"/>
  <c r="N802" i="29184"/>
  <c r="AO794" i="29184"/>
  <c r="P789" i="29184"/>
  <c r="O800" i="29184"/>
  <c r="C790" i="29184"/>
  <c r="AN802" i="29184"/>
  <c r="Q792" i="29184"/>
  <c r="P800" i="29184"/>
  <c r="AN794" i="29184"/>
  <c r="AN656" i="29184"/>
  <c r="M662" i="29184"/>
  <c r="P657" i="29184"/>
  <c r="AO657" i="29184"/>
  <c r="P659" i="29184"/>
  <c r="L662" i="29184"/>
  <c r="D662" i="29184" s="1"/>
  <c r="AI1590" i="29184"/>
  <c r="AI102" i="29184"/>
  <c r="AI98" i="29184"/>
  <c r="AK145" i="8192"/>
  <c r="AK434" i="30041"/>
  <c r="AK432" i="30041"/>
  <c r="AK406" i="30041"/>
  <c r="AK404" i="30041"/>
  <c r="AK391" i="30041"/>
  <c r="AK389" i="30041"/>
  <c r="AK378" i="30041"/>
  <c r="AK361" i="30041"/>
  <c r="AK265" i="30041"/>
  <c r="AI1872" i="29184"/>
  <c r="AI1812" i="29184"/>
  <c r="AI1734" i="29184"/>
  <c r="AI1712" i="29184"/>
  <c r="AI1341" i="29184"/>
  <c r="AI1095" i="29184"/>
  <c r="AI1085" i="29184"/>
  <c r="AI1081" i="29184"/>
  <c r="AI1075" i="29184"/>
  <c r="AI928" i="29184"/>
  <c r="AI898" i="29184"/>
  <c r="AI779" i="29184"/>
  <c r="AI769" i="29184"/>
  <c r="AI757" i="29184"/>
  <c r="AI487" i="29184"/>
  <c r="AI303" i="29184"/>
  <c r="AI242" i="29184"/>
  <c r="AI26" i="29184"/>
  <c r="AK621" i="30041"/>
  <c r="AK608" i="30041"/>
  <c r="AK606" i="30041"/>
  <c r="AK593" i="30041"/>
  <c r="AK578" i="30041"/>
  <c r="AK522" i="30041"/>
  <c r="AK511" i="30041"/>
  <c r="AK509" i="30041"/>
  <c r="AK482" i="30041"/>
  <c r="AK469" i="30041"/>
  <c r="AG31" i="28416"/>
  <c r="AH24" i="28416" s="1"/>
  <c r="AI41" i="30041"/>
  <c r="AI35" i="8192"/>
  <c r="BD89" i="30041"/>
  <c r="AF128" i="30041"/>
  <c r="AI17" i="29184"/>
  <c r="AG62" i="30041"/>
  <c r="Q58" i="28416"/>
  <c r="B125" i="28416" s="1"/>
  <c r="AG107" i="30041"/>
  <c r="Q125" i="28416"/>
  <c r="L1514" i="29184"/>
  <c r="K1514" i="29184" s="1"/>
  <c r="O1526" i="29184"/>
  <c r="N1516" i="29184"/>
  <c r="C1519" i="29184"/>
  <c r="P1514" i="29184"/>
  <c r="N1515" i="29184"/>
  <c r="P1526" i="29184"/>
  <c r="N1521" i="29184"/>
  <c r="L1530" i="29184"/>
  <c r="K1530" i="29184" s="1"/>
  <c r="AK1515" i="29184"/>
  <c r="AN1531" i="29184"/>
  <c r="Q1531" i="29184"/>
  <c r="J1516" i="29184"/>
  <c r="AK1522" i="29184"/>
  <c r="N160" i="29184"/>
  <c r="N136" i="29184"/>
  <c r="N135" i="29184"/>
  <c r="N134" i="29184"/>
  <c r="C97" i="29184"/>
  <c r="AN95" i="29184"/>
  <c r="J94" i="29184"/>
  <c r="P96" i="29184"/>
  <c r="M94" i="29184"/>
  <c r="AK97" i="29184"/>
  <c r="AO97" i="29184"/>
  <c r="CA97" i="29184" s="1"/>
  <c r="O95" i="29184"/>
  <c r="N96" i="29184"/>
  <c r="Q94" i="29184"/>
  <c r="AO96" i="29184"/>
  <c r="CA96" i="29184" s="1"/>
  <c r="J95" i="29184"/>
  <c r="O94" i="29184"/>
  <c r="P97" i="29184"/>
  <c r="AK7" i="29184"/>
  <c r="P7" i="29184"/>
  <c r="M7" i="29184"/>
  <c r="AK9" i="29184"/>
  <c r="J7" i="29184"/>
  <c r="N9" i="29184"/>
  <c r="AN7" i="29184"/>
  <c r="L9" i="29184"/>
  <c r="D9" i="29184" s="1"/>
  <c r="AF170" i="8192"/>
  <c r="BQ121" i="8192"/>
  <c r="BM126" i="8192"/>
  <c r="BM123" i="8192"/>
  <c r="AG158" i="8192"/>
  <c r="BI121" i="8192"/>
  <c r="BI123" i="8192"/>
  <c r="BE123" i="8192"/>
  <c r="BE125" i="8192"/>
  <c r="BE121" i="8192"/>
  <c r="BE122" i="8192"/>
  <c r="AG104" i="8192"/>
  <c r="AJ104" i="8192"/>
  <c r="AE202" i="30041"/>
  <c r="AI174" i="30041"/>
  <c r="AE174" i="30041"/>
  <c r="AH174" i="30041"/>
  <c r="AI146" i="30041"/>
  <c r="AI1978" i="29184"/>
  <c r="AI1640" i="29184"/>
  <c r="AI1630" i="29184"/>
  <c r="AI1622" i="29184"/>
  <c r="L57" i="29184"/>
  <c r="AK54" i="29184"/>
  <c r="AN40" i="29184"/>
  <c r="P37" i="29184"/>
  <c r="O38" i="29184"/>
  <c r="P40" i="29184"/>
  <c r="L40" i="29184"/>
  <c r="K40" i="29184" s="1"/>
  <c r="AO38" i="29184"/>
  <c r="CA38" i="29184" s="1"/>
  <c r="L37" i="29184"/>
  <c r="D37" i="29184" s="1"/>
  <c r="AN38" i="29184"/>
  <c r="AK39" i="29184"/>
  <c r="Q15" i="29184"/>
  <c r="N17" i="29184"/>
  <c r="C15" i="29184"/>
  <c r="L16" i="29184"/>
  <c r="E16" i="29184" s="1"/>
  <c r="BN123" i="8192"/>
  <c r="BN126" i="8192"/>
  <c r="AJ161" i="8192"/>
  <c r="AH149" i="8192"/>
  <c r="BJ123" i="8192"/>
  <c r="BJ124" i="8192"/>
  <c r="AH137" i="8192"/>
  <c r="BF121" i="8192"/>
  <c r="BF122" i="8192"/>
  <c r="AI353" i="30041"/>
  <c r="BD342" i="30041"/>
  <c r="AE353" i="30041"/>
  <c r="AJ353" i="30041"/>
  <c r="Q1309" i="29184"/>
  <c r="N1316" i="29184"/>
  <c r="Q1321" i="29184"/>
  <c r="P1317" i="29184"/>
  <c r="N1319" i="29184"/>
  <c r="AK953" i="29184"/>
  <c r="M944" i="29184"/>
  <c r="O958" i="29184"/>
  <c r="Q946" i="29184"/>
  <c r="L958" i="29184"/>
  <c r="D958" i="29184" s="1"/>
  <c r="J339" i="29184"/>
  <c r="O344" i="29184"/>
  <c r="M345" i="29184"/>
  <c r="P345" i="29184"/>
  <c r="N345" i="29184"/>
  <c r="AN338" i="29184"/>
  <c r="N263" i="29184"/>
  <c r="L264" i="29184"/>
  <c r="L267" i="29184"/>
  <c r="J267" i="29184" s="1"/>
  <c r="M269" i="29184"/>
  <c r="N267" i="29184"/>
  <c r="N265" i="29184"/>
  <c r="N262" i="29184"/>
  <c r="L268" i="29184"/>
  <c r="J268" i="29184" s="1"/>
  <c r="AN1129" i="29184"/>
  <c r="L1126" i="29184"/>
  <c r="F1126" i="29184" s="1"/>
  <c r="AN1128" i="29184"/>
  <c r="M1123" i="29184"/>
  <c r="AN1119" i="29184"/>
  <c r="C1122" i="29184"/>
  <c r="P1118" i="29184"/>
  <c r="N1129" i="29184"/>
  <c r="N1126" i="29184"/>
  <c r="M1126" i="29184"/>
  <c r="J1129" i="29184"/>
  <c r="N1128" i="29184"/>
  <c r="P1123" i="29184"/>
  <c r="AK654" i="29184"/>
  <c r="N659" i="29184"/>
  <c r="AN666" i="29184"/>
  <c r="AN661" i="29184"/>
  <c r="AO663" i="29184"/>
  <c r="C662" i="29184"/>
  <c r="M665" i="29184"/>
  <c r="C660" i="29184"/>
  <c r="L654" i="29184"/>
  <c r="L660" i="29184"/>
  <c r="K660" i="29184" s="1"/>
  <c r="Q660" i="29184"/>
  <c r="AN658" i="29184"/>
  <c r="N664" i="29184"/>
  <c r="AN667" i="29184"/>
  <c r="N666" i="29184"/>
  <c r="AN657" i="29184"/>
  <c r="AO654" i="29184"/>
  <c r="AO660" i="29184"/>
  <c r="AN665" i="29184"/>
  <c r="J656" i="29184"/>
  <c r="AO661" i="29184"/>
  <c r="O430" i="29184"/>
  <c r="C430" i="29184"/>
  <c r="P435" i="29184"/>
  <c r="P438" i="29184"/>
  <c r="M438" i="29184"/>
  <c r="L432" i="29184"/>
  <c r="AN430" i="29184"/>
  <c r="N440" i="29184"/>
  <c r="AO436" i="29184"/>
  <c r="AO431" i="29184"/>
  <c r="P437" i="29184"/>
  <c r="AK429" i="29184"/>
  <c r="J439" i="29184"/>
  <c r="AK430" i="29184"/>
  <c r="N436" i="29184"/>
  <c r="J440" i="29184"/>
  <c r="C437" i="29184"/>
  <c r="O431" i="29184"/>
  <c r="L438" i="29184"/>
  <c r="K438" i="29184" s="1"/>
  <c r="J437" i="29184"/>
  <c r="C439" i="29184"/>
  <c r="M435" i="29184"/>
  <c r="J434" i="29184"/>
  <c r="L430" i="29184"/>
  <c r="Q433" i="29184"/>
  <c r="M429" i="29184"/>
  <c r="C432" i="29184"/>
  <c r="Q429" i="29184"/>
  <c r="AN437" i="29184"/>
  <c r="L434" i="29184"/>
  <c r="M430" i="29184"/>
  <c r="AK437" i="29184"/>
  <c r="C435" i="29184"/>
  <c r="AI54" i="29184"/>
  <c r="J39" i="29184"/>
  <c r="J55" i="29184"/>
  <c r="C39" i="29184"/>
  <c r="P39" i="29184"/>
  <c r="C16" i="29184"/>
  <c r="BH339" i="30041"/>
  <c r="AE381" i="30041"/>
  <c r="BH342" i="30041"/>
  <c r="BL343" i="30041"/>
  <c r="BL342" i="30041"/>
  <c r="C54" i="29184"/>
  <c r="C58" i="29184"/>
  <c r="L55" i="29184"/>
  <c r="N54" i="29184"/>
  <c r="C56" i="29184"/>
  <c r="AO58" i="29184"/>
  <c r="CA58" i="29184" s="1"/>
  <c r="AK57" i="29184"/>
  <c r="M54" i="29184"/>
  <c r="L56" i="29184"/>
  <c r="AF465" i="30041"/>
  <c r="J58" i="29184"/>
  <c r="BP339" i="30041"/>
  <c r="BT339" i="30041"/>
  <c r="BT343" i="30041"/>
  <c r="M16" i="29184"/>
  <c r="AG353" i="30041"/>
  <c r="BP343" i="30041"/>
  <c r="BF125" i="8192"/>
  <c r="BJ125" i="8192"/>
  <c r="P58" i="29184"/>
  <c r="AF149" i="8192"/>
  <c r="BN125" i="8192"/>
  <c r="N16" i="29184"/>
  <c r="AK17" i="29184"/>
  <c r="AN17" i="29184"/>
  <c r="C17" i="29184"/>
  <c r="AH161" i="8192"/>
  <c r="C38" i="29184"/>
  <c r="AN39" i="29184"/>
  <c r="O39" i="29184"/>
  <c r="C37" i="29184"/>
  <c r="M38" i="29184"/>
  <c r="BD341" i="30041"/>
  <c r="Q16" i="29184"/>
  <c r="M37" i="29184"/>
  <c r="Q56" i="29184"/>
  <c r="J16" i="29184"/>
  <c r="P16" i="29184"/>
  <c r="AI605" i="30041"/>
  <c r="BQ498" i="30041"/>
  <c r="AF633" i="30041"/>
  <c r="BU504" i="30041"/>
  <c r="BU503" i="30041"/>
  <c r="BY501" i="30041"/>
  <c r="BY505" i="30041"/>
  <c r="AH661" i="30041"/>
  <c r="AJ689" i="30041"/>
  <c r="CC499" i="30041"/>
  <c r="CC503" i="30041"/>
  <c r="N337" i="29184"/>
  <c r="L347" i="29184"/>
  <c r="D347" i="29184" s="1"/>
  <c r="P340" i="29184"/>
  <c r="AK345" i="29184"/>
  <c r="L337" i="29184"/>
  <c r="E337" i="29184" s="1"/>
  <c r="Q342" i="29184"/>
  <c r="P346" i="29184"/>
  <c r="AN342" i="29184"/>
  <c r="AO345" i="29184"/>
  <c r="Q344" i="29184"/>
  <c r="Q346" i="29184"/>
  <c r="AN347" i="29184"/>
  <c r="C339" i="29184"/>
  <c r="P339" i="29184"/>
  <c r="M346" i="29184"/>
  <c r="M341" i="29184"/>
  <c r="N343" i="29184"/>
  <c r="J346" i="29184"/>
  <c r="J338" i="29184"/>
  <c r="Q347" i="29184"/>
  <c r="AN345" i="29184"/>
  <c r="Q345" i="29184"/>
  <c r="AH381" i="30041"/>
  <c r="BH343" i="30041"/>
  <c r="BL344" i="30041"/>
  <c r="BL340" i="30041"/>
  <c r="AI549" i="30041"/>
  <c r="AF549" i="30041"/>
  <c r="BI502" i="30041"/>
  <c r="BM499" i="30041"/>
  <c r="BM498" i="30041"/>
  <c r="AE577" i="30041"/>
  <c r="J56" i="29184"/>
  <c r="J54" i="29184"/>
  <c r="AO56" i="29184"/>
  <c r="CA56" i="29184" s="1"/>
  <c r="M55" i="29184"/>
  <c r="AN54" i="29184"/>
  <c r="Q55" i="29184"/>
  <c r="AO55" i="29184"/>
  <c r="CA55" i="29184" s="1"/>
  <c r="P56" i="29184"/>
  <c r="N58" i="29184"/>
  <c r="BT340" i="30041"/>
  <c r="O57" i="29184"/>
  <c r="BP341" i="30041"/>
  <c r="BT344" i="30041"/>
  <c r="P1321" i="29184"/>
  <c r="L15" i="29184"/>
  <c r="D15" i="29184" s="1"/>
  <c r="AN1312" i="29184"/>
  <c r="J949" i="29184"/>
  <c r="BD338" i="30041"/>
  <c r="N55" i="29184"/>
  <c r="BP344" i="30041"/>
  <c r="L343" i="29184"/>
  <c r="D343" i="29184" s="1"/>
  <c r="O341" i="29184"/>
  <c r="O342" i="29184"/>
  <c r="AF689" i="30041"/>
  <c r="AJ605" i="30041"/>
  <c r="BM502" i="30041"/>
  <c r="AI137" i="8192"/>
  <c r="BJ122" i="8192"/>
  <c r="AG161" i="8192"/>
  <c r="J952" i="29184"/>
  <c r="N260" i="29184"/>
  <c r="N269" i="29184"/>
  <c r="J266" i="29184"/>
  <c r="L265" i="29184"/>
  <c r="L269" i="29184"/>
  <c r="J269" i="29184"/>
  <c r="M265" i="29184"/>
  <c r="AI149" i="8192"/>
  <c r="AG149" i="8192"/>
  <c r="AE161" i="8192"/>
  <c r="J17" i="29184"/>
  <c r="L17" i="29184"/>
  <c r="F17" i="29184" s="1"/>
  <c r="P17" i="29184"/>
  <c r="BF126" i="8192"/>
  <c r="AO16" i="29184"/>
  <c r="CA16" i="29184" s="1"/>
  <c r="AI381" i="30041"/>
  <c r="BN122" i="8192"/>
  <c r="J38" i="29184"/>
  <c r="Q40" i="29184"/>
  <c r="P38" i="29184"/>
  <c r="AO39" i="29184"/>
  <c r="CA39" i="29184" s="1"/>
  <c r="M40" i="29184"/>
  <c r="BM501" i="30041"/>
  <c r="AH549" i="30041"/>
  <c r="M262" i="29184"/>
  <c r="O15" i="29184"/>
  <c r="N39" i="29184"/>
  <c r="AK677" i="30041"/>
  <c r="AK466" i="30041"/>
  <c r="AK446" i="30041"/>
  <c r="AK168" i="30041"/>
  <c r="AK104" i="30041"/>
  <c r="AH444" i="30041"/>
  <c r="BU341" i="30041"/>
  <c r="BU339" i="30041"/>
  <c r="AE528" i="30041"/>
  <c r="BJ500" i="30041"/>
  <c r="AG584" i="30041"/>
  <c r="BR505" i="30041"/>
  <c r="BV498" i="30041"/>
  <c r="BV504" i="30041"/>
  <c r="AF528" i="30041"/>
  <c r="AG528" i="30041"/>
  <c r="BN499" i="30041"/>
  <c r="BN498" i="30041"/>
  <c r="BN503" i="30041"/>
  <c r="AH472" i="30041"/>
  <c r="AE556" i="30041"/>
  <c r="BQ342" i="30041"/>
  <c r="BR504" i="30041"/>
  <c r="BJ225" i="30041"/>
  <c r="AI1365" i="29184"/>
  <c r="AI1357" i="29184"/>
  <c r="AI720" i="29184"/>
  <c r="AI710" i="29184"/>
  <c r="AI178" i="29184"/>
  <c r="AI174" i="29184"/>
  <c r="AI170" i="29184"/>
  <c r="AK13" i="8192"/>
  <c r="AK700" i="30041"/>
  <c r="AK644" i="30041"/>
  <c r="AK642" i="30041"/>
  <c r="AK557" i="30041"/>
  <c r="AK384" i="30041"/>
  <c r="AI1954" i="29184"/>
  <c r="AI1852" i="29184"/>
  <c r="AI1836" i="29184"/>
  <c r="AI1832" i="29184"/>
  <c r="AI1828" i="29184"/>
  <c r="AI1806" i="29184"/>
  <c r="AI1797" i="29184"/>
  <c r="AI1774" i="29184"/>
  <c r="AI1737" i="29184"/>
  <c r="AI1707" i="29184"/>
  <c r="AI1596" i="29184"/>
  <c r="AI1592" i="29184"/>
  <c r="AI1051" i="29184"/>
  <c r="AI1031" i="29184"/>
  <c r="AI1011" i="29184"/>
  <c r="AI1005" i="29184"/>
  <c r="AI1001" i="29184"/>
  <c r="AI648" i="29184"/>
  <c r="AI638" i="29184"/>
  <c r="AI616" i="29184"/>
  <c r="AI243" i="29184"/>
  <c r="AI207" i="29184"/>
  <c r="AI185" i="29184"/>
  <c r="AI181" i="29184"/>
  <c r="AI177" i="29184"/>
  <c r="AI173" i="29184"/>
  <c r="AI169" i="29184"/>
  <c r="AI165" i="29184"/>
  <c r="AI161" i="29184"/>
  <c r="AI151" i="29184"/>
  <c r="AI147" i="29184"/>
  <c r="AI143" i="29184"/>
  <c r="AI125" i="29184"/>
  <c r="AI121" i="29184"/>
  <c r="AI80" i="29184"/>
  <c r="AK168" i="8192"/>
  <c r="AK159" i="8192"/>
  <c r="AK115" i="8192"/>
  <c r="AK96" i="8192"/>
  <c r="AK34" i="8192"/>
  <c r="AK697" i="30041"/>
  <c r="AK671" i="30041"/>
  <c r="AK669" i="30041"/>
  <c r="AK658" i="30041"/>
  <c r="AK627" i="30041"/>
  <c r="AK616" i="30041"/>
  <c r="AK517" i="30041"/>
  <c r="AK475" i="30041"/>
  <c r="AK440" i="30041"/>
  <c r="AK413" i="30041"/>
  <c r="AK383" i="30041"/>
  <c r="AK370" i="30041"/>
  <c r="B540" i="29960"/>
  <c r="H44" i="30099" s="1"/>
  <c r="B388" i="29960"/>
  <c r="B183" i="29960"/>
  <c r="B156" i="29960"/>
  <c r="I3" i="24620" s="1"/>
  <c r="D106" i="24620"/>
  <c r="D101" i="24620"/>
  <c r="AN1307" i="29184"/>
  <c r="J1310" i="29184"/>
  <c r="J1307" i="29184"/>
  <c r="Q1314" i="29184"/>
  <c r="J1321" i="29184"/>
  <c r="AK958" i="29184"/>
  <c r="AO957" i="29184"/>
  <c r="P1307" i="29184"/>
  <c r="O1307" i="29184"/>
  <c r="AO1317" i="29184"/>
  <c r="AN944" i="29184"/>
  <c r="Q955" i="29184"/>
  <c r="AK952" i="29184"/>
  <c r="C1315" i="29184"/>
  <c r="AK1116" i="29184"/>
  <c r="AO1117" i="29184"/>
  <c r="AO1126" i="29184"/>
  <c r="J1123" i="29184"/>
  <c r="AO1114" i="29184"/>
  <c r="J1115" i="29184"/>
  <c r="O1305" i="29184"/>
  <c r="O953" i="29184"/>
  <c r="AI1972" i="29184"/>
  <c r="AN1308" i="29184"/>
  <c r="L1316" i="29184"/>
  <c r="E1316" i="29184" s="1"/>
  <c r="Q1311" i="29184"/>
  <c r="O1310" i="29184"/>
  <c r="AN1320" i="29184"/>
  <c r="M1313" i="29184"/>
  <c r="O1321" i="29184"/>
  <c r="O1318" i="29184"/>
  <c r="C1309" i="29184"/>
  <c r="N1307" i="29184"/>
  <c r="AO1304" i="29184"/>
  <c r="AK1305" i="29184"/>
  <c r="AN1319" i="29184"/>
  <c r="AO1316" i="29184"/>
  <c r="AN1313" i="29184"/>
  <c r="P1304" i="29184"/>
  <c r="L1309" i="29184"/>
  <c r="D1309" i="29184" s="1"/>
  <c r="J1315" i="29184"/>
  <c r="AK1319" i="29184"/>
  <c r="M958" i="29184"/>
  <c r="C958" i="29184"/>
  <c r="O950" i="29184"/>
  <c r="L953" i="29184"/>
  <c r="D953" i="29184" s="1"/>
  <c r="M943" i="29184"/>
  <c r="N949" i="29184"/>
  <c r="P957" i="29184"/>
  <c r="N951" i="29184"/>
  <c r="L951" i="29184"/>
  <c r="F951" i="29184" s="1"/>
  <c r="P946" i="29184"/>
  <c r="AN950" i="29184"/>
  <c r="AK956" i="29184"/>
  <c r="M954" i="29184"/>
  <c r="AK951" i="29184"/>
  <c r="AK949" i="29184"/>
  <c r="N957" i="29184"/>
  <c r="AO954" i="29184"/>
  <c r="J950" i="29184"/>
  <c r="J945" i="29184"/>
  <c r="AK954" i="29184"/>
  <c r="C949" i="29184"/>
  <c r="AK955" i="29184"/>
  <c r="P949" i="29184"/>
  <c r="M957" i="29184"/>
  <c r="Q343" i="29184"/>
  <c r="M343" i="29184"/>
  <c r="L344" i="29184"/>
  <c r="K344" i="29184" s="1"/>
  <c r="O347" i="29184"/>
  <c r="N338" i="29184"/>
  <c r="AK339" i="29184"/>
  <c r="N340" i="29184"/>
  <c r="AN346" i="29184"/>
  <c r="AO346" i="29184"/>
  <c r="O346" i="29184"/>
  <c r="L340" i="29184"/>
  <c r="AK342" i="29184"/>
  <c r="M342" i="29184"/>
  <c r="O343" i="29184"/>
  <c r="AK338" i="29184"/>
  <c r="AH437" i="30041"/>
  <c r="BP340" i="30041"/>
  <c r="AF437" i="30041"/>
  <c r="BP338" i="30041"/>
  <c r="BP342" i="30041"/>
  <c r="AF409" i="30041"/>
  <c r="AI409" i="30041"/>
  <c r="BD343" i="30041"/>
  <c r="BD340" i="30041"/>
  <c r="AH353" i="30041"/>
  <c r="BD344" i="30041"/>
  <c r="BD339" i="30041"/>
  <c r="Q1128" i="29184"/>
  <c r="AN1114" i="29184"/>
  <c r="AN1125" i="29184"/>
  <c r="AK1128" i="29184"/>
  <c r="Q1114" i="29184"/>
  <c r="C1117" i="29184"/>
  <c r="N1114" i="29184"/>
  <c r="O1121" i="29184"/>
  <c r="Q1113" i="29184"/>
  <c r="N1124" i="29184"/>
  <c r="N1120" i="29184"/>
  <c r="M1117" i="29184"/>
  <c r="N1116" i="29184"/>
  <c r="AK1119" i="29184"/>
  <c r="AO1124" i="29184"/>
  <c r="M1118" i="29184"/>
  <c r="AN1127" i="29184"/>
  <c r="AO1118" i="29184"/>
  <c r="J1126" i="29184"/>
  <c r="AO1119" i="29184"/>
  <c r="L1114" i="29184"/>
  <c r="E1114" i="29184" s="1"/>
  <c r="L1124" i="29184"/>
  <c r="C1116" i="29184"/>
  <c r="J1113" i="29184"/>
  <c r="J1117" i="29184"/>
  <c r="C1118" i="29184"/>
  <c r="AO1129" i="29184"/>
  <c r="C1125" i="29184"/>
  <c r="N1121" i="29184"/>
  <c r="P1126" i="29184"/>
  <c r="O1125" i="29184"/>
  <c r="J1114" i="29184"/>
  <c r="L1123" i="29184"/>
  <c r="F1123" i="29184" s="1"/>
  <c r="AO1113" i="29184"/>
  <c r="P1120" i="29184"/>
  <c r="L1116" i="29184"/>
  <c r="D1116" i="29184" s="1"/>
  <c r="L1122" i="29184"/>
  <c r="AK1117" i="29184"/>
  <c r="Q1117" i="29184"/>
  <c r="O1117" i="29184"/>
  <c r="C1126" i="29184"/>
  <c r="Q1120" i="29184"/>
  <c r="L1118" i="29184"/>
  <c r="F1118" i="29184" s="1"/>
  <c r="AK1115" i="29184"/>
  <c r="C1127" i="29184"/>
  <c r="J1121" i="29184"/>
  <c r="P1127" i="29184"/>
  <c r="N1125" i="29184"/>
  <c r="AK1125" i="29184"/>
  <c r="L1125" i="29184"/>
  <c r="P1121" i="29184"/>
  <c r="AG305" i="30041"/>
  <c r="BN223" i="30041"/>
  <c r="AI305" i="30041"/>
  <c r="AJ305" i="30041"/>
  <c r="BN221" i="30041"/>
  <c r="BJ224" i="30041"/>
  <c r="AH277" i="30041"/>
  <c r="AJ277" i="30041"/>
  <c r="AG277" i="30041"/>
  <c r="BJ221" i="30041"/>
  <c r="BJ223" i="30041"/>
  <c r="AI249" i="30041"/>
  <c r="BF226" i="30041"/>
  <c r="AE249" i="30041"/>
  <c r="BF221" i="30041"/>
  <c r="AI181" i="30041"/>
  <c r="AE181" i="30041"/>
  <c r="AF153" i="30041"/>
  <c r="AH153" i="30041"/>
  <c r="AK1317" i="29184"/>
  <c r="AK1320" i="29184"/>
  <c r="L1313" i="29184"/>
  <c r="E1313" i="29184" s="1"/>
  <c r="AN1316" i="29184"/>
  <c r="AI1914" i="29184"/>
  <c r="AI1782" i="29184"/>
  <c r="AI1776" i="29184"/>
  <c r="M199" i="29184"/>
  <c r="N196" i="29184"/>
  <c r="L198" i="29184"/>
  <c r="L195" i="29184"/>
  <c r="J195" i="29184" s="1"/>
  <c r="N198" i="29184"/>
  <c r="L193" i="29184"/>
  <c r="M194" i="29184"/>
  <c r="N200" i="29184"/>
  <c r="N195" i="29184"/>
  <c r="L196" i="29184"/>
  <c r="N201" i="29184"/>
  <c r="N193" i="29184"/>
  <c r="M71" i="29184"/>
  <c r="C70" i="29184"/>
  <c r="J70" i="29184"/>
  <c r="Q70" i="29184"/>
  <c r="Q69" i="29184"/>
  <c r="C72" i="29184"/>
  <c r="P69" i="29184"/>
  <c r="AN71" i="29184"/>
  <c r="M70" i="29184"/>
  <c r="Q71" i="29184"/>
  <c r="L27" i="29184"/>
  <c r="F27" i="29184" s="1"/>
  <c r="J27" i="29184"/>
  <c r="C28" i="29184"/>
  <c r="O28" i="29184"/>
  <c r="M28" i="29184"/>
  <c r="N28" i="29184"/>
  <c r="N27" i="29184"/>
  <c r="AN29" i="29184"/>
  <c r="J29" i="29184"/>
  <c r="L29" i="29184"/>
  <c r="E29" i="29184" s="1"/>
  <c r="C29" i="29184"/>
  <c r="AO26" i="29184"/>
  <c r="CA26" i="29184" s="1"/>
  <c r="Q29" i="29184"/>
  <c r="M26" i="29184"/>
  <c r="C27" i="29184"/>
  <c r="AK27" i="29184"/>
  <c r="AO27" i="29184"/>
  <c r="CA27" i="29184" s="1"/>
  <c r="P28" i="29184"/>
  <c r="AN27" i="29184"/>
  <c r="P29" i="29184"/>
  <c r="P27" i="29184"/>
  <c r="AK29" i="29184"/>
  <c r="BO122" i="8192"/>
  <c r="BO126" i="8192"/>
  <c r="AE164" i="8192"/>
  <c r="AI164" i="8192"/>
  <c r="BK121" i="8192"/>
  <c r="BK123" i="8192"/>
  <c r="AF152" i="8192"/>
  <c r="BG125" i="8192"/>
  <c r="AI140" i="8192"/>
  <c r="BC125" i="8192"/>
  <c r="AG128" i="8192"/>
  <c r="AI128" i="8192"/>
  <c r="AL127" i="8192"/>
  <c r="AP125" i="8192" s="1"/>
  <c r="BS125" i="8192" s="1"/>
  <c r="AH128" i="8192"/>
  <c r="AF128" i="8192"/>
  <c r="AE110" i="8192"/>
  <c r="BK84" i="8192"/>
  <c r="AF98" i="8192"/>
  <c r="AH98" i="8192"/>
  <c r="BG83" i="8192"/>
  <c r="AG98" i="8192"/>
  <c r="AJ86" i="8192"/>
  <c r="BC80" i="8192"/>
  <c r="BC81" i="8192"/>
  <c r="AE86" i="8192"/>
  <c r="AF86" i="8192"/>
  <c r="CA504" i="30041"/>
  <c r="CA502" i="30041"/>
  <c r="AE675" i="30041"/>
  <c r="AJ675" i="30041"/>
  <c r="CA501" i="30041"/>
  <c r="CA499" i="30041"/>
  <c r="CA505" i="30041"/>
  <c r="BS503" i="30041"/>
  <c r="AI619" i="30041"/>
  <c r="BS505" i="30041"/>
  <c r="BS504" i="30041"/>
  <c r="BS501" i="30041"/>
  <c r="BS498" i="30041"/>
  <c r="BS502" i="30041"/>
  <c r="AG619" i="30041"/>
  <c r="BO500" i="30041"/>
  <c r="AF591" i="30041"/>
  <c r="AE591" i="30041"/>
  <c r="AK591" i="30041" s="1"/>
  <c r="BO499" i="30041"/>
  <c r="AI591" i="30041"/>
  <c r="BO498" i="30041"/>
  <c r="BO505" i="30041"/>
  <c r="BK503" i="30041"/>
  <c r="AH563" i="30041"/>
  <c r="AF563" i="30041"/>
  <c r="AJ563" i="30041"/>
  <c r="BK502" i="30041"/>
  <c r="BK501" i="30041"/>
  <c r="AI563" i="30041"/>
  <c r="AE563" i="30041"/>
  <c r="BG501" i="30041"/>
  <c r="AE535" i="30041"/>
  <c r="BG503" i="30041"/>
  <c r="BG504" i="30041"/>
  <c r="R505" i="30041"/>
  <c r="L500" i="30041"/>
  <c r="H500" i="30041"/>
  <c r="AH507" i="30041"/>
  <c r="BC500" i="30041"/>
  <c r="N498" i="30041"/>
  <c r="Q505" i="30041"/>
  <c r="AE507" i="30041"/>
  <c r="C502" i="30041"/>
  <c r="S503" i="30041"/>
  <c r="N504" i="30041"/>
  <c r="AP503" i="30041"/>
  <c r="CF503" i="30041" s="1"/>
  <c r="O504" i="30041"/>
  <c r="P498" i="30041"/>
  <c r="Q498" i="30041"/>
  <c r="BC498" i="30041"/>
  <c r="AJ507" i="30041"/>
  <c r="J504" i="30041"/>
  <c r="F504" i="30041" s="1"/>
  <c r="BC502" i="30041"/>
  <c r="H501" i="30041"/>
  <c r="AL498" i="30041"/>
  <c r="BC505" i="30041"/>
  <c r="M502" i="30041"/>
  <c r="AP501" i="30041"/>
  <c r="CF501" i="30041" s="1"/>
  <c r="AO505" i="30041"/>
  <c r="L505" i="30041"/>
  <c r="O498" i="30041"/>
  <c r="R504" i="30041"/>
  <c r="L502" i="30041"/>
  <c r="AP505" i="30041"/>
  <c r="CF505" i="30041" s="1"/>
  <c r="P504" i="30041"/>
  <c r="O503" i="30041"/>
  <c r="J498" i="30041"/>
  <c r="I498" i="30041" s="1"/>
  <c r="C505" i="30041"/>
  <c r="Q501" i="30041"/>
  <c r="S502" i="30041"/>
  <c r="AI507" i="30041"/>
  <c r="C500" i="30041"/>
  <c r="J502" i="30041"/>
  <c r="D502" i="30041" s="1"/>
  <c r="N502" i="30041"/>
  <c r="H499" i="30041"/>
  <c r="N505" i="30041"/>
  <c r="K503" i="30041"/>
  <c r="AL505" i="30041"/>
  <c r="J505" i="30041"/>
  <c r="D505" i="30041" s="1"/>
  <c r="R503" i="30041"/>
  <c r="AP502" i="30041"/>
  <c r="CF502" i="30041" s="1"/>
  <c r="P501" i="30041"/>
  <c r="AO502" i="30041"/>
  <c r="L504" i="30041"/>
  <c r="AL502" i="30041"/>
  <c r="AO498" i="30041"/>
  <c r="M503" i="30041"/>
  <c r="AO501" i="30041"/>
  <c r="L501" i="30041"/>
  <c r="K502" i="30041"/>
  <c r="C499" i="30041"/>
  <c r="AP504" i="30041"/>
  <c r="CF504" i="30041" s="1"/>
  <c r="M501" i="30041"/>
  <c r="C1320" i="29184"/>
  <c r="P1309" i="29184"/>
  <c r="P1319" i="29184"/>
  <c r="AI1894" i="29184"/>
  <c r="AI1785" i="29184"/>
  <c r="AI1700" i="29184"/>
  <c r="AI1535" i="29184"/>
  <c r="AI1534" i="29184"/>
  <c r="AI1385" i="29184"/>
  <c r="AI1375" i="29184"/>
  <c r="AI1371" i="29184"/>
  <c r="AI1325" i="29184"/>
  <c r="AI1224" i="29184"/>
  <c r="AI1214" i="29184"/>
  <c r="AI1209" i="29184"/>
  <c r="AI936" i="29184"/>
  <c r="AI842" i="29184"/>
  <c r="AI771" i="29184"/>
  <c r="AI736" i="29184"/>
  <c r="AI702" i="29184"/>
  <c r="AI672" i="29184"/>
  <c r="AI633" i="29184"/>
  <c r="AI445" i="29184"/>
  <c r="AI410" i="29184"/>
  <c r="AI394" i="29184"/>
  <c r="AI184" i="29184"/>
  <c r="AI180" i="29184"/>
  <c r="AI176" i="29184"/>
  <c r="AI172" i="29184"/>
  <c r="AI168" i="29184"/>
  <c r="AI55" i="29184"/>
  <c r="AK100" i="8192"/>
  <c r="AK93" i="8192"/>
  <c r="AK88" i="8192"/>
  <c r="AK42" i="8192"/>
  <c r="AK690" i="30041"/>
  <c r="AK679" i="30041"/>
  <c r="AK662" i="30041"/>
  <c r="AK622" i="30041"/>
  <c r="AK508" i="30041"/>
  <c r="AK433" i="30041"/>
  <c r="AK426" i="30041"/>
  <c r="AK419" i="30041"/>
  <c r="AK410" i="30041"/>
  <c r="AK364" i="30041"/>
  <c r="AK362" i="30041"/>
  <c r="AK347" i="30041"/>
  <c r="AK274" i="30041"/>
  <c r="AK257" i="30041"/>
  <c r="AK246" i="30041"/>
  <c r="AK238" i="30041"/>
  <c r="AK231" i="30041"/>
  <c r="AK148" i="30041"/>
  <c r="AI1656" i="29184"/>
  <c r="AI1638" i="29184"/>
  <c r="AI1196" i="29184"/>
  <c r="AI1186" i="29184"/>
  <c r="AI934" i="29184"/>
  <c r="AI818" i="29184"/>
  <c r="AI766" i="29184"/>
  <c r="AI718" i="29184"/>
  <c r="AI712" i="29184"/>
  <c r="AI709" i="29184"/>
  <c r="AI681" i="29184"/>
  <c r="AI636" i="29184"/>
  <c r="AI624" i="29184"/>
  <c r="AI620" i="29184"/>
  <c r="AI615" i="29184"/>
  <c r="AI589" i="29184"/>
  <c r="AI395" i="29184"/>
  <c r="AI385" i="29184"/>
  <c r="AI379" i="29184"/>
  <c r="AI373" i="29184"/>
  <c r="AI187" i="29184"/>
  <c r="AI183" i="29184"/>
  <c r="AI179" i="29184"/>
  <c r="AI175" i="29184"/>
  <c r="AI171" i="29184"/>
  <c r="AI167" i="29184"/>
  <c r="AK40" i="8192"/>
  <c r="AK613" i="30041"/>
  <c r="AK602" i="30041"/>
  <c r="AK546" i="30041"/>
  <c r="AK531" i="30041"/>
  <c r="AK476" i="30041"/>
  <c r="AK474" i="30041"/>
  <c r="AK405" i="30041"/>
  <c r="AK390" i="30041"/>
  <c r="AK385" i="30041"/>
  <c r="AK280" i="30041"/>
  <c r="AI1793" i="29184"/>
  <c r="AI596" i="29184"/>
  <c r="AK273" i="30041"/>
  <c r="AK109" i="30041"/>
  <c r="AK103" i="30041"/>
  <c r="AK101" i="30041"/>
  <c r="AK77" i="30041"/>
  <c r="AK64" i="30041"/>
  <c r="AK51" i="30041"/>
  <c r="AK15" i="30041"/>
  <c r="AK13" i="30041"/>
  <c r="B397" i="29960"/>
  <c r="B184" i="29960"/>
  <c r="B561" i="29960"/>
  <c r="B143" i="29960"/>
  <c r="B24" i="24620" s="1"/>
  <c r="B255" i="29960"/>
  <c r="B196" i="29960"/>
  <c r="B437" i="29960"/>
  <c r="B367" i="29960"/>
  <c r="B113" i="29960"/>
  <c r="B131" i="29184" s="1"/>
  <c r="AM131" i="29184" s="1"/>
  <c r="B229" i="29960"/>
  <c r="B39" i="30001"/>
  <c r="B115" i="29960"/>
  <c r="B190" i="29184" s="1"/>
  <c r="AM190" i="29184" s="1"/>
  <c r="B564" i="29960"/>
  <c r="B575" i="29960"/>
  <c r="B557" i="29960"/>
  <c r="B185" i="29960"/>
  <c r="B522" i="29960"/>
  <c r="I14" i="24620" s="1"/>
  <c r="B17" i="29960"/>
  <c r="B65" i="29960"/>
  <c r="B349" i="29960"/>
  <c r="B2" i="30008" s="1"/>
  <c r="B583" i="29960"/>
  <c r="B529" i="29960"/>
  <c r="B546" i="29960"/>
  <c r="B366" i="29960"/>
  <c r="B29" i="29998" s="1"/>
  <c r="B217" i="29960"/>
  <c r="B194" i="29960"/>
  <c r="B572" i="29960"/>
  <c r="I92" i="24620" s="1"/>
  <c r="B278" i="29960"/>
  <c r="B526" i="29960"/>
  <c r="B360" i="29960"/>
  <c r="B24" i="29998" s="1"/>
  <c r="B54" i="29960"/>
  <c r="B95" i="29960"/>
  <c r="B5" i="29955" s="1"/>
  <c r="B423" i="29960"/>
  <c r="B362" i="29960"/>
  <c r="B26" i="29998" s="1"/>
  <c r="B415" i="29960"/>
  <c r="B493" i="29960"/>
  <c r="B8" i="29960"/>
  <c r="B285" i="29960"/>
  <c r="B530" i="29960"/>
  <c r="B153" i="29960"/>
  <c r="B50" i="24620" s="1"/>
  <c r="B573" i="29960"/>
  <c r="I94" i="24620" s="1"/>
  <c r="B233" i="29960"/>
  <c r="B532" i="29960"/>
  <c r="B246" i="29960"/>
  <c r="B13" i="29998" s="1"/>
  <c r="B37" i="29960"/>
  <c r="B307" i="29960"/>
  <c r="B19" i="29960"/>
  <c r="B466" i="29960"/>
  <c r="I12" i="24620" s="1"/>
  <c r="B413" i="29960"/>
  <c r="B235" i="29960"/>
  <c r="B460" i="29960"/>
  <c r="B356" i="29960"/>
  <c r="B19" i="29998" s="1"/>
  <c r="B76" i="29960"/>
  <c r="I5" i="29954" s="1"/>
  <c r="AD5" i="29954" s="1"/>
  <c r="B338" i="29960"/>
  <c r="B321" i="29960"/>
  <c r="C1" i="30049" s="1"/>
  <c r="B417" i="29960"/>
  <c r="I101" i="24620" s="1"/>
  <c r="B9" i="29960"/>
  <c r="B83" i="29960"/>
  <c r="B351" i="29960"/>
  <c r="B4" i="30008" s="1"/>
  <c r="B341" i="29960"/>
  <c r="B200" i="29960"/>
  <c r="B287" i="29960"/>
  <c r="B387" i="29960"/>
  <c r="B375" i="29960"/>
  <c r="B136" i="29960"/>
  <c r="B13" i="24620" s="1"/>
  <c r="B543" i="29960"/>
  <c r="B132" i="29960"/>
  <c r="I36" i="24620" s="1"/>
  <c r="B34" i="29960"/>
  <c r="B281" i="29960"/>
  <c r="B241" i="29960"/>
  <c r="B176" i="29960"/>
  <c r="B244" i="29960"/>
  <c r="B495" i="29960"/>
  <c r="B140" i="29960"/>
  <c r="B11" i="24620" s="1"/>
  <c r="B51" i="29960"/>
  <c r="B266" i="29960"/>
  <c r="C1" i="19124" s="1"/>
  <c r="B220" i="29960"/>
  <c r="B513" i="29960"/>
  <c r="B159" i="29960"/>
  <c r="B166" i="29960"/>
  <c r="B511" i="29960"/>
  <c r="B483" i="29960"/>
  <c r="D4" i="30038" s="1"/>
  <c r="B245" i="29960"/>
  <c r="B11" i="29998" s="1"/>
  <c r="B179" i="29960"/>
  <c r="B262" i="29960"/>
  <c r="B2" i="29998" s="1"/>
  <c r="B126" i="29960"/>
  <c r="B1742" i="29184" s="1"/>
  <c r="AM1742" i="29184" s="1"/>
  <c r="B545" i="29960"/>
  <c r="B29" i="30099" s="1"/>
  <c r="B148" i="29960"/>
  <c r="B44" i="24620" s="1"/>
  <c r="B303" i="29960"/>
  <c r="C4" i="30002" s="1"/>
  <c r="B443" i="29960"/>
  <c r="B409" i="29960"/>
  <c r="B470" i="29960"/>
  <c r="B398" i="29960"/>
  <c r="B142" i="29960"/>
  <c r="B394" i="29960"/>
  <c r="B157" i="29960"/>
  <c r="A73" i="440" s="1"/>
  <c r="B528" i="29960"/>
  <c r="B434" i="29960"/>
  <c r="B448" i="29960"/>
  <c r="B56" i="29960"/>
  <c r="B133" i="29960"/>
  <c r="I7" i="24620" s="1"/>
  <c r="B406" i="29960"/>
  <c r="B463" i="29960"/>
  <c r="I9" i="24620" s="1"/>
  <c r="B29" i="29960"/>
  <c r="B35" i="30001"/>
  <c r="B268" i="29960"/>
  <c r="B1" i="30010" s="1"/>
  <c r="B171" i="29960"/>
  <c r="B396" i="29960"/>
  <c r="B112" i="29960"/>
  <c r="B218" i="30041" s="1"/>
  <c r="AN218" i="30041" s="1"/>
  <c r="B560" i="29960"/>
  <c r="B445" i="29960"/>
  <c r="B469" i="29960"/>
  <c r="B789" i="29960" s="1"/>
  <c r="B329" i="29960"/>
  <c r="B39" i="29960"/>
  <c r="B87" i="29960"/>
  <c r="H4" i="29954" s="1"/>
  <c r="B292" i="29960"/>
  <c r="AG3" i="30002" s="1"/>
  <c r="B411" i="29960"/>
  <c r="B370" i="29960"/>
  <c r="B155" i="29960"/>
  <c r="B7" i="24620" s="1"/>
  <c r="B304" i="29960"/>
  <c r="BK4" i="30002" s="1"/>
  <c r="B11" i="29960"/>
  <c r="E3" i="19124" s="1"/>
  <c r="B223" i="29960"/>
  <c r="B568" i="29960"/>
  <c r="B24" i="29960"/>
  <c r="B348" i="29960"/>
  <c r="U3" i="19124" s="1"/>
  <c r="B270" i="29960"/>
  <c r="B363" i="29960"/>
  <c r="B27" i="29998" s="1"/>
  <c r="B66" i="29960"/>
  <c r="B368" i="29960"/>
  <c r="B252" i="29960"/>
  <c r="B10" i="29998" s="1"/>
  <c r="B501" i="29960"/>
  <c r="B178" i="29960"/>
  <c r="B274" i="29960"/>
  <c r="B1" i="30001" s="1"/>
  <c r="B6" i="29960"/>
  <c r="B391" i="29960"/>
  <c r="B101" i="29960"/>
  <c r="B138" i="29960"/>
  <c r="B39" i="24620" s="1"/>
  <c r="B505" i="29960"/>
  <c r="B83" i="24620" s="1"/>
  <c r="B177" i="29960"/>
  <c r="B333" i="29960"/>
  <c r="B85" i="24620" s="1"/>
  <c r="B193" i="29960"/>
  <c r="B94" i="29960"/>
  <c r="B265" i="29960"/>
  <c r="B1" i="29954" s="1"/>
  <c r="B186" i="29960"/>
  <c r="B345" i="29960"/>
  <c r="B279" i="29960"/>
  <c r="B216" i="29960"/>
  <c r="B167" i="29960"/>
  <c r="B467" i="29960"/>
  <c r="B206" i="29960"/>
  <c r="B180" i="29960"/>
  <c r="B486" i="29960"/>
  <c r="B96" i="29960"/>
  <c r="B5" i="30000" s="1"/>
  <c r="B517" i="29960"/>
  <c r="B173" i="29960"/>
  <c r="B399" i="29960"/>
  <c r="B181" i="29960"/>
  <c r="B249" i="29960"/>
  <c r="B15" i="29998" s="1"/>
  <c r="B240" i="29960"/>
  <c r="B420" i="29960"/>
  <c r="B309" i="29960"/>
  <c r="B335" i="29960"/>
  <c r="B358" i="29960"/>
  <c r="B20" i="29998" s="1"/>
  <c r="B537" i="29960"/>
  <c r="B251" i="29960"/>
  <c r="B18" i="29998" s="1"/>
  <c r="B135" i="29960"/>
  <c r="D32" i="24620" s="1"/>
  <c r="B243" i="29960"/>
  <c r="B207" i="29960"/>
  <c r="B33" i="29960"/>
  <c r="B384" i="29960"/>
  <c r="B376" i="29960"/>
  <c r="B556" i="29960"/>
  <c r="B419" i="29960"/>
  <c r="I104" i="24620" s="1"/>
  <c r="B432" i="29960"/>
  <c r="C2" i="29955" s="1"/>
  <c r="B256" i="29960"/>
  <c r="B582" i="29960"/>
  <c r="B70" i="29960"/>
  <c r="C5" i="29954" s="1"/>
  <c r="B234" i="29960"/>
  <c r="B150" i="29960"/>
  <c r="B42" i="24620" s="1"/>
  <c r="B510" i="29960"/>
  <c r="B550" i="29960"/>
  <c r="B14" i="29960"/>
  <c r="B54" i="30001"/>
  <c r="B201" i="29960"/>
  <c r="B295" i="29960"/>
  <c r="BQ3" i="30002" s="1"/>
  <c r="B120" i="29960"/>
  <c r="B651" i="29184" s="1"/>
  <c r="AM651" i="29184" s="1"/>
  <c r="B52" i="29960"/>
  <c r="B484" i="29960"/>
  <c r="B1" i="30044" s="1"/>
  <c r="B127" i="29960"/>
  <c r="B22" i="8192" s="1"/>
  <c r="AN22" i="8192" s="1"/>
  <c r="B347" i="29960"/>
  <c r="T3" i="19124" s="1"/>
  <c r="B129" i="29960"/>
  <c r="B66" i="29184" s="1"/>
  <c r="AM66" i="29184" s="1"/>
  <c r="B293" i="29960"/>
  <c r="AR3" i="30002" s="1"/>
  <c r="B331" i="29960"/>
  <c r="B63" i="29960"/>
  <c r="B175" i="29960"/>
  <c r="B109" i="29960"/>
  <c r="B4" i="30041" s="1"/>
  <c r="AN4" i="30041" s="1"/>
  <c r="B340" i="29960"/>
  <c r="B165" i="29960"/>
  <c r="B82" i="29960"/>
  <c r="B38" i="29960"/>
  <c r="B418" i="29960"/>
  <c r="I102" i="24620" s="1"/>
  <c r="B435" i="29960"/>
  <c r="B553" i="29960"/>
  <c r="B587" i="29960"/>
  <c r="B385" i="29960"/>
  <c r="B158" i="29960"/>
  <c r="A135" i="30019" s="1"/>
  <c r="B191" i="29960"/>
  <c r="B332" i="29960"/>
  <c r="B99" i="29960"/>
  <c r="U1" i="19124" s="1"/>
  <c r="B531" i="29960"/>
  <c r="B215" i="29960"/>
  <c r="B527" i="29960"/>
  <c r="B149" i="29960"/>
  <c r="B41" i="24620" s="1"/>
  <c r="B459" i="29960"/>
  <c r="B282" i="29960"/>
  <c r="B214" i="29960"/>
  <c r="B584" i="29960"/>
  <c r="B141" i="29960"/>
  <c r="B30" i="24620" s="1"/>
  <c r="B123" i="29960"/>
  <c r="B1110" i="29184" s="1"/>
  <c r="AM1110" i="29184" s="1"/>
  <c r="B491" i="29960"/>
  <c r="I20" i="24620" s="1"/>
  <c r="B85" i="29960"/>
  <c r="J5" i="29954" s="1"/>
  <c r="B221" i="29960"/>
  <c r="B247" i="29960"/>
  <c r="B2" i="24620" s="1"/>
  <c r="B225" i="29960"/>
  <c r="B32" i="29960"/>
  <c r="B315" i="29960"/>
  <c r="B9" i="24620" s="1"/>
  <c r="B119" i="29960"/>
  <c r="B530" i="29184" s="1"/>
  <c r="AM530" i="29184" s="1"/>
  <c r="B248" i="29960"/>
  <c r="B14" i="29998" s="1"/>
  <c r="B35" i="29960"/>
  <c r="B172" i="29960"/>
  <c r="B457" i="29960"/>
  <c r="B326" i="29960"/>
  <c r="B28" i="24620" s="1"/>
  <c r="B226" i="29960"/>
  <c r="B107" i="29960"/>
  <c r="B342" i="29960"/>
  <c r="B128" i="29960"/>
  <c r="B34" i="29184" s="1"/>
  <c r="AM34" i="29184" s="1"/>
  <c r="B91" i="29960"/>
  <c r="B28" i="29960"/>
  <c r="B230" i="29960"/>
  <c r="C58" i="30019" s="1"/>
  <c r="B451" i="29960"/>
  <c r="B61" i="29960"/>
  <c r="B441" i="29960"/>
  <c r="B209" i="29960"/>
  <c r="B310" i="29960"/>
  <c r="B514" i="29960"/>
  <c r="J14" i="24620" s="1"/>
  <c r="B449" i="29960"/>
  <c r="B571" i="29960"/>
  <c r="B485" i="29960"/>
  <c r="B320" i="29960"/>
  <c r="B509" i="29960"/>
  <c r="B276" i="29960"/>
  <c r="B77" i="29960"/>
  <c r="B98" i="29960"/>
  <c r="M3" i="30016" s="1"/>
  <c r="B212" i="29960"/>
  <c r="B73" i="29960"/>
  <c r="B518" i="29960"/>
  <c r="B365" i="29960"/>
  <c r="B30" i="29998" s="1"/>
  <c r="B580" i="29960"/>
  <c r="B294" i="29960"/>
  <c r="BD3" i="30002" s="1"/>
  <c r="B444" i="29960"/>
  <c r="B477" i="29960"/>
  <c r="E4" i="30038" s="1"/>
  <c r="B410" i="29960"/>
  <c r="B525" i="29960"/>
  <c r="B67" i="29960"/>
  <c r="B3" i="30038" s="1"/>
  <c r="B20" i="29960"/>
  <c r="B205" i="29960"/>
  <c r="B163" i="29960"/>
  <c r="B48" i="30001"/>
  <c r="B64" i="29960"/>
  <c r="AX56" i="28416" s="1"/>
  <c r="B539" i="29960"/>
  <c r="H46" i="30099" s="1"/>
  <c r="B59" i="29960"/>
  <c r="B41" i="29957" s="1"/>
  <c r="B275" i="29960"/>
  <c r="B86" i="24620" s="1"/>
  <c r="B475" i="29960"/>
  <c r="B71" i="24620" s="1"/>
  <c r="B431" i="29960"/>
  <c r="B3" i="30000" s="1"/>
  <c r="B328" i="29960"/>
  <c r="B379" i="29960"/>
  <c r="B538" i="29960"/>
  <c r="B3" i="29960"/>
  <c r="B218" i="29960"/>
  <c r="B533" i="29960"/>
  <c r="T1" i="19124" s="1"/>
  <c r="B416" i="29960"/>
  <c r="B46" i="29960"/>
  <c r="B102" i="29960"/>
  <c r="B498" i="29960"/>
  <c r="B544" i="29960"/>
  <c r="B323" i="29960"/>
  <c r="C5" i="30049" s="1"/>
  <c r="B324" i="29960"/>
  <c r="C5" i="30004" s="1"/>
  <c r="B296" i="29960"/>
  <c r="CE3" i="30002" s="1"/>
  <c r="B160" i="29960"/>
  <c r="B497" i="29960"/>
  <c r="B257" i="29960"/>
  <c r="I112" i="24620" s="1"/>
  <c r="B496" i="29960"/>
  <c r="B31" i="29960"/>
  <c r="B473" i="29960"/>
  <c r="B389" i="29960"/>
  <c r="B490" i="29960"/>
  <c r="F3" i="30038" s="1"/>
  <c r="B232" i="29960"/>
  <c r="B464" i="29960"/>
  <c r="I10" i="24620" s="1"/>
  <c r="B472" i="29960"/>
  <c r="B267" i="29960"/>
  <c r="B1" i="30016" s="1"/>
  <c r="B187" i="29960"/>
  <c r="B369" i="29960"/>
  <c r="B110" i="29960"/>
  <c r="B85" i="30041" s="1"/>
  <c r="AN85" i="30041" s="1"/>
  <c r="B479" i="29960"/>
  <c r="J4" i="30038" s="1"/>
  <c r="B97" i="29960"/>
  <c r="B58" i="29960"/>
  <c r="B172" i="29957" s="1"/>
  <c r="B494" i="29960"/>
  <c r="B111" i="29960"/>
  <c r="B137" i="30041" s="1"/>
  <c r="AN137" i="30041" s="1"/>
  <c r="B88" i="29960"/>
  <c r="B383" i="29960"/>
  <c r="I83" i="24620" s="1"/>
  <c r="B273" i="29960"/>
  <c r="B60" i="29960"/>
  <c r="B426" i="29960"/>
  <c r="B84" i="29960"/>
  <c r="B90" i="29960"/>
  <c r="G6" i="30004" s="1"/>
  <c r="B512" i="29960"/>
  <c r="B204" i="29960"/>
  <c r="B195" i="29960"/>
  <c r="B429" i="29960"/>
  <c r="B121" i="29960"/>
  <c r="B786" i="29184" s="1"/>
  <c r="AM786" i="29184" s="1"/>
  <c r="B350" i="29960"/>
  <c r="B3" i="30008" s="1"/>
  <c r="B104" i="29960"/>
  <c r="AT6" i="18944" s="1"/>
  <c r="B237" i="29960"/>
  <c r="B74" i="29960"/>
  <c r="B21" i="29960"/>
  <c r="B283" i="29960"/>
  <c r="B548" i="29960"/>
  <c r="B202" i="29960"/>
  <c r="B489" i="29960"/>
  <c r="B2" i="30038" s="1"/>
  <c r="B316" i="29960"/>
  <c r="B542" i="29960"/>
  <c r="B480" i="29960"/>
  <c r="K4" i="30038" s="1"/>
  <c r="B566" i="29960"/>
  <c r="B322" i="29960"/>
  <c r="C1" i="30004" s="1"/>
  <c r="B50" i="30001"/>
  <c r="B72" i="29960"/>
  <c r="B471" i="29960"/>
  <c r="B189" i="29960"/>
  <c r="B330" i="29960"/>
  <c r="C2" i="30049" s="1"/>
  <c r="B213" i="29960"/>
  <c r="B53" i="29960"/>
  <c r="B253" i="29960"/>
  <c r="C10" i="29998" s="1"/>
  <c r="B504" i="29960"/>
  <c r="B53" i="24620" s="1"/>
  <c r="B290" i="29960"/>
  <c r="M3" i="30002" s="1"/>
  <c r="B152" i="29960"/>
  <c r="B35" i="24620" s="1"/>
  <c r="B52" i="30001"/>
  <c r="B68" i="29960"/>
  <c r="B79" i="29960"/>
  <c r="K5" i="29954" s="1"/>
  <c r="B25" i="30001"/>
  <c r="B440" i="29960"/>
  <c r="B502" i="29960"/>
  <c r="B137" i="29960"/>
  <c r="B31" i="24620" s="1"/>
  <c r="B71" i="29960"/>
  <c r="E6" i="29955" s="1"/>
  <c r="B421" i="29960"/>
  <c r="B401" i="29960"/>
  <c r="B558" i="29960"/>
  <c r="B317" i="29960"/>
  <c r="B456" i="29960"/>
  <c r="B48" i="29960"/>
  <c r="B124" i="29960"/>
  <c r="B1301" i="29184" s="1"/>
  <c r="AM1301" i="29184" s="1"/>
  <c r="B69" i="29960"/>
  <c r="B503" i="29960"/>
  <c r="B131" i="29960"/>
  <c r="I38" i="24620" s="1"/>
  <c r="B371" i="29960"/>
  <c r="B36" i="29960"/>
  <c r="B536" i="29960"/>
  <c r="B145" i="29960"/>
  <c r="B26" i="24620" s="1"/>
  <c r="B272" i="29960"/>
  <c r="B476" i="29960"/>
  <c r="B72" i="24620" s="1"/>
  <c r="B336" i="29960"/>
  <c r="B520" i="29960"/>
  <c r="B154" i="29960"/>
  <c r="B6" i="24620" s="1"/>
  <c r="B549" i="29960"/>
  <c r="B41" i="29960"/>
  <c r="B117" i="29960"/>
  <c r="B334" i="29184" s="1"/>
  <c r="AM334" i="29184" s="1"/>
  <c r="B424" i="29960"/>
  <c r="B40" i="29960"/>
  <c r="B169" i="29960"/>
  <c r="B364" i="29960"/>
  <c r="B28" i="29998" s="1"/>
  <c r="B15" i="29960"/>
  <c r="B100" i="29960"/>
  <c r="B380" i="29960"/>
  <c r="I80" i="24620" s="1"/>
  <c r="B343" i="29960"/>
  <c r="B182" i="29960"/>
  <c r="B7" i="29960"/>
  <c r="D64" i="28416" s="1"/>
  <c r="B400" i="29960"/>
  <c r="B139" i="29960"/>
  <c r="B45" i="24620" s="1"/>
  <c r="B301" i="29960"/>
  <c r="AP4" i="30002" s="1"/>
  <c r="B395" i="29960"/>
  <c r="B574" i="29960"/>
  <c r="B118" i="29960"/>
  <c r="B426" i="29184" s="1"/>
  <c r="AM426" i="29184" s="1"/>
  <c r="B318" i="29960"/>
  <c r="B357" i="29960"/>
  <c r="B22" i="29998" s="1"/>
  <c r="B446" i="29960"/>
  <c r="B105" i="29960"/>
  <c r="Z22" i="28160" s="1"/>
  <c r="B144" i="29960"/>
  <c r="B25" i="24620" s="1"/>
  <c r="B507" i="29960"/>
  <c r="C1" i="30019" s="1"/>
  <c r="B208" i="29960"/>
  <c r="B555" i="29960"/>
  <c r="B198" i="29960"/>
  <c r="B312" i="29960"/>
  <c r="B1" i="30003" s="1"/>
  <c r="B515" i="29960"/>
  <c r="B260" i="29960"/>
  <c r="B33" i="29998" s="1"/>
  <c r="B386" i="29960"/>
  <c r="B227" i="29960"/>
  <c r="B242" i="29960"/>
  <c r="B439" i="29960"/>
  <c r="B259" i="29960"/>
  <c r="B32" i="29998" s="1"/>
  <c r="B569" i="29960"/>
  <c r="I89" i="24620" s="1"/>
  <c r="B125" i="29960"/>
  <c r="B1510" i="29184" s="1"/>
  <c r="AM1510" i="29184" s="1"/>
  <c r="B361" i="29960"/>
  <c r="B25" i="29998" s="1"/>
  <c r="B378" i="29960"/>
  <c r="B79" i="24620" s="1"/>
  <c r="B427" i="29960"/>
  <c r="B28" i="30001"/>
  <c r="B374" i="29960"/>
  <c r="B523" i="29960"/>
  <c r="B339" i="29960"/>
  <c r="B428" i="29960"/>
  <c r="B250" i="29960"/>
  <c r="B16" i="29998" s="1"/>
  <c r="B286" i="29960"/>
  <c r="B552" i="29960"/>
  <c r="B481" i="29960"/>
  <c r="B407" i="29960"/>
  <c r="B465" i="29960"/>
  <c r="I11" i="24620" s="1"/>
  <c r="B302" i="29960"/>
  <c r="AG4" i="30002" s="1"/>
  <c r="B402" i="29960"/>
  <c r="B203" i="29960"/>
  <c r="B570" i="29960"/>
  <c r="B25" i="29960"/>
  <c r="B55" i="30001"/>
  <c r="B430" i="29960"/>
  <c r="B2" i="30000" s="1"/>
  <c r="B377" i="29960"/>
  <c r="B7" i="29998" s="1"/>
  <c r="B13" i="29960"/>
  <c r="B10" i="30001"/>
  <c r="B23" i="29960"/>
  <c r="B314" i="29960"/>
  <c r="B168" i="29960"/>
  <c r="B164" i="29960"/>
  <c r="B521" i="29960"/>
  <c r="B65" i="24620" s="1"/>
  <c r="B106" i="29960"/>
  <c r="B4" i="29960"/>
  <c r="B354" i="29960"/>
  <c r="H6" i="30008" s="1"/>
  <c r="B454" i="29960"/>
  <c r="B381" i="29960"/>
  <c r="B192" i="29960"/>
  <c r="B474" i="29960"/>
  <c r="B506" i="29960"/>
  <c r="B404" i="29960"/>
  <c r="B26" i="29960"/>
  <c r="B458" i="29960"/>
  <c r="B161" i="29960"/>
  <c r="B422" i="29960"/>
  <c r="B344" i="29960"/>
  <c r="B77" i="24620" s="1"/>
  <c r="B210" i="29960"/>
  <c r="B263" i="29960"/>
  <c r="B1" i="29955" s="1"/>
  <c r="B450" i="29960"/>
  <c r="B298" i="29960"/>
  <c r="BM4" i="30002" s="1"/>
  <c r="B284" i="29960"/>
  <c r="B565" i="29960"/>
  <c r="B269" i="29960"/>
  <c r="B2" i="30010" s="1"/>
  <c r="B585" i="29960"/>
  <c r="B359" i="29960"/>
  <c r="B23" i="29998" s="1"/>
  <c r="B114" i="29960"/>
  <c r="B157" i="29184" s="1"/>
  <c r="AM157" i="29184" s="1"/>
  <c r="B75" i="29960"/>
  <c r="B468" i="29960"/>
  <c r="B5" i="29960"/>
  <c r="M18" i="30099" s="1"/>
  <c r="B499" i="29960"/>
  <c r="B438" i="29960"/>
  <c r="B500" i="29960"/>
  <c r="B81" i="24620" s="1"/>
  <c r="B30" i="29960"/>
  <c r="B57" i="29960"/>
  <c r="B228" i="29960"/>
  <c r="B116" i="29960"/>
  <c r="B257" i="29184" s="1"/>
  <c r="AM257" i="29184" s="1"/>
  <c r="B93" i="29960"/>
  <c r="B231" i="29960"/>
  <c r="B353" i="29960"/>
  <c r="B1" i="30008" s="1"/>
  <c r="B239" i="29960"/>
  <c r="B238" i="29960"/>
  <c r="B219" i="29960"/>
  <c r="B306" i="29960"/>
  <c r="B288" i="29960"/>
  <c r="B1" i="30002" s="1"/>
  <c r="B254" i="29960"/>
  <c r="B170" i="29960"/>
  <c r="B482" i="29960"/>
  <c r="G4" i="30038" s="1"/>
  <c r="B567" i="29960"/>
  <c r="B588" i="29960"/>
  <c r="B271" i="29960"/>
  <c r="B355" i="29960"/>
  <c r="B21" i="29998" s="1"/>
  <c r="B311" i="29960"/>
  <c r="B92" i="29960"/>
  <c r="B453" i="29960"/>
  <c r="B334" i="29960"/>
  <c r="B199" i="29960"/>
  <c r="B41" i="30001"/>
  <c r="B122" i="29960"/>
  <c r="B940" i="29184" s="1"/>
  <c r="AM940" i="29184" s="1"/>
  <c r="B519" i="29960"/>
  <c r="B151" i="29960"/>
  <c r="B236" i="29960"/>
  <c r="B534" i="29960"/>
  <c r="B462" i="29960"/>
  <c r="B50" i="29960"/>
  <c r="B297" i="29960"/>
  <c r="C135" i="30002" s="1"/>
  <c r="B352" i="29960"/>
  <c r="B5" i="30008" s="1"/>
  <c r="B26" i="30001"/>
  <c r="B319" i="29960"/>
  <c r="B577" i="29960"/>
  <c r="I51" i="24620" s="1"/>
  <c r="B433" i="29960"/>
  <c r="C3" i="29955" s="1"/>
  <c r="B197" i="29960"/>
  <c r="B81" i="29960"/>
  <c r="L5" i="29954" s="1"/>
  <c r="B224" i="29960"/>
  <c r="B563" i="29960"/>
  <c r="B299" i="29960"/>
  <c r="F136" i="30002" s="1"/>
  <c r="B541" i="29960"/>
  <c r="B289" i="29960"/>
  <c r="B3" i="30003" s="1"/>
  <c r="B576" i="29960"/>
  <c r="B337" i="29960"/>
  <c r="B478" i="29960"/>
  <c r="I4" i="30038" s="1"/>
  <c r="B488" i="29960"/>
  <c r="B2" i="30044" s="1"/>
  <c r="B108" i="29960"/>
  <c r="B492" i="29960"/>
  <c r="B16" i="29960"/>
  <c r="B447" i="29960"/>
  <c r="B174" i="29960"/>
  <c r="B425" i="29960"/>
  <c r="B559" i="29960"/>
  <c r="B103" i="29960"/>
  <c r="B188" i="29960"/>
  <c r="B134" i="29960"/>
  <c r="I8" i="24620" s="1"/>
  <c r="B280" i="29960"/>
  <c r="B578" i="29960"/>
  <c r="B86" i="29960"/>
  <c r="B346" i="29960"/>
  <c r="I41" i="24620" s="1"/>
  <c r="B393" i="29960"/>
  <c r="B579" i="29960"/>
  <c r="I55" i="24620" s="1"/>
  <c r="B562" i="29960"/>
  <c r="B22" i="29960"/>
  <c r="B27" i="29960"/>
  <c r="B47" i="29960"/>
  <c r="B372" i="29960"/>
  <c r="B414" i="29960"/>
  <c r="B382" i="29960"/>
  <c r="B412" i="29960"/>
  <c r="B291" i="29960"/>
  <c r="W3" i="30002" s="1"/>
  <c r="B32" i="30001"/>
  <c r="B487" i="29960"/>
  <c r="B1" i="30038" s="1"/>
  <c r="B373" i="29960"/>
  <c r="B4" i="29998" s="1"/>
  <c r="B222" i="29960"/>
  <c r="B12" i="29960"/>
  <c r="B3" i="30016" s="1"/>
  <c r="B258" i="29960"/>
  <c r="B305" i="29960"/>
  <c r="H136" i="30002" s="1"/>
  <c r="B10" i="29960"/>
  <c r="G90" i="30099" s="1"/>
  <c r="B261" i="29960"/>
  <c r="B308" i="29960"/>
  <c r="B146" i="29960"/>
  <c r="B19" i="24620" s="1"/>
  <c r="B277" i="29960"/>
  <c r="B130" i="29960"/>
  <c r="B111" i="29184" s="1"/>
  <c r="AM111" i="29184" s="1"/>
  <c r="B516" i="29960"/>
  <c r="B147" i="29960"/>
  <c r="B43" i="24620" s="1"/>
  <c r="B313" i="29960"/>
  <c r="B162" i="29960"/>
  <c r="B18" i="29960"/>
  <c r="B190" i="29960"/>
  <c r="B62" i="29960"/>
  <c r="B264" i="29960"/>
  <c r="B1" i="30000" s="1"/>
  <c r="B455" i="29960"/>
  <c r="B55" i="29960"/>
  <c r="B452" i="29960"/>
  <c r="B58" i="24620" s="1"/>
  <c r="B49" i="29960"/>
  <c r="B327" i="29960"/>
  <c r="B12" i="29998" s="1"/>
  <c r="B442" i="29960"/>
  <c r="B325" i="29960"/>
  <c r="B27" i="24620" s="1"/>
  <c r="B300" i="29960"/>
  <c r="N4" i="30003" s="1"/>
  <c r="B211" i="29960"/>
  <c r="B436" i="29960"/>
  <c r="B581" i="29960"/>
  <c r="B405" i="29960"/>
  <c r="B535" i="29960"/>
  <c r="AI30" i="29184"/>
  <c r="AI29" i="29184"/>
  <c r="AI1924" i="29184"/>
  <c r="AI1870" i="29184"/>
  <c r="AI1818" i="29184"/>
  <c r="AI1694" i="29184"/>
  <c r="AI1690" i="29184"/>
  <c r="AI1684" i="29184"/>
  <c r="AI1646" i="29184"/>
  <c r="AI1624" i="29184"/>
  <c r="AI1612" i="29184"/>
  <c r="AI1489" i="29184"/>
  <c r="AI1461" i="29184"/>
  <c r="AI1458" i="29184"/>
  <c r="AI1439" i="29184"/>
  <c r="AI1435" i="29184"/>
  <c r="AI1429" i="29184"/>
  <c r="AI1393" i="29184"/>
  <c r="AI1387" i="29184"/>
  <c r="AI1384" i="29184"/>
  <c r="AI1361" i="29184"/>
  <c r="AI1297" i="29184"/>
  <c r="AI1293" i="29184"/>
  <c r="AI1287" i="29184"/>
  <c r="AI1283" i="29184"/>
  <c r="AI1277" i="29184"/>
  <c r="AI1273" i="29184"/>
  <c r="AI1267" i="29184"/>
  <c r="AI1263" i="29184"/>
  <c r="AI1257" i="29184"/>
  <c r="AI1253" i="29184"/>
  <c r="AI1247" i="29184"/>
  <c r="AI1243" i="29184"/>
  <c r="AI1204" i="29184"/>
  <c r="AI1103" i="29184"/>
  <c r="AI1097" i="29184"/>
  <c r="AI1094" i="29184"/>
  <c r="AI1071" i="29184"/>
  <c r="AI1018" i="29184"/>
  <c r="AI933" i="29184"/>
  <c r="AI925" i="29184"/>
  <c r="AI854" i="29184"/>
  <c r="AI807" i="29184"/>
  <c r="AI783" i="29184"/>
  <c r="AI774" i="29184"/>
  <c r="AI756" i="29184"/>
  <c r="AI734" i="29184"/>
  <c r="AI716" i="29184"/>
  <c r="AI707" i="29184"/>
  <c r="AI622" i="29184"/>
  <c r="AI478" i="29184"/>
  <c r="AI468" i="29184"/>
  <c r="AI462" i="29184"/>
  <c r="AI453" i="29184"/>
  <c r="AI414" i="29184"/>
  <c r="AI408" i="29184"/>
  <c r="AI375" i="29184"/>
  <c r="AI367" i="29184"/>
  <c r="AI206" i="29184"/>
  <c r="AI163" i="29184"/>
  <c r="AI153" i="29184"/>
  <c r="AI149" i="29184"/>
  <c r="AI144" i="29184"/>
  <c r="AI141" i="29184"/>
  <c r="AI127" i="29184"/>
  <c r="AI123" i="29184"/>
  <c r="AK160" i="8192"/>
  <c r="AK130" i="30041"/>
  <c r="AK94" i="30041"/>
  <c r="AK686" i="30041"/>
  <c r="AI1960" i="29184"/>
  <c r="AI1948" i="29184"/>
  <c r="AI1846" i="29184"/>
  <c r="AI1842" i="29184"/>
  <c r="AI1798" i="29184"/>
  <c r="AI1791" i="29184"/>
  <c r="AI1740" i="29184"/>
  <c r="AI1728" i="29184"/>
  <c r="AI1688" i="29184"/>
  <c r="AI1626" i="29184"/>
  <c r="AI1463" i="29184"/>
  <c r="AI1395" i="29184"/>
  <c r="AI1391" i="29184"/>
  <c r="AI1359" i="29184"/>
  <c r="AI1354" i="29184"/>
  <c r="AI1337" i="29184"/>
  <c r="AI1328" i="29184"/>
  <c r="AI1327" i="29184"/>
  <c r="AI1324" i="29184"/>
  <c r="AI1299" i="29184"/>
  <c r="AI1295" i="29184"/>
  <c r="AI1289" i="29184"/>
  <c r="AI1285" i="29184"/>
  <c r="AI1279" i="29184"/>
  <c r="AI1275" i="29184"/>
  <c r="AI1269" i="29184"/>
  <c r="AI1265" i="29184"/>
  <c r="AI1259" i="29184"/>
  <c r="AI1255" i="29184"/>
  <c r="AI1249" i="29184"/>
  <c r="AI1245" i="29184"/>
  <c r="AI1202" i="29184"/>
  <c r="AI1105" i="29184"/>
  <c r="AI1101" i="29184"/>
  <c r="AI1067" i="29184"/>
  <c r="AI1064" i="29184"/>
  <c r="AI1045" i="29184"/>
  <c r="AI1041" i="29184"/>
  <c r="AI1035" i="29184"/>
  <c r="AI1026" i="29184"/>
  <c r="AI1021" i="29184"/>
  <c r="AI977" i="29184"/>
  <c r="AI469" i="29184"/>
  <c r="AI311" i="29184"/>
  <c r="AI231" i="29184"/>
  <c r="AI219" i="29184"/>
  <c r="AI213" i="29184"/>
  <c r="AI211" i="29184"/>
  <c r="AI204" i="29184"/>
  <c r="AK171" i="8192"/>
  <c r="AK166" i="8192"/>
  <c r="AK103" i="8192"/>
  <c r="AK90" i="8192"/>
  <c r="AK698" i="30041"/>
  <c r="AK664" i="30041"/>
  <c r="AK588" i="30041"/>
  <c r="AK573" i="30041"/>
  <c r="AK560" i="30041"/>
  <c r="AK417" i="30041"/>
  <c r="AK239" i="30041"/>
  <c r="AK116" i="30041"/>
  <c r="AK79" i="30041"/>
  <c r="AK73" i="30041"/>
  <c r="AK56" i="30041"/>
  <c r="AK20" i="30041"/>
  <c r="AI1952" i="29184"/>
  <c r="AI1940" i="29184"/>
  <c r="AI1908" i="29184"/>
  <c r="AI1904" i="29184"/>
  <c r="AI1892" i="29184"/>
  <c r="AI1889" i="29184"/>
  <c r="AI1786" i="29184"/>
  <c r="AI1780" i="29184"/>
  <c r="AI1670" i="29184"/>
  <c r="AI1666" i="29184"/>
  <c r="AI1618" i="29184"/>
  <c r="AI1540" i="29184"/>
  <c r="AI1501" i="29184"/>
  <c r="AI1496" i="29184"/>
  <c r="AI1479" i="29184"/>
  <c r="AI1473" i="29184"/>
  <c r="AI1415" i="29184"/>
  <c r="AI1409" i="29184"/>
  <c r="AI1405" i="29184"/>
  <c r="AI1347" i="29184"/>
  <c r="AI1232" i="29184"/>
  <c r="AI1174" i="29184"/>
  <c r="AI1168" i="29184"/>
  <c r="AI1165" i="29184"/>
  <c r="AI1155" i="29184"/>
  <c r="AI1149" i="29184"/>
  <c r="AI1147" i="29184"/>
  <c r="AI1136" i="29184"/>
  <c r="AI1055" i="29184"/>
  <c r="AI1003" i="29184"/>
  <c r="AI998" i="29184"/>
  <c r="AI963" i="29184"/>
  <c r="AI882" i="29184"/>
  <c r="AI824" i="29184"/>
  <c r="AI773" i="29184"/>
  <c r="AI742" i="29184"/>
  <c r="AI737" i="29184"/>
  <c r="AI724" i="29184"/>
  <c r="AI700" i="29184"/>
  <c r="AI694" i="29184"/>
  <c r="AI691" i="29184"/>
  <c r="AI688" i="29184"/>
  <c r="AI676" i="29184"/>
  <c r="AI674" i="29184"/>
  <c r="AI670" i="29184"/>
  <c r="AI640" i="29184"/>
  <c r="AI568" i="29184"/>
  <c r="AI550" i="29184"/>
  <c r="AI518" i="29184"/>
  <c r="AI508" i="29184"/>
  <c r="AI499" i="29184"/>
  <c r="AI444" i="29184"/>
  <c r="AI413" i="29184"/>
  <c r="AI407" i="29184"/>
  <c r="AI401" i="29184"/>
  <c r="AI392" i="29184"/>
  <c r="AI360" i="29184"/>
  <c r="AI351" i="29184"/>
  <c r="AI281" i="29184"/>
  <c r="AI255" i="29184"/>
  <c r="AI249" i="29184"/>
  <c r="AI114" i="29184"/>
  <c r="AI101" i="29184"/>
  <c r="AI97" i="29184"/>
  <c r="AI87" i="29184"/>
  <c r="AI62" i="29184"/>
  <c r="AI61" i="29184"/>
  <c r="AK162" i="8192"/>
  <c r="AK138" i="8192"/>
  <c r="AK59" i="8192"/>
  <c r="AK43" i="8192"/>
  <c r="AK37" i="8192"/>
  <c r="AK31" i="8192"/>
  <c r="AK16" i="8192"/>
  <c r="AK691" i="30041"/>
  <c r="AK665" i="30041"/>
  <c r="AK648" i="30041"/>
  <c r="AK566" i="30041"/>
  <c r="AK551" i="30041"/>
  <c r="AK536" i="30041"/>
  <c r="AK480" i="30041"/>
  <c r="AK396" i="30041"/>
  <c r="AK327" i="30041"/>
  <c r="AK301" i="30041"/>
  <c r="AK294" i="30041"/>
  <c r="AK292" i="30041"/>
  <c r="AK281" i="30041"/>
  <c r="AK252" i="30041"/>
  <c r="AK250" i="30041"/>
  <c r="AK245" i="30041"/>
  <c r="AK123" i="30041"/>
  <c r="AK110" i="30041"/>
  <c r="AK78" i="30041"/>
  <c r="AK52" i="30041"/>
  <c r="AK29" i="30041"/>
  <c r="AK27" i="30041"/>
  <c r="B597" i="29960"/>
  <c r="B596" i="29960"/>
  <c r="B620" i="29960"/>
  <c r="B616" i="29960"/>
  <c r="B607" i="29960"/>
  <c r="B603" i="29960"/>
  <c r="B600" i="29960"/>
  <c r="B595" i="29960"/>
  <c r="B591" i="29960"/>
  <c r="B598" i="29960"/>
  <c r="B623" i="29960"/>
  <c r="B615" i="29960"/>
  <c r="B599" i="29960"/>
  <c r="B621" i="29960"/>
  <c r="B617" i="29960"/>
  <c r="B608" i="29960"/>
  <c r="B604" i="29960"/>
  <c r="B601" i="29960"/>
  <c r="B592" i="29960"/>
  <c r="B589" i="29960"/>
  <c r="B606" i="29960"/>
  <c r="B594" i="29960"/>
  <c r="B622" i="29960"/>
  <c r="B618" i="29960"/>
  <c r="B614" i="29960"/>
  <c r="B605" i="29960"/>
  <c r="B593" i="29960"/>
  <c r="B619" i="29960"/>
  <c r="B602" i="29960"/>
  <c r="B590" i="29960"/>
  <c r="B12" i="30001"/>
  <c r="BH88" i="30041"/>
  <c r="AI128" i="30041"/>
  <c r="AG326" i="30041"/>
  <c r="BQ222" i="30041"/>
  <c r="AF326" i="30041"/>
  <c r="BQ223" i="30041"/>
  <c r="BQ226" i="30041"/>
  <c r="BQ225" i="30041"/>
  <c r="AE326" i="30041"/>
  <c r="AI326" i="30041"/>
  <c r="BQ221" i="30041"/>
  <c r="BQ224" i="30041"/>
  <c r="AH326" i="30041"/>
  <c r="AJ326" i="30041"/>
  <c r="AE270" i="30041"/>
  <c r="AI270" i="30041"/>
  <c r="BI224" i="30041"/>
  <c r="AF270" i="30041"/>
  <c r="BI226" i="30041"/>
  <c r="AH270" i="30041"/>
  <c r="BI223" i="30041"/>
  <c r="AJ270" i="30041"/>
  <c r="BI221" i="30041"/>
  <c r="BI225" i="30041"/>
  <c r="AG270" i="30041"/>
  <c r="BI222" i="30041"/>
  <c r="BE225" i="30041"/>
  <c r="BE226" i="30041"/>
  <c r="AF242" i="30041"/>
  <c r="BE223" i="30041"/>
  <c r="BE221" i="30041"/>
  <c r="AI242" i="30041"/>
  <c r="AG242" i="30041"/>
  <c r="AE242" i="30041"/>
  <c r="BE224" i="30041"/>
  <c r="AL227" i="30041"/>
  <c r="C224" i="30041" s="1"/>
  <c r="AH242" i="30041"/>
  <c r="BE222" i="30041"/>
  <c r="AJ242" i="30041"/>
  <c r="AF167" i="30041"/>
  <c r="AH167" i="30041"/>
  <c r="AJ167" i="30041"/>
  <c r="AE167" i="30041"/>
  <c r="AI167" i="30041"/>
  <c r="AG167" i="30041"/>
  <c r="BM225" i="30041"/>
  <c r="BM221" i="30041"/>
  <c r="BM223" i="30041"/>
  <c r="AE298" i="30041"/>
  <c r="BM222" i="30041"/>
  <c r="AI298" i="30041"/>
  <c r="BM224" i="30041"/>
  <c r="AG298" i="30041"/>
  <c r="AF298" i="30041"/>
  <c r="AJ298" i="30041"/>
  <c r="BM226" i="30041"/>
  <c r="AH298" i="30041"/>
  <c r="AI1974" i="29184"/>
  <c r="AI1971" i="29184"/>
  <c r="AI1944" i="29184"/>
  <c r="AI1941" i="29184"/>
  <c r="AI1938" i="29184"/>
  <c r="AI1926" i="29184"/>
  <c r="AI1923" i="29184"/>
  <c r="AI1896" i="29184"/>
  <c r="AI1893" i="29184"/>
  <c r="AI1868" i="29184"/>
  <c r="AI1865" i="29184"/>
  <c r="AI1860" i="29184"/>
  <c r="AI1848" i="29184"/>
  <c r="AI1845" i="29184"/>
  <c r="AI1820" i="29184"/>
  <c r="AI1817" i="29184"/>
  <c r="AI1792" i="29184"/>
  <c r="AI1787" i="29184"/>
  <c r="AI1784" i="29184"/>
  <c r="AI1783" i="29184"/>
  <c r="AI1771" i="29184"/>
  <c r="AI1738" i="29184"/>
  <c r="AI1714" i="29184"/>
  <c r="AI1711" i="29184"/>
  <c r="AI1706" i="29184"/>
  <c r="AI1703" i="29184"/>
  <c r="AI1692" i="29184"/>
  <c r="AI1689" i="29184"/>
  <c r="AI1681" i="29184"/>
  <c r="AI1628" i="29184"/>
  <c r="AI1625" i="29184"/>
  <c r="AI1617" i="29184"/>
  <c r="AI1611" i="29184"/>
  <c r="AI1594" i="29184"/>
  <c r="AI1586" i="29184"/>
  <c r="AI1582" i="29184"/>
  <c r="AI1578" i="29184"/>
  <c r="AI1572" i="29184"/>
  <c r="AI1568" i="29184"/>
  <c r="AI1562" i="29184"/>
  <c r="AI1558" i="29184"/>
  <c r="AI1550" i="29184"/>
  <c r="AI1546" i="29184"/>
  <c r="AI1505" i="29184"/>
  <c r="AI1502" i="29184"/>
  <c r="AI1485" i="29184"/>
  <c r="AI1482" i="29184"/>
  <c r="AI1467" i="29184"/>
  <c r="AI1462" i="29184"/>
  <c r="AI1447" i="29184"/>
  <c r="AI1442" i="29184"/>
  <c r="AI1390" i="29184"/>
  <c r="AI1373" i="29184"/>
  <c r="AI1369" i="29184"/>
  <c r="AI1364" i="29184"/>
  <c r="AI1330" i="29184"/>
  <c r="AI1298" i="29184"/>
  <c r="AI1294" i="29184"/>
  <c r="AI1288" i="29184"/>
  <c r="AI1284" i="29184"/>
  <c r="AI1278" i="29184"/>
  <c r="AI1274" i="29184"/>
  <c r="AI1268" i="29184"/>
  <c r="AI1264" i="29184"/>
  <c r="AI1258" i="29184"/>
  <c r="AI1254" i="29184"/>
  <c r="AI1248" i="29184"/>
  <c r="AI1244" i="29184"/>
  <c r="AI1238" i="29184"/>
  <c r="AI1234" i="29184"/>
  <c r="AI1229" i="29184"/>
  <c r="AI1134" i="29184"/>
  <c r="AI1098" i="29184"/>
  <c r="AI1083" i="29184"/>
  <c r="AI1077" i="29184"/>
  <c r="AI1074" i="29184"/>
  <c r="AI1014" i="29184"/>
  <c r="AI997" i="29184"/>
  <c r="AI988" i="29184"/>
  <c r="AI987" i="29184"/>
  <c r="AI967" i="29184"/>
  <c r="AI965" i="29184"/>
  <c r="AI937" i="29184"/>
  <c r="AI929" i="29184"/>
  <c r="AI906" i="29184"/>
  <c r="AI901" i="29184"/>
  <c r="AI811" i="29184"/>
  <c r="AI781" i="29184"/>
  <c r="AI778" i="29184"/>
  <c r="AI752" i="29184"/>
  <c r="AI747" i="29184"/>
  <c r="AI730" i="29184"/>
  <c r="AI727" i="29184"/>
  <c r="AI698" i="29184"/>
  <c r="AK447" i="30041"/>
  <c r="AK206" i="30041"/>
  <c r="AI1992" i="29184"/>
  <c r="AI1989" i="29184"/>
  <c r="AI1983" i="29184"/>
  <c r="AI1930" i="29184"/>
  <c r="AI1927" i="29184"/>
  <c r="AI1916" i="29184"/>
  <c r="AI1913" i="29184"/>
  <c r="AI1905" i="29184"/>
  <c r="AI1854" i="29184"/>
  <c r="AI1851" i="29184"/>
  <c r="AI1840" i="29184"/>
  <c r="AI1835" i="29184"/>
  <c r="AI1829" i="29184"/>
  <c r="AI1788" i="29184"/>
  <c r="AI1773" i="29184"/>
  <c r="AI1772" i="29184"/>
  <c r="AI1739" i="29184"/>
  <c r="AI1736" i="29184"/>
  <c r="AI1733" i="29184"/>
  <c r="AI1723" i="29184"/>
  <c r="AI1682" i="29184"/>
  <c r="AI1679" i="29184"/>
  <c r="AI1674" i="29184"/>
  <c r="AI1662" i="29184"/>
  <c r="AI1659" i="29184"/>
  <c r="AI1634" i="29184"/>
  <c r="AI1629" i="29184"/>
  <c r="AI1600" i="29184"/>
  <c r="AI1595" i="29184"/>
  <c r="AI1583" i="29184"/>
  <c r="AI1579" i="29184"/>
  <c r="AI1573" i="29184"/>
  <c r="AI1569" i="29184"/>
  <c r="AI1563" i="29184"/>
  <c r="AI1559" i="29184"/>
  <c r="AI1553" i="29184"/>
  <c r="AI1551" i="29184"/>
  <c r="AI1547" i="29184"/>
  <c r="AI1539" i="29184"/>
  <c r="AI1538" i="29184"/>
  <c r="AI1506" i="29184"/>
  <c r="AI1491" i="29184"/>
  <c r="AI1486" i="29184"/>
  <c r="AI1471" i="29184"/>
  <c r="AI1468" i="29184"/>
  <c r="AI1451" i="29184"/>
  <c r="AI1448" i="29184"/>
  <c r="AI1431" i="29184"/>
  <c r="AI1427" i="29184"/>
  <c r="AI1424" i="29184"/>
  <c r="AI1370" i="29184"/>
  <c r="AI1353" i="29184"/>
  <c r="AI1349" i="29184"/>
  <c r="AI1346" i="29184"/>
  <c r="AI1235" i="29184"/>
  <c r="AI1226" i="29184"/>
  <c r="AI1216" i="29184"/>
  <c r="AI1207" i="29184"/>
  <c r="AI1198" i="29184"/>
  <c r="AI1195" i="29184"/>
  <c r="AI1176" i="29184"/>
  <c r="AI1172" i="29184"/>
  <c r="AI1133" i="29184"/>
  <c r="AI1078" i="29184"/>
  <c r="AI1063" i="29184"/>
  <c r="AI1057" i="29184"/>
  <c r="AI966" i="29184"/>
  <c r="AI924" i="29184"/>
  <c r="AI918" i="29184"/>
  <c r="AI879" i="29184"/>
  <c r="AI860" i="29184"/>
  <c r="AI851" i="29184"/>
  <c r="AI845" i="29184"/>
  <c r="AI830" i="29184"/>
  <c r="AI826" i="29184"/>
  <c r="AI770" i="29184"/>
  <c r="AI765" i="29184"/>
  <c r="AI761" i="29184"/>
  <c r="AI739" i="29184"/>
  <c r="AI719" i="29184"/>
  <c r="AI711" i="29184"/>
  <c r="AI708" i="29184"/>
  <c r="AI685" i="29184"/>
  <c r="AI1984" i="29184"/>
  <c r="AI1979" i="29184"/>
  <c r="AI1976" i="29184"/>
  <c r="AI1964" i="29184"/>
  <c r="AI1961" i="29184"/>
  <c r="AI1936" i="29184"/>
  <c r="AI1931" i="29184"/>
  <c r="AI1906" i="29184"/>
  <c r="AI1903" i="29184"/>
  <c r="AI1900" i="29184"/>
  <c r="AI1888" i="29184"/>
  <c r="AI1883" i="29184"/>
  <c r="AI1858" i="29184"/>
  <c r="AI1855" i="29184"/>
  <c r="AI1830" i="29184"/>
  <c r="AI1827" i="29184"/>
  <c r="AI1822" i="29184"/>
  <c r="AI1810" i="29184"/>
  <c r="AI1807" i="29184"/>
  <c r="AI1770" i="29184"/>
  <c r="AI1724" i="29184"/>
  <c r="AI1721" i="29184"/>
  <c r="AI1716" i="29184"/>
  <c r="AI1668" i="29184"/>
  <c r="AI1663" i="29184"/>
  <c r="AI1652" i="29184"/>
  <c r="AI1649" i="29184"/>
  <c r="AI1641" i="29184"/>
  <c r="AI1604" i="29184"/>
  <c r="AI1601" i="29184"/>
  <c r="AI1584" i="29184"/>
  <c r="AI1580" i="29184"/>
  <c r="AI1574" i="29184"/>
  <c r="AI1570" i="29184"/>
  <c r="AI1564" i="29184"/>
  <c r="AI1560" i="29184"/>
  <c r="AI1556" i="29184"/>
  <c r="AI1552" i="29184"/>
  <c r="AI1548" i="29184"/>
  <c r="AI1542" i="29184"/>
  <c r="AI1541" i="29184"/>
  <c r="AI1537" i="29184"/>
  <c r="AI1536" i="29184"/>
  <c r="AI1495" i="29184"/>
  <c r="AI1492" i="29184"/>
  <c r="AI1475" i="29184"/>
  <c r="AI1472" i="29184"/>
  <c r="AI1457" i="29184"/>
  <c r="AI1452" i="29184"/>
  <c r="AI1437" i="29184"/>
  <c r="AI1434" i="29184"/>
  <c r="AI1428" i="29184"/>
  <c r="AI1413" i="29184"/>
  <c r="AI1407" i="29184"/>
  <c r="AI1404" i="29184"/>
  <c r="AI1350" i="29184"/>
  <c r="AI1335" i="29184"/>
  <c r="AI1223" i="29184"/>
  <c r="AI1217" i="29184"/>
  <c r="AI1192" i="29184"/>
  <c r="AI1183" i="29184"/>
  <c r="AI1177" i="29184"/>
  <c r="AI1164" i="29184"/>
  <c r="AI1158" i="29184"/>
  <c r="AI1146" i="29184"/>
  <c r="AI1142" i="29184"/>
  <c r="AI1139" i="29184"/>
  <c r="AI1058" i="29184"/>
  <c r="AI1043" i="29184"/>
  <c r="AI1037" i="29184"/>
  <c r="AI1034" i="29184"/>
  <c r="AI1025" i="29184"/>
  <c r="AI1022" i="29184"/>
  <c r="AI915" i="29184"/>
  <c r="AI909" i="29184"/>
  <c r="AI893" i="29184"/>
  <c r="AI889" i="29184"/>
  <c r="AI874" i="29184"/>
  <c r="AI870" i="29184"/>
  <c r="AI837" i="29184"/>
  <c r="AI816" i="29184"/>
  <c r="AI810" i="29184"/>
  <c r="AI809" i="29184"/>
  <c r="AI682" i="29184"/>
  <c r="AI1423" i="29184"/>
  <c r="AI1418" i="29184"/>
  <c r="AI1403" i="29184"/>
  <c r="AI1398" i="29184"/>
  <c r="AI1383" i="29184"/>
  <c r="AI1380" i="29184"/>
  <c r="AI1363" i="29184"/>
  <c r="AI1360" i="29184"/>
  <c r="AI1343" i="29184"/>
  <c r="AI1340" i="29184"/>
  <c r="AI1332" i="29184"/>
  <c r="AI1326" i="29184"/>
  <c r="AI1296" i="29184"/>
  <c r="AI1292" i="29184"/>
  <c r="AI1286" i="29184"/>
  <c r="AI1282" i="29184"/>
  <c r="AI1276" i="29184"/>
  <c r="AI1272" i="29184"/>
  <c r="AI1266" i="29184"/>
  <c r="AI1262" i="29184"/>
  <c r="AI1256" i="29184"/>
  <c r="AI1252" i="29184"/>
  <c r="AI1246" i="29184"/>
  <c r="AI1242" i="29184"/>
  <c r="AI1219" i="29184"/>
  <c r="AI1206" i="29184"/>
  <c r="AI1203" i="29184"/>
  <c r="AI1194" i="29184"/>
  <c r="AI1188" i="29184"/>
  <c r="AI1185" i="29184"/>
  <c r="AI1179" i="29184"/>
  <c r="AI1162" i="29184"/>
  <c r="AI1153" i="29184"/>
  <c r="AI1138" i="29184"/>
  <c r="AI1135" i="29184"/>
  <c r="AI1132" i="29184"/>
  <c r="AI1093" i="29184"/>
  <c r="AI1088" i="29184"/>
  <c r="AI1073" i="29184"/>
  <c r="AI1068" i="29184"/>
  <c r="AI1053" i="29184"/>
  <c r="AI1048" i="29184"/>
  <c r="AI1033" i="29184"/>
  <c r="AI1028" i="29184"/>
  <c r="AI1027" i="29184"/>
  <c r="AI1007" i="29184"/>
  <c r="AI1004" i="29184"/>
  <c r="AI992" i="29184"/>
  <c r="AI986" i="29184"/>
  <c r="AI961" i="29184"/>
  <c r="AI920" i="29184"/>
  <c r="AI911" i="29184"/>
  <c r="AI907" i="29184"/>
  <c r="AI899" i="29184"/>
  <c r="AI891" i="29184"/>
  <c r="AI887" i="29184"/>
  <c r="AI872" i="29184"/>
  <c r="AI866" i="29184"/>
  <c r="AI863" i="29184"/>
  <c r="AI844" i="29184"/>
  <c r="AI839" i="29184"/>
  <c r="AI835" i="29184"/>
  <c r="AI780" i="29184"/>
  <c r="AI775" i="29184"/>
  <c r="AI746" i="29184"/>
  <c r="AI743" i="29184"/>
  <c r="AI726" i="29184"/>
  <c r="AI721" i="29184"/>
  <c r="AI715" i="29184"/>
  <c r="AI706" i="29184"/>
  <c r="AI701" i="29184"/>
  <c r="AI675" i="29184"/>
  <c r="AI649" i="29184"/>
  <c r="AI645" i="29184"/>
  <c r="AI625" i="29184"/>
  <c r="AI617" i="29184"/>
  <c r="AI609" i="29184"/>
  <c r="AI584" i="29184"/>
  <c r="AI580" i="29184"/>
  <c r="AI575" i="29184"/>
  <c r="AI569" i="29184"/>
  <c r="AI566" i="29184"/>
  <c r="AI559" i="29184"/>
  <c r="AI528" i="29184"/>
  <c r="AI524" i="29184"/>
  <c r="AI515" i="29184"/>
  <c r="AI480" i="29184"/>
  <c r="AI477" i="29184"/>
  <c r="AI471" i="29184"/>
  <c r="AI447" i="29184"/>
  <c r="AI446" i="29184"/>
  <c r="AI396" i="29184"/>
  <c r="AI393" i="29184"/>
  <c r="AI388" i="29184"/>
  <c r="AI374" i="29184"/>
  <c r="AI371" i="29184"/>
  <c r="AI295" i="29184"/>
  <c r="AI289" i="29184"/>
  <c r="AI283" i="29184"/>
  <c r="AI241" i="29184"/>
  <c r="AI236" i="29184"/>
  <c r="AI216" i="29184"/>
  <c r="AI154" i="29184"/>
  <c r="AI150" i="29184"/>
  <c r="AI146" i="29184"/>
  <c r="AI142" i="29184"/>
  <c r="AI128" i="29184"/>
  <c r="AI124" i="29184"/>
  <c r="AI120" i="29184"/>
  <c r="AI100" i="29184"/>
  <c r="AI99" i="29184"/>
  <c r="AI63" i="29184"/>
  <c r="AK150" i="8192"/>
  <c r="AK129" i="8192"/>
  <c r="AK114" i="8192"/>
  <c r="AK19" i="8192"/>
  <c r="AK12" i="8192"/>
  <c r="AK699" i="30041"/>
  <c r="AK692" i="30041"/>
  <c r="AK685" i="30041"/>
  <c r="AK672" i="30041"/>
  <c r="AK656" i="30041"/>
  <c r="AK636" i="30041"/>
  <c r="AK614" i="30041"/>
  <c r="AK609" i="30041"/>
  <c r="AK599" i="30041"/>
  <c r="AK587" i="30041"/>
  <c r="AK585" i="30041"/>
  <c r="AK559" i="30041"/>
  <c r="AK543" i="30041"/>
  <c r="AK529" i="30041"/>
  <c r="AK518" i="30041"/>
  <c r="AK460" i="30041"/>
  <c r="AK418" i="30041"/>
  <c r="AK411" i="30041"/>
  <c r="AK399" i="30041"/>
  <c r="AK397" i="30041"/>
  <c r="AK376" i="30041"/>
  <c r="AK349" i="30041"/>
  <c r="AK328" i="30041"/>
  <c r="AK300" i="30041"/>
  <c r="AK287" i="30041"/>
  <c r="AK285" i="30041"/>
  <c r="AK244" i="30041"/>
  <c r="AK212" i="30041"/>
  <c r="AK210" i="30041"/>
  <c r="AK164" i="30041"/>
  <c r="AK157" i="30041"/>
  <c r="AK155" i="30041"/>
  <c r="AK150" i="30041"/>
  <c r="AK21" i="30041"/>
  <c r="AI60" i="29184"/>
  <c r="AK147" i="8192"/>
  <c r="AK74" i="8192"/>
  <c r="AK58" i="8192"/>
  <c r="AK30" i="8192"/>
  <c r="AK15" i="8192"/>
  <c r="AK649" i="30041"/>
  <c r="AK628" i="30041"/>
  <c r="AK623" i="30041"/>
  <c r="AK594" i="30041"/>
  <c r="AK552" i="30041"/>
  <c r="AK488" i="30041"/>
  <c r="AK462" i="30041"/>
  <c r="AK455" i="30041"/>
  <c r="AK441" i="30041"/>
  <c r="AK420" i="30041"/>
  <c r="AK403" i="30041"/>
  <c r="AK330" i="30041"/>
  <c r="AK313" i="30041"/>
  <c r="AK302" i="30041"/>
  <c r="AK295" i="30041"/>
  <c r="AK293" i="30041"/>
  <c r="AK184" i="30041"/>
  <c r="AK161" i="30041"/>
  <c r="AK147" i="30041"/>
  <c r="AK132" i="30041"/>
  <c r="AK129" i="30041"/>
  <c r="AK111" i="30041"/>
  <c r="AK95" i="30041"/>
  <c r="AK80" i="30041"/>
  <c r="AK65" i="30041"/>
  <c r="AK59" i="30041"/>
  <c r="AK57" i="30041"/>
  <c r="AK50" i="30041"/>
  <c r="AK14" i="30041"/>
  <c r="AI679" i="29184"/>
  <c r="AI632" i="29184"/>
  <c r="AI629" i="29184"/>
  <c r="AI601" i="29184"/>
  <c r="AI597" i="29184"/>
  <c r="AI592" i="29184"/>
  <c r="AI588" i="29184"/>
  <c r="AI582" i="29184"/>
  <c r="AI573" i="29184"/>
  <c r="AI553" i="29184"/>
  <c r="AI520" i="29184"/>
  <c r="AI517" i="29184"/>
  <c r="AI511" i="29184"/>
  <c r="AI496" i="29184"/>
  <c r="AI475" i="29184"/>
  <c r="AI454" i="29184"/>
  <c r="AI448" i="29184"/>
  <c r="AI403" i="29184"/>
  <c r="AI400" i="29184"/>
  <c r="AI386" i="29184"/>
  <c r="AI381" i="29184"/>
  <c r="AI378" i="29184"/>
  <c r="AI365" i="29184"/>
  <c r="AI293" i="29184"/>
  <c r="AI287" i="29184"/>
  <c r="AI272" i="29184"/>
  <c r="AI253" i="29184"/>
  <c r="AI248" i="29184"/>
  <c r="AI229" i="29184"/>
  <c r="AI223" i="29184"/>
  <c r="AI218" i="29184"/>
  <c r="AI152" i="29184"/>
  <c r="AI148" i="29184"/>
  <c r="AI145" i="29184"/>
  <c r="AI126" i="29184"/>
  <c r="AI122" i="29184"/>
  <c r="AI119" i="29184"/>
  <c r="AI56" i="29184"/>
  <c r="AK156" i="8192"/>
  <c r="AK139" i="8192"/>
  <c r="AK105" i="8192"/>
  <c r="AK97" i="8192"/>
  <c r="AK70" i="8192"/>
  <c r="AK65" i="8192"/>
  <c r="AK45" i="8192"/>
  <c r="AK33" i="8192"/>
  <c r="AK684" i="30041"/>
  <c r="AK586" i="30041"/>
  <c r="AK572" i="30041"/>
  <c r="AK558" i="30041"/>
  <c r="AK530" i="30041"/>
  <c r="AK490" i="30041"/>
  <c r="AK483" i="30041"/>
  <c r="AK468" i="30041"/>
  <c r="AK459" i="30041"/>
  <c r="AK452" i="30041"/>
  <c r="AK445" i="30041"/>
  <c r="AK431" i="30041"/>
  <c r="AK424" i="30041"/>
  <c r="AK398" i="30041"/>
  <c r="AK377" i="30041"/>
  <c r="AK357" i="30041"/>
  <c r="AK350" i="30041"/>
  <c r="AK348" i="30041"/>
  <c r="AK299" i="30041"/>
  <c r="AK271" i="30041"/>
  <c r="AK260" i="30041"/>
  <c r="AK176" i="30041"/>
  <c r="AK156" i="30041"/>
  <c r="AK149" i="30041"/>
  <c r="AK44" i="30041"/>
  <c r="D97" i="24620"/>
  <c r="D102" i="24620"/>
  <c r="D104" i="24620"/>
  <c r="D92" i="24620"/>
  <c r="B9" i="30001"/>
  <c r="B6" i="30001"/>
  <c r="B19" i="30001"/>
  <c r="B44" i="30001"/>
  <c r="B20" i="30001"/>
  <c r="B56" i="30001"/>
  <c r="B38" i="30001"/>
  <c r="B30" i="30001"/>
  <c r="B15" i="30001"/>
  <c r="B17" i="30001"/>
  <c r="B21" i="30001"/>
  <c r="B24" i="30001"/>
  <c r="B16" i="30001"/>
  <c r="B7" i="30001"/>
  <c r="B45" i="30001"/>
  <c r="B14" i="30001"/>
  <c r="B37" i="30001"/>
  <c r="B34" i="30001"/>
  <c r="B51" i="30001"/>
  <c r="B42" i="30001"/>
  <c r="B33" i="30001"/>
  <c r="B58" i="30001"/>
  <c r="B27" i="30001"/>
  <c r="B11" i="30001"/>
  <c r="B57" i="30001"/>
  <c r="B53" i="30001"/>
  <c r="B36" i="30001"/>
  <c r="B49" i="30001"/>
  <c r="B43" i="30001"/>
  <c r="B13" i="30001"/>
  <c r="B40" i="30001"/>
  <c r="B18" i="30001"/>
  <c r="B5" i="30001"/>
  <c r="D100" i="24620"/>
  <c r="D96" i="24620"/>
  <c r="D105" i="24620"/>
  <c r="D107" i="24620"/>
  <c r="B47" i="30001"/>
  <c r="B31" i="30001"/>
  <c r="B22" i="30001"/>
  <c r="B29" i="30001"/>
  <c r="B8" i="30001"/>
  <c r="B46" i="30001"/>
  <c r="B23" i="30001"/>
  <c r="M115" i="29184"/>
  <c r="N118" i="29184"/>
  <c r="AN116" i="29184"/>
  <c r="C119" i="29184"/>
  <c r="AK119" i="29184"/>
  <c r="AK118" i="29184"/>
  <c r="J117" i="29184"/>
  <c r="O115" i="29184"/>
  <c r="Q114" i="29184"/>
  <c r="J114" i="29184"/>
  <c r="AN114" i="29184"/>
  <c r="AN117" i="29184"/>
  <c r="M119" i="29184"/>
  <c r="L115" i="29184"/>
  <c r="F115" i="29184" s="1"/>
  <c r="P118" i="29184"/>
  <c r="O117" i="29184"/>
  <c r="O114" i="29184"/>
  <c r="P117" i="29184"/>
  <c r="P114" i="29184"/>
  <c r="AO116" i="29184"/>
  <c r="CA116" i="29184" s="1"/>
  <c r="O119" i="29184"/>
  <c r="AO119" i="29184"/>
  <c r="CA119" i="29184" s="1"/>
  <c r="M116" i="29184"/>
  <c r="AO117" i="29184"/>
  <c r="CA117" i="29184" s="1"/>
  <c r="AK117" i="29184"/>
  <c r="P116" i="29184"/>
  <c r="P115" i="29184"/>
  <c r="M114" i="29184"/>
  <c r="N114" i="29184"/>
  <c r="Q118" i="29184"/>
  <c r="Q117" i="29184"/>
  <c r="M117" i="29184"/>
  <c r="Q119" i="29184"/>
  <c r="L118" i="29184"/>
  <c r="AN115" i="29184"/>
  <c r="N117" i="29184"/>
  <c r="AN119" i="29184"/>
  <c r="Q116" i="29184"/>
  <c r="AK115" i="29184"/>
  <c r="C116" i="29184"/>
  <c r="C117" i="29184"/>
  <c r="L117" i="29184"/>
  <c r="F117" i="29184" s="1"/>
  <c r="M118" i="29184"/>
  <c r="C118" i="29184"/>
  <c r="P119" i="29184"/>
  <c r="O116" i="29184"/>
  <c r="O118" i="29184"/>
  <c r="N119" i="29184"/>
  <c r="N115" i="29184"/>
  <c r="Q115" i="29184"/>
  <c r="AJ107" i="8192"/>
  <c r="AH107" i="8192"/>
  <c r="AI107" i="8192"/>
  <c r="BJ82" i="8192"/>
  <c r="AE107" i="8192"/>
  <c r="BJ84" i="8192"/>
  <c r="BJ81" i="8192"/>
  <c r="BJ80" i="8192"/>
  <c r="AH95" i="8192"/>
  <c r="BF81" i="8192"/>
  <c r="BF84" i="8192"/>
  <c r="AE95" i="8192"/>
  <c r="AF95" i="8192"/>
  <c r="BF82" i="8192"/>
  <c r="AJ95" i="8192"/>
  <c r="AI95" i="8192"/>
  <c r="BE501" i="30041"/>
  <c r="BE502" i="30041"/>
  <c r="AF521" i="30041"/>
  <c r="AE521" i="30041"/>
  <c r="BE505" i="30041"/>
  <c r="AI521" i="30041"/>
  <c r="AJ521" i="30041"/>
  <c r="BE504" i="30041"/>
  <c r="AH521" i="30041"/>
  <c r="BE498" i="30041"/>
  <c r="BE500" i="30041"/>
  <c r="BN340" i="30041"/>
  <c r="BN342" i="30041"/>
  <c r="AI423" i="30041"/>
  <c r="AJ423" i="30041"/>
  <c r="BN339" i="30041"/>
  <c r="BN344" i="30041"/>
  <c r="AH423" i="30041"/>
  <c r="AG423" i="30041"/>
  <c r="BN338" i="30041"/>
  <c r="BN343" i="30041"/>
  <c r="AE423" i="30041"/>
  <c r="AH195" i="30041"/>
  <c r="AI195" i="30041"/>
  <c r="AJ195" i="30041"/>
  <c r="AL145" i="30041"/>
  <c r="P140" i="30041" s="1"/>
  <c r="AF195" i="30041"/>
  <c r="AE195" i="30041"/>
  <c r="H67" i="19124"/>
  <c r="G67" i="19124" s="1"/>
  <c r="M1305" i="29184"/>
  <c r="AK1309" i="29184"/>
  <c r="AK1307" i="29184"/>
  <c r="L1315" i="29184"/>
  <c r="Q1312" i="29184"/>
  <c r="M1320" i="29184"/>
  <c r="C1307" i="29184"/>
  <c r="N1311" i="29184"/>
  <c r="AK1313" i="29184"/>
  <c r="J1312" i="29184"/>
  <c r="C1314" i="29184"/>
  <c r="N1315" i="29184"/>
  <c r="J1318" i="29184"/>
  <c r="M1307" i="29184"/>
  <c r="L1304" i="29184"/>
  <c r="K1304" i="29184" s="1"/>
  <c r="Q1308" i="29184"/>
  <c r="M1310" i="29184"/>
  <c r="P1314" i="29184"/>
  <c r="L1308" i="29184"/>
  <c r="D1308" i="29184" s="1"/>
  <c r="N1308" i="29184"/>
  <c r="AO1311" i="29184"/>
  <c r="P1308" i="29184"/>
  <c r="C1304" i="29184"/>
  <c r="AK1310" i="29184"/>
  <c r="C1311" i="29184"/>
  <c r="C1321" i="29184"/>
  <c r="O1306" i="29184"/>
  <c r="N1318" i="29184"/>
  <c r="AN1317" i="29184"/>
  <c r="J1317" i="29184"/>
  <c r="O1311" i="29184"/>
  <c r="J1304" i="29184"/>
  <c r="Q1306" i="29184"/>
  <c r="AO1308" i="29184"/>
  <c r="M1317" i="29184"/>
  <c r="P1320" i="29184"/>
  <c r="AK1316" i="29184"/>
  <c r="AN1321" i="29184"/>
  <c r="N1314" i="29184"/>
  <c r="AN1311" i="29184"/>
  <c r="L1318" i="29184"/>
  <c r="F1318" i="29184" s="1"/>
  <c r="P1312" i="29184"/>
  <c r="O1308" i="29184"/>
  <c r="J1314" i="29184"/>
  <c r="AO1319" i="29184"/>
  <c r="AO1320" i="29184"/>
  <c r="AK1304" i="29184"/>
  <c r="L1320" i="29184"/>
  <c r="AN1318" i="29184"/>
  <c r="M1315" i="29184"/>
  <c r="AK1315" i="29184"/>
  <c r="J1320" i="29184"/>
  <c r="L1311" i="29184"/>
  <c r="D1311" i="29184" s="1"/>
  <c r="C1319" i="29184"/>
  <c r="C1317" i="29184"/>
  <c r="M1312" i="29184"/>
  <c r="C1312" i="29184"/>
  <c r="Q1317" i="29184"/>
  <c r="N1310" i="29184"/>
  <c r="AO1321" i="29184"/>
  <c r="AN1314" i="29184"/>
  <c r="Q1318" i="29184"/>
  <c r="AK1306" i="29184"/>
  <c r="L1310" i="29184"/>
  <c r="J1309" i="29184"/>
  <c r="L1319" i="29184"/>
  <c r="Q1307" i="29184"/>
  <c r="AO1310" i="29184"/>
  <c r="J1305" i="29184"/>
  <c r="J1308" i="29184"/>
  <c r="Q1310" i="29184"/>
  <c r="O1315" i="29184"/>
  <c r="O1304" i="29184"/>
  <c r="C1316" i="29184"/>
  <c r="P1313" i="29184"/>
  <c r="P1305" i="29184"/>
  <c r="AN1315" i="29184"/>
  <c r="P1306" i="29184"/>
  <c r="O1309" i="29184"/>
  <c r="Q1313" i="29184"/>
  <c r="M1309" i="29184"/>
  <c r="L1312" i="29184"/>
  <c r="K1312" i="29184" s="1"/>
  <c r="AN1306" i="29184"/>
  <c r="AO1306" i="29184"/>
  <c r="O1319" i="29184"/>
  <c r="O1316" i="29184"/>
  <c r="P1310" i="29184"/>
  <c r="AO1314" i="29184"/>
  <c r="M1318" i="29184"/>
  <c r="N1313" i="29184"/>
  <c r="N1309" i="29184"/>
  <c r="J1311" i="29184"/>
  <c r="AK1311" i="29184"/>
  <c r="M1306" i="29184"/>
  <c r="M1304" i="29184"/>
  <c r="L1306" i="29184"/>
  <c r="F1306" i="29184" s="1"/>
  <c r="Q1319" i="29184"/>
  <c r="L1314" i="29184"/>
  <c r="M1321" i="29184"/>
  <c r="C1310" i="29184"/>
  <c r="AO1307" i="29184"/>
  <c r="Q1315" i="29184"/>
  <c r="C1306" i="29184"/>
  <c r="AO1318" i="29184"/>
  <c r="O1317" i="29184"/>
  <c r="M1316" i="29184"/>
  <c r="N1317" i="29184"/>
  <c r="Q1304" i="29184"/>
  <c r="P1315" i="29184"/>
  <c r="J1316" i="29184"/>
  <c r="M1308" i="29184"/>
  <c r="L1307" i="29184"/>
  <c r="F1307" i="29184" s="1"/>
  <c r="P1316" i="29184"/>
  <c r="P1318" i="29184"/>
  <c r="AO1305" i="29184"/>
  <c r="AO1315" i="29184"/>
  <c r="N1304" i="29184"/>
  <c r="AK1308" i="29184"/>
  <c r="C1318" i="29184"/>
  <c r="N1321" i="29184"/>
  <c r="N1306" i="29184"/>
  <c r="L1321" i="29184"/>
  <c r="AN1310" i="29184"/>
  <c r="J1319" i="29184"/>
  <c r="N1305" i="29184"/>
  <c r="AO1312" i="29184"/>
  <c r="O1312" i="29184"/>
  <c r="Q1316" i="29184"/>
  <c r="C1308" i="29184"/>
  <c r="O1320" i="29184"/>
  <c r="AN1304" i="29184"/>
  <c r="L1317" i="29184"/>
  <c r="AK1314" i="29184"/>
  <c r="AK1312" i="29184"/>
  <c r="P1311" i="29184"/>
  <c r="AK1318" i="29184"/>
  <c r="L1305" i="29184"/>
  <c r="M1314" i="29184"/>
  <c r="O1313" i="29184"/>
  <c r="N1320" i="29184"/>
  <c r="AO1309" i="29184"/>
  <c r="Q1320" i="29184"/>
  <c r="C1313" i="29184"/>
  <c r="M1319" i="29184"/>
  <c r="C1305" i="29184"/>
  <c r="N1312" i="29184"/>
  <c r="AN1305" i="29184"/>
  <c r="J1313" i="29184"/>
  <c r="J1306" i="29184"/>
  <c r="AN118" i="29184"/>
  <c r="AO114" i="29184"/>
  <c r="CA114" i="29184" s="1"/>
  <c r="BF83" i="8192"/>
  <c r="BF80" i="8192"/>
  <c r="AF423" i="30041"/>
  <c r="BE499" i="30041"/>
  <c r="N116" i="29184"/>
  <c r="L119" i="29184"/>
  <c r="AO118" i="29184"/>
  <c r="CA118" i="29184" s="1"/>
  <c r="C114" i="29184"/>
  <c r="AG195" i="30041"/>
  <c r="BN341" i="30041"/>
  <c r="J115" i="29184"/>
  <c r="L114" i="29184"/>
  <c r="AL85" i="8192"/>
  <c r="C81" i="8192" s="1"/>
  <c r="AL345" i="30041"/>
  <c r="C115" i="29184"/>
  <c r="AG107" i="8192"/>
  <c r="AG521" i="30041"/>
  <c r="BJ83" i="8192"/>
  <c r="J116" i="29184"/>
  <c r="L116" i="29184"/>
  <c r="AI1973" i="29184"/>
  <c r="AI1955" i="29184"/>
  <c r="AI1935" i="29184"/>
  <c r="AI1917" i="29184"/>
  <c r="AI1895" i="29184"/>
  <c r="AI1879" i="29184"/>
  <c r="AI1857" i="29184"/>
  <c r="AI1841" i="29184"/>
  <c r="AI1819" i="29184"/>
  <c r="AI1803" i="29184"/>
  <c r="AI1769" i="29184"/>
  <c r="AI1767" i="29184"/>
  <c r="AI1713" i="29184"/>
  <c r="AI1693" i="29184"/>
  <c r="AI1671" i="29184"/>
  <c r="AI1655" i="29184"/>
  <c r="AI1619" i="29184"/>
  <c r="AI1613" i="29184"/>
  <c r="AI1985" i="29184"/>
  <c r="AI1963" i="29184"/>
  <c r="AI1947" i="29184"/>
  <c r="AI1925" i="29184"/>
  <c r="AI1907" i="29184"/>
  <c r="AI1887" i="29184"/>
  <c r="AI1869" i="29184"/>
  <c r="AI1847" i="29184"/>
  <c r="AI1831" i="29184"/>
  <c r="AI1809" i="29184"/>
  <c r="AI1725" i="29184"/>
  <c r="AI1701" i="29184"/>
  <c r="AI1683" i="29184"/>
  <c r="AI1661" i="29184"/>
  <c r="AI1645" i="29184"/>
  <c r="AI1991" i="29184"/>
  <c r="AI1975" i="29184"/>
  <c r="AI1953" i="29184"/>
  <c r="AI1937" i="29184"/>
  <c r="AI1915" i="29184"/>
  <c r="AI1899" i="29184"/>
  <c r="AI1877" i="29184"/>
  <c r="AI1859" i="29184"/>
  <c r="AI1839" i="29184"/>
  <c r="AI1821" i="29184"/>
  <c r="AI1799" i="29184"/>
  <c r="AI1735" i="29184"/>
  <c r="AI1715" i="29184"/>
  <c r="AI1691" i="29184"/>
  <c r="AI1673" i="29184"/>
  <c r="AI1651" i="29184"/>
  <c r="AI1635" i="29184"/>
  <c r="AI1987" i="29184"/>
  <c r="AI1977" i="29184"/>
  <c r="AI1967" i="29184"/>
  <c r="AI1959" i="29184"/>
  <c r="AI1949" i="29184"/>
  <c r="AI1939" i="29184"/>
  <c r="AI1929" i="29184"/>
  <c r="AI1919" i="29184"/>
  <c r="AI1911" i="29184"/>
  <c r="AI1901" i="29184"/>
  <c r="AI1891" i="29184"/>
  <c r="AI1881" i="29184"/>
  <c r="AI1871" i="29184"/>
  <c r="AI1863" i="29184"/>
  <c r="AI1853" i="29184"/>
  <c r="AI1843" i="29184"/>
  <c r="AI1833" i="29184"/>
  <c r="AI1823" i="29184"/>
  <c r="AI1815" i="29184"/>
  <c r="AI1805" i="29184"/>
  <c r="AI1795" i="29184"/>
  <c r="AI1775" i="29184"/>
  <c r="AI1727" i="29184"/>
  <c r="AI1717" i="29184"/>
  <c r="AI1705" i="29184"/>
  <c r="AI1695" i="29184"/>
  <c r="AI1685" i="29184"/>
  <c r="AI1677" i="29184"/>
  <c r="AI1667" i="29184"/>
  <c r="AI1657" i="29184"/>
  <c r="AI1647" i="29184"/>
  <c r="AI1637" i="29184"/>
  <c r="AI1627" i="29184"/>
  <c r="AI1615" i="29184"/>
  <c r="AI1603" i="29184"/>
  <c r="AI1593" i="29184"/>
  <c r="AI1504" i="29184"/>
  <c r="AI1494" i="29184"/>
  <c r="AI1484" i="29184"/>
  <c r="AI1474" i="29184"/>
  <c r="AI1464" i="29184"/>
  <c r="AI1456" i="29184"/>
  <c r="AI1446" i="29184"/>
  <c r="AI1436" i="29184"/>
  <c r="AI1426" i="29184"/>
  <c r="AI1416" i="29184"/>
  <c r="AI1406" i="29184"/>
  <c r="AI1396" i="29184"/>
  <c r="AI1386" i="29184"/>
  <c r="AI1376" i="29184"/>
  <c r="AI1368" i="29184"/>
  <c r="AI1358" i="29184"/>
  <c r="AI1348" i="29184"/>
  <c r="AI1338" i="29184"/>
  <c r="AI1239" i="29184"/>
  <c r="AI1233" i="29184"/>
  <c r="AI1228" i="29184"/>
  <c r="AI1225" i="29184"/>
  <c r="AI1222" i="29184"/>
  <c r="AI1213" i="29184"/>
  <c r="AI1208" i="29184"/>
  <c r="AI1205" i="29184"/>
  <c r="AI1197" i="29184"/>
  <c r="AI1189" i="29184"/>
  <c r="AI1182" i="29184"/>
  <c r="AI1173" i="29184"/>
  <c r="AI1167" i="29184"/>
  <c r="AI1159" i="29184"/>
  <c r="AI1152" i="29184"/>
  <c r="AI1148" i="29184"/>
  <c r="AI1145" i="29184"/>
  <c r="AI1102" i="29184"/>
  <c r="AI1092" i="29184"/>
  <c r="AI1082" i="29184"/>
  <c r="AI1072" i="29184"/>
  <c r="AI1062" i="29184"/>
  <c r="AI1054" i="29184"/>
  <c r="AI1052" i="29184"/>
  <c r="AI1042" i="29184"/>
  <c r="AI1032" i="29184"/>
  <c r="AI1024" i="29184"/>
  <c r="AI1016" i="29184"/>
  <c r="AI1006" i="29184"/>
  <c r="AI996" i="29184"/>
  <c r="AI984" i="29184"/>
  <c r="AI978" i="29184"/>
  <c r="AI975" i="29184"/>
  <c r="AI971" i="29184"/>
  <c r="AI968" i="29184"/>
  <c r="AI923" i="29184"/>
  <c r="AI917" i="29184"/>
  <c r="AI914" i="29184"/>
  <c r="AI908" i="29184"/>
  <c r="AI905" i="29184"/>
  <c r="AI900" i="29184"/>
  <c r="AI897" i="29184"/>
  <c r="AI892" i="29184"/>
  <c r="AI888" i="29184"/>
  <c r="AI883" i="29184"/>
  <c r="AI880" i="29184"/>
  <c r="AI871" i="29184"/>
  <c r="AI865" i="29184"/>
  <c r="AI857" i="29184"/>
  <c r="AI848" i="29184"/>
  <c r="AI836" i="29184"/>
  <c r="AI833" i="29184"/>
  <c r="AI827" i="29184"/>
  <c r="AI819" i="29184"/>
  <c r="AI812" i="29184"/>
  <c r="AI806" i="29184"/>
  <c r="AI764" i="29184"/>
  <c r="AI753" i="29184"/>
  <c r="AI729" i="29184"/>
  <c r="AI703" i="29184"/>
  <c r="AI697" i="29184"/>
  <c r="AI673" i="29184"/>
  <c r="AI647" i="29184"/>
  <c r="AI644" i="29184"/>
  <c r="AI639" i="29184"/>
  <c r="AI583" i="29184"/>
  <c r="AI574" i="29184"/>
  <c r="AI565" i="29184"/>
  <c r="AI558" i="29184"/>
  <c r="AI516" i="29184"/>
  <c r="AI507" i="29184"/>
  <c r="AI502" i="29184"/>
  <c r="AI491" i="29184"/>
  <c r="AI486" i="29184"/>
  <c r="AI472" i="29184"/>
  <c r="AI1633" i="29184"/>
  <c r="AI1623" i="29184"/>
  <c r="AI1607" i="29184"/>
  <c r="AI1597" i="29184"/>
  <c r="AI1508" i="29184"/>
  <c r="AI1500" i="29184"/>
  <c r="AI1490" i="29184"/>
  <c r="AI1480" i="29184"/>
  <c r="AI1470" i="29184"/>
  <c r="AI1460" i="29184"/>
  <c r="AI1450" i="29184"/>
  <c r="AI1440" i="29184"/>
  <c r="AI1430" i="29184"/>
  <c r="AI1420" i="29184"/>
  <c r="AI1412" i="29184"/>
  <c r="AI1402" i="29184"/>
  <c r="AI1392" i="29184"/>
  <c r="AI1382" i="29184"/>
  <c r="AI1372" i="29184"/>
  <c r="AI1362" i="29184"/>
  <c r="AI1352" i="29184"/>
  <c r="AI1342" i="29184"/>
  <c r="AI1329" i="29184"/>
  <c r="AI1237" i="29184"/>
  <c r="AI1218" i="29184"/>
  <c r="AI1215" i="29184"/>
  <c r="AI1199" i="29184"/>
  <c r="AI1193" i="29184"/>
  <c r="AI1187" i="29184"/>
  <c r="AI1184" i="29184"/>
  <c r="AI1178" i="29184"/>
  <c r="AI1175" i="29184"/>
  <c r="AI1169" i="29184"/>
  <c r="AI1163" i="29184"/>
  <c r="AI1157" i="29184"/>
  <c r="AI1154" i="29184"/>
  <c r="AI1143" i="29184"/>
  <c r="AI1137" i="29184"/>
  <c r="AI1108" i="29184"/>
  <c r="AI1106" i="29184"/>
  <c r="AI1096" i="29184"/>
  <c r="AI1086" i="29184"/>
  <c r="AI1076" i="29184"/>
  <c r="AI1066" i="29184"/>
  <c r="AI1056" i="29184"/>
  <c r="AI1046" i="29184"/>
  <c r="AI1036" i="29184"/>
  <c r="AI1012" i="29184"/>
  <c r="AI1002" i="29184"/>
  <c r="AI994" i="29184"/>
  <c r="AI991" i="29184"/>
  <c r="AI982" i="29184"/>
  <c r="AI973" i="29184"/>
  <c r="AI962" i="29184"/>
  <c r="AI938" i="29184"/>
  <c r="AI935" i="29184"/>
  <c r="AI932" i="29184"/>
  <c r="AI927" i="29184"/>
  <c r="AI919" i="29184"/>
  <c r="AI910" i="29184"/>
  <c r="AI890" i="29184"/>
  <c r="AI878" i="29184"/>
  <c r="AI873" i="29184"/>
  <c r="AI869" i="29184"/>
  <c r="AI861" i="29184"/>
  <c r="AI855" i="29184"/>
  <c r="AI852" i="29184"/>
  <c r="AI846" i="29184"/>
  <c r="AI843" i="29184"/>
  <c r="AI838" i="29184"/>
  <c r="AI829" i="29184"/>
  <c r="AI825" i="29184"/>
  <c r="AI815" i="29184"/>
  <c r="AI784" i="29184"/>
  <c r="AI751" i="29184"/>
  <c r="AI733" i="29184"/>
  <c r="AI637" i="29184"/>
  <c r="AI608" i="29184"/>
  <c r="AI605" i="29184"/>
  <c r="AI599" i="29184"/>
  <c r="AI591" i="29184"/>
  <c r="AI585" i="29184"/>
  <c r="AI526" i="29184"/>
  <c r="AI523" i="29184"/>
  <c r="AI467" i="29184"/>
  <c r="AI461" i="29184"/>
  <c r="AI452" i="29184"/>
  <c r="AI422" i="29184"/>
  <c r="AI782" i="29184"/>
  <c r="AI763" i="29184"/>
  <c r="AI755" i="29184"/>
  <c r="AI745" i="29184"/>
  <c r="AI735" i="29184"/>
  <c r="AI725" i="29184"/>
  <c r="AI717" i="29184"/>
  <c r="AI699" i="29184"/>
  <c r="AI693" i="29184"/>
  <c r="AI680" i="29184"/>
  <c r="AI671" i="29184"/>
  <c r="AI646" i="29184"/>
  <c r="AI613" i="29184"/>
  <c r="AI607" i="29184"/>
  <c r="AI604" i="29184"/>
  <c r="AI598" i="29184"/>
  <c r="AI593" i="29184"/>
  <c r="AI590" i="29184"/>
  <c r="AI581" i="29184"/>
  <c r="AI576" i="29184"/>
  <c r="AI564" i="29184"/>
  <c r="AI548" i="29184"/>
  <c r="AI512" i="29184"/>
  <c r="AI509" i="29184"/>
  <c r="AI500" i="29184"/>
  <c r="AI493" i="29184"/>
  <c r="AI484" i="29184"/>
  <c r="AI479" i="29184"/>
  <c r="AI476" i="29184"/>
  <c r="AI463" i="29184"/>
  <c r="AI459" i="29184"/>
  <c r="AI451" i="29184"/>
  <c r="AI424" i="29184"/>
  <c r="AI420" i="29184"/>
  <c r="AI329" i="29184"/>
  <c r="AI323" i="29184"/>
  <c r="AI317" i="29184"/>
  <c r="AI308" i="29184"/>
  <c r="AI297" i="29184"/>
  <c r="AI252" i="29184"/>
  <c r="AI240" i="29184"/>
  <c r="AI228" i="29184"/>
  <c r="AI222" i="29184"/>
  <c r="AI217" i="29184"/>
  <c r="AI210" i="29184"/>
  <c r="AI162" i="29184"/>
  <c r="AI139" i="29184"/>
  <c r="AI138" i="29184"/>
  <c r="AI137" i="29184"/>
  <c r="AI135" i="29184"/>
  <c r="AI134" i="29184"/>
  <c r="AI106" i="29184"/>
  <c r="AI103" i="29184"/>
  <c r="AI94" i="29184"/>
  <c r="AI79" i="29184"/>
  <c r="AI75" i="29184"/>
  <c r="AI71" i="29184"/>
  <c r="AI59" i="29184"/>
  <c r="AI47" i="29184"/>
  <c r="AI38" i="29184"/>
  <c r="AI19" i="29184"/>
  <c r="AK165" i="8192"/>
  <c r="AK144" i="8192"/>
  <c r="AK106" i="8192"/>
  <c r="AK87" i="8192"/>
  <c r="AK71" i="8192"/>
  <c r="AK693" i="30041"/>
  <c r="AK657" i="30041"/>
  <c r="AK615" i="30041"/>
  <c r="AK565" i="30041"/>
  <c r="AK553" i="30041"/>
  <c r="AK550" i="30041"/>
  <c r="AK538" i="30041"/>
  <c r="AK515" i="30041"/>
  <c r="AK448" i="30041"/>
  <c r="AK438" i="30041"/>
  <c r="AK371" i="30041"/>
  <c r="AK354" i="30041"/>
  <c r="AK314" i="30041"/>
  <c r="AK288" i="30041"/>
  <c r="AK272" i="30041"/>
  <c r="AK236" i="30041"/>
  <c r="AK229" i="30041"/>
  <c r="AK204" i="30041"/>
  <c r="AK125" i="30041"/>
  <c r="AK122" i="30041"/>
  <c r="AK97" i="30041"/>
  <c r="AK72" i="30041"/>
  <c r="AK118" i="30041"/>
  <c r="AK96" i="30041"/>
  <c r="AK58" i="30041"/>
  <c r="AK49" i="30041"/>
  <c r="AI331" i="29184"/>
  <c r="AI325" i="29184"/>
  <c r="AI310" i="29184"/>
  <c r="AI304" i="29184"/>
  <c r="AI246" i="29184"/>
  <c r="AI234" i="29184"/>
  <c r="AI224" i="29184"/>
  <c r="AI212" i="29184"/>
  <c r="AI205" i="29184"/>
  <c r="AI164" i="29184"/>
  <c r="AI160" i="29184"/>
  <c r="AI108" i="29184"/>
  <c r="AI96" i="29184"/>
  <c r="AI83" i="29184"/>
  <c r="AI82" i="29184"/>
  <c r="AI77" i="29184"/>
  <c r="AI73" i="29184"/>
  <c r="AI69" i="29184"/>
  <c r="AI46" i="29184"/>
  <c r="AI42" i="29184"/>
  <c r="AI37" i="29184"/>
  <c r="AI27" i="29184"/>
  <c r="AI18" i="29184"/>
  <c r="AK154" i="8192"/>
  <c r="AK130" i="8192"/>
  <c r="AK102" i="8192"/>
  <c r="AK46" i="8192"/>
  <c r="AK39" i="8192"/>
  <c r="AK678" i="30041"/>
  <c r="AK637" i="30041"/>
  <c r="AK600" i="30041"/>
  <c r="AK592" i="30041"/>
  <c r="AK580" i="30041"/>
  <c r="AK564" i="30041"/>
  <c r="AK544" i="30041"/>
  <c r="AK539" i="30041"/>
  <c r="AK524" i="30041"/>
  <c r="AK473" i="30041"/>
  <c r="AK439" i="30041"/>
  <c r="AK427" i="30041"/>
  <c r="AK382" i="30041"/>
  <c r="AK355" i="30041"/>
  <c r="AK278" i="30041"/>
  <c r="AK237" i="30041"/>
  <c r="AK189" i="30041"/>
  <c r="AK162" i="30041"/>
  <c r="AK71" i="30041"/>
  <c r="AK63" i="30041"/>
  <c r="AK45" i="30041"/>
  <c r="AK12" i="30041"/>
  <c r="BF54" i="8192"/>
  <c r="AH66" i="8192"/>
  <c r="AE66" i="8192"/>
  <c r="AF66" i="8192"/>
  <c r="AG66" i="8192"/>
  <c r="BF55" i="8192"/>
  <c r="AI66" i="8192"/>
  <c r="BF52" i="8192"/>
  <c r="AE38" i="8192"/>
  <c r="AG38" i="8192"/>
  <c r="BF27" i="8192"/>
  <c r="AI11" i="8192"/>
  <c r="AJ11" i="8192"/>
  <c r="AF11" i="8192"/>
  <c r="BC8" i="8192"/>
  <c r="BC7" i="8192"/>
  <c r="AE11" i="8192"/>
  <c r="AK11" i="8192" s="1"/>
  <c r="AH107" i="30041"/>
  <c r="AE107" i="30041"/>
  <c r="BE90" i="30041"/>
  <c r="BE89" i="30041"/>
  <c r="AJ107" i="30041"/>
  <c r="AF107" i="30041"/>
  <c r="BG37" i="30041"/>
  <c r="BG39" i="30041"/>
  <c r="AG69" i="30041"/>
  <c r="BG38" i="30041"/>
  <c r="AF69" i="30041"/>
  <c r="AH69" i="30041"/>
  <c r="AK69" i="30041" s="1"/>
  <c r="AJ69" i="30041"/>
  <c r="BC38" i="30041"/>
  <c r="BC39" i="30041"/>
  <c r="AG41" i="30041"/>
  <c r="AE41" i="30041"/>
  <c r="AK41" i="30041" s="1"/>
  <c r="BC37" i="30041"/>
  <c r="AF18" i="30041"/>
  <c r="BD9" i="30041"/>
  <c r="AG18" i="30041"/>
  <c r="BD7" i="30041"/>
  <c r="AJ18" i="30041"/>
  <c r="AG213" i="29952"/>
  <c r="AH213" i="29952"/>
  <c r="AF213" i="29952"/>
  <c r="AH199" i="29952"/>
  <c r="AG199" i="29952"/>
  <c r="AE199" i="29952"/>
  <c r="AF187" i="29952"/>
  <c r="AG187" i="29952"/>
  <c r="AE187" i="29952"/>
  <c r="AH187" i="29952"/>
  <c r="AH173" i="29952"/>
  <c r="AG173" i="29952"/>
  <c r="AG161" i="29952"/>
  <c r="AH161" i="29952"/>
  <c r="AG149" i="29952"/>
  <c r="AE149" i="29952"/>
  <c r="AG137" i="29952"/>
  <c r="AH137" i="29952"/>
  <c r="AF75" i="29952"/>
  <c r="AG75" i="29952"/>
  <c r="AH75" i="29952"/>
  <c r="Q79" i="28416"/>
  <c r="R76" i="28416" s="1"/>
  <c r="Q78" i="28416"/>
  <c r="AG122" i="28416"/>
  <c r="AH115" i="28416" s="1"/>
  <c r="AG121" i="28416"/>
  <c r="BE52" i="8192"/>
  <c r="BE53" i="8192"/>
  <c r="AI63" i="8192"/>
  <c r="AF63" i="8192"/>
  <c r="AH63" i="8192"/>
  <c r="BE55" i="8192"/>
  <c r="AJ63" i="8192"/>
  <c r="AE63" i="8192"/>
  <c r="BE25" i="8192"/>
  <c r="AJ35" i="8192"/>
  <c r="AG35" i="8192"/>
  <c r="AF35" i="8192"/>
  <c r="BE26" i="8192"/>
  <c r="AE35" i="8192"/>
  <c r="AE128" i="30041"/>
  <c r="AG128" i="30041"/>
  <c r="BH90" i="30041"/>
  <c r="AJ128" i="30041"/>
  <c r="AH128" i="30041"/>
  <c r="AG100" i="30041"/>
  <c r="AJ100" i="30041"/>
  <c r="AE100" i="30041"/>
  <c r="BD88" i="30041"/>
  <c r="AI100" i="30041"/>
  <c r="AF100" i="30041"/>
  <c r="AE62" i="30041"/>
  <c r="BF37" i="30041"/>
  <c r="AI62" i="30041"/>
  <c r="AH62" i="30041"/>
  <c r="Q94" i="28416"/>
  <c r="Q95" i="28416"/>
  <c r="R92" i="28416" s="1"/>
  <c r="Q65" i="28416"/>
  <c r="Q66" i="28416"/>
  <c r="R63" i="28416" s="1"/>
  <c r="BM97" i="28416"/>
  <c r="BM98" i="28416"/>
  <c r="BS48" i="28416" s="1"/>
  <c r="AW22" i="28416"/>
  <c r="AW23" i="28416"/>
  <c r="AX37" i="28416" s="1"/>
  <c r="AI48" i="29184"/>
  <c r="AI45" i="29184"/>
  <c r="AI44" i="29184"/>
  <c r="AI41" i="29184"/>
  <c r="AI16" i="29184"/>
  <c r="AI9" i="29184"/>
  <c r="AI7" i="29184"/>
  <c r="Q42" i="28416"/>
  <c r="R45" i="28416" s="1"/>
  <c r="AI40" i="29184"/>
  <c r="BM120" i="28416"/>
  <c r="BU50" i="28416" s="1"/>
  <c r="BU55" i="28416" s="1"/>
  <c r="AI72" i="8192"/>
  <c r="AJ72" i="8192"/>
  <c r="AG72" i="8192"/>
  <c r="AG44" i="8192"/>
  <c r="AE44" i="8192"/>
  <c r="AJ44" i="8192"/>
  <c r="AJ17" i="8192"/>
  <c r="AF17" i="8192"/>
  <c r="BE9" i="8192"/>
  <c r="BC88" i="30041"/>
  <c r="AE93" i="30041"/>
  <c r="AF99" i="29952"/>
  <c r="AG99" i="29952"/>
  <c r="AE99" i="29952"/>
  <c r="AH99" i="29952"/>
  <c r="AF51" i="29952"/>
  <c r="AG51" i="29952"/>
  <c r="AH51" i="29952"/>
  <c r="AE51" i="29952"/>
  <c r="AH39" i="29952"/>
  <c r="AF39" i="29952"/>
  <c r="AG19" i="29952"/>
  <c r="AF19" i="29952"/>
  <c r="AH19" i="29952"/>
  <c r="AE19" i="29952"/>
  <c r="Q109" i="28416"/>
  <c r="Q110" i="28416"/>
  <c r="R107" i="28416" s="1"/>
  <c r="AG90" i="28416"/>
  <c r="AG91" i="28416"/>
  <c r="AH84" i="28416" s="1"/>
  <c r="AG61" i="28416"/>
  <c r="AG62" i="28416"/>
  <c r="Q49" i="28416"/>
  <c r="Q50" i="28416"/>
  <c r="R47" i="28416" s="1"/>
  <c r="AW53" i="28416"/>
  <c r="AW54" i="28416"/>
  <c r="AX39" i="28416" s="1"/>
  <c r="BM38" i="28416"/>
  <c r="BP44" i="28416" s="1"/>
  <c r="BM37" i="28416"/>
  <c r="BD54" i="8192"/>
  <c r="BD55" i="8192"/>
  <c r="AH60" i="8192"/>
  <c r="BG89" i="30041"/>
  <c r="AI121" i="30041"/>
  <c r="AJ121" i="30041"/>
  <c r="BE38" i="30041"/>
  <c r="AF57" i="8192"/>
  <c r="AI57" i="8192"/>
  <c r="AF41" i="8192"/>
  <c r="BG26" i="8192"/>
  <c r="AH41" i="8192"/>
  <c r="BG27" i="8192"/>
  <c r="AI41" i="8192"/>
  <c r="BC27" i="8192"/>
  <c r="AH29" i="8192"/>
  <c r="AL28" i="8192"/>
  <c r="AO25" i="8192" s="1"/>
  <c r="AF14" i="8192"/>
  <c r="AL10" i="8192"/>
  <c r="S9" i="8192" s="1"/>
  <c r="AJ14" i="8192"/>
  <c r="BF88" i="30041"/>
  <c r="AF114" i="30041"/>
  <c r="BF91" i="30041"/>
  <c r="BF90" i="30041"/>
  <c r="AF76" i="30041"/>
  <c r="BH39" i="30041"/>
  <c r="AG76" i="30041"/>
  <c r="AJ48" i="30041"/>
  <c r="BD37" i="30041"/>
  <c r="AI48" i="30041"/>
  <c r="AF48" i="30041"/>
  <c r="AL40" i="30041"/>
  <c r="N38" i="30041" s="1"/>
  <c r="AF25" i="30041"/>
  <c r="BE8" i="30041"/>
  <c r="AJ25" i="30041"/>
  <c r="BE7" i="30041"/>
  <c r="AL10" i="30041"/>
  <c r="O9" i="30041" s="1"/>
  <c r="AH25" i="30041"/>
  <c r="AE25" i="30041"/>
  <c r="AF111" i="29952"/>
  <c r="AH111" i="29952"/>
  <c r="AG111" i="29952"/>
  <c r="AE63" i="29952"/>
  <c r="AG63" i="29952"/>
  <c r="AH63" i="29952"/>
  <c r="AG45" i="28416"/>
  <c r="AG46" i="28416"/>
  <c r="AH53" i="28416" s="1"/>
  <c r="AG15" i="28416"/>
  <c r="AG14" i="28416"/>
  <c r="AI14" i="8192"/>
  <c r="BC53" i="8192"/>
  <c r="BH37" i="30041"/>
  <c r="BM60" i="28416"/>
  <c r="BQ46" i="28416" s="1"/>
  <c r="BQ50" i="28416" s="1"/>
  <c r="AI29" i="8192"/>
  <c r="BC9" i="8192"/>
  <c r="AG11" i="8192"/>
  <c r="BD8" i="30041"/>
  <c r="AH18" i="30041"/>
  <c r="AK18" i="30041" s="1"/>
  <c r="AI18" i="30041"/>
  <c r="AE173" i="29952"/>
  <c r="AF173" i="29952"/>
  <c r="AE161" i="29952"/>
  <c r="AF161" i="29952"/>
  <c r="AF149" i="29952"/>
  <c r="AH149" i="29952"/>
  <c r="U2" i="19124"/>
  <c r="T2" i="19124"/>
  <c r="AH227" i="29952"/>
  <c r="AF72" i="8192"/>
  <c r="BH54" i="8192"/>
  <c r="BH55" i="8192"/>
  <c r="AH72" i="8192"/>
  <c r="BH52" i="8192"/>
  <c r="AE72" i="8192"/>
  <c r="BH53" i="8192"/>
  <c r="AE60" i="8192"/>
  <c r="AG60" i="8192"/>
  <c r="BD53" i="8192"/>
  <c r="BD52" i="8192"/>
  <c r="AF60" i="8192"/>
  <c r="AI60" i="8192"/>
  <c r="AI44" i="8192"/>
  <c r="BH26" i="8192"/>
  <c r="AF44" i="8192"/>
  <c r="BH25" i="8192"/>
  <c r="BH27" i="8192"/>
  <c r="AH44" i="8192"/>
  <c r="AF32" i="8192"/>
  <c r="BD26" i="8192"/>
  <c r="AH32" i="8192"/>
  <c r="BD27" i="8192"/>
  <c r="AE32" i="8192"/>
  <c r="AJ32" i="8192"/>
  <c r="AG32" i="8192"/>
  <c r="AI32" i="8192"/>
  <c r="AH17" i="8192"/>
  <c r="AE17" i="8192"/>
  <c r="BE7" i="8192"/>
  <c r="AG17" i="8192"/>
  <c r="BE8" i="8192"/>
  <c r="AI17" i="8192"/>
  <c r="BG90" i="30041"/>
  <c r="BG88" i="30041"/>
  <c r="AE121" i="30041"/>
  <c r="AH121" i="30041"/>
  <c r="AF121" i="30041"/>
  <c r="BG91" i="30041"/>
  <c r="AG121" i="30041"/>
  <c r="AI93" i="30041"/>
  <c r="BC91" i="30041"/>
  <c r="AH93" i="30041"/>
  <c r="AG93" i="30041"/>
  <c r="BC90" i="30041"/>
  <c r="BC89" i="30041"/>
  <c r="AF93" i="30041"/>
  <c r="AJ93" i="30041"/>
  <c r="AF55" i="30041"/>
  <c r="BE39" i="30041"/>
  <c r="AG55" i="30041"/>
  <c r="AI55" i="30041"/>
  <c r="BE37" i="30041"/>
  <c r="AH55" i="30041"/>
  <c r="AK55" i="30041" s="1"/>
  <c r="AJ55" i="30041"/>
  <c r="AI11" i="30041"/>
  <c r="AF11" i="30041"/>
  <c r="AG11" i="30041"/>
  <c r="AH11" i="30041"/>
  <c r="BC7" i="30041"/>
  <c r="AJ11" i="30041"/>
  <c r="BC9" i="30041"/>
  <c r="AG227" i="29952"/>
  <c r="BC8" i="30041"/>
  <c r="AG75" i="28416"/>
  <c r="AH82" i="28416" s="1"/>
  <c r="AG74" i="28416"/>
  <c r="AE227" i="29952"/>
  <c r="AE11" i="30041"/>
  <c r="AH123" i="29952"/>
  <c r="AE123" i="29952"/>
  <c r="AF123" i="29952"/>
  <c r="AI20" i="29184"/>
  <c r="AI8" i="29184"/>
  <c r="Q10" i="28416"/>
  <c r="Q19" i="28416"/>
  <c r="R16" i="28416" s="1"/>
  <c r="Q18" i="28416"/>
  <c r="AI69" i="8192"/>
  <c r="BG55" i="8192"/>
  <c r="BG53" i="8192"/>
  <c r="AG69" i="8192"/>
  <c r="BG52" i="8192"/>
  <c r="AJ69" i="8192"/>
  <c r="AE69" i="8192"/>
  <c r="BG54" i="8192"/>
  <c r="AH69" i="8192"/>
  <c r="BC55" i="8192"/>
  <c r="AH57" i="8192"/>
  <c r="AJ57" i="8192"/>
  <c r="AE57" i="8192"/>
  <c r="AG57" i="8192"/>
  <c r="BC54" i="8192"/>
  <c r="BC52" i="8192"/>
  <c r="AL56" i="8192"/>
  <c r="AG41" i="8192"/>
  <c r="AJ41" i="8192"/>
  <c r="BG25" i="8192"/>
  <c r="AE41" i="8192"/>
  <c r="AF29" i="8192"/>
  <c r="AE29" i="8192"/>
  <c r="AJ29" i="8192"/>
  <c r="AG29" i="8192"/>
  <c r="BC25" i="8192"/>
  <c r="BC26" i="8192"/>
  <c r="AG14" i="8192"/>
  <c r="AE14" i="8192"/>
  <c r="BD8" i="8192"/>
  <c r="BD9" i="8192"/>
  <c r="BD7" i="8192"/>
  <c r="AH14" i="8192"/>
  <c r="AJ114" i="30041"/>
  <c r="BF89" i="30041"/>
  <c r="AE114" i="30041"/>
  <c r="AH114" i="30041"/>
  <c r="AL92" i="30041"/>
  <c r="C88" i="30041" s="1"/>
  <c r="AI114" i="30041"/>
  <c r="AJ76" i="30041"/>
  <c r="AI76" i="30041"/>
  <c r="AH76" i="30041"/>
  <c r="BH38" i="30041"/>
  <c r="AE76" i="30041"/>
  <c r="BD39" i="30041"/>
  <c r="AG48" i="30041"/>
  <c r="BD38" i="30041"/>
  <c r="AE48" i="30041"/>
  <c r="AH48" i="30041"/>
  <c r="AH87" i="29952"/>
  <c r="AG87" i="29952"/>
  <c r="AF87" i="29952"/>
  <c r="AE87" i="29952"/>
  <c r="AI38" i="8192"/>
  <c r="AF38" i="8192"/>
  <c r="AH38" i="8192"/>
  <c r="BF25" i="8192"/>
  <c r="AJ38" i="8192"/>
  <c r="AI107" i="30041"/>
  <c r="BE91" i="30041"/>
  <c r="AJ41" i="30041"/>
  <c r="AF41" i="30041"/>
  <c r="AI25" i="30041"/>
  <c r="BE9" i="30041"/>
  <c r="AG39" i="29952"/>
  <c r="AE39" i="29952"/>
  <c r="AG7" i="29952"/>
  <c r="AE7" i="29952"/>
  <c r="AF7" i="29952"/>
  <c r="AW82" i="28416"/>
  <c r="AW83" i="28416"/>
  <c r="AX97" i="28416" s="1"/>
  <c r="AI39" i="29184"/>
  <c r="AI28" i="29184"/>
  <c r="AI15" i="29184"/>
  <c r="AD50" i="440"/>
  <c r="W71" i="440"/>
  <c r="V41" i="440"/>
  <c r="A64" i="440"/>
  <c r="V64" i="440" s="1"/>
  <c r="W70" i="440"/>
  <c r="V69" i="440"/>
  <c r="A47" i="440"/>
  <c r="W47" i="440" s="1"/>
  <c r="AD25" i="440"/>
  <c r="A57" i="440"/>
  <c r="V57" i="440" s="1"/>
  <c r="A56" i="440"/>
  <c r="V56" i="440" s="1"/>
  <c r="AD21" i="440"/>
  <c r="A69" i="440"/>
  <c r="A70" i="440" s="1"/>
  <c r="A71" i="440" s="1"/>
  <c r="V68" i="440"/>
  <c r="A51" i="440"/>
  <c r="A52" i="440" s="1"/>
  <c r="V52" i="440" s="1"/>
  <c r="V71" i="440"/>
  <c r="W69" i="440"/>
  <c r="AD68" i="440"/>
  <c r="A34" i="440"/>
  <c r="A35" i="440" s="1"/>
  <c r="A36" i="440" s="1"/>
  <c r="V63" i="440"/>
  <c r="V33" i="440"/>
  <c r="A42" i="440"/>
  <c r="W42" i="440" s="1"/>
  <c r="A48" i="440"/>
  <c r="W48" i="440" s="1"/>
  <c r="V23" i="440"/>
  <c r="AD33" i="440"/>
  <c r="V39" i="440"/>
  <c r="AD59" i="440"/>
  <c r="A60" i="440"/>
  <c r="BK109" i="30002"/>
  <c r="BY104" i="30002"/>
  <c r="BX113" i="30002"/>
  <c r="G106" i="30019"/>
  <c r="AW78" i="30002"/>
  <c r="AX64" i="30002"/>
  <c r="AW73" i="30002"/>
  <c r="CM115" i="30002"/>
  <c r="CN105" i="30002"/>
  <c r="CM118" i="30002"/>
  <c r="CN107" i="30002"/>
  <c r="BJ76" i="30002"/>
  <c r="BK68" i="30002"/>
  <c r="AO64" i="30002"/>
  <c r="AO59" i="30002"/>
  <c r="AO60" i="30002" s="1"/>
  <c r="AO61" i="30002" s="1"/>
  <c r="AO62" i="30002" s="1"/>
  <c r="AO63" i="30002" s="1"/>
  <c r="AL47" i="30002"/>
  <c r="AK53" i="30002"/>
  <c r="CM127" i="30002"/>
  <c r="CN127" i="30002" s="1"/>
  <c r="CN117" i="30002"/>
  <c r="BY95" i="30002"/>
  <c r="D93" i="24620"/>
  <c r="D95" i="24620"/>
  <c r="D94" i="24620"/>
  <c r="D98" i="24620"/>
  <c r="CN100" i="30002"/>
  <c r="CM110" i="30002"/>
  <c r="N1747" i="29184"/>
  <c r="C1749" i="29184"/>
  <c r="M1753" i="29184"/>
  <c r="Q1746" i="29184"/>
  <c r="C1762" i="29184"/>
  <c r="AO1750" i="29184"/>
  <c r="L1763" i="29184"/>
  <c r="L1755" i="29184"/>
  <c r="C1759" i="29184"/>
  <c r="J1762" i="29184"/>
  <c r="M1760" i="29184"/>
  <c r="N1755" i="29184"/>
  <c r="Q1749" i="29184"/>
  <c r="J1752" i="29184"/>
  <c r="P1762" i="29184"/>
  <c r="O1757" i="29184"/>
  <c r="Q1756" i="29184"/>
  <c r="P1750" i="29184"/>
  <c r="M1762" i="29184"/>
  <c r="C1752" i="29184"/>
  <c r="J1759" i="29184"/>
  <c r="AN1752" i="29184"/>
  <c r="AO1749" i="29184"/>
  <c r="C1764" i="29184"/>
  <c r="Q1753" i="29184"/>
  <c r="O1762" i="29184"/>
  <c r="Q1751" i="29184"/>
  <c r="N1764" i="29184"/>
  <c r="M1759" i="29184"/>
  <c r="AO1763" i="29184"/>
  <c r="AN1748" i="29184"/>
  <c r="O1754" i="29184"/>
  <c r="O1747" i="29184"/>
  <c r="N1753" i="29184"/>
  <c r="C1758" i="29184"/>
  <c r="P1752" i="29184"/>
  <c r="L1747" i="29184"/>
  <c r="L1756" i="29184"/>
  <c r="M1745" i="29184"/>
  <c r="P1747" i="29184"/>
  <c r="M1755" i="29184"/>
  <c r="C1763" i="29184"/>
  <c r="C1757" i="29184"/>
  <c r="J1764" i="29184"/>
  <c r="AK1749" i="29184"/>
  <c r="L1753" i="29184"/>
  <c r="L1762" i="29184"/>
  <c r="Q1759" i="29184"/>
  <c r="N1750" i="29184"/>
  <c r="L1750" i="29184"/>
  <c r="J1760" i="29184"/>
  <c r="Q1750" i="29184"/>
  <c r="J1747" i="29184"/>
  <c r="O1761" i="29184"/>
  <c r="J1757" i="29184"/>
  <c r="AO1757" i="29184"/>
  <c r="L1754" i="29184"/>
  <c r="BY84" i="30002"/>
  <c r="BX93" i="30002"/>
  <c r="AK49" i="30002"/>
  <c r="AL43" i="30002"/>
  <c r="AI684" i="29184"/>
  <c r="AI631" i="29184"/>
  <c r="AI372" i="29184"/>
  <c r="AI406" i="29184"/>
  <c r="AI302" i="29184"/>
  <c r="AI282" i="29184"/>
  <c r="AI136" i="29184"/>
  <c r="AK18" i="8192"/>
  <c r="AK185" i="30041"/>
  <c r="AK571" i="30041"/>
  <c r="AK516" i="30041"/>
  <c r="AI31" i="29184"/>
  <c r="AI43" i="29184"/>
  <c r="B92" i="24620" a="1"/>
  <c r="AD83" i="30019" l="1"/>
  <c r="W83" i="30019"/>
  <c r="A84" i="30019"/>
  <c r="V83" i="30019"/>
  <c r="B92" i="24620"/>
  <c r="B100" i="24620"/>
  <c r="B108" i="24620"/>
  <c r="B93" i="24620"/>
  <c r="B101" i="24620"/>
  <c r="B109" i="24620"/>
  <c r="B94" i="24620"/>
  <c r="B17" i="30053" s="1"/>
  <c r="B102" i="24620"/>
  <c r="B110" i="24620"/>
  <c r="B95" i="24620"/>
  <c r="B23" i="30053" s="1"/>
  <c r="B103" i="24620"/>
  <c r="B111" i="24620"/>
  <c r="B96" i="24620"/>
  <c r="B104" i="24620"/>
  <c r="B97" i="24620"/>
  <c r="B35" i="30053" s="1"/>
  <c r="B105" i="24620"/>
  <c r="B98" i="24620"/>
  <c r="B41" i="30053" s="1"/>
  <c r="H45" i="30053" s="1"/>
  <c r="B106" i="24620"/>
  <c r="B99" i="24620"/>
  <c r="B107" i="24620"/>
  <c r="L133" i="30019"/>
  <c r="L58" i="30019"/>
  <c r="B4" i="30104"/>
  <c r="AM4" i="30104" s="1"/>
  <c r="C112" i="30019"/>
  <c r="C113" i="30019"/>
  <c r="C72" i="30019"/>
  <c r="C73" i="30019"/>
  <c r="C116" i="30019"/>
  <c r="C117" i="30019"/>
  <c r="C74" i="30019"/>
  <c r="C81" i="30019"/>
  <c r="C120" i="30019"/>
  <c r="C121" i="30019"/>
  <c r="C122" i="30019"/>
  <c r="C123" i="30019"/>
  <c r="C75" i="30019"/>
  <c r="C128" i="30019"/>
  <c r="C82" i="30019"/>
  <c r="C129" i="30019"/>
  <c r="C83" i="30019"/>
  <c r="C84" i="30019"/>
  <c r="C110" i="30019"/>
  <c r="C111" i="30019"/>
  <c r="C90" i="30019"/>
  <c r="C91" i="30019"/>
  <c r="C92" i="30019"/>
  <c r="C93" i="30019"/>
  <c r="C99" i="30019"/>
  <c r="C100" i="30019"/>
  <c r="C101" i="30019"/>
  <c r="C102" i="30019"/>
  <c r="AU6" i="30104"/>
  <c r="O6" i="30104"/>
  <c r="I6" i="30103"/>
  <c r="I6" i="30104"/>
  <c r="AN6" i="30103"/>
  <c r="CB7" i="30103" s="1"/>
  <c r="AN6" i="30104"/>
  <c r="CB7" i="30104" s="1"/>
  <c r="J6" i="30104"/>
  <c r="AP6" i="30104"/>
  <c r="G6" i="30104"/>
  <c r="AO6" i="30104"/>
  <c r="AX6" i="30104"/>
  <c r="V6" i="30104"/>
  <c r="T6" i="30103"/>
  <c r="T6" i="30104"/>
  <c r="AR6" i="30104"/>
  <c r="AE6" i="30104"/>
  <c r="L6" i="30104"/>
  <c r="H6" i="30103"/>
  <c r="H6" i="30104"/>
  <c r="AT6" i="30104"/>
  <c r="AH6" i="30104"/>
  <c r="N6" i="30104"/>
  <c r="K6" i="30104"/>
  <c r="AQ6" i="30104"/>
  <c r="S6" i="30103"/>
  <c r="S6" i="30104"/>
  <c r="U6" i="30103"/>
  <c r="U6" i="30104"/>
  <c r="Q6" i="30104"/>
  <c r="AW6" i="30104"/>
  <c r="AB6" i="30103"/>
  <c r="AB6" i="30104"/>
  <c r="AS6" i="30104"/>
  <c r="AG6" i="30104"/>
  <c r="AF6" i="30104"/>
  <c r="M6" i="30104"/>
  <c r="B6" i="30103"/>
  <c r="B6" i="30104"/>
  <c r="P6" i="30104"/>
  <c r="AV6" i="30104"/>
  <c r="B4" i="30103"/>
  <c r="AM4" i="30103" s="1"/>
  <c r="C114" i="30019"/>
  <c r="C115" i="30019"/>
  <c r="C68" i="30019"/>
  <c r="C69" i="30019"/>
  <c r="C118" i="30019"/>
  <c r="C119" i="30019"/>
  <c r="C70" i="30019"/>
  <c r="C77" i="30019"/>
  <c r="C124" i="30019"/>
  <c r="C125" i="30019"/>
  <c r="C126" i="30019"/>
  <c r="C127" i="30019"/>
  <c r="C71" i="30019"/>
  <c r="C130" i="30019"/>
  <c r="C78" i="30019"/>
  <c r="C131" i="30019"/>
  <c r="C79" i="30019"/>
  <c r="C80" i="30019"/>
  <c r="C108" i="30019"/>
  <c r="C109" i="30019"/>
  <c r="C86" i="30019"/>
  <c r="C87" i="30019"/>
  <c r="C88" i="30019"/>
  <c r="C89" i="30019"/>
  <c r="C95" i="30019"/>
  <c r="C96" i="30019"/>
  <c r="C97" i="30019"/>
  <c r="C98" i="30019"/>
  <c r="O6" i="30103"/>
  <c r="AU6" i="30103"/>
  <c r="AP6" i="30103"/>
  <c r="J6" i="30103"/>
  <c r="G6" i="30103"/>
  <c r="AO6" i="30103"/>
  <c r="AX6" i="30103"/>
  <c r="V6" i="30103"/>
  <c r="AR6" i="30103"/>
  <c r="AE6" i="30103"/>
  <c r="L6" i="30103"/>
  <c r="N6" i="30103"/>
  <c r="AT6" i="30103"/>
  <c r="AH6" i="30103"/>
  <c r="AQ6" i="30103"/>
  <c r="K6" i="30103"/>
  <c r="Q6" i="30103"/>
  <c r="AW6" i="30103"/>
  <c r="AS6" i="30103"/>
  <c r="AG6" i="30103"/>
  <c r="AF6" i="30103"/>
  <c r="M6" i="30103"/>
  <c r="P6" i="30103"/>
  <c r="AV6" i="30103"/>
  <c r="B4" i="30102"/>
  <c r="AM4" i="30102" s="1"/>
  <c r="C5" i="30019"/>
  <c r="C6" i="30019"/>
  <c r="C7" i="30019"/>
  <c r="C8" i="30019"/>
  <c r="C14" i="30019"/>
  <c r="C15" i="30019"/>
  <c r="C16" i="30019"/>
  <c r="C17" i="30019"/>
  <c r="C23" i="30019"/>
  <c r="C24" i="30019"/>
  <c r="C25" i="30019"/>
  <c r="C26" i="30019"/>
  <c r="C32" i="30019"/>
  <c r="C33" i="30019"/>
  <c r="C34" i="30019"/>
  <c r="C35" i="30019"/>
  <c r="C41" i="30019"/>
  <c r="C42" i="30019"/>
  <c r="C43" i="30019"/>
  <c r="C44" i="30019"/>
  <c r="C50" i="30019"/>
  <c r="C51" i="30019"/>
  <c r="C52" i="30019"/>
  <c r="C53" i="30019"/>
  <c r="C59" i="30019"/>
  <c r="C60" i="30019"/>
  <c r="C61" i="30019"/>
  <c r="C62" i="30019"/>
  <c r="B36" i="30102"/>
  <c r="AM36" i="30102" s="1"/>
  <c r="C9" i="30019"/>
  <c r="C10" i="30019"/>
  <c r="C11" i="30019"/>
  <c r="C12" i="30019"/>
  <c r="C18" i="30019"/>
  <c r="C19" i="30019"/>
  <c r="C20" i="30019"/>
  <c r="C21" i="30019"/>
  <c r="C27" i="30019"/>
  <c r="C28" i="30019"/>
  <c r="C29" i="30019"/>
  <c r="C30" i="30019"/>
  <c r="C36" i="30019"/>
  <c r="C37" i="30019"/>
  <c r="C38" i="30019"/>
  <c r="C39" i="30019"/>
  <c r="C45" i="30019"/>
  <c r="C46" i="30019"/>
  <c r="C47" i="30019"/>
  <c r="C48" i="30019"/>
  <c r="C54" i="30019"/>
  <c r="C55" i="30019"/>
  <c r="C56" i="30019"/>
  <c r="C57" i="30019"/>
  <c r="C63" i="30019"/>
  <c r="C64" i="30019"/>
  <c r="C65" i="30019"/>
  <c r="C66" i="30019"/>
  <c r="AU6" i="30102"/>
  <c r="O6" i="30102"/>
  <c r="O38" i="30102"/>
  <c r="AU38" i="30102"/>
  <c r="I6" i="30102"/>
  <c r="I38" i="30102"/>
  <c r="AN6" i="30102"/>
  <c r="CB7" i="30102" s="1"/>
  <c r="AN38" i="30102"/>
  <c r="CB39" i="30102" s="1"/>
  <c r="J6" i="30102"/>
  <c r="AP6" i="30102"/>
  <c r="AP38" i="30102"/>
  <c r="J38" i="30102"/>
  <c r="AO6" i="30102"/>
  <c r="G6" i="30102"/>
  <c r="G38" i="30102"/>
  <c r="AO38" i="30102"/>
  <c r="V6" i="30102"/>
  <c r="AX6" i="30102"/>
  <c r="AX38" i="30102"/>
  <c r="V38" i="30102"/>
  <c r="T6" i="30102"/>
  <c r="T38" i="30102"/>
  <c r="L6" i="30102"/>
  <c r="AR6" i="30102"/>
  <c r="AE6" i="30102"/>
  <c r="AR38" i="30102"/>
  <c r="AE38" i="30102"/>
  <c r="L38" i="30102"/>
  <c r="H6" i="30102"/>
  <c r="H38" i="30102"/>
  <c r="AT6" i="30102"/>
  <c r="AH6" i="30102"/>
  <c r="N6" i="30102"/>
  <c r="N38" i="30102"/>
  <c r="AT38" i="30102"/>
  <c r="AH38" i="30102"/>
  <c r="K6" i="30102"/>
  <c r="AQ6" i="30102"/>
  <c r="AQ38" i="30102"/>
  <c r="K38" i="30102"/>
  <c r="S6" i="30102"/>
  <c r="S38" i="30102"/>
  <c r="U6" i="30102"/>
  <c r="U38" i="30102"/>
  <c r="AW6" i="30102"/>
  <c r="Q6" i="30102"/>
  <c r="AW38" i="30102"/>
  <c r="Q38" i="30102"/>
  <c r="AB6" i="30102"/>
  <c r="AB38" i="30102"/>
  <c r="M6" i="30102"/>
  <c r="AS6" i="30102"/>
  <c r="AG6" i="30102"/>
  <c r="AF6" i="30102"/>
  <c r="AF38" i="30102"/>
  <c r="AG38" i="30102"/>
  <c r="AS38" i="30102"/>
  <c r="M38" i="30102"/>
  <c r="B6" i="30102"/>
  <c r="B38" i="30102"/>
  <c r="AV6" i="30102"/>
  <c r="P6" i="30102"/>
  <c r="P38" i="30102"/>
  <c r="AV38" i="30102"/>
  <c r="F23" i="19124"/>
  <c r="B11" i="30053"/>
  <c r="B29" i="30053"/>
  <c r="U5" i="29954"/>
  <c r="L47" i="30027" s="1"/>
  <c r="T5" i="29954"/>
  <c r="A4" i="30016"/>
  <c r="L2" i="30019"/>
  <c r="B63" i="24620"/>
  <c r="AM1" i="30019"/>
  <c r="AM1" i="440"/>
  <c r="B62" i="24620"/>
  <c r="AL1" i="30019"/>
  <c r="AL1" i="440"/>
  <c r="B61" i="24620"/>
  <c r="AO1" i="30019"/>
  <c r="AO1" i="440"/>
  <c r="B59" i="24620"/>
  <c r="AP1" i="440"/>
  <c r="AP1" i="30019"/>
  <c r="B60" i="24620"/>
  <c r="AN1" i="30019"/>
  <c r="AN1" i="440"/>
  <c r="F38" i="19124"/>
  <c r="F37" i="19124"/>
  <c r="F27" i="19124"/>
  <c r="F46" i="19124"/>
  <c r="F48" i="19124"/>
  <c r="F58" i="19124"/>
  <c r="F10" i="19124"/>
  <c r="F16" i="19124"/>
  <c r="F34" i="19124"/>
  <c r="F30" i="19124"/>
  <c r="F36" i="19124"/>
  <c r="F45" i="19124"/>
  <c r="F60" i="19124"/>
  <c r="F56" i="19124"/>
  <c r="F19" i="19124"/>
  <c r="F14" i="19124"/>
  <c r="F12" i="19124"/>
  <c r="F39" i="19124"/>
  <c r="F28" i="19124"/>
  <c r="F44" i="19124"/>
  <c r="F49" i="19124"/>
  <c r="F59" i="19124"/>
  <c r="F9" i="19124"/>
  <c r="F6" i="19124"/>
  <c r="F7" i="19124"/>
  <c r="F17" i="19124"/>
  <c r="F35" i="19124"/>
  <c r="F33" i="19124"/>
  <c r="F47" i="19124"/>
  <c r="F52" i="19124"/>
  <c r="F54" i="19124"/>
  <c r="F20" i="19124"/>
  <c r="F22" i="19124"/>
  <c r="F11" i="19124"/>
  <c r="F24" i="19124"/>
  <c r="F40" i="19124"/>
  <c r="F43" i="19124"/>
  <c r="F51" i="19124"/>
  <c r="F53" i="19124"/>
  <c r="F8" i="19124"/>
  <c r="F13" i="19124"/>
  <c r="F50" i="19124"/>
  <c r="F4" i="19124"/>
  <c r="F31" i="19124"/>
  <c r="F26" i="19124"/>
  <c r="F42" i="19124"/>
  <c r="F62" i="19124"/>
  <c r="F63" i="19124"/>
  <c r="F21" i="19124"/>
  <c r="F5" i="19124"/>
  <c r="F57" i="19124"/>
  <c r="F32" i="19124"/>
  <c r="F25" i="19124"/>
  <c r="F41" i="19124"/>
  <c r="F55" i="19124"/>
  <c r="F61" i="19124"/>
  <c r="F64" i="19124"/>
  <c r="F15" i="19124"/>
  <c r="F18" i="19124"/>
  <c r="B14" i="30099"/>
  <c r="F66" i="19124"/>
  <c r="F65" i="19124"/>
  <c r="C133" i="30019"/>
  <c r="L49" i="30019"/>
  <c r="L31" i="30019"/>
  <c r="L13" i="30019"/>
  <c r="C31" i="30019"/>
  <c r="C13" i="30019"/>
  <c r="V6" i="29184"/>
  <c r="V14" i="29184"/>
  <c r="V25" i="29184"/>
  <c r="V36" i="29184"/>
  <c r="J262" i="29184"/>
  <c r="K266" i="29184"/>
  <c r="J265" i="29184"/>
  <c r="K260" i="29184"/>
  <c r="J193" i="29184"/>
  <c r="J200" i="29184"/>
  <c r="J194" i="29184"/>
  <c r="J197" i="29184"/>
  <c r="K198" i="29184"/>
  <c r="K199" i="29184"/>
  <c r="J198" i="29184"/>
  <c r="J199" i="29184"/>
  <c r="J196" i="29184"/>
  <c r="K167" i="29184"/>
  <c r="J162" i="29184"/>
  <c r="J163" i="29184"/>
  <c r="J167" i="29184"/>
  <c r="J165" i="29184"/>
  <c r="J161" i="29184"/>
  <c r="AL58" i="30002"/>
  <c r="AW70" i="30002"/>
  <c r="AW77" i="30002" s="1"/>
  <c r="AW84" i="30002" s="1"/>
  <c r="AW91" i="30002" s="1"/>
  <c r="AW98" i="30002" s="1"/>
  <c r="AX98" i="30002" s="1"/>
  <c r="BY87" i="30002"/>
  <c r="BX107" i="30002"/>
  <c r="AL64" i="30002"/>
  <c r="AK76" i="30002"/>
  <c r="D3" i="30049"/>
  <c r="B6" i="30000"/>
  <c r="H42" i="19124" s="1"/>
  <c r="C6" i="30000"/>
  <c r="Z53" i="30002"/>
  <c r="AA37" i="30002"/>
  <c r="AL50" i="30002"/>
  <c r="AL56" i="30002"/>
  <c r="AL62" i="30002"/>
  <c r="E508" i="29960"/>
  <c r="D508" i="29960"/>
  <c r="D461" i="29960"/>
  <c r="E461" i="29960"/>
  <c r="AR1304" i="29184"/>
  <c r="A16" i="30031"/>
  <c r="A15" i="30031"/>
  <c r="AK60" i="30002"/>
  <c r="AL60" i="30002" s="1"/>
  <c r="AA41" i="30002"/>
  <c r="BY103" i="30002"/>
  <c r="BX105" i="30002"/>
  <c r="CN114" i="30002"/>
  <c r="CN104" i="30002"/>
  <c r="AA36" i="30002"/>
  <c r="BX121" i="30002"/>
  <c r="BX130" i="30002" s="1"/>
  <c r="BY130" i="30002" s="1"/>
  <c r="A5" i="30017"/>
  <c r="D5" i="30017"/>
  <c r="F5" i="29954"/>
  <c r="G5" i="30017"/>
  <c r="C83" i="24620"/>
  <c r="F9" i="30099"/>
  <c r="C49" i="30019"/>
  <c r="B1" i="29998"/>
  <c r="B69" i="30099"/>
  <c r="P3" i="440"/>
  <c r="M37" i="30099"/>
  <c r="E6" i="30099"/>
  <c r="BJ99" i="30002"/>
  <c r="BK99" i="30002" s="1"/>
  <c r="AX77" i="30002"/>
  <c r="BJ97" i="30002"/>
  <c r="BK97" i="30002" s="1"/>
  <c r="F67" i="19124"/>
  <c r="E5" i="30010"/>
  <c r="L45" i="30027"/>
  <c r="B1" i="30027"/>
  <c r="B2" i="30027"/>
  <c r="F5" i="30010"/>
  <c r="D45" i="30027"/>
  <c r="G5" i="30010"/>
  <c r="D46" i="30027"/>
  <c r="L22" i="30019"/>
  <c r="L67" i="30019"/>
  <c r="C67" i="30019"/>
  <c r="C22" i="30019"/>
  <c r="H44" i="19124"/>
  <c r="H41" i="19124"/>
  <c r="H32" i="19124"/>
  <c r="CB115" i="29184"/>
  <c r="H10" i="19124"/>
  <c r="H16" i="19124"/>
  <c r="H8" i="19124"/>
  <c r="BJ87" i="30002"/>
  <c r="AW67" i="30002"/>
  <c r="AX60" i="30002"/>
  <c r="AW86" i="30002"/>
  <c r="AK63" i="30002"/>
  <c r="AX72" i="30002"/>
  <c r="BK83" i="30002"/>
  <c r="AA42" i="30002"/>
  <c r="Z47" i="30002"/>
  <c r="AA43" i="30002"/>
  <c r="I64" i="24620"/>
  <c r="I113" i="24620"/>
  <c r="I85" i="24620"/>
  <c r="I129" i="24620"/>
  <c r="I62" i="24620"/>
  <c r="I111" i="24620"/>
  <c r="I61" i="24620"/>
  <c r="I110" i="24620"/>
  <c r="AX70" i="30002"/>
  <c r="AX91" i="30002"/>
  <c r="BY117" i="30002"/>
  <c r="K96" i="29184"/>
  <c r="AX84" i="30002"/>
  <c r="AW105" i="30002"/>
  <c r="AX105" i="30002" s="1"/>
  <c r="D440" i="29184"/>
  <c r="D58" i="29184"/>
  <c r="K545" i="29184"/>
  <c r="L7" i="440"/>
  <c r="L40" i="30019"/>
  <c r="C13" i="440"/>
  <c r="C40" i="30019"/>
  <c r="E3" i="30019"/>
  <c r="B210" i="29952"/>
  <c r="H3" i="19124"/>
  <c r="AW82" i="30002"/>
  <c r="AW89" i="30002" s="1"/>
  <c r="AK113" i="8192"/>
  <c r="BY99" i="30002"/>
  <c r="BK101" i="30002"/>
  <c r="K436" i="29184"/>
  <c r="BY108" i="30002"/>
  <c r="D501" i="30041"/>
  <c r="D655" i="29184"/>
  <c r="K435" i="29184"/>
  <c r="F542" i="29184"/>
  <c r="F1520" i="29184"/>
  <c r="K1746" i="29184"/>
  <c r="D338" i="29184"/>
  <c r="F58" i="29184"/>
  <c r="F96" i="29184"/>
  <c r="K533" i="29184"/>
  <c r="AQ544" i="29184" s="1"/>
  <c r="CB57" i="29184"/>
  <c r="CB58" i="29184"/>
  <c r="K346" i="29184"/>
  <c r="K338" i="29184"/>
  <c r="AR539" i="29184"/>
  <c r="D545" i="29184"/>
  <c r="K58" i="29184"/>
  <c r="F346" i="29184"/>
  <c r="F338" i="29184"/>
  <c r="D96" i="29184"/>
  <c r="AU1124" i="29184"/>
  <c r="B4" i="29952"/>
  <c r="E1746" i="29184"/>
  <c r="AK131" i="8192"/>
  <c r="D1115" i="29184"/>
  <c r="AK479" i="30041"/>
  <c r="Z51" i="30002"/>
  <c r="AA51" i="30002" s="1"/>
  <c r="AA46" i="30002"/>
  <c r="K1127" i="29184"/>
  <c r="CM131" i="30002"/>
  <c r="CN131" i="30002" s="1"/>
  <c r="BJ88" i="30002"/>
  <c r="BK80" i="30002"/>
  <c r="CN106" i="30002"/>
  <c r="CM116" i="30002"/>
  <c r="CN109" i="30002"/>
  <c r="CM119" i="30002"/>
  <c r="F73" i="29184"/>
  <c r="Z44" i="30002"/>
  <c r="Z49" i="30002" s="1"/>
  <c r="BY88" i="30002"/>
  <c r="BX97" i="30002"/>
  <c r="Z50" i="30002"/>
  <c r="AA45" i="30002"/>
  <c r="E542" i="29184"/>
  <c r="E655" i="29184"/>
  <c r="D436" i="29184"/>
  <c r="K54" i="29184"/>
  <c r="AQ58" i="29184" s="1"/>
  <c r="E429" i="29184"/>
  <c r="F440" i="29184"/>
  <c r="F54" i="29184"/>
  <c r="D539" i="29184"/>
  <c r="I501" i="30041"/>
  <c r="AK134" i="8192"/>
  <c r="AK146" i="30041"/>
  <c r="K342" i="29184"/>
  <c r="K440" i="29184"/>
  <c r="D803" i="29184"/>
  <c r="D342" i="29184"/>
  <c r="E501" i="30041"/>
  <c r="D435" i="29184"/>
  <c r="K162" i="29184"/>
  <c r="AK598" i="30041"/>
  <c r="W144" i="29952"/>
  <c r="AP497" i="30041"/>
  <c r="BB220" i="30041"/>
  <c r="P337" i="30041"/>
  <c r="AV24" i="8192"/>
  <c r="N36" i="30041"/>
  <c r="X393" i="30041"/>
  <c r="Y174" i="29952"/>
  <c r="O139" i="30041"/>
  <c r="AK319" i="30041"/>
  <c r="AK149" i="8192"/>
  <c r="D54" i="29184"/>
  <c r="K429" i="29184"/>
  <c r="AQ435" i="29184" s="1"/>
  <c r="K542" i="29184"/>
  <c r="F545" i="29184"/>
  <c r="K655" i="29184"/>
  <c r="F339" i="29184"/>
  <c r="F435" i="29184"/>
  <c r="AP439" i="29184"/>
  <c r="F429" i="29184"/>
  <c r="K1128" i="29184"/>
  <c r="F342" i="29184"/>
  <c r="K265" i="29184"/>
  <c r="E436" i="29184"/>
  <c r="L6" i="30008"/>
  <c r="B293" i="29957"/>
  <c r="R6" i="28416"/>
  <c r="B239" i="29957"/>
  <c r="B274" i="29957"/>
  <c r="X3" i="19124"/>
  <c r="H6" i="30004"/>
  <c r="AF3" i="30043"/>
  <c r="O3" i="30043"/>
  <c r="E8" i="30043"/>
  <c r="D6" i="30049"/>
  <c r="AA4" i="30043"/>
  <c r="AC4" i="30043"/>
  <c r="A3" i="30019"/>
  <c r="AM6" i="18944"/>
  <c r="AQ336" i="29184"/>
  <c r="AP788" i="29184"/>
  <c r="AR6" i="29184"/>
  <c r="H942" i="29184"/>
  <c r="I93" i="29184"/>
  <c r="AH14" i="29184"/>
  <c r="T474" i="29184"/>
  <c r="Q32" i="18944"/>
  <c r="W275" i="29957"/>
  <c r="AD148" i="28160"/>
  <c r="AN113" i="29184"/>
  <c r="CB114" i="29184" s="1"/>
  <c r="B120" i="8192"/>
  <c r="O36" i="29184"/>
  <c r="B311" i="29957"/>
  <c r="AS1303" i="29184"/>
  <c r="AP38" i="18944"/>
  <c r="E5" i="30017"/>
  <c r="AW532" i="29184"/>
  <c r="P4" i="30031"/>
  <c r="E4" i="30044"/>
  <c r="I497" i="30041"/>
  <c r="AK167" i="30041"/>
  <c r="B797" i="29960"/>
  <c r="I79" i="24620"/>
  <c r="B794" i="29960"/>
  <c r="B795" i="29960" s="1"/>
  <c r="B798" i="29960"/>
  <c r="B769" i="29960"/>
  <c r="AK507" i="30041"/>
  <c r="AT437" i="29184"/>
  <c r="AT429" i="29184"/>
  <c r="AK647" i="30041"/>
  <c r="AK256" i="30041"/>
  <c r="AT431" i="29184"/>
  <c r="AT433" i="29184"/>
  <c r="F503" i="30041"/>
  <c r="AP440" i="29184"/>
  <c r="AT541" i="29184"/>
  <c r="AK423" i="30041"/>
  <c r="E666" i="29184"/>
  <c r="AK402" i="30041"/>
  <c r="F94" i="29184"/>
  <c r="D1113" i="29184"/>
  <c r="D72" i="29184"/>
  <c r="F1117" i="29184"/>
  <c r="F1129" i="29184"/>
  <c r="D666" i="29184"/>
  <c r="E94" i="29184"/>
  <c r="AK92" i="8192"/>
  <c r="AK101" i="8192"/>
  <c r="AS533" i="29184"/>
  <c r="AT543" i="29184"/>
  <c r="BY107" i="30002"/>
  <c r="BX116" i="30002"/>
  <c r="AX62" i="30002"/>
  <c r="AW69" i="30002"/>
  <c r="BY101" i="30002"/>
  <c r="BX110" i="30002"/>
  <c r="BX118" i="30002"/>
  <c r="BY109" i="30002"/>
  <c r="E1128" i="29184"/>
  <c r="F1128" i="29184"/>
  <c r="F536" i="29184"/>
  <c r="K339" i="29184"/>
  <c r="BJ90" i="30002"/>
  <c r="BK82" i="30002"/>
  <c r="Z58" i="30002"/>
  <c r="AA53" i="30002"/>
  <c r="BK94" i="30002"/>
  <c r="BJ102" i="30002"/>
  <c r="AU56" i="29184"/>
  <c r="AW789" i="29184"/>
  <c r="AW798" i="29184"/>
  <c r="AK388" i="30041"/>
  <c r="CB56" i="29184"/>
  <c r="AK535" i="30041"/>
  <c r="AW431" i="29184"/>
  <c r="AV438" i="29184"/>
  <c r="AV435" i="29184"/>
  <c r="AK619" i="30041"/>
  <c r="AK451" i="30041"/>
  <c r="E499" i="30041"/>
  <c r="D499" i="30041"/>
  <c r="CG500" i="30041"/>
  <c r="AV439" i="29184"/>
  <c r="AK682" i="30041"/>
  <c r="AK346" i="30041"/>
  <c r="AP431" i="29184"/>
  <c r="F499" i="30041"/>
  <c r="AT440" i="29184"/>
  <c r="AP433" i="29184"/>
  <c r="I503" i="30041"/>
  <c r="AV440" i="29184"/>
  <c r="AU433" i="29184"/>
  <c r="AP432" i="29184"/>
  <c r="CB73" i="29184"/>
  <c r="AT1124" i="29184"/>
  <c r="K8" i="29184"/>
  <c r="AR439" i="29184"/>
  <c r="AR433" i="29184"/>
  <c r="AV431" i="29184"/>
  <c r="AT439" i="29184"/>
  <c r="AR436" i="29184"/>
  <c r="AR431" i="29184"/>
  <c r="AR440" i="29184"/>
  <c r="AV433" i="29184"/>
  <c r="E503" i="30041"/>
  <c r="E8" i="29184"/>
  <c r="CG499" i="30041"/>
  <c r="CB55" i="29184"/>
  <c r="AS431" i="29184"/>
  <c r="AV430" i="29184"/>
  <c r="AT434" i="29184"/>
  <c r="AK284" i="30041"/>
  <c r="K543" i="29184"/>
  <c r="K99" i="29184"/>
  <c r="E344" i="29184"/>
  <c r="K540" i="29184"/>
  <c r="F800" i="29184"/>
  <c r="E1520" i="29184"/>
  <c r="D339" i="29184"/>
  <c r="D535" i="29184"/>
  <c r="F543" i="29184"/>
  <c r="E543" i="29184"/>
  <c r="E535" i="29184"/>
  <c r="S80" i="8192"/>
  <c r="AH4" i="30043"/>
  <c r="F1316" i="29184"/>
  <c r="D94" i="29184"/>
  <c r="K535" i="29184"/>
  <c r="AK696" i="30041"/>
  <c r="E537" i="29184"/>
  <c r="D1318" i="29184"/>
  <c r="K81" i="8192"/>
  <c r="K534" i="29184"/>
  <c r="E541" i="29184"/>
  <c r="D346" i="29184"/>
  <c r="E789" i="29184"/>
  <c r="H82" i="8192"/>
  <c r="E536" i="29184"/>
  <c r="D344" i="29184"/>
  <c r="F661" i="29184"/>
  <c r="AK277" i="30041"/>
  <c r="F537" i="29184"/>
  <c r="AP544" i="29184"/>
  <c r="H653" i="29184"/>
  <c r="AK360" i="30041"/>
  <c r="AP542" i="29184"/>
  <c r="AT533" i="29184"/>
  <c r="AS544" i="29184"/>
  <c r="AK416" i="30041"/>
  <c r="AS534" i="29184"/>
  <c r="AS541" i="29184"/>
  <c r="AP534" i="29184"/>
  <c r="AS538" i="29184"/>
  <c r="AP539" i="29184"/>
  <c r="AW544" i="29184"/>
  <c r="AT539" i="29184"/>
  <c r="AR544" i="29184"/>
  <c r="AS540" i="29184"/>
  <c r="AV544" i="29184"/>
  <c r="AW537" i="29184"/>
  <c r="AW536" i="29184"/>
  <c r="AP545" i="29184"/>
  <c r="AT544" i="29184"/>
  <c r="AW538" i="29184"/>
  <c r="AS542" i="29184"/>
  <c r="AK35" i="8192"/>
  <c r="AR542" i="29184"/>
  <c r="AS539" i="29184"/>
  <c r="AT542" i="29184"/>
  <c r="AX121" i="28416"/>
  <c r="AT540" i="29184"/>
  <c r="AT667" i="29184"/>
  <c r="AS99" i="29184"/>
  <c r="AK689" i="30041"/>
  <c r="AP543" i="29184"/>
  <c r="AT96" i="29184"/>
  <c r="AW541" i="29184"/>
  <c r="AU543" i="29184"/>
  <c r="AV535" i="29184"/>
  <c r="AW543" i="29184"/>
  <c r="AW533" i="29184"/>
  <c r="AR95" i="29184"/>
  <c r="AS535" i="29184"/>
  <c r="AV95" i="29184"/>
  <c r="AV96" i="29184"/>
  <c r="AU539" i="29184"/>
  <c r="AW542" i="29184"/>
  <c r="AV541" i="29184"/>
  <c r="AW534" i="29184"/>
  <c r="AR97" i="29184"/>
  <c r="AT658" i="29184"/>
  <c r="AT537" i="29184"/>
  <c r="AV545" i="29184"/>
  <c r="AQ96" i="29184"/>
  <c r="AT545" i="29184"/>
  <c r="AV536" i="29184"/>
  <c r="AW539" i="29184"/>
  <c r="AS536" i="29184"/>
  <c r="AV658" i="29184"/>
  <c r="AU544" i="29184"/>
  <c r="K125" i="8192"/>
  <c r="Q126" i="8192"/>
  <c r="D1520" i="29184"/>
  <c r="AW667" i="29184"/>
  <c r="F70" i="29184"/>
  <c r="K663" i="29184"/>
  <c r="E1760" i="29184"/>
  <c r="N124" i="8192"/>
  <c r="D661" i="29184"/>
  <c r="AK549" i="30041"/>
  <c r="F544" i="29184"/>
  <c r="J126" i="8192"/>
  <c r="I126" i="8192" s="1"/>
  <c r="D534" i="29184"/>
  <c r="F541" i="29184"/>
  <c r="X38" i="28160"/>
  <c r="AV537" i="29184"/>
  <c r="AR537" i="29184"/>
  <c r="AT536" i="29184"/>
  <c r="AP536" i="29184"/>
  <c r="E1309" i="29184"/>
  <c r="R124" i="8192"/>
  <c r="D663" i="29184"/>
  <c r="AK164" i="8192"/>
  <c r="E662" i="29184"/>
  <c r="K341" i="29184"/>
  <c r="K537" i="29184"/>
  <c r="AU536" i="29184"/>
  <c r="F1115" i="29184"/>
  <c r="D541" i="29184"/>
  <c r="AP538" i="29184"/>
  <c r="F26" i="29184"/>
  <c r="F659" i="29184"/>
  <c r="AP667" i="29184"/>
  <c r="CB99" i="29184"/>
  <c r="K1129" i="29184"/>
  <c r="K433" i="29184"/>
  <c r="AR536" i="29184"/>
  <c r="AV540" i="29184"/>
  <c r="AV99" i="29184"/>
  <c r="AP533" i="29184"/>
  <c r="D99" i="29184"/>
  <c r="AP535" i="29184"/>
  <c r="F540" i="29184"/>
  <c r="F1113" i="29184"/>
  <c r="S121" i="8192"/>
  <c r="J221" i="30041"/>
  <c r="D221" i="30041" s="1"/>
  <c r="D659" i="29184"/>
  <c r="E534" i="29184"/>
  <c r="D536" i="29184"/>
  <c r="E99" i="29184"/>
  <c r="D540" i="29184"/>
  <c r="E1113" i="29184"/>
  <c r="K1121" i="29184"/>
  <c r="AU537" i="29184"/>
  <c r="AV534" i="29184"/>
  <c r="AV539" i="29184"/>
  <c r="AT538" i="29184"/>
  <c r="AV542" i="29184"/>
  <c r="AV538" i="29184"/>
  <c r="F28" i="29184"/>
  <c r="K659" i="29184"/>
  <c r="K1313" i="29184"/>
  <c r="J124" i="8192"/>
  <c r="E124" i="8192" s="1"/>
  <c r="K661" i="29184"/>
  <c r="F438" i="29184"/>
  <c r="K98" i="29184"/>
  <c r="K197" i="29184"/>
  <c r="AU667" i="29184"/>
  <c r="AS667" i="29184"/>
  <c r="AK160" i="30041"/>
  <c r="D341" i="29184"/>
  <c r="AV98" i="29184"/>
  <c r="AR94" i="29184"/>
  <c r="AV1124" i="29184"/>
  <c r="AK235" i="30041"/>
  <c r="AV533" i="29184"/>
  <c r="AR96" i="29184"/>
  <c r="AS537" i="29184"/>
  <c r="AR534" i="29184"/>
  <c r="AL83" i="8192"/>
  <c r="P83" i="8192"/>
  <c r="E431" i="29184"/>
  <c r="AU545" i="29184"/>
  <c r="AR535" i="29184"/>
  <c r="D8" i="29184"/>
  <c r="D26" i="29184"/>
  <c r="AU540" i="29184"/>
  <c r="D789" i="29184"/>
  <c r="K800" i="29184"/>
  <c r="AU535" i="29184"/>
  <c r="AK249" i="30041"/>
  <c r="E533" i="29184"/>
  <c r="D797" i="29184"/>
  <c r="AT656" i="29184"/>
  <c r="AP796" i="29184"/>
  <c r="AR789" i="29184"/>
  <c r="D533" i="29184"/>
  <c r="E793" i="29184"/>
  <c r="H81" i="8192"/>
  <c r="AP82" i="8192"/>
  <c r="BS82" i="8192" s="1"/>
  <c r="D1129" i="29184"/>
  <c r="C83" i="8192"/>
  <c r="C80" i="8192"/>
  <c r="K1311" i="29184"/>
  <c r="D798" i="29184"/>
  <c r="AT534" i="29184"/>
  <c r="K200" i="29184"/>
  <c r="K791" i="29184"/>
  <c r="AP537" i="29184"/>
  <c r="AW545" i="29184"/>
  <c r="AT535" i="29184"/>
  <c r="AW535" i="29184"/>
  <c r="AU533" i="29184"/>
  <c r="AS543" i="29184"/>
  <c r="AV543" i="29184"/>
  <c r="AP541" i="29184"/>
  <c r="AP540" i="29184"/>
  <c r="AS545" i="29184"/>
  <c r="AW540" i="29184"/>
  <c r="AR538" i="29184"/>
  <c r="AR540" i="29184"/>
  <c r="M223" i="30041"/>
  <c r="E663" i="29184"/>
  <c r="F802" i="29184"/>
  <c r="F789" i="29184"/>
  <c r="E800" i="29184"/>
  <c r="K165" i="29184"/>
  <c r="N123" i="8192"/>
  <c r="AK110" i="8192"/>
  <c r="AK528" i="30041"/>
  <c r="AR662" i="29184"/>
  <c r="AS96" i="29184"/>
  <c r="AU8" i="29184"/>
  <c r="AV341" i="29184"/>
  <c r="AK668" i="30041"/>
  <c r="AR1127" i="29184"/>
  <c r="AR1120" i="29184"/>
  <c r="AK291" i="30041"/>
  <c r="AU28" i="29184"/>
  <c r="AU70" i="29184"/>
  <c r="K544" i="29184"/>
  <c r="E544" i="29184"/>
  <c r="AU541" i="29184"/>
  <c r="M83" i="8192"/>
  <c r="R80" i="8192"/>
  <c r="AP435" i="29184"/>
  <c r="K798" i="29184"/>
  <c r="AU534" i="29184"/>
  <c r="AR543" i="29184"/>
  <c r="AR533" i="29184"/>
  <c r="D802" i="29184"/>
  <c r="F794" i="29184"/>
  <c r="D345" i="29184"/>
  <c r="AO84" i="8192"/>
  <c r="Q84" i="8192"/>
  <c r="AU542" i="29184"/>
  <c r="K196" i="29184"/>
  <c r="AS658" i="29184"/>
  <c r="F1524" i="29184"/>
  <c r="AU538" i="29184"/>
  <c r="AR541" i="29184"/>
  <c r="AR545" i="29184"/>
  <c r="E802" i="29184"/>
  <c r="K797" i="29184"/>
  <c r="F1120" i="29184"/>
  <c r="AK86" i="8192"/>
  <c r="F793" i="29184"/>
  <c r="AV797" i="29184"/>
  <c r="AT664" i="29184"/>
  <c r="AK514" i="30041"/>
  <c r="AS655" i="29184"/>
  <c r="AT661" i="29184"/>
  <c r="CB97" i="29184"/>
  <c r="AR8" i="29184"/>
  <c r="AW1127" i="29184"/>
  <c r="AW56" i="29184"/>
  <c r="AS341" i="29184"/>
  <c r="K654" i="29184"/>
  <c r="AQ666" i="29184" s="1"/>
  <c r="AW8" i="29184"/>
  <c r="D1514" i="29184"/>
  <c r="E1123" i="29184"/>
  <c r="F792" i="29184"/>
  <c r="E1126" i="29184"/>
  <c r="AK209" i="30041"/>
  <c r="AS663" i="29184"/>
  <c r="E1307" i="29184"/>
  <c r="AR658" i="29184"/>
  <c r="K803" i="29184"/>
  <c r="AK167" i="8192"/>
  <c r="AP792" i="29184"/>
  <c r="AP1757" i="29184"/>
  <c r="AS98" i="29184"/>
  <c r="AU1121" i="29184"/>
  <c r="AU26" i="29184"/>
  <c r="U370" i="29184"/>
  <c r="F803" i="29184"/>
  <c r="AS659" i="29184"/>
  <c r="AT99" i="29184"/>
  <c r="AW26" i="29184"/>
  <c r="AV339" i="29184"/>
  <c r="AT1113" i="29184"/>
  <c r="AV1122" i="29184"/>
  <c r="AV346" i="29184"/>
  <c r="D7" i="29184"/>
  <c r="CB27" i="29184"/>
  <c r="AP8" i="29184"/>
  <c r="AP7" i="29184"/>
  <c r="AU1118" i="29184"/>
  <c r="AU1114" i="29184"/>
  <c r="AS1123" i="29184"/>
  <c r="AR1129" i="29184"/>
  <c r="AR1121" i="29184"/>
  <c r="AR1124" i="29184"/>
  <c r="AT1120" i="29184"/>
  <c r="AU661" i="29184"/>
  <c r="AT94" i="29184"/>
  <c r="AV340" i="29184"/>
  <c r="F7" i="29184"/>
  <c r="AS346" i="29184"/>
  <c r="AV27" i="29184"/>
  <c r="CB29" i="29184"/>
  <c r="AU1115" i="29184"/>
  <c r="AW795" i="29184"/>
  <c r="AW790" i="29184"/>
  <c r="AW28" i="29184"/>
  <c r="AR1126" i="29184"/>
  <c r="AS344" i="29184"/>
  <c r="AT26" i="29184"/>
  <c r="I5" i="30017"/>
  <c r="H53" i="29184"/>
  <c r="AP789" i="29184"/>
  <c r="AR656" i="29184"/>
  <c r="AQ95" i="29184"/>
  <c r="B3" i="19124"/>
  <c r="AP436" i="29184"/>
  <c r="AV436" i="29184"/>
  <c r="AR796" i="29184"/>
  <c r="AK472" i="30041"/>
  <c r="AS95" i="29184"/>
  <c r="AU192" i="29184"/>
  <c r="AR798" i="29184"/>
  <c r="Y110" i="29952"/>
  <c r="AK556" i="30041"/>
  <c r="AT38" i="29184"/>
  <c r="AW344" i="29184"/>
  <c r="AW665" i="29184"/>
  <c r="AR792" i="29184"/>
  <c r="AS1126" i="29184"/>
  <c r="AV1120" i="29184"/>
  <c r="H532" i="29184"/>
  <c r="AV28" i="29184"/>
  <c r="AU657" i="29184"/>
  <c r="AK100" i="30041"/>
  <c r="Y226" i="29952"/>
  <c r="Q28" i="18944"/>
  <c r="CG505" i="30041"/>
  <c r="AK202" i="30041"/>
  <c r="AP95" i="29184"/>
  <c r="AK542" i="30041"/>
  <c r="AS71" i="29184"/>
  <c r="AT95" i="29184"/>
  <c r="CB9" i="29184"/>
  <c r="AK465" i="30041"/>
  <c r="AK577" i="30041"/>
  <c r="AK430" i="30041"/>
  <c r="U18" i="18944"/>
  <c r="AV661" i="29184"/>
  <c r="AU659" i="29184"/>
  <c r="AU655" i="29184"/>
  <c r="AR1122" i="29184"/>
  <c r="AP1113" i="29184"/>
  <c r="AT665" i="29184"/>
  <c r="AV655" i="29184"/>
  <c r="AQ792" i="29184"/>
  <c r="AK675" i="30041"/>
  <c r="AW662" i="29184"/>
  <c r="AT794" i="29184"/>
  <c r="AR790" i="29184"/>
  <c r="AR71" i="29184"/>
  <c r="AP70" i="29184"/>
  <c r="AS665" i="29184"/>
  <c r="CB98" i="29184"/>
  <c r="AV1129" i="29184"/>
  <c r="AU435" i="29184"/>
  <c r="AV1121" i="29184"/>
  <c r="U278" i="29184"/>
  <c r="Y48" i="28416"/>
  <c r="AT435" i="29184"/>
  <c r="AW792" i="29184"/>
  <c r="AT1122" i="29184"/>
  <c r="AK437" i="30041"/>
  <c r="AK305" i="30041"/>
  <c r="AV1127" i="29184"/>
  <c r="E73" i="29184"/>
  <c r="K73" i="29184"/>
  <c r="AV347" i="29184"/>
  <c r="AP96" i="29184"/>
  <c r="D1121" i="29184"/>
  <c r="E33" i="18944"/>
  <c r="K70" i="29184"/>
  <c r="F72" i="29184"/>
  <c r="AR803" i="29184"/>
  <c r="AS1129" i="29184"/>
  <c r="AT28" i="29184"/>
  <c r="AS1122" i="29184"/>
  <c r="AT1127" i="29184"/>
  <c r="AR797" i="29184"/>
  <c r="AT343" i="29184"/>
  <c r="AV792" i="29184"/>
  <c r="AW796" i="29184"/>
  <c r="AT1118" i="29184"/>
  <c r="K28" i="29184"/>
  <c r="D97" i="29184"/>
  <c r="AK654" i="30041"/>
  <c r="AP799" i="29184"/>
  <c r="AU800" i="29184"/>
  <c r="AT791" i="29184"/>
  <c r="AS73" i="29184"/>
  <c r="F799" i="29184"/>
  <c r="L82" i="8192"/>
  <c r="N83" i="8192"/>
  <c r="K1114" i="29184"/>
  <c r="C82" i="8192"/>
  <c r="R82" i="8192"/>
  <c r="AV794" i="29184"/>
  <c r="AW658" i="29184"/>
  <c r="AR341" i="29184"/>
  <c r="E7" i="29184"/>
  <c r="AR28" i="29184"/>
  <c r="AP798" i="29184"/>
  <c r="AR99" i="29184"/>
  <c r="F1309" i="29184"/>
  <c r="D437" i="29184"/>
  <c r="F344" i="29184"/>
  <c r="AS1127" i="29184"/>
  <c r="AR1123" i="29184"/>
  <c r="AR1113" i="29184"/>
  <c r="E1121" i="29184"/>
  <c r="AV1113" i="29184"/>
  <c r="U1151" i="29184"/>
  <c r="AT657" i="29184"/>
  <c r="E70" i="29184"/>
  <c r="K72" i="29184"/>
  <c r="AU1123" i="29184"/>
  <c r="AR70" i="29184"/>
  <c r="AP94" i="29184"/>
  <c r="AS790" i="29184"/>
  <c r="AT796" i="29184"/>
  <c r="AS1124" i="29184"/>
  <c r="AP337" i="29184"/>
  <c r="AQ99" i="29184"/>
  <c r="AP341" i="29184"/>
  <c r="AS656" i="29184"/>
  <c r="F797" i="29184"/>
  <c r="K97" i="29184"/>
  <c r="K1120" i="29184"/>
  <c r="E667" i="29184"/>
  <c r="AW72" i="29184"/>
  <c r="AK444" i="30041"/>
  <c r="AP28" i="29184"/>
  <c r="AS69" i="29184"/>
  <c r="AS1118" i="29184"/>
  <c r="AK89" i="8192"/>
  <c r="AP347" i="29184"/>
  <c r="AK143" i="8192"/>
  <c r="AU341" i="29184"/>
  <c r="AW659" i="29184"/>
  <c r="AP1761" i="29184"/>
  <c r="AK584" i="30041"/>
  <c r="AR793" i="29184"/>
  <c r="AT800" i="29184"/>
  <c r="AS796" i="29184"/>
  <c r="D793" i="29184"/>
  <c r="K1759" i="29184"/>
  <c r="K166" i="29184"/>
  <c r="H47" i="30053"/>
  <c r="J226" i="30041"/>
  <c r="I226" i="30041" s="1"/>
  <c r="K261" i="29184"/>
  <c r="D433" i="29184"/>
  <c r="AT792" i="29184"/>
  <c r="Y72" i="28160"/>
  <c r="K1309" i="29184"/>
  <c r="E437" i="29184"/>
  <c r="AS1113" i="29184"/>
  <c r="AU1127" i="29184"/>
  <c r="AV1126" i="29184"/>
  <c r="Z72" i="28416"/>
  <c r="AR72" i="29184"/>
  <c r="AU1122" i="29184"/>
  <c r="AV798" i="29184"/>
  <c r="AW797" i="29184"/>
  <c r="AS70" i="29184"/>
  <c r="AP800" i="29184"/>
  <c r="AS1121" i="29184"/>
  <c r="AU346" i="29184"/>
  <c r="AS337" i="29184"/>
  <c r="D27" i="29184"/>
  <c r="AT793" i="29184"/>
  <c r="AT1129" i="29184"/>
  <c r="AS340" i="29184"/>
  <c r="P225" i="30041"/>
  <c r="D656" i="29184"/>
  <c r="AS28" i="29184"/>
  <c r="AV1119" i="29184"/>
  <c r="AK137" i="8192"/>
  <c r="AW54" i="29184"/>
  <c r="AV8" i="29184"/>
  <c r="AT802" i="29184"/>
  <c r="AW803" i="29184"/>
  <c r="AK263" i="30041"/>
  <c r="AT8" i="29184"/>
  <c r="AW341" i="29184"/>
  <c r="Q81" i="8192"/>
  <c r="AT1123" i="29184"/>
  <c r="Y77" i="28416"/>
  <c r="AT1121" i="29184"/>
  <c r="E1115" i="29184"/>
  <c r="L120" i="8192"/>
  <c r="AW666" i="29184"/>
  <c r="AW656" i="29184"/>
  <c r="AV1114" i="29184"/>
  <c r="K11" i="30043"/>
  <c r="U1958" i="29184"/>
  <c r="AV72" i="29184"/>
  <c r="AV345" i="29184"/>
  <c r="AP790" i="29184"/>
  <c r="AT436" i="29184"/>
  <c r="AS343" i="29184"/>
  <c r="AR795" i="29184"/>
  <c r="AS347" i="29184"/>
  <c r="AT789" i="29184"/>
  <c r="AP346" i="29184"/>
  <c r="E28" i="29184"/>
  <c r="Q225" i="30041"/>
  <c r="K794" i="29184"/>
  <c r="AV342" i="29184"/>
  <c r="AU99" i="29184"/>
  <c r="AU664" i="29184"/>
  <c r="AT790" i="29184"/>
  <c r="AW801" i="29184"/>
  <c r="AW660" i="29184"/>
  <c r="Y108" i="28416"/>
  <c r="L80" i="8192"/>
  <c r="O83" i="8192"/>
  <c r="P82" i="8192"/>
  <c r="H226" i="30041"/>
  <c r="L121" i="8192"/>
  <c r="J84" i="8192"/>
  <c r="F84" i="8192" s="1"/>
  <c r="F667" i="29184"/>
  <c r="Q80" i="8192"/>
  <c r="E433" i="29184"/>
  <c r="E798" i="29184"/>
  <c r="AV343" i="29184"/>
  <c r="AR26" i="29184"/>
  <c r="AP55" i="29184"/>
  <c r="AS657" i="29184"/>
  <c r="K437" i="29184"/>
  <c r="E1312" i="29184"/>
  <c r="U391" i="29184"/>
  <c r="AU1113" i="29184"/>
  <c r="B127" i="28416"/>
  <c r="U292" i="29184"/>
  <c r="AV1123" i="29184"/>
  <c r="U1566" i="29184"/>
  <c r="U412" i="29184"/>
  <c r="D1746" i="29184"/>
  <c r="AS664" i="29184"/>
  <c r="AT1114" i="29184"/>
  <c r="AU666" i="29184"/>
  <c r="AV657" i="29184"/>
  <c r="AP795" i="29184"/>
  <c r="AT1126" i="29184"/>
  <c r="AU347" i="29184"/>
  <c r="AV337" i="29184"/>
  <c r="K656" i="29184"/>
  <c r="E97" i="29184"/>
  <c r="D794" i="29184"/>
  <c r="E1120" i="29184"/>
  <c r="K126" i="8192"/>
  <c r="M121" i="8192"/>
  <c r="D667" i="29184"/>
  <c r="F656" i="29184"/>
  <c r="AK128" i="8192"/>
  <c r="AP1123" i="29184"/>
  <c r="AV1128" i="29184"/>
  <c r="AK353" i="30041"/>
  <c r="AT1116" i="29184"/>
  <c r="AK661" i="30041"/>
  <c r="AW99" i="29184"/>
  <c r="AV26" i="29184"/>
  <c r="AU72" i="29184"/>
  <c r="AP344" i="29184"/>
  <c r="AP340" i="29184"/>
  <c r="AT663" i="29184"/>
  <c r="AS795" i="29184"/>
  <c r="AS1120" i="29184"/>
  <c r="F95" i="29184"/>
  <c r="K95" i="29184"/>
  <c r="E98" i="29184"/>
  <c r="D98" i="29184"/>
  <c r="AW346" i="29184"/>
  <c r="F658" i="29184"/>
  <c r="K163" i="29184"/>
  <c r="R26" i="8192"/>
  <c r="K161" i="29184"/>
  <c r="AP1754" i="29184"/>
  <c r="AW340" i="29184"/>
  <c r="AV659" i="29184"/>
  <c r="AR73" i="29184"/>
  <c r="AR791" i="29184"/>
  <c r="AU337" i="29184"/>
  <c r="AW793" i="29184"/>
  <c r="E347" i="29184"/>
  <c r="CB8" i="29184"/>
  <c r="P123" i="8192"/>
  <c r="M126" i="8192"/>
  <c r="E1117" i="29184"/>
  <c r="H140" i="30041"/>
  <c r="P226" i="30041"/>
  <c r="AV801" i="29184"/>
  <c r="AT797" i="29184"/>
  <c r="AW663" i="29184"/>
  <c r="AS661" i="29184"/>
  <c r="D1304" i="29184"/>
  <c r="E117" i="29184"/>
  <c r="AV94" i="29184"/>
  <c r="K1524" i="29184"/>
  <c r="K666" i="29184"/>
  <c r="F1514" i="29184"/>
  <c r="AU665" i="29184"/>
  <c r="K195" i="29184"/>
  <c r="AU69" i="29184"/>
  <c r="AP1752" i="29184"/>
  <c r="AU1120" i="29184"/>
  <c r="AU1129" i="29184"/>
  <c r="AW343" i="29184"/>
  <c r="AR98" i="29184"/>
  <c r="AV7" i="29184"/>
  <c r="AW337" i="29184"/>
  <c r="AU344" i="29184"/>
  <c r="AP1762" i="29184"/>
  <c r="AW347" i="29184"/>
  <c r="AQ94" i="29184"/>
  <c r="AU343" i="29184"/>
  <c r="AS798" i="29184"/>
  <c r="AT795" i="29184"/>
  <c r="AW800" i="29184"/>
  <c r="AR800" i="29184"/>
  <c r="AT798" i="29184"/>
  <c r="AS1114" i="29184"/>
  <c r="AS793" i="29184"/>
  <c r="AW802" i="29184"/>
  <c r="AT73" i="29184"/>
  <c r="AR663" i="29184"/>
  <c r="AS800" i="29184"/>
  <c r="AO222" i="30041"/>
  <c r="F1119" i="29184"/>
  <c r="P221" i="30041"/>
  <c r="K1118" i="29184"/>
  <c r="D1530" i="29184"/>
  <c r="F347" i="29184"/>
  <c r="C124" i="8192"/>
  <c r="P122" i="8192"/>
  <c r="S126" i="8192"/>
  <c r="E345" i="29184"/>
  <c r="D95" i="29184"/>
  <c r="AP345" i="29184"/>
  <c r="F1127" i="29184"/>
  <c r="AK174" i="30041"/>
  <c r="AS97" i="29184"/>
  <c r="CB95" i="29184"/>
  <c r="AV793" i="29184"/>
  <c r="AS794" i="29184"/>
  <c r="AU55" i="29184"/>
  <c r="AU438" i="29184"/>
  <c r="AS797" i="29184"/>
  <c r="AS662" i="29184"/>
  <c r="AS666" i="29184"/>
  <c r="AP71" i="29184"/>
  <c r="AK486" i="30041"/>
  <c r="AK104" i="8192"/>
  <c r="E799" i="29184"/>
  <c r="D799" i="29184"/>
  <c r="AU340" i="29184"/>
  <c r="AS439" i="29184"/>
  <c r="AP664" i="29184"/>
  <c r="AP655" i="29184"/>
  <c r="P124" i="8192"/>
  <c r="D1117" i="29184"/>
  <c r="L140" i="30041"/>
  <c r="AP226" i="30041"/>
  <c r="CF226" i="30041" s="1"/>
  <c r="S123" i="8192"/>
  <c r="AV344" i="29184"/>
  <c r="AP793" i="29184"/>
  <c r="E791" i="29184"/>
  <c r="AT98" i="29184"/>
  <c r="AQ98" i="29184"/>
  <c r="E1524" i="29184"/>
  <c r="E1514" i="29184"/>
  <c r="D792" i="29184"/>
  <c r="AU1126" i="29184"/>
  <c r="AR1114" i="29184"/>
  <c r="AV1118" i="29184"/>
  <c r="AT659" i="29184"/>
  <c r="K792" i="29184"/>
  <c r="D16" i="29184"/>
  <c r="AR1118" i="29184"/>
  <c r="AW661" i="29184"/>
  <c r="AS792" i="29184"/>
  <c r="AS94" i="29184"/>
  <c r="AP343" i="29184"/>
  <c r="AS789" i="29184"/>
  <c r="AT660" i="29184"/>
  <c r="O225" i="30041"/>
  <c r="E1127" i="29184"/>
  <c r="L221" i="30041"/>
  <c r="K345" i="29184"/>
  <c r="K347" i="29184"/>
  <c r="K122" i="8192"/>
  <c r="AO124" i="8192"/>
  <c r="O126" i="8192"/>
  <c r="D791" i="29184"/>
  <c r="AU1117" i="29184"/>
  <c r="E95" i="29184"/>
  <c r="AT340" i="29184"/>
  <c r="AT7" i="29184"/>
  <c r="AU436" i="29184"/>
  <c r="AU663" i="29184"/>
  <c r="AV665" i="29184"/>
  <c r="D40" i="29184"/>
  <c r="AP69" i="29184"/>
  <c r="AV663" i="29184"/>
  <c r="AT432" i="29184"/>
  <c r="AP438" i="29184"/>
  <c r="AV796" i="29184"/>
  <c r="AP801" i="29184"/>
  <c r="AP26" i="29184"/>
  <c r="AT655" i="29184"/>
  <c r="AR435" i="29184"/>
  <c r="AV666" i="29184"/>
  <c r="AV667" i="29184"/>
  <c r="AW655" i="29184"/>
  <c r="AU440" i="29184"/>
  <c r="AT662" i="29184"/>
  <c r="AU71" i="29184"/>
  <c r="AP72" i="29184"/>
  <c r="AS72" i="29184"/>
  <c r="AU662" i="29184"/>
  <c r="AS435" i="29184"/>
  <c r="AV789" i="29184"/>
  <c r="AU656" i="29184"/>
  <c r="AU439" i="29184"/>
  <c r="AV664" i="29184"/>
  <c r="AT438" i="29184"/>
  <c r="E15" i="29184"/>
  <c r="AV800" i="29184"/>
  <c r="AT666" i="29184"/>
  <c r="AR794" i="29184"/>
  <c r="E26" i="29184"/>
  <c r="AS438" i="29184"/>
  <c r="AV69" i="29184"/>
  <c r="AT801" i="29184"/>
  <c r="AR801" i="29184"/>
  <c r="AU660" i="29184"/>
  <c r="AR432" i="29184"/>
  <c r="AR69" i="29184"/>
  <c r="AV432" i="29184"/>
  <c r="AS801" i="29184"/>
  <c r="AU432" i="29184"/>
  <c r="AP797" i="29184"/>
  <c r="AU658" i="29184"/>
  <c r="AP661" i="29184"/>
  <c r="AW664" i="29184"/>
  <c r="AS660" i="29184"/>
  <c r="AU431" i="29184"/>
  <c r="AV790" i="29184"/>
  <c r="AV662" i="29184"/>
  <c r="AV660" i="29184"/>
  <c r="AW27" i="29184"/>
  <c r="AP794" i="29184"/>
  <c r="AV656" i="29184"/>
  <c r="AR438" i="29184"/>
  <c r="AT97" i="29184"/>
  <c r="AV795" i="29184"/>
  <c r="AW794" i="29184"/>
  <c r="F9" i="29184"/>
  <c r="AP29" i="29184"/>
  <c r="CB70" i="29184"/>
  <c r="CB40" i="29184"/>
  <c r="AP16" i="29184"/>
  <c r="AP666" i="29184"/>
  <c r="AT71" i="29184"/>
  <c r="AR434" i="29184"/>
  <c r="AP803" i="29184"/>
  <c r="AS434" i="29184"/>
  <c r="AW799" i="29184"/>
  <c r="AU73" i="29184"/>
  <c r="AT803" i="29184"/>
  <c r="AP430" i="29184"/>
  <c r="AU802" i="29184"/>
  <c r="AV434" i="29184"/>
  <c r="AU799" i="29184"/>
  <c r="AS791" i="29184"/>
  <c r="AR802" i="29184"/>
  <c r="AP17" i="29184"/>
  <c r="AU798" i="29184"/>
  <c r="K263" i="29184"/>
  <c r="F801" i="29184"/>
  <c r="E801" i="29184"/>
  <c r="K801" i="29184"/>
  <c r="AR347" i="29184"/>
  <c r="C143" i="30041"/>
  <c r="AV803" i="29184"/>
  <c r="AU801" i="29184"/>
  <c r="E796" i="29184"/>
  <c r="AR337" i="29184"/>
  <c r="AP662" i="29184"/>
  <c r="F1116" i="29184"/>
  <c r="AQ802" i="29184"/>
  <c r="D1306" i="29184"/>
  <c r="AP15" i="29184"/>
  <c r="AR15" i="29184"/>
  <c r="AV1116" i="29184"/>
  <c r="AT69" i="29184"/>
  <c r="AP665" i="29184"/>
  <c r="AS803" i="29184"/>
  <c r="AU803" i="29184"/>
  <c r="AR430" i="29184"/>
  <c r="AR344" i="29184"/>
  <c r="AT347" i="29184"/>
  <c r="AV73" i="29184"/>
  <c r="AT70" i="29184"/>
  <c r="AT72" i="29184"/>
  <c r="AR16" i="29184"/>
  <c r="AP434" i="29184"/>
  <c r="K15" i="29184"/>
  <c r="AQ17" i="29184" s="1"/>
  <c r="AS430" i="29184"/>
  <c r="AU789" i="29184"/>
  <c r="AW791" i="29184"/>
  <c r="AP791" i="29184"/>
  <c r="AT337" i="29184"/>
  <c r="E27" i="29184"/>
  <c r="AU793" i="29184"/>
  <c r="AV802" i="29184"/>
  <c r="AP802" i="29184"/>
  <c r="CB39" i="29184"/>
  <c r="AS7" i="29184"/>
  <c r="F662" i="29184"/>
  <c r="K662" i="29184"/>
  <c r="D431" i="29184"/>
  <c r="F431" i="29184"/>
  <c r="K439" i="29184"/>
  <c r="E439" i="29184"/>
  <c r="F439" i="29184"/>
  <c r="D439" i="29184"/>
  <c r="D657" i="29184"/>
  <c r="E657" i="29184"/>
  <c r="AR346" i="29184"/>
  <c r="AP659" i="29184"/>
  <c r="P142" i="30041"/>
  <c r="AU434" i="29184"/>
  <c r="AV799" i="29184"/>
  <c r="E790" i="29184"/>
  <c r="F796" i="29184"/>
  <c r="AU797" i="29184"/>
  <c r="K337" i="29184"/>
  <c r="AQ339" i="29184" s="1"/>
  <c r="AP663" i="29184"/>
  <c r="E1116" i="29184"/>
  <c r="AV15" i="29184"/>
  <c r="AV16" i="29184"/>
  <c r="AS433" i="29184"/>
  <c r="AP1120" i="29184"/>
  <c r="AP657" i="29184"/>
  <c r="AP1126" i="29184"/>
  <c r="AU792" i="29184"/>
  <c r="AU794" i="29184"/>
  <c r="AU795" i="29184"/>
  <c r="AT430" i="29184"/>
  <c r="AP73" i="29184"/>
  <c r="AS799" i="29184"/>
  <c r="AP1127" i="29184"/>
  <c r="AS440" i="29184"/>
  <c r="F15" i="29184"/>
  <c r="AR343" i="29184"/>
  <c r="AR799" i="29184"/>
  <c r="AP1121" i="29184"/>
  <c r="AV791" i="29184"/>
  <c r="AU791" i="29184"/>
  <c r="AP1114" i="29184"/>
  <c r="AT346" i="29184"/>
  <c r="K27" i="29184"/>
  <c r="AS802" i="29184"/>
  <c r="AR340" i="29184"/>
  <c r="AP658" i="29184"/>
  <c r="AP656" i="29184"/>
  <c r="E664" i="29184"/>
  <c r="F790" i="29184"/>
  <c r="K267" i="29184"/>
  <c r="AR338" i="29184"/>
  <c r="E658" i="29184"/>
  <c r="F664" i="29184"/>
  <c r="AK161" i="8192"/>
  <c r="AP654" i="29184"/>
  <c r="F665" i="29184"/>
  <c r="K665" i="29184"/>
  <c r="D665" i="29184"/>
  <c r="E665" i="29184"/>
  <c r="D795" i="29184"/>
  <c r="K795" i="29184"/>
  <c r="E795" i="29184"/>
  <c r="F795" i="29184"/>
  <c r="R142" i="30041"/>
  <c r="K790" i="29184"/>
  <c r="K796" i="29184"/>
  <c r="D951" i="29184"/>
  <c r="F337" i="29184"/>
  <c r="AP660" i="29184"/>
  <c r="K658" i="29184"/>
  <c r="AV71" i="29184"/>
  <c r="AV70" i="29184"/>
  <c r="AU430" i="29184"/>
  <c r="AS432" i="29184"/>
  <c r="AS436" i="29184"/>
  <c r="AT344" i="29184"/>
  <c r="AU796" i="29184"/>
  <c r="AT799" i="29184"/>
  <c r="AU790" i="29184"/>
  <c r="AT341" i="29184"/>
  <c r="AP1118" i="29184"/>
  <c r="AP1306" i="29184"/>
  <c r="AP1315" i="29184"/>
  <c r="D664" i="29184"/>
  <c r="AK381" i="30041"/>
  <c r="AK188" i="30041"/>
  <c r="AS8" i="29184"/>
  <c r="F16" i="29184"/>
  <c r="Q26" i="8192"/>
  <c r="AP437" i="29184"/>
  <c r="AU96" i="29184"/>
  <c r="K16" i="29184"/>
  <c r="E40" i="29184"/>
  <c r="F29" i="29184"/>
  <c r="R61" i="28416"/>
  <c r="AU98" i="29184"/>
  <c r="AU94" i="29184"/>
  <c r="AS429" i="29184"/>
  <c r="AW437" i="29184"/>
  <c r="R90" i="28416"/>
  <c r="AR17" i="29184"/>
  <c r="AV57" i="29184"/>
  <c r="AW39" i="29184"/>
  <c r="AU95" i="29184"/>
  <c r="F40" i="29184"/>
  <c r="X66" i="18944"/>
  <c r="D498" i="30041"/>
  <c r="AS56" i="29184"/>
  <c r="AT56" i="29184"/>
  <c r="AW15" i="29184"/>
  <c r="AV9" i="29184"/>
  <c r="AK14" i="8192"/>
  <c r="F3" i="30004"/>
  <c r="C3" i="30049"/>
  <c r="Y86" i="28160"/>
  <c r="CB96" i="29184"/>
  <c r="AW9" i="29184"/>
  <c r="AS26" i="29184"/>
  <c r="AW95" i="29184"/>
  <c r="AR57" i="29184"/>
  <c r="AU345" i="29184"/>
  <c r="O7" i="8192"/>
  <c r="AS654" i="29184"/>
  <c r="AU57" i="29184"/>
  <c r="AS345" i="29184"/>
  <c r="AW17" i="29184"/>
  <c r="K29" i="29184"/>
  <c r="AW440" i="29184"/>
  <c r="AW70" i="29184"/>
  <c r="AR55" i="29184"/>
  <c r="AU17" i="29184"/>
  <c r="AW97" i="29184"/>
  <c r="D29" i="29184"/>
  <c r="R9" i="8192"/>
  <c r="AT654" i="29184"/>
  <c r="AR9" i="29184"/>
  <c r="AT39" i="29184"/>
  <c r="AW38" i="29184"/>
  <c r="AR429" i="29184"/>
  <c r="AW7" i="29184"/>
  <c r="E37" i="29184"/>
  <c r="AU7" i="29184"/>
  <c r="AU97" i="29184"/>
  <c r="AK38" i="8192"/>
  <c r="M39" i="30041"/>
  <c r="AV38" i="29184"/>
  <c r="AS55" i="29184"/>
  <c r="F343" i="29184"/>
  <c r="K343" i="29184"/>
  <c r="D654" i="29184"/>
  <c r="E654" i="29184"/>
  <c r="K268" i="29184"/>
  <c r="D17" i="29184"/>
  <c r="E17" i="29184"/>
  <c r="F56" i="29184"/>
  <c r="D56" i="29184"/>
  <c r="K56" i="29184"/>
  <c r="E56" i="29184"/>
  <c r="K57" i="29184"/>
  <c r="D57" i="29184"/>
  <c r="F57" i="29184"/>
  <c r="E57" i="29184"/>
  <c r="K55" i="29184"/>
  <c r="E55" i="29184"/>
  <c r="D55" i="29184"/>
  <c r="F55" i="29184"/>
  <c r="D438" i="29184"/>
  <c r="E438" i="29184"/>
  <c r="AR39" i="29184"/>
  <c r="F654" i="29184"/>
  <c r="Q121" i="8192"/>
  <c r="AP121" i="8192"/>
  <c r="BS121" i="8192" s="1"/>
  <c r="H141" i="30041"/>
  <c r="O140" i="30041"/>
  <c r="H223" i="30041"/>
  <c r="C221" i="30041"/>
  <c r="C222" i="30041"/>
  <c r="AP124" i="8192"/>
  <c r="BS124" i="8192" s="1"/>
  <c r="AV97" i="29184"/>
  <c r="AU38" i="29184"/>
  <c r="AR664" i="29184"/>
  <c r="AS54" i="29184"/>
  <c r="AR437" i="29184"/>
  <c r="AW16" i="29184"/>
  <c r="AU16" i="29184"/>
  <c r="AW71" i="29184"/>
  <c r="AR657" i="29184"/>
  <c r="AU429" i="29184"/>
  <c r="AR661" i="29184"/>
  <c r="AW98" i="29184"/>
  <c r="AW435" i="29184"/>
  <c r="AW430" i="29184"/>
  <c r="AR659" i="29184"/>
  <c r="AP225" i="30041"/>
  <c r="CF225" i="30041" s="1"/>
  <c r="J222" i="30041"/>
  <c r="D222" i="30041" s="1"/>
  <c r="O224" i="30041"/>
  <c r="AO226" i="30041"/>
  <c r="F953" i="29184"/>
  <c r="K225" i="30041"/>
  <c r="S224" i="30041"/>
  <c r="N221" i="30041"/>
  <c r="E343" i="29184"/>
  <c r="K1126" i="29184"/>
  <c r="N126" i="8192"/>
  <c r="S124" i="8192"/>
  <c r="M122" i="8192"/>
  <c r="L125" i="8192"/>
  <c r="O123" i="8192"/>
  <c r="AO126" i="8192"/>
  <c r="AL126" i="8192"/>
  <c r="N125" i="8192"/>
  <c r="O124" i="8192"/>
  <c r="K124" i="8192"/>
  <c r="AL123" i="8192"/>
  <c r="Q122" i="8192"/>
  <c r="AP1128" i="29184"/>
  <c r="H122" i="8192"/>
  <c r="O121" i="8192"/>
  <c r="R125" i="8192"/>
  <c r="AP144" i="30041"/>
  <c r="CF144" i="30041" s="1"/>
  <c r="AO143" i="30041"/>
  <c r="AP99" i="29184"/>
  <c r="C225" i="30041"/>
  <c r="O221" i="30041"/>
  <c r="AL226" i="30041"/>
  <c r="AS39" i="29184"/>
  <c r="Q125" i="8192"/>
  <c r="M124" i="8192"/>
  <c r="Q124" i="8192"/>
  <c r="O125" i="8192"/>
  <c r="AO123" i="8192"/>
  <c r="H125" i="8192"/>
  <c r="AL144" i="30041"/>
  <c r="Q143" i="30041"/>
  <c r="Q140" i="30041"/>
  <c r="O144" i="30041"/>
  <c r="J141" i="30041"/>
  <c r="I141" i="30041" s="1"/>
  <c r="N225" i="30041"/>
  <c r="R222" i="30041"/>
  <c r="AL222" i="30041"/>
  <c r="P224" i="30041"/>
  <c r="R226" i="30041"/>
  <c r="L123" i="8192"/>
  <c r="AP126" i="8192"/>
  <c r="BS126" i="8192" s="1"/>
  <c r="J121" i="8192"/>
  <c r="E121" i="8192" s="1"/>
  <c r="T1000" i="29184"/>
  <c r="AQ97" i="29184"/>
  <c r="K951" i="29184"/>
  <c r="H259" i="29184"/>
  <c r="AT57" i="29184"/>
  <c r="AR56" i="29184"/>
  <c r="H9" i="8192"/>
  <c r="AR38" i="29184"/>
  <c r="AS38" i="29184"/>
  <c r="AR7" i="29184"/>
  <c r="K269" i="29184"/>
  <c r="AP98" i="29184"/>
  <c r="AW58" i="29184"/>
  <c r="AW55" i="29184"/>
  <c r="AP54" i="29184"/>
  <c r="K1116" i="29184"/>
  <c r="AQ795" i="29184"/>
  <c r="AU15" i="29184"/>
  <c r="AV17" i="29184"/>
  <c r="AW69" i="29184"/>
  <c r="K37" i="29184"/>
  <c r="AQ38" i="29184" s="1"/>
  <c r="AR665" i="29184"/>
  <c r="AT9" i="29184"/>
  <c r="AP429" i="29184"/>
  <c r="AW434" i="29184"/>
  <c r="AS27" i="29184"/>
  <c r="AP57" i="29184"/>
  <c r="AW436" i="29184"/>
  <c r="AW345" i="29184"/>
  <c r="AW429" i="29184"/>
  <c r="AP97" i="29184"/>
  <c r="AW73" i="29184"/>
  <c r="AV39" i="29184"/>
  <c r="AV56" i="29184"/>
  <c r="AV654" i="29184"/>
  <c r="AP58" i="29184"/>
  <c r="AR345" i="29184"/>
  <c r="AW439" i="29184"/>
  <c r="E9" i="29184"/>
  <c r="AT55" i="29184"/>
  <c r="AT345" i="29184"/>
  <c r="AU654" i="29184"/>
  <c r="AP9" i="29184"/>
  <c r="AP1124" i="29184"/>
  <c r="AS57" i="29184"/>
  <c r="AR58" i="29184"/>
  <c r="AV429" i="29184"/>
  <c r="AV437" i="29184"/>
  <c r="J224" i="30041"/>
  <c r="E224" i="30041" s="1"/>
  <c r="Q226" i="30041"/>
  <c r="M221" i="30041"/>
  <c r="S225" i="30041"/>
  <c r="AP222" i="30041"/>
  <c r="CF222" i="30041" s="1"/>
  <c r="AP221" i="30041"/>
  <c r="CF221" i="30041" s="1"/>
  <c r="H224" i="30041"/>
  <c r="D1126" i="29184"/>
  <c r="AS58" i="29184"/>
  <c r="E953" i="29184"/>
  <c r="K121" i="8192"/>
  <c r="J123" i="8192"/>
  <c r="AL122" i="8192"/>
  <c r="M125" i="8192"/>
  <c r="AP123" i="8192"/>
  <c r="BS123" i="8192" s="1"/>
  <c r="C125" i="8192"/>
  <c r="L122" i="8192"/>
  <c r="R121" i="8192"/>
  <c r="P125" i="8192"/>
  <c r="K123" i="8192"/>
  <c r="R126" i="8192"/>
  <c r="AL124" i="8192"/>
  <c r="E660" i="29184"/>
  <c r="F430" i="29184"/>
  <c r="E430" i="29184"/>
  <c r="D430" i="29184"/>
  <c r="K430" i="29184"/>
  <c r="F660" i="29184"/>
  <c r="D660" i="29184"/>
  <c r="K264" i="29184"/>
  <c r="E434" i="29184"/>
  <c r="F434" i="29184"/>
  <c r="K434" i="29184"/>
  <c r="D434" i="29184"/>
  <c r="K432" i="29184"/>
  <c r="F432" i="29184"/>
  <c r="D432" i="29184"/>
  <c r="E432" i="29184"/>
  <c r="C121" i="8192"/>
  <c r="C122" i="8192"/>
  <c r="S122" i="8192"/>
  <c r="N121" i="8192"/>
  <c r="P141" i="30041"/>
  <c r="P143" i="30041"/>
  <c r="M140" i="30041"/>
  <c r="N224" i="30041"/>
  <c r="N226" i="30041"/>
  <c r="S125" i="8192"/>
  <c r="N122" i="8192"/>
  <c r="AR654" i="29184"/>
  <c r="AT54" i="29184"/>
  <c r="AW96" i="29184"/>
  <c r="AW432" i="29184"/>
  <c r="AU39" i="29184"/>
  <c r="AU437" i="29184"/>
  <c r="AW94" i="29184"/>
  <c r="K9" i="29184"/>
  <c r="AS9" i="29184"/>
  <c r="AS437" i="29184"/>
  <c r="AL125" i="8192"/>
  <c r="N222" i="30041"/>
  <c r="AP1116" i="29184"/>
  <c r="AU58" i="29184"/>
  <c r="P126" i="8192"/>
  <c r="L124" i="8192"/>
  <c r="R123" i="8192"/>
  <c r="AP143" i="30041"/>
  <c r="CF143" i="30041" s="1"/>
  <c r="M226" i="30041"/>
  <c r="H126" i="8192"/>
  <c r="AL121" i="8192"/>
  <c r="H123" i="8192"/>
  <c r="Y160" i="29952"/>
  <c r="E951" i="29184"/>
  <c r="AW57" i="29184"/>
  <c r="AR660" i="29184"/>
  <c r="AV55" i="29184"/>
  <c r="AV58" i="29184"/>
  <c r="K193" i="29184"/>
  <c r="AR666" i="29184"/>
  <c r="AR667" i="29184"/>
  <c r="AW654" i="29184"/>
  <c r="F37" i="29184"/>
  <c r="AR54" i="29184"/>
  <c r="AW438" i="29184"/>
  <c r="AU54" i="29184"/>
  <c r="AT58" i="29184"/>
  <c r="AW433" i="29184"/>
  <c r="AV54" i="29184"/>
  <c r="AP56" i="29184"/>
  <c r="AU9" i="29184"/>
  <c r="AQ796" i="29184"/>
  <c r="AP1122" i="29184"/>
  <c r="AP1129" i="29184"/>
  <c r="K17" i="29184"/>
  <c r="AQ27" i="29184"/>
  <c r="AR655" i="29184"/>
  <c r="K226" i="30041"/>
  <c r="M222" i="30041"/>
  <c r="AL224" i="30041"/>
  <c r="H221" i="30041"/>
  <c r="Q221" i="30041"/>
  <c r="P222" i="30041"/>
  <c r="AO225" i="30041"/>
  <c r="R225" i="30041"/>
  <c r="Q224" i="30041"/>
  <c r="AV1321" i="29184"/>
  <c r="F124" i="28416"/>
  <c r="K953" i="29184"/>
  <c r="AO122" i="8192"/>
  <c r="R122" i="8192"/>
  <c r="L126" i="8192"/>
  <c r="C123" i="8192"/>
  <c r="P121" i="8192"/>
  <c r="H124" i="8192"/>
  <c r="M123" i="8192"/>
  <c r="O122" i="8192"/>
  <c r="J125" i="8192"/>
  <c r="AO125" i="8192"/>
  <c r="W14" i="28160"/>
  <c r="Y12" i="28416"/>
  <c r="T321" i="29957"/>
  <c r="W127" i="8192"/>
  <c r="AV788" i="29184"/>
  <c r="C66" i="30099"/>
  <c r="T678" i="29184"/>
  <c r="T1151" i="29184"/>
  <c r="AZ120" i="8192"/>
  <c r="BB96" i="28416"/>
  <c r="Y78" i="28160"/>
  <c r="BE4" i="30002"/>
  <c r="Y148" i="28160"/>
  <c r="CR4" i="30002"/>
  <c r="C20" i="440"/>
  <c r="AB53" i="29184"/>
  <c r="AR1117" i="29184"/>
  <c r="AQ1119" i="29184"/>
  <c r="BA36" i="28416"/>
  <c r="AN68" i="29184"/>
  <c r="CB69" i="29184" s="1"/>
  <c r="BA96" i="28416"/>
  <c r="AD50" i="29952"/>
  <c r="W26" i="18944"/>
  <c r="AV29" i="29184"/>
  <c r="AW29" i="29184"/>
  <c r="AN788" i="29184"/>
  <c r="AD78" i="28160"/>
  <c r="AO36" i="30041"/>
  <c r="AR1119" i="29184"/>
  <c r="K68" i="29184"/>
  <c r="AW192" i="29184"/>
  <c r="H36" i="30041"/>
  <c r="AB1532" i="29184"/>
  <c r="AP87" i="30041"/>
  <c r="C105" i="30019"/>
  <c r="AP532" i="29184"/>
  <c r="AB1765" i="29184"/>
  <c r="F5" i="30017"/>
  <c r="M29" i="30099"/>
  <c r="AW1114" i="29184"/>
  <c r="X541" i="30041"/>
  <c r="T10" i="30031"/>
  <c r="T245" i="29184"/>
  <c r="I39" i="28416"/>
  <c r="Y119" i="28416"/>
  <c r="J107" i="28416"/>
  <c r="U1862" i="29184"/>
  <c r="J55" i="28416"/>
  <c r="AX497" i="30041"/>
  <c r="O87" i="30041"/>
  <c r="AW1122" i="29184"/>
  <c r="S490" i="29184"/>
  <c r="T587" i="29184"/>
  <c r="S555" i="29184"/>
  <c r="S1632" i="29184"/>
  <c r="D9" i="18944"/>
  <c r="S349" i="29184"/>
  <c r="T805" i="29184"/>
  <c r="T1211" i="29184"/>
  <c r="T10" i="18944"/>
  <c r="D17" i="18944"/>
  <c r="Y76" i="29952"/>
  <c r="I505" i="30041"/>
  <c r="B34" i="30041"/>
  <c r="AN34" i="30041" s="1"/>
  <c r="AW24" i="8192"/>
  <c r="K18" i="30043"/>
  <c r="U1632" i="29184"/>
  <c r="U1261" i="29184"/>
  <c r="U603" i="29184"/>
  <c r="U240" i="29957"/>
  <c r="AB62" i="18944"/>
  <c r="AU342" i="29184"/>
  <c r="M52" i="18944"/>
  <c r="I92" i="28416"/>
  <c r="J4" i="30002"/>
  <c r="B1744" i="29184"/>
  <c r="L40" i="18944"/>
  <c r="AV532" i="29184"/>
  <c r="T313" i="29184"/>
  <c r="T1731" i="29184"/>
  <c r="M8" i="18944"/>
  <c r="T687" i="29184"/>
  <c r="BA24" i="8192"/>
  <c r="T221" i="29184"/>
  <c r="T66" i="18944"/>
  <c r="Y2" i="29952"/>
  <c r="AT1512" i="29184"/>
  <c r="N64" i="18944"/>
  <c r="G6" i="29955"/>
  <c r="N24" i="8192"/>
  <c r="U1982" i="29184"/>
  <c r="U398" i="29184"/>
  <c r="X98" i="29952"/>
  <c r="U42" i="18944"/>
  <c r="AP80" i="28416"/>
  <c r="U814" i="29184"/>
  <c r="M24" i="18944"/>
  <c r="T931" i="29184"/>
  <c r="T159" i="29184"/>
  <c r="G94" i="30099"/>
  <c r="R497" i="30041"/>
  <c r="V50" i="29952"/>
  <c r="V227" i="30041"/>
  <c r="S1566" i="29184"/>
  <c r="S678" i="29184"/>
  <c r="T814" i="29184"/>
  <c r="L4" i="440"/>
  <c r="E33" i="28416"/>
  <c r="AD226" i="29952"/>
  <c r="U13" i="28416"/>
  <c r="E6" i="30049"/>
  <c r="B4" i="30003"/>
  <c r="AV6" i="8192"/>
  <c r="AP133" i="29184"/>
  <c r="AP159" i="29184"/>
  <c r="AB1130" i="29184"/>
  <c r="AB441" i="29184"/>
  <c r="AB6" i="29184"/>
  <c r="E2" i="30043"/>
  <c r="AN133" i="29184"/>
  <c r="AR29" i="29184"/>
  <c r="AD14" i="28160"/>
  <c r="U120" i="28416"/>
  <c r="AJ3" i="30019"/>
  <c r="AS113" i="29184"/>
  <c r="K220" i="30041"/>
  <c r="AQ653" i="29184"/>
  <c r="AR36" i="30041"/>
  <c r="AR120" i="8192"/>
  <c r="L16" i="440"/>
  <c r="AW428" i="29184"/>
  <c r="AF4" i="30043"/>
  <c r="BQ4" i="30002"/>
  <c r="C18" i="440"/>
  <c r="J53" i="29184"/>
  <c r="AB804" i="29184"/>
  <c r="AB546" i="29184"/>
  <c r="BA58" i="28416"/>
  <c r="P76" i="28416"/>
  <c r="AD6" i="29952"/>
  <c r="AO120" i="8192"/>
  <c r="AG93" i="29184"/>
  <c r="AR24" i="8192"/>
  <c r="AG1303" i="29184"/>
  <c r="AW259" i="29184"/>
  <c r="W4" i="30002"/>
  <c r="C14" i="440"/>
  <c r="J93" i="29184"/>
  <c r="AQ120" i="8192"/>
  <c r="AB1322" i="29184"/>
  <c r="AB133" i="29184"/>
  <c r="AD110" i="29952"/>
  <c r="AD54" i="28160"/>
  <c r="AN36" i="29184"/>
  <c r="B156" i="28160"/>
  <c r="K93" i="29184"/>
  <c r="D13" i="24620"/>
  <c r="AR497" i="30041"/>
  <c r="AP1112" i="29184"/>
  <c r="AP336" i="29184"/>
  <c r="AP14" i="29184"/>
  <c r="AP1512" i="29184"/>
  <c r="J4" i="30031"/>
  <c r="AP6" i="29184"/>
  <c r="AP36" i="29184"/>
  <c r="AP192" i="29184"/>
  <c r="AP79" i="8192"/>
  <c r="U1040" i="29184"/>
  <c r="U1934" i="29184"/>
  <c r="U458" i="29184"/>
  <c r="U159" i="29184"/>
  <c r="U1356" i="29184"/>
  <c r="X110" i="29952"/>
  <c r="U233" i="29184"/>
  <c r="X138" i="28160"/>
  <c r="U777" i="29184"/>
  <c r="X212" i="29952"/>
  <c r="U1599" i="29184"/>
  <c r="U321" i="29957"/>
  <c r="X30" i="28160"/>
  <c r="U563" i="29184"/>
  <c r="X158" i="28160"/>
  <c r="N20" i="18944"/>
  <c r="U1838" i="29184"/>
  <c r="U221" i="29184"/>
  <c r="U705" i="29184"/>
  <c r="X198" i="29952"/>
  <c r="BF35" i="28416"/>
  <c r="U1826" i="29184"/>
  <c r="U1271" i="29184"/>
  <c r="U50" i="18944"/>
  <c r="AB30" i="18944"/>
  <c r="X120" i="28160"/>
  <c r="AB46" i="18944"/>
  <c r="U841" i="29184"/>
  <c r="U42" i="29957"/>
  <c r="U635" i="29184"/>
  <c r="U245" i="29184"/>
  <c r="U1060" i="29184"/>
  <c r="N44" i="18944"/>
  <c r="U687" i="29184"/>
  <c r="U1030" i="29184"/>
  <c r="Z119" i="28416"/>
  <c r="U113" i="29184"/>
  <c r="U1070" i="29184"/>
  <c r="X74" i="29952"/>
  <c r="U1488" i="29184"/>
  <c r="U1455" i="29184"/>
  <c r="U877" i="29184"/>
  <c r="U1577" i="29184"/>
  <c r="J47" i="28416"/>
  <c r="U627" i="29184"/>
  <c r="U759" i="29184"/>
  <c r="N24" i="18944"/>
  <c r="U1389" i="29184"/>
  <c r="U678" i="29184"/>
  <c r="U1466" i="29184"/>
  <c r="U823" i="29184"/>
  <c r="X345" i="30041"/>
  <c r="U5" i="29957"/>
  <c r="U1802" i="29184"/>
  <c r="U970" i="29184"/>
  <c r="U419" i="29184"/>
  <c r="X85" i="8192"/>
  <c r="U1610" i="29184"/>
  <c r="N68" i="18944"/>
  <c r="J39" i="28416"/>
  <c r="U1555" i="29184"/>
  <c r="U1814" i="29184"/>
  <c r="U555" i="29184"/>
  <c r="U886" i="29184"/>
  <c r="U1665" i="29184"/>
  <c r="X130" i="28160"/>
  <c r="AP20" i="28416"/>
  <c r="U1191" i="29184"/>
  <c r="U990" i="29184"/>
  <c r="U913" i="29184"/>
  <c r="U1790" i="29184"/>
  <c r="U405" i="29184"/>
  <c r="N48" i="18944"/>
  <c r="Z88" i="28416"/>
  <c r="U306" i="29184"/>
  <c r="U832" i="29184"/>
  <c r="U320" i="29184"/>
  <c r="U1621" i="29184"/>
  <c r="E51" i="18944"/>
  <c r="U768" i="29184"/>
  <c r="U1720" i="29184"/>
  <c r="U571" i="29184"/>
  <c r="U1201" i="29184"/>
  <c r="U251" i="29184"/>
  <c r="U317" i="29957"/>
  <c r="U805" i="29184"/>
  <c r="U714" i="29184"/>
  <c r="U859" i="29184"/>
  <c r="U1251" i="29184"/>
  <c r="U1886" i="29184"/>
  <c r="U1050" i="29184"/>
  <c r="U1778" i="29184"/>
  <c r="AI54" i="18944"/>
  <c r="U1477" i="29184"/>
  <c r="Z28" i="28416"/>
  <c r="X160" i="29952"/>
  <c r="X6" i="29952"/>
  <c r="U363" i="29184"/>
  <c r="X10" i="8192"/>
  <c r="U611" i="29184"/>
  <c r="U1898" i="29184"/>
  <c r="U1874" i="29184"/>
  <c r="U1499" i="29184"/>
  <c r="U1922" i="29184"/>
  <c r="E59" i="18944"/>
  <c r="U1323" i="29184"/>
  <c r="Z12" i="28416"/>
  <c r="X145" i="30041"/>
  <c r="U1020" i="29184"/>
  <c r="B14" i="24620"/>
  <c r="B46" i="24620"/>
  <c r="B33" i="24620"/>
  <c r="N6" i="30041"/>
  <c r="N8" i="18944"/>
  <c r="BF57" i="28416"/>
  <c r="X46" i="28160"/>
  <c r="X148" i="29952"/>
  <c r="U450" i="29184"/>
  <c r="E17" i="18944"/>
  <c r="J8" i="28416"/>
  <c r="U53" i="29184"/>
  <c r="U904" i="29184"/>
  <c r="U1444" i="29184"/>
  <c r="U960" i="29184"/>
  <c r="X70" i="28160"/>
  <c r="U1090" i="29184"/>
  <c r="BE62" i="28416"/>
  <c r="I37" i="28416"/>
  <c r="H6" i="30049"/>
  <c r="AS339" i="29184"/>
  <c r="U1698" i="29184"/>
  <c r="U1946" i="29184"/>
  <c r="AW220" i="30041"/>
  <c r="E67" i="18944"/>
  <c r="X38" i="29952"/>
  <c r="U931" i="29184"/>
  <c r="U299" i="29184"/>
  <c r="U26" i="18944"/>
  <c r="U643" i="29184"/>
  <c r="L5" i="30017"/>
  <c r="X104" i="28160"/>
  <c r="U579" i="29184"/>
  <c r="U271" i="29184"/>
  <c r="U1281" i="29184"/>
  <c r="X86" i="29952"/>
  <c r="U522" i="29184"/>
  <c r="J24" i="28416"/>
  <c r="U1291" i="29184"/>
  <c r="J92" i="28416"/>
  <c r="E39" i="18944"/>
  <c r="J32" i="28416"/>
  <c r="U1100" i="29184"/>
  <c r="U1544" i="29184"/>
  <c r="U327" i="29184"/>
  <c r="U474" i="29184"/>
  <c r="U1654" i="29184"/>
  <c r="U1400" i="29184"/>
  <c r="E66" i="440"/>
  <c r="X694" i="30041"/>
  <c r="X275" i="30041"/>
  <c r="AT116" i="29184"/>
  <c r="AT114" i="29184"/>
  <c r="AW139" i="30041"/>
  <c r="N6" i="8192"/>
  <c r="N79" i="8192"/>
  <c r="AW120" i="8192"/>
  <c r="N51" i="8192"/>
  <c r="AW51" i="8192"/>
  <c r="N139" i="30041"/>
  <c r="AW36" i="30041"/>
  <c r="AW87" i="30041"/>
  <c r="N497" i="30041"/>
  <c r="X687" i="30041"/>
  <c r="X596" i="30041"/>
  <c r="X194" i="30041"/>
  <c r="X200" i="30041"/>
  <c r="X435" i="30041"/>
  <c r="X645" i="30041"/>
  <c r="X68" i="30041"/>
  <c r="X54" i="30041"/>
  <c r="X422" i="30041"/>
  <c r="X95" i="29952"/>
  <c r="X262" i="30041"/>
  <c r="X290" i="30041"/>
  <c r="X96" i="29952"/>
  <c r="X659" i="30041"/>
  <c r="X491" i="30041"/>
  <c r="X477" i="30041"/>
  <c r="X318" i="30041"/>
  <c r="X82" i="30041"/>
  <c r="X74" i="30041"/>
  <c r="X568" i="30041"/>
  <c r="E38" i="440"/>
  <c r="X373" i="30041"/>
  <c r="X240" i="30041"/>
  <c r="X304" i="30041"/>
  <c r="X400" i="30041"/>
  <c r="AO85" i="28416"/>
  <c r="C38" i="30099"/>
  <c r="I29" i="28416"/>
  <c r="Y17" i="28416"/>
  <c r="BE40" i="28416"/>
  <c r="Y124" i="28416"/>
  <c r="W180" i="29952"/>
  <c r="A14" i="30031"/>
  <c r="W44" i="28160"/>
  <c r="I13" i="28416"/>
  <c r="W12" i="28160"/>
  <c r="E502" i="30041"/>
  <c r="F502" i="30041"/>
  <c r="I502" i="30041"/>
  <c r="AS1125" i="29184"/>
  <c r="AR1125" i="29184"/>
  <c r="AW1125" i="29184"/>
  <c r="AU1125" i="29184"/>
  <c r="AT1125" i="29184"/>
  <c r="AW1118" i="29184"/>
  <c r="AW1123" i="29184"/>
  <c r="AW1126" i="29184"/>
  <c r="AW1113" i="29184"/>
  <c r="AW1116" i="29184"/>
  <c r="AW1129" i="29184"/>
  <c r="AW1124" i="29184"/>
  <c r="AW1120" i="29184"/>
  <c r="AU339" i="29184"/>
  <c r="AP339" i="29184"/>
  <c r="AT339" i="29184"/>
  <c r="G1112" i="29184"/>
  <c r="AO192" i="29184"/>
  <c r="Y101" i="29952"/>
  <c r="Y21" i="29952"/>
  <c r="G312" i="29957"/>
  <c r="G5" i="29957"/>
  <c r="G106" i="30099"/>
  <c r="E66" i="30099"/>
  <c r="H336" i="29184"/>
  <c r="H1512" i="29184"/>
  <c r="H428" i="29184"/>
  <c r="H6" i="29184"/>
  <c r="H159" i="29184"/>
  <c r="H788" i="29184"/>
  <c r="D6" i="30000"/>
  <c r="G6" i="30049"/>
  <c r="I6" i="30004"/>
  <c r="D1" i="30041"/>
  <c r="D1" i="8192"/>
  <c r="W126" i="28160"/>
  <c r="W92" i="28160"/>
  <c r="B12" i="29184"/>
  <c r="AM12" i="29184" s="1"/>
  <c r="AW339" i="29184"/>
  <c r="X56" i="8192"/>
  <c r="BF95" i="28416"/>
  <c r="N337" i="30041"/>
  <c r="AV1125" i="29184"/>
  <c r="X62" i="29952"/>
  <c r="U93" i="29184"/>
  <c r="U1221" i="29184"/>
  <c r="U1345" i="29184"/>
  <c r="U1766" i="29184"/>
  <c r="N60" i="18944"/>
  <c r="U619" i="29184"/>
  <c r="U239" i="29184"/>
  <c r="X86" i="28160"/>
  <c r="U1080" i="29184"/>
  <c r="U68" i="29184"/>
  <c r="X429" i="30041"/>
  <c r="X48" i="29952"/>
  <c r="X561" i="30041"/>
  <c r="W106" i="29952"/>
  <c r="X148" i="28160"/>
  <c r="X54" i="28160"/>
  <c r="AW79" i="8192"/>
  <c r="N120" i="8192"/>
  <c r="X186" i="29952"/>
  <c r="U349" i="29184"/>
  <c r="U1643" i="29184"/>
  <c r="N36" i="18944"/>
  <c r="U741" i="29184"/>
  <c r="X172" i="29952"/>
  <c r="AP51" i="28416"/>
  <c r="U723" i="29184"/>
  <c r="U275" i="29957"/>
  <c r="U1970" i="29184"/>
  <c r="U1231" i="29184"/>
  <c r="U1378" i="29184"/>
  <c r="N40" i="18944"/>
  <c r="U1211" i="29184"/>
  <c r="J63" i="28416"/>
  <c r="U1141" i="29184"/>
  <c r="U6" i="29184"/>
  <c r="X506" i="30041"/>
  <c r="U66" i="18944"/>
  <c r="U1910" i="29184"/>
  <c r="U490" i="29184"/>
  <c r="U1010" i="29184"/>
  <c r="U1000" i="29184"/>
  <c r="U356" i="29184"/>
  <c r="U482" i="29184"/>
  <c r="I60" i="28416"/>
  <c r="AP1125" i="29184"/>
  <c r="AR339" i="29184"/>
  <c r="AW1121" i="29184"/>
  <c r="X16" i="30041"/>
  <c r="X196" i="29952"/>
  <c r="X10" i="30041"/>
  <c r="AV51" i="28416"/>
  <c r="W18" i="18944"/>
  <c r="G67" i="18944"/>
  <c r="AD86" i="28160"/>
  <c r="L51" i="8192"/>
  <c r="Y88" i="29952"/>
  <c r="AQ29" i="29184"/>
  <c r="AN6" i="29184"/>
  <c r="CB7" i="29184" s="1"/>
  <c r="AS338" i="29184"/>
  <c r="AD98" i="29952"/>
  <c r="AA173" i="29957"/>
  <c r="AA275" i="29957"/>
  <c r="AD62" i="28160"/>
  <c r="G9" i="18944"/>
  <c r="AE1744" i="29184"/>
  <c r="Y124" i="29952"/>
  <c r="AQ25" i="29184"/>
  <c r="AQ113" i="29184"/>
  <c r="AQ1303" i="29184"/>
  <c r="AQ942" i="29184"/>
  <c r="L9" i="440"/>
  <c r="P48" i="18944"/>
  <c r="AD198" i="29952"/>
  <c r="I1303" i="29184"/>
  <c r="AW653" i="29184"/>
  <c r="Q93" i="29184"/>
  <c r="L12" i="440"/>
  <c r="AD122" i="29952"/>
  <c r="AR38" i="18944"/>
  <c r="AJ3" i="440"/>
  <c r="Y132" i="28160"/>
  <c r="M4" i="30002"/>
  <c r="AR4" i="30002"/>
  <c r="M120" i="8192"/>
  <c r="AN532" i="29184"/>
  <c r="H87" i="30041"/>
  <c r="AP653" i="29184"/>
  <c r="AQ51" i="8192"/>
  <c r="H220" i="30041"/>
  <c r="J10" i="30031"/>
  <c r="AB68" i="29184"/>
  <c r="AB93" i="29184"/>
  <c r="AB14" i="29184"/>
  <c r="AB202" i="29184"/>
  <c r="K25" i="30043"/>
  <c r="AD46" i="18944"/>
  <c r="AK112" i="28416"/>
  <c r="AP1117" i="29184"/>
  <c r="AP342" i="29184"/>
  <c r="AA42" i="29957"/>
  <c r="G39" i="18944"/>
  <c r="AD136" i="29952"/>
  <c r="AY79" i="8192"/>
  <c r="AD62" i="18944"/>
  <c r="AF942" i="29184"/>
  <c r="AQ532" i="29184"/>
  <c r="AR337" i="30041"/>
  <c r="K36" i="29184"/>
  <c r="AQ497" i="30041"/>
  <c r="AS497" i="30041"/>
  <c r="AQ192" i="29184"/>
  <c r="AW1115" i="29184"/>
  <c r="P28" i="18944"/>
  <c r="P12" i="18944"/>
  <c r="E25" i="28416"/>
  <c r="BA118" i="28416"/>
  <c r="AK54" i="18944"/>
  <c r="P63" i="28416"/>
  <c r="I1744" i="29184"/>
  <c r="E77" i="28416"/>
  <c r="U104" i="28416"/>
  <c r="AD30" i="18944"/>
  <c r="AU120" i="8192"/>
  <c r="Y106" i="28160"/>
  <c r="Y162" i="29952"/>
  <c r="AO139" i="30041"/>
  <c r="AO79" i="8192"/>
  <c r="AO87" i="30041"/>
  <c r="AI4" i="30043"/>
  <c r="AV1117" i="29184"/>
  <c r="K12" i="30043"/>
  <c r="AV338" i="29184"/>
  <c r="AD172" i="29952"/>
  <c r="AA317" i="29957"/>
  <c r="P44" i="18944"/>
  <c r="AF88" i="28416"/>
  <c r="G33" i="18944"/>
  <c r="AN93" i="29184"/>
  <c r="CB94" i="29184" s="1"/>
  <c r="AW1117" i="29184"/>
  <c r="AS1119" i="29184"/>
  <c r="AT1117" i="29184"/>
  <c r="AU29" i="29184"/>
  <c r="AT338" i="29184"/>
  <c r="BL95" i="28416"/>
  <c r="AD186" i="29952"/>
  <c r="AD70" i="28160"/>
  <c r="M70" i="30099"/>
  <c r="E48" i="28416"/>
  <c r="AD104" i="28160"/>
  <c r="BL117" i="28416"/>
  <c r="P47" i="28416"/>
  <c r="P24" i="28416"/>
  <c r="P56" i="18944"/>
  <c r="E108" i="28416"/>
  <c r="P16" i="28416"/>
  <c r="AV20" i="28416"/>
  <c r="D3" i="30001"/>
  <c r="AN25" i="29184"/>
  <c r="CB26" i="29184" s="1"/>
  <c r="AO337" i="30041"/>
  <c r="Q3" i="440"/>
  <c r="AE653" i="29184"/>
  <c r="M20" i="30099"/>
  <c r="U89" i="28416"/>
  <c r="E64" i="28416"/>
  <c r="I133" i="29184"/>
  <c r="AR87" i="30041"/>
  <c r="I220" i="30041"/>
  <c r="AQ1112" i="29184"/>
  <c r="I139" i="30041"/>
  <c r="AQ14" i="29184"/>
  <c r="K4" i="30031"/>
  <c r="K53" i="29184"/>
  <c r="K10" i="30031"/>
  <c r="AQ53" i="29184"/>
  <c r="AQ68" i="29184"/>
  <c r="I1512" i="29184"/>
  <c r="P123" i="28416"/>
  <c r="I36" i="30041"/>
  <c r="I87" i="30041"/>
  <c r="AQ133" i="29184"/>
  <c r="AR68" i="29184"/>
  <c r="I6" i="30041"/>
  <c r="AQ259" i="29184"/>
  <c r="P107" i="28416"/>
  <c r="Q3" i="30019"/>
  <c r="AA5" i="29957"/>
  <c r="AD130" i="28160"/>
  <c r="G59" i="18944"/>
  <c r="P36" i="18944"/>
  <c r="AU79" i="8192"/>
  <c r="N36" i="29184"/>
  <c r="Y100" i="29952"/>
  <c r="Y56" i="28160"/>
  <c r="AN159" i="29184"/>
  <c r="H19" i="30043"/>
  <c r="K24" i="30043"/>
  <c r="AU1119" i="29184"/>
  <c r="AT1119" i="29184"/>
  <c r="Z3" i="30043"/>
  <c r="E17" i="28416"/>
  <c r="AD62" i="29952"/>
  <c r="P32" i="28416"/>
  <c r="W58" i="18944"/>
  <c r="M6" i="30099"/>
  <c r="I336" i="29184"/>
  <c r="E93" i="28416"/>
  <c r="AF59" i="28416"/>
  <c r="AA321" i="29957"/>
  <c r="AD86" i="29952"/>
  <c r="P60" i="18944"/>
  <c r="M66" i="30099"/>
  <c r="AU24" i="8192"/>
  <c r="N14" i="29184"/>
  <c r="Y32" i="28160"/>
  <c r="Y150" i="28160"/>
  <c r="Y200" i="29952"/>
  <c r="Y48" i="28160"/>
  <c r="AT29" i="29184"/>
  <c r="AN1112" i="29184"/>
  <c r="AN942" i="29184"/>
  <c r="AO6" i="8192"/>
  <c r="AN192" i="29184"/>
  <c r="AO6" i="30041"/>
  <c r="B14" i="30043"/>
  <c r="H18" i="30043"/>
  <c r="B24" i="30043"/>
  <c r="B16" i="24620"/>
  <c r="AU338" i="29184"/>
  <c r="AP338" i="29184"/>
  <c r="AP1119" i="29184"/>
  <c r="W42" i="18944"/>
  <c r="AD30" i="28160"/>
  <c r="AD212" i="29952"/>
  <c r="P32" i="18944"/>
  <c r="P20" i="18944"/>
  <c r="AA294" i="29957"/>
  <c r="AN1303" i="29184"/>
  <c r="AW1119" i="29184"/>
  <c r="AS1117" i="29184"/>
  <c r="AS29" i="29184"/>
  <c r="CB72" i="29184"/>
  <c r="CB117" i="29184"/>
  <c r="AD74" i="29952"/>
  <c r="P8" i="18944"/>
  <c r="P52" i="18944"/>
  <c r="P8" i="28416"/>
  <c r="P55" i="28416"/>
  <c r="AF119" i="28416"/>
  <c r="AK22" i="18944"/>
  <c r="P40" i="18944"/>
  <c r="W10" i="18944"/>
  <c r="W50" i="18944"/>
  <c r="P24" i="18944"/>
  <c r="P68" i="18944"/>
  <c r="AD18" i="29952"/>
  <c r="AN53" i="29184"/>
  <c r="CB54" i="29184" s="1"/>
  <c r="AN336" i="29184"/>
  <c r="U73" i="28416"/>
  <c r="AE93" i="29184"/>
  <c r="L36" i="29184"/>
  <c r="P39" i="28416"/>
  <c r="G87" i="30041"/>
  <c r="AT6" i="8192"/>
  <c r="AD14" i="18944"/>
  <c r="M68" i="29184"/>
  <c r="AQ159" i="29184"/>
  <c r="AR79" i="8192"/>
  <c r="K6" i="29184"/>
  <c r="K113" i="29184"/>
  <c r="K51" i="8192"/>
  <c r="AQ1512" i="29184"/>
  <c r="AR139" i="30041"/>
  <c r="Y228" i="29952"/>
  <c r="AF259" i="29184"/>
  <c r="K14" i="29184"/>
  <c r="AQ1744" i="29184"/>
  <c r="Y52" i="29952"/>
  <c r="AS133" i="29184"/>
  <c r="I6" i="8192"/>
  <c r="I51" i="8192"/>
  <c r="AQ428" i="29184"/>
  <c r="AR51" i="8192"/>
  <c r="G3" i="19124"/>
  <c r="K133" i="29184"/>
  <c r="AK563" i="30041"/>
  <c r="AP1317" i="29184"/>
  <c r="AN1512" i="29184"/>
  <c r="K20" i="30043"/>
  <c r="B3" i="30002"/>
  <c r="U29" i="28416"/>
  <c r="W34" i="18944"/>
  <c r="AK81" i="28416"/>
  <c r="AK21" i="28416"/>
  <c r="AF72" i="28416"/>
  <c r="AD148" i="29952"/>
  <c r="AV80" i="28416"/>
  <c r="AD158" i="28160"/>
  <c r="AA240" i="29957"/>
  <c r="W66" i="18944"/>
  <c r="P92" i="28416"/>
  <c r="AF12" i="28416"/>
  <c r="BL35" i="28416"/>
  <c r="I113" i="29184"/>
  <c r="I428" i="29184"/>
  <c r="AA305" i="29957"/>
  <c r="AD38" i="28160"/>
  <c r="E9" i="28416"/>
  <c r="AD138" i="28160"/>
  <c r="AF43" i="28416"/>
  <c r="G17" i="18944"/>
  <c r="U44" i="28416"/>
  <c r="AI3" i="30019"/>
  <c r="H13" i="30099"/>
  <c r="AH336" i="29184"/>
  <c r="AT532" i="29184"/>
  <c r="L24" i="8192"/>
  <c r="Y122" i="28160"/>
  <c r="Y8" i="28160"/>
  <c r="Y40" i="28160"/>
  <c r="Y114" i="28160"/>
  <c r="Y98" i="28160"/>
  <c r="AO51" i="8192"/>
  <c r="AN259" i="29184"/>
  <c r="AN1744" i="29184"/>
  <c r="AN428" i="29184"/>
  <c r="AN14" i="29184"/>
  <c r="B19" i="30043"/>
  <c r="E24" i="30043"/>
  <c r="AW338" i="29184"/>
  <c r="D136" i="30002"/>
  <c r="AD112" i="28160"/>
  <c r="AD96" i="28160"/>
  <c r="P16" i="18944"/>
  <c r="AV111" i="28416"/>
  <c r="AA312" i="29957"/>
  <c r="AD160" i="29952"/>
  <c r="AN653" i="29184"/>
  <c r="CB71" i="29184"/>
  <c r="E56" i="28416"/>
  <c r="E40" i="28416"/>
  <c r="AF28" i="28416"/>
  <c r="AD46" i="28160"/>
  <c r="AD120" i="28160"/>
  <c r="G51" i="18944"/>
  <c r="P64" i="18944"/>
  <c r="BL57" i="28416"/>
  <c r="AF103" i="28416"/>
  <c r="AK52" i="28416"/>
  <c r="AD6" i="28160"/>
  <c r="U60" i="28416"/>
  <c r="AO497" i="30041"/>
  <c r="CG498" i="30041" s="1"/>
  <c r="AO24" i="8192"/>
  <c r="AD38" i="29952"/>
  <c r="AE428" i="29184"/>
  <c r="AB36" i="29184"/>
  <c r="G25" i="18944"/>
  <c r="I68" i="29184"/>
  <c r="Y80" i="28160"/>
  <c r="E124" i="28416"/>
  <c r="I120" i="8192"/>
  <c r="AR220" i="30041"/>
  <c r="AQ36" i="29184"/>
  <c r="AQ788" i="29184"/>
  <c r="I79" i="8192"/>
  <c r="B7" i="30043"/>
  <c r="AF36" i="29184"/>
  <c r="AR6" i="8192"/>
  <c r="K25" i="29184"/>
  <c r="I24" i="8192"/>
  <c r="AE6" i="29184"/>
  <c r="AQ6" i="29184"/>
  <c r="AR6" i="30041"/>
  <c r="I337" i="30041"/>
  <c r="K159" i="29184"/>
  <c r="AQ93" i="29184"/>
  <c r="AO220" i="30041"/>
  <c r="AP1307" i="29184"/>
  <c r="T412" i="29184"/>
  <c r="T53" i="29184"/>
  <c r="T1271" i="29184"/>
  <c r="Y212" i="29952"/>
  <c r="AV1115" i="29184"/>
  <c r="Y1" i="29952"/>
  <c r="W78" i="28160"/>
  <c r="AT1128" i="29184"/>
  <c r="AP1115" i="29184"/>
  <c r="AU1116" i="29184"/>
  <c r="AS1116" i="29184"/>
  <c r="AU27" i="29184"/>
  <c r="T1599" i="29184"/>
  <c r="T1030" i="29184"/>
  <c r="BE95" i="28416"/>
  <c r="W110" i="29952"/>
  <c r="W136" i="29952"/>
  <c r="T1345" i="29184"/>
  <c r="Y88" i="28416"/>
  <c r="T490" i="29184"/>
  <c r="Q40" i="18944"/>
  <c r="X18" i="18944"/>
  <c r="F108" i="28416"/>
  <c r="B24" i="8192"/>
  <c r="Q64" i="18944"/>
  <c r="AB294" i="29957"/>
  <c r="S233" i="29184"/>
  <c r="Y98" i="29952"/>
  <c r="AL22" i="18944"/>
  <c r="B53" i="29184"/>
  <c r="I5" i="30043"/>
  <c r="S1687" i="29184"/>
  <c r="S1731" i="29184"/>
  <c r="BD35" i="28416"/>
  <c r="Q20" i="18944"/>
  <c r="X72" i="28416"/>
  <c r="BD57" i="28416"/>
  <c r="V62" i="29952"/>
  <c r="S68" i="29184"/>
  <c r="T26" i="18944"/>
  <c r="T1455" i="29184"/>
  <c r="T498" i="29184"/>
  <c r="T34" i="18944"/>
  <c r="T442" i="29184"/>
  <c r="T1838" i="29184"/>
  <c r="T643" i="29184"/>
  <c r="T1621" i="29184"/>
  <c r="W56" i="8192"/>
  <c r="T696" i="29184"/>
  <c r="T1946" i="29184"/>
  <c r="T1544" i="29184"/>
  <c r="CC4" i="30002"/>
  <c r="AT27" i="29184"/>
  <c r="AP27" i="29184"/>
  <c r="T1241" i="29184"/>
  <c r="I8" i="28416"/>
  <c r="T1802" i="29184"/>
  <c r="W30" i="28160"/>
  <c r="I63" i="28416"/>
  <c r="T1654" i="29184"/>
  <c r="T741" i="29184"/>
  <c r="T271" i="29184"/>
  <c r="M64" i="18944"/>
  <c r="T133" i="29184"/>
  <c r="T1070" i="29184"/>
  <c r="T723" i="29184"/>
  <c r="T1040" i="29184"/>
  <c r="T25" i="29184"/>
  <c r="Y172" i="29952"/>
  <c r="T904" i="29184"/>
  <c r="Y72" i="28416"/>
  <c r="T1221" i="29184"/>
  <c r="W86" i="29952"/>
  <c r="T850" i="29184"/>
  <c r="G2" i="29957"/>
  <c r="B304" i="29957"/>
  <c r="AR1116" i="29184"/>
  <c r="AU1128" i="29184"/>
  <c r="T1161" i="29184"/>
  <c r="W148" i="29952"/>
  <c r="T1632" i="29184"/>
  <c r="T1251" i="29184"/>
  <c r="I76" i="28416"/>
  <c r="T1698" i="29184"/>
  <c r="T759" i="29184"/>
  <c r="T14" i="29184"/>
  <c r="W62" i="28160"/>
  <c r="T859" i="29184"/>
  <c r="T6" i="29184"/>
  <c r="T1181" i="29184"/>
  <c r="W62" i="29952"/>
  <c r="T251" i="29184"/>
  <c r="T1488" i="29184"/>
  <c r="C4" i="30003"/>
  <c r="T1433" i="29184"/>
  <c r="T42" i="29957"/>
  <c r="T1826" i="29184"/>
  <c r="W40" i="30041"/>
  <c r="BB4" i="30002"/>
  <c r="AR27" i="29184"/>
  <c r="T1850" i="29184"/>
  <c r="AT1115" i="29184"/>
  <c r="AR1128" i="29184"/>
  <c r="AS1115" i="29184"/>
  <c r="AS1128" i="29184"/>
  <c r="BE117" i="28416"/>
  <c r="M40" i="18944"/>
  <c r="D59" i="18944"/>
  <c r="T877" i="29184"/>
  <c r="G92" i="30099"/>
  <c r="T1676" i="29184"/>
  <c r="G105" i="30099"/>
  <c r="T970" i="29184"/>
  <c r="Q8" i="18944"/>
  <c r="R3" i="440"/>
  <c r="W173" i="29957"/>
  <c r="F48" i="28416"/>
  <c r="W317" i="29957"/>
  <c r="B220" i="30041"/>
  <c r="N4" i="30002"/>
  <c r="S587" i="29184"/>
  <c r="S886" i="29184"/>
  <c r="Z14" i="18944"/>
  <c r="V136" i="29952"/>
  <c r="S6" i="29184"/>
  <c r="S215" i="29184"/>
  <c r="L28" i="18944"/>
  <c r="S980" i="29184"/>
  <c r="S1211" i="29184"/>
  <c r="S377" i="29184"/>
  <c r="Y70" i="28160"/>
  <c r="F17" i="28416"/>
  <c r="L68" i="18944"/>
  <c r="CG501" i="30041"/>
  <c r="CB28" i="29184"/>
  <c r="T1281" i="29184"/>
  <c r="T278" i="29184"/>
  <c r="M32" i="18944"/>
  <c r="T635" i="29184"/>
  <c r="B91" i="29184"/>
  <c r="AM91" i="29184" s="1"/>
  <c r="AR1115" i="29184"/>
  <c r="G1" i="29957"/>
  <c r="W186" i="29952"/>
  <c r="T777" i="29184"/>
  <c r="AW1128" i="29184"/>
  <c r="W138" i="28160"/>
  <c r="M4" i="30099"/>
  <c r="T1790" i="29184"/>
  <c r="T1367" i="29184"/>
  <c r="T669" i="29184"/>
  <c r="T823" i="29184"/>
  <c r="W6" i="29952"/>
  <c r="T320" i="29184"/>
  <c r="F93" i="28416"/>
  <c r="B87" i="30041"/>
  <c r="BB58" i="28416"/>
  <c r="S696" i="29184"/>
  <c r="Q44" i="18944"/>
  <c r="B653" i="29184"/>
  <c r="BD95" i="28416"/>
  <c r="S1466" i="29184"/>
  <c r="C33" i="18944"/>
  <c r="S306" i="29184"/>
  <c r="S619" i="29184"/>
  <c r="S1201" i="29184"/>
  <c r="F64" i="28416"/>
  <c r="CA4" i="30002"/>
  <c r="AU6" i="29184"/>
  <c r="R6" i="8192"/>
  <c r="AO336" i="29184"/>
  <c r="F505" i="30041"/>
  <c r="AV220" i="30041"/>
  <c r="G103" i="30099"/>
  <c r="O24" i="8192"/>
  <c r="P51" i="8192"/>
  <c r="AW342" i="29184"/>
  <c r="AW1306" i="29184"/>
  <c r="AV120" i="8192"/>
  <c r="F498" i="30041"/>
  <c r="BA6" i="8192"/>
  <c r="R6" i="30041"/>
  <c r="E498" i="30041"/>
  <c r="K70" i="30099"/>
  <c r="AG5" i="29954"/>
  <c r="Q4" i="30002"/>
  <c r="O6" i="30041"/>
  <c r="CP4" i="30002"/>
  <c r="AT342" i="29184"/>
  <c r="P24" i="8192"/>
  <c r="AY337" i="30041"/>
  <c r="AV6" i="29184"/>
  <c r="D93" i="28416"/>
  <c r="AO6" i="29184"/>
  <c r="E505" i="30041"/>
  <c r="G240" i="29957"/>
  <c r="R36" i="30041"/>
  <c r="Q5" i="30010"/>
  <c r="AR342" i="29184"/>
  <c r="C19" i="440"/>
  <c r="C8" i="440"/>
  <c r="M6" i="8192"/>
  <c r="G305" i="29957"/>
  <c r="C6" i="30008"/>
  <c r="CN4" i="30002"/>
  <c r="O337" i="30041"/>
  <c r="L3" i="440"/>
  <c r="S4" i="30002"/>
  <c r="AS342" i="29184"/>
  <c r="AY24" i="8192"/>
  <c r="K6" i="30099"/>
  <c r="AV428" i="29184"/>
  <c r="Y141" i="28160"/>
  <c r="AO1112" i="29184"/>
  <c r="AV25" i="29184"/>
  <c r="B36" i="24620"/>
  <c r="AH6" i="28416"/>
  <c r="B15" i="24620"/>
  <c r="C12" i="440"/>
  <c r="E504" i="30041"/>
  <c r="D504" i="30041"/>
  <c r="I504" i="30041"/>
  <c r="O27" i="8192"/>
  <c r="K1122" i="29184"/>
  <c r="D1122" i="29184"/>
  <c r="E1122" i="29184"/>
  <c r="F1122" i="29184"/>
  <c r="D1123" i="29184"/>
  <c r="K1123" i="29184"/>
  <c r="F1114" i="29184"/>
  <c r="D1114" i="29184"/>
  <c r="F1313" i="29184"/>
  <c r="D1313" i="29184"/>
  <c r="E1125" i="29184"/>
  <c r="F1125" i="29184"/>
  <c r="D1125" i="29184"/>
  <c r="K1124" i="29184"/>
  <c r="E1124" i="29184"/>
  <c r="K340" i="29184"/>
  <c r="D340" i="29184"/>
  <c r="E340" i="29184"/>
  <c r="F340" i="29184"/>
  <c r="K1316" i="29184"/>
  <c r="D1316" i="29184"/>
  <c r="M7" i="30041"/>
  <c r="R25" i="8192"/>
  <c r="AL25" i="8192"/>
  <c r="AP122" i="8192"/>
  <c r="BS122" i="8192" s="1"/>
  <c r="C126" i="8192"/>
  <c r="J122" i="8192"/>
  <c r="Q123" i="8192"/>
  <c r="H121" i="8192"/>
  <c r="AO121" i="8192"/>
  <c r="D1118" i="29184"/>
  <c r="E1118" i="29184"/>
  <c r="AL26" i="8192"/>
  <c r="AK242" i="30041"/>
  <c r="AY6" i="30041"/>
  <c r="P6" i="8192"/>
  <c r="AZ4" i="30002"/>
  <c r="AN4" i="30002"/>
  <c r="AE5" i="29954"/>
  <c r="AV1318" i="29184"/>
  <c r="AP1305" i="29184"/>
  <c r="P87" i="30041"/>
  <c r="P120" i="8192"/>
  <c r="AY87" i="30041"/>
  <c r="AY36" i="30041"/>
  <c r="AP36" i="30041"/>
  <c r="AV497" i="30041"/>
  <c r="B21" i="24620"/>
  <c r="D25" i="18944"/>
  <c r="T555" i="29184"/>
  <c r="T1499" i="29184"/>
  <c r="T1141" i="29184"/>
  <c r="T233" i="29184"/>
  <c r="D67" i="18944"/>
  <c r="W46" i="28160"/>
  <c r="T1643" i="29184"/>
  <c r="BE57" i="28416"/>
  <c r="D39" i="18944"/>
  <c r="F6" i="30008"/>
  <c r="P3" i="30019"/>
  <c r="R139" i="30041"/>
  <c r="R120" i="8192"/>
  <c r="P113" i="29184"/>
  <c r="Y115" i="28160"/>
  <c r="S173" i="29957"/>
  <c r="T29" i="28416"/>
  <c r="BB87" i="30041"/>
  <c r="Y57" i="28160"/>
  <c r="B14" i="29184"/>
  <c r="B4" i="29954"/>
  <c r="T73" i="28416"/>
  <c r="S26" i="18944"/>
  <c r="S1251" i="29184"/>
  <c r="H120" i="8192"/>
  <c r="S970" i="29184"/>
  <c r="S1070" i="29184"/>
  <c r="A134" i="30019"/>
  <c r="AJ21" i="28416"/>
  <c r="L44" i="18944"/>
  <c r="S1261" i="29184"/>
  <c r="S1910" i="29184"/>
  <c r="B6" i="29184"/>
  <c r="S1982" i="29184"/>
  <c r="H76" i="28416"/>
  <c r="S285" i="29184"/>
  <c r="AV1303" i="29184"/>
  <c r="P159" i="29184"/>
  <c r="R337" i="30041"/>
  <c r="P6" i="29184"/>
  <c r="BY4" i="30002"/>
  <c r="P53" i="29184"/>
  <c r="D6" i="30008"/>
  <c r="C11" i="440"/>
  <c r="C7" i="440"/>
  <c r="S209" i="29184"/>
  <c r="M133" i="29184"/>
  <c r="I53" i="29184"/>
  <c r="AW1305" i="29184"/>
  <c r="Q337" i="30041"/>
  <c r="BA6" i="30041"/>
  <c r="BA497" i="30041"/>
  <c r="G428" i="29184"/>
  <c r="AO68" i="29184"/>
  <c r="A18" i="30099"/>
  <c r="A3" i="30031"/>
  <c r="C4" i="30019"/>
  <c r="AV6" i="30041"/>
  <c r="M87" i="30041"/>
  <c r="C3" i="30019"/>
  <c r="O36" i="30041"/>
  <c r="G42" i="29957"/>
  <c r="AL4" i="30002"/>
  <c r="AX4" i="30002"/>
  <c r="AX24" i="8192"/>
  <c r="AX337" i="30041"/>
  <c r="AX220" i="30041"/>
  <c r="O120" i="8192"/>
  <c r="AX6" i="30041"/>
  <c r="AV1305" i="29184"/>
  <c r="AR1306" i="29184"/>
  <c r="AZ139" i="30041"/>
  <c r="Q51" i="8192"/>
  <c r="AU25" i="29184"/>
  <c r="AU653" i="29184"/>
  <c r="R79" i="8192"/>
  <c r="BA337" i="30041"/>
  <c r="R51" i="8192"/>
  <c r="AV259" i="29184"/>
  <c r="G6" i="29184"/>
  <c r="G159" i="29184"/>
  <c r="C3" i="30016"/>
  <c r="K29" i="30099"/>
  <c r="I6" i="30008"/>
  <c r="B316" i="29957"/>
  <c r="C4" i="440"/>
  <c r="C104" i="30019"/>
  <c r="C106" i="30019"/>
  <c r="C16" i="440"/>
  <c r="C9" i="440"/>
  <c r="K6" i="18944"/>
  <c r="M24" i="8192"/>
  <c r="M497" i="30041"/>
  <c r="AV36" i="30041"/>
  <c r="M6" i="30041"/>
  <c r="G124" i="30099"/>
  <c r="AX79" i="8192"/>
  <c r="G294" i="29957"/>
  <c r="G275" i="29957"/>
  <c r="AX139" i="30041"/>
  <c r="D6" i="30004"/>
  <c r="F6" i="29955"/>
  <c r="AV1317" i="29184"/>
  <c r="O79" i="8192"/>
  <c r="AS1310" i="29184"/>
  <c r="F4" i="30002"/>
  <c r="O51" i="8192"/>
  <c r="AX51" i="8192"/>
  <c r="AX36" i="30041"/>
  <c r="O6" i="8192"/>
  <c r="M4" i="30003"/>
  <c r="P79" i="8192"/>
  <c r="P497" i="30041"/>
  <c r="AV87" i="30041"/>
  <c r="H4" i="30002"/>
  <c r="AS1305" i="29184"/>
  <c r="AV1319" i="29184"/>
  <c r="AV1306" i="29184"/>
  <c r="P36" i="30041"/>
  <c r="AY220" i="30041"/>
  <c r="R10" i="30031"/>
  <c r="AY120" i="8192"/>
  <c r="M36" i="30041"/>
  <c r="G6" i="30008"/>
  <c r="K5" i="30017"/>
  <c r="B4" i="28160"/>
  <c r="AV653" i="29184"/>
  <c r="AV36" i="29184"/>
  <c r="AV192" i="29184"/>
  <c r="Y163" i="29952"/>
  <c r="P6" i="30041"/>
  <c r="B6" i="18944"/>
  <c r="V26" i="18944"/>
  <c r="Y17" i="28160"/>
  <c r="AZ96" i="28416"/>
  <c r="G1744" i="29184"/>
  <c r="AY497" i="30041"/>
  <c r="M79" i="8192"/>
  <c r="P36" i="29184"/>
  <c r="AV942" i="29184"/>
  <c r="BA87" i="30041"/>
  <c r="BA51" i="8192"/>
  <c r="AV68" i="29184"/>
  <c r="B49" i="24620"/>
  <c r="C17" i="440"/>
  <c r="C5" i="440"/>
  <c r="P14" i="29184"/>
  <c r="AU788" i="29184"/>
  <c r="O53" i="29184"/>
  <c r="AV1744" i="29184"/>
  <c r="G93" i="30099"/>
  <c r="G14" i="29184"/>
  <c r="AO532" i="29184"/>
  <c r="C15" i="440"/>
  <c r="C10" i="440"/>
  <c r="M51" i="8192"/>
  <c r="AV51" i="8192"/>
  <c r="G173" i="29957"/>
  <c r="G127" i="30099"/>
  <c r="C5" i="30017"/>
  <c r="AC4" i="30002"/>
  <c r="AR1318" i="29184"/>
  <c r="O68" i="29184"/>
  <c r="AU1512" i="29184"/>
  <c r="AU133" i="29184"/>
  <c r="R87" i="30041"/>
  <c r="P68" i="29184"/>
  <c r="BA120" i="8192"/>
  <c r="P93" i="29184"/>
  <c r="I4" i="30031"/>
  <c r="G788" i="29184"/>
  <c r="AO113" i="29184"/>
  <c r="AO133" i="29184"/>
  <c r="B146" i="28160"/>
  <c r="B64" i="30099"/>
  <c r="A4" i="30099"/>
  <c r="C6" i="440"/>
  <c r="C107" i="30019"/>
  <c r="O10" i="30031"/>
  <c r="AV79" i="8192"/>
  <c r="AV337" i="30041"/>
  <c r="M139" i="30041"/>
  <c r="C3" i="440"/>
  <c r="AS1320" i="29184"/>
  <c r="C4" i="30038"/>
  <c r="AX87" i="30041"/>
  <c r="AS1306" i="29184"/>
  <c r="K4" i="30003"/>
  <c r="AA4" i="30002"/>
  <c r="Q10" i="30031"/>
  <c r="AX120" i="8192"/>
  <c r="AX6" i="8192"/>
  <c r="O220" i="30041"/>
  <c r="O497" i="30041"/>
  <c r="P139" i="30041"/>
  <c r="M337" i="30041"/>
  <c r="C136" i="30002"/>
  <c r="AR1321" i="29184"/>
  <c r="AY51" i="8192"/>
  <c r="P220" i="30041"/>
  <c r="AY139" i="30041"/>
  <c r="AV139" i="30041"/>
  <c r="M220" i="30041"/>
  <c r="AO942" i="29184"/>
  <c r="G192" i="29184"/>
  <c r="BA36" i="30041"/>
  <c r="R220" i="30041"/>
  <c r="AV93" i="29184"/>
  <c r="D6" i="29955"/>
  <c r="AY6" i="8192"/>
  <c r="B49" i="8192"/>
  <c r="AN49" i="8192" s="1"/>
  <c r="G113" i="29184"/>
  <c r="Y89" i="28160"/>
  <c r="Y9" i="28160"/>
  <c r="T120" i="28416"/>
  <c r="O28" i="18944"/>
  <c r="E29" i="30099"/>
  <c r="B4" i="30038"/>
  <c r="BA139" i="30041"/>
  <c r="AV1112" i="29184"/>
  <c r="AV113" i="29184"/>
  <c r="P25" i="29184"/>
  <c r="BA79" i="8192"/>
  <c r="P133" i="29184"/>
  <c r="C132" i="30019"/>
  <c r="W321" i="29957"/>
  <c r="AT36" i="29184"/>
  <c r="AH192" i="29184"/>
  <c r="AH428" i="29184"/>
  <c r="AU6" i="30041"/>
  <c r="AH25" i="29184"/>
  <c r="AT1112" i="29184"/>
  <c r="K14" i="30043"/>
  <c r="CB4" i="30002"/>
  <c r="E5" i="29954"/>
  <c r="H17" i="30043"/>
  <c r="B20" i="30043"/>
  <c r="H14" i="30043"/>
  <c r="H7" i="30043"/>
  <c r="K23" i="30043"/>
  <c r="Y6" i="18944"/>
  <c r="C6" i="30043"/>
  <c r="AR1307" i="29184"/>
  <c r="F25" i="28416"/>
  <c r="AL21" i="28416"/>
  <c r="BB36" i="28416"/>
  <c r="AB240" i="29957"/>
  <c r="V89" i="28416"/>
  <c r="Q56" i="18944"/>
  <c r="AE133" i="29184"/>
  <c r="AR942" i="29184"/>
  <c r="J337" i="30041"/>
  <c r="AR53" i="29184"/>
  <c r="L4" i="30031"/>
  <c r="V73" i="28416"/>
  <c r="AB305" i="29957"/>
  <c r="F77" i="28416"/>
  <c r="H25" i="18944"/>
  <c r="X50" i="18944"/>
  <c r="AE62" i="18944"/>
  <c r="AL54" i="18944"/>
  <c r="X58" i="18944"/>
  <c r="Y54" i="28160"/>
  <c r="Y6" i="28160"/>
  <c r="AE46" i="18944"/>
  <c r="Q52" i="18944"/>
  <c r="F9" i="28416"/>
  <c r="AL112" i="28416"/>
  <c r="R3" i="30019"/>
  <c r="Y198" i="29952"/>
  <c r="B77" i="8192"/>
  <c r="AN77" i="8192" s="1"/>
  <c r="AH4" i="30002"/>
  <c r="F6" i="30043"/>
  <c r="X10" i="18944"/>
  <c r="Y50" i="29952"/>
  <c r="Y62" i="28160"/>
  <c r="Y112" i="28160"/>
  <c r="A74" i="440"/>
  <c r="H51" i="18944"/>
  <c r="L159" i="29184"/>
  <c r="X4" i="30002"/>
  <c r="Y96" i="28160"/>
  <c r="G129" i="30099"/>
  <c r="AT6" i="29184"/>
  <c r="N4" i="30031"/>
  <c r="BN4" i="30002"/>
  <c r="B26" i="30043"/>
  <c r="E14" i="30043"/>
  <c r="K19" i="30043"/>
  <c r="AO4" i="30002"/>
  <c r="T4" i="30002"/>
  <c r="AF5" i="29954"/>
  <c r="D5" i="30010"/>
  <c r="Y38" i="29952"/>
  <c r="Y136" i="29952"/>
  <c r="Y30" i="28160"/>
  <c r="AT336" i="29184"/>
  <c r="AT93" i="29184"/>
  <c r="N133" i="29184"/>
  <c r="AH506" i="30041"/>
  <c r="L497" i="30041"/>
  <c r="AH532" i="29184"/>
  <c r="AT159" i="29184"/>
  <c r="N159" i="29184"/>
  <c r="AH653" i="29184"/>
  <c r="AU139" i="30041"/>
  <c r="AU337" i="30041"/>
  <c r="BA4" i="30002"/>
  <c r="AS1321" i="29184"/>
  <c r="AS1317" i="29184"/>
  <c r="AD4" i="30043"/>
  <c r="K26" i="30043"/>
  <c r="H11" i="30043"/>
  <c r="B8" i="30043"/>
  <c r="H20" i="30043"/>
  <c r="H8" i="30043"/>
  <c r="E23" i="30043"/>
  <c r="H24" i="30043"/>
  <c r="E20" i="30043"/>
  <c r="B17" i="30043"/>
  <c r="B18" i="30043"/>
  <c r="E11" i="30043"/>
  <c r="E12" i="30043"/>
  <c r="H13" i="30043"/>
  <c r="B37" i="24620"/>
  <c r="B32" i="24620"/>
  <c r="AW1317" i="29184"/>
  <c r="B118" i="8192"/>
  <c r="AN118" i="8192" s="1"/>
  <c r="AS1307" i="29184"/>
  <c r="B11" i="30043"/>
  <c r="B94" i="28160"/>
  <c r="CQ4" i="30002"/>
  <c r="I4" i="30002"/>
  <c r="I10" i="30031"/>
  <c r="AR1315" i="29184"/>
  <c r="AW1304" i="29184"/>
  <c r="AW1321" i="29184"/>
  <c r="AW1310" i="29184"/>
  <c r="AW1315" i="29184"/>
  <c r="AR1317" i="29184"/>
  <c r="AP1319" i="29184"/>
  <c r="AT1305" i="29184"/>
  <c r="AW1318" i="29184"/>
  <c r="AW1307" i="29184"/>
  <c r="AP1310" i="29184"/>
  <c r="AP6" i="8192"/>
  <c r="F25" i="30099"/>
  <c r="B12" i="24620"/>
  <c r="AB5" i="29957"/>
  <c r="X26" i="18944"/>
  <c r="W68" i="28160"/>
  <c r="I97" i="28416"/>
  <c r="AB275" i="29957"/>
  <c r="AE36" i="29184"/>
  <c r="AE259" i="29184"/>
  <c r="AS139" i="30041"/>
  <c r="J36" i="30041"/>
  <c r="J87" i="30041"/>
  <c r="X492" i="30041"/>
  <c r="X464" i="30041"/>
  <c r="X485" i="30041"/>
  <c r="Q24" i="18944"/>
  <c r="AB42" i="29957"/>
  <c r="Q12" i="18944"/>
  <c r="B335" i="30041"/>
  <c r="AN335" i="30041" s="1"/>
  <c r="Q36" i="18944"/>
  <c r="I21" i="28416"/>
  <c r="AL81" i="28416"/>
  <c r="F40" i="28416"/>
  <c r="AG336" i="29184"/>
  <c r="U1241" i="29184"/>
  <c r="W294" i="29957"/>
  <c r="Y104" i="28160"/>
  <c r="Q16" i="18944"/>
  <c r="H17" i="18944"/>
  <c r="AB312" i="29957"/>
  <c r="X42" i="18944"/>
  <c r="AS38" i="18944"/>
  <c r="I6" i="30043"/>
  <c r="Q4" i="30031"/>
  <c r="N113" i="29184"/>
  <c r="Y138" i="28160"/>
  <c r="B51" i="29184"/>
  <c r="AM51" i="29184" s="1"/>
  <c r="AS36" i="29184"/>
  <c r="BB6" i="30041"/>
  <c r="AS4" i="30002"/>
  <c r="L6" i="30043"/>
  <c r="AE14" i="18944"/>
  <c r="B6" i="30008"/>
  <c r="X157" i="29952"/>
  <c r="E12" i="30028"/>
  <c r="Y120" i="28160"/>
  <c r="C3" i="30044"/>
  <c r="BB24" i="8192"/>
  <c r="V44" i="28416"/>
  <c r="BB118" i="28416"/>
  <c r="X366" i="30041"/>
  <c r="X193" i="30041"/>
  <c r="Y122" i="29952"/>
  <c r="X618" i="30041"/>
  <c r="AT337" i="30041"/>
  <c r="Y38" i="28160"/>
  <c r="J16" i="28416"/>
  <c r="E6" i="30008"/>
  <c r="AE30" i="18944"/>
  <c r="W168" i="29952"/>
  <c r="AS1744" i="29184"/>
  <c r="X428" i="30041"/>
  <c r="X71" i="29952"/>
  <c r="AS25" i="29184"/>
  <c r="AS220" i="30041"/>
  <c r="L14" i="29184"/>
  <c r="X324" i="30041"/>
  <c r="H33" i="18944"/>
  <c r="Y74" i="29952"/>
  <c r="AU87" i="30041"/>
  <c r="AH259" i="29184"/>
  <c r="C3" i="19124"/>
  <c r="K13" i="30043"/>
  <c r="H23" i="30043"/>
  <c r="H25" i="30043"/>
  <c r="K17" i="30043"/>
  <c r="M75" i="30099"/>
  <c r="Y130" i="28160"/>
  <c r="W305" i="29957"/>
  <c r="Y14" i="28160"/>
  <c r="H28" i="30099"/>
  <c r="AH6" i="29184"/>
  <c r="AH133" i="29184"/>
  <c r="AT788" i="29184"/>
  <c r="L337" i="30041"/>
  <c r="AT1744" i="29184"/>
  <c r="L6" i="8192"/>
  <c r="AH1112" i="29184"/>
  <c r="N68" i="29184"/>
  <c r="AH36" i="29184"/>
  <c r="L79" i="8192"/>
  <c r="AT113" i="29184"/>
  <c r="H12" i="30043"/>
  <c r="H26" i="30043"/>
  <c r="E25" i="30043"/>
  <c r="E13" i="30043"/>
  <c r="K7" i="30043"/>
  <c r="E17" i="30043"/>
  <c r="E18" i="30043"/>
  <c r="B12" i="30043"/>
  <c r="E19" i="30043"/>
  <c r="B23" i="30043"/>
  <c r="B13" i="30043"/>
  <c r="B25" i="30043"/>
  <c r="K8" i="30043"/>
  <c r="E26" i="30043"/>
  <c r="AP1320" i="29184"/>
  <c r="E7" i="30043"/>
  <c r="AS1304" i="29184"/>
  <c r="AS1319" i="29184"/>
  <c r="B134" i="29952"/>
  <c r="AD4" i="30002"/>
  <c r="AV1315" i="29184"/>
  <c r="AP1321" i="29184"/>
  <c r="AR1319" i="29184"/>
  <c r="AV1307" i="29184"/>
  <c r="L5" i="30043"/>
  <c r="C5" i="30043"/>
  <c r="F5" i="30043"/>
  <c r="AR1311" i="29184"/>
  <c r="AU1317" i="29184"/>
  <c r="AR1316" i="29184"/>
  <c r="AP117" i="29184"/>
  <c r="M61" i="30099"/>
  <c r="H59" i="18944"/>
  <c r="AB173" i="29957"/>
  <c r="AB317" i="29957"/>
  <c r="AO25" i="28416"/>
  <c r="W36" i="28160"/>
  <c r="V104" i="28416"/>
  <c r="AS120" i="8192"/>
  <c r="AR14" i="29184"/>
  <c r="L93" i="29184"/>
  <c r="AR1744" i="29184"/>
  <c r="J51" i="8192"/>
  <c r="X186" i="30041"/>
  <c r="X179" i="30041"/>
  <c r="X534" i="30041"/>
  <c r="X34" i="18944"/>
  <c r="V120" i="28416"/>
  <c r="V60" i="28416"/>
  <c r="V13" i="28416"/>
  <c r="F33" i="28416"/>
  <c r="V29" i="28416"/>
  <c r="AB321" i="29957"/>
  <c r="U10" i="30031"/>
  <c r="AT6" i="30041"/>
  <c r="AS653" i="29184"/>
  <c r="Y46" i="28160"/>
  <c r="Y86" i="29952"/>
  <c r="W94" i="29952"/>
  <c r="H9" i="18944"/>
  <c r="F56" i="28416"/>
  <c r="H39" i="18944"/>
  <c r="H67" i="18944"/>
  <c r="Q68" i="18944"/>
  <c r="Q113" i="29184"/>
  <c r="Y148" i="29952"/>
  <c r="AT497" i="30041"/>
  <c r="K497" i="30041"/>
  <c r="S79" i="8192"/>
  <c r="BR4" i="30002"/>
  <c r="CF4" i="30002"/>
  <c r="K36" i="30041"/>
  <c r="Q48" i="18944"/>
  <c r="X667" i="30041"/>
  <c r="X296" i="30041"/>
  <c r="Y6" i="29952"/>
  <c r="X527" i="30041"/>
  <c r="X108" i="29952"/>
  <c r="J20" i="24620"/>
  <c r="Q60" i="18944"/>
  <c r="X540" i="30041"/>
  <c r="X268" i="30041"/>
  <c r="Y186" i="29952"/>
  <c r="AF25" i="29184"/>
  <c r="W42" i="29957"/>
  <c r="AQ24" i="8192"/>
  <c r="AL52" i="28416"/>
  <c r="E46" i="440"/>
  <c r="X131" i="29952"/>
  <c r="X234" i="30041"/>
  <c r="J497" i="30041"/>
  <c r="J24" i="8192"/>
  <c r="X484" i="30041"/>
  <c r="AF6" i="18944"/>
  <c r="B18" i="24620"/>
  <c r="L107" i="30019"/>
  <c r="L106" i="30019"/>
  <c r="W118" i="28160"/>
  <c r="W144" i="28160"/>
  <c r="Q68" i="29184"/>
  <c r="AW36" i="29184"/>
  <c r="H14" i="29184"/>
  <c r="H1744" i="29184"/>
  <c r="H1112" i="29184"/>
  <c r="C5" i="24620"/>
  <c r="J6" i="30004"/>
  <c r="AR1310" i="29184"/>
  <c r="B4" i="30002"/>
  <c r="J159" i="29184"/>
  <c r="J6" i="29184"/>
  <c r="AP259" i="29184"/>
  <c r="AQ139" i="30041"/>
  <c r="J113" i="29184"/>
  <c r="J14" i="29184"/>
  <c r="AP53" i="29184"/>
  <c r="AB113" i="29184"/>
  <c r="AB668" i="29184"/>
  <c r="AB959" i="29184"/>
  <c r="AB270" i="29184"/>
  <c r="AB25" i="29184"/>
  <c r="X112" i="28160"/>
  <c r="AW337" i="30041"/>
  <c r="U895" i="29184"/>
  <c r="N220" i="30041"/>
  <c r="H6" i="29955"/>
  <c r="D5" i="29954"/>
  <c r="AW497" i="30041"/>
  <c r="AW6" i="30041"/>
  <c r="N87" i="30041"/>
  <c r="P10" i="30031"/>
  <c r="U595" i="29184"/>
  <c r="U34" i="18944"/>
  <c r="U209" i="29184"/>
  <c r="U1709" i="29184"/>
  <c r="U696" i="29184"/>
  <c r="U1687" i="29184"/>
  <c r="U1181" i="29184"/>
  <c r="N12" i="18944"/>
  <c r="X78" i="28160"/>
  <c r="U587" i="29184"/>
  <c r="U294" i="29957"/>
  <c r="U547" i="29184"/>
  <c r="X96" i="28160"/>
  <c r="X40" i="30041"/>
  <c r="U1411" i="29184"/>
  <c r="U312" i="29957"/>
  <c r="U850" i="29184"/>
  <c r="U215" i="29184"/>
  <c r="U133" i="29184"/>
  <c r="X92" i="30041"/>
  <c r="AB14" i="18944"/>
  <c r="U1533" i="29184"/>
  <c r="U203" i="29184"/>
  <c r="U868" i="29184"/>
  <c r="N56" i="18944"/>
  <c r="J76" i="28416"/>
  <c r="U498" i="29184"/>
  <c r="U750" i="29184"/>
  <c r="X136" i="29952"/>
  <c r="U1367" i="29184"/>
  <c r="U1433" i="29184"/>
  <c r="U1850" i="29184"/>
  <c r="U466" i="29184"/>
  <c r="U58" i="18944"/>
  <c r="U1676" i="29184"/>
  <c r="U922" i="29184"/>
  <c r="X127" i="8192"/>
  <c r="X6" i="28160"/>
  <c r="U1422" i="29184"/>
  <c r="AP111" i="28416"/>
  <c r="U377" i="29184"/>
  <c r="U285" i="29184"/>
  <c r="AI22" i="18944"/>
  <c r="X226" i="29952"/>
  <c r="U1588" i="29184"/>
  <c r="U506" i="29184"/>
  <c r="Z59" i="28416"/>
  <c r="X14" i="28160"/>
  <c r="N32" i="18944"/>
  <c r="AA3" i="440"/>
  <c r="U1171" i="29184"/>
  <c r="N28" i="18944"/>
  <c r="Z103" i="28416"/>
  <c r="U669" i="29184"/>
  <c r="N52" i="18944"/>
  <c r="U1131" i="29184"/>
  <c r="X28" i="8192"/>
  <c r="U1731" i="29184"/>
  <c r="BF117" i="28416"/>
  <c r="E9" i="18944"/>
  <c r="AR1320" i="29184"/>
  <c r="U36" i="29184"/>
  <c r="U384" i="29184"/>
  <c r="U14" i="29184"/>
  <c r="U173" i="29957"/>
  <c r="AS1315" i="29184"/>
  <c r="U980" i="29184"/>
  <c r="X18" i="29952"/>
  <c r="W234" i="29952"/>
  <c r="AP120" i="8192"/>
  <c r="AP220" i="30041"/>
  <c r="AW1319" i="29184"/>
  <c r="AT1304" i="29184"/>
  <c r="AR1305" i="29184"/>
  <c r="AV1320" i="29184"/>
  <c r="AU116" i="29184"/>
  <c r="AT1312" i="29184"/>
  <c r="AS1309" i="29184"/>
  <c r="AP337" i="30041"/>
  <c r="G6" i="30041"/>
  <c r="AP24" i="8192"/>
  <c r="W84" i="28160"/>
  <c r="W70" i="29952"/>
  <c r="AO116" i="28416"/>
  <c r="C73" i="30099"/>
  <c r="W130" i="29952"/>
  <c r="I19" i="24620"/>
  <c r="X414" i="30041"/>
  <c r="X520" i="30041"/>
  <c r="X519" i="30041"/>
  <c r="X222" i="29952"/>
  <c r="X235" i="29952"/>
  <c r="X113" i="30041"/>
  <c r="X674" i="30041"/>
  <c r="X673" i="30041"/>
  <c r="X289" i="30041"/>
  <c r="X576" i="30041"/>
  <c r="X471" i="30041"/>
  <c r="X23" i="30041"/>
  <c r="AB348" i="29184"/>
  <c r="H93" i="29184"/>
  <c r="Y64" i="28416"/>
  <c r="W14" i="29952"/>
  <c r="I112" i="28416"/>
  <c r="B6" i="29955"/>
  <c r="H68" i="29184"/>
  <c r="S36" i="30041"/>
  <c r="AS159" i="29184"/>
  <c r="AS336" i="29184"/>
  <c r="K6" i="30041"/>
  <c r="M113" i="29184"/>
  <c r="AF506" i="30041"/>
  <c r="AS428" i="29184"/>
  <c r="U313" i="29184"/>
  <c r="W118" i="29952"/>
  <c r="W58" i="29952"/>
  <c r="I3" i="19124"/>
  <c r="BD4" i="30002"/>
  <c r="AW68" i="29184"/>
  <c r="U10" i="18944"/>
  <c r="AG259" i="29184"/>
  <c r="AG1744" i="29184"/>
  <c r="AT36" i="30041"/>
  <c r="M10" i="30031"/>
  <c r="AG1112" i="29184"/>
  <c r="K139" i="30041"/>
  <c r="BB139" i="30041"/>
  <c r="S139" i="30041"/>
  <c r="AW6" i="8192"/>
  <c r="AG6" i="29184"/>
  <c r="M14" i="29184"/>
  <c r="H6" i="8192"/>
  <c r="X276" i="30041"/>
  <c r="X582" i="30041"/>
  <c r="X470" i="30041"/>
  <c r="X590" i="30041"/>
  <c r="X526" i="30041"/>
  <c r="X47" i="29952"/>
  <c r="X583" i="30041"/>
  <c r="X610" i="30041"/>
  <c r="U442" i="29184"/>
  <c r="H6" i="30041"/>
  <c r="X60" i="29952"/>
  <c r="X208" i="29952"/>
  <c r="X436" i="30041"/>
  <c r="M53" i="29184"/>
  <c r="AQ38" i="18944"/>
  <c r="AG159" i="29184"/>
  <c r="AF14" i="29184"/>
  <c r="AP1744" i="29184"/>
  <c r="X172" i="30041"/>
  <c r="X180" i="30041"/>
  <c r="X181" i="29952"/>
  <c r="X547" i="30041"/>
  <c r="X46" i="30041"/>
  <c r="X617" i="30041"/>
  <c r="X170" i="29952"/>
  <c r="X282" i="30041"/>
  <c r="AG53" i="29184"/>
  <c r="X120" i="30041"/>
  <c r="U305" i="29957"/>
  <c r="X50" i="29952"/>
  <c r="AG14" i="29184"/>
  <c r="H24" i="8192"/>
  <c r="BB79" i="8192"/>
  <c r="X380" i="30041"/>
  <c r="AF113" i="29184"/>
  <c r="AF1744" i="29184"/>
  <c r="M6" i="29184"/>
  <c r="AF68" i="29184"/>
  <c r="AP113" i="29184"/>
  <c r="Z43" i="28416"/>
  <c r="U514" i="29184"/>
  <c r="W220" i="29952"/>
  <c r="I52" i="28416"/>
  <c r="Y93" i="28416"/>
  <c r="AO56" i="28416"/>
  <c r="X119" i="30041"/>
  <c r="X61" i="30041"/>
  <c r="X146" i="29952"/>
  <c r="X660" i="30041"/>
  <c r="K120" i="8192"/>
  <c r="X165" i="30041"/>
  <c r="X332" i="30041"/>
  <c r="AT79" i="8192"/>
  <c r="X99" i="30041"/>
  <c r="X533" i="30041"/>
  <c r="X187" i="30041"/>
  <c r="X450" i="30041"/>
  <c r="X158" i="29952"/>
  <c r="X127" i="30041"/>
  <c r="X646" i="30041"/>
  <c r="AS259" i="29184"/>
  <c r="X169" i="29952"/>
  <c r="X597" i="30041"/>
  <c r="X688" i="30041"/>
  <c r="X680" i="30041"/>
  <c r="X248" i="30041"/>
  <c r="X215" i="30041"/>
  <c r="L15" i="440"/>
  <c r="AP6" i="30041"/>
  <c r="G139" i="30041"/>
  <c r="B48" i="24620"/>
  <c r="AU115" i="29184"/>
  <c r="CB116" i="29184"/>
  <c r="G337" i="30041"/>
  <c r="AP51" i="8192"/>
  <c r="AP139" i="30041"/>
  <c r="M5" i="29954"/>
  <c r="H1303" i="29184"/>
  <c r="E55" i="440"/>
  <c r="X84" i="29952"/>
  <c r="X17" i="30041"/>
  <c r="X24" i="30041"/>
  <c r="X28" i="29952"/>
  <c r="X512" i="30041"/>
  <c r="X407" i="30041"/>
  <c r="X83" i="29952"/>
  <c r="X569" i="30041"/>
  <c r="X145" i="29952"/>
  <c r="X236" i="29952"/>
  <c r="X331" i="30041"/>
  <c r="X159" i="30041"/>
  <c r="I68" i="28416"/>
  <c r="W82" i="29952"/>
  <c r="AB159" i="29184"/>
  <c r="L132" i="30019"/>
  <c r="K337" i="30041"/>
  <c r="AS53" i="29184"/>
  <c r="AG788" i="29184"/>
  <c r="AS68" i="29184"/>
  <c r="AF1112" i="29184"/>
  <c r="AF6" i="29184"/>
  <c r="AQ337" i="30041"/>
  <c r="E27" i="30028"/>
  <c r="CE4" i="30002"/>
  <c r="AW6" i="29184"/>
  <c r="U1334" i="29184"/>
  <c r="X122" i="29952"/>
  <c r="AS1512" i="29184"/>
  <c r="AT87" i="30041"/>
  <c r="AS1112" i="29184"/>
  <c r="AT220" i="30041"/>
  <c r="K24" i="8192"/>
  <c r="AG36" i="29184"/>
  <c r="BB337" i="30041"/>
  <c r="BB6" i="8192"/>
  <c r="AG506" i="30041"/>
  <c r="AF133" i="29184"/>
  <c r="AF192" i="29184"/>
  <c r="AT24" i="8192"/>
  <c r="X105" i="30041"/>
  <c r="X653" i="30041"/>
  <c r="E56" i="440"/>
  <c r="X624" i="30041"/>
  <c r="X106" i="30041"/>
  <c r="X119" i="29952"/>
  <c r="X16" i="29952"/>
  <c r="X449" i="30041"/>
  <c r="J123" i="28416"/>
  <c r="U227" i="29184"/>
  <c r="X638" i="30041"/>
  <c r="AQ220" i="30041"/>
  <c r="X152" i="30041"/>
  <c r="X30" i="30041"/>
  <c r="U732" i="29184"/>
  <c r="AF428" i="29184"/>
  <c r="AG113" i="29184"/>
  <c r="AT139" i="30041"/>
  <c r="AG25" i="29184"/>
  <c r="D3" i="19124"/>
  <c r="AP1303" i="29184"/>
  <c r="X261" i="30041"/>
  <c r="X372" i="30041"/>
  <c r="X241" i="30041"/>
  <c r="X443" i="30041"/>
  <c r="X75" i="30041"/>
  <c r="X603" i="30041"/>
  <c r="X310" i="30041"/>
  <c r="X401" i="30041"/>
  <c r="M36" i="29184"/>
  <c r="X214" i="30041"/>
  <c r="X15" i="29952"/>
  <c r="H51" i="8192"/>
  <c r="AQ79" i="8192"/>
  <c r="S6" i="8192"/>
  <c r="X207" i="30041"/>
  <c r="S6" i="30041"/>
  <c r="AF336" i="29184"/>
  <c r="AS6" i="29184"/>
  <c r="AG1512" i="29184"/>
  <c r="AF788" i="29184"/>
  <c r="AP25" i="29184"/>
  <c r="N16" i="18944"/>
  <c r="AP68" i="29184"/>
  <c r="F6" i="30049"/>
  <c r="BE100" i="28416"/>
  <c r="W110" i="28160"/>
  <c r="W136" i="28160"/>
  <c r="W206" i="29952"/>
  <c r="W102" i="28160"/>
  <c r="W76" i="28160"/>
  <c r="AT120" i="8192"/>
  <c r="X173" i="30041"/>
  <c r="X387" i="30041"/>
  <c r="X297" i="30041"/>
  <c r="E57" i="440"/>
  <c r="X254" i="30041"/>
  <c r="X408" i="30041"/>
  <c r="X365" i="30041"/>
  <c r="X195" i="29952"/>
  <c r="X415" i="30041"/>
  <c r="X283" i="30041"/>
  <c r="AG192" i="29184"/>
  <c r="E48" i="440"/>
  <c r="X442" i="30041"/>
  <c r="X351" i="30041"/>
  <c r="X311" i="30041"/>
  <c r="X255" i="30041"/>
  <c r="X394" i="30041"/>
  <c r="X81" i="30041"/>
  <c r="L5" i="440"/>
  <c r="G24" i="8192"/>
  <c r="G36" i="30041"/>
  <c r="G6" i="8192"/>
  <c r="G79" i="8192"/>
  <c r="G120" i="8192"/>
  <c r="E71" i="440"/>
  <c r="H133" i="29184"/>
  <c r="W154" i="28160"/>
  <c r="B495" i="30041"/>
  <c r="AN495" i="30041" s="1"/>
  <c r="H25" i="29184"/>
  <c r="W60" i="28160"/>
  <c r="H113" i="29184"/>
  <c r="X463" i="30041"/>
  <c r="X303" i="30041"/>
  <c r="X247" i="30041"/>
  <c r="X611" i="30041"/>
  <c r="X575" i="30041"/>
  <c r="X562" i="30041"/>
  <c r="E11" i="30028"/>
  <c r="X107" i="29952"/>
  <c r="X27" i="29952"/>
  <c r="X386" i="30041"/>
  <c r="X456" i="30041"/>
  <c r="X702" i="30041"/>
  <c r="W52" i="28160"/>
  <c r="Y33" i="28416"/>
  <c r="BE122" i="28416"/>
  <c r="H192" i="29184"/>
  <c r="AF653" i="29184"/>
  <c r="AG428" i="29184"/>
  <c r="AF1303" i="29184"/>
  <c r="AS788" i="29184"/>
  <c r="M25" i="29184"/>
  <c r="AS93" i="29184"/>
  <c r="H139" i="30041"/>
  <c r="AA3" i="30019"/>
  <c r="I44" i="28416"/>
  <c r="H36" i="29184"/>
  <c r="AG653" i="29184"/>
  <c r="M159" i="29184"/>
  <c r="K87" i="30041"/>
  <c r="AG133" i="29184"/>
  <c r="AF1512" i="29184"/>
  <c r="BB51" i="8192"/>
  <c r="S220" i="30041"/>
  <c r="S51" i="8192"/>
  <c r="AS942" i="29184"/>
  <c r="K6" i="8192"/>
  <c r="AT51" i="8192"/>
  <c r="K79" i="8192"/>
  <c r="AS192" i="29184"/>
  <c r="X233" i="30041"/>
  <c r="E39" i="440"/>
  <c r="X98" i="30041"/>
  <c r="X317" i="30041"/>
  <c r="X60" i="30041"/>
  <c r="X681" i="30041"/>
  <c r="X325" i="30041"/>
  <c r="X701" i="30041"/>
  <c r="B22" i="24620"/>
  <c r="C74" i="30099"/>
  <c r="AQ6" i="8192"/>
  <c r="S120" i="8192"/>
  <c r="X379" i="30041"/>
  <c r="B17" i="29998"/>
  <c r="AG68" i="29184"/>
  <c r="X31" i="30041"/>
  <c r="B23" i="24620"/>
  <c r="X639" i="30041"/>
  <c r="X158" i="30041"/>
  <c r="X126" i="30041"/>
  <c r="X221" i="29952"/>
  <c r="X53" i="30041"/>
  <c r="X695" i="30041"/>
  <c r="X182" i="29952"/>
  <c r="X227" i="30041"/>
  <c r="U25" i="29184"/>
  <c r="J25" i="29184"/>
  <c r="X207" i="29952"/>
  <c r="X47" i="30041"/>
  <c r="X548" i="30041"/>
  <c r="AG532" i="29184"/>
  <c r="AF532" i="29184"/>
  <c r="AF93" i="29184"/>
  <c r="U1161" i="29184"/>
  <c r="M93" i="29184"/>
  <c r="H497" i="30041"/>
  <c r="W194" i="29952"/>
  <c r="I81" i="28416"/>
  <c r="W46" i="29952"/>
  <c r="S3" i="19124"/>
  <c r="W26" i="29952"/>
  <c r="M4" i="30031"/>
  <c r="C41" i="30099"/>
  <c r="X359" i="30041"/>
  <c r="X269" i="30041"/>
  <c r="X554" i="30041"/>
  <c r="X589" i="30041"/>
  <c r="X120" i="29952"/>
  <c r="X513" i="30041"/>
  <c r="X201" i="30041"/>
  <c r="X555" i="30041"/>
  <c r="X59" i="29952"/>
  <c r="X112" i="30041"/>
  <c r="X457" i="30041"/>
  <c r="X604" i="30041"/>
  <c r="C43" i="30099"/>
  <c r="X166" i="30041"/>
  <c r="X133" i="30041"/>
  <c r="X666" i="30041"/>
  <c r="X134" i="30041"/>
  <c r="AV159" i="29184"/>
  <c r="AV14" i="29184"/>
  <c r="R24" i="8192"/>
  <c r="BA220" i="30041"/>
  <c r="AV1512" i="29184"/>
  <c r="AV336" i="29184"/>
  <c r="AV133" i="29184"/>
  <c r="AV53" i="29184"/>
  <c r="W212" i="29952"/>
  <c r="I123" i="28416"/>
  <c r="W54" i="28160"/>
  <c r="I32" i="28416"/>
  <c r="T547" i="29184"/>
  <c r="T405" i="29184"/>
  <c r="T1378" i="29184"/>
  <c r="W198" i="29952"/>
  <c r="T611" i="29184"/>
  <c r="W98" i="29952"/>
  <c r="T1566" i="29184"/>
  <c r="BE35" i="28416"/>
  <c r="T1910" i="29184"/>
  <c r="T1100" i="29184"/>
  <c r="W74" i="29952"/>
  <c r="T113" i="29184"/>
  <c r="I24" i="28416"/>
  <c r="Y103" i="28416"/>
  <c r="I942" i="29184"/>
  <c r="I259" i="29184"/>
  <c r="T1970" i="29184"/>
  <c r="T1131" i="29184"/>
  <c r="T886" i="29184"/>
  <c r="W345" i="30041"/>
  <c r="T305" i="29957"/>
  <c r="M68" i="18944"/>
  <c r="W227" i="30041"/>
  <c r="U4" i="30002"/>
  <c r="AI3" i="440"/>
  <c r="Y112" i="29952"/>
  <c r="Y8" i="29952"/>
  <c r="Y20" i="29952"/>
  <c r="Y214" i="29952"/>
  <c r="Y64" i="29952"/>
  <c r="AW1320" i="29184"/>
  <c r="AS1318" i="29184"/>
  <c r="A3" i="19124"/>
  <c r="M16" i="18944"/>
  <c r="D33" i="18944"/>
  <c r="T571" i="29184"/>
  <c r="W104" i="28160"/>
  <c r="T1886" i="29184"/>
  <c r="M20" i="18944"/>
  <c r="T1665" i="29184"/>
  <c r="AP1318" i="29184"/>
  <c r="T579" i="29184"/>
  <c r="T868" i="29184"/>
  <c r="T450" i="29184"/>
  <c r="T36" i="29184"/>
  <c r="AA46" i="18944"/>
  <c r="W38" i="28160"/>
  <c r="T1862" i="29184"/>
  <c r="T458" i="29184"/>
  <c r="T58" i="18944"/>
  <c r="T18" i="18944"/>
  <c r="T1356" i="29184"/>
  <c r="Y28" i="28416"/>
  <c r="T1934" i="29184"/>
  <c r="I16" i="28416"/>
  <c r="T419" i="29184"/>
  <c r="T1814" i="29184"/>
  <c r="W506" i="30041"/>
  <c r="W6" i="28160"/>
  <c r="Y43" i="28416"/>
  <c r="T299" i="29184"/>
  <c r="T327" i="29184"/>
  <c r="W130" i="28160"/>
  <c r="T1080" i="29184"/>
  <c r="T1422" i="29184"/>
  <c r="D51" i="18944"/>
  <c r="T1477" i="29184"/>
  <c r="T595" i="29184"/>
  <c r="T1466" i="29184"/>
  <c r="I107" i="28416"/>
  <c r="T5" i="29957"/>
  <c r="T990" i="29184"/>
  <c r="M48" i="18944"/>
  <c r="T1323" i="29184"/>
  <c r="T1958" i="29184"/>
  <c r="AO51" i="28416"/>
  <c r="T384" i="29184"/>
  <c r="W148" i="28160"/>
  <c r="T306" i="29184"/>
  <c r="W145" i="30041"/>
  <c r="T1555" i="29184"/>
  <c r="AX6" i="28416"/>
  <c r="D1" i="29184"/>
  <c r="B1303" i="29184"/>
  <c r="B36" i="29184"/>
  <c r="B68" i="29184"/>
  <c r="BO4" i="30002"/>
  <c r="E2" i="440"/>
  <c r="I6" i="29184"/>
  <c r="S58" i="18944"/>
  <c r="H92" i="28416"/>
  <c r="S442" i="29184"/>
  <c r="I192" i="29184"/>
  <c r="Y188" i="29952"/>
  <c r="B942" i="29184"/>
  <c r="B336" i="29184"/>
  <c r="B337" i="30041"/>
  <c r="B93" i="29184"/>
  <c r="B139" i="30041"/>
  <c r="Y160" i="28160"/>
  <c r="S506" i="29184"/>
  <c r="S18" i="18944"/>
  <c r="S398" i="29184"/>
  <c r="L12" i="18944"/>
  <c r="S611" i="29184"/>
  <c r="S1422" i="29184"/>
  <c r="S1080" i="29184"/>
  <c r="V130" i="28160"/>
  <c r="H107" i="28416"/>
  <c r="AQ36" i="30041"/>
  <c r="S466" i="29184"/>
  <c r="V10" i="8192"/>
  <c r="V30" i="28160"/>
  <c r="S1766" i="29184"/>
  <c r="S768" i="29184"/>
  <c r="V10" i="30041"/>
  <c r="C67" i="18944"/>
  <c r="S275" i="29957"/>
  <c r="V28" i="8192"/>
  <c r="X119" i="28416"/>
  <c r="B6" i="28416"/>
  <c r="S1231" i="29184"/>
  <c r="S1709" i="29184"/>
  <c r="S1323" i="29184"/>
  <c r="J133" i="29184"/>
  <c r="L56" i="18944"/>
  <c r="S931" i="29184"/>
  <c r="S1698" i="29184"/>
  <c r="S1499" i="29184"/>
  <c r="S305" i="29957"/>
  <c r="V145" i="30041"/>
  <c r="S1610" i="29184"/>
  <c r="AP428" i="29184"/>
  <c r="S1010" i="29184"/>
  <c r="C17" i="18944"/>
  <c r="S1898" i="29184"/>
  <c r="S239" i="29184"/>
  <c r="S1281" i="29184"/>
  <c r="C25" i="18944"/>
  <c r="S960" i="29184"/>
  <c r="V18" i="29952"/>
  <c r="S1400" i="29184"/>
  <c r="L48" i="18944"/>
  <c r="Y16" i="28160"/>
  <c r="AP942" i="29184"/>
  <c r="I159" i="29184"/>
  <c r="I36" i="29184"/>
  <c r="S750" i="29184"/>
  <c r="S14" i="29184"/>
  <c r="S1131" i="29184"/>
  <c r="C18" i="30099"/>
  <c r="S1020" i="29184"/>
  <c r="I14" i="29184"/>
  <c r="B4" i="29184"/>
  <c r="AM4" i="29184" s="1"/>
  <c r="B4" i="8192"/>
  <c r="AN4" i="8192" s="1"/>
  <c r="A3" i="30016"/>
  <c r="Y1" i="28160"/>
  <c r="T1261" i="29184"/>
  <c r="T750" i="29184"/>
  <c r="T1922" i="29184"/>
  <c r="T1588" i="29184"/>
  <c r="T1020" i="29184"/>
  <c r="W160" i="29952"/>
  <c r="T1577" i="29184"/>
  <c r="B20" i="24620"/>
  <c r="I55" i="28416"/>
  <c r="I47" i="28416"/>
  <c r="T1898" i="29184"/>
  <c r="M36" i="18944"/>
  <c r="T356" i="29184"/>
  <c r="M28" i="18944"/>
  <c r="AH22" i="18944"/>
  <c r="T377" i="29184"/>
  <c r="T209" i="29184"/>
  <c r="T705" i="29184"/>
  <c r="T732" i="29184"/>
  <c r="G126" i="30099"/>
  <c r="T1720" i="29184"/>
  <c r="T68" i="29184"/>
  <c r="T832" i="29184"/>
  <c r="T285" i="29184"/>
  <c r="AO111" i="28416"/>
  <c r="T522" i="29184"/>
  <c r="T1533" i="29184"/>
  <c r="T603" i="29184"/>
  <c r="T239" i="29184"/>
  <c r="W38" i="29952"/>
  <c r="T93" i="29184"/>
  <c r="W86" i="28160"/>
  <c r="T227" i="29184"/>
  <c r="T240" i="29957"/>
  <c r="T1687" i="29184"/>
  <c r="T1334" i="29184"/>
  <c r="T1874" i="29184"/>
  <c r="T203" i="29184"/>
  <c r="W70" i="28160"/>
  <c r="T391" i="29184"/>
  <c r="M60" i="18944"/>
  <c r="T1231" i="29184"/>
  <c r="AA14" i="18944"/>
  <c r="T1060" i="29184"/>
  <c r="T627" i="29184"/>
  <c r="T1050" i="29184"/>
  <c r="W112" i="28160"/>
  <c r="T466" i="29184"/>
  <c r="T913" i="29184"/>
  <c r="B224" i="29952"/>
  <c r="Y2" i="28160"/>
  <c r="B428" i="29184"/>
  <c r="B788" i="29184"/>
  <c r="O4" i="30003"/>
  <c r="I653" i="29184"/>
  <c r="S1665" i="29184"/>
  <c r="S245" i="29184"/>
  <c r="BD117" i="28416"/>
  <c r="Y40" i="29952"/>
  <c r="I1112" i="29184"/>
  <c r="Y64" i="28160"/>
  <c r="B1112" i="29184"/>
  <c r="B25" i="29184"/>
  <c r="B6" i="8192"/>
  <c r="B192" i="29184"/>
  <c r="B532" i="29184"/>
  <c r="B497" i="30041"/>
  <c r="H39" i="28416"/>
  <c r="AN51" i="28416"/>
  <c r="S1241" i="29184"/>
  <c r="S1221" i="29184"/>
  <c r="H24" i="28416"/>
  <c r="H8" i="28416"/>
  <c r="S317" i="29957"/>
  <c r="S868" i="29184"/>
  <c r="V86" i="29952"/>
  <c r="V74" i="29952"/>
  <c r="V122" i="29952"/>
  <c r="V186" i="29952"/>
  <c r="S1862" i="29184"/>
  <c r="V148" i="28160"/>
  <c r="S1141" i="29184"/>
  <c r="AG22" i="18944"/>
  <c r="C59" i="18944"/>
  <c r="S278" i="29184"/>
  <c r="S34" i="18944"/>
  <c r="S643" i="29184"/>
  <c r="V46" i="28160"/>
  <c r="S1778" i="29184"/>
  <c r="S203" i="29184"/>
  <c r="V40" i="30041"/>
  <c r="S1588" i="29184"/>
  <c r="C39" i="18944"/>
  <c r="S1886" i="29184"/>
  <c r="S1720" i="29184"/>
  <c r="V6" i="28160"/>
  <c r="S482" i="29184"/>
  <c r="S1958" i="29184"/>
  <c r="S1345" i="29184"/>
  <c r="AN20" i="28416"/>
  <c r="V158" i="28160"/>
  <c r="S832" i="29184"/>
  <c r="S221" i="29184"/>
  <c r="S412" i="29184"/>
  <c r="V127" i="8192"/>
  <c r="Y88" i="28160"/>
  <c r="I25" i="29184"/>
  <c r="S1826" i="29184"/>
  <c r="S450" i="29184"/>
  <c r="S159" i="29184"/>
  <c r="S1555" i="29184"/>
  <c r="S687" i="29184"/>
  <c r="S292" i="29184"/>
  <c r="X631" i="30041"/>
  <c r="X132" i="29952"/>
  <c r="X652" i="30041"/>
  <c r="X478" i="30041"/>
  <c r="X625" i="30041"/>
  <c r="X72" i="29952"/>
  <c r="X421" i="30041"/>
  <c r="X208" i="30041"/>
  <c r="X358" i="30041"/>
  <c r="X632" i="30041"/>
  <c r="E47" i="440"/>
  <c r="X151" i="30041"/>
  <c r="X352" i="30041"/>
  <c r="X67" i="30041"/>
  <c r="E25" i="18944"/>
  <c r="X62" i="28160"/>
  <c r="W156" i="29952"/>
  <c r="W20" i="28160"/>
  <c r="W164" i="28160"/>
  <c r="B40" i="24620"/>
  <c r="W10" i="30041"/>
  <c r="T1766" i="29184"/>
  <c r="W92" i="30041"/>
  <c r="T922" i="29184"/>
  <c r="T292" i="29184"/>
  <c r="W85" i="8192"/>
  <c r="W122" i="29952"/>
  <c r="W172" i="29952"/>
  <c r="T980" i="29184"/>
  <c r="T1709" i="29184"/>
  <c r="T215" i="29184"/>
  <c r="T173" i="29957"/>
  <c r="W158" i="28160"/>
  <c r="AO20" i="28416"/>
  <c r="T370" i="29184"/>
  <c r="T619" i="29184"/>
  <c r="T1191" i="29184"/>
  <c r="W10" i="8192"/>
  <c r="W226" i="29952"/>
  <c r="T1778" i="29184"/>
  <c r="T768" i="29184"/>
  <c r="T1201" i="29184"/>
  <c r="T506" i="29184"/>
  <c r="M44" i="18944"/>
  <c r="T1982" i="29184"/>
  <c r="T514" i="29184"/>
  <c r="T1090" i="29184"/>
  <c r="W50" i="29952"/>
  <c r="T563" i="29184"/>
  <c r="T1411" i="29184"/>
  <c r="T275" i="29957"/>
  <c r="AO38" i="18944"/>
  <c r="T50" i="18944"/>
  <c r="W96" i="28160"/>
  <c r="AA62" i="18944"/>
  <c r="T312" i="29957"/>
  <c r="T1400" i="29184"/>
  <c r="T42" i="18944"/>
  <c r="W28" i="8192"/>
  <c r="T1171" i="29184"/>
  <c r="T960" i="29184"/>
  <c r="T294" i="29957"/>
  <c r="M12" i="18944"/>
  <c r="T1389" i="29184"/>
  <c r="AA30" i="18944"/>
  <c r="M56" i="18944"/>
  <c r="AH54" i="18944"/>
  <c r="AO80" i="28416"/>
  <c r="B320" i="29957"/>
  <c r="AE4" i="30002"/>
  <c r="E136" i="30002"/>
  <c r="B51" i="8192"/>
  <c r="B6" i="30041"/>
  <c r="I788" i="29184"/>
  <c r="S1922" i="29184"/>
  <c r="S363" i="29184"/>
  <c r="S1040" i="29184"/>
  <c r="I532" i="29184"/>
  <c r="B133" i="29184"/>
  <c r="B36" i="30041"/>
  <c r="B259" i="29184"/>
  <c r="B113" i="29184"/>
  <c r="L24" i="18944"/>
  <c r="S759" i="29184"/>
  <c r="S498" i="29184"/>
  <c r="S1090" i="29184"/>
  <c r="V112" i="28160"/>
  <c r="V172" i="29952"/>
  <c r="S1621" i="29184"/>
  <c r="V120" i="28160"/>
  <c r="V78" i="28160"/>
  <c r="S1389" i="29184"/>
  <c r="V70" i="28160"/>
  <c r="S294" i="29957"/>
  <c r="S312" i="29957"/>
  <c r="X12" i="28416"/>
  <c r="S1411" i="29184"/>
  <c r="S1334" i="29184"/>
  <c r="V86" i="28160"/>
  <c r="S877" i="29184"/>
  <c r="X28" i="28416"/>
  <c r="H123" i="28416"/>
  <c r="S42" i="18944"/>
  <c r="S93" i="29184"/>
  <c r="S547" i="29184"/>
  <c r="S1433" i="29184"/>
  <c r="S1946" i="29184"/>
  <c r="V62" i="28160"/>
  <c r="A3" i="440"/>
  <c r="S1790" i="29184"/>
  <c r="AN80" i="28416"/>
  <c r="Z62" i="18944"/>
  <c r="S1291" i="29184"/>
  <c r="S50" i="18944"/>
  <c r="S1643" i="29184"/>
  <c r="H5" i="30017"/>
  <c r="H55" i="28416"/>
  <c r="V345" i="30041"/>
  <c r="S5" i="29957"/>
  <c r="AP93" i="29184"/>
  <c r="AQ6" i="30041"/>
  <c r="G220" i="30041"/>
  <c r="G51" i="8192"/>
  <c r="L20" i="440"/>
  <c r="L11" i="440"/>
  <c r="L10" i="440"/>
  <c r="L19" i="440"/>
  <c r="L4" i="30019"/>
  <c r="L14" i="440"/>
  <c r="L13" i="440"/>
  <c r="L104" i="30019"/>
  <c r="Q36" i="29184"/>
  <c r="AW1744" i="29184"/>
  <c r="AW159" i="29184"/>
  <c r="Q159" i="29184"/>
  <c r="AW53" i="29184"/>
  <c r="Q6" i="29184"/>
  <c r="AW1112" i="29184"/>
  <c r="AW25" i="29184"/>
  <c r="AW93" i="29184"/>
  <c r="AW788" i="29184"/>
  <c r="Q53" i="29184"/>
  <c r="AW336" i="29184"/>
  <c r="Q133" i="29184"/>
  <c r="AW14" i="29184"/>
  <c r="Q14" i="29184"/>
  <c r="AW1303" i="29184"/>
  <c r="AW1512" i="29184"/>
  <c r="Q25" i="29184"/>
  <c r="AW942" i="29184"/>
  <c r="AW113" i="29184"/>
  <c r="E69" i="30099"/>
  <c r="AW133" i="29184"/>
  <c r="BB497" i="30041"/>
  <c r="BB36" i="30041"/>
  <c r="S87" i="30041"/>
  <c r="S337" i="30041"/>
  <c r="S24" i="8192"/>
  <c r="BB120" i="8192"/>
  <c r="S497" i="30041"/>
  <c r="B128" i="28160"/>
  <c r="B184" i="29952"/>
  <c r="AS532" i="29184"/>
  <c r="AS14" i="29184"/>
  <c r="AF159" i="29184"/>
  <c r="AG942" i="29184"/>
  <c r="AF53" i="29184"/>
  <c r="B4" i="30044"/>
  <c r="Z30" i="29952"/>
  <c r="E20" i="30099"/>
  <c r="Y151" i="29952"/>
  <c r="Y53" i="29952"/>
  <c r="G321" i="29957"/>
  <c r="AO1744" i="29184"/>
  <c r="G25" i="29184"/>
  <c r="B51" i="24620"/>
  <c r="D40" i="28416"/>
  <c r="O12" i="18944"/>
  <c r="AC62" i="18944"/>
  <c r="F17" i="18944"/>
  <c r="G1512" i="29184"/>
  <c r="AO25" i="29184"/>
  <c r="AO53" i="29184"/>
  <c r="Y151" i="28160"/>
  <c r="Y133" i="28160"/>
  <c r="Y125" i="29952"/>
  <c r="Y77" i="29952"/>
  <c r="Y99" i="28160"/>
  <c r="V42" i="18944"/>
  <c r="L3" i="30019"/>
  <c r="D9" i="28416"/>
  <c r="AO428" i="29184"/>
  <c r="E68" i="30099"/>
  <c r="V50" i="18944"/>
  <c r="F25" i="18944"/>
  <c r="Y81" i="28160"/>
  <c r="AO788" i="29184"/>
  <c r="E70" i="30099"/>
  <c r="H137" i="30002"/>
  <c r="I137" i="30002"/>
  <c r="H5" i="29954"/>
  <c r="D44" i="30027" s="1"/>
  <c r="T398" i="29184"/>
  <c r="W120" i="28160"/>
  <c r="T1291" i="29184"/>
  <c r="T1010" i="29184"/>
  <c r="T482" i="29184"/>
  <c r="T895" i="29184"/>
  <c r="W18" i="29952"/>
  <c r="T714" i="29184"/>
  <c r="T841" i="29184"/>
  <c r="T317" i="29957"/>
  <c r="T363" i="29184"/>
  <c r="T1444" i="29184"/>
  <c r="F4" i="30038"/>
  <c r="H4" i="30038"/>
  <c r="B79" i="8192"/>
  <c r="B1512" i="29184"/>
  <c r="B159" i="29184"/>
  <c r="AK3" i="440"/>
  <c r="AK3" i="30019"/>
  <c r="AH3" i="440"/>
  <c r="AH3" i="30019"/>
  <c r="S850" i="29184"/>
  <c r="S669" i="29184"/>
  <c r="X43" i="28416"/>
  <c r="S1171" i="29184"/>
  <c r="S705" i="29184"/>
  <c r="V38" i="29952"/>
  <c r="X88" i="28416"/>
  <c r="S66" i="18944"/>
  <c r="V506" i="30041"/>
  <c r="S522" i="29184"/>
  <c r="X59" i="28416"/>
  <c r="V85" i="8192"/>
  <c r="S777" i="29184"/>
  <c r="AN38" i="18944"/>
  <c r="V6" i="29952"/>
  <c r="Z46" i="18944"/>
  <c r="S1599" i="29184"/>
  <c r="S227" i="29184"/>
  <c r="S474" i="29184"/>
  <c r="S1676" i="29184"/>
  <c r="S1838" i="29184"/>
  <c r="S384" i="29184"/>
  <c r="S1356" i="29184"/>
  <c r="V38" i="28160"/>
  <c r="S1030" i="29184"/>
  <c r="V92" i="30041"/>
  <c r="S1654" i="29184"/>
  <c r="S313" i="29184"/>
  <c r="V148" i="29952"/>
  <c r="L60" i="18944"/>
  <c r="S327" i="29184"/>
  <c r="S732" i="29184"/>
  <c r="S356" i="29184"/>
  <c r="V138" i="28160"/>
  <c r="S1874" i="29184"/>
  <c r="H63" i="28416"/>
  <c r="C4" i="30099"/>
  <c r="S113" i="29184"/>
  <c r="S1934" i="29184"/>
  <c r="S1191" i="29184"/>
  <c r="S1444" i="29184"/>
  <c r="S1000" i="29184"/>
  <c r="S405" i="29184"/>
  <c r="S1367" i="29184"/>
  <c r="B5" i="30017"/>
  <c r="S1850" i="29184"/>
  <c r="S1378" i="29184"/>
  <c r="S299" i="29184"/>
  <c r="X103" i="28416"/>
  <c r="S714" i="29184"/>
  <c r="V14" i="28160"/>
  <c r="S458" i="29184"/>
  <c r="H32" i="28416"/>
  <c r="V96" i="28160"/>
  <c r="S841" i="29184"/>
  <c r="S271" i="29184"/>
  <c r="S42" i="29957"/>
  <c r="S579" i="29184"/>
  <c r="S1488" i="29184"/>
  <c r="S1544" i="29184"/>
  <c r="S240" i="29957"/>
  <c r="B66" i="30099"/>
  <c r="S1050" i="29184"/>
  <c r="S904" i="29184"/>
  <c r="S514" i="29184"/>
  <c r="S913" i="29184"/>
  <c r="S36" i="29184"/>
  <c r="S1577" i="29184"/>
  <c r="S1181" i="29184"/>
  <c r="V104" i="28160"/>
  <c r="V198" i="29952"/>
  <c r="L20" i="18944"/>
  <c r="S723" i="29184"/>
  <c r="C9" i="18944"/>
  <c r="S741" i="29184"/>
  <c r="G104" i="30099"/>
  <c r="S922" i="29184"/>
  <c r="H47" i="28416"/>
  <c r="V160" i="29952"/>
  <c r="S563" i="29184"/>
  <c r="S1100" i="29184"/>
  <c r="L52" i="18944"/>
  <c r="S603" i="29184"/>
  <c r="S133" i="29184"/>
  <c r="S895" i="29184"/>
  <c r="S627" i="29184"/>
  <c r="S1802" i="29184"/>
  <c r="S1151" i="29184"/>
  <c r="AN111" i="28416"/>
  <c r="S25" i="29184"/>
  <c r="S1970" i="29184"/>
  <c r="S321" i="29957"/>
  <c r="S251" i="29184"/>
  <c r="V110" i="29952"/>
  <c r="V56" i="8192"/>
  <c r="V226" i="29952"/>
  <c r="S320" i="29184"/>
  <c r="V212" i="29952"/>
  <c r="S10" i="18944"/>
  <c r="S391" i="29184"/>
  <c r="S1271" i="29184"/>
  <c r="S571" i="29184"/>
  <c r="S1533" i="29184"/>
  <c r="S595" i="29184"/>
  <c r="Z30" i="18944"/>
  <c r="V98" i="29952"/>
  <c r="S1161" i="29184"/>
  <c r="S419" i="29184"/>
  <c r="S1455" i="29184"/>
  <c r="S990" i="29184"/>
  <c r="C51" i="18944"/>
  <c r="G125" i="30099"/>
  <c r="G91" i="30099"/>
  <c r="S805" i="29184"/>
  <c r="S823" i="29184"/>
  <c r="S1814" i="29184"/>
  <c r="L8" i="18944"/>
  <c r="S814" i="29184"/>
  <c r="V54" i="28160"/>
  <c r="S53" i="29184"/>
  <c r="L64" i="18944"/>
  <c r="L36" i="18944"/>
  <c r="H16" i="28416"/>
  <c r="S859" i="29184"/>
  <c r="S1060" i="29184"/>
  <c r="L32" i="18944"/>
  <c r="AG54" i="18944"/>
  <c r="S370" i="29184"/>
  <c r="S635" i="29184"/>
  <c r="L16" i="18944"/>
  <c r="S1477" i="29184"/>
  <c r="B5" i="29954"/>
  <c r="G1303" i="29184"/>
  <c r="Y9" i="29952"/>
  <c r="Y65" i="28160"/>
  <c r="Y41" i="29952"/>
  <c r="B38" i="24620"/>
  <c r="D77" i="28416"/>
  <c r="AZ58" i="28416"/>
  <c r="AJ22" i="18944"/>
  <c r="F9" i="18944"/>
  <c r="AO159" i="29184"/>
  <c r="G93" i="29184"/>
  <c r="Y229" i="29952"/>
  <c r="Y139" i="29952"/>
  <c r="Y107" i="28160"/>
  <c r="Y113" i="29952"/>
  <c r="Y175" i="29952"/>
  <c r="D33" i="28416"/>
  <c r="O44" i="18944"/>
  <c r="D25" i="28416"/>
  <c r="O52" i="18944"/>
  <c r="T89" i="28416"/>
  <c r="O16" i="18944"/>
  <c r="AJ54" i="18944"/>
  <c r="F33" i="18944"/>
  <c r="AO1512" i="29184"/>
  <c r="J60" i="30099"/>
  <c r="C60" i="30099"/>
  <c r="AB4" i="30043"/>
  <c r="E6" i="30004"/>
  <c r="F3" i="19124"/>
  <c r="V1161" i="29184"/>
  <c r="V741" i="29184"/>
  <c r="S120" i="28416"/>
  <c r="V514" i="29184"/>
  <c r="V1566" i="29184"/>
  <c r="AX14" i="29184"/>
  <c r="AA12" i="28416"/>
  <c r="V1555" i="29184"/>
  <c r="V203" i="29184"/>
  <c r="V1181" i="29184"/>
  <c r="V1030" i="29184"/>
  <c r="Y85" i="8192"/>
  <c r="V619" i="29184"/>
  <c r="V635" i="29184"/>
  <c r="V1231" i="29184"/>
  <c r="K24" i="28416"/>
  <c r="V412" i="29184"/>
  <c r="V1389" i="29184"/>
  <c r="V777" i="29184"/>
  <c r="V442" i="29184"/>
  <c r="V1100" i="29184"/>
  <c r="V696" i="29184"/>
  <c r="V1151" i="29184"/>
  <c r="AY58" i="28416"/>
  <c r="V490" i="29184"/>
  <c r="V1020" i="29184"/>
  <c r="V1281" i="29184"/>
  <c r="V271" i="29184"/>
  <c r="V1577" i="29184"/>
  <c r="V405" i="29184"/>
  <c r="V159" i="29184"/>
  <c r="S104" i="28416"/>
  <c r="K76" i="28416"/>
  <c r="BC120" i="8192"/>
  <c r="L2" i="440"/>
  <c r="V1874" i="29184"/>
  <c r="V227" i="29184"/>
  <c r="V1862" i="29184"/>
  <c r="V313" i="29184"/>
  <c r="V1080" i="29184"/>
  <c r="AI112" i="28416"/>
  <c r="V1488" i="29184"/>
  <c r="V1378" i="29184"/>
  <c r="V732" i="29184"/>
  <c r="V1345" i="29184"/>
  <c r="V377" i="29184"/>
  <c r="V1141" i="29184"/>
  <c r="C124" i="28416"/>
  <c r="V1261" i="29184"/>
  <c r="V587" i="29184"/>
  <c r="AX93" i="29184"/>
  <c r="C40" i="28416"/>
  <c r="V349" i="29184"/>
  <c r="Y56" i="8192"/>
  <c r="V239" i="29184"/>
  <c r="AQ111" i="28416"/>
  <c r="V768" i="29184"/>
  <c r="V1687" i="29184"/>
  <c r="V877" i="29184"/>
  <c r="V363" i="29184"/>
  <c r="V922" i="29184"/>
  <c r="V1698" i="29184"/>
  <c r="V391" i="29184"/>
  <c r="V278" i="29184"/>
  <c r="K8" i="28416"/>
  <c r="Y345" i="30041"/>
  <c r="V868" i="29184"/>
  <c r="V1040" i="29184"/>
  <c r="K92" i="28416"/>
  <c r="V886" i="29184"/>
  <c r="V221" i="29184"/>
  <c r="AA88" i="28416"/>
  <c r="C33" i="28416"/>
  <c r="V714" i="29184"/>
  <c r="V1599" i="29184"/>
  <c r="BC36" i="30041"/>
  <c r="V1400" i="29184"/>
  <c r="BG35" i="28416"/>
  <c r="V1898" i="29184"/>
  <c r="AA28" i="28416"/>
  <c r="V832" i="29184"/>
  <c r="V913" i="29184"/>
  <c r="BC139" i="30041"/>
  <c r="V547" i="29184"/>
  <c r="Y127" i="8192"/>
  <c r="V643" i="29184"/>
  <c r="V931" i="29184"/>
  <c r="V1934" i="29184"/>
  <c r="V1910" i="29184"/>
  <c r="V814" i="29184"/>
  <c r="Y10" i="30041"/>
  <c r="Y227" i="30041"/>
  <c r="BC6" i="8192"/>
  <c r="V1050" i="29184"/>
  <c r="V1191" i="29184"/>
  <c r="BC24" i="8192"/>
  <c r="AA103" i="28416"/>
  <c r="S29" i="28416"/>
  <c r="V1632" i="29184"/>
  <c r="V904" i="29184"/>
  <c r="C64" i="28416"/>
  <c r="K123" i="28416"/>
  <c r="V759" i="29184"/>
  <c r="C56" i="28416"/>
  <c r="V1455" i="29184"/>
  <c r="AX36" i="29184"/>
  <c r="V384" i="29184"/>
  <c r="V1131" i="29184"/>
  <c r="K47" i="28416"/>
  <c r="S13" i="28416"/>
  <c r="K39" i="28416"/>
  <c r="V482" i="29184"/>
  <c r="BG95" i="28416"/>
  <c r="S60" i="28416"/>
  <c r="V1433" i="29184"/>
  <c r="Y10" i="8192"/>
  <c r="V1367" i="29184"/>
  <c r="V1411" i="29184"/>
  <c r="Y92" i="30041"/>
  <c r="Y40" i="30041"/>
  <c r="V563" i="29184"/>
  <c r="BG57" i="28416"/>
  <c r="V113" i="29184"/>
  <c r="AI52" i="28416"/>
  <c r="V1850" i="29184"/>
  <c r="V1356" i="29184"/>
  <c r="BC87" i="30041"/>
  <c r="V1958" i="29184"/>
  <c r="AY96" i="28416"/>
  <c r="V1533" i="29184"/>
  <c r="K55" i="28416"/>
  <c r="V1201" i="29184"/>
  <c r="Y145" i="30041"/>
  <c r="C25" i="28416"/>
  <c r="V1766" i="29184"/>
  <c r="AQ80" i="28416"/>
  <c r="AX113" i="29184"/>
  <c r="V133" i="29184"/>
  <c r="V1922" i="29184"/>
  <c r="V93" i="29184"/>
  <c r="S89" i="28416"/>
  <c r="V1444" i="29184"/>
  <c r="V1588" i="29184"/>
  <c r="V506" i="29184"/>
  <c r="AA43" i="28416"/>
  <c r="V1251" i="29184"/>
  <c r="V1271" i="29184"/>
  <c r="AI81" i="28416"/>
  <c r="V1621" i="29184"/>
  <c r="C108" i="28416"/>
  <c r="V251" i="29184"/>
  <c r="V1466" i="29184"/>
  <c r="V1323" i="29184"/>
  <c r="V1334" i="29184"/>
  <c r="V611" i="29184"/>
  <c r="V687" i="29184"/>
  <c r="V1544" i="29184"/>
  <c r="V595" i="29184"/>
  <c r="V669" i="29184"/>
  <c r="C48" i="28416"/>
  <c r="K32" i="28416"/>
  <c r="V327" i="29184"/>
  <c r="Y28" i="8192"/>
  <c r="V678" i="29184"/>
  <c r="AX53" i="29184"/>
  <c r="C9" i="28416"/>
  <c r="V209" i="29184"/>
  <c r="V1211" i="29184"/>
  <c r="BC6" i="30041"/>
  <c r="AQ51" i="28416"/>
  <c r="AY118" i="28416"/>
  <c r="AX68" i="29184"/>
  <c r="V1802" i="29184"/>
  <c r="V723" i="29184"/>
  <c r="V398" i="29184"/>
  <c r="K107" i="28416"/>
  <c r="V356" i="29184"/>
  <c r="V1790" i="29184"/>
  <c r="C17" i="28416"/>
  <c r="V1814" i="29184"/>
  <c r="V370" i="29184"/>
  <c r="V292" i="29184"/>
  <c r="V1778" i="29184"/>
  <c r="BC79" i="8192"/>
  <c r="V823" i="29184"/>
  <c r="V980" i="29184"/>
  <c r="V970" i="29184"/>
  <c r="Y506" i="30041"/>
  <c r="V458" i="29184"/>
  <c r="V1070" i="29184"/>
  <c r="V450" i="29184"/>
  <c r="BC497" i="30041"/>
  <c r="V474" i="29184"/>
  <c r="AI21" i="28416"/>
  <c r="V1731" i="29184"/>
  <c r="AX133" i="29184"/>
  <c r="BC220" i="30041"/>
  <c r="BG117" i="28416"/>
  <c r="V522" i="29184"/>
  <c r="V850" i="29184"/>
  <c r="V1676" i="29184"/>
  <c r="AQ20" i="28416"/>
  <c r="V859" i="29184"/>
  <c r="V603" i="29184"/>
  <c r="V1477" i="29184"/>
  <c r="AA72" i="28416"/>
  <c r="AX25" i="29184"/>
  <c r="V750" i="29184"/>
  <c r="V1720" i="29184"/>
  <c r="V895" i="29184"/>
  <c r="S73" i="28416"/>
  <c r="C77" i="28416"/>
  <c r="V1171" i="29184"/>
  <c r="V1970" i="29184"/>
  <c r="V627" i="29184"/>
  <c r="V53" i="29184"/>
  <c r="V233" i="29184"/>
  <c r="V1826" i="29184"/>
  <c r="AX159" i="29184"/>
  <c r="V555" i="29184"/>
  <c r="V285" i="29184"/>
  <c r="V805" i="29184"/>
  <c r="AA119" i="28416"/>
  <c r="V705" i="29184"/>
  <c r="V990" i="29184"/>
  <c r="V306" i="29184"/>
  <c r="V1643" i="29184"/>
  <c r="V466" i="29184"/>
  <c r="V498" i="29184"/>
  <c r="V1665" i="29184"/>
  <c r="V1422" i="29184"/>
  <c r="V299" i="29184"/>
  <c r="V1060" i="29184"/>
  <c r="V1291" i="29184"/>
  <c r="AY36" i="28416"/>
  <c r="V215" i="29184"/>
  <c r="V579" i="29184"/>
  <c r="V1982" i="29184"/>
  <c r="V571" i="29184"/>
  <c r="V1241" i="29184"/>
  <c r="V1000" i="29184"/>
  <c r="V841" i="29184"/>
  <c r="V419" i="29184"/>
  <c r="V1010" i="29184"/>
  <c r="V1709" i="29184"/>
  <c r="V1610" i="29184"/>
  <c r="V320" i="29184"/>
  <c r="AA59" i="28416"/>
  <c r="BC337" i="30041"/>
  <c r="AX6" i="29184"/>
  <c r="V1221" i="29184"/>
  <c r="V245" i="29184"/>
  <c r="V1090" i="29184"/>
  <c r="BC51" i="8192"/>
  <c r="V1946" i="29184"/>
  <c r="C93" i="28416"/>
  <c r="V1886" i="29184"/>
  <c r="V1838" i="29184"/>
  <c r="K63" i="28416"/>
  <c r="V960" i="29184"/>
  <c r="S44" i="28416"/>
  <c r="V68" i="29184"/>
  <c r="K16" i="28416"/>
  <c r="V1654" i="29184"/>
  <c r="V1499" i="29184"/>
  <c r="S10" i="30031"/>
  <c r="Q36" i="30041"/>
  <c r="AU53" i="29184"/>
  <c r="O4" i="30031"/>
  <c r="AU93" i="29184"/>
  <c r="Q497" i="30041"/>
  <c r="AU1303" i="29184"/>
  <c r="AU113" i="29184"/>
  <c r="O25" i="29184"/>
  <c r="Q120" i="8192"/>
  <c r="AU14" i="29184"/>
  <c r="AZ51" i="8192"/>
  <c r="O6" i="29184"/>
  <c r="Q6" i="8192"/>
  <c r="AU1112" i="29184"/>
  <c r="AU532" i="29184"/>
  <c r="Q139" i="30041"/>
  <c r="AZ24" i="8192"/>
  <c r="O159" i="29184"/>
  <c r="AZ337" i="30041"/>
  <c r="O93" i="29184"/>
  <c r="AU336" i="29184"/>
  <c r="Q6" i="30041"/>
  <c r="AU428" i="29184"/>
  <c r="AU1744" i="29184"/>
  <c r="Q24" i="8192"/>
  <c r="AZ79" i="8192"/>
  <c r="AU68" i="29184"/>
  <c r="O14" i="29184"/>
  <c r="AU159" i="29184"/>
  <c r="AZ220" i="30041"/>
  <c r="Q79" i="8192"/>
  <c r="AZ497" i="30041"/>
  <c r="O113" i="29184"/>
  <c r="AZ36" i="30041"/>
  <c r="AU942" i="29184"/>
  <c r="AZ6" i="8192"/>
  <c r="O133" i="29184"/>
  <c r="AZ6" i="30041"/>
  <c r="AU259" i="29184"/>
  <c r="Q87" i="30041"/>
  <c r="Q220" i="30041"/>
  <c r="AZ87" i="30041"/>
  <c r="AU36" i="29184"/>
  <c r="O60" i="18944"/>
  <c r="F67" i="18944"/>
  <c r="AC46" i="18944"/>
  <c r="T60" i="28416"/>
  <c r="D108" i="28416"/>
  <c r="T44" i="28416"/>
  <c r="T104" i="28416"/>
  <c r="AJ112" i="28416"/>
  <c r="F23" i="30099"/>
  <c r="O32" i="18944"/>
  <c r="O48" i="18944"/>
  <c r="D48" i="28416"/>
  <c r="AJ81" i="28416"/>
  <c r="AZ118" i="28416"/>
  <c r="V10" i="18944"/>
  <c r="D17" i="28416"/>
  <c r="V18" i="18944"/>
  <c r="AJ52" i="28416"/>
  <c r="O64" i="18944"/>
  <c r="O36" i="18944"/>
  <c r="AC30" i="18944"/>
  <c r="V66" i="18944"/>
  <c r="O24" i="18944"/>
  <c r="O56" i="18944"/>
  <c r="O68" i="18944"/>
  <c r="AZ36" i="28416"/>
  <c r="F51" i="18944"/>
  <c r="V58" i="18944"/>
  <c r="V34" i="18944"/>
  <c r="T13" i="28416"/>
  <c r="O40" i="18944"/>
  <c r="Y73" i="28160"/>
  <c r="Y161" i="28160"/>
  <c r="Y89" i="29952"/>
  <c r="F2" i="30004"/>
  <c r="I63" i="24620"/>
  <c r="AH1303" i="29184"/>
  <c r="AT53" i="29184"/>
  <c r="AT259" i="29184"/>
  <c r="L220" i="30041"/>
  <c r="AH1744" i="29184"/>
  <c r="N53" i="29184"/>
  <c r="AH1512" i="29184"/>
  <c r="N10" i="30031"/>
  <c r="AH788" i="29184"/>
  <c r="K20" i="30099"/>
  <c r="K66" i="30099"/>
  <c r="G95" i="30099"/>
  <c r="G5" i="29954"/>
  <c r="B5" i="30010" s="1"/>
  <c r="G108" i="30099"/>
  <c r="AS337" i="30041"/>
  <c r="AE506" i="30041"/>
  <c r="AE25" i="29184"/>
  <c r="AR336" i="29184"/>
  <c r="AE788" i="29184"/>
  <c r="AS36" i="30041"/>
  <c r="AE942" i="29184"/>
  <c r="AE336" i="29184"/>
  <c r="AR36" i="29184"/>
  <c r="AS79" i="8192"/>
  <c r="AE532" i="29184"/>
  <c r="AS51" i="8192"/>
  <c r="AR532" i="29184"/>
  <c r="L25" i="29184"/>
  <c r="AE1512" i="29184"/>
  <c r="J220" i="30041"/>
  <c r="AE14" i="29184"/>
  <c r="J6" i="8192"/>
  <c r="AR259" i="29184"/>
  <c r="AR25" i="29184"/>
  <c r="AR113" i="29184"/>
  <c r="L53" i="29184"/>
  <c r="AE192" i="29184"/>
  <c r="AE159" i="29184"/>
  <c r="AR1512" i="29184"/>
  <c r="L68" i="29184"/>
  <c r="L113" i="29184"/>
  <c r="J139" i="30041"/>
  <c r="AR428" i="29184"/>
  <c r="J79" i="8192"/>
  <c r="AR1303" i="29184"/>
  <c r="AL39" i="30041"/>
  <c r="AK60" i="8192"/>
  <c r="G133" i="29184"/>
  <c r="G259" i="29184"/>
  <c r="AO14" i="29184"/>
  <c r="G31" i="29957"/>
  <c r="Y123" i="28160"/>
  <c r="Y41" i="28160"/>
  <c r="AO93" i="29184"/>
  <c r="AO653" i="29184"/>
  <c r="G532" i="29184"/>
  <c r="B23" i="29184"/>
  <c r="AM23" i="29184" s="1"/>
  <c r="D124" i="28416"/>
  <c r="O8" i="18944"/>
  <c r="O20" i="18944"/>
  <c r="F39" i="18944"/>
  <c r="AO259" i="29184"/>
  <c r="G68" i="29184"/>
  <c r="G36" i="29184"/>
  <c r="B4" i="29957"/>
  <c r="Y49" i="28160"/>
  <c r="Y215" i="29952"/>
  <c r="Y65" i="29952"/>
  <c r="Y201" i="29952"/>
  <c r="Y189" i="29952"/>
  <c r="Y33" i="28160"/>
  <c r="F59" i="18944"/>
  <c r="AC14" i="18944"/>
  <c r="D56" i="28416"/>
  <c r="AO1303" i="29184"/>
  <c r="M9" i="30099"/>
  <c r="B17" i="24620"/>
  <c r="G53" i="29184"/>
  <c r="AU1314" i="29184"/>
  <c r="AT1311" i="29184"/>
  <c r="AU1319" i="29184"/>
  <c r="AV1313" i="29184"/>
  <c r="AT117" i="29184"/>
  <c r="AP119" i="29184"/>
  <c r="Y158" i="28160"/>
  <c r="W240" i="29957"/>
  <c r="Y18" i="29952"/>
  <c r="Y62" i="29952"/>
  <c r="W312" i="29957"/>
  <c r="W5" i="29957"/>
  <c r="Y140" i="28160"/>
  <c r="Y150" i="29952"/>
  <c r="Y138" i="29952"/>
  <c r="B28" i="28160"/>
  <c r="B36" i="29952"/>
  <c r="R6" i="18944"/>
  <c r="H337" i="30041"/>
  <c r="H79" i="8192"/>
  <c r="J68" i="29184"/>
  <c r="AQ87" i="30041"/>
  <c r="J36" i="29184"/>
  <c r="K1760" i="29184"/>
  <c r="D1760" i="29184"/>
  <c r="D1515" i="29184"/>
  <c r="K1515" i="29184"/>
  <c r="F1515" i="29184"/>
  <c r="E1119" i="29184"/>
  <c r="D1119" i="29184"/>
  <c r="K201" i="29184"/>
  <c r="D1124" i="29184"/>
  <c r="F1124" i="29184"/>
  <c r="K657" i="29184"/>
  <c r="F657" i="29184"/>
  <c r="AT1303" i="29184"/>
  <c r="AT192" i="29184"/>
  <c r="AT653" i="29184"/>
  <c r="N93" i="29184"/>
  <c r="AH53" i="29184"/>
  <c r="K13" i="30099"/>
  <c r="G107" i="30099"/>
  <c r="G497" i="30041"/>
  <c r="L87" i="30041"/>
  <c r="AH159" i="29184"/>
  <c r="AU6" i="8192"/>
  <c r="N6" i="29184"/>
  <c r="AO36" i="29184"/>
  <c r="G942" i="29184"/>
  <c r="B34" i="24620"/>
  <c r="B47" i="24620"/>
  <c r="L17" i="440"/>
  <c r="L18" i="440"/>
  <c r="T349" i="29184"/>
  <c r="Y59" i="28416"/>
  <c r="T1610" i="29184"/>
  <c r="E1530" i="29184"/>
  <c r="F1530" i="29184"/>
  <c r="K194" i="29184"/>
  <c r="D1759" i="29184"/>
  <c r="F1759" i="29184"/>
  <c r="K539" i="29184"/>
  <c r="F539" i="29184"/>
  <c r="E69" i="29184"/>
  <c r="K69" i="29184"/>
  <c r="D69" i="29184"/>
  <c r="K71" i="29184"/>
  <c r="D71" i="29184"/>
  <c r="F71" i="29184"/>
  <c r="D538" i="29184"/>
  <c r="E538" i="29184"/>
  <c r="F538" i="29184"/>
  <c r="AU497" i="30041"/>
  <c r="L139" i="30041"/>
  <c r="AU220" i="30041"/>
  <c r="AT14" i="29184"/>
  <c r="AH93" i="29184"/>
  <c r="V5" i="29954"/>
  <c r="AU51" i="8192"/>
  <c r="AH68" i="29184"/>
  <c r="G128" i="30099"/>
  <c r="L105" i="30019"/>
  <c r="G653" i="29184"/>
  <c r="L36" i="30041"/>
  <c r="AT133" i="29184"/>
  <c r="AH942" i="29184"/>
  <c r="AT68" i="29184"/>
  <c r="L8" i="440"/>
  <c r="D337" i="29184"/>
  <c r="AR93" i="29184"/>
  <c r="L6" i="29184"/>
  <c r="J6" i="30041"/>
  <c r="AE1303" i="29184"/>
  <c r="AS6" i="30041"/>
  <c r="AE1112" i="29184"/>
  <c r="AR653" i="29184"/>
  <c r="L133" i="29184"/>
  <c r="AS6" i="8192"/>
  <c r="AR159" i="29184"/>
  <c r="AS87" i="30041"/>
  <c r="AS24" i="8192"/>
  <c r="L10" i="30031"/>
  <c r="AR133" i="29184"/>
  <c r="AR1112" i="29184"/>
  <c r="AR788" i="29184"/>
  <c r="J120" i="8192"/>
  <c r="AR192" i="29184"/>
  <c r="AE68" i="29184"/>
  <c r="AE113" i="29184"/>
  <c r="AE53" i="29184"/>
  <c r="F958" i="29184"/>
  <c r="E958" i="29184"/>
  <c r="K958" i="29184"/>
  <c r="F1518" i="29184"/>
  <c r="D1518" i="29184"/>
  <c r="K1518" i="29184"/>
  <c r="E1518" i="29184"/>
  <c r="AK1750" i="29184"/>
  <c r="J1749" i="29184"/>
  <c r="Q1754" i="29184"/>
  <c r="AK1760" i="29184"/>
  <c r="AS1760" i="29184" s="1"/>
  <c r="O1750" i="29184"/>
  <c r="P1745" i="29184"/>
  <c r="AV1749" i="29184" s="1"/>
  <c r="L1761" i="29184"/>
  <c r="AN1760" i="29184"/>
  <c r="AN1763" i="29184"/>
  <c r="O1764" i="29184"/>
  <c r="AO1755" i="29184"/>
  <c r="N1762" i="29184"/>
  <c r="AN1750" i="29184"/>
  <c r="J1758" i="29184"/>
  <c r="O1760" i="29184"/>
  <c r="AO1759" i="29184"/>
  <c r="AK1753" i="29184"/>
  <c r="AS1753" i="29184" s="1"/>
  <c r="AN1762" i="29184"/>
  <c r="J1763" i="29184"/>
  <c r="O1748" i="29184"/>
  <c r="AO1747" i="29184"/>
  <c r="P1756" i="29184"/>
  <c r="L1758" i="29184"/>
  <c r="C1755" i="29184"/>
  <c r="L1757" i="29184"/>
  <c r="N1752" i="29184"/>
  <c r="Q1745" i="29184"/>
  <c r="AW1749" i="29184" s="1"/>
  <c r="M1764" i="29184"/>
  <c r="AO1756" i="29184"/>
  <c r="N1745" i="29184"/>
  <c r="AT1749" i="29184" s="1"/>
  <c r="AN1749" i="29184"/>
  <c r="O1759" i="29184"/>
  <c r="N1749" i="29184"/>
  <c r="AO1748" i="29184"/>
  <c r="L1748" i="29184"/>
  <c r="N1759" i="29184"/>
  <c r="C1748" i="29184"/>
  <c r="J1751" i="29184"/>
  <c r="P1761" i="29184"/>
  <c r="Q1761" i="29184"/>
  <c r="L1749" i="29184"/>
  <c r="M1748" i="29184"/>
  <c r="N1757" i="29184"/>
  <c r="O1753" i="29184"/>
  <c r="AO1753" i="29184"/>
  <c r="P1757" i="29184"/>
  <c r="AO1761" i="29184"/>
  <c r="M1756" i="29184"/>
  <c r="L1745" i="29184"/>
  <c r="AR1749" i="29184" s="1"/>
  <c r="Q1747" i="29184"/>
  <c r="AK1751" i="29184"/>
  <c r="AS1751" i="29184" s="1"/>
  <c r="O1758" i="29184"/>
  <c r="P1749" i="29184"/>
  <c r="O1749" i="29184"/>
  <c r="AN1758" i="29184"/>
  <c r="P1753" i="29184"/>
  <c r="AO1746" i="29184"/>
  <c r="C1747" i="29184"/>
  <c r="AN1754" i="29184"/>
  <c r="AN1746" i="29184"/>
  <c r="AK1756" i="29184"/>
  <c r="O1745" i="29184"/>
  <c r="AU1749" i="29184" s="1"/>
  <c r="Q1762" i="29184"/>
  <c r="M1763" i="29184"/>
  <c r="M1761" i="29184"/>
  <c r="L1751" i="29184"/>
  <c r="M1758" i="29184"/>
  <c r="AN1751" i="29184"/>
  <c r="C1746" i="29184"/>
  <c r="Q1755" i="29184"/>
  <c r="O1755" i="29184"/>
  <c r="Q1763" i="29184"/>
  <c r="O1746" i="29184"/>
  <c r="AK1746" i="29184"/>
  <c r="AS1746" i="29184" s="1"/>
  <c r="O1752" i="29184"/>
  <c r="Q1760" i="29184"/>
  <c r="M1747" i="29184"/>
  <c r="AO1764" i="29184"/>
  <c r="Q1758" i="29184"/>
  <c r="M1750" i="29184"/>
  <c r="AK1764" i="29184"/>
  <c r="C1761" i="29184"/>
  <c r="AK1748" i="29184"/>
  <c r="AS1748" i="29184" s="1"/>
  <c r="N1761" i="29184"/>
  <c r="AK1758" i="29184"/>
  <c r="O1763" i="29184"/>
  <c r="AO1760" i="29184"/>
  <c r="J1753" i="29184"/>
  <c r="AN1747" i="29184"/>
  <c r="AK1745" i="29184"/>
  <c r="AS1745" i="29184" s="1"/>
  <c r="N1748" i="29184"/>
  <c r="AK1747" i="29184"/>
  <c r="AS1747" i="29184" s="1"/>
  <c r="C1751" i="29184"/>
  <c r="AK1759" i="29184"/>
  <c r="AS1759" i="29184" s="1"/>
  <c r="J1748" i="29184"/>
  <c r="P1758" i="29184"/>
  <c r="L1752" i="29184"/>
  <c r="AO1758" i="29184"/>
  <c r="M1749" i="29184"/>
  <c r="L1764" i="29184"/>
  <c r="AO1754" i="29184"/>
  <c r="AN1753" i="29184"/>
  <c r="N1754" i="29184"/>
  <c r="C1754" i="29184"/>
  <c r="P1751" i="29184"/>
  <c r="AK1763" i="29184"/>
  <c r="AS1763" i="29184" s="1"/>
  <c r="N1760" i="29184"/>
  <c r="P1764" i="29184"/>
  <c r="M1757" i="29184"/>
  <c r="P1760" i="29184"/>
  <c r="C1760" i="29184"/>
  <c r="J1746" i="29184"/>
  <c r="P1759" i="29184"/>
  <c r="J1750" i="29184"/>
  <c r="P1763" i="29184"/>
  <c r="AO1752" i="29184"/>
  <c r="P1748" i="29184"/>
  <c r="AN1757" i="29184"/>
  <c r="N1763" i="29184"/>
  <c r="AK1755" i="29184"/>
  <c r="AS1755" i="29184" s="1"/>
  <c r="AU36" i="30041"/>
  <c r="AT25" i="29184"/>
  <c r="N25" i="29184"/>
  <c r="AT942" i="29184"/>
  <c r="AT428" i="29184"/>
  <c r="L6" i="30041"/>
  <c r="C13" i="30099"/>
  <c r="AG4" i="30043"/>
  <c r="M23" i="30099"/>
  <c r="L6" i="440"/>
  <c r="G336" i="29184"/>
  <c r="AH113" i="29184"/>
  <c r="L134" i="29184"/>
  <c r="M140" i="29184"/>
  <c r="K140" i="29184" s="1"/>
  <c r="AI395" i="30041"/>
  <c r="BJ339" i="30041"/>
  <c r="BJ342" i="30041"/>
  <c r="BJ340" i="30041"/>
  <c r="AH395" i="30041"/>
  <c r="AK395" i="30041" s="1"/>
  <c r="BF338" i="30041"/>
  <c r="BF341" i="30041"/>
  <c r="AF367" i="30041"/>
  <c r="AG367" i="30041"/>
  <c r="AG167" i="8192"/>
  <c r="BP126" i="8192"/>
  <c r="AE155" i="8192"/>
  <c r="AK155" i="8192" s="1"/>
  <c r="BL121" i="8192"/>
  <c r="BH123" i="8192"/>
  <c r="BH122" i="8192"/>
  <c r="AI143" i="8192"/>
  <c r="K1125" i="29184"/>
  <c r="N1529" i="29184"/>
  <c r="P1516" i="29184"/>
  <c r="Q1527" i="29184"/>
  <c r="AO1519" i="29184"/>
  <c r="C1529" i="29184"/>
  <c r="L1526" i="29184"/>
  <c r="N1523" i="29184"/>
  <c r="M1518" i="29184"/>
  <c r="M1517" i="29184"/>
  <c r="N1519" i="29184"/>
  <c r="AO1520" i="29184"/>
  <c r="Q1519" i="29184"/>
  <c r="O1530" i="29184"/>
  <c r="Q1520" i="29184"/>
  <c r="C1520" i="29184"/>
  <c r="L1513" i="29184"/>
  <c r="N1530" i="29184"/>
  <c r="AO1527" i="29184"/>
  <c r="M1515" i="29184"/>
  <c r="Q1529" i="29184"/>
  <c r="AK1514" i="29184"/>
  <c r="O1519" i="29184"/>
  <c r="N1513" i="29184"/>
  <c r="J1521" i="29184"/>
  <c r="P1520" i="29184"/>
  <c r="O1521" i="29184"/>
  <c r="L1531" i="29184"/>
  <c r="AN1527" i="29184"/>
  <c r="AK1520" i="29184"/>
  <c r="AN1515" i="29184"/>
  <c r="J1515" i="29184"/>
  <c r="M1523" i="29184"/>
  <c r="AO1515" i="29184"/>
  <c r="Q1523" i="29184"/>
  <c r="AK1530" i="29184"/>
  <c r="AO1531" i="29184"/>
  <c r="AK1528" i="29184"/>
  <c r="M1526" i="29184"/>
  <c r="O1514" i="29184"/>
  <c r="AK1521" i="29184"/>
  <c r="C1513" i="29184"/>
  <c r="AK1529" i="29184"/>
  <c r="J1525" i="29184"/>
  <c r="J1530" i="29184"/>
  <c r="AN1530" i="29184"/>
  <c r="N1524" i="29184"/>
  <c r="O1528" i="29184"/>
  <c r="C1514" i="29184"/>
  <c r="P1529" i="29184"/>
  <c r="P950" i="29184"/>
  <c r="O952" i="29184"/>
  <c r="L956" i="29184"/>
  <c r="AN954" i="29184"/>
  <c r="Q956" i="29184"/>
  <c r="O943" i="29184"/>
  <c r="AO953" i="29184"/>
  <c r="N958" i="29184"/>
  <c r="Q951" i="29184"/>
  <c r="AO943" i="29184"/>
  <c r="Q948" i="29184"/>
  <c r="AK946" i="29184"/>
  <c r="AO944" i="29184"/>
  <c r="M946" i="29184"/>
  <c r="P958" i="29184"/>
  <c r="C947" i="29184"/>
  <c r="C952" i="29184"/>
  <c r="C957" i="29184"/>
  <c r="AN956" i="29184"/>
  <c r="N952" i="29184"/>
  <c r="AN957" i="29184"/>
  <c r="P953" i="29184"/>
  <c r="AF479" i="30041"/>
  <c r="N1520" i="29184"/>
  <c r="M1522" i="29184"/>
  <c r="M951" i="29184"/>
  <c r="AG451" i="30041"/>
  <c r="AJ181" i="30041"/>
  <c r="AE153" i="30041"/>
  <c r="AK153" i="30041" s="1"/>
  <c r="L164" i="29184"/>
  <c r="J164" i="29184" s="1"/>
  <c r="AN951" i="29184"/>
  <c r="N1525" i="29184"/>
  <c r="N1531" i="29184"/>
  <c r="C951" i="29184"/>
  <c r="AN948" i="29184"/>
  <c r="AO947" i="29184"/>
  <c r="O949" i="29184"/>
  <c r="M945" i="29184"/>
  <c r="P944" i="29184"/>
  <c r="AO956" i="29184"/>
  <c r="J946" i="29184"/>
  <c r="C950" i="29184"/>
  <c r="Q950" i="29184"/>
  <c r="O954" i="29184"/>
  <c r="AO950" i="29184"/>
  <c r="Q952" i="29184"/>
  <c r="P956" i="29184"/>
  <c r="L943" i="29184"/>
  <c r="M947" i="29184"/>
  <c r="C955" i="29184"/>
  <c r="AO948" i="29184"/>
  <c r="N943" i="29184"/>
  <c r="AO945" i="29184"/>
  <c r="AK158" i="8192"/>
  <c r="AK146" i="8192"/>
  <c r="L139" i="29184"/>
  <c r="M139" i="29184"/>
  <c r="BR341" i="30041"/>
  <c r="L137" i="29184"/>
  <c r="J137" i="29184" s="1"/>
  <c r="AK640" i="30041"/>
  <c r="L135" i="29184"/>
  <c r="AJ395" i="30041"/>
  <c r="BJ341" i="30041"/>
  <c r="AE367" i="30041"/>
  <c r="N137" i="29184"/>
  <c r="BF343" i="30041"/>
  <c r="AH181" i="30041"/>
  <c r="AK181" i="30041" s="1"/>
  <c r="BF339" i="30041"/>
  <c r="N138" i="29184"/>
  <c r="AI1980" i="29184"/>
  <c r="AI1951" i="29184"/>
  <c r="AI1943" i="29184"/>
  <c r="AI1912" i="29184"/>
  <c r="AI1844" i="29184"/>
  <c r="AI1816" i="29184"/>
  <c r="AI1811" i="29184"/>
  <c r="AI1794" i="29184"/>
  <c r="AI1678" i="29184"/>
  <c r="AI1672" i="29184"/>
  <c r="AI1650" i="29184"/>
  <c r="AI1616" i="29184"/>
  <c r="BV499" i="30041"/>
  <c r="AF640" i="30041"/>
  <c r="BR503" i="30041"/>
  <c r="AE612" i="30041"/>
  <c r="AK612" i="30041" s="1"/>
  <c r="AI312" i="30041"/>
  <c r="BO221" i="30041"/>
  <c r="BG225" i="30041"/>
  <c r="BG224" i="30041"/>
  <c r="AI228" i="30041"/>
  <c r="BC226" i="30041"/>
  <c r="F341" i="29184"/>
  <c r="L1519" i="29184"/>
  <c r="L1528" i="29184"/>
  <c r="L1527" i="29184"/>
  <c r="O1529" i="29184"/>
  <c r="N1517" i="29184"/>
  <c r="C1522" i="29184"/>
  <c r="AN1525" i="29184"/>
  <c r="C1528" i="29184"/>
  <c r="P1528" i="29184"/>
  <c r="P1530" i="29184"/>
  <c r="J1526" i="29184"/>
  <c r="N1522" i="29184"/>
  <c r="M1531" i="29184"/>
  <c r="C1515" i="29184"/>
  <c r="AN1513" i="29184"/>
  <c r="C1526" i="29184"/>
  <c r="C1517" i="29184"/>
  <c r="M1528" i="29184"/>
  <c r="AK1513" i="29184"/>
  <c r="C1516" i="29184"/>
  <c r="Q1518" i="29184"/>
  <c r="J1524" i="29184"/>
  <c r="Q1522" i="29184"/>
  <c r="AO1517" i="29184"/>
  <c r="AN1517" i="29184"/>
  <c r="N1514" i="29184"/>
  <c r="Q1530" i="29184"/>
  <c r="N1518" i="29184"/>
  <c r="AK1526" i="29184"/>
  <c r="AN1516" i="29184"/>
  <c r="O1524" i="29184"/>
  <c r="C1531" i="29184"/>
  <c r="J1519" i="29184"/>
  <c r="O1515" i="29184"/>
  <c r="P1523" i="29184"/>
  <c r="Q1524" i="29184"/>
  <c r="N1528" i="29184"/>
  <c r="AK1531" i="29184"/>
  <c r="P1531" i="29184"/>
  <c r="L1529" i="29184"/>
  <c r="AN1528" i="29184"/>
  <c r="AO1526" i="29184"/>
  <c r="Q1526" i="29184"/>
  <c r="L1521" i="29184"/>
  <c r="L1522" i="29184"/>
  <c r="AO1530" i="29184"/>
  <c r="M1529" i="29184"/>
  <c r="AK1517" i="29184"/>
  <c r="M1527" i="29184"/>
  <c r="N955" i="29184"/>
  <c r="M955" i="29184"/>
  <c r="J951" i="29184"/>
  <c r="N956" i="29184"/>
  <c r="AO946" i="29184"/>
  <c r="N948" i="29184"/>
  <c r="N946" i="29184"/>
  <c r="M948" i="29184"/>
  <c r="N954" i="29184"/>
  <c r="N953" i="29184"/>
  <c r="L945" i="29184"/>
  <c r="O956" i="29184"/>
  <c r="AK943" i="29184"/>
  <c r="AO955" i="29184"/>
  <c r="L949" i="29184"/>
  <c r="P955" i="29184"/>
  <c r="P951" i="29184"/>
  <c r="P954" i="29184"/>
  <c r="P947" i="29184"/>
  <c r="O945" i="29184"/>
  <c r="J958" i="29184"/>
  <c r="C943" i="29184"/>
  <c r="AO949" i="29184"/>
  <c r="C1527" i="29184"/>
  <c r="C1530" i="29184"/>
  <c r="AN955" i="29184"/>
  <c r="AG153" i="30041"/>
  <c r="AJ153" i="30041"/>
  <c r="AG181" i="30041"/>
  <c r="N1526" i="29184"/>
  <c r="C948" i="29184"/>
  <c r="P948" i="29184"/>
  <c r="AN946" i="29184"/>
  <c r="C945" i="29184"/>
  <c r="AO958" i="29184"/>
  <c r="L946" i="29184"/>
  <c r="L955" i="29184"/>
  <c r="P952" i="29184"/>
  <c r="Q957" i="29184"/>
  <c r="J953" i="29184"/>
  <c r="L944" i="29184"/>
  <c r="AN952" i="29184"/>
  <c r="C956" i="29184"/>
  <c r="N950" i="29184"/>
  <c r="AO951" i="29184"/>
  <c r="J943" i="29184"/>
  <c r="AK948" i="29184"/>
  <c r="C954" i="29184"/>
  <c r="Q953" i="29184"/>
  <c r="AN949" i="29184"/>
  <c r="N139" i="29184"/>
  <c r="J134" i="29184"/>
  <c r="M956" i="29184"/>
  <c r="M137" i="29184"/>
  <c r="AK228" i="30041"/>
  <c r="M136" i="29184"/>
  <c r="BJ338" i="30041"/>
  <c r="BJ344" i="30041"/>
  <c r="N140" i="29184"/>
  <c r="AI1968" i="29184"/>
  <c r="AI1965" i="29184"/>
  <c r="AI1808" i="29184"/>
  <c r="AI1732" i="29184"/>
  <c r="AI1669" i="29184"/>
  <c r="AI1644" i="29184"/>
  <c r="AI1639" i="29184"/>
  <c r="AI1608" i="29184"/>
  <c r="AI1605" i="29184"/>
  <c r="AN37" i="29184"/>
  <c r="CB38" i="29184" s="1"/>
  <c r="L38" i="29184"/>
  <c r="AK37" i="29184"/>
  <c r="Q38" i="29184"/>
  <c r="C40" i="29184"/>
  <c r="J37" i="29184"/>
  <c r="O40" i="29184"/>
  <c r="AK40" i="29184"/>
  <c r="L39" i="29184"/>
  <c r="AN16" i="29184"/>
  <c r="O17" i="29184"/>
  <c r="N15" i="29184"/>
  <c r="M15" i="29184"/>
  <c r="AE98" i="8192"/>
  <c r="AK98" i="8192" s="1"/>
  <c r="AJ98" i="8192"/>
  <c r="N503" i="30041"/>
  <c r="Q504" i="30041"/>
  <c r="Q500" i="30041"/>
  <c r="R502" i="30041"/>
  <c r="H503" i="30041"/>
  <c r="M499" i="30041"/>
  <c r="AO503" i="30041"/>
  <c r="C498" i="30041"/>
  <c r="M500" i="30041"/>
  <c r="L503" i="30041"/>
  <c r="R498" i="30041"/>
  <c r="H505" i="30041"/>
  <c r="BC503" i="30041"/>
  <c r="O505" i="30041"/>
  <c r="J500" i="30041"/>
  <c r="AL501" i="30041"/>
  <c r="S504" i="30041"/>
  <c r="AL504" i="30041"/>
  <c r="L498" i="30041"/>
  <c r="H498" i="30041"/>
  <c r="AP498" i="30041"/>
  <c r="CF498" i="30041" s="1"/>
  <c r="P499" i="30041"/>
  <c r="AG507" i="30041"/>
  <c r="AO1521" i="29184"/>
  <c r="M1530" i="29184"/>
  <c r="M1521" i="29184"/>
  <c r="AN1519" i="29184"/>
  <c r="AK1519" i="29184"/>
  <c r="J1531" i="29184"/>
  <c r="J1518" i="29184"/>
  <c r="AO1516" i="29184"/>
  <c r="P1525" i="29184"/>
  <c r="AK1518" i="29184"/>
  <c r="O1513" i="29184"/>
  <c r="AN1529" i="29184"/>
  <c r="Q1517" i="29184"/>
  <c r="L1525" i="29184"/>
  <c r="C1518" i="29184"/>
  <c r="O1520" i="29184"/>
  <c r="AO1525" i="29184"/>
  <c r="AN1521" i="29184"/>
  <c r="Q1521" i="29184"/>
  <c r="J1529" i="29184"/>
  <c r="L1517" i="29184"/>
  <c r="AK1516" i="29184"/>
  <c r="M1516" i="29184"/>
  <c r="C1521" i="29184"/>
  <c r="AO1523" i="29184"/>
  <c r="P1513" i="29184"/>
  <c r="AO1524" i="29184"/>
  <c r="J1527" i="29184"/>
  <c r="L1523" i="29184"/>
  <c r="M1520" i="29184"/>
  <c r="C1523" i="29184"/>
  <c r="J1522" i="29184"/>
  <c r="AN1520" i="29184"/>
  <c r="Q1513" i="29184"/>
  <c r="M1525" i="29184"/>
  <c r="J1514" i="29184"/>
  <c r="AN1518" i="29184"/>
  <c r="AO1528" i="29184"/>
  <c r="C1525" i="29184"/>
  <c r="L1516" i="29184"/>
  <c r="M1514" i="29184"/>
  <c r="J1517" i="29184"/>
  <c r="Q1515" i="29184"/>
  <c r="O1516" i="29184"/>
  <c r="AN1514" i="29184"/>
  <c r="O1527" i="29184"/>
  <c r="O1531" i="29184"/>
  <c r="Q943" i="29184"/>
  <c r="J944" i="29184"/>
  <c r="Q947" i="29184"/>
  <c r="N944" i="29184"/>
  <c r="L947" i="29184"/>
  <c r="AN943" i="29184"/>
  <c r="J947" i="29184"/>
  <c r="AK944" i="29184"/>
  <c r="P945" i="29184"/>
  <c r="O948" i="29184"/>
  <c r="M952" i="29184"/>
  <c r="L957" i="29184"/>
  <c r="Q949" i="29184"/>
  <c r="O957" i="29184"/>
  <c r="AK957" i="29184"/>
  <c r="N945" i="29184"/>
  <c r="J955" i="29184"/>
  <c r="L952" i="29184"/>
  <c r="Q954" i="29184"/>
  <c r="AN947" i="29184"/>
  <c r="AN945" i="29184"/>
  <c r="O946" i="29184"/>
  <c r="AK1524" i="29184"/>
  <c r="P1515" i="29184"/>
  <c r="AN958" i="29184"/>
  <c r="L160" i="29184"/>
  <c r="J160" i="29184" s="1"/>
  <c r="O1523" i="29184"/>
  <c r="C953" i="29184"/>
  <c r="AK950" i="29184"/>
  <c r="AN953" i="29184"/>
  <c r="L950" i="29184"/>
  <c r="J954" i="29184"/>
  <c r="L954" i="29184"/>
  <c r="AK947" i="29184"/>
  <c r="M949" i="29184"/>
  <c r="O947" i="29184"/>
  <c r="Q944" i="29184"/>
  <c r="O955" i="29184"/>
  <c r="J956" i="29184"/>
  <c r="AK945" i="29184"/>
  <c r="Q945" i="29184"/>
  <c r="M950" i="29184"/>
  <c r="J957" i="29184"/>
  <c r="J948" i="29184"/>
  <c r="AO952" i="29184"/>
  <c r="L948" i="29184"/>
  <c r="C946" i="29184"/>
  <c r="L138" i="29184"/>
  <c r="J138" i="29184" s="1"/>
  <c r="J135" i="29184"/>
  <c r="L136" i="29184"/>
  <c r="J136" i="29184" s="1"/>
  <c r="M134" i="29184"/>
  <c r="M138" i="29184"/>
  <c r="BJ343" i="30041"/>
  <c r="BF342" i="30041"/>
  <c r="AI367" i="30041"/>
  <c r="AH367" i="30041"/>
  <c r="M135" i="29184"/>
  <c r="AI1962" i="29184"/>
  <c r="AI1856" i="29184"/>
  <c r="AI1800" i="29184"/>
  <c r="AI1779" i="29184"/>
  <c r="AI1636" i="29184"/>
  <c r="AI1602" i="29184"/>
  <c r="AI1585" i="29184"/>
  <c r="AI1581" i="29184"/>
  <c r="AI1575" i="29184"/>
  <c r="AI1571" i="29184"/>
  <c r="AI1567" i="29184"/>
  <c r="AI1561" i="29184"/>
  <c r="AI1557" i="29184"/>
  <c r="AI1549" i="29184"/>
  <c r="AI1545" i="29184"/>
  <c r="AI1453" i="29184"/>
  <c r="AI1441" i="29184"/>
  <c r="AI1438" i="29184"/>
  <c r="AI1397" i="29184"/>
  <c r="AI1394" i="29184"/>
  <c r="AI1381" i="29184"/>
  <c r="AI1351" i="29184"/>
  <c r="AI1339" i="29184"/>
  <c r="AI1336" i="29184"/>
  <c r="AI1331" i="29184"/>
  <c r="AI1156" i="29184"/>
  <c r="AI1144" i="29184"/>
  <c r="AI1107" i="29184"/>
  <c r="AI1104" i="29184"/>
  <c r="AI1091" i="29184"/>
  <c r="AI1061" i="29184"/>
  <c r="AI1047" i="29184"/>
  <c r="AI1044" i="29184"/>
  <c r="AI1038" i="29184"/>
  <c r="AI1015" i="29184"/>
  <c r="AI993" i="29184"/>
  <c r="AI983" i="29184"/>
  <c r="AI974" i="29184"/>
  <c r="AI916" i="29184"/>
  <c r="AI896" i="29184"/>
  <c r="AI884" i="29184"/>
  <c r="AI881" i="29184"/>
  <c r="AI875" i="29184"/>
  <c r="AI862" i="29184"/>
  <c r="AI856" i="29184"/>
  <c r="AI853" i="29184"/>
  <c r="AI847" i="29184"/>
  <c r="AI834" i="29184"/>
  <c r="AI828" i="29184"/>
  <c r="AI821" i="29184"/>
  <c r="AI820" i="29184"/>
  <c r="AI817" i="29184"/>
  <c r="AI628" i="29184"/>
  <c r="AI623" i="29184"/>
  <c r="AI614" i="29184"/>
  <c r="AI572" i="29184"/>
  <c r="AI567" i="29184"/>
  <c r="AI561" i="29184"/>
  <c r="AI560" i="29184"/>
  <c r="AI556" i="29184"/>
  <c r="AI527" i="29184"/>
  <c r="AI495" i="29184"/>
  <c r="AI492" i="29184"/>
  <c r="AI483" i="29184"/>
  <c r="AI443" i="29184"/>
  <c r="AI421" i="29184"/>
  <c r="AI402" i="29184"/>
  <c r="AI387" i="29184"/>
  <c r="AI382" i="29184"/>
  <c r="AI359" i="29184"/>
  <c r="AI350" i="29184"/>
  <c r="AI332" i="29184"/>
  <c r="AI328" i="29184"/>
  <c r="AI307" i="29184"/>
  <c r="AI290" i="29184"/>
  <c r="AI286" i="29184"/>
  <c r="AI280" i="29184"/>
  <c r="AI273" i="29184"/>
  <c r="AI235" i="29184"/>
  <c r="AI230" i="29184"/>
  <c r="AI117" i="29184"/>
  <c r="AI115" i="29184"/>
  <c r="AI105" i="29184"/>
  <c r="AI95" i="29184"/>
  <c r="AI88" i="29184"/>
  <c r="AI84" i="29184"/>
  <c r="AI81" i="29184"/>
  <c r="AI78" i="29184"/>
  <c r="AI74" i="29184"/>
  <c r="AI70" i="29184"/>
  <c r="AI57" i="29184"/>
  <c r="AK163" i="8192"/>
  <c r="AK153" i="8192"/>
  <c r="AK151" i="8192"/>
  <c r="AK148" i="8192"/>
  <c r="AK141" i="8192"/>
  <c r="AK683" i="30041"/>
  <c r="AK670" i="30041"/>
  <c r="AK650" i="30041"/>
  <c r="AK607" i="30041"/>
  <c r="AK579" i="30041"/>
  <c r="AK574" i="30041"/>
  <c r="AK567" i="30041"/>
  <c r="AK537" i="30041"/>
  <c r="AK523" i="30041"/>
  <c r="AK454" i="30041"/>
  <c r="AK323" i="30041"/>
  <c r="AK321" i="30041"/>
  <c r="AK316" i="30041"/>
  <c r="AK175" i="30041"/>
  <c r="AK170" i="30041"/>
  <c r="AK124" i="30041"/>
  <c r="AK170" i="8192"/>
  <c r="AI1988" i="29184"/>
  <c r="AI1918" i="29184"/>
  <c r="AI1884" i="29184"/>
  <c r="AI1878" i="29184"/>
  <c r="AI1875" i="29184"/>
  <c r="AI1867" i="29184"/>
  <c r="AI1834" i="29184"/>
  <c r="AI1781" i="29184"/>
  <c r="AI1722" i="29184"/>
  <c r="AI1710" i="29184"/>
  <c r="AI1702" i="29184"/>
  <c r="AI1699" i="29184"/>
  <c r="AI1658" i="29184"/>
  <c r="AI1591" i="29184"/>
  <c r="AI1493" i="29184"/>
  <c r="AI1481" i="29184"/>
  <c r="AI1478" i="29184"/>
  <c r="AI1425" i="29184"/>
  <c r="AI1417" i="29184"/>
  <c r="AI1414" i="29184"/>
  <c r="AI1408" i="29184"/>
  <c r="AI1379" i="29184"/>
  <c r="AI1374" i="29184"/>
  <c r="AI1236" i="29184"/>
  <c r="AI1227" i="29184"/>
  <c r="AI1087" i="29184"/>
  <c r="AI1084" i="29184"/>
  <c r="AI1023" i="29184"/>
  <c r="AI1017" i="29184"/>
  <c r="AI1013" i="29184"/>
  <c r="AI1008" i="29184"/>
  <c r="AI985" i="29184"/>
  <c r="AI981" i="29184"/>
  <c r="AI976" i="29184"/>
  <c r="AI972" i="29184"/>
  <c r="AI902" i="29184"/>
  <c r="AI808" i="29184"/>
  <c r="AI683" i="29184"/>
  <c r="AI630" i="29184"/>
  <c r="AI612" i="29184"/>
  <c r="AI606" i="29184"/>
  <c r="AI600" i="29184"/>
  <c r="AI577" i="29184"/>
  <c r="AI552" i="29184"/>
  <c r="AI494" i="29184"/>
  <c r="AI488" i="29184"/>
  <c r="AI485" i="29184"/>
  <c r="AI423" i="29184"/>
  <c r="AI417" i="29184"/>
  <c r="AI389" i="29184"/>
  <c r="AI380" i="29184"/>
  <c r="AI366" i="29184"/>
  <c r="AI361" i="29184"/>
  <c r="AI357" i="29184"/>
  <c r="AI354" i="29184"/>
  <c r="AI352" i="29184"/>
  <c r="AI330" i="29184"/>
  <c r="AI324" i="29184"/>
  <c r="AI318" i="29184"/>
  <c r="AI314" i="29184"/>
  <c r="AI309" i="29184"/>
  <c r="AI294" i="29184"/>
  <c r="AI288" i="29184"/>
  <c r="AI254" i="29184"/>
  <c r="AI237" i="29184"/>
  <c r="AI118" i="29184"/>
  <c r="AI116" i="29184"/>
  <c r="AI107" i="29184"/>
  <c r="AI104" i="29184"/>
  <c r="AI86" i="29184"/>
  <c r="AI76" i="29184"/>
  <c r="AI72" i="29184"/>
  <c r="AK135" i="8192"/>
  <c r="AK132" i="8192"/>
  <c r="AK112" i="8192"/>
  <c r="AK109" i="8192"/>
  <c r="AK99" i="8192"/>
  <c r="AK94" i="8192"/>
  <c r="AK91" i="8192"/>
  <c r="AK73" i="8192"/>
  <c r="AK489" i="30041"/>
  <c r="AK487" i="30041"/>
  <c r="AK356" i="30041"/>
  <c r="AK131" i="30041"/>
  <c r="AK102" i="30041"/>
  <c r="AK43" i="30041"/>
  <c r="AP1313" i="29184"/>
  <c r="AU1308" i="29184"/>
  <c r="AW114" i="29184"/>
  <c r="AV119" i="29184"/>
  <c r="AS116" i="29184"/>
  <c r="AP116" i="29184"/>
  <c r="AW117" i="29184"/>
  <c r="AR1313" i="29184"/>
  <c r="AS1313" i="29184"/>
  <c r="AU114" i="29184"/>
  <c r="AT119" i="29184"/>
  <c r="AS1312" i="29184"/>
  <c r="AV1304" i="29184"/>
  <c r="AV1310" i="29184"/>
  <c r="AT1314" i="29184"/>
  <c r="AT1307" i="29184"/>
  <c r="AV1311" i="29184"/>
  <c r="AU1318" i="29184"/>
  <c r="AV1316" i="29184"/>
  <c r="AT1313" i="29184"/>
  <c r="CB118" i="29184"/>
  <c r="AS117" i="29184"/>
  <c r="AW119" i="29184"/>
  <c r="AK298" i="30041"/>
  <c r="AK270" i="30041"/>
  <c r="M224" i="30041"/>
  <c r="S221" i="30041"/>
  <c r="AO221" i="30041"/>
  <c r="Q223" i="30041"/>
  <c r="R224" i="30041"/>
  <c r="C226" i="30041"/>
  <c r="H222" i="30041"/>
  <c r="K221" i="30041"/>
  <c r="M225" i="30041"/>
  <c r="AL221" i="30041"/>
  <c r="L224" i="30041"/>
  <c r="AO224" i="30041"/>
  <c r="R223" i="30041"/>
  <c r="K224" i="30041"/>
  <c r="J225" i="30041"/>
  <c r="K223" i="30041"/>
  <c r="AO223" i="30041"/>
  <c r="L226" i="30041"/>
  <c r="L225" i="30041"/>
  <c r="AP224" i="30041"/>
  <c r="CF224" i="30041" s="1"/>
  <c r="L223" i="30041"/>
  <c r="S226" i="30041"/>
  <c r="P223" i="30041"/>
  <c r="R221" i="30041"/>
  <c r="S222" i="30041"/>
  <c r="C223" i="30041"/>
  <c r="AL225" i="30041"/>
  <c r="K222" i="30041"/>
  <c r="O223" i="30041"/>
  <c r="AP223" i="30041"/>
  <c r="CF223" i="30041" s="1"/>
  <c r="H225" i="30041"/>
  <c r="AL223" i="30041"/>
  <c r="L222" i="30041"/>
  <c r="O222" i="30041"/>
  <c r="Q222" i="30041"/>
  <c r="J223" i="30041"/>
  <c r="N223" i="30041"/>
  <c r="S223" i="30041"/>
  <c r="O226" i="30041"/>
  <c r="AL80" i="8192"/>
  <c r="Q82" i="8192"/>
  <c r="AP80" i="8192"/>
  <c r="BS80" i="8192" s="1"/>
  <c r="N82" i="8192"/>
  <c r="L84" i="8192"/>
  <c r="AL84" i="8192"/>
  <c r="AP81" i="8192"/>
  <c r="BS81" i="8192" s="1"/>
  <c r="AU118" i="29184"/>
  <c r="AV114" i="29184"/>
  <c r="O9" i="8192"/>
  <c r="AR1314" i="29184"/>
  <c r="CB119" i="29184"/>
  <c r="E1318" i="29184"/>
  <c r="P90" i="30041"/>
  <c r="AS115" i="29184"/>
  <c r="AT115" i="29184"/>
  <c r="AU1320" i="29184"/>
  <c r="AS1311" i="29184"/>
  <c r="AS1314" i="29184"/>
  <c r="AU119" i="29184"/>
  <c r="AU1313" i="29184"/>
  <c r="AU1321" i="29184"/>
  <c r="AU1315" i="29184"/>
  <c r="N8" i="8192"/>
  <c r="AW115" i="29184"/>
  <c r="AV116" i="29184"/>
  <c r="AT1316" i="29184"/>
  <c r="AU1305" i="29184"/>
  <c r="AT1321" i="29184"/>
  <c r="AT1306" i="29184"/>
  <c r="AS114" i="29184"/>
  <c r="AT1319" i="29184"/>
  <c r="AK62" i="30041"/>
  <c r="AU1311" i="29184"/>
  <c r="AP1304" i="29184"/>
  <c r="AR116" i="29184"/>
  <c r="AW1312" i="29184"/>
  <c r="AV1308" i="29184"/>
  <c r="AP1309" i="29184"/>
  <c r="AK195" i="30041"/>
  <c r="AK95" i="8192"/>
  <c r="AP114" i="29184"/>
  <c r="AP118" i="29184"/>
  <c r="J8" i="8192"/>
  <c r="E8" i="8192" s="1"/>
  <c r="K1318" i="29184"/>
  <c r="AV115" i="29184"/>
  <c r="AT1320" i="29184"/>
  <c r="AT1317" i="29184"/>
  <c r="AS1316" i="29184"/>
  <c r="AP1311" i="29184"/>
  <c r="AT1318" i="29184"/>
  <c r="AV117" i="29184"/>
  <c r="AU1304" i="29184"/>
  <c r="AV1314" i="29184"/>
  <c r="AP1314" i="29184"/>
  <c r="AP1316" i="29184"/>
  <c r="AW116" i="29184"/>
  <c r="AU1306" i="29184"/>
  <c r="AK128" i="30041"/>
  <c r="AS119" i="29184"/>
  <c r="AK326" i="30041"/>
  <c r="AQ1121" i="29184"/>
  <c r="AP115" i="29184"/>
  <c r="AQ1127" i="29184"/>
  <c r="AW1311" i="29184"/>
  <c r="AU117" i="29184"/>
  <c r="AW1313" i="29184"/>
  <c r="AU1310" i="29184"/>
  <c r="AT1315" i="29184"/>
  <c r="M8" i="8192"/>
  <c r="AW1314" i="29184"/>
  <c r="AU1307" i="29184"/>
  <c r="AU1316" i="29184"/>
  <c r="AW1316" i="29184"/>
  <c r="AR114" i="29184"/>
  <c r="B111" i="28416"/>
  <c r="AK63" i="8192"/>
  <c r="AQ797" i="29184"/>
  <c r="AT118" i="29184"/>
  <c r="D115" i="29184"/>
  <c r="AR1308" i="29184"/>
  <c r="D1312" i="29184"/>
  <c r="AQ794" i="29184"/>
  <c r="AQ803" i="29184"/>
  <c r="AS1308" i="29184"/>
  <c r="AS1757" i="29184"/>
  <c r="AS1752" i="29184"/>
  <c r="C39" i="30041"/>
  <c r="AW118" i="29184"/>
  <c r="H37" i="30041"/>
  <c r="S37" i="30041"/>
  <c r="AV1312" i="29184"/>
  <c r="AQ800" i="29184"/>
  <c r="AQ791" i="29184"/>
  <c r="AK107" i="30041"/>
  <c r="AS1761" i="29184"/>
  <c r="AQ801" i="29184"/>
  <c r="AV118" i="29184"/>
  <c r="K117" i="29184"/>
  <c r="AU1312" i="29184"/>
  <c r="AQ793" i="29184"/>
  <c r="AQ798" i="29184"/>
  <c r="P39" i="30041"/>
  <c r="AR119" i="29184"/>
  <c r="AK48" i="30041"/>
  <c r="AU1309" i="29184"/>
  <c r="N39" i="30041"/>
  <c r="AR1309" i="29184"/>
  <c r="AR1312" i="29184"/>
  <c r="AW1308" i="29184"/>
  <c r="AS118" i="29184"/>
  <c r="AW1309" i="29184"/>
  <c r="AQ789" i="29184"/>
  <c r="AK521" i="30041"/>
  <c r="AK107" i="8192"/>
  <c r="AR117" i="29184"/>
  <c r="D117" i="29184"/>
  <c r="F1312" i="29184"/>
  <c r="AQ790" i="29184"/>
  <c r="AR115" i="29184"/>
  <c r="O39" i="30041"/>
  <c r="AR118" i="29184"/>
  <c r="BT49" i="28416"/>
  <c r="BT52" i="28416" s="1"/>
  <c r="AP39" i="30041"/>
  <c r="CF39" i="30041" s="1"/>
  <c r="AV1309" i="29184"/>
  <c r="AT1309" i="29184"/>
  <c r="AT1308" i="29184"/>
  <c r="AP1312" i="29184"/>
  <c r="AP1308" i="29184"/>
  <c r="AQ799" i="29184"/>
  <c r="AT1310" i="29184"/>
  <c r="D116" i="29184"/>
  <c r="F116" i="29184"/>
  <c r="E116" i="29184"/>
  <c r="K116" i="29184"/>
  <c r="N341" i="30041"/>
  <c r="N339" i="30041"/>
  <c r="P338" i="30041"/>
  <c r="L341" i="30041"/>
  <c r="AO342" i="30041"/>
  <c r="AP344" i="30041"/>
  <c r="CF344" i="30041" s="1"/>
  <c r="L344" i="30041"/>
  <c r="O344" i="30041"/>
  <c r="C342" i="30041"/>
  <c r="AO338" i="30041"/>
  <c r="K339" i="30041"/>
  <c r="AO343" i="30041"/>
  <c r="AP338" i="30041"/>
  <c r="CF338" i="30041" s="1"/>
  <c r="Q342" i="30041"/>
  <c r="N338" i="30041"/>
  <c r="S338" i="30041"/>
  <c r="M343" i="30041"/>
  <c r="K338" i="30041"/>
  <c r="M338" i="30041"/>
  <c r="J344" i="30041"/>
  <c r="P339" i="30041"/>
  <c r="AO341" i="30041"/>
  <c r="J340" i="30041"/>
  <c r="S344" i="30041"/>
  <c r="AP340" i="30041"/>
  <c r="CF340" i="30041" s="1"/>
  <c r="J343" i="30041"/>
  <c r="H342" i="30041"/>
  <c r="H344" i="30041"/>
  <c r="N343" i="30041"/>
  <c r="O341" i="30041"/>
  <c r="R342" i="30041"/>
  <c r="R339" i="30041"/>
  <c r="L340" i="30041"/>
  <c r="R343" i="30041"/>
  <c r="L343" i="30041"/>
  <c r="AL343" i="30041"/>
  <c r="M339" i="30041"/>
  <c r="L342" i="30041"/>
  <c r="J339" i="30041"/>
  <c r="R338" i="30041"/>
  <c r="C341" i="30041"/>
  <c r="C343" i="30041"/>
  <c r="R340" i="30041"/>
  <c r="K343" i="30041"/>
  <c r="O340" i="30041"/>
  <c r="AL344" i="30041"/>
  <c r="M344" i="30041"/>
  <c r="O338" i="30041"/>
  <c r="K340" i="30041"/>
  <c r="K344" i="30041"/>
  <c r="S339" i="30041"/>
  <c r="P341" i="30041"/>
  <c r="R344" i="30041"/>
  <c r="P344" i="30041"/>
  <c r="K342" i="30041"/>
  <c r="J342" i="30041"/>
  <c r="AL338" i="30041"/>
  <c r="C338" i="30041"/>
  <c r="H343" i="30041"/>
  <c r="H339" i="30041"/>
  <c r="N340" i="30041"/>
  <c r="M342" i="30041"/>
  <c r="M341" i="30041"/>
  <c r="AO344" i="30041"/>
  <c r="AP343" i="30041"/>
  <c r="CF343" i="30041" s="1"/>
  <c r="AP341" i="30041"/>
  <c r="CF341" i="30041" s="1"/>
  <c r="N344" i="30041"/>
  <c r="K341" i="30041"/>
  <c r="Q340" i="30041"/>
  <c r="P342" i="30041"/>
  <c r="C339" i="30041"/>
  <c r="AL341" i="30041"/>
  <c r="Q343" i="30041"/>
  <c r="H341" i="30041"/>
  <c r="S340" i="30041"/>
  <c r="P340" i="30041"/>
  <c r="AO340" i="30041"/>
  <c r="C344" i="30041"/>
  <c r="O342" i="30041"/>
  <c r="AP339" i="30041"/>
  <c r="CF339" i="30041" s="1"/>
  <c r="H338" i="30041"/>
  <c r="L339" i="30041"/>
  <c r="AL339" i="30041"/>
  <c r="AP342" i="30041"/>
  <c r="CF342" i="30041" s="1"/>
  <c r="Q339" i="30041"/>
  <c r="R341" i="30041"/>
  <c r="Q344" i="30041"/>
  <c r="N342" i="30041"/>
  <c r="AL342" i="30041"/>
  <c r="Q338" i="30041"/>
  <c r="AO339" i="30041"/>
  <c r="H340" i="30041"/>
  <c r="L338" i="30041"/>
  <c r="S341" i="30041"/>
  <c r="J341" i="30041"/>
  <c r="O343" i="30041"/>
  <c r="P343" i="30041"/>
  <c r="Q341" i="30041"/>
  <c r="M340" i="30041"/>
  <c r="S342" i="30041"/>
  <c r="S343" i="30041"/>
  <c r="AL340" i="30041"/>
  <c r="O339" i="30041"/>
  <c r="J338" i="30041"/>
  <c r="C340" i="30041"/>
  <c r="H80" i="8192"/>
  <c r="AO82" i="8192"/>
  <c r="H83" i="8192"/>
  <c r="O80" i="8192"/>
  <c r="N84" i="8192"/>
  <c r="J81" i="8192"/>
  <c r="S81" i="8192"/>
  <c r="O84" i="8192"/>
  <c r="M80" i="8192"/>
  <c r="J82" i="8192"/>
  <c r="Q83" i="8192"/>
  <c r="AO81" i="8192"/>
  <c r="M81" i="8192"/>
  <c r="R84" i="8192"/>
  <c r="S82" i="8192"/>
  <c r="S84" i="8192"/>
  <c r="M82" i="8192"/>
  <c r="AP84" i="8192"/>
  <c r="BS84" i="8192" s="1"/>
  <c r="AO80" i="8192"/>
  <c r="K82" i="8192"/>
  <c r="K84" i="8192"/>
  <c r="P81" i="8192"/>
  <c r="AL81" i="8192"/>
  <c r="AO83" i="8192"/>
  <c r="L81" i="8192"/>
  <c r="R81" i="8192"/>
  <c r="P84" i="8192"/>
  <c r="O81" i="8192"/>
  <c r="K80" i="8192"/>
  <c r="M84" i="8192"/>
  <c r="H84" i="8192"/>
  <c r="R83" i="8192"/>
  <c r="P80" i="8192"/>
  <c r="S83" i="8192"/>
  <c r="N81" i="8192"/>
  <c r="L83" i="8192"/>
  <c r="K83" i="8192"/>
  <c r="O82" i="8192"/>
  <c r="C84" i="8192"/>
  <c r="AP83" i="8192"/>
  <c r="BS83" i="8192" s="1"/>
  <c r="J80" i="8192"/>
  <c r="AL82" i="8192"/>
  <c r="N80" i="8192"/>
  <c r="J83" i="8192"/>
  <c r="I83" i="8192" s="1"/>
  <c r="K114" i="29184"/>
  <c r="D114" i="29184"/>
  <c r="F114" i="29184"/>
  <c r="E114" i="29184"/>
  <c r="F119" i="29184"/>
  <c r="K119" i="29184"/>
  <c r="D119" i="29184"/>
  <c r="E119" i="29184"/>
  <c r="K1305" i="29184"/>
  <c r="F1305" i="29184"/>
  <c r="D1305" i="29184"/>
  <c r="E1305" i="29184"/>
  <c r="F1317" i="29184"/>
  <c r="K1317" i="29184"/>
  <c r="E1317" i="29184"/>
  <c r="D1317" i="29184"/>
  <c r="K1321" i="29184"/>
  <c r="F1321" i="29184"/>
  <c r="D1321" i="29184"/>
  <c r="E1321" i="29184"/>
  <c r="D1307" i="29184"/>
  <c r="K1307" i="29184"/>
  <c r="E1314" i="29184"/>
  <c r="K1314" i="29184"/>
  <c r="D1314" i="29184"/>
  <c r="F1314" i="29184"/>
  <c r="K1306" i="29184"/>
  <c r="E1306" i="29184"/>
  <c r="K1319" i="29184"/>
  <c r="F1319" i="29184"/>
  <c r="E1319" i="29184"/>
  <c r="D1319" i="29184"/>
  <c r="F1310" i="29184"/>
  <c r="D1310" i="29184"/>
  <c r="E1310" i="29184"/>
  <c r="K1310" i="29184"/>
  <c r="E1311" i="29184"/>
  <c r="F1311" i="29184"/>
  <c r="D1320" i="29184"/>
  <c r="E1320" i="29184"/>
  <c r="F1320" i="29184"/>
  <c r="K1320" i="29184"/>
  <c r="F1308" i="29184"/>
  <c r="E1308" i="29184"/>
  <c r="K1308" i="29184"/>
  <c r="E1304" i="29184"/>
  <c r="F1304" i="29184"/>
  <c r="K1315" i="29184"/>
  <c r="E1315" i="29184"/>
  <c r="F1315" i="29184"/>
  <c r="D1315" i="29184"/>
  <c r="N143" i="30041"/>
  <c r="R140" i="30041"/>
  <c r="J142" i="30041"/>
  <c r="I142" i="30041" s="1"/>
  <c r="S142" i="30041"/>
  <c r="AO140" i="30041"/>
  <c r="Q144" i="30041"/>
  <c r="N142" i="30041"/>
  <c r="M143" i="30041"/>
  <c r="L144" i="30041"/>
  <c r="O141" i="30041"/>
  <c r="AP142" i="30041"/>
  <c r="CF142" i="30041" s="1"/>
  <c r="C144" i="30041"/>
  <c r="C142" i="30041"/>
  <c r="R143" i="30041"/>
  <c r="S144" i="30041"/>
  <c r="L142" i="30041"/>
  <c r="AP141" i="30041"/>
  <c r="CF141" i="30041" s="1"/>
  <c r="AL143" i="30041"/>
  <c r="J143" i="30041"/>
  <c r="AP140" i="30041"/>
  <c r="CF140" i="30041" s="1"/>
  <c r="AO142" i="30041"/>
  <c r="O142" i="30041"/>
  <c r="Q142" i="30041"/>
  <c r="C140" i="30041"/>
  <c r="L141" i="30041"/>
  <c r="K142" i="30041"/>
  <c r="S140" i="30041"/>
  <c r="AL142" i="30041"/>
  <c r="K140" i="30041"/>
  <c r="AL141" i="30041"/>
  <c r="R144" i="30041"/>
  <c r="Q141" i="30041"/>
  <c r="AL140" i="30041"/>
  <c r="R141" i="30041"/>
  <c r="S141" i="30041"/>
  <c r="M142" i="30041"/>
  <c r="H144" i="30041"/>
  <c r="J140" i="30041"/>
  <c r="C141" i="30041"/>
  <c r="H142" i="30041"/>
  <c r="K141" i="30041"/>
  <c r="N144" i="30041"/>
  <c r="S143" i="30041"/>
  <c r="AO141" i="30041"/>
  <c r="J144" i="30041"/>
  <c r="L143" i="30041"/>
  <c r="N140" i="30041"/>
  <c r="M144" i="30041"/>
  <c r="O143" i="30041"/>
  <c r="M141" i="30041"/>
  <c r="AO144" i="30041"/>
  <c r="K144" i="30041"/>
  <c r="N141" i="30041"/>
  <c r="P144" i="30041"/>
  <c r="K143" i="30041"/>
  <c r="H143" i="30041"/>
  <c r="F118" i="29184"/>
  <c r="E118" i="29184"/>
  <c r="D118" i="29184"/>
  <c r="K118" i="29184"/>
  <c r="E115" i="29184"/>
  <c r="K115" i="29184"/>
  <c r="L7" i="8192"/>
  <c r="H8" i="30041"/>
  <c r="J7" i="8192"/>
  <c r="F7" i="8192" s="1"/>
  <c r="M90" i="30041"/>
  <c r="AP26" i="8192"/>
  <c r="BS26" i="8192" s="1"/>
  <c r="AP25" i="8192"/>
  <c r="BS25" i="8192" s="1"/>
  <c r="K8" i="8192"/>
  <c r="BU54" i="28416"/>
  <c r="S88" i="30041"/>
  <c r="K27" i="8192"/>
  <c r="M27" i="8192"/>
  <c r="O25" i="8192"/>
  <c r="AP8" i="8192"/>
  <c r="BS8" i="8192" s="1"/>
  <c r="S7" i="30041"/>
  <c r="AK66" i="8192"/>
  <c r="AL8" i="8192"/>
  <c r="K7" i="30041"/>
  <c r="AO7" i="8192"/>
  <c r="AQ28" i="29184"/>
  <c r="H91" i="30041"/>
  <c r="J25" i="8192"/>
  <c r="I25" i="8192" s="1"/>
  <c r="H26" i="8192"/>
  <c r="S25" i="8192"/>
  <c r="AK57" i="8192"/>
  <c r="S27" i="8192"/>
  <c r="Q27" i="8192"/>
  <c r="AP7" i="8192"/>
  <c r="BS7" i="8192" s="1"/>
  <c r="H8" i="8192"/>
  <c r="S8" i="30041"/>
  <c r="M9" i="30041"/>
  <c r="J9" i="30041"/>
  <c r="F9" i="30041" s="1"/>
  <c r="BU53" i="28416"/>
  <c r="O7" i="30041"/>
  <c r="K9" i="30041"/>
  <c r="S9" i="30041"/>
  <c r="J88" i="30041"/>
  <c r="I88" i="30041" s="1"/>
  <c r="S7" i="8192"/>
  <c r="J8" i="30041"/>
  <c r="F8" i="30041" s="1"/>
  <c r="N7" i="30041"/>
  <c r="AO8" i="8192"/>
  <c r="L91" i="30041"/>
  <c r="L27" i="8192"/>
  <c r="AP27" i="8192"/>
  <c r="BS27" i="8192" s="1"/>
  <c r="O26" i="8192"/>
  <c r="P26" i="8192"/>
  <c r="AO26" i="8192"/>
  <c r="H25" i="8192"/>
  <c r="R7" i="8192"/>
  <c r="AP9" i="8192"/>
  <c r="BS9" i="8192" s="1"/>
  <c r="AP7" i="30041"/>
  <c r="CF7" i="30041" s="1"/>
  <c r="N8" i="30041"/>
  <c r="Q8" i="30041"/>
  <c r="R9" i="30041"/>
  <c r="BS53" i="28416"/>
  <c r="BS51" i="28416"/>
  <c r="BS52" i="28416"/>
  <c r="BS49" i="28416"/>
  <c r="BS50" i="28416"/>
  <c r="BQ49" i="28416"/>
  <c r="AP9" i="30041"/>
  <c r="CF9" i="30041" s="1"/>
  <c r="N9" i="30041"/>
  <c r="C9" i="30041"/>
  <c r="M26" i="8192"/>
  <c r="C26" i="8192"/>
  <c r="N27" i="8192"/>
  <c r="N25" i="8192"/>
  <c r="S26" i="8192"/>
  <c r="J27" i="8192"/>
  <c r="F27" i="8192" s="1"/>
  <c r="M25" i="8192"/>
  <c r="BQ51" i="28416"/>
  <c r="C27" i="8192"/>
  <c r="AL27" i="8192"/>
  <c r="K25" i="8192"/>
  <c r="C25" i="8192"/>
  <c r="Q8" i="8192"/>
  <c r="L9" i="8192"/>
  <c r="M9" i="8192"/>
  <c r="M8" i="30041"/>
  <c r="AO9" i="30041"/>
  <c r="P9" i="30041"/>
  <c r="AO7" i="30041"/>
  <c r="R8" i="30041"/>
  <c r="P7" i="30041"/>
  <c r="BU52" i="28416"/>
  <c r="BU51" i="28416"/>
  <c r="BO45" i="28416"/>
  <c r="BO46" i="28416" s="1"/>
  <c r="BO47" i="28416" s="1"/>
  <c r="AK44" i="8192"/>
  <c r="L9" i="30041"/>
  <c r="P8" i="30041"/>
  <c r="P25" i="8192"/>
  <c r="H27" i="8192"/>
  <c r="L25" i="8192"/>
  <c r="L26" i="8192"/>
  <c r="J26" i="8192"/>
  <c r="D26" i="8192" s="1"/>
  <c r="P27" i="8192"/>
  <c r="R27" i="8192"/>
  <c r="K26" i="8192"/>
  <c r="AO27" i="8192"/>
  <c r="Q7" i="30041"/>
  <c r="AL7" i="30041"/>
  <c r="C7" i="30041"/>
  <c r="O8" i="30041"/>
  <c r="AK11" i="30041"/>
  <c r="H7" i="30041"/>
  <c r="AK17" i="8192"/>
  <c r="AP8" i="30041"/>
  <c r="CF8" i="30041" s="1"/>
  <c r="AK25" i="30041"/>
  <c r="AH22" i="28416"/>
  <c r="AX59" i="28416" s="1"/>
  <c r="R74" i="28416"/>
  <c r="Q37" i="30041"/>
  <c r="R39" i="30041"/>
  <c r="J37" i="30041"/>
  <c r="F37" i="30041" s="1"/>
  <c r="R37" i="30041"/>
  <c r="AL9" i="8192"/>
  <c r="N7" i="8192"/>
  <c r="P7" i="8192"/>
  <c r="C8" i="8192"/>
  <c r="C9" i="8192"/>
  <c r="S8" i="8192"/>
  <c r="AO37" i="30041"/>
  <c r="AL37" i="30041"/>
  <c r="J38" i="30041"/>
  <c r="D38" i="30041" s="1"/>
  <c r="K37" i="30041"/>
  <c r="P38" i="30041"/>
  <c r="AP38" i="30041"/>
  <c r="CF38" i="30041" s="1"/>
  <c r="Q39" i="30041"/>
  <c r="AP37" i="30041"/>
  <c r="CF37" i="30041" s="1"/>
  <c r="AO9" i="8192"/>
  <c r="Q9" i="8192"/>
  <c r="P8" i="8192"/>
  <c r="K7" i="8192"/>
  <c r="M7" i="8192"/>
  <c r="Q7" i="8192"/>
  <c r="AK93" i="30041"/>
  <c r="R38" i="30041"/>
  <c r="AO39" i="30041"/>
  <c r="M37" i="30041"/>
  <c r="Q38" i="30041"/>
  <c r="C37" i="30041"/>
  <c r="H39" i="30041"/>
  <c r="L39" i="30041"/>
  <c r="N37" i="30041"/>
  <c r="AO38" i="30041"/>
  <c r="C38" i="30041"/>
  <c r="R121" i="28416"/>
  <c r="AH55" i="28416"/>
  <c r="AX61" i="28416" s="1"/>
  <c r="AK29" i="8192"/>
  <c r="P37" i="30041"/>
  <c r="S38" i="30041"/>
  <c r="L37" i="30041"/>
  <c r="L38" i="30041"/>
  <c r="O37" i="30041"/>
  <c r="L8" i="8192"/>
  <c r="J9" i="8192"/>
  <c r="E9" i="8192" s="1"/>
  <c r="N9" i="8192"/>
  <c r="C7" i="8192"/>
  <c r="O8" i="8192"/>
  <c r="J39" i="30041"/>
  <c r="I39" i="30041" s="1"/>
  <c r="H38" i="30041"/>
  <c r="AK41" i="8192"/>
  <c r="S39" i="30041"/>
  <c r="K38" i="30041"/>
  <c r="AL38" i="30041"/>
  <c r="M38" i="30041"/>
  <c r="O38" i="30041"/>
  <c r="K39" i="30041"/>
  <c r="P9" i="8192"/>
  <c r="K9" i="8192"/>
  <c r="AL7" i="8192"/>
  <c r="H7" i="8192"/>
  <c r="R8" i="8192"/>
  <c r="AK32" i="8192"/>
  <c r="AK72" i="8192"/>
  <c r="BQ47" i="28416"/>
  <c r="BQ48" i="28416"/>
  <c r="R7" i="30041"/>
  <c r="H9" i="30041"/>
  <c r="L7" i="30041"/>
  <c r="J7" i="30041"/>
  <c r="AL8" i="30041"/>
  <c r="L8" i="30041"/>
  <c r="AL9" i="30041"/>
  <c r="AO8" i="30041"/>
  <c r="Q9" i="30041"/>
  <c r="Q25" i="8192"/>
  <c r="N26" i="8192"/>
  <c r="BP47" i="28416"/>
  <c r="BP45" i="28416"/>
  <c r="BP46" i="28416"/>
  <c r="BP48" i="28416"/>
  <c r="BP49" i="28416"/>
  <c r="W64" i="440"/>
  <c r="AK121" i="30041"/>
  <c r="AK76" i="30041"/>
  <c r="M89" i="30041"/>
  <c r="AO89" i="30041"/>
  <c r="AO91" i="30041"/>
  <c r="C90" i="30041"/>
  <c r="Q89" i="30041"/>
  <c r="Q91" i="30041"/>
  <c r="R89" i="30041"/>
  <c r="Q88" i="30041"/>
  <c r="C89" i="30041"/>
  <c r="O89" i="30041"/>
  <c r="L88" i="30041"/>
  <c r="N89" i="30041"/>
  <c r="C91" i="30041"/>
  <c r="N90" i="30041"/>
  <c r="AL89" i="30041"/>
  <c r="Q90" i="30041"/>
  <c r="P91" i="30041"/>
  <c r="N88" i="30041"/>
  <c r="H90" i="30041"/>
  <c r="AL91" i="30041"/>
  <c r="J91" i="30041"/>
  <c r="J90" i="30041"/>
  <c r="H89" i="30041"/>
  <c r="R88" i="30041"/>
  <c r="R90" i="30041"/>
  <c r="K89" i="30041"/>
  <c r="L90" i="30041"/>
  <c r="S89" i="30041"/>
  <c r="AO90" i="30041"/>
  <c r="K88" i="30041"/>
  <c r="K90" i="30041"/>
  <c r="P89" i="30041"/>
  <c r="P88" i="30041"/>
  <c r="AP89" i="30041"/>
  <c r="CF89" i="30041" s="1"/>
  <c r="AP88" i="30041"/>
  <c r="CF88" i="30041" s="1"/>
  <c r="N91" i="30041"/>
  <c r="S91" i="30041"/>
  <c r="M91" i="30041"/>
  <c r="AP91" i="30041"/>
  <c r="CF91" i="30041" s="1"/>
  <c r="L89" i="30041"/>
  <c r="AO88" i="30041"/>
  <c r="J89" i="30041"/>
  <c r="S90" i="30041"/>
  <c r="AL90" i="30041"/>
  <c r="H88" i="30041"/>
  <c r="O91" i="30041"/>
  <c r="AP90" i="30041"/>
  <c r="CF90" i="30041" s="1"/>
  <c r="M88" i="30041"/>
  <c r="O90" i="30041"/>
  <c r="C53" i="8192"/>
  <c r="M55" i="8192"/>
  <c r="H52" i="8192"/>
  <c r="H54" i="8192"/>
  <c r="R54" i="8192"/>
  <c r="O55" i="8192"/>
  <c r="AL53" i="8192"/>
  <c r="L55" i="8192"/>
  <c r="AL55" i="8192"/>
  <c r="P52" i="8192"/>
  <c r="R55" i="8192"/>
  <c r="C54" i="8192"/>
  <c r="Q54" i="8192"/>
  <c r="N52" i="8192"/>
  <c r="C52" i="8192"/>
  <c r="S54" i="8192"/>
  <c r="AP54" i="8192"/>
  <c r="BS54" i="8192" s="1"/>
  <c r="AL54" i="8192"/>
  <c r="R53" i="8192"/>
  <c r="M52" i="8192"/>
  <c r="P54" i="8192"/>
  <c r="Q53" i="8192"/>
  <c r="P55" i="8192"/>
  <c r="R52" i="8192"/>
  <c r="C55" i="8192"/>
  <c r="K54" i="8192"/>
  <c r="K55" i="8192"/>
  <c r="M53" i="8192"/>
  <c r="AO55" i="8192"/>
  <c r="H55" i="8192"/>
  <c r="J53" i="8192"/>
  <c r="L53" i="8192"/>
  <c r="AO53" i="8192"/>
  <c r="Q55" i="8192"/>
  <c r="K53" i="8192"/>
  <c r="H53" i="8192"/>
  <c r="M54" i="8192"/>
  <c r="AO54" i="8192"/>
  <c r="O53" i="8192"/>
  <c r="L54" i="8192"/>
  <c r="J52" i="8192"/>
  <c r="J55" i="8192"/>
  <c r="AO52" i="8192"/>
  <c r="AL52" i="8192"/>
  <c r="AP55" i="8192"/>
  <c r="BS55" i="8192" s="1"/>
  <c r="K52" i="8192"/>
  <c r="P53" i="8192"/>
  <c r="S52" i="8192"/>
  <c r="O54" i="8192"/>
  <c r="O52" i="8192"/>
  <c r="S55" i="8192"/>
  <c r="N54" i="8192"/>
  <c r="AP52" i="8192"/>
  <c r="BS52" i="8192" s="1"/>
  <c r="S53" i="8192"/>
  <c r="N53" i="8192"/>
  <c r="AP53" i="8192"/>
  <c r="BS53" i="8192" s="1"/>
  <c r="Q52" i="8192"/>
  <c r="L52" i="8192"/>
  <c r="N55" i="8192"/>
  <c r="J54" i="8192"/>
  <c r="AK69" i="8192"/>
  <c r="AL88" i="30041"/>
  <c r="O88" i="30041"/>
  <c r="R91" i="30041"/>
  <c r="K91" i="30041"/>
  <c r="AK114" i="30041"/>
  <c r="AX119" i="28416"/>
  <c r="A65" i="440"/>
  <c r="V65" i="440" s="1"/>
  <c r="V47" i="440"/>
  <c r="W57" i="440"/>
  <c r="A53" i="440"/>
  <c r="A54" i="440" s="1"/>
  <c r="V51" i="440"/>
  <c r="V35" i="440"/>
  <c r="A43" i="440"/>
  <c r="W43" i="440" s="1"/>
  <c r="W56" i="440"/>
  <c r="W34" i="440"/>
  <c r="W52" i="440"/>
  <c r="W51" i="440"/>
  <c r="W35" i="440"/>
  <c r="V34" i="440"/>
  <c r="V42" i="440"/>
  <c r="V48" i="440"/>
  <c r="A61" i="440"/>
  <c r="V60" i="440"/>
  <c r="W60" i="440"/>
  <c r="E1750" i="29184"/>
  <c r="K1750" i="29184"/>
  <c r="D1750" i="29184"/>
  <c r="F1750" i="29184"/>
  <c r="F1756" i="29184"/>
  <c r="D1756" i="29184"/>
  <c r="E1756" i="29184"/>
  <c r="K1756" i="29184"/>
  <c r="AQ1321" i="29184"/>
  <c r="AQ1313" i="29184"/>
  <c r="AQ1318" i="29184"/>
  <c r="AQ1316" i="29184"/>
  <c r="AQ1307" i="29184"/>
  <c r="AQ1309" i="29184"/>
  <c r="AQ1311" i="29184"/>
  <c r="AQ1306" i="29184"/>
  <c r="AQ1308" i="29184"/>
  <c r="AQ1314" i="29184"/>
  <c r="AQ1315" i="29184"/>
  <c r="AQ1305" i="29184"/>
  <c r="AQ1310" i="29184"/>
  <c r="AQ1304" i="29184"/>
  <c r="AQ1319" i="29184"/>
  <c r="AL49" i="30002"/>
  <c r="AK55" i="30002"/>
  <c r="E1754" i="29184"/>
  <c r="D1754" i="29184"/>
  <c r="K1754" i="29184"/>
  <c r="F1754" i="29184"/>
  <c r="AP1749" i="29184"/>
  <c r="AS1749" i="29184"/>
  <c r="D1747" i="29184"/>
  <c r="K1747" i="29184"/>
  <c r="E1747" i="29184"/>
  <c r="F1747" i="29184"/>
  <c r="AL76" i="30002"/>
  <c r="AK82" i="30002"/>
  <c r="BK76" i="30002"/>
  <c r="BJ84" i="30002"/>
  <c r="CM125" i="30002"/>
  <c r="CN125" i="30002" s="1"/>
  <c r="CN115" i="30002"/>
  <c r="AX78" i="30002"/>
  <c r="AW85" i="30002"/>
  <c r="BJ125" i="30002"/>
  <c r="BK125" i="30002" s="1"/>
  <c r="BK117" i="30002"/>
  <c r="E1753" i="29184"/>
  <c r="K1753" i="29184"/>
  <c r="F1753" i="29184"/>
  <c r="D1753" i="29184"/>
  <c r="AQ1320" i="29184"/>
  <c r="BX102" i="30002"/>
  <c r="BY93" i="30002"/>
  <c r="E1755" i="29184"/>
  <c r="K1755" i="29184"/>
  <c r="F1755" i="29184"/>
  <c r="D1755" i="29184"/>
  <c r="CN110" i="30002"/>
  <c r="CM120" i="30002"/>
  <c r="AQ1122" i="29184"/>
  <c r="AQ1126" i="29184"/>
  <c r="AQ1114" i="29184"/>
  <c r="AQ1117" i="29184"/>
  <c r="AQ1116" i="29184"/>
  <c r="AQ1128" i="29184"/>
  <c r="AQ1115" i="29184"/>
  <c r="AQ1118" i="29184"/>
  <c r="AQ1124" i="29184"/>
  <c r="AQ1125" i="29184"/>
  <c r="AQ1123" i="29184"/>
  <c r="AQ1129" i="29184"/>
  <c r="AK74" i="30002"/>
  <c r="AL68" i="30002"/>
  <c r="BY105" i="30002"/>
  <c r="BX114" i="30002"/>
  <c r="AQ1317" i="29184"/>
  <c r="G107" i="30019"/>
  <c r="G132" i="30019" s="1"/>
  <c r="G133" i="30019" s="1"/>
  <c r="BX122" i="30002"/>
  <c r="BY113" i="30002"/>
  <c r="AQ1312" i="29184"/>
  <c r="F1762" i="29184"/>
  <c r="K1762" i="29184"/>
  <c r="D1762" i="29184"/>
  <c r="E1762" i="29184"/>
  <c r="AS1754" i="29184"/>
  <c r="E1763" i="29184"/>
  <c r="K1763" i="29184"/>
  <c r="D1763" i="29184"/>
  <c r="F1763" i="29184"/>
  <c r="AQ8" i="29184"/>
  <c r="AQ7" i="29184"/>
  <c r="AQ9" i="29184"/>
  <c r="AK59" i="30002"/>
  <c r="AL53" i="30002"/>
  <c r="AQ1113" i="29184"/>
  <c r="AO65" i="30002"/>
  <c r="AO66" i="30002" s="1"/>
  <c r="AO67" i="30002" s="1"/>
  <c r="AO68" i="30002" s="1"/>
  <c r="AO69" i="30002" s="1"/>
  <c r="AO70" i="30002"/>
  <c r="CM128" i="30002"/>
  <c r="CN128" i="30002" s="1"/>
  <c r="CN118" i="30002"/>
  <c r="AS1762" i="29184"/>
  <c r="AX73" i="30002"/>
  <c r="AW80" i="30002"/>
  <c r="AQ1120" i="29184"/>
  <c r="A37" i="440"/>
  <c r="W36" i="440"/>
  <c r="V36" i="440"/>
  <c r="AD84" i="30019" l="1"/>
  <c r="W84" i="30019"/>
  <c r="V84" i="30019"/>
  <c r="BZ14" i="30104"/>
  <c r="BZ10" i="30104"/>
  <c r="BZ11" i="30104"/>
  <c r="BZ8" i="30104"/>
  <c r="BZ13" i="30104"/>
  <c r="BZ9" i="30104"/>
  <c r="BZ12" i="30104"/>
  <c r="BZ7" i="30104"/>
  <c r="BZ14" i="30103"/>
  <c r="BZ12" i="30103"/>
  <c r="BZ10" i="30103"/>
  <c r="BZ9" i="30103"/>
  <c r="BZ7" i="30103"/>
  <c r="BZ13" i="30103"/>
  <c r="BZ11" i="30103"/>
  <c r="BZ8" i="30103"/>
  <c r="BZ9" i="30102"/>
  <c r="BZ14" i="30102"/>
  <c r="BZ12" i="30102"/>
  <c r="BZ11" i="30102"/>
  <c r="BZ10" i="30102"/>
  <c r="BZ7" i="30102"/>
  <c r="BZ8" i="30102"/>
  <c r="BZ46" i="30102"/>
  <c r="BZ13" i="30102"/>
  <c r="BZ42" i="30102"/>
  <c r="BZ41" i="30102"/>
  <c r="BZ40" i="30102"/>
  <c r="BZ39" i="30102"/>
  <c r="BZ45" i="30102"/>
  <c r="BZ43" i="30102"/>
  <c r="BZ44" i="30102"/>
  <c r="AO5" i="29954"/>
  <c r="O5" i="30010"/>
  <c r="AP5" i="29954"/>
  <c r="P5" i="30010"/>
  <c r="A7" i="30016"/>
  <c r="A5" i="30016"/>
  <c r="O5" i="29954"/>
  <c r="AJ5" i="29954" s="1"/>
  <c r="P5" i="29954"/>
  <c r="K5" i="30010" s="1"/>
  <c r="Q5" i="29954"/>
  <c r="L5" i="30010" s="1"/>
  <c r="R5" i="29954"/>
  <c r="M5" i="30010" s="1"/>
  <c r="S5" i="29954"/>
  <c r="N5" i="30010" s="1"/>
  <c r="A9" i="30016"/>
  <c r="A6" i="30016"/>
  <c r="A8" i="30016"/>
  <c r="N5" i="29954"/>
  <c r="I5" i="30010" s="1"/>
  <c r="J139" i="29184"/>
  <c r="J140" i="29184"/>
  <c r="AK66" i="30002"/>
  <c r="BJ107" i="30002"/>
  <c r="H5" i="19124"/>
  <c r="H25" i="19124"/>
  <c r="H7" i="19124"/>
  <c r="H4" i="19124"/>
  <c r="H22" i="19124"/>
  <c r="H29" i="19124"/>
  <c r="H18" i="19124"/>
  <c r="H6" i="19124"/>
  <c r="H21" i="19124"/>
  <c r="H12" i="19124"/>
  <c r="H34" i="19124"/>
  <c r="H40" i="19124"/>
  <c r="H14" i="19124"/>
  <c r="H20" i="19124"/>
  <c r="H23" i="19124"/>
  <c r="H9" i="19124"/>
  <c r="H27" i="19124"/>
  <c r="H15" i="19124"/>
  <c r="H33" i="19124"/>
  <c r="H24" i="19124"/>
  <c r="H39" i="19124"/>
  <c r="H45" i="19124"/>
  <c r="H11" i="19124"/>
  <c r="H17" i="19124"/>
  <c r="H19" i="19124"/>
  <c r="H13" i="19124"/>
  <c r="H26" i="19124"/>
  <c r="H28" i="19124"/>
  <c r="H31" i="19124"/>
  <c r="H37" i="19124"/>
  <c r="H46" i="19124"/>
  <c r="H38" i="19124"/>
  <c r="H30" i="19124"/>
  <c r="H35" i="19124"/>
  <c r="H43" i="19124"/>
  <c r="H36" i="19124"/>
  <c r="AW112" i="30002"/>
  <c r="AX112" i="30002" s="1"/>
  <c r="BY121" i="30002"/>
  <c r="CG344" i="30041"/>
  <c r="Z56" i="30002"/>
  <c r="BJ105" i="30002"/>
  <c r="BK105" i="30002" s="1"/>
  <c r="AL598" i="30041"/>
  <c r="AL249" i="30041"/>
  <c r="AL689" i="30041"/>
  <c r="AL114" i="30041"/>
  <c r="AL69" i="30041"/>
  <c r="AL11" i="30041"/>
  <c r="AL556" i="30041"/>
  <c r="AL55" i="30041"/>
  <c r="AL63" i="29952"/>
  <c r="AL160" i="30041"/>
  <c r="AL326" i="30041"/>
  <c r="AL437" i="30041"/>
  <c r="AL402" i="30041"/>
  <c r="AL472" i="30041"/>
  <c r="AL696" i="30041"/>
  <c r="AL640" i="30041"/>
  <c r="AL535" i="30041"/>
  <c r="AL242" i="30041"/>
  <c r="AL167" i="30041"/>
  <c r="AL51" i="29952"/>
  <c r="AL111" i="29952"/>
  <c r="AL153" i="30041"/>
  <c r="AL465" i="30041"/>
  <c r="AL19" i="29952"/>
  <c r="AL647" i="30041"/>
  <c r="AL549" i="30041"/>
  <c r="AL227" i="29952"/>
  <c r="AL346" i="30041"/>
  <c r="AL591" i="30041"/>
  <c r="AL39" i="29952"/>
  <c r="AL563" i="30041"/>
  <c r="AL388" i="30041"/>
  <c r="AL619" i="30041"/>
  <c r="AL507" i="30041"/>
  <c r="AL93" i="30041"/>
  <c r="AL458" i="30041"/>
  <c r="AL605" i="30041"/>
  <c r="AL374" i="30041"/>
  <c r="AL319" i="30041"/>
  <c r="AL612" i="30041"/>
  <c r="AL146" i="30041"/>
  <c r="AL577" i="30041"/>
  <c r="AL542" i="30041"/>
  <c r="AL121" i="30041"/>
  <c r="AL18" i="30041"/>
  <c r="AL570" i="30041"/>
  <c r="AL423" i="30041"/>
  <c r="AL62" i="30041"/>
  <c r="AL99" i="29952"/>
  <c r="AL195" i="30041"/>
  <c r="AL633" i="30041"/>
  <c r="AL25" i="30041"/>
  <c r="AL451" i="30041"/>
  <c r="AL381" i="30041"/>
  <c r="AL416" i="30041"/>
  <c r="AL173" i="29952"/>
  <c r="AL444" i="30041"/>
  <c r="AL479" i="30041"/>
  <c r="AL202" i="30041"/>
  <c r="AL360" i="30041"/>
  <c r="AL528" i="30041"/>
  <c r="AL213" i="29952"/>
  <c r="AL181" i="30041"/>
  <c r="AL298" i="30041"/>
  <c r="AL76" i="30041"/>
  <c r="AL584" i="30041"/>
  <c r="AL521" i="30041"/>
  <c r="AL353" i="30041"/>
  <c r="AL174" i="30041"/>
  <c r="AL682" i="30041"/>
  <c r="AL209" i="30041"/>
  <c r="AL626" i="30041"/>
  <c r="AL395" i="30041"/>
  <c r="AL486" i="30041"/>
  <c r="AL199" i="29952"/>
  <c r="AL291" i="30041"/>
  <c r="AL277" i="30041"/>
  <c r="AL312" i="30041"/>
  <c r="AL107" i="30041"/>
  <c r="AL48" i="30041"/>
  <c r="AL123" i="29952"/>
  <c r="AL188" i="30041"/>
  <c r="AL128" i="30041"/>
  <c r="AL263" i="30041"/>
  <c r="AL256" i="30041"/>
  <c r="AL514" i="30041"/>
  <c r="AL228" i="30041"/>
  <c r="AL235" i="30041"/>
  <c r="AL675" i="30041"/>
  <c r="AL668" i="30041"/>
  <c r="AL187" i="29952"/>
  <c r="AL137" i="29952"/>
  <c r="AL149" i="29952"/>
  <c r="AL654" i="30041"/>
  <c r="AL87" i="29952"/>
  <c r="AL270" i="30041"/>
  <c r="AL430" i="30041"/>
  <c r="AL367" i="30041"/>
  <c r="AL100" i="30041"/>
  <c r="AL305" i="30041"/>
  <c r="AL7" i="29952"/>
  <c r="AL75" i="29952"/>
  <c r="AL161" i="29952"/>
  <c r="AL41" i="30041"/>
  <c r="AL409" i="30041"/>
  <c r="AL661" i="30041"/>
  <c r="AL284" i="30041"/>
  <c r="BJ113" i="30002"/>
  <c r="BK113" i="30002" s="1"/>
  <c r="AH5" i="29954"/>
  <c r="L46" i="30027"/>
  <c r="AX86" i="30002"/>
  <c r="AW93" i="30002"/>
  <c r="AX67" i="30002"/>
  <c r="AW74" i="30002"/>
  <c r="Z52" i="30002"/>
  <c r="AA47" i="30002"/>
  <c r="AK69" i="30002"/>
  <c r="AL63" i="30002"/>
  <c r="BJ95" i="30002"/>
  <c r="BK87" i="30002"/>
  <c r="AQ659" i="29184"/>
  <c r="BK107" i="30002"/>
  <c r="BJ115" i="30002"/>
  <c r="AQ55" i="29184"/>
  <c r="B91" i="24620"/>
  <c r="AQ658" i="29184"/>
  <c r="AQ537" i="29184"/>
  <c r="AQ539" i="29184"/>
  <c r="AQ538" i="29184"/>
  <c r="AQ534" i="29184"/>
  <c r="AQ542" i="29184"/>
  <c r="AQ535" i="29184"/>
  <c r="AX82" i="30002"/>
  <c r="AQ430" i="29184"/>
  <c r="AA44" i="30002"/>
  <c r="AQ432" i="29184"/>
  <c r="AQ433" i="29184"/>
  <c r="AQ439" i="29184"/>
  <c r="AQ545" i="29184"/>
  <c r="AQ541" i="29184"/>
  <c r="AQ540" i="29184"/>
  <c r="AQ543" i="29184"/>
  <c r="AQ533" i="29184"/>
  <c r="AQ536" i="29184"/>
  <c r="I124" i="8192"/>
  <c r="AQ437" i="29184"/>
  <c r="AQ440" i="29184"/>
  <c r="AQ431" i="29184"/>
  <c r="AQ436" i="29184"/>
  <c r="CN116" i="30002"/>
  <c r="CM126" i="30002"/>
  <c r="CN126" i="30002" s="1"/>
  <c r="AA50" i="30002"/>
  <c r="Z55" i="30002"/>
  <c r="CM129" i="30002"/>
  <c r="CN129" i="30002" s="1"/>
  <c r="CN119" i="30002"/>
  <c r="BY97" i="30002"/>
  <c r="BX106" i="30002"/>
  <c r="BJ96" i="30002"/>
  <c r="BK88" i="30002"/>
  <c r="AQ54" i="29184"/>
  <c r="AQ434" i="29184"/>
  <c r="AQ429" i="29184"/>
  <c r="AQ57" i="29184"/>
  <c r="E126" i="8192"/>
  <c r="AQ337" i="29184"/>
  <c r="AQ438" i="29184"/>
  <c r="AQ56" i="29184"/>
  <c r="B508" i="29960"/>
  <c r="Y3" i="19124"/>
  <c r="M6" i="30008"/>
  <c r="F4" i="30044"/>
  <c r="AU89" i="30041"/>
  <c r="Z63" i="30002"/>
  <c r="AA58" i="30002"/>
  <c r="BK90" i="30002"/>
  <c r="BJ98" i="30002"/>
  <c r="AW76" i="30002"/>
  <c r="AX69" i="30002"/>
  <c r="BJ110" i="30002"/>
  <c r="BK102" i="30002"/>
  <c r="BY118" i="30002"/>
  <c r="BX127" i="30002"/>
  <c r="BY127" i="30002" s="1"/>
  <c r="BX119" i="30002"/>
  <c r="BY110" i="30002"/>
  <c r="BY116" i="30002"/>
  <c r="BX125" i="30002"/>
  <c r="BY125" i="30002" s="1"/>
  <c r="Z54" i="30002"/>
  <c r="AA49" i="30002"/>
  <c r="BA83" i="8192"/>
  <c r="F221" i="30041"/>
  <c r="E221" i="30041"/>
  <c r="BB83" i="8192"/>
  <c r="BA82" i="8192"/>
  <c r="BV51" i="28416"/>
  <c r="BV54" i="28416" s="1"/>
  <c r="BA80" i="8192"/>
  <c r="I221" i="30041"/>
  <c r="AR226" i="30041" s="1"/>
  <c r="AS83" i="8192"/>
  <c r="AT83" i="8192"/>
  <c r="AV83" i="8192"/>
  <c r="AQ83" i="8192"/>
  <c r="AU226" i="30041"/>
  <c r="F124" i="8192"/>
  <c r="D124" i="8192"/>
  <c r="D126" i="8192"/>
  <c r="AQ142" i="30041"/>
  <c r="F126" i="8192"/>
  <c r="AY83" i="8192"/>
  <c r="D121" i="8192"/>
  <c r="AQ344" i="29184"/>
  <c r="AQ347" i="29184"/>
  <c r="AQ340" i="29184"/>
  <c r="AQ655" i="29184"/>
  <c r="I84" i="8192"/>
  <c r="AX83" i="8192"/>
  <c r="AW83" i="8192"/>
  <c r="AZ83" i="8192"/>
  <c r="AQ345" i="29184"/>
  <c r="E84" i="8192"/>
  <c r="AU83" i="8192"/>
  <c r="AQ343" i="29184"/>
  <c r="AQ665" i="29184"/>
  <c r="AQ663" i="29184"/>
  <c r="D84" i="8192"/>
  <c r="BT84" i="8192"/>
  <c r="AQ664" i="29184"/>
  <c r="I224" i="30041"/>
  <c r="AQ656" i="29184"/>
  <c r="AQ660" i="29184"/>
  <c r="AQ341" i="29184"/>
  <c r="AQ342" i="29184"/>
  <c r="AQ662" i="29184"/>
  <c r="AQ657" i="29184"/>
  <c r="AQ667" i="29184"/>
  <c r="AQ661" i="29184"/>
  <c r="AQ654" i="29184"/>
  <c r="AQ346" i="29184"/>
  <c r="AQ338" i="29184"/>
  <c r="E226" i="30041"/>
  <c r="F141" i="30041"/>
  <c r="D141" i="30041"/>
  <c r="F226" i="30041"/>
  <c r="I121" i="8192"/>
  <c r="AR125" i="8192" s="1"/>
  <c r="BB80" i="8192"/>
  <c r="D226" i="30041"/>
  <c r="BT123" i="8192"/>
  <c r="F121" i="8192"/>
  <c r="E141" i="30041"/>
  <c r="AX224" i="30041"/>
  <c r="AY84" i="8192"/>
  <c r="F222" i="30041"/>
  <c r="AS124" i="8192"/>
  <c r="AV80" i="8192"/>
  <c r="AQ16" i="29184"/>
  <c r="AX126" i="8192"/>
  <c r="AQ15" i="29184"/>
  <c r="AW123" i="8192"/>
  <c r="AW125" i="8192"/>
  <c r="AX226" i="30041"/>
  <c r="AU25" i="8192"/>
  <c r="BB25" i="8192"/>
  <c r="AT82" i="8192"/>
  <c r="F224" i="30041"/>
  <c r="AU224" i="30041"/>
  <c r="D7" i="8192"/>
  <c r="D224" i="30041"/>
  <c r="AW222" i="30041"/>
  <c r="CG226" i="30041"/>
  <c r="BT125" i="8192"/>
  <c r="AX121" i="8192"/>
  <c r="AU222" i="30041"/>
  <c r="E7" i="8192"/>
  <c r="AW124" i="8192"/>
  <c r="I7" i="8192"/>
  <c r="AR9" i="8192" s="1"/>
  <c r="CG144" i="30041"/>
  <c r="AQ125" i="8192"/>
  <c r="AW226" i="30041"/>
  <c r="AQ122" i="8192"/>
  <c r="AQ80" i="8192"/>
  <c r="AQ40" i="29184"/>
  <c r="BT122" i="8192"/>
  <c r="I9" i="30041"/>
  <c r="BB123" i="8192"/>
  <c r="AZ126" i="8192"/>
  <c r="BB222" i="30041"/>
  <c r="BO50" i="28416"/>
  <c r="BA26" i="8192"/>
  <c r="D8" i="8192"/>
  <c r="AT126" i="8192"/>
  <c r="AY226" i="30041"/>
  <c r="AQ124" i="8192"/>
  <c r="BB125" i="8192"/>
  <c r="BA123" i="8192"/>
  <c r="AW121" i="8192"/>
  <c r="AX84" i="8192"/>
  <c r="AS222" i="30041"/>
  <c r="AV126" i="8192"/>
  <c r="AS126" i="8192"/>
  <c r="AW221" i="30041"/>
  <c r="BB224" i="30041"/>
  <c r="BT126" i="8192"/>
  <c r="AQ39" i="29184"/>
  <c r="AT125" i="8192"/>
  <c r="AS226" i="30041"/>
  <c r="AU123" i="8192"/>
  <c r="AZ124" i="8192"/>
  <c r="AV125" i="8192"/>
  <c r="AT123" i="8192"/>
  <c r="BA125" i="8192"/>
  <c r="AY224" i="30041"/>
  <c r="AW224" i="30041"/>
  <c r="AZ222" i="30041"/>
  <c r="AY222" i="30041"/>
  <c r="BB126" i="8192"/>
  <c r="AV124" i="8192"/>
  <c r="AY123" i="8192"/>
  <c r="AU124" i="8192"/>
  <c r="AY126" i="8192"/>
  <c r="AU223" i="30041"/>
  <c r="BA226" i="30041"/>
  <c r="AQ37" i="29184"/>
  <c r="AV226" i="30041"/>
  <c r="AS125" i="8192"/>
  <c r="AS224" i="30041"/>
  <c r="AQ222" i="30041"/>
  <c r="BA121" i="8192"/>
  <c r="AU122" i="8192"/>
  <c r="AX123" i="8192"/>
  <c r="F8" i="8192"/>
  <c r="AQ226" i="30041"/>
  <c r="AV123" i="8192"/>
  <c r="AS123" i="8192"/>
  <c r="AZ123" i="8192"/>
  <c r="AW126" i="8192"/>
  <c r="AX222" i="30041"/>
  <c r="AV222" i="30041"/>
  <c r="AU126" i="8192"/>
  <c r="AZ122" i="8192"/>
  <c r="AQ25" i="8192"/>
  <c r="AY225" i="30041"/>
  <c r="AZ224" i="30041"/>
  <c r="AX125" i="8192"/>
  <c r="BB124" i="8192"/>
  <c r="AV224" i="30041"/>
  <c r="BT124" i="8192"/>
  <c r="F125" i="8192"/>
  <c r="D125" i="8192"/>
  <c r="I125" i="8192"/>
  <c r="E125" i="8192"/>
  <c r="AW122" i="8192"/>
  <c r="AU121" i="8192"/>
  <c r="AY121" i="8192"/>
  <c r="AQ224" i="30041"/>
  <c r="AV84" i="8192"/>
  <c r="AS80" i="8192"/>
  <c r="AT124" i="8192"/>
  <c r="AZ226" i="30041"/>
  <c r="BA122" i="8192"/>
  <c r="AX124" i="8192"/>
  <c r="AY125" i="8192"/>
  <c r="AQ123" i="8192"/>
  <c r="AY122" i="8192"/>
  <c r="AV122" i="8192"/>
  <c r="BB122" i="8192"/>
  <c r="AS121" i="8192"/>
  <c r="AT121" i="8192"/>
  <c r="BA224" i="30041"/>
  <c r="BA124" i="8192"/>
  <c r="AZ125" i="8192"/>
  <c r="AU84" i="8192"/>
  <c r="BA222" i="30041"/>
  <c r="AX80" i="8192"/>
  <c r="AZ80" i="8192"/>
  <c r="BB26" i="8192"/>
  <c r="D25" i="8192"/>
  <c r="BB121" i="8192"/>
  <c r="AS122" i="8192"/>
  <c r="AX122" i="8192"/>
  <c r="I123" i="8192"/>
  <c r="E123" i="8192"/>
  <c r="F123" i="8192"/>
  <c r="D123" i="8192"/>
  <c r="AQ126" i="8192"/>
  <c r="AU80" i="8192"/>
  <c r="I8" i="8192"/>
  <c r="F26" i="8192"/>
  <c r="AY124" i="8192"/>
  <c r="AU125" i="8192"/>
  <c r="AT122" i="8192"/>
  <c r="AV121" i="8192"/>
  <c r="AZ121" i="8192"/>
  <c r="AQ121" i="8192"/>
  <c r="AT80" i="8192"/>
  <c r="AY80" i="8192"/>
  <c r="E222" i="30041"/>
  <c r="I222" i="30041"/>
  <c r="BA126" i="8192"/>
  <c r="BT121" i="8192"/>
  <c r="BT25" i="8192"/>
  <c r="B461" i="29960"/>
  <c r="D39" i="30041"/>
  <c r="AZ225" i="30041"/>
  <c r="AW225" i="30041"/>
  <c r="AU225" i="30041"/>
  <c r="BZ27" i="29184"/>
  <c r="BR81" i="8192"/>
  <c r="AV225" i="30041"/>
  <c r="AU140" i="30041"/>
  <c r="H5" i="30010"/>
  <c r="CE88" i="30041"/>
  <c r="AS225" i="30041"/>
  <c r="AQ225" i="30041"/>
  <c r="BR84" i="8192"/>
  <c r="AX225" i="30041"/>
  <c r="BB225" i="30041"/>
  <c r="BZ39" i="29184"/>
  <c r="CE226" i="30041"/>
  <c r="BZ58" i="29184"/>
  <c r="BZ8" i="29184"/>
  <c r="BZ38" i="29184"/>
  <c r="AU221" i="30041"/>
  <c r="AT221" i="30041"/>
  <c r="CE504" i="30041"/>
  <c r="BZ72" i="29184"/>
  <c r="BZ97" i="29184"/>
  <c r="CE500" i="30041"/>
  <c r="BR8" i="8192"/>
  <c r="BZ57" i="29184"/>
  <c r="BZ54" i="29184"/>
  <c r="BZ17" i="29184"/>
  <c r="BZ160" i="29184"/>
  <c r="BZ117" i="29184"/>
  <c r="BZ70" i="29184"/>
  <c r="BZ7" i="29184"/>
  <c r="AT222" i="30041"/>
  <c r="CE90" i="30041"/>
  <c r="CE224" i="30041"/>
  <c r="BR7" i="8192"/>
  <c r="BR53" i="8192"/>
  <c r="BR122" i="8192"/>
  <c r="BZ98" i="29184"/>
  <c r="BZ73" i="29184"/>
  <c r="BZ161" i="29184"/>
  <c r="BZ15" i="29184"/>
  <c r="AT226" i="30041"/>
  <c r="CE38" i="30041"/>
  <c r="CE505" i="30041"/>
  <c r="BZ165" i="29184"/>
  <c r="CE498" i="30041"/>
  <c r="E88" i="30041"/>
  <c r="BZ95" i="29184"/>
  <c r="BZ134" i="29184"/>
  <c r="BZ162" i="29184"/>
  <c r="BZ119" i="29184"/>
  <c r="AT225" i="30041"/>
  <c r="BA223" i="30041"/>
  <c r="AV223" i="30041"/>
  <c r="CE223" i="30041"/>
  <c r="AT224" i="30041"/>
  <c r="BZ140" i="29184"/>
  <c r="BZ118" i="29184"/>
  <c r="BZ135" i="29184"/>
  <c r="BZ69" i="29184"/>
  <c r="BZ26" i="29184"/>
  <c r="BZ136" i="29184"/>
  <c r="BZ137" i="29184"/>
  <c r="BZ16" i="29184"/>
  <c r="BZ139" i="29184"/>
  <c r="BZ114" i="29184"/>
  <c r="BZ116" i="29184"/>
  <c r="BZ138" i="29184"/>
  <c r="AY223" i="30041"/>
  <c r="AZ223" i="30041"/>
  <c r="CE37" i="30041"/>
  <c r="CE502" i="30041"/>
  <c r="CE7" i="30041"/>
  <c r="CE342" i="30041"/>
  <c r="CE39" i="30041"/>
  <c r="CE340" i="30041"/>
  <c r="CE140" i="30041"/>
  <c r="CE344" i="30041"/>
  <c r="BR25" i="8192"/>
  <c r="BR9" i="8192"/>
  <c r="BR83" i="8192"/>
  <c r="BR121" i="8192"/>
  <c r="E9" i="30041"/>
  <c r="CE221" i="30041"/>
  <c r="CE499" i="30041"/>
  <c r="BR82" i="8192"/>
  <c r="BZ29" i="29184"/>
  <c r="BZ167" i="29184"/>
  <c r="BZ28" i="29184"/>
  <c r="BZ166" i="29184"/>
  <c r="BZ40" i="29184"/>
  <c r="BZ164" i="29184"/>
  <c r="BZ96" i="29184"/>
  <c r="BZ56" i="29184"/>
  <c r="BZ115" i="29184"/>
  <c r="AQ223" i="30041"/>
  <c r="AW223" i="30041"/>
  <c r="AX223" i="30041"/>
  <c r="AT223" i="30041"/>
  <c r="I37" i="30041"/>
  <c r="AR38" i="30041" s="1"/>
  <c r="CE225" i="30041"/>
  <c r="CE339" i="30041"/>
  <c r="BR125" i="8192"/>
  <c r="BR124" i="8192"/>
  <c r="CE9" i="30041"/>
  <c r="CE89" i="30041"/>
  <c r="CE8" i="30041"/>
  <c r="CE142" i="30041"/>
  <c r="CE143" i="30041"/>
  <c r="CE141" i="30041"/>
  <c r="BR26" i="8192"/>
  <c r="BR55" i="8192"/>
  <c r="BR52" i="8192"/>
  <c r="BZ55" i="29184"/>
  <c r="BZ9" i="29184"/>
  <c r="BZ163" i="29184"/>
  <c r="BZ94" i="29184"/>
  <c r="BZ71" i="29184"/>
  <c r="BZ37" i="29184"/>
  <c r="BZ99" i="29184"/>
  <c r="AS223" i="30041"/>
  <c r="BR126" i="8192"/>
  <c r="CE338" i="30041"/>
  <c r="BR80" i="8192"/>
  <c r="CE91" i="30041"/>
  <c r="CE222" i="30041"/>
  <c r="CE341" i="30041"/>
  <c r="CE501" i="30041"/>
  <c r="CE144" i="30041"/>
  <c r="CE503" i="30041"/>
  <c r="BR123" i="8192"/>
  <c r="BR54" i="8192"/>
  <c r="BR27" i="8192"/>
  <c r="CE343" i="30041"/>
  <c r="CG223" i="30041"/>
  <c r="AW9" i="30041"/>
  <c r="AQ26" i="8192"/>
  <c r="CG142" i="30041"/>
  <c r="AQ140" i="30041"/>
  <c r="BT80" i="8192"/>
  <c r="AC5" i="29954"/>
  <c r="C5" i="30010"/>
  <c r="AK367" i="30041"/>
  <c r="K8" i="30041"/>
  <c r="C8" i="30041"/>
  <c r="AQ26" i="29184"/>
  <c r="K136" i="29184"/>
  <c r="D954" i="29184"/>
  <c r="E954" i="29184"/>
  <c r="F954" i="29184"/>
  <c r="K954" i="29184"/>
  <c r="AP950" i="29184"/>
  <c r="AR950" i="29184"/>
  <c r="AV950" i="29184"/>
  <c r="AW950" i="29184"/>
  <c r="AT950" i="29184"/>
  <c r="AS950" i="29184"/>
  <c r="AU950" i="29184"/>
  <c r="K947" i="29184"/>
  <c r="F947" i="29184"/>
  <c r="E947" i="29184"/>
  <c r="D947" i="29184"/>
  <c r="D1516" i="29184"/>
  <c r="K1516" i="29184"/>
  <c r="E1516" i="29184"/>
  <c r="F1516" i="29184"/>
  <c r="E500" i="30041"/>
  <c r="F500" i="30041"/>
  <c r="D500" i="30041"/>
  <c r="I500" i="30041"/>
  <c r="CG503" i="30041"/>
  <c r="CG504" i="30041"/>
  <c r="CG502" i="30041"/>
  <c r="CB17" i="29184"/>
  <c r="CB16" i="29184"/>
  <c r="AP38" i="29184"/>
  <c r="AP39" i="29184"/>
  <c r="E38" i="29184"/>
  <c r="K38" i="29184"/>
  <c r="F38" i="29184"/>
  <c r="D38" i="29184"/>
  <c r="F944" i="29184"/>
  <c r="K944" i="29184"/>
  <c r="D944" i="29184"/>
  <c r="E944" i="29184"/>
  <c r="K955" i="29184"/>
  <c r="F955" i="29184"/>
  <c r="D955" i="29184"/>
  <c r="E955" i="29184"/>
  <c r="E1522" i="29184"/>
  <c r="K1522" i="29184"/>
  <c r="D1522" i="29184"/>
  <c r="F1522" i="29184"/>
  <c r="AW1526" i="29184"/>
  <c r="AS1526" i="29184"/>
  <c r="AV1526" i="29184"/>
  <c r="AP1526" i="29184"/>
  <c r="AU1526" i="29184"/>
  <c r="AT1526" i="29184"/>
  <c r="AR1526" i="29184"/>
  <c r="K1519" i="29184"/>
  <c r="D1519" i="29184"/>
  <c r="E1519" i="29184"/>
  <c r="F1519" i="29184"/>
  <c r="AR1530" i="29184"/>
  <c r="AP1530" i="29184"/>
  <c r="AS1530" i="29184"/>
  <c r="AU1530" i="29184"/>
  <c r="AT1530" i="29184"/>
  <c r="AW1530" i="29184"/>
  <c r="AV1530" i="29184"/>
  <c r="F1531" i="29184"/>
  <c r="E1531" i="29184"/>
  <c r="D1531" i="29184"/>
  <c r="K1531" i="29184"/>
  <c r="K1752" i="29184"/>
  <c r="D1752" i="29184"/>
  <c r="F1752" i="29184"/>
  <c r="E1752" i="29184"/>
  <c r="AU1758" i="29184"/>
  <c r="AW1758" i="29184"/>
  <c r="AP1758" i="29184"/>
  <c r="AT1758" i="29184"/>
  <c r="AV1758" i="29184"/>
  <c r="AR1758" i="29184"/>
  <c r="AP1764" i="29184"/>
  <c r="AW1764" i="29184"/>
  <c r="AU1764" i="29184"/>
  <c r="AR1764" i="29184"/>
  <c r="AV1764" i="29184"/>
  <c r="AT1764" i="29184"/>
  <c r="AW1756" i="29184"/>
  <c r="AU1756" i="29184"/>
  <c r="AT1756" i="29184"/>
  <c r="AR1756" i="29184"/>
  <c r="AV1756" i="29184"/>
  <c r="AP1756" i="29184"/>
  <c r="F1745" i="29184"/>
  <c r="D1745" i="29184"/>
  <c r="AR1752" i="29184"/>
  <c r="AR1761" i="29184"/>
  <c r="AR1757" i="29184"/>
  <c r="K1745" i="29184"/>
  <c r="AQ1753" i="29184" s="1"/>
  <c r="AR1754" i="29184"/>
  <c r="E1745" i="29184"/>
  <c r="AR1762" i="29184"/>
  <c r="D1749" i="29184"/>
  <c r="K1749" i="29184"/>
  <c r="E1749" i="29184"/>
  <c r="F1749" i="29184"/>
  <c r="K1757" i="29184"/>
  <c r="F1757" i="29184"/>
  <c r="D1757" i="29184"/>
  <c r="E1757" i="29184"/>
  <c r="AP1753" i="29184"/>
  <c r="AU1753" i="29184"/>
  <c r="AV1753" i="29184"/>
  <c r="AW1753" i="29184"/>
  <c r="AR1753" i="29184"/>
  <c r="AT1753" i="29184"/>
  <c r="AW1750" i="29184"/>
  <c r="AP1750" i="29184"/>
  <c r="AT1750" i="29184"/>
  <c r="AR1750" i="29184"/>
  <c r="AV1750" i="29184"/>
  <c r="AU1750" i="29184"/>
  <c r="AQ70" i="29184"/>
  <c r="AQ72" i="29184"/>
  <c r="AQ73" i="29184"/>
  <c r="AQ69" i="29184"/>
  <c r="AQ71" i="29184"/>
  <c r="K138" i="29184"/>
  <c r="E948" i="29184"/>
  <c r="D948" i="29184"/>
  <c r="K948" i="29184"/>
  <c r="F948" i="29184"/>
  <c r="AT947" i="29184"/>
  <c r="AS947" i="29184"/>
  <c r="AU947" i="29184"/>
  <c r="AR947" i="29184"/>
  <c r="AP947" i="29184"/>
  <c r="AW947" i="29184"/>
  <c r="AV947" i="29184"/>
  <c r="K160" i="29184"/>
  <c r="F952" i="29184"/>
  <c r="K952" i="29184"/>
  <c r="E952" i="29184"/>
  <c r="D952" i="29184"/>
  <c r="K1523" i="29184"/>
  <c r="D1523" i="29184"/>
  <c r="F1523" i="29184"/>
  <c r="E1523" i="29184"/>
  <c r="E1517" i="29184"/>
  <c r="F1517" i="29184"/>
  <c r="D1517" i="29184"/>
  <c r="K1517" i="29184"/>
  <c r="AV1519" i="29184"/>
  <c r="AT1519" i="29184"/>
  <c r="AU1519" i="29184"/>
  <c r="AR1519" i="29184"/>
  <c r="AW1519" i="29184"/>
  <c r="AS1519" i="29184"/>
  <c r="AP1519" i="29184"/>
  <c r="AU501" i="30041"/>
  <c r="AS501" i="30041"/>
  <c r="BB501" i="30041"/>
  <c r="AZ501" i="30041"/>
  <c r="AR501" i="30041"/>
  <c r="BA501" i="30041"/>
  <c r="AV501" i="30041"/>
  <c r="AW501" i="30041"/>
  <c r="AX501" i="30041"/>
  <c r="AY501" i="30041"/>
  <c r="AT501" i="30041"/>
  <c r="AQ501" i="30041"/>
  <c r="AZ503" i="30041"/>
  <c r="AW499" i="30041"/>
  <c r="AV500" i="30041"/>
  <c r="AV505" i="30041"/>
  <c r="BB505" i="30041"/>
  <c r="AT505" i="30041"/>
  <c r="BA503" i="30041"/>
  <c r="BB500" i="30041"/>
  <c r="AX498" i="30041"/>
  <c r="AQ499" i="30041"/>
  <c r="AV503" i="30041"/>
  <c r="AX505" i="30041"/>
  <c r="BB499" i="30041"/>
  <c r="AV499" i="30041"/>
  <c r="AU500" i="30041"/>
  <c r="AU503" i="30041"/>
  <c r="AS502" i="30041"/>
  <c r="AY499" i="30041"/>
  <c r="AS499" i="30041"/>
  <c r="AZ498" i="30041"/>
  <c r="BA502" i="30041"/>
  <c r="AZ502" i="30041"/>
  <c r="AZ499" i="30041"/>
  <c r="AR498" i="30041"/>
  <c r="AS503" i="30041"/>
  <c r="AQ505" i="30041"/>
  <c r="AT503" i="30041"/>
  <c r="BB502" i="30041"/>
  <c r="AR505" i="30041"/>
  <c r="AT498" i="30041"/>
  <c r="AU505" i="30041"/>
  <c r="AW500" i="30041"/>
  <c r="AT500" i="30041"/>
  <c r="AT499" i="30041"/>
  <c r="AR500" i="30041"/>
  <c r="AW502" i="30041"/>
  <c r="AR502" i="30041"/>
  <c r="AZ500" i="30041"/>
  <c r="AU499" i="30041"/>
  <c r="AQ498" i="30041"/>
  <c r="AV498" i="30041"/>
  <c r="BA499" i="30041"/>
  <c r="AW503" i="30041"/>
  <c r="AW498" i="30041"/>
  <c r="AT502" i="30041"/>
  <c r="BB503" i="30041"/>
  <c r="AU498" i="30041"/>
  <c r="AZ505" i="30041"/>
  <c r="AY498" i="30041"/>
  <c r="AW505" i="30041"/>
  <c r="AY500" i="30041"/>
  <c r="AS498" i="30041"/>
  <c r="AQ500" i="30041"/>
  <c r="BB498" i="30041"/>
  <c r="BA498" i="30041"/>
  <c r="AQ503" i="30041"/>
  <c r="AR503" i="30041"/>
  <c r="AS505" i="30041"/>
  <c r="AX502" i="30041"/>
  <c r="AY503" i="30041"/>
  <c r="BA500" i="30041"/>
  <c r="AX503" i="30041"/>
  <c r="AQ502" i="30041"/>
  <c r="AU502" i="30041"/>
  <c r="AX499" i="30041"/>
  <c r="AY505" i="30041"/>
  <c r="AS500" i="30041"/>
  <c r="AR499" i="30041"/>
  <c r="AY502" i="30041"/>
  <c r="BA505" i="30041"/>
  <c r="AX500" i="30041"/>
  <c r="AV502" i="30041"/>
  <c r="AS37" i="29184"/>
  <c r="AW37" i="29184"/>
  <c r="AP37" i="29184"/>
  <c r="AV37" i="29184"/>
  <c r="AU37" i="29184"/>
  <c r="AT37" i="29184"/>
  <c r="AR37" i="29184"/>
  <c r="AS943" i="29184"/>
  <c r="AR943" i="29184"/>
  <c r="AW943" i="29184"/>
  <c r="AU943" i="29184"/>
  <c r="AP943" i="29184"/>
  <c r="AV943" i="29184"/>
  <c r="AT943" i="29184"/>
  <c r="AW1531" i="29184"/>
  <c r="AV1531" i="29184"/>
  <c r="AU1531" i="29184"/>
  <c r="AR1531" i="29184"/>
  <c r="AT1531" i="29184"/>
  <c r="AP1531" i="29184"/>
  <c r="AS1531" i="29184"/>
  <c r="F1528" i="29184"/>
  <c r="K1528" i="29184"/>
  <c r="D1528" i="29184"/>
  <c r="E1528" i="29184"/>
  <c r="K139" i="29184"/>
  <c r="F943" i="29184"/>
  <c r="E943" i="29184"/>
  <c r="K943" i="29184"/>
  <c r="D943" i="29184"/>
  <c r="D956" i="29184"/>
  <c r="F956" i="29184"/>
  <c r="K956" i="29184"/>
  <c r="E956" i="29184"/>
  <c r="AV1521" i="29184"/>
  <c r="AU1521" i="29184"/>
  <c r="AT1521" i="29184"/>
  <c r="AR1521" i="29184"/>
  <c r="AP1521" i="29184"/>
  <c r="AW1521" i="29184"/>
  <c r="AS1521" i="29184"/>
  <c r="K1513" i="29184"/>
  <c r="D1513" i="29184"/>
  <c r="F1513" i="29184"/>
  <c r="E1513" i="29184"/>
  <c r="AP1763" i="29184"/>
  <c r="AR1763" i="29184"/>
  <c r="AU1763" i="29184"/>
  <c r="AV1763" i="29184"/>
  <c r="AW1763" i="29184"/>
  <c r="AT1763" i="29184"/>
  <c r="AT1759" i="29184"/>
  <c r="AV1759" i="29184"/>
  <c r="AW1759" i="29184"/>
  <c r="AR1759" i="29184"/>
  <c r="AP1759" i="29184"/>
  <c r="AU1759" i="29184"/>
  <c r="AW1745" i="29184"/>
  <c r="AP1745" i="29184"/>
  <c r="AV1745" i="29184"/>
  <c r="AT1745" i="29184"/>
  <c r="AR1745" i="29184"/>
  <c r="AU1745" i="29184"/>
  <c r="AP1746" i="29184"/>
  <c r="AV1746" i="29184"/>
  <c r="AT1746" i="29184"/>
  <c r="AW1746" i="29184"/>
  <c r="AR1746" i="29184"/>
  <c r="AU1746" i="29184"/>
  <c r="F1751" i="29184"/>
  <c r="K1751" i="29184"/>
  <c r="D1751" i="29184"/>
  <c r="E1751" i="29184"/>
  <c r="AU1761" i="29184"/>
  <c r="AU1752" i="29184"/>
  <c r="AU1754" i="29184"/>
  <c r="AU1762" i="29184"/>
  <c r="AU1757" i="29184"/>
  <c r="AT1754" i="29184"/>
  <c r="AT1752" i="29184"/>
  <c r="AT1757" i="29184"/>
  <c r="AT1761" i="29184"/>
  <c r="AT1762" i="29184"/>
  <c r="AV1752" i="29184"/>
  <c r="AV1757" i="29184"/>
  <c r="AV1761" i="29184"/>
  <c r="AV1762" i="29184"/>
  <c r="AV1754" i="29184"/>
  <c r="I9" i="8192"/>
  <c r="AS1764" i="29184"/>
  <c r="AS221" i="30041"/>
  <c r="AU26" i="8192"/>
  <c r="AW25" i="8192"/>
  <c r="E950" i="29184"/>
  <c r="D950" i="29184"/>
  <c r="K950" i="29184"/>
  <c r="F950" i="29184"/>
  <c r="AV957" i="29184"/>
  <c r="AU957" i="29184"/>
  <c r="AP957" i="29184"/>
  <c r="AR957" i="29184"/>
  <c r="AS957" i="29184"/>
  <c r="AW957" i="29184"/>
  <c r="AT957" i="29184"/>
  <c r="AU1516" i="29184"/>
  <c r="AT1516" i="29184"/>
  <c r="AS1516" i="29184"/>
  <c r="AW1516" i="29184"/>
  <c r="AP1516" i="29184"/>
  <c r="AR1516" i="29184"/>
  <c r="AV1516" i="29184"/>
  <c r="F1525" i="29184"/>
  <c r="K1525" i="29184"/>
  <c r="E1525" i="29184"/>
  <c r="D1525" i="29184"/>
  <c r="AP1518" i="29184"/>
  <c r="AT1518" i="29184"/>
  <c r="AS1518" i="29184"/>
  <c r="AR1518" i="29184"/>
  <c r="AW1518" i="29184"/>
  <c r="AU1518" i="29184"/>
  <c r="AV1518" i="29184"/>
  <c r="AT16" i="29184"/>
  <c r="AT17" i="29184"/>
  <c r="AT15" i="29184"/>
  <c r="AU40" i="29184"/>
  <c r="AV40" i="29184"/>
  <c r="AS40" i="29184"/>
  <c r="AR40" i="29184"/>
  <c r="AT40" i="29184"/>
  <c r="AP40" i="29184"/>
  <c r="AW40" i="29184"/>
  <c r="AT948" i="29184"/>
  <c r="AP948" i="29184"/>
  <c r="AU948" i="29184"/>
  <c r="AV948" i="29184"/>
  <c r="AS948" i="29184"/>
  <c r="AR948" i="29184"/>
  <c r="AW948" i="29184"/>
  <c r="AP958" i="29184"/>
  <c r="AR955" i="29184"/>
  <c r="AU949" i="29184"/>
  <c r="AW955" i="29184"/>
  <c r="AS958" i="29184"/>
  <c r="AS956" i="29184"/>
  <c r="AU958" i="29184"/>
  <c r="AV955" i="29184"/>
  <c r="AT954" i="29184"/>
  <c r="AU952" i="29184"/>
  <c r="AV949" i="29184"/>
  <c r="AP953" i="29184"/>
  <c r="AR958" i="29184"/>
  <c r="AT949" i="29184"/>
  <c r="AP951" i="29184"/>
  <c r="AW958" i="29184"/>
  <c r="AR951" i="29184"/>
  <c r="AR952" i="29184"/>
  <c r="AT956" i="29184"/>
  <c r="AW953" i="29184"/>
  <c r="AS953" i="29184"/>
  <c r="AW954" i="29184"/>
  <c r="AT952" i="29184"/>
  <c r="AS952" i="29184"/>
  <c r="AS949" i="29184"/>
  <c r="AU951" i="29184"/>
  <c r="AT951" i="29184"/>
  <c r="AV958" i="29184"/>
  <c r="AS951" i="29184"/>
  <c r="AV956" i="29184"/>
  <c r="AR956" i="29184"/>
  <c r="AP955" i="29184"/>
  <c r="AP949" i="29184"/>
  <c r="AW956" i="29184"/>
  <c r="AW949" i="29184"/>
  <c r="AR954" i="29184"/>
  <c r="AP956" i="29184"/>
  <c r="AU956" i="29184"/>
  <c r="AP954" i="29184"/>
  <c r="AW952" i="29184"/>
  <c r="AT953" i="29184"/>
  <c r="AP952" i="29184"/>
  <c r="AT955" i="29184"/>
  <c r="AR949" i="29184"/>
  <c r="AV954" i="29184"/>
  <c r="AS955" i="29184"/>
  <c r="AS954" i="29184"/>
  <c r="AU955" i="29184"/>
  <c r="AV952" i="29184"/>
  <c r="AV953" i="29184"/>
  <c r="AW951" i="29184"/>
  <c r="AU953" i="29184"/>
  <c r="AT958" i="29184"/>
  <c r="AU954" i="29184"/>
  <c r="AV951" i="29184"/>
  <c r="AR953" i="29184"/>
  <c r="AP1513" i="29184"/>
  <c r="AR1513" i="29184"/>
  <c r="AU1513" i="29184"/>
  <c r="AV1513" i="29184"/>
  <c r="AS1513" i="29184"/>
  <c r="AW1513" i="29184"/>
  <c r="AT1513" i="29184"/>
  <c r="F1527" i="29184"/>
  <c r="D1527" i="29184"/>
  <c r="K1527" i="29184"/>
  <c r="E1527" i="29184"/>
  <c r="K135" i="29184"/>
  <c r="AS946" i="29184"/>
  <c r="AP946" i="29184"/>
  <c r="AU946" i="29184"/>
  <c r="AW946" i="29184"/>
  <c r="AV946" i="29184"/>
  <c r="AT946" i="29184"/>
  <c r="AR946" i="29184"/>
  <c r="AP1525" i="29184"/>
  <c r="AV1527" i="29184"/>
  <c r="AW1515" i="29184"/>
  <c r="AW1523" i="29184"/>
  <c r="AR1525" i="29184"/>
  <c r="AP1523" i="29184"/>
  <c r="AV1525" i="29184"/>
  <c r="AW1525" i="29184"/>
  <c r="AR1527" i="29184"/>
  <c r="AS1515" i="29184"/>
  <c r="AU1523" i="29184"/>
  <c r="AT1523" i="29184"/>
  <c r="AT1527" i="29184"/>
  <c r="AT1515" i="29184"/>
  <c r="AW1522" i="29184"/>
  <c r="AR1522" i="29184"/>
  <c r="AV1523" i="29184"/>
  <c r="AU1525" i="29184"/>
  <c r="AU1527" i="29184"/>
  <c r="AU1515" i="29184"/>
  <c r="AS1525" i="29184"/>
  <c r="AU1522" i="29184"/>
  <c r="AP1527" i="29184"/>
  <c r="AV1515" i="29184"/>
  <c r="AS1523" i="29184"/>
  <c r="AR1515" i="29184"/>
  <c r="AV1522" i="29184"/>
  <c r="AR1523" i="29184"/>
  <c r="AT1522" i="29184"/>
  <c r="AS1522" i="29184"/>
  <c r="AW1527" i="29184"/>
  <c r="AP1515" i="29184"/>
  <c r="AS1527" i="29184"/>
  <c r="AP1522" i="29184"/>
  <c r="AT1525" i="29184"/>
  <c r="AR1528" i="29184"/>
  <c r="AW1528" i="29184"/>
  <c r="AV1528" i="29184"/>
  <c r="AS1528" i="29184"/>
  <c r="AT1528" i="29184"/>
  <c r="AP1528" i="29184"/>
  <c r="AU1528" i="29184"/>
  <c r="AU1520" i="29184"/>
  <c r="AP1520" i="29184"/>
  <c r="AW1520" i="29184"/>
  <c r="AV1520" i="29184"/>
  <c r="AT1520" i="29184"/>
  <c r="AR1520" i="29184"/>
  <c r="AS1520" i="29184"/>
  <c r="AS1514" i="29184"/>
  <c r="AU1514" i="29184"/>
  <c r="AP1514" i="29184"/>
  <c r="AR1514" i="29184"/>
  <c r="AW1514" i="29184"/>
  <c r="AT1514" i="29184"/>
  <c r="AV1514" i="29184"/>
  <c r="K134" i="29184"/>
  <c r="AU1748" i="29184"/>
  <c r="AW1748" i="29184"/>
  <c r="AV1748" i="29184"/>
  <c r="AR1748" i="29184"/>
  <c r="AT1748" i="29184"/>
  <c r="AP1748" i="29184"/>
  <c r="AR1751" i="29184"/>
  <c r="AW1751" i="29184"/>
  <c r="AP1751" i="29184"/>
  <c r="AT1751" i="29184"/>
  <c r="AU1751" i="29184"/>
  <c r="AV1751" i="29184"/>
  <c r="D1748" i="29184"/>
  <c r="K1748" i="29184"/>
  <c r="F1748" i="29184"/>
  <c r="E1748" i="29184"/>
  <c r="AW1752" i="29184"/>
  <c r="AW1761" i="29184"/>
  <c r="AW1762" i="29184"/>
  <c r="AW1754" i="29184"/>
  <c r="AW1757" i="29184"/>
  <c r="E1758" i="29184"/>
  <c r="D1758" i="29184"/>
  <c r="F1758" i="29184"/>
  <c r="K1758" i="29184"/>
  <c r="F1761" i="29184"/>
  <c r="K1761" i="29184"/>
  <c r="D1761" i="29184"/>
  <c r="E1761" i="29184"/>
  <c r="BB226" i="30041"/>
  <c r="BB223" i="30041"/>
  <c r="AQ221" i="30041"/>
  <c r="AW26" i="8192"/>
  <c r="AW9" i="8192"/>
  <c r="CB37" i="29184"/>
  <c r="AS1756" i="29184"/>
  <c r="AV945" i="29184"/>
  <c r="AP945" i="29184"/>
  <c r="AS945" i="29184"/>
  <c r="AT945" i="29184"/>
  <c r="AW945" i="29184"/>
  <c r="AU945" i="29184"/>
  <c r="AR945" i="29184"/>
  <c r="AW1524" i="29184"/>
  <c r="AV1524" i="29184"/>
  <c r="AP1524" i="29184"/>
  <c r="AT1524" i="29184"/>
  <c r="AS1524" i="29184"/>
  <c r="AU1524" i="29184"/>
  <c r="AR1524" i="29184"/>
  <c r="F957" i="29184"/>
  <c r="K957" i="29184"/>
  <c r="E957" i="29184"/>
  <c r="D957" i="29184"/>
  <c r="AT944" i="29184"/>
  <c r="AW944" i="29184"/>
  <c r="AV944" i="29184"/>
  <c r="AS944" i="29184"/>
  <c r="AP944" i="29184"/>
  <c r="AR944" i="29184"/>
  <c r="AU944" i="29184"/>
  <c r="AW504" i="30041"/>
  <c r="AY504" i="30041"/>
  <c r="AS504" i="30041"/>
  <c r="BA504" i="30041"/>
  <c r="AR504" i="30041"/>
  <c r="AT504" i="30041"/>
  <c r="AQ504" i="30041"/>
  <c r="AZ504" i="30041"/>
  <c r="AX504" i="30041"/>
  <c r="BB504" i="30041"/>
  <c r="AV504" i="30041"/>
  <c r="AU504" i="30041"/>
  <c r="AS15" i="29184"/>
  <c r="AS16" i="29184"/>
  <c r="AS17" i="29184"/>
  <c r="F39" i="29184"/>
  <c r="K39" i="29184"/>
  <c r="D39" i="29184"/>
  <c r="E39" i="29184"/>
  <c r="F946" i="29184"/>
  <c r="E946" i="29184"/>
  <c r="D946" i="29184"/>
  <c r="K946" i="29184"/>
  <c r="D949" i="29184"/>
  <c r="K949" i="29184"/>
  <c r="F949" i="29184"/>
  <c r="E949" i="29184"/>
  <c r="K945" i="29184"/>
  <c r="E945" i="29184"/>
  <c r="F945" i="29184"/>
  <c r="D945" i="29184"/>
  <c r="AT1517" i="29184"/>
  <c r="AV1517" i="29184"/>
  <c r="AS1517" i="29184"/>
  <c r="AR1517" i="29184"/>
  <c r="AW1517" i="29184"/>
  <c r="AP1517" i="29184"/>
  <c r="AU1517" i="29184"/>
  <c r="F1521" i="29184"/>
  <c r="K1521" i="29184"/>
  <c r="E1521" i="29184"/>
  <c r="D1521" i="29184"/>
  <c r="D1529" i="29184"/>
  <c r="F1529" i="29184"/>
  <c r="K1529" i="29184"/>
  <c r="E1529" i="29184"/>
  <c r="K137" i="29184"/>
  <c r="K164" i="29184"/>
  <c r="AW1529" i="29184"/>
  <c r="AT1529" i="29184"/>
  <c r="AU1529" i="29184"/>
  <c r="AS1529" i="29184"/>
  <c r="AP1529" i="29184"/>
  <c r="AR1529" i="29184"/>
  <c r="AV1529" i="29184"/>
  <c r="D1526" i="29184"/>
  <c r="K1526" i="29184"/>
  <c r="F1526" i="29184"/>
  <c r="E1526" i="29184"/>
  <c r="AW1755" i="29184"/>
  <c r="AU1755" i="29184"/>
  <c r="AR1755" i="29184"/>
  <c r="AP1755" i="29184"/>
  <c r="AV1755" i="29184"/>
  <c r="AT1755" i="29184"/>
  <c r="E1764" i="29184"/>
  <c r="D1764" i="29184"/>
  <c r="F1764" i="29184"/>
  <c r="K1764" i="29184"/>
  <c r="AT1747" i="29184"/>
  <c r="AP1747" i="29184"/>
  <c r="AR1747" i="29184"/>
  <c r="AU1747" i="29184"/>
  <c r="AV1747" i="29184"/>
  <c r="AW1747" i="29184"/>
  <c r="AV1760" i="29184"/>
  <c r="AT1760" i="29184"/>
  <c r="AR1760" i="29184"/>
  <c r="AW1760" i="29184"/>
  <c r="AU1760" i="29184"/>
  <c r="AP1760" i="29184"/>
  <c r="AS1750" i="29184"/>
  <c r="AS1758" i="29184"/>
  <c r="BO48" i="28416"/>
  <c r="AQ84" i="8192"/>
  <c r="CB15" i="29184"/>
  <c r="BB221" i="30041"/>
  <c r="AV140" i="30041"/>
  <c r="AT38" i="30041"/>
  <c r="AQ39" i="30041"/>
  <c r="F38" i="30041"/>
  <c r="AV221" i="30041"/>
  <c r="AX140" i="30041"/>
  <c r="AX81" i="8192"/>
  <c r="BB81" i="8192"/>
  <c r="AZ221" i="30041"/>
  <c r="BA221" i="30041"/>
  <c r="AW81" i="8192"/>
  <c r="AX221" i="30041"/>
  <c r="AQ27" i="8192"/>
  <c r="AR26" i="8192"/>
  <c r="BT82" i="8192"/>
  <c r="CG339" i="30041"/>
  <c r="AY37" i="30041"/>
  <c r="AY221" i="30041"/>
  <c r="AQ144" i="30041"/>
  <c r="E8" i="30041"/>
  <c r="AZ144" i="30041"/>
  <c r="AY143" i="30041"/>
  <c r="BO49" i="28416"/>
  <c r="D9" i="30041"/>
  <c r="AX26" i="8192"/>
  <c r="CG341" i="30041"/>
  <c r="AV142" i="30041"/>
  <c r="AU81" i="8192"/>
  <c r="AX141" i="30041"/>
  <c r="AU143" i="30041"/>
  <c r="BA84" i="8192"/>
  <c r="AS84" i="8192"/>
  <c r="AZ84" i="8192"/>
  <c r="BA144" i="30041"/>
  <c r="AY144" i="30041"/>
  <c r="AZ81" i="8192"/>
  <c r="AQ141" i="30041"/>
  <c r="AQ143" i="30041"/>
  <c r="AU141" i="30041"/>
  <c r="BT53" i="28416"/>
  <c r="AY140" i="30041"/>
  <c r="CG143" i="30041"/>
  <c r="CG140" i="30041"/>
  <c r="F225" i="30041"/>
  <c r="E225" i="30041"/>
  <c r="I225" i="30041"/>
  <c r="D225" i="30041"/>
  <c r="CG221" i="30041"/>
  <c r="CG222" i="30041"/>
  <c r="AY142" i="30041"/>
  <c r="BA81" i="8192"/>
  <c r="AT84" i="8192"/>
  <c r="BB84" i="8192"/>
  <c r="AU144" i="30041"/>
  <c r="AV144" i="30041"/>
  <c r="AS81" i="8192"/>
  <c r="AY141" i="30041"/>
  <c r="AU142" i="30041"/>
  <c r="AV81" i="8192"/>
  <c r="AQ91" i="30041"/>
  <c r="I223" i="30041"/>
  <c r="D223" i="30041"/>
  <c r="E223" i="30041"/>
  <c r="F223" i="30041"/>
  <c r="CG224" i="30041"/>
  <c r="CG225" i="30041"/>
  <c r="AT81" i="8192"/>
  <c r="AW84" i="8192"/>
  <c r="AX144" i="30041"/>
  <c r="AT144" i="30041"/>
  <c r="AW80" i="8192"/>
  <c r="AV141" i="30041"/>
  <c r="AV143" i="30041"/>
  <c r="AY81" i="8192"/>
  <c r="AV7" i="8192"/>
  <c r="BB88" i="30041"/>
  <c r="AW144" i="30041"/>
  <c r="BB144" i="30041"/>
  <c r="I140" i="30041"/>
  <c r="AR141" i="30041" s="1"/>
  <c r="D140" i="30041"/>
  <c r="E140" i="30041"/>
  <c r="F140" i="30041"/>
  <c r="BA141" i="30041"/>
  <c r="AT141" i="30041"/>
  <c r="AS141" i="30041"/>
  <c r="BB141" i="30041"/>
  <c r="AZ141" i="30041"/>
  <c r="AW141" i="30041"/>
  <c r="AS143" i="30041"/>
  <c r="AT143" i="30041"/>
  <c r="AX143" i="30041"/>
  <c r="AZ143" i="30041"/>
  <c r="BA143" i="30041"/>
  <c r="BB143" i="30041"/>
  <c r="AW143" i="30041"/>
  <c r="AQ114" i="29184"/>
  <c r="AQ115" i="29184"/>
  <c r="AQ117" i="29184"/>
  <c r="AQ119" i="29184"/>
  <c r="AQ116" i="29184"/>
  <c r="F80" i="8192"/>
  <c r="E80" i="8192"/>
  <c r="I80" i="8192"/>
  <c r="AR82" i="8192" s="1"/>
  <c r="D80" i="8192"/>
  <c r="BB340" i="30041"/>
  <c r="AS340" i="30041"/>
  <c r="AT340" i="30041"/>
  <c r="AU340" i="30041"/>
  <c r="AQ340" i="30041"/>
  <c r="AY340" i="30041"/>
  <c r="AV340" i="30041"/>
  <c r="BA340" i="30041"/>
  <c r="AZ340" i="30041"/>
  <c r="AX340" i="30041"/>
  <c r="AW340" i="30041"/>
  <c r="AV344" i="30041"/>
  <c r="AT344" i="30041"/>
  <c r="AZ344" i="30041"/>
  <c r="BB344" i="30041"/>
  <c r="AW344" i="30041"/>
  <c r="BA344" i="30041"/>
  <c r="AX344" i="30041"/>
  <c r="AS344" i="30041"/>
  <c r="AQ344" i="30041"/>
  <c r="AU344" i="30041"/>
  <c r="AY344" i="30041"/>
  <c r="F343" i="30041"/>
  <c r="I343" i="30041"/>
  <c r="AQ82" i="8192"/>
  <c r="AY82" i="8192"/>
  <c r="E37" i="30041"/>
  <c r="AS82" i="8192"/>
  <c r="AS25" i="8192"/>
  <c r="E25" i="8192"/>
  <c r="BT83" i="8192"/>
  <c r="AS7" i="30041"/>
  <c r="CG9" i="30041"/>
  <c r="CG338" i="30041"/>
  <c r="D143" i="30041"/>
  <c r="F143" i="30041"/>
  <c r="D81" i="8192"/>
  <c r="E81" i="8192"/>
  <c r="E341" i="30041"/>
  <c r="F341" i="30041"/>
  <c r="AT339" i="30041"/>
  <c r="AV339" i="30041"/>
  <c r="BA339" i="30041"/>
  <c r="AW339" i="30041"/>
  <c r="AX339" i="30041"/>
  <c r="AQ339" i="30041"/>
  <c r="AZ339" i="30041"/>
  <c r="AU339" i="30041"/>
  <c r="AY339" i="30041"/>
  <c r="BB339" i="30041"/>
  <c r="AS339" i="30041"/>
  <c r="AS142" i="30041"/>
  <c r="BA142" i="30041"/>
  <c r="AT142" i="30041"/>
  <c r="BB142" i="30041"/>
  <c r="AW142" i="30041"/>
  <c r="AS144" i="30041"/>
  <c r="I338" i="30041"/>
  <c r="AR338" i="30041" s="1"/>
  <c r="D338" i="30041"/>
  <c r="E338" i="30041"/>
  <c r="F338" i="30041"/>
  <c r="AQ341" i="30041"/>
  <c r="AT341" i="30041"/>
  <c r="AY341" i="30041"/>
  <c r="BB341" i="30041"/>
  <c r="BA341" i="30041"/>
  <c r="AZ341" i="30041"/>
  <c r="AS341" i="30041"/>
  <c r="AV341" i="30041"/>
  <c r="AU341" i="30041"/>
  <c r="AX341" i="30041"/>
  <c r="AW341" i="30041"/>
  <c r="I342" i="30041"/>
  <c r="F342" i="30041"/>
  <c r="BA343" i="30041"/>
  <c r="AY343" i="30041"/>
  <c r="AT343" i="30041"/>
  <c r="AZ343" i="30041"/>
  <c r="AS343" i="30041"/>
  <c r="AW343" i="30041"/>
  <c r="BB343" i="30041"/>
  <c r="AV343" i="30041"/>
  <c r="AX343" i="30041"/>
  <c r="AU343" i="30041"/>
  <c r="AQ343" i="30041"/>
  <c r="BT50" i="28416"/>
  <c r="BT51" i="28416" s="1"/>
  <c r="BT54" i="28416"/>
  <c r="AW82" i="8192"/>
  <c r="AR126" i="8192"/>
  <c r="E27" i="8192"/>
  <c r="AX82" i="8192"/>
  <c r="AZ82" i="8192"/>
  <c r="F25" i="8192"/>
  <c r="AW8" i="30041"/>
  <c r="AT26" i="8192"/>
  <c r="AV25" i="8192"/>
  <c r="CG141" i="30041"/>
  <c r="CG343" i="30041"/>
  <c r="AX142" i="30041"/>
  <c r="F82" i="8192"/>
  <c r="D82" i="8192"/>
  <c r="F144" i="30041"/>
  <c r="D144" i="30041"/>
  <c r="AT140" i="30041"/>
  <c r="BB140" i="30041"/>
  <c r="AZ140" i="30041"/>
  <c r="AW140" i="30041"/>
  <c r="AS140" i="30041"/>
  <c r="BA140" i="30041"/>
  <c r="BB342" i="30041"/>
  <c r="AY342" i="30041"/>
  <c r="AQ342" i="30041"/>
  <c r="AT342" i="30041"/>
  <c r="AX342" i="30041"/>
  <c r="AW342" i="30041"/>
  <c r="AS342" i="30041"/>
  <c r="AV342" i="30041"/>
  <c r="BA342" i="30041"/>
  <c r="AU342" i="30041"/>
  <c r="AZ342" i="30041"/>
  <c r="AQ338" i="30041"/>
  <c r="AS338" i="30041"/>
  <c r="AZ338" i="30041"/>
  <c r="BA338" i="30041"/>
  <c r="BB338" i="30041"/>
  <c r="AX338" i="30041"/>
  <c r="AU338" i="30041"/>
  <c r="AW338" i="30041"/>
  <c r="AV338" i="30041"/>
  <c r="AY338" i="30041"/>
  <c r="AT338" i="30041"/>
  <c r="AU82" i="8192"/>
  <c r="AV82" i="8192"/>
  <c r="BB82" i="8192"/>
  <c r="AS26" i="8192"/>
  <c r="BT81" i="8192"/>
  <c r="CG340" i="30041"/>
  <c r="CG342" i="30041"/>
  <c r="AZ142" i="30041"/>
  <c r="AQ118" i="29184"/>
  <c r="E144" i="30041"/>
  <c r="I144" i="30041"/>
  <c r="I143" i="30041"/>
  <c r="E143" i="30041"/>
  <c r="E142" i="30041"/>
  <c r="F142" i="30041"/>
  <c r="D142" i="30041"/>
  <c r="F83" i="8192"/>
  <c r="E83" i="8192"/>
  <c r="D83" i="8192"/>
  <c r="I82" i="8192"/>
  <c r="E82" i="8192"/>
  <c r="I81" i="8192"/>
  <c r="F81" i="8192"/>
  <c r="D341" i="30041"/>
  <c r="I341" i="30041"/>
  <c r="E342" i="30041"/>
  <c r="D342" i="30041"/>
  <c r="E339" i="30041"/>
  <c r="I339" i="30041"/>
  <c r="F339" i="30041"/>
  <c r="D339" i="30041"/>
  <c r="D343" i="30041"/>
  <c r="E343" i="30041"/>
  <c r="F340" i="30041"/>
  <c r="D340" i="30041"/>
  <c r="I340" i="30041"/>
  <c r="E340" i="30041"/>
  <c r="F344" i="30041"/>
  <c r="I344" i="30041"/>
  <c r="E344" i="30041"/>
  <c r="D344" i="30041"/>
  <c r="BB8" i="8192"/>
  <c r="AZ8" i="8192"/>
  <c r="F88" i="30041"/>
  <c r="AY89" i="30041"/>
  <c r="BA39" i="30041"/>
  <c r="BR47" i="28416"/>
  <c r="BR49" i="28416" s="1"/>
  <c r="AZ7" i="30041"/>
  <c r="AX25" i="8192"/>
  <c r="BB37" i="30041"/>
  <c r="BT7" i="8192"/>
  <c r="AQ37" i="30041"/>
  <c r="D8" i="30041"/>
  <c r="CG37" i="30041"/>
  <c r="BT8" i="8192"/>
  <c r="D88" i="30041"/>
  <c r="I38" i="30041"/>
  <c r="D37" i="30041"/>
  <c r="AV26" i="8192"/>
  <c r="I8" i="30041"/>
  <c r="B128" i="28416"/>
  <c r="BA25" i="8192"/>
  <c r="AT25" i="8192"/>
  <c r="AZ27" i="8192"/>
  <c r="BB7" i="8192"/>
  <c r="BT26" i="8192"/>
  <c r="AY25" i="8192"/>
  <c r="AV27" i="8192"/>
  <c r="BT9" i="8192"/>
  <c r="BT54" i="8192"/>
  <c r="BT27" i="8192"/>
  <c r="BA8" i="8192"/>
  <c r="AQ9" i="8192"/>
  <c r="F39" i="30041"/>
  <c r="AS27" i="8192"/>
  <c r="I26" i="8192"/>
  <c r="D27" i="8192"/>
  <c r="AY26" i="8192"/>
  <c r="AW38" i="30041"/>
  <c r="AX39" i="30041"/>
  <c r="AT27" i="8192"/>
  <c r="BA38" i="30041"/>
  <c r="AX8" i="8192"/>
  <c r="AT7" i="30041"/>
  <c r="E26" i="8192"/>
  <c r="AT89" i="30041"/>
  <c r="AS37" i="30041"/>
  <c r="I27" i="8192"/>
  <c r="BA27" i="8192"/>
  <c r="AY27" i="8192"/>
  <c r="AT39" i="30041"/>
  <c r="AZ25" i="8192"/>
  <c r="AX27" i="8192"/>
  <c r="AU27" i="8192"/>
  <c r="CG8" i="30041"/>
  <c r="BA7" i="30041"/>
  <c r="AY7" i="30041"/>
  <c r="AU37" i="30041"/>
  <c r="AV39" i="30041"/>
  <c r="AT37" i="30041"/>
  <c r="AQ7" i="30041"/>
  <c r="AX7" i="30041"/>
  <c r="BB7" i="30041"/>
  <c r="AZ38" i="30041"/>
  <c r="AQ8" i="8192"/>
  <c r="AX37" i="30041"/>
  <c r="AW37" i="30041"/>
  <c r="AZ26" i="8192"/>
  <c r="AQ38" i="30041"/>
  <c r="AU8" i="8192"/>
  <c r="BA9" i="8192"/>
  <c r="AQ7" i="8192"/>
  <c r="AV37" i="30041"/>
  <c r="AW27" i="8192"/>
  <c r="AV7" i="30041"/>
  <c r="AS39" i="30041"/>
  <c r="AW39" i="30041"/>
  <c r="AX7" i="8192"/>
  <c r="BB39" i="30041"/>
  <c r="AY39" i="30041"/>
  <c r="BB27" i="8192"/>
  <c r="AV9" i="30041"/>
  <c r="AU7" i="30041"/>
  <c r="CG39" i="30041"/>
  <c r="AW7" i="30041"/>
  <c r="AY9" i="8192"/>
  <c r="BB9" i="8192"/>
  <c r="AW89" i="30041"/>
  <c r="AZ39" i="30041"/>
  <c r="AU39" i="30041"/>
  <c r="AZ7" i="8192"/>
  <c r="AS8" i="8192"/>
  <c r="AV8" i="8192"/>
  <c r="AW8" i="8192"/>
  <c r="AS89" i="30041"/>
  <c r="AV9" i="8192"/>
  <c r="AS9" i="8192"/>
  <c r="AT9" i="8192"/>
  <c r="F9" i="8192"/>
  <c r="E39" i="30041"/>
  <c r="AT7" i="8192"/>
  <c r="E38" i="30041"/>
  <c r="BA37" i="30041"/>
  <c r="AZ37" i="30041"/>
  <c r="AX89" i="30041"/>
  <c r="AV89" i="30041"/>
  <c r="AY7" i="8192"/>
  <c r="AQ89" i="30041"/>
  <c r="CG88" i="30041"/>
  <c r="CG90" i="30041"/>
  <c r="AU7" i="8192"/>
  <c r="BA8" i="30041"/>
  <c r="AZ8" i="30041"/>
  <c r="AU8" i="30041"/>
  <c r="BB8" i="30041"/>
  <c r="AS8" i="30041"/>
  <c r="AX8" i="30041"/>
  <c r="AQ8" i="30041"/>
  <c r="AY8" i="30041"/>
  <c r="AV8" i="30041"/>
  <c r="AY38" i="30041"/>
  <c r="AT8" i="30041"/>
  <c r="CG7" i="30041"/>
  <c r="AS38" i="30041"/>
  <c r="AS9" i="30041"/>
  <c r="AU9" i="30041"/>
  <c r="AY9" i="30041"/>
  <c r="AX9" i="30041"/>
  <c r="AZ9" i="30041"/>
  <c r="BA9" i="30041"/>
  <c r="BB9" i="30041"/>
  <c r="AU9" i="8192"/>
  <c r="D9" i="8192"/>
  <c r="BB89" i="30041"/>
  <c r="AT9" i="30041"/>
  <c r="AY8" i="8192"/>
  <c r="AT8" i="8192"/>
  <c r="AZ9" i="8192"/>
  <c r="AX9" i="8192"/>
  <c r="AS7" i="8192"/>
  <c r="AT88" i="30041"/>
  <c r="BA7" i="8192"/>
  <c r="BT52" i="8192"/>
  <c r="AW7" i="8192"/>
  <c r="AT90" i="30041"/>
  <c r="BA89" i="30041"/>
  <c r="AX91" i="30041"/>
  <c r="AZ89" i="30041"/>
  <c r="E7" i="30041"/>
  <c r="F7" i="30041"/>
  <c r="I7" i="30041"/>
  <c r="D7" i="30041"/>
  <c r="AX38" i="30041"/>
  <c r="AU38" i="30041"/>
  <c r="AV38" i="30041"/>
  <c r="BB38" i="30041"/>
  <c r="CG38" i="30041"/>
  <c r="AQ9" i="30041"/>
  <c r="AS91" i="30041"/>
  <c r="BB90" i="30041"/>
  <c r="BA90" i="30041"/>
  <c r="AY88" i="30041"/>
  <c r="AV54" i="8192"/>
  <c r="AY91" i="30041"/>
  <c r="AS88" i="30041"/>
  <c r="AW91" i="30041"/>
  <c r="AW88" i="30041"/>
  <c r="BB91" i="30041"/>
  <c r="AT91" i="30041"/>
  <c r="AZ90" i="30041"/>
  <c r="AU88" i="30041"/>
  <c r="D91" i="30041"/>
  <c r="E91" i="30041"/>
  <c r="F91" i="30041"/>
  <c r="I91" i="30041"/>
  <c r="AV90" i="30041"/>
  <c r="AV88" i="30041"/>
  <c r="D53" i="8192"/>
  <c r="E53" i="8192"/>
  <c r="I53" i="8192"/>
  <c r="F53" i="8192"/>
  <c r="AQ53" i="8192"/>
  <c r="AX53" i="8192"/>
  <c r="AW53" i="8192"/>
  <c r="AY53" i="8192"/>
  <c r="AU53" i="8192"/>
  <c r="BA53" i="8192"/>
  <c r="AS53" i="8192"/>
  <c r="BB53" i="8192"/>
  <c r="AT53" i="8192"/>
  <c r="AZ53" i="8192"/>
  <c r="AV53" i="8192"/>
  <c r="AS90" i="30041"/>
  <c r="AW90" i="30041"/>
  <c r="AQ90" i="30041"/>
  <c r="AZ91" i="30041"/>
  <c r="AU90" i="30041"/>
  <c r="AZ88" i="30041"/>
  <c r="BA88" i="30041"/>
  <c r="AX88" i="30041"/>
  <c r="F52" i="8192"/>
  <c r="I52" i="8192"/>
  <c r="AR55" i="8192" s="1"/>
  <c r="E52" i="8192"/>
  <c r="D52" i="8192"/>
  <c r="BT53" i="8192"/>
  <c r="BT55" i="8192"/>
  <c r="AZ55" i="8192"/>
  <c r="AU55" i="8192"/>
  <c r="AQ55" i="8192"/>
  <c r="BB55" i="8192"/>
  <c r="BA55" i="8192"/>
  <c r="AW55" i="8192"/>
  <c r="AS55" i="8192"/>
  <c r="AY55" i="8192"/>
  <c r="AX55" i="8192"/>
  <c r="AT55" i="8192"/>
  <c r="AV55" i="8192"/>
  <c r="D89" i="30041"/>
  <c r="I89" i="30041"/>
  <c r="F89" i="30041"/>
  <c r="E89" i="30041"/>
  <c r="E90" i="30041"/>
  <c r="I90" i="30041"/>
  <c r="F90" i="30041"/>
  <c r="D90" i="30041"/>
  <c r="CG89" i="30041"/>
  <c r="AY90" i="30041"/>
  <c r="D54" i="8192"/>
  <c r="E54" i="8192"/>
  <c r="F54" i="8192"/>
  <c r="I54" i="8192"/>
  <c r="AX52" i="8192"/>
  <c r="AU52" i="8192"/>
  <c r="BB52" i="8192"/>
  <c r="BA52" i="8192"/>
  <c r="AS52" i="8192"/>
  <c r="AY52" i="8192"/>
  <c r="AW52" i="8192"/>
  <c r="AT52" i="8192"/>
  <c r="AQ52" i="8192"/>
  <c r="AV52" i="8192"/>
  <c r="AZ52" i="8192"/>
  <c r="AV91" i="30041"/>
  <c r="AX90" i="30041"/>
  <c r="BA91" i="30041"/>
  <c r="AU91" i="30041"/>
  <c r="AQ88" i="30041"/>
  <c r="F55" i="8192"/>
  <c r="I55" i="8192"/>
  <c r="D55" i="8192"/>
  <c r="E55" i="8192"/>
  <c r="BB54" i="8192"/>
  <c r="AZ54" i="8192"/>
  <c r="AQ54" i="8192"/>
  <c r="BA54" i="8192"/>
  <c r="AT54" i="8192"/>
  <c r="AW54" i="8192"/>
  <c r="AU54" i="8192"/>
  <c r="AY54" i="8192"/>
  <c r="AX54" i="8192"/>
  <c r="AS54" i="8192"/>
  <c r="CG91" i="30041"/>
  <c r="A44" i="440"/>
  <c r="W44" i="440" s="1"/>
  <c r="A66" i="440"/>
  <c r="W66" i="440" s="1"/>
  <c r="V53" i="440"/>
  <c r="W65" i="440"/>
  <c r="W53" i="440"/>
  <c r="V43" i="440"/>
  <c r="V61" i="440"/>
  <c r="W61" i="440"/>
  <c r="AX85" i="30002"/>
  <c r="AW92" i="30002"/>
  <c r="BJ92" i="30002"/>
  <c r="BK84" i="30002"/>
  <c r="Z61" i="30002"/>
  <c r="AA56" i="30002"/>
  <c r="AL55" i="30002"/>
  <c r="AK61" i="30002"/>
  <c r="AR27" i="8192"/>
  <c r="AR25" i="8192"/>
  <c r="BY102" i="30002"/>
  <c r="BX111" i="30002"/>
  <c r="AL82" i="30002"/>
  <c r="AK88" i="30002"/>
  <c r="BX131" i="30002"/>
  <c r="BY131" i="30002" s="1"/>
  <c r="BY122" i="30002"/>
  <c r="AL74" i="30002"/>
  <c r="AK80" i="30002"/>
  <c r="CM130" i="30002"/>
  <c r="CN130" i="30002" s="1"/>
  <c r="CN120" i="30002"/>
  <c r="AX89" i="30002"/>
  <c r="AW96" i="30002"/>
  <c r="AW87" i="30002"/>
  <c r="AX80" i="30002"/>
  <c r="AO76" i="30002"/>
  <c r="AO71" i="30002"/>
  <c r="AO72" i="30002" s="1"/>
  <c r="AO73" i="30002" s="1"/>
  <c r="AO74" i="30002" s="1"/>
  <c r="AO75" i="30002" s="1"/>
  <c r="AL59" i="30002"/>
  <c r="AK65" i="30002"/>
  <c r="BX123" i="30002"/>
  <c r="BY123" i="30002" s="1"/>
  <c r="BY114" i="30002"/>
  <c r="AK72" i="30002"/>
  <c r="AL66" i="30002"/>
  <c r="A55" i="440"/>
  <c r="W54" i="440"/>
  <c r="V54" i="440"/>
  <c r="V37" i="440"/>
  <c r="A38" i="440"/>
  <c r="W37" i="440"/>
  <c r="AR90" i="30041"/>
  <c r="AR89" i="30041"/>
  <c r="AR91" i="30041"/>
  <c r="AR88" i="30041"/>
  <c r="G44" i="30053"/>
  <c r="F43" i="30053"/>
  <c r="F42" i="30053"/>
  <c r="CJ4" i="8192" a="1"/>
  <c r="AK5" i="29954" l="1"/>
  <c r="J5" i="30010"/>
  <c r="AL5" i="29954"/>
  <c r="AM5" i="29954"/>
  <c r="AN5" i="29954"/>
  <c r="CJ22" i="8192"/>
  <c r="CJ20" i="8192"/>
  <c r="CJ26" i="8192"/>
  <c r="CJ24" i="8192"/>
  <c r="CJ30" i="8192"/>
  <c r="CJ28" i="8192"/>
  <c r="CJ34" i="8192"/>
  <c r="CJ32" i="8192"/>
  <c r="CJ6" i="8192"/>
  <c r="CJ4" i="8192"/>
  <c r="CJ10" i="8192"/>
  <c r="CJ8" i="8192"/>
  <c r="CJ14" i="8192"/>
  <c r="CJ12" i="8192"/>
  <c r="CJ18" i="8192"/>
  <c r="CJ16" i="8192"/>
  <c r="CJ53" i="8192"/>
  <c r="CJ55" i="8192"/>
  <c r="CJ57" i="8192"/>
  <c r="CJ59" i="8192"/>
  <c r="CJ61" i="8192"/>
  <c r="CJ63" i="8192"/>
  <c r="CJ65" i="8192"/>
  <c r="CJ67" i="8192"/>
  <c r="CJ37" i="8192"/>
  <c r="CJ39" i="8192"/>
  <c r="CJ41" i="8192"/>
  <c r="CJ43" i="8192"/>
  <c r="CJ45" i="8192"/>
  <c r="CJ47" i="8192"/>
  <c r="CJ49" i="8192"/>
  <c r="CJ51" i="8192"/>
  <c r="CJ21" i="8192"/>
  <c r="CJ23" i="8192"/>
  <c r="CJ25" i="8192"/>
  <c r="CJ27" i="8192"/>
  <c r="CJ29" i="8192"/>
  <c r="CJ31" i="8192"/>
  <c r="CJ33" i="8192"/>
  <c r="CJ35" i="8192"/>
  <c r="CJ5" i="8192"/>
  <c r="CJ7" i="8192"/>
  <c r="CJ9" i="8192"/>
  <c r="CJ11" i="8192"/>
  <c r="CJ13" i="8192"/>
  <c r="CJ15" i="8192"/>
  <c r="CJ17" i="8192"/>
  <c r="CJ19" i="8192"/>
  <c r="CJ54" i="8192"/>
  <c r="CJ52" i="8192"/>
  <c r="CJ58" i="8192"/>
  <c r="CJ56" i="8192"/>
  <c r="CJ62" i="8192"/>
  <c r="CJ60" i="8192"/>
  <c r="CJ66" i="8192"/>
  <c r="CJ64" i="8192"/>
  <c r="CJ38" i="8192"/>
  <c r="CJ36" i="8192"/>
  <c r="CJ42" i="8192"/>
  <c r="CJ40" i="8192"/>
  <c r="CJ46" i="8192"/>
  <c r="CJ44" i="8192"/>
  <c r="CJ50" i="8192"/>
  <c r="CJ48" i="8192"/>
  <c r="AR52" i="8192"/>
  <c r="S44" i="30027"/>
  <c r="AI5" i="29954"/>
  <c r="BJ121" i="30002"/>
  <c r="BJ129" i="30002" s="1"/>
  <c r="BK129" i="30002" s="1"/>
  <c r="AW119" i="30002"/>
  <c r="AX119" i="30002" s="1"/>
  <c r="AR54" i="8192"/>
  <c r="BJ103" i="30002"/>
  <c r="BK95" i="30002"/>
  <c r="AX74" i="30002"/>
  <c r="AW81" i="30002"/>
  <c r="Z57" i="30002"/>
  <c r="AA52" i="30002"/>
  <c r="AL69" i="30002"/>
  <c r="AK75" i="30002"/>
  <c r="AW100" i="30002"/>
  <c r="AX93" i="30002"/>
  <c r="BK115" i="30002"/>
  <c r="BJ123" i="30002"/>
  <c r="BY106" i="30002"/>
  <c r="BX115" i="30002"/>
  <c r="Z60" i="30002"/>
  <c r="AA55" i="30002"/>
  <c r="BJ104" i="30002"/>
  <c r="BK96" i="30002"/>
  <c r="G4" i="30044"/>
  <c r="A107" i="30019"/>
  <c r="A108" i="30019" s="1"/>
  <c r="N6" i="30008"/>
  <c r="Z3" i="19124"/>
  <c r="AW83" i="30002"/>
  <c r="AX76" i="30002"/>
  <c r="Z68" i="30002"/>
  <c r="AA63" i="30002"/>
  <c r="BK98" i="30002"/>
  <c r="BJ106" i="30002"/>
  <c r="BK121" i="30002"/>
  <c r="BV56" i="28416"/>
  <c r="Z59" i="30002"/>
  <c r="AA54" i="30002"/>
  <c r="BY119" i="30002"/>
  <c r="BX128" i="30002"/>
  <c r="BY128" i="30002" s="1"/>
  <c r="BJ118" i="30002"/>
  <c r="BK110" i="30002"/>
  <c r="BV53" i="28416"/>
  <c r="BV55" i="28416"/>
  <c r="BV52" i="28416"/>
  <c r="AR225" i="30041"/>
  <c r="AR222" i="30041"/>
  <c r="AR223" i="30041"/>
  <c r="AR221" i="30041"/>
  <c r="AR224" i="30041"/>
  <c r="AR121" i="8192"/>
  <c r="AR122" i="8192"/>
  <c r="AR124" i="8192"/>
  <c r="AR123" i="8192"/>
  <c r="AR8" i="8192"/>
  <c r="AR7" i="8192"/>
  <c r="AQ1530" i="29184"/>
  <c r="AQ1516" i="29184"/>
  <c r="AQ947" i="29184"/>
  <c r="AQ953" i="29184"/>
  <c r="AQ1750" i="29184"/>
  <c r="AQ1751" i="29184"/>
  <c r="AQ1526" i="29184"/>
  <c r="AQ1760" i="29184"/>
  <c r="AQ945" i="29184"/>
  <c r="AQ1747" i="29184"/>
  <c r="AQ1748" i="29184"/>
  <c r="AQ1528" i="29184"/>
  <c r="AR37" i="30041"/>
  <c r="AR339" i="30041"/>
  <c r="AR39" i="30041"/>
  <c r="AQ946" i="29184"/>
  <c r="AQ955" i="29184"/>
  <c r="AQ948" i="29184"/>
  <c r="AQ1518" i="29184"/>
  <c r="AQ957" i="29184"/>
  <c r="AQ951" i="29184"/>
  <c r="AQ956" i="29184"/>
  <c r="AQ958" i="29184"/>
  <c r="AQ949" i="29184"/>
  <c r="AQ954" i="29184"/>
  <c r="AQ952" i="29184"/>
  <c r="AQ81" i="8192"/>
  <c r="BA225" i="30041"/>
  <c r="I122" i="8192"/>
  <c r="D122" i="8192"/>
  <c r="F122" i="8192"/>
  <c r="E122" i="8192"/>
  <c r="AQ1755" i="29184"/>
  <c r="AQ1757" i="29184"/>
  <c r="AQ1754" i="29184"/>
  <c r="AQ1752" i="29184"/>
  <c r="AQ1761" i="29184"/>
  <c r="AQ1762" i="29184"/>
  <c r="AQ1749" i="29184"/>
  <c r="AQ1758" i="29184"/>
  <c r="AQ1520" i="29184"/>
  <c r="AQ1525" i="29184"/>
  <c r="AQ1521" i="29184"/>
  <c r="AQ1523" i="29184"/>
  <c r="AQ1529" i="29184"/>
  <c r="AQ1522" i="29184"/>
  <c r="AQ1517" i="29184"/>
  <c r="AQ1514" i="29184"/>
  <c r="AQ1527" i="29184"/>
  <c r="AQ1513" i="29184"/>
  <c r="AQ1524" i="29184"/>
  <c r="AQ1531" i="29184"/>
  <c r="AQ1515" i="29184"/>
  <c r="AQ1519" i="29184"/>
  <c r="AQ950" i="29184"/>
  <c r="AQ944" i="29184"/>
  <c r="AQ1745" i="29184"/>
  <c r="AQ1759" i="29184"/>
  <c r="AQ1763" i="29184"/>
  <c r="AQ943" i="29184"/>
  <c r="AQ1756" i="29184"/>
  <c r="AQ1764" i="29184"/>
  <c r="AQ1746" i="29184"/>
  <c r="BR50" i="28416"/>
  <c r="AR140" i="30041"/>
  <c r="AR144" i="30041"/>
  <c r="AR142" i="30041"/>
  <c r="AR341" i="30041"/>
  <c r="AR343" i="30041"/>
  <c r="AR342" i="30041"/>
  <c r="AR340" i="30041"/>
  <c r="AR344" i="30041"/>
  <c r="AR81" i="8192"/>
  <c r="AR80" i="8192"/>
  <c r="AR83" i="8192"/>
  <c r="AR84" i="8192"/>
  <c r="AR143" i="30041"/>
  <c r="BR48" i="28416"/>
  <c r="BR51" i="28416"/>
  <c r="BR52" i="28416"/>
  <c r="AR9" i="30041"/>
  <c r="AR8" i="30041"/>
  <c r="AR7" i="30041"/>
  <c r="A45" i="440"/>
  <c r="W45" i="440" s="1"/>
  <c r="V66" i="440"/>
  <c r="AR53" i="8192"/>
  <c r="V44" i="440"/>
  <c r="AL72" i="30002"/>
  <c r="AK78" i="30002"/>
  <c r="AK94" i="30002"/>
  <c r="AL88" i="30002"/>
  <c r="BY111" i="30002"/>
  <c r="BX120" i="30002"/>
  <c r="AL61" i="30002"/>
  <c r="AK67" i="30002"/>
  <c r="AX87" i="30002"/>
  <c r="AW94" i="30002"/>
  <c r="BJ100" i="30002"/>
  <c r="BK92" i="30002"/>
  <c r="AL80" i="30002"/>
  <c r="AK86" i="30002"/>
  <c r="AW99" i="30002"/>
  <c r="AX92" i="30002"/>
  <c r="AL65" i="30002"/>
  <c r="AK71" i="30002"/>
  <c r="AO82" i="30002"/>
  <c r="AO77" i="30002"/>
  <c r="AO78" i="30002" s="1"/>
  <c r="AO79" i="30002" s="1"/>
  <c r="AO80" i="30002" s="1"/>
  <c r="AO81" i="30002" s="1"/>
  <c r="AW103" i="30002"/>
  <c r="AX96" i="30002"/>
  <c r="Z66" i="30002"/>
  <c r="AA61" i="30002"/>
  <c r="V38" i="440"/>
  <c r="W38" i="440"/>
  <c r="W55" i="440"/>
  <c r="V55" i="440"/>
  <c r="AD108" i="30019" l="1"/>
  <c r="A109" i="30019"/>
  <c r="V108" i="30019"/>
  <c r="W108" i="30019"/>
  <c r="A68" i="30019"/>
  <c r="CJ3" i="8192"/>
  <c r="AW126" i="30002"/>
  <c r="AX126" i="30002" s="1"/>
  <c r="A132" i="30019"/>
  <c r="AW107" i="30002"/>
  <c r="AX100" i="30002"/>
  <c r="Z62" i="30002"/>
  <c r="AA57" i="30002"/>
  <c r="AK81" i="30002"/>
  <c r="AL75" i="30002"/>
  <c r="AX81" i="30002"/>
  <c r="AW88" i="30002"/>
  <c r="BJ111" i="30002"/>
  <c r="BK103" i="30002"/>
  <c r="BK123" i="30002"/>
  <c r="BJ131" i="30002"/>
  <c r="BK131" i="30002" s="1"/>
  <c r="O6" i="30008"/>
  <c r="Z65" i="30002"/>
  <c r="AA60" i="30002"/>
  <c r="BY115" i="30002"/>
  <c r="BX124" i="30002"/>
  <c r="BY124" i="30002" s="1"/>
  <c r="BK104" i="30002"/>
  <c r="BJ112" i="30002"/>
  <c r="H4" i="30044"/>
  <c r="AA3" i="19124"/>
  <c r="BK106" i="30002"/>
  <c r="BJ114" i="30002"/>
  <c r="AW90" i="30002"/>
  <c r="AX83" i="30002"/>
  <c r="BJ126" i="30002"/>
  <c r="BK126" i="30002" s="1"/>
  <c r="BK118" i="30002"/>
  <c r="Z64" i="30002"/>
  <c r="AA59" i="30002"/>
  <c r="Z73" i="30002"/>
  <c r="AA68" i="30002"/>
  <c r="A46" i="440"/>
  <c r="V46" i="440" s="1"/>
  <c r="V45" i="440"/>
  <c r="AL67" i="30002"/>
  <c r="AK73" i="30002"/>
  <c r="BY120" i="30002"/>
  <c r="BX129" i="30002"/>
  <c r="BY129" i="30002" s="1"/>
  <c r="AW110" i="30002"/>
  <c r="AX103" i="30002"/>
  <c r="AL86" i="30002"/>
  <c r="AK92" i="30002"/>
  <c r="BK100" i="30002"/>
  <c r="BJ108" i="30002"/>
  <c r="AW101" i="30002"/>
  <c r="AX94" i="30002"/>
  <c r="AK84" i="30002"/>
  <c r="AL78" i="30002"/>
  <c r="AA66" i="30002"/>
  <c r="Z71" i="30002"/>
  <c r="AL71" i="30002"/>
  <c r="AK77" i="30002"/>
  <c r="AO83" i="30002"/>
  <c r="AO84" i="30002" s="1"/>
  <c r="AO85" i="30002" s="1"/>
  <c r="AO86" i="30002" s="1"/>
  <c r="AO87" i="30002" s="1"/>
  <c r="AO88" i="30002"/>
  <c r="AO89" i="30002" s="1"/>
  <c r="AO90" i="30002" s="1"/>
  <c r="AO91" i="30002" s="1"/>
  <c r="AO92" i="30002" s="1"/>
  <c r="AO93" i="30002" s="1"/>
  <c r="AX99" i="30002"/>
  <c r="AW106" i="30002"/>
  <c r="AK100" i="30002"/>
  <c r="AL94" i="30002"/>
  <c r="I66" i="30100"/>
  <c r="F66" i="30100"/>
  <c r="D66" i="30100"/>
  <c r="C66" i="30100"/>
  <c r="Q66" i="30100" s="1"/>
  <c r="E65" i="30100"/>
  <c r="F64" i="30100"/>
  <c r="D64" i="30100"/>
  <c r="C64" i="30100"/>
  <c r="Q65" i="30100" s="1"/>
  <c r="R62" i="30100" s="1"/>
  <c r="P63" i="30100"/>
  <c r="K63" i="30100"/>
  <c r="J63" i="30100"/>
  <c r="I63" i="30100"/>
  <c r="H63" i="30100"/>
  <c r="F63" i="30100"/>
  <c r="E63" i="30100"/>
  <c r="D63" i="30100"/>
  <c r="C63" i="30100"/>
  <c r="Y62" i="30100"/>
  <c r="V62" i="30100"/>
  <c r="T62" i="30100"/>
  <c r="S62" i="30100"/>
  <c r="AG62" i="30100" s="1"/>
  <c r="U61" i="30100"/>
  <c r="BE60" i="30100"/>
  <c r="BB60" i="30100"/>
  <c r="AZ60" i="30100"/>
  <c r="AY60" i="30100"/>
  <c r="BM60" i="30100" s="1"/>
  <c r="V60" i="30100"/>
  <c r="T60" i="30100"/>
  <c r="S60" i="30100"/>
  <c r="AG61" i="30100" s="1"/>
  <c r="AH54" i="30100" s="1"/>
  <c r="BA59" i="30100"/>
  <c r="AF59" i="30100"/>
  <c r="AA59" i="30100"/>
  <c r="Z59" i="30100"/>
  <c r="Y59" i="30100"/>
  <c r="X59" i="30100"/>
  <c r="V59" i="30100"/>
  <c r="U59" i="30100"/>
  <c r="T59" i="30100"/>
  <c r="S59" i="30100"/>
  <c r="BB58" i="30100"/>
  <c r="AZ58" i="30100"/>
  <c r="AY58" i="30100"/>
  <c r="BM58" i="30100" s="1"/>
  <c r="I58" i="30100"/>
  <c r="F58" i="30100"/>
  <c r="D58" i="30100"/>
  <c r="C58" i="30100"/>
  <c r="Q58" i="30100" s="1"/>
  <c r="BL57" i="30100"/>
  <c r="BG57" i="30100"/>
  <c r="BF57" i="30100"/>
  <c r="BE57" i="30100"/>
  <c r="BD57" i="30100"/>
  <c r="BB57" i="30100"/>
  <c r="BA57" i="30100"/>
  <c r="AZ57" i="30100"/>
  <c r="AY57" i="30100"/>
  <c r="E57" i="30100"/>
  <c r="F56" i="30100"/>
  <c r="D56" i="30100"/>
  <c r="C56" i="30100"/>
  <c r="Q57" i="30100" s="1"/>
  <c r="R60" i="30100" s="1"/>
  <c r="AX55" i="30100"/>
  <c r="P55" i="30100"/>
  <c r="K55" i="30100"/>
  <c r="J55" i="30100"/>
  <c r="I55" i="30100"/>
  <c r="H55" i="30100"/>
  <c r="F55" i="30100"/>
  <c r="E55" i="30100"/>
  <c r="D55" i="30100"/>
  <c r="C55" i="30100"/>
  <c r="AO54" i="30100"/>
  <c r="AL54" i="30100"/>
  <c r="AJ54" i="30100"/>
  <c r="AI54" i="30100"/>
  <c r="AW54" i="30100" s="1"/>
  <c r="AK53" i="30100"/>
  <c r="AL52" i="30100"/>
  <c r="AJ52" i="30100"/>
  <c r="AI52" i="30100"/>
  <c r="AW53" i="30100" s="1"/>
  <c r="AX38" i="30100" s="1"/>
  <c r="AV51" i="30100"/>
  <c r="AQ51" i="30100"/>
  <c r="AP51" i="30100"/>
  <c r="AO51" i="30100"/>
  <c r="AN51" i="30100"/>
  <c r="AL51" i="30100"/>
  <c r="AK51" i="30100"/>
  <c r="AJ51" i="30100"/>
  <c r="AI51" i="30100"/>
  <c r="I50" i="30100"/>
  <c r="F50" i="30100"/>
  <c r="D50" i="30100"/>
  <c r="C50" i="30100"/>
  <c r="Q50" i="30100" s="1"/>
  <c r="E49" i="30100"/>
  <c r="F48" i="30100"/>
  <c r="D48" i="30100"/>
  <c r="C48" i="30100"/>
  <c r="Q49" i="30100" s="1"/>
  <c r="R46" i="30100" s="1"/>
  <c r="P47" i="30100"/>
  <c r="K47" i="30100"/>
  <c r="J47" i="30100"/>
  <c r="I47" i="30100"/>
  <c r="H47" i="30100"/>
  <c r="F47" i="30100"/>
  <c r="E47" i="30100"/>
  <c r="D47" i="30100"/>
  <c r="C47" i="30100"/>
  <c r="Y46" i="30100"/>
  <c r="V46" i="30100"/>
  <c r="T46" i="30100"/>
  <c r="S46" i="30100"/>
  <c r="AG46" i="30100" s="1"/>
  <c r="U45" i="30100"/>
  <c r="V44" i="30100"/>
  <c r="T44" i="30100"/>
  <c r="S44" i="30100"/>
  <c r="AG45" i="30100" s="1"/>
  <c r="AH52" i="30100" s="1"/>
  <c r="AF43" i="30100"/>
  <c r="AA43" i="30100"/>
  <c r="Z43" i="30100"/>
  <c r="Y43" i="30100"/>
  <c r="X43" i="30100"/>
  <c r="V43" i="30100"/>
  <c r="U43" i="30100"/>
  <c r="T43" i="30100"/>
  <c r="S43" i="30100"/>
  <c r="I42" i="30100"/>
  <c r="F42" i="30100"/>
  <c r="D42" i="30100"/>
  <c r="C42" i="30100"/>
  <c r="Q42" i="30100" s="1"/>
  <c r="E41" i="30100"/>
  <c r="F40" i="30100"/>
  <c r="D40" i="30100"/>
  <c r="C40" i="30100"/>
  <c r="Q41" i="30100" s="1"/>
  <c r="R44" i="30100" s="1"/>
  <c r="P39" i="30100"/>
  <c r="K39" i="30100"/>
  <c r="J39" i="30100"/>
  <c r="I39" i="30100"/>
  <c r="H39" i="30100"/>
  <c r="F39" i="30100"/>
  <c r="E39" i="30100"/>
  <c r="D39" i="30100"/>
  <c r="C39" i="30100"/>
  <c r="BE38" i="30100"/>
  <c r="BB38" i="30100"/>
  <c r="AZ38" i="30100"/>
  <c r="AY38" i="30100"/>
  <c r="BM38" i="30100" s="1"/>
  <c r="BA37" i="30100"/>
  <c r="BB36" i="30100"/>
  <c r="AZ36" i="30100"/>
  <c r="AY36" i="30100"/>
  <c r="BM37" i="30100" s="1"/>
  <c r="BO43" i="30100" s="1"/>
  <c r="BL35" i="30100"/>
  <c r="BG35" i="30100"/>
  <c r="BF35" i="30100"/>
  <c r="BE35" i="30100"/>
  <c r="BD35" i="30100"/>
  <c r="BB35" i="30100"/>
  <c r="BA35" i="30100"/>
  <c r="AZ35" i="30100"/>
  <c r="AY35" i="30100"/>
  <c r="I35" i="30100"/>
  <c r="F35" i="30100"/>
  <c r="D35" i="30100"/>
  <c r="C35" i="30100"/>
  <c r="Q35" i="30100" s="1"/>
  <c r="E34" i="30100"/>
  <c r="F33" i="30100"/>
  <c r="D33" i="30100"/>
  <c r="C33" i="30100"/>
  <c r="Q33" i="30100" s="1"/>
  <c r="P32" i="30100"/>
  <c r="K32" i="30100"/>
  <c r="J32" i="30100"/>
  <c r="I32" i="30100"/>
  <c r="H32" i="30100"/>
  <c r="F32" i="30100"/>
  <c r="E32" i="30100"/>
  <c r="D32" i="30100"/>
  <c r="C32" i="30100"/>
  <c r="Y31" i="30100"/>
  <c r="V31" i="30100"/>
  <c r="T31" i="30100"/>
  <c r="S31" i="30100"/>
  <c r="AG31" i="30100" s="1"/>
  <c r="U30" i="30100"/>
  <c r="V29" i="30100"/>
  <c r="T29" i="30100"/>
  <c r="S29" i="30100"/>
  <c r="AG30" i="30100" s="1"/>
  <c r="AH23" i="30100" s="1"/>
  <c r="AF28" i="30100"/>
  <c r="AA28" i="30100"/>
  <c r="Z28" i="30100"/>
  <c r="Y28" i="30100"/>
  <c r="X28" i="30100"/>
  <c r="V28" i="30100"/>
  <c r="U28" i="30100"/>
  <c r="T28" i="30100"/>
  <c r="S28" i="30100"/>
  <c r="I27" i="30100"/>
  <c r="F27" i="30100"/>
  <c r="D27" i="30100"/>
  <c r="C27" i="30100"/>
  <c r="Q27" i="30100" s="1"/>
  <c r="E26" i="30100"/>
  <c r="F25" i="30100"/>
  <c r="D25" i="30100"/>
  <c r="C25" i="30100"/>
  <c r="Q26" i="30100" s="1"/>
  <c r="R29" i="30100" s="1"/>
  <c r="P24" i="30100"/>
  <c r="K24" i="30100"/>
  <c r="J24" i="30100"/>
  <c r="I24" i="30100"/>
  <c r="H24" i="30100"/>
  <c r="F24" i="30100"/>
  <c r="E24" i="30100"/>
  <c r="D24" i="30100"/>
  <c r="C24" i="30100"/>
  <c r="AO23" i="30100"/>
  <c r="AL23" i="30100"/>
  <c r="AJ23" i="30100"/>
  <c r="AI23" i="30100"/>
  <c r="AW23" i="30100" s="1"/>
  <c r="AK22" i="30100"/>
  <c r="AL21" i="30100"/>
  <c r="AJ21" i="30100"/>
  <c r="AI21" i="30100"/>
  <c r="AW22" i="30100" s="1"/>
  <c r="AX36" i="30100" s="1"/>
  <c r="AV20" i="30100"/>
  <c r="AQ20" i="30100"/>
  <c r="AP20" i="30100"/>
  <c r="AO20" i="30100"/>
  <c r="AN20" i="30100"/>
  <c r="AL20" i="30100"/>
  <c r="AK20" i="30100"/>
  <c r="AJ20" i="30100"/>
  <c r="AI20" i="30100"/>
  <c r="I19" i="30100"/>
  <c r="F19" i="30100"/>
  <c r="D19" i="30100"/>
  <c r="C19" i="30100"/>
  <c r="Q19" i="30100" s="1"/>
  <c r="E18" i="30100"/>
  <c r="F17" i="30100"/>
  <c r="D17" i="30100"/>
  <c r="C17" i="30100"/>
  <c r="Q17" i="30100" s="1"/>
  <c r="P16" i="30100"/>
  <c r="K16" i="30100"/>
  <c r="J16" i="30100"/>
  <c r="I16" i="30100"/>
  <c r="H16" i="30100"/>
  <c r="F16" i="30100"/>
  <c r="E16" i="30100"/>
  <c r="D16" i="30100"/>
  <c r="C16" i="30100"/>
  <c r="Y15" i="30100"/>
  <c r="V15" i="30100"/>
  <c r="T15" i="30100"/>
  <c r="S15" i="30100"/>
  <c r="AG15" i="30100" s="1"/>
  <c r="U14" i="30100"/>
  <c r="V13" i="30100"/>
  <c r="T13" i="30100"/>
  <c r="S13" i="30100"/>
  <c r="AG14" i="30100" s="1"/>
  <c r="AH21" i="30100" s="1"/>
  <c r="AF12" i="30100"/>
  <c r="AA12" i="30100"/>
  <c r="Z12" i="30100"/>
  <c r="Y12" i="30100"/>
  <c r="X12" i="30100"/>
  <c r="V12" i="30100"/>
  <c r="U12" i="30100"/>
  <c r="T12" i="30100"/>
  <c r="S12" i="30100"/>
  <c r="I11" i="30100"/>
  <c r="F11" i="30100"/>
  <c r="D11" i="30100"/>
  <c r="C11" i="30100"/>
  <c r="Q11" i="30100" s="1"/>
  <c r="E10" i="30100"/>
  <c r="F9" i="30100"/>
  <c r="D9" i="30100"/>
  <c r="C9" i="30100"/>
  <c r="Q10" i="30100" s="1"/>
  <c r="R13" i="30100" s="1"/>
  <c r="P8" i="30100"/>
  <c r="K8" i="30100"/>
  <c r="J8" i="30100"/>
  <c r="I8" i="30100"/>
  <c r="H8" i="30100"/>
  <c r="F8" i="30100"/>
  <c r="E8" i="30100"/>
  <c r="D8" i="30100"/>
  <c r="C8" i="30100"/>
  <c r="AX6" i="30100"/>
  <c r="AH6" i="30100"/>
  <c r="R6" i="30100"/>
  <c r="B6" i="30100"/>
  <c r="A110" i="30019" l="1"/>
  <c r="AD109" i="30019"/>
  <c r="W109" i="30019"/>
  <c r="V109" i="30019"/>
  <c r="V68" i="30019"/>
  <c r="AD68" i="30019"/>
  <c r="A69" i="30019"/>
  <c r="A70" i="30019" s="1"/>
  <c r="W68" i="30019"/>
  <c r="A133" i="30019"/>
  <c r="BK111" i="30002"/>
  <c r="BJ119" i="30002"/>
  <c r="AW95" i="30002"/>
  <c r="AX88" i="30002"/>
  <c r="AK87" i="30002"/>
  <c r="AL81" i="30002"/>
  <c r="AA62" i="30002"/>
  <c r="Z67" i="30002"/>
  <c r="AW114" i="30002"/>
  <c r="AX107" i="30002"/>
  <c r="P6" i="30008"/>
  <c r="BJ120" i="30002"/>
  <c r="BK112" i="30002"/>
  <c r="Z70" i="30002"/>
  <c r="AA65" i="30002"/>
  <c r="AB3" i="19124"/>
  <c r="I4" i="30044"/>
  <c r="AA73" i="30002"/>
  <c r="Z78" i="30002"/>
  <c r="BK114" i="30002"/>
  <c r="BJ122" i="30002"/>
  <c r="Z69" i="30002"/>
  <c r="AA64" i="30002"/>
  <c r="AX90" i="30002"/>
  <c r="AW97" i="30002"/>
  <c r="Q56" i="30100"/>
  <c r="AW21" i="30100"/>
  <c r="AW52" i="30100"/>
  <c r="AG29" i="30100"/>
  <c r="W46" i="440"/>
  <c r="BM36" i="30100"/>
  <c r="AG13" i="30100"/>
  <c r="BN44" i="30100"/>
  <c r="BN45" i="30100" s="1"/>
  <c r="BN46" i="30100" s="1"/>
  <c r="Q48" i="30100"/>
  <c r="Q64" i="30100"/>
  <c r="AX58" i="30100"/>
  <c r="AX60" i="30100"/>
  <c r="BO45" i="30100"/>
  <c r="BO44" i="30100"/>
  <c r="AW113" i="30002"/>
  <c r="AX106" i="30002"/>
  <c r="AW108" i="30002"/>
  <c r="AX101" i="30002"/>
  <c r="AX110" i="30002"/>
  <c r="AW117" i="30002"/>
  <c r="Q9" i="30100"/>
  <c r="Q18" i="30100"/>
  <c r="R15" i="30100" s="1"/>
  <c r="Q25" i="30100"/>
  <c r="Q34" i="30100"/>
  <c r="R31" i="30100" s="1"/>
  <c r="Q40" i="30100"/>
  <c r="AK106" i="30002"/>
  <c r="AL100" i="30002"/>
  <c r="AA71" i="30002"/>
  <c r="Z76" i="30002"/>
  <c r="BJ116" i="30002"/>
  <c r="BK108" i="30002"/>
  <c r="AK79" i="30002"/>
  <c r="AL73" i="30002"/>
  <c r="BM59" i="30100"/>
  <c r="AL84" i="30002"/>
  <c r="AK90" i="30002"/>
  <c r="AG44" i="30100"/>
  <c r="AG60" i="30100"/>
  <c r="AK83" i="30002"/>
  <c r="AL77" i="30002"/>
  <c r="AK98" i="30002"/>
  <c r="AL92" i="30002"/>
  <c r="F24" i="30053"/>
  <c r="F18" i="30053"/>
  <c r="A111" i="30019" l="1"/>
  <c r="AD110" i="30019"/>
  <c r="V110" i="30019"/>
  <c r="W110" i="30019"/>
  <c r="A71" i="30019"/>
  <c r="W70" i="30019"/>
  <c r="V70" i="30019"/>
  <c r="AD70" i="30019"/>
  <c r="AD69" i="30019"/>
  <c r="V69" i="30019"/>
  <c r="W69" i="30019"/>
  <c r="AX114" i="30002"/>
  <c r="AW121" i="30002"/>
  <c r="Z72" i="30002"/>
  <c r="AA67" i="30002"/>
  <c r="AX95" i="30002"/>
  <c r="AW102" i="30002"/>
  <c r="AL87" i="30002"/>
  <c r="AK93" i="30002"/>
  <c r="BJ127" i="30002"/>
  <c r="BK127" i="30002" s="1"/>
  <c r="BK119" i="30002"/>
  <c r="BK120" i="30002"/>
  <c r="BJ128" i="30002"/>
  <c r="BK128" i="30002" s="1"/>
  <c r="AA70" i="30002"/>
  <c r="Z75" i="30002"/>
  <c r="Q6" i="30008"/>
  <c r="AC3" i="19124"/>
  <c r="J4" i="30044"/>
  <c r="Z83" i="30002"/>
  <c r="AA78" i="30002"/>
  <c r="Z74" i="30002"/>
  <c r="AA69" i="30002"/>
  <c r="AW104" i="30002"/>
  <c r="AX97" i="30002"/>
  <c r="BK122" i="30002"/>
  <c r="BJ130" i="30002"/>
  <c r="BK130" i="30002" s="1"/>
  <c r="AK85" i="30002"/>
  <c r="AL79" i="30002"/>
  <c r="AX117" i="30002"/>
  <c r="AW124" i="30002"/>
  <c r="AL83" i="30002"/>
  <c r="AK89" i="30002"/>
  <c r="AX108" i="30002"/>
  <c r="AW115" i="30002"/>
  <c r="AL90" i="30002"/>
  <c r="AK96" i="30002"/>
  <c r="BQ46" i="30100"/>
  <c r="BP45" i="30100"/>
  <c r="BK116" i="30002"/>
  <c r="BJ124" i="30002"/>
  <c r="BK124" i="30002" s="1"/>
  <c r="AL106" i="30002"/>
  <c r="AK112" i="30002"/>
  <c r="AL98" i="30002"/>
  <c r="AK104" i="30002"/>
  <c r="Z81" i="30002"/>
  <c r="AA76" i="30002"/>
  <c r="AX113" i="30002"/>
  <c r="AW120" i="30002"/>
  <c r="H27" i="30053"/>
  <c r="F25" i="30053"/>
  <c r="H21" i="30053"/>
  <c r="F19" i="30053"/>
  <c r="AD111" i="30019" l="1"/>
  <c r="V111" i="30019"/>
  <c r="W111" i="30019"/>
  <c r="A112" i="30019"/>
  <c r="V71" i="30019"/>
  <c r="AD71" i="30019"/>
  <c r="W71" i="30019"/>
  <c r="AK99" i="30002"/>
  <c r="AL93" i="30002"/>
  <c r="Z77" i="30002"/>
  <c r="AA72" i="30002"/>
  <c r="AW109" i="30002"/>
  <c r="AX102" i="30002"/>
  <c r="AW128" i="30002"/>
  <c r="AX128" i="30002" s="1"/>
  <c r="AX121" i="30002"/>
  <c r="AA75" i="30002"/>
  <c r="Z80" i="30002"/>
  <c r="AD3" i="19124"/>
  <c r="K4" i="30044"/>
  <c r="R6" i="30008"/>
  <c r="AA74" i="30002"/>
  <c r="Z79" i="30002"/>
  <c r="AW111" i="30002"/>
  <c r="AX104" i="30002"/>
  <c r="Z88" i="30002"/>
  <c r="AA83" i="30002"/>
  <c r="AW127" i="30002"/>
  <c r="AX127" i="30002" s="1"/>
  <c r="AX120" i="30002"/>
  <c r="AK102" i="30002"/>
  <c r="AL96" i="30002"/>
  <c r="AL89" i="30002"/>
  <c r="AK95" i="30002"/>
  <c r="Z86" i="30002"/>
  <c r="AA81" i="30002"/>
  <c r="BQ48" i="30100"/>
  <c r="BQ47" i="30100"/>
  <c r="AW122" i="30002"/>
  <c r="AX115" i="30002"/>
  <c r="AK91" i="30002"/>
  <c r="AL85" i="30002"/>
  <c r="AK110" i="30002"/>
  <c r="AL104" i="30002"/>
  <c r="AK118" i="30002"/>
  <c r="AL112" i="30002"/>
  <c r="BP46" i="30100"/>
  <c r="BP47" i="30100"/>
  <c r="AW131" i="30002"/>
  <c r="AX131" i="30002" s="1"/>
  <c r="AX124" i="30002"/>
  <c r="G26" i="30053"/>
  <c r="F30" i="30053"/>
  <c r="F36" i="30053"/>
  <c r="F31" i="30053"/>
  <c r="F37" i="30053"/>
  <c r="G20" i="30053"/>
  <c r="A113" i="30019" l="1"/>
  <c r="W112" i="30019"/>
  <c r="AD112" i="30019"/>
  <c r="V112" i="30019"/>
  <c r="A86" i="30019"/>
  <c r="AX109" i="30002"/>
  <c r="AW116" i="30002"/>
  <c r="AA77" i="30002"/>
  <c r="Z82" i="30002"/>
  <c r="AL99" i="30002"/>
  <c r="AK105" i="30002"/>
  <c r="Z85" i="30002"/>
  <c r="AA80" i="30002"/>
  <c r="L4" i="30044"/>
  <c r="AE3" i="19124"/>
  <c r="S6" i="30008"/>
  <c r="AJ3" i="19124"/>
  <c r="Z93" i="30002"/>
  <c r="AA88" i="30002"/>
  <c r="AA79" i="30002"/>
  <c r="Z84" i="30002"/>
  <c r="AX111" i="30002"/>
  <c r="AW118" i="30002"/>
  <c r="AD6" i="30008"/>
  <c r="AB6" i="30008"/>
  <c r="AN3" i="19124"/>
  <c r="X6" i="30008"/>
  <c r="AK108" i="30002"/>
  <c r="AL102" i="30002"/>
  <c r="AL118" i="30002"/>
  <c r="AK124" i="30002"/>
  <c r="AO3" i="19124"/>
  <c r="AP3" i="19124"/>
  <c r="AL95" i="30002"/>
  <c r="AK101" i="30002"/>
  <c r="AK97" i="30002"/>
  <c r="AL91" i="30002"/>
  <c r="AA86" i="30002"/>
  <c r="Z91" i="30002"/>
  <c r="AX122" i="30002"/>
  <c r="AW129" i="30002"/>
  <c r="AX129" i="30002" s="1"/>
  <c r="AK116" i="30002"/>
  <c r="AL110" i="30002"/>
  <c r="AC6" i="30008"/>
  <c r="H33" i="30053"/>
  <c r="H39" i="30053"/>
  <c r="V113" i="30019" l="1"/>
  <c r="AD113" i="30019"/>
  <c r="W113" i="30019"/>
  <c r="A114" i="30019"/>
  <c r="A72" i="30019"/>
  <c r="A87" i="30019"/>
  <c r="AD86" i="30019"/>
  <c r="V86" i="30019"/>
  <c r="W86" i="30019"/>
  <c r="A95" i="30019"/>
  <c r="AK3" i="19124"/>
  <c r="Y6" i="30008"/>
  <c r="AA82" i="30002"/>
  <c r="Z87" i="30002"/>
  <c r="AL105" i="30002"/>
  <c r="AK111" i="30002"/>
  <c r="AX116" i="30002"/>
  <c r="AW123" i="30002"/>
  <c r="V6" i="30008"/>
  <c r="O4" i="30044"/>
  <c r="AH3" i="19124"/>
  <c r="T6" i="30008"/>
  <c r="AF3" i="19124"/>
  <c r="AA85" i="30002"/>
  <c r="Z90" i="30002"/>
  <c r="M4" i="30044"/>
  <c r="Z89" i="30002"/>
  <c r="AA84" i="30002"/>
  <c r="AX118" i="30002"/>
  <c r="AW125" i="30002"/>
  <c r="AX125" i="30002" s="1"/>
  <c r="Z98" i="30002"/>
  <c r="AA93" i="30002"/>
  <c r="AA91" i="30002"/>
  <c r="Z96" i="30002"/>
  <c r="AK122" i="30002"/>
  <c r="AL116" i="30002"/>
  <c r="AL101" i="30002"/>
  <c r="AK107" i="30002"/>
  <c r="AL124" i="30002"/>
  <c r="AK130" i="30002"/>
  <c r="AL130" i="30002" s="1"/>
  <c r="AL108" i="30002"/>
  <c r="AK114" i="30002"/>
  <c r="AL97" i="30002"/>
  <c r="AK103" i="30002"/>
  <c r="G32" i="30053"/>
  <c r="G38" i="30053"/>
  <c r="F7" i="30053"/>
  <c r="F12" i="30053"/>
  <c r="F13" i="30053"/>
  <c r="F6" i="30053"/>
  <c r="AD114" i="30019" l="1"/>
  <c r="A115" i="30019"/>
  <c r="V114" i="30019"/>
  <c r="W114" i="30019"/>
  <c r="A73" i="30019"/>
  <c r="A74" i="30019" s="1"/>
  <c r="V72" i="30019"/>
  <c r="AD72" i="30019"/>
  <c r="W72" i="30019"/>
  <c r="A96" i="30019"/>
  <c r="V95" i="30019"/>
  <c r="W95" i="30019"/>
  <c r="AD95" i="30019"/>
  <c r="A88" i="30019"/>
  <c r="AD87" i="30019"/>
  <c r="V87" i="30019"/>
  <c r="W87" i="30019"/>
  <c r="G52" i="19124"/>
  <c r="G57" i="19124"/>
  <c r="G44" i="19124"/>
  <c r="G56" i="19124"/>
  <c r="G53" i="19124"/>
  <c r="G41" i="19124"/>
  <c r="G59" i="19124"/>
  <c r="G47" i="19124"/>
  <c r="G32" i="19124"/>
  <c r="G51" i="19124"/>
  <c r="G54" i="19124"/>
  <c r="G34" i="19124"/>
  <c r="G18" i="19124"/>
  <c r="G48" i="19124"/>
  <c r="G62" i="19124"/>
  <c r="G33" i="19124"/>
  <c r="G58" i="19124"/>
  <c r="G50" i="19124"/>
  <c r="G16" i="19124"/>
  <c r="G55" i="19124"/>
  <c r="G61" i="19124"/>
  <c r="G8" i="19124"/>
  <c r="G10" i="19124"/>
  <c r="G49" i="19124"/>
  <c r="G60" i="19124"/>
  <c r="G42" i="19124"/>
  <c r="G38" i="19124"/>
  <c r="G45" i="19124"/>
  <c r="G24" i="19124"/>
  <c r="G15" i="19124"/>
  <c r="G17" i="19124"/>
  <c r="G20" i="19124"/>
  <c r="G40" i="19124"/>
  <c r="G12" i="19124"/>
  <c r="G9" i="19124"/>
  <c r="G29" i="19124"/>
  <c r="G4" i="19124"/>
  <c r="G25" i="19124"/>
  <c r="G6" i="19124"/>
  <c r="G31" i="19124"/>
  <c r="G43" i="19124"/>
  <c r="G30" i="19124"/>
  <c r="G46" i="19124"/>
  <c r="G39" i="19124"/>
  <c r="G26" i="19124"/>
  <c r="G19" i="19124"/>
  <c r="G11" i="19124"/>
  <c r="G14" i="19124"/>
  <c r="G7" i="19124"/>
  <c r="G27" i="19124"/>
  <c r="G23" i="19124"/>
  <c r="G22" i="19124"/>
  <c r="G35" i="19124"/>
  <c r="G21" i="19124"/>
  <c r="G37" i="19124"/>
  <c r="G28" i="19124"/>
  <c r="G13" i="19124"/>
  <c r="G5" i="19124"/>
  <c r="G36" i="19124"/>
  <c r="AA6" i="30008"/>
  <c r="AM3" i="19124"/>
  <c r="Z6" i="30008"/>
  <c r="AL3" i="19124"/>
  <c r="AL111" i="30002"/>
  <c r="AK117" i="30002"/>
  <c r="AW130" i="30002"/>
  <c r="AX130" i="30002" s="1"/>
  <c r="AX123" i="30002"/>
  <c r="Z92" i="30002"/>
  <c r="AA87" i="30002"/>
  <c r="AI3" i="19124"/>
  <c r="W6" i="30008"/>
  <c r="P4" i="30044"/>
  <c r="Z95" i="30002"/>
  <c r="AA90" i="30002"/>
  <c r="U6" i="30008"/>
  <c r="N4" i="30044"/>
  <c r="AG3" i="19124"/>
  <c r="AA98" i="30002"/>
  <c r="Z103" i="30002"/>
  <c r="AA89" i="30002"/>
  <c r="Z94" i="30002"/>
  <c r="AK128" i="30002"/>
  <c r="AL128" i="30002" s="1"/>
  <c r="AL122" i="30002"/>
  <c r="AL114" i="30002"/>
  <c r="AK120" i="30002"/>
  <c r="AK109" i="30002"/>
  <c r="AL103" i="30002"/>
  <c r="AL107" i="30002"/>
  <c r="AK113" i="30002"/>
  <c r="Z101" i="30002"/>
  <c r="AA96" i="30002"/>
  <c r="H9" i="30053"/>
  <c r="H15" i="30053"/>
  <c r="A116" i="30019" l="1"/>
  <c r="W115" i="30019"/>
  <c r="AD115" i="30019"/>
  <c r="V115" i="30019"/>
  <c r="A75" i="30019"/>
  <c r="V74" i="30019"/>
  <c r="AD74" i="30019"/>
  <c r="W74" i="30019"/>
  <c r="V73" i="30019"/>
  <c r="W73" i="30019"/>
  <c r="AD73" i="30019"/>
  <c r="AD96" i="30019"/>
  <c r="A97" i="30019"/>
  <c r="V96" i="30019"/>
  <c r="W96" i="30019"/>
  <c r="A89" i="30019"/>
  <c r="A90" i="30019" s="1"/>
  <c r="AD88" i="30019"/>
  <c r="W88" i="30019"/>
  <c r="V88" i="30019"/>
  <c r="AK123" i="30002"/>
  <c r="AL117" i="30002"/>
  <c r="AA92" i="30002"/>
  <c r="Z97" i="30002"/>
  <c r="AA95" i="30002"/>
  <c r="Z100" i="30002"/>
  <c r="AA103" i="30002"/>
  <c r="Z108" i="30002"/>
  <c r="AA94" i="30002"/>
  <c r="Z99" i="30002"/>
  <c r="AK126" i="30002"/>
  <c r="AL126" i="30002" s="1"/>
  <c r="AL120" i="30002"/>
  <c r="AK119" i="30002"/>
  <c r="AL113" i="30002"/>
  <c r="AA101" i="30002"/>
  <c r="Z106" i="30002"/>
  <c r="AK115" i="30002"/>
  <c r="AL109" i="30002"/>
  <c r="G14" i="30053"/>
  <c r="G8" i="30053"/>
  <c r="AD116" i="30019" l="1"/>
  <c r="V116" i="30019"/>
  <c r="A117" i="30019"/>
  <c r="W116" i="30019"/>
  <c r="A91" i="30019"/>
  <c r="W90" i="30019"/>
  <c r="AD90" i="30019"/>
  <c r="V90" i="30019"/>
  <c r="W75" i="30019"/>
  <c r="V75" i="30019"/>
  <c r="AD75" i="30019"/>
  <c r="AD89" i="30019"/>
  <c r="V89" i="30019"/>
  <c r="W89" i="30019"/>
  <c r="A98" i="30019"/>
  <c r="A99" i="30019" s="1"/>
  <c r="V97" i="30019"/>
  <c r="AD97" i="30019"/>
  <c r="W97" i="30019"/>
  <c r="Z102" i="30002"/>
  <c r="AA97" i="30002"/>
  <c r="AL123" i="30002"/>
  <c r="AK129" i="30002"/>
  <c r="AL129" i="30002" s="1"/>
  <c r="AA100" i="30002"/>
  <c r="Z105" i="30002"/>
  <c r="AA108" i="30002"/>
  <c r="Z113" i="30002"/>
  <c r="Z104" i="30002"/>
  <c r="AA99" i="30002"/>
  <c r="Z111" i="30002"/>
  <c r="AA106" i="30002"/>
  <c r="AK121" i="30002"/>
  <c r="AL115" i="30002"/>
  <c r="AK125" i="30002"/>
  <c r="AL119" i="30002"/>
  <c r="V117" i="30019" l="1"/>
  <c r="W117" i="30019"/>
  <c r="AD117" i="30019"/>
  <c r="A118" i="30019"/>
  <c r="A92" i="30019"/>
  <c r="AD91" i="30019"/>
  <c r="W91" i="30019"/>
  <c r="V91" i="30019"/>
  <c r="A100" i="30019"/>
  <c r="AD99" i="30019"/>
  <c r="W99" i="30019"/>
  <c r="V99" i="30019"/>
  <c r="V98" i="30019"/>
  <c r="W98" i="30019"/>
  <c r="AD98" i="30019"/>
  <c r="Z107" i="30002"/>
  <c r="AA102" i="30002"/>
  <c r="AA105" i="30002"/>
  <c r="Z110" i="30002"/>
  <c r="Z109" i="30002"/>
  <c r="AA104" i="30002"/>
  <c r="AA113" i="30002"/>
  <c r="Z118" i="30002"/>
  <c r="AL121" i="30002"/>
  <c r="AK127" i="30002"/>
  <c r="AL127" i="30002" s="1"/>
  <c r="Z116" i="30002"/>
  <c r="AA111" i="30002"/>
  <c r="AL125" i="30002"/>
  <c r="AK131" i="30002"/>
  <c r="AL131" i="30002" s="1"/>
  <c r="W118" i="30019" l="1"/>
  <c r="A119" i="30019"/>
  <c r="V118" i="30019"/>
  <c r="AD118" i="30019"/>
  <c r="AD92" i="30019"/>
  <c r="V92" i="30019"/>
  <c r="W92" i="30019"/>
  <c r="A93" i="30019"/>
  <c r="A101" i="30019"/>
  <c r="AD100" i="30019"/>
  <c r="V100" i="30019"/>
  <c r="W100" i="30019"/>
  <c r="AA107" i="30002"/>
  <c r="Z112" i="30002"/>
  <c r="AA110" i="30002"/>
  <c r="Z115" i="30002"/>
  <c r="Z123" i="30002"/>
  <c r="AA118" i="30002"/>
  <c r="Z114" i="30002"/>
  <c r="AA109" i="30002"/>
  <c r="Z121" i="30002"/>
  <c r="AA116" i="30002"/>
  <c r="A120" i="30019" l="1"/>
  <c r="W119" i="30019"/>
  <c r="AD119" i="30019"/>
  <c r="V119" i="30019"/>
  <c r="AD93" i="30019"/>
  <c r="V93" i="30019"/>
  <c r="W93" i="30019"/>
  <c r="A102" i="30019"/>
  <c r="AD101" i="30019"/>
  <c r="V101" i="30019"/>
  <c r="W101" i="30019"/>
  <c r="AA112" i="30002"/>
  <c r="Z117" i="30002"/>
  <c r="AA115" i="30002"/>
  <c r="Z120" i="30002"/>
  <c r="AA123" i="30002"/>
  <c r="Z128" i="30002"/>
  <c r="AA128" i="30002" s="1"/>
  <c r="AA114" i="30002"/>
  <c r="Z119" i="30002"/>
  <c r="Z126" i="30002"/>
  <c r="AA121" i="30002"/>
  <c r="W120" i="30019" l="1"/>
  <c r="A121" i="30019"/>
  <c r="AD120" i="30019"/>
  <c r="V120" i="30019"/>
  <c r="AD102" i="30019"/>
  <c r="V102" i="30019"/>
  <c r="W102" i="30019"/>
  <c r="Z122" i="30002"/>
  <c r="AA117" i="30002"/>
  <c r="Z125" i="30002"/>
  <c r="AA120" i="30002"/>
  <c r="AA119" i="30002"/>
  <c r="Z124" i="30002"/>
  <c r="AA126" i="30002"/>
  <c r="Z131" i="30002"/>
  <c r="AA131" i="30002" s="1"/>
  <c r="W121" i="30019" l="1"/>
  <c r="AD121" i="30019"/>
  <c r="A122" i="30019"/>
  <c r="V121" i="30019"/>
  <c r="AA122" i="30002"/>
  <c r="Z127" i="30002"/>
  <c r="AA127" i="30002" s="1"/>
  <c r="Z130" i="30002"/>
  <c r="AA130" i="30002" s="1"/>
  <c r="AA125" i="30002"/>
  <c r="AA124" i="30002"/>
  <c r="Z129" i="30002"/>
  <c r="AA129" i="30002" s="1"/>
  <c r="W122" i="30019" l="1"/>
  <c r="A123" i="30019"/>
  <c r="AD122" i="30019"/>
  <c r="V122" i="30019"/>
  <c r="O260" i="29184"/>
  <c r="P139" i="29184"/>
  <c r="A124" i="30019" l="1"/>
  <c r="AD123" i="30019"/>
  <c r="V123" i="30019"/>
  <c r="W123" i="30019"/>
  <c r="O162" i="29184"/>
  <c r="O134" i="29184"/>
  <c r="A125" i="30019" l="1"/>
  <c r="W124" i="30019"/>
  <c r="AD124" i="30019"/>
  <c r="V124" i="30019"/>
  <c r="O194" i="29184"/>
  <c r="O199" i="29184"/>
  <c r="P163" i="29184"/>
  <c r="O161" i="29184"/>
  <c r="P164" i="29184"/>
  <c r="O135" i="29184"/>
  <c r="P136" i="29184"/>
  <c r="P135" i="29184"/>
  <c r="P137" i="29184"/>
  <c r="W125" i="30019" l="1"/>
  <c r="AD125" i="30019"/>
  <c r="V125" i="30019"/>
  <c r="A126" i="30019"/>
  <c r="P196" i="29184"/>
  <c r="P193" i="29184"/>
  <c r="O166" i="29184"/>
  <c r="O160" i="29184"/>
  <c r="O139" i="29184"/>
  <c r="O137" i="29184"/>
  <c r="Q135" i="29184"/>
  <c r="D135" i="29184"/>
  <c r="V126" i="30019" l="1"/>
  <c r="A127" i="30019"/>
  <c r="W126" i="30019"/>
  <c r="AD126" i="30019"/>
  <c r="P194" i="29184"/>
  <c r="Q194" i="29184" s="1"/>
  <c r="D194" i="29184" s="1"/>
  <c r="O198" i="29184"/>
  <c r="Q137" i="29184"/>
  <c r="D137" i="29184" s="1"/>
  <c r="Q139" i="29184"/>
  <c r="D139" i="29184"/>
  <c r="V127" i="30019" l="1"/>
  <c r="AD127" i="30019"/>
  <c r="W127" i="30019"/>
  <c r="A128" i="30019"/>
  <c r="P263" i="29184"/>
  <c r="O261" i="29184"/>
  <c r="O265" i="29184"/>
  <c r="P260" i="29184"/>
  <c r="Q260" i="29184" s="1"/>
  <c r="D260" i="29184" s="1"/>
  <c r="P266" i="29184"/>
  <c r="P269" i="29184"/>
  <c r="O266" i="29184"/>
  <c r="O267" i="29184"/>
  <c r="P268" i="29184"/>
  <c r="P195" i="29184"/>
  <c r="O200" i="29184"/>
  <c r="O197" i="29184"/>
  <c r="P200" i="29184"/>
  <c r="P198" i="29184"/>
  <c r="Q198" i="29184" s="1"/>
  <c r="D198" i="29184" s="1"/>
  <c r="O196" i="29184"/>
  <c r="O201" i="29184"/>
  <c r="P165" i="29184"/>
  <c r="P160" i="29184"/>
  <c r="Q160" i="29184" s="1"/>
  <c r="D160" i="29184" s="1"/>
  <c r="P166" i="29184"/>
  <c r="Q166" i="29184" s="1"/>
  <c r="D166" i="29184" s="1"/>
  <c r="P140" i="29184"/>
  <c r="O136" i="29184"/>
  <c r="V128" i="30019" l="1"/>
  <c r="AD128" i="30019"/>
  <c r="A129" i="30019"/>
  <c r="W128" i="30019"/>
  <c r="O263" i="29184"/>
  <c r="P264" i="29184"/>
  <c r="P267" i="29184"/>
  <c r="Q267" i="29184" s="1"/>
  <c r="D267" i="29184" s="1"/>
  <c r="O268" i="29184"/>
  <c r="P261" i="29184"/>
  <c r="P262" i="29184"/>
  <c r="O269" i="29184"/>
  <c r="O264" i="29184"/>
  <c r="O262" i="29184"/>
  <c r="P265" i="29184"/>
  <c r="Q265" i="29184" s="1"/>
  <c r="D265" i="29184" s="1"/>
  <c r="Q261" i="29184"/>
  <c r="D261" i="29184"/>
  <c r="Q266" i="29184"/>
  <c r="D266" i="29184" s="1"/>
  <c r="P201" i="29184"/>
  <c r="Q201" i="29184" s="1"/>
  <c r="D201" i="29184" s="1"/>
  <c r="O195" i="29184"/>
  <c r="P197" i="29184"/>
  <c r="Q197" i="29184" s="1"/>
  <c r="D197" i="29184" s="1"/>
  <c r="O193" i="29184"/>
  <c r="P199" i="29184"/>
  <c r="Q199" i="29184" s="1"/>
  <c r="D199" i="29184" s="1"/>
  <c r="Q200" i="29184"/>
  <c r="D200" i="29184" s="1"/>
  <c r="Q196" i="29184"/>
  <c r="D196" i="29184"/>
  <c r="O165" i="29184"/>
  <c r="P161" i="29184"/>
  <c r="Q161" i="29184" s="1"/>
  <c r="D161" i="29184" s="1"/>
  <c r="P167" i="29184"/>
  <c r="P162" i="29184"/>
  <c r="Q162" i="29184" s="1"/>
  <c r="D162" i="29184" s="1"/>
  <c r="O167" i="29184"/>
  <c r="O164" i="29184"/>
  <c r="O163" i="29184"/>
  <c r="O140" i="29184"/>
  <c r="P138" i="29184"/>
  <c r="P134" i="29184"/>
  <c r="Q134" i="29184" s="1"/>
  <c r="D134" i="29184" s="1"/>
  <c r="O138" i="29184"/>
  <c r="Q136" i="29184"/>
  <c r="D136" i="29184"/>
  <c r="AD129" i="30019" l="1"/>
  <c r="W129" i="30019"/>
  <c r="A130" i="30019"/>
  <c r="V129" i="30019"/>
  <c r="Q264" i="29184"/>
  <c r="D264" i="29184"/>
  <c r="Q269" i="29184"/>
  <c r="D269" i="29184"/>
  <c r="Q268" i="29184"/>
  <c r="D268" i="29184"/>
  <c r="Q262" i="29184"/>
  <c r="D262" i="29184"/>
  <c r="Q263" i="29184"/>
  <c r="D263" i="29184"/>
  <c r="Q193" i="29184"/>
  <c r="D193" i="29184" s="1"/>
  <c r="Q195" i="29184"/>
  <c r="D195" i="29184" s="1"/>
  <c r="Q164" i="29184"/>
  <c r="D164" i="29184" s="1"/>
  <c r="D163" i="29184"/>
  <c r="Q163" i="29184"/>
  <c r="Q167" i="29184"/>
  <c r="D167" i="29184"/>
  <c r="Q165" i="29184"/>
  <c r="D165" i="29184"/>
  <c r="Q138" i="29184"/>
  <c r="D138" i="29184"/>
  <c r="Q140" i="29184"/>
  <c r="D140" i="29184"/>
  <c r="E268" i="29184"/>
  <c r="E262" i="29184"/>
  <c r="E264" i="29184"/>
  <c r="E263" i="29184"/>
  <c r="E266" i="29184"/>
  <c r="E267" i="29184"/>
  <c r="E265" i="29184"/>
  <c r="E261" i="29184"/>
  <c r="E260" i="29184"/>
  <c r="E269" i="29184"/>
  <c r="E193" i="29184"/>
  <c r="E201" i="29184"/>
  <c r="E194" i="29184"/>
  <c r="E198" i="29184"/>
  <c r="E200" i="29184"/>
  <c r="E197" i="29184"/>
  <c r="E199" i="29184"/>
  <c r="E196" i="29184"/>
  <c r="E195" i="29184"/>
  <c r="E165" i="29184"/>
  <c r="E163" i="29184"/>
  <c r="E162" i="29184"/>
  <c r="E161" i="29184"/>
  <c r="E160" i="29184"/>
  <c r="E166" i="29184"/>
  <c r="E167" i="29184"/>
  <c r="E164" i="29184"/>
  <c r="E138" i="29184"/>
  <c r="E136" i="29184"/>
  <c r="E134" i="29184"/>
  <c r="E137" i="29184"/>
  <c r="E139" i="29184"/>
  <c r="E135" i="29184"/>
  <c r="E140" i="29184"/>
  <c r="AB1647" i="29184"/>
  <c r="AB938" i="29184"/>
  <c r="AB880" i="29184"/>
  <c r="AB117" i="29184"/>
  <c r="AB721" i="29184"/>
  <c r="AD1727" i="29184"/>
  <c r="AB633" i="29184"/>
  <c r="AD1228" i="29184"/>
  <c r="AB463" i="29184"/>
  <c r="AD1794" i="29184"/>
  <c r="AD140" i="29184"/>
  <c r="AB1155" i="29184"/>
  <c r="AD1076" i="29184"/>
  <c r="AD249" i="29184"/>
  <c r="AB1944" i="29184"/>
  <c r="AB972" i="29184"/>
  <c r="AB1941" i="29184"/>
  <c r="AD1015" i="29184"/>
  <c r="AB1852" i="29184"/>
  <c r="AD817" i="29184"/>
  <c r="AB462" i="29184"/>
  <c r="AD1940" i="29184"/>
  <c r="AB1864" i="29184"/>
  <c r="AB422" i="29184"/>
  <c r="AB1353" i="29184"/>
  <c r="AB605" i="29184"/>
  <c r="AB18" i="29184"/>
  <c r="AD1989" i="29184"/>
  <c r="AD528" i="29184"/>
  <c r="AD1618" i="29184"/>
  <c r="AB1657" i="29184"/>
  <c r="AB1012" i="29184"/>
  <c r="AB1884" i="29184"/>
  <c r="AB1462" i="29184"/>
  <c r="AD639" i="29184"/>
  <c r="AB1689" i="29184"/>
  <c r="AD905" i="29184"/>
  <c r="AB444" i="29184"/>
  <c r="AD101" i="29184"/>
  <c r="AD154" i="29184"/>
  <c r="AD900" i="29184"/>
  <c r="AB632" i="29184"/>
  <c r="AD454" i="29184"/>
  <c r="AD1508" i="29184"/>
  <c r="AB557" i="29184"/>
  <c r="AB328" i="29184"/>
  <c r="AB1203" i="29184"/>
  <c r="AD1393" i="29184"/>
  <c r="AB1649" i="29184"/>
  <c r="AB1199" i="29184"/>
  <c r="AD1574" i="29184"/>
  <c r="AB1017" i="29184"/>
  <c r="AD1427" i="29184"/>
  <c r="AD1901" i="29184"/>
  <c r="AD1186" i="29184"/>
  <c r="AB812" i="29184"/>
  <c r="AD751" i="29184"/>
  <c r="AB1652" i="29184"/>
  <c r="AB1975" i="29184"/>
  <c r="Y17" i="8192"/>
  <c r="AD1402" i="29184"/>
  <c r="AB1292" i="29184"/>
  <c r="AD1590" i="29184"/>
  <c r="AD153" i="29184"/>
  <c r="AB1382" i="29184"/>
  <c r="AB1693" i="29184"/>
  <c r="AB1104" i="29184"/>
  <c r="AB1242" i="29184"/>
  <c r="AB568" i="29184"/>
  <c r="AD399" i="29184"/>
  <c r="AB150" i="29184"/>
  <c r="AB469" i="29184"/>
  <c r="AB1255" i="29184"/>
  <c r="AD1647" i="29184"/>
  <c r="AB137" i="29184"/>
  <c r="AB1775" i="29184"/>
  <c r="AB1989" i="29184"/>
  <c r="AD1613" i="29184"/>
  <c r="AD107" i="29184"/>
  <c r="AB446" i="29184"/>
  <c r="AD1657" i="29184"/>
  <c r="AB476" i="29184"/>
  <c r="AD509" i="29184"/>
  <c r="AD564" i="29184"/>
  <c r="AD1691" i="29184"/>
  <c r="AD584" i="29184"/>
  <c r="AB461" i="29184"/>
  <c r="AB151" i="29184"/>
  <c r="AD1856" i="29184"/>
  <c r="AD1068" i="29184"/>
  <c r="Y63" i="8192"/>
  <c r="AD683" i="29184"/>
  <c r="AB1867" i="29184"/>
  <c r="AD1568" i="29184"/>
  <c r="AB1331" i="29184"/>
  <c r="AD1845" i="29184"/>
  <c r="Y48" i="30041"/>
  <c r="AB1667" i="29184"/>
  <c r="AD623" i="29184"/>
  <c r="AD1447" i="29184"/>
  <c r="AD416" i="29184"/>
  <c r="AD1028" i="29184"/>
  <c r="AC11" i="30041"/>
  <c r="AB1506" i="29184"/>
  <c r="AD417" i="29184"/>
  <c r="AB1489" i="29184"/>
  <c r="AD1656" i="29184"/>
  <c r="AB509" i="29184"/>
  <c r="AB1336" i="29184"/>
  <c r="AD1942" i="29184"/>
  <c r="AB1348" i="29184"/>
  <c r="AB39" i="29184"/>
  <c r="AD1406" i="29184"/>
  <c r="AD760" i="29184"/>
  <c r="AD918" i="29184"/>
  <c r="AB1246" i="29184"/>
  <c r="AB824" i="29184"/>
  <c r="AB371" i="29184"/>
  <c r="AD1596" i="29184"/>
  <c r="AD1963" i="29184"/>
  <c r="AB350" i="29184"/>
  <c r="AB1493" i="29184"/>
  <c r="AD1133" i="29184"/>
  <c r="AB1553" i="29184"/>
  <c r="AD1701" i="29184"/>
  <c r="AD1500" i="29184"/>
  <c r="AD1134" i="29184"/>
  <c r="AD1983" i="29184"/>
  <c r="AD782" i="29184"/>
  <c r="AB1650" i="29184"/>
  <c r="AD1548" i="29184"/>
  <c r="AD16" i="29184"/>
  <c r="AB585" i="29184"/>
  <c r="AD690" i="29184"/>
  <c r="AB992" i="29184"/>
  <c r="AD210" i="29184"/>
  <c r="AD1453" i="29184"/>
  <c r="AD1163" i="29184"/>
  <c r="AB1732" i="29184"/>
  <c r="AB1540" i="29184"/>
  <c r="AB1005" i="29184"/>
  <c r="AD1818" i="29184"/>
  <c r="AD1347" i="29184"/>
  <c r="AB73" i="29184"/>
  <c r="AD1876" i="29184"/>
  <c r="AB58" i="29184"/>
  <c r="AD1585" i="29184"/>
  <c r="AB559" i="29184"/>
  <c r="AB1412" i="29184"/>
  <c r="AB1105" i="29184"/>
  <c r="AB1938" i="29184"/>
  <c r="AB1324" i="29184"/>
  <c r="AD1339" i="29184"/>
  <c r="AB454" i="29184"/>
  <c r="AD422" i="29184"/>
  <c r="AD1808" i="29184"/>
  <c r="AB1440" i="29184"/>
  <c r="AB761" i="29184"/>
  <c r="AB1404" i="29184"/>
  <c r="AB932" i="29184"/>
  <c r="AD1773" i="29184"/>
  <c r="AB408" i="29184"/>
  <c r="AD1065" i="29184"/>
  <c r="AB1415" i="29184"/>
  <c r="AB1349" i="29184"/>
  <c r="AD871" i="29184"/>
  <c r="AD985" i="29184"/>
  <c r="AD168" i="29184"/>
  <c r="AD176" i="29184"/>
  <c r="AD673" i="29184"/>
  <c r="AD1017" i="29184"/>
  <c r="AB516" i="29184"/>
  <c r="AD1644" i="29184"/>
  <c r="AD213" i="29184"/>
  <c r="AB1091" i="29184"/>
  <c r="AD1371" i="29184"/>
  <c r="AD1253" i="29184"/>
  <c r="AB1152" i="29184"/>
  <c r="AD1357" i="29184"/>
  <c r="AD247" i="29184"/>
  <c r="AD583" i="29184"/>
  <c r="AB1868" i="29184"/>
  <c r="AB1284" i="29184"/>
  <c r="AB962" i="29184"/>
  <c r="AD46" i="29184"/>
  <c r="AD1146" i="29184"/>
  <c r="AB178" i="29184"/>
  <c r="AD1988" i="29184"/>
  <c r="AD1929" i="29184"/>
  <c r="AD1912" i="29184"/>
  <c r="AB773" i="29184"/>
  <c r="AD1595" i="29184"/>
  <c r="AB1403" i="29184"/>
  <c r="AB9" i="29184"/>
  <c r="AD857" i="29184"/>
  <c r="AB703" i="29184"/>
  <c r="AD844" i="29184"/>
  <c r="AB1640" i="29184"/>
  <c r="AB1135" i="29184"/>
  <c r="AD1823" i="29184"/>
  <c r="AB1398" i="29184"/>
  <c r="AD727" i="29184"/>
  <c r="AC100" i="30041"/>
  <c r="AB389" i="29184"/>
  <c r="AD387" i="29184"/>
  <c r="AD1943" i="29184"/>
  <c r="AB382" i="29184"/>
  <c r="AD1782" i="29184"/>
  <c r="AD1811" i="29184"/>
  <c r="AD864" i="29184"/>
  <c r="AB373" i="29184"/>
  <c r="AD992" i="29184"/>
  <c r="AD1968" i="29184"/>
  <c r="AB88" i="29184"/>
  <c r="AB1032" i="29184"/>
  <c r="AB641" i="29184"/>
  <c r="AB1954" i="29184"/>
  <c r="AB985" i="29184"/>
  <c r="AD738" i="29184"/>
  <c r="AB1906" i="29184"/>
  <c r="AB1159" i="29184"/>
  <c r="AB1590" i="29184"/>
  <c r="AB1535" i="29184"/>
  <c r="AB808" i="29184"/>
  <c r="AB1828" i="29184"/>
  <c r="AD1062" i="29184"/>
  <c r="AD1954" i="29184"/>
  <c r="AD165" i="29184"/>
  <c r="AD1274" i="29184"/>
  <c r="AD1431" i="29184"/>
  <c r="AB1776" i="29184"/>
  <c r="AB97" i="29184"/>
  <c r="AB1294" i="29184"/>
  <c r="AD636" i="29184"/>
  <c r="AB966" i="29184"/>
  <c r="AD1931" i="29184"/>
  <c r="AB757" i="29184"/>
  <c r="AB771" i="29184"/>
  <c r="AD27" i="29184"/>
  <c r="AB560" i="29184"/>
  <c r="AD612" i="29184"/>
  <c r="AB1917" i="29184"/>
  <c r="AD887" i="29184"/>
  <c r="AD141" i="29184"/>
  <c r="AD1083" i="29184"/>
  <c r="AD995" i="29184"/>
  <c r="AB1274" i="29184"/>
  <c r="AC35" i="8192"/>
  <c r="AB923" i="29184"/>
  <c r="AD1952" i="29184"/>
  <c r="AD1236" i="29184"/>
  <c r="AD826" i="29184"/>
  <c r="AD1369" i="29184"/>
  <c r="AD83" i="29184"/>
  <c r="AD421" i="29184"/>
  <c r="AB1085" i="29184"/>
  <c r="AD1617" i="29184"/>
  <c r="AB1387" i="29184"/>
  <c r="AD591" i="29184"/>
  <c r="AD357" i="29184"/>
  <c r="AD1435" i="29184"/>
  <c r="AD848" i="29184"/>
  <c r="AB856" i="29184"/>
  <c r="AD55" i="29184"/>
  <c r="AB494" i="29184"/>
  <c r="AD424" i="29184"/>
  <c r="AD1257" i="29184"/>
  <c r="AD467" i="29184"/>
  <c r="AB967" i="29184"/>
  <c r="AD1649" i="29184"/>
  <c r="AD1086" i="29184"/>
  <c r="AB565" i="29184"/>
  <c r="AD525" i="29184"/>
  <c r="AD8" i="29184"/>
  <c r="AB1024" i="29184"/>
  <c r="AB380" i="29184"/>
  <c r="AD847" i="29184"/>
  <c r="AD1888" i="29184"/>
  <c r="AD1640" i="29184"/>
  <c r="AB1659" i="29184"/>
  <c r="AB26" i="29184"/>
  <c r="AB1682" i="29184"/>
  <c r="AC18" i="30041"/>
  <c r="AB1234" i="29184"/>
  <c r="AB1670" i="29184"/>
  <c r="AB1279" i="29184"/>
  <c r="AD1348" i="29184"/>
  <c r="AB139" i="29184"/>
  <c r="AD367" i="29184"/>
  <c r="AD707" i="29184"/>
  <c r="AB765" i="29184"/>
  <c r="AB1791" i="29184"/>
  <c r="AD142" i="29184"/>
  <c r="AD1717" i="29184"/>
  <c r="AB937" i="29184"/>
  <c r="AD1380" i="29184"/>
  <c r="AD765" i="29184"/>
  <c r="AD973" i="29184"/>
  <c r="AD516" i="29184"/>
  <c r="AD1987" i="29184"/>
  <c r="AD1434" i="29184"/>
  <c r="AD1734" i="29184"/>
  <c r="AD1343" i="29184"/>
  <c r="AB917" i="29184"/>
  <c r="AD507" i="29184"/>
  <c r="AD248" i="29184"/>
  <c r="AD230" i="29184"/>
  <c r="AD1232" i="29184"/>
  <c r="AB242" i="29184"/>
  <c r="AB1391" i="29184"/>
  <c r="AD1022" i="29184"/>
  <c r="AD136" i="29184"/>
  <c r="AD929" i="29184"/>
  <c r="AD706" i="29184"/>
  <c r="AB448" i="29184"/>
  <c r="AB205" i="29184"/>
  <c r="AB592" i="29184"/>
  <c r="AD1911" i="29184"/>
  <c r="AB1915" i="29184"/>
  <c r="AD84" i="29184"/>
  <c r="AB601" i="29184"/>
  <c r="AD1915" i="29184"/>
  <c r="AD987" i="29184"/>
  <c r="AB1233" i="29184"/>
  <c r="AD1641" i="29184"/>
  <c r="AD452" i="29184"/>
  <c r="AB1354" i="29184"/>
  <c r="AB590" i="29184"/>
  <c r="AB1460" i="29184"/>
  <c r="AB471" i="29184"/>
  <c r="AB717" i="29184"/>
  <c r="AD874" i="29184"/>
  <c r="AD117" i="29184"/>
  <c r="AB1258" i="29184"/>
  <c r="AB445" i="29184"/>
  <c r="AB1984" i="29184"/>
  <c r="AD499" i="29184"/>
  <c r="AB1073" i="29184"/>
  <c r="AD1364" i="29184"/>
  <c r="AB360" i="29184"/>
  <c r="AD845" i="29184"/>
  <c r="AB1266" i="29184"/>
  <c r="AD1776" i="29184"/>
  <c r="AD910" i="29184"/>
  <c r="AD76" i="29184"/>
  <c r="AB27" i="29184"/>
  <c r="AD1622" i="29184"/>
  <c r="AB1461" i="29184"/>
  <c r="AB141" i="29184"/>
  <c r="AD1036" i="29184"/>
  <c r="AB1430" i="29184"/>
  <c r="AD1479" i="29184"/>
  <c r="AB1854" i="29184"/>
  <c r="AB1844" i="29184"/>
  <c r="AB1695" i="29184"/>
  <c r="AB897" i="29184"/>
  <c r="AD456" i="29184"/>
  <c r="AB848" i="29184"/>
  <c r="AB1464" i="29184"/>
  <c r="AD781" i="29184"/>
  <c r="AB1186" i="29184"/>
  <c r="AB1815" i="29184"/>
  <c r="AB152" i="29184"/>
  <c r="AB1630" i="29184"/>
  <c r="AB1427" i="29184"/>
  <c r="AB1625" i="29184"/>
  <c r="AB394" i="29184"/>
  <c r="AD423" i="29184"/>
  <c r="AB1623" i="29184"/>
  <c r="AD1492" i="29184"/>
  <c r="AD1475" i="29184"/>
  <c r="AB1808" i="29184"/>
  <c r="AD812" i="29184"/>
  <c r="AD1663" i="29184"/>
  <c r="AB987" i="29184"/>
  <c r="AD1726" i="29184"/>
  <c r="AD1872" i="29184"/>
  <c r="AD1772" i="29184"/>
  <c r="AB1786" i="29184"/>
  <c r="AB136" i="29184"/>
  <c r="AB61" i="29184"/>
  <c r="AB564" i="29184"/>
  <c r="AB889" i="29184"/>
  <c r="AB1860" i="29184"/>
  <c r="AD135" i="29184"/>
  <c r="AD272" i="29184"/>
  <c r="AB1541" i="29184"/>
  <c r="AD718" i="29184"/>
  <c r="AD80" i="29184"/>
  <c r="AD1815" i="29184"/>
  <c r="AD730" i="29184"/>
  <c r="AB501" i="29184"/>
  <c r="AB709" i="29184"/>
  <c r="AD917" i="29184"/>
  <c r="AD1326" i="29184"/>
  <c r="AB1425" i="29184"/>
  <c r="AB1276" i="29184"/>
  <c r="AB1223" i="29184"/>
  <c r="AB154" i="29184"/>
  <c r="AB503" i="29184"/>
  <c r="AB409" i="29184"/>
  <c r="AD1247" i="29184"/>
  <c r="AD491" i="29184"/>
  <c r="AB1656" i="29184"/>
  <c r="AD976" i="29184"/>
  <c r="AB1575" i="29184"/>
  <c r="AB1438" i="29184"/>
  <c r="AB1931" i="29184"/>
  <c r="AB870" i="29184"/>
  <c r="AB1143" i="29184"/>
  <c r="AD866" i="29184"/>
  <c r="AD719" i="29184"/>
  <c r="AD446" i="29184"/>
  <c r="AD1829" i="29184"/>
  <c r="AD105" i="29184"/>
  <c r="AB1564" i="29184"/>
  <c r="AD1608" i="29184"/>
  <c r="AD1541" i="29184"/>
  <c r="AB1033" i="29184"/>
  <c r="AB280" i="29184"/>
  <c r="AD1023" i="29184"/>
  <c r="AB1684" i="29184"/>
  <c r="AB1445" i="29184"/>
  <c r="AD1266" i="29184"/>
  <c r="AD757" i="29184"/>
  <c r="AB901" i="29184"/>
  <c r="AD286" i="29184"/>
  <c r="AB1197" i="29184"/>
  <c r="AD899" i="29184"/>
  <c r="AB96" i="29184"/>
  <c r="AC114" i="30041"/>
  <c r="AB1293" i="29184"/>
  <c r="AD121" i="29184"/>
  <c r="AD174" i="29184"/>
  <c r="AB1357" i="29184"/>
  <c r="AB1013" i="29184"/>
  <c r="AB413" i="29184"/>
  <c r="AB508" i="29184"/>
  <c r="AD222" i="29184"/>
  <c r="AB169" i="29184"/>
  <c r="AB982" i="29184"/>
  <c r="AD512" i="29184"/>
  <c r="AD1370" i="29184"/>
  <c r="AD1817" i="29184"/>
  <c r="AD991" i="29184"/>
  <c r="AD1572" i="29184"/>
  <c r="AD1840" i="29184"/>
  <c r="AD1042" i="29184"/>
  <c r="AB1198" i="29184"/>
  <c r="AB15" i="29184"/>
  <c r="AB1163" i="29184"/>
  <c r="AD358" i="29184"/>
  <c r="AD1097" i="29184"/>
  <c r="AB1229" i="29184"/>
  <c r="AB872" i="29184"/>
  <c r="AD100" i="29184"/>
  <c r="AB727" i="29184"/>
  <c r="AB1218" i="29184"/>
  <c r="AD1835" i="29184"/>
  <c r="AD1830" i="29184"/>
  <c r="AB276" i="29184"/>
  <c r="AB1481" i="29184"/>
  <c r="AD1890" i="29184"/>
  <c r="AB1031" i="29184"/>
  <c r="AD1710" i="29184"/>
  <c r="AD1670" i="29184"/>
  <c r="AD1939" i="29184"/>
  <c r="AD1571" i="29184"/>
  <c r="AD1460" i="29184"/>
  <c r="AB70" i="29184"/>
  <c r="AD783" i="29184"/>
  <c r="AD1184" i="29184"/>
  <c r="AD389" i="29184"/>
  <c r="AB1896" i="29184"/>
  <c r="AC32" i="8192"/>
  <c r="AB1773" i="29184"/>
  <c r="AB161" i="29184"/>
  <c r="AB453" i="29184"/>
  <c r="AB176" i="29184"/>
  <c r="AB1396" i="29184"/>
  <c r="AB123" i="29184"/>
  <c r="AB1083" i="29184"/>
  <c r="AD851" i="29184"/>
  <c r="AB38" i="29184"/>
  <c r="AC57" i="8192"/>
  <c r="AB1872" i="29184"/>
  <c r="AD37" i="29184"/>
  <c r="AB1480" i="29184"/>
  <c r="AD708" i="29184"/>
  <c r="AD1902" i="29184"/>
  <c r="AD204" i="29184"/>
  <c r="AD993" i="29184"/>
  <c r="AD515" i="29184"/>
  <c r="AB1583" i="29184"/>
  <c r="AB806" i="29184"/>
  <c r="AD966" i="29184"/>
  <c r="AD1256" i="29184"/>
  <c r="AB1796" i="29184"/>
  <c r="Y41" i="30041"/>
  <c r="AB874" i="29184"/>
  <c r="AD1286" i="29184"/>
  <c r="AD1645" i="29184"/>
  <c r="AB1542" i="29184"/>
  <c r="AB1093" i="29184"/>
  <c r="AD451" i="29184"/>
  <c r="AD1164" i="29184"/>
  <c r="AD1589" i="29184"/>
  <c r="AB1501" i="29184"/>
  <c r="AB842" i="29184"/>
  <c r="AD252" i="29184"/>
  <c r="AD1639" i="29184"/>
  <c r="AD1048" i="29184"/>
  <c r="AD1896" i="29184"/>
  <c r="AB76" i="29184"/>
  <c r="AB1798" i="29184"/>
  <c r="AB1187" i="29184"/>
  <c r="AD1246" i="29184"/>
  <c r="AD1148" i="29184"/>
  <c r="AC29" i="8192"/>
  <c r="AB1925" i="29184"/>
  <c r="AD1044" i="29184"/>
  <c r="AD1580" i="29184"/>
  <c r="AB887" i="29184"/>
  <c r="AD1832" i="29184"/>
  <c r="AD527" i="29184"/>
  <c r="AB1148" i="29184"/>
  <c r="AD1784" i="29184"/>
  <c r="AD87" i="29184"/>
  <c r="AD1851" i="29184"/>
  <c r="AD1147" i="29184"/>
  <c r="AB1644" i="29184"/>
  <c r="AD1546" i="29184"/>
  <c r="AB670" i="29184"/>
  <c r="AB1979" i="29184"/>
  <c r="AB253" i="29184"/>
  <c r="AD300" i="29184"/>
  <c r="AD1854" i="29184"/>
  <c r="AC55" i="30041"/>
  <c r="AB1935" i="29184"/>
  <c r="AB1209" i="29184"/>
  <c r="AB1285" i="29184"/>
  <c r="AB934" i="29184"/>
  <c r="AD1249" i="29184"/>
  <c r="AD833" i="29184"/>
  <c r="AB891" i="29184"/>
  <c r="AB456" i="29184"/>
  <c r="AB1448" i="29184"/>
  <c r="AB909" i="29184"/>
  <c r="AD1178" i="29184"/>
  <c r="AD144" i="29184"/>
  <c r="AD1986" i="29184"/>
  <c r="AB561" i="29184"/>
  <c r="AD596" i="29184"/>
  <c r="AB146" i="29184"/>
  <c r="AD1394" i="29184"/>
  <c r="AB1081" i="29184"/>
  <c r="AD151" i="29184"/>
  <c r="AB1482" i="29184"/>
  <c r="AD774" i="29184"/>
  <c r="AD1224" i="29184"/>
  <c r="AD48" i="29184"/>
  <c r="AB1968" i="29184"/>
  <c r="AD1168" i="29184"/>
  <c r="AB567" i="29184"/>
  <c r="AB1912" i="29184"/>
  <c r="AB206" i="29184"/>
  <c r="AB816" i="29184"/>
  <c r="AB1011" i="29184"/>
  <c r="AB171" i="29184"/>
  <c r="AD143" i="29184"/>
  <c r="AB414" i="29184"/>
  <c r="AD1918" i="29184"/>
  <c r="AD753" i="29184"/>
  <c r="AB464" i="29184"/>
  <c r="AD518" i="29184"/>
  <c r="AD1459" i="29184"/>
  <c r="AB1419" i="29184"/>
  <c r="AD1724" i="29184"/>
  <c r="AB1409" i="29184"/>
  <c r="AD350" i="29184"/>
  <c r="AD568" i="29184"/>
  <c r="AB892" i="29184"/>
  <c r="AD1824" i="29184"/>
  <c r="AB1799" i="29184"/>
  <c r="AD1941" i="29184"/>
  <c r="AD1242" i="29184"/>
  <c r="AB1212" i="29184"/>
  <c r="AD1327" i="29184"/>
  <c r="AB1558" i="29184"/>
  <c r="AB1166" i="29184"/>
  <c r="AD1637" i="29184"/>
  <c r="AD1614" i="29184"/>
  <c r="AB736" i="29184"/>
  <c r="AD276" i="29184"/>
  <c r="AD809" i="29184"/>
  <c r="AB57" i="29184"/>
  <c r="AD1239" i="29184"/>
  <c r="AB528" i="29184"/>
  <c r="AB180" i="29184"/>
  <c r="AB697" i="29184"/>
  <c r="AD1712" i="29184"/>
  <c r="AD1626" i="29184"/>
  <c r="AB766" i="29184"/>
  <c r="AD1081" i="29184"/>
  <c r="AD19" i="29184"/>
  <c r="AB1282" i="29184"/>
  <c r="AD1570" i="29184"/>
  <c r="AD1330" i="29184"/>
  <c r="AB1504" i="29184"/>
  <c r="AB54" i="29184"/>
  <c r="AD280" i="29184"/>
  <c r="AB1253" i="29184"/>
  <c r="AB1579" i="29184"/>
  <c r="AD139" i="29184"/>
  <c r="AD1346" i="29184"/>
  <c r="AB630" i="29184"/>
  <c r="AB403" i="29184"/>
  <c r="AB1581" i="29184"/>
  <c r="AD962" i="29184"/>
  <c r="AB1431" i="29184"/>
  <c r="AB1739" i="29184"/>
  <c r="AB728" i="29184"/>
  <c r="AB357" i="29184"/>
  <c r="AB575" i="29184"/>
  <c r="AD103" i="29184"/>
  <c r="AB1841" i="29184"/>
  <c r="AD1329" i="29184"/>
  <c r="AD1031" i="29184"/>
  <c r="Y11" i="8192"/>
  <c r="AB145" i="29184"/>
  <c r="AD565" i="29184"/>
  <c r="AD1866" i="29184"/>
  <c r="AB883" i="29184"/>
  <c r="AD1467" i="29184"/>
  <c r="AB1824" i="29184"/>
  <c r="AB1559" i="29184"/>
  <c r="AB738" i="29184"/>
  <c r="AB1955" i="29184"/>
  <c r="AD61" i="29184"/>
  <c r="AB163" i="29184"/>
  <c r="AB1420" i="29184"/>
  <c r="AD1349" i="29184"/>
  <c r="AB234" i="29184"/>
  <c r="AB774" i="29184"/>
  <c r="AD1172" i="29184"/>
  <c r="AD1917" i="29184"/>
  <c r="AD1682" i="29184"/>
  <c r="AD675" i="29184"/>
  <c r="AB179" i="29184"/>
  <c r="AB1634" i="29184"/>
  <c r="AB825" i="29184"/>
  <c r="AD180" i="29184"/>
  <c r="AB1397" i="29184"/>
  <c r="AD1774" i="29184"/>
  <c r="AB517" i="29184"/>
  <c r="AB905" i="29184"/>
  <c r="AD225" i="29184"/>
  <c r="AD296" i="29184"/>
  <c r="AB1614" i="29184"/>
  <c r="AD853" i="29184"/>
  <c r="AB920" i="29184"/>
  <c r="AD332" i="29184"/>
  <c r="AB1137" i="29184"/>
  <c r="AB423" i="29184"/>
  <c r="AB302" i="29184"/>
  <c r="AD1417" i="29184"/>
  <c r="AB1495" i="29184"/>
  <c r="AD1868" i="29184"/>
  <c r="AB1393" i="29184"/>
  <c r="AB1350" i="29184"/>
  <c r="AD1652" i="29184"/>
  <c r="AB784" i="29184"/>
  <c r="AD1282" i="29184"/>
  <c r="AD1732" i="29184"/>
  <c r="AD589" i="29184"/>
  <c r="AD1376" i="29184"/>
  <c r="AB629" i="29184"/>
  <c r="AD609" i="29184"/>
  <c r="AD1468" i="29184"/>
  <c r="AB1384" i="29184"/>
  <c r="AB1978" i="29184"/>
  <c r="AB324" i="29184"/>
  <c r="AB294" i="29184"/>
  <c r="AB1536" i="29184"/>
  <c r="AB691" i="29184"/>
  <c r="AD20" i="29184"/>
  <c r="AD1297" i="29184"/>
  <c r="AB1889" i="29184"/>
  <c r="AD407" i="29184"/>
  <c r="AB1679" i="29184"/>
  <c r="AB681" i="29184"/>
  <c r="AB229" i="29184"/>
  <c r="AB888" i="29184"/>
  <c r="AB255" i="29184"/>
  <c r="AD1176" i="29184"/>
  <c r="AD616" i="29184"/>
  <c r="AD1667" i="29184"/>
  <c r="AC121" i="30041"/>
  <c r="AB1102" i="29184"/>
  <c r="AB212" i="29184"/>
  <c r="AD694" i="29184"/>
  <c r="AB1807" i="29184"/>
  <c r="AB1832" i="29184"/>
  <c r="AB381" i="29184"/>
  <c r="AD1196" i="29184"/>
  <c r="AD1142" i="29184"/>
  <c r="AD229" i="29184"/>
  <c r="AB1107" i="29184"/>
  <c r="AB1961" i="29184"/>
  <c r="AD1684" i="29184"/>
  <c r="AB1169" i="29184"/>
  <c r="AB730" i="29184"/>
  <c r="AD861" i="29184"/>
  <c r="AB1101" i="29184"/>
  <c r="AB1204" i="29184"/>
  <c r="AB1296" i="29184"/>
  <c r="AB483" i="29184"/>
  <c r="AD177" i="29184"/>
  <c r="AD1887" i="29184"/>
  <c r="AD29" i="29184"/>
  <c r="AB368" i="29184"/>
  <c r="AD1948" i="29184"/>
  <c r="AD78" i="29184"/>
  <c r="AD374" i="29184"/>
  <c r="AB1436" i="29184"/>
  <c r="AB1362" i="29184"/>
  <c r="AD854" i="29184"/>
  <c r="AB140" i="29184"/>
  <c r="AD1569" i="29184"/>
  <c r="AD310" i="29184"/>
  <c r="AB690" i="29184"/>
  <c r="AB566" i="29184"/>
  <c r="AD396" i="29184"/>
  <c r="AB237" i="29184"/>
  <c r="AB716" i="29184"/>
  <c r="AB729" i="29184"/>
  <c r="AD1043" i="29184"/>
  <c r="AD60" i="29184"/>
  <c r="AB1435" i="29184"/>
  <c r="AB906" i="29184"/>
  <c r="AB1469" i="29184"/>
  <c r="AB443" i="29184"/>
  <c r="AB1145" i="29184"/>
  <c r="AD1843" i="29184"/>
  <c r="AD932" i="29184"/>
  <c r="AB1987" i="29184"/>
  <c r="AB231" i="29184"/>
  <c r="AD1189" i="29184"/>
  <c r="AB1206" i="29184"/>
  <c r="AD1074" i="29184"/>
  <c r="AB182" i="29184"/>
  <c r="AB593" i="29184"/>
  <c r="AB1563" i="29184"/>
  <c r="AD1238" i="29184"/>
  <c r="AB1539" i="29184"/>
  <c r="AB388" i="29184"/>
  <c r="AB1222" i="29184"/>
  <c r="AB1057" i="29184"/>
  <c r="AD1162" i="29184"/>
  <c r="Y114" i="30041"/>
  <c r="AB1375" i="29184"/>
  <c r="AD216" i="29184"/>
  <c r="AD590" i="29184"/>
  <c r="AD1424" i="29184"/>
  <c r="AB1133" i="29184"/>
  <c r="AB1831" i="29184"/>
  <c r="AB581" i="29184"/>
  <c r="AD1095" i="29184"/>
  <c r="AD1137" i="29184"/>
  <c r="AB1810" i="29184"/>
  <c r="AD1484" i="29184"/>
  <c r="AB1567" i="29184"/>
  <c r="AB869" i="29184"/>
  <c r="Y107" i="30041"/>
  <c r="AD30" i="29184"/>
  <c r="AB890" i="29184"/>
  <c r="AB1655" i="29184"/>
  <c r="AB1295" i="29184"/>
  <c r="AB417" i="29184"/>
  <c r="AB591" i="29184"/>
  <c r="AB1839" i="29184"/>
  <c r="AB1866" i="29184"/>
  <c r="AD1429" i="29184"/>
  <c r="AB1853" i="29184"/>
  <c r="AB385" i="29184"/>
  <c r="AB56" i="29184"/>
  <c r="AD108" i="29184"/>
  <c r="AD185" i="29184"/>
  <c r="AD745" i="29184"/>
  <c r="AB375" i="29184"/>
  <c r="AB1592" i="29184"/>
  <c r="AB1772" i="29184"/>
  <c r="AC48" i="30041"/>
  <c r="AB1062" i="29184"/>
  <c r="AD1197" i="29184"/>
  <c r="AD1276" i="29184"/>
  <c r="AD1481" i="29184"/>
  <c r="AB1947" i="29184"/>
  <c r="AB184" i="29184"/>
  <c r="AB1651" i="29184"/>
  <c r="AB1551" i="29184"/>
  <c r="AB1550" i="29184"/>
  <c r="AD1582" i="29184"/>
  <c r="AD1094" i="29184"/>
  <c r="AD646" i="29184"/>
  <c r="AD1971" i="29184"/>
  <c r="AB1843" i="29184"/>
  <c r="AD1237" i="29184"/>
  <c r="AD496" i="29184"/>
  <c r="AD828" i="29184"/>
  <c r="AD1907" i="29184"/>
  <c r="AB1603" i="29184"/>
  <c r="AD1472" i="29184"/>
  <c r="AD1992" i="29184"/>
  <c r="AD1052" i="29184"/>
  <c r="AD691" i="29184"/>
  <c r="AB1699" i="29184"/>
  <c r="AD1252" i="29184"/>
  <c r="AD1217" i="29184"/>
  <c r="AD1132" i="29184"/>
  <c r="AD309" i="29184"/>
  <c r="AB684" i="29184"/>
  <c r="AB475" i="29184"/>
  <c r="AD205" i="29184"/>
  <c r="AD74" i="29184"/>
  <c r="AD1284" i="29184"/>
  <c r="AD73" i="29184"/>
  <c r="AD963" i="29184"/>
  <c r="AD382" i="29184"/>
  <c r="AB1704" i="29184"/>
  <c r="AB1172" i="29184"/>
  <c r="AD183" i="29184"/>
  <c r="AB739" i="29184"/>
  <c r="AD1007" i="29184"/>
  <c r="AB783" i="29184"/>
  <c r="AD318" i="29184"/>
  <c r="AD1350" i="29184"/>
  <c r="AB908" i="29184"/>
  <c r="AD1387" i="29184"/>
  <c r="AB160" i="29184"/>
  <c r="AD1966" i="29184"/>
  <c r="AD1105" i="29184"/>
  <c r="AD671" i="29184"/>
  <c r="AB224" i="29184"/>
  <c r="AD1073" i="29184"/>
  <c r="AB821" i="29184"/>
  <c r="AB1098" i="29184"/>
  <c r="AD1169" i="29184"/>
  <c r="AD1404" i="29184"/>
  <c r="AB754" i="29184"/>
  <c r="AD378" i="29184"/>
  <c r="AD455" i="29184"/>
  <c r="AB1878" i="29184"/>
  <c r="AD218" i="29184"/>
  <c r="Y11" i="30041"/>
  <c r="AD559" i="29184"/>
  <c r="AD811" i="29184"/>
  <c r="AD679" i="29184"/>
  <c r="AD1702" i="29184"/>
  <c r="AB128" i="29184"/>
  <c r="AB1368" i="29184"/>
  <c r="AB1289" i="29184"/>
  <c r="AB1942" i="29184"/>
  <c r="AD1705" i="29184"/>
  <c r="AB860" i="29184"/>
  <c r="AD1403" i="29184"/>
  <c r="AB353" i="29184"/>
  <c r="AD1975" i="29184"/>
  <c r="AB819" i="29184"/>
  <c r="AD375" i="29184"/>
  <c r="AC128" i="30041"/>
  <c r="AB1932" i="29184"/>
  <c r="AB332" i="29184"/>
  <c r="AD1045" i="29184"/>
  <c r="AD599" i="29184"/>
  <c r="AD1018" i="29184"/>
  <c r="AB1701" i="29184"/>
  <c r="AB167" i="29184"/>
  <c r="AD1057" i="29184"/>
  <c r="AD585" i="29184"/>
  <c r="AD1820" i="29184"/>
  <c r="AB177" i="29184"/>
  <c r="AB1724" i="29184"/>
  <c r="AD1182" i="29184"/>
  <c r="AD167" i="29184"/>
  <c r="AD641" i="29184"/>
  <c r="AD1473" i="29184"/>
  <c r="AD689" i="29184"/>
  <c r="AB1332" i="29184"/>
  <c r="AB1407" i="29184"/>
  <c r="AD178" i="29184"/>
  <c r="AD1556" i="29184"/>
  <c r="Y100" i="30041"/>
  <c r="AB115" i="29184"/>
  <c r="AD697" i="29184"/>
  <c r="AD772" i="29184"/>
  <c r="AD681" i="29184"/>
  <c r="AB1883" i="29184"/>
  <c r="AD477" i="29184"/>
  <c r="AB1004" i="29184"/>
  <c r="AD1793" i="29184"/>
  <c r="AB597" i="29184"/>
  <c r="AD1428" i="29184"/>
  <c r="AB988" i="29184"/>
  <c r="AD1564" i="29184"/>
  <c r="AD147" i="29184"/>
  <c r="AB511" i="29184"/>
  <c r="AB101" i="29184"/>
  <c r="AB622" i="29184"/>
  <c r="AB1637" i="29184"/>
  <c r="AB1371" i="29184"/>
  <c r="Y66" i="8192"/>
  <c r="AD1990" i="29184"/>
  <c r="AB863" i="29184"/>
  <c r="AD1895" i="29184"/>
  <c r="AB1546" i="29184"/>
  <c r="AB1572" i="29184"/>
  <c r="AD1385" i="29184"/>
  <c r="AB1770" i="29184"/>
  <c r="AB556" i="29184"/>
  <c r="AB1175" i="29184"/>
  <c r="AB1359" i="29184"/>
  <c r="AD1445" i="29184"/>
  <c r="AB625" i="29184"/>
  <c r="AB170" i="29184"/>
  <c r="AD137" i="29184"/>
  <c r="AD692" i="29184"/>
  <c r="AB899" i="29184"/>
  <c r="AD1538" i="29184"/>
  <c r="AB615" i="29184"/>
  <c r="AB1092" i="29184"/>
  <c r="AD937" i="29184"/>
  <c r="AB318" i="29184"/>
  <c r="AB927" i="29184"/>
  <c r="AD361" i="29184"/>
  <c r="AB172" i="29184"/>
  <c r="AD624" i="29184"/>
  <c r="AB213" i="29184"/>
  <c r="AD1096" i="29184"/>
  <c r="AB572" i="29184"/>
  <c r="AD1496" i="29184"/>
  <c r="AD414" i="29184"/>
  <c r="AD622" i="29184"/>
  <c r="AB1072" i="29184"/>
  <c r="AB1426" i="29184"/>
  <c r="AD308" i="29184"/>
  <c r="AB1570" i="29184"/>
  <c r="AD1229" i="29184"/>
  <c r="AB400" i="29184"/>
  <c r="AD181" i="29184"/>
  <c r="AD1785" i="29184"/>
  <c r="AB881" i="29184"/>
  <c r="K6" i="30028"/>
  <c r="AB720" i="29184"/>
  <c r="AD86" i="29184"/>
  <c r="AD1704" i="29184"/>
  <c r="AD1972" i="29184"/>
  <c r="AD878" i="29184"/>
  <c r="AD31" i="29184"/>
  <c r="AB1363" i="29184"/>
  <c r="Y128" i="30041"/>
  <c r="AB599" i="29184"/>
  <c r="AB387" i="29184"/>
  <c r="AD511" i="29184"/>
  <c r="Y14" i="8192"/>
  <c r="AB288" i="29184"/>
  <c r="AD152" i="29184"/>
  <c r="AD161" i="29184"/>
  <c r="AD1807" i="29184"/>
  <c r="AB1713" i="29184"/>
  <c r="AD1651" i="29184"/>
  <c r="AB701" i="29184"/>
  <c r="AB1416" i="29184"/>
  <c r="AD1506" i="29184"/>
  <c r="AD1923" i="29184"/>
  <c r="AB1617" i="29184"/>
  <c r="AB225" i="29184"/>
  <c r="AD28" i="29184"/>
  <c r="AB1086" i="29184"/>
  <c r="AB755" i="29184"/>
  <c r="AD1258" i="29184"/>
  <c r="AB1641" i="29184"/>
  <c r="AB640" i="29184"/>
  <c r="AB1840" i="29184"/>
  <c r="AB1678" i="29184"/>
  <c r="AD54" i="29184"/>
  <c r="AD693" i="29184"/>
  <c r="AD1594" i="29184"/>
  <c r="AB616" i="29184"/>
  <c r="AD1046" i="29184"/>
  <c r="AD1206" i="29184"/>
  <c r="AB918" i="29184"/>
  <c r="AD974" i="29184"/>
  <c r="AD1337" i="29184"/>
  <c r="AD1871" i="29184"/>
  <c r="AB62" i="29184"/>
  <c r="AD42" i="29184"/>
  <c r="AD1264" i="29184"/>
  <c r="AB1245" i="29184"/>
  <c r="AB1168" i="29184"/>
  <c r="AD1462" i="29184"/>
  <c r="AD1685" i="29184"/>
  <c r="AD1088" i="29184"/>
  <c r="AB118" i="29184"/>
  <c r="AB43" i="29184"/>
  <c r="AD1101" i="29184"/>
  <c r="AD879" i="29184"/>
  <c r="AD1038" i="29184"/>
  <c r="AD1179" i="29184"/>
  <c r="AB125" i="29184"/>
  <c r="AB1139" i="29184"/>
  <c r="AB1793" i="29184"/>
  <c r="AD994" i="29184"/>
  <c r="AB1858" i="29184"/>
  <c r="AD1299" i="29184"/>
  <c r="AB359" i="29184"/>
  <c r="AB1043" i="29184"/>
  <c r="AD9" i="29184"/>
  <c r="AB1451" i="29184"/>
  <c r="AB983" i="29184"/>
  <c r="AB1006" i="29184"/>
  <c r="AB1154" i="29184"/>
  <c r="AB1842" i="29184"/>
  <c r="AB1601" i="29184"/>
  <c r="AD1716" i="29184"/>
  <c r="AB240" i="29184"/>
  <c r="AD1199" i="29184"/>
  <c r="AD820" i="29184"/>
  <c r="AB1299" i="29184"/>
  <c r="AD975" i="29184"/>
  <c r="AB1014" i="29184"/>
  <c r="AB743" i="29184"/>
  <c r="AD1672" i="29184"/>
  <c r="AB275" i="29184"/>
  <c r="AD725" i="29184"/>
  <c r="AD1537" i="29184"/>
  <c r="AB1373" i="29184"/>
  <c r="AB315" i="29184"/>
  <c r="AB1484" i="29184"/>
  <c r="AB820" i="29184"/>
  <c r="AB314" i="29184"/>
  <c r="AB998" i="29184"/>
  <c r="AB1669" i="29184"/>
  <c r="AD1438" i="29184"/>
  <c r="AD1332" i="29184"/>
  <c r="AB907" i="29184"/>
  <c r="AD1268" i="29184"/>
  <c r="AB420" i="29184"/>
  <c r="AB1716" i="29184"/>
  <c r="AD241" i="29184"/>
  <c r="AD597" i="29184"/>
  <c r="AB1467" i="29184"/>
  <c r="AD631" i="29184"/>
  <c r="AD637" i="29184"/>
  <c r="AD1586" i="29184"/>
  <c r="AB1156" i="29184"/>
  <c r="AB219" i="29184"/>
  <c r="AD1633" i="29184"/>
  <c r="AB851" i="29184"/>
  <c r="AD936" i="29184"/>
  <c r="AC69" i="8192"/>
  <c r="AD1396" i="29184"/>
  <c r="AB41" i="29184"/>
  <c r="AD314" i="29184"/>
  <c r="AB1235" i="29184"/>
  <c r="AD830" i="29184"/>
  <c r="AD1156" i="29184"/>
  <c r="AB693" i="29184"/>
  <c r="AB1136" i="29184"/>
  <c r="AD1340" i="29184"/>
  <c r="AD464" i="29184"/>
  <c r="AD889" i="29184"/>
  <c r="AD632" i="29184"/>
  <c r="AD1342" i="29184"/>
  <c r="AD742" i="29184"/>
  <c r="AD1470" i="29184"/>
  <c r="AB1472" i="29184"/>
  <c r="AD739" i="29184"/>
  <c r="AB79" i="29184"/>
  <c r="AB974" i="29184"/>
  <c r="AB1846" i="29184"/>
  <c r="AB1263" i="29184"/>
  <c r="AB1582" i="29184"/>
  <c r="AB782" i="29184"/>
  <c r="AD1091" i="29184"/>
  <c r="AB81" i="29184"/>
  <c r="AB1227" i="29184"/>
  <c r="AD1891" i="29184"/>
  <c r="AD1278" i="29184"/>
  <c r="AB410" i="29184"/>
  <c r="AB1078" i="29184"/>
  <c r="AD445" i="29184"/>
  <c r="AD1779" i="29184"/>
  <c r="AD123" i="29184"/>
  <c r="AB148" i="29184"/>
  <c r="AD842" i="29184"/>
  <c r="AD325" i="29184"/>
  <c r="AD1688" i="29184"/>
  <c r="AB1061" i="29184"/>
  <c r="AB674" i="29184"/>
  <c r="AD1494" i="29184"/>
  <c r="AB407" i="29184"/>
  <c r="AD1103" i="29184"/>
  <c r="AB1959" i="29184"/>
  <c r="AB770" i="29184"/>
  <c r="AB241" i="29184"/>
  <c r="AD211" i="29184"/>
  <c r="AD1341" i="29184"/>
  <c r="AD1135" i="29184"/>
  <c r="AD640" i="29184"/>
  <c r="AB1729" i="29184"/>
  <c r="AD1578" i="29184"/>
  <c r="AD1442" i="29184"/>
  <c r="AB149" i="29184"/>
  <c r="AD1267" i="29184"/>
  <c r="AD1658" i="29184"/>
  <c r="AB996" i="29184"/>
  <c r="AB1167" i="29184"/>
  <c r="AD1375" i="29184"/>
  <c r="AC93" i="30041"/>
  <c r="AD1606" i="29184"/>
  <c r="AD508" i="29184"/>
  <c r="AB1335" i="29184"/>
  <c r="AB1560" i="29184"/>
  <c r="AD288" i="29184"/>
  <c r="AB1041" i="29184"/>
  <c r="AB1963" i="29184"/>
  <c r="AB1806" i="29184"/>
  <c r="AD459" i="29184"/>
  <c r="AB1907" i="29184"/>
  <c r="AB492" i="29184"/>
  <c r="AD720" i="29184"/>
  <c r="AB310" i="29184"/>
  <c r="AD647" i="29184"/>
  <c r="AD1265" i="29184"/>
  <c r="AB424" i="29184"/>
  <c r="AB1507" i="29184"/>
  <c r="AB772" i="29184"/>
  <c r="AD988" i="29184"/>
  <c r="AB143" i="29184"/>
  <c r="AD480" i="29184"/>
  <c r="AB46" i="29184"/>
  <c r="AD1331" i="29184"/>
  <c r="AB1900" i="29184"/>
  <c r="AB1468" i="29184"/>
  <c r="AD1412" i="29184"/>
  <c r="AD1419" i="29184"/>
  <c r="AB1265" i="29184"/>
  <c r="AB1394" i="29184"/>
  <c r="AD1450" i="29184"/>
  <c r="AD1733" i="29184"/>
  <c r="AD1485" i="29184"/>
  <c r="AD1233" i="29184"/>
  <c r="AD1908" i="29184"/>
  <c r="AB1325" i="29184"/>
  <c r="AB1023" i="29184"/>
  <c r="AD909" i="29184"/>
  <c r="AD330" i="29184"/>
  <c r="AD1478" i="29184"/>
  <c r="AD1560" i="29184"/>
  <c r="AD1552" i="29184"/>
  <c r="AB614" i="29184"/>
  <c r="AB1176" i="29184"/>
  <c r="AD149" i="29184"/>
  <c r="AD551" i="29184"/>
  <c r="AD934" i="29184"/>
  <c r="AD353" i="29184"/>
  <c r="AD869" i="29184"/>
  <c r="AD716" i="29184"/>
  <c r="AD1692" i="29184"/>
  <c r="AD1067" i="29184"/>
  <c r="AD219" i="29184"/>
  <c r="AD1798" i="29184"/>
  <c r="AD569" i="29184"/>
  <c r="AD672" i="29184"/>
  <c r="AB379" i="29184"/>
  <c r="AD1167" i="29184"/>
  <c r="AB71" i="29184"/>
  <c r="AD908" i="29184"/>
  <c r="AB507" i="29184"/>
  <c r="AB995" i="29184"/>
  <c r="AD1699" i="29184"/>
  <c r="AD1573" i="29184"/>
  <c r="AB510" i="29184"/>
  <c r="AD1797" i="29184"/>
  <c r="AD1144" i="29184"/>
  <c r="AD1449" i="29184"/>
  <c r="AB45" i="29184"/>
  <c r="AD254" i="29184"/>
  <c r="AD520" i="29184"/>
  <c r="AB671" i="29184"/>
  <c r="AB1740" i="29184"/>
  <c r="AB1158" i="29184"/>
  <c r="AB1380" i="29184"/>
  <c r="AD138" i="29184"/>
  <c r="AB1108" i="29184"/>
  <c r="AD606" i="29184"/>
  <c r="AD1296" i="29184"/>
  <c r="AB1347" i="29184"/>
  <c r="AD504" i="29184"/>
  <c r="AD413" i="29184"/>
  <c r="AB1002" i="29184"/>
  <c r="AB935" i="29184"/>
  <c r="AB1899" i="29184"/>
  <c r="AB1715" i="29184"/>
  <c r="AD1495" i="29184"/>
  <c r="AD1212" i="29184"/>
  <c r="AD303" i="29184"/>
  <c r="AB37" i="29184"/>
  <c r="AD1365" i="29184"/>
  <c r="AB1591" i="29184"/>
  <c r="AB1463" i="29184"/>
  <c r="AB252" i="29184"/>
  <c r="AB452" i="29184"/>
  <c r="AD1457" i="29184"/>
  <c r="AD502" i="29184"/>
  <c r="AB372" i="29184"/>
  <c r="AB1437" i="29184"/>
  <c r="AD1973" i="29184"/>
  <c r="AD1188" i="29184"/>
  <c r="AD1878" i="29184"/>
  <c r="AD1661" i="29184"/>
  <c r="AD1605" i="29184"/>
  <c r="AB753" i="29184"/>
  <c r="AD1235" i="29184"/>
  <c r="AD307" i="29184"/>
  <c r="AD1678" i="29184"/>
  <c r="AB1207" i="29184"/>
  <c r="AD385" i="29184"/>
  <c r="AD1187" i="29184"/>
  <c r="AD59" i="29184"/>
  <c r="AB1068" i="29184"/>
  <c r="AB779" i="29184"/>
  <c r="AB138" i="29184"/>
  <c r="AB1923" i="29184"/>
  <c r="AD1194" i="29184"/>
  <c r="AD593" i="29184"/>
  <c r="AB186" i="29184"/>
  <c r="AB1257" i="29184"/>
  <c r="AB1937" i="29184"/>
  <c r="AB631" i="29184"/>
  <c r="AD170" i="29184"/>
  <c r="AB1596" i="29184"/>
  <c r="AD1021" i="29184"/>
  <c r="AB77" i="29184"/>
  <c r="AD752" i="29184"/>
  <c r="AD688" i="29184"/>
  <c r="AD1360" i="29184"/>
  <c r="AC17" i="8192"/>
  <c r="AB549" i="29184"/>
  <c r="AB896" i="29184"/>
  <c r="AB1001" i="29184"/>
  <c r="AB1094" i="29184"/>
  <c r="AD1771" i="29184"/>
  <c r="AB1508" i="29184"/>
  <c r="AB865" i="29184"/>
  <c r="AB852" i="29184"/>
  <c r="AB623" i="29184"/>
  <c r="AD766" i="29184"/>
  <c r="AB181" i="29184"/>
  <c r="AB637" i="29184"/>
  <c r="AB844" i="29184"/>
  <c r="AB183" i="29184"/>
  <c r="AD733" i="29184"/>
  <c r="AD1363" i="29184"/>
  <c r="AD1536" i="29184"/>
  <c r="AB961" i="29184"/>
  <c r="AB1857" i="29184"/>
  <c r="AB879" i="29184"/>
  <c r="AD1448" i="29184"/>
  <c r="AD592" i="29184"/>
  <c r="AB1733" i="29184"/>
  <c r="AB297" i="29184"/>
  <c r="AB1983" i="29184"/>
  <c r="AB1965" i="29184"/>
  <c r="AB1578" i="29184"/>
  <c r="AD1361" i="29184"/>
  <c r="AD17" i="29184"/>
  <c r="AB1066" i="29184"/>
  <c r="AD1985" i="29184"/>
  <c r="AD115" i="29184"/>
  <c r="AB485" i="29184"/>
  <c r="AD1870" i="29184"/>
  <c r="AB550" i="29184"/>
  <c r="AD701" i="29184"/>
  <c r="AD1881" i="29184"/>
  <c r="AD1607" i="29184"/>
  <c r="AB1683" i="29184"/>
  <c r="AD127" i="29184"/>
  <c r="AC66" i="8192"/>
  <c r="AD1925" i="29184"/>
  <c r="AB1370" i="29184"/>
  <c r="AB1569" i="29184"/>
  <c r="AD410" i="29184"/>
  <c r="AB1561" i="29184"/>
  <c r="AB621" i="29184"/>
  <c r="AB1988" i="29184"/>
  <c r="AD1155" i="29184"/>
  <c r="AB1888" i="29184"/>
  <c r="AB1238" i="29184"/>
  <c r="AB228" i="29184"/>
  <c r="AD1836" i="29184"/>
  <c r="AD38" i="29184"/>
  <c r="AB1365" i="29184"/>
  <c r="AB1184" i="29184"/>
  <c r="AB293" i="29184"/>
  <c r="AB1893" i="29184"/>
  <c r="AB1453" i="29184"/>
  <c r="AB685" i="29184"/>
  <c r="AD1222" i="29184"/>
  <c r="AB63" i="29184"/>
  <c r="AB1870" i="29184"/>
  <c r="AD1293" i="29184"/>
  <c r="Y55" i="30041"/>
  <c r="AD978" i="29184"/>
  <c r="AD581" i="29184"/>
  <c r="AB44" i="29184"/>
  <c r="AD862" i="29184"/>
  <c r="AD119" i="29184"/>
  <c r="AB311" i="29184"/>
  <c r="AD392" i="29184"/>
  <c r="AB1414" i="29184"/>
  <c r="AD1489" i="29184"/>
  <c r="AD255" i="29184"/>
  <c r="AB1835" i="29184"/>
  <c r="AD1839" i="29184"/>
  <c r="AD1234" i="29184"/>
  <c r="AD911" i="29184"/>
  <c r="AB900" i="29184"/>
  <c r="AD890" i="29184"/>
  <c r="AD1383" i="29184"/>
  <c r="AD736" i="29184"/>
  <c r="AD1961" i="29184"/>
  <c r="AB1429" i="29184"/>
  <c r="AD1192" i="29184"/>
  <c r="AB735" i="29184"/>
  <c r="AD1262" i="29184"/>
  <c r="AD1279" i="29184"/>
  <c r="AB1616" i="29184"/>
  <c r="AB119" i="29184"/>
  <c r="AD1335" i="29184"/>
  <c r="AD394" i="29184"/>
  <c r="AB574" i="29184"/>
  <c r="AD1420" i="29184"/>
  <c r="AB1015" i="29184"/>
  <c r="AB682" i="29184"/>
  <c r="AB1298" i="29184"/>
  <c r="AD1984" i="29184"/>
  <c r="AD487" i="29184"/>
  <c r="AD1463" i="29184"/>
  <c r="AB1268" i="29184"/>
  <c r="AB1267" i="29184"/>
  <c r="AD726" i="29184"/>
  <c r="AD630" i="29184"/>
  <c r="AD1800" i="29184"/>
  <c r="AD709" i="29184"/>
  <c r="AD279" i="29184"/>
  <c r="AC107" i="30041"/>
  <c r="AB1624" i="29184"/>
  <c r="AD120" i="29184"/>
  <c r="AB82" i="29184"/>
  <c r="AD39" i="29184"/>
  <c r="AD470" i="29184"/>
  <c r="AB496" i="29184"/>
  <c r="AD1379" i="29184"/>
  <c r="AD1867" i="29184"/>
  <c r="AD1501" i="29184"/>
  <c r="AB548" i="29184"/>
  <c r="AD1903" i="29184"/>
  <c r="AB830" i="29184"/>
  <c r="AB1723" i="29184"/>
  <c r="AD26" i="29184"/>
  <c r="AD1706" i="29184"/>
  <c r="AB116" i="29184"/>
  <c r="AD98" i="29184"/>
  <c r="AB1956" i="29184"/>
  <c r="AB1008" i="29184"/>
  <c r="AB1189" i="29184"/>
  <c r="AD1373" i="29184"/>
  <c r="AD1579" i="29184"/>
  <c r="AB734" i="29184"/>
  <c r="AB882" i="29184"/>
  <c r="AD173" i="29184"/>
  <c r="AD1395" i="29184"/>
  <c r="AB210" i="29184"/>
  <c r="AB1051" i="29184"/>
  <c r="AD447" i="29184"/>
  <c r="AD702" i="29184"/>
  <c r="AB742" i="29184"/>
  <c r="AD567" i="29184"/>
  <c r="AB1705" i="29184"/>
  <c r="AB649" i="29184"/>
  <c r="AD825" i="29184"/>
  <c r="AD72" i="29184"/>
  <c r="AB1360" i="29184"/>
  <c r="AB321" i="29184"/>
  <c r="AB1735" i="29184"/>
  <c r="AB296" i="29184"/>
  <c r="AD240" i="29184"/>
  <c r="AB1811" i="29184"/>
  <c r="AB358" i="29184"/>
  <c r="AD493" i="29184"/>
  <c r="AB1194" i="29184"/>
  <c r="AD1601" i="29184"/>
  <c r="AB1376" i="29184"/>
  <c r="AB1483" i="29184"/>
  <c r="AB7" i="29184"/>
  <c r="AD1786" i="29184"/>
  <c r="AB694" i="29184"/>
  <c r="AB491" i="29184"/>
  <c r="AD316" i="29184"/>
  <c r="AD128" i="29184"/>
  <c r="AB1256" i="29184"/>
  <c r="AB817" i="29184"/>
  <c r="AD1351" i="29184"/>
  <c r="AD500" i="29184"/>
  <c r="AD1384" i="29184"/>
  <c r="AB926" i="29184"/>
  <c r="AD1926" i="29184"/>
  <c r="AB1834" i="29184"/>
  <c r="AD1244" i="29184"/>
  <c r="AD873" i="29184"/>
  <c r="AD1004" i="29184"/>
  <c r="AD807" i="29184"/>
  <c r="AB248" i="29184"/>
  <c r="K50" i="440"/>
  <c r="AB361" i="29184"/>
  <c r="AB1990" i="29184"/>
  <c r="AD463" i="29184"/>
  <c r="AD354" i="29184"/>
  <c r="AB331" i="29184"/>
  <c r="AD114" i="29184"/>
  <c r="AB1673" i="29184"/>
  <c r="AB1055" i="29184"/>
  <c r="AD1865" i="29184"/>
  <c r="AB1213" i="29184"/>
  <c r="AD1034" i="29184"/>
  <c r="AD1324" i="29184"/>
  <c r="AD1413" i="29184"/>
  <c r="AB121" i="29184"/>
  <c r="AB1182" i="29184"/>
  <c r="AD1216" i="29184"/>
  <c r="AB106" i="29184"/>
  <c r="AD1694" i="29184"/>
  <c r="AD1014" i="29184"/>
  <c r="AB415" i="29184"/>
  <c r="AB1392" i="29184"/>
  <c r="AB55" i="29184"/>
  <c r="AD69" i="29184"/>
  <c r="AB1273" i="29184"/>
  <c r="AB1645" i="29184"/>
  <c r="AD1619" i="29184"/>
  <c r="AB1178" i="29184"/>
  <c r="AB724" i="29184"/>
  <c r="AB48" i="29184"/>
  <c r="AB526" i="29184"/>
  <c r="AB1871" i="29184"/>
  <c r="AD1336" i="29184"/>
  <c r="AD1138" i="29184"/>
  <c r="AD289" i="29184"/>
  <c r="AB1486" i="29184"/>
  <c r="AD1847" i="29184"/>
  <c r="AB1188" i="29184"/>
  <c r="AD1721" i="29184"/>
  <c r="AB1149" i="29184"/>
  <c r="AB1812" i="29184"/>
  <c r="AD1905" i="29184"/>
  <c r="AD1875" i="29184"/>
  <c r="AB1820" i="29184"/>
  <c r="AD1159" i="29184"/>
  <c r="AB217" i="29184"/>
  <c r="AB1494" i="29184"/>
  <c r="AB1239" i="29184"/>
  <c r="AB1768" i="29184"/>
  <c r="AB843" i="29184"/>
  <c r="AB122" i="29184"/>
  <c r="AB127" i="29184"/>
  <c r="AB708" i="29184"/>
  <c r="AD1491" i="29184"/>
  <c r="AB1361" i="29184"/>
  <c r="AD1474" i="29184"/>
  <c r="AD492" i="29184"/>
  <c r="AD359" i="29184"/>
  <c r="AB589" i="29184"/>
  <c r="AB78" i="29184"/>
  <c r="K21" i="30028"/>
  <c r="AD324" i="29184"/>
  <c r="AB472" i="29184"/>
  <c r="AD1919" i="29184"/>
  <c r="AD1071" i="29184"/>
  <c r="AD1893" i="29184"/>
  <c r="AD1591" i="29184"/>
  <c r="AD146" i="29184"/>
  <c r="AB1036" i="29184"/>
  <c r="AB710" i="29184"/>
  <c r="AB1249" i="29184"/>
  <c r="AB1383" i="29184"/>
  <c r="AB596" i="29184"/>
  <c r="AD479" i="29184"/>
  <c r="AD1655" i="29184"/>
  <c r="AB1712" i="29184"/>
  <c r="AB108" i="29184"/>
  <c r="AD1087" i="29184"/>
  <c r="AB1619" i="29184"/>
  <c r="AD1032" i="29184"/>
  <c r="AD1407" i="29184"/>
  <c r="AD88" i="29184"/>
  <c r="AB1016" i="29184"/>
  <c r="AB1788" i="29184"/>
  <c r="AB1927" i="29184"/>
  <c r="AB1423" i="29184"/>
  <c r="AD698" i="29184"/>
  <c r="AD577" i="29184"/>
  <c r="AB1710" i="29184"/>
  <c r="AB59" i="29184"/>
  <c r="AD182" i="29184"/>
  <c r="AD1505" i="29184"/>
  <c r="AB1065" i="29184"/>
  <c r="AB94" i="29184"/>
  <c r="AB486" i="29184"/>
  <c r="AD242" i="29184"/>
  <c r="AB1077" i="29184"/>
  <c r="AD1078" i="29184"/>
  <c r="AD1456" i="29184"/>
  <c r="AD1648" i="29184"/>
  <c r="AD818" i="29184"/>
  <c r="AD1681" i="29184"/>
  <c r="AD808" i="29184"/>
  <c r="AB1736" i="29184"/>
  <c r="AB746" i="29184"/>
  <c r="AB99" i="29184"/>
  <c r="AB1193" i="29184"/>
  <c r="AB584" i="29184"/>
  <c r="AB303" i="29184"/>
  <c r="AB1173" i="29184"/>
  <c r="AB1589" i="29184"/>
  <c r="AD484" i="29184"/>
  <c r="AB1064" i="29184"/>
  <c r="AB487" i="29184"/>
  <c r="AB100" i="29184"/>
  <c r="AD1174" i="29184"/>
  <c r="AB527" i="29184"/>
  <c r="AB392" i="29184"/>
  <c r="AD1806" i="29184"/>
  <c r="AB600" i="29184"/>
  <c r="AB1056" i="29184"/>
  <c r="AB19" i="29184"/>
  <c r="AB1795" i="29184"/>
  <c r="AB28" i="29184"/>
  <c r="AD1558" i="29184"/>
  <c r="AB1869" i="29184"/>
  <c r="AB1919" i="29184"/>
  <c r="AD865" i="29184"/>
  <c r="AB1951" i="29184"/>
  <c r="AB42" i="29184"/>
  <c r="AD901" i="29184"/>
  <c r="AB1991" i="29184"/>
  <c r="AB366" i="29184"/>
  <c r="AB1183" i="29184"/>
  <c r="AB1157" i="29184"/>
  <c r="AB1439" i="29184"/>
  <c r="AB1779" i="29184"/>
  <c r="AD444" i="29184"/>
  <c r="AD302" i="29184"/>
  <c r="AB1259" i="29184"/>
  <c r="AD1842" i="29184"/>
  <c r="AB1287" i="29184"/>
  <c r="AB612" i="29184"/>
  <c r="AD699" i="29184"/>
  <c r="AD126" i="29184"/>
  <c r="AD1409" i="29184"/>
  <c r="AB1605" i="29184"/>
  <c r="AB835" i="29184"/>
  <c r="AD1471" i="29184"/>
  <c r="AD1900" i="29184"/>
  <c r="AD1781" i="29184"/>
  <c r="AD40" i="29184"/>
  <c r="AB1738" i="29184"/>
  <c r="AD1047" i="29184"/>
  <c r="AB1144" i="29184"/>
  <c r="AB1639" i="29184"/>
  <c r="AD914" i="29184"/>
  <c r="AD977" i="29184"/>
  <c r="AB102" i="29184"/>
  <c r="AD1208" i="29184"/>
  <c r="AB837" i="29184"/>
  <c r="AD829" i="29184"/>
  <c r="AB624" i="29184"/>
  <c r="AB1943" i="29184"/>
  <c r="AD315" i="29184"/>
  <c r="AD1055" i="29184"/>
  <c r="AD843" i="29184"/>
  <c r="AB1505" i="29184"/>
  <c r="AD1980" i="29184"/>
  <c r="AB702" i="29184"/>
  <c r="AD1493" i="29184"/>
  <c r="AD1883" i="29184"/>
  <c r="AB963" i="29184"/>
  <c r="AB647" i="29184"/>
  <c r="AB1449" i="29184"/>
  <c r="AB689" i="29184"/>
  <c r="AD169" i="29184"/>
  <c r="AB834" i="29184"/>
  <c r="AD461" i="29184"/>
  <c r="AD775" i="29184"/>
  <c r="AD1215" i="29184"/>
  <c r="AB484" i="29184"/>
  <c r="AD1026" i="29184"/>
  <c r="AD607" i="29184"/>
  <c r="AB168" i="29184"/>
  <c r="AD1623" i="29184"/>
  <c r="AD1077" i="29184"/>
  <c r="AB222" i="29184"/>
  <c r="AD762" i="29184"/>
  <c r="AD916" i="29184"/>
  <c r="AB1904" i="29184"/>
  <c r="AB1836" i="29184"/>
  <c r="AD1650" i="29184"/>
  <c r="AD1289" i="29184"/>
  <c r="AB916" i="29184"/>
  <c r="AD1502" i="29184"/>
  <c r="AB478" i="29184"/>
  <c r="AD352" i="29184"/>
  <c r="AD986" i="29184"/>
  <c r="AD1072" i="29184"/>
  <c r="AD773" i="29184"/>
  <c r="AB1696" i="29184"/>
  <c r="AB715" i="29184"/>
  <c r="AD715" i="29184"/>
  <c r="AD648" i="29184"/>
  <c r="AD281" i="29184"/>
  <c r="AB1662" i="29184"/>
  <c r="AB1413" i="29184"/>
  <c r="AD186" i="29184"/>
  <c r="AB216" i="29184"/>
  <c r="AD1892" i="29184"/>
  <c r="AB752" i="29184"/>
  <c r="AD1033" i="29184"/>
  <c r="AD1715" i="29184"/>
  <c r="AB512" i="29184"/>
  <c r="AB480" i="29184"/>
  <c r="AB1702" i="29184"/>
  <c r="AD700" i="29184"/>
  <c r="AB174" i="29184"/>
  <c r="AD1819" i="29184"/>
  <c r="AB352" i="29184"/>
  <c r="AD510" i="29184"/>
  <c r="AB862" i="29184"/>
  <c r="AD1804" i="29184"/>
  <c r="AB1237" i="29184"/>
  <c r="AD1205" i="29184"/>
  <c r="AB1875" i="29184"/>
  <c r="AB1216" i="29184"/>
  <c r="AB1288" i="29184"/>
  <c r="AD574" i="29184"/>
  <c r="AD323" i="29184"/>
  <c r="AD1792" i="29184"/>
  <c r="AB1018" i="29184"/>
  <c r="AB1611" i="29184"/>
  <c r="AD1227" i="29184"/>
  <c r="AB1502" i="29184"/>
  <c r="AD1739" i="29184"/>
  <c r="AD1584" i="29184"/>
  <c r="AD380" i="29184"/>
  <c r="AB1548" i="29184"/>
  <c r="AD743" i="29184"/>
  <c r="AD294" i="29184"/>
  <c r="AB1783" i="29184"/>
  <c r="AB1929" i="29184"/>
  <c r="AD770" i="29184"/>
  <c r="AD1955" i="29184"/>
  <c r="AB520" i="29184"/>
  <c r="AD70" i="29184"/>
  <c r="AD275" i="29184"/>
  <c r="AB588" i="29184"/>
  <c r="AD58" i="29184"/>
  <c r="AD1283" i="29184"/>
  <c r="AB98" i="29184"/>
  <c r="AD18" i="29184"/>
  <c r="AD1107" i="29184"/>
  <c r="AB1784" i="29184"/>
  <c r="AD1788" i="29184"/>
  <c r="AB1538" i="29184"/>
  <c r="AB1894" i="29184"/>
  <c r="AB1205" i="29184"/>
  <c r="AD1791" i="29184"/>
  <c r="AD780" i="29184"/>
  <c r="AD1358" i="29184"/>
  <c r="AB477" i="29184"/>
  <c r="AB628" i="29184"/>
  <c r="AB274" i="29184"/>
  <c r="AD747" i="29184"/>
  <c r="AD1906" i="29184"/>
  <c r="AD1927" i="29184"/>
  <c r="AD1382" i="29184"/>
  <c r="AB8" i="29184"/>
  <c r="AD983" i="29184"/>
  <c r="AB854" i="29184"/>
  <c r="AB281" i="29184"/>
  <c r="AD1255" i="29184"/>
  <c r="AB569" i="29184"/>
  <c r="AD556" i="29184"/>
  <c r="AD928" i="29184"/>
  <c r="AD1953" i="29184"/>
  <c r="AD608" i="29184"/>
  <c r="AD926" i="29184"/>
  <c r="AD1214" i="29184"/>
  <c r="AD964" i="29184"/>
  <c r="AD1145" i="29184"/>
  <c r="AD1436" i="29184"/>
  <c r="AB706" i="29184"/>
  <c r="AB304" i="29184"/>
  <c r="AB207" i="29184"/>
  <c r="AD63" i="29184"/>
  <c r="AB1557" i="29184"/>
  <c r="AD1534" i="29184"/>
  <c r="AB1142" i="29184"/>
  <c r="AB699" i="29184"/>
  <c r="AB839" i="29184"/>
  <c r="AB1457" i="29184"/>
  <c r="AD1006" i="29184"/>
  <c r="AB1818" i="29184"/>
  <c r="AD1024" i="29184"/>
  <c r="AD880" i="29184"/>
  <c r="AB1038" i="29184"/>
  <c r="AD1277" i="29184"/>
  <c r="AB308" i="29184"/>
  <c r="AB1226" i="29184"/>
  <c r="AB120" i="29184"/>
  <c r="AD604" i="29184"/>
  <c r="AD1673" i="29184"/>
  <c r="AB470" i="29184"/>
  <c r="AB147" i="29184"/>
  <c r="AB75" i="29184"/>
  <c r="AD1831" i="29184"/>
  <c r="AD1390" i="29184"/>
  <c r="AD1810" i="29184"/>
  <c r="AB1890" i="29184"/>
  <c r="AD682" i="29184"/>
  <c r="AB459" i="29184"/>
  <c r="AD1581" i="29184"/>
  <c r="AB933" i="29184"/>
  <c r="AB1562" i="29184"/>
  <c r="AD1392" i="29184"/>
  <c r="AD1602" i="29184"/>
  <c r="AD1636" i="29184"/>
  <c r="AB726" i="29184"/>
  <c r="AD1085" i="29184"/>
  <c r="AB1134" i="29184"/>
  <c r="AD1415" i="29184"/>
  <c r="AD572" i="29184"/>
  <c r="AB1556" i="29184"/>
  <c r="AB114" i="29184"/>
  <c r="AB1132" i="29184"/>
  <c r="AD409" i="29184"/>
  <c r="AD1628" i="29184"/>
  <c r="AD1635" i="29184"/>
  <c r="AD1561" i="29184"/>
  <c r="AD1102" i="29184"/>
  <c r="AB60" i="29184"/>
  <c r="AB1680" i="29184"/>
  <c r="AD558" i="29184"/>
  <c r="AB1930" i="29184"/>
  <c r="AD1638" i="29184"/>
  <c r="AB447" i="29184"/>
  <c r="AB1939" i="29184"/>
  <c r="AB1153" i="29184"/>
  <c r="AD1173" i="29184"/>
  <c r="AB84" i="29184"/>
  <c r="AD1703" i="29184"/>
  <c r="AB838" i="29184"/>
  <c r="AD649" i="29184"/>
  <c r="AB836" i="29184"/>
  <c r="AB1974" i="29184"/>
  <c r="AD364" i="29184"/>
  <c r="AD401" i="29184"/>
  <c r="AD1723" i="29184"/>
  <c r="AD207" i="29184"/>
  <c r="AB1911" i="29184"/>
  <c r="AB1830" i="29184"/>
  <c r="AB1707" i="29184"/>
  <c r="AB1326" i="29184"/>
  <c r="AD231" i="29184"/>
  <c r="AD1858" i="29184"/>
  <c r="AB636" i="29184"/>
  <c r="AD468" i="29184"/>
  <c r="AD495" i="29184"/>
  <c r="AB1247" i="29184"/>
  <c r="AB553" i="29184"/>
  <c r="AD1437" i="29184"/>
  <c r="AB488" i="29184"/>
  <c r="AD1593" i="29184"/>
  <c r="AD162" i="29184"/>
  <c r="AD212" i="29184"/>
  <c r="AD365" i="29184"/>
  <c r="AB864" i="29184"/>
  <c r="AD96" i="29184"/>
  <c r="AB1972" i="29184"/>
  <c r="AD860" i="29184"/>
  <c r="AB1781" i="29184"/>
  <c r="AB1269" i="29184"/>
  <c r="AB688" i="29184"/>
  <c r="AD476" i="29184"/>
  <c r="AB857" i="29184"/>
  <c r="AD171" i="29184"/>
  <c r="AB580" i="29184"/>
  <c r="AD371" i="29184"/>
  <c r="AB173" i="29184"/>
  <c r="AB1417" i="29184"/>
  <c r="AB69" i="29184"/>
  <c r="AD1539" i="29184"/>
  <c r="AB928" i="29184"/>
  <c r="AB421" i="29184"/>
  <c r="AB1594" i="29184"/>
  <c r="AD118" i="29184"/>
  <c r="K24" i="30028"/>
  <c r="AD1612" i="29184"/>
  <c r="AB1574" i="29184"/>
  <c r="AB1976" i="29184"/>
  <c r="AD1624" i="29184"/>
  <c r="AB1690" i="29184"/>
  <c r="AB1450" i="29184"/>
  <c r="AD550" i="29184"/>
  <c r="AB675" i="29184"/>
  <c r="AD1298" i="29184"/>
  <c r="AB1470" i="29184"/>
  <c r="AD1245" i="29184"/>
  <c r="AD1964" i="29184"/>
  <c r="AD460" i="29184"/>
  <c r="AD855" i="29184"/>
  <c r="AD1646" i="29184"/>
  <c r="AB1164" i="29184"/>
  <c r="AB1692" i="29184"/>
  <c r="AB1272" i="29184"/>
  <c r="AD1469" i="29184"/>
  <c r="AB914" i="29184"/>
  <c r="AD483" i="29184"/>
  <c r="AD1695" i="29184"/>
  <c r="AD1977" i="29184"/>
  <c r="AD1461" i="29184"/>
  <c r="AD734" i="29184"/>
  <c r="AD236" i="29184"/>
  <c r="AD1894" i="29184"/>
  <c r="AD1425" i="29184"/>
  <c r="AB351" i="29184"/>
  <c r="AD1616" i="29184"/>
  <c r="AB1232" i="29184"/>
  <c r="AD1325" i="29184"/>
  <c r="AD1359" i="29184"/>
  <c r="AB648" i="29184"/>
  <c r="AB1902" i="29184"/>
  <c r="AD670" i="29184"/>
  <c r="AB1219" i="29184"/>
  <c r="AD1863" i="29184"/>
  <c r="AD517" i="29184"/>
  <c r="AD968" i="29184"/>
  <c r="AB1636" i="29184"/>
  <c r="AD1936" i="29184"/>
  <c r="AD806" i="29184"/>
  <c r="AB1254" i="29184"/>
  <c r="AD888" i="29184"/>
  <c r="AD494" i="29184"/>
  <c r="AB582" i="29184"/>
  <c r="AB1962" i="29184"/>
  <c r="AB1948" i="29184"/>
  <c r="AD839" i="29184"/>
  <c r="AD1959" i="29184"/>
  <c r="AB1177" i="29184"/>
  <c r="AD1185" i="29184"/>
  <c r="AD1864" i="29184"/>
  <c r="AB1456" i="29184"/>
  <c r="AB1162" i="29184"/>
  <c r="AD1803" i="29184"/>
  <c r="AD97" i="29184"/>
  <c r="AB1328" i="29184"/>
  <c r="AB309" i="29184"/>
  <c r="AB607" i="29184"/>
  <c r="AB1973" i="29184"/>
  <c r="AD1008" i="29184"/>
  <c r="AB1821" i="29184"/>
  <c r="AD1504" i="29184"/>
  <c r="AD1563" i="29184"/>
  <c r="AD234" i="29184"/>
  <c r="AD582" i="29184"/>
  <c r="AB775" i="29184"/>
  <c r="AB1787" i="29184"/>
  <c r="AB1703" i="29184"/>
  <c r="AD329" i="29184"/>
  <c r="AB1920" i="29184"/>
  <c r="AB1547" i="29184"/>
  <c r="AB1286" i="29184"/>
  <c r="AD1108" i="29184"/>
  <c r="AB1106" i="29184"/>
  <c r="AD863" i="29184"/>
  <c r="AB1473" i="29184"/>
  <c r="AB1658" i="29184"/>
  <c r="AB1474" i="29184"/>
  <c r="AD1535" i="29184"/>
  <c r="K21" i="440"/>
  <c r="AD1209" i="29184"/>
  <c r="Y69" i="8192"/>
  <c r="AD1740" i="29184"/>
  <c r="AB1028" i="29184"/>
  <c r="AB1192" i="29184"/>
  <c r="AB973" i="29184"/>
  <c r="AD1193" i="29184"/>
  <c r="AB247" i="29184"/>
  <c r="AD1051" i="29184"/>
  <c r="AD1490" i="29184"/>
  <c r="AD1075" i="29184"/>
  <c r="AD1967" i="29184"/>
  <c r="AC11" i="8192"/>
  <c r="K63" i="440"/>
  <c r="AD778" i="29184"/>
  <c r="AB166" i="29184"/>
  <c r="AB134" i="29184"/>
  <c r="AD1547" i="29184"/>
  <c r="AD360" i="29184"/>
  <c r="AD1949" i="29184"/>
  <c r="AD41" i="29184"/>
  <c r="AD1809" i="29184"/>
  <c r="AB1236" i="29184"/>
  <c r="AD317" i="29184"/>
  <c r="AB1728" i="29184"/>
  <c r="AB223" i="29184"/>
  <c r="AB673" i="29184"/>
  <c r="AB1500" i="29184"/>
  <c r="AB737" i="29184"/>
  <c r="AD145" i="29184"/>
  <c r="AB20" i="29184"/>
  <c r="AB301" i="29184"/>
  <c r="AD1852" i="29184"/>
  <c r="AD1935" i="29184"/>
  <c r="AB1165" i="29184"/>
  <c r="AD884" i="29184"/>
  <c r="AB1694" i="29184"/>
  <c r="AB1725" i="29184"/>
  <c r="AB17" i="29184"/>
  <c r="AB87" i="29184"/>
  <c r="AD548" i="29184"/>
  <c r="AD1666" i="29184"/>
  <c r="AB1037" i="29184"/>
  <c r="AB1408" i="29184"/>
  <c r="AB1595" i="29184"/>
  <c r="AB1865" i="29184"/>
  <c r="AB1103" i="29184"/>
  <c r="AD1084" i="29184"/>
  <c r="AB925" i="29184"/>
  <c r="AD837" i="29184"/>
  <c r="AD1061" i="29184"/>
  <c r="AB218" i="29184"/>
  <c r="AB984" i="29184"/>
  <c r="AB811" i="29184"/>
  <c r="AB964" i="29184"/>
  <c r="AB829" i="29184"/>
  <c r="AD1063" i="29184"/>
  <c r="AB246" i="29184"/>
  <c r="AB273" i="29184"/>
  <c r="AB30" i="29184"/>
  <c r="AB211" i="29184"/>
  <c r="AD1978" i="29184"/>
  <c r="AD1795" i="29184"/>
  <c r="AD1398" i="29184"/>
  <c r="AD1275" i="29184"/>
  <c r="AB608" i="29184"/>
  <c r="AD1737" i="29184"/>
  <c r="AB936" i="29184"/>
  <c r="AB287" i="29184"/>
  <c r="AB1769" i="29184"/>
  <c r="AB1901" i="29184"/>
  <c r="AD580" i="29184"/>
  <c r="AD810" i="29184"/>
  <c r="AB1082" i="29184"/>
  <c r="AB613" i="29184"/>
  <c r="AB1044" i="29184"/>
  <c r="AB1648" i="29184"/>
  <c r="AB162" i="29184"/>
  <c r="AD598" i="29184"/>
  <c r="AD819" i="29184"/>
  <c r="AB16" i="29184"/>
  <c r="AB1007" i="29184"/>
  <c r="AD1295" i="29184"/>
  <c r="AD1696" i="29184"/>
  <c r="AD1693" i="29184"/>
  <c r="AD870" i="29184"/>
  <c r="AD1446" i="29184"/>
  <c r="AB1475" i="29184"/>
  <c r="AB1881" i="29184"/>
  <c r="AB679" i="29184"/>
  <c r="AD1775" i="29184"/>
  <c r="AB725" i="29184"/>
  <c r="AB1950" i="29184"/>
  <c r="AB1618" i="29184"/>
  <c r="AD779" i="29184"/>
  <c r="AB1706" i="29184"/>
  <c r="AB1027" i="29184"/>
  <c r="AD150" i="29184"/>
  <c r="AB748" i="29184"/>
  <c r="AB1385" i="29184"/>
  <c r="AB639" i="29184"/>
  <c r="AD1503" i="29184"/>
  <c r="Y72" i="8192"/>
  <c r="AD71" i="29184"/>
  <c r="AB1402" i="29184"/>
  <c r="AB254" i="29184"/>
  <c r="AD1937" i="29184"/>
  <c r="AB1401" i="29184"/>
  <c r="AD1671" i="29184"/>
  <c r="AB1048" i="29184"/>
  <c r="AB1406" i="29184"/>
  <c r="AB1458" i="29184"/>
  <c r="AD1956" i="29184"/>
  <c r="AD1884" i="29184"/>
  <c r="AB1346" i="29184"/>
  <c r="AD1932" i="29184"/>
  <c r="AD875" i="29184"/>
  <c r="AD1381" i="29184"/>
  <c r="AD1003" i="29184"/>
  <c r="AB1208" i="29184"/>
  <c r="AB929" i="29184"/>
  <c r="AB1074" i="29184"/>
  <c r="AD373" i="29184"/>
  <c r="AD1991" i="29184"/>
  <c r="AB1549" i="29184"/>
  <c r="AB283" i="29184"/>
  <c r="AD972" i="29184"/>
  <c r="AB1711" i="29184"/>
  <c r="AD1397" i="29184"/>
  <c r="AD1841" i="29184"/>
  <c r="AD617" i="29184"/>
  <c r="AB1063" i="29184"/>
  <c r="AD478" i="29184"/>
  <c r="AD737" i="29184"/>
  <c r="AD1287" i="29184"/>
  <c r="AB1364" i="29184"/>
  <c r="Y60" i="8192"/>
  <c r="AD1848" i="29184"/>
  <c r="AB500" i="29184"/>
  <c r="AD1944" i="29184"/>
  <c r="AB365" i="29184"/>
  <c r="AD7" i="29184"/>
  <c r="AD485" i="29184"/>
  <c r="AB1045" i="29184"/>
  <c r="AD1859" i="29184"/>
  <c r="AD172" i="29184"/>
  <c r="AB378" i="29184"/>
  <c r="AD1928" i="29184"/>
  <c r="AD1604" i="29184"/>
  <c r="AD1627" i="29184"/>
  <c r="K29" i="440"/>
  <c r="AB1940" i="29184"/>
  <c r="AD1767" i="29184"/>
  <c r="AD322" i="29184"/>
  <c r="AD1783" i="29184"/>
  <c r="AB692" i="29184"/>
  <c r="AD1625" i="29184"/>
  <c r="AB1668" i="29184"/>
  <c r="AB751" i="29184"/>
  <c r="AB807" i="29184"/>
  <c r="AD503" i="29184"/>
  <c r="AB1243" i="29184"/>
  <c r="AB764" i="29184"/>
  <c r="AD1833" i="29184"/>
  <c r="AD1025" i="29184"/>
  <c r="AB1672" i="29184"/>
  <c r="AB1816" i="29184"/>
  <c r="K25" i="440"/>
  <c r="AD15" i="29184"/>
  <c r="AD1418" i="29184"/>
  <c r="AB1214" i="29184"/>
  <c r="AB1386" i="29184"/>
  <c r="AD501" i="29184"/>
  <c r="AB1248" i="29184"/>
  <c r="AB290" i="29184"/>
  <c r="AD1713" i="29184"/>
  <c r="AD816" i="29184"/>
  <c r="AB576" i="29184"/>
  <c r="AB1252" i="29184"/>
  <c r="AD1951" i="29184"/>
  <c r="AD1005" i="29184"/>
  <c r="AD893" i="29184"/>
  <c r="AC25" i="30041"/>
  <c r="AD680" i="29184"/>
  <c r="AB1046" i="29184"/>
  <c r="AD1158" i="29184"/>
  <c r="K23" i="440"/>
  <c r="AD552" i="29184"/>
  <c r="AB1196" i="29184"/>
  <c r="AD124" i="29184"/>
  <c r="AB875" i="29184"/>
  <c r="AD79" i="29184"/>
  <c r="AD1735" i="29184"/>
  <c r="AB1600" i="29184"/>
  <c r="AB135" i="29184"/>
  <c r="AD453" i="29184"/>
  <c r="AB1606" i="29184"/>
  <c r="AD1575" i="29184"/>
  <c r="AD1976" i="29184"/>
  <c r="AB524" i="29184"/>
  <c r="AD1386" i="29184"/>
  <c r="AD1430" i="29184"/>
  <c r="AD1093" i="29184"/>
  <c r="AB919" i="29184"/>
  <c r="AD1053" i="29184"/>
  <c r="AD1549" i="29184"/>
  <c r="AB676" i="29184"/>
  <c r="AB1863" i="29184"/>
  <c r="AD1058" i="29184"/>
  <c r="AB558" i="29184"/>
  <c r="AD81" i="29184"/>
  <c r="AD1930" i="29184"/>
  <c r="AB971" i="29184"/>
  <c r="AD1860" i="29184"/>
  <c r="AB1986" i="29184"/>
  <c r="AD883" i="29184"/>
  <c r="AC63" i="8192"/>
  <c r="AB1880" i="29184"/>
  <c r="AD1822" i="29184"/>
  <c r="AD415" i="29184"/>
  <c r="AB1823" i="29184"/>
  <c r="AB1882" i="29184"/>
  <c r="AB756" i="29184"/>
  <c r="C131" i="29960"/>
  <c r="C473" i="29960"/>
  <c r="C584" i="29960"/>
  <c r="C276" i="29960"/>
  <c r="C516" i="29960"/>
  <c r="C331" i="29960"/>
  <c r="C389" i="29960"/>
  <c r="C564" i="29960"/>
  <c r="C179" i="29960"/>
  <c r="C542" i="29960"/>
  <c r="C169" i="29960"/>
  <c r="C197" i="29960"/>
  <c r="C401" i="29960"/>
  <c r="C520" i="29960"/>
  <c r="C116" i="29960"/>
  <c r="C333" i="29960"/>
  <c r="C183" i="29960"/>
  <c r="C123" i="29960"/>
  <c r="C176" i="29960"/>
  <c r="C475" i="29960"/>
  <c r="C113" i="29960"/>
  <c r="C613" i="29960"/>
  <c r="C633" i="29960"/>
  <c r="C147" i="29960"/>
  <c r="C642" i="29960"/>
  <c r="C163" i="29960"/>
  <c r="C356" i="29960"/>
  <c r="C562" i="29960"/>
  <c r="C545" i="29960"/>
  <c r="C344" i="29960"/>
  <c r="C604" i="29960"/>
  <c r="C565" i="29960"/>
  <c r="C324" i="29960"/>
  <c r="C637" i="29960"/>
  <c r="C385" i="29960"/>
  <c r="C440" i="29960"/>
  <c r="C153" i="29960"/>
  <c r="C360" i="29960"/>
  <c r="C511" i="29960"/>
  <c r="C241" i="29960"/>
  <c r="C544" i="29960"/>
  <c r="C599" i="29960"/>
  <c r="C563" i="29960"/>
  <c r="C427" i="29960"/>
  <c r="C312" i="29960"/>
  <c r="C373" i="29960"/>
  <c r="C225" i="29960"/>
  <c r="C379" i="29960"/>
  <c r="C170" i="29960"/>
  <c r="C184" i="29960"/>
  <c r="C202" i="29960"/>
  <c r="C505" i="29960"/>
  <c r="C358" i="29960"/>
  <c r="C605" i="29960"/>
  <c r="C127" i="29960"/>
  <c r="C250" i="29960"/>
  <c r="C98" i="29960"/>
  <c r="C359" i="29960"/>
  <c r="C489" i="29960"/>
  <c r="C527" i="29960"/>
  <c r="C287" i="29960"/>
  <c r="C224" i="29960"/>
  <c r="C319" i="29960"/>
  <c r="C581" i="29960"/>
  <c r="C342" i="29960"/>
  <c r="C406" i="29960"/>
  <c r="C650" i="29960"/>
  <c r="C656" i="29960"/>
  <c r="C538" i="29960"/>
  <c r="C636" i="29960"/>
  <c r="C630" i="29960"/>
  <c r="C130" i="29960"/>
  <c r="C483" i="29960"/>
  <c r="C369" i="29960"/>
  <c r="C269" i="29960"/>
  <c r="C415" i="29960"/>
  <c r="C662" i="29960"/>
  <c r="AB898" i="29184"/>
  <c r="AB1663" i="29184"/>
  <c r="AB993" i="29184"/>
  <c r="AB1629" i="29184"/>
  <c r="AD633" i="29184"/>
  <c r="AB272" i="29184"/>
  <c r="AB1337" i="29184"/>
  <c r="AD1738" i="29184"/>
  <c r="AB1971" i="29184"/>
  <c r="AB1096" i="29184"/>
  <c r="AB1895" i="29184"/>
  <c r="AB86" i="29184"/>
  <c r="AD62" i="29184"/>
  <c r="AD1198" i="29184"/>
  <c r="AB598" i="29184"/>
  <c r="AB1626" i="29184"/>
  <c r="AB878" i="29184"/>
  <c r="AD237" i="29184"/>
  <c r="AB1851" i="29184"/>
  <c r="AD1016" i="29184"/>
  <c r="AB604" i="29184"/>
  <c r="AD1559" i="29184"/>
  <c r="AC14" i="8192"/>
  <c r="AB1034" i="29184"/>
  <c r="AB1097" i="29184"/>
  <c r="Y29" i="8192"/>
  <c r="AD1054" i="29184"/>
  <c r="AB1792" i="29184"/>
  <c r="AD1728" i="29184"/>
  <c r="AD1166" i="29184"/>
  <c r="AB126" i="29184"/>
  <c r="AD1913" i="29184"/>
  <c r="AB1095" i="29184"/>
  <c r="AD122" i="29184"/>
  <c r="AB460" i="29184"/>
  <c r="AB1058" i="29184"/>
  <c r="AB1497" i="29184"/>
  <c r="AB289" i="29184"/>
  <c r="AD1254" i="29184"/>
  <c r="AB871" i="29184"/>
  <c r="AB1174" i="29184"/>
  <c r="AB1966" i="29184"/>
  <c r="AB762" i="29184"/>
  <c r="AB1700" i="29184"/>
  <c r="AD524" i="29184"/>
  <c r="AB1138" i="29184"/>
  <c r="AB1042" i="29184"/>
  <c r="AB698" i="29184"/>
  <c r="AD175" i="29184"/>
  <c r="AD898" i="29184"/>
  <c r="AD1828" i="29184"/>
  <c r="AD43" i="29184"/>
  <c r="AD1294" i="29184"/>
  <c r="AD1567" i="29184"/>
  <c r="AD907" i="29184"/>
  <c r="AD102" i="29184"/>
  <c r="AD368" i="29184"/>
  <c r="AD1916" i="29184"/>
  <c r="AD1497" i="29184"/>
  <c r="AB1025" i="29184"/>
  <c r="AB680" i="29184"/>
  <c r="AD45" i="29184"/>
  <c r="AB395" i="29184"/>
  <c r="AD488" i="29184"/>
  <c r="AD217" i="29184"/>
  <c r="AD1551" i="29184"/>
  <c r="AD1414" i="29184"/>
  <c r="AB1491" i="29184"/>
  <c r="AD1962" i="29184"/>
  <c r="AD1660" i="29184"/>
  <c r="AD1401" i="29184"/>
  <c r="AD1540" i="29184"/>
  <c r="AD85" i="29184"/>
  <c r="AB711" i="29184"/>
  <c r="AD448" i="29184"/>
  <c r="AB1908" i="29184"/>
  <c r="AB1847" i="29184"/>
  <c r="AB1856" i="29184"/>
  <c r="AB1447" i="29184"/>
  <c r="AD967" i="29184"/>
  <c r="AB1822" i="29184"/>
  <c r="AB1052" i="29184"/>
  <c r="AD44" i="29184"/>
  <c r="AB1390" i="29184"/>
  <c r="AB1677" i="29184"/>
  <c r="AD1353" i="29184"/>
  <c r="AB1892" i="29184"/>
  <c r="AD1225" i="29184"/>
  <c r="AD1213" i="29184"/>
  <c r="AD756" i="29184"/>
  <c r="AD1202" i="29184"/>
  <c r="AD1507" i="29184"/>
  <c r="AD621" i="29184"/>
  <c r="AB317" i="29184"/>
  <c r="AB1633" i="29184"/>
  <c r="AB781" i="29184"/>
  <c r="AB1379" i="29184"/>
  <c r="AD1223" i="29184"/>
  <c r="AD1947" i="29184"/>
  <c r="AD1965" i="29184"/>
  <c r="AB1726" i="29184"/>
  <c r="C119" i="29960"/>
  <c r="C349" i="29960"/>
  <c r="C367" i="29960"/>
  <c r="C384" i="29960"/>
  <c r="C166" i="29960"/>
  <c r="C418" i="29960"/>
  <c r="C573" i="29960"/>
  <c r="C641" i="29960"/>
  <c r="C104" i="29960"/>
  <c r="C121" i="29960"/>
  <c r="C462" i="29960"/>
  <c r="C364" i="29960"/>
  <c r="C587" i="29960"/>
  <c r="C254" i="29960"/>
  <c r="C335" i="29960"/>
  <c r="C264" i="29960"/>
  <c r="C265" i="29960"/>
  <c r="C398" i="29960"/>
  <c r="C272" i="29960"/>
  <c r="C329" i="29960"/>
  <c r="C627" i="29960"/>
  <c r="C101" i="29960"/>
  <c r="C499" i="29960"/>
  <c r="C144" i="29960"/>
  <c r="C355" i="29960"/>
  <c r="C193" i="29960"/>
  <c r="C501" i="29960"/>
  <c r="C326" i="29960"/>
  <c r="C448" i="29960"/>
  <c r="C133" i="29960"/>
  <c r="C405" i="29960"/>
  <c r="C227" i="29960"/>
  <c r="C576" i="29960"/>
  <c r="C117" i="29960"/>
  <c r="C470" i="29960"/>
  <c r="C615" i="29960"/>
  <c r="C464" i="29960"/>
  <c r="C422" i="29960"/>
  <c r="C628" i="29960"/>
  <c r="C371" i="29960"/>
  <c r="C375" i="29960"/>
  <c r="C594" i="29960"/>
  <c r="C590" i="29960"/>
  <c r="C652" i="29960"/>
  <c r="C336" i="29960"/>
  <c r="C97" i="29960"/>
  <c r="C110" i="29960"/>
  <c r="C510" i="29960"/>
  <c r="C617" i="29960"/>
  <c r="C591" i="29960"/>
  <c r="C256" i="29960"/>
  <c r="C313" i="29960"/>
  <c r="C180" i="29960"/>
  <c r="C468" i="29960"/>
  <c r="C574" i="29960"/>
  <c r="C378" i="29960"/>
  <c r="C519" i="29960"/>
  <c r="C463" i="29960"/>
  <c r="C588" i="29960"/>
  <c r="C178" i="29960"/>
  <c r="C198" i="29960"/>
  <c r="C536" i="29960"/>
  <c r="C307" i="29960"/>
  <c r="C194" i="29960"/>
  <c r="C148" i="29960"/>
  <c r="C543" i="29960"/>
  <c r="C102" i="29960"/>
  <c r="C88" i="29960"/>
  <c r="C397" i="29960"/>
  <c r="AD1441" i="29184"/>
  <c r="AB1918" i="29184"/>
  <c r="AD1272" i="29184"/>
  <c r="AD290" i="29184"/>
  <c r="AD134" i="29184"/>
  <c r="AD475" i="29184"/>
  <c r="AD351" i="29184"/>
  <c r="AB1671" i="29184"/>
  <c r="AD824" i="29184"/>
  <c r="AB1660" i="29184"/>
  <c r="AB718" i="29184"/>
  <c r="AD769" i="29184"/>
  <c r="AB295" i="29184"/>
  <c r="AD1714" i="29184"/>
  <c r="AD1805" i="29184"/>
  <c r="AB1628" i="29184"/>
  <c r="AD827" i="29184"/>
  <c r="AD1799" i="29184"/>
  <c r="AB577" i="29184"/>
  <c r="AD920" i="29184"/>
  <c r="AB467" i="29184"/>
  <c r="AD82" i="29184"/>
  <c r="AD615" i="29184"/>
  <c r="AB105" i="29184"/>
  <c r="AB1727" i="29184"/>
  <c r="AB1224" i="29184"/>
  <c r="AB1434" i="29184"/>
  <c r="AD981" i="29184"/>
  <c r="AD919" i="29184"/>
  <c r="AB1876" i="29184"/>
  <c r="AD1853" i="29184"/>
  <c r="AD1877" i="29184"/>
  <c r="AB1339" i="29184"/>
  <c r="AB1615" i="29184"/>
  <c r="AB1342" i="29184"/>
  <c r="AD1098" i="29184"/>
  <c r="AB986" i="29184"/>
  <c r="AD1416" i="29184"/>
  <c r="AD1583" i="29184"/>
  <c r="AC72" i="8192"/>
  <c r="AB104" i="29184"/>
  <c r="AD273" i="29184"/>
  <c r="AB1785" i="29184"/>
  <c r="AD116" i="29184"/>
  <c r="AB1479" i="29184"/>
  <c r="AB504" i="29184"/>
  <c r="AD553" i="29184"/>
  <c r="AD164" i="29184"/>
  <c r="AD1680" i="29184"/>
  <c r="AD566" i="29184"/>
  <c r="AD856" i="29184"/>
  <c r="AD1659" i="29184"/>
  <c r="AD1674" i="29184"/>
  <c r="AB915" i="29184"/>
  <c r="AD1207" i="29184"/>
  <c r="AB518" i="29184"/>
  <c r="AD892" i="29184"/>
  <c r="AD1880" i="29184"/>
  <c r="AD965" i="29184"/>
  <c r="AB523" i="29184"/>
  <c r="AB733" i="29184"/>
  <c r="AB107" i="29184"/>
  <c r="AD838" i="29184"/>
  <c r="AD462" i="29184"/>
  <c r="AB1916" i="29184"/>
  <c r="AB1827" i="29184"/>
  <c r="AD1722" i="29184"/>
  <c r="AB416" i="29184"/>
  <c r="AB1329" i="29184"/>
  <c r="AB1338" i="29184"/>
  <c r="AD403" i="29184"/>
  <c r="AD1844" i="29184"/>
  <c r="K27" i="440"/>
  <c r="AB402" i="29184"/>
  <c r="AD1914" i="29184"/>
  <c r="AD834" i="29184"/>
  <c r="AB31" i="29184"/>
  <c r="AD1483" i="29184"/>
  <c r="AB1794" i="29184"/>
  <c r="AD1106" i="29184"/>
  <c r="AB1845" i="29184"/>
  <c r="AB1877" i="29184"/>
  <c r="AB683" i="29184"/>
  <c r="AD644" i="29184"/>
  <c r="AB826" i="29184"/>
  <c r="AB1496" i="29184"/>
  <c r="AD1195" i="29184"/>
  <c r="AD1451" i="29184"/>
  <c r="AD764" i="29184"/>
  <c r="AD57" i="29184"/>
  <c r="AB286" i="29184"/>
  <c r="AD1243" i="29184"/>
  <c r="AD1092" i="29184"/>
  <c r="AB95" i="29184"/>
  <c r="AB1597" i="29184"/>
  <c r="AB1330" i="29184"/>
  <c r="AB1992" i="29184"/>
  <c r="AB672" i="29184"/>
  <c r="AD560" i="29184"/>
  <c r="AB243" i="29184"/>
  <c r="AB1833" i="29184"/>
  <c r="C437" i="29960"/>
  <c r="C638" i="29960"/>
  <c r="C260" i="29960"/>
  <c r="C273" i="29960"/>
  <c r="C206" i="29960"/>
  <c r="C409" i="29960"/>
  <c r="C532" i="29960"/>
  <c r="C186" i="29960"/>
  <c r="C257" i="29960"/>
  <c r="C423" i="29960"/>
  <c r="C185" i="29960"/>
  <c r="C289" i="29960"/>
  <c r="C120" i="29960"/>
  <c r="C143" i="29960"/>
  <c r="C654" i="29960"/>
  <c r="C491" i="29960"/>
  <c r="C238" i="29960"/>
  <c r="C612" i="29960"/>
  <c r="AD223" i="29184"/>
  <c r="AB1805" i="29184"/>
  <c r="AB103" i="29184"/>
  <c r="AB606" i="29184"/>
  <c r="AD1153" i="29184"/>
  <c r="AB778" i="29184"/>
  <c r="AD1592" i="29184"/>
  <c r="AD381" i="29184"/>
  <c r="AB47" i="29184"/>
  <c r="AD99" i="29184"/>
  <c r="AB910" i="29184"/>
  <c r="AD744" i="29184"/>
  <c r="AB1047" i="29184"/>
  <c r="AB744" i="29184"/>
  <c r="AB620" i="29184"/>
  <c r="AD717" i="29184"/>
  <c r="AD620" i="29184"/>
  <c r="AB638" i="29184"/>
  <c r="AD998" i="29184"/>
  <c r="AB1035" i="29184"/>
  <c r="AD1630" i="29184"/>
  <c r="AD1066" i="29184"/>
  <c r="AD835" i="29184"/>
  <c r="AB1646" i="29184"/>
  <c r="AD933" i="29184"/>
  <c r="AD645" i="29184"/>
  <c r="AB1593" i="29184"/>
  <c r="AD1104" i="29184"/>
  <c r="AB185" i="29184"/>
  <c r="AB1905" i="29184"/>
  <c r="AD519" i="29184"/>
  <c r="AB847" i="29184"/>
  <c r="AD1219" i="29184"/>
  <c r="AD1683" i="29184"/>
  <c r="AB911" i="29184"/>
  <c r="AD1562" i="29184"/>
  <c r="AD148" i="29184"/>
  <c r="AD163" i="29184"/>
  <c r="AD710" i="29184"/>
  <c r="AD283" i="29184"/>
  <c r="AD721" i="29184"/>
  <c r="AD763" i="29184"/>
  <c r="AD395" i="29184"/>
  <c r="AD1770" i="29184"/>
  <c r="AD728" i="29184"/>
  <c r="AB80" i="29184"/>
  <c r="AD1938" i="29184"/>
  <c r="AD304" i="29184"/>
  <c r="AB1721" i="29184"/>
  <c r="AD293" i="29184"/>
  <c r="AB124" i="29184"/>
  <c r="AB1418" i="29184"/>
  <c r="AB1584" i="29184"/>
  <c r="AB700" i="29184"/>
  <c r="AB1340" i="29184"/>
  <c r="AD902" i="29184"/>
  <c r="AB1879" i="29184"/>
  <c r="AD1834" i="29184"/>
  <c r="AB1297" i="29184"/>
  <c r="AD638" i="29184"/>
  <c r="AB1568" i="29184"/>
  <c r="AB1967" i="29184"/>
  <c r="AD388" i="29184"/>
  <c r="AB1737" i="29184"/>
  <c r="AB1026" i="29184"/>
  <c r="AB1262" i="29184"/>
  <c r="AB780" i="29184"/>
  <c r="AD1362" i="29184"/>
  <c r="AB1067" i="29184"/>
  <c r="AB646" i="29184"/>
  <c r="AD927" i="29184"/>
  <c r="AD836" i="29184"/>
  <c r="AD274" i="29184"/>
  <c r="AD896" i="29184"/>
  <c r="AD614" i="29184"/>
  <c r="AD712" i="29184"/>
  <c r="AD402" i="29184"/>
  <c r="AD1700" i="29184"/>
  <c r="AD486" i="29184"/>
  <c r="AB1803" i="29184"/>
  <c r="AB1244" i="29184"/>
  <c r="AD1012" i="29184"/>
  <c r="AB1800" i="29184"/>
  <c r="AD1603" i="29184"/>
  <c r="AB1674" i="29184"/>
  <c r="AB1848" i="29184"/>
  <c r="AD746" i="29184"/>
  <c r="AB893" i="29184"/>
  <c r="AB142" i="29184"/>
  <c r="AB1217" i="29184"/>
  <c r="AD629" i="29184"/>
  <c r="AB1087" i="29184"/>
  <c r="AB924" i="29184"/>
  <c r="AB374" i="29184"/>
  <c r="AD1154" i="29184"/>
  <c r="AD561" i="29184"/>
  <c r="AD1718" i="29184"/>
  <c r="AB354" i="29184"/>
  <c r="AD328" i="29184"/>
  <c r="AB323" i="29184"/>
  <c r="AB1685" i="29184"/>
  <c r="C175" i="29960"/>
  <c r="C450" i="29960"/>
  <c r="C578" i="29960"/>
  <c r="C447" i="29960"/>
  <c r="C607" i="29960"/>
  <c r="C481" i="29960"/>
  <c r="C411" i="29960"/>
  <c r="C286" i="29960"/>
  <c r="C137" i="29960"/>
  <c r="C386" i="29960"/>
  <c r="C195" i="29960"/>
  <c r="C115" i="29960"/>
  <c r="C243" i="29960"/>
  <c r="C482" i="29960"/>
  <c r="C619" i="29960"/>
  <c r="C374" i="29960"/>
  <c r="C271" i="29960"/>
  <c r="C629" i="29960"/>
  <c r="C328" i="29960"/>
  <c r="C298" i="29960"/>
  <c r="C582" i="29960"/>
  <c r="C280" i="29960"/>
  <c r="C626" i="29960"/>
  <c r="C213" i="29960"/>
  <c r="C236" i="29960"/>
  <c r="C434" i="29960"/>
  <c r="C625" i="29960"/>
  <c r="C192" i="29960"/>
  <c r="C597" i="29960"/>
  <c r="C382" i="29960"/>
  <c r="C498" i="29960"/>
  <c r="C503" i="29960"/>
  <c r="C149" i="29960"/>
  <c r="C620" i="29960"/>
  <c r="C649" i="29960"/>
  <c r="C400" i="29960"/>
  <c r="C506" i="29960"/>
  <c r="C436" i="29960"/>
  <c r="C663" i="29960"/>
  <c r="C449" i="29960"/>
  <c r="C381" i="29960"/>
  <c r="C204" i="29960"/>
  <c r="C252" i="29960"/>
  <c r="C531" i="29960"/>
  <c r="C521" i="29960"/>
  <c r="C598" i="29960"/>
  <c r="C541" i="29960"/>
  <c r="C651" i="29960"/>
  <c r="C226" i="29960"/>
  <c r="C477" i="29960"/>
  <c r="C492" i="29960"/>
  <c r="C162" i="29960"/>
  <c r="C296" i="29960"/>
  <c r="C634" i="29960"/>
  <c r="C199" i="29960"/>
  <c r="C488" i="29960"/>
  <c r="C350" i="29960"/>
  <c r="C515" i="29960"/>
  <c r="C548" i="29960"/>
  <c r="C433" i="29960"/>
  <c r="C112" i="29960"/>
  <c r="C191" i="29960"/>
  <c r="C442" i="29960"/>
  <c r="C281" i="29960"/>
  <c r="C513" i="29960"/>
  <c r="C138" i="29960"/>
  <c r="C343" i="29960"/>
  <c r="C593" i="29960"/>
  <c r="C282" i="29960"/>
  <c r="C87" i="29960"/>
  <c r="C453" i="29960"/>
  <c r="C211" i="29960"/>
  <c r="C377" i="29960"/>
  <c r="C606" i="29960"/>
  <c r="C301" i="29960"/>
  <c r="C549" i="29960"/>
  <c r="C248" i="29960"/>
  <c r="C284" i="29960"/>
  <c r="C420" i="29960"/>
  <c r="AB1635" i="29184"/>
  <c r="AD1273" i="29184"/>
  <c r="AB1327" i="29184"/>
  <c r="AB29" i="29184"/>
  <c r="AB1638" i="29184"/>
  <c r="AD996" i="29184"/>
  <c r="AB1492" i="29184"/>
  <c r="AD852" i="29184"/>
  <c r="AB1780" i="29184"/>
  <c r="AD472" i="29184"/>
  <c r="AD605" i="29184"/>
  <c r="AD1780" i="29184"/>
  <c r="AD872" i="29184"/>
  <c r="AD297" i="29184"/>
  <c r="AB386" i="29184"/>
  <c r="AB968" i="29184"/>
  <c r="AD1374" i="29184"/>
  <c r="AD1729" i="29184"/>
  <c r="AD1557" i="29184"/>
  <c r="AD982" i="29184"/>
  <c r="AB525" i="29184"/>
  <c r="AB399" i="29184"/>
  <c r="AD408" i="29184"/>
  <c r="AB991" i="29184"/>
  <c r="AD469" i="29184"/>
  <c r="AB1147" i="29184"/>
  <c r="AB1627" i="29184"/>
  <c r="AD1013" i="29184"/>
  <c r="AD1423" i="29184"/>
  <c r="AB1534" i="29184"/>
  <c r="AB495" i="29184"/>
  <c r="AB519" i="29184"/>
  <c r="AB1446" i="29184"/>
  <c r="AB719" i="29184"/>
  <c r="AB493" i="29184"/>
  <c r="AD1082" i="29184"/>
  <c r="AD1889" i="29184"/>
  <c r="AD75" i="29184"/>
  <c r="AD1979" i="29184"/>
  <c r="AB1622" i="29184"/>
  <c r="AB845" i="29184"/>
  <c r="AB1021" i="29184"/>
  <c r="AB1980" i="29184"/>
  <c r="AB40" i="29184"/>
  <c r="AD106" i="29184"/>
  <c r="AB1952" i="29184"/>
  <c r="AB74" i="29184"/>
  <c r="AD1405" i="29184"/>
  <c r="AD1011" i="29184"/>
  <c r="AB1478" i="29184"/>
  <c r="AD372" i="29184"/>
  <c r="AB502" i="29184"/>
  <c r="AB1537" i="29184"/>
  <c r="AD1857" i="29184"/>
  <c r="AB1767" i="29184"/>
  <c r="AD754" i="29184"/>
  <c r="AB994" i="29184"/>
  <c r="K41" i="440"/>
  <c r="AD1668" i="29184"/>
  <c r="AD915" i="29184"/>
  <c r="AD406" i="29184"/>
  <c r="AD625" i="29184"/>
  <c r="AB1277" i="29184"/>
  <c r="AB1228" i="29184"/>
  <c r="AD1736" i="29184"/>
  <c r="AB1372" i="29184"/>
  <c r="AD1662" i="29184"/>
  <c r="AD166" i="29184"/>
  <c r="AD1288" i="29184"/>
  <c r="AD1027" i="29184"/>
  <c r="AD1545" i="29184"/>
  <c r="AB1341" i="29184"/>
  <c r="AD881" i="29184"/>
  <c r="AD1869" i="29184"/>
  <c r="AD1338" i="29184"/>
  <c r="AB997" i="29184"/>
  <c r="Y32" i="8192"/>
  <c r="AB1928" i="29184"/>
  <c r="AD1629" i="29184"/>
  <c r="Y121" i="30041"/>
  <c r="AD588" i="29184"/>
  <c r="AD523" i="29184"/>
  <c r="AB1071" i="29184"/>
  <c r="AD761" i="29184"/>
  <c r="AB827" i="29184"/>
  <c r="AB1395" i="29184"/>
  <c r="AB1179" i="29184"/>
  <c r="AD685" i="29184"/>
  <c r="AD1553" i="29184"/>
  <c r="AD557" i="29184"/>
  <c r="AD674" i="29184"/>
  <c r="AB1949" i="29184"/>
  <c r="AB1608" i="29184"/>
  <c r="AB833" i="29184"/>
  <c r="AD125" i="29184"/>
  <c r="AB1691" i="29184"/>
  <c r="AB846" i="29184"/>
  <c r="AD1679" i="29184"/>
  <c r="AB1075" i="29184"/>
  <c r="AD1615" i="29184"/>
  <c r="AD1002" i="29184"/>
  <c r="C474" i="29960"/>
  <c r="C528" i="29960"/>
  <c r="C233" i="29960"/>
  <c r="C610" i="29960"/>
  <c r="C315" i="29960"/>
  <c r="C439" i="29960"/>
  <c r="C441" i="29960"/>
  <c r="C657" i="29960"/>
  <c r="C611" i="29960"/>
  <c r="C216" i="29960"/>
  <c r="C479" i="29960"/>
  <c r="C414" i="29960"/>
  <c r="C322" i="29960"/>
  <c r="C504" i="29960"/>
  <c r="C352" i="29960"/>
  <c r="C200" i="29960"/>
  <c r="C570" i="29960"/>
  <c r="C495" i="29960"/>
  <c r="C361" i="29960"/>
  <c r="C337" i="29960"/>
  <c r="C399" i="29960"/>
  <c r="C661" i="29960"/>
  <c r="C106" i="29960"/>
  <c r="C524" i="29960"/>
  <c r="C553" i="29960"/>
  <c r="C291" i="29960"/>
  <c r="C93" i="29960"/>
  <c r="C353" i="29960"/>
  <c r="C472" i="29960"/>
  <c r="C455" i="29960"/>
  <c r="C251" i="29960"/>
  <c r="C648" i="29960"/>
  <c r="C395" i="29960"/>
  <c r="C432" i="29960"/>
  <c r="C229" i="29960"/>
  <c r="C208" i="29960"/>
  <c r="C539" i="29960"/>
  <c r="C487" i="29960"/>
  <c r="C278" i="29960"/>
  <c r="C302" i="29960"/>
  <c r="C376" i="29960"/>
  <c r="C413" i="29960"/>
  <c r="C580" i="29960"/>
  <c r="C640" i="29960"/>
  <c r="C297" i="29960"/>
  <c r="C530" i="29960"/>
  <c r="C182" i="29960"/>
  <c r="C140" i="29960"/>
  <c r="C346" i="29960"/>
  <c r="C314" i="29960"/>
  <c r="C577" i="29960"/>
  <c r="C354" i="29960"/>
  <c r="C235" i="29960"/>
  <c r="C444" i="29960"/>
  <c r="C268" i="29960"/>
  <c r="C203" i="29960"/>
  <c r="C546" i="29960"/>
  <c r="C247" i="29960"/>
  <c r="C514" i="29960"/>
  <c r="C142" i="29960"/>
  <c r="C266" i="29960"/>
  <c r="C294" i="29960"/>
  <c r="C391" i="29960"/>
  <c r="C152" i="29960"/>
  <c r="C177" i="29960"/>
  <c r="C157" i="29960"/>
  <c r="C231" i="29960"/>
  <c r="C517" i="29960"/>
  <c r="C658" i="29960"/>
  <c r="C124" i="29960"/>
  <c r="C407" i="29960"/>
  <c r="C173" i="29960"/>
  <c r="C201" i="29960"/>
  <c r="C416" i="29960"/>
  <c r="C496" i="29960"/>
  <c r="C484" i="29960"/>
  <c r="AD891" i="29184"/>
  <c r="AB451" i="29184"/>
  <c r="AD94" i="29184"/>
  <c r="K33" i="440"/>
  <c r="AB236" i="29184"/>
  <c r="AB873" i="29184"/>
  <c r="AD1354" i="29184"/>
  <c r="AD1452" i="29184"/>
  <c r="Y25" i="30041"/>
  <c r="AD1408" i="29184"/>
  <c r="AD735" i="29184"/>
  <c r="AD935" i="29184"/>
  <c r="AD1464" i="29184"/>
  <c r="AD1882" i="29184"/>
  <c r="AD882" i="29184"/>
  <c r="AD1769" i="29184"/>
  <c r="AD246" i="29184"/>
  <c r="AB1607" i="29184"/>
  <c r="AD1139" i="29184"/>
  <c r="AB322" i="29184"/>
  <c r="AD1041" i="29184"/>
  <c r="AD1827" i="29184"/>
  <c r="AB1804" i="29184"/>
  <c r="AB552" i="29184"/>
  <c r="AB1602" i="29184"/>
  <c r="AB583" i="29184"/>
  <c r="AB1817" i="29184"/>
  <c r="AD295" i="29184"/>
  <c r="AB1924" i="29184"/>
  <c r="AD1175" i="29184"/>
  <c r="AB1612" i="29184"/>
  <c r="AB1352" i="29184"/>
  <c r="AD1669" i="29184"/>
  <c r="AB1604" i="29184"/>
  <c r="AB1215" i="29184"/>
  <c r="AB1405" i="29184"/>
  <c r="AB573" i="29184"/>
  <c r="AB187" i="29184"/>
  <c r="AB769" i="29184"/>
  <c r="AD95" i="29184"/>
  <c r="AD925" i="29184"/>
  <c r="AC60" i="8192"/>
  <c r="AB144" i="29184"/>
  <c r="AD321" i="29184"/>
  <c r="AB316" i="29184"/>
  <c r="AD1037" i="29184"/>
  <c r="AD771" i="29184"/>
  <c r="AD984" i="29184"/>
  <c r="AB1914" i="29184"/>
  <c r="AD366" i="29184"/>
  <c r="Y35" i="8192"/>
  <c r="AB760" i="29184"/>
  <c r="AB165" i="29184"/>
  <c r="AD1035" i="29184"/>
  <c r="AB1084" i="29184"/>
  <c r="AD184" i="29184"/>
  <c r="AB1471" i="29184"/>
  <c r="AD160" i="29184"/>
  <c r="AD1486" i="29184"/>
  <c r="AB1545" i="29184"/>
  <c r="AB1146" i="29184"/>
  <c r="AD1812" i="29184"/>
  <c r="AB1485" i="29184"/>
  <c r="AD1725" i="29184"/>
  <c r="AB1358" i="29184"/>
  <c r="AB815" i="29184"/>
  <c r="K59" i="440"/>
  <c r="AD1426" i="29184"/>
  <c r="AB249" i="29184"/>
  <c r="AD1611" i="29184"/>
  <c r="AB809" i="29184"/>
  <c r="AD1879" i="29184"/>
  <c r="AB1428" i="29184"/>
  <c r="AB1552" i="29184"/>
  <c r="AD1157" i="29184"/>
  <c r="AB1936" i="29184"/>
  <c r="AD1542" i="29184"/>
  <c r="AD1950" i="29184"/>
  <c r="AD1550" i="29184"/>
  <c r="AB468" i="29184"/>
  <c r="AD1796" i="29184"/>
  <c r="AD601" i="29184"/>
  <c r="AD971" i="29184"/>
  <c r="AD1855" i="29184"/>
  <c r="AD1480" i="29184"/>
  <c r="AD443" i="29184"/>
  <c r="AB406" i="29184"/>
  <c r="AD1183" i="29184"/>
  <c r="AD1328" i="29184"/>
  <c r="AB747" i="29184"/>
  <c r="AB1424" i="29184"/>
  <c r="AB396" i="29184"/>
  <c r="AD1707" i="29184"/>
  <c r="AD1482" i="29184"/>
  <c r="AD1352" i="29184"/>
  <c r="AD573" i="29184"/>
  <c r="AD1634" i="29184"/>
  <c r="AD400" i="29184"/>
  <c r="AB1381" i="29184"/>
  <c r="AB1771" i="29184"/>
  <c r="AD923" i="29184"/>
  <c r="C167" i="29960"/>
  <c r="C299" i="29960"/>
  <c r="C330" i="29960"/>
  <c r="C347" i="29960"/>
  <c r="C429" i="29960"/>
  <c r="C460" i="29960"/>
  <c r="C239" i="29960"/>
  <c r="C357" i="29960"/>
  <c r="C366" i="29960"/>
  <c r="C103" i="29960"/>
  <c r="C320" i="29960"/>
  <c r="C139" i="29960"/>
  <c r="C311" i="29960"/>
  <c r="C595" i="29960"/>
  <c r="C363" i="29960"/>
  <c r="C478" i="29960"/>
  <c r="C396" i="29960"/>
  <c r="C217" i="29960"/>
  <c r="C623" i="29960"/>
  <c r="C304" i="29960"/>
  <c r="C445" i="29960"/>
  <c r="C471" i="29960"/>
  <c r="C600" i="29960"/>
  <c r="C161" i="29960"/>
  <c r="C136" i="29960"/>
  <c r="C559" i="29960"/>
  <c r="C567" i="29960"/>
  <c r="C529" i="29960"/>
  <c r="C171" i="29960"/>
  <c r="C285" i="29960"/>
  <c r="C596" i="29960"/>
  <c r="C383" i="29960"/>
  <c r="C126" i="29960"/>
  <c r="C387" i="29960"/>
  <c r="C288" i="29960"/>
  <c r="C522" i="29960"/>
  <c r="C601" i="29960"/>
  <c r="C404" i="29960"/>
  <c r="C635" i="29960"/>
  <c r="C609" i="29960"/>
  <c r="C486" i="29960"/>
  <c r="C141" i="29960"/>
  <c r="C368" i="29960"/>
  <c r="C560" i="29960"/>
  <c r="C323" i="29960"/>
  <c r="C603" i="29960"/>
  <c r="C290" i="29960"/>
  <c r="C579" i="29960"/>
  <c r="C99" i="29960"/>
  <c r="C537" i="29960"/>
  <c r="C305" i="29960"/>
  <c r="C446" i="29960"/>
  <c r="C550" i="29960"/>
  <c r="C156" i="29960"/>
  <c r="C645" i="29960"/>
  <c r="C451" i="29960"/>
  <c r="C556" i="29960"/>
  <c r="C300" i="29960"/>
  <c r="C402" i="29960"/>
  <c r="C91" i="29960"/>
  <c r="C365" i="29960"/>
  <c r="C168" i="29960"/>
  <c r="C647" i="29960"/>
  <c r="AB1661" i="29184"/>
  <c r="AD379" i="29184"/>
  <c r="AB1202" i="29184"/>
  <c r="AD628" i="29184"/>
  <c r="AB1283" i="29184"/>
  <c r="AB515" i="29184"/>
  <c r="AD1218" i="29184"/>
  <c r="AD1226" i="29184"/>
  <c r="AD1056" i="29184"/>
  <c r="AB884" i="29184"/>
  <c r="AB1452" i="29184"/>
  <c r="AB1571" i="29184"/>
  <c r="AD287" i="29184"/>
  <c r="AB279" i="29184"/>
  <c r="AB1441" i="29184"/>
  <c r="AB1977" i="29184"/>
  <c r="AB72" i="29184"/>
  <c r="AD1440" i="29184"/>
  <c r="AB977" i="29184"/>
  <c r="AB902" i="29184"/>
  <c r="AB307" i="29184"/>
  <c r="AD906" i="29184"/>
  <c r="AD729" i="29184"/>
  <c r="AD331" i="29184"/>
  <c r="AD1269" i="29184"/>
  <c r="AD311" i="29184"/>
  <c r="AD1600" i="29184"/>
  <c r="AD1597" i="29184"/>
  <c r="AD1136" i="29184"/>
  <c r="AB479" i="29184"/>
  <c r="AB1985" i="29184"/>
  <c r="AB855" i="29184"/>
  <c r="AD897" i="29184"/>
  <c r="AD724" i="29184"/>
  <c r="AB499" i="29184"/>
  <c r="AD961" i="29184"/>
  <c r="AB330" i="29184"/>
  <c r="AB1717" i="29184"/>
  <c r="AB1278" i="29184"/>
  <c r="AB1264" i="29184"/>
  <c r="AB1586" i="29184"/>
  <c r="AD600" i="29184"/>
  <c r="AB1374" i="29184"/>
  <c r="Y18" i="30041"/>
  <c r="AB866" i="29184"/>
  <c r="AB1585" i="29184"/>
  <c r="AB1076" i="29184"/>
  <c r="AB763" i="29184"/>
  <c r="AB1580" i="29184"/>
  <c r="AB1490" i="29184"/>
  <c r="AD282" i="29184"/>
  <c r="AB153" i="29184"/>
  <c r="AB1054" i="29184"/>
  <c r="AD393" i="29184"/>
  <c r="AB976" i="29184"/>
  <c r="AD815" i="29184"/>
  <c r="AD1458" i="29184"/>
  <c r="AD1821" i="29184"/>
  <c r="AB645" i="29184"/>
  <c r="AD1924" i="29184"/>
  <c r="AB707" i="29184"/>
  <c r="AB978" i="29184"/>
  <c r="AB1782" i="29184"/>
  <c r="AD1204" i="29184"/>
  <c r="AD1711" i="29184"/>
  <c r="AD1690" i="29184"/>
  <c r="AB1953" i="29184"/>
  <c r="AD1677" i="29184"/>
  <c r="AD1904" i="29184"/>
  <c r="AD386" i="29184"/>
  <c r="Y57" i="8192"/>
  <c r="AD301" i="29184"/>
  <c r="AD1768" i="29184"/>
  <c r="AD1149" i="29184"/>
  <c r="AD1787" i="29184"/>
  <c r="AD784" i="29184"/>
  <c r="AB818" i="29184"/>
  <c r="AD613" i="29184"/>
  <c r="AB644" i="29184"/>
  <c r="AB1573" i="29184"/>
  <c r="AB1459" i="29184"/>
  <c r="AD420" i="29184"/>
  <c r="AD56" i="29184"/>
  <c r="AD1391" i="29184"/>
  <c r="AD1689" i="29184"/>
  <c r="AD77" i="29184"/>
  <c r="AB853" i="29184"/>
  <c r="AD924" i="29184"/>
  <c r="AB230" i="29184"/>
  <c r="AB325" i="29184"/>
  <c r="AB981" i="29184"/>
  <c r="AD1846" i="29184"/>
  <c r="AD1372" i="29184"/>
  <c r="AB1003" i="29184"/>
  <c r="AD1816" i="29184"/>
  <c r="AB83" i="29184"/>
  <c r="AD1263" i="29184"/>
  <c r="AD47" i="29184"/>
  <c r="AB861" i="29184"/>
  <c r="AD575" i="29184"/>
  <c r="C223" i="29960"/>
  <c r="C571" i="29960"/>
  <c r="C228" i="29960"/>
  <c r="C150" i="29960"/>
  <c r="C424" i="29960"/>
  <c r="C370" i="29960"/>
  <c r="C253" i="29960"/>
  <c r="C618" i="29960"/>
  <c r="C585" i="29960"/>
  <c r="C452" i="29960"/>
  <c r="C255" i="29960"/>
  <c r="C457" i="29960"/>
  <c r="C639" i="29960"/>
  <c r="C459" i="29960"/>
  <c r="C339" i="29960"/>
  <c r="C558" i="29960"/>
  <c r="C419" i="29960"/>
  <c r="C132" i="29960"/>
  <c r="C643" i="29960"/>
  <c r="C555" i="29960"/>
  <c r="C393" i="29960"/>
  <c r="C221" i="29960"/>
  <c r="C518" i="29960"/>
  <c r="C274" i="29960"/>
  <c r="C494" i="29960"/>
  <c r="C435" i="29960"/>
  <c r="C129" i="29960"/>
  <c r="C500" i="29960"/>
  <c r="C261" i="29960"/>
  <c r="C394" i="29960"/>
  <c r="C568" i="29960"/>
  <c r="C246" i="29960"/>
  <c r="C232" i="29960"/>
  <c r="C631" i="29960"/>
  <c r="C644" i="29960"/>
  <c r="C583" i="29960"/>
  <c r="C165" i="29960"/>
  <c r="C94" i="29960"/>
  <c r="C535" i="29960"/>
  <c r="C655" i="29960"/>
  <c r="C90" i="29960"/>
  <c r="C372" i="29960"/>
  <c r="C242" i="29960"/>
  <c r="C306" i="29960"/>
  <c r="C283" i="29960"/>
  <c r="C189" i="29960"/>
  <c r="C341" i="29960"/>
  <c r="C207" i="29960"/>
  <c r="C534" i="29960"/>
  <c r="C622" i="29960"/>
  <c r="C122" i="29960"/>
  <c r="C114" i="29960"/>
  <c r="C507" i="29960"/>
  <c r="C646" i="29960"/>
  <c r="C279" i="29960"/>
  <c r="C465" i="29960"/>
  <c r="C525" i="29960"/>
  <c r="C621" i="29960"/>
  <c r="C181" i="29960"/>
  <c r="C569" i="29960"/>
  <c r="C145" i="29960"/>
  <c r="C456" i="29960"/>
  <c r="C592" i="29960"/>
  <c r="C245" i="29960"/>
  <c r="C209" i="29960"/>
  <c r="C174" i="29960"/>
  <c r="C438" i="29960"/>
  <c r="C624" i="29960"/>
  <c r="C616" i="29960"/>
  <c r="C109" i="29960"/>
  <c r="C230" i="29960"/>
  <c r="C410" i="29960"/>
  <c r="C632" i="29960"/>
  <c r="C259" i="29960"/>
  <c r="C430" i="29960"/>
  <c r="C188" i="29960"/>
  <c r="C421" i="29960"/>
  <c r="C222" i="29960"/>
  <c r="C295" i="29960"/>
  <c r="C348" i="29960"/>
  <c r="C334" i="29960"/>
  <c r="C303" i="29960"/>
  <c r="C219" i="29960"/>
  <c r="C317" i="29960"/>
  <c r="C458" i="29960"/>
  <c r="AB551" i="29184"/>
  <c r="AB828" i="29184"/>
  <c r="AB1343" i="29184"/>
  <c r="AB1681" i="29184"/>
  <c r="AD1899" i="29184"/>
  <c r="K31" i="440"/>
  <c r="AB204" i="29184"/>
  <c r="AD549" i="29184"/>
  <c r="AB1829" i="29184"/>
  <c r="AB1926" i="29184"/>
  <c r="AD711" i="29184"/>
  <c r="AB1613" i="29184"/>
  <c r="AB364" i="29184"/>
  <c r="AB1275" i="29184"/>
  <c r="AB1809" i="29184"/>
  <c r="AD1960" i="29184"/>
  <c r="AB401" i="29184"/>
  <c r="AD206" i="29184"/>
  <c r="AD471" i="29184"/>
  <c r="AB1891" i="29184"/>
  <c r="AD1285" i="29184"/>
  <c r="AD104" i="29184"/>
  <c r="AD755" i="29184"/>
  <c r="AB1714" i="29184"/>
  <c r="AD846" i="29184"/>
  <c r="AB1053" i="29184"/>
  <c r="AB85" i="29184"/>
  <c r="AB393" i="29184"/>
  <c r="AB1022" i="29184"/>
  <c r="AD253" i="29184"/>
  <c r="AB965" i="29184"/>
  <c r="AB1442" i="29184"/>
  <c r="AB1774" i="29184"/>
  <c r="AD526" i="29184"/>
  <c r="AB1351" i="29184"/>
  <c r="AB235" i="29184"/>
  <c r="AD1248" i="29184"/>
  <c r="AD1064" i="29184"/>
  <c r="AD1368" i="29184"/>
  <c r="AB282" i="29184"/>
  <c r="AD179" i="29184"/>
  <c r="AB1503" i="29184"/>
  <c r="AD1152" i="29184"/>
  <c r="AD187" i="29184"/>
  <c r="AB1819" i="29184"/>
  <c r="AB1688" i="29184"/>
  <c r="AD235" i="29184"/>
  <c r="AD1177" i="29184"/>
  <c r="AD1143" i="29184"/>
  <c r="AD228" i="29184"/>
  <c r="AB1964" i="29184"/>
  <c r="AD243" i="29184"/>
  <c r="AB810" i="29184"/>
  <c r="AB609" i="29184"/>
  <c r="AD676" i="29184"/>
  <c r="AB1369" i="29184"/>
  <c r="AD1974" i="29184"/>
  <c r="AB975" i="29184"/>
  <c r="AB300" i="29184"/>
  <c r="AD1259" i="29184"/>
  <c r="AD224" i="29184"/>
  <c r="AD1001" i="29184"/>
  <c r="AB1195" i="29184"/>
  <c r="AB1088" i="29184"/>
  <c r="AB455" i="29184"/>
  <c r="AB1855" i="29184"/>
  <c r="AB1887" i="29184"/>
  <c r="AB367" i="29184"/>
  <c r="AD1165" i="29184"/>
  <c r="AD938" i="29184"/>
  <c r="AD1439" i="29184"/>
  <c r="AB745" i="29184"/>
  <c r="AD684" i="29184"/>
  <c r="AB175" i="29184"/>
  <c r="AB1734" i="29184"/>
  <c r="AD1292" i="29184"/>
  <c r="AD997" i="29184"/>
  <c r="AB1718" i="29184"/>
  <c r="AD821" i="29184"/>
  <c r="AD1203" i="29184"/>
  <c r="AD576" i="29184"/>
  <c r="AB1225" i="29184"/>
  <c r="AB329" i="29184"/>
  <c r="K68" i="440"/>
  <c r="AB1913" i="29184"/>
  <c r="AB1722" i="29184"/>
  <c r="Y93" i="30041"/>
  <c r="AB617" i="29184"/>
  <c r="AB1185" i="29184"/>
  <c r="AD748" i="29184"/>
  <c r="AB712" i="29184"/>
  <c r="AB1666" i="29184"/>
  <c r="AB1859" i="29184"/>
  <c r="AB164" i="29184"/>
  <c r="AB1797" i="29184"/>
  <c r="AC41" i="30041"/>
  <c r="AB1960" i="29184"/>
  <c r="AD703" i="29184"/>
  <c r="AB1903" i="29184"/>
  <c r="AD1920" i="29184"/>
  <c r="C425" i="29960"/>
  <c r="C108" i="29960"/>
  <c r="C466" i="29960"/>
  <c r="C151" i="29960"/>
  <c r="C332" i="29960"/>
  <c r="C277" i="29960"/>
  <c r="C428" i="29960"/>
  <c r="C107" i="29960"/>
  <c r="C308" i="29960"/>
  <c r="C602" i="29960"/>
  <c r="C118" i="29960"/>
  <c r="C561" i="29960"/>
  <c r="C426" i="29960"/>
  <c r="C480" i="29960"/>
  <c r="C86" i="29960"/>
  <c r="C321" i="29960"/>
  <c r="C172" i="29960"/>
  <c r="C190" i="29960"/>
  <c r="C187" i="29960"/>
  <c r="C196" i="29960"/>
  <c r="C240" i="29960"/>
  <c r="C92" i="29960"/>
  <c r="C270" i="29960"/>
  <c r="C316" i="29960"/>
  <c r="C476" i="29960"/>
  <c r="C557" i="29960"/>
  <c r="C146" i="29960"/>
  <c r="C664" i="29960"/>
  <c r="C125" i="29960"/>
  <c r="C490" i="29960"/>
  <c r="C310" i="29960"/>
  <c r="C134" i="29960"/>
  <c r="C614" i="29960"/>
  <c r="C95" i="29960"/>
  <c r="C526" i="29960"/>
  <c r="C327" i="29960"/>
  <c r="C412" i="29960"/>
  <c r="C509" i="29960"/>
  <c r="C214" i="29960"/>
  <c r="C454" i="29960"/>
  <c r="C540" i="29960"/>
  <c r="C608" i="29960"/>
  <c r="C262" i="29960"/>
  <c r="C325" i="29960"/>
  <c r="C318" i="29960"/>
  <c r="C467" i="29960"/>
  <c r="C345" i="29960"/>
  <c r="C340" i="29960"/>
  <c r="C485" i="29960"/>
  <c r="C575" i="29960"/>
  <c r="C205" i="29960"/>
  <c r="C493" i="29960"/>
  <c r="C502" i="29960"/>
  <c r="C158" i="29960"/>
  <c r="C258" i="29960"/>
  <c r="C263" i="29960"/>
  <c r="C249" i="29960"/>
  <c r="C100" i="29960"/>
  <c r="C380" i="29960"/>
  <c r="C497" i="29960"/>
  <c r="C533" i="29960"/>
  <c r="C572" i="29960"/>
  <c r="C388" i="29960"/>
  <c r="C212" i="29960"/>
  <c r="C154" i="29960"/>
  <c r="C164" i="29960"/>
  <c r="C362" i="29960"/>
  <c r="C508" i="29960"/>
  <c r="C155" i="29960"/>
  <c r="C210" i="29960"/>
  <c r="C351" i="29960"/>
  <c r="C159" i="29960"/>
  <c r="C417" i="29960"/>
  <c r="C105" i="29960"/>
  <c r="C135" i="29960"/>
  <c r="C443" i="29960"/>
  <c r="C293" i="29960"/>
  <c r="C267" i="29960"/>
  <c r="C111" i="29960"/>
  <c r="C461" i="29960"/>
  <c r="C96" i="29960"/>
  <c r="C275" i="29960"/>
  <c r="C338" i="29960"/>
  <c r="C309" i="29960"/>
  <c r="C220" i="29960"/>
  <c r="C566" i="29960"/>
  <c r="C237" i="29960"/>
  <c r="C218" i="29960"/>
  <c r="C431" i="29960"/>
  <c r="C292" i="29960"/>
  <c r="C469" i="29960"/>
  <c r="C160" i="29960"/>
  <c r="C523" i="29960"/>
  <c r="C128" i="29960"/>
  <c r="C244" i="29960"/>
  <c r="C512" i="29960"/>
  <c r="C234" i="29960"/>
  <c r="C589" i="29960"/>
  <c r="C665" i="29960"/>
  <c r="C215" i="29960"/>
  <c r="H1527" i="29184"/>
  <c r="H134" i="29184"/>
  <c r="H346" i="29184"/>
  <c r="H789" i="29184"/>
  <c r="H1126" i="29184"/>
  <c r="H38" i="29184"/>
  <c r="H28" i="29184"/>
  <c r="H199" i="29184"/>
  <c r="H7" i="29184"/>
  <c r="H660" i="29184"/>
  <c r="H198" i="29184"/>
  <c r="H1747" i="29184"/>
  <c r="H17" i="29184"/>
  <c r="H436" i="29184"/>
  <c r="H1316" i="29184"/>
  <c r="H1321" i="29184"/>
  <c r="H667" i="29184"/>
  <c r="H1120" i="29184"/>
  <c r="H666" i="29184"/>
  <c r="H339" i="29184"/>
  <c r="H795" i="29184"/>
  <c r="H1745" i="29184"/>
  <c r="H539" i="29184"/>
  <c r="H440" i="29184"/>
  <c r="H1746" i="29184"/>
  <c r="H543" i="29184"/>
  <c r="H94" i="29184"/>
  <c r="H953" i="29184"/>
  <c r="H664" i="29184"/>
  <c r="H1114" i="29184"/>
  <c r="H1305" i="29184"/>
  <c r="H1314" i="29184"/>
  <c r="H949" i="29184"/>
  <c r="H1121" i="29184"/>
  <c r="H792" i="29184"/>
  <c r="H1755" i="29184"/>
  <c r="H1757" i="29184"/>
  <c r="H1315" i="29184"/>
  <c r="H1320" i="29184"/>
  <c r="H540" i="29184"/>
  <c r="H1113" i="29184"/>
  <c r="H655" i="29184"/>
  <c r="H15" i="29184"/>
  <c r="H200" i="29184"/>
  <c r="H790" i="29184"/>
  <c r="H1759" i="29184"/>
  <c r="H665" i="29184"/>
  <c r="H1751" i="29184"/>
  <c r="H1309" i="29184"/>
  <c r="H1304" i="29184"/>
  <c r="H1528" i="29184"/>
  <c r="H1752" i="29184"/>
  <c r="H1122" i="29184"/>
  <c r="H40" i="29184"/>
  <c r="H799" i="29184"/>
  <c r="H8" i="29184"/>
  <c r="H1517" i="29184"/>
  <c r="H542" i="29184"/>
  <c r="H96" i="29184"/>
  <c r="H1753" i="29184"/>
  <c r="H342" i="29184"/>
  <c r="H538" i="29184"/>
  <c r="H534" i="29184"/>
  <c r="H160" i="29184"/>
  <c r="H945" i="29184"/>
  <c r="H264" i="29184"/>
  <c r="H115" i="29184"/>
  <c r="H269" i="29184"/>
  <c r="H1123" i="29184"/>
  <c r="H1523" i="29184"/>
  <c r="H1115" i="29184"/>
  <c r="H193" i="29184"/>
  <c r="H430" i="29184"/>
  <c r="H260" i="29184"/>
  <c r="H1524" i="29184"/>
  <c r="H794" i="29184"/>
  <c r="H435" i="29184"/>
  <c r="H1518" i="29184"/>
  <c r="H161" i="29184"/>
  <c r="H1317" i="29184"/>
  <c r="H338" i="29184"/>
  <c r="H1526" i="29184"/>
  <c r="H194" i="29184"/>
  <c r="H659" i="29184"/>
  <c r="H95" i="29184"/>
  <c r="H265" i="29184"/>
  <c r="H167" i="29184"/>
  <c r="H541" i="29184"/>
  <c r="H139" i="29184"/>
  <c r="H537" i="29184"/>
  <c r="H73" i="29184"/>
  <c r="H54" i="29184"/>
  <c r="H344" i="29184"/>
  <c r="H140" i="29184"/>
  <c r="H1319" i="29184"/>
  <c r="H116" i="29184"/>
  <c r="H195" i="29184"/>
  <c r="H951" i="29184"/>
  <c r="H1521" i="29184"/>
  <c r="H437" i="29184"/>
  <c r="H429" i="29184"/>
  <c r="H663" i="29184"/>
  <c r="H798" i="29184"/>
  <c r="H58" i="29184"/>
  <c r="H1313" i="29184"/>
  <c r="H162" i="29184"/>
  <c r="H1522" i="29184"/>
  <c r="H545" i="29184"/>
  <c r="H544" i="29184"/>
  <c r="H803" i="29184"/>
  <c r="H262" i="29184"/>
  <c r="H57" i="29184"/>
  <c r="H119" i="29184"/>
  <c r="H793" i="29184"/>
  <c r="H1516" i="29184"/>
  <c r="H661" i="29184"/>
  <c r="H138" i="29184"/>
  <c r="H656" i="29184"/>
  <c r="H1119" i="29184"/>
  <c r="H341" i="29184"/>
  <c r="H1519" i="29184"/>
  <c r="CJ4" i="30041" a="1"/>
  <c r="H1756" i="29184"/>
  <c r="H56" i="29184"/>
  <c r="H71" i="29184"/>
  <c r="H657" i="29184"/>
  <c r="H1758" i="29184"/>
  <c r="H37" i="29184"/>
  <c r="H1520" i="29184"/>
  <c r="H801" i="29184"/>
  <c r="H1761" i="29184"/>
  <c r="H432" i="29184"/>
  <c r="H1129" i="29184"/>
  <c r="H947" i="29184"/>
  <c r="H337" i="29184"/>
  <c r="H343" i="29184"/>
  <c r="H946" i="29184"/>
  <c r="H1312" i="29184"/>
  <c r="H165" i="29184"/>
  <c r="H9" i="29184"/>
  <c r="H340" i="29184"/>
  <c r="H1124" i="29184"/>
  <c r="H98" i="29184"/>
  <c r="H72" i="29184"/>
  <c r="H796" i="29184"/>
  <c r="H958" i="29184"/>
  <c r="H1762" i="29184"/>
  <c r="H261" i="29184"/>
  <c r="H536" i="29184"/>
  <c r="H1318" i="29184"/>
  <c r="H1310" i="29184"/>
  <c r="H433" i="29184"/>
  <c r="H438" i="29184"/>
  <c r="H1514" i="29184"/>
  <c r="H345" i="29184"/>
  <c r="H955" i="29184"/>
  <c r="H69" i="29184"/>
  <c r="H1763" i="29184"/>
  <c r="H55" i="29184"/>
  <c r="H431" i="29184"/>
  <c r="H952" i="29184"/>
  <c r="H137" i="29184"/>
  <c r="H16" i="29184"/>
  <c r="H434" i="29184"/>
  <c r="H654" i="29184"/>
  <c r="H956" i="29184"/>
  <c r="H1525" i="29184"/>
  <c r="H1308" i="29184"/>
  <c r="H1748" i="29184"/>
  <c r="H267" i="29184"/>
  <c r="H118" i="29184"/>
  <c r="H950" i="29184"/>
  <c r="H533" i="29184"/>
  <c r="H201" i="29184"/>
  <c r="H197" i="29184"/>
  <c r="H1764" i="29184"/>
  <c r="H954" i="29184"/>
  <c r="H802" i="29184"/>
  <c r="H1127" i="29184"/>
  <c r="H135" i="29184"/>
  <c r="H163" i="29184"/>
  <c r="H791" i="29184"/>
  <c r="H1118" i="29184"/>
  <c r="H1530" i="29184"/>
  <c r="H439" i="29184"/>
  <c r="H1531" i="29184"/>
  <c r="H943" i="29184"/>
  <c r="H268" i="29184"/>
  <c r="H1128" i="29184"/>
  <c r="H957" i="29184"/>
  <c r="H800" i="29184"/>
  <c r="H948" i="29184"/>
  <c r="H29" i="29184"/>
  <c r="H114" i="29184"/>
  <c r="H662" i="29184"/>
  <c r="H263" i="29184"/>
  <c r="H1760" i="29184"/>
  <c r="H164" i="29184"/>
  <c r="H27" i="29184"/>
  <c r="H1307" i="29184"/>
  <c r="H99" i="29184"/>
  <c r="H1125" i="29184"/>
  <c r="H97" i="29184"/>
  <c r="H347" i="29184"/>
  <c r="H1754" i="29184"/>
  <c r="H1749" i="29184"/>
  <c r="H1311" i="29184"/>
  <c r="H1750" i="29184"/>
  <c r="H658" i="29184"/>
  <c r="H266" i="29184"/>
  <c r="H196" i="29184"/>
  <c r="H1116" i="29184"/>
  <c r="H39" i="29184"/>
  <c r="H1117" i="29184"/>
  <c r="H70" i="29184"/>
  <c r="H1513" i="29184"/>
  <c r="H1515" i="29184"/>
  <c r="H944" i="29184"/>
  <c r="H136" i="29184"/>
  <c r="H535" i="29184"/>
  <c r="H1529" i="29184"/>
  <c r="H797" i="29184"/>
  <c r="H26" i="29184"/>
  <c r="H117" i="29184"/>
  <c r="H1306" i="29184"/>
  <c r="H166" i="29184"/>
  <c r="G6" i="30017"/>
  <c r="AD130" i="30019" l="1"/>
  <c r="W130" i="30019"/>
  <c r="V130" i="30019"/>
  <c r="A131" i="30019"/>
  <c r="AC38" i="8192"/>
  <c r="Y38" i="8192"/>
  <c r="I27" i="440"/>
  <c r="P27" i="440"/>
  <c r="W27" i="440" s="1"/>
  <c r="J27" i="440"/>
  <c r="H27" i="440"/>
  <c r="AA27" i="440"/>
  <c r="AD27" i="440" s="1"/>
  <c r="CJ45" i="30041"/>
  <c r="CJ61" i="30041"/>
  <c r="CJ11" i="30041"/>
  <c r="CJ54" i="30041"/>
  <c r="CJ22" i="30041"/>
  <c r="CJ62" i="30041"/>
  <c r="CJ57" i="30041"/>
  <c r="CJ41" i="30041"/>
  <c r="CJ19" i="30041"/>
  <c r="CJ8" i="30041"/>
  <c r="CJ6" i="30041"/>
  <c r="CJ60" i="30041"/>
  <c r="CJ17" i="30041"/>
  <c r="CJ48" i="30041"/>
  <c r="CJ55" i="30041"/>
  <c r="CJ21" i="30041"/>
  <c r="CJ15" i="30041"/>
  <c r="CJ47" i="30041"/>
  <c r="CJ24" i="30041"/>
  <c r="CJ29" i="30041"/>
  <c r="CJ63" i="30041"/>
  <c r="CJ5" i="30041"/>
  <c r="CJ18" i="30041"/>
  <c r="CJ16" i="30041"/>
  <c r="CJ65" i="30041"/>
  <c r="CJ40" i="30041"/>
  <c r="CJ30" i="30041"/>
  <c r="CJ26" i="30041"/>
  <c r="CJ66" i="30041"/>
  <c r="CJ9" i="30041"/>
  <c r="CJ4" i="30041"/>
  <c r="CJ23" i="30041"/>
  <c r="CJ34" i="30041"/>
  <c r="CJ31" i="30041"/>
  <c r="CJ49" i="30041"/>
  <c r="CJ53" i="30041"/>
  <c r="CJ35" i="30041"/>
  <c r="CJ20" i="30041"/>
  <c r="CJ52" i="30041"/>
  <c r="CJ56" i="30041"/>
  <c r="CJ46" i="30041"/>
  <c r="CJ7" i="30041"/>
  <c r="CJ25" i="30041"/>
  <c r="CJ10" i="30041"/>
  <c r="CJ58" i="30041"/>
  <c r="CJ36" i="30041"/>
  <c r="CJ64" i="30041"/>
  <c r="CJ50" i="30041"/>
  <c r="CJ42" i="30041"/>
  <c r="CJ27" i="30041"/>
  <c r="CJ32" i="30041"/>
  <c r="CJ33" i="30041"/>
  <c r="CJ14" i="30041"/>
  <c r="CJ67" i="30041"/>
  <c r="CJ38" i="30041"/>
  <c r="CJ39" i="30041"/>
  <c r="CJ28" i="30041"/>
  <c r="CJ51" i="30041"/>
  <c r="CJ13" i="30041"/>
  <c r="CJ43" i="30041"/>
  <c r="CJ44" i="30041"/>
  <c r="CJ12" i="30041"/>
  <c r="CJ37" i="30041"/>
  <c r="CJ59" i="30041"/>
  <c r="AC69" i="30041"/>
  <c r="P21" i="440"/>
  <c r="Y21" i="440" s="1"/>
  <c r="I21" i="440"/>
  <c r="H21" i="440"/>
  <c r="J21" i="440"/>
  <c r="H24" i="30028"/>
  <c r="I24" i="30028"/>
  <c r="J24" i="30028"/>
  <c r="J21" i="30028"/>
  <c r="H21" i="30028"/>
  <c r="I21" i="30028"/>
  <c r="I29" i="440"/>
  <c r="P29" i="440"/>
  <c r="Y29" i="440" s="1"/>
  <c r="H29" i="440"/>
  <c r="J29" i="440"/>
  <c r="AA29" i="440"/>
  <c r="AD29" i="440" s="1"/>
  <c r="Y44" i="8192"/>
  <c r="Y41" i="8192"/>
  <c r="J50" i="440"/>
  <c r="R50" i="440"/>
  <c r="I50" i="440"/>
  <c r="O50" i="440"/>
  <c r="M50" i="440"/>
  <c r="T50" i="440"/>
  <c r="Q50" i="440"/>
  <c r="H50" i="440"/>
  <c r="P50" i="440"/>
  <c r="W50" i="440" s="1"/>
  <c r="J6" i="30028"/>
  <c r="H6" i="30028"/>
  <c r="I6" i="30028"/>
  <c r="Y69" i="30041"/>
  <c r="P59" i="440"/>
  <c r="Y59" i="440" s="1"/>
  <c r="I59" i="440"/>
  <c r="H59" i="440"/>
  <c r="M59" i="440"/>
  <c r="R59" i="440" s="1"/>
  <c r="O59" i="440"/>
  <c r="T59" i="440" s="1"/>
  <c r="J59" i="440"/>
  <c r="Y62" i="30041"/>
  <c r="AA31" i="440"/>
  <c r="AD31" i="440" s="1"/>
  <c r="P31" i="440"/>
  <c r="Y31" i="440" s="1"/>
  <c r="J31" i="440"/>
  <c r="I31" i="440"/>
  <c r="H31" i="440"/>
  <c r="Q68" i="440"/>
  <c r="H68" i="440"/>
  <c r="T68" i="440"/>
  <c r="O68" i="440"/>
  <c r="R68" i="440"/>
  <c r="P68" i="440"/>
  <c r="W68" i="440" s="1"/>
  <c r="I68" i="440"/>
  <c r="M68" i="440"/>
  <c r="J68" i="440"/>
  <c r="AC62" i="30041"/>
  <c r="P23" i="440"/>
  <c r="W23" i="440" s="1"/>
  <c r="I23" i="440"/>
  <c r="H23" i="440"/>
  <c r="J23" i="440"/>
  <c r="Y76" i="30041"/>
  <c r="AC41" i="8192"/>
  <c r="P25" i="440"/>
  <c r="W25" i="440" s="1"/>
  <c r="I25" i="440"/>
  <c r="J25" i="440"/>
  <c r="H25" i="440"/>
  <c r="M41" i="440"/>
  <c r="J41" i="440"/>
  <c r="P41" i="440"/>
  <c r="W41" i="440" s="1"/>
  <c r="O41" i="440"/>
  <c r="H41" i="440"/>
  <c r="T41" i="440"/>
  <c r="Q41" i="440"/>
  <c r="R41" i="440"/>
  <c r="I41" i="440"/>
  <c r="AC44" i="8192"/>
  <c r="O33" i="440"/>
  <c r="T33" i="440" s="1"/>
  <c r="M33" i="440"/>
  <c r="R33" i="440" s="1"/>
  <c r="J33" i="440"/>
  <c r="H33" i="440"/>
  <c r="I33" i="440"/>
  <c r="P33" i="440"/>
  <c r="Y33" i="440" s="1"/>
  <c r="R63" i="440"/>
  <c r="Q63" i="440"/>
  <c r="T63" i="440"/>
  <c r="O63" i="440"/>
  <c r="I63" i="440"/>
  <c r="M63" i="440"/>
  <c r="H63" i="440"/>
  <c r="P63" i="440"/>
  <c r="Y63" i="440" s="1"/>
  <c r="J63" i="440"/>
  <c r="AC76" i="30041"/>
  <c r="F260" i="29184"/>
  <c r="F261" i="29184"/>
  <c r="F265" i="29184"/>
  <c r="C265" i="29184" s="1"/>
  <c r="F267" i="29184"/>
  <c r="F266" i="29184"/>
  <c r="F269" i="29184"/>
  <c r="F263" i="29184"/>
  <c r="F264" i="29184"/>
  <c r="F262" i="29184"/>
  <c r="F268" i="29184"/>
  <c r="F196" i="29184"/>
  <c r="F199" i="29184"/>
  <c r="F197" i="29184"/>
  <c r="C197" i="29184" s="1"/>
  <c r="F200" i="29184"/>
  <c r="F198" i="29184"/>
  <c r="F194" i="29184"/>
  <c r="F201" i="29184"/>
  <c r="F195" i="29184"/>
  <c r="F193" i="29184"/>
  <c r="F166" i="29184"/>
  <c r="F160" i="29184"/>
  <c r="F161" i="29184"/>
  <c r="F162" i="29184"/>
  <c r="F164" i="29184"/>
  <c r="F167" i="29184"/>
  <c r="F163" i="29184"/>
  <c r="F165" i="29184"/>
  <c r="F135" i="29184"/>
  <c r="C135" i="29184" s="1"/>
  <c r="F139" i="29184"/>
  <c r="C139" i="29184" s="1"/>
  <c r="F137" i="29184"/>
  <c r="C137" i="29184" s="1"/>
  <c r="F134" i="29184"/>
  <c r="C134" i="29184" s="1"/>
  <c r="F136" i="29184"/>
  <c r="C136" i="29184" s="1"/>
  <c r="F140" i="29184"/>
  <c r="C140" i="29184" s="1"/>
  <c r="F138" i="29184"/>
  <c r="C138" i="29184" s="1"/>
  <c r="X42" i="30019" l="1"/>
  <c r="Y109" i="30019"/>
  <c r="X75" i="30019"/>
  <c r="X15" i="30019"/>
  <c r="AD131" i="30019"/>
  <c r="W131" i="30019"/>
  <c r="V131" i="30019"/>
  <c r="Y124" i="30019" s="1"/>
  <c r="X131" i="30019"/>
  <c r="Y131" i="30019"/>
  <c r="X33" i="30019"/>
  <c r="Y108" i="30019"/>
  <c r="X113" i="30019"/>
  <c r="X55" i="30019"/>
  <c r="X96" i="30019"/>
  <c r="Y89" i="30019"/>
  <c r="Y11" i="30019"/>
  <c r="Y16" i="30019"/>
  <c r="X27" i="30019"/>
  <c r="Y17" i="30019"/>
  <c r="X59" i="30019"/>
  <c r="Y102" i="30019"/>
  <c r="X111" i="30019"/>
  <c r="X28" i="30019"/>
  <c r="Y63" i="30019"/>
  <c r="X80" i="30019"/>
  <c r="Y122" i="30019"/>
  <c r="X114" i="30019"/>
  <c r="X9" i="30019"/>
  <c r="X126" i="30019"/>
  <c r="Y60" i="30019"/>
  <c r="Y5" i="30019"/>
  <c r="X19" i="30019"/>
  <c r="X89" i="30019"/>
  <c r="Y78" i="30019"/>
  <c r="X65" i="30019"/>
  <c r="Y18" i="30019"/>
  <c r="Y115" i="30019"/>
  <c r="Y79" i="30019"/>
  <c r="Y70" i="30019"/>
  <c r="Y51" i="30019"/>
  <c r="Y62" i="30019"/>
  <c r="X43" i="30019"/>
  <c r="X17" i="30019"/>
  <c r="X84" i="30019"/>
  <c r="X56" i="30019"/>
  <c r="Y71" i="30019"/>
  <c r="Y6" i="30019"/>
  <c r="Y96" i="30019"/>
  <c r="X82" i="30019"/>
  <c r="X115" i="30019"/>
  <c r="Y59" i="30019"/>
  <c r="Y12" i="30019"/>
  <c r="Y100" i="30019"/>
  <c r="Y38" i="30019"/>
  <c r="X125" i="30019"/>
  <c r="X10" i="30019"/>
  <c r="Y77" i="30019"/>
  <c r="X74" i="30019"/>
  <c r="X110" i="30019"/>
  <c r="Y129" i="30019"/>
  <c r="X14" i="30019"/>
  <c r="Y52" i="30019"/>
  <c r="X97" i="30019"/>
  <c r="Y53" i="30019"/>
  <c r="Y14" i="30019"/>
  <c r="Y45" i="30019"/>
  <c r="X102" i="30019"/>
  <c r="X129" i="30019"/>
  <c r="X112" i="30019"/>
  <c r="X48" i="30019"/>
  <c r="Y80" i="30019"/>
  <c r="X127" i="30019"/>
  <c r="Y47" i="30019"/>
  <c r="X12" i="30019"/>
  <c r="X20" i="30019"/>
  <c r="Y29" i="30019"/>
  <c r="X24" i="30019"/>
  <c r="Y123" i="30019"/>
  <c r="X47" i="30019"/>
  <c r="X68" i="30019"/>
  <c r="Y66" i="30019"/>
  <c r="Y95" i="30019"/>
  <c r="X21" i="30019"/>
  <c r="X41" i="30019"/>
  <c r="X72" i="30019"/>
  <c r="X91" i="30019"/>
  <c r="X88" i="30019"/>
  <c r="X78" i="30019"/>
  <c r="X108" i="30019"/>
  <c r="X70" i="30019"/>
  <c r="X123" i="30019"/>
  <c r="X73" i="30019"/>
  <c r="Y84" i="30019"/>
  <c r="Y98" i="30019"/>
  <c r="X69" i="30019"/>
  <c r="X119" i="30019"/>
  <c r="Y82" i="30019"/>
  <c r="Y87" i="30019"/>
  <c r="Y44" i="30019"/>
  <c r="X25" i="30019"/>
  <c r="Y128" i="30019"/>
  <c r="Y37" i="30019"/>
  <c r="X57" i="30019"/>
  <c r="X86" i="30019"/>
  <c r="X93" i="30019"/>
  <c r="Y46" i="30019"/>
  <c r="X81" i="30019"/>
  <c r="X116" i="30019"/>
  <c r="Y42" i="30019"/>
  <c r="Y7" i="30019"/>
  <c r="Y110" i="30019"/>
  <c r="X62" i="30019"/>
  <c r="X36" i="30019"/>
  <c r="Y125" i="30019"/>
  <c r="X90" i="30019"/>
  <c r="Y120" i="30019"/>
  <c r="Y72" i="30019"/>
  <c r="Y93" i="30019"/>
  <c r="Y34" i="30019"/>
  <c r="Y54" i="30019"/>
  <c r="Y36" i="30019"/>
  <c r="Y48" i="30019"/>
  <c r="X71" i="30019"/>
  <c r="Y43" i="30019"/>
  <c r="X35" i="30019"/>
  <c r="Y8" i="30019"/>
  <c r="Y126" i="30019"/>
  <c r="X61" i="30019"/>
  <c r="X34" i="30019"/>
  <c r="X5" i="30019"/>
  <c r="Y81" i="30019"/>
  <c r="Y118" i="30019"/>
  <c r="Y65" i="30019"/>
  <c r="Y114" i="30019"/>
  <c r="Y28" i="30019"/>
  <c r="X99" i="30019"/>
  <c r="X95" i="30019"/>
  <c r="Y25" i="30019"/>
  <c r="X44" i="30019"/>
  <c r="X11" i="30019"/>
  <c r="X30" i="30019"/>
  <c r="Y19" i="30019"/>
  <c r="Y35" i="30019"/>
  <c r="X122" i="30019"/>
  <c r="X121" i="30019"/>
  <c r="X64" i="30019"/>
  <c r="X87" i="30019"/>
  <c r="Y24" i="30019"/>
  <c r="X26" i="30019"/>
  <c r="Y83" i="30019"/>
  <c r="Y64" i="30019"/>
  <c r="Y116" i="30019"/>
  <c r="X63" i="30019"/>
  <c r="X83" i="30019"/>
  <c r="Y74" i="30019"/>
  <c r="X60" i="30019"/>
  <c r="Y88" i="30019"/>
  <c r="Y113" i="30019"/>
  <c r="X52" i="30019"/>
  <c r="Y97" i="30019"/>
  <c r="X124" i="30019"/>
  <c r="Y121" i="30019"/>
  <c r="Y119" i="30019"/>
  <c r="X50" i="30019"/>
  <c r="X98" i="30019"/>
  <c r="X7" i="30019"/>
  <c r="Y91" i="30019"/>
  <c r="Y55" i="30019"/>
  <c r="Y41" i="30019"/>
  <c r="Y57" i="30019"/>
  <c r="Y50" i="30019"/>
  <c r="X6" i="30019"/>
  <c r="X92" i="30019"/>
  <c r="X128" i="30019"/>
  <c r="X16" i="30019"/>
  <c r="Y26" i="30019"/>
  <c r="X18" i="30019"/>
  <c r="Y111" i="30019"/>
  <c r="X101" i="30019"/>
  <c r="X45" i="30019"/>
  <c r="X100" i="30019"/>
  <c r="X39" i="30019"/>
  <c r="Y112" i="30019"/>
  <c r="X23" i="30019"/>
  <c r="Y21" i="30019"/>
  <c r="Y92" i="30019"/>
  <c r="Y73" i="30019"/>
  <c r="Y61" i="30019"/>
  <c r="Y86" i="30019"/>
  <c r="Y127" i="30019"/>
  <c r="Y39" i="30019"/>
  <c r="Y101" i="30019"/>
  <c r="X37" i="30019"/>
  <c r="Y69" i="30019"/>
  <c r="Y10" i="30019"/>
  <c r="X54" i="30019"/>
  <c r="Y20" i="30019"/>
  <c r="X120" i="30019"/>
  <c r="X53" i="30019"/>
  <c r="Y15" i="30019"/>
  <c r="Y32" i="30019"/>
  <c r="Y27" i="30019"/>
  <c r="Y33" i="30019"/>
  <c r="Y90" i="30019"/>
  <c r="Y23" i="30019"/>
  <c r="CJ3" i="30041"/>
  <c r="Y27" i="440"/>
  <c r="AH59" i="440"/>
  <c r="AH50" i="440"/>
  <c r="AJ33" i="440"/>
  <c r="W59" i="440"/>
  <c r="AI63" i="440"/>
  <c r="AJ50" i="440"/>
  <c r="AI50" i="440"/>
  <c r="Y23" i="440"/>
  <c r="AK41" i="440"/>
  <c r="AJ68" i="440"/>
  <c r="AK68" i="440"/>
  <c r="W31" i="440"/>
  <c r="AI68" i="440"/>
  <c r="AK33" i="440"/>
  <c r="Y50" i="440"/>
  <c r="AJ59" i="440"/>
  <c r="AI59" i="440"/>
  <c r="W29" i="440"/>
  <c r="AK59" i="440"/>
  <c r="AK63" i="440"/>
  <c r="AH68" i="440"/>
  <c r="AI41" i="440"/>
  <c r="AJ41" i="440"/>
  <c r="AJ63" i="440"/>
  <c r="Y68" i="440"/>
  <c r="AK50" i="440"/>
  <c r="AH63" i="440"/>
  <c r="W63" i="440"/>
  <c r="AH33" i="440"/>
  <c r="AI33" i="440"/>
  <c r="W21" i="440"/>
  <c r="AH41" i="440"/>
  <c r="Y41" i="440"/>
  <c r="W33" i="440"/>
  <c r="Y25" i="440"/>
  <c r="C262" i="29184"/>
  <c r="C260" i="29184"/>
  <c r="C264" i="29184"/>
  <c r="C263" i="29184"/>
  <c r="C269" i="29184"/>
  <c r="C266" i="29184"/>
  <c r="C267" i="29184"/>
  <c r="C268" i="29184"/>
  <c r="C261" i="29184"/>
  <c r="C195" i="29184"/>
  <c r="C201" i="29184"/>
  <c r="C194" i="29184"/>
  <c r="C198" i="29184"/>
  <c r="C199" i="29184"/>
  <c r="C200" i="29184"/>
  <c r="C193" i="29184"/>
  <c r="C196" i="29184"/>
  <c r="C167" i="29184"/>
  <c r="C165" i="29184"/>
  <c r="C163" i="29184"/>
  <c r="C164" i="29184"/>
  <c r="C162" i="29184"/>
  <c r="C161" i="29184"/>
  <c r="C160" i="29184"/>
  <c r="C166" i="29184"/>
  <c r="AK136" i="29184"/>
  <c r="AK140" i="29184"/>
  <c r="AK137" i="29184"/>
  <c r="AK139" i="29184"/>
  <c r="AK138" i="29184"/>
  <c r="AK135" i="29184"/>
  <c r="AK134" i="29184"/>
  <c r="X32" i="30019" l="1"/>
  <c r="X8" i="30019"/>
  <c r="Y30" i="30019"/>
  <c r="Y130" i="30019"/>
  <c r="Y99" i="30019"/>
  <c r="X29" i="30019"/>
  <c r="X130" i="30019"/>
  <c r="Y75" i="30019"/>
  <c r="X66" i="30019"/>
  <c r="Y56" i="30019"/>
  <c r="X46" i="30019"/>
  <c r="Y117" i="30019"/>
  <c r="X117" i="30019"/>
  <c r="Y9" i="30019"/>
  <c r="X109" i="30019"/>
  <c r="X51" i="30019"/>
  <c r="X77" i="30019"/>
  <c r="X79" i="30019"/>
  <c r="Y68" i="30019"/>
  <c r="X118" i="30019"/>
  <c r="X38" i="30019"/>
  <c r="Z29" i="440"/>
  <c r="Z27" i="440"/>
  <c r="Z31" i="440"/>
  <c r="AK269" i="29184"/>
  <c r="AK263" i="29184"/>
  <c r="AK265" i="29184"/>
  <c r="AK262" i="29184"/>
  <c r="AK260" i="29184"/>
  <c r="AK264" i="29184"/>
  <c r="AK261" i="29184"/>
  <c r="AK268" i="29184"/>
  <c r="AK267" i="29184"/>
  <c r="AK266" i="29184"/>
  <c r="AK200" i="29184"/>
  <c r="AK199" i="29184"/>
  <c r="AK201" i="29184"/>
  <c r="AK195" i="29184"/>
  <c r="AK193" i="29184"/>
  <c r="AK194" i="29184"/>
  <c r="AK197" i="29184"/>
  <c r="AK198" i="29184"/>
  <c r="AK196" i="29184"/>
  <c r="AK166" i="29184"/>
  <c r="AK165" i="29184"/>
  <c r="AK160" i="29184"/>
  <c r="AK164" i="29184"/>
  <c r="AK162" i="29184"/>
  <c r="AK161" i="29184"/>
  <c r="AK167" i="29184"/>
  <c r="AK163" i="29184"/>
  <c r="AO136" i="29184"/>
  <c r="AN136" i="29184"/>
  <c r="AS136" i="29184"/>
  <c r="AP136" i="29184"/>
  <c r="AV136" i="29184"/>
  <c r="AW136" i="29184"/>
  <c r="AU136" i="29184"/>
  <c r="AT136" i="29184"/>
  <c r="AR136" i="29184"/>
  <c r="AQ136" i="29184"/>
  <c r="AO134" i="29184"/>
  <c r="AN134" i="29184"/>
  <c r="AW134" i="29184"/>
  <c r="AR134" i="29184"/>
  <c r="AP134" i="29184"/>
  <c r="AS134" i="29184"/>
  <c r="AV134" i="29184"/>
  <c r="AU134" i="29184"/>
  <c r="AT134" i="29184"/>
  <c r="AQ134" i="29184"/>
  <c r="AO135" i="29184"/>
  <c r="AN135" i="29184"/>
  <c r="AT135" i="29184"/>
  <c r="AP135" i="29184"/>
  <c r="AS135" i="29184"/>
  <c r="AW135" i="29184"/>
  <c r="AV135" i="29184"/>
  <c r="AR135" i="29184"/>
  <c r="AU135" i="29184"/>
  <c r="AQ135" i="29184"/>
  <c r="AN138" i="29184"/>
  <c r="AO138" i="29184"/>
  <c r="AT138" i="29184"/>
  <c r="AW138" i="29184"/>
  <c r="AR138" i="29184"/>
  <c r="AP138" i="29184"/>
  <c r="AV138" i="29184"/>
  <c r="AS138" i="29184"/>
  <c r="AU138" i="29184"/>
  <c r="AQ138" i="29184"/>
  <c r="AN139" i="29184"/>
  <c r="AO139" i="29184"/>
  <c r="AU139" i="29184"/>
  <c r="AT139" i="29184"/>
  <c r="AV139" i="29184"/>
  <c r="AW139" i="29184"/>
  <c r="AS139" i="29184"/>
  <c r="AR139" i="29184"/>
  <c r="AP139" i="29184"/>
  <c r="AQ139" i="29184"/>
  <c r="AO137" i="29184"/>
  <c r="AN137" i="29184"/>
  <c r="AS137" i="29184"/>
  <c r="AU137" i="29184"/>
  <c r="AT137" i="29184"/>
  <c r="AR137" i="29184"/>
  <c r="AV137" i="29184"/>
  <c r="AW137" i="29184"/>
  <c r="AP137" i="29184"/>
  <c r="AQ137" i="29184"/>
  <c r="AN140" i="29184"/>
  <c r="AO140" i="29184"/>
  <c r="AP140" i="29184"/>
  <c r="AS140" i="29184"/>
  <c r="AU140" i="29184"/>
  <c r="AR140" i="29184"/>
  <c r="AV140" i="29184"/>
  <c r="AW140" i="29184"/>
  <c r="AT140" i="29184"/>
  <c r="AQ140" i="29184"/>
  <c r="CB140" i="29184" l="1"/>
  <c r="AN269" i="29184"/>
  <c r="AO269" i="29184"/>
  <c r="AW269" i="29184"/>
  <c r="AV269" i="29184"/>
  <c r="AT269" i="29184"/>
  <c r="AP269" i="29184"/>
  <c r="AQ269" i="29184"/>
  <c r="AS269" i="29184"/>
  <c r="AR269" i="29184"/>
  <c r="AU269" i="29184"/>
  <c r="AO261" i="29184"/>
  <c r="AN261" i="29184"/>
  <c r="AQ261" i="29184"/>
  <c r="AP261" i="29184"/>
  <c r="AW261" i="29184"/>
  <c r="AS261" i="29184"/>
  <c r="AT261" i="29184"/>
  <c r="AR261" i="29184"/>
  <c r="AU261" i="29184"/>
  <c r="AV261" i="29184"/>
  <c r="AN265" i="29184"/>
  <c r="AO265" i="29184"/>
  <c r="AW265" i="29184"/>
  <c r="AV265" i="29184"/>
  <c r="AS265" i="29184"/>
  <c r="AU265" i="29184"/>
  <c r="AQ265" i="29184"/>
  <c r="AT265" i="29184"/>
  <c r="AP265" i="29184"/>
  <c r="AR265" i="29184"/>
  <c r="AO267" i="29184"/>
  <c r="AN267" i="29184"/>
  <c r="AT267" i="29184"/>
  <c r="AR267" i="29184"/>
  <c r="AU267" i="29184"/>
  <c r="AW267" i="29184"/>
  <c r="AV267" i="29184"/>
  <c r="AS267" i="29184"/>
  <c r="AP267" i="29184"/>
  <c r="AQ267" i="29184"/>
  <c r="AN264" i="29184"/>
  <c r="AO264" i="29184"/>
  <c r="AQ264" i="29184"/>
  <c r="AW264" i="29184"/>
  <c r="AS264" i="29184"/>
  <c r="AU264" i="29184"/>
  <c r="AR264" i="29184"/>
  <c r="AV264" i="29184"/>
  <c r="AP264" i="29184"/>
  <c r="AT264" i="29184"/>
  <c r="AN263" i="29184"/>
  <c r="AO263" i="29184"/>
  <c r="AP263" i="29184"/>
  <c r="AQ263" i="29184"/>
  <c r="AW263" i="29184"/>
  <c r="AT263" i="29184"/>
  <c r="AR263" i="29184"/>
  <c r="AV263" i="29184"/>
  <c r="AS263" i="29184"/>
  <c r="AU263" i="29184"/>
  <c r="AO268" i="29184"/>
  <c r="AN268" i="29184"/>
  <c r="AR268" i="29184"/>
  <c r="AS268" i="29184"/>
  <c r="AW268" i="29184"/>
  <c r="AT268" i="29184"/>
  <c r="AP268" i="29184"/>
  <c r="AV268" i="29184"/>
  <c r="AU268" i="29184"/>
  <c r="AQ268" i="29184"/>
  <c r="AN260" i="29184"/>
  <c r="AO260" i="29184"/>
  <c r="AT260" i="29184"/>
  <c r="AP260" i="29184"/>
  <c r="AU260" i="29184"/>
  <c r="AV260" i="29184"/>
  <c r="AQ260" i="29184"/>
  <c r="AW260" i="29184"/>
  <c r="AS260" i="29184"/>
  <c r="AR260" i="29184"/>
  <c r="AN262" i="29184"/>
  <c r="AO262" i="29184"/>
  <c r="AP262" i="29184"/>
  <c r="AR262" i="29184"/>
  <c r="AV262" i="29184"/>
  <c r="AQ262" i="29184"/>
  <c r="AT262" i="29184"/>
  <c r="AW262" i="29184"/>
  <c r="AS262" i="29184"/>
  <c r="AU262" i="29184"/>
  <c r="AO266" i="29184"/>
  <c r="AN266" i="29184"/>
  <c r="AP266" i="29184"/>
  <c r="AV266" i="29184"/>
  <c r="AT266" i="29184"/>
  <c r="AQ266" i="29184"/>
  <c r="AU266" i="29184"/>
  <c r="AR266" i="29184"/>
  <c r="AW266" i="29184"/>
  <c r="AS266" i="29184"/>
  <c r="AN201" i="29184"/>
  <c r="AO201" i="29184"/>
  <c r="AS201" i="29184"/>
  <c r="AV201" i="29184"/>
  <c r="AT201" i="29184"/>
  <c r="AW201" i="29184"/>
  <c r="AU201" i="29184"/>
  <c r="AP201" i="29184"/>
  <c r="AR201" i="29184"/>
  <c r="AQ201" i="29184"/>
  <c r="AN198" i="29184"/>
  <c r="AO198" i="29184"/>
  <c r="AR198" i="29184"/>
  <c r="AV198" i="29184"/>
  <c r="AW198" i="29184"/>
  <c r="AS198" i="29184"/>
  <c r="AP198" i="29184"/>
  <c r="AT198" i="29184"/>
  <c r="AU198" i="29184"/>
  <c r="AQ198" i="29184"/>
  <c r="AO194" i="29184"/>
  <c r="AN194" i="29184"/>
  <c r="AU194" i="29184"/>
  <c r="AP194" i="29184"/>
  <c r="AW194" i="29184"/>
  <c r="AV194" i="29184"/>
  <c r="AS194" i="29184"/>
  <c r="AR194" i="29184"/>
  <c r="AT194" i="29184"/>
  <c r="AQ194" i="29184"/>
  <c r="AO193" i="29184"/>
  <c r="AN193" i="29184"/>
  <c r="AU193" i="29184"/>
  <c r="AP193" i="29184"/>
  <c r="AR193" i="29184"/>
  <c r="AV193" i="29184"/>
  <c r="AW193" i="29184"/>
  <c r="AS193" i="29184"/>
  <c r="AT193" i="29184"/>
  <c r="AQ193" i="29184"/>
  <c r="AO197" i="29184"/>
  <c r="AN197" i="29184"/>
  <c r="AR197" i="29184"/>
  <c r="AW197" i="29184"/>
  <c r="AU197" i="29184"/>
  <c r="AS197" i="29184"/>
  <c r="AT197" i="29184"/>
  <c r="AP197" i="29184"/>
  <c r="AV197" i="29184"/>
  <c r="AQ197" i="29184"/>
  <c r="AN195" i="29184"/>
  <c r="AO195" i="29184"/>
  <c r="AW195" i="29184"/>
  <c r="AU195" i="29184"/>
  <c r="AP195" i="29184"/>
  <c r="AT195" i="29184"/>
  <c r="AS195" i="29184"/>
  <c r="AV195" i="29184"/>
  <c r="AR195" i="29184"/>
  <c r="AQ195" i="29184"/>
  <c r="AO199" i="29184"/>
  <c r="AN199" i="29184"/>
  <c r="AU199" i="29184"/>
  <c r="AV199" i="29184"/>
  <c r="AT199" i="29184"/>
  <c r="AW199" i="29184"/>
  <c r="AP199" i="29184"/>
  <c r="AR199" i="29184"/>
  <c r="AS199" i="29184"/>
  <c r="AQ199" i="29184"/>
  <c r="AN196" i="29184"/>
  <c r="AO196" i="29184"/>
  <c r="AP196" i="29184"/>
  <c r="AT196" i="29184"/>
  <c r="AU196" i="29184"/>
  <c r="AV196" i="29184"/>
  <c r="AS196" i="29184"/>
  <c r="AW196" i="29184"/>
  <c r="AR196" i="29184"/>
  <c r="AQ196" i="29184"/>
  <c r="AN200" i="29184"/>
  <c r="AO200" i="29184"/>
  <c r="AP200" i="29184"/>
  <c r="AU200" i="29184"/>
  <c r="AV200" i="29184"/>
  <c r="AW200" i="29184"/>
  <c r="AT200" i="29184"/>
  <c r="AR200" i="29184"/>
  <c r="AS200" i="29184"/>
  <c r="AQ200" i="29184"/>
  <c r="AO166" i="29184"/>
  <c r="AN166" i="29184"/>
  <c r="AT166" i="29184"/>
  <c r="AU166" i="29184"/>
  <c r="AS166" i="29184"/>
  <c r="AV166" i="29184"/>
  <c r="AR166" i="29184"/>
  <c r="AP166" i="29184"/>
  <c r="AW166" i="29184"/>
  <c r="AQ166" i="29184"/>
  <c r="AN163" i="29184"/>
  <c r="AO163" i="29184"/>
  <c r="AU163" i="29184"/>
  <c r="AP163" i="29184"/>
  <c r="AS163" i="29184"/>
  <c r="AR163" i="29184"/>
  <c r="AV163" i="29184"/>
  <c r="AT163" i="29184"/>
  <c r="AW163" i="29184"/>
  <c r="AQ163" i="29184"/>
  <c r="AO167" i="29184"/>
  <c r="AN167" i="29184"/>
  <c r="AT167" i="29184"/>
  <c r="AV167" i="29184"/>
  <c r="AU167" i="29184"/>
  <c r="AS167" i="29184"/>
  <c r="AP167" i="29184"/>
  <c r="AR167" i="29184"/>
  <c r="AW167" i="29184"/>
  <c r="AQ167" i="29184"/>
  <c r="AO161" i="29184"/>
  <c r="AN161" i="29184"/>
  <c r="AS161" i="29184"/>
  <c r="AV161" i="29184"/>
  <c r="AU161" i="29184"/>
  <c r="AT161" i="29184"/>
  <c r="AP161" i="29184"/>
  <c r="AW161" i="29184"/>
  <c r="AR161" i="29184"/>
  <c r="AQ161" i="29184"/>
  <c r="AO162" i="29184"/>
  <c r="AT162" i="29184"/>
  <c r="AV162" i="29184"/>
  <c r="AU162" i="29184"/>
  <c r="AS162" i="29184"/>
  <c r="AN162" i="29184"/>
  <c r="AR162" i="29184"/>
  <c r="AW162" i="29184"/>
  <c r="AP162" i="29184"/>
  <c r="AQ162" i="29184"/>
  <c r="AT164" i="29184"/>
  <c r="AN164" i="29184"/>
  <c r="AV164" i="29184"/>
  <c r="AO164" i="29184"/>
  <c r="AS164" i="29184"/>
  <c r="AU164" i="29184"/>
  <c r="AW164" i="29184"/>
  <c r="AP164" i="29184"/>
  <c r="AR164" i="29184"/>
  <c r="AQ164" i="29184"/>
  <c r="AO160" i="29184"/>
  <c r="AT160" i="29184"/>
  <c r="AU160" i="29184"/>
  <c r="AV160" i="29184"/>
  <c r="AN160" i="29184"/>
  <c r="AS160" i="29184"/>
  <c r="AP160" i="29184"/>
  <c r="AR160" i="29184"/>
  <c r="AW160" i="29184"/>
  <c r="AQ160" i="29184"/>
  <c r="AN165" i="29184"/>
  <c r="AO165" i="29184"/>
  <c r="AU165" i="29184"/>
  <c r="AT165" i="29184"/>
  <c r="AS165" i="29184"/>
  <c r="AV165" i="29184"/>
  <c r="AW165" i="29184"/>
  <c r="AR165" i="29184"/>
  <c r="AP165" i="29184"/>
  <c r="AQ165" i="29184"/>
  <c r="CB135" i="29184"/>
  <c r="CB138" i="29184"/>
  <c r="CB139" i="29184"/>
  <c r="CA136" i="29184"/>
  <c r="BB136" i="29184"/>
  <c r="BJ136" i="29184"/>
  <c r="BR136" i="29184"/>
  <c r="BC136" i="29184"/>
  <c r="BK136" i="29184"/>
  <c r="BD136" i="29184"/>
  <c r="BL136" i="29184"/>
  <c r="BE136" i="29184"/>
  <c r="BM136" i="29184"/>
  <c r="AX136" i="29184"/>
  <c r="BF136" i="29184"/>
  <c r="BN136" i="29184"/>
  <c r="AY136" i="29184"/>
  <c r="BG136" i="29184"/>
  <c r="BO136" i="29184"/>
  <c r="AZ136" i="29184"/>
  <c r="BH136" i="29184"/>
  <c r="BP136" i="29184"/>
  <c r="BA136" i="29184"/>
  <c r="BI136" i="29184"/>
  <c r="BQ136" i="29184"/>
  <c r="CA138" i="29184"/>
  <c r="AX138" i="29184"/>
  <c r="BF138" i="29184"/>
  <c r="BN138" i="29184"/>
  <c r="AY138" i="29184"/>
  <c r="BG138" i="29184"/>
  <c r="BO138" i="29184"/>
  <c r="AZ138" i="29184"/>
  <c r="BH138" i="29184"/>
  <c r="BP138" i="29184"/>
  <c r="BA138" i="29184"/>
  <c r="BI138" i="29184"/>
  <c r="BQ138" i="29184"/>
  <c r="BB138" i="29184"/>
  <c r="BJ138" i="29184"/>
  <c r="BR138" i="29184"/>
  <c r="BC138" i="29184"/>
  <c r="BK138" i="29184"/>
  <c r="BD138" i="29184"/>
  <c r="BL138" i="29184"/>
  <c r="BE138" i="29184"/>
  <c r="BM138" i="29184"/>
  <c r="CA140" i="29184"/>
  <c r="BB140" i="29184"/>
  <c r="BJ140" i="29184"/>
  <c r="BR140" i="29184"/>
  <c r="BC140" i="29184"/>
  <c r="BK140" i="29184"/>
  <c r="BD140" i="29184"/>
  <c r="BL140" i="29184"/>
  <c r="BE140" i="29184"/>
  <c r="BM140" i="29184"/>
  <c r="AX140" i="29184"/>
  <c r="BF140" i="29184"/>
  <c r="BN140" i="29184"/>
  <c r="AY140" i="29184"/>
  <c r="BG140" i="29184"/>
  <c r="BO140" i="29184"/>
  <c r="AZ140" i="29184"/>
  <c r="BH140" i="29184"/>
  <c r="BP140" i="29184"/>
  <c r="BA140" i="29184"/>
  <c r="BI140" i="29184"/>
  <c r="BQ140" i="29184"/>
  <c r="CA135" i="29184"/>
  <c r="BD135" i="29184"/>
  <c r="BL135" i="29184"/>
  <c r="BE135" i="29184"/>
  <c r="BM135" i="29184"/>
  <c r="AX135" i="29184"/>
  <c r="BF135" i="29184"/>
  <c r="BN135" i="29184"/>
  <c r="AY135" i="29184"/>
  <c r="BG135" i="29184"/>
  <c r="BO135" i="29184"/>
  <c r="AZ135" i="29184"/>
  <c r="BH135" i="29184"/>
  <c r="BP135" i="29184"/>
  <c r="BA135" i="29184"/>
  <c r="BI135" i="29184"/>
  <c r="BQ135" i="29184"/>
  <c r="BB135" i="29184"/>
  <c r="BJ135" i="29184"/>
  <c r="BR135" i="29184"/>
  <c r="BC135" i="29184"/>
  <c r="BK135" i="29184"/>
  <c r="CB137" i="29184"/>
  <c r="CB134" i="29184"/>
  <c r="CA137" i="29184"/>
  <c r="AZ137" i="29184"/>
  <c r="BH137" i="29184"/>
  <c r="BP137" i="29184"/>
  <c r="BA137" i="29184"/>
  <c r="BI137" i="29184"/>
  <c r="BQ137" i="29184"/>
  <c r="BB137" i="29184"/>
  <c r="BJ137" i="29184"/>
  <c r="BR137" i="29184"/>
  <c r="BC137" i="29184"/>
  <c r="BK137" i="29184"/>
  <c r="BD137" i="29184"/>
  <c r="BL137" i="29184"/>
  <c r="BE137" i="29184"/>
  <c r="BM137" i="29184"/>
  <c r="AX137" i="29184"/>
  <c r="BF137" i="29184"/>
  <c r="BN137" i="29184"/>
  <c r="AY137" i="29184"/>
  <c r="BG137" i="29184"/>
  <c r="BO137" i="29184"/>
  <c r="CA134" i="29184"/>
  <c r="AX134" i="29184"/>
  <c r="BF134" i="29184"/>
  <c r="BN134" i="29184"/>
  <c r="AY134" i="29184"/>
  <c r="BG134" i="29184"/>
  <c r="BO134" i="29184"/>
  <c r="AZ134" i="29184"/>
  <c r="BH134" i="29184"/>
  <c r="BP134" i="29184"/>
  <c r="BA134" i="29184"/>
  <c r="BI134" i="29184"/>
  <c r="BQ134" i="29184"/>
  <c r="BB134" i="29184"/>
  <c r="BJ134" i="29184"/>
  <c r="BR134" i="29184"/>
  <c r="BC134" i="29184"/>
  <c r="BK134" i="29184"/>
  <c r="BD134" i="29184"/>
  <c r="BL134" i="29184"/>
  <c r="BE134" i="29184"/>
  <c r="BM134" i="29184"/>
  <c r="CA139" i="29184"/>
  <c r="BD139" i="29184"/>
  <c r="BL139" i="29184"/>
  <c r="BE139" i="29184"/>
  <c r="BM139" i="29184"/>
  <c r="AX139" i="29184"/>
  <c r="BF139" i="29184"/>
  <c r="BN139" i="29184"/>
  <c r="AY139" i="29184"/>
  <c r="BG139" i="29184"/>
  <c r="BO139" i="29184"/>
  <c r="AZ139" i="29184"/>
  <c r="BH139" i="29184"/>
  <c r="BP139" i="29184"/>
  <c r="BA139" i="29184"/>
  <c r="BI139" i="29184"/>
  <c r="BQ139" i="29184"/>
  <c r="BB139" i="29184"/>
  <c r="BJ139" i="29184"/>
  <c r="BR139" i="29184"/>
  <c r="BC139" i="29184"/>
  <c r="BK139" i="29184"/>
  <c r="CB136" i="29184"/>
  <c r="CB160" i="29184" l="1"/>
  <c r="CB166" i="29184"/>
  <c r="CB161" i="29184"/>
  <c r="CB165" i="29184"/>
  <c r="CA161" i="29184"/>
  <c r="AZ161" i="29184"/>
  <c r="BH161" i="29184"/>
  <c r="BP161" i="29184"/>
  <c r="BX161" i="29184"/>
  <c r="BW161" i="29184"/>
  <c r="BA161" i="29184"/>
  <c r="BI161" i="29184"/>
  <c r="BQ161" i="29184"/>
  <c r="BY161" i="29184"/>
  <c r="BB161" i="29184"/>
  <c r="BJ161" i="29184"/>
  <c r="BR161" i="29184"/>
  <c r="AY161" i="29184"/>
  <c r="BC161" i="29184"/>
  <c r="BK161" i="29184"/>
  <c r="BS161" i="29184"/>
  <c r="BD161" i="29184"/>
  <c r="BL161" i="29184"/>
  <c r="BT161" i="29184"/>
  <c r="BG161" i="29184"/>
  <c r="BE161" i="29184"/>
  <c r="BM161" i="29184"/>
  <c r="BU161" i="29184"/>
  <c r="AX161" i="29184"/>
  <c r="BF161" i="29184"/>
  <c r="BN161" i="29184"/>
  <c r="BV161" i="29184"/>
  <c r="BO161" i="29184"/>
  <c r="CA164" i="29184"/>
  <c r="BD164" i="29184"/>
  <c r="BL164" i="29184"/>
  <c r="BT164" i="29184"/>
  <c r="BE164" i="29184"/>
  <c r="BM164" i="29184"/>
  <c r="BU164" i="29184"/>
  <c r="AX164" i="29184"/>
  <c r="BF164" i="29184"/>
  <c r="BN164" i="29184"/>
  <c r="BV164" i="29184"/>
  <c r="AY164" i="29184"/>
  <c r="BG164" i="29184"/>
  <c r="BO164" i="29184"/>
  <c r="BW164" i="29184"/>
  <c r="BC164" i="29184"/>
  <c r="AZ164" i="29184"/>
  <c r="BH164" i="29184"/>
  <c r="BP164" i="29184"/>
  <c r="BX164" i="29184"/>
  <c r="BS164" i="29184"/>
  <c r="BA164" i="29184"/>
  <c r="BI164" i="29184"/>
  <c r="BQ164" i="29184"/>
  <c r="BY164" i="29184"/>
  <c r="BB164" i="29184"/>
  <c r="BJ164" i="29184"/>
  <c r="BR164" i="29184"/>
  <c r="BK164" i="29184"/>
  <c r="CB162" i="29184"/>
  <c r="CB167" i="29184"/>
  <c r="CA162" i="29184"/>
  <c r="AY162" i="29184"/>
  <c r="BG162" i="29184"/>
  <c r="BO162" i="29184"/>
  <c r="BW162" i="29184"/>
  <c r="AZ162" i="29184"/>
  <c r="BH162" i="29184"/>
  <c r="BP162" i="29184"/>
  <c r="BX162" i="29184"/>
  <c r="BA162" i="29184"/>
  <c r="BI162" i="29184"/>
  <c r="BQ162" i="29184"/>
  <c r="BY162" i="29184"/>
  <c r="BB162" i="29184"/>
  <c r="BJ162" i="29184"/>
  <c r="BR162" i="29184"/>
  <c r="BV162" i="29184"/>
  <c r="BC162" i="29184"/>
  <c r="BK162" i="29184"/>
  <c r="BS162" i="29184"/>
  <c r="BF162" i="29184"/>
  <c r="BD162" i="29184"/>
  <c r="BL162" i="29184"/>
  <c r="BT162" i="29184"/>
  <c r="AX162" i="29184"/>
  <c r="BE162" i="29184"/>
  <c r="BM162" i="29184"/>
  <c r="BU162" i="29184"/>
  <c r="BN162" i="29184"/>
  <c r="CA160" i="29184"/>
  <c r="BB160" i="29184"/>
  <c r="BJ160" i="29184"/>
  <c r="BR160" i="29184"/>
  <c r="BQ160" i="29184"/>
  <c r="BC160" i="29184"/>
  <c r="BK160" i="29184"/>
  <c r="BS160" i="29184"/>
  <c r="BD160" i="29184"/>
  <c r="BL160" i="29184"/>
  <c r="BT160" i="29184"/>
  <c r="BE160" i="29184"/>
  <c r="BM160" i="29184"/>
  <c r="BU160" i="29184"/>
  <c r="BI160" i="29184"/>
  <c r="AX160" i="29184"/>
  <c r="BF160" i="29184"/>
  <c r="BN160" i="29184"/>
  <c r="BV160" i="29184"/>
  <c r="BA160" i="29184"/>
  <c r="AY160" i="29184"/>
  <c r="BG160" i="29184"/>
  <c r="BO160" i="29184"/>
  <c r="BW160" i="29184"/>
  <c r="AZ160" i="29184"/>
  <c r="BH160" i="29184"/>
  <c r="BP160" i="29184"/>
  <c r="BX160" i="29184"/>
  <c r="BY160" i="29184"/>
  <c r="CA167" i="29184"/>
  <c r="AY167" i="29184"/>
  <c r="BG167" i="29184"/>
  <c r="BO167" i="29184"/>
  <c r="BW167" i="29184"/>
  <c r="AZ167" i="29184"/>
  <c r="BH167" i="29184"/>
  <c r="BP167" i="29184"/>
  <c r="BX167" i="29184"/>
  <c r="BA167" i="29184"/>
  <c r="BI167" i="29184"/>
  <c r="BQ167" i="29184"/>
  <c r="BY167" i="29184"/>
  <c r="BB167" i="29184"/>
  <c r="BJ167" i="29184"/>
  <c r="BR167" i="29184"/>
  <c r="BV167" i="29184"/>
  <c r="BC167" i="29184"/>
  <c r="BK167" i="29184"/>
  <c r="BS167" i="29184"/>
  <c r="AX167" i="29184"/>
  <c r="BD167" i="29184"/>
  <c r="BL167" i="29184"/>
  <c r="BT167" i="29184"/>
  <c r="BN167" i="29184"/>
  <c r="BE167" i="29184"/>
  <c r="BM167" i="29184"/>
  <c r="BU167" i="29184"/>
  <c r="BF167" i="29184"/>
  <c r="CB164" i="29184"/>
  <c r="CA163" i="29184"/>
  <c r="AX163" i="29184"/>
  <c r="BF163" i="29184"/>
  <c r="BN163" i="29184"/>
  <c r="BV163" i="29184"/>
  <c r="AY163" i="29184"/>
  <c r="BG163" i="29184"/>
  <c r="BO163" i="29184"/>
  <c r="BW163" i="29184"/>
  <c r="AZ163" i="29184"/>
  <c r="BH163" i="29184"/>
  <c r="BP163" i="29184"/>
  <c r="BX163" i="29184"/>
  <c r="BA163" i="29184"/>
  <c r="BI163" i="29184"/>
  <c r="BQ163" i="29184"/>
  <c r="BY163" i="29184"/>
  <c r="BB163" i="29184"/>
  <c r="BJ163" i="29184"/>
  <c r="BR163" i="29184"/>
  <c r="BU163" i="29184"/>
  <c r="BC163" i="29184"/>
  <c r="BK163" i="29184"/>
  <c r="BS163" i="29184"/>
  <c r="BE163" i="29184"/>
  <c r="BD163" i="29184"/>
  <c r="BL163" i="29184"/>
  <c r="BT163" i="29184"/>
  <c r="BM163" i="29184"/>
  <c r="CA165" i="29184"/>
  <c r="BB165" i="29184"/>
  <c r="BJ165" i="29184"/>
  <c r="BR165" i="29184"/>
  <c r="BC165" i="29184"/>
  <c r="BK165" i="29184"/>
  <c r="BS165" i="29184"/>
  <c r="BD165" i="29184"/>
  <c r="BL165" i="29184"/>
  <c r="BT165" i="29184"/>
  <c r="BQ165" i="29184"/>
  <c r="BE165" i="29184"/>
  <c r="BM165" i="29184"/>
  <c r="BU165" i="29184"/>
  <c r="BI165" i="29184"/>
  <c r="AX165" i="29184"/>
  <c r="BF165" i="29184"/>
  <c r="BN165" i="29184"/>
  <c r="BV165" i="29184"/>
  <c r="BY165" i="29184"/>
  <c r="AY165" i="29184"/>
  <c r="BG165" i="29184"/>
  <c r="BO165" i="29184"/>
  <c r="BW165" i="29184"/>
  <c r="BA165" i="29184"/>
  <c r="AZ165" i="29184"/>
  <c r="BH165" i="29184"/>
  <c r="BP165" i="29184"/>
  <c r="BX165" i="29184"/>
  <c r="CB163" i="29184"/>
  <c r="CA166" i="29184"/>
  <c r="AZ166" i="29184"/>
  <c r="BH166" i="29184"/>
  <c r="BP166" i="29184"/>
  <c r="BX166" i="29184"/>
  <c r="BW166" i="29184"/>
  <c r="BA166" i="29184"/>
  <c r="BI166" i="29184"/>
  <c r="BQ166" i="29184"/>
  <c r="BY166" i="29184"/>
  <c r="BB166" i="29184"/>
  <c r="BJ166" i="29184"/>
  <c r="BR166" i="29184"/>
  <c r="BC166" i="29184"/>
  <c r="BK166" i="29184"/>
  <c r="BS166" i="29184"/>
  <c r="BO166" i="29184"/>
  <c r="BD166" i="29184"/>
  <c r="BL166" i="29184"/>
  <c r="BT166" i="29184"/>
  <c r="BE166" i="29184"/>
  <c r="BM166" i="29184"/>
  <c r="BU166" i="29184"/>
  <c r="BG166" i="29184"/>
  <c r="AX166" i="29184"/>
  <c r="BF166" i="29184"/>
  <c r="BN166" i="29184"/>
  <c r="BV166" i="29184"/>
  <c r="AY166" i="2918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<sst xmlns="http://schemas.openxmlformats.org/spreadsheetml/2006/main" count="54415" uniqueCount="18393">
  <si>
    <t>Aménager le planning en déplaçant les matches sur les différentes session de la journée. Durant la compétition, les arbitres, les tables et les scores sont saisis UNIQUEMENT dans le planning.
Dans le cas des matches d'équipe (ou doubles), les joueurs sont renseignés également dans la feuille "planning".</t>
  </si>
  <si>
    <t>Adapt the planning by moving matches between the differents sessions. During the event, referees, tables and scores are filled in EXCLUSIVELY in the planning sheet. 
In case of team or double matches, players are also filled in the "planning" sheet.</t>
  </si>
  <si>
    <t xml:space="preserve">Composing freely your tournament formula  </t>
  </si>
  <si>
    <t>M1 7B - 20B</t>
  </si>
  <si>
    <t>M2 8B - 21B</t>
  </si>
  <si>
    <t>M3 9B - 22B</t>
  </si>
  <si>
    <t>M4 10B - 23B</t>
  </si>
  <si>
    <t>M5 11B - 24B</t>
  </si>
  <si>
    <t>M6 12B - 25B</t>
  </si>
  <si>
    <t>M7 13B - 26B</t>
  </si>
  <si>
    <t>M8 14B - 27B</t>
  </si>
  <si>
    <t>M9 15B - 28B</t>
  </si>
  <si>
    <t>M10 16B - 29B</t>
  </si>
  <si>
    <t>M11 17B - 30B</t>
  </si>
  <si>
    <t>M12 18B - 31B</t>
  </si>
  <si>
    <t>M13 19B - 32B</t>
  </si>
  <si>
    <t>22A - 17A</t>
  </si>
  <si>
    <t>6A - 3B</t>
  </si>
  <si>
    <t>30A - 9A</t>
  </si>
  <si>
    <t>14A - 25A</t>
  </si>
  <si>
    <t>26A - 13A</t>
  </si>
  <si>
    <t>10A - 29A</t>
  </si>
  <si>
    <t>4B - 5A</t>
  </si>
  <si>
    <t>18A - 21A</t>
  </si>
  <si>
    <t>20A - 19A</t>
  </si>
  <si>
    <t>4A - 1B</t>
  </si>
  <si>
    <t>2B - 3A</t>
  </si>
  <si>
    <t>28A - 11A</t>
  </si>
  <si>
    <t>12A - 27A</t>
  </si>
  <si>
    <t>24A - 15A</t>
  </si>
  <si>
    <t>8A - 31A</t>
  </si>
  <si>
    <t>32A - 7A</t>
  </si>
  <si>
    <t>16A - 23A</t>
  </si>
  <si>
    <t>M1 5B - 19B</t>
  </si>
  <si>
    <t>M2 6B - 20B</t>
  </si>
  <si>
    <t>M3 7B - 21B</t>
  </si>
  <si>
    <t>M4 8B - 22B</t>
  </si>
  <si>
    <t>M5 9B - 23B</t>
  </si>
  <si>
    <t>M6 10B - 24B</t>
  </si>
  <si>
    <t>M7 11B - 25B</t>
  </si>
  <si>
    <t>M8 12B - 26B</t>
  </si>
  <si>
    <t>M9 13B - 27B</t>
  </si>
  <si>
    <t>M10 14B - 28B</t>
  </si>
  <si>
    <t>M11 15B - 29B</t>
  </si>
  <si>
    <t>M12 16B - 30B</t>
  </si>
  <si>
    <t>M13 17B - 31B</t>
  </si>
  <si>
    <t>M14 18B - 32B</t>
  </si>
  <si>
    <t>21A - 16A</t>
  </si>
  <si>
    <t>5A - 32A</t>
  </si>
  <si>
    <t>29A - 8A</t>
  </si>
  <si>
    <t>13A - 24A</t>
  </si>
  <si>
    <t>25A - 12A</t>
  </si>
  <si>
    <t>9A - 28A</t>
  </si>
  <si>
    <t>17A - 20A</t>
  </si>
  <si>
    <t>19A - 18A</t>
  </si>
  <si>
    <t>27A - 10A</t>
  </si>
  <si>
    <t>11A - 26A</t>
  </si>
  <si>
    <t>23A - 14A</t>
  </si>
  <si>
    <t>7A - 30A</t>
  </si>
  <si>
    <t>31A - 6A</t>
  </si>
  <si>
    <t>15A - 22A</t>
  </si>
  <si>
    <t>M1 3B - 18B</t>
  </si>
  <si>
    <t>M2 4B - 19B</t>
  </si>
  <si>
    <t>M3 5B - 20B</t>
  </si>
  <si>
    <t>M4 6B - 21B</t>
  </si>
  <si>
    <t>M5 7B - 22B</t>
  </si>
  <si>
    <t>M6 8B - 23B</t>
  </si>
  <si>
    <t>M7 9B - 24B</t>
  </si>
  <si>
    <t>M8 10B - 25B</t>
  </si>
  <si>
    <t>M9 11B - 26B</t>
  </si>
  <si>
    <t>M10 12B - 27B</t>
  </si>
  <si>
    <t>M11 13B - 28B</t>
  </si>
  <si>
    <t>M12 14B - 29B</t>
  </si>
  <si>
    <t>M13 15B - 30B</t>
  </si>
  <si>
    <t>M14 16B - 31B</t>
  </si>
  <si>
    <t>M15 17B - 32B</t>
  </si>
  <si>
    <t>18A - 17A</t>
  </si>
  <si>
    <t>26A - 9A</t>
  </si>
  <si>
    <t>10A - 25A</t>
  </si>
  <si>
    <t>22A - 13A</t>
  </si>
  <si>
    <t>6A - 29A</t>
  </si>
  <si>
    <t>30A - 5A</t>
  </si>
  <si>
    <t>14A - 21A</t>
  </si>
  <si>
    <t>20A - 15A</t>
  </si>
  <si>
    <t>4A - 31A</t>
  </si>
  <si>
    <t>28A - 7A</t>
  </si>
  <si>
    <t>12A - 23A</t>
  </si>
  <si>
    <t>24A - 11A</t>
  </si>
  <si>
    <t>8A - 27A</t>
  </si>
  <si>
    <t>32A - 3A</t>
  </si>
  <si>
    <t>16A - 19A</t>
  </si>
  <si>
    <t>M1 1B - 17B</t>
  </si>
  <si>
    <t>M2 2B - 18B</t>
  </si>
  <si>
    <t>M3 3B - 19B</t>
  </si>
  <si>
    <t>M4 4B - 20B</t>
  </si>
  <si>
    <t>M5 5B - 21B</t>
  </si>
  <si>
    <t>M6 6B - 22B</t>
  </si>
  <si>
    <t>M7 7B - 23B</t>
  </si>
  <si>
    <t>M8 8B - 24B</t>
  </si>
  <si>
    <t>M9 9B - 25B</t>
  </si>
  <si>
    <t>M10 10B - 26B</t>
  </si>
  <si>
    <t>M11 11B - 27B</t>
  </si>
  <si>
    <t>M12 12B - 28B</t>
  </si>
  <si>
    <t>M13 13B - 29B</t>
  </si>
  <si>
    <t>M14 14B - 30B</t>
  </si>
  <si>
    <t>M15 15B - 31B</t>
  </si>
  <si>
    <t>M16 16B - 32B</t>
  </si>
  <si>
    <t>1A - 32A</t>
  </si>
  <si>
    <t>25A - 8A</t>
  </si>
  <si>
    <t>9A - 24A</t>
  </si>
  <si>
    <t>5A - 28A</t>
  </si>
  <si>
    <t>29A - 4A</t>
  </si>
  <si>
    <t>3A - 30A</t>
  </si>
  <si>
    <t>27A - 6A</t>
  </si>
  <si>
    <t>11A - 22A</t>
  </si>
  <si>
    <t>23A - 10A</t>
  </si>
  <si>
    <t>7A - 26A</t>
  </si>
  <si>
    <t>31A - 2A</t>
  </si>
  <si>
    <t>M1 31A - 16B</t>
  </si>
  <si>
    <t>M2 32A - 17B</t>
  </si>
  <si>
    <t>M3 1B - 18B</t>
  </si>
  <si>
    <t>M4 2B - 19B</t>
  </si>
  <si>
    <t>M5 3B - 20B</t>
  </si>
  <si>
    <t>M6 4B - 21B</t>
  </si>
  <si>
    <t>M7 5B - 22B</t>
  </si>
  <si>
    <t>M8 6B - 23B</t>
  </si>
  <si>
    <t>M9 7B - 24B</t>
  </si>
  <si>
    <t>M10 8B - 25B</t>
  </si>
  <si>
    <t>M11 9B - 26B</t>
  </si>
  <si>
    <t>M12 10B - 27B</t>
  </si>
  <si>
    <t>M13 11B - 28B</t>
  </si>
  <si>
    <t>M14 12B - 29B</t>
  </si>
  <si>
    <t>M15 13B - 30B</t>
  </si>
  <si>
    <t>M16 14B - 31B</t>
  </si>
  <si>
    <t>M17 15B - 32B</t>
  </si>
  <si>
    <t>16A - 15A</t>
  </si>
  <si>
    <t>24A - 7A</t>
  </si>
  <si>
    <t>8A - 23A</t>
  </si>
  <si>
    <t>20A - 11A</t>
  </si>
  <si>
    <t>4A - 27A</t>
  </si>
  <si>
    <t>28A - 3A</t>
  </si>
  <si>
    <t>12A - 19A</t>
  </si>
  <si>
    <t>18A - 13A</t>
  </si>
  <si>
    <t>2A - 29A</t>
  </si>
  <si>
    <t>26A - 5A</t>
  </si>
  <si>
    <t>10A - 21A</t>
  </si>
  <si>
    <t>22A - 9A</t>
  </si>
  <si>
    <t>6A - 25A</t>
  </si>
  <si>
    <t>30A - 1A</t>
  </si>
  <si>
    <t>14A - 17A</t>
  </si>
  <si>
    <t>M1 29A - 15B</t>
  </si>
  <si>
    <t>M2 30A - 16B</t>
  </si>
  <si>
    <t>M3 31A - 17B</t>
  </si>
  <si>
    <t>M4 32A - 18B</t>
  </si>
  <si>
    <t>M5 1B - 19B</t>
  </si>
  <si>
    <t>M6 2B - 20B</t>
  </si>
  <si>
    <t>M7 3B - 21B</t>
  </si>
  <si>
    <t>M8 4B - 22B</t>
  </si>
  <si>
    <t>M9 5B - 23B</t>
  </si>
  <si>
    <t>M10 6B - 24B</t>
  </si>
  <si>
    <t>M11 7B - 25B</t>
  </si>
  <si>
    <t>M12 8B - 26B</t>
  </si>
  <si>
    <t>M13 9B - 27B</t>
  </si>
  <si>
    <t>M14 10B - 28B</t>
  </si>
  <si>
    <t>M15 11B - 29B</t>
  </si>
  <si>
    <t>M16 12B - 30B</t>
  </si>
  <si>
    <t>M17 13B - 31B</t>
  </si>
  <si>
    <t>M18 14B - 32B</t>
  </si>
  <si>
    <t>15A - 14A</t>
  </si>
  <si>
    <t>23A - 6A</t>
  </si>
  <si>
    <t>7A - 22A</t>
  </si>
  <si>
    <t>19A - 10A</t>
  </si>
  <si>
    <t>3A - 26A</t>
  </si>
  <si>
    <t>27A - 2A</t>
  </si>
  <si>
    <t>11A - 18A</t>
  </si>
  <si>
    <t>17A - 12A</t>
  </si>
  <si>
    <t>1A - 28A</t>
  </si>
  <si>
    <t>25A - 4A</t>
  </si>
  <si>
    <t>9A - 20A</t>
  </si>
  <si>
    <t>21A - 8A</t>
  </si>
  <si>
    <t>5A - 24A</t>
  </si>
  <si>
    <t>13A - 16A</t>
  </si>
  <si>
    <t>M1 27A - 14B</t>
  </si>
  <si>
    <t>M2 28A - 16B</t>
  </si>
  <si>
    <t>M3 29A - 15B</t>
  </si>
  <si>
    <t>M4 30A - 17B</t>
  </si>
  <si>
    <t>M5 31A - 18B</t>
  </si>
  <si>
    <t>M6 32A - 19B</t>
  </si>
  <si>
    <t>M7 1B - 20B</t>
  </si>
  <si>
    <t>M8 2B - 21B</t>
  </si>
  <si>
    <t>M9 3B - 22B</t>
  </si>
  <si>
    <t>M10 4B - 23B</t>
  </si>
  <si>
    <t>M11 5B - 24B</t>
  </si>
  <si>
    <t>M12 6B - 25B</t>
  </si>
  <si>
    <t>M13 7B - 26B</t>
  </si>
  <si>
    <t>M14 8B - 27B</t>
  </si>
  <si>
    <t>M15 9B - 28B</t>
  </si>
  <si>
    <t>M16 10B - 29B</t>
  </si>
  <si>
    <t>M17 11B - 30B</t>
  </si>
  <si>
    <t>M18 12B - 31B</t>
  </si>
  <si>
    <t>M19 13B - 32B</t>
  </si>
  <si>
    <t>14A - 13A</t>
  </si>
  <si>
    <t>22A - 5A</t>
  </si>
  <si>
    <t>6A - 21A</t>
  </si>
  <si>
    <t>18A - 9A</t>
  </si>
  <si>
    <t>2A - 25A</t>
  </si>
  <si>
    <t>26A - 1A</t>
  </si>
  <si>
    <t>10A - 17A</t>
  </si>
  <si>
    <t>16A - 11A</t>
  </si>
  <si>
    <t>24A - 3A</t>
  </si>
  <si>
    <t>8A - 19A</t>
  </si>
  <si>
    <t>20A - 7A</t>
  </si>
  <si>
    <t>4A - 23A</t>
  </si>
  <si>
    <t>12A - 15A</t>
  </si>
  <si>
    <t>M1 25A - 14B</t>
  </si>
  <si>
    <t>M2 26A - 13B</t>
  </si>
  <si>
    <t>M3 27A - 16B</t>
  </si>
  <si>
    <t>M4 28A - 15B</t>
  </si>
  <si>
    <t>M5 29A - 18B</t>
  </si>
  <si>
    <t>M6 30A - 17B</t>
  </si>
  <si>
    <t>M7 31A - 20B</t>
  </si>
  <si>
    <t>M8 32A - 19B</t>
  </si>
  <si>
    <t>M9 1B - 21B</t>
  </si>
  <si>
    <t>M10 2B - 22B</t>
  </si>
  <si>
    <t>M11 3B - 23B</t>
  </si>
  <si>
    <t>M12 4B - 24B</t>
  </si>
  <si>
    <t>M13 5B - 25B</t>
  </si>
  <si>
    <t>M14 6B - 26B</t>
  </si>
  <si>
    <t>M15 7B - 27B</t>
  </si>
  <si>
    <t>M16 8B - 28B</t>
  </si>
  <si>
    <t>M17 9B - 29B</t>
  </si>
  <si>
    <t>M18 10B - 30B</t>
  </si>
  <si>
    <t>M19 11B - 31B</t>
  </si>
  <si>
    <t>M20 12B - 32B</t>
  </si>
  <si>
    <t>13A - 12A</t>
  </si>
  <si>
    <t>21A - 4A</t>
  </si>
  <si>
    <t>5A - 20A</t>
  </si>
  <si>
    <t>17A - 8A</t>
  </si>
  <si>
    <t>1A - 24A</t>
  </si>
  <si>
    <t>9A - 16A</t>
  </si>
  <si>
    <t>15A - 10A</t>
  </si>
  <si>
    <t>23A - 2A</t>
  </si>
  <si>
    <t>7A - 18A</t>
  </si>
  <si>
    <t>19A - 6A</t>
  </si>
  <si>
    <t>3A - 22A</t>
  </si>
  <si>
    <t>11A - 14A</t>
  </si>
  <si>
    <t>M1 23A - 14B</t>
  </si>
  <si>
    <t>M2 24A - 13B</t>
  </si>
  <si>
    <t>M3 25A - 12B</t>
  </si>
  <si>
    <t>M4 26A - 15B</t>
  </si>
  <si>
    <t>M5 27A - 16B</t>
  </si>
  <si>
    <t>M6 28A - 17B</t>
  </si>
  <si>
    <t>M7 29A - 18B</t>
  </si>
  <si>
    <t>M8 30A - 19B</t>
  </si>
  <si>
    <t>M9 31A - 20B</t>
  </si>
  <si>
    <t>M10 32A - 21B</t>
  </si>
  <si>
    <t>M11 1B - 23B</t>
  </si>
  <si>
    <t>M12 3B - 22B</t>
  </si>
  <si>
    <t>M13 2B - 24B</t>
  </si>
  <si>
    <t>M14 5B - 25B</t>
  </si>
  <si>
    <t>M15 4B - 26B</t>
  </si>
  <si>
    <t>M16 7B - 27B</t>
  </si>
  <si>
    <t>M17 6B - 28B</t>
  </si>
  <si>
    <t>M18 9B - 29B</t>
  </si>
  <si>
    <t>M19 8B - 30B</t>
  </si>
  <si>
    <t>M20 11B - 31B</t>
  </si>
  <si>
    <t>M21 10B - 32B</t>
  </si>
  <si>
    <t>12A - 11A</t>
  </si>
  <si>
    <t>20A - 3A</t>
  </si>
  <si>
    <t>4A - 19A</t>
  </si>
  <si>
    <t>16A - 7A</t>
  </si>
  <si>
    <t>8A - 15A</t>
  </si>
  <si>
    <t>14A - 9A</t>
  </si>
  <si>
    <t>M8 - 814</t>
  </si>
  <si>
    <t>22A - 1A</t>
  </si>
  <si>
    <t>6A - 17A</t>
  </si>
  <si>
    <t>18A - 5A</t>
  </si>
  <si>
    <t>2A - 21A</t>
  </si>
  <si>
    <t>10A - 13A</t>
  </si>
  <si>
    <t>M3 23A - 13B</t>
  </si>
  <si>
    <t>M4 24A - 14B</t>
  </si>
  <si>
    <t>M5 25A - 15B</t>
  </si>
  <si>
    <t>M6 26A - 16B</t>
  </si>
  <si>
    <t>M7 27A - 17B</t>
  </si>
  <si>
    <t>M8 28A - 18B</t>
  </si>
  <si>
    <t>M9 29A - 19B</t>
  </si>
  <si>
    <t>M10 30A - 20B</t>
  </si>
  <si>
    <t>M11 31A - 21B</t>
  </si>
  <si>
    <t>M12 32A - 22B</t>
  </si>
  <si>
    <t>M13 1B - 23B</t>
  </si>
  <si>
    <t>M14 2B - 24B</t>
  </si>
  <si>
    <t>M15 3B - 25B</t>
  </si>
  <si>
    <t>M16 4B - 26B</t>
  </si>
  <si>
    <t>M17 5B - 27B</t>
  </si>
  <si>
    <t>M18 6B - 28B</t>
  </si>
  <si>
    <t>M19 7B - 29B</t>
  </si>
  <si>
    <t>M20 8B - 30B</t>
  </si>
  <si>
    <t>M21 9B - 31B</t>
  </si>
  <si>
    <t>M22 10B - 32B</t>
  </si>
  <si>
    <t>11A - 10A</t>
  </si>
  <si>
    <t>19A - 2A</t>
  </si>
  <si>
    <t>3A - 18A</t>
  </si>
  <si>
    <t>15A - 6A</t>
  </si>
  <si>
    <t>7A - 14A</t>
  </si>
  <si>
    <t>13A - 8A</t>
  </si>
  <si>
    <t>5A - 16A</t>
  </si>
  <si>
    <t>17A - 4A</t>
  </si>
  <si>
    <t>1A - 20A</t>
  </si>
  <si>
    <t>9A - 12A</t>
  </si>
  <si>
    <t>M1 19A - 10B</t>
  </si>
  <si>
    <t>M2 20A - 11B</t>
  </si>
  <si>
    <t>M3 21A - 12B</t>
  </si>
  <si>
    <t>M4 22A - 13B</t>
  </si>
  <si>
    <t>M5 23A - 14B</t>
  </si>
  <si>
    <t>M6 24A - 15B</t>
  </si>
  <si>
    <t>M7 25A - 16B</t>
  </si>
  <si>
    <t>M8 26A - 17B</t>
  </si>
  <si>
    <t>M9 27A - 18B</t>
  </si>
  <si>
    <t>M10 28A - 19B</t>
  </si>
  <si>
    <t>M11 29A - 20B</t>
  </si>
  <si>
    <t>M12 30A - 21B</t>
  </si>
  <si>
    <t>M13 31A - 22B</t>
  </si>
  <si>
    <t>M14 32A - 23B</t>
  </si>
  <si>
    <t>M15 1B - 24B</t>
  </si>
  <si>
    <t>M16 2B - 25B</t>
  </si>
  <si>
    <t>M17 3B - 26B</t>
  </si>
  <si>
    <t>M18 4B - 27B</t>
  </si>
  <si>
    <t>M19 5B - 28B</t>
  </si>
  <si>
    <t>M20 6B - 29B</t>
  </si>
  <si>
    <t>M21 7B - 30B</t>
  </si>
  <si>
    <t>M22 8B - 31B</t>
  </si>
  <si>
    <t>M23 9B - 32B</t>
  </si>
  <si>
    <t>10A - 9A</t>
  </si>
  <si>
    <t>18A - 1A</t>
  </si>
  <si>
    <t>2A - 17A</t>
  </si>
  <si>
    <t>14A - 5A</t>
  </si>
  <si>
    <t>6A - 13A</t>
  </si>
  <si>
    <t>M21 - 84</t>
  </si>
  <si>
    <t>12A - 7A</t>
  </si>
  <si>
    <t>4A - 15A</t>
  </si>
  <si>
    <t>16A - 3A</t>
  </si>
  <si>
    <t>8A - 11A</t>
  </si>
  <si>
    <t>M9 25A - 18B</t>
  </si>
  <si>
    <t>M10 26A - 17B</t>
  </si>
  <si>
    <t>M11 27A - 20B</t>
  </si>
  <si>
    <t>M12 28A - 19B</t>
  </si>
  <si>
    <t>M13 29A - 22B</t>
  </si>
  <si>
    <t>M14 30A - 21B</t>
  </si>
  <si>
    <t>M15 31A - 24B</t>
  </si>
  <si>
    <t>M16 32A - 23B</t>
  </si>
  <si>
    <t>M17 1B - 25B</t>
  </si>
  <si>
    <t>M18 2B - 26B</t>
  </si>
  <si>
    <t>M19 3B - 27B</t>
  </si>
  <si>
    <t>M20 4B - 28B</t>
  </si>
  <si>
    <t>M21 5B - 29B</t>
  </si>
  <si>
    <t>M22 6B - 30B</t>
  </si>
  <si>
    <t>M23 7B - 31B</t>
  </si>
  <si>
    <t>M24 8B - 32B</t>
  </si>
  <si>
    <t>1A - 16A</t>
  </si>
  <si>
    <t>13A - 4A</t>
  </si>
  <si>
    <t>5A - 12A</t>
  </si>
  <si>
    <t>11A - 6A</t>
  </si>
  <si>
    <t>3A - 14A</t>
  </si>
  <si>
    <t>15A - 2A</t>
  </si>
  <si>
    <t>M1 15A - 10B</t>
  </si>
  <si>
    <t>M3 17A - 8B</t>
  </si>
  <si>
    <t>M6 20A - 13B</t>
  </si>
  <si>
    <t>M7 21A - 14B</t>
  </si>
  <si>
    <t>M12 26A - 19B</t>
  </si>
  <si>
    <t>M13 27A - 20B</t>
  </si>
  <si>
    <t>M14 28A - 21B</t>
  </si>
  <si>
    <t>M15 29A - 22B</t>
  </si>
  <si>
    <t>M16 30A - 23B</t>
  </si>
  <si>
    <t>M17 31A - 24B</t>
  </si>
  <si>
    <t>M18 32A - 25B</t>
  </si>
  <si>
    <t>M19 1B - 26B</t>
  </si>
  <si>
    <t>M20 2B - 27B</t>
  </si>
  <si>
    <t>M21 3B - 28B</t>
  </si>
  <si>
    <t>M22 4B - 29B</t>
  </si>
  <si>
    <t>M23 5B - 30B</t>
  </si>
  <si>
    <t>M24 6B - 31B</t>
  </si>
  <si>
    <t>M25 7B - 32B</t>
  </si>
  <si>
    <t>8A - 7A</t>
  </si>
  <si>
    <t>12A - 3A</t>
  </si>
  <si>
    <t>4A - 11A</t>
  </si>
  <si>
    <t>10A - 5A</t>
  </si>
  <si>
    <t>2A - 13A</t>
  </si>
  <si>
    <t>14A - 1A</t>
  </si>
  <si>
    <t>6A - 9A</t>
  </si>
  <si>
    <t>M15 27A - 21B</t>
  </si>
  <si>
    <t>M16 28A - 22B</t>
  </si>
  <si>
    <t>M17 29A - 23B</t>
  </si>
  <si>
    <t>M18 30A - 24B</t>
  </si>
  <si>
    <t>M19 31A - 25B</t>
  </si>
  <si>
    <t>M20 32A - 26B</t>
  </si>
  <si>
    <t>M21 1B - 28B</t>
  </si>
  <si>
    <t>M22 2B - 27B</t>
  </si>
  <si>
    <t>M23 3B - 29B</t>
  </si>
  <si>
    <t>M24 4B - 30B</t>
  </si>
  <si>
    <t>M25 5B - 31B</t>
  </si>
  <si>
    <t>M26 6B - 32B</t>
  </si>
  <si>
    <t>7A - 6A</t>
  </si>
  <si>
    <t>11A - 2A</t>
  </si>
  <si>
    <t>M15 - 812</t>
  </si>
  <si>
    <t>3A - 10A</t>
  </si>
  <si>
    <t>9A - 4A</t>
  </si>
  <si>
    <t>1A - 12A</t>
  </si>
  <si>
    <t>5A - 8A</t>
  </si>
  <si>
    <t>M1 11A - 6B</t>
  </si>
  <si>
    <t>M2 12A - 7B</t>
  </si>
  <si>
    <t>M6 16A - 12B</t>
  </si>
  <si>
    <t>M7 17A - 11B</t>
  </si>
  <si>
    <t>M9 19A - 14B</t>
  </si>
  <si>
    <t>M10 20A - 15B</t>
  </si>
  <si>
    <t>M13 23A - 19B</t>
  </si>
  <si>
    <t>M14 24A - 18B</t>
  </si>
  <si>
    <t>M17 27A - 22B</t>
  </si>
  <si>
    <t>M18 28A - 23B</t>
  </si>
  <si>
    <t>M19 29A - 24B</t>
  </si>
  <si>
    <t>M20 30A - 25B</t>
  </si>
  <si>
    <t>M21 31A - 27B</t>
  </si>
  <si>
    <t>M22 32A - 26B</t>
  </si>
  <si>
    <t>M23 1B - 28B</t>
  </si>
  <si>
    <t>M24 2B - 29B</t>
  </si>
  <si>
    <t>M25 3B - 30B</t>
  </si>
  <si>
    <t>M26 4B - 31B</t>
  </si>
  <si>
    <t>M27 5B - 32B</t>
  </si>
  <si>
    <t>6A - 5A</t>
  </si>
  <si>
    <t>10A - 1A</t>
  </si>
  <si>
    <t>Use the FISTF World Ranking (Ranking sheet) as the licenced players database (used in the Checkin sheet as players list).</t>
  </si>
  <si>
    <t>Utiliser le Classement Mondial des joueurs (feuille Ranking) comme base de données des licenciés (utilisée dans la feuille Checkin comme liste des joueurs).</t>
  </si>
  <si>
    <t>Your selection must have only one line !</t>
  </si>
  <si>
    <t>Vous sélection ne doit porter que sur une seule ligne !</t>
  </si>
  <si>
    <t>ASCT Sessana 1982</t>
  </si>
  <si>
    <t>Classement des joueurs</t>
  </si>
  <si>
    <t>Nombre de lignes à insérer au delà de une</t>
  </si>
  <si>
    <t>Liste des joueurs classés</t>
  </si>
  <si>
    <t>Ranked players list</t>
  </si>
  <si>
    <t>Pt. Clas.</t>
  </si>
  <si>
    <t>Rk Pt.</t>
  </si>
  <si>
    <t>Critère sur le classement des joueurs</t>
  </si>
  <si>
    <t>Nombre de points au classement</t>
  </si>
  <si>
    <t>Number of points in ranking</t>
  </si>
  <si>
    <t>Clas.</t>
  </si>
  <si>
    <t>Rk</t>
  </si>
  <si>
    <t>Nb Matches arbitrés</t>
  </si>
  <si>
    <t>Liste des arbitres pour utilisation dans le planning</t>
  </si>
  <si>
    <t>Referee List for usage in the planning</t>
  </si>
  <si>
    <t>Use filters below to sort referee list (filtering has no effect)</t>
  </si>
  <si>
    <t>Utiliser les filtres ci-dessous pour trier la liste des arbitres (le filtrage n'a pas d'effet)</t>
  </si>
  <si>
    <t>DON'T CHANGE THIS TERM !
Term must be the same for all languages</t>
  </si>
  <si>
    <t>Votre critère</t>
  </si>
  <si>
    <t>Your criteria</t>
  </si>
  <si>
    <t>This list make you the possibility to adapt the "list of values" available in the referee fields of the planning sheet for an easier use.</t>
  </si>
  <si>
    <t>Cette liste vous permet d'adapter la "liste de valeurs" disponible dans les champs "Abitre" de la feuille Planning afin qu'elle soit plus facile à utiliser.</t>
  </si>
  <si>
    <t>You can erase lines or add some characteristics within criterias Nb 1 to 4</t>
  </si>
  <si>
    <t>Vous pouvez effacer des lignes ou ajouter des caractéristiques dans les critères supplémentaires (1 à 4).</t>
  </si>
  <si>
    <t>Lorsque vous validez les inscriptions dans la feuille "Checkin" cette liste est complètement réinitialisée et vos saisies complémentaires dans les critères supplémentaires sont effacés.</t>
  </si>
  <si>
    <t>Planning</t>
  </si>
  <si>
    <t>Adapter la liste des arbitres à vos besoins</t>
  </si>
  <si>
    <t>Adapt the referee list to your needs</t>
  </si>
  <si>
    <t>Refereeing</t>
  </si>
  <si>
    <t>Adapter le planning puis saisir les résultats directement dans le planning</t>
  </si>
  <si>
    <t xml:space="preserve">Adapt the planning then fillin scores directly in the planning </t>
  </si>
  <si>
    <t>Renseigner les joueurs après le tirage au sort</t>
  </si>
  <si>
    <t>Fillin players after draw</t>
  </si>
  <si>
    <t>Diffuser les résultats après la compétition</t>
  </si>
  <si>
    <t>Dispatch results after the tournament</t>
  </si>
  <si>
    <t>By generating FISTF officials result forms</t>
  </si>
  <si>
    <t>En générant les formulaires de résultats officiels de la FISTF</t>
  </si>
  <si>
    <t>M6 14B - 26B</t>
  </si>
  <si>
    <t>29A - 12A</t>
  </si>
  <si>
    <t>31A - 10A</t>
  </si>
  <si>
    <t>M7 15B - 27B</t>
  </si>
  <si>
    <t>13A - 28A</t>
  </si>
  <si>
    <t>15A - 26A</t>
  </si>
  <si>
    <t>M8 16B - 28B</t>
  </si>
  <si>
    <t>M9 17B - 29B</t>
  </si>
  <si>
    <t>M10 18B - 30B</t>
  </si>
  <si>
    <t>25A - 16A</t>
  </si>
  <si>
    <t>27A - 14A</t>
  </si>
  <si>
    <t>M11 19B - 31B</t>
  </si>
  <si>
    <t>9A - 32A</t>
  </si>
  <si>
    <t>11A - 30A</t>
  </si>
  <si>
    <t>M12 20B - 32B</t>
  </si>
  <si>
    <t>17A - 24A</t>
  </si>
  <si>
    <t>19A - 22A</t>
  </si>
  <si>
    <t>Q1 - 30B</t>
  </si>
  <si>
    <t>Q1 - M1</t>
  </si>
  <si>
    <t>M2 - Q2</t>
  </si>
  <si>
    <t>Q1 - M3</t>
  </si>
  <si>
    <t>Q3 - M2</t>
  </si>
  <si>
    <t>M1 - Q2</t>
  </si>
  <si>
    <t>Q3 - M1</t>
  </si>
  <si>
    <t>M2 - Q4</t>
  </si>
  <si>
    <t>M4 - Q2</t>
  </si>
  <si>
    <t>Q1 - M4</t>
  </si>
  <si>
    <t>Q3 - M5</t>
  </si>
  <si>
    <t>Q5 - 21B</t>
  </si>
  <si>
    <t>22B - Q4</t>
  </si>
  <si>
    <t>M3 - Q2</t>
  </si>
  <si>
    <t>Q1 - M5</t>
  </si>
  <si>
    <t>Q3 - M3</t>
  </si>
  <si>
    <t>M2 - Q6</t>
  </si>
  <si>
    <t>Q5 - M1</t>
  </si>
  <si>
    <t>M4 - Q4</t>
  </si>
  <si>
    <t>M6 - Q2</t>
  </si>
  <si>
    <t>Q1 - M6</t>
  </si>
  <si>
    <t>Q3 - M7</t>
  </si>
  <si>
    <t>18B - Q6</t>
  </si>
  <si>
    <t>Q5 - M4</t>
  </si>
  <si>
    <t>Q7 - 17B</t>
  </si>
  <si>
    <t>M3 - Q4</t>
  </si>
  <si>
    <t>M5 - Q2</t>
  </si>
  <si>
    <t>Q1 - M7</t>
  </si>
  <si>
    <t>M2 - Q8</t>
  </si>
  <si>
    <t>M4 - Q6</t>
  </si>
  <si>
    <t>Q5 - M3</t>
  </si>
  <si>
    <t>Q7 - M1</t>
  </si>
  <si>
    <t>M6 - Q4</t>
  </si>
  <si>
    <t>M8 - Q2</t>
  </si>
  <si>
    <t>Q1 - M8</t>
  </si>
  <si>
    <t>Q3 - M9</t>
  </si>
  <si>
    <t>Q9 - M2</t>
  </si>
  <si>
    <t>M1 - Q8</t>
  </si>
  <si>
    <t>M3 - Q6</t>
  </si>
  <si>
    <t>Q5 - M5</t>
  </si>
  <si>
    <t>Q7 - M4</t>
  </si>
  <si>
    <t>M7 - Q2</t>
  </si>
  <si>
    <t>Q1 - M9</t>
  </si>
  <si>
    <t>Q9 - M1</t>
  </si>
  <si>
    <t>M4 - Q8</t>
  </si>
  <si>
    <t>M6 - Q6</t>
  </si>
  <si>
    <t>Q7 - M3</t>
  </si>
  <si>
    <t>M2 - Q10</t>
  </si>
  <si>
    <t>M8 - Q4</t>
  </si>
  <si>
    <t>M10 - Q2</t>
  </si>
  <si>
    <t>Q1 - M10</t>
  </si>
  <si>
    <t>Q9 - M5</t>
  </si>
  <si>
    <t>Q11 - 10B</t>
  </si>
  <si>
    <t>M6 - Q8</t>
  </si>
  <si>
    <t>Q5 - M9</t>
  </si>
  <si>
    <t>9B - Q10</t>
  </si>
  <si>
    <t>M11 - Q4</t>
  </si>
  <si>
    <t>Q1 - M11</t>
  </si>
  <si>
    <t>Q9 - M3</t>
  </si>
  <si>
    <t>Q11 - M1</t>
  </si>
  <si>
    <t>M8 - Q6</t>
  </si>
  <si>
    <t>Q5 - M7</t>
  </si>
  <si>
    <t>Q7 - M5</t>
  </si>
  <si>
    <t>M2 - Q12</t>
  </si>
  <si>
    <t>M4 - Q10</t>
  </si>
  <si>
    <t>M10 - Q4</t>
  </si>
  <si>
    <t>M12 - Q2</t>
  </si>
  <si>
    <t>S1</t>
  </si>
  <si>
    <t>Vous ne pouvez pas supprimer l'avant dernière session</t>
  </si>
  <si>
    <t xml:space="preserve">You can't delete the last 2 sessions. </t>
  </si>
  <si>
    <t>M2 8A - 5B</t>
  </si>
  <si>
    <t>M3 9A - 6B</t>
  </si>
  <si>
    <t>M4 10A - 8B</t>
  </si>
  <si>
    <t>M5 11A - 7B</t>
  </si>
  <si>
    <t>M6 12A - 9B</t>
  </si>
  <si>
    <t>M8 14A - 11B</t>
  </si>
  <si>
    <t>M9 15A - 12B</t>
  </si>
  <si>
    <t>M10 16A - 13B</t>
  </si>
  <si>
    <t>M11 17A - 14B</t>
  </si>
  <si>
    <t>M12 18A - 16B</t>
  </si>
  <si>
    <t>M13 19A - 15B</t>
  </si>
  <si>
    <t>M14 20A - 17B</t>
  </si>
  <si>
    <t>M15 21A - 18B</t>
  </si>
  <si>
    <t>M16 22A - 19B</t>
  </si>
  <si>
    <t>M17 23A - 20B</t>
  </si>
  <si>
    <t>M18 24A - 21B</t>
  </si>
  <si>
    <t>M19 25A - 22B</t>
  </si>
  <si>
    <t>M20 26A - 24B</t>
  </si>
  <si>
    <t>M21 27A - 23B</t>
  </si>
  <si>
    <t>M22 28A - 25B</t>
  </si>
  <si>
    <t>M23 29A - 26B</t>
  </si>
  <si>
    <t>M24 1B - 27B</t>
  </si>
  <si>
    <t>M25 3B - 28B</t>
  </si>
  <si>
    <t>M26 2B - 29B</t>
  </si>
  <si>
    <t>1A - M26</t>
  </si>
  <si>
    <t>M11 - M10</t>
  </si>
  <si>
    <t>M3 - M18</t>
  </si>
  <si>
    <t>M19 - M2</t>
  </si>
  <si>
    <t>5A - M22</t>
  </si>
  <si>
    <t>M15 - M6</t>
  </si>
  <si>
    <t>M7 - M14</t>
  </si>
  <si>
    <t>M23 - 4A</t>
  </si>
  <si>
    <t>3A - M24</t>
  </si>
  <si>
    <t>M13 - M8</t>
  </si>
  <si>
    <t>M5 - M16</t>
  </si>
  <si>
    <t>M21 - 6A</t>
  </si>
  <si>
    <t>M1 - M20</t>
  </si>
  <si>
    <t>M17 - M4</t>
  </si>
  <si>
    <t>M9 - M12</t>
  </si>
  <si>
    <t>M25 - 2A</t>
  </si>
  <si>
    <t>M11 15A - 13B</t>
  </si>
  <si>
    <t>M12 16A - 14B</t>
  </si>
  <si>
    <t>M13 17A - 15B</t>
  </si>
  <si>
    <t>M14 18A - 16B</t>
  </si>
  <si>
    <t>M15 19A - 17B</t>
  </si>
  <si>
    <t>M16 20A - 18B</t>
  </si>
  <si>
    <t>M17 21A - 19B</t>
  </si>
  <si>
    <t>M18 22A - 20B</t>
  </si>
  <si>
    <t>M19 23A - 21B</t>
  </si>
  <si>
    <t>M20 24A - 22B</t>
  </si>
  <si>
    <t>M21 25A - 23B</t>
  </si>
  <si>
    <t>M22 26A - 24B</t>
  </si>
  <si>
    <t>M23 27A - 25B</t>
  </si>
  <si>
    <t>M24 28A - 26B</t>
  </si>
  <si>
    <t>M25 29A - 27B</t>
  </si>
  <si>
    <t>M26 30A - 28B</t>
  </si>
  <si>
    <t>M27 1B - 29B</t>
  </si>
  <si>
    <t>M28 2B - 30B</t>
  </si>
  <si>
    <t>1A - M28</t>
  </si>
  <si>
    <t>M13 - M12</t>
  </si>
  <si>
    <t>M5 - M20</t>
  </si>
  <si>
    <t>M21 - M4</t>
  </si>
  <si>
    <t>M1 - M24</t>
  </si>
  <si>
    <t>M17 - M8</t>
  </si>
  <si>
    <t>M9 - M16</t>
  </si>
  <si>
    <t>M25 - 4A</t>
  </si>
  <si>
    <t>3A - M26</t>
  </si>
  <si>
    <t>M15 - M10</t>
  </si>
  <si>
    <t>M7 - M18</t>
  </si>
  <si>
    <t>M23 - M2</t>
  </si>
  <si>
    <t>M3 - M22</t>
  </si>
  <si>
    <t>M19 - M6</t>
  </si>
  <si>
    <t>M11 - M14</t>
  </si>
  <si>
    <t>M27 - 2A</t>
  </si>
  <si>
    <t>M3 5A - 4B</t>
  </si>
  <si>
    <t>M5 7A - 6B</t>
  </si>
  <si>
    <t>M7 9A - 10B</t>
  </si>
  <si>
    <t>M9 11A - 8B</t>
  </si>
  <si>
    <t>M14 16A - 15B</t>
  </si>
  <si>
    <t>M15 17A - 18B</t>
  </si>
  <si>
    <t>M16 18A - 17B</t>
  </si>
  <si>
    <t>M17 19A - 16B</t>
  </si>
  <si>
    <t>M18 20A - 19B</t>
  </si>
  <si>
    <t>M19 21A - 20B</t>
  </si>
  <si>
    <t>M20 22A - 21B</t>
  </si>
  <si>
    <t>M21 23A - 22B</t>
  </si>
  <si>
    <t>M22 24A - 23B</t>
  </si>
  <si>
    <t>M23 25A - 26B</t>
  </si>
  <si>
    <t>M24 26A - 25B</t>
  </si>
  <si>
    <t>M25 27A - 24B</t>
  </si>
  <si>
    <t>M26 28A - 27B</t>
  </si>
  <si>
    <t>M27 29A - 28B</t>
  </si>
  <si>
    <t>M28 30A - 29B</t>
  </si>
  <si>
    <t>M29 31A - 30B</t>
  </si>
  <si>
    <t>M30 2B - 31B</t>
  </si>
  <si>
    <t>1A - M30</t>
  </si>
  <si>
    <t>M15 - M14</t>
  </si>
  <si>
    <t>M7 - M22</t>
  </si>
  <si>
    <t>M23 - M6</t>
  </si>
  <si>
    <t>M3 - M26</t>
  </si>
  <si>
    <t>M19 - M10</t>
  </si>
  <si>
    <t>M11 - M18</t>
  </si>
  <si>
    <t>M27 - M2</t>
  </si>
  <si>
    <t>M1 - M28</t>
  </si>
  <si>
    <t>M17 - M12</t>
  </si>
  <si>
    <t>M9 - M20</t>
  </si>
  <si>
    <t>M25 - M4</t>
  </si>
  <si>
    <t>M5 - M24</t>
  </si>
  <si>
    <t>M21 - M8</t>
  </si>
  <si>
    <t>M13 - M16</t>
  </si>
  <si>
    <t>M29 - 2A</t>
  </si>
  <si>
    <t>1A - 31B</t>
  </si>
  <si>
    <t>2B - 32A</t>
  </si>
  <si>
    <t>17A - 15B</t>
  </si>
  <si>
    <t>18B - 16A</t>
  </si>
  <si>
    <t>9A - 23B</t>
  </si>
  <si>
    <t>10B - 24A</t>
  </si>
  <si>
    <t>25A - 7B</t>
  </si>
  <si>
    <t>26B - 8A</t>
  </si>
  <si>
    <t>5A - 27B</t>
  </si>
  <si>
    <t>6B - 28A</t>
  </si>
  <si>
    <t>21A - 11B</t>
  </si>
  <si>
    <t>22B - 12A</t>
  </si>
  <si>
    <t>13A - 19B</t>
  </si>
  <si>
    <t>14B - 20A</t>
  </si>
  <si>
    <t>29A - 3B</t>
  </si>
  <si>
    <t>30B - 4A</t>
  </si>
  <si>
    <t>3A - 29B</t>
  </si>
  <si>
    <t>4B - 30A</t>
  </si>
  <si>
    <t>19A - 13B</t>
  </si>
  <si>
    <t>20B - 14A</t>
  </si>
  <si>
    <t>11A - 21B</t>
  </si>
  <si>
    <t>12B - 22A</t>
  </si>
  <si>
    <t>27A - 5B</t>
  </si>
  <si>
    <t>28B - 6A</t>
  </si>
  <si>
    <t>7A - 25B</t>
  </si>
  <si>
    <t>8B - 26A</t>
  </si>
  <si>
    <t>23A - 9B</t>
  </si>
  <si>
    <t>24B - 10A</t>
  </si>
  <si>
    <t>15A - 17B</t>
  </si>
  <si>
    <t>16B - 18A</t>
  </si>
  <si>
    <t>31A - 1B</t>
  </si>
  <si>
    <t>32B - 2A</t>
  </si>
  <si>
    <t>M1 31B - 32B</t>
  </si>
  <si>
    <t>32A - 31A</t>
  </si>
  <si>
    <t>16A - 17B</t>
  </si>
  <si>
    <t>18B - 15A</t>
  </si>
  <si>
    <t>8A - 24B</t>
  </si>
  <si>
    <t>7B - 23A</t>
  </si>
  <si>
    <t>24A - 8B</t>
  </si>
  <si>
    <t>23B - 7A</t>
  </si>
  <si>
    <t>4A - 28B</t>
  </si>
  <si>
    <t>3B - 27A</t>
  </si>
  <si>
    <t>20A - 12B</t>
  </si>
  <si>
    <t>19B - 11A</t>
  </si>
  <si>
    <t>12A - 15B</t>
  </si>
  <si>
    <t>11B - 19A</t>
  </si>
  <si>
    <t>28A - 4B</t>
  </si>
  <si>
    <t>27B - 3A</t>
  </si>
  <si>
    <t>2A - M1</t>
  </si>
  <si>
    <t>1B - 29A</t>
  </si>
  <si>
    <t>18A - 14B</t>
  </si>
  <si>
    <t>20B - 13A</t>
  </si>
  <si>
    <t>10A - 22B</t>
  </si>
  <si>
    <t>9B - 21A</t>
  </si>
  <si>
    <t>26A - 6B</t>
  </si>
  <si>
    <t>25B - 5A</t>
  </si>
  <si>
    <t>6A - 26B</t>
  </si>
  <si>
    <t>5B - 25A</t>
  </si>
  <si>
    <t>22A - 10B</t>
  </si>
  <si>
    <t>21B - 9A</t>
  </si>
  <si>
    <t>14A - 16B</t>
  </si>
  <si>
    <t>13B - 17A</t>
  </si>
  <si>
    <t>30A - 2B</t>
  </si>
  <si>
    <t>29B - 1A</t>
  </si>
  <si>
    <t>M1 29B - 32B</t>
  </si>
  <si>
    <t>M2 30B - 31B</t>
  </si>
  <si>
    <t>31A - 30A</t>
  </si>
  <si>
    <t>15A - 13B</t>
  </si>
  <si>
    <t>16B - 14A</t>
  </si>
  <si>
    <t>7A - 21B</t>
  </si>
  <si>
    <t>8B - 22A</t>
  </si>
  <si>
    <t>23A - 5B</t>
  </si>
  <si>
    <t>24B - 6A</t>
  </si>
  <si>
    <t>3A - 25B</t>
  </si>
  <si>
    <t>4B - 26A</t>
  </si>
  <si>
    <t>19A - 9B</t>
  </si>
  <si>
    <t>20B - 10A</t>
  </si>
  <si>
    <t>11A - 17B</t>
  </si>
  <si>
    <t>12B - 18A</t>
  </si>
  <si>
    <t>27A - 1B</t>
  </si>
  <si>
    <t>28B - 2A</t>
  </si>
  <si>
    <t>1A - 27B</t>
  </si>
  <si>
    <t>2B - 28A</t>
  </si>
  <si>
    <t>17A - 11B</t>
  </si>
  <si>
    <t>18B - 12A</t>
  </si>
  <si>
    <t>9A - 19B</t>
  </si>
  <si>
    <t>10B - 20A</t>
  </si>
  <si>
    <t>25A - 3B</t>
  </si>
  <si>
    <t>26B - 4A</t>
  </si>
  <si>
    <t>5A - 23B</t>
  </si>
  <si>
    <t>6B - 24A</t>
  </si>
  <si>
    <t>21A - 7B</t>
  </si>
  <si>
    <t>22B - 8A</t>
  </si>
  <si>
    <t>13A - 15B</t>
  </si>
  <si>
    <t>14B - 16A</t>
  </si>
  <si>
    <t>29A - 32A</t>
  </si>
  <si>
    <t>Points</t>
  </si>
  <si>
    <t>Victoire</t>
  </si>
  <si>
    <t>Heure</t>
  </si>
  <si>
    <t>Table</t>
  </si>
  <si>
    <t>Arbitre</t>
  </si>
  <si>
    <t>-</t>
  </si>
  <si>
    <t>Critère</t>
  </si>
  <si>
    <t>Ordre</t>
  </si>
  <si>
    <t>Différentiel de buts</t>
  </si>
  <si>
    <t>Matches gagnés</t>
  </si>
  <si>
    <t>Meilleure attaque</t>
  </si>
  <si>
    <t>Différentiel particulier en cas d'égalité sur critères précédents</t>
  </si>
  <si>
    <t>Différentiel de rencontres</t>
  </si>
  <si>
    <t>MS</t>
  </si>
  <si>
    <t>Différentiel</t>
  </si>
  <si>
    <t>Description</t>
  </si>
  <si>
    <t>Buts</t>
  </si>
  <si>
    <t>Diff</t>
  </si>
  <si>
    <t>Catégorie</t>
  </si>
  <si>
    <t>Membres</t>
  </si>
  <si>
    <t>N° de table</t>
  </si>
  <si>
    <t>Tirage</t>
  </si>
  <si>
    <t>Joueurs</t>
  </si>
  <si>
    <t>Cla.</t>
  </si>
  <si>
    <t>Pts</t>
  </si>
  <si>
    <t>J</t>
  </si>
  <si>
    <t>G</t>
  </si>
  <si>
    <t>N</t>
  </si>
  <si>
    <t>P</t>
  </si>
  <si>
    <t>BP</t>
  </si>
  <si>
    <t>BC</t>
  </si>
  <si>
    <t>Diff.</t>
  </si>
  <si>
    <t>Matches</t>
  </si>
  <si>
    <t>Equipes</t>
  </si>
  <si>
    <t>RJ</t>
  </si>
  <si>
    <t>RG</t>
  </si>
  <si>
    <t>RN</t>
  </si>
  <si>
    <t>RP</t>
  </si>
  <si>
    <t>Diff R</t>
  </si>
  <si>
    <t>MP</t>
  </si>
  <si>
    <t>MC</t>
  </si>
  <si>
    <t>Diff M</t>
  </si>
  <si>
    <t>Diff B</t>
  </si>
  <si>
    <t>Scores</t>
  </si>
  <si>
    <t>Total des buts</t>
  </si>
  <si>
    <t>Vainqueur</t>
  </si>
  <si>
    <t>VAINQUEUR</t>
  </si>
  <si>
    <t>Qualifiés</t>
  </si>
  <si>
    <t>Poule</t>
  </si>
  <si>
    <t>2èmes de Poule</t>
  </si>
  <si>
    <t>Class. 2èmes de Poule</t>
  </si>
  <si>
    <t>3èmes de Poule</t>
  </si>
  <si>
    <t>Class. 3èmes de Poule</t>
  </si>
  <si>
    <t>FINALE</t>
  </si>
  <si>
    <t>1/2 FINALES</t>
  </si>
  <si>
    <t>1/4 DE FINALE</t>
  </si>
  <si>
    <t>1/8 DE FINALE</t>
  </si>
  <si>
    <t>1/16 DE FINALE</t>
  </si>
  <si>
    <t>BARRAGES</t>
  </si>
  <si>
    <t>Diff-Part</t>
  </si>
  <si>
    <t>Petite FINALE</t>
  </si>
  <si>
    <t>Eq1</t>
  </si>
  <si>
    <t>Eq2</t>
  </si>
  <si>
    <t>Eq3</t>
  </si>
  <si>
    <t>Eq4</t>
  </si>
  <si>
    <t>PLANNING</t>
  </si>
  <si>
    <t>FIN DU PLANNING</t>
  </si>
  <si>
    <t>Cla1</t>
  </si>
  <si>
    <t>Part</t>
  </si>
  <si>
    <t>Cla2</t>
  </si>
  <si>
    <t>Finale</t>
  </si>
  <si>
    <t>N° 1</t>
  </si>
  <si>
    <t>N° 32</t>
  </si>
  <si>
    <t>N° 33</t>
  </si>
  <si>
    <t>N° 16</t>
  </si>
  <si>
    <t>N° 17</t>
  </si>
  <si>
    <t>N° 8</t>
  </si>
  <si>
    <t>N° 25</t>
  </si>
  <si>
    <t>N° 40</t>
  </si>
  <si>
    <t>N° 9</t>
  </si>
  <si>
    <t>N° 24</t>
  </si>
  <si>
    <t>N° 4</t>
  </si>
  <si>
    <t>N° 36</t>
  </si>
  <si>
    <t>N° 29</t>
  </si>
  <si>
    <t>N° 13</t>
  </si>
  <si>
    <t>N° 20</t>
  </si>
  <si>
    <t>N° 5</t>
  </si>
  <si>
    <t>N° 28</t>
  </si>
  <si>
    <t>N° 37</t>
  </si>
  <si>
    <t>N° 12</t>
  </si>
  <si>
    <t>N° 21</t>
  </si>
  <si>
    <t>N° 27</t>
  </si>
  <si>
    <t>N° 38</t>
  </si>
  <si>
    <t>N° 6</t>
  </si>
  <si>
    <t>N° 22</t>
  </si>
  <si>
    <t>N° 11</t>
  </si>
  <si>
    <t>N° 19</t>
  </si>
  <si>
    <t>N° 14</t>
  </si>
  <si>
    <t>N° 30</t>
  </si>
  <si>
    <t>N° 35</t>
  </si>
  <si>
    <t>N° 3</t>
  </si>
  <si>
    <t>N° 23</t>
  </si>
  <si>
    <t>N° 10</t>
  </si>
  <si>
    <t>N° 26</t>
  </si>
  <si>
    <t>N° 39</t>
  </si>
  <si>
    <t>N° 7</t>
  </si>
  <si>
    <t>N° 18</t>
  </si>
  <si>
    <t>N° 15</t>
  </si>
  <si>
    <t>N° 31</t>
  </si>
  <si>
    <t>N° 34</t>
  </si>
  <si>
    <t>N° 2</t>
  </si>
  <si>
    <t>PODIUM</t>
  </si>
  <si>
    <t>Petite Finale</t>
  </si>
  <si>
    <t>TABLEAU B - reversement éliminés des 1/8 emes et 1/4</t>
  </si>
  <si>
    <t xml:space="preserve">Diff </t>
  </si>
  <si>
    <t xml:space="preserve"> ms</t>
  </si>
  <si>
    <t>Prénom</t>
  </si>
  <si>
    <t>Club</t>
  </si>
  <si>
    <t>Nom du Club</t>
  </si>
  <si>
    <t>Abbréviation</t>
  </si>
  <si>
    <t>CAN</t>
  </si>
  <si>
    <t>Signature</t>
  </si>
  <si>
    <t>NOM / Prénom</t>
  </si>
  <si>
    <t>Doubles</t>
  </si>
  <si>
    <t>Nom</t>
  </si>
  <si>
    <t>Open</t>
  </si>
  <si>
    <t>Nom double</t>
  </si>
  <si>
    <t>Nom équipe</t>
  </si>
  <si>
    <t>Db1</t>
  </si>
  <si>
    <t>Db2</t>
  </si>
  <si>
    <t>Db3</t>
  </si>
  <si>
    <t>Db4</t>
  </si>
  <si>
    <t>Db5</t>
  </si>
  <si>
    <t>Qualifiés d'office</t>
  </si>
  <si>
    <t/>
  </si>
  <si>
    <t>Epreuve</t>
  </si>
  <si>
    <t>Stade</t>
  </si>
  <si>
    <t>Stade de l'épreuve</t>
  </si>
  <si>
    <t>Titre de la compétition</t>
  </si>
  <si>
    <t>A1</t>
  </si>
  <si>
    <t>A2</t>
  </si>
  <si>
    <t>A3</t>
  </si>
  <si>
    <t>A4</t>
  </si>
  <si>
    <t>A5</t>
  </si>
  <si>
    <t>A6</t>
  </si>
  <si>
    <t>A7</t>
  </si>
  <si>
    <t>A8</t>
  </si>
  <si>
    <t>Pour ajouter une nouvelle ligne : Copier une ligne d'équipe puis faire "Clic droit &gt; Insérer les cellules copiées" sur une ligne d'équipe existante</t>
  </si>
  <si>
    <t>Votre sélection est dans la dernière session de planning et ne peut être encore descendue ! Vous pouvez éventuellement créer une nouvelle session.</t>
  </si>
  <si>
    <t>Your selection is in the last session of planning and can't be moved down ! You have the possibility to create a new session.</t>
  </si>
  <si>
    <t xml:space="preserve">Erreur système : un match d'équipe ou de double ne comporte pas tous les matches individuels. Des lignes ont peut être été supprimées par erreur. Contacter le support. Essayer de supprimer et recréer manuellement les matches concernés dans le planning. </t>
  </si>
  <si>
    <t xml:space="preserve">System Error : a team or double match doesn't contain all individual matches. Some lines should have been deleted accidentaly. Contact support. Try to delete/recreate the concerned matches.  </t>
  </si>
  <si>
    <t>Erreur système : une cellule cachée "Type de Match" contient un code de type de match inconnu. Contacter le support. Essayer de supprimer et recréer manuellement les matches concernés dans le planning.</t>
  </si>
  <si>
    <t xml:space="preserve">System Error : a "Type of Match" hidden cell contains an unknown type of match code. Contact support. Try to delete/recreate the concerned matches. </t>
  </si>
  <si>
    <t>Définition d'une nouvelle épreuve par équipe</t>
  </si>
  <si>
    <t>Définition d'une nouvelle épreuve en double</t>
  </si>
  <si>
    <t>Definition of a new event for teams</t>
  </si>
  <si>
    <t>Definition of a new event for doubles</t>
  </si>
  <si>
    <t>Formulaire de saisie pour une nouvelle épreuve par équipe</t>
  </si>
  <si>
    <t>Formulaire de saisie pour une nouvelle épreuve en double</t>
  </si>
  <si>
    <t>New Event Form for teams</t>
  </si>
  <si>
    <t>New Event Form for doubles</t>
  </si>
  <si>
    <t>Définition d'une nouvelle épreuve individuelle</t>
  </si>
  <si>
    <t>Definition of a new event for individuals</t>
  </si>
  <si>
    <t>Formulaire de saisie pour une nouvelle épreuve individuelle</t>
  </si>
  <si>
    <t>New Event Form for individuals</t>
  </si>
  <si>
    <t>#G8</t>
  </si>
  <si>
    <t>BE CRREFULL : Each term corresponds to an Excel name in the Column B
Thus manipulate this sheet with caution !</t>
  </si>
  <si>
    <t>DON'T SORT DATA !
NO INSERT, NOR DELETE !
JUST MODIFICATIONS OF TRANSLATIONS OR COMPLETION OF ??</t>
  </si>
  <si>
    <t>Renseigner la base de données des joueurs et clubs</t>
  </si>
  <si>
    <t>Complete the database of players and clubs</t>
  </si>
  <si>
    <t>Enregistrer les inscriptions et participations aux différentes épreuves</t>
  </si>
  <si>
    <t>Feuille de calcul</t>
  </si>
  <si>
    <t>Worksheet</t>
  </si>
  <si>
    <t>Y accéder</t>
  </si>
  <si>
    <t>La masquer</t>
  </si>
  <si>
    <t>Show it</t>
  </si>
  <si>
    <t>Hide it</t>
  </si>
  <si>
    <t>Checkin</t>
  </si>
  <si>
    <t>Parameters</t>
  </si>
  <si>
    <t>Vérifier les listes de joueurs, d'équipes et d'arbitres</t>
  </si>
  <si>
    <t>Check lists of players, teams and referees</t>
  </si>
  <si>
    <t>Lists</t>
  </si>
  <si>
    <t>Actions</t>
  </si>
  <si>
    <t>GMFT - Gestion des Matches de Football de Table</t>
  </si>
  <si>
    <t xml:space="preserve">Créer une ou plusieurs épreuves </t>
  </si>
  <si>
    <t>Create one or more events</t>
  </si>
  <si>
    <t>Individuels</t>
  </si>
  <si>
    <t>Par équipe</t>
  </si>
  <si>
    <t>En double</t>
  </si>
  <si>
    <t>Individuals</t>
  </si>
  <si>
    <t>Définir les paramètres sportifs de la compétition</t>
  </si>
  <si>
    <t>GMFT - Table Football Match Management</t>
  </si>
  <si>
    <t>Version</t>
  </si>
  <si>
    <t>Liste des joueurs licenciés</t>
  </si>
  <si>
    <t>Licenced Players list</t>
  </si>
  <si>
    <t>Team Check in</t>
  </si>
  <si>
    <t>Double Check in</t>
  </si>
  <si>
    <t>Enregistrement des doubles</t>
  </si>
  <si>
    <t>Enregistrement des équipes</t>
  </si>
  <si>
    <t>PlayerLists after Check in</t>
  </si>
  <si>
    <t>Listes des joueurs après l'enregistrement</t>
  </si>
  <si>
    <t>ATTENTION de ne pas faire de modifications dans cette feuille ! Eviter également les actions de formatage.</t>
  </si>
  <si>
    <t>ATTENTION, don't make updates in this sheet ! Also, avoid format handling.</t>
  </si>
  <si>
    <t>La liste ne comporte que 2 membres. La suppression n'est pas autorisée.</t>
  </si>
  <si>
    <t>The list has only 2 members. Delete is not allowed.</t>
  </si>
  <si>
    <t>La sélection courante comporte plusieurs lignes. Or la fonction de suppression n'autorise la sélection que d'une seule ligne.</t>
  </si>
  <si>
    <t>The current selection is on more than one row. The delete function is made for only one row.</t>
  </si>
  <si>
    <t>La sélection ne concerne pas une ligne susceptible d'être supprimée.</t>
  </si>
  <si>
    <t>Selection is not a row available for delete.</t>
  </si>
  <si>
    <t>Inscription des joueurs</t>
  </si>
  <si>
    <t>Player Check in</t>
  </si>
  <si>
    <t>Number of rows to add up to one</t>
  </si>
  <si>
    <t>Base de données des clubs</t>
  </si>
  <si>
    <t>Club database</t>
  </si>
  <si>
    <t>Base de données des joueurs licenciés</t>
  </si>
  <si>
    <t>Licenced players database</t>
  </si>
  <si>
    <t>Albania</t>
  </si>
  <si>
    <t>ALB</t>
  </si>
  <si>
    <t>Argentina</t>
  </si>
  <si>
    <t>ARG</t>
  </si>
  <si>
    <t>Australia</t>
  </si>
  <si>
    <t>AUS</t>
  </si>
  <si>
    <t>Austria</t>
  </si>
  <si>
    <t>AUT</t>
  </si>
  <si>
    <t>Belgium</t>
  </si>
  <si>
    <t>BEL</t>
  </si>
  <si>
    <t>Bosnia</t>
  </si>
  <si>
    <t>BOS</t>
  </si>
  <si>
    <t>Brazil</t>
  </si>
  <si>
    <t>BRA</t>
  </si>
  <si>
    <t>Canada</t>
  </si>
  <si>
    <t>Chile</t>
  </si>
  <si>
    <t>CHL</t>
  </si>
  <si>
    <t>China</t>
  </si>
  <si>
    <t>CHN</t>
  </si>
  <si>
    <t>Colombia</t>
  </si>
  <si>
    <t>COL</t>
  </si>
  <si>
    <t>Croatia</t>
  </si>
  <si>
    <t>CRO</t>
  </si>
  <si>
    <t>Cyprus</t>
  </si>
  <si>
    <t>CYP</t>
  </si>
  <si>
    <t>Czech Republic</t>
  </si>
  <si>
    <t>CZE</t>
  </si>
  <si>
    <t>Denmark</t>
  </si>
  <si>
    <t>DEN</t>
  </si>
  <si>
    <t>Ecuador</t>
  </si>
  <si>
    <t>ECU</t>
  </si>
  <si>
    <t>England</t>
  </si>
  <si>
    <t>ENG</t>
  </si>
  <si>
    <t>Spain</t>
  </si>
  <si>
    <t>ESP</t>
  </si>
  <si>
    <t>Finland</t>
  </si>
  <si>
    <t>FIN</t>
  </si>
  <si>
    <t>France</t>
  </si>
  <si>
    <t>FRA</t>
  </si>
  <si>
    <t>Germany</t>
  </si>
  <si>
    <t>GER</t>
  </si>
  <si>
    <t>Gibraltar</t>
  </si>
  <si>
    <t>GIB</t>
  </si>
  <si>
    <t>Greece</t>
  </si>
  <si>
    <t>GRE</t>
  </si>
  <si>
    <t>Hong Kong</t>
  </si>
  <si>
    <t>HKG</t>
  </si>
  <si>
    <t>Hungary</t>
  </si>
  <si>
    <t>HUN</t>
  </si>
  <si>
    <t>India</t>
  </si>
  <si>
    <t>IND</t>
  </si>
  <si>
    <t>Ireland</t>
  </si>
  <si>
    <t>IRL</t>
  </si>
  <si>
    <t>Israel</t>
  </si>
  <si>
    <t>ISR</t>
  </si>
  <si>
    <t>Italy</t>
  </si>
  <si>
    <t>ITA</t>
  </si>
  <si>
    <t>Jamaica</t>
  </si>
  <si>
    <t>JAM</t>
  </si>
  <si>
    <t>Japan</t>
  </si>
  <si>
    <t>JPN</t>
  </si>
  <si>
    <t>Mexico</t>
  </si>
  <si>
    <t>MEX</t>
  </si>
  <si>
    <t>Malta</t>
  </si>
  <si>
    <t>MLT</t>
  </si>
  <si>
    <t>Malaysia</t>
  </si>
  <si>
    <t>MAS</t>
  </si>
  <si>
    <t>Monaco</t>
  </si>
  <si>
    <t>MON</t>
  </si>
  <si>
    <t>Netherlands</t>
  </si>
  <si>
    <t>NED</t>
  </si>
  <si>
    <t>Nigeria</t>
  </si>
  <si>
    <t>NGA</t>
  </si>
  <si>
    <t>Northern Ireland</t>
  </si>
  <si>
    <t>NIR</t>
  </si>
  <si>
    <t>Norway</t>
  </si>
  <si>
    <t>NOR</t>
  </si>
  <si>
    <t>Poland</t>
  </si>
  <si>
    <t>POL</t>
  </si>
  <si>
    <t>Portugal</t>
  </si>
  <si>
    <t>POR</t>
  </si>
  <si>
    <t>Romania</t>
  </si>
  <si>
    <t>ROM</t>
  </si>
  <si>
    <t>Russia</t>
  </si>
  <si>
    <t>RUS</t>
  </si>
  <si>
    <t>South Africa</t>
  </si>
  <si>
    <t>SAF</t>
  </si>
  <si>
    <t>Scotland</t>
  </si>
  <si>
    <t>SCO</t>
  </si>
  <si>
    <t>Singapore</t>
  </si>
  <si>
    <t>SIN</t>
  </si>
  <si>
    <t>Slovakia</t>
  </si>
  <si>
    <t>Switzerland</t>
  </si>
  <si>
    <t>SUI</t>
  </si>
  <si>
    <t>Tunisia</t>
  </si>
  <si>
    <t>TUN</t>
  </si>
  <si>
    <t>Turkey</t>
  </si>
  <si>
    <t>TUR</t>
  </si>
  <si>
    <t>USA</t>
  </si>
  <si>
    <t>Vietnam</t>
  </si>
  <si>
    <t>VIE</t>
  </si>
  <si>
    <t>Wales</t>
  </si>
  <si>
    <t>WAL</t>
  </si>
  <si>
    <t>Zimbabwe</t>
  </si>
  <si>
    <t>ZIM</t>
  </si>
  <si>
    <t>Albanie</t>
  </si>
  <si>
    <t>Argentine</t>
  </si>
  <si>
    <t>Australie</t>
  </si>
  <si>
    <t>Autriche</t>
  </si>
  <si>
    <t>Belgique</t>
  </si>
  <si>
    <t>Bosnie</t>
  </si>
  <si>
    <t>Brésil</t>
  </si>
  <si>
    <t>Chili</t>
  </si>
  <si>
    <t>Chine</t>
  </si>
  <si>
    <t>Colombie</t>
  </si>
  <si>
    <t>Croatie</t>
  </si>
  <si>
    <t>Chypre</t>
  </si>
  <si>
    <t>République Tchèque</t>
  </si>
  <si>
    <t>Danemark</t>
  </si>
  <si>
    <t>Equateur</t>
  </si>
  <si>
    <t>Angleterre</t>
  </si>
  <si>
    <t>Espagne</t>
  </si>
  <si>
    <t>Finlande</t>
  </si>
  <si>
    <t>Allemagne</t>
  </si>
  <si>
    <t>Grèce</t>
  </si>
  <si>
    <t>Hongrie</t>
  </si>
  <si>
    <t>Inde</t>
  </si>
  <si>
    <t>Irlande</t>
  </si>
  <si>
    <t>Israël</t>
  </si>
  <si>
    <t>Italie</t>
  </si>
  <si>
    <t>Jamaïque</t>
  </si>
  <si>
    <t>Japon</t>
  </si>
  <si>
    <t>Malaysie</t>
  </si>
  <si>
    <t>Mexique</t>
  </si>
  <si>
    <t>Malte</t>
  </si>
  <si>
    <t>Pays-Bas</t>
  </si>
  <si>
    <t>Nigéria</t>
  </si>
  <si>
    <t>Irlande du Nord</t>
  </si>
  <si>
    <t>Norvège</t>
  </si>
  <si>
    <t>Pologne</t>
  </si>
  <si>
    <t>Roumanie</t>
  </si>
  <si>
    <t>Russie</t>
  </si>
  <si>
    <t>Afrique du Sud</t>
  </si>
  <si>
    <t>Ecosse</t>
  </si>
  <si>
    <t>Singapour</t>
  </si>
  <si>
    <t>Suisse</t>
  </si>
  <si>
    <t>Slovaquie</t>
  </si>
  <si>
    <t>Tunisie</t>
  </si>
  <si>
    <t>Turquie</t>
  </si>
  <si>
    <t>Etats-Unis</t>
  </si>
  <si>
    <t>Pays de Galles</t>
  </si>
  <si>
    <t>Zimbabwé</t>
  </si>
  <si>
    <t>Codes de nationalité FISTF</t>
  </si>
  <si>
    <t>FISTF nationality codes</t>
  </si>
  <si>
    <t>GMFT - Version</t>
  </si>
  <si>
    <t>Utiliser la nationalité à la place du club pour le trigramme dans le nom du joueur (cas de la Coupe du Monde). Ex. Marcel DUPONT (FRA)</t>
  </si>
  <si>
    <t>Vous n'êtes pas positionné sur une ligne de session (la première session ne peut être utilisée).</t>
  </si>
  <si>
    <t xml:space="preserve">Your selection is not on a session row (the first session can't be used) </t>
  </si>
  <si>
    <t>Move or delete selected matches</t>
  </si>
  <si>
    <t>Copier les scores et valider</t>
  </si>
  <si>
    <t>Copy scores and unvalidate</t>
  </si>
  <si>
    <t>Copy scores and validate</t>
  </si>
  <si>
    <t>Copier les scores et dévalider</t>
  </si>
  <si>
    <t>Delete deprecated matches (#REF!)</t>
  </si>
  <si>
    <t>Verrouiller les feuilles pour éviter les erreurs de manipulation</t>
  </si>
  <si>
    <t>Lock worksheets to avoid manipulation errors</t>
  </si>
  <si>
    <t>Remplaçant</t>
  </si>
  <si>
    <t>Substitute</t>
  </si>
  <si>
    <t>Codes de match pour les remplaçants</t>
  </si>
  <si>
    <t>Substitute codes for team matches</t>
  </si>
  <si>
    <t>M1</t>
  </si>
  <si>
    <t>M2</t>
  </si>
  <si>
    <t>Finlandia</t>
  </si>
  <si>
    <t>Francia</t>
  </si>
  <si>
    <t>Alemania</t>
  </si>
  <si>
    <t>Germania</t>
  </si>
  <si>
    <t>Gibilterra</t>
  </si>
  <si>
    <t>Grecia</t>
  </si>
  <si>
    <t>Hungría</t>
  </si>
  <si>
    <t>Ungheria</t>
  </si>
  <si>
    <t>India (la)</t>
  </si>
  <si>
    <t>Irlanda</t>
  </si>
  <si>
    <t>Israele</t>
  </si>
  <si>
    <t>Italia</t>
  </si>
  <si>
    <t>Giamaica</t>
  </si>
  <si>
    <t>Japón</t>
  </si>
  <si>
    <t>Giappone</t>
  </si>
  <si>
    <t>México</t>
  </si>
  <si>
    <t>Messico</t>
  </si>
  <si>
    <t>Malasia</t>
  </si>
  <si>
    <t>Malesia</t>
  </si>
  <si>
    <t>Mónaco</t>
  </si>
  <si>
    <t>Países Bajos</t>
  </si>
  <si>
    <t>Paesi Bassi</t>
  </si>
  <si>
    <t>Irlanda del Norte</t>
  </si>
  <si>
    <t>Irlanda del Nord</t>
  </si>
  <si>
    <t>Noruega</t>
  </si>
  <si>
    <t>Norvegia</t>
  </si>
  <si>
    <t>Polonia</t>
  </si>
  <si>
    <t>Portogallo</t>
  </si>
  <si>
    <t>Rumania</t>
  </si>
  <si>
    <t>Rusia</t>
  </si>
  <si>
    <t>Scozia</t>
  </si>
  <si>
    <t>Escocia</t>
  </si>
  <si>
    <t>Singapur</t>
  </si>
  <si>
    <t>Suiza</t>
  </si>
  <si>
    <t>Svizzera</t>
  </si>
  <si>
    <t>Sudáfrica</t>
  </si>
  <si>
    <t>Sudafrica</t>
  </si>
  <si>
    <t>España</t>
  </si>
  <si>
    <t>Spagna</t>
  </si>
  <si>
    <t>Eslovaquia</t>
  </si>
  <si>
    <t>Slovacchia</t>
  </si>
  <si>
    <t>Túnez</t>
  </si>
  <si>
    <t>Turquía</t>
  </si>
  <si>
    <t>Turchia</t>
  </si>
  <si>
    <t>Estados Unidos</t>
  </si>
  <si>
    <t>Stati Uniti</t>
  </si>
  <si>
    <t>Gales</t>
  </si>
  <si>
    <t>Galles</t>
  </si>
  <si>
    <t>Zimbabue</t>
  </si>
  <si>
    <t>Use nationality instead of club for trigram in player's name (useful for World Cup). Ex. John Beem (ANG)</t>
  </si>
  <si>
    <t>Licences
Clubs</t>
  </si>
  <si>
    <t>Nb Joueurs</t>
  </si>
  <si>
    <t>1A - 7B</t>
  </si>
  <si>
    <t>Nb Play Off Matches</t>
  </si>
  <si>
    <t>Matches de barrages</t>
  </si>
  <si>
    <t xml:space="preserve">En choisissant parmi des formules officielles ou non mais avec un choix plus important </t>
  </si>
  <si>
    <t>Choosing within official or not formulas, but with a larger scope</t>
  </si>
  <si>
    <t>Formulaire de saisie pour une nouvelle épreuve en double selon formules officielles ou non</t>
  </si>
  <si>
    <t>New Event Form for doubles with competition formulas (official or not)</t>
  </si>
  <si>
    <t>New Event Form for teams with competition formulas (official or not)</t>
  </si>
  <si>
    <t>New Event Form for individuals with competition formulas (official or not)</t>
  </si>
  <si>
    <t>Formulaire de saisie pour une nouvelle épreuve par équipe selon formule officielles ou non</t>
  </si>
  <si>
    <t>Formulaire de saisie pour une nouvelle épreuve individuelle selon formule officielles ou non</t>
  </si>
  <si>
    <t>Définition d'une nouvelle épreuve en double basée sur les formules de compétition officielles ou non</t>
  </si>
  <si>
    <t>Définition d'une nouvelle épreuve par équipe basée sur les formules de compétition officielles ou non</t>
  </si>
  <si>
    <t>Définition d'une nouvelle épreuve individuelle basée sur les formules de compétition officielles ou non</t>
  </si>
  <si>
    <t>Definition of a new event for individuals based on competition formulas (officials or not)</t>
  </si>
  <si>
    <t>Definition of a new event for teams based on competition formulas (officials or not)</t>
  </si>
  <si>
    <t>Definition of a new event for doubles based on competition formulas (officials or not)</t>
  </si>
  <si>
    <t>2B - 8A</t>
  </si>
  <si>
    <t>5A - 3B</t>
  </si>
  <si>
    <t>6B - 4A</t>
  </si>
  <si>
    <t>3A - 5B</t>
  </si>
  <si>
    <t>4B - 6A</t>
  </si>
  <si>
    <t>7A - 1B</t>
  </si>
  <si>
    <t>8B - 2A</t>
  </si>
  <si>
    <t>1A - M6</t>
  </si>
  <si>
    <t>M3 - M2</t>
  </si>
  <si>
    <t>M1 - M4</t>
  </si>
  <si>
    <t>M5 - 2A</t>
  </si>
  <si>
    <t>M2 4A - 7B</t>
  </si>
  <si>
    <t>M3 5A - 6B</t>
  </si>
  <si>
    <t>M4 6A - 4B</t>
  </si>
  <si>
    <t>M5 7A - 1B</t>
  </si>
  <si>
    <t>M6 2B - 3B</t>
  </si>
  <si>
    <t>M1 3A - 5B</t>
  </si>
  <si>
    <t>1A - M4</t>
  </si>
  <si>
    <t>M1 - 4A</t>
  </si>
  <si>
    <t>3A - M2</t>
  </si>
  <si>
    <t>M3 - 2A</t>
  </si>
  <si>
    <t>M1 5A - 3B</t>
  </si>
  <si>
    <t>M2 6A - 4B</t>
  </si>
  <si>
    <t>M3 1B - 5B</t>
  </si>
  <si>
    <t>M4 2B - 6B</t>
  </si>
  <si>
    <t>1A - M1</t>
  </si>
  <si>
    <t>5A - 4A</t>
  </si>
  <si>
    <t>3A - 1B</t>
  </si>
  <si>
    <t>M2 - 2A</t>
  </si>
  <si>
    <t>M1 2B - 3B</t>
  </si>
  <si>
    <t>M2 4B - 5B</t>
  </si>
  <si>
    <t>1A - 2B</t>
  </si>
  <si>
    <t>1B - 2A</t>
  </si>
  <si>
    <t>1A - 1B</t>
  </si>
  <si>
    <t>M1 3A - 1B</t>
  </si>
  <si>
    <t>M2 2B - 3B</t>
  </si>
  <si>
    <t>1A - M2</t>
  </si>
  <si>
    <t>M1 - 2A</t>
  </si>
  <si>
    <t>1A - 3B</t>
  </si>
  <si>
    <t>2B - 4A</t>
  </si>
  <si>
    <t>4B - 2A</t>
  </si>
  <si>
    <t>M1 8B - 9B</t>
  </si>
  <si>
    <t>M2 6B - 7B</t>
  </si>
  <si>
    <t>9A - 8A</t>
  </si>
  <si>
    <t>5A - 2B</t>
  </si>
  <si>
    <t>3B - 4A</t>
  </si>
  <si>
    <t>M1 3B - 7B</t>
  </si>
  <si>
    <t>M2 4B - 8B</t>
  </si>
  <si>
    <t>M3 5B - 9B</t>
  </si>
  <si>
    <t>M4 6B - 10B</t>
  </si>
  <si>
    <t>1B - 6A</t>
  </si>
  <si>
    <t>7A - 10A</t>
  </si>
  <si>
    <t>1A - M5</t>
  </si>
  <si>
    <t>5A - M2</t>
  </si>
  <si>
    <t>M4 - 4A</t>
  </si>
  <si>
    <t>3A - M3</t>
  </si>
  <si>
    <t>M1 - 6A</t>
  </si>
  <si>
    <t>M6 - 2A</t>
  </si>
  <si>
    <t>Trier par "NOM Prénom"</t>
  </si>
  <si>
    <t>Valider les inscrits</t>
  </si>
  <si>
    <t>Validate registered</t>
  </si>
  <si>
    <t>Formulaire de saisie pour une nouvelle épreuve individuelle selon formule</t>
  </si>
  <si>
    <t>Formulaire de saisie pour une nouvelle épreuve par équipe selon formule</t>
  </si>
  <si>
    <t>Formulaire de saisie pour une nouvelle épreuve en double selon formule</t>
  </si>
  <si>
    <t>New Event Form for individuals with competition formulas</t>
  </si>
  <si>
    <t>New Event Form for teams with competition formulas</t>
  </si>
  <si>
    <t>New Event Form for doubles with competition formulas</t>
  </si>
  <si>
    <t>Définition d'une nouvelle épreuve individuelle basée sur les formules de compétition</t>
  </si>
  <si>
    <t>Définition d'une nouvelle épreuve par équipe basée sur les formules de compétition</t>
  </si>
  <si>
    <t>Définition d'une nouvelle épreuve en double basée sur les formules de compétition</t>
  </si>
  <si>
    <t>Definition of a new event for individuals based on competition formulas</t>
  </si>
  <si>
    <t>Definition of a new event for teams based on competition formulas</t>
  </si>
  <si>
    <t>Definition of a new event for doubles based on competition formulas</t>
  </si>
  <si>
    <t>Nombre de joueurs engagés</t>
  </si>
  <si>
    <t>Number of players involved</t>
  </si>
  <si>
    <t>3 Joueurs</t>
  </si>
  <si>
    <t>4 Joueurs</t>
  </si>
  <si>
    <t>3 Players</t>
  </si>
  <si>
    <t>4 Players</t>
  </si>
  <si>
    <t>Poules de …</t>
  </si>
  <si>
    <t>Groups of …</t>
  </si>
  <si>
    <t>Le nombre maximum de participants est de 64 pour une compétition par poules de 4.</t>
  </si>
  <si>
    <t>The maximum number of players is 128 when event is based on groups of 3</t>
  </si>
  <si>
    <t>Nb Groups of …</t>
  </si>
  <si>
    <t>M1 7A - 4B</t>
  </si>
  <si>
    <t>M2 8A - 6B</t>
  </si>
  <si>
    <t>M3 9A - 7B</t>
  </si>
  <si>
    <t>M4 10A - 5B</t>
  </si>
  <si>
    <t>M5 11A - 8B</t>
  </si>
  <si>
    <t>M6 12A - 2B</t>
  </si>
  <si>
    <t>M7 13A - 10B</t>
  </si>
  <si>
    <t>M8 1B - 13B</t>
  </si>
  <si>
    <t>M9 9B - 12B</t>
  </si>
  <si>
    <t>M10 3B - 11B</t>
  </si>
  <si>
    <t>1A - M10</t>
  </si>
  <si>
    <t>5A - M6</t>
  </si>
  <si>
    <t>M7 - 4A</t>
  </si>
  <si>
    <t>3A - M8</t>
  </si>
  <si>
    <t>M5 - 6A</t>
  </si>
  <si>
    <t>M9 - 2A</t>
  </si>
  <si>
    <t>M3 7A - 5B</t>
  </si>
  <si>
    <t>M4 8A - 6B</t>
  </si>
  <si>
    <t>M5 9A - 7B</t>
  </si>
  <si>
    <t>M6 10A - 8B</t>
  </si>
  <si>
    <t>M7 11A - 9B</t>
  </si>
  <si>
    <t>M8 12A - 10B</t>
  </si>
  <si>
    <t>M9 13A - 11B</t>
  </si>
  <si>
    <t>M10 14A - 12B</t>
  </si>
  <si>
    <t>M11 1B - 13B</t>
  </si>
  <si>
    <t>M12 2B - 14B</t>
  </si>
  <si>
    <t>1A - M12</t>
  </si>
  <si>
    <t>M5 - M4</t>
  </si>
  <si>
    <t>M1 - M8</t>
  </si>
  <si>
    <t>M9 - 4A</t>
  </si>
  <si>
    <t>3A - M10</t>
  </si>
  <si>
    <t>M7 - M2</t>
  </si>
  <si>
    <t>M3 - M6</t>
  </si>
  <si>
    <t>M11 - 2A</t>
  </si>
  <si>
    <t>M2 4A - 3B</t>
  </si>
  <si>
    <t>M4 6A - 5B</t>
  </si>
  <si>
    <t>M6 8A - 7B</t>
  </si>
  <si>
    <t>M8 10A - 9B</t>
  </si>
  <si>
    <t>M10 12A - 11B</t>
  </si>
  <si>
    <t>M11 13A - 12B</t>
  </si>
  <si>
    <t>M12 14A - 13B</t>
  </si>
  <si>
    <t>M13 15A - 14B</t>
  </si>
  <si>
    <t>M14 2B - 15B</t>
  </si>
  <si>
    <t>1A - M14</t>
  </si>
  <si>
    <t>M7 - M6</t>
  </si>
  <si>
    <t>M3 - M10</t>
  </si>
  <si>
    <t>M11 - M2</t>
  </si>
  <si>
    <t>M1 - M12</t>
  </si>
  <si>
    <t>M9 - M4</t>
  </si>
  <si>
    <t>M5 - M8</t>
  </si>
  <si>
    <t>M13 - 2A</t>
  </si>
  <si>
    <t>1A - 15B</t>
  </si>
  <si>
    <t>2B - 16A</t>
  </si>
  <si>
    <t>9A - 7B</t>
  </si>
  <si>
    <t>10B - 8A</t>
  </si>
  <si>
    <t>5A - 11B</t>
  </si>
  <si>
    <t>6B - 12A</t>
  </si>
  <si>
    <t>13A - 3B</t>
  </si>
  <si>
    <t>14B - 4A</t>
  </si>
  <si>
    <t>3A - 13B</t>
  </si>
  <si>
    <t>4B - 14A</t>
  </si>
  <si>
    <t>11A - 5B</t>
  </si>
  <si>
    <t>12B - 6A</t>
  </si>
  <si>
    <t>7A - 9B</t>
  </si>
  <si>
    <t>8B - 10A</t>
  </si>
  <si>
    <t>15A - 1B</t>
  </si>
  <si>
    <t>16B - 2A</t>
  </si>
  <si>
    <t>M1 14B - 16B</t>
  </si>
  <si>
    <t>M2 15B - 17B</t>
  </si>
  <si>
    <t>17A - 16A</t>
  </si>
  <si>
    <t>9A - 6B</t>
  </si>
  <si>
    <t>7B - 8A</t>
  </si>
  <si>
    <t>5A - 10B</t>
  </si>
  <si>
    <t>3B - 12A</t>
  </si>
  <si>
    <t>13A - 2B</t>
  </si>
  <si>
    <t>11B - 4A</t>
  </si>
  <si>
    <t>M1 11B - 15B</t>
  </si>
  <si>
    <t>M2 12B - 16B</t>
  </si>
  <si>
    <t>M3 13B - 17B</t>
  </si>
  <si>
    <t>M4 14B - 18B</t>
  </si>
  <si>
    <t>1B - 14A</t>
  </si>
  <si>
    <t>11A - 4B</t>
  </si>
  <si>
    <t>9B - 6A</t>
  </si>
  <si>
    <t>7A - 8B</t>
  </si>
  <si>
    <t>5B - 10A</t>
  </si>
  <si>
    <t>15A - 18A</t>
  </si>
  <si>
    <t>M1 8B - 14B</t>
  </si>
  <si>
    <t>M2 9B - 15B</t>
  </si>
  <si>
    <t>M3 10B - 16B</t>
  </si>
  <si>
    <t>M4 11B - 17B</t>
  </si>
  <si>
    <t>M5 12B - 18B</t>
  </si>
  <si>
    <t>M6 13B - 19B</t>
  </si>
  <si>
    <t>M3 - 4A</t>
  </si>
  <si>
    <t>3A - M4</t>
  </si>
  <si>
    <t>19A - 14A</t>
  </si>
  <si>
    <t>11A - 1B</t>
  </si>
  <si>
    <t>5B - 6A</t>
  </si>
  <si>
    <t>7A - 4B</t>
  </si>
  <si>
    <t>M1 - 10A</t>
  </si>
  <si>
    <t>M1 5B - 13B</t>
  </si>
  <si>
    <t>M2 6B - 14B</t>
  </si>
  <si>
    <t>M3 7B - 15B</t>
  </si>
  <si>
    <t>M4 8B - 16B</t>
  </si>
  <si>
    <t>M5 9B - 17B</t>
  </si>
  <si>
    <t>M6 10B - 18B</t>
  </si>
  <si>
    <t>M7 11B - 19B</t>
  </si>
  <si>
    <t>M8 12B - 20B</t>
  </si>
  <si>
    <t>1A - M8</t>
  </si>
  <si>
    <t>9A - 3B</t>
  </si>
  <si>
    <t>M1 - 8A</t>
  </si>
  <si>
    <t>5A - M4</t>
  </si>
  <si>
    <t>2B - 12A</t>
  </si>
  <si>
    <t>13A - 20A</t>
  </si>
  <si>
    <t>M5 - 4A</t>
  </si>
  <si>
    <t>3A - M6</t>
  </si>
  <si>
    <t>M3 - 6A</t>
  </si>
  <si>
    <t>7A - M2</t>
  </si>
  <si>
    <t>4B - 10A</t>
  </si>
  <si>
    <t>M7 - 2A</t>
  </si>
  <si>
    <t>M1 4B - 12B</t>
  </si>
  <si>
    <t>M2 3B - 10B</t>
  </si>
  <si>
    <t>M3 2B - 14B</t>
  </si>
  <si>
    <t>M4 5B - 17B</t>
  </si>
  <si>
    <t>M5 8B - 16B</t>
  </si>
  <si>
    <t>M6 7B - 15B</t>
  </si>
  <si>
    <t>M7 6B - 18B</t>
  </si>
  <si>
    <t>M8 9B - 20B</t>
  </si>
  <si>
    <t>M9 13B - 19B</t>
  </si>
  <si>
    <t>M10 11B - 21B</t>
  </si>
  <si>
    <t>9A - M2</t>
  </si>
  <si>
    <t>M3 - 8A</t>
  </si>
  <si>
    <t>21A - 12A</t>
  </si>
  <si>
    <t>7A - M4</t>
  </si>
  <si>
    <t>M1 21A - 11B</t>
  </si>
  <si>
    <t>M2 22A - 12B</t>
  </si>
  <si>
    <t>M3 1B - 13B</t>
  </si>
  <si>
    <t>M4 2B - 14B</t>
  </si>
  <si>
    <t>M5 3B - 15B</t>
  </si>
  <si>
    <t>M6 4B - 16B</t>
  </si>
  <si>
    <t>M7 5B - 17B</t>
  </si>
  <si>
    <t>M8 6B - 18B</t>
  </si>
  <si>
    <t>M9 7B - 19B</t>
  </si>
  <si>
    <t>M10 8B - 20B</t>
  </si>
  <si>
    <t>M11 9B - 21B</t>
  </si>
  <si>
    <t>M12 10B - 22B</t>
  </si>
  <si>
    <t>9A - M4</t>
  </si>
  <si>
    <t>M5 - 8A</t>
  </si>
  <si>
    <t>5A - M8</t>
  </si>
  <si>
    <t>M1 - 12A</t>
  </si>
  <si>
    <t>11A - M2</t>
  </si>
  <si>
    <t>M7 - 6A</t>
  </si>
  <si>
    <t>7A - M6</t>
  </si>
  <si>
    <t>M3 - 10A</t>
  </si>
  <si>
    <t>M1 19A - 1B</t>
  </si>
  <si>
    <t>M2 20A - 2B</t>
  </si>
  <si>
    <t>M3 21A - 3B</t>
  </si>
  <si>
    <t>M4 22A - 4B</t>
  </si>
  <si>
    <t>M5 23A - 5B</t>
  </si>
  <si>
    <t>M6 23B - 6B</t>
  </si>
  <si>
    <t>M7 22B - 7B</t>
  </si>
  <si>
    <t>M8 21B - 8B</t>
  </si>
  <si>
    <t>M9 20B - 9B</t>
  </si>
  <si>
    <t>M10 19B - 10B</t>
  </si>
  <si>
    <t>M11 18B - 11B</t>
  </si>
  <si>
    <t>M12 17B - 12B</t>
  </si>
  <si>
    <t>M13 16B - 13B</t>
  </si>
  <si>
    <t>M14 15B - 14B</t>
  </si>
  <si>
    <t>9A - M6</t>
  </si>
  <si>
    <t>M7 - 8A</t>
  </si>
  <si>
    <t>5A - M10</t>
  </si>
  <si>
    <t>M3 - 12A</t>
  </si>
  <si>
    <t>13A - M2</t>
  </si>
  <si>
    <t>M11 - 4A</t>
  </si>
  <si>
    <t>3A - M12</t>
  </si>
  <si>
    <t>M1 - 14A</t>
  </si>
  <si>
    <t>11A - M4</t>
  </si>
  <si>
    <t>M9 - 6A</t>
  </si>
  <si>
    <t>7A - M8</t>
  </si>
  <si>
    <t>M5 - 10A</t>
  </si>
  <si>
    <t>M1 17A - 10B</t>
  </si>
  <si>
    <t>M2 18A - 9B</t>
  </si>
  <si>
    <t>M3 19A - 12B</t>
  </si>
  <si>
    <t>M4 20A - 11B</t>
  </si>
  <si>
    <t>M5 21A - 14B</t>
  </si>
  <si>
    <t>M6 22A - 13B</t>
  </si>
  <si>
    <t>M7 23A - 16B</t>
  </si>
  <si>
    <t>M8 24A - 15B</t>
  </si>
  <si>
    <t>M9 2B - 18B</t>
  </si>
  <si>
    <t>M10 1B - 17B</t>
  </si>
  <si>
    <t>M11 4B - 20B</t>
  </si>
  <si>
    <t>M12 3B - 19B</t>
  </si>
  <si>
    <t>M13 6B - 22B</t>
  </si>
  <si>
    <t>M14 5B - 21B</t>
  </si>
  <si>
    <t>M15 8B - 24B</t>
  </si>
  <si>
    <t>M16 7B - 23B</t>
  </si>
  <si>
    <t>1A - M16</t>
  </si>
  <si>
    <t>M1 - 16A</t>
  </si>
  <si>
    <t>9A - M8</t>
  </si>
  <si>
    <t>M9 - 8A</t>
  </si>
  <si>
    <t>5A - M12</t>
  </si>
  <si>
    <t>M5 - 12A</t>
  </si>
  <si>
    <t>13A - M4</t>
  </si>
  <si>
    <t>M13 - 4A</t>
  </si>
  <si>
    <t>3A - M14</t>
  </si>
  <si>
    <t>M3 - 14A</t>
  </si>
  <si>
    <t>11A - M6</t>
  </si>
  <si>
    <t>M11 - 6A</t>
  </si>
  <si>
    <t>7A - M10</t>
  </si>
  <si>
    <t>M7 - 10A</t>
  </si>
  <si>
    <t>15A - M2</t>
  </si>
  <si>
    <t>M15 - 2A</t>
  </si>
  <si>
    <t>M10 24A - 17B</t>
  </si>
  <si>
    <t>M11 25A - 18B</t>
  </si>
  <si>
    <t>M2 16A - 9B</t>
  </si>
  <si>
    <t>M4 18A - 11B</t>
  </si>
  <si>
    <t>M5 19A - 12B</t>
  </si>
  <si>
    <t>M8 22A - 15B</t>
  </si>
  <si>
    <t>M9 23A - 16B</t>
  </si>
  <si>
    <t>Event name is mandatory, please fill it.</t>
  </si>
  <si>
    <t>Le nom de l'épreuve est obligatoire. Merci de le renseigner.</t>
  </si>
  <si>
    <t>Sur la base des formules de compétition FISTF</t>
  </si>
  <si>
    <t xml:space="preserve">Based on guidelines for FISTF tournaments </t>
  </si>
  <si>
    <t>En construisant vous-même votre formule de compétition</t>
  </si>
  <si>
    <t xml:space="preserve">Finaliser la saisie dans les feuilles d'épreuve en renseignant la position des joueurs dans les poules (ou la première des phases finales s'il n'y a pas de poules). En cas de matches dirigés avec une phase de poules, renseigner également les formules pour les matches de la première des phases finales en fonction des tours précédents. Dans le cas de tirages au sort intégral,la saisie des joueurs de chaque rencontre se fait dans les feuilles d'épreuve mais pas dans le planning. </t>
  </si>
  <si>
    <t xml:space="preserve">Complete Event sheets by fill in player positions in groups (or in the first of final phases if no group phase). In case of directed matches with group phase, type in also formulas for the matches of first final phase based on previous rounds. 
In case of full draw of lots, you must fill in players of each match in the event sheet and not in the planning. </t>
  </si>
  <si>
    <t>Feuille pour imprimer les feuilles de match en par équipe.
Coller à gauche les LIGNES du planning dans la limite de 20.
La ligne 6 doit être la première ligne 
La ligne 126 doit être vide
Pas de ligne blanche entre les matches d'équipes</t>
  </si>
  <si>
    <t>Délai entre 2 matches éliminatoires</t>
  </si>
  <si>
    <t>FR</t>
  </si>
  <si>
    <t>EN</t>
  </si>
  <si>
    <t>Time</t>
  </si>
  <si>
    <t>Referee</t>
  </si>
  <si>
    <t>Goals</t>
  </si>
  <si>
    <t>SD</t>
  </si>
  <si>
    <t>Team name</t>
  </si>
  <si>
    <t>Double name</t>
  </si>
  <si>
    <t>Team members</t>
  </si>
  <si>
    <t>Table N°</t>
  </si>
  <si>
    <t>Players</t>
  </si>
  <si>
    <t>W</t>
  </si>
  <si>
    <t>L</t>
  </si>
  <si>
    <t>Teams</t>
  </si>
  <si>
    <t>WINNER</t>
  </si>
  <si>
    <t>Qualified</t>
  </si>
  <si>
    <t>Total goals</t>
  </si>
  <si>
    <t>Winner</t>
  </si>
  <si>
    <t>Terms</t>
  </si>
  <si>
    <t>Ranking</t>
  </si>
  <si>
    <t>??</t>
  </si>
  <si>
    <t>Group</t>
  </si>
  <si>
    <t>2nd of Group</t>
  </si>
  <si>
    <t>2nd Ranking</t>
  </si>
  <si>
    <t>3rd of Group</t>
  </si>
  <si>
    <t>3rd Ranking</t>
  </si>
  <si>
    <t>Language</t>
  </si>
  <si>
    <t>CONCAT</t>
  </si>
  <si>
    <t>U19</t>
  </si>
  <si>
    <t>U15</t>
  </si>
  <si>
    <t>U12</t>
  </si>
  <si>
    <t>U40</t>
  </si>
  <si>
    <t>Name</t>
  </si>
  <si>
    <t>N° Licence</t>
  </si>
  <si>
    <t>Licence N°</t>
  </si>
  <si>
    <t>Category</t>
  </si>
  <si>
    <t>Team</t>
  </si>
  <si>
    <t>Double</t>
  </si>
  <si>
    <t>Event participation</t>
  </si>
  <si>
    <t>Participation aux épreuves</t>
  </si>
  <si>
    <t>Nationality</t>
  </si>
  <si>
    <t>Nationalité</t>
  </si>
  <si>
    <t>Club name</t>
  </si>
  <si>
    <t>Abbreviation</t>
  </si>
  <si>
    <t>Insert cells upper</t>
  </si>
  <si>
    <t>Insérer les cellules au dessus</t>
  </si>
  <si>
    <t>Liste des clubs</t>
  </si>
  <si>
    <t>Club list</t>
  </si>
  <si>
    <t>Insert a line : Copy one team line and press "Right Click &gt; Insert Copied Cells" on an existing team line</t>
  </si>
  <si>
    <t>Nb équipiers</t>
  </si>
  <si>
    <t>Nb of team members</t>
  </si>
  <si>
    <t>Max nb of team members</t>
  </si>
  <si>
    <t>Nb max équipiers</t>
  </si>
  <si>
    <t>Event</t>
  </si>
  <si>
    <t>Match Type</t>
  </si>
  <si>
    <t>Type de match</t>
  </si>
  <si>
    <t>Stage</t>
  </si>
  <si>
    <t>Player 1</t>
  </si>
  <si>
    <t>Joueur N° 1</t>
  </si>
  <si>
    <t>Player 2</t>
  </si>
  <si>
    <t>Joueur N° 2</t>
  </si>
  <si>
    <t>Part-Diff</t>
  </si>
  <si>
    <t xml:space="preserve"> sd</t>
  </si>
  <si>
    <t>WM</t>
  </si>
  <si>
    <t>LM</t>
  </si>
  <si>
    <t>LE</t>
  </si>
  <si>
    <t>DE</t>
  </si>
  <si>
    <t>WE</t>
  </si>
  <si>
    <t>Draw</t>
  </si>
  <si>
    <t>Pen.</t>
  </si>
  <si>
    <t>FINAL</t>
  </si>
  <si>
    <t>PLAY-OFF</t>
  </si>
  <si>
    <t>3rd place FINAL</t>
  </si>
  <si>
    <t>Pre-qualified</t>
  </si>
  <si>
    <t>Par équipe en tirage au sort intégral</t>
  </si>
  <si>
    <t>Team encounter with full draw of lots</t>
  </si>
  <si>
    <t>Individuel en tirage au sort intégral</t>
  </si>
  <si>
    <t>Individual with full draw of lots</t>
  </si>
  <si>
    <t>1er tour</t>
  </si>
  <si>
    <t>1st round</t>
  </si>
  <si>
    <t>Double en tirage au sort intégral</t>
  </si>
  <si>
    <t>Double with full draw of lots</t>
  </si>
  <si>
    <t>Group of 3</t>
  </si>
  <si>
    <t>Group of 4</t>
  </si>
  <si>
    <t>Poule de 4</t>
  </si>
  <si>
    <t>Group of 5</t>
  </si>
  <si>
    <t>Poule de 5</t>
  </si>
  <si>
    <t>Group of 6</t>
  </si>
  <si>
    <t>Poule de 6</t>
  </si>
  <si>
    <t>Group of 7</t>
  </si>
  <si>
    <t>Poule de 7</t>
  </si>
  <si>
    <t>Group of 8</t>
  </si>
  <si>
    <t>Poule de 8</t>
  </si>
  <si>
    <t>Poule de 3 en A/R</t>
  </si>
  <si>
    <t>Poule de 4 en A/R</t>
  </si>
  <si>
    <t>Group of 6 with self refereeing</t>
  </si>
  <si>
    <t>Poule de 6 en auto-arbitrage</t>
  </si>
  <si>
    <t>Delay between 2 matches in group</t>
  </si>
  <si>
    <t>Delay between 2 selection matches</t>
  </si>
  <si>
    <t>Message d'égalité dans une poule</t>
  </si>
  <si>
    <t>Message for equality in group</t>
  </si>
  <si>
    <t>Message for error in score of selection match</t>
  </si>
  <si>
    <t>Message pour une erreur de marque dans un match éliminatoire</t>
  </si>
  <si>
    <t>ERROR IN SCORE</t>
  </si>
  <si>
    <t>Factor</t>
  </si>
  <si>
    <t>Order</t>
  </si>
  <si>
    <t>Criteria</t>
  </si>
  <si>
    <t>Calcul Classement individuel</t>
  </si>
  <si>
    <t>Calculation of Individual ranking</t>
  </si>
  <si>
    <t>Calcul Classement équipe</t>
  </si>
  <si>
    <t>Calculation of Team ranking</t>
  </si>
  <si>
    <t>Goal Difference</t>
  </si>
  <si>
    <t>Won Matches</t>
  </si>
  <si>
    <t>Best Attack</t>
  </si>
  <si>
    <t>Encounter Difference</t>
  </si>
  <si>
    <t>Win</t>
  </si>
  <si>
    <t>Nul</t>
  </si>
  <si>
    <t>Langue</t>
  </si>
  <si>
    <t>Délai entre 2 matches de poule</t>
  </si>
  <si>
    <t>END OF PLANNING</t>
  </si>
  <si>
    <t>Insérez des lignes au dessus de cette zone</t>
  </si>
  <si>
    <t>Insert lines above this area</t>
  </si>
  <si>
    <t>Team 1</t>
  </si>
  <si>
    <t>Team 2</t>
  </si>
  <si>
    <t>Equipe N° 1</t>
  </si>
  <si>
    <t>Equipe N° 2</t>
  </si>
  <si>
    <t>Sheet for team scoreboard printing.
Paste on left the LINES of the planning up to 20.
The line Numer 6 must be the first line 
The line number 126 must be empty
No empty line between 2 match lines</t>
  </si>
  <si>
    <t>Group of 3 with first/second leg</t>
  </si>
  <si>
    <t>Group of 4 with first/second leg</t>
  </si>
  <si>
    <t>toto</t>
  </si>
  <si>
    <t>tutu</t>
  </si>
  <si>
    <t>Event's Category</t>
  </si>
  <si>
    <t>Catégorie de l'épreuve</t>
  </si>
  <si>
    <t>SEMI FINAL</t>
  </si>
  <si>
    <t>Nom de l'épreuve</t>
  </si>
  <si>
    <t>Event Name</t>
  </si>
  <si>
    <t>Groups of 3</t>
  </si>
  <si>
    <t>Poules de 3</t>
  </si>
  <si>
    <t>Groups of 4</t>
  </si>
  <si>
    <t>Groups of 5</t>
  </si>
  <si>
    <t>Groups of 6</t>
  </si>
  <si>
    <t>Groups of 7</t>
  </si>
  <si>
    <t>Groups of 8</t>
  </si>
  <si>
    <t>Db6</t>
  </si>
  <si>
    <t>Poules de 4</t>
  </si>
  <si>
    <t>Poules de 5</t>
  </si>
  <si>
    <t>Poules de 6</t>
  </si>
  <si>
    <t>Poules de 7</t>
  </si>
  <si>
    <t>Poules de 8</t>
  </si>
  <si>
    <t>en matches Aller / Retour</t>
  </si>
  <si>
    <t>with first/second leg</t>
  </si>
  <si>
    <t>Group Phase</t>
  </si>
  <si>
    <t>Play Off Phase</t>
  </si>
  <si>
    <t>Final Phase</t>
  </si>
  <si>
    <t>Phase de Poules</t>
  </si>
  <si>
    <t>Phase de Barrages</t>
  </si>
  <si>
    <t>Phase Finale</t>
  </si>
  <si>
    <t>Nombre de Matches</t>
  </si>
  <si>
    <t>Number of Matches</t>
  </si>
  <si>
    <t>Nombre de qualifiés d'office</t>
  </si>
  <si>
    <t>Number of pre-qualified players</t>
  </si>
  <si>
    <t>Demi Finale</t>
  </si>
  <si>
    <t>Quart de Finale</t>
  </si>
  <si>
    <t>8ème de Finale</t>
  </si>
  <si>
    <t>16ème de Finale</t>
  </si>
  <si>
    <t>Semi Final</t>
  </si>
  <si>
    <t>Final</t>
  </si>
  <si>
    <t>Valider</t>
  </si>
  <si>
    <t>Validate</t>
  </si>
  <si>
    <t>Le nom de l'épreuve est déjà utilisé pour une feuille de ce classeur.</t>
  </si>
  <si>
    <t>The Event Name is already in use by an other sheet.</t>
  </si>
  <si>
    <t>The value is not numeric.</t>
  </si>
  <si>
    <t>La valeur saisie n'est pas numérique.</t>
  </si>
  <si>
    <t>Exit</t>
  </si>
  <si>
    <t>Sortir</t>
  </si>
  <si>
    <t>Hide</t>
  </si>
  <si>
    <t>Masquer</t>
  </si>
  <si>
    <t xml:space="preserve">Session Nbr </t>
  </si>
  <si>
    <t xml:space="preserve">Session N° </t>
  </si>
  <si>
    <t>Duration</t>
  </si>
  <si>
    <t>Durée</t>
  </si>
  <si>
    <t>:</t>
  </si>
  <si>
    <t>IG</t>
  </si>
  <si>
    <t>IT</t>
  </si>
  <si>
    <t>IG_SR</t>
  </si>
  <si>
    <t>IT_SR</t>
  </si>
  <si>
    <t>IE</t>
  </si>
  <si>
    <t>#FPO</t>
  </si>
  <si>
    <t>#F16</t>
  </si>
  <si>
    <t>#F8</t>
  </si>
  <si>
    <t>#F4</t>
  </si>
  <si>
    <t>#F2</t>
  </si>
  <si>
    <t>#F1</t>
  </si>
  <si>
    <t>#G1</t>
  </si>
  <si>
    <t>#G2</t>
  </si>
  <si>
    <t>#G3</t>
  </si>
  <si>
    <t>#G4</t>
  </si>
  <si>
    <t>#G5</t>
  </si>
  <si>
    <t>#G6</t>
  </si>
  <si>
    <t>#GSR1</t>
  </si>
  <si>
    <t>#GSR2</t>
  </si>
  <si>
    <t>#GSR3</t>
  </si>
  <si>
    <t>#GSR4</t>
  </si>
  <si>
    <t>#GSR5</t>
  </si>
  <si>
    <t>#GSR6</t>
  </si>
  <si>
    <t>#GSR7</t>
  </si>
  <si>
    <t>#GSR8</t>
  </si>
  <si>
    <t>#G7</t>
  </si>
  <si>
    <t>TT</t>
  </si>
  <si>
    <t>TG</t>
  </si>
  <si>
    <t>TE</t>
  </si>
  <si>
    <t>DT</t>
  </si>
  <si>
    <t>DG</t>
  </si>
  <si>
    <t>IE_SR</t>
  </si>
  <si>
    <t>Une feuille de feuilles de match existe déjà. Cette opération va supprimer cette feuille et le recréer. Voulez-vous continuer ?</t>
  </si>
  <si>
    <t>A sheet of Match Forms already exists. This action will delete this sheet and recreate it. Do you want to continue ?</t>
  </si>
  <si>
    <t>Fin de journée</t>
  </si>
  <si>
    <t>End-of-day</t>
  </si>
  <si>
    <t>Vous n'avez rien sélectionné !</t>
  </si>
  <si>
    <t>Nothing selected !</t>
  </si>
  <si>
    <t xml:space="preserve">Votre sélection ne correspond pas uniquement à des lignes de match ! </t>
  </si>
  <si>
    <t>Your selection doesn't correspond exclusively to match lines !</t>
  </si>
  <si>
    <t>Votre sélection est en début de planning et ne peut être encore remontée !</t>
  </si>
  <si>
    <t>Your selection is at the top of planning and can't be moved up !</t>
  </si>
  <si>
    <t>2A - 9A</t>
  </si>
  <si>
    <t>8A - 3A</t>
  </si>
  <si>
    <t>4A - 7A</t>
  </si>
  <si>
    <t>M21 29A - 25B</t>
  </si>
  <si>
    <t>M22 30A - 26B</t>
  </si>
  <si>
    <t>M23 31A - 27B</t>
  </si>
  <si>
    <t>M24 32A - 28B</t>
  </si>
  <si>
    <t>M25 1B - 29B</t>
  </si>
  <si>
    <t>M26 2B - 30B</t>
  </si>
  <si>
    <t>M27 3B - 31B</t>
  </si>
  <si>
    <t>M28 4B - 32B</t>
  </si>
  <si>
    <t>1A - 8A</t>
  </si>
  <si>
    <t>7A - 2A</t>
  </si>
  <si>
    <t>3A - 6A</t>
  </si>
  <si>
    <t>M4 10A - 7B</t>
  </si>
  <si>
    <t>M6 12A - 10B</t>
  </si>
  <si>
    <t>M7 13A - 9B</t>
  </si>
  <si>
    <t>M12 18A - 15B</t>
  </si>
  <si>
    <t>M13 19A - 16B</t>
  </si>
  <si>
    <t>M14 20A - 18B</t>
  </si>
  <si>
    <t>M15 21A - 17B</t>
  </si>
  <si>
    <t>M20 26A - 23B</t>
  </si>
  <si>
    <t>M21 27A - 24B</t>
  </si>
  <si>
    <t>M23 29A - 27B</t>
  </si>
  <si>
    <t>M24 30A - 26A</t>
  </si>
  <si>
    <t>M25 31A - 28B</t>
  </si>
  <si>
    <t>M26 32A - 29B</t>
  </si>
  <si>
    <t>M27 1B - 30B</t>
  </si>
  <si>
    <t>M28 2B - 31B</t>
  </si>
  <si>
    <t>M29 3B - 32B</t>
  </si>
  <si>
    <t>4A - 3A</t>
  </si>
  <si>
    <t>6A - 1A</t>
  </si>
  <si>
    <t>2A - 5A</t>
  </si>
  <si>
    <t>M27 31A - 29B</t>
  </si>
  <si>
    <t>M28 32A - 30B</t>
  </si>
  <si>
    <t>M29 1B - 31B</t>
  </si>
  <si>
    <t>M30 2B - 32B</t>
  </si>
  <si>
    <t>3A - 2A</t>
  </si>
  <si>
    <t>M9 - 822</t>
  </si>
  <si>
    <t>1A - 4A</t>
  </si>
  <si>
    <t>M1 3A - 2B</t>
  </si>
  <si>
    <t>M7 9A - 8B</t>
  </si>
  <si>
    <t>M8 10A - 11B</t>
  </si>
  <si>
    <t>M9 11A - 10B</t>
  </si>
  <si>
    <t>M10 12A - 9B</t>
  </si>
  <si>
    <t>M15 17A - 16B</t>
  </si>
  <si>
    <t>M16 18A - 19B</t>
  </si>
  <si>
    <t>M17 19A - 18B</t>
  </si>
  <si>
    <t>M18 20A - 17B</t>
  </si>
  <si>
    <t>M23 25A - 24B</t>
  </si>
  <si>
    <t>M24 26A - 27B</t>
  </si>
  <si>
    <t>M25 27A - 26B</t>
  </si>
  <si>
    <t>M26 28A - 25B</t>
  </si>
  <si>
    <t>M30 32A - 31B</t>
  </si>
  <si>
    <t>M31 1B - 32B</t>
  </si>
  <si>
    <t>2A - 1A</t>
  </si>
  <si>
    <t>M1 1A - 2B</t>
  </si>
  <si>
    <t>M2 2A - 1B</t>
  </si>
  <si>
    <t>M3 3A - 4B</t>
  </si>
  <si>
    <t>M4 4A - 3B</t>
  </si>
  <si>
    <t>M5 5A - 6B</t>
  </si>
  <si>
    <t>M6 6A - 5B</t>
  </si>
  <si>
    <t>M7 7A - 8B</t>
  </si>
  <si>
    <t>M8 8A - 7B</t>
  </si>
  <si>
    <t>M9 9A - 10B</t>
  </si>
  <si>
    <t>M10 10A - 9B</t>
  </si>
  <si>
    <t>M11 11A - 12B</t>
  </si>
  <si>
    <t>M12 12A - 11B</t>
  </si>
  <si>
    <t>M13 13A - 14B</t>
  </si>
  <si>
    <t>M14 14A - 13B</t>
  </si>
  <si>
    <t>M15 15A - 16B</t>
  </si>
  <si>
    <t>M16 16A - 15B</t>
  </si>
  <si>
    <t>M17 17A - 18B</t>
  </si>
  <si>
    <t>M18 18A - 17B</t>
  </si>
  <si>
    <t>M19 19A - 20B</t>
  </si>
  <si>
    <t>M20 20A - 19B</t>
  </si>
  <si>
    <t>M21 21A - 22B</t>
  </si>
  <si>
    <t>M22 22A - 21B</t>
  </si>
  <si>
    <t>M23 23A - 24B</t>
  </si>
  <si>
    <t>M24 24A - 23B</t>
  </si>
  <si>
    <t>M25 25A - 26B</t>
  </si>
  <si>
    <t>M26 26A - 25B</t>
  </si>
  <si>
    <t>M27 27A - 28B</t>
  </si>
  <si>
    <t>M28 28A - 27B</t>
  </si>
  <si>
    <t>M29 29A - 30B</t>
  </si>
  <si>
    <t>M30 30A - 29B</t>
  </si>
  <si>
    <t>M31 31A - 32B</t>
  </si>
  <si>
    <t>M32 32A - 31B</t>
  </si>
  <si>
    <t>Q3 - M12</t>
  </si>
  <si>
    <t>Q11 - M5</t>
  </si>
  <si>
    <t>M10 - Q6</t>
  </si>
  <si>
    <t>Q7 - M9</t>
  </si>
  <si>
    <t>6B - Q12</t>
  </si>
  <si>
    <t>M6 - Q10</t>
  </si>
  <si>
    <t>Q13 - 5B</t>
  </si>
  <si>
    <t>M13 - Q4</t>
  </si>
  <si>
    <t>Q1 - M13</t>
  </si>
  <si>
    <t>Q3 - M11</t>
  </si>
  <si>
    <t>M2 - Q14</t>
  </si>
  <si>
    <t>Q9 - M8</t>
  </si>
  <si>
    <t>Q11 - M3</t>
  </si>
  <si>
    <t>M5 - Q8</t>
  </si>
  <si>
    <t>Q7 - M6</t>
  </si>
  <si>
    <t>M4 - Q12</t>
  </si>
  <si>
    <t>M7 - Q10</t>
  </si>
  <si>
    <t>Q13 - M1</t>
  </si>
  <si>
    <t>M12 - Q4</t>
  </si>
  <si>
    <t>M14 - Q2</t>
  </si>
  <si>
    <t>Q1 - M14</t>
  </si>
  <si>
    <t>2B - Q14</t>
  </si>
  <si>
    <t>Q9 - M9</t>
  </si>
  <si>
    <t>M10 - Q8</t>
  </si>
  <si>
    <t>M7 - Q6</t>
  </si>
  <si>
    <t>Q5 - M13</t>
  </si>
  <si>
    <t>Q7 - M8</t>
  </si>
  <si>
    <t>M6 - Q12</t>
  </si>
  <si>
    <t>Q13 - M5</t>
  </si>
  <si>
    <t>Q15 - 1B</t>
  </si>
  <si>
    <t>M15 - Q4</t>
  </si>
  <si>
    <t>Q1 - M15</t>
  </si>
  <si>
    <t>Q3 - M13</t>
  </si>
  <si>
    <t>M2 - Q16</t>
  </si>
  <si>
    <t>M4 - Q14</t>
  </si>
  <si>
    <t>Q9 - M7</t>
  </si>
  <si>
    <t>M12 - Q6</t>
  </si>
  <si>
    <t>Q5 - M11</t>
  </si>
  <si>
    <t>M8 - Q10</t>
  </si>
  <si>
    <t>Q13 - M3</t>
  </si>
  <si>
    <t>Q15 - M1</t>
  </si>
  <si>
    <t>M14 - Q4</t>
  </si>
  <si>
    <t>M16 - Q2</t>
  </si>
  <si>
    <t>Q1 - M16</t>
  </si>
  <si>
    <t>Q17 - M2</t>
  </si>
  <si>
    <t>M3 - Q16</t>
  </si>
  <si>
    <t>M5 - Q14</t>
  </si>
  <si>
    <t>Q9 - M11</t>
  </si>
  <si>
    <t>Q11 - M8</t>
  </si>
  <si>
    <t>M12 - Q8</t>
  </si>
  <si>
    <t>M9 - Q6</t>
  </si>
  <si>
    <t>Q5 - M14</t>
  </si>
  <si>
    <t>Q7 - M10</t>
  </si>
  <si>
    <t>M7 - Q12</t>
  </si>
  <si>
    <t>Q15 - M4</t>
  </si>
  <si>
    <t>M17 - Q2</t>
  </si>
  <si>
    <t>Q1 - M17</t>
  </si>
  <si>
    <t>Q3 - M15</t>
  </si>
  <si>
    <t>M6 - Q14</t>
  </si>
  <si>
    <t>Q9 - M12</t>
  </si>
  <si>
    <t>Q11 - M7</t>
  </si>
  <si>
    <t>M9 - Q8</t>
  </si>
  <si>
    <t>M14 - Q6</t>
  </si>
  <si>
    <t>M8 - Q12</t>
  </si>
  <si>
    <t>M11 - Q10</t>
  </si>
  <si>
    <t>M1 - Q18</t>
  </si>
  <si>
    <t>M16 - Q4</t>
  </si>
  <si>
    <t>M18 - Q2</t>
  </si>
  <si>
    <t>Q1 - M18</t>
  </si>
  <si>
    <t>Q17 - M3</t>
  </si>
  <si>
    <t>Q19 - M1</t>
  </si>
  <si>
    <t>M4 - Q16</t>
  </si>
  <si>
    <t>Q9 - M13</t>
  </si>
  <si>
    <t>M14 - Q8</t>
  </si>
  <si>
    <t>Q5 - M17</t>
  </si>
  <si>
    <t>Q7 - M11</t>
  </si>
  <si>
    <t>M10 - Q12</t>
  </si>
  <si>
    <t>Q13 - M9</t>
  </si>
  <si>
    <t>Q15 - M5</t>
  </si>
  <si>
    <t>M2 - Q18</t>
  </si>
  <si>
    <t>M19 - Q4</t>
  </si>
  <si>
    <t>Q1 - M19</t>
  </si>
  <si>
    <t>Q3 - M17</t>
  </si>
  <si>
    <t>Q17 - M4</t>
  </si>
  <si>
    <t>Q19 - M2</t>
  </si>
  <si>
    <t>M5 - Q16</t>
  </si>
  <si>
    <t>M7 - Q14</t>
  </si>
  <si>
    <t>Q11 - M9</t>
  </si>
  <si>
    <t>M16 - Q6</t>
  </si>
  <si>
    <t>Q5 - M15</t>
  </si>
  <si>
    <t>Q7 - M13</t>
  </si>
  <si>
    <t>M12 - Q10</t>
  </si>
  <si>
    <t>Q13 - M8</t>
  </si>
  <si>
    <t>Q15 - M6</t>
  </si>
  <si>
    <t>M1 - Q20</t>
  </si>
  <si>
    <t>M3 - Q18</t>
  </si>
  <si>
    <t>M18 - Q4</t>
  </si>
  <si>
    <t>M20 - Q2</t>
  </si>
  <si>
    <t>Q1 - M21</t>
  </si>
  <si>
    <t>Q3 - M19</t>
  </si>
  <si>
    <t>Q17 - M5</t>
  </si>
  <si>
    <t>Q19 - M3</t>
  </si>
  <si>
    <t>M6 - Q16</t>
  </si>
  <si>
    <t>Q11 - M11</t>
  </si>
  <si>
    <t>Q7 - M15</t>
  </si>
  <si>
    <t>Q21 - M1</t>
  </si>
  <si>
    <t>Q15 - M7</t>
  </si>
  <si>
    <t>M2 - Q20</t>
  </si>
  <si>
    <t>M4 - Q18</t>
  </si>
  <si>
    <t>Q17 - M6</t>
  </si>
  <si>
    <t>Q19 - M4</t>
  </si>
  <si>
    <t>M7 - Q16</t>
  </si>
  <si>
    <t>M9 - Q14</t>
  </si>
  <si>
    <t>Q11 - M12</t>
  </si>
  <si>
    <t>M1 - Q22</t>
  </si>
  <si>
    <t>M16 - Q8</t>
  </si>
  <si>
    <t>M18 - Q6</t>
  </si>
  <si>
    <t>Q21 - M2</t>
  </si>
  <si>
    <t>M11 - Q12</t>
  </si>
  <si>
    <t>M14 - Q10</t>
  </si>
  <si>
    <t>Q13 - M10</t>
  </si>
  <si>
    <t>Q15 - M8</t>
  </si>
  <si>
    <t>M3 - Q20</t>
  </si>
  <si>
    <t>M5 - Q18</t>
  </si>
  <si>
    <t>M20 - Q4</t>
  </si>
  <si>
    <t>M22 - Q2</t>
  </si>
  <si>
    <t>Q1 - M22</t>
  </si>
  <si>
    <t>Q3 - M20</t>
  </si>
  <si>
    <t>Q17 - M7</t>
  </si>
  <si>
    <t>Q19 - M5</t>
  </si>
  <si>
    <t>M8 - Q16</t>
  </si>
  <si>
    <t>M10 - Q14</t>
  </si>
  <si>
    <t>Q9 - M16</t>
  </si>
  <si>
    <t>Q11 - M13</t>
  </si>
  <si>
    <t>M2 - Q22</t>
  </si>
  <si>
    <t>M17 - Q8</t>
  </si>
  <si>
    <t>Q5 - M19</t>
  </si>
  <si>
    <t>Q21 - M3</t>
  </si>
  <si>
    <t>Q23 - M1</t>
  </si>
  <si>
    <t>M12 - Q12</t>
  </si>
  <si>
    <t>Q13 - M11</t>
  </si>
  <si>
    <t>Q15 - M9</t>
  </si>
  <si>
    <t>M4 - Q20</t>
  </si>
  <si>
    <t>M6 - Q18</t>
  </si>
  <si>
    <t>M23 - Q2</t>
  </si>
  <si>
    <t>Q1 - M23</t>
  </si>
  <si>
    <t>Q3 - M21</t>
  </si>
  <si>
    <t>Q17 - M8</t>
  </si>
  <si>
    <t>Q19 - M6</t>
  </si>
  <si>
    <t>M9 - Q16</t>
  </si>
  <si>
    <t>M11 - Q14</t>
  </si>
  <si>
    <t>Q11 - M14</t>
  </si>
  <si>
    <t>M1 - Q24</t>
  </si>
  <si>
    <t>M3 - Q22</t>
  </si>
  <si>
    <t>M18 - Q8</t>
  </si>
  <si>
    <t>M20 - Q6</t>
  </si>
  <si>
    <t>Q7 - M17</t>
  </si>
  <si>
    <t>Q21 - M4</t>
  </si>
  <si>
    <t>Q23 - M2</t>
  </si>
  <si>
    <t>M13 - Q12</t>
  </si>
  <si>
    <t>M15 - Q10</t>
  </si>
  <si>
    <t>Q13 - M12</t>
  </si>
  <si>
    <t>Q15 - M10</t>
  </si>
  <si>
    <t>M5 - Q20</t>
  </si>
  <si>
    <t>M7 - Q18</t>
  </si>
  <si>
    <t>M22 - Q4</t>
  </si>
  <si>
    <t>M24 - Q2</t>
  </si>
  <si>
    <t>Q1 - M24</t>
  </si>
  <si>
    <t>Q3 - M25</t>
  </si>
  <si>
    <t>Q17 - M9</t>
  </si>
  <si>
    <t>Q19 - M7</t>
  </si>
  <si>
    <t>M10 - Q16</t>
  </si>
  <si>
    <t>M12 - Q14</t>
  </si>
  <si>
    <t>Q9 - M17</t>
  </si>
  <si>
    <t>Q11 - M15</t>
  </si>
  <si>
    <t>M2 - Q24</t>
  </si>
  <si>
    <t>M4 - Q22</t>
  </si>
  <si>
    <t>Q25 - M1</t>
  </si>
  <si>
    <t>M19 - Q6</t>
  </si>
  <si>
    <t>FISTF Order</t>
  </si>
  <si>
    <t>Nb Buts Max</t>
  </si>
  <si>
    <t>Score Max</t>
  </si>
  <si>
    <t>Max Score</t>
  </si>
  <si>
    <t>Perdant</t>
  </si>
  <si>
    <t>Loser</t>
  </si>
  <si>
    <t>Max Nb Goals</t>
  </si>
  <si>
    <t>Applicable</t>
  </si>
  <si>
    <t>Afganistán</t>
  </si>
  <si>
    <t>Afganistan</t>
  </si>
  <si>
    <t>Belgio</t>
  </si>
  <si>
    <t>Bélgica</t>
  </si>
  <si>
    <t>Canadá</t>
  </si>
  <si>
    <t>Brasil</t>
  </si>
  <si>
    <t>Brasile</t>
  </si>
  <si>
    <t>Croacia</t>
  </si>
  <si>
    <t>Chipre</t>
  </si>
  <si>
    <t>República Checa</t>
  </si>
  <si>
    <t>Repubblica ceca</t>
  </si>
  <si>
    <t>Dinamarca</t>
  </si>
  <si>
    <t>Danimarca</t>
  </si>
  <si>
    <t>Cina</t>
  </si>
  <si>
    <t>Cile</t>
  </si>
  <si>
    <t>Croazia</t>
  </si>
  <si>
    <t>Cipro</t>
  </si>
  <si>
    <t>Inglaterra</t>
  </si>
  <si>
    <t>Inghilterra</t>
  </si>
  <si>
    <t>Bienvenue dans GMFT
l'outil de Gestion des Matches de 
Football de Table</t>
  </si>
  <si>
    <t>The football passion at fingertips !</t>
  </si>
  <si>
    <t>La passion du football au bout des doigts !</t>
  </si>
  <si>
    <t>Cet outil logiciel vous est mis à disposition gratieusement par Roger Trouillard.
Le bon fonctionnement de ce logiciel n'est pas garanti. De même, l'auteur ne saurait être responsable des anomalies ou dégradations qui résulteraient de l'utilisation de ce logiciel.</t>
  </si>
  <si>
    <t>Accueil GMFT</t>
  </si>
  <si>
    <t>GMFT Welcome</t>
  </si>
  <si>
    <t>Welcome in GMFT
the tool to manage
Table Football Tournaments</t>
  </si>
  <si>
    <t>This software is provided AS IS and free of charge.
This software is not warranty.
The author, Roger Trouillard, is not responsible of any damage due to the use of this software.</t>
  </si>
  <si>
    <t>En imprimant les résultats</t>
  </si>
  <si>
    <t>By printing results</t>
  </si>
  <si>
    <t xml:space="preserve">Visualiser et décaler les sauts de pages avant d'imprimer </t>
  </si>
  <si>
    <t>Visualizing and shifting page breaks before printing</t>
  </si>
  <si>
    <t>Lancer l'impression</t>
  </si>
  <si>
    <t>Start printing</t>
  </si>
  <si>
    <t>Vue normale</t>
  </si>
  <si>
    <t>Normal View</t>
  </si>
  <si>
    <t>Event date</t>
  </si>
  <si>
    <t>Masquer l'affichage des formules des joueurs en l'absence de scores</t>
  </si>
  <si>
    <t>Hide display of player formulas without score</t>
  </si>
  <si>
    <t>rere</t>
  </si>
  <si>
    <t>ruru</t>
  </si>
  <si>
    <t>Si besoin définir les équipes de la compétition</t>
  </si>
  <si>
    <t>If necessary, define teams of the event</t>
  </si>
  <si>
    <t>Si besoin définir les doubles de la compétition</t>
  </si>
  <si>
    <t>If necessary, define doubles of the event</t>
  </si>
  <si>
    <t>Check in registrations and participations to different events</t>
  </si>
  <si>
    <t>Exporter le planning</t>
  </si>
  <si>
    <t>Planning Export</t>
  </si>
  <si>
    <t>Première session de planning à exporter</t>
  </si>
  <si>
    <t>First planning session to export</t>
  </si>
  <si>
    <t>Nombre de sessions de planning à exporter</t>
  </si>
  <si>
    <t>Number of planning sessio to export</t>
  </si>
  <si>
    <t>Session de départ</t>
  </si>
  <si>
    <t>Starting session</t>
  </si>
  <si>
    <t>Nombre de sessions</t>
  </si>
  <si>
    <t>Number of sessions</t>
  </si>
  <si>
    <t>Paramètres pour l'export du planning</t>
  </si>
  <si>
    <t>Planning export parameters</t>
  </si>
  <si>
    <t>Parameters for planning export</t>
  </si>
  <si>
    <t>Paramètres d'export du planning</t>
  </si>
  <si>
    <t>Numéro de session de départ</t>
  </si>
  <si>
    <t>Start session number</t>
  </si>
  <si>
    <t>Nombre de sessions à exporter</t>
  </si>
  <si>
    <t>Number of sessions to export</t>
  </si>
  <si>
    <t>Numéro de session invalide</t>
  </si>
  <si>
    <t>Invalid session number</t>
  </si>
  <si>
    <t>Feuille de Match</t>
  </si>
  <si>
    <t>Scoresheet</t>
  </si>
  <si>
    <t>Nice to have</t>
  </si>
  <si>
    <t>Générer feuilles de match</t>
  </si>
  <si>
    <t>Scoresheets generation</t>
  </si>
  <si>
    <t>No event created previously to print !</t>
  </si>
  <si>
    <t>Créer au préalable une compétition avant de lancer l'impression !</t>
  </si>
  <si>
    <t>Fonctionnalité non encore disponible.</t>
  </si>
  <si>
    <t>Function not yet available.</t>
  </si>
  <si>
    <t>Criteria on players ranking</t>
  </si>
  <si>
    <t>Mode de Calcul</t>
  </si>
  <si>
    <t>Calculation Mode</t>
  </si>
  <si>
    <t>Referee with hour</t>
  </si>
  <si>
    <t>FISTF export fields</t>
  </si>
  <si>
    <t>1/64 DE FINALE</t>
  </si>
  <si>
    <t>LAST 128</t>
  </si>
  <si>
    <t>1/128 DE FINALE</t>
  </si>
  <si>
    <t>LAST 256</t>
  </si>
  <si>
    <t>#F32</t>
  </si>
  <si>
    <t>#F64</t>
  </si>
  <si>
    <t>#F128</t>
  </si>
  <si>
    <t>64ème de Finale</t>
  </si>
  <si>
    <t>32ème de Finale</t>
  </si>
  <si>
    <t>Tirage au sort intégral</t>
  </si>
  <si>
    <t>Full drawing of lots</t>
  </si>
  <si>
    <t>Supprmier cette feuille</t>
  </si>
  <si>
    <t>Delete this sheet</t>
  </si>
  <si>
    <t>Le fichier sélectionné n'est semble-t-il pas un fichier de classement FISTF. Si ce n'est pas le cas, il se peut que le format du fichier ait changé et qu'il faille modifier la fonction d'import; contacter dans ce cas le support GMFT.</t>
  </si>
  <si>
    <t>Nombre total de joueurs classés</t>
  </si>
  <si>
    <t>Nombre total de lignes de classement</t>
  </si>
  <si>
    <t>Total number of ranked players</t>
  </si>
  <si>
    <t>Total number of ranking lines</t>
  </si>
  <si>
    <t>Players Ranking</t>
  </si>
  <si>
    <t>Importer le fichier de classement FISTF</t>
  </si>
  <si>
    <t>Import the FISTF ranking file</t>
  </si>
  <si>
    <t>Q5 - M22</t>
  </si>
  <si>
    <t>Q7 - M20</t>
  </si>
  <si>
    <t>Q21 - M5</t>
  </si>
  <si>
    <t>Q23 - M3</t>
  </si>
  <si>
    <t>M14 - Q12</t>
  </si>
  <si>
    <t>M16 - Q10</t>
  </si>
  <si>
    <t>Q13 - M13</t>
  </si>
  <si>
    <t>Q15 - M11</t>
  </si>
  <si>
    <t>M6 - Q20</t>
  </si>
  <si>
    <t>M8 - Q18</t>
  </si>
  <si>
    <t>M21 - Q4</t>
  </si>
  <si>
    <t>Q1 - M25</t>
  </si>
  <si>
    <t>Q3 - M23</t>
  </si>
  <si>
    <t>Q17 - M10</t>
  </si>
  <si>
    <t>Q19 - M8</t>
  </si>
  <si>
    <t>M11 - Q16</t>
  </si>
  <si>
    <t>M13 - Q14</t>
  </si>
  <si>
    <t>Q9 - M18</t>
  </si>
  <si>
    <t>Q11 - M16</t>
  </si>
  <si>
    <t>M3 - Q24</t>
  </si>
  <si>
    <t>M5 - Q22</t>
  </si>
  <si>
    <t>Q25 - M2</t>
  </si>
  <si>
    <t>M19 - Q8</t>
  </si>
  <si>
    <t>M22 - Q6</t>
  </si>
  <si>
    <t>Q5 - M21</t>
  </si>
  <si>
    <t>M1 - Q26</t>
  </si>
  <si>
    <t>Q21 - M6</t>
  </si>
  <si>
    <t>Q23 - M4</t>
  </si>
  <si>
    <t>M17 - Q10</t>
  </si>
  <si>
    <t>Q13 - M14</t>
  </si>
  <si>
    <t>Q15 - M12</t>
  </si>
  <si>
    <t>M7 - Q20</t>
  </si>
  <si>
    <t>M9 - Q18</t>
  </si>
  <si>
    <t>M24 - Q4</t>
  </si>
  <si>
    <t>M26 - Q2</t>
  </si>
  <si>
    <t>Q1 - M26</t>
  </si>
  <si>
    <t>Q17 - M11</t>
  </si>
  <si>
    <t>Q19 - M9</t>
  </si>
  <si>
    <t>M12 - Q16</t>
  </si>
  <si>
    <t>M14 - Q14</t>
  </si>
  <si>
    <t>Q9 - M19</t>
  </si>
  <si>
    <t>Q11 - M17</t>
  </si>
  <si>
    <t>M4 - Q24</t>
  </si>
  <si>
    <t>M6 - Q22</t>
  </si>
  <si>
    <t>Q25 - M3</t>
  </si>
  <si>
    <t>Q27 - M1</t>
  </si>
  <si>
    <t>M20 - Q8</t>
  </si>
  <si>
    <t>Q5 - M25</t>
  </si>
  <si>
    <t>Q7 - M21</t>
  </si>
  <si>
    <t>M2 - Q26</t>
  </si>
  <si>
    <t>Q21 - M7</t>
  </si>
  <si>
    <t>Q23 - M5</t>
  </si>
  <si>
    <t>M16 - Q12</t>
  </si>
  <si>
    <t>M18 - Q10</t>
  </si>
  <si>
    <t>Q13 - M15</t>
  </si>
  <si>
    <t>Q15 - M13</t>
  </si>
  <si>
    <t>M8 - Q20</t>
  </si>
  <si>
    <t>M10 - Q18</t>
  </si>
  <si>
    <t>M27 - Q4</t>
  </si>
  <si>
    <t>Q1 - M27</t>
  </si>
  <si>
    <t>Q17 - M12</t>
  </si>
  <si>
    <t>Q19 - M10</t>
  </si>
  <si>
    <t>M13 - Q16</t>
  </si>
  <si>
    <t>M15 - Q14</t>
  </si>
  <si>
    <t>Q9 - M20</t>
  </si>
  <si>
    <t>Q11 - M18</t>
  </si>
  <si>
    <t>M5 - Q24</t>
  </si>
  <si>
    <t>M7 - Q22</t>
  </si>
  <si>
    <t>Q25 - M4</t>
  </si>
  <si>
    <t>Q27 - M2</t>
  </si>
  <si>
    <t>M21 - Q8</t>
  </si>
  <si>
    <t>M23 - Q6</t>
  </si>
  <si>
    <t>Q5 - M24</t>
  </si>
  <si>
    <t>Q7 - M22</t>
  </si>
  <si>
    <t>M1 - Q28</t>
  </si>
  <si>
    <t>M3 - Q26</t>
  </si>
  <si>
    <t>Q21 - M8</t>
  </si>
  <si>
    <t>Q23 - M6</t>
  </si>
  <si>
    <t>M17 - Q12</t>
  </si>
  <si>
    <t>M19 - Q10</t>
  </si>
  <si>
    <t>Q13 - M16</t>
  </si>
  <si>
    <t>Q15 - M14</t>
  </si>
  <si>
    <t>M9 - Q20</t>
  </si>
  <si>
    <t>M11 - Q18</t>
  </si>
  <si>
    <t>M26 - Q4</t>
  </si>
  <si>
    <t>M28 - Q2</t>
  </si>
  <si>
    <t>Q1 - M28</t>
  </si>
  <si>
    <t>Q3 - M29</t>
  </si>
  <si>
    <t>Q17 - M13</t>
  </si>
  <si>
    <t>Q19 - M11</t>
  </si>
  <si>
    <t>M14 - Q16</t>
  </si>
  <si>
    <t>M16 - Q14</t>
  </si>
  <si>
    <t>Q9 - M21</t>
  </si>
  <si>
    <t>Q11 - M19</t>
  </si>
  <si>
    <t>M6 - Q24</t>
  </si>
  <si>
    <t>M8 - Q22</t>
  </si>
  <si>
    <t>Q25 - M5</t>
  </si>
  <si>
    <t>Q27 - M3</t>
  </si>
  <si>
    <t>M22 - Q8</t>
  </si>
  <si>
    <t>M24 - Q6</t>
  </si>
  <si>
    <t>Q7 - M23</t>
  </si>
  <si>
    <t>M2 - Q28</t>
  </si>
  <si>
    <t>M4 - Q26</t>
  </si>
  <si>
    <t>Q21 - M9</t>
  </si>
  <si>
    <t>Q23 - M7</t>
  </si>
  <si>
    <t>M18 - Q12</t>
  </si>
  <si>
    <t>M20 - Q10</t>
  </si>
  <si>
    <t>Q13 - M17</t>
  </si>
  <si>
    <t>Q15 - M15</t>
  </si>
  <si>
    <t>M10 - Q20</t>
  </si>
  <si>
    <t>M12 - Q18</t>
  </si>
  <si>
    <t>Q29 - M1</t>
  </si>
  <si>
    <t>M26 –Q4</t>
  </si>
  <si>
    <t>M27 - Q2</t>
  </si>
  <si>
    <t>Q1 - M29</t>
  </si>
  <si>
    <t>Q3 - M28</t>
  </si>
  <si>
    <t>M1 - Q30</t>
  </si>
  <si>
    <t>Q17 - M14</t>
  </si>
  <si>
    <t>Q19 - M12</t>
  </si>
  <si>
    <t>M15 - Q16</t>
  </si>
  <si>
    <t>M17 - Q14</t>
  </si>
  <si>
    <t>Q9 - M22</t>
  </si>
  <si>
    <t>Q11 - M20</t>
  </si>
  <si>
    <t>M7 - Q24</t>
  </si>
  <si>
    <t>Q25 - M6</t>
  </si>
  <si>
    <t>Q27 - M4</t>
  </si>
  <si>
    <t>M23 - Q8</t>
  </si>
  <si>
    <t>M25 - Q6</t>
  </si>
  <si>
    <t>Q5 - M26</t>
  </si>
  <si>
    <t>Q7 - M24</t>
  </si>
  <si>
    <t>M3 - Q28</t>
  </si>
  <si>
    <t>M5 - Q26</t>
  </si>
  <si>
    <t>Q21 - M10</t>
  </si>
  <si>
    <t>Q23 - M8</t>
  </si>
  <si>
    <t>M19 - Q12</t>
  </si>
  <si>
    <t>M21 - Q10</t>
  </si>
  <si>
    <t>Q13 - M18</t>
  </si>
  <si>
    <t>Q15 - M16</t>
  </si>
  <si>
    <t>M11 - Q20</t>
  </si>
  <si>
    <t>M13 - Q18</t>
  </si>
  <si>
    <t>Q29 - M2</t>
  </si>
  <si>
    <t>M30 - Q2</t>
  </si>
  <si>
    <t>Q1 - M30</t>
  </si>
  <si>
    <t>M2 - Q30</t>
  </si>
  <si>
    <t>Q17 - M15</t>
  </si>
  <si>
    <t>Q19 - M13</t>
  </si>
  <si>
    <t>M16 - Q16</t>
  </si>
  <si>
    <t>M18 - Q14</t>
  </si>
  <si>
    <t>Q9 - M23</t>
  </si>
  <si>
    <t>Q11 - M21</t>
  </si>
  <si>
    <t>M8 - Q24</t>
  </si>
  <si>
    <t>M10 - Q22</t>
  </si>
  <si>
    <t>Q25 - M7</t>
  </si>
  <si>
    <t>Q27 - M5</t>
  </si>
  <si>
    <t>M24 - Q8</t>
  </si>
  <si>
    <t>M26 - Q6</t>
  </si>
  <si>
    <t>Q5 - M27</t>
  </si>
  <si>
    <t>Q7 - M25</t>
  </si>
  <si>
    <t>M4 - Q28</t>
  </si>
  <si>
    <t>M6 - Q26</t>
  </si>
  <si>
    <t>Q21 - M11</t>
  </si>
  <si>
    <t>Q23 - M9</t>
  </si>
  <si>
    <t>M20 - Q12</t>
  </si>
  <si>
    <t>M22 - Q10</t>
  </si>
  <si>
    <t>Q13 - M19</t>
  </si>
  <si>
    <t>Q15 - M17</t>
  </si>
  <si>
    <t>M12 - Q20</t>
  </si>
  <si>
    <t>M14 - Q18</t>
  </si>
  <si>
    <t>Q29 - M3</t>
  </si>
  <si>
    <t>Q31 - M1</t>
  </si>
  <si>
    <t>M28 - Q4</t>
  </si>
  <si>
    <t>M31 - Q2</t>
  </si>
  <si>
    <t>Q1 - M32</t>
  </si>
  <si>
    <t>Q3 - M30</t>
  </si>
  <si>
    <t>M1 - Q32</t>
  </si>
  <si>
    <t>M3 - Q30</t>
  </si>
  <si>
    <t>Q17 - M16</t>
  </si>
  <si>
    <t>Q19 - M14</t>
  </si>
  <si>
    <t>M17 - Q16</t>
  </si>
  <si>
    <t>M19 - Q14</t>
  </si>
  <si>
    <t>Q9 - M24</t>
  </si>
  <si>
    <t>Q11 - M22</t>
  </si>
  <si>
    <t>M9 - Q24</t>
  </si>
  <si>
    <t>M11 - Q22</t>
  </si>
  <si>
    <t>Q25 - M8</t>
  </si>
  <si>
    <t>Q27 - M6</t>
  </si>
  <si>
    <t>M25 - Q8</t>
  </si>
  <si>
    <t>M27 - Q6</t>
  </si>
  <si>
    <t>Q5 - M28</t>
  </si>
  <si>
    <t>Q7 - M26</t>
  </si>
  <si>
    <t>M5 - Q28</t>
  </si>
  <si>
    <t>M7 - Q26</t>
  </si>
  <si>
    <t>Q21 - M12</t>
  </si>
  <si>
    <t>Q23 - M10</t>
  </si>
  <si>
    <t>M21 - Q12</t>
  </si>
  <si>
    <t>M23 - Q10</t>
  </si>
  <si>
    <t>Q13 - M20</t>
  </si>
  <si>
    <t>Q15 - M18</t>
  </si>
  <si>
    <t>M13 - Q20</t>
  </si>
  <si>
    <t>M15 - Q18</t>
  </si>
  <si>
    <t>Q29 - M4</t>
  </si>
  <si>
    <t>Q31 - M2</t>
  </si>
  <si>
    <t>M29 - Q4</t>
  </si>
  <si>
    <t>Organisation des matches avec priorité aux poules de 4</t>
  </si>
  <si>
    <t>Organisation of matches with mainly groups of 4</t>
  </si>
  <si>
    <t>Organisation des matches avec priorité aux poules de 3</t>
  </si>
  <si>
    <t>Organisation of matches with mainly groups of 3</t>
  </si>
  <si>
    <t>Formules de compétition FISTF</t>
  </si>
  <si>
    <t>FISTF competition formulas</t>
  </si>
  <si>
    <t>Formules de compétition non officielles</t>
  </si>
  <si>
    <t>Unofficial competition formulas</t>
  </si>
  <si>
    <t>M1 13A - 7B</t>
  </si>
  <si>
    <t>M2 14A - 8B</t>
  </si>
  <si>
    <t>M3 15A - 9B</t>
  </si>
  <si>
    <t>M4 16A - 10B</t>
  </si>
  <si>
    <t>M5 17A - 11B</t>
  </si>
  <si>
    <t>M6 18A - 12B</t>
  </si>
  <si>
    <t>M7 19A - 13B</t>
  </si>
  <si>
    <t>M8 20A - 14B</t>
  </si>
  <si>
    <t>M9 21A - 15B</t>
  </si>
  <si>
    <t>M10 22A - 16B</t>
  </si>
  <si>
    <t>M11 23A - 17B</t>
  </si>
  <si>
    <t>M12 24A - 18B</t>
  </si>
  <si>
    <t>M13 25A - 19B</t>
  </si>
  <si>
    <t>M14 26A - 20B</t>
  </si>
  <si>
    <t>M15 1B - 21B</t>
  </si>
  <si>
    <t>M16 2B - 22B</t>
  </si>
  <si>
    <t>M17 3B - 23B</t>
  </si>
  <si>
    <t>M18 4B - 24B</t>
  </si>
  <si>
    <t>M19 5B - 25B</t>
  </si>
  <si>
    <t>M20 6B - 26B</t>
  </si>
  <si>
    <t>1A - M20</t>
  </si>
  <si>
    <t>9A - M12</t>
  </si>
  <si>
    <t>M13 - 8A</t>
  </si>
  <si>
    <t>5A - M16</t>
  </si>
  <si>
    <t>M9 - 12A</t>
  </si>
  <si>
    <t>M17 - 4A</t>
  </si>
  <si>
    <t>3A - M18</t>
  </si>
  <si>
    <t>11A - M10</t>
  </si>
  <si>
    <t>M15 - 6A</t>
  </si>
  <si>
    <t>7A - M14</t>
  </si>
  <si>
    <t>M11 - 10A</t>
  </si>
  <si>
    <t>M19 - 2A</t>
  </si>
  <si>
    <t>M12 22A - 17B</t>
  </si>
  <si>
    <t>M15 25A - 20B</t>
  </si>
  <si>
    <t>M16 26A - 21B</t>
  </si>
  <si>
    <t>M3 13A - 8B</t>
  </si>
  <si>
    <t>M4 14A - 9B</t>
  </si>
  <si>
    <t>M5 15A - 10B</t>
  </si>
  <si>
    <t>M8 18A - 13B</t>
  </si>
  <si>
    <t>M11 21A - 16B</t>
  </si>
  <si>
    <t>M1 9A - 5B</t>
  </si>
  <si>
    <t>M2 10A - 6B</t>
  </si>
  <si>
    <t>M3 11A - 7B</t>
  </si>
  <si>
    <t>M4 12A - 8B</t>
  </si>
  <si>
    <t>M5 13A - 9B</t>
  </si>
  <si>
    <t>M6 14A - 10B</t>
  </si>
  <si>
    <t>M7 15A - 11B</t>
  </si>
  <si>
    <t>M8 16A - 12B</t>
  </si>
  <si>
    <t>M9 17A - 13B</t>
  </si>
  <si>
    <t>M10 18A - 14B</t>
  </si>
  <si>
    <t>M11 19A - 15B</t>
  </si>
  <si>
    <t>M12 20A - 16B</t>
  </si>
  <si>
    <t>M13 21A - 17B</t>
  </si>
  <si>
    <t>M14 22A - 18B</t>
  </si>
  <si>
    <t>M15 23A - 19B</t>
  </si>
  <si>
    <t>M16 24A - 20B</t>
  </si>
  <si>
    <t>M17 25A - 21B</t>
  </si>
  <si>
    <t>M18 26A - 22B</t>
  </si>
  <si>
    <t>M19 27A - 23B</t>
  </si>
  <si>
    <t>M20 28A - 24B</t>
  </si>
  <si>
    <t>Qualified Players</t>
  </si>
  <si>
    <t>Play Off Matches</t>
  </si>
  <si>
    <t>Nb Last Players</t>
  </si>
  <si>
    <t>Total Nb Groups</t>
  </si>
  <si>
    <t>Last xx Matches</t>
  </si>
  <si>
    <t>Formules des matches</t>
  </si>
  <si>
    <t>Match formulas</t>
  </si>
  <si>
    <t>Nb Joueurs pré-qualifiés</t>
  </si>
  <si>
    <t>Nb Matches de barrages</t>
  </si>
  <si>
    <t>Nb Joueurs phase finale</t>
  </si>
  <si>
    <t>Nb Players</t>
  </si>
  <si>
    <t>Nb Poules de …</t>
  </si>
  <si>
    <t>Nb Total de Poules</t>
  </si>
  <si>
    <t>Matches 1ère phase finale</t>
  </si>
  <si>
    <t>Série</t>
  </si>
  <si>
    <t>Serie</t>
  </si>
  <si>
    <t>Le nombre minimum de participants est de 3 pour une compétition par poules de 3.</t>
  </si>
  <si>
    <t>Le nombre minimum de participants est de 4 pour une compétition par poules de 4.</t>
  </si>
  <si>
    <t>The minimum number of players is 4 when event is based on groups of 4</t>
  </si>
  <si>
    <t>The minimum number of players is 3 when event is based on groups of 3</t>
  </si>
  <si>
    <t>System Error : Match formula not found. Contact support</t>
  </si>
  <si>
    <t>Erreur système : la formule de match n'a pas été trouvée. Contacter le support</t>
  </si>
  <si>
    <t>1/32 DE FINALE</t>
  </si>
  <si>
    <t>LAST 64</t>
  </si>
  <si>
    <t>LAST 32</t>
  </si>
  <si>
    <t>LAST 16</t>
  </si>
  <si>
    <t>M1 27B - 30B</t>
  </si>
  <si>
    <t>M2 28B - 31B</t>
  </si>
  <si>
    <t>30A - 29A</t>
  </si>
  <si>
    <t>32A - 27A</t>
  </si>
  <si>
    <t>M3 29B - 32B</t>
  </si>
  <si>
    <t>14A - 15B</t>
  </si>
  <si>
    <t>16A - 12B</t>
  </si>
  <si>
    <t>16B - 13A</t>
  </si>
  <si>
    <t>13B - 11A</t>
  </si>
  <si>
    <t>6A - 22B</t>
  </si>
  <si>
    <t>8A - 20B</t>
  </si>
  <si>
    <t>5B - 21A</t>
  </si>
  <si>
    <t>7B - 19A</t>
  </si>
  <si>
    <t>22A - 8B</t>
  </si>
  <si>
    <t>24A - 4B</t>
  </si>
  <si>
    <t>21B - 5A</t>
  </si>
  <si>
    <t>23B - 3A</t>
  </si>
  <si>
    <t>2A - 26B</t>
  </si>
  <si>
    <t>4A - 24B</t>
  </si>
  <si>
    <t>1B - 25A</t>
  </si>
  <si>
    <t>3B - 23A</t>
  </si>
  <si>
    <t>18A - 10B</t>
  </si>
  <si>
    <t>20A - 6B</t>
  </si>
  <si>
    <t>17B - 9A</t>
  </si>
  <si>
    <t>19B - 7A</t>
  </si>
  <si>
    <t>10A - 18B</t>
  </si>
  <si>
    <t>12A - 14B</t>
  </si>
  <si>
    <t>9B - 17A</t>
  </si>
  <si>
    <t>11B - 15A</t>
  </si>
  <si>
    <t>26A - 2B</t>
  </si>
  <si>
    <t>28A - 31A</t>
  </si>
  <si>
    <t>25B - 1A</t>
  </si>
  <si>
    <t>M1 25B - 29B</t>
  </si>
  <si>
    <t>M2 26B - 30B</t>
  </si>
  <si>
    <t>29A - 28A</t>
  </si>
  <si>
    <t>31A - 26A</t>
  </si>
  <si>
    <t>M3 27B - 31B</t>
  </si>
  <si>
    <t>13A - 11B</t>
  </si>
  <si>
    <t>15A - 9B</t>
  </si>
  <si>
    <t>M4 28B - 32B</t>
  </si>
  <si>
    <t>14B - 12A</t>
  </si>
  <si>
    <t>16B - 10A</t>
  </si>
  <si>
    <t>5A - 19B</t>
  </si>
  <si>
    <t>7A - 17B</t>
  </si>
  <si>
    <t>6B - 20A</t>
  </si>
  <si>
    <t>8B - 18A</t>
  </si>
  <si>
    <t>21A - 3B</t>
  </si>
  <si>
    <t>23A - 1B</t>
  </si>
  <si>
    <t>22B - 4A</t>
  </si>
  <si>
    <t>24B - 2A</t>
  </si>
  <si>
    <t>1A - 23B</t>
  </si>
  <si>
    <t>3A - 21B</t>
  </si>
  <si>
    <t>2B - 24A</t>
  </si>
  <si>
    <t>4B - 22A</t>
  </si>
  <si>
    <t>17A - 7B</t>
  </si>
  <si>
    <t>19A - 5B</t>
  </si>
  <si>
    <t>18B - 8A</t>
  </si>
  <si>
    <t>20B - 6A</t>
  </si>
  <si>
    <t>9A - 15B</t>
  </si>
  <si>
    <t>11A - 13B</t>
  </si>
  <si>
    <t>10B - 16A</t>
  </si>
  <si>
    <t>12B - 14A</t>
  </si>
  <si>
    <t>25A - 32A</t>
  </si>
  <si>
    <t>27A - 30A</t>
  </si>
  <si>
    <t>M1 23B - 28B</t>
  </si>
  <si>
    <t>M2 24B - 29B</t>
  </si>
  <si>
    <t>28A - 27A</t>
  </si>
  <si>
    <t>30A - 25A</t>
  </si>
  <si>
    <t>M3 25B - 30B</t>
  </si>
  <si>
    <t>12A - 9B</t>
  </si>
  <si>
    <t>14A - 11B</t>
  </si>
  <si>
    <t>M4 26B - 31B</t>
  </si>
  <si>
    <t>10B - 11A</t>
  </si>
  <si>
    <t>16B - 9A</t>
  </si>
  <si>
    <t>M5 27B - 32B</t>
  </si>
  <si>
    <t>4A - 17B</t>
  </si>
  <si>
    <t>6A - 19B</t>
  </si>
  <si>
    <t>2B - 19A</t>
  </si>
  <si>
    <t>8B - 17A</t>
  </si>
  <si>
    <t>20A - 1B</t>
  </si>
  <si>
    <t>22A - 3B</t>
  </si>
  <si>
    <t>18B - 3A</t>
  </si>
  <si>
    <t>M2 - 1A</t>
  </si>
  <si>
    <t>32A - 23A</t>
  </si>
  <si>
    <t>4B - 21A</t>
  </si>
  <si>
    <t>16A - 5B</t>
  </si>
  <si>
    <t>18A - 7B</t>
  </si>
  <si>
    <t>14B - 7A</t>
  </si>
  <si>
    <t>20B - 5A</t>
  </si>
  <si>
    <t>8A - 13B</t>
  </si>
  <si>
    <t>10A - 15B</t>
  </si>
  <si>
    <t>6B - 15A</t>
  </si>
  <si>
    <t>12B - 13A</t>
  </si>
  <si>
    <t>24A - 31A</t>
  </si>
  <si>
    <t>26A - 29A</t>
  </si>
  <si>
    <t>M1 21B - 27B</t>
  </si>
  <si>
    <t>M2 22B - 28B</t>
  </si>
  <si>
    <t>27A - 26A</t>
  </si>
  <si>
    <t>29A - 24A</t>
  </si>
  <si>
    <t>M3 23B - 29B</t>
  </si>
  <si>
    <t>11A - 9B</t>
  </si>
  <si>
    <t>13A - 7B</t>
  </si>
  <si>
    <t>M4 24B - 30B</t>
  </si>
  <si>
    <t>12B - 10A</t>
  </si>
  <si>
    <t>14B - 8A</t>
  </si>
  <si>
    <t>M5 25B - 31B</t>
  </si>
  <si>
    <t>3A - 17B</t>
  </si>
  <si>
    <t>5A - 15B</t>
  </si>
  <si>
    <t>M6 26B - 32B</t>
  </si>
  <si>
    <t>4B - 18A</t>
  </si>
  <si>
    <t>6B - 16A</t>
  </si>
  <si>
    <t>19A - 1B</t>
  </si>
  <si>
    <t>21A - 32A</t>
  </si>
  <si>
    <t>20B - 2A</t>
  </si>
  <si>
    <t>1A - 19B</t>
  </si>
  <si>
    <t>31A - 22A</t>
  </si>
  <si>
    <t>2B - 20A</t>
  </si>
  <si>
    <t>15A - 5B</t>
  </si>
  <si>
    <t>17A - 3B</t>
  </si>
  <si>
    <t>16B - 6A</t>
  </si>
  <si>
    <t>18B - 4A</t>
  </si>
  <si>
    <t>7A - 13B</t>
  </si>
  <si>
    <t>9A - 11B</t>
  </si>
  <si>
    <t>8B - 14A</t>
  </si>
  <si>
    <t>10B - 12A</t>
  </si>
  <si>
    <t>23A - 30A</t>
  </si>
  <si>
    <t>25A - 28A</t>
  </si>
  <si>
    <t>M1 19B - 26B</t>
  </si>
  <si>
    <t>M2 20B - 27B</t>
  </si>
  <si>
    <t>26A - 25A</t>
  </si>
  <si>
    <t>28A - 23A</t>
  </si>
  <si>
    <t>M3 21B - 28B</t>
  </si>
  <si>
    <t>10A - 11B</t>
  </si>
  <si>
    <t>12A - 5B</t>
  </si>
  <si>
    <t>M4 22B - 29B</t>
  </si>
  <si>
    <t>12B - 9A</t>
  </si>
  <si>
    <t>10B - 7A</t>
  </si>
  <si>
    <t>M5 23B - 30B</t>
  </si>
  <si>
    <t>4A - 13B</t>
  </si>
  <si>
    <t>M6 24B - 31B</t>
  </si>
  <si>
    <t>4B - 17A</t>
  </si>
  <si>
    <t>2B - 15A</t>
  </si>
  <si>
    <t>M7 25B - 32B</t>
  </si>
  <si>
    <t>18A - 3B</t>
  </si>
  <si>
    <t>20A - 31A</t>
  </si>
  <si>
    <t>30A - 21A</t>
  </si>
  <si>
    <t>32A - 19A</t>
  </si>
  <si>
    <t>14A - 7B</t>
  </si>
  <si>
    <t>16A - 1B</t>
  </si>
  <si>
    <t>16B - 5A</t>
  </si>
  <si>
    <t>14B - 3A</t>
  </si>
  <si>
    <t>6A - 15B</t>
  </si>
  <si>
    <t>8A - 9B</t>
  </si>
  <si>
    <t>8B - 13A</t>
  </si>
  <si>
    <t>6B - 11A</t>
  </si>
  <si>
    <t>22A - 29A</t>
  </si>
  <si>
    <t>24A - 27A</t>
  </si>
  <si>
    <t>M1 17B - 25B</t>
  </si>
  <si>
    <t>M2 18B - 26B</t>
  </si>
  <si>
    <t>25A - 24A</t>
  </si>
  <si>
    <t>27A - 22A</t>
  </si>
  <si>
    <t>M3 19B - 27B</t>
  </si>
  <si>
    <t>M4 20B - 28B</t>
  </si>
  <si>
    <t>M5 21B - 28B</t>
  </si>
  <si>
    <t>M6 22B - 29B</t>
  </si>
  <si>
    <t>M7 23B - 30B</t>
  </si>
  <si>
    <t>17A - 32A</t>
  </si>
  <si>
    <t>19A - 30A</t>
  </si>
  <si>
    <t>M8 24B - 31B</t>
  </si>
  <si>
    <t>29A - 20A</t>
  </si>
  <si>
    <t>31A - 18A</t>
  </si>
  <si>
    <t>21A - 28A</t>
  </si>
  <si>
    <t>23A - 26A</t>
  </si>
  <si>
    <t>M1 15B - 24B</t>
  </si>
  <si>
    <t>M2 16B - 25B</t>
  </si>
  <si>
    <t>24A - 23A</t>
  </si>
  <si>
    <t>26A - 21A</t>
  </si>
  <si>
    <t>M3 17B - 26B</t>
  </si>
  <si>
    <t>8A - 5B</t>
  </si>
  <si>
    <t>10A - 7B</t>
  </si>
  <si>
    <t>M4 18B - 27B</t>
  </si>
  <si>
    <t>6B - 7A</t>
  </si>
  <si>
    <t>12B - 5A</t>
  </si>
  <si>
    <t>M5 19B - 28B</t>
  </si>
  <si>
    <t>2A - 14B</t>
  </si>
  <si>
    <t>M6 20B - 29B</t>
  </si>
  <si>
    <t>32A - 15A</t>
  </si>
  <si>
    <t>4B - 13A</t>
  </si>
  <si>
    <t>M7 21B - 30B</t>
  </si>
  <si>
    <t>16A - 31A</t>
  </si>
  <si>
    <t>18A - 29A</t>
  </si>
  <si>
    <t>M8 22B - 31B</t>
  </si>
  <si>
    <t>M9 23B - 32B</t>
  </si>
  <si>
    <t>28A - 19A</t>
  </si>
  <si>
    <t>30A - 17A</t>
  </si>
  <si>
    <t>12A - 1B</t>
  </si>
  <si>
    <t>14A - 3B</t>
  </si>
  <si>
    <t>10B - 3A</t>
  </si>
  <si>
    <t>13B - 1A</t>
  </si>
  <si>
    <t>4A - 9B</t>
  </si>
  <si>
    <t>6A - 11B</t>
  </si>
  <si>
    <t>2B - 11A</t>
  </si>
  <si>
    <t>8B - 9A</t>
  </si>
  <si>
    <t>20A - 27A</t>
  </si>
  <si>
    <t>22A - 25A</t>
  </si>
  <si>
    <t>M1 13B - 23B</t>
  </si>
  <si>
    <t>M2 14B - 24B</t>
  </si>
  <si>
    <t>23A - 22A</t>
  </si>
  <si>
    <t>25A - 20A</t>
  </si>
  <si>
    <t>M3 15B - 25B</t>
  </si>
  <si>
    <t>7A - 5B</t>
  </si>
  <si>
    <t>M4 16B - 26B</t>
  </si>
  <si>
    <t>8B - 6A</t>
  </si>
  <si>
    <t>10B - 4A</t>
  </si>
  <si>
    <t>M5 17B - 27B</t>
  </si>
  <si>
    <t>1A - 11B</t>
  </si>
  <si>
    <t>M6 18B - 28B</t>
  </si>
  <si>
    <t>31A - 14A</t>
  </si>
  <si>
    <t>M7 19B - 29B</t>
  </si>
  <si>
    <t>15A - 30A</t>
  </si>
  <si>
    <t>17A - 28A</t>
  </si>
  <si>
    <t>M8 20B - 30B</t>
  </si>
  <si>
    <t>M9 21B - 31B</t>
  </si>
  <si>
    <t>M10 22B - 32B</t>
  </si>
  <si>
    <t>27A - 18A</t>
  </si>
  <si>
    <t>29A - 16A</t>
  </si>
  <si>
    <t>13A - 32A</t>
  </si>
  <si>
    <t>12B - 2A</t>
  </si>
  <si>
    <t>3A - 9B</t>
  </si>
  <si>
    <t>5A - 7B</t>
  </si>
  <si>
    <t>6B - 8A</t>
  </si>
  <si>
    <t>19A - 26A</t>
  </si>
  <si>
    <t>21A - 24A</t>
  </si>
  <si>
    <t>M1 11B - 22B</t>
  </si>
  <si>
    <t>M2 12B - 23B</t>
  </si>
  <si>
    <t>22A - 21A</t>
  </si>
  <si>
    <t>24A - 19A</t>
  </si>
  <si>
    <t>M3 13B - 24B</t>
  </si>
  <si>
    <t>6A - 7B</t>
  </si>
  <si>
    <t>8A - 1B</t>
  </si>
  <si>
    <t>M4 14B - 25B</t>
  </si>
  <si>
    <t>8B - 5A</t>
  </si>
  <si>
    <t>6B - 3A</t>
  </si>
  <si>
    <t>M5 15B - 26B</t>
  </si>
  <si>
    <t>M6 16B - 27B</t>
  </si>
  <si>
    <t>30A - 13A</t>
  </si>
  <si>
    <t>32A - 11A</t>
  </si>
  <si>
    <t>M7 17B - 28B</t>
  </si>
  <si>
    <t>14A - 29A</t>
  </si>
  <si>
    <t>16A - 27A</t>
  </si>
  <si>
    <t>M8 18B - 29B</t>
  </si>
  <si>
    <t>M9 19B - 30B</t>
  </si>
  <si>
    <t>M10 20B - 31B</t>
  </si>
  <si>
    <t>26A - 17A</t>
  </si>
  <si>
    <t>28A - 15A</t>
  </si>
  <si>
    <t>M11 21B - 32B</t>
  </si>
  <si>
    <t>10A - 3B</t>
  </si>
  <si>
    <t>12A - 31A</t>
  </si>
  <si>
    <t>4A - 5B</t>
  </si>
  <si>
    <t>4B - 9A</t>
  </si>
  <si>
    <t>2B - 7A</t>
  </si>
  <si>
    <t>18A - 25A</t>
  </si>
  <si>
    <t>20A - 23A</t>
  </si>
  <si>
    <t>M1 9B - 21B</t>
  </si>
  <si>
    <t>M2 10B - 22B</t>
  </si>
  <si>
    <t>21A - 20A</t>
  </si>
  <si>
    <t>23A - 18A</t>
  </si>
  <si>
    <t>M3 11B - 23B</t>
  </si>
  <si>
    <t>M4 12B - 24B</t>
  </si>
  <si>
    <t>M5 13B - 25B</t>
  </si>
  <si>
    <t xml:space="preserve">The number of lines of the Club List is less than the number of clubs within the FISTF list. Please increase the number of lines of the GMFT Club list to : </t>
  </si>
  <si>
    <t xml:space="preserve">Le nombre de lignes de la liste des clubs n'est pas suffisant pour importer la liste des clubs FISTF. Augmenter le nombre de lignes de la liste jusqu'à : </t>
  </si>
  <si>
    <t>Nombre total de clubs</t>
  </si>
  <si>
    <t>Nombre total de lignes de la liste</t>
  </si>
  <si>
    <t>Total number of clubs</t>
  </si>
  <si>
    <t>Total number of lines in the club list</t>
  </si>
  <si>
    <t>Importer le fichier des clubs FISTF</t>
  </si>
  <si>
    <t>Import the FISTF Clubs file</t>
  </si>
  <si>
    <t>3A - M5</t>
  </si>
  <si>
    <t>M8 - 2A</t>
  </si>
  <si>
    <t>Pld</t>
  </si>
  <si>
    <t>D</t>
  </si>
  <si>
    <t>F</t>
  </si>
  <si>
    <t>A</t>
  </si>
  <si>
    <t>GD</t>
  </si>
  <si>
    <t>PldE</t>
  </si>
  <si>
    <t>ED</t>
  </si>
  <si>
    <t>MD</t>
  </si>
  <si>
    <t>LAST 8</t>
  </si>
  <si>
    <t>Sélectionner le fichier modèle FISTF de synthèse des scores de la compétition.</t>
  </si>
  <si>
    <t xml:space="preserve">Select the FISTF event scoresheet file template </t>
  </si>
  <si>
    <t>Sélectionner le fichier  FISTF de classement mondial des joueurs.</t>
  </si>
  <si>
    <t xml:space="preserve">Select the FISTF's World Ranking file </t>
  </si>
  <si>
    <t>Sélectionner le nom de fichier pour la synthèse officielle FISTF des résultats de la compétition.</t>
  </si>
  <si>
    <t xml:space="preserve">Select the file name of the FISTF's Scoresheet of the event. </t>
  </si>
  <si>
    <t>Le fichier sélectioné semble ne pas être un fichier officiel FISTF de consignation des résultats de compétition. Si ce n'est pas le cas, il se peut que le format du fichier ait changé et qu'il faille modifier la fonction d'export; contacter dans ce cas le support GMFT.</t>
  </si>
  <si>
    <t>The selected file seams not to be a FISTF Scoresheet template file. If it's really a FISTF Scoresheet file, it's possible that the file format has changed; in this case it's necessary to upgrade the export function of the GMFT and thus contact the GMFT support.</t>
  </si>
  <si>
    <t>The selected file seams not to be a FISTF world ranking file. If it's really a FISTF WR file, it's possible that the file format has changed; in this case it's necessary to upgrade the import function of the GMFT and thus contact the GMFT support.</t>
  </si>
  <si>
    <t>S2</t>
  </si>
  <si>
    <t>S3</t>
  </si>
  <si>
    <t>S4</t>
  </si>
  <si>
    <t>Sélectionner le fichier  FISTF d'identification des licenciés.</t>
  </si>
  <si>
    <t xml:space="preserve">Select the FISTF's licences file </t>
  </si>
  <si>
    <t>Le fichier sélectionné n'est semble-t-il pas un fichier FISTF de liste de licences. Si ce n'est pas le cas, il se peut que le format du fichier ait changé et qu'il faille modifier la fonction d'import; contacter dans ce cas le support GMFT.</t>
  </si>
  <si>
    <t>The selected file seams not to be a FISTF licenced clubs file. If it's really a FISTF licence list file, it's possible that the file format has changed; in this cas it's necessary to upgrade the import function of the GMFT and thus contact the GMFT support.</t>
  </si>
  <si>
    <t>Total number of players</t>
  </si>
  <si>
    <t>Total number of lines in the player list</t>
  </si>
  <si>
    <t>Importer le fichier des joueurs FISTF</t>
  </si>
  <si>
    <t>Import the FISTF players file</t>
  </si>
  <si>
    <t>TFC Mattersburg</t>
  </si>
  <si>
    <t>Don't show this confirmation next time</t>
  </si>
  <si>
    <t>Ne pas afficher cette demande de confirmation la prochaine fois</t>
  </si>
  <si>
    <t>This action will save all open Excel files without confirmation. Do you want to continue ?</t>
  </si>
  <si>
    <t>Cette action va sauvegarder tous les fichiers Excel ouverts sans demande de confirmation. Voulez-vous continuer ?</t>
  </si>
  <si>
    <t>For FISTF Result Sheets</t>
  </si>
  <si>
    <t>Lic. FISTF</t>
  </si>
  <si>
    <t>Atlas FTC</t>
  </si>
  <si>
    <t>SC Charleroi</t>
  </si>
  <si>
    <t>JSC Rochefort</t>
  </si>
  <si>
    <t>TSC Royal 78 Kaisermühlen</t>
  </si>
  <si>
    <t>Bologna Tigers Subbuteo</t>
  </si>
  <si>
    <t>CCT Eagles Napoli</t>
  </si>
  <si>
    <t>TSG Rain 1970</t>
  </si>
  <si>
    <t>Yorkshire Phoenix</t>
  </si>
  <si>
    <t>Sparta Spreeathen 74/82</t>
  </si>
  <si>
    <t>FTC Issy-les-Moulineaux</t>
  </si>
  <si>
    <t>Tiburones FM</t>
  </si>
  <si>
    <t>SC Connecticut</t>
  </si>
  <si>
    <t>Buenos Aires TS</t>
  </si>
  <si>
    <t>Piraeus Lions TSC</t>
  </si>
  <si>
    <t>CCT Roma</t>
  </si>
  <si>
    <t>Glyfada United TSC</t>
  </si>
  <si>
    <t>SC Ascoli</t>
  </si>
  <si>
    <t>Eastern Elias SC</t>
  </si>
  <si>
    <t>MVV Rijnmond</t>
  </si>
  <si>
    <t>Irish Premier League</t>
  </si>
  <si>
    <t>TSC Stella Artois Milano</t>
  </si>
  <si>
    <t>Orfeão Foz do Douro</t>
  </si>
  <si>
    <t>Woodlands SC</t>
  </si>
  <si>
    <t>Piraeus Tigers TSC</t>
  </si>
  <si>
    <t>Moralzarzal Subbuteo CAD</t>
  </si>
  <si>
    <t>GSC De Hyacinth</t>
  </si>
  <si>
    <t>Glasgow TSA</t>
  </si>
  <si>
    <t>SC Flanders</t>
  </si>
  <si>
    <t>GCT DLF Gorizia</t>
  </si>
  <si>
    <t>Mallorca Águilas FM</t>
  </si>
  <si>
    <t>BSC Schwalbach</t>
  </si>
  <si>
    <t>TS Napoli Fighters</t>
  </si>
  <si>
    <t>SS Lazio TFC Roma</t>
  </si>
  <si>
    <t>Templeuve United TSC</t>
  </si>
  <si>
    <t>SC Temploux</t>
  </si>
  <si>
    <t>SC Stradivari Cremona</t>
  </si>
  <si>
    <t>Lincoln Flickers SC</t>
  </si>
  <si>
    <t>Papata Group Ponticino</t>
  </si>
  <si>
    <t>Barcelona FT</t>
  </si>
  <si>
    <t>CS Firenze</t>
  </si>
  <si>
    <t>Belfast Barbarians</t>
  </si>
  <si>
    <t>ACT Anacapri</t>
  </si>
  <si>
    <t>CT Torino 2009</t>
  </si>
  <si>
    <t>Argonautes Volou TSC</t>
  </si>
  <si>
    <t>Worthing Fivestar</t>
  </si>
  <si>
    <t>Myrmidones TSC</t>
  </si>
  <si>
    <t>Bangu Atlético Clube</t>
  </si>
  <si>
    <t>SF SW gemaba Hitdorf</t>
  </si>
  <si>
    <t>Achaioi TSC</t>
  </si>
  <si>
    <t>TSL Dortmund 61</t>
  </si>
  <si>
    <t>CFT Puylaurens</t>
  </si>
  <si>
    <t>Celtic Combourg CFT</t>
  </si>
  <si>
    <t>---</t>
  </si>
  <si>
    <t>Famagusta TFC</t>
  </si>
  <si>
    <t>Date of Birth if no lic. N°</t>
  </si>
  <si>
    <t>Date Naiss. si non licencié</t>
  </si>
  <si>
    <t>Erreur dans l'appel à la routine CheckReferee : La cible n'est pas une cellule "Referee" de la feuille "Planning"</t>
  </si>
  <si>
    <t>Error in the ChekReferee subroutine call;the target is not a Referee cell of the Planning sheet.</t>
  </si>
  <si>
    <t>Cet arbitre dispute également cette phase</t>
  </si>
  <si>
    <t>This referee is a player of this group</t>
  </si>
  <si>
    <t>This referee takes part as player in this stage</t>
  </si>
  <si>
    <t>Cet arbitre fait partie du même club que le joueur 1</t>
  </si>
  <si>
    <t>Cet arbitre fait partie du même club que le joueur 2</t>
  </si>
  <si>
    <t>Cet arbitre a la même nationalité que le joueur 1</t>
  </si>
  <si>
    <t>Cet arbitre a la même nationalité que le joueur 2</t>
  </si>
  <si>
    <t>Rapport de choix d'arbitre :</t>
  </si>
  <si>
    <t>Referee choice report :</t>
  </si>
  <si>
    <t>This referee has the same nationality as the player 2</t>
  </si>
  <si>
    <t>This referee has the same nationality as the player 1</t>
  </si>
  <si>
    <t>This referee is a member of the same club as the player 2</t>
  </si>
  <si>
    <t>This referee is a member of the same club as the player 1</t>
  </si>
  <si>
    <t>Activation of controls during referee choices in the planning</t>
  </si>
  <si>
    <t>Activation des contrôles sur les choix des arbitres dans le planning</t>
  </si>
  <si>
    <t>Referee in the same Club as one of players</t>
  </si>
  <si>
    <t>Arbitre du même Club qu'un des joueurs</t>
  </si>
  <si>
    <t>Arbitre de même Nationalité qu'un des joueurs</t>
  </si>
  <si>
    <t>Referee with the same Nationality as one of players</t>
  </si>
  <si>
    <t>Referee in the same Group as one of players</t>
  </si>
  <si>
    <t>Arbitre dans la même Poule qu'un des joueurs</t>
  </si>
  <si>
    <t>Cet arbitre joue dans la même poule</t>
  </si>
  <si>
    <t>Sauvegarder tous les fichiers Excel ouverts</t>
  </si>
  <si>
    <t>Save all open Excel files</t>
  </si>
  <si>
    <t>N° de session de départ</t>
  </si>
  <si>
    <t>[---Withdraw---]</t>
  </si>
  <si>
    <t>Pause 1</t>
  </si>
  <si>
    <t>Pause 2</t>
  </si>
  <si>
    <t>Pause 3</t>
  </si>
  <si>
    <t>Pause 4</t>
  </si>
  <si>
    <t>Break 1</t>
  </si>
  <si>
    <t>Break 2</t>
  </si>
  <si>
    <t>Break 3</t>
  </si>
  <si>
    <t>Break 4</t>
  </si>
  <si>
    <t>Venue</t>
  </si>
  <si>
    <t xml:space="preserve"> </t>
  </si>
  <si>
    <t>Plan de Salle</t>
  </si>
  <si>
    <t>Room Plan</t>
  </si>
  <si>
    <t>Filtres</t>
  </si>
  <si>
    <t>Filters</t>
  </si>
  <si>
    <t>Stage Pattern</t>
  </si>
  <si>
    <t>Table Pattern</t>
  </si>
  <si>
    <t>Player or Team Pattern</t>
  </si>
  <si>
    <t>Patterns to find into cell values.
For players and teams, the filter applies on player 1, player2 and Referee.
Case unsensitive.</t>
  </si>
  <si>
    <t>Motif pour le stade de l'épreuve</t>
  </si>
  <si>
    <t>Motif pour les tables</t>
  </si>
  <si>
    <t>Motif pour les joueurs ou équipes</t>
  </si>
  <si>
    <t>Motif à trouver dans les valeurs de cellule.
Pour les joueurs et équipes, la recherche porte sur Joueur 1, Joueur 2 et Arbitre.
Recherche non sensible à la casse.</t>
  </si>
  <si>
    <t>Table de Marque</t>
  </si>
  <si>
    <t>Scorer Table</t>
  </si>
  <si>
    <t>Paramètres d'export de la Table de Marque</t>
  </si>
  <si>
    <t>Paramètres pour l'export de la Table de Marque</t>
  </si>
  <si>
    <t>Scorer Table export parameters</t>
  </si>
  <si>
    <t>Parameters for Scorer Table export</t>
  </si>
  <si>
    <t>Sélectionner le fichier Table de Marque.</t>
  </si>
  <si>
    <t xml:space="preserve">Select the Scorer Table file </t>
  </si>
  <si>
    <t>Le fichier sélectionné n'est semble-t-il pas un fichier de Table de Marque GMFT. Si ce n'est pas le cas, il se peut que le format du fichier ait changé malgré les protections initiales interdisant tout autre modification que la saisie des scores.</t>
  </si>
  <si>
    <t>The selected file seams not to be a GMFT Scorer Table file. If it's really a GMFT Scorer Table file, it's possible that the file format has changed despite the protections prohibiting other modifications than the registration of scores.</t>
  </si>
  <si>
    <t>Exporter / Importer Table de Marque</t>
  </si>
  <si>
    <t>Export / Import Sorer Table</t>
  </si>
  <si>
    <t xml:space="preserve">Le nombre de matches traités est de : </t>
  </si>
  <si>
    <t xml:space="preserve">Le nombre total de résultats importés est de : </t>
  </si>
  <si>
    <t xml:space="preserve">The total number of matches proceed is about : </t>
  </si>
  <si>
    <t xml:space="preserve">The total number of results imported is about : </t>
  </si>
  <si>
    <t>Alexander Haas</t>
  </si>
  <si>
    <t>Jean-Guillaume Einsle</t>
  </si>
  <si>
    <t>Derek Conti</t>
  </si>
  <si>
    <t>Chesney Van Keimpema</t>
  </si>
  <si>
    <t>FRA0011</t>
  </si>
  <si>
    <t>FRA0014</t>
  </si>
  <si>
    <t>FRA0016</t>
  </si>
  <si>
    <t>FRA0017</t>
  </si>
  <si>
    <t>FRA0018</t>
  </si>
  <si>
    <t>FRA0019</t>
  </si>
  <si>
    <t>FRA0020</t>
  </si>
  <si>
    <t>FRA0021</t>
  </si>
  <si>
    <t>FRA0023</t>
  </si>
  <si>
    <t>FRA0025</t>
  </si>
  <si>
    <t>FRA0026</t>
  </si>
  <si>
    <t>FRA0034</t>
  </si>
  <si>
    <t>FRA0035</t>
  </si>
  <si>
    <t>FRA0038</t>
  </si>
  <si>
    <t>FRA0039</t>
  </si>
  <si>
    <t>FRA0056</t>
  </si>
  <si>
    <t>FRA0059</t>
  </si>
  <si>
    <t>FRA0060</t>
  </si>
  <si>
    <t>FRA0062</t>
  </si>
  <si>
    <t>FRA0092</t>
  </si>
  <si>
    <t>FRA0093</t>
  </si>
  <si>
    <t>Nicosia TFC</t>
  </si>
  <si>
    <t>FTC Caen</t>
  </si>
  <si>
    <t>STV 97 Hohenlohe</t>
  </si>
  <si>
    <t>SC Kickers 69 Offenbach</t>
  </si>
  <si>
    <t>TFC Rhein-Hessen Wiesbaden</t>
  </si>
  <si>
    <t>1.SFC Selb</t>
  </si>
  <si>
    <t>SC Bad Sobernheim</t>
  </si>
  <si>
    <t>SB Komet Frankfurt</t>
  </si>
  <si>
    <t>CT Versilia 2002</t>
  </si>
  <si>
    <t>ST Sassari</t>
  </si>
  <si>
    <t>North Down</t>
  </si>
  <si>
    <t>Skien Wildcats</t>
  </si>
  <si>
    <t>SC Wallisellen</t>
  </si>
  <si>
    <t>Maryland SC</t>
  </si>
  <si>
    <t>Washington Tuesday SL</t>
  </si>
  <si>
    <t>mat</t>
  </si>
  <si>
    <t>roy</t>
  </si>
  <si>
    <t>wie</t>
  </si>
  <si>
    <t>cha</t>
  </si>
  <si>
    <t>eug</t>
  </si>
  <si>
    <t>fla</t>
  </si>
  <si>
    <t>hen</t>
  </si>
  <si>
    <t>roc</t>
  </si>
  <si>
    <t>ste</t>
  </si>
  <si>
    <t>tem</t>
  </si>
  <si>
    <t>tpv</t>
  </si>
  <si>
    <t>bgu</t>
  </si>
  <si>
    <t>vas</t>
  </si>
  <si>
    <t>fam</t>
  </si>
  <si>
    <t>nic</t>
  </si>
  <si>
    <t>yor</t>
  </si>
  <si>
    <t>kiv</t>
  </si>
  <si>
    <t>tsp</t>
  </si>
  <si>
    <t>wor</t>
  </si>
  <si>
    <t>lin</t>
  </si>
  <si>
    <t>mao</t>
  </si>
  <si>
    <t>mor</t>
  </si>
  <si>
    <t>mur</t>
  </si>
  <si>
    <t>tib</t>
  </si>
  <si>
    <t>puy</t>
  </si>
  <si>
    <t>chp</t>
  </si>
  <si>
    <t>iss</t>
  </si>
  <si>
    <t>ber</t>
  </si>
  <si>
    <t>dor</t>
  </si>
  <si>
    <t>hit</t>
  </si>
  <si>
    <t>hol</t>
  </si>
  <si>
    <t>tau</t>
  </si>
  <si>
    <t>rhe</t>
  </si>
  <si>
    <t>sch</t>
  </si>
  <si>
    <t>bad</t>
  </si>
  <si>
    <t>rai</t>
  </si>
  <si>
    <t>sel</t>
  </si>
  <si>
    <t>off</t>
  </si>
  <si>
    <t>kom</t>
  </si>
  <si>
    <t>atl</t>
  </si>
  <si>
    <t>fal</t>
  </si>
  <si>
    <t>pil</t>
  </si>
  <si>
    <t>rol</t>
  </si>
  <si>
    <t>gly</t>
  </si>
  <si>
    <t>myr</t>
  </si>
  <si>
    <t>bld</t>
  </si>
  <si>
    <t>ach</t>
  </si>
  <si>
    <t>ocs</t>
  </si>
  <si>
    <t>ptg</t>
  </si>
  <si>
    <t>bol</t>
  </si>
  <si>
    <t>fer</t>
  </si>
  <si>
    <t>fgg</t>
  </si>
  <si>
    <t>nap</t>
  </si>
  <si>
    <t>pie</t>
  </si>
  <si>
    <t>sas</t>
  </si>
  <si>
    <t>vic</t>
  </si>
  <si>
    <t>vir</t>
  </si>
  <si>
    <t>fir</t>
  </si>
  <si>
    <t>ses</t>
  </si>
  <si>
    <t>bag</t>
  </si>
  <si>
    <t>rom</t>
  </si>
  <si>
    <t>fia</t>
  </si>
  <si>
    <t>pon</t>
  </si>
  <si>
    <t>gor</t>
  </si>
  <si>
    <t>laz</t>
  </si>
  <si>
    <t>mil</t>
  </si>
  <si>
    <t>naf</t>
  </si>
  <si>
    <t>trn</t>
  </si>
  <si>
    <t>reg</t>
  </si>
  <si>
    <t>msa</t>
  </si>
  <si>
    <t>caa</t>
  </si>
  <si>
    <t>sta</t>
  </si>
  <si>
    <t>sir</t>
  </si>
  <si>
    <t>moe</t>
  </si>
  <si>
    <t>ves</t>
  </si>
  <si>
    <t>asc</t>
  </si>
  <si>
    <t>csm</t>
  </si>
  <si>
    <t>str</t>
  </si>
  <si>
    <t>bie</t>
  </si>
  <si>
    <t>mei</t>
  </si>
  <si>
    <t>brz</t>
  </si>
  <si>
    <t>yok</t>
  </si>
  <si>
    <t>vll</t>
  </si>
  <si>
    <t>bor</t>
  </si>
  <si>
    <t>rij</t>
  </si>
  <si>
    <t>hya</t>
  </si>
  <si>
    <t>sao</t>
  </si>
  <si>
    <t>gla</t>
  </si>
  <si>
    <t>wal</t>
  </si>
  <si>
    <t>con</t>
  </si>
  <si>
    <t>tam</t>
  </si>
  <si>
    <t>bus</t>
  </si>
  <si>
    <t>mar</t>
  </si>
  <si>
    <t>cht</t>
  </si>
  <si>
    <t>los</t>
  </si>
  <si>
    <t>was</t>
  </si>
  <si>
    <t>Trier les joueurs des équipes</t>
  </si>
  <si>
    <t>Sort Team Members</t>
  </si>
  <si>
    <t>BARI</t>
  </si>
  <si>
    <t>Saverio</t>
  </si>
  <si>
    <t>FLORES</t>
  </si>
  <si>
    <t>Carlos</t>
  </si>
  <si>
    <t>LEITNER</t>
  </si>
  <si>
    <t>Wolfgang</t>
  </si>
  <si>
    <t>DHEUR</t>
  </si>
  <si>
    <t>Christophe</t>
  </si>
  <si>
    <t>Massimo</t>
  </si>
  <si>
    <t>BARTOLO</t>
  </si>
  <si>
    <t>Samuel</t>
  </si>
  <si>
    <t>GAUCI</t>
  </si>
  <si>
    <t>Mark</t>
  </si>
  <si>
    <t>GOLGER</t>
  </si>
  <si>
    <t>Bessim</t>
  </si>
  <si>
    <t>CONTI</t>
  </si>
  <si>
    <t>Derek</t>
  </si>
  <si>
    <t>Daniele</t>
  </si>
  <si>
    <t>Massimiliano</t>
  </si>
  <si>
    <t>LEROY</t>
  </si>
  <si>
    <t>Justin</t>
  </si>
  <si>
    <t>DI VINCENZO</t>
  </si>
  <si>
    <t>Andrea</t>
  </si>
  <si>
    <t>THOMAS</t>
  </si>
  <si>
    <t>Chris</t>
  </si>
  <si>
    <t>HAAS</t>
  </si>
  <si>
    <t>Sami</t>
  </si>
  <si>
    <t>Rasmus</t>
  </si>
  <si>
    <t>Vasco</t>
  </si>
  <si>
    <t>SCHEEN</t>
  </si>
  <si>
    <t>Pascal</t>
  </si>
  <si>
    <t>BENNETT</t>
  </si>
  <si>
    <t>Alexander</t>
  </si>
  <si>
    <t>Claudio</t>
  </si>
  <si>
    <t>KOUTIS</t>
  </si>
  <si>
    <t>Giorgos</t>
  </si>
  <si>
    <t>TSC Falcons Athens</t>
  </si>
  <si>
    <t>Alberto</t>
  </si>
  <si>
    <t>Sébastien</t>
  </si>
  <si>
    <t>Eric</t>
  </si>
  <si>
    <t>Joseph</t>
  </si>
  <si>
    <t>Dave</t>
  </si>
  <si>
    <t>Sérgio</t>
  </si>
  <si>
    <t>BOLOGNINO</t>
  </si>
  <si>
    <t>Ferdinando</t>
  </si>
  <si>
    <t>Spyros</t>
  </si>
  <si>
    <t>Maikel</t>
  </si>
  <si>
    <t>MALLIA</t>
  </si>
  <si>
    <t>Hansel</t>
  </si>
  <si>
    <t>Ángel</t>
  </si>
  <si>
    <t>Ruben</t>
  </si>
  <si>
    <t>Marcus</t>
  </si>
  <si>
    <t>Vicenç</t>
  </si>
  <si>
    <t>Evripidis</t>
  </si>
  <si>
    <t>Matt</t>
  </si>
  <si>
    <t>DE LEEUW</t>
  </si>
  <si>
    <t>Pierre</t>
  </si>
  <si>
    <t>Stefano</t>
  </si>
  <si>
    <t>Christian</t>
  </si>
  <si>
    <t>Sergio</t>
  </si>
  <si>
    <t>Juan Manuel</t>
  </si>
  <si>
    <t>Nicolás</t>
  </si>
  <si>
    <t>CANICCHIO</t>
  </si>
  <si>
    <t>Lucio</t>
  </si>
  <si>
    <t>Nicky</t>
  </si>
  <si>
    <t>PATRUNO</t>
  </si>
  <si>
    <t>Gerardo</t>
  </si>
  <si>
    <t>David</t>
  </si>
  <si>
    <t>Kostas</t>
  </si>
  <si>
    <t>DONVAL</t>
  </si>
  <si>
    <t>Axel</t>
  </si>
  <si>
    <t>NAPOLITANO</t>
  </si>
  <si>
    <t>Carmine</t>
  </si>
  <si>
    <t>Matías</t>
  </si>
  <si>
    <t>Mario</t>
  </si>
  <si>
    <t>BLÜMEL</t>
  </si>
  <si>
    <t>AMBERNY</t>
  </si>
  <si>
    <t>Jean-Marie</t>
  </si>
  <si>
    <t>Giannis</t>
  </si>
  <si>
    <t>LICHERI</t>
  </si>
  <si>
    <t>Emanuele</t>
  </si>
  <si>
    <t>PAPPAS</t>
  </si>
  <si>
    <t>Fabrizio</t>
  </si>
  <si>
    <t>Steve</t>
  </si>
  <si>
    <t>Miguel</t>
  </si>
  <si>
    <t>Anders</t>
  </si>
  <si>
    <t>Juan Carlos</t>
  </si>
  <si>
    <t>NORONHA</t>
  </si>
  <si>
    <t>Nuno</t>
  </si>
  <si>
    <t>PAPADOPOULOS</t>
  </si>
  <si>
    <t>Michaël</t>
  </si>
  <si>
    <t>Lambros</t>
  </si>
  <si>
    <t>STAMOKOSTAS</t>
  </si>
  <si>
    <t>KOURABAS</t>
  </si>
  <si>
    <t>Dimitris</t>
  </si>
  <si>
    <t>Gaetano</t>
  </si>
  <si>
    <t>Björn</t>
  </si>
  <si>
    <t>EDER</t>
  </si>
  <si>
    <t>Heinz</t>
  </si>
  <si>
    <t>Murat</t>
  </si>
  <si>
    <t>Andrew</t>
  </si>
  <si>
    <t>CALONICO</t>
  </si>
  <si>
    <t>Gianfranco</t>
  </si>
  <si>
    <t>MIDORO</t>
  </si>
  <si>
    <t>Marco</t>
  </si>
  <si>
    <t>Jeremy</t>
  </si>
  <si>
    <t>KAPSABELIS</t>
  </si>
  <si>
    <t>Marcos</t>
  </si>
  <si>
    <t>Miltiadis</t>
  </si>
  <si>
    <t>Colin</t>
  </si>
  <si>
    <t>DERVIS</t>
  </si>
  <si>
    <t>Markus</t>
  </si>
  <si>
    <t>YUSNI</t>
  </si>
  <si>
    <t>Den Mulia</t>
  </si>
  <si>
    <t>Paolo</t>
  </si>
  <si>
    <t>HEYVAERT</t>
  </si>
  <si>
    <t>Jérôme</t>
  </si>
  <si>
    <t>Giuseppe</t>
  </si>
  <si>
    <t>Laurent</t>
  </si>
  <si>
    <t>Thomas</t>
  </si>
  <si>
    <t>Alessandro</t>
  </si>
  <si>
    <t>SILVERI</t>
  </si>
  <si>
    <t>Gabriele</t>
  </si>
  <si>
    <t>Edgar</t>
  </si>
  <si>
    <t>IORIO</t>
  </si>
  <si>
    <t>Alex</t>
  </si>
  <si>
    <t>TSANGOURIS</t>
  </si>
  <si>
    <t>Enrico</t>
  </si>
  <si>
    <t>Fabio</t>
  </si>
  <si>
    <t>Tony</t>
  </si>
  <si>
    <t>Christos</t>
  </si>
  <si>
    <t>PAVÃO</t>
  </si>
  <si>
    <t>Ricardo</t>
  </si>
  <si>
    <t>Thanasis</t>
  </si>
  <si>
    <t>HINKELMANN</t>
  </si>
  <si>
    <t>Erich</t>
  </si>
  <si>
    <t>Victor</t>
  </si>
  <si>
    <t>Hugo</t>
  </si>
  <si>
    <t>Mohd Ezan</t>
  </si>
  <si>
    <t>Igor</t>
  </si>
  <si>
    <t>BONAVIA</t>
  </si>
  <si>
    <t>Jose Luis</t>
  </si>
  <si>
    <t>LEPRI</t>
  </si>
  <si>
    <t>Maurizio</t>
  </si>
  <si>
    <t>Tommas</t>
  </si>
  <si>
    <t>Darren</t>
  </si>
  <si>
    <t>ALVAREZ</t>
  </si>
  <si>
    <t>Lawrence</t>
  </si>
  <si>
    <t>CAMILLERI</t>
  </si>
  <si>
    <t>Josef</t>
  </si>
  <si>
    <t>Lorenzo</t>
  </si>
  <si>
    <t>MONTAÑO</t>
  </si>
  <si>
    <t>Alfonso</t>
  </si>
  <si>
    <t>Simone</t>
  </si>
  <si>
    <t>ROSLAN</t>
  </si>
  <si>
    <t>Rudy Hesty</t>
  </si>
  <si>
    <t>EBEJER</t>
  </si>
  <si>
    <t>George</t>
  </si>
  <si>
    <t>Vincenzo</t>
  </si>
  <si>
    <t>Antonis</t>
  </si>
  <si>
    <t>Felipe</t>
  </si>
  <si>
    <t>DIMOPOULOS</t>
  </si>
  <si>
    <t>Periklis</t>
  </si>
  <si>
    <t>Bruno</t>
  </si>
  <si>
    <t>Claudia</t>
  </si>
  <si>
    <t>SANTOS</t>
  </si>
  <si>
    <t>Manuel</t>
  </si>
  <si>
    <t>Matthias</t>
  </si>
  <si>
    <t>Magnus</t>
  </si>
  <si>
    <t>Magnus Emil</t>
  </si>
  <si>
    <t>André</t>
  </si>
  <si>
    <t>Reinhard</t>
  </si>
  <si>
    <t>Tommy</t>
  </si>
  <si>
    <t>Renato</t>
  </si>
  <si>
    <t>Ivano</t>
  </si>
  <si>
    <t>FLAMINI</t>
  </si>
  <si>
    <t>Julio</t>
  </si>
  <si>
    <t>PATRINOS</t>
  </si>
  <si>
    <t>Nathan</t>
  </si>
  <si>
    <t>Alexandre</t>
  </si>
  <si>
    <t>CROATTI</t>
  </si>
  <si>
    <t>KOI</t>
  </si>
  <si>
    <t>Kenzo</t>
  </si>
  <si>
    <t>Craig</t>
  </si>
  <si>
    <t>MIDOUX</t>
  </si>
  <si>
    <t>Ludovic</t>
  </si>
  <si>
    <t>Nicola</t>
  </si>
  <si>
    <t>Gary</t>
  </si>
  <si>
    <t>Olivier</t>
  </si>
  <si>
    <t>Peter</t>
  </si>
  <si>
    <t>Brian</t>
  </si>
  <si>
    <t>Louise Have</t>
  </si>
  <si>
    <t>Christoph</t>
  </si>
  <si>
    <t>Luca</t>
  </si>
  <si>
    <t>Steven</t>
  </si>
  <si>
    <t>Matteo</t>
  </si>
  <si>
    <t>Flavio</t>
  </si>
  <si>
    <t>Kai</t>
  </si>
  <si>
    <t>SALVATI</t>
  </si>
  <si>
    <t>Mauro</t>
  </si>
  <si>
    <t>Ralf</t>
  </si>
  <si>
    <t>LANNOY</t>
  </si>
  <si>
    <t>Frank</t>
  </si>
  <si>
    <t>Marc</t>
  </si>
  <si>
    <t>MATSOPOULOS</t>
  </si>
  <si>
    <t>Stelios</t>
  </si>
  <si>
    <t>Leonidas</t>
  </si>
  <si>
    <t>Dimos</t>
  </si>
  <si>
    <t>Roligans Ilioupolis TSC</t>
  </si>
  <si>
    <t>VAGNONI</t>
  </si>
  <si>
    <t>Augusto</t>
  </si>
  <si>
    <t>Michele</t>
  </si>
  <si>
    <t>LANDZAAT</t>
  </si>
  <si>
    <t>Henk</t>
  </si>
  <si>
    <t>Richard</t>
  </si>
  <si>
    <t>CIABATTONI</t>
  </si>
  <si>
    <t>Diogo</t>
  </si>
  <si>
    <t>TSOUTSAS</t>
  </si>
  <si>
    <t>FERRANTE</t>
  </si>
  <si>
    <t>KARAMANIS</t>
  </si>
  <si>
    <t>Eddie</t>
  </si>
  <si>
    <t>TAN</t>
  </si>
  <si>
    <t>Siang Ping, Jeslin</t>
  </si>
  <si>
    <t>Mattia</t>
  </si>
  <si>
    <t>MARAIN</t>
  </si>
  <si>
    <t>Geoffrey</t>
  </si>
  <si>
    <t>Michelangelo</t>
  </si>
  <si>
    <t>José</t>
  </si>
  <si>
    <t>Pietro</t>
  </si>
  <si>
    <t>BURNS</t>
  </si>
  <si>
    <t>Tom</t>
  </si>
  <si>
    <t>William</t>
  </si>
  <si>
    <t>Ji Quan, Joel</t>
  </si>
  <si>
    <t>ESPOSITO</t>
  </si>
  <si>
    <t>Giosuè</t>
  </si>
  <si>
    <t>Matthew</t>
  </si>
  <si>
    <t>THREIS</t>
  </si>
  <si>
    <t>Romain</t>
  </si>
  <si>
    <t>Daniel</t>
  </si>
  <si>
    <t>Delphine</t>
  </si>
  <si>
    <t>Janus</t>
  </si>
  <si>
    <t>Paulo</t>
  </si>
  <si>
    <t>Miguel Ángel</t>
  </si>
  <si>
    <t>Damianos</t>
  </si>
  <si>
    <t>Panagiotis</t>
  </si>
  <si>
    <t>John</t>
  </si>
  <si>
    <t>Wee Lik</t>
  </si>
  <si>
    <t>MARTÍNEZ</t>
  </si>
  <si>
    <t>Arturo</t>
  </si>
  <si>
    <t>Alan</t>
  </si>
  <si>
    <t>FINCH</t>
  </si>
  <si>
    <t>Casey</t>
  </si>
  <si>
    <t>BODIN DE CHATELARD</t>
  </si>
  <si>
    <t>Marcello</t>
  </si>
  <si>
    <t>Paul</t>
  </si>
  <si>
    <t>Makoto</t>
  </si>
  <si>
    <t>DESPRETZ</t>
  </si>
  <si>
    <t>Christopher</t>
  </si>
  <si>
    <t>Kevin</t>
  </si>
  <si>
    <t>Ben</t>
  </si>
  <si>
    <t>Salvatore</t>
  </si>
  <si>
    <t>Carlo</t>
  </si>
  <si>
    <t>MÁRQUEZ</t>
  </si>
  <si>
    <t>José Luis</t>
  </si>
  <si>
    <t>SCHITO</t>
  </si>
  <si>
    <t>Riccardo</t>
  </si>
  <si>
    <t>Patrick</t>
  </si>
  <si>
    <t>Denis</t>
  </si>
  <si>
    <t>BONFANTE</t>
  </si>
  <si>
    <t>Afonso</t>
  </si>
  <si>
    <t>Ronnie</t>
  </si>
  <si>
    <t>Antoine</t>
  </si>
  <si>
    <t>Francesco</t>
  </si>
  <si>
    <t>VERGONI</t>
  </si>
  <si>
    <t>Roberto</t>
  </si>
  <si>
    <t>Stephen</t>
  </si>
  <si>
    <t>Didier</t>
  </si>
  <si>
    <t>BERTHOLET</t>
  </si>
  <si>
    <t>Elodie</t>
  </si>
  <si>
    <t>Damien</t>
  </si>
  <si>
    <t>Benoît</t>
  </si>
  <si>
    <t>Frédéric</t>
  </si>
  <si>
    <t>Enzo</t>
  </si>
  <si>
    <t>Cesare</t>
  </si>
  <si>
    <t>CORRADI</t>
  </si>
  <si>
    <t>Efrem</t>
  </si>
  <si>
    <t>Germán</t>
  </si>
  <si>
    <t>Fernando</t>
  </si>
  <si>
    <t>Jonathan</t>
  </si>
  <si>
    <t>ARNOLD</t>
  </si>
  <si>
    <t>Xavier</t>
  </si>
  <si>
    <t>Miko</t>
  </si>
  <si>
    <t>Jason</t>
  </si>
  <si>
    <t>Oliver</t>
  </si>
  <si>
    <t>Erza</t>
  </si>
  <si>
    <t>Marcel</t>
  </si>
  <si>
    <t>Ciro</t>
  </si>
  <si>
    <t>Felix</t>
  </si>
  <si>
    <t>Graziano</t>
  </si>
  <si>
    <t>Mike</t>
  </si>
  <si>
    <t>Anthony</t>
  </si>
  <si>
    <t>Steffen</t>
  </si>
  <si>
    <t>NIAVIS</t>
  </si>
  <si>
    <t>GIANNARELLI</t>
  </si>
  <si>
    <t>Muhd Fadhly</t>
  </si>
  <si>
    <t>Muhd Azim Haikal</t>
  </si>
  <si>
    <t>Jérémy</t>
  </si>
  <si>
    <t>Philippe</t>
  </si>
  <si>
    <t>Oriano</t>
  </si>
  <si>
    <t>Aaron</t>
  </si>
  <si>
    <t>Arthur</t>
  </si>
  <si>
    <t>Stuart</t>
  </si>
  <si>
    <t>Fred</t>
  </si>
  <si>
    <t>NATOLI</t>
  </si>
  <si>
    <t>FENECH</t>
  </si>
  <si>
    <t>Rob</t>
  </si>
  <si>
    <t>Owen</t>
  </si>
  <si>
    <t>Andy</t>
  </si>
  <si>
    <t>Roger</t>
  </si>
  <si>
    <t>Georgios</t>
  </si>
  <si>
    <t>Eleni</t>
  </si>
  <si>
    <t>TSELEPIDIS</t>
  </si>
  <si>
    <t>GIUDICE</t>
  </si>
  <si>
    <t>Tiberio</t>
  </si>
  <si>
    <t>Davide</t>
  </si>
  <si>
    <t>Yu Zhu, Apple</t>
  </si>
  <si>
    <t>VIVRON</t>
  </si>
  <si>
    <t>Thierry</t>
  </si>
  <si>
    <t>Mohd Faruq</t>
  </si>
  <si>
    <t>Kenny</t>
  </si>
  <si>
    <t>Federico</t>
  </si>
  <si>
    <t>Stavros</t>
  </si>
  <si>
    <t>Giancarlo</t>
  </si>
  <si>
    <t>IFRIGERIO</t>
  </si>
  <si>
    <t>Luigi</t>
  </si>
  <si>
    <t>Filippo</t>
  </si>
  <si>
    <t>Antonio</t>
  </si>
  <si>
    <t>Adriano</t>
  </si>
  <si>
    <t>KORDANTONOPOULOS</t>
  </si>
  <si>
    <t>Bryan</t>
  </si>
  <si>
    <t>LA TORRE</t>
  </si>
  <si>
    <t>BUSCH</t>
  </si>
  <si>
    <t>Günter</t>
  </si>
  <si>
    <t>BOULANGER</t>
  </si>
  <si>
    <t>James</t>
  </si>
  <si>
    <t>Ioannis</t>
  </si>
  <si>
    <t>Andreas</t>
  </si>
  <si>
    <t>Stratos</t>
  </si>
  <si>
    <t>Domenico</t>
  </si>
  <si>
    <t>Gennaro</t>
  </si>
  <si>
    <t>BONNICI</t>
  </si>
  <si>
    <t>Adrian</t>
  </si>
  <si>
    <t>Giovanni Maria</t>
  </si>
  <si>
    <t>Florian</t>
  </si>
  <si>
    <t>Ugo</t>
  </si>
  <si>
    <t>Jean-François</t>
  </si>
  <si>
    <t>GARNIER</t>
  </si>
  <si>
    <t>Benjamin</t>
  </si>
  <si>
    <t>Fotis</t>
  </si>
  <si>
    <t>Laura</t>
  </si>
  <si>
    <t>Rudi</t>
  </si>
  <si>
    <t>Francisco</t>
  </si>
  <si>
    <t>Angelo</t>
  </si>
  <si>
    <t>Jamie</t>
  </si>
  <si>
    <t>Gianluca</t>
  </si>
  <si>
    <t>Raffaele</t>
  </si>
  <si>
    <t>Giovanni</t>
  </si>
  <si>
    <t>Dario</t>
  </si>
  <si>
    <t>Diego</t>
  </si>
  <si>
    <t>Mohd Haikel</t>
  </si>
  <si>
    <t>Cédric</t>
  </si>
  <si>
    <t>Francis</t>
  </si>
  <si>
    <t>Shaun</t>
  </si>
  <si>
    <t>Liam</t>
  </si>
  <si>
    <t>ABREU</t>
  </si>
  <si>
    <t>Filipe</t>
  </si>
  <si>
    <t>Thorsten</t>
  </si>
  <si>
    <t>Mongi</t>
  </si>
  <si>
    <t>Gil</t>
  </si>
  <si>
    <t>RAMOS</t>
  </si>
  <si>
    <t>Stefan</t>
  </si>
  <si>
    <t>Norberto</t>
  </si>
  <si>
    <t>COLL</t>
  </si>
  <si>
    <t>Kristian</t>
  </si>
  <si>
    <t>CHRISTIE</t>
  </si>
  <si>
    <t>Gareth</t>
  </si>
  <si>
    <t>GORGETTE</t>
  </si>
  <si>
    <t>Emmanuel</t>
  </si>
  <si>
    <t>HUYNH</t>
  </si>
  <si>
    <t>Rémy</t>
  </si>
  <si>
    <t>BIZAS</t>
  </si>
  <si>
    <t>SESES</t>
  </si>
  <si>
    <t>Jesper</t>
  </si>
  <si>
    <t>Phil</t>
  </si>
  <si>
    <t>WITTMANN</t>
  </si>
  <si>
    <t>Patricio</t>
  </si>
  <si>
    <t>TORANO</t>
  </si>
  <si>
    <t>FIELD</t>
  </si>
  <si>
    <t>Gonzalo</t>
  </si>
  <si>
    <t>LENZ</t>
  </si>
  <si>
    <t>Robert</t>
  </si>
  <si>
    <t>Romualdo</t>
  </si>
  <si>
    <t>HODDS</t>
  </si>
  <si>
    <t>Martin</t>
  </si>
  <si>
    <t>PLYTAS</t>
  </si>
  <si>
    <t>Eugene</t>
  </si>
  <si>
    <t>PAWLICA</t>
  </si>
  <si>
    <t>Manfred</t>
  </si>
  <si>
    <t>Marcelo Lages</t>
  </si>
  <si>
    <t>José Antônio</t>
  </si>
  <si>
    <t>TABONE</t>
  </si>
  <si>
    <t>Michael</t>
  </si>
  <si>
    <t>Luis Felipe</t>
  </si>
  <si>
    <t>Vito</t>
  </si>
  <si>
    <t>PERAZZO</t>
  </si>
  <si>
    <t>PERE</t>
  </si>
  <si>
    <t>AQUILINA</t>
  </si>
  <si>
    <t>Charles</t>
  </si>
  <si>
    <t>HO</t>
  </si>
  <si>
    <t>Shiong Bock, John</t>
  </si>
  <si>
    <t>MANOLOULIS</t>
  </si>
  <si>
    <t>Fayçal</t>
  </si>
  <si>
    <t>João</t>
  </si>
  <si>
    <t>GONZÁLEZ</t>
  </si>
  <si>
    <t>ALIADIS</t>
  </si>
  <si>
    <t>Gregorio</t>
  </si>
  <si>
    <t>Velissarios</t>
  </si>
  <si>
    <t>Jonas</t>
  </si>
  <si>
    <t>METTIVIERI</t>
  </si>
  <si>
    <t>KOULOSOUSAS</t>
  </si>
  <si>
    <t>Serafim</t>
  </si>
  <si>
    <t>NASZALYI</t>
  </si>
  <si>
    <t>SKLAVOUNOS</t>
  </si>
  <si>
    <t>BAMBERZKY</t>
  </si>
  <si>
    <t>Günther</t>
  </si>
  <si>
    <t>Neil</t>
  </si>
  <si>
    <t>LIENHARDT</t>
  </si>
  <si>
    <t>VANTASSEL</t>
  </si>
  <si>
    <t>Jürgen</t>
  </si>
  <si>
    <t>DIMAKEAS</t>
  </si>
  <si>
    <t>Kok Wee</t>
  </si>
  <si>
    <t>VLASSOPOULOS</t>
  </si>
  <si>
    <t>BELLEFONTAINE</t>
  </si>
  <si>
    <t>Elliott</t>
  </si>
  <si>
    <t>COLANGELO</t>
  </si>
  <si>
    <t>SOMOZA</t>
  </si>
  <si>
    <t>José David</t>
  </si>
  <si>
    <t>ZAKI</t>
  </si>
  <si>
    <t>MATTIANGELI</t>
  </si>
  <si>
    <t>Guy</t>
  </si>
  <si>
    <t>Jerrel</t>
  </si>
  <si>
    <t>BAXTER</t>
  </si>
  <si>
    <t>Vincent</t>
  </si>
  <si>
    <t>MIFSUD</t>
  </si>
  <si>
    <t>MODESTE</t>
  </si>
  <si>
    <t>Isaac</t>
  </si>
  <si>
    <t>FINARDI</t>
  </si>
  <si>
    <t>LEES</t>
  </si>
  <si>
    <t>Malcolm</t>
  </si>
  <si>
    <t>KORDATOS</t>
  </si>
  <si>
    <t>Joffray</t>
  </si>
  <si>
    <t>PAPADAKIS</t>
  </si>
  <si>
    <t>Yu Xiang, Henry</t>
  </si>
  <si>
    <t>Lukas</t>
  </si>
  <si>
    <t>MOHD SABAH</t>
  </si>
  <si>
    <t>Noor Haikal</t>
  </si>
  <si>
    <t>Antonello</t>
  </si>
  <si>
    <t>Athanasios</t>
  </si>
  <si>
    <t>Rainer</t>
  </si>
  <si>
    <t>Erfandy</t>
  </si>
  <si>
    <t>Maria</t>
  </si>
  <si>
    <t>Natan</t>
  </si>
  <si>
    <t>MARTINEZ</t>
  </si>
  <si>
    <t>Sebastian</t>
  </si>
  <si>
    <t>GARGIULO</t>
  </si>
  <si>
    <t>TAIB</t>
  </si>
  <si>
    <t>Mohd Rizal</t>
  </si>
  <si>
    <t>Kamilla</t>
  </si>
  <si>
    <t>László</t>
  </si>
  <si>
    <t>Andras</t>
  </si>
  <si>
    <t>Carmelo</t>
  </si>
  <si>
    <t>Rick</t>
  </si>
  <si>
    <t>KONTOS</t>
  </si>
  <si>
    <t>Muhd Faruk</t>
  </si>
  <si>
    <t>Muhammad Azhar</t>
  </si>
  <si>
    <t>Baver</t>
  </si>
  <si>
    <t>Mohd Faizal</t>
  </si>
  <si>
    <t>CANO</t>
  </si>
  <si>
    <t>Charalambos</t>
  </si>
  <si>
    <t>SERWY</t>
  </si>
  <si>
    <t>Pol</t>
  </si>
  <si>
    <t>Algy</t>
  </si>
  <si>
    <t>Raúl</t>
  </si>
  <si>
    <t>Giuditta</t>
  </si>
  <si>
    <t>Fraser</t>
  </si>
  <si>
    <t>KRIKELIS</t>
  </si>
  <si>
    <t>Stefanos</t>
  </si>
  <si>
    <t>Adam</t>
  </si>
  <si>
    <t>José Carlos</t>
  </si>
  <si>
    <t>Toni</t>
  </si>
  <si>
    <t>Gianmarco</t>
  </si>
  <si>
    <t>Carolina</t>
  </si>
  <si>
    <t>PESSINI</t>
  </si>
  <si>
    <t>NATALE</t>
  </si>
  <si>
    <t>Rosario</t>
  </si>
  <si>
    <t>STROMMER</t>
  </si>
  <si>
    <t>Alfred</t>
  </si>
  <si>
    <t>SÁNCHEZ</t>
  </si>
  <si>
    <t>José Manuel</t>
  </si>
  <si>
    <t>Leif</t>
  </si>
  <si>
    <t>Muhd Irshadullah</t>
  </si>
  <si>
    <t>Dennis</t>
  </si>
  <si>
    <t>PISANI</t>
  </si>
  <si>
    <t>Pierpaolo</t>
  </si>
  <si>
    <t>SORET</t>
  </si>
  <si>
    <t>Rémi</t>
  </si>
  <si>
    <t>Amin</t>
  </si>
  <si>
    <t>PELTIER</t>
  </si>
  <si>
    <t>KINRADE</t>
  </si>
  <si>
    <t>GUYOT</t>
  </si>
  <si>
    <t>Françoise</t>
  </si>
  <si>
    <t>Thossa</t>
  </si>
  <si>
    <t>Alexis</t>
  </si>
  <si>
    <t>Ettore</t>
  </si>
  <si>
    <t>Bernardo</t>
  </si>
  <si>
    <t>DOTTO</t>
  </si>
  <si>
    <t>MONTEFIORI</t>
  </si>
  <si>
    <t>LIM</t>
  </si>
  <si>
    <t>Yu Wei, Aldrich</t>
  </si>
  <si>
    <t>Tommaso</t>
  </si>
  <si>
    <t>Luís Filipe</t>
  </si>
  <si>
    <t>Toribio</t>
  </si>
  <si>
    <t>Mariano</t>
  </si>
  <si>
    <t>Álvaro</t>
  </si>
  <si>
    <t>GAGAS</t>
  </si>
  <si>
    <t>Thrasyvoulos</t>
  </si>
  <si>
    <t>Raphaël</t>
  </si>
  <si>
    <t>Vaggelis</t>
  </si>
  <si>
    <t>Morgan</t>
  </si>
  <si>
    <t>Eleonora</t>
  </si>
  <si>
    <t>ZAMMIT</t>
  </si>
  <si>
    <t>Muhd Farhan</t>
  </si>
  <si>
    <t>Haris</t>
  </si>
  <si>
    <t>Pasquale</t>
  </si>
  <si>
    <t>Pierluigi</t>
  </si>
  <si>
    <t>Alessio</t>
  </si>
  <si>
    <t>MANDANICI</t>
  </si>
  <si>
    <t>LO PRESTI</t>
  </si>
  <si>
    <t>CASÍN</t>
  </si>
  <si>
    <t>Antonio Jesús</t>
  </si>
  <si>
    <t>Michel</t>
  </si>
  <si>
    <t>Nico</t>
  </si>
  <si>
    <t>Marios</t>
  </si>
  <si>
    <t>Edoardo</t>
  </si>
  <si>
    <t>Jean</t>
  </si>
  <si>
    <t>Katrine</t>
  </si>
  <si>
    <t>Suhermanto</t>
  </si>
  <si>
    <t>Josh</t>
  </si>
  <si>
    <t>Roland</t>
  </si>
  <si>
    <t>René</t>
  </si>
  <si>
    <t>Ezio</t>
  </si>
  <si>
    <t>Leandro</t>
  </si>
  <si>
    <t>DI VITO</t>
  </si>
  <si>
    <t>DRAZINAKIS</t>
  </si>
  <si>
    <t>Mursyid</t>
  </si>
  <si>
    <t>Mohd Khairul Nizad</t>
  </si>
  <si>
    <t>Zi Rong, Galvin</t>
  </si>
  <si>
    <t>Stephan</t>
  </si>
  <si>
    <t>Abel</t>
  </si>
  <si>
    <t>Javier</t>
  </si>
  <si>
    <t>Jesús</t>
  </si>
  <si>
    <t>Brandon</t>
  </si>
  <si>
    <t>Kyle</t>
  </si>
  <si>
    <t>Mohd Farhan</t>
  </si>
  <si>
    <t>Santiago</t>
  </si>
  <si>
    <t>Michalis</t>
  </si>
  <si>
    <t>Muhd Raihan</t>
  </si>
  <si>
    <t>Alexandros</t>
  </si>
  <si>
    <t>Giulio</t>
  </si>
  <si>
    <t>Muhd Firdaus</t>
  </si>
  <si>
    <t>Susiayanto</t>
  </si>
  <si>
    <t>Mohd Faizul</t>
  </si>
  <si>
    <t>Alfredo</t>
  </si>
  <si>
    <t>Norizal</t>
  </si>
  <si>
    <t>Tiong Hian</t>
  </si>
  <si>
    <t>Chong Leng, Eddie</t>
  </si>
  <si>
    <t>Manolis</t>
  </si>
  <si>
    <t>Danny</t>
  </si>
  <si>
    <t>Chantal</t>
  </si>
  <si>
    <t>MANGANELLO</t>
  </si>
  <si>
    <t>DOGALI</t>
  </si>
  <si>
    <t>Martijn</t>
  </si>
  <si>
    <t>ALESSI</t>
  </si>
  <si>
    <t>MASSART</t>
  </si>
  <si>
    <t>Severino</t>
  </si>
  <si>
    <t>GOSET</t>
  </si>
  <si>
    <t>Allan</t>
  </si>
  <si>
    <t>PINAUSI</t>
  </si>
  <si>
    <t>DALEY</t>
  </si>
  <si>
    <t>DUBOIS</t>
  </si>
  <si>
    <t>Bernd</t>
  </si>
  <si>
    <t>RENALDINI</t>
  </si>
  <si>
    <t>Erwin</t>
  </si>
  <si>
    <t>Gerald</t>
  </si>
  <si>
    <t>Gerhard</t>
  </si>
  <si>
    <t>CURATO</t>
  </si>
  <si>
    <t>Anastasios</t>
  </si>
  <si>
    <t>Bartolomeo</t>
  </si>
  <si>
    <t>Vittorio</t>
  </si>
  <si>
    <t>TSC Black Rose 98 Roma</t>
  </si>
  <si>
    <t>Giacomo</t>
  </si>
  <si>
    <t>MASTRANTUONO</t>
  </si>
  <si>
    <t>Hans</t>
  </si>
  <si>
    <t>MARINUCCI</t>
  </si>
  <si>
    <t>TRENTA</t>
  </si>
  <si>
    <t>Corrado</t>
  </si>
  <si>
    <t>ARCA</t>
  </si>
  <si>
    <t>Amerigo</t>
  </si>
  <si>
    <t>POMMIER</t>
  </si>
  <si>
    <t>Stéphane</t>
  </si>
  <si>
    <t>Arnold</t>
  </si>
  <si>
    <t>Simon</t>
  </si>
  <si>
    <t>CERULLO</t>
  </si>
  <si>
    <t>Livio</t>
  </si>
  <si>
    <t>TRIVELLI</t>
  </si>
  <si>
    <t>Vasilis</t>
  </si>
  <si>
    <t>BATTISTA</t>
  </si>
  <si>
    <t>Umberto</t>
  </si>
  <si>
    <t>Leonardo</t>
  </si>
  <si>
    <t>BELLOTTO</t>
  </si>
  <si>
    <t>Jacob</t>
  </si>
  <si>
    <t>Mirco</t>
  </si>
  <si>
    <t>Bob</t>
  </si>
  <si>
    <t>Dieter</t>
  </si>
  <si>
    <t>Tasos</t>
  </si>
  <si>
    <t>PAPANIKOLAOU</t>
  </si>
  <si>
    <t>Manfredo</t>
  </si>
  <si>
    <t>Aldo</t>
  </si>
  <si>
    <t>Giorgio</t>
  </si>
  <si>
    <t>Aggelos</t>
  </si>
  <si>
    <t>Victoria</t>
  </si>
  <si>
    <t>Paola</t>
  </si>
  <si>
    <t>Dionysia</t>
  </si>
  <si>
    <t>Sara</t>
  </si>
  <si>
    <t>Audrey</t>
  </si>
  <si>
    <t>Gaia</t>
  </si>
  <si>
    <t>PATRIKIOU</t>
  </si>
  <si>
    <t>Eirini</t>
  </si>
  <si>
    <t>Nunzia</t>
  </si>
  <si>
    <t>Nada</t>
  </si>
  <si>
    <t>Sofia</t>
  </si>
  <si>
    <t>Xin Yu</t>
  </si>
  <si>
    <t>Celine</t>
  </si>
  <si>
    <t>Rosa</t>
  </si>
  <si>
    <t>Fatin</t>
  </si>
  <si>
    <t>Hui Lan, Cindy</t>
  </si>
  <si>
    <t>ZAMBELLO</t>
  </si>
  <si>
    <t>Jovi</t>
  </si>
  <si>
    <t>CICCARELLI</t>
  </si>
  <si>
    <t>Kenney</t>
  </si>
  <si>
    <t>Eddy</t>
  </si>
  <si>
    <t>Nicolas</t>
  </si>
  <si>
    <t>Mikey</t>
  </si>
  <si>
    <t>Noé</t>
  </si>
  <si>
    <t>BARUN</t>
  </si>
  <si>
    <t>Melvin</t>
  </si>
  <si>
    <t>Mohd Asyraaf</t>
  </si>
  <si>
    <t>Nur Hazely</t>
  </si>
  <si>
    <t>Corentin</t>
  </si>
  <si>
    <t>Valentin</t>
  </si>
  <si>
    <t>Benedikt</t>
  </si>
  <si>
    <t>Tristan</t>
  </si>
  <si>
    <t>Micael</t>
  </si>
  <si>
    <t>Théo</t>
  </si>
  <si>
    <t>Nikiforos</t>
  </si>
  <si>
    <t>Rinaldo</t>
  </si>
  <si>
    <t>Quentin</t>
  </si>
  <si>
    <t>Pantelis</t>
  </si>
  <si>
    <t>Luis</t>
  </si>
  <si>
    <t>Lucas</t>
  </si>
  <si>
    <t>Karl</t>
  </si>
  <si>
    <t>Ryan</t>
  </si>
  <si>
    <t>Shane</t>
  </si>
  <si>
    <t>Ian</t>
  </si>
  <si>
    <t>Tim</t>
  </si>
  <si>
    <t>Kye</t>
  </si>
  <si>
    <t>Manos</t>
  </si>
  <si>
    <t>Mirjam</t>
  </si>
  <si>
    <t>Tobias</t>
  </si>
  <si>
    <t>Mathias</t>
  </si>
  <si>
    <t>CHRISTOPOULOS</t>
  </si>
  <si>
    <t>Orestis</t>
  </si>
  <si>
    <t>BORGO</t>
  </si>
  <si>
    <t>Vitor</t>
  </si>
  <si>
    <t>AMATELLI</t>
  </si>
  <si>
    <t>Quincy</t>
  </si>
  <si>
    <t>VRANOVITZ</t>
  </si>
  <si>
    <t>Artemis</t>
  </si>
  <si>
    <t>Odysseas</t>
  </si>
  <si>
    <t>Cailim</t>
  </si>
  <si>
    <t>Cristian</t>
  </si>
  <si>
    <t>Cameron</t>
  </si>
  <si>
    <t>Tzanis</t>
  </si>
  <si>
    <t>Erik</t>
  </si>
  <si>
    <t>Evangelos</t>
  </si>
  <si>
    <t>Max</t>
  </si>
  <si>
    <t>Eduardo</t>
  </si>
  <si>
    <t>Felice</t>
  </si>
  <si>
    <t>Dino</t>
  </si>
  <si>
    <t>Ref Group</t>
  </si>
  <si>
    <t>Paramètres d'export des résultats</t>
  </si>
  <si>
    <t>Paramètres pour l'export des résultats</t>
  </si>
  <si>
    <t>Parameters for results export</t>
  </si>
  <si>
    <t>Results export parameters</t>
  </si>
  <si>
    <t>test - Group 1 - Round 1</t>
  </si>
  <si>
    <t>Results</t>
  </si>
  <si>
    <t>test - Group 2 - Round 1</t>
  </si>
  <si>
    <t>test - Group 3 - Round 1</t>
  </si>
  <si>
    <t>sd</t>
  </si>
  <si>
    <t>Mandatory zones :</t>
  </si>
  <si>
    <t>Rows 1 &amp; 2</t>
  </si>
  <si>
    <t>Header lines for printing</t>
  </si>
  <si>
    <t>Results_Session_Header</t>
  </si>
  <si>
    <t>Named area (name) containing the Header of a session. This Area contains following updatable zones :</t>
  </si>
  <si>
    <t>Col 1 : Session Nbr label</t>
  </si>
  <si>
    <t>Col 2 : Session number</t>
  </si>
  <si>
    <t>Col 6 : Session Hour</t>
  </si>
  <si>
    <t>Named area (name) containing one match result with following updatable zones :</t>
  </si>
  <si>
    <t>Col 1  : Stage</t>
  </si>
  <si>
    <t>Col 2 : Player 1</t>
  </si>
  <si>
    <t>Col 3 &amp; 5 : Goals</t>
  </si>
  <si>
    <t>Col 6 : Player 2</t>
  </si>
  <si>
    <t>Col 7 : Special result ( sudden death or shouts)</t>
  </si>
  <si>
    <t>Firstname LASTNAME</t>
  </si>
  <si>
    <t>Results_Group_Header</t>
  </si>
  <si>
    <t>Team A</t>
  </si>
  <si>
    <t>Team B</t>
  </si>
  <si>
    <t>Results_Match_First</t>
  </si>
  <si>
    <t>Results_Match_Even</t>
  </si>
  <si>
    <t>Results_Match_Odd</t>
  </si>
  <si>
    <t>Named area (name) containing the header and results with following updatable zones :</t>
  </si>
  <si>
    <t>Results_Group_FirstLine</t>
  </si>
  <si>
    <t>Col 1 : "EventName - Group Group_N°" for the header and player's names for other rows.</t>
  </si>
  <si>
    <t xml:space="preserve">Col 2 : Points </t>
  </si>
  <si>
    <t>Col 3 : Number of match played</t>
  </si>
  <si>
    <t xml:space="preserve">Col 4 : Number of win </t>
  </si>
  <si>
    <t>Col 5 : Number of Draw</t>
  </si>
  <si>
    <t>Col 6 : Number of loose</t>
  </si>
  <si>
    <t>Col 7 : Number of goals</t>
  </si>
  <si>
    <t>Col 8 : Number of goals against</t>
  </si>
  <si>
    <t>Col 9 : Goal difference</t>
  </si>
  <si>
    <t>Results_Group_EvenLine</t>
  </si>
  <si>
    <t>Results_Group_OddLine</t>
  </si>
  <si>
    <t>Results_Group_LastLine</t>
  </si>
  <si>
    <t>[ 7- 6 ] (sd)</t>
  </si>
  <si>
    <t xml:space="preserve">[ 8- 6 ] </t>
  </si>
  <si>
    <t>[ 6- 6 ] (sh : 3-2)</t>
  </si>
  <si>
    <t>Results_Match_Team_First</t>
  </si>
  <si>
    <t>Results_Match_Team_Even</t>
  </si>
  <si>
    <t>Results_Match_Team_Odd</t>
  </si>
  <si>
    <t>Results_Group_Header_Team</t>
  </si>
  <si>
    <t>Results_Group_FirstLine_Team</t>
  </si>
  <si>
    <t>Results_Group_EvenLine_Team</t>
  </si>
  <si>
    <t>Results_Group_OddLine_Team</t>
  </si>
  <si>
    <t>Results_Group_LastLine_Team</t>
  </si>
  <si>
    <t>Col 7 : Special result ( Total of Goals and sudden death or shouts)</t>
  </si>
  <si>
    <t>Col 2 : Team 1</t>
  </si>
  <si>
    <t>Col 6 : Team 2</t>
  </si>
  <si>
    <t>Col 3 &amp; 5 : Won matches</t>
  </si>
  <si>
    <t>Results_Match_TeamMatch</t>
  </si>
  <si>
    <t>Named area (name) containing One individual match with following updatable zones :</t>
  </si>
  <si>
    <t>Named area (name) containing one encounter result with following updatable zones :</t>
  </si>
  <si>
    <t>Col 7 : Special result ( sudden death )</t>
  </si>
  <si>
    <t>Results_Match_TeamSubstitute</t>
  </si>
  <si>
    <t>Named area (name) containing effective substitutions with following updatable zones :</t>
  </si>
  <si>
    <t>Col 2 : Substitute for Team 1</t>
  </si>
  <si>
    <t>Col 6 : Subsitute for Team 2</t>
  </si>
  <si>
    <t>Col 3 &amp; 5 : Substitution Match (S1 to S4)</t>
  </si>
  <si>
    <t>Results_Match_TeamShouts</t>
  </si>
  <si>
    <t>Named area (name) containing shouts result with following updatable zones :</t>
  </si>
  <si>
    <t>Col 3 : Number of encounter played</t>
  </si>
  <si>
    <t>Col 4 : Number of won encounters</t>
  </si>
  <si>
    <t>Col 5 : Number of Draw encounters</t>
  </si>
  <si>
    <t>Col 6 : Number of loose encounters</t>
  </si>
  <si>
    <t>Col 7 : Number of won individual matches</t>
  </si>
  <si>
    <t>Col 8 : Number of loose individual matches</t>
  </si>
  <si>
    <t>Col 9 : Matches difference</t>
  </si>
  <si>
    <t>Col 10 : Number of goals</t>
  </si>
  <si>
    <t>Col 11 : Number of goals against</t>
  </si>
  <si>
    <t>Col 12 : Goal difference</t>
  </si>
  <si>
    <t>Click to check the current zone</t>
  </si>
  <si>
    <t>sh: 3-2</t>
  </si>
  <si>
    <t>Export individual matches for team results</t>
  </si>
  <si>
    <t>Exporter les matches individuels en par équipe</t>
  </si>
  <si>
    <t>Paramètres d'export des feuilles de match</t>
  </si>
  <si>
    <t>Paramètres pour l'export des feuilles de match</t>
  </si>
  <si>
    <t>Scoresheets export parameters</t>
  </si>
  <si>
    <t>Parameters for scoresheets export</t>
  </si>
  <si>
    <t>Valeur par défaut de l'indicateur d'export des matches individuels pour les résultats par équipe</t>
  </si>
  <si>
    <t>Default value of the export indicator of individuals matches for team results</t>
  </si>
  <si>
    <t xml:space="preserve">The choosen file name corresponds to an openned file. Please close the target file and retry. </t>
  </si>
  <si>
    <t>Le nom de fichier choisi correspond à un fichier actuellement ouvert. Fermer le fichier ciblé et recommencer l'opération.</t>
  </si>
  <si>
    <t>Printing of venue ?</t>
  </si>
  <si>
    <t>Impression du plan de la salle ?</t>
  </si>
  <si>
    <t>Total Goals</t>
  </si>
  <si>
    <t>Total Wins</t>
  </si>
  <si>
    <t>Total Loses</t>
  </si>
  <si>
    <t>Total Draws</t>
  </si>
  <si>
    <t>Average Goals</t>
  </si>
  <si>
    <t>Played matches</t>
  </si>
  <si>
    <t>Moyenne
Buts</t>
  </si>
  <si>
    <t>Statistiques des joueurs</t>
  </si>
  <si>
    <t>Player's statistics</t>
  </si>
  <si>
    <t>Cette feuille présente les statistiques des joueurs sur l'ensemble de la compétition. 
Elle permet d'établir, notamment, le classement du plus grand nombre de buts marqués sur une épreuve.</t>
  </si>
  <si>
    <t>This worksheet presents statistics on players throughout the competition.
It establishes, in particular, the ranking of the greatest number of goals scored in an event.</t>
  </si>
  <si>
    <t>Laisser vide pour toutes les épreuves</t>
  </si>
  <si>
    <t>Let empty for all</t>
  </si>
  <si>
    <t>For Statistics</t>
  </si>
  <si>
    <t>Stats</t>
  </si>
  <si>
    <t>Consulter les statistiques des joueurs</t>
  </si>
  <si>
    <t>Consult players' statistics</t>
  </si>
  <si>
    <t>Impression des statistiques ?</t>
  </si>
  <si>
    <t>Printing of statistics ?</t>
  </si>
  <si>
    <t>Type de l'épreuve</t>
  </si>
  <si>
    <t>Event Type</t>
  </si>
  <si>
    <t xml:space="preserve">Liste des différentes épreuves de la compétition (noms et couleurs). Laisser vide pour la valeur par défaut. </t>
  </si>
  <si>
    <t>List of different events of the competition (names and colors). Let it empty for default value.</t>
  </si>
  <si>
    <t>Scoresheet_IndScoresheet</t>
  </si>
  <si>
    <t>Scoresheet_Ind_TournamentName</t>
  </si>
  <si>
    <t xml:space="preserve">Tournament title </t>
  </si>
  <si>
    <t>Individual Scoresheet</t>
  </si>
  <si>
    <t>Scoresheet_Ind_StageName</t>
  </si>
  <si>
    <t>Scoresheet_Ind_Time</t>
  </si>
  <si>
    <t>GMFT Copyright</t>
  </si>
  <si>
    <t>Scoresheet_Ind_Copyright</t>
  </si>
  <si>
    <t>Scoresheet_Ind_Table</t>
  </si>
  <si>
    <t>Scoresheet_Ind_Player1</t>
  </si>
  <si>
    <t>Scoresheet_Ind_Player2</t>
  </si>
  <si>
    <t>Scoresheet_Ind_Referee</t>
  </si>
  <si>
    <t>Team Scoresheet</t>
  </si>
  <si>
    <t>Scoresheet_Team_TournamentName</t>
  </si>
  <si>
    <t>Scoresheet_Team_StageName</t>
  </si>
  <si>
    <t>Scoresheet_Team_Time</t>
  </si>
  <si>
    <t>Scoresheet_Team_Table</t>
  </si>
  <si>
    <t>Scoresheet_Team_Referee</t>
  </si>
  <si>
    <t>Scoresheet_Team_Copyright</t>
  </si>
  <si>
    <t>Scoresheet_Team_Team1</t>
  </si>
  <si>
    <t>Scoresheet_Team_Team2</t>
  </si>
  <si>
    <t>Scoresheet_TeamScoresheet</t>
  </si>
  <si>
    <t>Double Scoresheet</t>
  </si>
  <si>
    <t>Scoresheet_DbleScoresheet</t>
  </si>
  <si>
    <t>Scoresheet_Dble_TournamentName</t>
  </si>
  <si>
    <t>Scoresheet_Dble_StageName</t>
  </si>
  <si>
    <t>Scoresheet_Dble_Time</t>
  </si>
  <si>
    <t>Scoresheet_Dble_Table</t>
  </si>
  <si>
    <t>Scoresheet_Dble_Team1</t>
  </si>
  <si>
    <t>Scoresheet_Dble_Team2</t>
  </si>
  <si>
    <t>Scoresheet_Dble_Referee</t>
  </si>
  <si>
    <t>Scoresheet_Dble_Copyright</t>
  </si>
  <si>
    <t>Scoresheet area - must be a set of lines</t>
  </si>
  <si>
    <t>Don't modify the Three first lines !</t>
  </si>
  <si>
    <t>You may change colors, lines &amp; columns sizes, scoresheet disposition but you must respect followings. Especially, all following names must exists in this worksheet.</t>
  </si>
  <si>
    <t>Header lines for Planning - must be entire lines</t>
  </si>
  <si>
    <t>ExpPlanning_Header</t>
  </si>
  <si>
    <t>ExportPlanningMatch</t>
  </si>
  <si>
    <t>Match line - must be entire line</t>
  </si>
  <si>
    <t>ExportPlanningBreak</t>
  </si>
  <si>
    <t>Break line between sessions - must be entire line</t>
  </si>
  <si>
    <t>ExportPlanningFooter</t>
  </si>
  <si>
    <t>Planning footer - must be entire line</t>
  </si>
  <si>
    <t>ExportPlanningHeader</t>
  </si>
  <si>
    <t>Match header line - must be entire line</t>
  </si>
  <si>
    <t>ExportPlanning_Time</t>
  </si>
  <si>
    <t>ExportPlanning_Stage</t>
  </si>
  <si>
    <t>ExportPlanning_Table</t>
  </si>
  <si>
    <t>ExportPlanning_Player1</t>
  </si>
  <si>
    <t>ExportPlanning_Referee</t>
  </si>
  <si>
    <t>ExportPlanning_Player2</t>
  </si>
  <si>
    <t>Arbitre de même Nationalité qu'un des joueurs de la poule</t>
  </si>
  <si>
    <t>Referee with the same Nationality as one of players of the group</t>
  </si>
  <si>
    <t>Cet arbitre fait partie du même club qu'un des joueurs de la poule</t>
  </si>
  <si>
    <t>Cet arbitre a la même nationalité qu'un des joueurs de la poule</t>
  </si>
  <si>
    <t>This referee is a member of the same club as one of players of the group</t>
  </si>
  <si>
    <t>Arbitre du même Club qu'un des joueurs de la poule</t>
  </si>
  <si>
    <t>Referee in the same Club as one of players of the group</t>
  </si>
  <si>
    <t>2.18</t>
  </si>
  <si>
    <t>2.18.a</t>
  </si>
  <si>
    <t>Release History</t>
  </si>
  <si>
    <t xml:space="preserve">Parameter sheet : update of official FISTF criteria in group position computing
In a group stage, group positions should be determined as follows:
1. Number of points won
2. Results(s) of the direct match(es)
3. Total goal difference
4. Most goals scored
5. Shoot-out
</t>
  </si>
  <si>
    <t>TO DO</t>
  </si>
  <si>
    <t>Final version</t>
  </si>
  <si>
    <t>Bug Correction : mod_Import_FISTF_WR
Sub CopyCategory =&gt; add ".Select" to have only one sheet selected before copying FISTF WR Data</t>
  </si>
  <si>
    <t>FISTF Licence file has changed =&gt; update of formulas in GMFT !</t>
  </si>
  <si>
    <t>2.18.b</t>
  </si>
  <si>
    <t xml:space="preserve">Le nombre de lignes de la liste des joueurs n'est pas suffisant pour importer la liste des joueurs FISTF. Augmenter le nombre de lignes de la liste jusqu'à : </t>
  </si>
  <si>
    <t xml:space="preserve">The number of lines of the Player List is less than the number of players within the FISTF list. Please increase the number of lines of the GMFT Club list to : </t>
  </si>
  <si>
    <t>2.18.c</t>
  </si>
  <si>
    <t>Session Number</t>
  </si>
  <si>
    <t>Scoresheet_Ind_SessionNb</t>
  </si>
  <si>
    <t>Scoresheet_Dble_SessionNb</t>
  </si>
  <si>
    <t>Scoresheet_Team_SessionNb</t>
  </si>
  <si>
    <t>Score à la mi-temps</t>
  </si>
  <si>
    <t>Half Time Score</t>
  </si>
  <si>
    <t>Bug correction : Highlighting player names when the same player/team name appears in more than 1 place in groups
New : Scoresheets : Added Session Number and Half Time Score (for Individuals only)</t>
  </si>
  <si>
    <t>2.18.d</t>
  </si>
  <si>
    <t>Bug correction : 
   Export Results - algorithme correction in case of categorized export (only some groups are exported)
   Filter on name doesn't applies to referee</t>
  </si>
  <si>
    <t>B</t>
  </si>
  <si>
    <t>C</t>
  </si>
  <si>
    <t>E</t>
  </si>
  <si>
    <t>H</t>
  </si>
  <si>
    <t>I</t>
  </si>
  <si>
    <t>K</t>
  </si>
  <si>
    <t>M</t>
  </si>
  <si>
    <t>O</t>
  </si>
  <si>
    <t>Q</t>
  </si>
  <si>
    <t>R</t>
  </si>
  <si>
    <t>S</t>
  </si>
  <si>
    <t>T</t>
  </si>
  <si>
    <t>Group of 9</t>
  </si>
  <si>
    <t>Group of 10</t>
  </si>
  <si>
    <t>Group of 11</t>
  </si>
  <si>
    <t>Group of 12</t>
  </si>
  <si>
    <t>Group of 13</t>
  </si>
  <si>
    <t>Group of 14</t>
  </si>
  <si>
    <t>Poule de 9</t>
  </si>
  <si>
    <t>Poule de 10</t>
  </si>
  <si>
    <t>Poule de 11</t>
  </si>
  <si>
    <t>Poule de 12</t>
  </si>
  <si>
    <t>Poule de 13</t>
  </si>
  <si>
    <t>Poule de 14</t>
  </si>
  <si>
    <t>Group of 15</t>
  </si>
  <si>
    <t>Group of 16</t>
  </si>
  <si>
    <t>Group of 17</t>
  </si>
  <si>
    <t>Group of 18</t>
  </si>
  <si>
    <t>Group of 19</t>
  </si>
  <si>
    <t>Group of 20</t>
  </si>
  <si>
    <t>Poule de 15</t>
  </si>
  <si>
    <t>Poule de 16</t>
  </si>
  <si>
    <t>Poule de 17</t>
  </si>
  <si>
    <t>Poule de 18</t>
  </si>
  <si>
    <t>Poule de 19</t>
  </si>
  <si>
    <t>Poule de 20</t>
  </si>
  <si>
    <t>Groups of 9</t>
  </si>
  <si>
    <t>Groups of 10</t>
  </si>
  <si>
    <t>Groups of 11</t>
  </si>
  <si>
    <t>Groups of 12</t>
  </si>
  <si>
    <t>Groups of 13</t>
  </si>
  <si>
    <t>Groups of 14</t>
  </si>
  <si>
    <t>Groups of 15</t>
  </si>
  <si>
    <t>Groups of 16</t>
  </si>
  <si>
    <t>Groups of 17</t>
  </si>
  <si>
    <t>Groups of 18</t>
  </si>
  <si>
    <t>Groups of 19</t>
  </si>
  <si>
    <t>Groups of 20</t>
  </si>
  <si>
    <t>Poules de 9</t>
  </si>
  <si>
    <t>Poules de 10</t>
  </si>
  <si>
    <t>Poules de 11</t>
  </si>
  <si>
    <t>Poules de 12</t>
  </si>
  <si>
    <t>Poules de 13</t>
  </si>
  <si>
    <t>Poules de 14</t>
  </si>
  <si>
    <t>Poules de 15</t>
  </si>
  <si>
    <t>Poules de 16</t>
  </si>
  <si>
    <t>Poules de 17</t>
  </si>
  <si>
    <t>Poules de 18</t>
  </si>
  <si>
    <t>Poules de 19</t>
  </si>
  <si>
    <t>Poules de 20</t>
  </si>
  <si>
    <t>#G9</t>
  </si>
  <si>
    <t>#G10</t>
  </si>
  <si>
    <t>#G11</t>
  </si>
  <si>
    <t>#G12</t>
  </si>
  <si>
    <t>#G13</t>
  </si>
  <si>
    <t>#G14</t>
  </si>
  <si>
    <t>#G15</t>
  </si>
  <si>
    <t>#G16</t>
  </si>
  <si>
    <t>#G17</t>
  </si>
  <si>
    <t>#G18</t>
  </si>
  <si>
    <t>#G19</t>
  </si>
  <si>
    <t>2.19</t>
  </si>
  <si>
    <t>2.20</t>
  </si>
  <si>
    <t>New :
   Change of the score display in team group ranking (from column BC): now the syntax is "M(G)" where M is individual games won and G is Goals
Bug :
   Team groups : Correction of a bad calculation of Particular Differentials in case of equality of mathes and goals.
   Team matches in Planning : Bad list of Substitute (S1, S2, S3, S4)
   Planning : Correction to control of same group for referee, only on stages of groups</t>
  </si>
  <si>
    <t>Organisation des matches avec priorité aux poules de 5</t>
  </si>
  <si>
    <t>Organisation des matches avec priorité aux poules de 6</t>
  </si>
  <si>
    <t>Organisation des matches avec priorité aux poules de 7</t>
  </si>
  <si>
    <t>Organisation des matches avec priorité aux poules de 8</t>
  </si>
  <si>
    <t>Organisation des matches avec priorité aux poules de 9</t>
  </si>
  <si>
    <t>Organisation des matches avec priorité aux poules de 10</t>
  </si>
  <si>
    <t>Organisation of matches with mainly groups of 5</t>
  </si>
  <si>
    <t>Organisation of matches with mainly groups of 6</t>
  </si>
  <si>
    <t>Organisation of matches with mainly groups of 7</t>
  </si>
  <si>
    <t>Organisation of matches with mainly groups of 8</t>
  </si>
  <si>
    <t>Organisation of matches with mainly groups of 9</t>
  </si>
  <si>
    <t>Organisation of matches with mainly groups of 10</t>
  </si>
  <si>
    <t>Le nombre minimum de participants est de 5 pour une compétition par poules de 5.</t>
  </si>
  <si>
    <t>Le nombre minimum de participants est de 6 pour une compétition par poules de 6.</t>
  </si>
  <si>
    <t>Le nombre minimum de participants est de 7 pour une compétition par poules de .</t>
  </si>
  <si>
    <t>Le nombre minimum de participants est de 8 pour une compétition par poules de 8.</t>
  </si>
  <si>
    <t>Le nombre minimum de participants est de 9 pour une compétition par poules de 9.</t>
  </si>
  <si>
    <t>Le nombre minimum de participants est de 10 pour une compétition par poules de 10.</t>
  </si>
  <si>
    <t>The minimum number of players is 10 when event is based on groups of 10</t>
  </si>
  <si>
    <t>The minimum number of players is 9 when event is based on groups of 9</t>
  </si>
  <si>
    <t>The minimum number of players is 5 when event is based on groups of 5</t>
  </si>
  <si>
    <t>The minimum number of players is 6 when event is based on groups of 6</t>
  </si>
  <si>
    <t>The minimum number of players is 7 when event is based on groups of 7</t>
  </si>
  <si>
    <t>The minimum number of players is 8 when event is based on groups of 8</t>
  </si>
  <si>
    <t>2.21</t>
  </si>
  <si>
    <t xml:space="preserve">New :
   Take into account of new FISTF official formula for competitions with up to 128 players and the choice of group of 3 to 10. </t>
  </si>
  <si>
    <t>5 Joueurs</t>
  </si>
  <si>
    <t>6 Joueurs</t>
  </si>
  <si>
    <t>7 Joueurs</t>
  </si>
  <si>
    <t>8 Joueurs</t>
  </si>
  <si>
    <t>9 Joueurs</t>
  </si>
  <si>
    <t>10 Joueurs</t>
  </si>
  <si>
    <t>5 Players</t>
  </si>
  <si>
    <t>6 Players</t>
  </si>
  <si>
    <t>7 Players</t>
  </si>
  <si>
    <t>8 Players</t>
  </si>
  <si>
    <t>9 Players</t>
  </si>
  <si>
    <t>10 Players</t>
  </si>
  <si>
    <t>Le nombre maximum de formules différentes pour un nombre de joueurs donné est dépassé. Modifier la feuille "CompetitionFormulas".</t>
  </si>
  <si>
    <t>The maximum number of different formulas for a given number of players is exceeded. Modify then"CompetitionFormulas" Sheet.</t>
  </si>
  <si>
    <t>Eq5</t>
  </si>
  <si>
    <t>Eq6</t>
  </si>
  <si>
    <t>Eq7</t>
  </si>
  <si>
    <t>Eq8</t>
  </si>
  <si>
    <t>concat</t>
  </si>
  <si>
    <t>New :
   Add of Champion ship groups up to 20 players</t>
  </si>
  <si>
    <t>2.22</t>
  </si>
  <si>
    <t xml:space="preserve">Bug correction :
   Error in the build of FISTF formulas with more than 4 players per group. </t>
  </si>
  <si>
    <t>Tournament_Title</t>
  </si>
  <si>
    <t>Title of the Tournament</t>
  </si>
  <si>
    <t>Opération annulée. Vous devez créer une compétition avant.</t>
  </si>
  <si>
    <t>Action canceled. You must create an event before.</t>
  </si>
  <si>
    <t>2.23</t>
  </si>
  <si>
    <t>Bug correction :
  Export Results : Bug if no events created before =&gt; msg to prevent
  Export Results : Tournament Title of the model sheet were not updated
  Team referees : Increase to up to 17 sessions to manage referees
  ScoreSheets : For teams &amp; Dbles, if players were fulfilled in GMFT, then print players and referees names
  Group Players : Possibility to choose "[---WithDraw---]"</t>
  </si>
  <si>
    <t>[---Forfait---]</t>
  </si>
  <si>
    <t>Group 1</t>
  </si>
  <si>
    <t>Group 2</t>
  </si>
  <si>
    <t>Group 3</t>
  </si>
  <si>
    <t>Group 4</t>
  </si>
  <si>
    <t>Group 5</t>
  </si>
  <si>
    <t>Group 6</t>
  </si>
  <si>
    <t>Group 7</t>
  </si>
  <si>
    <t>Group 8</t>
  </si>
  <si>
    <t>Group 9</t>
  </si>
  <si>
    <t>Group 10</t>
  </si>
  <si>
    <t>Group 11</t>
  </si>
  <si>
    <t>Group 12</t>
  </si>
  <si>
    <t>Group 13</t>
  </si>
  <si>
    <t>Group 14</t>
  </si>
  <si>
    <t>Group 15</t>
  </si>
  <si>
    <t>Group 16</t>
  </si>
  <si>
    <t>ARG0002</t>
  </si>
  <si>
    <t>ARG0009</t>
  </si>
  <si>
    <t>ARG0010</t>
  </si>
  <si>
    <t>ARG0011</t>
  </si>
  <si>
    <t>ARG0012</t>
  </si>
  <si>
    <t>ARG0013</t>
  </si>
  <si>
    <t>ARG0014</t>
  </si>
  <si>
    <t>ARG0017</t>
  </si>
  <si>
    <t>ARG0018</t>
  </si>
  <si>
    <t>ARG0019</t>
  </si>
  <si>
    <t>ARG0020</t>
  </si>
  <si>
    <t>ARG0026</t>
  </si>
  <si>
    <t>ARG0027</t>
  </si>
  <si>
    <t>ARG0030</t>
  </si>
  <si>
    <t>ARG0032</t>
  </si>
  <si>
    <t>ARG0035</t>
  </si>
  <si>
    <t>ARG0037</t>
  </si>
  <si>
    <t>ARG0042</t>
  </si>
  <si>
    <t>ARG0043</t>
  </si>
  <si>
    <t>ARG0044</t>
  </si>
  <si>
    <t>ARG0045</t>
  </si>
  <si>
    <t>ARG0046</t>
  </si>
  <si>
    <t>ARG0049</t>
  </si>
  <si>
    <t>ARG0051</t>
  </si>
  <si>
    <t>ARG0054</t>
  </si>
  <si>
    <t>ARG0055</t>
  </si>
  <si>
    <t>ARG0056</t>
  </si>
  <si>
    <t>ARG0058</t>
  </si>
  <si>
    <t>ARG0059</t>
  </si>
  <si>
    <t>ARG0060</t>
  </si>
  <si>
    <t>ARG0061</t>
  </si>
  <si>
    <t>ARG0062</t>
  </si>
  <si>
    <t>ARG0063</t>
  </si>
  <si>
    <t>ARG0064</t>
  </si>
  <si>
    <t>ARG0065</t>
  </si>
  <si>
    <t>ARG0066</t>
  </si>
  <si>
    <t>AUS0002</t>
  </si>
  <si>
    <t>AUT0002</t>
  </si>
  <si>
    <t>AUT0003</t>
  </si>
  <si>
    <t>AUT0010</t>
  </si>
  <si>
    <t>AUT0012</t>
  </si>
  <si>
    <t>AUT0013</t>
  </si>
  <si>
    <t>AUT0020</t>
  </si>
  <si>
    <t>AUT0021</t>
  </si>
  <si>
    <t>AUT0022</t>
  </si>
  <si>
    <t>AUT0024</t>
  </si>
  <si>
    <t>AUT0025</t>
  </si>
  <si>
    <t>AUT0026</t>
  </si>
  <si>
    <t>AUT0033</t>
  </si>
  <si>
    <t>AUT0035</t>
  </si>
  <si>
    <t>AUT0036</t>
  </si>
  <si>
    <t>AUT0040</t>
  </si>
  <si>
    <t>AUT0041</t>
  </si>
  <si>
    <t>AUT0043</t>
  </si>
  <si>
    <t>AUT0044</t>
  </si>
  <si>
    <t>AUT0045</t>
  </si>
  <si>
    <t>AUT0047</t>
  </si>
  <si>
    <t>AUT0051</t>
  </si>
  <si>
    <t>AUT0054</t>
  </si>
  <si>
    <t>AUT0056</t>
  </si>
  <si>
    <t>AUT0057</t>
  </si>
  <si>
    <t>AUT0059</t>
  </si>
  <si>
    <t>AUT0066</t>
  </si>
  <si>
    <t>AUT0069</t>
  </si>
  <si>
    <t>AUT0070</t>
  </si>
  <si>
    <t>AUT0072</t>
  </si>
  <si>
    <t>AUT0073</t>
  </si>
  <si>
    <t>BEL0015</t>
  </si>
  <si>
    <t>BEL0018</t>
  </si>
  <si>
    <t>BEL0021</t>
  </si>
  <si>
    <t>BEL0026</t>
  </si>
  <si>
    <t>BEL0033</t>
  </si>
  <si>
    <t>BEL0044</t>
  </si>
  <si>
    <t>BEL0047</t>
  </si>
  <si>
    <t>BEL0050</t>
  </si>
  <si>
    <t>BEL0051</t>
  </si>
  <si>
    <t>BEL0063</t>
  </si>
  <si>
    <t>BEL0064</t>
  </si>
  <si>
    <t>BEL0067</t>
  </si>
  <si>
    <t>BEL0069</t>
  </si>
  <si>
    <t>BEL0070</t>
  </si>
  <si>
    <t>BEL0073</t>
  </si>
  <si>
    <t>BEL0108</t>
  </si>
  <si>
    <t>BEL0120</t>
  </si>
  <si>
    <t>BEL0132</t>
  </si>
  <si>
    <t>BEL0137</t>
  </si>
  <si>
    <t>BEL0148</t>
  </si>
  <si>
    <t>BEL0151</t>
  </si>
  <si>
    <t>BEL0152</t>
  </si>
  <si>
    <t>BEL0157</t>
  </si>
  <si>
    <t>BEL0162</t>
  </si>
  <si>
    <t>BEL0163</t>
  </si>
  <si>
    <t>BEL0164</t>
  </si>
  <si>
    <t>BEL0166</t>
  </si>
  <si>
    <t>BEL0167</t>
  </si>
  <si>
    <t>BEL0168</t>
  </si>
  <si>
    <t>BEL0171</t>
  </si>
  <si>
    <t>BEL0176</t>
  </si>
  <si>
    <t>BEL0178</t>
  </si>
  <si>
    <t>BEL0179</t>
  </si>
  <si>
    <t>BEL0195</t>
  </si>
  <si>
    <t>BEL0197</t>
  </si>
  <si>
    <t>BEL0217</t>
  </si>
  <si>
    <t>BEL0236</t>
  </si>
  <si>
    <t>BRA0001</t>
  </si>
  <si>
    <t>BRA0005</t>
  </si>
  <si>
    <t>BRA0006</t>
  </si>
  <si>
    <t>BRA0007</t>
  </si>
  <si>
    <t>BRA0008</t>
  </si>
  <si>
    <t>BRA0009</t>
  </si>
  <si>
    <t>BRA0010</t>
  </si>
  <si>
    <t>BRA0012</t>
  </si>
  <si>
    <t>BRA0013</t>
  </si>
  <si>
    <t>BRA0014</t>
  </si>
  <si>
    <t>BRA0017</t>
  </si>
  <si>
    <t>BRA0018</t>
  </si>
  <si>
    <t>BRA0021</t>
  </si>
  <si>
    <t>BRA0025</t>
  </si>
  <si>
    <t>BRA0026</t>
  </si>
  <si>
    <t>BRA0028</t>
  </si>
  <si>
    <t>BRA0029</t>
  </si>
  <si>
    <t>BRA0032</t>
  </si>
  <si>
    <t>BRA0033</t>
  </si>
  <si>
    <t>BRA0034</t>
  </si>
  <si>
    <t>BRA0039</t>
  </si>
  <si>
    <t>BRA0040</t>
  </si>
  <si>
    <t>BRA0041</t>
  </si>
  <si>
    <t>BRA0043</t>
  </si>
  <si>
    <t>BRA0044</t>
  </si>
  <si>
    <t>BRA0045</t>
  </si>
  <si>
    <t>BRA0046</t>
  </si>
  <si>
    <t>BRA0047</t>
  </si>
  <si>
    <t>BRA0048</t>
  </si>
  <si>
    <t>BRA0049</t>
  </si>
  <si>
    <t>BRA0050</t>
  </si>
  <si>
    <t>BRA0051</t>
  </si>
  <si>
    <t>BRA0052</t>
  </si>
  <si>
    <t>BRA0053</t>
  </si>
  <si>
    <t>BRA0054</t>
  </si>
  <si>
    <t>BRA0055</t>
  </si>
  <si>
    <t>BRA0056</t>
  </si>
  <si>
    <t>BRA0058</t>
  </si>
  <si>
    <t>BRA0059</t>
  </si>
  <si>
    <t>BRA0060</t>
  </si>
  <si>
    <t>BRA0061</t>
  </si>
  <si>
    <t>BRA0062</t>
  </si>
  <si>
    <t>BRA0063</t>
  </si>
  <si>
    <t>BRA0064</t>
  </si>
  <si>
    <t>BRA0065</t>
  </si>
  <si>
    <t>BRA0066</t>
  </si>
  <si>
    <t>BRA0067</t>
  </si>
  <si>
    <t>BRA0068</t>
  </si>
  <si>
    <t>BRA0069</t>
  </si>
  <si>
    <t>BRA0070</t>
  </si>
  <si>
    <t>BRA0071</t>
  </si>
  <si>
    <t>BRA0072</t>
  </si>
  <si>
    <t>BRA0073</t>
  </si>
  <si>
    <t>BRA0074</t>
  </si>
  <si>
    <t>BRA0075</t>
  </si>
  <si>
    <t>BRA0076</t>
  </si>
  <si>
    <t>BRA0077</t>
  </si>
  <si>
    <t>BRA0078</t>
  </si>
  <si>
    <t>BRA0079</t>
  </si>
  <si>
    <t>BRA0080</t>
  </si>
  <si>
    <t>BRA0081</t>
  </si>
  <si>
    <t>BRA0082</t>
  </si>
  <si>
    <t>BRA0083</t>
  </si>
  <si>
    <t>BRA0084</t>
  </si>
  <si>
    <t>BRA0085</t>
  </si>
  <si>
    <t>BRA0086</t>
  </si>
  <si>
    <t>BRA0087</t>
  </si>
  <si>
    <t>BRA0088</t>
  </si>
  <si>
    <t>BRA0089</t>
  </si>
  <si>
    <t>BRA0091</t>
  </si>
  <si>
    <t>BRA0093</t>
  </si>
  <si>
    <t>BRA0094</t>
  </si>
  <si>
    <t>CAN0002</t>
  </si>
  <si>
    <t>CAN0005</t>
  </si>
  <si>
    <t>CAN0006</t>
  </si>
  <si>
    <t>CAN0008</t>
  </si>
  <si>
    <t>CAN0009</t>
  </si>
  <si>
    <t>CAN0010</t>
  </si>
  <si>
    <t>CAN0011</t>
  </si>
  <si>
    <t>CAN0012</t>
  </si>
  <si>
    <t>CAN0013</t>
  </si>
  <si>
    <t>CAN0014</t>
  </si>
  <si>
    <t>CAN0015</t>
  </si>
  <si>
    <t>CAN0016</t>
  </si>
  <si>
    <t>CAN0017</t>
  </si>
  <si>
    <t>CAN0018</t>
  </si>
  <si>
    <t>CAN0019</t>
  </si>
  <si>
    <t>CAN0020</t>
  </si>
  <si>
    <t>CAN0021</t>
  </si>
  <si>
    <t>CAN0022</t>
  </si>
  <si>
    <t>CAN0023</t>
  </si>
  <si>
    <t>CAN0024</t>
  </si>
  <si>
    <t>CAN0025</t>
  </si>
  <si>
    <t>CAN0026</t>
  </si>
  <si>
    <t>CAN0027</t>
  </si>
  <si>
    <t>CAN0028</t>
  </si>
  <si>
    <t>CAN0029</t>
  </si>
  <si>
    <t>CAN0030</t>
  </si>
  <si>
    <t>CAN0031</t>
  </si>
  <si>
    <t>CAN0042</t>
  </si>
  <si>
    <t>CAN0043</t>
  </si>
  <si>
    <t>CYP0001</t>
  </si>
  <si>
    <t>CYP0002</t>
  </si>
  <si>
    <t>CYP0003</t>
  </si>
  <si>
    <t>CYP0004</t>
  </si>
  <si>
    <t>CYP0005</t>
  </si>
  <si>
    <t>CYP0006</t>
  </si>
  <si>
    <t>CYP0007</t>
  </si>
  <si>
    <t>CYP0008</t>
  </si>
  <si>
    <t>CYP0009</t>
  </si>
  <si>
    <t>CYP0010</t>
  </si>
  <si>
    <t>CYP0011</t>
  </si>
  <si>
    <t>CYP0012</t>
  </si>
  <si>
    <t>CYP0013</t>
  </si>
  <si>
    <t>CYP0014</t>
  </si>
  <si>
    <t>CYP0015</t>
  </si>
  <si>
    <t>CYP0016</t>
  </si>
  <si>
    <t>CYP0017</t>
  </si>
  <si>
    <t>CYP0018</t>
  </si>
  <si>
    <t>CYP0019</t>
  </si>
  <si>
    <t>CYP0020</t>
  </si>
  <si>
    <t>CYP0021</t>
  </si>
  <si>
    <t>CYP0022</t>
  </si>
  <si>
    <t>CYP0023</t>
  </si>
  <si>
    <t>CYP0026</t>
  </si>
  <si>
    <t>CYP0030</t>
  </si>
  <si>
    <t>CYP0034</t>
  </si>
  <si>
    <t>CYP0035</t>
  </si>
  <si>
    <t>CYP0036</t>
  </si>
  <si>
    <t>CYP0037</t>
  </si>
  <si>
    <t>CYP0038</t>
  </si>
  <si>
    <t>CYP0039</t>
  </si>
  <si>
    <t>CYP0040</t>
  </si>
  <si>
    <t>CYP0041</t>
  </si>
  <si>
    <t>CYP0042</t>
  </si>
  <si>
    <t>CYP0043</t>
  </si>
  <si>
    <t>CYP0044</t>
  </si>
  <si>
    <t>CYP0045</t>
  </si>
  <si>
    <t>CYP0046</t>
  </si>
  <si>
    <t>CZE0001</t>
  </si>
  <si>
    <t>DEN0001</t>
  </si>
  <si>
    <t>DEN0002</t>
  </si>
  <si>
    <t>DEN0003</t>
  </si>
  <si>
    <t>DEN0004</t>
  </si>
  <si>
    <t>DEN0005</t>
  </si>
  <si>
    <t>DEN0006</t>
  </si>
  <si>
    <t>DEN0007</t>
  </si>
  <si>
    <t>DEN0008</t>
  </si>
  <si>
    <t>DEN0009</t>
  </si>
  <si>
    <t>DEN0010</t>
  </si>
  <si>
    <t>DEN0011</t>
  </si>
  <si>
    <t>DEN0012</t>
  </si>
  <si>
    <t>DEN0013</t>
  </si>
  <si>
    <t>DEN0014</t>
  </si>
  <si>
    <t>DEN0015</t>
  </si>
  <si>
    <t>DEN0016</t>
  </si>
  <si>
    <t>DEN0017</t>
  </si>
  <si>
    <t>DEN0018</t>
  </si>
  <si>
    <t>DEN0019</t>
  </si>
  <si>
    <t>DEN0035</t>
  </si>
  <si>
    <t>DEN0036</t>
  </si>
  <si>
    <t>DEN0037</t>
  </si>
  <si>
    <t>DEN0038</t>
  </si>
  <si>
    <t>DEN0039</t>
  </si>
  <si>
    <t>DEN0040</t>
  </si>
  <si>
    <t>DEN0041</t>
  </si>
  <si>
    <t>DEN0042</t>
  </si>
  <si>
    <t>DEN0043</t>
  </si>
  <si>
    <t>DEN0044</t>
  </si>
  <si>
    <t>DEN0045</t>
  </si>
  <si>
    <t>DEN0046</t>
  </si>
  <si>
    <t>DEN0047</t>
  </si>
  <si>
    <t>DEN0048</t>
  </si>
  <si>
    <t>DEN0049</t>
  </si>
  <si>
    <t>DEN0050</t>
  </si>
  <si>
    <t>DEN0051</t>
  </si>
  <si>
    <t>DEN0052</t>
  </si>
  <si>
    <t>DEN0053</t>
  </si>
  <si>
    <t>DEN0054</t>
  </si>
  <si>
    <t>DEN0055</t>
  </si>
  <si>
    <t>DEN0056</t>
  </si>
  <si>
    <t>DEN0058</t>
  </si>
  <si>
    <t>DEN0059</t>
  </si>
  <si>
    <t>DEN0060</t>
  </si>
  <si>
    <t>DEN0061</t>
  </si>
  <si>
    <t>DEN0062</t>
  </si>
  <si>
    <t>DEN0063</t>
  </si>
  <si>
    <t>DEN0064</t>
  </si>
  <si>
    <t>DEN0065</t>
  </si>
  <si>
    <t>DEN0066</t>
  </si>
  <si>
    <t>DEN0067</t>
  </si>
  <si>
    <t>DEN0068</t>
  </si>
  <si>
    <t>DEN0069</t>
  </si>
  <si>
    <t>DEN0070</t>
  </si>
  <si>
    <t>DEN0071</t>
  </si>
  <si>
    <t>DEN0072</t>
  </si>
  <si>
    <t>DEN0073</t>
  </si>
  <si>
    <t>DEN0074</t>
  </si>
  <si>
    <t>ENG0009</t>
  </si>
  <si>
    <t>ENG0049</t>
  </si>
  <si>
    <t>ENG0054</t>
  </si>
  <si>
    <t>ENG0057</t>
  </si>
  <si>
    <t>ENG0083</t>
  </si>
  <si>
    <t>ENG0086</t>
  </si>
  <si>
    <t>ENG0089</t>
  </si>
  <si>
    <t>ENG0092</t>
  </si>
  <si>
    <t>ENG0176</t>
  </si>
  <si>
    <t>ESP0001</t>
  </si>
  <si>
    <t>ESP0002</t>
  </si>
  <si>
    <t>ESP0006</t>
  </si>
  <si>
    <t>ESP0011</t>
  </si>
  <si>
    <t>ESP0015</t>
  </si>
  <si>
    <t>ESP0016</t>
  </si>
  <si>
    <t>ESP0019</t>
  </si>
  <si>
    <t>ESP0024</t>
  </si>
  <si>
    <t>ESP0033</t>
  </si>
  <si>
    <t>ESP0052</t>
  </si>
  <si>
    <t>ESP0059</t>
  </si>
  <si>
    <t>ESP0061</t>
  </si>
  <si>
    <t>ESP0064</t>
  </si>
  <si>
    <t>ESP0068</t>
  </si>
  <si>
    <t>ESP0069</t>
  </si>
  <si>
    <t>ESP0070</t>
  </si>
  <si>
    <t>ESP0076</t>
  </si>
  <si>
    <t>ESP0080</t>
  </si>
  <si>
    <t>ESP0121</t>
  </si>
  <si>
    <t>ESP0131</t>
  </si>
  <si>
    <t>ESP0187</t>
  </si>
  <si>
    <t>ESP0188</t>
  </si>
  <si>
    <t>ESP0242</t>
  </si>
  <si>
    <t>ESP0352</t>
  </si>
  <si>
    <t>ESP0354</t>
  </si>
  <si>
    <t>FRA0109</t>
  </si>
  <si>
    <t>GER0002</t>
  </si>
  <si>
    <t>GER0003</t>
  </si>
  <si>
    <t>GER0004</t>
  </si>
  <si>
    <t>GER0005</t>
  </si>
  <si>
    <t>GER0007</t>
  </si>
  <si>
    <t>GER0009</t>
  </si>
  <si>
    <t>GER0010</t>
  </si>
  <si>
    <t>GER0011</t>
  </si>
  <si>
    <t>GER0012</t>
  </si>
  <si>
    <t>GER0013</t>
  </si>
  <si>
    <t>GER0014</t>
  </si>
  <si>
    <t>GER0015</t>
  </si>
  <si>
    <t>GER0018</t>
  </si>
  <si>
    <t>GER0019</t>
  </si>
  <si>
    <t>GER0021</t>
  </si>
  <si>
    <t>GER0022</t>
  </si>
  <si>
    <t>GER0024</t>
  </si>
  <si>
    <t>GER0027</t>
  </si>
  <si>
    <t>GER0029</t>
  </si>
  <si>
    <t>GER0030</t>
  </si>
  <si>
    <t>GER0031</t>
  </si>
  <si>
    <t>GER0032</t>
  </si>
  <si>
    <t>GER0033</t>
  </si>
  <si>
    <t>GER0034</t>
  </si>
  <si>
    <t>GER0035</t>
  </si>
  <si>
    <t>GER0036</t>
  </si>
  <si>
    <t>GER0037</t>
  </si>
  <si>
    <t>GER0038</t>
  </si>
  <si>
    <t>GER0039</t>
  </si>
  <si>
    <t>GER0040</t>
  </si>
  <si>
    <t>GER0041</t>
  </si>
  <si>
    <t>GER0042</t>
  </si>
  <si>
    <t>GER0043</t>
  </si>
  <si>
    <t>GER0044</t>
  </si>
  <si>
    <t>GER0045</t>
  </si>
  <si>
    <t>GER0046</t>
  </si>
  <si>
    <t>GER0047</t>
  </si>
  <si>
    <t>GER0049</t>
  </si>
  <si>
    <t>GER0050</t>
  </si>
  <si>
    <t>GER0051</t>
  </si>
  <si>
    <t>GER0052</t>
  </si>
  <si>
    <t>GER0055</t>
  </si>
  <si>
    <t>GER0056</t>
  </si>
  <si>
    <t>GER0057</t>
  </si>
  <si>
    <t>GER0058</t>
  </si>
  <si>
    <t>GER0059</t>
  </si>
  <si>
    <t>GER0060</t>
  </si>
  <si>
    <t>GER0061</t>
  </si>
  <si>
    <t>GER0062</t>
  </si>
  <si>
    <t>GER0063</t>
  </si>
  <si>
    <t>GER0064</t>
  </si>
  <si>
    <t>GER0065</t>
  </si>
  <si>
    <t>GER0066</t>
  </si>
  <si>
    <t>GER0067</t>
  </si>
  <si>
    <t>GER0068</t>
  </si>
  <si>
    <t>GER0069</t>
  </si>
  <si>
    <t>GER0070</t>
  </si>
  <si>
    <t>GER0071</t>
  </si>
  <si>
    <t>GER0073</t>
  </si>
  <si>
    <t>GER0074</t>
  </si>
  <si>
    <t>GER0076</t>
  </si>
  <si>
    <t>GER0077</t>
  </si>
  <si>
    <t>GER0078</t>
  </si>
  <si>
    <t>GER0079</t>
  </si>
  <si>
    <t>GER0081</t>
  </si>
  <si>
    <t>GER0082</t>
  </si>
  <si>
    <t>GER0083</t>
  </si>
  <si>
    <t>GER0084</t>
  </si>
  <si>
    <t>GER0085</t>
  </si>
  <si>
    <t>GER0088</t>
  </si>
  <si>
    <t>GER0089</t>
  </si>
  <si>
    <t>GER0092</t>
  </si>
  <si>
    <t>GER0094</t>
  </si>
  <si>
    <t>GER0095</t>
  </si>
  <si>
    <t>GER0096</t>
  </si>
  <si>
    <t>GER0097</t>
  </si>
  <si>
    <t>GIB0001</t>
  </si>
  <si>
    <t>GIB0002</t>
  </si>
  <si>
    <t>GIB0003</t>
  </si>
  <si>
    <t>GIB0004</t>
  </si>
  <si>
    <t>GIB0005</t>
  </si>
  <si>
    <t>GIB0009</t>
  </si>
  <si>
    <t>GIB0015</t>
  </si>
  <si>
    <t>GIB0049</t>
  </si>
  <si>
    <t>GIB0051</t>
  </si>
  <si>
    <t>GRE0002</t>
  </si>
  <si>
    <t>GRE0003</t>
  </si>
  <si>
    <t>GRE0004</t>
  </si>
  <si>
    <t>GRE0005</t>
  </si>
  <si>
    <t>GRE0006</t>
  </si>
  <si>
    <t>GRE0007</t>
  </si>
  <si>
    <t>GRE0008</t>
  </si>
  <si>
    <t>GRE0009</t>
  </si>
  <si>
    <t>GRE0010</t>
  </si>
  <si>
    <t>GRE0011</t>
  </si>
  <si>
    <t>GRE0012</t>
  </si>
  <si>
    <t>GRE0013</t>
  </si>
  <si>
    <t>GRE0014</t>
  </si>
  <si>
    <t>GRE0015</t>
  </si>
  <si>
    <t>GRE0016</t>
  </si>
  <si>
    <t>GRE0017</t>
  </si>
  <si>
    <t>GRE0018</t>
  </si>
  <si>
    <t>GRE0019</t>
  </si>
  <si>
    <t>GRE0020</t>
  </si>
  <si>
    <t>GRE0021</t>
  </si>
  <si>
    <t>GRE0023</t>
  </si>
  <si>
    <t>GRE0024</t>
  </si>
  <si>
    <t>GRE0025</t>
  </si>
  <si>
    <t>GRE0026</t>
  </si>
  <si>
    <t>GRE0027</t>
  </si>
  <si>
    <t>GRE0028</t>
  </si>
  <si>
    <t>GRE0029</t>
  </si>
  <si>
    <t>GRE0030</t>
  </si>
  <si>
    <t>GRE0031</t>
  </si>
  <si>
    <t>GRE0032</t>
  </si>
  <si>
    <t>GRE0033</t>
  </si>
  <si>
    <t>GRE0034</t>
  </si>
  <si>
    <t>GRE0035</t>
  </si>
  <si>
    <t>GRE0036</t>
  </si>
  <si>
    <t>GRE0037</t>
  </si>
  <si>
    <t>GRE0038</t>
  </si>
  <si>
    <t>GRE0039</t>
  </si>
  <si>
    <t>GRE0040</t>
  </si>
  <si>
    <t>GRE0041</t>
  </si>
  <si>
    <t>GRE0042</t>
  </si>
  <si>
    <t>GRE0043</t>
  </si>
  <si>
    <t>GRE0044</t>
  </si>
  <si>
    <t>GRE0045</t>
  </si>
  <si>
    <t>GRE0046</t>
  </si>
  <si>
    <t>GRE0047</t>
  </si>
  <si>
    <t>GRE0048</t>
  </si>
  <si>
    <t>GRE0049</t>
  </si>
  <si>
    <t>GRE0050</t>
  </si>
  <si>
    <t>GRE0051</t>
  </si>
  <si>
    <t>GRE0052</t>
  </si>
  <si>
    <t>GRE0053</t>
  </si>
  <si>
    <t>GRE0054</t>
  </si>
  <si>
    <t>GRE0055</t>
  </si>
  <si>
    <t>GRE0056</t>
  </si>
  <si>
    <t>GRE0057</t>
  </si>
  <si>
    <t>GRE0058</t>
  </si>
  <si>
    <t>GRE0059</t>
  </si>
  <si>
    <t>GRE0060</t>
  </si>
  <si>
    <t>GRE0061</t>
  </si>
  <si>
    <t>GRE0062</t>
  </si>
  <si>
    <t>GRE0063</t>
  </si>
  <si>
    <t>GRE0065</t>
  </si>
  <si>
    <t>GRE0066</t>
  </si>
  <si>
    <t>GRE0067</t>
  </si>
  <si>
    <t>GRE0068</t>
  </si>
  <si>
    <t>GRE0070</t>
  </si>
  <si>
    <t>GRE0071</t>
  </si>
  <si>
    <t>GRE0072</t>
  </si>
  <si>
    <t>GRE0073</t>
  </si>
  <si>
    <t>GRE0075</t>
  </si>
  <si>
    <t>GRE0076</t>
  </si>
  <si>
    <t>GRE0077</t>
  </si>
  <si>
    <t>GRE0078</t>
  </si>
  <si>
    <t>GRE0079</t>
  </si>
  <si>
    <t>GRE0080</t>
  </si>
  <si>
    <t>GRE0081</t>
  </si>
  <si>
    <t>GRE0082</t>
  </si>
  <si>
    <t>GRE0083</t>
  </si>
  <si>
    <t>GRE0084</t>
  </si>
  <si>
    <t>GRE0085</t>
  </si>
  <si>
    <t>GRE0086</t>
  </si>
  <si>
    <t>GRE0087</t>
  </si>
  <si>
    <t>GRE0088</t>
  </si>
  <si>
    <t>GRE0089</t>
  </si>
  <si>
    <t>GRE0090</t>
  </si>
  <si>
    <t>GRE0091</t>
  </si>
  <si>
    <t>GRE0092</t>
  </si>
  <si>
    <t>GRE0093</t>
  </si>
  <si>
    <t>GRE0094</t>
  </si>
  <si>
    <t>GRE0095</t>
  </si>
  <si>
    <t>GRE0099</t>
  </si>
  <si>
    <t>GRE0100</t>
  </si>
  <si>
    <t>GRE0101</t>
  </si>
  <si>
    <t>GRE0102</t>
  </si>
  <si>
    <t>GRE0103</t>
  </si>
  <si>
    <t>GRE0104</t>
  </si>
  <si>
    <t>GRE0105</t>
  </si>
  <si>
    <t>GRE0106</t>
  </si>
  <si>
    <t>GRE0107</t>
  </si>
  <si>
    <t>GRE0108</t>
  </si>
  <si>
    <t>GRE0109</t>
  </si>
  <si>
    <t>GRE0110</t>
  </si>
  <si>
    <t>GRE0111</t>
  </si>
  <si>
    <t>GRE0112</t>
  </si>
  <si>
    <t>GRE0113</t>
  </si>
  <si>
    <t>GRE0114</t>
  </si>
  <si>
    <t>GRE0115</t>
  </si>
  <si>
    <t>GRE0116</t>
  </si>
  <si>
    <t>GRE0119</t>
  </si>
  <si>
    <t>GRE0120</t>
  </si>
  <si>
    <t>GRE0121</t>
  </si>
  <si>
    <t>GRE0122</t>
  </si>
  <si>
    <t>GRE0123</t>
  </si>
  <si>
    <t>GRE0124</t>
  </si>
  <si>
    <t>GRE0125</t>
  </si>
  <si>
    <t>GRE0126</t>
  </si>
  <si>
    <t>GRE0127</t>
  </si>
  <si>
    <t>GRE0128</t>
  </si>
  <si>
    <t>GRE0129</t>
  </si>
  <si>
    <t>GRE0130</t>
  </si>
  <si>
    <t>GRE0132</t>
  </si>
  <si>
    <t>GRE0133</t>
  </si>
  <si>
    <t>GRE0134</t>
  </si>
  <si>
    <t>GRE0135</t>
  </si>
  <si>
    <t>GRE0136</t>
  </si>
  <si>
    <t>GRE0137</t>
  </si>
  <si>
    <t>GRE0139</t>
  </si>
  <si>
    <t>GRE0140</t>
  </si>
  <si>
    <t>GRE0141</t>
  </si>
  <si>
    <t>GRE0142</t>
  </si>
  <si>
    <t>GRE0144</t>
  </si>
  <si>
    <t>GRE0145</t>
  </si>
  <si>
    <t>GRE0147</t>
  </si>
  <si>
    <t>GRE0148</t>
  </si>
  <si>
    <t>GRE0150</t>
  </si>
  <si>
    <t>GRE0151</t>
  </si>
  <si>
    <t>GRE0154</t>
  </si>
  <si>
    <t>GRE0155</t>
  </si>
  <si>
    <t>GRE0156</t>
  </si>
  <si>
    <t>GRE0157</t>
  </si>
  <si>
    <t>GRE0158</t>
  </si>
  <si>
    <t>GRE0159</t>
  </si>
  <si>
    <t>GRE0160</t>
  </si>
  <si>
    <t>GRE0161</t>
  </si>
  <si>
    <t>GRE0162</t>
  </si>
  <si>
    <t>GRE0163</t>
  </si>
  <si>
    <t>GRE0164</t>
  </si>
  <si>
    <t>GRE0166</t>
  </si>
  <si>
    <t>GRE0167</t>
  </si>
  <si>
    <t>GRE0168</t>
  </si>
  <si>
    <t>GRE0169</t>
  </si>
  <si>
    <t>GRE0170</t>
  </si>
  <si>
    <t>GRE0171</t>
  </si>
  <si>
    <t>GRE0172</t>
  </si>
  <si>
    <t>GRE0173</t>
  </si>
  <si>
    <t>GRE0174</t>
  </si>
  <si>
    <t>GRE0175</t>
  </si>
  <si>
    <t>GRE0176</t>
  </si>
  <si>
    <t>GRE0177</t>
  </si>
  <si>
    <t>GRE0178</t>
  </si>
  <si>
    <t>GRE0179</t>
  </si>
  <si>
    <t>GRE0180</t>
  </si>
  <si>
    <t>GRE0181</t>
  </si>
  <si>
    <t>GRE0182</t>
  </si>
  <si>
    <t>GRE0183</t>
  </si>
  <si>
    <t>GRE0184</t>
  </si>
  <si>
    <t>GRE0185</t>
  </si>
  <si>
    <t>GRE0186</t>
  </si>
  <si>
    <t>GRE0187</t>
  </si>
  <si>
    <t>GRE0188</t>
  </si>
  <si>
    <t>GRE0189</t>
  </si>
  <si>
    <t>GRE0190</t>
  </si>
  <si>
    <t>GRE0191</t>
  </si>
  <si>
    <t>GRE0192</t>
  </si>
  <si>
    <t>GRE0193</t>
  </si>
  <si>
    <t>GRE0194</t>
  </si>
  <si>
    <t>GRE0195</t>
  </si>
  <si>
    <t>GRE0196</t>
  </si>
  <si>
    <t>GRE0197</t>
  </si>
  <si>
    <t>GRE0198</t>
  </si>
  <si>
    <t>GRE0199</t>
  </si>
  <si>
    <t>GRE0200</t>
  </si>
  <si>
    <t>GRE0201</t>
  </si>
  <si>
    <t>GRE0202</t>
  </si>
  <si>
    <t>GRE0203</t>
  </si>
  <si>
    <t>GRE0204</t>
  </si>
  <si>
    <t>GRE0205</t>
  </si>
  <si>
    <t>GRE0206</t>
  </si>
  <si>
    <t>GRE0207</t>
  </si>
  <si>
    <t>GRE0208</t>
  </si>
  <si>
    <t>GRE0209</t>
  </si>
  <si>
    <t>GRE0210</t>
  </si>
  <si>
    <t>GRE0211</t>
  </si>
  <si>
    <t>GRE0212</t>
  </si>
  <si>
    <t>GRE0213</t>
  </si>
  <si>
    <t>GRE0214</t>
  </si>
  <si>
    <t>GRE0215</t>
  </si>
  <si>
    <t>GRE0216</t>
  </si>
  <si>
    <t>GRE0217</t>
  </si>
  <si>
    <t>GRE0218</t>
  </si>
  <si>
    <t>GRE0219</t>
  </si>
  <si>
    <t>GRE0220</t>
  </si>
  <si>
    <t>GRE0221</t>
  </si>
  <si>
    <t>GRE0223</t>
  </si>
  <si>
    <t>GRE0224</t>
  </si>
  <si>
    <t>GRE0225</t>
  </si>
  <si>
    <t>GRE0226</t>
  </si>
  <si>
    <t>GRE0227</t>
  </si>
  <si>
    <t>GRE0228</t>
  </si>
  <si>
    <t>GRE0229</t>
  </si>
  <si>
    <t>GRE0230</t>
  </si>
  <si>
    <t>GRE0231</t>
  </si>
  <si>
    <t>GRE0232</t>
  </si>
  <si>
    <t>GRE0233</t>
  </si>
  <si>
    <t>GRE0234</t>
  </si>
  <si>
    <t>GRE0235</t>
  </si>
  <si>
    <t>GRE0236</t>
  </si>
  <si>
    <t>GRE0237</t>
  </si>
  <si>
    <t>GRE0238</t>
  </si>
  <si>
    <t>GRE0239</t>
  </si>
  <si>
    <t>GRE0240</t>
  </si>
  <si>
    <t>GRE0241</t>
  </si>
  <si>
    <t>GRE0242</t>
  </si>
  <si>
    <t>GRE0243</t>
  </si>
  <si>
    <t>GRE0244</t>
  </si>
  <si>
    <t>GRE0245</t>
  </si>
  <si>
    <t>GRE0246</t>
  </si>
  <si>
    <t>GRE0247</t>
  </si>
  <si>
    <t>GRE0248</t>
  </si>
  <si>
    <t>GRE0249</t>
  </si>
  <si>
    <t>GRE0251</t>
  </si>
  <si>
    <t>GRE0252</t>
  </si>
  <si>
    <t>GRE0253</t>
  </si>
  <si>
    <t>GRE0254</t>
  </si>
  <si>
    <t>GRE0255</t>
  </si>
  <si>
    <t>GRE0256</t>
  </si>
  <si>
    <t>GRE0257</t>
  </si>
  <si>
    <t>GRE0258</t>
  </si>
  <si>
    <t>GRE0259</t>
  </si>
  <si>
    <t>GRE0260</t>
  </si>
  <si>
    <t>GRE0261</t>
  </si>
  <si>
    <t>GRE0262</t>
  </si>
  <si>
    <t>GRE0263</t>
  </si>
  <si>
    <t>GRE0264</t>
  </si>
  <si>
    <t>GRE0265</t>
  </si>
  <si>
    <t>GRE0266</t>
  </si>
  <si>
    <t>GRE0267</t>
  </si>
  <si>
    <t>GRE0268</t>
  </si>
  <si>
    <t>GRE0269</t>
  </si>
  <si>
    <t>GRE0270</t>
  </si>
  <si>
    <t>GRE0271</t>
  </si>
  <si>
    <t>GRE0272</t>
  </si>
  <si>
    <t>GRE0273</t>
  </si>
  <si>
    <t>GRE0275</t>
  </si>
  <si>
    <t>GRE0276</t>
  </si>
  <si>
    <t>GRE0277</t>
  </si>
  <si>
    <t>GRE0278</t>
  </si>
  <si>
    <t>GRE0279</t>
  </si>
  <si>
    <t>GRE0280</t>
  </si>
  <si>
    <t>GRE0281</t>
  </si>
  <si>
    <t>GRE0282</t>
  </si>
  <si>
    <t>GRE0283</t>
  </si>
  <si>
    <t>GRE0284</t>
  </si>
  <si>
    <t>GRE0285</t>
  </si>
  <si>
    <t>GRE0288</t>
  </si>
  <si>
    <t>GRE0289</t>
  </si>
  <si>
    <t>GRE0293</t>
  </si>
  <si>
    <t>GRE0294</t>
  </si>
  <si>
    <t>GRE0295</t>
  </si>
  <si>
    <t>GRE0296</t>
  </si>
  <si>
    <t>GRE0297</t>
  </si>
  <si>
    <t>GRE0298</t>
  </si>
  <si>
    <t>GRE0299</t>
  </si>
  <si>
    <t>GRE0300</t>
  </si>
  <si>
    <t>GRE0301</t>
  </si>
  <si>
    <t>GRE0302</t>
  </si>
  <si>
    <t>GRE0303</t>
  </si>
  <si>
    <t>GRE0304</t>
  </si>
  <si>
    <t>GRE0305</t>
  </si>
  <si>
    <t>GRE0306</t>
  </si>
  <si>
    <t>GRE0307</t>
  </si>
  <si>
    <t>GRE0308</t>
  </si>
  <si>
    <t>GRE0309</t>
  </si>
  <si>
    <t>GRE0310</t>
  </si>
  <si>
    <t>GRE0311</t>
  </si>
  <si>
    <t>GRE0312</t>
  </si>
  <si>
    <t>GRE0313</t>
  </si>
  <si>
    <t>GRE0314</t>
  </si>
  <si>
    <t>GRE0315</t>
  </si>
  <si>
    <t>GRE0316</t>
  </si>
  <si>
    <t>GRE0317</t>
  </si>
  <si>
    <t>GRE0319</t>
  </si>
  <si>
    <t>GRE0320</t>
  </si>
  <si>
    <t>GRE0321</t>
  </si>
  <si>
    <t>GRE0322</t>
  </si>
  <si>
    <t>GRE0323</t>
  </si>
  <si>
    <t>GRE0324</t>
  </si>
  <si>
    <t>GRE0325</t>
  </si>
  <si>
    <t>GRE0326</t>
  </si>
  <si>
    <t>GRE0327</t>
  </si>
  <si>
    <t>GRE0328</t>
  </si>
  <si>
    <t>GRE0329</t>
  </si>
  <si>
    <t>GRE0330</t>
  </si>
  <si>
    <t>GRE0331</t>
  </si>
  <si>
    <t>GRE0332</t>
  </si>
  <si>
    <t>GRE0333</t>
  </si>
  <si>
    <t>GRE0334</t>
  </si>
  <si>
    <t>GRE0335</t>
  </si>
  <si>
    <t>GRE0336</t>
  </si>
  <si>
    <t>GRE0337</t>
  </si>
  <si>
    <t>GRE0338</t>
  </si>
  <si>
    <t>GRE0339</t>
  </si>
  <si>
    <t>GRE0340</t>
  </si>
  <si>
    <t>GRE0341</t>
  </si>
  <si>
    <t>GRE0342</t>
  </si>
  <si>
    <t>GRE0343</t>
  </si>
  <si>
    <t>GRE0344</t>
  </si>
  <si>
    <t>GRE0345</t>
  </si>
  <si>
    <t>GRE0346</t>
  </si>
  <si>
    <t>GRE0347</t>
  </si>
  <si>
    <t>GRE0348</t>
  </si>
  <si>
    <t>GRE0349</t>
  </si>
  <si>
    <t>GRE0350</t>
  </si>
  <si>
    <t>GRE0351</t>
  </si>
  <si>
    <t>GRE0352</t>
  </si>
  <si>
    <t>GRE0353</t>
  </si>
  <si>
    <t>GRE0354</t>
  </si>
  <si>
    <t>GRE0355</t>
  </si>
  <si>
    <t>GRE0356</t>
  </si>
  <si>
    <t>GRE0357</t>
  </si>
  <si>
    <t>GRE0358</t>
  </si>
  <si>
    <t>GRE0359</t>
  </si>
  <si>
    <t>GRE0360</t>
  </si>
  <si>
    <t>GRE0361</t>
  </si>
  <si>
    <t>GRE0362</t>
  </si>
  <si>
    <t>GRE0363</t>
  </si>
  <si>
    <t>GRE0364</t>
  </si>
  <si>
    <t>GRE0365</t>
  </si>
  <si>
    <t>GRE0366</t>
  </si>
  <si>
    <t>GRE0367</t>
  </si>
  <si>
    <t>GRE0368</t>
  </si>
  <si>
    <t>GRE0369</t>
  </si>
  <si>
    <t>GRE0370</t>
  </si>
  <si>
    <t>GRE0371</t>
  </si>
  <si>
    <t>GRE0372</t>
  </si>
  <si>
    <t>GRE0373</t>
  </si>
  <si>
    <t>GRE0374</t>
  </si>
  <si>
    <t>GRE0375</t>
  </si>
  <si>
    <t>GRE0376</t>
  </si>
  <si>
    <t>GRE0377</t>
  </si>
  <si>
    <t>GRE0378</t>
  </si>
  <si>
    <t>HKG0001</t>
  </si>
  <si>
    <t>HUN0002</t>
  </si>
  <si>
    <t>HUN0006</t>
  </si>
  <si>
    <t>HUN0025</t>
  </si>
  <si>
    <t>HUN0026</t>
  </si>
  <si>
    <t>ISR0014</t>
  </si>
  <si>
    <t>ITA0009</t>
  </si>
  <si>
    <t>ITA0011</t>
  </si>
  <si>
    <t>ITA0020</t>
  </si>
  <si>
    <t>ITA0021</t>
  </si>
  <si>
    <t>ITA0030</t>
  </si>
  <si>
    <t>ITA0045</t>
  </si>
  <si>
    <t>ITA0046</t>
  </si>
  <si>
    <t>ITA0052</t>
  </si>
  <si>
    <t>ITA0054</t>
  </si>
  <si>
    <t>ITA0055</t>
  </si>
  <si>
    <t>ITA0056</t>
  </si>
  <si>
    <t>ITA0057</t>
  </si>
  <si>
    <t>ITA0063</t>
  </si>
  <si>
    <t>ITA0065</t>
  </si>
  <si>
    <t>ITA0066</t>
  </si>
  <si>
    <t>ITA0070</t>
  </si>
  <si>
    <t>ITA0074</t>
  </si>
  <si>
    <t>ITA0076</t>
  </si>
  <si>
    <t>ITA0077</t>
  </si>
  <si>
    <t>ITA0078</t>
  </si>
  <si>
    <t>ITA0079</t>
  </si>
  <si>
    <t>ITA0083</t>
  </si>
  <si>
    <t>ITA0086</t>
  </si>
  <si>
    <t>ITA0100</t>
  </si>
  <si>
    <t>ITA0101</t>
  </si>
  <si>
    <t>ITA0105</t>
  </si>
  <si>
    <t>ITA0107</t>
  </si>
  <si>
    <t>ITA0108</t>
  </si>
  <si>
    <t>ITA0110</t>
  </si>
  <si>
    <t>ITA0111</t>
  </si>
  <si>
    <t>ITA0121</t>
  </si>
  <si>
    <t>ITA0122</t>
  </si>
  <si>
    <t>ITA0134</t>
  </si>
  <si>
    <t>ITA0136</t>
  </si>
  <si>
    <t>ITA0137</t>
  </si>
  <si>
    <t>ITA0139</t>
  </si>
  <si>
    <t>ITA0142</t>
  </si>
  <si>
    <t>ITA0143</t>
  </si>
  <si>
    <t>ITA0144</t>
  </si>
  <si>
    <t>ITA0149</t>
  </si>
  <si>
    <t>ITA0150</t>
  </si>
  <si>
    <t>ITA0154</t>
  </si>
  <si>
    <t>ITA0158</t>
  </si>
  <si>
    <t>ITA0159</t>
  </si>
  <si>
    <t>ITA0161</t>
  </si>
  <si>
    <t>ITA0174</t>
  </si>
  <si>
    <t>ITA0178</t>
  </si>
  <si>
    <t>ITA0179</t>
  </si>
  <si>
    <t>ITA0181</t>
  </si>
  <si>
    <t>ITA0186</t>
  </si>
  <si>
    <t>ITA0192</t>
  </si>
  <si>
    <t>ITA0195</t>
  </si>
  <si>
    <t>ITA0201</t>
  </si>
  <si>
    <t>ITA0204</t>
  </si>
  <si>
    <t>ITA0206</t>
  </si>
  <si>
    <t>ITA0207</t>
  </si>
  <si>
    <t>ITA0209</t>
  </si>
  <si>
    <t>ITA0210</t>
  </si>
  <si>
    <t>ITA0216</t>
  </si>
  <si>
    <t>ITA0217</t>
  </si>
  <si>
    <t>ITA0222</t>
  </si>
  <si>
    <t>ITA0225</t>
  </si>
  <si>
    <t>ITA0232</t>
  </si>
  <si>
    <t>ITA0239</t>
  </si>
  <si>
    <t>ITA0252</t>
  </si>
  <si>
    <t>ITA0254</t>
  </si>
  <si>
    <t>ITA0255</t>
  </si>
  <si>
    <t>ITA0259</t>
  </si>
  <si>
    <t>ITA0261</t>
  </si>
  <si>
    <t>ITA0262</t>
  </si>
  <si>
    <t>ITA0263</t>
  </si>
  <si>
    <t>ITA0275</t>
  </si>
  <si>
    <t>ITA0277</t>
  </si>
  <si>
    <t>ITA0278</t>
  </si>
  <si>
    <t>ITA0284</t>
  </si>
  <si>
    <t>ITA0288</t>
  </si>
  <si>
    <t>ITA0294</t>
  </si>
  <si>
    <t>ITA0295</t>
  </si>
  <si>
    <t>ITA0302</t>
  </si>
  <si>
    <t>ITA0305</t>
  </si>
  <si>
    <t>ITA0308</t>
  </si>
  <si>
    <t>ITA0311</t>
  </si>
  <si>
    <t>ITA0313</t>
  </si>
  <si>
    <t>ITA0315</t>
  </si>
  <si>
    <t>ITA0319</t>
  </si>
  <si>
    <t>ITA0320</t>
  </si>
  <si>
    <t>ITA0322</t>
  </si>
  <si>
    <t>ITA0330</t>
  </si>
  <si>
    <t>ITA0338</t>
  </si>
  <si>
    <t>ITA0342</t>
  </si>
  <si>
    <t>ITA0348</t>
  </si>
  <si>
    <t>ITA0351</t>
  </si>
  <si>
    <t>ITA0352</t>
  </si>
  <si>
    <t>ITA0355</t>
  </si>
  <si>
    <t>ITA0359</t>
  </si>
  <si>
    <t>ITA0365</t>
  </si>
  <si>
    <t>ITA0371</t>
  </si>
  <si>
    <t>ITA0375</t>
  </si>
  <si>
    <t>ITA0380</t>
  </si>
  <si>
    <t>ITA0382</t>
  </si>
  <si>
    <t>ITA0384</t>
  </si>
  <si>
    <t>ITA0386</t>
  </si>
  <si>
    <t>ITA0388</t>
  </si>
  <si>
    <t>ITA0389</t>
  </si>
  <si>
    <t>ITA0393</t>
  </si>
  <si>
    <t>ITA0396</t>
  </si>
  <si>
    <t>ITA0397</t>
  </si>
  <si>
    <t>ITA0398</t>
  </si>
  <si>
    <t>ITA0399</t>
  </si>
  <si>
    <t>ITA0402</t>
  </si>
  <si>
    <t>ITA0403</t>
  </si>
  <si>
    <t>ITA0407</t>
  </si>
  <si>
    <t>ITA0408</t>
  </si>
  <si>
    <t>ITA0426</t>
  </si>
  <si>
    <t>ITA0431</t>
  </si>
  <si>
    <t>ITA0436</t>
  </si>
  <si>
    <t>ITA0437</t>
  </si>
  <si>
    <t>ITA0439</t>
  </si>
  <si>
    <t>ITA0440</t>
  </si>
  <si>
    <t>ITA0443</t>
  </si>
  <si>
    <t>ITA0446</t>
  </si>
  <si>
    <t>ITA0447</t>
  </si>
  <si>
    <t>ITA0455</t>
  </si>
  <si>
    <t>ITA0456</t>
  </si>
  <si>
    <t>ITA0457</t>
  </si>
  <si>
    <t>ITA0458</t>
  </si>
  <si>
    <t>ITA0459</t>
  </si>
  <si>
    <t>ITA0461</t>
  </si>
  <si>
    <t>ITA0463</t>
  </si>
  <si>
    <t>ITA0466</t>
  </si>
  <si>
    <t>ITA0473</t>
  </si>
  <si>
    <t>ITA0475</t>
  </si>
  <si>
    <t>ITA0476</t>
  </si>
  <si>
    <t>ITA0481</t>
  </si>
  <si>
    <t>ITA0482</t>
  </si>
  <si>
    <t>ITA0484</t>
  </si>
  <si>
    <t>ITA0485</t>
  </si>
  <si>
    <t>ITA0486</t>
  </si>
  <si>
    <t>ITA0487</t>
  </si>
  <si>
    <t>ITA0488</t>
  </si>
  <si>
    <t>ITA0489</t>
  </si>
  <si>
    <t>ITA0503</t>
  </si>
  <si>
    <t>ITA0505</t>
  </si>
  <si>
    <t>ITA0510</t>
  </si>
  <si>
    <t>ITA0511</t>
  </si>
  <si>
    <t>ITA0515</t>
  </si>
  <si>
    <t>ITA0521</t>
  </si>
  <si>
    <t>ITA0525</t>
  </si>
  <si>
    <t>ITA0526</t>
  </si>
  <si>
    <t>ITA0530</t>
  </si>
  <si>
    <t>ITA0538</t>
  </si>
  <si>
    <t>ITA0541</t>
  </si>
  <si>
    <t>ITA0545</t>
  </si>
  <si>
    <t>ITA0547</t>
  </si>
  <si>
    <t>ITA0548</t>
  </si>
  <si>
    <t>ITA0549</t>
  </si>
  <si>
    <t>ITA0551</t>
  </si>
  <si>
    <t>ITA0552</t>
  </si>
  <si>
    <t>ITA0553</t>
  </si>
  <si>
    <t>ITA0555</t>
  </si>
  <si>
    <t>ITA0568</t>
  </si>
  <si>
    <t>ITA0580</t>
  </si>
  <si>
    <t>ITA0587</t>
  </si>
  <si>
    <t>ITA0595</t>
  </si>
  <si>
    <t>ITA0600</t>
  </si>
  <si>
    <t>ITA0601</t>
  </si>
  <si>
    <t>ITA0603</t>
  </si>
  <si>
    <t>ITA0604</t>
  </si>
  <si>
    <t>ITA0605</t>
  </si>
  <si>
    <t>ITA0607</t>
  </si>
  <si>
    <t>ITA0609</t>
  </si>
  <si>
    <t>ITA0614</t>
  </si>
  <si>
    <t>ITA0633</t>
  </si>
  <si>
    <t>ITA0636</t>
  </si>
  <si>
    <t>ITA0641</t>
  </si>
  <si>
    <t>ITA0644</t>
  </si>
  <si>
    <t>ITA0648</t>
  </si>
  <si>
    <t>ITA0653</t>
  </si>
  <si>
    <t>ITA0655</t>
  </si>
  <si>
    <t>ITA0657</t>
  </si>
  <si>
    <t>ITA0664</t>
  </si>
  <si>
    <t>ITA0666</t>
  </si>
  <si>
    <t>ITA0675</t>
  </si>
  <si>
    <t>ITA0676</t>
  </si>
  <si>
    <t>ITA0678</t>
  </si>
  <si>
    <t>ITA0687</t>
  </si>
  <si>
    <t>ITA0691</t>
  </si>
  <si>
    <t>ITA0692</t>
  </si>
  <si>
    <t>ITA0693</t>
  </si>
  <si>
    <t>ITA0694</t>
  </si>
  <si>
    <t>ITA0701</t>
  </si>
  <si>
    <t>ITA0702</t>
  </si>
  <si>
    <t>ITA0703</t>
  </si>
  <si>
    <t>ITA0717</t>
  </si>
  <si>
    <t>ITA0720</t>
  </si>
  <si>
    <t>ITA0721</t>
  </si>
  <si>
    <t>ITA0726</t>
  </si>
  <si>
    <t>ITA0727</t>
  </si>
  <si>
    <t>ITA0728</t>
  </si>
  <si>
    <t>ITA0738</t>
  </si>
  <si>
    <t>ITA0743</t>
  </si>
  <si>
    <t>ITA0748</t>
  </si>
  <si>
    <t>ITA0756</t>
  </si>
  <si>
    <t>ITA0758</t>
  </si>
  <si>
    <t>ITA0762</t>
  </si>
  <si>
    <t>ITA0773</t>
  </si>
  <si>
    <t>ITA0776</t>
  </si>
  <si>
    <t>ITA0779</t>
  </si>
  <si>
    <t>ITA0780</t>
  </si>
  <si>
    <t>ITA0781</t>
  </si>
  <si>
    <t>ITA0788</t>
  </si>
  <si>
    <t>ITA0790</t>
  </si>
  <si>
    <t>ITA0793</t>
  </si>
  <si>
    <t>ITA0794</t>
  </si>
  <si>
    <t>ITA0797</t>
  </si>
  <si>
    <t>ITA0806</t>
  </si>
  <si>
    <t>ITA0807</t>
  </si>
  <si>
    <t>ITA0811</t>
  </si>
  <si>
    <t>ITA0815</t>
  </si>
  <si>
    <t>ITA0816</t>
  </si>
  <si>
    <t>ITA0821</t>
  </si>
  <si>
    <t>ITA0826</t>
  </si>
  <si>
    <t>ITA0833</t>
  </si>
  <si>
    <t>ITA0834</t>
  </si>
  <si>
    <t>ITA0837</t>
  </si>
  <si>
    <t>ITA0838</t>
  </si>
  <si>
    <t>ITA0839</t>
  </si>
  <si>
    <t>ITA0841</t>
  </si>
  <si>
    <t>ITA0851</t>
  </si>
  <si>
    <t>ITA0858</t>
  </si>
  <si>
    <t>ITA0860</t>
  </si>
  <si>
    <t>ITA0861</t>
  </si>
  <si>
    <t>ITA0862</t>
  </si>
  <si>
    <t>ITA0868</t>
  </si>
  <si>
    <t>ITA0869</t>
  </si>
  <si>
    <t>ITA0875</t>
  </si>
  <si>
    <t>ITA0876</t>
  </si>
  <si>
    <t>ITA0884</t>
  </si>
  <si>
    <t>ITA0888</t>
  </si>
  <si>
    <t>ITA0889</t>
  </si>
  <si>
    <t>ITA0897</t>
  </si>
  <si>
    <t>ITA0902</t>
  </si>
  <si>
    <t>ITA0908</t>
  </si>
  <si>
    <t>ITA0909</t>
  </si>
  <si>
    <t>ITA0921</t>
  </si>
  <si>
    <t>ITA0928</t>
  </si>
  <si>
    <t>ITA0932</t>
  </si>
  <si>
    <t>ITA0944</t>
  </si>
  <si>
    <t>ITA0949</t>
  </si>
  <si>
    <t>ITA0950</t>
  </si>
  <si>
    <t>ITA0958</t>
  </si>
  <si>
    <t>ITA0978</t>
  </si>
  <si>
    <t>ITA1003</t>
  </si>
  <si>
    <t>ITA1006</t>
  </si>
  <si>
    <t>ITA1024</t>
  </si>
  <si>
    <t>ITA1025</t>
  </si>
  <si>
    <t>ITA1029</t>
  </si>
  <si>
    <t>ITA1059</t>
  </si>
  <si>
    <t>ITA1060</t>
  </si>
  <si>
    <t>ITA1061</t>
  </si>
  <si>
    <t>ITA1062</t>
  </si>
  <si>
    <t>ITA1070</t>
  </si>
  <si>
    <t>ITA1092</t>
  </si>
  <si>
    <t>ITA1093</t>
  </si>
  <si>
    <t>ITA1106</t>
  </si>
  <si>
    <t>ITA1125</t>
  </si>
  <si>
    <t>ITA1126</t>
  </si>
  <si>
    <t>ITA1130</t>
  </si>
  <si>
    <t>ITA1136</t>
  </si>
  <si>
    <t>ITA1138</t>
  </si>
  <si>
    <t>ITA1145</t>
  </si>
  <si>
    <t>ITA1150</t>
  </si>
  <si>
    <t>ITA1151</t>
  </si>
  <si>
    <t>ITA1156</t>
  </si>
  <si>
    <t>ITA1163</t>
  </si>
  <si>
    <t>ITA1166</t>
  </si>
  <si>
    <t>ITA1168</t>
  </si>
  <si>
    <t>ITA1174</t>
  </si>
  <si>
    <t>ITA1181</t>
  </si>
  <si>
    <t>ITA1183</t>
  </si>
  <si>
    <t>ITA1190</t>
  </si>
  <si>
    <t>ITA1200</t>
  </si>
  <si>
    <t>ITA1211</t>
  </si>
  <si>
    <t>ITA1216</t>
  </si>
  <si>
    <t>ITA1217</t>
  </si>
  <si>
    <t>ITA1218</t>
  </si>
  <si>
    <t>ITA1247</t>
  </si>
  <si>
    <t>ITA1261</t>
  </si>
  <si>
    <t>ITA1264</t>
  </si>
  <si>
    <t>ITA1273</t>
  </si>
  <si>
    <t>ITA1275</t>
  </si>
  <si>
    <t>ITA1285</t>
  </si>
  <si>
    <t>ITA1293</t>
  </si>
  <si>
    <t>ITA1300</t>
  </si>
  <si>
    <t>ITA1306</t>
  </si>
  <si>
    <t>ITA1307</t>
  </si>
  <si>
    <t>ITA1309</t>
  </si>
  <si>
    <t>ITA1313</t>
  </si>
  <si>
    <t>ITA1314</t>
  </si>
  <si>
    <t>ITA1316</t>
  </si>
  <si>
    <t>ITA1341</t>
  </si>
  <si>
    <t>ITA1385</t>
  </si>
  <si>
    <t>ITA1387</t>
  </si>
  <si>
    <t>ITA1408</t>
  </si>
  <si>
    <t>ITA1419</t>
  </si>
  <si>
    <t>ITA1432</t>
  </si>
  <si>
    <t>ITA1438</t>
  </si>
  <si>
    <t>ITA1439</t>
  </si>
  <si>
    <t>ITA1440</t>
  </si>
  <si>
    <t>ITA1443</t>
  </si>
  <si>
    <t>ITA1459</t>
  </si>
  <si>
    <t>ITA1464</t>
  </si>
  <si>
    <t>ITA1465</t>
  </si>
  <si>
    <t>MAS0001</t>
  </si>
  <si>
    <t>MLT0002</t>
  </si>
  <si>
    <t>MLT0004</t>
  </si>
  <si>
    <t>MLT0005</t>
  </si>
  <si>
    <t>MLT0008</t>
  </si>
  <si>
    <t>MLT0013</t>
  </si>
  <si>
    <t>MLT0014</t>
  </si>
  <si>
    <t>MLT0015</t>
  </si>
  <si>
    <t>MLT0017</t>
  </si>
  <si>
    <t>MLT0019</t>
  </si>
  <si>
    <t>MLT0020</t>
  </si>
  <si>
    <t>MLT0022</t>
  </si>
  <si>
    <t>MLT0025</t>
  </si>
  <si>
    <t>MLT0026</t>
  </si>
  <si>
    <t>MLT0028</t>
  </si>
  <si>
    <t>MLT0031</t>
  </si>
  <si>
    <t>MLT0033</t>
  </si>
  <si>
    <t>MLT0058</t>
  </si>
  <si>
    <t>MLT0060</t>
  </si>
  <si>
    <t>MLT0064</t>
  </si>
  <si>
    <t>NED0001</t>
  </si>
  <si>
    <t>NED0004</t>
  </si>
  <si>
    <t>NED0007</t>
  </si>
  <si>
    <t>NED0012</t>
  </si>
  <si>
    <t>NED0014</t>
  </si>
  <si>
    <t>NED0015</t>
  </si>
  <si>
    <t>NED0016</t>
  </si>
  <si>
    <t>NED0017</t>
  </si>
  <si>
    <t>NED0018</t>
  </si>
  <si>
    <t>NED0019</t>
  </si>
  <si>
    <t>NED0021</t>
  </si>
  <si>
    <t>NED0023</t>
  </si>
  <si>
    <t>NED0024</t>
  </si>
  <si>
    <t>NED0025</t>
  </si>
  <si>
    <t>NED0026</t>
  </si>
  <si>
    <t>NED0027</t>
  </si>
  <si>
    <t>NED0029</t>
  </si>
  <si>
    <t>NED0035</t>
  </si>
  <si>
    <t>NED0039</t>
  </si>
  <si>
    <t>NED0041</t>
  </si>
  <si>
    <t>NED0044</t>
  </si>
  <si>
    <t>NED0045</t>
  </si>
  <si>
    <t>NIR0001</t>
  </si>
  <si>
    <t>NIR0002</t>
  </si>
  <si>
    <t>NIR0003</t>
  </si>
  <si>
    <t>NIR0004</t>
  </si>
  <si>
    <t>NIR0005</t>
  </si>
  <si>
    <t>NIR0006</t>
  </si>
  <si>
    <t>NIR0007</t>
  </si>
  <si>
    <t>NIR0009</t>
  </si>
  <si>
    <t>NIR0010</t>
  </si>
  <si>
    <t>NIR0011</t>
  </si>
  <si>
    <t>NIR0012</t>
  </si>
  <si>
    <t>NIR0013</t>
  </si>
  <si>
    <t>NIR0015</t>
  </si>
  <si>
    <t>NIR0016</t>
  </si>
  <si>
    <t>NIR0018</t>
  </si>
  <si>
    <t>NIR0019</t>
  </si>
  <si>
    <t>NOR0001</t>
  </si>
  <si>
    <t>NOR0002</t>
  </si>
  <si>
    <t>NOR0003</t>
  </si>
  <si>
    <t>NOR0004</t>
  </si>
  <si>
    <t>NOR0005</t>
  </si>
  <si>
    <t>NOR0006</t>
  </si>
  <si>
    <t>NOR0007</t>
  </si>
  <si>
    <t>NOR0008</t>
  </si>
  <si>
    <t>NOR0009</t>
  </si>
  <si>
    <t>NOR0010</t>
  </si>
  <si>
    <t>NOR0011</t>
  </si>
  <si>
    <t>NOR0012</t>
  </si>
  <si>
    <t>NOR0013</t>
  </si>
  <si>
    <t>NOR0014</t>
  </si>
  <si>
    <t>NOR0015</t>
  </si>
  <si>
    <t>NOR0016</t>
  </si>
  <si>
    <t>NOR0017</t>
  </si>
  <si>
    <t>NOR0018</t>
  </si>
  <si>
    <t>POR0001</t>
  </si>
  <si>
    <t>POR0005</t>
  </si>
  <si>
    <t>POR0011</t>
  </si>
  <si>
    <t>POR0012</t>
  </si>
  <si>
    <t>POR0013</t>
  </si>
  <si>
    <t>POR0014</t>
  </si>
  <si>
    <t>POR0015</t>
  </si>
  <si>
    <t>POR0016</t>
  </si>
  <si>
    <t>POR0018</t>
  </si>
  <si>
    <t>POR0020</t>
  </si>
  <si>
    <t>POR0021</t>
  </si>
  <si>
    <t>POR0022</t>
  </si>
  <si>
    <t>POR0024</t>
  </si>
  <si>
    <t>POR0027</t>
  </si>
  <si>
    <t>POR0030</t>
  </si>
  <si>
    <t>POR0046</t>
  </si>
  <si>
    <t>POR0047</t>
  </si>
  <si>
    <t>POR0051</t>
  </si>
  <si>
    <t>POR0052</t>
  </si>
  <si>
    <t>POR0053</t>
  </si>
  <si>
    <t>POR0055</t>
  </si>
  <si>
    <t>POR0056</t>
  </si>
  <si>
    <t>POR0077</t>
  </si>
  <si>
    <t>POR0087</t>
  </si>
  <si>
    <t>POR0117</t>
  </si>
  <si>
    <t>POR0119</t>
  </si>
  <si>
    <t>POR0124</t>
  </si>
  <si>
    <t>POR0125</t>
  </si>
  <si>
    <t>POR0131</t>
  </si>
  <si>
    <t>SCO0005</t>
  </si>
  <si>
    <t>SCO0010</t>
  </si>
  <si>
    <t>SCO0012</t>
  </si>
  <si>
    <t>SCO0013</t>
  </si>
  <si>
    <t>SCO0014</t>
  </si>
  <si>
    <t>SCO0015</t>
  </si>
  <si>
    <t>SCO0016</t>
  </si>
  <si>
    <t>SCO0017</t>
  </si>
  <si>
    <t>SCO0018</t>
  </si>
  <si>
    <t>SCO0019</t>
  </si>
  <si>
    <t>SCO0025</t>
  </si>
  <si>
    <t>SCO0036</t>
  </si>
  <si>
    <t>SCO0038</t>
  </si>
  <si>
    <t>SCO0040</t>
  </si>
  <si>
    <t>SCO0041</t>
  </si>
  <si>
    <t>TUN0001</t>
  </si>
  <si>
    <t>USA0001</t>
  </si>
  <si>
    <t>USA0002</t>
  </si>
  <si>
    <t>USA0003</t>
  </si>
  <si>
    <t>USA0004</t>
  </si>
  <si>
    <t>USA0005</t>
  </si>
  <si>
    <t>USA0006</t>
  </si>
  <si>
    <t>USA0008</t>
  </si>
  <si>
    <t>USA0009</t>
  </si>
  <si>
    <t>USA0012</t>
  </si>
  <si>
    <t>USA0013</t>
  </si>
  <si>
    <t>USA0014</t>
  </si>
  <si>
    <t>USA0015</t>
  </si>
  <si>
    <t>USA0022</t>
  </si>
  <si>
    <t>USA0024</t>
  </si>
  <si>
    <t>USA0027</t>
  </si>
  <si>
    <t>USA0088</t>
  </si>
  <si>
    <t>USA0104</t>
  </si>
  <si>
    <t>USA0107</t>
  </si>
  <si>
    <t>USA0128</t>
  </si>
  <si>
    <t>USA0136</t>
  </si>
  <si>
    <t>USA0138</t>
  </si>
  <si>
    <t>USA0139</t>
  </si>
  <si>
    <t>USA0180</t>
  </si>
  <si>
    <t>USA0187</t>
  </si>
  <si>
    <t>USA0192</t>
  </si>
  <si>
    <t>USA0222</t>
  </si>
  <si>
    <t>USA0230</t>
  </si>
  <si>
    <t>USA0261</t>
  </si>
  <si>
    <t>USA0280</t>
  </si>
  <si>
    <t>USA0298</t>
  </si>
  <si>
    <t>OPEN</t>
  </si>
  <si>
    <t>VET</t>
  </si>
  <si>
    <t>SC Lion's Eugies</t>
  </si>
  <si>
    <t>SAV Maria Zélia</t>
  </si>
  <si>
    <t>West Coast TSC</t>
  </si>
  <si>
    <t>Kent Invicta TFC</t>
  </si>
  <si>
    <t>London &amp; Essex United</t>
  </si>
  <si>
    <t>SC Germania Schwerte 76</t>
  </si>
  <si>
    <t>SCN Idstein</t>
  </si>
  <si>
    <t>SC Weimar Wanderers</t>
  </si>
  <si>
    <t>Scarlet Battalion SC</t>
  </si>
  <si>
    <t>Budapest Subbuteo</t>
  </si>
  <si>
    <t>ASD SC Salernitana</t>
  </si>
  <si>
    <t>Kragerø BFK</t>
  </si>
  <si>
    <t>Porsgrunn Flickers</t>
  </si>
  <si>
    <t>GRD 1º Maio Tires</t>
  </si>
  <si>
    <t>Essener SC</t>
  </si>
  <si>
    <t>SUB Kaiserau</t>
  </si>
  <si>
    <t>Valletta Lions TFC</t>
  </si>
  <si>
    <t>sep</t>
  </si>
  <si>
    <t>wct</t>
  </si>
  <si>
    <t>tor</t>
  </si>
  <si>
    <t>hsc</t>
  </si>
  <si>
    <t>ode</t>
  </si>
  <si>
    <t>wei</t>
  </si>
  <si>
    <t>swt</t>
  </si>
  <si>
    <t>vol</t>
  </si>
  <si>
    <t>sbs</t>
  </si>
  <si>
    <t>ati</t>
  </si>
  <si>
    <t>bla</t>
  </si>
  <si>
    <t>gro</t>
  </si>
  <si>
    <t>val</t>
  </si>
  <si>
    <t>tir</t>
  </si>
  <si>
    <t>DrawGroupHeader</t>
  </si>
  <si>
    <t>DrawGroupHeaderDraw</t>
  </si>
  <si>
    <t>DrawGroupFirstLine</t>
  </si>
  <si>
    <t>DrawGroupEvenLine</t>
  </si>
  <si>
    <t>DrawGroupOddLine</t>
  </si>
  <si>
    <t>DrawGroupLastLine</t>
  </si>
  <si>
    <t>Named area (name) containing the header and content with following updatable zones :</t>
  </si>
  <si>
    <t>DrawTournamentTitle</t>
  </si>
  <si>
    <t>Title of the tournament</t>
  </si>
  <si>
    <t>Col 1 : N° in the group</t>
  </si>
  <si>
    <t xml:space="preserve">Col 2 : Player/Team Name </t>
  </si>
  <si>
    <t>Col 3 : Nationality/Club trigram depending of global parameter</t>
  </si>
  <si>
    <t>DrawGroupFirstLineDraw</t>
  </si>
  <si>
    <t>DrawGroupEvenLineDraw</t>
  </si>
  <si>
    <t>DrawGroupOddLineDraw</t>
  </si>
  <si>
    <t>DrawGroupLastLineDraw</t>
  </si>
  <si>
    <t>Col 2 : N° of Player/Team drawn</t>
  </si>
  <si>
    <t>Player2</t>
  </si>
  <si>
    <t>Player 3</t>
  </si>
  <si>
    <t>Player 4</t>
  </si>
  <si>
    <t>Player 5</t>
  </si>
  <si>
    <t>Player 6</t>
  </si>
  <si>
    <t>Player 7</t>
  </si>
  <si>
    <t>Player 8</t>
  </si>
  <si>
    <t>Player 9</t>
  </si>
  <si>
    <t>Player 10</t>
  </si>
  <si>
    <t>Player 11</t>
  </si>
  <si>
    <t>Player 12</t>
  </si>
  <si>
    <t>Player 13</t>
  </si>
  <si>
    <t>Player 14</t>
  </si>
  <si>
    <t>Player 15</t>
  </si>
  <si>
    <t>Player 16</t>
  </si>
  <si>
    <t>Player 17</t>
  </si>
  <si>
    <t>Player 18</t>
  </si>
  <si>
    <t>Player 19</t>
  </si>
  <si>
    <t>Player 20</t>
  </si>
  <si>
    <t>Player 21</t>
  </si>
  <si>
    <t>Player 22</t>
  </si>
  <si>
    <t>DrawGroupColumn1</t>
  </si>
  <si>
    <t>DrawGroupColumn2</t>
  </si>
  <si>
    <t>DrawGroupColumn3</t>
  </si>
  <si>
    <t>DrawGroupColumn4</t>
  </si>
  <si>
    <t>DrawGroupDrawColumn1</t>
  </si>
  <si>
    <t>DrawGroupDrawColumn2</t>
  </si>
  <si>
    <t>DrawGroupDrawColumn3</t>
  </si>
  <si>
    <t>DrawGroupDrawColumn4</t>
  </si>
  <si>
    <t>DrawParticipantsRankHeader</t>
  </si>
  <si>
    <t>DrawParticipantsRankFirstLine</t>
  </si>
  <si>
    <t>DrawParticipantsRankEvenLine</t>
  </si>
  <si>
    <t>DrawParticipantsRankOddLine</t>
  </si>
  <si>
    <t>DrawParticipantsRankLastLine</t>
  </si>
  <si>
    <t>Col 1 : N° in the list</t>
  </si>
  <si>
    <t>Col 2 : Player/Team name</t>
  </si>
  <si>
    <t>Col 3 : Ranking</t>
  </si>
  <si>
    <t>Col 4 : Nationality trigram</t>
  </si>
  <si>
    <t>Col 5 : Club Trigram</t>
  </si>
  <si>
    <t>Participants Ranking</t>
  </si>
  <si>
    <t>Participants Alphabetical</t>
  </si>
  <si>
    <t>N°</t>
  </si>
  <si>
    <t>List of participants sorted on Rank</t>
  </si>
  <si>
    <t>To be Drawn</t>
  </si>
  <si>
    <t>Non encore défini</t>
  </si>
  <si>
    <t>Participants Classement</t>
  </si>
  <si>
    <t>Participants Alphabétique</t>
  </si>
  <si>
    <t>DrawEventName</t>
  </si>
  <si>
    <t>Event Name (the name of the corresponding result sheet)</t>
  </si>
  <si>
    <t>Player 23</t>
  </si>
  <si>
    <t>Player 24</t>
  </si>
  <si>
    <t>Player 25</t>
  </si>
  <si>
    <t>Player 26</t>
  </si>
  <si>
    <t>Player 27</t>
  </si>
  <si>
    <t>Player 28</t>
  </si>
  <si>
    <t>Player 29</t>
  </si>
  <si>
    <t>Player 30</t>
  </si>
  <si>
    <t>Player 31</t>
  </si>
  <si>
    <t>Player 32</t>
  </si>
  <si>
    <t>Player 33</t>
  </si>
  <si>
    <t>Player 34</t>
  </si>
  <si>
    <t>Player 35</t>
  </si>
  <si>
    <t>Player 36</t>
  </si>
  <si>
    <t>Player 37</t>
  </si>
  <si>
    <t>Player 38</t>
  </si>
  <si>
    <t>Player 39</t>
  </si>
  <si>
    <t>Player 40</t>
  </si>
  <si>
    <t>Player 41</t>
  </si>
  <si>
    <t>Player 42</t>
  </si>
  <si>
    <t>Player 43</t>
  </si>
  <si>
    <t>Player 44</t>
  </si>
  <si>
    <t>Player 45</t>
  </si>
  <si>
    <t>Player 46</t>
  </si>
  <si>
    <t>Player 47</t>
  </si>
  <si>
    <t>Player 48</t>
  </si>
  <si>
    <t>Player 49</t>
  </si>
  <si>
    <t>Player 50</t>
  </si>
  <si>
    <t>Player 51</t>
  </si>
  <si>
    <t>Player 52</t>
  </si>
  <si>
    <t>Player 53</t>
  </si>
  <si>
    <t>Player 54</t>
  </si>
  <si>
    <t>Player 55</t>
  </si>
  <si>
    <t>Player 56</t>
  </si>
  <si>
    <t>Player 57</t>
  </si>
  <si>
    <t>Player 58</t>
  </si>
  <si>
    <t>Player 59</t>
  </si>
  <si>
    <t>Player 60</t>
  </si>
  <si>
    <t>Player 61</t>
  </si>
  <si>
    <t>Player 62</t>
  </si>
  <si>
    <t>Player 63</t>
  </si>
  <si>
    <t>Player 64</t>
  </si>
  <si>
    <t>DrawParticipantsRankingList</t>
  </si>
  <si>
    <t>DrawParticipantsLists</t>
  </si>
  <si>
    <t>The 2 lists of participants (sorted on Rank and Alphabetical)</t>
  </si>
  <si>
    <t>DrawParticipantsListByName</t>
  </si>
  <si>
    <t>List of participants to search by name</t>
  </si>
  <si>
    <t>as shown below</t>
  </si>
  <si>
    <t xml:space="preserve">A same kind of conditionnal format will be set </t>
  </si>
  <si>
    <t xml:space="preserve">on club/nationality column to avoid doubles </t>
  </si>
  <si>
    <t xml:space="preserve">A conditionnal format must be set </t>
  </si>
  <si>
    <r>
      <rPr>
        <b/>
        <sz val="10"/>
        <color indexed="12"/>
        <rFont val="Arial"/>
        <family val="2"/>
      </rPr>
      <t xml:space="preserve">automatically by GMFT </t>
    </r>
    <r>
      <rPr>
        <sz val="10"/>
        <color indexed="12"/>
        <rFont val="Arial"/>
        <family val="2"/>
      </rPr>
      <t xml:space="preserve">for each group </t>
    </r>
  </si>
  <si>
    <t xml:space="preserve">to avoid double values </t>
  </si>
  <si>
    <t>for all draw groups column</t>
  </si>
  <si>
    <t>1st column of the group of 4 columns</t>
  </si>
  <si>
    <t>2nd column of the group of 4 columns</t>
  </si>
  <si>
    <t>3rd column of the group of 4 columns</t>
  </si>
  <si>
    <t>4th column of the group of 4 columns</t>
  </si>
  <si>
    <t>manually on this model,</t>
  </si>
  <si>
    <t>The format for doubles will be as follow</t>
  </si>
  <si>
    <t>Le nombre maximum de participants est de 128.</t>
  </si>
  <si>
    <t>The maximum number of players is 128</t>
  </si>
  <si>
    <t>Format des cellules avec formule modifiables par l'utilisateur</t>
  </si>
  <si>
    <t>Format for cells containing formulas and that can be modified by user</t>
  </si>
  <si>
    <t>Groups</t>
  </si>
  <si>
    <t>3.0</t>
  </si>
  <si>
    <t>Ernesto</t>
  </si>
  <si>
    <t>Validation impossible car il reste des tirages au sort à effectuer.</t>
  </si>
  <si>
    <t>Validation is not possible until Draws are still to be done.</t>
  </si>
  <si>
    <t>Vous êtes sur le point de supprimer la feuille de calcul ! Merci de bien vouloir confirmer.</t>
  </si>
  <si>
    <t>Your are being deleting the worksheet ! Please confirm your action.</t>
  </si>
  <si>
    <t>Confirmation de suppression</t>
  </si>
  <si>
    <t>Delete confirmation</t>
  </si>
  <si>
    <t>Don't suppress cells above</t>
  </si>
  <si>
    <t>Dans les phases de poules par équipe, en cas d'égalité en matches gagnés, l'équipe ayant le plus de joueurs forfaits perd le match.</t>
  </si>
  <si>
    <t>In group stage for teams, in case of equality on won matches, the team with the most withdraws loses the match.</t>
  </si>
  <si>
    <t>Label pour signifier un joueur forfait. Conseil : laisser la formule pour profiter du multilinguisme.</t>
  </si>
  <si>
    <t>Label for a withdraw player. Suggestion : keep the formula to take advantage of multi-languages.</t>
  </si>
  <si>
    <t>Résultat match entre ex-aequo</t>
  </si>
  <si>
    <t>Différence de buts entre ex-aequo</t>
  </si>
  <si>
    <t>Meilleure attaque entre ex-aequo</t>
  </si>
  <si>
    <t>Match result between ex-aequo</t>
  </si>
  <si>
    <t>Goal difference between ex-aequo</t>
  </si>
  <si>
    <t>Best attack between ex-aequo</t>
  </si>
  <si>
    <t>Différence de matches individuels entre ex-aequo</t>
  </si>
  <si>
    <t>Plus de victoires individuells entre ex-aequo</t>
  </si>
  <si>
    <t>Individual wins difference between ex-aequo</t>
  </si>
  <si>
    <t>Most individual wins between ex-aequo</t>
  </si>
  <si>
    <t>Différentiel de matches individuels</t>
  </si>
  <si>
    <t>Individual wins difference</t>
  </si>
  <si>
    <t>Most individual match wins</t>
  </si>
  <si>
    <t>Plus de victoires individuelles</t>
  </si>
  <si>
    <t>Time cell</t>
  </si>
  <si>
    <t>ExportPlanning_Group</t>
  </si>
  <si>
    <t>ExportPlanning_Round</t>
  </si>
  <si>
    <t>Stage cell</t>
  </si>
  <si>
    <t>Group N° for group Stage</t>
  </si>
  <si>
    <t>Round N° for group Stage</t>
  </si>
  <si>
    <t>Player1/Team1 name</t>
  </si>
  <si>
    <t>Player2/Team2 name</t>
  </si>
  <si>
    <t>Referee Player/Team</t>
  </si>
  <si>
    <t>Session N° cell</t>
  </si>
  <si>
    <t>ExportPlanning_Session</t>
  </si>
  <si>
    <t>ExportPlanning_Category</t>
  </si>
  <si>
    <t>Category cell : this cell will have the same color background as the orginal sheet label</t>
  </si>
  <si>
    <t>Poules</t>
  </si>
  <si>
    <t xml:space="preserve">Performance enhancement : Lot of complex formula replaced by programmatic updates
   - Sheets concerned : Checkin, Refereeing, Stats 
   - These sheets may be refreshed by hand with a clic on the new Icon on top.
Draw system now included from the original Idea used on Madrid's WC in 2013
   - a new Icon on each Event sheet, proposes to generate the draw system for that Event.
Parameter sheet : update of official FISTF criteria in group position computing
In a group stage, group positions should be determined as follows:
Individuals :
  1. Number of points won.
  2. Result(s) of the direct match(es) between the players that have the same points.
  3. Goal difference in the match(es) between the players that have the same points.
  4. Most goals scored in the match(es) between the players that have the same points.
  5. Total goal difference.
  6. Most goals scored.
  7. Shoot-out
Teams :
  1. Number of points won.
  2. Result(s) of the direct match(es) between the teams that have the same points.
  3. Individual wins difference in the match(es) between the teams that have the same points.
  4. Most individual wins achieved in the match(es) between the teams that have the same points.
  5. Total individual wins difference.
  6. Most individual wins achieved.
  7. Goal difference in the match(es) between the teams that have the same points.
  8. Most goals scored in the match(es) between the teams that have the same points.
  9. Total goal difference.
  10. Most goals scored.
  11. Shoot-out
Small enhancements :
   - Planning : stage cells get color of the corresponding category (defined in Parameter sheet)
   - Export Planning : more fields exported and possibility to have formula based on exported values </t>
  </si>
  <si>
    <t>You can use formula in non nominated cells of a match line. These formula will be copy/paste. They must refer to cells in the same line with relative addesses (ex. "E6") and not names like "ExportPlanning_Group". For example, you can hide columns containing Stage, Group and Round named cells and make a new column with a cell containing formula to concatenate these 3 informations. 
You can use the name "GetStage" to analyse the formula of the ExportPlanning_Stage cell.
As an example you can use this kind of formula : =IF(GetStage="=N_Groups";"G"&amp;E6&amp;"/R"&amp;F6;IF(LEFT(GetStage;6)="=N__1_";"L"&amp;2*STXT(GetStage;7;NBCAR(GetStage)-16);IF(GetStage="N_BARRAGES";"BR";IF(GetStage="=N_QUART_DE_FINALE"; "QF";IF(GetStage="=N_DEMI_FINALE";"SF";IF(GetStage="=N_FINALE";"F";""))))))</t>
  </si>
  <si>
    <t>Row</t>
  </si>
  <si>
    <t>Rony</t>
  </si>
  <si>
    <t>Yokohama OSC</t>
  </si>
  <si>
    <t>CHOONG</t>
  </si>
  <si>
    <t>ANGELOPOULOS</t>
  </si>
  <si>
    <t>Vasilios</t>
  </si>
  <si>
    <t>LAMBERT</t>
  </si>
  <si>
    <t>Marcelo</t>
  </si>
  <si>
    <t>Vangelis</t>
  </si>
  <si>
    <t>Ronaldo</t>
  </si>
  <si>
    <t>Greg</t>
  </si>
  <si>
    <t>Guilherme</t>
  </si>
  <si>
    <t>Bernard</t>
  </si>
  <si>
    <t>RAHAMAT</t>
  </si>
  <si>
    <t>Anas</t>
  </si>
  <si>
    <t>Agustin</t>
  </si>
  <si>
    <t>Alwin</t>
  </si>
  <si>
    <t>CORR</t>
  </si>
  <si>
    <t>Barry</t>
  </si>
  <si>
    <t>George Pol</t>
  </si>
  <si>
    <t>Friburguense - AFFM</t>
  </si>
  <si>
    <t>Christofer</t>
  </si>
  <si>
    <t>Angelos</t>
  </si>
  <si>
    <t>Lars Tore</t>
  </si>
  <si>
    <t>CHANDIRAMANI</t>
  </si>
  <si>
    <t>Vikas K</t>
  </si>
  <si>
    <t>KADINOPOULOS</t>
  </si>
  <si>
    <t>Nelson</t>
  </si>
  <si>
    <t>Bill</t>
  </si>
  <si>
    <t>Theofilos</t>
  </si>
  <si>
    <t>Gianpaolo</t>
  </si>
  <si>
    <t>KOURIDAKIS</t>
  </si>
  <si>
    <t>Nic</t>
  </si>
  <si>
    <t>Chandru G</t>
  </si>
  <si>
    <t>Nick</t>
  </si>
  <si>
    <t>Alvaro</t>
  </si>
  <si>
    <t>DEAN</t>
  </si>
  <si>
    <t>Niall</t>
  </si>
  <si>
    <t>KATO</t>
  </si>
  <si>
    <t>Taichi</t>
  </si>
  <si>
    <t>HALPIN</t>
  </si>
  <si>
    <t>BESKABY</t>
  </si>
  <si>
    <t>Vasileios</t>
  </si>
  <si>
    <t>Maike</t>
  </si>
  <si>
    <t>Luke</t>
  </si>
  <si>
    <t>Trento Subbuteo</t>
  </si>
  <si>
    <t>João Matos</t>
  </si>
  <si>
    <t>Skander</t>
  </si>
  <si>
    <t>Nikolaos</t>
  </si>
  <si>
    <t>Sam</t>
  </si>
  <si>
    <t>Nur</t>
  </si>
  <si>
    <t>Nikolas</t>
  </si>
  <si>
    <t>Franck</t>
  </si>
  <si>
    <t>KOROLOGOS</t>
  </si>
  <si>
    <t>Sotiris</t>
  </si>
  <si>
    <t>Danilo</t>
  </si>
  <si>
    <t>KOTROTSOS</t>
  </si>
  <si>
    <t>Markos</t>
  </si>
  <si>
    <t>Moritz</t>
  </si>
  <si>
    <t>Muhammad</t>
  </si>
  <si>
    <t>Hartamas Tigers</t>
  </si>
  <si>
    <t>Hisham</t>
  </si>
  <si>
    <t>Sathia</t>
  </si>
  <si>
    <t>Wai Mun</t>
  </si>
  <si>
    <t>Vishal G</t>
  </si>
  <si>
    <t>Fathul Rahman</t>
  </si>
  <si>
    <t>Sammy</t>
  </si>
  <si>
    <t>GENITSAROPOULOS</t>
  </si>
  <si>
    <t>Lakis</t>
  </si>
  <si>
    <t>Roderick</t>
  </si>
  <si>
    <t>Mikel</t>
  </si>
  <si>
    <t>Luciano</t>
  </si>
  <si>
    <t>Trevor</t>
  </si>
  <si>
    <t>Theodoros</t>
  </si>
  <si>
    <t>Zoltán</t>
  </si>
  <si>
    <t>Tomas</t>
  </si>
  <si>
    <t>Pambos</t>
  </si>
  <si>
    <t>Christofis</t>
  </si>
  <si>
    <t>Melios</t>
  </si>
  <si>
    <t>KATSOULAS</t>
  </si>
  <si>
    <t>Iordanis</t>
  </si>
  <si>
    <t>Luís</t>
  </si>
  <si>
    <t>Neophytos</t>
  </si>
  <si>
    <t>PETERSCHINIGG</t>
  </si>
  <si>
    <t>Izham</t>
  </si>
  <si>
    <t>LAGNEAU</t>
  </si>
  <si>
    <t>Benoit</t>
  </si>
  <si>
    <t>Ednilson</t>
  </si>
  <si>
    <t>GREEN</t>
  </si>
  <si>
    <t>Juan Antonio</t>
  </si>
  <si>
    <t>ROMERO</t>
  </si>
  <si>
    <t>Matias</t>
  </si>
  <si>
    <t>KURKEYERIAN</t>
  </si>
  <si>
    <t>Varant</t>
  </si>
  <si>
    <t>Azlan</t>
  </si>
  <si>
    <t>Dimosthenis</t>
  </si>
  <si>
    <t>Jocelyn</t>
  </si>
  <si>
    <t>Theodosis</t>
  </si>
  <si>
    <t>Pedro</t>
  </si>
  <si>
    <t>Vishnu Varthana</t>
  </si>
  <si>
    <t>Sharvind</t>
  </si>
  <si>
    <t>Yiannos</t>
  </si>
  <si>
    <t>Edwin</t>
  </si>
  <si>
    <t>Ahmad</t>
  </si>
  <si>
    <t>Sham</t>
  </si>
  <si>
    <t>Stamatis</t>
  </si>
  <si>
    <t>Ilario</t>
  </si>
  <si>
    <t>Mirko</t>
  </si>
  <si>
    <t>DI CÈ</t>
  </si>
  <si>
    <t>CAURLA</t>
  </si>
  <si>
    <t>Ismaele</t>
  </si>
  <si>
    <t>Dickson</t>
  </si>
  <si>
    <t>Ailton</t>
  </si>
  <si>
    <t>Giuliano</t>
  </si>
  <si>
    <t>Paulus</t>
  </si>
  <si>
    <t>John Edwards</t>
  </si>
  <si>
    <t>BOLTZ</t>
  </si>
  <si>
    <t>BISIO</t>
  </si>
  <si>
    <t>Jeff</t>
  </si>
  <si>
    <t>ZAVOS</t>
  </si>
  <si>
    <t>Minimannia Aachen</t>
  </si>
  <si>
    <t>Ignazio</t>
  </si>
  <si>
    <t>Concetto</t>
  </si>
  <si>
    <t>Roman</t>
  </si>
  <si>
    <t>Biagio</t>
  </si>
  <si>
    <t>Eleftheria</t>
  </si>
  <si>
    <t>Julia</t>
  </si>
  <si>
    <t>Manuela</t>
  </si>
  <si>
    <t>Martín</t>
  </si>
  <si>
    <t>Petros</t>
  </si>
  <si>
    <t>Ruhan</t>
  </si>
  <si>
    <t>Rajakumaran</t>
  </si>
  <si>
    <t>Gill Thesan</t>
  </si>
  <si>
    <t>Bhavin</t>
  </si>
  <si>
    <t>Rocco</t>
  </si>
  <si>
    <t>Tomás</t>
  </si>
  <si>
    <t>Nicos</t>
  </si>
  <si>
    <t>FERNÁNDEZ</t>
  </si>
  <si>
    <t>Dimitrios</t>
  </si>
  <si>
    <t>Pothiti</t>
  </si>
  <si>
    <t>SOURLAS</t>
  </si>
  <si>
    <t>Leandros</t>
  </si>
  <si>
    <t>Samuele</t>
  </si>
  <si>
    <t>Timotheos</t>
  </si>
  <si>
    <t>BALZAN</t>
  </si>
  <si>
    <t>Jurgen</t>
  </si>
  <si>
    <t>Valerio</t>
  </si>
  <si>
    <t>Christoforos</t>
  </si>
  <si>
    <t>Pavlos</t>
  </si>
  <si>
    <t>Leon</t>
  </si>
  <si>
    <t>Jann</t>
  </si>
  <si>
    <t>Joshua</t>
  </si>
  <si>
    <t>Flyn</t>
  </si>
  <si>
    <t>Rodrigo</t>
  </si>
  <si>
    <t>Louis</t>
  </si>
  <si>
    <t>Charlotte</t>
  </si>
  <si>
    <t>Joe</t>
  </si>
  <si>
    <t>aac</t>
  </si>
  <si>
    <t>tre</t>
  </si>
  <si>
    <t>lis</t>
  </si>
  <si>
    <t>Bertolini</t>
  </si>
  <si>
    <t>Di Giannantonio</t>
  </si>
  <si>
    <t>Di Paolo Sr.</t>
  </si>
  <si>
    <t>Ferrara</t>
  </si>
  <si>
    <t>Juanto</t>
  </si>
  <si>
    <t>Lambertucci</t>
  </si>
  <si>
    <t>Lioy</t>
  </si>
  <si>
    <t>Murcilli</t>
  </si>
  <si>
    <t>Roberti</t>
  </si>
  <si>
    <t>Shoenfeld</t>
  </si>
  <si>
    <t>Tortelli</t>
  </si>
  <si>
    <t>Vera</t>
  </si>
  <si>
    <t>Caro Solis</t>
  </si>
  <si>
    <t>Bellingeri</t>
  </si>
  <si>
    <t>Wander</t>
  </si>
  <si>
    <t>Echevarrieta</t>
  </si>
  <si>
    <t>Soneira</t>
  </si>
  <si>
    <t>Cuello</t>
  </si>
  <si>
    <t>Pelle</t>
  </si>
  <si>
    <t>Galassi</t>
  </si>
  <si>
    <t>Sordo</t>
  </si>
  <si>
    <t>Pesci</t>
  </si>
  <si>
    <t>Ortega</t>
  </si>
  <si>
    <t>Testoni</t>
  </si>
  <si>
    <t>Paciaroni</t>
  </si>
  <si>
    <t>Buldorini</t>
  </si>
  <si>
    <t>Zega</t>
  </si>
  <si>
    <t>Green</t>
  </si>
  <si>
    <t>Exler</t>
  </si>
  <si>
    <t>Korzil</t>
  </si>
  <si>
    <t>Leitner</t>
  </si>
  <si>
    <t>Lenz</t>
  </si>
  <si>
    <t>Mandl</t>
  </si>
  <si>
    <t>Ecker</t>
  </si>
  <si>
    <t>Eder</t>
  </si>
  <si>
    <t>Gerbasits</t>
  </si>
  <si>
    <t>Haas</t>
  </si>
  <si>
    <t>Hasieber</t>
  </si>
  <si>
    <t>Sandner</t>
  </si>
  <si>
    <t>Schöberl</t>
  </si>
  <si>
    <t>Schuhmann</t>
  </si>
  <si>
    <t>Tünger</t>
  </si>
  <si>
    <t>Wittmann</t>
  </si>
  <si>
    <t>Zeilinger</t>
  </si>
  <si>
    <t>Bamberzky</t>
  </si>
  <si>
    <t>Blümel</t>
  </si>
  <si>
    <t>Hinkelmann</t>
  </si>
  <si>
    <t>Karnthaler</t>
  </si>
  <si>
    <t>Lizar</t>
  </si>
  <si>
    <t>Pawlica</t>
  </si>
  <si>
    <t>Strommer</t>
  </si>
  <si>
    <t>Busch</t>
  </si>
  <si>
    <t>Vranovitz</t>
  </si>
  <si>
    <t>Walzer</t>
  </si>
  <si>
    <t>De Leeuw</t>
  </si>
  <si>
    <t>Golger</t>
  </si>
  <si>
    <t>Heyvaert</t>
  </si>
  <si>
    <t>Targui</t>
  </si>
  <si>
    <t>Letizia</t>
  </si>
  <si>
    <t>Ponthieux</t>
  </si>
  <si>
    <t>Tsangouris</t>
  </si>
  <si>
    <t>Boulanger</t>
  </si>
  <si>
    <t>De Smet</t>
  </si>
  <si>
    <t>Lambert</t>
  </si>
  <si>
    <t>Lannoy</t>
  </si>
  <si>
    <t>Despretz</t>
  </si>
  <si>
    <t>Dieudonne</t>
  </si>
  <si>
    <t>Goor</t>
  </si>
  <si>
    <t>Peltier</t>
  </si>
  <si>
    <t>Pere</t>
  </si>
  <si>
    <t>Vantassel</t>
  </si>
  <si>
    <t>Huynh</t>
  </si>
  <si>
    <t>Leroy</t>
  </si>
  <si>
    <t>Van Den Houte</t>
  </si>
  <si>
    <t>Dheur</t>
  </si>
  <si>
    <t>Goset</t>
  </si>
  <si>
    <t>Scheen</t>
  </si>
  <si>
    <t>Threis</t>
  </si>
  <si>
    <t>Dubois</t>
  </si>
  <si>
    <t>Gregoire</t>
  </si>
  <si>
    <t>Massart</t>
  </si>
  <si>
    <t>Serwy</t>
  </si>
  <si>
    <t>Verhaeghe</t>
  </si>
  <si>
    <t>Bertholet</t>
  </si>
  <si>
    <t>Marain</t>
  </si>
  <si>
    <t>Roufosse</t>
  </si>
  <si>
    <t>Torre</t>
  </si>
  <si>
    <t>Vanwissen</t>
  </si>
  <si>
    <t>Visconti</t>
  </si>
  <si>
    <t>Daelman</t>
  </si>
  <si>
    <t>Boltz</t>
  </si>
  <si>
    <t>Genart</t>
  </si>
  <si>
    <t>Averlant</t>
  </si>
  <si>
    <t>Segers</t>
  </si>
  <si>
    <t>Lagneau</t>
  </si>
  <si>
    <t>Magermans</t>
  </si>
  <si>
    <t>Coutinho</t>
  </si>
  <si>
    <t>Quintaes</t>
  </si>
  <si>
    <t>Ramalhete</t>
  </si>
  <si>
    <t>Borges</t>
  </si>
  <si>
    <t>Perrotti</t>
  </si>
  <si>
    <t>Heremann</t>
  </si>
  <si>
    <t>Gouvêa</t>
  </si>
  <si>
    <t>Paroski</t>
  </si>
  <si>
    <t>Suzuki</t>
  </si>
  <si>
    <t>Saviani</t>
  </si>
  <si>
    <t>Ferreira</t>
  </si>
  <si>
    <t>Junior</t>
  </si>
  <si>
    <t>Gaffo</t>
  </si>
  <si>
    <t>Lima</t>
  </si>
  <si>
    <t>Marques</t>
  </si>
  <si>
    <t>Gomes</t>
  </si>
  <si>
    <t>Franco</t>
  </si>
  <si>
    <t>Farah</t>
  </si>
  <si>
    <t>Vidal</t>
  </si>
  <si>
    <t>Guerra</t>
  </si>
  <si>
    <t>Celandroni</t>
  </si>
  <si>
    <t>Netto</t>
  </si>
  <si>
    <t>da Silva</t>
  </si>
  <si>
    <t>Agra</t>
  </si>
  <si>
    <t>Nannini</t>
  </si>
  <si>
    <t>Canocchiari</t>
  </si>
  <si>
    <t>Maghenzani</t>
  </si>
  <si>
    <t>Simi</t>
  </si>
  <si>
    <t>Zanella</t>
  </si>
  <si>
    <t>Rojo</t>
  </si>
  <si>
    <t>Abboud</t>
  </si>
  <si>
    <t>Cincotto</t>
  </si>
  <si>
    <t>Robles</t>
  </si>
  <si>
    <t>Andreassi</t>
  </si>
  <si>
    <t>Matos</t>
  </si>
  <si>
    <t>Betaressi</t>
  </si>
  <si>
    <t>Fleury</t>
  </si>
  <si>
    <t>Armani</t>
  </si>
  <si>
    <t>Molina</t>
  </si>
  <si>
    <t>Venazzi</t>
  </si>
  <si>
    <t>Rangel</t>
  </si>
  <si>
    <t>Porto</t>
  </si>
  <si>
    <t>Manceira</t>
  </si>
  <si>
    <t>Garcia</t>
  </si>
  <si>
    <t>Hermenegildo</t>
  </si>
  <si>
    <t>de Carvalho</t>
  </si>
  <si>
    <t>Dominos</t>
  </si>
  <si>
    <t>Vieira</t>
  </si>
  <si>
    <t>Eglit</t>
  </si>
  <si>
    <t>Panzarini</t>
  </si>
  <si>
    <t>Meni</t>
  </si>
  <si>
    <t>Genta</t>
  </si>
  <si>
    <t>Michilin</t>
  </si>
  <si>
    <t>Neto</t>
  </si>
  <si>
    <t>Freitas</t>
  </si>
  <si>
    <t>Crepaldi</t>
  </si>
  <si>
    <t>de Souza</t>
  </si>
  <si>
    <t>Mamoni</t>
  </si>
  <si>
    <t>Felicio</t>
  </si>
  <si>
    <t>Narduche</t>
  </si>
  <si>
    <t>Melli</t>
  </si>
  <si>
    <t>Zucatto</t>
  </si>
  <si>
    <t>Costa</t>
  </si>
  <si>
    <t>Martins</t>
  </si>
  <si>
    <t>Oliveira</t>
  </si>
  <si>
    <t>Barcelos</t>
  </si>
  <si>
    <t>Pinheiro</t>
  </si>
  <si>
    <t>Constantino</t>
  </si>
  <si>
    <t>Pereira</t>
  </si>
  <si>
    <t>Hoopfer</t>
  </si>
  <si>
    <t>Braun</t>
  </si>
  <si>
    <t>Haylett</t>
  </si>
  <si>
    <t>Herrel</t>
  </si>
  <si>
    <t>Khaira</t>
  </si>
  <si>
    <t>Randhawa</t>
  </si>
  <si>
    <t>Bal</t>
  </si>
  <si>
    <t>Ho</t>
  </si>
  <si>
    <t>Thornton</t>
  </si>
  <si>
    <t>Watts</t>
  </si>
  <si>
    <t>Sexton</t>
  </si>
  <si>
    <t>McNab</t>
  </si>
  <si>
    <t>Burt</t>
  </si>
  <si>
    <t>Clarkson</t>
  </si>
  <si>
    <t>Rokoski</t>
  </si>
  <si>
    <t>Lemak</t>
  </si>
  <si>
    <t>Moore</t>
  </si>
  <si>
    <t>Wurthman</t>
  </si>
  <si>
    <t>Mckay</t>
  </si>
  <si>
    <t>Lovegrove</t>
  </si>
  <si>
    <t>Fallie</t>
  </si>
  <si>
    <t>Andronikou</t>
  </si>
  <si>
    <t>Constantinou</t>
  </si>
  <si>
    <t>Hadjitheklis</t>
  </si>
  <si>
    <t>Ioannides</t>
  </si>
  <si>
    <t>Kalopsidiotis</t>
  </si>
  <si>
    <t>Kouratzis</t>
  </si>
  <si>
    <t>Ktenas</t>
  </si>
  <si>
    <t>Kyriacou</t>
  </si>
  <si>
    <t>Nicolau</t>
  </si>
  <si>
    <t>O'Hare</t>
  </si>
  <si>
    <t>Parperis</t>
  </si>
  <si>
    <t>Sarris</t>
  </si>
  <si>
    <t>Socratous</t>
  </si>
  <si>
    <t>Vassiliades</t>
  </si>
  <si>
    <t>Zangylos</t>
  </si>
  <si>
    <t>Zinonos</t>
  </si>
  <si>
    <t>Zorbis</t>
  </si>
  <si>
    <t>Ioannou</t>
  </si>
  <si>
    <t>Karayiannis</t>
  </si>
  <si>
    <t>Shiamishis</t>
  </si>
  <si>
    <t>Stylianou</t>
  </si>
  <si>
    <t>Hadjikypris</t>
  </si>
  <si>
    <t>Vavourakis</t>
  </si>
  <si>
    <t>Antoniou</t>
  </si>
  <si>
    <t>Koureas</t>
  </si>
  <si>
    <t>Georgiou</t>
  </si>
  <si>
    <t>Lysandrou</t>
  </si>
  <si>
    <t>Tsokatksides</t>
  </si>
  <si>
    <t>Nikolau</t>
  </si>
  <si>
    <t>Pappas</t>
  </si>
  <si>
    <t>Lazzari</t>
  </si>
  <si>
    <t>Lund</t>
  </si>
  <si>
    <t>Emil Christiansen</t>
  </si>
  <si>
    <t>Fursund</t>
  </si>
  <si>
    <t>Staal Nielsen</t>
  </si>
  <si>
    <t>Bentzen</t>
  </si>
  <si>
    <t>Buhl Hansen</t>
  </si>
  <si>
    <t>Gold Christiansen</t>
  </si>
  <si>
    <t>Lange Klausen</t>
  </si>
  <si>
    <t>Kristensen</t>
  </si>
  <si>
    <t>Enevoldsen</t>
  </si>
  <si>
    <t>Wilse</t>
  </si>
  <si>
    <t>Honore</t>
  </si>
  <si>
    <t>Frederiksen</t>
  </si>
  <si>
    <t>Gørtz</t>
  </si>
  <si>
    <t>Sørensen</t>
  </si>
  <si>
    <t>Reitz</t>
  </si>
  <si>
    <t>Hedegård</t>
  </si>
  <si>
    <t>Jørgensen</t>
  </si>
  <si>
    <t>Petersen</t>
  </si>
  <si>
    <t>Vendebæk</t>
  </si>
  <si>
    <t>Madsen</t>
  </si>
  <si>
    <t>Achton Boel</t>
  </si>
  <si>
    <t>Pedersen</t>
  </si>
  <si>
    <t>Clemmensen</t>
  </si>
  <si>
    <t>Lind</t>
  </si>
  <si>
    <t>Nørregaard</t>
  </si>
  <si>
    <t>Ranklit</t>
  </si>
  <si>
    <t>From</t>
  </si>
  <si>
    <t>Stagsted</t>
  </si>
  <si>
    <t>Hansen</t>
  </si>
  <si>
    <t>Johansen</t>
  </si>
  <si>
    <t>Thorsen</t>
  </si>
  <si>
    <t>Andreasen</t>
  </si>
  <si>
    <t>Andersen</t>
  </si>
  <si>
    <t>Spanggaard</t>
  </si>
  <si>
    <t>Mikkelsen</t>
  </si>
  <si>
    <t>Post</t>
  </si>
  <si>
    <t>Esmark</t>
  </si>
  <si>
    <t>Bech Kaysen</t>
  </si>
  <si>
    <t>Eeg Jensen</t>
  </si>
  <si>
    <t>Harregaard</t>
  </si>
  <si>
    <t>Martens</t>
  </si>
  <si>
    <t>Thorbech</t>
  </si>
  <si>
    <t>Pearson</t>
  </si>
  <si>
    <t>Hodds</t>
  </si>
  <si>
    <t>Staples</t>
  </si>
  <si>
    <t>Butler</t>
  </si>
  <si>
    <t>Bradley</t>
  </si>
  <si>
    <t>Barnes</t>
  </si>
  <si>
    <t>Lawrenson</t>
  </si>
  <si>
    <t>Bellefontaine</t>
  </si>
  <si>
    <t>Bennett</t>
  </si>
  <si>
    <t>Finch</t>
  </si>
  <si>
    <t>Smith</t>
  </si>
  <si>
    <t>Taylor</t>
  </si>
  <si>
    <t>Todd</t>
  </si>
  <si>
    <t>Russell</t>
  </si>
  <si>
    <t>Kinrade</t>
  </si>
  <si>
    <t>Daley</t>
  </si>
  <si>
    <t>Clark</t>
  </si>
  <si>
    <t>Jones</t>
  </si>
  <si>
    <t>Holmes</t>
  </si>
  <si>
    <t>Licheri</t>
  </si>
  <si>
    <t>Wilson</t>
  </si>
  <si>
    <t>Fontana</t>
  </si>
  <si>
    <t>Peterschinigg</t>
  </si>
  <si>
    <t>Bowen</t>
  </si>
  <si>
    <t>Parsons</t>
  </si>
  <si>
    <t>Young</t>
  </si>
  <si>
    <t>Spence</t>
  </si>
  <si>
    <t>Martínez</t>
  </si>
  <si>
    <t>Márquez</t>
  </si>
  <si>
    <t>Benita</t>
  </si>
  <si>
    <t>Heredia</t>
  </si>
  <si>
    <t>Cayuela</t>
  </si>
  <si>
    <t>Flores</t>
  </si>
  <si>
    <t>Valverde</t>
  </si>
  <si>
    <t>Escudero</t>
  </si>
  <si>
    <t>Coll</t>
  </si>
  <si>
    <t>Montaño</t>
  </si>
  <si>
    <t>González</t>
  </si>
  <si>
    <t>Casín</t>
  </si>
  <si>
    <t>Pérez</t>
  </si>
  <si>
    <t>Somoza</t>
  </si>
  <si>
    <t>Sánchez</t>
  </si>
  <si>
    <t>Fernández</t>
  </si>
  <si>
    <t>Cano</t>
  </si>
  <si>
    <t>Dotto</t>
  </si>
  <si>
    <t>Romero</t>
  </si>
  <si>
    <t>Trouillard</t>
  </si>
  <si>
    <t>Naszalyi</t>
  </si>
  <si>
    <t>Vivron</t>
  </si>
  <si>
    <t>Gorgette</t>
  </si>
  <si>
    <t>Amberny</t>
  </si>
  <si>
    <t>Donval</t>
  </si>
  <si>
    <t>Modeste</t>
  </si>
  <si>
    <t>Zaki</t>
  </si>
  <si>
    <t>Rouis</t>
  </si>
  <si>
    <t>Lienhardt</t>
  </si>
  <si>
    <t>Guyot</t>
  </si>
  <si>
    <t>Herbaut</t>
  </si>
  <si>
    <t>Ledieu</t>
  </si>
  <si>
    <t>Garnier</t>
  </si>
  <si>
    <t>Pommier</t>
  </si>
  <si>
    <t>Fouetillou</t>
  </si>
  <si>
    <t>Sagit</t>
  </si>
  <si>
    <t>Farza</t>
  </si>
  <si>
    <t>Salle</t>
  </si>
  <si>
    <t>Midoux</t>
  </si>
  <si>
    <t>Soret</t>
  </si>
  <si>
    <t>Lours</t>
  </si>
  <si>
    <t>Büsing</t>
  </si>
  <si>
    <t>Herrmannsdörfer</t>
  </si>
  <si>
    <t>Krause</t>
  </si>
  <si>
    <t>Schulz</t>
  </si>
  <si>
    <t>Schrott</t>
  </si>
  <si>
    <t>Selsen</t>
  </si>
  <si>
    <t>Sauerwein</t>
  </si>
  <si>
    <t>Vulpes</t>
  </si>
  <si>
    <t>Bianco</t>
  </si>
  <si>
    <t>Eger</t>
  </si>
  <si>
    <t>Kegenbein</t>
  </si>
  <si>
    <t>Kwiatkowski</t>
  </si>
  <si>
    <t>Odelga</t>
  </si>
  <si>
    <t>Röttjer</t>
  </si>
  <si>
    <t>Stolzenberg</t>
  </si>
  <si>
    <t>Tilgner</t>
  </si>
  <si>
    <t>Vogt</t>
  </si>
  <si>
    <t>Bärwald</t>
  </si>
  <si>
    <t>Boddenberg</t>
  </si>
  <si>
    <t>Breselg</t>
  </si>
  <si>
    <t>Hagenkötter</t>
  </si>
  <si>
    <t>Maaz</t>
  </si>
  <si>
    <t>Gottke</t>
  </si>
  <si>
    <t>Knuf</t>
  </si>
  <si>
    <t>Molinaro</t>
  </si>
  <si>
    <t>Lindner</t>
  </si>
  <si>
    <t>Seidel</t>
  </si>
  <si>
    <t>Schneider</t>
  </si>
  <si>
    <t>Manger</t>
  </si>
  <si>
    <t>Sartor</t>
  </si>
  <si>
    <t>Göbel</t>
  </si>
  <si>
    <t>Preu</t>
  </si>
  <si>
    <t>Schaup</t>
  </si>
  <si>
    <t>Walper</t>
  </si>
  <si>
    <t>Bauer</t>
  </si>
  <si>
    <t>Göhring</t>
  </si>
  <si>
    <t>Grunwald</t>
  </si>
  <si>
    <t>Mair</t>
  </si>
  <si>
    <t>Popp</t>
  </si>
  <si>
    <t>Riehl</t>
  </si>
  <si>
    <t>Ruf</t>
  </si>
  <si>
    <t>Gersie</t>
  </si>
  <si>
    <t>Beifuß</t>
  </si>
  <si>
    <t>Kappl</t>
  </si>
  <si>
    <t>Thiele</t>
  </si>
  <si>
    <t>Winkler</t>
  </si>
  <si>
    <t>Scheurer</t>
  </si>
  <si>
    <t>Ihle</t>
  </si>
  <si>
    <t>Horn</t>
  </si>
  <si>
    <t>Badziung</t>
  </si>
  <si>
    <t>Grünberg</t>
  </si>
  <si>
    <t>Jung</t>
  </si>
  <si>
    <t>Boer</t>
  </si>
  <si>
    <t>Skroblin</t>
  </si>
  <si>
    <t>Tholen</t>
  </si>
  <si>
    <t>Eiring</t>
  </si>
  <si>
    <t>Wagner</t>
  </si>
  <si>
    <t>Stiller</t>
  </si>
  <si>
    <t>Mulasmajic</t>
  </si>
  <si>
    <t>Kalyta</t>
  </si>
  <si>
    <t>Yilmaz</t>
  </si>
  <si>
    <t>Martinez</t>
  </si>
  <si>
    <t>Field</t>
  </si>
  <si>
    <t>Alvarez</t>
  </si>
  <si>
    <t>Palmer</t>
  </si>
  <si>
    <t>Tellez</t>
  </si>
  <si>
    <t>Bonavia</t>
  </si>
  <si>
    <t>Bonfante</t>
  </si>
  <si>
    <t>Dean</t>
  </si>
  <si>
    <t>Avellano</t>
  </si>
  <si>
    <t>Papakonstantinou</t>
  </si>
  <si>
    <t>Koutroumanos</t>
  </si>
  <si>
    <t>Kapsabelis</t>
  </si>
  <si>
    <t>Dimopoulos</t>
  </si>
  <si>
    <t>Dervis</t>
  </si>
  <si>
    <t>Triantafillou</t>
  </si>
  <si>
    <t>Koutis</t>
  </si>
  <si>
    <t>Plytas</t>
  </si>
  <si>
    <t>Ntakas</t>
  </si>
  <si>
    <t>Stamatopoulos</t>
  </si>
  <si>
    <t>Beis</t>
  </si>
  <si>
    <t>Pitsaris</t>
  </si>
  <si>
    <t>Poulidis</t>
  </si>
  <si>
    <t>Petronikolos</t>
  </si>
  <si>
    <t>Psihas</t>
  </si>
  <si>
    <t>Vernados</t>
  </si>
  <si>
    <t>Vasiliou</t>
  </si>
  <si>
    <t>Bogdanidis</t>
  </si>
  <si>
    <t>Kidis</t>
  </si>
  <si>
    <t>Sklavounos</t>
  </si>
  <si>
    <t>Kazantzoglou</t>
  </si>
  <si>
    <t>Skenteris</t>
  </si>
  <si>
    <t>Karatarakis</t>
  </si>
  <si>
    <t>Valantasis</t>
  </si>
  <si>
    <t>Hotzakis</t>
  </si>
  <si>
    <t>Georgopoulos</t>
  </si>
  <si>
    <t>Sklavounakos</t>
  </si>
  <si>
    <t>Papathanasiou</t>
  </si>
  <si>
    <t>Kolidakis</t>
  </si>
  <si>
    <t>Argyrakoulis</t>
  </si>
  <si>
    <t>Vernadakis</t>
  </si>
  <si>
    <t>Pensas</t>
  </si>
  <si>
    <t>Vrettakos</t>
  </si>
  <si>
    <t>Tsoukanaras</t>
  </si>
  <si>
    <t>Fitos</t>
  </si>
  <si>
    <t>Charalampidis</t>
  </si>
  <si>
    <t>Pouris</t>
  </si>
  <si>
    <t>Caseley</t>
  </si>
  <si>
    <t>Drossopoulos</t>
  </si>
  <si>
    <t>Arvanitis</t>
  </si>
  <si>
    <t>Koulosousas</t>
  </si>
  <si>
    <t>Giaglis</t>
  </si>
  <si>
    <t>Tsimpoukas</t>
  </si>
  <si>
    <t>Argyropoulos</t>
  </si>
  <si>
    <t>Manoloulis</t>
  </si>
  <si>
    <t>Metzidakis</t>
  </si>
  <si>
    <t>Bartzis</t>
  </si>
  <si>
    <t>Bizas</t>
  </si>
  <si>
    <t>Chaitas</t>
  </si>
  <si>
    <t>Filippousis</t>
  </si>
  <si>
    <t>Fousteris</t>
  </si>
  <si>
    <t>Gouvelis</t>
  </si>
  <si>
    <t>Mavroeidakos</t>
  </si>
  <si>
    <t>Kontos</t>
  </si>
  <si>
    <t>Kouvelas</t>
  </si>
  <si>
    <t>Metaxas</t>
  </si>
  <si>
    <t>Moros</t>
  </si>
  <si>
    <t>Garefalakis</t>
  </si>
  <si>
    <t>Nteros</t>
  </si>
  <si>
    <t>Papadakis</t>
  </si>
  <si>
    <t>Papadoukakis</t>
  </si>
  <si>
    <t>Dimakeas</t>
  </si>
  <si>
    <t>Rikos</t>
  </si>
  <si>
    <t>Archimandritis</t>
  </si>
  <si>
    <t>Biskinis</t>
  </si>
  <si>
    <t>Symeon</t>
  </si>
  <si>
    <t>Tzelatis</t>
  </si>
  <si>
    <t>Pritsis</t>
  </si>
  <si>
    <t>Kordantonopoulos</t>
  </si>
  <si>
    <t>Priftis</t>
  </si>
  <si>
    <t>Asimakopoulos</t>
  </si>
  <si>
    <t>Petropoulos</t>
  </si>
  <si>
    <t>Papanikolaou</t>
  </si>
  <si>
    <t>Arvanitaki</t>
  </si>
  <si>
    <t>Theologos</t>
  </si>
  <si>
    <t>Kadinopoulos</t>
  </si>
  <si>
    <t>Plesa</t>
  </si>
  <si>
    <t>Papoulias</t>
  </si>
  <si>
    <t>Kourouklis</t>
  </si>
  <si>
    <t>Christodoulou</t>
  </si>
  <si>
    <t>Naskos</t>
  </si>
  <si>
    <t>Aliadis</t>
  </si>
  <si>
    <t>Koutsompinas</t>
  </si>
  <si>
    <t>Voulgaris</t>
  </si>
  <si>
    <t>Liolios</t>
  </si>
  <si>
    <t>Karadedos</t>
  </si>
  <si>
    <t>Prinias</t>
  </si>
  <si>
    <t>Vlassopoulos</t>
  </si>
  <si>
    <t>Sioutis</t>
  </si>
  <si>
    <t>Karamanis</t>
  </si>
  <si>
    <t>Papadopoulos</t>
  </si>
  <si>
    <t>Routsis</t>
  </si>
  <si>
    <t>Tsakiris</t>
  </si>
  <si>
    <t>Tziortziotis</t>
  </si>
  <si>
    <t>Arabatzis</t>
  </si>
  <si>
    <t>Arvanitakis</t>
  </si>
  <si>
    <t>Tsagiannis</t>
  </si>
  <si>
    <t>Kechris</t>
  </si>
  <si>
    <t>Stamokostas</t>
  </si>
  <si>
    <t>Patrinos</t>
  </si>
  <si>
    <t>Kosmopoulos</t>
  </si>
  <si>
    <t>Apergis</t>
  </si>
  <si>
    <t>Fotopoulos</t>
  </si>
  <si>
    <t>Christou</t>
  </si>
  <si>
    <t>Gouloulis</t>
  </si>
  <si>
    <t>Zavrakas</t>
  </si>
  <si>
    <t>Nousios</t>
  </si>
  <si>
    <t>Niavis</t>
  </si>
  <si>
    <t>Georgakis</t>
  </si>
  <si>
    <t>Tsoutsas</t>
  </si>
  <si>
    <t>Meros</t>
  </si>
  <si>
    <t>Kakavas</t>
  </si>
  <si>
    <t>Mitrakopoulos</t>
  </si>
  <si>
    <t>Karavasilis</t>
  </si>
  <si>
    <t>Georgiopoulos</t>
  </si>
  <si>
    <t>Krikelis</t>
  </si>
  <si>
    <t>Kourtis</t>
  </si>
  <si>
    <t>Kaperonis</t>
  </si>
  <si>
    <t>Zimeras</t>
  </si>
  <si>
    <t>Sioulas</t>
  </si>
  <si>
    <t>Tzimas</t>
  </si>
  <si>
    <t>Gortzas</t>
  </si>
  <si>
    <t>Kordatos</t>
  </si>
  <si>
    <t>Seses</t>
  </si>
  <si>
    <t>Kourabas</t>
  </si>
  <si>
    <t>Mavromitros</t>
  </si>
  <si>
    <t>Theodosopoulos</t>
  </si>
  <si>
    <t>Mallias</t>
  </si>
  <si>
    <t>Cheiras</t>
  </si>
  <si>
    <t>Papavasileiou</t>
  </si>
  <si>
    <t>Voutsinas</t>
  </si>
  <si>
    <t>Palaiologos</t>
  </si>
  <si>
    <t>Axiomakaros</t>
  </si>
  <si>
    <t>Kalavros</t>
  </si>
  <si>
    <t>Alexiou</t>
  </si>
  <si>
    <t>Fanaras</t>
  </si>
  <si>
    <t>Gagas</t>
  </si>
  <si>
    <t>Seferos</t>
  </si>
  <si>
    <t>Psarras</t>
  </si>
  <si>
    <t>Kotrotsos</t>
  </si>
  <si>
    <t>Vlastos</t>
  </si>
  <si>
    <t>Dalietos</t>
  </si>
  <si>
    <t>Androutsopoulos</t>
  </si>
  <si>
    <t>Vikatos</t>
  </si>
  <si>
    <t>Morias</t>
  </si>
  <si>
    <t>Rahmanis</t>
  </si>
  <si>
    <t>Tosioudis</t>
  </si>
  <si>
    <t>Kaffes</t>
  </si>
  <si>
    <t>Kailoglou</t>
  </si>
  <si>
    <t>Moshidis</t>
  </si>
  <si>
    <t>Kontogiannis</t>
  </si>
  <si>
    <t>Giannopoulos</t>
  </si>
  <si>
    <t>Zafirakis</t>
  </si>
  <si>
    <t>Zioulis</t>
  </si>
  <si>
    <t>Ftakas</t>
  </si>
  <si>
    <t>Papaioannoy</t>
  </si>
  <si>
    <t>Stergioulas</t>
  </si>
  <si>
    <t>Matsopoulos</t>
  </si>
  <si>
    <t>Sourlas</t>
  </si>
  <si>
    <t>Hatziliadis</t>
  </si>
  <si>
    <t>Mitropoulos</t>
  </si>
  <si>
    <t>Kollias</t>
  </si>
  <si>
    <t>Tselepidis</t>
  </si>
  <si>
    <t>Zavos</t>
  </si>
  <si>
    <t>Kartalis</t>
  </si>
  <si>
    <t>Aggelakos</t>
  </si>
  <si>
    <t>Papadogonas</t>
  </si>
  <si>
    <t>Tsitouras</t>
  </si>
  <si>
    <t>Karagianniotis</t>
  </si>
  <si>
    <t>Drazinakis</t>
  </si>
  <si>
    <t>Koulosousa</t>
  </si>
  <si>
    <t>Patrikiou</t>
  </si>
  <si>
    <t>Ohrstrom</t>
  </si>
  <si>
    <t>Koukoutsas</t>
  </si>
  <si>
    <t>Bourtzonis</t>
  </si>
  <si>
    <t>Smyrneos</t>
  </si>
  <si>
    <t>Prifti</t>
  </si>
  <si>
    <t>Nomikos</t>
  </si>
  <si>
    <t>Tsakopoulos</t>
  </si>
  <si>
    <t>Maroulas</t>
  </si>
  <si>
    <t>Lysikatos</t>
  </si>
  <si>
    <t>Monemvasitis</t>
  </si>
  <si>
    <t>Kilias</t>
  </si>
  <si>
    <t>Karatosidis</t>
  </si>
  <si>
    <t>Arzoumanidis</t>
  </si>
  <si>
    <t>Spinos</t>
  </si>
  <si>
    <t>Christopoulos</t>
  </si>
  <si>
    <t>Makkos</t>
  </si>
  <si>
    <t>Zervas</t>
  </si>
  <si>
    <t>Kiritsis</t>
  </si>
  <si>
    <t>Mpitras</t>
  </si>
  <si>
    <t>Makkas</t>
  </si>
  <si>
    <t>Delligianakis</t>
  </si>
  <si>
    <t>Kordatos Jr</t>
  </si>
  <si>
    <t>Skafidas</t>
  </si>
  <si>
    <t>Dolmes</t>
  </si>
  <si>
    <t>Kontaxakis</t>
  </si>
  <si>
    <t>Gialitsis</t>
  </si>
  <si>
    <t>Gkogkos</t>
  </si>
  <si>
    <t>Maniatis</t>
  </si>
  <si>
    <t>Angelopoulos</t>
  </si>
  <si>
    <t>Chondroudakis</t>
  </si>
  <si>
    <t>Zarogiannis</t>
  </si>
  <si>
    <t>Psaradelis</t>
  </si>
  <si>
    <t>Xifaras</t>
  </si>
  <si>
    <t>Agelakis</t>
  </si>
  <si>
    <t>Smyliotopoulos</t>
  </si>
  <si>
    <t>Apostolidis</t>
  </si>
  <si>
    <t>Athanasopoulos</t>
  </si>
  <si>
    <t>Golemis</t>
  </si>
  <si>
    <t>Mamalakis</t>
  </si>
  <si>
    <t>Demirtzoglou</t>
  </si>
  <si>
    <t>Panagopoulos</t>
  </si>
  <si>
    <t>Dragomanidis</t>
  </si>
  <si>
    <t>Markoudakis</t>
  </si>
  <si>
    <t>Tsekouras</t>
  </si>
  <si>
    <t>Mavrogiannis</t>
  </si>
  <si>
    <t>Salamouris</t>
  </si>
  <si>
    <t>Korologos</t>
  </si>
  <si>
    <t>Georginis</t>
  </si>
  <si>
    <t>Genitsaropoulos</t>
  </si>
  <si>
    <t>Alatsakis</t>
  </si>
  <si>
    <t>Kalogiros</t>
  </si>
  <si>
    <t>Antonaropoulos</t>
  </si>
  <si>
    <t>Iliadis</t>
  </si>
  <si>
    <t>Kounenos</t>
  </si>
  <si>
    <t>Polychronakis</t>
  </si>
  <si>
    <t>Polykratis</t>
  </si>
  <si>
    <t>Samaritakis</t>
  </si>
  <si>
    <t>Zymvragoudakis</t>
  </si>
  <si>
    <t>Marakis</t>
  </si>
  <si>
    <t>Apostolou</t>
  </si>
  <si>
    <t>Papageorgiou</t>
  </si>
  <si>
    <t>Papadea</t>
  </si>
  <si>
    <t>Koutsiana</t>
  </si>
  <si>
    <t>Ioakim</t>
  </si>
  <si>
    <t>Tsiamalou</t>
  </si>
  <si>
    <t>Nikou</t>
  </si>
  <si>
    <t>Niavi</t>
  </si>
  <si>
    <t>Vasilopoulos</t>
  </si>
  <si>
    <t>Stollas</t>
  </si>
  <si>
    <t>Sotiropoulos</t>
  </si>
  <si>
    <t>Panagiotakopoulos</t>
  </si>
  <si>
    <t>Mpratis</t>
  </si>
  <si>
    <t>Kavgas</t>
  </si>
  <si>
    <t>Nanis</t>
  </si>
  <si>
    <t>Siotos</t>
  </si>
  <si>
    <t>Hatzikonstantinou</t>
  </si>
  <si>
    <t>Konstantakos</t>
  </si>
  <si>
    <t>Alatsaki</t>
  </si>
  <si>
    <t>Nezis</t>
  </si>
  <si>
    <t>Argyros</t>
  </si>
  <si>
    <t>Pantazopoulos</t>
  </si>
  <si>
    <t>Kolovos</t>
  </si>
  <si>
    <t>Karvounis</t>
  </si>
  <si>
    <t>Ifantis</t>
  </si>
  <si>
    <t>Zacharopoulos</t>
  </si>
  <si>
    <t>Kappatos</t>
  </si>
  <si>
    <t>Vaggelatos</t>
  </si>
  <si>
    <t>Lountzis</t>
  </si>
  <si>
    <t>Chatzakis</t>
  </si>
  <si>
    <t>Kouraba</t>
  </si>
  <si>
    <t>Kouridakis</t>
  </si>
  <si>
    <t>Katsoulas</t>
  </si>
  <si>
    <t>Theofanopoulos</t>
  </si>
  <si>
    <t>Karouzos</t>
  </si>
  <si>
    <t>Kalatzis</t>
  </si>
  <si>
    <t>Nitis</t>
  </si>
  <si>
    <t>Kouimanis</t>
  </si>
  <si>
    <t>Kolydas</t>
  </si>
  <si>
    <t>Carabillo</t>
  </si>
  <si>
    <t>Hicz</t>
  </si>
  <si>
    <t>Csibor</t>
  </si>
  <si>
    <t>Baross</t>
  </si>
  <si>
    <t>Farrell</t>
  </si>
  <si>
    <t>Zarduk</t>
  </si>
  <si>
    <t>Funaro</t>
  </si>
  <si>
    <t>Levy</t>
  </si>
  <si>
    <t>Ofir</t>
  </si>
  <si>
    <t>Cohen</t>
  </si>
  <si>
    <t>Alessi</t>
  </si>
  <si>
    <t>Allison</t>
  </si>
  <si>
    <t>Ancarola</t>
  </si>
  <si>
    <t>Anderlini</t>
  </si>
  <si>
    <t>Arca</t>
  </si>
  <si>
    <t>Bacchin</t>
  </si>
  <si>
    <t>Bacci</t>
  </si>
  <si>
    <t>Balboni</t>
  </si>
  <si>
    <t>Balestrieri</t>
  </si>
  <si>
    <t>Balzano</t>
  </si>
  <si>
    <t>Banditelli</t>
  </si>
  <si>
    <t>Baraldi</t>
  </si>
  <si>
    <t>Barbieri</t>
  </si>
  <si>
    <t>Bardari</t>
  </si>
  <si>
    <t>Bari</t>
  </si>
  <si>
    <t>Barone</t>
  </si>
  <si>
    <t>Battaglia</t>
  </si>
  <si>
    <t>Battista</t>
  </si>
  <si>
    <t>Becucci</t>
  </si>
  <si>
    <t>Belloni</t>
  </si>
  <si>
    <t>Bellotto</t>
  </si>
  <si>
    <t>Benedetti</t>
  </si>
  <si>
    <t>Bertelli</t>
  </si>
  <si>
    <t>Billi</t>
  </si>
  <si>
    <t>Bisio</t>
  </si>
  <si>
    <t>Bodin De Chatelard</t>
  </si>
  <si>
    <t>Bolognino</t>
  </si>
  <si>
    <t>Bonciani</t>
  </si>
  <si>
    <t>Borgo</t>
  </si>
  <si>
    <t>Bressi</t>
  </si>
  <si>
    <t>Brillantino</t>
  </si>
  <si>
    <t>Brunelli</t>
  </si>
  <si>
    <t>Buono</t>
  </si>
  <si>
    <t>Buttitta</t>
  </si>
  <si>
    <t>Buzzi</t>
  </si>
  <si>
    <t>Cacciapuoti</t>
  </si>
  <si>
    <t>Calò</t>
  </si>
  <si>
    <t>Calonico</t>
  </si>
  <si>
    <t>Canicchio</t>
  </si>
  <si>
    <t>Capellacci</t>
  </si>
  <si>
    <t>Capelli</t>
  </si>
  <si>
    <t>Capossela</t>
  </si>
  <si>
    <t>Carravetta</t>
  </si>
  <si>
    <t>Casanova</t>
  </si>
  <si>
    <t>Cascioli</t>
  </si>
  <si>
    <t>Casentini</t>
  </si>
  <si>
    <t>Castiglioni</t>
  </si>
  <si>
    <t>Cattani</t>
  </si>
  <si>
    <t>Caviglia</t>
  </si>
  <si>
    <t>Cerullo</t>
  </si>
  <si>
    <t>Ciabattoni</t>
  </si>
  <si>
    <t>Ciano</t>
  </si>
  <si>
    <t>Ciccarelli</t>
  </si>
  <si>
    <t>Cicognani</t>
  </si>
  <si>
    <t>Ciraolo</t>
  </si>
  <si>
    <t>Cirillo</t>
  </si>
  <si>
    <t>Coco</t>
  </si>
  <si>
    <t>Cogo</t>
  </si>
  <si>
    <t>Colangelo</t>
  </si>
  <si>
    <t>Colella</t>
  </si>
  <si>
    <t>Colpani</t>
  </si>
  <si>
    <t>Conti</t>
  </si>
  <si>
    <t>Corazza</t>
  </si>
  <si>
    <t>Corradi</t>
  </si>
  <si>
    <t>Corso</t>
  </si>
  <si>
    <t>Cristiano</t>
  </si>
  <si>
    <t>Croatti</t>
  </si>
  <si>
    <t>Croce</t>
  </si>
  <si>
    <t>Cubeta</t>
  </si>
  <si>
    <t>Cuomo</t>
  </si>
  <si>
    <t>Curato</t>
  </si>
  <si>
    <t>Cuzzocrea</t>
  </si>
  <si>
    <t>De Francesco</t>
  </si>
  <si>
    <t>De Luca</t>
  </si>
  <si>
    <t>De Rogati</t>
  </si>
  <si>
    <t>Del Brocco</t>
  </si>
  <si>
    <t>Della Monaca</t>
  </si>
  <si>
    <t>Di Gennaro</t>
  </si>
  <si>
    <t>Di Pierro</t>
  </si>
  <si>
    <t>Di Pietrantonio</t>
  </si>
  <si>
    <t>Di Vincenzo</t>
  </si>
  <si>
    <t>Dogali</t>
  </si>
  <si>
    <t>Dore</t>
  </si>
  <si>
    <t>Dragonetti</t>
  </si>
  <si>
    <t>Esposito</t>
  </si>
  <si>
    <t>Evangelisti</t>
  </si>
  <si>
    <t>Farace</t>
  </si>
  <si>
    <t>Farnesi</t>
  </si>
  <si>
    <t>Fedele</t>
  </si>
  <si>
    <t>Ferrante</t>
  </si>
  <si>
    <t>Ferrucci</t>
  </si>
  <si>
    <t>Figus</t>
  </si>
  <si>
    <t>Finardi</t>
  </si>
  <si>
    <t>Flamini</t>
  </si>
  <si>
    <t>Forlani</t>
  </si>
  <si>
    <t>Frasca</t>
  </si>
  <si>
    <t>Furini</t>
  </si>
  <si>
    <t>Galeazzi</t>
  </si>
  <si>
    <t>Gallo</t>
  </si>
  <si>
    <t>Gara</t>
  </si>
  <si>
    <t>Gargiulo</t>
  </si>
  <si>
    <t>Gasparini</t>
  </si>
  <si>
    <t>Gazzoldi</t>
  </si>
  <si>
    <t>Gentile</t>
  </si>
  <si>
    <t>Ghirelli</t>
  </si>
  <si>
    <t>Giannarelli</t>
  </si>
  <si>
    <t>Giliberto</t>
  </si>
  <si>
    <t>Gissara</t>
  </si>
  <si>
    <t>Goldoni</t>
  </si>
  <si>
    <t>Guidi</t>
  </si>
  <si>
    <t>Guzzetta</t>
  </si>
  <si>
    <t>Ielapi</t>
  </si>
  <si>
    <t>Impallomeni</t>
  </si>
  <si>
    <t>Incorvaia</t>
  </si>
  <si>
    <t>Intra</t>
  </si>
  <si>
    <t>Ioan</t>
  </si>
  <si>
    <t>Iorio</t>
  </si>
  <si>
    <t>La Rosa</t>
  </si>
  <si>
    <t>La Torre</t>
  </si>
  <si>
    <t>Lamberti</t>
  </si>
  <si>
    <t>Lampugnani</t>
  </si>
  <si>
    <t>Lauretti</t>
  </si>
  <si>
    <t>Lazzaretti</t>
  </si>
  <si>
    <t>Lena</t>
  </si>
  <si>
    <t>Lepore</t>
  </si>
  <si>
    <t>Lepri</t>
  </si>
  <si>
    <t>Liucci</t>
  </si>
  <si>
    <t>Lo Cascio</t>
  </si>
  <si>
    <t>Lo Iacono</t>
  </si>
  <si>
    <t>Lo Presti</t>
  </si>
  <si>
    <t>Lojacono</t>
  </si>
  <si>
    <t>Malvaso</t>
  </si>
  <si>
    <t>Mancaruso</t>
  </si>
  <si>
    <t>Manganello</t>
  </si>
  <si>
    <t>Mantile</t>
  </si>
  <si>
    <t>Maresca</t>
  </si>
  <si>
    <t>Marini</t>
  </si>
  <si>
    <t>Marino</t>
  </si>
  <si>
    <t>Marinucci</t>
  </si>
  <si>
    <t>Martiner Testa</t>
  </si>
  <si>
    <t>Marzocchi</t>
  </si>
  <si>
    <t>Masini</t>
  </si>
  <si>
    <t>Mastrantuono</t>
  </si>
  <si>
    <t>Mastropasqua</t>
  </si>
  <si>
    <t>Mattiangeli</t>
  </si>
  <si>
    <t>Mazzeo</t>
  </si>
  <si>
    <t>Mazzilli</t>
  </si>
  <si>
    <t>Mettivieri</t>
  </si>
  <si>
    <t>Monica</t>
  </si>
  <si>
    <t>Montefiori</t>
  </si>
  <si>
    <t>Moretti</t>
  </si>
  <si>
    <t>Musso</t>
  </si>
  <si>
    <t>Napolitano</t>
  </si>
  <si>
    <t>Nappa</t>
  </si>
  <si>
    <t>Nappini</t>
  </si>
  <si>
    <t>Nastasi</t>
  </si>
  <si>
    <t>Natoli</t>
  </si>
  <si>
    <t>Neri</t>
  </si>
  <si>
    <t>Nicchi</t>
  </si>
  <si>
    <t>Nucci</t>
  </si>
  <si>
    <t>Orlando</t>
  </si>
  <si>
    <t>Ottone</t>
  </si>
  <si>
    <t>Palmieri</t>
  </si>
  <si>
    <t>Panebianco</t>
  </si>
  <si>
    <t>Panza - Intra</t>
  </si>
  <si>
    <t>Patruno</t>
  </si>
  <si>
    <t>Pellegrino</t>
  </si>
  <si>
    <t>Peluso</t>
  </si>
  <si>
    <t>Perazzo</t>
  </si>
  <si>
    <t>Perrino</t>
  </si>
  <si>
    <t>Pessini</t>
  </si>
  <si>
    <t>Petrini</t>
  </si>
  <si>
    <t>Pieroni</t>
  </si>
  <si>
    <t>Pinausi</t>
  </si>
  <si>
    <t>Pini</t>
  </si>
  <si>
    <t>Pintore</t>
  </si>
  <si>
    <t>Pochesci</t>
  </si>
  <si>
    <t>Porcelli</t>
  </si>
  <si>
    <t>Porro</t>
  </si>
  <si>
    <t>Praino</t>
  </si>
  <si>
    <t>Preziuso</t>
  </si>
  <si>
    <t>Recano</t>
  </si>
  <si>
    <t>Resca</t>
  </si>
  <si>
    <t>Riccardi</t>
  </si>
  <si>
    <t>Ricci</t>
  </si>
  <si>
    <t>Riccio</t>
  </si>
  <si>
    <t>Rodriquez</t>
  </si>
  <si>
    <t>Romano</t>
  </si>
  <si>
    <t>Rossi</t>
  </si>
  <si>
    <t>Russo</t>
  </si>
  <si>
    <t>Salvati</t>
  </si>
  <si>
    <t>Santanicchia</t>
  </si>
  <si>
    <t>Sasso</t>
  </si>
  <si>
    <t>Scarduelli</t>
  </si>
  <si>
    <t>Scatamacchia</t>
  </si>
  <si>
    <t>Schiavone</t>
  </si>
  <si>
    <t>Schito</t>
  </si>
  <si>
    <t>Sciacca</t>
  </si>
  <si>
    <t>Sella</t>
  </si>
  <si>
    <t>Sepe</t>
  </si>
  <si>
    <t>Sergi</t>
  </si>
  <si>
    <t>Serpico</t>
  </si>
  <si>
    <t>Setale</t>
  </si>
  <si>
    <t>Silveri</t>
  </si>
  <si>
    <t>Silvestri</t>
  </si>
  <si>
    <t>Sirica</t>
  </si>
  <si>
    <t>Sollazzo</t>
  </si>
  <si>
    <t>Sommella</t>
  </si>
  <si>
    <t>Soria</t>
  </si>
  <si>
    <t>Spoto</t>
  </si>
  <si>
    <t>Stoto</t>
  </si>
  <si>
    <t>Strazza</t>
  </si>
  <si>
    <t>Subazzoli</t>
  </si>
  <si>
    <t>Suffritti</t>
  </si>
  <si>
    <t>Tagliaferri</t>
  </si>
  <si>
    <t>Testa</t>
  </si>
  <si>
    <t>Torano</t>
  </si>
  <si>
    <t>Torboli</t>
  </si>
  <si>
    <t>Trenta</t>
  </si>
  <si>
    <t>Tricoli</t>
  </si>
  <si>
    <t>Trivelli</t>
  </si>
  <si>
    <t>Utzeri</t>
  </si>
  <si>
    <t>Vagnoni</t>
  </si>
  <si>
    <t>Varriale</t>
  </si>
  <si>
    <t>Venturini</t>
  </si>
  <si>
    <t>Vergoni</t>
  </si>
  <si>
    <t>Vezzo</t>
  </si>
  <si>
    <t>Visentin</t>
  </si>
  <si>
    <t>Volpi</t>
  </si>
  <si>
    <t>Zambello</t>
  </si>
  <si>
    <t>Zucchi</t>
  </si>
  <si>
    <t>Midoro</t>
  </si>
  <si>
    <t>Maina</t>
  </si>
  <si>
    <t>Vinaccia</t>
  </si>
  <si>
    <t>Baroni</t>
  </si>
  <si>
    <t>Prestia</t>
  </si>
  <si>
    <t>Di Stefano</t>
  </si>
  <si>
    <t>Santonetti</t>
  </si>
  <si>
    <t>Mandanici</t>
  </si>
  <si>
    <t>Bernardi</t>
  </si>
  <si>
    <t>Ogno</t>
  </si>
  <si>
    <t>Natale</t>
  </si>
  <si>
    <t>Dorato</t>
  </si>
  <si>
    <t>Zanetti</t>
  </si>
  <si>
    <t>Micheletti</t>
  </si>
  <si>
    <t>Righetto</t>
  </si>
  <si>
    <t>Scola</t>
  </si>
  <si>
    <t>Bianchi</t>
  </si>
  <si>
    <t>Di Vito</t>
  </si>
  <si>
    <t>Fucci</t>
  </si>
  <si>
    <t>Migliori</t>
  </si>
  <si>
    <t>Schiavi</t>
  </si>
  <si>
    <t>Smaldone</t>
  </si>
  <si>
    <t>Frascarelli</t>
  </si>
  <si>
    <t>Bevilacqua</t>
  </si>
  <si>
    <t>Erminione</t>
  </si>
  <si>
    <t>Giudice</t>
  </si>
  <si>
    <t>Montanari</t>
  </si>
  <si>
    <t>Ricco</t>
  </si>
  <si>
    <t>Seppia</t>
  </si>
  <si>
    <t>Tonietti</t>
  </si>
  <si>
    <t>Ifrigerio</t>
  </si>
  <si>
    <t>Panizzari</t>
  </si>
  <si>
    <t>Mastrangelo</t>
  </si>
  <si>
    <t>Mariotto</t>
  </si>
  <si>
    <t>Crovetti</t>
  </si>
  <si>
    <t>Troiani</t>
  </si>
  <si>
    <t>Amatelli</t>
  </si>
  <si>
    <t>Cortese</t>
  </si>
  <si>
    <t>Giuffrè</t>
  </si>
  <si>
    <t>Ghiselli</t>
  </si>
  <si>
    <t>Pezzuolo</t>
  </si>
  <si>
    <t>Visani</t>
  </si>
  <si>
    <t>Renaldini</t>
  </si>
  <si>
    <t>Paolino</t>
  </si>
  <si>
    <t>Cotugno</t>
  </si>
  <si>
    <t>Vezzuto</t>
  </si>
  <si>
    <t>Macino</t>
  </si>
  <si>
    <t>Poggiali</t>
  </si>
  <si>
    <t>Santoni</t>
  </si>
  <si>
    <t>Novi</t>
  </si>
  <si>
    <t>Clerici</t>
  </si>
  <si>
    <t>Grillo</t>
  </si>
  <si>
    <t>Mura</t>
  </si>
  <si>
    <t>Previti</t>
  </si>
  <si>
    <t>Pasquini</t>
  </si>
  <si>
    <t>Lubrano</t>
  </si>
  <si>
    <t>Caruso</t>
  </si>
  <si>
    <t>Basile</t>
  </si>
  <si>
    <t>Pace</t>
  </si>
  <si>
    <t>Currò</t>
  </si>
  <si>
    <t>Amata</t>
  </si>
  <si>
    <t>Moro</t>
  </si>
  <si>
    <t>Morganelli</t>
  </si>
  <si>
    <t>Camerlingo</t>
  </si>
  <si>
    <t>Ferro</t>
  </si>
  <si>
    <t>Chieppa</t>
  </si>
  <si>
    <t>Manzella</t>
  </si>
  <si>
    <t>Gasparetto</t>
  </si>
  <si>
    <t>Landi</t>
  </si>
  <si>
    <t>Grimaldi</t>
  </si>
  <si>
    <t>Azzaro</t>
  </si>
  <si>
    <t>Di Cè</t>
  </si>
  <si>
    <t>Marinari</t>
  </si>
  <si>
    <t>Disma</t>
  </si>
  <si>
    <t>Guastella</t>
  </si>
  <si>
    <t>Palazzolo</t>
  </si>
  <si>
    <t>Caurla</t>
  </si>
  <si>
    <t>Lay</t>
  </si>
  <si>
    <t>Trevisan</t>
  </si>
  <si>
    <t>Koi</t>
  </si>
  <si>
    <t>Nakahara</t>
  </si>
  <si>
    <t>Kato</t>
  </si>
  <si>
    <t>Miyake</t>
  </si>
  <si>
    <t>Dent</t>
  </si>
  <si>
    <t>Sundram</t>
  </si>
  <si>
    <t>Vyas Veera</t>
  </si>
  <si>
    <t>Firman</t>
  </si>
  <si>
    <t>Kong</t>
  </si>
  <si>
    <t>Fiesal</t>
  </si>
  <si>
    <t>Mohnish</t>
  </si>
  <si>
    <t>Nikhil</t>
  </si>
  <si>
    <t>Jibril</t>
  </si>
  <si>
    <t>Azman</t>
  </si>
  <si>
    <t>Yazre</t>
  </si>
  <si>
    <t>Wong</t>
  </si>
  <si>
    <t>Aquilina</t>
  </si>
  <si>
    <t>Bartolo</t>
  </si>
  <si>
    <t>Barun</t>
  </si>
  <si>
    <t>Bonnici</t>
  </si>
  <si>
    <t>Camilleri</t>
  </si>
  <si>
    <t>Cremona</t>
  </si>
  <si>
    <t>Ebejer</t>
  </si>
  <si>
    <t>Fenech</t>
  </si>
  <si>
    <t>Gauci</t>
  </si>
  <si>
    <t>Mallia</t>
  </si>
  <si>
    <t>Pisani</t>
  </si>
  <si>
    <t>Tabone</t>
  </si>
  <si>
    <t>Zammit</t>
  </si>
  <si>
    <t>Mifsud</t>
  </si>
  <si>
    <t>Balzan</t>
  </si>
  <si>
    <t>De Haas</t>
  </si>
  <si>
    <t>Landzaat</t>
  </si>
  <si>
    <t>De Bruin</t>
  </si>
  <si>
    <t>Marks</t>
  </si>
  <si>
    <t>Van Keimpema</t>
  </si>
  <si>
    <t>Van Os</t>
  </si>
  <si>
    <t>Gerrets</t>
  </si>
  <si>
    <t>Bolte</t>
  </si>
  <si>
    <t>De Jong</t>
  </si>
  <si>
    <t>Van Kooten</t>
  </si>
  <si>
    <t>Willeijns</t>
  </si>
  <si>
    <t>Van Dijk</t>
  </si>
  <si>
    <t>Lukassen</t>
  </si>
  <si>
    <t>Bijlstra</t>
  </si>
  <si>
    <t>Smit</t>
  </si>
  <si>
    <t>de Jong - Huijers</t>
  </si>
  <si>
    <t>Beggs</t>
  </si>
  <si>
    <t>Morrison</t>
  </si>
  <si>
    <t>Adams</t>
  </si>
  <si>
    <t>Rodgers</t>
  </si>
  <si>
    <t>Hughes</t>
  </si>
  <si>
    <t>Clegg</t>
  </si>
  <si>
    <t>Scullion</t>
  </si>
  <si>
    <t>Armstrong</t>
  </si>
  <si>
    <t>Bickerstaff</t>
  </si>
  <si>
    <t>Darling</t>
  </si>
  <si>
    <t>Cummings</t>
  </si>
  <si>
    <t>Bergane</t>
  </si>
  <si>
    <t>Grorud</t>
  </si>
  <si>
    <t>Myge</t>
  </si>
  <si>
    <t>Brekke</t>
  </si>
  <si>
    <t>Nordjore</t>
  </si>
  <si>
    <t>Rawicki</t>
  </si>
  <si>
    <t>Schulze</t>
  </si>
  <si>
    <t>Eikeland</t>
  </si>
  <si>
    <t>Lunde</t>
  </si>
  <si>
    <t>Kastet</t>
  </si>
  <si>
    <t>Fosse</t>
  </si>
  <si>
    <t>Fredriksen</t>
  </si>
  <si>
    <t>Ellefsen</t>
  </si>
  <si>
    <t>Ludvigsen</t>
  </si>
  <si>
    <t>Sveinungsen</t>
  </si>
  <si>
    <t>Moen</t>
  </si>
  <si>
    <t>Villarigues</t>
  </si>
  <si>
    <t>Castro</t>
  </si>
  <si>
    <t>Santos</t>
  </si>
  <si>
    <t>Faria</t>
  </si>
  <si>
    <t>Noronha</t>
  </si>
  <si>
    <t>Laranjeira</t>
  </si>
  <si>
    <t>Português</t>
  </si>
  <si>
    <t>Sena</t>
  </si>
  <si>
    <t>Pavão</t>
  </si>
  <si>
    <t>Ramos</t>
  </si>
  <si>
    <t>Horta</t>
  </si>
  <si>
    <t>Carvalho</t>
  </si>
  <si>
    <t>Amaro</t>
  </si>
  <si>
    <t>Silva</t>
  </si>
  <si>
    <t>Guimaraes</t>
  </si>
  <si>
    <t>Loureiro</t>
  </si>
  <si>
    <t>Reis</t>
  </si>
  <si>
    <t>Maia</t>
  </si>
  <si>
    <t>Elias</t>
  </si>
  <si>
    <t>Dias</t>
  </si>
  <si>
    <t>Gouveia</t>
  </si>
  <si>
    <t>Campos</t>
  </si>
  <si>
    <t>Fernandes</t>
  </si>
  <si>
    <t>Paleta</t>
  </si>
  <si>
    <t>Abreu</t>
  </si>
  <si>
    <t>Henriques</t>
  </si>
  <si>
    <t>Baxter</t>
  </si>
  <si>
    <t>Burns</t>
  </si>
  <si>
    <t>Lees</t>
  </si>
  <si>
    <t>Harris</t>
  </si>
  <si>
    <t>Gladman</t>
  </si>
  <si>
    <t>Fleming</t>
  </si>
  <si>
    <t>Corr</t>
  </si>
  <si>
    <t>Day</t>
  </si>
  <si>
    <t>Berry</t>
  </si>
  <si>
    <t>Christie</t>
  </si>
  <si>
    <t>Campbell</t>
  </si>
  <si>
    <t>Houston</t>
  </si>
  <si>
    <t>Halpin</t>
  </si>
  <si>
    <t>Beskaby</t>
  </si>
  <si>
    <t>Rivas</t>
  </si>
  <si>
    <t>Roslan</t>
  </si>
  <si>
    <t>Mohd Anis</t>
  </si>
  <si>
    <t>Mohd Yusoff</t>
  </si>
  <si>
    <t>Mohd Sabah</t>
  </si>
  <si>
    <t>Othman</t>
  </si>
  <si>
    <t>Taib</t>
  </si>
  <si>
    <t>Soh</t>
  </si>
  <si>
    <t>Jaafar</t>
  </si>
  <si>
    <t>Fahmi</t>
  </si>
  <si>
    <t>Cheong</t>
  </si>
  <si>
    <t>Yusri</t>
  </si>
  <si>
    <t>Sunaryo</t>
  </si>
  <si>
    <t>Tan</t>
  </si>
  <si>
    <t>Azhar</t>
  </si>
  <si>
    <t>Yap</t>
  </si>
  <si>
    <t>Fazura</t>
  </si>
  <si>
    <t>Boon</t>
  </si>
  <si>
    <t>Daud</t>
  </si>
  <si>
    <t>Asbi</t>
  </si>
  <si>
    <t>Razali</t>
  </si>
  <si>
    <t>Osman</t>
  </si>
  <si>
    <t>Ng</t>
  </si>
  <si>
    <t>Chang</t>
  </si>
  <si>
    <t>Ooi</t>
  </si>
  <si>
    <t>Yusni</t>
  </si>
  <si>
    <t>Long</t>
  </si>
  <si>
    <t>Mazlan</t>
  </si>
  <si>
    <t>Ong</t>
  </si>
  <si>
    <t>Firdaus</t>
  </si>
  <si>
    <t>Mohd Noor</t>
  </si>
  <si>
    <t>Husain</t>
  </si>
  <si>
    <t>Sukaimi</t>
  </si>
  <si>
    <t>Aripin</t>
  </si>
  <si>
    <t>Kusnadi</t>
  </si>
  <si>
    <t>Peh</t>
  </si>
  <si>
    <t>Oh</t>
  </si>
  <si>
    <t>Lim</t>
  </si>
  <si>
    <t>Abdul Rahman</t>
  </si>
  <si>
    <t>Razaki</t>
  </si>
  <si>
    <t>Muhd Abdullah</t>
  </si>
  <si>
    <t>Rahamat</t>
  </si>
  <si>
    <t>Norazam</t>
  </si>
  <si>
    <t>Zainal</t>
  </si>
  <si>
    <t>Chugani</t>
  </si>
  <si>
    <t>Naraindas</t>
  </si>
  <si>
    <t>Choong</t>
  </si>
  <si>
    <t>Mohd Asyraf</t>
  </si>
  <si>
    <t>Hashim</t>
  </si>
  <si>
    <t>Bin Sidek</t>
  </si>
  <si>
    <t>Bin Kamsani</t>
  </si>
  <si>
    <t>Ghani</t>
  </si>
  <si>
    <t>Yeo</t>
  </si>
  <si>
    <t>Phua</t>
  </si>
  <si>
    <t>Bin Sulaiman</t>
  </si>
  <si>
    <t>Chandiramani</t>
  </si>
  <si>
    <t>Zahri</t>
  </si>
  <si>
    <t>Goh</t>
  </si>
  <si>
    <t>Doulatram</t>
  </si>
  <si>
    <t>Lek</t>
  </si>
  <si>
    <t>Erb</t>
  </si>
  <si>
    <t>Gautschi</t>
  </si>
  <si>
    <t>Marchisio</t>
  </si>
  <si>
    <t>Remund</t>
  </si>
  <si>
    <t>Walker</t>
  </si>
  <si>
    <t>Wiesmann</t>
  </si>
  <si>
    <t>Imbrogiano</t>
  </si>
  <si>
    <t>Randelli</t>
  </si>
  <si>
    <t>Bernhardsgrütter</t>
  </si>
  <si>
    <t>Mustacato</t>
  </si>
  <si>
    <t>Macri</t>
  </si>
  <si>
    <t>Cranston</t>
  </si>
  <si>
    <t>Eyes</t>
  </si>
  <si>
    <t>Conturso</t>
  </si>
  <si>
    <t>Tillman</t>
  </si>
  <si>
    <t>Sheridan</t>
  </si>
  <si>
    <t>Kim</t>
  </si>
  <si>
    <t>Colindres</t>
  </si>
  <si>
    <t>Wilcox</t>
  </si>
  <si>
    <t>Deinhart</t>
  </si>
  <si>
    <t>Zunino</t>
  </si>
  <si>
    <t>Larochelle</t>
  </si>
  <si>
    <t>Batacchi</t>
  </si>
  <si>
    <t>Antoszewski</t>
  </si>
  <si>
    <t>Tucker</t>
  </si>
  <si>
    <t>Nuger</t>
  </si>
  <si>
    <t>Barron</t>
  </si>
  <si>
    <t>Davidson</t>
  </si>
  <si>
    <t>Garza</t>
  </si>
  <si>
    <t>Walton</t>
  </si>
  <si>
    <t>Haefke</t>
  </si>
  <si>
    <t>Stroop</t>
  </si>
  <si>
    <t>Schmidt</t>
  </si>
  <si>
    <t>Bao</t>
  </si>
  <si>
    <t>Foster</t>
  </si>
  <si>
    <t>Giffen</t>
  </si>
  <si>
    <t>Byrd</t>
  </si>
  <si>
    <t>Trainer</t>
  </si>
  <si>
    <t>Shirley</t>
  </si>
  <si>
    <t>Kurkeyerian</t>
  </si>
  <si>
    <t>Mullen</t>
  </si>
  <si>
    <t>Vahle</t>
  </si>
  <si>
    <t>Lewis</t>
  </si>
  <si>
    <t>Diamantis</t>
  </si>
  <si>
    <t>Gioacchino</t>
  </si>
  <si>
    <t>Gustavo</t>
  </si>
  <si>
    <t>Nino</t>
  </si>
  <si>
    <t>Leonardo Mario</t>
  </si>
  <si>
    <t>Sergio Gustavo</t>
  </si>
  <si>
    <t>Bernhard</t>
  </si>
  <si>
    <t>Johnny</t>
  </si>
  <si>
    <t>Robin</t>
  </si>
  <si>
    <t>Léa</t>
  </si>
  <si>
    <t>Dirk</t>
  </si>
  <si>
    <t>Jean-Christophe</t>
  </si>
  <si>
    <t>Raoul</t>
  </si>
  <si>
    <t>Maicon</t>
  </si>
  <si>
    <t>Júlio</t>
  </si>
  <si>
    <t>Ruy</t>
  </si>
  <si>
    <t>Gabriel</t>
  </si>
  <si>
    <t>Matheus</t>
  </si>
  <si>
    <t>Eliahou</t>
  </si>
  <si>
    <t>Luiz</t>
  </si>
  <si>
    <t>Gilmar</t>
  </si>
  <si>
    <t>Rogério</t>
  </si>
  <si>
    <t>Regis</t>
  </si>
  <si>
    <t>Jeferson</t>
  </si>
  <si>
    <t>Vlademir</t>
  </si>
  <si>
    <t>Frederico</t>
  </si>
  <si>
    <t>Marcio</t>
  </si>
  <si>
    <t>Vandir</t>
  </si>
  <si>
    <t>Gilson</t>
  </si>
  <si>
    <t>Vinicius</t>
  </si>
  <si>
    <t>Agnaldo</t>
  </si>
  <si>
    <t>Wellington</t>
  </si>
  <si>
    <t>Jefferson</t>
  </si>
  <si>
    <t>Demetrio</t>
  </si>
  <si>
    <t>Artur</t>
  </si>
  <si>
    <t>Sidney</t>
  </si>
  <si>
    <t>Hylson</t>
  </si>
  <si>
    <t>Ernandes</t>
  </si>
  <si>
    <t>Emerson</t>
  </si>
  <si>
    <t>Travis</t>
  </si>
  <si>
    <t>Gurmeet</t>
  </si>
  <si>
    <t>Parjesh</t>
  </si>
  <si>
    <t>Shaan</t>
  </si>
  <si>
    <t>Brodyn</t>
  </si>
  <si>
    <t>Iain</t>
  </si>
  <si>
    <t>Behn</t>
  </si>
  <si>
    <t>Shawn</t>
  </si>
  <si>
    <t>Mick</t>
  </si>
  <si>
    <t>Dan</t>
  </si>
  <si>
    <t>Sarjit</t>
  </si>
  <si>
    <t>Gavin</t>
  </si>
  <si>
    <t>Kyriacos</t>
  </si>
  <si>
    <t>Christakis</t>
  </si>
  <si>
    <t>Loukas</t>
  </si>
  <si>
    <t>Nikitas</t>
  </si>
  <si>
    <t>Andonis</t>
  </si>
  <si>
    <t>Alkiviades</t>
  </si>
  <si>
    <t>Lasse</t>
  </si>
  <si>
    <t>Thyge</t>
  </si>
  <si>
    <t>Jens</t>
  </si>
  <si>
    <t>Frits</t>
  </si>
  <si>
    <t>Miki</t>
  </si>
  <si>
    <t>Thomas Hjorth</t>
  </si>
  <si>
    <t>Brian Illum</t>
  </si>
  <si>
    <t>Maja</t>
  </si>
  <si>
    <t>Rune</t>
  </si>
  <si>
    <t>Ulrik</t>
  </si>
  <si>
    <t>Dorthe Bremholm</t>
  </si>
  <si>
    <t>Anders Peter</t>
  </si>
  <si>
    <t>Egon Lund</t>
  </si>
  <si>
    <t>Ole</t>
  </si>
  <si>
    <t>Camilla</t>
  </si>
  <si>
    <t>Valentino</t>
  </si>
  <si>
    <t>Lee</t>
  </si>
  <si>
    <t>Sean</t>
  </si>
  <si>
    <t>Paula</t>
  </si>
  <si>
    <t>Achim</t>
  </si>
  <si>
    <t>Volker</t>
  </si>
  <si>
    <t>Dominik</t>
  </si>
  <si>
    <t>Maiko</t>
  </si>
  <si>
    <t>Olaf</t>
  </si>
  <si>
    <t>Klaus</t>
  </si>
  <si>
    <t>Friedel</t>
  </si>
  <si>
    <t>Hagen</t>
  </si>
  <si>
    <t>Harald</t>
  </si>
  <si>
    <t>Henrik</t>
  </si>
  <si>
    <t>Sascha</t>
  </si>
  <si>
    <t>Wilfried</t>
  </si>
  <si>
    <t>Edin</t>
  </si>
  <si>
    <t>Yeliskan</t>
  </si>
  <si>
    <t>Efthimios</t>
  </si>
  <si>
    <t>Nektarios</t>
  </si>
  <si>
    <t>Makis</t>
  </si>
  <si>
    <t>Gerasimos</t>
  </si>
  <si>
    <t>Nasos</t>
  </si>
  <si>
    <t>Apostolis</t>
  </si>
  <si>
    <t>Nikoletta</t>
  </si>
  <si>
    <t>Apostolos</t>
  </si>
  <si>
    <t>Dionisis</t>
  </si>
  <si>
    <t>Paris</t>
  </si>
  <si>
    <t>Menelaos</t>
  </si>
  <si>
    <t>Alekos</t>
  </si>
  <si>
    <t>Thanos</t>
  </si>
  <si>
    <t>Evaggelos</t>
  </si>
  <si>
    <t>Haralampos</t>
  </si>
  <si>
    <t>Paraskevas</t>
  </si>
  <si>
    <t>Efstratios</t>
  </si>
  <si>
    <t>Ilias</t>
  </si>
  <si>
    <t>Spiros</t>
  </si>
  <si>
    <t>Eftichios</t>
  </si>
  <si>
    <t>Porfyrios</t>
  </si>
  <si>
    <t>Anargyros</t>
  </si>
  <si>
    <t>Filippos</t>
  </si>
  <si>
    <t>Grigoris</t>
  </si>
  <si>
    <t>Vardis</t>
  </si>
  <si>
    <t>Konstantinos</t>
  </si>
  <si>
    <t>Dimitra</t>
  </si>
  <si>
    <t>Vasiliki</t>
  </si>
  <si>
    <t>Marion</t>
  </si>
  <si>
    <t>Marianna</t>
  </si>
  <si>
    <t>Emmanouil</t>
  </si>
  <si>
    <t>Panagiota</t>
  </si>
  <si>
    <t>Ektoras</t>
  </si>
  <si>
    <t>Armando</t>
  </si>
  <si>
    <t>Patrizio</t>
  </si>
  <si>
    <t>Guido</t>
  </si>
  <si>
    <t>Antonino</t>
  </si>
  <si>
    <t>Catello</t>
  </si>
  <si>
    <t>Sandro</t>
  </si>
  <si>
    <t>Antonella</t>
  </si>
  <si>
    <t>Eugenio</t>
  </si>
  <si>
    <t>Damiano</t>
  </si>
  <si>
    <t>Gianluigi</t>
  </si>
  <si>
    <t>Ruggero</t>
  </si>
  <si>
    <t>Ermanno</t>
  </si>
  <si>
    <t>Ivan</t>
  </si>
  <si>
    <t>Lionello</t>
  </si>
  <si>
    <t>Yuko</t>
  </si>
  <si>
    <t>Takafumi</t>
  </si>
  <si>
    <t>Nigel</t>
  </si>
  <si>
    <t>Kees</t>
  </si>
  <si>
    <t>Ard</t>
  </si>
  <si>
    <t>Liesbeth</t>
  </si>
  <si>
    <t>Kenneth</t>
  </si>
  <si>
    <t>Alistair</t>
  </si>
  <si>
    <t>Eoin</t>
  </si>
  <si>
    <t>Ernest</t>
  </si>
  <si>
    <t>Jon Henning</t>
  </si>
  <si>
    <t>Trond</t>
  </si>
  <si>
    <t>Svein Arne</t>
  </si>
  <si>
    <t>Sondre</t>
  </si>
  <si>
    <t>Fredrik</t>
  </si>
  <si>
    <t>Håkon</t>
  </si>
  <si>
    <t>Kjetil</t>
  </si>
  <si>
    <t>Thomas Flaaten</t>
  </si>
  <si>
    <t>Terje</t>
  </si>
  <si>
    <t>Frode</t>
  </si>
  <si>
    <t>Jan-Thomas</t>
  </si>
  <si>
    <t>Tiago</t>
  </si>
  <si>
    <t>Nélson</t>
  </si>
  <si>
    <t>Rúben</t>
  </si>
  <si>
    <t>Ric</t>
  </si>
  <si>
    <t>Muhd Adam Ihsan</t>
  </si>
  <si>
    <t>Muhd Ashraf</t>
  </si>
  <si>
    <t>Azan</t>
  </si>
  <si>
    <t>Hasyafiq</t>
  </si>
  <si>
    <t>Sulaiman Marican</t>
  </si>
  <si>
    <t>Ahmad Zulfadhlee</t>
  </si>
  <si>
    <t>Rusydi</t>
  </si>
  <si>
    <t>Raju</t>
  </si>
  <si>
    <t>Mohd Fauzi, Abdul</t>
  </si>
  <si>
    <t>Syabil Marzuq</t>
  </si>
  <si>
    <t>Nunzio</t>
  </si>
  <si>
    <t>Byung</t>
  </si>
  <si>
    <t>Adolfo</t>
  </si>
  <si>
    <t>Zach</t>
  </si>
  <si>
    <t>Gregg</t>
  </si>
  <si>
    <t>Dewey</t>
  </si>
  <si>
    <t>Benny</t>
  </si>
  <si>
    <t>Lenny</t>
  </si>
  <si>
    <t>Conan</t>
  </si>
  <si>
    <t>ARG0067</t>
  </si>
  <si>
    <t>ARG0068</t>
  </si>
  <si>
    <t>AUT0084</t>
  </si>
  <si>
    <t>BEL0242</t>
  </si>
  <si>
    <t>BEL0247</t>
  </si>
  <si>
    <t>BEL0256</t>
  </si>
  <si>
    <t>BEL0262</t>
  </si>
  <si>
    <t>BEL0265</t>
  </si>
  <si>
    <t>BRA0099</t>
  </si>
  <si>
    <t>BRA0101</t>
  </si>
  <si>
    <t>BRA0102</t>
  </si>
  <si>
    <t>CYP0047</t>
  </si>
  <si>
    <t>ESP0018</t>
  </si>
  <si>
    <t>ESP0372</t>
  </si>
  <si>
    <t>FRA0122</t>
  </si>
  <si>
    <t>GER0101</t>
  </si>
  <si>
    <t>GER0102</t>
  </si>
  <si>
    <t>GER0103</t>
  </si>
  <si>
    <t>GER0104</t>
  </si>
  <si>
    <t>GER0105</t>
  </si>
  <si>
    <t>GER0107</t>
  </si>
  <si>
    <t>GER0108</t>
  </si>
  <si>
    <t>GER0109</t>
  </si>
  <si>
    <t>GIB0052</t>
  </si>
  <si>
    <t>GIB0053</t>
  </si>
  <si>
    <t>GRE0379</t>
  </si>
  <si>
    <t>GRE0380</t>
  </si>
  <si>
    <t>GRE0381</t>
  </si>
  <si>
    <t>GRE0382</t>
  </si>
  <si>
    <t>GRE0383</t>
  </si>
  <si>
    <t>GRE0384</t>
  </si>
  <si>
    <t>GRE0385</t>
  </si>
  <si>
    <t>GRE0386</t>
  </si>
  <si>
    <t>GRE0387</t>
  </si>
  <si>
    <t>GRE0388</t>
  </si>
  <si>
    <t>GRE0389</t>
  </si>
  <si>
    <t>GRE0390</t>
  </si>
  <si>
    <t>GRE0391</t>
  </si>
  <si>
    <t>GRE0392</t>
  </si>
  <si>
    <t>GRE0393</t>
  </si>
  <si>
    <t>GRE0394</t>
  </si>
  <si>
    <t>GRE0395</t>
  </si>
  <si>
    <t>GRE0396</t>
  </si>
  <si>
    <t>GRE0397</t>
  </si>
  <si>
    <t>GRE0398</t>
  </si>
  <si>
    <t>GRE0399</t>
  </si>
  <si>
    <t>GRE0400</t>
  </si>
  <si>
    <t>GRE0401</t>
  </si>
  <si>
    <t>GRE0402</t>
  </si>
  <si>
    <t>GRE0403</t>
  </si>
  <si>
    <t>GRE0404</t>
  </si>
  <si>
    <t>GRE0405</t>
  </si>
  <si>
    <t>GRE0406</t>
  </si>
  <si>
    <t>GRE0407</t>
  </si>
  <si>
    <t>GRE0408</t>
  </si>
  <si>
    <t>GRE0409</t>
  </si>
  <si>
    <t>GRE0410</t>
  </si>
  <si>
    <t>GRE0411</t>
  </si>
  <si>
    <t>GRE0412</t>
  </si>
  <si>
    <t>GRE0413</t>
  </si>
  <si>
    <t>ITA1485</t>
  </si>
  <si>
    <t>ITA1486</t>
  </si>
  <si>
    <t>ITA1487</t>
  </si>
  <si>
    <t>ITA1492</t>
  </si>
  <si>
    <t>ITA1493</t>
  </si>
  <si>
    <t>ITA1496</t>
  </si>
  <si>
    <t>ITA1507</t>
  </si>
  <si>
    <t>ITA1511</t>
  </si>
  <si>
    <t>ITA1524</t>
  </si>
  <si>
    <t>ITA1545</t>
  </si>
  <si>
    <t>ITA1550</t>
  </si>
  <si>
    <t>ITA1551</t>
  </si>
  <si>
    <t>ITA1553</t>
  </si>
  <si>
    <t>ITA1558</t>
  </si>
  <si>
    <t>ITA1563</t>
  </si>
  <si>
    <t>ITA1564</t>
  </si>
  <si>
    <t>ITA1566</t>
  </si>
  <si>
    <t>ITA1567</t>
  </si>
  <si>
    <t>ITA1569</t>
  </si>
  <si>
    <t>ITA1574</t>
  </si>
  <si>
    <t>ITA1587</t>
  </si>
  <si>
    <t>ITA1589</t>
  </si>
  <si>
    <t>MAS0002</t>
  </si>
  <si>
    <t>MAS0003</t>
  </si>
  <si>
    <t>MAS0004</t>
  </si>
  <si>
    <t>MAS0005</t>
  </si>
  <si>
    <t>MAS0006</t>
  </si>
  <si>
    <t>MAS0007</t>
  </si>
  <si>
    <t>MAS0008</t>
  </si>
  <si>
    <t>MAS0009</t>
  </si>
  <si>
    <t>MAS0010</t>
  </si>
  <si>
    <t>MAS0011</t>
  </si>
  <si>
    <t>MAS0012</t>
  </si>
  <si>
    <t>MAS0013</t>
  </si>
  <si>
    <t>MLT0071</t>
  </si>
  <si>
    <t>MLT0073</t>
  </si>
  <si>
    <t>POR0135</t>
  </si>
  <si>
    <t>POR0137</t>
  </si>
  <si>
    <t>POR0138</t>
  </si>
  <si>
    <t>POR0139</t>
  </si>
  <si>
    <t>POR0143</t>
  </si>
  <si>
    <t>POR0144</t>
  </si>
  <si>
    <t>POR0145</t>
  </si>
  <si>
    <t>SCO0046</t>
  </si>
  <si>
    <t>SCO0049</t>
  </si>
  <si>
    <t>SCO0051</t>
  </si>
  <si>
    <t>USA0331</t>
  </si>
  <si>
    <t>USA0349</t>
  </si>
  <si>
    <t>USA0351</t>
  </si>
  <si>
    <t>USA0352</t>
  </si>
  <si>
    <t>USA0353</t>
  </si>
  <si>
    <t>Larnaca TFC</t>
  </si>
  <si>
    <t>Signorelli</t>
  </si>
  <si>
    <t>Paolini</t>
  </si>
  <si>
    <t>Gentileschi</t>
  </si>
  <si>
    <t>Converti</t>
  </si>
  <si>
    <t>Leitão</t>
  </si>
  <si>
    <t>Tavares</t>
  </si>
  <si>
    <t>Sousa</t>
  </si>
  <si>
    <t>Jayden</t>
  </si>
  <si>
    <t>Jarno</t>
  </si>
  <si>
    <t>António</t>
  </si>
  <si>
    <t>BRA0103</t>
  </si>
  <si>
    <t>BRA0104</t>
  </si>
  <si>
    <t>ITA1607</t>
  </si>
  <si>
    <t>ITA1610</t>
  </si>
  <si>
    <t>ITA1614</t>
  </si>
  <si>
    <t>ITA1623</t>
  </si>
  <si>
    <t>NED0046</t>
  </si>
  <si>
    <t>POR0147</t>
  </si>
  <si>
    <t>POR0148</t>
  </si>
  <si>
    <t>CAP Ciudad de Murcia FM</t>
  </si>
  <si>
    <t>Dutch Legends</t>
  </si>
  <si>
    <t>dlg</t>
  </si>
  <si>
    <t>mic</t>
  </si>
  <si>
    <t>CRANSTON</t>
  </si>
  <si>
    <t xml:space="preserve">Les lignes sélectionnées sont en dehors de la zone du planning. </t>
  </si>
  <si>
    <t>Selected rows are outside planning area</t>
  </si>
  <si>
    <t>La sélection ne peut porter que sur des lignes d'une même session.</t>
  </si>
  <si>
    <t>Selection must be on only one session.</t>
  </si>
  <si>
    <t xml:space="preserve">Confirmez-vous la désignation des arbitres pour l'ensemble de la session </t>
  </si>
  <si>
    <t xml:space="preserve">Do you confirm referee assigment for the whole session </t>
  </si>
  <si>
    <t>Confirmez-vous la désignation des arbitres pour les lignes sélectionnées ?</t>
  </si>
  <si>
    <t>Do you confirm referee assigment for selected rows ?</t>
  </si>
  <si>
    <t>Paramètres de choix des arbitres</t>
  </si>
  <si>
    <t>Referees choice parameters</t>
  </si>
  <si>
    <t>Catégories d'arbitres exclues</t>
  </si>
  <si>
    <t>Excluded referees categories</t>
  </si>
  <si>
    <t xml:space="preserve">Voulez-vous traiter les matches de TOUT le planning plutôt que les matches de la session actuellement sélectionnée : </t>
  </si>
  <si>
    <t xml:space="preserve">Do you want to process the matches of the WHOLE planning instead of the actual selected session : </t>
  </si>
  <si>
    <t>Intervertir Arbitres</t>
  </si>
  <si>
    <t>Switch Referees</t>
  </si>
  <si>
    <t>Assigner Arbitres</t>
  </si>
  <si>
    <t>Assign Referees</t>
  </si>
  <si>
    <t>Mauvaise sélection; Cette opération nécessite de sélectionner uniquement 2 cellules d'arbitres à interchanger.</t>
  </si>
  <si>
    <t>Bad selection; this option needs a selection of only 2 cells of referees to be exchanged.</t>
  </si>
  <si>
    <t>Les cellules sélectionnées sont en tout ou partie en dehors de la zone du planning.</t>
  </si>
  <si>
    <t>Selected cells are wholly or partly outside the planning area.</t>
  </si>
  <si>
    <t>Les cellules sélectionnées ne peuvent être sur des sessions.</t>
  </si>
  <si>
    <t>Selected cells can't be on session.</t>
  </si>
  <si>
    <t>Switch is possible only for two referees on the same session.</t>
  </si>
  <si>
    <t>L'échange ne peut se faire que sur 2 arbitres d'une même session.</t>
  </si>
  <si>
    <t>Insérer / Supprimer dernière session</t>
  </si>
  <si>
    <t>Add / Delete last session</t>
  </si>
  <si>
    <t>Insérer avant / Supprimer session sélectionnée</t>
  </si>
  <si>
    <t>Insert before / Delete selected session</t>
  </si>
  <si>
    <t>Déplacer les matches sélectionnés : Avant/Après session</t>
  </si>
  <si>
    <t>Move selected matches : Before/After session</t>
  </si>
  <si>
    <t>Déplacer ou supprimer les matches sélectionnés</t>
  </si>
  <si>
    <t>Supprimer matches obsolètes (#REF!)</t>
  </si>
  <si>
    <t>La sélection ne doit être constituée que d'une seul zone continue et entièrement incluse dans une session !</t>
  </si>
  <si>
    <t>Selection must have only one continuous area and be entirely within a session !</t>
  </si>
  <si>
    <t>Selection is within the session 1 and, of course, can't be moved in a previous session ! First, create a news session before the session 1.</t>
  </si>
  <si>
    <t>La sélection est en session 1 et ne peut donc être déplacée dans une session précédente ! Au préalable, créer une session avant la session 1.</t>
  </si>
  <si>
    <t>Saisir le numéro de session de destination</t>
  </si>
  <si>
    <t>PLesae, fill the target session number</t>
  </si>
  <si>
    <t xml:space="preserve">Numéro de session incorrect ! la valeur saisie doit être comprise entre 1 et </t>
  </si>
  <si>
    <t xml:space="preserve">Incorrect Session number ! The session number must be between 1 and </t>
  </si>
  <si>
    <t>4.0</t>
  </si>
  <si>
    <t>Automatic Assignment of Referees :
   - Available Referees may be randomly affected to the matches selected or of the whole session
   - Icons are shown if necessary for each referee to warn if conflicts of club/nationality/group are to be solved
Referees Switch :
   - User can select 2 referees to exchange their match
   - A control of conflicts is processed on these 2 new assignments
New functions for planning organization :
   - Possibility to move selected matches to previous or next Session
   - Possibility to move selected matches to a defined session</t>
  </si>
  <si>
    <t>Liste des catégories FISTF des joueurs</t>
  </si>
  <si>
    <t>List of FISTF players categories</t>
  </si>
  <si>
    <t>Catégories FISTF</t>
  </si>
  <si>
    <t>FISTF Categories</t>
  </si>
  <si>
    <t>Event Categories</t>
  </si>
  <si>
    <t>Catégories de la compétition</t>
  </si>
  <si>
    <t>4.1</t>
  </si>
  <si>
    <t>Bug Correction :
   - Ranking not copied in the Draw sheets (for categories after Open &amp; Veteran)
   - Ranking points not filled in the results sheets</t>
  </si>
  <si>
    <t>4.2</t>
  </si>
  <si>
    <t>Draw …</t>
  </si>
  <si>
    <t>Voir ou masquer les feuilles de tirage au sort</t>
  </si>
  <si>
    <t>Show or hide Draw sheets</t>
  </si>
  <si>
    <t>Sélection des arbitres</t>
  </si>
  <si>
    <t>Select referees</t>
  </si>
  <si>
    <t>PETITE FINALE</t>
  </si>
  <si>
    <t>PLAY-OFF for 3rd PLACE</t>
  </si>
  <si>
    <t>Nombre de matches déjà arbitrés supérieur ou égal à</t>
  </si>
  <si>
    <t>Number of matches already refereed more or equal to</t>
  </si>
  <si>
    <t>Exclure ces catégories</t>
  </si>
  <si>
    <t>Exclude these categories</t>
  </si>
  <si>
    <t>Use only these disqualified players</t>
  </si>
  <si>
    <t>Utiliser uniquement ces joueurs disqualifiés</t>
  </si>
  <si>
    <t>Exclude players who had already refereed a number of mathes</t>
  </si>
  <si>
    <t>Exclude les joueurs ayant déjà arbitrer un nnombre de matches</t>
  </si>
  <si>
    <t>Event Played</t>
  </si>
  <si>
    <t>Compétition jouée</t>
  </si>
  <si>
    <t>Disqualified from …</t>
  </si>
  <si>
    <t>Eliminés en …</t>
  </si>
  <si>
    <t>Use also excluding categories criteria</t>
  </si>
  <si>
    <t>Utiliser aussi les critères d'exclusion par catégorie</t>
  </si>
  <si>
    <t>Exlude number of already refereed matches</t>
  </si>
  <si>
    <t>Exclure un nombre de matches déjà arbitrés</t>
  </si>
  <si>
    <t>MATEOS</t>
  </si>
  <si>
    <t>CR Vasco da Gama</t>
  </si>
  <si>
    <t>Jean Carl</t>
  </si>
  <si>
    <t>Dundee United TFC</t>
  </si>
  <si>
    <t>KENNEDY</t>
  </si>
  <si>
    <t>Eliot</t>
  </si>
  <si>
    <t>Jurong Central SC</t>
  </si>
  <si>
    <t>DETTRE</t>
  </si>
  <si>
    <t>Czech Subbuteo Team 2014</t>
  </si>
  <si>
    <t>Jiri</t>
  </si>
  <si>
    <t>KIDO</t>
  </si>
  <si>
    <t>CASTELLANO</t>
  </si>
  <si>
    <t>José M.</t>
  </si>
  <si>
    <t>Rhaniery</t>
  </si>
  <si>
    <t>LÓPEZ</t>
  </si>
  <si>
    <t>PAPIDAKIS</t>
  </si>
  <si>
    <t>Sarantis</t>
  </si>
  <si>
    <t>Ondrej</t>
  </si>
  <si>
    <t>Marinos</t>
  </si>
  <si>
    <t>FILIPPELLA</t>
  </si>
  <si>
    <t>RADZIMINSKI</t>
  </si>
  <si>
    <t>Flaming Flickers SC</t>
  </si>
  <si>
    <t>STRATOUDAKIS</t>
  </si>
  <si>
    <t>TARDIOTA</t>
  </si>
  <si>
    <t>OKANO</t>
  </si>
  <si>
    <t>Yoshiyuki</t>
  </si>
  <si>
    <t>MERCER</t>
  </si>
  <si>
    <t>CAVAZZA</t>
  </si>
  <si>
    <t>Kazuki</t>
  </si>
  <si>
    <t>PITIHOUTIS</t>
  </si>
  <si>
    <t>FUJINO</t>
  </si>
  <si>
    <t>Suguru</t>
  </si>
  <si>
    <t>Ekrem</t>
  </si>
  <si>
    <t>BUTTITTA</t>
  </si>
  <si>
    <t>GRANADOS</t>
  </si>
  <si>
    <t>Ferran</t>
  </si>
  <si>
    <t>PRATS</t>
  </si>
  <si>
    <t>MÉNDEZ</t>
  </si>
  <si>
    <t>DI MAGGIO</t>
  </si>
  <si>
    <t>Benji</t>
  </si>
  <si>
    <t>AC Los Remedios FM</t>
  </si>
  <si>
    <t>CANDELAS</t>
  </si>
  <si>
    <t>LOURS</t>
  </si>
  <si>
    <t>Konstandinos</t>
  </si>
  <si>
    <t>Sophoklis</t>
  </si>
  <si>
    <t>Maximos</t>
  </si>
  <si>
    <t>Jakub</t>
  </si>
  <si>
    <t>Irwan</t>
  </si>
  <si>
    <t>Jorge</t>
  </si>
  <si>
    <t>Luís Miguel</t>
  </si>
  <si>
    <t>THOM</t>
  </si>
  <si>
    <t>Quan Feng</t>
  </si>
  <si>
    <t>Musa</t>
  </si>
  <si>
    <t>Nanwani</t>
  </si>
  <si>
    <t>Stanislav</t>
  </si>
  <si>
    <t>Gerd</t>
  </si>
  <si>
    <t>SC München 2014</t>
  </si>
  <si>
    <t>Rui</t>
  </si>
  <si>
    <t>HERBAUT</t>
  </si>
  <si>
    <t>Daria</t>
  </si>
  <si>
    <t>Annika</t>
  </si>
  <si>
    <t>Oskar</t>
  </si>
  <si>
    <t>Kassim</t>
  </si>
  <si>
    <t>Ismail</t>
  </si>
  <si>
    <t>Ding Heng</t>
  </si>
  <si>
    <t>Noah</t>
  </si>
  <si>
    <t>Matilde</t>
  </si>
  <si>
    <t>Batten</t>
  </si>
  <si>
    <t>Dettre</t>
  </si>
  <si>
    <t>Elmer</t>
  </si>
  <si>
    <t>Kennedy</t>
  </si>
  <si>
    <t>Lombardi</t>
  </si>
  <si>
    <t>Radziminski</t>
  </si>
  <si>
    <t>Tardiota</t>
  </si>
  <si>
    <t>Mercer</t>
  </si>
  <si>
    <t>Hallin</t>
  </si>
  <si>
    <t>Bahr</t>
  </si>
  <si>
    <t>Jardim</t>
  </si>
  <si>
    <t>Mitellas</t>
  </si>
  <si>
    <t>Mougis</t>
  </si>
  <si>
    <t>Sydiropoulos</t>
  </si>
  <si>
    <t>Themistokleous</t>
  </si>
  <si>
    <t>Tichon</t>
  </si>
  <si>
    <t>Vacke</t>
  </si>
  <si>
    <t>Vanek</t>
  </si>
  <si>
    <t>Gamba</t>
  </si>
  <si>
    <t>Uchytil</t>
  </si>
  <si>
    <t>Opl</t>
  </si>
  <si>
    <t>Vitulano</t>
  </si>
  <si>
    <t>Prats</t>
  </si>
  <si>
    <t>Granados</t>
  </si>
  <si>
    <t>Mateos</t>
  </si>
  <si>
    <t>García</t>
  </si>
  <si>
    <t>Candelas</t>
  </si>
  <si>
    <t>Méndez</t>
  </si>
  <si>
    <t>Castellano</t>
  </si>
  <si>
    <t>López</t>
  </si>
  <si>
    <t>Junquera Miñambres</t>
  </si>
  <si>
    <t>Junquera Quintana</t>
  </si>
  <si>
    <t>Muñoz</t>
  </si>
  <si>
    <t>Gómez</t>
  </si>
  <si>
    <t>Pinto</t>
  </si>
  <si>
    <t>Poreski</t>
  </si>
  <si>
    <t>Häcker</t>
  </si>
  <si>
    <t>Frey</t>
  </si>
  <si>
    <t>Schnieder</t>
  </si>
  <si>
    <t>Fritz</t>
  </si>
  <si>
    <t>Müller</t>
  </si>
  <si>
    <t>Hentrich</t>
  </si>
  <si>
    <t>Makrydakis</t>
  </si>
  <si>
    <t>Falelakis</t>
  </si>
  <si>
    <t>Krysilas</t>
  </si>
  <si>
    <t>Tsaras</t>
  </si>
  <si>
    <t>Vazoukis</t>
  </si>
  <si>
    <t>Miliarakis</t>
  </si>
  <si>
    <t>Polychroniadis</t>
  </si>
  <si>
    <t>Paschalides</t>
  </si>
  <si>
    <t>Robotis</t>
  </si>
  <si>
    <t>Georgoulis</t>
  </si>
  <si>
    <t>Papakyriakou</t>
  </si>
  <si>
    <t>Stratoudakis</t>
  </si>
  <si>
    <t>Vavoulakis</t>
  </si>
  <si>
    <t>Kayia</t>
  </si>
  <si>
    <t>Tastsoglou</t>
  </si>
  <si>
    <t>Papazoglou</t>
  </si>
  <si>
    <t>Avgeas</t>
  </si>
  <si>
    <t>Panagiotides</t>
  </si>
  <si>
    <t>Chalkias</t>
  </si>
  <si>
    <t>Begnis</t>
  </si>
  <si>
    <t>Sigalas</t>
  </si>
  <si>
    <t>Tsaggaris</t>
  </si>
  <si>
    <t>Galanakis</t>
  </si>
  <si>
    <t>Matsakas</t>
  </si>
  <si>
    <t>Stamoulis</t>
  </si>
  <si>
    <t>Apostolopoulos</t>
  </si>
  <si>
    <t>Milidonis</t>
  </si>
  <si>
    <t>Marinis</t>
  </si>
  <si>
    <t>Vogiatzis</t>
  </si>
  <si>
    <t>Christidis</t>
  </si>
  <si>
    <t>Detorakis</t>
  </si>
  <si>
    <t>Goutzioulis</t>
  </si>
  <si>
    <t>Di Maggio</t>
  </si>
  <si>
    <t>Oikonomou</t>
  </si>
  <si>
    <t>Papidakis</t>
  </si>
  <si>
    <t>Papaioannou</t>
  </si>
  <si>
    <t>Stratoudaki</t>
  </si>
  <si>
    <t>Voukouris</t>
  </si>
  <si>
    <t>Pitihoutis</t>
  </si>
  <si>
    <t>Giantais</t>
  </si>
  <si>
    <t>Diamantopoulos</t>
  </si>
  <si>
    <t>Navridis</t>
  </si>
  <si>
    <t>Foutrakis</t>
  </si>
  <si>
    <t>Krokos</t>
  </si>
  <si>
    <t>Verganelakis</t>
  </si>
  <si>
    <t>Bombacigno</t>
  </si>
  <si>
    <t>Milei</t>
  </si>
  <si>
    <t>Signoretti</t>
  </si>
  <si>
    <t>Nardi</t>
  </si>
  <si>
    <t>Filippella</t>
  </si>
  <si>
    <t>Tozzi</t>
  </si>
  <si>
    <t>Colasanti</t>
  </si>
  <si>
    <t>Cribari</t>
  </si>
  <si>
    <t>Manica</t>
  </si>
  <si>
    <t>Lombardo</t>
  </si>
  <si>
    <t>Cataldo</t>
  </si>
  <si>
    <t>Barducci</t>
  </si>
  <si>
    <t>Riggio</t>
  </si>
  <si>
    <t>Mondo</t>
  </si>
  <si>
    <t>Gallelli</t>
  </si>
  <si>
    <t>Giummo</t>
  </si>
  <si>
    <t>Custo</t>
  </si>
  <si>
    <t>Vasapollo</t>
  </si>
  <si>
    <t>Talarico</t>
  </si>
  <si>
    <t>Priamo</t>
  </si>
  <si>
    <t>Fricano</t>
  </si>
  <si>
    <t>Carbonaro</t>
  </si>
  <si>
    <t>Di Muri</t>
  </si>
  <si>
    <t>Manfioletti</t>
  </si>
  <si>
    <t>Mentasti</t>
  </si>
  <si>
    <t>Cianchella</t>
  </si>
  <si>
    <t>Navarra</t>
  </si>
  <si>
    <t>Boniface</t>
  </si>
  <si>
    <t>Kido</t>
  </si>
  <si>
    <t>Okano</t>
  </si>
  <si>
    <t>Fujino</t>
  </si>
  <si>
    <t>Cavazza</t>
  </si>
  <si>
    <t>Feiteira</t>
  </si>
  <si>
    <t>Mendes</t>
  </si>
  <si>
    <t>Eira</t>
  </si>
  <si>
    <t>Mendonça</t>
  </si>
  <si>
    <t>Fonseca</t>
  </si>
  <si>
    <t>Cardoso</t>
  </si>
  <si>
    <t>Thom</t>
  </si>
  <si>
    <t>Bin Mohd</t>
  </si>
  <si>
    <t>Iskandar</t>
  </si>
  <si>
    <t>Irwanshah</t>
  </si>
  <si>
    <t>Shafiq</t>
  </si>
  <si>
    <t>Sunil</t>
  </si>
  <si>
    <t>Gikas</t>
  </si>
  <si>
    <t>Imojjen</t>
  </si>
  <si>
    <t>Bettina</t>
  </si>
  <si>
    <t>François</t>
  </si>
  <si>
    <t>José Pedro</t>
  </si>
  <si>
    <t>Andrés</t>
  </si>
  <si>
    <t>Txema</t>
  </si>
  <si>
    <t>Uwe</t>
  </si>
  <si>
    <t>Philippos</t>
  </si>
  <si>
    <t>Natasha</t>
  </si>
  <si>
    <t>Daniil</t>
  </si>
  <si>
    <t>Platonas</t>
  </si>
  <si>
    <t>Giampaolo</t>
  </si>
  <si>
    <t>Gianni</t>
  </si>
  <si>
    <t>Jacopo</t>
  </si>
  <si>
    <t>Valeriano</t>
  </si>
  <si>
    <t>Gonçalo</t>
  </si>
  <si>
    <t>Mohamad Zaffinoor, Kassim</t>
  </si>
  <si>
    <t>Yew Seng</t>
  </si>
  <si>
    <t>AUS0004</t>
  </si>
  <si>
    <t>AUS0005</t>
  </si>
  <si>
    <t>AUS0006</t>
  </si>
  <si>
    <t>AUS0007</t>
  </si>
  <si>
    <t>AUS0011</t>
  </si>
  <si>
    <t>AUS0016</t>
  </si>
  <si>
    <t>AUS0018</t>
  </si>
  <si>
    <t>AUS0019</t>
  </si>
  <si>
    <t>AUS0020</t>
  </si>
  <si>
    <t>AUS0023</t>
  </si>
  <si>
    <t>AUS0030</t>
  </si>
  <si>
    <t>AUT0074</t>
  </si>
  <si>
    <t>AUT0094</t>
  </si>
  <si>
    <t>BEL0270</t>
  </si>
  <si>
    <t>BRA0105</t>
  </si>
  <si>
    <t>BRA0106</t>
  </si>
  <si>
    <t>BRA0107</t>
  </si>
  <si>
    <t>BRA0108</t>
  </si>
  <si>
    <t>CYP0048</t>
  </si>
  <si>
    <t>CYP0049</t>
  </si>
  <si>
    <t>CYP0050</t>
  </si>
  <si>
    <t>CYP0051</t>
  </si>
  <si>
    <t>CYP0052</t>
  </si>
  <si>
    <t>CZE0002</t>
  </si>
  <si>
    <t>CZE0003</t>
  </si>
  <si>
    <t>CZE0004</t>
  </si>
  <si>
    <t>CZE0005</t>
  </si>
  <si>
    <t>CZE0006</t>
  </si>
  <si>
    <t>CZE0007</t>
  </si>
  <si>
    <t>CZE0008</t>
  </si>
  <si>
    <t>CZE0009</t>
  </si>
  <si>
    <t>CZE0010</t>
  </si>
  <si>
    <t>ESP0378</t>
  </si>
  <si>
    <t>ESP0381</t>
  </si>
  <si>
    <t>ESP0382</t>
  </si>
  <si>
    <t>ESP0404</t>
  </si>
  <si>
    <t>ESP0412</t>
  </si>
  <si>
    <t>ESP0416</t>
  </si>
  <si>
    <t>ESP0417</t>
  </si>
  <si>
    <t>GER0111</t>
  </si>
  <si>
    <t>GER0112</t>
  </si>
  <si>
    <t>GER0113</t>
  </si>
  <si>
    <t>GER0114</t>
  </si>
  <si>
    <t>GER0115</t>
  </si>
  <si>
    <t>GER0116</t>
  </si>
  <si>
    <t>GER0117</t>
  </si>
  <si>
    <t>GER0118</t>
  </si>
  <si>
    <t>GER0119</t>
  </si>
  <si>
    <t>GER0120</t>
  </si>
  <si>
    <t>GER0121</t>
  </si>
  <si>
    <t>GRE0414</t>
  </si>
  <si>
    <t>GRE0415</t>
  </si>
  <si>
    <t>GRE0416</t>
  </si>
  <si>
    <t>GRE0417</t>
  </si>
  <si>
    <t>GRE0418</t>
  </si>
  <si>
    <t>GRE0419</t>
  </si>
  <si>
    <t>GRE0420</t>
  </si>
  <si>
    <t>GRE0421</t>
  </si>
  <si>
    <t>GRE0422</t>
  </si>
  <si>
    <t>GRE0423</t>
  </si>
  <si>
    <t>GRE0424</t>
  </si>
  <si>
    <t>GRE0425</t>
  </si>
  <si>
    <t>GRE0426</t>
  </si>
  <si>
    <t>GRE0427</t>
  </si>
  <si>
    <t>GRE0428</t>
  </si>
  <si>
    <t>GRE0429</t>
  </si>
  <si>
    <t>GRE0430</t>
  </si>
  <si>
    <t>GRE0431</t>
  </si>
  <si>
    <t>GRE0432</t>
  </si>
  <si>
    <t>GRE0433</t>
  </si>
  <si>
    <t>GRE0434</t>
  </si>
  <si>
    <t>GRE0435</t>
  </si>
  <si>
    <t>GRE0436</t>
  </si>
  <si>
    <t>GRE0437</t>
  </si>
  <si>
    <t>GRE0438</t>
  </si>
  <si>
    <t>GRE0439</t>
  </si>
  <si>
    <t>GRE0440</t>
  </si>
  <si>
    <t>GRE0441</t>
  </si>
  <si>
    <t>GRE0442</t>
  </si>
  <si>
    <t>GRE0443</t>
  </si>
  <si>
    <t>GRE0444</t>
  </si>
  <si>
    <t>GRE0445</t>
  </si>
  <si>
    <t>GRE0446</t>
  </si>
  <si>
    <t>GRE0447</t>
  </si>
  <si>
    <t>GRE0448</t>
  </si>
  <si>
    <t>GRE0449</t>
  </si>
  <si>
    <t>GRE0450</t>
  </si>
  <si>
    <t>GRE0451</t>
  </si>
  <si>
    <t>GRE0452</t>
  </si>
  <si>
    <t>GRE0453</t>
  </si>
  <si>
    <t>GRE0454</t>
  </si>
  <si>
    <t>GRE0455</t>
  </si>
  <si>
    <t>GRE0456</t>
  </si>
  <si>
    <t>GRE0457</t>
  </si>
  <si>
    <t>GRE0458</t>
  </si>
  <si>
    <t>GRE0459</t>
  </si>
  <si>
    <t>GRE0460</t>
  </si>
  <si>
    <t>GRE0461</t>
  </si>
  <si>
    <t>GRE0462</t>
  </si>
  <si>
    <t>GRE0463</t>
  </si>
  <si>
    <t>GRE0464</t>
  </si>
  <si>
    <t>GRE0465</t>
  </si>
  <si>
    <t>GRE0466</t>
  </si>
  <si>
    <t>GRE0467</t>
  </si>
  <si>
    <t>GRE0469</t>
  </si>
  <si>
    <t>GRE0470</t>
  </si>
  <si>
    <t>GRE0471</t>
  </si>
  <si>
    <t>ITA1635</t>
  </si>
  <si>
    <t>ITA1636</t>
  </si>
  <si>
    <t>ITA1641</t>
  </si>
  <si>
    <t>ITA1646</t>
  </si>
  <si>
    <t>ITA1649</t>
  </si>
  <si>
    <t>ITA1651</t>
  </si>
  <si>
    <t>ITA1656</t>
  </si>
  <si>
    <t>ITA1662</t>
  </si>
  <si>
    <t>ITA1663</t>
  </si>
  <si>
    <t>ITA1665</t>
  </si>
  <si>
    <t>ITA1670</t>
  </si>
  <si>
    <t>ITA1680</t>
  </si>
  <si>
    <t>ITA1700</t>
  </si>
  <si>
    <t>ITA1702</t>
  </si>
  <si>
    <t>ITA1705</t>
  </si>
  <si>
    <t>ITA1707</t>
  </si>
  <si>
    <t>ITA1730</t>
  </si>
  <si>
    <t>ITA1734</t>
  </si>
  <si>
    <t>ITA1736</t>
  </si>
  <si>
    <t>ITA1748</t>
  </si>
  <si>
    <t>ITA1749</t>
  </si>
  <si>
    <t>ITA1753</t>
  </si>
  <si>
    <t>ITA1757</t>
  </si>
  <si>
    <t>ITA1758</t>
  </si>
  <si>
    <t>ITA1759</t>
  </si>
  <si>
    <t>ITA1777</t>
  </si>
  <si>
    <t>ITA1783</t>
  </si>
  <si>
    <t>ITA1784</t>
  </si>
  <si>
    <t>ITA1785</t>
  </si>
  <si>
    <t>POR0045</t>
  </si>
  <si>
    <t>POR0123</t>
  </si>
  <si>
    <t>POR0149</t>
  </si>
  <si>
    <t>POR0150</t>
  </si>
  <si>
    <t>POR0151</t>
  </si>
  <si>
    <t>POR0152</t>
  </si>
  <si>
    <t>POR0153</t>
  </si>
  <si>
    <t>POR0155</t>
  </si>
  <si>
    <t>POR0156</t>
  </si>
  <si>
    <t>POR0157</t>
  </si>
  <si>
    <t>POR0158</t>
  </si>
  <si>
    <t>POR0159</t>
  </si>
  <si>
    <t>POR0160</t>
  </si>
  <si>
    <t>POR0161</t>
  </si>
  <si>
    <t>POR0162</t>
  </si>
  <si>
    <t>POR0163</t>
  </si>
  <si>
    <t>SCO0055</t>
  </si>
  <si>
    <t>USA0164</t>
  </si>
  <si>
    <t>Aucun joueur disqualifié pour le moment selon les critères choisis</t>
  </si>
  <si>
    <t>No disqualified player for the moment with selected criteria.</t>
  </si>
  <si>
    <t>GMFT Logo is born !
   - the new GMFT logo replace the "?" icon
Automatic Assignment of Referees :
   - Improved exclusion criteria : may be used to exclude some players from refereeing, based on player's category (FISTF &amp; played event) and Nb of matches already refereed 
   - New choice criteria : Losing players of previous round
Free composition of Event :
   - Add the possibility to have a Play-Off for the Third Place
Bug Correction :
   - Conditional Formats on planning and Results sheets
   - Error during planning export when draw sheets are hidden
Export Planning &amp; Results :
   - Now the planning &amp; results are left open after the export
Home :
   - Possibility to hide or show all Draw sheets</t>
  </si>
  <si>
    <t>4.3</t>
  </si>
  <si>
    <t>Hidden columns for conditionnal formats =&gt; don't modify</t>
  </si>
  <si>
    <t>Nombre d'équipes</t>
  </si>
  <si>
    <t>Number of Teams</t>
  </si>
  <si>
    <t>… pour les individuels</t>
  </si>
  <si>
    <t>… pour le par équipe</t>
  </si>
  <si>
    <t>… for individuals</t>
  </si>
  <si>
    <t>… for teams</t>
  </si>
  <si>
    <t>Auncu match individuel ou par équipe =&gt; pas d'assignation automatique</t>
  </si>
  <si>
    <t>No individual or team match =&gt; no automatic assigning</t>
  </si>
  <si>
    <t>Vous devez sélectionner soit " … pour les individuels", soit "… pour le par équipe"</t>
  </si>
  <si>
    <t>Les arbitres sélectionnés pour l'inversion ne sont pas du même type (individuel ou équipe)</t>
  </si>
  <si>
    <t>Selected Referees are not of the same typpe (individual or team)</t>
  </si>
  <si>
    <t>Team 1 player 1</t>
  </si>
  <si>
    <t>Scoresheet_Team_Team1_Player1</t>
  </si>
  <si>
    <t>Scoresheet_Team_Team1_Player2</t>
  </si>
  <si>
    <t>Team 1 player 2</t>
  </si>
  <si>
    <t>..</t>
  </si>
  <si>
    <t>…</t>
  </si>
  <si>
    <t>Team 1 player 10</t>
  </si>
  <si>
    <t>Scoresheet_Team_Team1_Player10</t>
  </si>
  <si>
    <t>Team 2 player 1</t>
  </si>
  <si>
    <t>Team 2 player 2</t>
  </si>
  <si>
    <t>Team 2 player 10</t>
  </si>
  <si>
    <t>Scoresheet_Team_Team2_Player1</t>
  </si>
  <si>
    <t>Scoresheet_Team_Team2_Player2</t>
  </si>
  <si>
    <t>Scoresheet_Team_Team2_Player10</t>
  </si>
  <si>
    <t>Utiliser les codes S1 à S4 en fonction du N° de match concerné par le remplacement</t>
  </si>
  <si>
    <t>Use codes S1 to S4 depending of match number concerned by substitution</t>
  </si>
  <si>
    <t>Tables</t>
  </si>
  <si>
    <t>Remplir avec un "X"</t>
  </si>
  <si>
    <t>Fill with an "X"</t>
  </si>
  <si>
    <t>(**)</t>
  </si>
  <si>
    <t>Maireles</t>
  </si>
  <si>
    <t>Maaß</t>
  </si>
  <si>
    <t>Koulakis</t>
  </si>
  <si>
    <t>Patedakis</t>
  </si>
  <si>
    <t>Dragosis</t>
  </si>
  <si>
    <t>Kantarakis</t>
  </si>
  <si>
    <t>Kalvakis</t>
  </si>
  <si>
    <t>Lazaridis</t>
  </si>
  <si>
    <t>Saitta</t>
  </si>
  <si>
    <t>Colucci</t>
  </si>
  <si>
    <t>Pacitti</t>
  </si>
  <si>
    <t>Calabrese</t>
  </si>
  <si>
    <t>Ferri</t>
  </si>
  <si>
    <t>Barontini</t>
  </si>
  <si>
    <t>Micati</t>
  </si>
  <si>
    <t>Iervese</t>
  </si>
  <si>
    <t>Daanish</t>
  </si>
  <si>
    <t>Brierley</t>
  </si>
  <si>
    <t>Mclane</t>
  </si>
  <si>
    <t>Reed</t>
  </si>
  <si>
    <t>Mann</t>
  </si>
  <si>
    <t>Mellott</t>
  </si>
  <si>
    <t>Kleppin</t>
  </si>
  <si>
    <t>Sanders</t>
  </si>
  <si>
    <t>Tumminaro</t>
  </si>
  <si>
    <t>Pavel</t>
  </si>
  <si>
    <t>Idema</t>
  </si>
  <si>
    <t>King</t>
  </si>
  <si>
    <t>Svenja</t>
  </si>
  <si>
    <t>Iasonas</t>
  </si>
  <si>
    <t>Gianriccardo</t>
  </si>
  <si>
    <t>Milan</t>
  </si>
  <si>
    <t>Wei Xuan</t>
  </si>
  <si>
    <t>Ilhan</t>
  </si>
  <si>
    <t>Isabel</t>
  </si>
  <si>
    <t>Therron</t>
  </si>
  <si>
    <t>Forest</t>
  </si>
  <si>
    <t>Chad Allen</t>
  </si>
  <si>
    <t>ESP0430</t>
  </si>
  <si>
    <t>GER0122</t>
  </si>
  <si>
    <t>GER0123</t>
  </si>
  <si>
    <t>GRE0472</t>
  </si>
  <si>
    <t>GRE0473</t>
  </si>
  <si>
    <t>GRE0474</t>
  </si>
  <si>
    <t>GRE0475</t>
  </si>
  <si>
    <t>GRE0476</t>
  </si>
  <si>
    <t>GRE0477</t>
  </si>
  <si>
    <t>GRE0478</t>
  </si>
  <si>
    <t>GRE0479</t>
  </si>
  <si>
    <t>GRE0480</t>
  </si>
  <si>
    <t>GRE0481</t>
  </si>
  <si>
    <t>ITA1811</t>
  </si>
  <si>
    <t>ITA1821</t>
  </si>
  <si>
    <t>ITA1828</t>
  </si>
  <si>
    <t>ITA1831</t>
  </si>
  <si>
    <t>ITA1833</t>
  </si>
  <si>
    <t>ITA1835</t>
  </si>
  <si>
    <t>ITA1837</t>
  </si>
  <si>
    <t>ITA1839</t>
  </si>
  <si>
    <t>ITA1842</t>
  </si>
  <si>
    <t>ITA1846</t>
  </si>
  <si>
    <t>USA0026</t>
  </si>
  <si>
    <t>USA0030</t>
  </si>
  <si>
    <t>USA0129</t>
  </si>
  <si>
    <t>USA0258</t>
  </si>
  <si>
    <t>USA0293</t>
  </si>
  <si>
    <t>USA0325</t>
  </si>
  <si>
    <t>USA0329</t>
  </si>
  <si>
    <t>USA0346</t>
  </si>
  <si>
    <t>USA0347</t>
  </si>
  <si>
    <t>USA0356</t>
  </si>
  <si>
    <t>USA0359</t>
  </si>
  <si>
    <t>USA0360</t>
  </si>
  <si>
    <t>USA0361</t>
  </si>
  <si>
    <t>USA0362</t>
  </si>
  <si>
    <t>USA0363</t>
  </si>
  <si>
    <t>Florida Sharks TSC</t>
  </si>
  <si>
    <t>mel</t>
  </si>
  <si>
    <t>par</t>
  </si>
  <si>
    <t>nfc</t>
  </si>
  <si>
    <t>lac</t>
  </si>
  <si>
    <t>cst</t>
  </si>
  <si>
    <t>rem</t>
  </si>
  <si>
    <t>sma</t>
  </si>
  <si>
    <t>mun</t>
  </si>
  <si>
    <t>pro</t>
  </si>
  <si>
    <t>ffl</t>
  </si>
  <si>
    <t>liv</t>
  </si>
  <si>
    <t>caz</t>
  </si>
  <si>
    <t>bar</t>
  </si>
  <si>
    <t>sam</t>
  </si>
  <si>
    <t>aos</t>
  </si>
  <si>
    <t>dun</t>
  </si>
  <si>
    <t>ALEGI</t>
  </si>
  <si>
    <t>GÓMEZ</t>
  </si>
  <si>
    <t>MAIRELES</t>
  </si>
  <si>
    <t>Tournament Title automatically updated</t>
  </si>
  <si>
    <t>SO</t>
  </si>
  <si>
    <t>Criteria before particular difference</t>
  </si>
  <si>
    <t>Critères avant la différence particulière</t>
  </si>
  <si>
    <t>Particular difference in case of equality on previous criteria</t>
  </si>
  <si>
    <t>Criteria after particular difference</t>
  </si>
  <si>
    <t>Critères après égalité sur différence particulière</t>
  </si>
  <si>
    <t>Free</t>
  </si>
  <si>
    <t>Afficher</t>
  </si>
  <si>
    <t>Show</t>
  </si>
  <si>
    <t>Arbitres</t>
  </si>
  <si>
    <t>Tours</t>
  </si>
  <si>
    <t>Stages</t>
  </si>
  <si>
    <t>Referees</t>
  </si>
  <si>
    <t>4.4</t>
  </si>
  <si>
    <t>Venue
   - Now the Venue sheet show for each Session the tables occupation by displaying players, referees or stage for each table.</t>
  </si>
  <si>
    <t xml:space="preserve">Performances
   - some format simplifications for performance optimization (sensible on event generation)
Refereeing
   - Full referee management for teams (random assignment, same exclusion criteria as for individuals, number of matches refereed)
Scoresheets
   - Team scorsheet improvement with player list of each team </t>
  </si>
  <si>
    <t>Nb refereed matches</t>
  </si>
  <si>
    <t>4.5</t>
  </si>
  <si>
    <t>López Soligó</t>
  </si>
  <si>
    <t>Guth</t>
  </si>
  <si>
    <t>Karaminas</t>
  </si>
  <si>
    <t>Pagkratis</t>
  </si>
  <si>
    <t>Pontikopoulos</t>
  </si>
  <si>
    <t>Antonopoulos</t>
  </si>
  <si>
    <t>Chronopoulos</t>
  </si>
  <si>
    <t>Kalogerakos</t>
  </si>
  <si>
    <t>Koutsogiannis</t>
  </si>
  <si>
    <t>Gioutsas</t>
  </si>
  <si>
    <t>Chalkidis</t>
  </si>
  <si>
    <t>Anagnostopoulos</t>
  </si>
  <si>
    <t>Kitsios</t>
  </si>
  <si>
    <t>Liakopoulos</t>
  </si>
  <si>
    <t>Kosmadakis</t>
  </si>
  <si>
    <t>Tountas</t>
  </si>
  <si>
    <t>Guagliardi</t>
  </si>
  <si>
    <t>Ficola</t>
  </si>
  <si>
    <t>Pires</t>
  </si>
  <si>
    <t>Jorge Juan</t>
  </si>
  <si>
    <t>Spyridon</t>
  </si>
  <si>
    <t>Thodoris</t>
  </si>
  <si>
    <t>Eleftherios</t>
  </si>
  <si>
    <t>Theocharis</t>
  </si>
  <si>
    <t>Vassiliki</t>
  </si>
  <si>
    <t>Myrsini</t>
  </si>
  <si>
    <t>ESP0022</t>
  </si>
  <si>
    <t>ESP0051</t>
  </si>
  <si>
    <t>FRA0157</t>
  </si>
  <si>
    <t>GER0124</t>
  </si>
  <si>
    <t>GRE0482</t>
  </si>
  <si>
    <t>GRE0483</t>
  </si>
  <si>
    <t>GRE0484</t>
  </si>
  <si>
    <t>GRE0485</t>
  </si>
  <si>
    <t>GRE0486</t>
  </si>
  <si>
    <t>GRE0487</t>
  </si>
  <si>
    <t>GRE0488</t>
  </si>
  <si>
    <t>GRE0489</t>
  </si>
  <si>
    <t>GRE0490</t>
  </si>
  <si>
    <t>GRE0491</t>
  </si>
  <si>
    <t>GRE0492</t>
  </si>
  <si>
    <t>GRE0493</t>
  </si>
  <si>
    <t>GRE0494</t>
  </si>
  <si>
    <t>GRE0495</t>
  </si>
  <si>
    <t>GRE0496</t>
  </si>
  <si>
    <t>GRE0497</t>
  </si>
  <si>
    <t>GRE0498</t>
  </si>
  <si>
    <t>GRE0499</t>
  </si>
  <si>
    <t>GRE0500</t>
  </si>
  <si>
    <t>GRE0501</t>
  </si>
  <si>
    <t>GRE0502</t>
  </si>
  <si>
    <t>ITA1849</t>
  </si>
  <si>
    <t>POR0164</t>
  </si>
  <si>
    <t>Highlanders TSC</t>
  </si>
  <si>
    <t>RUSSO</t>
  </si>
  <si>
    <t>BONCIANI</t>
  </si>
  <si>
    <t>ANDERLINI</t>
  </si>
  <si>
    <t>Liste des joueurs inscrits dans chaque équipe</t>
  </si>
  <si>
    <t>List of registered players of each team</t>
  </si>
  <si>
    <t>Shoot Out</t>
  </si>
  <si>
    <t>4.5.1</t>
  </si>
  <si>
    <t>Feedback from2015 WC. Some minor bugs I forgot !</t>
  </si>
  <si>
    <t>Bug correction for FormatConditions on Planning. =&gt; compatibility pb with Office2007.</t>
  </si>
  <si>
    <t>Cette feuille présente le planning de chaque participant qu'il soit joueur ou arbitre.</t>
  </si>
  <si>
    <t>This worksheet presents the timeline of each participant whether player or referee.</t>
  </si>
  <si>
    <t>Feuille de route des joueurs</t>
  </si>
  <si>
    <t>Player's timeline</t>
  </si>
  <si>
    <t>Joue</t>
  </si>
  <si>
    <t>Play</t>
  </si>
  <si>
    <t>Timeline</t>
  </si>
  <si>
    <t>4.6</t>
  </si>
  <si>
    <t>Player's Timeline
   - With the planning, the Timeline sheet display for each player his timeline of playing and refereeing</t>
  </si>
  <si>
    <t>Define sport parameters of the day of competition</t>
  </si>
  <si>
    <t>Afficher ou imprimer le planning de chaque joueur</t>
  </si>
  <si>
    <t>Display or print player's own planning</t>
  </si>
  <si>
    <t>4.6.a</t>
  </si>
  <si>
    <t>Group of 5 with first/second leg</t>
  </si>
  <si>
    <t>Poule de 5 en A/R</t>
  </si>
  <si>
    <t>4.7</t>
  </si>
  <si>
    <t>Minor bug correction for checkin sheet</t>
  </si>
  <si>
    <t xml:space="preserve">Individual Groups : New formula for Group of 5 with two-legged
Timeline : Add of table name for each match </t>
  </si>
  <si>
    <t>Master Sanremo</t>
  </si>
  <si>
    <t>Grand Rapids TSC</t>
  </si>
  <si>
    <t>AFT Turia 1981</t>
  </si>
  <si>
    <t>F.Lli Bari Reggio Emilia</t>
  </si>
  <si>
    <t>FM La Plazoleta</t>
  </si>
  <si>
    <t>SC Catania 1987</t>
  </si>
  <si>
    <t>Subbito Gol Ferrara</t>
  </si>
  <si>
    <t>Stabiae</t>
  </si>
  <si>
    <t>Leonessa 2004 Brescia</t>
  </si>
  <si>
    <t>Subbuteisti Modena 1982</t>
  </si>
  <si>
    <t>Subbuteo Vomero</t>
  </si>
  <si>
    <t>Bulldogs Vicenza</t>
  </si>
  <si>
    <t>SC Biella 91</t>
  </si>
  <si>
    <t>Subbuteo Taranto</t>
  </si>
  <si>
    <t>ASM Nola 74</t>
  </si>
  <si>
    <t>Northern California SC</t>
  </si>
  <si>
    <t>4.7.1</t>
  </si>
  <si>
    <t>Import Players &amp; Clubs from "Database WR FISTF.xlsm" file : small adaptation to new file version</t>
  </si>
  <si>
    <t>Magic Team Tournai</t>
  </si>
  <si>
    <t>wam</t>
  </si>
  <si>
    <t>plz</t>
  </si>
  <si>
    <t>tur</t>
  </si>
  <si>
    <t>ael</t>
  </si>
  <si>
    <t>hig</t>
  </si>
  <si>
    <t>the</t>
  </si>
  <si>
    <t>adr</t>
  </si>
  <si>
    <t>vom</t>
  </si>
  <si>
    <t>som</t>
  </si>
  <si>
    <t>sbt</t>
  </si>
  <si>
    <t>nol</t>
  </si>
  <si>
    <t>noc</t>
  </si>
  <si>
    <t>flo</t>
  </si>
  <si>
    <t>kan</t>
  </si>
  <si>
    <t>sea</t>
  </si>
  <si>
    <t>Panagiotidis</t>
  </si>
  <si>
    <t>Tokita</t>
  </si>
  <si>
    <t>Jeshua</t>
  </si>
  <si>
    <t>Harrow Hawks TSC</t>
  </si>
  <si>
    <t>Blade TSC</t>
  </si>
  <si>
    <t>Adachi TFC</t>
  </si>
  <si>
    <t>haw</t>
  </si>
  <si>
    <t>wmd</t>
  </si>
  <si>
    <t>bmo</t>
  </si>
  <si>
    <t>ada</t>
  </si>
  <si>
    <t>4.7.2</t>
  </si>
  <si>
    <t>Excel2013 compatibility</t>
  </si>
  <si>
    <t>Minton</t>
  </si>
  <si>
    <t>Subbuteo Perth</t>
  </si>
  <si>
    <t>1.TFC Aktivist Bergen 74</t>
  </si>
  <si>
    <t>SGP</t>
  </si>
  <si>
    <t>cab</t>
  </si>
  <si>
    <t>cao</t>
  </si>
  <si>
    <t>4.7.3</t>
  </si>
  <si>
    <t>Checkin Player Form : Help for Player name searching</t>
  </si>
  <si>
    <t>Formulaire d'inscription</t>
  </si>
  <si>
    <t>Checkin Form</t>
  </si>
  <si>
    <t>Formulaire d'inscription individuel</t>
  </si>
  <si>
    <t>Individual checkin Form</t>
  </si>
  <si>
    <t>Nom du joueur</t>
  </si>
  <si>
    <t>Player Name</t>
  </si>
  <si>
    <t xml:space="preserve">Supprimer la 1ère ligne </t>
  </si>
  <si>
    <t>Delete first row</t>
  </si>
  <si>
    <t>Valider et copier en fin de liste</t>
  </si>
  <si>
    <t>Validate and copy at the end of the list</t>
  </si>
  <si>
    <t>Aide à la saisie</t>
  </si>
  <si>
    <t>Fill in help</t>
  </si>
  <si>
    <t>syd</t>
  </si>
  <si>
    <t>Károly</t>
  </si>
  <si>
    <t>North Shields STF</t>
  </si>
  <si>
    <t>GD Bairro Novo</t>
  </si>
  <si>
    <t>bir</t>
  </si>
  <si>
    <t>nss</t>
  </si>
  <si>
    <t>mey</t>
  </si>
  <si>
    <t>hop</t>
  </si>
  <si>
    <t>akt</t>
  </si>
  <si>
    <t>dbn</t>
  </si>
  <si>
    <t>zar</t>
  </si>
  <si>
    <t>VISCONTI</t>
  </si>
  <si>
    <t>GENART</t>
  </si>
  <si>
    <t>4.8</t>
  </si>
  <si>
    <t>Web Site results generation</t>
  </si>
  <si>
    <t xml:space="preserve">Paramètres d'export sur le Site Web </t>
  </si>
  <si>
    <t>Web Site export parameters</t>
  </si>
  <si>
    <t>Paramètres pour l'export sur le Site Web</t>
  </si>
  <si>
    <t>Parameters for Web Site export</t>
  </si>
  <si>
    <t>Export Data to the GMFT Web Site</t>
  </si>
  <si>
    <t>Exporter les données vers le Site Web GMFT</t>
  </si>
  <si>
    <t>Compétiteurs</t>
  </si>
  <si>
    <t>Competitors</t>
  </si>
  <si>
    <t>GMFT Web Site directory path</t>
  </si>
  <si>
    <t>Chemin du répertoire du Site Web GMFT</t>
  </si>
  <si>
    <t>Last checked boxes for competitors export to GMFT Web Site</t>
  </si>
  <si>
    <t>Dernières cases cochées pour l'export des compétiteurs sur le Site Web GMFT</t>
  </si>
  <si>
    <t>Export vers le site web GMFT des types de compétition suivants</t>
  </si>
  <si>
    <t>Export to GMFT web site following event types</t>
  </si>
  <si>
    <t>Exporter les groupes</t>
  </si>
  <si>
    <t>Groups Export</t>
  </si>
  <si>
    <t>Exporter le détail des matches</t>
  </si>
  <si>
    <t>Detailed matches Export</t>
  </si>
  <si>
    <t>Results Export</t>
  </si>
  <si>
    <t>Stats Export</t>
  </si>
  <si>
    <t>Exporter les statistiques</t>
  </si>
  <si>
    <t>Exporter les résultats</t>
  </si>
  <si>
    <t>Résultats</t>
  </si>
  <si>
    <t>Statistiques</t>
  </si>
  <si>
    <t>Groupes</t>
  </si>
  <si>
    <t>Last 8</t>
  </si>
  <si>
    <t>Last 16</t>
  </si>
  <si>
    <t>Last 32</t>
  </si>
  <si>
    <t>Last 64</t>
  </si>
  <si>
    <t>Last 128</t>
  </si>
  <si>
    <t>3rd Place</t>
  </si>
  <si>
    <t>#F3</t>
  </si>
  <si>
    <t>Ashley</t>
  </si>
  <si>
    <t>ESP0042</t>
  </si>
  <si>
    <t>Novotny</t>
  </si>
  <si>
    <t>Melanie</t>
  </si>
  <si>
    <t>Bozzano</t>
  </si>
  <si>
    <t>Gramajo</t>
  </si>
  <si>
    <t>Vergara</t>
  </si>
  <si>
    <t>Di Luozzo</t>
  </si>
  <si>
    <t>Fantino</t>
  </si>
  <si>
    <t>Gallimò</t>
  </si>
  <si>
    <t>Garcia Ciraudo</t>
  </si>
  <si>
    <t>García Ciraudo</t>
  </si>
  <si>
    <t>Grenot</t>
  </si>
  <si>
    <t>Credentino</t>
  </si>
  <si>
    <t>Eveleigh</t>
  </si>
  <si>
    <t>Thorn</t>
  </si>
  <si>
    <t>Palamara</t>
  </si>
  <si>
    <t>Best</t>
  </si>
  <si>
    <t>Connolly</t>
  </si>
  <si>
    <t>Grant</t>
  </si>
  <si>
    <t>Brill</t>
  </si>
  <si>
    <t>Barbaris</t>
  </si>
  <si>
    <t>Matzinger</t>
  </si>
  <si>
    <t>Van Glabeke</t>
  </si>
  <si>
    <t>Cuenca</t>
  </si>
  <si>
    <t>Cyganek</t>
  </si>
  <si>
    <t>Peremans</t>
  </si>
  <si>
    <t>Timpano</t>
  </si>
  <si>
    <t>Gilles</t>
  </si>
  <si>
    <t>Denne</t>
  </si>
  <si>
    <t>Grosdent</t>
  </si>
  <si>
    <t>Raison</t>
  </si>
  <si>
    <t>Galindo Perez</t>
  </si>
  <si>
    <t>Ghigliotti</t>
  </si>
  <si>
    <t>Matthews</t>
  </si>
  <si>
    <t>Feyjoo</t>
  </si>
  <si>
    <t>Matabuena</t>
  </si>
  <si>
    <t>Haro</t>
  </si>
  <si>
    <t>Iliev</t>
  </si>
  <si>
    <t>Alsina</t>
  </si>
  <si>
    <t>Parrilla</t>
  </si>
  <si>
    <t>Benavent</t>
  </si>
  <si>
    <t>Pirova</t>
  </si>
  <si>
    <t>Fino</t>
  </si>
  <si>
    <t>Monteiro</t>
  </si>
  <si>
    <t>Greier</t>
  </si>
  <si>
    <t>Pretzel</t>
  </si>
  <si>
    <t>Matusch</t>
  </si>
  <si>
    <t>Politz</t>
  </si>
  <si>
    <t>Krommydas</t>
  </si>
  <si>
    <t>Knezevic-Schlosser</t>
  </si>
  <si>
    <t>Rust</t>
  </si>
  <si>
    <t>Kronmüller</t>
  </si>
  <si>
    <t>Berliaque</t>
  </si>
  <si>
    <t>Sanchez</t>
  </si>
  <si>
    <t>Canilla</t>
  </si>
  <si>
    <t>Gkiochalas</t>
  </si>
  <si>
    <t>Prantsoudis</t>
  </si>
  <si>
    <t>Krevvatas</t>
  </si>
  <si>
    <t>Michalatos</t>
  </si>
  <si>
    <t>Argirakoulis</t>
  </si>
  <si>
    <t>Polichronidis Polichroniadis</t>
  </si>
  <si>
    <t>Kokkalis</t>
  </si>
  <si>
    <t>Ioakimidis</t>
  </si>
  <si>
    <t>Nikolopoulos</t>
  </si>
  <si>
    <t>Tsompanidis</t>
  </si>
  <si>
    <t>Angelinas</t>
  </si>
  <si>
    <t>Stamatopoulou</t>
  </si>
  <si>
    <t>Liaromati</t>
  </si>
  <si>
    <t>Xyki</t>
  </si>
  <si>
    <t>Fragkakis</t>
  </si>
  <si>
    <t>Chantzaras</t>
  </si>
  <si>
    <t>Kastellanos</t>
  </si>
  <si>
    <t>Tzitziris</t>
  </si>
  <si>
    <t>Baira</t>
  </si>
  <si>
    <t>Kyriakoulakos</t>
  </si>
  <si>
    <t>Bairas</t>
  </si>
  <si>
    <t>Mavraganis</t>
  </si>
  <si>
    <t>Papavasiliou</t>
  </si>
  <si>
    <t>Vlachopoulos</t>
  </si>
  <si>
    <t>Polizos</t>
  </si>
  <si>
    <t>Voikos</t>
  </si>
  <si>
    <t>Xiarhogiannopoulos</t>
  </si>
  <si>
    <t>Tsiamos</t>
  </si>
  <si>
    <t>Panagoulas</t>
  </si>
  <si>
    <t>Stamatiadou</t>
  </si>
  <si>
    <t>Papahronopoulos</t>
  </si>
  <si>
    <t>Perdicaris</t>
  </si>
  <si>
    <t>Oiconomidis</t>
  </si>
  <si>
    <t>Mpelanti</t>
  </si>
  <si>
    <t>Lamprakis</t>
  </si>
  <si>
    <t>Schoinas</t>
  </si>
  <si>
    <t>Lampropoulos</t>
  </si>
  <si>
    <t>Tsioumanis</t>
  </si>
  <si>
    <t>Kostantakopoulos</t>
  </si>
  <si>
    <t>Papatzimas</t>
  </si>
  <si>
    <t>Michopoulos</t>
  </si>
  <si>
    <t>Mpougiouris</t>
  </si>
  <si>
    <t>Rogas</t>
  </si>
  <si>
    <t>Maragopoulos</t>
  </si>
  <si>
    <t>Malindretos</t>
  </si>
  <si>
    <t>Misiros</t>
  </si>
  <si>
    <t>Koffas</t>
  </si>
  <si>
    <t>Skourtsos</t>
  </si>
  <si>
    <t>Skordas</t>
  </si>
  <si>
    <t>Palaitsakis</t>
  </si>
  <si>
    <t>Fotiadou</t>
  </si>
  <si>
    <t>Koutoulas</t>
  </si>
  <si>
    <t>Lavrakis</t>
  </si>
  <si>
    <t>Klironomos</t>
  </si>
  <si>
    <t>Psomiadis</t>
  </si>
  <si>
    <t>Meleas</t>
  </si>
  <si>
    <t>Gkiotlis</t>
  </si>
  <si>
    <t>Karpouzos</t>
  </si>
  <si>
    <t>Eskitzioglou</t>
  </si>
  <si>
    <t>Terzidis</t>
  </si>
  <si>
    <t>Manopoulos</t>
  </si>
  <si>
    <t>Giapoutzis</t>
  </si>
  <si>
    <t>Andreadis</t>
  </si>
  <si>
    <t>Chatzitheodorou</t>
  </si>
  <si>
    <t>Mesaikos</t>
  </si>
  <si>
    <t>Kanakis</t>
  </si>
  <si>
    <t>Pothitos</t>
  </si>
  <si>
    <t>Promponas</t>
  </si>
  <si>
    <t>Stamatiou</t>
  </si>
  <si>
    <t>Chasoulidis</t>
  </si>
  <si>
    <t>Plianthidis</t>
  </si>
  <si>
    <t>Nidriotis</t>
  </si>
  <si>
    <t>Hliaoutakis</t>
  </si>
  <si>
    <t>Pashos</t>
  </si>
  <si>
    <t>Malousidou</t>
  </si>
  <si>
    <t>Markantonis</t>
  </si>
  <si>
    <t>Mantzouranis</t>
  </si>
  <si>
    <t>Apatzis</t>
  </si>
  <si>
    <t>Stratakis</t>
  </si>
  <si>
    <t>Kolydakis</t>
  </si>
  <si>
    <t>Mavrikidis</t>
  </si>
  <si>
    <t>Roumantzas</t>
  </si>
  <si>
    <t>Patistas</t>
  </si>
  <si>
    <t>Kalakos</t>
  </si>
  <si>
    <t>Psychopoulos</t>
  </si>
  <si>
    <t>Agrios</t>
  </si>
  <si>
    <t>Kosovas</t>
  </si>
  <si>
    <t>Kleonakos</t>
  </si>
  <si>
    <t>Machairidis</t>
  </si>
  <si>
    <t>Tzanakis</t>
  </si>
  <si>
    <t>Kolettis</t>
  </si>
  <si>
    <t>Koletti</t>
  </si>
  <si>
    <t>Kaloudaki</t>
  </si>
  <si>
    <t>Frantzeskou</t>
  </si>
  <si>
    <t>Kolokotronis</t>
  </si>
  <si>
    <t>Tsiakalos</t>
  </si>
  <si>
    <t>Chazarakis</t>
  </si>
  <si>
    <t>Syrmos</t>
  </si>
  <si>
    <t>Fanariotis</t>
  </si>
  <si>
    <t>Lagios</t>
  </si>
  <si>
    <t>Karavas</t>
  </si>
  <si>
    <t>Szathmáry</t>
  </si>
  <si>
    <t>Dellacha'</t>
  </si>
  <si>
    <t>Cherici</t>
  </si>
  <si>
    <t>De Pascale</t>
  </si>
  <si>
    <t>Lopresto</t>
  </si>
  <si>
    <t>Varricchio</t>
  </si>
  <si>
    <t>Lucchesi</t>
  </si>
  <si>
    <t>De Paolis</t>
  </si>
  <si>
    <t>Cafaggi</t>
  </si>
  <si>
    <t>Meo</t>
  </si>
  <si>
    <t>Ianniello</t>
  </si>
  <si>
    <t>Forino</t>
  </si>
  <si>
    <t>Piatti</t>
  </si>
  <si>
    <t>De Santis</t>
  </si>
  <si>
    <t>Cevolani</t>
  </si>
  <si>
    <t>Pistoni</t>
  </si>
  <si>
    <t>Ariano</t>
  </si>
  <si>
    <t>Cencini</t>
  </si>
  <si>
    <t>Cafiero</t>
  </si>
  <si>
    <t>Gabbani</t>
  </si>
  <si>
    <t>Giorgianni</t>
  </si>
  <si>
    <t>Berardi</t>
  </si>
  <si>
    <t>Campagna</t>
  </si>
  <si>
    <t>Ragusa</t>
  </si>
  <si>
    <t>Tassone</t>
  </si>
  <si>
    <t>Ambrosio</t>
  </si>
  <si>
    <t>Iovino</t>
  </si>
  <si>
    <t>Galieti</t>
  </si>
  <si>
    <t>Poncetta</t>
  </si>
  <si>
    <t>Nicoletti</t>
  </si>
  <si>
    <t>Tarabella</t>
  </si>
  <si>
    <t>Vatteroni</t>
  </si>
  <si>
    <t>Falorni</t>
  </si>
  <si>
    <t>Quattrocchi</t>
  </si>
  <si>
    <t>Solito</t>
  </si>
  <si>
    <t>Sostegno</t>
  </si>
  <si>
    <t>Yoshimura</t>
  </si>
  <si>
    <t>Alves</t>
  </si>
  <si>
    <t>Sampaio</t>
  </si>
  <si>
    <t>Oleastro</t>
  </si>
  <si>
    <t>Neves</t>
  </si>
  <si>
    <t>Pascoal</t>
  </si>
  <si>
    <t>Almeida</t>
  </si>
  <si>
    <t>Varela</t>
  </si>
  <si>
    <t>Araújo</t>
  </si>
  <si>
    <t>Correia</t>
  </si>
  <si>
    <t>Albuquerque</t>
  </si>
  <si>
    <t>Valério</t>
  </si>
  <si>
    <t>McKenzie</t>
  </si>
  <si>
    <t>O’Brien</t>
  </si>
  <si>
    <t>Mathieson</t>
  </si>
  <si>
    <t>Minty</t>
  </si>
  <si>
    <t>Koh</t>
  </si>
  <si>
    <t>Li</t>
  </si>
  <si>
    <t>Bin Kamaruzaman</t>
  </si>
  <si>
    <t>Peng</t>
  </si>
  <si>
    <t>Bun Kamsani</t>
  </si>
  <si>
    <t>Bin Rosli</t>
  </si>
  <si>
    <t>Bahrin</t>
  </si>
  <si>
    <t>Foo</t>
  </si>
  <si>
    <t>Bin Halil</t>
  </si>
  <si>
    <t>Alfian</t>
  </si>
  <si>
    <t>Mohd Amirul</t>
  </si>
  <si>
    <t>Lilly</t>
  </si>
  <si>
    <t>Montabon</t>
  </si>
  <si>
    <t>Mata</t>
  </si>
  <si>
    <t>Alegi</t>
  </si>
  <si>
    <t>Pate</t>
  </si>
  <si>
    <t>Galarza</t>
  </si>
  <si>
    <t>Casaca</t>
  </si>
  <si>
    <t>Ysaguirre</t>
  </si>
  <si>
    <t>Wiggs</t>
  </si>
  <si>
    <t>Peters</t>
  </si>
  <si>
    <t>Lauder</t>
  </si>
  <si>
    <t>Rowley</t>
  </si>
  <si>
    <t>Evans</t>
  </si>
  <si>
    <t>Holliday</t>
  </si>
  <si>
    <t>Dacey</t>
  </si>
  <si>
    <t>Lundy</t>
  </si>
  <si>
    <t>Norberto Oscar</t>
  </si>
  <si>
    <t>Carlos Alberto</t>
  </si>
  <si>
    <t>Guillermo Joel</t>
  </si>
  <si>
    <t>Maximiliano Gabriel</t>
  </si>
  <si>
    <t>Joaquín</t>
  </si>
  <si>
    <t>Juan Sebastián</t>
  </si>
  <si>
    <t>Valeria</t>
  </si>
  <si>
    <t>Frida</t>
  </si>
  <si>
    <t>Dom</t>
  </si>
  <si>
    <t>Beth</t>
  </si>
  <si>
    <t>Hugh</t>
  </si>
  <si>
    <t>Billy</t>
  </si>
  <si>
    <t>Yves</t>
  </si>
  <si>
    <t>Cyril</t>
  </si>
  <si>
    <t>Marco Antonio</t>
  </si>
  <si>
    <t>Cayne</t>
  </si>
  <si>
    <t>Ruby</t>
  </si>
  <si>
    <t>José María</t>
  </si>
  <si>
    <t>Guillem</t>
  </si>
  <si>
    <t>Iván</t>
  </si>
  <si>
    <t>Stefka</t>
  </si>
  <si>
    <t>Hervé</t>
  </si>
  <si>
    <t>Rafaël</t>
  </si>
  <si>
    <t>Katrin</t>
  </si>
  <si>
    <t>Daniela</t>
  </si>
  <si>
    <t>Werner</t>
  </si>
  <si>
    <t>Efthymios</t>
  </si>
  <si>
    <t>Adrianos</t>
  </si>
  <si>
    <t>Evgenios</t>
  </si>
  <si>
    <t>Achilleas</t>
  </si>
  <si>
    <t>Serafeim</t>
  </si>
  <si>
    <t>Charalampos</t>
  </si>
  <si>
    <t>Michail</t>
  </si>
  <si>
    <t>Emanouil</t>
  </si>
  <si>
    <t>Ioannis D.</t>
  </si>
  <si>
    <t>Manousos</t>
  </si>
  <si>
    <t>Ioannis H.</t>
  </si>
  <si>
    <t>Anastasia</t>
  </si>
  <si>
    <t>Penny</t>
  </si>
  <si>
    <t>Violetta</t>
  </si>
  <si>
    <t>Antonios</t>
  </si>
  <si>
    <t>Dionysios</t>
  </si>
  <si>
    <t>Lampros</t>
  </si>
  <si>
    <t>Kyriakos</t>
  </si>
  <si>
    <t>Athina</t>
  </si>
  <si>
    <t>Argyris</t>
  </si>
  <si>
    <t>Stilianos</t>
  </si>
  <si>
    <t>Kostantinos</t>
  </si>
  <si>
    <t>Rafail</t>
  </si>
  <si>
    <t>Dimitrios-Marios</t>
  </si>
  <si>
    <t>Aris</t>
  </si>
  <si>
    <t>Dimitrios Ioannis</t>
  </si>
  <si>
    <t>Dimitrios Sarantos</t>
  </si>
  <si>
    <t>Aggelos-Chrisostomos</t>
  </si>
  <si>
    <t>Grigorios</t>
  </si>
  <si>
    <t>Evaggelia</t>
  </si>
  <si>
    <t>Efstathios</t>
  </si>
  <si>
    <t>Sotirios</t>
  </si>
  <si>
    <t>Fotios</t>
  </si>
  <si>
    <t>Stamatios</t>
  </si>
  <si>
    <t>Victoras</t>
  </si>
  <si>
    <t>Erinarhos</t>
  </si>
  <si>
    <t>Constantios</t>
  </si>
  <si>
    <t>Pantazis</t>
  </si>
  <si>
    <t>Georgia</t>
  </si>
  <si>
    <t>Charilaos</t>
  </si>
  <si>
    <t>Aristidis</t>
  </si>
  <si>
    <t>Kyriaki</t>
  </si>
  <si>
    <t>Stylianos</t>
  </si>
  <si>
    <t>Aggeliki</t>
  </si>
  <si>
    <t>Theodora</t>
  </si>
  <si>
    <t>Giota</t>
  </si>
  <si>
    <t>Theodos</t>
  </si>
  <si>
    <t>Alkaios</t>
  </si>
  <si>
    <t>Dionysis</t>
  </si>
  <si>
    <t>Genny</t>
  </si>
  <si>
    <t>Tiziano</t>
  </si>
  <si>
    <t>Greta</t>
  </si>
  <si>
    <t>Maria Grazia</t>
  </si>
  <si>
    <t>Tomoyuki</t>
  </si>
  <si>
    <t>Placido</t>
  </si>
  <si>
    <t>Júlia</t>
  </si>
  <si>
    <t>Duarte</t>
  </si>
  <si>
    <t>Ken</t>
  </si>
  <si>
    <t>Brendan</t>
  </si>
  <si>
    <t>Abdul</t>
  </si>
  <si>
    <t>Ming Liang</t>
  </si>
  <si>
    <t>Khairil Zam</t>
  </si>
  <si>
    <t>Simon E Seck</t>
  </si>
  <si>
    <t>Fazlur Rahman</t>
  </si>
  <si>
    <t>Kah Jun, Dylan</t>
  </si>
  <si>
    <t>Yi De</t>
  </si>
  <si>
    <t>Tanishq Vikas</t>
  </si>
  <si>
    <t>Muhammad Salihin</t>
  </si>
  <si>
    <t>Yew Loy</t>
  </si>
  <si>
    <t>Fanddy</t>
  </si>
  <si>
    <t>Rizal</t>
  </si>
  <si>
    <t>João Paulo</t>
  </si>
  <si>
    <t>Corey</t>
  </si>
  <si>
    <t>Joey</t>
  </si>
  <si>
    <t>Jake</t>
  </si>
  <si>
    <t>Yanik</t>
  </si>
  <si>
    <t>ARG0069</t>
  </si>
  <si>
    <t>ARG0070</t>
  </si>
  <si>
    <t>ARG0071</t>
  </si>
  <si>
    <t>ARG0072</t>
  </si>
  <si>
    <t>ARG0073</t>
  </si>
  <si>
    <t>ARG0074</t>
  </si>
  <si>
    <t>ARG0075</t>
  </si>
  <si>
    <t>ARG0076</t>
  </si>
  <si>
    <t>ARG0077</t>
  </si>
  <si>
    <t>ARG0078</t>
  </si>
  <si>
    <t>ARG0079</t>
  </si>
  <si>
    <t>ARG0080</t>
  </si>
  <si>
    <t>ARG0081</t>
  </si>
  <si>
    <t>ARG0082</t>
  </si>
  <si>
    <t>ARG0083</t>
  </si>
  <si>
    <t>ARG0084</t>
  </si>
  <si>
    <t>ARG0085</t>
  </si>
  <si>
    <t>AUS0055</t>
  </si>
  <si>
    <t>AUS0056</t>
  </si>
  <si>
    <t>AUS0059</t>
  </si>
  <si>
    <t>AUS0074</t>
  </si>
  <si>
    <t>AUS0078</t>
  </si>
  <si>
    <t>AUS0122</t>
  </si>
  <si>
    <t>AUS0123</t>
  </si>
  <si>
    <t>AUS0124</t>
  </si>
  <si>
    <t>AUS0139</t>
  </si>
  <si>
    <t>AUS0140</t>
  </si>
  <si>
    <t>AUS0141</t>
  </si>
  <si>
    <t>AUT0015</t>
  </si>
  <si>
    <t>BEL0300</t>
  </si>
  <si>
    <t>BEL0311</t>
  </si>
  <si>
    <t>BEL0319</t>
  </si>
  <si>
    <t>BEL0328</t>
  </si>
  <si>
    <t>BEL0332</t>
  </si>
  <si>
    <t>BEL0335</t>
  </si>
  <si>
    <t>CAN0000</t>
  </si>
  <si>
    <t>CZE0011</t>
  </si>
  <si>
    <t>CZE0012</t>
  </si>
  <si>
    <t>ENG0339</t>
  </si>
  <si>
    <t>ESP0014</t>
  </si>
  <si>
    <t>ESP0063</t>
  </si>
  <si>
    <t>ESP0067</t>
  </si>
  <si>
    <t>ESP0433</t>
  </si>
  <si>
    <t>ESP0436</t>
  </si>
  <si>
    <t>ESP0437</t>
  </si>
  <si>
    <t>ESP0441</t>
  </si>
  <si>
    <t>ESP0448</t>
  </si>
  <si>
    <t>ESP0449</t>
  </si>
  <si>
    <t>ESP0452</t>
  </si>
  <si>
    <t>ESP0457</t>
  </si>
  <si>
    <t>ESP0458</t>
  </si>
  <si>
    <t>ESP0461</t>
  </si>
  <si>
    <t>FRA0164</t>
  </si>
  <si>
    <t>FRA0168</t>
  </si>
  <si>
    <t>GER0125</t>
  </si>
  <si>
    <t>GER0126</t>
  </si>
  <si>
    <t>GER0127</t>
  </si>
  <si>
    <t>GER0128</t>
  </si>
  <si>
    <t>GER0129</t>
  </si>
  <si>
    <t>GER0131</t>
  </si>
  <si>
    <t>GER0132</t>
  </si>
  <si>
    <t>GER0133</t>
  </si>
  <si>
    <t>GER0134</t>
  </si>
  <si>
    <t>GER0135</t>
  </si>
  <si>
    <t>GIB0007</t>
  </si>
  <si>
    <t>GIB0056</t>
  </si>
  <si>
    <t>GIB0057</t>
  </si>
  <si>
    <t>GIB0058</t>
  </si>
  <si>
    <t>GIB0059</t>
  </si>
  <si>
    <t>GRE0064</t>
  </si>
  <si>
    <t>GRE0069</t>
  </si>
  <si>
    <t>GRE0074</t>
  </si>
  <si>
    <t>GRE0096</t>
  </si>
  <si>
    <t>GRE0097</t>
  </si>
  <si>
    <t>GRE0098</t>
  </si>
  <si>
    <t>GRE0118</t>
  </si>
  <si>
    <t>GRE0138</t>
  </si>
  <si>
    <t>GRE0143</t>
  </si>
  <si>
    <t>GRE0146</t>
  </si>
  <si>
    <t>GRE0149</t>
  </si>
  <si>
    <t>GRE0152</t>
  </si>
  <si>
    <t>GRE0165</t>
  </si>
  <si>
    <t>GRE0222</t>
  </si>
  <si>
    <t>GRE0250</t>
  </si>
  <si>
    <t>GRE0274</t>
  </si>
  <si>
    <t>GRE0286</t>
  </si>
  <si>
    <t>GRE0287</t>
  </si>
  <si>
    <t>GRE0290</t>
  </si>
  <si>
    <t>GRE0291</t>
  </si>
  <si>
    <t>GRE0292</t>
  </si>
  <si>
    <t>GRE0503</t>
  </si>
  <si>
    <t>GRE0504</t>
  </si>
  <si>
    <t>GRE0505</t>
  </si>
  <si>
    <t>GRE0506</t>
  </si>
  <si>
    <t>GRE0507</t>
  </si>
  <si>
    <t>GRE0508</t>
  </si>
  <si>
    <t>GRE0509</t>
  </si>
  <si>
    <t>GRE0510</t>
  </si>
  <si>
    <t>GRE0511</t>
  </si>
  <si>
    <t>GRE0512</t>
  </si>
  <si>
    <t>GRE0513</t>
  </si>
  <si>
    <t>GRE0514</t>
  </si>
  <si>
    <t>GRE0515</t>
  </si>
  <si>
    <t>GRE0516</t>
  </si>
  <si>
    <t>GRE0517</t>
  </si>
  <si>
    <t>GRE0518</t>
  </si>
  <si>
    <t>GRE0519</t>
  </si>
  <si>
    <t>GRE0520</t>
  </si>
  <si>
    <t>GRE0521</t>
  </si>
  <si>
    <t>GRE0522</t>
  </si>
  <si>
    <t>GRE0523</t>
  </si>
  <si>
    <t>GRE0524</t>
  </si>
  <si>
    <t>GRE0525</t>
  </si>
  <si>
    <t>GRE0526</t>
  </si>
  <si>
    <t>GRE0527</t>
  </si>
  <si>
    <t>GRE0528</t>
  </si>
  <si>
    <t>GRE0529</t>
  </si>
  <si>
    <t>GRE0530</t>
  </si>
  <si>
    <t>GRE0531</t>
  </si>
  <si>
    <t>GRE0532</t>
  </si>
  <si>
    <t>GRE0533</t>
  </si>
  <si>
    <t>GRE0534</t>
  </si>
  <si>
    <t>GRE0535</t>
  </si>
  <si>
    <t>GRE0536</t>
  </si>
  <si>
    <t>GRE0537</t>
  </si>
  <si>
    <t>GRE0538</t>
  </si>
  <si>
    <t>GRE0539</t>
  </si>
  <si>
    <t>GRE0540</t>
  </si>
  <si>
    <t>GRE0541</t>
  </si>
  <si>
    <t>GRE0542</t>
  </si>
  <si>
    <t>GRE0543</t>
  </si>
  <si>
    <t>GRE0544</t>
  </si>
  <si>
    <t>GRE0545</t>
  </si>
  <si>
    <t>GRE0546</t>
  </si>
  <si>
    <t>GRE0547</t>
  </si>
  <si>
    <t>GRE0548</t>
  </si>
  <si>
    <t>GRE0549</t>
  </si>
  <si>
    <t>GRE0550</t>
  </si>
  <si>
    <t>GRE0551</t>
  </si>
  <si>
    <t>GRE0552</t>
  </si>
  <si>
    <t>GRE0553</t>
  </si>
  <si>
    <t>GRE0554</t>
  </si>
  <si>
    <t>GRE0555</t>
  </si>
  <si>
    <t>GRE0556</t>
  </si>
  <si>
    <t>GRE0557</t>
  </si>
  <si>
    <t>GRE0558</t>
  </si>
  <si>
    <t>GRE0559</t>
  </si>
  <si>
    <t>GRE0560</t>
  </si>
  <si>
    <t>GRE0561</t>
  </si>
  <si>
    <t>GRE0562</t>
  </si>
  <si>
    <t>GRE0563</t>
  </si>
  <si>
    <t>GRE0564</t>
  </si>
  <si>
    <t>GRE0565</t>
  </si>
  <si>
    <t>GRE0566</t>
  </si>
  <si>
    <t>GRE0567</t>
  </si>
  <si>
    <t>GRE0568</t>
  </si>
  <si>
    <t>GRE0569</t>
  </si>
  <si>
    <t>GRE0570</t>
  </si>
  <si>
    <t>GRE0571</t>
  </si>
  <si>
    <t>GRE0572</t>
  </si>
  <si>
    <t>GRE0573</t>
  </si>
  <si>
    <t>GRE0574</t>
  </si>
  <si>
    <t>GRE0575</t>
  </si>
  <si>
    <t>GRE0576</t>
  </si>
  <si>
    <t>GRE0577</t>
  </si>
  <si>
    <t>GRE0578</t>
  </si>
  <si>
    <t>GRE0579</t>
  </si>
  <si>
    <t>GRE0580</t>
  </si>
  <si>
    <t>GRE0581</t>
  </si>
  <si>
    <t>GRE0582</t>
  </si>
  <si>
    <t>GRE0583</t>
  </si>
  <si>
    <t>GRE0584</t>
  </si>
  <si>
    <t>GRE0585</t>
  </si>
  <si>
    <t>GRE0586</t>
  </si>
  <si>
    <t>GRE0587</t>
  </si>
  <si>
    <t>GRE0588</t>
  </si>
  <si>
    <t>GRE0589</t>
  </si>
  <si>
    <t>GRE0590</t>
  </si>
  <si>
    <t>GRE0591</t>
  </si>
  <si>
    <t>HUN0049</t>
  </si>
  <si>
    <t>ITA1863</t>
  </si>
  <si>
    <t>ITA1879</t>
  </si>
  <si>
    <t>ITA1899</t>
  </si>
  <si>
    <t>ITA1909</t>
  </si>
  <si>
    <t>ITA1914</t>
  </si>
  <si>
    <t>ITA1916</t>
  </si>
  <si>
    <t>ITA1917</t>
  </si>
  <si>
    <t>ITA1921</t>
  </si>
  <si>
    <t>ITA1930</t>
  </si>
  <si>
    <t>ITA1947</t>
  </si>
  <si>
    <t>ITA1951</t>
  </si>
  <si>
    <t>ITA1965</t>
  </si>
  <si>
    <t>ITA1966</t>
  </si>
  <si>
    <t>ITA1970</t>
  </si>
  <si>
    <t>ITA1980</t>
  </si>
  <si>
    <t>ITA1990</t>
  </si>
  <si>
    <t>ITA1995</t>
  </si>
  <si>
    <t>ITA1997</t>
  </si>
  <si>
    <t>ITA2001</t>
  </si>
  <si>
    <t>ITA2007</t>
  </si>
  <si>
    <t>ITA2018</t>
  </si>
  <si>
    <t>ITA2019</t>
  </si>
  <si>
    <t>ITA2022</t>
  </si>
  <si>
    <t>ITA2033</t>
  </si>
  <si>
    <t>ITA2035</t>
  </si>
  <si>
    <t>ITA2036</t>
  </si>
  <si>
    <t>ITA2046</t>
  </si>
  <si>
    <t>ITA2048</t>
  </si>
  <si>
    <t>ITA2052</t>
  </si>
  <si>
    <t>ITA2056</t>
  </si>
  <si>
    <t>ITA2080</t>
  </si>
  <si>
    <t>ITA2081</t>
  </si>
  <si>
    <t>ITA2098</t>
  </si>
  <si>
    <t>ITA2113</t>
  </si>
  <si>
    <t>ITA2115</t>
  </si>
  <si>
    <t>ITA2116</t>
  </si>
  <si>
    <t>MLT0100</t>
  </si>
  <si>
    <t>POR0165</t>
  </si>
  <si>
    <t>POR0166</t>
  </si>
  <si>
    <t>POR0167</t>
  </si>
  <si>
    <t>POR0168</t>
  </si>
  <si>
    <t>POR0169</t>
  </si>
  <si>
    <t>POR0170</t>
  </si>
  <si>
    <t>POR0171</t>
  </si>
  <si>
    <t>POR0172</t>
  </si>
  <si>
    <t>POR0178</t>
  </si>
  <si>
    <t>POR0179</t>
  </si>
  <si>
    <t>POR0180</t>
  </si>
  <si>
    <t>POR0181</t>
  </si>
  <si>
    <t>POR0182</t>
  </si>
  <si>
    <t>POR0183</t>
  </si>
  <si>
    <t>POR0184</t>
  </si>
  <si>
    <t>POR0185</t>
  </si>
  <si>
    <t>POR0186</t>
  </si>
  <si>
    <t>POR0187</t>
  </si>
  <si>
    <t>POR0188</t>
  </si>
  <si>
    <t>POR0189</t>
  </si>
  <si>
    <t>POR0190</t>
  </si>
  <si>
    <t>POR0193</t>
  </si>
  <si>
    <t>SCO0059</t>
  </si>
  <si>
    <t>SCO0060</t>
  </si>
  <si>
    <t>SGP_P01</t>
  </si>
  <si>
    <t>SGP0001</t>
  </si>
  <si>
    <t>SGP0002</t>
  </si>
  <si>
    <t>SGP0003</t>
  </si>
  <si>
    <t>SGP0004</t>
  </si>
  <si>
    <t>SGP0005</t>
  </si>
  <si>
    <t>SGP0006</t>
  </si>
  <si>
    <t>SGP0007</t>
  </si>
  <si>
    <t>SGP0008</t>
  </si>
  <si>
    <t>SGP0009</t>
  </si>
  <si>
    <t>SGP0010</t>
  </si>
  <si>
    <t>SGP0011</t>
  </si>
  <si>
    <t>SGP0012</t>
  </si>
  <si>
    <t>SGP0013</t>
  </si>
  <si>
    <t>SGP0014</t>
  </si>
  <si>
    <t>SGP0015</t>
  </si>
  <si>
    <t>SGP0016</t>
  </si>
  <si>
    <t>SGP0017</t>
  </si>
  <si>
    <t>SGP0018</t>
  </si>
  <si>
    <t>SGP0019</t>
  </si>
  <si>
    <t>SGP0020</t>
  </si>
  <si>
    <t>SGP0021</t>
  </si>
  <si>
    <t>SGP0022</t>
  </si>
  <si>
    <t>SGP0023</t>
  </si>
  <si>
    <t>SGP0024</t>
  </si>
  <si>
    <t>SGP0025</t>
  </si>
  <si>
    <t>SGP0026</t>
  </si>
  <si>
    <t>SGP0027</t>
  </si>
  <si>
    <t>SGP0028</t>
  </si>
  <si>
    <t>SGP0029</t>
  </si>
  <si>
    <t>SGP0030</t>
  </si>
  <si>
    <t>SGP0031</t>
  </si>
  <si>
    <t>SGP0032</t>
  </si>
  <si>
    <t>SGP0033</t>
  </si>
  <si>
    <t>SGP0034</t>
  </si>
  <si>
    <t>SGP0035</t>
  </si>
  <si>
    <t>SGP0036</t>
  </si>
  <si>
    <t>SGP0037</t>
  </si>
  <si>
    <t>SGP0038</t>
  </si>
  <si>
    <t>SGP0039</t>
  </si>
  <si>
    <t>SGP0040</t>
  </si>
  <si>
    <t>SGP0041</t>
  </si>
  <si>
    <t>SGP0042</t>
  </si>
  <si>
    <t>SGP0043</t>
  </si>
  <si>
    <t>SGP0044</t>
  </si>
  <si>
    <t>SGP0045</t>
  </si>
  <si>
    <t>SGP0046</t>
  </si>
  <si>
    <t>SGP0047</t>
  </si>
  <si>
    <t>SGP0048</t>
  </si>
  <si>
    <t>SGP0049</t>
  </si>
  <si>
    <t>SGP0050</t>
  </si>
  <si>
    <t>SGP0051</t>
  </si>
  <si>
    <t>SGP0052</t>
  </si>
  <si>
    <t>SGP0053</t>
  </si>
  <si>
    <t>SGP0054</t>
  </si>
  <si>
    <t>SGP0055</t>
  </si>
  <si>
    <t>SGP0056</t>
  </si>
  <si>
    <t>SGP0057</t>
  </si>
  <si>
    <t>SGP0058</t>
  </si>
  <si>
    <t>SGP0059</t>
  </si>
  <si>
    <t>SGP0060</t>
  </si>
  <si>
    <t>SGP0061</t>
  </si>
  <si>
    <t>SGP0062</t>
  </si>
  <si>
    <t>SGP0063</t>
  </si>
  <si>
    <t>SGP0064</t>
  </si>
  <si>
    <t>SGP0065</t>
  </si>
  <si>
    <t>SGP0066</t>
  </si>
  <si>
    <t>SGP0067</t>
  </si>
  <si>
    <t>SGP0068</t>
  </si>
  <si>
    <t>SGP0069</t>
  </si>
  <si>
    <t>SGP0070</t>
  </si>
  <si>
    <t>SGP0071</t>
  </si>
  <si>
    <t>SGP0072</t>
  </si>
  <si>
    <t>SGP0073</t>
  </si>
  <si>
    <t>SGP0074</t>
  </si>
  <si>
    <t>SGP0075</t>
  </si>
  <si>
    <t>SGP0076</t>
  </si>
  <si>
    <t>SGP0077</t>
  </si>
  <si>
    <t>SGP0078</t>
  </si>
  <si>
    <t>SGP0079</t>
  </si>
  <si>
    <t>SGP0080</t>
  </si>
  <si>
    <t>SGP0082</t>
  </si>
  <si>
    <t>SGP0083</t>
  </si>
  <si>
    <t>SGP0084</t>
  </si>
  <si>
    <t>SGP0085</t>
  </si>
  <si>
    <t>SGP0086</t>
  </si>
  <si>
    <t>SGP0087</t>
  </si>
  <si>
    <t>SGP0088</t>
  </si>
  <si>
    <t>SGP0089</t>
  </si>
  <si>
    <t>SGP0090</t>
  </si>
  <si>
    <t>SGP0091</t>
  </si>
  <si>
    <t>SGP0092</t>
  </si>
  <si>
    <t>SGP0093</t>
  </si>
  <si>
    <t>SGP0094</t>
  </si>
  <si>
    <t>SGP0095</t>
  </si>
  <si>
    <t>SGP0096</t>
  </si>
  <si>
    <t>SGP0097</t>
  </si>
  <si>
    <t>SGP0098</t>
  </si>
  <si>
    <t>SGP0099</t>
  </si>
  <si>
    <t>SGP0100</t>
  </si>
  <si>
    <t>SGP0101</t>
  </si>
  <si>
    <t>SGP0102</t>
  </si>
  <si>
    <t>SGP0103</t>
  </si>
  <si>
    <t>SGP0104</t>
  </si>
  <si>
    <t>SGP0105</t>
  </si>
  <si>
    <t>SGP0106</t>
  </si>
  <si>
    <t>SGP0107</t>
  </si>
  <si>
    <t>SGP0108</t>
  </si>
  <si>
    <t>SGP0109</t>
  </si>
  <si>
    <t>SGP0110</t>
  </si>
  <si>
    <t>SGP0111</t>
  </si>
  <si>
    <t>SGP0112</t>
  </si>
  <si>
    <t>SGP0113</t>
  </si>
  <si>
    <t>SGP0114</t>
  </si>
  <si>
    <t>SGP0115</t>
  </si>
  <si>
    <t>SGP0116</t>
  </si>
  <si>
    <t>SGP0117</t>
  </si>
  <si>
    <t>SGP0118</t>
  </si>
  <si>
    <t>SGP0119</t>
  </si>
  <si>
    <t>SGP0120</t>
  </si>
  <si>
    <t>SGP0121</t>
  </si>
  <si>
    <t>SGP0122</t>
  </si>
  <si>
    <t>USA0040</t>
  </si>
  <si>
    <t>USA0145</t>
  </si>
  <si>
    <t>USA0365</t>
  </si>
  <si>
    <t>USA0370</t>
  </si>
  <si>
    <t>USA0371</t>
  </si>
  <si>
    <t>USA0375</t>
  </si>
  <si>
    <t>USA0376</t>
  </si>
  <si>
    <t>USA0377</t>
  </si>
  <si>
    <t>USA0385</t>
  </si>
  <si>
    <t>USA0386</t>
  </si>
  <si>
    <t>USA0388</t>
  </si>
  <si>
    <t>USA0389</t>
  </si>
  <si>
    <t>USA0392</t>
  </si>
  <si>
    <t>USA0393</t>
  </si>
  <si>
    <t>USA0394</t>
  </si>
  <si>
    <t>USA0395</t>
  </si>
  <si>
    <t>USA0396</t>
  </si>
  <si>
    <t>USA0397</t>
  </si>
  <si>
    <t>WAL0001</t>
  </si>
  <si>
    <t>WAL0002</t>
  </si>
  <si>
    <t>WAL0003</t>
  </si>
  <si>
    <t>WAL0005</t>
  </si>
  <si>
    <t>WAL0006</t>
  </si>
  <si>
    <t>WAL0009</t>
  </si>
  <si>
    <t>WAL0014</t>
  </si>
  <si>
    <t>WAL0015</t>
  </si>
  <si>
    <t>WAL0016</t>
  </si>
  <si>
    <t>WAL0021</t>
  </si>
  <si>
    <t>WAL0028</t>
  </si>
  <si>
    <t>WAL0029</t>
  </si>
  <si>
    <t>WAL0030</t>
  </si>
  <si>
    <t>WAL0031</t>
  </si>
  <si>
    <t>WAL0032</t>
  </si>
  <si>
    <t>WAL0035</t>
  </si>
  <si>
    <t>WAL0039</t>
  </si>
  <si>
    <t>SG Lions TFC</t>
  </si>
  <si>
    <t>Kebun Bahru TFC</t>
  </si>
  <si>
    <t>CHANTZARAS</t>
  </si>
  <si>
    <t>FRAGKAKIS</t>
  </si>
  <si>
    <t>COCO</t>
  </si>
  <si>
    <t>Gábor</t>
  </si>
  <si>
    <t>ANGELINAS</t>
  </si>
  <si>
    <t>VLACHOPOULOS</t>
  </si>
  <si>
    <t>Mohd Bolkiah</t>
  </si>
  <si>
    <t>SKORDAS</t>
  </si>
  <si>
    <t>PINTO</t>
  </si>
  <si>
    <t>EVELEIGH</t>
  </si>
  <si>
    <t>GKIOTLIS</t>
  </si>
  <si>
    <t>MPOUGIOURIS</t>
  </si>
  <si>
    <t>CREDENTINO</t>
  </si>
  <si>
    <t>LIAKOPOULOS</t>
  </si>
  <si>
    <t>PSOMIADIS</t>
  </si>
  <si>
    <t>TOKITA</t>
  </si>
  <si>
    <t>CONNOLLY</t>
  </si>
  <si>
    <t>GROSDENT</t>
  </si>
  <si>
    <t>FURINI</t>
  </si>
  <si>
    <t>VAN GLABEKE</t>
  </si>
  <si>
    <t>KASTELLANOS</t>
  </si>
  <si>
    <t>BUONO</t>
  </si>
  <si>
    <t>GKIOCHALAS</t>
  </si>
  <si>
    <t>TIMPANO</t>
  </si>
  <si>
    <t>POTHITOS</t>
  </si>
  <si>
    <t>SANCHEZ</t>
  </si>
  <si>
    <t>YOSHIMURA</t>
  </si>
  <si>
    <t>KALOGERAKOS</t>
  </si>
  <si>
    <t>MATABUENA</t>
  </si>
  <si>
    <t>Lauro</t>
  </si>
  <si>
    <t>MONTEIRO</t>
  </si>
  <si>
    <t>APATZIS</t>
  </si>
  <si>
    <t>KARAVAS</t>
  </si>
  <si>
    <t>BERLIAQUE</t>
  </si>
  <si>
    <t>GHIGLIOTTI</t>
  </si>
  <si>
    <t>GRANT</t>
  </si>
  <si>
    <t>BRUNELLI</t>
  </si>
  <si>
    <t>KOUTROUMANOS</t>
  </si>
  <si>
    <t>BARBARIS</t>
  </si>
  <si>
    <t>BENAVENT</t>
  </si>
  <si>
    <t>GIANTAIS</t>
  </si>
  <si>
    <t>WRIGHT</t>
  </si>
  <si>
    <t>Arjuna</t>
  </si>
  <si>
    <t>MAGERMANS</t>
  </si>
  <si>
    <t>PEREMANS</t>
  </si>
  <si>
    <t>LAZZARETTI</t>
  </si>
  <si>
    <t>PIROVA</t>
  </si>
  <si>
    <t>MALINDRETOS</t>
  </si>
  <si>
    <t>CYGANEK</t>
  </si>
  <si>
    <t>SKOUROS</t>
  </si>
  <si>
    <t>Apollon</t>
  </si>
  <si>
    <t>Nothing</t>
  </si>
  <si>
    <t>Vide</t>
  </si>
  <si>
    <t>4.8.1</t>
  </si>
  <si>
    <t>Venue upgrade</t>
  </si>
  <si>
    <t>TUN0002</t>
  </si>
  <si>
    <t>ISR0033</t>
  </si>
  <si>
    <t>Vlasov</t>
  </si>
  <si>
    <t>RUS0005</t>
  </si>
  <si>
    <t>Stéphanie</t>
  </si>
  <si>
    <t>Wright</t>
  </si>
  <si>
    <t>Cepa</t>
  </si>
  <si>
    <t>Costa Filho</t>
  </si>
  <si>
    <t>Couto</t>
  </si>
  <si>
    <t>Bradke</t>
  </si>
  <si>
    <t>Ousaklidis</t>
  </si>
  <si>
    <t>Balakakis</t>
  </si>
  <si>
    <t>Skouros</t>
  </si>
  <si>
    <t>Eleftheriou</t>
  </si>
  <si>
    <t>Tsitsarolis</t>
  </si>
  <si>
    <t>Pantelaras</t>
  </si>
  <si>
    <t>Kondylis</t>
  </si>
  <si>
    <t>Casati</t>
  </si>
  <si>
    <t>Rolle</t>
  </si>
  <si>
    <t>Tacchia</t>
  </si>
  <si>
    <t>Stanislai</t>
  </si>
  <si>
    <t>Furnari</t>
  </si>
  <si>
    <t>Palumbo</t>
  </si>
  <si>
    <t>Giovangiacomo</t>
  </si>
  <si>
    <t>Amabile</t>
  </si>
  <si>
    <t>Crisconio</t>
  </si>
  <si>
    <t>Capobianco</t>
  </si>
  <si>
    <t>Filardo</t>
  </si>
  <si>
    <t>Locci</t>
  </si>
  <si>
    <t>Matteucci</t>
  </si>
  <si>
    <t>Ubbiali</t>
  </si>
  <si>
    <t>Marziani</t>
  </si>
  <si>
    <t>Fiorillo</t>
  </si>
  <si>
    <t>Zenon</t>
  </si>
  <si>
    <t>Irène</t>
  </si>
  <si>
    <t>Gionata</t>
  </si>
  <si>
    <t>Giovanna</t>
  </si>
  <si>
    <t>BRA0109</t>
  </si>
  <si>
    <t>BRA0110</t>
  </si>
  <si>
    <t>BRA0111</t>
  </si>
  <si>
    <t>BRA0112</t>
  </si>
  <si>
    <t>BRA0113</t>
  </si>
  <si>
    <t>BRA0114</t>
  </si>
  <si>
    <t>FRA0169</t>
  </si>
  <si>
    <t>FRA0171</t>
  </si>
  <si>
    <t>FRA0174</t>
  </si>
  <si>
    <t>GER0136</t>
  </si>
  <si>
    <t>GRE0592</t>
  </si>
  <si>
    <t>GRE0593</t>
  </si>
  <si>
    <t>GRE0594</t>
  </si>
  <si>
    <t>GRE0595</t>
  </si>
  <si>
    <t>GRE0596</t>
  </si>
  <si>
    <t>GRE0597</t>
  </si>
  <si>
    <t>GRE0598</t>
  </si>
  <si>
    <t>GRE0599</t>
  </si>
  <si>
    <t>GRE0600</t>
  </si>
  <si>
    <t>GRE0601</t>
  </si>
  <si>
    <t>ITA1939</t>
  </si>
  <si>
    <t>ITA1996</t>
  </si>
  <si>
    <t>ITA2031</t>
  </si>
  <si>
    <t>ITA2034</t>
  </si>
  <si>
    <t>ITA2129</t>
  </si>
  <si>
    <t>ITA2140</t>
  </si>
  <si>
    <t>ITA2156</t>
  </si>
  <si>
    <t>ITA2159</t>
  </si>
  <si>
    <t>ITA2163</t>
  </si>
  <si>
    <t>ITA2165</t>
  </si>
  <si>
    <t>ITA2170</t>
  </si>
  <si>
    <t>ITA2173</t>
  </si>
  <si>
    <t>ITA2180</t>
  </si>
  <si>
    <t>ITA2181</t>
  </si>
  <si>
    <t>ITA2183</t>
  </si>
  <si>
    <t>ITA2186</t>
  </si>
  <si>
    <t>ITA2197</t>
  </si>
  <si>
    <t>ITA2198</t>
  </si>
  <si>
    <t>ITA2199</t>
  </si>
  <si>
    <t>ITA2213</t>
  </si>
  <si>
    <t>ITA2214</t>
  </si>
  <si>
    <t>ITA2217</t>
  </si>
  <si>
    <t>ITA2219</t>
  </si>
  <si>
    <t>ITA2224</t>
  </si>
  <si>
    <t>ITA2231</t>
  </si>
  <si>
    <t>ITA2232</t>
  </si>
  <si>
    <t>ITA2233</t>
  </si>
  <si>
    <t>ITA2240</t>
  </si>
  <si>
    <t>ITA2243</t>
  </si>
  <si>
    <t>ITA2246</t>
  </si>
  <si>
    <t>ITA2248</t>
  </si>
  <si>
    <t>ITA2254</t>
  </si>
  <si>
    <t>ITA2255</t>
  </si>
  <si>
    <t>ITA2267</t>
  </si>
  <si>
    <t>ITA2279</t>
  </si>
  <si>
    <t>CT Paola</t>
  </si>
  <si>
    <t>Subbuteo Verona 2016</t>
  </si>
  <si>
    <t>Rd</t>
  </si>
  <si>
    <t>Tr</t>
  </si>
  <si>
    <t>Andrey</t>
  </si>
  <si>
    <t>RUS0006</t>
  </si>
  <si>
    <t>TSC Phoenix</t>
  </si>
  <si>
    <t>Kaegan</t>
  </si>
  <si>
    <t>Yannik</t>
  </si>
  <si>
    <t>Maria Joao</t>
  </si>
  <si>
    <t>Sebastián</t>
  </si>
  <si>
    <t>Bodo</t>
  </si>
  <si>
    <t>4.8.2</t>
  </si>
  <si>
    <t>M1 3A - 12B</t>
  </si>
  <si>
    <t>M2 4A - 14B</t>
  </si>
  <si>
    <t>M3 5A - 11B</t>
  </si>
  <si>
    <t>M4 6A - 13B</t>
  </si>
  <si>
    <t>M5 7A - 9B</t>
  </si>
  <si>
    <t>M6 8A - 10B</t>
  </si>
  <si>
    <t>M7 9A - 7B</t>
  </si>
  <si>
    <t>M8 10A - 8B</t>
  </si>
  <si>
    <t>M9 11A - 5B</t>
  </si>
  <si>
    <t>M10 12A - 6B</t>
  </si>
  <si>
    <t>M11 13A - 3B</t>
  </si>
  <si>
    <t>M12 14A - 4B</t>
  </si>
  <si>
    <t>M13 15A - 1B</t>
  </si>
  <si>
    <t>Nation</t>
  </si>
  <si>
    <t>Classement</t>
  </si>
  <si>
    <t>Rk.</t>
  </si>
  <si>
    <t>Cl.</t>
  </si>
  <si>
    <t>Phase</t>
  </si>
  <si>
    <t>Num. Match</t>
  </si>
  <si>
    <t>Match No</t>
  </si>
  <si>
    <t>Tempo</t>
  </si>
  <si>
    <t>Tavolo</t>
  </si>
  <si>
    <t>Tavoli</t>
  </si>
  <si>
    <t>Arbitro</t>
  </si>
  <si>
    <t>Nome Squadra</t>
  </si>
  <si>
    <t>Cognome</t>
  </si>
  <si>
    <t>Giocatori della Squadra</t>
  </si>
  <si>
    <t>Tavolo N°</t>
  </si>
  <si>
    <t>Sorteggio</t>
  </si>
  <si>
    <t>Giocatori</t>
  </si>
  <si>
    <t>Punti</t>
  </si>
  <si>
    <t>Partite giocate</t>
  </si>
  <si>
    <t>Pareggi</t>
  </si>
  <si>
    <t>Goal Fatti</t>
  </si>
  <si>
    <t xml:space="preserve">Goal Subiti </t>
  </si>
  <si>
    <t>Squadre</t>
  </si>
  <si>
    <t>Incontro Perso</t>
  </si>
  <si>
    <t>Goal totali</t>
  </si>
  <si>
    <t>Vincitore</t>
  </si>
  <si>
    <t>Eliminato</t>
  </si>
  <si>
    <t>Qualificato</t>
  </si>
  <si>
    <t>Girone</t>
  </si>
  <si>
    <t>secondo del girone</t>
  </si>
  <si>
    <t>secondo del ranking</t>
  </si>
  <si>
    <t>terzo del girone</t>
  </si>
  <si>
    <t>terzo del ranking</t>
  </si>
  <si>
    <t>Finale 3-4 Posto</t>
  </si>
  <si>
    <t>Semifinale</t>
  </si>
  <si>
    <t>Ottavi</t>
  </si>
  <si>
    <t>Sedicesimi</t>
  </si>
  <si>
    <t>Trentaduesimi</t>
  </si>
  <si>
    <t>Sessantaquattresimi</t>
  </si>
  <si>
    <t>last 128</t>
  </si>
  <si>
    <t>last 256</t>
  </si>
  <si>
    <t>primo turno</t>
  </si>
  <si>
    <t>Barrages</t>
  </si>
  <si>
    <t>Differenze particolari</t>
  </si>
  <si>
    <t>terzo posto</t>
  </si>
  <si>
    <t>diff</t>
  </si>
  <si>
    <t>evento</t>
  </si>
  <si>
    <t>stage</t>
  </si>
  <si>
    <t>Fase di gioco</t>
  </si>
  <si>
    <t>Nome</t>
  </si>
  <si>
    <t>N° FISTF</t>
  </si>
  <si>
    <t>Categoria</t>
  </si>
  <si>
    <t>Nome Evento</t>
  </si>
  <si>
    <t>Nazionalità</t>
  </si>
  <si>
    <t>Nome Club</t>
  </si>
  <si>
    <t>Abbreviazione</t>
  </si>
  <si>
    <t>inserire le celle superiori</t>
  </si>
  <si>
    <t>Lista Club</t>
  </si>
  <si>
    <t>Inserisci una riga: copia una riga a squadra e premi "Fare clic destro&gt; Inserisci celle copiate" su una linea di squadra esistente</t>
  </si>
  <si>
    <t>Numero dei giocatori della squadra</t>
  </si>
  <si>
    <t>Massimo numero dei giocatori della squadra</t>
  </si>
  <si>
    <t>Giocatore 1</t>
  </si>
  <si>
    <t>Giocatore 2</t>
  </si>
  <si>
    <t>Squadra 1</t>
  </si>
  <si>
    <t>Squadra 2</t>
  </si>
  <si>
    <t>Incontri a squadra con tiri piazzati</t>
  </si>
  <si>
    <t>incontri individuali con tiri piazzati</t>
  </si>
  <si>
    <t>incontri doppi con tiri piazzati</t>
  </si>
  <si>
    <t>Girone da 3</t>
  </si>
  <si>
    <t>Girone da 4</t>
  </si>
  <si>
    <t>Girone da 5</t>
  </si>
  <si>
    <t>Girone da 6</t>
  </si>
  <si>
    <t>Girone da 7</t>
  </si>
  <si>
    <t>Girone da 8</t>
  </si>
  <si>
    <t>Girone da 9</t>
  </si>
  <si>
    <t>Girone da 10</t>
  </si>
  <si>
    <t>Girone da 11</t>
  </si>
  <si>
    <t>Girone da 12</t>
  </si>
  <si>
    <t>Girone da 13</t>
  </si>
  <si>
    <t>Girone da 14</t>
  </si>
  <si>
    <t>Girone da 15</t>
  </si>
  <si>
    <t>Girone da 16</t>
  </si>
  <si>
    <t>Girone da 17</t>
  </si>
  <si>
    <t>Girone da 18</t>
  </si>
  <si>
    <t>Girone da 19</t>
  </si>
  <si>
    <t>Girone da 20</t>
  </si>
  <si>
    <t xml:space="preserve">Girone da 6 con auto arbitraggio </t>
  </si>
  <si>
    <t>Messaggio di errore nello score del match selezionato</t>
  </si>
  <si>
    <t>Messaggio per pari nel girone</t>
  </si>
  <si>
    <t>Ritardo tra 2 partite nel girone</t>
  </si>
  <si>
    <t>Ritardo tra due matches selezionati</t>
  </si>
  <si>
    <t>Ordine</t>
  </si>
  <si>
    <t>Criteri</t>
  </si>
  <si>
    <t>Criteri prima di differenze particolari</t>
  </si>
  <si>
    <t>Particolari differenze nel caso di parità nei criteri previsti</t>
  </si>
  <si>
    <t>Criteri dopo differenze particolari</t>
  </si>
  <si>
    <t>Calcolo del ranking individuale</t>
  </si>
  <si>
    <t>Calcolo del Ranking a squadre</t>
  </si>
  <si>
    <t>Differenza Gol</t>
  </si>
  <si>
    <t>Incontri Vinti</t>
  </si>
  <si>
    <t>Miglior Attacco</t>
  </si>
  <si>
    <t>Risultato incontro tra due a pari punti</t>
  </si>
  <si>
    <t>Differenza goal tra due pari punti</t>
  </si>
  <si>
    <t>Miglior attacco tra due pari punti</t>
  </si>
  <si>
    <t>Differenza vittorie tra due pari punti</t>
  </si>
  <si>
    <t>Miglior vittorie tra due pari punti</t>
  </si>
  <si>
    <t>Differenza Incontro</t>
  </si>
  <si>
    <t>Differenza Vittorie</t>
  </si>
  <si>
    <t>Più match vinti</t>
  </si>
  <si>
    <t>Vinte</t>
  </si>
  <si>
    <t>Lingua</t>
  </si>
  <si>
    <t>Inserisci riga in questa area</t>
  </si>
  <si>
    <t>Foglio per la stampa del tabellone per team.
Incolla a sinistra le righe dei turni fino a 20.
La riga numero 6 deve essere la prima linea
Il numero di riga 126 deve essere vuoto
Nessuna linea vuota tra due righe di partita</t>
  </si>
  <si>
    <t>Categoria dell'evento</t>
  </si>
  <si>
    <t>Definizione di un nuovo evento invidivuale</t>
  </si>
  <si>
    <t>Definizione di un nuovo evento a squadre</t>
  </si>
  <si>
    <t>Definizione di un nuovo evento per doppia</t>
  </si>
  <si>
    <t>Definizione di un nuovo evento individuale basato sulle formule della competizione</t>
  </si>
  <si>
    <t>Definizione di un nuovo evento a squadre basato sulle formule della competizione</t>
  </si>
  <si>
    <t>Definizione di un nuovo evento per doppio basato sulle formule della competizione</t>
  </si>
  <si>
    <t>Definizione di un nuovo evento individuale basato sulle formule della competizione (ufficiali o no)</t>
  </si>
  <si>
    <t>Definizione di un nuovo evento a squadre basato sulle formule della competizione (ufficiali o no)</t>
  </si>
  <si>
    <t>Definizione di un nuovo evento per doppio basato sulle formule della competizione (ufficiali o no)</t>
  </si>
  <si>
    <t>Nome dell'evento</t>
  </si>
  <si>
    <t>Gruppi di 3</t>
  </si>
  <si>
    <t>Gruppi di 4</t>
  </si>
  <si>
    <t>Gruppi di 5</t>
  </si>
  <si>
    <t>Gruppi di 6</t>
  </si>
  <si>
    <t>Gruppi di 7</t>
  </si>
  <si>
    <t>Gruppi di 8</t>
  </si>
  <si>
    <t>Gruppi di 9</t>
  </si>
  <si>
    <t>Gruppi di 10</t>
  </si>
  <si>
    <t>Gruppi di 11</t>
  </si>
  <si>
    <t>Gruppi di 12</t>
  </si>
  <si>
    <t>Gruppi di 13</t>
  </si>
  <si>
    <t>Gruppi di 14</t>
  </si>
  <si>
    <t>Gruppi di 15</t>
  </si>
  <si>
    <t>Gruppi di 16</t>
  </si>
  <si>
    <t>Gruppi di 17</t>
  </si>
  <si>
    <t>Gruppi di 18</t>
  </si>
  <si>
    <t>Gruppi di 19</t>
  </si>
  <si>
    <t>Gruppi di 20</t>
  </si>
  <si>
    <t>Eliminazione diretta</t>
  </si>
  <si>
    <t>Fase Finale</t>
  </si>
  <si>
    <t>Numero di incontri</t>
  </si>
  <si>
    <t>Numero di giocatori pre qualificati</t>
  </si>
  <si>
    <t>Tiri piazzati</t>
  </si>
  <si>
    <t>ottavi</t>
  </si>
  <si>
    <t>finale</t>
  </si>
  <si>
    <t>valido</t>
  </si>
  <si>
    <t>Il Nome dell'evento è già in uso in un'altra pagina</t>
  </si>
  <si>
    <t>Il valore non è numerico</t>
  </si>
  <si>
    <t>Uscita</t>
  </si>
  <si>
    <t>Modulo per nuovo evento individuale</t>
  </si>
  <si>
    <t>modulo per nuovo evento a squadre</t>
  </si>
  <si>
    <t>modulo per nuovo evento doppio</t>
  </si>
  <si>
    <t>Modulo per nuovo evento individuale con formula</t>
  </si>
  <si>
    <t>Modulo per nuovo evento a squadre con formula</t>
  </si>
  <si>
    <t>Modulo per nuovo evento doppia con formula</t>
  </si>
  <si>
    <t>Modulo per nuovo evento individuale con formula (ufficiale o no)</t>
  </si>
  <si>
    <t>Modulo per nuovo evento a squadre con formula (ufficiale o no)</t>
  </si>
  <si>
    <t>Modulo per nuovo evento doppia con formula (ufficiale o no)</t>
  </si>
  <si>
    <t>Numero di giocatori presenti</t>
  </si>
  <si>
    <t>Gironi di</t>
  </si>
  <si>
    <t>3 Giocatori</t>
  </si>
  <si>
    <t>4 Giocatori</t>
  </si>
  <si>
    <t>5 Giocatori</t>
  </si>
  <si>
    <t>6 Giocatori</t>
  </si>
  <si>
    <t>7 Giocatori</t>
  </si>
  <si>
    <t>8 Giocatori</t>
  </si>
  <si>
    <t>9 Giocatori</t>
  </si>
  <si>
    <t>10 Giocatori</t>
  </si>
  <si>
    <t>nascondi</t>
  </si>
  <si>
    <t>Sessione numero</t>
  </si>
  <si>
    <t>Durata</t>
  </si>
  <si>
    <t>Turno</t>
  </si>
  <si>
    <t>La pagina del match già esiste. Questa azione cancellerà la pagina e la crea nuovamente. Vuoi continuare?</t>
  </si>
  <si>
    <t>Fine della giornata</t>
  </si>
  <si>
    <t>Niente selezionato</t>
  </si>
  <si>
    <t>La tua selezione non corrisponde esclusivamente alle righe dei match</t>
  </si>
  <si>
    <t>La sezione deve avere solo un'area continua e deve essere dentro una sessione</t>
  </si>
  <si>
    <t>Per favore, compilare il numero della sessione</t>
  </si>
  <si>
    <t>Numero della sessione errato! Il numero di sessione deve essere tra 1 e</t>
  </si>
  <si>
    <t>La tua selezione è all'inizio dei turni e non può essere spostata.</t>
  </si>
  <si>
    <t>La selezione è nella sezione 1 e, ovviamente, non può essere spostata in una sessione precedente. Prima, crea una nuova sessione prima della sessione 1</t>
  </si>
  <si>
    <t>La tua selezione è nell'ultima sessione dei turni e non può essere posticipata. Tu puoi creare una nuova sessione.</t>
  </si>
  <si>
    <t>Errore di Sistema: una cella nascosta "Tipo di Match" contiene un tipo sconosciuto di codice. Contatta l'assistenza. Prova a cancellare o ricreare i matches corrispondenti.</t>
  </si>
  <si>
    <t>Errore di sistema: una squadra o una doppia partita non contiene tutte le partite individuali. Alcune righe potrebbero essere state eliminate in modo casuale. Contatta il supporto. Provare a eliminare / ricreare i matches corrispondenti</t>
  </si>
  <si>
    <t>Completa il database dei giocatori e dei club.</t>
  </si>
  <si>
    <t>Controllare la registrazione e la partecipazione dei giocatori.</t>
  </si>
  <si>
    <t>Definisci i parametri della competizione</t>
  </si>
  <si>
    <t>Se necessario, definisci squadre dell'evento</t>
  </si>
  <si>
    <t>Se necessario, definisci doppie partite per l'evento</t>
  </si>
  <si>
    <t>Controlla lista di giocatori, squadre ed arbitri</t>
  </si>
  <si>
    <t>Crea uno o più eventi</t>
  </si>
  <si>
    <t>foglio di lavoro</t>
  </si>
  <si>
    <t>mostra</t>
  </si>
  <si>
    <t>individuali</t>
  </si>
  <si>
    <t>squadre</t>
  </si>
  <si>
    <t>Doppie</t>
  </si>
  <si>
    <t xml:space="preserve">Completa pagine dell'evento compilando la posizione nei gruppi dei giocatori (o nella prima fase ad eliminazione se non ci sono gironi). In caso di partite dirette con gironi, digitare tipo di formula per i matches della prima fase eliminatoria basondosi sui turni precedenti. In caso di tiri piazzati, tu devi selezione i giocatori di ogni match nella pagina eventi e non nei turni. </t>
  </si>
  <si>
    <t>Adatta i turni muovendo le partite tra le differenti sessioni. Durante l'evento, gli arbitri, i tavoli ed i risultati vanno compilati SOLO nella pagina dei turni. In caso di partita a squadra o doppia, i giocatori vanno anche compilati nella pagina dei turni.</t>
  </si>
  <si>
    <t>Versione</t>
  </si>
  <si>
    <t>Licenza Giocatore Database</t>
  </si>
  <si>
    <t>Database Club</t>
  </si>
  <si>
    <t>Check in Giocatore</t>
  </si>
  <si>
    <t>Check in Squadra</t>
  </si>
  <si>
    <t>Check in Doppia</t>
  </si>
  <si>
    <t>Lista dei giocatori dopo Check in</t>
  </si>
  <si>
    <t xml:space="preserve">Attenzione, non fare modifiche in questa pagina! </t>
  </si>
  <si>
    <t>La lista ha solo 2 membri. Non si può cancellare.</t>
  </si>
  <si>
    <t>La selezione è più di una riga. La funzione cancella è utilizzabile solo per una riga.</t>
  </si>
  <si>
    <t>La selezione non è un rigo cancellabile.</t>
  </si>
  <si>
    <t>Numero di righi da aggiungere è oltre uno.</t>
  </si>
  <si>
    <t>codice FISTF nazionale.</t>
  </si>
  <si>
    <t>Utilizza la nazionalità invece del club per il nome del giocatore. Ex. John Beem (ANG)</t>
  </si>
  <si>
    <t>ordina per nome</t>
  </si>
  <si>
    <t>valida registrazione</t>
  </si>
  <si>
    <t>Il numero massimo di giocatori è 128</t>
  </si>
  <si>
    <t>Il numero massimo di giocatori è 128 quando l'evento è basato su gruppi di 3.</t>
  </si>
  <si>
    <t>Il numero minimo di giocatori è 3 quando l'evento è su gruppi di 3</t>
  </si>
  <si>
    <t>Il numero minimo di giocatori è 4 quando l'evento è su gruppi di 4</t>
  </si>
  <si>
    <t>Il numero minimo di giocatori è 5 quando l'evento è su gruppi di 5</t>
  </si>
  <si>
    <t>Il numero minimo di giocatori è 6 quando l'evento è su gruppi di 6</t>
  </si>
  <si>
    <t>Il numero minimo di giocatori è 7 quando l'evento è su gruppi di 7</t>
  </si>
  <si>
    <t>Il numero minimo di giocatori è 8 quando l'evento è su gruppi di 8</t>
  </si>
  <si>
    <t>Il numero minimo di giocatori è 9 quando l'evento è su gruppi di 9</t>
  </si>
  <si>
    <t>Il numero minimo di giocatori è 10 quando l'evento è su gruppi di 10</t>
  </si>
  <si>
    <t>Formula competizione FISTF</t>
  </si>
  <si>
    <t>Organizza partite con principalmente gruppi di 3</t>
  </si>
  <si>
    <t>Organizza partite con principalmente gruppi di 4</t>
  </si>
  <si>
    <t>Organizza partite con principalmente gruppi di 5</t>
  </si>
  <si>
    <t>Organizza partite con principalmente gruppi di 6</t>
  </si>
  <si>
    <t>Organizza partite con principalmente gruppi di 7</t>
  </si>
  <si>
    <t>Organizza partite con principalmente gruppi di 8</t>
  </si>
  <si>
    <t>Organizza partite con principalmente gruppi di 9</t>
  </si>
  <si>
    <t>Organizza partite con principalmente gruppi di 10</t>
  </si>
  <si>
    <t>Formula della partita</t>
  </si>
  <si>
    <t>Giocatori Qualificati</t>
  </si>
  <si>
    <t>Nb Barrages</t>
  </si>
  <si>
    <t>Nb Ultimi giocatori</t>
  </si>
  <si>
    <t>Nb Giocatori</t>
  </si>
  <si>
    <t>Nb Gruppi di …</t>
  </si>
  <si>
    <t>Totali Nb Gruppi</t>
  </si>
  <si>
    <t>Completo</t>
  </si>
  <si>
    <t>Errore di Sistema: Formula della partita non trovata. Contatta il supporto.</t>
  </si>
  <si>
    <t>Non puoi cancellare le ultime due sessioni.</t>
  </si>
  <si>
    <t>Il nome dell'evento è obbligatorio, per favore inseriscilo.</t>
  </si>
  <si>
    <t>Basato sulle guideline per FISTF ttornei.</t>
  </si>
  <si>
    <t>Composizione libera della formula del torneo.</t>
  </si>
  <si>
    <t>Non formula ufficiale di competizione</t>
  </si>
  <si>
    <t>Scegli tra formula ufficiale o non ufficiale, ma con un grande margine</t>
  </si>
  <si>
    <t>Il numero massimo di formule diverse per un determinato numero di giocatori è stato superato. Modificare quindi il foglio di "CompetitionFormulas".</t>
  </si>
  <si>
    <t>Massimo Nb Goals</t>
  </si>
  <si>
    <t>Perdente</t>
  </si>
  <si>
    <t>Punteggio massimo</t>
  </si>
  <si>
    <t>Applicabile</t>
  </si>
  <si>
    <t>Ranking Giocatori</t>
  </si>
  <si>
    <t>Lista dei giocatori qualificati</t>
  </si>
  <si>
    <t>Criterio del ranking giocatori</t>
  </si>
  <si>
    <t>Numero di punti nel ranking</t>
  </si>
  <si>
    <t>Il file selezionato non corrisponde al file FISTF world ranking. Se è il FISTF WR file è possibile che il formato del file sia cambiato; in questo caso è necessario aggiornare con la funzione importo di GMFT e contatta il GMFT supporto.</t>
  </si>
  <si>
    <t>Il file selezionato non corrisponde a un file GMFT Score. Se è un file GMFT Score, è possibile che il formato del file sia cambiato nonostante le protezioni proibiscono altre modificazioni dopo la registrazioni dei punteggi.</t>
  </si>
  <si>
    <t>Numero Totale di giocatori</t>
  </si>
  <si>
    <t>Numero totale di righe ranking.</t>
  </si>
  <si>
    <t>Importa FISTF ranking file</t>
  </si>
  <si>
    <t xml:space="preserve">Usa il FISTF WR come lista dei giocatori (usa la pagina checkin come lista giocatori). </t>
  </si>
  <si>
    <t>Data di Nascita non autorizzata</t>
  </si>
  <si>
    <t>La tua selezione deve avere solo una riga!</t>
  </si>
  <si>
    <t>La tua selezione non è un rigo di sessione (la prima sessione non può essere usata).</t>
  </si>
  <si>
    <t>Inserisci prima/cancella sessione selezionata</t>
  </si>
  <si>
    <t>Aggiungi / Cancella ultima sessione</t>
  </si>
  <si>
    <t>Muovi o cancella partite selezionate</t>
  </si>
  <si>
    <t>Muovi partite selezionate: Prima/Dopo sessione</t>
  </si>
  <si>
    <t>Copia risultati e non valida</t>
  </si>
  <si>
    <t>Copia risultati e valida</t>
  </si>
  <si>
    <t>Cancella partite obsolate</t>
  </si>
  <si>
    <t>Blocca foglio per evitare errori di manipolazione</t>
  </si>
  <si>
    <t>Sostituto</t>
  </si>
  <si>
    <t>Codice sostituto per partite a squadre</t>
  </si>
  <si>
    <t>Nb arbitri partite</t>
  </si>
  <si>
    <t>Questa lista ti consente di adattare l"elenco dei valori" disponibili nei campi dell'arbitro del foglio dei turni per un utilizzo più semplice.</t>
  </si>
  <si>
    <t>Usa filtri di sotto per creare lista arbitri (i filtri non hanno effetti)</t>
  </si>
  <si>
    <t>Puoi cancellare o aggiungere qualche caratteristiche dal criterio nb1 a 4</t>
  </si>
  <si>
    <t>Quando convalidi la lista partecipanti dalla pagina "checkin", questa lista è completamente cancellata e ricreata e i tuoi criteri sono tutti soppressi</t>
  </si>
  <si>
    <t>Lista arbitri da usare nei turni</t>
  </si>
  <si>
    <t>Tuoi criteri</t>
  </si>
  <si>
    <t>Adatta i tuoi turni e compila i punteggi direttamente nei turni</t>
  </si>
  <si>
    <t>Adatta la lista arbitraggio per le tue necessità</t>
  </si>
  <si>
    <t>Mostra o nascondi pagina disegno</t>
  </si>
  <si>
    <t>Mostra o stampa i tuoi turni dei giocatori</t>
  </si>
  <si>
    <t>Consulta le statische dei giocatori</t>
  </si>
  <si>
    <t>Esporta dati per GMFT Web Site</t>
  </si>
  <si>
    <t>Invia i risultati dopo il torneo</t>
  </si>
  <si>
    <t>Stampa i risultati</t>
  </si>
  <si>
    <t>Benvenuto in GMFT</t>
  </si>
  <si>
    <t>Questo software è fornito così come è ed è gratuito. Il software non è garantito. L'autore, Roger Trouillard, non è responsabile di qualsiasi danno durante l'uso di questo software.</t>
  </si>
  <si>
    <t>La passione del calcio da tavolo</t>
  </si>
  <si>
    <t>Benvenuto in GMFT lo strumento per gestire i Tornei di Calcio da Tavolo</t>
  </si>
  <si>
    <t>Visualizza e sposta le interruzioni di pagina prima di stampare.</t>
  </si>
  <si>
    <t>Inizia Stampa</t>
  </si>
  <si>
    <t>Visione Normale</t>
  </si>
  <si>
    <t>Data del Torneo</t>
  </si>
  <si>
    <t>Nascondi la vista della formula dei giocatori senza punteggio</t>
  </si>
  <si>
    <t>Esporta Turni</t>
  </si>
  <si>
    <t>Esporta Gironi</t>
  </si>
  <si>
    <t>Esporta Statistiche</t>
  </si>
  <si>
    <t>Esporta Risultati</t>
  </si>
  <si>
    <t>Esporta dettagli delle partite</t>
  </si>
  <si>
    <t>Genera punteggi</t>
  </si>
  <si>
    <t>Esporta la prima sessione dei turni</t>
  </si>
  <si>
    <t>Inizia sessione</t>
  </si>
  <si>
    <t>Esporta numero di sessione dei turni</t>
  </si>
  <si>
    <t>numero di sessione</t>
  </si>
  <si>
    <t>Parametri di esportazione Web Site</t>
  </si>
  <si>
    <t>Esporta parametri per web site</t>
  </si>
  <si>
    <t>esporta parametri per i turni</t>
  </si>
  <si>
    <t>Parametri di esportazione dei turni</t>
  </si>
  <si>
    <t>Esporta parametri risultati</t>
  </si>
  <si>
    <t>Parametri per esportare risultati</t>
  </si>
  <si>
    <t>Parametri di esportazione dei punteggi</t>
  </si>
  <si>
    <t>Esporta parametri per punteggi</t>
  </si>
  <si>
    <t>Esporta parametri per fogli di punteggio</t>
  </si>
  <si>
    <t>Parametri per esportare fogli di punteggio</t>
  </si>
  <si>
    <t>Modulo di check-in individuale</t>
  </si>
  <si>
    <t>Modulo Check-in</t>
  </si>
  <si>
    <t>Parametri di scelta per gli arbitri</t>
  </si>
  <si>
    <t>Seleziona arbitri</t>
  </si>
  <si>
    <t>Inizia il numero di sessione</t>
  </si>
  <si>
    <t>Percorso della directory di GMFT Web Site</t>
  </si>
  <si>
    <t>Numero di sessioni da esportare</t>
  </si>
  <si>
    <t>Esporta partite individuali per risultati a squadre</t>
  </si>
  <si>
    <t>Filtri</t>
  </si>
  <si>
    <t>Modello di fase</t>
  </si>
  <si>
    <t>Modello dei tavoli</t>
  </si>
  <si>
    <t>Modello dei giocatori o delle squadre</t>
  </si>
  <si>
    <t>Modelli da trovare nei valori delle celle. Per i giocatori e le squadre, il filtro si applica al giocatore 1, al giocatore2 e all'arbitro. Caso non influente</t>
  </si>
  <si>
    <t>Numero di sessioni non valide</t>
  </si>
  <si>
    <t>Valore predefinito dell'indicatore di esportazione dei singoli giocatori per i risultati della squadra</t>
  </si>
  <si>
    <t>Pagina punti</t>
  </si>
  <si>
    <t>sostituto</t>
  </si>
  <si>
    <t>Nessuno evento creato prima della stampa</t>
  </si>
  <si>
    <t>Funziona non ancora a disposizione</t>
  </si>
  <si>
    <t>Modalità di Calcolo</t>
  </si>
  <si>
    <t>Cancella questa pagina</t>
  </si>
  <si>
    <t>Il file selezionato non è un file di licenza FISTF. Se è un file di licenza FISTF, è possibile che il formato di file sia cambiato; in questo caso è necessario aggiornare la funzione di importazione del GMFT e quindi contattare il supporto GMFT.</t>
  </si>
  <si>
    <t>Il numero di righe dell'Elenco Club è inferiore al numero di club nell'elenco FISTF. Aumenta il numero di righe dell'elenco GMFT Club a:</t>
  </si>
  <si>
    <t>Il numero di righe dell'Elenco dei Giocatori è inferiore al numero di club nell'elenco FISTF. Aumenta il numero di righe dell'elenco GMFT Club a:</t>
  </si>
  <si>
    <t>Totale numero di club</t>
  </si>
  <si>
    <t>Totale numero di righe nella lista club</t>
  </si>
  <si>
    <t>Totale numero dei giocatori</t>
  </si>
  <si>
    <t>Totale numero di righe nella lista giocatori</t>
  </si>
  <si>
    <t>Importa file FISTF Clubs</t>
  </si>
  <si>
    <t>Importa file giocatori FISTF</t>
  </si>
  <si>
    <t>Seleziona gli eventi scoresheet FISTF dai file modello</t>
  </si>
  <si>
    <t>Seleziona il file del ranking FISTF</t>
  </si>
  <si>
    <t>Selezione il file delle licenze FISTF</t>
  </si>
  <si>
    <t>Seleziona i nomi dei file dei Scoresheet della FISTF dell'evento</t>
  </si>
  <si>
    <t>Selezione file dei risultati</t>
  </si>
  <si>
    <t>I file selezionati non costituiscono un file di modello FISTF. Se è in realtà un file di scorrimento FISTF, è possibile che il formato di file sia cambiato; in questo caso è necessario aggiornare la funzione di esportazione del GMFT e quindi contattare il supporto GMFT.</t>
  </si>
  <si>
    <t>Non mostrare questa conferma la prossima volta</t>
  </si>
  <si>
    <t>Questa azione salverà tutti i file excel aperti senza conferma. Vuoi continuare?</t>
  </si>
  <si>
    <t>Errore nella chiamata di sottoprogramma Check Referee; la selezione non è una cella arbitro del foglio di pianificazione.</t>
  </si>
  <si>
    <t>Questo arbitro è un giocatore dello stesso girone</t>
  </si>
  <si>
    <t>Questo arbrito prende parte come giocatore in questo stage</t>
  </si>
  <si>
    <t>Questo arbitro è un membro dello stesso club del giocatore 1</t>
  </si>
  <si>
    <t>Questo arbitro è un membro dello stesso club del giocatore 2</t>
  </si>
  <si>
    <t>Questo arbitro ha la stessa nazionalità dell'arbitro 1</t>
  </si>
  <si>
    <t>Questo arbitro ha la stessa nazionalità dell'arbitro 2</t>
  </si>
  <si>
    <t>Rapporto dell'arbitro</t>
  </si>
  <si>
    <t>Attivazione dei controlli durante la scelta dell'arbitro nel planning</t>
  </si>
  <si>
    <t>Arbitro nello stesso girone di uno dei giocatori</t>
  </si>
  <si>
    <t>Arbitro dello stesso club di uno dei giocatori</t>
  </si>
  <si>
    <t>arbitro con la stessa nazionalità di uno dei giocatori</t>
  </si>
  <si>
    <t>arbitro dello stesso club di uno dei giocatori del girone</t>
  </si>
  <si>
    <t>arbitro della stessa nazionalità di uno dei giocatori del girone</t>
  </si>
  <si>
    <t>questo arbitro è dello stesso club di uno dei giocatori del girone</t>
  </si>
  <si>
    <t>Salva tutti i file Excel aperti</t>
  </si>
  <si>
    <t>Almeno una cella in uno dei giocatori di colonne, nome o nome ha a #N/a valore. Per ogni giocatore compilare almeno un club noto ("----" se il giocatore non ha un club).</t>
  </si>
  <si>
    <t>Inizio sessione numero</t>
  </si>
  <si>
    <t>Pausa 1</t>
  </si>
  <si>
    <t>Pausa 2</t>
  </si>
  <si>
    <t>Pausa 3</t>
  </si>
  <si>
    <t>Pausa 4</t>
  </si>
  <si>
    <t>Piano Camera</t>
  </si>
  <si>
    <t>Esporta / importa tabella dei punti</t>
  </si>
  <si>
    <t>Tabella dei punti</t>
  </si>
  <si>
    <t>Il numero totale di partite prodotte è:</t>
  </si>
  <si>
    <t>Il numero totale di risultati importati è:</t>
  </si>
  <si>
    <t>Ordina i membri del team</t>
  </si>
  <si>
    <t>Il nome del file scelto corrisponde ad un file aperto. Per favore chiudi il file e riprova.</t>
  </si>
  <si>
    <t>Stampa la sede?</t>
  </si>
  <si>
    <t>Stampa le statistiche?</t>
  </si>
  <si>
    <t>Totale Goal</t>
  </si>
  <si>
    <t>Totale Vittorie</t>
  </si>
  <si>
    <t>Totale Sconfitte</t>
  </si>
  <si>
    <t>Totale Pareggi</t>
  </si>
  <si>
    <t>Timeline del giocatore</t>
  </si>
  <si>
    <t>Giocatore</t>
  </si>
  <si>
    <t>Statistiche del giocatore</t>
  </si>
  <si>
    <t>Questo foglio di lavoro presenta la timeline di ogni partecipante sia giocatore che arbitro.</t>
  </si>
  <si>
    <t>Questo foglio di lavoro presenta statistiche sui giocatori in tutta la gara. Esso stabilisce in particolare la classifica del maggior numero di gol segnati in un evento.</t>
  </si>
  <si>
    <t>Lasciare vuoto per tutti</t>
  </si>
  <si>
    <t>Lista di differenti eventi della competizione (nomi e colori). Lasciate vuoto per valore standard</t>
  </si>
  <si>
    <t>Tipo di evento</t>
  </si>
  <si>
    <t>Risultato primo tempo</t>
  </si>
  <si>
    <t>Azione cancellata. Devi creare un evento prima.</t>
  </si>
  <si>
    <t>Forfait</t>
  </si>
  <si>
    <t>Non ancora definito</t>
  </si>
  <si>
    <t>Ranking Partecipanti</t>
  </si>
  <si>
    <t>Partecipanti in ordine alfabetico</t>
  </si>
  <si>
    <t>Formato per le celle contiene formule e può essere modificato dall'utente</t>
  </si>
  <si>
    <t>Non è possibile validare finchè draw devono ancora essere fatti</t>
  </si>
  <si>
    <t>Stai iniziando la cancellazione del progetto. Per favore conferma la tua azione.</t>
  </si>
  <si>
    <t>Conferma cancellazione</t>
  </si>
  <si>
    <t>In fase di gruppo per le squadre, in caso di parità in corrispondenza delle partite vinte, la squadra con i più withdraws perde la partita.</t>
  </si>
  <si>
    <t>Etichetta per un giocatore withdraw. Suggerimento: mantenere la formula per sfruttare i multi-lingue.</t>
  </si>
  <si>
    <t>Rigo</t>
  </si>
  <si>
    <t>Devi selezionare solamente un giocatore nella lista "Ranking Partecipanti"</t>
  </si>
  <si>
    <t>Assegna arbitri</t>
  </si>
  <si>
    <t>Selezione le righe che sono fuori dall'area planning</t>
  </si>
  <si>
    <t>La selezione deve essere solo di una sessione</t>
  </si>
  <si>
    <t>Confermi assegnazione arbitro per tutta la sessione?</t>
  </si>
  <si>
    <t>Confermi assegnazione arbitro per la riga selezionata?</t>
  </si>
  <si>
    <t>Escludi arbitri delle categorie:</t>
  </si>
  <si>
    <t>Vuoi elaborare le partite di tutta la pianificazione, invece della sessione attuale selezionato:</t>
  </si>
  <si>
    <t>scambia arbitri</t>
  </si>
  <si>
    <t>Cattiva selezione; questa opzione necessità una selezione di due celle di arbitri da cambiare</t>
  </si>
  <si>
    <t>Le celle selezionate sono interamente o parzialmente fuori dall'area di pianificazione.</t>
  </si>
  <si>
    <t>Seleziona le celle che non possono essere nella sessione</t>
  </si>
  <si>
    <t>Lo scambio è possibile solo per due arbitri della stessa sessione</t>
  </si>
  <si>
    <t>Numeri di matches già arbitrati sono più o uguale a</t>
  </si>
  <si>
    <t>Lista delle categorie dei giocatori FISTF</t>
  </si>
  <si>
    <t>categorie FISTF</t>
  </si>
  <si>
    <t>Categorie dell'evento</t>
  </si>
  <si>
    <t>Escludi queste categorie</t>
  </si>
  <si>
    <t>Usa solo questi giocatori eliminati</t>
  </si>
  <si>
    <t>escludi giocatori che hanno già arbitrato un numero di partite</t>
  </si>
  <si>
    <t>usa ancora escludi criteri categorie</t>
  </si>
  <si>
    <t>Eliminato da ….</t>
  </si>
  <si>
    <t>Evento giocato</t>
  </si>
  <si>
    <t>Escludi numeri di arbitri delle partite</t>
  </si>
  <si>
    <t>Nessun giocatore squalificato per il momento con criteri selezionati.</t>
  </si>
  <si>
    <t>Numero di squadre</t>
  </si>
  <si>
    <t>… per individuali</t>
  </si>
  <si>
    <t>… per squadre</t>
  </si>
  <si>
    <t>Nessun match individuale o di gruppo =&gt; nessun assegnazione automatica</t>
  </si>
  <si>
    <t>È necessario selezionare mai "... per gli individui" o mai "... per squadre"</t>
  </si>
  <si>
    <t>Seleziona arbitri che non sono dello stesso tipo (individual o squadre)</t>
  </si>
  <si>
    <t>Lista di giocatori registrati per ogni partita</t>
  </si>
  <si>
    <t>Utilizzare i codici da S1 a S4 a seconda del numero corrispondente per la sostituzione</t>
  </si>
  <si>
    <t>Riempi con una "X"</t>
  </si>
  <si>
    <t>Mostra</t>
  </si>
  <si>
    <t>Niente</t>
  </si>
  <si>
    <t>Arbitri</t>
  </si>
  <si>
    <t>Nome del Giocatore</t>
  </si>
  <si>
    <t>Cancella primo rigo</t>
  </si>
  <si>
    <t>Valida e copia alla fine della lista</t>
  </si>
  <si>
    <t>Riempi con aiuto</t>
  </si>
  <si>
    <t>Gironi</t>
  </si>
  <si>
    <t>Statistiche</t>
  </si>
  <si>
    <t>Risultati</t>
  </si>
  <si>
    <t>Partite</t>
  </si>
  <si>
    <t>Le ultime caselle di controllo per i concorrenti esportano sul sito Web GMFT</t>
  </si>
  <si>
    <t>Esporta al sito GMFT seguenti tipi di eventi</t>
  </si>
  <si>
    <t>Generate the GMFTData.html file</t>
  </si>
  <si>
    <t>Générer le fichier GMFTData.html</t>
  </si>
  <si>
    <t>Export Decoration To WebSite parameters</t>
  </si>
  <si>
    <t>Paramètres d'export de la décoration sur le site web</t>
  </si>
  <si>
    <t>Navigation bar title</t>
  </si>
  <si>
    <t>Titre dans la barre de navigation</t>
  </si>
  <si>
    <t>Event title</t>
  </si>
  <si>
    <t>Event Description</t>
  </si>
  <si>
    <t>Description de la compétition</t>
  </si>
  <si>
    <t>5.0</t>
  </si>
  <si>
    <t>Données de la compétition =&gt; répertoire Data</t>
  </si>
  <si>
    <t>Competition data =&gt; Data directory</t>
  </si>
  <si>
    <t>Web decoration =&gt; Custom/GMFTData.html file</t>
  </si>
  <si>
    <t>Décoration Web =&gt; Custom/GMFTData.html</t>
  </si>
  <si>
    <t>You may also change the icon and background images. To do this got to the "Custom" directory under the root directory you specified above and replace files "logo.png" &amp; "event-background.jpg" but keeping these names !</t>
  </si>
  <si>
    <t>Vous pouvez également changer l'icône et l'image de fond. Pour ce faire, allez dans le répertoire "Custom" dans le répertoire que vous avez précisé ci-dessus. Vous pouvez alors remplacer les images "logo.png" et "event-background.jpg" mais en gardant les mêmes noms !</t>
  </si>
  <si>
    <t>Lista giocatori regolarmente iscritti</t>
  </si>
  <si>
    <t>Girone di 3 andata e ritorno</t>
  </si>
  <si>
    <t>Girone di 4 andata e ritorno</t>
  </si>
  <si>
    <t>Girone di 5 andata e ritorno</t>
  </si>
  <si>
    <t>con andata e ritorno</t>
  </si>
  <si>
    <t>Riempi giocatori dopo il sorteggio</t>
  </si>
  <si>
    <t>Generati da formule ufficiali FISTF</t>
  </si>
  <si>
    <t>Nazione</t>
  </si>
  <si>
    <t>Genera il file GMFTData.html</t>
  </si>
  <si>
    <t>Esporta decorazione/ per il Sito Web</t>
  </si>
  <si>
    <t>Titolo barra di navigazione</t>
  </si>
  <si>
    <t>Dati della competizione =&gt; Cartella data</t>
  </si>
  <si>
    <t>Decorazione Web =&gt; Custom/GMFTData.html file</t>
  </si>
  <si>
    <t>Puoi anche cambiare le icone e le immagini di sfondo. Vai nella cartella "Custom" all'interno della cartella principale e sostituisci i file "logo.png" e "event-background.jpg" ma non cambiare i nomi!</t>
  </si>
  <si>
    <t>Descrizione dell'evento</t>
  </si>
  <si>
    <t>Représente le plan de la salle avec le nom des tables</t>
  </si>
  <si>
    <t>Represents the room plan with pitch's names</t>
  </si>
  <si>
    <t>Rappresenta il piano della stanza con i nomi delle tavoli</t>
  </si>
  <si>
    <t>Official version with Web support
Italian translation thanks to Francesco Lo Presti</t>
  </si>
  <si>
    <t>Grunbach</t>
  </si>
  <si>
    <t>Madiona</t>
  </si>
  <si>
    <t>Wouters</t>
  </si>
  <si>
    <t>Dupret</t>
  </si>
  <si>
    <t>Knudsen</t>
  </si>
  <si>
    <t>Borbones</t>
  </si>
  <si>
    <t>Ruiz</t>
  </si>
  <si>
    <t>Acuña</t>
  </si>
  <si>
    <t>Reckzeh</t>
  </si>
  <si>
    <t>Filippou</t>
  </si>
  <si>
    <t>Vasilos</t>
  </si>
  <si>
    <t>Pachatouridis</t>
  </si>
  <si>
    <t>Tsakalakis</t>
  </si>
  <si>
    <t>Chetcuti Dimech</t>
  </si>
  <si>
    <t>Martz</t>
  </si>
  <si>
    <t>Stottlemyer</t>
  </si>
  <si>
    <t>Hopwood</t>
  </si>
  <si>
    <t>Luc</t>
  </si>
  <si>
    <t>Rubén</t>
  </si>
  <si>
    <t>Rafael</t>
  </si>
  <si>
    <t>Héctor</t>
  </si>
  <si>
    <t>Agapi</t>
  </si>
  <si>
    <t>Christina</t>
  </si>
  <si>
    <t>Maria Christina</t>
  </si>
  <si>
    <t>Valantis</t>
  </si>
  <si>
    <t>Evgenii</t>
  </si>
  <si>
    <t>AUS0156</t>
  </si>
  <si>
    <t>AUS0157</t>
  </si>
  <si>
    <t>BEL0344</t>
  </si>
  <si>
    <t>BEL0345</t>
  </si>
  <si>
    <t>BEL0347</t>
  </si>
  <si>
    <t>ESP0466</t>
  </si>
  <si>
    <t>ESP0478</t>
  </si>
  <si>
    <t>ESP0480</t>
  </si>
  <si>
    <t>ESP0488</t>
  </si>
  <si>
    <t>FRA0175</t>
  </si>
  <si>
    <t>GER0137</t>
  </si>
  <si>
    <t>GRE0602</t>
  </si>
  <si>
    <t>GRE0603</t>
  </si>
  <si>
    <t>GRE0604</t>
  </si>
  <si>
    <t>GRE0605</t>
  </si>
  <si>
    <t>GRE0606</t>
  </si>
  <si>
    <t>GRE0607</t>
  </si>
  <si>
    <t>GRE0608</t>
  </si>
  <si>
    <t>GRE0609</t>
  </si>
  <si>
    <t>GRE0610</t>
  </si>
  <si>
    <t>GRE0611</t>
  </si>
  <si>
    <t>GRE0612</t>
  </si>
  <si>
    <t>GRE0613</t>
  </si>
  <si>
    <t>GRE0614</t>
  </si>
  <si>
    <t>GRE0615</t>
  </si>
  <si>
    <t>MLT0105</t>
  </si>
  <si>
    <t>USA0399</t>
  </si>
  <si>
    <t>USA0400</t>
  </si>
  <si>
    <t>USA0401</t>
  </si>
  <si>
    <t>WAL0040</t>
  </si>
  <si>
    <t>Bruxelles Capitale TFC</t>
  </si>
  <si>
    <t>Europa FC TSC</t>
  </si>
  <si>
    <t>Noctuas Athens TSC</t>
  </si>
  <si>
    <t>Dunakanyar Forte ALC</t>
  </si>
  <si>
    <t>Boise USL 95</t>
  </si>
  <si>
    <t>bac</t>
  </si>
  <si>
    <t>tvg</t>
  </si>
  <si>
    <t>ets</t>
  </si>
  <si>
    <t>paa</t>
  </si>
  <si>
    <t>noa</t>
  </si>
  <si>
    <t>fiu</t>
  </si>
  <si>
    <t>ccm</t>
  </si>
  <si>
    <t>atp</t>
  </si>
  <si>
    <t>pao</t>
  </si>
  <si>
    <t>veo</t>
  </si>
  <si>
    <t>FILIPPOU</t>
  </si>
  <si>
    <t>VALVERDE</t>
  </si>
  <si>
    <t>5.1</t>
  </si>
  <si>
    <t xml:space="preserve">Bug correction following Champions League 2017 : 
   - Stats for individual matches of team event
   - Bad initialisation value in export scoresheet  popup
Venue : Add of Undefine buttons
</t>
  </si>
  <si>
    <t>Correct bug : No Web Export when 2 team events have the same Category</t>
  </si>
  <si>
    <t>Gonçalves</t>
  </si>
  <si>
    <t>Salvador</t>
  </si>
  <si>
    <t>sac</t>
  </si>
  <si>
    <t>RUIZ</t>
  </si>
  <si>
    <t>5.2</t>
  </si>
  <si>
    <t>Bug correction following French Cup 2017 : 
   - List of Doubles in the "Dble Group" model sheet</t>
  </si>
  <si>
    <t>Dubreuil</t>
  </si>
  <si>
    <t>Flemer</t>
  </si>
  <si>
    <t>Laurentius</t>
  </si>
  <si>
    <t>Marian</t>
  </si>
  <si>
    <t>Finn</t>
  </si>
  <si>
    <t>FRA0170</t>
  </si>
  <si>
    <t>GER0138</t>
  </si>
  <si>
    <t>GER0139</t>
  </si>
  <si>
    <t>TV Germania Kaiserau</t>
  </si>
  <si>
    <t>ARGYROPOULOS</t>
  </si>
  <si>
    <t>BACCHIN</t>
  </si>
  <si>
    <t>Corrections from WC2017 (change of formula for playoff for 60 players =&gt; FISTF formula is false)
Checkin : Extent to the 9 categories for ranking (columns AD to AF)
Licences : Change of validation of values for categories : restrict to FISTF categories of age
Web generation : multilingual</t>
  </si>
  <si>
    <t>Dohadwala</t>
  </si>
  <si>
    <t>Aiman</t>
  </si>
  <si>
    <t>Talib K</t>
  </si>
  <si>
    <t>SGP0124</t>
  </si>
  <si>
    <t>SGP0125</t>
  </si>
  <si>
    <t>SUFFRITTI</t>
  </si>
  <si>
    <t>INCORVAIA</t>
  </si>
  <si>
    <t>TACCHIA</t>
  </si>
  <si>
    <t>SPOTO</t>
  </si>
  <si>
    <t>FRICANO</t>
  </si>
  <si>
    <t>Classement des équipes</t>
  </si>
  <si>
    <t>Teams Ranking</t>
  </si>
  <si>
    <t>Liste des équipes classées</t>
  </si>
  <si>
    <t>Ranked Teams list</t>
  </si>
  <si>
    <t>Lista dei squadre qualificati</t>
  </si>
  <si>
    <t>Ranking Squadre</t>
  </si>
  <si>
    <t>Ranking Ind.
Ranking Teams</t>
  </si>
  <si>
    <t>Team E</t>
  </si>
  <si>
    <t>5.3</t>
  </si>
  <si>
    <t>Add of the team ranking management with sort of teams by rank on web</t>
  </si>
  <si>
    <t xml:space="preserve">Chemin d'accès du template Tableau de Bord </t>
  </si>
  <si>
    <t>Dashboard template path</t>
  </si>
  <si>
    <t>percorso template dashboard</t>
  </si>
  <si>
    <t>Mettre à jour &amp; afficher le tableau de bord</t>
  </si>
  <si>
    <t>Update &amp; Show Dashboard</t>
  </si>
  <si>
    <t>Aggiorna e mostra la Dashboard</t>
  </si>
  <si>
    <t xml:space="preserve">Session Title : If empty the text will be : </t>
  </si>
  <si>
    <t>Titre de la session : si vide le texte sera :</t>
  </si>
  <si>
    <t>Titolo della sessione: se vuoto il testo sarà:</t>
  </si>
  <si>
    <t>Chemin du modèle de fichier Dashboard</t>
  </si>
  <si>
    <t>Percorso modello dashboard</t>
  </si>
  <si>
    <t>Tableau de Bord &amp; Timer</t>
  </si>
  <si>
    <t>Dashboard &amp; Timer</t>
  </si>
  <si>
    <t>Cruscotto &amp; Timer</t>
  </si>
  <si>
    <t>Le fichier Dashboard sélectionné n'est pas un fichier Dashboard compatible GMFT</t>
  </si>
  <si>
    <t>Selected Dashboard file is not GMFT compatible</t>
  </si>
  <si>
    <t>Il file Dashboard selezionato non è compatibile con GMFT</t>
  </si>
  <si>
    <t>Path (empty = same directory)</t>
  </si>
  <si>
    <t>File Name (relative to the path)</t>
  </si>
  <si>
    <t>Chemin (vide = même répertoire)</t>
  </si>
  <si>
    <t>Nom du fichier (relatif au chemin)</t>
  </si>
  <si>
    <t>Percorso (vuoto = stessa directory)</t>
  </si>
  <si>
    <t>Nome file (relativo al percorso)</t>
  </si>
  <si>
    <t>Titre de la session</t>
  </si>
  <si>
    <t>Session Title</t>
  </si>
  <si>
    <t>Titolo della sessione</t>
  </si>
  <si>
    <t>6.0</t>
  </si>
  <si>
    <t>Add of the Dashboard &amp; Timer capability. Called from Planning sheet.
Planning sheet : Suppress of "Save All" &amp; "Clean #Ref" functions</t>
  </si>
  <si>
    <t>Externalize model to make file lighter</t>
  </si>
  <si>
    <t>Senone</t>
  </si>
  <si>
    <t>Torres</t>
  </si>
  <si>
    <t>Mottet</t>
  </si>
  <si>
    <t>Thys</t>
  </si>
  <si>
    <t>Hammonds</t>
  </si>
  <si>
    <t>Salazar</t>
  </si>
  <si>
    <t>Eisen</t>
  </si>
  <si>
    <t>Watson</t>
  </si>
  <si>
    <t>McKeever</t>
  </si>
  <si>
    <t>McCrossan</t>
  </si>
  <si>
    <t>Boyle</t>
  </si>
  <si>
    <t>Bin Norizal</t>
  </si>
  <si>
    <t>Chappell</t>
  </si>
  <si>
    <t>Bird</t>
  </si>
  <si>
    <t>Nicholls</t>
  </si>
  <si>
    <t>Facundo</t>
  </si>
  <si>
    <t>Juan Ramòn</t>
  </si>
  <si>
    <t>Maxim</t>
  </si>
  <si>
    <t>Moisés</t>
  </si>
  <si>
    <t>José Antonio</t>
  </si>
  <si>
    <t>Emanuel</t>
  </si>
  <si>
    <t>Rory</t>
  </si>
  <si>
    <t>Martinog</t>
  </si>
  <si>
    <t>Nor Aniq</t>
  </si>
  <si>
    <t>Nor Afiq</t>
  </si>
  <si>
    <t>Kheng Kwang</t>
  </si>
  <si>
    <t>Lewis, Cheng Yi</t>
  </si>
  <si>
    <t>ARG0086</t>
  </si>
  <si>
    <t>ARG0087</t>
  </si>
  <si>
    <t>ARG0088</t>
  </si>
  <si>
    <t>ARG0089</t>
  </si>
  <si>
    <t>ARG0090</t>
  </si>
  <si>
    <t>BEL0354</t>
  </si>
  <si>
    <t>BEL0355</t>
  </si>
  <si>
    <t>BEL0356</t>
  </si>
  <si>
    <t>ESP0495</t>
  </si>
  <si>
    <t>ESP0496</t>
  </si>
  <si>
    <t>ESP0506</t>
  </si>
  <si>
    <t>ESP0510</t>
  </si>
  <si>
    <t>ESP0511</t>
  </si>
  <si>
    <t>ESP0513</t>
  </si>
  <si>
    <t>GER0140</t>
  </si>
  <si>
    <t>MLT0108</t>
  </si>
  <si>
    <t>NIR0020</t>
  </si>
  <si>
    <t>NIR0021</t>
  </si>
  <si>
    <t>NIR0022</t>
  </si>
  <si>
    <t>NIR0023</t>
  </si>
  <si>
    <t>NIR0024</t>
  </si>
  <si>
    <t>NIR0025</t>
  </si>
  <si>
    <t>SGP0126</t>
  </si>
  <si>
    <t>SGP0127</t>
  </si>
  <si>
    <t>SGP0128</t>
  </si>
  <si>
    <t>SGP0129</t>
  </si>
  <si>
    <t>WAL0042</t>
  </si>
  <si>
    <t>WAL0043</t>
  </si>
  <si>
    <t>AS Rosario 2008</t>
  </si>
  <si>
    <t>Marplatense AFM</t>
  </si>
  <si>
    <t>AFM San Justo</t>
  </si>
  <si>
    <t>CFM Hudson</t>
  </si>
  <si>
    <t>Northern Falcons TFC</t>
  </si>
  <si>
    <t>Melbourne TFC</t>
  </si>
  <si>
    <t>Sydney TFC</t>
  </si>
  <si>
    <t>Western Flickers TFC</t>
  </si>
  <si>
    <t>Northern Phoenix TFC</t>
  </si>
  <si>
    <t>Derry City</t>
  </si>
  <si>
    <t>sym</t>
  </si>
  <si>
    <t>sal</t>
  </si>
  <si>
    <t>der</t>
  </si>
  <si>
    <t>SCIACCA</t>
  </si>
  <si>
    <t>MOTTET</t>
  </si>
  <si>
    <t>VATTERONI</t>
  </si>
  <si>
    <t>AVERLANT</t>
  </si>
  <si>
    <t>Correction of WebExport in case of a mix of ind. &amp; Teams</t>
  </si>
  <si>
    <t>6.3</t>
  </si>
  <si>
    <t>6.2</t>
  </si>
  <si>
    <t>New version of FISTF Database compatibility</t>
  </si>
  <si>
    <t>Ocenasek</t>
  </si>
  <si>
    <t>Tanaka</t>
  </si>
  <si>
    <t>Schubiditze</t>
  </si>
  <si>
    <t>Figueiredo</t>
  </si>
  <si>
    <t>Katharina</t>
  </si>
  <si>
    <t>Isaac Sam</t>
  </si>
  <si>
    <t>Carmo</t>
  </si>
  <si>
    <t>AUT0115</t>
  </si>
  <si>
    <t>MLT0110</t>
  </si>
  <si>
    <t>POR0204</t>
  </si>
  <si>
    <t>POR0205</t>
  </si>
  <si>
    <t>POR0206</t>
  </si>
  <si>
    <t>POR0207</t>
  </si>
  <si>
    <t>POR0208</t>
  </si>
  <si>
    <t>POR0210</t>
  </si>
  <si>
    <t>POR0211</t>
  </si>
  <si>
    <t>OS Academy 1947</t>
  </si>
  <si>
    <t>aca</t>
  </si>
  <si>
    <t>POCHESCI</t>
  </si>
  <si>
    <t>OCENASEK</t>
  </si>
  <si>
    <t>FreeGroup</t>
  </si>
  <si>
    <t xml:space="preserve">Better management of Lock/Unlock Icons
Venue sheet : bug fix on (group of) tables Naming &amp; unnaming, and optimisation of style copy management of cells </t>
  </si>
  <si>
    <t>6.3.1</t>
  </si>
  <si>
    <t>Bonfanti</t>
  </si>
  <si>
    <t>Mastroianni</t>
  </si>
  <si>
    <t>De Berardinis</t>
  </si>
  <si>
    <t>Riccò</t>
  </si>
  <si>
    <t>D'amico</t>
  </si>
  <si>
    <t>Di Tullio</t>
  </si>
  <si>
    <t>Gambella</t>
  </si>
  <si>
    <t>Guidara</t>
  </si>
  <si>
    <t>Iarlori</t>
  </si>
  <si>
    <t>Marcolini</t>
  </si>
  <si>
    <t>Senesi</t>
  </si>
  <si>
    <t>Nasri</t>
  </si>
  <si>
    <t>Santise</t>
  </si>
  <si>
    <t>Perdichizzi</t>
  </si>
  <si>
    <t>Ciboldi</t>
  </si>
  <si>
    <t>Craviotto</t>
  </si>
  <si>
    <t>Merkouris</t>
  </si>
  <si>
    <t>Foti</t>
  </si>
  <si>
    <t>Mascitti</t>
  </si>
  <si>
    <t>Bussotti</t>
  </si>
  <si>
    <t>Parussini</t>
  </si>
  <si>
    <t>Manfredelli</t>
  </si>
  <si>
    <t>Rocco Antonio</t>
  </si>
  <si>
    <t>Enea</t>
  </si>
  <si>
    <t>Maria Felice</t>
  </si>
  <si>
    <t>BEL0358</t>
  </si>
  <si>
    <t>ESP0520</t>
  </si>
  <si>
    <t>ITA2137</t>
  </si>
  <si>
    <t>ITA2168</t>
  </si>
  <si>
    <t>ITA2200</t>
  </si>
  <si>
    <t>ITA2291</t>
  </si>
  <si>
    <t>ITA2312</t>
  </si>
  <si>
    <t>ITA2318</t>
  </si>
  <si>
    <t>ITA2319</t>
  </si>
  <si>
    <t>ITA2320</t>
  </si>
  <si>
    <t>ITA2323</t>
  </si>
  <si>
    <t>ITA2324</t>
  </si>
  <si>
    <t>ITA2325</t>
  </si>
  <si>
    <t>ITA2326</t>
  </si>
  <si>
    <t>ITA2339</t>
  </si>
  <si>
    <t>ITA2342</t>
  </si>
  <si>
    <t>ITA2360</t>
  </si>
  <si>
    <t>ITA2364</t>
  </si>
  <si>
    <t>ITA2376</t>
  </si>
  <si>
    <t>ITA2382</t>
  </si>
  <si>
    <t>ITA2401</t>
  </si>
  <si>
    <t>ITA2403</t>
  </si>
  <si>
    <t>ITA2407</t>
  </si>
  <si>
    <t>ITA2409</t>
  </si>
  <si>
    <t>ITA2425</t>
  </si>
  <si>
    <t>ITA2429</t>
  </si>
  <si>
    <t>ITA2441</t>
  </si>
  <si>
    <t>ITA2450</t>
  </si>
  <si>
    <t>ITA2453</t>
  </si>
  <si>
    <t>ITA2468</t>
  </si>
  <si>
    <t>ITA2494</t>
  </si>
  <si>
    <t>ITA2541</t>
  </si>
  <si>
    <t>ITA2542</t>
  </si>
  <si>
    <t>ITA2550</t>
  </si>
  <si>
    <t>ITA2551</t>
  </si>
  <si>
    <t>ITA2552</t>
  </si>
  <si>
    <t>ITA2553</t>
  </si>
  <si>
    <t>ITA2584</t>
  </si>
  <si>
    <t>SC Pantere Lucca</t>
  </si>
  <si>
    <t>SC Ravenna</t>
  </si>
  <si>
    <t>SC Castelfiorentino</t>
  </si>
  <si>
    <t>Maremma Subbuteo</t>
  </si>
  <si>
    <t>SC Palermo 2016</t>
  </si>
  <si>
    <t>ASD Triestina Subbuteo</t>
  </si>
  <si>
    <t>Rebels Genova</t>
  </si>
  <si>
    <t>ASD VT CTS Fidenza</t>
  </si>
  <si>
    <t>SC Barakaldo</t>
  </si>
  <si>
    <t>brk</t>
  </si>
  <si>
    <t>plo</t>
  </si>
  <si>
    <t>cfi</t>
  </si>
  <si>
    <t>vad</t>
  </si>
  <si>
    <t>col</t>
  </si>
  <si>
    <t>for</t>
  </si>
  <si>
    <t>mam</t>
  </si>
  <si>
    <t>plu</t>
  </si>
  <si>
    <t>mge</t>
  </si>
  <si>
    <t>bnv</t>
  </si>
  <si>
    <t>tst</t>
  </si>
  <si>
    <t>veg</t>
  </si>
  <si>
    <t>vtf</t>
  </si>
  <si>
    <t>reb</t>
  </si>
  <si>
    <t>VISENTIN</t>
  </si>
  <si>
    <t>CASANOVA</t>
  </si>
  <si>
    <t>TORBOLI</t>
  </si>
  <si>
    <t>Le nombre maximum de compétitions est attenit.</t>
  </si>
  <si>
    <t>Il numero massimo di competizioni è raggiunto.</t>
  </si>
  <si>
    <t>The maximum number of events is reached.</t>
  </si>
  <si>
    <t>New models for Scoresheets
Better management of Venue</t>
  </si>
  <si>
    <t>6.3.2</t>
  </si>
  <si>
    <t>Finalist</t>
  </si>
  <si>
    <t>SemiFinalist</t>
  </si>
  <si>
    <t>FRA0181</t>
  </si>
  <si>
    <t>Bonnet</t>
  </si>
  <si>
    <t>Cyprien</t>
  </si>
  <si>
    <t>FRA0189</t>
  </si>
  <si>
    <t>Bolusset</t>
  </si>
  <si>
    <t>Veterans</t>
  </si>
  <si>
    <t>Podium</t>
  </si>
  <si>
    <t>Afficher les podium pour la remise des trophées</t>
  </si>
  <si>
    <t>Show podium for trophy presentation</t>
  </si>
  <si>
    <t>Mostra il podio per la presentazione del trofeo</t>
  </si>
  <si>
    <t>6.3.3</t>
  </si>
  <si>
    <t>Sgro</t>
  </si>
  <si>
    <t>Chieffallo</t>
  </si>
  <si>
    <t>Devey</t>
  </si>
  <si>
    <t>Ruffolo</t>
  </si>
  <si>
    <t>Moreira</t>
  </si>
  <si>
    <t>Blanc</t>
  </si>
  <si>
    <t>Polsinelli</t>
  </si>
  <si>
    <t>Durand</t>
  </si>
  <si>
    <t>Pandolfi</t>
  </si>
  <si>
    <t>Papamichail</t>
  </si>
  <si>
    <t>Dionisopoulos</t>
  </si>
  <si>
    <t>Petrakis</t>
  </si>
  <si>
    <t>Kontorouchas</t>
  </si>
  <si>
    <t>Paliouras</t>
  </si>
  <si>
    <t>Kourou</t>
  </si>
  <si>
    <t>Fotinopoulos</t>
  </si>
  <si>
    <t>Kalamaris</t>
  </si>
  <si>
    <t>Sfakianakis</t>
  </si>
  <si>
    <t>Malindretou</t>
  </si>
  <si>
    <t>Karahalios</t>
  </si>
  <si>
    <t>Vagios</t>
  </si>
  <si>
    <t>Sermpos</t>
  </si>
  <si>
    <t>Konstantakou</t>
  </si>
  <si>
    <t>Vlachoulis</t>
  </si>
  <si>
    <t>Kotsinis</t>
  </si>
  <si>
    <t>Zaharitsas</t>
  </si>
  <si>
    <t>Kounadis</t>
  </si>
  <si>
    <t>Rebis</t>
  </si>
  <si>
    <t>Papadaki</t>
  </si>
  <si>
    <t>Trevisani</t>
  </si>
  <si>
    <t>Guarino</t>
  </si>
  <si>
    <t>Muhd Farish</t>
  </si>
  <si>
    <t>Mickaël</t>
  </si>
  <si>
    <t>Michail Angelos</t>
  </si>
  <si>
    <t>Danai</t>
  </si>
  <si>
    <t>Emilios</t>
  </si>
  <si>
    <t>Adrianna</t>
  </si>
  <si>
    <t>Nicholas</t>
  </si>
  <si>
    <t>Noriyuki</t>
  </si>
  <si>
    <t>Aqhari, Bin Muhd Azhar</t>
  </si>
  <si>
    <t>CAN0044</t>
  </si>
  <si>
    <t>CAN0045</t>
  </si>
  <si>
    <t>CAN0046</t>
  </si>
  <si>
    <t>CAN0047</t>
  </si>
  <si>
    <t>CAN0048</t>
  </si>
  <si>
    <t>ENG0346</t>
  </si>
  <si>
    <t>FRA0179</t>
  </si>
  <si>
    <t>FRA0183</t>
  </si>
  <si>
    <t>FRA0185</t>
  </si>
  <si>
    <t>FRA0186</t>
  </si>
  <si>
    <t>FRA0187</t>
  </si>
  <si>
    <t>FRA0194</t>
  </si>
  <si>
    <t>GRE0616</t>
  </si>
  <si>
    <t>GRE0617</t>
  </si>
  <si>
    <t>GRE0618</t>
  </si>
  <si>
    <t>GRE0619</t>
  </si>
  <si>
    <t>GRE0620</t>
  </si>
  <si>
    <t>GRE0621</t>
  </si>
  <si>
    <t>GRE0623</t>
  </si>
  <si>
    <t>GRE0624</t>
  </si>
  <si>
    <t>GRE0625</t>
  </si>
  <si>
    <t>GRE0626</t>
  </si>
  <si>
    <t>GRE0627</t>
  </si>
  <si>
    <t>GRE0628</t>
  </si>
  <si>
    <t>GRE0629</t>
  </si>
  <si>
    <t>GRE0630</t>
  </si>
  <si>
    <t>GRE0631</t>
  </si>
  <si>
    <t>GRE0632</t>
  </si>
  <si>
    <t>GRE0633</t>
  </si>
  <si>
    <t>GRE0634</t>
  </si>
  <si>
    <t>GRE0635</t>
  </si>
  <si>
    <t>GRE0636</t>
  </si>
  <si>
    <t>GRE0637</t>
  </si>
  <si>
    <t>GRE0638</t>
  </si>
  <si>
    <t>GRE0639</t>
  </si>
  <si>
    <t>HKG0003</t>
  </si>
  <si>
    <t>ITA2617</t>
  </si>
  <si>
    <t>ITA2622</t>
  </si>
  <si>
    <t>ITA2642</t>
  </si>
  <si>
    <t>ITA2646</t>
  </si>
  <si>
    <t>SGP0130</t>
  </si>
  <si>
    <t>SGP0131</t>
  </si>
  <si>
    <t>ACS Perugia 1973</t>
  </si>
  <si>
    <t>acp</t>
  </si>
  <si>
    <t>KONSTANTAKOS</t>
  </si>
  <si>
    <t>KONSTANTAKOU</t>
  </si>
  <si>
    <t>MALINDRETOU</t>
  </si>
  <si>
    <t>Nb players</t>
  </si>
  <si>
    <t>Taille Gpe</t>
  </si>
  <si>
    <t>Nb grpe</t>
  </si>
  <si>
    <t>row</t>
  </si>
  <si>
    <t>@</t>
  </si>
  <si>
    <t>Draw of the next position</t>
  </si>
  <si>
    <t>Disegno della prossima posizione</t>
  </si>
  <si>
    <t>Podium sheet to help organizer to present trophies
Minor bugs corrections</t>
  </si>
  <si>
    <t>Increase from 9 to 18, the max number of events per file, but still 9 categories =&gt; capability to manage tournaments B for each category</t>
  </si>
  <si>
    <t>Tirs au but</t>
  </si>
  <si>
    <t>Shoot-out</t>
  </si>
  <si>
    <t>Calci di rigore</t>
  </si>
  <si>
    <t>"Export Results" format on Web =&gt; all on the same page</t>
  </si>
  <si>
    <t>Automatic Draws
Display of Release History</t>
  </si>
  <si>
    <t>Nascimento</t>
  </si>
  <si>
    <t>Moricz</t>
  </si>
  <si>
    <t>Spasiano</t>
  </si>
  <si>
    <t>Humberto</t>
  </si>
  <si>
    <t>BRA0115</t>
  </si>
  <si>
    <t>BRA0116</t>
  </si>
  <si>
    <t>BRA0117</t>
  </si>
  <si>
    <t>BRA0118</t>
  </si>
  <si>
    <t>BRA0123</t>
  </si>
  <si>
    <t>ITA2649</t>
  </si>
  <si>
    <t>SC Corinthians Paulista</t>
  </si>
  <si>
    <t>7.0</t>
  </si>
  <si>
    <t>8.0</t>
  </si>
  <si>
    <t>Use of ribbon in place of buttons in each sheets.
=&gt; Old Excel .xls format no more supported =&gt; Excel 2007 or more is now necessary</t>
  </si>
  <si>
    <t>Fonctions générales</t>
  </si>
  <si>
    <t>General functions</t>
  </si>
  <si>
    <t>Funzioni generali</t>
  </si>
  <si>
    <t>Accueil</t>
  </si>
  <si>
    <t>Home</t>
  </si>
  <si>
    <t>Calcul Automatique</t>
  </si>
  <si>
    <t>Automatic Calculation</t>
  </si>
  <si>
    <t>Calcolo Automatico</t>
  </si>
  <si>
    <t>Calcul Manuel</t>
  </si>
  <si>
    <t>Manual Calculation</t>
  </si>
  <si>
    <t>Calcolo Manuale</t>
  </si>
  <si>
    <t>Calculer Maintenant</t>
  </si>
  <si>
    <t>Calculate Now</t>
  </si>
  <si>
    <t>Calcola Ora</t>
  </si>
  <si>
    <t>Calcul</t>
  </si>
  <si>
    <t>Calculation</t>
  </si>
  <si>
    <t>Calcolo</t>
  </si>
  <si>
    <t>Classement Joueurs</t>
  </si>
  <si>
    <t>Players ranking</t>
  </si>
  <si>
    <t>Classifica giocatori</t>
  </si>
  <si>
    <t>Classement équipes</t>
  </si>
  <si>
    <t>Teams ranking</t>
  </si>
  <si>
    <t>Classifica squadre</t>
  </si>
  <si>
    <t>Inscriptions</t>
  </si>
  <si>
    <t>Registrations</t>
  </si>
  <si>
    <t>Enregistrements</t>
  </si>
  <si>
    <t>Registrare</t>
  </si>
  <si>
    <t>Listes</t>
  </si>
  <si>
    <t>Liste</t>
  </si>
  <si>
    <t>Doppio</t>
  </si>
  <si>
    <t>Display</t>
  </si>
  <si>
    <t>Compléter inscriptions</t>
  </si>
  <si>
    <t>Complete registrations</t>
  </si>
  <si>
    <t>Completa registrazione</t>
  </si>
  <si>
    <t>Nb articles</t>
  </si>
  <si>
    <t>Nb rows</t>
  </si>
  <si>
    <t>Quantità di registrazione</t>
  </si>
  <si>
    <t>Ajouter</t>
  </si>
  <si>
    <t>Add</t>
  </si>
  <si>
    <t>Inserisci</t>
  </si>
  <si>
    <t>Supprimer 1 article</t>
  </si>
  <si>
    <t>Remove 1 row</t>
  </si>
  <si>
    <t>Rimuovere una riga</t>
  </si>
  <si>
    <t>Gestion de liste</t>
  </si>
  <si>
    <t>List Management</t>
  </si>
  <si>
    <t>Gestione delle liste</t>
  </si>
  <si>
    <t>Navigation</t>
  </si>
  <si>
    <t>Navigazione</t>
  </si>
  <si>
    <t>Afficher les feuilles</t>
  </si>
  <si>
    <t>Display sheets</t>
  </si>
  <si>
    <t>Display i fogi</t>
  </si>
  <si>
    <t>Masquer les feuilles</t>
  </si>
  <si>
    <t>Hide sheets</t>
  </si>
  <si>
    <t>Nascondi i fogli</t>
  </si>
  <si>
    <t>Feuille protégée</t>
  </si>
  <si>
    <t>Feuille Non protégée</t>
  </si>
  <si>
    <t>Sheet Locked</t>
  </si>
  <si>
    <t>Sheet Unlocked</t>
  </si>
  <si>
    <t>Foglio Bloccare</t>
  </si>
  <si>
    <t>Foglio Sbloccare</t>
  </si>
  <si>
    <t>Licences</t>
  </si>
  <si>
    <t>Clubs</t>
  </si>
  <si>
    <t>Licenze</t>
  </si>
  <si>
    <t>Classifica</t>
  </si>
  <si>
    <t>Classifica Squadre</t>
  </si>
  <si>
    <t>Classement Equipes</t>
  </si>
  <si>
    <t>Pereira da Silva</t>
  </si>
  <si>
    <t>Ravnborg</t>
  </si>
  <si>
    <t>Dabbas</t>
  </si>
  <si>
    <t>Raarup</t>
  </si>
  <si>
    <t>Bryder</t>
  </si>
  <si>
    <t>Peitersen</t>
  </si>
  <si>
    <t>Araujo</t>
  </si>
  <si>
    <t>Clemares</t>
  </si>
  <si>
    <t>Capponi</t>
  </si>
  <si>
    <t>Guhr</t>
  </si>
  <si>
    <t>Laguea</t>
  </si>
  <si>
    <t>Charatsis</t>
  </si>
  <si>
    <t>Tekos</t>
  </si>
  <si>
    <t>Briskolas</t>
  </si>
  <si>
    <t>Aggelou</t>
  </si>
  <si>
    <t>Galanopoulos</t>
  </si>
  <si>
    <t>Stamos</t>
  </si>
  <si>
    <t>Vezirtzoglou</t>
  </si>
  <si>
    <t>Trapezountios</t>
  </si>
  <si>
    <t>Farmakis</t>
  </si>
  <si>
    <t>Chanos</t>
  </si>
  <si>
    <t>Sarikakis</t>
  </si>
  <si>
    <t>Panagiotopoulos</t>
  </si>
  <si>
    <t>Panagiotopoulou</t>
  </si>
  <si>
    <t>Celotto</t>
  </si>
  <si>
    <t>Feo</t>
  </si>
  <si>
    <t>Pecchioli</t>
  </si>
  <si>
    <t>Rigon</t>
  </si>
  <si>
    <t>Trinchese</t>
  </si>
  <si>
    <t>Marchetti</t>
  </si>
  <si>
    <t>Corti</t>
  </si>
  <si>
    <t>Tosi</t>
  </si>
  <si>
    <t>De Giosa</t>
  </si>
  <si>
    <t>Quaranta</t>
  </si>
  <si>
    <t>Finelli</t>
  </si>
  <si>
    <t>Cova</t>
  </si>
  <si>
    <t>Sani</t>
  </si>
  <si>
    <t>Cecconi</t>
  </si>
  <si>
    <t>Cavone</t>
  </si>
  <si>
    <t>Aiani</t>
  </si>
  <si>
    <t>Montecalvo</t>
  </si>
  <si>
    <t>Zaccardo</t>
  </si>
  <si>
    <t>Dragoni</t>
  </si>
  <si>
    <t>Dazzi</t>
  </si>
  <si>
    <t>Marconcini</t>
  </si>
  <si>
    <t>Spagnoli</t>
  </si>
  <si>
    <t>Mazzucchi</t>
  </si>
  <si>
    <t>Nicastro</t>
  </si>
  <si>
    <t>Presutti</t>
  </si>
  <si>
    <t>Ronchetti</t>
  </si>
  <si>
    <t>Painelli</t>
  </si>
  <si>
    <t>Fenucci</t>
  </si>
  <si>
    <t>Famà</t>
  </si>
  <si>
    <t>Barabino</t>
  </si>
  <si>
    <t>Di Terlizzi</t>
  </si>
  <si>
    <t>Nardulli</t>
  </si>
  <si>
    <t>Canessa</t>
  </si>
  <si>
    <t>Frisone</t>
  </si>
  <si>
    <t>Nativo</t>
  </si>
  <si>
    <t>Parodi</t>
  </si>
  <si>
    <t>Vecchiarelli</t>
  </si>
  <si>
    <t>Grassini</t>
  </si>
  <si>
    <t>Gualerci</t>
  </si>
  <si>
    <t>Pozzi</t>
  </si>
  <si>
    <t>Lista</t>
  </si>
  <si>
    <t>Zampieri</t>
  </si>
  <si>
    <t>Morandi</t>
  </si>
  <si>
    <t>Attanasio</t>
  </si>
  <si>
    <t>Battipaglia</t>
  </si>
  <si>
    <t>D'auria</t>
  </si>
  <si>
    <t>Santoriello</t>
  </si>
  <si>
    <t>Nefi</t>
  </si>
  <si>
    <t>Cordone</t>
  </si>
  <si>
    <t>Cappelli</t>
  </si>
  <si>
    <t>Scarselli</t>
  </si>
  <si>
    <t>Falaschi</t>
  </si>
  <si>
    <t>Di Nola</t>
  </si>
  <si>
    <t>Puzella</t>
  </si>
  <si>
    <t>Schiatti</t>
  </si>
  <si>
    <t>Mussino</t>
  </si>
  <si>
    <t>Oncini</t>
  </si>
  <si>
    <t>Mori</t>
  </si>
  <si>
    <t>Cambi</t>
  </si>
  <si>
    <t>Becattini</t>
  </si>
  <si>
    <t>Grigiotti</t>
  </si>
  <si>
    <t>Nompari</t>
  </si>
  <si>
    <t>Piccoli</t>
  </si>
  <si>
    <t>Franchi</t>
  </si>
  <si>
    <t>Marani</t>
  </si>
  <si>
    <t>Azzali</t>
  </si>
  <si>
    <t>Gorna</t>
  </si>
  <si>
    <t>Rocca</t>
  </si>
  <si>
    <t>Girelli</t>
  </si>
  <si>
    <t>De Miranda</t>
  </si>
  <si>
    <t>Roncagliolo</t>
  </si>
  <si>
    <t>Perotti</t>
  </si>
  <si>
    <t>De Masellis</t>
  </si>
  <si>
    <t>Di Feo</t>
  </si>
  <si>
    <t>Torini</t>
  </si>
  <si>
    <t>Curci</t>
  </si>
  <si>
    <t>Taverna</t>
  </si>
  <si>
    <t>Molinari</t>
  </si>
  <si>
    <t>Bracali</t>
  </si>
  <si>
    <t>Zolfanelli</t>
  </si>
  <si>
    <t>Radicchi</t>
  </si>
  <si>
    <t>Romanazzi</t>
  </si>
  <si>
    <t>Rampi</t>
  </si>
  <si>
    <t>Montefusco</t>
  </si>
  <si>
    <t>Cirri</t>
  </si>
  <si>
    <t>Tedeschi</t>
  </si>
  <si>
    <t>Gammarota</t>
  </si>
  <si>
    <t>Sassetti</t>
  </si>
  <si>
    <t>Borsani</t>
  </si>
  <si>
    <t>Mochi</t>
  </si>
  <si>
    <t>Palamà</t>
  </si>
  <si>
    <t>Cattellani</t>
  </si>
  <si>
    <t>Beretta</t>
  </si>
  <si>
    <t>Massone</t>
  </si>
  <si>
    <t>Dellepiane</t>
  </si>
  <si>
    <t>Fumai</t>
  </si>
  <si>
    <t>Mancini</t>
  </si>
  <si>
    <t>Villette</t>
  </si>
  <si>
    <t>Lazzaroni</t>
  </si>
  <si>
    <t>Coticelli</t>
  </si>
  <si>
    <t>Marazzotta</t>
  </si>
  <si>
    <t>Tava</t>
  </si>
  <si>
    <t>Tortello</t>
  </si>
  <si>
    <t>de Jong</t>
  </si>
  <si>
    <t>Aret</t>
  </si>
  <si>
    <t>Spoors</t>
  </si>
  <si>
    <t>Luis Carlos</t>
  </si>
  <si>
    <t>Paulo Cesar</t>
  </si>
  <si>
    <t>Breno</t>
  </si>
  <si>
    <t>Tobias Høj</t>
  </si>
  <si>
    <t>Laura Høj</t>
  </si>
  <si>
    <t>Rasmus Høj</t>
  </si>
  <si>
    <t>Álex</t>
  </si>
  <si>
    <t>Piero</t>
  </si>
  <si>
    <t>Sofoklis</t>
  </si>
  <si>
    <t>Alexios</t>
  </si>
  <si>
    <t>Michail I</t>
  </si>
  <si>
    <t>Michail K</t>
  </si>
  <si>
    <t>Klearchos</t>
  </si>
  <si>
    <t>Ioanna Virginia</t>
  </si>
  <si>
    <t>Geremia</t>
  </si>
  <si>
    <t>Hélène</t>
  </si>
  <si>
    <t>Costantino</t>
  </si>
  <si>
    <t>Giampiero</t>
  </si>
  <si>
    <t>Ali</t>
  </si>
  <si>
    <t>Vito Antonino</t>
  </si>
  <si>
    <t>Eric Fasce</t>
  </si>
  <si>
    <t>Adelchi</t>
  </si>
  <si>
    <t>Gian Marco</t>
  </si>
  <si>
    <t>Manlio</t>
  </si>
  <si>
    <t>Piercarlo</t>
  </si>
  <si>
    <t>Carlo Alfredo</t>
  </si>
  <si>
    <t>Fedde</t>
  </si>
  <si>
    <t>Zachria</t>
  </si>
  <si>
    <t>AUS0172</t>
  </si>
  <si>
    <t>BRA0127</t>
  </si>
  <si>
    <t>BRA0128</t>
  </si>
  <si>
    <t>BRA0129</t>
  </si>
  <si>
    <t>DEN0089</t>
  </si>
  <si>
    <t>DEN0090</t>
  </si>
  <si>
    <t>DEN0091</t>
  </si>
  <si>
    <t>DEN0092</t>
  </si>
  <si>
    <t>DEN0093</t>
  </si>
  <si>
    <t>DEN0094</t>
  </si>
  <si>
    <t>DEN0095</t>
  </si>
  <si>
    <t>DEN0096</t>
  </si>
  <si>
    <t>DEN0097</t>
  </si>
  <si>
    <t>DEN0098</t>
  </si>
  <si>
    <t>DEN0099</t>
  </si>
  <si>
    <t>ESP0023</t>
  </si>
  <si>
    <t>ESP0029</t>
  </si>
  <si>
    <t>ESP0036</t>
  </si>
  <si>
    <t>ESP0039</t>
  </si>
  <si>
    <t>ESP0062</t>
  </si>
  <si>
    <t>ESP0523</t>
  </si>
  <si>
    <t>GER0141</t>
  </si>
  <si>
    <t>GER0142</t>
  </si>
  <si>
    <t>GIB0065</t>
  </si>
  <si>
    <t>GRE0640</t>
  </si>
  <si>
    <t>GRE0641</t>
  </si>
  <si>
    <t>GRE0642</t>
  </si>
  <si>
    <t>GRE0643</t>
  </si>
  <si>
    <t>GRE0644</t>
  </si>
  <si>
    <t>GRE0645</t>
  </si>
  <si>
    <t>GRE0646</t>
  </si>
  <si>
    <t>GRE0647</t>
  </si>
  <si>
    <t>GRE0648</t>
  </si>
  <si>
    <t>GRE0649</t>
  </si>
  <si>
    <t>GRE0650</t>
  </si>
  <si>
    <t>GRE0651</t>
  </si>
  <si>
    <t>GRE0652</t>
  </si>
  <si>
    <t>GRE0653</t>
  </si>
  <si>
    <t>GRE0654</t>
  </si>
  <si>
    <t>GRE0655</t>
  </si>
  <si>
    <t>GRE0656</t>
  </si>
  <si>
    <t>ITA0196</t>
  </si>
  <si>
    <t>ITA0199</t>
  </si>
  <si>
    <t>ITA0345</t>
  </si>
  <si>
    <t>ITA0428</t>
  </si>
  <si>
    <t>ITA0651</t>
  </si>
  <si>
    <t>ITA1054</t>
  </si>
  <si>
    <t>ITA1518</t>
  </si>
  <si>
    <t>ITA1582</t>
  </si>
  <si>
    <t>ITA1583</t>
  </si>
  <si>
    <t>ITA1721</t>
  </si>
  <si>
    <t>ITA1724</t>
  </si>
  <si>
    <t>ITA1880</t>
  </si>
  <si>
    <t>ITA1982</t>
  </si>
  <si>
    <t>ITA2094</t>
  </si>
  <si>
    <t>ITA2102</t>
  </si>
  <si>
    <t>ITA2125</t>
  </si>
  <si>
    <t>ITA2179</t>
  </si>
  <si>
    <t>ITA2218</t>
  </si>
  <si>
    <t>ITA2298</t>
  </si>
  <si>
    <t>ITA2301</t>
  </si>
  <si>
    <t>ITA2314</t>
  </si>
  <si>
    <t>ITA2329</t>
  </si>
  <si>
    <t>ITA2332</t>
  </si>
  <si>
    <t>ITA2333</t>
  </si>
  <si>
    <t>ITA2337</t>
  </si>
  <si>
    <t>ITA2344</t>
  </si>
  <si>
    <t>ITA2345</t>
  </si>
  <si>
    <t>ITA2348</t>
  </si>
  <si>
    <t>ITA2352</t>
  </si>
  <si>
    <t>ITA2353</t>
  </si>
  <si>
    <t>ITA2354</t>
  </si>
  <si>
    <t>ITA2355</t>
  </si>
  <si>
    <t>ITA2356</t>
  </si>
  <si>
    <t>ITA2357</t>
  </si>
  <si>
    <t>ITA2358</t>
  </si>
  <si>
    <t>ITA2365</t>
  </si>
  <si>
    <t>ITA2366</t>
  </si>
  <si>
    <t>ITA2367</t>
  </si>
  <si>
    <t>ITA2383</t>
  </si>
  <si>
    <t>ITA2384</t>
  </si>
  <si>
    <t>ITA2385</t>
  </si>
  <si>
    <t>ITA2387</t>
  </si>
  <si>
    <t>ITA2388</t>
  </si>
  <si>
    <t>ITA2389</t>
  </si>
  <si>
    <t>ITA2391</t>
  </si>
  <si>
    <t>ITA2393</t>
  </si>
  <si>
    <t>ITA2394</t>
  </si>
  <si>
    <t>ITA2395</t>
  </si>
  <si>
    <t>ITA2404</t>
  </si>
  <si>
    <t>ITA2413</t>
  </si>
  <si>
    <t>ITA2415</t>
  </si>
  <si>
    <t>ITA2417</t>
  </si>
  <si>
    <t>ITA2418</t>
  </si>
  <si>
    <t>ITA2419</t>
  </si>
  <si>
    <t>ITA2420</t>
  </si>
  <si>
    <t>ITA2422</t>
  </si>
  <si>
    <t>ITA2469</t>
  </si>
  <si>
    <t>ITA2471</t>
  </si>
  <si>
    <t>ITA2476</t>
  </si>
  <si>
    <t>ITA2479</t>
  </si>
  <si>
    <t>ITA2480</t>
  </si>
  <si>
    <t>ITA2482</t>
  </si>
  <si>
    <t>ITA2483</t>
  </si>
  <si>
    <t>ITA2489</t>
  </si>
  <si>
    <t>ITA2492</t>
  </si>
  <si>
    <t>ITA2512</t>
  </si>
  <si>
    <t>ITA2515</t>
  </si>
  <si>
    <t>ITA2517</t>
  </si>
  <si>
    <t>ITA2520</t>
  </si>
  <si>
    <t>ITA2523</t>
  </si>
  <si>
    <t>ITA2525</t>
  </si>
  <si>
    <t>ITA2526</t>
  </si>
  <si>
    <t>ITA2530</t>
  </si>
  <si>
    <t>ITA2531</t>
  </si>
  <si>
    <t>ITA2532</t>
  </si>
  <si>
    <t>ITA2533</t>
  </si>
  <si>
    <t>ITA2534</t>
  </si>
  <si>
    <t>ITA2535</t>
  </si>
  <si>
    <t>ITA2536</t>
  </si>
  <si>
    <t>ITA2559</t>
  </si>
  <si>
    <t>ITA2560</t>
  </si>
  <si>
    <t>ITA2563</t>
  </si>
  <si>
    <t>ITA2572</t>
  </si>
  <si>
    <t>ITA2576</t>
  </si>
  <si>
    <t>ITA2578</t>
  </si>
  <si>
    <t>ITA2585</t>
  </si>
  <si>
    <t>ITA2590</t>
  </si>
  <si>
    <t>ITA2593</t>
  </si>
  <si>
    <t>ITA2594</t>
  </si>
  <si>
    <t>ITA2599</t>
  </si>
  <si>
    <t>ITA2607</t>
  </si>
  <si>
    <t>ITA2610</t>
  </si>
  <si>
    <t>ITA2616</t>
  </si>
  <si>
    <t>ITA2626</t>
  </si>
  <si>
    <t>ITA2653</t>
  </si>
  <si>
    <t>ITA2655</t>
  </si>
  <si>
    <t>ITA2658</t>
  </si>
  <si>
    <t>ITA2663</t>
  </si>
  <si>
    <t>ITA2674</t>
  </si>
  <si>
    <t>ITA2676</t>
  </si>
  <si>
    <t>ITA2677</t>
  </si>
  <si>
    <t>ITA2680</t>
  </si>
  <si>
    <t>ITA2685</t>
  </si>
  <si>
    <t>ITA2690</t>
  </si>
  <si>
    <t>ITA2691</t>
  </si>
  <si>
    <t>ITA2693</t>
  </si>
  <si>
    <t>ITA2694</t>
  </si>
  <si>
    <t>ITA2699</t>
  </si>
  <si>
    <t>ITA2701</t>
  </si>
  <si>
    <t>ITA2702</t>
  </si>
  <si>
    <t>ITA2703</t>
  </si>
  <si>
    <t>ITA2709</t>
  </si>
  <si>
    <t>ITA2712</t>
  </si>
  <si>
    <t>ITA2719</t>
  </si>
  <si>
    <t>ITA2733</t>
  </si>
  <si>
    <t>ITA2734</t>
  </si>
  <si>
    <t>ITA2735</t>
  </si>
  <si>
    <t>ITA2736</t>
  </si>
  <si>
    <t>ITA2741</t>
  </si>
  <si>
    <t>MLT0113</t>
  </si>
  <si>
    <t>NED0050</t>
  </si>
  <si>
    <t>NED0051</t>
  </si>
  <si>
    <t>NED0052</t>
  </si>
  <si>
    <t>SCO0061</t>
  </si>
  <si>
    <t>USA0402</t>
  </si>
  <si>
    <t>USA0403</t>
  </si>
  <si>
    <t>Olympia CS</t>
  </si>
  <si>
    <t>Valletta SC</t>
  </si>
  <si>
    <t>Western Sydney Subbuteo</t>
  </si>
  <si>
    <t>Rochefort TS</t>
  </si>
  <si>
    <t>ST Stembert</t>
  </si>
  <si>
    <t>Athinaikos CS</t>
  </si>
  <si>
    <t>Wamme SC</t>
  </si>
  <si>
    <t>Bormla SC</t>
  </si>
  <si>
    <t>US Huy</t>
  </si>
  <si>
    <t>Calgary SC</t>
  </si>
  <si>
    <t>Toronto SC</t>
  </si>
  <si>
    <t>Hamilton SC</t>
  </si>
  <si>
    <t>CS Montréal</t>
  </si>
  <si>
    <t>Lega Subbuteo Liga Odense</t>
  </si>
  <si>
    <t>Cardiff Bluebirds TFC</t>
  </si>
  <si>
    <t>West Midlands SC</t>
  </si>
  <si>
    <t>SC Fiamme Azzurre</t>
  </si>
  <si>
    <t>Proteas Athens SC</t>
  </si>
  <si>
    <t>Panorama 1978 SC</t>
  </si>
  <si>
    <t>Thessaloniki SC TSC</t>
  </si>
  <si>
    <t>Adrastians</t>
  </si>
  <si>
    <t>SC Dragons Hong Kong</t>
  </si>
  <si>
    <t>SPQR MMIX Roma</t>
  </si>
  <si>
    <t>Foggia CT</t>
  </si>
  <si>
    <t>SC Bagheria</t>
  </si>
  <si>
    <t>AS Cosenza</t>
  </si>
  <si>
    <t>SC Samb</t>
  </si>
  <si>
    <t>Subbuteo Grosseto 2018</t>
  </si>
  <si>
    <t>SC Bari</t>
  </si>
  <si>
    <t>Old Lions Macerata</t>
  </si>
  <si>
    <t>SC Reeds</t>
  </si>
  <si>
    <t>CF Sassoeiros</t>
  </si>
  <si>
    <t>CS Zarco</t>
  </si>
  <si>
    <t>Linth Sliders SC</t>
  </si>
  <si>
    <t>Tampa Bay TSC</t>
  </si>
  <si>
    <t>Colorado SC</t>
  </si>
  <si>
    <t>California TSC</t>
  </si>
  <si>
    <t>Lone Star SL</t>
  </si>
  <si>
    <t>Iowa SC</t>
  </si>
  <si>
    <t>Chattanooga SL</t>
  </si>
  <si>
    <t>Seattle SC</t>
  </si>
  <si>
    <t>Augusta SC</t>
  </si>
  <si>
    <t>South Carolina SC</t>
  </si>
  <si>
    <t>Carolina TSC</t>
  </si>
  <si>
    <t>Kansas City SC</t>
  </si>
  <si>
    <t>Toronto SL</t>
  </si>
  <si>
    <t>SC Cagliari</t>
  </si>
  <si>
    <t>hut</t>
  </si>
  <si>
    <t>cor</t>
  </si>
  <si>
    <t>mtr</t>
  </si>
  <si>
    <t>mac</t>
  </si>
  <si>
    <t>cag</t>
  </si>
  <si>
    <t>ree</t>
  </si>
  <si>
    <t>cdo</t>
  </si>
  <si>
    <t>CHARATSIS</t>
  </si>
  <si>
    <t>ROMANO</t>
  </si>
  <si>
    <t>KOLLIAS</t>
  </si>
  <si>
    <t>BLANC</t>
  </si>
  <si>
    <t>BARDUCCI</t>
  </si>
  <si>
    <t>DE PAOLIS</t>
  </si>
  <si>
    <t>MUÑOZ</t>
  </si>
  <si>
    <t>MENTASTI</t>
  </si>
  <si>
    <t>MANFREDELLI</t>
  </si>
  <si>
    <t>Arbitrages</t>
  </si>
  <si>
    <t>Arbitraggio</t>
  </si>
  <si>
    <t>Sequenza temporale</t>
  </si>
  <si>
    <t>Agenda</t>
  </si>
  <si>
    <t>Statistics</t>
  </si>
  <si>
    <t>Statistica</t>
  </si>
  <si>
    <t>Refresh</t>
  </si>
  <si>
    <t>Rinfrescare</t>
  </si>
  <si>
    <t>Définir Table</t>
  </si>
  <si>
    <t>Define Table</t>
  </si>
  <si>
    <t>Définir Modèle</t>
  </si>
  <si>
    <t>Définir Groupe de Tables</t>
  </si>
  <si>
    <t>Define Group of Tables</t>
  </si>
  <si>
    <t>Define Model</t>
  </si>
  <si>
    <t>Definire Modello</t>
  </si>
  <si>
    <t>Definire Tabella</t>
  </si>
  <si>
    <t>Definire Gruppo di Tabelle</t>
  </si>
  <si>
    <t>Undefining All Tables</t>
  </si>
  <si>
    <t>Indéfinir Toutes les Tables</t>
  </si>
  <si>
    <t>Indéfinir Tous les Groupes</t>
  </si>
  <si>
    <t>Indéfinir Tous les Modèles</t>
  </si>
  <si>
    <t>Undefining All Groups</t>
  </si>
  <si>
    <t>Undefining All Models</t>
  </si>
  <si>
    <t>Indefinendo Tutte le Tabelle</t>
  </si>
  <si>
    <t>Indefinendo Tutti i Gruppi</t>
  </si>
  <si>
    <t>Indefinendo Tutti i Modelli</t>
  </si>
  <si>
    <t>Hide Venue</t>
  </si>
  <si>
    <t>Design de la Salle</t>
  </si>
  <si>
    <t>Venue Designing</t>
  </si>
  <si>
    <t>Progettazione di Locali</t>
  </si>
  <si>
    <t>Affichage Occupation Salle</t>
  </si>
  <si>
    <t>Showing Venue Occupation</t>
  </si>
  <si>
    <t>Mostra Occupazione Sede</t>
  </si>
  <si>
    <t>feuilles Inscriptions</t>
  </si>
  <si>
    <t>feuilles Database</t>
  </si>
  <si>
    <t>feuilles Compétition</t>
  </si>
  <si>
    <t>feuilles Tirage au Sort</t>
  </si>
  <si>
    <t>feuilles de Données de Compétition</t>
  </si>
  <si>
    <t>Registration sheets</t>
  </si>
  <si>
    <t>Database sheets</t>
  </si>
  <si>
    <t>Event sheets</t>
  </si>
  <si>
    <t>Draw sheets</t>
  </si>
  <si>
    <t>Competition Data sheets</t>
  </si>
  <si>
    <t>fogli di Iscrizioni</t>
  </si>
  <si>
    <t>fogli di Database</t>
  </si>
  <si>
    <t>fogli di Competizione</t>
  </si>
  <si>
    <t>fogli di Sorteggio</t>
  </si>
  <si>
    <t>fogli di Dati della Competizione</t>
  </si>
  <si>
    <t>Paramètres</t>
  </si>
  <si>
    <t>Settings</t>
  </si>
  <si>
    <t>Accéder à la configuration de GMFT pour modifier les valeurs des paramètres ainsi que l'adaptation des modèles pour les exports.</t>
  </si>
  <si>
    <t>Access to the GMFT configuration sheet to modify parameters value and export templates</t>
  </si>
  <si>
    <t>Accesso al foglio di configurazione GMFT per modificare il valore dei parametri ed esportare i modelli</t>
  </si>
  <si>
    <t>Configurazione</t>
  </si>
  <si>
    <t>Evolutions du logiciel GMFT</t>
  </si>
  <si>
    <t>GMFT's Release notes</t>
  </si>
  <si>
    <t>Evoluzione del software GMFT</t>
  </si>
  <si>
    <t>Go Home</t>
  </si>
  <si>
    <t>Torna alla pagina iniziale</t>
  </si>
  <si>
    <t>Retour à la feuille d'accueil</t>
  </si>
  <si>
    <t>FISTF Officiel</t>
  </si>
  <si>
    <t>Official FISTF</t>
  </si>
  <si>
    <t>Formules prédéfinies</t>
  </si>
  <si>
    <t>Predefined formula</t>
  </si>
  <si>
    <t>Formule predefinite</t>
  </si>
  <si>
    <t>Compose formula</t>
  </si>
  <si>
    <t>Composer les formules</t>
  </si>
  <si>
    <t>Comporre le formule</t>
  </si>
  <si>
    <t>Exports</t>
  </si>
  <si>
    <t>Site Web</t>
  </si>
  <si>
    <t>Web site</t>
  </si>
  <si>
    <t>Export FISTF</t>
  </si>
  <si>
    <t>FISTF Export</t>
  </si>
  <si>
    <t>Initialize layout</t>
  </si>
  <si>
    <t>Initialiser Mise en Page</t>
  </si>
  <si>
    <t>Inizializza il layout</t>
  </si>
  <si>
    <t>Esportazione FISTF</t>
  </si>
  <si>
    <t>Sito Web</t>
  </si>
  <si>
    <t>Esportazione</t>
  </si>
  <si>
    <t>Voir Sauts de Page</t>
  </si>
  <si>
    <t>View Page Breaks</t>
  </si>
  <si>
    <t>Vedere interruzioni di pagina</t>
  </si>
  <si>
    <t>Normal view</t>
  </si>
  <si>
    <t>Vista normale</t>
  </si>
  <si>
    <t>Imprimer les résultats</t>
  </si>
  <si>
    <t>Print results</t>
  </si>
  <si>
    <t>Stampare risultati</t>
  </si>
  <si>
    <t>Event creation | Individuals | Teams | Doubles</t>
  </si>
  <si>
    <t>Creazione di eventi | Individui | squadre | doppi</t>
  </si>
  <si>
    <t>Ufficiale FISTF</t>
  </si>
  <si>
    <t>Création Compétition | Individuels | Equipes | Doubles</t>
  </si>
  <si>
    <t>Bases de données</t>
  </si>
  <si>
    <t>Databases</t>
  </si>
  <si>
    <t>Banche dati</t>
  </si>
  <si>
    <t>Registrazione</t>
  </si>
  <si>
    <t>Planning et Epreuves</t>
  </si>
  <si>
    <t>Pianificazione ed Eventi</t>
  </si>
  <si>
    <t>Données des compétitions</t>
  </si>
  <si>
    <t>Competitions data</t>
  </si>
  <si>
    <t>Dati sulle competizioni</t>
  </si>
  <si>
    <t>Palazetto</t>
  </si>
  <si>
    <t>Nombre d'articles</t>
  </si>
  <si>
    <t>Nombre d'articles à ajouter à la liste</t>
  </si>
  <si>
    <t>Ajouter les articles</t>
  </si>
  <si>
    <t>Ajouter le nombre d'articles spécifié</t>
  </si>
  <si>
    <t>Supprimer l'article après avoir sélectionné des cellules de l'article à supprimer</t>
  </si>
  <si>
    <t>Number of rows</t>
  </si>
  <si>
    <t>Number of rows to add to the list</t>
  </si>
  <si>
    <t>Add rows</t>
  </si>
  <si>
    <t>Addthe specified number of rows</t>
  </si>
  <si>
    <t>Delete 1 row</t>
  </si>
  <si>
    <t>Delete the row after selection of cells of the row to delete</t>
  </si>
  <si>
    <t>umero di righe</t>
  </si>
  <si>
    <t>Numero di righe da aggiungere all'elenco</t>
  </si>
  <si>
    <t>Aggiungi righe</t>
  </si>
  <si>
    <t>Aggiungi il numero specificato di righe</t>
  </si>
  <si>
    <t>Elimina 1 riga</t>
  </si>
  <si>
    <t>Elimina la riga dopo aver selezionato le celle della riga da eliminare</t>
  </si>
  <si>
    <t>Compléter la grille des inscriptions</t>
  </si>
  <si>
    <t>Mettre à jour le tableau complet des inscriptions</t>
  </si>
  <si>
    <t>Enregistrer les inscriptions</t>
  </si>
  <si>
    <t>Complete the registration grid</t>
  </si>
  <si>
    <t>Update the complete listing table</t>
  </si>
  <si>
    <t>Save the registrations</t>
  </si>
  <si>
    <t>Register checkins and participations in different events</t>
  </si>
  <si>
    <t>Completa la griglia di registrazione</t>
  </si>
  <si>
    <t>Aggiorna la tabella di quotazione completa</t>
  </si>
  <si>
    <t>Salva le registrazioni</t>
  </si>
  <si>
    <t>Registrare i check-in e le partecipazioni in diversi eventi</t>
  </si>
  <si>
    <t>Import des licences FISTF</t>
  </si>
  <si>
    <t>Import FISTF licences</t>
  </si>
  <si>
    <t>Import des clubs</t>
  </si>
  <si>
    <t>Import des classements</t>
  </si>
  <si>
    <t>Importer le fichier Database.xlsm de la FISTF et y récupérer les références des clubs</t>
  </si>
  <si>
    <t>Importer le fichier Database.xlsm de la FISTF et y récupérer les licences des joueurs</t>
  </si>
  <si>
    <t>Import du fichier Web-YYYYMM.xlsx pour récupérer le classement mondial des joueurs</t>
  </si>
  <si>
    <t>Import des classements équipes</t>
  </si>
  <si>
    <t>Import du fichier Web-YYYYMM.xlsx pour récupérer le classement mondial des équipes</t>
  </si>
  <si>
    <t>Trier les joueurs</t>
  </si>
  <si>
    <t xml:space="preserve">Trier les joueurs de chaque équipe par ordre alphabétique </t>
  </si>
  <si>
    <t>Mise à jour du tableau</t>
  </si>
  <si>
    <t>Mise à jour du tableau des arbitrages</t>
  </si>
  <si>
    <t>Mise à jour du tableau des planning individuels des joueurs</t>
  </si>
  <si>
    <t>Import of clubs</t>
  </si>
  <si>
    <t>Import the FISTF Database.xlsm file and get the club references</t>
  </si>
  <si>
    <t>Rankings import</t>
  </si>
  <si>
    <t>Import the Web-YYYYMM.xlsx file to get the world ranking of players</t>
  </si>
  <si>
    <t>Import team rankings</t>
  </si>
  <si>
    <t>Import the Web-YYYYMM.xlsx file to retrieve the world ranking of teams</t>
  </si>
  <si>
    <t>Sort the players</t>
  </si>
  <si>
    <t>Sort players from each team alphabetically</t>
  </si>
  <si>
    <t>Update of the table of the individual schedules of the players</t>
  </si>
  <si>
    <t>mport the FISTF Database.xlsm file and get the players licenses</t>
  </si>
  <si>
    <t>Update of the refereeing table</t>
  </si>
  <si>
    <t>Importa licenze FISTF</t>
  </si>
  <si>
    <t>mport il file Fistf Database.xlsm e ottieni le licenze per i giocatori</t>
  </si>
  <si>
    <t>Importazione di club</t>
  </si>
  <si>
    <t>Importa il file Database.xlsm di FISTF e ottieni i riferimenti del club</t>
  </si>
  <si>
    <t>Importazione delle classifiche</t>
  </si>
  <si>
    <t>Importa il file Web-YYYYMM.xlsx per ottenere il ranking mondiale dei giocatori</t>
  </si>
  <si>
    <t>Importa le classifiche delle squadre</t>
  </si>
  <si>
    <t>Importa il file Web-YYYYMM.xlsx per recuperare la classifica mondiale dei team</t>
  </si>
  <si>
    <t>Ordina i giocatori</t>
  </si>
  <si>
    <t>Ordina i giocatori di ogni squadra in ordine alfabetico</t>
  </si>
  <si>
    <t>Aggiornamento della tabella</t>
  </si>
  <si>
    <t>Aggiornamento del tavolo arbitrale</t>
  </si>
  <si>
    <t>Aggiornamento della tabella dei singoli programmi dei giocatori</t>
  </si>
  <si>
    <t>Mise à jour du tableau des statistiques des joueurs</t>
  </si>
  <si>
    <t>Créer une table</t>
  </si>
  <si>
    <t xml:space="preserve">Déclarer une nouvelle table après avoir sélectionner les cellules groupées représentant la table et contenant le nom de la table </t>
  </si>
  <si>
    <t>Créer un groupe de tables</t>
  </si>
  <si>
    <t xml:space="preserve">Déclarer un nouveau groupe de tables après avoir sélectionné l'ensemble des cellules de la zone contenant dans la cellule haut-gauche le nom du groupe </t>
  </si>
  <si>
    <t>Create a table</t>
  </si>
  <si>
    <t>Declare a new table after selecting the grouped cells representing the table and containing the table name</t>
  </si>
  <si>
    <t>Create a table group</t>
  </si>
  <si>
    <t>Update player statistics table</t>
  </si>
  <si>
    <t>Update of Table</t>
  </si>
  <si>
    <t>Declare a new table group after selecting all cells of the area containing the group name in the top-left cell</t>
  </si>
  <si>
    <t>Aggiorna la tabella delle statistiche del giocatore</t>
  </si>
  <si>
    <t>Crea un tavolo</t>
  </si>
  <si>
    <t>Dichiarare una nuova tabella dopo aver selezionato le celle raggruppate che rappresentano la tabella e contenente il nome della tabella</t>
  </si>
  <si>
    <t>Crea un gruppo di tabelle</t>
  </si>
  <si>
    <t>Dichiarare un nuovo gruppo di tabelle dopo aver selezionato tutte le celle dell'area contenente il nome del gruppo nella cella in alto a sinistra</t>
  </si>
  <si>
    <t>Supprimer les tables</t>
  </si>
  <si>
    <t>Supprimer les définitions de toutes les tables</t>
  </si>
  <si>
    <t>Supprimer les groupes de tables</t>
  </si>
  <si>
    <t>Créer un modèle de table/groupe</t>
  </si>
  <si>
    <t>Supprimer les modèles de table/groupe</t>
  </si>
  <si>
    <t>Supprimer les définitions de tous les modèles de table/groupe</t>
  </si>
  <si>
    <t>Create a table / group template</t>
  </si>
  <si>
    <t>Delete tables</t>
  </si>
  <si>
    <t>Delete definitions from all tables</t>
  </si>
  <si>
    <t>Delete table groups</t>
  </si>
  <si>
    <t>Delete table / group templates</t>
  </si>
  <si>
    <t>Delete definitions from all table / group templates</t>
  </si>
  <si>
    <t>Créer un modèle portant le nom de l'épreuve ou un des termes "Free" ou "FreeGroup". Toute épreuve du planning doit avoir un modèle dédié. De même, les modèles "Free" et "FreeGroup" doivent être obligatoirement définis.</t>
  </si>
  <si>
    <t>Create a template with the name of the event or one of the terms "Free" or "FreeGroup". Any event in the planning must have a dedicated model. Similarly, the "Free" and "FreeGroup" models must be defined.</t>
  </si>
  <si>
    <t>Crea un modello di tabella / gruppo</t>
  </si>
  <si>
    <t>Crea un modello con il nome dell'evento o uno dei termini "Libero" o "Gruppo libero". Qualsiasi evento nella pianificazione deve avere un modello dedicato. Allo stesso modo, i modelli "Free" e "FreeGroup" devono essere definiti.</t>
  </si>
  <si>
    <t>Elimina tabelle</t>
  </si>
  <si>
    <t>Elimina le definizioni da tutte le tabelle</t>
  </si>
  <si>
    <t>Elimina gruppi di tabelle</t>
  </si>
  <si>
    <t>Elimina modelli tabella / gruppo</t>
  </si>
  <si>
    <t>Elimina le definizioni da tutti i modelli di tabelle / gruppi</t>
  </si>
  <si>
    <t>Information affichée</t>
  </si>
  <si>
    <t>Type d'information à afficher sur les tables</t>
  </si>
  <si>
    <t>Numéro Session</t>
  </si>
  <si>
    <t>Numéro de la série du planning à afficher</t>
  </si>
  <si>
    <t>Epreuve Officielle FISTF</t>
  </si>
  <si>
    <t>Création d'une épreuve basée sur les formules officielles de la FISTF</t>
  </si>
  <si>
    <t>Epreuve sur formules prédéfinies</t>
  </si>
  <si>
    <t>Création d'une épreuve basée sur des formules prédéfinies de 3 à 128 joueurs</t>
  </si>
  <si>
    <t>Epreuve personnalisée</t>
  </si>
  <si>
    <t>Création d'une épreuve entièrement personnalisée. ATTENTION: les liens de qualification entre les phases de poule et les phases finales sont à renseigner dans l'onglet de l'épreuve.</t>
  </si>
  <si>
    <t>Information displayed</t>
  </si>
  <si>
    <t>Type of information to display on tables</t>
  </si>
  <si>
    <t>Session number</t>
  </si>
  <si>
    <t>Creation of an event based on predefined formulas of 3 to 128 players</t>
  </si>
  <si>
    <t>FISTF official event</t>
  </si>
  <si>
    <t>Creation of an event based on the official formulas of the FISTF</t>
  </si>
  <si>
    <t>Event based on predefined formulas</t>
  </si>
  <si>
    <t>Custom event</t>
  </si>
  <si>
    <t>Creation of a completely personalized event. ATTENTION: the qualification links between the group stages and the final stages must be entered in the event tab.</t>
  </si>
  <si>
    <t>Informazioni visualizzate</t>
  </si>
  <si>
    <t>Tipo di informazioni da visualizzare sulle tabelle</t>
  </si>
  <si>
    <t>Numero di sessione</t>
  </si>
  <si>
    <t>Pianificare il numero di serie da visualizzare</t>
  </si>
  <si>
    <t>Evento ufficiale FISTF</t>
  </si>
  <si>
    <t>Creazione di un evento basato sulle formule ufficiali della FISTF</t>
  </si>
  <si>
    <t>Evento basato su formule predefinite</t>
  </si>
  <si>
    <t>Creazione di un evento basato su formule predefinite da 3 a 128 giocatori</t>
  </si>
  <si>
    <t>Evento personalizzato</t>
  </si>
  <si>
    <t>Creazione di un evento personalizzato personalizzato. ATTENZIONE: i link di qualificazione tra i gruppi e i corsi finali devono essere inseriti nella scheda dell'evento.</t>
  </si>
  <si>
    <t>Export Web</t>
  </si>
  <si>
    <t>Web export</t>
  </si>
  <si>
    <t>Exporter dans le fichier résultats officiel FISTF</t>
  </si>
  <si>
    <t>Initialiser mise en page</t>
  </si>
  <si>
    <t>Initialiser les entêtes et pieds de page des différentes feuilles en vue de leur impression</t>
  </si>
  <si>
    <t>Afficher les sauts de page</t>
  </si>
  <si>
    <t>Afficher les feuilles à imprimer en mode mise en page pour régler les sauts de page avant impression</t>
  </si>
  <si>
    <t>Revenir à la vue normale</t>
  </si>
  <si>
    <t>Remettre les feuilles à imprimer dans le mode de visualisation standard</t>
  </si>
  <si>
    <t>Préparer l'impression et passer en mode "Aperçu avant impression" pour imprimer</t>
  </si>
  <si>
    <t>FISTF export</t>
  </si>
  <si>
    <t>Export to official FISTF results file</t>
  </si>
  <si>
    <t>Initialize headers and footers of different sheets for printing</t>
  </si>
  <si>
    <t>Show page breaks</t>
  </si>
  <si>
    <t>Display the sheets to print in layout mode to set the page breaks before printing</t>
  </si>
  <si>
    <t>Return to normal view</t>
  </si>
  <si>
    <t>Return the sheets to print in the standard view mode</t>
  </si>
  <si>
    <t>Print the results</t>
  </si>
  <si>
    <t>Prepare printing and switch to "Print Preview" mode to print</t>
  </si>
  <si>
    <t>Inizializza intestazioni e piè di pagina di fogli diversi per la stampa</t>
  </si>
  <si>
    <t>Mostra interruzioni di pagina</t>
  </si>
  <si>
    <t>Visualizza i fogli per stampare in modalità layout per impostare le interruzioni di pagina prima della stampa</t>
  </si>
  <si>
    <t>Ritorna alla visualizzazione normale</t>
  </si>
  <si>
    <t>Restituire i fogli per stampare nella modalità di visualizzazione standard</t>
  </si>
  <si>
    <t>Preparare la stampa e passare alla modalità "Anteprima di stampa" per stampare</t>
  </si>
  <si>
    <t>Esportare nel file di risultati FISTF ufficiale</t>
  </si>
  <si>
    <t>Esportazione Web</t>
  </si>
  <si>
    <t>Formulaire de saisie en masse avec aide sur reherche des noms des joueurs.</t>
  </si>
  <si>
    <t>Bulk entry form with help on finding the names of the players.</t>
  </si>
  <si>
    <t>Modulo di iscrizione in blocco con aiuto nella ricerca dei nomi dei giocatori.</t>
  </si>
  <si>
    <t>Aiuto per l'inserimento dei dati</t>
  </si>
  <si>
    <t>Help for data entry</t>
  </si>
  <si>
    <t>Rafraîchir</t>
  </si>
  <si>
    <t>Déplacement Matches</t>
  </si>
  <si>
    <t>Moving Matches</t>
  </si>
  <si>
    <t>Partite in movimento</t>
  </si>
  <si>
    <t>Gestion des sessions</t>
  </si>
  <si>
    <t>Sessions management</t>
  </si>
  <si>
    <t>Gestion arbitrage</t>
  </si>
  <si>
    <t>Dashboard</t>
  </si>
  <si>
    <t>Scores recordings</t>
  </si>
  <si>
    <t>Refereeing Management</t>
  </si>
  <si>
    <t>Scores registrazioni</t>
  </si>
  <si>
    <t>Gestione dell'arbitraggio</t>
  </si>
  <si>
    <t>Esportazioni</t>
  </si>
  <si>
    <t>Gestione delle sessioni</t>
  </si>
  <si>
    <t>Monter d'1 ligne</t>
  </si>
  <si>
    <t>Monter d'1 ligne les matches sélectionnés</t>
  </si>
  <si>
    <t>Descendre d'1 ligne les matches sélectionnés</t>
  </si>
  <si>
    <t>Supprimer les matches sélectionnés</t>
  </si>
  <si>
    <t>N / A</t>
  </si>
  <si>
    <t>Delete selected matches</t>
  </si>
  <si>
    <t>Move up selected matches by 1 line</t>
  </si>
  <si>
    <t>Move down 1 line</t>
  </si>
  <si>
    <t>Move up 1 line</t>
  </si>
  <si>
    <t>Move down selected matches by 1 line</t>
  </si>
  <si>
    <t>Delete Matches</t>
  </si>
  <si>
    <t>Sposta le partite selezionate di 1 linea</t>
  </si>
  <si>
    <t>Elimina le partite selezionate</t>
  </si>
  <si>
    <t>Next session</t>
  </si>
  <si>
    <t>Move selected matches to the beginning of next session</t>
  </si>
  <si>
    <t>Move selected matches to the beginning of previous session</t>
  </si>
  <si>
    <t>Move selected matches to the beginning of a dedicated session</t>
  </si>
  <si>
    <t>n / a</t>
  </si>
  <si>
    <t>Déplacer les matchs sélectionnés au début de la session précédente</t>
  </si>
  <si>
    <t>Déplacer les matchs sélectionnés au début de la session suivante</t>
  </si>
  <si>
    <t>Déplacer les matchs sélectionnés au début d'une session spécifiée</t>
  </si>
  <si>
    <t>Sposta le partite selezionate all'inizio della sessione precedente</t>
  </si>
  <si>
    <t>Sposta le partite selezionate all'inizio della prossima sessione</t>
  </si>
  <si>
    <t>Sposta le partite selezionate all'inizio di una sessione dedicata</t>
  </si>
  <si>
    <t>Delete last</t>
  </si>
  <si>
    <t>Delete selected session</t>
  </si>
  <si>
    <t>Insérer avant</t>
  </si>
  <si>
    <t>Insert before</t>
  </si>
  <si>
    <t>Insert a new session before selected one</t>
  </si>
  <si>
    <t>Insérer une nouvelle session avant celle sélectionnée</t>
  </si>
  <si>
    <t>Supprimer la session sélectionnée</t>
  </si>
  <si>
    <t>Ajouter à la fin</t>
  </si>
  <si>
    <t>Ajouter une nouvelle session à la fin du planning</t>
  </si>
  <si>
    <t>Supprimer la dernière session du planning</t>
  </si>
  <si>
    <t>Recopier scores</t>
  </si>
  <si>
    <t>Valider scores</t>
  </si>
  <si>
    <t>Copy scores</t>
  </si>
  <si>
    <t>Validate scores</t>
  </si>
  <si>
    <t>Add at the end</t>
  </si>
  <si>
    <t>Delete this one</t>
  </si>
  <si>
    <t>Copy scores in event sheets and invalidate</t>
  </si>
  <si>
    <t>Recopier les score dans les feuilles d'épreuve et dévalider</t>
  </si>
  <si>
    <t>Recopier les score dans les feuilles d'épreuve et valider</t>
  </si>
  <si>
    <t>Copy scores in event sheets and validate</t>
  </si>
  <si>
    <t>Permuter Arbitres</t>
  </si>
  <si>
    <t>Assigner aléatoirement les arbitres à la session en cours ou à la sélection CONTIGÜE de matches dans la session</t>
  </si>
  <si>
    <t xml:space="preserve">Randomly assign referees to the current session or to the contiguous selection of matches </t>
  </si>
  <si>
    <t>Permuter les arbitres des 2 matches sélectionnés</t>
  </si>
  <si>
    <t>Switche referees of the 2 selected matches</t>
  </si>
  <si>
    <t>Génération des feuilles de match pour la ou les sessions désignées</t>
  </si>
  <si>
    <t>Scoresheet generation for specified session(s)</t>
  </si>
  <si>
    <t>Exporter un planning pour la ou les sessions désignées</t>
  </si>
  <si>
    <t>Exporter</t>
  </si>
  <si>
    <t>Export</t>
  </si>
  <si>
    <t>Import</t>
  </si>
  <si>
    <t>Expoorter le tableau des matches</t>
  </si>
  <si>
    <t>Export table of matches</t>
  </si>
  <si>
    <t>Importer les scores via le tableau des matches renseigné</t>
  </si>
  <si>
    <t>Import scores via filled table of matches</t>
  </si>
  <si>
    <t>Exporter les résultats intermédiaires ou finaux des matches avec les classements des groupes, en sélectionnant les sessions concernées</t>
  </si>
  <si>
    <t>Export the intermediate or final matches results together with group rankings, selecting the relevant sessions</t>
  </si>
  <si>
    <t>Ouvrir tableau de bord sur une fenêtre Windows séparée pour affichage des prochains matches et, éventuellement, du Timer</t>
  </si>
  <si>
    <t>Open dashboard on a separate window to display the next matches and, possibly, the Timer</t>
  </si>
  <si>
    <t>Inserisci prima</t>
  </si>
  <si>
    <t>Inserisci una nuova sessione prima di quella selezionata</t>
  </si>
  <si>
    <t>Elimina questo</t>
  </si>
  <si>
    <t>Elimina la sessione selezionata</t>
  </si>
  <si>
    <t>Aggiungi alla fine</t>
  </si>
  <si>
    <t>Aggiungi una nuova sessione al termine della pianificazione</t>
  </si>
  <si>
    <t>Elimina l'ultimo</t>
  </si>
  <si>
    <t>Elimina l'ultima sessione della pianificazione</t>
  </si>
  <si>
    <t>Copia i punteggi</t>
  </si>
  <si>
    <t>Copia i punteggi nei fogli degli eventi e invalida</t>
  </si>
  <si>
    <t>Convalida i punteggi</t>
  </si>
  <si>
    <t>Copia i punteggi nei fogli degli eventi e convalida</t>
  </si>
  <si>
    <t>Assegna Arbitri</t>
  </si>
  <si>
    <t>Assegna in modo casuale gli arbitri alla sessione corrente o alla selezione contigua delle partite</t>
  </si>
  <si>
    <t>Switch Arbitri</t>
  </si>
  <si>
    <t>Arbitri Switche delle 2 partite selezionate</t>
  </si>
  <si>
    <t>Generazione del foglio di calcolo per le sessioni specificate</t>
  </si>
  <si>
    <t>Esportare una pianificazione per le sessioni specificate</t>
  </si>
  <si>
    <t>Esportare</t>
  </si>
  <si>
    <t>Esporta la tabella delle partite</t>
  </si>
  <si>
    <t>Importare</t>
  </si>
  <si>
    <t>Importa i punteggi tramite una tabella di partite piena</t>
  </si>
  <si>
    <t>Esportare i risultati delle partite intermedie o finali insieme alle classifiche dei gruppi, selezionando le sessioni pertinenti</t>
  </si>
  <si>
    <t>Apri dashboard in una finestra separata per visualizzare le corrispondenze successive e, possibilmente, il Timer</t>
  </si>
  <si>
    <t>Session préc.</t>
  </si>
  <si>
    <t>Session suiv.</t>
  </si>
  <si>
    <t>Prev. session</t>
  </si>
  <si>
    <t>Sessione prec.</t>
  </si>
  <si>
    <t>Pross. sessione</t>
  </si>
  <si>
    <t>Sessione N°</t>
  </si>
  <si>
    <t>Desc. d'1 ligne</t>
  </si>
  <si>
    <t>Suppr. Matches</t>
  </si>
  <si>
    <t>Suppr. celle-ci</t>
  </si>
  <si>
    <t>Suppr. dernière</t>
  </si>
  <si>
    <t>Enregistrer scores</t>
  </si>
  <si>
    <t>Feuilles de match</t>
  </si>
  <si>
    <t>Scoresheets</t>
  </si>
  <si>
    <t>Punteggi</t>
  </si>
  <si>
    <t>Résultats et Classements</t>
  </si>
  <si>
    <t>Results and Ranking</t>
  </si>
  <si>
    <t>Risultati ed Ranking</t>
  </si>
  <si>
    <t>Elimina partite</t>
  </si>
  <si>
    <t>Abbassati di 1 riga</t>
  </si>
  <si>
    <t>Titolo della competizione</t>
  </si>
  <si>
    <t>Date de la compétition</t>
  </si>
  <si>
    <t>Mettre à jour si besoin le classement Mondial (dans le cas où ce classement est utilisé dans les critères de classement de poules ou pour l'utilisation de la fonctionnalité de tirage au sort)</t>
  </si>
  <si>
    <t>Update if necessary the ranking (in case of the ranking is used in ranking criterias for groups or in case of using Draw function)</t>
  </si>
  <si>
    <t>Aggiornare se necessario la classifica (in caso di classifica viene utilizzata nei criteri di classificazione per gruppi o in caso di utilizzo della funzione Draw)</t>
  </si>
  <si>
    <t>Afficher les modèles</t>
  </si>
  <si>
    <t>Display models</t>
  </si>
  <si>
    <t>Visualizza i modelli</t>
  </si>
  <si>
    <t>N/A</t>
  </si>
  <si>
    <t>Nationalités</t>
  </si>
  <si>
    <t>Export des résultats des matches avec classement des poules</t>
  </si>
  <si>
    <t>Export du planning</t>
  </si>
  <si>
    <t>Feuille de tirage au sort</t>
  </si>
  <si>
    <t>Modèle pour générer les feuilles de tirage au sort pour chaque épreuve</t>
  </si>
  <si>
    <t>Individual, team and doubles match sheets</t>
  </si>
  <si>
    <t>Draw sheet</t>
  </si>
  <si>
    <t>Template to generate the draw sheets for each event</t>
  </si>
  <si>
    <t>Nationalities</t>
  </si>
  <si>
    <t>Gérer les acronymes des nationalités</t>
  </si>
  <si>
    <t>Manage national acronyms</t>
  </si>
  <si>
    <t>Export the results of matches and group rankings</t>
  </si>
  <si>
    <t>Match scoresheets</t>
  </si>
  <si>
    <t>Feuilles de match individuels, par équipes et en doubles</t>
  </si>
  <si>
    <t>Gestisci acronimi nazionali</t>
  </si>
  <si>
    <t>risultati</t>
  </si>
  <si>
    <t>Esporta i risultati delle partite classificate</t>
  </si>
  <si>
    <t>Abbina i fogli di calcolo</t>
  </si>
  <si>
    <t>Fogli di partite individuali, di squadra e doppi</t>
  </si>
  <si>
    <t>Pianifica esportazione</t>
  </si>
  <si>
    <t>Disegna foglio</t>
  </si>
  <si>
    <t>Modello per generare i fogli di disegno per ciascun evento</t>
  </si>
  <si>
    <t>Planning export</t>
  </si>
  <si>
    <t>Valeur par défaut de la session de départ</t>
  </si>
  <si>
    <t>Default value for Start Session</t>
  </si>
  <si>
    <t>Valore predefinito per l'inizio di sessione</t>
  </si>
  <si>
    <t>Valeur par défaut du nombre de sessions</t>
  </si>
  <si>
    <t>Default value of the number of sessions</t>
  </si>
  <si>
    <t>Valore predefinito dei numeri di sessione</t>
  </si>
  <si>
    <t>Directory</t>
  </si>
  <si>
    <t>Relative path</t>
  </si>
  <si>
    <t>DASHBOARD</t>
  </si>
  <si>
    <t>POINTS</t>
  </si>
  <si>
    <t>PLANNING - EVENT CREATION - REFEREE SELECTION - LABELS</t>
  </si>
  <si>
    <t>REFEREEING CONTROLS &amp; SELECTION CRITERIA</t>
  </si>
  <si>
    <t>WEB EXPORT</t>
  </si>
  <si>
    <t>COMMON PARAMETERS</t>
  </si>
  <si>
    <t>PRINTING</t>
  </si>
  <si>
    <t>VARIOUS PARAMETERS</t>
  </si>
  <si>
    <t>HIDDEN LISTS - DO NOT MODIFY !</t>
  </si>
  <si>
    <t>OngletsMSO Ruban Visibles</t>
  </si>
  <si>
    <t>Onglets MSO Ruban Cachés</t>
  </si>
  <si>
    <t xml:space="preserve">Ribbon's MSO tabs Hidden </t>
  </si>
  <si>
    <t xml:space="preserve">Ribbon's MSO tabs Visible </t>
  </si>
  <si>
    <t>Schede MSO del nastro Visibile</t>
  </si>
  <si>
    <t>Schede MSO del nastro Nacosta</t>
  </si>
  <si>
    <t>Verrouiller / déverrouiller le Classeur</t>
  </si>
  <si>
    <t>Déverrouille ou verrouille les classeur entier de sorte à pouvoir afficher des feuilles cachées par exemple.</t>
  </si>
  <si>
    <t>Lock / unlock the Workbook</t>
  </si>
  <si>
    <t>Lock or unlock the full workbook in order, for example, to display hidden sheets.</t>
  </si>
  <si>
    <t>Blocca / sblocca la cartella di lavoro</t>
  </si>
  <si>
    <t>Bloccare o sbloccare la cartella di lavoro completa in ordine, ad esempio, per visualizzare i fogli nascosti.</t>
  </si>
  <si>
    <t>Afficher/Masquer les onglets Microsoft du Ruban</t>
  </si>
  <si>
    <t>Show / Hide Microsoft Ribbon Tabs</t>
  </si>
  <si>
    <t>Afficher ou Masquer les onglets standard de Microsoft du Ruban Office.</t>
  </si>
  <si>
    <t>Show or hide standard Microsoft tabs on the Office Ribbon.</t>
  </si>
  <si>
    <t>Mostra / nascondi le schede della barra multifunzione di Microsoft</t>
  </si>
  <si>
    <t>Mostra o nascondi le schede Microsoft standard sulla barra multifunzione di Office.</t>
  </si>
  <si>
    <t>Gestion Epreuve</t>
  </si>
  <si>
    <t>Event Management</t>
  </si>
  <si>
    <t>Créer fiche tirage au sort</t>
  </si>
  <si>
    <t>Create Draw Sheet</t>
  </si>
  <si>
    <t>Tirage au Sort</t>
  </si>
  <si>
    <t>Création de la feuille de tirage au sort</t>
  </si>
  <si>
    <t>Supprimer Epreuve</t>
  </si>
  <si>
    <t>Supprimer cette épreuve</t>
  </si>
  <si>
    <t>Supprime la feuille d'épreuve et met à jour la feuille planning</t>
  </si>
  <si>
    <t>Create Draw</t>
  </si>
  <si>
    <t>Create the Draw sheet for this event</t>
  </si>
  <si>
    <t>Delete Event</t>
  </si>
  <si>
    <t>Delete this Event</t>
  </si>
  <si>
    <t>Delete this event and update the planning</t>
  </si>
  <si>
    <t>Gestione di eventi</t>
  </si>
  <si>
    <t>Crea foglio di disegno</t>
  </si>
  <si>
    <t>Crea Draw</t>
  </si>
  <si>
    <t>Crea il foglio di disegno per questo evento</t>
  </si>
  <si>
    <t>Elimina evento</t>
  </si>
  <si>
    <t>Elimina questo evento</t>
  </si>
  <si>
    <t>Elimina questo evento e aggiorna la pianificazione</t>
  </si>
  <si>
    <t>Gestione dei fogli</t>
  </si>
  <si>
    <t>Gestion Tirage au Sort</t>
  </si>
  <si>
    <t>Draw Management</t>
  </si>
  <si>
    <t>Têtes de série</t>
  </si>
  <si>
    <t>Définir les têtes de série</t>
  </si>
  <si>
    <t>Attribuer les 1ers de chaque groupe avec les 1ers de la liste des participants triés par classement</t>
  </si>
  <si>
    <t>Tirage position suivante</t>
  </si>
  <si>
    <t>Tirage au sort de la position suivante</t>
  </si>
  <si>
    <t>Tire au sort des numéros pour la position suivante jusqu'à trouver un numéro non encore utilisé</t>
  </si>
  <si>
    <t>Tirage global</t>
  </si>
  <si>
    <t>Tirage de toutes les positions</t>
  </si>
  <si>
    <t>Tire au sort les numéros de toutes les positions en veillant à ne pas dupliquer les numéros tirés</t>
  </si>
  <si>
    <t>Make Withdraw</t>
  </si>
  <si>
    <t>Déclarer Forfait</t>
  </si>
  <si>
    <t>Déclarer le joueur forfait</t>
  </si>
  <si>
    <t>Remplace le nom du joueur sélectionné dans la liste des "Participants Classement" par la mention "Forfait"</t>
  </si>
  <si>
    <t>Valider Tirage</t>
  </si>
  <si>
    <t>Valider le tirage au sort</t>
  </si>
  <si>
    <t>Valide le tirage au sort en recopiant les noms des joueurs dans les groupes de la feuille de l'épreuve corespondante</t>
  </si>
  <si>
    <t>Supprimer Feuille Tirage</t>
  </si>
  <si>
    <t>Supprime la feuille de tirage au sort</t>
  </si>
  <si>
    <t>Define the seeded</t>
  </si>
  <si>
    <t>Draw next position</t>
  </si>
  <si>
    <t>Overall draw</t>
  </si>
  <si>
    <t>Draw all positions</t>
  </si>
  <si>
    <t>Draw lots of all positions, taking care not to duplicate numbers drawn</t>
  </si>
  <si>
    <t>Validate Draw</t>
  </si>
  <si>
    <t>Validate the draw</t>
  </si>
  <si>
    <t>First seeds</t>
  </si>
  <si>
    <t>Assign the 1st of each group with the 1st of the list of participants sorted by rank</t>
  </si>
  <si>
    <t>Draw numbers for the next position until it finds a number not yet used</t>
  </si>
  <si>
    <t>Declare the player withdraw</t>
  </si>
  <si>
    <t>Replaces the name of the selected player in the list of "Participants Ranking" with the mention "Withdraw"</t>
  </si>
  <si>
    <t>Validate the draw by copying the names of the players in the groups of the corresponding event sheet</t>
  </si>
  <si>
    <t>Remove Draw sheet</t>
  </si>
  <si>
    <t>Supprimer la feuille tirage au sort</t>
  </si>
  <si>
    <t>Delete the draw sheet</t>
  </si>
  <si>
    <t>Primi semi</t>
  </si>
  <si>
    <t>Definisci il seme</t>
  </si>
  <si>
    <t>Assegna il 1 ° di ogni gruppo al 1 ° della lista dei partecipanti ordinati per rank</t>
  </si>
  <si>
    <t>Disegna la prossima posizione</t>
  </si>
  <si>
    <t>Disegna i numeri per la prossima posizione finché non trova un numero non ancora utilizzato</t>
  </si>
  <si>
    <t>Sorteggio generale</t>
  </si>
  <si>
    <t>Disegna tutte le posizioni</t>
  </si>
  <si>
    <t>Disegna molte posizioni, facendo attenzione a non duplicare i numeri estratti</t>
  </si>
  <si>
    <t>Fai Ritirare</t>
  </si>
  <si>
    <t>Dichiarare che il giocatore si ritira</t>
  </si>
  <si>
    <t>Sostituisce il nome del giocatore selezionato nella lista di "Classifica dei partecipanti" con la menzione "Prelevare"</t>
  </si>
  <si>
    <t>Convalida il disegno</t>
  </si>
  <si>
    <t>Convalida il sorteggio</t>
  </si>
  <si>
    <t>Convalidare l'estrazione copiando i nomi dei giocatori nei gruppi della scheda evento corrispondente</t>
  </si>
  <si>
    <t>Rimuovi il foglio di disegno</t>
  </si>
  <si>
    <t>Elimina il foglio di disegno</t>
  </si>
  <si>
    <t>Activation/Désactivation de la règle du score maximum</t>
  </si>
  <si>
    <t>Max Score activated</t>
  </si>
  <si>
    <t>Score Maximum activé</t>
  </si>
  <si>
    <t>Score Maximum désactivé</t>
  </si>
  <si>
    <t>Max Score deactivated</t>
  </si>
  <si>
    <t>Application Score Maximum</t>
  </si>
  <si>
    <t>Max Score application</t>
  </si>
  <si>
    <t>Activate/deactivate the rule for maximum scores</t>
  </si>
  <si>
    <t>Epreuve d'inscription</t>
  </si>
  <si>
    <t>Epreuve dans laquelle sont inscrits les joueurs de cette épreuve. Par exemple, pour un tournoi B Open, on sélectionne "Open". Par défaut, la valeur sélectionnée est celle de l'épreuve elle-même.</t>
  </si>
  <si>
    <t>Event of checkin</t>
  </si>
  <si>
    <t>Event in which players are registered. For example, for an Open B event, we select "Open". By default, the selected value is the one of the event itself.</t>
  </si>
  <si>
    <t>Planning and Events</t>
  </si>
  <si>
    <t>Kluge</t>
  </si>
  <si>
    <t>Milbo Hansen</t>
  </si>
  <si>
    <t>Faour</t>
  </si>
  <si>
    <t>Møller</t>
  </si>
  <si>
    <t>Bøge</t>
  </si>
  <si>
    <t>Idriss</t>
  </si>
  <si>
    <t>Lampis</t>
  </si>
  <si>
    <t>Liguori</t>
  </si>
  <si>
    <t>Scano</t>
  </si>
  <si>
    <t>Farina</t>
  </si>
  <si>
    <t>Garau</t>
  </si>
  <si>
    <t>Limbardi</t>
  </si>
  <si>
    <t>Portoghese</t>
  </si>
  <si>
    <t>Cardia</t>
  </si>
  <si>
    <t>Damasco</t>
  </si>
  <si>
    <t>Richichi</t>
  </si>
  <si>
    <t>Belli</t>
  </si>
  <si>
    <t>Magro</t>
  </si>
  <si>
    <t>Palazzoli</t>
  </si>
  <si>
    <t>Mazzau</t>
  </si>
  <si>
    <t>Carlucci</t>
  </si>
  <si>
    <t>Cucinella</t>
  </si>
  <si>
    <t>Camerini</t>
  </si>
  <si>
    <t>Minna</t>
  </si>
  <si>
    <t>Mohammad</t>
  </si>
  <si>
    <t>Mads</t>
  </si>
  <si>
    <t>Uffe</t>
  </si>
  <si>
    <t>Julius</t>
  </si>
  <si>
    <t>Nadja</t>
  </si>
  <si>
    <t>Batool</t>
  </si>
  <si>
    <t>Bertram</t>
  </si>
  <si>
    <t>Khalil</t>
  </si>
  <si>
    <t>Mihai</t>
  </si>
  <si>
    <t>Safa</t>
  </si>
  <si>
    <t>Pia</t>
  </si>
  <si>
    <t>Efisio</t>
  </si>
  <si>
    <t>Emilio</t>
  </si>
  <si>
    <t>DEN0100</t>
  </si>
  <si>
    <t>DEN0101</t>
  </si>
  <si>
    <t>DEN0102</t>
  </si>
  <si>
    <t>DEN0103</t>
  </si>
  <si>
    <t>DEN0104</t>
  </si>
  <si>
    <t>DEN0105</t>
  </si>
  <si>
    <t>DEN0106</t>
  </si>
  <si>
    <t>DEN0107</t>
  </si>
  <si>
    <t>DEN0108</t>
  </si>
  <si>
    <t>DEN0109</t>
  </si>
  <si>
    <t>DEN0110</t>
  </si>
  <si>
    <t>GER0143</t>
  </si>
  <si>
    <t>GRE0657</t>
  </si>
  <si>
    <t>GRE0658</t>
  </si>
  <si>
    <t>GRE0659</t>
  </si>
  <si>
    <t>ITA1257</t>
  </si>
  <si>
    <t>ITA1590</t>
  </si>
  <si>
    <t>ITA2554</t>
  </si>
  <si>
    <t>ITA2749</t>
  </si>
  <si>
    <t>ITA2751</t>
  </si>
  <si>
    <t>ITA2752</t>
  </si>
  <si>
    <t>ITA2753</t>
  </si>
  <si>
    <t>ITA2754</t>
  </si>
  <si>
    <t>ITA2755</t>
  </si>
  <si>
    <t>ITA2758</t>
  </si>
  <si>
    <t>ITA2767</t>
  </si>
  <si>
    <t>ITA2768</t>
  </si>
  <si>
    <t>ITA2771</t>
  </si>
  <si>
    <t>ITA2773</t>
  </si>
  <si>
    <t>ITA2774</t>
  </si>
  <si>
    <t>ITA2778</t>
  </si>
  <si>
    <t>ITA2781</t>
  </si>
  <si>
    <t>ITA2783</t>
  </si>
  <si>
    <t>ITA2789</t>
  </si>
  <si>
    <t>ITA2791</t>
  </si>
  <si>
    <t>Thessaloniki United TSC</t>
  </si>
  <si>
    <t>Merseyside SC</t>
  </si>
  <si>
    <t>Azzurra 99 Napoli</t>
  </si>
  <si>
    <t>mmm</t>
  </si>
  <si>
    <t>ipp</t>
  </si>
  <si>
    <t>thu</t>
  </si>
  <si>
    <t>azn</t>
  </si>
  <si>
    <t>VARRIALE</t>
  </si>
  <si>
    <t>LAMPIS</t>
  </si>
  <si>
    <t>PARUSSINI</t>
  </si>
  <si>
    <t>SPOORS</t>
  </si>
  <si>
    <t>CHONDROUDAKIS</t>
  </si>
  <si>
    <t>Disqualifiés</t>
  </si>
  <si>
    <t>Disqualified</t>
  </si>
  <si>
    <t>Squalificato</t>
  </si>
  <si>
    <t>Finaliste</t>
  </si>
  <si>
    <t>Finalista</t>
  </si>
  <si>
    <t>Fourth</t>
  </si>
  <si>
    <t>Third</t>
  </si>
  <si>
    <t>Terzo</t>
  </si>
  <si>
    <t>Quarto</t>
  </si>
  <si>
    <t>Troisième</t>
  </si>
  <si>
    <t>Quatrième</t>
  </si>
  <si>
    <t>Session de dernier arbitrage</t>
  </si>
  <si>
    <t>Session of the last refereeing</t>
  </si>
  <si>
    <t>Sessione dell'ultimo arbitraggio</t>
  </si>
  <si>
    <t>Varney</t>
  </si>
  <si>
    <t>Scott</t>
  </si>
  <si>
    <t>Badger</t>
  </si>
  <si>
    <t>Jaillet</t>
  </si>
  <si>
    <t>Mukai</t>
  </si>
  <si>
    <t>Farrugia Randon</t>
  </si>
  <si>
    <t>Attard</t>
  </si>
  <si>
    <t>Botas</t>
  </si>
  <si>
    <t>Cheow Hwa</t>
  </si>
  <si>
    <t>Kumar</t>
  </si>
  <si>
    <t>Lew</t>
  </si>
  <si>
    <t>Bedford</t>
  </si>
  <si>
    <t>Newton</t>
  </si>
  <si>
    <t>Lineton</t>
  </si>
  <si>
    <t>Stanley</t>
  </si>
  <si>
    <t>Walter Joseph</t>
  </si>
  <si>
    <t>Tong Leng</t>
  </si>
  <si>
    <t>Vikkram S</t>
  </si>
  <si>
    <t>Melissa</t>
  </si>
  <si>
    <t>ENG0131</t>
  </si>
  <si>
    <t>ENG0356</t>
  </si>
  <si>
    <t>ENG0357</t>
  </si>
  <si>
    <t>FRA0210</t>
  </si>
  <si>
    <t>MLT0101</t>
  </si>
  <si>
    <t>MLT0118</t>
  </si>
  <si>
    <t>POR0048</t>
  </si>
  <si>
    <t>POR0212</t>
  </si>
  <si>
    <t>SGP0132</t>
  </si>
  <si>
    <t>SGP0133</t>
  </si>
  <si>
    <t>SGP0134</t>
  </si>
  <si>
    <t>SGP0135</t>
  </si>
  <si>
    <t>SGP0136</t>
  </si>
  <si>
    <t>WAL0048</t>
  </si>
  <si>
    <t>WAL0049</t>
  </si>
  <si>
    <t>WAL0050</t>
  </si>
  <si>
    <t>Liverpool TSC</t>
  </si>
  <si>
    <t>lts</t>
  </si>
  <si>
    <t>wsf</t>
  </si>
  <si>
    <t>att</t>
  </si>
  <si>
    <t>CUBETA</t>
  </si>
  <si>
    <t>HAMMONDS</t>
  </si>
  <si>
    <t>SCOTT</t>
  </si>
  <si>
    <t>BADGER</t>
  </si>
  <si>
    <t>KARATARAKIS</t>
  </si>
  <si>
    <t>GARCÍA</t>
  </si>
  <si>
    <t>FRASCA</t>
  </si>
  <si>
    <t>POLSINELLI</t>
  </si>
  <si>
    <t>CAVIGLIA</t>
  </si>
  <si>
    <t>MUKAI</t>
  </si>
  <si>
    <t>Mauvais chemin de répertoire</t>
  </si>
  <si>
    <t>Bad folder path</t>
  </si>
  <si>
    <t>Percorso della cartella errato</t>
  </si>
  <si>
    <t>Nom du répertoire (relatif au chemin)</t>
  </si>
  <si>
    <t>Directory Name (relative to the path)</t>
  </si>
  <si>
    <t>Nome della directory (relativo al percorso)</t>
  </si>
  <si>
    <t>Certaines épreuves ne sont pas définies en tant que modèles de table</t>
  </si>
  <si>
    <t>Some events are not defined as table models</t>
  </si>
  <si>
    <t>Alcune dimostrazioni non sono definite come modelli di tabella</t>
  </si>
  <si>
    <t>You must select either "… for individuals" or "… for teams"</t>
  </si>
  <si>
    <t>Planning series number to display</t>
  </si>
  <si>
    <t>Export a Planning for specified session(s)</t>
  </si>
  <si>
    <t>Add a new session at the end of Planning</t>
  </si>
  <si>
    <t>Delete the last session of the Planning</t>
  </si>
  <si>
    <t>When you validate chekin in the "checkin" sheet, this list is completly erased and restored and your personnal criterias are all suppressed</t>
  </si>
  <si>
    <t>Le mode de calcul Excel a été positionné en mode "Manuel" pour de meilleures performances.
Avant de quitter GMFT, vous pouvez cliquer sur le bouton "Calcul Manuel" dans le ruban,  pour basculer en automatique.</t>
  </si>
  <si>
    <t>The Excel calculation mode has been set to "Manual" for performance purposes.
Before leaving GMFT, you can click on the "Manual Calculation" button  in the ribbon to reset calculation mode to "Automatic".</t>
  </si>
  <si>
    <t>La modalità di calcolo Excel è stata impostata su "Manuale" a fini di prestazioni.
Prima di lasciare GMFT, è possibile fare clic sul pulsante "Calcolo manuale" nella barra multifunzione per ripristinare la modalità di calcolo su "Automatico".</t>
  </si>
  <si>
    <t>Ball</t>
  </si>
  <si>
    <t>Falk-Hansen</t>
  </si>
  <si>
    <t>Mørch</t>
  </si>
  <si>
    <t>Lavender</t>
  </si>
  <si>
    <t>Hernández</t>
  </si>
  <si>
    <t>Balard</t>
  </si>
  <si>
    <t>Bastin</t>
  </si>
  <si>
    <t>Lafontaine</t>
  </si>
  <si>
    <t>Stechern</t>
  </si>
  <si>
    <t>Messonisanakis</t>
  </si>
  <si>
    <t>Rovalis</t>
  </si>
  <si>
    <t>Floros</t>
  </si>
  <si>
    <t>Stefanis</t>
  </si>
  <si>
    <t>Tsagkaridis</t>
  </si>
  <si>
    <t>Orfanoudakis</t>
  </si>
  <si>
    <t>Kampas</t>
  </si>
  <si>
    <t>Rouvalis</t>
  </si>
  <si>
    <t>Vardakis</t>
  </si>
  <si>
    <t>Tsakoniatis</t>
  </si>
  <si>
    <t>Theodosiou</t>
  </si>
  <si>
    <t>Charalambou</t>
  </si>
  <si>
    <t>Charamis</t>
  </si>
  <si>
    <t>Mellios</t>
  </si>
  <si>
    <t>Tsimoudis</t>
  </si>
  <si>
    <t>Chiotis</t>
  </si>
  <si>
    <t>Spyropoulos</t>
  </si>
  <si>
    <t>Rabacchin</t>
  </si>
  <si>
    <t>Gagliardi</t>
  </si>
  <si>
    <t>Pianigiani</t>
  </si>
  <si>
    <t>Bilucaglia</t>
  </si>
  <si>
    <t>Lavoratti</t>
  </si>
  <si>
    <t>Gazzarri</t>
  </si>
  <si>
    <t>Maielli</t>
  </si>
  <si>
    <t>Passeroni</t>
  </si>
  <si>
    <t>Cecchi</t>
  </si>
  <si>
    <t>Tonet</t>
  </si>
  <si>
    <t>Rossitto</t>
  </si>
  <si>
    <t>Spiller</t>
  </si>
  <si>
    <t>Periccioli</t>
  </si>
  <si>
    <t>Fina</t>
  </si>
  <si>
    <t>Perri</t>
  </si>
  <si>
    <t>Arrighetti</t>
  </si>
  <si>
    <t>Buzzo</t>
  </si>
  <si>
    <t>Benedetto</t>
  </si>
  <si>
    <t>Chianucci</t>
  </si>
  <si>
    <t>Bonelli</t>
  </si>
  <si>
    <t>Cacioppo</t>
  </si>
  <si>
    <t>Lussu</t>
  </si>
  <si>
    <t>Riva</t>
  </si>
  <si>
    <t>Del Genovese</t>
  </si>
  <si>
    <t>Sforzini</t>
  </si>
  <si>
    <t>Stewart</t>
  </si>
  <si>
    <t>Magno</t>
  </si>
  <si>
    <t>Bin Sahir</t>
  </si>
  <si>
    <t>Seow</t>
  </si>
  <si>
    <t>Jonny</t>
  </si>
  <si>
    <t>Kristoffer</t>
  </si>
  <si>
    <t>Kasper</t>
  </si>
  <si>
    <t>Curtis</t>
  </si>
  <si>
    <t>Esteban</t>
  </si>
  <si>
    <t>Antonio Manuel</t>
  </si>
  <si>
    <t>Serge</t>
  </si>
  <si>
    <t>Iosif</t>
  </si>
  <si>
    <t>Anderas</t>
  </si>
  <si>
    <t>Asterios</t>
  </si>
  <si>
    <t>Giorgos Aggelos</t>
  </si>
  <si>
    <t>Gianmaria</t>
  </si>
  <si>
    <t>Cosimo</t>
  </si>
  <si>
    <t>Duccio</t>
  </si>
  <si>
    <t>Sacha</t>
  </si>
  <si>
    <t>Cláudio Miguel</t>
  </si>
  <si>
    <t>Pedro M</t>
  </si>
  <si>
    <t>Beatriz</t>
  </si>
  <si>
    <t>Mohammed Irwan</t>
  </si>
  <si>
    <t>AUS0003</t>
  </si>
  <si>
    <t>AUS0028</t>
  </si>
  <si>
    <t>DEN0081</t>
  </si>
  <si>
    <t>DEN0085</t>
  </si>
  <si>
    <t>DEN0111</t>
  </si>
  <si>
    <t>ENG0171</t>
  </si>
  <si>
    <t>ESP0490</t>
  </si>
  <si>
    <t>FRA0010</t>
  </si>
  <si>
    <t>FRA0012</t>
  </si>
  <si>
    <t>FRA0069</t>
  </si>
  <si>
    <t>GER0144</t>
  </si>
  <si>
    <t>GRE0660</t>
  </si>
  <si>
    <t>GRE0661</t>
  </si>
  <si>
    <t>GRE0662</t>
  </si>
  <si>
    <t>GRE0663</t>
  </si>
  <si>
    <t>GRE0664</t>
  </si>
  <si>
    <t>GRE0665</t>
  </si>
  <si>
    <t>GRE0666</t>
  </si>
  <si>
    <t>GRE0667</t>
  </si>
  <si>
    <t>GRE0668</t>
  </si>
  <si>
    <t>GRE0669</t>
  </si>
  <si>
    <t>GRE0670</t>
  </si>
  <si>
    <t>GRE0671</t>
  </si>
  <si>
    <t>GRE0672</t>
  </si>
  <si>
    <t>GRE0673</t>
  </si>
  <si>
    <t>GRE0674</t>
  </si>
  <si>
    <t>GRE0675</t>
  </si>
  <si>
    <t>GRE0676</t>
  </si>
  <si>
    <t>GRE0677</t>
  </si>
  <si>
    <t>GRE0678</t>
  </si>
  <si>
    <t>GRE0679</t>
  </si>
  <si>
    <t>GRE0680</t>
  </si>
  <si>
    <t>GRE0681</t>
  </si>
  <si>
    <t>GRE0682</t>
  </si>
  <si>
    <t>GRE0683</t>
  </si>
  <si>
    <t>GRE0684</t>
  </si>
  <si>
    <t>GRE0685</t>
  </si>
  <si>
    <t>GRE0686</t>
  </si>
  <si>
    <t>GRE0687</t>
  </si>
  <si>
    <t>GRE0688</t>
  </si>
  <si>
    <t>GRE0689</t>
  </si>
  <si>
    <t>ITA1575</t>
  </si>
  <si>
    <t>ITA2269</t>
  </si>
  <si>
    <t>ITA2317</t>
  </si>
  <si>
    <t>ITA2571</t>
  </si>
  <si>
    <t>ITA2796</t>
  </si>
  <si>
    <t>ITA2797</t>
  </si>
  <si>
    <t>ITA2810</t>
  </si>
  <si>
    <t>ITA2812</t>
  </si>
  <si>
    <t>ITA2814</t>
  </si>
  <si>
    <t>ITA2816</t>
  </si>
  <si>
    <t>ITA2817</t>
  </si>
  <si>
    <t>ITA2818</t>
  </si>
  <si>
    <t>ITA2819</t>
  </si>
  <si>
    <t>ITA2823</t>
  </si>
  <si>
    <t>ITA2825</t>
  </si>
  <si>
    <t>ITA2826</t>
  </si>
  <si>
    <t>ITA2831</t>
  </si>
  <si>
    <t>ITA2842</t>
  </si>
  <si>
    <t>ITA2843</t>
  </si>
  <si>
    <t>ITA2851</t>
  </si>
  <si>
    <t>ITA2856</t>
  </si>
  <si>
    <t>ITA2860</t>
  </si>
  <si>
    <t>ITA2867</t>
  </si>
  <si>
    <t>ITA2868</t>
  </si>
  <si>
    <t>ITA2870</t>
  </si>
  <si>
    <t>ITA2871</t>
  </si>
  <si>
    <t>ITA2873</t>
  </si>
  <si>
    <t>ITA2880</t>
  </si>
  <si>
    <t>ITA2881</t>
  </si>
  <si>
    <t>ITA2883</t>
  </si>
  <si>
    <t>ITA2884</t>
  </si>
  <si>
    <t>ITA2888</t>
  </si>
  <si>
    <t>ITA2890</t>
  </si>
  <si>
    <t>ITA2891</t>
  </si>
  <si>
    <t>ITA2892</t>
  </si>
  <si>
    <t>ITA2897</t>
  </si>
  <si>
    <t>MLT0122</t>
  </si>
  <si>
    <t>NED0054</t>
  </si>
  <si>
    <t>NIR0026</t>
  </si>
  <si>
    <t>NIR0027</t>
  </si>
  <si>
    <t>POR0214</t>
  </si>
  <si>
    <t>POR0215</t>
  </si>
  <si>
    <t>POR0216</t>
  </si>
  <si>
    <t>POR0218</t>
  </si>
  <si>
    <t>POR0220</t>
  </si>
  <si>
    <t>POR0221</t>
  </si>
  <si>
    <t>POR0224</t>
  </si>
  <si>
    <t>SGP0137</t>
  </si>
  <si>
    <t>SGP0138</t>
  </si>
  <si>
    <t>USA0404</t>
  </si>
  <si>
    <t>SC UD Santa María FM</t>
  </si>
  <si>
    <t>ASD Volterrana 2016</t>
  </si>
  <si>
    <t>Subbuteo.ch</t>
  </si>
  <si>
    <t>CLEMARES</t>
  </si>
  <si>
    <t>SALAZAR</t>
  </si>
  <si>
    <t>AGGELOU</t>
  </si>
  <si>
    <t>CHANOS</t>
  </si>
  <si>
    <t>PELLEGRINO</t>
  </si>
  <si>
    <t>SPILLER</t>
  </si>
  <si>
    <t>NUGER</t>
  </si>
  <si>
    <t>BILLI</t>
  </si>
  <si>
    <t>STEFANIS</t>
  </si>
  <si>
    <t>GALANOPOULOS</t>
  </si>
  <si>
    <t>FRASCARELLI</t>
  </si>
  <si>
    <t>FEYJOO</t>
  </si>
  <si>
    <t>TEKOS</t>
  </si>
  <si>
    <t>ATTARD</t>
  </si>
  <si>
    <t>Verhoeven</t>
  </si>
  <si>
    <t>Lønfeldt</t>
  </si>
  <si>
    <t>Gallart</t>
  </si>
  <si>
    <t>Afratis</t>
  </si>
  <si>
    <t>Valsamakis</t>
  </si>
  <si>
    <t>Tezapsidis</t>
  </si>
  <si>
    <t>Borriello</t>
  </si>
  <si>
    <t>Cionfi</t>
  </si>
  <si>
    <t>Nocchi</t>
  </si>
  <si>
    <t>Catalanotto</t>
  </si>
  <si>
    <t>Lupo</t>
  </si>
  <si>
    <t>Calvo</t>
  </si>
  <si>
    <t>Di Lullo</t>
  </si>
  <si>
    <t>Giubbilini</t>
  </si>
  <si>
    <t>Razzi</t>
  </si>
  <si>
    <t>Toffoletti</t>
  </si>
  <si>
    <t>Marazzato</t>
  </si>
  <si>
    <t>Mussato</t>
  </si>
  <si>
    <t>Villa</t>
  </si>
  <si>
    <t>Giovenali</t>
  </si>
  <si>
    <t>Care</t>
  </si>
  <si>
    <t>Ieppariello</t>
  </si>
  <si>
    <t>Leotta</t>
  </si>
  <si>
    <t>Carrara</t>
  </si>
  <si>
    <t>Simonazzi</t>
  </si>
  <si>
    <t>Garatti</t>
  </si>
  <si>
    <t>Frega</t>
  </si>
  <si>
    <t>Erbì</t>
  </si>
  <si>
    <t>Giraudo</t>
  </si>
  <si>
    <t>Giannelli</t>
  </si>
  <si>
    <t>Tudini</t>
  </si>
  <si>
    <t>Valisnieri</t>
  </si>
  <si>
    <t>Pisu</t>
  </si>
  <si>
    <t>Melis</t>
  </si>
  <si>
    <t>Matalone</t>
  </si>
  <si>
    <t>Fleri Soler</t>
  </si>
  <si>
    <t>Bavasuryan</t>
  </si>
  <si>
    <t>Lam</t>
  </si>
  <si>
    <t>Bin Isnin</t>
  </si>
  <si>
    <t>Bin Idris</t>
  </si>
  <si>
    <t>Bin Aidil</t>
  </si>
  <si>
    <t>Cardinale</t>
  </si>
  <si>
    <t>Lulani</t>
  </si>
  <si>
    <t>Aristogiton</t>
  </si>
  <si>
    <t>Haralambos</t>
  </si>
  <si>
    <t>Aggelos-Konstantinos</t>
  </si>
  <si>
    <t>Ascer</t>
  </si>
  <si>
    <t>Erica</t>
  </si>
  <si>
    <t>Silvio</t>
  </si>
  <si>
    <t>Cristoforo Cristiano</t>
  </si>
  <si>
    <t>Letterio</t>
  </si>
  <si>
    <t>Gian Luca</t>
  </si>
  <si>
    <t>Tullio</t>
  </si>
  <si>
    <t>Donato</t>
  </si>
  <si>
    <t>Shigemi</t>
  </si>
  <si>
    <t>Spencer</t>
  </si>
  <si>
    <t>Claris</t>
  </si>
  <si>
    <t>K. S.</t>
  </si>
  <si>
    <t>Ying En, Vivian</t>
  </si>
  <si>
    <t>Azhari</t>
  </si>
  <si>
    <t>Aidil</t>
  </si>
  <si>
    <t>Haziq Idraki</t>
  </si>
  <si>
    <t>Yong An, Gary</t>
  </si>
  <si>
    <t>AUS0187</t>
  </si>
  <si>
    <t>BEL0399</t>
  </si>
  <si>
    <t>BEL0435</t>
  </si>
  <si>
    <t>ESP0013</t>
  </si>
  <si>
    <t>ESP0538</t>
  </si>
  <si>
    <t>GRE0690</t>
  </si>
  <si>
    <t>GRE0692</t>
  </si>
  <si>
    <t>GRE0693</t>
  </si>
  <si>
    <t>GRE0694</t>
  </si>
  <si>
    <t>GRE0695</t>
  </si>
  <si>
    <t>GRE0696</t>
  </si>
  <si>
    <t>GRE0697</t>
  </si>
  <si>
    <t>ISR0034</t>
  </si>
  <si>
    <t>ISR0035</t>
  </si>
  <si>
    <t>ITA0126</t>
  </si>
  <si>
    <t>ITA1015</t>
  </si>
  <si>
    <t>ITA2514</t>
  </si>
  <si>
    <t>ITA2581</t>
  </si>
  <si>
    <t>ITA2900</t>
  </si>
  <si>
    <t>ITA2906</t>
  </si>
  <si>
    <t>ITA2907</t>
  </si>
  <si>
    <t>ITA2913</t>
  </si>
  <si>
    <t>ITA2916</t>
  </si>
  <si>
    <t>ITA2925</t>
  </si>
  <si>
    <t>ITA2926</t>
  </si>
  <si>
    <t>ITA2929</t>
  </si>
  <si>
    <t>ITA2936</t>
  </si>
  <si>
    <t>ITA2939</t>
  </si>
  <si>
    <t>ITA2940</t>
  </si>
  <si>
    <t>ITA2941</t>
  </si>
  <si>
    <t>ITA2942</t>
  </si>
  <si>
    <t>ITA2943</t>
  </si>
  <si>
    <t>ITA2945</t>
  </si>
  <si>
    <t>ITA2949</t>
  </si>
  <si>
    <t>ITA2960</t>
  </si>
  <si>
    <t>ITA2961</t>
  </si>
  <si>
    <t>ITA2964</t>
  </si>
  <si>
    <t>ITA2965</t>
  </si>
  <si>
    <t>ITA2966</t>
  </si>
  <si>
    <t>ITA2967</t>
  </si>
  <si>
    <t>ITA2968</t>
  </si>
  <si>
    <t>ITA2970</t>
  </si>
  <si>
    <t>ITA2971</t>
  </si>
  <si>
    <t>ITA2972</t>
  </si>
  <si>
    <t>ITA2973</t>
  </si>
  <si>
    <t>ITA2974</t>
  </si>
  <si>
    <t>ITA2978</t>
  </si>
  <si>
    <t>ITA2979</t>
  </si>
  <si>
    <t>ITA2980</t>
  </si>
  <si>
    <t>ITA2984</t>
  </si>
  <si>
    <t>ITA2985</t>
  </si>
  <si>
    <t>ITA2987</t>
  </si>
  <si>
    <t>ITA2992</t>
  </si>
  <si>
    <t>MLT0125</t>
  </si>
  <si>
    <t>MLT0126</t>
  </si>
  <si>
    <t>SCO0062</t>
  </si>
  <si>
    <t>SGP0139</t>
  </si>
  <si>
    <t>SGP0140</t>
  </si>
  <si>
    <t>SGP0141</t>
  </si>
  <si>
    <t>SGP0142</t>
  </si>
  <si>
    <t>SGP0143</t>
  </si>
  <si>
    <t>SGP0144</t>
  </si>
  <si>
    <t>SGP0145</t>
  </si>
  <si>
    <t>Canberra &amp; South Coast TFC</t>
  </si>
  <si>
    <t>Central Victoria TFC</t>
  </si>
  <si>
    <t>Hot Club d'Ecosse</t>
  </si>
  <si>
    <t>Larissa TFC</t>
  </si>
  <si>
    <t>SC Sombrero</t>
  </si>
  <si>
    <t>US Catanzaro Subbuteo</t>
  </si>
  <si>
    <t>Ves Gentes</t>
  </si>
  <si>
    <t>Atletico Pisa</t>
  </si>
  <si>
    <t>CS Solvay Vada</t>
  </si>
  <si>
    <t>Team Campania</t>
  </si>
  <si>
    <t>H'Attard SC</t>
  </si>
  <si>
    <t>Sporting Clube De Portugal</t>
  </si>
  <si>
    <t>cvi</t>
  </si>
  <si>
    <t>nar</t>
  </si>
  <si>
    <t>hot</t>
  </si>
  <si>
    <t>sub</t>
  </si>
  <si>
    <t>PRANTSOUDIS</t>
  </si>
  <si>
    <t>DEL BROCCO</t>
  </si>
  <si>
    <t>GASPARETTO</t>
  </si>
  <si>
    <t>JUNQUERA MIÑAMBRES</t>
  </si>
  <si>
    <t>SALAMOURIS</t>
  </si>
  <si>
    <t>FITOS</t>
  </si>
  <si>
    <t>FLERI SOLER</t>
  </si>
  <si>
    <t>DELLA MONACA</t>
  </si>
  <si>
    <t>WOUTERS</t>
  </si>
  <si>
    <t>PRIFTIS</t>
  </si>
  <si>
    <t>Pinheiro Barthez</t>
  </si>
  <si>
    <t>de Matos</t>
  </si>
  <si>
    <t>Palitot Filho</t>
  </si>
  <si>
    <t>Scavinsky de Alencar</t>
  </si>
  <si>
    <t>Marfa</t>
  </si>
  <si>
    <t>Costa Júnior</t>
  </si>
  <si>
    <t>Cassis</t>
  </si>
  <si>
    <t>dos Santos</t>
  </si>
  <si>
    <t>Perdaens</t>
  </si>
  <si>
    <t>Balaguer</t>
  </si>
  <si>
    <t>Villao</t>
  </si>
  <si>
    <t>Ucha</t>
  </si>
  <si>
    <t>Elesbao</t>
  </si>
  <si>
    <t>Golze</t>
  </si>
  <si>
    <t>Avgitidis</t>
  </si>
  <si>
    <t>Maiandi</t>
  </si>
  <si>
    <t>Iobbi</t>
  </si>
  <si>
    <t>Baglioni</t>
  </si>
  <si>
    <t>Bonanni</t>
  </si>
  <si>
    <t>Marabello</t>
  </si>
  <si>
    <t>Cassani</t>
  </si>
  <si>
    <t>Maglio</t>
  </si>
  <si>
    <t>Róbson Fabricio</t>
  </si>
  <si>
    <t>Emanoel José</t>
  </si>
  <si>
    <t>Thiago Dias</t>
  </si>
  <si>
    <t>Antonio Carlos</t>
  </si>
  <si>
    <t>Pedro Canali</t>
  </si>
  <si>
    <t>Enrique</t>
  </si>
  <si>
    <t>Fanch</t>
  </si>
  <si>
    <t>Jennifer</t>
  </si>
  <si>
    <t>Georgios M</t>
  </si>
  <si>
    <t>Georgios N</t>
  </si>
  <si>
    <t>Daigo</t>
  </si>
  <si>
    <t>Isshin</t>
  </si>
  <si>
    <t>Michael M</t>
  </si>
  <si>
    <t>BRA0132</t>
  </si>
  <si>
    <t>BRA0134</t>
  </si>
  <si>
    <t>BRA0136</t>
  </si>
  <si>
    <t>BRA0137</t>
  </si>
  <si>
    <t>BRA0141</t>
  </si>
  <si>
    <t>CAN0052</t>
  </si>
  <si>
    <t>ESP0065</t>
  </si>
  <si>
    <t>ESP0542</t>
  </si>
  <si>
    <t>ESP0545</t>
  </si>
  <si>
    <t>ESP0548</t>
  </si>
  <si>
    <t>FRA0178</t>
  </si>
  <si>
    <t>FRA0216</t>
  </si>
  <si>
    <t>GER0146</t>
  </si>
  <si>
    <t>GRE0698</t>
  </si>
  <si>
    <t>GRE0699</t>
  </si>
  <si>
    <t>GRE0700</t>
  </si>
  <si>
    <t>GRE0701</t>
  </si>
  <si>
    <t>ITA0499</t>
  </si>
  <si>
    <t>ITA1472</t>
  </si>
  <si>
    <t>ITA1473</t>
  </si>
  <si>
    <t>ITA2290</t>
  </si>
  <si>
    <t>ITA2457</t>
  </si>
  <si>
    <t>ITA2999</t>
  </si>
  <si>
    <t>ITA3003</t>
  </si>
  <si>
    <t>ITA3005</t>
  </si>
  <si>
    <t>ITA3010</t>
  </si>
  <si>
    <t>ITA3011</t>
  </si>
  <si>
    <t>SG '94 Hannover</t>
  </si>
  <si>
    <t>clg</t>
  </si>
  <si>
    <t>tsc</t>
  </si>
  <si>
    <t>com</t>
  </si>
  <si>
    <t>han</t>
  </si>
  <si>
    <t>arv</t>
  </si>
  <si>
    <t>STILLER</t>
  </si>
  <si>
    <t>BATTEN</t>
  </si>
  <si>
    <t>KNUF</t>
  </si>
  <si>
    <t>GRÜNBERG</t>
  </si>
  <si>
    <t>FARRELL</t>
  </si>
  <si>
    <t>MATTHEWS</t>
  </si>
  <si>
    <t>GKOGKOS</t>
  </si>
  <si>
    <t>GERSIE</t>
  </si>
  <si>
    <t>PONTÉ</t>
  </si>
  <si>
    <t>STECHERN</t>
  </si>
  <si>
    <t>ELESBAO</t>
  </si>
  <si>
    <t>STEWART</t>
  </si>
  <si>
    <t>LAFONTAINE</t>
  </si>
  <si>
    <t>ROUIS</t>
  </si>
  <si>
    <t>TILGNER</t>
  </si>
  <si>
    <t>SCHULZ</t>
  </si>
  <si>
    <t>REITZ</t>
  </si>
  <si>
    <t>POPP</t>
  </si>
  <si>
    <t>MADIONA</t>
  </si>
  <si>
    <t>KROMMYDAS</t>
  </si>
  <si>
    <t>FLEMER</t>
  </si>
  <si>
    <t>FOUETILLOU</t>
  </si>
  <si>
    <t>FARZA</t>
  </si>
  <si>
    <t>MULASMAJIC</t>
  </si>
  <si>
    <t>VARNEY</t>
  </si>
  <si>
    <t>MORI</t>
  </si>
  <si>
    <t>ARAUJO</t>
  </si>
  <si>
    <t>Registration export parameters</t>
  </si>
  <si>
    <t xml:space="preserve">Paramètres d'export des Inscriptions </t>
  </si>
  <si>
    <t>Parametri di esportazione della registrazione</t>
  </si>
  <si>
    <t>Paramètres pour l'export des inscriptions</t>
  </si>
  <si>
    <t>Parameters for Registrations export</t>
  </si>
  <si>
    <t>Esporta parametri della registrazione</t>
  </si>
  <si>
    <t>Chemin du répertoire du Site des Inscriptions</t>
  </si>
  <si>
    <t>Registrations Site directory path</t>
  </si>
  <si>
    <t>Percorso della directory di Registrazione Site</t>
  </si>
  <si>
    <t>REGISTRATION EXPORT</t>
  </si>
  <si>
    <t>Theme Choice</t>
  </si>
  <si>
    <t>Export Inscriptions</t>
  </si>
  <si>
    <t>Exporter les Inscriptions vers le Site Web Inscriptions</t>
  </si>
  <si>
    <t>Export Data to the Registrations Web Site</t>
  </si>
  <si>
    <t>Esporta i dati sul sito Web delle registrazioni</t>
  </si>
  <si>
    <t>Registrations export</t>
  </si>
  <si>
    <t>Esportazione registrazioni</t>
  </si>
  <si>
    <t>Add of Registrations Export =&gt; possibility to include Registrations Tables in different themes into Organizer web site</t>
  </si>
  <si>
    <t>Maida</t>
  </si>
  <si>
    <t>Kidsley</t>
  </si>
  <si>
    <t>Kosuke</t>
  </si>
  <si>
    <t>ENG0373</t>
  </si>
  <si>
    <t>SGP0146</t>
  </si>
  <si>
    <t>USA0405</t>
  </si>
  <si>
    <t>USA0406</t>
  </si>
  <si>
    <t>Subbuteo Casale</t>
  </si>
  <si>
    <t>Subbuteo L'aquila Club</t>
  </si>
  <si>
    <t>aql</t>
  </si>
  <si>
    <t>EYES</t>
  </si>
  <si>
    <t>LAVENDER</t>
  </si>
  <si>
    <t>ERBÌ</t>
  </si>
  <si>
    <t>COLINDRES</t>
  </si>
  <si>
    <t>ZUNINO</t>
  </si>
  <si>
    <t>TRAINER</t>
  </si>
  <si>
    <t>SMITH</t>
  </si>
  <si>
    <t>VITULANO</t>
  </si>
  <si>
    <t>SHERIDAN</t>
  </si>
  <si>
    <t>FOSTER</t>
  </si>
  <si>
    <t>FUNARO</t>
  </si>
  <si>
    <t>ROWLEY</t>
  </si>
  <si>
    <t>PERICCIOLI</t>
  </si>
  <si>
    <t>AREA D 17 to 20</t>
  </si>
  <si>
    <t>AREA C 13 to 16</t>
  </si>
  <si>
    <t>AREA B 9 to 12</t>
  </si>
  <si>
    <t>AREA F 25 to 28</t>
  </si>
  <si>
    <t>AREA E 21 to 24</t>
  </si>
  <si>
    <t>AREA CENTRAL 1 to 4</t>
  </si>
  <si>
    <t>AREA A 5 to 8</t>
  </si>
  <si>
    <t>AREA G 29 to 32</t>
  </si>
  <si>
    <t>AREA K 45 to 48</t>
  </si>
  <si>
    <t>AREA J 41 to 44</t>
  </si>
  <si>
    <t>AREA I 37 to 40</t>
  </si>
  <si>
    <t>AREA H 33 to 36</t>
  </si>
  <si>
    <t>Jean-Pierre</t>
  </si>
  <si>
    <t>Bug Correction :
   - Clear filter on refereeeing sheet before Validate Checkin
   - "Exlude number of already refereed matches" now taken into account within the "Use only these disqualiified players" tab</t>
  </si>
  <si>
    <t>9.0</t>
  </si>
  <si>
    <t>9.1</t>
  </si>
  <si>
    <t>ORGANISATION TABLE</t>
  </si>
  <si>
    <t>McPhail</t>
  </si>
  <si>
    <t>SCO0063</t>
  </si>
  <si>
    <t>CONVERTI</t>
  </si>
  <si>
    <t>BEVILACQUA</t>
  </si>
  <si>
    <t>LEE</t>
  </si>
  <si>
    <t>VANWISSEN</t>
  </si>
  <si>
    <t>MANFIOLETTI</t>
  </si>
  <si>
    <t>ROUFOSSE</t>
  </si>
  <si>
    <t>Pinter</t>
  </si>
  <si>
    <t>Ugolini</t>
  </si>
  <si>
    <t>Feri</t>
  </si>
  <si>
    <t>Miccoli</t>
  </si>
  <si>
    <t>Balestrucci</t>
  </si>
  <si>
    <t>Vico</t>
  </si>
  <si>
    <t>De Maggi</t>
  </si>
  <si>
    <t>Di Leo</t>
  </si>
  <si>
    <t>Figliolino</t>
  </si>
  <si>
    <t>Fommei</t>
  </si>
  <si>
    <t>Fabian</t>
  </si>
  <si>
    <t>Pio Giorgio</t>
  </si>
  <si>
    <t>Emiddio</t>
  </si>
  <si>
    <t>AUT0120</t>
  </si>
  <si>
    <t>ITA2266</t>
  </si>
  <si>
    <t>ITA3013</t>
  </si>
  <si>
    <t>ITA3016</t>
  </si>
  <si>
    <t>ITA3017</t>
  </si>
  <si>
    <t>ITA3018</t>
  </si>
  <si>
    <t>ITA3019</t>
  </si>
  <si>
    <t>ITA3020</t>
  </si>
  <si>
    <t>ITA3021</t>
  </si>
  <si>
    <t>ITA3022</t>
  </si>
  <si>
    <t>WAL0051</t>
  </si>
  <si>
    <t>Lakhta Subbuteo TFC</t>
  </si>
  <si>
    <t>wtf</t>
  </si>
  <si>
    <t>phn</t>
  </si>
  <si>
    <t>lak</t>
  </si>
  <si>
    <t>CHRISTOPHER</t>
  </si>
  <si>
    <t>VILLAO</t>
  </si>
  <si>
    <t>DUBREUIL</t>
  </si>
  <si>
    <t>BOLUSSET</t>
  </si>
  <si>
    <t>PEARSON</t>
  </si>
  <si>
    <t>JAILLET</t>
  </si>
  <si>
    <t>Results_Match_TeamLastMatch</t>
  </si>
  <si>
    <t>Results_Match_TeamSubstituteEnd</t>
  </si>
  <si>
    <t>Exporter les résultats en PDF</t>
  </si>
  <si>
    <t>Save results as PDF</t>
  </si>
  <si>
    <t>Salva i risultati come PDF</t>
  </si>
  <si>
    <t>Ne rendre visibles que les onglets utiles pour les résultats et enregistrer le classeur en fichier PDF</t>
  </si>
  <si>
    <t>Rendi visibili solo le schede utili per i risultati e salva la cartella di lavoro come file PDF</t>
  </si>
  <si>
    <t>Make visible only the worksheets useful for the results and save the workbook as a PDF file</t>
  </si>
  <si>
    <t>Sauver les résultats en PDF</t>
  </si>
  <si>
    <t>Printing / Publishing</t>
  </si>
  <si>
    <t>Impressions / Publications</t>
  </si>
  <si>
    <t>Stampa / Pubblicazione</t>
  </si>
  <si>
    <t>Miccolupi</t>
  </si>
  <si>
    <t>Pimpinella</t>
  </si>
  <si>
    <t>Bocci</t>
  </si>
  <si>
    <t>Rosselli</t>
  </si>
  <si>
    <t>Siciliano</t>
  </si>
  <si>
    <t>Genovese</t>
  </si>
  <si>
    <t>Vincenzo Maria</t>
  </si>
  <si>
    <t>ITA2488</t>
  </si>
  <si>
    <t>ITA3024</t>
  </si>
  <si>
    <t>ITA3026</t>
  </si>
  <si>
    <t>ITA3027</t>
  </si>
  <si>
    <t>ITA3028</t>
  </si>
  <si>
    <t>ITA3029</t>
  </si>
  <si>
    <t>ITA3032</t>
  </si>
  <si>
    <t>FAMILY NAME / Given name</t>
  </si>
  <si>
    <t>Given Name</t>
  </si>
  <si>
    <t>Family Name</t>
  </si>
  <si>
    <t>Sort by "FAMILYNAME Givenname"</t>
  </si>
  <si>
    <t>New feature : 
   - In addition to printing, results may be published as PDF files =&gt; add of a button "Save Results as PDF" in Ribbon's group "Printing / Publishing" in the context of the "Home" worksheet
Interface update : 
   - upgrade to be compliant with the new FISTF Database format (change of the column name from "NAME" to "Family Name")
   - GMFT Websites templates : 
      - change of folder tree =&gt; this way only one http server for all websites templates
      - Creation of a GMFT website to point to all Website templates
   - Change of the local http server : now GMFT use Miniweb (http://miniweb.sourceforge.net/) to validate websites before their publication on target server. No more need to kill process to spot htpp server; only close Dos window.</t>
  </si>
  <si>
    <t>SP</t>
  </si>
  <si>
    <t>Tiempo</t>
  </si>
  <si>
    <t>Mesa</t>
  </si>
  <si>
    <t>Mesas</t>
  </si>
  <si>
    <t>Goles</t>
  </si>
  <si>
    <t>Nombre Equipo</t>
  </si>
  <si>
    <t>Apellido</t>
  </si>
  <si>
    <t>Miembros Equipo</t>
  </si>
  <si>
    <t>Mesa Nº</t>
  </si>
  <si>
    <t>Sorteo</t>
  </si>
  <si>
    <t>Jugadores</t>
  </si>
  <si>
    <t>Goles Favor</t>
  </si>
  <si>
    <t>Goles Contra</t>
  </si>
  <si>
    <t>Partidos</t>
  </si>
  <si>
    <t>Equipos</t>
  </si>
  <si>
    <t>Resultados</t>
  </si>
  <si>
    <t>Total Goles</t>
  </si>
  <si>
    <t>Eliminado</t>
  </si>
  <si>
    <t>Vencedor</t>
  </si>
  <si>
    <t>Clasificado</t>
  </si>
  <si>
    <t>Tercero</t>
  </si>
  <si>
    <t>Cuarto</t>
  </si>
  <si>
    <t>Grupo</t>
  </si>
  <si>
    <t>2º de Grupo</t>
  </si>
  <si>
    <t>2º de Ranking</t>
  </si>
  <si>
    <t>3º de Grupo</t>
  </si>
  <si>
    <t>3º de Ranking</t>
  </si>
  <si>
    <t>3 y 4 Puesto</t>
  </si>
  <si>
    <t>Semifinal</t>
  </si>
  <si>
    <t>Octavos</t>
  </si>
  <si>
    <t>Dieciseisavos</t>
  </si>
  <si>
    <t>Treintaidosavos</t>
  </si>
  <si>
    <t>Ultimos 128</t>
  </si>
  <si>
    <t>Ultimos 256</t>
  </si>
  <si>
    <t>Grupos</t>
  </si>
  <si>
    <t>1ª Ronda</t>
  </si>
  <si>
    <t>Dif. Particular</t>
  </si>
  <si>
    <t>3er Puesto</t>
  </si>
  <si>
    <t>Dif.</t>
  </si>
  <si>
    <t>Evento</t>
  </si>
  <si>
    <t>Fase de Juego</t>
  </si>
  <si>
    <t>Nombre</t>
  </si>
  <si>
    <t>Nº Licencia</t>
  </si>
  <si>
    <t>Dobles</t>
  </si>
  <si>
    <t>Firma</t>
  </si>
  <si>
    <t>Nombre Evento</t>
  </si>
  <si>
    <t>Nacionalidad</t>
  </si>
  <si>
    <t>Nombre Club</t>
  </si>
  <si>
    <t>Abreviación</t>
  </si>
  <si>
    <t>Insertar celdas en la parte superior</t>
  </si>
  <si>
    <t>Lista Jugadores con Licencia</t>
  </si>
  <si>
    <t>Insertar una línea: Copie una línea de equipo y presione "Clic derecho&gt; Insertar celdas copiadas" en una línea de equipo existente.</t>
  </si>
  <si>
    <t>Nº Jugadores Equipo</t>
  </si>
  <si>
    <t>Max. Numero jugadores de Equipo</t>
  </si>
  <si>
    <t>Jugador 1</t>
  </si>
  <si>
    <t>Jugador 2</t>
  </si>
  <si>
    <t>Equipo 1</t>
  </si>
  <si>
    <t>Equipo 2</t>
  </si>
  <si>
    <t>Grupo de 3</t>
  </si>
  <si>
    <t>Grupo de 4</t>
  </si>
  <si>
    <t>Grupo de 5</t>
  </si>
  <si>
    <t>Grupo de 6</t>
  </si>
  <si>
    <t>Grupo de 7</t>
  </si>
  <si>
    <t>Grupo de 8</t>
  </si>
  <si>
    <t>Grupo de 9</t>
  </si>
  <si>
    <t>Grupo de 10</t>
  </si>
  <si>
    <t>Grupo de 11</t>
  </si>
  <si>
    <t>Grupo de 12</t>
  </si>
  <si>
    <t>Grupo de 13</t>
  </si>
  <si>
    <t>Grupo de 14</t>
  </si>
  <si>
    <t>Grupo de 15</t>
  </si>
  <si>
    <t>Grupo de 16</t>
  </si>
  <si>
    <t>Grupo de 17</t>
  </si>
  <si>
    <t>Grupo de 18</t>
  </si>
  <si>
    <t>Grupo de 19</t>
  </si>
  <si>
    <t>Grupo de 20</t>
  </si>
  <si>
    <t>Grupo de 3 ida y vuelta</t>
  </si>
  <si>
    <t>Grupo de 4 ida y vuelta</t>
  </si>
  <si>
    <t>Grupo de 5 ida y vuelta</t>
  </si>
  <si>
    <t>Grupo de 6 con Auto-arbitraje</t>
  </si>
  <si>
    <t>Grupos de 3</t>
  </si>
  <si>
    <t>Grupos de 4</t>
  </si>
  <si>
    <t>Grupos de 5</t>
  </si>
  <si>
    <t>Grupos de 6</t>
  </si>
  <si>
    <t>Grupos de 7</t>
  </si>
  <si>
    <t>Grupos de 8</t>
  </si>
  <si>
    <t>Grupos de 9</t>
  </si>
  <si>
    <t>Grupos de 10</t>
  </si>
  <si>
    <t>Grupos de 11</t>
  </si>
  <si>
    <t>Grupos de 12</t>
  </si>
  <si>
    <t>Grupos de 13</t>
  </si>
  <si>
    <t>Grupos de 14</t>
  </si>
  <si>
    <t>Grupos de 15</t>
  </si>
  <si>
    <t>Grupos de 16</t>
  </si>
  <si>
    <t>Grupos de 17</t>
  </si>
  <si>
    <t>Grupos de 18</t>
  </si>
  <si>
    <t>Grupos de 19</t>
  </si>
  <si>
    <t>Grupos de 20</t>
  </si>
  <si>
    <t>Nombre del Evento</t>
  </si>
  <si>
    <t>con ida y vuelta</t>
  </si>
  <si>
    <t>Fase de Grupos</t>
  </si>
  <si>
    <t>Eliminacion Directa</t>
  </si>
  <si>
    <t>Fase Final</t>
  </si>
  <si>
    <t>Numero de Partidos</t>
  </si>
  <si>
    <t>Mensaje por la igualdad en el grupo</t>
  </si>
  <si>
    <t>Mensaje de error en la puntuación del partido seleccionado</t>
  </si>
  <si>
    <t>Retraso entre 2 partidos en grupo</t>
  </si>
  <si>
    <t>Retraso entre 2 partidos seleccionados</t>
  </si>
  <si>
    <t>Orden</t>
  </si>
  <si>
    <t>Criterio</t>
  </si>
  <si>
    <t>Criterios antes de la diferencia particular</t>
  </si>
  <si>
    <t>Diferencia particular en caso de igualdad sobre criterios anteriores</t>
  </si>
  <si>
    <t>Criterios después de una diferencia particular</t>
  </si>
  <si>
    <t>Calculo del ranking individual</t>
  </si>
  <si>
    <t>Calculo del ranking de Equipo</t>
  </si>
  <si>
    <t>Puntos</t>
  </si>
  <si>
    <t>Diferencia de Goles</t>
  </si>
  <si>
    <t>Partidos ganados</t>
  </si>
  <si>
    <t>Mejor ataque</t>
  </si>
  <si>
    <t>Resultado del partido en empate a puntos</t>
  </si>
  <si>
    <t>Diferencia de Goles en empate a puntos</t>
  </si>
  <si>
    <t>Mejor Ataque en empate a puntos</t>
  </si>
  <si>
    <t>Diferencia victorias individuales en empate a puntos</t>
  </si>
  <si>
    <t>Mas victorias individuales en empate a puntos</t>
  </si>
  <si>
    <t>Diferencia de partido</t>
  </si>
  <si>
    <t>Diferencia individual victorias</t>
  </si>
  <si>
    <t>Mas victorias individuales</t>
  </si>
  <si>
    <t>Empate</t>
  </si>
  <si>
    <t>Lenguaje</t>
  </si>
  <si>
    <t>FIN DE PLANIFICACION</t>
  </si>
  <si>
    <t>Insertar líneas sobre esta área</t>
  </si>
  <si>
    <t>Hoja para impresión del marcador del equipo.
Pega a la izquierda las LÍNEAS de la planificación hasta 20.
La línea Numérico 6 debe ser la primera línea
La línea número 126 debe estar vacía
Sin línea vacía entre 2 líneas de coincidencia</t>
  </si>
  <si>
    <t>Categoria del Evento</t>
  </si>
  <si>
    <t>Definición de un nuevo evento para particulares</t>
  </si>
  <si>
    <t>Definición de un nuevo evento para equipos</t>
  </si>
  <si>
    <t>Definición de un nuevo evento para dobles</t>
  </si>
  <si>
    <t>Definición de un nuevo evento para individuales basado en fórmulas de competición</t>
  </si>
  <si>
    <t>Definición de un nuevo evento para equipos basado en fórmulas de competición</t>
  </si>
  <si>
    <t>Definición de un nuevo evento para dobles basado en fórmulas de competición</t>
  </si>
  <si>
    <t>Definición de un nuevo evento para individuales basado en fórmulas de competición (oficiales o no)</t>
  </si>
  <si>
    <t>Definición de un nuevo evento para equipos basado en fórmulas de competición (oficiales o no)</t>
  </si>
  <si>
    <t>Definición de un nuevo evento para dobles basado en fórmulas de competición (oficiales o no)</t>
  </si>
  <si>
    <t>Numero de jugadores pre-clasificados</t>
  </si>
  <si>
    <t>Sorteo Completo</t>
  </si>
  <si>
    <t>Validar</t>
  </si>
  <si>
    <t>El nombre del evento ya está siendo utilizado por otra hoja.</t>
  </si>
  <si>
    <t>el valor no es númerico</t>
  </si>
  <si>
    <t>Salir</t>
  </si>
  <si>
    <t>Formulario para nuevo evento individual</t>
  </si>
  <si>
    <t>Formulario para nuevo evento equipos</t>
  </si>
  <si>
    <t>Formulario para nuevo evento dobles</t>
  </si>
  <si>
    <t>Formulario para nuevo evento individual con formulas</t>
  </si>
  <si>
    <t>Formulario para nuevo evento equipos con formulas</t>
  </si>
  <si>
    <t>Formulario para nuevo evento dobles con formulas</t>
  </si>
  <si>
    <t>Formulario para nuevo evento individual con formulas (oficial o no)</t>
  </si>
  <si>
    <t>Formulario para nuevo evento equipos con formulas (oficial o no)</t>
  </si>
  <si>
    <t>Formulario para nuevo evento dobles con formulas (oficial o no)</t>
  </si>
  <si>
    <t>Grupos de …</t>
  </si>
  <si>
    <t>3 Jugadores</t>
  </si>
  <si>
    <t>4 Jugadores</t>
  </si>
  <si>
    <t>5 Jugadores</t>
  </si>
  <si>
    <t>6 Jugadores</t>
  </si>
  <si>
    <t>7 Jugadores</t>
  </si>
  <si>
    <t>8 Jugadores</t>
  </si>
  <si>
    <t>9 Jugadores</t>
  </si>
  <si>
    <t>10 Jugadores</t>
  </si>
  <si>
    <t>Ocultar</t>
  </si>
  <si>
    <t>Sesión Nº</t>
  </si>
  <si>
    <t>Duración</t>
  </si>
  <si>
    <t>Ronda</t>
  </si>
  <si>
    <t>Ya existe una hoja de formularios de coincidencia. Esta acción eliminará esta hoja y la volverá a crear. Quieres continuar ?</t>
  </si>
  <si>
    <t>Fin de la Jornada</t>
  </si>
  <si>
    <t>Nada seleccionado !</t>
  </si>
  <si>
    <t>¡Su selección no corresponde exclusivamente a líneas coincidentes!</t>
  </si>
  <si>
    <t>¡La selección debe tener solo un área continua y estar completamente dentro de una sesión!</t>
  </si>
  <si>
    <t xml:space="preserve">Por favor, ingrese el número de sesión </t>
  </si>
  <si>
    <t>¡Número de sesión incorrecto! El número de sesión debe estar entre 1 y</t>
  </si>
  <si>
    <t>¡Su selección está en la parte superior de la planificación y no se puede mover hacia arriba!</t>
  </si>
  <si>
    <t>La selección está dentro de la sesión 1 y, por supuesto, ¡no se puede mover en una sesión anterior! Primero, cree una nueva sesión antes de la 1 sesión.</t>
  </si>
  <si>
    <t>¡Su selección está en la última sesión de planificación y no se puede mover hacia abajo! Tiene la posibilidad de crear una nueva sesión</t>
  </si>
  <si>
    <t>Error del sistema: una celda oculta de "Tipo de coincidencia" contiene un tipo desconocido de código de coincidencia. Contacte con soporte. Intente eliminar / recrear las coincidencias en cuestión.</t>
  </si>
  <si>
    <t>Error del sistema: un equipo o un partido doble no contiene todos los partidos individuales. Algunas líneas deberían haberse eliminado accidentalmente. Contacte con soporte. Intente eliminar / recrear las coincidencias en cuestión.</t>
  </si>
  <si>
    <t>Completa la base de datos de jugadores y clubes.</t>
  </si>
  <si>
    <t>Consulta inscripciones y participaciones a diferentes eventos.</t>
  </si>
  <si>
    <t>Definir parámetros deportivos del día de competición</t>
  </si>
  <si>
    <t>Si es necesario, defina equipos del evento.</t>
  </si>
  <si>
    <t>Si es necesario, defina los dobles del evento.</t>
  </si>
  <si>
    <t>Consultar listas de jugadores, equipos y árbitros</t>
  </si>
  <si>
    <t>Crear uno o mas eventos</t>
  </si>
  <si>
    <t>Acciones</t>
  </si>
  <si>
    <t>Hoja de trabajo</t>
  </si>
  <si>
    <t>Mostrar</t>
  </si>
  <si>
    <t>Individuales</t>
  </si>
  <si>
    <t>Complete las hojas de eventos completando las posiciones de los jugadores en grupos (o en la primera de las fases finales si no hay fase de grupos). En caso de partidos dirigidos con fase de grupos, introduzca también fórmulas para los partidos de la primera fase final basadas en rondas anteriores.
En caso de sorteo completo, debe completar los jugadores de cada partido en la hoja del evento y no en la planificación.</t>
  </si>
  <si>
    <t>Adapte la planificación moviendo partidos entre las diferentes sesiones. Durante el evento, los árbitros, tablas y puntajes se completan EXCLUSIVAMENTE en la hoja de planificación.
En caso de partidos por equipos o dobles, los jugadores también se rellenan en la hoja de "planificación".</t>
  </si>
  <si>
    <t>GMFT - Gestión de Partidos de Futbol Mesa</t>
  </si>
  <si>
    <t>Versión</t>
  </si>
  <si>
    <t>Base de datos de jugadores con licencia</t>
  </si>
  <si>
    <t>Base de datos de Clubs</t>
  </si>
  <si>
    <t>Inscripción de Jugadores</t>
  </si>
  <si>
    <t>Inscripción de Equipos</t>
  </si>
  <si>
    <t>Inscripción de Dobles</t>
  </si>
  <si>
    <t>Lista de Jugadores despues de la inscripción</t>
  </si>
  <si>
    <t>ATENCIÓN, ¡no realice actualizaciones en esta hoja! Además, evite la manipulación de formatos.</t>
  </si>
  <si>
    <t>La lista tiene solo 2 miembros. No se permite eliminar.</t>
  </si>
  <si>
    <t>La selección actual está en más de una fila. La función de eliminación está hecha para una sola fila.</t>
  </si>
  <si>
    <t>La selección no es una fila disponible para eliminar.</t>
  </si>
  <si>
    <t>Número de filas para admitir es superior a uno</t>
  </si>
  <si>
    <t>FISTF Codigos Naciones</t>
  </si>
  <si>
    <t>Use la nacionalidad en lugar del club para el trigrama en el nombre del jugador (útil para la Copa del Mundo). Ex. John Beem (ANG)</t>
  </si>
  <si>
    <t>Ordenar por "APELLIDO Nombre"</t>
  </si>
  <si>
    <t>Validar registros</t>
  </si>
  <si>
    <t>El número maximo de jugadores es 128</t>
  </si>
  <si>
    <t>El número máximo de jugadores es 128 cuando el evento se basa en grupos de 3</t>
  </si>
  <si>
    <t>Formulas de Competición FISTF</t>
  </si>
  <si>
    <t>Organización de partidos con grupos de 3</t>
  </si>
  <si>
    <t>Organización de partidos con grupos de 4</t>
  </si>
  <si>
    <t>Organización de partidos con grupos de 5</t>
  </si>
  <si>
    <t>Organización de partidos con grupos de 6</t>
  </si>
  <si>
    <t>Organización de partidos con grupos de 7</t>
  </si>
  <si>
    <t>Organización de partidos con grupos de 8</t>
  </si>
  <si>
    <t>Organización de partidos con grupos de 9</t>
  </si>
  <si>
    <t>Organización de partidos con grupos de 10</t>
  </si>
  <si>
    <t>Formulas de partidos</t>
  </si>
  <si>
    <t>Jugadores Clasificados</t>
  </si>
  <si>
    <t>Error del sistema: no se encontró la fórmula de coincidencia. Contacte con Soporte</t>
  </si>
  <si>
    <t>No puede eliminar las últimas 2 sesiones.</t>
  </si>
  <si>
    <t>El nombre del evento es obligatorio, por favor complételo.</t>
  </si>
  <si>
    <t>Basado en las pautas para los torneos FISTF</t>
  </si>
  <si>
    <t>Compon libremente tu fórmula de torneo</t>
  </si>
  <si>
    <t>Fórmulas de competición no oficiales</t>
  </si>
  <si>
    <t>Elija entre fórmula oficial o no oficial, pero con un gran margen</t>
  </si>
  <si>
    <t>Se a superado el número máximo de fórmulas diferentes para un número determinado de jugadores. Modifique luego la hoja "CompetitionFormulas".</t>
  </si>
  <si>
    <t>Maximo Nº Goles</t>
  </si>
  <si>
    <t>Perdedor</t>
  </si>
  <si>
    <t>Max. Puntuacion</t>
  </si>
  <si>
    <t>Aplicable</t>
  </si>
  <si>
    <t>Ranking Equipos</t>
  </si>
  <si>
    <t>Ranking Jugadores</t>
  </si>
  <si>
    <t>Lista de equipos clasificados</t>
  </si>
  <si>
    <t>Lista de jugadores clasificados</t>
  </si>
  <si>
    <t>Criterio del ranking de jugadores</t>
  </si>
  <si>
    <t>Numero de puntos del ranking</t>
  </si>
  <si>
    <t>Actualizar si es necesario la clasificación (en caso de que la clasificación se use en los criterios de clasificación para grupos o en el caso de usar la función Sorteo)</t>
  </si>
  <si>
    <t>El archivo seleccionado parece no ser un archivo de clasificación mundial FISTF. Si realmente es un archivo FISTF WR, es posible que el formato del archivo haya cambiado; en este caso es necesario actualizar la función de importación de GMFT y así contactar con el soporte de GMFT.</t>
  </si>
  <si>
    <t>El archivo seleccionado parece no ser un archivo de tabla de puntuación GMFT. Si se trata de un archivo de tabla de puntuación GMFT, es posible que el formato del archivo haya cambiado a pesar de que las protecciones prohíben otras modificaciones además del registro de puntuaciones.</t>
  </si>
  <si>
    <t>Número total de jugadores clasificados</t>
  </si>
  <si>
    <t>Número total de líneas de clasificación</t>
  </si>
  <si>
    <t>Importar el archivo de clasificación FISTF</t>
  </si>
  <si>
    <t>Utilice la clasificación mundial de FISTF (hoja de clasificación) como base de datos de jugadores con licencia (utilizada en la hoja de registro como lista de jugadores).</t>
  </si>
  <si>
    <t>Fecha de nacimiento si no hay Nº Licencia</t>
  </si>
  <si>
    <t>¡Su selección debe tener solo una línea!</t>
  </si>
  <si>
    <t>Su selección no está en una fila de sesión (la primera sesión no se puede usar)</t>
  </si>
  <si>
    <t>Insertar antes / Eliminar sesión seleccionada</t>
  </si>
  <si>
    <t>Agregar / Eliminar última sesión</t>
  </si>
  <si>
    <t>Mover o eliminar partidos seleccionados</t>
  </si>
  <si>
    <t>Mover partidos seleccionados: Antes / Después de la sesión</t>
  </si>
  <si>
    <t>Copiar puntajes y validar</t>
  </si>
  <si>
    <t>Copiar puntuaciones e invalidar</t>
  </si>
  <si>
    <t>Eliminar partidos obsoletas (#REF!)</t>
  </si>
  <si>
    <t>Bloquear hojas de trabajo para evitar errores de manipulación</t>
  </si>
  <si>
    <t>Sustituto</t>
  </si>
  <si>
    <t>Códigos sustitutos para partidos por equipos</t>
  </si>
  <si>
    <t>Nº partidos arbitrados</t>
  </si>
  <si>
    <t>Nº Barrages</t>
  </si>
  <si>
    <t>Nº Ultimos Jugadores</t>
  </si>
  <si>
    <t>Nº Jugadores</t>
  </si>
  <si>
    <t>Nº Grupos de …</t>
  </si>
  <si>
    <t>Total Nº Grupos</t>
  </si>
  <si>
    <t>Sesión del último arbitraje</t>
  </si>
  <si>
    <t>Esta lista le brinda la posibilidad de adaptar la "lista de valores" disponible en los campos de árbitros de la hoja de planificación para un uso más fácil.</t>
  </si>
  <si>
    <t>Use los filtros a continuación para ordenar la lista de árbitros (el filtrado no tiene ningún efecto)</t>
  </si>
  <si>
    <t>Puede borrar líneas o agregar algunas características dentro de los criterios Nº 1 a 4</t>
  </si>
  <si>
    <t>Cuando valida el registro en la hoja de "registro", esta lista se borra y restaura por completo y sus criterios personales se eliminan</t>
  </si>
  <si>
    <t>CAT</t>
  </si>
  <si>
    <t>Temps</t>
  </si>
  <si>
    <t>Taula</t>
  </si>
  <si>
    <t>Gols</t>
  </si>
  <si>
    <t>Cognom</t>
  </si>
  <si>
    <t>Lista de árbitros para su uso en la planificación</t>
  </si>
  <si>
    <t>Tu Criterio</t>
  </si>
  <si>
    <t>Adapte la planificación y luego complete las puntuaciones directamente en la planificación</t>
  </si>
  <si>
    <t>Rellenar jugadores después del sorteo</t>
  </si>
  <si>
    <t>Adapte la lista de árbitros a sus necesidades</t>
  </si>
  <si>
    <t>Mostrar u ocultar hojas de sorteo</t>
  </si>
  <si>
    <t>Mostrar o imprimir la planificación de los jugadores</t>
  </si>
  <si>
    <t>Representa el plano de la sala con los nombres de las mesas</t>
  </si>
  <si>
    <t>Mostrar podio para la presentación de trofeos</t>
  </si>
  <si>
    <t>Consultar las estadísticas de los jugadores</t>
  </si>
  <si>
    <t>Exportar datos al sitio web de GMFT</t>
  </si>
  <si>
    <t>Envío de resultados después del torneo</t>
  </si>
  <si>
    <t>Imprimiendo resultados</t>
  </si>
  <si>
    <t>GMFT Bienvenidos</t>
  </si>
  <si>
    <t>la pasión del Futbol Mesa !</t>
  </si>
  <si>
    <t>Este software se proporciona TAL CUAL y es gratuito.
Este software no es garantía.
El autor, Roger Trouillard, no es responsable de ningún daño debido al uso de este software.</t>
  </si>
  <si>
    <t>Bienvenidos a GMFT
la herramienta para gestionar
Torneos de Fútbol Mesa</t>
  </si>
  <si>
    <t>Título del Evento</t>
  </si>
  <si>
    <t>Visualización y cambio de saltos de página antes de imprimir</t>
  </si>
  <si>
    <t>Empiece a imprimir</t>
  </si>
  <si>
    <t>Vista Normal</t>
  </si>
  <si>
    <t>Fecha del Evento</t>
  </si>
  <si>
    <t>Ocultar la visualización de fórmulas de jugador sin puntuación</t>
  </si>
  <si>
    <t>Exportar Planificación</t>
  </si>
  <si>
    <t>Exportar Grupos</t>
  </si>
  <si>
    <t>Exportar Estadisticas</t>
  </si>
  <si>
    <t>Exportar Resultados</t>
  </si>
  <si>
    <t>Exportar Detalles Partidos</t>
  </si>
  <si>
    <t>Generar hojas de puntuación</t>
  </si>
  <si>
    <t>Primera sesión de planificación para exportar</t>
  </si>
  <si>
    <t>Inicio de Sesión</t>
  </si>
  <si>
    <t>Número de Sesiones</t>
  </si>
  <si>
    <t>Exportar el número de turnos de la sesión</t>
  </si>
  <si>
    <t>Parámetros de exportación del sitio web</t>
  </si>
  <si>
    <t>Parámetros de exportación de registro</t>
  </si>
  <si>
    <t>Exporta parametros al sitio web</t>
  </si>
  <si>
    <t>Parámetros para la exportación de registros</t>
  </si>
  <si>
    <t>Parametros para exportar el planning</t>
  </si>
  <si>
    <t>Parametros de exportacion del Planning</t>
  </si>
  <si>
    <t>Parámetros de exportación de resultados</t>
  </si>
  <si>
    <t>Inicio</t>
  </si>
  <si>
    <t>Calculo Automatico</t>
  </si>
  <si>
    <t>Calculo Manual</t>
  </si>
  <si>
    <t>Calcular Ahora</t>
  </si>
  <si>
    <t>Cálculo</t>
  </si>
  <si>
    <t>Hoja desbloqueada</t>
  </si>
  <si>
    <t>Hoja bloqueada</t>
  </si>
  <si>
    <t>Clasificación jugadores</t>
  </si>
  <si>
    <t>Clasificación Equipos</t>
  </si>
  <si>
    <t>Registro</t>
  </si>
  <si>
    <t>Plano de la Sala</t>
  </si>
  <si>
    <t>Inicio número de sesión</t>
  </si>
  <si>
    <t>Parámetros para la exportación de resultados</t>
  </si>
  <si>
    <t>Parámetros de exportación de los resultados</t>
  </si>
  <si>
    <t>Parámetros de exportación de hojas de puntuación</t>
  </si>
  <si>
    <t>Parámetros para la exportación de hojas de puntuación</t>
  </si>
  <si>
    <t>Formulario de registro individual</t>
  </si>
  <si>
    <t>Formulario de Inscripción</t>
  </si>
  <si>
    <t>Parámetros de elección de árbitros</t>
  </si>
  <si>
    <t>Seleccionar árbitros</t>
  </si>
  <si>
    <t>Número Inicio de Sesión</t>
  </si>
  <si>
    <t>Ruta del directorio del sitio web de GMFT</t>
  </si>
  <si>
    <t>Ruta del directorio del sitio de registros</t>
  </si>
  <si>
    <t>Número de sesiones para exportar</t>
  </si>
  <si>
    <t>Exportar partidos individuales para los resultados del equipo</t>
  </si>
  <si>
    <t>Filtros</t>
  </si>
  <si>
    <t>Modelo de Evento</t>
  </si>
  <si>
    <t>Modelo de Mesas</t>
  </si>
  <si>
    <t>Modelo de Jugador o Equipo</t>
  </si>
  <si>
    <t>Patrones para encontrar en valores de celda.
Para jugadores y equipos, el filtro se aplicó al jugador 1, jugador2 y árbitro.
No distingue entre mayúsculas y minúsculas.</t>
  </si>
  <si>
    <t>Número de sesión invalido</t>
  </si>
  <si>
    <t>Valor predeterminado para iniciar sesión</t>
  </si>
  <si>
    <t>Valor predeterminado del número de sesiones</t>
  </si>
  <si>
    <t>Valor predeterminado del indicador de exportación de resultados individuales para los resultados del equipo</t>
  </si>
  <si>
    <t>Hoja de puntuaciones</t>
  </si>
  <si>
    <t>¡Ningún evento creado previamente para imprimir!</t>
  </si>
  <si>
    <t>Función aún no disponible.</t>
  </si>
  <si>
    <t>El modo de cálculo de Excel se ha establecido en "Manual" para fines de rendimiento.
Antes de salir de GMFT, puede hacer clic en el botón "Cálculo manual" en la cinta para restablecer el modo de cálculo a "Automático".</t>
  </si>
  <si>
    <t>Modalidad de Cálculo</t>
  </si>
  <si>
    <t>Cancelar esta pagina</t>
  </si>
  <si>
    <t>El archivo seleccionado parece no ser un archivo de clubes con licencia FISTF. Si es realmente un archivo de lista de licencias FISTF, es posible que el formato del archivo haya cambiado; en este caso es necesario actualizar la función de importación del GMFT y así contactar con el soporte de GMFT.</t>
  </si>
  <si>
    <t>El número de líneas de la Lista de clubes es menor que el número de clubes dentro de la lista FISTF. Aumente el número de líneas de la lista de GMFT Club a:</t>
  </si>
  <si>
    <t>El número de líneas de la lista de jugadores es menor que el número de jugadores dentro de la lista FISTF. Aumente el número de líneas de la lista de GMFT Club a:</t>
  </si>
  <si>
    <t>Número total de clubes</t>
  </si>
  <si>
    <t>Número total de líneas en la lista del club</t>
  </si>
  <si>
    <t>Número total de jugadores</t>
  </si>
  <si>
    <t>Número total de líneas en la lista de jugadores</t>
  </si>
  <si>
    <t>Importar el archivo FISTF Clubs</t>
  </si>
  <si>
    <t>Importar el archivo de jugadores FISTF</t>
  </si>
  <si>
    <t>Seleccione la plantilla de archivo de hoja de puntuación del evento FISTF</t>
  </si>
  <si>
    <t>Seleccione el archivo de clasificación mundial del FISTF</t>
  </si>
  <si>
    <t>Seleccione el archivo de licencia de FISTF</t>
  </si>
  <si>
    <t>Seleccione el nombre de archivo de la hoja de puntuación del evento del FISTF.</t>
  </si>
  <si>
    <t>Seleccione el archivo de la tabla de puntuación</t>
  </si>
  <si>
    <t>El archivo seleccionado parece no ser un archivo de plantilla de hoja de puntuación FISTF. Si es realmente un archivo de hoja de puntuación FISTF, es posible que el formato del archivo haya cambiado; en este caso es necesario actualizar la función de exportación del GMFT y así contactar con el soporte de GMFT.</t>
  </si>
  <si>
    <t>No mostrar esta confirmación la próxima vez</t>
  </si>
  <si>
    <t>Esta acción guardará todos los archivos de Excel abiertos sin confirmación. Quieres continuar ?</t>
  </si>
  <si>
    <t>Error en la llamada de subrutina de ChekReferee; el objetivo no es una celda de Árbitro de la hoja de Planificación.</t>
  </si>
  <si>
    <t>Este árbitro es jugador de este grupo.</t>
  </si>
  <si>
    <t>Este árbitro participa como jugador en esta fase.</t>
  </si>
  <si>
    <t>Este árbitro es miembro del mismo club que el jugador 1</t>
  </si>
  <si>
    <t>Este árbitro es miembro del mismo club que el jugador 2</t>
  </si>
  <si>
    <t>Este árbitro tiene la misma nacionalidad que el jugador 1</t>
  </si>
  <si>
    <t>Este árbitro tiene la misma nacionalidad que el jugador 2</t>
  </si>
  <si>
    <t>Informe de elección de árbitro:</t>
  </si>
  <si>
    <t>Activación de controles durante las elecciones de los árbitros en la planificación.</t>
  </si>
  <si>
    <t>Árbitro en el mismo grupo que uno de los jugadores.</t>
  </si>
  <si>
    <t>Árbitro en el mismo Club que uno de los jugadores.</t>
  </si>
  <si>
    <t>Árbitro con la misma nacionalidad que uno de los jugadores.</t>
  </si>
  <si>
    <t>Árbitro en el mismo Club que uno de los jugadores del grupo.</t>
  </si>
  <si>
    <t>Árbitro con la misma nacionalidad que uno de los jugadores del grupo.</t>
  </si>
  <si>
    <t>Este árbitro es miembro del mismo club que uno de los jugadores del grupo.</t>
  </si>
  <si>
    <t>Guarde todos los archivos de Excel abiertos</t>
  </si>
  <si>
    <t xml:space="preserve">Al menos una celda en una de las columnas, el nombre o el nombre de los jugadores tiene un valor # N / a. Para cada jugador, complete al menos un club conocido ("----" si el jugador no tiene un club). </t>
  </si>
  <si>
    <t>Exportar / Importar tabla puntos</t>
  </si>
  <si>
    <t>Tabla de puntuación</t>
  </si>
  <si>
    <t>El número total de partidos que proceden es:</t>
  </si>
  <si>
    <t>El número total de resultados importados es:</t>
  </si>
  <si>
    <t>Ordenar miembros del equipo</t>
  </si>
  <si>
    <t>Resultados y ranking</t>
  </si>
  <si>
    <t>El nombre de archivo elegido corresponde a un archivo abierto. Cierre el archivo de destino y vuelva a intentarlo.</t>
  </si>
  <si>
    <t>¿Impresión de la sala?</t>
  </si>
  <si>
    <t>¿Impresión de las estadisticas?</t>
  </si>
  <si>
    <t>Total Victorias</t>
  </si>
  <si>
    <t>Total Perdidos</t>
  </si>
  <si>
    <t>Total Empates</t>
  </si>
  <si>
    <t>Partidos Jugados</t>
  </si>
  <si>
    <t>Cronología del jugador</t>
  </si>
  <si>
    <t>Jugar</t>
  </si>
  <si>
    <t>Estadisticas del jugador</t>
  </si>
  <si>
    <t>Esta hoja de trabajo presenta la línea de tiempo de cada participante, ya sea jugador o árbitro.</t>
  </si>
  <si>
    <t>Esta hoja de trabajo presenta estadísticas sobre los jugadores a lo largo de la competición.
Establece, en particular, el ranking del mayor número de goles marcados en un evento.</t>
  </si>
  <si>
    <t>Dejar vacío para todos</t>
  </si>
  <si>
    <t>Lista de diferentes eventos de la competencia (nombres y colores). Déjelo vacío por el valor predeterminado.</t>
  </si>
  <si>
    <t>Tipo de Evento</t>
  </si>
  <si>
    <t>Resultado primer tiempo</t>
  </si>
  <si>
    <t>Acción cancelada. Debes crear un evento antes.</t>
  </si>
  <si>
    <t>[---Retirar---]</t>
  </si>
  <si>
    <t>Aún no definido</t>
  </si>
  <si>
    <t>Ranking Participantes</t>
  </si>
  <si>
    <t>Participantes en orden alfabetico</t>
  </si>
  <si>
    <t>Formato para celdas que contienen fórmulas y que el usuario puede modificar</t>
  </si>
  <si>
    <t>La validación no es posible hasta que aún no se hayan realizado los sorteos.</t>
  </si>
  <si>
    <t>¡Está borrando la hoja de trabajo! Confirma tu acción.</t>
  </si>
  <si>
    <t>Confirmar Eliminación</t>
  </si>
  <si>
    <t>En la fase de grupos de equipos, en caso de empate en partidos ganados, el equipo con más retiradas pierde el partido.</t>
  </si>
  <si>
    <t>Etiqueta para un jugador retirado. Sugerencia: mantenga la fórmula para aprovechar los múltiples idiomas.</t>
  </si>
  <si>
    <t>Fila</t>
  </si>
  <si>
    <t>"Debes seleccionar uno y solo un jugador en la lista" "" &amp; N_Ranking Participantes &amp; "" "."</t>
  </si>
  <si>
    <t>Asignar Arbitro</t>
  </si>
  <si>
    <t>Las filas seleccionadas están fuera del área de planificación</t>
  </si>
  <si>
    <t>La selección debe realizarse en una sola sesión.</t>
  </si>
  <si>
    <t>¿Confirma la asignación de árbitros para toda la sesión?</t>
  </si>
  <si>
    <t>¿Confirma la asignación de árbitros para las filas seleccionadas?</t>
  </si>
  <si>
    <t>Categorías de árbitros excluidos</t>
  </si>
  <si>
    <t>¿Desea procesar las coincidencias de TODA la planificación en lugar de la sesión seleccionada real?</t>
  </si>
  <si>
    <t>Invertir Arbitros</t>
  </si>
  <si>
    <t>Mala selección; esta opción necesita una selección de solo 2 celdas de árbitros para intercambiar.</t>
  </si>
  <si>
    <t>Las celdas seleccionadas están total o parcialmente fuera del área de planificación.</t>
  </si>
  <si>
    <t>Las celdas seleccionadas no pueden estar en sesión.</t>
  </si>
  <si>
    <t>El cambio solo es posible para dos árbitros en la misma sesión.</t>
  </si>
  <si>
    <t>Número de partidos ya arbitrados mayor o igual a</t>
  </si>
  <si>
    <t>Lista de categorías de jugadores de FISTF</t>
  </si>
  <si>
    <t>Categorias FISTF</t>
  </si>
  <si>
    <t>Excluir estas categorías</t>
  </si>
  <si>
    <t>Usa solo estos jugadores descalificados</t>
  </si>
  <si>
    <t>Excluir a los jugadores que ya habían arbitrado varios partidos.</t>
  </si>
  <si>
    <t>Utilice también criterios de exclusión de categorías</t>
  </si>
  <si>
    <t>Descalificado de …</t>
  </si>
  <si>
    <t>Evento Jugado</t>
  </si>
  <si>
    <t>Excluir el número de partidos ya arbitrados</t>
  </si>
  <si>
    <t>Ningún jugador descalificado por el momento con criterios seleccionados.</t>
  </si>
  <si>
    <t>Número de Equipos</t>
  </si>
  <si>
    <t>… para individuales</t>
  </si>
  <si>
    <t>… para Equipos</t>
  </si>
  <si>
    <t>Sin partido individual o por equipos =&gt; sin asignación automática</t>
  </si>
  <si>
    <t>Debes seleccionar "... para individuales" o "... para equipos"</t>
  </si>
  <si>
    <t>Los árbitros seleccionados no son del mismo tipo (individual o en equipo)</t>
  </si>
  <si>
    <t>Lista de jugadores registrados de cada equipo</t>
  </si>
  <si>
    <t>Utilice los códigos S1 a S4 según el número de coincidencia afectado por la sustitución</t>
  </si>
  <si>
    <t>Rellenar con una "X"</t>
  </si>
  <si>
    <t>Arbitros</t>
  </si>
  <si>
    <t>Rondas</t>
  </si>
  <si>
    <t>Nombre del Jugador</t>
  </si>
  <si>
    <t>Eliminar la primera fila</t>
  </si>
  <si>
    <t>Validar y copiar al final de la lista</t>
  </si>
  <si>
    <t>Completa la ayuda</t>
  </si>
  <si>
    <t>Registros</t>
  </si>
  <si>
    <t>Estadisticas</t>
  </si>
  <si>
    <t>Últimas casillas marcadas para que los competidores exporten al sitio web de GMFT</t>
  </si>
  <si>
    <t>Exportar al sitio web de GMFT los siguientes tipos de eventos</t>
  </si>
  <si>
    <t>Pais</t>
  </si>
  <si>
    <t>Fase</t>
  </si>
  <si>
    <t>Nº Partido</t>
  </si>
  <si>
    <t>Genere el archivo GMFTData.html</t>
  </si>
  <si>
    <t>Exportar decoración a parámetros de sitio web</t>
  </si>
  <si>
    <t>Título de la barra de navegación</t>
  </si>
  <si>
    <t>Descripción del Evento</t>
  </si>
  <si>
    <t>Datos de la competición =&gt; Directorio de datos</t>
  </si>
  <si>
    <t>Decoración web =&gt; Archivo personalizado / GMFTData.html</t>
  </si>
  <si>
    <t>También puede cambiar el icono y las imágenes de fondo. Para hacer esto, vaya al directorio "Personalizado" debajo del directorio raíz que especificó anteriormente y reemplace los archivos "logo.png" y "event-background.jpg", ¡pero manteniendo estos nombres!</t>
  </si>
  <si>
    <t>Ruta de la plantilla Dashboard</t>
  </si>
  <si>
    <t>Actualizar y mostrar Dashboard</t>
  </si>
  <si>
    <t>Titulo de la Sesión</t>
  </si>
  <si>
    <t>Título de la sesión: si está vacío, el texto será:</t>
  </si>
  <si>
    <t>Tablero y temporizador</t>
  </si>
  <si>
    <t>El archivo del tablero seleccionado no es compatible con GMFT</t>
  </si>
  <si>
    <t>Ruta (vacío = mismo directorio)</t>
  </si>
  <si>
    <t>Nombre de archivo (relativo a la ruta)</t>
  </si>
  <si>
    <t>Nombre del directorio (relativo a la ruta)</t>
  </si>
  <si>
    <t>Se alcanza el número máximo de eventos.</t>
  </si>
  <si>
    <t>Tiros</t>
  </si>
  <si>
    <t>Funciones generales</t>
  </si>
  <si>
    <t>Hojas de Inscripción</t>
  </si>
  <si>
    <t>Hojas de la base de datos</t>
  </si>
  <si>
    <t>Hojas de Competición</t>
  </si>
  <si>
    <t>Hojas de sorteo</t>
  </si>
  <si>
    <t>Hoja datos de la competición</t>
  </si>
  <si>
    <t>Ocultar Sala</t>
  </si>
  <si>
    <t>Completar Inscripciones</t>
  </si>
  <si>
    <t>Cheking</t>
  </si>
  <si>
    <t>Nº Filas</t>
  </si>
  <si>
    <t>Agregar</t>
  </si>
  <si>
    <t>Remover 1 Fila</t>
  </si>
  <si>
    <t>Gestión de la Lista</t>
  </si>
  <si>
    <t>Navegación</t>
  </si>
  <si>
    <t>Mostrar Hojas</t>
  </si>
  <si>
    <t>Ocultar Hojas</t>
  </si>
  <si>
    <t>Licencias</t>
  </si>
  <si>
    <t>Clasificación</t>
  </si>
  <si>
    <t>Arbitrajes</t>
  </si>
  <si>
    <t>Cronologia</t>
  </si>
  <si>
    <t>Refrescar</t>
  </si>
  <si>
    <t>Definir Mesa</t>
  </si>
  <si>
    <t>Definir grupo de mesas</t>
  </si>
  <si>
    <t>Definir Modelo</t>
  </si>
  <si>
    <t>designar la Sala</t>
  </si>
  <si>
    <t>Indefinir todos los modelos</t>
  </si>
  <si>
    <t>Indefinir todos los grupos</t>
  </si>
  <si>
    <t>Indefinir todas las tablas</t>
  </si>
  <si>
    <t>Mostrar Ocupación de la Sala</t>
  </si>
  <si>
    <t>Volver a la pagina inicial</t>
  </si>
  <si>
    <t>Configuración</t>
  </si>
  <si>
    <t>Notas de la versión de GMFT</t>
  </si>
  <si>
    <t>Acceso a la hoja de configuración de GMFT para modificar el valor de los parámetros y exportar plantillas</t>
  </si>
  <si>
    <t xml:space="preserve">Creación de eventos | Individuales | Equipos | Dobles </t>
  </si>
  <si>
    <t>FISTF Oficial</t>
  </si>
  <si>
    <t>Formulas Predefinidas</t>
  </si>
  <si>
    <t>Componer Formulas</t>
  </si>
  <si>
    <t>Exportar</t>
  </si>
  <si>
    <t>Sitio Web</t>
  </si>
  <si>
    <t>Inscripciones</t>
  </si>
  <si>
    <t>Exportar FISTF</t>
  </si>
  <si>
    <t>Imprimir / Publicar</t>
  </si>
  <si>
    <t xml:space="preserve">Inicializar diseño </t>
  </si>
  <si>
    <t>Ver saltos de página</t>
  </si>
  <si>
    <t>Salvar resultados como PDF</t>
  </si>
  <si>
    <t>Imprimir Resultados</t>
  </si>
  <si>
    <t>Base de Datos</t>
  </si>
  <si>
    <t>Planning y Eventos</t>
  </si>
  <si>
    <t>datos de las competición</t>
  </si>
  <si>
    <t>Sala</t>
  </si>
  <si>
    <t xml:space="preserve">Número de filas </t>
  </si>
  <si>
    <t>Número de filas para agregar a la lista</t>
  </si>
  <si>
    <t>Agregar Filas</t>
  </si>
  <si>
    <t xml:space="preserve">Agrega el número especificado de filas </t>
  </si>
  <si>
    <t xml:space="preserve"> Eliminar 1 Fila</t>
  </si>
  <si>
    <t xml:space="preserve">Eliminar la fila después de la selección de celdas de la fila para eliminar </t>
  </si>
  <si>
    <t xml:space="preserve">Complete la cuadrícula de registro </t>
  </si>
  <si>
    <t xml:space="preserve">Actualizar la tabla de listado completa </t>
  </si>
  <si>
    <t>Salvar Inscripciones</t>
  </si>
  <si>
    <t xml:space="preserve">Registra checkins y participaciones en diferentes eventos </t>
  </si>
  <si>
    <t xml:space="preserve">Ayuda para la entrada de datos </t>
  </si>
  <si>
    <t xml:space="preserve">Formulario de inscripción masiva con ayuda para encontrar los nombres de los jugadores. </t>
  </si>
  <si>
    <t>Importar licencias FISTF</t>
  </si>
  <si>
    <t xml:space="preserve">importar el archivo FISTF Database.xlsm y obtener las licencias de los jugadores </t>
  </si>
  <si>
    <t>Importación de Clubs</t>
  </si>
  <si>
    <t>Importe el archivo FISTF Database.xlsm y obtenga las referencias del club</t>
  </si>
  <si>
    <t xml:space="preserve">Importación de clasificaciones </t>
  </si>
  <si>
    <t xml:space="preserve">Importe el archivo Web-YYYYMM.xlsx para obtener el ranking mundial de jugadores </t>
  </si>
  <si>
    <t>Importar Ranking Equipos</t>
  </si>
  <si>
    <t>Importe el archivo Web-YYYYMM.xlsx para recuperar la clasificación mundial de equipos</t>
  </si>
  <si>
    <t xml:space="preserve">Clasifica a los jugadores </t>
  </si>
  <si>
    <t xml:space="preserve">Ordenar los jugadores de cada equipo alfabéticamente </t>
  </si>
  <si>
    <t xml:space="preserve">Actualización de la tabla </t>
  </si>
  <si>
    <t xml:space="preserve">Actualización de la mesa de arbitraje </t>
  </si>
  <si>
    <t xml:space="preserve">Actualización de la tabla de los horarios individuales de los jugadores </t>
  </si>
  <si>
    <t>Actualización de la Tabla</t>
  </si>
  <si>
    <t xml:space="preserve">Actualizar tabla de estadísticas de jugadores </t>
  </si>
  <si>
    <t xml:space="preserve">Crear una Tabla </t>
  </si>
  <si>
    <t xml:space="preserve">Declare una nueva tabla después de seleccionar las celdas agrupadas que representan la tabla y que contienen el nombre de la tabla </t>
  </si>
  <si>
    <t xml:space="preserve">Crea un grupo de mesas </t>
  </si>
  <si>
    <t xml:space="preserve">Declare un nuevo grupo de mesas después de seleccionar todas las celdas del área que contiene el nombre del grupo en la celda superior izquierda </t>
  </si>
  <si>
    <t xml:space="preserve">Crear una plantilla de tabla / grupo </t>
  </si>
  <si>
    <t xml:space="preserve"> Crea una plantilla con el nombre del evento o uno de los términos "Libre" o "GrupoLibre". Cualquier evento en la planificación debe tener un modelo dedicado. Asimismo, se deben definir los modelos "Free" y "FreeGroup".</t>
  </si>
  <si>
    <t xml:space="preserve">Eliminar definiciones de todas las tablas </t>
  </si>
  <si>
    <t xml:space="preserve">Eliminar grupos de tablas </t>
  </si>
  <si>
    <t>Eliminar Tablas</t>
  </si>
  <si>
    <t>Eliminar plantillas de tabla / grupo</t>
  </si>
  <si>
    <t xml:space="preserve">Eliminar definiciones de todas las plantillas de tabla / grupo </t>
  </si>
  <si>
    <t xml:space="preserve">Información mostrada </t>
  </si>
  <si>
    <t xml:space="preserve">Tipo de información para mostrar en tablas </t>
  </si>
  <si>
    <t>Número de Sesión</t>
  </si>
  <si>
    <t xml:space="preserve">Número de serie de planificación para mostrar </t>
  </si>
  <si>
    <t>Evento Oficial FISTF</t>
  </si>
  <si>
    <t xml:space="preserve">Creación de un evento basado en las fórmulas oficiales del FISTF </t>
  </si>
  <si>
    <t xml:space="preserve">Evento basado en fórmulas predefinidas </t>
  </si>
  <si>
    <t xml:space="preserve">Creación de un evento basado en fórmulas predefinidas de 3 a 128 jugadores </t>
  </si>
  <si>
    <t xml:space="preserve">Evento Personalizado </t>
  </si>
  <si>
    <t>Exportación Web</t>
  </si>
  <si>
    <t xml:space="preserve">Exportar datos al sitio web de GMFT </t>
  </si>
  <si>
    <t>Exportar Registros</t>
  </si>
  <si>
    <t xml:space="preserve">Exportar datos al sitio web de registros </t>
  </si>
  <si>
    <t xml:space="preserve">Exportar a archivo de resultados oficial FISTF </t>
  </si>
  <si>
    <t xml:space="preserve">Inicializar encabezados y pies de página de diferentes hojas para imprimir </t>
  </si>
  <si>
    <t xml:space="preserve">Mostrar saltos de página </t>
  </si>
  <si>
    <t xml:space="preserve">Muestre las hojas para imprimir en el modo de diseño para establecer los saltos de página antes de imprimir </t>
  </si>
  <si>
    <t xml:space="preserve">Volver a la vista normal </t>
  </si>
  <si>
    <t xml:space="preserve">Devuelva las hojas para imprimir en el modo de vista estándar </t>
  </si>
  <si>
    <t>Salvar resultados en PDF</t>
  </si>
  <si>
    <t>Imprimir los resultados</t>
  </si>
  <si>
    <t xml:space="preserve">Haga visibles solo las hojas de trabajo útiles para los resultados y guarde el libro de trabajo como un archivo PDF </t>
  </si>
  <si>
    <t xml:space="preserve">Prepare la impresión y cambie al modo "Vista previa de impresión" para imprimir </t>
  </si>
  <si>
    <t xml:space="preserve">Partidos en Movimiento </t>
  </si>
  <si>
    <t>Gestión de las sesiones</t>
  </si>
  <si>
    <t>Registrar Resultados</t>
  </si>
  <si>
    <t xml:space="preserve">Gestión de arbitraje </t>
  </si>
  <si>
    <t xml:space="preserve">Exportaciones </t>
  </si>
  <si>
    <t xml:space="preserve">Mostrar modelos </t>
  </si>
  <si>
    <t xml:space="preserve">Subir 1 línea </t>
  </si>
  <si>
    <t xml:space="preserve"> N / A</t>
  </si>
  <si>
    <t xml:space="preserve">Subir los partidos seleccionados en 1 línea </t>
  </si>
  <si>
    <t xml:space="preserve">Bajar 1 línea </t>
  </si>
  <si>
    <t xml:space="preserve">Bajar los partidos seleccionados en 1 línea </t>
  </si>
  <si>
    <t>Eliminar Partidos</t>
  </si>
  <si>
    <t>Eliminar partidos seleccionados</t>
  </si>
  <si>
    <t>Prev. Sesión</t>
  </si>
  <si>
    <t xml:space="preserve">Mover los partidos seleccionados al comienzo de la sesión anterior </t>
  </si>
  <si>
    <t xml:space="preserve">Próxima sesión </t>
  </si>
  <si>
    <t xml:space="preserve">Mover las coincidencias seleccionadas al comienzo de la siguiente sesión </t>
  </si>
  <si>
    <t xml:space="preserve">Mover los partidos seleccionados al comienzo de una sesión dedicada </t>
  </si>
  <si>
    <t xml:space="preserve">Insertar antes </t>
  </si>
  <si>
    <t xml:space="preserve">Insertar una nueva sesión antes de la seleccionada </t>
  </si>
  <si>
    <t xml:space="preserve">Eliminar este </t>
  </si>
  <si>
    <t xml:space="preserve">N / A </t>
  </si>
  <si>
    <t xml:space="preserve">Eliminar sesión seleccionada </t>
  </si>
  <si>
    <t xml:space="preserve">Agregar al final </t>
  </si>
  <si>
    <t xml:space="preserve">Agregue una nueva sesión al final de Planning </t>
  </si>
  <si>
    <t>Eliminar último</t>
  </si>
  <si>
    <t xml:space="preserve">Eliminar la última sesión de la Planificación </t>
  </si>
  <si>
    <t xml:space="preserve">Copiar puntuaciones </t>
  </si>
  <si>
    <t xml:space="preserve">Copiar puntuaciones en hojas de eventos e invalidar </t>
  </si>
  <si>
    <t xml:space="preserve">Validar Resultados </t>
  </si>
  <si>
    <t xml:space="preserve">Copiar puntuaciones en hojas de eventos y validar </t>
  </si>
  <si>
    <t>Asignar Arbitros</t>
  </si>
  <si>
    <t xml:space="preserve">Asignar árbitros aleatoriamente a la sesión actual o a la selección contigua de partidos </t>
  </si>
  <si>
    <t>Cambiar Arbitros</t>
  </si>
  <si>
    <t xml:space="preserve">Cambiar árbitros de los 2 partidos seleccionados </t>
  </si>
  <si>
    <t>Hojas de puntuación</t>
  </si>
  <si>
    <t xml:space="preserve">Generación de hojas de puntuación para sesiones específicas </t>
  </si>
  <si>
    <t xml:space="preserve">Exportar una planificación para sesiones específicas </t>
  </si>
  <si>
    <t xml:space="preserve">Exportar tabla de partidos </t>
  </si>
  <si>
    <t>Importar</t>
  </si>
  <si>
    <t xml:space="preserve">Importar puntuaciones a través de una tabla completa de partidos </t>
  </si>
  <si>
    <t xml:space="preserve">Exportar los resultados de los partidos intermedios o finales junto con las clasificaciones de grupos, seleccionando las sesiones relevantes </t>
  </si>
  <si>
    <t>Abra el tablero en una ventana separada para mostrar los próximos partidos y, posiblemente, el temporizador</t>
  </si>
  <si>
    <t xml:space="preserve">Nacionalidades </t>
  </si>
  <si>
    <t xml:space="preserve">Gestionar acrónimos nacionales </t>
  </si>
  <si>
    <t xml:space="preserve">Resultados </t>
  </si>
  <si>
    <t xml:space="preserve">Exportar los resultados de partidos y clasificaciones de grupos </t>
  </si>
  <si>
    <t xml:space="preserve">Hojas de puntuación de partidos </t>
  </si>
  <si>
    <t xml:space="preserve">Hojas de partidos individuales, por equipos y dobles </t>
  </si>
  <si>
    <t>Exportar Planning</t>
  </si>
  <si>
    <t>Hoja de sorteo</t>
  </si>
  <si>
    <t xml:space="preserve">Plantilla para generar las hojas de sorteo de cada evento </t>
  </si>
  <si>
    <t xml:space="preserve">Pestañas visibles de cinta MSO </t>
  </si>
  <si>
    <t xml:space="preserve">Pestañas ocultas de cinta MSO </t>
  </si>
  <si>
    <t xml:space="preserve">Bloquear / desbloquear el libro de trabajo </t>
  </si>
  <si>
    <t xml:space="preserve">Bloquee o desbloquee el libro de trabajo completo para, por ejemplo, mostrar hojas ocultas. </t>
  </si>
  <si>
    <t xml:space="preserve">Mostrar / Ocultar pestañas de cinta de Microsoft </t>
  </si>
  <si>
    <t xml:space="preserve">Muestra u oculta las pestañas estándar de Microsoft en la cinta de Office. </t>
  </si>
  <si>
    <t xml:space="preserve">Gestión de eventos </t>
  </si>
  <si>
    <t xml:space="preserve">Crear hoja de sorteo </t>
  </si>
  <si>
    <t xml:space="preserve">Crear Sorteo </t>
  </si>
  <si>
    <t xml:space="preserve">Crea la hoja de sorteo para este evento </t>
  </si>
  <si>
    <t>Eliminar Evento</t>
  </si>
  <si>
    <t xml:space="preserve">Eliminar este evento </t>
  </si>
  <si>
    <t xml:space="preserve">Eliminar este evento y actualizar la planificación </t>
  </si>
  <si>
    <t>Gestionar Sorteo</t>
  </si>
  <si>
    <t xml:space="preserve">Cabezas de serie </t>
  </si>
  <si>
    <t>Definir cabezas de serie</t>
  </si>
  <si>
    <t xml:space="preserve">Asigne al 1 de cada grupo el 1 de la lista de participantes ordenados por rango </t>
  </si>
  <si>
    <t xml:space="preserve">Sorteo de la siguiente posición </t>
  </si>
  <si>
    <t>Sorteo posición siguiente</t>
  </si>
  <si>
    <t xml:space="preserve">Sorteo números para la siguiente posición hasta que encuentre un número que aún no se haya usado </t>
  </si>
  <si>
    <t xml:space="preserve">Sorteo general </t>
  </si>
  <si>
    <t>Sorteo todas las posiciones</t>
  </si>
  <si>
    <t xml:space="preserve">Sorteo muchas posiciones, teniendo cuidado de no duplicar los números extraídos. </t>
  </si>
  <si>
    <t xml:space="preserve">Hacer Retirar </t>
  </si>
  <si>
    <t xml:space="preserve">Declarar que el jugador se retira </t>
  </si>
  <si>
    <t xml:space="preserve">Reemplaza el nombre del jugador seleccionado en la lista de "Ranking de Participantes" con la mención "Retirar". </t>
  </si>
  <si>
    <t>Validar Sorteo</t>
  </si>
  <si>
    <t>Validar el sorteo</t>
  </si>
  <si>
    <t xml:space="preserve">Validar el sorteo copiando los nombres de los jugadores en los grupos de la hoja de evento correspondiente </t>
  </si>
  <si>
    <t>Remover la hoja de Sorteo</t>
  </si>
  <si>
    <t>Borrar la hoja de sorteo</t>
  </si>
  <si>
    <t xml:space="preserve">Puntaje máximo activado </t>
  </si>
  <si>
    <t xml:space="preserve">Puntaje máximo desactivado </t>
  </si>
  <si>
    <t xml:space="preserve">Aplicación Maxima Puntuación </t>
  </si>
  <si>
    <t xml:space="preserve">Activar / desactivar la regla para puntajes máximos </t>
  </si>
  <si>
    <t xml:space="preserve">Evento de Inscripción </t>
  </si>
  <si>
    <t xml:space="preserve">Evento en el que se registran jugadores. Por ejemplo, para un evento Open B, seleccionamos "Open". Por defecto, el valor seleccionado es el del propio evento.  </t>
  </si>
  <si>
    <t xml:space="preserve">Ruta de carpeta incorrecta </t>
  </si>
  <si>
    <t xml:space="preserve">Algunos eventos no están definidos como modelos de tabla. </t>
  </si>
  <si>
    <t>Sesión</t>
  </si>
  <si>
    <t xml:space="preserve">Creación de un evento completamente personalizado. ATENCIÓN: los enlaces de clasificación entre las sesiones de grupos y las sesiones finales deben ingresarse en la pestaña del evento. </t>
  </si>
  <si>
    <t>Sesió</t>
  </si>
  <si>
    <t>Taules</t>
  </si>
  <si>
    <t>Àrbitre</t>
  </si>
  <si>
    <t>Nom de l'equip</t>
  </si>
  <si>
    <t>Membres de l'equip</t>
  </si>
  <si>
    <t>Taula núm.</t>
  </si>
  <si>
    <t>Sorteig</t>
  </si>
  <si>
    <t>Jugadors</t>
  </si>
  <si>
    <t>Gols Favor</t>
  </si>
  <si>
    <t>Gols Contra</t>
  </si>
  <si>
    <t>Partits</t>
  </si>
  <si>
    <t>Equips</t>
  </si>
  <si>
    <t>Resultats</t>
  </si>
  <si>
    <t>Total Gols</t>
  </si>
  <si>
    <t>Eliminat</t>
  </si>
  <si>
    <t>Guanyador</t>
  </si>
  <si>
    <t>Clasificat</t>
  </si>
  <si>
    <t>Tercer</t>
  </si>
  <si>
    <t>Cuart</t>
  </si>
  <si>
    <t>Grup</t>
  </si>
  <si>
    <t>2º de Grup</t>
  </si>
  <si>
    <t>3º de Grup</t>
  </si>
  <si>
    <t>3 y 4 lloc</t>
  </si>
  <si>
    <t>Individual con sorteo completo</t>
  </si>
  <si>
    <t>Dobles con sorteo completo</t>
  </si>
  <si>
    <t>Por Equipo con sorteo completo</t>
  </si>
  <si>
    <t>Vuitens</t>
  </si>
  <si>
    <t>Ultims 64</t>
  </si>
  <si>
    <t>Ultims 128</t>
  </si>
  <si>
    <t>Ultims 256</t>
  </si>
  <si>
    <t>Grups</t>
  </si>
  <si>
    <t>3er Lloc</t>
  </si>
  <si>
    <t>Fase de Joc</t>
  </si>
  <si>
    <t>Nº llicència</t>
  </si>
  <si>
    <t>Signatura</t>
  </si>
  <si>
    <t>Nom Esdeveniment</t>
  </si>
  <si>
    <t>Nacionalitat</t>
  </si>
  <si>
    <t>Nom Club</t>
  </si>
  <si>
    <t>Abreviació</t>
  </si>
  <si>
    <t>Inserir cel·les a la part superior</t>
  </si>
  <si>
    <t>Llista Jugadors amb Llicència</t>
  </si>
  <si>
    <t>Llista Club</t>
  </si>
  <si>
    <t>Inserir una línia: Copieu una línia d'equip i premeu  "Clic dret&gt; Insereix cel·les copiades " en una línia d'equip existent.</t>
  </si>
  <si>
    <t>Nº Jugadors Equip</t>
  </si>
  <si>
    <t>Max. Nombre jugadors d'Equip</t>
  </si>
  <si>
    <t>Equip 1</t>
  </si>
  <si>
    <t>Equip 2</t>
  </si>
  <si>
    <t>Per Equip amb sorteig complet</t>
  </si>
  <si>
    <t>individual amb sorteig complet</t>
  </si>
  <si>
    <t>Dobles amb sorteig complet</t>
  </si>
  <si>
    <t>Grup de 3</t>
  </si>
  <si>
    <t>Grup de 4</t>
  </si>
  <si>
    <t>Grup de 5</t>
  </si>
  <si>
    <t>Grup de 6</t>
  </si>
  <si>
    <t>Grup de 7</t>
  </si>
  <si>
    <t>Grup de 8</t>
  </si>
  <si>
    <t>Grup de 9</t>
  </si>
  <si>
    <t>Grup de 10</t>
  </si>
  <si>
    <t>Grup de 11</t>
  </si>
  <si>
    <t>Grup de 12</t>
  </si>
  <si>
    <t>Grup de 13</t>
  </si>
  <si>
    <t>Grup de 14</t>
  </si>
  <si>
    <t>Grup de 15</t>
  </si>
  <si>
    <t>Grup de 16</t>
  </si>
  <si>
    <t>Grup de 17</t>
  </si>
  <si>
    <t>Grup de 18</t>
  </si>
  <si>
    <t>Grup de 19</t>
  </si>
  <si>
    <t>Grup de 20</t>
  </si>
  <si>
    <t>Grup de 3 anada i tornada</t>
  </si>
  <si>
    <t>Grup de 4 anada i tornada</t>
  </si>
  <si>
    <t>Grup de 5 anada i tornada</t>
  </si>
  <si>
    <t>Grup de 6 amb Auto-arbitratge</t>
  </si>
  <si>
    <t>Missatge d'error en la puntuació de el partit seleccionat</t>
  </si>
  <si>
    <t>Missatge per la igualtat en el grup</t>
  </si>
  <si>
    <t>Retard entre 2 partits en grup</t>
  </si>
  <si>
    <t>Retard entre 2 partits seleccionats</t>
  </si>
  <si>
    <t>Criteris abans de la diferència particular</t>
  </si>
  <si>
    <t>Diferència particular en cas d'igualtat sobre criteris anteriors</t>
  </si>
  <si>
    <t>Criteris després d'una diferència particular</t>
  </si>
  <si>
    <t>Càlcul de el rànquing individual</t>
  </si>
  <si>
    <t>Càlcul de el rànquing d'Equip</t>
  </si>
  <si>
    <t>Punts</t>
  </si>
  <si>
    <t>Diferencia de Gols</t>
  </si>
  <si>
    <t>Partits Guanyats</t>
  </si>
  <si>
    <t>Millor Atac</t>
  </si>
  <si>
    <t>Resultat de el partit en empat a punts</t>
  </si>
  <si>
    <t>Diferència de Gols en empat a punts</t>
  </si>
  <si>
    <t>Millor Atac en empat a punts</t>
  </si>
  <si>
    <t>Diferència victòries individuals en empat a punts</t>
  </si>
  <si>
    <t>Mes victòries individuals en empat a punts</t>
  </si>
  <si>
    <t>Diferència de partit</t>
  </si>
  <si>
    <t>Diferència individual victòries</t>
  </si>
  <si>
    <t>Mes victòries individuals</t>
  </si>
  <si>
    <t>Victòria</t>
  </si>
  <si>
    <t>Empat</t>
  </si>
  <si>
    <t>Llenguatge</t>
  </si>
  <si>
    <t>FI DE PLANIFICACIÓ</t>
  </si>
  <si>
    <t>Inserir línies sobre aquesta àrea</t>
  </si>
  <si>
    <t>Full per a Impressió de el marcador de l  'equip.
Enganxa a l'esquerra les LÍNIES de la planificació fins a 20.
La línia Numèric 6 ha de ser la primera línia
La línia número 126 ha d'estar buida
Sense línia buida entre 2 línies de coincidència</t>
  </si>
  <si>
    <t>Categoria de l'Esdeveniment</t>
  </si>
  <si>
    <t>Definició d'un nou esdeveniment per a particulars</t>
  </si>
  <si>
    <t>Definició d'un nou esdeveniment per equips</t>
  </si>
  <si>
    <t>Definició d'un nou esdeveniment per dobles</t>
  </si>
  <si>
    <t>Sessió</t>
  </si>
  <si>
    <t>Definició d'un nou esdeveniment per individuals basat en fórmules de competició</t>
  </si>
  <si>
    <t>Definició d'un nou esdeveniment per equips basat en fórmules de competició</t>
  </si>
  <si>
    <t>Definició d'un nou esdeveniment per dobles basat en fórmules de competició</t>
  </si>
  <si>
    <t>Definició d'un nou esdeveniment per individuals basat en fórmules de competició (oficials o no)</t>
  </si>
  <si>
    <t>Definició d'un nou esdeveniment per equips basat en fórmules de competició (oficials o no)</t>
  </si>
  <si>
    <t>Definició d'un nou esdeveniment per dobles basat en fórmules de competició (oficials o no)</t>
  </si>
  <si>
    <t>Grups de 3</t>
  </si>
  <si>
    <t>Grups de 4</t>
  </si>
  <si>
    <t>Grups de 5</t>
  </si>
  <si>
    <t>Grups de 6</t>
  </si>
  <si>
    <t>Grups de 7</t>
  </si>
  <si>
    <t>Grups de 8</t>
  </si>
  <si>
    <t>Grups de 9</t>
  </si>
  <si>
    <t>Grups de 10</t>
  </si>
  <si>
    <t>Grups de 11</t>
  </si>
  <si>
    <t>Grups de 12</t>
  </si>
  <si>
    <t>Grups de 13</t>
  </si>
  <si>
    <t>Grups de 14</t>
  </si>
  <si>
    <t>Grups de 15</t>
  </si>
  <si>
    <t>Grups de 16</t>
  </si>
  <si>
    <t>Grups de 17</t>
  </si>
  <si>
    <t>Grups de 18</t>
  </si>
  <si>
    <t>Grups de 19</t>
  </si>
  <si>
    <t>Grups de 20</t>
  </si>
  <si>
    <t>amb anada i tornada</t>
  </si>
  <si>
    <t>Fase de Grups</t>
  </si>
  <si>
    <t>Eliminació Directa</t>
  </si>
  <si>
    <t>Nombre de Partits</t>
  </si>
  <si>
    <t>Nombre de jugadors pre-classificats</t>
  </si>
  <si>
    <t>Sorteig complet</t>
  </si>
  <si>
    <t>Trenta-dosens</t>
  </si>
  <si>
    <t>Setzens</t>
  </si>
  <si>
    <t>3 y 4 Lloc</t>
  </si>
  <si>
    <t>El nom de l'esdeveniment ja està sent utilitzat per un altre full.</t>
  </si>
  <si>
    <t>el valor no és numèric</t>
  </si>
  <si>
    <t>Formulari per a nou esdeveniment individual</t>
  </si>
  <si>
    <t>Formulari per a nou esdeveniment per equips</t>
  </si>
  <si>
    <t>Formulari per a nou esdeveniment dobles</t>
  </si>
  <si>
    <t>Formulari per a nou esdeveniment individual amb formules</t>
  </si>
  <si>
    <t>Formulari per a nou esdeveniment per equips amb formules</t>
  </si>
  <si>
    <t>Formulari per a nou esdeveniment dobles amb formules</t>
  </si>
  <si>
    <t>Formulari per a nou esdeveniment individual amb formules (oficial o no)</t>
  </si>
  <si>
    <t>Formulari per a nou esdeveniment per equips amb formules (oficial o no)</t>
  </si>
  <si>
    <t>Formulari per a nou esdeveniment dobles amb formules (oficial o no)</t>
  </si>
  <si>
    <t>Grups de …</t>
  </si>
  <si>
    <t>3 Jugadors</t>
  </si>
  <si>
    <t>4 Jugadors</t>
  </si>
  <si>
    <t>5 Jugadors</t>
  </si>
  <si>
    <t>6 Jugadors</t>
  </si>
  <si>
    <t>7 Jugadors</t>
  </si>
  <si>
    <t>8 Jugadors</t>
  </si>
  <si>
    <t>9 Jugadors</t>
  </si>
  <si>
    <t>10 Jugadors</t>
  </si>
  <si>
    <t>Amaga</t>
  </si>
  <si>
    <t>Sessiò Nº</t>
  </si>
  <si>
    <t>Duraciò</t>
  </si>
  <si>
    <t>Ja hi ha un document de formularis de coincidència. Aquesta acció eliminarà aquest full i la tornarà a crear. Vols continuar?</t>
  </si>
  <si>
    <t>Fi de la Jornada</t>
  </si>
  <si>
    <t>Res seleccionat!</t>
  </si>
  <si>
    <t>¡La seva selecció no correspon exclusivament a línies coincidents!</t>
  </si>
  <si>
    <t>La selecció ha de tenir només una àrea contínua i estar completament dins d'una sessió!</t>
  </si>
  <si>
    <t xml:space="preserve">Si us plau, introduïu el número de sessió </t>
  </si>
  <si>
    <t>Nombre de sessió incorrecte! El nombre de sessió ha d'estar entre 1 i</t>
  </si>
  <si>
    <t>La seva selecció està a la part superior de la planificació i no es pot moure cap amunt!</t>
  </si>
  <si>
    <t>La selecció està dins de la sessió 1 i, per descomptat, no es pot moure en una sessió anterior! Primer, creeu una nova sessió abans de la 1 sessió.</t>
  </si>
  <si>
    <t>La seva selecció està en l'última sessió de planificació i no es pot moure cap avall! Té la possibilitat de crear una nova sessió</t>
  </si>
  <si>
    <t>Error de sistema: una cel·la oculta de "Tipus de coincidència" conté un tipus desconegut de codi de coincidència. Contacti amb suport. Proveu eliminar / recrear les coincidències en qüestió.</t>
  </si>
  <si>
    <t>Error de sistema: un equip o un partit doble no conté tots els partits individuals. Algunes línies haurien d'haver-eliminat accidentalment. Contacti amb suport. Proveu eliminar / recrear les coincidències en qüestió.</t>
  </si>
  <si>
    <t>Completa la base de dades de jugadors i clubs.</t>
  </si>
  <si>
    <t>Consulta inscripcions i participacions a diferents esdeveniments.</t>
  </si>
  <si>
    <t>Definir paràmetres esportius del dia de competició</t>
  </si>
  <si>
    <t>Si cal, definiu equips de l'esdeveniment.</t>
  </si>
  <si>
    <t>Si cal, defineixi els dobles de l'esdeveniment.</t>
  </si>
  <si>
    <t>Consultar llistes de jugadors, equips i àrbitres</t>
  </si>
  <si>
    <t>Crear un o més esdeveniments</t>
  </si>
  <si>
    <t>Accions</t>
  </si>
  <si>
    <t>Full de Treball</t>
  </si>
  <si>
    <t>Amagar</t>
  </si>
  <si>
    <t>Completeu les fulles d'esdeveniments completant les posicions dels jugadors en grups (o en la primera de les fases finals si no hi ha fase de grups). En cas de partits dirigits amb fase de grups, introdueixi també fórmules per als partits de la primera fase final basades en rondes anteriors.
En cas de sorteig complet, ha de completar els jugadors de cada partit en el full de l'esdeveniment i no en la planificació.</t>
  </si>
  <si>
    <t>Adapti la planificació movent partits entre les diferents sessions. Durant l'esdeveniment, els àrbitres, taules i puntuacions es completen EXCLUSIVAMENT al full de planificació.
En cas de partits per equips o dobles, els jugadors també s'omplen en el full de "planificació".</t>
  </si>
  <si>
    <t>GMFT - Gestió de Partits de Futbol Taula</t>
  </si>
  <si>
    <t>Versiò</t>
  </si>
  <si>
    <t>Base de dades de jugadors amb llicènci</t>
  </si>
  <si>
    <t>Base de dades de Clubs</t>
  </si>
  <si>
    <t>Inscripció de Jugadors</t>
  </si>
  <si>
    <t>Inscripció d'Equips</t>
  </si>
  <si>
    <t>Inscripciò de Dobles</t>
  </si>
  <si>
    <t>Llista de Jugadors després de la inscripci</t>
  </si>
  <si>
    <t>ATENCIÓ, ¡no fer l'actualització en aquest full! A més, eviti la manipulació de formats.</t>
  </si>
  <si>
    <t>La llista té sols 2 membres. No es permet eliminar.</t>
  </si>
  <si>
    <t>La selecció actual està en més d'una fila. La funció d'eliminació està feta per a una sola fila.</t>
  </si>
  <si>
    <t>La selecció no és una fila disponible per eliminar.</t>
  </si>
  <si>
    <t>Nombre de files per admetre és superior a un</t>
  </si>
  <si>
    <t>FISTF Codis Nacions</t>
  </si>
  <si>
    <t>Utilitza la nacionalitat en lloc de el club per el trigrama en el nom de l'jugador (útil per a la Copa de l'Món). Ex. John BEEM (ANG)</t>
  </si>
  <si>
    <t>Ordenar per "COGNOM Nom"</t>
  </si>
  <si>
    <t>validar registres</t>
  </si>
  <si>
    <t>El nombre màxim de jugadors és 128</t>
  </si>
  <si>
    <t>El nombre màxim de jugadors és 128 quan l'esdeveniment es basa en grups de 3</t>
  </si>
  <si>
    <t>El nombre minim de jugadors és 3 quan l'esdeveniment es basa en grups de 3</t>
  </si>
  <si>
    <t>El número minimo de jugadores es 3 cuando el evento se basa en grupos de 3</t>
  </si>
  <si>
    <t>El número minimo de jugadores es 10 cuando el evento se basa en grupos de 10</t>
  </si>
  <si>
    <t>El número minimo de jugadores es 9 cuando el evento se basa en grupos de 9</t>
  </si>
  <si>
    <t>El número minimo de jugadores es 8 cuando el evento se basa en grupos de 8</t>
  </si>
  <si>
    <t>El número minimo de jugadores es 7 cuando el evento se basa en grupos de 7</t>
  </si>
  <si>
    <t>El número minimo de jugadores es 6 cuando el evento se basa en grupos de 6</t>
  </si>
  <si>
    <t>El número minimo de jugadores es 6 cuando el evento se basa en grupos de 5</t>
  </si>
  <si>
    <t>El número minimo de jugadores es 6 cuando el evento se basa en grupos de 4</t>
  </si>
  <si>
    <t>El nombre minim de jugadors és 4 quan l'esdeveniment es basa en grups de 4</t>
  </si>
  <si>
    <t>El nombre minim de jugadors és 5 quan l'esdeveniment es basa en grups de 5</t>
  </si>
  <si>
    <t>El nombre minim de jugadors és 6 quan l'esdeveniment es basa en grups de 6</t>
  </si>
  <si>
    <t>El nombre minim de jugadors és 7 quan l'esdeveniment es basa en grups de 7</t>
  </si>
  <si>
    <t>El nombre minim de jugadors és 8 quan l'esdeveniment es basa en grups de 8</t>
  </si>
  <si>
    <t>El nombre minim de jugadors és 9 quan l'esdeveniment es basa en grups de 9</t>
  </si>
  <si>
    <t>El nombre minim de jugadors és 10 quan l'esdeveniment es basa en grups de 10</t>
  </si>
  <si>
    <t>Formules de Competició FISTF</t>
  </si>
  <si>
    <t>Organització de partits amb grups de 3</t>
  </si>
  <si>
    <t>Organització de partits amb grups de 4</t>
  </si>
  <si>
    <t>Organització de partits amb grups de 5</t>
  </si>
  <si>
    <t>Organització de partits amb grups de 6</t>
  </si>
  <si>
    <t>Organització de partits amb grups de 7</t>
  </si>
  <si>
    <t>Organització de partits amb grups de 8</t>
  </si>
  <si>
    <t>Organització de partits amb grups de 9</t>
  </si>
  <si>
    <t>Organització de partits amb grups de 10</t>
  </si>
  <si>
    <t>Formules de partits</t>
  </si>
  <si>
    <t>Jugadors Classificats</t>
  </si>
  <si>
    <t>Nº Ultims Jugadors</t>
  </si>
  <si>
    <t>Nº Jugadors</t>
  </si>
  <si>
    <t>Nº Grups de …</t>
  </si>
  <si>
    <t>Total Nº Grups</t>
  </si>
  <si>
    <t>Error de sistema: no es va trobar la fórmula de coincidència. Contacti amb Suport</t>
  </si>
  <si>
    <t>No pot eliminar les últimes 2 sessions.</t>
  </si>
  <si>
    <t>El nom de l'esdeveniment és obligatori, si us plau complete'l.</t>
  </si>
  <si>
    <t>Basat en les pautes per als tornejos FISTF</t>
  </si>
  <si>
    <t>Redacteu lliurement la teva fórmula de torneig</t>
  </si>
  <si>
    <t>Fórmules de competició no oficials</t>
  </si>
  <si>
    <t>Escollir entre fórmula oficial o no oficial, però amb un gran marge</t>
  </si>
  <si>
    <t>Es a superat el nombre màxim de fórmules diferents per a un nombre determinat de jugadors. Modifiqui després el full "CompetitionFormulas".</t>
  </si>
  <si>
    <t>Maxim Nº Gols</t>
  </si>
  <si>
    <t>Max. Puntuaciò</t>
  </si>
  <si>
    <t>Ranking Equips</t>
  </si>
  <si>
    <t>Ranking Jugadors</t>
  </si>
  <si>
    <t>Llista d'equips classificats</t>
  </si>
  <si>
    <t>Llista de jugadors classificats</t>
  </si>
  <si>
    <t>Criteri de el rànquing de jugadors</t>
  </si>
  <si>
    <t>Nombre de punts de el rànquing</t>
  </si>
  <si>
    <t>Actualitzar si cal la classificació (en cas que la classificació es faci servir en els criteris de classificació per grups o en el cas d'usar la funció Sorteig)</t>
  </si>
  <si>
    <t>L'arxiu seleccionat sembla no ser un arxiu de classificació mundial FISTF. Si realment és un arxiu FISTF WR, és possible que el format de l'arxiu hagi canviat; en aquest cas cal actualitzar la funció d'importació de GMFT i així contactar amb el suport de GMFT.</t>
  </si>
  <si>
    <t>L'arxiu seleccionat sembla no ser un arxiu de taula de puntuació GMFT. Si es tracta d'un arxiu de taula de puntuació GMFT, és possible que el format de l'arxiu hagi canviat tot i que les proteccions prohibeixen altres modificacions més del registre de puntuacions.</t>
  </si>
  <si>
    <t>Nombre total de jugadors classificats</t>
  </si>
  <si>
    <t>Nombre total de línies de classificació</t>
  </si>
  <si>
    <t>Importa el fitxer de classificació FISTF</t>
  </si>
  <si>
    <t>Utilitzeu la classificació mundial de FISTF (full de classificació) com a base de dades de jugadors amb llicència (utilitzada en el full de registre com a llista de jugadors).</t>
  </si>
  <si>
    <t>Data de naixement si no hi ha Núm Llicència</t>
  </si>
  <si>
    <t>La seva selecció ha de tenir només una línia!</t>
  </si>
  <si>
    <t>La seva selecció no està en una fila de sessió (la primera sessió no es pot fer servir)</t>
  </si>
  <si>
    <t>Inserir abans / Eliminar sessió seleccionada</t>
  </si>
  <si>
    <t>Afegir / Eliminar última sessió</t>
  </si>
  <si>
    <t>Moure o eliminar partits seleccionats</t>
  </si>
  <si>
    <t>Moure partits seleccionats: Abans / Després de la sessió</t>
  </si>
  <si>
    <t>Copiar puntuacions i invalidar</t>
  </si>
  <si>
    <t>Copiar puntuacions i validar</t>
  </si>
  <si>
    <t>Eliminar partits obsoletes (#REF!)</t>
  </si>
  <si>
    <t>Bloquejar fulls de treball per evitar errors de manipulació</t>
  </si>
  <si>
    <t>Sustitut</t>
  </si>
  <si>
    <t>Codis substituts per a partits per equips</t>
  </si>
  <si>
    <t>Nº partits arbitrats</t>
  </si>
  <si>
    <t>Sessió de l'últim arbitratge</t>
  </si>
  <si>
    <t>Aquesta llista li brinda la possibilitat d'adaptar la "llista de valors" disponible en els camps d'àrbitres del full de planificació per a un ús més fàcil.</t>
  </si>
  <si>
    <t>Utilitza els filtres a continuació per ordenar la llista d'àrbitres (el filtrat no té cap efecte)</t>
  </si>
  <si>
    <t>Pot esborrar línies o afegir algunes característiques dins dels criteris Nº 1 a 4</t>
  </si>
  <si>
    <t>Quan valida el registre en el full de "registre", aquesta llista s'esborra i restaura completament i els seus criteris personals s'eliminen</t>
  </si>
  <si>
    <t>Llista d'àrbitres per al seu ús en la planificació</t>
  </si>
  <si>
    <t>El teu Criteri</t>
  </si>
  <si>
    <t>Adapti la planificació i després completi les puntuacions directament en la planificació</t>
  </si>
  <si>
    <t>Omplir jugadors després de l'sorteig</t>
  </si>
  <si>
    <t>Adapti la llista d'àrbitres a les seves necessitats</t>
  </si>
  <si>
    <t>Mostrar o amagar fulles de sorteig</t>
  </si>
  <si>
    <t xml:space="preserve">Mostra o imprimir la planificació dels jugadors 
</t>
  </si>
  <si>
    <t xml:space="preserve">Representa el pla de la sala amb els noms de les taules 
</t>
  </si>
  <si>
    <t xml:space="preserve">Consultar les estadístiques dels jugadors 
</t>
  </si>
  <si>
    <t>Mostra podi per a la presentació de trofeus</t>
  </si>
  <si>
    <t>Exportar dades a la pàgina web de GMFT</t>
  </si>
  <si>
    <t xml:space="preserve">Enviament de resultats després de l'torneig 
</t>
  </si>
  <si>
    <t>Generando formularios de resultados oficiales FISTF</t>
  </si>
  <si>
    <t xml:space="preserve">Generant formularis de resultats oficials FISTF 
</t>
  </si>
  <si>
    <t>GMFT Benvinguts</t>
  </si>
  <si>
    <t>Aquest software es proporciona TAL QUAL i és gratuït.
Aquest software no és garantia.
L'autor, Roger Trouillard, no és responsable de cap dany a causa de l'ús d'aquest software</t>
  </si>
  <si>
    <t>Benvinguts a GMFT
l'eina per gestionar
Tornejos de Futbol Taula</t>
  </si>
  <si>
    <t xml:space="preserve">Títol de l'Esdeveniment 
</t>
  </si>
  <si>
    <t>Visualització i canvi de salts de pàgina abans d'imprimir</t>
  </si>
  <si>
    <t xml:space="preserve">Comenceu a imprimir 
</t>
  </si>
  <si>
    <t xml:space="preserve">Data de l'Esdeveniment 
</t>
  </si>
  <si>
    <t xml:space="preserve">Amaga la visualització de fórmules de jugador sense puntuació 
</t>
  </si>
  <si>
    <t xml:space="preserve">Exportar Planificació 
</t>
  </si>
  <si>
    <t xml:space="preserve">imprimint resultats 
</t>
  </si>
  <si>
    <t>Exportar Grups</t>
  </si>
  <si>
    <t>Exportar Resultats</t>
  </si>
  <si>
    <t>Exportar Detalls Partis</t>
  </si>
  <si>
    <t xml:space="preserve">Generar fulls de puntuació 
</t>
  </si>
  <si>
    <t xml:space="preserve">Primera sessió de planificació per exportar 
</t>
  </si>
  <si>
    <t xml:space="preserve">Inici de Sessió 
</t>
  </si>
  <si>
    <t xml:space="preserve">Exporta el nombre de torns de la sessió 
</t>
  </si>
  <si>
    <t>Número de Sesions</t>
  </si>
  <si>
    <t xml:space="preserve">Paràmetres d'exportació de la pàgina web 
</t>
  </si>
  <si>
    <t xml:space="preserve">Paràmetres d'exportació de registre 
</t>
  </si>
  <si>
    <t xml:space="preserve">Exporta paràmetres a la pàgina web 
</t>
  </si>
  <si>
    <t xml:space="preserve">Paràmetres per a l'exportació de registres 
</t>
  </si>
  <si>
    <t xml:space="preserve">Paràmetres d'exportacion de l'Planning 
</t>
  </si>
  <si>
    <t xml:space="preserve">Paràmetres per exportar el planning 
</t>
  </si>
  <si>
    <t xml:space="preserve">Paràmetres d'exportació de resultats 
</t>
  </si>
  <si>
    <t xml:space="preserve">Paràmetres per a l'exportació de resultats 
</t>
  </si>
  <si>
    <t xml:space="preserve">Paràmetres d'exportació dels resultats 
</t>
  </si>
  <si>
    <t xml:space="preserve">Paràmetres d'exportació de fulls de puntuació 
</t>
  </si>
  <si>
    <t xml:space="preserve">Paràmetres per a l'exportació de fulls de puntuació 
</t>
  </si>
  <si>
    <t xml:space="preserve">Formulari de registre individual 
</t>
  </si>
  <si>
    <t xml:space="preserve">Formulari d'Inscripció 
</t>
  </si>
  <si>
    <t xml:space="preserve">Paràmetres d'elecció d'àrbitres 
</t>
  </si>
  <si>
    <t xml:space="preserve">seleccionar àrbitres 
</t>
  </si>
  <si>
    <t xml:space="preserve">Nombre Inici de Sessió 
</t>
  </si>
  <si>
    <t>Ruta directori de la pàgina web de GMFT</t>
  </si>
  <si>
    <t xml:space="preserve">Ruta directori de el lloc de registres 
</t>
  </si>
  <si>
    <t xml:space="preserve">Nombre de sessions per exportar 
</t>
  </si>
  <si>
    <t xml:space="preserve">Exportar partits individuals per als resultats de l'equip 
</t>
  </si>
  <si>
    <t xml:space="preserve">Model d'Esdeveniment 
</t>
  </si>
  <si>
    <t xml:space="preserve">Model de Taules 
</t>
  </si>
  <si>
    <t xml:space="preserve">Model de jugador o Equip 
</t>
  </si>
  <si>
    <t>Patrons per trobar en valors de cel·la.
Per jugadors i equips, el filtre es va aplicar a el jugador 1, Jugador2 i àrbitre.
No distingeix entre majúscules i minúscules.</t>
  </si>
  <si>
    <t xml:space="preserve">Nombre de sessió invàlid 
</t>
  </si>
  <si>
    <t xml:space="preserve">Valor per defecte per iniciar sessió 
</t>
  </si>
  <si>
    <t xml:space="preserve">Valor Per defecte de l'nombre de sessions 
</t>
  </si>
  <si>
    <t xml:space="preserve">Valor Per defecte de l'indicador d'exportació de resultats individuals per als resultats de l'equip 
</t>
  </si>
  <si>
    <t>Full de puntuacions</t>
  </si>
  <si>
    <t xml:space="preserve">Cap esdeveniment creat prèviament per imprimir! 
</t>
  </si>
  <si>
    <t xml:space="preserve">Funció encara no disponible. 
</t>
  </si>
  <si>
    <t>La manera de càlcul d'Excel s'ha establert en "Manual" per a fins de rendiment.
Abans de sortir de GMFT, pot fer clic al botó "Càlcul manual" a la cinta per restablir la manera de càlcul a "Automàtic"</t>
  </si>
  <si>
    <t xml:space="preserve">Modalitat de Càlcul 
</t>
  </si>
  <si>
    <t>Cancel-la aquesta pàgina</t>
  </si>
  <si>
    <t xml:space="preserve">L'arxiu seleccionat sembla no ser un arxiu de clubs amb llicència FISTF. Si és realment un arxiu de llista de llicències FISTF, és possible que el format de l'arxiu hagi canviat; en aquest cas cal actualitzar la funció d'importació de l'GMFT i així contactar amb el suport de GMFT. 
</t>
  </si>
  <si>
    <t xml:space="preserve">El nombre de línies de la Llista de clubs és menor que el nombre de clubs dins de la llista FISTF. Augmenti el nombre de línies de la llista de GMFT Club a: 
</t>
  </si>
  <si>
    <t xml:space="preserve">El nombre de línies de la llista de jugadors és menor que el nombre de jugadors dins de la llista FISTF. Augmenti el nombre de línies de la llista de GMFT Club a: 
</t>
  </si>
  <si>
    <t xml:space="preserve">Nombre total de clubs 
</t>
  </si>
  <si>
    <t xml:space="preserve">Nombre total de línies en la llista de club 
</t>
  </si>
  <si>
    <t>Nombre total de jugadors</t>
  </si>
  <si>
    <t xml:space="preserve">Nombre total de línies en la llista de jugadors 
</t>
  </si>
  <si>
    <t xml:space="preserve">Importa el fitxer FISTF Clubs 
</t>
  </si>
  <si>
    <t xml:space="preserve">Importa el fitxer de jugadors FISTF 
</t>
  </si>
  <si>
    <t xml:space="preserve">Seleccioneu la plantilla d'arxiu de full de puntuació de l'esdeveniment FISTF 
</t>
  </si>
  <si>
    <t xml:space="preserve">Seleccioneu el fitxer de classificació mundial de l'FISTF 
</t>
  </si>
  <si>
    <t>Seleccioneu el fitxer de llicència d'FISTF</t>
  </si>
  <si>
    <t>Seleccioneu el nom del fitxer del full de puntuació de l'esdeveniment de l'FISTF.</t>
  </si>
  <si>
    <t xml:space="preserve">Seleccioneu el fitxer de la taula de puntuació 
</t>
  </si>
  <si>
    <t xml:space="preserve">L'arxiu seleccionat sembla no ser un arxiu de plantilla de full de puntuació FISTF. Si és realment un arxiu de full de puntuació FISTF, és possible que el format de l'arxiu hagi canviat; en aquest cas cal actualitzar la funció d'exportació de l'GMFT i així contactar amb el suport de GMFT. 
</t>
  </si>
  <si>
    <t xml:space="preserve">No mostrar aquesta confirmació la propera vegada 
</t>
  </si>
  <si>
    <t xml:space="preserve">Aquesta acció guardarà tots els arxius d'Excel oberts sense confirmació. Vols continuar? 
</t>
  </si>
  <si>
    <t xml:space="preserve">Error en la crida de subrutina de ChekReferee; l'objectiu no és una cel·la de Àrbitre del full de Planificació. 
</t>
  </si>
  <si>
    <t xml:space="preserve">Aquest àrbitre és jugador d'aquest grup. 
</t>
  </si>
  <si>
    <t xml:space="preserve">Aquest àrbitre participa com a jugador en aquesta fase. 
</t>
  </si>
  <si>
    <t xml:space="preserve">Aquest àrbitre és membre de el mateix club que el jugador 1 
</t>
  </si>
  <si>
    <t xml:space="preserve">Aquest àrbitre és membre de el mateix club que el jugador 2 
</t>
  </si>
  <si>
    <t xml:space="preserve">Aquest àrbitre té la mateixa nacionalitat que el jugador 1 
</t>
  </si>
  <si>
    <t xml:space="preserve">Aquest àrbitre té la mateixa nacionalitat que el jugador 2 
</t>
  </si>
  <si>
    <t xml:space="preserve">Informe d'elecció d'àrbitre: 
</t>
  </si>
  <si>
    <t>Activació d' controls durant les eleccions dels àrbitres en la planificació.</t>
  </si>
  <si>
    <t xml:space="preserve">Àrbitre en el mateix grup que un dels jugadors. 
</t>
  </si>
  <si>
    <t xml:space="preserve">Àrbitre al mateix Club que un dels jugadors. 
</t>
  </si>
  <si>
    <t xml:space="preserve">Àrbitre amb la mateixa nacionalitat que un dels jugadors. 
</t>
  </si>
  <si>
    <t>Àrbitre al mateix Club que un dels jugadors de el grup.</t>
  </si>
  <si>
    <t xml:space="preserve">Àrbitre amb la mateixa nacionalitat que un dels jugadors de el grup. 
</t>
  </si>
  <si>
    <t xml:space="preserve">Aquest àrbitre és membre de el mateix club que un dels jugadors de el grup. 
</t>
  </si>
  <si>
    <t xml:space="preserve">Deseu tots els arxius d'Excel oberts 
</t>
  </si>
  <si>
    <t xml:space="preserve">A l'almenys una cel·la en una de les columnes, el nom o el nom dels jugadors té un valor # N / a. Per a cada jugador, completi a el menys un club conegut ("----" si el jugador no té un club). 
</t>
  </si>
  <si>
    <t xml:space="preserve">Inici número de sessió 
</t>
  </si>
  <si>
    <t xml:space="preserve">Pla de la Sala 
</t>
  </si>
  <si>
    <t xml:space="preserve">Exporta / Importa taula punts 
</t>
  </si>
  <si>
    <t>Taula de puntuació</t>
  </si>
  <si>
    <t>El número total de partits que procedeixen és:</t>
  </si>
  <si>
    <t xml:space="preserve">El número total de resultats importats és: 
</t>
  </si>
  <si>
    <t xml:space="preserve">Ordenar membres de l'equip 
</t>
  </si>
  <si>
    <t>Resultats y ranking</t>
  </si>
  <si>
    <t xml:space="preserve">El nom de fitxer escollit correspon a un arxiu obert. Tanqueu el fitxer de destinació i torni a intentar-ho. 
</t>
  </si>
  <si>
    <t xml:space="preserve">¿Impressió de la sala? 
</t>
  </si>
  <si>
    <t xml:space="preserve">¿Impressió de les estadístiques? 
</t>
  </si>
  <si>
    <t>Total Buts</t>
  </si>
  <si>
    <t>Total Victoires</t>
  </si>
  <si>
    <t>Total Nuls</t>
  </si>
  <si>
    <t>Total Défaites</t>
  </si>
  <si>
    <t>Buts contre</t>
  </si>
  <si>
    <t>Goals conceded</t>
  </si>
  <si>
    <t>Matches joués</t>
  </si>
  <si>
    <t>Total Perduts</t>
  </si>
  <si>
    <t>Total Empats</t>
  </si>
  <si>
    <t>Partits Jugats</t>
  </si>
  <si>
    <t xml:space="preserve">Cronologia de l'jugador 
</t>
  </si>
  <si>
    <t xml:space="preserve">Estadístiques de el jugador 
</t>
  </si>
  <si>
    <t xml:space="preserve">Aquest full de treball presenta la línia de temps de cada participant, ja sigui jugador o àrbitre. 
</t>
  </si>
  <si>
    <t>Aquest full de treball presenta estadístiques sobre els jugadors al llarg de la competició.
Estableix, en particular, el rànquing de l'major nombre de gols marcats en un esdeveniment.</t>
  </si>
  <si>
    <t xml:space="preserve">Deixar buit per a tots 
</t>
  </si>
  <si>
    <t xml:space="preserve">Llista de diferents esdeveniments de la competència (noms i colors). Deixi-ho buit pel valor predeterminat. 
</t>
  </si>
  <si>
    <t xml:space="preserve">Tipus d'Esdeveniment 
</t>
  </si>
  <si>
    <t xml:space="preserve">Resultat primer temps 
</t>
  </si>
  <si>
    <t>Acció cancel·lada. Has d' crear un esdeveniment abans.</t>
  </si>
  <si>
    <t xml:space="preserve">Encara no definit 
</t>
  </si>
  <si>
    <t xml:space="preserve">Rànquing Participants 
</t>
  </si>
  <si>
    <t xml:space="preserve">Participants en ordre alfabètic 
</t>
  </si>
  <si>
    <t xml:space="preserve">Format per cel·les que contenen fórmules i que l'usuari pot modificar 
</t>
  </si>
  <si>
    <t xml:space="preserve">La validació no és possible fins que encara no s'hagin realitzat els sortejos. 
</t>
  </si>
  <si>
    <t xml:space="preserve">Està esborrant el full de treball! Confirma la teva acció. 
</t>
  </si>
  <si>
    <t xml:space="preserve">Confirma Eliminació 
</t>
  </si>
  <si>
    <t xml:space="preserve">En la fase de grups d'equips, en cas d'empat en partits guanyats, l'equip amb més retirades perd el partit. 
</t>
  </si>
  <si>
    <t xml:space="preserve">Etiqueta per a un jugador retirat. Consell: mantingui la fórmula per aprofitar els múltiples idiomes. 
</t>
  </si>
  <si>
    <t xml:space="preserve">"Has de seleccionar un i només un jugador a la llista" "" &amp; N_Ranking Participants &amp; "" "." 
</t>
  </si>
  <si>
    <t xml:space="preserve">Assignar Àrbitre 
</t>
  </si>
  <si>
    <t xml:space="preserve">Les files seleccionades estan fora de l'àrea de planificació 
</t>
  </si>
  <si>
    <t xml:space="preserve">La selecció s'ha de fer en una sola sessió. 
</t>
  </si>
  <si>
    <t xml:space="preserve">¿Confirma l'assignació d'àrbitres per a tota la sessió? 
</t>
  </si>
  <si>
    <t xml:space="preserve">¿Confirma l'assignació d'àrbitres per a les files seleccionades? 
</t>
  </si>
  <si>
    <t>Llista</t>
  </si>
  <si>
    <t>Registre</t>
  </si>
  <si>
    <t>Mostra Fulls</t>
  </si>
  <si>
    <t>Amaga Fulls</t>
  </si>
  <si>
    <t>Llicencias</t>
  </si>
  <si>
    <t>Navegaciò</t>
  </si>
  <si>
    <t>Clasificaciò</t>
  </si>
  <si>
    <t>Clasificaciò Equips</t>
  </si>
  <si>
    <t>La Passió del Futbol Taula !</t>
  </si>
  <si>
    <t xml:space="preserve">Categories d'àrbitres exclosos 
</t>
  </si>
  <si>
    <t xml:space="preserve">Voleu processar les coincidències de TOTA la planificació en lloc de la sessió seleccionada real? 
</t>
  </si>
  <si>
    <t xml:space="preserve">invertir àrbitres 
</t>
  </si>
  <si>
    <t xml:space="preserve">Mala selecció; aquesta opció necessita una selecció de només 2 cel·les d'àrbitres per intercanviar. 
</t>
  </si>
  <si>
    <t xml:space="preserve">Les cel·les seleccionades estan totalment o parcialment fora de l'àrea de planificació. 
</t>
  </si>
  <si>
    <t xml:space="preserve">Les cel·les seleccionades no poden estar en sessió. 
</t>
  </si>
  <si>
    <t xml:space="preserve">El canvi només és possible per dos àrbitres en la mateixa sessió. 
</t>
  </si>
  <si>
    <t>Número de partits ja arbitrats major o igual a</t>
  </si>
  <si>
    <t>Llista de categories de jugadors de FISTF</t>
  </si>
  <si>
    <t>Categories FISTF</t>
  </si>
  <si>
    <t xml:space="preserve">Categoria de l'Esdeveniment 
</t>
  </si>
  <si>
    <t xml:space="preserve">Excloure aquestes categories 
</t>
  </si>
  <si>
    <t xml:space="preserve">Utilitza només aquests jugadors desqualificats 
</t>
  </si>
  <si>
    <t xml:space="preserve">Excloure els jugadors que ja havien arbitrat diversos partits. 
</t>
  </si>
  <si>
    <t xml:space="preserve">Utilitzeu també criteris d'exclusió de categories 
</t>
  </si>
  <si>
    <t xml:space="preserve">Desqualificat de ... 
</t>
  </si>
  <si>
    <t xml:space="preserve">esdeveniment Jugat 
</t>
  </si>
  <si>
    <t xml:space="preserve">Excloure el nombre de partits ja arbitrats 
</t>
  </si>
  <si>
    <t>Número d'Equips</t>
  </si>
  <si>
    <t>... per individuals</t>
  </si>
  <si>
    <t>… per Equips</t>
  </si>
  <si>
    <t xml:space="preserve">Sense partit individual o per equips =&gt; sense assignació automàtica 
</t>
  </si>
  <si>
    <t xml:space="preserve">Has de seleccionar "... per individuals" o "... per equips" 
</t>
  </si>
  <si>
    <t xml:space="preserve">Els àrbitres seleccionats no són de la mateixa mena (individual o en equip) 
</t>
  </si>
  <si>
    <t xml:space="preserve">Llista de jugadors registrats de cada equip 
</t>
  </si>
  <si>
    <t xml:space="preserve">Utilitzeu els codis S1 a S4 segons el nombre de coincidència afectat per la substitució 
</t>
  </si>
  <si>
    <t xml:space="preserve">Omplir amb una "X" 
</t>
  </si>
  <si>
    <t>Res</t>
  </si>
  <si>
    <t>Nom del Jugador</t>
  </si>
  <si>
    <t xml:space="preserve">Validar i copiar a la fi de la llista 
</t>
  </si>
  <si>
    <t>Completa l'ajuda</t>
  </si>
  <si>
    <t>Registres</t>
  </si>
  <si>
    <t>Estadistiques</t>
  </si>
  <si>
    <t xml:space="preserve">Últimes caselles marcades perquè els competidors exportin a la pàgina web de GMFT 
</t>
  </si>
  <si>
    <t xml:space="preserve">Exporta a el lloc web de GMFT els següents tipus d'esdeveniments 
</t>
  </si>
  <si>
    <t>Nº Partit</t>
  </si>
  <si>
    <t xml:space="preserve">Generi el fitxer GMFTData.html 
</t>
  </si>
  <si>
    <t xml:space="preserve">Exportar decoració a paràmetres de lloc web 
</t>
  </si>
  <si>
    <t xml:space="preserve">Títol de la barra de navegació 
</t>
  </si>
  <si>
    <t xml:space="preserve">Descripció de l'esdeveniment
</t>
  </si>
  <si>
    <t>Dades de la competició =&gt; Directori de dades</t>
  </si>
  <si>
    <t>Decoració web =&gt; Arxiu personalitzat / GMFTData.html</t>
  </si>
  <si>
    <t>També pot canviar la icona i les imatges de fons. Per fer això, aneu a directori "Personalitzat" sota el directori arrel que va especificar anteriorment i reemplaci els arxius "logo.png" i "event-background.jpg", però mantenint aquests noms!</t>
  </si>
  <si>
    <t>Actualitzar i mostrar Dashboard</t>
  </si>
  <si>
    <t>Títol de la Sessió</t>
  </si>
  <si>
    <t>Títol de la sessió: si està buit, el text serà:</t>
  </si>
  <si>
    <t>Tauler i temporitzador</t>
  </si>
  <si>
    <t>L'arxiu de l'tauler seleccionat no és compatible amb GMFT</t>
  </si>
  <si>
    <t>Ruta (buit = mateix directori)</t>
  </si>
  <si>
    <t>Nom d'arxiu (relatiu a la ruta)</t>
  </si>
  <si>
    <t>Nom de directori (relatiu a la ruta)</t>
  </si>
  <si>
    <t>S'arriba al nombre màxim d'esdeveniments.</t>
  </si>
  <si>
    <t>Tirs</t>
  </si>
  <si>
    <t>Funcions generals</t>
  </si>
  <si>
    <t>Inici</t>
  </si>
  <si>
    <t>Calcular Ara</t>
  </si>
  <si>
    <t>Cálcul</t>
  </si>
  <si>
    <t>Calcul Manual</t>
  </si>
  <si>
    <t>Calcul Automatic</t>
  </si>
  <si>
    <t>Full desbloquejada</t>
  </si>
  <si>
    <t>Full bloquejada</t>
  </si>
  <si>
    <t>Clasificació jugadors</t>
  </si>
  <si>
    <t>Clasificació Equips</t>
  </si>
  <si>
    <t>Fulles d'Inscripció</t>
  </si>
  <si>
    <t>Fulles de la base de dades</t>
  </si>
  <si>
    <t>Fulles de Competició</t>
  </si>
  <si>
    <t>Fulles de sorteig</t>
  </si>
  <si>
    <t>Full dades de la competició</t>
  </si>
  <si>
    <t>Amaga Sala</t>
  </si>
  <si>
    <t>Completar Inscripcions</t>
  </si>
  <si>
    <t>Nº Files</t>
  </si>
  <si>
    <t>Afegir</t>
  </si>
  <si>
    <t>Remoure 1 Fila</t>
  </si>
  <si>
    <t>Gestió de la Llista</t>
  </si>
  <si>
    <t>Arbitratges</t>
  </si>
  <si>
    <t>Estadístiques</t>
  </si>
  <si>
    <t>Definir Taula</t>
  </si>
  <si>
    <t>Definir grup de Taules</t>
  </si>
  <si>
    <t>Definir Model</t>
  </si>
  <si>
    <t>Indefinir totes les taules</t>
  </si>
  <si>
    <t>Indefinir tots els grups</t>
  </si>
  <si>
    <t>Indefinir tots els models</t>
  </si>
  <si>
    <t>Designar la Sala</t>
  </si>
  <si>
    <t>Mostra Ocupació de la Sala</t>
  </si>
  <si>
    <t>Tornar a la pàgina inicial</t>
  </si>
  <si>
    <t>Versió</t>
  </si>
  <si>
    <t>Notes de la versió de GMFT</t>
  </si>
  <si>
    <t>Configuració</t>
  </si>
  <si>
    <t>Accés al full de configuració de GMFT per modificar el valor dels paràmetres i exportar plantilles</t>
  </si>
  <si>
    <t>FAMILY NAME</t>
  </si>
  <si>
    <t>Name &amp; Family Name</t>
  </si>
  <si>
    <t xml:space="preserve">Creació d'esdeveniments | individuals | equips | dobles </t>
  </si>
  <si>
    <t>Formules Predefinides</t>
  </si>
  <si>
    <t>Compondre Formules</t>
  </si>
  <si>
    <t>Lloc Web</t>
  </si>
  <si>
    <t>Inscripcions</t>
  </si>
  <si>
    <t xml:space="preserve">inicialitzar disseny </t>
  </si>
  <si>
    <t>Veure salts de pàgina</t>
  </si>
  <si>
    <t>Salvar resultats com PDF</t>
  </si>
  <si>
    <t>Imprimir Resultats</t>
  </si>
  <si>
    <t>Base de Dades</t>
  </si>
  <si>
    <t>Planning i Esdeveniments</t>
  </si>
  <si>
    <t>dades de les competició</t>
  </si>
  <si>
    <t>Nombre de files</t>
  </si>
  <si>
    <t>Número de files per afegir a la llista</t>
  </si>
  <si>
    <t>afegir Files</t>
  </si>
  <si>
    <t>Afegeix el nombre especificat de files</t>
  </si>
  <si>
    <t>Eliminar 1 Fila</t>
  </si>
  <si>
    <t>Eliminar la fila després de la selecció de cel·les de la fila per eliminar</t>
  </si>
  <si>
    <t xml:space="preserve">Completeu la quadrícula de registre </t>
  </si>
  <si>
    <t xml:space="preserve">Actualitzar la taula de llistat completa </t>
  </si>
  <si>
    <t>Salvar Inscripcions</t>
  </si>
  <si>
    <t>Registra checkins i participacions en diferents esdeveniments</t>
  </si>
  <si>
    <t xml:space="preserve">Ajuda per a l'entrada de dades </t>
  </si>
  <si>
    <t>Formulari d'inscripció massiva amb ajuda per trobar els noms dels jugadors.</t>
  </si>
  <si>
    <t>Importa llicències FISTF</t>
  </si>
  <si>
    <t xml:space="preserve">importar el fitxer FISTF Database.xlsm i obtenir les llicències dels jugadors </t>
  </si>
  <si>
    <t>Importació de Clubs</t>
  </si>
  <si>
    <t>Importa l'arxiu FISTF Database.xlsm i obtingui les referències de el club</t>
  </si>
  <si>
    <t xml:space="preserve">Importació de clasificacions </t>
  </si>
  <si>
    <t xml:space="preserve">Importa l'arxiu web-YYYYMM.xlsx per obtenir el rànquing mundial de jugadors </t>
  </si>
  <si>
    <t>Importar Ranking Equips</t>
  </si>
  <si>
    <t>Importa l'arxiu web-YYYYMM.xlsx per recuperar la classificació mundial d'equips</t>
  </si>
  <si>
    <t xml:space="preserve">Classifica als jugadors </t>
  </si>
  <si>
    <t>Ordenar els jugadors de cada equip alfabèticament</t>
  </si>
  <si>
    <t>Actualització de la taula</t>
  </si>
  <si>
    <t>Actualització de la taula d'arbitratge</t>
  </si>
  <si>
    <t>Actualització de la taula dels horaris individuals dels jugadors</t>
  </si>
  <si>
    <t>Actualització de la Taula</t>
  </si>
  <si>
    <t>Actualitzar taula d'estadístiques de jugadors</t>
  </si>
  <si>
    <t>Crear una Taula</t>
  </si>
  <si>
    <t>Declari una nova taula després de seleccionar les cel·les agrupades que representen la taula i que contenen el nom de la taula</t>
  </si>
  <si>
    <t>Crea un grup de taules</t>
  </si>
  <si>
    <t>Declari un nou grup de taules després de seleccionar totes les cel·les de l'àrea que conté el nom de el grup a la cel·la superior esquerra</t>
  </si>
  <si>
    <t xml:space="preserve">Crear una plantilla de taula / grup </t>
  </si>
  <si>
    <t xml:space="preserve"> Crea una plantilla amb el nom de l'esdeveniment o un dels termes "Lliure" o "GrupoLibre". Qualsevol esdeveniment en la planificació ha de tenir un model dedicat. Així mateix, s'han de definir els models "Free" i "FreeGroup".</t>
  </si>
  <si>
    <t>Eliminar Taules</t>
  </si>
  <si>
    <t>Eliminar definicions de totes les taules</t>
  </si>
  <si>
    <t xml:space="preserve">Eliminar grups de taules </t>
  </si>
  <si>
    <t>Eliminar plantilles de taula / grup</t>
  </si>
  <si>
    <t>Eliminar definicions de totes les plantilles de taula / grup</t>
  </si>
  <si>
    <t xml:space="preserve">Informació mostrada </t>
  </si>
  <si>
    <t xml:space="preserve">Tipus d'informació per mostrar en taules </t>
  </si>
  <si>
    <t>Número de Sessió</t>
  </si>
  <si>
    <t>Número de sèrie de planificació per mostrar</t>
  </si>
  <si>
    <t>Esdeveniment Oficial FISTF</t>
  </si>
  <si>
    <t>Creació d'un esdeveniment basat en les fórmules oficials del FISTF</t>
  </si>
  <si>
    <t>Esdeveniment basat en fórmules predefinides</t>
  </si>
  <si>
    <t>Creació d'un esdeveniment basat en fórmules predefinides de 3 a 128 jugadors</t>
  </si>
  <si>
    <t>Esdeveniment Personalitzat</t>
  </si>
  <si>
    <t>Creació d'un esdeveniment completament personalitzat. ATENCIÓ: els enllaços de classificació entre les etapes de grups i les etapes finals s'han d'ingressar en la pestanya de l'esdeveniment.</t>
  </si>
  <si>
    <t>Exportació Web</t>
  </si>
  <si>
    <t xml:space="preserve">Exportar dades a la pàgina web de GMFT </t>
  </si>
  <si>
    <t>Exportar Registres</t>
  </si>
  <si>
    <t xml:space="preserve">Exportar dades a la pàgina web de registres </t>
  </si>
  <si>
    <t xml:space="preserve">Exporta a fitxer de resultats oficial FISTF </t>
  </si>
  <si>
    <t xml:space="preserve">Inicialitzar disseny </t>
  </si>
  <si>
    <t>Inicialitzar capçaleres i peus de pàgina de diferents fulles per imprimir</t>
  </si>
  <si>
    <t xml:space="preserve">Mostra salts de pàgina </t>
  </si>
  <si>
    <t>Mostri les fulles per imprimir en la manera de disseny per establir els salts de pàgina abans d'imprimir</t>
  </si>
  <si>
    <t xml:space="preserve">Tornar a la vista normal </t>
  </si>
  <si>
    <t xml:space="preserve">Torni les fulles per imprimir en la manera de vista estàndard </t>
  </si>
  <si>
    <t>Salvar resultats en PDF</t>
  </si>
  <si>
    <t>Imprimir els resultats</t>
  </si>
  <si>
    <t>Feu visibles només els fulls de treball útils per als resultats i guardi el llibre de treball com un arxiu PDF</t>
  </si>
  <si>
    <t>Prepareu la impressió i canviï a la manera "Vista prèvia d'impressió" per imprimir</t>
  </si>
  <si>
    <t xml:space="preserve">Partits en Moviment </t>
  </si>
  <si>
    <t>Gestió de les sessions</t>
  </si>
  <si>
    <t>Registrar Resultats</t>
  </si>
  <si>
    <t xml:space="preserve">Gestió de arbitratje </t>
  </si>
  <si>
    <t xml:space="preserve">Exportacions </t>
  </si>
  <si>
    <t xml:space="preserve">Mostra models </t>
  </si>
  <si>
    <t xml:space="preserve">Pujar 1 línea </t>
  </si>
  <si>
    <t xml:space="preserve">Pujar els partits seleccionats en 1 línia </t>
  </si>
  <si>
    <t xml:space="preserve">Baixar 1 línea </t>
  </si>
  <si>
    <t xml:space="preserve">Baixar els partits seleccionats en 1 línia </t>
  </si>
  <si>
    <t>Eliminar Partits</t>
  </si>
  <si>
    <t>Eliminar partits seleccionats</t>
  </si>
  <si>
    <t>Prev. Sessió</t>
  </si>
  <si>
    <t>Moure els partits seleccionats a l'inici de la sessió anterior</t>
  </si>
  <si>
    <t>Próxima sessió</t>
  </si>
  <si>
    <t xml:space="preserve">Moure les coincidències seleccionades a el començament de la següent sessió </t>
  </si>
  <si>
    <t>Sessió Nº</t>
  </si>
  <si>
    <t>Moure els partits seleccionats a el començament d'una sessió dedicada</t>
  </si>
  <si>
    <t xml:space="preserve">Incrusta abans </t>
  </si>
  <si>
    <t xml:space="preserve">Inserir una nova sessió abans de la seleccionada </t>
  </si>
  <si>
    <t xml:space="preserve">Eliminar aquest </t>
  </si>
  <si>
    <t xml:space="preserve">Eliminar sessió seleccionada </t>
  </si>
  <si>
    <t xml:space="preserve">Afegir al final </t>
  </si>
  <si>
    <t xml:space="preserve">Afegiu una nova sessió a la fi de Planning </t>
  </si>
  <si>
    <t>Eliminar últim</t>
  </si>
  <si>
    <t xml:space="preserve">Eliminar l'última sessió de la Planificació </t>
  </si>
  <si>
    <t xml:space="preserve">Còpia puntuacions </t>
  </si>
  <si>
    <t xml:space="preserve">Copia puntuacions en fulls d'esdeveniments i invalidar </t>
  </si>
  <si>
    <t xml:space="preserve">Validar Resultats </t>
  </si>
  <si>
    <t xml:space="preserve">Copia puntuacions en fulls d'esdeveniments i validar </t>
  </si>
  <si>
    <t>Assignar àrbitres</t>
  </si>
  <si>
    <t xml:space="preserve">Assignar àrbitres aleatòriament a la sessió actual oa la selecció contigua de partits </t>
  </si>
  <si>
    <t>Canviar àrbitres</t>
  </si>
  <si>
    <t xml:space="preserve">Canviar àrbitres dels 2 partits seleccionats </t>
  </si>
  <si>
    <t>Fulles de puntuació</t>
  </si>
  <si>
    <t xml:space="preserve">Generació de fulls de puntuació per a sessions específiques </t>
  </si>
  <si>
    <t>Exportar una planificació per a sessions específiques</t>
  </si>
  <si>
    <t xml:space="preserve">Exportar taula de partits </t>
  </si>
  <si>
    <t xml:space="preserve">Importa puntuacions a través d'una taula completa de partits </t>
  </si>
  <si>
    <t xml:space="preserve">Exporta els resultats dels partits intermedis o finals juntament amb les classificacions de grups, seleccionant les sessions rellevants </t>
  </si>
  <si>
    <t>Obriu el tauler en una finestra separada per mostrar els pròxims partits i, possiblement, el temporitzador</t>
  </si>
  <si>
    <t xml:space="preserve">Nacionalitats </t>
  </si>
  <si>
    <t xml:space="preserve">Gestionar acrònims nacionals </t>
  </si>
  <si>
    <t xml:space="preserve">Resultats </t>
  </si>
  <si>
    <t xml:space="preserve">Exporta els resultats de partits i classificacions de grups </t>
  </si>
  <si>
    <t xml:space="preserve">Fulles de puntuació de partits </t>
  </si>
  <si>
    <t xml:space="preserve">Fulles de partits individuals, per equips i dobles </t>
  </si>
  <si>
    <t>Full de sorteig</t>
  </si>
  <si>
    <t xml:space="preserve">Plantilla per generar els fulls de sorteig de cada esdeveniment </t>
  </si>
  <si>
    <t xml:space="preserve">Pestanyes visibles de cinta MSO </t>
  </si>
  <si>
    <t>Pestanyes ocultes de cinta MSO</t>
  </si>
  <si>
    <t xml:space="preserve">Bloquejar / desbloquejar el llibre de treball </t>
  </si>
  <si>
    <t>Bloquegeu o desbloquegi el llibre de treball complet per a, per exemple, mostrar fulles ocultes.</t>
  </si>
  <si>
    <t xml:space="preserve">Mostra / Amaga pestanyes de cinta de Microsoft </t>
  </si>
  <si>
    <t>Mostra o amaga les pestanyes estàndard de Microsoft a la cinta d'Office.</t>
  </si>
  <si>
    <t xml:space="preserve">Gestió d'esdeveniments </t>
  </si>
  <si>
    <t xml:space="preserve">Crear full de sorteig </t>
  </si>
  <si>
    <t>Crear Sorteig</t>
  </si>
  <si>
    <t xml:space="preserve">Crea el full de sorteig per a aquest esdeveniment </t>
  </si>
  <si>
    <t>Eliminar Esdeveniment</t>
  </si>
  <si>
    <t xml:space="preserve">Eliminar aquest esdeveniment </t>
  </si>
  <si>
    <t xml:space="preserve">Eliminar aquest esdeveniment i actualitzar la planificació </t>
  </si>
  <si>
    <t>Gestionar Sorteig</t>
  </si>
  <si>
    <t xml:space="preserve">Caps de sèrie </t>
  </si>
  <si>
    <t>Definir caps de sèrie</t>
  </si>
  <si>
    <t>Assigneu a l'1 de cada grup l'1 de la llista de participants ordenats per rang</t>
  </si>
  <si>
    <t>Sorteig posició següent</t>
  </si>
  <si>
    <t xml:space="preserve">Sorteig de la següent posició </t>
  </si>
  <si>
    <t xml:space="preserve">Sorteig números per a la següent posició fins que trobi un nombre que encara no s'hagi fet servir </t>
  </si>
  <si>
    <t>Sorteig general</t>
  </si>
  <si>
    <t>Sorteig totes les posicions</t>
  </si>
  <si>
    <t>Sorteig moltes posicions, tenint cura de no duplicar els números extrets.</t>
  </si>
  <si>
    <t xml:space="preserve">Fer Retirar </t>
  </si>
  <si>
    <t xml:space="preserve">Declarar que el jugador es retira </t>
  </si>
  <si>
    <t>Reemplaça el nom de l'jugador seleccionat a la llista de "Rànquing de Participants" amb la menció "Retirar".</t>
  </si>
  <si>
    <t>Validar Sorteig</t>
  </si>
  <si>
    <t>Validar el Sorteig</t>
  </si>
  <si>
    <t xml:space="preserve">Validar el sorteig copiant els noms dels jugadors en els grups del full d'esdeveniment corresponent </t>
  </si>
  <si>
    <t>Remoure el full de Sorteig</t>
  </si>
  <si>
    <t>Esborrar el full de sorteig</t>
  </si>
  <si>
    <t xml:space="preserve">Puntuació màxim activat </t>
  </si>
  <si>
    <t xml:space="preserve">Puntuació màxim desactivat </t>
  </si>
  <si>
    <t xml:space="preserve">Aplicació Maxima Puntuació </t>
  </si>
  <si>
    <t xml:space="preserve">Activar / desactivar la regla per puntuacions màxims </t>
  </si>
  <si>
    <t xml:space="preserve">Esdeveniment d'Inscripció </t>
  </si>
  <si>
    <t xml:space="preserve">Esdeveniment en què es registren jugadors. Per exemple, per a un esdeveniment Open B, vam seleccionar "Open". Per defecte, el valor seleccionat és el de l'propi esdeveniment. </t>
  </si>
  <si>
    <t xml:space="preserve">Alguns esdeveniments no estan definits com a models de taula. </t>
  </si>
  <si>
    <t>9.3</t>
  </si>
  <si>
    <t>Translation to Spanish and Catalan thanks to Ferran Borbones from Barcelona Futbol Table club.</t>
  </si>
  <si>
    <t>FINE DEI TURNI</t>
  </si>
  <si>
    <t>PG</t>
  </si>
  <si>
    <t>V</t>
  </si>
  <si>
    <t>GF</t>
  </si>
  <si>
    <t>GC</t>
  </si>
  <si>
    <t>IV</t>
  </si>
  <si>
    <t>IP</t>
  </si>
  <si>
    <t>PJ</t>
  </si>
  <si>
    <t>PP</t>
  </si>
  <si>
    <t>PE</t>
  </si>
  <si>
    <t>Diff. Eq</t>
  </si>
  <si>
    <t>Diff. Sq</t>
  </si>
  <si>
    <t>VS</t>
  </si>
  <si>
    <t>PS</t>
  </si>
  <si>
    <t>Diff. M</t>
  </si>
  <si>
    <t>Diff. G</t>
  </si>
  <si>
    <t>Matches played</t>
  </si>
  <si>
    <t>Victories</t>
  </si>
  <si>
    <t>Loses</t>
  </si>
  <si>
    <t>goals for</t>
  </si>
  <si>
    <t>Goals Against</t>
  </si>
  <si>
    <t>Goals Difference</t>
  </si>
  <si>
    <t>Team encounter played</t>
  </si>
  <si>
    <t>Team encounter won</t>
  </si>
  <si>
    <t>Team encounter draw</t>
  </si>
  <si>
    <t>Team encounter loses</t>
  </si>
  <si>
    <t>Diff. Team encounter Won-Loses</t>
  </si>
  <si>
    <t>Individual Matches Won</t>
  </si>
  <si>
    <t>Individual Matches Loses</t>
  </si>
  <si>
    <t>Diff. Individual Matches</t>
  </si>
  <si>
    <t>Diff. Goals</t>
  </si>
  <si>
    <t>Nº de jugadores inscritos</t>
  </si>
  <si>
    <t>Nº de jugadors inscrits</t>
  </si>
  <si>
    <t xml:space="preserve">Nom Esdeveniment 
</t>
  </si>
  <si>
    <t>Cuartos</t>
  </si>
  <si>
    <t>Quarts</t>
  </si>
  <si>
    <t>AUSC001</t>
  </si>
  <si>
    <t>AUSC002</t>
  </si>
  <si>
    <t>AUSC003</t>
  </si>
  <si>
    <t>AUSC009</t>
  </si>
  <si>
    <t>AUSC013</t>
  </si>
  <si>
    <t>AUSC014</t>
  </si>
  <si>
    <t>AUSC016</t>
  </si>
  <si>
    <t>AUSC018</t>
  </si>
  <si>
    <t>AUTC001</t>
  </si>
  <si>
    <t>AUTC002</t>
  </si>
  <si>
    <t>AUTC003</t>
  </si>
  <si>
    <t>BELC003</t>
  </si>
  <si>
    <t>BELC004</t>
  </si>
  <si>
    <t>BELC005</t>
  </si>
  <si>
    <t>BELC006</t>
  </si>
  <si>
    <t>BELC007</t>
  </si>
  <si>
    <t>BELC009</t>
  </si>
  <si>
    <t>BELC010</t>
  </si>
  <si>
    <t>BELC011</t>
  </si>
  <si>
    <t>BELC023</t>
  </si>
  <si>
    <t>BELC025</t>
  </si>
  <si>
    <t>BRAC001</t>
  </si>
  <si>
    <t>BRAC002</t>
  </si>
  <si>
    <t>BRAC011</t>
  </si>
  <si>
    <t>BRAC015</t>
  </si>
  <si>
    <t>CANC001</t>
  </si>
  <si>
    <t>CANC002</t>
  </si>
  <si>
    <t>CANC003</t>
  </si>
  <si>
    <t>CANC004</t>
  </si>
  <si>
    <t>CANC005</t>
  </si>
  <si>
    <t>CANC006</t>
  </si>
  <si>
    <t>CYPC001</t>
  </si>
  <si>
    <t>CYPC002</t>
  </si>
  <si>
    <t>CYPC003</t>
  </si>
  <si>
    <t>CZEC001</t>
  </si>
  <si>
    <t>DENC001</t>
  </si>
  <si>
    <t>ENGC002</t>
  </si>
  <si>
    <t>ENGC003</t>
  </si>
  <si>
    <t>ENGC004</t>
  </si>
  <si>
    <t>ENGC007</t>
  </si>
  <si>
    <t>ENGC018</t>
  </si>
  <si>
    <t>ENGC031</t>
  </si>
  <si>
    <t>ENGC041</t>
  </si>
  <si>
    <t>ENGC042</t>
  </si>
  <si>
    <t>ENGC043</t>
  </si>
  <si>
    <t>ENGC044</t>
  </si>
  <si>
    <t>ENGC045</t>
  </si>
  <si>
    <t>ENGC046</t>
  </si>
  <si>
    <t>ENGC047</t>
  </si>
  <si>
    <t>ESPC003</t>
  </si>
  <si>
    <t>ESPC006</t>
  </si>
  <si>
    <t>ESPC007</t>
  </si>
  <si>
    <t>ESPC009</t>
  </si>
  <si>
    <t>ESPC011</t>
  </si>
  <si>
    <t>ESPC013</t>
  </si>
  <si>
    <t>ESPC014</t>
  </si>
  <si>
    <t>ESPC017</t>
  </si>
  <si>
    <t>ESPC019</t>
  </si>
  <si>
    <t>ESPC021</t>
  </si>
  <si>
    <t>FRAC002</t>
  </si>
  <si>
    <t>FRAC003</t>
  </si>
  <si>
    <t>FRAC008</t>
  </si>
  <si>
    <t>FRAC009</t>
  </si>
  <si>
    <t>FRAC018</t>
  </si>
  <si>
    <t>GERC001</t>
  </si>
  <si>
    <t>GERC004</t>
  </si>
  <si>
    <t>GERC005</t>
  </si>
  <si>
    <t>GERC006</t>
  </si>
  <si>
    <t>GERC007</t>
  </si>
  <si>
    <t>GERC009</t>
  </si>
  <si>
    <t>GERC010</t>
  </si>
  <si>
    <t>GERC011</t>
  </si>
  <si>
    <t>GERC012</t>
  </si>
  <si>
    <t>GERC013</t>
  </si>
  <si>
    <t>GERC014</t>
  </si>
  <si>
    <t>GERC015</t>
  </si>
  <si>
    <t>GERC016</t>
  </si>
  <si>
    <t>GERC018</t>
  </si>
  <si>
    <t>GERC021</t>
  </si>
  <si>
    <t>GERC022</t>
  </si>
  <si>
    <t>GERC023</t>
  </si>
  <si>
    <t>GERC024</t>
  </si>
  <si>
    <t>GERC025</t>
  </si>
  <si>
    <t>GERC026</t>
  </si>
  <si>
    <t>GIBC001</t>
  </si>
  <si>
    <t>GREC001</t>
  </si>
  <si>
    <t>GREC002</t>
  </si>
  <si>
    <t>GREC003</t>
  </si>
  <si>
    <t>GREC004</t>
  </si>
  <si>
    <t>GREC005</t>
  </si>
  <si>
    <t>GREC006</t>
  </si>
  <si>
    <t>GREC007</t>
  </si>
  <si>
    <t>GREC008</t>
  </si>
  <si>
    <t>GREC009</t>
  </si>
  <si>
    <t>GREC011</t>
  </si>
  <si>
    <t>GREC012</t>
  </si>
  <si>
    <t>GREC013</t>
  </si>
  <si>
    <t>GREC016</t>
  </si>
  <si>
    <t>GREC017</t>
  </si>
  <si>
    <t>GREC018</t>
  </si>
  <si>
    <t>GREC019</t>
  </si>
  <si>
    <t>GREC020</t>
  </si>
  <si>
    <t>GREC021</t>
  </si>
  <si>
    <t>GREC023</t>
  </si>
  <si>
    <t>GREC024</t>
  </si>
  <si>
    <t>GREC025</t>
  </si>
  <si>
    <t>GREC026</t>
  </si>
  <si>
    <t>GREC027</t>
  </si>
  <si>
    <t>GREC028</t>
  </si>
  <si>
    <t>ITAC003</t>
  </si>
  <si>
    <t>ITAC005</t>
  </si>
  <si>
    <t>ITAC006</t>
  </si>
  <si>
    <t>ITAC010</t>
  </si>
  <si>
    <t>ITAC012</t>
  </si>
  <si>
    <t>ITAC015</t>
  </si>
  <si>
    <t>ITAC017</t>
  </si>
  <si>
    <t>ITAC018</t>
  </si>
  <si>
    <t>ITAC020</t>
  </si>
  <si>
    <t>ITAC023</t>
  </si>
  <si>
    <t>ITAC025</t>
  </si>
  <si>
    <t>ITAC026</t>
  </si>
  <si>
    <t>ITAC027</t>
  </si>
  <si>
    <t>ITAC028</t>
  </si>
  <si>
    <t>ITAC029</t>
  </si>
  <si>
    <t>ITAC030</t>
  </si>
  <si>
    <t>ITAC033</t>
  </si>
  <si>
    <t>ITAC034</t>
  </si>
  <si>
    <t>ITAC037</t>
  </si>
  <si>
    <t>ITAC040</t>
  </si>
  <si>
    <t>ITAC041</t>
  </si>
  <si>
    <t>ITAC042</t>
  </si>
  <si>
    <t>ITAC043</t>
  </si>
  <si>
    <t>ITAC045</t>
  </si>
  <si>
    <t>ITAC046</t>
  </si>
  <si>
    <t>ITAC050</t>
  </si>
  <si>
    <t>ITAC051</t>
  </si>
  <si>
    <t>ITAC052</t>
  </si>
  <si>
    <t>ITAC053</t>
  </si>
  <si>
    <t>ITAC054</t>
  </si>
  <si>
    <t>ITAC058</t>
  </si>
  <si>
    <t>ITAC060</t>
  </si>
  <si>
    <t>ITAC066</t>
  </si>
  <si>
    <t>ITAC068</t>
  </si>
  <si>
    <t>ITAC074</t>
  </si>
  <si>
    <t>ITAC077</t>
  </si>
  <si>
    <t>ITAC078</t>
  </si>
  <si>
    <t>ITAC080</t>
  </si>
  <si>
    <t>ITAC081</t>
  </si>
  <si>
    <t>ITAC082</t>
  </si>
  <si>
    <t>ITAC083</t>
  </si>
  <si>
    <t>ITAC087</t>
  </si>
  <si>
    <t>ITAC094</t>
  </si>
  <si>
    <t>ITAC095</t>
  </si>
  <si>
    <t>ITAC106</t>
  </si>
  <si>
    <t>ITAC108</t>
  </si>
  <si>
    <t>ITAC110</t>
  </si>
  <si>
    <t>ITAC111</t>
  </si>
  <si>
    <t>ITAC112</t>
  </si>
  <si>
    <t>ITAC113</t>
  </si>
  <si>
    <t>ITAC114</t>
  </si>
  <si>
    <t>ITAC115</t>
  </si>
  <si>
    <t>ITAC125</t>
  </si>
  <si>
    <t>ITAC127</t>
  </si>
  <si>
    <t>ITAC128</t>
  </si>
  <si>
    <t>ITAC129</t>
  </si>
  <si>
    <t>ITAC130</t>
  </si>
  <si>
    <t>ITAC133</t>
  </si>
  <si>
    <t>ITAC134</t>
  </si>
  <si>
    <t>ITAC136</t>
  </si>
  <si>
    <t>ITAC145</t>
  </si>
  <si>
    <t>ITAC146</t>
  </si>
  <si>
    <t>ITAC147</t>
  </si>
  <si>
    <t>ITAC148</t>
  </si>
  <si>
    <t>ITAC149</t>
  </si>
  <si>
    <t>ITAC158</t>
  </si>
  <si>
    <t>ITAC159</t>
  </si>
  <si>
    <t>ITAC168</t>
  </si>
  <si>
    <t>JPNC001</t>
  </si>
  <si>
    <t>JPNC010</t>
  </si>
  <si>
    <t>JPNC011</t>
  </si>
  <si>
    <t>JPNC012</t>
  </si>
  <si>
    <t>JPNC013</t>
  </si>
  <si>
    <t>JPNC014</t>
  </si>
  <si>
    <t>MLTC001</t>
  </si>
  <si>
    <t>MLTC002</t>
  </si>
  <si>
    <t>MLTC003</t>
  </si>
  <si>
    <t>MLTC004</t>
  </si>
  <si>
    <t>NEDC003</t>
  </si>
  <si>
    <t>NEDC004</t>
  </si>
  <si>
    <t>NEDC005</t>
  </si>
  <si>
    <t>NIRC003</t>
  </si>
  <si>
    <t>PORC001</t>
  </si>
  <si>
    <t>PORC008</t>
  </si>
  <si>
    <t>PORC012</t>
  </si>
  <si>
    <t>PORC014</t>
  </si>
  <si>
    <t>PORC015</t>
  </si>
  <si>
    <t>PORC016</t>
  </si>
  <si>
    <t>RUSC001</t>
  </si>
  <si>
    <t>SCOC001</t>
  </si>
  <si>
    <t>SCOC002</t>
  </si>
  <si>
    <t>SCOC003</t>
  </si>
  <si>
    <t>SUIC003</t>
  </si>
  <si>
    <t>SUIC006</t>
  </si>
  <si>
    <t>SUIC007</t>
  </si>
  <si>
    <t>USAC003</t>
  </si>
  <si>
    <t>USAC005</t>
  </si>
  <si>
    <t>USAC006</t>
  </si>
  <si>
    <t>USAC007</t>
  </si>
  <si>
    <t>USAC011</t>
  </si>
  <si>
    <t>USAC012</t>
  </si>
  <si>
    <t>USAC013</t>
  </si>
  <si>
    <t>USAC019</t>
  </si>
  <si>
    <t>USAC028</t>
  </si>
  <si>
    <t>USAC048</t>
  </si>
  <si>
    <t>USAC049</t>
  </si>
  <si>
    <t>USAC050</t>
  </si>
  <si>
    <t>USAC051</t>
  </si>
  <si>
    <t>USAC054</t>
  </si>
  <si>
    <t>USAC058</t>
  </si>
  <si>
    <t>Licence</t>
  </si>
  <si>
    <t>9.4</t>
  </si>
  <si>
    <t>U20</t>
  </si>
  <si>
    <t>U16</t>
  </si>
  <si>
    <t>Waldorf-Busch</t>
  </si>
  <si>
    <t>AUT0121</t>
  </si>
  <si>
    <t>BEL0147</t>
  </si>
  <si>
    <t>Dirick</t>
  </si>
  <si>
    <t>BEL0444</t>
  </si>
  <si>
    <t>Janssens</t>
  </si>
  <si>
    <t>BEL0445</t>
  </si>
  <si>
    <t>BEL0446</t>
  </si>
  <si>
    <t>Kévin</t>
  </si>
  <si>
    <t>Cordell</t>
  </si>
  <si>
    <t>ENG0231</t>
  </si>
  <si>
    <t>Roper</t>
  </si>
  <si>
    <t>Brown</t>
  </si>
  <si>
    <t>Dunne</t>
  </si>
  <si>
    <t>Casas</t>
  </si>
  <si>
    <t>ESP0025</t>
  </si>
  <si>
    <t>Fuertes</t>
  </si>
  <si>
    <t>César</t>
  </si>
  <si>
    <t>ESP0464</t>
  </si>
  <si>
    <t>ESP0551</t>
  </si>
  <si>
    <t>AS Iluro Futbol Taula</t>
  </si>
  <si>
    <t>Martí</t>
  </si>
  <si>
    <t>ESP0552</t>
  </si>
  <si>
    <t>Erick</t>
  </si>
  <si>
    <t>ESP0553</t>
  </si>
  <si>
    <t>GRE0117</t>
  </si>
  <si>
    <t>Jenner</t>
  </si>
  <si>
    <t>GRE0468</t>
  </si>
  <si>
    <t>Kanetis</t>
  </si>
  <si>
    <t>GRE0702</t>
  </si>
  <si>
    <t>Spanos</t>
  </si>
  <si>
    <t>GRE0703</t>
  </si>
  <si>
    <t>Nikolaidis</t>
  </si>
  <si>
    <t>GRE0704</t>
  </si>
  <si>
    <t>Roussis</t>
  </si>
  <si>
    <t>Fratzeskos</t>
  </si>
  <si>
    <t>GRE0705</t>
  </si>
  <si>
    <t>Moschopoulos</t>
  </si>
  <si>
    <t>GRE0706</t>
  </si>
  <si>
    <t>Stergiou</t>
  </si>
  <si>
    <t>GRE0707</t>
  </si>
  <si>
    <t>GRE0708</t>
  </si>
  <si>
    <t>Iordanidis</t>
  </si>
  <si>
    <t>GRE0709</t>
  </si>
  <si>
    <t>Chatzidialechtos</t>
  </si>
  <si>
    <t>GRE0710</t>
  </si>
  <si>
    <t>GRE0711</t>
  </si>
  <si>
    <t>GRE0712</t>
  </si>
  <si>
    <t>Kosmas</t>
  </si>
  <si>
    <t>GRE0713</t>
  </si>
  <si>
    <t>Paraschis</t>
  </si>
  <si>
    <t>GRE0714</t>
  </si>
  <si>
    <t>GRE0715</t>
  </si>
  <si>
    <t>Stamatakis</t>
  </si>
  <si>
    <t>GRE0716</t>
  </si>
  <si>
    <t>GRE0717</t>
  </si>
  <si>
    <t>Prombonas</t>
  </si>
  <si>
    <t>Ioulianos</t>
  </si>
  <si>
    <t>GRE0718</t>
  </si>
  <si>
    <t>Vasileiadou</t>
  </si>
  <si>
    <t>Evangelia</t>
  </si>
  <si>
    <t>GRE0719</t>
  </si>
  <si>
    <t>Kouniadis</t>
  </si>
  <si>
    <t>Theodore</t>
  </si>
  <si>
    <t>GRE0720</t>
  </si>
  <si>
    <t>GRE0721</t>
  </si>
  <si>
    <t>Hatzopoulos</t>
  </si>
  <si>
    <t>GRE0722</t>
  </si>
  <si>
    <t>Galanis</t>
  </si>
  <si>
    <t>GRE0723</t>
  </si>
  <si>
    <t>GRE0724</t>
  </si>
  <si>
    <t>Derekis</t>
  </si>
  <si>
    <t>GRE0725</t>
  </si>
  <si>
    <t>Alexandrou</t>
  </si>
  <si>
    <t>Dimitris Arnis</t>
  </si>
  <si>
    <t>GRE0726</t>
  </si>
  <si>
    <t>Kakiltakis</t>
  </si>
  <si>
    <t>Minas</t>
  </si>
  <si>
    <t>GRE0727</t>
  </si>
  <si>
    <t>Evangelou</t>
  </si>
  <si>
    <t>GRE0728</t>
  </si>
  <si>
    <t>Vasiladiotis</t>
  </si>
  <si>
    <t>Nikos</t>
  </si>
  <si>
    <t>GRE0729</t>
  </si>
  <si>
    <t>GRE0730</t>
  </si>
  <si>
    <t>Kolofotias</t>
  </si>
  <si>
    <t>Vaios</t>
  </si>
  <si>
    <t>GRE0731</t>
  </si>
  <si>
    <t>GRE0732</t>
  </si>
  <si>
    <t>Prionidis</t>
  </si>
  <si>
    <t>Iason</t>
  </si>
  <si>
    <t>GRE0733</t>
  </si>
  <si>
    <t>Kotakos</t>
  </si>
  <si>
    <t>GRE0734</t>
  </si>
  <si>
    <t>Vourakis</t>
  </si>
  <si>
    <t>GRE0735</t>
  </si>
  <si>
    <t>Chatzistavrakis</t>
  </si>
  <si>
    <t>GRE0737</t>
  </si>
  <si>
    <t>Argiris</t>
  </si>
  <si>
    <t>GRE0738</t>
  </si>
  <si>
    <t>Pinco Devils Table Soccer</t>
  </si>
  <si>
    <t>ITA0306</t>
  </si>
  <si>
    <t>Tinebra</t>
  </si>
  <si>
    <t>ITA0855</t>
  </si>
  <si>
    <t>Asd Alba Subbuteo Roma</t>
  </si>
  <si>
    <t>Luciani</t>
  </si>
  <si>
    <t>ITA1792</t>
  </si>
  <si>
    <t>Simonetti</t>
  </si>
  <si>
    <t>ITA2040</t>
  </si>
  <si>
    <t>Subbuteo Club La Signoria</t>
  </si>
  <si>
    <t>Lupi</t>
  </si>
  <si>
    <t>ITA2427</t>
  </si>
  <si>
    <t>Viterbese Subbuteo</t>
  </si>
  <si>
    <t>Bergamasco</t>
  </si>
  <si>
    <t>ITA3036</t>
  </si>
  <si>
    <t>Menditto</t>
  </si>
  <si>
    <t>ITA3037</t>
  </si>
  <si>
    <t>Pon</t>
  </si>
  <si>
    <t>ITA3040</t>
  </si>
  <si>
    <t>Barbani</t>
  </si>
  <si>
    <t>ITA3041</t>
  </si>
  <si>
    <t>Ghersi</t>
  </si>
  <si>
    <t>Gian Paolo</t>
  </si>
  <si>
    <t>ITA3043</t>
  </si>
  <si>
    <t>D'ercole Cappelli</t>
  </si>
  <si>
    <t>ITA3044</t>
  </si>
  <si>
    <t>Gambara</t>
  </si>
  <si>
    <t>ITA3045</t>
  </si>
  <si>
    <t>Malevolti</t>
  </si>
  <si>
    <t>ITA3046</t>
  </si>
  <si>
    <t>Di Michelangelo</t>
  </si>
  <si>
    <t>ITA3048</t>
  </si>
  <si>
    <t>ITA3049</t>
  </si>
  <si>
    <t>Arrighi</t>
  </si>
  <si>
    <t>ITA3051</t>
  </si>
  <si>
    <t>Milani</t>
  </si>
  <si>
    <t>Raffaello</t>
  </si>
  <si>
    <t>ITA3052</t>
  </si>
  <si>
    <t>Ragazzini Fuligni</t>
  </si>
  <si>
    <t>ITA3053</t>
  </si>
  <si>
    <t>ITA3055</t>
  </si>
  <si>
    <t>Subbuteoland</t>
  </si>
  <si>
    <t>Rossella</t>
  </si>
  <si>
    <t>ITA3056</t>
  </si>
  <si>
    <t>Borgna</t>
  </si>
  <si>
    <t>ITA3057</t>
  </si>
  <si>
    <t>ITA3059</t>
  </si>
  <si>
    <t>Lastrucci</t>
  </si>
  <si>
    <t>ITA3060</t>
  </si>
  <si>
    <t>Nanni</t>
  </si>
  <si>
    <t>ITA3062</t>
  </si>
  <si>
    <t>Armelleschi</t>
  </si>
  <si>
    <t>ITA3064</t>
  </si>
  <si>
    <t>Centonze</t>
  </si>
  <si>
    <t>ITA3065</t>
  </si>
  <si>
    <t>Munafo'</t>
  </si>
  <si>
    <t>ITA3066</t>
  </si>
  <si>
    <t>ITA3067</t>
  </si>
  <si>
    <t>Del Ben</t>
  </si>
  <si>
    <t>ITA3068</t>
  </si>
  <si>
    <t>Cipulat</t>
  </si>
  <si>
    <t>ITA3069</t>
  </si>
  <si>
    <t>Peghin</t>
  </si>
  <si>
    <t>ITA3070</t>
  </si>
  <si>
    <t>Bochicchio</t>
  </si>
  <si>
    <t>ITA3072</t>
  </si>
  <si>
    <t>Gambaruto</t>
  </si>
  <si>
    <t>ITA3074</t>
  </si>
  <si>
    <t>Farneti</t>
  </si>
  <si>
    <t>ITA3076</t>
  </si>
  <si>
    <t>ITA3077</t>
  </si>
  <si>
    <t>Morigi</t>
  </si>
  <si>
    <t>ITA3078</t>
  </si>
  <si>
    <t>Fiumi</t>
  </si>
  <si>
    <t>ITA3080</t>
  </si>
  <si>
    <t>Biasci</t>
  </si>
  <si>
    <t>ITA3083</t>
  </si>
  <si>
    <t>Bicchi</t>
  </si>
  <si>
    <t>ITA3084</t>
  </si>
  <si>
    <t>Laurenzi</t>
  </si>
  <si>
    <t>ITA3089</t>
  </si>
  <si>
    <t>Fazio</t>
  </si>
  <si>
    <t>ITA3090</t>
  </si>
  <si>
    <t>Cecchini</t>
  </si>
  <si>
    <t>ITA3093</t>
  </si>
  <si>
    <t>Ferretti</t>
  </si>
  <si>
    <t>ITA3094</t>
  </si>
  <si>
    <t>Capoferri</t>
  </si>
  <si>
    <t>ITA3096</t>
  </si>
  <si>
    <t>Bignardi</t>
  </si>
  <si>
    <t>ITA3097</t>
  </si>
  <si>
    <t>Gandin</t>
  </si>
  <si>
    <t>ITA3098</t>
  </si>
  <si>
    <t>ITA3100</t>
  </si>
  <si>
    <t>Modugno</t>
  </si>
  <si>
    <t>ITA3102</t>
  </si>
  <si>
    <t>ITA3104</t>
  </si>
  <si>
    <t>Scorcucchi</t>
  </si>
  <si>
    <t>ITA3109</t>
  </si>
  <si>
    <t>Balito</t>
  </si>
  <si>
    <t>ITA3112</t>
  </si>
  <si>
    <t>Scialanga</t>
  </si>
  <si>
    <t>ITA3115</t>
  </si>
  <si>
    <t>Bacigalupo</t>
  </si>
  <si>
    <t>ITA3117</t>
  </si>
  <si>
    <t>ITA3118</t>
  </si>
  <si>
    <t>Belisario</t>
  </si>
  <si>
    <t>ITA3119</t>
  </si>
  <si>
    <t>Biscardi</t>
  </si>
  <si>
    <t>ITA3120</t>
  </si>
  <si>
    <t>Berioli</t>
  </si>
  <si>
    <t>ITA3128</t>
  </si>
  <si>
    <t>Da Re</t>
  </si>
  <si>
    <t>ITA3131</t>
  </si>
  <si>
    <t>ITA3132</t>
  </si>
  <si>
    <t>ITA3133</t>
  </si>
  <si>
    <t>ITA3134</t>
  </si>
  <si>
    <t>Berlinghieri</t>
  </si>
  <si>
    <t>ITA3136</t>
  </si>
  <si>
    <t>Sallese</t>
  </si>
  <si>
    <t>ITA3137</t>
  </si>
  <si>
    <t>ITA3138</t>
  </si>
  <si>
    <t>Francesco Mattia</t>
  </si>
  <si>
    <t>ITA3139</t>
  </si>
  <si>
    <t>Vallebona</t>
  </si>
  <si>
    <t>Tobia</t>
  </si>
  <si>
    <t>ITA3166</t>
  </si>
  <si>
    <t>Careddu</t>
  </si>
  <si>
    <t>ITA3169</t>
  </si>
  <si>
    <t>Alfonsi</t>
  </si>
  <si>
    <t>ITA3172</t>
  </si>
  <si>
    <t>ITA3173</t>
  </si>
  <si>
    <t>Bacich</t>
  </si>
  <si>
    <t>Ennio</t>
  </si>
  <si>
    <t>ITA3174</t>
  </si>
  <si>
    <t>ITA3176</t>
  </si>
  <si>
    <t>Torri</t>
  </si>
  <si>
    <t>ITA3177</t>
  </si>
  <si>
    <t>Maioli</t>
  </si>
  <si>
    <t>ITA3179</t>
  </si>
  <si>
    <t>ITA3180</t>
  </si>
  <si>
    <t>Tatsuki</t>
  </si>
  <si>
    <t>Zamara</t>
  </si>
  <si>
    <t>MLT0130</t>
  </si>
  <si>
    <t>Lobo</t>
  </si>
  <si>
    <t>POR0225</t>
  </si>
  <si>
    <t>POR0226</t>
  </si>
  <si>
    <t>Henrique</t>
  </si>
  <si>
    <t>POR0227</t>
  </si>
  <si>
    <t>Raimundo</t>
  </si>
  <si>
    <t>POR0228</t>
  </si>
  <si>
    <t>SCO0064</t>
  </si>
  <si>
    <t>Legatz</t>
  </si>
  <si>
    <t>Frankie</t>
  </si>
  <si>
    <t>WAL0038</t>
  </si>
  <si>
    <t>leu</t>
  </si>
  <si>
    <t>ENGC039</t>
  </si>
  <si>
    <t>Stanway Rovers Flickers</t>
  </si>
  <si>
    <t>ENGC049</t>
  </si>
  <si>
    <t>Haverhill Rovers tfc</t>
  </si>
  <si>
    <t>ENGC050</t>
  </si>
  <si>
    <t>ilu</t>
  </si>
  <si>
    <t>ESPC022</t>
  </si>
  <si>
    <t>pol</t>
  </si>
  <si>
    <t>GREC029</t>
  </si>
  <si>
    <t>Subbuteo Club Labronico</t>
  </si>
  <si>
    <t>pin</t>
  </si>
  <si>
    <t>ITAC170</t>
  </si>
  <si>
    <t>vit</t>
  </si>
  <si>
    <t>ITAC171</t>
  </si>
  <si>
    <t>stl</t>
  </si>
  <si>
    <t>ITAC172</t>
  </si>
  <si>
    <t>scs</t>
  </si>
  <si>
    <t>ITAC173</t>
  </si>
  <si>
    <t>alb</t>
  </si>
  <si>
    <t>ITAC175</t>
  </si>
  <si>
    <t>Palermo Subbuteo</t>
  </si>
  <si>
    <t>pas</t>
  </si>
  <si>
    <t>ITAC177</t>
  </si>
  <si>
    <t>cal</t>
  </si>
  <si>
    <t>USAC060</t>
  </si>
  <si>
    <t>EVANGELOU</t>
  </si>
  <si>
    <t>NIKOLAIDIS</t>
  </si>
  <si>
    <t>ROSSITTO</t>
  </si>
  <si>
    <t>LEPORE</t>
  </si>
  <si>
    <t>COHEN</t>
  </si>
  <si>
    <t>CORDELL</t>
  </si>
  <si>
    <t>BALESTRIERI</t>
  </si>
  <si>
    <t>PACE</t>
  </si>
  <si>
    <t>HERNÁNDEZ</t>
  </si>
  <si>
    <t>WALDORF-BUSCH</t>
  </si>
  <si>
    <t>Add column "Licence" into the "Clubs" sheet
Management of new FISTF Categories U20 &amp; U16</t>
  </si>
  <si>
    <t>9.4.1</t>
  </si>
  <si>
    <t>Correction of a bug in Management of new FISTF Categories U20 &amp; U16</t>
  </si>
  <si>
    <t>9.4.2</t>
  </si>
  <si>
    <t xml:space="preserve">Correction of a minor display bug in "Ranking Teams" sheet in cells D2 &amp; D3 </t>
  </si>
  <si>
    <t>Brisbane Subbuteo Club</t>
  </si>
  <si>
    <t>bri</t>
  </si>
  <si>
    <t>AUSC004</t>
  </si>
  <si>
    <t>per</t>
  </si>
  <si>
    <t>AUSC007</t>
  </si>
  <si>
    <t>Hipfingerz Subbuteo Club</t>
  </si>
  <si>
    <t>hip</t>
  </si>
  <si>
    <t>AUSC008</t>
  </si>
  <si>
    <t>Hobart Table Football Club</t>
  </si>
  <si>
    <t>hob</t>
  </si>
  <si>
    <t>AUSC017</t>
  </si>
  <si>
    <t>Avenir Subbuteo Hennuyer</t>
  </si>
  <si>
    <t>Botafogo de Futebol e Regatas</t>
  </si>
  <si>
    <t>bot</t>
  </si>
  <si>
    <t>BRAC017</t>
  </si>
  <si>
    <t>São Paulo Futebol Clube</t>
  </si>
  <si>
    <t>BRAC018</t>
  </si>
  <si>
    <t>Londrina EC</t>
  </si>
  <si>
    <t>Colombo Sport Club</t>
  </si>
  <si>
    <t>BRAC021</t>
  </si>
  <si>
    <t>Associação Atlética Banco do Brasil - Caruaru</t>
  </si>
  <si>
    <t>aab</t>
  </si>
  <si>
    <t>BRAC025</t>
  </si>
  <si>
    <t>TSPA White Star</t>
  </si>
  <si>
    <t>London TFC</t>
  </si>
  <si>
    <t>lon</t>
  </si>
  <si>
    <t>ENGC009</t>
  </si>
  <si>
    <t>Walsall TFC</t>
  </si>
  <si>
    <t>wll</t>
  </si>
  <si>
    <t>ENGC022</t>
  </si>
  <si>
    <t>Birmingham &amp; District Table Soccer League</t>
  </si>
  <si>
    <t>Bristol SC</t>
  </si>
  <si>
    <t>brs</t>
  </si>
  <si>
    <t>ENGC037</t>
  </si>
  <si>
    <t>South Staff</t>
  </si>
  <si>
    <t>Surrey Saracens Subbuteo</t>
  </si>
  <si>
    <t>sss</t>
  </si>
  <si>
    <t>ENGC048</t>
  </si>
  <si>
    <t>The Magnet Broadstairs</t>
  </si>
  <si>
    <t>ENGC054</t>
  </si>
  <si>
    <t>Milton Keynes</t>
  </si>
  <si>
    <t>ENGC057</t>
  </si>
  <si>
    <t>RAS (Rochford &amp; Southend) Casual Subbuteo Club</t>
  </si>
  <si>
    <t>ENGC065</t>
  </si>
  <si>
    <t>Solent Table Soccer &amp; Subbuteo club</t>
  </si>
  <si>
    <t>sts</t>
  </si>
  <si>
    <t>ENGC066</t>
  </si>
  <si>
    <t>ENGC067</t>
  </si>
  <si>
    <t>Old Sods Old Subbuteo Club</t>
  </si>
  <si>
    <t>oss</t>
  </si>
  <si>
    <t>ENGC068</t>
  </si>
  <si>
    <t>Sport Vale United</t>
  </si>
  <si>
    <t>svu</t>
  </si>
  <si>
    <t>ENGC070</t>
  </si>
  <si>
    <t>The Morecambe Bay Subbuteo Club</t>
  </si>
  <si>
    <t>ENGC072</t>
  </si>
  <si>
    <t>The Andover Subbuteo Club</t>
  </si>
  <si>
    <t>and</t>
  </si>
  <si>
    <t>ENGC073</t>
  </si>
  <si>
    <t>cae</t>
  </si>
  <si>
    <t>FRAC012</t>
  </si>
  <si>
    <t>aqu</t>
  </si>
  <si>
    <t>FRAC019</t>
  </si>
  <si>
    <t>FRAC020</t>
  </si>
  <si>
    <t>Gliding Stars Aachen</t>
  </si>
  <si>
    <t>gli</t>
  </si>
  <si>
    <t>GERC002</t>
  </si>
  <si>
    <t>Borussia Bergkamen</t>
  </si>
  <si>
    <t>bvb</t>
  </si>
  <si>
    <t>GERC003</t>
  </si>
  <si>
    <t>Irreal Nieder-Mörlen</t>
  </si>
  <si>
    <t>irr</t>
  </si>
  <si>
    <t>GERC008</t>
  </si>
  <si>
    <t>Eurofighter Bochum</t>
  </si>
  <si>
    <t>boc</t>
  </si>
  <si>
    <t>GERC017</t>
  </si>
  <si>
    <t>ess</t>
  </si>
  <si>
    <t>GERC019</t>
  </si>
  <si>
    <t>kai</t>
  </si>
  <si>
    <t>GERC020</t>
  </si>
  <si>
    <t>SC Berlin</t>
  </si>
  <si>
    <t>GERC027</t>
  </si>
  <si>
    <t>Subbuteurs Athens TSC</t>
  </si>
  <si>
    <t>sat</t>
  </si>
  <si>
    <t>GREC030</t>
  </si>
  <si>
    <t>Messina Table Soccer</t>
  </si>
  <si>
    <t>Asd Ct Aosta Warriors</t>
  </si>
  <si>
    <t>US Valponte 1986</t>
  </si>
  <si>
    <t>SC Ligures</t>
  </si>
  <si>
    <t>CD Olivais Moscavide</t>
  </si>
  <si>
    <t>oli</t>
  </si>
  <si>
    <t>PORC017</t>
  </si>
  <si>
    <t>Golazzo SC</t>
  </si>
  <si>
    <t>glz</t>
  </si>
  <si>
    <t>SCOC005</t>
  </si>
  <si>
    <t>CC Condors TSC</t>
  </si>
  <si>
    <t>tcs</t>
  </si>
  <si>
    <t>USAC061</t>
  </si>
  <si>
    <t>Mt. Hebron TSC</t>
  </si>
  <si>
    <t>USAC062</t>
  </si>
  <si>
    <t>Outer Banks SC</t>
  </si>
  <si>
    <t>USAC063</t>
  </si>
  <si>
    <t>Cov and Warks Subbuteo</t>
  </si>
  <si>
    <t>caw</t>
  </si>
  <si>
    <t>ENGC074</t>
  </si>
  <si>
    <t>Leicester Foxes Subbuteo Club</t>
  </si>
  <si>
    <t>lei</t>
  </si>
  <si>
    <t>ENGC075</t>
  </si>
  <si>
    <t>Kirkstall Crusaders Subbuteo Club</t>
  </si>
  <si>
    <t>ENGC076</t>
  </si>
  <si>
    <t>London Subbuteo Club</t>
  </si>
  <si>
    <t>ENGC078</t>
  </si>
  <si>
    <t>Magee</t>
  </si>
  <si>
    <t>AUS0039</t>
  </si>
  <si>
    <t>Garagounis</t>
  </si>
  <si>
    <t>AUS0044</t>
  </si>
  <si>
    <t>Brener</t>
  </si>
  <si>
    <t>Jonty</t>
  </si>
  <si>
    <t>AUS0054</t>
  </si>
  <si>
    <t>Sirmai</t>
  </si>
  <si>
    <t>Geoff</t>
  </si>
  <si>
    <t>AUS0057</t>
  </si>
  <si>
    <t>Whalley</t>
  </si>
  <si>
    <t>AUS0067</t>
  </si>
  <si>
    <t>Koutzas</t>
  </si>
  <si>
    <t>Terry</t>
  </si>
  <si>
    <t>AUS0138</t>
  </si>
  <si>
    <t>Urbaniak</t>
  </si>
  <si>
    <t>AUS0170</t>
  </si>
  <si>
    <t>Cozzarin</t>
  </si>
  <si>
    <t>AUS0194</t>
  </si>
  <si>
    <t>Katelyn</t>
  </si>
  <si>
    <t>AUS0195</t>
  </si>
  <si>
    <t>Halliday</t>
  </si>
  <si>
    <t>AUS0198</t>
  </si>
  <si>
    <t>De Schuyteneer</t>
  </si>
  <si>
    <t>Guyaux</t>
  </si>
  <si>
    <t>Arnaud</t>
  </si>
  <si>
    <t>Giaux</t>
  </si>
  <si>
    <t>BEL0104</t>
  </si>
  <si>
    <t>BEL0114</t>
  </si>
  <si>
    <t>Nullens</t>
  </si>
  <si>
    <t>BEL0174</t>
  </si>
  <si>
    <t>Darmont</t>
  </si>
  <si>
    <t>BEL0264</t>
  </si>
  <si>
    <t>BEL0298</t>
  </si>
  <si>
    <t>Mélina</t>
  </si>
  <si>
    <t>BEL0366</t>
  </si>
  <si>
    <t>Mathieu</t>
  </si>
  <si>
    <t>Bertrand</t>
  </si>
  <si>
    <t>Mael</t>
  </si>
  <si>
    <t>BEL0448</t>
  </si>
  <si>
    <t>Sophia</t>
  </si>
  <si>
    <t>BEL0449</t>
  </si>
  <si>
    <t>Hanosset</t>
  </si>
  <si>
    <t>Jules</t>
  </si>
  <si>
    <t>BEL0450</t>
  </si>
  <si>
    <t>BRA0126</t>
  </si>
  <si>
    <t>Prando Ferreira</t>
  </si>
  <si>
    <t>BRA0144</t>
  </si>
  <si>
    <t>Weber José</t>
  </si>
  <si>
    <t>BRA0145</t>
  </si>
  <si>
    <t>Júnior</t>
  </si>
  <si>
    <t>Luís Coelho</t>
  </si>
  <si>
    <t>BRA0146</t>
  </si>
  <si>
    <t>Felipe Maciel</t>
  </si>
  <si>
    <t>BRA0147</t>
  </si>
  <si>
    <t>Gomes Júnior</t>
  </si>
  <si>
    <t>BRA0148</t>
  </si>
  <si>
    <t>Moraes</t>
  </si>
  <si>
    <t>André Luiz</t>
  </si>
  <si>
    <t>BRA0149</t>
  </si>
  <si>
    <t>da Silva Barbosa</t>
  </si>
  <si>
    <t>BRA0151</t>
  </si>
  <si>
    <t>Travassos Correia</t>
  </si>
  <si>
    <t>BRA0152</t>
  </si>
  <si>
    <t>BRA0153</t>
  </si>
  <si>
    <t>Fernando Pacheco</t>
  </si>
  <si>
    <t>Macio</t>
  </si>
  <si>
    <t>BRA0154</t>
  </si>
  <si>
    <t>Dilton</t>
  </si>
  <si>
    <t>BRA0155</t>
  </si>
  <si>
    <t>Belfort de Moura</t>
  </si>
  <si>
    <t>Tacito</t>
  </si>
  <si>
    <t>BRA0156</t>
  </si>
  <si>
    <t>Arruda</t>
  </si>
  <si>
    <t>José Humberto</t>
  </si>
  <si>
    <t>BRA0157</t>
  </si>
  <si>
    <t>Sammartino</t>
  </si>
  <si>
    <t>BRA0158</t>
  </si>
  <si>
    <t>Parras Benitez</t>
  </si>
  <si>
    <t>João Gilberto</t>
  </si>
  <si>
    <t>BRA0159</t>
  </si>
  <si>
    <t>Corujeira</t>
  </si>
  <si>
    <t>Silvio Alexandre</t>
  </si>
  <si>
    <t>BRA0160</t>
  </si>
  <si>
    <t>BRA0161</t>
  </si>
  <si>
    <t>Donizeti Bergamini</t>
  </si>
  <si>
    <t>BRA0162</t>
  </si>
  <si>
    <t>Carneiro da Siva</t>
  </si>
  <si>
    <t>Halisson</t>
  </si>
  <si>
    <t>BRA0163</t>
  </si>
  <si>
    <t>da Cunha</t>
  </si>
  <si>
    <t>Marcos Moysés</t>
  </si>
  <si>
    <t>BRA0164</t>
  </si>
  <si>
    <t>Lima Rolim</t>
  </si>
  <si>
    <t>Vinícius</t>
  </si>
  <si>
    <t>BRA0165</t>
  </si>
  <si>
    <t>Santini Vedovati</t>
  </si>
  <si>
    <t>BRA0166</t>
  </si>
  <si>
    <t>Sotana Pereira</t>
  </si>
  <si>
    <t>BRA0167</t>
  </si>
  <si>
    <t>Ferracin de Oliveira</t>
  </si>
  <si>
    <t>BRA0168</t>
  </si>
  <si>
    <t>Aparecido Mendonça Pereira</t>
  </si>
  <si>
    <t>BRA0169</t>
  </si>
  <si>
    <t>BRA0170</t>
  </si>
  <si>
    <t>dos Santos Matos</t>
  </si>
  <si>
    <t>Maurício</t>
  </si>
  <si>
    <t>BRA0171</t>
  </si>
  <si>
    <t>Gaba</t>
  </si>
  <si>
    <t>BRA0172</t>
  </si>
  <si>
    <t>Efangelo Júnior</t>
  </si>
  <si>
    <t>BRA0173</t>
  </si>
  <si>
    <t>Bezerra de Souza</t>
  </si>
  <si>
    <t>Éder Sergio</t>
  </si>
  <si>
    <t>BRA0174</t>
  </si>
  <si>
    <t>Ramos Barreto</t>
  </si>
  <si>
    <t>Wesley William</t>
  </si>
  <si>
    <t>BRA0175</t>
  </si>
  <si>
    <t>BRA0176</t>
  </si>
  <si>
    <t>Barbosa de Farias</t>
  </si>
  <si>
    <t>João Tassio</t>
  </si>
  <si>
    <t>BRA0177</t>
  </si>
  <si>
    <t>Heraclio Gomes Barbosa</t>
  </si>
  <si>
    <t>João Lucas</t>
  </si>
  <si>
    <t>BRA0178</t>
  </si>
  <si>
    <t>Antonio de Lima</t>
  </si>
  <si>
    <t>BRA0179</t>
  </si>
  <si>
    <t>Boyer</t>
  </si>
  <si>
    <t>ENG0006</t>
  </si>
  <si>
    <t>ENG0014</t>
  </si>
  <si>
    <t>Short</t>
  </si>
  <si>
    <t>ENG0034</t>
  </si>
  <si>
    <t>Douglas</t>
  </si>
  <si>
    <t>ENG0040</t>
  </si>
  <si>
    <t>ENG0041</t>
  </si>
  <si>
    <t>ENG0061</t>
  </si>
  <si>
    <t>ENG0073</t>
  </si>
  <si>
    <t>McCann</t>
  </si>
  <si>
    <t>ENG0078</t>
  </si>
  <si>
    <t>ENG0082</t>
  </si>
  <si>
    <t>Fletcher</t>
  </si>
  <si>
    <t>ENG0091</t>
  </si>
  <si>
    <t>ENG0094</t>
  </si>
  <si>
    <t>Boothman</t>
  </si>
  <si>
    <t>ENG0097</t>
  </si>
  <si>
    <t>Paterson</t>
  </si>
  <si>
    <t>ENG0098</t>
  </si>
  <si>
    <t>Turpin</t>
  </si>
  <si>
    <t>ENG0114</t>
  </si>
  <si>
    <t>ENG0115</t>
  </si>
  <si>
    <t>Fenton</t>
  </si>
  <si>
    <t>ENG0202</t>
  </si>
  <si>
    <t>Skinner</t>
  </si>
  <si>
    <t>ENG0260</t>
  </si>
  <si>
    <t>Blanchard</t>
  </si>
  <si>
    <t>ENG0283</t>
  </si>
  <si>
    <t>Butterworth</t>
  </si>
  <si>
    <t>ENG0287</t>
  </si>
  <si>
    <t>Jack</t>
  </si>
  <si>
    <t>Collier</t>
  </si>
  <si>
    <t>ENG0304</t>
  </si>
  <si>
    <t>ENG0347</t>
  </si>
  <si>
    <t>ENG0406</t>
  </si>
  <si>
    <t>Harrington</t>
  </si>
  <si>
    <t>ENG0407</t>
  </si>
  <si>
    <t>ENG0416</t>
  </si>
  <si>
    <t>ENG0420</t>
  </si>
  <si>
    <t>Forster-Fake</t>
  </si>
  <si>
    <t>ENG0428</t>
  </si>
  <si>
    <t>Zucchelli</t>
  </si>
  <si>
    <t>ENG0431</t>
  </si>
  <si>
    <t>ENG0436</t>
  </si>
  <si>
    <t>Williams</t>
  </si>
  <si>
    <t>Keith</t>
  </si>
  <si>
    <t>ENG0444</t>
  </si>
  <si>
    <t>Finley</t>
  </si>
  <si>
    <t>ENG0453</t>
  </si>
  <si>
    <t>Thompson</t>
  </si>
  <si>
    <t>Wonnacott</t>
  </si>
  <si>
    <t>ENG0456</t>
  </si>
  <si>
    <t>ENG0461</t>
  </si>
  <si>
    <t>Gladwell</t>
  </si>
  <si>
    <t>ENG0462</t>
  </si>
  <si>
    <t>Rodenby</t>
  </si>
  <si>
    <t>ENG0464</t>
  </si>
  <si>
    <t>Goodman</t>
  </si>
  <si>
    <t>ENG0465</t>
  </si>
  <si>
    <t>Burford</t>
  </si>
  <si>
    <t>ENG0466</t>
  </si>
  <si>
    <t>ENG0470</t>
  </si>
  <si>
    <t>Slinger</t>
  </si>
  <si>
    <t>ENG0472</t>
  </si>
  <si>
    <t>ENG0473</t>
  </si>
  <si>
    <t>Briffett</t>
  </si>
  <si>
    <t>ENG0474</t>
  </si>
  <si>
    <t>ENG0475</t>
  </si>
  <si>
    <t>Mather</t>
  </si>
  <si>
    <t>ENG0476</t>
  </si>
  <si>
    <t>Maso</t>
  </si>
  <si>
    <t>Xavi</t>
  </si>
  <si>
    <t>ESP0557</t>
  </si>
  <si>
    <t>Puertas</t>
  </si>
  <si>
    <t>Carles</t>
  </si>
  <si>
    <t>ESP0558</t>
  </si>
  <si>
    <t>Julià</t>
  </si>
  <si>
    <t>ESP0559</t>
  </si>
  <si>
    <t>Barnola</t>
  </si>
  <si>
    <t>Arç</t>
  </si>
  <si>
    <t>ESP0560</t>
  </si>
  <si>
    <t>Loarec</t>
  </si>
  <si>
    <t>Yann</t>
  </si>
  <si>
    <t>FRA0054</t>
  </si>
  <si>
    <t>FRA0196</t>
  </si>
  <si>
    <t>FRA0197</t>
  </si>
  <si>
    <t>Pouffet</t>
  </si>
  <si>
    <t>FRA0218</t>
  </si>
  <si>
    <t>Le De</t>
  </si>
  <si>
    <t>FRA0219</t>
  </si>
  <si>
    <t>Football de Table Aquitaine</t>
  </si>
  <si>
    <t>Krichel</t>
  </si>
  <si>
    <t>GER0001</t>
  </si>
  <si>
    <t>Fricke</t>
  </si>
  <si>
    <t>GER0006</t>
  </si>
  <si>
    <t>Husarek</t>
  </si>
  <si>
    <t>Holger</t>
  </si>
  <si>
    <t>GER0008</t>
  </si>
  <si>
    <t>GER0016</t>
  </si>
  <si>
    <t>GER0017</t>
  </si>
  <si>
    <t>Georgi</t>
  </si>
  <si>
    <t>GER0020</t>
  </si>
  <si>
    <t>GER0023</t>
  </si>
  <si>
    <t>Powels</t>
  </si>
  <si>
    <t>GER0025</t>
  </si>
  <si>
    <t>Schreckenbach</t>
  </si>
  <si>
    <t>GER0028</t>
  </si>
  <si>
    <t>GER0048</t>
  </si>
  <si>
    <t>Becker</t>
  </si>
  <si>
    <t>GER0053</t>
  </si>
  <si>
    <t>Hirzmann</t>
  </si>
  <si>
    <t>Jörg</t>
  </si>
  <si>
    <t>GER0054</t>
  </si>
  <si>
    <t>Nora</t>
  </si>
  <si>
    <t>GER0075</t>
  </si>
  <si>
    <t>Scherer</t>
  </si>
  <si>
    <t>GER0080</t>
  </si>
  <si>
    <t>Hain</t>
  </si>
  <si>
    <t>GER0086</t>
  </si>
  <si>
    <t>Schäfer</t>
  </si>
  <si>
    <t>GER0087</t>
  </si>
  <si>
    <t>Euler</t>
  </si>
  <si>
    <t>Uli</t>
  </si>
  <si>
    <t>GER0090</t>
  </si>
  <si>
    <t>GER0093</t>
  </si>
  <si>
    <t>Abeln</t>
  </si>
  <si>
    <t>GER0098</t>
  </si>
  <si>
    <t>Mertins</t>
  </si>
  <si>
    <t>GER0099</t>
  </si>
  <si>
    <t>GER0100</t>
  </si>
  <si>
    <t>Dähne</t>
  </si>
  <si>
    <t>GER0106</t>
  </si>
  <si>
    <t>Weihermann</t>
  </si>
  <si>
    <t>Cathrin</t>
  </si>
  <si>
    <t>GER0110</t>
  </si>
  <si>
    <t>Lorenz</t>
  </si>
  <si>
    <t>Niklas-Joel</t>
  </si>
  <si>
    <t>GER0130</t>
  </si>
  <si>
    <t>Chatziplaton</t>
  </si>
  <si>
    <t>Charis</t>
  </si>
  <si>
    <t>GER0147</t>
  </si>
  <si>
    <t>Kaouane</t>
  </si>
  <si>
    <t>GER0148</t>
  </si>
  <si>
    <t>Bock</t>
  </si>
  <si>
    <t>Carsten</t>
  </si>
  <si>
    <t>Busmann</t>
  </si>
  <si>
    <t>Joachim</t>
  </si>
  <si>
    <t>GER0150</t>
  </si>
  <si>
    <t>GER0151</t>
  </si>
  <si>
    <t>Sochoritis</t>
  </si>
  <si>
    <t>Visvikis</t>
  </si>
  <si>
    <t>Korakas</t>
  </si>
  <si>
    <t>GRE0736</t>
  </si>
  <si>
    <t>Pappa</t>
  </si>
  <si>
    <t>Chrysoula</t>
  </si>
  <si>
    <t>GRE0739</t>
  </si>
  <si>
    <t>Psychogyios</t>
  </si>
  <si>
    <t>Iraklis</t>
  </si>
  <si>
    <t>GRE0740</t>
  </si>
  <si>
    <t>Triantafyllou</t>
  </si>
  <si>
    <t>GRE0741</t>
  </si>
  <si>
    <t>Charizopoulos</t>
  </si>
  <si>
    <t>GRE0742</t>
  </si>
  <si>
    <t>GRE0743</t>
  </si>
  <si>
    <t>Adavalis</t>
  </si>
  <si>
    <t>Avraam</t>
  </si>
  <si>
    <t>GRE0744</t>
  </si>
  <si>
    <t>Pylarinos</t>
  </si>
  <si>
    <t>GRE0745</t>
  </si>
  <si>
    <t>Goulopoulos</t>
  </si>
  <si>
    <t>GRE0746</t>
  </si>
  <si>
    <t>Agis Filippos</t>
  </si>
  <si>
    <t>GRE0747</t>
  </si>
  <si>
    <t>GRE0748</t>
  </si>
  <si>
    <t>Quattrini</t>
  </si>
  <si>
    <t>ITA0708</t>
  </si>
  <si>
    <t>Pier Celeste</t>
  </si>
  <si>
    <t>ITA0910</t>
  </si>
  <si>
    <t>De Paoli</t>
  </si>
  <si>
    <t>Stephano</t>
  </si>
  <si>
    <t>ITA1260</t>
  </si>
  <si>
    <t>Vegni</t>
  </si>
  <si>
    <t>ITA1386</t>
  </si>
  <si>
    <t>ITA1476</t>
  </si>
  <si>
    <t>Triggiani</t>
  </si>
  <si>
    <t>ITA1723</t>
  </si>
  <si>
    <t>ITA1737</t>
  </si>
  <si>
    <t>ITA2158</t>
  </si>
  <si>
    <t>Vincentini</t>
  </si>
  <si>
    <t>ITA2299</t>
  </si>
  <si>
    <t>Tolve</t>
  </si>
  <si>
    <t>ITA2368</t>
  </si>
  <si>
    <t>Guardini</t>
  </si>
  <si>
    <t>ITA2477</t>
  </si>
  <si>
    <t>Donzelli</t>
  </si>
  <si>
    <t>ITA2556</t>
  </si>
  <si>
    <t>Bartolini</t>
  </si>
  <si>
    <t>Abramo</t>
  </si>
  <si>
    <t>ITA2596</t>
  </si>
  <si>
    <t>ITA3182</t>
  </si>
  <si>
    <t>Mangione</t>
  </si>
  <si>
    <t>ITA3183</t>
  </si>
  <si>
    <t>Giampaola</t>
  </si>
  <si>
    <t>ITA3185</t>
  </si>
  <si>
    <t>ITA3186</t>
  </si>
  <si>
    <t>ITA3187</t>
  </si>
  <si>
    <t>Nunzet</t>
  </si>
  <si>
    <t>ITA3188</t>
  </si>
  <si>
    <t>Calzeroni</t>
  </si>
  <si>
    <t>Pulito</t>
  </si>
  <si>
    <t>ITA3191</t>
  </si>
  <si>
    <t>Luchetti</t>
  </si>
  <si>
    <t>ITA3194</t>
  </si>
  <si>
    <t>Silvano</t>
  </si>
  <si>
    <t>Corleto</t>
  </si>
  <si>
    <t>ITA3196</t>
  </si>
  <si>
    <t>ITA3198</t>
  </si>
  <si>
    <t>ITA3199</t>
  </si>
  <si>
    <t>Goffredo</t>
  </si>
  <si>
    <t>ITA3202</t>
  </si>
  <si>
    <t>Zuccarini</t>
  </si>
  <si>
    <t>ITA3203</t>
  </si>
  <si>
    <t>ITA3205</t>
  </si>
  <si>
    <t>Vianello</t>
  </si>
  <si>
    <t>ITA3209</t>
  </si>
  <si>
    <t>ITA3211</t>
  </si>
  <si>
    <t>ITA3213</t>
  </si>
  <si>
    <t>ITA3215</t>
  </si>
  <si>
    <t>Ficini</t>
  </si>
  <si>
    <t>ITA3216</t>
  </si>
  <si>
    <t>ITA3217</t>
  </si>
  <si>
    <t>Talozzi</t>
  </si>
  <si>
    <t>ITA3218</t>
  </si>
  <si>
    <t>Milessa</t>
  </si>
  <si>
    <t>ITA3222</t>
  </si>
  <si>
    <t>Zorzi</t>
  </si>
  <si>
    <t>ITA3223</t>
  </si>
  <si>
    <t>Ciaramella</t>
  </si>
  <si>
    <t>ITA3224</t>
  </si>
  <si>
    <t>ITA3225</t>
  </si>
  <si>
    <t>Besate</t>
  </si>
  <si>
    <t>ITA3226</t>
  </si>
  <si>
    <t>ITA3227</t>
  </si>
  <si>
    <t>Malossi</t>
  </si>
  <si>
    <t>ITA3228</t>
  </si>
  <si>
    <t>Baratella</t>
  </si>
  <si>
    <t>ITA3229</t>
  </si>
  <si>
    <t>Colossi</t>
  </si>
  <si>
    <t>ITA3230</t>
  </si>
  <si>
    <t>Nicolò</t>
  </si>
  <si>
    <t>ITA3231</t>
  </si>
  <si>
    <t>Indino</t>
  </si>
  <si>
    <t>ITA3232</t>
  </si>
  <si>
    <t>ITA3233</t>
  </si>
  <si>
    <t>Mario Michele</t>
  </si>
  <si>
    <t>ITA3234</t>
  </si>
  <si>
    <t>Flaccomio</t>
  </si>
  <si>
    <t>ITA3235</t>
  </si>
  <si>
    <t>Coletta</t>
  </si>
  <si>
    <t>ITA3236</t>
  </si>
  <si>
    <t>Beani</t>
  </si>
  <si>
    <t>ITA3237</t>
  </si>
  <si>
    <t>Ciampoli</t>
  </si>
  <si>
    <t>ITA3238</t>
  </si>
  <si>
    <t>Chicco</t>
  </si>
  <si>
    <t>ITA3239</t>
  </si>
  <si>
    <t>Bazzoli</t>
  </si>
  <si>
    <t>ITA3240</t>
  </si>
  <si>
    <t>Santarcangelo</t>
  </si>
  <si>
    <t>ITA3241</t>
  </si>
  <si>
    <t>Giulia</t>
  </si>
  <si>
    <t>Terenzi</t>
  </si>
  <si>
    <t>ITA3243</t>
  </si>
  <si>
    <t>Andricciola</t>
  </si>
  <si>
    <t>ITA3246</t>
  </si>
  <si>
    <t>Benussi</t>
  </si>
  <si>
    <t>ITA3247</t>
  </si>
  <si>
    <t>ITA3248</t>
  </si>
  <si>
    <t>Giunti</t>
  </si>
  <si>
    <t>ITA3249</t>
  </si>
  <si>
    <t>Vetere</t>
  </si>
  <si>
    <t>ITA3251</t>
  </si>
  <si>
    <t>ITA3252</t>
  </si>
  <si>
    <t>Di Lorenzo</t>
  </si>
  <si>
    <t>ITA3253</t>
  </si>
  <si>
    <t>Incardona</t>
  </si>
  <si>
    <t>ITA3254</t>
  </si>
  <si>
    <t>JPN022</t>
  </si>
  <si>
    <t>JPN033</t>
  </si>
  <si>
    <t>JPN034</t>
  </si>
  <si>
    <t>JPN044</t>
  </si>
  <si>
    <t>JPN071</t>
  </si>
  <si>
    <t>JPN076</t>
  </si>
  <si>
    <t>JPN077</t>
  </si>
  <si>
    <t>JPN078</t>
  </si>
  <si>
    <t>JPN097</t>
  </si>
  <si>
    <t>JPN104</t>
  </si>
  <si>
    <t>JPN115</t>
  </si>
  <si>
    <t>JPN117</t>
  </si>
  <si>
    <t>JPN122</t>
  </si>
  <si>
    <t>JPN132</t>
  </si>
  <si>
    <t>JPN140</t>
  </si>
  <si>
    <t>JPN141</t>
  </si>
  <si>
    <t>JPN154</t>
  </si>
  <si>
    <t>Austin</t>
  </si>
  <si>
    <t>MLT0003</t>
  </si>
  <si>
    <t>Borg Bonaci</t>
  </si>
  <si>
    <t>MLT0010</t>
  </si>
  <si>
    <t>Zammit Pavia</t>
  </si>
  <si>
    <t>MLT0034</t>
  </si>
  <si>
    <t>MLT0036</t>
  </si>
  <si>
    <t>MLT0041</t>
  </si>
  <si>
    <t>Van Den Houten</t>
  </si>
  <si>
    <t>POR0017</t>
  </si>
  <si>
    <t>Trindade</t>
  </si>
  <si>
    <t>POR0173</t>
  </si>
  <si>
    <t>POR0196</t>
  </si>
  <si>
    <t>Tomàs</t>
  </si>
  <si>
    <t>POR0197</t>
  </si>
  <si>
    <t>Sobral</t>
  </si>
  <si>
    <t>POR0203</t>
  </si>
  <si>
    <t>Mac Eó</t>
  </si>
  <si>
    <t>Oisín</t>
  </si>
  <si>
    <t>Fitzpatrick</t>
  </si>
  <si>
    <t>Gerry</t>
  </si>
  <si>
    <t>SCO0065</t>
  </si>
  <si>
    <t>Nicol</t>
  </si>
  <si>
    <t>SCO0066</t>
  </si>
  <si>
    <t>Marshall</t>
  </si>
  <si>
    <t>SCO0070</t>
  </si>
  <si>
    <t>McFadyen</t>
  </si>
  <si>
    <t>SCO0071</t>
  </si>
  <si>
    <t>Szendröi</t>
  </si>
  <si>
    <t>Yasser</t>
  </si>
  <si>
    <t>TUN0015</t>
  </si>
  <si>
    <t>Yanis</t>
  </si>
  <si>
    <t>TUN0016</t>
  </si>
  <si>
    <t>USA0407</t>
  </si>
  <si>
    <t>Wyss</t>
  </si>
  <si>
    <t>USA0408</t>
  </si>
  <si>
    <t>Schoonmaker</t>
  </si>
  <si>
    <t>USA0409</t>
  </si>
  <si>
    <t>USA0410</t>
  </si>
  <si>
    <t>Tory</t>
  </si>
  <si>
    <t>USA0411</t>
  </si>
  <si>
    <t>Jercich</t>
  </si>
  <si>
    <t>USA0412</t>
  </si>
  <si>
    <t>USA0413</t>
  </si>
  <si>
    <t>Goninan</t>
  </si>
  <si>
    <t>USA0414</t>
  </si>
  <si>
    <t>Mason</t>
  </si>
  <si>
    <t>USA0415</t>
  </si>
  <si>
    <t>Shiv</t>
  </si>
  <si>
    <t>Patel</t>
  </si>
  <si>
    <t>USA0416</t>
  </si>
  <si>
    <t>Tyler</t>
  </si>
  <si>
    <t>Lui</t>
  </si>
  <si>
    <t>USA0417</t>
  </si>
  <si>
    <t>Wasyluszco</t>
  </si>
  <si>
    <t>USA0418</t>
  </si>
  <si>
    <t>Jadin</t>
  </si>
  <si>
    <t>Botticelli</t>
  </si>
  <si>
    <t>USA0419</t>
  </si>
  <si>
    <t>Roberts-Kleban</t>
  </si>
  <si>
    <t>USA0420</t>
  </si>
  <si>
    <t>Belcher</t>
  </si>
  <si>
    <t>USA0421</t>
  </si>
  <si>
    <t>Buccheri</t>
  </si>
  <si>
    <t>USA0422</t>
  </si>
  <si>
    <t>Alec</t>
  </si>
  <si>
    <t>USA0423</t>
  </si>
  <si>
    <t>WAL0052</t>
  </si>
  <si>
    <t>Compatibility with new Database &amp; WR FISTF file published each month - This file is produce with the FISTF_Database&amp;WR-Synthesis.xlsm program.</t>
  </si>
  <si>
    <t>GIAUX</t>
  </si>
  <si>
    <t>GASPARINI</t>
  </si>
  <si>
    <t>GOOR</t>
  </si>
  <si>
    <t>RAMALHETE</t>
  </si>
  <si>
    <t>SIGNORETTI</t>
  </si>
  <si>
    <t>BORG BONACI</t>
  </si>
  <si>
    <t>SEGERS</t>
  </si>
  <si>
    <t>SHORT</t>
  </si>
  <si>
    <t>GRUNBACH</t>
  </si>
  <si>
    <t>BEDFORD</t>
  </si>
  <si>
    <t>RECANO</t>
  </si>
  <si>
    <t>LAURENT</t>
  </si>
  <si>
    <t>TÜNGER</t>
  </si>
  <si>
    <t>KARNTHALER</t>
  </si>
  <si>
    <t>DE MATOS</t>
  </si>
  <si>
    <t>CHETCUTI DIMECH</t>
  </si>
  <si>
    <t>PONTHIEUX</t>
  </si>
  <si>
    <t>GREGOIRE</t>
  </si>
  <si>
    <t>MASTROIANNI</t>
  </si>
  <si>
    <t>VILLARIGUES</t>
  </si>
  <si>
    <t>GALLART</t>
  </si>
  <si>
    <t>STOLZENBERG</t>
  </si>
  <si>
    <t>NASTASI</t>
  </si>
  <si>
    <t>DARMONT</t>
  </si>
  <si>
    <t>CARVALHO</t>
  </si>
  <si>
    <t>TARGUI</t>
  </si>
  <si>
    <t>LAUDER</t>
  </si>
  <si>
    <t>MUSSINO</t>
  </si>
  <si>
    <t>BALL</t>
  </si>
  <si>
    <t>BARTZIS</t>
  </si>
  <si>
    <t>VASILOPOULOS</t>
  </si>
  <si>
    <t>KAOUANE</t>
  </si>
  <si>
    <t>SKINNER</t>
  </si>
  <si>
    <t>PINHEIRO BARTHEZ</t>
  </si>
  <si>
    <t>CAYUELA</t>
  </si>
  <si>
    <t>HARRINGTON</t>
  </si>
  <si>
    <t>BLANCHARD</t>
  </si>
  <si>
    <t>RAISON</t>
  </si>
  <si>
    <t>LIZAR</t>
  </si>
  <si>
    <t>VAN DIJK</t>
  </si>
  <si>
    <t>PACITTI</t>
  </si>
  <si>
    <t>CLARK</t>
  </si>
  <si>
    <t>BUTLER</t>
  </si>
  <si>
    <t>MENDITTO</t>
  </si>
  <si>
    <t>JOSÉ</t>
  </si>
  <si>
    <t>BENITA</t>
  </si>
  <si>
    <t>ROSA</t>
  </si>
  <si>
    <t>JONES</t>
  </si>
  <si>
    <t>FOUTRAKIS</t>
  </si>
  <si>
    <t>DIEUDONNE</t>
  </si>
  <si>
    <t>KARVOUNIS</t>
  </si>
  <si>
    <t>CAPELLACCI</t>
  </si>
  <si>
    <t>BERTELLI</t>
  </si>
  <si>
    <t>KAKAVAS</t>
  </si>
  <si>
    <t>GAIA</t>
  </si>
  <si>
    <t>URBANIAK</t>
  </si>
  <si>
    <t>PSYCHOPOULOS</t>
  </si>
  <si>
    <t>NUCCI</t>
  </si>
  <si>
    <t>ARGIRIS</t>
  </si>
  <si>
    <t>PREZIUSO</t>
  </si>
  <si>
    <t>ZAMARA</t>
  </si>
  <si>
    <t>ALLISON</t>
  </si>
  <si>
    <t>BOGDANIDIS</t>
  </si>
  <si>
    <t>CAFIERO</t>
  </si>
  <si>
    <t>PELUSO</t>
  </si>
  <si>
    <t>KANETIS</t>
  </si>
  <si>
    <t>BAROSS</t>
  </si>
  <si>
    <t>SOCHORITIS</t>
  </si>
  <si>
    <t>LAVRAKIS</t>
  </si>
  <si>
    <t>SCHÖBERL</t>
  </si>
  <si>
    <t>MANZELLA</t>
  </si>
  <si>
    <t>BUTTERWORTH</t>
  </si>
  <si>
    <t>BOCK</t>
  </si>
  <si>
    <t>RAGUSA</t>
  </si>
  <si>
    <t>BOOTHMAN</t>
  </si>
  <si>
    <t>GERRETS</t>
  </si>
  <si>
    <t>RIGGIO</t>
  </si>
  <si>
    <t>DUNNE</t>
  </si>
  <si>
    <t>GARAGOUNIS</t>
  </si>
  <si>
    <t>CIRAOLO</t>
  </si>
  <si>
    <t>TSIAKALOS</t>
  </si>
  <si>
    <t>SYRMOS</t>
  </si>
  <si>
    <t>MESSONISANAKIS</t>
  </si>
  <si>
    <t>DOUGLAS</t>
  </si>
  <si>
    <t>FLETCHER</t>
  </si>
  <si>
    <t>FEDELE</t>
  </si>
  <si>
    <t>TURPIN</t>
  </si>
  <si>
    <t>SILVA</t>
  </si>
  <si>
    <t>HARO</t>
  </si>
  <si>
    <t>ARIANO</t>
  </si>
  <si>
    <t>BORGNA</t>
  </si>
  <si>
    <t>WILLIAMS</t>
  </si>
  <si>
    <t>HENRIQUES</t>
  </si>
  <si>
    <t>HOLMES</t>
  </si>
  <si>
    <t>ROPER</t>
  </si>
  <si>
    <t>MASO</t>
  </si>
  <si>
    <t>GIUFFRÈ</t>
  </si>
  <si>
    <t>GARCIA</t>
  </si>
  <si>
    <t>CHATZISTAVRAKIS</t>
  </si>
  <si>
    <t>SIRMAI</t>
  </si>
  <si>
    <t>LANDI</t>
  </si>
  <si>
    <t>DENNE</t>
  </si>
  <si>
    <t>KARAGIANNIOTIS</t>
  </si>
  <si>
    <t>ELMER</t>
  </si>
  <si>
    <t>GIORGIANNI</t>
  </si>
  <si>
    <t>KOUTZAS</t>
  </si>
  <si>
    <t>ASHLEY</t>
  </si>
  <si>
    <t>BARNES</t>
  </si>
  <si>
    <t>COZZARIN</t>
  </si>
  <si>
    <t>CAMPBELL</t>
  </si>
  <si>
    <t>BRENER</t>
  </si>
  <si>
    <t>JANSSENS</t>
  </si>
  <si>
    <t>MAGEE</t>
  </si>
  <si>
    <t>LA ROSA</t>
  </si>
  <si>
    <t>SAITTA</t>
  </si>
  <si>
    <t>LOMBARDO</t>
  </si>
  <si>
    <t>SCHIAVI</t>
  </si>
  <si>
    <t>VERHOEVEN</t>
  </si>
  <si>
    <t>LAMBERTI</t>
  </si>
  <si>
    <t>DIRICK</t>
  </si>
  <si>
    <t>FARRUGIA RANDON</t>
  </si>
  <si>
    <t>FERNANDES</t>
  </si>
  <si>
    <t>VLASOV</t>
  </si>
  <si>
    <t>SANTANICCHIA</t>
  </si>
  <si>
    <t>KAROUZOS</t>
  </si>
  <si>
    <t>PANEBIANCO</t>
  </si>
  <si>
    <t>ANTÚNEZ</t>
  </si>
  <si>
    <t>BONNET</t>
  </si>
  <si>
    <t>NICHOLLS</t>
  </si>
  <si>
    <t>LO CASCIO</t>
  </si>
  <si>
    <t>MELEAS</t>
  </si>
  <si>
    <t>FENTON</t>
  </si>
  <si>
    <t>MIYAKE</t>
  </si>
  <si>
    <t>PEROTTI</t>
  </si>
  <si>
    <t>BRADLEY</t>
  </si>
  <si>
    <t>KRONMÜLLER</t>
  </si>
  <si>
    <t>TASTSOGLOU</t>
  </si>
  <si>
    <t>FERRUCCI</t>
  </si>
  <si>
    <t>AHMAD</t>
  </si>
  <si>
    <t>BRILL</t>
  </si>
  <si>
    <t>MIGUEL</t>
  </si>
  <si>
    <t>SAGIT</t>
  </si>
  <si>
    <t>CAMPOS</t>
  </si>
  <si>
    <t>VARELA</t>
  </si>
  <si>
    <t>ELLEFSEN</t>
  </si>
  <si>
    <t>ESTEBAN</t>
  </si>
  <si>
    <t>SANDNER</t>
  </si>
  <si>
    <t>CAPOSSELA</t>
  </si>
  <si>
    <t>SCATAMACCHIA</t>
  </si>
  <si>
    <t>GARAU</t>
  </si>
  <si>
    <t>IOAN</t>
  </si>
  <si>
    <t>SAUERWEIN</t>
  </si>
  <si>
    <t>MOORE</t>
  </si>
  <si>
    <t>ERB</t>
  </si>
  <si>
    <t>PROMPONAS</t>
  </si>
  <si>
    <t>IELAPI</t>
  </si>
  <si>
    <t>PALMIERI</t>
  </si>
  <si>
    <t>BARONI</t>
  </si>
  <si>
    <t>CASATI</t>
  </si>
  <si>
    <t>COLELLA</t>
  </si>
  <si>
    <t>BIANCHI</t>
  </si>
  <si>
    <t>KAKILTAKIS</t>
  </si>
  <si>
    <t>SICILIANO</t>
  </si>
  <si>
    <t>GRILLO</t>
  </si>
  <si>
    <t>DI MICHELANGELO</t>
  </si>
  <si>
    <t>AMATA</t>
  </si>
  <si>
    <t>SERGI</t>
  </si>
  <si>
    <t>BASILE</t>
  </si>
  <si>
    <t>CURRÒ</t>
  </si>
  <si>
    <t>VOLPI</t>
  </si>
  <si>
    <t>CEVOLANI</t>
  </si>
  <si>
    <t>PIERONI</t>
  </si>
  <si>
    <t>GOODMAN</t>
  </si>
  <si>
    <t>PALMER</t>
  </si>
  <si>
    <t>FREITAS</t>
  </si>
  <si>
    <t>CASTRO</t>
  </si>
  <si>
    <t>FARIA</t>
  </si>
  <si>
    <t>AFONSO</t>
  </si>
  <si>
    <t>VEZZUTO</t>
  </si>
  <si>
    <t>LARANJEIRA</t>
  </si>
  <si>
    <t>PAPPA</t>
  </si>
  <si>
    <t>MERKOURIS</t>
  </si>
  <si>
    <t>PAPADAKI</t>
  </si>
  <si>
    <t>MAIOLI</t>
  </si>
  <si>
    <t>SCHNEIDER</t>
  </si>
  <si>
    <t>VALLEBONA</t>
  </si>
  <si>
    <t>BERIOLI</t>
  </si>
  <si>
    <t>BAENA</t>
  </si>
  <si>
    <t>BIGNARDI</t>
  </si>
  <si>
    <t>SANI</t>
  </si>
  <si>
    <t>MOREIRA</t>
  </si>
  <si>
    <t>FAZIO</t>
  </si>
  <si>
    <t>COQUILLON</t>
  </si>
  <si>
    <t>PEREIRA</t>
  </si>
  <si>
    <t>FERRETTI</t>
  </si>
  <si>
    <t>BALITO</t>
  </si>
  <si>
    <t>N° Equipe du club</t>
  </si>
  <si>
    <t>Team Number within club</t>
  </si>
  <si>
    <t>N° Squadra del club</t>
  </si>
  <si>
    <t>N° Equipo del club</t>
  </si>
  <si>
    <t>N° Equip dins del club</t>
  </si>
  <si>
    <t>Nom du club</t>
  </si>
  <si>
    <t>Club Name</t>
  </si>
  <si>
    <t>Nom del Club</t>
  </si>
  <si>
    <t>Nombre del Club</t>
  </si>
  <si>
    <t>Nome del Club</t>
  </si>
  <si>
    <t>Formulaire de saisie en masse avec aide sur reherche des noms des clubs.</t>
  </si>
  <si>
    <t>Bulk entry form with help on finding the names of the clubs.</t>
  </si>
  <si>
    <t>Modulo di iscrizione in blocco con aiuto nella ricerca dei nomi dei club.</t>
  </si>
  <si>
    <t>Formulario de inscripción masiva con ayuda para buscar nombres de clubes.</t>
  </si>
  <si>
    <t>Formulari d'inscripció massiva amb ajuda per cercar noms de clubs.</t>
  </si>
  <si>
    <t>10.1</t>
  </si>
  <si>
    <t>Add of fill in help form for teams regictration cheet.</t>
  </si>
  <si>
    <t>10.2</t>
  </si>
  <si>
    <t>Dashboard display Event and no more Category of Event</t>
  </si>
  <si>
    <t>10.2.1</t>
  </si>
  <si>
    <t>Performance enhancement : memory freeing with set XXX = Nothing</t>
  </si>
  <si>
    <t>10.2.2</t>
  </si>
  <si>
    <t>Bug correction : Export/Import Scorer Table</t>
  </si>
  <si>
    <t>Pacello</t>
  </si>
  <si>
    <t>Lombard</t>
  </si>
  <si>
    <t>AUS0158</t>
  </si>
  <si>
    <t>Rene</t>
  </si>
  <si>
    <t>Delcroix</t>
  </si>
  <si>
    <t>Emeric</t>
  </si>
  <si>
    <t>BEL0030</t>
  </si>
  <si>
    <t>free agent</t>
  </si>
  <si>
    <t>Gallez</t>
  </si>
  <si>
    <t>BEL0066</t>
  </si>
  <si>
    <t>Crasset</t>
  </si>
  <si>
    <t>BEL0452</t>
  </si>
  <si>
    <t>BEL0454</t>
  </si>
  <si>
    <t>Feye</t>
  </si>
  <si>
    <t>Aurélien</t>
  </si>
  <si>
    <t>BEL0306</t>
  </si>
  <si>
    <t>Fabrice</t>
  </si>
  <si>
    <t>BEL0259</t>
  </si>
  <si>
    <t>Bangu AC</t>
  </si>
  <si>
    <t>Free Agent</t>
  </si>
  <si>
    <t>SE Palmeiras</t>
  </si>
  <si>
    <t>São Paulo FC</t>
  </si>
  <si>
    <t>Cisplatina FC</t>
  </si>
  <si>
    <t>Botafogo FR</t>
  </si>
  <si>
    <t>Colombo SC</t>
  </si>
  <si>
    <t>Santa Cruz FC</t>
  </si>
  <si>
    <t>Íbis SC</t>
  </si>
  <si>
    <t>SC do Recife</t>
  </si>
  <si>
    <t>Lampitt</t>
  </si>
  <si>
    <t>ENG0022</t>
  </si>
  <si>
    <t>Moralzarzal SCAD</t>
  </si>
  <si>
    <t>Dyson</t>
  </si>
  <si>
    <t>ENG0033</t>
  </si>
  <si>
    <t>ENG0025</t>
  </si>
  <si>
    <t>Kaspar</t>
  </si>
  <si>
    <t>ENG0051</t>
  </si>
  <si>
    <t>Tarry</t>
  </si>
  <si>
    <t>ENG0100</t>
  </si>
  <si>
    <t>Pickance</t>
  </si>
  <si>
    <t>ENG0154</t>
  </si>
  <si>
    <t>Jamieson</t>
  </si>
  <si>
    <t>ENG0323</t>
  </si>
  <si>
    <t>Solent Table Soccer &amp; Subbuteo Club</t>
  </si>
  <si>
    <t>ENG0333</t>
  </si>
  <si>
    <t>London Road SC</t>
  </si>
  <si>
    <t>Hunter</t>
  </si>
  <si>
    <t>ENG0397</t>
  </si>
  <si>
    <t>Haverhill Rovers TFC</t>
  </si>
  <si>
    <t>Carman</t>
  </si>
  <si>
    <t>ENG0479</t>
  </si>
  <si>
    <t>ENG0480</t>
  </si>
  <si>
    <t>Hunt</t>
  </si>
  <si>
    <t>ENG0481</t>
  </si>
  <si>
    <t>Moreton</t>
  </si>
  <si>
    <t>ENG0484</t>
  </si>
  <si>
    <t>Welby</t>
  </si>
  <si>
    <t>ENG0485</t>
  </si>
  <si>
    <t>Gage</t>
  </si>
  <si>
    <t>ENG0486</t>
  </si>
  <si>
    <t>Wolverhampton Table Football Club</t>
  </si>
  <si>
    <t>Heslop</t>
  </si>
  <si>
    <t>ENG0487</t>
  </si>
  <si>
    <t>ENG0488</t>
  </si>
  <si>
    <t>Ellis</t>
  </si>
  <si>
    <t>ENG0489</t>
  </si>
  <si>
    <t>Duckworth</t>
  </si>
  <si>
    <t>ENG0490</t>
  </si>
  <si>
    <t>Crampton</t>
  </si>
  <si>
    <t>ENG0491</t>
  </si>
  <si>
    <t>Mannix</t>
  </si>
  <si>
    <t>ENG0492</t>
  </si>
  <si>
    <t>Danes</t>
  </si>
  <si>
    <t>ENG0493</t>
  </si>
  <si>
    <t>ENG0495</t>
  </si>
  <si>
    <t>Connor</t>
  </si>
  <si>
    <t>Gregory</t>
  </si>
  <si>
    <t>ENG0496</t>
  </si>
  <si>
    <t>Magnier</t>
  </si>
  <si>
    <t>Bodily</t>
  </si>
  <si>
    <t>ENG0498</t>
  </si>
  <si>
    <t>Hammersley</t>
  </si>
  <si>
    <t>ENG0499</t>
  </si>
  <si>
    <t>Hall</t>
  </si>
  <si>
    <t>ENG0500</t>
  </si>
  <si>
    <t>Weaver</t>
  </si>
  <si>
    <t>ENG0501</t>
  </si>
  <si>
    <t>Barqueiro</t>
  </si>
  <si>
    <t>ENG0502</t>
  </si>
  <si>
    <t>Simmill</t>
  </si>
  <si>
    <t>ENG0504</t>
  </si>
  <si>
    <t>Samantha</t>
  </si>
  <si>
    <t>ENG0505</t>
  </si>
  <si>
    <t>Jackson</t>
  </si>
  <si>
    <t>ENG1005</t>
  </si>
  <si>
    <t>ENG1009</t>
  </si>
  <si>
    <t>ENG1010</t>
  </si>
  <si>
    <t>Lanzani</t>
  </si>
  <si>
    <t>ENG1011</t>
  </si>
  <si>
    <t>Hill</t>
  </si>
  <si>
    <t>ENG1013</t>
  </si>
  <si>
    <t>ENG1014</t>
  </si>
  <si>
    <t>Harwood</t>
  </si>
  <si>
    <t>Graham</t>
  </si>
  <si>
    <t>Doherty</t>
  </si>
  <si>
    <t>Banks</t>
  </si>
  <si>
    <t>ENG1027</t>
  </si>
  <si>
    <t>Meggitt</t>
  </si>
  <si>
    <t>ENG1029</t>
  </si>
  <si>
    <t>ACS Perugia</t>
  </si>
  <si>
    <t>León Moreno</t>
  </si>
  <si>
    <t>ESP0017</t>
  </si>
  <si>
    <t>AS Iluro FT</t>
  </si>
  <si>
    <t>París</t>
  </si>
  <si>
    <t>Ros</t>
  </si>
  <si>
    <t>Subbuteo Dragons Azuqueca</t>
  </si>
  <si>
    <t>de Miguel</t>
  </si>
  <si>
    <t>Pinto Gurdiel</t>
  </si>
  <si>
    <t>Maireles Alfaro</t>
  </si>
  <si>
    <t>Maireles Reyes</t>
  </si>
  <si>
    <t>Jean Michel</t>
  </si>
  <si>
    <t>Quer</t>
  </si>
  <si>
    <t>Oriol</t>
  </si>
  <si>
    <t>ESP0563</t>
  </si>
  <si>
    <t>Márquez Galisteo</t>
  </si>
  <si>
    <t>ESP0564</t>
  </si>
  <si>
    <t>ESP0567</t>
  </si>
  <si>
    <t>García Ferri</t>
  </si>
  <si>
    <t>Moreno Vico</t>
  </si>
  <si>
    <t>ESP0571</t>
  </si>
  <si>
    <t>ESP0573</t>
  </si>
  <si>
    <t>Edeson</t>
  </si>
  <si>
    <t>NZL</t>
  </si>
  <si>
    <t>FRA0238</t>
  </si>
  <si>
    <t>FRA0220</t>
  </si>
  <si>
    <t>Ausset</t>
  </si>
  <si>
    <t>FRA0119</t>
  </si>
  <si>
    <t>FRA0120</t>
  </si>
  <si>
    <t>Beauvais</t>
  </si>
  <si>
    <t>FRA0134</t>
  </si>
  <si>
    <t>Blanchon</t>
  </si>
  <si>
    <t>Julien</t>
  </si>
  <si>
    <t>FRA0180</t>
  </si>
  <si>
    <t>BONDI</t>
  </si>
  <si>
    <t>Clément</t>
  </si>
  <si>
    <t>FRA0235</t>
  </si>
  <si>
    <t>Subbuteo Le Cannet Côte d'Azur</t>
  </si>
  <si>
    <t>FRA0234</t>
  </si>
  <si>
    <t>Guglielmo</t>
  </si>
  <si>
    <t>BOROLI</t>
  </si>
  <si>
    <t>FRA0260</t>
  </si>
  <si>
    <t>FRA0242</t>
  </si>
  <si>
    <t>Cazala</t>
  </si>
  <si>
    <t>FRA0231</t>
  </si>
  <si>
    <t>Domitille</t>
  </si>
  <si>
    <t>FRA0233</t>
  </si>
  <si>
    <t>FRA0236</t>
  </si>
  <si>
    <t>CHIAPPETTA</t>
  </si>
  <si>
    <t>FRA0257</t>
  </si>
  <si>
    <t>FRA0256</t>
  </si>
  <si>
    <t>Deffolin</t>
  </si>
  <si>
    <t>FRA0158</t>
  </si>
  <si>
    <t>Dumazi</t>
  </si>
  <si>
    <t>FRA0191</t>
  </si>
  <si>
    <t>FRA0228</t>
  </si>
  <si>
    <t>Fuseau</t>
  </si>
  <si>
    <t>FRA0106</t>
  </si>
  <si>
    <t>Gadais</t>
  </si>
  <si>
    <t>FRA0214</t>
  </si>
  <si>
    <t>Thibaud</t>
  </si>
  <si>
    <t>FRA0227</t>
  </si>
  <si>
    <t>FRA0253</t>
  </si>
  <si>
    <t>FRA0252</t>
  </si>
  <si>
    <t>FRA0147</t>
  </si>
  <si>
    <t>FRA0116</t>
  </si>
  <si>
    <t>Grangier</t>
  </si>
  <si>
    <t>Patrice</t>
  </si>
  <si>
    <t>FRA0182</t>
  </si>
  <si>
    <t>Jade</t>
  </si>
  <si>
    <t>FRA0225</t>
  </si>
  <si>
    <t>FRA0244</t>
  </si>
  <si>
    <t>FRA0251</t>
  </si>
  <si>
    <t>Jalbert</t>
  </si>
  <si>
    <t>FRA0040</t>
  </si>
  <si>
    <t>FRA0261</t>
  </si>
  <si>
    <t>FRA0096</t>
  </si>
  <si>
    <t>FRA0262</t>
  </si>
  <si>
    <t>FRA0243</t>
  </si>
  <si>
    <t>Le Teno</t>
  </si>
  <si>
    <t>FRA0029</t>
  </si>
  <si>
    <t>Lucie</t>
  </si>
  <si>
    <t>FRA0028</t>
  </si>
  <si>
    <t>LEDOIT</t>
  </si>
  <si>
    <t>FRA0259</t>
  </si>
  <si>
    <t>FRA0094</t>
  </si>
  <si>
    <t>Legall</t>
  </si>
  <si>
    <t>Eliott</t>
  </si>
  <si>
    <t>FRA0152</t>
  </si>
  <si>
    <t>FRA0254</t>
  </si>
  <si>
    <t>LESNE</t>
  </si>
  <si>
    <t>Thibault</t>
  </si>
  <si>
    <t>FRA0232</t>
  </si>
  <si>
    <t>Linquercq-Rivière</t>
  </si>
  <si>
    <t>Lo Preti</t>
  </si>
  <si>
    <t>FRA0176</t>
  </si>
  <si>
    <t>LUPO</t>
  </si>
  <si>
    <t>FRA0148</t>
  </si>
  <si>
    <t>FRA0237</t>
  </si>
  <si>
    <t>Orlan</t>
  </si>
  <si>
    <t>FRA0226</t>
  </si>
  <si>
    <t>FRA0150</t>
  </si>
  <si>
    <t>Meygret</t>
  </si>
  <si>
    <t>FRA0190</t>
  </si>
  <si>
    <t>FRA0247</t>
  </si>
  <si>
    <t>FRA0224</t>
  </si>
  <si>
    <t>FRA0230</t>
  </si>
  <si>
    <t>Morier</t>
  </si>
  <si>
    <t>FRA0221</t>
  </si>
  <si>
    <t>Offmann</t>
  </si>
  <si>
    <t>FRA0135</t>
  </si>
  <si>
    <t>FRA0239</t>
  </si>
  <si>
    <t>Aymeric</t>
  </si>
  <si>
    <t>FRA0222</t>
  </si>
  <si>
    <t>POUPART</t>
  </si>
  <si>
    <t>FRA0246</t>
  </si>
  <si>
    <t>Rakowski</t>
  </si>
  <si>
    <t>FRA0095</t>
  </si>
  <si>
    <t>Rubi</t>
  </si>
  <si>
    <t>FRA0036</t>
  </si>
  <si>
    <t>FRA0248</t>
  </si>
  <si>
    <t>FRA0255</t>
  </si>
  <si>
    <t>Siwczak</t>
  </si>
  <si>
    <t>FRA0223</t>
  </si>
  <si>
    <t>Sorge</t>
  </si>
  <si>
    <t>FRA0240</t>
  </si>
  <si>
    <t>Manon</t>
  </si>
  <si>
    <t>FRA0250</t>
  </si>
  <si>
    <t>Trichot</t>
  </si>
  <si>
    <t>Jean-Jacques</t>
  </si>
  <si>
    <t>FRA0229</t>
  </si>
  <si>
    <t>FRA0241</t>
  </si>
  <si>
    <t>Bancherus</t>
  </si>
  <si>
    <t>Eisemann</t>
  </si>
  <si>
    <t>Lisa</t>
  </si>
  <si>
    <t>Cornelia</t>
  </si>
  <si>
    <t>USC Wuppertal</t>
  </si>
  <si>
    <t>Subbuteo Club Höpfigheim</t>
  </si>
  <si>
    <t>Tolias</t>
  </si>
  <si>
    <t>GER0152</t>
  </si>
  <si>
    <t>von Schultzendorff</t>
  </si>
  <si>
    <t>Linus</t>
  </si>
  <si>
    <t>GER0153</t>
  </si>
  <si>
    <t>Sopa</t>
  </si>
  <si>
    <t>Fisnik</t>
  </si>
  <si>
    <t>GER0154</t>
  </si>
  <si>
    <t>Wulff</t>
  </si>
  <si>
    <t>GER0155</t>
  </si>
  <si>
    <t>Evia CAN</t>
  </si>
  <si>
    <t>Kolidakis Jr</t>
  </si>
  <si>
    <t>Bairasm Jr</t>
  </si>
  <si>
    <t>Chytas</t>
  </si>
  <si>
    <t>PIraeus Lions TSC</t>
  </si>
  <si>
    <t>dimitrios</t>
  </si>
  <si>
    <t>Pilatos</t>
  </si>
  <si>
    <t>GRE0749</t>
  </si>
  <si>
    <t>Elekidis</t>
  </si>
  <si>
    <t>Valsamas</t>
  </si>
  <si>
    <t>GRE0750</t>
  </si>
  <si>
    <t>Aivasliotis</t>
  </si>
  <si>
    <t>GRE0751</t>
  </si>
  <si>
    <t>Giannoulis</t>
  </si>
  <si>
    <t>GRE0752</t>
  </si>
  <si>
    <t>Geerontitis</t>
  </si>
  <si>
    <t>Synodis</t>
  </si>
  <si>
    <t>GRE0753</t>
  </si>
  <si>
    <t>Lytras</t>
  </si>
  <si>
    <t>GRE0754</t>
  </si>
  <si>
    <t>Exarchou</t>
  </si>
  <si>
    <t>GRE0755</t>
  </si>
  <si>
    <t>GRE0756</t>
  </si>
  <si>
    <t>Kakopoulos</t>
  </si>
  <si>
    <t>GRE0757</t>
  </si>
  <si>
    <t>Antonakis</t>
  </si>
  <si>
    <t>Zacharias</t>
  </si>
  <si>
    <t>GRE0758</t>
  </si>
  <si>
    <t>Dragoumis</t>
  </si>
  <si>
    <t>GRE0759</t>
  </si>
  <si>
    <t>GRE0760</t>
  </si>
  <si>
    <t>Seferlis</t>
  </si>
  <si>
    <t>GRE0761</t>
  </si>
  <si>
    <t>Ximitidis</t>
  </si>
  <si>
    <t>GRE0762</t>
  </si>
  <si>
    <t>GRE0763</t>
  </si>
  <si>
    <t>Bouzid</t>
  </si>
  <si>
    <t>GRE0764</t>
  </si>
  <si>
    <t>Georganoudis</t>
  </si>
  <si>
    <t>GRE0765</t>
  </si>
  <si>
    <t>Zerdilas</t>
  </si>
  <si>
    <t>GRE0766</t>
  </si>
  <si>
    <t>GRE0767</t>
  </si>
  <si>
    <t>Konidaris</t>
  </si>
  <si>
    <t>GRE0768</t>
  </si>
  <si>
    <t>GRE0769</t>
  </si>
  <si>
    <t>Filipoppoulos</t>
  </si>
  <si>
    <t>GRE0770</t>
  </si>
  <si>
    <t>GRE0771</t>
  </si>
  <si>
    <t>Ntais</t>
  </si>
  <si>
    <t>GRE0772</t>
  </si>
  <si>
    <t>GRE0773</t>
  </si>
  <si>
    <t>Dimitriadis</t>
  </si>
  <si>
    <t>GRE0774</t>
  </si>
  <si>
    <t>Chaliotis</t>
  </si>
  <si>
    <t>GRE0775</t>
  </si>
  <si>
    <t>GRE0776</t>
  </si>
  <si>
    <t>Papathomas</t>
  </si>
  <si>
    <t>GRE0777</t>
  </si>
  <si>
    <t>Dementis</t>
  </si>
  <si>
    <t>GRE0778</t>
  </si>
  <si>
    <t>Karasavvas</t>
  </si>
  <si>
    <t>GRE0779</t>
  </si>
  <si>
    <t>Stergiopoulos</t>
  </si>
  <si>
    <t>GRE0780</t>
  </si>
  <si>
    <t>Papadimas</t>
  </si>
  <si>
    <t>GRE0781</t>
  </si>
  <si>
    <t>GRE0783</t>
  </si>
  <si>
    <t>Giannoulas</t>
  </si>
  <si>
    <t>GRE0784</t>
  </si>
  <si>
    <t>Ellinas</t>
  </si>
  <si>
    <t>Fanis</t>
  </si>
  <si>
    <t>GRE0785</t>
  </si>
  <si>
    <t>Efthimis</t>
  </si>
  <si>
    <t>GRE0786</t>
  </si>
  <si>
    <t>Ellina</t>
  </si>
  <si>
    <t>GRE0787</t>
  </si>
  <si>
    <t>Harman</t>
  </si>
  <si>
    <t>Menashe</t>
  </si>
  <si>
    <t>ISR0036</t>
  </si>
  <si>
    <t>Kingston</t>
  </si>
  <si>
    <t>ISR0039</t>
  </si>
  <si>
    <t>ASD Alba Subbuteo Roma</t>
  </si>
  <si>
    <t>Pinco Devils TS</t>
  </si>
  <si>
    <t>SS Lazio TFC</t>
  </si>
  <si>
    <t>Black Rose Roma</t>
  </si>
  <si>
    <t>SC Labronico</t>
  </si>
  <si>
    <t>ASD CT Aosta Warriors</t>
  </si>
  <si>
    <t>ITA3263</t>
  </si>
  <si>
    <t>Chiapolino</t>
  </si>
  <si>
    <t>ITA3262</t>
  </si>
  <si>
    <t>Cucit</t>
  </si>
  <si>
    <t>ITA0257</t>
  </si>
  <si>
    <t>D'arco</t>
  </si>
  <si>
    <t>Meo (04)</t>
  </si>
  <si>
    <t>Stellato</t>
  </si>
  <si>
    <t>ITA0831</t>
  </si>
  <si>
    <t>Cs Firenze</t>
  </si>
  <si>
    <t>Allegria</t>
  </si>
  <si>
    <t>ITA2720</t>
  </si>
  <si>
    <t>JPN001</t>
  </si>
  <si>
    <t>Wada</t>
  </si>
  <si>
    <t>Hideaki</t>
  </si>
  <si>
    <t>JPN003</t>
  </si>
  <si>
    <t>OSC Yamato Wild Blue TFC</t>
  </si>
  <si>
    <t>Ikeya</t>
  </si>
  <si>
    <t>Tomoyoshi</t>
  </si>
  <si>
    <t>JPN014</t>
  </si>
  <si>
    <t>Horino</t>
  </si>
  <si>
    <t>Naruhisa</t>
  </si>
  <si>
    <t>JPN031</t>
  </si>
  <si>
    <t>Osaka TFC</t>
  </si>
  <si>
    <t>Nanami</t>
  </si>
  <si>
    <t>JPN057</t>
  </si>
  <si>
    <t>Abelia TFC</t>
  </si>
  <si>
    <t>Tokyo Sunzeol TFC</t>
  </si>
  <si>
    <t>Martini</t>
  </si>
  <si>
    <t>JPN153</t>
  </si>
  <si>
    <t>Tomoki</t>
  </si>
  <si>
    <t>Ito</t>
  </si>
  <si>
    <t>Caline</t>
  </si>
  <si>
    <t>JPN161</t>
  </si>
  <si>
    <t>Nishi</t>
  </si>
  <si>
    <t>Manabu</t>
  </si>
  <si>
    <t>JPN162</t>
  </si>
  <si>
    <t>Miaki</t>
  </si>
  <si>
    <t>JPN163</t>
  </si>
  <si>
    <t>Gomi</t>
  </si>
  <si>
    <t>Yohei</t>
  </si>
  <si>
    <t>JPN164</t>
  </si>
  <si>
    <t>Hideki</t>
  </si>
  <si>
    <t>Okada</t>
  </si>
  <si>
    <t>Hiroyuki</t>
  </si>
  <si>
    <t>JPN168</t>
  </si>
  <si>
    <t>Nakai</t>
  </si>
  <si>
    <t>Hidenori</t>
  </si>
  <si>
    <t>JPN169</t>
  </si>
  <si>
    <t>Ismaël</t>
  </si>
  <si>
    <t>Larson</t>
  </si>
  <si>
    <t>MLT0139</t>
  </si>
  <si>
    <t>MLT0140</t>
  </si>
  <si>
    <t>McKane</t>
  </si>
  <si>
    <t>McIlroy</t>
  </si>
  <si>
    <t>Jenkins</t>
  </si>
  <si>
    <t>Dee</t>
  </si>
  <si>
    <t>NIR0032</t>
  </si>
  <si>
    <t>CF OS Belenenses</t>
  </si>
  <si>
    <t>Moura</t>
  </si>
  <si>
    <t>POR0230</t>
  </si>
  <si>
    <t>Pinho</t>
  </si>
  <si>
    <t>Inês</t>
  </si>
  <si>
    <t>POR0231</t>
  </si>
  <si>
    <t>Cruz</t>
  </si>
  <si>
    <t>Francisca</t>
  </si>
  <si>
    <t>POR0232</t>
  </si>
  <si>
    <t>POR0233</t>
  </si>
  <si>
    <t>Ribeiro</t>
  </si>
  <si>
    <t>Martim</t>
  </si>
  <si>
    <t>POR0234</t>
  </si>
  <si>
    <t>Bento</t>
  </si>
  <si>
    <t>POR0235</t>
  </si>
  <si>
    <t>Ãcuna</t>
  </si>
  <si>
    <t>POR0236</t>
  </si>
  <si>
    <t>POR0237</t>
  </si>
  <si>
    <t>POR0238</t>
  </si>
  <si>
    <t>Kushmyruk</t>
  </si>
  <si>
    <t>POR0239</t>
  </si>
  <si>
    <t>POR0240</t>
  </si>
  <si>
    <t>POR0244</t>
  </si>
  <si>
    <t>POR0246</t>
  </si>
  <si>
    <t>IRL0001</t>
  </si>
  <si>
    <t>IRL0002</t>
  </si>
  <si>
    <t>Flanders SC</t>
  </si>
  <si>
    <t>IRL0003</t>
  </si>
  <si>
    <t>IRL0004</t>
  </si>
  <si>
    <t>IRL0005</t>
  </si>
  <si>
    <t>IRL0006</t>
  </si>
  <si>
    <t>IRL0007</t>
  </si>
  <si>
    <t>IRL0010</t>
  </si>
  <si>
    <t>IRL0011</t>
  </si>
  <si>
    <t>IRL0012</t>
  </si>
  <si>
    <t>Kaliszewski</t>
  </si>
  <si>
    <t>IRL0013</t>
  </si>
  <si>
    <t>Fiona</t>
  </si>
  <si>
    <t>IRL0014</t>
  </si>
  <si>
    <t>Cian</t>
  </si>
  <si>
    <t>IRL0015</t>
  </si>
  <si>
    <t>IRL0016</t>
  </si>
  <si>
    <t>Gallagher</t>
  </si>
  <si>
    <t>Colm</t>
  </si>
  <si>
    <t>IRL0017</t>
  </si>
  <si>
    <t>Dundee Utd TFC</t>
  </si>
  <si>
    <t>SCO0021</t>
  </si>
  <si>
    <t>Chad</t>
  </si>
  <si>
    <t>SCO0073</t>
  </si>
  <si>
    <t>SCO0074</t>
  </si>
  <si>
    <t>SCO0075</t>
  </si>
  <si>
    <t>SCO0076</t>
  </si>
  <si>
    <t>Dalgleish</t>
  </si>
  <si>
    <t>SCO0077</t>
  </si>
  <si>
    <t>Lynch</t>
  </si>
  <si>
    <t>SCO0078</t>
  </si>
  <si>
    <t>SCO0079</t>
  </si>
  <si>
    <t>SCO0080</t>
  </si>
  <si>
    <t>GlasgowTSA</t>
  </si>
  <si>
    <t>Singh</t>
  </si>
  <si>
    <t>Melvindepal</t>
  </si>
  <si>
    <t>SGP0147</t>
  </si>
  <si>
    <t>Rei</t>
  </si>
  <si>
    <t>SGP0148</t>
  </si>
  <si>
    <t>SG LIons TFC</t>
  </si>
  <si>
    <t>SGP0149</t>
  </si>
  <si>
    <t>SUI007</t>
  </si>
  <si>
    <t>subbuteo.ch</t>
  </si>
  <si>
    <t>Maxwell S</t>
  </si>
  <si>
    <t>SUI008</t>
  </si>
  <si>
    <t>SUI011</t>
  </si>
  <si>
    <t>SP Aargau-Süd</t>
  </si>
  <si>
    <t>SUI012</t>
  </si>
  <si>
    <t>SUI014</t>
  </si>
  <si>
    <t>SUI019</t>
  </si>
  <si>
    <t>SUI023</t>
  </si>
  <si>
    <t>SUI027</t>
  </si>
  <si>
    <t>Subbuteo Basel Utd</t>
  </si>
  <si>
    <t>SUI029</t>
  </si>
  <si>
    <t>SUI031</t>
  </si>
  <si>
    <t>SUI051</t>
  </si>
  <si>
    <t>SUI052</t>
  </si>
  <si>
    <t>Abdelmaneum</t>
  </si>
  <si>
    <t>FTC CAEN</t>
  </si>
  <si>
    <t>UKR0001</t>
  </si>
  <si>
    <t>UKR</t>
  </si>
  <si>
    <t>BÉTHENCOURT</t>
  </si>
  <si>
    <t>UKR0002</t>
  </si>
  <si>
    <t>Alliance française d'Odessa</t>
  </si>
  <si>
    <t>POPOV</t>
  </si>
  <si>
    <t>UKR0003</t>
  </si>
  <si>
    <t>TSYBENKO</t>
  </si>
  <si>
    <t>Miroslava</t>
  </si>
  <si>
    <t>UKR0004</t>
  </si>
  <si>
    <t>KOZAK</t>
  </si>
  <si>
    <t>Denys</t>
  </si>
  <si>
    <t>UKR0005</t>
  </si>
  <si>
    <t>PROKHORENKO</t>
  </si>
  <si>
    <t>Iryna</t>
  </si>
  <si>
    <t>UKR0006</t>
  </si>
  <si>
    <t>De Leon</t>
  </si>
  <si>
    <t>USA0078</t>
  </si>
  <si>
    <t>Drake</t>
  </si>
  <si>
    <t>USA0181</t>
  </si>
  <si>
    <t>St Louis SL</t>
  </si>
  <si>
    <t>North Alabama SA</t>
  </si>
  <si>
    <t>Oklahoma Utd TSC</t>
  </si>
  <si>
    <t>Rice</t>
  </si>
  <si>
    <t>USA0382</t>
  </si>
  <si>
    <t>McCaulley</t>
  </si>
  <si>
    <t>Indiana TSC</t>
  </si>
  <si>
    <t>CJ</t>
  </si>
  <si>
    <t>USA0112</t>
  </si>
  <si>
    <t>USA0424</t>
  </si>
  <si>
    <t>USA0425</t>
  </si>
  <si>
    <t>USA0426</t>
  </si>
  <si>
    <t>USA0427</t>
  </si>
  <si>
    <t>Merrilees-Kelly</t>
  </si>
  <si>
    <t>spf</t>
  </si>
  <si>
    <t>scf</t>
  </si>
  <si>
    <t>mbs</t>
  </si>
  <si>
    <t>ldn</t>
  </si>
  <si>
    <t>CHASERS (Chadwell Heath &amp; South Essex, Romford Subbuteo) Club</t>
  </si>
  <si>
    <t>chs</t>
  </si>
  <si>
    <t>ENGC080</t>
  </si>
  <si>
    <t>Chesterfield TFC</t>
  </si>
  <si>
    <t>che</t>
  </si>
  <si>
    <t>ENGC081</t>
  </si>
  <si>
    <t>dra</t>
  </si>
  <si>
    <t>ESPC024</t>
  </si>
  <si>
    <t>Subbuteo Club Almería</t>
  </si>
  <si>
    <t>alm</t>
  </si>
  <si>
    <t>ESPC025</t>
  </si>
  <si>
    <t>cca</t>
  </si>
  <si>
    <t>FRAC022</t>
  </si>
  <si>
    <t>ssp</t>
  </si>
  <si>
    <t>GERC028</t>
  </si>
  <si>
    <t>Barcellona Calcio Tavolo</t>
  </si>
  <si>
    <t>tos</t>
  </si>
  <si>
    <t>osa</t>
  </si>
  <si>
    <t>yam</t>
  </si>
  <si>
    <t>IRLC001</t>
  </si>
  <si>
    <t>ukr</t>
  </si>
  <si>
    <t>UKTC001</t>
  </si>
  <si>
    <t>heb</t>
  </si>
  <si>
    <t>GUAGLIARDI</t>
  </si>
  <si>
    <t>DE JONG - HUIJERS</t>
  </si>
  <si>
    <t>LINQUERCQ-RIVIÈRE</t>
  </si>
  <si>
    <t>BOUZID</t>
  </si>
  <si>
    <t>GALLEZ</t>
  </si>
  <si>
    <t>Northern Phoenix Table Football_x000D_
_x000D_
Club</t>
  </si>
  <si>
    <t>BEGGS</t>
  </si>
  <si>
    <t>NASKOS</t>
  </si>
  <si>
    <t>WADA</t>
  </si>
  <si>
    <t>OFFMANN</t>
  </si>
  <si>
    <t>LAMPITT</t>
  </si>
  <si>
    <t>GAZZOLDI</t>
  </si>
  <si>
    <t>FITZPATRICK</t>
  </si>
  <si>
    <t>WATSON</t>
  </si>
  <si>
    <t>DE SCHUYTENEER</t>
  </si>
  <si>
    <t>MARTINI</t>
  </si>
  <si>
    <t>CRASSET</t>
  </si>
  <si>
    <t>MAC EÓ</t>
  </si>
  <si>
    <t>SEPE</t>
  </si>
  <si>
    <t>MONDO</t>
  </si>
  <si>
    <t>HEREDIA</t>
  </si>
  <si>
    <t>BELCHER</t>
  </si>
  <si>
    <t>GOUTZIOULIS</t>
  </si>
  <si>
    <t>POUFFET</t>
  </si>
  <si>
    <t>LEGALL</t>
  </si>
  <si>
    <t>BALARD</t>
  </si>
  <si>
    <t>SKOURTSOS</t>
  </si>
  <si>
    <t>BASTIN</t>
  </si>
  <si>
    <t>GIAMBELLUCA</t>
  </si>
  <si>
    <t>TORINI</t>
  </si>
  <si>
    <t>GLADMAN</t>
  </si>
  <si>
    <t>EXARCHOU</t>
  </si>
  <si>
    <t>LYTRAS</t>
  </si>
  <si>
    <t>EVANGELISTI</t>
  </si>
  <si>
    <t>EDESON</t>
  </si>
  <si>
    <t>LO IACONO</t>
  </si>
  <si>
    <t>BUSSOTTI</t>
  </si>
  <si>
    <t>WILSON</t>
  </si>
  <si>
    <t>MAIANDI</t>
  </si>
  <si>
    <t>GUASTELLA</t>
  </si>
  <si>
    <t>BERGAMASCO</t>
  </si>
  <si>
    <t>CHIAPOLINO</t>
  </si>
  <si>
    <t>VISANI</t>
  </si>
  <si>
    <t>FONTANA</t>
  </si>
  <si>
    <t>CHALIOTIS</t>
  </si>
  <si>
    <t>KARASAVVAS</t>
  </si>
  <si>
    <t>LANZANI</t>
  </si>
  <si>
    <t>UCHA</t>
  </si>
  <si>
    <t>MICHELETTI</t>
  </si>
  <si>
    <t>TARRY</t>
  </si>
  <si>
    <t>GREGORY</t>
  </si>
  <si>
    <t>AMARO</t>
  </si>
  <si>
    <t>MCKENZIE</t>
  </si>
  <si>
    <t>NANNI</t>
  </si>
  <si>
    <t>KALISZEWSKI</t>
  </si>
  <si>
    <t>MCCANN</t>
  </si>
  <si>
    <t>GUARINO</t>
  </si>
  <si>
    <t>TAYLOR</t>
  </si>
  <si>
    <t>DOHERTY</t>
  </si>
  <si>
    <t>CURTIS</t>
  </si>
  <si>
    <t>SINGH</t>
  </si>
  <si>
    <t>RICE</t>
  </si>
  <si>
    <t>LUI</t>
  </si>
  <si>
    <t>MORGAN</t>
  </si>
  <si>
    <t>ITO</t>
  </si>
  <si>
    <t>NISHI</t>
  </si>
  <si>
    <t>GONINAN</t>
  </si>
  <si>
    <t>BUCCHERI</t>
  </si>
  <si>
    <t>MATIAS</t>
  </si>
  <si>
    <t>JAMIESON</t>
  </si>
  <si>
    <t>WELBY</t>
  </si>
  <si>
    <t>BURFORD</t>
  </si>
  <si>
    <t>RODGERS</t>
  </si>
  <si>
    <t>GOMI</t>
  </si>
  <si>
    <t>O’BRIEN</t>
  </si>
  <si>
    <t>HESLOP</t>
  </si>
  <si>
    <t>WERNER</t>
  </si>
  <si>
    <t>IKEYA</t>
  </si>
  <si>
    <t>QUER</t>
  </si>
  <si>
    <t>OKADA</t>
  </si>
  <si>
    <t>NAKAI</t>
  </si>
  <si>
    <t>BORBONES</t>
  </si>
  <si>
    <t>PUERTAS</t>
  </si>
  <si>
    <t>OLEASTRO</t>
  </si>
  <si>
    <t>BENTO</t>
  </si>
  <si>
    <t>SPYROPOULOS</t>
  </si>
  <si>
    <t>DEL BEN</t>
  </si>
  <si>
    <t>KONIDARIS</t>
  </si>
  <si>
    <t>ELLINA</t>
  </si>
  <si>
    <t>DA RE</t>
  </si>
  <si>
    <t>BARNOLA</t>
  </si>
  <si>
    <t>AUSSET</t>
  </si>
  <si>
    <t>DE JONG</t>
  </si>
  <si>
    <t>COLOSSI</t>
  </si>
  <si>
    <t>BOTTICELLI</t>
  </si>
  <si>
    <t>JALBERT</t>
  </si>
  <si>
    <t>ADAMS</t>
  </si>
  <si>
    <t>TRICHOT</t>
  </si>
  <si>
    <t>CAZALA</t>
  </si>
  <si>
    <t>MARSHALL</t>
  </si>
  <si>
    <t>MURA</t>
  </si>
  <si>
    <t>QUATTRINI</t>
  </si>
  <si>
    <t>AZZARO</t>
  </si>
  <si>
    <t>ZOLFANELLI</t>
  </si>
  <si>
    <t>LOAREC</t>
  </si>
  <si>
    <t>STAMOULIS</t>
  </si>
  <si>
    <t>SMALDONE</t>
  </si>
  <si>
    <t>COSTANTINO</t>
  </si>
  <si>
    <t>ZAMMIT PAVIA</t>
  </si>
  <si>
    <t>PONTIKOPOULOS</t>
  </si>
  <si>
    <t>AUSTIN</t>
  </si>
  <si>
    <t>MARABELLO</t>
  </si>
  <si>
    <t>Team C</t>
  </si>
  <si>
    <t>Team D</t>
  </si>
  <si>
    <t>11.0</t>
  </si>
  <si>
    <t>A9</t>
  </si>
  <si>
    <t>A10</t>
  </si>
  <si>
    <t xml:space="preserve">New group formula for order of matches and equity for "home" games (see 2023 Organisers Handbook version)
New GMFT logo - Many thanks to Skander Farza ! </t>
  </si>
  <si>
    <t>Cet outil a pour but d'aider à la gestion des matches lors des compétitions. L'objectif visé est de permettre aux organisateurs de se concentrer sur la compétition en se reposant sur un outil qui permet de planifier les épreuves (horaires, tables, arbitres) et de calculer automatiquement en temps réel les classements, les tours successifs, parfois même les arbitres pour les épreuves en auto-arbitrage.
En l'absence de Manuel Uitilisateur pour l'instant, nous vous conseillons vivement de contacter son auteur (gmftinfo@gmail.com) pour vous aider à mettre en oeuvre l'outil pour votre compétition.
En espérant que cet outil vous sera utile !</t>
  </si>
  <si>
    <t>This tools aims to help the management of matches of a tournament. The objective is to make organizers the possibility to concentrate their efforts on the competition itself having a tool in charge of planning (hours, tables, referees) and automatic and real time computation of ranking, successive rounds, and sometimes referees for auto-refereeeing events.
Without User Guide for the moment, you are encouraged to contact the author (gmftinfo@gmail.com) to help you operating the tool for your tournament.
Hope you'll enjoy this tool !</t>
  </si>
  <si>
    <t>Questi strumenti mirano a contribuire alla gestione delle partite di un torneo. L'obiettivo è quello di rendere gli organizzatori la possibilità di concentrare i loro sforzi sulla concorrenza stessa con un attrezzo responsabile della pianificazione (orari, tabelle, arbitri) e calcolo automatico e in tempo reale della graduatoria, dei successivi round e talvolta gli arbitri per gli eventi autofereanti. Senza la Guida dell'utente per il momento, ti invitiamo a contattare l'autore (gmftinfo@gmail.com) per aiutarti a utilizzare lo strumento per il tuo torneo. Spero che ti piaccia!</t>
  </si>
  <si>
    <t>Esta herramienta tiene como objetivo ayudar a la gestión de partidos de un torneo. El objetivo es que los organizadores tengan la posibilidad de concentrar sus esfuerzos en la propia competición contando con una herramienta encargada de la planificación (horas, tablas, árbitros) y cómputo automático y en tiempo real de rankings, rondas sucesivas, y en ocasiones árbitros para eventos de auto-arbitraje. .
Sin la Guía del usuario por el momento, le recomendamos que se ponga en contacto con el autor (gmftinfo@gmail.com) para que le ayude a utilizar la herramienta para su torneo.
¡Espero que disfrutes de esta herramienta!</t>
  </si>
  <si>
    <t>Aquesta eina té com a objectiu ajudar a la gestió de partits d'un torneig. L'objectiu és que els organitzadors tinguin la possibilitat de concentrar els seus esforços en la mateixa competició comptant amb una eina encarregada de la planificació (hores, taules, àrbitres) i còmput automàtic i en temps real de rànquings, rondes successives, i en ocasions àrbitres per esdeveniments d'auto-arbitratge. .
Sense la Guia de l'usuari de moment, us recomanem que us poseu en contacte amb l'autor (gmftinfo@gmail.com) perquè l'ajudi a utilitzar l'eina per a la seva torneig.
Espero que gaudeixis d'aquesta eina!</t>
  </si>
  <si>
    <t>Advertencia: algunos de sus eventos no se tendrán en cuenta para la exportación; solo se procesarán los siguientes eventos: Abierto, Veteranos, Damas, Sub 20, Sub 16, Sub 12, Equipos, Consolación</t>
  </si>
  <si>
    <t>Avís: alguns dels vostres esdeveniments no es tindran en compte per a l'exportació; només es processaran els esdeveniments següents: Open, Veterans, Dones, U20, U16, U12, Equips, Consolació</t>
  </si>
  <si>
    <t>12.0</t>
  </si>
  <si>
    <t>Compatibility of GMFT with new FISTF Event Results file - FISTF-Event-Report-Template-2023-V2.3</t>
  </si>
  <si>
    <t>12.1</t>
  </si>
  <si>
    <t>Minor corrections for Teams Checkin help form &amp; Parameters sheet</t>
  </si>
  <si>
    <t>12.2</t>
  </si>
  <si>
    <t>Bug correction : Details in Teams group of 5 ranking</t>
  </si>
  <si>
    <t>Compatibility of GMFT with new FISTF Event Results file - FISTF-Event-Report-Template-2023-V2.5</t>
  </si>
  <si>
    <t>13.1</t>
  </si>
  <si>
    <t>Compatibility of GMFT with new FISTF Event Results file - FISTF-Event-Report-Template-2023-V4.0.1</t>
  </si>
  <si>
    <t>13.2</t>
  </si>
  <si>
    <t>Compatibility of GMFT with new Tournament Organisation Handbook Version 2.1 - 2023-08-26</t>
  </si>
  <si>
    <t>M1 16A - 23B</t>
  </si>
  <si>
    <t>1A - M9</t>
  </si>
  <si>
    <t>M2 17A - 22B</t>
  </si>
  <si>
    <t>M1 - M2</t>
  </si>
  <si>
    <t>M3 20A - 19B</t>
  </si>
  <si>
    <t>9A - M5</t>
  </si>
  <si>
    <t>M4 21A - 18B</t>
  </si>
  <si>
    <t>8A - M6</t>
  </si>
  <si>
    <t>M5 24A - 15B</t>
  </si>
  <si>
    <t>5A - M7</t>
  </si>
  <si>
    <t>M6 25A - 14B</t>
  </si>
  <si>
    <t>12A - M4</t>
  </si>
  <si>
    <t>M7 2B - 11B</t>
  </si>
  <si>
    <t>13A - M3</t>
  </si>
  <si>
    <t>M8 3B - 10B</t>
  </si>
  <si>
    <t>4A - M8</t>
  </si>
  <si>
    <t>M9 6B - 7B</t>
  </si>
  <si>
    <t>3A - M17</t>
  </si>
  <si>
    <t>M10 15A - 25B</t>
  </si>
  <si>
    <t>14A - M12</t>
  </si>
  <si>
    <t>M11 18A - 24B</t>
  </si>
  <si>
    <t>11A - M13</t>
  </si>
  <si>
    <t>M12 19A - 21B</t>
  </si>
  <si>
    <t>6A - M16</t>
  </si>
  <si>
    <t>M13 22A - 20B</t>
  </si>
  <si>
    <t>7A - M15</t>
  </si>
  <si>
    <t>M14 23A - 17B</t>
  </si>
  <si>
    <t>10A - M14</t>
  </si>
  <si>
    <t>M15 1B - 16B</t>
  </si>
  <si>
    <t>M10 - M11</t>
  </si>
  <si>
    <t>M16 4B - 13B</t>
  </si>
  <si>
    <t>2A - M18</t>
  </si>
  <si>
    <t>M17 5B - 12B</t>
  </si>
  <si>
    <t>M18 8B - 9B</t>
  </si>
  <si>
    <t>M1 12A - 27B</t>
  </si>
  <si>
    <t>1A - M11</t>
  </si>
  <si>
    <t>M2 13A-26B</t>
  </si>
  <si>
    <t>M3 - M4</t>
  </si>
  <si>
    <t>M3 16A-23B</t>
  </si>
  <si>
    <t>9A - M7</t>
  </si>
  <si>
    <t>M4 17A-22B</t>
  </si>
  <si>
    <t>8A - M8</t>
  </si>
  <si>
    <t>M5 20A-19B</t>
  </si>
  <si>
    <t>5A - M9</t>
  </si>
  <si>
    <t>M6 21A-18B</t>
  </si>
  <si>
    <t>M1 - M6</t>
  </si>
  <si>
    <t>M7 24A-15B</t>
  </si>
  <si>
    <t>M2 - M5</t>
  </si>
  <si>
    <t>M8 25A-14B</t>
  </si>
  <si>
    <t>4A - M10</t>
  </si>
  <si>
    <t>M9 2B-11B</t>
  </si>
  <si>
    <t>3A - M21</t>
  </si>
  <si>
    <t>M10 3B-10B</t>
  </si>
  <si>
    <t>M11 6B-7B</t>
  </si>
  <si>
    <t>M12 - M17</t>
  </si>
  <si>
    <t>M12 11A-25B</t>
  </si>
  <si>
    <t>6A - M20</t>
  </si>
  <si>
    <t>M13 14A-24B</t>
  </si>
  <si>
    <t>7A - M19</t>
  </si>
  <si>
    <t>M14 15A-21B</t>
  </si>
  <si>
    <t>10A - M18</t>
  </si>
  <si>
    <t>M15 18A-20B</t>
  </si>
  <si>
    <t>M14 - M15</t>
  </si>
  <si>
    <t>M16 19A-17B</t>
  </si>
  <si>
    <t>2A - M22</t>
  </si>
  <si>
    <t>M17 22A-16B</t>
  </si>
  <si>
    <t>M18 23A-13B</t>
  </si>
  <si>
    <t>M19 26A-12B</t>
  </si>
  <si>
    <t>M20 27A-9B</t>
  </si>
  <si>
    <t>M21 1B-8B</t>
  </si>
  <si>
    <t>M22 4B-5B</t>
  </si>
  <si>
    <t>M1  9A - 27B</t>
  </si>
  <si>
    <t>M2  12A - 26B</t>
  </si>
  <si>
    <t>M4 - M5</t>
  </si>
  <si>
    <t>M3  13A - 23B</t>
  </si>
  <si>
    <t>M4  16A - 22B</t>
  </si>
  <si>
    <t>8A - M9</t>
  </si>
  <si>
    <t>M5  17A - 19B</t>
  </si>
  <si>
    <t>M6  20A - 18B</t>
  </si>
  <si>
    <t>M2 - M7</t>
  </si>
  <si>
    <t>M7  21A - 15B</t>
  </si>
  <si>
    <t>M8  24A - 14B</t>
  </si>
  <si>
    <t>4A - M11</t>
  </si>
  <si>
    <t>M9  25A - 11B</t>
  </si>
  <si>
    <t>3A - M23</t>
  </si>
  <si>
    <t>M10  28A - 10B</t>
  </si>
  <si>
    <t>M15 - M18</t>
  </si>
  <si>
    <t>M11  2B - 7B</t>
  </si>
  <si>
    <t>M14 - M19</t>
  </si>
  <si>
    <t>M12  3B - 6B</t>
  </si>
  <si>
    <t>6A - M22</t>
  </si>
  <si>
    <t>M13  10A - 28B</t>
  </si>
  <si>
    <t>7A - M21</t>
  </si>
  <si>
    <t>M14  11A - 25B</t>
  </si>
  <si>
    <t>M13 - M20</t>
  </si>
  <si>
    <t>M15  14A - 24B</t>
  </si>
  <si>
    <t>M16 - M17</t>
  </si>
  <si>
    <t>M16  15A - 21B</t>
  </si>
  <si>
    <t>2A - M24</t>
  </si>
  <si>
    <t>M17  18A - 20B</t>
  </si>
  <si>
    <t>M18  19A - 17B</t>
  </si>
  <si>
    <t>M19  22A - 16B</t>
  </si>
  <si>
    <t>M20  23A - 13B</t>
  </si>
  <si>
    <t>M21  26A - 12B</t>
  </si>
  <si>
    <t>M22  27A - 9B</t>
  </si>
  <si>
    <t>M23  1B - 8B</t>
  </si>
  <si>
    <t>M24  4B - 5B</t>
  </si>
  <si>
    <t>13.3</t>
  </si>
  <si>
    <t>Bug correction : bug in web export for events with match for 3rd place</t>
  </si>
  <si>
    <t>13.4</t>
  </si>
  <si>
    <t>Compatibility with FISTF-Event-Report-Template-2023-V4.6.xlsx</t>
  </si>
  <si>
    <t>Abate</t>
  </si>
  <si>
    <t>ITA3295</t>
  </si>
  <si>
    <t>Abbenante</t>
  </si>
  <si>
    <t>ITA3434</t>
  </si>
  <si>
    <t>CF os Belenenses</t>
  </si>
  <si>
    <t>Acuña Padilla</t>
  </si>
  <si>
    <t>Joan</t>
  </si>
  <si>
    <t>ESP0589</t>
  </si>
  <si>
    <t>Aggett</t>
  </si>
  <si>
    <t>ENG0539</t>
  </si>
  <si>
    <t>Agirmo</t>
  </si>
  <si>
    <t>ITA0918</t>
  </si>
  <si>
    <t>Agostinelli</t>
  </si>
  <si>
    <t>Paolo Matteo</t>
  </si>
  <si>
    <t>ENG0572</t>
  </si>
  <si>
    <t>Akimoto</t>
  </si>
  <si>
    <t>Hina</t>
  </si>
  <si>
    <t>JPN174</t>
  </si>
  <si>
    <t>ITA3261</t>
  </si>
  <si>
    <t>Alfaro</t>
  </si>
  <si>
    <t>ESP0477</t>
  </si>
  <si>
    <t>Allen</t>
  </si>
  <si>
    <t>ENG0545</t>
  </si>
  <si>
    <t>Amano</t>
  </si>
  <si>
    <t>Ryota</t>
  </si>
  <si>
    <t>JPN171</t>
  </si>
  <si>
    <t>Andreoni</t>
  </si>
  <si>
    <t>SCO0081</t>
  </si>
  <si>
    <t>Annese</t>
  </si>
  <si>
    <t>ITA3380</t>
  </si>
  <si>
    <t>ITA3352</t>
  </si>
  <si>
    <t>Anselmi</t>
  </si>
  <si>
    <t>ITA1577</t>
  </si>
  <si>
    <t>Antúnez</t>
  </si>
  <si>
    <t>ESP0583</t>
  </si>
  <si>
    <t>ESP0439</t>
  </si>
  <si>
    <t>Arduise</t>
  </si>
  <si>
    <t>Arivazhagan</t>
  </si>
  <si>
    <t>Nagulan</t>
  </si>
  <si>
    <t>SGP0152</t>
  </si>
  <si>
    <t>Arnaudin</t>
  </si>
  <si>
    <t>Crimson Horses</t>
  </si>
  <si>
    <t>Ashcroft</t>
  </si>
  <si>
    <t>ENG0538</t>
  </si>
  <si>
    <t>GRE0816</t>
  </si>
  <si>
    <t>Asso</t>
  </si>
  <si>
    <t>BRA0022</t>
  </si>
  <si>
    <t>Attwood</t>
  </si>
  <si>
    <t>ENG0555</t>
  </si>
  <si>
    <t>Elan Subbutéo Club de Champs-sur-Marne</t>
  </si>
  <si>
    <t>Averna</t>
  </si>
  <si>
    <t>Dafne</t>
  </si>
  <si>
    <t>ITA3374</t>
  </si>
  <si>
    <t>ITA3373</t>
  </si>
  <si>
    <t>ITA3372</t>
  </si>
  <si>
    <t>Babel</t>
  </si>
  <si>
    <t>Sumit</t>
  </si>
  <si>
    <t>Viaan</t>
  </si>
  <si>
    <t>SGP0150</t>
  </si>
  <si>
    <t>Baena</t>
  </si>
  <si>
    <t>ESP0554</t>
  </si>
  <si>
    <t>Pablo</t>
  </si>
  <si>
    <t>Bagnato</t>
  </si>
  <si>
    <t>ITA2475</t>
  </si>
  <si>
    <t>Baj</t>
  </si>
  <si>
    <t>ITA1445</t>
  </si>
  <si>
    <t>Baldacchino</t>
  </si>
  <si>
    <t>MLT145</t>
  </si>
  <si>
    <t>H`Attard SC</t>
  </si>
  <si>
    <t>Baldanzi</t>
  </si>
  <si>
    <t>ITA2983</t>
  </si>
  <si>
    <t>Balice</t>
  </si>
  <si>
    <t>ITA3458</t>
  </si>
  <si>
    <t>SC Fonte Nuova</t>
  </si>
  <si>
    <t>ITA2898</t>
  </si>
  <si>
    <t>Bambagioni</t>
  </si>
  <si>
    <t>ITA3283</t>
  </si>
  <si>
    <t>Barattucci</t>
  </si>
  <si>
    <t>ITA3314</t>
  </si>
  <si>
    <t>ITA3278</t>
  </si>
  <si>
    <t>ITA3479</t>
  </si>
  <si>
    <t>Bargilly</t>
  </si>
  <si>
    <t>CYP0029</t>
  </si>
  <si>
    <t>Barisone</t>
  </si>
  <si>
    <t>ITA2660</t>
  </si>
  <si>
    <t>Baroncini</t>
  </si>
  <si>
    <t>Valter</t>
  </si>
  <si>
    <t>ENG0557</t>
  </si>
  <si>
    <t>Barone Sánchez</t>
  </si>
  <si>
    <t>ESP0592</t>
  </si>
  <si>
    <t>A.S.D. Siracusa calcio tavolo</t>
  </si>
  <si>
    <t>Batalis</t>
  </si>
  <si>
    <t>GRE0792</t>
  </si>
  <si>
    <t>Elstow Lions TFC</t>
  </si>
  <si>
    <t>Francesca</t>
  </si>
  <si>
    <t>ENG0134</t>
  </si>
  <si>
    <t>Benecchi</t>
  </si>
  <si>
    <t>ITA2714</t>
  </si>
  <si>
    <t>F.lli Bari Reggio Emilia</t>
  </si>
  <si>
    <t>ITA3484</t>
  </si>
  <si>
    <t>ITA3469</t>
  </si>
  <si>
    <t>Benedi</t>
  </si>
  <si>
    <t>USA0434</t>
  </si>
  <si>
    <t>POR0201</t>
  </si>
  <si>
    <t>FRA0290</t>
  </si>
  <si>
    <t>FTC Saint-Symphorien-sur-Coise</t>
  </si>
  <si>
    <t>FRA0291</t>
  </si>
  <si>
    <t>Daniele Emiliano</t>
  </si>
  <si>
    <t>Bernardini</t>
  </si>
  <si>
    <t>ITA3459</t>
  </si>
  <si>
    <t>ITA1424</t>
  </si>
  <si>
    <t>CS Virtus Rieti</t>
  </si>
  <si>
    <t>The Sports Table Football Club of Western Australia</t>
  </si>
  <si>
    <t>Derry City TFC</t>
  </si>
  <si>
    <t>Biliotti</t>
  </si>
  <si>
    <t>FRA0285</t>
  </si>
  <si>
    <t>Bimplis</t>
  </si>
  <si>
    <t>GRE0793</t>
  </si>
  <si>
    <t>Bin Mohamoad</t>
  </si>
  <si>
    <t>Yazid</t>
  </si>
  <si>
    <t>ENG0547</t>
  </si>
  <si>
    <t>Blanco</t>
  </si>
  <si>
    <t>ESP0584</t>
  </si>
  <si>
    <t>GER0149</t>
  </si>
  <si>
    <t>Boigeol</t>
  </si>
  <si>
    <t>Alban</t>
  </si>
  <si>
    <t>FRA0268</t>
  </si>
  <si>
    <t>Bonardi</t>
  </si>
  <si>
    <t>ITA3389</t>
  </si>
  <si>
    <t>Bond</t>
  </si>
  <si>
    <t>Jared</t>
  </si>
  <si>
    <t>USA0430</t>
  </si>
  <si>
    <t>Bondi</t>
  </si>
  <si>
    <t>ENG0566</t>
  </si>
  <si>
    <t>Boroli</t>
  </si>
  <si>
    <t>Paris Université Club</t>
  </si>
  <si>
    <t>Boschi</t>
  </si>
  <si>
    <t>ITA3063</t>
  </si>
  <si>
    <t>Bottino</t>
  </si>
  <si>
    <t>ITA3432</t>
  </si>
  <si>
    <t>Yorkshire Phoenix and Dewsbury Moor TFC</t>
  </si>
  <si>
    <t>Lochlin</t>
  </si>
  <si>
    <t>NIR0030</t>
  </si>
  <si>
    <t>Sporting Club 18</t>
  </si>
  <si>
    <t>Brandi</t>
  </si>
  <si>
    <t>ITA3340</t>
  </si>
  <si>
    <t>ITA3341</t>
  </si>
  <si>
    <t>Subbuteo Oslo</t>
  </si>
  <si>
    <t>Brescia</t>
  </si>
  <si>
    <t>ITA0133</t>
  </si>
  <si>
    <t>Brignon-Kiegl</t>
  </si>
  <si>
    <t>FRA0266</t>
  </si>
  <si>
    <t>Bronzetti</t>
  </si>
  <si>
    <t>ITA3318</t>
  </si>
  <si>
    <t>Granducato Subbuteo</t>
  </si>
  <si>
    <t>ITA1710</t>
  </si>
  <si>
    <t>ASD Siracusa Calcio Tavolo</t>
  </si>
  <si>
    <t>Bucci</t>
  </si>
  <si>
    <t>ITA2827</t>
  </si>
  <si>
    <t>Subbuteo Club Pescara</t>
  </si>
  <si>
    <t>Buonansegna</t>
  </si>
  <si>
    <t>ITA3471</t>
  </si>
  <si>
    <t>ITA3355</t>
  </si>
  <si>
    <t>ITA3354</t>
  </si>
  <si>
    <t>Buscicchio</t>
  </si>
  <si>
    <t>ITA3402</t>
  </si>
  <si>
    <t>Calcagno</t>
  </si>
  <si>
    <t>Daniele Vittorio</t>
  </si>
  <si>
    <t>ITA0147</t>
  </si>
  <si>
    <t>Caldarola</t>
  </si>
  <si>
    <t>Alessandro Giordano</t>
  </si>
  <si>
    <t>ITA3342</t>
  </si>
  <si>
    <t>Callot</t>
  </si>
  <si>
    <t>FRA0287</t>
  </si>
  <si>
    <t>ITA1778</t>
  </si>
  <si>
    <t>Canale</t>
  </si>
  <si>
    <t>ITA2627</t>
  </si>
  <si>
    <t>Cantalini</t>
  </si>
  <si>
    <t>ITA3396</t>
  </si>
  <si>
    <t>Capaccioli</t>
  </si>
  <si>
    <t>ITA3317</t>
  </si>
  <si>
    <t>Capra</t>
  </si>
  <si>
    <t>Caprioli</t>
  </si>
  <si>
    <t>ITA3398</t>
  </si>
  <si>
    <t>Carles Prat</t>
  </si>
  <si>
    <t>Ricard</t>
  </si>
  <si>
    <t>POR0250</t>
  </si>
  <si>
    <t>Carmona</t>
  </si>
  <si>
    <t>FRA0270</t>
  </si>
  <si>
    <t>Carneiro dos Santos</t>
  </si>
  <si>
    <t>Renato César</t>
  </si>
  <si>
    <t>BRA0180</t>
  </si>
  <si>
    <t>Carnino</t>
  </si>
  <si>
    <t>ITA3356</t>
  </si>
  <si>
    <t>ITA3357</t>
  </si>
  <si>
    <t>Casagrande</t>
  </si>
  <si>
    <t>Tomaso</t>
  </si>
  <si>
    <t>GRE0811</t>
  </si>
  <si>
    <t>Casale</t>
  </si>
  <si>
    <t>ITA3302</t>
  </si>
  <si>
    <t>Casini</t>
  </si>
  <si>
    <t>ITA3481</t>
  </si>
  <si>
    <t>Cassano</t>
  </si>
  <si>
    <t>Costantino Francesco</t>
  </si>
  <si>
    <t>ITA3442</t>
  </si>
  <si>
    <t>Catalucci</t>
  </si>
  <si>
    <t>ITA3476</t>
  </si>
  <si>
    <t>Causarano</t>
  </si>
  <si>
    <t>ITA3473</t>
  </si>
  <si>
    <t>Cavanna Cavanna</t>
  </si>
  <si>
    <t>ITA1213</t>
  </si>
  <si>
    <t>Challinor</t>
  </si>
  <si>
    <t>Bailey</t>
  </si>
  <si>
    <t>ENG0554</t>
  </si>
  <si>
    <t>Chamberlain</t>
  </si>
  <si>
    <t>Stu</t>
  </si>
  <si>
    <t>ENG0578</t>
  </si>
  <si>
    <t>Chapman</t>
  </si>
  <si>
    <t>Hadley</t>
  </si>
  <si>
    <t>ENG0524</t>
  </si>
  <si>
    <t>GRE0813</t>
  </si>
  <si>
    <t>Chianale</t>
  </si>
  <si>
    <t>ITA3450</t>
  </si>
  <si>
    <t>Chiappetta</t>
  </si>
  <si>
    <t>Chiara</t>
  </si>
  <si>
    <t>ITA0954</t>
  </si>
  <si>
    <t>ITA1483</t>
  </si>
  <si>
    <t>Chiovari</t>
  </si>
  <si>
    <t>ITA2433</t>
  </si>
  <si>
    <t>Chiti</t>
  </si>
  <si>
    <t>ITA3488</t>
  </si>
  <si>
    <t>Christoforou</t>
  </si>
  <si>
    <t>Kleanthos</t>
  </si>
  <si>
    <t>CYP0032</t>
  </si>
  <si>
    <t>Cinque</t>
  </si>
  <si>
    <t>ITA1669</t>
  </si>
  <si>
    <t>Citrigno</t>
  </si>
  <si>
    <t>ITA1053</t>
  </si>
  <si>
    <t>ENG0510</t>
  </si>
  <si>
    <t>Clarke</t>
  </si>
  <si>
    <t>Daz</t>
  </si>
  <si>
    <t>ENG0518</t>
  </si>
  <si>
    <t>ITA0228</t>
  </si>
  <si>
    <t>Colwell</t>
  </si>
  <si>
    <t>ENG0530</t>
  </si>
  <si>
    <t>Northern Line Flickers TFC</t>
  </si>
  <si>
    <t>IRL0019</t>
  </si>
  <si>
    <t>Convery</t>
  </si>
  <si>
    <t>Donal</t>
  </si>
  <si>
    <t>NIR0033</t>
  </si>
  <si>
    <t>Cooper</t>
  </si>
  <si>
    <t>ENG0541</t>
  </si>
  <si>
    <t>Cope</t>
  </si>
  <si>
    <t>ENG0571</t>
  </si>
  <si>
    <t>Coppolino</t>
  </si>
  <si>
    <t>ITA2059</t>
  </si>
  <si>
    <t>ITA3275</t>
  </si>
  <si>
    <t>Coquillon</t>
  </si>
  <si>
    <t>Coriani</t>
  </si>
  <si>
    <t>Barbara</t>
  </si>
  <si>
    <t>ITA2171</t>
  </si>
  <si>
    <t>Corsi</t>
  </si>
  <si>
    <t>Lanfranco</t>
  </si>
  <si>
    <t>ITA2651</t>
  </si>
  <si>
    <t>Cowdrey</t>
  </si>
  <si>
    <t>Troy</t>
  </si>
  <si>
    <t>ENG0582</t>
  </si>
  <si>
    <t>Criserà</t>
  </si>
  <si>
    <t>ITA3371</t>
  </si>
  <si>
    <t>Crocetti</t>
  </si>
  <si>
    <t>ITA3388</t>
  </si>
  <si>
    <t>Crupi</t>
  </si>
  <si>
    <t>ITA3376</t>
  </si>
  <si>
    <t>ITA3375</t>
  </si>
  <si>
    <t>ITA3439</t>
  </si>
  <si>
    <t>D'adamo</t>
  </si>
  <si>
    <t>ITA3386</t>
  </si>
  <si>
    <t>Dalcin</t>
  </si>
  <si>
    <t>BRA0023</t>
  </si>
  <si>
    <t>D'Alessandro</t>
  </si>
  <si>
    <t>ITA3351</t>
  </si>
  <si>
    <t>Dallara</t>
  </si>
  <si>
    <t>FRA0264</t>
  </si>
  <si>
    <t>Subbutéo Team Gard</t>
  </si>
  <si>
    <t>D'Andria</t>
  </si>
  <si>
    <t>Amilcare</t>
  </si>
  <si>
    <t>ITA3445</t>
  </si>
  <si>
    <t>Danovaro</t>
  </si>
  <si>
    <t>ITA3493</t>
  </si>
  <si>
    <t>Daxböck</t>
  </si>
  <si>
    <t>AUT0125</t>
  </si>
  <si>
    <t>De Angelis</t>
  </si>
  <si>
    <t>ITA3475</t>
  </si>
  <si>
    <t>De Bellis</t>
  </si>
  <si>
    <t>Antonia</t>
  </si>
  <si>
    <t>ITA3444</t>
  </si>
  <si>
    <t>De Cosmo</t>
  </si>
  <si>
    <t>ITA1286</t>
  </si>
  <si>
    <t>SC Mestre</t>
  </si>
  <si>
    <t>De Gennaro</t>
  </si>
  <si>
    <t>ITA3424</t>
  </si>
  <si>
    <t>ITA3286</t>
  </si>
  <si>
    <t>De Leonardis</t>
  </si>
  <si>
    <t>ITA3315</t>
  </si>
  <si>
    <t>De Lorenzi</t>
  </si>
  <si>
    <t>ITA3271</t>
  </si>
  <si>
    <t>ITA2899</t>
  </si>
  <si>
    <t>De Pascalis</t>
  </si>
  <si>
    <t>ITA3178</t>
  </si>
  <si>
    <t>De Sousa</t>
  </si>
  <si>
    <t>FRA0286</t>
  </si>
  <si>
    <t>Boucle de la Seine Subbutéo</t>
  </si>
  <si>
    <t>Guebwiller Alsace Subbuteo Club</t>
  </si>
  <si>
    <t>Degaetano</t>
  </si>
  <si>
    <t>Elio</t>
  </si>
  <si>
    <t>ITA3440</t>
  </si>
  <si>
    <t>Del Cambio</t>
  </si>
  <si>
    <t>ITA3468</t>
  </si>
  <si>
    <t>ITA3467</t>
  </si>
  <si>
    <t>ITA3416</t>
  </si>
  <si>
    <t>Delagarde</t>
  </si>
  <si>
    <t>FRA0283</t>
  </si>
  <si>
    <t>Delizisis</t>
  </si>
  <si>
    <t>GRE0789</t>
  </si>
  <si>
    <t>Chloé</t>
  </si>
  <si>
    <t>BEL0324</t>
  </si>
  <si>
    <t>Emilie</t>
  </si>
  <si>
    <t>BEL0061</t>
  </si>
  <si>
    <t>Destefanis</t>
  </si>
  <si>
    <t>NOR0019</t>
  </si>
  <si>
    <t>Louie</t>
  </si>
  <si>
    <t>Dhyne</t>
  </si>
  <si>
    <t>Nathanaël</t>
  </si>
  <si>
    <t>BEL0478</t>
  </si>
  <si>
    <t>Di Buono</t>
  </si>
  <si>
    <t>ITA3197</t>
  </si>
  <si>
    <t>Di Francesco</t>
  </si>
  <si>
    <t>Camillo</t>
  </si>
  <si>
    <t>ITA1169</t>
  </si>
  <si>
    <t>ITA1245</t>
  </si>
  <si>
    <t>Di Lernia</t>
  </si>
  <si>
    <t>ITA0304</t>
  </si>
  <si>
    <t>ITA3366</t>
  </si>
  <si>
    <t>ITA3291</t>
  </si>
  <si>
    <t>Silvestro</t>
  </si>
  <si>
    <t>ITA0307</t>
  </si>
  <si>
    <t>Jury</t>
  </si>
  <si>
    <t>ITA3333</t>
  </si>
  <si>
    <t>POR0140</t>
  </si>
  <si>
    <t>Diéguez</t>
  </si>
  <si>
    <t>José Mª</t>
  </si>
  <si>
    <t>ESP0590</t>
  </si>
  <si>
    <t>Diogenes</t>
  </si>
  <si>
    <t>Herculano</t>
  </si>
  <si>
    <t>POR0245</t>
  </si>
  <si>
    <t>BEL0484</t>
  </si>
  <si>
    <t>Discepoli</t>
  </si>
  <si>
    <t>ITA0309</t>
  </si>
  <si>
    <t>ENG0342</t>
  </si>
  <si>
    <t>Dolce</t>
  </si>
  <si>
    <t>Vanessa</t>
  </si>
  <si>
    <t>ITA3454</t>
  </si>
  <si>
    <t>ITA0314</t>
  </si>
  <si>
    <t>Riley</t>
  </si>
  <si>
    <t>ENG0549</t>
  </si>
  <si>
    <t>Dujardin</t>
  </si>
  <si>
    <t>FRA0278</t>
  </si>
  <si>
    <t>Durandeau</t>
  </si>
  <si>
    <t>FRA0284</t>
  </si>
  <si>
    <t>Edwards</t>
  </si>
  <si>
    <t>ENG0544</t>
  </si>
  <si>
    <t>Ellaway</t>
  </si>
  <si>
    <t>ENG0558</t>
  </si>
  <si>
    <t>ENG0561</t>
  </si>
  <si>
    <t>Elmensaoui</t>
  </si>
  <si>
    <t>GRE0822</t>
  </si>
  <si>
    <t>Elton</t>
  </si>
  <si>
    <t>IRL0018</t>
  </si>
  <si>
    <t>Eskitzis</t>
  </si>
  <si>
    <t>GRE0815</t>
  </si>
  <si>
    <t>GRE0817</t>
  </si>
  <si>
    <t>Espada</t>
  </si>
  <si>
    <t>Everitt</t>
  </si>
  <si>
    <t>ENG0527</t>
  </si>
  <si>
    <t>Kettering Flicking Marvellous</t>
  </si>
  <si>
    <t>GRE0788</t>
  </si>
  <si>
    <t>Fabbri</t>
  </si>
  <si>
    <t>ITA3324</t>
  </si>
  <si>
    <t>Fairbrother</t>
  </si>
  <si>
    <t>ENG0351</t>
  </si>
  <si>
    <t>Faucher</t>
  </si>
  <si>
    <t>Clement</t>
  </si>
  <si>
    <t>FRA0276</t>
  </si>
  <si>
    <t>Guillaume</t>
  </si>
  <si>
    <t>FRA0274</t>
  </si>
  <si>
    <t>FRA0275</t>
  </si>
  <si>
    <t>Favier</t>
  </si>
  <si>
    <t>FRA0217</t>
  </si>
  <si>
    <t>Ilaria</t>
  </si>
  <si>
    <t>ITA3313</t>
  </si>
  <si>
    <t>Felici</t>
  </si>
  <si>
    <t>ITA3492</t>
  </si>
  <si>
    <t>ENG0515</t>
  </si>
  <si>
    <t>Sc Fiamme Azzurre</t>
  </si>
  <si>
    <t>Ferranti</t>
  </si>
  <si>
    <t>ITA3452</t>
  </si>
  <si>
    <t>ITA3451</t>
  </si>
  <si>
    <t>ITA3344</t>
  </si>
  <si>
    <t>ITA1517</t>
  </si>
  <si>
    <t>Fida</t>
  </si>
  <si>
    <t>ITA3482</t>
  </si>
  <si>
    <t>Filippella Nasti</t>
  </si>
  <si>
    <t>FRA0288</t>
  </si>
  <si>
    <t>Fioretti</t>
  </si>
  <si>
    <t>Ermanno Junior</t>
  </si>
  <si>
    <t>ITA1752</t>
  </si>
  <si>
    <t>Fitch</t>
  </si>
  <si>
    <t>ENG0579</t>
  </si>
  <si>
    <t>Elliot</t>
  </si>
  <si>
    <t>IRL0024</t>
  </si>
  <si>
    <t>Flammini</t>
  </si>
  <si>
    <t>ITA3334</t>
  </si>
  <si>
    <t>Florita</t>
  </si>
  <si>
    <t>ITA3425</t>
  </si>
  <si>
    <t>Foechterle</t>
  </si>
  <si>
    <t>Martial</t>
  </si>
  <si>
    <t>FRA0267</t>
  </si>
  <si>
    <t>Fontes</t>
  </si>
  <si>
    <t>POR0249</t>
  </si>
  <si>
    <t>Fornaciai</t>
  </si>
  <si>
    <t>ITA2416</t>
  </si>
  <si>
    <t>Franciolini</t>
  </si>
  <si>
    <t>ITA3436</t>
  </si>
  <si>
    <t>ENG0573</t>
  </si>
  <si>
    <t>Frascaroli</t>
  </si>
  <si>
    <t>ITA3405</t>
  </si>
  <si>
    <t>Fratini</t>
  </si>
  <si>
    <t>ITA3457</t>
  </si>
  <si>
    <t>Fromweiler</t>
  </si>
  <si>
    <t>Fujisão</t>
  </si>
  <si>
    <t>BRA0092</t>
  </si>
  <si>
    <t>Fukuoka</t>
  </si>
  <si>
    <t>Katsuhiko</t>
  </si>
  <si>
    <t>JPN072</t>
  </si>
  <si>
    <t>ITA3346</t>
  </si>
  <si>
    <t>Gähwiler</t>
  </si>
  <si>
    <t>Clinton</t>
  </si>
  <si>
    <t>SUI053</t>
  </si>
  <si>
    <t>Cape Town City Subbuteo Club</t>
  </si>
  <si>
    <t>Galli</t>
  </si>
  <si>
    <t>ITA3303</t>
  </si>
  <si>
    <t>ITA3129</t>
  </si>
  <si>
    <t>Garagnani</t>
  </si>
  <si>
    <t>Stefania</t>
  </si>
  <si>
    <t>ITA3486</t>
  </si>
  <si>
    <t>Alejandro</t>
  </si>
  <si>
    <t>ESP0588</t>
  </si>
  <si>
    <t>García Corredera</t>
  </si>
  <si>
    <t>ESP0603</t>
  </si>
  <si>
    <t>ESP0459</t>
  </si>
  <si>
    <t>Gauthier</t>
  </si>
  <si>
    <t>Gauvin</t>
  </si>
  <si>
    <t>FRA0293</t>
  </si>
  <si>
    <t>Gazzaniga</t>
  </si>
  <si>
    <t>ITA3363</t>
  </si>
  <si>
    <t>ITA3362</t>
  </si>
  <si>
    <t>Generali</t>
  </si>
  <si>
    <t>ITA3448</t>
  </si>
  <si>
    <t>Genna</t>
  </si>
  <si>
    <t>ITA3462</t>
  </si>
  <si>
    <t>Genvo</t>
  </si>
  <si>
    <t>RC Lorraine Subbuteo Club</t>
  </si>
  <si>
    <t>GRE0803</t>
  </si>
  <si>
    <t>Geretto</t>
  </si>
  <si>
    <t>Giambelluca</t>
  </si>
  <si>
    <t>Gianoglio</t>
  </si>
  <si>
    <t>NOR0021</t>
  </si>
  <si>
    <t>GRE0808</t>
  </si>
  <si>
    <t>GRE0825</t>
  </si>
  <si>
    <t>Augustin</t>
  </si>
  <si>
    <t>Mathis</t>
  </si>
  <si>
    <t>USA0433</t>
  </si>
  <si>
    <t>Gori</t>
  </si>
  <si>
    <t>ITA1701</t>
  </si>
  <si>
    <t>Granato</t>
  </si>
  <si>
    <t>ITA0415</t>
  </si>
  <si>
    <t>Greer</t>
  </si>
  <si>
    <t>NIR0035</t>
  </si>
  <si>
    <t>Greggi</t>
  </si>
  <si>
    <t>ITA3490</t>
  </si>
  <si>
    <t>Gregoriou</t>
  </si>
  <si>
    <t>CYP0028</t>
  </si>
  <si>
    <t>ENG0560</t>
  </si>
  <si>
    <t>Giuseppina</t>
  </si>
  <si>
    <t>ITA3377</t>
  </si>
  <si>
    <t>GER0091</t>
  </si>
  <si>
    <t>ITA3414</t>
  </si>
  <si>
    <t>ITA2820</t>
  </si>
  <si>
    <t>ITA3030</t>
  </si>
  <si>
    <t>Guio</t>
  </si>
  <si>
    <t>ITA0430</t>
  </si>
  <si>
    <t>Gulyev</t>
  </si>
  <si>
    <t>Maksim Petrovich</t>
  </si>
  <si>
    <t>RUS0001</t>
  </si>
  <si>
    <t>Gütl</t>
  </si>
  <si>
    <t>Herbert</t>
  </si>
  <si>
    <t>AUT0023</t>
  </si>
  <si>
    <t>Ivana</t>
  </si>
  <si>
    <t>SER0003</t>
  </si>
  <si>
    <t>SRB</t>
  </si>
  <si>
    <t>BEL0473</t>
  </si>
  <si>
    <t>FRA0289</t>
  </si>
  <si>
    <t>Johannes</t>
  </si>
  <si>
    <t>AUT0123</t>
  </si>
  <si>
    <t>AUT0122</t>
  </si>
  <si>
    <t>Haruka</t>
  </si>
  <si>
    <t>Harker</t>
  </si>
  <si>
    <t>Russ</t>
  </si>
  <si>
    <t>ENG0188</t>
  </si>
  <si>
    <t>Haroulis</t>
  </si>
  <si>
    <t>GRE0797</t>
  </si>
  <si>
    <t>ENG0371</t>
  </si>
  <si>
    <t>Hausmann</t>
  </si>
  <si>
    <t>AUT0117</t>
  </si>
  <si>
    <t>Heard</t>
  </si>
  <si>
    <t>AUS0208</t>
  </si>
  <si>
    <t>Heath</t>
  </si>
  <si>
    <t>Andrew Jon</t>
  </si>
  <si>
    <t>ENG0546</t>
  </si>
  <si>
    <t>Doncaster Subbuteo Club</t>
  </si>
  <si>
    <t>Heithoff</t>
  </si>
  <si>
    <t>Kurtis</t>
  </si>
  <si>
    <t>USA0428</t>
  </si>
  <si>
    <t>Heward</t>
  </si>
  <si>
    <t>ENG0074</t>
  </si>
  <si>
    <t>ENG0534</t>
  </si>
  <si>
    <t>ENG0525</t>
  </si>
  <si>
    <t>ENG0526</t>
  </si>
  <si>
    <t>ENG0123</t>
  </si>
  <si>
    <t>Horncastle</t>
  </si>
  <si>
    <t>Amy</t>
  </si>
  <si>
    <t>ENG0576</t>
  </si>
  <si>
    <t>Howat</t>
  </si>
  <si>
    <t>ENG0570</t>
  </si>
  <si>
    <t>Huet</t>
  </si>
  <si>
    <t>Olivia</t>
  </si>
  <si>
    <t>BEL0467</t>
  </si>
  <si>
    <t>ELM'Aye SC</t>
  </si>
  <si>
    <t>Iannazzo</t>
  </si>
  <si>
    <t>ITA2351</t>
  </si>
  <si>
    <t>Iazzetta</t>
  </si>
  <si>
    <t>ITA1510</t>
  </si>
  <si>
    <t>Ichiba</t>
  </si>
  <si>
    <t>Masumi</t>
  </si>
  <si>
    <t>JPN184</t>
  </si>
  <si>
    <t>Idoux</t>
  </si>
  <si>
    <t>ITA3347</t>
  </si>
  <si>
    <t>Iliadakis</t>
  </si>
  <si>
    <t>Ioannis- Georgios</t>
  </si>
  <si>
    <t>GRE0804</t>
  </si>
  <si>
    <t>Imperato</t>
  </si>
  <si>
    <t>ITA3285</t>
  </si>
  <si>
    <t>Indelli</t>
  </si>
  <si>
    <t>ITA3453</t>
  </si>
  <si>
    <t>Inverardi</t>
  </si>
  <si>
    <t>ITA3361</t>
  </si>
  <si>
    <t>Miyuki</t>
  </si>
  <si>
    <t>JPN186</t>
  </si>
  <si>
    <t>Izard</t>
  </si>
  <si>
    <t>ENG0535</t>
  </si>
  <si>
    <t>Jakubowski</t>
  </si>
  <si>
    <t>USA0431</t>
  </si>
  <si>
    <t>ENG0575</t>
  </si>
  <si>
    <t>Jan</t>
  </si>
  <si>
    <t>BEL0472</t>
  </si>
  <si>
    <t>BEL0464</t>
  </si>
  <si>
    <t>Jon Scotta</t>
  </si>
  <si>
    <t>ITA0450</t>
  </si>
  <si>
    <t>Joris</t>
  </si>
  <si>
    <t>BEL0465</t>
  </si>
  <si>
    <t>BEL0475</t>
  </si>
  <si>
    <t>BRA0020</t>
  </si>
  <si>
    <t>CFM Manolo Preciado</t>
  </si>
  <si>
    <t>Kakantousis</t>
  </si>
  <si>
    <t>GRE0805</t>
  </si>
  <si>
    <t>Kanda</t>
  </si>
  <si>
    <t>Aki</t>
  </si>
  <si>
    <t>JPN179</t>
  </si>
  <si>
    <t>Junya</t>
  </si>
  <si>
    <t>JPN181</t>
  </si>
  <si>
    <t>Kotetsu</t>
  </si>
  <si>
    <t>JPN180</t>
  </si>
  <si>
    <t>Kapelis</t>
  </si>
  <si>
    <t>GRE0806</t>
  </si>
  <si>
    <t>GRE0807</t>
  </si>
  <si>
    <t>Kaptsas</t>
  </si>
  <si>
    <t>CYP0033</t>
  </si>
  <si>
    <t>Achilles</t>
  </si>
  <si>
    <t>CYP0027</t>
  </si>
  <si>
    <t>Karnezis</t>
  </si>
  <si>
    <t>GRE0790</t>
  </si>
  <si>
    <t>Yuka</t>
  </si>
  <si>
    <t>JPN092</t>
  </si>
  <si>
    <t>Kent</t>
  </si>
  <si>
    <t>SCO0082</t>
  </si>
  <si>
    <t>Kettley</t>
  </si>
  <si>
    <t>ENG0550</t>
  </si>
  <si>
    <t>Kiely</t>
  </si>
  <si>
    <t>Drew</t>
  </si>
  <si>
    <t>ENG0562</t>
  </si>
  <si>
    <t>ENG0569</t>
  </si>
  <si>
    <t>Kimack</t>
  </si>
  <si>
    <t>USA0432</t>
  </si>
  <si>
    <t>Kinsella</t>
  </si>
  <si>
    <t>IRL0022</t>
  </si>
  <si>
    <t>Kitamura</t>
  </si>
  <si>
    <t>Yutaka</t>
  </si>
  <si>
    <t>JPN192</t>
  </si>
  <si>
    <t>Kleanthis</t>
  </si>
  <si>
    <t>CYP0025</t>
  </si>
  <si>
    <t>Knezevic</t>
  </si>
  <si>
    <t>SER0004</t>
  </si>
  <si>
    <t>Koch</t>
  </si>
  <si>
    <t>FRA0292</t>
  </si>
  <si>
    <t>König-Danielson</t>
  </si>
  <si>
    <t>GER0159</t>
  </si>
  <si>
    <t>Konno</t>
  </si>
  <si>
    <t>Keiichi</t>
  </si>
  <si>
    <t>JPN106</t>
  </si>
  <si>
    <t>Konstantopoulou</t>
  </si>
  <si>
    <t>GRE0826</t>
  </si>
  <si>
    <t>Phillipos</t>
  </si>
  <si>
    <t>GRE0802</t>
  </si>
  <si>
    <t>Kreeger</t>
  </si>
  <si>
    <t>ENG0516</t>
  </si>
  <si>
    <t>Panagiotis (05)</t>
  </si>
  <si>
    <t>Kudryashov</t>
  </si>
  <si>
    <t>Andrey Nicolaevich</t>
  </si>
  <si>
    <t>RUS0002</t>
  </si>
  <si>
    <t>La Forgia</t>
  </si>
  <si>
    <t>ITA3472</t>
  </si>
  <si>
    <t>La Pietra</t>
  </si>
  <si>
    <t>Simongiorgio</t>
  </si>
  <si>
    <t>ITA0454</t>
  </si>
  <si>
    <t>Lacey</t>
  </si>
  <si>
    <t>ENG0522</t>
  </si>
  <si>
    <t>ENG0584</t>
  </si>
  <si>
    <t>Lanci</t>
  </si>
  <si>
    <t>ITA3309</t>
  </si>
  <si>
    <t>Laporta</t>
  </si>
  <si>
    <t>ESP0004</t>
  </si>
  <si>
    <t>Lari</t>
  </si>
  <si>
    <t>ITA3392</t>
  </si>
  <si>
    <t>Larroumes</t>
  </si>
  <si>
    <t>GRE0812</t>
  </si>
  <si>
    <t>Lavrentcov</t>
  </si>
  <si>
    <t>Dmitry Valeryavich</t>
  </si>
  <si>
    <t>RUS0003</t>
  </si>
  <si>
    <t>Lebutte</t>
  </si>
  <si>
    <t>BEL0476</t>
  </si>
  <si>
    <t>Lecce</t>
  </si>
  <si>
    <t>ITA1080</t>
  </si>
  <si>
    <t>Lecerf</t>
  </si>
  <si>
    <t>Emeline</t>
  </si>
  <si>
    <t>FRA0298</t>
  </si>
  <si>
    <t>CFT Montivilliers</t>
  </si>
  <si>
    <t>FRA0297</t>
  </si>
  <si>
    <t>Ledoit</t>
  </si>
  <si>
    <t>FRA0258</t>
  </si>
  <si>
    <t>Leonard</t>
  </si>
  <si>
    <t>USA0436</t>
  </si>
  <si>
    <t>Lesne</t>
  </si>
  <si>
    <t>Vicky</t>
  </si>
  <si>
    <t>ENG0542</t>
  </si>
  <si>
    <t>Li Puma</t>
  </si>
  <si>
    <t>Vittorio Giuseppe</t>
  </si>
  <si>
    <t>ITA3491</t>
  </si>
  <si>
    <t>Licenziato</t>
  </si>
  <si>
    <t>ITA3477</t>
  </si>
  <si>
    <t>Ligos</t>
  </si>
  <si>
    <t>Limpens</t>
  </si>
  <si>
    <t>BEL0023</t>
  </si>
  <si>
    <t>Racing White Woluwé Subbuteo</t>
  </si>
  <si>
    <t>Ljubisavljevic</t>
  </si>
  <si>
    <t>AUT0124</t>
  </si>
  <si>
    <t>Nikola</t>
  </si>
  <si>
    <t>SER0002</t>
  </si>
  <si>
    <t>Longo</t>
  </si>
  <si>
    <t>Santo</t>
  </si>
  <si>
    <t>ITA1148</t>
  </si>
  <si>
    <t>Longobardi</t>
  </si>
  <si>
    <t>ITA3296</t>
  </si>
  <si>
    <t>Lopez-Real</t>
  </si>
  <si>
    <t>ENG0138</t>
  </si>
  <si>
    <t>Lorusso</t>
  </si>
  <si>
    <t>ITA3306</t>
  </si>
  <si>
    <t>Ludovici</t>
  </si>
  <si>
    <t>ITA3395</t>
  </si>
  <si>
    <t>ITA3394</t>
  </si>
  <si>
    <t>Pedmore TFC</t>
  </si>
  <si>
    <t>ITA3415</t>
  </si>
  <si>
    <t>Madeira</t>
  </si>
  <si>
    <t>Cláudio</t>
  </si>
  <si>
    <t>POR0199</t>
  </si>
  <si>
    <t>IRL0021</t>
  </si>
  <si>
    <t>Makhlouf</t>
  </si>
  <si>
    <t>Rayan</t>
  </si>
  <si>
    <t>FRA0282</t>
  </si>
  <si>
    <t>Club Stéphanois Subbuteo - ALC</t>
  </si>
  <si>
    <t>GRE0810</t>
  </si>
  <si>
    <t>Mallardi</t>
  </si>
  <si>
    <t>ITA3422</t>
  </si>
  <si>
    <t>Mandarakas</t>
  </si>
  <si>
    <t>GRE0809</t>
  </si>
  <si>
    <t>Manicoro</t>
  </si>
  <si>
    <t>Sherona</t>
  </si>
  <si>
    <t>MLT143</t>
  </si>
  <si>
    <t>Marando</t>
  </si>
  <si>
    <t>ITA2300</t>
  </si>
  <si>
    <t>Marchán</t>
  </si>
  <si>
    <t>ESP0585</t>
  </si>
  <si>
    <t>Marchi</t>
  </si>
  <si>
    <t>ITA3335</t>
  </si>
  <si>
    <t>Mariconda</t>
  </si>
  <si>
    <t>ITA3360</t>
  </si>
  <si>
    <t>Marletta</t>
  </si>
  <si>
    <t>Davide Angelo</t>
  </si>
  <si>
    <t>ITA2865</t>
  </si>
  <si>
    <t>Marlia</t>
  </si>
  <si>
    <t>Martin Aliou</t>
  </si>
  <si>
    <t>ITA3421</t>
  </si>
  <si>
    <t>ENG0574</t>
  </si>
  <si>
    <t>Martinelli</t>
  </si>
  <si>
    <t>ITA3381</t>
  </si>
  <si>
    <t>Vito Sante</t>
  </si>
  <si>
    <t>ITA3437</t>
  </si>
  <si>
    <t>Martorano</t>
  </si>
  <si>
    <t>ITA3470</t>
  </si>
  <si>
    <t>Masile</t>
  </si>
  <si>
    <t>ITA3270</t>
  </si>
  <si>
    <t>Masserini</t>
  </si>
  <si>
    <t>ITA3420</t>
  </si>
  <si>
    <t>Mastrobuono</t>
  </si>
  <si>
    <t>ITA3384</t>
  </si>
  <si>
    <t>Massimo Francesco</t>
  </si>
  <si>
    <t>ITA3328</t>
  </si>
  <si>
    <t>Mayock</t>
  </si>
  <si>
    <t>AUS0207</t>
  </si>
  <si>
    <t>ITA3480</t>
  </si>
  <si>
    <t>Mazzoni</t>
  </si>
  <si>
    <t>Arnaldo</t>
  </si>
  <si>
    <t>ITA3465</t>
  </si>
  <si>
    <t>ITA3466</t>
  </si>
  <si>
    <t>ITA3464</t>
  </si>
  <si>
    <t>McCallum</t>
  </si>
  <si>
    <t>ENG0529</t>
  </si>
  <si>
    <t>McCartney</t>
  </si>
  <si>
    <t>ENG0509</t>
  </si>
  <si>
    <t>McCormick</t>
  </si>
  <si>
    <t>ENG0533</t>
  </si>
  <si>
    <t>ENG0532</t>
  </si>
  <si>
    <t>McMurray</t>
  </si>
  <si>
    <t>ENG0232</t>
  </si>
  <si>
    <t>Megna</t>
  </si>
  <si>
    <t>ITA3412</t>
  </si>
  <si>
    <t>Menegakos</t>
  </si>
  <si>
    <t>GRE0791</t>
  </si>
  <si>
    <t>Meneghetti (62)</t>
  </si>
  <si>
    <t>Mengele</t>
  </si>
  <si>
    <t>USA0099</t>
  </si>
  <si>
    <t>Mensel</t>
  </si>
  <si>
    <t>Anna-Lisa</t>
  </si>
  <si>
    <t>Meo (98)</t>
  </si>
  <si>
    <t>Mienville</t>
  </si>
  <si>
    <t>Spartak des dames</t>
  </si>
  <si>
    <t>Miotti</t>
  </si>
  <si>
    <t>Fulvio</t>
  </si>
  <si>
    <t>ITA3429</t>
  </si>
  <si>
    <t>Mishima</t>
  </si>
  <si>
    <t>Mitsuki</t>
  </si>
  <si>
    <t>JPN172</t>
  </si>
  <si>
    <t>Mitchell</t>
  </si>
  <si>
    <t>ENG0512</t>
  </si>
  <si>
    <t>Monchalin</t>
  </si>
  <si>
    <t>Monge</t>
  </si>
  <si>
    <t>POR0126</t>
  </si>
  <si>
    <t>Montaguti</t>
  </si>
  <si>
    <t>GianMaria</t>
  </si>
  <si>
    <t>ITA3311</t>
  </si>
  <si>
    <t>Monteleone</t>
  </si>
  <si>
    <t>BRA0004</t>
  </si>
  <si>
    <t>Morfiadis</t>
  </si>
  <si>
    <t>GRE0821</t>
  </si>
  <si>
    <t>Morioka</t>
  </si>
  <si>
    <t>Nozomu</t>
  </si>
  <si>
    <t>JPN183</t>
  </si>
  <si>
    <t>Moritake</t>
  </si>
  <si>
    <t>Yoshiharu</t>
  </si>
  <si>
    <t>JPN194</t>
  </si>
  <si>
    <t>Morrow</t>
  </si>
  <si>
    <t>Jude</t>
  </si>
  <si>
    <t>NIR0031</t>
  </si>
  <si>
    <t>Mudge</t>
  </si>
  <si>
    <t>Conrad</t>
  </si>
  <si>
    <t>Murabito</t>
  </si>
  <si>
    <t>ITA1137</t>
  </si>
  <si>
    <t>ITA3279</t>
  </si>
  <si>
    <t>Murphy</t>
  </si>
  <si>
    <t>IRL0023</t>
  </si>
  <si>
    <t>Myers</t>
  </si>
  <si>
    <t>ENG0581</t>
  </si>
  <si>
    <t>That Retro Place Subbuteo Club</t>
  </si>
  <si>
    <t>Naso</t>
  </si>
  <si>
    <t>ITA3369</t>
  </si>
  <si>
    <t>ENG0521</t>
  </si>
  <si>
    <t>Nicosia</t>
  </si>
  <si>
    <t>ITA3409</t>
  </si>
  <si>
    <t>Nixdorf</t>
  </si>
  <si>
    <t>GER0156</t>
  </si>
  <si>
    <t>Jean-Maurice</t>
  </si>
  <si>
    <t>FRA0280</t>
  </si>
  <si>
    <t>Noguera</t>
  </si>
  <si>
    <t>Juan</t>
  </si>
  <si>
    <t>ESP0040</t>
  </si>
  <si>
    <t>GRE0794</t>
  </si>
  <si>
    <t>Onitsuka</t>
  </si>
  <si>
    <t>Masao</t>
  </si>
  <si>
    <t>JPN189</t>
  </si>
  <si>
    <t>Ono</t>
  </si>
  <si>
    <t>JPN190</t>
  </si>
  <si>
    <t>Ontani</t>
  </si>
  <si>
    <t>ITA3379</t>
  </si>
  <si>
    <t>Oranje</t>
  </si>
  <si>
    <t>NED0047</t>
  </si>
  <si>
    <t>ITA2804</t>
  </si>
  <si>
    <t>Osa</t>
  </si>
  <si>
    <t>Kazue</t>
  </si>
  <si>
    <t>JPN176</t>
  </si>
  <si>
    <t>Osborne</t>
  </si>
  <si>
    <t>GIB0008</t>
  </si>
  <si>
    <t>Gibraltar TSA</t>
  </si>
  <si>
    <t>ENG0511</t>
  </si>
  <si>
    <t>Pacileo</t>
  </si>
  <si>
    <t>ITA3312</t>
  </si>
  <si>
    <t>Paffrath Bertolino</t>
  </si>
  <si>
    <t>Pagani</t>
  </si>
  <si>
    <t>ITA3411</t>
  </si>
  <si>
    <t>ITA3368</t>
  </si>
  <si>
    <t>ENG0517</t>
  </si>
  <si>
    <t>Turia</t>
  </si>
  <si>
    <t>Panella</t>
  </si>
  <si>
    <t>ITA3383</t>
  </si>
  <si>
    <t>ITA3359</t>
  </si>
  <si>
    <t>ITA1480</t>
  </si>
  <si>
    <t>Paoletti</t>
  </si>
  <si>
    <t>ITA3401</t>
  </si>
  <si>
    <t>Marios-Georgios</t>
  </si>
  <si>
    <t>GRE0795</t>
  </si>
  <si>
    <t>Papaioannou-Boznas</t>
  </si>
  <si>
    <t>Αlexandros- Efthymios</t>
  </si>
  <si>
    <t>GRE0800</t>
  </si>
  <si>
    <t>Parnaby</t>
  </si>
  <si>
    <t>ENG0001</t>
  </si>
  <si>
    <t>Parrino</t>
  </si>
  <si>
    <t>ITA3417</t>
  </si>
  <si>
    <t>ENG0540</t>
  </si>
  <si>
    <t>Woburn Casuals</t>
  </si>
  <si>
    <t>Harry</t>
  </si>
  <si>
    <t>ENG0536</t>
  </si>
  <si>
    <t>Ollie</t>
  </si>
  <si>
    <t>ENG0537</t>
  </si>
  <si>
    <t>Pasquali</t>
  </si>
  <si>
    <t>ITA3435</t>
  </si>
  <si>
    <t>Pasquier</t>
  </si>
  <si>
    <t>Patrono</t>
  </si>
  <si>
    <t>ITA3489</t>
  </si>
  <si>
    <t>Pecoraro</t>
  </si>
  <si>
    <t>Ciro Alessio</t>
  </si>
  <si>
    <t>ITA3456</t>
  </si>
  <si>
    <t>Pedetti</t>
  </si>
  <si>
    <t>FRA0294</t>
  </si>
  <si>
    <t>Pedicini</t>
  </si>
  <si>
    <t>ITA1593</t>
  </si>
  <si>
    <t>Pefanis</t>
  </si>
  <si>
    <t>GRE0827</t>
  </si>
  <si>
    <t>GRE0814</t>
  </si>
  <si>
    <t>Pellicoro</t>
  </si>
  <si>
    <t>ITA3257</t>
  </si>
  <si>
    <t>ITA3338</t>
  </si>
  <si>
    <t>Pennati</t>
  </si>
  <si>
    <t>ITA3419</t>
  </si>
  <si>
    <t>Peretti</t>
  </si>
  <si>
    <t>Teo</t>
  </si>
  <si>
    <t>ITA2014</t>
  </si>
  <si>
    <t>Enrico Vito</t>
  </si>
  <si>
    <t>Perry</t>
  </si>
  <si>
    <t>NIR0034</t>
  </si>
  <si>
    <t>ENG0548</t>
  </si>
  <si>
    <t>Pestelle</t>
  </si>
  <si>
    <t>ENG0543</t>
  </si>
  <si>
    <t>Petea</t>
  </si>
  <si>
    <t>Aldo Francesco</t>
  </si>
  <si>
    <t>ITA3430</t>
  </si>
  <si>
    <t>Petrungaro</t>
  </si>
  <si>
    <t>Eugenio Gerardo</t>
  </si>
  <si>
    <t>ITA3441</t>
  </si>
  <si>
    <t>Phillips</t>
  </si>
  <si>
    <t>AUS0211</t>
  </si>
  <si>
    <t>Phokos</t>
  </si>
  <si>
    <t>AUS0210</t>
  </si>
  <si>
    <t>Timothy</t>
  </si>
  <si>
    <t>AUS0209</t>
  </si>
  <si>
    <t>Piacentini</t>
  </si>
  <si>
    <t>ITA2798</t>
  </si>
  <si>
    <t>Pibiri</t>
  </si>
  <si>
    <t>ITA3321</t>
  </si>
  <si>
    <t>Pieraccioni</t>
  </si>
  <si>
    <t>ITA3316</t>
  </si>
  <si>
    <t>Pietrafusa</t>
  </si>
  <si>
    <t>ITA3404</t>
  </si>
  <si>
    <t>Piggott</t>
  </si>
  <si>
    <t>ENG0577</t>
  </si>
  <si>
    <t>Pigott</t>
  </si>
  <si>
    <t>IRL0020</t>
  </si>
  <si>
    <t>Pireddu</t>
  </si>
  <si>
    <t>Sebastiano</t>
  </si>
  <si>
    <t>ITA2347</t>
  </si>
  <si>
    <t>Piscopo</t>
  </si>
  <si>
    <t>ITA2959</t>
  </si>
  <si>
    <t>Pistolesi</t>
  </si>
  <si>
    <t>ITA2586</t>
  </si>
  <si>
    <t>Pistorino</t>
  </si>
  <si>
    <t>ITA3304</t>
  </si>
  <si>
    <t>Pitsari</t>
  </si>
  <si>
    <t>Alexandra</t>
  </si>
  <si>
    <t>GRE0823</t>
  </si>
  <si>
    <t>GRE0824</t>
  </si>
  <si>
    <t>Pochetti</t>
  </si>
  <si>
    <t>ITA3288</t>
  </si>
  <si>
    <t>Podini</t>
  </si>
  <si>
    <t>ITA3406</t>
  </si>
  <si>
    <t>Presti</t>
  </si>
  <si>
    <t>ITA2577</t>
  </si>
  <si>
    <t>Prettico</t>
  </si>
  <si>
    <t>ITA3336</t>
  </si>
  <si>
    <t>Price</t>
  </si>
  <si>
    <t>Brett</t>
  </si>
  <si>
    <t>ENG0101</t>
  </si>
  <si>
    <t>Pröhle</t>
  </si>
  <si>
    <t>GER0026</t>
  </si>
  <si>
    <t>Psaila</t>
  </si>
  <si>
    <t>Clarence</t>
  </si>
  <si>
    <t>MLT144</t>
  </si>
  <si>
    <t>Nikolas (07)</t>
  </si>
  <si>
    <t>Puerto</t>
  </si>
  <si>
    <t>ESP0596</t>
  </si>
  <si>
    <t>Pugi</t>
  </si>
  <si>
    <t>ITA2066</t>
  </si>
  <si>
    <t>Pugliano</t>
  </si>
  <si>
    <t>ITA3387</t>
  </si>
  <si>
    <t>Purnell</t>
  </si>
  <si>
    <t>ENG0528</t>
  </si>
  <si>
    <t>Qiao</t>
  </si>
  <si>
    <t>GER0157</t>
  </si>
  <si>
    <t>Race</t>
  </si>
  <si>
    <t>ENG0563</t>
  </si>
  <si>
    <t>Rahman</t>
  </si>
  <si>
    <t>ENG0580</t>
  </si>
  <si>
    <t>Ramazzotto</t>
  </si>
  <si>
    <t>ITA3443</t>
  </si>
  <si>
    <t>Ramirez-Pena</t>
  </si>
  <si>
    <t>Raul</t>
  </si>
  <si>
    <t>GRE0798</t>
  </si>
  <si>
    <t>Ramsay</t>
  </si>
  <si>
    <t>ENG0335</t>
  </si>
  <si>
    <t>Zachary</t>
  </si>
  <si>
    <t>ENG0567</t>
  </si>
  <si>
    <t>Randielli</t>
  </si>
  <si>
    <t>ITA0713</t>
  </si>
  <si>
    <t>Randles</t>
  </si>
  <si>
    <t>ENG0556</t>
  </si>
  <si>
    <t>Raponi</t>
  </si>
  <si>
    <t>ITA3358</t>
  </si>
  <si>
    <t>Regnier</t>
  </si>
  <si>
    <t>FRA0271</t>
  </si>
  <si>
    <t>Reguera Delgado</t>
  </si>
  <si>
    <t>ESP0526</t>
  </si>
  <si>
    <t>Reguera Muñoz</t>
  </si>
  <si>
    <t>ESP0595</t>
  </si>
  <si>
    <t>ESP0547</t>
  </si>
  <si>
    <t>POR0248</t>
  </si>
  <si>
    <t>Riccobene</t>
  </si>
  <si>
    <t>ITA2123</t>
  </si>
  <si>
    <t>Ridger</t>
  </si>
  <si>
    <t>AUS0205</t>
  </si>
  <si>
    <t>AUS0206</t>
  </si>
  <si>
    <t>Riscardi</t>
  </si>
  <si>
    <t>ITA3408</t>
  </si>
  <si>
    <t>Rivabella</t>
  </si>
  <si>
    <t>ITA3483</t>
  </si>
  <si>
    <t>Rizzo</t>
  </si>
  <si>
    <t>Rocchi</t>
  </si>
  <si>
    <t>ITA2824</t>
  </si>
  <si>
    <t>Rochez</t>
  </si>
  <si>
    <t>BEL0481</t>
  </si>
  <si>
    <t>Rodi</t>
  </si>
  <si>
    <t>ITA3455</t>
  </si>
  <si>
    <t>ESP0594</t>
  </si>
  <si>
    <t>Ronzani</t>
  </si>
  <si>
    <t>ITA0742</t>
  </si>
  <si>
    <t>ITA3364</t>
  </si>
  <si>
    <t>ITA3431</t>
  </si>
  <si>
    <t>Aleksandar</t>
  </si>
  <si>
    <t>ITA3345</t>
  </si>
  <si>
    <t>FRA0296</t>
  </si>
  <si>
    <t>FRA0022</t>
  </si>
  <si>
    <t>Rubbi</t>
  </si>
  <si>
    <t>FRA0265</t>
  </si>
  <si>
    <t>Rubino</t>
  </si>
  <si>
    <t>ITA3287</t>
  </si>
  <si>
    <t>Edin Reyza</t>
  </si>
  <si>
    <t>SGP0151</t>
  </si>
  <si>
    <t>Ruíz</t>
  </si>
  <si>
    <t>Bonifacio</t>
  </si>
  <si>
    <t>ESP0217</t>
  </si>
  <si>
    <t>Russolillo</t>
  </si>
  <si>
    <t>Saguatti</t>
  </si>
  <si>
    <t>ITA3478</t>
  </si>
  <si>
    <t>Salatino</t>
  </si>
  <si>
    <t>ITA3438</t>
  </si>
  <si>
    <t>ITA3382</t>
  </si>
  <si>
    <t>Salvadori</t>
  </si>
  <si>
    <t>ITA3385</t>
  </si>
  <si>
    <t>ITA0755</t>
  </si>
  <si>
    <t>Eryl</t>
  </si>
  <si>
    <t>WAL0053</t>
  </si>
  <si>
    <t>Sandrino</t>
  </si>
  <si>
    <t>Pulis</t>
  </si>
  <si>
    <t>MLT146</t>
  </si>
  <si>
    <t>Sanfilippo</t>
  </si>
  <si>
    <t>ITA3427</t>
  </si>
  <si>
    <t>Sangiorgio</t>
  </si>
  <si>
    <t>Davide Giuseppe</t>
  </si>
  <si>
    <t>ITA3348</t>
  </si>
  <si>
    <t>ITA3284</t>
  </si>
  <si>
    <t>Santana Tovar</t>
  </si>
  <si>
    <t>Dominic</t>
  </si>
  <si>
    <t>ITA3446</t>
  </si>
  <si>
    <t>Santana Vargas</t>
  </si>
  <si>
    <t>Juan Josè</t>
  </si>
  <si>
    <t>ITA3447</t>
  </si>
  <si>
    <t>Santaniello</t>
  </si>
  <si>
    <t>ITA2330</t>
  </si>
  <si>
    <t>Santini</t>
  </si>
  <si>
    <t>ITA2481</t>
  </si>
  <si>
    <t>Santoro</t>
  </si>
  <si>
    <t>Orazio</t>
  </si>
  <si>
    <t>ITA3370</t>
  </si>
  <si>
    <t>Mateus</t>
  </si>
  <si>
    <t>Sardi de Letto</t>
  </si>
  <si>
    <t>FRA0277</t>
  </si>
  <si>
    <t>ALC WATTRELOS - SUBBUTEO LILLE METROPOLE</t>
  </si>
  <si>
    <t>Sasaki</t>
  </si>
  <si>
    <t>Shoi</t>
  </si>
  <si>
    <t>JPN182</t>
  </si>
  <si>
    <t>Giulio Ladetto</t>
  </si>
  <si>
    <t>ITA3391</t>
  </si>
  <si>
    <t>Savel</t>
  </si>
  <si>
    <t>FRA0281</t>
  </si>
  <si>
    <t>Savva</t>
  </si>
  <si>
    <t>CYP0031</t>
  </si>
  <si>
    <t>Scannavini</t>
  </si>
  <si>
    <t>ITA3337</t>
  </si>
  <si>
    <t>Scaramuzzi</t>
  </si>
  <si>
    <t>ITA2845</t>
  </si>
  <si>
    <t>Scarbath</t>
  </si>
  <si>
    <t>USA0435</t>
  </si>
  <si>
    <t>Scheffer</t>
  </si>
  <si>
    <t>NED0083</t>
  </si>
  <si>
    <t>Ronald</t>
  </si>
  <si>
    <t>NED0082</t>
  </si>
  <si>
    <t>Scherbantin</t>
  </si>
  <si>
    <t>AUT0107</t>
  </si>
  <si>
    <t>Schilirò</t>
  </si>
  <si>
    <t>ITA1830</t>
  </si>
  <si>
    <t>USA0367</t>
  </si>
  <si>
    <t>POR0247</t>
  </si>
  <si>
    <t>Sharp</t>
  </si>
  <si>
    <t>ENG0508</t>
  </si>
  <si>
    <t>Shibata</t>
  </si>
  <si>
    <t>Kaoru</t>
  </si>
  <si>
    <t>JPN185</t>
  </si>
  <si>
    <t>ITA3349</t>
  </si>
  <si>
    <t>Siculella</t>
  </si>
  <si>
    <t>ITA3365</t>
  </si>
  <si>
    <t>Silei</t>
  </si>
  <si>
    <t>ITA0804</t>
  </si>
  <si>
    <t>ENG0312</t>
  </si>
  <si>
    <t>Sitia</t>
  </si>
  <si>
    <t>ITA3449</t>
  </si>
  <si>
    <t>Skourou</t>
  </si>
  <si>
    <t>Ourania</t>
  </si>
  <si>
    <t>GRE0801</t>
  </si>
  <si>
    <t>GRE0819</t>
  </si>
  <si>
    <t>Smalley</t>
  </si>
  <si>
    <t>ENG0565</t>
  </si>
  <si>
    <t>ENG0559</t>
  </si>
  <si>
    <t>Soldera</t>
  </si>
  <si>
    <t>ITA3298</t>
  </si>
  <si>
    <t>Sonnino</t>
  </si>
  <si>
    <t>ITA0817</t>
  </si>
  <si>
    <t>Sottili</t>
  </si>
  <si>
    <t>ITA3428</t>
  </si>
  <si>
    <t>Spagnuolo</t>
  </si>
  <si>
    <t>Oreste</t>
  </si>
  <si>
    <t>ITA03367</t>
  </si>
  <si>
    <t>Spataro</t>
  </si>
  <si>
    <t>GER0158</t>
  </si>
  <si>
    <t>Spezzacatene</t>
  </si>
  <si>
    <t>ITA3403</t>
  </si>
  <si>
    <t>Stagno</t>
  </si>
  <si>
    <t>ITA3322</t>
  </si>
  <si>
    <t>Staine</t>
  </si>
  <si>
    <t>Steiner</t>
  </si>
  <si>
    <t>Stemitsiotis</t>
  </si>
  <si>
    <t>ENG0128</t>
  </si>
  <si>
    <t>Panos</t>
  </si>
  <si>
    <t>ENG0155</t>
  </si>
  <si>
    <t>Stravolaimos</t>
  </si>
  <si>
    <t>GRE0818</t>
  </si>
  <si>
    <t>Ian Alexander</t>
  </si>
  <si>
    <t>NOR0020</t>
  </si>
  <si>
    <t>CYP0053</t>
  </si>
  <si>
    <t>Swope</t>
  </si>
  <si>
    <t>USA0429</t>
  </si>
  <si>
    <t>Tachikawa</t>
  </si>
  <si>
    <t>Mitsuaki</t>
  </si>
  <si>
    <t>JPN178</t>
  </si>
  <si>
    <t>Takahashi</t>
  </si>
  <si>
    <t>Shusuke</t>
  </si>
  <si>
    <t>JPN188</t>
  </si>
  <si>
    <t>Takayama</t>
  </si>
  <si>
    <t>Masahiko</t>
  </si>
  <si>
    <t>JPN096</t>
  </si>
  <si>
    <t>ITA1820</t>
  </si>
  <si>
    <t>Hidekazu</t>
  </si>
  <si>
    <t>JPN193</t>
  </si>
  <si>
    <t>Masato</t>
  </si>
  <si>
    <t>JPN177</t>
  </si>
  <si>
    <t>Naoto</t>
  </si>
  <si>
    <t>JPN112</t>
  </si>
  <si>
    <t>Tarantino</t>
  </si>
  <si>
    <t>ITA3413</t>
  </si>
  <si>
    <t>ITA3463</t>
  </si>
  <si>
    <t>Tavani</t>
  </si>
  <si>
    <t>ITA3305</t>
  </si>
  <si>
    <t>Taylor-Nye</t>
  </si>
  <si>
    <t>ENG0564</t>
  </si>
  <si>
    <t>Teixido-Regnier</t>
  </si>
  <si>
    <t>Maël</t>
  </si>
  <si>
    <t>FRA0272</t>
  </si>
  <si>
    <t>Tereska</t>
  </si>
  <si>
    <t>Fellipe</t>
  </si>
  <si>
    <t>BRA0090</t>
  </si>
  <si>
    <t>ITA0850</t>
  </si>
  <si>
    <t>ENG0099</t>
  </si>
  <si>
    <t>TK</t>
  </si>
  <si>
    <t>Tomoca</t>
  </si>
  <si>
    <t>JPN191</t>
  </si>
  <si>
    <t>Toschi</t>
  </si>
  <si>
    <t>ITA3399</t>
  </si>
  <si>
    <t>Troestler</t>
  </si>
  <si>
    <t>FRA0273</t>
  </si>
  <si>
    <t>GRE0820</t>
  </si>
  <si>
    <t>GRE0796</t>
  </si>
  <si>
    <t>Uva</t>
  </si>
  <si>
    <t>ITA3418</t>
  </si>
  <si>
    <t>Valentini</t>
  </si>
  <si>
    <t>ITA3397</t>
  </si>
  <si>
    <t>Valluzzi</t>
  </si>
  <si>
    <t>ITA3310</t>
  </si>
  <si>
    <t>Panagiotis (67)</t>
  </si>
  <si>
    <t>Velli</t>
  </si>
  <si>
    <t>ITA0885</t>
  </si>
  <si>
    <t>Venanzi</t>
  </si>
  <si>
    <t>ITA3393</t>
  </si>
  <si>
    <t>Veneri</t>
  </si>
  <si>
    <t>ITA1699</t>
  </si>
  <si>
    <t>Venturello</t>
  </si>
  <si>
    <t>ITA0886</t>
  </si>
  <si>
    <t>Veronelli</t>
  </si>
  <si>
    <t>ITA3423</t>
  </si>
  <si>
    <t>Verplaetse</t>
  </si>
  <si>
    <t>BEL0466</t>
  </si>
  <si>
    <t>ESP0195</t>
  </si>
  <si>
    <t>Vienna</t>
  </si>
  <si>
    <t>ITA1026</t>
  </si>
  <si>
    <t>Vigo</t>
  </si>
  <si>
    <t>Gian Giuseppe</t>
  </si>
  <si>
    <t>ITA3407</t>
  </si>
  <si>
    <t>ITA3307</t>
  </si>
  <si>
    <t>Villard</t>
  </si>
  <si>
    <t>FRA0279</t>
  </si>
  <si>
    <t>Virtu'</t>
  </si>
  <si>
    <t>ITA3297</t>
  </si>
  <si>
    <t>Raimondo</t>
  </si>
  <si>
    <t>ITA3474</t>
  </si>
  <si>
    <t>Vlastarakos</t>
  </si>
  <si>
    <t>GRE0799</t>
  </si>
  <si>
    <t>Volkov</t>
  </si>
  <si>
    <t>Aton Aleksandrovich</t>
  </si>
  <si>
    <t>RUS0004</t>
  </si>
  <si>
    <t>AUT0061</t>
  </si>
  <si>
    <t>GER0072</t>
  </si>
  <si>
    <t>Kimi</t>
  </si>
  <si>
    <t>JPN098</t>
  </si>
  <si>
    <t>Walsh</t>
  </si>
  <si>
    <t>ENG0165</t>
  </si>
  <si>
    <t>Warren</t>
  </si>
  <si>
    <t>ENG0507</t>
  </si>
  <si>
    <t>Weinstich</t>
  </si>
  <si>
    <t>FRA0295</t>
  </si>
  <si>
    <t>Wenlock</t>
  </si>
  <si>
    <t>ENG0568</t>
  </si>
  <si>
    <t>West</t>
  </si>
  <si>
    <t>ENG0514</t>
  </si>
  <si>
    <t>Whelband</t>
  </si>
  <si>
    <t>Jerry</t>
  </si>
  <si>
    <t>ENG0552</t>
  </si>
  <si>
    <t>Wiley</t>
  </si>
  <si>
    <t>ENG0553</t>
  </si>
  <si>
    <t>AUS0204</t>
  </si>
  <si>
    <t>Xerri</t>
  </si>
  <si>
    <t>Luke Joseph</t>
  </si>
  <si>
    <t>MLT142</t>
  </si>
  <si>
    <t>Yoshida</t>
  </si>
  <si>
    <t>JPN187</t>
  </si>
  <si>
    <t>Yoshifumi</t>
  </si>
  <si>
    <t>Sato</t>
  </si>
  <si>
    <t>JPN175</t>
  </si>
  <si>
    <t>ENG0583</t>
  </si>
  <si>
    <t>Zanoni</t>
  </si>
  <si>
    <t>ITA1605</t>
  </si>
  <si>
    <t>Zappacosta</t>
  </si>
  <si>
    <t>ITA1843</t>
  </si>
  <si>
    <t>Zecchini</t>
  </si>
  <si>
    <t>ITA2777</t>
  </si>
  <si>
    <t>Subbuteo Adelaide TFC</t>
  </si>
  <si>
    <t>ade</t>
  </si>
  <si>
    <t>AUSC006</t>
  </si>
  <si>
    <t>twa</t>
  </si>
  <si>
    <t>AUSC019</t>
  </si>
  <si>
    <t>aye</t>
  </si>
  <si>
    <t>BELC026</t>
  </si>
  <si>
    <t>rww</t>
  </si>
  <si>
    <t>BELC027</t>
  </si>
  <si>
    <t>Club de Regatas Vasco da Gama</t>
  </si>
  <si>
    <t>Sociedade Esportiva Palmeiras</t>
  </si>
  <si>
    <t>Sport Club Corinthians Paulista</t>
  </si>
  <si>
    <t>Sport Club do Recife</t>
  </si>
  <si>
    <t>rec</t>
  </si>
  <si>
    <t>BRAC024</t>
  </si>
  <si>
    <t>Pedmore S&amp;TFC</t>
  </si>
  <si>
    <t>ped</t>
  </si>
  <si>
    <t>ENGC082</t>
  </si>
  <si>
    <t>The Wessex Subbuteo Club</t>
  </si>
  <si>
    <t>wsx</t>
  </si>
  <si>
    <t>ENGC083</t>
  </si>
  <si>
    <t>els</t>
  </si>
  <si>
    <t>ENGC084</t>
  </si>
  <si>
    <t>kfm</t>
  </si>
  <si>
    <t>ENGC085</t>
  </si>
  <si>
    <t>wob</t>
  </si>
  <si>
    <t>ENGC086</t>
  </si>
  <si>
    <t>don</t>
  </si>
  <si>
    <t>ENGC087</t>
  </si>
  <si>
    <t>ret</t>
  </si>
  <si>
    <t>ENGC088</t>
  </si>
  <si>
    <t>mpr</t>
  </si>
  <si>
    <t>ESPC016</t>
  </si>
  <si>
    <t>mon</t>
  </si>
  <si>
    <t>FRAC001</t>
  </si>
  <si>
    <t>ALC Wattrelos - Subbuteo Lille Metropole</t>
  </si>
  <si>
    <t>lil</t>
  </si>
  <si>
    <t>Section Subbutéo Squadra omessinca</t>
  </si>
  <si>
    <t>sso</t>
  </si>
  <si>
    <t>FRAC021</t>
  </si>
  <si>
    <t>als</t>
  </si>
  <si>
    <t>FRAC023</t>
  </si>
  <si>
    <t>lor</t>
  </si>
  <si>
    <t>FRAC024</t>
  </si>
  <si>
    <t>puc</t>
  </si>
  <si>
    <t>FRAC025</t>
  </si>
  <si>
    <t>css</t>
  </si>
  <si>
    <t>FRAC026</t>
  </si>
  <si>
    <t>bos</t>
  </si>
  <si>
    <t>FRAC027</t>
  </si>
  <si>
    <t>gar</t>
  </si>
  <si>
    <t>FRAC028</t>
  </si>
  <si>
    <t>dam</t>
  </si>
  <si>
    <t>FRAC029</t>
  </si>
  <si>
    <t>mul</t>
  </si>
  <si>
    <t>FRAC030</t>
  </si>
  <si>
    <t>wup</t>
  </si>
  <si>
    <t>crh</t>
  </si>
  <si>
    <t>Underdogs Cholargos TSC</t>
  </si>
  <si>
    <t>und</t>
  </si>
  <si>
    <t>GREC031</t>
  </si>
  <si>
    <t>Tralee and Munster Subbuteo Club</t>
  </si>
  <si>
    <t>IRLC002</t>
  </si>
  <si>
    <t>Tigers Lab</t>
  </si>
  <si>
    <t>tig</t>
  </si>
  <si>
    <t>ITAC073 sat</t>
  </si>
  <si>
    <t>Il Picchio Ascoli</t>
  </si>
  <si>
    <t>pic</t>
  </si>
  <si>
    <t>ITAC075 sat</t>
  </si>
  <si>
    <t>TFC Fiorenza</t>
  </si>
  <si>
    <t>fio</t>
  </si>
  <si>
    <t>ITAC093 sat</t>
  </si>
  <si>
    <t>Eagles Supporters Subbuteo</t>
  </si>
  <si>
    <t>sup</t>
  </si>
  <si>
    <t>ITAC098 sat</t>
  </si>
  <si>
    <t>Fides Livorno</t>
  </si>
  <si>
    <t>fid</t>
  </si>
  <si>
    <t>ITAC100 sat</t>
  </si>
  <si>
    <t>Spes Livorno</t>
  </si>
  <si>
    <t>sps</t>
  </si>
  <si>
    <t>ITAC102 sat</t>
  </si>
  <si>
    <t>Virtus Vipers</t>
  </si>
  <si>
    <t>vvp</t>
  </si>
  <si>
    <t>ITAC140 sat</t>
  </si>
  <si>
    <t>Pisani all'Uscio</t>
  </si>
  <si>
    <t>pau</t>
  </si>
  <si>
    <t>ITAC151 sat</t>
  </si>
  <si>
    <t>Eagles II</t>
  </si>
  <si>
    <t>ena</t>
  </si>
  <si>
    <t>ITAC153 sat</t>
  </si>
  <si>
    <t>Grifo Sombrero</t>
  </si>
  <si>
    <t>gfs</t>
  </si>
  <si>
    <t>ITAC156 sat</t>
  </si>
  <si>
    <t>Bruzia D086</t>
  </si>
  <si>
    <t>bru</t>
  </si>
  <si>
    <t>ITAC166 sat</t>
  </si>
  <si>
    <t>Subbuteo Club Silvio Piola</t>
  </si>
  <si>
    <t>spo</t>
  </si>
  <si>
    <t>ITAC178</t>
  </si>
  <si>
    <t>BCLF CRUC Cosenza</t>
  </si>
  <si>
    <t>cru</t>
  </si>
  <si>
    <t>ITAC180 sat</t>
  </si>
  <si>
    <t>Subbuteo Club Pavia</t>
  </si>
  <si>
    <t>pav</t>
  </si>
  <si>
    <t>ITAC181</t>
  </si>
  <si>
    <t>pes</t>
  </si>
  <si>
    <t>ITAC182</t>
  </si>
  <si>
    <t>Subbuteo Club Mestre</t>
  </si>
  <si>
    <t>ITAC185</t>
  </si>
  <si>
    <t>Subbuteo Club Reggio Calabria</t>
  </si>
  <si>
    <t>ITAC186</t>
  </si>
  <si>
    <t>grs</t>
  </si>
  <si>
    <t>ITAC187</t>
  </si>
  <si>
    <t>Rhegion Calabria</t>
  </si>
  <si>
    <t>rhg</t>
  </si>
  <si>
    <t>ITAC188 sat</t>
  </si>
  <si>
    <t>CCM Livorno</t>
  </si>
  <si>
    <t>ITAC189 sat</t>
  </si>
  <si>
    <t>ftn</t>
  </si>
  <si>
    <t>ITAC190</t>
  </si>
  <si>
    <t>Subbuteo Club Basilicata</t>
  </si>
  <si>
    <t>bsc</t>
  </si>
  <si>
    <t>ITAC192</t>
  </si>
  <si>
    <t>JPNC003</t>
  </si>
  <si>
    <t>JPNC005</t>
  </si>
  <si>
    <t>bel</t>
  </si>
  <si>
    <t>NIRC001</t>
  </si>
  <si>
    <t>ski</t>
  </si>
  <si>
    <t>NORC001</t>
  </si>
  <si>
    <t>kra</t>
  </si>
  <si>
    <t>NORC002</t>
  </si>
  <si>
    <t>osl</t>
  </si>
  <si>
    <t>NORC003</t>
  </si>
  <si>
    <t>cfb</t>
  </si>
  <si>
    <t>Subbuteo Clube de Benfica</t>
  </si>
  <si>
    <t>scb</t>
  </si>
  <si>
    <t>PORC018</t>
  </si>
  <si>
    <t>jur</t>
  </si>
  <si>
    <t>SGPC001</t>
  </si>
  <si>
    <t>eas</t>
  </si>
  <si>
    <t>SGPC002</t>
  </si>
  <si>
    <t>sin</t>
  </si>
  <si>
    <t>SGPC003</t>
  </si>
  <si>
    <t>wsc</t>
  </si>
  <si>
    <t>SGPC004</t>
  </si>
  <si>
    <t>keb</t>
  </si>
  <si>
    <t>SGPC005</t>
  </si>
  <si>
    <t>car</t>
  </si>
  <si>
    <t>WALC001</t>
  </si>
  <si>
    <t>Swansea</t>
  </si>
  <si>
    <t>swa</t>
  </si>
  <si>
    <t>WALC002</t>
  </si>
  <si>
    <t>London Road Subbuteo TSC</t>
  </si>
  <si>
    <t>lrs</t>
  </si>
  <si>
    <t>WALC003</t>
  </si>
  <si>
    <t>Knighton</t>
  </si>
  <si>
    <t>kni</t>
  </si>
  <si>
    <t>WALC004</t>
  </si>
  <si>
    <t>LOUREIRO</t>
  </si>
  <si>
    <t>ROS</t>
  </si>
  <si>
    <t>NOGUERA</t>
  </si>
  <si>
    <t>SHAM</t>
  </si>
  <si>
    <t>DI PIETRANTONIO</t>
  </si>
  <si>
    <t>TILLMAN</t>
  </si>
  <si>
    <t>DUPRET</t>
  </si>
  <si>
    <t>POLIZOS</t>
  </si>
  <si>
    <t>BALZANO</t>
  </si>
  <si>
    <t>ARVANITAKIS</t>
  </si>
  <si>
    <t>TELLEZ</t>
  </si>
  <si>
    <t>KWIATKOWSKI</t>
  </si>
  <si>
    <t>SCHEFFER</t>
  </si>
  <si>
    <t>PITSARIS</t>
  </si>
  <si>
    <t>ICHIBA</t>
  </si>
  <si>
    <t>DELCROIX</t>
  </si>
  <si>
    <t>LUCCHESI</t>
  </si>
  <si>
    <t>CARLES PRAT</t>
  </si>
  <si>
    <t>LIGOS</t>
  </si>
  <si>
    <t>MURABITO</t>
  </si>
  <si>
    <t>ALFARO</t>
  </si>
  <si>
    <t>PÉREZ</t>
  </si>
  <si>
    <t>ANDREAS</t>
  </si>
  <si>
    <t>CARMO</t>
  </si>
  <si>
    <t>FIORETTI</t>
  </si>
  <si>
    <t>LACEY</t>
  </si>
  <si>
    <t>CACIOPPO</t>
  </si>
  <si>
    <t>LOMBARD</t>
  </si>
  <si>
    <t>BATACCHI</t>
  </si>
  <si>
    <t>TORRE</t>
  </si>
  <si>
    <t>RICCIO</t>
  </si>
  <si>
    <t>DEINHART</t>
  </si>
  <si>
    <t>STEMITSIOTIS</t>
  </si>
  <si>
    <t>BOSCHI</t>
  </si>
  <si>
    <t>PRESTI</t>
  </si>
  <si>
    <t>BALAGUER</t>
  </si>
  <si>
    <t>MARKS</t>
  </si>
  <si>
    <t>RAKOWSKI</t>
  </si>
  <si>
    <t>SHARP</t>
  </si>
  <si>
    <t>WILLIAM</t>
  </si>
  <si>
    <t>HARWOOD</t>
  </si>
  <si>
    <t>BODILY</t>
  </si>
  <si>
    <t>FUCCI</t>
  </si>
  <si>
    <t>WEAVER</t>
  </si>
  <si>
    <t>LAWRENSON</t>
  </si>
  <si>
    <t>BRIFFETT</t>
  </si>
  <si>
    <t>HAUSMANN</t>
  </si>
  <si>
    <t>MCMURRAY</t>
  </si>
  <si>
    <t>MADEIRA</t>
  </si>
  <si>
    <t>LJUBISAVLJEVIC</t>
  </si>
  <si>
    <t>PEZZUOLO</t>
  </si>
  <si>
    <t>KOUTSOGIANNIS</t>
  </si>
  <si>
    <t>ABATE</t>
  </si>
  <si>
    <t>GENTILE</t>
  </si>
  <si>
    <t>TANAKA</t>
  </si>
  <si>
    <t>MAZZILLI</t>
  </si>
  <si>
    <t>DE LORENZI</t>
  </si>
  <si>
    <t>SCARAMUZZI</t>
  </si>
  <si>
    <t>BARONE</t>
  </si>
  <si>
    <t>MORIER</t>
  </si>
  <si>
    <t>BOLTE</t>
  </si>
  <si>
    <t>DI GENNARO</t>
  </si>
  <si>
    <t>VILLETTE</t>
  </si>
  <si>
    <t>OTTONE</t>
  </si>
  <si>
    <t>MAIRELES REYES</t>
  </si>
  <si>
    <t>RICARDO</t>
  </si>
  <si>
    <t>BEST</t>
  </si>
  <si>
    <t>LOUIS</t>
  </si>
  <si>
    <t>BOND</t>
  </si>
  <si>
    <t>LEÓN MORENO</t>
  </si>
  <si>
    <t>DROSSOPOULOS</t>
  </si>
  <si>
    <t>SPENCE</t>
  </si>
  <si>
    <t>CORAZZA</t>
  </si>
  <si>
    <t>13.5</t>
  </si>
  <si>
    <t>FONTES</t>
  </si>
  <si>
    <t>PRETZEL</t>
  </si>
  <si>
    <t>AVELLANO</t>
  </si>
  <si>
    <t>MINTY</t>
  </si>
  <si>
    <t>REGUERA DELGADO</t>
  </si>
  <si>
    <t>CALCAGNO</t>
  </si>
  <si>
    <t>STERGIOPOULOS</t>
  </si>
  <si>
    <t>MAZZEO</t>
  </si>
  <si>
    <t>MIOTTI</t>
  </si>
  <si>
    <t>RIGON</t>
  </si>
  <si>
    <t>VOURAKIS</t>
  </si>
  <si>
    <t>BRESCIA</t>
  </si>
  <si>
    <t>LENA</t>
  </si>
  <si>
    <t>MASILE</t>
  </si>
  <si>
    <t>BERNARDI</t>
  </si>
  <si>
    <t>CASALE</t>
  </si>
  <si>
    <t>DEL GENOVESE</t>
  </si>
  <si>
    <t>COLASANTI</t>
  </si>
  <si>
    <t>ROCCHI</t>
  </si>
  <si>
    <t>DE GENNARO</t>
  </si>
  <si>
    <t>PEGHIN</t>
  </si>
  <si>
    <t>PANDOLFI</t>
  </si>
  <si>
    <t>GABBANI</t>
  </si>
  <si>
    <t>DISMA</t>
  </si>
  <si>
    <t>FEYE</t>
  </si>
  <si>
    <t>KNEZEVIC</t>
  </si>
  <si>
    <t>YOSHIDA</t>
  </si>
  <si>
    <t>WONNACOTT</t>
  </si>
  <si>
    <t>GILIBERTO</t>
  </si>
  <si>
    <t>LEVY</t>
  </si>
  <si>
    <t>MORIOKA</t>
  </si>
  <si>
    <t>ACUÑA</t>
  </si>
  <si>
    <t>AGGETT</t>
  </si>
  <si>
    <t>KANDA</t>
  </si>
  <si>
    <t>CHYTAS</t>
  </si>
  <si>
    <t>KARNEZIS</t>
  </si>
  <si>
    <t>JACKSON</t>
  </si>
  <si>
    <t>FUKUOKA</t>
  </si>
  <si>
    <t>SCHERBANTIN</t>
  </si>
  <si>
    <t>BOIGEOL</t>
  </si>
  <si>
    <t>KAZANTZOGLOU</t>
  </si>
  <si>
    <t>PIBIRI</t>
  </si>
  <si>
    <t>RUÍZ</t>
  </si>
  <si>
    <t>KIMACK</t>
  </si>
  <si>
    <t>RUDY HESTY</t>
  </si>
  <si>
    <t>TAKAHASHI</t>
  </si>
  <si>
    <t>HEWARD</t>
  </si>
  <si>
    <t>MCCAULLEY</t>
  </si>
  <si>
    <t>PARÍS</t>
  </si>
  <si>
    <t>FUERTES</t>
  </si>
  <si>
    <t>NOUSIOS</t>
  </si>
  <si>
    <t>LUNDY</t>
  </si>
  <si>
    <t>MICATI</t>
  </si>
  <si>
    <t>MUDGE</t>
  </si>
  <si>
    <t>DIOGENES</t>
  </si>
  <si>
    <t>ARIVAZHAGAN</t>
  </si>
  <si>
    <t>Miguel Angel Gaya</t>
  </si>
  <si>
    <t>No Licence</t>
  </si>
  <si>
    <t>No Club</t>
  </si>
  <si>
    <t>STAGNO</t>
  </si>
  <si>
    <t>GEORGANOUDIS</t>
  </si>
  <si>
    <t>RIDGER</t>
  </si>
  <si>
    <t>ARAÚJO</t>
  </si>
  <si>
    <t>GÜTL</t>
  </si>
  <si>
    <t>CHUGANI</t>
  </si>
  <si>
    <t>ANDREONI</t>
  </si>
  <si>
    <t>ILIEV</t>
  </si>
  <si>
    <t>ELTON</t>
  </si>
  <si>
    <t>PORCELLI</t>
  </si>
  <si>
    <t>PEFANIS</t>
  </si>
  <si>
    <t>TOLIAS</t>
  </si>
  <si>
    <t>SWOPE</t>
  </si>
  <si>
    <t>JENKINS</t>
  </si>
  <si>
    <t>GREER</t>
  </si>
  <si>
    <t>SCHILIRÒ</t>
  </si>
  <si>
    <t>WULFF</t>
  </si>
  <si>
    <t>CASAS</t>
  </si>
  <si>
    <t>DE GIOSA</t>
  </si>
  <si>
    <t>TOSIOUDIS</t>
  </si>
  <si>
    <t>COOPER</t>
  </si>
  <si>
    <t>BARQUEIRO</t>
  </si>
  <si>
    <t>ONO</t>
  </si>
  <si>
    <t>GAMMAROTA</t>
  </si>
  <si>
    <t>JAKUBOWSKI</t>
  </si>
  <si>
    <t>BRANDI</t>
  </si>
  <si>
    <t>BENEDI</t>
  </si>
  <si>
    <t>SCARBATH</t>
  </si>
  <si>
    <t>ELEFTHERIOU</t>
  </si>
  <si>
    <t>MCCARTNEY</t>
  </si>
  <si>
    <t>SMALLEY</t>
  </si>
  <si>
    <t>ESPADA</t>
  </si>
  <si>
    <t>MENGELE</t>
  </si>
  <si>
    <t>RANDIELLI</t>
  </si>
  <si>
    <t>WALSH</t>
  </si>
  <si>
    <t>LILLY</t>
  </si>
  <si>
    <t>HARKER</t>
  </si>
  <si>
    <t>MELLIOS</t>
  </si>
  <si>
    <t>KARAVASILIS</t>
  </si>
  <si>
    <t>TESTA</t>
  </si>
  <si>
    <t>MARTÍN</t>
  </si>
  <si>
    <t>LEONARD</t>
  </si>
  <si>
    <t>BIN SIDEK</t>
  </si>
  <si>
    <t>BAVASURYAN</t>
  </si>
  <si>
    <t>ONITSUKA</t>
  </si>
  <si>
    <t>CHIARA</t>
  </si>
  <si>
    <t>GARCÍA FERRI</t>
  </si>
  <si>
    <t>MAIRELES ALFARO</t>
  </si>
  <si>
    <t>KUMAR</t>
  </si>
  <si>
    <t>PATEL</t>
  </si>
  <si>
    <t>VILLARD</t>
  </si>
  <si>
    <t>TEIXIDO-REGNIER</t>
  </si>
  <si>
    <t>MISHIMA</t>
  </si>
  <si>
    <t>AMANO</t>
  </si>
  <si>
    <t>OSBORNE</t>
  </si>
  <si>
    <t>ALSINA</t>
  </si>
  <si>
    <t>MCCORMICK</t>
  </si>
  <si>
    <t>COPE</t>
  </si>
  <si>
    <t>CHAPMAN</t>
  </si>
  <si>
    <t>EDWARDS</t>
  </si>
  <si>
    <t>RAHMAN</t>
  </si>
  <si>
    <t>ALLEN</t>
  </si>
  <si>
    <t>ARNAUDIN</t>
  </si>
  <si>
    <t>FORSTER-FAKE</t>
  </si>
  <si>
    <t>WENLOCK</t>
  </si>
  <si>
    <t>DIÉGUEZ</t>
  </si>
  <si>
    <t>DUCKWORTH</t>
  </si>
  <si>
    <t>REGNIER</t>
  </si>
  <si>
    <t>HUNTER</t>
  </si>
  <si>
    <t>XERRI</t>
  </si>
  <si>
    <t>PSAILA</t>
  </si>
  <si>
    <t>AKIMOTO</t>
  </si>
  <si>
    <t>LEDIEU</t>
  </si>
  <si>
    <t>REGUERA MUÑOZ</t>
  </si>
  <si>
    <t>BELLONI</t>
  </si>
  <si>
    <t>CUENCA</t>
  </si>
  <si>
    <t>TRIANTAFILLOU</t>
  </si>
  <si>
    <t>LONGO</t>
  </si>
  <si>
    <t>IMPALLOMENI</t>
  </si>
  <si>
    <t>BAGNATO</t>
  </si>
  <si>
    <t>DI MURI</t>
  </si>
  <si>
    <t>CITRIGNO</t>
  </si>
  <si>
    <t>STOTO</t>
  </si>
  <si>
    <t>ZUCCHI</t>
  </si>
  <si>
    <t>GEORGE</t>
  </si>
  <si>
    <t>DE BRUIN</t>
  </si>
  <si>
    <t>DAXBÖCK</t>
  </si>
  <si>
    <t>SCHIATTI</t>
  </si>
  <si>
    <t>ORANJE</t>
  </si>
  <si>
    <t>COLWELL</t>
  </si>
  <si>
    <t>MASTROBUONO</t>
  </si>
  <si>
    <t>CIPULAT</t>
  </si>
  <si>
    <t>ARET</t>
  </si>
  <si>
    <t>LIMPENS</t>
  </si>
  <si>
    <t>PIGOTT</t>
  </si>
  <si>
    <t>RICCOBENE</t>
  </si>
  <si>
    <t>AVERNA</t>
  </si>
  <si>
    <t>MENEGHETTI (62)</t>
  </si>
  <si>
    <t>DESTEFANIS</t>
  </si>
  <si>
    <t>PAPAMICHAIL</t>
  </si>
  <si>
    <t>VINACCIA</t>
  </si>
  <si>
    <t>CRISERÀ</t>
  </si>
  <si>
    <t>LEWIS</t>
  </si>
  <si>
    <t>DE PAOLI</t>
  </si>
  <si>
    <t>TONIETTI</t>
  </si>
  <si>
    <t>CAMPAGNA</t>
  </si>
  <si>
    <t>VIDAL</t>
  </si>
  <si>
    <t>HILL</t>
  </si>
  <si>
    <t>EVERITT</t>
  </si>
  <si>
    <t>MANCINI</t>
  </si>
  <si>
    <t>WIESMANN</t>
  </si>
  <si>
    <t>COTUGNO</t>
  </si>
  <si>
    <t>NUNZET</t>
  </si>
  <si>
    <t>NOVI</t>
  </si>
  <si>
    <t>MANCARUSO</t>
  </si>
  <si>
    <t>BATTIPAGLIA</t>
  </si>
  <si>
    <t>CUOMO</t>
  </si>
  <si>
    <t>MORENO VICO</t>
  </si>
  <si>
    <t>SKOUROU</t>
  </si>
  <si>
    <t>FILIPPELLA NASTI</t>
  </si>
  <si>
    <t>BÜSING</t>
  </si>
  <si>
    <t>HUET</t>
  </si>
  <si>
    <t>SHIBATA</t>
  </si>
  <si>
    <t>Women</t>
  </si>
  <si>
    <t>KUSHMYRUK</t>
  </si>
  <si>
    <t>LANCI</t>
  </si>
  <si>
    <t>BERNARD</t>
  </si>
  <si>
    <t>VERPLAETSE</t>
  </si>
  <si>
    <t>DHYNE</t>
  </si>
  <si>
    <t>CARMONA</t>
  </si>
  <si>
    <t>RAPONI</t>
  </si>
  <si>
    <t>VLASTARAKOS</t>
  </si>
  <si>
    <t>MÁRQUEZ GALISTEO</t>
  </si>
  <si>
    <t>MARLIA</t>
  </si>
  <si>
    <t>SALATINO</t>
  </si>
  <si>
    <t>ÃCUNA</t>
  </si>
  <si>
    <t>COPPOLINO</t>
  </si>
  <si>
    <t>ZERDILAS</t>
  </si>
  <si>
    <t>MARCHÁN</t>
  </si>
  <si>
    <t>BRIGNON-KIEGL</t>
  </si>
  <si>
    <t>JORIS</t>
  </si>
  <si>
    <t>MARTINELLI</t>
  </si>
  <si>
    <t>PITSARI</t>
  </si>
  <si>
    <t>PETEA</t>
  </si>
  <si>
    <t>PENNATI</t>
  </si>
  <si>
    <t>ROSSI</t>
  </si>
  <si>
    <t>PERETTI</t>
  </si>
  <si>
    <t>DIAS</t>
  </si>
  <si>
    <t>MONGE</t>
  </si>
  <si>
    <t>ELLINAS</t>
  </si>
  <si>
    <t>GARCÍA CORREDERA</t>
  </si>
  <si>
    <t>RUBBI</t>
  </si>
  <si>
    <t>Compatibility with the change of Ladies in Women</t>
  </si>
  <si>
    <t>Avertissement :  certains de vos événements ne seront pas pris en compte pour l'export; seuls les événements suivants seront traités : Open, Veterans, Women, U20, U16, U12, Teams, Consolation</t>
  </si>
  <si>
    <t>Warning: some of your events will not be taken into account for export; only the following events will be processed: Open, Veterans, Women, U20, U16, U12, Teams, Consolation</t>
  </si>
  <si>
    <t>Attenzione: alcuni dei tuoi eventi non verranno presi in considerazione per l'esportazione; verranno elaborati solo i seguenti eventi: Open, Veterans, Women, U20, U16, U12, Squadre, Consolazione</t>
  </si>
  <si>
    <t>Tirage position suivante 2ème Pot</t>
  </si>
  <si>
    <t>Draw next position  2nd Pot</t>
  </si>
  <si>
    <t>Sorteo posición siguiente 2do Bombo</t>
  </si>
  <si>
    <t>Disegna la prossima posizione 2° vaso</t>
  </si>
  <si>
    <t>Sorteig posició següent 2n Pot</t>
  </si>
  <si>
    <t>Tirage au sort de la position suivante dans le 2ème Pot</t>
  </si>
  <si>
    <t>Draw of the next position in the second Pot</t>
  </si>
  <si>
    <t>Sorteig de la següent posició del segon Pot</t>
  </si>
  <si>
    <t>Estrazione della posizione successiva nel secondo piatto</t>
  </si>
  <si>
    <t>Sorteo de la siguiente posición en el segundo bote</t>
  </si>
  <si>
    <t>Tire au sort des numéros pour la position suivante jusqu'à trouver un numéro non encore utilisé dans le second pot</t>
  </si>
  <si>
    <t>Dibuja números para la siguiente posición hasta que encuentres un número no utilizado en el segundo bote.</t>
  </si>
  <si>
    <t>Dibuixa números per a la següent posició fins que trobis un nombre no utilitzat al segon pot</t>
  </si>
  <si>
    <t>Estrai i numeri per la posizione successiva finché non trovi un numero inutilizzato nel secondo piatto</t>
  </si>
  <si>
    <t>Draw numbers for the next position until you find a number not yet used in the second pot</t>
  </si>
  <si>
    <t>CS SC Serenissima Mestre</t>
  </si>
  <si>
    <t>COLPANI</t>
  </si>
  <si>
    <t>BRISKOLAS</t>
  </si>
  <si>
    <t>LEFÈBVRE</t>
  </si>
  <si>
    <t>trento Subbuteo</t>
  </si>
  <si>
    <t>PRESTIA</t>
  </si>
  <si>
    <t>OLLNOW</t>
  </si>
  <si>
    <t>PARISI</t>
  </si>
  <si>
    <t>BREKKE</t>
  </si>
  <si>
    <t>BENEDETTO</t>
  </si>
  <si>
    <t>SANTORO</t>
  </si>
  <si>
    <t>MARICONDA</t>
  </si>
  <si>
    <t>LAPORTA</t>
  </si>
  <si>
    <t>IZARD</t>
  </si>
  <si>
    <t>FITCH</t>
  </si>
  <si>
    <t>KATAOKA</t>
  </si>
  <si>
    <t>Kazutoyo</t>
  </si>
  <si>
    <t>BLASCO</t>
  </si>
  <si>
    <t>YASUDA</t>
  </si>
  <si>
    <t>Jiro</t>
  </si>
  <si>
    <t>YAMAZOE</t>
  </si>
  <si>
    <t>Norio</t>
  </si>
  <si>
    <t>ISHIDA</t>
  </si>
  <si>
    <t>Kazuaki</t>
  </si>
  <si>
    <t>NOËL</t>
  </si>
  <si>
    <t>STAMATOPOULOS</t>
  </si>
  <si>
    <t>ROCHEZ</t>
  </si>
  <si>
    <t>KRUSE</t>
  </si>
  <si>
    <t>Hermann</t>
  </si>
  <si>
    <t>GALEAZZI</t>
  </si>
  <si>
    <t>DE PASCALE</t>
  </si>
  <si>
    <t>RISCARDI</t>
  </si>
  <si>
    <t>ANCAROLA</t>
  </si>
  <si>
    <t>SORIA</t>
  </si>
  <si>
    <t>INDELLI</t>
  </si>
  <si>
    <t>Yahagi</t>
  </si>
  <si>
    <t>OKAMOTO</t>
  </si>
  <si>
    <t>Miwako</t>
  </si>
  <si>
    <t>BARONE SÁNCHEZ</t>
  </si>
  <si>
    <t>ACUÑA PADILLA</t>
  </si>
  <si>
    <t>Adrià</t>
  </si>
  <si>
    <t>SANFILIPPO</t>
  </si>
  <si>
    <t>BOTTINO</t>
  </si>
  <si>
    <t>MOSCATO</t>
  </si>
  <si>
    <t>Corrado Nicholas</t>
  </si>
  <si>
    <t>ESP0608</t>
  </si>
  <si>
    <t>ESP0609</t>
  </si>
  <si>
    <t>Alberi</t>
  </si>
  <si>
    <t>ITA0008</t>
  </si>
  <si>
    <t>Nicosia Strikers</t>
  </si>
  <si>
    <t>AACS Valdarno</t>
  </si>
  <si>
    <t>Blasco</t>
  </si>
  <si>
    <t>ESP0606</t>
  </si>
  <si>
    <t>Subbuteo Club Savona</t>
  </si>
  <si>
    <t>Azzurra 99 napoli</t>
  </si>
  <si>
    <t>ENG0594</t>
  </si>
  <si>
    <t>Claxton</t>
  </si>
  <si>
    <t>ENG0598</t>
  </si>
  <si>
    <t>Claydon</t>
  </si>
  <si>
    <t>ENG0592</t>
  </si>
  <si>
    <t>Cramer</t>
  </si>
  <si>
    <t>Reggie</t>
  </si>
  <si>
    <t>ENG0591</t>
  </si>
  <si>
    <t>Davey</t>
  </si>
  <si>
    <t>AUS0212</t>
  </si>
  <si>
    <t>De Alessandris</t>
  </si>
  <si>
    <t>ITA3504</t>
  </si>
  <si>
    <t>BEL0007</t>
  </si>
  <si>
    <t>BEL0009</t>
  </si>
  <si>
    <t>Donnelly</t>
  </si>
  <si>
    <t>SCO0083</t>
  </si>
  <si>
    <t>Donzellini</t>
  </si>
  <si>
    <t>ITA2411</t>
  </si>
  <si>
    <t>Véronique</t>
  </si>
  <si>
    <t>BEL0486</t>
  </si>
  <si>
    <t>Eleftherakis</t>
  </si>
  <si>
    <t>GRE0829</t>
  </si>
  <si>
    <t>BRA0181</t>
  </si>
  <si>
    <t>Farmer</t>
  </si>
  <si>
    <t>Grahame</t>
  </si>
  <si>
    <t>ENG0596</t>
  </si>
  <si>
    <t>Flaaten</t>
  </si>
  <si>
    <t>Audun</t>
  </si>
  <si>
    <t>NOR0022</t>
  </si>
  <si>
    <t>Flémal</t>
  </si>
  <si>
    <t>BEL0485</t>
  </si>
  <si>
    <t>Gilmour</t>
  </si>
  <si>
    <t>Al</t>
  </si>
  <si>
    <t>ENG0597</t>
  </si>
  <si>
    <t>Håland</t>
  </si>
  <si>
    <t>Jostein</t>
  </si>
  <si>
    <t>NOR0023</t>
  </si>
  <si>
    <t>Sula</t>
  </si>
  <si>
    <t>Hambrouck</t>
  </si>
  <si>
    <t>BEL0223</t>
  </si>
  <si>
    <t>Hawcroft</t>
  </si>
  <si>
    <t>ENG0595</t>
  </si>
  <si>
    <t>Henderson</t>
  </si>
  <si>
    <t>ENG0590</t>
  </si>
  <si>
    <t>Ishida</t>
  </si>
  <si>
    <t>JPN195</t>
  </si>
  <si>
    <t>WAL0054</t>
  </si>
  <si>
    <t>Johnson</t>
  </si>
  <si>
    <t>ENG0585</t>
  </si>
  <si>
    <t>Kataoka</t>
  </si>
  <si>
    <t>JPN197</t>
  </si>
  <si>
    <t>Katsaras</t>
  </si>
  <si>
    <t>CYP0054</t>
  </si>
  <si>
    <t>Kom</t>
  </si>
  <si>
    <t>John Hardy</t>
  </si>
  <si>
    <t>ENG0587</t>
  </si>
  <si>
    <t>Kruse</t>
  </si>
  <si>
    <t>AUS0052</t>
  </si>
  <si>
    <t>Lefèbvre</t>
  </si>
  <si>
    <t>Mahoney</t>
  </si>
  <si>
    <t>ENG0588</t>
  </si>
  <si>
    <t>ESP0605</t>
  </si>
  <si>
    <t>Milanesi</t>
  </si>
  <si>
    <t>ITA3326</t>
  </si>
  <si>
    <t>Monte</t>
  </si>
  <si>
    <t>ITA0579</t>
  </si>
  <si>
    <t>Moscato</t>
  </si>
  <si>
    <t>ITA3494</t>
  </si>
  <si>
    <t>GRE0830</t>
  </si>
  <si>
    <t>Noël</t>
  </si>
  <si>
    <t>Okamoto</t>
  </si>
  <si>
    <t>JPN196</t>
  </si>
  <si>
    <t>Ollnow</t>
  </si>
  <si>
    <t>AUS0142</t>
  </si>
  <si>
    <t>ITA3378</t>
  </si>
  <si>
    <t>Parisi</t>
  </si>
  <si>
    <t>ITA1149</t>
  </si>
  <si>
    <t>POR0251</t>
  </si>
  <si>
    <t>Pountney</t>
  </si>
  <si>
    <t>ENG0589</t>
  </si>
  <si>
    <t>ITA2436</t>
  </si>
  <si>
    <t>Rosenkranz</t>
  </si>
  <si>
    <t>GER0160</t>
  </si>
  <si>
    <t>Sabadini</t>
  </si>
  <si>
    <t>ITA3495</t>
  </si>
  <si>
    <t>Skotiniotis</t>
  </si>
  <si>
    <t>GRE0828</t>
  </si>
  <si>
    <t>Soria García</t>
  </si>
  <si>
    <t>ESP0607</t>
  </si>
  <si>
    <t>stock</t>
  </si>
  <si>
    <t>Strongitharm</t>
  </si>
  <si>
    <t>ENG0586</t>
  </si>
  <si>
    <t>Ty</t>
  </si>
  <si>
    <t>GRE0691</t>
  </si>
  <si>
    <t>Van Renterghem</t>
  </si>
  <si>
    <t>BEL0193</t>
  </si>
  <si>
    <t>Viazovska</t>
  </si>
  <si>
    <t>Yevanhelina</t>
  </si>
  <si>
    <t>ITA3496</t>
  </si>
  <si>
    <t>Weston</t>
  </si>
  <si>
    <t>ENG0593</t>
  </si>
  <si>
    <t>Yamazoe</t>
  </si>
  <si>
    <t>JPN199</t>
  </si>
  <si>
    <t>Yasuda</t>
  </si>
  <si>
    <t>JPN200</t>
  </si>
  <si>
    <t>Yukina</t>
  </si>
  <si>
    <t>JPN198</t>
  </si>
  <si>
    <t>Subbutéo Club Marseille</t>
  </si>
  <si>
    <t>FRAC031</t>
  </si>
  <si>
    <t>FIS</t>
  </si>
  <si>
    <t>Easterns Table Football Club</t>
  </si>
  <si>
    <t>RSA</t>
  </si>
  <si>
    <t>RSA001</t>
  </si>
  <si>
    <t>cap</t>
  </si>
  <si>
    <t>RSA002</t>
  </si>
  <si>
    <t>ETS Subbuteo Club</t>
  </si>
  <si>
    <t>RSA003</t>
  </si>
  <si>
    <t>Sporting America TSC</t>
  </si>
  <si>
    <t>USAC066</t>
  </si>
  <si>
    <t>Chloé Despretz (BEL)</t>
  </si>
  <si>
    <t>Olivia Huet (BEL)</t>
  </si>
  <si>
    <t>Raphaël Pommier (FRA)</t>
  </si>
  <si>
    <t>Jean-Marie Amberny (FRA)</t>
  </si>
  <si>
    <t>Théo Modeste (FRA)</t>
  </si>
  <si>
    <t>Axel Donval (FRA)</t>
  </si>
  <si>
    <t>Romain Lafontaine (FRA)</t>
  </si>
  <si>
    <t>Fayçal Rouis (FRA)</t>
  </si>
  <si>
    <t>Axel Modeste (FRA)</t>
  </si>
  <si>
    <t>Thierry Vivron (FRA)</t>
  </si>
  <si>
    <t>Stéphane Pommier (FRA)</t>
  </si>
  <si>
    <t>Xavier Dubois (FRA)</t>
  </si>
  <si>
    <t>Audrey Herbaut (FRA)</t>
  </si>
  <si>
    <t>Françoise Guyot (FRA)</t>
  </si>
  <si>
    <t>Irène Linquercq-Rivière (FRA)</t>
  </si>
  <si>
    <t>Quentin Ausset (FRA)</t>
  </si>
  <si>
    <t>Fanch Coquillon (FRA)</t>
  </si>
  <si>
    <t>Louis Soret (FRA)</t>
  </si>
  <si>
    <t>Maël Teixido-Regnier (FRA)</t>
  </si>
  <si>
    <t>Rafaël Midoux (FRA)</t>
  </si>
  <si>
    <t>Simon Carmona (FRA)</t>
  </si>
  <si>
    <t>Clément Bondi (FRA)</t>
  </si>
  <si>
    <t>Augustin Ledoit (FRA)</t>
  </si>
  <si>
    <t>Gabriel Chiappetta (FRA)</t>
  </si>
  <si>
    <t>Charlotte Troestler (FRA)</t>
  </si>
  <si>
    <t>Isaac Brignon-Kiegl (FRA)</t>
  </si>
  <si>
    <t>Marcel Kwiatkowski (GER)</t>
  </si>
  <si>
    <t>Marcel Schulz (GER)</t>
  </si>
  <si>
    <t>Marc Reitz (GER)</t>
  </si>
  <si>
    <t>Marcus Tilgner (GER)</t>
  </si>
  <si>
    <t>Marian Flemer (GER)</t>
  </si>
  <si>
    <t>Frank Stiller (GER)</t>
  </si>
  <si>
    <t>Panagiotis Krommydas (GER)</t>
  </si>
  <si>
    <t>Thossa Büsing (GER)</t>
  </si>
  <si>
    <t>Victoria Büsing (GER)</t>
  </si>
  <si>
    <t>Daria Tilgner (GER)</t>
  </si>
  <si>
    <t>Noah Wulff (GER)</t>
  </si>
  <si>
    <t>Konstantinos Konidaris (GRE)</t>
  </si>
  <si>
    <t>Daigo Mori (JPN)</t>
  </si>
  <si>
    <t>Shusuke Takahashi (JPN)</t>
  </si>
  <si>
    <t>Kotetsu Kanda (JPN)</t>
  </si>
  <si>
    <t>Terje Ellefsen (NOR)</t>
  </si>
  <si>
    <t>Jostein Håland (NOR)</t>
  </si>
  <si>
    <t>Eric Naszalyi (FRA)</t>
  </si>
  <si>
    <t>Transparent-Cyborg</t>
  </si>
  <si>
    <t>Millar</t>
  </si>
  <si>
    <t>Wayne</t>
  </si>
  <si>
    <t>AUS0197</t>
  </si>
  <si>
    <t>Orr</t>
  </si>
  <si>
    <t>Gordon</t>
  </si>
  <si>
    <t>AUS0203</t>
  </si>
  <si>
    <t>Dery</t>
  </si>
  <si>
    <t>Spartans Larnaca TFC</t>
  </si>
  <si>
    <t>Demetris</t>
  </si>
  <si>
    <t>CYP0055</t>
  </si>
  <si>
    <t>CYP0056</t>
  </si>
  <si>
    <t>Marneros</t>
  </si>
  <si>
    <t>CYP0057</t>
  </si>
  <si>
    <t>Panaretos</t>
  </si>
  <si>
    <t>Panayiotis</t>
  </si>
  <si>
    <t>CYP0058</t>
  </si>
  <si>
    <t>Koumas</t>
  </si>
  <si>
    <t>CYP0059</t>
  </si>
  <si>
    <t>CYP0060</t>
  </si>
  <si>
    <t>PINCO DEVILS TABLE SOCCER</t>
  </si>
  <si>
    <t>Langton Green Subbuteo Club</t>
  </si>
  <si>
    <t>Hawley</t>
  </si>
  <si>
    <t>ENG0599</t>
  </si>
  <si>
    <t>Vensyk</t>
  </si>
  <si>
    <t>ENG0600</t>
  </si>
  <si>
    <t>Soler</t>
  </si>
  <si>
    <t>ESP0234</t>
  </si>
  <si>
    <t>Torrico</t>
  </si>
  <si>
    <t>Emilio Tomás</t>
  </si>
  <si>
    <t>ESP0426</t>
  </si>
  <si>
    <t>SC Móstoles</t>
  </si>
  <si>
    <t>ESP0453</t>
  </si>
  <si>
    <t>SC Madrid</t>
  </si>
  <si>
    <t>Redondo</t>
  </si>
  <si>
    <t>ESP0508</t>
  </si>
  <si>
    <t>Rodríguez Viñas</t>
  </si>
  <si>
    <t>Xian</t>
  </si>
  <si>
    <t>ESP0566</t>
  </si>
  <si>
    <t>García López</t>
  </si>
  <si>
    <t>ESP0575</t>
  </si>
  <si>
    <t>Romera</t>
  </si>
  <si>
    <t>Mercado</t>
  </si>
  <si>
    <t>Iñigo Villacorta</t>
  </si>
  <si>
    <t>ESP0610</t>
  </si>
  <si>
    <t>Iñigo Acosta</t>
  </si>
  <si>
    <t>ESP0611</t>
  </si>
  <si>
    <t>García Luque</t>
  </si>
  <si>
    <t>ESP0612</t>
  </si>
  <si>
    <t>Alcolea Martínez</t>
  </si>
  <si>
    <t>ESP0613</t>
  </si>
  <si>
    <t>ESP0614</t>
  </si>
  <si>
    <t>FRA0009</t>
  </si>
  <si>
    <t>Herve</t>
  </si>
  <si>
    <t>Jerome</t>
  </si>
  <si>
    <t>Benand</t>
  </si>
  <si>
    <t>FRA0167</t>
  </si>
  <si>
    <t>Chennevrière</t>
  </si>
  <si>
    <t>Poupart</t>
  </si>
  <si>
    <t>Lea</t>
  </si>
  <si>
    <t>Les Ducs Chalon-sur-Saône FTSC</t>
  </si>
  <si>
    <t>Rugard Angot</t>
  </si>
  <si>
    <t>Isaiah</t>
  </si>
  <si>
    <t>FRA0299</t>
  </si>
  <si>
    <t>Lunard</t>
  </si>
  <si>
    <t>FRA0300</t>
  </si>
  <si>
    <t>Long Andreani</t>
  </si>
  <si>
    <t>FRA0301</t>
  </si>
  <si>
    <t>Section Subbutéo Squadra Omessinca</t>
  </si>
  <si>
    <t>Thibaudeau</t>
  </si>
  <si>
    <t>Léandre</t>
  </si>
  <si>
    <t>FRA0302</t>
  </si>
  <si>
    <t>Hortegat</t>
  </si>
  <si>
    <t>FRA0303</t>
  </si>
  <si>
    <t>Sourdot</t>
  </si>
  <si>
    <t>FRA0304</t>
  </si>
  <si>
    <t>Parmentier</t>
  </si>
  <si>
    <t>FRA0305</t>
  </si>
  <si>
    <t>Larrouy</t>
  </si>
  <si>
    <t>FRA0306</t>
  </si>
  <si>
    <t>Voet</t>
  </si>
  <si>
    <t>FRA0307</t>
  </si>
  <si>
    <t>Bodelle</t>
  </si>
  <si>
    <t>FRA0308</t>
  </si>
  <si>
    <t>Marville</t>
  </si>
  <si>
    <t>Thibaut</t>
  </si>
  <si>
    <t>FRA0309</t>
  </si>
  <si>
    <t>Dautel</t>
  </si>
  <si>
    <t>Manoa</t>
  </si>
  <si>
    <t>FRA0310</t>
  </si>
  <si>
    <t>Bouree</t>
  </si>
  <si>
    <t>FRA0311</t>
  </si>
  <si>
    <t>Badignon</t>
  </si>
  <si>
    <t>FRA0312</t>
  </si>
  <si>
    <t>Rethore</t>
  </si>
  <si>
    <t>Jean Marc</t>
  </si>
  <si>
    <t>FRA0313</t>
  </si>
  <si>
    <t>Martine</t>
  </si>
  <si>
    <t>FRA0315</t>
  </si>
  <si>
    <t>Vinh</t>
  </si>
  <si>
    <t>FRA0316</t>
  </si>
  <si>
    <t>Becka</t>
  </si>
  <si>
    <t>Rodolphe</t>
  </si>
  <si>
    <t>FRA0317</t>
  </si>
  <si>
    <t>FRA0318</t>
  </si>
  <si>
    <t>Poitou Football de Table Club</t>
  </si>
  <si>
    <t>Laloy</t>
  </si>
  <si>
    <t>FRA0319</t>
  </si>
  <si>
    <t>DLF Gorizia</t>
  </si>
  <si>
    <t>Polis Athlitikos Syllogos Daskaliou Kerateas</t>
  </si>
  <si>
    <t>Charilaos Trikoupis</t>
  </si>
  <si>
    <t>Grumberger</t>
  </si>
  <si>
    <t>ITA0422</t>
  </si>
  <si>
    <t>Melia</t>
  </si>
  <si>
    <t>ITA0560</t>
  </si>
  <si>
    <t>Asd CT Aosta Warriors</t>
  </si>
  <si>
    <t>Friggeri</t>
  </si>
  <si>
    <t>ITA1251</t>
  </si>
  <si>
    <t>CTS Versilia Football Planet</t>
  </si>
  <si>
    <t>Pizzella</t>
  </si>
  <si>
    <t>ITA2037</t>
  </si>
  <si>
    <t>ITA2078</t>
  </si>
  <si>
    <t>Bastianoni</t>
  </si>
  <si>
    <t>ITA2334</t>
  </si>
  <si>
    <t>Molino</t>
  </si>
  <si>
    <t>ITA2402</t>
  </si>
  <si>
    <t>Di Vita</t>
  </si>
  <si>
    <t>Rossano</t>
  </si>
  <si>
    <t>ITA2948</t>
  </si>
  <si>
    <t>Bacchini</t>
  </si>
  <si>
    <t>Mancinelli</t>
  </si>
  <si>
    <t>ITA3195</t>
  </si>
  <si>
    <t>Berselli</t>
  </si>
  <si>
    <t>ITA0099</t>
  </si>
  <si>
    <t>Braschi</t>
  </si>
  <si>
    <t>ITA0132</t>
  </si>
  <si>
    <t>ITA0654</t>
  </si>
  <si>
    <t>ITA3461</t>
  </si>
  <si>
    <t>Martina</t>
  </si>
  <si>
    <t>ITA0704</t>
  </si>
  <si>
    <t>ITA1263</t>
  </si>
  <si>
    <t>ITA1504</t>
  </si>
  <si>
    <t>Mulinacci</t>
  </si>
  <si>
    <t>ITA2101</t>
  </si>
  <si>
    <t>De Filippis</t>
  </si>
  <si>
    <t>ITA2109</t>
  </si>
  <si>
    <t>Morini</t>
  </si>
  <si>
    <t>ITA2335</t>
  </si>
  <si>
    <t>D'Amico</t>
  </si>
  <si>
    <t>ITA2465</t>
  </si>
  <si>
    <t>ASD Ct Aosta Warriors</t>
  </si>
  <si>
    <t>Lapucci</t>
  </si>
  <si>
    <t>ITA2570</t>
  </si>
  <si>
    <t>Arrighini</t>
  </si>
  <si>
    <t>Andrea Carlo</t>
  </si>
  <si>
    <t>ITA2721</t>
  </si>
  <si>
    <t>ITA2902</t>
  </si>
  <si>
    <t>Ravazzani</t>
  </si>
  <si>
    <t>ITA2565</t>
  </si>
  <si>
    <t>Beducci</t>
  </si>
  <si>
    <t>ITA2410</t>
  </si>
  <si>
    <t>Frola</t>
  </si>
  <si>
    <t>ITA3507</t>
  </si>
  <si>
    <t>Gatti</t>
  </si>
  <si>
    <t>ITA3410</t>
  </si>
  <si>
    <t>Giotti</t>
  </si>
  <si>
    <t>ITA3514</t>
  </si>
  <si>
    <t>Lazzarini</t>
  </si>
  <si>
    <t>ITA3433</t>
  </si>
  <si>
    <t>Calamari</t>
  </si>
  <si>
    <t>ITA3513</t>
  </si>
  <si>
    <t>Subbuteo Club Nara</t>
  </si>
  <si>
    <t>Azure Tokyo</t>
  </si>
  <si>
    <t>Tokyo Sparkling Shooters</t>
  </si>
  <si>
    <t>Table Football Club Kashiwa Sunrise</t>
  </si>
  <si>
    <t>SAITAMA MARINES</t>
  </si>
  <si>
    <t>TKy'sBeHEAVENESE TFC</t>
  </si>
  <si>
    <t>Fukushima Table Football Club</t>
  </si>
  <si>
    <t>Tokyo Crossover Flickers</t>
  </si>
  <si>
    <t>Yokoyama</t>
  </si>
  <si>
    <t>Yuri</t>
  </si>
  <si>
    <t>JPN201</t>
  </si>
  <si>
    <t>Mitsuogi</t>
  </si>
  <si>
    <t>Ryoga</t>
  </si>
  <si>
    <t>JPN202</t>
  </si>
  <si>
    <t>ASAKUSA ZOO TFC</t>
  </si>
  <si>
    <t>Goto</t>
  </si>
  <si>
    <t>JPN203</t>
  </si>
  <si>
    <t>Kameo</t>
  </si>
  <si>
    <t>JPN204</t>
  </si>
  <si>
    <t>Mitoshi</t>
  </si>
  <si>
    <t>JPN205</t>
  </si>
  <si>
    <t>Nitta</t>
  </si>
  <si>
    <t>Tsuyoshi</t>
  </si>
  <si>
    <t>JPN206</t>
  </si>
  <si>
    <t>Nakamura</t>
  </si>
  <si>
    <t>JPN207</t>
  </si>
  <si>
    <t>Naganuma</t>
  </si>
  <si>
    <t>JPN208</t>
  </si>
  <si>
    <t>Chatterje</t>
  </si>
  <si>
    <t>Ranajit</t>
  </si>
  <si>
    <t>JPN209</t>
  </si>
  <si>
    <t>Daiki</t>
  </si>
  <si>
    <t>JPN210</t>
  </si>
  <si>
    <t>Natsume</t>
  </si>
  <si>
    <t>Yusuke</t>
  </si>
  <si>
    <t>JPN211</t>
  </si>
  <si>
    <t>Kimura</t>
  </si>
  <si>
    <t>Tomokazu</t>
  </si>
  <si>
    <t>JPN212</t>
  </si>
  <si>
    <t>Uchii</t>
  </si>
  <si>
    <t>Uryu</t>
  </si>
  <si>
    <t>JPN213</t>
  </si>
  <si>
    <t>Matsuoka</t>
  </si>
  <si>
    <t>Keigo</t>
  </si>
  <si>
    <t>JPN214</t>
  </si>
  <si>
    <t>Kenji</t>
  </si>
  <si>
    <t>JPN215</t>
  </si>
  <si>
    <t>Fujiwara</t>
  </si>
  <si>
    <t>Yuta</t>
  </si>
  <si>
    <t>JPN216</t>
  </si>
  <si>
    <t>Kota</t>
  </si>
  <si>
    <t>JPN217</t>
  </si>
  <si>
    <t>Shoma</t>
  </si>
  <si>
    <t>JPN218</t>
  </si>
  <si>
    <t>Ryo</t>
  </si>
  <si>
    <t>JPN219</t>
  </si>
  <si>
    <t>Kosaka</t>
  </si>
  <si>
    <t>JPN220</t>
  </si>
  <si>
    <t>GRAVURE TOKYO</t>
  </si>
  <si>
    <t>Akiyama</t>
  </si>
  <si>
    <t>JPN221</t>
  </si>
  <si>
    <t>JPN222</t>
  </si>
  <si>
    <t>Yayoi</t>
  </si>
  <si>
    <t>JPN223</t>
  </si>
  <si>
    <t>Endo</t>
  </si>
  <si>
    <t>Junki</t>
  </si>
  <si>
    <t>JPN224</t>
  </si>
  <si>
    <t>Yamamoto</t>
  </si>
  <si>
    <t>JPN225</t>
  </si>
  <si>
    <t>MARADONA TOKYO</t>
  </si>
  <si>
    <t>Mima</t>
  </si>
  <si>
    <t>Taku</t>
  </si>
  <si>
    <t>JPN226</t>
  </si>
  <si>
    <t>Homma</t>
  </si>
  <si>
    <t>Takumi</t>
  </si>
  <si>
    <t>JPN227</t>
  </si>
  <si>
    <t>Yoshioka</t>
  </si>
  <si>
    <t>Haru</t>
  </si>
  <si>
    <t>JPN228</t>
  </si>
  <si>
    <t>Maruyama</t>
  </si>
  <si>
    <t>Takahiro</t>
  </si>
  <si>
    <t>JPN229</t>
  </si>
  <si>
    <t>Yamazaki</t>
  </si>
  <si>
    <t>Shinji</t>
  </si>
  <si>
    <t>JPN230</t>
  </si>
  <si>
    <t>Maeda</t>
  </si>
  <si>
    <t>Shingo</t>
  </si>
  <si>
    <t>JPN231</t>
  </si>
  <si>
    <t>Kusano</t>
  </si>
  <si>
    <t>Toshiya</t>
  </si>
  <si>
    <t>JPN232</t>
  </si>
  <si>
    <t>Kawasaki</t>
  </si>
  <si>
    <t>Shinobu</t>
  </si>
  <si>
    <t>JPN233</t>
  </si>
  <si>
    <t>Saemi</t>
  </si>
  <si>
    <t>JPN234</t>
  </si>
  <si>
    <t>Mitsuhide</t>
  </si>
  <si>
    <t>Iwaki</t>
  </si>
  <si>
    <t>JPN235</t>
  </si>
  <si>
    <t>Ogane</t>
  </si>
  <si>
    <t>JPN236</t>
  </si>
  <si>
    <t>Abe</t>
  </si>
  <si>
    <t>JPN237</t>
  </si>
  <si>
    <t>Furutate</t>
  </si>
  <si>
    <t>Masaaki</t>
  </si>
  <si>
    <t>JPN238</t>
  </si>
  <si>
    <t>Toshiki</t>
  </si>
  <si>
    <t>JPN239</t>
  </si>
  <si>
    <t>Sakai</t>
  </si>
  <si>
    <t>Kazunari</t>
  </si>
  <si>
    <t>JPN240</t>
  </si>
  <si>
    <t>Kie</t>
  </si>
  <si>
    <t>JPN241</t>
  </si>
  <si>
    <t>Takashi</t>
  </si>
  <si>
    <t>JPN242</t>
  </si>
  <si>
    <t>Oota</t>
  </si>
  <si>
    <t>Mai</t>
  </si>
  <si>
    <t>JPN243</t>
  </si>
  <si>
    <t>Sugawara</t>
  </si>
  <si>
    <t>Sho</t>
  </si>
  <si>
    <t>JPN244</t>
  </si>
  <si>
    <t>Kazuharu</t>
  </si>
  <si>
    <t>JPN245</t>
  </si>
  <si>
    <t>Kazuko</t>
  </si>
  <si>
    <t>JPN246</t>
  </si>
  <si>
    <t>Kei</t>
  </si>
  <si>
    <t>Kawamura</t>
  </si>
  <si>
    <t>JPN247</t>
  </si>
  <si>
    <t>Yoshimasa</t>
  </si>
  <si>
    <t>Tamura</t>
  </si>
  <si>
    <t>JPN248</t>
  </si>
  <si>
    <t>TS Messina</t>
  </si>
  <si>
    <t>Tanti</t>
  </si>
  <si>
    <t>Natalino</t>
  </si>
  <si>
    <t>MLT0119</t>
  </si>
  <si>
    <t>NZL0001</t>
  </si>
  <si>
    <t>NZL0002</t>
  </si>
  <si>
    <t>Shearer</t>
  </si>
  <si>
    <t>NZL0003</t>
  </si>
  <si>
    <t>NZL0004</t>
  </si>
  <si>
    <t>NZL0005</t>
  </si>
  <si>
    <t>Miller</t>
  </si>
  <si>
    <t>NZL0006</t>
  </si>
  <si>
    <t>NZL0007</t>
  </si>
  <si>
    <t>NZL0008</t>
  </si>
  <si>
    <t>McNeil</t>
  </si>
  <si>
    <t>NZL0009</t>
  </si>
  <si>
    <t>Schofield</t>
  </si>
  <si>
    <t>Matty</t>
  </si>
  <si>
    <t>NZL0010</t>
  </si>
  <si>
    <t>Hamerton</t>
  </si>
  <si>
    <t>NZL0011</t>
  </si>
  <si>
    <t>Dragonrose Subbuteo Club</t>
  </si>
  <si>
    <t>Noonan</t>
  </si>
  <si>
    <t>NZL0012</t>
  </si>
  <si>
    <t>O'Donnell</t>
  </si>
  <si>
    <t>Jim</t>
  </si>
  <si>
    <t>NZL0013</t>
  </si>
  <si>
    <t>Mavericks Manawatu Subbuteo Club</t>
  </si>
  <si>
    <t>Terence</t>
  </si>
  <si>
    <t>NZL0015</t>
  </si>
  <si>
    <t>Cascalheira</t>
  </si>
  <si>
    <t>NZL0016</t>
  </si>
  <si>
    <t>Cooke</t>
  </si>
  <si>
    <t>NZL0014</t>
  </si>
  <si>
    <t>POR0252</t>
  </si>
  <si>
    <t>João P</t>
  </si>
  <si>
    <t>POR0064</t>
  </si>
  <si>
    <t>João B</t>
  </si>
  <si>
    <t>POR0065</t>
  </si>
  <si>
    <t>Dohner</t>
  </si>
  <si>
    <t>Collin</t>
  </si>
  <si>
    <t>USA0115</t>
  </si>
  <si>
    <t>USA0437</t>
  </si>
  <si>
    <t>O'Malley</t>
  </si>
  <si>
    <t>USA0438</t>
  </si>
  <si>
    <t>Lopez</t>
  </si>
  <si>
    <t>José Jr</t>
  </si>
  <si>
    <t>USA0439</t>
  </si>
  <si>
    <t>USA0440</t>
  </si>
  <si>
    <t>Joao Bruno</t>
  </si>
  <si>
    <t>USA0441</t>
  </si>
  <si>
    <t>Langton Green</t>
  </si>
  <si>
    <t>poi</t>
  </si>
  <si>
    <t>FRAC032</t>
  </si>
  <si>
    <t>duc</t>
  </si>
  <si>
    <t>FRAC033</t>
  </si>
  <si>
    <t>Charilaos Trikoupis TS</t>
  </si>
  <si>
    <t>GREC032</t>
  </si>
  <si>
    <t>vfp</t>
  </si>
  <si>
    <t>ITAC195</t>
  </si>
  <si>
    <t>ASD Union Kroton 1988</t>
  </si>
  <si>
    <t>ITAC199</t>
  </si>
  <si>
    <t>tky</t>
  </si>
  <si>
    <t>JPNC016</t>
  </si>
  <si>
    <t>tks</t>
  </si>
  <si>
    <t>JPNC017</t>
  </si>
  <si>
    <t>ask</t>
  </si>
  <si>
    <t>JPNC018</t>
  </si>
  <si>
    <t>tkc</t>
  </si>
  <si>
    <t>JPNC019</t>
  </si>
  <si>
    <t>kas</t>
  </si>
  <si>
    <t>JPNC020</t>
  </si>
  <si>
    <t>mtk</t>
  </si>
  <si>
    <t>JPNC021</t>
  </si>
  <si>
    <t>gtk</t>
  </si>
  <si>
    <t>JPNC022</t>
  </si>
  <si>
    <t>JPNC023</t>
  </si>
  <si>
    <t>fuk</t>
  </si>
  <si>
    <t>JPNC024</t>
  </si>
  <si>
    <t>azu</t>
  </si>
  <si>
    <t>JPNC025</t>
  </si>
  <si>
    <t>VAN OS</t>
  </si>
  <si>
    <t>VOGIATZIS</t>
  </si>
  <si>
    <t>TORRICO</t>
  </si>
  <si>
    <t>KOSMAS</t>
  </si>
  <si>
    <t>ZANGYLOS</t>
  </si>
  <si>
    <t>PARPERIS</t>
  </si>
  <si>
    <t>KALOPSIDIOTIS</t>
  </si>
  <si>
    <t>PANARETOS</t>
  </si>
  <si>
    <t>STYLIANOU</t>
  </si>
  <si>
    <t>MITSUOGI</t>
  </si>
  <si>
    <t>GÄHWILER</t>
  </si>
  <si>
    <t>PHOKOS</t>
  </si>
  <si>
    <t>WHALLEY</t>
  </si>
  <si>
    <t>KOUMAS</t>
  </si>
  <si>
    <t>NIKOLAU</t>
  </si>
  <si>
    <t>ORR</t>
  </si>
  <si>
    <t>MILLAR</t>
  </si>
  <si>
    <t>BENAND</t>
  </si>
  <si>
    <t>GOTO</t>
  </si>
  <si>
    <t>YOKOYAMA</t>
  </si>
  <si>
    <t>Club with No Licence : Northern Line Flickers TFC</t>
  </si>
  <si>
    <t>Lea Poupart (FRA)</t>
  </si>
  <si>
    <t>Daniel Vensyk (ENG)</t>
  </si>
  <si>
    <t>Andrea Ciccarelli (ITA)</t>
  </si>
  <si>
    <t>1</t>
  </si>
  <si>
    <t>\GMFT-Dashboard-Templates\GMFT_Dashboard_V6.0-Portrait.xls</t>
  </si>
  <si>
    <t>Last4</t>
  </si>
  <si>
    <t>13</t>
  </si>
  <si>
    <t>Session Nbr 13</t>
  </si>
  <si>
    <t>!!! EQUALITY !!!</t>
  </si>
  <si>
    <t>&lt;FEDERATION&gt; &lt;Event Name&gt;&lt;YYYY&gt; - &lt;Location&gt; - &lt;Individuals/Teams&gt; Competition</t>
  </si>
  <si>
    <t>&lt;Event Date(s)&gt;</t>
  </si>
  <si>
    <t>\GMFT-LocalWebServer\GMFT-TournamentWebSite-Template\GMFT-RegistrationsWebPage-Template</t>
  </si>
  <si>
    <t>&lt;span style="font-size: 1.5rem; line-height: 1.5;"&gt;Welcome on the Web site of the tournament.&lt;/span&gt;&lt;br&gt;_x000D_
&lt;span style="font-size: 1.5rem; line-height: 1.5;"&gt;_x000D_
    For this tournament, HEAD REFEREES are:_x000D_
    &lt;ul&gt;_x000D_
        &lt;strong&gt;_x000D_
        &lt;li&gt;...&lt;/li&gt;_x000D_
        &lt;li&gt;...&lt;/li&gt;_x000D_
        &lt;li&gt;...&lt;/li&gt;_x000D_
        &lt;/strong&gt;_x000D_
    Thanks to them !_x000D_
    &lt;/ul&gt;_x000D_
IMPORTANT NOTE TO ALL PLAYERS&lt;br&gt;_x000D_
The guide to the conduct of player refereeing is based primarily on the fairness in the number of matches refereed by each player.&lt;br&gt;As a result, in the event of a barrage, the players eliminated at the end of the group stage who do not referee in the play-offs, must wait to know if they will referee the next phase before they can leave the competition._x000D_
&lt;/span&gt;</t>
  </si>
  <si>
    <t>Bullock</t>
  </si>
  <si>
    <t>AUS0213</t>
  </si>
  <si>
    <t>Bouchez</t>
  </si>
  <si>
    <t>BEL0027</t>
  </si>
  <si>
    <t>BEL0028</t>
  </si>
  <si>
    <t>BEL0266</t>
  </si>
  <si>
    <t>Brach</t>
  </si>
  <si>
    <t>BEL0127</t>
  </si>
  <si>
    <t>Casciano</t>
  </si>
  <si>
    <t>BEL0014</t>
  </si>
  <si>
    <t>Ceulemans</t>
  </si>
  <si>
    <t>Jos</t>
  </si>
  <si>
    <t>BEL0045</t>
  </si>
  <si>
    <t>BEL0008</t>
  </si>
  <si>
    <t>Denooz</t>
  </si>
  <si>
    <t>BEL0020</t>
  </si>
  <si>
    <t>Di Ruggiero</t>
  </si>
  <si>
    <t>BEL0017</t>
  </si>
  <si>
    <t>BEL0487</t>
  </si>
  <si>
    <t>Fraikin</t>
  </si>
  <si>
    <t>BEL0134</t>
  </si>
  <si>
    <t>BEL0240</t>
  </si>
  <si>
    <t>Goffin</t>
  </si>
  <si>
    <t>BEL0460</t>
  </si>
  <si>
    <t>BEL0260</t>
  </si>
  <si>
    <t>BEL0227</t>
  </si>
  <si>
    <t>Hanotiaux</t>
  </si>
  <si>
    <t>Alain</t>
  </si>
  <si>
    <t>BEL0019</t>
  </si>
  <si>
    <t>Henrioul</t>
  </si>
  <si>
    <t>Jody</t>
  </si>
  <si>
    <t>BEL0032</t>
  </si>
  <si>
    <t>Lelubre</t>
  </si>
  <si>
    <t>BEL0034</t>
  </si>
  <si>
    <t>Leys</t>
  </si>
  <si>
    <t>Geert</t>
  </si>
  <si>
    <t>BEL0052</t>
  </si>
  <si>
    <t>BEL0455</t>
  </si>
  <si>
    <t>Rairoux</t>
  </si>
  <si>
    <t>BEL0038</t>
  </si>
  <si>
    <t>Maxime</t>
  </si>
  <si>
    <t>BEL0039</t>
  </si>
  <si>
    <t>Ruelle</t>
  </si>
  <si>
    <t>Marius</t>
  </si>
  <si>
    <t>BEL0474</t>
  </si>
  <si>
    <t>Sceraert</t>
  </si>
  <si>
    <t>BEL0480</t>
  </si>
  <si>
    <t>Somers</t>
  </si>
  <si>
    <t>BEL0054</t>
  </si>
  <si>
    <t>Thiel</t>
  </si>
  <si>
    <t>BEL0337</t>
  </si>
  <si>
    <t>BEL0194</t>
  </si>
  <si>
    <t>Van Impe</t>
  </si>
  <si>
    <t>BEL0353</t>
  </si>
  <si>
    <t>BEL0488</t>
  </si>
  <si>
    <t>Willot</t>
  </si>
  <si>
    <t>Valéry</t>
  </si>
  <si>
    <t>BEL0447</t>
  </si>
  <si>
    <t>ENG0601</t>
  </si>
  <si>
    <t>Blackwell</t>
  </si>
  <si>
    <t>ENG0602</t>
  </si>
  <si>
    <t>Meredith</t>
  </si>
  <si>
    <t>ENG0604</t>
  </si>
  <si>
    <t>Nixon</t>
  </si>
  <si>
    <t>ENG0605</t>
  </si>
  <si>
    <t>Geronès</t>
  </si>
  <si>
    <t>Jordi</t>
  </si>
  <si>
    <t>ESP0494</t>
  </si>
  <si>
    <t>Albert</t>
  </si>
  <si>
    <t>ESP0546</t>
  </si>
  <si>
    <t>Curro</t>
  </si>
  <si>
    <t>ESP0599</t>
  </si>
  <si>
    <t>Telio</t>
  </si>
  <si>
    <t>FRA0188</t>
  </si>
  <si>
    <t>Barrot</t>
  </si>
  <si>
    <t>FRA0193</t>
  </si>
  <si>
    <t>Testud</t>
  </si>
  <si>
    <t>Dorian</t>
  </si>
  <si>
    <t>FRA0269</t>
  </si>
  <si>
    <t>Ippoliti</t>
  </si>
  <si>
    <t>FRA0320</t>
  </si>
  <si>
    <t>Hlupic</t>
  </si>
  <si>
    <t>Jean-Michel</t>
  </si>
  <si>
    <t>FRA0321</t>
  </si>
  <si>
    <t>Eigenmann</t>
  </si>
  <si>
    <t>Loic</t>
  </si>
  <si>
    <t>FRA0324</t>
  </si>
  <si>
    <t>Dreyer</t>
  </si>
  <si>
    <t>Cedric</t>
  </si>
  <si>
    <t>FRA0323</t>
  </si>
  <si>
    <t>Disser</t>
  </si>
  <si>
    <t>Isabelle</t>
  </si>
  <si>
    <t>FRA0322</t>
  </si>
  <si>
    <t>Gillet</t>
  </si>
  <si>
    <t>FRA0326</t>
  </si>
  <si>
    <t>Abecassis</t>
  </si>
  <si>
    <t>Lionel</t>
  </si>
  <si>
    <t>FRA0325</t>
  </si>
  <si>
    <t>Meo ('04)</t>
  </si>
  <si>
    <t>Belt</t>
  </si>
  <si>
    <t>NZL0017</t>
  </si>
  <si>
    <t>Hare</t>
  </si>
  <si>
    <t>NZL0018</t>
  </si>
  <si>
    <t>Wellington Dolphins Subbuteo Club</t>
  </si>
  <si>
    <t>rcf</t>
  </si>
  <si>
    <t>srs</t>
  </si>
  <si>
    <t>hrt</t>
  </si>
  <si>
    <t>mag</t>
  </si>
  <si>
    <t>mke</t>
  </si>
  <si>
    <t>ras</t>
  </si>
  <si>
    <t>lgt</t>
  </si>
  <si>
    <t>kir</t>
  </si>
  <si>
    <t>mrl</t>
  </si>
  <si>
    <t>Football de table de Pegomas</t>
  </si>
  <si>
    <t>pgm</t>
  </si>
  <si>
    <t>FRAC034</t>
  </si>
  <si>
    <t>eur</t>
  </si>
  <si>
    <t>ipl</t>
  </si>
  <si>
    <t>tms</t>
  </si>
  <si>
    <t>msc</t>
  </si>
  <si>
    <t>sai</t>
  </si>
  <si>
    <t>est</t>
  </si>
  <si>
    <t>afo</t>
  </si>
  <si>
    <t>ctn</t>
  </si>
  <si>
    <t>obx</t>
  </si>
  <si>
    <t>spa</t>
  </si>
  <si>
    <t>RAIROUX</t>
  </si>
  <si>
    <t>FRAIKIN</t>
  </si>
  <si>
    <t>BOUCHEZ</t>
  </si>
  <si>
    <t>LEYS</t>
  </si>
  <si>
    <t>THIEL</t>
  </si>
  <si>
    <t>LELUBRE</t>
  </si>
  <si>
    <t>BRACH</t>
  </si>
  <si>
    <t>DACEY</t>
  </si>
  <si>
    <t>DOMENICO</t>
  </si>
  <si>
    <t>CEULEMANS</t>
  </si>
  <si>
    <t>GERONÈS</t>
  </si>
  <si>
    <t>HENRIOUL</t>
  </si>
  <si>
    <t>CASCIANO</t>
  </si>
  <si>
    <t>BARROT</t>
  </si>
  <si>
    <t>WILLOT</t>
  </si>
  <si>
    <t>VAN IMPE</t>
  </si>
  <si>
    <t>DERY</t>
  </si>
  <si>
    <t>SARDI DE LETTO</t>
  </si>
  <si>
    <t>DI RUGGIERO</t>
  </si>
  <si>
    <t>TRIGGIANI</t>
  </si>
  <si>
    <t>REMUND</t>
  </si>
  <si>
    <t>SCERAERT</t>
  </si>
  <si>
    <t>HANOTIAUX</t>
  </si>
  <si>
    <t>SORGE</t>
  </si>
  <si>
    <t>CLAYDON</t>
  </si>
  <si>
    <t>HORNCASTLE</t>
  </si>
  <si>
    <t>VENSYK</t>
  </si>
  <si>
    <t>WARREN</t>
  </si>
  <si>
    <t>GOFFIN</t>
  </si>
  <si>
    <t>LEBUTTE</t>
  </si>
  <si>
    <t>CRAMER</t>
  </si>
  <si>
    <t>Categ</t>
  </si>
  <si>
    <t>Addition of 6 new Event categories (mainly to manage World Cup)
Addition of 2nd lot for Draw
5 new columns on the right of planning to show which kind of conflicts for referees
Addition of the Score column in the Planning on GMFT Competition Website
Different bug corrections detected during WC2024.</t>
  </si>
  <si>
    <t>This formula could be copied to calculate the rankings according to the player category in a club team =&gt;</t>
  </si>
  <si>
    <t>14.1</t>
  </si>
  <si>
    <t>Proposed formula (at the bottom of Checkin List) to display ranking of players within teams.</t>
  </si>
  <si>
    <t>M1 7A - 2B</t>
  </si>
  <si>
    <t>M2 10A - 1B</t>
  </si>
  <si>
    <t>M3 11A - 4B</t>
  </si>
  <si>
    <t>M4 12A - 3B</t>
  </si>
  <si>
    <t>M5 12B - 9B</t>
  </si>
  <si>
    <t>M6 6B - 7B</t>
  </si>
  <si>
    <t>M7 10B - 11B</t>
  </si>
  <si>
    <t>M8 8B - 5B</t>
  </si>
  <si>
    <t>1A - M7</t>
  </si>
  <si>
    <t>M6 - 4A</t>
  </si>
  <si>
    <t>M1 11A - 4B</t>
  </si>
  <si>
    <t>M2 2B - 6B</t>
  </si>
  <si>
    <t>M3 1B - 8B</t>
  </si>
  <si>
    <t>M4 3B - 11B</t>
  </si>
  <si>
    <t>M5 7B - 10B</t>
  </si>
  <si>
    <t>M6 5B - 9B</t>
  </si>
  <si>
    <t>14.2</t>
  </si>
  <si>
    <t>Compatibility with FISTF-Event-Report-Template-2023-V4.7.xlsx
Compatibility with new official FISTF Formula in competition HB V3 for 11 &amp; 12 groups</t>
  </si>
  <si>
    <t>14.3</t>
  </si>
  <si>
    <t>Compatibility with FISTF-Event-Report-Template-2023-V5,0.xlsx</t>
  </si>
  <si>
    <t>The Tumbleweeds</t>
  </si>
  <si>
    <t>Wightman</t>
  </si>
  <si>
    <t>AUS0032</t>
  </si>
  <si>
    <t>AUS0214</t>
  </si>
  <si>
    <t>Bonte</t>
  </si>
  <si>
    <t>Jordan</t>
  </si>
  <si>
    <t>BEL0272</t>
  </si>
  <si>
    <t>Demeuldre</t>
  </si>
  <si>
    <t>Louka</t>
  </si>
  <si>
    <t>BEL0495</t>
  </si>
  <si>
    <t>BEL0122</t>
  </si>
  <si>
    <t>Herman</t>
  </si>
  <si>
    <t>BEL0140</t>
  </si>
  <si>
    <t>Louison</t>
  </si>
  <si>
    <t>BEL0106</t>
  </si>
  <si>
    <t>BEL0316</t>
  </si>
  <si>
    <t>Ancion</t>
  </si>
  <si>
    <t>BEL0075</t>
  </si>
  <si>
    <t>Beckers</t>
  </si>
  <si>
    <t>BEL0123</t>
  </si>
  <si>
    <t>Dejardin</t>
  </si>
  <si>
    <t>BEL0079</t>
  </si>
  <si>
    <t>Delogne</t>
  </si>
  <si>
    <t>BEL0002</t>
  </si>
  <si>
    <t>BEL0130</t>
  </si>
  <si>
    <t>Dizier</t>
  </si>
  <si>
    <t>BEL0082</t>
  </si>
  <si>
    <t>Honet</t>
  </si>
  <si>
    <t>BEL0084</t>
  </si>
  <si>
    <t>Marlair</t>
  </si>
  <si>
    <t>BEL0440</t>
  </si>
  <si>
    <t>Muraille</t>
  </si>
  <si>
    <t>BEL0088</t>
  </si>
  <si>
    <t>Robillard</t>
  </si>
  <si>
    <t>BEL0090</t>
  </si>
  <si>
    <t>Saffer</t>
  </si>
  <si>
    <t>BEL0091</t>
  </si>
  <si>
    <t>Stevenot</t>
  </si>
  <si>
    <t>BEL0092</t>
  </si>
  <si>
    <t>Cheronnet</t>
  </si>
  <si>
    <t>Gaston</t>
  </si>
  <si>
    <t>BEL0491</t>
  </si>
  <si>
    <t>Hipfinger</t>
  </si>
  <si>
    <t>BEL0192</t>
  </si>
  <si>
    <t>Kirschvink</t>
  </si>
  <si>
    <t>BEL0490</t>
  </si>
  <si>
    <t>Frébutte</t>
  </si>
  <si>
    <t>Giulian</t>
  </si>
  <si>
    <t>BEL0492</t>
  </si>
  <si>
    <t>SC LIon's Eugies</t>
  </si>
  <si>
    <t>Outters</t>
  </si>
  <si>
    <t>Verstrepen</t>
  </si>
  <si>
    <t>BEL0244</t>
  </si>
  <si>
    <t>Sabetta</t>
  </si>
  <si>
    <t>BEL0318</t>
  </si>
  <si>
    <t>Coppenolle</t>
  </si>
  <si>
    <t>BEL0169</t>
  </si>
  <si>
    <t>Dhondt</t>
  </si>
  <si>
    <t>BEL0493</t>
  </si>
  <si>
    <t>Ursule</t>
  </si>
  <si>
    <t>BEL0494</t>
  </si>
  <si>
    <t>BEL0190</t>
  </si>
  <si>
    <t>BEL0489</t>
  </si>
  <si>
    <t>Caven</t>
  </si>
  <si>
    <t>CAN0056</t>
  </si>
  <si>
    <t>Creighton</t>
  </si>
  <si>
    <t>CAN0057</t>
  </si>
  <si>
    <t>Parkes</t>
  </si>
  <si>
    <t>CAN0058</t>
  </si>
  <si>
    <t>Ientile</t>
  </si>
  <si>
    <t>Domenic</t>
  </si>
  <si>
    <t>CAN0059</t>
  </si>
  <si>
    <t>Subbuteo Club of York Region</t>
  </si>
  <si>
    <t>Cubellis</t>
  </si>
  <si>
    <t>Pat</t>
  </si>
  <si>
    <t>CAN0060</t>
  </si>
  <si>
    <t>MacSween</t>
  </si>
  <si>
    <t>CAN0061</t>
  </si>
  <si>
    <t>Sparta Spryfield TFC</t>
  </si>
  <si>
    <t>Lachlan</t>
  </si>
  <si>
    <t>CAN0062</t>
  </si>
  <si>
    <t>Adderley</t>
  </si>
  <si>
    <t>ENG0003</t>
  </si>
  <si>
    <t>ENG0018</t>
  </si>
  <si>
    <t>Sutton</t>
  </si>
  <si>
    <t>ENG0056</t>
  </si>
  <si>
    <t>Caulfield</t>
  </si>
  <si>
    <t>ENG0067</t>
  </si>
  <si>
    <t>ENG0096</t>
  </si>
  <si>
    <t>ENG0264</t>
  </si>
  <si>
    <t>Wyn</t>
  </si>
  <si>
    <t>ENG0606</t>
  </si>
  <si>
    <t>Mayes</t>
  </si>
  <si>
    <t>ENG0607</t>
  </si>
  <si>
    <t>Davies</t>
  </si>
  <si>
    <t>Lyndon</t>
  </si>
  <si>
    <t>ENG0608</t>
  </si>
  <si>
    <t>Blazak</t>
  </si>
  <si>
    <t>ENG0609</t>
  </si>
  <si>
    <t>Damian</t>
  </si>
  <si>
    <t>ENG0610</t>
  </si>
  <si>
    <t>Potter</t>
  </si>
  <si>
    <t>Calum</t>
  </si>
  <si>
    <t>ENG0611</t>
  </si>
  <si>
    <t>Wells</t>
  </si>
  <si>
    <t>ENG0612</t>
  </si>
  <si>
    <t>Twiddy</t>
  </si>
  <si>
    <t>ENG0613</t>
  </si>
  <si>
    <t>ENG0614</t>
  </si>
  <si>
    <t>ENG0615</t>
  </si>
  <si>
    <t>Everett</t>
  </si>
  <si>
    <t>ENG0616</t>
  </si>
  <si>
    <t>Harrison</t>
  </si>
  <si>
    <t>ENG0617</t>
  </si>
  <si>
    <t>Emery</t>
  </si>
  <si>
    <t>Les</t>
  </si>
  <si>
    <t>ENG0618</t>
  </si>
  <si>
    <t>Parody</t>
  </si>
  <si>
    <t>ENG0620</t>
  </si>
  <si>
    <t>Reid</t>
  </si>
  <si>
    <t>ENG0621</t>
  </si>
  <si>
    <t>Salter</t>
  </si>
  <si>
    <t>ENG0622</t>
  </si>
  <si>
    <t>Gerosa Cisneros</t>
  </si>
  <si>
    <t>ESP0205</t>
  </si>
  <si>
    <t>ESP0456</t>
  </si>
  <si>
    <t>Teresa</t>
  </si>
  <si>
    <t>ESP0568</t>
  </si>
  <si>
    <t>Pérez Montero</t>
  </si>
  <si>
    <t>ESP0581</t>
  </si>
  <si>
    <t>Vidal Torner</t>
  </si>
  <si>
    <t>Cesc</t>
  </si>
  <si>
    <t>ESP0591</t>
  </si>
  <si>
    <t>ESP0593</t>
  </si>
  <si>
    <t>Harillo</t>
  </si>
  <si>
    <t>ESP0597</t>
  </si>
  <si>
    <t>Vera Palacios</t>
  </si>
  <si>
    <t>ESP0615</t>
  </si>
  <si>
    <t>Cruz Gallardo</t>
  </si>
  <si>
    <t>ESP0616</t>
  </si>
  <si>
    <t>Ayala Ramírez</t>
  </si>
  <si>
    <t>ESP0617</t>
  </si>
  <si>
    <t>Moral Blanco</t>
  </si>
  <si>
    <t>ESP0618</t>
  </si>
  <si>
    <t>Garrido Robles</t>
  </si>
  <si>
    <t>ESP0619</t>
  </si>
  <si>
    <t>Palacios Palacios</t>
  </si>
  <si>
    <t>ESP0620</t>
  </si>
  <si>
    <t>Alvarez Torres</t>
  </si>
  <si>
    <t>ESP0621</t>
  </si>
  <si>
    <t>Martín Díaz</t>
  </si>
  <si>
    <t>Juanchi</t>
  </si>
  <si>
    <t>ESP0622</t>
  </si>
  <si>
    <t>Castellano Rodríguez</t>
  </si>
  <si>
    <t>ESP0623</t>
  </si>
  <si>
    <t>Borrego González</t>
  </si>
  <si>
    <t>ESP0624</t>
  </si>
  <si>
    <t>Reina Osuna</t>
  </si>
  <si>
    <t>ESP0625</t>
  </si>
  <si>
    <t>Fontcuberta Famadas Joan</t>
  </si>
  <si>
    <t>ESP0626</t>
  </si>
  <si>
    <t>Chacón Jiménez</t>
  </si>
  <si>
    <t>ESP0627</t>
  </si>
  <si>
    <t>Herraiz Delgado</t>
  </si>
  <si>
    <t>ESP0628</t>
  </si>
  <si>
    <t>Rodríguez Segura</t>
  </si>
  <si>
    <t>ESP0629</t>
  </si>
  <si>
    <t>Rodríguez Reyes</t>
  </si>
  <si>
    <t>ESP0630</t>
  </si>
  <si>
    <t>Archerray</t>
  </si>
  <si>
    <t>FRA0351</t>
  </si>
  <si>
    <t>Auzilleau</t>
  </si>
  <si>
    <t>FRA0330</t>
  </si>
  <si>
    <t>Baldassare</t>
  </si>
  <si>
    <t>FRA0348</t>
  </si>
  <si>
    <t>Barlet</t>
  </si>
  <si>
    <t>FRA0341</t>
  </si>
  <si>
    <t>Bonnefemme</t>
  </si>
  <si>
    <t>FRA0350</t>
  </si>
  <si>
    <t>Brignon Kiegl</t>
  </si>
  <si>
    <t>FRA0337</t>
  </si>
  <si>
    <t>Mulhouse Subbuteo by ASPTT</t>
  </si>
  <si>
    <t>Coutenceau</t>
  </si>
  <si>
    <t>Cyrille</t>
  </si>
  <si>
    <t>FRA0328</t>
  </si>
  <si>
    <t>Dolui</t>
  </si>
  <si>
    <t>FRA0338</t>
  </si>
  <si>
    <t>Fornells</t>
  </si>
  <si>
    <t>FRA0327</t>
  </si>
  <si>
    <t>Galichet</t>
  </si>
  <si>
    <t>Stephane</t>
  </si>
  <si>
    <t>FRA0329</t>
  </si>
  <si>
    <t>Girault</t>
  </si>
  <si>
    <t>FRA0346</t>
  </si>
  <si>
    <t>FRA0198</t>
  </si>
  <si>
    <t>Haja Maideen</t>
  </si>
  <si>
    <t>FRA0335</t>
  </si>
  <si>
    <t>Hanif</t>
  </si>
  <si>
    <t>FRA0336</t>
  </si>
  <si>
    <t>Ninon</t>
  </si>
  <si>
    <t>FRA0349</t>
  </si>
  <si>
    <t>Bastien</t>
  </si>
  <si>
    <t>FRA0332</t>
  </si>
  <si>
    <t>Lefebvre</t>
  </si>
  <si>
    <t>Adrien</t>
  </si>
  <si>
    <t>FRA0345</t>
  </si>
  <si>
    <t>Malfait</t>
  </si>
  <si>
    <t>FRA0339</t>
  </si>
  <si>
    <t>Mayoungou</t>
  </si>
  <si>
    <t>FRA0347</t>
  </si>
  <si>
    <t>Morel</t>
  </si>
  <si>
    <t>FRA0340</t>
  </si>
  <si>
    <t>Moulin</t>
  </si>
  <si>
    <t>FRA0331</t>
  </si>
  <si>
    <t>FRA0344</t>
  </si>
  <si>
    <t>Reinbold</t>
  </si>
  <si>
    <t>FRA0334</t>
  </si>
  <si>
    <t>FRA0079</t>
  </si>
  <si>
    <t>Vandamme</t>
  </si>
  <si>
    <t>FRA0333</t>
  </si>
  <si>
    <t>Zulsdorff</t>
  </si>
  <si>
    <t>FRA0342</t>
  </si>
  <si>
    <t>Estebane</t>
  </si>
  <si>
    <t>FRA0343</t>
  </si>
  <si>
    <t>Lazaros</t>
  </si>
  <si>
    <t>GRE0001</t>
  </si>
  <si>
    <t>GRE0131</t>
  </si>
  <si>
    <t>IRL0025</t>
  </si>
  <si>
    <t>Wolverhampton TFC</t>
  </si>
  <si>
    <t>Pasquale Pio</t>
  </si>
  <si>
    <t>ITA3007</t>
  </si>
  <si>
    <t>Bernardis</t>
  </si>
  <si>
    <t>ITA0095</t>
  </si>
  <si>
    <t>Pierfrancesco</t>
  </si>
  <si>
    <t>ITA1243</t>
  </si>
  <si>
    <t>Cruciani</t>
  </si>
  <si>
    <t>ITA1781</t>
  </si>
  <si>
    <t>ITA3499</t>
  </si>
  <si>
    <t>ITA3550</t>
  </si>
  <si>
    <t>Furlani</t>
  </si>
  <si>
    <t>ITA3497</t>
  </si>
  <si>
    <t>Caselli</t>
  </si>
  <si>
    <t>Oscar</t>
  </si>
  <si>
    <t>ITA3500</t>
  </si>
  <si>
    <t>ITA3549</t>
  </si>
  <si>
    <t>Passini</t>
  </si>
  <si>
    <t>ITA3556</t>
  </si>
  <si>
    <t>ITA3512</t>
  </si>
  <si>
    <t>Aquino</t>
  </si>
  <si>
    <t>Ronny Rosario</t>
  </si>
  <si>
    <t>ITA3536</t>
  </si>
  <si>
    <t>Argentino</t>
  </si>
  <si>
    <t>ITA3559</t>
  </si>
  <si>
    <t>Baccali</t>
  </si>
  <si>
    <t>ITA3557</t>
  </si>
  <si>
    <t>Mariella</t>
  </si>
  <si>
    <t>ITA3523</t>
  </si>
  <si>
    <t>Bernava</t>
  </si>
  <si>
    <t>Eloisa</t>
  </si>
  <si>
    <t>ITA3508</t>
  </si>
  <si>
    <t>Bertolotti</t>
  </si>
  <si>
    <t>ITA3534</t>
  </si>
  <si>
    <t>Boffa</t>
  </si>
  <si>
    <t>ITA3547</t>
  </si>
  <si>
    <t>Brozzoli</t>
  </si>
  <si>
    <t>ITA3554</t>
  </si>
  <si>
    <t>ITA3565</t>
  </si>
  <si>
    <t>Cappuccio</t>
  </si>
  <si>
    <t>ITA3521</t>
  </si>
  <si>
    <t>Carlesso</t>
  </si>
  <si>
    <t>ITA3535</t>
  </si>
  <si>
    <t>Caroppo</t>
  </si>
  <si>
    <t>ITA3541</t>
  </si>
  <si>
    <t>Celli</t>
  </si>
  <si>
    <t>ITA3524</t>
  </si>
  <si>
    <t>Martino</t>
  </si>
  <si>
    <t>ITA3511</t>
  </si>
  <si>
    <t>Cussotto</t>
  </si>
  <si>
    <t>ITA3551</t>
  </si>
  <si>
    <t>D'Apollo</t>
  </si>
  <si>
    <t>ITA3552</t>
  </si>
  <si>
    <t>Dalia</t>
  </si>
  <si>
    <t>ITA3510</t>
  </si>
  <si>
    <t>De Rosa</t>
  </si>
  <si>
    <t>Roberta</t>
  </si>
  <si>
    <t>ITA3525</t>
  </si>
  <si>
    <t>ITA3540</t>
  </si>
  <si>
    <t>Giacummo</t>
  </si>
  <si>
    <t>ITA3548</t>
  </si>
  <si>
    <t>Grandinetti</t>
  </si>
  <si>
    <t>ITA3562</t>
  </si>
  <si>
    <t>Iaria</t>
  </si>
  <si>
    <t>ITA3506</t>
  </si>
  <si>
    <t>La Marca</t>
  </si>
  <si>
    <t>ITA3533</t>
  </si>
  <si>
    <t>Lallai</t>
  </si>
  <si>
    <t>ITA3538</t>
  </si>
  <si>
    <t>Lazzi</t>
  </si>
  <si>
    <t>ITA3564</t>
  </si>
  <si>
    <t>Loseto</t>
  </si>
  <si>
    <t>ITA3517</t>
  </si>
  <si>
    <t>ITA3518</t>
  </si>
  <si>
    <t>Maffei</t>
  </si>
  <si>
    <t>ITA3519</t>
  </si>
  <si>
    <t>Manente</t>
  </si>
  <si>
    <t>ITA3501</t>
  </si>
  <si>
    <t>ITA3505</t>
  </si>
  <si>
    <t>Mungo</t>
  </si>
  <si>
    <t>ITA3539</t>
  </si>
  <si>
    <t>Olita</t>
  </si>
  <si>
    <t>ITA3545</t>
  </si>
  <si>
    <t>Pacella</t>
  </si>
  <si>
    <t>ITA3546</t>
  </si>
  <si>
    <t>Passardi</t>
  </si>
  <si>
    <t>ITA3553</t>
  </si>
  <si>
    <t>ITA3529</t>
  </si>
  <si>
    <t>ITA3567</t>
  </si>
  <si>
    <t>Pesare</t>
  </si>
  <si>
    <t>Gianmario</t>
  </si>
  <si>
    <t>ITA3509</t>
  </si>
  <si>
    <t>Pessina</t>
  </si>
  <si>
    <t>ITA3558</t>
  </si>
  <si>
    <t>ITA3498</t>
  </si>
  <si>
    <t>Simone Miguel</t>
  </si>
  <si>
    <t>ITA3563</t>
  </si>
  <si>
    <t>Riili</t>
  </si>
  <si>
    <t>ITA3560</t>
  </si>
  <si>
    <t>Risso</t>
  </si>
  <si>
    <t>ITA3532</t>
  </si>
  <si>
    <t>Rivela</t>
  </si>
  <si>
    <t>ITA3543</t>
  </si>
  <si>
    <t>ITA3520</t>
  </si>
  <si>
    <t>Rossin</t>
  </si>
  <si>
    <t>ITA3527</t>
  </si>
  <si>
    <t>Ruscitto</t>
  </si>
  <si>
    <t>Maria Teresa</t>
  </si>
  <si>
    <t>ITA3522</t>
  </si>
  <si>
    <t>ITA3502</t>
  </si>
  <si>
    <t>ITA3503</t>
  </si>
  <si>
    <t>ITA3531</t>
  </si>
  <si>
    <t>Scoponi</t>
  </si>
  <si>
    <t>ITA3528</t>
  </si>
  <si>
    <t>Sole</t>
  </si>
  <si>
    <t>ITA3542</t>
  </si>
  <si>
    <t>Sorrentino</t>
  </si>
  <si>
    <t>ITA3516</t>
  </si>
  <si>
    <t>Sponticcia</t>
  </si>
  <si>
    <t>ITA3537</t>
  </si>
  <si>
    <t>Terracciano</t>
  </si>
  <si>
    <t>ITA3561</t>
  </si>
  <si>
    <t>Trivigno</t>
  </si>
  <si>
    <t>Walter</t>
  </si>
  <si>
    <t>ITA3544</t>
  </si>
  <si>
    <t>Vassallo</t>
  </si>
  <si>
    <t>ITA3555</t>
  </si>
  <si>
    <t>JPN249</t>
  </si>
  <si>
    <t>Toda</t>
  </si>
  <si>
    <t>Atsushi</t>
  </si>
  <si>
    <t>JPN250</t>
  </si>
  <si>
    <t>Jige</t>
  </si>
  <si>
    <t>Keita</t>
  </si>
  <si>
    <t>JPN251</t>
  </si>
  <si>
    <t>Ishikawa</t>
  </si>
  <si>
    <t>Kyohei</t>
  </si>
  <si>
    <t>JPN252</t>
  </si>
  <si>
    <t>Miyairi</t>
  </si>
  <si>
    <t>Masaharu</t>
  </si>
  <si>
    <t>JPN253</t>
  </si>
  <si>
    <t>Tsuboi</t>
  </si>
  <si>
    <t>Kentaro</t>
  </si>
  <si>
    <t>JPN254</t>
  </si>
  <si>
    <t>Natsumi</t>
  </si>
  <si>
    <t>JPN255</t>
  </si>
  <si>
    <t>Yoshihiro</t>
  </si>
  <si>
    <t>Kazuhito</t>
  </si>
  <si>
    <t>JPN256</t>
  </si>
  <si>
    <t>That</t>
  </si>
  <si>
    <t>Raksmey</t>
  </si>
  <si>
    <t>JPN257</t>
  </si>
  <si>
    <t>Borg</t>
  </si>
  <si>
    <t>MLT0009</t>
  </si>
  <si>
    <t>MLT0018</t>
  </si>
  <si>
    <t>Palermo</t>
  </si>
  <si>
    <t>Sansom</t>
  </si>
  <si>
    <t>NZL0019</t>
  </si>
  <si>
    <t>Graeme</t>
  </si>
  <si>
    <t>NZL0020</t>
  </si>
  <si>
    <t>Free agent</t>
  </si>
  <si>
    <t>POR0253</t>
  </si>
  <si>
    <t>POR0254</t>
  </si>
  <si>
    <t>Bruce</t>
  </si>
  <si>
    <t>SCO0084</t>
  </si>
  <si>
    <t>Fornaro</t>
  </si>
  <si>
    <t>Bin Jasmil</t>
  </si>
  <si>
    <t>Aaryan Irfan</t>
  </si>
  <si>
    <t>SGP0153</t>
  </si>
  <si>
    <t>Binte Norizal</t>
  </si>
  <si>
    <t>Naomi Bilqis</t>
  </si>
  <si>
    <t>SGP0154</t>
  </si>
  <si>
    <t>Nor Ariq</t>
  </si>
  <si>
    <t>SGP0155</t>
  </si>
  <si>
    <t>Giulianelli</t>
  </si>
  <si>
    <t>SUI54</t>
  </si>
  <si>
    <t>DuPage County Table Soccer Club</t>
  </si>
  <si>
    <t>Saradini</t>
  </si>
  <si>
    <t>USA0442</t>
  </si>
  <si>
    <t>Ethan</t>
  </si>
  <si>
    <t>USA0443</t>
  </si>
  <si>
    <t>Medcalf</t>
  </si>
  <si>
    <t>Clive</t>
  </si>
  <si>
    <t>tou</t>
  </si>
  <si>
    <t>BELC020</t>
  </si>
  <si>
    <t>Cisplatina Futebol Clube</t>
  </si>
  <si>
    <t>cfc</t>
  </si>
  <si>
    <t>BRAC008</t>
  </si>
  <si>
    <t>Torigno Nostro Club</t>
  </si>
  <si>
    <t>tnc</t>
  </si>
  <si>
    <t>BRAC014</t>
  </si>
  <si>
    <t>dup</t>
  </si>
  <si>
    <t>VAN DEN HOUTE</t>
  </si>
  <si>
    <t>SABETTA</t>
  </si>
  <si>
    <t>OUTTERS</t>
  </si>
  <si>
    <t>CREMONA</t>
  </si>
  <si>
    <t>MURAILLE</t>
  </si>
  <si>
    <t>RUSSELL</t>
  </si>
  <si>
    <t>ABECASSIS</t>
  </si>
  <si>
    <t>SHEARER</t>
  </si>
  <si>
    <t>HERMAN</t>
  </si>
  <si>
    <t>MONTANARI</t>
  </si>
  <si>
    <t>BONTE</t>
  </si>
  <si>
    <t>MILLER</t>
  </si>
  <si>
    <t>BORG</t>
  </si>
  <si>
    <t>HAGENKÖTTER</t>
  </si>
  <si>
    <t>FINO</t>
  </si>
  <si>
    <t>GALICHET</t>
  </si>
  <si>
    <t>FORNARO</t>
  </si>
  <si>
    <t>CUCIT</t>
  </si>
  <si>
    <t>LECERF</t>
  </si>
  <si>
    <t>GEROSA CISNEROS</t>
  </si>
  <si>
    <t>VERSTREPEN</t>
  </si>
  <si>
    <t>IMBROGIANO</t>
  </si>
  <si>
    <t>LO PRETI</t>
  </si>
  <si>
    <t>SAKAI</t>
  </si>
  <si>
    <t>MAZZONI</t>
  </si>
  <si>
    <t>SUTTON</t>
  </si>
  <si>
    <t>SATO</t>
  </si>
  <si>
    <t>VEZZO</t>
  </si>
  <si>
    <t>THAT</t>
  </si>
  <si>
    <t>CAMERLINGO</t>
  </si>
  <si>
    <t>MARLAIR</t>
  </si>
  <si>
    <t>PETRINI</t>
  </si>
  <si>
    <t>MARVILLE</t>
  </si>
  <si>
    <t>IERVESE</t>
  </si>
  <si>
    <t>DHONDT</t>
  </si>
  <si>
    <t>SORIA GARCÍA</t>
  </si>
  <si>
    <t>MIMA</t>
  </si>
  <si>
    <t>ROMERA</t>
  </si>
  <si>
    <t>YOSHIOKA</t>
  </si>
  <si>
    <t>TROESTLER</t>
  </si>
  <si>
    <t>ALCOLEA MARTÍNEZ</t>
  </si>
  <si>
    <t>GARCÍA LUQUE</t>
  </si>
  <si>
    <t>DREYER</t>
  </si>
  <si>
    <t>LECCE</t>
  </si>
  <si>
    <t>JIGE</t>
  </si>
  <si>
    <t>COOKE</t>
  </si>
  <si>
    <t>ERMINIONE</t>
  </si>
  <si>
    <t>FUMAI</t>
  </si>
  <si>
    <t>MARUYAMA</t>
  </si>
  <si>
    <t>HAWCROFT</t>
  </si>
  <si>
    <t>PACELLA</t>
  </si>
  <si>
    <t>MCNEIL</t>
  </si>
  <si>
    <t>GUIO</t>
  </si>
  <si>
    <t>ISHIKAWA</t>
  </si>
  <si>
    <t>MIYAIRI</t>
  </si>
  <si>
    <t>CAULFIELD</t>
  </si>
  <si>
    <t>PARSONS</t>
  </si>
  <si>
    <t>BARATTUCCI</t>
  </si>
  <si>
    <t>CASCALHEIRA</t>
  </si>
  <si>
    <t>NG</t>
  </si>
  <si>
    <t>CAPOFERRI</t>
  </si>
  <si>
    <t>DIZIER</t>
  </si>
  <si>
    <t>BIN NORIZAL</t>
  </si>
  <si>
    <t>DOHNER</t>
  </si>
  <si>
    <t>BELT</t>
  </si>
  <si>
    <t>BINTE NORIZAL</t>
  </si>
  <si>
    <t>BIN ISNIN</t>
  </si>
  <si>
    <t>WIGHTMAN</t>
  </si>
  <si>
    <t>PÉREZ MONTERO</t>
  </si>
  <si>
    <t>IDOUX</t>
  </si>
  <si>
    <t>YOSHIHIRO</t>
  </si>
  <si>
    <t>HLUPIC</t>
  </si>
  <si>
    <t>GIULIANELLI</t>
  </si>
  <si>
    <t>GENVO</t>
  </si>
  <si>
    <t>PEDETTI</t>
  </si>
  <si>
    <t>LUNARD</t>
  </si>
  <si>
    <t>OGANE</t>
  </si>
  <si>
    <t>SUGAWARA</t>
  </si>
  <si>
    <t>FOECHTERLE</t>
  </si>
  <si>
    <t>CASELLI</t>
  </si>
  <si>
    <t>CALLOT</t>
  </si>
  <si>
    <t>FURLANI</t>
  </si>
  <si>
    <t>DUJARDIN</t>
  </si>
  <si>
    <t>LI PUMA</t>
  </si>
  <si>
    <t>PARMENTIER</t>
  </si>
  <si>
    <t>HOMMA</t>
  </si>
  <si>
    <t>TODA</t>
  </si>
  <si>
    <t>BANKS</t>
  </si>
  <si>
    <t>MYERS</t>
  </si>
  <si>
    <t>WEST</t>
  </si>
  <si>
    <t>TSUBOI</t>
  </si>
  <si>
    <t>GLADWELL</t>
  </si>
  <si>
    <t>PARRILLA</t>
  </si>
  <si>
    <t>PAPAKONSTANTINOU</t>
  </si>
  <si>
    <t>KECHRIS</t>
  </si>
  <si>
    <t>GUIDI</t>
  </si>
  <si>
    <t>STEVENOT</t>
  </si>
  <si>
    <t>FLÉMAL</t>
  </si>
  <si>
    <t>IANNIELLO</t>
  </si>
  <si>
    <t>MEO</t>
  </si>
  <si>
    <t>HAMBROUCK</t>
  </si>
  <si>
    <t>MANDARAKAS</t>
  </si>
  <si>
    <t>FUSEAU</t>
  </si>
  <si>
    <t>GUZZETTA</t>
  </si>
  <si>
    <t>SASSO</t>
  </si>
  <si>
    <t>GARA</t>
  </si>
  <si>
    <t>VANDAMME</t>
  </si>
  <si>
    <t>PORRO</t>
  </si>
  <si>
    <t>RETHORE</t>
  </si>
  <si>
    <t>SALLE</t>
  </si>
  <si>
    <t>VAN RENTERGHEM</t>
  </si>
  <si>
    <t>GRANDINETTI</t>
  </si>
  <si>
    <t>GIANLUCA</t>
  </si>
  <si>
    <t>PISCOPO</t>
  </si>
  <si>
    <t>GUYAUX</t>
  </si>
  <si>
    <t>PREVITI</t>
  </si>
  <si>
    <t>YAHAGI</t>
  </si>
  <si>
    <t>PUERTO</t>
  </si>
  <si>
    <t>HARILLO</t>
  </si>
  <si>
    <t>VIDAL TORNER</t>
  </si>
  <si>
    <t>FROMWEILER</t>
  </si>
  <si>
    <t>GANDIN</t>
  </si>
  <si>
    <t>BLANCO</t>
  </si>
  <si>
    <t>PASSINI</t>
  </si>
  <si>
    <t>BIN JASMIL</t>
  </si>
  <si>
    <t>VERA PALACIOS</t>
  </si>
  <si>
    <t>CHERONNET</t>
  </si>
  <si>
    <t>BONNEFEMME</t>
  </si>
  <si>
    <t>HAJA MAIDEEN</t>
  </si>
  <si>
    <t>ARCHERRAY</t>
  </si>
  <si>
    <t>FRÉBUTTE</t>
  </si>
  <si>
    <t>CRUZ GALLARDO</t>
  </si>
  <si>
    <t>AYALA RAMÍREZ</t>
  </si>
  <si>
    <t>SAGUATTI</t>
  </si>
  <si>
    <t>LEFEBVRE</t>
  </si>
  <si>
    <t>RUELLE</t>
  </si>
  <si>
    <t>14.3.1</t>
  </si>
  <si>
    <t>Ajout de boutons "Hide Column" sur interface Web.</t>
  </si>
  <si>
    <t>D1</t>
  </si>
  <si>
    <t>D2</t>
  </si>
  <si>
    <t>D3</t>
  </si>
  <si>
    <t>D4</t>
  </si>
  <si>
    <t>___</t>
  </si>
  <si>
    <t>Raphaël POMMIER</t>
  </si>
  <si>
    <t>Raphaël Pommier</t>
  </si>
  <si>
    <t>Raphaël POMMIER (cae)</t>
  </si>
  <si>
    <t>X</t>
  </si>
  <si>
    <t>Théo MODESTE</t>
  </si>
  <si>
    <t>Théo Modeste</t>
  </si>
  <si>
    <t>Théo MODESTE (iss)</t>
  </si>
  <si>
    <t>Eric NASZALYI</t>
  </si>
  <si>
    <t>Eric Naszalyi</t>
  </si>
  <si>
    <t>Eric NASZALYI (iss)</t>
  </si>
  <si>
    <t>Thierry VIVRON</t>
  </si>
  <si>
    <t>Thierry Vivron</t>
  </si>
  <si>
    <t>Thierry VIVRON (iss)</t>
  </si>
  <si>
    <t>David LEROY</t>
  </si>
  <si>
    <t>David Leroy</t>
  </si>
  <si>
    <t>David LEROY (puy)</t>
  </si>
  <si>
    <t>Françoise GUYOT</t>
  </si>
  <si>
    <t>Françoise Guyot</t>
  </si>
  <si>
    <t>Françoise GUYOT (chp)</t>
  </si>
  <si>
    <t>Cyprien BONNET</t>
  </si>
  <si>
    <t>Cyprien Bonnet</t>
  </si>
  <si>
    <t>Cyprien BONNET (sym)</t>
  </si>
  <si>
    <t>Cédric PANDOLFI</t>
  </si>
  <si>
    <t>Cédric Pandolfi</t>
  </si>
  <si>
    <t>Cédric PANDOLFI (sym)</t>
  </si>
  <si>
    <t>Stéphane POMMIER</t>
  </si>
  <si>
    <t>Stéphane Pommier</t>
  </si>
  <si>
    <t>Stéphane POMMIER (cae)</t>
  </si>
  <si>
    <t>Jean-Marie AMBERNY</t>
  </si>
  <si>
    <t>Jean-Marie Amberny</t>
  </si>
  <si>
    <t>Jean-Marie AMBERNY (iss)</t>
  </si>
  <si>
    <t>Emmanuel GORGETTE</t>
  </si>
  <si>
    <t>Emmanuel Gorgette</t>
  </si>
  <si>
    <t>Emmanuel GORGETTE (iss)</t>
  </si>
  <si>
    <t>Axel DONVAL</t>
  </si>
  <si>
    <t>Axel Donval</t>
  </si>
  <si>
    <t>Axel DONVAL (iss)</t>
  </si>
  <si>
    <t>Jean-François BALARD</t>
  </si>
  <si>
    <t>Jean-François Balard</t>
  </si>
  <si>
    <t>Jean-François BALARD (puy)</t>
  </si>
  <si>
    <t>Audrey HERBAUT</t>
  </si>
  <si>
    <t>Audrey Herbaut</t>
  </si>
  <si>
    <t>Audrey HERBAUT (chp)</t>
  </si>
  <si>
    <t>Quentin AUSSET</t>
  </si>
  <si>
    <t>Quentin Ausset</t>
  </si>
  <si>
    <t>Quentin AUSSET (chp)</t>
  </si>
  <si>
    <t>Mickaël BLANC</t>
  </si>
  <si>
    <t>Mickaël Blanc</t>
  </si>
  <si>
    <t>Mickaël BLANC (sym)</t>
  </si>
  <si>
    <t>Olivier BASTIN</t>
  </si>
  <si>
    <t>Olivier Bastin</t>
  </si>
  <si>
    <t>Olivier BASTIN (puy)</t>
  </si>
  <si>
    <t>Thomas PONTÉ</t>
  </si>
  <si>
    <t>Thomas PONTÉ (com)</t>
  </si>
  <si>
    <t>Rémi SORET</t>
  </si>
  <si>
    <t>Rémi Soret</t>
  </si>
  <si>
    <t>Rémi SORET (hen)</t>
  </si>
  <si>
    <t>Xavier DUBOIS</t>
  </si>
  <si>
    <t>Xavier Dubois</t>
  </si>
  <si>
    <t>Xavier DUBOIS (cae)</t>
  </si>
  <si>
    <t>Johnny LEDIEU</t>
  </si>
  <si>
    <t>Johnny Ledieu</t>
  </si>
  <si>
    <t>Johnny LEDIEU (chp)</t>
  </si>
  <si>
    <t>Aymeric POUFFET</t>
  </si>
  <si>
    <t>Aymeric Pouffet</t>
  </si>
  <si>
    <t>Aymeric POUFFET (aqu)</t>
  </si>
  <si>
    <t>Alban BOIGEOL</t>
  </si>
  <si>
    <t>Alban Boigeol</t>
  </si>
  <si>
    <t>Alban BOIGEOL (aqu)</t>
  </si>
  <si>
    <t>Thibault LESNE</t>
  </si>
  <si>
    <t>Thibault Lesne</t>
  </si>
  <si>
    <t>Thibault LESNE (aqu)</t>
  </si>
  <si>
    <t>Roger TROUILLARD</t>
  </si>
  <si>
    <t>Roger Trouillard</t>
  </si>
  <si>
    <t>Roger TROUILLARD (puy)</t>
  </si>
  <si>
    <t>Kévin POUFFET</t>
  </si>
  <si>
    <t>Kévin Pouffet</t>
  </si>
  <si>
    <t>Kévin POUFFET (puy)</t>
  </si>
  <si>
    <t>Ludovic BEAUVAIS</t>
  </si>
  <si>
    <t>Ludovic Beauvais</t>
  </si>
  <si>
    <t>Ludovic BEAUVAIS (cca)</t>
  </si>
  <si>
    <t>Hervé RAKOWSKI</t>
  </si>
  <si>
    <t>Hervé Rakowski</t>
  </si>
  <si>
    <t>Hervé RAKOWSKI (als)</t>
  </si>
  <si>
    <t>Franck DUBREUIL</t>
  </si>
  <si>
    <t>Franck Dubreuil</t>
  </si>
  <si>
    <t>Franck DUBREUIL (chp)</t>
  </si>
  <si>
    <t>Nicolas MORIER</t>
  </si>
  <si>
    <t>Nicolas Morier</t>
  </si>
  <si>
    <t>Nicolas MORIER (aqu)</t>
  </si>
  <si>
    <t>Thierry ARNAUDIN</t>
  </si>
  <si>
    <t>Thierry Arnaudin</t>
  </si>
  <si>
    <t>Thierry ARNAUDIN (aqu)</t>
  </si>
  <si>
    <t>Lorenzo Lo Preti</t>
  </si>
  <si>
    <t>Didier Le De</t>
  </si>
  <si>
    <t>Didier LE DE</t>
  </si>
  <si>
    <t>Didier LE DE (aqu)</t>
  </si>
  <si>
    <t>Lorenzo LO PRETI</t>
  </si>
  <si>
    <t>Lorenzo LO PRETI (als)</t>
  </si>
  <si>
    <t>Christophe MONTEIRO</t>
  </si>
  <si>
    <t>Christophe Monteiro</t>
  </si>
  <si>
    <t>Christophe MONTEIRO (iss)</t>
  </si>
  <si>
    <t>Laurent AUSSET</t>
  </si>
  <si>
    <t>Laurent Ausset</t>
  </si>
  <si>
    <t>Laurent AUSSET (chp)</t>
  </si>
  <si>
    <t>Jean-Jacques TRICHOT</t>
  </si>
  <si>
    <t>Jean-Jacques Trichot</t>
  </si>
  <si>
    <t>Jean-Jacques TRICHOT (css)</t>
  </si>
  <si>
    <t>Rafaël Midoux</t>
  </si>
  <si>
    <t>Rafaël MIDOUX</t>
  </si>
  <si>
    <t>Rafaël MIDOUX (hen)</t>
  </si>
  <si>
    <t>Olivier SAGIT</t>
  </si>
  <si>
    <t>Olivier Sagit</t>
  </si>
  <si>
    <t>Olivier SAGIT (cae)</t>
  </si>
  <si>
    <t>Jean-Marie FOUETILLOU</t>
  </si>
  <si>
    <t>Jean-Marie Fouetillou</t>
  </si>
  <si>
    <t>Jean-Marie FOUETILLOU (cae)</t>
  </si>
  <si>
    <t>Skander FARZA</t>
  </si>
  <si>
    <t>Skander Farza</t>
  </si>
  <si>
    <t>Skander FARZA (com)</t>
  </si>
  <si>
    <t>Lionel ABECASSIS</t>
  </si>
  <si>
    <t>Lionel Abecassis</t>
  </si>
  <si>
    <t>Lionel ABECASSIS ()</t>
  </si>
  <si>
    <t>Louis SORET</t>
  </si>
  <si>
    <t>Louis Soret</t>
  </si>
  <si>
    <t>Louis SORET (hen)</t>
  </si>
  <si>
    <t>Ludovic MIDOUX</t>
  </si>
  <si>
    <t>Ludovic Midoux</t>
  </si>
  <si>
    <t>Ludovic MIDOUX (hen)</t>
  </si>
  <si>
    <t>Rémy LOURS</t>
  </si>
  <si>
    <t>Rémy Lours</t>
  </si>
  <si>
    <t>Rémy LOURS (cae)</t>
  </si>
  <si>
    <t>Emmanuel LAFONTAINE</t>
  </si>
  <si>
    <t>Emmanuel Lafontaine</t>
  </si>
  <si>
    <t>Emmanuel LAFONTAINE (cae)</t>
  </si>
  <si>
    <t>Nicolas Lefèbvre</t>
  </si>
  <si>
    <t>Nicolas LEFÈBVRE (cae)</t>
  </si>
  <si>
    <t>Nicolas LEFÈBVRE</t>
  </si>
  <si>
    <t>Christophe FUSEAU</t>
  </si>
  <si>
    <t>Christophe Fuseau</t>
  </si>
  <si>
    <t>Christophe FUSEAU (com)</t>
  </si>
  <si>
    <t>Yann LOAREC</t>
  </si>
  <si>
    <t>Yann Loarec</t>
  </si>
  <si>
    <t>Yann LOAREC (com)</t>
  </si>
  <si>
    <t>Vincent AUZILLEAU</t>
  </si>
  <si>
    <t>Vincent Auzilleau</t>
  </si>
  <si>
    <t>Vincent AUZILLEAU (aqu)</t>
  </si>
  <si>
    <t>David SARDI DE LETTO</t>
  </si>
  <si>
    <t>David Sardi de Letto</t>
  </si>
  <si>
    <t>David SARDI DE LETTO (lil)</t>
  </si>
  <si>
    <t>Sébastien SORGE</t>
  </si>
  <si>
    <t>Sébastien Sorge</t>
  </si>
  <si>
    <t>Sébastien SORGE (lil)</t>
  </si>
  <si>
    <t>Lea POUPART</t>
  </si>
  <si>
    <t>Lea Poupart</t>
  </si>
  <si>
    <t>Lea POUPART (com)</t>
  </si>
  <si>
    <t>Stephane GALICHET</t>
  </si>
  <si>
    <t>Stephane Galichet</t>
  </si>
  <si>
    <t>Stephane GALICHET ()</t>
  </si>
  <si>
    <t>Laurent JAILLET</t>
  </si>
  <si>
    <t>Laurent Jaillet</t>
  </si>
  <si>
    <t>Laurent JAILLET (chp)</t>
  </si>
  <si>
    <t>Laurent SALLE</t>
  </si>
  <si>
    <t>Laurent Salle</t>
  </si>
  <si>
    <t>Laurent SALLE (com)</t>
  </si>
  <si>
    <t>Sébastien LECERF</t>
  </si>
  <si>
    <t>Sébastien Lecerf</t>
  </si>
  <si>
    <t>Sébastien LECERF (mon)</t>
  </si>
  <si>
    <t>\Individuels</t>
  </si>
  <si>
    <t>Championnats de France - Individuels</t>
  </si>
  <si>
    <t>Championnats de France&lt;br&gt;Individuels&lt;br&gt;22-23 mars 2025&lt;br&gt;CAEN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</si>
</sst>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00\ _€_-;\-* #,##0.00\ _€_-;_-* &quot;-&quot;??\ _€_-;_-@_-"/>
    <numFmt numFmtId="165" formatCode="\+General;\-General"/>
    <numFmt numFmtId="166" formatCode="\+General;\-General;General"/>
    <numFmt numFmtId="167" formatCode="0000000"/>
    <numFmt numFmtId="168" formatCode="General&quot;ère Journée&quot;"/>
    <numFmt numFmtId="169" formatCode="h:mm;@"/>
    <numFmt numFmtId="170" formatCode="[$-F400]h:mm:ss\ AM/PM"/>
    <numFmt numFmtId="171" formatCode="00,000"/>
    <numFmt numFmtId="172" formatCode="hh:mm;@"/>
    <numFmt numFmtId="173" formatCode="General&quot;)&quot;"/>
    <numFmt numFmtId="174" formatCode="#,##0.00\ _€"/>
    <numFmt numFmtId="175" formatCode="#,##0.00\ _€;[Red]\-#,##0.00\ _€;"/>
    <numFmt numFmtId="176" formatCode="&quot;Session&quot;\ General"/>
    <numFmt numFmtId="177" formatCode="[$-809]mmmm\ dd\,\ yyyy;@"/>
  </numFmts>
  <fonts count="190" x14ac:knownFonts="1">
    <font>
      <sz val="10"/>
      <name val="Arial"/>
    </font>
    <font>
      <sz val="11"/>
      <color theme="1"/>
      <name val="Calibri"/>
      <family val="2"/>
      <scheme val="minor"/>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0"/>
      <name val="Arial"/>
      <family val="2"/>
    </font>
    <font>
      <sz val="11"/>
      <color indexed="62"/>
      <name val="Calibri"/>
      <family val="2"/>
    </font>
    <font>
      <sz val="11"/>
      <color indexed="20"/>
      <name val="Calibri"/>
      <family val="2"/>
    </font>
    <font>
      <u/>
      <sz val="10"/>
      <color indexed="12"/>
      <name val="Arial"/>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b/>
      <sz val="14"/>
      <name val="Arial"/>
      <family val="2"/>
    </font>
    <font>
      <b/>
      <sz val="10"/>
      <name val="Arial"/>
      <family val="2"/>
    </font>
    <font>
      <sz val="10"/>
      <color indexed="9"/>
      <name val="Arial"/>
      <family val="2"/>
    </font>
    <font>
      <sz val="10"/>
      <color indexed="12"/>
      <name val="Arial"/>
      <family val="2"/>
    </font>
    <font>
      <b/>
      <sz val="10"/>
      <color indexed="12"/>
      <name val="Arial"/>
      <family val="2"/>
    </font>
    <font>
      <b/>
      <sz val="10"/>
      <color indexed="9"/>
      <name val="Arial"/>
      <family val="2"/>
    </font>
    <font>
      <b/>
      <sz val="10"/>
      <color indexed="10"/>
      <name val="Arial"/>
      <family val="2"/>
    </font>
    <font>
      <b/>
      <sz val="8"/>
      <name val="Arial"/>
      <family val="2"/>
    </font>
    <font>
      <sz val="16"/>
      <name val="Arial"/>
      <family val="2"/>
    </font>
    <font>
      <i/>
      <sz val="12"/>
      <name val="Arial"/>
      <family val="2"/>
    </font>
    <font>
      <b/>
      <sz val="14"/>
      <color indexed="9"/>
      <name val="Arial"/>
      <family val="2"/>
    </font>
    <font>
      <b/>
      <sz val="14"/>
      <color indexed="12"/>
      <name val="Arial"/>
      <family val="2"/>
    </font>
    <font>
      <b/>
      <sz val="12"/>
      <color indexed="12"/>
      <name val="Arial"/>
      <family val="2"/>
    </font>
    <font>
      <sz val="8"/>
      <name val="Arial"/>
      <family val="2"/>
    </font>
    <font>
      <b/>
      <sz val="8"/>
      <color indexed="12"/>
      <name val="Arial"/>
      <family val="2"/>
    </font>
    <font>
      <sz val="8"/>
      <color indexed="12"/>
      <name val="Arial"/>
      <family val="2"/>
    </font>
    <font>
      <b/>
      <sz val="11"/>
      <name val="Arial"/>
      <family val="2"/>
    </font>
    <font>
      <b/>
      <sz val="11"/>
      <color indexed="12"/>
      <name val="Arial"/>
      <family val="2"/>
    </font>
    <font>
      <sz val="10"/>
      <name val="Arial"/>
      <family val="2"/>
    </font>
    <font>
      <sz val="12"/>
      <name val="Arial"/>
      <family val="2"/>
    </font>
    <font>
      <b/>
      <i/>
      <sz val="12"/>
      <name val="Arial"/>
      <family val="2"/>
    </font>
    <font>
      <i/>
      <sz val="12"/>
      <color indexed="12"/>
      <name val="Arial"/>
      <family val="2"/>
    </font>
    <font>
      <sz val="20"/>
      <name val="Arial"/>
      <family val="2"/>
    </font>
    <font>
      <sz val="36"/>
      <name val="Arial"/>
      <family val="2"/>
    </font>
    <font>
      <b/>
      <sz val="12"/>
      <name val="Arial"/>
      <family val="2"/>
    </font>
    <font>
      <b/>
      <sz val="10"/>
      <color indexed="55"/>
      <name val="Arial"/>
      <family val="2"/>
    </font>
    <font>
      <sz val="10"/>
      <color indexed="55"/>
      <name val="Arial"/>
      <family val="2"/>
    </font>
    <font>
      <sz val="10"/>
      <color indexed="9"/>
      <name val="Arial"/>
      <family val="2"/>
    </font>
    <font>
      <b/>
      <sz val="10"/>
      <color indexed="48"/>
      <name val="Arial"/>
      <family val="2"/>
    </font>
    <font>
      <sz val="10"/>
      <color indexed="23"/>
      <name val="Arial"/>
      <family val="2"/>
    </font>
    <font>
      <b/>
      <i/>
      <sz val="12"/>
      <color indexed="53"/>
      <name val="Arial"/>
      <family val="2"/>
    </font>
    <font>
      <i/>
      <sz val="12"/>
      <color indexed="53"/>
      <name val="Arial"/>
      <family val="2"/>
    </font>
    <font>
      <b/>
      <sz val="10"/>
      <color indexed="9"/>
      <name val="Arial"/>
      <family val="2"/>
    </font>
    <font>
      <sz val="8"/>
      <color indexed="9"/>
      <name val="Arial"/>
      <family val="2"/>
    </font>
    <font>
      <b/>
      <sz val="10"/>
      <color indexed="10"/>
      <name val="Arial"/>
      <family val="2"/>
    </font>
    <font>
      <b/>
      <sz val="8"/>
      <color indexed="9"/>
      <name val="Arial"/>
      <family val="2"/>
    </font>
    <font>
      <sz val="10"/>
      <color indexed="17"/>
      <name val="Arial"/>
      <family val="2"/>
    </font>
    <font>
      <b/>
      <sz val="10"/>
      <color indexed="13"/>
      <name val="Arial"/>
      <family val="2"/>
    </font>
    <font>
      <b/>
      <sz val="12"/>
      <color indexed="36"/>
      <name val="Arial"/>
      <family val="2"/>
    </font>
    <font>
      <sz val="10"/>
      <color indexed="55"/>
      <name val="Arial"/>
      <family val="2"/>
    </font>
    <font>
      <sz val="8"/>
      <name val="Arial"/>
      <family val="2"/>
    </font>
    <font>
      <b/>
      <sz val="10"/>
      <color indexed="58"/>
      <name val="Arial"/>
      <family val="2"/>
    </font>
    <font>
      <b/>
      <sz val="20"/>
      <color indexed="16"/>
      <name val="Arial"/>
      <family val="2"/>
    </font>
    <font>
      <sz val="14"/>
      <name val="Arial"/>
      <family val="2"/>
    </font>
    <font>
      <b/>
      <sz val="14"/>
      <color indexed="42"/>
      <name val="Arial"/>
      <family val="2"/>
    </font>
    <font>
      <sz val="8"/>
      <color indexed="55"/>
      <name val="Arial"/>
      <family val="2"/>
    </font>
    <font>
      <sz val="12"/>
      <color indexed="47"/>
      <name val="Arial"/>
      <family val="2"/>
    </font>
    <font>
      <sz val="10"/>
      <color indexed="58"/>
      <name val="Arial"/>
      <family val="2"/>
    </font>
    <font>
      <b/>
      <sz val="9"/>
      <name val="Arial"/>
      <family val="2"/>
    </font>
    <font>
      <sz val="10"/>
      <color indexed="58"/>
      <name val="Arial"/>
      <family val="2"/>
    </font>
    <font>
      <sz val="10"/>
      <color indexed="9"/>
      <name val="Arial"/>
      <family val="2"/>
    </font>
    <font>
      <sz val="8"/>
      <name val="Arial"/>
      <family val="2"/>
    </font>
    <font>
      <sz val="8"/>
      <color indexed="17"/>
      <name val="Arial"/>
      <family val="2"/>
    </font>
    <font>
      <i/>
      <sz val="10"/>
      <color indexed="13"/>
      <name val="Comic Sans MS"/>
      <family val="4"/>
    </font>
    <font>
      <b/>
      <sz val="10"/>
      <color indexed="53"/>
      <name val="Comic Sans MS"/>
      <family val="4"/>
    </font>
    <font>
      <b/>
      <i/>
      <sz val="12"/>
      <color indexed="22"/>
      <name val="Arial"/>
      <family val="2"/>
    </font>
    <font>
      <i/>
      <sz val="8"/>
      <color indexed="51"/>
      <name val="Comic Sans MS"/>
      <family val="4"/>
    </font>
    <font>
      <b/>
      <sz val="10"/>
      <color indexed="15"/>
      <name val="Arial"/>
      <family val="2"/>
    </font>
    <font>
      <i/>
      <sz val="10"/>
      <color indexed="9"/>
      <name val="Comic Sans MS"/>
      <family val="4"/>
    </font>
    <font>
      <sz val="10"/>
      <color indexed="52"/>
      <name val="Comic Sans MS"/>
      <family val="4"/>
    </font>
    <font>
      <i/>
      <sz val="8"/>
      <color indexed="13"/>
      <name val="Comic Sans MS"/>
      <family val="4"/>
    </font>
    <font>
      <sz val="6"/>
      <color indexed="17"/>
      <name val="Arial"/>
      <family val="2"/>
    </font>
    <font>
      <sz val="26"/>
      <name val="Arial"/>
      <family val="2"/>
    </font>
    <font>
      <sz val="6"/>
      <name val="Arial"/>
      <family val="2"/>
    </font>
    <font>
      <sz val="11"/>
      <name val="Arial"/>
      <family val="2"/>
    </font>
    <font>
      <i/>
      <sz val="8"/>
      <name val="Arial"/>
      <family val="2"/>
    </font>
    <font>
      <b/>
      <sz val="16"/>
      <name val="Arial"/>
      <family val="2"/>
    </font>
    <font>
      <sz val="18"/>
      <name val="Arial"/>
      <family val="2"/>
    </font>
    <font>
      <sz val="11"/>
      <color indexed="62"/>
      <name val="Arial"/>
      <family val="2"/>
    </font>
    <font>
      <i/>
      <sz val="11"/>
      <color indexed="13"/>
      <name val="Arial"/>
      <family val="2"/>
    </font>
    <font>
      <i/>
      <sz val="12"/>
      <color indexed="13"/>
      <name val="Arial"/>
      <family val="2"/>
    </font>
    <font>
      <i/>
      <sz val="8"/>
      <color indexed="13"/>
      <name val="Arial"/>
      <family val="2"/>
    </font>
    <font>
      <sz val="10"/>
      <name val="Comic Sans MS"/>
      <family val="4"/>
    </font>
    <font>
      <b/>
      <sz val="14"/>
      <color indexed="53"/>
      <name val="Comic Sans MS"/>
      <family val="4"/>
    </font>
    <font>
      <b/>
      <sz val="24"/>
      <color indexed="53"/>
      <name val="Comic Sans MS"/>
      <family val="4"/>
    </font>
    <font>
      <i/>
      <sz val="10"/>
      <color indexed="12"/>
      <name val="Arial"/>
      <family val="2"/>
    </font>
    <font>
      <i/>
      <sz val="10"/>
      <name val="Arial"/>
      <family val="2"/>
    </font>
    <font>
      <i/>
      <sz val="9"/>
      <name val="Arial"/>
      <family val="2"/>
    </font>
    <font>
      <b/>
      <sz val="24"/>
      <color indexed="13"/>
      <name val="Arial"/>
      <family val="2"/>
    </font>
    <font>
      <b/>
      <i/>
      <sz val="10"/>
      <color indexed="12"/>
      <name val="Arial"/>
      <family val="2"/>
    </font>
    <font>
      <b/>
      <sz val="6"/>
      <name val="Arial"/>
      <family val="2"/>
    </font>
    <font>
      <b/>
      <sz val="10"/>
      <name val="Arial"/>
      <family val="2"/>
      <charset val="204"/>
    </font>
    <font>
      <sz val="10"/>
      <color indexed="22"/>
      <name val="Arial"/>
      <family val="2"/>
    </font>
    <font>
      <sz val="10"/>
      <color indexed="12"/>
      <name val="Arial"/>
      <family val="2"/>
      <charset val="204"/>
    </font>
    <font>
      <sz val="9"/>
      <name val="Tahoma"/>
      <family val="2"/>
      <charset val="161"/>
    </font>
    <font>
      <b/>
      <sz val="10"/>
      <name val="Tahoma"/>
      <family val="2"/>
    </font>
    <font>
      <b/>
      <sz val="9"/>
      <color indexed="63"/>
      <name val="Arial"/>
      <family val="2"/>
    </font>
    <font>
      <sz val="9"/>
      <color indexed="63"/>
      <name val="Arial"/>
      <family val="2"/>
    </font>
    <font>
      <sz val="16"/>
      <color indexed="12"/>
      <name val="Arial"/>
      <family val="2"/>
    </font>
    <font>
      <sz val="72"/>
      <name val="Arial"/>
      <family val="2"/>
    </font>
    <font>
      <sz val="3"/>
      <name val="Times New Roman"/>
      <family val="1"/>
    </font>
    <font>
      <sz val="9"/>
      <name val="Arial"/>
      <family val="2"/>
    </font>
    <font>
      <i/>
      <sz val="6"/>
      <name val="Arial"/>
      <family val="2"/>
    </font>
    <font>
      <sz val="4"/>
      <name val="Arial"/>
      <family val="2"/>
    </font>
    <font>
      <b/>
      <sz val="4"/>
      <name val="Arial"/>
      <family val="2"/>
    </font>
    <font>
      <sz val="4"/>
      <color indexed="12"/>
      <name val="Arial"/>
      <family val="2"/>
    </font>
    <font>
      <sz val="48"/>
      <name val="Arial"/>
      <family val="2"/>
    </font>
    <font>
      <b/>
      <sz val="18"/>
      <name val="Arial"/>
      <family val="2"/>
    </font>
    <font>
      <sz val="24"/>
      <name val="Arial"/>
      <family val="2"/>
    </font>
    <font>
      <b/>
      <sz val="12"/>
      <color indexed="58"/>
      <name val="Arial"/>
      <family val="2"/>
    </font>
    <font>
      <b/>
      <sz val="9"/>
      <color indexed="42"/>
      <name val="Arial"/>
      <family val="2"/>
    </font>
    <font>
      <b/>
      <sz val="24"/>
      <name val="Arial"/>
      <family val="2"/>
    </font>
    <font>
      <sz val="8"/>
      <color indexed="22"/>
      <name val="Arial"/>
      <family val="2"/>
    </font>
    <font>
      <sz val="28"/>
      <name val="Arial"/>
      <family val="2"/>
    </font>
    <font>
      <b/>
      <sz val="6"/>
      <color indexed="12"/>
      <name val="Arial"/>
      <family val="2"/>
    </font>
    <font>
      <sz val="8"/>
      <name val="Arial Black"/>
      <family val="2"/>
    </font>
    <font>
      <sz val="10"/>
      <color rgb="FF003300"/>
      <name val="Arial"/>
      <family val="2"/>
    </font>
    <font>
      <b/>
      <sz val="10"/>
      <color rgb="FF333300"/>
      <name val="Arial"/>
      <family val="2"/>
    </font>
    <font>
      <sz val="10"/>
      <color rgb="FF333300"/>
      <name val="Arial"/>
      <family val="2"/>
    </font>
    <font>
      <b/>
      <sz val="10"/>
      <color rgb="FFFF99CC"/>
      <name val="Arial"/>
      <family val="2"/>
    </font>
    <font>
      <sz val="10"/>
      <color theme="0"/>
      <name val="Arial"/>
      <family val="2"/>
    </font>
    <font>
      <b/>
      <sz val="10"/>
      <color rgb="FF003300"/>
      <name val="Arial"/>
      <family val="2"/>
    </font>
    <font>
      <i/>
      <sz val="12"/>
      <color rgb="FFFF6600"/>
      <name val="Arial"/>
      <family val="2"/>
    </font>
    <font>
      <b/>
      <i/>
      <sz val="12"/>
      <color rgb="FFFF6600"/>
      <name val="Arial"/>
      <family val="2"/>
    </font>
    <font>
      <sz val="10"/>
      <color rgb="FF969696"/>
      <name val="Arial"/>
      <family val="2"/>
    </font>
    <font>
      <b/>
      <sz val="10"/>
      <color rgb="FF969696"/>
      <name val="Arial"/>
      <family val="2"/>
    </font>
    <font>
      <sz val="10"/>
      <color rgb="FFFF6600"/>
      <name val="Arial"/>
      <family val="2"/>
    </font>
    <font>
      <sz val="9"/>
      <color theme="1"/>
      <name val="Tahoma"/>
      <family val="2"/>
      <charset val="161"/>
    </font>
    <font>
      <b/>
      <sz val="9"/>
      <color theme="1"/>
      <name val="Tahoma"/>
      <family val="2"/>
      <charset val="161"/>
    </font>
    <font>
      <sz val="8"/>
      <color theme="1"/>
      <name val="Tahoma"/>
      <family val="2"/>
      <charset val="161"/>
    </font>
    <font>
      <sz val="10"/>
      <color theme="1"/>
      <name val="Tahoma"/>
      <family val="2"/>
      <charset val="161"/>
    </font>
    <font>
      <sz val="18"/>
      <color theme="1"/>
      <name val="Arial"/>
      <family val="2"/>
    </font>
    <font>
      <b/>
      <sz val="18"/>
      <color theme="1"/>
      <name val="Tahoma"/>
      <family val="2"/>
      <charset val="161"/>
    </font>
    <font>
      <b/>
      <sz val="16"/>
      <color theme="1"/>
      <name val="Tahoma"/>
      <family val="2"/>
      <charset val="161"/>
    </font>
    <font>
      <b/>
      <sz val="18"/>
      <color theme="1"/>
      <name val="Arial"/>
      <family val="2"/>
    </font>
    <font>
      <b/>
      <sz val="18"/>
      <color theme="0"/>
      <name val="Arial"/>
      <family val="2"/>
    </font>
    <font>
      <b/>
      <sz val="10"/>
      <color theme="1"/>
      <name val="Tahoma"/>
      <family val="2"/>
      <charset val="161"/>
    </font>
    <font>
      <sz val="8"/>
      <color rgb="FF000000"/>
      <name val="Arial"/>
      <family val="2"/>
    </font>
    <font>
      <sz val="10"/>
      <color theme="0" tint="-0.249977111117893"/>
      <name val="Arial"/>
      <family val="2"/>
    </font>
    <font>
      <sz val="12"/>
      <color theme="0" tint="-0.249977111117893"/>
      <name val="Arial"/>
      <family val="2"/>
    </font>
    <font>
      <sz val="10"/>
      <color theme="0" tint="-0.499984740745262"/>
      <name val="Arial"/>
      <family val="2"/>
    </font>
    <font>
      <b/>
      <i/>
      <sz val="8"/>
      <color theme="0"/>
      <name val="Arial"/>
      <family val="2"/>
    </font>
    <font>
      <sz val="8"/>
      <color rgb="FF0000CC"/>
      <name val="Arial"/>
      <family val="2"/>
    </font>
    <font>
      <sz val="10"/>
      <color theme="1"/>
      <name val="Arial"/>
      <family val="2"/>
    </font>
    <font>
      <b/>
      <sz val="18"/>
      <color rgb="FF0000CC"/>
      <name val="Arial"/>
      <family val="2"/>
    </font>
    <font>
      <sz val="18"/>
      <color rgb="FF0000CC"/>
      <name val="Arial"/>
      <family val="2"/>
    </font>
    <font>
      <sz val="16"/>
      <color rgb="FF0000FF"/>
      <name val="Arial"/>
      <family val="2"/>
    </font>
    <font>
      <sz val="14"/>
      <color theme="0"/>
      <name val="Arial"/>
      <family val="2"/>
    </font>
    <font>
      <sz val="10"/>
      <color rgb="FFFFFF00"/>
      <name val="Arial"/>
      <family val="2"/>
    </font>
    <font>
      <sz val="8"/>
      <color rgb="FFFFFF00"/>
      <name val="Arial"/>
      <family val="2"/>
    </font>
    <font>
      <sz val="9"/>
      <color theme="1"/>
      <name val="Arial"/>
      <family val="2"/>
    </font>
    <font>
      <sz val="12"/>
      <color rgb="FF0066FF"/>
      <name val="Arial Black"/>
      <family val="2"/>
    </font>
    <font>
      <sz val="11"/>
      <color rgb="FFFF0000"/>
      <name val="Arial"/>
      <family val="2"/>
    </font>
    <font>
      <b/>
      <sz val="10"/>
      <color theme="9" tint="-0.249977111117893"/>
      <name val="Arial"/>
      <family val="2"/>
    </font>
    <font>
      <b/>
      <sz val="18"/>
      <color theme="9" tint="-0.249977111117893"/>
      <name val="Arial"/>
      <family val="2"/>
    </font>
    <font>
      <b/>
      <u/>
      <sz val="10"/>
      <color rgb="FF0099FF"/>
      <name val="Arial"/>
      <family val="2"/>
    </font>
    <font>
      <sz val="10"/>
      <color rgb="FF000000"/>
      <name val="Arial"/>
      <family val="2"/>
    </font>
    <font>
      <b/>
      <sz val="6"/>
      <color theme="1"/>
      <name val="Tahoma"/>
      <family val="2"/>
      <charset val="161"/>
    </font>
    <font>
      <b/>
      <sz val="9"/>
      <color theme="0"/>
      <name val="Arial"/>
      <family val="2"/>
    </font>
    <font>
      <b/>
      <sz val="28"/>
      <name val="Arial"/>
      <family val="2"/>
    </font>
    <font>
      <b/>
      <sz val="28"/>
      <color theme="0"/>
      <name val="Arial"/>
      <family val="2"/>
    </font>
    <font>
      <b/>
      <i/>
      <sz val="14"/>
      <name val="Arial"/>
      <family val="2"/>
    </font>
    <font>
      <b/>
      <sz val="10"/>
      <color theme="0" tint="-0.14999847407452621"/>
      <name val="Arial"/>
      <family val="2"/>
    </font>
    <font>
      <b/>
      <sz val="8"/>
      <color theme="0" tint="-0.14999847407452621"/>
      <name val="Arial"/>
      <family val="2"/>
    </font>
    <font>
      <sz val="24"/>
      <color indexed="17"/>
      <name val="Arial"/>
      <family val="2"/>
    </font>
    <font>
      <b/>
      <sz val="18"/>
      <color indexed="13"/>
      <name val="Arial"/>
      <family val="2"/>
    </font>
    <font>
      <sz val="10"/>
      <color theme="8" tint="0.39994506668294322"/>
      <name val="Arial"/>
      <family val="2"/>
    </font>
    <font>
      <b/>
      <sz val="10"/>
      <color theme="8" tint="0.39994506668294322"/>
      <name val="Arial"/>
      <family val="2"/>
    </font>
    <font>
      <sz val="10"/>
      <color rgb="FFFFCCCC"/>
      <name val="Arial"/>
      <family val="2"/>
    </font>
    <font>
      <b/>
      <sz val="10"/>
      <color rgb="FF0000FF"/>
      <name val="Arial"/>
      <family val="2"/>
    </font>
    <font>
      <sz val="10"/>
      <color theme="9" tint="0.59999389629810485"/>
      <name val="Arial"/>
      <family val="2"/>
    </font>
    <font>
      <sz val="10"/>
      <color theme="9" tint="0.79998168889431442"/>
      <name val="Arial"/>
      <family val="2"/>
    </font>
    <font>
      <b/>
      <sz val="11"/>
      <color rgb="FF0033CC"/>
      <name val="Arial"/>
      <family val="2"/>
    </font>
    <font>
      <b/>
      <i/>
      <sz val="16"/>
      <name val="Arial"/>
      <family val="2"/>
    </font>
    <font>
      <b/>
      <sz val="9"/>
      <color rgb="FF000000"/>
      <name val="Arial"/>
      <family val="2"/>
    </font>
    <font>
      <b/>
      <sz val="12"/>
      <color indexed="10"/>
      <name val="Arial"/>
      <family val="2"/>
    </font>
    <font>
      <b/>
      <i/>
      <sz val="12"/>
      <color rgb="FF000000"/>
      <name val="Arial"/>
      <family val="2"/>
    </font>
    <font>
      <b/>
      <sz val="10"/>
      <color theme="0" tint="-0.499984740745262"/>
      <name val="Arial"/>
      <family val="2"/>
    </font>
    <font>
      <b/>
      <sz val="10"/>
      <color rgb="FF000000"/>
      <name val="Arial"/>
      <family val="2"/>
    </font>
  </fonts>
  <fills count="10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55"/>
      </patternFill>
    </fill>
    <fill>
      <patternFill patternType="solid">
        <fgColor indexed="41"/>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5"/>
        <bgColor indexed="64"/>
      </patternFill>
    </fill>
    <fill>
      <patternFill patternType="solid">
        <fgColor indexed="51"/>
        <bgColor indexed="64"/>
      </patternFill>
    </fill>
    <fill>
      <patternFill patternType="solid">
        <fgColor indexed="53"/>
        <bgColor indexed="64"/>
      </patternFill>
    </fill>
    <fill>
      <patternFill patternType="solid">
        <fgColor indexed="11"/>
        <bgColor indexed="64"/>
      </patternFill>
    </fill>
    <fill>
      <patternFill patternType="solid">
        <fgColor indexed="13"/>
        <bgColor indexed="64"/>
      </patternFill>
    </fill>
    <fill>
      <patternFill patternType="solid">
        <fgColor indexed="45"/>
        <bgColor indexed="64"/>
      </patternFill>
    </fill>
    <fill>
      <patternFill patternType="solid">
        <fgColor indexed="40"/>
        <bgColor indexed="64"/>
      </patternFill>
    </fill>
    <fill>
      <patternFill patternType="solid">
        <fgColor indexed="47"/>
        <bgColor indexed="64"/>
      </patternFill>
    </fill>
    <fill>
      <patternFill patternType="solid">
        <fgColor indexed="42"/>
        <bgColor indexed="64"/>
      </patternFill>
    </fill>
    <fill>
      <patternFill patternType="solid">
        <fgColor indexed="44"/>
        <bgColor indexed="64"/>
      </patternFill>
    </fill>
    <fill>
      <patternFill patternType="solid">
        <fgColor indexed="49"/>
        <bgColor indexed="64"/>
      </patternFill>
    </fill>
    <fill>
      <patternFill patternType="solid">
        <fgColor indexed="52"/>
        <bgColor indexed="64"/>
      </patternFill>
    </fill>
    <fill>
      <patternFill patternType="solid">
        <fgColor indexed="9"/>
        <bgColor indexed="64"/>
      </patternFill>
    </fill>
    <fill>
      <patternFill patternType="solid">
        <fgColor indexed="58"/>
        <bgColor indexed="64"/>
      </patternFill>
    </fill>
    <fill>
      <patternFill patternType="solid">
        <fgColor indexed="58"/>
        <bgColor indexed="58"/>
      </patternFill>
    </fill>
    <fill>
      <patternFill patternType="solid">
        <fgColor indexed="12"/>
        <bgColor indexed="64"/>
      </patternFill>
    </fill>
    <fill>
      <patternFill patternType="solid">
        <fgColor indexed="26"/>
        <bgColor indexed="58"/>
      </patternFill>
    </fill>
    <fill>
      <patternFill patternType="solid">
        <fgColor indexed="27"/>
        <bgColor indexed="64"/>
      </patternFill>
    </fill>
    <fill>
      <patternFill patternType="solid">
        <fgColor indexed="50"/>
        <bgColor indexed="64"/>
      </patternFill>
    </fill>
    <fill>
      <patternFill patternType="solid">
        <fgColor indexed="45"/>
        <bgColor indexed="58"/>
      </patternFill>
    </fill>
    <fill>
      <patternFill patternType="solid">
        <fgColor rgb="FFCCFFFF"/>
        <bgColor indexed="64"/>
      </patternFill>
    </fill>
    <fill>
      <patternFill patternType="solid">
        <fgColor rgb="FF00330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rgb="FFFFCC99"/>
        <bgColor indexed="64"/>
      </patternFill>
    </fill>
    <fill>
      <patternFill patternType="solid">
        <fgColor rgb="FFCCFFCC"/>
        <bgColor indexed="64"/>
      </patternFill>
    </fill>
    <fill>
      <patternFill patternType="solid">
        <fgColor rgb="FFFF99CC"/>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DDFFDD"/>
        <bgColor indexed="64"/>
      </patternFill>
    </fill>
    <fill>
      <patternFill patternType="solid">
        <fgColor theme="6"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6600"/>
        <bgColor indexed="64"/>
      </patternFill>
    </fill>
    <fill>
      <patternFill patternType="solid">
        <fgColor rgb="FFFFFFCC"/>
        <bgColor indexed="64"/>
      </patternFill>
    </fill>
    <fill>
      <patternFill patternType="solid">
        <fgColor rgb="FFFFCCFF"/>
        <bgColor indexed="64"/>
      </patternFill>
    </fill>
    <fill>
      <patternFill patternType="solid">
        <fgColor rgb="FFFFFF00"/>
        <bgColor indexed="64"/>
      </patternFill>
    </fill>
    <fill>
      <patternFill patternType="solid">
        <fgColor theme="3" tint="0.59999389629810485"/>
        <bgColor indexed="64"/>
      </patternFill>
    </fill>
    <fill>
      <patternFill patternType="solid">
        <fgColor rgb="FFCC9900"/>
        <bgColor indexed="64"/>
      </patternFill>
    </fill>
    <fill>
      <patternFill patternType="solid">
        <fgColor theme="0" tint="-0.34998626667073579"/>
        <bgColor indexed="64"/>
      </patternFill>
    </fill>
    <fill>
      <patternFill patternType="solid">
        <fgColor rgb="FFFFCC99"/>
      </patternFill>
    </fill>
    <fill>
      <patternFill patternType="solid">
        <fgColor rgb="FFFF99CC"/>
        <bgColor indexed="58"/>
      </patternFill>
    </fill>
    <fill>
      <patternFill patternType="solid">
        <fgColor rgb="FFFFFFCC"/>
        <bgColor indexed="58"/>
      </patternFill>
    </fill>
    <fill>
      <patternFill patternType="solid">
        <fgColor theme="9" tint="0.39997558519241921"/>
        <bgColor indexed="58"/>
      </patternFill>
    </fill>
    <fill>
      <patternFill patternType="solid">
        <fgColor theme="9" tint="0.59996337778862885"/>
        <bgColor indexed="64"/>
      </patternFill>
    </fill>
    <fill>
      <patternFill patternType="solid">
        <fgColor rgb="FF00B0F0"/>
        <bgColor indexed="64"/>
      </patternFill>
    </fill>
    <fill>
      <patternFill patternType="solid">
        <fgColor theme="9"/>
        <bgColor indexed="64"/>
      </patternFill>
    </fill>
    <fill>
      <patternFill patternType="solid">
        <fgColor rgb="FF66FFFF"/>
        <bgColor indexed="64"/>
      </patternFill>
    </fill>
    <fill>
      <patternFill patternType="solid">
        <fgColor rgb="FFFF0000"/>
        <bgColor indexed="64"/>
      </patternFill>
    </fill>
    <fill>
      <patternFill patternType="solid">
        <fgColor rgb="FF00FFFF"/>
        <bgColor indexed="64"/>
      </patternFill>
    </fill>
    <fill>
      <patternFill patternType="solid">
        <fgColor rgb="FFCCFF99"/>
        <bgColor indexed="64"/>
      </patternFill>
    </fill>
    <fill>
      <patternFill patternType="solid">
        <fgColor rgb="FF00FF00"/>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rgb="FFF5F093"/>
        <bgColor indexed="64"/>
      </patternFill>
    </fill>
    <fill>
      <patternFill patternType="solid">
        <fgColor rgb="FF9933FF"/>
        <bgColor indexed="64"/>
      </patternFill>
    </fill>
    <fill>
      <patternFill patternType="solid">
        <fgColor theme="0" tint="-0.249977111117893"/>
        <bgColor indexed="64"/>
      </patternFill>
    </fill>
    <fill>
      <patternFill patternType="solid">
        <fgColor rgb="FFFF9900"/>
        <bgColor indexed="64"/>
      </patternFill>
    </fill>
    <fill>
      <patternFill patternType="solid">
        <fgColor theme="0"/>
        <bgColor indexed="58"/>
      </patternFill>
    </fill>
    <fill>
      <patternFill patternType="solid">
        <fgColor rgb="FF92D050"/>
        <bgColor indexed="64"/>
      </patternFill>
    </fill>
    <fill>
      <patternFill patternType="solid">
        <fgColor theme="8" tint="0.59999389629810485"/>
        <bgColor indexed="64"/>
      </patternFill>
    </fill>
    <fill>
      <patternFill patternType="solid">
        <fgColor rgb="FFFFFF99"/>
        <bgColor indexed="64"/>
      </patternFill>
    </fill>
    <fill>
      <patternFill patternType="solid">
        <fgColor rgb="FFFF99FF"/>
        <bgColor indexed="64"/>
      </patternFill>
    </fill>
    <fill>
      <patternFill patternType="solid">
        <fgColor rgb="FF99FF33"/>
        <bgColor indexed="64"/>
      </patternFill>
    </fill>
    <fill>
      <patternFill patternType="solid">
        <fgColor theme="7" tint="0.79998168889431442"/>
        <bgColor indexed="64"/>
      </patternFill>
    </fill>
    <fill>
      <patternFill patternType="solid">
        <fgColor rgb="FF99CCFF"/>
        <bgColor indexed="64"/>
      </patternFill>
    </fill>
    <fill>
      <patternFill patternType="solid">
        <fgColor rgb="FFCCCC00"/>
        <bgColor indexed="64"/>
      </patternFill>
    </fill>
    <fill>
      <patternFill patternType="solid">
        <fgColor theme="9" tint="0.39997558519241921"/>
        <bgColor indexed="64"/>
      </patternFill>
    </fill>
    <fill>
      <patternFill patternType="solid">
        <fgColor rgb="FFFFCC00"/>
        <bgColor indexed="64"/>
      </patternFill>
    </fill>
    <fill>
      <patternFill patternType="solid">
        <fgColor rgb="FFECFFB7"/>
        <bgColor indexed="64"/>
      </patternFill>
    </fill>
    <fill>
      <patternFill patternType="solid">
        <fgColor rgb="FF99CC00"/>
        <bgColor indexed="64"/>
      </patternFill>
    </fill>
    <fill>
      <patternFill patternType="solid">
        <fgColor rgb="FFCCECFF"/>
        <bgColor indexed="64"/>
      </patternFill>
    </fill>
    <fill>
      <patternFill patternType="solid">
        <fgColor rgb="FFFFCCCC"/>
        <bgColor indexed="64"/>
      </patternFill>
    </fill>
    <fill>
      <patternFill patternType="solid">
        <fgColor rgb="FFD9D9D9"/>
        <bgColor indexed="64"/>
      </patternFill>
    </fill>
    <fill>
      <patternFill patternType="solid">
        <fgColor theme="2" tint="-0.249977111117893"/>
        <bgColor indexed="64"/>
      </patternFill>
    </fill>
    <fill>
      <patternFill patternType="solid">
        <fgColor rgb="FFFFA7FF"/>
        <bgColor indexed="64"/>
      </patternFill>
    </fill>
    <fill>
      <patternFill patternType="solid">
        <fgColor theme="7" tint="0.59999389629810485"/>
        <bgColor indexed="64"/>
      </patternFill>
    </fill>
    <fill>
      <patternFill patternType="solid">
        <fgColor rgb="FFFF66FF"/>
        <bgColor indexed="64"/>
      </patternFill>
    </fill>
    <fill>
      <patternFill patternType="solid">
        <fgColor rgb="FF66FF99"/>
        <bgColor indexed="64"/>
      </patternFill>
    </fill>
    <fill>
      <patternFill patternType="solid">
        <fgColor rgb="FFA6A6A6"/>
        <bgColor indexed="64"/>
      </patternFill>
    </fill>
  </fills>
  <borders count="302">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bottom style="thin">
        <color indexed="64"/>
      </bottom>
      <diagonal/>
    </border>
    <border>
      <left/>
      <right/>
      <top/>
      <bottom style="medium">
        <color indexed="53"/>
      </bottom>
      <diagonal/>
    </border>
    <border>
      <left style="medium">
        <color indexed="53"/>
      </left>
      <right/>
      <top/>
      <bottom style="medium">
        <color indexed="53"/>
      </bottom>
      <diagonal/>
    </border>
    <border>
      <left style="medium">
        <color indexed="53"/>
      </left>
      <right style="medium">
        <color indexed="53"/>
      </right>
      <top style="medium">
        <color indexed="53"/>
      </top>
      <bottom/>
      <diagonal/>
    </border>
    <border>
      <left/>
      <right/>
      <top style="medium">
        <color indexed="53"/>
      </top>
      <bottom/>
      <diagonal/>
    </border>
    <border>
      <left style="medium">
        <color indexed="53"/>
      </left>
      <right/>
      <top style="medium">
        <color indexed="53"/>
      </top>
      <bottom/>
      <diagonal/>
    </border>
    <border>
      <left/>
      <right style="medium">
        <color indexed="53"/>
      </right>
      <top style="medium">
        <color indexed="53"/>
      </top>
      <bottom/>
      <diagonal/>
    </border>
    <border>
      <left style="medium">
        <color indexed="53"/>
      </left>
      <right style="medium">
        <color indexed="53"/>
      </right>
      <top/>
      <bottom/>
      <diagonal/>
    </border>
    <border>
      <left style="medium">
        <color indexed="53"/>
      </left>
      <right/>
      <top/>
      <bottom/>
      <diagonal/>
    </border>
    <border>
      <left/>
      <right style="medium">
        <color indexed="53"/>
      </right>
      <top/>
      <bottom/>
      <diagonal/>
    </border>
    <border>
      <left style="medium">
        <color indexed="53"/>
      </left>
      <right style="medium">
        <color indexed="53"/>
      </right>
      <top/>
      <bottom style="medium">
        <color indexed="53"/>
      </bottom>
      <diagonal/>
    </border>
    <border>
      <left/>
      <right style="medium">
        <color indexed="53"/>
      </right>
      <top/>
      <bottom style="medium">
        <color indexed="53"/>
      </bottom>
      <diagonal/>
    </border>
    <border>
      <left style="medium">
        <color indexed="53"/>
      </left>
      <right style="thin">
        <color indexed="53"/>
      </right>
      <top style="medium">
        <color indexed="53"/>
      </top>
      <bottom style="medium">
        <color indexed="53"/>
      </bottom>
      <diagonal/>
    </border>
    <border>
      <left style="medium">
        <color indexed="53"/>
      </left>
      <right/>
      <top style="medium">
        <color indexed="53"/>
      </top>
      <bottom style="thin">
        <color indexed="64"/>
      </bottom>
      <diagonal/>
    </border>
    <border>
      <left style="thin">
        <color indexed="53"/>
      </left>
      <right style="thin">
        <color indexed="53"/>
      </right>
      <top style="medium">
        <color indexed="53"/>
      </top>
      <bottom style="medium">
        <color indexed="53"/>
      </bottom>
      <diagonal/>
    </border>
    <border>
      <left style="thin">
        <color indexed="64"/>
      </left>
      <right/>
      <top style="medium">
        <color indexed="64"/>
      </top>
      <bottom/>
      <diagonal/>
    </border>
    <border>
      <left style="thin">
        <color indexed="64"/>
      </left>
      <right/>
      <top style="thin">
        <color indexed="64"/>
      </top>
      <bottom/>
      <diagonal/>
    </border>
    <border>
      <left style="medium">
        <color indexed="52"/>
      </left>
      <right style="medium">
        <color indexed="52"/>
      </right>
      <top style="medium">
        <color indexed="52"/>
      </top>
      <bottom style="medium">
        <color indexed="52"/>
      </bottom>
      <diagonal/>
    </border>
    <border>
      <left style="thin">
        <color indexed="52"/>
      </left>
      <right/>
      <top/>
      <bottom/>
      <diagonal/>
    </border>
    <border>
      <left style="thin">
        <color indexed="52"/>
      </left>
      <right style="medium">
        <color indexed="52"/>
      </right>
      <top style="medium">
        <color indexed="52"/>
      </top>
      <bottom style="medium">
        <color indexed="52"/>
      </bottom>
      <diagonal/>
    </border>
    <border>
      <left style="thin">
        <color indexed="53"/>
      </left>
      <right style="medium">
        <color indexed="53"/>
      </right>
      <top style="medium">
        <color indexed="53"/>
      </top>
      <bottom style="medium">
        <color indexed="53"/>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thin">
        <color indexed="64"/>
      </right>
      <top style="thin">
        <color indexed="64"/>
      </top>
      <bottom/>
      <diagonal/>
    </border>
    <border>
      <left style="double">
        <color indexed="64"/>
      </left>
      <right style="thin">
        <color indexed="64"/>
      </right>
      <top style="thin">
        <color indexed="64"/>
      </top>
      <bottom style="thin">
        <color indexed="64"/>
      </bottom>
      <diagonal/>
    </border>
    <border>
      <left/>
      <right/>
      <top/>
      <bottom style="thin">
        <color indexed="64"/>
      </bottom>
      <diagonal/>
    </border>
    <border>
      <left style="medium">
        <color indexed="53"/>
      </left>
      <right style="medium">
        <color indexed="53"/>
      </right>
      <top style="medium">
        <color indexed="52"/>
      </top>
      <bottom style="medium">
        <color indexed="53"/>
      </bottom>
      <diagonal/>
    </border>
    <border>
      <left style="medium">
        <color indexed="53"/>
      </left>
      <right style="medium">
        <color indexed="53"/>
      </right>
      <top style="medium">
        <color indexed="53"/>
      </top>
      <bottom style="medium">
        <color indexed="53"/>
      </bottom>
      <diagonal/>
    </border>
    <border>
      <left style="medium">
        <color indexed="53"/>
      </left>
      <right/>
      <top style="medium">
        <color indexed="53"/>
      </top>
      <bottom style="thin">
        <color indexed="53"/>
      </bottom>
      <diagonal/>
    </border>
    <border>
      <left/>
      <right/>
      <top style="medium">
        <color indexed="53"/>
      </top>
      <bottom style="thin">
        <color indexed="53"/>
      </bottom>
      <diagonal/>
    </border>
    <border>
      <left/>
      <right style="medium">
        <color indexed="53"/>
      </right>
      <top style="medium">
        <color indexed="53"/>
      </top>
      <bottom style="thin">
        <color indexed="53"/>
      </bottom>
      <diagonal/>
    </border>
    <border>
      <left style="medium">
        <color indexed="53"/>
      </left>
      <right/>
      <top style="thin">
        <color indexed="53"/>
      </top>
      <bottom style="thin">
        <color indexed="53"/>
      </bottom>
      <diagonal/>
    </border>
    <border>
      <left/>
      <right/>
      <top style="thin">
        <color indexed="53"/>
      </top>
      <bottom style="thin">
        <color indexed="53"/>
      </bottom>
      <diagonal/>
    </border>
    <border>
      <left/>
      <right style="medium">
        <color indexed="53"/>
      </right>
      <top style="thin">
        <color indexed="53"/>
      </top>
      <bottom style="thin">
        <color indexed="53"/>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9"/>
      </right>
      <top style="medium">
        <color indexed="64"/>
      </top>
      <bottom style="thin">
        <color indexed="9"/>
      </bottom>
      <diagonal/>
    </border>
    <border>
      <left style="thin">
        <color indexed="9"/>
      </left>
      <right style="thin">
        <color indexed="9"/>
      </right>
      <top style="medium">
        <color indexed="64"/>
      </top>
      <bottom style="thin">
        <color indexed="9"/>
      </bottom>
      <diagonal/>
    </border>
    <border>
      <left style="thin">
        <color indexed="9"/>
      </left>
      <right style="medium">
        <color indexed="64"/>
      </right>
      <top style="medium">
        <color indexed="64"/>
      </top>
      <bottom style="thin">
        <color indexed="9"/>
      </bottom>
      <diagonal/>
    </border>
    <border>
      <left style="medium">
        <color indexed="64"/>
      </left>
      <right style="thin">
        <color indexed="9"/>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medium">
        <color indexed="64"/>
      </right>
      <top style="thin">
        <color indexed="9"/>
      </top>
      <bottom style="thin">
        <color indexed="9"/>
      </bottom>
      <diagonal/>
    </border>
    <border>
      <left style="medium">
        <color indexed="64"/>
      </left>
      <right style="thin">
        <color indexed="9"/>
      </right>
      <top style="thin">
        <color indexed="9"/>
      </top>
      <bottom style="medium">
        <color indexed="64"/>
      </bottom>
      <diagonal/>
    </border>
    <border>
      <left style="thin">
        <color indexed="9"/>
      </left>
      <right style="thin">
        <color indexed="9"/>
      </right>
      <top style="thin">
        <color indexed="9"/>
      </top>
      <bottom style="medium">
        <color indexed="64"/>
      </bottom>
      <diagonal/>
    </border>
    <border>
      <left style="thin">
        <color indexed="9"/>
      </left>
      <right style="medium">
        <color indexed="64"/>
      </right>
      <top style="thin">
        <color indexed="9"/>
      </top>
      <bottom style="medium">
        <color indexed="64"/>
      </bottom>
      <diagonal/>
    </border>
    <border>
      <left/>
      <right style="thin">
        <color indexed="64"/>
      </right>
      <top/>
      <bottom style="thin">
        <color indexed="64"/>
      </bottom>
      <diagonal/>
    </border>
    <border>
      <left/>
      <right style="thin">
        <color indexed="9"/>
      </right>
      <top style="medium">
        <color indexed="64"/>
      </top>
      <bottom style="thin">
        <color indexed="9"/>
      </bottom>
      <diagonal/>
    </border>
    <border>
      <left/>
      <right style="thin">
        <color indexed="9"/>
      </right>
      <top style="thin">
        <color indexed="9"/>
      </top>
      <bottom style="thin">
        <color indexed="9"/>
      </bottom>
      <diagonal/>
    </border>
    <border>
      <left/>
      <right style="thin">
        <color indexed="9"/>
      </right>
      <top style="thin">
        <color indexed="9"/>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diagonal/>
    </border>
    <border>
      <left style="thin">
        <color indexed="53"/>
      </left>
      <right style="thin">
        <color indexed="53"/>
      </right>
      <top style="medium">
        <color indexed="53"/>
      </top>
      <bottom/>
      <diagonal/>
    </border>
    <border>
      <left style="thin">
        <color indexed="53"/>
      </left>
      <right style="medium">
        <color indexed="53"/>
      </right>
      <top style="medium">
        <color indexed="53"/>
      </top>
      <bottom/>
      <diagonal/>
    </border>
    <border>
      <left style="medium">
        <color indexed="53"/>
      </left>
      <right style="thin">
        <color indexed="53"/>
      </right>
      <top style="thin">
        <color indexed="53"/>
      </top>
      <bottom style="thin">
        <color indexed="53"/>
      </bottom>
      <diagonal/>
    </border>
    <border>
      <left style="thin">
        <color indexed="53"/>
      </left>
      <right style="thin">
        <color indexed="53"/>
      </right>
      <top style="thin">
        <color indexed="53"/>
      </top>
      <bottom style="thin">
        <color indexed="53"/>
      </bottom>
      <diagonal/>
    </border>
    <border>
      <left style="medium">
        <color indexed="53"/>
      </left>
      <right style="medium">
        <color indexed="53"/>
      </right>
      <top style="thin">
        <color indexed="53"/>
      </top>
      <bottom style="thin">
        <color indexed="53"/>
      </bottom>
      <diagonal/>
    </border>
    <border>
      <left style="medium">
        <color indexed="53"/>
      </left>
      <right style="thin">
        <color indexed="53"/>
      </right>
      <top style="thin">
        <color indexed="53"/>
      </top>
      <bottom style="medium">
        <color indexed="53"/>
      </bottom>
      <diagonal/>
    </border>
    <border>
      <left style="medium">
        <color indexed="53"/>
      </left>
      <right/>
      <top style="medium">
        <color indexed="53"/>
      </top>
      <bottom style="medium">
        <color indexed="53"/>
      </bottom>
      <diagonal/>
    </border>
    <border>
      <left/>
      <right/>
      <top style="medium">
        <color indexed="53"/>
      </top>
      <bottom style="medium">
        <color indexed="53"/>
      </bottom>
      <diagonal/>
    </border>
    <border>
      <left/>
      <right style="medium">
        <color indexed="53"/>
      </right>
      <top style="medium">
        <color indexed="53"/>
      </top>
      <bottom style="medium">
        <color indexed="53"/>
      </bottom>
      <diagonal/>
    </border>
    <border>
      <left/>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style="double">
        <color indexed="64"/>
      </left>
      <right/>
      <top style="medium">
        <color indexed="52"/>
      </top>
      <bottom style="thin">
        <color indexed="64"/>
      </bottom>
      <diagonal/>
    </border>
    <border>
      <left/>
      <right/>
      <top style="medium">
        <color indexed="52"/>
      </top>
      <bottom style="thin">
        <color indexed="64"/>
      </bottom>
      <diagonal/>
    </border>
    <border>
      <left/>
      <right style="double">
        <color indexed="64"/>
      </right>
      <top style="medium">
        <color indexed="52"/>
      </top>
      <bottom style="thin">
        <color indexed="64"/>
      </bottom>
      <diagonal/>
    </border>
    <border>
      <left style="double">
        <color indexed="64"/>
      </left>
      <right/>
      <top style="medium">
        <color indexed="52"/>
      </top>
      <bottom style="medium">
        <color indexed="52"/>
      </bottom>
      <diagonal/>
    </border>
    <border>
      <left/>
      <right/>
      <top style="medium">
        <color indexed="52"/>
      </top>
      <bottom style="medium">
        <color indexed="52"/>
      </bottom>
      <diagonal/>
    </border>
    <border>
      <left/>
      <right/>
      <top style="medium">
        <color indexed="64"/>
      </top>
      <bottom style="thin">
        <color indexed="64"/>
      </bottom>
      <diagonal/>
    </border>
    <border>
      <left/>
      <right/>
      <top style="thin">
        <color indexed="64"/>
      </top>
      <bottom style="medium">
        <color indexed="64"/>
      </bottom>
      <diagonal/>
    </border>
    <border>
      <left style="thin">
        <color indexed="53"/>
      </left>
      <right style="thin">
        <color indexed="53"/>
      </right>
      <top/>
      <bottom style="medium">
        <color indexed="53"/>
      </bottom>
      <diagonal/>
    </border>
    <border>
      <left style="medium">
        <color indexed="53"/>
      </left>
      <right style="thin">
        <color indexed="53"/>
      </right>
      <top style="medium">
        <color indexed="53"/>
      </top>
      <bottom style="thin">
        <color indexed="53"/>
      </bottom>
      <diagonal/>
    </border>
    <border>
      <left style="thin">
        <color indexed="53"/>
      </left>
      <right style="thin">
        <color indexed="53"/>
      </right>
      <top style="medium">
        <color indexed="53"/>
      </top>
      <bottom style="thin">
        <color indexed="53"/>
      </bottom>
      <diagonal/>
    </border>
    <border>
      <left style="thin">
        <color indexed="53"/>
      </left>
      <right style="medium">
        <color indexed="53"/>
      </right>
      <top style="medium">
        <color indexed="53"/>
      </top>
      <bottom style="thin">
        <color indexed="53"/>
      </bottom>
      <diagonal/>
    </border>
    <border>
      <left style="thin">
        <color indexed="53"/>
      </left>
      <right style="medium">
        <color indexed="53"/>
      </right>
      <top style="thin">
        <color indexed="53"/>
      </top>
      <bottom style="thin">
        <color indexed="53"/>
      </bottom>
      <diagonal/>
    </border>
    <border>
      <left style="thin">
        <color indexed="53"/>
      </left>
      <right style="thin">
        <color indexed="53"/>
      </right>
      <top style="thin">
        <color indexed="53"/>
      </top>
      <bottom style="medium">
        <color indexed="53"/>
      </bottom>
      <diagonal/>
    </border>
    <border>
      <left style="thin">
        <color indexed="53"/>
      </left>
      <right style="medium">
        <color indexed="53"/>
      </right>
      <top style="thin">
        <color indexed="53"/>
      </top>
      <bottom style="medium">
        <color indexed="53"/>
      </bottom>
      <diagonal/>
    </border>
    <border>
      <left style="thin">
        <color indexed="53"/>
      </left>
      <right style="medium">
        <color indexed="53"/>
      </right>
      <top/>
      <bottom style="medium">
        <color indexed="53"/>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53"/>
      </left>
      <right style="thin">
        <color indexed="53"/>
      </right>
      <top style="medium">
        <color indexed="53"/>
      </top>
      <bottom/>
      <diagonal/>
    </border>
    <border>
      <left style="thin">
        <color indexed="64"/>
      </left>
      <right style="double">
        <color indexed="64"/>
      </right>
      <top style="thin">
        <color indexed="64"/>
      </top>
      <bottom style="thin">
        <color indexed="64"/>
      </bottom>
      <diagonal/>
    </border>
    <border>
      <left/>
      <right style="double">
        <color indexed="64"/>
      </right>
      <top/>
      <bottom style="thin">
        <color indexed="64"/>
      </bottom>
      <diagonal/>
    </border>
    <border>
      <left/>
      <right style="double">
        <color indexed="64"/>
      </right>
      <top/>
      <bottom/>
      <diagonal/>
    </border>
    <border>
      <left/>
      <right style="double">
        <color indexed="64"/>
      </right>
      <top style="thin">
        <color indexed="64"/>
      </top>
      <bottom style="thin">
        <color indexed="64"/>
      </bottom>
      <diagonal/>
    </border>
    <border>
      <left/>
      <right/>
      <top style="double">
        <color indexed="64"/>
      </top>
      <bottom style="thin">
        <color indexed="64"/>
      </bottom>
      <diagonal/>
    </border>
    <border>
      <left/>
      <right style="double">
        <color indexed="64"/>
      </right>
      <top style="thin">
        <color indexed="64"/>
      </top>
      <bottom style="double">
        <color indexed="64"/>
      </bottom>
      <diagonal/>
    </border>
    <border>
      <left style="medium">
        <color indexed="53"/>
      </left>
      <right style="medium">
        <color indexed="53"/>
      </right>
      <top style="medium">
        <color indexed="53"/>
      </top>
      <bottom style="thin">
        <color indexed="53"/>
      </bottom>
      <diagonal/>
    </border>
    <border>
      <left style="medium">
        <color indexed="53"/>
      </left>
      <right style="thin">
        <color indexed="53"/>
      </right>
      <top/>
      <bottom style="thin">
        <color indexed="53"/>
      </bottom>
      <diagonal/>
    </border>
    <border>
      <left/>
      <right/>
      <top/>
      <bottom style="thin">
        <color indexed="53"/>
      </bottom>
      <diagonal/>
    </border>
    <border>
      <left style="thin">
        <color indexed="53"/>
      </left>
      <right style="medium">
        <color indexed="53"/>
      </right>
      <top/>
      <bottom style="thin">
        <color indexed="53"/>
      </bottom>
      <diagonal/>
    </border>
    <border>
      <left style="medium">
        <color indexed="53"/>
      </left>
      <right style="medium">
        <color indexed="53"/>
      </right>
      <top style="thin">
        <color indexed="53"/>
      </top>
      <bottom style="medium">
        <color indexed="53"/>
      </bottom>
      <diagonal/>
    </border>
    <border>
      <left style="medium">
        <color indexed="53"/>
      </left>
      <right style="thin">
        <color indexed="53"/>
      </right>
      <top style="thin">
        <color indexed="53"/>
      </top>
      <bottom/>
      <diagonal/>
    </border>
    <border>
      <left/>
      <right/>
      <top style="thin">
        <color indexed="53"/>
      </top>
      <bottom/>
      <diagonal/>
    </border>
    <border>
      <left style="thin">
        <color indexed="53"/>
      </left>
      <right style="medium">
        <color indexed="53"/>
      </right>
      <top style="thin">
        <color indexed="53"/>
      </top>
      <bottom/>
      <diagonal/>
    </border>
    <border>
      <left/>
      <right/>
      <top style="thin">
        <color indexed="53"/>
      </top>
      <bottom style="medium">
        <color indexed="53"/>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medium">
        <color indexed="53"/>
      </top>
      <bottom style="thin">
        <color indexed="64"/>
      </bottom>
      <diagonal/>
    </border>
    <border>
      <left style="thin">
        <color indexed="64"/>
      </left>
      <right style="thin">
        <color indexed="64"/>
      </right>
      <top style="medium">
        <color indexed="53"/>
      </top>
      <bottom style="thin">
        <color indexed="64"/>
      </bottom>
      <diagonal/>
    </border>
    <border>
      <left style="thin">
        <color indexed="64"/>
      </left>
      <right style="medium">
        <color indexed="53"/>
      </right>
      <top style="medium">
        <color indexed="53"/>
      </top>
      <bottom style="thin">
        <color indexed="64"/>
      </bottom>
      <diagonal/>
    </border>
    <border>
      <left style="medium">
        <color indexed="8"/>
      </left>
      <right style="medium">
        <color indexed="8"/>
      </right>
      <top style="medium">
        <color indexed="8"/>
      </top>
      <bottom style="medium">
        <color indexed="8"/>
      </bottom>
      <diagonal/>
    </border>
    <border>
      <left/>
      <right style="thin">
        <color indexed="53"/>
      </right>
      <top style="medium">
        <color indexed="53"/>
      </top>
      <bottom style="medium">
        <color indexed="53"/>
      </bottom>
      <diagonal/>
    </border>
    <border>
      <left style="double">
        <color indexed="64"/>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right/>
      <top/>
      <bottom style="thick">
        <color indexed="64"/>
      </bottom>
      <diagonal/>
    </border>
    <border>
      <left/>
      <right style="thick">
        <color indexed="64"/>
      </right>
      <top/>
      <bottom/>
      <diagonal/>
    </border>
    <border>
      <left style="thick">
        <color indexed="64"/>
      </left>
      <right/>
      <top/>
      <bottom/>
      <diagonal/>
    </border>
    <border>
      <left/>
      <right style="thick">
        <color indexed="64"/>
      </right>
      <top/>
      <bottom style="thick">
        <color indexed="64"/>
      </bottom>
      <diagonal/>
    </border>
    <border>
      <left style="thick">
        <color indexed="64"/>
      </left>
      <right/>
      <top/>
      <bottom style="thick">
        <color indexed="64"/>
      </bottom>
      <diagonal/>
    </border>
    <border>
      <left style="thin">
        <color indexed="64"/>
      </left>
      <right style="thin">
        <color indexed="64"/>
      </right>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medium">
        <color indexed="53"/>
      </left>
      <right style="thin">
        <color indexed="53"/>
      </right>
      <top/>
      <bottom style="medium">
        <color indexed="53"/>
      </bottom>
      <diagonal/>
    </border>
    <border>
      <left style="thin">
        <color indexed="53"/>
      </left>
      <right/>
      <top style="medium">
        <color indexed="53"/>
      </top>
      <bottom style="medium">
        <color indexed="53"/>
      </bottom>
      <diagonal/>
    </border>
    <border>
      <left style="thin">
        <color indexed="53"/>
      </left>
      <right/>
      <top style="medium">
        <color indexed="53"/>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dashed">
        <color indexed="64"/>
      </left>
      <right style="double">
        <color theme="9" tint="-0.24994659260841701"/>
      </right>
      <top style="thin">
        <color indexed="64"/>
      </top>
      <bottom style="thin">
        <color indexed="64"/>
      </bottom>
      <diagonal/>
    </border>
    <border>
      <left style="thin">
        <color indexed="64"/>
      </left>
      <right style="double">
        <color theme="9" tint="-0.24994659260841701"/>
      </right>
      <top style="thin">
        <color indexed="64"/>
      </top>
      <bottom style="thin">
        <color indexed="64"/>
      </bottom>
      <diagonal/>
    </border>
    <border>
      <left style="double">
        <color theme="9" tint="-0.24994659260841701"/>
      </left>
      <right style="thin">
        <color indexed="64"/>
      </right>
      <top style="double">
        <color theme="9" tint="-0.24994659260841701"/>
      </top>
      <bottom/>
      <diagonal/>
    </border>
    <border>
      <left/>
      <right style="thin">
        <color indexed="64"/>
      </right>
      <top style="double">
        <color theme="9" tint="-0.24994659260841701"/>
      </top>
      <bottom/>
      <diagonal/>
    </border>
    <border>
      <left style="thin">
        <color indexed="64"/>
      </left>
      <right style="thin">
        <color indexed="64"/>
      </right>
      <top style="double">
        <color theme="9" tint="-0.24994659260841701"/>
      </top>
      <bottom/>
      <diagonal/>
    </border>
    <border>
      <left style="thin">
        <color indexed="64"/>
      </left>
      <right/>
      <top style="double">
        <color theme="9" tint="-0.24994659260841701"/>
      </top>
      <bottom/>
      <diagonal/>
    </border>
    <border>
      <left/>
      <right/>
      <top style="double">
        <color theme="9" tint="-0.24994659260841701"/>
      </top>
      <bottom/>
      <diagonal/>
    </border>
    <border>
      <left style="thin">
        <color indexed="64"/>
      </left>
      <right style="double">
        <color theme="9" tint="-0.24994659260841701"/>
      </right>
      <top style="double">
        <color theme="9" tint="-0.24994659260841701"/>
      </top>
      <bottom/>
      <diagonal/>
    </border>
    <border>
      <left style="double">
        <color theme="9" tint="-0.24994659260841701"/>
      </left>
      <right/>
      <top/>
      <bottom/>
      <diagonal/>
    </border>
    <border>
      <left/>
      <right style="double">
        <color theme="9" tint="-0.24994659260841701"/>
      </right>
      <top/>
      <bottom/>
      <diagonal/>
    </border>
    <border>
      <left style="thin">
        <color indexed="64"/>
      </left>
      <right style="double">
        <color theme="9" tint="-0.24994659260841701"/>
      </right>
      <top style="thin">
        <color indexed="64"/>
      </top>
      <bottom/>
      <diagonal/>
    </border>
    <border>
      <left style="double">
        <color theme="9" tint="-0.24994659260841701"/>
      </left>
      <right style="thin">
        <color indexed="64"/>
      </right>
      <top style="thin">
        <color indexed="64"/>
      </top>
      <bottom style="thin">
        <color indexed="64"/>
      </bottom>
      <diagonal/>
    </border>
    <border>
      <left style="double">
        <color theme="9" tint="-0.24994659260841701"/>
      </left>
      <right style="thin">
        <color indexed="64"/>
      </right>
      <top/>
      <bottom style="thin">
        <color indexed="64"/>
      </bottom>
      <diagonal/>
    </border>
    <border>
      <left style="double">
        <color theme="9" tint="-0.24994659260841701"/>
      </left>
      <right/>
      <top/>
      <bottom style="medium">
        <color indexed="64"/>
      </bottom>
      <diagonal/>
    </border>
    <border>
      <left/>
      <right style="double">
        <color theme="9" tint="-0.24994659260841701"/>
      </right>
      <top/>
      <bottom style="medium">
        <color indexed="64"/>
      </bottom>
      <diagonal/>
    </border>
    <border>
      <left style="medium">
        <color rgb="FFFF6600"/>
      </left>
      <right style="medium">
        <color rgb="FFFF6600"/>
      </right>
      <top style="medium">
        <color rgb="FFFF6600"/>
      </top>
      <bottom/>
      <diagonal/>
    </border>
    <border>
      <left/>
      <right/>
      <top style="medium">
        <color rgb="FFFF6600"/>
      </top>
      <bottom/>
      <diagonal/>
    </border>
    <border>
      <left/>
      <right style="medium">
        <color rgb="FFFF6600"/>
      </right>
      <top style="medium">
        <color rgb="FFFF6600"/>
      </top>
      <bottom/>
      <diagonal/>
    </border>
    <border>
      <left style="medium">
        <color rgb="FFFF6600"/>
      </left>
      <right style="medium">
        <color rgb="FFFF6600"/>
      </right>
      <top/>
      <bottom/>
      <diagonal/>
    </border>
    <border>
      <left/>
      <right style="medium">
        <color rgb="FFFF6600"/>
      </right>
      <top/>
      <bottom/>
      <diagonal/>
    </border>
    <border>
      <left style="medium">
        <color rgb="FFFF6600"/>
      </left>
      <right style="medium">
        <color rgb="FFFF6600"/>
      </right>
      <top/>
      <bottom style="thin">
        <color theme="7" tint="0.39997558519241921"/>
      </bottom>
      <diagonal/>
    </border>
    <border>
      <left style="medium">
        <color rgb="FFFF6600"/>
      </left>
      <right style="medium">
        <color rgb="FFFF6600"/>
      </right>
      <top style="medium">
        <color rgb="FFFF6600"/>
      </top>
      <bottom style="thin">
        <color theme="7" tint="0.39997558519241921"/>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right/>
      <top style="double">
        <color rgb="FF66FF99"/>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style="double">
        <color rgb="FF66FF99"/>
      </top>
      <bottom/>
      <diagonal/>
    </border>
    <border>
      <left/>
      <right style="medium">
        <color rgb="FFFF0000"/>
      </right>
      <top style="double">
        <color rgb="FF66FF99"/>
      </top>
      <bottom/>
      <diagonal/>
    </border>
    <border>
      <left style="medium">
        <color rgb="FFFF0000"/>
      </left>
      <right/>
      <top style="medium">
        <color theme="9" tint="-0.24994659260841701"/>
      </top>
      <bottom/>
      <diagonal/>
    </border>
    <border>
      <left/>
      <right/>
      <top style="medium">
        <color theme="9" tint="-0.24994659260841701"/>
      </top>
      <bottom/>
      <diagonal/>
    </border>
    <border>
      <left/>
      <right style="medium">
        <color rgb="FFFF0000"/>
      </right>
      <top style="medium">
        <color theme="9" tint="-0.24994659260841701"/>
      </top>
      <bottom/>
      <diagonal/>
    </border>
    <border>
      <left style="double">
        <color theme="9" tint="-0.24994659260841701"/>
      </left>
      <right/>
      <top style="medium">
        <color indexed="64"/>
      </top>
      <bottom style="medium">
        <color indexed="64"/>
      </bottom>
      <diagonal/>
    </border>
    <border>
      <left/>
      <right style="double">
        <color theme="9" tint="-0.24994659260841701"/>
      </right>
      <top style="medium">
        <color indexed="64"/>
      </top>
      <bottom style="medium">
        <color indexed="64"/>
      </bottom>
      <diagonal/>
    </border>
    <border>
      <left style="double">
        <color theme="9" tint="-0.24994659260841701"/>
      </left>
      <right/>
      <top/>
      <bottom style="double">
        <color theme="9" tint="-0.24994659260841701"/>
      </bottom>
      <diagonal/>
    </border>
    <border>
      <left/>
      <right/>
      <top/>
      <bottom style="double">
        <color theme="9" tint="-0.24994659260841701"/>
      </bottom>
      <diagonal/>
    </border>
    <border>
      <left/>
      <right style="double">
        <color theme="9" tint="-0.24994659260841701"/>
      </right>
      <top/>
      <bottom style="double">
        <color theme="9" tint="-0.24994659260841701"/>
      </bottom>
      <diagonal/>
    </border>
    <border>
      <left/>
      <right/>
      <top style="thin">
        <color indexed="64"/>
      </top>
      <bottom style="medium">
        <color rgb="FFFF0000"/>
      </bottom>
      <diagonal/>
    </border>
    <border>
      <left/>
      <right/>
      <top style="medium">
        <color rgb="FFFF0000"/>
      </top>
      <bottom style="thin">
        <color indexed="64"/>
      </bottom>
      <diagonal/>
    </border>
    <border>
      <left style="medium">
        <color indexed="52"/>
      </left>
      <right style="medium">
        <color indexed="52"/>
      </right>
      <top style="medium">
        <color indexed="53"/>
      </top>
      <bottom/>
      <diagonal/>
    </border>
    <border>
      <left style="medium">
        <color indexed="52"/>
      </left>
      <right style="medium">
        <color indexed="53"/>
      </right>
      <top style="medium">
        <color indexed="53"/>
      </top>
      <bottom/>
      <diagonal/>
    </border>
    <border>
      <left style="medium">
        <color indexed="52"/>
      </left>
      <right style="medium">
        <color indexed="52"/>
      </right>
      <top/>
      <bottom style="medium">
        <color indexed="53"/>
      </bottom>
      <diagonal/>
    </border>
    <border>
      <left style="medium">
        <color indexed="52"/>
      </left>
      <right style="medium">
        <color indexed="53"/>
      </right>
      <top/>
      <bottom style="medium">
        <color indexed="53"/>
      </bottom>
      <diagonal/>
    </border>
    <border>
      <left/>
      <right/>
      <top style="thin">
        <color indexed="51"/>
      </top>
      <bottom style="thin">
        <color indexed="51"/>
      </bottom>
      <diagonal/>
    </border>
    <border>
      <left/>
      <right/>
      <top style="thin">
        <color indexed="51"/>
      </top>
      <bottom/>
      <diagonal/>
    </border>
    <border>
      <left/>
      <right/>
      <top/>
      <bottom style="thin">
        <color indexed="51"/>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ck">
        <color theme="9"/>
      </left>
      <right/>
      <top style="thick">
        <color theme="9"/>
      </top>
      <bottom/>
      <diagonal/>
    </border>
    <border>
      <left/>
      <right/>
      <top style="thick">
        <color theme="9"/>
      </top>
      <bottom/>
      <diagonal/>
    </border>
    <border>
      <left/>
      <right style="thick">
        <color theme="9"/>
      </right>
      <top style="thick">
        <color theme="9"/>
      </top>
      <bottom/>
      <diagonal/>
    </border>
    <border>
      <left style="thick">
        <color theme="9"/>
      </left>
      <right/>
      <top/>
      <bottom/>
      <diagonal/>
    </border>
    <border>
      <left/>
      <right style="thick">
        <color theme="9"/>
      </right>
      <top/>
      <bottom/>
      <diagonal/>
    </border>
    <border>
      <left style="thick">
        <color theme="9"/>
      </left>
      <right/>
      <top/>
      <bottom style="thick">
        <color theme="9"/>
      </bottom>
      <diagonal/>
    </border>
    <border>
      <left/>
      <right/>
      <top/>
      <bottom style="thick">
        <color theme="9"/>
      </bottom>
      <diagonal/>
    </border>
    <border>
      <left/>
      <right style="thick">
        <color theme="9"/>
      </right>
      <top/>
      <bottom style="thick">
        <color theme="9"/>
      </bottom>
      <diagonal/>
    </border>
    <border>
      <left style="medium">
        <color theme="9"/>
      </left>
      <right style="medium">
        <color theme="9"/>
      </right>
      <top style="medium">
        <color theme="9"/>
      </top>
      <bottom style="medium">
        <color indexed="53"/>
      </bottom>
      <diagonal/>
    </border>
    <border>
      <left style="medium">
        <color theme="9"/>
      </left>
      <right style="medium">
        <color theme="9"/>
      </right>
      <top/>
      <bottom style="medium">
        <color theme="9"/>
      </bottom>
      <diagonal/>
    </border>
    <border>
      <left/>
      <right/>
      <top style="thick">
        <color theme="9"/>
      </top>
      <bottom style="thick">
        <color theme="9"/>
      </bottom>
      <diagonal/>
    </border>
    <border>
      <left/>
      <right style="thick">
        <color theme="9"/>
      </right>
      <top style="thick">
        <color theme="9"/>
      </top>
      <bottom style="thick">
        <color theme="9"/>
      </bottom>
      <diagonal/>
    </border>
    <border>
      <left style="thick">
        <color theme="9" tint="-0.24994659260841701"/>
      </left>
      <right/>
      <top style="thick">
        <color theme="9" tint="-0.24994659260841701"/>
      </top>
      <bottom style="thick">
        <color theme="9" tint="-0.24994659260841701"/>
      </bottom>
      <diagonal/>
    </border>
    <border>
      <left/>
      <right/>
      <top style="thick">
        <color theme="9" tint="-0.24994659260841701"/>
      </top>
      <bottom style="thick">
        <color theme="9" tint="-0.24994659260841701"/>
      </bottom>
      <diagonal/>
    </border>
    <border>
      <left/>
      <right style="thick">
        <color theme="9" tint="-0.24994659260841701"/>
      </right>
      <top style="thick">
        <color theme="9" tint="-0.24994659260841701"/>
      </top>
      <bottom style="thick">
        <color theme="9" tint="-0.24994659260841701"/>
      </bottom>
      <diagonal/>
    </border>
    <border>
      <left style="thick">
        <color theme="9"/>
      </left>
      <right/>
      <top style="thick">
        <color theme="9"/>
      </top>
      <bottom style="thick">
        <color theme="9"/>
      </bottom>
      <diagonal/>
    </border>
    <border>
      <left style="thick">
        <color theme="9"/>
      </left>
      <right/>
      <top style="medium">
        <color indexed="53"/>
      </top>
      <bottom/>
      <diagonal/>
    </border>
    <border>
      <left style="thick">
        <color theme="9"/>
      </left>
      <right/>
      <top style="thick">
        <color theme="9" tint="-0.24994659260841701"/>
      </top>
      <bottom/>
      <diagonal/>
    </border>
    <border>
      <left/>
      <right style="thick">
        <color theme="9"/>
      </right>
      <top style="thick">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rgb="FF000000"/>
      </bottom>
      <diagonal/>
    </border>
    <border>
      <left style="medium">
        <color rgb="FF000000"/>
      </left>
      <right/>
      <top/>
      <bottom/>
      <diagonal/>
    </border>
    <border>
      <left style="medium">
        <color rgb="FF000000"/>
      </left>
      <right/>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style="medium">
        <color rgb="FF000000"/>
      </right>
      <top/>
      <bottom/>
      <diagonal/>
    </border>
    <border>
      <left/>
      <right style="medium">
        <color rgb="FF000000"/>
      </right>
      <top/>
      <bottom style="medium">
        <color rgb="FF00000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top style="medium">
        <color indexed="53"/>
      </top>
      <bottom/>
      <diagonal/>
    </border>
    <border>
      <left style="medium">
        <color indexed="53"/>
      </left>
      <right style="thin">
        <color indexed="53"/>
      </right>
      <top style="medium">
        <color indexed="53"/>
      </top>
      <bottom/>
      <diagonal/>
    </border>
    <border>
      <left style="medium">
        <color indexed="53"/>
      </left>
      <right style="medium">
        <color indexed="53"/>
      </right>
      <top style="medium">
        <color indexed="53"/>
      </top>
      <bottom style="medium">
        <color indexed="53"/>
      </bottom>
      <diagonal/>
    </border>
    <border>
      <left/>
      <right/>
      <top style="medium">
        <color indexed="53"/>
      </top>
      <bottom style="medium">
        <color indexed="53"/>
      </bottom>
      <diagonal/>
    </border>
    <border>
      <left style="medium">
        <color indexed="8"/>
      </left>
      <right style="medium">
        <color indexed="8"/>
      </right>
      <top style="medium">
        <color indexed="8"/>
      </top>
      <bottom style="medium">
        <color indexed="8"/>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s>
  <cellStyleXfs count="85">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0" borderId="0" applyNumberFormat="0" applyFill="0" applyBorder="0" applyAlignment="0" applyProtection="0"/>
    <xf numFmtId="0" fontId="5" fillId="20" borderId="1" applyNumberFormat="0" applyAlignment="0" applyProtection="0"/>
    <xf numFmtId="0" fontId="6" fillId="0" borderId="2" applyNumberFormat="0" applyFill="0" applyAlignment="0" applyProtection="0"/>
    <xf numFmtId="0" fontId="8" fillId="7" borderId="1" applyNumberFormat="0" applyAlignment="0" applyProtection="0"/>
    <xf numFmtId="0" fontId="9" fillId="3" borderId="0" applyNumberFormat="0" applyBorder="0" applyAlignment="0" applyProtection="0"/>
    <xf numFmtId="0" fontId="10" fillId="0" borderId="0" applyNumberFormat="0" applyFill="0" applyBorder="0" applyAlignment="0" applyProtection="0">
      <alignment vertical="top"/>
      <protection locked="0"/>
    </xf>
    <xf numFmtId="0" fontId="11" fillId="21" borderId="0" applyNumberFormat="0" applyBorder="0" applyAlignment="0" applyProtection="0"/>
    <xf numFmtId="0" fontId="7" fillId="0" borderId="0"/>
    <xf numFmtId="0" fontId="12" fillId="4" borderId="0" applyNumberFormat="0" applyBorder="0" applyAlignment="0" applyProtection="0"/>
    <xf numFmtId="0" fontId="13" fillId="20" borderId="3"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4" applyNumberFormat="0" applyFill="0" applyAlignment="0" applyProtection="0"/>
    <xf numFmtId="0" fontId="17" fillId="0" borderId="5" applyNumberFormat="0" applyFill="0" applyAlignment="0" applyProtection="0"/>
    <xf numFmtId="0" fontId="18" fillId="0" borderId="6" applyNumberFormat="0" applyFill="0" applyAlignment="0" applyProtection="0"/>
    <xf numFmtId="0" fontId="18" fillId="0" borderId="0" applyNumberFormat="0" applyFill="0" applyBorder="0" applyAlignment="0" applyProtection="0"/>
    <xf numFmtId="0" fontId="19" fillId="0" borderId="7" applyNumberFormat="0" applyFill="0" applyAlignment="0" applyProtection="0"/>
    <xf numFmtId="0" fontId="20" fillId="22" borderId="8" applyNumberFormat="0" applyAlignment="0" applyProtection="0"/>
    <xf numFmtId="0" fontId="1" fillId="0" borderId="0"/>
    <xf numFmtId="0" fontId="7"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0" borderId="0" applyNumberFormat="0" applyFill="0" applyBorder="0" applyAlignment="0" applyProtection="0"/>
    <xf numFmtId="0" fontId="5" fillId="20" borderId="1" applyNumberFormat="0" applyAlignment="0" applyProtection="0"/>
    <xf numFmtId="0" fontId="6" fillId="0" borderId="2" applyNumberFormat="0" applyFill="0" applyAlignment="0" applyProtection="0"/>
    <xf numFmtId="0" fontId="8" fillId="7" borderId="1" applyNumberFormat="0" applyAlignment="0" applyProtection="0"/>
    <xf numFmtId="0" fontId="9" fillId="3" borderId="0" applyNumberFormat="0" applyBorder="0" applyAlignment="0" applyProtection="0"/>
    <xf numFmtId="0" fontId="11" fillId="21" borderId="0" applyNumberFormat="0" applyBorder="0" applyAlignment="0" applyProtection="0"/>
    <xf numFmtId="0" fontId="12" fillId="4" borderId="0" applyNumberFormat="0" applyBorder="0" applyAlignment="0" applyProtection="0"/>
    <xf numFmtId="0" fontId="13" fillId="20" borderId="3"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4" applyNumberFormat="0" applyFill="0" applyAlignment="0" applyProtection="0"/>
    <xf numFmtId="0" fontId="17" fillId="0" borderId="5" applyNumberFormat="0" applyFill="0" applyAlignment="0" applyProtection="0"/>
    <xf numFmtId="0" fontId="18" fillId="0" borderId="6" applyNumberFormat="0" applyFill="0" applyAlignment="0" applyProtection="0"/>
    <xf numFmtId="0" fontId="18" fillId="0" borderId="0" applyNumberFormat="0" applyFill="0" applyBorder="0" applyAlignment="0" applyProtection="0"/>
    <xf numFmtId="0" fontId="19" fillId="0" borderId="7" applyNumberFormat="0" applyFill="0" applyAlignment="0" applyProtection="0"/>
    <xf numFmtId="0" fontId="20" fillId="22" borderId="8" applyNumberFormat="0" applyAlignment="0" applyProtection="0"/>
  </cellStyleXfs>
  <cellXfs count="2586">
    <xf numFmtId="0" fontId="0" fillId="0" borderId="0" xfId="0"/>
    <xf numFmtId="0" fontId="0" fillId="0" borderId="0" xfId="0" applyAlignment="1">
      <alignment horizontal="center"/>
    </xf>
    <xf numFmtId="0" fontId="0" fillId="0" borderId="9" xfId="0" applyBorder="1" applyAlignment="1">
      <alignment horizontal="center"/>
    </xf>
    <xf numFmtId="0" fontId="22" fillId="23" borderId="10" xfId="0" applyFont="1" applyFill="1" applyBorder="1" applyAlignment="1">
      <alignment horizontal="center"/>
    </xf>
    <xf numFmtId="0" fontId="22" fillId="23" borderId="11" xfId="0" applyFont="1" applyFill="1" applyBorder="1" applyAlignment="1">
      <alignment horizontal="center"/>
    </xf>
    <xf numFmtId="0" fontId="22" fillId="23" borderId="12" xfId="0" applyFont="1" applyFill="1" applyBorder="1" applyAlignment="1">
      <alignment horizontal="center"/>
    </xf>
    <xf numFmtId="0" fontId="0" fillId="0" borderId="0" xfId="0" applyAlignment="1">
      <alignment horizontal="right"/>
    </xf>
    <xf numFmtId="0" fontId="7" fillId="0" borderId="0" xfId="0" applyFont="1"/>
    <xf numFmtId="0" fontId="22" fillId="0" borderId="0" xfId="0" applyFont="1" applyAlignment="1">
      <alignment horizontal="center"/>
    </xf>
    <xf numFmtId="0" fontId="24" fillId="0" borderId="0" xfId="0" applyFont="1" applyAlignment="1" applyProtection="1">
      <alignment horizontal="center"/>
      <protection locked="0"/>
    </xf>
    <xf numFmtId="0" fontId="24" fillId="0" borderId="13" xfId="0" applyFont="1" applyBorder="1" applyAlignment="1" applyProtection="1">
      <alignment horizontal="center"/>
      <protection locked="0"/>
    </xf>
    <xf numFmtId="0" fontId="7" fillId="0" borderId="0" xfId="0" applyFont="1" applyAlignment="1">
      <alignment horizontal="center"/>
    </xf>
    <xf numFmtId="0" fontId="7" fillId="0" borderId="0" xfId="0" applyFont="1" applyAlignment="1">
      <alignment horizontal="center" vertical="center"/>
    </xf>
    <xf numFmtId="0" fontId="23" fillId="0" borderId="0" xfId="0" applyFont="1" applyProtection="1">
      <protection locked="0"/>
    </xf>
    <xf numFmtId="0" fontId="24" fillId="0" borderId="0" xfId="0" applyFont="1"/>
    <xf numFmtId="0" fontId="24" fillId="0" borderId="0" xfId="0" applyFont="1" applyProtection="1">
      <protection locked="0"/>
    </xf>
    <xf numFmtId="0" fontId="0" fillId="0" borderId="0" xfId="0" applyAlignment="1">
      <alignment horizontal="left"/>
    </xf>
    <xf numFmtId="0" fontId="22" fillId="0" borderId="0" xfId="0" quotePrefix="1" applyFont="1" applyAlignment="1">
      <alignment horizontal="center"/>
    </xf>
    <xf numFmtId="0" fontId="22" fillId="23" borderId="14" xfId="0" applyFont="1" applyFill="1" applyBorder="1" applyAlignment="1">
      <alignment horizontal="center"/>
    </xf>
    <xf numFmtId="0" fontId="22" fillId="23" borderId="15" xfId="0" quotePrefix="1" applyFont="1" applyFill="1" applyBorder="1" applyAlignment="1">
      <alignment horizontal="left"/>
    </xf>
    <xf numFmtId="0" fontId="22" fillId="23" borderId="16" xfId="0" applyFont="1" applyFill="1" applyBorder="1" applyAlignment="1">
      <alignment horizontal="center"/>
    </xf>
    <xf numFmtId="0" fontId="22" fillId="23" borderId="17" xfId="0" applyFont="1" applyFill="1" applyBorder="1" applyAlignment="1">
      <alignment horizontal="center"/>
    </xf>
    <xf numFmtId="0" fontId="22" fillId="23" borderId="18" xfId="0" applyFont="1" applyFill="1" applyBorder="1" applyAlignment="1">
      <alignment horizontal="center"/>
    </xf>
    <xf numFmtId="0" fontId="22" fillId="23" borderId="16" xfId="0" quotePrefix="1" applyFont="1" applyFill="1" applyBorder="1" applyAlignment="1">
      <alignment horizontal="center"/>
    </xf>
    <xf numFmtId="0" fontId="22" fillId="23" borderId="18" xfId="0" quotePrefix="1" applyFont="1" applyFill="1" applyBorder="1" applyAlignment="1">
      <alignment horizontal="left"/>
    </xf>
    <xf numFmtId="0" fontId="22" fillId="23" borderId="19" xfId="0" quotePrefix="1" applyFont="1" applyFill="1" applyBorder="1" applyAlignment="1">
      <alignment horizontal="center"/>
    </xf>
    <xf numFmtId="0" fontId="22" fillId="23" borderId="19" xfId="0" applyFont="1" applyFill="1" applyBorder="1" applyAlignment="1">
      <alignment horizontal="center"/>
    </xf>
    <xf numFmtId="0" fontId="7" fillId="0" borderId="20" xfId="0" applyFont="1" applyBorder="1" applyAlignment="1">
      <alignment horizontal="center"/>
    </xf>
    <xf numFmtId="167" fontId="0" fillId="0" borderId="21" xfId="0" applyNumberFormat="1" applyBorder="1"/>
    <xf numFmtId="167" fontId="0" fillId="0" borderId="22" xfId="0" applyNumberFormat="1" applyBorder="1"/>
    <xf numFmtId="0" fontId="24" fillId="0" borderId="23" xfId="0" applyFont="1" applyBorder="1" applyAlignment="1" applyProtection="1">
      <alignment horizontal="center"/>
      <protection locked="0"/>
    </xf>
    <xf numFmtId="0" fontId="0" fillId="24" borderId="24" xfId="0" applyFill="1" applyBorder="1" applyAlignment="1">
      <alignment horizontal="center"/>
    </xf>
    <xf numFmtId="0" fontId="0" fillId="25" borderId="20" xfId="0" applyFill="1" applyBorder="1"/>
    <xf numFmtId="0" fontId="0" fillId="25" borderId="21" xfId="0" applyFill="1" applyBorder="1"/>
    <xf numFmtId="0" fontId="0" fillId="25" borderId="20" xfId="0" applyFill="1" applyBorder="1" applyAlignment="1">
      <alignment horizontal="right"/>
    </xf>
    <xf numFmtId="0" fontId="0" fillId="26" borderId="21" xfId="0" applyFill="1" applyBorder="1" applyAlignment="1">
      <alignment horizontal="center"/>
    </xf>
    <xf numFmtId="0" fontId="0" fillId="25" borderId="22" xfId="0" applyFill="1" applyBorder="1" applyAlignment="1">
      <alignment horizontal="left"/>
    </xf>
    <xf numFmtId="167" fontId="0" fillId="0" borderId="13" xfId="0" applyNumberFormat="1" applyBorder="1"/>
    <xf numFmtId="167" fontId="0" fillId="0" borderId="25" xfId="0" applyNumberFormat="1" applyBorder="1"/>
    <xf numFmtId="0" fontId="24" fillId="0" borderId="26" xfId="0" applyFont="1" applyBorder="1" applyAlignment="1" applyProtection="1">
      <alignment horizontal="center"/>
      <protection locked="0"/>
    </xf>
    <xf numFmtId="0" fontId="0" fillId="24" borderId="26" xfId="0" applyFill="1" applyBorder="1" applyAlignment="1">
      <alignment horizontal="center"/>
    </xf>
    <xf numFmtId="0" fontId="0" fillId="25" borderId="27" xfId="0" applyFill="1" applyBorder="1"/>
    <xf numFmtId="0" fontId="0" fillId="25" borderId="13" xfId="0" applyFill="1" applyBorder="1"/>
    <xf numFmtId="0" fontId="0" fillId="25" borderId="27" xfId="0" applyFill="1" applyBorder="1" applyAlignment="1">
      <alignment horizontal="right"/>
    </xf>
    <xf numFmtId="0" fontId="24" fillId="0" borderId="13" xfId="0" applyFont="1" applyBorder="1" applyProtection="1">
      <protection locked="0"/>
    </xf>
    <xf numFmtId="0" fontId="0" fillId="26" borderId="13" xfId="0" applyFill="1" applyBorder="1" applyAlignment="1">
      <alignment horizontal="center"/>
    </xf>
    <xf numFmtId="0" fontId="0" fillId="25" borderId="25" xfId="0" applyFill="1" applyBorder="1" applyAlignment="1">
      <alignment horizontal="left"/>
    </xf>
    <xf numFmtId="167" fontId="0" fillId="0" borderId="28" xfId="0" applyNumberFormat="1" applyBorder="1"/>
    <xf numFmtId="0" fontId="0" fillId="24" borderId="29" xfId="0" applyFill="1" applyBorder="1" applyAlignment="1">
      <alignment horizontal="center"/>
    </xf>
    <xf numFmtId="0" fontId="0" fillId="25" borderId="30" xfId="0" applyFill="1" applyBorder="1"/>
    <xf numFmtId="0" fontId="0" fillId="25" borderId="28" xfId="0" applyFill="1" applyBorder="1"/>
    <xf numFmtId="0" fontId="24" fillId="0" borderId="28" xfId="0" applyFont="1" applyBorder="1" applyProtection="1">
      <protection locked="0"/>
    </xf>
    <xf numFmtId="0" fontId="0" fillId="26" borderId="28" xfId="0" applyFill="1" applyBorder="1" applyAlignment="1">
      <alignment horizontal="center"/>
    </xf>
    <xf numFmtId="0" fontId="7" fillId="0" borderId="31" xfId="0" applyFont="1" applyBorder="1" applyAlignment="1">
      <alignment horizontal="center"/>
    </xf>
    <xf numFmtId="20" fontId="0" fillId="0" borderId="24" xfId="0" applyNumberFormat="1" applyBorder="1" applyAlignment="1">
      <alignment horizontal="center"/>
    </xf>
    <xf numFmtId="0" fontId="7" fillId="0" borderId="9" xfId="0" applyFont="1" applyBorder="1" applyAlignment="1">
      <alignment horizontal="center"/>
    </xf>
    <xf numFmtId="0" fontId="24" fillId="0" borderId="26" xfId="0" applyFont="1" applyBorder="1" applyAlignment="1">
      <alignment horizontal="center"/>
    </xf>
    <xf numFmtId="0" fontId="7" fillId="0" borderId="32" xfId="0" applyFont="1" applyBorder="1" applyAlignment="1">
      <alignment horizontal="center"/>
    </xf>
    <xf numFmtId="0" fontId="24" fillId="0" borderId="29" xfId="0" applyFont="1" applyBorder="1" applyAlignment="1">
      <alignment horizontal="center"/>
    </xf>
    <xf numFmtId="0" fontId="24" fillId="0" borderId="23" xfId="0" applyFont="1" applyBorder="1" applyAlignment="1">
      <alignment horizontal="center"/>
    </xf>
    <xf numFmtId="0" fontId="0" fillId="26" borderId="33" xfId="0" applyFill="1" applyBorder="1" applyAlignment="1">
      <alignment horizontal="center"/>
    </xf>
    <xf numFmtId="0" fontId="0" fillId="25" borderId="34" xfId="0" applyFill="1" applyBorder="1" applyAlignment="1">
      <alignment horizontal="left"/>
    </xf>
    <xf numFmtId="0" fontId="0" fillId="25" borderId="35" xfId="0" applyFill="1" applyBorder="1" applyAlignment="1">
      <alignment horizontal="right"/>
    </xf>
    <xf numFmtId="0" fontId="0" fillId="24" borderId="36" xfId="0" applyFill="1" applyBorder="1" applyAlignment="1">
      <alignment horizontal="center"/>
    </xf>
    <xf numFmtId="0" fontId="0" fillId="25" borderId="37" xfId="0" applyFill="1" applyBorder="1"/>
    <xf numFmtId="20" fontId="0" fillId="0" borderId="38" xfId="0" applyNumberFormat="1" applyBorder="1" applyAlignment="1">
      <alignment horizontal="center"/>
    </xf>
    <xf numFmtId="0" fontId="0" fillId="26" borderId="39" xfId="0" applyFill="1" applyBorder="1" applyAlignment="1">
      <alignment horizontal="center"/>
    </xf>
    <xf numFmtId="0" fontId="22" fillId="23" borderId="40" xfId="0" applyFont="1" applyFill="1" applyBorder="1" applyAlignment="1">
      <alignment horizontal="center"/>
    </xf>
    <xf numFmtId="0" fontId="22" fillId="23" borderId="12" xfId="0" quotePrefix="1" applyFont="1" applyFill="1" applyBorder="1" applyAlignment="1">
      <alignment horizontal="center"/>
    </xf>
    <xf numFmtId="0" fontId="22" fillId="23" borderId="10" xfId="0" quotePrefix="1" applyFont="1" applyFill="1" applyBorder="1" applyAlignment="1">
      <alignment horizontal="left"/>
    </xf>
    <xf numFmtId="0" fontId="22" fillId="23" borderId="15" xfId="0" applyFont="1" applyFill="1" applyBorder="1" applyAlignment="1">
      <alignment horizontal="center"/>
    </xf>
    <xf numFmtId="0" fontId="22" fillId="23" borderId="17" xfId="0" quotePrefix="1" applyFont="1" applyFill="1" applyBorder="1" applyAlignment="1">
      <alignment horizontal="center"/>
    </xf>
    <xf numFmtId="167" fontId="0" fillId="0" borderId="41" xfId="0" applyNumberFormat="1" applyBorder="1"/>
    <xf numFmtId="20" fontId="0" fillId="0" borderId="14" xfId="0" applyNumberFormat="1" applyBorder="1" applyAlignment="1">
      <alignment horizontal="center"/>
    </xf>
    <xf numFmtId="0" fontId="24" fillId="24" borderId="18" xfId="0" applyFont="1" applyFill="1" applyBorder="1" applyAlignment="1">
      <alignment horizontal="center"/>
    </xf>
    <xf numFmtId="0" fontId="24" fillId="24" borderId="18" xfId="0" applyFont="1" applyFill="1" applyBorder="1"/>
    <xf numFmtId="167" fontId="0" fillId="0" borderId="0" xfId="0" applyNumberFormat="1"/>
    <xf numFmtId="20" fontId="0" fillId="24" borderId="42" xfId="0" applyNumberFormat="1" applyFill="1" applyBorder="1" applyAlignment="1">
      <alignment horizontal="center"/>
    </xf>
    <xf numFmtId="0" fontId="24" fillId="0" borderId="26" xfId="0" applyFont="1" applyBorder="1"/>
    <xf numFmtId="0" fontId="0" fillId="0" borderId="25" xfId="0" applyBorder="1" applyAlignment="1">
      <alignment horizontal="left"/>
    </xf>
    <xf numFmtId="167" fontId="0" fillId="0" borderId="43" xfId="0" applyNumberFormat="1" applyBorder="1"/>
    <xf numFmtId="0" fontId="0" fillId="25" borderId="26" xfId="0" applyFill="1" applyBorder="1"/>
    <xf numFmtId="166" fontId="0" fillId="25" borderId="25" xfId="0" applyNumberFormat="1" applyFill="1" applyBorder="1" applyAlignment="1">
      <alignment horizontal="center"/>
    </xf>
    <xf numFmtId="20" fontId="0" fillId="0" borderId="42" xfId="0" applyNumberFormat="1" applyBorder="1" applyAlignment="1">
      <alignment horizontal="center"/>
    </xf>
    <xf numFmtId="0" fontId="24" fillId="24" borderId="26" xfId="0" applyFont="1" applyFill="1" applyBorder="1" applyAlignment="1">
      <alignment horizontal="center"/>
    </xf>
    <xf numFmtId="0" fontId="24" fillId="24" borderId="26" xfId="0" applyFont="1" applyFill="1" applyBorder="1"/>
    <xf numFmtId="0" fontId="24" fillId="25" borderId="13" xfId="0" applyFont="1" applyFill="1" applyBorder="1" applyProtection="1">
      <protection locked="0"/>
    </xf>
    <xf numFmtId="0" fontId="0" fillId="25" borderId="29" xfId="0" applyFill="1" applyBorder="1"/>
    <xf numFmtId="166" fontId="0" fillId="25" borderId="44" xfId="0" applyNumberFormat="1" applyFill="1" applyBorder="1" applyAlignment="1">
      <alignment horizontal="center"/>
    </xf>
    <xf numFmtId="166" fontId="0" fillId="0" borderId="0" xfId="0" applyNumberFormat="1"/>
    <xf numFmtId="20" fontId="0" fillId="24" borderId="45" xfId="0" applyNumberFormat="1" applyFill="1" applyBorder="1" applyAlignment="1">
      <alignment horizontal="center"/>
    </xf>
    <xf numFmtId="0" fontId="24" fillId="0" borderId="29" xfId="0" applyFont="1" applyBorder="1"/>
    <xf numFmtId="20" fontId="0" fillId="24" borderId="26" xfId="0" applyNumberFormat="1" applyFill="1" applyBorder="1" applyAlignment="1">
      <alignment horizontal="center"/>
    </xf>
    <xf numFmtId="20" fontId="0" fillId="0" borderId="26" xfId="0" applyNumberFormat="1" applyBorder="1" applyAlignment="1">
      <alignment horizontal="center"/>
    </xf>
    <xf numFmtId="20" fontId="0" fillId="24" borderId="29" xfId="0" applyNumberFormat="1" applyFill="1" applyBorder="1" applyAlignment="1">
      <alignment horizontal="center"/>
    </xf>
    <xf numFmtId="0" fontId="24" fillId="25" borderId="21" xfId="0" applyFont="1" applyFill="1" applyBorder="1" applyProtection="1">
      <protection locked="0"/>
    </xf>
    <xf numFmtId="0" fontId="0" fillId="0" borderId="44" xfId="0" applyBorder="1" applyAlignment="1">
      <alignment horizontal="left"/>
    </xf>
    <xf numFmtId="20" fontId="0" fillId="0" borderId="0" xfId="0" applyNumberFormat="1" applyAlignment="1">
      <alignment horizontal="center"/>
    </xf>
    <xf numFmtId="0" fontId="24" fillId="0" borderId="0" xfId="0" applyFont="1" applyAlignment="1">
      <alignment horizontal="center"/>
    </xf>
    <xf numFmtId="0" fontId="0" fillId="25" borderId="24" xfId="0" applyFill="1" applyBorder="1"/>
    <xf numFmtId="0" fontId="0" fillId="25" borderId="31" xfId="0" applyFill="1" applyBorder="1"/>
    <xf numFmtId="166" fontId="0" fillId="25" borderId="41" xfId="0" applyNumberFormat="1" applyFill="1" applyBorder="1" applyAlignment="1">
      <alignment horizontal="center"/>
    </xf>
    <xf numFmtId="166" fontId="0" fillId="25" borderId="22" xfId="0" applyNumberFormat="1" applyFill="1" applyBorder="1" applyAlignment="1">
      <alignment horizontal="center"/>
    </xf>
    <xf numFmtId="0" fontId="0" fillId="0" borderId="27" xfId="0" applyBorder="1" applyAlignment="1">
      <alignment horizontal="right"/>
    </xf>
    <xf numFmtId="0" fontId="0" fillId="25" borderId="9" xfId="0" applyFill="1" applyBorder="1"/>
    <xf numFmtId="166" fontId="0" fillId="25" borderId="43" xfId="0" applyNumberFormat="1" applyFill="1" applyBorder="1" applyAlignment="1">
      <alignment horizontal="center"/>
    </xf>
    <xf numFmtId="0" fontId="0" fillId="25" borderId="32" xfId="0" applyFill="1" applyBorder="1"/>
    <xf numFmtId="166" fontId="0" fillId="25" borderId="46" xfId="0" applyNumberFormat="1" applyFill="1" applyBorder="1" applyAlignment="1">
      <alignment horizontal="center"/>
    </xf>
    <xf numFmtId="0" fontId="22" fillId="27" borderId="13" xfId="0" applyFont="1" applyFill="1" applyBorder="1" applyAlignment="1">
      <alignment horizontal="centerContinuous"/>
    </xf>
    <xf numFmtId="0" fontId="22" fillId="27" borderId="47" xfId="0" applyFont="1" applyFill="1" applyBorder="1" applyAlignment="1">
      <alignment horizontal="centerContinuous"/>
    </xf>
    <xf numFmtId="0" fontId="7" fillId="27" borderId="9" xfId="0" applyFont="1" applyFill="1" applyBorder="1" applyAlignment="1">
      <alignment horizontal="centerContinuous"/>
    </xf>
    <xf numFmtId="0" fontId="22" fillId="28" borderId="13" xfId="0" applyFont="1" applyFill="1" applyBorder="1" applyAlignment="1">
      <alignment horizontal="centerContinuous"/>
    </xf>
    <xf numFmtId="0" fontId="22" fillId="28" borderId="47" xfId="0" applyFont="1" applyFill="1" applyBorder="1" applyAlignment="1">
      <alignment horizontal="centerContinuous"/>
    </xf>
    <xf numFmtId="0" fontId="22" fillId="29" borderId="47" xfId="0" applyFont="1" applyFill="1" applyBorder="1" applyAlignment="1">
      <alignment horizontal="centerContinuous"/>
    </xf>
    <xf numFmtId="0" fontId="22" fillId="30" borderId="47" xfId="0" applyFont="1" applyFill="1" applyBorder="1" applyAlignment="1">
      <alignment horizontal="centerContinuous"/>
    </xf>
    <xf numFmtId="0" fontId="22" fillId="31" borderId="47" xfId="0" applyFont="1" applyFill="1" applyBorder="1" applyAlignment="1">
      <alignment horizontal="centerContinuous"/>
    </xf>
    <xf numFmtId="0" fontId="22" fillId="32" borderId="13" xfId="0" applyFont="1" applyFill="1" applyBorder="1" applyAlignment="1">
      <alignment horizontal="centerContinuous"/>
    </xf>
    <xf numFmtId="0" fontId="22" fillId="32" borderId="47" xfId="0" applyFont="1" applyFill="1" applyBorder="1" applyAlignment="1">
      <alignment horizontal="centerContinuous"/>
    </xf>
    <xf numFmtId="0" fontId="22" fillId="33" borderId="13" xfId="0" applyFont="1" applyFill="1" applyBorder="1" applyAlignment="1">
      <alignment horizontal="center"/>
    </xf>
    <xf numFmtId="0" fontId="22" fillId="0" borderId="13" xfId="0" applyFont="1" applyBorder="1" applyAlignment="1">
      <alignment horizontal="center"/>
    </xf>
    <xf numFmtId="0" fontId="22" fillId="0" borderId="0" xfId="0" applyFont="1"/>
    <xf numFmtId="0" fontId="22" fillId="28" borderId="13" xfId="0" applyFont="1" applyFill="1" applyBorder="1" applyAlignment="1">
      <alignment horizontal="center"/>
    </xf>
    <xf numFmtId="0" fontId="7" fillId="0" borderId="13" xfId="0" applyFont="1" applyBorder="1" applyAlignment="1">
      <alignment horizontal="center"/>
    </xf>
    <xf numFmtId="0" fontId="7" fillId="0" borderId="0" xfId="0" applyFont="1" applyAlignment="1">
      <alignment horizontal="left"/>
    </xf>
    <xf numFmtId="0" fontId="22" fillId="27" borderId="13" xfId="0" applyFont="1" applyFill="1" applyBorder="1" applyAlignment="1">
      <alignment horizontal="center"/>
    </xf>
    <xf numFmtId="0" fontId="7" fillId="24" borderId="13" xfId="0" applyFont="1" applyFill="1" applyBorder="1" applyAlignment="1">
      <alignment horizontal="center"/>
    </xf>
    <xf numFmtId="0" fontId="7" fillId="0" borderId="13" xfId="0" applyFont="1" applyBorder="1" applyAlignment="1">
      <alignment horizontal="center" vertical="center"/>
    </xf>
    <xf numFmtId="0" fontId="22" fillId="24" borderId="13" xfId="0" applyFont="1" applyFill="1" applyBorder="1" applyAlignment="1">
      <alignment horizontal="center"/>
    </xf>
    <xf numFmtId="0" fontId="22" fillId="29" borderId="13" xfId="0" applyFont="1" applyFill="1" applyBorder="1" applyAlignment="1">
      <alignment horizontal="center"/>
    </xf>
    <xf numFmtId="0" fontId="22" fillId="29" borderId="13" xfId="0" applyFont="1" applyFill="1" applyBorder="1"/>
    <xf numFmtId="0" fontId="22" fillId="0" borderId="48" xfId="0" applyFont="1" applyBorder="1"/>
    <xf numFmtId="0" fontId="22" fillId="30" borderId="13" xfId="0" applyFont="1" applyFill="1" applyBorder="1"/>
    <xf numFmtId="0" fontId="22" fillId="30" borderId="13" xfId="0" applyFont="1" applyFill="1" applyBorder="1" applyAlignment="1">
      <alignment horizontal="center"/>
    </xf>
    <xf numFmtId="0" fontId="22" fillId="0" borderId="49" xfId="0" applyFont="1" applyBorder="1"/>
    <xf numFmtId="0" fontId="22" fillId="31" borderId="13" xfId="0" applyFont="1" applyFill="1" applyBorder="1"/>
    <xf numFmtId="0" fontId="22" fillId="31" borderId="13" xfId="0" applyFont="1" applyFill="1" applyBorder="1" applyAlignment="1">
      <alignment horizontal="center"/>
    </xf>
    <xf numFmtId="0" fontId="22" fillId="32" borderId="13" xfId="0" applyFont="1" applyFill="1" applyBorder="1"/>
    <xf numFmtId="0" fontId="22" fillId="32" borderId="13" xfId="0" applyFont="1" applyFill="1" applyBorder="1" applyAlignment="1">
      <alignment horizontal="center"/>
    </xf>
    <xf numFmtId="0" fontId="21" fillId="0" borderId="0" xfId="0" applyFont="1"/>
    <xf numFmtId="0" fontId="0" fillId="0" borderId="48" xfId="0" applyBorder="1"/>
    <xf numFmtId="0" fontId="22" fillId="0" borderId="50" xfId="0" applyFont="1" applyBorder="1" applyAlignment="1">
      <alignment horizontal="center"/>
    </xf>
    <xf numFmtId="0" fontId="22" fillId="0" borderId="11" xfId="0" applyFont="1" applyBorder="1" applyAlignment="1">
      <alignment horizontal="center"/>
    </xf>
    <xf numFmtId="0" fontId="22" fillId="0" borderId="19" xfId="0" applyFont="1" applyBorder="1" applyAlignment="1">
      <alignment horizontal="center"/>
    </xf>
    <xf numFmtId="0" fontId="22" fillId="0" borderId="12" xfId="0" applyFont="1" applyBorder="1" applyAlignment="1">
      <alignment horizontal="center"/>
    </xf>
    <xf numFmtId="20" fontId="0" fillId="0" borderId="20" xfId="0" applyNumberFormat="1" applyBorder="1" applyAlignment="1">
      <alignment horizontal="center"/>
    </xf>
    <xf numFmtId="0" fontId="24" fillId="0" borderId="21" xfId="0" applyFont="1" applyBorder="1" applyAlignment="1">
      <alignment horizontal="center"/>
    </xf>
    <xf numFmtId="0" fontId="24" fillId="0" borderId="41" xfId="0" applyFont="1" applyBorder="1"/>
    <xf numFmtId="0" fontId="0" fillId="0" borderId="20" xfId="0" applyBorder="1" applyAlignment="1">
      <alignment horizontal="right"/>
    </xf>
    <xf numFmtId="0" fontId="24" fillId="0" borderId="21" xfId="0" applyFont="1" applyBorder="1" applyAlignment="1" applyProtection="1">
      <alignment horizontal="center"/>
      <protection locked="0"/>
    </xf>
    <xf numFmtId="0" fontId="0" fillId="0" borderId="22" xfId="0" applyBorder="1" applyAlignment="1">
      <alignment horizontal="left"/>
    </xf>
    <xf numFmtId="0" fontId="7" fillId="0" borderId="51" xfId="0" applyFont="1" applyBorder="1" applyAlignment="1">
      <alignment horizontal="center"/>
    </xf>
    <xf numFmtId="0" fontId="7" fillId="25" borderId="20" xfId="0" applyFont="1" applyFill="1" applyBorder="1" applyAlignment="1">
      <alignment horizontal="center"/>
    </xf>
    <xf numFmtId="0" fontId="7" fillId="25" borderId="21" xfId="0" applyFont="1" applyFill="1" applyBorder="1" applyAlignment="1">
      <alignment horizontal="center"/>
    </xf>
    <xf numFmtId="0" fontId="22" fillId="26" borderId="21" xfId="0" applyFont="1" applyFill="1" applyBorder="1" applyAlignment="1">
      <alignment horizontal="center"/>
    </xf>
    <xf numFmtId="0" fontId="7" fillId="25" borderId="22" xfId="0" applyFont="1" applyFill="1" applyBorder="1" applyAlignment="1">
      <alignment horizontal="center"/>
    </xf>
    <xf numFmtId="0" fontId="23" fillId="0" borderId="0" xfId="0" applyFont="1" applyAlignment="1">
      <alignment horizontal="center"/>
    </xf>
    <xf numFmtId="20" fontId="0" fillId="0" borderId="27" xfId="0" applyNumberFormat="1" applyBorder="1" applyAlignment="1">
      <alignment horizontal="center"/>
    </xf>
    <xf numFmtId="0" fontId="24" fillId="0" borderId="13" xfId="0" applyFont="1" applyBorder="1" applyAlignment="1">
      <alignment horizontal="center"/>
    </xf>
    <xf numFmtId="0" fontId="24" fillId="0" borderId="43" xfId="0" applyFont="1" applyBorder="1"/>
    <xf numFmtId="0" fontId="7" fillId="0" borderId="52" xfId="0" applyFont="1" applyBorder="1" applyAlignment="1">
      <alignment horizontal="center"/>
    </xf>
    <xf numFmtId="0" fontId="0" fillId="26" borderId="27" xfId="0" applyFill="1" applyBorder="1"/>
    <xf numFmtId="0" fontId="0" fillId="26" borderId="13" xfId="0" applyFill="1" applyBorder="1"/>
    <xf numFmtId="0" fontId="7" fillId="25" borderId="13" xfId="0" applyFont="1" applyFill="1" applyBorder="1" applyAlignment="1">
      <alignment horizontal="center" vertical="center"/>
    </xf>
    <xf numFmtId="0" fontId="0" fillId="26" borderId="43" xfId="0" applyFill="1" applyBorder="1"/>
    <xf numFmtId="0" fontId="0" fillId="29" borderId="43" xfId="0" applyFill="1" applyBorder="1"/>
    <xf numFmtId="0" fontId="7" fillId="0" borderId="53" xfId="0" applyFont="1" applyBorder="1" applyAlignment="1">
      <alignment horizontal="center"/>
    </xf>
    <xf numFmtId="0" fontId="22" fillId="29" borderId="10" xfId="0" applyFont="1" applyFill="1" applyBorder="1" applyAlignment="1">
      <alignment horizontal="center"/>
    </xf>
    <xf numFmtId="0" fontId="7" fillId="25" borderId="30" xfId="0" applyFont="1" applyFill="1" applyBorder="1" applyAlignment="1">
      <alignment horizontal="center"/>
    </xf>
    <xf numFmtId="0" fontId="7" fillId="25" borderId="28" xfId="0" applyFont="1" applyFill="1" applyBorder="1" applyAlignment="1">
      <alignment horizontal="center"/>
    </xf>
    <xf numFmtId="0" fontId="22" fillId="26" borderId="28" xfId="0" applyFont="1" applyFill="1" applyBorder="1" applyAlignment="1">
      <alignment horizontal="center"/>
    </xf>
    <xf numFmtId="0" fontId="7" fillId="25" borderId="44" xfId="0" applyFont="1" applyFill="1" applyBorder="1" applyAlignment="1">
      <alignment horizontal="center"/>
    </xf>
    <xf numFmtId="20" fontId="0" fillId="0" borderId="30" xfId="0" applyNumberFormat="1" applyBorder="1" applyAlignment="1">
      <alignment horizontal="center"/>
    </xf>
    <xf numFmtId="0" fontId="24" fillId="0" borderId="28" xfId="0" applyFont="1" applyBorder="1" applyAlignment="1">
      <alignment horizontal="center"/>
    </xf>
    <xf numFmtId="0" fontId="24" fillId="0" borderId="46" xfId="0" applyFont="1" applyBorder="1"/>
    <xf numFmtId="0" fontId="0" fillId="0" borderId="30" xfId="0" applyBorder="1" applyAlignment="1">
      <alignment horizontal="right"/>
    </xf>
    <xf numFmtId="0" fontId="24" fillId="0" borderId="28" xfId="0" applyFont="1" applyBorder="1" applyAlignment="1" applyProtection="1">
      <alignment horizontal="center"/>
      <protection locked="0"/>
    </xf>
    <xf numFmtId="0" fontId="7" fillId="0" borderId="54" xfId="0" applyFont="1" applyBorder="1" applyAlignment="1">
      <alignment horizontal="center"/>
    </xf>
    <xf numFmtId="0" fontId="0" fillId="0" borderId="55" xfId="0" applyBorder="1"/>
    <xf numFmtId="20" fontId="22" fillId="0" borderId="0" xfId="0" applyNumberFormat="1" applyFont="1" applyAlignment="1">
      <alignment horizontal="right"/>
    </xf>
    <xf numFmtId="20" fontId="22" fillId="0" borderId="56" xfId="0" applyNumberFormat="1" applyFont="1" applyBorder="1" applyAlignment="1">
      <alignment horizontal="right"/>
    </xf>
    <xf numFmtId="0" fontId="24" fillId="0" borderId="57" xfId="0" applyFont="1" applyBorder="1"/>
    <xf numFmtId="0" fontId="0" fillId="0" borderId="15" xfId="0" applyBorder="1" applyAlignment="1">
      <alignment horizontal="right"/>
    </xf>
    <xf numFmtId="0" fontId="24" fillId="0" borderId="39" xfId="0" applyFont="1" applyBorder="1" applyAlignment="1" applyProtection="1">
      <alignment horizontal="center"/>
      <protection locked="0"/>
    </xf>
    <xf numFmtId="0" fontId="0" fillId="0" borderId="17" xfId="0" applyBorder="1" applyAlignment="1">
      <alignment horizontal="left"/>
    </xf>
    <xf numFmtId="0" fontId="7" fillId="0" borderId="0" xfId="0" applyFont="1" applyAlignment="1">
      <alignment horizontal="right"/>
    </xf>
    <xf numFmtId="0" fontId="7" fillId="0" borderId="0" xfId="0" applyFont="1" applyAlignment="1" applyProtection="1">
      <alignment horizontal="center"/>
      <protection locked="0"/>
    </xf>
    <xf numFmtId="0" fontId="0" fillId="30" borderId="43" xfId="0" applyFill="1" applyBorder="1"/>
    <xf numFmtId="0" fontId="22" fillId="30" borderId="10" xfId="0" applyFont="1" applyFill="1" applyBorder="1" applyAlignment="1">
      <alignment horizontal="center"/>
    </xf>
    <xf numFmtId="0" fontId="0" fillId="31" borderId="43" xfId="0" applyFill="1" applyBorder="1"/>
    <xf numFmtId="0" fontId="22" fillId="31" borderId="10" xfId="0" applyFont="1" applyFill="1" applyBorder="1" applyAlignment="1">
      <alignment horizontal="center"/>
    </xf>
    <xf numFmtId="0" fontId="0" fillId="32" borderId="43" xfId="0" applyFill="1" applyBorder="1"/>
    <xf numFmtId="0" fontId="32" fillId="32" borderId="10" xfId="0" applyFont="1" applyFill="1" applyBorder="1" applyAlignment="1">
      <alignment horizontal="center"/>
    </xf>
    <xf numFmtId="0" fontId="7" fillId="32" borderId="18" xfId="0" applyFont="1" applyFill="1" applyBorder="1" applyAlignment="1">
      <alignment horizontal="center"/>
    </xf>
    <xf numFmtId="0" fontId="7" fillId="23" borderId="14" xfId="0" applyFont="1" applyFill="1" applyBorder="1" applyAlignment="1">
      <alignment horizontal="center"/>
    </xf>
    <xf numFmtId="0" fontId="7" fillId="32" borderId="58" xfId="0" applyFont="1" applyFill="1" applyBorder="1" applyAlignment="1">
      <alignment horizontal="center"/>
    </xf>
    <xf numFmtId="0" fontId="7" fillId="23" borderId="59" xfId="0" applyFont="1" applyFill="1" applyBorder="1" applyAlignment="1">
      <alignment horizontal="center"/>
    </xf>
    <xf numFmtId="0" fontId="7" fillId="32" borderId="59" xfId="0" applyFont="1" applyFill="1" applyBorder="1" applyAlignment="1">
      <alignment horizontal="center"/>
    </xf>
    <xf numFmtId="0" fontId="7" fillId="34" borderId="18" xfId="0" applyFont="1" applyFill="1" applyBorder="1" applyAlignment="1">
      <alignment horizontal="center"/>
    </xf>
    <xf numFmtId="0" fontId="7" fillId="34" borderId="59" xfId="0" applyFont="1" applyFill="1" applyBorder="1" applyAlignment="1">
      <alignment horizontal="center"/>
    </xf>
    <xf numFmtId="0" fontId="7" fillId="35" borderId="18" xfId="0" applyFont="1" applyFill="1" applyBorder="1" applyAlignment="1">
      <alignment horizontal="center"/>
    </xf>
    <xf numFmtId="0" fontId="7" fillId="35" borderId="59" xfId="0" applyFont="1" applyFill="1" applyBorder="1" applyAlignment="1">
      <alignment horizontal="center"/>
    </xf>
    <xf numFmtId="0" fontId="7" fillId="36" borderId="18" xfId="0" applyFont="1" applyFill="1" applyBorder="1" applyAlignment="1">
      <alignment horizontal="center"/>
    </xf>
    <xf numFmtId="0" fontId="7" fillId="36" borderId="59" xfId="0" applyFont="1" applyFill="1" applyBorder="1" applyAlignment="1">
      <alignment horizontal="center"/>
    </xf>
    <xf numFmtId="0" fontId="7" fillId="33" borderId="18" xfId="0" applyFont="1" applyFill="1" applyBorder="1" applyAlignment="1">
      <alignment horizontal="center"/>
    </xf>
    <xf numFmtId="0" fontId="7" fillId="33" borderId="59" xfId="0" applyFont="1" applyFill="1" applyBorder="1" applyAlignment="1">
      <alignment horizontal="center"/>
    </xf>
    <xf numFmtId="0" fontId="7" fillId="26" borderId="18" xfId="0" applyFont="1" applyFill="1" applyBorder="1" applyAlignment="1">
      <alignment horizontal="center"/>
    </xf>
    <xf numFmtId="0" fontId="7" fillId="26" borderId="58" xfId="0" applyFont="1" applyFill="1" applyBorder="1" applyAlignment="1">
      <alignment horizontal="center"/>
    </xf>
    <xf numFmtId="0" fontId="7" fillId="37" borderId="60" xfId="0" applyFont="1" applyFill="1" applyBorder="1" applyAlignment="1">
      <alignment horizontal="center"/>
    </xf>
    <xf numFmtId="0" fontId="0" fillId="23" borderId="59" xfId="0" applyFill="1" applyBorder="1"/>
    <xf numFmtId="0" fontId="0" fillId="32" borderId="59" xfId="0" applyFill="1" applyBorder="1"/>
    <xf numFmtId="0" fontId="0" fillId="34" borderId="59" xfId="0" applyFill="1" applyBorder="1"/>
    <xf numFmtId="0" fontId="0" fillId="35" borderId="59" xfId="0" applyFill="1" applyBorder="1"/>
    <xf numFmtId="0" fontId="7" fillId="37" borderId="56" xfId="0" applyFont="1" applyFill="1" applyBorder="1" applyAlignment="1">
      <alignment horizontal="center"/>
    </xf>
    <xf numFmtId="0" fontId="0" fillId="36" borderId="59" xfId="0" applyFill="1" applyBorder="1"/>
    <xf numFmtId="0" fontId="0" fillId="33" borderId="59" xfId="0" applyFill="1" applyBorder="1"/>
    <xf numFmtId="0" fontId="0" fillId="26" borderId="58" xfId="0" applyFill="1" applyBorder="1"/>
    <xf numFmtId="0" fontId="7" fillId="37" borderId="54" xfId="0" applyFont="1" applyFill="1" applyBorder="1" applyAlignment="1">
      <alignment horizontal="center"/>
    </xf>
    <xf numFmtId="0" fontId="22" fillId="23" borderId="36" xfId="0" applyFont="1" applyFill="1" applyBorder="1" applyAlignment="1">
      <alignment horizontal="center"/>
    </xf>
    <xf numFmtId="0" fontId="22" fillId="23" borderId="58" xfId="0" applyFont="1" applyFill="1" applyBorder="1" applyAlignment="1">
      <alignment horizontal="center"/>
    </xf>
    <xf numFmtId="0" fontId="22" fillId="23" borderId="61" xfId="0" applyFont="1" applyFill="1" applyBorder="1" applyAlignment="1">
      <alignment horizontal="center"/>
    </xf>
    <xf numFmtId="0" fontId="22" fillId="23" borderId="62" xfId="0" applyFont="1" applyFill="1" applyBorder="1" applyAlignment="1">
      <alignment horizontal="center"/>
    </xf>
    <xf numFmtId="0" fontId="22" fillId="23" borderId="54" xfId="0" applyFont="1" applyFill="1" applyBorder="1" applyAlignment="1">
      <alignment horizontal="center"/>
    </xf>
    <xf numFmtId="0" fontId="0" fillId="0" borderId="50" xfId="0" applyBorder="1"/>
    <xf numFmtId="0" fontId="22" fillId="34" borderId="13" xfId="0" applyFont="1" applyFill="1" applyBorder="1" applyAlignment="1">
      <alignment horizontal="center"/>
    </xf>
    <xf numFmtId="0" fontId="32" fillId="34" borderId="10" xfId="0" applyFont="1" applyFill="1" applyBorder="1" applyAlignment="1">
      <alignment horizontal="center"/>
    </xf>
    <xf numFmtId="0" fontId="24" fillId="0" borderId="14" xfId="0" applyFont="1" applyBorder="1"/>
    <xf numFmtId="0" fontId="0" fillId="26" borderId="16" xfId="0" applyFill="1" applyBorder="1" applyAlignment="1">
      <alignment horizontal="center"/>
    </xf>
    <xf numFmtId="0" fontId="24" fillId="0" borderId="50" xfId="0" applyFont="1" applyBorder="1"/>
    <xf numFmtId="0" fontId="25" fillId="23" borderId="10" xfId="0" applyFont="1" applyFill="1" applyBorder="1" applyAlignment="1">
      <alignment horizontal="center"/>
    </xf>
    <xf numFmtId="0" fontId="7" fillId="35" borderId="15" xfId="0" applyFont="1" applyFill="1" applyBorder="1" applyAlignment="1">
      <alignment horizontal="center"/>
    </xf>
    <xf numFmtId="0" fontId="7" fillId="35" borderId="17" xfId="0" applyFont="1" applyFill="1" applyBorder="1" applyAlignment="1">
      <alignment horizontal="center"/>
    </xf>
    <xf numFmtId="0" fontId="7" fillId="35" borderId="10" xfId="0" applyFont="1" applyFill="1" applyBorder="1" applyAlignment="1">
      <alignment horizontal="center" vertical="center"/>
    </xf>
    <xf numFmtId="0" fontId="25" fillId="0" borderId="0" xfId="0" quotePrefix="1" applyFont="1" applyAlignment="1">
      <alignment horizontal="right"/>
    </xf>
    <xf numFmtId="0" fontId="7" fillId="0" borderId="10" xfId="0" applyFont="1" applyBorder="1" applyAlignment="1">
      <alignment horizontal="center"/>
    </xf>
    <xf numFmtId="0" fontId="25" fillId="0" borderId="0" xfId="0" applyFont="1" applyAlignment="1">
      <alignment horizontal="right"/>
    </xf>
    <xf numFmtId="0" fontId="24" fillId="0" borderId="22" xfId="0" applyFont="1" applyBorder="1"/>
    <xf numFmtId="0" fontId="24" fillId="0" borderId="33" xfId="0" applyFont="1" applyBorder="1" applyAlignment="1" applyProtection="1">
      <alignment horizontal="center"/>
      <protection locked="0"/>
    </xf>
    <xf numFmtId="0" fontId="0" fillId="0" borderId="35" xfId="0" applyBorder="1" applyAlignment="1">
      <alignment horizontal="right"/>
    </xf>
    <xf numFmtId="0" fontId="24" fillId="0" borderId="44" xfId="0" applyFont="1" applyBorder="1"/>
    <xf numFmtId="0" fontId="24" fillId="0" borderId="61" xfId="0" applyFont="1" applyBorder="1"/>
    <xf numFmtId="0" fontId="0" fillId="0" borderId="37" xfId="0" applyBorder="1" applyAlignment="1">
      <alignment horizontal="right"/>
    </xf>
    <xf numFmtId="0" fontId="22" fillId="32" borderId="10" xfId="0" applyFont="1" applyFill="1" applyBorder="1" applyAlignment="1">
      <alignment horizontal="center"/>
    </xf>
    <xf numFmtId="0" fontId="0" fillId="29" borderId="63" xfId="0" applyFill="1" applyBorder="1"/>
    <xf numFmtId="0" fontId="0" fillId="29" borderId="64" xfId="0" applyFill="1" applyBorder="1"/>
    <xf numFmtId="0" fontId="0" fillId="31" borderId="63" xfId="0" applyFill="1" applyBorder="1"/>
    <xf numFmtId="0" fontId="0" fillId="31" borderId="64" xfId="0" applyFill="1" applyBorder="1"/>
    <xf numFmtId="0" fontId="0" fillId="32" borderId="63" xfId="0" applyFill="1" applyBorder="1"/>
    <xf numFmtId="0" fontId="22" fillId="32" borderId="0" xfId="0" applyFont="1" applyFill="1" applyAlignment="1">
      <alignment horizontal="center"/>
    </xf>
    <xf numFmtId="0" fontId="0" fillId="32" borderId="64" xfId="0" applyFill="1" applyBorder="1"/>
    <xf numFmtId="0" fontId="0" fillId="0" borderId="43" xfId="0" applyBorder="1" applyAlignment="1">
      <alignment horizontal="left"/>
    </xf>
    <xf numFmtId="0" fontId="7" fillId="0" borderId="24" xfId="0" applyFont="1" applyBorder="1" applyAlignment="1">
      <alignment horizontal="center"/>
    </xf>
    <xf numFmtId="0" fontId="0" fillId="0" borderId="46" xfId="0" applyBorder="1" applyAlignment="1">
      <alignment horizontal="left"/>
    </xf>
    <xf numFmtId="0" fontId="7" fillId="0" borderId="29" xfId="0" applyFont="1" applyBorder="1" applyAlignment="1">
      <alignment horizontal="center"/>
    </xf>
    <xf numFmtId="0" fontId="0" fillId="0" borderId="65" xfId="0" applyBorder="1" applyAlignment="1">
      <alignment horizontal="left"/>
    </xf>
    <xf numFmtId="0" fontId="7" fillId="34" borderId="58" xfId="0" applyFont="1" applyFill="1" applyBorder="1" applyAlignment="1">
      <alignment horizontal="center"/>
    </xf>
    <xf numFmtId="0" fontId="7" fillId="23" borderId="61" xfId="0" applyFont="1" applyFill="1" applyBorder="1" applyAlignment="1">
      <alignment horizontal="center"/>
    </xf>
    <xf numFmtId="0" fontId="7" fillId="32" borderId="36" xfId="0" applyFont="1" applyFill="1" applyBorder="1" applyAlignment="1">
      <alignment horizontal="center"/>
    </xf>
    <xf numFmtId="0" fontId="7" fillId="34" borderId="36" xfId="0" applyFont="1" applyFill="1" applyBorder="1" applyAlignment="1">
      <alignment horizontal="center"/>
    </xf>
    <xf numFmtId="0" fontId="7" fillId="35" borderId="36" xfId="0" applyFont="1" applyFill="1" applyBorder="1" applyAlignment="1">
      <alignment horizontal="center"/>
    </xf>
    <xf numFmtId="0" fontId="22" fillId="34" borderId="63" xfId="0" applyFont="1" applyFill="1" applyBorder="1" applyAlignment="1">
      <alignment horizontal="center"/>
    </xf>
    <xf numFmtId="0" fontId="0" fillId="34" borderId="63" xfId="0" applyFill="1" applyBorder="1"/>
    <xf numFmtId="0" fontId="0" fillId="34" borderId="64" xfId="0" applyFill="1" applyBorder="1"/>
    <xf numFmtId="0" fontId="24" fillId="0" borderId="0" xfId="0" applyFont="1" applyAlignment="1">
      <alignment horizontal="left"/>
    </xf>
    <xf numFmtId="0" fontId="0" fillId="0" borderId="61" xfId="0" applyBorder="1"/>
    <xf numFmtId="0" fontId="0" fillId="0" borderId="37" xfId="0" applyBorder="1"/>
    <xf numFmtId="0" fontId="0" fillId="0" borderId="11" xfId="0" applyBorder="1"/>
    <xf numFmtId="0" fontId="0" fillId="0" borderId="66" xfId="0" applyBorder="1"/>
    <xf numFmtId="0" fontId="34" fillId="0" borderId="0" xfId="0" applyFont="1"/>
    <xf numFmtId="0" fontId="32" fillId="0" borderId="0" xfId="0" applyFont="1" applyAlignment="1">
      <alignment horizontal="center"/>
    </xf>
    <xf numFmtId="0" fontId="26" fillId="0" borderId="0" xfId="0" applyFont="1" applyAlignment="1">
      <alignment horizontal="center"/>
    </xf>
    <xf numFmtId="0" fontId="0" fillId="0" borderId="0" xfId="0" applyAlignment="1">
      <alignment vertical="center"/>
    </xf>
    <xf numFmtId="0" fontId="0" fillId="0" borderId="0" xfId="0" applyAlignment="1">
      <alignment horizontal="center" vertical="center"/>
    </xf>
    <xf numFmtId="0" fontId="24" fillId="0" borderId="13" xfId="0" applyFont="1" applyBorder="1" applyAlignment="1" applyProtection="1">
      <alignment horizontal="center" vertical="center"/>
      <protection locked="0"/>
    </xf>
    <xf numFmtId="0" fontId="0" fillId="26" borderId="13" xfId="0" applyFill="1" applyBorder="1" applyAlignment="1">
      <alignment horizontal="center" vertical="center"/>
    </xf>
    <xf numFmtId="0" fontId="24" fillId="0" borderId="43" xfId="0" applyFont="1" applyBorder="1" applyAlignment="1" applyProtection="1">
      <alignment horizontal="center" vertical="center"/>
      <protection locked="0"/>
    </xf>
    <xf numFmtId="0" fontId="0" fillId="0" borderId="25" xfId="0" applyBorder="1" applyAlignment="1">
      <alignment horizontal="left" vertical="center"/>
    </xf>
    <xf numFmtId="0" fontId="0" fillId="0" borderId="27" xfId="0" applyBorder="1" applyAlignment="1">
      <alignment horizontal="right" vertical="center"/>
    </xf>
    <xf numFmtId="0" fontId="24" fillId="0" borderId="23" xfId="0" applyFont="1" applyBorder="1"/>
    <xf numFmtId="0" fontId="24" fillId="24" borderId="24" xfId="0" applyFont="1" applyFill="1" applyBorder="1" applyAlignment="1">
      <alignment horizontal="center"/>
    </xf>
    <xf numFmtId="0" fontId="24" fillId="24" borderId="24" xfId="0" applyFont="1" applyFill="1" applyBorder="1"/>
    <xf numFmtId="0" fontId="35" fillId="0" borderId="0" xfId="0" applyFont="1" applyAlignment="1">
      <alignment horizontal="right"/>
    </xf>
    <xf numFmtId="166" fontId="0" fillId="25" borderId="65" xfId="0" applyNumberFormat="1" applyFill="1" applyBorder="1" applyAlignment="1">
      <alignment horizontal="center"/>
    </xf>
    <xf numFmtId="0" fontId="22" fillId="35" borderId="57" xfId="0" quotePrefix="1" applyFont="1" applyFill="1" applyBorder="1" applyAlignment="1">
      <alignment horizontal="centerContinuous"/>
    </xf>
    <xf numFmtId="0" fontId="22" fillId="35" borderId="63" xfId="0" quotePrefix="1" applyFont="1" applyFill="1" applyBorder="1" applyAlignment="1">
      <alignment horizontal="centerContinuous"/>
    </xf>
    <xf numFmtId="0" fontId="22" fillId="35" borderId="64" xfId="0" quotePrefix="1" applyFont="1" applyFill="1" applyBorder="1" applyAlignment="1">
      <alignment horizontal="centerContinuous"/>
    </xf>
    <xf numFmtId="0" fontId="22" fillId="23" borderId="66" xfId="0" applyFont="1" applyFill="1" applyBorder="1" applyAlignment="1">
      <alignment horizontal="center"/>
    </xf>
    <xf numFmtId="0" fontId="22" fillId="23" borderId="57" xfId="0" applyFont="1" applyFill="1" applyBorder="1" applyAlignment="1">
      <alignment horizontal="centerContinuous"/>
    </xf>
    <xf numFmtId="0" fontId="22" fillId="23" borderId="63" xfId="0" applyFont="1" applyFill="1" applyBorder="1" applyAlignment="1">
      <alignment horizontal="centerContinuous"/>
    </xf>
    <xf numFmtId="0" fontId="22" fillId="23" borderId="64" xfId="0" applyFont="1" applyFill="1" applyBorder="1" applyAlignment="1">
      <alignment horizontal="centerContinuous"/>
    </xf>
    <xf numFmtId="0" fontId="22" fillId="23" borderId="14" xfId="0" quotePrefix="1" applyFont="1" applyFill="1" applyBorder="1" applyAlignment="1">
      <alignment horizontal="left"/>
    </xf>
    <xf numFmtId="0" fontId="0" fillId="0" borderId="0" xfId="0" applyAlignment="1">
      <alignment horizontal="left" vertical="center"/>
    </xf>
    <xf numFmtId="0" fontId="0" fillId="25" borderId="39" xfId="0" applyFill="1" applyBorder="1"/>
    <xf numFmtId="167" fontId="0" fillId="0" borderId="46" xfId="0" applyNumberFormat="1" applyBorder="1"/>
    <xf numFmtId="0" fontId="22" fillId="23" borderId="14" xfId="0" applyFont="1" applyFill="1" applyBorder="1" applyAlignment="1">
      <alignment horizontal="centerContinuous"/>
    </xf>
    <xf numFmtId="0" fontId="22" fillId="23" borderId="50" xfId="0" applyFont="1" applyFill="1" applyBorder="1" applyAlignment="1">
      <alignment horizontal="centerContinuous"/>
    </xf>
    <xf numFmtId="0" fontId="22" fillId="23" borderId="60" xfId="0" applyFont="1" applyFill="1" applyBorder="1" applyAlignment="1">
      <alignment horizontal="centerContinuous"/>
    </xf>
    <xf numFmtId="0" fontId="0" fillId="0" borderId="0" xfId="0" applyAlignment="1">
      <alignment vertical="top"/>
    </xf>
    <xf numFmtId="0" fontId="0" fillId="0" borderId="0" xfId="0" applyAlignment="1">
      <alignment vertical="top" wrapText="1"/>
    </xf>
    <xf numFmtId="0" fontId="0" fillId="0" borderId="13" xfId="0" applyBorder="1" applyAlignment="1">
      <alignment horizontal="left" vertical="top" wrapText="1"/>
    </xf>
    <xf numFmtId="0" fontId="0" fillId="0" borderId="13" xfId="0" applyBorder="1" applyAlignment="1">
      <alignment vertical="top" wrapText="1"/>
    </xf>
    <xf numFmtId="0" fontId="7" fillId="0" borderId="13" xfId="0" applyFont="1" applyBorder="1" applyAlignment="1">
      <alignment vertical="top"/>
    </xf>
    <xf numFmtId="0" fontId="7" fillId="38" borderId="13" xfId="0" applyFont="1" applyFill="1" applyBorder="1" applyAlignment="1">
      <alignment horizontal="center" vertical="top"/>
    </xf>
    <xf numFmtId="0" fontId="7" fillId="38" borderId="13" xfId="0" applyFont="1" applyFill="1" applyBorder="1" applyAlignment="1">
      <alignment horizontal="center" vertical="top" wrapText="1"/>
    </xf>
    <xf numFmtId="0" fontId="7" fillId="0" borderId="13" xfId="0" applyFont="1" applyBorder="1" applyAlignment="1">
      <alignment horizontal="left" vertical="top" wrapText="1"/>
    </xf>
    <xf numFmtId="0" fontId="35" fillId="23" borderId="57" xfId="0" applyFont="1" applyFill="1" applyBorder="1" applyAlignment="1">
      <alignment horizontal="center"/>
    </xf>
    <xf numFmtId="0" fontId="35" fillId="23" borderId="64" xfId="0" applyFont="1" applyFill="1" applyBorder="1" applyAlignment="1">
      <alignment horizontal="center"/>
    </xf>
    <xf numFmtId="0" fontId="22" fillId="31" borderId="63" xfId="0" applyFont="1" applyFill="1" applyBorder="1" applyAlignment="1">
      <alignment horizontal="center"/>
    </xf>
    <xf numFmtId="0" fontId="46" fillId="23" borderId="15" xfId="0" quotePrefix="1" applyFont="1" applyFill="1" applyBorder="1" applyAlignment="1">
      <alignment horizontal="left"/>
    </xf>
    <xf numFmtId="0" fontId="46" fillId="23" borderId="16" xfId="0" applyFont="1" applyFill="1" applyBorder="1" applyAlignment="1">
      <alignment horizontal="center"/>
    </xf>
    <xf numFmtId="0" fontId="46" fillId="23" borderId="17" xfId="0" applyFont="1" applyFill="1" applyBorder="1" applyAlignment="1">
      <alignment horizontal="center"/>
    </xf>
    <xf numFmtId="0" fontId="47" fillId="0" borderId="0" xfId="0" applyFont="1"/>
    <xf numFmtId="0" fontId="46" fillId="23" borderId="16" xfId="0" quotePrefix="1" applyFont="1" applyFill="1" applyBorder="1" applyAlignment="1">
      <alignment horizontal="center"/>
    </xf>
    <xf numFmtId="0" fontId="7" fillId="0" borderId="13" xfId="0" applyFont="1" applyBorder="1" applyAlignment="1">
      <alignment vertical="top" wrapText="1"/>
    </xf>
    <xf numFmtId="0" fontId="0" fillId="30" borderId="63" xfId="0" applyFill="1" applyBorder="1" applyAlignment="1">
      <alignment horizontal="centerContinuous"/>
    </xf>
    <xf numFmtId="0" fontId="0" fillId="30" borderId="64" xfId="0" applyFill="1" applyBorder="1" applyAlignment="1">
      <alignment horizontal="centerContinuous"/>
    </xf>
    <xf numFmtId="20" fontId="0" fillId="0" borderId="35" xfId="0" applyNumberFormat="1" applyBorder="1" applyAlignment="1">
      <alignment horizontal="center"/>
    </xf>
    <xf numFmtId="0" fontId="24" fillId="0" borderId="33" xfId="0" applyFont="1" applyBorder="1" applyAlignment="1">
      <alignment horizontal="center"/>
    </xf>
    <xf numFmtId="0" fontId="24" fillId="0" borderId="67" xfId="0" applyFont="1" applyBorder="1"/>
    <xf numFmtId="0" fontId="0" fillId="0" borderId="67" xfId="0" applyBorder="1" applyAlignment="1">
      <alignment horizontal="left"/>
    </xf>
    <xf numFmtId="0" fontId="7" fillId="0" borderId="23" xfId="0" applyFont="1" applyBorder="1" applyAlignment="1">
      <alignment horizontal="center"/>
    </xf>
    <xf numFmtId="0" fontId="22" fillId="35" borderId="57" xfId="0" applyFont="1" applyFill="1" applyBorder="1" applyAlignment="1">
      <alignment horizontal="centerContinuous"/>
    </xf>
    <xf numFmtId="0" fontId="0" fillId="0" borderId="13" xfId="0" applyBorder="1" applyAlignment="1">
      <alignment vertical="top"/>
    </xf>
    <xf numFmtId="0" fontId="0" fillId="34" borderId="10" xfId="0" applyFill="1" applyBorder="1" applyAlignment="1">
      <alignment horizontal="center"/>
    </xf>
    <xf numFmtId="0" fontId="35" fillId="23" borderId="36" xfId="0" applyFont="1" applyFill="1" applyBorder="1" applyAlignment="1">
      <alignment horizontal="center"/>
    </xf>
    <xf numFmtId="0" fontId="28" fillId="23" borderId="36" xfId="0" applyFont="1" applyFill="1" applyBorder="1" applyAlignment="1">
      <alignment horizontal="center"/>
    </xf>
    <xf numFmtId="0" fontId="35" fillId="23" borderId="59" xfId="0" applyFont="1" applyFill="1" applyBorder="1" applyAlignment="1">
      <alignment horizontal="center"/>
    </xf>
    <xf numFmtId="0" fontId="35" fillId="23" borderId="56" xfId="0" applyFont="1" applyFill="1" applyBorder="1" applyAlignment="1">
      <alignment horizontal="center"/>
    </xf>
    <xf numFmtId="0" fontId="22" fillId="0" borderId="13" xfId="0" applyFont="1" applyBorder="1" applyAlignment="1" applyProtection="1">
      <alignment horizontal="center"/>
      <protection locked="0"/>
    </xf>
    <xf numFmtId="0" fontId="22" fillId="34" borderId="10" xfId="0" applyFont="1" applyFill="1" applyBorder="1" applyAlignment="1">
      <alignment horizontal="center"/>
    </xf>
    <xf numFmtId="0" fontId="25" fillId="0" borderId="0" xfId="0" applyFont="1" applyAlignment="1">
      <alignment horizontal="left"/>
    </xf>
    <xf numFmtId="0" fontId="48" fillId="39" borderId="0" xfId="0" applyFont="1" applyFill="1" applyAlignment="1">
      <alignment horizontal="right"/>
    </xf>
    <xf numFmtId="0" fontId="48" fillId="39" borderId="0" xfId="0" applyFont="1" applyFill="1" applyAlignment="1">
      <alignment horizontal="center"/>
    </xf>
    <xf numFmtId="0" fontId="53" fillId="39" borderId="0" xfId="0" applyFont="1" applyFill="1" applyAlignment="1">
      <alignment horizontal="center"/>
    </xf>
    <xf numFmtId="0" fontId="48" fillId="0" borderId="0" xfId="0" applyFont="1" applyAlignment="1">
      <alignment horizontal="right"/>
    </xf>
    <xf numFmtId="0" fontId="54" fillId="0" borderId="0" xfId="0" applyFont="1" applyAlignment="1">
      <alignment horizontal="right"/>
    </xf>
    <xf numFmtId="0" fontId="46" fillId="23" borderId="15" xfId="0" quotePrefix="1" applyFont="1" applyFill="1" applyBorder="1" applyAlignment="1">
      <alignment horizontal="center"/>
    </xf>
    <xf numFmtId="20" fontId="0" fillId="0" borderId="23" xfId="0" applyNumberFormat="1" applyBorder="1" applyAlignment="1">
      <alignment horizontal="center"/>
    </xf>
    <xf numFmtId="0" fontId="28" fillId="0" borderId="10" xfId="0" applyFont="1" applyBorder="1" applyAlignment="1">
      <alignment horizontal="center"/>
    </xf>
    <xf numFmtId="166" fontId="0" fillId="25" borderId="21" xfId="0" applyNumberFormat="1" applyFill="1" applyBorder="1" applyAlignment="1">
      <alignment horizontal="center"/>
    </xf>
    <xf numFmtId="166" fontId="0" fillId="25" borderId="13" xfId="0" applyNumberFormat="1"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25" borderId="30" xfId="0" applyFill="1" applyBorder="1" applyAlignment="1">
      <alignment horizontal="center"/>
    </xf>
    <xf numFmtId="166" fontId="0" fillId="25" borderId="28" xfId="0" applyNumberFormat="1" applyFill="1" applyBorder="1" applyAlignment="1">
      <alignment horizontal="center"/>
    </xf>
    <xf numFmtId="0" fontId="7" fillId="0" borderId="21" xfId="0" applyFont="1" applyBorder="1" applyAlignment="1">
      <alignment horizontal="center"/>
    </xf>
    <xf numFmtId="0" fontId="7" fillId="0" borderId="22" xfId="0" applyFont="1" applyBorder="1" applyAlignment="1">
      <alignment horizontal="center"/>
    </xf>
    <xf numFmtId="0" fontId="7" fillId="0" borderId="27" xfId="0" applyFont="1" applyBorder="1" applyAlignment="1">
      <alignment horizontal="center"/>
    </xf>
    <xf numFmtId="0" fontId="7" fillId="0" borderId="25" xfId="0" applyFont="1" applyBorder="1" applyAlignment="1">
      <alignment horizontal="center"/>
    </xf>
    <xf numFmtId="0" fontId="7" fillId="0" borderId="30" xfId="0" applyFont="1" applyBorder="1" applyAlignment="1">
      <alignment horizontal="center"/>
    </xf>
    <xf numFmtId="0" fontId="7" fillId="0" borderId="28" xfId="0" applyFont="1" applyBorder="1" applyAlignment="1">
      <alignment horizontal="center"/>
    </xf>
    <xf numFmtId="0" fontId="7" fillId="0" borderId="44" xfId="0" applyFont="1" applyBorder="1" applyAlignment="1">
      <alignment horizontal="center"/>
    </xf>
    <xf numFmtId="0" fontId="7" fillId="28" borderId="13" xfId="0" applyFont="1" applyFill="1" applyBorder="1" applyAlignment="1">
      <alignment vertical="top" wrapText="1"/>
    </xf>
    <xf numFmtId="0" fontId="0" fillId="28" borderId="0" xfId="0" applyFill="1" applyAlignment="1">
      <alignment vertical="top"/>
    </xf>
    <xf numFmtId="0" fontId="7" fillId="38" borderId="33" xfId="0" applyFont="1" applyFill="1" applyBorder="1" applyAlignment="1">
      <alignment horizontal="center" vertical="top" wrapText="1"/>
    </xf>
    <xf numFmtId="0" fontId="0" fillId="38" borderId="33" xfId="0" applyFill="1" applyBorder="1" applyAlignment="1">
      <alignment horizontal="center" vertical="top" wrapText="1"/>
    </xf>
    <xf numFmtId="0" fontId="55" fillId="0" borderId="15" xfId="0" applyFont="1" applyBorder="1" applyAlignment="1">
      <alignment vertical="top" wrapText="1"/>
    </xf>
    <xf numFmtId="0" fontId="55" fillId="0" borderId="17" xfId="0" applyFont="1" applyBorder="1" applyAlignment="1">
      <alignment vertical="top" wrapText="1"/>
    </xf>
    <xf numFmtId="0" fontId="56" fillId="35" borderId="63" xfId="0" quotePrefix="1" applyFont="1" applyFill="1" applyBorder="1" applyAlignment="1">
      <alignment horizontal="centerContinuous"/>
    </xf>
    <xf numFmtId="0" fontId="35" fillId="23" borderId="10" xfId="0" applyFont="1" applyFill="1" applyBorder="1" applyAlignment="1">
      <alignment horizontal="center"/>
    </xf>
    <xf numFmtId="0" fontId="0" fillId="34" borderId="13" xfId="0" applyFill="1" applyBorder="1" applyAlignment="1">
      <alignment horizontal="left" vertical="top" wrapText="1"/>
    </xf>
    <xf numFmtId="0" fontId="60" fillId="0" borderId="0" xfId="0" applyFont="1" applyAlignment="1">
      <alignment vertical="top" wrapText="1"/>
    </xf>
    <xf numFmtId="0" fontId="7" fillId="41" borderId="0" xfId="0" applyFont="1" applyFill="1"/>
    <xf numFmtId="0" fontId="7" fillId="40" borderId="0" xfId="0" applyFont="1" applyFill="1"/>
    <xf numFmtId="0" fontId="0" fillId="40" borderId="0" xfId="0" applyFill="1"/>
    <xf numFmtId="0" fontId="49" fillId="40" borderId="69" xfId="0" applyFont="1" applyFill="1" applyBorder="1" applyAlignment="1">
      <alignment horizontal="center"/>
    </xf>
    <xf numFmtId="0" fontId="0" fillId="40" borderId="70" xfId="0" applyFill="1" applyBorder="1"/>
    <xf numFmtId="0" fontId="0" fillId="40" borderId="71" xfId="0" applyFill="1" applyBorder="1" applyAlignment="1">
      <alignment horizontal="center"/>
    </xf>
    <xf numFmtId="0" fontId="0" fillId="40" borderId="72" xfId="0" applyFill="1" applyBorder="1"/>
    <xf numFmtId="0" fontId="0" fillId="40" borderId="71" xfId="0" applyFill="1" applyBorder="1"/>
    <xf numFmtId="0" fontId="7" fillId="40" borderId="71" xfId="0" applyFont="1" applyFill="1" applyBorder="1"/>
    <xf numFmtId="0" fontId="7" fillId="40" borderId="73" xfId="0" applyFont="1" applyFill="1" applyBorder="1"/>
    <xf numFmtId="0" fontId="0" fillId="40" borderId="74" xfId="0" applyFill="1" applyBorder="1"/>
    <xf numFmtId="0" fontId="0" fillId="40" borderId="0" xfId="0" applyFill="1" applyAlignment="1">
      <alignment horizontal="center"/>
    </xf>
    <xf numFmtId="0" fontId="0" fillId="40" borderId="75" xfId="0" applyFill="1" applyBorder="1"/>
    <xf numFmtId="0" fontId="7" fillId="40" borderId="76" xfId="0" applyFont="1" applyFill="1" applyBorder="1"/>
    <xf numFmtId="0" fontId="0" fillId="40" borderId="77" xfId="0" applyFill="1" applyBorder="1"/>
    <xf numFmtId="0" fontId="0" fillId="40" borderId="68" xfId="0" applyFill="1" applyBorder="1" applyAlignment="1">
      <alignment horizontal="center"/>
    </xf>
    <xf numFmtId="0" fontId="0" fillId="40" borderId="69" xfId="0" applyFill="1" applyBorder="1"/>
    <xf numFmtId="0" fontId="0" fillId="40" borderId="68" xfId="0" applyFill="1" applyBorder="1"/>
    <xf numFmtId="0" fontId="7" fillId="40" borderId="68" xfId="0" applyFont="1" applyFill="1" applyBorder="1"/>
    <xf numFmtId="0" fontId="7" fillId="40" borderId="78" xfId="0" applyFont="1" applyFill="1" applyBorder="1"/>
    <xf numFmtId="0" fontId="24" fillId="24" borderId="23" xfId="0" applyFont="1" applyFill="1" applyBorder="1" applyAlignment="1">
      <alignment horizontal="center"/>
    </xf>
    <xf numFmtId="0" fontId="24" fillId="24" borderId="23" xfId="0" applyFont="1" applyFill="1" applyBorder="1"/>
    <xf numFmtId="0" fontId="24" fillId="25" borderId="33" xfId="0" applyFont="1" applyFill="1" applyBorder="1" applyProtection="1">
      <protection locked="0"/>
    </xf>
    <xf numFmtId="0" fontId="7" fillId="0" borderId="37" xfId="0" applyFont="1" applyBorder="1" applyAlignment="1">
      <alignment horizontal="center"/>
    </xf>
    <xf numFmtId="0" fontId="7" fillId="0" borderId="39" xfId="0" applyFont="1" applyBorder="1" applyAlignment="1">
      <alignment horizontal="center"/>
    </xf>
    <xf numFmtId="0" fontId="7" fillId="0" borderId="65" xfId="0" applyFont="1" applyBorder="1" applyAlignment="1">
      <alignment horizontal="center"/>
    </xf>
    <xf numFmtId="0" fontId="7" fillId="0" borderId="35" xfId="0" applyFont="1" applyBorder="1" applyAlignment="1">
      <alignment horizontal="center"/>
    </xf>
    <xf numFmtId="0" fontId="7" fillId="41" borderId="72" xfId="0" applyFont="1" applyFill="1" applyBorder="1" applyAlignment="1">
      <alignment horizontal="center"/>
    </xf>
    <xf numFmtId="0" fontId="66" fillId="41" borderId="75" xfId="0" applyFont="1" applyFill="1" applyBorder="1" applyAlignment="1">
      <alignment horizontal="center"/>
    </xf>
    <xf numFmtId="0" fontId="7" fillId="41" borderId="79" xfId="0" applyFont="1" applyFill="1" applyBorder="1" applyAlignment="1">
      <alignment horizontal="left"/>
    </xf>
    <xf numFmtId="0" fontId="66" fillId="41" borderId="0" xfId="0" applyFont="1" applyFill="1" applyAlignment="1">
      <alignment horizontal="center"/>
    </xf>
    <xf numFmtId="171" fontId="7" fillId="41" borderId="80" xfId="0" applyNumberFormat="1" applyFont="1" applyFill="1" applyBorder="1" applyAlignment="1">
      <alignment horizontal="left"/>
    </xf>
    <xf numFmtId="0" fontId="22" fillId="40" borderId="0" xfId="0" applyFont="1" applyFill="1" applyAlignment="1">
      <alignment horizontal="center"/>
    </xf>
    <xf numFmtId="0" fontId="22" fillId="40" borderId="13" xfId="0" applyFont="1" applyFill="1" applyBorder="1" applyAlignment="1">
      <alignment horizontal="center"/>
    </xf>
    <xf numFmtId="0" fontId="50" fillId="40" borderId="0" xfId="0" applyFont="1" applyFill="1" applyAlignment="1">
      <alignment horizontal="left"/>
    </xf>
    <xf numFmtId="0" fontId="28" fillId="40" borderId="0" xfId="0" applyFont="1" applyFill="1" applyAlignment="1">
      <alignment horizontal="right"/>
    </xf>
    <xf numFmtId="0" fontId="26" fillId="40" borderId="0" xfId="0" applyFont="1" applyFill="1" applyAlignment="1">
      <alignment horizontal="center"/>
    </xf>
    <xf numFmtId="0" fontId="25" fillId="0" borderId="13" xfId="0" applyFont="1" applyBorder="1" applyAlignment="1" applyProtection="1">
      <alignment horizontal="center"/>
      <protection locked="0"/>
    </xf>
    <xf numFmtId="0" fontId="7" fillId="41" borderId="79" xfId="0" applyFont="1" applyFill="1" applyBorder="1" applyAlignment="1">
      <alignment horizontal="left" wrapText="1"/>
    </xf>
    <xf numFmtId="0" fontId="7" fillId="41" borderId="81" xfId="0" applyFont="1" applyFill="1" applyBorder="1" applyAlignment="1">
      <alignment horizontal="left" wrapText="1"/>
    </xf>
    <xf numFmtId="0" fontId="71" fillId="0" borderId="0" xfId="0" applyFont="1"/>
    <xf numFmtId="0" fontId="22" fillId="0" borderId="43" xfId="0" applyFont="1" applyBorder="1" applyAlignment="1">
      <alignment horizontal="center"/>
    </xf>
    <xf numFmtId="0" fontId="7" fillId="0" borderId="43" xfId="0" applyFont="1" applyBorder="1" applyAlignment="1">
      <alignment horizontal="center"/>
    </xf>
    <xf numFmtId="0" fontId="7" fillId="0" borderId="82" xfId="0" applyFont="1" applyBorder="1" applyAlignment="1">
      <alignment horizontal="left"/>
    </xf>
    <xf numFmtId="0" fontId="7" fillId="0" borderId="48" xfId="0" applyFont="1" applyBorder="1" applyAlignment="1">
      <alignment horizontal="left"/>
    </xf>
    <xf numFmtId="0" fontId="26" fillId="0" borderId="0" xfId="0" applyFont="1"/>
    <xf numFmtId="0" fontId="31" fillId="42" borderId="54" xfId="0" applyFont="1" applyFill="1" applyBorder="1" applyAlignment="1">
      <alignment horizontal="center"/>
    </xf>
    <xf numFmtId="0" fontId="7" fillId="0" borderId="67" xfId="0" applyFont="1" applyBorder="1" applyAlignment="1">
      <alignment horizontal="left"/>
    </xf>
    <xf numFmtId="0" fontId="22" fillId="0" borderId="48" xfId="0" applyFont="1" applyBorder="1" applyAlignment="1">
      <alignment horizontal="center"/>
    </xf>
    <xf numFmtId="0" fontId="22" fillId="31" borderId="33" xfId="0" applyFont="1" applyFill="1" applyBorder="1"/>
    <xf numFmtId="0" fontId="7" fillId="0" borderId="83" xfId="0" applyFont="1" applyBorder="1" applyAlignment="1">
      <alignment horizontal="left"/>
    </xf>
    <xf numFmtId="0" fontId="22" fillId="30" borderId="9" xfId="0" applyFont="1" applyFill="1" applyBorder="1" applyAlignment="1">
      <alignment horizontal="centerContinuous"/>
    </xf>
    <xf numFmtId="0" fontId="22" fillId="31" borderId="9" xfId="0" applyFont="1" applyFill="1" applyBorder="1" applyAlignment="1">
      <alignment horizontal="centerContinuous"/>
    </xf>
    <xf numFmtId="0" fontId="75" fillId="25" borderId="84" xfId="0" applyFont="1" applyFill="1" applyBorder="1" applyAlignment="1" applyProtection="1">
      <alignment horizontal="center" vertical="center" wrapText="1"/>
      <protection locked="0"/>
    </xf>
    <xf numFmtId="0" fontId="7" fillId="41" borderId="79" xfId="0" applyFont="1" applyFill="1" applyBorder="1" applyAlignment="1">
      <alignment horizontal="center" wrapText="1"/>
    </xf>
    <xf numFmtId="0" fontId="7" fillId="41" borderId="87" xfId="0" applyFont="1" applyFill="1" applyBorder="1" applyAlignment="1">
      <alignment horizontal="left" wrapText="1"/>
    </xf>
    <xf numFmtId="0" fontId="23" fillId="35" borderId="88" xfId="0" applyFont="1" applyFill="1" applyBorder="1"/>
    <xf numFmtId="0" fontId="0" fillId="35" borderId="89" xfId="0" applyFill="1" applyBorder="1"/>
    <xf numFmtId="0" fontId="7" fillId="35" borderId="89" xfId="0" applyFont="1" applyFill="1" applyBorder="1"/>
    <xf numFmtId="0" fontId="24" fillId="35" borderId="90" xfId="0" applyFont="1" applyFill="1" applyBorder="1" applyAlignment="1">
      <alignment horizontal="right"/>
    </xf>
    <xf numFmtId="0" fontId="23" fillId="35" borderId="91" xfId="0" applyFont="1" applyFill="1" applyBorder="1"/>
    <xf numFmtId="0" fontId="0" fillId="35" borderId="0" xfId="0" applyFill="1"/>
    <xf numFmtId="0" fontId="22" fillId="35" borderId="0" xfId="0" applyFont="1" applyFill="1" applyAlignment="1">
      <alignment horizontal="center" wrapText="1"/>
    </xf>
    <xf numFmtId="0" fontId="7" fillId="35" borderId="0" xfId="0" applyFont="1" applyFill="1"/>
    <xf numFmtId="0" fontId="25" fillId="35" borderId="49" xfId="0" applyFont="1" applyFill="1" applyBorder="1" applyAlignment="1" applyProtection="1">
      <alignment horizontal="center"/>
      <protection locked="0"/>
    </xf>
    <xf numFmtId="0" fontId="22" fillId="35" borderId="49" xfId="0" applyFont="1" applyFill="1" applyBorder="1" applyAlignment="1">
      <alignment horizontal="center"/>
    </xf>
    <xf numFmtId="0" fontId="25" fillId="35" borderId="92" xfId="0" applyFont="1" applyFill="1" applyBorder="1" applyAlignment="1" applyProtection="1">
      <alignment horizontal="center"/>
      <protection locked="0"/>
    </xf>
    <xf numFmtId="0" fontId="22" fillId="35" borderId="93" xfId="0" applyFont="1" applyFill="1" applyBorder="1" applyAlignment="1">
      <alignment horizontal="center"/>
    </xf>
    <xf numFmtId="0" fontId="22" fillId="35" borderId="94" xfId="0" applyFont="1" applyFill="1" applyBorder="1" applyAlignment="1">
      <alignment horizontal="center"/>
    </xf>
    <xf numFmtId="0" fontId="22" fillId="35" borderId="13" xfId="0" applyFont="1" applyFill="1" applyBorder="1" applyAlignment="1">
      <alignment horizontal="center"/>
    </xf>
    <xf numFmtId="0" fontId="0" fillId="35" borderId="94" xfId="0" applyFill="1" applyBorder="1"/>
    <xf numFmtId="0" fontId="22" fillId="35" borderId="94" xfId="0" applyFont="1" applyFill="1" applyBorder="1" applyAlignment="1">
      <alignment horizontal="center" wrapText="1"/>
    </xf>
    <xf numFmtId="0" fontId="49" fillId="35" borderId="13" xfId="0" applyFont="1" applyFill="1" applyBorder="1" applyAlignment="1">
      <alignment horizontal="center"/>
    </xf>
    <xf numFmtId="0" fontId="24" fillId="35" borderId="13" xfId="0" applyFont="1" applyFill="1" applyBorder="1" applyAlignment="1" applyProtection="1">
      <alignment horizontal="center"/>
      <protection locked="0"/>
    </xf>
    <xf numFmtId="0" fontId="24" fillId="35" borderId="13" xfId="0" applyFont="1" applyFill="1" applyBorder="1" applyProtection="1">
      <protection locked="0"/>
    </xf>
    <xf numFmtId="0" fontId="84" fillId="0" borderId="0" xfId="0" applyFont="1"/>
    <xf numFmtId="0" fontId="0" fillId="39" borderId="96" xfId="0" applyFill="1" applyBorder="1" applyProtection="1">
      <protection locked="0"/>
    </xf>
    <xf numFmtId="0" fontId="7" fillId="43" borderId="97" xfId="0" applyFont="1" applyFill="1" applyBorder="1"/>
    <xf numFmtId="0" fontId="7" fillId="43" borderId="98" xfId="0" applyFont="1" applyFill="1" applyBorder="1" applyAlignment="1">
      <alignment horizontal="center"/>
    </xf>
    <xf numFmtId="0" fontId="22" fillId="43" borderId="98" xfId="0" applyFont="1" applyFill="1" applyBorder="1" applyAlignment="1">
      <alignment horizontal="center"/>
    </xf>
    <xf numFmtId="171" fontId="7" fillId="43" borderId="98" xfId="0" applyNumberFormat="1" applyFont="1" applyFill="1" applyBorder="1"/>
    <xf numFmtId="0" fontId="7" fillId="43" borderId="98" xfId="0" applyFont="1" applyFill="1" applyBorder="1"/>
    <xf numFmtId="0" fontId="7" fillId="43" borderId="99" xfId="0" applyFont="1" applyFill="1" applyBorder="1"/>
    <xf numFmtId="0" fontId="7" fillId="43" borderId="100" xfId="0" applyFont="1" applyFill="1" applyBorder="1"/>
    <xf numFmtId="0" fontId="7" fillId="43" borderId="101" xfId="0" applyFont="1" applyFill="1" applyBorder="1" applyAlignment="1">
      <alignment horizontal="center"/>
    </xf>
    <xf numFmtId="0" fontId="22" fillId="43" borderId="101" xfId="0" applyFont="1" applyFill="1" applyBorder="1" applyAlignment="1">
      <alignment horizontal="center"/>
    </xf>
    <xf numFmtId="171" fontId="7" fillId="43" borderId="101" xfId="0" applyNumberFormat="1" applyFont="1" applyFill="1" applyBorder="1"/>
    <xf numFmtId="0" fontId="7" fillId="43" borderId="101" xfId="0" applyFont="1" applyFill="1" applyBorder="1"/>
    <xf numFmtId="0" fontId="7" fillId="43" borderId="102" xfId="0" applyFont="1" applyFill="1" applyBorder="1"/>
    <xf numFmtId="0" fontId="24" fillId="0" borderId="28" xfId="0" applyFont="1" applyBorder="1" applyAlignment="1" applyProtection="1">
      <alignment horizontal="center" vertical="center"/>
      <protection locked="0"/>
    </xf>
    <xf numFmtId="0" fontId="38" fillId="39" borderId="96" xfId="0" applyFont="1" applyFill="1" applyBorder="1" applyProtection="1">
      <protection locked="0"/>
    </xf>
    <xf numFmtId="0" fontId="89" fillId="39" borderId="96" xfId="0" applyFont="1" applyFill="1" applyBorder="1" applyAlignment="1" applyProtection="1">
      <alignment horizontal="center"/>
      <protection locked="0"/>
    </xf>
    <xf numFmtId="0" fontId="28" fillId="44" borderId="70" xfId="0" applyFont="1" applyFill="1" applyBorder="1" applyAlignment="1">
      <alignment vertical="center"/>
    </xf>
    <xf numFmtId="0" fontId="24" fillId="0" borderId="18" xfId="0" applyFont="1" applyBorder="1" applyAlignment="1" applyProtection="1">
      <alignment horizontal="center"/>
      <protection locked="0"/>
    </xf>
    <xf numFmtId="0" fontId="0" fillId="25" borderId="20" xfId="0" applyFill="1" applyBorder="1" applyAlignment="1">
      <alignment horizontal="right" vertical="center"/>
    </xf>
    <xf numFmtId="0" fontId="24" fillId="0" borderId="21" xfId="0" applyFont="1" applyBorder="1" applyAlignment="1" applyProtection="1">
      <alignment horizontal="center" vertical="center"/>
      <protection locked="0"/>
    </xf>
    <xf numFmtId="0" fontId="0" fillId="26" borderId="21" xfId="0" applyFill="1" applyBorder="1" applyAlignment="1">
      <alignment horizontal="center" vertical="center"/>
    </xf>
    <xf numFmtId="0" fontId="0" fillId="25" borderId="22" xfId="0" applyFill="1" applyBorder="1" applyAlignment="1">
      <alignment horizontal="left" vertical="center"/>
    </xf>
    <xf numFmtId="0" fontId="0" fillId="25" borderId="27" xfId="0" applyFill="1" applyBorder="1" applyAlignment="1">
      <alignment horizontal="right" vertical="center"/>
    </xf>
    <xf numFmtId="0" fontId="0" fillId="25" borderId="25" xfId="0" applyFill="1" applyBorder="1" applyAlignment="1">
      <alignment horizontal="left" vertical="center"/>
    </xf>
    <xf numFmtId="0" fontId="0" fillId="25" borderId="30" xfId="0" applyFill="1" applyBorder="1" applyAlignment="1">
      <alignment horizontal="right" vertical="center"/>
    </xf>
    <xf numFmtId="0" fontId="0" fillId="26" borderId="28" xfId="0" applyFill="1" applyBorder="1" applyAlignment="1">
      <alignment horizontal="center" vertical="center"/>
    </xf>
    <xf numFmtId="0" fontId="0" fillId="25" borderId="44" xfId="0" applyFill="1" applyBorder="1" applyAlignment="1">
      <alignment horizontal="left" vertical="center"/>
    </xf>
    <xf numFmtId="0" fontId="0" fillId="25" borderId="35" xfId="0" applyFill="1" applyBorder="1" applyAlignment="1">
      <alignment horizontal="right" vertical="center"/>
    </xf>
    <xf numFmtId="0" fontId="24" fillId="0" borderId="33" xfId="0" applyFont="1" applyBorder="1" applyAlignment="1" applyProtection="1">
      <alignment horizontal="center" vertical="center"/>
      <protection locked="0"/>
    </xf>
    <xf numFmtId="0" fontId="0" fillId="26" borderId="33" xfId="0" applyFill="1" applyBorder="1" applyAlignment="1">
      <alignment horizontal="center" vertical="center"/>
    </xf>
    <xf numFmtId="0" fontId="0" fillId="25" borderId="34" xfId="0" applyFill="1" applyBorder="1" applyAlignment="1">
      <alignment horizontal="left" vertical="center"/>
    </xf>
    <xf numFmtId="0" fontId="0" fillId="25" borderId="103" xfId="0" applyFill="1" applyBorder="1" applyAlignment="1">
      <alignment horizontal="right" vertical="center"/>
    </xf>
    <xf numFmtId="0" fontId="24" fillId="0" borderId="104" xfId="0" applyFont="1" applyBorder="1" applyAlignment="1" applyProtection="1">
      <alignment horizontal="center" vertical="center"/>
      <protection locked="0"/>
    </xf>
    <xf numFmtId="0" fontId="0" fillId="26" borderId="104" xfId="0" applyFill="1" applyBorder="1" applyAlignment="1">
      <alignment horizontal="center" vertical="center"/>
    </xf>
    <xf numFmtId="0" fontId="0" fillId="25" borderId="105" xfId="0" applyFill="1" applyBorder="1" applyAlignment="1">
      <alignment horizontal="left" vertical="center"/>
    </xf>
    <xf numFmtId="0" fontId="0" fillId="25" borderId="15" xfId="0" applyFill="1" applyBorder="1" applyAlignment="1">
      <alignment horizontal="right" vertical="center"/>
    </xf>
    <xf numFmtId="0" fontId="24" fillId="0" borderId="16" xfId="0" applyFont="1" applyBorder="1" applyAlignment="1" applyProtection="1">
      <alignment horizontal="center" vertical="center"/>
      <protection locked="0"/>
    </xf>
    <xf numFmtId="0" fontId="0" fillId="26" borderId="16" xfId="0" applyFill="1" applyBorder="1" applyAlignment="1">
      <alignment horizontal="center" vertical="center"/>
    </xf>
    <xf numFmtId="0" fontId="0" fillId="25" borderId="17" xfId="0" applyFill="1" applyBorder="1" applyAlignment="1">
      <alignment horizontal="left" vertical="center"/>
    </xf>
    <xf numFmtId="0" fontId="24" fillId="0" borderId="18" xfId="0" applyFont="1" applyBorder="1" applyAlignment="1" applyProtection="1">
      <alignment horizontal="center" vertical="center" wrapText="1"/>
      <protection locked="0"/>
    </xf>
    <xf numFmtId="0" fontId="24" fillId="0" borderId="26" xfId="0" applyFont="1" applyBorder="1" applyAlignment="1" applyProtection="1">
      <alignment horizontal="center" vertical="center" wrapText="1"/>
      <protection locked="0"/>
    </xf>
    <xf numFmtId="0" fontId="24" fillId="0" borderId="23" xfId="0" applyFont="1" applyBorder="1" applyAlignment="1" applyProtection="1">
      <alignment horizontal="center" vertical="center" wrapText="1"/>
      <protection locked="0"/>
    </xf>
    <xf numFmtId="0" fontId="0" fillId="25" borderId="20" xfId="0" applyFill="1" applyBorder="1" applyAlignment="1">
      <alignment horizontal="right" vertical="center" wrapText="1"/>
    </xf>
    <xf numFmtId="0" fontId="24" fillId="0" borderId="21" xfId="0" applyFont="1" applyBorder="1" applyAlignment="1" applyProtection="1">
      <alignment horizontal="center" vertical="center" wrapText="1"/>
      <protection locked="0"/>
    </xf>
    <xf numFmtId="0" fontId="0" fillId="26" borderId="21" xfId="0" applyFill="1" applyBorder="1" applyAlignment="1">
      <alignment horizontal="center" vertical="center" wrapText="1"/>
    </xf>
    <xf numFmtId="0" fontId="0" fillId="25" borderId="22" xfId="0" applyFill="1" applyBorder="1" applyAlignment="1">
      <alignment horizontal="left" vertical="center" wrapText="1"/>
    </xf>
    <xf numFmtId="0" fontId="0" fillId="25" borderId="35" xfId="0" applyFill="1" applyBorder="1" applyAlignment="1">
      <alignment horizontal="right" vertical="center" wrapText="1"/>
    </xf>
    <xf numFmtId="0" fontId="24" fillId="0" borderId="33" xfId="0" applyFont="1" applyBorder="1" applyAlignment="1" applyProtection="1">
      <alignment horizontal="center" vertical="center" wrapText="1"/>
      <protection locked="0"/>
    </xf>
    <xf numFmtId="0" fontId="0" fillId="26" borderId="33" xfId="0" applyFill="1" applyBorder="1" applyAlignment="1">
      <alignment horizontal="center" vertical="center" wrapText="1"/>
    </xf>
    <xf numFmtId="0" fontId="0" fillId="25" borderId="34" xfId="0" applyFill="1" applyBorder="1" applyAlignment="1">
      <alignment horizontal="left" vertical="center" wrapText="1"/>
    </xf>
    <xf numFmtId="0" fontId="0" fillId="25" borderId="37" xfId="0" applyFill="1" applyBorder="1" applyAlignment="1">
      <alignment horizontal="right" vertical="center" wrapText="1"/>
    </xf>
    <xf numFmtId="0" fontId="24" fillId="0" borderId="39" xfId="0" applyFont="1" applyBorder="1" applyAlignment="1" applyProtection="1">
      <alignment horizontal="center" vertical="center" wrapText="1"/>
      <protection locked="0"/>
    </xf>
    <xf numFmtId="0" fontId="0" fillId="26" borderId="39" xfId="0" applyFill="1" applyBorder="1" applyAlignment="1">
      <alignment horizontal="center" vertical="center" wrapText="1"/>
    </xf>
    <xf numFmtId="0" fontId="0" fillId="25" borderId="65" xfId="0" applyFill="1" applyBorder="1" applyAlignment="1">
      <alignment horizontal="left" vertical="center" wrapText="1"/>
    </xf>
    <xf numFmtId="0" fontId="0" fillId="25" borderId="27" xfId="0" applyFill="1" applyBorder="1" applyAlignment="1">
      <alignment horizontal="right" vertical="center" wrapText="1"/>
    </xf>
    <xf numFmtId="0" fontId="24" fillId="0" borderId="13" xfId="0" applyFont="1" applyBorder="1" applyAlignment="1" applyProtection="1">
      <alignment horizontal="center" vertical="center" wrapText="1"/>
      <protection locked="0"/>
    </xf>
    <xf numFmtId="0" fontId="0" fillId="26" borderId="13" xfId="0" applyFill="1" applyBorder="1" applyAlignment="1">
      <alignment horizontal="center" vertical="center" wrapText="1"/>
    </xf>
    <xf numFmtId="0" fontId="0" fillId="25" borderId="25" xfId="0" applyFill="1" applyBorder="1" applyAlignment="1">
      <alignment horizontal="left" vertical="center" wrapText="1"/>
    </xf>
    <xf numFmtId="0" fontId="0" fillId="25" borderId="30" xfId="0" applyFill="1" applyBorder="1" applyAlignment="1">
      <alignment horizontal="right" vertical="center" wrapText="1"/>
    </xf>
    <xf numFmtId="0" fontId="24" fillId="0" borderId="28" xfId="0" applyFont="1" applyBorder="1" applyAlignment="1" applyProtection="1">
      <alignment horizontal="center" vertical="center" wrapText="1"/>
      <protection locked="0"/>
    </xf>
    <xf numFmtId="0" fontId="0" fillId="26" borderId="28" xfId="0" applyFill="1" applyBorder="1" applyAlignment="1">
      <alignment horizontal="center" vertical="center" wrapText="1"/>
    </xf>
    <xf numFmtId="0" fontId="0" fillId="25" borderId="44" xfId="0" applyFill="1" applyBorder="1" applyAlignment="1">
      <alignment horizontal="left" vertical="center" wrapText="1"/>
    </xf>
    <xf numFmtId="175" fontId="24" fillId="0" borderId="23" xfId="0" applyNumberFormat="1" applyFont="1" applyBorder="1" applyAlignment="1" applyProtection="1">
      <alignment horizontal="center" vertical="center"/>
      <protection locked="0"/>
    </xf>
    <xf numFmtId="0" fontId="24" fillId="0" borderId="23" xfId="0" applyFont="1" applyBorder="1" applyAlignment="1" applyProtection="1">
      <alignment horizontal="center" vertical="center"/>
      <protection locked="0"/>
    </xf>
    <xf numFmtId="175" fontId="24" fillId="0" borderId="26" xfId="0" applyNumberFormat="1" applyFont="1" applyBorder="1" applyAlignment="1" applyProtection="1">
      <alignment horizontal="center" vertical="center"/>
      <protection locked="0"/>
    </xf>
    <xf numFmtId="0" fontId="24" fillId="0" borderId="26" xfId="0" applyFont="1" applyBorder="1" applyAlignment="1" applyProtection="1">
      <alignment horizontal="center" vertical="center"/>
      <protection locked="0"/>
    </xf>
    <xf numFmtId="175" fontId="24" fillId="0" borderId="36" xfId="0" applyNumberFormat="1" applyFont="1" applyBorder="1" applyAlignment="1" applyProtection="1">
      <alignment horizontal="center" vertical="center"/>
      <protection locked="0"/>
    </xf>
    <xf numFmtId="0" fontId="24" fillId="0" borderId="36" xfId="0" applyFont="1" applyBorder="1" applyAlignment="1" applyProtection="1">
      <alignment horizontal="center" vertical="center"/>
      <protection locked="0"/>
    </xf>
    <xf numFmtId="0" fontId="0" fillId="24" borderId="24" xfId="0" applyFill="1" applyBorder="1" applyAlignment="1">
      <alignment horizontal="center" vertical="center"/>
    </xf>
    <xf numFmtId="0" fontId="0" fillId="25" borderId="20" xfId="0" applyFill="1" applyBorder="1" applyAlignment="1">
      <alignment vertical="center"/>
    </xf>
    <xf numFmtId="0" fontId="0" fillId="25" borderId="21" xfId="0" applyFill="1" applyBorder="1" applyAlignment="1">
      <alignment horizontal="center" vertical="center"/>
    </xf>
    <xf numFmtId="166" fontId="0" fillId="25" borderId="22" xfId="0" applyNumberFormat="1" applyFill="1" applyBorder="1" applyAlignment="1">
      <alignment horizontal="center" vertical="center"/>
    </xf>
    <xf numFmtId="0" fontId="0" fillId="24" borderId="26" xfId="0" applyFill="1" applyBorder="1" applyAlignment="1">
      <alignment horizontal="center" vertical="center"/>
    </xf>
    <xf numFmtId="0" fontId="0" fillId="25" borderId="27" xfId="0" applyFill="1" applyBorder="1" applyAlignment="1">
      <alignment vertical="center"/>
    </xf>
    <xf numFmtId="0" fontId="0" fillId="25" borderId="13" xfId="0" applyFill="1" applyBorder="1" applyAlignment="1">
      <alignment horizontal="center" vertical="center"/>
    </xf>
    <xf numFmtId="166" fontId="0" fillId="25" borderId="25" xfId="0" applyNumberFormat="1" applyFill="1" applyBorder="1" applyAlignment="1">
      <alignment horizontal="center" vertical="center"/>
    </xf>
    <xf numFmtId="0" fontId="0" fillId="24" borderId="29" xfId="0" applyFill="1" applyBorder="1" applyAlignment="1">
      <alignment horizontal="center" vertical="center"/>
    </xf>
    <xf numFmtId="0" fontId="0" fillId="25" borderId="30" xfId="0" applyFill="1" applyBorder="1" applyAlignment="1">
      <alignment vertical="center"/>
    </xf>
    <xf numFmtId="0" fontId="0" fillId="25" borderId="28" xfId="0" applyFill="1" applyBorder="1" applyAlignment="1">
      <alignment horizontal="center" vertical="center"/>
    </xf>
    <xf numFmtId="166" fontId="0" fillId="25" borderId="44" xfId="0" applyNumberFormat="1" applyFill="1" applyBorder="1" applyAlignment="1">
      <alignment horizontal="center" vertical="center"/>
    </xf>
    <xf numFmtId="0" fontId="7" fillId="34" borderId="106" xfId="0" applyFont="1" applyFill="1" applyBorder="1" applyAlignment="1">
      <alignment horizontal="center" vertical="center"/>
    </xf>
    <xf numFmtId="0" fontId="7" fillId="34" borderId="107" xfId="0" applyFont="1" applyFill="1" applyBorder="1" applyAlignment="1">
      <alignment horizontal="center" vertical="center"/>
    </xf>
    <xf numFmtId="0" fontId="7" fillId="34" borderId="108" xfId="0" applyFont="1" applyFill="1" applyBorder="1" applyAlignment="1">
      <alignment horizontal="center" vertical="center"/>
    </xf>
    <xf numFmtId="0" fontId="7" fillId="34" borderId="109" xfId="0" applyFont="1" applyFill="1" applyBorder="1" applyAlignment="1">
      <alignment horizontal="center" vertical="center"/>
    </xf>
    <xf numFmtId="0" fontId="7" fillId="34" borderId="110" xfId="0" applyFont="1" applyFill="1" applyBorder="1" applyAlignment="1">
      <alignment horizontal="center" vertical="center"/>
    </xf>
    <xf numFmtId="0" fontId="7" fillId="34" borderId="111" xfId="0" applyFont="1" applyFill="1" applyBorder="1" applyAlignment="1">
      <alignment horizontal="center" vertical="center"/>
    </xf>
    <xf numFmtId="0" fontId="7" fillId="34" borderId="112" xfId="0" applyFont="1" applyFill="1" applyBorder="1" applyAlignment="1">
      <alignment horizontal="center" vertical="center"/>
    </xf>
    <xf numFmtId="0" fontId="7" fillId="34" borderId="113" xfId="0" applyFont="1" applyFill="1" applyBorder="1" applyAlignment="1">
      <alignment horizontal="center" vertical="center"/>
    </xf>
    <xf numFmtId="0" fontId="7" fillId="34" borderId="114" xfId="0" applyFont="1" applyFill="1" applyBorder="1" applyAlignment="1">
      <alignment horizontal="center" vertical="center"/>
    </xf>
    <xf numFmtId="0" fontId="0" fillId="24" borderId="23" xfId="0" applyFill="1" applyBorder="1" applyAlignment="1">
      <alignment horizontal="center" vertical="center"/>
    </xf>
    <xf numFmtId="0" fontId="0" fillId="25" borderId="35" xfId="0" applyFill="1" applyBorder="1" applyAlignment="1">
      <alignment vertical="center"/>
    </xf>
    <xf numFmtId="0" fontId="0" fillId="25" borderId="33" xfId="0" applyFill="1" applyBorder="1" applyAlignment="1">
      <alignment horizontal="center" vertical="center"/>
    </xf>
    <xf numFmtId="166" fontId="0" fillId="25" borderId="34" xfId="0" applyNumberFormat="1" applyFill="1" applyBorder="1" applyAlignment="1">
      <alignment horizontal="center" vertical="center"/>
    </xf>
    <xf numFmtId="0" fontId="0" fillId="24" borderId="36" xfId="0" applyFill="1" applyBorder="1" applyAlignment="1">
      <alignment horizontal="center" vertical="center"/>
    </xf>
    <xf numFmtId="0" fontId="0" fillId="25" borderId="37" xfId="0" applyFill="1" applyBorder="1" applyAlignment="1">
      <alignment vertical="center"/>
    </xf>
    <xf numFmtId="0" fontId="0" fillId="25" borderId="39" xfId="0" applyFill="1" applyBorder="1" applyAlignment="1">
      <alignment horizontal="center" vertical="center"/>
    </xf>
    <xf numFmtId="166" fontId="0" fillId="25" borderId="65" xfId="0" applyNumberFormat="1" applyFill="1" applyBorder="1" applyAlignment="1">
      <alignment horizontal="center" vertical="center"/>
    </xf>
    <xf numFmtId="0" fontId="0" fillId="24" borderId="20" xfId="0" applyFill="1" applyBorder="1" applyAlignment="1">
      <alignment horizontal="center" vertical="center"/>
    </xf>
    <xf numFmtId="0" fontId="0" fillId="25" borderId="21" xfId="0" applyFill="1" applyBorder="1" applyAlignment="1">
      <alignment vertical="center"/>
    </xf>
    <xf numFmtId="0" fontId="0" fillId="24" borderId="27" xfId="0" applyFill="1" applyBorder="1" applyAlignment="1">
      <alignment horizontal="center" vertical="center"/>
    </xf>
    <xf numFmtId="0" fontId="0" fillId="25" borderId="13" xfId="0" applyFill="1" applyBorder="1" applyAlignment="1">
      <alignment vertical="center"/>
    </xf>
    <xf numFmtId="0" fontId="0" fillId="24" borderId="30" xfId="0" applyFill="1" applyBorder="1" applyAlignment="1">
      <alignment horizontal="center" vertical="center"/>
    </xf>
    <xf numFmtId="0" fontId="0" fillId="25" borderId="28" xfId="0" applyFill="1" applyBorder="1" applyAlignment="1">
      <alignment vertical="center"/>
    </xf>
    <xf numFmtId="0" fontId="0" fillId="25" borderId="115" xfId="0" applyFill="1" applyBorder="1" applyAlignment="1">
      <alignment horizontal="center" vertical="center"/>
    </xf>
    <xf numFmtId="0" fontId="0" fillId="25" borderId="9" xfId="0" applyFill="1" applyBorder="1" applyAlignment="1">
      <alignment horizontal="center" vertical="center"/>
    </xf>
    <xf numFmtId="0" fontId="0" fillId="25" borderId="32" xfId="0" applyFill="1" applyBorder="1" applyAlignment="1">
      <alignment horizontal="center" vertical="center"/>
    </xf>
    <xf numFmtId="0" fontId="0" fillId="24" borderId="38" xfId="0" applyFill="1" applyBorder="1" applyAlignment="1">
      <alignment horizontal="center" vertical="center"/>
    </xf>
    <xf numFmtId="0" fontId="7" fillId="34" borderId="116" xfId="0" applyFont="1" applyFill="1" applyBorder="1" applyAlignment="1">
      <alignment horizontal="center" vertical="center"/>
    </xf>
    <xf numFmtId="0" fontId="0" fillId="24" borderId="42" xfId="0" applyFill="1" applyBorder="1" applyAlignment="1">
      <alignment horizontal="center" vertical="center"/>
    </xf>
    <xf numFmtId="0" fontId="7" fillId="34" borderId="117" xfId="0" applyFont="1" applyFill="1" applyBorder="1" applyAlignment="1">
      <alignment horizontal="center" vertical="center"/>
    </xf>
    <xf numFmtId="0" fontId="0" fillId="24" borderId="45" xfId="0" applyFill="1" applyBorder="1" applyAlignment="1">
      <alignment horizontal="center" vertical="center"/>
    </xf>
    <xf numFmtId="0" fontId="7" fillId="34" borderId="118" xfId="0" applyFont="1" applyFill="1" applyBorder="1" applyAlignment="1">
      <alignment horizontal="center" vertical="center"/>
    </xf>
    <xf numFmtId="0" fontId="47" fillId="0" borderId="20" xfId="0" applyFont="1" applyBorder="1" applyAlignment="1">
      <alignment horizontal="center" vertical="center"/>
    </xf>
    <xf numFmtId="167" fontId="47" fillId="0" borderId="21" xfId="0" applyNumberFormat="1" applyFont="1" applyBorder="1" applyAlignment="1">
      <alignment vertical="center"/>
    </xf>
    <xf numFmtId="167" fontId="47" fillId="0" borderId="22" xfId="0" applyNumberFormat="1" applyFont="1" applyBorder="1" applyAlignment="1">
      <alignment vertical="center"/>
    </xf>
    <xf numFmtId="0" fontId="24" fillId="0" borderId="18" xfId="0" applyFont="1" applyBorder="1" applyAlignment="1" applyProtection="1">
      <alignment horizontal="center" vertical="center"/>
      <protection locked="0"/>
    </xf>
    <xf numFmtId="175" fontId="24" fillId="0" borderId="24" xfId="0" applyNumberFormat="1" applyFont="1" applyBorder="1" applyAlignment="1" applyProtection="1">
      <alignment horizontal="center" vertical="center"/>
      <protection locked="0"/>
    </xf>
    <xf numFmtId="0" fontId="24" fillId="0" borderId="24" xfId="0" applyFont="1" applyBorder="1" applyAlignment="1" applyProtection="1">
      <alignment horizontal="center" vertical="center"/>
      <protection locked="0"/>
    </xf>
    <xf numFmtId="0" fontId="47" fillId="0" borderId="35" xfId="0" applyFont="1" applyBorder="1" applyAlignment="1">
      <alignment horizontal="center" vertical="center"/>
    </xf>
    <xf numFmtId="0" fontId="47" fillId="0" borderId="33" xfId="0" applyFont="1" applyBorder="1" applyAlignment="1">
      <alignment vertical="center"/>
    </xf>
    <xf numFmtId="166" fontId="47" fillId="0" borderId="34" xfId="0" applyNumberFormat="1" applyFont="1" applyBorder="1" applyAlignment="1">
      <alignment vertical="center"/>
    </xf>
    <xf numFmtId="0" fontId="54" fillId="0" borderId="0" xfId="0" applyFont="1" applyAlignment="1">
      <alignment horizontal="right" vertical="center"/>
    </xf>
    <xf numFmtId="0" fontId="47" fillId="0" borderId="0" xfId="0" applyFont="1" applyAlignment="1">
      <alignment vertical="center"/>
    </xf>
    <xf numFmtId="0" fontId="47" fillId="0" borderId="27" xfId="0" applyFont="1" applyBorder="1" applyAlignment="1">
      <alignment horizontal="center" vertical="center"/>
    </xf>
    <xf numFmtId="167" fontId="47" fillId="0" borderId="13" xfId="0" applyNumberFormat="1" applyFont="1" applyBorder="1" applyAlignment="1">
      <alignment vertical="center"/>
    </xf>
    <xf numFmtId="167" fontId="47" fillId="0" borderId="25" xfId="0" applyNumberFormat="1" applyFont="1" applyBorder="1" applyAlignment="1">
      <alignment vertical="center"/>
    </xf>
    <xf numFmtId="0" fontId="47" fillId="0" borderId="13" xfId="0" applyFont="1" applyBorder="1" applyAlignment="1">
      <alignment vertical="center"/>
    </xf>
    <xf numFmtId="166" fontId="47" fillId="0" borderId="25" xfId="0" applyNumberFormat="1" applyFont="1" applyBorder="1" applyAlignment="1">
      <alignment vertical="center"/>
    </xf>
    <xf numFmtId="0" fontId="47" fillId="0" borderId="30" xfId="0" applyFont="1" applyBorder="1" applyAlignment="1">
      <alignment horizontal="center" vertical="center"/>
    </xf>
    <xf numFmtId="167" fontId="47" fillId="0" borderId="28" xfId="0" applyNumberFormat="1" applyFont="1" applyBorder="1" applyAlignment="1">
      <alignment vertical="center"/>
    </xf>
    <xf numFmtId="167" fontId="47" fillId="0" borderId="44" xfId="0" applyNumberFormat="1" applyFont="1" applyBorder="1" applyAlignment="1">
      <alignment vertical="center"/>
    </xf>
    <xf numFmtId="175" fontId="24" fillId="0" borderId="29" xfId="0" applyNumberFormat="1" applyFont="1" applyBorder="1" applyAlignment="1" applyProtection="1">
      <alignment horizontal="center" vertical="center"/>
      <protection locked="0"/>
    </xf>
    <xf numFmtId="0" fontId="24" fillId="0" borderId="29" xfId="0" applyFont="1" applyBorder="1" applyAlignment="1" applyProtection="1">
      <alignment horizontal="center" vertical="center"/>
      <protection locked="0"/>
    </xf>
    <xf numFmtId="0" fontId="47" fillId="0" borderId="28" xfId="0" applyFont="1" applyBorder="1" applyAlignment="1">
      <alignment vertical="center"/>
    </xf>
    <xf numFmtId="166" fontId="47" fillId="0" borderId="44" xfId="0" applyNumberFormat="1" applyFont="1" applyBorder="1" applyAlignment="1">
      <alignment vertical="center"/>
    </xf>
    <xf numFmtId="0" fontId="47" fillId="0" borderId="31" xfId="0" applyFont="1" applyBorder="1" applyAlignment="1">
      <alignment horizontal="center" vertical="center"/>
    </xf>
    <xf numFmtId="0" fontId="47" fillId="0" borderId="9" xfId="0" applyFont="1" applyBorder="1" applyAlignment="1">
      <alignment horizontal="center" vertical="center"/>
    </xf>
    <xf numFmtId="0" fontId="47" fillId="0" borderId="32" xfId="0" applyFont="1" applyBorder="1" applyAlignment="1">
      <alignment horizontal="center" vertical="center"/>
    </xf>
    <xf numFmtId="0" fontId="7" fillId="0" borderId="0" xfId="0" applyFont="1" applyAlignment="1">
      <alignment vertical="center"/>
    </xf>
    <xf numFmtId="0" fontId="0" fillId="0" borderId="35" xfId="0" applyBorder="1" applyAlignment="1">
      <alignment horizontal="center" vertical="center"/>
    </xf>
    <xf numFmtId="0" fontId="0" fillId="0" borderId="33" xfId="0" applyBorder="1" applyAlignment="1">
      <alignment vertical="center"/>
    </xf>
    <xf numFmtId="166" fontId="0" fillId="0" borderId="34" xfId="0" applyNumberFormat="1" applyBorder="1" applyAlignment="1">
      <alignment vertical="center"/>
    </xf>
    <xf numFmtId="0" fontId="0" fillId="0" borderId="27" xfId="0" applyBorder="1" applyAlignment="1">
      <alignment horizontal="center" vertical="center"/>
    </xf>
    <xf numFmtId="0" fontId="0" fillId="0" borderId="13" xfId="0" applyBorder="1" applyAlignment="1">
      <alignment vertical="center"/>
    </xf>
    <xf numFmtId="166" fontId="0" fillId="0" borderId="25" xfId="0" applyNumberFormat="1" applyBorder="1" applyAlignment="1">
      <alignment vertical="center"/>
    </xf>
    <xf numFmtId="0" fontId="0" fillId="0" borderId="30" xfId="0" applyBorder="1" applyAlignment="1">
      <alignment horizontal="center" vertical="center"/>
    </xf>
    <xf numFmtId="0" fontId="0" fillId="0" borderId="28" xfId="0" applyBorder="1" applyAlignment="1">
      <alignment vertical="center"/>
    </xf>
    <xf numFmtId="166" fontId="0" fillId="0" borderId="44" xfId="0" applyNumberFormat="1" applyBorder="1" applyAlignment="1">
      <alignment vertical="center"/>
    </xf>
    <xf numFmtId="0" fontId="47" fillId="0" borderId="37" xfId="0" applyFont="1" applyBorder="1" applyAlignment="1">
      <alignment horizontal="center" vertical="center"/>
    </xf>
    <xf numFmtId="0" fontId="47" fillId="0" borderId="39" xfId="0" applyFont="1" applyBorder="1" applyAlignment="1">
      <alignment vertical="center"/>
    </xf>
    <xf numFmtId="166" fontId="47" fillId="0" borderId="65" xfId="0" applyNumberFormat="1" applyFont="1" applyBorder="1" applyAlignment="1">
      <alignment vertical="center"/>
    </xf>
    <xf numFmtId="0" fontId="0" fillId="24" borderId="61" xfId="0" applyFill="1" applyBorder="1" applyAlignment="1">
      <alignment horizontal="center" vertical="center"/>
    </xf>
    <xf numFmtId="0" fontId="34" fillId="0" borderId="0" xfId="0" applyFont="1" applyAlignment="1">
      <alignment vertical="center"/>
    </xf>
    <xf numFmtId="20" fontId="34" fillId="0" borderId="13" xfId="0" applyNumberFormat="1" applyFont="1" applyBorder="1" applyAlignment="1">
      <alignment horizontal="center" vertical="center"/>
    </xf>
    <xf numFmtId="0" fontId="36" fillId="0" borderId="13" xfId="0" applyFont="1" applyBorder="1" applyAlignment="1">
      <alignment horizontal="center" vertical="center"/>
    </xf>
    <xf numFmtId="0" fontId="36" fillId="0" borderId="13" xfId="0" applyFont="1" applyBorder="1" applyAlignment="1">
      <alignment vertical="center"/>
    </xf>
    <xf numFmtId="0" fontId="34" fillId="0" borderId="119" xfId="0" applyFont="1" applyBorder="1" applyAlignment="1">
      <alignment horizontal="center" vertical="center"/>
    </xf>
    <xf numFmtId="0" fontId="34" fillId="26" borderId="39" xfId="0" applyFont="1" applyFill="1" applyBorder="1" applyAlignment="1">
      <alignment horizontal="center" vertical="center"/>
    </xf>
    <xf numFmtId="0" fontId="34" fillId="0" borderId="65" xfId="0" applyFont="1" applyBorder="1" applyAlignment="1">
      <alignment horizontal="center" vertical="center"/>
    </xf>
    <xf numFmtId="0" fontId="34" fillId="0" borderId="10" xfId="0" applyFont="1" applyBorder="1" applyAlignment="1">
      <alignment horizontal="center" vertical="center"/>
    </xf>
    <xf numFmtId="0" fontId="34" fillId="0" borderId="37" xfId="0" applyFont="1" applyBorder="1" applyAlignment="1">
      <alignment horizontal="center" vertical="center"/>
    </xf>
    <xf numFmtId="0" fontId="43" fillId="0" borderId="0" xfId="0" applyFont="1" applyAlignment="1">
      <alignment vertical="center"/>
    </xf>
    <xf numFmtId="0" fontId="36" fillId="0" borderId="25" xfId="0" applyFont="1" applyBorder="1" applyAlignment="1">
      <alignment vertical="center"/>
    </xf>
    <xf numFmtId="0" fontId="34" fillId="0" borderId="120" xfId="0" applyFont="1" applyBorder="1" applyAlignment="1">
      <alignment horizontal="center" vertical="center"/>
    </xf>
    <xf numFmtId="0" fontId="34" fillId="26" borderId="16" xfId="0" applyFont="1" applyFill="1" applyBorder="1" applyAlignment="1">
      <alignment horizontal="center" vertical="center"/>
    </xf>
    <xf numFmtId="0" fontId="34" fillId="0" borderId="17" xfId="0" applyFont="1" applyBorder="1" applyAlignment="1">
      <alignment horizontal="center" vertical="center"/>
    </xf>
    <xf numFmtId="0" fontId="34" fillId="0" borderId="15" xfId="0" applyFont="1" applyBorder="1" applyAlignment="1">
      <alignment horizontal="center" vertical="center"/>
    </xf>
    <xf numFmtId="0" fontId="35" fillId="34" borderId="10" xfId="0" applyFont="1" applyFill="1" applyBorder="1" applyAlignment="1">
      <alignment horizontal="center" vertical="center" wrapText="1"/>
    </xf>
    <xf numFmtId="0" fontId="28" fillId="0" borderId="10" xfId="0" applyFont="1" applyBorder="1" applyAlignment="1">
      <alignment horizontal="center" vertical="center" wrapText="1"/>
    </xf>
    <xf numFmtId="0" fontId="35" fillId="23" borderId="36" xfId="0" applyFont="1" applyFill="1" applyBorder="1" applyAlignment="1">
      <alignment horizontal="center" vertical="center"/>
    </xf>
    <xf numFmtId="0" fontId="28" fillId="23" borderId="36" xfId="0" applyFont="1" applyFill="1" applyBorder="1" applyAlignment="1">
      <alignment horizontal="center" vertical="center"/>
    </xf>
    <xf numFmtId="0" fontId="35" fillId="23" borderId="59" xfId="0" applyFont="1" applyFill="1" applyBorder="1" applyAlignment="1">
      <alignment horizontal="center" vertical="center"/>
    </xf>
    <xf numFmtId="0" fontId="35" fillId="23" borderId="56" xfId="0" applyFont="1" applyFill="1" applyBorder="1" applyAlignment="1">
      <alignment horizontal="center" vertical="center"/>
    </xf>
    <xf numFmtId="0" fontId="64" fillId="0" borderId="0" xfId="0" applyFont="1" applyAlignment="1">
      <alignment vertical="center"/>
    </xf>
    <xf numFmtId="20" fontId="0" fillId="0" borderId="24" xfId="0" applyNumberFormat="1" applyBorder="1" applyAlignment="1">
      <alignment horizontal="center" vertical="center" wrapText="1"/>
    </xf>
    <xf numFmtId="0" fontId="24" fillId="39" borderId="24" xfId="0" applyFont="1" applyFill="1" applyBorder="1" applyAlignment="1">
      <alignment horizontal="center" vertical="center" wrapText="1"/>
    </xf>
    <xf numFmtId="20" fontId="0" fillId="0" borderId="26" xfId="0" applyNumberFormat="1" applyBorder="1" applyAlignment="1">
      <alignment horizontal="center" vertical="center" wrapText="1"/>
    </xf>
    <xf numFmtId="0" fontId="24" fillId="39" borderId="26" xfId="0" applyFont="1" applyFill="1" applyBorder="1" applyAlignment="1">
      <alignment horizontal="center" vertical="center" wrapText="1"/>
    </xf>
    <xf numFmtId="20" fontId="0" fillId="0" borderId="29" xfId="0" applyNumberFormat="1" applyBorder="1" applyAlignment="1">
      <alignment horizontal="center" vertical="center" wrapText="1"/>
    </xf>
    <xf numFmtId="0" fontId="24" fillId="39" borderId="29" xfId="0" applyFont="1" applyFill="1" applyBorder="1" applyAlignment="1">
      <alignment horizontal="center" vertical="center" wrapText="1"/>
    </xf>
    <xf numFmtId="0" fontId="24" fillId="0" borderId="24" xfId="0" applyFont="1" applyBorder="1" applyAlignment="1">
      <alignment horizontal="center" vertical="center" wrapText="1"/>
    </xf>
    <xf numFmtId="0" fontId="24" fillId="0" borderId="26" xfId="0" applyFont="1" applyBorder="1" applyAlignment="1">
      <alignment horizontal="center" vertical="center" wrapText="1"/>
    </xf>
    <xf numFmtId="0" fontId="24" fillId="0" borderId="29" xfId="0" applyFont="1" applyBorder="1" applyAlignment="1">
      <alignment horizontal="center" vertical="center" wrapText="1"/>
    </xf>
    <xf numFmtId="20" fontId="0" fillId="0" borderId="23" xfId="0" applyNumberFormat="1" applyBorder="1" applyAlignment="1">
      <alignment horizontal="center" vertical="center" wrapText="1"/>
    </xf>
    <xf numFmtId="0" fontId="24" fillId="0" borderId="23" xfId="0" applyFont="1" applyBorder="1" applyAlignment="1">
      <alignment horizontal="center" vertical="center" wrapText="1"/>
    </xf>
    <xf numFmtId="20" fontId="0" fillId="0" borderId="121" xfId="0" applyNumberFormat="1" applyBorder="1" applyAlignment="1">
      <alignment horizontal="center" vertical="center" wrapText="1"/>
    </xf>
    <xf numFmtId="0" fontId="24" fillId="0" borderId="121" xfId="0" applyFont="1" applyBorder="1" applyAlignment="1">
      <alignment horizontal="center" vertical="center" wrapText="1"/>
    </xf>
    <xf numFmtId="20" fontId="0" fillId="0" borderId="10" xfId="0" applyNumberFormat="1" applyBorder="1" applyAlignment="1">
      <alignment horizontal="center" vertical="center" wrapText="1"/>
    </xf>
    <xf numFmtId="0" fontId="24" fillId="0" borderId="10" xfId="0" applyFont="1" applyBorder="1" applyAlignment="1">
      <alignment horizontal="center" vertical="center" wrapText="1"/>
    </xf>
    <xf numFmtId="0" fontId="24" fillId="0" borderId="0" xfId="0" applyFont="1" applyAlignment="1" applyProtection="1">
      <alignment horizontal="center" vertical="center"/>
      <protection locked="0"/>
    </xf>
    <xf numFmtId="0" fontId="0" fillId="0" borderId="27" xfId="0" applyBorder="1" applyAlignment="1">
      <alignment horizontal="right" vertical="center" wrapText="1"/>
    </xf>
    <xf numFmtId="0" fontId="71" fillId="0" borderId="0" xfId="0" applyFont="1" applyAlignment="1">
      <alignment vertical="center"/>
    </xf>
    <xf numFmtId="0" fontId="22" fillId="0" borderId="0" xfId="0" applyFont="1" applyAlignment="1">
      <alignment horizontal="center" vertical="center"/>
    </xf>
    <xf numFmtId="0" fontId="22" fillId="23" borderId="10" xfId="0" applyFont="1" applyFill="1" applyBorder="1" applyAlignment="1">
      <alignment horizontal="center" vertical="center"/>
    </xf>
    <xf numFmtId="0" fontId="0" fillId="0" borderId="30" xfId="0" applyBorder="1" applyAlignment="1">
      <alignment horizontal="right" vertical="center" wrapText="1"/>
    </xf>
    <xf numFmtId="0" fontId="7" fillId="0" borderId="0" xfId="0" applyFont="1" applyAlignment="1">
      <alignment horizontal="right" vertical="center"/>
    </xf>
    <xf numFmtId="0" fontId="7" fillId="39" borderId="0" xfId="0" applyFont="1" applyFill="1" applyAlignment="1">
      <alignment horizontal="right" vertical="center"/>
    </xf>
    <xf numFmtId="0" fontId="25" fillId="23" borderId="10" xfId="0" applyFont="1" applyFill="1" applyBorder="1" applyAlignment="1">
      <alignment horizontal="center" vertical="center"/>
    </xf>
    <xf numFmtId="0" fontId="48" fillId="39" borderId="0" xfId="0" applyFont="1" applyFill="1" applyAlignment="1">
      <alignment horizontal="right" vertical="center"/>
    </xf>
    <xf numFmtId="20" fontId="0" fillId="0" borderId="20" xfId="0" applyNumberFormat="1" applyBorder="1" applyAlignment="1">
      <alignment horizontal="center" vertical="center"/>
    </xf>
    <xf numFmtId="0" fontId="7" fillId="0" borderId="51" xfId="0" applyFont="1" applyBorder="1" applyAlignment="1">
      <alignment horizontal="center" vertical="center"/>
    </xf>
    <xf numFmtId="20" fontId="0" fillId="0" borderId="27" xfId="0" applyNumberFormat="1" applyBorder="1" applyAlignment="1">
      <alignment horizontal="center" vertical="center"/>
    </xf>
    <xf numFmtId="0" fontId="7" fillId="0" borderId="52" xfId="0" applyFont="1" applyBorder="1" applyAlignment="1">
      <alignment horizontal="center" vertical="center"/>
    </xf>
    <xf numFmtId="0" fontId="7" fillId="0" borderId="53" xfId="0" applyFont="1" applyBorder="1" applyAlignment="1">
      <alignment horizontal="center" vertical="center"/>
    </xf>
    <xf numFmtId="20" fontId="0" fillId="0" borderId="30" xfId="0" applyNumberFormat="1" applyBorder="1" applyAlignment="1">
      <alignment horizontal="center" vertical="center"/>
    </xf>
    <xf numFmtId="0" fontId="7" fillId="0" borderId="54" xfId="0" applyFont="1" applyBorder="1" applyAlignment="1">
      <alignment horizontal="center" vertical="center"/>
    </xf>
    <xf numFmtId="20" fontId="22" fillId="0" borderId="0" xfId="0" applyNumberFormat="1" applyFont="1" applyAlignment="1">
      <alignment horizontal="right" vertical="center"/>
    </xf>
    <xf numFmtId="20" fontId="22" fillId="0" borderId="56" xfId="0" applyNumberFormat="1" applyFont="1" applyBorder="1" applyAlignment="1">
      <alignment horizontal="right" vertical="center"/>
    </xf>
    <xf numFmtId="0" fontId="24" fillId="0" borderId="0" xfId="0" applyFont="1" applyAlignment="1">
      <alignment vertical="center"/>
    </xf>
    <xf numFmtId="0" fontId="0" fillId="0" borderId="0" xfId="0" applyAlignment="1">
      <alignment horizontal="right" vertical="center"/>
    </xf>
    <xf numFmtId="0" fontId="22" fillId="0" borderId="0" xfId="0" applyFont="1" applyAlignment="1">
      <alignment horizontal="center" vertical="center" wrapText="1"/>
    </xf>
    <xf numFmtId="0" fontId="22" fillId="34" borderId="10" xfId="0" applyFont="1" applyFill="1" applyBorder="1" applyAlignment="1">
      <alignment horizontal="center" vertical="center" wrapText="1"/>
    </xf>
    <xf numFmtId="0" fontId="7" fillId="35" borderId="15" xfId="0" applyFont="1" applyFill="1" applyBorder="1" applyAlignment="1">
      <alignment horizontal="center" vertical="center" wrapText="1"/>
    </xf>
    <xf numFmtId="0" fontId="0" fillId="26" borderId="16" xfId="0" applyFill="1" applyBorder="1" applyAlignment="1">
      <alignment horizontal="center" vertical="center" wrapText="1"/>
    </xf>
    <xf numFmtId="0" fontId="7" fillId="35" borderId="17" xfId="0" applyFont="1" applyFill="1" applyBorder="1" applyAlignment="1">
      <alignment horizontal="center" vertical="center" wrapText="1"/>
    </xf>
    <xf numFmtId="0" fontId="25" fillId="0" borderId="0" xfId="0" quotePrefix="1" applyFont="1" applyAlignment="1">
      <alignment horizontal="right" vertical="center" wrapText="1"/>
    </xf>
    <xf numFmtId="0" fontId="7" fillId="0" borderId="10" xfId="0" applyFont="1" applyBorder="1" applyAlignment="1">
      <alignment horizontal="center" vertical="center" wrapText="1"/>
    </xf>
    <xf numFmtId="0" fontId="25" fillId="0" borderId="0" xfId="0" applyFont="1" applyAlignment="1">
      <alignment horizontal="right" vertical="center" wrapText="1"/>
    </xf>
    <xf numFmtId="0" fontId="24" fillId="0" borderId="21" xfId="0" applyFont="1" applyBorder="1" applyAlignment="1">
      <alignment horizontal="center" vertical="center" wrapText="1"/>
    </xf>
    <xf numFmtId="0" fontId="24" fillId="0" borderId="22" xfId="0" applyFont="1" applyBorder="1" applyAlignment="1">
      <alignment vertical="center" wrapText="1"/>
    </xf>
    <xf numFmtId="0" fontId="0" fillId="0" borderId="20" xfId="0" applyBorder="1" applyAlignment="1">
      <alignment horizontal="right" vertical="center" wrapText="1"/>
    </xf>
    <xf numFmtId="0" fontId="24" fillId="0" borderId="13" xfId="0" applyFont="1" applyBorder="1" applyAlignment="1">
      <alignment horizontal="center" vertical="center" wrapText="1"/>
    </xf>
    <xf numFmtId="0" fontId="24" fillId="0" borderId="25" xfId="0" applyFont="1" applyBorder="1" applyAlignment="1">
      <alignment vertical="center" wrapText="1"/>
    </xf>
    <xf numFmtId="0" fontId="24" fillId="0" borderId="28" xfId="0" applyFont="1" applyBorder="1" applyAlignment="1">
      <alignment horizontal="center" vertical="center" wrapText="1"/>
    </xf>
    <xf numFmtId="0" fontId="24" fillId="0" borderId="44" xfId="0" applyFont="1" applyBorder="1" applyAlignment="1">
      <alignment vertical="center" wrapText="1"/>
    </xf>
    <xf numFmtId="0" fontId="24" fillId="0" borderId="61" xfId="0" applyFont="1" applyBorder="1" applyAlignment="1">
      <alignment vertical="center" wrapText="1"/>
    </xf>
    <xf numFmtId="0" fontId="0" fillId="0" borderId="37" xfId="0" applyBorder="1" applyAlignment="1">
      <alignment horizontal="right" vertical="center" wrapText="1"/>
    </xf>
    <xf numFmtId="20" fontId="22" fillId="0" borderId="0" xfId="0" applyNumberFormat="1" applyFont="1" applyAlignment="1">
      <alignment horizontal="right" vertical="center" wrapText="1"/>
    </xf>
    <xf numFmtId="0" fontId="24" fillId="0" borderId="60" xfId="0" applyFont="1" applyBorder="1" applyAlignment="1">
      <alignment horizontal="right" vertical="center" wrapText="1"/>
    </xf>
    <xf numFmtId="0" fontId="0" fillId="0" borderId="19" xfId="0" applyBorder="1" applyAlignment="1">
      <alignment horizontal="center" vertical="center" wrapText="1"/>
    </xf>
    <xf numFmtId="0" fontId="24" fillId="0" borderId="56" xfId="0" applyFont="1" applyBorder="1" applyAlignment="1">
      <alignment horizontal="right" vertical="center" wrapText="1"/>
    </xf>
    <xf numFmtId="0" fontId="0" fillId="0" borderId="122" xfId="0" applyBorder="1" applyAlignment="1">
      <alignment horizontal="center" vertical="center" wrapText="1"/>
    </xf>
    <xf numFmtId="0" fontId="25" fillId="47" borderId="57" xfId="0" applyFont="1" applyFill="1" applyBorder="1" applyAlignment="1">
      <alignment horizontal="centerContinuous" vertical="center"/>
    </xf>
    <xf numFmtId="0" fontId="0" fillId="47" borderId="63" xfId="0" applyFill="1" applyBorder="1" applyAlignment="1">
      <alignment horizontal="centerContinuous" vertical="center"/>
    </xf>
    <xf numFmtId="0" fontId="0" fillId="47" borderId="64" xfId="0" applyFill="1" applyBorder="1" applyAlignment="1">
      <alignment horizontal="centerContinuous" vertical="center"/>
    </xf>
    <xf numFmtId="0" fontId="22" fillId="29" borderId="10" xfId="0" applyFont="1" applyFill="1" applyBorder="1" applyAlignment="1">
      <alignment horizontal="center" vertical="center" wrapText="1"/>
    </xf>
    <xf numFmtId="0" fontId="22" fillId="30" borderId="10" xfId="0" applyFont="1" applyFill="1" applyBorder="1" applyAlignment="1">
      <alignment horizontal="center" vertical="center" wrapText="1"/>
    </xf>
    <xf numFmtId="0" fontId="22" fillId="31" borderId="10" xfId="0" applyFont="1" applyFill="1" applyBorder="1" applyAlignment="1">
      <alignment horizontal="center" vertical="center" wrapText="1"/>
    </xf>
    <xf numFmtId="0" fontId="22" fillId="32" borderId="10" xfId="0" applyFont="1" applyFill="1" applyBorder="1" applyAlignment="1">
      <alignment horizontal="center" vertical="center" wrapText="1"/>
    </xf>
    <xf numFmtId="0" fontId="22" fillId="32" borderId="64" xfId="0" applyFont="1" applyFill="1" applyBorder="1" applyAlignment="1">
      <alignment horizontal="center" vertical="center" wrapText="1"/>
    </xf>
    <xf numFmtId="0" fontId="0" fillId="0" borderId="0" xfId="0" applyAlignment="1">
      <alignment horizontal="center" vertical="center" wrapText="1"/>
    </xf>
    <xf numFmtId="0" fontId="22" fillId="48" borderId="0" xfId="0" applyFont="1" applyFill="1" applyAlignment="1">
      <alignment horizontal="center" vertical="center"/>
    </xf>
    <xf numFmtId="0" fontId="22" fillId="48" borderId="67" xfId="0" applyFont="1" applyFill="1" applyBorder="1" applyAlignment="1">
      <alignment horizontal="center" vertical="center" wrapText="1"/>
    </xf>
    <xf numFmtId="0" fontId="7" fillId="48" borderId="0" xfId="0" applyFont="1" applyFill="1" applyAlignment="1">
      <alignment horizontal="center" vertical="center"/>
    </xf>
    <xf numFmtId="0" fontId="22" fillId="49" borderId="33" xfId="0" applyFont="1" applyFill="1" applyBorder="1" applyAlignment="1">
      <alignment horizontal="center" vertical="center" wrapText="1"/>
    </xf>
    <xf numFmtId="0" fontId="26" fillId="40" borderId="0" xfId="0" applyFont="1" applyFill="1" applyAlignment="1">
      <alignment horizontal="center" vertical="center"/>
    </xf>
    <xf numFmtId="0" fontId="50" fillId="40" borderId="0" xfId="0" applyFont="1" applyFill="1" applyAlignment="1">
      <alignment horizontal="left" vertical="center"/>
    </xf>
    <xf numFmtId="0" fontId="26" fillId="40" borderId="48" xfId="0" applyFont="1" applyFill="1" applyBorder="1" applyAlignment="1">
      <alignment horizontal="center" vertical="center"/>
    </xf>
    <xf numFmtId="0" fontId="7" fillId="40" borderId="0" xfId="0" applyFont="1" applyFill="1" applyAlignment="1">
      <alignment vertical="center"/>
    </xf>
    <xf numFmtId="0" fontId="25" fillId="0" borderId="13" xfId="0" applyFont="1" applyBorder="1" applyAlignment="1" applyProtection="1">
      <alignment horizontal="center" vertical="center"/>
      <protection locked="0"/>
    </xf>
    <xf numFmtId="0" fontId="28" fillId="40" borderId="0" xfId="0" applyFont="1" applyFill="1" applyAlignment="1">
      <alignment horizontal="right" vertical="center"/>
    </xf>
    <xf numFmtId="0" fontId="87" fillId="49" borderId="33" xfId="0" applyFont="1" applyFill="1" applyBorder="1" applyAlignment="1">
      <alignment horizontal="center" vertical="center" wrapText="1"/>
    </xf>
    <xf numFmtId="0" fontId="87" fillId="40" borderId="0" xfId="0" applyFont="1" applyFill="1" applyAlignment="1">
      <alignment horizontal="center" vertical="center"/>
    </xf>
    <xf numFmtId="0" fontId="27" fillId="48" borderId="0" xfId="0" applyFont="1" applyFill="1" applyAlignment="1">
      <alignment horizontal="center" vertical="center"/>
    </xf>
    <xf numFmtId="0" fontId="22" fillId="50" borderId="13" xfId="0" applyFont="1" applyFill="1" applyBorder="1" applyAlignment="1">
      <alignment horizontal="center" vertical="center"/>
    </xf>
    <xf numFmtId="0" fontId="87" fillId="40" borderId="62" xfId="0" applyFont="1" applyFill="1" applyBorder="1" applyAlignment="1">
      <alignment horizontal="center" vertical="center"/>
    </xf>
    <xf numFmtId="0" fontId="22" fillId="48" borderId="62" xfId="0" applyFont="1" applyFill="1" applyBorder="1" applyAlignment="1">
      <alignment horizontal="center" vertical="center"/>
    </xf>
    <xf numFmtId="0" fontId="7" fillId="49" borderId="202" xfId="0" applyFont="1" applyFill="1" applyBorder="1" applyAlignment="1">
      <alignment horizontal="center" vertical="center"/>
    </xf>
    <xf numFmtId="0" fontId="25" fillId="0" borderId="203" xfId="0" applyFont="1" applyBorder="1" applyAlignment="1" applyProtection="1">
      <alignment horizontal="center" vertical="center"/>
      <protection locked="0"/>
    </xf>
    <xf numFmtId="0" fontId="28" fillId="47" borderId="123" xfId="0" quotePrefix="1" applyFont="1" applyFill="1" applyBorder="1" applyAlignment="1">
      <alignment vertical="center" wrapText="1"/>
    </xf>
    <xf numFmtId="0" fontId="28" fillId="47" borderId="123" xfId="0" applyFont="1" applyFill="1" applyBorder="1" applyAlignment="1">
      <alignment vertical="center" wrapText="1"/>
    </xf>
    <xf numFmtId="0" fontId="28" fillId="47" borderId="124" xfId="0" applyFont="1" applyFill="1" applyBorder="1" applyAlignment="1">
      <alignment vertical="center" wrapText="1"/>
    </xf>
    <xf numFmtId="0" fontId="34" fillId="51" borderId="125" xfId="0" applyFont="1" applyFill="1" applyBorder="1" applyAlignment="1">
      <alignment vertical="center"/>
    </xf>
    <xf numFmtId="0" fontId="34" fillId="51" borderId="125" xfId="0" applyFont="1" applyFill="1" applyBorder="1" applyAlignment="1">
      <alignment horizontal="center" vertical="center"/>
    </xf>
    <xf numFmtId="0" fontId="34" fillId="0" borderId="126" xfId="0" applyFont="1" applyBorder="1" applyAlignment="1" applyProtection="1">
      <alignment vertical="center"/>
      <protection locked="0"/>
    </xf>
    <xf numFmtId="0" fontId="34" fillId="0" borderId="127" xfId="0" applyFont="1" applyBorder="1" applyAlignment="1" applyProtection="1">
      <alignment horizontal="center" vertical="center"/>
      <protection locked="0"/>
    </xf>
    <xf numFmtId="0" fontId="34" fillId="0" borderId="125" xfId="0" applyFont="1" applyBorder="1" applyAlignment="1" applyProtection="1">
      <alignment horizontal="center" vertical="center"/>
      <protection locked="0"/>
    </xf>
    <xf numFmtId="0" fontId="34" fillId="0" borderId="126" xfId="0" applyFont="1" applyBorder="1" applyAlignment="1" applyProtection="1">
      <alignment horizontal="center" vertical="center"/>
      <protection locked="0"/>
    </xf>
    <xf numFmtId="0" fontId="34" fillId="0" borderId="0" xfId="0" applyFont="1" applyAlignment="1">
      <alignment horizontal="center" vertical="center" wrapText="1"/>
    </xf>
    <xf numFmtId="0" fontId="40" fillId="0" borderId="0" xfId="0" applyFont="1" applyAlignment="1">
      <alignment horizontal="center" vertical="center" wrapText="1"/>
    </xf>
    <xf numFmtId="0" fontId="25" fillId="0" borderId="104" xfId="0" applyFont="1" applyBorder="1" applyAlignment="1" applyProtection="1">
      <alignment horizontal="center" vertical="center"/>
      <protection locked="0"/>
    </xf>
    <xf numFmtId="0" fontId="7" fillId="49" borderId="33" xfId="0" applyFont="1" applyFill="1" applyBorder="1" applyAlignment="1">
      <alignment horizontal="right" vertical="center"/>
    </xf>
    <xf numFmtId="0" fontId="7" fillId="49" borderId="33" xfId="0" applyFont="1" applyFill="1" applyBorder="1" applyAlignment="1">
      <alignment horizontal="left" vertical="center"/>
    </xf>
    <xf numFmtId="0" fontId="22" fillId="52" borderId="204" xfId="0" applyFont="1" applyFill="1" applyBorder="1" applyAlignment="1">
      <alignment horizontal="center" vertical="center"/>
    </xf>
    <xf numFmtId="0" fontId="22" fillId="52" borderId="205" xfId="0" applyFont="1" applyFill="1" applyBorder="1" applyAlignment="1">
      <alignment horizontal="center" vertical="center"/>
    </xf>
    <xf numFmtId="0" fontId="22" fillId="52" borderId="206" xfId="0" applyFont="1" applyFill="1" applyBorder="1" applyAlignment="1">
      <alignment horizontal="center" vertical="center"/>
    </xf>
    <xf numFmtId="0" fontId="22" fillId="52" borderId="206" xfId="0" applyFont="1" applyFill="1" applyBorder="1" applyAlignment="1">
      <alignment vertical="center"/>
    </xf>
    <xf numFmtId="0" fontId="22" fillId="52" borderId="207" xfId="0" applyFont="1" applyFill="1" applyBorder="1" applyAlignment="1">
      <alignment vertical="center"/>
    </xf>
    <xf numFmtId="0" fontId="22" fillId="52" borderId="208" xfId="0" applyFont="1" applyFill="1" applyBorder="1" applyAlignment="1">
      <alignment vertical="center"/>
    </xf>
    <xf numFmtId="0" fontId="22" fillId="52" borderId="205" xfId="0" applyFont="1" applyFill="1" applyBorder="1" applyAlignment="1">
      <alignment vertical="center"/>
    </xf>
    <xf numFmtId="0" fontId="49" fillId="52" borderId="206" xfId="0" applyFont="1" applyFill="1" applyBorder="1" applyAlignment="1">
      <alignment horizontal="center" vertical="center"/>
    </xf>
    <xf numFmtId="0" fontId="25" fillId="52" borderId="209" xfId="0" applyFont="1" applyFill="1" applyBorder="1" applyAlignment="1">
      <alignment horizontal="center" vertical="center"/>
    </xf>
    <xf numFmtId="0" fontId="87" fillId="49" borderId="13" xfId="0" applyFont="1" applyFill="1" applyBorder="1" applyAlignment="1">
      <alignment horizontal="center" vertical="center" wrapText="1"/>
    </xf>
    <xf numFmtId="0" fontId="22" fillId="49" borderId="13" xfId="0" applyFont="1" applyFill="1" applyBorder="1" applyAlignment="1">
      <alignment horizontal="center" vertical="center" wrapText="1"/>
    </xf>
    <xf numFmtId="0" fontId="22" fillId="48" borderId="43" xfId="0" applyFont="1" applyFill="1" applyBorder="1" applyAlignment="1">
      <alignment horizontal="center" vertical="center" wrapText="1"/>
    </xf>
    <xf numFmtId="0" fontId="7" fillId="49" borderId="13" xfId="0" applyFont="1" applyFill="1" applyBorder="1" applyAlignment="1">
      <alignment horizontal="right" vertical="center"/>
    </xf>
    <xf numFmtId="0" fontId="7" fillId="49" borderId="13" xfId="0" applyFont="1" applyFill="1" applyBorder="1" applyAlignment="1">
      <alignment horizontal="left" vertical="center"/>
    </xf>
    <xf numFmtId="0" fontId="7" fillId="49" borderId="203" xfId="0" applyFont="1" applyFill="1" applyBorder="1" applyAlignment="1">
      <alignment horizontal="center" vertical="center"/>
    </xf>
    <xf numFmtId="0" fontId="22" fillId="48" borderId="0" xfId="0" applyFont="1" applyFill="1" applyAlignment="1">
      <alignment vertical="center"/>
    </xf>
    <xf numFmtId="0" fontId="49" fillId="48" borderId="0" xfId="0" applyFont="1" applyFill="1" applyAlignment="1">
      <alignment horizontal="center" vertical="center"/>
    </xf>
    <xf numFmtId="0" fontId="22" fillId="48" borderId="48" xfId="0" applyFont="1" applyFill="1" applyBorder="1" applyAlignment="1">
      <alignment horizontal="center" vertical="center" wrapText="1"/>
    </xf>
    <xf numFmtId="0" fontId="7" fillId="48" borderId="55" xfId="0" applyFont="1" applyFill="1" applyBorder="1" applyAlignment="1">
      <alignment horizontal="center" vertical="center"/>
    </xf>
    <xf numFmtId="0" fontId="22" fillId="48" borderId="210" xfId="0" applyFont="1" applyFill="1" applyBorder="1" applyAlignment="1">
      <alignment horizontal="center" vertical="center"/>
    </xf>
    <xf numFmtId="0" fontId="25" fillId="48" borderId="211" xfId="0" applyFont="1" applyFill="1" applyBorder="1" applyAlignment="1">
      <alignment horizontal="center" vertical="center"/>
    </xf>
    <xf numFmtId="0" fontId="24" fillId="40" borderId="43" xfId="0" applyFont="1" applyFill="1" applyBorder="1" applyAlignment="1">
      <alignment horizontal="center" vertical="center"/>
    </xf>
    <xf numFmtId="0" fontId="24" fillId="40" borderId="9" xfId="0" applyFont="1" applyFill="1" applyBorder="1" applyAlignment="1">
      <alignment horizontal="center" vertical="center"/>
    </xf>
    <xf numFmtId="0" fontId="22" fillId="40" borderId="122" xfId="0" applyFont="1" applyFill="1" applyBorder="1" applyAlignment="1">
      <alignment horizontal="center" vertical="center"/>
    </xf>
    <xf numFmtId="0" fontId="22" fillId="40" borderId="122" xfId="0" applyFont="1" applyFill="1" applyBorder="1" applyAlignment="1">
      <alignment horizontal="center"/>
    </xf>
    <xf numFmtId="0" fontId="25" fillId="0" borderId="104" xfId="0" applyFont="1" applyBorder="1" applyAlignment="1" applyProtection="1">
      <alignment horizontal="center"/>
      <protection locked="0"/>
    </xf>
    <xf numFmtId="0" fontId="24" fillId="0" borderId="104" xfId="0" applyFont="1" applyBorder="1" applyAlignment="1" applyProtection="1">
      <alignment horizontal="center"/>
      <protection locked="0"/>
    </xf>
    <xf numFmtId="0" fontId="25" fillId="0" borderId="203" xfId="0" applyFont="1" applyBorder="1" applyAlignment="1" applyProtection="1">
      <alignment horizontal="center"/>
      <protection locked="0"/>
    </xf>
    <xf numFmtId="0" fontId="25" fillId="0" borderId="212" xfId="0" applyFont="1" applyBorder="1" applyAlignment="1" applyProtection="1">
      <alignment horizontal="center"/>
      <protection locked="0"/>
    </xf>
    <xf numFmtId="0" fontId="25" fillId="50" borderId="203" xfId="0" applyFont="1" applyFill="1" applyBorder="1" applyAlignment="1">
      <alignment horizontal="center" vertical="center"/>
    </xf>
    <xf numFmtId="0" fontId="49" fillId="52" borderId="207" xfId="0" applyFont="1" applyFill="1" applyBorder="1" applyAlignment="1">
      <alignment horizontal="center" vertical="center"/>
    </xf>
    <xf numFmtId="0" fontId="7" fillId="0" borderId="13" xfId="0" applyFont="1" applyBorder="1" applyAlignment="1" applyProtection="1">
      <alignment horizontal="center" vertical="center"/>
      <protection locked="0"/>
    </xf>
    <xf numFmtId="0" fontId="7" fillId="0" borderId="33" xfId="0" applyFont="1" applyBorder="1" applyAlignment="1" applyProtection="1">
      <alignment horizontal="center" vertical="center"/>
      <protection locked="0"/>
    </xf>
    <xf numFmtId="20" fontId="7" fillId="49" borderId="213" xfId="0" applyNumberFormat="1" applyFont="1" applyFill="1" applyBorder="1" applyAlignment="1">
      <alignment horizontal="center" vertical="center"/>
    </xf>
    <xf numFmtId="0" fontId="25" fillId="48" borderId="0" xfId="0" applyFont="1" applyFill="1" applyAlignment="1">
      <alignment horizontal="center" vertical="center" wrapText="1"/>
    </xf>
    <xf numFmtId="20" fontId="7" fillId="49" borderId="214" xfId="0" applyNumberFormat="1" applyFont="1" applyFill="1" applyBorder="1" applyAlignment="1">
      <alignment horizontal="center" vertical="center"/>
    </xf>
    <xf numFmtId="20" fontId="7" fillId="50" borderId="214" xfId="0" applyNumberFormat="1" applyFont="1" applyFill="1" applyBorder="1" applyAlignment="1">
      <alignment horizontal="center" vertical="center"/>
    </xf>
    <xf numFmtId="0" fontId="22" fillId="50" borderId="33" xfId="0" applyFont="1" applyFill="1" applyBorder="1" applyAlignment="1">
      <alignment horizontal="center" vertical="center" wrapText="1"/>
    </xf>
    <xf numFmtId="20" fontId="68" fillId="40" borderId="210" xfId="0" applyNumberFormat="1" applyFont="1" applyFill="1" applyBorder="1" applyAlignment="1">
      <alignment horizontal="center" vertical="center"/>
    </xf>
    <xf numFmtId="0" fontId="91" fillId="40" borderId="0" xfId="0" applyFont="1" applyFill="1" applyAlignment="1">
      <alignment horizontal="right" vertical="center"/>
    </xf>
    <xf numFmtId="0" fontId="25" fillId="40" borderId="211" xfId="0" applyFont="1" applyFill="1" applyBorder="1" applyAlignment="1">
      <alignment horizontal="center" vertical="center"/>
    </xf>
    <xf numFmtId="20" fontId="68" fillId="40" borderId="215" xfId="0" applyNumberFormat="1" applyFont="1" applyFill="1" applyBorder="1" applyAlignment="1">
      <alignment horizontal="center" vertical="center"/>
    </xf>
    <xf numFmtId="0" fontId="25" fillId="40" borderId="216" xfId="0" applyFont="1" applyFill="1" applyBorder="1" applyAlignment="1">
      <alignment horizontal="center" vertical="center"/>
    </xf>
    <xf numFmtId="20" fontId="70" fillId="40" borderId="210" xfId="0" applyNumberFormat="1" applyFont="1" applyFill="1" applyBorder="1" applyAlignment="1">
      <alignment horizontal="center" vertical="center"/>
    </xf>
    <xf numFmtId="0" fontId="90" fillId="40" borderId="0" xfId="0" applyFont="1" applyFill="1" applyAlignment="1">
      <alignment horizontal="right" vertical="center"/>
    </xf>
    <xf numFmtId="0" fontId="7" fillId="40" borderId="55" xfId="0" applyFont="1" applyFill="1" applyBorder="1" applyAlignment="1">
      <alignment vertical="center"/>
    </xf>
    <xf numFmtId="20" fontId="70" fillId="40" borderId="210" xfId="0" applyNumberFormat="1" applyFont="1" applyFill="1" applyBorder="1" applyAlignment="1">
      <alignment horizontal="center"/>
    </xf>
    <xf numFmtId="0" fontId="26" fillId="40" borderId="0" xfId="0" applyFont="1" applyFill="1" applyAlignment="1" applyProtection="1">
      <alignment horizontal="center" vertical="center"/>
      <protection locked="0"/>
    </xf>
    <xf numFmtId="0" fontId="22" fillId="53" borderId="70" xfId="0" applyFont="1" applyFill="1" applyBorder="1" applyAlignment="1">
      <alignment horizontal="center"/>
    </xf>
    <xf numFmtId="0" fontId="37" fillId="53" borderId="77" xfId="0" quotePrefix="1" applyFont="1" applyFill="1" applyBorder="1" applyAlignment="1">
      <alignment horizontal="left" wrapText="1"/>
    </xf>
    <xf numFmtId="0" fontId="37" fillId="53" borderId="77" xfId="0" quotePrefix="1" applyFont="1" applyFill="1" applyBorder="1" applyAlignment="1">
      <alignment horizontal="center" wrapText="1"/>
    </xf>
    <xf numFmtId="0" fontId="37" fillId="53" borderId="77" xfId="0" applyFont="1" applyFill="1" applyBorder="1" applyAlignment="1">
      <alignment horizontal="center"/>
    </xf>
    <xf numFmtId="0" fontId="130" fillId="53" borderId="70" xfId="0" quotePrefix="1" applyFont="1" applyFill="1" applyBorder="1" applyAlignment="1">
      <alignment horizontal="center" wrapText="1"/>
    </xf>
    <xf numFmtId="0" fontId="45" fillId="53" borderId="70" xfId="0" quotePrefix="1" applyFont="1" applyFill="1" applyBorder="1" applyAlignment="1">
      <alignment wrapText="1"/>
    </xf>
    <xf numFmtId="0" fontId="22" fillId="53" borderId="129" xfId="0" quotePrefix="1" applyFont="1" applyFill="1" applyBorder="1" applyAlignment="1">
      <alignment wrapText="1"/>
    </xf>
    <xf numFmtId="0" fontId="22" fillId="53" borderId="130" xfId="0" quotePrefix="1" applyFont="1" applyFill="1" applyBorder="1" applyAlignment="1">
      <alignment horizontal="right" vertical="center"/>
    </xf>
    <xf numFmtId="0" fontId="22" fillId="53" borderId="131" xfId="0" quotePrefix="1" applyFont="1" applyFill="1" applyBorder="1" applyAlignment="1">
      <alignment horizontal="center" wrapText="1"/>
    </xf>
    <xf numFmtId="0" fontId="23" fillId="47" borderId="88" xfId="0" applyFont="1" applyFill="1" applyBorder="1"/>
    <xf numFmtId="0" fontId="0" fillId="47" borderId="89" xfId="0" applyFill="1" applyBorder="1"/>
    <xf numFmtId="0" fontId="23" fillId="47" borderId="91" xfId="0" applyFont="1" applyFill="1" applyBorder="1"/>
    <xf numFmtId="0" fontId="0" fillId="47" borderId="0" xfId="0" applyFill="1"/>
    <xf numFmtId="0" fontId="22" fillId="47" borderId="94" xfId="0" applyFont="1" applyFill="1" applyBorder="1" applyAlignment="1">
      <alignment horizontal="center"/>
    </xf>
    <xf numFmtId="0" fontId="0" fillId="47" borderId="94" xfId="0" applyFill="1" applyBorder="1"/>
    <xf numFmtId="0" fontId="22" fillId="47" borderId="0" xfId="0" applyFont="1" applyFill="1" applyAlignment="1">
      <alignment horizontal="center" wrapText="1"/>
    </xf>
    <xf numFmtId="0" fontId="22" fillId="47" borderId="94" xfId="0" applyFont="1" applyFill="1" applyBorder="1" applyAlignment="1">
      <alignment horizontal="center" wrapText="1"/>
    </xf>
    <xf numFmtId="0" fontId="24" fillId="47" borderId="90" xfId="0" applyFont="1" applyFill="1" applyBorder="1" applyAlignment="1">
      <alignment horizontal="right"/>
    </xf>
    <xf numFmtId="20" fontId="41" fillId="0" borderId="133" xfId="0" applyNumberFormat="1" applyFont="1" applyBorder="1" applyAlignment="1" applyProtection="1">
      <alignment horizontal="center"/>
      <protection locked="0"/>
    </xf>
    <xf numFmtId="0" fontId="41" fillId="34" borderId="49" xfId="0" applyFont="1" applyFill="1" applyBorder="1" applyAlignment="1">
      <alignment horizontal="center"/>
    </xf>
    <xf numFmtId="0" fontId="52" fillId="34" borderId="49" xfId="0" applyFont="1" applyFill="1" applyBorder="1" applyAlignment="1">
      <alignment horizontal="right"/>
    </xf>
    <xf numFmtId="0" fontId="51" fillId="34" borderId="49" xfId="0" applyFont="1" applyFill="1" applyBorder="1" applyAlignment="1">
      <alignment horizontal="center"/>
    </xf>
    <xf numFmtId="0" fontId="51" fillId="34" borderId="49" xfId="0" applyFont="1" applyFill="1" applyBorder="1" applyAlignment="1">
      <alignment horizontal="left"/>
    </xf>
    <xf numFmtId="0" fontId="41" fillId="34" borderId="49" xfId="0" applyFont="1" applyFill="1" applyBorder="1" applyAlignment="1">
      <alignment horizontal="centerContinuous"/>
    </xf>
    <xf numFmtId="0" fontId="67" fillId="34" borderId="0" xfId="0" applyFont="1" applyFill="1"/>
    <xf numFmtId="0" fontId="30" fillId="34" borderId="49" xfId="0" applyFont="1" applyFill="1" applyBorder="1" applyAlignment="1">
      <alignment horizontal="centerContinuous"/>
    </xf>
    <xf numFmtId="0" fontId="52" fillId="34" borderId="49" xfId="0" applyFont="1" applyFill="1" applyBorder="1" applyAlignment="1">
      <alignment horizontal="center"/>
    </xf>
    <xf numFmtId="172" fontId="41" fillId="0" borderId="49" xfId="0" applyNumberFormat="1" applyFont="1" applyBorder="1" applyAlignment="1" applyProtection="1">
      <alignment horizontal="center"/>
      <protection locked="0"/>
    </xf>
    <xf numFmtId="0" fontId="42" fillId="34" borderId="49" xfId="0" quotePrefix="1" applyFont="1" applyFill="1" applyBorder="1" applyAlignment="1">
      <alignment horizontal="centerContinuous"/>
    </xf>
    <xf numFmtId="0" fontId="42" fillId="34" borderId="49" xfId="0" applyFont="1" applyFill="1" applyBorder="1" applyAlignment="1">
      <alignment horizontal="centerContinuous"/>
    </xf>
    <xf numFmtId="0" fontId="42" fillId="34" borderId="134" xfId="0" quotePrefix="1" applyFont="1" applyFill="1" applyBorder="1" applyAlignment="1">
      <alignment horizontal="centerContinuous"/>
    </xf>
    <xf numFmtId="20" fontId="41" fillId="34" borderId="135" xfId="0" applyNumberFormat="1" applyFont="1" applyFill="1" applyBorder="1" applyAlignment="1" applyProtection="1">
      <alignment horizontal="center"/>
      <protection locked="0"/>
    </xf>
    <xf numFmtId="0" fontId="41" fillId="34" borderId="136" xfId="0" applyFont="1" applyFill="1" applyBorder="1" applyAlignment="1">
      <alignment horizontal="center"/>
    </xf>
    <xf numFmtId="0" fontId="52" fillId="34" borderId="136" xfId="0" applyFont="1" applyFill="1" applyBorder="1" applyAlignment="1">
      <alignment horizontal="right"/>
    </xf>
    <xf numFmtId="0" fontId="51" fillId="34" borderId="136" xfId="0" applyFont="1" applyFill="1" applyBorder="1" applyAlignment="1">
      <alignment horizontal="center"/>
    </xf>
    <xf numFmtId="0" fontId="51" fillId="34" borderId="136" xfId="0" applyFont="1" applyFill="1" applyBorder="1" applyAlignment="1">
      <alignment horizontal="left"/>
    </xf>
    <xf numFmtId="0" fontId="41" fillId="34" borderId="136" xfId="0" applyFont="1" applyFill="1" applyBorder="1" applyAlignment="1">
      <alignment horizontal="centerContinuous"/>
    </xf>
    <xf numFmtId="0" fontId="67" fillId="34" borderId="136" xfId="0" applyFont="1" applyFill="1" applyBorder="1"/>
    <xf numFmtId="0" fontId="30" fillId="34" borderId="136" xfId="0" applyFont="1" applyFill="1" applyBorder="1" applyAlignment="1">
      <alignment horizontal="centerContinuous"/>
    </xf>
    <xf numFmtId="0" fontId="52" fillId="34" borderId="136" xfId="0" applyFont="1" applyFill="1" applyBorder="1" applyAlignment="1">
      <alignment horizontal="center"/>
    </xf>
    <xf numFmtId="172" fontId="41" fillId="0" borderId="136" xfId="0" applyNumberFormat="1" applyFont="1" applyBorder="1" applyAlignment="1" applyProtection="1">
      <alignment horizontal="center"/>
      <protection locked="0"/>
    </xf>
    <xf numFmtId="0" fontId="42" fillId="34" borderId="136" xfId="0" quotePrefix="1" applyFont="1" applyFill="1" applyBorder="1" applyAlignment="1">
      <alignment horizontal="centerContinuous"/>
    </xf>
    <xf numFmtId="0" fontId="42" fillId="34" borderId="136" xfId="0" applyFont="1" applyFill="1" applyBorder="1" applyAlignment="1">
      <alignment horizontal="centerContinuous"/>
    </xf>
    <xf numFmtId="0" fontId="42" fillId="34" borderId="137" xfId="0" quotePrefix="1" applyFont="1" applyFill="1" applyBorder="1" applyAlignment="1">
      <alignment horizontal="centerContinuous"/>
    </xf>
    <xf numFmtId="20" fontId="41" fillId="34" borderId="138" xfId="0" applyNumberFormat="1" applyFont="1" applyFill="1" applyBorder="1" applyAlignment="1" applyProtection="1">
      <alignment horizontal="center"/>
      <protection locked="0"/>
    </xf>
    <xf numFmtId="0" fontId="41" fillId="34" borderId="139" xfId="0" applyFont="1" applyFill="1" applyBorder="1" applyAlignment="1">
      <alignment horizontal="center"/>
    </xf>
    <xf numFmtId="0" fontId="52" fillId="34" borderId="139" xfId="0" applyFont="1" applyFill="1" applyBorder="1" applyAlignment="1">
      <alignment horizontal="right"/>
    </xf>
    <xf numFmtId="0" fontId="51" fillId="34" borderId="139" xfId="0" applyFont="1" applyFill="1" applyBorder="1" applyAlignment="1">
      <alignment horizontal="center"/>
    </xf>
    <xf numFmtId="0" fontId="51" fillId="34" borderId="139" xfId="0" applyFont="1" applyFill="1" applyBorder="1" applyAlignment="1">
      <alignment horizontal="left"/>
    </xf>
    <xf numFmtId="0" fontId="41" fillId="34" borderId="139" xfId="0" applyFont="1" applyFill="1" applyBorder="1" applyAlignment="1">
      <alignment horizontal="centerContinuous"/>
    </xf>
    <xf numFmtId="0" fontId="67" fillId="34" borderId="139" xfId="0" applyFont="1" applyFill="1" applyBorder="1"/>
    <xf numFmtId="0" fontId="30" fillId="34" borderId="139" xfId="0" applyFont="1" applyFill="1" applyBorder="1" applyAlignment="1">
      <alignment horizontal="centerContinuous"/>
    </xf>
    <xf numFmtId="0" fontId="52" fillId="34" borderId="139" xfId="0" applyFont="1" applyFill="1" applyBorder="1" applyAlignment="1">
      <alignment horizontal="center"/>
    </xf>
    <xf numFmtId="172" fontId="41" fillId="0" borderId="139" xfId="0" applyNumberFormat="1" applyFont="1" applyBorder="1" applyAlignment="1" applyProtection="1">
      <alignment horizontal="center"/>
      <protection locked="0"/>
    </xf>
    <xf numFmtId="0" fontId="42" fillId="34" borderId="139" xfId="0" quotePrefix="1" applyFont="1" applyFill="1" applyBorder="1" applyAlignment="1">
      <alignment horizontal="centerContinuous"/>
    </xf>
    <xf numFmtId="0" fontId="42" fillId="34" borderId="139" xfId="0" applyFont="1" applyFill="1" applyBorder="1" applyAlignment="1">
      <alignment horizontal="centerContinuous"/>
    </xf>
    <xf numFmtId="20" fontId="7" fillId="44" borderId="93" xfId="0" applyNumberFormat="1" applyFont="1" applyFill="1" applyBorder="1" applyAlignment="1" applyProtection="1">
      <alignment horizontal="center"/>
      <protection locked="0"/>
    </xf>
    <xf numFmtId="0" fontId="26" fillId="40" borderId="122" xfId="0" applyFont="1" applyFill="1" applyBorder="1" applyAlignment="1">
      <alignment horizontal="center"/>
    </xf>
    <xf numFmtId="0" fontId="22" fillId="44" borderId="13" xfId="0" applyFont="1" applyFill="1" applyBorder="1" applyAlignment="1">
      <alignment horizontal="center"/>
    </xf>
    <xf numFmtId="0" fontId="50" fillId="40" borderId="47" xfId="0" applyFont="1" applyFill="1" applyBorder="1" applyAlignment="1">
      <alignment horizontal="left"/>
    </xf>
    <xf numFmtId="0" fontId="25" fillId="44" borderId="13" xfId="0" applyFont="1" applyFill="1" applyBorder="1" applyAlignment="1">
      <alignment horizontal="center"/>
    </xf>
    <xf numFmtId="0" fontId="26" fillId="40" borderId="48" xfId="0" applyFont="1" applyFill="1" applyBorder="1" applyAlignment="1">
      <alignment horizontal="center"/>
    </xf>
    <xf numFmtId="0" fontId="7" fillId="40" borderId="47" xfId="0" applyFont="1" applyFill="1" applyBorder="1"/>
    <xf numFmtId="0" fontId="7" fillId="40" borderId="0" xfId="0" applyFont="1" applyFill="1" applyProtection="1">
      <protection locked="0"/>
    </xf>
    <xf numFmtId="0" fontId="26" fillId="40" borderId="91" xfId="0" applyFont="1" applyFill="1" applyBorder="1" applyAlignment="1" applyProtection="1">
      <alignment horizontal="center"/>
      <protection locked="0"/>
    </xf>
    <xf numFmtId="0" fontId="22" fillId="40" borderId="0" xfId="0" applyFont="1" applyFill="1" applyAlignment="1" applyProtection="1">
      <alignment horizontal="center"/>
      <protection locked="0"/>
    </xf>
    <xf numFmtId="0" fontId="25" fillId="40" borderId="0" xfId="0" applyFont="1" applyFill="1" applyAlignment="1">
      <alignment horizontal="center"/>
    </xf>
    <xf numFmtId="0" fontId="25" fillId="40" borderId="0" xfId="0" applyFont="1" applyFill="1" applyAlignment="1" applyProtection="1">
      <alignment horizontal="center"/>
      <protection locked="0"/>
    </xf>
    <xf numFmtId="0" fontId="24" fillId="40" borderId="0" xfId="0" applyFont="1" applyFill="1" applyAlignment="1" applyProtection="1">
      <alignment horizontal="center"/>
      <protection locked="0"/>
    </xf>
    <xf numFmtId="0" fontId="22" fillId="44" borderId="13" xfId="0" quotePrefix="1" applyFont="1" applyFill="1" applyBorder="1" applyAlignment="1">
      <alignment horizontal="center"/>
    </xf>
    <xf numFmtId="20" fontId="68" fillId="40" borderId="91" xfId="0" applyNumberFormat="1" applyFont="1" applyFill="1" applyBorder="1" applyAlignment="1" applyProtection="1">
      <alignment horizontal="center"/>
      <protection locked="0"/>
    </xf>
    <xf numFmtId="0" fontId="92" fillId="40" borderId="0" xfId="0" applyFont="1" applyFill="1" applyAlignment="1" applyProtection="1">
      <alignment horizontal="right"/>
      <protection locked="0"/>
    </xf>
    <xf numFmtId="0" fontId="22" fillId="40" borderId="104" xfId="0" applyFont="1" applyFill="1" applyBorder="1" applyAlignment="1">
      <alignment horizontal="center"/>
    </xf>
    <xf numFmtId="0" fontId="24" fillId="54" borderId="13" xfId="0" applyFont="1" applyFill="1" applyBorder="1" applyAlignment="1">
      <alignment horizontal="center"/>
    </xf>
    <xf numFmtId="0" fontId="22" fillId="54" borderId="13" xfId="0" applyFont="1" applyFill="1" applyBorder="1" applyAlignment="1">
      <alignment horizontal="center"/>
    </xf>
    <xf numFmtId="0" fontId="131" fillId="0" borderId="0" xfId="0" applyFont="1"/>
    <xf numFmtId="0" fontId="93" fillId="0" borderId="84" xfId="0" applyFont="1" applyBorder="1" applyAlignment="1" applyProtection="1">
      <alignment horizontal="center" vertical="center"/>
      <protection locked="0"/>
    </xf>
    <xf numFmtId="0" fontId="94" fillId="25" borderId="86" xfId="0" applyFont="1" applyFill="1" applyBorder="1" applyAlignment="1" applyProtection="1">
      <alignment horizontal="centerContinuous" vertical="center"/>
      <protection locked="0"/>
    </xf>
    <xf numFmtId="0" fontId="95" fillId="25" borderId="86" xfId="0" applyFont="1" applyFill="1" applyBorder="1" applyAlignment="1" applyProtection="1">
      <alignment horizontal="centerContinuous" vertical="center"/>
      <protection locked="0"/>
    </xf>
    <xf numFmtId="0" fontId="24" fillId="0" borderId="0" xfId="0" applyFont="1" applyAlignment="1" applyProtection="1">
      <alignment vertical="center"/>
      <protection locked="0"/>
    </xf>
    <xf numFmtId="0" fontId="40" fillId="0" borderId="0" xfId="0" applyFont="1" applyAlignment="1">
      <alignment vertical="center"/>
    </xf>
    <xf numFmtId="0" fontId="7" fillId="0" borderId="0" xfId="0" applyFont="1" applyAlignment="1">
      <alignment horizontal="left" vertical="center"/>
    </xf>
    <xf numFmtId="0" fontId="0" fillId="0" borderId="48" xfId="0" applyBorder="1" applyAlignment="1">
      <alignment vertical="center"/>
    </xf>
    <xf numFmtId="0" fontId="0" fillId="0" borderId="55" xfId="0" applyBorder="1" applyAlignment="1">
      <alignment vertical="center"/>
    </xf>
    <xf numFmtId="0" fontId="0" fillId="0" borderId="67" xfId="0" applyBorder="1" applyAlignment="1">
      <alignment vertical="center"/>
    </xf>
    <xf numFmtId="0" fontId="0" fillId="0" borderId="94" xfId="0" applyBorder="1" applyAlignment="1">
      <alignment vertical="center"/>
    </xf>
    <xf numFmtId="0" fontId="0" fillId="0" borderId="115" xfId="0" applyBorder="1" applyAlignment="1">
      <alignment vertical="center"/>
    </xf>
    <xf numFmtId="0" fontId="7" fillId="0" borderId="0" xfId="0" applyFont="1" applyAlignment="1" applyProtection="1">
      <alignment vertical="center"/>
      <protection locked="0"/>
    </xf>
    <xf numFmtId="0" fontId="0" fillId="55" borderId="0" xfId="0" applyFill="1" applyAlignment="1">
      <alignment vertical="center"/>
    </xf>
    <xf numFmtId="0" fontId="0" fillId="0" borderId="83" xfId="0" applyBorder="1" applyAlignment="1">
      <alignment vertical="center"/>
    </xf>
    <xf numFmtId="0" fontId="0" fillId="0" borderId="49" xfId="0" applyBorder="1" applyAlignment="1">
      <alignment vertical="center"/>
    </xf>
    <xf numFmtId="0" fontId="0" fillId="0" borderId="92" xfId="0" applyBorder="1" applyAlignment="1">
      <alignment vertical="center"/>
    </xf>
    <xf numFmtId="0" fontId="0" fillId="56" borderId="47" xfId="0" applyFill="1" applyBorder="1" applyAlignment="1">
      <alignment horizontal="center" vertical="center"/>
    </xf>
    <xf numFmtId="0" fontId="0" fillId="56" borderId="9" xfId="0" applyFill="1" applyBorder="1" applyAlignment="1">
      <alignment horizontal="center" vertical="center"/>
    </xf>
    <xf numFmtId="0" fontId="0" fillId="56" borderId="49" xfId="0" applyFill="1" applyBorder="1" applyAlignment="1">
      <alignment horizontal="center" vertical="center"/>
    </xf>
    <xf numFmtId="0" fontId="0" fillId="56" borderId="92" xfId="0" applyFill="1" applyBorder="1" applyAlignment="1">
      <alignment horizontal="center" vertical="center"/>
    </xf>
    <xf numFmtId="0" fontId="0" fillId="56" borderId="43" xfId="0" applyFill="1" applyBorder="1" applyAlignment="1">
      <alignment horizontal="center" vertical="center"/>
    </xf>
    <xf numFmtId="0" fontId="24" fillId="55" borderId="14" xfId="0" applyFont="1" applyFill="1" applyBorder="1" applyAlignment="1">
      <alignment vertical="center"/>
    </xf>
    <xf numFmtId="0" fontId="0" fillId="55" borderId="50" xfId="0" applyFill="1" applyBorder="1" applyAlignment="1">
      <alignment vertical="center"/>
    </xf>
    <xf numFmtId="0" fontId="24" fillId="55" borderId="50" xfId="0" applyFont="1" applyFill="1" applyBorder="1" applyAlignment="1" applyProtection="1">
      <alignment vertical="center"/>
      <protection locked="0"/>
    </xf>
    <xf numFmtId="0" fontId="0" fillId="55" borderId="60" xfId="0" applyFill="1" applyBorder="1" applyAlignment="1">
      <alignment vertical="center"/>
    </xf>
    <xf numFmtId="0" fontId="24" fillId="55" borderId="59" xfId="0" applyFont="1" applyFill="1" applyBorder="1" applyAlignment="1">
      <alignment vertical="center"/>
    </xf>
    <xf numFmtId="0" fontId="24" fillId="55" borderId="0" xfId="0" applyFont="1" applyFill="1" applyAlignment="1" applyProtection="1">
      <alignment vertical="center"/>
      <protection locked="0"/>
    </xf>
    <xf numFmtId="0" fontId="0" fillId="55" borderId="56" xfId="0" applyFill="1" applyBorder="1" applyAlignment="1">
      <alignment vertical="center"/>
    </xf>
    <xf numFmtId="0" fontId="7" fillId="55" borderId="0" xfId="0" applyFont="1" applyFill="1" applyAlignment="1">
      <alignment vertical="center"/>
    </xf>
    <xf numFmtId="0" fontId="10" fillId="55" borderId="59" xfId="30" applyFill="1" applyBorder="1" applyAlignment="1" applyProtection="1">
      <alignment vertical="center"/>
    </xf>
    <xf numFmtId="0" fontId="10" fillId="55" borderId="59" xfId="30" applyFill="1" applyBorder="1" applyAlignment="1" applyProtection="1"/>
    <xf numFmtId="0" fontId="24" fillId="55" borderId="61" xfId="0" applyFont="1" applyFill="1" applyBorder="1" applyAlignment="1">
      <alignment vertical="center"/>
    </xf>
    <xf numFmtId="0" fontId="0" fillId="55" borderId="62" xfId="0" applyFill="1" applyBorder="1" applyAlignment="1">
      <alignment vertical="center"/>
    </xf>
    <xf numFmtId="0" fontId="7" fillId="55" borderId="62" xfId="0" applyFont="1" applyFill="1" applyBorder="1" applyAlignment="1">
      <alignment vertical="center"/>
    </xf>
    <xf numFmtId="0" fontId="24" fillId="55" borderId="62" xfId="0" applyFont="1" applyFill="1" applyBorder="1" applyAlignment="1" applyProtection="1">
      <alignment vertical="center"/>
      <protection locked="0"/>
    </xf>
    <xf numFmtId="0" fontId="0" fillId="55" borderId="54" xfId="0" applyFill="1" applyBorder="1" applyAlignment="1">
      <alignment vertical="center"/>
    </xf>
    <xf numFmtId="0" fontId="96" fillId="55" borderId="59" xfId="0" applyFont="1" applyFill="1" applyBorder="1" applyAlignment="1">
      <alignment vertical="center"/>
    </xf>
    <xf numFmtId="0" fontId="0" fillId="0" borderId="0" xfId="0" applyAlignment="1" applyProtection="1">
      <alignment horizontal="right"/>
      <protection hidden="1"/>
    </xf>
    <xf numFmtId="0" fontId="132" fillId="40" borderId="122" xfId="0" applyFont="1" applyFill="1" applyBorder="1" applyAlignment="1">
      <alignment horizontal="center"/>
    </xf>
    <xf numFmtId="0" fontId="132" fillId="40" borderId="48" xfId="0" applyFont="1" applyFill="1" applyBorder="1" applyAlignment="1">
      <alignment horizontal="center"/>
    </xf>
    <xf numFmtId="0" fontId="0" fillId="50" borderId="48" xfId="0" applyFill="1" applyBorder="1" applyAlignment="1">
      <alignment vertical="center"/>
    </xf>
    <xf numFmtId="0" fontId="0" fillId="50" borderId="0" xfId="0" applyFill="1" applyAlignment="1">
      <alignment vertical="center"/>
    </xf>
    <xf numFmtId="0" fontId="0" fillId="50" borderId="55" xfId="0" applyFill="1" applyBorder="1" applyAlignment="1">
      <alignment vertical="center"/>
    </xf>
    <xf numFmtId="0" fontId="0" fillId="50" borderId="94" xfId="0" applyFill="1" applyBorder="1" applyAlignment="1">
      <alignment vertical="center"/>
    </xf>
    <xf numFmtId="0" fontId="0" fillId="50" borderId="115" xfId="0" applyFill="1" applyBorder="1" applyAlignment="1">
      <alignment vertical="center"/>
    </xf>
    <xf numFmtId="0" fontId="7" fillId="56" borderId="13" xfId="0" applyFont="1" applyFill="1" applyBorder="1" applyAlignment="1">
      <alignment vertical="center"/>
    </xf>
    <xf numFmtId="0" fontId="0" fillId="0" borderId="122" xfId="0" applyBorder="1" applyAlignment="1">
      <alignment vertical="center"/>
    </xf>
    <xf numFmtId="0" fontId="0" fillId="50" borderId="122" xfId="0" applyFill="1" applyBorder="1" applyAlignment="1">
      <alignment vertical="center"/>
    </xf>
    <xf numFmtId="0" fontId="0" fillId="50" borderId="33" xfId="0" applyFill="1" applyBorder="1" applyAlignment="1">
      <alignment vertical="center"/>
    </xf>
    <xf numFmtId="0" fontId="7" fillId="56" borderId="104" xfId="0" applyFont="1" applyFill="1" applyBorder="1" applyAlignment="1">
      <alignment vertical="center"/>
    </xf>
    <xf numFmtId="0" fontId="0" fillId="0" borderId="104" xfId="0" applyBorder="1" applyAlignment="1">
      <alignment vertical="center"/>
    </xf>
    <xf numFmtId="0" fontId="7" fillId="0" borderId="48" xfId="0" applyFont="1" applyBorder="1" applyAlignment="1">
      <alignment horizontal="right" vertical="center"/>
    </xf>
    <xf numFmtId="0" fontId="7" fillId="0" borderId="55" xfId="0" applyFont="1" applyBorder="1" applyAlignment="1">
      <alignment horizontal="left" vertical="center"/>
    </xf>
    <xf numFmtId="0" fontId="0" fillId="0" borderId="94" xfId="0" applyBorder="1" applyAlignment="1">
      <alignment horizontal="right" vertical="center"/>
    </xf>
    <xf numFmtId="0" fontId="7" fillId="0" borderId="94" xfId="0" applyFont="1" applyBorder="1" applyAlignment="1">
      <alignment horizontal="left" vertical="center"/>
    </xf>
    <xf numFmtId="0" fontId="7" fillId="0" borderId="115" xfId="0" applyFont="1" applyBorder="1" applyAlignment="1">
      <alignment horizontal="left" vertical="center"/>
    </xf>
    <xf numFmtId="0" fontId="97" fillId="0" borderId="0" xfId="0" applyFont="1" applyAlignment="1">
      <alignment horizontal="right" vertical="center"/>
    </xf>
    <xf numFmtId="0" fontId="7" fillId="0" borderId="67" xfId="0" applyFont="1" applyBorder="1" applyAlignment="1">
      <alignment horizontal="right" vertical="center"/>
    </xf>
    <xf numFmtId="0" fontId="7" fillId="0" borderId="94" xfId="0" applyFont="1" applyBorder="1" applyAlignment="1">
      <alignment horizontal="right" vertical="center"/>
    </xf>
    <xf numFmtId="0" fontId="7" fillId="0" borderId="94" xfId="0" applyFont="1" applyBorder="1" applyAlignment="1">
      <alignment horizontal="center" vertical="center"/>
    </xf>
    <xf numFmtId="0" fontId="7" fillId="0" borderId="94" xfId="0" applyFont="1" applyBorder="1" applyAlignment="1">
      <alignment vertical="center"/>
    </xf>
    <xf numFmtId="0" fontId="0" fillId="0" borderId="94" xfId="0" applyBorder="1" applyAlignment="1">
      <alignment horizontal="left" vertical="center"/>
    </xf>
    <xf numFmtId="0" fontId="7" fillId="0" borderId="55" xfId="0" applyFont="1" applyBorder="1" applyAlignment="1" applyProtection="1">
      <alignment vertical="center"/>
      <protection locked="0"/>
    </xf>
    <xf numFmtId="0" fontId="7" fillId="0" borderId="115" xfId="0" applyFont="1" applyBorder="1" applyAlignment="1" applyProtection="1">
      <alignment vertical="center"/>
      <protection locked="0"/>
    </xf>
    <xf numFmtId="0" fontId="69" fillId="46" borderId="68" xfId="0" applyFont="1" applyFill="1" applyBorder="1" applyAlignment="1">
      <alignment horizontal="center" vertical="center" wrapText="1"/>
    </xf>
    <xf numFmtId="0" fontId="69" fillId="46" borderId="78" xfId="0" applyFont="1" applyFill="1" applyBorder="1" applyAlignment="1">
      <alignment horizontal="center" vertical="center" wrapText="1"/>
    </xf>
    <xf numFmtId="0" fontId="69" fillId="46" borderId="72" xfId="0" applyFont="1" applyFill="1" applyBorder="1" applyAlignment="1">
      <alignment horizontal="centerContinuous" vertical="center" wrapText="1"/>
    </xf>
    <xf numFmtId="0" fontId="69" fillId="46" borderId="71" xfId="0" applyFont="1" applyFill="1" applyBorder="1" applyAlignment="1">
      <alignment horizontal="centerContinuous" vertical="center" wrapText="1"/>
    </xf>
    <xf numFmtId="0" fontId="69" fillId="46" borderId="73" xfId="0" applyFont="1" applyFill="1" applyBorder="1" applyAlignment="1">
      <alignment horizontal="centerContinuous" vertical="center" wrapText="1"/>
    </xf>
    <xf numFmtId="0" fontId="98" fillId="46" borderId="68" xfId="0" applyFont="1" applyFill="1" applyBorder="1" applyAlignment="1">
      <alignment horizontal="left" vertical="center"/>
    </xf>
    <xf numFmtId="0" fontId="7" fillId="43" borderId="99" xfId="0" applyFont="1" applyFill="1" applyBorder="1" applyAlignment="1">
      <alignment horizontal="center"/>
    </xf>
    <xf numFmtId="0" fontId="7" fillId="43" borderId="102" xfId="0" applyFont="1" applyFill="1" applyBorder="1" applyAlignment="1">
      <alignment horizontal="center"/>
    </xf>
    <xf numFmtId="0" fontId="69" fillId="46" borderId="69" xfId="0" applyFont="1" applyFill="1" applyBorder="1" applyAlignment="1">
      <alignment horizontal="right" vertical="center" wrapText="1"/>
    </xf>
    <xf numFmtId="0" fontId="7" fillId="43" borderId="97" xfId="0" applyFont="1" applyFill="1" applyBorder="1" applyAlignment="1">
      <alignment horizontal="center"/>
    </xf>
    <xf numFmtId="2" fontId="7" fillId="43" borderId="99" xfId="0" applyNumberFormat="1" applyFont="1" applyFill="1" applyBorder="1" applyAlignment="1">
      <alignment horizontal="center"/>
    </xf>
    <xf numFmtId="0" fontId="7" fillId="43" borderId="100" xfId="0" applyFont="1" applyFill="1" applyBorder="1" applyAlignment="1">
      <alignment horizontal="center"/>
    </xf>
    <xf numFmtId="2" fontId="7" fillId="43" borderId="102" xfId="0" applyNumberFormat="1" applyFont="1" applyFill="1" applyBorder="1" applyAlignment="1">
      <alignment horizontal="center"/>
    </xf>
    <xf numFmtId="0" fontId="7" fillId="40" borderId="125" xfId="0" applyFont="1" applyFill="1" applyBorder="1" applyAlignment="1">
      <alignment vertical="center" wrapText="1"/>
    </xf>
    <xf numFmtId="0" fontId="28" fillId="58" borderId="70" xfId="0" quotePrefix="1" applyFont="1" applyFill="1" applyBorder="1" applyAlignment="1">
      <alignment vertical="top" textRotation="90"/>
    </xf>
    <xf numFmtId="0" fontId="22" fillId="29" borderId="9" xfId="0" applyFont="1" applyFill="1" applyBorder="1"/>
    <xf numFmtId="0" fontId="22" fillId="0" borderId="20" xfId="0" applyFont="1" applyBorder="1" applyAlignment="1">
      <alignment horizontal="center"/>
    </xf>
    <xf numFmtId="0" fontId="22" fillId="0" borderId="21" xfId="0" applyFont="1" applyBorder="1" applyAlignment="1">
      <alignment horizontal="center"/>
    </xf>
    <xf numFmtId="0" fontId="22" fillId="0" borderId="22" xfId="0" applyFont="1" applyBorder="1" applyAlignment="1">
      <alignment horizontal="center"/>
    </xf>
    <xf numFmtId="0" fontId="22" fillId="28" borderId="27" xfId="0" applyFont="1" applyFill="1" applyBorder="1" applyAlignment="1">
      <alignment horizontal="center"/>
    </xf>
    <xf numFmtId="0" fontId="22" fillId="28" borderId="25" xfId="0" applyFont="1" applyFill="1" applyBorder="1" applyAlignment="1">
      <alignment horizontal="center"/>
    </xf>
    <xf numFmtId="0" fontId="22" fillId="28" borderId="28" xfId="0" applyFont="1" applyFill="1" applyBorder="1" applyAlignment="1">
      <alignment horizontal="center"/>
    </xf>
    <xf numFmtId="0" fontId="22" fillId="28" borderId="24" xfId="0" applyFont="1" applyFill="1" applyBorder="1" applyAlignment="1">
      <alignment horizontal="center"/>
    </xf>
    <xf numFmtId="0" fontId="22" fillId="0" borderId="58" xfId="0" applyFont="1" applyBorder="1" applyAlignment="1">
      <alignment horizontal="center"/>
    </xf>
    <xf numFmtId="0" fontId="22" fillId="28" borderId="29" xfId="0" applyFont="1" applyFill="1" applyBorder="1" applyAlignment="1">
      <alignment horizontal="center"/>
    </xf>
    <xf numFmtId="0" fontId="24" fillId="55" borderId="50" xfId="0" applyFont="1" applyFill="1" applyBorder="1" applyAlignment="1">
      <alignment vertical="center"/>
    </xf>
    <xf numFmtId="0" fontId="24" fillId="55" borderId="0" xfId="0" applyFont="1" applyFill="1" applyAlignment="1">
      <alignment vertical="center"/>
    </xf>
    <xf numFmtId="0" fontId="24" fillId="55" borderId="62" xfId="0" applyFont="1" applyFill="1" applyBorder="1" applyAlignment="1">
      <alignment vertical="center"/>
    </xf>
    <xf numFmtId="0" fontId="24" fillId="55" borderId="57" xfId="0" applyFont="1" applyFill="1" applyBorder="1" applyAlignment="1">
      <alignment horizontal="centerContinuous" vertical="center" wrapText="1"/>
    </xf>
    <xf numFmtId="0" fontId="22" fillId="39" borderId="0" xfId="0" applyFont="1" applyFill="1" applyAlignment="1">
      <alignment horizontal="center" vertical="top"/>
    </xf>
    <xf numFmtId="0" fontId="25" fillId="39" borderId="0" xfId="0" applyFont="1" applyFill="1" applyAlignment="1">
      <alignment horizontal="center" vertical="top"/>
    </xf>
    <xf numFmtId="0" fontId="22" fillId="0" borderId="0" xfId="0" applyFont="1" applyAlignment="1">
      <alignment vertical="top"/>
    </xf>
    <xf numFmtId="0" fontId="0" fillId="0" borderId="35" xfId="0" applyBorder="1" applyAlignment="1">
      <alignment horizontal="left" vertical="center" wrapText="1"/>
    </xf>
    <xf numFmtId="0" fontId="0" fillId="0" borderId="27" xfId="0" applyBorder="1" applyAlignment="1">
      <alignment horizontal="left" vertical="center" wrapText="1"/>
    </xf>
    <xf numFmtId="0" fontId="0" fillId="0" borderId="30" xfId="0" applyBorder="1" applyAlignment="1">
      <alignment horizontal="left" vertical="center" wrapText="1"/>
    </xf>
    <xf numFmtId="0" fontId="0" fillId="0" borderId="37" xfId="0" applyBorder="1" applyAlignment="1">
      <alignment horizontal="left" vertical="center" wrapText="1"/>
    </xf>
    <xf numFmtId="0" fontId="0" fillId="0" borderId="20" xfId="0" applyBorder="1" applyAlignment="1">
      <alignment horizontal="left" vertical="center" wrapText="1"/>
    </xf>
    <xf numFmtId="0" fontId="7" fillId="0" borderId="0" xfId="0" quotePrefix="1" applyFont="1" applyAlignment="1" applyProtection="1">
      <alignment horizontal="left" vertical="center"/>
      <protection locked="0"/>
    </xf>
    <xf numFmtId="0" fontId="0" fillId="59" borderId="0" xfId="0" applyFill="1" applyAlignment="1">
      <alignment vertical="center"/>
    </xf>
    <xf numFmtId="0" fontId="7" fillId="59" borderId="0" xfId="0" applyFont="1" applyFill="1" applyAlignment="1">
      <alignment horizontal="right" vertical="center"/>
    </xf>
    <xf numFmtId="0" fontId="7" fillId="59" borderId="0" xfId="0" applyFont="1" applyFill="1" applyAlignment="1">
      <alignment horizontal="center" vertical="center"/>
    </xf>
    <xf numFmtId="0" fontId="7" fillId="59" borderId="0" xfId="0" applyFont="1" applyFill="1" applyAlignment="1">
      <alignment horizontal="left" vertical="center"/>
    </xf>
    <xf numFmtId="0" fontId="7" fillId="59" borderId="0" xfId="0" applyFont="1" applyFill="1" applyAlignment="1" applyProtection="1">
      <alignment vertical="center"/>
      <protection locked="0"/>
    </xf>
    <xf numFmtId="0" fontId="0" fillId="24" borderId="38" xfId="0" applyFill="1" applyBorder="1" applyAlignment="1">
      <alignment horizontal="center"/>
    </xf>
    <xf numFmtId="0" fontId="24" fillId="0" borderId="24" xfId="0" applyFont="1" applyBorder="1" applyAlignment="1" applyProtection="1">
      <alignment horizontal="center"/>
      <protection locked="0"/>
    </xf>
    <xf numFmtId="0" fontId="0" fillId="24" borderId="20" xfId="0" applyFill="1" applyBorder="1" applyAlignment="1">
      <alignment horizontal="center"/>
    </xf>
    <xf numFmtId="166" fontId="0" fillId="25" borderId="22" xfId="0" applyNumberFormat="1" applyFill="1" applyBorder="1"/>
    <xf numFmtId="0" fontId="0" fillId="24" borderId="42" xfId="0" applyFill="1" applyBorder="1" applyAlignment="1">
      <alignment horizontal="center"/>
    </xf>
    <xf numFmtId="0" fontId="0" fillId="24" borderId="27" xfId="0" applyFill="1" applyBorder="1" applyAlignment="1">
      <alignment horizontal="center"/>
    </xf>
    <xf numFmtId="166" fontId="0" fillId="25" borderId="25" xfId="0" applyNumberFormat="1" applyFill="1" applyBorder="1"/>
    <xf numFmtId="0" fontId="0" fillId="24" borderId="45" xfId="0" applyFill="1" applyBorder="1" applyAlignment="1">
      <alignment horizontal="center"/>
    </xf>
    <xf numFmtId="0" fontId="24" fillId="0" borderId="29" xfId="0" applyFont="1" applyBorder="1" applyAlignment="1" applyProtection="1">
      <alignment horizontal="center"/>
      <protection locked="0"/>
    </xf>
    <xf numFmtId="0" fontId="0" fillId="24" borderId="30" xfId="0" applyFill="1" applyBorder="1" applyAlignment="1">
      <alignment horizontal="center"/>
    </xf>
    <xf numFmtId="166" fontId="0" fillId="25" borderId="44" xfId="0" applyNumberFormat="1" applyFill="1" applyBorder="1"/>
    <xf numFmtId="0" fontId="22" fillId="23" borderId="50" xfId="0" applyFont="1" applyFill="1" applyBorder="1" applyAlignment="1">
      <alignment horizontal="center"/>
    </xf>
    <xf numFmtId="0" fontId="24" fillId="0" borderId="24" xfId="0" applyFont="1" applyBorder="1" applyAlignment="1">
      <alignment horizontal="center"/>
    </xf>
    <xf numFmtId="0" fontId="24" fillId="0" borderId="140" xfId="0" applyFont="1" applyBorder="1"/>
    <xf numFmtId="0" fontId="24" fillId="0" borderId="47" xfId="0" applyFont="1" applyBorder="1"/>
    <xf numFmtId="20" fontId="0" fillId="0" borderId="45" xfId="0" applyNumberFormat="1" applyBorder="1" applyAlignment="1">
      <alignment horizontal="center"/>
    </xf>
    <xf numFmtId="0" fontId="24" fillId="0" borderId="141" xfId="0" applyFont="1" applyBorder="1"/>
    <xf numFmtId="0" fontId="0" fillId="25" borderId="30" xfId="0" applyFill="1" applyBorder="1" applyAlignment="1">
      <alignment horizontal="right"/>
    </xf>
    <xf numFmtId="0" fontId="0" fillId="25" borderId="44" xfId="0" applyFill="1" applyBorder="1" applyAlignment="1">
      <alignment horizontal="left"/>
    </xf>
    <xf numFmtId="168" fontId="0" fillId="32" borderId="63" xfId="0" applyNumberFormat="1" applyFill="1" applyBorder="1" applyAlignment="1">
      <alignment horizontal="center"/>
    </xf>
    <xf numFmtId="168" fontId="0" fillId="32" borderId="63" xfId="0" applyNumberFormat="1" applyFill="1" applyBorder="1" applyAlignment="1">
      <alignment horizontal="centerContinuous"/>
    </xf>
    <xf numFmtId="168" fontId="0" fillId="32" borderId="64" xfId="0" applyNumberFormat="1" applyFill="1" applyBorder="1" applyAlignment="1">
      <alignment horizontal="centerContinuous"/>
    </xf>
    <xf numFmtId="0" fontId="135" fillId="0" borderId="0" xfId="0" applyFont="1" applyAlignment="1">
      <alignment horizontal="left"/>
    </xf>
    <xf numFmtId="0" fontId="135" fillId="0" borderId="0" xfId="0" applyFont="1"/>
    <xf numFmtId="0" fontId="136" fillId="35" borderId="63" xfId="0" quotePrefix="1" applyFont="1" applyFill="1" applyBorder="1" applyAlignment="1">
      <alignment horizontal="centerContinuous"/>
    </xf>
    <xf numFmtId="0" fontId="135" fillId="35" borderId="63" xfId="0" applyFont="1" applyFill="1" applyBorder="1" applyAlignment="1">
      <alignment horizontal="centerContinuous"/>
    </xf>
    <xf numFmtId="0" fontId="136" fillId="0" borderId="0" xfId="0" applyFont="1" applyAlignment="1">
      <alignment horizontal="center"/>
    </xf>
    <xf numFmtId="0" fontId="135" fillId="0" borderId="0" xfId="0" applyFont="1" applyAlignment="1">
      <alignment vertical="center"/>
    </xf>
    <xf numFmtId="0" fontId="135" fillId="0" borderId="0" xfId="0" applyFont="1" applyAlignment="1">
      <alignment horizontal="center"/>
    </xf>
    <xf numFmtId="0" fontId="135" fillId="0" borderId="0" xfId="0" applyFont="1" applyAlignment="1">
      <alignment horizontal="right"/>
    </xf>
    <xf numFmtId="0" fontId="136" fillId="23" borderId="11" xfId="0" quotePrefix="1" applyFont="1" applyFill="1" applyBorder="1" applyAlignment="1">
      <alignment horizontal="left"/>
    </xf>
    <xf numFmtId="0" fontId="136" fillId="23" borderId="19" xfId="0" applyFont="1" applyFill="1" applyBorder="1" applyAlignment="1">
      <alignment horizontal="center"/>
    </xf>
    <xf numFmtId="0" fontId="136" fillId="23" borderId="12" xfId="0" applyFont="1" applyFill="1" applyBorder="1" applyAlignment="1">
      <alignment horizontal="center"/>
    </xf>
    <xf numFmtId="0" fontId="135" fillId="0" borderId="20" xfId="0" applyFont="1" applyBorder="1" applyAlignment="1">
      <alignment horizontal="center"/>
    </xf>
    <xf numFmtId="167" fontId="135" fillId="0" borderId="21" xfId="0" applyNumberFormat="1" applyFont="1" applyBorder="1"/>
    <xf numFmtId="167" fontId="135" fillId="0" borderId="22" xfId="0" applyNumberFormat="1" applyFont="1" applyBorder="1" applyAlignment="1">
      <alignment vertical="center"/>
    </xf>
    <xf numFmtId="0" fontId="135" fillId="0" borderId="27" xfId="0" applyFont="1" applyBorder="1" applyAlignment="1">
      <alignment horizontal="center"/>
    </xf>
    <xf numFmtId="167" fontId="135" fillId="0" borderId="13" xfId="0" applyNumberFormat="1" applyFont="1" applyBorder="1"/>
    <xf numFmtId="167" fontId="135" fillId="0" borderId="25" xfId="0" applyNumberFormat="1" applyFont="1" applyBorder="1"/>
    <xf numFmtId="0" fontId="135" fillId="0" borderId="30" xfId="0" applyFont="1" applyBorder="1" applyAlignment="1">
      <alignment horizontal="center"/>
    </xf>
    <xf numFmtId="167" fontId="135" fillId="0" borderId="28" xfId="0" applyNumberFormat="1" applyFont="1" applyBorder="1"/>
    <xf numFmtId="167" fontId="135" fillId="0" borderId="44" xfId="0" applyNumberFormat="1" applyFont="1" applyBorder="1"/>
    <xf numFmtId="0" fontId="136" fillId="23" borderId="11" xfId="0" quotePrefix="1" applyFont="1" applyFill="1" applyBorder="1" applyAlignment="1">
      <alignment horizontal="center"/>
    </xf>
    <xf numFmtId="0" fontId="136" fillId="23" borderId="19" xfId="0" quotePrefix="1" applyFont="1" applyFill="1" applyBorder="1" applyAlignment="1">
      <alignment horizontal="center"/>
    </xf>
    <xf numFmtId="0" fontId="135" fillId="0" borderId="21" xfId="0" applyFont="1" applyBorder="1"/>
    <xf numFmtId="0" fontId="135" fillId="0" borderId="21" xfId="0" applyFont="1" applyBorder="1" applyAlignment="1">
      <alignment vertical="center"/>
    </xf>
    <xf numFmtId="166" fontId="135" fillId="0" borderId="22" xfId="0" applyNumberFormat="1" applyFont="1" applyBorder="1" applyAlignment="1">
      <alignment vertical="center"/>
    </xf>
    <xf numFmtId="0" fontId="135" fillId="0" borderId="13" xfId="0" applyFont="1" applyBorder="1"/>
    <xf numFmtId="166" fontId="135" fillId="0" borderId="25" xfId="0" applyNumberFormat="1" applyFont="1" applyBorder="1"/>
    <xf numFmtId="0" fontId="135" fillId="0" borderId="28" xfId="0" applyFont="1" applyBorder="1"/>
    <xf numFmtId="166" fontId="135" fillId="0" borderId="44" xfId="0" applyNumberFormat="1" applyFont="1" applyBorder="1"/>
    <xf numFmtId="0" fontId="22" fillId="35" borderId="63" xfId="0" quotePrefix="1" applyFont="1" applyFill="1" applyBorder="1" applyAlignment="1">
      <alignment horizontal="center"/>
    </xf>
    <xf numFmtId="176" fontId="0" fillId="32" borderId="57" xfId="0" applyNumberFormat="1" applyFill="1" applyBorder="1" applyAlignment="1">
      <alignment horizontal="centerContinuous"/>
    </xf>
    <xf numFmtId="0" fontId="7" fillId="25" borderId="25" xfId="0" applyFont="1" applyFill="1" applyBorder="1" applyAlignment="1">
      <alignment horizontal="left"/>
    </xf>
    <xf numFmtId="0" fontId="38" fillId="39" borderId="95" xfId="0" applyFont="1" applyFill="1" applyBorder="1" applyProtection="1">
      <protection locked="0"/>
    </xf>
    <xf numFmtId="0" fontId="28" fillId="47" borderId="81" xfId="0" quotePrefix="1" applyFont="1" applyFill="1" applyBorder="1" applyAlignment="1">
      <alignment horizontal="center" vertical="center" wrapText="1"/>
    </xf>
    <xf numFmtId="0" fontId="28" fillId="47" borderId="142" xfId="0" quotePrefix="1" applyFont="1" applyFill="1" applyBorder="1" applyAlignment="1">
      <alignment vertical="center" wrapText="1"/>
    </xf>
    <xf numFmtId="0" fontId="0" fillId="62" borderId="143" xfId="0" applyFill="1" applyBorder="1" applyAlignment="1">
      <alignment horizontal="center"/>
    </xf>
    <xf numFmtId="0" fontId="0" fillId="62" borderId="144" xfId="0" applyFill="1" applyBorder="1" applyAlignment="1">
      <alignment horizontal="center"/>
    </xf>
    <xf numFmtId="0" fontId="0" fillId="62" borderId="144" xfId="0" applyFill="1" applyBorder="1"/>
    <xf numFmtId="0" fontId="0" fillId="62" borderId="145" xfId="0" applyFill="1" applyBorder="1" applyAlignment="1">
      <alignment horizontal="center"/>
    </xf>
    <xf numFmtId="0" fontId="0" fillId="62" borderId="125" xfId="0" applyFill="1" applyBorder="1" applyAlignment="1">
      <alignment horizontal="center"/>
    </xf>
    <xf numFmtId="0" fontId="0" fillId="62" borderId="126" xfId="0" applyFill="1" applyBorder="1" applyAlignment="1">
      <alignment horizontal="center"/>
    </xf>
    <xf numFmtId="0" fontId="0" fillId="62" borderId="126" xfId="0" applyFill="1" applyBorder="1"/>
    <xf numFmtId="0" fontId="0" fillId="62" borderId="146" xfId="0" applyFill="1" applyBorder="1" applyAlignment="1">
      <alignment horizontal="center"/>
    </xf>
    <xf numFmtId="0" fontId="0" fillId="62" borderId="147" xfId="0" applyFill="1" applyBorder="1" applyAlignment="1">
      <alignment horizontal="center"/>
    </xf>
    <xf numFmtId="0" fontId="0" fillId="62" borderId="147" xfId="0" applyFill="1" applyBorder="1"/>
    <xf numFmtId="0" fontId="0" fillId="62" borderId="148" xfId="0" applyFill="1" applyBorder="1" applyAlignment="1">
      <alignment horizontal="center"/>
    </xf>
    <xf numFmtId="0" fontId="7" fillId="62" borderId="126" xfId="0" applyFont="1" applyFill="1" applyBorder="1" applyAlignment="1">
      <alignment horizontal="center"/>
    </xf>
    <xf numFmtId="0" fontId="0" fillId="63" borderId="145" xfId="0" applyFill="1" applyBorder="1" applyAlignment="1">
      <alignment horizontal="center"/>
    </xf>
    <xf numFmtId="0" fontId="0" fillId="63" borderId="146" xfId="0" applyFill="1" applyBorder="1" applyAlignment="1">
      <alignment horizontal="center"/>
    </xf>
    <xf numFmtId="0" fontId="28" fillId="47" borderId="123" xfId="0" quotePrefix="1" applyFont="1" applyFill="1" applyBorder="1" applyAlignment="1">
      <alignment horizontal="center" vertical="center" wrapText="1"/>
    </xf>
    <xf numFmtId="0" fontId="28" fillId="47" borderId="142" xfId="0" quotePrefix="1" applyFont="1" applyFill="1" applyBorder="1" applyAlignment="1">
      <alignment horizontal="center" vertical="center" wrapText="1"/>
    </xf>
    <xf numFmtId="0" fontId="28" fillId="47" borderId="142" xfId="0" applyFont="1" applyFill="1" applyBorder="1" applyAlignment="1">
      <alignment horizontal="center" vertical="center" wrapText="1"/>
    </xf>
    <xf numFmtId="0" fontId="28" fillId="47" borderId="149" xfId="0" applyFont="1" applyFill="1" applyBorder="1" applyAlignment="1">
      <alignment horizontal="center" vertical="center" wrapText="1"/>
    </xf>
    <xf numFmtId="0" fontId="0" fillId="62" borderId="128" xfId="0" applyFill="1" applyBorder="1" applyAlignment="1">
      <alignment horizontal="center"/>
    </xf>
    <xf numFmtId="0" fontId="7" fillId="62" borderId="147" xfId="0" applyFont="1" applyFill="1" applyBorder="1" applyAlignment="1">
      <alignment horizontal="center"/>
    </xf>
    <xf numFmtId="0" fontId="7" fillId="62" borderId="148" xfId="0" applyFont="1" applyFill="1" applyBorder="1" applyAlignment="1">
      <alignment horizontal="center"/>
    </xf>
    <xf numFmtId="0" fontId="23" fillId="0" borderId="0" xfId="0" applyFont="1" applyAlignment="1">
      <alignment vertical="center"/>
    </xf>
    <xf numFmtId="0" fontId="131" fillId="0" borderId="0" xfId="0" applyFont="1" applyAlignment="1">
      <alignment horizontal="center" vertical="center"/>
    </xf>
    <xf numFmtId="0" fontId="22" fillId="35" borderId="57" xfId="0" applyFont="1" applyFill="1" applyBorder="1" applyAlignment="1">
      <alignment horizontal="centerContinuous" vertical="center"/>
    </xf>
    <xf numFmtId="0" fontId="22" fillId="35" borderId="63" xfId="0" quotePrefix="1" applyFont="1" applyFill="1" applyBorder="1" applyAlignment="1">
      <alignment horizontal="centerContinuous" vertical="center"/>
    </xf>
    <xf numFmtId="0" fontId="22" fillId="35" borderId="64" xfId="0" quotePrefix="1" applyFont="1" applyFill="1" applyBorder="1" applyAlignment="1">
      <alignment horizontal="centerContinuous" vertical="center"/>
    </xf>
    <xf numFmtId="0" fontId="22" fillId="23" borderId="14" xfId="0" applyFont="1" applyFill="1" applyBorder="1" applyAlignment="1">
      <alignment horizontal="center" vertical="center"/>
    </xf>
    <xf numFmtId="0" fontId="22" fillId="23" borderId="15" xfId="0" quotePrefix="1" applyFont="1" applyFill="1" applyBorder="1" applyAlignment="1">
      <alignment horizontal="left" vertical="center"/>
    </xf>
    <xf numFmtId="0" fontId="22" fillId="23" borderId="16" xfId="0" applyFont="1" applyFill="1" applyBorder="1" applyAlignment="1">
      <alignment horizontal="center" vertical="center"/>
    </xf>
    <xf numFmtId="0" fontId="22" fillId="23" borderId="40" xfId="0" applyFont="1" applyFill="1" applyBorder="1" applyAlignment="1">
      <alignment horizontal="center" vertical="center"/>
    </xf>
    <xf numFmtId="0" fontId="22" fillId="23" borderId="18" xfId="0" applyFont="1" applyFill="1" applyBorder="1" applyAlignment="1">
      <alignment horizontal="center" vertical="center"/>
    </xf>
    <xf numFmtId="0" fontId="22" fillId="23" borderId="19" xfId="0" quotePrefix="1" applyFont="1" applyFill="1" applyBorder="1" applyAlignment="1">
      <alignment horizontal="center" vertical="center"/>
    </xf>
    <xf numFmtId="0" fontId="22" fillId="23" borderId="19" xfId="0" applyFont="1" applyFill="1" applyBorder="1" applyAlignment="1">
      <alignment horizontal="center" vertical="center"/>
    </xf>
    <xf numFmtId="0" fontId="22" fillId="23" borderId="12" xfId="0" applyFont="1" applyFill="1" applyBorder="1" applyAlignment="1">
      <alignment horizontal="center" vertical="center"/>
    </xf>
    <xf numFmtId="0" fontId="22" fillId="23" borderId="12" xfId="0" quotePrefix="1" applyFont="1" applyFill="1" applyBorder="1" applyAlignment="1">
      <alignment horizontal="center" vertical="center"/>
    </xf>
    <xf numFmtId="0" fontId="22" fillId="23" borderId="10" xfId="0" quotePrefix="1" applyFont="1" applyFill="1" applyBorder="1" applyAlignment="1">
      <alignment horizontal="left" vertical="center"/>
    </xf>
    <xf numFmtId="0" fontId="22" fillId="23" borderId="16" xfId="0" quotePrefix="1" applyFont="1" applyFill="1" applyBorder="1" applyAlignment="1">
      <alignment horizontal="center" vertical="center"/>
    </xf>
    <xf numFmtId="0" fontId="22" fillId="23" borderId="17" xfId="0" applyFont="1" applyFill="1" applyBorder="1" applyAlignment="1">
      <alignment horizontal="center" vertical="center"/>
    </xf>
    <xf numFmtId="0" fontId="22" fillId="23" borderId="15" xfId="0" applyFont="1" applyFill="1" applyBorder="1" applyAlignment="1">
      <alignment horizontal="center" vertical="center"/>
    </xf>
    <xf numFmtId="0" fontId="22" fillId="23" borderId="17" xfId="0" quotePrefix="1" applyFont="1" applyFill="1" applyBorder="1" applyAlignment="1">
      <alignment horizontal="center" vertical="center"/>
    </xf>
    <xf numFmtId="0" fontId="22" fillId="23" borderId="57" xfId="0" applyFont="1" applyFill="1" applyBorder="1" applyAlignment="1">
      <alignment horizontal="centerContinuous" vertical="center"/>
    </xf>
    <xf numFmtId="0" fontId="22" fillId="23" borderId="63" xfId="0" applyFont="1" applyFill="1" applyBorder="1" applyAlignment="1">
      <alignment horizontal="centerContinuous" vertical="center"/>
    </xf>
    <xf numFmtId="0" fontId="22" fillId="23" borderId="64" xfId="0" applyFont="1" applyFill="1" applyBorder="1" applyAlignment="1">
      <alignment horizontal="centerContinuous" vertical="center"/>
    </xf>
    <xf numFmtId="0" fontId="7" fillId="0" borderId="20" xfId="0" applyFont="1" applyBorder="1" applyAlignment="1">
      <alignment horizontal="center" vertical="center"/>
    </xf>
    <xf numFmtId="167" fontId="0" fillId="0" borderId="21" xfId="0" applyNumberFormat="1" applyBorder="1" applyAlignment="1">
      <alignment vertical="center"/>
    </xf>
    <xf numFmtId="167" fontId="0" fillId="0" borderId="41" xfId="0" applyNumberFormat="1" applyBorder="1" applyAlignment="1">
      <alignment vertical="center"/>
    </xf>
    <xf numFmtId="0" fontId="0" fillId="25" borderId="31" xfId="0" applyFill="1" applyBorder="1" applyAlignment="1">
      <alignment horizontal="center" vertical="center"/>
    </xf>
    <xf numFmtId="166" fontId="0" fillId="25" borderId="21" xfId="0" applyNumberFormat="1" applyFill="1" applyBorder="1" applyAlignment="1">
      <alignment horizontal="center" vertical="center"/>
    </xf>
    <xf numFmtId="0" fontId="0" fillId="25" borderId="31" xfId="0" applyFill="1" applyBorder="1" applyAlignment="1">
      <alignment vertical="center"/>
    </xf>
    <xf numFmtId="166" fontId="0" fillId="25" borderId="41" xfId="0" applyNumberFormat="1" applyFill="1" applyBorder="1" applyAlignment="1">
      <alignment horizontal="center" vertical="center"/>
    </xf>
    <xf numFmtId="0" fontId="0" fillId="25" borderId="24" xfId="0" applyFill="1" applyBorder="1" applyAlignment="1">
      <alignment vertical="center"/>
    </xf>
    <xf numFmtId="0" fontId="7" fillId="0" borderId="21" xfId="0" applyFont="1" applyBorder="1" applyAlignment="1">
      <alignment horizontal="center" vertical="center"/>
    </xf>
    <xf numFmtId="0" fontId="7" fillId="0" borderId="22" xfId="0" applyFont="1" applyBorder="1" applyAlignment="1">
      <alignment horizontal="center" vertical="center"/>
    </xf>
    <xf numFmtId="167" fontId="0" fillId="0" borderId="13" xfId="0" applyNumberFormat="1" applyBorder="1" applyAlignment="1">
      <alignment vertical="center"/>
    </xf>
    <xf numFmtId="167" fontId="0" fillId="0" borderId="43" xfId="0" applyNumberFormat="1" applyBorder="1" applyAlignment="1">
      <alignment vertical="center"/>
    </xf>
    <xf numFmtId="166" fontId="0" fillId="25" borderId="13" xfId="0" applyNumberFormat="1" applyFill="1" applyBorder="1" applyAlignment="1">
      <alignment horizontal="center" vertical="center"/>
    </xf>
    <xf numFmtId="0" fontId="0" fillId="25" borderId="26" xfId="0" applyFill="1" applyBorder="1" applyAlignment="1">
      <alignment vertical="center"/>
    </xf>
    <xf numFmtId="0" fontId="7" fillId="0" borderId="27" xfId="0" applyFont="1" applyBorder="1" applyAlignment="1">
      <alignment horizontal="center" vertical="center"/>
    </xf>
    <xf numFmtId="0" fontId="7" fillId="0" borderId="25" xfId="0" applyFont="1" applyBorder="1" applyAlignment="1">
      <alignment horizontal="center" vertical="center"/>
    </xf>
    <xf numFmtId="0" fontId="0" fillId="25" borderId="29" xfId="0" applyFill="1" applyBorder="1" applyAlignment="1">
      <alignment vertical="center"/>
    </xf>
    <xf numFmtId="0" fontId="7" fillId="0" borderId="30" xfId="0" applyFont="1" applyBorder="1" applyAlignment="1">
      <alignment horizontal="center" vertical="center"/>
    </xf>
    <xf numFmtId="0" fontId="7" fillId="0" borderId="28" xfId="0" applyFont="1" applyBorder="1" applyAlignment="1">
      <alignment horizontal="center" vertical="center"/>
    </xf>
    <xf numFmtId="0" fontId="7" fillId="0" borderId="44" xfId="0" applyFont="1" applyBorder="1" applyAlignment="1">
      <alignment horizontal="center" vertical="center"/>
    </xf>
    <xf numFmtId="20" fontId="0" fillId="0" borderId="18" xfId="0" applyNumberFormat="1" applyBorder="1" applyAlignment="1">
      <alignment horizontal="center" vertical="center"/>
    </xf>
    <xf numFmtId="0" fontId="22" fillId="25" borderId="20" xfId="0" applyFont="1" applyFill="1" applyBorder="1" applyAlignment="1">
      <alignment horizontal="center" vertical="center"/>
    </xf>
    <xf numFmtId="0" fontId="102" fillId="25" borderId="21" xfId="0" applyFont="1" applyFill="1" applyBorder="1" applyAlignment="1" applyProtection="1">
      <alignment horizontal="center" vertical="center" wrapText="1"/>
      <protection locked="0"/>
    </xf>
    <xf numFmtId="0" fontId="102" fillId="26" borderId="21" xfId="0" applyFont="1" applyFill="1" applyBorder="1" applyAlignment="1">
      <alignment horizontal="center" vertical="center" wrapText="1"/>
    </xf>
    <xf numFmtId="0" fontId="22" fillId="25" borderId="22" xfId="0" applyFont="1" applyFill="1" applyBorder="1" applyAlignment="1">
      <alignment horizontal="center" vertical="center"/>
    </xf>
    <xf numFmtId="20" fontId="0" fillId="24" borderId="26" xfId="0" applyNumberFormat="1" applyFill="1" applyBorder="1" applyAlignment="1">
      <alignment horizontal="center" vertical="center"/>
    </xf>
    <xf numFmtId="0" fontId="24" fillId="0" borderId="53" xfId="0" applyFont="1" applyBorder="1" applyAlignment="1">
      <alignment horizontal="center" vertical="center" wrapText="1"/>
    </xf>
    <xf numFmtId="0" fontId="24" fillId="0" borderId="26" xfId="0" applyFont="1" applyBorder="1" applyAlignment="1">
      <alignment vertical="center" wrapText="1"/>
    </xf>
    <xf numFmtId="0" fontId="24" fillId="0" borderId="43" xfId="0" applyFont="1" applyBorder="1" applyAlignment="1" applyProtection="1">
      <alignment horizontal="center" vertical="center" wrapText="1"/>
      <protection locked="0"/>
    </xf>
    <xf numFmtId="0" fontId="0" fillId="0" borderId="25" xfId="0" applyBorder="1" applyAlignment="1">
      <alignment horizontal="left" vertical="center" wrapText="1"/>
    </xf>
    <xf numFmtId="167" fontId="0" fillId="0" borderId="0" xfId="0" applyNumberFormat="1" applyAlignment="1">
      <alignment vertical="center"/>
    </xf>
    <xf numFmtId="166" fontId="0" fillId="0" borderId="0" xfId="0" applyNumberFormat="1" applyAlignment="1">
      <alignment vertical="center"/>
    </xf>
    <xf numFmtId="20" fontId="0" fillId="24" borderId="150" xfId="0" applyNumberFormat="1" applyFill="1" applyBorder="1" applyAlignment="1">
      <alignment horizontal="center" vertical="center"/>
    </xf>
    <xf numFmtId="20" fontId="0" fillId="24" borderId="49" xfId="0" applyNumberFormat="1" applyFill="1" applyBorder="1" applyAlignment="1">
      <alignment horizontal="center" vertical="center" wrapText="1"/>
    </xf>
    <xf numFmtId="20" fontId="0" fillId="47" borderId="25" xfId="0" applyNumberFormat="1" applyFill="1" applyBorder="1" applyAlignment="1">
      <alignment horizontal="center" vertical="center" wrapText="1"/>
    </xf>
    <xf numFmtId="0" fontId="0" fillId="24" borderId="104" xfId="0" applyFill="1" applyBorder="1" applyAlignment="1">
      <alignment horizontal="center" vertical="center" wrapText="1"/>
    </xf>
    <xf numFmtId="20" fontId="0" fillId="24" borderId="59" xfId="0" applyNumberFormat="1" applyFill="1" applyBorder="1" applyAlignment="1">
      <alignment horizontal="center" vertical="center"/>
    </xf>
    <xf numFmtId="20" fontId="0" fillId="24" borderId="0" xfId="0" applyNumberFormat="1" applyFill="1" applyAlignment="1">
      <alignment horizontal="center" vertical="center" wrapText="1"/>
    </xf>
    <xf numFmtId="20" fontId="0" fillId="47" borderId="105" xfId="0" applyNumberFormat="1" applyFill="1" applyBorder="1" applyAlignment="1">
      <alignment horizontal="center" vertical="center" wrapText="1"/>
    </xf>
    <xf numFmtId="0" fontId="0" fillId="0" borderId="103" xfId="0" applyBorder="1" applyAlignment="1">
      <alignment horizontal="right" vertical="center" wrapText="1"/>
    </xf>
    <xf numFmtId="0" fontId="24" fillId="0" borderId="104" xfId="0" applyFont="1" applyBorder="1" applyAlignment="1" applyProtection="1">
      <alignment horizontal="center" vertical="center" wrapText="1"/>
      <protection locked="0"/>
    </xf>
    <xf numFmtId="0" fontId="0" fillId="24" borderId="122" xfId="0" applyFill="1" applyBorder="1" applyAlignment="1">
      <alignment horizontal="center" vertical="center" wrapText="1"/>
    </xf>
    <xf numFmtId="0" fontId="24" fillId="0" borderId="83" xfId="0" applyFont="1" applyBorder="1" applyAlignment="1" applyProtection="1">
      <alignment horizontal="center" vertical="center" wrapText="1"/>
      <protection locked="0"/>
    </xf>
    <xf numFmtId="0" fontId="0" fillId="0" borderId="105" xfId="0" applyBorder="1" applyAlignment="1">
      <alignment horizontal="left" vertical="center" wrapText="1"/>
    </xf>
    <xf numFmtId="20" fontId="0" fillId="0" borderId="24" xfId="0" applyNumberFormat="1" applyBorder="1" applyAlignment="1">
      <alignment horizontal="center" vertical="center"/>
    </xf>
    <xf numFmtId="0" fontId="102" fillId="25" borderId="31" xfId="0" applyFont="1" applyFill="1" applyBorder="1" applyAlignment="1" applyProtection="1">
      <alignment horizontal="center" vertical="center" wrapText="1"/>
      <protection locked="0"/>
    </xf>
    <xf numFmtId="20" fontId="0" fillId="24" borderId="61" xfId="0" applyNumberFormat="1" applyFill="1" applyBorder="1" applyAlignment="1">
      <alignment horizontal="center" vertical="center"/>
    </xf>
    <xf numFmtId="20" fontId="0" fillId="24" borderId="62" xfId="0" applyNumberFormat="1" applyFill="1" applyBorder="1" applyAlignment="1">
      <alignment horizontal="center" vertical="center" wrapText="1"/>
    </xf>
    <xf numFmtId="20" fontId="0" fillId="47" borderId="44" xfId="0" applyNumberFormat="1" applyFill="1" applyBorder="1" applyAlignment="1">
      <alignment horizontal="center" vertical="center" wrapText="1"/>
    </xf>
    <xf numFmtId="0" fontId="0" fillId="24" borderId="39" xfId="0" applyFill="1" applyBorder="1" applyAlignment="1">
      <alignment horizontal="center" vertical="center" wrapText="1"/>
    </xf>
    <xf numFmtId="0" fontId="24" fillId="0" borderId="46" xfId="0" applyFont="1" applyBorder="1" applyAlignment="1" applyProtection="1">
      <alignment horizontal="center" vertical="center" wrapText="1"/>
      <protection locked="0"/>
    </xf>
    <xf numFmtId="0" fontId="0" fillId="0" borderId="44" xfId="0" applyBorder="1" applyAlignment="1">
      <alignment horizontal="left" vertical="center" wrapText="1"/>
    </xf>
    <xf numFmtId="0" fontId="22" fillId="25" borderId="11" xfId="0" applyFont="1" applyFill="1" applyBorder="1" applyAlignment="1">
      <alignment horizontal="center" vertical="center"/>
    </xf>
    <xf numFmtId="0" fontId="102" fillId="25" borderId="19" xfId="0" applyFont="1" applyFill="1" applyBorder="1" applyAlignment="1" applyProtection="1">
      <alignment horizontal="center" vertical="center" wrapText="1"/>
      <protection locked="0"/>
    </xf>
    <xf numFmtId="0" fontId="102" fillId="26" borderId="19" xfId="0" applyFont="1" applyFill="1" applyBorder="1" applyAlignment="1">
      <alignment horizontal="center" vertical="center" wrapText="1"/>
    </xf>
    <xf numFmtId="0" fontId="22" fillId="25" borderId="12" xfId="0" applyFont="1" applyFill="1" applyBorder="1" applyAlignment="1">
      <alignment horizontal="center" vertical="center"/>
    </xf>
    <xf numFmtId="0" fontId="0" fillId="0" borderId="50" xfId="0" applyBorder="1" applyAlignment="1">
      <alignment horizontal="center" vertical="center"/>
    </xf>
    <xf numFmtId="0" fontId="0" fillId="0" borderId="50" xfId="0" applyBorder="1" applyAlignment="1">
      <alignment vertical="center"/>
    </xf>
    <xf numFmtId="0" fontId="0" fillId="0" borderId="50" xfId="0" applyBorder="1" applyAlignment="1">
      <alignment horizontal="right" vertical="center"/>
    </xf>
    <xf numFmtId="0" fontId="0" fillId="0" borderId="50" xfId="0" applyBorder="1" applyAlignment="1">
      <alignment horizontal="left" vertical="center"/>
    </xf>
    <xf numFmtId="0" fontId="22" fillId="35" borderId="57" xfId="0" quotePrefix="1" applyFont="1" applyFill="1" applyBorder="1" applyAlignment="1">
      <alignment horizontal="centerContinuous" vertical="center"/>
    </xf>
    <xf numFmtId="0" fontId="22" fillId="25" borderId="27" xfId="0" applyFont="1" applyFill="1" applyBorder="1" applyAlignment="1">
      <alignment horizontal="center" vertical="center"/>
    </xf>
    <xf numFmtId="0" fontId="102" fillId="25" borderId="13" xfId="0" applyFont="1" applyFill="1" applyBorder="1" applyAlignment="1" applyProtection="1">
      <alignment horizontal="center" vertical="center" wrapText="1"/>
      <protection locked="0"/>
    </xf>
    <xf numFmtId="0" fontId="102" fillId="26" borderId="13" xfId="0" applyFont="1" applyFill="1" applyBorder="1" applyAlignment="1">
      <alignment horizontal="center" vertical="center" wrapText="1"/>
    </xf>
    <xf numFmtId="0" fontId="22" fillId="25" borderId="25" xfId="0" applyFont="1" applyFill="1" applyBorder="1" applyAlignment="1">
      <alignment horizontal="center" vertical="center"/>
    </xf>
    <xf numFmtId="0" fontId="24" fillId="0" borderId="67" xfId="0" applyFont="1" applyBorder="1" applyAlignment="1" applyProtection="1">
      <alignment horizontal="center" vertical="center" wrapText="1"/>
      <protection locked="0"/>
    </xf>
    <xf numFmtId="0" fontId="0" fillId="25" borderId="24" xfId="0" applyFill="1" applyBorder="1" applyAlignment="1">
      <alignment vertical="center" wrapText="1"/>
    </xf>
    <xf numFmtId="0" fontId="0" fillId="25" borderId="26" xfId="0" applyFill="1" applyBorder="1" applyAlignment="1">
      <alignment vertical="center" wrapText="1"/>
    </xf>
    <xf numFmtId="0" fontId="0" fillId="25" borderId="9" xfId="0" applyFill="1" applyBorder="1" applyAlignment="1">
      <alignment vertical="center"/>
    </xf>
    <xf numFmtId="166" fontId="0" fillId="25" borderId="43" xfId="0" applyNumberFormat="1" applyFill="1" applyBorder="1" applyAlignment="1">
      <alignment horizontal="center" vertical="center"/>
    </xf>
    <xf numFmtId="0" fontId="0" fillId="25" borderId="29" xfId="0" applyFill="1" applyBorder="1" applyAlignment="1">
      <alignment vertical="center" wrapText="1"/>
    </xf>
    <xf numFmtId="0" fontId="0" fillId="25" borderId="32" xfId="0" applyFill="1" applyBorder="1" applyAlignment="1">
      <alignment vertical="center"/>
    </xf>
    <xf numFmtId="166" fontId="0" fillId="25" borderId="46" xfId="0" applyNumberFormat="1" applyFill="1" applyBorder="1" applyAlignment="1">
      <alignment horizontal="center" vertical="center"/>
    </xf>
    <xf numFmtId="0" fontId="22" fillId="23" borderId="14" xfId="0" applyFont="1" applyFill="1" applyBorder="1" applyAlignment="1">
      <alignment horizontal="centerContinuous" vertical="center"/>
    </xf>
    <xf numFmtId="0" fontId="22" fillId="23" borderId="50" xfId="0" applyFont="1" applyFill="1" applyBorder="1" applyAlignment="1">
      <alignment horizontal="centerContinuous" vertical="center"/>
    </xf>
    <xf numFmtId="0" fontId="22" fillId="23" borderId="60" xfId="0" applyFont="1" applyFill="1" applyBorder="1" applyAlignment="1">
      <alignment horizontal="centerContinuous" vertical="center"/>
    </xf>
    <xf numFmtId="20" fontId="0" fillId="0" borderId="38" xfId="0" applyNumberFormat="1" applyBorder="1" applyAlignment="1">
      <alignment horizontal="center" vertical="center"/>
    </xf>
    <xf numFmtId="20" fontId="0" fillId="24" borderId="42" xfId="0" applyNumberFormat="1" applyFill="1" applyBorder="1" applyAlignment="1">
      <alignment horizontal="center" vertical="center"/>
    </xf>
    <xf numFmtId="20" fontId="0" fillId="24" borderId="151" xfId="0" applyNumberFormat="1" applyFill="1" applyBorder="1" applyAlignment="1">
      <alignment horizontal="center" vertical="center"/>
    </xf>
    <xf numFmtId="20" fontId="0" fillId="24" borderId="94" xfId="0" applyNumberFormat="1" applyFill="1" applyBorder="1" applyAlignment="1">
      <alignment horizontal="center" vertical="center" wrapText="1"/>
    </xf>
    <xf numFmtId="0" fontId="0" fillId="24" borderId="33" xfId="0" applyFill="1" applyBorder="1" applyAlignment="1">
      <alignment horizontal="center" vertical="center" wrapText="1"/>
    </xf>
    <xf numFmtId="20" fontId="0" fillId="0" borderId="42" xfId="0" applyNumberFormat="1" applyBorder="1" applyAlignment="1">
      <alignment horizontal="center" vertical="center"/>
    </xf>
    <xf numFmtId="0" fontId="102" fillId="25" borderId="115" xfId="0" applyFont="1" applyFill="1" applyBorder="1" applyAlignment="1" applyProtection="1">
      <alignment horizontal="center" vertical="center" wrapText="1"/>
      <protection locked="0"/>
    </xf>
    <xf numFmtId="0" fontId="102" fillId="26" borderId="33" xfId="0" applyFont="1" applyFill="1" applyBorder="1" applyAlignment="1">
      <alignment horizontal="center" vertical="center" wrapText="1"/>
    </xf>
    <xf numFmtId="0" fontId="102" fillId="25" borderId="33" xfId="0" applyFont="1" applyFill="1" applyBorder="1" applyAlignment="1" applyProtection="1">
      <alignment horizontal="center" vertical="center" wrapText="1"/>
      <protection locked="0"/>
    </xf>
    <xf numFmtId="0" fontId="0" fillId="24" borderId="13" xfId="0" applyFill="1" applyBorder="1" applyAlignment="1">
      <alignment horizontal="center" vertical="center" wrapText="1"/>
    </xf>
    <xf numFmtId="167" fontId="0" fillId="0" borderId="22" xfId="0" applyNumberFormat="1" applyBorder="1" applyAlignment="1">
      <alignment vertical="center"/>
    </xf>
    <xf numFmtId="0" fontId="0" fillId="25" borderId="20" xfId="0" applyFill="1" applyBorder="1" applyAlignment="1">
      <alignment horizontal="center" vertical="center"/>
    </xf>
    <xf numFmtId="0" fontId="0" fillId="25" borderId="24" xfId="0" applyFill="1" applyBorder="1" applyAlignment="1">
      <alignment horizontal="center" vertical="center" wrapText="1"/>
    </xf>
    <xf numFmtId="167" fontId="0" fillId="0" borderId="25" xfId="0" applyNumberFormat="1" applyBorder="1" applyAlignment="1">
      <alignment vertical="center"/>
    </xf>
    <xf numFmtId="0" fontId="0" fillId="25" borderId="27" xfId="0" applyFill="1" applyBorder="1" applyAlignment="1">
      <alignment horizontal="center" vertical="center"/>
    </xf>
    <xf numFmtId="0" fontId="0" fillId="25" borderId="26" xfId="0" applyFill="1" applyBorder="1" applyAlignment="1">
      <alignment horizontal="center" vertical="center" wrapText="1"/>
    </xf>
    <xf numFmtId="0" fontId="0" fillId="0" borderId="28" xfId="0" applyBorder="1" applyAlignment="1">
      <alignment horizontal="center" vertical="center"/>
    </xf>
    <xf numFmtId="167" fontId="0" fillId="0" borderId="28" xfId="0" applyNumberFormat="1" applyBorder="1" applyAlignment="1">
      <alignment vertical="center"/>
    </xf>
    <xf numFmtId="167" fontId="0" fillId="0" borderId="44" xfId="0" applyNumberFormat="1" applyBorder="1" applyAlignment="1">
      <alignment vertical="center"/>
    </xf>
    <xf numFmtId="0" fontId="0" fillId="25" borderId="30" xfId="0" applyFill="1" applyBorder="1" applyAlignment="1">
      <alignment horizontal="center" vertical="center"/>
    </xf>
    <xf numFmtId="166" fontId="0" fillId="25" borderId="28" xfId="0" applyNumberFormat="1" applyFill="1" applyBorder="1" applyAlignment="1">
      <alignment horizontal="center" vertical="center"/>
    </xf>
    <xf numFmtId="0" fontId="0" fillId="25" borderId="29" xfId="0" applyFill="1" applyBorder="1" applyAlignment="1">
      <alignment horizontal="center" vertical="center" wrapText="1"/>
    </xf>
    <xf numFmtId="0" fontId="22" fillId="25" borderId="20" xfId="0" applyFont="1" applyFill="1" applyBorder="1" applyAlignment="1">
      <alignment horizontal="center" vertical="center" wrapText="1"/>
    </xf>
    <xf numFmtId="0" fontId="22" fillId="25" borderId="22" xfId="0" applyFont="1" applyFill="1" applyBorder="1" applyAlignment="1">
      <alignment horizontal="center" vertical="center" wrapText="1"/>
    </xf>
    <xf numFmtId="0" fontId="0" fillId="0" borderId="27" xfId="0" applyBorder="1" applyAlignment="1">
      <alignment horizontal="center" vertical="center" wrapText="1"/>
    </xf>
    <xf numFmtId="0" fontId="0" fillId="0" borderId="25" xfId="0" applyBorder="1" applyAlignment="1">
      <alignment horizontal="center" vertical="center" wrapText="1"/>
    </xf>
    <xf numFmtId="0" fontId="22" fillId="25" borderId="27" xfId="0" applyFont="1" applyFill="1" applyBorder="1" applyAlignment="1">
      <alignment horizontal="center" vertical="center" wrapText="1"/>
    </xf>
    <xf numFmtId="0" fontId="22" fillId="25" borderId="25" xfId="0" applyFont="1" applyFill="1" applyBorder="1" applyAlignment="1">
      <alignment horizontal="center" vertical="center" wrapText="1"/>
    </xf>
    <xf numFmtId="0" fontId="0" fillId="0" borderId="30" xfId="0" applyBorder="1" applyAlignment="1">
      <alignment horizontal="center" vertical="center" wrapText="1"/>
    </xf>
    <xf numFmtId="0" fontId="0" fillId="0" borderId="44" xfId="0" applyBorder="1" applyAlignment="1">
      <alignment horizontal="center" vertical="center" wrapText="1"/>
    </xf>
    <xf numFmtId="0" fontId="0" fillId="0" borderId="103" xfId="0" applyBorder="1" applyAlignment="1">
      <alignment horizontal="center" vertical="center" wrapText="1"/>
    </xf>
    <xf numFmtId="0" fontId="0" fillId="0" borderId="105" xfId="0" applyBorder="1" applyAlignment="1">
      <alignment horizontal="center" vertical="center" wrapText="1"/>
    </xf>
    <xf numFmtId="0" fontId="102" fillId="23" borderId="14" xfId="0" applyFont="1" applyFill="1" applyBorder="1" applyAlignment="1">
      <alignment horizontal="center" vertical="center"/>
    </xf>
    <xf numFmtId="0" fontId="102" fillId="23" borderId="15" xfId="0" quotePrefix="1" applyFont="1" applyFill="1" applyBorder="1" applyAlignment="1">
      <alignment horizontal="left" vertical="center"/>
    </xf>
    <xf numFmtId="0" fontId="102" fillId="23" borderId="16" xfId="0" applyFont="1" applyFill="1" applyBorder="1" applyAlignment="1">
      <alignment horizontal="center" vertical="center"/>
    </xf>
    <xf numFmtId="0" fontId="102" fillId="23" borderId="40" xfId="0" applyFont="1" applyFill="1" applyBorder="1" applyAlignment="1">
      <alignment horizontal="center" vertical="center"/>
    </xf>
    <xf numFmtId="0" fontId="102" fillId="23" borderId="18" xfId="0" applyFont="1" applyFill="1" applyBorder="1" applyAlignment="1">
      <alignment horizontal="center" vertical="center"/>
    </xf>
    <xf numFmtId="0" fontId="102" fillId="23" borderId="19" xfId="0" quotePrefix="1" applyFont="1" applyFill="1" applyBorder="1" applyAlignment="1">
      <alignment horizontal="center" vertical="center"/>
    </xf>
    <xf numFmtId="0" fontId="102" fillId="23" borderId="19" xfId="0" applyFont="1" applyFill="1" applyBorder="1" applyAlignment="1">
      <alignment horizontal="center" vertical="center"/>
    </xf>
    <xf numFmtId="0" fontId="102" fillId="23" borderId="12" xfId="0" applyFont="1" applyFill="1" applyBorder="1" applyAlignment="1">
      <alignment horizontal="center" vertical="center"/>
    </xf>
    <xf numFmtId="0" fontId="102" fillId="23" borderId="12" xfId="0" quotePrefix="1" applyFont="1" applyFill="1" applyBorder="1" applyAlignment="1">
      <alignment horizontal="center" vertical="center"/>
    </xf>
    <xf numFmtId="0" fontId="103" fillId="0" borderId="0" xfId="0" applyFont="1" applyAlignment="1">
      <alignment horizontal="center" vertical="center"/>
    </xf>
    <xf numFmtId="0" fontId="103" fillId="0" borderId="0" xfId="0" applyFont="1" applyAlignment="1">
      <alignment vertical="center"/>
    </xf>
    <xf numFmtId="0" fontId="102" fillId="23" borderId="10" xfId="0" quotePrefix="1" applyFont="1" applyFill="1" applyBorder="1" applyAlignment="1">
      <alignment horizontal="left" vertical="center"/>
    </xf>
    <xf numFmtId="0" fontId="102" fillId="23" borderId="10" xfId="0" applyFont="1" applyFill="1" applyBorder="1" applyAlignment="1">
      <alignment horizontal="center" vertical="center"/>
    </xf>
    <xf numFmtId="0" fontId="102" fillId="23" borderId="16" xfId="0" quotePrefix="1" applyFont="1" applyFill="1" applyBorder="1" applyAlignment="1">
      <alignment horizontal="center" vertical="center"/>
    </xf>
    <xf numFmtId="0" fontId="102" fillId="23" borderId="17" xfId="0" applyFont="1" applyFill="1" applyBorder="1" applyAlignment="1">
      <alignment horizontal="center" vertical="center"/>
    </xf>
    <xf numFmtId="0" fontId="102" fillId="23" borderId="15" xfId="0" applyFont="1" applyFill="1" applyBorder="1" applyAlignment="1">
      <alignment horizontal="center" vertical="center"/>
    </xf>
    <xf numFmtId="0" fontId="102" fillId="23" borderId="17" xfId="0" quotePrefix="1" applyFont="1" applyFill="1" applyBorder="1" applyAlignment="1">
      <alignment horizontal="center" vertical="center"/>
    </xf>
    <xf numFmtId="165" fontId="103" fillId="0" borderId="0" xfId="0" applyNumberFormat="1" applyFont="1" applyAlignment="1">
      <alignment horizontal="center" vertical="center"/>
    </xf>
    <xf numFmtId="0" fontId="103" fillId="0" borderId="0" xfId="0" applyFont="1" applyAlignment="1">
      <alignment horizontal="right" vertical="center"/>
    </xf>
    <xf numFmtId="0" fontId="0" fillId="0" borderId="13" xfId="0" applyBorder="1" applyAlignment="1">
      <alignment horizontal="center" vertical="center"/>
    </xf>
    <xf numFmtId="0" fontId="102" fillId="23" borderId="14" xfId="0" applyFont="1" applyFill="1" applyBorder="1" applyAlignment="1">
      <alignment horizontal="centerContinuous" vertical="center"/>
    </xf>
    <xf numFmtId="0" fontId="102" fillId="23" borderId="50" xfId="0" applyFont="1" applyFill="1" applyBorder="1" applyAlignment="1">
      <alignment horizontal="centerContinuous" vertical="center"/>
    </xf>
    <xf numFmtId="0" fontId="102" fillId="23" borderId="60" xfId="0" applyFont="1" applyFill="1" applyBorder="1" applyAlignment="1">
      <alignment horizontal="centerContinuous" vertical="center"/>
    </xf>
    <xf numFmtId="0" fontId="104" fillId="0" borderId="0" xfId="0" applyFont="1" applyAlignment="1" applyProtection="1">
      <alignment horizontal="center" vertical="center"/>
      <protection locked="0"/>
    </xf>
    <xf numFmtId="20" fontId="7" fillId="0" borderId="38" xfId="0" applyNumberFormat="1" applyFont="1" applyBorder="1" applyAlignment="1">
      <alignment horizontal="center" vertical="center"/>
    </xf>
    <xf numFmtId="0" fontId="102" fillId="25" borderId="20" xfId="0" applyFont="1" applyFill="1" applyBorder="1" applyAlignment="1">
      <alignment horizontal="center" vertical="center" wrapText="1"/>
    </xf>
    <xf numFmtId="0" fontId="102" fillId="25" borderId="22" xfId="0" applyFont="1" applyFill="1" applyBorder="1" applyAlignment="1">
      <alignment horizontal="center" vertical="center" wrapText="1"/>
    </xf>
    <xf numFmtId="20" fontId="7" fillId="24" borderId="42" xfId="0" applyNumberFormat="1" applyFont="1" applyFill="1" applyBorder="1" applyAlignment="1">
      <alignment horizontal="center" vertical="center"/>
    </xf>
    <xf numFmtId="0" fontId="104" fillId="0" borderId="42" xfId="0" applyFont="1" applyBorder="1" applyAlignment="1">
      <alignment horizontal="center" vertical="center" wrapText="1"/>
    </xf>
    <xf numFmtId="0" fontId="7" fillId="0" borderId="26" xfId="0" applyFont="1" applyBorder="1" applyAlignment="1">
      <alignment horizontal="center" vertical="center" wrapText="1"/>
    </xf>
    <xf numFmtId="20" fontId="7" fillId="0" borderId="42" xfId="0" applyNumberFormat="1" applyFont="1" applyBorder="1" applyAlignment="1">
      <alignment horizontal="center" vertical="center"/>
    </xf>
    <xf numFmtId="0" fontId="102" fillId="25" borderId="27" xfId="0" applyFont="1" applyFill="1" applyBorder="1" applyAlignment="1">
      <alignment horizontal="center" vertical="center" wrapText="1"/>
    </xf>
    <xf numFmtId="0" fontId="102" fillId="25" borderId="25" xfId="0" applyFont="1" applyFill="1" applyBorder="1" applyAlignment="1">
      <alignment horizontal="center" vertical="center" wrapText="1"/>
    </xf>
    <xf numFmtId="20" fontId="0" fillId="24" borderId="47" xfId="0" applyNumberFormat="1" applyFill="1" applyBorder="1" applyAlignment="1">
      <alignment horizontal="center" vertical="center" wrapText="1"/>
    </xf>
    <xf numFmtId="20" fontId="0" fillId="0" borderId="26" xfId="0" applyNumberFormat="1" applyBorder="1" applyAlignment="1">
      <alignment horizontal="center" vertical="center"/>
    </xf>
    <xf numFmtId="0" fontId="102" fillId="25" borderId="35" xfId="0" applyFont="1" applyFill="1" applyBorder="1" applyAlignment="1">
      <alignment horizontal="center" vertical="center" wrapText="1"/>
    </xf>
    <xf numFmtId="0" fontId="102" fillId="25" borderId="34" xfId="0" applyFont="1" applyFill="1" applyBorder="1" applyAlignment="1">
      <alignment horizontal="center" vertical="center" wrapText="1"/>
    </xf>
    <xf numFmtId="0" fontId="104" fillId="0" borderId="26" xfId="0" applyFont="1" applyBorder="1" applyAlignment="1">
      <alignment horizontal="center" vertical="center" wrapText="1"/>
    </xf>
    <xf numFmtId="20" fontId="0" fillId="0" borderId="151" xfId="0" applyNumberFormat="1" applyBorder="1" applyAlignment="1">
      <alignment horizontal="center" vertical="center"/>
    </xf>
    <xf numFmtId="20" fontId="0" fillId="24" borderId="45" xfId="0" applyNumberFormat="1" applyFill="1" applyBorder="1" applyAlignment="1">
      <alignment horizontal="center" vertical="center"/>
    </xf>
    <xf numFmtId="20" fontId="0" fillId="24" borderId="141" xfId="0" applyNumberFormat="1" applyFill="1" applyBorder="1" applyAlignment="1">
      <alignment horizontal="center" vertical="center" wrapText="1"/>
    </xf>
    <xf numFmtId="20" fontId="0" fillId="0" borderId="61" xfId="0" applyNumberFormat="1" applyBorder="1" applyAlignment="1">
      <alignment horizontal="center" vertical="center"/>
    </xf>
    <xf numFmtId="0" fontId="102" fillId="25" borderId="30" xfId="0" applyFont="1" applyFill="1" applyBorder="1" applyAlignment="1">
      <alignment horizontal="center" vertical="center" wrapText="1"/>
    </xf>
    <xf numFmtId="0" fontId="102" fillId="25" borderId="28" xfId="0" applyFont="1" applyFill="1" applyBorder="1" applyAlignment="1" applyProtection="1">
      <alignment horizontal="center" vertical="center" wrapText="1"/>
      <protection locked="0"/>
    </xf>
    <xf numFmtId="0" fontId="102" fillId="26" borderId="28" xfId="0" applyFont="1" applyFill="1" applyBorder="1" applyAlignment="1">
      <alignment horizontal="center" vertical="center" wrapText="1"/>
    </xf>
    <xf numFmtId="0" fontId="102" fillId="25" borderId="44" xfId="0" applyFont="1" applyFill="1" applyBorder="1" applyAlignment="1">
      <alignment horizontal="center" vertical="center" wrapText="1"/>
    </xf>
    <xf numFmtId="0" fontId="104" fillId="0" borderId="151" xfId="0" applyFont="1" applyBorder="1" applyAlignment="1">
      <alignment horizontal="center" vertical="center" wrapText="1"/>
    </xf>
    <xf numFmtId="0" fontId="104" fillId="0" borderId="23" xfId="0" applyFont="1" applyBorder="1" applyAlignment="1">
      <alignment horizontal="center" vertical="center" wrapText="1"/>
    </xf>
    <xf numFmtId="0" fontId="0" fillId="0" borderId="35" xfId="0" applyBorder="1" applyAlignment="1">
      <alignment horizontal="center" vertical="center" wrapText="1"/>
    </xf>
    <xf numFmtId="0" fontId="0" fillId="0" borderId="34" xfId="0" applyBorder="1" applyAlignment="1">
      <alignment horizontal="center" vertical="center" wrapText="1"/>
    </xf>
    <xf numFmtId="0" fontId="0" fillId="24" borderId="37" xfId="0" applyFill="1" applyBorder="1" applyAlignment="1">
      <alignment horizontal="center" vertical="center"/>
    </xf>
    <xf numFmtId="0" fontId="0" fillId="0" borderId="39" xfId="0" applyBorder="1" applyAlignment="1">
      <alignment horizontal="center" vertical="center"/>
    </xf>
    <xf numFmtId="167" fontId="0" fillId="0" borderId="39" xfId="0" applyNumberFormat="1" applyBorder="1" applyAlignment="1">
      <alignment vertical="center"/>
    </xf>
    <xf numFmtId="167" fontId="0" fillId="0" borderId="65" xfId="0" applyNumberFormat="1" applyBorder="1" applyAlignment="1">
      <alignment vertical="center"/>
    </xf>
    <xf numFmtId="0" fontId="0" fillId="25" borderId="36" xfId="0" applyFill="1" applyBorder="1" applyAlignment="1">
      <alignment vertical="center" wrapText="1"/>
    </xf>
    <xf numFmtId="0" fontId="0" fillId="25" borderId="39" xfId="0" applyFill="1" applyBorder="1" applyAlignment="1">
      <alignment vertical="center"/>
    </xf>
    <xf numFmtId="0" fontId="102" fillId="25" borderId="38" xfId="0" applyFont="1" applyFill="1" applyBorder="1" applyAlignment="1">
      <alignment horizontal="center" vertical="center"/>
    </xf>
    <xf numFmtId="0" fontId="102" fillId="25" borderId="22" xfId="0" applyFont="1" applyFill="1" applyBorder="1" applyAlignment="1">
      <alignment horizontal="center" vertical="center"/>
    </xf>
    <xf numFmtId="0" fontId="7" fillId="0" borderId="26" xfId="0" applyFont="1" applyBorder="1" applyAlignment="1">
      <alignment vertical="center" wrapText="1"/>
    </xf>
    <xf numFmtId="0" fontId="0" fillId="0" borderId="42" xfId="0" applyBorder="1" applyAlignment="1">
      <alignment horizontal="right" vertical="center" wrapText="1"/>
    </xf>
    <xf numFmtId="20" fontId="7" fillId="0" borderId="151" xfId="0" applyNumberFormat="1" applyFont="1" applyBorder="1" applyAlignment="1">
      <alignment horizontal="center" vertical="center"/>
    </xf>
    <xf numFmtId="0" fontId="102" fillId="25" borderId="42" xfId="0" applyFont="1" applyFill="1" applyBorder="1" applyAlignment="1">
      <alignment horizontal="center" vertical="center" wrapText="1"/>
    </xf>
    <xf numFmtId="0" fontId="102" fillId="25" borderId="53" xfId="0" applyFont="1" applyFill="1" applyBorder="1" applyAlignment="1">
      <alignment horizontal="center" vertical="center" wrapText="1"/>
    </xf>
    <xf numFmtId="0" fontId="104" fillId="0" borderId="26" xfId="0" applyFont="1" applyBorder="1" applyAlignment="1">
      <alignment vertical="center" wrapText="1"/>
    </xf>
    <xf numFmtId="0" fontId="0" fillId="0" borderId="45" xfId="0" applyBorder="1" applyAlignment="1">
      <alignment horizontal="right" vertical="center" wrapText="1"/>
    </xf>
    <xf numFmtId="0" fontId="102" fillId="25" borderId="38" xfId="0" applyFont="1" applyFill="1" applyBorder="1" applyAlignment="1">
      <alignment horizontal="center" vertical="center" wrapText="1"/>
    </xf>
    <xf numFmtId="0" fontId="104" fillId="0" borderId="121" xfId="0" applyFont="1" applyBorder="1" applyAlignment="1">
      <alignment vertical="center" wrapText="1"/>
    </xf>
    <xf numFmtId="0" fontId="0" fillId="0" borderId="150" xfId="0" applyBorder="1" applyAlignment="1">
      <alignment horizontal="right" vertical="center" wrapText="1"/>
    </xf>
    <xf numFmtId="0" fontId="102" fillId="25" borderId="51" xfId="0" applyFont="1" applyFill="1" applyBorder="1" applyAlignment="1">
      <alignment horizontal="center" vertical="center" wrapText="1"/>
    </xf>
    <xf numFmtId="0" fontId="0" fillId="24" borderId="35" xfId="0" applyFill="1" applyBorder="1" applyAlignment="1">
      <alignment horizontal="center" vertical="center"/>
    </xf>
    <xf numFmtId="0" fontId="102" fillId="25" borderId="151" xfId="0" applyFont="1" applyFill="1" applyBorder="1" applyAlignment="1">
      <alignment horizontal="center" vertical="center" wrapText="1"/>
    </xf>
    <xf numFmtId="0" fontId="102" fillId="25" borderId="152" xfId="0" applyFont="1" applyFill="1" applyBorder="1" applyAlignment="1">
      <alignment horizontal="center" vertical="center" wrapText="1"/>
    </xf>
    <xf numFmtId="0" fontId="138" fillId="0" borderId="0" xfId="0" applyFont="1"/>
    <xf numFmtId="0" fontId="138" fillId="0" borderId="0" xfId="0" applyFont="1" applyAlignment="1">
      <alignment horizontal="center"/>
    </xf>
    <xf numFmtId="0" fontId="139" fillId="0" borderId="0" xfId="0" applyFont="1" applyAlignment="1">
      <alignment vertical="top"/>
    </xf>
    <xf numFmtId="0" fontId="139" fillId="0" borderId="0" xfId="0" applyFont="1" applyAlignment="1">
      <alignment horizontal="center" vertical="top"/>
    </xf>
    <xf numFmtId="0" fontId="139" fillId="0" borderId="0" xfId="0" applyFont="1" applyAlignment="1">
      <alignment vertical="center"/>
    </xf>
    <xf numFmtId="0" fontId="139" fillId="0" borderId="0" xfId="0" applyFont="1" applyAlignment="1">
      <alignment horizontal="center" vertical="center"/>
    </xf>
    <xf numFmtId="0" fontId="139" fillId="0" borderId="0" xfId="0" applyFont="1"/>
    <xf numFmtId="0" fontId="139" fillId="0" borderId="0" xfId="0" applyFont="1" applyAlignment="1">
      <alignment horizontal="right" vertical="center"/>
    </xf>
    <xf numFmtId="0" fontId="138" fillId="0" borderId="0" xfId="0" applyFont="1" applyAlignment="1">
      <alignment horizontal="center" vertical="center"/>
    </xf>
    <xf numFmtId="0" fontId="105" fillId="0" borderId="0" xfId="0" applyFont="1" applyAlignment="1">
      <alignment vertical="center" wrapText="1"/>
    </xf>
    <xf numFmtId="0" fontId="138" fillId="0" borderId="38" xfId="0" applyFont="1" applyBorder="1"/>
    <xf numFmtId="0" fontId="140" fillId="0" borderId="51" xfId="0" applyFont="1" applyBorder="1" applyAlignment="1">
      <alignment horizontal="right"/>
    </xf>
    <xf numFmtId="0" fontId="141" fillId="64" borderId="13" xfId="0" applyFont="1" applyFill="1" applyBorder="1" applyProtection="1">
      <protection locked="0"/>
    </xf>
    <xf numFmtId="0" fontId="106" fillId="45" borderId="11" xfId="0" applyFont="1" applyFill="1" applyBorder="1" applyAlignment="1">
      <alignment horizontal="left" vertical="center" wrapText="1"/>
    </xf>
    <xf numFmtId="0" fontId="106" fillId="45" borderId="12" xfId="0" applyFont="1" applyFill="1" applyBorder="1" applyAlignment="1">
      <alignment horizontal="center" vertical="center" wrapText="1"/>
    </xf>
    <xf numFmtId="0" fontId="107" fillId="0" borderId="0" xfId="0" applyFont="1" applyAlignment="1">
      <alignment horizontal="left" vertical="top"/>
    </xf>
    <xf numFmtId="0" fontId="138" fillId="0" borderId="42" xfId="0" applyFont="1" applyBorder="1"/>
    <xf numFmtId="0" fontId="140" fillId="0" borderId="53" xfId="0" applyFont="1" applyBorder="1" applyAlignment="1">
      <alignment horizontal="right"/>
    </xf>
    <xf numFmtId="0" fontId="108" fillId="0" borderId="0" xfId="0" applyFont="1" applyAlignment="1">
      <alignment horizontal="left" vertical="top"/>
    </xf>
    <xf numFmtId="0" fontId="138" fillId="0" borderId="45" xfId="0" applyFont="1" applyBorder="1"/>
    <xf numFmtId="0" fontId="140" fillId="0" borderId="153" xfId="0" applyFont="1" applyBorder="1" applyAlignment="1">
      <alignment horizontal="right"/>
    </xf>
    <xf numFmtId="0" fontId="140" fillId="0" borderId="0" xfId="0" applyFont="1" applyAlignment="1">
      <alignment horizontal="center"/>
    </xf>
    <xf numFmtId="0" fontId="106" fillId="45" borderId="82" xfId="0" applyFont="1" applyFill="1" applyBorder="1" applyAlignment="1">
      <alignment horizontal="center" vertical="center" wrapText="1"/>
    </xf>
    <xf numFmtId="0" fontId="108" fillId="0" borderId="41" xfId="0" applyFont="1" applyBorder="1" applyAlignment="1">
      <alignment horizontal="center" vertical="center"/>
    </xf>
    <xf numFmtId="0" fontId="108" fillId="0" borderId="22" xfId="0" applyFont="1" applyBorder="1" applyAlignment="1">
      <alignment horizontal="center" vertical="center"/>
    </xf>
    <xf numFmtId="0" fontId="108" fillId="0" borderId="43" xfId="0" applyFont="1" applyBorder="1" applyAlignment="1">
      <alignment horizontal="center" vertical="center"/>
    </xf>
    <xf numFmtId="0" fontId="108" fillId="0" borderId="25" xfId="0" applyFont="1" applyBorder="1" applyAlignment="1">
      <alignment horizontal="center" vertical="center"/>
    </xf>
    <xf numFmtId="0" fontId="108" fillId="0" borderId="46" xfId="0" applyFont="1" applyBorder="1" applyAlignment="1">
      <alignment horizontal="center" vertical="center"/>
    </xf>
    <xf numFmtId="0" fontId="108" fillId="0" borderId="44" xfId="0" applyFont="1" applyBorder="1" applyAlignment="1">
      <alignment horizontal="center" vertical="center"/>
    </xf>
    <xf numFmtId="0" fontId="108" fillId="0" borderId="20" xfId="0" applyFont="1" applyBorder="1" applyAlignment="1">
      <alignment horizontal="left" vertical="center"/>
    </xf>
    <xf numFmtId="0" fontId="108" fillId="0" borderId="27" xfId="0" applyFont="1" applyBorder="1" applyAlignment="1">
      <alignment horizontal="left" vertical="center"/>
    </xf>
    <xf numFmtId="0" fontId="108" fillId="0" borderId="30" xfId="0" applyFont="1" applyBorder="1" applyAlignment="1">
      <alignment horizontal="left" vertical="center"/>
    </xf>
    <xf numFmtId="0" fontId="142" fillId="0" borderId="0" xfId="0" applyFont="1"/>
    <xf numFmtId="0" fontId="143" fillId="0" borderId="0" xfId="0" applyFont="1" applyAlignment="1">
      <alignment horizontal="centerContinuous" wrapText="1"/>
    </xf>
    <xf numFmtId="0" fontId="144" fillId="0" borderId="0" xfId="0" applyFont="1" applyAlignment="1">
      <alignment horizontal="centerContinuous" wrapText="1"/>
    </xf>
    <xf numFmtId="0" fontId="108" fillId="0" borderId="0" xfId="0" applyFont="1" applyAlignment="1">
      <alignment horizontal="left" vertical="center"/>
    </xf>
    <xf numFmtId="0" fontId="108" fillId="0" borderId="0" xfId="0" applyFont="1" applyAlignment="1">
      <alignment horizontal="center" vertical="center"/>
    </xf>
    <xf numFmtId="0" fontId="106" fillId="0" borderId="24" xfId="0" applyFont="1" applyBorder="1" applyAlignment="1">
      <alignment horizontal="right" vertical="center" wrapText="1"/>
    </xf>
    <xf numFmtId="0" fontId="106" fillId="0" borderId="26" xfId="0" applyFont="1" applyBorder="1" applyAlignment="1">
      <alignment horizontal="right" vertical="center" wrapText="1"/>
    </xf>
    <xf numFmtId="0" fontId="145" fillId="0" borderId="0" xfId="0" applyFont="1" applyAlignment="1">
      <alignment wrapText="1"/>
    </xf>
    <xf numFmtId="0" fontId="145" fillId="0" borderId="0" xfId="0" applyFont="1" applyAlignment="1">
      <alignment horizontal="center" vertical="center" wrapText="1"/>
    </xf>
    <xf numFmtId="0" fontId="142" fillId="0" borderId="0" xfId="0" applyFont="1" applyAlignment="1">
      <alignment horizontal="center"/>
    </xf>
    <xf numFmtId="0" fontId="145" fillId="0" borderId="0" xfId="0" applyFont="1" applyAlignment="1">
      <alignment horizontal="centerContinuous" vertical="center" wrapText="1"/>
    </xf>
    <xf numFmtId="0" fontId="88" fillId="0" borderId="0" xfId="0" applyFont="1"/>
    <xf numFmtId="0" fontId="145" fillId="0" borderId="0" xfId="0" applyFont="1" applyAlignment="1">
      <alignment vertical="top"/>
    </xf>
    <xf numFmtId="0" fontId="146" fillId="0" borderId="0" xfId="0" applyFont="1" applyAlignment="1" applyProtection="1">
      <alignment wrapText="1"/>
      <protection hidden="1"/>
    </xf>
    <xf numFmtId="0" fontId="0" fillId="0" borderId="58" xfId="0" applyBorder="1"/>
    <xf numFmtId="0" fontId="131" fillId="0" borderId="0" xfId="0" applyFont="1" applyAlignment="1">
      <alignment horizontal="center"/>
    </xf>
    <xf numFmtId="0" fontId="7" fillId="40" borderId="96" xfId="0" applyFont="1" applyFill="1" applyBorder="1" applyAlignment="1">
      <alignment vertical="center" wrapText="1"/>
    </xf>
    <xf numFmtId="0" fontId="7" fillId="0" borderId="20" xfId="0" applyFont="1" applyBorder="1" applyAlignment="1">
      <alignment horizontal="right" vertical="center" wrapText="1"/>
    </xf>
    <xf numFmtId="0" fontId="7" fillId="0" borderId="27" xfId="0" applyFont="1" applyBorder="1" applyAlignment="1">
      <alignment horizontal="right" vertical="center" wrapText="1"/>
    </xf>
    <xf numFmtId="0" fontId="7" fillId="0" borderId="35" xfId="0" applyFont="1" applyBorder="1" applyAlignment="1">
      <alignment horizontal="left" vertical="center" wrapText="1"/>
    </xf>
    <xf numFmtId="0" fontId="7" fillId="0" borderId="27" xfId="0" applyFont="1" applyBorder="1" applyAlignment="1">
      <alignment horizontal="left" vertical="center" wrapText="1"/>
    </xf>
    <xf numFmtId="0" fontId="7" fillId="0" borderId="30" xfId="0" applyFont="1" applyBorder="1" applyAlignment="1">
      <alignment horizontal="left" vertical="center" wrapText="1"/>
    </xf>
    <xf numFmtId="11" fontId="43" fillId="0" borderId="0" xfId="0" applyNumberFormat="1" applyFont="1" applyAlignment="1">
      <alignment vertical="center"/>
    </xf>
    <xf numFmtId="11" fontId="0" fillId="0" borderId="0" xfId="0" applyNumberFormat="1" applyAlignment="1">
      <alignment vertical="center"/>
    </xf>
    <xf numFmtId="0" fontId="7" fillId="0" borderId="11" xfId="0" applyFont="1" applyBorder="1" applyAlignment="1">
      <alignment horizontal="center" vertical="center"/>
    </xf>
    <xf numFmtId="167" fontId="0" fillId="0" borderId="19" xfId="0" applyNumberFormat="1" applyBorder="1" applyAlignment="1">
      <alignment vertical="center"/>
    </xf>
    <xf numFmtId="167" fontId="0" fillId="0" borderId="12" xfId="0" applyNumberFormat="1" applyBorder="1" applyAlignment="1">
      <alignment vertical="center"/>
    </xf>
    <xf numFmtId="0" fontId="7" fillId="0" borderId="35" xfId="0" applyFont="1" applyBorder="1" applyAlignment="1">
      <alignment horizontal="center" vertical="center"/>
    </xf>
    <xf numFmtId="167" fontId="0" fillId="0" borderId="33" xfId="0" applyNumberFormat="1" applyBorder="1" applyAlignment="1">
      <alignment vertical="center"/>
    </xf>
    <xf numFmtId="167" fontId="0" fillId="0" borderId="34" xfId="0" applyNumberFormat="1" applyBorder="1" applyAlignment="1">
      <alignment vertical="center"/>
    </xf>
    <xf numFmtId="0" fontId="7" fillId="40" borderId="70" xfId="0" applyFont="1" applyFill="1" applyBorder="1" applyAlignment="1">
      <alignment vertical="center"/>
    </xf>
    <xf numFmtId="0" fontId="7" fillId="40" borderId="77" xfId="0" applyFont="1" applyFill="1" applyBorder="1" applyAlignment="1">
      <alignment vertical="center"/>
    </xf>
    <xf numFmtId="0" fontId="7" fillId="40" borderId="127" xfId="0" applyFont="1" applyFill="1" applyBorder="1" applyAlignment="1">
      <alignment vertical="center"/>
    </xf>
    <xf numFmtId="0" fontId="7" fillId="0" borderId="77" xfId="0" applyFont="1" applyBorder="1" applyAlignment="1" applyProtection="1">
      <alignment horizontal="left" vertical="center"/>
      <protection locked="0"/>
    </xf>
    <xf numFmtId="0" fontId="27" fillId="0" borderId="0" xfId="0" applyFont="1" applyAlignment="1">
      <alignment horizontal="center"/>
    </xf>
    <xf numFmtId="0" fontId="147" fillId="65" borderId="10" xfId="0" applyFont="1" applyFill="1" applyBorder="1" applyAlignment="1">
      <alignment horizontal="center"/>
    </xf>
    <xf numFmtId="0" fontId="29" fillId="0" borderId="0" xfId="0" applyFont="1" applyAlignment="1">
      <alignment horizontal="centerContinuous" wrapText="1"/>
    </xf>
    <xf numFmtId="0" fontId="109" fillId="0" borderId="0" xfId="0" applyFont="1" applyAlignment="1">
      <alignment horizontal="centerContinuous" wrapText="1"/>
    </xf>
    <xf numFmtId="0" fontId="110" fillId="0" borderId="0" xfId="0" applyFont="1"/>
    <xf numFmtId="0" fontId="24" fillId="55" borderId="14" xfId="0" applyFont="1" applyFill="1" applyBorder="1" applyAlignment="1">
      <alignment horizontal="left" vertical="center"/>
    </xf>
    <xf numFmtId="0" fontId="100" fillId="55" borderId="59" xfId="0" applyFont="1" applyFill="1" applyBorder="1" applyAlignment="1">
      <alignment horizontal="left" vertical="center"/>
    </xf>
    <xf numFmtId="0" fontId="24" fillId="55" borderId="59" xfId="0" applyFont="1" applyFill="1" applyBorder="1" applyAlignment="1">
      <alignment horizontal="left" vertical="center"/>
    </xf>
    <xf numFmtId="0" fontId="96" fillId="55" borderId="59" xfId="0" applyFont="1" applyFill="1" applyBorder="1" applyAlignment="1">
      <alignment horizontal="left" vertical="center"/>
    </xf>
    <xf numFmtId="0" fontId="10" fillId="55" borderId="59" xfId="30" applyFill="1" applyBorder="1" applyAlignment="1" applyProtection="1">
      <alignment horizontal="left" vertical="center"/>
    </xf>
    <xf numFmtId="0" fontId="24" fillId="55" borderId="61" xfId="0" applyFont="1" applyFill="1" applyBorder="1" applyAlignment="1">
      <alignment horizontal="left" vertical="center"/>
    </xf>
    <xf numFmtId="0" fontId="0" fillId="55" borderId="63" xfId="0" applyFill="1" applyBorder="1" applyAlignment="1">
      <alignment horizontal="centerContinuous" vertical="center" wrapText="1"/>
    </xf>
    <xf numFmtId="0" fontId="7" fillId="55" borderId="63" xfId="0" applyFont="1" applyFill="1" applyBorder="1" applyAlignment="1">
      <alignment horizontal="centerContinuous" vertical="center" wrapText="1"/>
    </xf>
    <xf numFmtId="0" fontId="0" fillId="55" borderId="64" xfId="0" applyFill="1" applyBorder="1" applyAlignment="1">
      <alignment horizontal="centerContinuous" vertical="center" wrapText="1"/>
    </xf>
    <xf numFmtId="0" fontId="111" fillId="0" borderId="0" xfId="0" applyFont="1"/>
    <xf numFmtId="0" fontId="24" fillId="55" borderId="59" xfId="0" applyFont="1" applyFill="1" applyBorder="1" applyAlignment="1">
      <alignment horizontal="centerContinuous" vertical="center" wrapText="1"/>
    </xf>
    <xf numFmtId="0" fontId="0" fillId="55" borderId="0" xfId="0" applyFill="1" applyAlignment="1">
      <alignment horizontal="centerContinuous" vertical="center" wrapText="1"/>
    </xf>
    <xf numFmtId="0" fontId="7" fillId="55" borderId="0" xfId="0" applyFont="1" applyFill="1" applyAlignment="1">
      <alignment horizontal="centerContinuous" vertical="center" wrapText="1"/>
    </xf>
    <xf numFmtId="0" fontId="0" fillId="55" borderId="56" xfId="0" applyFill="1" applyBorder="1" applyAlignment="1">
      <alignment horizontal="centerContinuous" vertical="center" wrapText="1"/>
    </xf>
    <xf numFmtId="0" fontId="147" fillId="65" borderId="63" xfId="0" applyFont="1" applyFill="1" applyBorder="1" applyAlignment="1">
      <alignment horizontal="center"/>
    </xf>
    <xf numFmtId="0" fontId="147" fillId="65" borderId="10" xfId="0" applyFont="1" applyFill="1" applyBorder="1" applyAlignment="1">
      <alignment horizontal="left"/>
    </xf>
    <xf numFmtId="0" fontId="29" fillId="0" borderId="0" xfId="0" applyFont="1" applyAlignment="1" applyProtection="1">
      <alignment vertical="center"/>
      <protection locked="0"/>
    </xf>
    <xf numFmtId="0" fontId="43" fillId="0" borderId="0" xfId="0" applyFont="1" applyAlignment="1" applyProtection="1">
      <alignment horizontal="centerContinuous" vertical="center" wrapText="1"/>
      <protection locked="0"/>
    </xf>
    <xf numFmtId="0" fontId="147" fillId="65" borderId="57" xfId="0" applyFont="1" applyFill="1" applyBorder="1" applyAlignment="1">
      <alignment horizontal="right"/>
    </xf>
    <xf numFmtId="0" fontId="147" fillId="65" borderId="64" xfId="0" applyFont="1" applyFill="1" applyBorder="1" applyAlignment="1">
      <alignment horizontal="left"/>
    </xf>
    <xf numFmtId="0" fontId="148" fillId="61" borderId="154" xfId="0" quotePrefix="1" applyFont="1" applyFill="1" applyBorder="1" applyAlignment="1">
      <alignment vertical="top" textRotation="90"/>
    </xf>
    <xf numFmtId="0" fontId="25" fillId="35" borderId="155" xfId="0" applyFont="1" applyFill="1" applyBorder="1" applyAlignment="1">
      <alignment horizontal="centerContinuous"/>
    </xf>
    <xf numFmtId="0" fontId="24" fillId="35" borderId="89" xfId="0" applyFont="1" applyFill="1" applyBorder="1" applyAlignment="1">
      <alignment horizontal="right"/>
    </xf>
    <xf numFmtId="0" fontId="24" fillId="35" borderId="0" xfId="0" applyFont="1" applyFill="1"/>
    <xf numFmtId="0" fontId="24" fillId="35" borderId="156" xfId="0" applyFont="1" applyFill="1" applyBorder="1"/>
    <xf numFmtId="0" fontId="25" fillId="0" borderId="43" xfId="0" applyFont="1" applyBorder="1" applyAlignment="1" applyProtection="1">
      <alignment horizontal="center"/>
      <protection locked="0"/>
    </xf>
    <xf numFmtId="0" fontId="24" fillId="47" borderId="0" xfId="0" applyFont="1" applyFill="1"/>
    <xf numFmtId="0" fontId="24" fillId="47" borderId="157" xfId="0" applyFont="1" applyFill="1" applyBorder="1" applyAlignment="1">
      <alignment horizontal="right"/>
    </xf>
    <xf numFmtId="0" fontId="25" fillId="35" borderId="43" xfId="0" applyFont="1" applyFill="1" applyBorder="1" applyAlignment="1">
      <alignment horizontal="center"/>
    </xf>
    <xf numFmtId="0" fontId="25" fillId="35" borderId="158" xfId="0" applyFont="1" applyFill="1" applyBorder="1" applyAlignment="1">
      <alignment horizontal="center"/>
    </xf>
    <xf numFmtId="0" fontId="22" fillId="47" borderId="89" xfId="0" applyFont="1" applyFill="1" applyBorder="1" applyAlignment="1">
      <alignment horizontal="centerContinuous"/>
    </xf>
    <xf numFmtId="0" fontId="0" fillId="47" borderId="89" xfId="0" applyFill="1" applyBorder="1" applyAlignment="1">
      <alignment horizontal="centerContinuous"/>
    </xf>
    <xf numFmtId="0" fontId="24" fillId="47" borderId="89" xfId="0" applyFont="1" applyFill="1" applyBorder="1" applyAlignment="1">
      <alignment horizontal="centerContinuous"/>
    </xf>
    <xf numFmtId="0" fontId="22" fillId="47" borderId="159" xfId="0" applyFont="1" applyFill="1" applyBorder="1" applyAlignment="1">
      <alignment horizontal="centerContinuous"/>
    </xf>
    <xf numFmtId="0" fontId="7" fillId="47" borderId="0" xfId="0" applyFont="1" applyFill="1"/>
    <xf numFmtId="0" fontId="27" fillId="0" borderId="158" xfId="0" applyFont="1" applyBorder="1" applyAlignment="1">
      <alignment horizontal="center"/>
    </xf>
    <xf numFmtId="0" fontId="27" fillId="40" borderId="158" xfId="0" applyFont="1" applyFill="1" applyBorder="1" applyAlignment="1">
      <alignment horizontal="center"/>
    </xf>
    <xf numFmtId="0" fontId="25" fillId="40" borderId="132" xfId="0" applyFont="1" applyFill="1" applyBorder="1" applyAlignment="1" applyProtection="1">
      <alignment horizontal="center"/>
      <protection locked="0"/>
    </xf>
    <xf numFmtId="0" fontId="27" fillId="40" borderId="160" xfId="0" applyFont="1" applyFill="1" applyBorder="1" applyAlignment="1">
      <alignment horizontal="center"/>
    </xf>
    <xf numFmtId="0" fontId="27" fillId="40" borderId="134" xfId="0" applyFont="1" applyFill="1" applyBorder="1" applyAlignment="1">
      <alignment horizontal="center"/>
    </xf>
    <xf numFmtId="0" fontId="27" fillId="40" borderId="156" xfId="0" applyFont="1" applyFill="1" applyBorder="1" applyAlignment="1">
      <alignment horizontal="center"/>
    </xf>
    <xf numFmtId="0" fontId="27" fillId="40" borderId="157" xfId="0" applyFont="1" applyFill="1" applyBorder="1" applyAlignment="1">
      <alignment horizontal="center"/>
    </xf>
    <xf numFmtId="0" fontId="131" fillId="0" borderId="0" xfId="0" applyFont="1" applyAlignment="1">
      <alignment vertical="center"/>
    </xf>
    <xf numFmtId="0" fontId="35" fillId="66" borderId="10" xfId="0" applyFont="1" applyFill="1" applyBorder="1" applyAlignment="1">
      <alignment horizontal="center" vertical="center" wrapText="1"/>
    </xf>
    <xf numFmtId="0" fontId="22" fillId="66" borderId="10" xfId="0" applyFont="1" applyFill="1" applyBorder="1" applyAlignment="1">
      <alignment horizontal="center" vertical="center" wrapText="1"/>
    </xf>
    <xf numFmtId="0" fontId="22" fillId="66" borderId="64" xfId="0" applyFont="1" applyFill="1" applyBorder="1" applyAlignment="1">
      <alignment horizontal="center" vertical="center" wrapText="1"/>
    </xf>
    <xf numFmtId="0" fontId="22" fillId="66" borderId="10" xfId="0" applyFont="1" applyFill="1" applyBorder="1" applyAlignment="1">
      <alignment horizontal="center"/>
    </xf>
    <xf numFmtId="0" fontId="7" fillId="60" borderId="13" xfId="0" quotePrefix="1" applyFont="1" applyFill="1" applyBorder="1" applyAlignment="1">
      <alignment horizontal="center" vertical="top"/>
    </xf>
    <xf numFmtId="0" fontId="0" fillId="60" borderId="13" xfId="0" quotePrefix="1" applyFill="1" applyBorder="1" applyAlignment="1">
      <alignment horizontal="center" vertical="top"/>
    </xf>
    <xf numFmtId="0" fontId="7" fillId="60" borderId="104" xfId="0" applyFont="1" applyFill="1" applyBorder="1" applyAlignment="1">
      <alignment horizontal="center" vertical="top"/>
    </xf>
    <xf numFmtId="0" fontId="7" fillId="60" borderId="13" xfId="0" applyFont="1" applyFill="1" applyBorder="1" applyAlignment="1">
      <alignment horizontal="center" vertical="top"/>
    </xf>
    <xf numFmtId="20" fontId="7" fillId="0" borderId="70" xfId="0" applyNumberFormat="1" applyFont="1" applyBorder="1" applyAlignment="1" applyProtection="1">
      <alignment horizontal="center" vertical="center"/>
      <protection locked="0"/>
    </xf>
    <xf numFmtId="20" fontId="7" fillId="0" borderId="127" xfId="0" applyNumberFormat="1" applyFont="1" applyBorder="1" applyAlignment="1" applyProtection="1">
      <alignment horizontal="center" vertical="center"/>
      <protection locked="0"/>
    </xf>
    <xf numFmtId="20" fontId="7" fillId="0" borderId="77" xfId="0" applyNumberFormat="1" applyFont="1" applyBorder="1" applyAlignment="1" applyProtection="1">
      <alignment horizontal="center" vertical="center"/>
      <protection locked="0"/>
    </xf>
    <xf numFmtId="0" fontId="7" fillId="40" borderId="161" xfId="0" quotePrefix="1" applyFont="1" applyFill="1" applyBorder="1" applyAlignment="1">
      <alignment vertical="center" wrapText="1"/>
    </xf>
    <xf numFmtId="0" fontId="7" fillId="40" borderId="161" xfId="0" applyFont="1" applyFill="1" applyBorder="1" applyAlignment="1">
      <alignment vertical="center" wrapText="1"/>
    </xf>
    <xf numFmtId="0" fontId="7" fillId="0" borderId="96" xfId="0" applyFont="1" applyBorder="1" applyAlignment="1" applyProtection="1">
      <alignment horizontal="center" vertical="center"/>
      <protection locked="0"/>
    </xf>
    <xf numFmtId="0" fontId="7" fillId="40" borderId="96" xfId="0" quotePrefix="1" applyFont="1" applyFill="1" applyBorder="1" applyAlignment="1">
      <alignment horizontal="center" vertical="center" wrapText="1"/>
    </xf>
    <xf numFmtId="0" fontId="7" fillId="40" borderId="96" xfId="0" quotePrefix="1" applyFont="1" applyFill="1" applyBorder="1" applyAlignment="1">
      <alignment vertical="center" wrapText="1"/>
    </xf>
    <xf numFmtId="171" fontId="7" fillId="0" borderId="126" xfId="0" applyNumberFormat="1" applyFont="1" applyBorder="1" applyAlignment="1" applyProtection="1">
      <alignment horizontal="center" vertical="center" wrapText="1"/>
      <protection locked="0"/>
    </xf>
    <xf numFmtId="0" fontId="7" fillId="0" borderId="127" xfId="0" applyFont="1" applyBorder="1" applyAlignment="1">
      <alignment horizontal="center" vertical="center"/>
    </xf>
    <xf numFmtId="0" fontId="137" fillId="61" borderId="96" xfId="0" applyFont="1" applyFill="1" applyBorder="1" applyAlignment="1" applyProtection="1">
      <alignment horizontal="center" vertical="center"/>
      <protection locked="0"/>
    </xf>
    <xf numFmtId="0" fontId="7" fillId="61" borderId="74" xfId="0" quotePrefix="1" applyFont="1" applyFill="1" applyBorder="1" applyAlignment="1" applyProtection="1">
      <alignment horizontal="center" vertical="center"/>
      <protection locked="0"/>
    </xf>
    <xf numFmtId="0" fontId="99" fillId="40" borderId="0" xfId="0" applyFont="1" applyFill="1" applyAlignment="1">
      <alignment vertical="center"/>
    </xf>
    <xf numFmtId="0" fontId="99" fillId="40" borderId="0" xfId="0" applyFont="1" applyFill="1" applyAlignment="1">
      <alignment horizontal="centerContinuous" vertical="center"/>
    </xf>
    <xf numFmtId="0" fontId="63" fillId="40" borderId="96" xfId="0" applyFont="1" applyFill="1" applyBorder="1" applyAlignment="1">
      <alignment vertical="center"/>
    </xf>
    <xf numFmtId="0" fontId="7" fillId="40" borderId="96" xfId="0" applyFont="1" applyFill="1" applyBorder="1" applyAlignment="1">
      <alignment vertical="center"/>
    </xf>
    <xf numFmtId="20" fontId="7" fillId="40" borderId="96" xfId="0" applyNumberFormat="1" applyFont="1" applyFill="1" applyBorder="1" applyAlignment="1">
      <alignment horizontal="center" vertical="center"/>
    </xf>
    <xf numFmtId="0" fontId="68" fillId="40" borderId="0" xfId="0" applyFont="1" applyFill="1" applyAlignment="1">
      <alignment vertical="center"/>
    </xf>
    <xf numFmtId="0" fontId="22" fillId="40" borderId="162" xfId="0" applyFont="1" applyFill="1" applyBorder="1" applyAlignment="1">
      <alignment horizontal="center" vertical="center"/>
    </xf>
    <xf numFmtId="0" fontId="22" fillId="40" borderId="163" xfId="0" applyFont="1" applyFill="1" applyBorder="1" applyAlignment="1">
      <alignment horizontal="center" vertical="center"/>
    </xf>
    <xf numFmtId="0" fontId="22" fillId="40" borderId="164" xfId="0" applyFont="1" applyFill="1" applyBorder="1" applyAlignment="1">
      <alignment horizontal="center" vertical="center"/>
    </xf>
    <xf numFmtId="0" fontId="7" fillId="40" borderId="96" xfId="0" applyFont="1" applyFill="1" applyBorder="1" applyAlignment="1">
      <alignment horizontal="center" vertical="center"/>
    </xf>
    <xf numFmtId="0" fontId="7" fillId="40" borderId="125" xfId="0" applyFont="1" applyFill="1" applyBorder="1" applyAlignment="1">
      <alignment vertical="center"/>
    </xf>
    <xf numFmtId="0" fontId="7" fillId="40" borderId="101" xfId="0" applyFont="1" applyFill="1" applyBorder="1" applyAlignment="1">
      <alignment horizontal="center" vertical="center"/>
    </xf>
    <xf numFmtId="0" fontId="7" fillId="0" borderId="146" xfId="0" applyFont="1" applyBorder="1" applyAlignment="1" applyProtection="1">
      <alignment horizontal="center" vertical="center"/>
      <protection locked="0"/>
    </xf>
    <xf numFmtId="0" fontId="7" fillId="40" borderId="161" xfId="0" applyFont="1" applyFill="1" applyBorder="1" applyAlignment="1">
      <alignment vertical="center"/>
    </xf>
    <xf numFmtId="0" fontId="7" fillId="0" borderId="161" xfId="0" applyFont="1" applyBorder="1" applyAlignment="1" applyProtection="1">
      <alignment horizontal="center" vertical="center"/>
      <protection locked="0"/>
    </xf>
    <xf numFmtId="0" fontId="7" fillId="40" borderId="165" xfId="0" applyFont="1" applyFill="1" applyBorder="1" applyAlignment="1">
      <alignment vertical="center"/>
    </xf>
    <xf numFmtId="0" fontId="7" fillId="0" borderId="165" xfId="0" applyFont="1" applyBorder="1" applyAlignment="1" applyProtection="1">
      <alignment horizontal="center" vertical="center"/>
      <protection locked="0"/>
    </xf>
    <xf numFmtId="0" fontId="7" fillId="40" borderId="166" xfId="0" applyFont="1" applyFill="1" applyBorder="1" applyAlignment="1">
      <alignment vertical="center"/>
    </xf>
    <xf numFmtId="0" fontId="7" fillId="40" borderId="167" xfId="0" applyFont="1" applyFill="1" applyBorder="1" applyAlignment="1">
      <alignment horizontal="center" vertical="center"/>
    </xf>
    <xf numFmtId="0" fontId="7" fillId="0" borderId="168" xfId="0" applyFont="1" applyBorder="1" applyAlignment="1" applyProtection="1">
      <alignment horizontal="center" vertical="center"/>
      <protection locked="0"/>
    </xf>
    <xf numFmtId="0" fontId="7" fillId="40" borderId="162" xfId="0" applyFont="1" applyFill="1" applyBorder="1" applyAlignment="1">
      <alignment vertical="center"/>
    </xf>
    <xf numFmtId="0" fontId="7" fillId="40" borderId="163" xfId="0" applyFont="1" applyFill="1" applyBorder="1" applyAlignment="1">
      <alignment horizontal="center" vertical="center"/>
    </xf>
    <xf numFmtId="0" fontId="7" fillId="0" borderId="164" xfId="0" applyFont="1" applyBorder="1" applyAlignment="1" applyProtection="1">
      <alignment horizontal="center" vertical="center"/>
      <protection locked="0"/>
    </xf>
    <xf numFmtId="0" fontId="7" fillId="40" borderId="128" xfId="0" applyFont="1" applyFill="1" applyBorder="1" applyAlignment="1">
      <alignment vertical="center"/>
    </xf>
    <xf numFmtId="0" fontId="7" fillId="40" borderId="169" xfId="0" applyFont="1" applyFill="1" applyBorder="1" applyAlignment="1">
      <alignment horizontal="center" vertical="center"/>
    </xf>
    <xf numFmtId="0" fontId="7" fillId="0" borderId="148" xfId="0" applyFont="1" applyBorder="1" applyAlignment="1" applyProtection="1">
      <alignment horizontal="center" vertical="center"/>
      <protection locked="0"/>
    </xf>
    <xf numFmtId="0" fontId="7" fillId="40" borderId="79" xfId="0" applyFont="1" applyFill="1" applyBorder="1" applyAlignment="1">
      <alignment vertical="center"/>
    </xf>
    <xf numFmtId="0" fontId="7" fillId="0" borderId="87" xfId="0" applyFont="1" applyBorder="1" applyAlignment="1" applyProtection="1">
      <alignment horizontal="center" vertical="center"/>
      <protection locked="0"/>
    </xf>
    <xf numFmtId="0" fontId="137" fillId="61" borderId="96" xfId="0" applyFont="1" applyFill="1" applyBorder="1" applyAlignment="1" applyProtection="1">
      <alignment vertical="center"/>
      <protection locked="0"/>
    </xf>
    <xf numFmtId="0" fontId="7" fillId="0" borderId="127" xfId="0" applyFont="1" applyBorder="1" applyAlignment="1" applyProtection="1">
      <alignment horizontal="center" vertical="center"/>
      <protection locked="0"/>
    </xf>
    <xf numFmtId="0" fontId="7" fillId="0" borderId="77" xfId="0" applyFont="1" applyBorder="1" applyAlignment="1" applyProtection="1">
      <alignment horizontal="center" vertical="center"/>
      <protection locked="0"/>
    </xf>
    <xf numFmtId="0" fontId="127" fillId="40" borderId="0" xfId="0" applyFont="1" applyFill="1" applyAlignment="1">
      <alignment vertical="center"/>
    </xf>
    <xf numFmtId="0" fontId="85" fillId="40" borderId="0" xfId="0" applyFont="1" applyFill="1" applyAlignment="1">
      <alignment vertical="center"/>
    </xf>
    <xf numFmtId="0" fontId="22" fillId="35" borderId="43" xfId="0" applyFont="1" applyFill="1" applyBorder="1" applyAlignment="1">
      <alignment horizontal="centerContinuous"/>
    </xf>
    <xf numFmtId="0" fontId="22" fillId="35" borderId="47" xfId="0" applyFont="1" applyFill="1" applyBorder="1" applyAlignment="1">
      <alignment horizontal="centerContinuous"/>
    </xf>
    <xf numFmtId="0" fontId="29" fillId="47" borderId="170" xfId="0" quotePrefix="1" applyFont="1" applyFill="1" applyBorder="1" applyAlignment="1">
      <alignment horizontal="centerContinuous" vertical="center" wrapText="1"/>
    </xf>
    <xf numFmtId="0" fontId="29" fillId="47" borderId="171" xfId="0" quotePrefix="1" applyFont="1" applyFill="1" applyBorder="1" applyAlignment="1">
      <alignment horizontal="centerContinuous" vertical="center" wrapText="1"/>
    </xf>
    <xf numFmtId="0" fontId="29" fillId="47" borderId="160" xfId="0" quotePrefix="1" applyFont="1" applyFill="1" applyBorder="1" applyAlignment="1">
      <alignment horizontal="centerContinuous" vertical="center" wrapText="1"/>
    </xf>
    <xf numFmtId="20" fontId="41" fillId="34" borderId="135" xfId="0" applyNumberFormat="1" applyFont="1" applyFill="1" applyBorder="1" applyAlignment="1">
      <alignment horizontal="center"/>
    </xf>
    <xf numFmtId="0" fontId="40" fillId="0" borderId="0" xfId="0" applyFont="1"/>
    <xf numFmtId="0" fontId="149" fillId="0" borderId="0" xfId="0" applyFont="1"/>
    <xf numFmtId="0" fontId="0" fillId="0" borderId="0" xfId="0" applyProtection="1">
      <protection locked="0"/>
    </xf>
    <xf numFmtId="0" fontId="7" fillId="0" borderId="0" xfId="0" applyFont="1" applyProtection="1">
      <protection locked="0"/>
    </xf>
    <xf numFmtId="0" fontId="150" fillId="0" borderId="0" xfId="0" applyFont="1"/>
    <xf numFmtId="0" fontId="30" fillId="47" borderId="88" xfId="0" quotePrefix="1" applyFont="1" applyFill="1" applyBorder="1" applyAlignment="1" applyProtection="1">
      <alignment horizontal="centerContinuous" vertical="center" wrapText="1"/>
      <protection hidden="1"/>
    </xf>
    <xf numFmtId="0" fontId="30" fillId="47" borderId="89" xfId="0" quotePrefix="1" applyFont="1" applyFill="1" applyBorder="1" applyAlignment="1" applyProtection="1">
      <alignment horizontal="centerContinuous" vertical="center" wrapText="1"/>
      <protection hidden="1"/>
    </xf>
    <xf numFmtId="0" fontId="30" fillId="47" borderId="90" xfId="0" quotePrefix="1" applyFont="1" applyFill="1" applyBorder="1" applyAlignment="1" applyProtection="1">
      <alignment horizontal="centerContinuous" vertical="center" wrapText="1"/>
      <protection hidden="1"/>
    </xf>
    <xf numFmtId="0" fontId="7" fillId="0" borderId="125" xfId="0" applyFont="1" applyBorder="1" applyProtection="1">
      <protection locked="0"/>
    </xf>
    <xf numFmtId="0" fontId="7" fillId="0" borderId="126" xfId="0" applyFont="1" applyBorder="1" applyProtection="1">
      <protection locked="0"/>
    </xf>
    <xf numFmtId="171" fontId="7" fillId="0" borderId="126" xfId="0" applyNumberFormat="1" applyFont="1" applyBorder="1" applyAlignment="1" applyProtection="1">
      <alignment horizontal="center"/>
      <protection locked="0"/>
    </xf>
    <xf numFmtId="171" fontId="7" fillId="0" borderId="126" xfId="0" applyNumberFormat="1" applyFont="1" applyBorder="1" applyAlignment="1" applyProtection="1">
      <alignment horizontal="left"/>
      <protection locked="0"/>
    </xf>
    <xf numFmtId="0" fontId="7" fillId="0" borderId="146" xfId="0" applyFont="1" applyBorder="1" applyAlignment="1" applyProtection="1">
      <alignment horizontal="center"/>
      <protection locked="0"/>
    </xf>
    <xf numFmtId="0" fontId="7" fillId="68" borderId="127" xfId="0" applyFont="1" applyFill="1" applyBorder="1"/>
    <xf numFmtId="0" fontId="66" fillId="69" borderId="75" xfId="0" applyFont="1" applyFill="1" applyBorder="1" applyAlignment="1">
      <alignment horizontal="left"/>
    </xf>
    <xf numFmtId="0" fontId="59" fillId="69" borderId="0" xfId="0" applyFont="1" applyFill="1" applyAlignment="1">
      <alignment horizontal="right" vertical="center"/>
    </xf>
    <xf numFmtId="0" fontId="40" fillId="69" borderId="0" xfId="0" applyFont="1" applyFill="1" applyAlignment="1">
      <alignment horizontal="left"/>
    </xf>
    <xf numFmtId="0" fontId="7" fillId="69" borderId="0" xfId="0" applyFont="1" applyFill="1"/>
    <xf numFmtId="0" fontId="40" fillId="69" borderId="76" xfId="0" applyFont="1" applyFill="1" applyBorder="1"/>
    <xf numFmtId="0" fontId="7" fillId="69" borderId="72" xfId="0" applyFont="1" applyFill="1" applyBorder="1"/>
    <xf numFmtId="0" fontId="7" fillId="69" borderId="71" xfId="0" applyFont="1" applyFill="1" applyBorder="1"/>
    <xf numFmtId="0" fontId="7" fillId="69" borderId="73" xfId="0" applyFont="1" applyFill="1" applyBorder="1"/>
    <xf numFmtId="0" fontId="7" fillId="69" borderId="75" xfId="0" applyFont="1" applyFill="1" applyBorder="1"/>
    <xf numFmtId="0" fontId="7" fillId="69" borderId="76" xfId="0" applyFont="1" applyFill="1" applyBorder="1"/>
    <xf numFmtId="0" fontId="7" fillId="70" borderId="81" xfId="0" applyFont="1" applyFill="1" applyBorder="1" applyAlignment="1" applyProtection="1">
      <alignment horizontal="center"/>
      <protection locked="0"/>
    </xf>
    <xf numFmtId="0" fontId="7" fillId="70" borderId="79" xfId="0" applyFont="1" applyFill="1" applyBorder="1" applyAlignment="1" applyProtection="1">
      <alignment horizontal="center"/>
      <protection locked="0"/>
    </xf>
    <xf numFmtId="0" fontId="7" fillId="70" borderId="81" xfId="0" applyFont="1" applyFill="1" applyBorder="1" applyAlignment="1" applyProtection="1">
      <alignment horizontal="left"/>
      <protection locked="0"/>
    </xf>
    <xf numFmtId="0" fontId="7" fillId="70" borderId="87" xfId="0" applyFont="1" applyFill="1" applyBorder="1" applyAlignment="1" applyProtection="1">
      <alignment horizontal="left"/>
      <protection locked="0"/>
    </xf>
    <xf numFmtId="0" fontId="7" fillId="69" borderId="0" xfId="0" applyFont="1" applyFill="1" applyAlignment="1">
      <alignment horizontal="right"/>
    </xf>
    <xf numFmtId="0" fontId="7" fillId="62" borderId="79" xfId="0" applyFont="1" applyFill="1" applyBorder="1" applyAlignment="1">
      <alignment horizontal="center"/>
    </xf>
    <xf numFmtId="0" fontId="7" fillId="0" borderId="125" xfId="0" applyFont="1" applyBorder="1" applyAlignment="1">
      <alignment horizontal="center"/>
    </xf>
    <xf numFmtId="0" fontId="7" fillId="0" borderId="146" xfId="0" applyFont="1" applyBorder="1" applyAlignment="1">
      <alignment horizontal="center"/>
    </xf>
    <xf numFmtId="0" fontId="7" fillId="0" borderId="127" xfId="0" applyFont="1" applyBorder="1" applyAlignment="1">
      <alignment horizontal="center"/>
    </xf>
    <xf numFmtId="0" fontId="7" fillId="0" borderId="125" xfId="0" quotePrefix="1" applyFont="1" applyBorder="1" applyAlignment="1">
      <alignment horizontal="center"/>
    </xf>
    <xf numFmtId="171" fontId="7" fillId="0" borderId="172" xfId="0" applyNumberFormat="1" applyFont="1" applyBorder="1" applyAlignment="1">
      <alignment horizontal="left"/>
    </xf>
    <xf numFmtId="0" fontId="7" fillId="0" borderId="173" xfId="0" applyFont="1" applyBorder="1" applyAlignment="1">
      <alignment horizontal="center"/>
    </xf>
    <xf numFmtId="0" fontId="7" fillId="0" borderId="173" xfId="0" applyFont="1" applyBorder="1"/>
    <xf numFmtId="171" fontId="7" fillId="0" borderId="173" xfId="0" applyNumberFormat="1" applyFont="1" applyBorder="1" applyAlignment="1">
      <alignment horizontal="left"/>
    </xf>
    <xf numFmtId="0" fontId="7" fillId="70" borderId="81" xfId="0" applyFont="1" applyFill="1" applyBorder="1" applyAlignment="1">
      <alignment horizontal="left"/>
    </xf>
    <xf numFmtId="0" fontId="7" fillId="70" borderId="81" xfId="0" applyFont="1" applyFill="1" applyBorder="1" applyAlignment="1">
      <alignment horizontal="center"/>
    </xf>
    <xf numFmtId="174" fontId="7" fillId="70" borderId="87" xfId="0" applyNumberFormat="1" applyFont="1" applyFill="1" applyBorder="1"/>
    <xf numFmtId="0" fontId="66" fillId="69" borderId="0" xfId="0" applyFont="1" applyFill="1" applyAlignment="1">
      <alignment horizontal="center"/>
    </xf>
    <xf numFmtId="0" fontId="40" fillId="69" borderId="0" xfId="0" applyFont="1" applyFill="1" applyAlignment="1">
      <alignment horizontal="center"/>
    </xf>
    <xf numFmtId="174" fontId="40" fillId="69" borderId="76" xfId="0" applyNumberFormat="1" applyFont="1" applyFill="1" applyBorder="1"/>
    <xf numFmtId="0" fontId="7" fillId="69" borderId="71" xfId="0" applyFont="1" applyFill="1" applyBorder="1" applyAlignment="1">
      <alignment horizontal="right"/>
    </xf>
    <xf numFmtId="174" fontId="7" fillId="69" borderId="73" xfId="0" applyNumberFormat="1" applyFont="1" applyFill="1" applyBorder="1"/>
    <xf numFmtId="0" fontId="7" fillId="69" borderId="71" xfId="0" applyFont="1" applyFill="1" applyBorder="1" applyAlignment="1">
      <alignment horizontal="center"/>
    </xf>
    <xf numFmtId="171" fontId="7" fillId="71" borderId="126" xfId="0" applyNumberFormat="1" applyFont="1" applyFill="1" applyBorder="1" applyAlignment="1">
      <alignment horizontal="left"/>
    </xf>
    <xf numFmtId="0" fontId="89" fillId="0" borderId="96" xfId="0" applyFont="1" applyBorder="1" applyAlignment="1" applyProtection="1">
      <alignment horizontal="center"/>
      <protection locked="0"/>
    </xf>
    <xf numFmtId="0" fontId="89" fillId="0" borderId="96" xfId="0" applyFont="1" applyBorder="1" applyProtection="1">
      <protection locked="0"/>
    </xf>
    <xf numFmtId="0" fontId="0" fillId="0" borderId="96" xfId="0" applyBorder="1" applyProtection="1">
      <protection locked="0"/>
    </xf>
    <xf numFmtId="0" fontId="89" fillId="72" borderId="96" xfId="0" applyFont="1" applyFill="1" applyBorder="1" applyAlignment="1">
      <alignment horizontal="center"/>
    </xf>
    <xf numFmtId="0" fontId="89" fillId="72" borderId="96" xfId="0" applyFont="1" applyFill="1" applyBorder="1"/>
    <xf numFmtId="0" fontId="0" fillId="73" borderId="96" xfId="0" applyFill="1" applyBorder="1" applyAlignment="1">
      <alignment horizontal="center" wrapText="1"/>
    </xf>
    <xf numFmtId="0" fontId="0" fillId="74" borderId="131" xfId="0" applyFill="1" applyBorder="1" applyAlignment="1">
      <alignment horizontal="center" vertical="center"/>
    </xf>
    <xf numFmtId="0" fontId="0" fillId="74" borderId="96" xfId="0" applyFill="1" applyBorder="1" applyAlignment="1">
      <alignment horizontal="center"/>
    </xf>
    <xf numFmtId="0" fontId="149" fillId="0" borderId="0" xfId="0" applyFont="1" applyProtection="1">
      <protection locked="0"/>
    </xf>
    <xf numFmtId="170" fontId="149" fillId="0" borderId="0" xfId="0" applyNumberFormat="1" applyFont="1" applyProtection="1">
      <protection locked="0"/>
    </xf>
    <xf numFmtId="0" fontId="25" fillId="53" borderId="175" xfId="0" applyFont="1" applyFill="1" applyBorder="1" applyAlignment="1">
      <alignment horizontal="center"/>
    </xf>
    <xf numFmtId="0" fontId="22" fillId="75" borderId="36" xfId="0" applyFont="1" applyFill="1" applyBorder="1" applyAlignment="1">
      <alignment horizontal="center"/>
    </xf>
    <xf numFmtId="0" fontId="39" fillId="0" borderId="0" xfId="0" applyFont="1"/>
    <xf numFmtId="0" fontId="7" fillId="0" borderId="0" xfId="0" applyFont="1" applyAlignment="1" applyProtection="1">
      <alignment vertical="top"/>
      <protection locked="0"/>
    </xf>
    <xf numFmtId="0" fontId="28" fillId="75" borderId="123" xfId="0" quotePrefix="1" applyFont="1" applyFill="1" applyBorder="1" applyAlignment="1">
      <alignment vertical="center" wrapText="1"/>
    </xf>
    <xf numFmtId="0" fontId="28" fillId="75" borderId="81" xfId="0" quotePrefix="1" applyFont="1" applyFill="1" applyBorder="1" applyAlignment="1">
      <alignment horizontal="center" vertical="center" wrapText="1"/>
    </xf>
    <xf numFmtId="0" fontId="28" fillId="75" borderId="142" xfId="0" quotePrefix="1" applyFont="1" applyFill="1" applyBorder="1" applyAlignment="1">
      <alignment vertical="center" wrapText="1"/>
    </xf>
    <xf numFmtId="0" fontId="151" fillId="0" borderId="0" xfId="0" applyFont="1" applyAlignment="1">
      <alignment horizontal="left" vertical="center"/>
    </xf>
    <xf numFmtId="0" fontId="151" fillId="0" borderId="0" xfId="0" quotePrefix="1" applyFont="1" applyAlignment="1">
      <alignment horizontal="center" vertical="center"/>
    </xf>
    <xf numFmtId="0" fontId="136" fillId="0" borderId="0" xfId="0" applyFont="1" applyAlignment="1">
      <alignment horizontal="centerContinuous"/>
    </xf>
    <xf numFmtId="0" fontId="7" fillId="70" borderId="129" xfId="0" applyFont="1" applyFill="1" applyBorder="1" applyAlignment="1">
      <alignment horizontal="center" wrapText="1"/>
    </xf>
    <xf numFmtId="0" fontId="7" fillId="70" borderId="130" xfId="0" applyFont="1" applyFill="1" applyBorder="1" applyAlignment="1">
      <alignment horizontal="left" wrapText="1"/>
    </xf>
    <xf numFmtId="0" fontId="7" fillId="70" borderId="96" xfId="0" applyFont="1" applyFill="1" applyBorder="1" applyAlignment="1">
      <alignment horizontal="left" wrapText="1"/>
    </xf>
    <xf numFmtId="0" fontId="7" fillId="70" borderId="129" xfId="0" applyFont="1" applyFill="1" applyBorder="1" applyAlignment="1">
      <alignment horizontal="left" wrapText="1"/>
    </xf>
    <xf numFmtId="0" fontId="7" fillId="70" borderId="131" xfId="0" applyFont="1" applyFill="1" applyBorder="1" applyAlignment="1">
      <alignment horizontal="left" wrapText="1"/>
    </xf>
    <xf numFmtId="0" fontId="7" fillId="70" borderId="176" xfId="0" applyFont="1" applyFill="1" applyBorder="1" applyAlignment="1">
      <alignment horizontal="left" wrapText="1"/>
    </xf>
    <xf numFmtId="0" fontId="141" fillId="0" borderId="0" xfId="0" applyFont="1"/>
    <xf numFmtId="0" fontId="106" fillId="0" borderId="29" xfId="0" applyFont="1" applyBorder="1" applyAlignment="1">
      <alignment horizontal="right" vertical="center" wrapText="1"/>
    </xf>
    <xf numFmtId="0" fontId="106" fillId="0" borderId="0" xfId="0" applyFont="1" applyAlignment="1">
      <alignment horizontal="right" vertical="center" wrapText="1"/>
    </xf>
    <xf numFmtId="0" fontId="24" fillId="60" borderId="14" xfId="0" applyFont="1" applyFill="1" applyBorder="1" applyAlignment="1">
      <alignment vertical="center"/>
    </xf>
    <xf numFmtId="0" fontId="24" fillId="60" borderId="50" xfId="0" applyFont="1" applyFill="1" applyBorder="1" applyAlignment="1">
      <alignment vertical="center"/>
    </xf>
    <xf numFmtId="0" fontId="24" fillId="60" borderId="60" xfId="0" applyFont="1" applyFill="1" applyBorder="1" applyAlignment="1">
      <alignment vertical="center"/>
    </xf>
    <xf numFmtId="0" fontId="25" fillId="60" borderId="59" xfId="0" applyFont="1" applyFill="1" applyBorder="1" applyAlignment="1">
      <alignment vertical="center"/>
    </xf>
    <xf numFmtId="0" fontId="24" fillId="60" borderId="0" xfId="0" applyFont="1" applyFill="1" applyAlignment="1">
      <alignment horizontal="centerContinuous" vertical="center" wrapText="1"/>
    </xf>
    <xf numFmtId="0" fontId="24" fillId="60" borderId="56" xfId="0" applyFont="1" applyFill="1" applyBorder="1" applyAlignment="1">
      <alignment horizontal="centerContinuous" vertical="center" wrapText="1"/>
    </xf>
    <xf numFmtId="0" fontId="24" fillId="60" borderId="59" xfId="0" applyFont="1" applyFill="1" applyBorder="1" applyAlignment="1">
      <alignment vertical="center"/>
    </xf>
    <xf numFmtId="0" fontId="24" fillId="60" borderId="0" xfId="0" applyFont="1" applyFill="1" applyAlignment="1">
      <alignment vertical="center"/>
    </xf>
    <xf numFmtId="0" fontId="24" fillId="60" borderId="56" xfId="0" applyFont="1" applyFill="1" applyBorder="1" applyAlignment="1">
      <alignment vertical="center"/>
    </xf>
    <xf numFmtId="0" fontId="24" fillId="64" borderId="13" xfId="0" applyFont="1" applyFill="1" applyBorder="1" applyAlignment="1">
      <alignment vertical="center"/>
    </xf>
    <xf numFmtId="0" fontId="24" fillId="64" borderId="25" xfId="0" applyFont="1" applyFill="1" applyBorder="1" applyAlignment="1">
      <alignment vertical="center"/>
    </xf>
    <xf numFmtId="0" fontId="24" fillId="60" borderId="61" xfId="0" applyFont="1" applyFill="1" applyBorder="1" applyAlignment="1">
      <alignment vertical="center"/>
    </xf>
    <xf numFmtId="0" fontId="24" fillId="60" borderId="62" xfId="0" applyFont="1" applyFill="1" applyBorder="1" applyAlignment="1">
      <alignment vertical="center"/>
    </xf>
    <xf numFmtId="0" fontId="24" fillId="60" borderId="54" xfId="0" applyFont="1" applyFill="1" applyBorder="1" applyAlignment="1">
      <alignment vertical="center"/>
    </xf>
    <xf numFmtId="0" fontId="152" fillId="76" borderId="0" xfId="0" applyFont="1" applyFill="1" applyAlignment="1">
      <alignment vertical="center"/>
    </xf>
    <xf numFmtId="0" fontId="24" fillId="55" borderId="56" xfId="0" applyFont="1" applyFill="1" applyBorder="1" applyAlignment="1">
      <alignment vertical="center"/>
    </xf>
    <xf numFmtId="0" fontId="24" fillId="55" borderId="54" xfId="0" applyFont="1" applyFill="1" applyBorder="1" applyAlignment="1">
      <alignment vertical="center"/>
    </xf>
    <xf numFmtId="0" fontId="22" fillId="35" borderId="63" xfId="0" applyFont="1" applyFill="1" applyBorder="1" applyAlignment="1">
      <alignment horizontal="centerContinuous"/>
    </xf>
    <xf numFmtId="0" fontId="22" fillId="35" borderId="64" xfId="0" applyFont="1" applyFill="1" applyBorder="1" applyAlignment="1">
      <alignment horizontal="centerContinuous"/>
    </xf>
    <xf numFmtId="169" fontId="0" fillId="74" borderId="96" xfId="0" applyNumberFormat="1" applyFill="1" applyBorder="1" applyAlignment="1">
      <alignment horizontal="center"/>
    </xf>
    <xf numFmtId="0" fontId="0" fillId="73" borderId="77" xfId="0" applyFill="1" applyBorder="1" applyAlignment="1">
      <alignment horizontal="center" wrapText="1"/>
    </xf>
    <xf numFmtId="0" fontId="0" fillId="73" borderId="70" xfId="0" applyFill="1" applyBorder="1" applyAlignment="1">
      <alignment horizontal="center" wrapText="1"/>
    </xf>
    <xf numFmtId="0" fontId="7" fillId="48" borderId="0" xfId="0" applyFont="1" applyFill="1" applyAlignment="1" applyProtection="1">
      <alignment vertical="center"/>
      <protection locked="0"/>
    </xf>
    <xf numFmtId="0" fontId="7" fillId="48" borderId="0" xfId="0" applyFont="1" applyFill="1" applyAlignment="1">
      <alignment vertical="center"/>
    </xf>
    <xf numFmtId="0" fontId="23" fillId="0" borderId="0" xfId="0" applyFont="1"/>
    <xf numFmtId="0" fontId="24" fillId="39" borderId="38" xfId="0" applyFont="1" applyFill="1" applyBorder="1" applyAlignment="1">
      <alignment vertical="center"/>
    </xf>
    <xf numFmtId="0" fontId="24" fillId="39" borderId="42" xfId="0" applyFont="1" applyFill="1" applyBorder="1" applyAlignment="1">
      <alignment vertical="center"/>
    </xf>
    <xf numFmtId="0" fontId="24" fillId="39" borderId="45" xfId="0" applyFont="1" applyFill="1" applyBorder="1" applyAlignment="1">
      <alignment vertical="center"/>
    </xf>
    <xf numFmtId="0" fontId="24" fillId="0" borderId="38" xfId="0" applyFont="1" applyBorder="1" applyAlignment="1">
      <alignment vertical="center"/>
    </xf>
    <xf numFmtId="0" fontId="24" fillId="0" borderId="42" xfId="0" applyFont="1" applyBorder="1" applyAlignment="1">
      <alignment vertical="center"/>
    </xf>
    <xf numFmtId="0" fontId="24" fillId="0" borderId="45" xfId="0" applyFont="1" applyBorder="1" applyAlignment="1">
      <alignment vertical="center"/>
    </xf>
    <xf numFmtId="0" fontId="24" fillId="0" borderId="24" xfId="0" applyFont="1" applyBorder="1" applyAlignment="1">
      <alignment vertical="center"/>
    </xf>
    <xf numFmtId="0" fontId="24" fillId="0" borderId="29" xfId="0" applyFont="1" applyBorder="1" applyAlignment="1">
      <alignment vertical="center"/>
    </xf>
    <xf numFmtId="0" fontId="24" fillId="0" borderId="26" xfId="0" applyFont="1" applyBorder="1" applyAlignment="1">
      <alignment vertical="center"/>
    </xf>
    <xf numFmtId="0" fontId="24" fillId="0" borderId="10" xfId="0" applyFont="1" applyBorder="1" applyAlignment="1">
      <alignment vertical="center"/>
    </xf>
    <xf numFmtId="0" fontId="34" fillId="0" borderId="0" xfId="32" applyFont="1" applyAlignment="1">
      <alignment horizontal="center" vertical="center"/>
    </xf>
    <xf numFmtId="0" fontId="0" fillId="0" borderId="0" xfId="0" applyAlignment="1">
      <alignment vertical="center" wrapText="1"/>
    </xf>
    <xf numFmtId="0" fontId="153" fillId="0" borderId="0" xfId="32" applyFont="1" applyAlignment="1">
      <alignment horizontal="center" vertical="center"/>
    </xf>
    <xf numFmtId="0" fontId="0" fillId="34" borderId="104" xfId="0" applyFill="1" applyBorder="1" applyAlignment="1">
      <alignment horizontal="left" vertical="top" wrapText="1"/>
    </xf>
    <xf numFmtId="0" fontId="7" fillId="0" borderId="104" xfId="0" applyFont="1" applyBorder="1" applyAlignment="1">
      <alignment vertical="top" wrapText="1"/>
    </xf>
    <xf numFmtId="0" fontId="0" fillId="0" borderId="104" xfId="0" applyBorder="1" applyAlignment="1">
      <alignment vertical="top"/>
    </xf>
    <xf numFmtId="0" fontId="0" fillId="34" borderId="122" xfId="0" applyFill="1" applyBorder="1" applyAlignment="1">
      <alignment horizontal="left" vertical="top" wrapText="1"/>
    </xf>
    <xf numFmtId="0" fontId="7" fillId="0" borderId="122" xfId="0" applyFont="1" applyBorder="1" applyAlignment="1">
      <alignment vertical="top" wrapText="1"/>
    </xf>
    <xf numFmtId="0" fontId="0" fillId="0" borderId="122" xfId="0" applyBorder="1" applyAlignment="1">
      <alignment vertical="top"/>
    </xf>
    <xf numFmtId="0" fontId="0" fillId="34" borderId="33" xfId="0" applyFill="1" applyBorder="1" applyAlignment="1">
      <alignment horizontal="left" vertical="top" wrapText="1"/>
    </xf>
    <xf numFmtId="0" fontId="7" fillId="0" borderId="33" xfId="0" applyFont="1" applyBorder="1" applyAlignment="1">
      <alignment vertical="top" wrapText="1"/>
    </xf>
    <xf numFmtId="0" fontId="0" fillId="0" borderId="33" xfId="0" applyBorder="1" applyAlignment="1">
      <alignment vertical="top"/>
    </xf>
    <xf numFmtId="0" fontId="85" fillId="0" borderId="0" xfId="0" applyFont="1"/>
    <xf numFmtId="0" fontId="37" fillId="0" borderId="0" xfId="0" applyFont="1"/>
    <xf numFmtId="0" fontId="24" fillId="0" borderId="60" xfId="0" applyFont="1" applyBorder="1" applyAlignment="1">
      <alignment horizontal="center" vertical="center" wrapText="1"/>
    </xf>
    <xf numFmtId="0" fontId="24" fillId="0" borderId="18" xfId="0" applyFont="1" applyBorder="1" applyAlignment="1">
      <alignment vertical="center" wrapText="1"/>
    </xf>
    <xf numFmtId="0" fontId="24" fillId="0" borderId="51" xfId="0" applyFont="1" applyBorder="1" applyAlignment="1">
      <alignment horizontal="center" vertical="center" wrapText="1"/>
    </xf>
    <xf numFmtId="0" fontId="24" fillId="0" borderId="24" xfId="0" applyFont="1" applyBorder="1" applyAlignment="1">
      <alignment vertical="center" wrapText="1"/>
    </xf>
    <xf numFmtId="0" fontId="24" fillId="0" borderId="18" xfId="0" applyFont="1" applyBorder="1" applyAlignment="1">
      <alignment horizontal="center" vertical="center" wrapText="1"/>
    </xf>
    <xf numFmtId="0" fontId="7" fillId="0" borderId="38" xfId="0" applyFont="1" applyBorder="1" applyAlignment="1">
      <alignment horizontal="center" vertical="center" wrapText="1"/>
    </xf>
    <xf numFmtId="0" fontId="7" fillId="0" borderId="24" xfId="0" applyFont="1" applyBorder="1" applyAlignment="1">
      <alignment horizontal="center" vertical="center" wrapText="1"/>
    </xf>
    <xf numFmtId="0" fontId="104" fillId="0" borderId="38" xfId="0" applyFont="1" applyBorder="1" applyAlignment="1">
      <alignment horizontal="center" vertical="center" wrapText="1"/>
    </xf>
    <xf numFmtId="0" fontId="104" fillId="0" borderId="24" xfId="0" applyFont="1" applyBorder="1" applyAlignment="1">
      <alignment horizontal="center" vertical="center" wrapText="1"/>
    </xf>
    <xf numFmtId="0" fontId="104" fillId="0" borderId="61" xfId="0" applyFont="1" applyBorder="1" applyAlignment="1">
      <alignment horizontal="center" vertical="center" wrapText="1"/>
    </xf>
    <xf numFmtId="0" fontId="104" fillId="0" borderId="36" xfId="0" applyFont="1" applyBorder="1" applyAlignment="1">
      <alignment horizontal="center" vertical="center" wrapText="1"/>
    </xf>
    <xf numFmtId="0" fontId="7" fillId="0" borderId="38" xfId="0" applyFont="1" applyBorder="1" applyAlignment="1">
      <alignment horizontal="center" vertical="center"/>
    </xf>
    <xf numFmtId="0" fontId="7" fillId="0" borderId="24" xfId="0" applyFont="1" applyBorder="1" applyAlignment="1">
      <alignment vertical="center"/>
    </xf>
    <xf numFmtId="0" fontId="7" fillId="0" borderId="23" xfId="0" applyFont="1" applyBorder="1" applyAlignment="1">
      <alignment vertical="center" wrapText="1"/>
    </xf>
    <xf numFmtId="0" fontId="104" fillId="0" borderId="23" xfId="0" applyFont="1" applyBorder="1" applyAlignment="1">
      <alignment vertical="center" wrapText="1"/>
    </xf>
    <xf numFmtId="0" fontId="7" fillId="0" borderId="24" xfId="0" applyFont="1" applyBorder="1" applyAlignment="1">
      <alignment vertical="center" wrapText="1"/>
    </xf>
    <xf numFmtId="169" fontId="22" fillId="0" borderId="10" xfId="0" applyNumberFormat="1" applyFont="1" applyBorder="1" applyAlignment="1">
      <alignment horizontal="center" vertical="center"/>
    </xf>
    <xf numFmtId="0" fontId="22" fillId="0" borderId="10" xfId="0" applyFont="1" applyBorder="1" applyAlignment="1">
      <alignment horizontal="center" vertical="center" wrapText="1"/>
    </xf>
    <xf numFmtId="0" fontId="7" fillId="70" borderId="217" xfId="0" applyFont="1" applyFill="1" applyBorder="1" applyAlignment="1">
      <alignment horizontal="center" wrapText="1"/>
    </xf>
    <xf numFmtId="0" fontId="7" fillId="70" borderId="218" xfId="0" applyFont="1" applyFill="1" applyBorder="1" applyAlignment="1">
      <alignment horizontal="centerContinuous" wrapText="1"/>
    </xf>
    <xf numFmtId="0" fontId="7" fillId="70" borderId="219" xfId="0" applyFont="1" applyFill="1" applyBorder="1" applyAlignment="1">
      <alignment horizontal="centerContinuous" wrapText="1"/>
    </xf>
    <xf numFmtId="0" fontId="7" fillId="70" borderId="220" xfId="0" applyFont="1" applyFill="1" applyBorder="1" applyAlignment="1">
      <alignment horizontal="center" wrapText="1"/>
    </xf>
    <xf numFmtId="169" fontId="7" fillId="70" borderId="221" xfId="0" applyNumberFormat="1" applyFont="1" applyFill="1" applyBorder="1" applyAlignment="1">
      <alignment horizontal="center" wrapText="1"/>
    </xf>
    <xf numFmtId="169" fontId="7" fillId="70" borderId="220" xfId="0" applyNumberFormat="1" applyFont="1" applyFill="1" applyBorder="1" applyAlignment="1">
      <alignment horizontal="center" wrapText="1"/>
    </xf>
    <xf numFmtId="0" fontId="154" fillId="0" borderId="222" xfId="0" applyFont="1" applyBorder="1" applyAlignment="1">
      <alignment horizontal="center"/>
    </xf>
    <xf numFmtId="0" fontId="154" fillId="0" borderId="223" xfId="0" applyFont="1" applyBorder="1" applyAlignment="1">
      <alignment horizontal="center"/>
    </xf>
    <xf numFmtId="0" fontId="154" fillId="0" borderId="223" xfId="0" applyFont="1" applyBorder="1" applyAlignment="1">
      <alignment vertical="center" wrapText="1"/>
    </xf>
    <xf numFmtId="0" fontId="154" fillId="0" borderId="223" xfId="0" applyFont="1" applyBorder="1" applyAlignment="1">
      <alignment horizontal="center" vertical="center" wrapText="1"/>
    </xf>
    <xf numFmtId="2" fontId="154" fillId="0" borderId="223" xfId="0" applyNumberFormat="1" applyFont="1" applyBorder="1" applyAlignment="1">
      <alignment horizontal="center" vertical="center" wrapText="1"/>
    </xf>
    <xf numFmtId="0" fontId="154" fillId="0" borderId="222" xfId="0" applyFont="1" applyBorder="1" applyAlignment="1">
      <alignment vertical="center" wrapText="1"/>
    </xf>
    <xf numFmtId="0" fontId="154" fillId="0" borderId="222" xfId="0" applyFont="1" applyBorder="1" applyAlignment="1">
      <alignment horizontal="center" vertical="center" wrapText="1"/>
    </xf>
    <xf numFmtId="2" fontId="154" fillId="0" borderId="222" xfId="0" applyNumberFormat="1" applyFont="1" applyBorder="1" applyAlignment="1">
      <alignment horizontal="center" vertical="center" wrapText="1"/>
    </xf>
    <xf numFmtId="0" fontId="85" fillId="0" borderId="0" xfId="0" applyFont="1" applyAlignment="1">
      <alignment horizontal="center" vertical="center" wrapText="1"/>
    </xf>
    <xf numFmtId="0" fontId="85" fillId="0" borderId="0" xfId="32" applyFont="1" applyAlignment="1">
      <alignment horizontal="center" vertical="center"/>
    </xf>
    <xf numFmtId="0" fontId="37" fillId="0" borderId="0" xfId="32" applyFont="1" applyAlignment="1">
      <alignment horizontal="center" vertical="center"/>
    </xf>
    <xf numFmtId="0" fontId="22" fillId="0" borderId="0" xfId="32" applyFont="1" applyAlignment="1">
      <alignment horizontal="center" vertical="center"/>
    </xf>
    <xf numFmtId="0" fontId="7" fillId="0" borderId="0" xfId="32" applyAlignment="1">
      <alignment horizontal="center" vertical="center"/>
    </xf>
    <xf numFmtId="0" fontId="37" fillId="0" borderId="0" xfId="0" applyFont="1" applyAlignment="1">
      <alignment horizontal="center" vertical="center" wrapText="1"/>
    </xf>
    <xf numFmtId="0" fontId="7" fillId="0" borderId="0" xfId="32" applyAlignment="1">
      <alignment vertical="center"/>
    </xf>
    <xf numFmtId="0" fontId="34" fillId="0" borderId="0" xfId="32" applyFont="1" applyAlignment="1">
      <alignment vertical="center"/>
    </xf>
    <xf numFmtId="0" fontId="34" fillId="0" borderId="0" xfId="0" applyFont="1" applyAlignment="1">
      <alignment vertical="center" wrapText="1"/>
    </xf>
    <xf numFmtId="0" fontId="84" fillId="0" borderId="0" xfId="32" applyFont="1" applyAlignment="1">
      <alignment vertical="center"/>
    </xf>
    <xf numFmtId="0" fontId="38" fillId="47" borderId="154" xfId="0" applyFont="1" applyFill="1" applyBorder="1" applyAlignment="1">
      <alignment horizontal="center" vertical="center" wrapText="1"/>
    </xf>
    <xf numFmtId="0" fontId="22" fillId="47" borderId="123" xfId="0" quotePrefix="1" applyFont="1" applyFill="1" applyBorder="1" applyAlignment="1">
      <alignment horizontal="center" vertical="center" wrapText="1"/>
    </xf>
    <xf numFmtId="0" fontId="37" fillId="47" borderId="123" xfId="0" quotePrefix="1" applyFont="1" applyFill="1" applyBorder="1" applyAlignment="1">
      <alignment horizontal="center" vertical="center" wrapText="1"/>
    </xf>
    <xf numFmtId="0" fontId="28" fillId="44" borderId="70" xfId="0" applyFont="1" applyFill="1" applyBorder="1" applyAlignment="1">
      <alignment horizontal="center" vertical="center" wrapText="1"/>
    </xf>
    <xf numFmtId="0" fontId="37" fillId="44" borderId="70" xfId="0" applyFont="1" applyFill="1" applyBorder="1" applyAlignment="1">
      <alignment horizontal="center" vertical="center" wrapText="1"/>
    </xf>
    <xf numFmtId="0" fontId="45" fillId="44" borderId="77" xfId="0" applyFont="1" applyFill="1" applyBorder="1" applyAlignment="1">
      <alignment horizontal="center" vertical="center" wrapText="1"/>
    </xf>
    <xf numFmtId="0" fontId="7" fillId="40" borderId="70" xfId="0" applyFont="1" applyFill="1" applyBorder="1" applyAlignment="1">
      <alignment vertical="center" wrapText="1"/>
    </xf>
    <xf numFmtId="171" fontId="7" fillId="0" borderId="224" xfId="0" applyNumberFormat="1" applyFont="1" applyBorder="1" applyAlignment="1" applyProtection="1">
      <alignment horizontal="center" vertical="center" wrapText="1"/>
      <protection locked="0"/>
    </xf>
    <xf numFmtId="0" fontId="7" fillId="40" borderId="74" xfId="0" applyFont="1" applyFill="1" applyBorder="1" applyAlignment="1">
      <alignment vertical="center" wrapText="1"/>
    </xf>
    <xf numFmtId="0" fontId="7" fillId="28" borderId="13" xfId="0" applyFont="1" applyFill="1" applyBorder="1" applyAlignment="1">
      <alignment horizontal="left" vertical="top" wrapText="1"/>
    </xf>
    <xf numFmtId="0" fontId="0" fillId="0" borderId="104" xfId="0" applyBorder="1" applyAlignment="1">
      <alignment horizontal="left" vertical="top" wrapText="1"/>
    </xf>
    <xf numFmtId="0" fontId="0" fillId="0" borderId="122" xfId="0" applyBorder="1" applyAlignment="1">
      <alignment horizontal="left" vertical="top" wrapText="1"/>
    </xf>
    <xf numFmtId="0" fontId="0" fillId="0" borderId="33" xfId="0" applyBorder="1" applyAlignment="1">
      <alignment horizontal="left" vertical="top" wrapText="1"/>
    </xf>
    <xf numFmtId="0" fontId="0" fillId="0" borderId="0" xfId="0" applyAlignment="1">
      <alignment horizontal="left" vertical="top" wrapText="1"/>
    </xf>
    <xf numFmtId="0" fontId="7" fillId="0" borderId="33" xfId="0" applyFont="1" applyBorder="1" applyAlignment="1">
      <alignment horizontal="left" vertical="top" wrapText="1"/>
    </xf>
    <xf numFmtId="0" fontId="132" fillId="40" borderId="0" xfId="0" applyFont="1" applyFill="1" applyAlignment="1">
      <alignment horizontal="center"/>
    </xf>
    <xf numFmtId="0" fontId="7" fillId="77" borderId="74" xfId="0" quotePrefix="1" applyFont="1" applyFill="1" applyBorder="1" applyAlignment="1" applyProtection="1">
      <alignment horizontal="center" vertical="center"/>
      <protection locked="0"/>
    </xf>
    <xf numFmtId="0" fontId="148" fillId="77" borderId="154" xfId="0" quotePrefix="1" applyFont="1" applyFill="1" applyBorder="1" applyAlignment="1">
      <alignment vertical="top" textRotation="90"/>
    </xf>
    <xf numFmtId="0" fontId="148" fillId="79" borderId="154" xfId="0" quotePrefix="1" applyFont="1" applyFill="1" applyBorder="1" applyAlignment="1">
      <alignment vertical="top" textRotation="90"/>
    </xf>
    <xf numFmtId="0" fontId="22" fillId="53" borderId="130" xfId="0" quotePrefix="1" applyFont="1" applyFill="1" applyBorder="1" applyAlignment="1">
      <alignment wrapText="1"/>
    </xf>
    <xf numFmtId="171" fontId="7" fillId="0" borderId="173" xfId="0" applyNumberFormat="1" applyFont="1" applyBorder="1" applyAlignment="1">
      <alignment horizontal="center"/>
    </xf>
    <xf numFmtId="0" fontId="22" fillId="53" borderId="130" xfId="0" quotePrefix="1" applyFont="1" applyFill="1" applyBorder="1" applyAlignment="1">
      <alignment horizontal="center" vertical="center"/>
    </xf>
    <xf numFmtId="0" fontId="34" fillId="0" borderId="0" xfId="0" applyFont="1" applyProtection="1">
      <protection locked="0"/>
    </xf>
    <xf numFmtId="0" fontId="7" fillId="0" borderId="88" xfId="32" applyBorder="1" applyAlignment="1">
      <alignment vertical="center"/>
    </xf>
    <xf numFmtId="0" fontId="7" fillId="0" borderId="89" xfId="32" applyBorder="1" applyAlignment="1">
      <alignment vertical="center"/>
    </xf>
    <xf numFmtId="0" fontId="7" fillId="0" borderId="90" xfId="32" applyBorder="1" applyAlignment="1">
      <alignment vertical="center"/>
    </xf>
    <xf numFmtId="0" fontId="7" fillId="0" borderId="91" xfId="32" applyBorder="1" applyAlignment="1">
      <alignment vertical="center"/>
    </xf>
    <xf numFmtId="0" fontId="29" fillId="0" borderId="0" xfId="32" applyFont="1" applyAlignment="1">
      <alignment horizontal="centerContinuous" vertical="center"/>
    </xf>
    <xf numFmtId="0" fontId="7" fillId="0" borderId="0" xfId="32" applyAlignment="1">
      <alignment horizontal="centerContinuous" vertical="center"/>
    </xf>
    <xf numFmtId="0" fontId="7" fillId="0" borderId="157" xfId="32" applyBorder="1" applyAlignment="1">
      <alignment vertical="center"/>
    </xf>
    <xf numFmtId="0" fontId="64" fillId="0" borderId="0" xfId="32" applyFont="1" applyAlignment="1">
      <alignment vertical="center"/>
    </xf>
    <xf numFmtId="0" fontId="7" fillId="0" borderId="177" xfId="32" applyBorder="1" applyAlignment="1">
      <alignment vertical="center"/>
    </xf>
    <xf numFmtId="0" fontId="7" fillId="0" borderId="132" xfId="32" applyBorder="1" applyAlignment="1">
      <alignment vertical="center"/>
    </xf>
    <xf numFmtId="0" fontId="7" fillId="0" borderId="178" xfId="32" applyBorder="1" applyAlignment="1">
      <alignment vertical="center"/>
    </xf>
    <xf numFmtId="0" fontId="157" fillId="0" borderId="0" xfId="32" applyFont="1" applyAlignment="1">
      <alignment horizontal="centerContinuous" vertical="center"/>
    </xf>
    <xf numFmtId="0" fontId="7" fillId="0" borderId="179" xfId="32" applyBorder="1" applyAlignment="1">
      <alignment vertical="center"/>
    </xf>
    <xf numFmtId="0" fontId="7" fillId="0" borderId="180" xfId="32" applyBorder="1" applyAlignment="1">
      <alignment vertical="center"/>
    </xf>
    <xf numFmtId="0" fontId="7" fillId="0" borderId="181" xfId="32" applyBorder="1" applyAlignment="1">
      <alignment vertical="center"/>
    </xf>
    <xf numFmtId="0" fontId="88" fillId="0" borderId="181" xfId="32" applyFont="1" applyBorder="1" applyAlignment="1">
      <alignment vertical="center"/>
    </xf>
    <xf numFmtId="0" fontId="131" fillId="80" borderId="0" xfId="32" applyFont="1" applyFill="1" applyAlignment="1">
      <alignment vertical="center"/>
    </xf>
    <xf numFmtId="0" fontId="131" fillId="80" borderId="182" xfId="32" applyFont="1" applyFill="1" applyBorder="1" applyAlignment="1">
      <alignment vertical="center"/>
    </xf>
    <xf numFmtId="0" fontId="7" fillId="81" borderId="182" xfId="32" applyFill="1" applyBorder="1" applyAlignment="1">
      <alignment vertical="center"/>
    </xf>
    <xf numFmtId="0" fontId="43" fillId="0" borderId="183" xfId="32" applyFont="1" applyBorder="1" applyAlignment="1">
      <alignment vertical="center"/>
    </xf>
    <xf numFmtId="0" fontId="40" fillId="0" borderId="0" xfId="32" applyFont="1" applyAlignment="1">
      <alignment horizontal="right" vertical="center"/>
    </xf>
    <xf numFmtId="0" fontId="29" fillId="0" borderId="91" xfId="32" applyFont="1" applyBorder="1" applyAlignment="1">
      <alignment vertical="center"/>
    </xf>
    <xf numFmtId="0" fontId="97" fillId="0" borderId="0" xfId="32" applyFont="1" applyAlignment="1">
      <alignment horizontal="right" vertical="center"/>
    </xf>
    <xf numFmtId="0" fontId="158" fillId="80" borderId="0" xfId="32" applyFont="1" applyFill="1" applyAlignment="1">
      <alignment vertical="center"/>
    </xf>
    <xf numFmtId="0" fontId="88" fillId="81" borderId="0" xfId="32" applyFont="1" applyFill="1" applyAlignment="1">
      <alignment horizontal="left" vertical="center"/>
    </xf>
    <xf numFmtId="0" fontId="122" fillId="82" borderId="184" xfId="32" applyFont="1" applyFill="1" applyBorder="1" applyAlignment="1">
      <alignment vertical="center"/>
    </xf>
    <xf numFmtId="0" fontId="83" fillId="0" borderId="183" xfId="32" applyFont="1" applyBorder="1" applyAlignment="1">
      <alignment vertical="center"/>
    </xf>
    <xf numFmtId="0" fontId="44" fillId="0" borderId="185" xfId="32" applyFont="1" applyBorder="1" applyAlignment="1">
      <alignment vertical="center"/>
    </xf>
    <xf numFmtId="0" fontId="21" fillId="0" borderId="0" xfId="32" applyFont="1" applyAlignment="1">
      <alignment horizontal="right" vertical="center"/>
    </xf>
    <xf numFmtId="0" fontId="118" fillId="0" borderId="181" xfId="32" applyFont="1" applyBorder="1" applyAlignment="1">
      <alignment horizontal="right" vertical="center"/>
    </xf>
    <xf numFmtId="0" fontId="22" fillId="0" borderId="0" xfId="32" applyFont="1" applyAlignment="1">
      <alignment vertical="center"/>
    </xf>
    <xf numFmtId="0" fontId="85" fillId="0" borderId="0" xfId="32" applyFont="1" applyAlignment="1">
      <alignment vertical="center"/>
    </xf>
    <xf numFmtId="0" fontId="28" fillId="0" borderId="0" xfId="32" applyFont="1" applyAlignment="1">
      <alignment vertical="center"/>
    </xf>
    <xf numFmtId="0" fontId="159" fillId="83" borderId="74" xfId="0" applyFont="1" applyFill="1" applyBorder="1" applyAlignment="1" applyProtection="1">
      <alignment horizontal="center" vertical="center"/>
      <protection locked="0"/>
    </xf>
    <xf numFmtId="0" fontId="160" fillId="83" borderId="154" xfId="0" quotePrefix="1" applyFont="1" applyFill="1" applyBorder="1" applyAlignment="1">
      <alignment vertical="top" textRotation="90"/>
    </xf>
    <xf numFmtId="0" fontId="7" fillId="79" borderId="70" xfId="0" applyFont="1" applyFill="1" applyBorder="1" applyAlignment="1" applyProtection="1">
      <alignment horizontal="center" vertical="center"/>
      <protection locked="0"/>
    </xf>
    <xf numFmtId="0" fontId="148" fillId="64" borderId="154" xfId="0" quotePrefix="1" applyFont="1" applyFill="1" applyBorder="1" applyAlignment="1">
      <alignment vertical="top" textRotation="90"/>
    </xf>
    <xf numFmtId="0" fontId="154" fillId="0" borderId="0" xfId="0" applyFont="1" applyAlignment="1">
      <alignment horizontal="center" vertical="center" wrapText="1"/>
    </xf>
    <xf numFmtId="0" fontId="161" fillId="0" borderId="0" xfId="0" applyFont="1" applyAlignment="1">
      <alignment horizontal="center" vertical="center" wrapText="1"/>
    </xf>
    <xf numFmtId="0" fontId="161" fillId="0" borderId="0" xfId="0" applyFont="1" applyAlignment="1">
      <alignment horizontal="center" wrapText="1"/>
    </xf>
    <xf numFmtId="0" fontId="159" fillId="76" borderId="13" xfId="0" applyFont="1" applyFill="1" applyBorder="1" applyAlignment="1">
      <alignment vertical="center"/>
    </xf>
    <xf numFmtId="0" fontId="34" fillId="0" borderId="0" xfId="0" applyFont="1" applyAlignment="1" applyProtection="1">
      <alignment horizontal="center"/>
      <protection locked="0"/>
    </xf>
    <xf numFmtId="0" fontId="85" fillId="0" borderId="0" xfId="32" applyFont="1"/>
    <xf numFmtId="0" fontId="85" fillId="0" borderId="0" xfId="32" applyFont="1" applyAlignment="1">
      <alignment horizontal="centerContinuous"/>
    </xf>
    <xf numFmtId="0" fontId="30" fillId="0" borderId="0" xfId="32" applyFont="1" applyAlignment="1">
      <alignment horizontal="centerContinuous"/>
    </xf>
    <xf numFmtId="0" fontId="85" fillId="0" borderId="0" xfId="32" applyFont="1" applyAlignment="1">
      <alignment horizontal="center"/>
    </xf>
    <xf numFmtId="0" fontId="112" fillId="0" borderId="0" xfId="32" applyFont="1" applyAlignment="1">
      <alignment vertical="center"/>
    </xf>
    <xf numFmtId="0" fontId="43" fillId="0" borderId="0" xfId="32" applyFont="1" applyAlignment="1" applyProtection="1">
      <alignment vertical="center"/>
      <protection locked="0"/>
    </xf>
    <xf numFmtId="0" fontId="35" fillId="0" borderId="0" xfId="32" applyFont="1" applyAlignment="1" applyProtection="1">
      <alignment horizontal="center" vertical="center" wrapText="1"/>
      <protection locked="0"/>
    </xf>
    <xf numFmtId="0" fontId="34" fillId="0" borderId="0" xfId="32" applyFont="1" applyAlignment="1" applyProtection="1">
      <alignment vertical="center"/>
      <protection locked="0"/>
    </xf>
    <xf numFmtId="0" fontId="29" fillId="0" borderId="0" xfId="32" applyFont="1" applyAlignment="1" applyProtection="1">
      <alignment horizontal="center" vertical="center"/>
      <protection locked="0"/>
    </xf>
    <xf numFmtId="0" fontId="34" fillId="0" borderId="0" xfId="32" applyFont="1" applyAlignment="1" applyProtection="1">
      <alignment horizontal="center" vertical="center"/>
      <protection locked="0"/>
    </xf>
    <xf numFmtId="20" fontId="115" fillId="0" borderId="0" xfId="32" applyNumberFormat="1" applyFont="1" applyAlignment="1" applyProtection="1">
      <alignment horizontal="center" vertical="center"/>
      <protection locked="0"/>
    </xf>
    <xf numFmtId="0" fontId="114" fillId="0" borderId="0" xfId="32" applyFont="1" applyAlignment="1" applyProtection="1">
      <alignment horizontal="center" vertical="center" wrapText="1"/>
      <protection locked="0"/>
    </xf>
    <xf numFmtId="0" fontId="114" fillId="0" borderId="0" xfId="32" applyFont="1" applyAlignment="1" applyProtection="1">
      <alignment vertical="center"/>
      <protection locked="0"/>
    </xf>
    <xf numFmtId="0" fontId="116" fillId="0" borderId="0" xfId="32" applyFont="1" applyAlignment="1" applyProtection="1">
      <alignment horizontal="center" vertical="center" wrapText="1"/>
      <protection locked="0"/>
    </xf>
    <xf numFmtId="0" fontId="114" fillId="0" borderId="0" xfId="32" applyFont="1" applyAlignment="1" applyProtection="1">
      <alignment horizontal="center" vertical="center"/>
      <protection locked="0"/>
    </xf>
    <xf numFmtId="0" fontId="114" fillId="0" borderId="0" xfId="32" applyFont="1"/>
    <xf numFmtId="0" fontId="64" fillId="0" borderId="0" xfId="32" applyFont="1" applyAlignment="1" applyProtection="1">
      <alignment vertical="center"/>
      <protection locked="0"/>
    </xf>
    <xf numFmtId="0" fontId="29" fillId="0" borderId="0" xfId="32" applyFont="1" applyAlignment="1" applyProtection="1">
      <alignment vertical="center"/>
      <protection locked="0"/>
    </xf>
    <xf numFmtId="0" fontId="7" fillId="0" borderId="0" xfId="32" applyAlignment="1" applyProtection="1">
      <alignment horizontal="right" vertical="center"/>
      <protection locked="0"/>
    </xf>
    <xf numFmtId="0" fontId="86" fillId="0" borderId="0" xfId="32" applyFont="1" applyAlignment="1" applyProtection="1">
      <alignment vertical="top"/>
      <protection locked="0"/>
    </xf>
    <xf numFmtId="0" fontId="88" fillId="0" borderId="0" xfId="32" applyFont="1" applyAlignment="1" applyProtection="1">
      <alignment vertical="center"/>
      <protection locked="0"/>
    </xf>
    <xf numFmtId="0" fontId="34" fillId="0" borderId="0" xfId="32" applyFont="1" applyAlignment="1" applyProtection="1">
      <alignment horizontal="center" vertical="center" wrapText="1"/>
      <protection locked="0"/>
    </xf>
    <xf numFmtId="0" fontId="34" fillId="0" borderId="0" xfId="32" quotePrefix="1" applyFont="1" applyAlignment="1" applyProtection="1">
      <alignment vertical="center"/>
      <protection locked="0"/>
    </xf>
    <xf numFmtId="0" fontId="34" fillId="0" borderId="0" xfId="32" applyFont="1" applyAlignment="1" applyProtection="1">
      <alignment horizontal="centerContinuous" vertical="center"/>
      <protection locked="0"/>
    </xf>
    <xf numFmtId="0" fontId="34" fillId="0" borderId="0" xfId="32" applyFont="1"/>
    <xf numFmtId="0" fontId="7" fillId="0" borderId="0" xfId="32"/>
    <xf numFmtId="0" fontId="84" fillId="0" borderId="0" xfId="32" applyFont="1"/>
    <xf numFmtId="0" fontId="85" fillId="0" borderId="0" xfId="32" applyFont="1" applyProtection="1">
      <protection locked="0"/>
    </xf>
    <xf numFmtId="0" fontId="85" fillId="0" borderId="0" xfId="32" applyFont="1" applyAlignment="1" applyProtection="1">
      <alignment horizontal="center"/>
      <protection locked="0"/>
    </xf>
    <xf numFmtId="0" fontId="85" fillId="84" borderId="0" xfId="32" applyFont="1" applyFill="1" applyProtection="1">
      <protection locked="0"/>
    </xf>
    <xf numFmtId="0" fontId="85" fillId="84" borderId="0" xfId="32" applyFont="1" applyFill="1" applyAlignment="1" applyProtection="1">
      <alignment horizontal="center"/>
      <protection locked="0"/>
    </xf>
    <xf numFmtId="0" fontId="44" fillId="0" borderId="0" xfId="32" applyFont="1"/>
    <xf numFmtId="0" fontId="124" fillId="0" borderId="0" xfId="32" applyFont="1" applyProtection="1">
      <protection locked="0"/>
    </xf>
    <xf numFmtId="0" fontId="124" fillId="0" borderId="0" xfId="32" applyFont="1" applyAlignment="1" applyProtection="1">
      <alignment horizontal="center"/>
      <protection locked="0"/>
    </xf>
    <xf numFmtId="0" fontId="124" fillId="0" borderId="0" xfId="32" applyFont="1"/>
    <xf numFmtId="0" fontId="40" fillId="0" borderId="0" xfId="32" applyFont="1" applyAlignment="1" applyProtection="1">
      <alignment vertical="center"/>
      <protection locked="0"/>
    </xf>
    <xf numFmtId="0" fontId="40" fillId="0" borderId="0" xfId="32" applyFont="1" applyAlignment="1" applyProtection="1">
      <alignment horizontal="center" vertical="center"/>
      <protection locked="0"/>
    </xf>
    <xf numFmtId="0" fontId="40" fillId="0" borderId="0" xfId="32" applyFont="1"/>
    <xf numFmtId="0" fontId="25" fillId="0" borderId="13" xfId="32" applyFont="1" applyBorder="1" applyAlignment="1" applyProtection="1">
      <alignment horizontal="center" vertical="center" wrapText="1"/>
      <protection locked="0"/>
    </xf>
    <xf numFmtId="0" fontId="25" fillId="0" borderId="0" xfId="32" applyFont="1" applyAlignment="1" applyProtection="1">
      <alignment horizontal="center" vertical="center" wrapText="1"/>
      <protection locked="0"/>
    </xf>
    <xf numFmtId="0" fontId="84" fillId="0" borderId="0" xfId="32" applyFont="1" applyProtection="1">
      <protection locked="0"/>
    </xf>
    <xf numFmtId="0" fontId="84" fillId="0" borderId="0" xfId="32" applyFont="1" applyAlignment="1" applyProtection="1">
      <alignment horizontal="center"/>
      <protection locked="0"/>
    </xf>
    <xf numFmtId="0" fontId="40" fillId="0" borderId="0" xfId="32" applyFont="1" applyAlignment="1" applyProtection="1">
      <alignment horizontal="centerContinuous"/>
      <protection locked="0"/>
    </xf>
    <xf numFmtId="0" fontId="40" fillId="0" borderId="0" xfId="32" applyFont="1" applyAlignment="1" applyProtection="1">
      <alignment horizontal="right" vertical="center"/>
      <protection locked="0"/>
    </xf>
    <xf numFmtId="0" fontId="38" fillId="0" borderId="0" xfId="32" applyFont="1" applyAlignment="1" applyProtection="1">
      <alignment horizontal="left" vertical="center"/>
      <protection locked="0"/>
    </xf>
    <xf numFmtId="0" fontId="84" fillId="0" borderId="0" xfId="32" applyFont="1" applyAlignment="1" applyProtection="1">
      <alignment horizontal="centerContinuous"/>
      <protection locked="0"/>
    </xf>
    <xf numFmtId="0" fontId="84" fillId="0" borderId="0" xfId="32" applyFont="1" applyAlignment="1" applyProtection="1">
      <alignment vertical="center"/>
      <protection locked="0"/>
    </xf>
    <xf numFmtId="0" fontId="84" fillId="0" borderId="0" xfId="32" applyFont="1" applyAlignment="1" applyProtection="1">
      <alignment horizontal="right" vertical="center"/>
      <protection locked="0"/>
    </xf>
    <xf numFmtId="0" fontId="84" fillId="0" borderId="0" xfId="32" applyFont="1" applyAlignment="1" applyProtection="1">
      <alignment horizontal="center" vertical="center"/>
      <protection locked="0"/>
    </xf>
    <xf numFmtId="0" fontId="125" fillId="0" borderId="0" xfId="32" applyFont="1" applyAlignment="1" applyProtection="1">
      <alignment horizontal="left" vertical="center"/>
      <protection locked="0"/>
    </xf>
    <xf numFmtId="0" fontId="29" fillId="0" borderId="0" xfId="32" applyFont="1" applyProtection="1">
      <protection locked="0"/>
    </xf>
    <xf numFmtId="0" fontId="101" fillId="0" borderId="0" xfId="32" applyFont="1" applyAlignment="1" applyProtection="1">
      <alignment horizontal="centerContinuous"/>
      <protection locked="0"/>
    </xf>
    <xf numFmtId="0" fontId="28" fillId="0" borderId="0" xfId="32" applyFont="1" applyAlignment="1" applyProtection="1">
      <alignment horizontal="centerContinuous"/>
      <protection locked="0"/>
    </xf>
    <xf numFmtId="0" fontId="88" fillId="0" borderId="0" xfId="32" applyFont="1" applyProtection="1">
      <protection locked="0"/>
    </xf>
    <xf numFmtId="0" fontId="40" fillId="0" borderId="0" xfId="32" applyFont="1" applyAlignment="1" applyProtection="1">
      <alignment horizontal="centerContinuous" vertical="top"/>
      <protection locked="0"/>
    </xf>
    <xf numFmtId="0" fontId="34" fillId="0" borderId="0" xfId="32" applyFont="1" applyAlignment="1" applyProtection="1">
      <alignment horizontal="centerContinuous"/>
      <protection locked="0"/>
    </xf>
    <xf numFmtId="0" fontId="162" fillId="0" borderId="0" xfId="32" applyFont="1" applyAlignment="1" applyProtection="1">
      <alignment horizontal="center" vertical="center"/>
      <protection locked="0"/>
    </xf>
    <xf numFmtId="0" fontId="36" fillId="0" borderId="0" xfId="32" applyFont="1" applyAlignment="1" applyProtection="1">
      <alignment horizontal="center" vertical="center" wrapText="1"/>
      <protection locked="0"/>
    </xf>
    <xf numFmtId="0" fontId="126" fillId="0" borderId="0" xfId="32" applyFont="1" applyAlignment="1" applyProtection="1">
      <alignment horizontal="center" vertical="center"/>
      <protection locked="0"/>
    </xf>
    <xf numFmtId="0" fontId="34" fillId="0" borderId="0" xfId="32" applyFont="1" applyAlignment="1" applyProtection="1">
      <alignment horizontal="center"/>
      <protection locked="0"/>
    </xf>
    <xf numFmtId="0" fontId="34" fillId="0" borderId="0" xfId="32" applyFont="1" applyProtection="1">
      <protection locked="0"/>
    </xf>
    <xf numFmtId="0" fontId="85" fillId="0" borderId="0" xfId="32" applyFont="1" applyAlignment="1" applyProtection="1">
      <alignment vertical="center"/>
      <protection locked="0"/>
    </xf>
    <xf numFmtId="0" fontId="7" fillId="0" borderId="0" xfId="32" applyProtection="1">
      <protection locked="0"/>
    </xf>
    <xf numFmtId="0" fontId="97" fillId="0" borderId="0" xfId="32" applyFont="1" applyAlignment="1" applyProtection="1">
      <alignment horizontal="center" vertical="center"/>
      <protection locked="0"/>
    </xf>
    <xf numFmtId="0" fontId="112" fillId="0" borderId="225" xfId="32" applyFont="1" applyBorder="1" applyProtection="1">
      <protection locked="0"/>
    </xf>
    <xf numFmtId="0" fontId="112" fillId="0" borderId="225" xfId="32" applyFont="1" applyBorder="1" applyAlignment="1" applyProtection="1">
      <alignment horizontal="center"/>
      <protection locked="0"/>
    </xf>
    <xf numFmtId="0" fontId="112" fillId="0" borderId="0" xfId="32" applyFont="1"/>
    <xf numFmtId="0" fontId="40" fillId="0" borderId="0" xfId="32" applyFont="1" applyAlignment="1" applyProtection="1">
      <alignment horizontal="center"/>
      <protection locked="0"/>
    </xf>
    <xf numFmtId="0" fontId="112" fillId="0" borderId="0" xfId="32" applyFont="1" applyProtection="1">
      <protection locked="0"/>
    </xf>
    <xf numFmtId="0" fontId="112" fillId="0" borderId="0" xfId="32" applyFont="1" applyAlignment="1" applyProtection="1">
      <alignment horizontal="center"/>
      <protection locked="0"/>
    </xf>
    <xf numFmtId="0" fontId="40" fillId="0" borderId="0" xfId="32" applyFont="1" applyProtection="1">
      <protection locked="0"/>
    </xf>
    <xf numFmtId="0" fontId="40" fillId="0" borderId="0" xfId="32" applyFont="1" applyAlignment="1" applyProtection="1">
      <alignment horizontal="right"/>
      <protection locked="0"/>
    </xf>
    <xf numFmtId="0" fontId="64" fillId="0" borderId="0" xfId="32" applyFont="1" applyAlignment="1" applyProtection="1">
      <alignment horizontal="center"/>
      <protection locked="0"/>
    </xf>
    <xf numFmtId="0" fontId="40" fillId="0" borderId="0" xfId="32" applyFont="1" applyAlignment="1" applyProtection="1">
      <alignment horizontal="left"/>
      <protection locked="0"/>
    </xf>
    <xf numFmtId="0" fontId="117" fillId="0" borderId="0" xfId="32" applyFont="1" applyProtection="1">
      <protection locked="0"/>
    </xf>
    <xf numFmtId="0" fontId="117" fillId="0" borderId="0" xfId="32" applyFont="1" applyAlignment="1" applyProtection="1">
      <alignment horizontal="center"/>
      <protection locked="0"/>
    </xf>
    <xf numFmtId="0" fontId="117" fillId="0" borderId="0" xfId="32" applyFont="1" applyAlignment="1" applyProtection="1">
      <alignment horizontal="center" vertical="center"/>
      <protection locked="0"/>
    </xf>
    <xf numFmtId="0" fontId="117" fillId="0" borderId="0" xfId="32" applyFont="1"/>
    <xf numFmtId="0" fontId="34" fillId="0" borderId="0" xfId="32" applyFont="1" applyAlignment="1" applyProtection="1">
      <alignment horizontal="right" vertical="top"/>
      <protection locked="0"/>
    </xf>
    <xf numFmtId="0" fontId="40" fillId="0" borderId="62" xfId="32" applyFont="1" applyBorder="1" applyProtection="1">
      <protection locked="0"/>
    </xf>
    <xf numFmtId="0" fontId="40" fillId="0" borderId="62" xfId="32" applyFont="1" applyBorder="1" applyAlignment="1" applyProtection="1">
      <alignment horizontal="center"/>
      <protection locked="0"/>
    </xf>
    <xf numFmtId="0" fontId="85" fillId="0" borderId="59" xfId="32" applyFont="1" applyBorder="1"/>
    <xf numFmtId="0" fontId="85" fillId="0" borderId="140" xfId="32" applyFont="1" applyBorder="1" applyAlignment="1" applyProtection="1">
      <alignment horizontal="center"/>
      <protection locked="0"/>
    </xf>
    <xf numFmtId="0" fontId="29" fillId="0" borderId="59" xfId="32" applyFont="1" applyBorder="1"/>
    <xf numFmtId="20" fontId="22" fillId="0" borderId="13" xfId="32" applyNumberFormat="1" applyFont="1" applyBorder="1" applyAlignment="1" applyProtection="1">
      <alignment horizontal="center" vertical="center"/>
      <protection locked="0"/>
    </xf>
    <xf numFmtId="0" fontId="34" fillId="0" borderId="13" xfId="32" applyFont="1" applyBorder="1" applyAlignment="1" applyProtection="1">
      <alignment horizontal="center" vertical="center" wrapText="1"/>
      <protection locked="0"/>
    </xf>
    <xf numFmtId="0" fontId="35" fillId="0" borderId="13" xfId="32" applyFont="1" applyBorder="1" applyAlignment="1" applyProtection="1">
      <alignment horizontal="center" vertical="center" wrapText="1"/>
      <protection locked="0"/>
    </xf>
    <xf numFmtId="0" fontId="29" fillId="0" borderId="13" xfId="32" applyFont="1" applyBorder="1" applyAlignment="1" applyProtection="1">
      <alignment horizontal="center" vertical="center"/>
      <protection locked="0"/>
    </xf>
    <xf numFmtId="0" fontId="64" fillId="0" borderId="59" xfId="32" applyFont="1" applyBorder="1"/>
    <xf numFmtId="0" fontId="7" fillId="0" borderId="0" xfId="32" applyAlignment="1" applyProtection="1">
      <alignment horizontal="center"/>
      <protection locked="0"/>
    </xf>
    <xf numFmtId="0" fontId="85" fillId="0" borderId="0" xfId="32" applyFont="1" applyAlignment="1" applyProtection="1">
      <alignment horizontal="right" vertical="center"/>
      <protection locked="0"/>
    </xf>
    <xf numFmtId="0" fontId="64" fillId="0" borderId="13" xfId="32" applyFont="1" applyBorder="1" applyAlignment="1" applyProtection="1">
      <alignment horizontal="center" vertical="center"/>
      <protection locked="0"/>
    </xf>
    <xf numFmtId="0" fontId="32" fillId="0" borderId="0" xfId="32" applyFont="1" applyAlignment="1" applyProtection="1">
      <alignment horizontal="left" vertical="center"/>
      <protection locked="0"/>
    </xf>
    <xf numFmtId="0" fontId="64" fillId="0" borderId="0" xfId="32" applyFont="1" applyAlignment="1" applyProtection="1">
      <alignment horizontal="center" vertical="center"/>
      <protection locked="0"/>
    </xf>
    <xf numFmtId="0" fontId="7" fillId="0" borderId="62" xfId="32" applyBorder="1" applyAlignment="1" applyProtection="1">
      <alignment horizontal="center"/>
      <protection locked="0"/>
    </xf>
    <xf numFmtId="0" fontId="7" fillId="0" borderId="59" xfId="32" applyBorder="1"/>
    <xf numFmtId="0" fontId="28" fillId="0" borderId="57" xfId="32" applyFont="1" applyBorder="1" applyAlignment="1" applyProtection="1">
      <alignment horizontal="center"/>
      <protection locked="0"/>
    </xf>
    <xf numFmtId="0" fontId="28" fillId="0" borderId="64" xfId="32" applyFont="1" applyBorder="1" applyAlignment="1" applyProtection="1">
      <alignment horizontal="center"/>
      <protection locked="0"/>
    </xf>
    <xf numFmtId="0" fontId="34" fillId="0" borderId="41" xfId="32" applyFont="1" applyBorder="1" applyAlignment="1" applyProtection="1">
      <alignment horizontal="center"/>
      <protection locked="0"/>
    </xf>
    <xf numFmtId="0" fontId="34" fillId="0" borderId="31" xfId="32" applyFont="1" applyBorder="1" applyAlignment="1" applyProtection="1">
      <alignment horizontal="center"/>
      <protection locked="0"/>
    </xf>
    <xf numFmtId="0" fontId="36" fillId="0" borderId="104" xfId="32" applyFont="1" applyBorder="1" applyAlignment="1" applyProtection="1">
      <alignment horizontal="center" vertical="center" wrapText="1"/>
      <protection locked="0"/>
    </xf>
    <xf numFmtId="0" fontId="64" fillId="0" borderId="104" xfId="32" applyFont="1" applyBorder="1" applyAlignment="1" applyProtection="1">
      <alignment horizontal="center" vertical="center"/>
      <protection locked="0"/>
    </xf>
    <xf numFmtId="0" fontId="34" fillId="0" borderId="43" xfId="32" applyFont="1" applyBorder="1" applyAlignment="1" applyProtection="1">
      <alignment horizontal="center"/>
      <protection locked="0"/>
    </xf>
    <xf numFmtId="0" fontId="34" fillId="0" borderId="9" xfId="32" applyFont="1" applyBorder="1" applyAlignment="1" applyProtection="1">
      <alignment horizontal="center"/>
      <protection locked="0"/>
    </xf>
    <xf numFmtId="0" fontId="36" fillId="0" borderId="13" xfId="32" applyFont="1" applyBorder="1" applyAlignment="1" applyProtection="1">
      <alignment horizontal="center" vertical="center" wrapText="1"/>
      <protection locked="0"/>
    </xf>
    <xf numFmtId="0" fontId="64" fillId="0" borderId="13" xfId="32" applyFont="1" applyBorder="1" applyAlignment="1" applyProtection="1">
      <alignment vertical="center"/>
      <protection locked="0"/>
    </xf>
    <xf numFmtId="0" fontId="36" fillId="0" borderId="186" xfId="32" applyFont="1" applyBorder="1" applyAlignment="1" applyProtection="1">
      <alignment horizontal="center" vertical="center" wrapText="1"/>
      <protection locked="0"/>
    </xf>
    <xf numFmtId="0" fontId="34" fillId="0" borderId="186" xfId="32" applyFont="1" applyBorder="1" applyAlignment="1" applyProtection="1">
      <alignment horizontal="center" vertical="center"/>
      <protection locked="0"/>
    </xf>
    <xf numFmtId="0" fontId="29" fillId="0" borderId="0" xfId="32" applyFont="1" applyAlignment="1" applyProtection="1">
      <alignment horizontal="center"/>
      <protection locked="0"/>
    </xf>
    <xf numFmtId="0" fontId="29" fillId="0" borderId="187" xfId="32" applyFont="1" applyBorder="1"/>
    <xf numFmtId="0" fontId="29" fillId="0" borderId="188" xfId="32" applyFont="1" applyBorder="1" applyAlignment="1" applyProtection="1">
      <alignment vertical="center"/>
      <protection locked="0"/>
    </xf>
    <xf numFmtId="0" fontId="85" fillId="0" borderId="188" xfId="32" applyFont="1" applyBorder="1" applyAlignment="1" applyProtection="1">
      <alignment vertical="center"/>
      <protection locked="0"/>
    </xf>
    <xf numFmtId="0" fontId="29" fillId="0" borderId="188" xfId="32" applyFont="1" applyBorder="1" applyProtection="1">
      <protection locked="0"/>
    </xf>
    <xf numFmtId="0" fontId="36" fillId="0" borderId="189" xfId="32" applyFont="1" applyBorder="1" applyAlignment="1" applyProtection="1">
      <alignment horizontal="center" vertical="center" wrapText="1"/>
      <protection locked="0"/>
    </xf>
    <xf numFmtId="0" fontId="29" fillId="0" borderId="189" xfId="32" applyFont="1" applyBorder="1" applyAlignment="1" applyProtection="1">
      <alignment horizontal="center"/>
      <protection locked="0"/>
    </xf>
    <xf numFmtId="0" fontId="29" fillId="0" borderId="189" xfId="32" applyFont="1" applyBorder="1" applyAlignment="1" applyProtection="1">
      <alignment horizontal="center" vertical="center"/>
      <protection locked="0"/>
    </xf>
    <xf numFmtId="0" fontId="29" fillId="0" borderId="189" xfId="32" applyFont="1" applyBorder="1" applyProtection="1">
      <protection locked="0"/>
    </xf>
    <xf numFmtId="0" fontId="29" fillId="0" borderId="188" xfId="32" applyFont="1" applyBorder="1" applyAlignment="1" applyProtection="1">
      <alignment horizontal="center"/>
      <protection locked="0"/>
    </xf>
    <xf numFmtId="0" fontId="24" fillId="55" borderId="14" xfId="32" applyFont="1" applyFill="1" applyBorder="1" applyAlignment="1">
      <alignment horizontal="center" vertical="center" wrapText="1"/>
    </xf>
    <xf numFmtId="0" fontId="7" fillId="55" borderId="50" xfId="32" applyFill="1" applyBorder="1" applyAlignment="1">
      <alignment horizontal="center" vertical="center"/>
    </xf>
    <xf numFmtId="0" fontId="24" fillId="55" borderId="50" xfId="32" applyFont="1" applyFill="1" applyBorder="1" applyAlignment="1">
      <alignment horizontal="center" vertical="center"/>
    </xf>
    <xf numFmtId="0" fontId="24" fillId="55" borderId="14" xfId="32" applyFont="1" applyFill="1" applyBorder="1" applyAlignment="1">
      <alignment vertical="center"/>
    </xf>
    <xf numFmtId="0" fontId="7" fillId="55" borderId="50" xfId="32" applyFill="1" applyBorder="1" applyAlignment="1">
      <alignment vertical="center"/>
    </xf>
    <xf numFmtId="0" fontId="24" fillId="55" borderId="50" xfId="32" applyFont="1" applyFill="1" applyBorder="1" applyAlignment="1">
      <alignment vertical="center"/>
    </xf>
    <xf numFmtId="0" fontId="100" fillId="55" borderId="59" xfId="32" applyFont="1" applyFill="1" applyBorder="1" applyAlignment="1">
      <alignment vertical="center"/>
    </xf>
    <xf numFmtId="0" fontId="7" fillId="55" borderId="0" xfId="32" applyFill="1" applyAlignment="1">
      <alignment vertical="center"/>
    </xf>
    <xf numFmtId="0" fontId="24" fillId="55" borderId="0" xfId="32" applyFont="1" applyFill="1" applyAlignment="1">
      <alignment vertical="center"/>
    </xf>
    <xf numFmtId="0" fontId="24" fillId="55" borderId="59" xfId="32" applyFont="1" applyFill="1" applyBorder="1" applyAlignment="1">
      <alignment vertical="center"/>
    </xf>
    <xf numFmtId="0" fontId="96" fillId="55" borderId="59" xfId="32" applyFont="1" applyFill="1" applyBorder="1" applyAlignment="1">
      <alignment vertical="center"/>
    </xf>
    <xf numFmtId="0" fontId="163" fillId="55" borderId="59" xfId="32" applyFont="1" applyFill="1" applyBorder="1" applyAlignment="1">
      <alignment vertical="center"/>
    </xf>
    <xf numFmtId="0" fontId="163" fillId="55" borderId="0" xfId="32" applyFont="1" applyFill="1" applyAlignment="1">
      <alignment vertical="center"/>
    </xf>
    <xf numFmtId="0" fontId="24" fillId="55" borderId="61" xfId="32" applyFont="1" applyFill="1" applyBorder="1" applyAlignment="1">
      <alignment vertical="center"/>
    </xf>
    <xf numFmtId="0" fontId="7" fillId="55" borderId="62" xfId="32" applyFill="1" applyBorder="1" applyAlignment="1">
      <alignment vertical="center"/>
    </xf>
    <xf numFmtId="0" fontId="24" fillId="55" borderId="62" xfId="32" applyFont="1" applyFill="1" applyBorder="1" applyAlignment="1">
      <alignment vertical="center"/>
    </xf>
    <xf numFmtId="0" fontId="86" fillId="0" borderId="0" xfId="32" applyFont="1" applyAlignment="1" applyProtection="1">
      <alignment horizontal="left" vertical="center"/>
      <protection locked="0"/>
    </xf>
    <xf numFmtId="0" fontId="113" fillId="0" borderId="0" xfId="32" applyFont="1" applyAlignment="1" applyProtection="1">
      <alignment horizontal="center" vertical="center"/>
      <protection locked="0"/>
    </xf>
    <xf numFmtId="0" fontId="40" fillId="0" borderId="226" xfId="32" applyFont="1" applyBorder="1" applyAlignment="1">
      <alignment vertical="center"/>
    </xf>
    <xf numFmtId="0" fontId="112" fillId="0" borderId="227" xfId="32" applyFont="1" applyBorder="1" applyAlignment="1" applyProtection="1">
      <alignment horizontal="center" vertical="center"/>
      <protection locked="0"/>
    </xf>
    <xf numFmtId="0" fontId="112" fillId="0" borderId="227" xfId="32" applyFont="1" applyBorder="1" applyAlignment="1">
      <alignment vertical="center"/>
    </xf>
    <xf numFmtId="0" fontId="112" fillId="0" borderId="227" xfId="32" applyFont="1" applyBorder="1" applyAlignment="1" applyProtection="1">
      <alignment vertical="center"/>
      <protection locked="0"/>
    </xf>
    <xf numFmtId="0" fontId="112" fillId="0" borderId="228" xfId="32" applyFont="1" applyBorder="1" applyAlignment="1" applyProtection="1">
      <alignment horizontal="center" vertical="center"/>
      <protection locked="0"/>
    </xf>
    <xf numFmtId="0" fontId="34" fillId="0" borderId="229" xfId="32" applyFont="1" applyBorder="1" applyAlignment="1">
      <alignment vertical="center"/>
    </xf>
    <xf numFmtId="0" fontId="34" fillId="0" borderId="230" xfId="32" applyFont="1" applyBorder="1" applyAlignment="1" applyProtection="1">
      <alignment vertical="center"/>
      <protection locked="0"/>
    </xf>
    <xf numFmtId="0" fontId="114" fillId="0" borderId="229" xfId="32" applyFont="1" applyBorder="1" applyAlignment="1">
      <alignment vertical="center"/>
    </xf>
    <xf numFmtId="0" fontId="114" fillId="0" borderId="230" xfId="32" applyFont="1" applyBorder="1" applyAlignment="1" applyProtection="1">
      <alignment vertical="center"/>
      <protection locked="0"/>
    </xf>
    <xf numFmtId="0" fontId="64" fillId="0" borderId="229" xfId="32" applyFont="1" applyBorder="1" applyAlignment="1">
      <alignment vertical="center"/>
    </xf>
    <xf numFmtId="0" fontId="64" fillId="0" borderId="230" xfId="32" applyFont="1" applyBorder="1" applyAlignment="1" applyProtection="1">
      <alignment vertical="center"/>
      <protection locked="0"/>
    </xf>
    <xf numFmtId="0" fontId="34" fillId="0" borderId="230" xfId="32" applyFont="1" applyBorder="1" applyAlignment="1" applyProtection="1">
      <alignment horizontal="center" vertical="center"/>
      <protection locked="0"/>
    </xf>
    <xf numFmtId="0" fontId="85" fillId="0" borderId="231" xfId="32" applyFont="1" applyBorder="1" applyAlignment="1">
      <alignment vertical="center"/>
    </xf>
    <xf numFmtId="0" fontId="7" fillId="0" borderId="232" xfId="32" applyBorder="1"/>
    <xf numFmtId="0" fontId="7" fillId="0" borderId="232" xfId="32" applyBorder="1" applyAlignment="1" applyProtection="1">
      <alignment horizontal="centerContinuous" vertical="center"/>
      <protection locked="0"/>
    </xf>
    <xf numFmtId="0" fontId="7" fillId="0" borderId="232" xfId="32" applyBorder="1" applyAlignment="1">
      <alignment horizontal="centerContinuous"/>
    </xf>
    <xf numFmtId="0" fontId="7" fillId="0" borderId="232" xfId="32" applyBorder="1" applyAlignment="1" applyProtection="1">
      <alignment horizontal="center" vertical="center"/>
      <protection locked="0"/>
    </xf>
    <xf numFmtId="0" fontId="7" fillId="0" borderId="232" xfId="32" applyBorder="1" applyAlignment="1" applyProtection="1">
      <alignment horizontal="right" vertical="center"/>
      <protection locked="0"/>
    </xf>
    <xf numFmtId="0" fontId="7" fillId="0" borderId="232" xfId="32" applyBorder="1" applyAlignment="1" applyProtection="1">
      <alignment vertical="center"/>
      <protection locked="0"/>
    </xf>
    <xf numFmtId="0" fontId="7" fillId="0" borderId="233" xfId="32" applyBorder="1" applyAlignment="1" applyProtection="1">
      <alignment horizontal="center" vertical="center"/>
      <protection locked="0"/>
    </xf>
    <xf numFmtId="0" fontId="40" fillId="0" borderId="226" xfId="32" applyFont="1" applyBorder="1"/>
    <xf numFmtId="0" fontId="40" fillId="0" borderId="227" xfId="32" applyFont="1" applyBorder="1"/>
    <xf numFmtId="0" fontId="40" fillId="0" borderId="227" xfId="32" applyFont="1" applyBorder="1" applyAlignment="1" applyProtection="1">
      <alignment vertical="center"/>
      <protection locked="0"/>
    </xf>
    <xf numFmtId="0" fontId="40" fillId="0" borderId="227" xfId="32" applyFont="1" applyBorder="1" applyAlignment="1" applyProtection="1">
      <alignment horizontal="center" vertical="center"/>
      <protection locked="0"/>
    </xf>
    <xf numFmtId="0" fontId="40" fillId="0" borderId="228" xfId="32" applyFont="1" applyBorder="1" applyAlignment="1" applyProtection="1">
      <alignment horizontal="center" vertical="center"/>
      <protection locked="0"/>
    </xf>
    <xf numFmtId="0" fontId="124" fillId="0" borderId="229" xfId="32" applyFont="1" applyBorder="1"/>
    <xf numFmtId="0" fontId="84" fillId="0" borderId="229" xfId="32" applyFont="1" applyBorder="1"/>
    <xf numFmtId="0" fontId="84" fillId="0" borderId="230" xfId="32" applyFont="1" applyBorder="1" applyProtection="1">
      <protection locked="0"/>
    </xf>
    <xf numFmtId="0" fontId="85" fillId="0" borderId="229" xfId="32" applyFont="1" applyBorder="1"/>
    <xf numFmtId="0" fontId="84" fillId="0" borderId="230" xfId="32" applyFont="1" applyBorder="1" applyAlignment="1" applyProtection="1">
      <alignment vertical="center"/>
      <protection locked="0"/>
    </xf>
    <xf numFmtId="0" fontId="84" fillId="0" borderId="230" xfId="32" applyFont="1" applyBorder="1" applyAlignment="1" applyProtection="1">
      <alignment horizontal="center" vertical="center"/>
      <protection locked="0"/>
    </xf>
    <xf numFmtId="0" fontId="43" fillId="0" borderId="229" xfId="32" applyFont="1" applyBorder="1"/>
    <xf numFmtId="0" fontId="40" fillId="0" borderId="229" xfId="32" applyFont="1" applyBorder="1"/>
    <xf numFmtId="0" fontId="34" fillId="0" borderId="229" xfId="32" applyFont="1" applyBorder="1"/>
    <xf numFmtId="0" fontId="88" fillId="0" borderId="229" xfId="32" applyFont="1" applyBorder="1"/>
    <xf numFmtId="0" fontId="85" fillId="0" borderId="230" xfId="32" applyFont="1" applyBorder="1" applyAlignment="1" applyProtection="1">
      <alignment vertical="center"/>
      <protection locked="0"/>
    </xf>
    <xf numFmtId="0" fontId="83" fillId="0" borderId="229" xfId="32" applyFont="1" applyBorder="1"/>
    <xf numFmtId="0" fontId="7" fillId="0" borderId="230" xfId="32" applyBorder="1" applyProtection="1">
      <protection locked="0"/>
    </xf>
    <xf numFmtId="0" fontId="112" fillId="0" borderId="234" xfId="32" applyFont="1" applyBorder="1"/>
    <xf numFmtId="0" fontId="112" fillId="0" borderId="235" xfId="32" applyFont="1" applyBorder="1" applyProtection="1">
      <protection locked="0"/>
    </xf>
    <xf numFmtId="0" fontId="29" fillId="0" borderId="229" xfId="32" applyFont="1" applyBorder="1"/>
    <xf numFmtId="0" fontId="29" fillId="0" borderId="230" xfId="32" applyFont="1" applyBorder="1" applyProtection="1">
      <protection locked="0"/>
    </xf>
    <xf numFmtId="0" fontId="112" fillId="0" borderId="229" xfId="32" applyFont="1" applyBorder="1"/>
    <xf numFmtId="0" fontId="112" fillId="0" borderId="230" xfId="32" applyFont="1" applyBorder="1" applyProtection="1">
      <protection locked="0"/>
    </xf>
    <xf numFmtId="0" fontId="40" fillId="0" borderId="230" xfId="32" applyFont="1" applyBorder="1" applyProtection="1">
      <protection locked="0"/>
    </xf>
    <xf numFmtId="0" fontId="117" fillId="0" borderId="229" xfId="32" applyFont="1" applyBorder="1"/>
    <xf numFmtId="0" fontId="117" fillId="0" borderId="230" xfId="32" applyFont="1" applyBorder="1" applyAlignment="1" applyProtection="1">
      <alignment horizontal="center"/>
      <protection locked="0"/>
    </xf>
    <xf numFmtId="0" fontId="40" fillId="0" borderId="230" xfId="32" applyFont="1" applyBorder="1" applyAlignment="1" applyProtection="1">
      <alignment horizontal="right" vertical="center"/>
      <protection locked="0"/>
    </xf>
    <xf numFmtId="0" fontId="85" fillId="0" borderId="231" xfId="32" applyFont="1" applyBorder="1"/>
    <xf numFmtId="0" fontId="85" fillId="0" borderId="232" xfId="32" applyFont="1" applyBorder="1" applyAlignment="1" applyProtection="1">
      <alignment horizontal="right" vertical="center"/>
      <protection locked="0"/>
    </xf>
    <xf numFmtId="0" fontId="85" fillId="0" borderId="232" xfId="32" applyFont="1" applyBorder="1" applyAlignment="1" applyProtection="1">
      <alignment horizontal="centerContinuous" vertical="center"/>
      <protection locked="0"/>
    </xf>
    <xf numFmtId="0" fontId="85" fillId="0" borderId="232" xfId="32" applyFont="1" applyBorder="1" applyProtection="1">
      <protection locked="0"/>
    </xf>
    <xf numFmtId="0" fontId="85" fillId="0" borderId="232" xfId="32" applyFont="1" applyBorder="1" applyAlignment="1" applyProtection="1">
      <alignment horizontal="center"/>
      <protection locked="0"/>
    </xf>
    <xf numFmtId="0" fontId="85" fillId="0" borderId="232" xfId="32" applyFont="1" applyBorder="1" applyAlignment="1">
      <alignment horizontal="centerContinuous"/>
    </xf>
    <xf numFmtId="0" fontId="85" fillId="0" borderId="233" xfId="32" applyFont="1" applyBorder="1" applyAlignment="1" applyProtection="1">
      <alignment horizontal="right" vertical="center"/>
      <protection locked="0"/>
    </xf>
    <xf numFmtId="0" fontId="97" fillId="0" borderId="0" xfId="32" applyFont="1" applyAlignment="1" applyProtection="1">
      <alignment horizontal="center"/>
      <protection locked="0"/>
    </xf>
    <xf numFmtId="0" fontId="34" fillId="0" borderId="236" xfId="32" applyFont="1" applyBorder="1" applyProtection="1">
      <protection locked="0"/>
    </xf>
    <xf numFmtId="0" fontId="34" fillId="0" borderId="237" xfId="32" applyFont="1" applyBorder="1" applyProtection="1">
      <protection locked="0"/>
    </xf>
    <xf numFmtId="0" fontId="34" fillId="0" borderId="237" xfId="32" applyFont="1" applyBorder="1" applyAlignment="1" applyProtection="1">
      <alignment horizontal="center"/>
      <protection locked="0"/>
    </xf>
    <xf numFmtId="0" fontId="34" fillId="0" borderId="238" xfId="32" applyFont="1" applyBorder="1" applyProtection="1">
      <protection locked="0"/>
    </xf>
    <xf numFmtId="20" fontId="164" fillId="39" borderId="0" xfId="0" applyNumberFormat="1" applyFont="1" applyFill="1" applyAlignment="1" applyProtection="1">
      <alignment vertical="top"/>
      <protection locked="0"/>
    </xf>
    <xf numFmtId="20" fontId="165" fillId="39" borderId="0" xfId="0" applyNumberFormat="1" applyFont="1" applyFill="1" applyAlignment="1" applyProtection="1">
      <alignment horizontal="centerContinuous" vertical="top"/>
      <protection locked="0"/>
    </xf>
    <xf numFmtId="0" fontId="118" fillId="39" borderId="0" xfId="0" applyFont="1" applyFill="1" applyAlignment="1" applyProtection="1">
      <alignment horizontal="centerContinuous" vertical="top"/>
      <protection locked="0"/>
    </xf>
    <xf numFmtId="0" fontId="7" fillId="0" borderId="0" xfId="0" applyFont="1" applyAlignment="1">
      <alignment vertical="top"/>
    </xf>
    <xf numFmtId="0" fontId="0" fillId="0" borderId="55" xfId="0" applyBorder="1" applyAlignment="1">
      <alignment vertical="top"/>
    </xf>
    <xf numFmtId="0" fontId="34" fillId="0" borderId="226" xfId="32" applyFont="1" applyBorder="1" applyAlignment="1" applyProtection="1">
      <alignment horizontal="centerContinuous" vertical="center" wrapText="1"/>
      <protection locked="0"/>
    </xf>
    <xf numFmtId="0" fontId="112" fillId="0" borderId="227" xfId="32" applyFont="1" applyBorder="1" applyAlignment="1" applyProtection="1">
      <alignment horizontal="centerContinuous" vertical="center" wrapText="1"/>
      <protection locked="0"/>
    </xf>
    <xf numFmtId="0" fontId="112" fillId="0" borderId="227" xfId="32" applyFont="1" applyBorder="1" applyAlignment="1">
      <alignment horizontal="center" vertical="center"/>
    </xf>
    <xf numFmtId="0" fontId="112" fillId="0" borderId="227" xfId="32" applyFont="1" applyBorder="1" applyAlignment="1" applyProtection="1">
      <alignment horizontal="centerContinuous" vertical="center"/>
      <protection locked="0"/>
    </xf>
    <xf numFmtId="0" fontId="87" fillId="0" borderId="228" xfId="32" applyFont="1" applyBorder="1" applyAlignment="1" applyProtection="1">
      <alignment horizontal="centerContinuous" vertical="center" wrapText="1"/>
      <protection locked="0"/>
    </xf>
    <xf numFmtId="0" fontId="21" fillId="0" borderId="231" xfId="32" applyFont="1" applyBorder="1" applyAlignment="1" applyProtection="1">
      <alignment horizontal="centerContinuous" vertical="center"/>
      <protection locked="0"/>
    </xf>
    <xf numFmtId="0" fontId="21" fillId="0" borderId="232" xfId="32" applyFont="1" applyBorder="1" applyAlignment="1" applyProtection="1">
      <alignment horizontal="centerContinuous" vertical="center"/>
      <protection locked="0"/>
    </xf>
    <xf numFmtId="20" fontId="21" fillId="0" borderId="232" xfId="32" applyNumberFormat="1" applyFont="1" applyBorder="1" applyAlignment="1" applyProtection="1">
      <alignment horizontal="center" vertical="center"/>
      <protection locked="0"/>
    </xf>
    <xf numFmtId="0" fontId="21" fillId="0" borderId="232" xfId="32" applyFont="1" applyBorder="1" applyAlignment="1" applyProtection="1">
      <alignment horizontal="centerContinuous" vertical="center" wrapText="1"/>
      <protection locked="0"/>
    </xf>
    <xf numFmtId="0" fontId="21" fillId="0" borderId="233" xfId="32" applyFont="1" applyBorder="1" applyAlignment="1" applyProtection="1">
      <alignment horizontal="centerContinuous" vertical="center" wrapText="1"/>
      <protection locked="0"/>
    </xf>
    <xf numFmtId="0" fontId="0" fillId="0" borderId="0" xfId="0" applyAlignment="1">
      <alignment wrapText="1"/>
    </xf>
    <xf numFmtId="0" fontId="0" fillId="0" borderId="0" xfId="0" applyAlignment="1">
      <alignment horizontal="center" wrapText="1"/>
    </xf>
    <xf numFmtId="171" fontId="7" fillId="0" borderId="0" xfId="0" applyNumberFormat="1" applyFont="1"/>
    <xf numFmtId="0" fontId="171" fillId="0" borderId="0" xfId="0" applyFont="1"/>
    <xf numFmtId="0" fontId="7" fillId="53" borderId="71" xfId="0" applyFont="1" applyFill="1" applyBorder="1" applyAlignment="1">
      <alignment horizontal="center" vertical="center"/>
    </xf>
    <xf numFmtId="0" fontId="7" fillId="53" borderId="0" xfId="0" applyFont="1" applyFill="1" applyAlignment="1">
      <alignment horizontal="center" vertical="center"/>
    </xf>
    <xf numFmtId="0" fontId="7" fillId="53" borderId="72" xfId="0" applyFont="1" applyFill="1" applyBorder="1" applyAlignment="1">
      <alignment horizontal="right" vertical="center"/>
    </xf>
    <xf numFmtId="0" fontId="7" fillId="53" borderId="73" xfId="0" applyFont="1" applyFill="1" applyBorder="1" applyAlignment="1">
      <alignment vertical="center"/>
    </xf>
    <xf numFmtId="0" fontId="7" fillId="53" borderId="75" xfId="0" applyFont="1" applyFill="1" applyBorder="1" applyAlignment="1">
      <alignment horizontal="right" vertical="center"/>
    </xf>
    <xf numFmtId="0" fontId="40" fillId="53" borderId="76" xfId="0" applyFont="1" applyFill="1" applyBorder="1" applyAlignment="1">
      <alignment vertical="center"/>
    </xf>
    <xf numFmtId="0" fontId="7" fillId="69" borderId="0" xfId="0" applyFont="1" applyFill="1" applyAlignment="1">
      <alignment horizontal="right" vertical="center"/>
    </xf>
    <xf numFmtId="0" fontId="7" fillId="69" borderId="0" xfId="0" applyFont="1" applyFill="1" applyAlignment="1">
      <alignment vertical="center"/>
    </xf>
    <xf numFmtId="171" fontId="7" fillId="0" borderId="0" xfId="0" applyNumberFormat="1" applyFont="1" applyAlignment="1">
      <alignment horizontal="center"/>
    </xf>
    <xf numFmtId="171" fontId="7" fillId="0" borderId="0" xfId="0" applyNumberFormat="1" applyFont="1" applyAlignment="1">
      <alignment horizontal="left"/>
    </xf>
    <xf numFmtId="0" fontId="170" fillId="0" borderId="0" xfId="0" applyFont="1"/>
    <xf numFmtId="0" fontId="131" fillId="0" borderId="0" xfId="0" applyFont="1" applyAlignment="1" applyProtection="1">
      <alignment horizontal="right" vertical="center"/>
      <protection locked="0"/>
    </xf>
    <xf numFmtId="0" fontId="34" fillId="0" borderId="0" xfId="0" applyFont="1" applyAlignment="1">
      <alignment horizontal="center"/>
    </xf>
    <xf numFmtId="0" fontId="123" fillId="0" borderId="0" xfId="0" applyFont="1" applyAlignment="1">
      <alignment horizontal="center"/>
    </xf>
    <xf numFmtId="0" fontId="28" fillId="0" borderId="0" xfId="0" applyFont="1" applyAlignment="1">
      <alignment horizontal="center"/>
    </xf>
    <xf numFmtId="0" fontId="34" fillId="0" borderId="0" xfId="0" applyFont="1" applyAlignment="1">
      <alignment horizontal="centerContinuous"/>
    </xf>
    <xf numFmtId="0" fontId="170" fillId="0" borderId="0" xfId="0" applyFont="1" applyAlignment="1">
      <alignment horizontal="centerContinuous"/>
    </xf>
    <xf numFmtId="0" fontId="170" fillId="0" borderId="0" xfId="0" applyFont="1" applyAlignment="1">
      <alignment horizontal="center" vertical="center"/>
    </xf>
    <xf numFmtId="0" fontId="64" fillId="0" borderId="0" xfId="0" applyFont="1"/>
    <xf numFmtId="0" fontId="65" fillId="48" borderId="72" xfId="0" applyFont="1" applyFill="1" applyBorder="1" applyAlignment="1">
      <alignment vertical="center"/>
    </xf>
    <xf numFmtId="0" fontId="32" fillId="48" borderId="71" xfId="0" applyFont="1" applyFill="1" applyBorder="1" applyAlignment="1">
      <alignment horizontal="center" vertical="center" wrapText="1"/>
    </xf>
    <xf numFmtId="0" fontId="32" fillId="48" borderId="71" xfId="0" applyFont="1" applyFill="1" applyBorder="1" applyAlignment="1">
      <alignment horizontal="center" vertical="center"/>
    </xf>
    <xf numFmtId="0" fontId="32" fillId="48" borderId="71" xfId="0" applyFont="1" applyFill="1" applyBorder="1" applyAlignment="1">
      <alignment horizontal="center" wrapText="1"/>
    </xf>
    <xf numFmtId="0" fontId="64" fillId="48" borderId="71" xfId="0" applyFont="1" applyFill="1" applyBorder="1"/>
    <xf numFmtId="0" fontId="62" fillId="48" borderId="68" xfId="0" applyFont="1" applyFill="1" applyBorder="1" applyAlignment="1">
      <alignment horizontal="center"/>
    </xf>
    <xf numFmtId="0" fontId="32" fillId="48" borderId="68" xfId="0" applyFont="1" applyFill="1" applyBorder="1" applyAlignment="1">
      <alignment horizontal="center" wrapText="1"/>
    </xf>
    <xf numFmtId="0" fontId="128" fillId="48" borderId="68" xfId="0" applyFont="1" applyFill="1" applyBorder="1" applyAlignment="1">
      <alignment horizontal="center"/>
    </xf>
    <xf numFmtId="0" fontId="65" fillId="48" borderId="71" xfId="0" applyFont="1" applyFill="1" applyBorder="1" applyAlignment="1">
      <alignment vertical="center"/>
    </xf>
    <xf numFmtId="0" fontId="121" fillId="48" borderId="71" xfId="0" applyFont="1" applyFill="1" applyBorder="1" applyAlignment="1">
      <alignment horizontal="center" vertical="center" wrapText="1"/>
    </xf>
    <xf numFmtId="0" fontId="64" fillId="48" borderId="71" xfId="0" applyFont="1" applyFill="1" applyBorder="1" applyAlignment="1">
      <alignment horizontal="center"/>
    </xf>
    <xf numFmtId="0" fontId="64" fillId="48" borderId="73" xfId="0" applyFont="1" applyFill="1" applyBorder="1" applyAlignment="1">
      <alignment horizontal="center"/>
    </xf>
    <xf numFmtId="0" fontId="62" fillId="48" borderId="69" xfId="0" applyFont="1" applyFill="1" applyBorder="1" applyAlignment="1">
      <alignment horizontal="center"/>
    </xf>
    <xf numFmtId="0" fontId="7" fillId="48" borderId="68" xfId="0" applyFont="1" applyFill="1" applyBorder="1" applyProtection="1">
      <protection locked="0"/>
    </xf>
    <xf numFmtId="0" fontId="129" fillId="48" borderId="68" xfId="0" applyFont="1" applyFill="1" applyBorder="1"/>
    <xf numFmtId="0" fontId="129" fillId="48" borderId="68" xfId="0" applyFont="1" applyFill="1" applyBorder="1" applyAlignment="1">
      <alignment horizontal="center"/>
    </xf>
    <xf numFmtId="0" fontId="129" fillId="48" borderId="78" xfId="0" applyFont="1" applyFill="1" applyBorder="1" applyAlignment="1">
      <alignment horizontal="center"/>
    </xf>
    <xf numFmtId="0" fontId="7" fillId="0" borderId="0" xfId="0" applyFont="1" applyAlignment="1">
      <alignment horizontal="centerContinuous"/>
    </xf>
    <xf numFmtId="0" fontId="7" fillId="0" borderId="96" xfId="0" applyFont="1" applyBorder="1" applyAlignment="1">
      <alignment horizontal="center" wrapText="1"/>
    </xf>
    <xf numFmtId="0" fontId="131" fillId="0" borderId="0" xfId="0" applyFont="1" applyAlignment="1">
      <alignment horizontal="centerContinuous"/>
    </xf>
    <xf numFmtId="0" fontId="89" fillId="39" borderId="77" xfId="0" applyFont="1" applyFill="1" applyBorder="1" applyAlignment="1" applyProtection="1">
      <alignment horizontal="center"/>
      <protection locked="0"/>
    </xf>
    <xf numFmtId="0" fontId="38" fillId="39" borderId="77" xfId="0" applyFont="1" applyFill="1" applyBorder="1" applyProtection="1">
      <protection locked="0"/>
    </xf>
    <xf numFmtId="0" fontId="0" fillId="39" borderId="77" xfId="0" applyFill="1" applyBorder="1" applyProtection="1">
      <protection locked="0"/>
    </xf>
    <xf numFmtId="0" fontId="22" fillId="53" borderId="246" xfId="0" quotePrefix="1" applyFont="1" applyFill="1" applyBorder="1" applyAlignment="1">
      <alignment horizontal="center" wrapText="1"/>
    </xf>
    <xf numFmtId="0" fontId="37" fillId="53" borderId="248" xfId="0" quotePrefix="1" applyFont="1" applyFill="1" applyBorder="1" applyAlignment="1">
      <alignment horizontal="center" wrapText="1"/>
    </xf>
    <xf numFmtId="0" fontId="172" fillId="0" borderId="0" xfId="0" applyFont="1"/>
    <xf numFmtId="0" fontId="7" fillId="0" borderId="0" xfId="0" quotePrefix="1" applyFont="1"/>
    <xf numFmtId="0" fontId="119" fillId="0" borderId="0" xfId="0" applyFont="1"/>
    <xf numFmtId="0" fontId="131" fillId="0" borderId="0" xfId="0" quotePrefix="1" applyFont="1"/>
    <xf numFmtId="0" fontId="0" fillId="0" borderId="91" xfId="0" applyBorder="1"/>
    <xf numFmtId="0" fontId="0" fillId="0" borderId="94" xfId="0" applyBorder="1"/>
    <xf numFmtId="0" fontId="83" fillId="0" borderId="0" xfId="0" applyFont="1" applyAlignment="1">
      <alignment horizontal="centerContinuous"/>
    </xf>
    <xf numFmtId="0" fontId="44" fillId="0" borderId="0" xfId="0" applyFont="1" applyAlignment="1">
      <alignment horizontal="centerContinuous"/>
    </xf>
    <xf numFmtId="0" fontId="27" fillId="0" borderId="0" xfId="0" applyFont="1" applyAlignment="1">
      <alignment horizontal="center" vertical="center"/>
    </xf>
    <xf numFmtId="0" fontId="0" fillId="0" borderId="67" xfId="0" applyBorder="1"/>
    <xf numFmtId="0" fontId="173" fillId="81" borderId="0" xfId="32" applyFont="1" applyFill="1" applyAlignment="1">
      <alignment horizontal="center" vertical="center"/>
    </xf>
    <xf numFmtId="0" fontId="174" fillId="81" borderId="0" xfId="32" applyFont="1" applyFill="1" applyAlignment="1">
      <alignment horizontal="center" vertical="center"/>
    </xf>
    <xf numFmtId="0" fontId="155" fillId="81" borderId="0" xfId="0" applyFont="1" applyFill="1" applyAlignment="1">
      <alignment horizontal="centerContinuous"/>
    </xf>
    <xf numFmtId="0" fontId="156" fillId="81" borderId="0" xfId="0" applyFont="1" applyFill="1" applyAlignment="1">
      <alignment horizontal="centerContinuous"/>
    </xf>
    <xf numFmtId="0" fontId="88" fillId="81" borderId="0" xfId="0" applyFont="1" applyFill="1" applyAlignment="1">
      <alignment horizontal="centerContinuous"/>
    </xf>
    <xf numFmtId="0" fontId="88" fillId="81" borderId="0" xfId="0" applyFont="1" applyFill="1"/>
    <xf numFmtId="0" fontId="88" fillId="81" borderId="0" xfId="0" applyFont="1" applyFill="1" applyAlignment="1">
      <alignment horizontal="center" vertical="center" wrapText="1"/>
    </xf>
    <xf numFmtId="0" fontId="78" fillId="40" borderId="0" xfId="30" applyFont="1" applyFill="1" applyBorder="1" applyAlignment="1" applyProtection="1">
      <alignment horizontal="center" vertical="center" wrapText="1"/>
    </xf>
    <xf numFmtId="0" fontId="175" fillId="40" borderId="0" xfId="0" applyFont="1" applyFill="1" applyAlignment="1">
      <alignment vertical="center" wrapText="1"/>
    </xf>
    <xf numFmtId="0" fontId="7" fillId="48" borderId="0" xfId="0" applyFont="1" applyFill="1"/>
    <xf numFmtId="0" fontId="57" fillId="40" borderId="0" xfId="0" applyFont="1" applyFill="1" applyAlignment="1">
      <alignment vertical="center" wrapText="1"/>
    </xf>
    <xf numFmtId="0" fontId="82" fillId="40" borderId="0" xfId="0" applyFont="1" applyFill="1" applyAlignment="1">
      <alignment vertical="center" wrapText="1"/>
    </xf>
    <xf numFmtId="0" fontId="73" fillId="40" borderId="0" xfId="0" applyFont="1" applyFill="1" applyAlignment="1">
      <alignment vertical="center" wrapText="1"/>
    </xf>
    <xf numFmtId="0" fontId="78" fillId="40" borderId="0" xfId="0" applyFont="1" applyFill="1" applyAlignment="1">
      <alignment horizontal="center" vertical="center" wrapText="1"/>
    </xf>
    <xf numFmtId="173" fontId="79" fillId="40" borderId="0" xfId="0" applyNumberFormat="1" applyFont="1" applyFill="1" applyAlignment="1">
      <alignment vertical="center" wrapText="1"/>
    </xf>
    <xf numFmtId="0" fontId="79" fillId="40" borderId="250" xfId="0" applyFont="1" applyFill="1" applyBorder="1" applyAlignment="1">
      <alignment horizontal="left" vertical="center" wrapText="1"/>
    </xf>
    <xf numFmtId="0" fontId="80" fillId="40" borderId="250" xfId="0" applyFont="1" applyFill="1" applyBorder="1" applyAlignment="1">
      <alignment horizontal="center" vertical="center" wrapText="1"/>
    </xf>
    <xf numFmtId="173" fontId="79" fillId="40" borderId="0" xfId="0" applyNumberFormat="1" applyFont="1" applyFill="1" applyAlignment="1">
      <alignment vertical="top" wrapText="1"/>
    </xf>
    <xf numFmtId="0" fontId="80" fillId="40" borderId="252" xfId="0" applyFont="1" applyFill="1" applyBorder="1" applyAlignment="1">
      <alignment horizontal="center" vertical="center" wrapText="1"/>
    </xf>
    <xf numFmtId="0" fontId="7" fillId="48" borderId="250" xfId="0" applyFont="1" applyFill="1" applyBorder="1"/>
    <xf numFmtId="0" fontId="79" fillId="40" borderId="251" xfId="0" applyFont="1" applyFill="1" applyBorder="1" applyAlignment="1">
      <alignment horizontal="left" vertical="center" wrapText="1"/>
    </xf>
    <xf numFmtId="0" fontId="7" fillId="48" borderId="251" xfId="0" applyFont="1" applyFill="1" applyBorder="1"/>
    <xf numFmtId="0" fontId="77" fillId="40" borderId="0" xfId="0" applyFont="1" applyFill="1" applyAlignment="1">
      <alignment horizontal="left" vertical="center" wrapText="1" indent="2"/>
    </xf>
    <xf numFmtId="0" fontId="77" fillId="40" borderId="252" xfId="0" applyFont="1" applyFill="1" applyBorder="1" applyAlignment="1">
      <alignment horizontal="left" vertical="center" wrapText="1" indent="2"/>
    </xf>
    <xf numFmtId="0" fontId="7" fillId="48" borderId="252" xfId="0" applyFont="1" applyFill="1" applyBorder="1"/>
    <xf numFmtId="0" fontId="57" fillId="40" borderId="0" xfId="0" applyFont="1" applyFill="1" applyAlignment="1">
      <alignment vertical="top" wrapText="1"/>
    </xf>
    <xf numFmtId="0" fontId="77" fillId="40" borderId="0" xfId="0" applyFont="1" applyFill="1" applyAlignment="1">
      <alignment horizontal="right" vertical="center" wrapText="1"/>
    </xf>
    <xf numFmtId="0" fontId="81" fillId="40" borderId="0" xfId="0" applyFont="1" applyFill="1" applyAlignment="1">
      <alignment horizontal="centerContinuous" vertical="top" wrapText="1"/>
    </xf>
    <xf numFmtId="0" fontId="7" fillId="48" borderId="0" xfId="0" applyFont="1" applyFill="1" applyAlignment="1">
      <alignment horizontal="centerContinuous" wrapText="1"/>
    </xf>
    <xf numFmtId="0" fontId="57" fillId="0" borderId="0" xfId="0" applyFont="1"/>
    <xf numFmtId="0" fontId="7" fillId="40" borderId="130" xfId="0" applyFont="1" applyFill="1" applyBorder="1" applyAlignment="1">
      <alignment horizontal="center" vertical="center"/>
    </xf>
    <xf numFmtId="0" fontId="166" fillId="40" borderId="0" xfId="0" applyFont="1" applyFill="1" applyAlignment="1">
      <alignment horizontal="center" vertical="center" wrapText="1"/>
    </xf>
    <xf numFmtId="0" fontId="166" fillId="40" borderId="0" xfId="0" applyFont="1" applyFill="1" applyAlignment="1">
      <alignment horizontal="right" vertical="center" wrapText="1"/>
    </xf>
    <xf numFmtId="0" fontId="22" fillId="40" borderId="0" xfId="0" applyFont="1" applyFill="1" applyAlignment="1">
      <alignment horizontal="center" vertical="center"/>
    </xf>
    <xf numFmtId="0" fontId="7" fillId="40" borderId="0" xfId="0" applyFont="1" applyFill="1" applyAlignment="1">
      <alignment horizontal="center" vertical="center"/>
    </xf>
    <xf numFmtId="0" fontId="7" fillId="40" borderId="143" xfId="0" applyFont="1" applyFill="1" applyBorder="1" applyAlignment="1">
      <alignment vertical="center"/>
    </xf>
    <xf numFmtId="0" fontId="7" fillId="40" borderId="144" xfId="0" applyFont="1" applyFill="1" applyBorder="1" applyAlignment="1">
      <alignment horizontal="center" vertical="center"/>
    </xf>
    <xf numFmtId="0" fontId="7" fillId="0" borderId="145" xfId="0" applyFont="1" applyBorder="1" applyAlignment="1" applyProtection="1">
      <alignment horizontal="center" vertical="center"/>
      <protection locked="0"/>
    </xf>
    <xf numFmtId="0" fontId="7" fillId="40" borderId="126" xfId="0" applyFont="1" applyFill="1" applyBorder="1" applyAlignment="1">
      <alignment horizontal="center" vertical="center"/>
    </xf>
    <xf numFmtId="0" fontId="7" fillId="40" borderId="147" xfId="0" applyFont="1" applyFill="1" applyBorder="1" applyAlignment="1">
      <alignment horizontal="center" vertical="center"/>
    </xf>
    <xf numFmtId="0" fontId="22" fillId="40" borderId="79" xfId="0" applyFont="1" applyFill="1" applyBorder="1" applyAlignment="1">
      <alignment horizontal="center" vertical="center"/>
    </xf>
    <xf numFmtId="0" fontId="22" fillId="40" borderId="81" xfId="0" applyFont="1" applyFill="1" applyBorder="1" applyAlignment="1">
      <alignment horizontal="center" vertical="center"/>
    </xf>
    <xf numFmtId="0" fontId="22" fillId="40" borderId="87" xfId="0" applyFont="1" applyFill="1" applyBorder="1" applyAlignment="1">
      <alignment horizontal="center" vertical="center"/>
    </xf>
    <xf numFmtId="0" fontId="176" fillId="40" borderId="0" xfId="0" applyFont="1" applyFill="1" applyAlignment="1">
      <alignment horizontal="centerContinuous" vertical="center" wrapText="1"/>
    </xf>
    <xf numFmtId="0" fontId="99" fillId="40" borderId="0" xfId="0" applyFont="1" applyFill="1" applyAlignment="1">
      <alignment horizontal="centerContinuous" vertical="center" wrapText="1"/>
    </xf>
    <xf numFmtId="0" fontId="58" fillId="40" borderId="0" xfId="0" applyFont="1" applyFill="1" applyAlignment="1">
      <alignment horizontal="centerContinuous" vertical="center" wrapText="1"/>
    </xf>
    <xf numFmtId="0" fontId="58" fillId="40" borderId="0" xfId="0" applyFont="1" applyFill="1" applyAlignment="1">
      <alignment horizontal="left" vertical="center"/>
    </xf>
    <xf numFmtId="0" fontId="7" fillId="88" borderId="0" xfId="0" applyFont="1" applyFill="1" applyAlignment="1">
      <alignment vertical="center"/>
    </xf>
    <xf numFmtId="0" fontId="177" fillId="88" borderId="0" xfId="0" applyFont="1" applyFill="1" applyAlignment="1">
      <alignment vertical="center"/>
    </xf>
    <xf numFmtId="0" fontId="178" fillId="88" borderId="0" xfId="0" applyFont="1" applyFill="1" applyAlignment="1">
      <alignment horizontal="center" vertical="center"/>
    </xf>
    <xf numFmtId="0" fontId="177" fillId="88" borderId="0" xfId="0" applyFont="1" applyFill="1" applyAlignment="1">
      <alignment horizontal="center" vertical="center"/>
    </xf>
    <xf numFmtId="0" fontId="85" fillId="88" borderId="0" xfId="0" applyFont="1" applyFill="1" applyAlignment="1">
      <alignment vertical="center"/>
    </xf>
    <xf numFmtId="0" fontId="85" fillId="88" borderId="253" xfId="0" applyFont="1" applyFill="1" applyBorder="1" applyAlignment="1">
      <alignment vertical="center"/>
    </xf>
    <xf numFmtId="0" fontId="7" fillId="88" borderId="254" xfId="0" applyFont="1" applyFill="1" applyBorder="1" applyAlignment="1" applyProtection="1">
      <alignment vertical="center"/>
      <protection locked="0"/>
    </xf>
    <xf numFmtId="0" fontId="85" fillId="88" borderId="254" xfId="0" applyFont="1" applyFill="1" applyBorder="1" applyAlignment="1">
      <alignment vertical="center"/>
    </xf>
    <xf numFmtId="0" fontId="7" fillId="88" borderId="254" xfId="0" applyFont="1" applyFill="1" applyBorder="1" applyAlignment="1">
      <alignment vertical="center"/>
    </xf>
    <xf numFmtId="0" fontId="68" fillId="88" borderId="254" xfId="0" applyFont="1" applyFill="1" applyBorder="1" applyAlignment="1">
      <alignment vertical="center"/>
    </xf>
    <xf numFmtId="0" fontId="68" fillId="88" borderId="255" xfId="0" applyFont="1" applyFill="1" applyBorder="1" applyAlignment="1">
      <alignment vertical="center"/>
    </xf>
    <xf numFmtId="0" fontId="85" fillId="88" borderId="256" xfId="0" applyFont="1" applyFill="1" applyBorder="1" applyAlignment="1">
      <alignment vertical="center"/>
    </xf>
    <xf numFmtId="0" fontId="68" fillId="88" borderId="257" xfId="0" applyFont="1" applyFill="1" applyBorder="1" applyAlignment="1">
      <alignment vertical="center"/>
    </xf>
    <xf numFmtId="0" fontId="22" fillId="88" borderId="257" xfId="0" applyFont="1" applyFill="1" applyBorder="1" applyAlignment="1">
      <alignment horizontal="center" vertical="center"/>
    </xf>
    <xf numFmtId="0" fontId="7" fillId="88" borderId="257" xfId="0" applyFont="1" applyFill="1" applyBorder="1" applyAlignment="1">
      <alignment vertical="center"/>
    </xf>
    <xf numFmtId="0" fontId="7" fillId="88" borderId="257" xfId="0" applyFont="1" applyFill="1" applyBorder="1" applyAlignment="1">
      <alignment horizontal="center" vertical="center"/>
    </xf>
    <xf numFmtId="0" fontId="7" fillId="88" borderId="257" xfId="0" applyFont="1" applyFill="1" applyBorder="1" applyAlignment="1" applyProtection="1">
      <alignment vertical="center"/>
      <protection locked="0"/>
    </xf>
    <xf numFmtId="0" fontId="127" fillId="88" borderId="257" xfId="0" applyFont="1" applyFill="1" applyBorder="1" applyAlignment="1">
      <alignment vertical="center"/>
    </xf>
    <xf numFmtId="0" fontId="85" fillId="88" borderId="259" xfId="0" applyFont="1" applyFill="1" applyBorder="1" applyAlignment="1">
      <alignment vertical="center"/>
    </xf>
    <xf numFmtId="0" fontId="177" fillId="88" borderId="259" xfId="0" applyFont="1" applyFill="1" applyBorder="1" applyAlignment="1">
      <alignment vertical="center"/>
    </xf>
    <xf numFmtId="0" fontId="127" fillId="88" borderId="260" xfId="0" applyFont="1" applyFill="1" applyBorder="1" applyAlignment="1">
      <alignment vertical="center"/>
    </xf>
    <xf numFmtId="0" fontId="7" fillId="88" borderId="258" xfId="0" applyFont="1" applyFill="1" applyBorder="1" applyAlignment="1">
      <alignment vertical="center"/>
    </xf>
    <xf numFmtId="0" fontId="7" fillId="88" borderId="256" xfId="0" applyFont="1" applyFill="1" applyBorder="1" applyAlignment="1">
      <alignment vertical="center"/>
    </xf>
    <xf numFmtId="0" fontId="22" fillId="40" borderId="129" xfId="0" quotePrefix="1" applyFont="1" applyFill="1" applyBorder="1" applyAlignment="1">
      <alignment horizontal="center" vertical="center" wrapText="1"/>
    </xf>
    <xf numFmtId="0" fontId="22" fillId="40" borderId="131" xfId="0" quotePrefix="1" applyFont="1" applyFill="1" applyBorder="1" applyAlignment="1">
      <alignment horizontal="center" vertical="center" wrapText="1"/>
    </xf>
    <xf numFmtId="0" fontId="22" fillId="89" borderId="256" xfId="0" applyFont="1" applyFill="1" applyBorder="1" applyAlignment="1">
      <alignment horizontal="center" vertical="center"/>
    </xf>
    <xf numFmtId="0" fontId="7" fillId="89" borderId="0" xfId="0" applyFont="1" applyFill="1" applyAlignment="1">
      <alignment vertical="center"/>
    </xf>
    <xf numFmtId="0" fontId="7" fillId="89" borderId="257" xfId="0" applyFont="1" applyFill="1" applyBorder="1" applyAlignment="1">
      <alignment vertical="center"/>
    </xf>
    <xf numFmtId="0" fontId="7" fillId="89" borderId="260" xfId="0" applyFont="1" applyFill="1" applyBorder="1" applyAlignment="1">
      <alignment vertical="center"/>
    </xf>
    <xf numFmtId="0" fontId="7" fillId="89" borderId="256" xfId="0" applyFont="1" applyFill="1" applyBorder="1" applyAlignment="1">
      <alignment vertical="center"/>
    </xf>
    <xf numFmtId="0" fontId="7" fillId="89" borderId="256" xfId="0" applyFont="1" applyFill="1" applyBorder="1" applyAlignment="1">
      <alignment horizontal="center" vertical="center"/>
    </xf>
    <xf numFmtId="0" fontId="7" fillId="89" borderId="256" xfId="0" applyFont="1" applyFill="1" applyBorder="1" applyAlignment="1" applyProtection="1">
      <alignment vertical="center"/>
      <protection locked="0"/>
    </xf>
    <xf numFmtId="0" fontId="7" fillId="89" borderId="258" xfId="0" applyFont="1" applyFill="1" applyBorder="1" applyAlignment="1">
      <alignment vertical="center"/>
    </xf>
    <xf numFmtId="0" fontId="7" fillId="89" borderId="259" xfId="0" applyFont="1" applyFill="1" applyBorder="1" applyAlignment="1">
      <alignment vertical="center"/>
    </xf>
    <xf numFmtId="0" fontId="7" fillId="90" borderId="0" xfId="0" applyFont="1" applyFill="1" applyAlignment="1">
      <alignment vertical="center"/>
    </xf>
    <xf numFmtId="0" fontId="7" fillId="90" borderId="264" xfId="0" applyFont="1" applyFill="1" applyBorder="1" applyAlignment="1">
      <alignment vertical="center"/>
    </xf>
    <xf numFmtId="0" fontId="7" fillId="90" borderId="0" xfId="0" applyFont="1" applyFill="1" applyAlignment="1" applyProtection="1">
      <alignment vertical="center"/>
      <protection locked="0"/>
    </xf>
    <xf numFmtId="0" fontId="127" fillId="90" borderId="265" xfId="0" applyFont="1" applyFill="1" applyBorder="1" applyAlignment="1">
      <alignment vertical="center"/>
    </xf>
    <xf numFmtId="0" fontId="7" fillId="90" borderId="266" xfId="0" applyFont="1" applyFill="1" applyBorder="1" applyAlignment="1">
      <alignment vertical="center"/>
    </xf>
    <xf numFmtId="0" fontId="7" fillId="90" borderId="267" xfId="0" applyFont="1" applyFill="1" applyBorder="1" applyAlignment="1" applyProtection="1">
      <alignment vertical="center"/>
      <protection locked="0"/>
    </xf>
    <xf numFmtId="0" fontId="7" fillId="90" borderId="267" xfId="0" applyFont="1" applyFill="1" applyBorder="1" applyAlignment="1">
      <alignment vertical="center"/>
    </xf>
    <xf numFmtId="0" fontId="179" fillId="90" borderId="0" xfId="0" applyFont="1" applyFill="1" applyAlignment="1">
      <alignment vertical="center"/>
    </xf>
    <xf numFmtId="0" fontId="179" fillId="90" borderId="265" xfId="0" applyFont="1" applyFill="1" applyBorder="1" applyAlignment="1">
      <alignment vertical="center"/>
    </xf>
    <xf numFmtId="0" fontId="179" fillId="90" borderId="0" xfId="0" applyFont="1" applyFill="1" applyAlignment="1" applyProtection="1">
      <alignment vertical="center"/>
      <protection locked="0"/>
    </xf>
    <xf numFmtId="0" fontId="179" fillId="90" borderId="267" xfId="0" applyFont="1" applyFill="1" applyBorder="1" applyAlignment="1" applyProtection="1">
      <alignment vertical="center"/>
      <protection locked="0"/>
    </xf>
    <xf numFmtId="0" fontId="179" fillId="90" borderId="268" xfId="0" applyFont="1" applyFill="1" applyBorder="1" applyAlignment="1">
      <alignment vertical="center"/>
    </xf>
    <xf numFmtId="0" fontId="7" fillId="91" borderId="0" xfId="0" applyFont="1" applyFill="1" applyAlignment="1">
      <alignment vertical="center"/>
    </xf>
    <xf numFmtId="0" fontId="7" fillId="91" borderId="261" xfId="0" applyFont="1" applyFill="1" applyBorder="1" applyAlignment="1">
      <alignment vertical="center"/>
    </xf>
    <xf numFmtId="0" fontId="7" fillId="91" borderId="262" xfId="0" applyFont="1" applyFill="1" applyBorder="1" applyAlignment="1">
      <alignment vertical="center"/>
    </xf>
    <xf numFmtId="0" fontId="7" fillId="91" borderId="263" xfId="0" applyFont="1" applyFill="1" applyBorder="1" applyAlignment="1">
      <alignment vertical="center"/>
    </xf>
    <xf numFmtId="0" fontId="127" fillId="91" borderId="264" xfId="0" applyFont="1" applyFill="1" applyBorder="1" applyAlignment="1">
      <alignment vertical="center"/>
    </xf>
    <xf numFmtId="0" fontId="7" fillId="91" borderId="265" xfId="0" applyFont="1" applyFill="1" applyBorder="1" applyAlignment="1">
      <alignment vertical="center"/>
    </xf>
    <xf numFmtId="0" fontId="127" fillId="91" borderId="266" xfId="0" applyFont="1" applyFill="1" applyBorder="1" applyAlignment="1">
      <alignment vertical="center"/>
    </xf>
    <xf numFmtId="0" fontId="7" fillId="91" borderId="267" xfId="0" applyFont="1" applyFill="1" applyBorder="1" applyAlignment="1">
      <alignment vertical="center"/>
    </xf>
    <xf numFmtId="0" fontId="7" fillId="91" borderId="268" xfId="0" applyFont="1" applyFill="1" applyBorder="1" applyAlignment="1">
      <alignment vertical="center"/>
    </xf>
    <xf numFmtId="0" fontId="7" fillId="91" borderId="96" xfId="0" applyFont="1" applyFill="1" applyBorder="1" applyAlignment="1">
      <alignment vertical="center" wrapText="1"/>
    </xf>
    <xf numFmtId="171" fontId="7" fillId="91" borderId="96" xfId="0" applyNumberFormat="1" applyFont="1" applyFill="1" applyBorder="1" applyAlignment="1" applyProtection="1">
      <alignment horizontal="center" vertical="center" wrapText="1"/>
      <protection locked="0"/>
    </xf>
    <xf numFmtId="0" fontId="7" fillId="61" borderId="96" xfId="0" applyFont="1" applyFill="1" applyBorder="1" applyAlignment="1" applyProtection="1">
      <alignment vertical="center"/>
      <protection locked="0"/>
    </xf>
    <xf numFmtId="0" fontId="7" fillId="61" borderId="77" xfId="0" applyFont="1" applyFill="1" applyBorder="1" applyAlignment="1" applyProtection="1">
      <alignment vertical="center"/>
      <protection locked="0"/>
    </xf>
    <xf numFmtId="0" fontId="7" fillId="92" borderId="264" xfId="0" applyFont="1" applyFill="1" applyBorder="1" applyAlignment="1">
      <alignment vertical="center"/>
    </xf>
    <xf numFmtId="0" fontId="7" fillId="92" borderId="0" xfId="0" applyFont="1" applyFill="1" applyAlignment="1">
      <alignment vertical="center"/>
    </xf>
    <xf numFmtId="0" fontId="7" fillId="92" borderId="265" xfId="0" applyFont="1" applyFill="1" applyBorder="1" applyAlignment="1">
      <alignment vertical="center"/>
    </xf>
    <xf numFmtId="0" fontId="7" fillId="92" borderId="266" xfId="0" applyFont="1" applyFill="1" applyBorder="1" applyAlignment="1">
      <alignment vertical="center"/>
    </xf>
    <xf numFmtId="0" fontId="7" fillId="92" borderId="267" xfId="0" applyFont="1" applyFill="1" applyBorder="1" applyAlignment="1">
      <alignment vertical="center"/>
    </xf>
    <xf numFmtId="0" fontId="7" fillId="92" borderId="268" xfId="0" applyFont="1" applyFill="1" applyBorder="1" applyAlignment="1">
      <alignment vertical="center"/>
    </xf>
    <xf numFmtId="0" fontId="7" fillId="89" borderId="264" xfId="0" applyFont="1" applyFill="1" applyBorder="1" applyAlignment="1">
      <alignment vertical="center"/>
    </xf>
    <xf numFmtId="0" fontId="7" fillId="89" borderId="0" xfId="0" applyFont="1" applyFill="1" applyAlignment="1" applyProtection="1">
      <alignment vertical="center"/>
      <protection locked="0"/>
    </xf>
    <xf numFmtId="0" fontId="7" fillId="89" borderId="265" xfId="0" applyFont="1" applyFill="1" applyBorder="1" applyAlignment="1">
      <alignment vertical="center"/>
    </xf>
    <xf numFmtId="0" fontId="68" fillId="89" borderId="0" xfId="0" applyFont="1" applyFill="1" applyAlignment="1">
      <alignment vertical="center"/>
    </xf>
    <xf numFmtId="0" fontId="7" fillId="89" borderId="267" xfId="0" applyFont="1" applyFill="1" applyBorder="1" applyAlignment="1">
      <alignment vertical="center"/>
    </xf>
    <xf numFmtId="0" fontId="7" fillId="89" borderId="268" xfId="0" applyFont="1" applyFill="1" applyBorder="1" applyAlignment="1">
      <alignment vertical="center"/>
    </xf>
    <xf numFmtId="0" fontId="7" fillId="89" borderId="266" xfId="0" applyFont="1" applyFill="1" applyBorder="1" applyAlignment="1">
      <alignment vertical="center"/>
    </xf>
    <xf numFmtId="0" fontId="22" fillId="40" borderId="269" xfId="0" quotePrefix="1" applyFont="1" applyFill="1" applyBorder="1" applyAlignment="1">
      <alignment horizontal="center" vertical="center" wrapText="1"/>
    </xf>
    <xf numFmtId="0" fontId="7" fillId="0" borderId="270" xfId="0" applyFont="1" applyBorder="1" applyAlignment="1" applyProtection="1">
      <alignment horizontal="center" vertical="center" wrapText="1"/>
      <protection locked="0"/>
    </xf>
    <xf numFmtId="0" fontId="7" fillId="93" borderId="264" xfId="0" applyFont="1" applyFill="1" applyBorder="1" applyAlignment="1">
      <alignment vertical="center"/>
    </xf>
    <xf numFmtId="0" fontId="7" fillId="93" borderId="0" xfId="0" applyFont="1" applyFill="1" applyAlignment="1" applyProtection="1">
      <alignment vertical="center"/>
      <protection locked="0"/>
    </xf>
    <xf numFmtId="0" fontId="7" fillId="93" borderId="0" xfId="0" applyFont="1" applyFill="1" applyAlignment="1">
      <alignment vertical="center"/>
    </xf>
    <xf numFmtId="0" fontId="7" fillId="93" borderId="267" xfId="0" applyFont="1" applyFill="1" applyBorder="1" applyAlignment="1">
      <alignment vertical="center"/>
    </xf>
    <xf numFmtId="0" fontId="7" fillId="93" borderId="266" xfId="0" applyFont="1" applyFill="1" applyBorder="1" applyAlignment="1" applyProtection="1">
      <alignment vertical="center"/>
      <protection locked="0"/>
    </xf>
    <xf numFmtId="0" fontId="7" fillId="94" borderId="264" xfId="0" applyFont="1" applyFill="1" applyBorder="1" applyAlignment="1">
      <alignment vertical="center"/>
    </xf>
    <xf numFmtId="0" fontId="7" fillId="94" borderId="265" xfId="0" applyFont="1" applyFill="1" applyBorder="1" applyAlignment="1">
      <alignment vertical="center"/>
    </xf>
    <xf numFmtId="0" fontId="7" fillId="94" borderId="264" xfId="0" applyFont="1" applyFill="1" applyBorder="1" applyAlignment="1" applyProtection="1">
      <alignment vertical="center"/>
      <protection locked="0"/>
    </xf>
    <xf numFmtId="0" fontId="7" fillId="94" borderId="266" xfId="0" applyFont="1" applyFill="1" applyBorder="1" applyAlignment="1" applyProtection="1">
      <alignment vertical="center"/>
      <protection locked="0"/>
    </xf>
    <xf numFmtId="0" fontId="7" fillId="94" borderId="268" xfId="0" applyFont="1" applyFill="1" applyBorder="1" applyAlignment="1">
      <alignment vertical="center"/>
    </xf>
    <xf numFmtId="0" fontId="7" fillId="94" borderId="267" xfId="0" applyFont="1" applyFill="1" applyBorder="1" applyAlignment="1" applyProtection="1">
      <alignment vertical="center"/>
      <protection locked="0"/>
    </xf>
    <xf numFmtId="0" fontId="7" fillId="94" borderId="0" xfId="0" applyFont="1" applyFill="1" applyAlignment="1">
      <alignment vertical="center"/>
    </xf>
    <xf numFmtId="0" fontId="22" fillId="40" borderId="129" xfId="0" applyFont="1" applyFill="1" applyBorder="1" applyAlignment="1">
      <alignment horizontal="centerContinuous" vertical="center" wrapText="1"/>
    </xf>
    <xf numFmtId="0" fontId="22" fillId="40" borderId="96" xfId="0" applyFont="1" applyFill="1" applyBorder="1" applyAlignment="1">
      <alignment horizontal="centerContinuous" vertical="center" wrapText="1"/>
    </xf>
    <xf numFmtId="0" fontId="7" fillId="91" borderId="0" xfId="0" applyFont="1" applyFill="1" applyAlignment="1" applyProtection="1">
      <alignment vertical="center"/>
      <protection locked="0"/>
    </xf>
    <xf numFmtId="0" fontId="7" fillId="40" borderId="161" xfId="0" applyFont="1" applyFill="1" applyBorder="1" applyAlignment="1">
      <alignment horizontal="centerContinuous" vertical="center" wrapText="1"/>
    </xf>
    <xf numFmtId="171" fontId="7" fillId="0" borderId="224" xfId="0" applyNumberFormat="1" applyFont="1" applyBorder="1" applyAlignment="1" applyProtection="1">
      <alignment horizontal="center" vertical="center"/>
      <protection locked="0"/>
    </xf>
    <xf numFmtId="0" fontId="181" fillId="89" borderId="257" xfId="0" applyFont="1" applyFill="1" applyBorder="1" applyAlignment="1">
      <alignment vertical="center"/>
    </xf>
    <xf numFmtId="0" fontId="182" fillId="95" borderId="70" xfId="0" applyFont="1" applyFill="1" applyBorder="1" applyAlignment="1">
      <alignment horizontal="center" vertical="center" wrapText="1"/>
    </xf>
    <xf numFmtId="0" fontId="182" fillId="95" borderId="74" xfId="0" applyFont="1" applyFill="1" applyBorder="1" applyAlignment="1">
      <alignment horizontal="center" vertical="center" wrapText="1"/>
    </xf>
    <xf numFmtId="0" fontId="182" fillId="95" borderId="77" xfId="0" applyFont="1" applyFill="1" applyBorder="1" applyAlignment="1">
      <alignment horizontal="center" vertical="center" wrapText="1"/>
    </xf>
    <xf numFmtId="0" fontId="182" fillId="95" borderId="96" xfId="0" applyFont="1" applyFill="1" applyBorder="1" applyAlignment="1" applyProtection="1">
      <alignment horizontal="center" vertical="center"/>
      <protection locked="0"/>
    </xf>
    <xf numFmtId="0" fontId="7" fillId="63" borderId="264" xfId="0" applyFont="1" applyFill="1" applyBorder="1" applyAlignment="1">
      <alignment vertical="center"/>
    </xf>
    <xf numFmtId="0" fontId="7" fillId="63" borderId="0" xfId="0" applyFont="1" applyFill="1" applyAlignment="1">
      <alignment vertical="center"/>
    </xf>
    <xf numFmtId="0" fontId="7" fillId="63" borderId="265" xfId="0" applyFont="1" applyFill="1" applyBorder="1" applyAlignment="1">
      <alignment vertical="center"/>
    </xf>
    <xf numFmtId="0" fontId="7" fillId="63" borderId="264" xfId="0" applyFont="1" applyFill="1" applyBorder="1" applyAlignment="1" applyProtection="1">
      <alignment vertical="center"/>
      <protection locked="0"/>
    </xf>
    <xf numFmtId="0" fontId="7" fillId="63" borderId="0" xfId="0" applyFont="1" applyFill="1" applyAlignment="1" applyProtection="1">
      <alignment vertical="center"/>
      <protection locked="0"/>
    </xf>
    <xf numFmtId="0" fontId="7" fillId="63" borderId="265" xfId="0" applyFont="1" applyFill="1" applyBorder="1" applyAlignment="1" applyProtection="1">
      <alignment vertical="center"/>
      <protection locked="0"/>
    </xf>
    <xf numFmtId="0" fontId="7" fillId="63" borderId="266" xfId="0" applyFont="1" applyFill="1" applyBorder="1" applyAlignment="1" applyProtection="1">
      <alignment vertical="center"/>
      <protection locked="0"/>
    </xf>
    <xf numFmtId="0" fontId="68" fillId="63" borderId="267" xfId="0" applyFont="1" applyFill="1" applyBorder="1" applyAlignment="1">
      <alignment vertical="center"/>
    </xf>
    <xf numFmtId="0" fontId="7" fillId="63" borderId="267" xfId="0" applyFont="1" applyFill="1" applyBorder="1" applyAlignment="1">
      <alignment vertical="center"/>
    </xf>
    <xf numFmtId="0" fontId="7" fillId="63" borderId="267" xfId="0" applyFont="1" applyFill="1" applyBorder="1" applyAlignment="1" applyProtection="1">
      <alignment vertical="center"/>
      <protection locked="0"/>
    </xf>
    <xf numFmtId="0" fontId="7" fillId="63" borderId="268" xfId="0" applyFont="1" applyFill="1" applyBorder="1" applyAlignment="1" applyProtection="1">
      <alignment vertical="center"/>
      <protection locked="0"/>
    </xf>
    <xf numFmtId="0" fontId="85" fillId="88" borderId="254" xfId="0" applyFont="1" applyFill="1" applyBorder="1" applyAlignment="1">
      <alignment horizontal="centerContinuous" vertical="center"/>
    </xf>
    <xf numFmtId="0" fontId="7" fillId="88" borderId="254" xfId="0" applyFont="1" applyFill="1" applyBorder="1" applyAlignment="1">
      <alignment horizontal="centerContinuous" vertical="center"/>
    </xf>
    <xf numFmtId="0" fontId="68" fillId="89" borderId="273" xfId="0" applyFont="1" applyFill="1" applyBorder="1" applyAlignment="1">
      <alignment vertical="center"/>
    </xf>
    <xf numFmtId="0" fontId="7" fillId="89" borderId="275" xfId="0" applyFont="1" applyFill="1" applyBorder="1" applyAlignment="1">
      <alignment vertical="center"/>
    </xf>
    <xf numFmtId="0" fontId="7" fillId="92" borderId="273" xfId="0" applyFont="1" applyFill="1" applyBorder="1" applyAlignment="1">
      <alignment vertical="center"/>
    </xf>
    <xf numFmtId="0" fontId="180" fillId="92" borderId="274" xfId="0" applyFont="1" applyFill="1" applyBorder="1" applyAlignment="1">
      <alignment horizontal="centerContinuous" vertical="center"/>
    </xf>
    <xf numFmtId="0" fontId="7" fillId="92" borderId="275" xfId="0" applyFont="1" applyFill="1" applyBorder="1" applyAlignment="1">
      <alignment vertical="center"/>
    </xf>
    <xf numFmtId="0" fontId="7" fillId="94" borderId="273" xfId="0" applyFont="1" applyFill="1" applyBorder="1" applyAlignment="1">
      <alignment vertical="center"/>
    </xf>
    <xf numFmtId="0" fontId="7" fillId="94" borderId="275" xfId="0" applyFont="1" applyFill="1" applyBorder="1" applyAlignment="1">
      <alignment vertical="center"/>
    </xf>
    <xf numFmtId="0" fontId="7" fillId="93" borderId="273" xfId="0" applyFont="1" applyFill="1" applyBorder="1" applyAlignment="1">
      <alignment vertical="center"/>
    </xf>
    <xf numFmtId="0" fontId="7" fillId="93" borderId="275" xfId="0" applyFont="1" applyFill="1" applyBorder="1" applyAlignment="1">
      <alignment vertical="center"/>
    </xf>
    <xf numFmtId="0" fontId="7" fillId="63" borderId="276" xfId="0" applyFont="1" applyFill="1" applyBorder="1" applyAlignment="1">
      <alignment vertical="center"/>
    </xf>
    <xf numFmtId="0" fontId="7" fillId="63" borderId="271" xfId="0" applyFont="1" applyFill="1" applyBorder="1" applyAlignment="1">
      <alignment vertical="center"/>
    </xf>
    <xf numFmtId="0" fontId="7" fillId="63" borderId="272" xfId="0" applyFont="1" applyFill="1" applyBorder="1" applyAlignment="1">
      <alignment vertical="center"/>
    </xf>
    <xf numFmtId="0" fontId="7" fillId="89" borderId="276" xfId="0" applyFont="1" applyFill="1" applyBorder="1" applyAlignment="1">
      <alignment vertical="center"/>
    </xf>
    <xf numFmtId="0" fontId="127" fillId="89" borderId="271" xfId="0" applyFont="1" applyFill="1" applyBorder="1" applyAlignment="1">
      <alignment vertical="center"/>
    </xf>
    <xf numFmtId="0" fontId="7" fillId="89" borderId="272" xfId="0" applyFont="1" applyFill="1" applyBorder="1" applyAlignment="1">
      <alignment vertical="center"/>
    </xf>
    <xf numFmtId="0" fontId="7" fillId="90" borderId="276" xfId="0" applyFont="1" applyFill="1" applyBorder="1" applyAlignment="1">
      <alignment vertical="center"/>
    </xf>
    <xf numFmtId="0" fontId="7" fillId="90" borderId="271" xfId="0" applyFont="1" applyFill="1" applyBorder="1" applyAlignment="1">
      <alignment vertical="center"/>
    </xf>
    <xf numFmtId="0" fontId="127" fillId="90" borderId="272" xfId="0" applyFont="1" applyFill="1" applyBorder="1" applyAlignment="1">
      <alignment vertical="center"/>
    </xf>
    <xf numFmtId="0" fontId="7" fillId="89" borderId="274" xfId="0" applyFont="1" applyFill="1" applyBorder="1" applyAlignment="1">
      <alignment horizontal="centerContinuous" vertical="center"/>
    </xf>
    <xf numFmtId="0" fontId="180" fillId="89" borderId="274" xfId="0" applyFont="1" applyFill="1" applyBorder="1" applyAlignment="1">
      <alignment horizontal="centerContinuous" vertical="center"/>
    </xf>
    <xf numFmtId="0" fontId="7" fillId="90" borderId="271" xfId="0" applyFont="1" applyFill="1" applyBorder="1" applyAlignment="1">
      <alignment horizontal="centerContinuous" vertical="center"/>
    </xf>
    <xf numFmtId="0" fontId="7" fillId="90" borderId="271" xfId="0" applyFont="1" applyFill="1" applyBorder="1" applyAlignment="1" applyProtection="1">
      <alignment horizontal="centerContinuous" vertical="center"/>
      <protection locked="0"/>
    </xf>
    <xf numFmtId="0" fontId="180" fillId="90" borderId="271" xfId="0" applyFont="1" applyFill="1" applyBorder="1" applyAlignment="1">
      <alignment horizontal="centerContinuous" vertical="center"/>
    </xf>
    <xf numFmtId="0" fontId="180" fillId="94" borderId="274" xfId="0" applyFont="1" applyFill="1" applyBorder="1" applyAlignment="1">
      <alignment horizontal="centerContinuous" vertical="center"/>
    </xf>
    <xf numFmtId="0" fontId="180" fillId="93" borderId="274" xfId="0" applyFont="1" applyFill="1" applyBorder="1" applyAlignment="1" applyProtection="1">
      <alignment horizontal="centerContinuous" vertical="center"/>
      <protection locked="0"/>
    </xf>
    <xf numFmtId="0" fontId="7" fillId="94" borderId="277" xfId="0" applyFont="1" applyFill="1" applyBorder="1" applyAlignment="1" applyProtection="1">
      <alignment vertical="center"/>
      <protection locked="0"/>
    </xf>
    <xf numFmtId="0" fontId="7" fillId="94" borderId="278" xfId="0" applyFont="1" applyFill="1" applyBorder="1" applyAlignment="1">
      <alignment vertical="center"/>
    </xf>
    <xf numFmtId="0" fontId="7" fillId="94" borderId="254" xfId="0" applyFont="1" applyFill="1" applyBorder="1" applyAlignment="1" applyProtection="1">
      <alignment vertical="center"/>
      <protection locked="0"/>
    </xf>
    <xf numFmtId="0" fontId="7" fillId="94" borderId="279" xfId="0" applyFont="1" applyFill="1" applyBorder="1" applyAlignment="1">
      <alignment vertical="center"/>
    </xf>
    <xf numFmtId="0" fontId="180" fillId="89" borderId="271" xfId="0" applyFont="1" applyFill="1" applyBorder="1" applyAlignment="1">
      <alignment horizontal="centerContinuous" vertical="center"/>
    </xf>
    <xf numFmtId="0" fontId="180" fillId="91" borderId="262" xfId="0" applyFont="1" applyFill="1" applyBorder="1" applyAlignment="1">
      <alignment horizontal="centerContinuous" vertical="center"/>
    </xf>
    <xf numFmtId="0" fontId="180" fillId="63" borderId="271" xfId="0" applyFont="1" applyFill="1" applyBorder="1" applyAlignment="1">
      <alignment horizontal="centerContinuous" vertical="center"/>
    </xf>
    <xf numFmtId="0" fontId="183" fillId="88" borderId="254" xfId="0" applyFont="1" applyFill="1" applyBorder="1" applyAlignment="1" applyProtection="1">
      <alignment horizontal="centerContinuous" vertical="center"/>
      <protection locked="0"/>
    </xf>
    <xf numFmtId="0" fontId="131" fillId="0" borderId="62" xfId="0" applyFont="1" applyBorder="1" applyAlignment="1" applyProtection="1">
      <alignment horizontal="center"/>
      <protection locked="0" hidden="1"/>
    </xf>
    <xf numFmtId="0" fontId="184" fillId="0" borderId="0" xfId="0" applyFont="1" applyAlignment="1">
      <alignment horizontal="centerContinuous"/>
    </xf>
    <xf numFmtId="20" fontId="0" fillId="0" borderId="150" xfId="0" applyNumberFormat="1" applyBorder="1" applyAlignment="1">
      <alignment horizontal="center"/>
    </xf>
    <xf numFmtId="0" fontId="24" fillId="0" borderId="121" xfId="0" applyFont="1" applyBorder="1" applyAlignment="1">
      <alignment horizontal="center"/>
    </xf>
    <xf numFmtId="0" fontId="24" fillId="0" borderId="49" xfId="0" applyFont="1" applyBorder="1"/>
    <xf numFmtId="0" fontId="0" fillId="25" borderId="103" xfId="0" applyFill="1" applyBorder="1" applyAlignment="1">
      <alignment horizontal="right"/>
    </xf>
    <xf numFmtId="0" fontId="0" fillId="26" borderId="104" xfId="0" applyFill="1" applyBorder="1" applyAlignment="1">
      <alignment horizontal="center"/>
    </xf>
    <xf numFmtId="0" fontId="0" fillId="25" borderId="105" xfId="0" applyFill="1" applyBorder="1" applyAlignment="1">
      <alignment horizontal="left"/>
    </xf>
    <xf numFmtId="0" fontId="35" fillId="50" borderId="10" xfId="0" applyFont="1" applyFill="1" applyBorder="1" applyAlignment="1">
      <alignment horizontal="center"/>
    </xf>
    <xf numFmtId="0" fontId="34" fillId="59" borderId="10" xfId="0" applyFont="1" applyFill="1" applyBorder="1" applyAlignment="1">
      <alignment vertical="center"/>
    </xf>
    <xf numFmtId="0" fontId="35" fillId="97" borderId="10" xfId="0" applyFont="1" applyFill="1" applyBorder="1" applyAlignment="1">
      <alignment horizontal="center" vertical="center" wrapText="1"/>
    </xf>
    <xf numFmtId="0" fontId="35" fillId="47" borderId="10" xfId="0" applyFont="1" applyFill="1" applyBorder="1" applyAlignment="1">
      <alignment horizontal="center" vertical="center" wrapText="1"/>
    </xf>
    <xf numFmtId="0" fontId="35" fillId="98" borderId="10" xfId="0" applyFont="1" applyFill="1" applyBorder="1" applyAlignment="1">
      <alignment horizontal="center" vertical="center" wrapText="1"/>
    </xf>
    <xf numFmtId="0" fontId="35" fillId="99" borderId="10" xfId="0" applyFont="1" applyFill="1" applyBorder="1" applyAlignment="1">
      <alignment horizontal="center" vertical="center" wrapText="1"/>
    </xf>
    <xf numFmtId="0" fontId="35" fillId="51" borderId="10" xfId="0" applyFont="1" applyFill="1" applyBorder="1" applyAlignment="1">
      <alignment horizontal="center" vertical="center" wrapText="1"/>
    </xf>
    <xf numFmtId="0" fontId="35" fillId="100" borderId="10" xfId="0" applyFont="1" applyFill="1" applyBorder="1" applyAlignment="1">
      <alignment horizontal="center" vertical="center" wrapText="1"/>
    </xf>
    <xf numFmtId="0" fontId="35" fillId="53" borderId="10" xfId="0" applyFont="1" applyFill="1" applyBorder="1" applyAlignment="1">
      <alignment horizontal="center" vertical="center" wrapText="1"/>
    </xf>
    <xf numFmtId="0" fontId="34" fillId="85" borderId="10" xfId="0" applyFont="1" applyFill="1" applyBorder="1" applyAlignment="1">
      <alignment vertical="center"/>
    </xf>
    <xf numFmtId="0" fontId="28" fillId="82" borderId="10" xfId="32" applyFont="1" applyFill="1" applyBorder="1" applyAlignment="1">
      <alignment vertical="center"/>
    </xf>
    <xf numFmtId="0" fontId="34" fillId="101" borderId="10" xfId="0" applyFont="1" applyFill="1" applyBorder="1" applyAlignment="1">
      <alignment vertical="center"/>
    </xf>
    <xf numFmtId="0" fontId="35" fillId="89" borderId="10" xfId="0" applyFont="1" applyFill="1" applyBorder="1" applyAlignment="1">
      <alignment horizontal="center" vertical="center" wrapText="1"/>
    </xf>
    <xf numFmtId="0" fontId="35" fillId="96" borderId="10" xfId="0" applyFont="1" applyFill="1" applyBorder="1" applyAlignment="1">
      <alignment horizontal="center" vertical="center" wrapText="1"/>
    </xf>
    <xf numFmtId="0" fontId="35" fillId="61" borderId="10" xfId="0" applyFont="1" applyFill="1" applyBorder="1" applyAlignment="1">
      <alignment horizontal="center" vertical="center" wrapText="1"/>
    </xf>
    <xf numFmtId="0" fontId="35" fillId="93" borderId="10" xfId="0" applyFont="1" applyFill="1" applyBorder="1" applyAlignment="1">
      <alignment horizontal="center" vertical="center" wrapText="1"/>
    </xf>
    <xf numFmtId="0" fontId="35" fillId="52" borderId="10" xfId="0" applyFont="1" applyFill="1" applyBorder="1" applyAlignment="1">
      <alignment horizontal="center" vertical="center" wrapText="1"/>
    </xf>
    <xf numFmtId="0" fontId="35" fillId="77" borderId="10" xfId="0" applyFont="1" applyFill="1" applyBorder="1" applyAlignment="1">
      <alignment horizontal="center" vertical="center" wrapText="1"/>
    </xf>
    <xf numFmtId="0" fontId="22" fillId="35" borderId="104" xfId="0" applyFont="1" applyFill="1" applyBorder="1" applyAlignment="1">
      <alignment wrapText="1"/>
    </xf>
    <xf numFmtId="0" fontId="22" fillId="35" borderId="33" xfId="0" applyFont="1" applyFill="1" applyBorder="1" applyAlignment="1">
      <alignment wrapText="1"/>
    </xf>
    <xf numFmtId="171" fontId="7" fillId="0" borderId="224" xfId="0" applyNumberFormat="1" applyFont="1" applyBorder="1" applyAlignment="1" applyProtection="1">
      <alignment horizontal="left" vertical="center" wrapText="1"/>
      <protection locked="0"/>
    </xf>
    <xf numFmtId="0" fontId="7" fillId="102" borderId="273" xfId="0" applyFont="1" applyFill="1" applyBorder="1" applyAlignment="1">
      <alignment vertical="center"/>
    </xf>
    <xf numFmtId="0" fontId="180" fillId="102" borderId="274" xfId="0" applyFont="1" applyFill="1" applyBorder="1" applyAlignment="1">
      <alignment horizontal="centerContinuous" vertical="center"/>
    </xf>
    <xf numFmtId="0" fontId="7" fillId="102" borderId="275" xfId="0" applyFont="1" applyFill="1" applyBorder="1" applyAlignment="1">
      <alignment vertical="center"/>
    </xf>
    <xf numFmtId="0" fontId="7" fillId="102" borderId="278" xfId="0" applyFont="1" applyFill="1" applyBorder="1" applyAlignment="1">
      <alignment vertical="center"/>
    </xf>
    <xf numFmtId="0" fontId="7" fillId="102" borderId="254" xfId="0" applyFont="1" applyFill="1" applyBorder="1" applyAlignment="1" applyProtection="1">
      <alignment vertical="center"/>
      <protection locked="0"/>
    </xf>
    <xf numFmtId="0" fontId="7" fillId="102" borderId="279" xfId="0" applyFont="1" applyFill="1" applyBorder="1" applyAlignment="1">
      <alignment vertical="center"/>
    </xf>
    <xf numFmtId="0" fontId="7" fillId="102" borderId="264" xfId="0" applyFont="1" applyFill="1" applyBorder="1" applyAlignment="1">
      <alignment vertical="center"/>
    </xf>
    <xf numFmtId="0" fontId="7" fillId="102" borderId="264" xfId="0" applyFont="1" applyFill="1" applyBorder="1" applyAlignment="1" applyProtection="1">
      <alignment vertical="center"/>
      <protection locked="0"/>
    </xf>
    <xf numFmtId="0" fontId="7" fillId="102" borderId="266" xfId="0" applyFont="1" applyFill="1" applyBorder="1" applyAlignment="1" applyProtection="1">
      <alignment vertical="center"/>
      <protection locked="0"/>
    </xf>
    <xf numFmtId="0" fontId="7" fillId="102" borderId="267" xfId="0" applyFont="1" applyFill="1" applyBorder="1" applyAlignment="1" applyProtection="1">
      <alignment vertical="center"/>
      <protection locked="0"/>
    </xf>
    <xf numFmtId="0" fontId="7" fillId="102" borderId="268" xfId="0" applyFont="1" applyFill="1" applyBorder="1" applyAlignment="1">
      <alignment vertical="center"/>
    </xf>
    <xf numFmtId="0" fontId="7" fillId="102" borderId="265" xfId="0" applyFont="1" applyFill="1" applyBorder="1" applyAlignment="1">
      <alignment vertical="center"/>
    </xf>
    <xf numFmtId="0" fontId="7" fillId="102" borderId="0" xfId="0" applyFont="1" applyFill="1" applyAlignment="1">
      <alignment vertical="center"/>
    </xf>
    <xf numFmtId="0" fontId="7" fillId="40" borderId="70" xfId="0" applyFont="1" applyFill="1" applyBorder="1" applyAlignment="1">
      <alignment horizontal="center" vertical="center" wrapText="1"/>
    </xf>
    <xf numFmtId="0" fontId="88" fillId="0" borderId="0" xfId="0" applyFont="1" applyAlignment="1">
      <alignment vertical="center"/>
    </xf>
    <xf numFmtId="0" fontId="88" fillId="0" borderId="0" xfId="0" applyFont="1" applyAlignment="1">
      <alignment horizontal="centerContinuous"/>
    </xf>
    <xf numFmtId="0" fontId="112" fillId="0" borderId="0" xfId="0" applyFont="1"/>
    <xf numFmtId="0" fontId="69" fillId="0" borderId="0" xfId="32" applyFont="1" applyAlignment="1">
      <alignment vertical="center"/>
    </xf>
    <xf numFmtId="0" fontId="69" fillId="0" borderId="0" xfId="32" applyFont="1" applyAlignment="1">
      <alignment horizontal="center" vertical="center"/>
    </xf>
    <xf numFmtId="0" fontId="112" fillId="0" borderId="0" xfId="0" applyFont="1" applyAlignment="1">
      <alignment vertical="center" wrapText="1"/>
    </xf>
    <xf numFmtId="0" fontId="85" fillId="0" borderId="0" xfId="0" applyFont="1" applyAlignment="1">
      <alignment vertical="center" wrapText="1"/>
    </xf>
    <xf numFmtId="0" fontId="69" fillId="0" borderId="0" xfId="0" applyFont="1" applyAlignment="1">
      <alignment horizontal="center" vertical="center" wrapText="1"/>
    </xf>
    <xf numFmtId="0" fontId="112" fillId="0" borderId="0" xfId="0" applyFont="1" applyAlignment="1">
      <alignment horizontal="center" vertical="center" wrapText="1"/>
    </xf>
    <xf numFmtId="0" fontId="69" fillId="0" borderId="0" xfId="0" applyFont="1" applyAlignment="1">
      <alignment vertical="center" wrapText="1"/>
    </xf>
    <xf numFmtId="0" fontId="69" fillId="0" borderId="0" xfId="0" applyFont="1"/>
    <xf numFmtId="0" fontId="112" fillId="0" borderId="0" xfId="32" applyFont="1" applyAlignment="1">
      <alignment horizontal="center" vertical="center"/>
    </xf>
    <xf numFmtId="0" fontId="186" fillId="0" borderId="0" xfId="0" applyFont="1" applyAlignment="1">
      <alignment horizontal="center"/>
    </xf>
    <xf numFmtId="0" fontId="7" fillId="39" borderId="15" xfId="0" applyFont="1" applyFill="1" applyBorder="1" applyAlignment="1" applyProtection="1">
      <alignment horizontal="center" vertical="center"/>
      <protection locked="0"/>
    </xf>
    <xf numFmtId="20" fontId="7" fillId="39" borderId="15" xfId="0" applyNumberFormat="1" applyFont="1" applyFill="1" applyBorder="1" applyAlignment="1" applyProtection="1">
      <alignment horizontal="center" vertical="center"/>
      <protection locked="0"/>
    </xf>
    <xf numFmtId="0" fontId="7" fillId="39" borderId="120" xfId="0" applyFont="1" applyFill="1" applyBorder="1" applyAlignment="1" applyProtection="1">
      <alignment horizontal="center" vertical="center"/>
      <protection locked="0"/>
    </xf>
    <xf numFmtId="0" fontId="7" fillId="39" borderId="16" xfId="0" applyFont="1" applyFill="1" applyBorder="1" applyAlignment="1">
      <alignment horizontal="center" vertical="center" wrapText="1"/>
    </xf>
    <xf numFmtId="0" fontId="7" fillId="39" borderId="16" xfId="0" applyFont="1" applyFill="1" applyBorder="1" applyAlignment="1" applyProtection="1">
      <alignment horizontal="center" vertical="center" wrapText="1"/>
      <protection locked="0"/>
    </xf>
    <xf numFmtId="0" fontId="7" fillId="39" borderId="40" xfId="0" applyFont="1" applyFill="1" applyBorder="1" applyAlignment="1">
      <alignment horizontal="right" vertical="center" wrapText="1"/>
    </xf>
    <xf numFmtId="0" fontId="7" fillId="39" borderId="63" xfId="0" applyFont="1" applyFill="1" applyBorder="1" applyAlignment="1">
      <alignment horizontal="center" vertical="center" wrapText="1"/>
    </xf>
    <xf numFmtId="0" fontId="7" fillId="39" borderId="120" xfId="0" applyFont="1" applyFill="1" applyBorder="1" applyAlignment="1">
      <alignment horizontal="left" vertical="center" wrapText="1"/>
    </xf>
    <xf numFmtId="0" fontId="7" fillId="39" borderId="17" xfId="0" applyFont="1" applyFill="1" applyBorder="1" applyAlignment="1" applyProtection="1">
      <alignment horizontal="left" vertical="center" wrapText="1"/>
      <protection locked="0"/>
    </xf>
    <xf numFmtId="14" fontId="157" fillId="0" borderId="0" xfId="32" applyNumberFormat="1" applyFont="1" applyAlignment="1">
      <alignment horizontal="centerContinuous" vertical="center"/>
    </xf>
    <xf numFmtId="0" fontId="97" fillId="0" borderId="0" xfId="0" applyFont="1" applyAlignment="1" applyProtection="1">
      <alignment horizontal="right"/>
      <protection locked="0"/>
    </xf>
    <xf numFmtId="0" fontId="118" fillId="0" borderId="0" xfId="0" applyFont="1" applyAlignment="1">
      <alignment horizontal="centerContinuous"/>
    </xf>
    <xf numFmtId="0" fontId="7" fillId="0" borderId="0" xfId="0" applyFont="1" applyAlignment="1">
      <alignment horizontal="center" vertical="center" wrapText="1"/>
    </xf>
    <xf numFmtId="0" fontId="7" fillId="0" borderId="0" xfId="0" applyFont="1" applyAlignment="1">
      <alignment vertical="center" wrapText="1"/>
    </xf>
    <xf numFmtId="0" fontId="22" fillId="0" borderId="0" xfId="32" applyFont="1" applyAlignment="1">
      <alignment horizontal="centerContinuous" vertical="center"/>
    </xf>
    <xf numFmtId="0" fontId="187" fillId="0" borderId="0" xfId="32" applyFont="1" applyAlignment="1">
      <alignment horizontal="centerContinuous" vertical="center" wrapText="1"/>
    </xf>
    <xf numFmtId="0" fontId="187" fillId="0" borderId="0" xfId="32" applyFont="1" applyAlignment="1">
      <alignment vertical="center"/>
    </xf>
    <xf numFmtId="0" fontId="187" fillId="0" borderId="0" xfId="32" applyFont="1" applyAlignment="1">
      <alignment horizontal="center" vertical="center"/>
    </xf>
    <xf numFmtId="0" fontId="187" fillId="0" borderId="0" xfId="32" applyFont="1" applyAlignment="1">
      <alignment horizontal="centerContinuous" vertical="center"/>
    </xf>
    <xf numFmtId="0" fontId="187" fillId="0" borderId="283" xfId="32" applyFont="1" applyBorder="1" applyAlignment="1">
      <alignment horizontal="centerContinuous" vertical="center"/>
    </xf>
    <xf numFmtId="0" fontId="187" fillId="0" borderId="283" xfId="32" applyFont="1" applyBorder="1" applyAlignment="1">
      <alignment vertical="center"/>
    </xf>
    <xf numFmtId="0" fontId="187" fillId="0" borderId="284" xfId="32" applyFont="1" applyBorder="1" applyAlignment="1">
      <alignment vertical="center"/>
    </xf>
    <xf numFmtId="0" fontId="187" fillId="0" borderId="285" xfId="32" applyFont="1" applyBorder="1" applyAlignment="1">
      <alignment vertical="center"/>
    </xf>
    <xf numFmtId="0" fontId="187" fillId="0" borderId="286" xfId="32" applyFont="1" applyBorder="1" applyAlignment="1">
      <alignment horizontal="centerContinuous" vertical="center"/>
    </xf>
    <xf numFmtId="0" fontId="187" fillId="0" borderId="287" xfId="32" applyFont="1" applyBorder="1" applyAlignment="1">
      <alignment horizontal="centerContinuous" vertical="center"/>
    </xf>
    <xf numFmtId="0" fontId="187" fillId="0" borderId="288" xfId="32" applyFont="1" applyBorder="1" applyAlignment="1">
      <alignment horizontal="centerContinuous" vertical="center"/>
    </xf>
    <xf numFmtId="0" fontId="187" fillId="0" borderId="289" xfId="32" applyFont="1" applyBorder="1" applyAlignment="1">
      <alignment vertical="center"/>
    </xf>
    <xf numFmtId="0" fontId="187" fillId="0" borderId="289" xfId="32" applyFont="1" applyBorder="1" applyAlignment="1">
      <alignment horizontal="center" vertical="center"/>
    </xf>
    <xf numFmtId="0" fontId="187" fillId="0" borderId="290" xfId="32" applyFont="1" applyBorder="1" applyAlignment="1">
      <alignment vertical="center"/>
    </xf>
    <xf numFmtId="16" fontId="187" fillId="0" borderId="286" xfId="32" applyNumberFormat="1" applyFont="1" applyBorder="1" applyAlignment="1">
      <alignment horizontal="centerContinuous" vertical="center"/>
    </xf>
    <xf numFmtId="0" fontId="7" fillId="57" borderId="43" xfId="0" applyFont="1" applyFill="1" applyBorder="1" applyAlignment="1">
      <alignment vertical="center"/>
    </xf>
    <xf numFmtId="0" fontId="22" fillId="57" borderId="47" xfId="0" applyFont="1" applyFill="1" applyBorder="1" applyAlignment="1">
      <alignment horizontal="right" vertical="center"/>
    </xf>
    <xf numFmtId="0" fontId="22" fillId="57" borderId="47" xfId="0" applyFont="1" applyFill="1" applyBorder="1" applyAlignment="1">
      <alignment horizontal="center" vertical="center"/>
    </xf>
    <xf numFmtId="0" fontId="22" fillId="57" borderId="47" xfId="0" applyFont="1" applyFill="1" applyBorder="1" applyAlignment="1">
      <alignment horizontal="left" vertical="center"/>
    </xf>
    <xf numFmtId="0" fontId="22" fillId="57" borderId="9" xfId="0" applyFont="1" applyFill="1" applyBorder="1" applyAlignment="1" applyProtection="1">
      <alignment horizontal="left" vertical="center"/>
      <protection locked="0"/>
    </xf>
    <xf numFmtId="0" fontId="7" fillId="54" borderId="43" xfId="0" applyFont="1" applyFill="1" applyBorder="1" applyAlignment="1">
      <alignment vertical="center"/>
    </xf>
    <xf numFmtId="0" fontId="22" fillId="54" borderId="47" xfId="0" applyFont="1" applyFill="1" applyBorder="1" applyAlignment="1">
      <alignment horizontal="right" vertical="center"/>
    </xf>
    <xf numFmtId="0" fontId="22" fillId="54" borderId="47" xfId="0" applyFont="1" applyFill="1" applyBorder="1" applyAlignment="1">
      <alignment horizontal="center" vertical="center"/>
    </xf>
    <xf numFmtId="0" fontId="22" fillId="54" borderId="47" xfId="0" applyFont="1" applyFill="1" applyBorder="1" applyAlignment="1">
      <alignment horizontal="left" vertical="center"/>
    </xf>
    <xf numFmtId="0" fontId="22" fillId="54" borderId="9" xfId="0" applyFont="1" applyFill="1" applyBorder="1" applyAlignment="1" applyProtection="1">
      <alignment horizontal="left" vertical="center"/>
      <protection locked="0"/>
    </xf>
    <xf numFmtId="0" fontId="133" fillId="60" borderId="43" xfId="0" applyFont="1" applyFill="1" applyBorder="1" applyAlignment="1">
      <alignment horizontal="right" vertical="center"/>
    </xf>
    <xf numFmtId="0" fontId="134" fillId="60" borderId="47" xfId="0" applyFont="1" applyFill="1" applyBorder="1" applyAlignment="1">
      <alignment horizontal="left" vertical="center"/>
    </xf>
    <xf numFmtId="0" fontId="51" fillId="60" borderId="47" xfId="0" applyFont="1" applyFill="1" applyBorder="1" applyAlignment="1">
      <alignment horizontal="left" vertical="center"/>
    </xf>
    <xf numFmtId="20" fontId="41" fillId="60" borderId="47" xfId="0" applyNumberFormat="1" applyFont="1" applyFill="1" applyBorder="1" applyAlignment="1">
      <alignment horizontal="center" vertical="center"/>
    </xf>
    <xf numFmtId="0" fontId="67" fillId="60" borderId="9" xfId="0" applyFont="1" applyFill="1" applyBorder="1" applyAlignment="1">
      <alignment vertical="center"/>
    </xf>
    <xf numFmtId="0" fontId="7" fillId="0" borderId="13" xfId="44" quotePrefix="1" applyBorder="1" applyAlignment="1">
      <alignment vertical="top" wrapText="1"/>
    </xf>
    <xf numFmtId="0" fontId="7" fillId="0" borderId="13" xfId="44" applyBorder="1" applyAlignment="1">
      <alignment vertical="top" wrapText="1"/>
    </xf>
    <xf numFmtId="0" fontId="7" fillId="28" borderId="13" xfId="44" applyFill="1" applyBorder="1" applyAlignment="1">
      <alignment vertical="top" wrapText="1"/>
    </xf>
    <xf numFmtId="0" fontId="7" fillId="0" borderId="104" xfId="44" applyBorder="1" applyAlignment="1">
      <alignment vertical="top" wrapText="1"/>
    </xf>
    <xf numFmtId="0" fontId="7" fillId="0" borderId="122" xfId="44" applyBorder="1" applyAlignment="1">
      <alignment vertical="top" wrapText="1"/>
    </xf>
    <xf numFmtId="0" fontId="7" fillId="0" borderId="33" xfId="44" applyBorder="1" applyAlignment="1">
      <alignment vertical="top" wrapText="1"/>
    </xf>
    <xf numFmtId="0" fontId="7" fillId="53" borderId="71" xfId="0" applyFont="1" applyFill="1" applyBorder="1" applyAlignment="1">
      <alignment vertical="center"/>
    </xf>
    <xf numFmtId="0" fontId="40" fillId="53" borderId="0" xfId="0" applyFont="1" applyFill="1" applyAlignment="1">
      <alignment vertical="center"/>
    </xf>
    <xf numFmtId="0" fontId="7" fillId="62" borderId="87" xfId="0" applyFont="1" applyFill="1" applyBorder="1" applyAlignment="1">
      <alignment horizontal="left"/>
    </xf>
    <xf numFmtId="0" fontId="38" fillId="47" borderId="96" xfId="0" applyFont="1" applyFill="1" applyBorder="1" applyProtection="1">
      <protection locked="0"/>
    </xf>
    <xf numFmtId="164" fontId="7" fillId="0" borderId="174" xfId="0" applyNumberFormat="1" applyFont="1" applyBorder="1"/>
    <xf numFmtId="164" fontId="7" fillId="0" borderId="173" xfId="0" applyNumberFormat="1" applyFont="1" applyBorder="1"/>
    <xf numFmtId="164" fontId="7" fillId="0" borderId="173" xfId="0" applyNumberFormat="1" applyFont="1" applyBorder="1" applyAlignment="1">
      <alignment horizontal="left"/>
    </xf>
    <xf numFmtId="164" fontId="7" fillId="0" borderId="173" xfId="0" applyNumberFormat="1" applyFont="1" applyBorder="1" applyAlignment="1">
      <alignment horizontal="center"/>
    </xf>
    <xf numFmtId="0" fontId="0" fillId="25" borderId="291" xfId="0" applyFill="1" applyBorder="1" applyAlignment="1">
      <alignment horizontal="right" vertical="center"/>
    </xf>
    <xf numFmtId="0" fontId="24" fillId="0" borderId="292" xfId="0" applyFont="1" applyBorder="1" applyAlignment="1" applyProtection="1">
      <alignment horizontal="center" vertical="center"/>
      <protection locked="0"/>
    </xf>
    <xf numFmtId="0" fontId="0" fillId="26" borderId="292" xfId="0" applyFill="1" applyBorder="1" applyAlignment="1">
      <alignment horizontal="center" vertical="center"/>
    </xf>
    <xf numFmtId="0" fontId="0" fillId="25" borderId="293" xfId="0" applyFill="1" applyBorder="1" applyAlignment="1">
      <alignment horizontal="left" vertical="center"/>
    </xf>
    <xf numFmtId="0" fontId="0" fillId="25" borderId="294" xfId="0" applyFill="1" applyBorder="1" applyAlignment="1">
      <alignment horizontal="right" vertical="center"/>
    </xf>
    <xf numFmtId="0" fontId="24" fillId="0" borderId="122" xfId="0" applyFont="1" applyBorder="1" applyAlignment="1" applyProtection="1">
      <alignment horizontal="center" vertical="center"/>
      <protection locked="0"/>
    </xf>
    <xf numFmtId="0" fontId="0" fillId="26" borderId="122" xfId="0" applyFill="1" applyBorder="1" applyAlignment="1">
      <alignment horizontal="center" vertical="center"/>
    </xf>
    <xf numFmtId="0" fontId="0" fillId="25" borderId="295" xfId="0" applyFill="1" applyBorder="1" applyAlignment="1">
      <alignment horizontal="left" vertical="center"/>
    </xf>
    <xf numFmtId="0" fontId="7" fillId="25" borderId="27" xfId="0" applyFont="1" applyFill="1" applyBorder="1" applyAlignment="1">
      <alignment horizontal="right"/>
    </xf>
    <xf numFmtId="0" fontId="32" fillId="48" borderId="296" xfId="0" applyFont="1" applyFill="1" applyBorder="1" applyAlignment="1">
      <alignment horizontal="center" wrapText="1"/>
    </xf>
    <xf numFmtId="0" fontId="137" fillId="61" borderId="298" xfId="0" applyFont="1" applyFill="1" applyBorder="1" applyAlignment="1" applyProtection="1">
      <alignment horizontal="center" vertical="center"/>
      <protection locked="0"/>
    </xf>
    <xf numFmtId="0" fontId="7" fillId="64" borderId="74" xfId="0" quotePrefix="1" applyFont="1" applyFill="1" applyBorder="1" applyAlignment="1" applyProtection="1">
      <alignment horizontal="center" vertical="center"/>
      <protection locked="0"/>
    </xf>
    <xf numFmtId="49" fontId="43" fillId="40" borderId="96" xfId="0" quotePrefix="1" applyNumberFormat="1" applyFont="1" applyFill="1" applyBorder="1" applyAlignment="1">
      <alignment horizontal="center" vertical="center"/>
    </xf>
    <xf numFmtId="0" fontId="25" fillId="53" borderId="300" xfId="0" applyFont="1" applyFill="1" applyBorder="1" applyAlignment="1">
      <alignment horizontal="center"/>
    </xf>
    <xf numFmtId="0" fontId="131" fillId="61" borderId="96" xfId="0" applyFont="1" applyFill="1" applyBorder="1" applyAlignment="1" applyProtection="1">
      <alignment horizontal="center" vertical="center"/>
      <protection locked="0"/>
    </xf>
    <xf numFmtId="0" fontId="7" fillId="103" borderId="74" xfId="0" applyFont="1" applyFill="1" applyBorder="1" applyAlignment="1" applyProtection="1">
      <alignment horizontal="center" vertical="center"/>
      <protection locked="0"/>
    </xf>
    <xf numFmtId="0" fontId="148" fillId="103" borderId="154" xfId="0" quotePrefix="1" applyFont="1" applyFill="1" applyBorder="1" applyAlignment="1">
      <alignment vertical="top" textRotation="90"/>
    </xf>
    <xf numFmtId="0" fontId="40" fillId="0" borderId="127" xfId="0" applyFont="1" applyBorder="1" applyAlignment="1" applyProtection="1">
      <alignment vertical="center"/>
      <protection locked="0"/>
    </xf>
    <xf numFmtId="0" fontId="167" fillId="79" borderId="120" xfId="0" applyFont="1" applyFill="1" applyBorder="1" applyAlignment="1" applyProtection="1">
      <alignment horizontal="center" vertical="center"/>
      <protection locked="0"/>
    </xf>
    <xf numFmtId="0" fontId="7" fillId="51" borderId="301" xfId="0" applyFont="1" applyFill="1" applyBorder="1" applyAlignment="1">
      <alignment horizontal="center"/>
    </xf>
    <xf numFmtId="0" fontId="22" fillId="104" borderId="33" xfId="0" applyFont="1" applyFill="1" applyBorder="1" applyAlignment="1">
      <alignment horizontal="center"/>
    </xf>
    <xf numFmtId="0" fontId="22" fillId="48" borderId="13" xfId="0" applyFont="1" applyFill="1" applyBorder="1" applyAlignment="1">
      <alignment horizontal="center"/>
    </xf>
    <xf numFmtId="0" fontId="22" fillId="104" borderId="13" xfId="0" applyFont="1" applyFill="1" applyBorder="1" applyAlignment="1">
      <alignment horizontal="center"/>
    </xf>
    <xf numFmtId="0" fontId="188" fillId="40" borderId="0" xfId="0" applyFont="1" applyFill="1" applyAlignment="1">
      <alignment horizontal="center"/>
    </xf>
    <xf numFmtId="0" fontId="7" fillId="105" borderId="74" xfId="0" applyFont="1" applyFill="1" applyBorder="1" applyAlignment="1" applyProtection="1">
      <alignment horizontal="center" vertical="center"/>
      <protection locked="0"/>
    </xf>
    <xf numFmtId="0" fontId="148" fillId="105" borderId="297" xfId="0" quotePrefix="1" applyFont="1" applyFill="1" applyBorder="1" applyAlignment="1">
      <alignment horizontal="left" vertical="top" textRotation="90"/>
    </xf>
    <xf numFmtId="0" fontId="189" fillId="79" borderId="13" xfId="0" applyFont="1" applyFill="1" applyBorder="1" applyAlignment="1">
      <alignment horizontal="center"/>
    </xf>
    <xf numFmtId="20" fontId="7" fillId="44" borderId="93" xfId="0" applyNumberFormat="1" applyFont="1" applyFill="1" applyBorder="1" applyAlignment="1">
      <alignment horizontal="center"/>
    </xf>
    <xf numFmtId="0" fontId="25" fillId="0" borderId="43" xfId="0" applyFont="1" applyBorder="1" applyAlignment="1">
      <alignment horizontal="center"/>
    </xf>
    <xf numFmtId="0" fontId="7" fillId="60" borderId="104" xfId="0" applyFont="1" applyFill="1" applyBorder="1" applyAlignment="1">
      <alignment horizontal="center" vertical="top"/>
    </xf>
    <xf numFmtId="0" fontId="7" fillId="60" borderId="33" xfId="0" applyFont="1" applyFill="1" applyBorder="1" applyAlignment="1">
      <alignment horizontal="center" vertical="top"/>
    </xf>
    <xf numFmtId="0" fontId="76" fillId="40" borderId="0" xfId="0" applyFont="1" applyFill="1" applyAlignment="1">
      <alignment horizontal="center" vertical="center" wrapText="1"/>
    </xf>
    <xf numFmtId="0" fontId="74" fillId="40" borderId="0" xfId="0" applyFont="1" applyFill="1" applyAlignment="1">
      <alignment horizontal="center" vertical="center" wrapText="1"/>
    </xf>
    <xf numFmtId="0" fontId="74" fillId="40" borderId="0" xfId="0" applyFont="1" applyFill="1" applyAlignment="1">
      <alignment horizontal="center" vertical="center"/>
    </xf>
    <xf numFmtId="0" fontId="75" fillId="25" borderId="85" xfId="0" applyFont="1" applyFill="1" applyBorder="1" applyAlignment="1" applyProtection="1">
      <alignment horizontal="center" vertical="center" wrapText="1"/>
      <protection locked="0"/>
    </xf>
    <xf numFmtId="0" fontId="75" fillId="25" borderId="0" xfId="0" applyFont="1" applyFill="1" applyAlignment="1" applyProtection="1">
      <alignment horizontal="center" vertical="center" wrapText="1"/>
      <protection locked="0"/>
    </xf>
    <xf numFmtId="177" fontId="75" fillId="25" borderId="85" xfId="0" applyNumberFormat="1" applyFont="1" applyFill="1" applyBorder="1" applyAlignment="1" applyProtection="1">
      <alignment horizontal="center" vertical="center" wrapText="1"/>
      <protection locked="0"/>
    </xf>
    <xf numFmtId="177" fontId="75" fillId="25" borderId="0" xfId="0" applyNumberFormat="1" applyFont="1" applyFill="1" applyAlignment="1" applyProtection="1">
      <alignment horizontal="center" vertical="center" wrapText="1"/>
      <protection locked="0"/>
    </xf>
    <xf numFmtId="0" fontId="22" fillId="40" borderId="129" xfId="0" quotePrefix="1" applyFont="1" applyFill="1" applyBorder="1" applyAlignment="1">
      <alignment horizontal="center" vertical="center" wrapText="1"/>
    </xf>
    <xf numFmtId="0" fontId="22" fillId="40" borderId="131" xfId="0" quotePrefix="1" applyFont="1" applyFill="1" applyBorder="1" applyAlignment="1">
      <alignment horizontal="center" vertical="center" wrapText="1"/>
    </xf>
    <xf numFmtId="0" fontId="7" fillId="40" borderId="79" xfId="0" quotePrefix="1" applyFont="1" applyFill="1" applyBorder="1" applyAlignment="1">
      <alignment horizontal="center" vertical="center"/>
    </xf>
    <xf numFmtId="0" fontId="7" fillId="40" borderId="130" xfId="0" quotePrefix="1" applyFont="1" applyFill="1" applyBorder="1" applyAlignment="1">
      <alignment horizontal="center" vertical="center"/>
    </xf>
    <xf numFmtId="0" fontId="7" fillId="40" borderId="87" xfId="0" quotePrefix="1" applyFont="1" applyFill="1" applyBorder="1" applyAlignment="1">
      <alignment horizontal="center" vertical="center"/>
    </xf>
    <xf numFmtId="0" fontId="22" fillId="40" borderId="154" xfId="0" quotePrefix="1" applyFont="1" applyFill="1" applyBorder="1" applyAlignment="1">
      <alignment horizontal="center" vertical="center"/>
    </xf>
    <xf numFmtId="0" fontId="22" fillId="40" borderId="71" xfId="0" quotePrefix="1" applyFont="1" applyFill="1" applyBorder="1" applyAlignment="1">
      <alignment horizontal="center" vertical="center"/>
    </xf>
    <xf numFmtId="0" fontId="22" fillId="40" borderId="124" xfId="0" quotePrefix="1" applyFont="1" applyFill="1" applyBorder="1" applyAlignment="1">
      <alignment horizontal="center" vertical="center"/>
    </xf>
    <xf numFmtId="0" fontId="7" fillId="40" borderId="79" xfId="0" applyFont="1" applyFill="1" applyBorder="1" applyAlignment="1">
      <alignment horizontal="center" vertical="center"/>
    </xf>
    <xf numFmtId="0" fontId="7" fillId="40" borderId="130" xfId="0" applyFont="1" applyFill="1" applyBorder="1" applyAlignment="1">
      <alignment horizontal="center" vertical="center"/>
    </xf>
    <xf numFmtId="0" fontId="7" fillId="40" borderId="87" xfId="0" applyFont="1" applyFill="1" applyBorder="1" applyAlignment="1">
      <alignment horizontal="center" vertical="center"/>
    </xf>
    <xf numFmtId="0" fontId="7" fillId="40" borderId="129" xfId="0" quotePrefix="1" applyFont="1" applyFill="1" applyBorder="1" applyAlignment="1">
      <alignment horizontal="center" vertical="center"/>
    </xf>
    <xf numFmtId="0" fontId="7" fillId="40" borderId="131" xfId="0" quotePrefix="1" applyFont="1" applyFill="1" applyBorder="1" applyAlignment="1">
      <alignment horizontal="center" vertical="center"/>
    </xf>
    <xf numFmtId="0" fontId="7" fillId="40" borderId="129" xfId="0" applyFont="1" applyFill="1" applyBorder="1" applyAlignment="1">
      <alignment horizontal="center" vertical="center"/>
    </xf>
    <xf numFmtId="0" fontId="7" fillId="40" borderId="131" xfId="0" applyFont="1" applyFill="1" applyBorder="1" applyAlignment="1">
      <alignment horizontal="center" vertical="center"/>
    </xf>
    <xf numFmtId="0" fontId="22" fillId="40" borderId="129" xfId="0" quotePrefix="1" applyFont="1" applyFill="1" applyBorder="1" applyAlignment="1">
      <alignment horizontal="center" vertical="center"/>
    </xf>
    <xf numFmtId="0" fontId="22" fillId="40" borderId="130" xfId="0" quotePrefix="1" applyFont="1" applyFill="1" applyBorder="1" applyAlignment="1">
      <alignment horizontal="center" vertical="center"/>
    </xf>
    <xf numFmtId="0" fontId="22" fillId="40" borderId="131" xfId="0" quotePrefix="1" applyFont="1" applyFill="1" applyBorder="1" applyAlignment="1">
      <alignment horizontal="center" vertical="center"/>
    </xf>
    <xf numFmtId="0" fontId="37" fillId="69" borderId="69" xfId="0" applyFont="1" applyFill="1" applyBorder="1" applyAlignment="1">
      <alignment horizontal="center"/>
    </xf>
    <xf numFmtId="0" fontId="37" fillId="69" borderId="68" xfId="0" applyFont="1" applyFill="1" applyBorder="1" applyAlignment="1">
      <alignment horizontal="center"/>
    </xf>
    <xf numFmtId="0" fontId="37" fillId="69" borderId="78" xfId="0" applyFont="1" applyFill="1" applyBorder="1" applyAlignment="1">
      <alignment horizontal="center"/>
    </xf>
    <xf numFmtId="0" fontId="170" fillId="0" borderId="68" xfId="0" applyFont="1" applyBorder="1" applyAlignment="1">
      <alignment horizontal="center"/>
    </xf>
    <xf numFmtId="0" fontId="45" fillId="53" borderId="69" xfId="0" applyFont="1" applyFill="1" applyBorder="1" applyAlignment="1">
      <alignment horizontal="center" vertical="center"/>
    </xf>
    <xf numFmtId="0" fontId="45" fillId="53" borderId="68" xfId="0" applyFont="1" applyFill="1" applyBorder="1" applyAlignment="1">
      <alignment horizontal="center" vertical="center"/>
    </xf>
    <xf numFmtId="0" fontId="45" fillId="53" borderId="78" xfId="0" applyFont="1" applyFill="1" applyBorder="1" applyAlignment="1">
      <alignment horizontal="center" vertical="center"/>
    </xf>
    <xf numFmtId="0" fontId="45" fillId="40" borderId="72" xfId="0" applyFont="1" applyFill="1" applyBorder="1" applyAlignment="1">
      <alignment horizontal="center"/>
    </xf>
    <xf numFmtId="0" fontId="45" fillId="40" borderId="71" xfId="0" applyFont="1" applyFill="1" applyBorder="1" applyAlignment="1">
      <alignment horizontal="center"/>
    </xf>
    <xf numFmtId="0" fontId="45" fillId="40" borderId="73" xfId="0" applyFont="1" applyFill="1" applyBorder="1" applyAlignment="1">
      <alignment horizontal="center"/>
    </xf>
    <xf numFmtId="0" fontId="170" fillId="0" borderId="0" xfId="0" applyFont="1" applyAlignment="1">
      <alignment horizontal="center"/>
    </xf>
    <xf numFmtId="0" fontId="37" fillId="47" borderId="72" xfId="0" quotePrefix="1" applyFont="1" applyFill="1" applyBorder="1" applyAlignment="1">
      <alignment horizontal="center" vertical="center" wrapText="1"/>
    </xf>
    <xf numFmtId="0" fontId="37" fillId="47" borderId="71" xfId="0" quotePrefix="1" applyFont="1" applyFill="1" applyBorder="1" applyAlignment="1">
      <alignment horizontal="center" vertical="center" wrapText="1"/>
    </xf>
    <xf numFmtId="0" fontId="37" fillId="47" borderId="296" xfId="0" quotePrefix="1" applyFont="1" applyFill="1" applyBorder="1" applyAlignment="1">
      <alignment horizontal="center" vertical="center" wrapText="1"/>
    </xf>
    <xf numFmtId="0" fontId="37" fillId="47" borderId="73" xfId="0" quotePrefix="1" applyFont="1" applyFill="1" applyBorder="1" applyAlignment="1">
      <alignment horizontal="center" vertical="center" wrapText="1"/>
    </xf>
    <xf numFmtId="0" fontId="120" fillId="44" borderId="129" xfId="0" applyFont="1" applyFill="1" applyBorder="1" applyAlignment="1">
      <alignment horizontal="center"/>
    </xf>
    <xf numFmtId="0" fontId="120" fillId="44" borderId="130" xfId="0" applyFont="1" applyFill="1" applyBorder="1" applyAlignment="1">
      <alignment horizontal="center"/>
    </xf>
    <xf numFmtId="0" fontId="120" fillId="44" borderId="131" xfId="0" applyFont="1" applyFill="1" applyBorder="1" applyAlignment="1">
      <alignment horizontal="center"/>
    </xf>
    <xf numFmtId="0" fontId="28" fillId="44" borderId="129" xfId="0" applyFont="1" applyFill="1" applyBorder="1" applyAlignment="1">
      <alignment horizontal="center" vertical="center"/>
    </xf>
    <xf numFmtId="0" fontId="28" fillId="44" borderId="130" xfId="0" applyFont="1" applyFill="1" applyBorder="1" applyAlignment="1">
      <alignment horizontal="center" vertical="center"/>
    </xf>
    <xf numFmtId="0" fontId="28" fillId="44" borderId="299" xfId="0" applyFont="1" applyFill="1" applyBorder="1" applyAlignment="1">
      <alignment horizontal="center" vertical="center"/>
    </xf>
    <xf numFmtId="0" fontId="28" fillId="44" borderId="131" xfId="0" applyFont="1" applyFill="1" applyBorder="1" applyAlignment="1">
      <alignment horizontal="center" vertical="center"/>
    </xf>
    <xf numFmtId="0" fontId="37" fillId="53" borderId="248" xfId="0" applyFont="1" applyFill="1" applyBorder="1" applyAlignment="1">
      <alignment horizontal="center"/>
    </xf>
    <xf numFmtId="0" fontId="37" fillId="53" borderId="249" xfId="0" applyFont="1" applyFill="1" applyBorder="1" applyAlignment="1">
      <alignment horizontal="center"/>
    </xf>
    <xf numFmtId="0" fontId="22" fillId="53" borderId="246" xfId="0" applyFont="1" applyFill="1" applyBorder="1" applyAlignment="1">
      <alignment horizontal="center"/>
    </xf>
    <xf numFmtId="0" fontId="22" fillId="53" borderId="247" xfId="0" applyFont="1" applyFill="1" applyBorder="1" applyAlignment="1">
      <alignment horizontal="center"/>
    </xf>
    <xf numFmtId="0" fontId="172" fillId="0" borderId="0" xfId="0" applyFont="1" applyAlignment="1">
      <alignment horizontal="center"/>
    </xf>
    <xf numFmtId="0" fontId="34" fillId="0" borderId="0" xfId="0" applyFont="1" applyAlignment="1">
      <alignment horizontal="center"/>
    </xf>
    <xf numFmtId="0" fontId="22" fillId="52" borderId="129" xfId="0" applyFont="1" applyFill="1" applyBorder="1" applyAlignment="1">
      <alignment horizontal="center"/>
    </xf>
    <xf numFmtId="0" fontId="22" fillId="52" borderId="130" xfId="0" applyFont="1" applyFill="1" applyBorder="1" applyAlignment="1">
      <alignment horizontal="center"/>
    </xf>
    <xf numFmtId="0" fontId="22" fillId="52" borderId="131" xfId="0" applyFont="1" applyFill="1" applyBorder="1" applyAlignment="1">
      <alignment horizontal="center"/>
    </xf>
    <xf numFmtId="0" fontId="28" fillId="47" borderId="154" xfId="0" quotePrefix="1" applyFont="1" applyFill="1" applyBorder="1" applyAlignment="1">
      <alignment horizontal="center" vertical="center" wrapText="1"/>
    </xf>
    <xf numFmtId="0" fontId="28" fillId="47" borderId="190" xfId="0" quotePrefix="1" applyFont="1" applyFill="1" applyBorder="1" applyAlignment="1">
      <alignment horizontal="center" vertical="center" wrapText="1"/>
    </xf>
    <xf numFmtId="0" fontId="28" fillId="47" borderId="191" xfId="0" quotePrefix="1" applyFont="1" applyFill="1" applyBorder="1" applyAlignment="1">
      <alignment horizontal="center" vertical="center" wrapText="1"/>
    </xf>
    <xf numFmtId="0" fontId="28" fillId="47" borderId="130" xfId="0" quotePrefix="1" applyFont="1" applyFill="1" applyBorder="1" applyAlignment="1">
      <alignment horizontal="center" vertical="center" wrapText="1"/>
    </xf>
    <xf numFmtId="0" fontId="28" fillId="47" borderId="123" xfId="0" applyFont="1" applyFill="1" applyBorder="1" applyAlignment="1">
      <alignment horizontal="center" vertical="center" wrapText="1"/>
    </xf>
    <xf numFmtId="0" fontId="28" fillId="47" borderId="142" xfId="0" quotePrefix="1" applyFont="1" applyFill="1" applyBorder="1" applyAlignment="1">
      <alignment horizontal="center" vertical="center" wrapText="1"/>
    </xf>
    <xf numFmtId="0" fontId="28" fillId="47" borderId="123" xfId="0" quotePrefix="1" applyFont="1" applyFill="1" applyBorder="1" applyAlignment="1">
      <alignment horizontal="center" vertical="center" wrapText="1"/>
    </xf>
    <xf numFmtId="0" fontId="28" fillId="47" borderId="124" xfId="0" quotePrefix="1" applyFont="1" applyFill="1" applyBorder="1" applyAlignment="1">
      <alignment horizontal="center" vertical="center" wrapText="1"/>
    </xf>
    <xf numFmtId="0" fontId="28" fillId="47" borderId="149" xfId="0" quotePrefix="1" applyFont="1" applyFill="1" applyBorder="1" applyAlignment="1">
      <alignment horizontal="center" vertical="center" wrapText="1"/>
    </xf>
    <xf numFmtId="0" fontId="28" fillId="47" borderId="176" xfId="0" quotePrefix="1" applyFont="1" applyFill="1" applyBorder="1" applyAlignment="1">
      <alignment horizontal="center" vertical="center" wrapText="1"/>
    </xf>
    <xf numFmtId="0" fontId="28" fillId="47" borderId="192" xfId="0" applyFont="1" applyFill="1" applyBorder="1" applyAlignment="1">
      <alignment horizontal="center" vertical="center" wrapText="1"/>
    </xf>
    <xf numFmtId="0" fontId="28" fillId="47" borderId="73" xfId="0" applyFont="1" applyFill="1" applyBorder="1" applyAlignment="1">
      <alignment horizontal="center" vertical="center" wrapText="1"/>
    </xf>
    <xf numFmtId="0" fontId="28" fillId="47" borderId="142" xfId="0" applyFont="1" applyFill="1" applyBorder="1" applyAlignment="1">
      <alignment horizontal="center" vertical="center" wrapText="1"/>
    </xf>
    <xf numFmtId="0" fontId="118" fillId="0" borderId="0" xfId="0" applyFont="1" applyAlignment="1">
      <alignment horizontal="center"/>
    </xf>
    <xf numFmtId="0" fontId="22" fillId="78" borderId="129" xfId="0" applyFont="1" applyFill="1" applyBorder="1" applyAlignment="1">
      <alignment horizontal="center"/>
    </xf>
    <xf numFmtId="0" fontId="22" fillId="78" borderId="130" xfId="0" applyFont="1" applyFill="1" applyBorder="1" applyAlignment="1">
      <alignment horizontal="center"/>
    </xf>
    <xf numFmtId="0" fontId="22" fillId="78" borderId="131" xfId="0" applyFont="1" applyFill="1" applyBorder="1" applyAlignment="1">
      <alignment horizontal="center"/>
    </xf>
    <xf numFmtId="0" fontId="28" fillId="75" borderId="154" xfId="0" quotePrefix="1" applyFont="1" applyFill="1" applyBorder="1" applyAlignment="1">
      <alignment horizontal="center" vertical="center" wrapText="1"/>
    </xf>
    <xf numFmtId="0" fontId="28" fillId="75" borderId="190" xfId="0" quotePrefix="1" applyFont="1" applyFill="1" applyBorder="1" applyAlignment="1">
      <alignment horizontal="center" vertical="center" wrapText="1"/>
    </xf>
    <xf numFmtId="0" fontId="28" fillId="75" borderId="191" xfId="0" quotePrefix="1" applyFont="1" applyFill="1" applyBorder="1" applyAlignment="1">
      <alignment horizontal="center" vertical="center" wrapText="1"/>
    </xf>
    <xf numFmtId="0" fontId="28" fillId="75" borderId="130" xfId="0" quotePrefix="1" applyFont="1" applyFill="1" applyBorder="1" applyAlignment="1">
      <alignment horizontal="center" vertical="center" wrapText="1"/>
    </xf>
    <xf numFmtId="0" fontId="28" fillId="75" borderId="176" xfId="0" quotePrefix="1" applyFont="1" applyFill="1" applyBorder="1" applyAlignment="1">
      <alignment horizontal="center" vertical="center" wrapText="1"/>
    </xf>
    <xf numFmtId="0" fontId="28" fillId="75" borderId="123" xfId="0" quotePrefix="1" applyFont="1" applyFill="1" applyBorder="1" applyAlignment="1">
      <alignment horizontal="center" vertical="center" wrapText="1"/>
    </xf>
    <xf numFmtId="0" fontId="28" fillId="75" borderId="142" xfId="0" quotePrefix="1" applyFont="1" applyFill="1" applyBorder="1" applyAlignment="1">
      <alignment horizontal="center" vertical="center" wrapText="1"/>
    </xf>
    <xf numFmtId="0" fontId="28" fillId="75" borderId="124" xfId="0" quotePrefix="1" applyFont="1" applyFill="1" applyBorder="1" applyAlignment="1">
      <alignment horizontal="center" vertical="center" wrapText="1"/>
    </xf>
    <xf numFmtId="0" fontId="28" fillId="75" borderId="149" xfId="0" quotePrefix="1" applyFont="1" applyFill="1" applyBorder="1" applyAlignment="1">
      <alignment horizontal="center" vertical="center" wrapText="1"/>
    </xf>
    <xf numFmtId="0" fontId="28" fillId="75" borderId="123" xfId="0" applyFont="1" applyFill="1" applyBorder="1" applyAlignment="1">
      <alignment horizontal="center" vertical="center" wrapText="1"/>
    </xf>
    <xf numFmtId="0" fontId="29" fillId="35" borderId="193" xfId="0" quotePrefix="1" applyFont="1" applyFill="1" applyBorder="1" applyAlignment="1" applyProtection="1">
      <alignment horizontal="center" vertical="center" wrapText="1"/>
      <protection locked="0"/>
    </xf>
    <xf numFmtId="0" fontId="29" fillId="35" borderId="194" xfId="0" quotePrefix="1" applyFont="1" applyFill="1" applyBorder="1" applyAlignment="1" applyProtection="1">
      <alignment horizontal="center" vertical="center" wrapText="1"/>
      <protection locked="0"/>
    </xf>
    <xf numFmtId="0" fontId="29" fillId="35" borderId="195" xfId="0" quotePrefix="1" applyFont="1" applyFill="1" applyBorder="1" applyAlignment="1" applyProtection="1">
      <alignment horizontal="center" vertical="center" wrapText="1"/>
      <protection locked="0"/>
    </xf>
    <xf numFmtId="0" fontId="30" fillId="35" borderId="193" xfId="0" quotePrefix="1" applyFont="1" applyFill="1" applyBorder="1" applyAlignment="1" applyProtection="1">
      <alignment horizontal="center" vertical="center" wrapText="1"/>
      <protection locked="0"/>
    </xf>
    <xf numFmtId="0" fontId="30" fillId="35" borderId="194" xfId="0" quotePrefix="1" applyFont="1" applyFill="1" applyBorder="1" applyAlignment="1" applyProtection="1">
      <alignment horizontal="center" vertical="center" wrapText="1"/>
      <protection locked="0"/>
    </xf>
    <xf numFmtId="0" fontId="30" fillId="35" borderId="195" xfId="0" quotePrefix="1" applyFont="1" applyFill="1" applyBorder="1" applyAlignment="1" applyProtection="1">
      <alignment horizontal="center" vertical="center" wrapText="1"/>
      <protection locked="0"/>
    </xf>
    <xf numFmtId="0" fontId="22" fillId="35" borderId="159" xfId="0" applyFont="1" applyFill="1" applyBorder="1" applyAlignment="1">
      <alignment horizontal="center"/>
    </xf>
    <xf numFmtId="0" fontId="22" fillId="35" borderId="83" xfId="0" applyFont="1" applyFill="1" applyBorder="1" applyAlignment="1">
      <alignment horizontal="center"/>
    </xf>
    <xf numFmtId="0" fontId="22" fillId="35" borderId="49" xfId="0" applyFont="1" applyFill="1" applyBorder="1" applyAlignment="1">
      <alignment horizontal="center"/>
    </xf>
    <xf numFmtId="0" fontId="149" fillId="0" borderId="0" xfId="0" applyFont="1" applyAlignment="1">
      <alignment horizontal="center"/>
    </xf>
    <xf numFmtId="0" fontId="22" fillId="35" borderId="104" xfId="0" applyFont="1" applyFill="1" applyBorder="1" applyAlignment="1">
      <alignment horizontal="center" wrapText="1"/>
    </xf>
    <xf numFmtId="0" fontId="22" fillId="35" borderId="33" xfId="0" applyFont="1" applyFill="1" applyBorder="1" applyAlignment="1">
      <alignment horizontal="center" wrapText="1"/>
    </xf>
    <xf numFmtId="0" fontId="24" fillId="35" borderId="43" xfId="0" applyFont="1" applyFill="1" applyBorder="1" applyAlignment="1" applyProtection="1">
      <alignment horizontal="center"/>
      <protection locked="0"/>
    </xf>
    <xf numFmtId="0" fontId="24" fillId="35" borderId="47" xfId="0" applyFont="1" applyFill="1" applyBorder="1" applyAlignment="1" applyProtection="1">
      <alignment horizontal="center"/>
      <protection locked="0"/>
    </xf>
    <xf numFmtId="0" fontId="24" fillId="35" borderId="9" xfId="0" applyFont="1" applyFill="1" applyBorder="1" applyAlignment="1" applyProtection="1">
      <alignment horizontal="center"/>
      <protection locked="0"/>
    </xf>
    <xf numFmtId="0" fontId="34" fillId="88" borderId="104" xfId="0" applyFont="1" applyFill="1" applyBorder="1" applyAlignment="1">
      <alignment horizontal="center" wrapText="1"/>
    </xf>
    <xf numFmtId="0" fontId="34" fillId="88" borderId="122" xfId="0" applyFont="1" applyFill="1" applyBorder="1" applyAlignment="1">
      <alignment horizontal="center" wrapText="1"/>
    </xf>
    <xf numFmtId="0" fontId="84" fillId="85" borderId="239" xfId="0" quotePrefix="1" applyFont="1" applyFill="1" applyBorder="1" applyAlignment="1">
      <alignment horizontal="center" vertical="center" wrapText="1"/>
    </xf>
    <xf numFmtId="0" fontId="84" fillId="85" borderId="63" xfId="0" quotePrefix="1" applyFont="1" applyFill="1" applyBorder="1" applyAlignment="1">
      <alignment horizontal="center" vertical="center" wrapText="1"/>
    </xf>
    <xf numFmtId="0" fontId="84" fillId="85" borderId="240" xfId="0" quotePrefix="1" applyFont="1" applyFill="1" applyBorder="1" applyAlignment="1">
      <alignment horizontal="center" vertical="center" wrapText="1"/>
    </xf>
    <xf numFmtId="0" fontId="84" fillId="52" borderId="241" xfId="0" quotePrefix="1" applyFont="1" applyFill="1" applyBorder="1" applyAlignment="1">
      <alignment horizontal="center" vertical="center" wrapText="1"/>
    </xf>
    <xf numFmtId="0" fontId="84" fillId="52" borderId="242" xfId="0" quotePrefix="1" applyFont="1" applyFill="1" applyBorder="1" applyAlignment="1">
      <alignment horizontal="center" vertical="center" wrapText="1"/>
    </xf>
    <xf numFmtId="0" fontId="84" fillId="52" borderId="243" xfId="0" quotePrefix="1" applyFont="1" applyFill="1" applyBorder="1" applyAlignment="1">
      <alignment horizontal="center" vertical="center" wrapText="1"/>
    </xf>
    <xf numFmtId="0" fontId="49" fillId="52" borderId="207" xfId="0" applyFont="1" applyFill="1" applyBorder="1" applyAlignment="1">
      <alignment horizontal="center" vertical="center"/>
    </xf>
    <xf numFmtId="0" fontId="49" fillId="52" borderId="208" xfId="0" applyFont="1" applyFill="1" applyBorder="1" applyAlignment="1">
      <alignment horizontal="center" vertical="center"/>
    </xf>
    <xf numFmtId="0" fontId="49" fillId="52" borderId="205" xfId="0" applyFont="1" applyFill="1" applyBorder="1" applyAlignment="1">
      <alignment horizontal="center" vertical="center"/>
    </xf>
    <xf numFmtId="0" fontId="168" fillId="65" borderId="57" xfId="0" applyFont="1" applyFill="1" applyBorder="1" applyAlignment="1">
      <alignment horizontal="center"/>
    </xf>
    <xf numFmtId="0" fontId="168" fillId="65" borderId="63" xfId="0" applyFont="1" applyFill="1" applyBorder="1" applyAlignment="1">
      <alignment horizontal="center"/>
    </xf>
    <xf numFmtId="0" fontId="168" fillId="65" borderId="64" xfId="0" applyFont="1" applyFill="1" applyBorder="1" applyAlignment="1">
      <alignment horizontal="center"/>
    </xf>
    <xf numFmtId="0" fontId="111" fillId="38" borderId="57" xfId="0" quotePrefix="1" applyFont="1" applyFill="1" applyBorder="1" applyAlignment="1" applyProtection="1">
      <alignment horizontal="center" vertical="center" wrapText="1"/>
      <protection locked="0"/>
    </xf>
    <xf numFmtId="0" fontId="111" fillId="38" borderId="63" xfId="0" quotePrefix="1" applyFont="1" applyFill="1" applyBorder="1" applyAlignment="1" applyProtection="1">
      <alignment horizontal="center" vertical="center" wrapText="1"/>
      <protection locked="0"/>
    </xf>
    <xf numFmtId="0" fontId="111" fillId="38" borderId="64" xfId="0" quotePrefix="1" applyFont="1" applyFill="1" applyBorder="1" applyAlignment="1" applyProtection="1">
      <alignment horizontal="center" vertical="center" wrapText="1"/>
      <protection locked="0"/>
    </xf>
    <xf numFmtId="0" fontId="35" fillId="23" borderId="61" xfId="0" quotePrefix="1" applyFont="1" applyFill="1" applyBorder="1" applyAlignment="1">
      <alignment horizontal="center" vertical="center"/>
    </xf>
    <xf numFmtId="0" fontId="35" fillId="23" borderId="62" xfId="0" quotePrefix="1" applyFont="1" applyFill="1" applyBorder="1" applyAlignment="1">
      <alignment horizontal="center" vertical="center"/>
    </xf>
    <xf numFmtId="0" fontId="35" fillId="23" borderId="54" xfId="0" quotePrefix="1" applyFont="1" applyFill="1" applyBorder="1" applyAlignment="1">
      <alignment horizontal="center" vertical="center"/>
    </xf>
    <xf numFmtId="0" fontId="35" fillId="23" borderId="61" xfId="0" applyFont="1" applyFill="1" applyBorder="1" applyAlignment="1">
      <alignment horizontal="center" vertical="center"/>
    </xf>
    <xf numFmtId="0" fontId="35" fillId="23" borderId="62" xfId="0" applyFont="1" applyFill="1" applyBorder="1" applyAlignment="1">
      <alignment horizontal="center" vertical="center"/>
    </xf>
    <xf numFmtId="0" fontId="35" fillId="23" borderId="54" xfId="0" applyFont="1" applyFill="1" applyBorder="1" applyAlignment="1">
      <alignment horizontal="center" vertical="center"/>
    </xf>
    <xf numFmtId="0" fontId="28" fillId="32" borderId="57" xfId="0" applyFont="1" applyFill="1" applyBorder="1" applyAlignment="1">
      <alignment horizontal="center" vertical="center"/>
    </xf>
    <xf numFmtId="0" fontId="28" fillId="32" borderId="63" xfId="0" applyFont="1" applyFill="1" applyBorder="1" applyAlignment="1">
      <alignment horizontal="center" vertical="center"/>
    </xf>
    <xf numFmtId="0" fontId="28" fillId="32" borderId="64" xfId="0" applyFont="1" applyFill="1" applyBorder="1" applyAlignment="1">
      <alignment horizontal="center" vertical="center"/>
    </xf>
    <xf numFmtId="0" fontId="28" fillId="66" borderId="57" xfId="0" applyFont="1" applyFill="1" applyBorder="1" applyAlignment="1">
      <alignment horizontal="center" vertical="center"/>
    </xf>
    <xf numFmtId="0" fontId="28" fillId="66" borderId="63" xfId="0" applyFont="1" applyFill="1" applyBorder="1" applyAlignment="1">
      <alignment horizontal="center" vertical="center"/>
    </xf>
    <xf numFmtId="0" fontId="28" fillId="66" borderId="64" xfId="0" applyFont="1" applyFill="1" applyBorder="1" applyAlignment="1">
      <alignment horizontal="center" vertical="center"/>
    </xf>
    <xf numFmtId="0" fontId="28" fillId="34" borderId="57" xfId="0" quotePrefix="1" applyFont="1" applyFill="1" applyBorder="1" applyAlignment="1">
      <alignment horizontal="center"/>
    </xf>
    <xf numFmtId="0" fontId="28" fillId="34" borderId="63" xfId="0" quotePrefix="1" applyFont="1" applyFill="1" applyBorder="1" applyAlignment="1">
      <alignment horizontal="center"/>
    </xf>
    <xf numFmtId="0" fontId="28" fillId="34" borderId="64" xfId="0" quotePrefix="1" applyFont="1" applyFill="1" applyBorder="1" applyAlignment="1">
      <alignment horizontal="center"/>
    </xf>
    <xf numFmtId="0" fontId="28" fillId="35" borderId="57" xfId="0" applyFont="1" applyFill="1" applyBorder="1" applyAlignment="1">
      <alignment horizontal="center" vertical="center"/>
    </xf>
    <xf numFmtId="0" fontId="28" fillId="35" borderId="63" xfId="0" applyFont="1" applyFill="1" applyBorder="1" applyAlignment="1">
      <alignment horizontal="center" vertical="center"/>
    </xf>
    <xf numFmtId="0" fontId="28" fillId="35" borderId="64" xfId="0" applyFont="1" applyFill="1" applyBorder="1" applyAlignment="1">
      <alignment horizontal="center" vertical="center"/>
    </xf>
    <xf numFmtId="0" fontId="35" fillId="23" borderId="57" xfId="0" applyFont="1" applyFill="1" applyBorder="1" applyAlignment="1">
      <alignment horizontal="center"/>
    </xf>
    <xf numFmtId="0" fontId="35" fillId="23" borderId="63" xfId="0" applyFont="1" applyFill="1" applyBorder="1" applyAlignment="1">
      <alignment horizontal="center"/>
    </xf>
    <xf numFmtId="0" fontId="35" fillId="23" borderId="64" xfId="0" applyFont="1" applyFill="1" applyBorder="1" applyAlignment="1">
      <alignment horizontal="center"/>
    </xf>
    <xf numFmtId="0" fontId="35" fillId="23" borderId="57" xfId="0" quotePrefix="1" applyFont="1" applyFill="1" applyBorder="1" applyAlignment="1">
      <alignment horizontal="center"/>
    </xf>
    <xf numFmtId="0" fontId="35" fillId="23" borderId="63" xfId="0" quotePrefix="1" applyFont="1" applyFill="1" applyBorder="1" applyAlignment="1">
      <alignment horizontal="center"/>
    </xf>
    <xf numFmtId="0" fontId="35" fillId="23" borderId="64" xfId="0" quotePrefix="1" applyFont="1" applyFill="1" applyBorder="1" applyAlignment="1">
      <alignment horizontal="center"/>
    </xf>
    <xf numFmtId="0" fontId="28" fillId="45" borderId="57" xfId="0" applyFont="1" applyFill="1" applyBorder="1" applyAlignment="1">
      <alignment horizontal="center"/>
    </xf>
    <xf numFmtId="0" fontId="28" fillId="45" borderId="63" xfId="0" applyFont="1" applyFill="1" applyBorder="1" applyAlignment="1">
      <alignment horizontal="center"/>
    </xf>
    <xf numFmtId="0" fontId="28" fillId="45" borderId="64" xfId="0" applyFont="1" applyFill="1" applyBorder="1" applyAlignment="1">
      <alignment horizontal="center"/>
    </xf>
    <xf numFmtId="0" fontId="35" fillId="23" borderId="61" xfId="0" applyFont="1" applyFill="1" applyBorder="1" applyAlignment="1">
      <alignment horizontal="center"/>
    </xf>
    <xf numFmtId="0" fontId="35" fillId="23" borderId="62" xfId="0" applyFont="1" applyFill="1" applyBorder="1" applyAlignment="1">
      <alignment horizontal="center"/>
    </xf>
    <xf numFmtId="0" fontId="35" fillId="23" borderId="54" xfId="0" applyFont="1" applyFill="1" applyBorder="1" applyAlignment="1">
      <alignment horizontal="center"/>
    </xf>
    <xf numFmtId="0" fontId="35" fillId="23" borderId="61" xfId="0" quotePrefix="1" applyFont="1" applyFill="1" applyBorder="1" applyAlignment="1">
      <alignment horizontal="center"/>
    </xf>
    <xf numFmtId="0" fontId="35" fillId="23" borderId="62" xfId="0" quotePrefix="1" applyFont="1" applyFill="1" applyBorder="1" applyAlignment="1">
      <alignment horizontal="center"/>
    </xf>
    <xf numFmtId="0" fontId="35" fillId="23" borderId="54" xfId="0" quotePrefix="1" applyFont="1" applyFill="1" applyBorder="1" applyAlignment="1">
      <alignment horizontal="center"/>
    </xf>
    <xf numFmtId="0" fontId="28" fillId="27" borderId="57" xfId="0" applyFont="1" applyFill="1" applyBorder="1" applyAlignment="1">
      <alignment horizontal="center" vertical="center"/>
    </xf>
    <xf numFmtId="0" fontId="28" fillId="27" borderId="63" xfId="0" applyFont="1" applyFill="1" applyBorder="1" applyAlignment="1">
      <alignment horizontal="center" vertical="center"/>
    </xf>
    <xf numFmtId="0" fontId="28" fillId="27" borderId="64" xfId="0" applyFont="1" applyFill="1" applyBorder="1" applyAlignment="1">
      <alignment horizontal="center" vertical="center"/>
    </xf>
    <xf numFmtId="0" fontId="28" fillId="36" borderId="57" xfId="0" applyFont="1" applyFill="1" applyBorder="1" applyAlignment="1">
      <alignment horizontal="center" vertical="center"/>
    </xf>
    <xf numFmtId="0" fontId="28" fillId="36" borderId="63" xfId="0" applyFont="1" applyFill="1" applyBorder="1" applyAlignment="1">
      <alignment horizontal="center" vertical="center"/>
    </xf>
    <xf numFmtId="0" fontId="28" fillId="36" borderId="64" xfId="0" applyFont="1" applyFill="1" applyBorder="1" applyAlignment="1">
      <alignment horizontal="center" vertical="center"/>
    </xf>
    <xf numFmtId="0" fontId="28" fillId="29" borderId="57" xfId="0" quotePrefix="1" applyFont="1" applyFill="1" applyBorder="1" applyAlignment="1">
      <alignment horizontal="center" vertical="center"/>
    </xf>
    <xf numFmtId="0" fontId="28" fillId="29" borderId="63" xfId="0" quotePrefix="1" applyFont="1" applyFill="1" applyBorder="1" applyAlignment="1">
      <alignment horizontal="center" vertical="center"/>
    </xf>
    <xf numFmtId="0" fontId="28" fillId="29" borderId="64" xfId="0" quotePrefix="1" applyFont="1" applyFill="1" applyBorder="1" applyAlignment="1">
      <alignment horizontal="center" vertical="center"/>
    </xf>
    <xf numFmtId="0" fontId="28" fillId="28" borderId="57" xfId="0" quotePrefix="1" applyFont="1" applyFill="1" applyBorder="1" applyAlignment="1">
      <alignment horizontal="center" vertical="center"/>
    </xf>
    <xf numFmtId="0" fontId="28" fillId="28" borderId="63" xfId="0" quotePrefix="1" applyFont="1" applyFill="1" applyBorder="1" applyAlignment="1">
      <alignment horizontal="center" vertical="center"/>
    </xf>
    <xf numFmtId="0" fontId="28" fillId="28" borderId="64" xfId="0" quotePrefix="1" applyFont="1" applyFill="1" applyBorder="1" applyAlignment="1">
      <alignment horizontal="center" vertical="center"/>
    </xf>
    <xf numFmtId="0" fontId="28" fillId="25" borderId="57" xfId="0" quotePrefix="1" applyFont="1" applyFill="1" applyBorder="1" applyAlignment="1">
      <alignment horizontal="center" vertical="center"/>
    </xf>
    <xf numFmtId="0" fontId="28" fillId="25" borderId="63" xfId="0" quotePrefix="1" applyFont="1" applyFill="1" applyBorder="1" applyAlignment="1">
      <alignment horizontal="center" vertical="center"/>
    </xf>
    <xf numFmtId="0" fontId="28" fillId="25" borderId="64" xfId="0" quotePrefix="1" applyFont="1" applyFill="1" applyBorder="1" applyAlignment="1">
      <alignment horizontal="center" vertical="center"/>
    </xf>
    <xf numFmtId="0" fontId="22" fillId="32" borderId="57" xfId="0" applyFont="1" applyFill="1" applyBorder="1" applyAlignment="1">
      <alignment horizontal="center" vertical="center"/>
    </xf>
    <xf numFmtId="0" fontId="22" fillId="32" borderId="63" xfId="0" applyFont="1" applyFill="1" applyBorder="1" applyAlignment="1">
      <alignment horizontal="center" vertical="center"/>
    </xf>
    <xf numFmtId="0" fontId="22" fillId="32" borderId="64" xfId="0" applyFont="1" applyFill="1" applyBorder="1" applyAlignment="1">
      <alignment horizontal="center" vertical="center"/>
    </xf>
    <xf numFmtId="0" fontId="25" fillId="31" borderId="57" xfId="0" applyFont="1" applyFill="1" applyBorder="1" applyAlignment="1">
      <alignment horizontal="center" vertical="center" wrapText="1"/>
    </xf>
    <xf numFmtId="0" fontId="25" fillId="31" borderId="63" xfId="0" applyFont="1" applyFill="1" applyBorder="1" applyAlignment="1">
      <alignment horizontal="center" vertical="center" wrapText="1"/>
    </xf>
    <xf numFmtId="0" fontId="25" fillId="31" borderId="64" xfId="0" applyFont="1" applyFill="1" applyBorder="1" applyAlignment="1">
      <alignment horizontal="center" vertical="center" wrapText="1"/>
    </xf>
    <xf numFmtId="0" fontId="33" fillId="32" borderId="57" xfId="0" applyFont="1" applyFill="1" applyBorder="1" applyAlignment="1">
      <alignment horizontal="center" vertical="center" wrapText="1"/>
    </xf>
    <xf numFmtId="0" fontId="33" fillId="32" borderId="63" xfId="0" applyFont="1" applyFill="1" applyBorder="1" applyAlignment="1">
      <alignment horizontal="center" vertical="center" wrapText="1"/>
    </xf>
    <xf numFmtId="0" fontId="33" fillId="32" borderId="64" xfId="0" applyFont="1" applyFill="1" applyBorder="1" applyAlignment="1">
      <alignment horizontal="center" vertical="center" wrapText="1"/>
    </xf>
    <xf numFmtId="0" fontId="25" fillId="23" borderId="57" xfId="0" applyFont="1" applyFill="1" applyBorder="1" applyAlignment="1">
      <alignment horizontal="center" vertical="center"/>
    </xf>
    <xf numFmtId="0" fontId="25" fillId="23" borderId="63" xfId="0" applyFont="1" applyFill="1" applyBorder="1" applyAlignment="1">
      <alignment horizontal="center" vertical="center"/>
    </xf>
    <xf numFmtId="0" fontId="25" fillId="23" borderId="64" xfId="0" applyFont="1" applyFill="1" applyBorder="1" applyAlignment="1">
      <alignment horizontal="center" vertical="center"/>
    </xf>
    <xf numFmtId="0" fontId="25" fillId="29" borderId="57" xfId="0" applyFont="1" applyFill="1" applyBorder="1" applyAlignment="1">
      <alignment horizontal="center" vertical="center" wrapText="1"/>
    </xf>
    <xf numFmtId="0" fontId="25" fillId="29" borderId="63" xfId="0" applyFont="1" applyFill="1" applyBorder="1" applyAlignment="1">
      <alignment horizontal="center" vertical="center" wrapText="1"/>
    </xf>
    <xf numFmtId="0" fontId="25" fillId="29" borderId="64" xfId="0" applyFont="1" applyFill="1" applyBorder="1" applyAlignment="1">
      <alignment horizontal="center" vertical="center" wrapText="1"/>
    </xf>
    <xf numFmtId="0" fontId="22" fillId="30" borderId="57" xfId="0" quotePrefix="1" applyFont="1" applyFill="1" applyBorder="1" applyAlignment="1">
      <alignment horizontal="center" vertical="center"/>
    </xf>
    <xf numFmtId="0" fontId="22" fillId="30" borderId="63" xfId="0" quotePrefix="1" applyFont="1" applyFill="1" applyBorder="1" applyAlignment="1">
      <alignment horizontal="center" vertical="center"/>
    </xf>
    <xf numFmtId="0" fontId="22" fillId="30" borderId="64" xfId="0" quotePrefix="1" applyFont="1" applyFill="1" applyBorder="1" applyAlignment="1">
      <alignment horizontal="center" vertical="center"/>
    </xf>
    <xf numFmtId="0" fontId="25" fillId="30" borderId="57" xfId="0" applyFont="1" applyFill="1" applyBorder="1" applyAlignment="1">
      <alignment horizontal="center" vertical="center" wrapText="1"/>
    </xf>
    <xf numFmtId="0" fontId="25" fillId="30" borderId="63" xfId="0" applyFont="1" applyFill="1" applyBorder="1" applyAlignment="1">
      <alignment horizontal="center" vertical="center" wrapText="1"/>
    </xf>
    <xf numFmtId="0" fontId="25" fillId="30" borderId="64" xfId="0" applyFont="1" applyFill="1" applyBorder="1" applyAlignment="1">
      <alignment horizontal="center" vertical="center" wrapText="1"/>
    </xf>
    <xf numFmtId="0" fontId="22" fillId="31" borderId="57" xfId="0" quotePrefix="1" applyFont="1" applyFill="1" applyBorder="1" applyAlignment="1">
      <alignment horizontal="center" vertical="center"/>
    </xf>
    <xf numFmtId="0" fontId="22" fillId="31" borderId="63" xfId="0" quotePrefix="1" applyFont="1" applyFill="1" applyBorder="1" applyAlignment="1">
      <alignment horizontal="center" vertical="center"/>
    </xf>
    <xf numFmtId="0" fontId="22" fillId="31" borderId="64" xfId="0" quotePrefix="1" applyFont="1" applyFill="1" applyBorder="1" applyAlignment="1">
      <alignment horizontal="center" vertical="center"/>
    </xf>
    <xf numFmtId="0" fontId="22" fillId="66" borderId="57" xfId="0" applyFont="1" applyFill="1" applyBorder="1" applyAlignment="1">
      <alignment horizontal="center" vertical="center"/>
    </xf>
    <xf numFmtId="0" fontId="22" fillId="66" borderId="63" xfId="0" applyFont="1" applyFill="1" applyBorder="1" applyAlignment="1">
      <alignment horizontal="center" vertical="center"/>
    </xf>
    <xf numFmtId="0" fontId="22" fillId="66" borderId="64" xfId="0" applyFont="1" applyFill="1" applyBorder="1" applyAlignment="1">
      <alignment horizontal="center" vertical="center"/>
    </xf>
    <xf numFmtId="0" fontId="22" fillId="34" borderId="57" xfId="0" applyFont="1" applyFill="1" applyBorder="1" applyAlignment="1">
      <alignment horizontal="center" vertical="center"/>
    </xf>
    <xf numFmtId="0" fontId="22" fillId="34" borderId="63" xfId="0" applyFont="1" applyFill="1" applyBorder="1" applyAlignment="1">
      <alignment horizontal="center" vertical="center"/>
    </xf>
    <xf numFmtId="0" fontId="22" fillId="34" borderId="64" xfId="0" applyFont="1" applyFill="1" applyBorder="1" applyAlignment="1">
      <alignment horizontal="center" vertical="center"/>
    </xf>
    <xf numFmtId="0" fontId="22" fillId="29" borderId="57" xfId="0" applyFont="1" applyFill="1" applyBorder="1" applyAlignment="1">
      <alignment horizontal="center" vertical="center"/>
    </xf>
    <xf numFmtId="0" fontId="22" fillId="29" borderId="63" xfId="0" applyFont="1" applyFill="1" applyBorder="1" applyAlignment="1">
      <alignment horizontal="center" vertical="center"/>
    </xf>
    <xf numFmtId="0" fontId="22" fillId="29" borderId="64" xfId="0" applyFont="1" applyFill="1" applyBorder="1" applyAlignment="1">
      <alignment horizontal="center" vertical="center"/>
    </xf>
    <xf numFmtId="0" fontId="25" fillId="34" borderId="57" xfId="0" applyFont="1" applyFill="1" applyBorder="1" applyAlignment="1">
      <alignment horizontal="center" vertical="center" wrapText="1"/>
    </xf>
    <xf numFmtId="0" fontId="25" fillId="34" borderId="63" xfId="0" applyFont="1" applyFill="1" applyBorder="1" applyAlignment="1">
      <alignment horizontal="center" vertical="center" wrapText="1"/>
    </xf>
    <xf numFmtId="0" fontId="25" fillId="34" borderId="64" xfId="0" applyFont="1" applyFill="1" applyBorder="1" applyAlignment="1">
      <alignment horizontal="center" vertical="center" wrapText="1"/>
    </xf>
    <xf numFmtId="0" fontId="33" fillId="66" borderId="57" xfId="0" applyFont="1" applyFill="1" applyBorder="1" applyAlignment="1">
      <alignment horizontal="center" vertical="center" wrapText="1"/>
    </xf>
    <xf numFmtId="0" fontId="33" fillId="66" borderId="63" xfId="0" applyFont="1" applyFill="1" applyBorder="1" applyAlignment="1">
      <alignment horizontal="center" vertical="center" wrapText="1"/>
    </xf>
    <xf numFmtId="0" fontId="33" fillId="66" borderId="64" xfId="0" applyFont="1" applyFill="1" applyBorder="1" applyAlignment="1">
      <alignment horizontal="center" vertical="center" wrapText="1"/>
    </xf>
    <xf numFmtId="0" fontId="25" fillId="29" borderId="57" xfId="0" applyFont="1" applyFill="1" applyBorder="1" applyAlignment="1">
      <alignment horizontal="center"/>
    </xf>
    <xf numFmtId="0" fontId="25" fillId="29" borderId="63" xfId="0" applyFont="1" applyFill="1" applyBorder="1" applyAlignment="1">
      <alignment horizontal="center"/>
    </xf>
    <xf numFmtId="0" fontId="25" fillId="29" borderId="64" xfId="0" applyFont="1" applyFill="1" applyBorder="1" applyAlignment="1">
      <alignment horizontal="center"/>
    </xf>
    <xf numFmtId="0" fontId="25" fillId="30" borderId="57" xfId="0" applyFont="1" applyFill="1" applyBorder="1" applyAlignment="1">
      <alignment horizontal="center"/>
    </xf>
    <xf numFmtId="0" fontId="25" fillId="30" borderId="63" xfId="0" applyFont="1" applyFill="1" applyBorder="1" applyAlignment="1">
      <alignment horizontal="center"/>
    </xf>
    <xf numFmtId="0" fontId="25" fillId="30" borderId="64" xfId="0" applyFont="1" applyFill="1" applyBorder="1" applyAlignment="1">
      <alignment horizontal="center"/>
    </xf>
    <xf numFmtId="0" fontId="25" fillId="23" borderId="57" xfId="0" applyFont="1" applyFill="1" applyBorder="1" applyAlignment="1">
      <alignment horizontal="center"/>
    </xf>
    <xf numFmtId="0" fontId="25" fillId="23" borderId="63" xfId="0" applyFont="1" applyFill="1" applyBorder="1" applyAlignment="1">
      <alignment horizontal="center"/>
    </xf>
    <xf numFmtId="0" fontId="25" fillId="23" borderId="64" xfId="0" applyFont="1" applyFill="1" applyBorder="1" applyAlignment="1">
      <alignment horizontal="center"/>
    </xf>
    <xf numFmtId="0" fontId="33" fillId="32" borderId="57" xfId="0" applyFont="1" applyFill="1" applyBorder="1" applyAlignment="1">
      <alignment horizontal="center"/>
    </xf>
    <xf numFmtId="0" fontId="33" fillId="32" borderId="63" xfId="0" applyFont="1" applyFill="1" applyBorder="1" applyAlignment="1">
      <alignment horizontal="center"/>
    </xf>
    <xf numFmtId="0" fontId="33" fillId="32" borderId="64" xfId="0" applyFont="1" applyFill="1" applyBorder="1" applyAlignment="1">
      <alignment horizontal="center"/>
    </xf>
    <xf numFmtId="0" fontId="25" fillId="31" borderId="57" xfId="0" applyFont="1" applyFill="1" applyBorder="1" applyAlignment="1">
      <alignment horizontal="center"/>
    </xf>
    <xf numFmtId="0" fontId="25" fillId="31" borderId="63" xfId="0" applyFont="1" applyFill="1" applyBorder="1" applyAlignment="1">
      <alignment horizontal="center"/>
    </xf>
    <xf numFmtId="0" fontId="25" fillId="31" borderId="64" xfId="0" applyFont="1" applyFill="1" applyBorder="1" applyAlignment="1">
      <alignment horizontal="center"/>
    </xf>
    <xf numFmtId="0" fontId="22" fillId="32" borderId="57" xfId="0" applyFont="1" applyFill="1" applyBorder="1" applyAlignment="1">
      <alignment horizontal="center"/>
    </xf>
    <xf numFmtId="0" fontId="22" fillId="32" borderId="63" xfId="0" applyFont="1" applyFill="1" applyBorder="1" applyAlignment="1">
      <alignment horizontal="center"/>
    </xf>
    <xf numFmtId="0" fontId="22" fillId="32" borderId="64" xfId="0" applyFont="1" applyFill="1" applyBorder="1" applyAlignment="1">
      <alignment horizontal="center"/>
    </xf>
    <xf numFmtId="0" fontId="22" fillId="66" borderId="57" xfId="0" applyFont="1" applyFill="1" applyBorder="1" applyAlignment="1">
      <alignment horizontal="center"/>
    </xf>
    <xf numFmtId="0" fontId="22" fillId="66" borderId="63" xfId="0" applyFont="1" applyFill="1" applyBorder="1" applyAlignment="1">
      <alignment horizontal="center"/>
    </xf>
    <xf numFmtId="0" fontId="22" fillId="66" borderId="64" xfId="0" applyFont="1" applyFill="1" applyBorder="1" applyAlignment="1">
      <alignment horizontal="center"/>
    </xf>
    <xf numFmtId="0" fontId="33" fillId="66" borderId="57" xfId="0" applyFont="1" applyFill="1" applyBorder="1" applyAlignment="1">
      <alignment horizontal="center"/>
    </xf>
    <xf numFmtId="0" fontId="33" fillId="66" borderId="63" xfId="0" applyFont="1" applyFill="1" applyBorder="1" applyAlignment="1">
      <alignment horizontal="center"/>
    </xf>
    <xf numFmtId="0" fontId="33" fillId="66" borderId="64" xfId="0" applyFont="1" applyFill="1" applyBorder="1" applyAlignment="1">
      <alignment horizontal="center"/>
    </xf>
    <xf numFmtId="0" fontId="22" fillId="34" borderId="57" xfId="0" applyFont="1" applyFill="1" applyBorder="1" applyAlignment="1">
      <alignment horizontal="center"/>
    </xf>
    <xf numFmtId="0" fontId="22" fillId="34" borderId="63" xfId="0" applyFont="1" applyFill="1" applyBorder="1" applyAlignment="1">
      <alignment horizontal="center"/>
    </xf>
    <xf numFmtId="0" fontId="22" fillId="34" borderId="64" xfId="0" applyFont="1" applyFill="1" applyBorder="1" applyAlignment="1">
      <alignment horizontal="center"/>
    </xf>
    <xf numFmtId="0" fontId="22" fillId="29" borderId="57" xfId="0" applyFont="1" applyFill="1" applyBorder="1" applyAlignment="1">
      <alignment horizontal="center"/>
    </xf>
    <xf numFmtId="0" fontId="22" fillId="29" borderId="63" xfId="0" applyFont="1" applyFill="1" applyBorder="1" applyAlignment="1">
      <alignment horizontal="center"/>
    </xf>
    <xf numFmtId="0" fontId="22" fillId="29" borderId="64" xfId="0" applyFont="1" applyFill="1" applyBorder="1" applyAlignment="1">
      <alignment horizontal="center"/>
    </xf>
    <xf numFmtId="0" fontId="22" fillId="30" borderId="57" xfId="0" quotePrefix="1" applyFont="1" applyFill="1" applyBorder="1" applyAlignment="1">
      <alignment horizontal="center"/>
    </xf>
    <xf numFmtId="0" fontId="22" fillId="30" borderId="63" xfId="0" quotePrefix="1" applyFont="1" applyFill="1" applyBorder="1" applyAlignment="1">
      <alignment horizontal="center"/>
    </xf>
    <xf numFmtId="0" fontId="22" fillId="30" borderId="64" xfId="0" quotePrefix="1" applyFont="1" applyFill="1" applyBorder="1" applyAlignment="1">
      <alignment horizontal="center"/>
    </xf>
    <xf numFmtId="0" fontId="22" fillId="31" borderId="57" xfId="0" quotePrefix="1" applyFont="1" applyFill="1" applyBorder="1" applyAlignment="1">
      <alignment horizontal="center"/>
    </xf>
    <xf numFmtId="0" fontId="22" fillId="31" borderId="63" xfId="0" quotePrefix="1" applyFont="1" applyFill="1" applyBorder="1" applyAlignment="1">
      <alignment horizontal="center"/>
    </xf>
    <xf numFmtId="0" fontId="22" fillId="31" borderId="64" xfId="0" quotePrefix="1" applyFont="1" applyFill="1" applyBorder="1" applyAlignment="1">
      <alignment horizontal="center"/>
    </xf>
    <xf numFmtId="0" fontId="25" fillId="34" borderId="57" xfId="0" applyFont="1" applyFill="1" applyBorder="1" applyAlignment="1">
      <alignment horizontal="center"/>
    </xf>
    <xf numFmtId="0" fontId="25" fillId="34" borderId="63" xfId="0" applyFont="1" applyFill="1" applyBorder="1" applyAlignment="1">
      <alignment horizontal="center"/>
    </xf>
    <xf numFmtId="0" fontId="25" fillId="34" borderId="64" xfId="0" applyFont="1" applyFill="1" applyBorder="1" applyAlignment="1">
      <alignment horizontal="center"/>
    </xf>
    <xf numFmtId="0" fontId="24" fillId="0" borderId="104" xfId="0" applyFont="1" applyBorder="1" applyAlignment="1">
      <alignment horizontal="center" vertical="center"/>
    </xf>
    <xf numFmtId="0" fontId="24" fillId="0" borderId="122" xfId="0" applyFont="1" applyBorder="1" applyAlignment="1">
      <alignment horizontal="center" vertical="center"/>
    </xf>
    <xf numFmtId="0" fontId="24" fillId="0" borderId="33" xfId="0" applyFont="1" applyBorder="1" applyAlignment="1">
      <alignment horizontal="center" vertical="center"/>
    </xf>
    <xf numFmtId="0" fontId="7" fillId="0" borderId="104" xfId="0" applyFont="1" applyBorder="1" applyAlignment="1">
      <alignment horizontal="center" vertical="center"/>
    </xf>
    <xf numFmtId="0" fontId="7" fillId="0" borderId="122" xfId="0" applyFont="1" applyBorder="1" applyAlignment="1">
      <alignment horizontal="center" vertical="center"/>
    </xf>
    <xf numFmtId="0" fontId="7" fillId="0" borderId="33" xfId="0" applyFont="1" applyBorder="1" applyAlignment="1">
      <alignment horizontal="center" vertical="center"/>
    </xf>
    <xf numFmtId="20" fontId="24" fillId="0" borderId="104" xfId="0" applyNumberFormat="1" applyFont="1" applyBorder="1" applyAlignment="1">
      <alignment horizontal="center" vertical="center"/>
    </xf>
    <xf numFmtId="20" fontId="24" fillId="0" borderId="122" xfId="0" applyNumberFormat="1" applyFont="1" applyBorder="1" applyAlignment="1">
      <alignment horizontal="center" vertical="center"/>
    </xf>
    <xf numFmtId="20" fontId="24" fillId="0" borderId="33" xfId="0" applyNumberFormat="1" applyFont="1" applyBorder="1" applyAlignment="1">
      <alignment horizontal="center" vertical="center"/>
    </xf>
    <xf numFmtId="20" fontId="24" fillId="0" borderId="92" xfId="0" applyNumberFormat="1" applyFont="1" applyBorder="1" applyAlignment="1">
      <alignment horizontal="center" vertical="center"/>
    </xf>
    <xf numFmtId="20" fontId="24" fillId="0" borderId="55" xfId="0" applyNumberFormat="1" applyFont="1" applyBorder="1" applyAlignment="1">
      <alignment horizontal="center" vertical="center"/>
    </xf>
    <xf numFmtId="20" fontId="24" fillId="0" borderId="115" xfId="0" applyNumberFormat="1" applyFont="1" applyBorder="1" applyAlignment="1">
      <alignment horizontal="center" vertical="center"/>
    </xf>
    <xf numFmtId="0" fontId="7" fillId="0" borderId="83" xfId="0" applyFont="1" applyBorder="1" applyAlignment="1">
      <alignment horizontal="center" vertical="center"/>
    </xf>
    <xf numFmtId="0" fontId="7" fillId="0" borderId="48" xfId="0" applyFont="1" applyBorder="1" applyAlignment="1">
      <alignment horizontal="center" vertical="center"/>
    </xf>
    <xf numFmtId="0" fontId="7" fillId="0" borderId="67" xfId="0" applyFont="1" applyBorder="1" applyAlignment="1">
      <alignment horizontal="center" vertical="center"/>
    </xf>
    <xf numFmtId="0" fontId="33" fillId="25" borderId="196" xfId="0" applyFont="1" applyFill="1" applyBorder="1" applyAlignment="1">
      <alignment horizontal="center"/>
    </xf>
    <xf numFmtId="0" fontId="33" fillId="25" borderId="197" xfId="0" applyFont="1" applyFill="1" applyBorder="1" applyAlignment="1">
      <alignment horizontal="center"/>
    </xf>
    <xf numFmtId="0" fontId="33" fillId="25" borderId="198" xfId="0" applyFont="1" applyFill="1" applyBorder="1" applyAlignment="1">
      <alignment horizontal="center"/>
    </xf>
    <xf numFmtId="0" fontId="22" fillId="23" borderId="57" xfId="0" applyFont="1" applyFill="1" applyBorder="1" applyAlignment="1">
      <alignment horizontal="center"/>
    </xf>
    <xf numFmtId="0" fontId="22" fillId="23" borderId="63" xfId="0" applyFont="1" applyFill="1" applyBorder="1" applyAlignment="1">
      <alignment horizontal="center"/>
    </xf>
    <xf numFmtId="0" fontId="22" fillId="23" borderId="64" xfId="0" applyFont="1" applyFill="1" applyBorder="1" applyAlignment="1">
      <alignment horizontal="center"/>
    </xf>
    <xf numFmtId="0" fontId="22" fillId="0" borderId="0" xfId="0" applyFont="1" applyAlignment="1">
      <alignment horizontal="center"/>
    </xf>
    <xf numFmtId="0" fontId="22" fillId="34" borderId="57" xfId="0" quotePrefix="1" applyFont="1" applyFill="1" applyBorder="1" applyAlignment="1">
      <alignment horizontal="center"/>
    </xf>
    <xf numFmtId="0" fontId="22" fillId="34" borderId="63" xfId="0" quotePrefix="1" applyFont="1" applyFill="1" applyBorder="1" applyAlignment="1">
      <alignment horizontal="center"/>
    </xf>
    <xf numFmtId="0" fontId="22" fillId="34" borderId="64" xfId="0" quotePrefix="1" applyFont="1" applyFill="1" applyBorder="1" applyAlignment="1">
      <alignment horizontal="center"/>
    </xf>
    <xf numFmtId="0" fontId="26" fillId="42" borderId="57" xfId="0" quotePrefix="1" applyFont="1" applyFill="1" applyBorder="1" applyAlignment="1">
      <alignment horizontal="center"/>
    </xf>
    <xf numFmtId="0" fontId="26" fillId="42" borderId="63" xfId="0" applyFont="1" applyFill="1" applyBorder="1" applyAlignment="1">
      <alignment horizontal="center"/>
    </xf>
    <xf numFmtId="0" fontId="26" fillId="42" borderId="64" xfId="0" applyFont="1" applyFill="1" applyBorder="1" applyAlignment="1">
      <alignment horizontal="center"/>
    </xf>
    <xf numFmtId="0" fontId="33" fillId="0" borderId="0" xfId="0" applyFont="1" applyAlignment="1">
      <alignment horizontal="center"/>
    </xf>
    <xf numFmtId="0" fontId="22" fillId="30" borderId="63" xfId="0" applyFont="1" applyFill="1" applyBorder="1" applyAlignment="1">
      <alignment horizontal="center"/>
    </xf>
    <xf numFmtId="0" fontId="22" fillId="32" borderId="0" xfId="0" applyFont="1" applyFill="1" applyAlignment="1">
      <alignment horizontal="center"/>
    </xf>
    <xf numFmtId="0" fontId="22" fillId="31" borderId="63" xfId="0" applyFont="1" applyFill="1" applyBorder="1" applyAlignment="1">
      <alignment horizontal="center"/>
    </xf>
    <xf numFmtId="0" fontId="34" fillId="88" borderId="33" xfId="0" applyFont="1" applyFill="1" applyBorder="1" applyAlignment="1">
      <alignment horizontal="center" wrapText="1"/>
    </xf>
    <xf numFmtId="0" fontId="149" fillId="0" borderId="55" xfId="0" applyFont="1" applyBorder="1" applyAlignment="1">
      <alignment horizontal="center"/>
    </xf>
    <xf numFmtId="0" fontId="69" fillId="46" borderId="75" xfId="0" applyFont="1" applyFill="1" applyBorder="1" applyAlignment="1">
      <alignment horizontal="center" vertical="center" wrapText="1"/>
    </xf>
    <xf numFmtId="0" fontId="69" fillId="46" borderId="0" xfId="0" applyFont="1" applyFill="1" applyAlignment="1">
      <alignment horizontal="center" vertical="center" wrapText="1"/>
    </xf>
    <xf numFmtId="0" fontId="69" fillId="46" borderId="76" xfId="0" applyFont="1" applyFill="1" applyBorder="1" applyAlignment="1">
      <alignment horizontal="center" vertical="center" wrapText="1"/>
    </xf>
    <xf numFmtId="0" fontId="69" fillId="46" borderId="69" xfId="0" applyFont="1" applyFill="1" applyBorder="1" applyAlignment="1">
      <alignment horizontal="center" vertical="center" wrapText="1"/>
    </xf>
    <xf numFmtId="0" fontId="69" fillId="46" borderId="68" xfId="0" applyFont="1" applyFill="1" applyBorder="1" applyAlignment="1">
      <alignment horizontal="center" vertical="center" wrapText="1"/>
    </xf>
    <xf numFmtId="0" fontId="69" fillId="46" borderId="78" xfId="0" applyFont="1" applyFill="1" applyBorder="1" applyAlignment="1">
      <alignment horizontal="center" vertical="center" wrapText="1"/>
    </xf>
    <xf numFmtId="0" fontId="118" fillId="0" borderId="68" xfId="0" applyFont="1" applyBorder="1" applyAlignment="1">
      <alignment horizontal="center"/>
    </xf>
    <xf numFmtId="0" fontId="69" fillId="46" borderId="72" xfId="0" applyFont="1" applyFill="1" applyBorder="1" applyAlignment="1">
      <alignment horizontal="center" vertical="center" wrapText="1"/>
    </xf>
    <xf numFmtId="0" fontId="69" fillId="46" borderId="71" xfId="0" applyFont="1" applyFill="1" applyBorder="1" applyAlignment="1">
      <alignment horizontal="center" vertical="center" wrapText="1"/>
    </xf>
    <xf numFmtId="0" fontId="69" fillId="46" borderId="73" xfId="0" applyFont="1" applyFill="1" applyBorder="1" applyAlignment="1">
      <alignment horizontal="center" vertical="center" wrapText="1"/>
    </xf>
    <xf numFmtId="0" fontId="69" fillId="86" borderId="129" xfId="0" applyFont="1" applyFill="1" applyBorder="1" applyAlignment="1" applyProtection="1">
      <alignment horizontal="center" vertical="center" wrapText="1"/>
      <protection locked="0"/>
    </xf>
    <xf numFmtId="0" fontId="69" fillId="86" borderId="130" xfId="0" applyFont="1" applyFill="1" applyBorder="1" applyAlignment="1" applyProtection="1">
      <alignment horizontal="center" vertical="center" wrapText="1"/>
      <protection locked="0"/>
    </xf>
    <xf numFmtId="0" fontId="69" fillId="86" borderId="131" xfId="0" applyFont="1" applyFill="1" applyBorder="1" applyAlignment="1" applyProtection="1">
      <alignment horizontal="center" vertical="center" wrapText="1"/>
      <protection locked="0"/>
    </xf>
    <xf numFmtId="0" fontId="187" fillId="0" borderId="286" xfId="32" applyFont="1" applyBorder="1" applyAlignment="1">
      <alignment horizontal="center" vertical="center"/>
    </xf>
    <xf numFmtId="0" fontId="187" fillId="0" borderId="287" xfId="32" applyFont="1" applyBorder="1" applyAlignment="1">
      <alignment horizontal="center" vertical="center"/>
    </xf>
    <xf numFmtId="0" fontId="187" fillId="0" borderId="288" xfId="32" applyFont="1" applyBorder="1" applyAlignment="1">
      <alignment horizontal="center" vertical="center"/>
    </xf>
    <xf numFmtId="0" fontId="187" fillId="0" borderId="285" xfId="32" applyFont="1" applyBorder="1" applyAlignment="1">
      <alignment horizontal="center" vertical="center"/>
    </xf>
    <xf numFmtId="0" fontId="187" fillId="0" borderId="283" xfId="32" applyFont="1" applyBorder="1" applyAlignment="1">
      <alignment horizontal="center" vertical="center"/>
    </xf>
    <xf numFmtId="0" fontId="187" fillId="0" borderId="290" xfId="32" applyFont="1" applyBorder="1" applyAlignment="1">
      <alignment horizontal="center" vertical="center"/>
    </xf>
    <xf numFmtId="0" fontId="187" fillId="0" borderId="287" xfId="0" applyFont="1" applyBorder="1" applyAlignment="1">
      <alignment horizontal="center" vertical="center"/>
    </xf>
    <xf numFmtId="0" fontId="187" fillId="0" borderId="288" xfId="0" applyFont="1" applyBorder="1" applyAlignment="1">
      <alignment horizontal="center" vertical="center"/>
    </xf>
    <xf numFmtId="0" fontId="187" fillId="0" borderId="285" xfId="0" applyFont="1" applyBorder="1" applyAlignment="1">
      <alignment horizontal="center" vertical="center"/>
    </xf>
    <xf numFmtId="0" fontId="187" fillId="0" borderId="283" xfId="0" applyFont="1" applyBorder="1" applyAlignment="1">
      <alignment horizontal="center" vertical="center"/>
    </xf>
    <xf numFmtId="0" fontId="187" fillId="0" borderId="290" xfId="0" applyFont="1" applyBorder="1" applyAlignment="1">
      <alignment horizontal="center" vertical="center"/>
    </xf>
    <xf numFmtId="0" fontId="185" fillId="79" borderId="280" xfId="0" applyFont="1" applyFill="1" applyBorder="1" applyAlignment="1">
      <alignment horizontal="center" vertical="center"/>
    </xf>
    <xf numFmtId="0" fontId="185" fillId="79" borderId="281" xfId="0" applyFont="1" applyFill="1" applyBorder="1" applyAlignment="1">
      <alignment horizontal="center" vertical="center"/>
    </xf>
    <xf numFmtId="0" fontId="185" fillId="79" borderId="282" xfId="0" applyFont="1" applyFill="1" applyBorder="1" applyAlignment="1">
      <alignment horizontal="center" vertical="center"/>
    </xf>
    <xf numFmtId="0" fontId="169" fillId="83" borderId="280" xfId="0" applyFont="1" applyFill="1" applyBorder="1" applyAlignment="1">
      <alignment horizontal="center" vertical="center"/>
    </xf>
    <xf numFmtId="0" fontId="169" fillId="83" borderId="281" xfId="0" applyFont="1" applyFill="1" applyBorder="1" applyAlignment="1">
      <alignment horizontal="center" vertical="center"/>
    </xf>
    <xf numFmtId="0" fontId="169" fillId="83" borderId="282" xfId="0" applyFont="1" applyFill="1" applyBorder="1" applyAlignment="1">
      <alignment horizontal="center" vertical="center"/>
    </xf>
    <xf numFmtId="0" fontId="69" fillId="78" borderId="280" xfId="0" applyFont="1" applyFill="1" applyBorder="1" applyAlignment="1">
      <alignment horizontal="center" vertical="center"/>
    </xf>
    <xf numFmtId="0" fontId="69" fillId="78" borderId="281" xfId="0" applyFont="1" applyFill="1" applyBorder="1" applyAlignment="1">
      <alignment horizontal="center" vertical="center"/>
    </xf>
    <xf numFmtId="0" fontId="69" fillId="78" borderId="282" xfId="0" applyFont="1" applyFill="1" applyBorder="1" applyAlignment="1">
      <alignment horizontal="center" vertical="center"/>
    </xf>
    <xf numFmtId="0" fontId="37" fillId="67" borderId="14" xfId="32" applyFont="1" applyFill="1" applyBorder="1" applyAlignment="1">
      <alignment horizontal="center" vertical="center"/>
    </xf>
    <xf numFmtId="0" fontId="37" fillId="67" borderId="50" xfId="32" applyFont="1" applyFill="1" applyBorder="1" applyAlignment="1">
      <alignment horizontal="center" vertical="center"/>
    </xf>
    <xf numFmtId="0" fontId="37" fillId="67" borderId="60" xfId="32" applyFont="1" applyFill="1" applyBorder="1" applyAlignment="1">
      <alignment horizontal="center" vertical="center"/>
    </xf>
    <xf numFmtId="0" fontId="37" fillId="67" borderId="59" xfId="32" applyFont="1" applyFill="1" applyBorder="1" applyAlignment="1">
      <alignment horizontal="center" vertical="center"/>
    </xf>
    <xf numFmtId="0" fontId="37" fillId="67" borderId="0" xfId="32" applyFont="1" applyFill="1" applyAlignment="1">
      <alignment horizontal="center" vertical="center"/>
    </xf>
    <xf numFmtId="0" fontId="37" fillId="67" borderId="56" xfId="32" applyFont="1" applyFill="1" applyBorder="1" applyAlignment="1">
      <alignment horizontal="center" vertical="center"/>
    </xf>
    <xf numFmtId="0" fontId="37" fillId="67" borderId="61" xfId="32" applyFont="1" applyFill="1" applyBorder="1" applyAlignment="1">
      <alignment horizontal="center" vertical="center"/>
    </xf>
    <xf numFmtId="0" fontId="37" fillId="67" borderId="62" xfId="32" applyFont="1" applyFill="1" applyBorder="1" applyAlignment="1">
      <alignment horizontal="center" vertical="center"/>
    </xf>
    <xf numFmtId="0" fontId="37" fillId="67" borderId="54" xfId="32" applyFont="1" applyFill="1" applyBorder="1" applyAlignment="1">
      <alignment horizontal="center" vertical="center"/>
    </xf>
    <xf numFmtId="0" fontId="185" fillId="77" borderId="280" xfId="0" applyFont="1" applyFill="1" applyBorder="1" applyAlignment="1">
      <alignment horizontal="center" vertical="center"/>
    </xf>
    <xf numFmtId="0" fontId="185" fillId="77" borderId="281" xfId="0" applyFont="1" applyFill="1" applyBorder="1" applyAlignment="1">
      <alignment horizontal="center" vertical="center"/>
    </xf>
    <xf numFmtId="0" fontId="185" fillId="77" borderId="282" xfId="0" applyFont="1" applyFill="1" applyBorder="1" applyAlignment="1">
      <alignment horizontal="center" vertical="center"/>
    </xf>
    <xf numFmtId="0" fontId="185" fillId="63" borderId="280" xfId="0" applyFont="1" applyFill="1" applyBorder="1" applyAlignment="1">
      <alignment horizontal="center" vertical="center"/>
    </xf>
    <xf numFmtId="0" fontId="185" fillId="63" borderId="281" xfId="0" applyFont="1" applyFill="1" applyBorder="1" applyAlignment="1">
      <alignment horizontal="center" vertical="center"/>
    </xf>
    <xf numFmtId="0" fontId="185" fillId="63" borderId="282" xfId="0" applyFont="1" applyFill="1" applyBorder="1" applyAlignment="1">
      <alignment horizontal="center" vertical="center"/>
    </xf>
    <xf numFmtId="0" fontId="41" fillId="0" borderId="280" xfId="0" applyFont="1" applyBorder="1" applyAlignment="1">
      <alignment horizontal="center" vertical="center"/>
    </xf>
    <xf numFmtId="0" fontId="41" fillId="0" borderId="281" xfId="0" applyFont="1" applyBorder="1" applyAlignment="1">
      <alignment horizontal="center" vertical="center"/>
    </xf>
    <xf numFmtId="0" fontId="41" fillId="0" borderId="282" xfId="0" applyFont="1" applyBorder="1" applyAlignment="1">
      <alignment horizontal="center" vertical="center"/>
    </xf>
    <xf numFmtId="0" fontId="185" fillId="61" borderId="280" xfId="0" applyFont="1" applyFill="1" applyBorder="1" applyAlignment="1">
      <alignment horizontal="center" vertical="center"/>
    </xf>
    <xf numFmtId="0" fontId="185" fillId="61" borderId="281" xfId="0" applyFont="1" applyFill="1" applyBorder="1" applyAlignment="1">
      <alignment horizontal="center" vertical="center"/>
    </xf>
    <xf numFmtId="0" fontId="185" fillId="61" borderId="282" xfId="0" applyFont="1" applyFill="1" applyBorder="1" applyAlignment="1">
      <alignment horizontal="center" vertical="center"/>
    </xf>
    <xf numFmtId="0" fontId="185" fillId="64" borderId="280" xfId="0" applyFont="1" applyFill="1" applyBorder="1" applyAlignment="1">
      <alignment horizontal="center" vertical="center"/>
    </xf>
    <xf numFmtId="0" fontId="185" fillId="64" borderId="281" xfId="0" applyFont="1" applyFill="1" applyBorder="1" applyAlignment="1">
      <alignment horizontal="center" vertical="center"/>
    </xf>
    <xf numFmtId="0" fontId="185" fillId="64" borderId="282" xfId="0" applyFont="1" applyFill="1" applyBorder="1" applyAlignment="1">
      <alignment horizontal="center" vertical="center"/>
    </xf>
    <xf numFmtId="0" fontId="185" fillId="84" borderId="280" xfId="0" applyFont="1" applyFill="1" applyBorder="1" applyAlignment="1">
      <alignment horizontal="center" vertical="center"/>
    </xf>
    <xf numFmtId="0" fontId="185" fillId="84" borderId="281" xfId="0" applyFont="1" applyFill="1" applyBorder="1" applyAlignment="1">
      <alignment horizontal="center" vertical="center"/>
    </xf>
    <xf numFmtId="0" fontId="185" fillId="84" borderId="282" xfId="0" applyFont="1" applyFill="1" applyBorder="1" applyAlignment="1">
      <alignment horizontal="center" vertical="center"/>
    </xf>
    <xf numFmtId="0" fontId="45" fillId="0" borderId="244" xfId="32" applyFont="1" applyBorder="1" applyAlignment="1" applyProtection="1">
      <alignment horizontal="center" vertical="center" wrapText="1"/>
      <protection locked="0"/>
    </xf>
    <xf numFmtId="0" fontId="29" fillId="0" borderId="188" xfId="32" applyFont="1" applyBorder="1" applyAlignment="1" applyProtection="1">
      <alignment horizontal="center" vertical="center"/>
      <protection locked="0"/>
    </xf>
    <xf numFmtId="0" fontId="69" fillId="0" borderId="245" xfId="32" applyFont="1" applyBorder="1" applyAlignment="1" applyProtection="1">
      <alignment horizontal="center" vertical="center" wrapText="1"/>
      <protection locked="0"/>
    </xf>
    <xf numFmtId="0" fontId="34" fillId="0" borderId="0" xfId="32" applyFont="1" applyAlignment="1" applyProtection="1">
      <alignment horizontal="center" vertical="center" wrapText="1"/>
      <protection locked="0"/>
    </xf>
    <xf numFmtId="0" fontId="28" fillId="0" borderId="0" xfId="32" applyFont="1" applyAlignment="1" applyProtection="1">
      <alignment horizontal="center"/>
      <protection locked="0"/>
    </xf>
    <xf numFmtId="0" fontId="45" fillId="0" borderId="245" xfId="32" applyFont="1" applyBorder="1" applyAlignment="1" applyProtection="1">
      <alignment horizontal="center" vertical="center" wrapText="1"/>
      <protection locked="0"/>
    </xf>
    <xf numFmtId="0" fontId="64" fillId="87" borderId="199" xfId="32" applyFont="1" applyFill="1" applyBorder="1" applyAlignment="1">
      <alignment horizontal="center" vertical="center"/>
    </xf>
    <xf numFmtId="0" fontId="64" fillId="87" borderId="200" xfId="32" applyFont="1" applyFill="1" applyBorder="1" applyAlignment="1">
      <alignment horizontal="center" vertical="center"/>
    </xf>
    <xf numFmtId="0" fontId="64" fillId="87" borderId="201" xfId="32" applyFont="1" applyFill="1" applyBorder="1" applyAlignment="1">
      <alignment horizontal="center" vertical="center"/>
    </xf>
    <xf numFmtId="0" fontId="7" fillId="75" borderId="70" xfId="0" applyFont="1" applyFill="1" applyBorder="1" applyAlignment="1" applyProtection="1">
      <alignment horizontal="center" vertical="center"/>
      <protection locked="0"/>
    </xf>
    <xf numFmtId="0" fontId="148" fillId="75" borderId="154" xfId="0" quotePrefix="1" applyFont="1" applyFill="1" applyBorder="1" applyAlignment="1">
      <alignment horizontal="left" vertical="top" textRotation="90"/>
    </xf>
    <xf numFmtId="0" fontId="7" fillId="106" borderId="74" xfId="0" applyFont="1" applyFill="1" applyBorder="1" applyAlignment="1" applyProtection="1">
      <alignment horizontal="center" vertical="center"/>
      <protection locked="0"/>
    </xf>
    <xf numFmtId="0" fontId="148" fillId="106" borderId="297" xfId="0" quotePrefix="1" applyFont="1" applyFill="1" applyBorder="1" applyAlignment="1">
      <alignment horizontal="left" vertical="top" textRotation="90"/>
    </xf>
    <xf numFmtId="0" fontId="7" fillId="51" borderId="74" xfId="0" applyFont="1" applyFill="1" applyBorder="1" applyAlignment="1" applyProtection="1">
      <alignment horizontal="center" vertical="center"/>
      <protection locked="0"/>
    </xf>
    <xf numFmtId="0" fontId="148" fillId="51" borderId="297" xfId="0" quotePrefix="1" applyFont="1" applyFill="1" applyBorder="1" applyAlignment="1">
      <alignment horizontal="left" vertical="top" textRotation="90"/>
    </xf>
    <xf numFmtId="0" fontId="7" fillId="67" borderId="74" xfId="0" applyFont="1" applyFill="1" applyBorder="1" applyAlignment="1" applyProtection="1">
      <alignment horizontal="center" vertical="center"/>
      <protection locked="0"/>
    </xf>
    <xf numFmtId="0" fontId="148" fillId="107" borderId="297" xfId="0" quotePrefix="1" applyFont="1" applyFill="1" applyBorder="1" applyAlignment="1">
      <alignment horizontal="left" vertical="top" textRotation="90"/>
    </xf>
    <xf numFmtId="0" fontId="148" fillId="107" borderId="154" xfId="0" quotePrefix="1" applyFont="1" applyFill="1" applyBorder="1" applyAlignment="1">
      <alignment horizontal="left" vertical="top" textRotation="90"/>
    </xf>
    <xf numFmtId="0" fontId="7" fillId="67" borderId="77" xfId="0" applyFont="1" applyFill="1" applyBorder="1" applyAlignment="1" applyProtection="1">
      <alignment horizontal="center" vertical="center"/>
      <protection locked="0"/>
    </xf>
    <xf numFmtId="0" fontId="148" fillId="107" borderId="154" xfId="0" quotePrefix="1" applyFont="1" applyFill="1" applyBorder="1" applyAlignment="1">
      <alignment vertical="top" textRotation="90"/>
    </xf>
  </cellXfs>
  <cellStyles count="85">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Énfasis1 2" xfId="45" xr:uid="{00000000-0005-0000-0000-000006000000}"/>
    <cellStyle name="20% - Énfasis2 2" xfId="46" xr:uid="{00000000-0005-0000-0000-000007000000}"/>
    <cellStyle name="20% - Énfasis3 2" xfId="47" xr:uid="{00000000-0005-0000-0000-000008000000}"/>
    <cellStyle name="20% - Énfasis4 2" xfId="48" xr:uid="{00000000-0005-0000-0000-000009000000}"/>
    <cellStyle name="20% - Énfasis5 2" xfId="49" xr:uid="{00000000-0005-0000-0000-00000A000000}"/>
    <cellStyle name="20% - Énfasis6 2" xfId="50" xr:uid="{00000000-0005-0000-0000-00000B000000}"/>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40% - Énfasis1 2" xfId="51" xr:uid="{00000000-0005-0000-0000-000012000000}"/>
    <cellStyle name="40% - Énfasis2 2" xfId="52" xr:uid="{00000000-0005-0000-0000-000013000000}"/>
    <cellStyle name="40% - Énfasis3 2" xfId="53" xr:uid="{00000000-0005-0000-0000-000014000000}"/>
    <cellStyle name="40% - Énfasis4 2" xfId="54" xr:uid="{00000000-0005-0000-0000-000015000000}"/>
    <cellStyle name="40% - Énfasis5 2" xfId="55" xr:uid="{00000000-0005-0000-0000-000016000000}"/>
    <cellStyle name="40% - Énfasis6 2" xfId="56" xr:uid="{00000000-0005-0000-0000-000017000000}"/>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60% - Énfasis1 2" xfId="57" xr:uid="{00000000-0005-0000-0000-00001E000000}"/>
    <cellStyle name="60% - Énfasis2 2" xfId="58" xr:uid="{00000000-0005-0000-0000-00001F000000}"/>
    <cellStyle name="60% - Énfasis3 2" xfId="59" xr:uid="{00000000-0005-0000-0000-000020000000}"/>
    <cellStyle name="60% - Énfasis4 2" xfId="60" xr:uid="{00000000-0005-0000-0000-000021000000}"/>
    <cellStyle name="60% - Énfasis5 2" xfId="61" xr:uid="{00000000-0005-0000-0000-000022000000}"/>
    <cellStyle name="60% - Énfasis6 2" xfId="62" xr:uid="{00000000-0005-0000-0000-000023000000}"/>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Buena 2" xfId="75" xr:uid="{00000000-0005-0000-0000-00002B000000}"/>
    <cellStyle name="Calcul" xfId="26" builtinId="22" customBuiltin="1"/>
    <cellStyle name="Cálculo 2" xfId="70" xr:uid="{00000000-0005-0000-0000-00002D000000}"/>
    <cellStyle name="Celda de comprobación 2" xfId="84" xr:uid="{00000000-0005-0000-0000-00002E000000}"/>
    <cellStyle name="Celda vinculada 2" xfId="71" xr:uid="{00000000-0005-0000-0000-00002F000000}"/>
    <cellStyle name="Cellule liée" xfId="27" builtinId="24" customBuiltin="1"/>
    <cellStyle name="Encabezado 4 2" xfId="82" xr:uid="{00000000-0005-0000-0000-000031000000}"/>
    <cellStyle name="Énfasis1 2" xfId="63" xr:uid="{00000000-0005-0000-0000-000032000000}"/>
    <cellStyle name="Énfasis2 2" xfId="64" xr:uid="{00000000-0005-0000-0000-000033000000}"/>
    <cellStyle name="Énfasis3 2" xfId="65" xr:uid="{00000000-0005-0000-0000-000034000000}"/>
    <cellStyle name="Énfasis4 2" xfId="66" xr:uid="{00000000-0005-0000-0000-000035000000}"/>
    <cellStyle name="Énfasis5 2" xfId="67" xr:uid="{00000000-0005-0000-0000-000036000000}"/>
    <cellStyle name="Énfasis6 2" xfId="68" xr:uid="{00000000-0005-0000-0000-000037000000}"/>
    <cellStyle name="Entrada 2" xfId="72" xr:uid="{00000000-0005-0000-0000-000038000000}"/>
    <cellStyle name="Entrée" xfId="28" builtinId="20" customBuiltin="1"/>
    <cellStyle name="Incorrecto 2" xfId="73" xr:uid="{00000000-0005-0000-0000-00003A000000}"/>
    <cellStyle name="Insatisfaisant" xfId="29" builtinId="27" customBuiltin="1"/>
    <cellStyle name="Lien hypertexte" xfId="30" builtinId="8"/>
    <cellStyle name="Neutral 2" xfId="74" xr:uid="{00000000-0005-0000-0000-00003D000000}"/>
    <cellStyle name="Neutre" xfId="31" builtinId="28" customBuiltin="1"/>
    <cellStyle name="Normal" xfId="0" builtinId="0"/>
    <cellStyle name="Normal 2" xfId="32" xr:uid="{00000000-0005-0000-0000-000040000000}"/>
    <cellStyle name="Normal 3" xfId="44" xr:uid="{00000000-0005-0000-0000-000041000000}"/>
    <cellStyle name="Normal 4" xfId="43" xr:uid="{00000000-0005-0000-0000-000042000000}"/>
    <cellStyle name="Salida 2" xfId="76" xr:uid="{00000000-0005-0000-0000-000043000000}"/>
    <cellStyle name="Satisfaisant" xfId="33" builtinId="26" customBuiltin="1"/>
    <cellStyle name="Sortie" xfId="34" builtinId="21" customBuiltin="1"/>
    <cellStyle name="Texte explicatif" xfId="35" builtinId="53" customBuiltin="1"/>
    <cellStyle name="Texto de advertencia 2" xfId="69" xr:uid="{00000000-0005-0000-0000-000047000000}"/>
    <cellStyle name="Texto explicativo 2" xfId="77" xr:uid="{00000000-0005-0000-0000-000048000000}"/>
    <cellStyle name="Titre" xfId="36" builtinId="15" customBuiltin="1"/>
    <cellStyle name="Titre 1" xfId="37" builtinId="16" customBuiltin="1"/>
    <cellStyle name="Titre 2" xfId="38" builtinId="17" customBuiltin="1"/>
    <cellStyle name="Titre 3" xfId="39" builtinId="18" customBuiltin="1"/>
    <cellStyle name="Titre 4" xfId="40" builtinId="19" customBuiltin="1"/>
    <cellStyle name="Título 1 2" xfId="79" xr:uid="{00000000-0005-0000-0000-00004E000000}"/>
    <cellStyle name="Título 2 2" xfId="80" xr:uid="{00000000-0005-0000-0000-00004F000000}"/>
    <cellStyle name="Título 3 2" xfId="81" xr:uid="{00000000-0005-0000-0000-000050000000}"/>
    <cellStyle name="Título 4" xfId="78" xr:uid="{00000000-0005-0000-0000-000051000000}"/>
    <cellStyle name="Total" xfId="41" builtinId="25" customBuiltin="1"/>
    <cellStyle name="Total 2" xfId="83" xr:uid="{00000000-0005-0000-0000-000053000000}"/>
    <cellStyle name="Vérification" xfId="42" builtinId="23" customBuiltin="1"/>
  </cellStyles>
  <dxfs count="117">
    <dxf>
      <font>
        <b val="0"/>
        <i/>
        <strike val="0"/>
        <color rgb="FF808080"/>
      </font>
    </dxf>
    <dxf>
      <fill>
        <patternFill>
          <fgColor indexed="64"/>
          <bgColor rgb="FFFFCC00"/>
        </patternFill>
      </fill>
    </dxf>
    <dxf>
      <font>
        <b/>
        <i val="0"/>
        <strike/>
        <color rgb="FFFFFF00"/>
      </font>
      <fill>
        <patternFill>
          <fgColor indexed="64"/>
          <bgColor rgb="FFFF5050"/>
        </patternFill>
      </fill>
    </dxf>
    <dxf>
      <font>
        <b val="0"/>
        <i/>
        <strike val="0"/>
        <color rgb="FF808080"/>
      </font>
    </dxf>
    <dxf>
      <fill>
        <patternFill>
          <fgColor indexed="64"/>
          <bgColor rgb="FFFFCC00"/>
        </patternFill>
      </fill>
    </dxf>
    <dxf>
      <font>
        <b/>
        <i val="0"/>
        <strike/>
        <color rgb="FFFFFF00"/>
      </font>
      <fill>
        <patternFill>
          <fgColor indexed="64"/>
          <bgColor rgb="FFFF5050"/>
        </patternFill>
      </fill>
    </dxf>
    <dxf>
      <font>
        <b val="0"/>
        <i/>
        <strike val="0"/>
        <color rgb="FF808080"/>
      </font>
    </dxf>
    <dxf>
      <fill>
        <patternFill>
          <fgColor indexed="64"/>
          <bgColor rgb="FFFFCC00"/>
        </patternFill>
      </fill>
    </dxf>
    <dxf>
      <font>
        <b/>
        <i val="0"/>
        <strike/>
        <color rgb="FFFFFF00"/>
      </font>
      <fill>
        <patternFill>
          <fgColor indexed="64"/>
          <bgColor rgb="FFFF5050"/>
        </patternFill>
      </fill>
    </dxf>
    <dxf>
      <font>
        <color rgb="FFFFFFCC"/>
      </font>
    </dxf>
    <dxf>
      <fill>
        <patternFill>
          <bgColor indexed="26"/>
        </patternFill>
      </fill>
    </dxf>
    <dxf>
      <font>
        <b/>
        <i val="0"/>
        <color rgb="FFFFFF00"/>
      </font>
      <fill>
        <patternFill>
          <fgColor indexed="64"/>
          <bgColor rgb="FF008000"/>
        </patternFill>
      </fill>
    </dxf>
    <dxf>
      <font>
        <b/>
        <i val="0"/>
        <strike/>
        <color rgb="FFFFFF00"/>
      </font>
      <fill>
        <patternFill>
          <fgColor indexed="64"/>
          <bgColor rgb="FFFF5050"/>
        </patternFill>
      </fill>
    </dxf>
    <dxf>
      <font>
        <b/>
        <i val="0"/>
        <strike/>
        <color rgb="FFFFFF00"/>
      </font>
      <fill>
        <patternFill>
          <fgColor indexed="64"/>
          <bgColor rgb="FFFF5050"/>
        </patternFill>
      </fill>
    </dxf>
    <dxf>
      <font>
        <b/>
        <i val="0"/>
        <strike/>
        <color rgb="FFFFFF00"/>
      </font>
      <fill>
        <patternFill>
          <fgColor indexed="64"/>
          <bgColor rgb="FFFF5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rgb="FFFFCCCC"/>
      </font>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ndense val="0"/>
        <extend val="0"/>
        <color rgb="FF9C0006"/>
      </font>
      <fill>
        <patternFill>
          <bgColor rgb="FFFFC7CE"/>
        </patternFill>
      </fill>
    </dxf>
    <dxf>
      <fill>
        <patternFill>
          <bgColor indexed="42"/>
        </patternFill>
      </fill>
    </dxf>
    <dxf>
      <fill>
        <patternFill>
          <bgColor indexed="42"/>
        </patternFill>
      </fill>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strike/>
        <color rgb="FFFFFF00"/>
      </font>
      <fill>
        <patternFill>
          <bgColor rgb="FFFF5050"/>
        </patternFill>
      </fill>
    </dxf>
    <dxf>
      <font>
        <b val="0"/>
        <i/>
        <color theme="0" tint="-0.499984740745262"/>
      </font>
    </dxf>
    <dxf>
      <font>
        <condense val="0"/>
        <extend val="0"/>
        <color auto="1"/>
      </font>
      <fill>
        <patternFill>
          <bgColor indexed="51"/>
        </patternFill>
      </fill>
    </dxf>
    <dxf>
      <font>
        <strike/>
        <color rgb="FFFFFF00"/>
      </font>
      <fill>
        <patternFill>
          <bgColor rgb="FFFF5050"/>
        </patternFill>
      </fill>
    </dxf>
    <dxf>
      <font>
        <b val="0"/>
        <i/>
        <color theme="0" tint="-0.499984740745262"/>
      </font>
    </dxf>
    <dxf>
      <font>
        <condense val="0"/>
        <extend val="0"/>
        <color auto="1"/>
      </font>
      <fill>
        <patternFill>
          <bgColor indexed="51"/>
        </patternFill>
      </fill>
    </dxf>
    <dxf>
      <font>
        <condense val="0"/>
        <extend val="0"/>
        <color auto="1"/>
      </font>
      <fill>
        <patternFill>
          <bgColor indexed="51"/>
        </patternFill>
      </fill>
    </dxf>
    <dxf>
      <font>
        <condense val="0"/>
        <extend val="0"/>
        <color auto="1"/>
      </font>
      <fill>
        <patternFill>
          <bgColor indexed="51"/>
        </patternFill>
      </fill>
    </dxf>
    <dxf>
      <font>
        <condense val="0"/>
        <extend val="0"/>
        <color auto="1"/>
      </font>
      <fill>
        <patternFill>
          <bgColor indexed="51"/>
        </patternFill>
      </fill>
    </dxf>
    <dxf>
      <font>
        <condense val="0"/>
        <extend val="0"/>
        <color auto="1"/>
      </font>
      <fill>
        <patternFill>
          <bgColor indexed="51"/>
        </patternFill>
      </fill>
    </dxf>
    <dxf>
      <font>
        <condense val="0"/>
        <extend val="0"/>
        <color auto="1"/>
      </font>
      <fill>
        <patternFill>
          <bgColor indexed="51"/>
        </patternFill>
      </fill>
    </dxf>
    <dxf>
      <font>
        <condense val="0"/>
        <extend val="0"/>
        <color auto="1"/>
      </font>
      <fill>
        <patternFill>
          <bgColor indexed="51"/>
        </patternFill>
      </fill>
    </dxf>
    <dxf>
      <font>
        <condense val="0"/>
        <extend val="0"/>
        <color auto="1"/>
      </font>
      <fill>
        <patternFill>
          <bgColor indexed="51"/>
        </patternFill>
      </fill>
    </dxf>
    <dxf>
      <font>
        <b/>
        <i val="0"/>
        <color rgb="FFFFFF00"/>
      </font>
      <fill>
        <patternFill>
          <bgColor rgb="FF008000"/>
        </patternFill>
      </fill>
    </dxf>
    <dxf>
      <font>
        <b/>
        <i val="0"/>
        <color rgb="FFFFFF00"/>
      </font>
      <fill>
        <patternFill>
          <bgColor rgb="FF008000"/>
        </patternFill>
      </fill>
    </dxf>
    <dxf>
      <font>
        <b/>
        <i val="0"/>
        <strike/>
        <color rgb="FFFFFF00"/>
      </font>
      <fill>
        <patternFill>
          <bgColor rgb="FFFF5050"/>
        </patternFill>
      </fill>
    </dxf>
    <dxf>
      <font>
        <b/>
        <i val="0"/>
        <condense val="0"/>
        <extend val="0"/>
        <color indexed="41"/>
      </font>
      <fill>
        <patternFill>
          <bgColor indexed="50"/>
        </patternFill>
      </fill>
    </dxf>
    <dxf>
      <font>
        <b/>
        <i val="0"/>
        <condense val="0"/>
        <extend val="0"/>
        <color indexed="41"/>
      </font>
      <fill>
        <patternFill>
          <bgColor indexed="50"/>
        </patternFill>
      </fill>
    </dxf>
    <dxf>
      <font>
        <b/>
        <i val="0"/>
        <condense val="0"/>
        <extend val="0"/>
        <color indexed="41"/>
      </font>
      <fill>
        <patternFill>
          <bgColor indexed="50"/>
        </patternFill>
      </fill>
    </dxf>
    <dxf>
      <font>
        <b/>
        <i val="0"/>
        <color rgb="FFFFFF00"/>
      </font>
      <fill>
        <patternFill>
          <bgColor rgb="FF008000"/>
        </patternFill>
      </fill>
    </dxf>
    <dxf>
      <font>
        <b/>
        <i val="0"/>
        <color rgb="FFFFFF00"/>
      </font>
      <fill>
        <patternFill>
          <bgColor rgb="FF008000"/>
        </patternFill>
      </fill>
    </dxf>
    <dxf>
      <font>
        <b/>
        <i val="0"/>
        <strike/>
        <color rgb="FFFFFF00"/>
      </font>
      <fill>
        <patternFill>
          <bgColor rgb="FFFF5050"/>
        </patternFill>
      </fill>
    </dxf>
    <dxf>
      <font>
        <b/>
        <i val="0"/>
        <condense val="0"/>
        <extend val="0"/>
        <color indexed="41"/>
      </font>
      <fill>
        <patternFill>
          <bgColor indexed="50"/>
        </patternFill>
      </fill>
    </dxf>
    <dxf>
      <font>
        <b/>
        <i val="0"/>
        <condense val="0"/>
        <extend val="0"/>
        <color indexed="41"/>
      </font>
      <fill>
        <patternFill>
          <bgColor indexed="50"/>
        </patternFill>
      </fill>
    </dxf>
    <dxf>
      <font>
        <b val="0"/>
        <i/>
        <color theme="0" tint="-0.34998626667073579"/>
      </font>
    </dxf>
    <dxf>
      <font>
        <b val="0"/>
        <i/>
        <color theme="0" tint="-0.34998626667073579"/>
      </font>
    </dxf>
    <dxf>
      <font>
        <b val="0"/>
        <i/>
        <color theme="0" tint="-0.34998626667073579"/>
      </font>
    </dxf>
    <dxf>
      <fill>
        <patternFill>
          <bgColor theme="9" tint="0.79998168889431442"/>
        </patternFill>
      </fill>
    </dxf>
    <dxf>
      <fill>
        <patternFill>
          <bgColor theme="0"/>
        </patternFill>
      </fill>
    </dxf>
    <dxf>
      <fill>
        <patternFill>
          <bgColor theme="9" tint="0.39994506668294322"/>
        </patternFill>
      </fill>
    </dxf>
    <dxf>
      <fill>
        <patternFill>
          <bgColor theme="9" tint="0.39994506668294322"/>
        </patternFill>
      </fill>
    </dxf>
    <dxf>
      <fill>
        <patternFill>
          <bgColor indexed="9"/>
        </patternFill>
      </fill>
    </dxf>
    <dxf>
      <fill>
        <patternFill>
          <bgColor theme="9" tint="0.79998168889431442"/>
        </patternFill>
      </fill>
    </dxf>
    <dxf>
      <fill>
        <patternFill>
          <bgColor indexed="41"/>
        </patternFill>
      </fill>
    </dxf>
    <dxf>
      <fill>
        <patternFill>
          <bgColor indexed="41"/>
        </patternFill>
      </fill>
    </dxf>
    <dxf>
      <fill>
        <patternFill>
          <bgColor indexed="41"/>
        </patternFill>
      </fill>
    </dxf>
    <dxf>
      <fill>
        <patternFill>
          <bgColor theme="9" tint="0.79998168889431442"/>
        </patternFill>
      </fill>
    </dxf>
    <dxf>
      <fill>
        <patternFill>
          <bgColor indexed="9"/>
        </patternFill>
      </fill>
    </dxf>
    <dxf>
      <fill>
        <patternFill>
          <bgColor indexed="47"/>
        </patternFill>
      </fill>
    </dxf>
    <dxf>
      <fill>
        <patternFill>
          <bgColor indexed="42"/>
        </patternFill>
      </fill>
    </dxf>
    <dxf>
      <fill>
        <patternFill>
          <bgColor indexed="26"/>
        </patternFill>
      </fill>
    </dxf>
    <dxf>
      <fill>
        <patternFill>
          <bgColor indexed="41"/>
        </patternFill>
      </fill>
    </dxf>
  </dxfs>
  <tableStyles count="0" defaultTableStyle="TableStyleMedium9" defaultPivotStyle="PivotStyleLight16"/>
  <colors>
    <mruColors>
      <color rgb="FFFFCC99"/>
      <color rgb="FF66FF99"/>
      <color rgb="FFFF66FF"/>
      <color rgb="FF66FFFF"/>
      <color rgb="FFFF00FF"/>
      <color rgb="FF00FFFF"/>
      <color rgb="FF33CCFF"/>
      <color rgb="FF00CCFF"/>
      <color rgb="FFFFFF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CheckBox" fmlaLink="NationalityTrigram" lockText="1" noThreeD="1"/>
</file>

<file path=xl/ctrlProps/ctrlProp2.xml><?xml version="1.0" encoding="utf-8"?>
<formControlPr xmlns="http://schemas.microsoft.com/office/spreadsheetml/2009/9/main" objectType="CheckBox" fmlaLink="RankingAsLicencesList" lockText="1" noThreeD="1"/>
</file>

<file path=xl/ctrlProps/ctrlProp3.xml><?xml version="1.0" encoding="utf-8"?>
<formControlPr xmlns="http://schemas.microsoft.com/office/spreadsheetml/2009/9/main" objectType="CheckBox" fmlaLink="Protection_Feuilles" lockText="1" noThreeD="1"/>
</file>

<file path=xl/ctrlProps/ctrlProp4.xml><?xml version="1.0" encoding="utf-8"?>
<formControlPr xmlns="http://schemas.microsoft.com/office/spreadsheetml/2009/9/main" objectType="CheckBox" checked="Checked" fmlaLink="HidePlayerFormulas" lockText="1" noThreeD="1"/>
</file>

<file path=xl/ctrlProps/ctrlProp5.xml><?xml version="1.0" encoding="utf-8"?>
<formControlPr xmlns="http://schemas.microsoft.com/office/spreadsheetml/2009/9/main" objectType="CheckBox" checked="Checked" fmlaLink="Check_Referee_SameGroup" lockText="1" noThreeD="1"/>
</file>

<file path=xl/ctrlProps/ctrlProp6.xml><?xml version="1.0" encoding="utf-8"?>
<formControlPr xmlns="http://schemas.microsoft.com/office/spreadsheetml/2009/9/main" objectType="CheckBox" checked="Checked" fmlaLink="Check_Referee_SameClub" lockText="1" noThreeD="1"/>
</file>

<file path=xl/ctrlProps/ctrlProp7.xml><?xml version="1.0" encoding="utf-8"?>
<formControlPr xmlns="http://schemas.microsoft.com/office/spreadsheetml/2009/9/main" objectType="CheckBox" checked="Checked" fmlaLink="Check_Referee_SameNat" lockText="1" noThreeD="1"/>
</file>

<file path=xl/ctrlProps/ctrlProp8.xml><?xml version="1.0" encoding="utf-8"?>
<formControlPr xmlns="http://schemas.microsoft.com/office/spreadsheetml/2009/9/main" objectType="CheckBox" checked="Checked" fmlaLink="DefaultExportIndMatches" lockText="1" noThreeD="1"/>
</file>

<file path=xl/ctrlProps/ctrlProp9.xml><?xml version="1.0" encoding="utf-8"?>
<formControlPr xmlns="http://schemas.microsoft.com/office/spreadsheetml/2009/9/main" objectType="CheckBox" fmlaLink="PrintVenue" lockText="1" noThreeD="1"/>
</file>

<file path=xl/ctrlProps/ctrlProp10.xml><?xml version="1.0" encoding="utf-8"?>
<formControlPr xmlns="http://schemas.microsoft.com/office/spreadsheetml/2009/9/main" objectType="CheckBox" fmlaLink="PrintStats" lockText="1" noThreeD="1"/>
</file>

<file path=xl/ctrlProps/ctrlProp11.xml><?xml version="1.0" encoding="utf-8"?>
<formControlPr xmlns="http://schemas.microsoft.com/office/spreadsheetml/2009/9/main" objectType="CheckBox" checked="Checked" fmlaLink="Check_Referee_Club_InGroup" lockText="1" noThreeD="1"/>
</file>

<file path=xl/ctrlProps/ctrlProp12.xml><?xml version="1.0" encoding="utf-8"?>
<formControlPr xmlns="http://schemas.microsoft.com/office/spreadsheetml/2009/9/main" objectType="CheckBox" checked="Checked" fmlaLink="Check_Referee_Nat_InGroup" lockText="1" noThreeD="1"/>
</file>

<file path=xl/ctrlProps/ctrlProp13.xml><?xml version="1.0" encoding="utf-8"?>
<formControlPr xmlns="http://schemas.microsoft.com/office/spreadsheetml/2009/9/main" objectType="CheckBox" fmlaLink="NoDrawWithWithdraw" lockText="1" noThreeD="1"/>
</file>

<file path=xl/ctrlProps/ctrlProp14.xml><?xml version="1.0" encoding="utf-8"?>
<formControlPr xmlns="http://schemas.microsoft.com/office/spreadsheetml/2009/9/main" objectType="CheckBox" fmlaLink="$J$21" lockText="1" noThreeD="1"/>
</file>

<file path=xl/ctrlProps/ctrlProp15.xml><?xml version="1.0" encoding="utf-8"?>
<formControlPr xmlns="http://schemas.microsoft.com/office/spreadsheetml/2009/9/main" objectType="CheckBox" fmlaLink="$J$22" lockText="1" noThreeD="1"/>
</file>

<file path=xl/ctrlProps/ctrlProp16.xml><?xml version="1.0" encoding="utf-8"?>
<formControlPr xmlns="http://schemas.microsoft.com/office/spreadsheetml/2009/9/main" objectType="CheckBox" fmlaLink="$J$23" lockText="1" noThreeD="1"/>
</file>

<file path=xl/ctrlProps/ctrlProp17.xml><?xml version="1.0" encoding="utf-8"?>
<formControlPr xmlns="http://schemas.microsoft.com/office/spreadsheetml/2009/9/main" objectType="CheckBox" fmlaLink="$J$24" lockText="1" noThreeD="1"/>
</file>

<file path=xl/ctrlProps/ctrlProp18.xml><?xml version="1.0" encoding="utf-8"?>
<formControlPr xmlns="http://schemas.microsoft.com/office/spreadsheetml/2009/9/main" objectType="CheckBox" checked="Checked" fmlaLink="$J$25" lockText="1" noThreeD="1"/>
</file>

<file path=xl/ctrlProps/ctrlProp19.xml><?xml version="1.0" encoding="utf-8"?>
<formControlPr xmlns="http://schemas.microsoft.com/office/spreadsheetml/2009/9/main" objectType="CheckBox" checked="Checked" fmlaLink="$J$26" lockText="1" noThreeD="1"/>
</file>

<file path=xl/ctrlProps/ctrlProp20.xml><?xml version="1.0" encoding="utf-8"?>
<formControlPr xmlns="http://schemas.microsoft.com/office/spreadsheetml/2009/9/main" objectType="CheckBox" fmlaLink="$J$27" lockText="1" noThreeD="1"/>
</file>

<file path=xl/ctrlProps/ctrlProp21.xml><?xml version="1.0" encoding="utf-8"?>
<formControlPr xmlns="http://schemas.microsoft.com/office/spreadsheetml/2009/9/main" objectType="CheckBox" checked="Checked" fmlaLink="$J$33" lockText="1" noThreeD="1"/>
</file>

<file path=xl/ctrlProps/ctrlProp22.xml><?xml version="1.0" encoding="utf-8"?>
<formControlPr xmlns="http://schemas.microsoft.com/office/spreadsheetml/2009/9/main" objectType="CheckBox" checked="Checked" fmlaLink="$J$34" lockText="1" noThreeD="1"/>
</file>

<file path=xl/ctrlProps/ctrlProp23.xml><?xml version="1.0" encoding="utf-8"?>
<formControlPr xmlns="http://schemas.microsoft.com/office/spreadsheetml/2009/9/main" objectType="CheckBox" fmlaLink="$J$15" lockText="1" noThreeD="1"/>
</file>

<file path=xl/ctrlProps/ctrlProp24.xml><?xml version="1.0" encoding="utf-8"?>
<formControlPr xmlns="http://schemas.microsoft.com/office/spreadsheetml/2009/9/main" objectType="CheckBox" fmlaLink="$J$16" lockText="1" noThreeD="1"/>
</file>

<file path=xl/ctrlProps/ctrlProp25.xml><?xml version="1.0" encoding="utf-8"?>
<formControlPr xmlns="http://schemas.microsoft.com/office/spreadsheetml/2009/9/main" objectType="CheckBox" fmlaLink="$J$17" lockText="1" noThreeD="1"/>
</file>

<file path=xl/ctrlProps/ctrlProp26.xml><?xml version="1.0" encoding="utf-8"?>
<formControlPr xmlns="http://schemas.microsoft.com/office/spreadsheetml/2009/9/main" objectType="CheckBox" checked="Checked" fmlaLink="$J$18" lockText="1" noThreeD="1"/>
</file>

<file path=xl/ctrlProps/ctrlProp27.xml><?xml version="1.0" encoding="utf-8"?>
<formControlPr xmlns="http://schemas.microsoft.com/office/spreadsheetml/2009/9/main" objectType="CheckBox" checked="Checked" fmlaLink="$J$19" lockText="1" noThreeD="1"/>
</file>

<file path=xl/ctrlProps/ctrlProp28.xml><?xml version="1.0" encoding="utf-8"?>
<formControlPr xmlns="http://schemas.microsoft.com/office/spreadsheetml/2009/9/main" objectType="CheckBox" fmlaLink="$J$65" lockText="1" noThreeD="1"/>
</file>

<file path=xl/ctrlProps/ctrlProp29.xml><?xml version="1.0" encoding="utf-8"?>
<formControlPr xmlns="http://schemas.microsoft.com/office/spreadsheetml/2009/9/main" objectType="CheckBox" fmlaLink="$J$66" lockText="1" noThreeD="1"/>
</file>

<file path=xl/ctrlProps/ctrlProp30.xml><?xml version="1.0" encoding="utf-8"?>
<formControlPr xmlns="http://schemas.microsoft.com/office/spreadsheetml/2009/9/main" objectType="CheckBox" fmlaLink="$J$67" lockText="1" noThreeD="1"/>
</file>

<file path=xl/ctrlProps/ctrlProp31.xml><?xml version="1.0" encoding="utf-8"?>
<formControlPr xmlns="http://schemas.microsoft.com/office/spreadsheetml/2009/9/main" objectType="CheckBox" fmlaLink="$J$68" lockText="1" noThreeD="1"/>
</file>

<file path=xl/ctrlProps/ctrlProp32.xml><?xml version="1.0" encoding="utf-8"?>
<formControlPr xmlns="http://schemas.microsoft.com/office/spreadsheetml/2009/9/main" objectType="CheckBox" checked="Checked" fmlaLink="$J$74" lockText="1" noThreeD="1"/>
</file>

<file path=xl/ctrlProps/ctrlProp33.xml><?xml version="1.0" encoding="utf-8"?>
<formControlPr xmlns="http://schemas.microsoft.com/office/spreadsheetml/2009/9/main" objectType="CheckBox" fmlaLink="$J$75" lockText="1" noThreeD="1"/>
</file>

<file path=xl/ctrlProps/ctrlProp34.xml><?xml version="1.0" encoding="utf-8"?>
<formControlPr xmlns="http://schemas.microsoft.com/office/spreadsheetml/2009/9/main" objectType="CheckBox" fmlaLink="$J$76" lockText="1" noThreeD="1"/>
</file>

<file path=xl/ctrlProps/ctrlProp35.xml><?xml version="1.0" encoding="utf-8"?>
<formControlPr xmlns="http://schemas.microsoft.com/office/spreadsheetml/2009/9/main" objectType="CheckBox" fmlaLink="$J$77" lockText="1" noThreeD="1"/>
</file>

<file path=xl/ctrlProps/ctrlProp36.xml><?xml version="1.0" encoding="utf-8"?>
<formControlPr xmlns="http://schemas.microsoft.com/office/spreadsheetml/2009/9/main" objectType="CheckBox" fmlaLink="$J$78" lockText="1" noThreeD="1"/>
</file>

<file path=xl/ctrlProps/ctrlProp37.xml><?xml version="1.0" encoding="utf-8"?>
<formControlPr xmlns="http://schemas.microsoft.com/office/spreadsheetml/2009/9/main" objectType="CheckBox" checked="Checked" fmlaLink="ExportIndivToWebSite" lockText="1" noThreeD="1"/>
</file>

<file path=xl/ctrlProps/ctrlProp38.xml><?xml version="1.0" encoding="utf-8"?>
<formControlPr xmlns="http://schemas.microsoft.com/office/spreadsheetml/2009/9/main" objectType="CheckBox" fmlaLink="ExportTeamsToWebSite" lockText="1" noThreeD="1"/>
</file>

<file path=xl/ctrlProps/ctrlProp39.xml><?xml version="1.0" encoding="utf-8"?>
<formControlPr xmlns="http://schemas.microsoft.com/office/spreadsheetml/2009/9/main" objectType="CheckBox" checked="Checked" fmlaLink="ExportPlanningToWebSite" lockText="1" noThreeD="1"/>
</file>

<file path=xl/ctrlProps/ctrlProp40.xml><?xml version="1.0" encoding="utf-8"?>
<formControlPr xmlns="http://schemas.microsoft.com/office/spreadsheetml/2009/9/main" objectType="CheckBox" checked="Checked" fmlaLink="ExportGroupsToWebSite" lockText="1" noThreeD="1"/>
</file>

<file path=xl/ctrlProps/ctrlProp41.xml><?xml version="1.0" encoding="utf-8"?>
<formControlPr xmlns="http://schemas.microsoft.com/office/spreadsheetml/2009/9/main" objectType="CheckBox" checked="Checked" fmlaLink="ExportStatsToWebSite" lockText="1" noThreeD="1"/>
</file>

<file path=xl/ctrlProps/ctrlProp42.xml><?xml version="1.0" encoding="utf-8"?>
<formControlPr xmlns="http://schemas.microsoft.com/office/spreadsheetml/2009/9/main" objectType="CheckBox" checked="Checked" fmlaLink="ExportResultsToWebSite" lockText="1" noThreeD="1"/>
</file>

<file path=xl/ctrlProps/ctrlProp43.xml><?xml version="1.0" encoding="utf-8"?>
<formControlPr xmlns="http://schemas.microsoft.com/office/spreadsheetml/2009/9/main" objectType="CheckBox" checked="Checked" fmlaLink="ExportMatchesToWebSite" lockText="1" noThreeD="1"/>
</file>

<file path=xl/ctrlProps/ctrlProp44.xml><?xml version="1.0" encoding="utf-8"?>
<formControlPr xmlns="http://schemas.microsoft.com/office/spreadsheetml/2009/9/main" objectType="CheckBox" checked="Checked" fmlaLink="GenerateConfigurationFile" lockText="1" noThreeD="1"/>
</file>

<file path=xl/ctrlProps/ctrlProp45.xml><?xml version="1.0" encoding="utf-8"?>
<formControlPr xmlns="http://schemas.microsoft.com/office/spreadsheetml/2009/9/main" objectType="CheckBox" checked="Checked" fmlaLink="$J$114" lockText="1" noThreeD="1"/>
</file>

<file path=xl/ctrlProps/ctrlProp46.xml><?xml version="1.0" encoding="utf-8"?>
<formControlPr xmlns="http://schemas.microsoft.com/office/spreadsheetml/2009/9/main" objectType="CheckBox" checked="Checked" fmlaLink="$J$115" lockText="1" noThreeD="1"/>
</file>

<file path=xl/ctrlProps/ctrlProp47.xml><?xml version="1.0" encoding="utf-8"?>
<formControlPr xmlns="http://schemas.microsoft.com/office/spreadsheetml/2009/9/main" objectType="CheckBox" checked="Checked" fmlaLink="$J$116" lockText="1" noThreeD="1"/>
</file>

<file path=xl/ctrlProps/ctrlProp48.xml><?xml version="1.0" encoding="utf-8"?>
<formControlPr xmlns="http://schemas.microsoft.com/office/spreadsheetml/2009/9/main" objectType="CheckBox" checked="Checked" fmlaLink="$J$117" lockText="1" noThreeD="1"/>
</file>

<file path=xl/ctrlProps/ctrlProp49.xml><?xml version="1.0" encoding="utf-8"?>
<formControlPr xmlns="http://schemas.microsoft.com/office/spreadsheetml/2009/9/main" objectType="CheckBox" checked="Checked" fmlaLink="$J$123" lockText="1" noThreeD="1"/>
</file>

<file path=xl/ctrlProps/ctrlProp50.xml><?xml version="1.0" encoding="utf-8"?>
<formControlPr xmlns="http://schemas.microsoft.com/office/spreadsheetml/2009/9/main" objectType="CheckBox" checked="Checked" fmlaLink="$J$124" lockText="1" noThreeD="1"/>
</file>

<file path=xl/ctrlProps/ctrlProp51.xml><?xml version="1.0" encoding="utf-8"?>
<formControlPr xmlns="http://schemas.microsoft.com/office/spreadsheetml/2009/9/main" objectType="CheckBox" checked="Checked" fmlaLink="$J$125" lockText="1" noThreeD="1"/>
</file>

<file path=xl/ctrlProps/ctrlProp52.xml><?xml version="1.0" encoding="utf-8"?>
<formControlPr xmlns="http://schemas.microsoft.com/office/spreadsheetml/2009/9/main" objectType="CheckBox" checked="Checked" fmlaLink="$J$126" lockText="1" noThreeD="1"/>
</file>

<file path=xl/ctrlProps/ctrlProp53.xml><?xml version="1.0" encoding="utf-8"?>
<formControlPr xmlns="http://schemas.microsoft.com/office/spreadsheetml/2009/9/main" objectType="CheckBox" checked="Checked" fmlaLink="$J$127" lockText="1" noThreeD="1"/>
</file>

<file path=xl/ctrlProps/ctrlProp54.xml><?xml version="1.0" encoding="utf-8"?>
<formControlPr xmlns="http://schemas.microsoft.com/office/spreadsheetml/2009/9/main" objectType="CheckBox" checked="Checked" fmlaLink="ExportIndivRegistrationsToWebSite" lockText="1" noThreeD="1"/>
</file>

<file path=xl/ctrlProps/ctrlProp55.xml><?xml version="1.0" encoding="utf-8"?>
<formControlPr xmlns="http://schemas.microsoft.com/office/spreadsheetml/2009/9/main" objectType="CheckBox" checked="Checked" fmlaLink="ExportTeamsRegistrationsToWebSite" lockText="1" noThreeD="1"/>
</file>

<file path=xl/ctrlProps/ctrlProp56.xml><?xml version="1.0" encoding="utf-8"?>
<formControlPr xmlns="http://schemas.microsoft.com/office/spreadsheetml/2009/9/main" objectType="CheckBox" fmlaLink="$J$28" lockText="1" noThreeD="1"/>
</file>

<file path=xl/ctrlProps/ctrlProp57.xml><?xml version="1.0" encoding="utf-8"?>
<formControlPr xmlns="http://schemas.microsoft.com/office/spreadsheetml/2009/9/main" objectType="CheckBox" fmlaLink="$J$29" lockText="1" noThreeD="1"/>
</file>

<file path=xl/ctrlProps/ctrlProp58.xml><?xml version="1.0" encoding="utf-8"?>
<formControlPr xmlns="http://schemas.microsoft.com/office/spreadsheetml/2009/9/main" objectType="CheckBox" fmlaLink="$J$30" lockText="1" noThreeD="1"/>
</file>

<file path=xl/ctrlProps/ctrlProp59.xml><?xml version="1.0" encoding="utf-8"?>
<formControlPr xmlns="http://schemas.microsoft.com/office/spreadsheetml/2009/9/main" objectType="CheckBox" checked="Checked" fmlaLink="$J$31" lockText="1" noThreeD="1"/>
</file>

<file path=xl/ctrlProps/ctrlProp60.xml><?xml version="1.0" encoding="utf-8"?>
<formControlPr xmlns="http://schemas.microsoft.com/office/spreadsheetml/2009/9/main" objectType="CheckBox" checked="Checked" fmlaLink="$J$32" lockText="1" noThreeD="1"/>
</file>

<file path=xl/ctrlProps/ctrlProp61.xml><?xml version="1.0" encoding="utf-8"?>
<formControlPr xmlns="http://schemas.microsoft.com/office/spreadsheetml/2009/9/main" objectType="CheckBox" fmlaLink="$J$69" lockText="1" noThreeD="1"/>
</file>

<file path=xl/ctrlProps/ctrlProp62.xml><?xml version="1.0" encoding="utf-8"?>
<formControlPr xmlns="http://schemas.microsoft.com/office/spreadsheetml/2009/9/main" objectType="CheckBox" fmlaLink="$J$70" lockText="1" noThreeD="1"/>
</file>

<file path=xl/ctrlProps/ctrlProp63.xml><?xml version="1.0" encoding="utf-8"?>
<formControlPr xmlns="http://schemas.microsoft.com/office/spreadsheetml/2009/9/main" objectType="CheckBox" checked="Checked" fmlaLink="$J$71" lockText="1" noThreeD="1"/>
</file>

<file path=xl/ctrlProps/ctrlProp64.xml><?xml version="1.0" encoding="utf-8"?>
<formControlPr xmlns="http://schemas.microsoft.com/office/spreadsheetml/2009/9/main" objectType="CheckBox" checked="Checked" fmlaLink="$J$72" lockText="1" noThreeD="1"/>
</file>

<file path=xl/ctrlProps/ctrlProp65.xml><?xml version="1.0" encoding="utf-8"?>
<formControlPr xmlns="http://schemas.microsoft.com/office/spreadsheetml/2009/9/main" objectType="CheckBox" checked="Checked" fmlaLink="$J$73" lockText="1" noThreeD="1"/>
</file>

<file path=xl/ctrlProps/ctrlProp66.xml><?xml version="1.0" encoding="utf-8"?>
<formControlPr xmlns="http://schemas.microsoft.com/office/spreadsheetml/2009/9/main" objectType="CheckBox" checked="Checked" fmlaLink="$J$118" lockText="1" noThreeD="1"/>
</file>

<file path=xl/ctrlProps/ctrlProp67.xml><?xml version="1.0" encoding="utf-8"?>
<formControlPr xmlns="http://schemas.microsoft.com/office/spreadsheetml/2009/9/main" objectType="CheckBox" checked="Checked" fmlaLink="$J$119" lockText="1" noThreeD="1"/>
</file>

<file path=xl/ctrlProps/ctrlProp68.xml><?xml version="1.0" encoding="utf-8"?>
<formControlPr xmlns="http://schemas.microsoft.com/office/spreadsheetml/2009/9/main" objectType="CheckBox" checked="Checked" fmlaLink="$J$120" lockText="1" noThreeD="1"/>
</file>

<file path=xl/ctrlProps/ctrlProp69.xml><?xml version="1.0" encoding="utf-8"?>
<formControlPr xmlns="http://schemas.microsoft.com/office/spreadsheetml/2009/9/main" objectType="CheckBox" checked="Checked" fmlaLink="$J$121" lockText="1" noThreeD="1"/>
</file>

<file path=xl/ctrlProps/ctrlProp70.xml><?xml version="1.0" encoding="utf-8"?>
<formControlPr xmlns="http://schemas.microsoft.com/office/spreadsheetml/2009/9/main" objectType="CheckBox" checked="Checked" fmlaLink="$J$122"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6" Type="http://schemas.openxmlformats.org/officeDocument/2006/relationships/image" Target="../media/image5.png"/><Relationship Id="rId5" Type="http://schemas.openxmlformats.org/officeDocument/2006/relationships/image" Target="../media/image16.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6.xml.rels><?xml version="1.0" encoding="UTF-8" standalone="yes"?>
<Relationships xmlns="http://schemas.openxmlformats.org/package/2006/relationships"><Relationship Id="rId1" Type="http://schemas.openxmlformats.org/officeDocument/2006/relationships/image" Target="NULL"/></Relationships>
</file>

<file path=xl/drawings/_rels/drawing17.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12" Type="http://schemas.openxmlformats.org/officeDocument/2006/relationships/image" Target="../media/image5.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11" Type="http://schemas.openxmlformats.org/officeDocument/2006/relationships/image" Target="../media/image30.png"/><Relationship Id="rId5" Type="http://schemas.openxmlformats.org/officeDocument/2006/relationships/image" Target="../media/image24.png"/><Relationship Id="rId10" Type="http://schemas.openxmlformats.org/officeDocument/2006/relationships/image" Target="../media/image29.png"/><Relationship Id="rId4" Type="http://schemas.openxmlformats.org/officeDocument/2006/relationships/image" Target="../media/image23.png"/><Relationship Id="rId9" Type="http://schemas.openxmlformats.org/officeDocument/2006/relationships/image" Target="../media/image2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editAs="absolute">
    <xdr:from>
      <xdr:col>1</xdr:col>
      <xdr:colOff>53340</xdr:colOff>
      <xdr:row>0</xdr:row>
      <xdr:rowOff>219075</xdr:rowOff>
    </xdr:from>
    <xdr:to>
      <xdr:col>1</xdr:col>
      <xdr:colOff>857250</xdr:colOff>
      <xdr:row>2</xdr:row>
      <xdr:rowOff>79319</xdr:rowOff>
    </xdr:to>
    <xdr:pic macro="[0]!About">
      <xdr:nvPicPr>
        <xdr:cNvPr id="1750227" name="Image 2">
          <a:extLst>
            <a:ext uri="{FF2B5EF4-FFF2-40B4-BE49-F238E27FC236}">
              <a16:creationId xmlns:a16="http://schemas.microsoft.com/office/drawing/2014/main" id="{00000000-0008-0000-0200-0000D3B41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7665" y="219075"/>
          <a:ext cx="803910" cy="4031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1609725</xdr:colOff>
      <xdr:row>1</xdr:row>
      <xdr:rowOff>0</xdr:rowOff>
    </xdr:from>
    <xdr:to>
      <xdr:col>1</xdr:col>
      <xdr:colOff>2847975</xdr:colOff>
      <xdr:row>2</xdr:row>
      <xdr:rowOff>38100</xdr:rowOff>
    </xdr:to>
    <xdr:sp macro="[0]!ShowReleaseTODO" textlink="">
      <xdr:nvSpPr>
        <xdr:cNvPr id="1750235" name="Rectangle 1">
          <a:extLst>
            <a:ext uri="{FF2B5EF4-FFF2-40B4-BE49-F238E27FC236}">
              <a16:creationId xmlns:a16="http://schemas.microsoft.com/office/drawing/2014/main" id="{00000000-0008-0000-0200-0000DBB41A00}"/>
            </a:ext>
          </a:extLst>
        </xdr:cNvPr>
        <xdr:cNvSpPr>
          <a:spLocks noChangeArrowheads="1"/>
        </xdr:cNvSpPr>
      </xdr:nvSpPr>
      <xdr:spPr bwMode="auto">
        <a:xfrm>
          <a:off x="1924050" y="371475"/>
          <a:ext cx="123825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round/>
              <a:headEnd/>
              <a:tailEnd/>
            </a14:hiddenLine>
          </a:ext>
        </a:extLst>
      </xdr:spPr>
    </xdr:sp>
    <xdr:clientData/>
  </xdr:twoCellAnchor>
  <xdr:twoCellAnchor editAs="oneCell">
    <xdr:from>
      <xdr:col>2</xdr:col>
      <xdr:colOff>485775</xdr:colOff>
      <xdr:row>0</xdr:row>
      <xdr:rowOff>76200</xdr:rowOff>
    </xdr:from>
    <xdr:to>
      <xdr:col>2</xdr:col>
      <xdr:colOff>1257300</xdr:colOff>
      <xdr:row>3</xdr:row>
      <xdr:rowOff>104775</xdr:rowOff>
    </xdr:to>
    <xdr:pic macro="[0]!About">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14950" y="76200"/>
          <a:ext cx="771525" cy="733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85</xdr:row>
          <xdr:rowOff>19050</xdr:rowOff>
        </xdr:from>
        <xdr:to>
          <xdr:col>2</xdr:col>
          <xdr:colOff>1066800</xdr:colOff>
          <xdr:row>85</xdr:row>
          <xdr:rowOff>314325</xdr:rowOff>
        </xdr:to>
        <xdr:sp macro="" textlink="">
          <xdr:nvSpPr>
            <xdr:cNvPr id="22588" name="Check Box 60" hidden="1">
              <a:extLst>
                <a:ext uri="{63B3BB69-23CF-44E3-9099-C40C66FF867C}">
                  <a14:compatExt spid="_x0000_s22588"/>
                </a:ext>
                <a:ext uri="{FF2B5EF4-FFF2-40B4-BE49-F238E27FC236}">
                  <a16:creationId xmlns:a16="http://schemas.microsoft.com/office/drawing/2014/main" id="{00000000-0008-0000-0300-00003C5800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38100</xdr:rowOff>
        </xdr:from>
        <xdr:to>
          <xdr:col>2</xdr:col>
          <xdr:colOff>981075</xdr:colOff>
          <xdr:row>84</xdr:row>
          <xdr:rowOff>409575</xdr:rowOff>
        </xdr:to>
        <xdr:sp macro="" textlink="">
          <xdr:nvSpPr>
            <xdr:cNvPr id="22912" name="Check Box 384" hidden="1">
              <a:extLst>
                <a:ext uri="{63B3BB69-23CF-44E3-9099-C40C66FF867C}">
                  <a14:compatExt spid="_x0000_s22912"/>
                </a:ext>
                <a:ext uri="{FF2B5EF4-FFF2-40B4-BE49-F238E27FC236}">
                  <a16:creationId xmlns:a16="http://schemas.microsoft.com/office/drawing/2014/main" id="{00000000-0008-0000-0300-0000805900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75</xdr:row>
          <xdr:rowOff>161925</xdr:rowOff>
        </xdr:from>
        <xdr:to>
          <xdr:col>2</xdr:col>
          <xdr:colOff>942975</xdr:colOff>
          <xdr:row>77</xdr:row>
          <xdr:rowOff>0</xdr:rowOff>
        </xdr:to>
        <xdr:sp macro="" textlink="">
          <xdr:nvSpPr>
            <xdr:cNvPr id="23045" name="Check Box 517" hidden="1">
              <a:extLst>
                <a:ext uri="{63B3BB69-23CF-44E3-9099-C40C66FF867C}">
                  <a14:compatExt spid="_x0000_s23045"/>
                </a:ext>
                <a:ext uri="{FF2B5EF4-FFF2-40B4-BE49-F238E27FC236}">
                  <a16:creationId xmlns:a16="http://schemas.microsoft.com/office/drawing/2014/main" id="{00000000-0008-0000-0300-0000055A00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78</xdr:row>
          <xdr:rowOff>0</xdr:rowOff>
        </xdr:from>
        <xdr:to>
          <xdr:col>2</xdr:col>
          <xdr:colOff>904875</xdr:colOff>
          <xdr:row>78</xdr:row>
          <xdr:rowOff>152400</xdr:rowOff>
        </xdr:to>
        <xdr:sp macro="" textlink="">
          <xdr:nvSpPr>
            <xdr:cNvPr id="448530" name="Check Box 1042" hidden="1">
              <a:extLst>
                <a:ext uri="{63B3BB69-23CF-44E3-9099-C40C66FF867C}">
                  <a14:compatExt spid="_x0000_s448530"/>
                </a:ext>
                <a:ext uri="{FF2B5EF4-FFF2-40B4-BE49-F238E27FC236}">
                  <a16:creationId xmlns:a16="http://schemas.microsoft.com/office/drawing/2014/main" id="{00000000-0008-0000-0300-000012D806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57</xdr:row>
          <xdr:rowOff>104775</xdr:rowOff>
        </xdr:from>
        <xdr:to>
          <xdr:col>2</xdr:col>
          <xdr:colOff>542925</xdr:colOff>
          <xdr:row>59</xdr:row>
          <xdr:rowOff>19050</xdr:rowOff>
        </xdr:to>
        <xdr:sp macro="" textlink="">
          <xdr:nvSpPr>
            <xdr:cNvPr id="585766" name="Check Box 2086" hidden="1">
              <a:extLst>
                <a:ext uri="{63B3BB69-23CF-44E3-9099-C40C66FF867C}">
                  <a14:compatExt spid="_x0000_s585766"/>
                </a:ext>
                <a:ext uri="{FF2B5EF4-FFF2-40B4-BE49-F238E27FC236}">
                  <a16:creationId xmlns:a16="http://schemas.microsoft.com/office/drawing/2014/main" id="{00000000-0008-0000-0300-000026F008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58</xdr:row>
          <xdr:rowOff>95250</xdr:rowOff>
        </xdr:from>
        <xdr:to>
          <xdr:col>2</xdr:col>
          <xdr:colOff>561975</xdr:colOff>
          <xdr:row>60</xdr:row>
          <xdr:rowOff>9525</xdr:rowOff>
        </xdr:to>
        <xdr:sp macro="" textlink="">
          <xdr:nvSpPr>
            <xdr:cNvPr id="585767" name="Check Box 2087" hidden="1">
              <a:extLst>
                <a:ext uri="{63B3BB69-23CF-44E3-9099-C40C66FF867C}">
                  <a14:compatExt spid="_x0000_s585767"/>
                </a:ext>
                <a:ext uri="{FF2B5EF4-FFF2-40B4-BE49-F238E27FC236}">
                  <a16:creationId xmlns:a16="http://schemas.microsoft.com/office/drawing/2014/main" id="{00000000-0008-0000-0300-000027F008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59</xdr:row>
          <xdr:rowOff>104775</xdr:rowOff>
        </xdr:from>
        <xdr:to>
          <xdr:col>2</xdr:col>
          <xdr:colOff>542925</xdr:colOff>
          <xdr:row>61</xdr:row>
          <xdr:rowOff>28575</xdr:rowOff>
        </xdr:to>
        <xdr:sp macro="" textlink="">
          <xdr:nvSpPr>
            <xdr:cNvPr id="585768" name="Check Box 2088" hidden="1">
              <a:extLst>
                <a:ext uri="{63B3BB69-23CF-44E3-9099-C40C66FF867C}">
                  <a14:compatExt spid="_x0000_s585768"/>
                </a:ext>
                <a:ext uri="{FF2B5EF4-FFF2-40B4-BE49-F238E27FC236}">
                  <a16:creationId xmlns:a16="http://schemas.microsoft.com/office/drawing/2014/main" id="{00000000-0008-0000-0300-000028F008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103</xdr:row>
          <xdr:rowOff>0</xdr:rowOff>
        </xdr:from>
        <xdr:to>
          <xdr:col>9</xdr:col>
          <xdr:colOff>561975</xdr:colOff>
          <xdr:row>103</xdr:row>
          <xdr:rowOff>171450</xdr:rowOff>
        </xdr:to>
        <xdr:sp macro="" textlink="">
          <xdr:nvSpPr>
            <xdr:cNvPr id="586323" name="Check Box 2643" hidden="1">
              <a:extLst>
                <a:ext uri="{63B3BB69-23CF-44E3-9099-C40C66FF867C}">
                  <a14:compatExt spid="_x0000_s586323"/>
                </a:ext>
                <a:ext uri="{FF2B5EF4-FFF2-40B4-BE49-F238E27FC236}">
                  <a16:creationId xmlns:a16="http://schemas.microsoft.com/office/drawing/2014/main" id="{00000000-0008-0000-0300-000053F208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70</xdr:row>
          <xdr:rowOff>0</xdr:rowOff>
        </xdr:from>
        <xdr:to>
          <xdr:col>2</xdr:col>
          <xdr:colOff>923925</xdr:colOff>
          <xdr:row>70</xdr:row>
          <xdr:rowOff>152400</xdr:rowOff>
        </xdr:to>
        <xdr:sp macro="" textlink="">
          <xdr:nvSpPr>
            <xdr:cNvPr id="586430" name="Check Box 2750" hidden="1">
              <a:extLst>
                <a:ext uri="{63B3BB69-23CF-44E3-9099-C40C66FF867C}">
                  <a14:compatExt spid="_x0000_s586430"/>
                </a:ext>
                <a:ext uri="{FF2B5EF4-FFF2-40B4-BE49-F238E27FC236}">
                  <a16:creationId xmlns:a16="http://schemas.microsoft.com/office/drawing/2014/main" id="{00000000-0008-0000-0300-0000BEF208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71</xdr:row>
          <xdr:rowOff>19050</xdr:rowOff>
        </xdr:from>
        <xdr:to>
          <xdr:col>2</xdr:col>
          <xdr:colOff>895350</xdr:colOff>
          <xdr:row>72</xdr:row>
          <xdr:rowOff>19050</xdr:rowOff>
        </xdr:to>
        <xdr:sp macro="" textlink="">
          <xdr:nvSpPr>
            <xdr:cNvPr id="586431" name="Check Box 2751" hidden="1">
              <a:extLst>
                <a:ext uri="{63B3BB69-23CF-44E3-9099-C40C66FF867C}">
                  <a14:compatExt spid="_x0000_s586431"/>
                </a:ext>
                <a:ext uri="{FF2B5EF4-FFF2-40B4-BE49-F238E27FC236}">
                  <a16:creationId xmlns:a16="http://schemas.microsoft.com/office/drawing/2014/main" id="{00000000-0008-0000-0300-0000BFF208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60</xdr:row>
          <xdr:rowOff>104775</xdr:rowOff>
        </xdr:from>
        <xdr:to>
          <xdr:col>2</xdr:col>
          <xdr:colOff>561975</xdr:colOff>
          <xdr:row>62</xdr:row>
          <xdr:rowOff>66675</xdr:rowOff>
        </xdr:to>
        <xdr:sp macro="" textlink="">
          <xdr:nvSpPr>
            <xdr:cNvPr id="586581" name="Check Box 2901" hidden="1">
              <a:extLst>
                <a:ext uri="{63B3BB69-23CF-44E3-9099-C40C66FF867C}">
                  <a14:compatExt spid="_x0000_s586581"/>
                </a:ext>
                <a:ext uri="{FF2B5EF4-FFF2-40B4-BE49-F238E27FC236}">
                  <a16:creationId xmlns:a16="http://schemas.microsoft.com/office/drawing/2014/main" id="{00000000-0008-0000-0300-000055F308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61</xdr:row>
          <xdr:rowOff>85725</xdr:rowOff>
        </xdr:from>
        <xdr:to>
          <xdr:col>2</xdr:col>
          <xdr:colOff>542925</xdr:colOff>
          <xdr:row>62</xdr:row>
          <xdr:rowOff>285750</xdr:rowOff>
        </xdr:to>
        <xdr:sp macro="" textlink="">
          <xdr:nvSpPr>
            <xdr:cNvPr id="586582" name="Check Box 2902" hidden="1">
              <a:extLst>
                <a:ext uri="{63B3BB69-23CF-44E3-9099-C40C66FF867C}">
                  <a14:compatExt spid="_x0000_s586582"/>
                </a:ext>
                <a:ext uri="{FF2B5EF4-FFF2-40B4-BE49-F238E27FC236}">
                  <a16:creationId xmlns:a16="http://schemas.microsoft.com/office/drawing/2014/main" id="{00000000-0008-0000-0300-000056F308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52</xdr:row>
          <xdr:rowOff>19050</xdr:rowOff>
        </xdr:from>
        <xdr:to>
          <xdr:col>2</xdr:col>
          <xdr:colOff>1047750</xdr:colOff>
          <xdr:row>52</xdr:row>
          <xdr:rowOff>295275</xdr:rowOff>
        </xdr:to>
        <xdr:sp macro="" textlink="">
          <xdr:nvSpPr>
            <xdr:cNvPr id="932127" name="Check Box 4383" hidden="1">
              <a:extLst>
                <a:ext uri="{63B3BB69-23CF-44E3-9099-C40C66FF867C}">
                  <a14:compatExt spid="_x0000_s932127"/>
                </a:ext>
                <a:ext uri="{FF2B5EF4-FFF2-40B4-BE49-F238E27FC236}">
                  <a16:creationId xmlns:a16="http://schemas.microsoft.com/office/drawing/2014/main" id="{00000000-0008-0000-0300-00001F39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20</xdr:row>
          <xdr:rowOff>0</xdr:rowOff>
        </xdr:from>
        <xdr:to>
          <xdr:col>9</xdr:col>
          <xdr:colOff>619125</xdr:colOff>
          <xdr:row>21</xdr:row>
          <xdr:rowOff>47625</xdr:rowOff>
        </xdr:to>
        <xdr:sp macro="" textlink="">
          <xdr:nvSpPr>
            <xdr:cNvPr id="932792" name="Check Box 5048" hidden="1">
              <a:extLst>
                <a:ext uri="{63B3BB69-23CF-44E3-9099-C40C66FF867C}">
                  <a14:compatExt spid="_x0000_s932792"/>
                </a:ext>
                <a:ext uri="{FF2B5EF4-FFF2-40B4-BE49-F238E27FC236}">
                  <a16:creationId xmlns:a16="http://schemas.microsoft.com/office/drawing/2014/main" id="{00000000-0008-0000-0300-0000B8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20</xdr:row>
          <xdr:rowOff>142875</xdr:rowOff>
        </xdr:from>
        <xdr:to>
          <xdr:col>9</xdr:col>
          <xdr:colOff>619125</xdr:colOff>
          <xdr:row>22</xdr:row>
          <xdr:rowOff>19050</xdr:rowOff>
        </xdr:to>
        <xdr:sp macro="" textlink="">
          <xdr:nvSpPr>
            <xdr:cNvPr id="932793" name="Check Box 5049" hidden="1">
              <a:extLst>
                <a:ext uri="{63B3BB69-23CF-44E3-9099-C40C66FF867C}">
                  <a14:compatExt spid="_x0000_s932793"/>
                </a:ext>
                <a:ext uri="{FF2B5EF4-FFF2-40B4-BE49-F238E27FC236}">
                  <a16:creationId xmlns:a16="http://schemas.microsoft.com/office/drawing/2014/main" id="{00000000-0008-0000-0300-0000B9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21</xdr:row>
          <xdr:rowOff>142875</xdr:rowOff>
        </xdr:from>
        <xdr:to>
          <xdr:col>9</xdr:col>
          <xdr:colOff>619125</xdr:colOff>
          <xdr:row>23</xdr:row>
          <xdr:rowOff>19050</xdr:rowOff>
        </xdr:to>
        <xdr:sp macro="" textlink="">
          <xdr:nvSpPr>
            <xdr:cNvPr id="932794" name="Check Box 5050" hidden="1">
              <a:extLst>
                <a:ext uri="{63B3BB69-23CF-44E3-9099-C40C66FF867C}">
                  <a14:compatExt spid="_x0000_s932794"/>
                </a:ext>
                <a:ext uri="{FF2B5EF4-FFF2-40B4-BE49-F238E27FC236}">
                  <a16:creationId xmlns:a16="http://schemas.microsoft.com/office/drawing/2014/main" id="{00000000-0008-0000-0300-0000BA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22</xdr:row>
          <xdr:rowOff>142875</xdr:rowOff>
        </xdr:from>
        <xdr:to>
          <xdr:col>9</xdr:col>
          <xdr:colOff>619125</xdr:colOff>
          <xdr:row>24</xdr:row>
          <xdr:rowOff>19050</xdr:rowOff>
        </xdr:to>
        <xdr:sp macro="" textlink="">
          <xdr:nvSpPr>
            <xdr:cNvPr id="932795" name="Check Box 5051" hidden="1">
              <a:extLst>
                <a:ext uri="{63B3BB69-23CF-44E3-9099-C40C66FF867C}">
                  <a14:compatExt spid="_x0000_s932795"/>
                </a:ext>
                <a:ext uri="{FF2B5EF4-FFF2-40B4-BE49-F238E27FC236}">
                  <a16:creationId xmlns:a16="http://schemas.microsoft.com/office/drawing/2014/main" id="{00000000-0008-0000-0300-0000BB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23</xdr:row>
          <xdr:rowOff>142875</xdr:rowOff>
        </xdr:from>
        <xdr:to>
          <xdr:col>9</xdr:col>
          <xdr:colOff>619125</xdr:colOff>
          <xdr:row>25</xdr:row>
          <xdr:rowOff>19050</xdr:rowOff>
        </xdr:to>
        <xdr:sp macro="" textlink="">
          <xdr:nvSpPr>
            <xdr:cNvPr id="932796" name="Check Box 5052" hidden="1">
              <a:extLst>
                <a:ext uri="{63B3BB69-23CF-44E3-9099-C40C66FF867C}">
                  <a14:compatExt spid="_x0000_s932796"/>
                </a:ext>
                <a:ext uri="{FF2B5EF4-FFF2-40B4-BE49-F238E27FC236}">
                  <a16:creationId xmlns:a16="http://schemas.microsoft.com/office/drawing/2014/main" id="{00000000-0008-0000-0300-0000BC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24</xdr:row>
          <xdr:rowOff>142875</xdr:rowOff>
        </xdr:from>
        <xdr:to>
          <xdr:col>9</xdr:col>
          <xdr:colOff>619125</xdr:colOff>
          <xdr:row>26</xdr:row>
          <xdr:rowOff>19050</xdr:rowOff>
        </xdr:to>
        <xdr:sp macro="" textlink="">
          <xdr:nvSpPr>
            <xdr:cNvPr id="932797" name="Check Box 5053" hidden="1">
              <a:extLst>
                <a:ext uri="{63B3BB69-23CF-44E3-9099-C40C66FF867C}">
                  <a14:compatExt spid="_x0000_s932797"/>
                </a:ext>
                <a:ext uri="{FF2B5EF4-FFF2-40B4-BE49-F238E27FC236}">
                  <a16:creationId xmlns:a16="http://schemas.microsoft.com/office/drawing/2014/main" id="{00000000-0008-0000-0300-0000BD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25</xdr:row>
          <xdr:rowOff>133350</xdr:rowOff>
        </xdr:from>
        <xdr:to>
          <xdr:col>9</xdr:col>
          <xdr:colOff>619125</xdr:colOff>
          <xdr:row>27</xdr:row>
          <xdr:rowOff>9525</xdr:rowOff>
        </xdr:to>
        <xdr:sp macro="" textlink="">
          <xdr:nvSpPr>
            <xdr:cNvPr id="932798" name="Check Box 5054" hidden="1">
              <a:extLst>
                <a:ext uri="{63B3BB69-23CF-44E3-9099-C40C66FF867C}">
                  <a14:compatExt spid="_x0000_s932798"/>
                </a:ext>
                <a:ext uri="{FF2B5EF4-FFF2-40B4-BE49-F238E27FC236}">
                  <a16:creationId xmlns:a16="http://schemas.microsoft.com/office/drawing/2014/main" id="{00000000-0008-0000-0300-0000BE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31</xdr:row>
          <xdr:rowOff>133350</xdr:rowOff>
        </xdr:from>
        <xdr:to>
          <xdr:col>9</xdr:col>
          <xdr:colOff>619125</xdr:colOff>
          <xdr:row>33</xdr:row>
          <xdr:rowOff>9525</xdr:rowOff>
        </xdr:to>
        <xdr:sp macro="" textlink="">
          <xdr:nvSpPr>
            <xdr:cNvPr id="932799" name="Check Box 5055" hidden="1">
              <a:extLst>
                <a:ext uri="{63B3BB69-23CF-44E3-9099-C40C66FF867C}">
                  <a14:compatExt spid="_x0000_s932799"/>
                </a:ext>
                <a:ext uri="{FF2B5EF4-FFF2-40B4-BE49-F238E27FC236}">
                  <a16:creationId xmlns:a16="http://schemas.microsoft.com/office/drawing/2014/main" id="{00000000-0008-0000-0300-0000BF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32</xdr:row>
          <xdr:rowOff>133350</xdr:rowOff>
        </xdr:from>
        <xdr:to>
          <xdr:col>9</xdr:col>
          <xdr:colOff>619125</xdr:colOff>
          <xdr:row>34</xdr:row>
          <xdr:rowOff>9525</xdr:rowOff>
        </xdr:to>
        <xdr:sp macro="" textlink="">
          <xdr:nvSpPr>
            <xdr:cNvPr id="932800" name="Check Box 5056" hidden="1">
              <a:extLst>
                <a:ext uri="{63B3BB69-23CF-44E3-9099-C40C66FF867C}">
                  <a14:compatExt spid="_x0000_s932800"/>
                </a:ext>
                <a:ext uri="{FF2B5EF4-FFF2-40B4-BE49-F238E27FC236}">
                  <a16:creationId xmlns:a16="http://schemas.microsoft.com/office/drawing/2014/main" id="{00000000-0008-0000-0300-0000C03B0E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14</xdr:row>
          <xdr:rowOff>0</xdr:rowOff>
        </xdr:from>
        <xdr:to>
          <xdr:col>9</xdr:col>
          <xdr:colOff>619125</xdr:colOff>
          <xdr:row>15</xdr:row>
          <xdr:rowOff>47625</xdr:rowOff>
        </xdr:to>
        <xdr:sp macro="" textlink="">
          <xdr:nvSpPr>
            <xdr:cNvPr id="1097886" name="Check Box 5278" hidden="1">
              <a:extLst>
                <a:ext uri="{63B3BB69-23CF-44E3-9099-C40C66FF867C}">
                  <a14:compatExt spid="_x0000_s1097886"/>
                </a:ext>
                <a:ext uri="{FF2B5EF4-FFF2-40B4-BE49-F238E27FC236}">
                  <a16:creationId xmlns:a16="http://schemas.microsoft.com/office/drawing/2014/main" id="{00000000-0008-0000-0300-00009EC010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14</xdr:row>
          <xdr:rowOff>133350</xdr:rowOff>
        </xdr:from>
        <xdr:to>
          <xdr:col>9</xdr:col>
          <xdr:colOff>619125</xdr:colOff>
          <xdr:row>16</xdr:row>
          <xdr:rowOff>9525</xdr:rowOff>
        </xdr:to>
        <xdr:sp macro="" textlink="">
          <xdr:nvSpPr>
            <xdr:cNvPr id="1097887" name="Check Box 5279" hidden="1">
              <a:extLst>
                <a:ext uri="{63B3BB69-23CF-44E3-9099-C40C66FF867C}">
                  <a14:compatExt spid="_x0000_s1097887"/>
                </a:ext>
                <a:ext uri="{FF2B5EF4-FFF2-40B4-BE49-F238E27FC236}">
                  <a16:creationId xmlns:a16="http://schemas.microsoft.com/office/drawing/2014/main" id="{00000000-0008-0000-0300-00009FC010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15</xdr:row>
          <xdr:rowOff>133350</xdr:rowOff>
        </xdr:from>
        <xdr:to>
          <xdr:col>9</xdr:col>
          <xdr:colOff>619125</xdr:colOff>
          <xdr:row>17</xdr:row>
          <xdr:rowOff>9525</xdr:rowOff>
        </xdr:to>
        <xdr:sp macro="" textlink="">
          <xdr:nvSpPr>
            <xdr:cNvPr id="1097888" name="Check Box 5280" hidden="1">
              <a:extLst>
                <a:ext uri="{63B3BB69-23CF-44E3-9099-C40C66FF867C}">
                  <a14:compatExt spid="_x0000_s1097888"/>
                </a:ext>
                <a:ext uri="{FF2B5EF4-FFF2-40B4-BE49-F238E27FC236}">
                  <a16:creationId xmlns:a16="http://schemas.microsoft.com/office/drawing/2014/main" id="{00000000-0008-0000-0300-0000A0C010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16</xdr:row>
          <xdr:rowOff>133350</xdr:rowOff>
        </xdr:from>
        <xdr:to>
          <xdr:col>9</xdr:col>
          <xdr:colOff>619125</xdr:colOff>
          <xdr:row>18</xdr:row>
          <xdr:rowOff>9525</xdr:rowOff>
        </xdr:to>
        <xdr:sp macro="" textlink="">
          <xdr:nvSpPr>
            <xdr:cNvPr id="1097889" name="Check Box 5281" hidden="1">
              <a:extLst>
                <a:ext uri="{63B3BB69-23CF-44E3-9099-C40C66FF867C}">
                  <a14:compatExt spid="_x0000_s1097889"/>
                </a:ext>
                <a:ext uri="{FF2B5EF4-FFF2-40B4-BE49-F238E27FC236}">
                  <a16:creationId xmlns:a16="http://schemas.microsoft.com/office/drawing/2014/main" id="{00000000-0008-0000-0300-0000A1C010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17</xdr:row>
          <xdr:rowOff>142875</xdr:rowOff>
        </xdr:from>
        <xdr:to>
          <xdr:col>9</xdr:col>
          <xdr:colOff>619125</xdr:colOff>
          <xdr:row>19</xdr:row>
          <xdr:rowOff>19050</xdr:rowOff>
        </xdr:to>
        <xdr:sp macro="" textlink="">
          <xdr:nvSpPr>
            <xdr:cNvPr id="1097890" name="Check Box 5282" hidden="1">
              <a:extLst>
                <a:ext uri="{63B3BB69-23CF-44E3-9099-C40C66FF867C}">
                  <a14:compatExt spid="_x0000_s1097890"/>
                </a:ext>
                <a:ext uri="{FF2B5EF4-FFF2-40B4-BE49-F238E27FC236}">
                  <a16:creationId xmlns:a16="http://schemas.microsoft.com/office/drawing/2014/main" id="{00000000-0008-0000-0300-0000A2C010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63</xdr:row>
          <xdr:rowOff>161925</xdr:rowOff>
        </xdr:from>
        <xdr:to>
          <xdr:col>9</xdr:col>
          <xdr:colOff>419100</xdr:colOff>
          <xdr:row>65</xdr:row>
          <xdr:rowOff>38100</xdr:rowOff>
        </xdr:to>
        <xdr:sp macro="" textlink="">
          <xdr:nvSpPr>
            <xdr:cNvPr id="1369919" name="Check Box 7999" hidden="1">
              <a:extLst>
                <a:ext uri="{63B3BB69-23CF-44E3-9099-C40C66FF867C}">
                  <a14:compatExt spid="_x0000_s1369919"/>
                </a:ext>
                <a:ext uri="{FF2B5EF4-FFF2-40B4-BE49-F238E27FC236}">
                  <a16:creationId xmlns:a16="http://schemas.microsoft.com/office/drawing/2014/main" id="{00000000-0008-0000-0300-00003F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64</xdr:row>
          <xdr:rowOff>161925</xdr:rowOff>
        </xdr:from>
        <xdr:to>
          <xdr:col>9</xdr:col>
          <xdr:colOff>419100</xdr:colOff>
          <xdr:row>66</xdr:row>
          <xdr:rowOff>38100</xdr:rowOff>
        </xdr:to>
        <xdr:sp macro="" textlink="">
          <xdr:nvSpPr>
            <xdr:cNvPr id="1369920" name="Check Box 8000" hidden="1">
              <a:extLst>
                <a:ext uri="{63B3BB69-23CF-44E3-9099-C40C66FF867C}">
                  <a14:compatExt spid="_x0000_s1369920"/>
                </a:ext>
                <a:ext uri="{FF2B5EF4-FFF2-40B4-BE49-F238E27FC236}">
                  <a16:creationId xmlns:a16="http://schemas.microsoft.com/office/drawing/2014/main" id="{00000000-0008-0000-0300-000040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65</xdr:row>
          <xdr:rowOff>161925</xdr:rowOff>
        </xdr:from>
        <xdr:to>
          <xdr:col>9</xdr:col>
          <xdr:colOff>419100</xdr:colOff>
          <xdr:row>67</xdr:row>
          <xdr:rowOff>38100</xdr:rowOff>
        </xdr:to>
        <xdr:sp macro="" textlink="">
          <xdr:nvSpPr>
            <xdr:cNvPr id="1369921" name="Check Box 8001" hidden="1">
              <a:extLst>
                <a:ext uri="{63B3BB69-23CF-44E3-9099-C40C66FF867C}">
                  <a14:compatExt spid="_x0000_s1369921"/>
                </a:ext>
                <a:ext uri="{FF2B5EF4-FFF2-40B4-BE49-F238E27FC236}">
                  <a16:creationId xmlns:a16="http://schemas.microsoft.com/office/drawing/2014/main" id="{00000000-0008-0000-0300-000041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66</xdr:row>
          <xdr:rowOff>142875</xdr:rowOff>
        </xdr:from>
        <xdr:to>
          <xdr:col>9</xdr:col>
          <xdr:colOff>419100</xdr:colOff>
          <xdr:row>68</xdr:row>
          <xdr:rowOff>9525</xdr:rowOff>
        </xdr:to>
        <xdr:sp macro="" textlink="">
          <xdr:nvSpPr>
            <xdr:cNvPr id="1369922" name="Check Box 8002" hidden="1">
              <a:extLst>
                <a:ext uri="{63B3BB69-23CF-44E3-9099-C40C66FF867C}">
                  <a14:compatExt spid="_x0000_s1369922"/>
                </a:ext>
                <a:ext uri="{FF2B5EF4-FFF2-40B4-BE49-F238E27FC236}">
                  <a16:creationId xmlns:a16="http://schemas.microsoft.com/office/drawing/2014/main" id="{00000000-0008-0000-0300-000042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72</xdr:row>
          <xdr:rowOff>142875</xdr:rowOff>
        </xdr:from>
        <xdr:to>
          <xdr:col>9</xdr:col>
          <xdr:colOff>419100</xdr:colOff>
          <xdr:row>74</xdr:row>
          <xdr:rowOff>9525</xdr:rowOff>
        </xdr:to>
        <xdr:sp macro="" textlink="">
          <xdr:nvSpPr>
            <xdr:cNvPr id="1369923" name="Check Box 8003" hidden="1">
              <a:extLst>
                <a:ext uri="{63B3BB69-23CF-44E3-9099-C40C66FF867C}">
                  <a14:compatExt spid="_x0000_s1369923"/>
                </a:ext>
                <a:ext uri="{FF2B5EF4-FFF2-40B4-BE49-F238E27FC236}">
                  <a16:creationId xmlns:a16="http://schemas.microsoft.com/office/drawing/2014/main" id="{00000000-0008-0000-0300-000043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73</xdr:row>
          <xdr:rowOff>133350</xdr:rowOff>
        </xdr:from>
        <xdr:to>
          <xdr:col>9</xdr:col>
          <xdr:colOff>419100</xdr:colOff>
          <xdr:row>74</xdr:row>
          <xdr:rowOff>171450</xdr:rowOff>
        </xdr:to>
        <xdr:sp macro="" textlink="">
          <xdr:nvSpPr>
            <xdr:cNvPr id="1369924" name="Check Box 8004" hidden="1">
              <a:extLst>
                <a:ext uri="{63B3BB69-23CF-44E3-9099-C40C66FF867C}">
                  <a14:compatExt spid="_x0000_s1369924"/>
                </a:ext>
                <a:ext uri="{FF2B5EF4-FFF2-40B4-BE49-F238E27FC236}">
                  <a16:creationId xmlns:a16="http://schemas.microsoft.com/office/drawing/2014/main" id="{00000000-0008-0000-0300-000044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74</xdr:row>
          <xdr:rowOff>133350</xdr:rowOff>
        </xdr:from>
        <xdr:to>
          <xdr:col>9</xdr:col>
          <xdr:colOff>419100</xdr:colOff>
          <xdr:row>75</xdr:row>
          <xdr:rowOff>171450</xdr:rowOff>
        </xdr:to>
        <xdr:sp macro="" textlink="">
          <xdr:nvSpPr>
            <xdr:cNvPr id="1369925" name="Check Box 8005" hidden="1">
              <a:extLst>
                <a:ext uri="{63B3BB69-23CF-44E3-9099-C40C66FF867C}">
                  <a14:compatExt spid="_x0000_s1369925"/>
                </a:ext>
                <a:ext uri="{FF2B5EF4-FFF2-40B4-BE49-F238E27FC236}">
                  <a16:creationId xmlns:a16="http://schemas.microsoft.com/office/drawing/2014/main" id="{00000000-0008-0000-0300-000045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75</xdr:row>
          <xdr:rowOff>123825</xdr:rowOff>
        </xdr:from>
        <xdr:to>
          <xdr:col>9</xdr:col>
          <xdr:colOff>419100</xdr:colOff>
          <xdr:row>76</xdr:row>
          <xdr:rowOff>171450</xdr:rowOff>
        </xdr:to>
        <xdr:sp macro="" textlink="">
          <xdr:nvSpPr>
            <xdr:cNvPr id="1369926" name="Check Box 8006" hidden="1">
              <a:extLst>
                <a:ext uri="{63B3BB69-23CF-44E3-9099-C40C66FF867C}">
                  <a14:compatExt spid="_x0000_s1369926"/>
                </a:ext>
                <a:ext uri="{FF2B5EF4-FFF2-40B4-BE49-F238E27FC236}">
                  <a16:creationId xmlns:a16="http://schemas.microsoft.com/office/drawing/2014/main" id="{00000000-0008-0000-0300-000046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76</xdr:row>
          <xdr:rowOff>123825</xdr:rowOff>
        </xdr:from>
        <xdr:to>
          <xdr:col>9</xdr:col>
          <xdr:colOff>419100</xdr:colOff>
          <xdr:row>78</xdr:row>
          <xdr:rowOff>0</xdr:rowOff>
        </xdr:to>
        <xdr:sp macro="" textlink="">
          <xdr:nvSpPr>
            <xdr:cNvPr id="1369927" name="Check Box 8007" hidden="1">
              <a:extLst>
                <a:ext uri="{63B3BB69-23CF-44E3-9099-C40C66FF867C}">
                  <a14:compatExt spid="_x0000_s1369927"/>
                </a:ext>
                <a:ext uri="{FF2B5EF4-FFF2-40B4-BE49-F238E27FC236}">
                  <a16:creationId xmlns:a16="http://schemas.microsoft.com/office/drawing/2014/main" id="{00000000-0008-0000-0300-000047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61</xdr:row>
          <xdr:rowOff>0</xdr:rowOff>
        </xdr:from>
        <xdr:to>
          <xdr:col>9</xdr:col>
          <xdr:colOff>952500</xdr:colOff>
          <xdr:row>61</xdr:row>
          <xdr:rowOff>161925</xdr:rowOff>
        </xdr:to>
        <xdr:sp macro="" textlink="">
          <xdr:nvSpPr>
            <xdr:cNvPr id="1369964" name="Check Box 8044" hidden="1">
              <a:extLst>
                <a:ext uri="{63B3BB69-23CF-44E3-9099-C40C66FF867C}">
                  <a14:compatExt spid="_x0000_s1369964"/>
                </a:ext>
                <a:ext uri="{FF2B5EF4-FFF2-40B4-BE49-F238E27FC236}">
                  <a16:creationId xmlns:a16="http://schemas.microsoft.com/office/drawing/2014/main" id="{00000000-0008-0000-0300-00006C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62</xdr:row>
          <xdr:rowOff>9525</xdr:rowOff>
        </xdr:from>
        <xdr:to>
          <xdr:col>9</xdr:col>
          <xdr:colOff>914400</xdr:colOff>
          <xdr:row>62</xdr:row>
          <xdr:rowOff>161925</xdr:rowOff>
        </xdr:to>
        <xdr:sp macro="" textlink="">
          <xdr:nvSpPr>
            <xdr:cNvPr id="1369965" name="Check Box 8045" hidden="1">
              <a:extLst>
                <a:ext uri="{63B3BB69-23CF-44E3-9099-C40C66FF867C}">
                  <a14:compatExt spid="_x0000_s1369965"/>
                </a:ext>
                <a:ext uri="{FF2B5EF4-FFF2-40B4-BE49-F238E27FC236}">
                  <a16:creationId xmlns:a16="http://schemas.microsoft.com/office/drawing/2014/main" id="{00000000-0008-0000-0300-00006D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77</xdr:row>
          <xdr:rowOff>123825</xdr:rowOff>
        </xdr:from>
        <xdr:to>
          <xdr:col>9</xdr:col>
          <xdr:colOff>923925</xdr:colOff>
          <xdr:row>79</xdr:row>
          <xdr:rowOff>0</xdr:rowOff>
        </xdr:to>
        <xdr:sp macro="" textlink="">
          <xdr:nvSpPr>
            <xdr:cNvPr id="1369990" name="Check Box 8070" hidden="1">
              <a:extLst>
                <a:ext uri="{63B3BB69-23CF-44E3-9099-C40C66FF867C}">
                  <a14:compatExt spid="_x0000_s1369990"/>
                </a:ext>
                <a:ext uri="{FF2B5EF4-FFF2-40B4-BE49-F238E27FC236}">
                  <a16:creationId xmlns:a16="http://schemas.microsoft.com/office/drawing/2014/main" id="{00000000-0008-0000-0300-000086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78</xdr:row>
          <xdr:rowOff>123825</xdr:rowOff>
        </xdr:from>
        <xdr:to>
          <xdr:col>9</xdr:col>
          <xdr:colOff>923925</xdr:colOff>
          <xdr:row>79</xdr:row>
          <xdr:rowOff>171450</xdr:rowOff>
        </xdr:to>
        <xdr:sp macro="" textlink="">
          <xdr:nvSpPr>
            <xdr:cNvPr id="1370015" name="Check Box 8095" hidden="1">
              <a:extLst>
                <a:ext uri="{63B3BB69-23CF-44E3-9099-C40C66FF867C}">
                  <a14:compatExt spid="_x0000_s1370015"/>
                </a:ext>
                <a:ext uri="{FF2B5EF4-FFF2-40B4-BE49-F238E27FC236}">
                  <a16:creationId xmlns:a16="http://schemas.microsoft.com/office/drawing/2014/main" id="{00000000-0008-0000-0300-00009F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79</xdr:row>
          <xdr:rowOff>123825</xdr:rowOff>
        </xdr:from>
        <xdr:to>
          <xdr:col>9</xdr:col>
          <xdr:colOff>923925</xdr:colOff>
          <xdr:row>80</xdr:row>
          <xdr:rowOff>171450</xdr:rowOff>
        </xdr:to>
        <xdr:sp macro="" textlink="">
          <xdr:nvSpPr>
            <xdr:cNvPr id="1370016" name="Check Box 8096" hidden="1">
              <a:extLst>
                <a:ext uri="{63B3BB69-23CF-44E3-9099-C40C66FF867C}">
                  <a14:compatExt spid="_x0000_s1370016"/>
                </a:ext>
                <a:ext uri="{FF2B5EF4-FFF2-40B4-BE49-F238E27FC236}">
                  <a16:creationId xmlns:a16="http://schemas.microsoft.com/office/drawing/2014/main" id="{00000000-0008-0000-0300-0000A0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80</xdr:row>
          <xdr:rowOff>123825</xdr:rowOff>
        </xdr:from>
        <xdr:to>
          <xdr:col>9</xdr:col>
          <xdr:colOff>923925</xdr:colOff>
          <xdr:row>81</xdr:row>
          <xdr:rowOff>0</xdr:rowOff>
        </xdr:to>
        <xdr:sp macro="" textlink="">
          <xdr:nvSpPr>
            <xdr:cNvPr id="1370017" name="Check Box 8097" hidden="1">
              <a:extLst>
                <a:ext uri="{63B3BB69-23CF-44E3-9099-C40C66FF867C}">
                  <a14:compatExt spid="_x0000_s1370017"/>
                </a:ext>
                <a:ext uri="{FF2B5EF4-FFF2-40B4-BE49-F238E27FC236}">
                  <a16:creationId xmlns:a16="http://schemas.microsoft.com/office/drawing/2014/main" id="{00000000-0008-0000-0300-0000A1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81</xdr:row>
          <xdr:rowOff>123825</xdr:rowOff>
        </xdr:from>
        <xdr:to>
          <xdr:col>9</xdr:col>
          <xdr:colOff>923925</xdr:colOff>
          <xdr:row>82</xdr:row>
          <xdr:rowOff>171450</xdr:rowOff>
        </xdr:to>
        <xdr:sp macro="" textlink="">
          <xdr:nvSpPr>
            <xdr:cNvPr id="1370018" name="Check Box 8098" hidden="1">
              <a:extLst>
                <a:ext uri="{63B3BB69-23CF-44E3-9099-C40C66FF867C}">
                  <a14:compatExt spid="_x0000_s1370018"/>
                </a:ext>
                <a:ext uri="{FF2B5EF4-FFF2-40B4-BE49-F238E27FC236}">
                  <a16:creationId xmlns:a16="http://schemas.microsoft.com/office/drawing/2014/main" id="{00000000-0008-0000-0300-0000A2E714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87</xdr:row>
          <xdr:rowOff>161925</xdr:rowOff>
        </xdr:from>
        <xdr:to>
          <xdr:col>9</xdr:col>
          <xdr:colOff>923925</xdr:colOff>
          <xdr:row>88</xdr:row>
          <xdr:rowOff>142875</xdr:rowOff>
        </xdr:to>
        <xdr:sp macro="" textlink="">
          <xdr:nvSpPr>
            <xdr:cNvPr id="1520265" name="Check Box 8841" hidden="1">
              <a:extLst>
                <a:ext uri="{63B3BB69-23CF-44E3-9099-C40C66FF867C}">
                  <a14:compatExt spid="_x0000_s1520265"/>
                </a:ext>
                <a:ext uri="{FF2B5EF4-FFF2-40B4-BE49-F238E27FC236}">
                  <a16:creationId xmlns:a16="http://schemas.microsoft.com/office/drawing/2014/main" id="{00000000-0008-0000-0300-000089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112</xdr:row>
          <xdr:rowOff>161925</xdr:rowOff>
        </xdr:from>
        <xdr:to>
          <xdr:col>9</xdr:col>
          <xdr:colOff>419100</xdr:colOff>
          <xdr:row>114</xdr:row>
          <xdr:rowOff>28575</xdr:rowOff>
        </xdr:to>
        <xdr:sp macro="" textlink="">
          <xdr:nvSpPr>
            <xdr:cNvPr id="1520266" name="Check Box 8842" hidden="1">
              <a:extLst>
                <a:ext uri="{63B3BB69-23CF-44E3-9099-C40C66FF867C}">
                  <a14:compatExt spid="_x0000_s1520266"/>
                </a:ext>
                <a:ext uri="{FF2B5EF4-FFF2-40B4-BE49-F238E27FC236}">
                  <a16:creationId xmlns:a16="http://schemas.microsoft.com/office/drawing/2014/main" id="{00000000-0008-0000-0300-00008A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113</xdr:row>
          <xdr:rowOff>161925</xdr:rowOff>
        </xdr:from>
        <xdr:to>
          <xdr:col>9</xdr:col>
          <xdr:colOff>419100</xdr:colOff>
          <xdr:row>115</xdr:row>
          <xdr:rowOff>38100</xdr:rowOff>
        </xdr:to>
        <xdr:sp macro="" textlink="">
          <xdr:nvSpPr>
            <xdr:cNvPr id="1520267" name="Check Box 8843" hidden="1">
              <a:extLst>
                <a:ext uri="{63B3BB69-23CF-44E3-9099-C40C66FF867C}">
                  <a14:compatExt spid="_x0000_s1520267"/>
                </a:ext>
                <a:ext uri="{FF2B5EF4-FFF2-40B4-BE49-F238E27FC236}">
                  <a16:creationId xmlns:a16="http://schemas.microsoft.com/office/drawing/2014/main" id="{00000000-0008-0000-0300-00008B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114</xdr:row>
          <xdr:rowOff>161925</xdr:rowOff>
        </xdr:from>
        <xdr:to>
          <xdr:col>9</xdr:col>
          <xdr:colOff>419100</xdr:colOff>
          <xdr:row>116</xdr:row>
          <xdr:rowOff>38100</xdr:rowOff>
        </xdr:to>
        <xdr:sp macro="" textlink="">
          <xdr:nvSpPr>
            <xdr:cNvPr id="1520268" name="Check Box 8844" hidden="1">
              <a:extLst>
                <a:ext uri="{63B3BB69-23CF-44E3-9099-C40C66FF867C}">
                  <a14:compatExt spid="_x0000_s1520268"/>
                </a:ext>
                <a:ext uri="{FF2B5EF4-FFF2-40B4-BE49-F238E27FC236}">
                  <a16:creationId xmlns:a16="http://schemas.microsoft.com/office/drawing/2014/main" id="{00000000-0008-0000-0300-00008C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115</xdr:row>
          <xdr:rowOff>142875</xdr:rowOff>
        </xdr:from>
        <xdr:to>
          <xdr:col>9</xdr:col>
          <xdr:colOff>419100</xdr:colOff>
          <xdr:row>117</xdr:row>
          <xdr:rowOff>19050</xdr:rowOff>
        </xdr:to>
        <xdr:sp macro="" textlink="">
          <xdr:nvSpPr>
            <xdr:cNvPr id="1520269" name="Check Box 8845" hidden="1">
              <a:extLst>
                <a:ext uri="{63B3BB69-23CF-44E3-9099-C40C66FF867C}">
                  <a14:compatExt spid="_x0000_s1520269"/>
                </a:ext>
                <a:ext uri="{FF2B5EF4-FFF2-40B4-BE49-F238E27FC236}">
                  <a16:creationId xmlns:a16="http://schemas.microsoft.com/office/drawing/2014/main" id="{00000000-0008-0000-0300-00008D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121</xdr:row>
          <xdr:rowOff>142875</xdr:rowOff>
        </xdr:from>
        <xdr:to>
          <xdr:col>9</xdr:col>
          <xdr:colOff>419100</xdr:colOff>
          <xdr:row>123</xdr:row>
          <xdr:rowOff>19050</xdr:rowOff>
        </xdr:to>
        <xdr:sp macro="" textlink="">
          <xdr:nvSpPr>
            <xdr:cNvPr id="1520270" name="Check Box 8846" hidden="1">
              <a:extLst>
                <a:ext uri="{63B3BB69-23CF-44E3-9099-C40C66FF867C}">
                  <a14:compatExt spid="_x0000_s1520270"/>
                </a:ext>
                <a:ext uri="{FF2B5EF4-FFF2-40B4-BE49-F238E27FC236}">
                  <a16:creationId xmlns:a16="http://schemas.microsoft.com/office/drawing/2014/main" id="{00000000-0008-0000-0300-00008E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122</xdr:row>
          <xdr:rowOff>133350</xdr:rowOff>
        </xdr:from>
        <xdr:to>
          <xdr:col>9</xdr:col>
          <xdr:colOff>419100</xdr:colOff>
          <xdr:row>124</xdr:row>
          <xdr:rowOff>9525</xdr:rowOff>
        </xdr:to>
        <xdr:sp macro="" textlink="">
          <xdr:nvSpPr>
            <xdr:cNvPr id="1520271" name="Check Box 8847" hidden="1">
              <a:extLst>
                <a:ext uri="{63B3BB69-23CF-44E3-9099-C40C66FF867C}">
                  <a14:compatExt spid="_x0000_s1520271"/>
                </a:ext>
                <a:ext uri="{FF2B5EF4-FFF2-40B4-BE49-F238E27FC236}">
                  <a16:creationId xmlns:a16="http://schemas.microsoft.com/office/drawing/2014/main" id="{00000000-0008-0000-0300-00008F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123</xdr:row>
          <xdr:rowOff>133350</xdr:rowOff>
        </xdr:from>
        <xdr:to>
          <xdr:col>9</xdr:col>
          <xdr:colOff>419100</xdr:colOff>
          <xdr:row>125</xdr:row>
          <xdr:rowOff>9525</xdr:rowOff>
        </xdr:to>
        <xdr:sp macro="" textlink="">
          <xdr:nvSpPr>
            <xdr:cNvPr id="1520272" name="Check Box 8848" hidden="1">
              <a:extLst>
                <a:ext uri="{63B3BB69-23CF-44E3-9099-C40C66FF867C}">
                  <a14:compatExt spid="_x0000_s1520272"/>
                </a:ext>
                <a:ext uri="{FF2B5EF4-FFF2-40B4-BE49-F238E27FC236}">
                  <a16:creationId xmlns:a16="http://schemas.microsoft.com/office/drawing/2014/main" id="{00000000-0008-0000-0300-000090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124</xdr:row>
          <xdr:rowOff>123825</xdr:rowOff>
        </xdr:from>
        <xdr:to>
          <xdr:col>9</xdr:col>
          <xdr:colOff>419100</xdr:colOff>
          <xdr:row>126</xdr:row>
          <xdr:rowOff>0</xdr:rowOff>
        </xdr:to>
        <xdr:sp macro="" textlink="">
          <xdr:nvSpPr>
            <xdr:cNvPr id="1520273" name="Check Box 8849" hidden="1">
              <a:extLst>
                <a:ext uri="{63B3BB69-23CF-44E3-9099-C40C66FF867C}">
                  <a14:compatExt spid="_x0000_s1520273"/>
                </a:ext>
                <a:ext uri="{FF2B5EF4-FFF2-40B4-BE49-F238E27FC236}">
                  <a16:creationId xmlns:a16="http://schemas.microsoft.com/office/drawing/2014/main" id="{00000000-0008-0000-0300-000091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125</xdr:row>
          <xdr:rowOff>123825</xdr:rowOff>
        </xdr:from>
        <xdr:to>
          <xdr:col>9</xdr:col>
          <xdr:colOff>419100</xdr:colOff>
          <xdr:row>127</xdr:row>
          <xdr:rowOff>0</xdr:rowOff>
        </xdr:to>
        <xdr:sp macro="" textlink="">
          <xdr:nvSpPr>
            <xdr:cNvPr id="1520274" name="Check Box 8850" hidden="1">
              <a:extLst>
                <a:ext uri="{63B3BB69-23CF-44E3-9099-C40C66FF867C}">
                  <a14:compatExt spid="_x0000_s1520274"/>
                </a:ext>
                <a:ext uri="{FF2B5EF4-FFF2-40B4-BE49-F238E27FC236}">
                  <a16:creationId xmlns:a16="http://schemas.microsoft.com/office/drawing/2014/main" id="{00000000-0008-0000-0300-000092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110</xdr:row>
          <xdr:rowOff>0</xdr:rowOff>
        </xdr:from>
        <xdr:to>
          <xdr:col>9</xdr:col>
          <xdr:colOff>942975</xdr:colOff>
          <xdr:row>110</xdr:row>
          <xdr:rowOff>161925</xdr:rowOff>
        </xdr:to>
        <xdr:sp macro="" textlink="">
          <xdr:nvSpPr>
            <xdr:cNvPr id="1520275" name="Check Box 8851" hidden="1">
              <a:extLst>
                <a:ext uri="{63B3BB69-23CF-44E3-9099-C40C66FF867C}">
                  <a14:compatExt spid="_x0000_s1520275"/>
                </a:ext>
                <a:ext uri="{FF2B5EF4-FFF2-40B4-BE49-F238E27FC236}">
                  <a16:creationId xmlns:a16="http://schemas.microsoft.com/office/drawing/2014/main" id="{00000000-0008-0000-0300-000093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111</xdr:row>
          <xdr:rowOff>9525</xdr:rowOff>
        </xdr:from>
        <xdr:to>
          <xdr:col>9</xdr:col>
          <xdr:colOff>914400</xdr:colOff>
          <xdr:row>111</xdr:row>
          <xdr:rowOff>161925</xdr:rowOff>
        </xdr:to>
        <xdr:sp macro="" textlink="">
          <xdr:nvSpPr>
            <xdr:cNvPr id="1520276" name="Check Box 8852" hidden="1">
              <a:extLst>
                <a:ext uri="{63B3BB69-23CF-44E3-9099-C40C66FF867C}">
                  <a14:compatExt spid="_x0000_s1520276"/>
                </a:ext>
                <a:ext uri="{FF2B5EF4-FFF2-40B4-BE49-F238E27FC236}">
                  <a16:creationId xmlns:a16="http://schemas.microsoft.com/office/drawing/2014/main" id="{00000000-0008-0000-0300-000094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26</xdr:row>
          <xdr:rowOff>133350</xdr:rowOff>
        </xdr:from>
        <xdr:to>
          <xdr:col>9</xdr:col>
          <xdr:colOff>619125</xdr:colOff>
          <xdr:row>28</xdr:row>
          <xdr:rowOff>9525</xdr:rowOff>
        </xdr:to>
        <xdr:sp macro="" textlink="">
          <xdr:nvSpPr>
            <xdr:cNvPr id="1520277" name="Check Box 5055" hidden="1">
              <a:extLst>
                <a:ext uri="{63B3BB69-23CF-44E3-9099-C40C66FF867C}">
                  <a14:compatExt spid="_x0000_s1520277"/>
                </a:ext>
                <a:ext uri="{FF2B5EF4-FFF2-40B4-BE49-F238E27FC236}">
                  <a16:creationId xmlns:a16="http://schemas.microsoft.com/office/drawing/2014/main" id="{00000000-0008-0000-0300-000095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27</xdr:row>
          <xdr:rowOff>142875</xdr:rowOff>
        </xdr:from>
        <xdr:to>
          <xdr:col>9</xdr:col>
          <xdr:colOff>619125</xdr:colOff>
          <xdr:row>29</xdr:row>
          <xdr:rowOff>0</xdr:rowOff>
        </xdr:to>
        <xdr:sp macro="" textlink="">
          <xdr:nvSpPr>
            <xdr:cNvPr id="1520278" name="Check Box 5055" hidden="1">
              <a:extLst>
                <a:ext uri="{63B3BB69-23CF-44E3-9099-C40C66FF867C}">
                  <a14:compatExt spid="_x0000_s1520278"/>
                </a:ext>
                <a:ext uri="{FF2B5EF4-FFF2-40B4-BE49-F238E27FC236}">
                  <a16:creationId xmlns:a16="http://schemas.microsoft.com/office/drawing/2014/main" id="{00000000-0008-0000-0300-000096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28</xdr:row>
          <xdr:rowOff>142875</xdr:rowOff>
        </xdr:from>
        <xdr:to>
          <xdr:col>9</xdr:col>
          <xdr:colOff>619125</xdr:colOff>
          <xdr:row>30</xdr:row>
          <xdr:rowOff>0</xdr:rowOff>
        </xdr:to>
        <xdr:sp macro="" textlink="">
          <xdr:nvSpPr>
            <xdr:cNvPr id="1520279" name="Check Box 5055" hidden="1">
              <a:extLst>
                <a:ext uri="{63B3BB69-23CF-44E3-9099-C40C66FF867C}">
                  <a14:compatExt spid="_x0000_s1520279"/>
                </a:ext>
                <a:ext uri="{FF2B5EF4-FFF2-40B4-BE49-F238E27FC236}">
                  <a16:creationId xmlns:a16="http://schemas.microsoft.com/office/drawing/2014/main" id="{00000000-0008-0000-0300-000097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29</xdr:row>
          <xdr:rowOff>123825</xdr:rowOff>
        </xdr:from>
        <xdr:to>
          <xdr:col>9</xdr:col>
          <xdr:colOff>619125</xdr:colOff>
          <xdr:row>31</xdr:row>
          <xdr:rowOff>0</xdr:rowOff>
        </xdr:to>
        <xdr:sp macro="" textlink="">
          <xdr:nvSpPr>
            <xdr:cNvPr id="1520280" name="Check Box 5055" hidden="1">
              <a:extLst>
                <a:ext uri="{63B3BB69-23CF-44E3-9099-C40C66FF867C}">
                  <a14:compatExt spid="_x0000_s1520280"/>
                </a:ext>
                <a:ext uri="{FF2B5EF4-FFF2-40B4-BE49-F238E27FC236}">
                  <a16:creationId xmlns:a16="http://schemas.microsoft.com/office/drawing/2014/main" id="{00000000-0008-0000-0300-000098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30</xdr:row>
          <xdr:rowOff>123825</xdr:rowOff>
        </xdr:from>
        <xdr:to>
          <xdr:col>9</xdr:col>
          <xdr:colOff>619125</xdr:colOff>
          <xdr:row>32</xdr:row>
          <xdr:rowOff>0</xdr:rowOff>
        </xdr:to>
        <xdr:sp macro="" textlink="">
          <xdr:nvSpPr>
            <xdr:cNvPr id="1520281" name="Check Box 5055" hidden="1">
              <a:extLst>
                <a:ext uri="{63B3BB69-23CF-44E3-9099-C40C66FF867C}">
                  <a14:compatExt spid="_x0000_s1520281"/>
                </a:ext>
                <a:ext uri="{FF2B5EF4-FFF2-40B4-BE49-F238E27FC236}">
                  <a16:creationId xmlns:a16="http://schemas.microsoft.com/office/drawing/2014/main" id="{00000000-0008-0000-0300-000099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67</xdr:row>
          <xdr:rowOff>142875</xdr:rowOff>
        </xdr:from>
        <xdr:to>
          <xdr:col>9</xdr:col>
          <xdr:colOff>419100</xdr:colOff>
          <xdr:row>69</xdr:row>
          <xdr:rowOff>0</xdr:rowOff>
        </xdr:to>
        <xdr:sp macro="" textlink="">
          <xdr:nvSpPr>
            <xdr:cNvPr id="1520282" name="Check Box 8003" hidden="1">
              <a:extLst>
                <a:ext uri="{63B3BB69-23CF-44E3-9099-C40C66FF867C}">
                  <a14:compatExt spid="_x0000_s1520282"/>
                </a:ext>
                <a:ext uri="{FF2B5EF4-FFF2-40B4-BE49-F238E27FC236}">
                  <a16:creationId xmlns:a16="http://schemas.microsoft.com/office/drawing/2014/main" id="{00000000-0008-0000-0300-00009A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68</xdr:row>
          <xdr:rowOff>133350</xdr:rowOff>
        </xdr:from>
        <xdr:to>
          <xdr:col>9</xdr:col>
          <xdr:colOff>419100</xdr:colOff>
          <xdr:row>69</xdr:row>
          <xdr:rowOff>171450</xdr:rowOff>
        </xdr:to>
        <xdr:sp macro="" textlink="">
          <xdr:nvSpPr>
            <xdr:cNvPr id="1520283" name="Check Box 8004" hidden="1">
              <a:extLst>
                <a:ext uri="{63B3BB69-23CF-44E3-9099-C40C66FF867C}">
                  <a14:compatExt spid="_x0000_s1520283"/>
                </a:ext>
                <a:ext uri="{FF2B5EF4-FFF2-40B4-BE49-F238E27FC236}">
                  <a16:creationId xmlns:a16="http://schemas.microsoft.com/office/drawing/2014/main" id="{00000000-0008-0000-0300-00009B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69</xdr:row>
          <xdr:rowOff>133350</xdr:rowOff>
        </xdr:from>
        <xdr:to>
          <xdr:col>9</xdr:col>
          <xdr:colOff>419100</xdr:colOff>
          <xdr:row>71</xdr:row>
          <xdr:rowOff>0</xdr:rowOff>
        </xdr:to>
        <xdr:sp macro="" textlink="">
          <xdr:nvSpPr>
            <xdr:cNvPr id="1520284" name="Check Box 8005" hidden="1">
              <a:extLst>
                <a:ext uri="{63B3BB69-23CF-44E3-9099-C40C66FF867C}">
                  <a14:compatExt spid="_x0000_s1520284"/>
                </a:ext>
                <a:ext uri="{FF2B5EF4-FFF2-40B4-BE49-F238E27FC236}">
                  <a16:creationId xmlns:a16="http://schemas.microsoft.com/office/drawing/2014/main" id="{00000000-0008-0000-0300-00009C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70</xdr:row>
          <xdr:rowOff>123825</xdr:rowOff>
        </xdr:from>
        <xdr:to>
          <xdr:col>9</xdr:col>
          <xdr:colOff>419100</xdr:colOff>
          <xdr:row>72</xdr:row>
          <xdr:rowOff>0</xdr:rowOff>
        </xdr:to>
        <xdr:sp macro="" textlink="">
          <xdr:nvSpPr>
            <xdr:cNvPr id="1520285" name="Check Box 8006" hidden="1">
              <a:extLst>
                <a:ext uri="{63B3BB69-23CF-44E3-9099-C40C66FF867C}">
                  <a14:compatExt spid="_x0000_s1520285"/>
                </a:ext>
                <a:ext uri="{FF2B5EF4-FFF2-40B4-BE49-F238E27FC236}">
                  <a16:creationId xmlns:a16="http://schemas.microsoft.com/office/drawing/2014/main" id="{00000000-0008-0000-0300-00009D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71</xdr:row>
          <xdr:rowOff>123825</xdr:rowOff>
        </xdr:from>
        <xdr:to>
          <xdr:col>9</xdr:col>
          <xdr:colOff>419100</xdr:colOff>
          <xdr:row>73</xdr:row>
          <xdr:rowOff>0</xdr:rowOff>
        </xdr:to>
        <xdr:sp macro="" textlink="">
          <xdr:nvSpPr>
            <xdr:cNvPr id="1520286" name="Check Box 8007" hidden="1">
              <a:extLst>
                <a:ext uri="{63B3BB69-23CF-44E3-9099-C40C66FF867C}">
                  <a14:compatExt spid="_x0000_s1520286"/>
                </a:ext>
                <a:ext uri="{FF2B5EF4-FFF2-40B4-BE49-F238E27FC236}">
                  <a16:creationId xmlns:a16="http://schemas.microsoft.com/office/drawing/2014/main" id="{00000000-0008-0000-0300-00009E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116</xdr:row>
          <xdr:rowOff>142875</xdr:rowOff>
        </xdr:from>
        <xdr:to>
          <xdr:col>9</xdr:col>
          <xdr:colOff>419100</xdr:colOff>
          <xdr:row>118</xdr:row>
          <xdr:rowOff>19050</xdr:rowOff>
        </xdr:to>
        <xdr:sp macro="" textlink="">
          <xdr:nvSpPr>
            <xdr:cNvPr id="1520287" name="Check Box 8846" hidden="1">
              <a:extLst>
                <a:ext uri="{63B3BB69-23CF-44E3-9099-C40C66FF867C}">
                  <a14:compatExt spid="_x0000_s1520287"/>
                </a:ext>
                <a:ext uri="{FF2B5EF4-FFF2-40B4-BE49-F238E27FC236}">
                  <a16:creationId xmlns:a16="http://schemas.microsoft.com/office/drawing/2014/main" id="{00000000-0008-0000-0300-00009F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117</xdr:row>
          <xdr:rowOff>133350</xdr:rowOff>
        </xdr:from>
        <xdr:to>
          <xdr:col>9</xdr:col>
          <xdr:colOff>419100</xdr:colOff>
          <xdr:row>119</xdr:row>
          <xdr:rowOff>9525</xdr:rowOff>
        </xdr:to>
        <xdr:sp macro="" textlink="">
          <xdr:nvSpPr>
            <xdr:cNvPr id="1520288" name="Check Box 8847" hidden="1">
              <a:extLst>
                <a:ext uri="{63B3BB69-23CF-44E3-9099-C40C66FF867C}">
                  <a14:compatExt spid="_x0000_s1520288"/>
                </a:ext>
                <a:ext uri="{FF2B5EF4-FFF2-40B4-BE49-F238E27FC236}">
                  <a16:creationId xmlns:a16="http://schemas.microsoft.com/office/drawing/2014/main" id="{00000000-0008-0000-0300-0000A0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118</xdr:row>
          <xdr:rowOff>133350</xdr:rowOff>
        </xdr:from>
        <xdr:to>
          <xdr:col>9</xdr:col>
          <xdr:colOff>419100</xdr:colOff>
          <xdr:row>120</xdr:row>
          <xdr:rowOff>9525</xdr:rowOff>
        </xdr:to>
        <xdr:sp macro="" textlink="">
          <xdr:nvSpPr>
            <xdr:cNvPr id="1520289" name="Check Box 8848" hidden="1">
              <a:extLst>
                <a:ext uri="{63B3BB69-23CF-44E3-9099-C40C66FF867C}">
                  <a14:compatExt spid="_x0000_s1520289"/>
                </a:ext>
                <a:ext uri="{FF2B5EF4-FFF2-40B4-BE49-F238E27FC236}">
                  <a16:creationId xmlns:a16="http://schemas.microsoft.com/office/drawing/2014/main" id="{00000000-0008-0000-0300-0000A1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119</xdr:row>
          <xdr:rowOff>123825</xdr:rowOff>
        </xdr:from>
        <xdr:to>
          <xdr:col>9</xdr:col>
          <xdr:colOff>419100</xdr:colOff>
          <xdr:row>121</xdr:row>
          <xdr:rowOff>0</xdr:rowOff>
        </xdr:to>
        <xdr:sp macro="" textlink="">
          <xdr:nvSpPr>
            <xdr:cNvPr id="1520290" name="Check Box 8849" hidden="1">
              <a:extLst>
                <a:ext uri="{63B3BB69-23CF-44E3-9099-C40C66FF867C}">
                  <a14:compatExt spid="_x0000_s1520290"/>
                </a:ext>
                <a:ext uri="{FF2B5EF4-FFF2-40B4-BE49-F238E27FC236}">
                  <a16:creationId xmlns:a16="http://schemas.microsoft.com/office/drawing/2014/main" id="{00000000-0008-0000-0300-0000A2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120</xdr:row>
          <xdr:rowOff>123825</xdr:rowOff>
        </xdr:from>
        <xdr:to>
          <xdr:col>9</xdr:col>
          <xdr:colOff>419100</xdr:colOff>
          <xdr:row>122</xdr:row>
          <xdr:rowOff>0</xdr:rowOff>
        </xdr:to>
        <xdr:sp macro="" textlink="">
          <xdr:nvSpPr>
            <xdr:cNvPr id="1520291" name="Check Box 8850" hidden="1">
              <a:extLst>
                <a:ext uri="{63B3BB69-23CF-44E3-9099-C40C66FF867C}">
                  <a14:compatExt spid="_x0000_s1520291"/>
                </a:ext>
                <a:ext uri="{FF2B5EF4-FFF2-40B4-BE49-F238E27FC236}">
                  <a16:creationId xmlns:a16="http://schemas.microsoft.com/office/drawing/2014/main" id="{00000000-0008-0000-0300-0000A3321700}"/>
                </a:ext>
              </a:extLst>
            </xdr:cNvPr>
            <xdr:cNvSpPr/>
          </xdr:nvSpPr>
          <xdr:spPr bwMode="auto">
            <a:xfrm>
              <a:off x="0" y="0"/>
              <a:ext cx="0" cy="0"/>
            </a:xfrm>
            <a:prstGeom prst="rect">
              <a:avLst/>
            </a:prstGeom>
            <a:noFill/>
            <a:ln>
              <a:noFill/>
            </a:ln>
            <a:extLst>
              <a:ext uri="{909E8E84-426E-40DD-AFC4-6F175D3DCCD1}">
                <a14:hiddenFill>
                  <a:solidFill>
                    <a:srgbClr val="FF6600"/>
                  </a:solidFill>
                </a14:hiddenFill>
              </a:ext>
              <a:ext uri="{91240B29-F687-4F45-9708-019B960494DF}">
                <a14:hiddenLine w="9525">
                  <a:solidFill>
                    <a:srgbClr val="FF6600" mc:Ignorable="a14" a14:legacySpreadsheetColorIndex="53"/>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1219200</xdr:colOff>
      <xdr:row>1</xdr:row>
      <xdr:rowOff>0</xdr:rowOff>
    </xdr:from>
    <xdr:to>
      <xdr:col>1</xdr:col>
      <xdr:colOff>1219200</xdr:colOff>
      <xdr:row>2</xdr:row>
      <xdr:rowOff>266700</xdr:rowOff>
    </xdr:to>
    <xdr:pic macro="[0]!AddDouble">
      <xdr:nvPicPr>
        <xdr:cNvPr id="1747059" name="Image 11" descr="104945-3d-glossy-orange-orb-icon-alphanumeric-plus-sign3-sc48.png">
          <a:extLst>
            <a:ext uri="{FF2B5EF4-FFF2-40B4-BE49-F238E27FC236}">
              <a16:creationId xmlns:a16="http://schemas.microsoft.com/office/drawing/2014/main" id="{00000000-0008-0000-0B00-000073A81A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81200" y="457200"/>
          <a:ext cx="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1</xdr:col>
      <xdr:colOff>1219200</xdr:colOff>
      <xdr:row>0</xdr:row>
      <xdr:rowOff>438150</xdr:rowOff>
    </xdr:from>
    <xdr:to>
      <xdr:col>1</xdr:col>
      <xdr:colOff>1219200</xdr:colOff>
      <xdr:row>2</xdr:row>
      <xdr:rowOff>257175</xdr:rowOff>
    </xdr:to>
    <xdr:pic macro="[0]!AddTeam">
      <xdr:nvPicPr>
        <xdr:cNvPr id="1747060" name="Image 15" descr="104945-3d-glossy-orange-orb-icon-alphanumeric-plus-sign3-sc48.png">
          <a:extLst>
            <a:ext uri="{FF2B5EF4-FFF2-40B4-BE49-F238E27FC236}">
              <a16:creationId xmlns:a16="http://schemas.microsoft.com/office/drawing/2014/main" id="{00000000-0008-0000-0B00-000074A81A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81200" y="438150"/>
          <a:ext cx="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447678</xdr:colOff>
      <xdr:row>3</xdr:row>
      <xdr:rowOff>133350</xdr:rowOff>
    </xdr:from>
    <xdr:to>
      <xdr:col>2</xdr:col>
      <xdr:colOff>84362</xdr:colOff>
      <xdr:row>3</xdr:row>
      <xdr:rowOff>1014620</xdr:rowOff>
    </xdr:to>
    <xdr:pic>
      <xdr:nvPicPr>
        <xdr:cNvPr id="5" name="Imag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7678" y="809625"/>
          <a:ext cx="770159" cy="881270"/>
        </a:xfrm>
        <a:prstGeom prst="rect">
          <a:avLst/>
        </a:prstGeom>
      </xdr:spPr>
    </xdr:pic>
    <xdr:clientData/>
  </xdr:twoCellAnchor>
  <xdr:twoCellAnchor editAs="oneCell">
    <xdr:from>
      <xdr:col>11</xdr:col>
      <xdr:colOff>647700</xdr:colOff>
      <xdr:row>3</xdr:row>
      <xdr:rowOff>276225</xdr:rowOff>
    </xdr:from>
    <xdr:to>
      <xdr:col>11</xdr:col>
      <xdr:colOff>1276347</xdr:colOff>
      <xdr:row>3</xdr:row>
      <xdr:rowOff>1078378</xdr:rowOff>
    </xdr:to>
    <xdr:pic>
      <xdr:nvPicPr>
        <xdr:cNvPr id="3" name="Image 2">
          <a:extLst>
            <a:ext uri="{FF2B5EF4-FFF2-40B4-BE49-F238E27FC236}">
              <a16:creationId xmlns:a16="http://schemas.microsoft.com/office/drawing/2014/main" id="{E791C57E-3477-4998-B924-5C197164C24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39075" y="952500"/>
          <a:ext cx="628647" cy="80215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21</xdr:col>
      <xdr:colOff>276225</xdr:colOff>
      <xdr:row>0</xdr:row>
      <xdr:rowOff>38100</xdr:rowOff>
    </xdr:from>
    <xdr:to>
      <xdr:col>21</xdr:col>
      <xdr:colOff>733425</xdr:colOff>
      <xdr:row>2</xdr:row>
      <xdr:rowOff>152400</xdr:rowOff>
    </xdr:to>
    <xdr:pic macro="[0]!Delete_This_sheet">
      <xdr:nvPicPr>
        <xdr:cNvPr id="1536928" name="Picture 24" descr="23_full_trash">
          <a:extLst>
            <a:ext uri="{FF2B5EF4-FFF2-40B4-BE49-F238E27FC236}">
              <a16:creationId xmlns:a16="http://schemas.microsoft.com/office/drawing/2014/main" id="{00000000-0008-0000-1500-0000A073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05275" y="381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27</xdr:col>
      <xdr:colOff>85725</xdr:colOff>
      <xdr:row>0</xdr:row>
      <xdr:rowOff>0</xdr:rowOff>
    </xdr:from>
    <xdr:to>
      <xdr:col>28</xdr:col>
      <xdr:colOff>180975</xdr:colOff>
      <xdr:row>2</xdr:row>
      <xdr:rowOff>104775</xdr:rowOff>
    </xdr:to>
    <xdr:pic macro="[0]!Delete_This_sheet">
      <xdr:nvPicPr>
        <xdr:cNvPr id="1537951" name="Picture 12" descr="23_full_trash">
          <a:extLst>
            <a:ext uri="{FF2B5EF4-FFF2-40B4-BE49-F238E27FC236}">
              <a16:creationId xmlns:a16="http://schemas.microsoft.com/office/drawing/2014/main" id="{00000000-0008-0000-1600-00009F77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2075" y="0"/>
          <a:ext cx="4572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27</xdr:col>
      <xdr:colOff>228600</xdr:colOff>
      <xdr:row>0</xdr:row>
      <xdr:rowOff>0</xdr:rowOff>
    </xdr:from>
    <xdr:to>
      <xdr:col>28</xdr:col>
      <xdr:colOff>333375</xdr:colOff>
      <xdr:row>2</xdr:row>
      <xdr:rowOff>114300</xdr:rowOff>
    </xdr:to>
    <xdr:pic macro="[0]!Delete_This_sheet">
      <xdr:nvPicPr>
        <xdr:cNvPr id="1538975" name="Picture 7" descr="23_full_trash">
          <a:extLst>
            <a:ext uri="{FF2B5EF4-FFF2-40B4-BE49-F238E27FC236}">
              <a16:creationId xmlns:a16="http://schemas.microsoft.com/office/drawing/2014/main" id="{00000000-0008-0000-1700-00009F7B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0"/>
          <a:ext cx="46672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10</xdr:col>
      <xdr:colOff>571500</xdr:colOff>
      <xdr:row>0</xdr:row>
      <xdr:rowOff>47625</xdr:rowOff>
    </xdr:from>
    <xdr:to>
      <xdr:col>10</xdr:col>
      <xdr:colOff>1028700</xdr:colOff>
      <xdr:row>3</xdr:row>
      <xdr:rowOff>19050</xdr:rowOff>
    </xdr:to>
    <xdr:pic macro="[0]!Delete_This_sheet">
      <xdr:nvPicPr>
        <xdr:cNvPr id="1721556" name="Picture 8" descr="23_full_trash">
          <a:extLst>
            <a:ext uri="{FF2B5EF4-FFF2-40B4-BE49-F238E27FC236}">
              <a16:creationId xmlns:a16="http://schemas.microsoft.com/office/drawing/2014/main" id="{00000000-0008-0000-1800-0000D4441A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62625" y="4762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xdr:col>
      <xdr:colOff>209550</xdr:colOff>
      <xdr:row>0</xdr:row>
      <xdr:rowOff>38100</xdr:rowOff>
    </xdr:from>
    <xdr:to>
      <xdr:col>1</xdr:col>
      <xdr:colOff>666750</xdr:colOff>
      <xdr:row>3</xdr:row>
      <xdr:rowOff>19050</xdr:rowOff>
    </xdr:to>
    <xdr:pic macro="[0]!Delete_This_sheet">
      <xdr:nvPicPr>
        <xdr:cNvPr id="1722582" name="Picture 13" descr="23_full_trash">
          <a:extLst>
            <a:ext uri="{FF2B5EF4-FFF2-40B4-BE49-F238E27FC236}">
              <a16:creationId xmlns:a16="http://schemas.microsoft.com/office/drawing/2014/main" id="{00000000-0008-0000-1900-0000D6481A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8100"/>
          <a:ext cx="4572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333375</xdr:colOff>
      <xdr:row>0</xdr:row>
      <xdr:rowOff>66675</xdr:rowOff>
    </xdr:from>
    <xdr:to>
      <xdr:col>1</xdr:col>
      <xdr:colOff>790575</xdr:colOff>
      <xdr:row>3</xdr:row>
      <xdr:rowOff>38100</xdr:rowOff>
    </xdr:to>
    <xdr:pic macro="[0]!Delete_This_sheet">
      <xdr:nvPicPr>
        <xdr:cNvPr id="1723604" name="Picture 10" descr="23_full_trash">
          <a:extLst>
            <a:ext uri="{FF2B5EF4-FFF2-40B4-BE49-F238E27FC236}">
              <a16:creationId xmlns:a16="http://schemas.microsoft.com/office/drawing/2014/main" id="{00000000-0008-0000-1A00-0000D44C1A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0" y="666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4</xdr:col>
      <xdr:colOff>0</xdr:colOff>
      <xdr:row>22</xdr:row>
      <xdr:rowOff>66675</xdr:rowOff>
    </xdr:from>
    <xdr:to>
      <xdr:col>4</xdr:col>
      <xdr:colOff>0</xdr:colOff>
      <xdr:row>23</xdr:row>
      <xdr:rowOff>38100</xdr:rowOff>
    </xdr:to>
    <xdr:pic>
      <xdr:nvPicPr>
        <xdr:cNvPr id="1729274" name="Picture 6" descr="35">
          <a:extLst>
            <a:ext uri="{FF2B5EF4-FFF2-40B4-BE49-F238E27FC236}">
              <a16:creationId xmlns:a16="http://schemas.microsoft.com/office/drawing/2014/main" id="{00000000-0008-0000-1B00-0000FA621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62175" y="46958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22</xdr:row>
      <xdr:rowOff>66675</xdr:rowOff>
    </xdr:from>
    <xdr:to>
      <xdr:col>9</xdr:col>
      <xdr:colOff>0</xdr:colOff>
      <xdr:row>23</xdr:row>
      <xdr:rowOff>38100</xdr:rowOff>
    </xdr:to>
    <xdr:pic>
      <xdr:nvPicPr>
        <xdr:cNvPr id="1729275" name="Picture 7" descr="39">
          <a:extLst>
            <a:ext uri="{FF2B5EF4-FFF2-40B4-BE49-F238E27FC236}">
              <a16:creationId xmlns:a16="http://schemas.microsoft.com/office/drawing/2014/main" id="{00000000-0008-0000-1B00-0000FB621A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46958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22</xdr:row>
      <xdr:rowOff>66675</xdr:rowOff>
    </xdr:from>
    <xdr:to>
      <xdr:col>10</xdr:col>
      <xdr:colOff>0</xdr:colOff>
      <xdr:row>23</xdr:row>
      <xdr:rowOff>38100</xdr:rowOff>
    </xdr:to>
    <xdr:pic>
      <xdr:nvPicPr>
        <xdr:cNvPr id="1729276" name="Picture 10" descr="49">
          <a:extLst>
            <a:ext uri="{FF2B5EF4-FFF2-40B4-BE49-F238E27FC236}">
              <a16:creationId xmlns:a16="http://schemas.microsoft.com/office/drawing/2014/main" id="{00000000-0008-0000-1B00-0000FC621A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257925" y="46958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152400</xdr:colOff>
      <xdr:row>23</xdr:row>
      <xdr:rowOff>28575</xdr:rowOff>
    </xdr:from>
    <xdr:to>
      <xdr:col>4</xdr:col>
      <xdr:colOff>152400</xdr:colOff>
      <xdr:row>24</xdr:row>
      <xdr:rowOff>0</xdr:rowOff>
    </xdr:to>
    <xdr:pic>
      <xdr:nvPicPr>
        <xdr:cNvPr id="1729277" name="Picture 11" descr="66">
          <a:extLst>
            <a:ext uri="{FF2B5EF4-FFF2-40B4-BE49-F238E27FC236}">
              <a16:creationId xmlns:a16="http://schemas.microsoft.com/office/drawing/2014/main" id="{00000000-0008-0000-1B00-0000FD621A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314575" y="4819650"/>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22</xdr:row>
      <xdr:rowOff>66675</xdr:rowOff>
    </xdr:from>
    <xdr:to>
      <xdr:col>17</xdr:col>
      <xdr:colOff>0</xdr:colOff>
      <xdr:row>23</xdr:row>
      <xdr:rowOff>38100</xdr:rowOff>
    </xdr:to>
    <xdr:pic>
      <xdr:nvPicPr>
        <xdr:cNvPr id="1729278" name="Picture 6" descr="35">
          <a:extLst>
            <a:ext uri="{FF2B5EF4-FFF2-40B4-BE49-F238E27FC236}">
              <a16:creationId xmlns:a16="http://schemas.microsoft.com/office/drawing/2014/main" id="{00000000-0008-0000-1B00-0000FE621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9725" y="46958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0</xdr:colOff>
      <xdr:row>22</xdr:row>
      <xdr:rowOff>66675</xdr:rowOff>
    </xdr:from>
    <xdr:to>
      <xdr:col>22</xdr:col>
      <xdr:colOff>0</xdr:colOff>
      <xdr:row>23</xdr:row>
      <xdr:rowOff>38100</xdr:rowOff>
    </xdr:to>
    <xdr:pic>
      <xdr:nvPicPr>
        <xdr:cNvPr id="1729279" name="Picture 7" descr="39">
          <a:extLst>
            <a:ext uri="{FF2B5EF4-FFF2-40B4-BE49-F238E27FC236}">
              <a16:creationId xmlns:a16="http://schemas.microsoft.com/office/drawing/2014/main" id="{00000000-0008-0000-1B00-0000FF621A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2250" y="46958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0</xdr:colOff>
      <xdr:row>22</xdr:row>
      <xdr:rowOff>66675</xdr:rowOff>
    </xdr:from>
    <xdr:to>
      <xdr:col>23</xdr:col>
      <xdr:colOff>0</xdr:colOff>
      <xdr:row>23</xdr:row>
      <xdr:rowOff>38100</xdr:rowOff>
    </xdr:to>
    <xdr:pic>
      <xdr:nvPicPr>
        <xdr:cNvPr id="1729280" name="Picture 10" descr="49">
          <a:extLst>
            <a:ext uri="{FF2B5EF4-FFF2-40B4-BE49-F238E27FC236}">
              <a16:creationId xmlns:a16="http://schemas.microsoft.com/office/drawing/2014/main" id="{00000000-0008-0000-1B00-000000631A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620375" y="46958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152400</xdr:colOff>
      <xdr:row>23</xdr:row>
      <xdr:rowOff>28575</xdr:rowOff>
    </xdr:from>
    <xdr:to>
      <xdr:col>17</xdr:col>
      <xdr:colOff>152400</xdr:colOff>
      <xdr:row>24</xdr:row>
      <xdr:rowOff>0</xdr:rowOff>
    </xdr:to>
    <xdr:pic>
      <xdr:nvPicPr>
        <xdr:cNvPr id="1729281" name="Picture 11" descr="66">
          <a:extLst>
            <a:ext uri="{FF2B5EF4-FFF2-40B4-BE49-F238E27FC236}">
              <a16:creationId xmlns:a16="http://schemas.microsoft.com/office/drawing/2014/main" id="{00000000-0008-0000-1B00-000001631A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82125" y="4819650"/>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409575</xdr:colOff>
      <xdr:row>0</xdr:row>
      <xdr:rowOff>276225</xdr:rowOff>
    </xdr:from>
    <xdr:to>
      <xdr:col>1</xdr:col>
      <xdr:colOff>1333765</xdr:colOff>
      <xdr:row>2</xdr:row>
      <xdr:rowOff>152649</xdr:rowOff>
    </xdr:to>
    <xdr:pic>
      <xdr:nvPicPr>
        <xdr:cNvPr id="3" name="Imag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 y="276225"/>
          <a:ext cx="924190" cy="1057524"/>
        </a:xfrm>
        <a:prstGeom prst="rect">
          <a:avLst/>
        </a:prstGeom>
      </xdr:spPr>
    </xdr:pic>
    <xdr:clientData/>
  </xdr:twoCellAnchor>
  <xdr:twoCellAnchor editAs="oneCell">
    <xdr:from>
      <xdr:col>10</xdr:col>
      <xdr:colOff>504828</xdr:colOff>
      <xdr:row>0</xdr:row>
      <xdr:rowOff>390534</xdr:rowOff>
    </xdr:from>
    <xdr:to>
      <xdr:col>10</xdr:col>
      <xdr:colOff>1133475</xdr:colOff>
      <xdr:row>2</xdr:row>
      <xdr:rowOff>11587</xdr:rowOff>
    </xdr:to>
    <xdr:pic>
      <xdr:nvPicPr>
        <xdr:cNvPr id="5" name="Image 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762753" y="390534"/>
          <a:ext cx="628647" cy="80215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51289</xdr:colOff>
      <xdr:row>0</xdr:row>
      <xdr:rowOff>21982</xdr:rowOff>
    </xdr:from>
    <xdr:to>
      <xdr:col>1</xdr:col>
      <xdr:colOff>390073</xdr:colOff>
      <xdr:row>0</xdr:row>
      <xdr:rowOff>454270</xdr:rowOff>
    </xdr:to>
    <xdr:pic>
      <xdr:nvPicPr>
        <xdr:cNvPr id="2" name="Image 1">
          <a:extLst>
            <a:ext uri="{FF2B5EF4-FFF2-40B4-BE49-F238E27FC236}">
              <a16:creationId xmlns:a16="http://schemas.microsoft.com/office/drawing/2014/main" id="{06DE01C0-9B63-485B-894A-1E908569C7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2712" y="21982"/>
          <a:ext cx="338784" cy="4322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600075</xdr:colOff>
      <xdr:row>2</xdr:row>
      <xdr:rowOff>104775</xdr:rowOff>
    </xdr:from>
    <xdr:to>
      <xdr:col>1</xdr:col>
      <xdr:colOff>904875</xdr:colOff>
      <xdr:row>3</xdr:row>
      <xdr:rowOff>38100</xdr:rowOff>
    </xdr:to>
    <xdr:pic macro="[0]!UpdateRefereeing">
      <xdr:nvPicPr>
        <xdr:cNvPr id="1667412" name="Image 4" descr="Farm-Fresh_arrow_refresh.png">
          <a:extLst>
            <a:ext uri="{FF2B5EF4-FFF2-40B4-BE49-F238E27FC236}">
              <a16:creationId xmlns:a16="http://schemas.microsoft.com/office/drawing/2014/main" id="{00000000-0008-0000-1E00-0000547119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9150" y="9334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733425</xdr:colOff>
      <xdr:row>1</xdr:row>
      <xdr:rowOff>38100</xdr:rowOff>
    </xdr:from>
    <xdr:to>
      <xdr:col>3</xdr:col>
      <xdr:colOff>0</xdr:colOff>
      <xdr:row>1</xdr:row>
      <xdr:rowOff>342900</xdr:rowOff>
    </xdr:to>
    <xdr:pic macro="[0]!UpdatePlayerTimelineFromTimeline">
      <xdr:nvPicPr>
        <xdr:cNvPr id="1631943" name="Image 4" descr="Farm-Fresh_arrow_refresh.png">
          <a:extLst>
            <a:ext uri="{FF2B5EF4-FFF2-40B4-BE49-F238E27FC236}">
              <a16:creationId xmlns:a16="http://schemas.microsoft.com/office/drawing/2014/main" id="{00000000-0008-0000-1F00-0000C7E618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4953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733425</xdr:colOff>
      <xdr:row>1</xdr:row>
      <xdr:rowOff>76200</xdr:rowOff>
    </xdr:from>
    <xdr:to>
      <xdr:col>1</xdr:col>
      <xdr:colOff>1038225</xdr:colOff>
      <xdr:row>2</xdr:row>
      <xdr:rowOff>66675</xdr:rowOff>
    </xdr:to>
    <xdr:pic macro="[0]!UpdateStatistics">
      <xdr:nvPicPr>
        <xdr:cNvPr id="1724631" name="Image 4" descr="Farm-Fresh_arrow_refresh.png">
          <a:extLst>
            <a:ext uri="{FF2B5EF4-FFF2-40B4-BE49-F238E27FC236}">
              <a16:creationId xmlns:a16="http://schemas.microsoft.com/office/drawing/2014/main" id="{00000000-0008-0000-2000-0000D7501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2975" y="5334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3</xdr:col>
      <xdr:colOff>152400</xdr:colOff>
      <xdr:row>6</xdr:row>
      <xdr:rowOff>95250</xdr:rowOff>
    </xdr:to>
    <xdr:pic macro="[0]!UnlockActiveSheet">
      <xdr:nvPicPr>
        <xdr:cNvPr id="2" name="Image_Locked" descr="084827-pink-jelly-icon-business-lock1.png" hidden="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71550"/>
          <a:ext cx="514350" cy="4398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18</xdr:col>
      <xdr:colOff>0</xdr:colOff>
      <xdr:row>4</xdr:row>
      <xdr:rowOff>0</xdr:rowOff>
    </xdr:from>
    <xdr:to>
      <xdr:col>19</xdr:col>
      <xdr:colOff>165033</xdr:colOff>
      <xdr:row>6</xdr:row>
      <xdr:rowOff>95250</xdr:rowOff>
    </xdr:to>
    <xdr:pic macro="[0]!UnlockActiveSheet">
      <xdr:nvPicPr>
        <xdr:cNvPr id="3" name="Image_Locked" descr="084827-pink-jelly-icon-business-lock1.png" hidden="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24375" y="971550"/>
          <a:ext cx="439016" cy="4398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12</xdr:col>
      <xdr:colOff>0</xdr:colOff>
      <xdr:row>2</xdr:row>
      <xdr:rowOff>0</xdr:rowOff>
    </xdr:from>
    <xdr:to>
      <xdr:col>14</xdr:col>
      <xdr:colOff>11258</xdr:colOff>
      <xdr:row>4</xdr:row>
      <xdr:rowOff>161925</xdr:rowOff>
    </xdr:to>
    <xdr:pic macro="[0]!UnlockActiveSheet">
      <xdr:nvPicPr>
        <xdr:cNvPr id="4" name="Image_Locked" descr="084827-pink-jelly-icon-business-lock1.png" hidden="1">
          <a:extLst>
            <a:ext uri="{FF2B5EF4-FFF2-40B4-BE49-F238E27FC236}">
              <a16:creationId xmlns:a16="http://schemas.microsoft.com/office/drawing/2014/main" id="{00000000-0008-0000-2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81325" y="590550"/>
          <a:ext cx="716108"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18</xdr:col>
      <xdr:colOff>0</xdr:colOff>
      <xdr:row>7</xdr:row>
      <xdr:rowOff>0</xdr:rowOff>
    </xdr:from>
    <xdr:to>
      <xdr:col>19</xdr:col>
      <xdr:colOff>165033</xdr:colOff>
      <xdr:row>9</xdr:row>
      <xdr:rowOff>108805</xdr:rowOff>
    </xdr:to>
    <xdr:pic macro="[0]!UnlockActiveSheet">
      <xdr:nvPicPr>
        <xdr:cNvPr id="5" name="Image_Locked" descr="084827-pink-jelly-icon-business-lock1.png" hidden="1">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24375" y="1485900"/>
          <a:ext cx="439016" cy="505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35</xdr:col>
      <xdr:colOff>0</xdr:colOff>
      <xdr:row>7</xdr:row>
      <xdr:rowOff>0</xdr:rowOff>
    </xdr:from>
    <xdr:to>
      <xdr:col>36</xdr:col>
      <xdr:colOff>165033</xdr:colOff>
      <xdr:row>9</xdr:row>
      <xdr:rowOff>108805</xdr:rowOff>
    </xdr:to>
    <xdr:pic macro="[0]!UnlockActiveSheet">
      <xdr:nvPicPr>
        <xdr:cNvPr id="6" name="Image_Locked" descr="084827-pink-jelly-icon-business-lock1.png" hidden="1">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96350" y="1485900"/>
          <a:ext cx="439016" cy="505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35</xdr:col>
      <xdr:colOff>0</xdr:colOff>
      <xdr:row>12</xdr:row>
      <xdr:rowOff>0</xdr:rowOff>
    </xdr:from>
    <xdr:to>
      <xdr:col>36</xdr:col>
      <xdr:colOff>165033</xdr:colOff>
      <xdr:row>14</xdr:row>
      <xdr:rowOff>95200</xdr:rowOff>
    </xdr:to>
    <xdr:pic macro="[0]!UnlockActiveSheet">
      <xdr:nvPicPr>
        <xdr:cNvPr id="7" name="Image_Locked" descr="084827-pink-jelly-icon-business-lock1.png" hidden="1">
          <a:extLst>
            <a:ext uri="{FF2B5EF4-FFF2-40B4-BE49-F238E27FC236}">
              <a16:creationId xmlns:a16="http://schemas.microsoft.com/office/drawing/2014/main" id="{00000000-0008-0000-2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96350" y="2647950"/>
          <a:ext cx="439016" cy="4922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18</xdr:col>
      <xdr:colOff>0</xdr:colOff>
      <xdr:row>7</xdr:row>
      <xdr:rowOff>0</xdr:rowOff>
    </xdr:from>
    <xdr:to>
      <xdr:col>19</xdr:col>
      <xdr:colOff>165033</xdr:colOff>
      <xdr:row>9</xdr:row>
      <xdr:rowOff>108805</xdr:rowOff>
    </xdr:to>
    <xdr:pic macro="[0]!UnlockActiveSheet">
      <xdr:nvPicPr>
        <xdr:cNvPr id="11" name="Image_Locked" descr="084827-pink-jelly-icon-business-lock1.png" hidden="1">
          <a:extLst>
            <a:ext uri="{FF2B5EF4-FFF2-40B4-BE49-F238E27FC236}">
              <a16:creationId xmlns:a16="http://schemas.microsoft.com/office/drawing/2014/main" id="{00000000-0008-0000-21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24375" y="1485900"/>
          <a:ext cx="439016" cy="505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35</xdr:col>
      <xdr:colOff>0</xdr:colOff>
      <xdr:row>7</xdr:row>
      <xdr:rowOff>0</xdr:rowOff>
    </xdr:from>
    <xdr:to>
      <xdr:col>36</xdr:col>
      <xdr:colOff>165033</xdr:colOff>
      <xdr:row>9</xdr:row>
      <xdr:rowOff>108805</xdr:rowOff>
    </xdr:to>
    <xdr:pic macro="[0]!UnlockActiveSheet">
      <xdr:nvPicPr>
        <xdr:cNvPr id="12" name="Image_Locked" descr="084827-pink-jelly-icon-business-lock1.png" hidden="1">
          <a:extLst>
            <a:ext uri="{FF2B5EF4-FFF2-40B4-BE49-F238E27FC236}">
              <a16:creationId xmlns:a16="http://schemas.microsoft.com/office/drawing/2014/main" id="{00000000-0008-0000-2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96350" y="1485900"/>
          <a:ext cx="439016" cy="505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oneCell">
    <xdr:from>
      <xdr:col>35</xdr:col>
      <xdr:colOff>0</xdr:colOff>
      <xdr:row>12</xdr:row>
      <xdr:rowOff>0</xdr:rowOff>
    </xdr:from>
    <xdr:to>
      <xdr:col>36</xdr:col>
      <xdr:colOff>165033</xdr:colOff>
      <xdr:row>14</xdr:row>
      <xdr:rowOff>95200</xdr:rowOff>
    </xdr:to>
    <xdr:pic macro="[0]!UnlockActiveSheet">
      <xdr:nvPicPr>
        <xdr:cNvPr id="13" name="Image_Locked" descr="084827-pink-jelly-icon-business-lock1.png" hidden="1">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96350" y="2647950"/>
          <a:ext cx="439016" cy="4922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4</xdr:col>
      <xdr:colOff>1323975</xdr:colOff>
      <xdr:row>10</xdr:row>
      <xdr:rowOff>66675</xdr:rowOff>
    </xdr:from>
    <xdr:to>
      <xdr:col>6</xdr:col>
      <xdr:colOff>28575</xdr:colOff>
      <xdr:row>11</xdr:row>
      <xdr:rowOff>95250</xdr:rowOff>
    </xdr:to>
    <xdr:pic>
      <xdr:nvPicPr>
        <xdr:cNvPr id="1749745" name="Image 1">
          <a:extLst>
            <a:ext uri="{FF2B5EF4-FFF2-40B4-BE49-F238E27FC236}">
              <a16:creationId xmlns:a16="http://schemas.microsoft.com/office/drawing/2014/main" id="{00000000-0008-0000-2200-0000F1B21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24150" y="2105025"/>
          <a:ext cx="3524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38100</xdr:colOff>
      <xdr:row>5</xdr:row>
      <xdr:rowOff>171449</xdr:rowOff>
    </xdr:from>
    <xdr:to>
      <xdr:col>9</xdr:col>
      <xdr:colOff>276225</xdr:colOff>
      <xdr:row>7</xdr:row>
      <xdr:rowOff>9524</xdr:rowOff>
    </xdr:to>
    <xdr:pic>
      <xdr:nvPicPr>
        <xdr:cNvPr id="1749746" name="Image 2">
          <a:extLst>
            <a:ext uri="{FF2B5EF4-FFF2-40B4-BE49-F238E27FC236}">
              <a16:creationId xmlns:a16="http://schemas.microsoft.com/office/drawing/2014/main" id="{00000000-0008-0000-2200-0000F2B21A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57675" y="1266824"/>
          <a:ext cx="23812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28575</xdr:colOff>
      <xdr:row>5</xdr:row>
      <xdr:rowOff>169935</xdr:rowOff>
    </xdr:from>
    <xdr:to>
      <xdr:col>5</xdr:col>
      <xdr:colOff>266700</xdr:colOff>
      <xdr:row>7</xdr:row>
      <xdr:rowOff>0</xdr:rowOff>
    </xdr:to>
    <xdr:pic>
      <xdr:nvPicPr>
        <xdr:cNvPr id="1749747" name="Image 3">
          <a:extLst>
            <a:ext uri="{FF2B5EF4-FFF2-40B4-BE49-F238E27FC236}">
              <a16:creationId xmlns:a16="http://schemas.microsoft.com/office/drawing/2014/main" id="{00000000-0008-0000-2200-0000F3B21A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90825" y="1265310"/>
          <a:ext cx="238125" cy="3444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47625</xdr:colOff>
      <xdr:row>10</xdr:row>
      <xdr:rowOff>95250</xdr:rowOff>
    </xdr:from>
    <xdr:to>
      <xdr:col>10</xdr:col>
      <xdr:colOff>9525</xdr:colOff>
      <xdr:row>11</xdr:row>
      <xdr:rowOff>38100</xdr:rowOff>
    </xdr:to>
    <xdr:pic>
      <xdr:nvPicPr>
        <xdr:cNvPr id="1749748" name="Image 4">
          <a:extLst>
            <a:ext uri="{FF2B5EF4-FFF2-40B4-BE49-F238E27FC236}">
              <a16:creationId xmlns:a16="http://schemas.microsoft.com/office/drawing/2014/main" id="{00000000-0008-0000-2200-0000F4B21A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67200" y="2133600"/>
          <a:ext cx="2476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190500</xdr:colOff>
      <xdr:row>6</xdr:row>
      <xdr:rowOff>0</xdr:rowOff>
    </xdr:from>
    <xdr:to>
      <xdr:col>4</xdr:col>
      <xdr:colOff>1362559</xdr:colOff>
      <xdr:row>7</xdr:row>
      <xdr:rowOff>7327</xdr:rowOff>
    </xdr:to>
    <xdr:sp macro="" textlink="">
      <xdr:nvSpPr>
        <xdr:cNvPr id="15" name="Rectangle à coins arrondis 14">
          <a:extLst>
            <a:ext uri="{FF2B5EF4-FFF2-40B4-BE49-F238E27FC236}">
              <a16:creationId xmlns:a16="http://schemas.microsoft.com/office/drawing/2014/main" id="{00000000-0008-0000-2200-00000F000000}"/>
            </a:ext>
          </a:extLst>
        </xdr:cNvPr>
        <xdr:cNvSpPr/>
      </xdr:nvSpPr>
      <xdr:spPr bwMode="auto">
        <a:xfrm>
          <a:off x="1390650" y="1285875"/>
          <a:ext cx="1372084" cy="331177"/>
        </a:xfrm>
        <a:prstGeom prst="roundRect">
          <a:avLst>
            <a:gd name="adj" fmla="val 16488"/>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6</xdr:row>
      <xdr:rowOff>0</xdr:rowOff>
    </xdr:from>
    <xdr:to>
      <xdr:col>11</xdr:col>
      <xdr:colOff>7328</xdr:colOff>
      <xdr:row>7</xdr:row>
      <xdr:rowOff>7327</xdr:rowOff>
    </xdr:to>
    <xdr:sp macro="" textlink="">
      <xdr:nvSpPr>
        <xdr:cNvPr id="16" name="Rectangle à coins arrondis 15">
          <a:extLst>
            <a:ext uri="{FF2B5EF4-FFF2-40B4-BE49-F238E27FC236}">
              <a16:creationId xmlns:a16="http://schemas.microsoft.com/office/drawing/2014/main" id="{00000000-0008-0000-2200-000010000000}"/>
            </a:ext>
          </a:extLst>
        </xdr:cNvPr>
        <xdr:cNvSpPr/>
      </xdr:nvSpPr>
      <xdr:spPr bwMode="auto">
        <a:xfrm>
          <a:off x="4505325" y="1285875"/>
          <a:ext cx="1369403" cy="331177"/>
        </a:xfrm>
        <a:prstGeom prst="roundRect">
          <a:avLst>
            <a:gd name="adj" fmla="val 16488"/>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2</xdr:col>
      <xdr:colOff>9525</xdr:colOff>
      <xdr:row>11</xdr:row>
      <xdr:rowOff>57150</xdr:rowOff>
    </xdr:from>
    <xdr:to>
      <xdr:col>4</xdr:col>
      <xdr:colOff>1362075</xdr:colOff>
      <xdr:row>12</xdr:row>
      <xdr:rowOff>0</xdr:rowOff>
    </xdr:to>
    <xdr:sp macro="" textlink="">
      <xdr:nvSpPr>
        <xdr:cNvPr id="1749751" name="Parenthèse ouvrante 2">
          <a:extLst>
            <a:ext uri="{FF2B5EF4-FFF2-40B4-BE49-F238E27FC236}">
              <a16:creationId xmlns:a16="http://schemas.microsoft.com/office/drawing/2014/main" id="{00000000-0008-0000-2200-0000F7B21A00}"/>
            </a:ext>
          </a:extLst>
        </xdr:cNvPr>
        <xdr:cNvSpPr>
          <a:spLocks/>
        </xdr:cNvSpPr>
      </xdr:nvSpPr>
      <xdr:spPr bwMode="auto">
        <a:xfrm rot="-5400000">
          <a:off x="1628775" y="1343025"/>
          <a:ext cx="85725" cy="2181225"/>
        </a:xfrm>
        <a:prstGeom prst="leftBracket">
          <a:avLst>
            <a:gd name="adj" fmla="val 8364"/>
          </a:avLst>
        </a:prstGeom>
        <a:solidFill>
          <a:srgbClr val="FFFFFF"/>
        </a:solidFill>
        <a:ln w="19050" algn="ctr">
          <a:solidFill>
            <a:srgbClr val="000000"/>
          </a:solidFill>
          <a:round/>
          <a:headEnd/>
          <a:tailEnd/>
        </a:ln>
      </xdr:spPr>
    </xdr:sp>
    <xdr:clientData/>
  </xdr:twoCellAnchor>
  <xdr:twoCellAnchor>
    <xdr:from>
      <xdr:col>6</xdr:col>
      <xdr:colOff>0</xdr:colOff>
      <xdr:row>9</xdr:row>
      <xdr:rowOff>87178</xdr:rowOff>
    </xdr:from>
    <xdr:to>
      <xdr:col>9</xdr:col>
      <xdr:colOff>36634</xdr:colOff>
      <xdr:row>12</xdr:row>
      <xdr:rowOff>7327</xdr:rowOff>
    </xdr:to>
    <xdr:sp macro="" textlink="">
      <xdr:nvSpPr>
        <xdr:cNvPr id="18" name="Rectangle à coins arrondis 17">
          <a:extLst>
            <a:ext uri="{FF2B5EF4-FFF2-40B4-BE49-F238E27FC236}">
              <a16:creationId xmlns:a16="http://schemas.microsoft.com/office/drawing/2014/main" id="{00000000-0008-0000-2200-000012000000}"/>
            </a:ext>
          </a:extLst>
        </xdr:cNvPr>
        <xdr:cNvSpPr/>
      </xdr:nvSpPr>
      <xdr:spPr bwMode="auto">
        <a:xfrm>
          <a:off x="3048000" y="2039803"/>
          <a:ext cx="1208209" cy="444024"/>
        </a:xfrm>
        <a:prstGeom prst="roundRect">
          <a:avLst>
            <a:gd name="adj" fmla="val 11130"/>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6</xdr:row>
      <xdr:rowOff>0</xdr:rowOff>
    </xdr:from>
    <xdr:to>
      <xdr:col>6</xdr:col>
      <xdr:colOff>424961</xdr:colOff>
      <xdr:row>7</xdr:row>
      <xdr:rowOff>7327</xdr:rowOff>
    </xdr:to>
    <xdr:sp macro="" textlink="">
      <xdr:nvSpPr>
        <xdr:cNvPr id="19" name="Rectangle à coins arrondis 18">
          <a:extLst>
            <a:ext uri="{FF2B5EF4-FFF2-40B4-BE49-F238E27FC236}">
              <a16:creationId xmlns:a16="http://schemas.microsoft.com/office/drawing/2014/main" id="{00000000-0008-0000-2200-000013000000}"/>
            </a:ext>
          </a:extLst>
        </xdr:cNvPr>
        <xdr:cNvSpPr/>
      </xdr:nvSpPr>
      <xdr:spPr bwMode="auto">
        <a:xfrm>
          <a:off x="3048000" y="1285875"/>
          <a:ext cx="424961" cy="331177"/>
        </a:xfrm>
        <a:prstGeom prst="roundRect">
          <a:avLst>
            <a:gd name="adj" fmla="val 23333"/>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6</xdr:row>
      <xdr:rowOff>0</xdr:rowOff>
    </xdr:from>
    <xdr:to>
      <xdr:col>8</xdr:col>
      <xdr:colOff>424961</xdr:colOff>
      <xdr:row>7</xdr:row>
      <xdr:rowOff>7327</xdr:rowOff>
    </xdr:to>
    <xdr:sp macro="" textlink="">
      <xdr:nvSpPr>
        <xdr:cNvPr id="20" name="Rectangle à coins arrondis 19">
          <a:extLst>
            <a:ext uri="{FF2B5EF4-FFF2-40B4-BE49-F238E27FC236}">
              <a16:creationId xmlns:a16="http://schemas.microsoft.com/office/drawing/2014/main" id="{00000000-0008-0000-2200-000014000000}"/>
            </a:ext>
          </a:extLst>
        </xdr:cNvPr>
        <xdr:cNvSpPr/>
      </xdr:nvSpPr>
      <xdr:spPr bwMode="auto">
        <a:xfrm>
          <a:off x="3790950" y="1285875"/>
          <a:ext cx="424961" cy="331177"/>
        </a:xfrm>
        <a:prstGeom prst="roundRect">
          <a:avLst>
            <a:gd name="adj" fmla="val 23333"/>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1</xdr:colOff>
      <xdr:row>8</xdr:row>
      <xdr:rowOff>0</xdr:rowOff>
    </xdr:from>
    <xdr:to>
      <xdr:col>7</xdr:col>
      <xdr:colOff>4764</xdr:colOff>
      <xdr:row>9</xdr:row>
      <xdr:rowOff>7327</xdr:rowOff>
    </xdr:to>
    <xdr:sp macro="" textlink="">
      <xdr:nvSpPr>
        <xdr:cNvPr id="21" name="Rectangle à coins arrondis 20">
          <a:extLst>
            <a:ext uri="{FF2B5EF4-FFF2-40B4-BE49-F238E27FC236}">
              <a16:creationId xmlns:a16="http://schemas.microsoft.com/office/drawing/2014/main" id="{00000000-0008-0000-2200-000015000000}"/>
            </a:ext>
          </a:extLst>
        </xdr:cNvPr>
        <xdr:cNvSpPr/>
      </xdr:nvSpPr>
      <xdr:spPr bwMode="auto">
        <a:xfrm>
          <a:off x="3048001" y="1695450"/>
          <a:ext cx="433388" cy="264502"/>
        </a:xfrm>
        <a:prstGeom prst="roundRect">
          <a:avLst>
            <a:gd name="adj" fmla="val 12529"/>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8</xdr:row>
      <xdr:rowOff>0</xdr:rowOff>
    </xdr:from>
    <xdr:to>
      <xdr:col>9</xdr:col>
      <xdr:colOff>4763</xdr:colOff>
      <xdr:row>9</xdr:row>
      <xdr:rowOff>7327</xdr:rowOff>
    </xdr:to>
    <xdr:sp macro="" textlink="">
      <xdr:nvSpPr>
        <xdr:cNvPr id="22" name="Rectangle à coins arrondis 21">
          <a:extLst>
            <a:ext uri="{FF2B5EF4-FFF2-40B4-BE49-F238E27FC236}">
              <a16:creationId xmlns:a16="http://schemas.microsoft.com/office/drawing/2014/main" id="{00000000-0008-0000-2200-000016000000}"/>
            </a:ext>
          </a:extLst>
        </xdr:cNvPr>
        <xdr:cNvSpPr/>
      </xdr:nvSpPr>
      <xdr:spPr bwMode="auto">
        <a:xfrm>
          <a:off x="3790950" y="1695450"/>
          <a:ext cx="433388" cy="264502"/>
        </a:xfrm>
        <a:prstGeom prst="roundRect">
          <a:avLst>
            <a:gd name="adj" fmla="val 12529"/>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11</xdr:col>
      <xdr:colOff>85724</xdr:colOff>
      <xdr:row>6</xdr:row>
      <xdr:rowOff>5176</xdr:rowOff>
    </xdr:from>
    <xdr:to>
      <xdr:col>12</xdr:col>
      <xdr:colOff>619124</xdr:colOff>
      <xdr:row>6</xdr:row>
      <xdr:rowOff>321467</xdr:rowOff>
    </xdr:to>
    <xdr:sp macro="" textlink="">
      <xdr:nvSpPr>
        <xdr:cNvPr id="23" name="Rectangle à coins arrondis 22">
          <a:extLst>
            <a:ext uri="{FF2B5EF4-FFF2-40B4-BE49-F238E27FC236}">
              <a16:creationId xmlns:a16="http://schemas.microsoft.com/office/drawing/2014/main" id="{00000000-0008-0000-2200-000017000000}"/>
            </a:ext>
          </a:extLst>
        </xdr:cNvPr>
        <xdr:cNvSpPr/>
      </xdr:nvSpPr>
      <xdr:spPr bwMode="auto">
        <a:xfrm>
          <a:off x="5953124" y="1291051"/>
          <a:ext cx="619125" cy="316291"/>
        </a:xfrm>
        <a:prstGeom prst="roundRect">
          <a:avLst>
            <a:gd name="adj" fmla="val 7344"/>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11</xdr:row>
      <xdr:rowOff>57150</xdr:rowOff>
    </xdr:from>
    <xdr:to>
      <xdr:col>12</xdr:col>
      <xdr:colOff>504825</xdr:colOff>
      <xdr:row>12</xdr:row>
      <xdr:rowOff>0</xdr:rowOff>
    </xdr:to>
    <xdr:sp macro="" textlink="">
      <xdr:nvSpPr>
        <xdr:cNvPr id="1749758" name="Parenthèse ouvrante 29">
          <a:extLst>
            <a:ext uri="{FF2B5EF4-FFF2-40B4-BE49-F238E27FC236}">
              <a16:creationId xmlns:a16="http://schemas.microsoft.com/office/drawing/2014/main" id="{00000000-0008-0000-2200-0000FEB21A00}"/>
            </a:ext>
          </a:extLst>
        </xdr:cNvPr>
        <xdr:cNvSpPr>
          <a:spLocks/>
        </xdr:cNvSpPr>
      </xdr:nvSpPr>
      <xdr:spPr bwMode="auto">
        <a:xfrm rot="-5400000">
          <a:off x="5438775" y="1457325"/>
          <a:ext cx="85725" cy="1952625"/>
        </a:xfrm>
        <a:prstGeom prst="leftBracket">
          <a:avLst>
            <a:gd name="adj" fmla="val 8436"/>
          </a:avLst>
        </a:prstGeom>
        <a:solidFill>
          <a:srgbClr val="FFFFFF"/>
        </a:solidFill>
        <a:ln w="19050" algn="ctr">
          <a:solidFill>
            <a:srgbClr val="000000"/>
          </a:solidFill>
          <a:round/>
          <a:headEnd/>
          <a:tailEnd/>
        </a:ln>
      </xdr:spPr>
    </xdr:sp>
    <xdr:clientData/>
  </xdr:twoCellAnchor>
  <xdr:twoCellAnchor>
    <xdr:from>
      <xdr:col>4</xdr:col>
      <xdr:colOff>0</xdr:colOff>
      <xdr:row>19</xdr:row>
      <xdr:rowOff>228599</xdr:rowOff>
    </xdr:from>
    <xdr:to>
      <xdr:col>5</xdr:col>
      <xdr:colOff>7078</xdr:colOff>
      <xdr:row>21</xdr:row>
      <xdr:rowOff>9524</xdr:rowOff>
    </xdr:to>
    <xdr:sp macro="" textlink="">
      <xdr:nvSpPr>
        <xdr:cNvPr id="25" name="Rectangle à coins arrondis 24">
          <a:extLst>
            <a:ext uri="{FF2B5EF4-FFF2-40B4-BE49-F238E27FC236}">
              <a16:creationId xmlns:a16="http://schemas.microsoft.com/office/drawing/2014/main" id="{00000000-0008-0000-2200-000019000000}"/>
            </a:ext>
          </a:extLst>
        </xdr:cNvPr>
        <xdr:cNvSpPr/>
      </xdr:nvSpPr>
      <xdr:spPr bwMode="auto">
        <a:xfrm>
          <a:off x="1400175" y="4495799"/>
          <a:ext cx="1369153" cy="447675"/>
        </a:xfrm>
        <a:prstGeom prst="roundRect">
          <a:avLst>
            <a:gd name="adj" fmla="val 16488"/>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12</xdr:col>
      <xdr:colOff>0</xdr:colOff>
      <xdr:row>20</xdr:row>
      <xdr:rowOff>0</xdr:rowOff>
    </xdr:from>
    <xdr:to>
      <xdr:col>12</xdr:col>
      <xdr:colOff>621323</xdr:colOff>
      <xdr:row>21</xdr:row>
      <xdr:rowOff>550</xdr:rowOff>
    </xdr:to>
    <xdr:sp macro="" textlink="">
      <xdr:nvSpPr>
        <xdr:cNvPr id="26" name="Rectangle à coins arrondis 25">
          <a:extLst>
            <a:ext uri="{FF2B5EF4-FFF2-40B4-BE49-F238E27FC236}">
              <a16:creationId xmlns:a16="http://schemas.microsoft.com/office/drawing/2014/main" id="{00000000-0008-0000-2200-00001A000000}"/>
            </a:ext>
          </a:extLst>
        </xdr:cNvPr>
        <xdr:cNvSpPr/>
      </xdr:nvSpPr>
      <xdr:spPr bwMode="auto">
        <a:xfrm>
          <a:off x="5953125" y="4495800"/>
          <a:ext cx="621323" cy="438700"/>
        </a:xfrm>
        <a:prstGeom prst="roundRect">
          <a:avLst>
            <a:gd name="adj" fmla="val 7344"/>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24</xdr:row>
      <xdr:rowOff>0</xdr:rowOff>
    </xdr:from>
    <xdr:to>
      <xdr:col>7</xdr:col>
      <xdr:colOff>4763</xdr:colOff>
      <xdr:row>25</xdr:row>
      <xdr:rowOff>7326</xdr:rowOff>
    </xdr:to>
    <xdr:sp macro="" textlink="">
      <xdr:nvSpPr>
        <xdr:cNvPr id="27" name="Rectangle à coins arrondis 26">
          <a:extLst>
            <a:ext uri="{FF2B5EF4-FFF2-40B4-BE49-F238E27FC236}">
              <a16:creationId xmlns:a16="http://schemas.microsoft.com/office/drawing/2014/main" id="{00000000-0008-0000-2200-00001B000000}"/>
            </a:ext>
          </a:extLst>
        </xdr:cNvPr>
        <xdr:cNvSpPr/>
      </xdr:nvSpPr>
      <xdr:spPr bwMode="auto">
        <a:xfrm>
          <a:off x="3048000" y="5438775"/>
          <a:ext cx="433388" cy="264501"/>
        </a:xfrm>
        <a:prstGeom prst="roundRect">
          <a:avLst>
            <a:gd name="adj" fmla="val 12529"/>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7</xdr:col>
      <xdr:colOff>315057</xdr:colOff>
      <xdr:row>24</xdr:row>
      <xdr:rowOff>0</xdr:rowOff>
    </xdr:from>
    <xdr:to>
      <xdr:col>9</xdr:col>
      <xdr:colOff>4762</xdr:colOff>
      <xdr:row>25</xdr:row>
      <xdr:rowOff>7326</xdr:rowOff>
    </xdr:to>
    <xdr:sp macro="" textlink="">
      <xdr:nvSpPr>
        <xdr:cNvPr id="28" name="Rectangle à coins arrondis 27">
          <a:extLst>
            <a:ext uri="{FF2B5EF4-FFF2-40B4-BE49-F238E27FC236}">
              <a16:creationId xmlns:a16="http://schemas.microsoft.com/office/drawing/2014/main" id="{00000000-0008-0000-2200-00001C000000}"/>
            </a:ext>
          </a:extLst>
        </xdr:cNvPr>
        <xdr:cNvSpPr/>
      </xdr:nvSpPr>
      <xdr:spPr bwMode="auto">
        <a:xfrm>
          <a:off x="3791682" y="5438775"/>
          <a:ext cx="432655" cy="264501"/>
        </a:xfrm>
        <a:prstGeom prst="roundRect">
          <a:avLst>
            <a:gd name="adj" fmla="val 12529"/>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20</xdr:row>
      <xdr:rowOff>0</xdr:rowOff>
    </xdr:from>
    <xdr:to>
      <xdr:col>6</xdr:col>
      <xdr:colOff>424961</xdr:colOff>
      <xdr:row>21</xdr:row>
      <xdr:rowOff>7326</xdr:rowOff>
    </xdr:to>
    <xdr:sp macro="" textlink="">
      <xdr:nvSpPr>
        <xdr:cNvPr id="29" name="Rectangle à coins arrondis 28">
          <a:extLst>
            <a:ext uri="{FF2B5EF4-FFF2-40B4-BE49-F238E27FC236}">
              <a16:creationId xmlns:a16="http://schemas.microsoft.com/office/drawing/2014/main" id="{00000000-0008-0000-2200-00001D000000}"/>
            </a:ext>
          </a:extLst>
        </xdr:cNvPr>
        <xdr:cNvSpPr/>
      </xdr:nvSpPr>
      <xdr:spPr bwMode="auto">
        <a:xfrm>
          <a:off x="3048000" y="4495800"/>
          <a:ext cx="424961" cy="445476"/>
        </a:xfrm>
        <a:prstGeom prst="roundRect">
          <a:avLst>
            <a:gd name="adj" fmla="val 23333"/>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20</xdr:row>
      <xdr:rowOff>0</xdr:rowOff>
    </xdr:from>
    <xdr:to>
      <xdr:col>8</xdr:col>
      <xdr:colOff>424961</xdr:colOff>
      <xdr:row>21</xdr:row>
      <xdr:rowOff>7326</xdr:rowOff>
    </xdr:to>
    <xdr:sp macro="" textlink="">
      <xdr:nvSpPr>
        <xdr:cNvPr id="30" name="Rectangle à coins arrondis 29">
          <a:extLst>
            <a:ext uri="{FF2B5EF4-FFF2-40B4-BE49-F238E27FC236}">
              <a16:creationId xmlns:a16="http://schemas.microsoft.com/office/drawing/2014/main" id="{00000000-0008-0000-2200-00001E000000}"/>
            </a:ext>
          </a:extLst>
        </xdr:cNvPr>
        <xdr:cNvSpPr/>
      </xdr:nvSpPr>
      <xdr:spPr bwMode="auto">
        <a:xfrm>
          <a:off x="3790950" y="4495800"/>
          <a:ext cx="424961" cy="445476"/>
        </a:xfrm>
        <a:prstGeom prst="roundRect">
          <a:avLst>
            <a:gd name="adj" fmla="val 23333"/>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22</xdr:row>
      <xdr:rowOff>0</xdr:rowOff>
    </xdr:from>
    <xdr:to>
      <xdr:col>6</xdr:col>
      <xdr:colOff>424961</xdr:colOff>
      <xdr:row>23</xdr:row>
      <xdr:rowOff>7327</xdr:rowOff>
    </xdr:to>
    <xdr:sp macro="" textlink="">
      <xdr:nvSpPr>
        <xdr:cNvPr id="31" name="Rectangle à coins arrondis 30">
          <a:extLst>
            <a:ext uri="{FF2B5EF4-FFF2-40B4-BE49-F238E27FC236}">
              <a16:creationId xmlns:a16="http://schemas.microsoft.com/office/drawing/2014/main" id="{00000000-0008-0000-2200-00001F000000}"/>
            </a:ext>
          </a:extLst>
        </xdr:cNvPr>
        <xdr:cNvSpPr/>
      </xdr:nvSpPr>
      <xdr:spPr bwMode="auto">
        <a:xfrm>
          <a:off x="3048000" y="5038725"/>
          <a:ext cx="424961" cy="302602"/>
        </a:xfrm>
        <a:prstGeom prst="roundRect">
          <a:avLst>
            <a:gd name="adj" fmla="val 23333"/>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22</xdr:row>
      <xdr:rowOff>0</xdr:rowOff>
    </xdr:from>
    <xdr:to>
      <xdr:col>8</xdr:col>
      <xdr:colOff>424961</xdr:colOff>
      <xdr:row>23</xdr:row>
      <xdr:rowOff>7327</xdr:rowOff>
    </xdr:to>
    <xdr:sp macro="" textlink="">
      <xdr:nvSpPr>
        <xdr:cNvPr id="32" name="Rectangle à coins arrondis 31">
          <a:extLst>
            <a:ext uri="{FF2B5EF4-FFF2-40B4-BE49-F238E27FC236}">
              <a16:creationId xmlns:a16="http://schemas.microsoft.com/office/drawing/2014/main" id="{00000000-0008-0000-2200-000020000000}"/>
            </a:ext>
          </a:extLst>
        </xdr:cNvPr>
        <xdr:cNvSpPr/>
      </xdr:nvSpPr>
      <xdr:spPr bwMode="auto">
        <a:xfrm>
          <a:off x="3790950" y="5038725"/>
          <a:ext cx="424961" cy="302602"/>
        </a:xfrm>
        <a:prstGeom prst="roundRect">
          <a:avLst>
            <a:gd name="adj" fmla="val 23333"/>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29</xdr:row>
      <xdr:rowOff>0</xdr:rowOff>
    </xdr:from>
    <xdr:to>
      <xdr:col>6</xdr:col>
      <xdr:colOff>424961</xdr:colOff>
      <xdr:row>30</xdr:row>
      <xdr:rowOff>3847</xdr:rowOff>
    </xdr:to>
    <xdr:sp macro="" textlink="">
      <xdr:nvSpPr>
        <xdr:cNvPr id="33" name="Rectangle à coins arrondis 32">
          <a:extLst>
            <a:ext uri="{FF2B5EF4-FFF2-40B4-BE49-F238E27FC236}">
              <a16:creationId xmlns:a16="http://schemas.microsoft.com/office/drawing/2014/main" id="{00000000-0008-0000-2200-000021000000}"/>
            </a:ext>
          </a:extLst>
        </xdr:cNvPr>
        <xdr:cNvSpPr/>
      </xdr:nvSpPr>
      <xdr:spPr bwMode="auto">
        <a:xfrm>
          <a:off x="3048000" y="6610350"/>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29</xdr:row>
      <xdr:rowOff>0</xdr:rowOff>
    </xdr:from>
    <xdr:to>
      <xdr:col>8</xdr:col>
      <xdr:colOff>424961</xdr:colOff>
      <xdr:row>30</xdr:row>
      <xdr:rowOff>3847</xdr:rowOff>
    </xdr:to>
    <xdr:sp macro="" textlink="">
      <xdr:nvSpPr>
        <xdr:cNvPr id="34" name="Rectangle à coins arrondis 33">
          <a:extLst>
            <a:ext uri="{FF2B5EF4-FFF2-40B4-BE49-F238E27FC236}">
              <a16:creationId xmlns:a16="http://schemas.microsoft.com/office/drawing/2014/main" id="{00000000-0008-0000-2200-000022000000}"/>
            </a:ext>
          </a:extLst>
        </xdr:cNvPr>
        <xdr:cNvSpPr/>
      </xdr:nvSpPr>
      <xdr:spPr bwMode="auto">
        <a:xfrm>
          <a:off x="3790950" y="6610350"/>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31</xdr:row>
      <xdr:rowOff>0</xdr:rowOff>
    </xdr:from>
    <xdr:to>
      <xdr:col>6</xdr:col>
      <xdr:colOff>424961</xdr:colOff>
      <xdr:row>32</xdr:row>
      <xdr:rowOff>3847</xdr:rowOff>
    </xdr:to>
    <xdr:sp macro="" textlink="">
      <xdr:nvSpPr>
        <xdr:cNvPr id="35" name="Rectangle à coins arrondis 34">
          <a:extLst>
            <a:ext uri="{FF2B5EF4-FFF2-40B4-BE49-F238E27FC236}">
              <a16:creationId xmlns:a16="http://schemas.microsoft.com/office/drawing/2014/main" id="{00000000-0008-0000-2200-000023000000}"/>
            </a:ext>
          </a:extLst>
        </xdr:cNvPr>
        <xdr:cNvSpPr/>
      </xdr:nvSpPr>
      <xdr:spPr bwMode="auto">
        <a:xfrm>
          <a:off x="3048000" y="7096125"/>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31</xdr:row>
      <xdr:rowOff>0</xdr:rowOff>
    </xdr:from>
    <xdr:to>
      <xdr:col>8</xdr:col>
      <xdr:colOff>424961</xdr:colOff>
      <xdr:row>32</xdr:row>
      <xdr:rowOff>3847</xdr:rowOff>
    </xdr:to>
    <xdr:sp macro="" textlink="">
      <xdr:nvSpPr>
        <xdr:cNvPr id="36" name="Rectangle à coins arrondis 35">
          <a:extLst>
            <a:ext uri="{FF2B5EF4-FFF2-40B4-BE49-F238E27FC236}">
              <a16:creationId xmlns:a16="http://schemas.microsoft.com/office/drawing/2014/main" id="{00000000-0008-0000-2200-000024000000}"/>
            </a:ext>
          </a:extLst>
        </xdr:cNvPr>
        <xdr:cNvSpPr/>
      </xdr:nvSpPr>
      <xdr:spPr bwMode="auto">
        <a:xfrm>
          <a:off x="3790950" y="7096125"/>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35</xdr:row>
      <xdr:rowOff>3057</xdr:rowOff>
    </xdr:from>
    <xdr:to>
      <xdr:col>6</xdr:col>
      <xdr:colOff>424961</xdr:colOff>
      <xdr:row>36</xdr:row>
      <xdr:rowOff>6904</xdr:rowOff>
    </xdr:to>
    <xdr:sp macro="" textlink="">
      <xdr:nvSpPr>
        <xdr:cNvPr id="37" name="Rectangle à coins arrondis 36">
          <a:extLst>
            <a:ext uri="{FF2B5EF4-FFF2-40B4-BE49-F238E27FC236}">
              <a16:creationId xmlns:a16="http://schemas.microsoft.com/office/drawing/2014/main" id="{00000000-0008-0000-2200-000025000000}"/>
            </a:ext>
          </a:extLst>
        </xdr:cNvPr>
        <xdr:cNvSpPr/>
      </xdr:nvSpPr>
      <xdr:spPr bwMode="auto">
        <a:xfrm>
          <a:off x="3048000" y="8070732"/>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35</xdr:row>
      <xdr:rowOff>3057</xdr:rowOff>
    </xdr:from>
    <xdr:to>
      <xdr:col>8</xdr:col>
      <xdr:colOff>424961</xdr:colOff>
      <xdr:row>36</xdr:row>
      <xdr:rowOff>6904</xdr:rowOff>
    </xdr:to>
    <xdr:sp macro="" textlink="">
      <xdr:nvSpPr>
        <xdr:cNvPr id="38" name="Rectangle à coins arrondis 37">
          <a:extLst>
            <a:ext uri="{FF2B5EF4-FFF2-40B4-BE49-F238E27FC236}">
              <a16:creationId xmlns:a16="http://schemas.microsoft.com/office/drawing/2014/main" id="{00000000-0008-0000-2200-000026000000}"/>
            </a:ext>
          </a:extLst>
        </xdr:cNvPr>
        <xdr:cNvSpPr/>
      </xdr:nvSpPr>
      <xdr:spPr bwMode="auto">
        <a:xfrm>
          <a:off x="3790950" y="8070732"/>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36</xdr:row>
      <xdr:rowOff>181841</xdr:rowOff>
    </xdr:from>
    <xdr:to>
      <xdr:col>6</xdr:col>
      <xdr:colOff>424961</xdr:colOff>
      <xdr:row>38</xdr:row>
      <xdr:rowOff>7327</xdr:rowOff>
    </xdr:to>
    <xdr:sp macro="" textlink="">
      <xdr:nvSpPr>
        <xdr:cNvPr id="39" name="Rectangle à coins arrondis 38">
          <a:extLst>
            <a:ext uri="{FF2B5EF4-FFF2-40B4-BE49-F238E27FC236}">
              <a16:creationId xmlns:a16="http://schemas.microsoft.com/office/drawing/2014/main" id="{00000000-0008-0000-2200-000027000000}"/>
            </a:ext>
          </a:extLst>
        </xdr:cNvPr>
        <xdr:cNvSpPr/>
      </xdr:nvSpPr>
      <xdr:spPr bwMode="auto">
        <a:xfrm>
          <a:off x="3048000" y="8573366"/>
          <a:ext cx="424961" cy="301736"/>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36</xdr:row>
      <xdr:rowOff>181841</xdr:rowOff>
    </xdr:from>
    <xdr:to>
      <xdr:col>8</xdr:col>
      <xdr:colOff>424961</xdr:colOff>
      <xdr:row>38</xdr:row>
      <xdr:rowOff>7327</xdr:rowOff>
    </xdr:to>
    <xdr:sp macro="" textlink="">
      <xdr:nvSpPr>
        <xdr:cNvPr id="40" name="Rectangle à coins arrondis 39">
          <a:extLst>
            <a:ext uri="{FF2B5EF4-FFF2-40B4-BE49-F238E27FC236}">
              <a16:creationId xmlns:a16="http://schemas.microsoft.com/office/drawing/2014/main" id="{00000000-0008-0000-2200-000028000000}"/>
            </a:ext>
          </a:extLst>
        </xdr:cNvPr>
        <xdr:cNvSpPr/>
      </xdr:nvSpPr>
      <xdr:spPr bwMode="auto">
        <a:xfrm>
          <a:off x="3790950" y="8573366"/>
          <a:ext cx="424961" cy="301736"/>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39</xdr:row>
      <xdr:rowOff>229466</xdr:rowOff>
    </xdr:from>
    <xdr:to>
      <xdr:col>6</xdr:col>
      <xdr:colOff>424961</xdr:colOff>
      <xdr:row>41</xdr:row>
      <xdr:rowOff>7327</xdr:rowOff>
    </xdr:to>
    <xdr:sp macro="" textlink="">
      <xdr:nvSpPr>
        <xdr:cNvPr id="41" name="Rectangle à coins arrondis 40">
          <a:extLst>
            <a:ext uri="{FF2B5EF4-FFF2-40B4-BE49-F238E27FC236}">
              <a16:creationId xmlns:a16="http://schemas.microsoft.com/office/drawing/2014/main" id="{00000000-0008-0000-2200-000029000000}"/>
            </a:ext>
          </a:extLst>
        </xdr:cNvPr>
        <xdr:cNvSpPr/>
      </xdr:nvSpPr>
      <xdr:spPr bwMode="auto">
        <a:xfrm>
          <a:off x="3048000" y="9202016"/>
          <a:ext cx="424961" cy="301736"/>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39</xdr:row>
      <xdr:rowOff>229466</xdr:rowOff>
    </xdr:from>
    <xdr:to>
      <xdr:col>8</xdr:col>
      <xdr:colOff>424961</xdr:colOff>
      <xdr:row>41</xdr:row>
      <xdr:rowOff>7327</xdr:rowOff>
    </xdr:to>
    <xdr:sp macro="" textlink="">
      <xdr:nvSpPr>
        <xdr:cNvPr id="42" name="Rectangle à coins arrondis 41">
          <a:extLst>
            <a:ext uri="{FF2B5EF4-FFF2-40B4-BE49-F238E27FC236}">
              <a16:creationId xmlns:a16="http://schemas.microsoft.com/office/drawing/2014/main" id="{00000000-0008-0000-2200-00002A000000}"/>
            </a:ext>
          </a:extLst>
        </xdr:cNvPr>
        <xdr:cNvSpPr/>
      </xdr:nvSpPr>
      <xdr:spPr bwMode="auto">
        <a:xfrm>
          <a:off x="3790950" y="9202016"/>
          <a:ext cx="424961" cy="301736"/>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42</xdr:row>
      <xdr:rowOff>0</xdr:rowOff>
    </xdr:from>
    <xdr:to>
      <xdr:col>6</xdr:col>
      <xdr:colOff>424961</xdr:colOff>
      <xdr:row>43</xdr:row>
      <xdr:rowOff>7327</xdr:rowOff>
    </xdr:to>
    <xdr:sp macro="" textlink="">
      <xdr:nvSpPr>
        <xdr:cNvPr id="43" name="Rectangle à coins arrondis 42">
          <a:extLst>
            <a:ext uri="{FF2B5EF4-FFF2-40B4-BE49-F238E27FC236}">
              <a16:creationId xmlns:a16="http://schemas.microsoft.com/office/drawing/2014/main" id="{00000000-0008-0000-2200-00002B000000}"/>
            </a:ext>
          </a:extLst>
        </xdr:cNvPr>
        <xdr:cNvSpPr/>
      </xdr:nvSpPr>
      <xdr:spPr bwMode="auto">
        <a:xfrm>
          <a:off x="3048000" y="9601200"/>
          <a:ext cx="424961" cy="302602"/>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42</xdr:row>
      <xdr:rowOff>0</xdr:rowOff>
    </xdr:from>
    <xdr:to>
      <xdr:col>8</xdr:col>
      <xdr:colOff>424961</xdr:colOff>
      <xdr:row>43</xdr:row>
      <xdr:rowOff>7327</xdr:rowOff>
    </xdr:to>
    <xdr:sp macro="" textlink="">
      <xdr:nvSpPr>
        <xdr:cNvPr id="44" name="Rectangle à coins arrondis 43">
          <a:extLst>
            <a:ext uri="{FF2B5EF4-FFF2-40B4-BE49-F238E27FC236}">
              <a16:creationId xmlns:a16="http://schemas.microsoft.com/office/drawing/2014/main" id="{00000000-0008-0000-2200-00002C000000}"/>
            </a:ext>
          </a:extLst>
        </xdr:cNvPr>
        <xdr:cNvSpPr/>
      </xdr:nvSpPr>
      <xdr:spPr bwMode="auto">
        <a:xfrm>
          <a:off x="3790950" y="9601200"/>
          <a:ext cx="424961" cy="302602"/>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4</xdr:col>
      <xdr:colOff>0</xdr:colOff>
      <xdr:row>29</xdr:row>
      <xdr:rowOff>0</xdr:rowOff>
    </xdr:from>
    <xdr:to>
      <xdr:col>5</xdr:col>
      <xdr:colOff>7078</xdr:colOff>
      <xdr:row>30</xdr:row>
      <xdr:rowOff>3847</xdr:rowOff>
    </xdr:to>
    <xdr:sp macro="" textlink="">
      <xdr:nvSpPr>
        <xdr:cNvPr id="45" name="Rectangle à coins arrondis 44">
          <a:extLst>
            <a:ext uri="{FF2B5EF4-FFF2-40B4-BE49-F238E27FC236}">
              <a16:creationId xmlns:a16="http://schemas.microsoft.com/office/drawing/2014/main" id="{00000000-0008-0000-2200-00002D000000}"/>
            </a:ext>
          </a:extLst>
        </xdr:cNvPr>
        <xdr:cNvSpPr/>
      </xdr:nvSpPr>
      <xdr:spPr bwMode="auto">
        <a:xfrm>
          <a:off x="1400175" y="6610350"/>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29</xdr:row>
      <xdr:rowOff>0</xdr:rowOff>
    </xdr:from>
    <xdr:to>
      <xdr:col>11</xdr:col>
      <xdr:colOff>7078</xdr:colOff>
      <xdr:row>30</xdr:row>
      <xdr:rowOff>3847</xdr:rowOff>
    </xdr:to>
    <xdr:sp macro="" textlink="">
      <xdr:nvSpPr>
        <xdr:cNvPr id="46" name="Rectangle à coins arrondis 45">
          <a:extLst>
            <a:ext uri="{FF2B5EF4-FFF2-40B4-BE49-F238E27FC236}">
              <a16:creationId xmlns:a16="http://schemas.microsoft.com/office/drawing/2014/main" id="{00000000-0008-0000-2200-00002E000000}"/>
            </a:ext>
          </a:extLst>
        </xdr:cNvPr>
        <xdr:cNvSpPr/>
      </xdr:nvSpPr>
      <xdr:spPr bwMode="auto">
        <a:xfrm>
          <a:off x="4505325" y="6610350"/>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4</xdr:col>
      <xdr:colOff>0</xdr:colOff>
      <xdr:row>31</xdr:row>
      <xdr:rowOff>0</xdr:rowOff>
    </xdr:from>
    <xdr:to>
      <xdr:col>5</xdr:col>
      <xdr:colOff>7078</xdr:colOff>
      <xdr:row>32</xdr:row>
      <xdr:rowOff>3847</xdr:rowOff>
    </xdr:to>
    <xdr:sp macro="" textlink="">
      <xdr:nvSpPr>
        <xdr:cNvPr id="47" name="Rectangle à coins arrondis 46">
          <a:extLst>
            <a:ext uri="{FF2B5EF4-FFF2-40B4-BE49-F238E27FC236}">
              <a16:creationId xmlns:a16="http://schemas.microsoft.com/office/drawing/2014/main" id="{00000000-0008-0000-2200-00002F000000}"/>
            </a:ext>
          </a:extLst>
        </xdr:cNvPr>
        <xdr:cNvSpPr/>
      </xdr:nvSpPr>
      <xdr:spPr bwMode="auto">
        <a:xfrm>
          <a:off x="1400175" y="7096125"/>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31</xdr:row>
      <xdr:rowOff>0</xdr:rowOff>
    </xdr:from>
    <xdr:to>
      <xdr:col>11</xdr:col>
      <xdr:colOff>7078</xdr:colOff>
      <xdr:row>32</xdr:row>
      <xdr:rowOff>3847</xdr:rowOff>
    </xdr:to>
    <xdr:sp macro="" textlink="">
      <xdr:nvSpPr>
        <xdr:cNvPr id="48" name="Rectangle à coins arrondis 47">
          <a:extLst>
            <a:ext uri="{FF2B5EF4-FFF2-40B4-BE49-F238E27FC236}">
              <a16:creationId xmlns:a16="http://schemas.microsoft.com/office/drawing/2014/main" id="{00000000-0008-0000-2200-000030000000}"/>
            </a:ext>
          </a:extLst>
        </xdr:cNvPr>
        <xdr:cNvSpPr/>
      </xdr:nvSpPr>
      <xdr:spPr bwMode="auto">
        <a:xfrm>
          <a:off x="4505325" y="7096125"/>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4</xdr:col>
      <xdr:colOff>0</xdr:colOff>
      <xdr:row>35</xdr:row>
      <xdr:rowOff>3057</xdr:rowOff>
    </xdr:from>
    <xdr:to>
      <xdr:col>5</xdr:col>
      <xdr:colOff>7078</xdr:colOff>
      <xdr:row>36</xdr:row>
      <xdr:rowOff>6904</xdr:rowOff>
    </xdr:to>
    <xdr:sp macro="" textlink="">
      <xdr:nvSpPr>
        <xdr:cNvPr id="49" name="Rectangle à coins arrondis 48">
          <a:extLst>
            <a:ext uri="{FF2B5EF4-FFF2-40B4-BE49-F238E27FC236}">
              <a16:creationId xmlns:a16="http://schemas.microsoft.com/office/drawing/2014/main" id="{00000000-0008-0000-2200-000031000000}"/>
            </a:ext>
          </a:extLst>
        </xdr:cNvPr>
        <xdr:cNvSpPr/>
      </xdr:nvSpPr>
      <xdr:spPr bwMode="auto">
        <a:xfrm>
          <a:off x="1400175" y="8070732"/>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35</xdr:row>
      <xdr:rowOff>3057</xdr:rowOff>
    </xdr:from>
    <xdr:to>
      <xdr:col>11</xdr:col>
      <xdr:colOff>7078</xdr:colOff>
      <xdr:row>36</xdr:row>
      <xdr:rowOff>6904</xdr:rowOff>
    </xdr:to>
    <xdr:sp macro="" textlink="">
      <xdr:nvSpPr>
        <xdr:cNvPr id="50" name="Rectangle à coins arrondis 49">
          <a:extLst>
            <a:ext uri="{FF2B5EF4-FFF2-40B4-BE49-F238E27FC236}">
              <a16:creationId xmlns:a16="http://schemas.microsoft.com/office/drawing/2014/main" id="{00000000-0008-0000-2200-000032000000}"/>
            </a:ext>
          </a:extLst>
        </xdr:cNvPr>
        <xdr:cNvSpPr/>
      </xdr:nvSpPr>
      <xdr:spPr bwMode="auto">
        <a:xfrm>
          <a:off x="4505325" y="8070732"/>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12</xdr:col>
      <xdr:colOff>0</xdr:colOff>
      <xdr:row>29</xdr:row>
      <xdr:rowOff>0</xdr:rowOff>
    </xdr:from>
    <xdr:to>
      <xdr:col>13</xdr:col>
      <xdr:colOff>2198</xdr:colOff>
      <xdr:row>30</xdr:row>
      <xdr:rowOff>3847</xdr:rowOff>
    </xdr:to>
    <xdr:sp macro="" textlink="">
      <xdr:nvSpPr>
        <xdr:cNvPr id="51" name="Rectangle à coins arrondis 50">
          <a:extLst>
            <a:ext uri="{FF2B5EF4-FFF2-40B4-BE49-F238E27FC236}">
              <a16:creationId xmlns:a16="http://schemas.microsoft.com/office/drawing/2014/main" id="{00000000-0008-0000-2200-000033000000}"/>
            </a:ext>
          </a:extLst>
        </xdr:cNvPr>
        <xdr:cNvSpPr/>
      </xdr:nvSpPr>
      <xdr:spPr bwMode="auto">
        <a:xfrm>
          <a:off x="5953125" y="6610350"/>
          <a:ext cx="621323" cy="327697"/>
        </a:xfrm>
        <a:prstGeom prst="roundRect">
          <a:avLst>
            <a:gd name="adj" fmla="val 7344"/>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4</xdr:col>
      <xdr:colOff>0</xdr:colOff>
      <xdr:row>36</xdr:row>
      <xdr:rowOff>181841</xdr:rowOff>
    </xdr:from>
    <xdr:to>
      <xdr:col>5</xdr:col>
      <xdr:colOff>7078</xdr:colOff>
      <xdr:row>38</xdr:row>
      <xdr:rowOff>4331</xdr:rowOff>
    </xdr:to>
    <xdr:sp macro="" textlink="">
      <xdr:nvSpPr>
        <xdr:cNvPr id="52" name="Rectangle à coins arrondis 51">
          <a:extLst>
            <a:ext uri="{FF2B5EF4-FFF2-40B4-BE49-F238E27FC236}">
              <a16:creationId xmlns:a16="http://schemas.microsoft.com/office/drawing/2014/main" id="{00000000-0008-0000-2200-000034000000}"/>
            </a:ext>
          </a:extLst>
        </xdr:cNvPr>
        <xdr:cNvSpPr/>
      </xdr:nvSpPr>
      <xdr:spPr bwMode="auto">
        <a:xfrm>
          <a:off x="1400175" y="8573366"/>
          <a:ext cx="1369153" cy="298740"/>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36</xdr:row>
      <xdr:rowOff>181841</xdr:rowOff>
    </xdr:from>
    <xdr:to>
      <xdr:col>11</xdr:col>
      <xdr:colOff>7078</xdr:colOff>
      <xdr:row>38</xdr:row>
      <xdr:rowOff>4331</xdr:rowOff>
    </xdr:to>
    <xdr:sp macro="" textlink="">
      <xdr:nvSpPr>
        <xdr:cNvPr id="53" name="Rectangle à coins arrondis 52">
          <a:extLst>
            <a:ext uri="{FF2B5EF4-FFF2-40B4-BE49-F238E27FC236}">
              <a16:creationId xmlns:a16="http://schemas.microsoft.com/office/drawing/2014/main" id="{00000000-0008-0000-2200-000035000000}"/>
            </a:ext>
          </a:extLst>
        </xdr:cNvPr>
        <xdr:cNvSpPr/>
      </xdr:nvSpPr>
      <xdr:spPr bwMode="auto">
        <a:xfrm>
          <a:off x="4505325" y="8573366"/>
          <a:ext cx="1369153" cy="298740"/>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xdr:col>
      <xdr:colOff>1</xdr:colOff>
      <xdr:row>29</xdr:row>
      <xdr:rowOff>0</xdr:rowOff>
    </xdr:from>
    <xdr:to>
      <xdr:col>3</xdr:col>
      <xdr:colOff>4331</xdr:colOff>
      <xdr:row>30</xdr:row>
      <xdr:rowOff>3847</xdr:rowOff>
    </xdr:to>
    <xdr:sp macro="" textlink="">
      <xdr:nvSpPr>
        <xdr:cNvPr id="54" name="Rectangle à coins arrondis 53">
          <a:extLst>
            <a:ext uri="{FF2B5EF4-FFF2-40B4-BE49-F238E27FC236}">
              <a16:creationId xmlns:a16="http://schemas.microsoft.com/office/drawing/2014/main" id="{00000000-0008-0000-2200-000036000000}"/>
            </a:ext>
          </a:extLst>
        </xdr:cNvPr>
        <xdr:cNvSpPr/>
      </xdr:nvSpPr>
      <xdr:spPr bwMode="auto">
        <a:xfrm>
          <a:off x="76201" y="6610350"/>
          <a:ext cx="1128280"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xdr:col>
      <xdr:colOff>0</xdr:colOff>
      <xdr:row>31</xdr:row>
      <xdr:rowOff>0</xdr:rowOff>
    </xdr:from>
    <xdr:to>
      <xdr:col>3</xdr:col>
      <xdr:colOff>4330</xdr:colOff>
      <xdr:row>32</xdr:row>
      <xdr:rowOff>3847</xdr:rowOff>
    </xdr:to>
    <xdr:sp macro="" textlink="">
      <xdr:nvSpPr>
        <xdr:cNvPr id="55" name="Rectangle à coins arrondis 54">
          <a:extLst>
            <a:ext uri="{FF2B5EF4-FFF2-40B4-BE49-F238E27FC236}">
              <a16:creationId xmlns:a16="http://schemas.microsoft.com/office/drawing/2014/main" id="{00000000-0008-0000-2200-000037000000}"/>
            </a:ext>
          </a:extLst>
        </xdr:cNvPr>
        <xdr:cNvSpPr/>
      </xdr:nvSpPr>
      <xdr:spPr bwMode="auto">
        <a:xfrm>
          <a:off x="76200" y="7096125"/>
          <a:ext cx="1128280"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xdr:col>
      <xdr:colOff>0</xdr:colOff>
      <xdr:row>35</xdr:row>
      <xdr:rowOff>3057</xdr:rowOff>
    </xdr:from>
    <xdr:to>
      <xdr:col>3</xdr:col>
      <xdr:colOff>4330</xdr:colOff>
      <xdr:row>36</xdr:row>
      <xdr:rowOff>6904</xdr:rowOff>
    </xdr:to>
    <xdr:sp macro="" textlink="">
      <xdr:nvSpPr>
        <xdr:cNvPr id="56" name="Rectangle à coins arrondis 55">
          <a:extLst>
            <a:ext uri="{FF2B5EF4-FFF2-40B4-BE49-F238E27FC236}">
              <a16:creationId xmlns:a16="http://schemas.microsoft.com/office/drawing/2014/main" id="{00000000-0008-0000-2200-000038000000}"/>
            </a:ext>
          </a:extLst>
        </xdr:cNvPr>
        <xdr:cNvSpPr/>
      </xdr:nvSpPr>
      <xdr:spPr bwMode="auto">
        <a:xfrm>
          <a:off x="76200" y="8070732"/>
          <a:ext cx="1128280"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12</xdr:col>
      <xdr:colOff>0</xdr:colOff>
      <xdr:row>31</xdr:row>
      <xdr:rowOff>0</xdr:rowOff>
    </xdr:from>
    <xdr:to>
      <xdr:col>13</xdr:col>
      <xdr:colOff>2198</xdr:colOff>
      <xdr:row>32</xdr:row>
      <xdr:rowOff>3847</xdr:rowOff>
    </xdr:to>
    <xdr:sp macro="" textlink="">
      <xdr:nvSpPr>
        <xdr:cNvPr id="57" name="Rectangle à coins arrondis 56">
          <a:extLst>
            <a:ext uri="{FF2B5EF4-FFF2-40B4-BE49-F238E27FC236}">
              <a16:creationId xmlns:a16="http://schemas.microsoft.com/office/drawing/2014/main" id="{00000000-0008-0000-2200-000039000000}"/>
            </a:ext>
          </a:extLst>
        </xdr:cNvPr>
        <xdr:cNvSpPr/>
      </xdr:nvSpPr>
      <xdr:spPr bwMode="auto">
        <a:xfrm>
          <a:off x="5953125" y="7096125"/>
          <a:ext cx="621323" cy="327697"/>
        </a:xfrm>
        <a:prstGeom prst="roundRect">
          <a:avLst>
            <a:gd name="adj" fmla="val 7344"/>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12</xdr:col>
      <xdr:colOff>0</xdr:colOff>
      <xdr:row>35</xdr:row>
      <xdr:rowOff>3057</xdr:rowOff>
    </xdr:from>
    <xdr:to>
      <xdr:col>13</xdr:col>
      <xdr:colOff>2198</xdr:colOff>
      <xdr:row>36</xdr:row>
      <xdr:rowOff>6904</xdr:rowOff>
    </xdr:to>
    <xdr:sp macro="" textlink="">
      <xdr:nvSpPr>
        <xdr:cNvPr id="58" name="Rectangle à coins arrondis 57">
          <a:extLst>
            <a:ext uri="{FF2B5EF4-FFF2-40B4-BE49-F238E27FC236}">
              <a16:creationId xmlns:a16="http://schemas.microsoft.com/office/drawing/2014/main" id="{00000000-0008-0000-2200-00003A000000}"/>
            </a:ext>
          </a:extLst>
        </xdr:cNvPr>
        <xdr:cNvSpPr/>
      </xdr:nvSpPr>
      <xdr:spPr bwMode="auto">
        <a:xfrm>
          <a:off x="5953125" y="8070732"/>
          <a:ext cx="621323" cy="327697"/>
        </a:xfrm>
        <a:prstGeom prst="roundRect">
          <a:avLst>
            <a:gd name="adj" fmla="val 7344"/>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4</xdr:col>
      <xdr:colOff>0</xdr:colOff>
      <xdr:row>39</xdr:row>
      <xdr:rowOff>229466</xdr:rowOff>
    </xdr:from>
    <xdr:to>
      <xdr:col>5</xdr:col>
      <xdr:colOff>7078</xdr:colOff>
      <xdr:row>41</xdr:row>
      <xdr:rowOff>4331</xdr:rowOff>
    </xdr:to>
    <xdr:sp macro="" textlink="">
      <xdr:nvSpPr>
        <xdr:cNvPr id="59" name="Rectangle à coins arrondis 58">
          <a:extLst>
            <a:ext uri="{FF2B5EF4-FFF2-40B4-BE49-F238E27FC236}">
              <a16:creationId xmlns:a16="http://schemas.microsoft.com/office/drawing/2014/main" id="{00000000-0008-0000-2200-00003B000000}"/>
            </a:ext>
          </a:extLst>
        </xdr:cNvPr>
        <xdr:cNvSpPr/>
      </xdr:nvSpPr>
      <xdr:spPr bwMode="auto">
        <a:xfrm>
          <a:off x="1400175" y="9202016"/>
          <a:ext cx="1369153" cy="298740"/>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4</xdr:col>
      <xdr:colOff>0</xdr:colOff>
      <xdr:row>42</xdr:row>
      <xdr:rowOff>0</xdr:rowOff>
    </xdr:from>
    <xdr:to>
      <xdr:col>5</xdr:col>
      <xdr:colOff>7078</xdr:colOff>
      <xdr:row>43</xdr:row>
      <xdr:rowOff>4331</xdr:rowOff>
    </xdr:to>
    <xdr:sp macro="" textlink="">
      <xdr:nvSpPr>
        <xdr:cNvPr id="60" name="Rectangle à coins arrondis 59">
          <a:extLst>
            <a:ext uri="{FF2B5EF4-FFF2-40B4-BE49-F238E27FC236}">
              <a16:creationId xmlns:a16="http://schemas.microsoft.com/office/drawing/2014/main" id="{00000000-0008-0000-2200-00003C000000}"/>
            </a:ext>
          </a:extLst>
        </xdr:cNvPr>
        <xdr:cNvSpPr/>
      </xdr:nvSpPr>
      <xdr:spPr bwMode="auto">
        <a:xfrm>
          <a:off x="1400175" y="9601200"/>
          <a:ext cx="1369153" cy="299606"/>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39</xdr:row>
      <xdr:rowOff>229466</xdr:rowOff>
    </xdr:from>
    <xdr:to>
      <xdr:col>11</xdr:col>
      <xdr:colOff>7078</xdr:colOff>
      <xdr:row>41</xdr:row>
      <xdr:rowOff>4331</xdr:rowOff>
    </xdr:to>
    <xdr:sp macro="" textlink="">
      <xdr:nvSpPr>
        <xdr:cNvPr id="61" name="Rectangle à coins arrondis 60">
          <a:extLst>
            <a:ext uri="{FF2B5EF4-FFF2-40B4-BE49-F238E27FC236}">
              <a16:creationId xmlns:a16="http://schemas.microsoft.com/office/drawing/2014/main" id="{00000000-0008-0000-2200-00003D000000}"/>
            </a:ext>
          </a:extLst>
        </xdr:cNvPr>
        <xdr:cNvSpPr/>
      </xdr:nvSpPr>
      <xdr:spPr bwMode="auto">
        <a:xfrm>
          <a:off x="4505325" y="9202016"/>
          <a:ext cx="1369153" cy="298740"/>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42</xdr:row>
      <xdr:rowOff>0</xdr:rowOff>
    </xdr:from>
    <xdr:to>
      <xdr:col>11</xdr:col>
      <xdr:colOff>7078</xdr:colOff>
      <xdr:row>43</xdr:row>
      <xdr:rowOff>4331</xdr:rowOff>
    </xdr:to>
    <xdr:sp macro="" textlink="">
      <xdr:nvSpPr>
        <xdr:cNvPr id="62" name="Rectangle à coins arrondis 61">
          <a:extLst>
            <a:ext uri="{FF2B5EF4-FFF2-40B4-BE49-F238E27FC236}">
              <a16:creationId xmlns:a16="http://schemas.microsoft.com/office/drawing/2014/main" id="{00000000-0008-0000-2200-00003E000000}"/>
            </a:ext>
          </a:extLst>
        </xdr:cNvPr>
        <xdr:cNvSpPr/>
      </xdr:nvSpPr>
      <xdr:spPr bwMode="auto">
        <a:xfrm>
          <a:off x="4505325" y="9601200"/>
          <a:ext cx="1369153" cy="299606"/>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editAs="oneCell">
    <xdr:from>
      <xdr:col>4</xdr:col>
      <xdr:colOff>904875</xdr:colOff>
      <xdr:row>26</xdr:row>
      <xdr:rowOff>9525</xdr:rowOff>
    </xdr:from>
    <xdr:to>
      <xdr:col>4</xdr:col>
      <xdr:colOff>1266825</xdr:colOff>
      <xdr:row>27</xdr:row>
      <xdr:rowOff>9525</xdr:rowOff>
    </xdr:to>
    <xdr:pic>
      <xdr:nvPicPr>
        <xdr:cNvPr id="1749797" name="Image 1">
          <a:extLst>
            <a:ext uri="{FF2B5EF4-FFF2-40B4-BE49-F238E27FC236}">
              <a16:creationId xmlns:a16="http://schemas.microsoft.com/office/drawing/2014/main" id="{00000000-0008-0000-2200-000025B31A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305050" y="5810250"/>
          <a:ext cx="3619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1367117</xdr:colOff>
      <xdr:row>26</xdr:row>
      <xdr:rowOff>0</xdr:rowOff>
    </xdr:from>
    <xdr:to>
      <xdr:col>10</xdr:col>
      <xdr:colOff>11204</xdr:colOff>
      <xdr:row>26</xdr:row>
      <xdr:rowOff>320186</xdr:rowOff>
    </xdr:to>
    <xdr:sp macro="" textlink="">
      <xdr:nvSpPr>
        <xdr:cNvPr id="65" name="Rectangle à coins arrondis 64">
          <a:extLst>
            <a:ext uri="{FF2B5EF4-FFF2-40B4-BE49-F238E27FC236}">
              <a16:creationId xmlns:a16="http://schemas.microsoft.com/office/drawing/2014/main" id="{00000000-0008-0000-2200-000041000000}"/>
            </a:ext>
          </a:extLst>
        </xdr:cNvPr>
        <xdr:cNvSpPr/>
      </xdr:nvSpPr>
      <xdr:spPr bwMode="auto">
        <a:xfrm>
          <a:off x="2757767" y="5800725"/>
          <a:ext cx="1758762" cy="320186"/>
        </a:xfrm>
        <a:prstGeom prst="roundRect">
          <a:avLst>
            <a:gd name="adj" fmla="val 16488"/>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31</xdr:row>
      <xdr:rowOff>0</xdr:rowOff>
    </xdr:from>
    <xdr:to>
      <xdr:col>6</xdr:col>
      <xdr:colOff>424961</xdr:colOff>
      <xdr:row>32</xdr:row>
      <xdr:rowOff>3847</xdr:rowOff>
    </xdr:to>
    <xdr:sp macro="" textlink="">
      <xdr:nvSpPr>
        <xdr:cNvPr id="66" name="Rectangle à coins arrondis 65">
          <a:extLst>
            <a:ext uri="{FF2B5EF4-FFF2-40B4-BE49-F238E27FC236}">
              <a16:creationId xmlns:a16="http://schemas.microsoft.com/office/drawing/2014/main" id="{00000000-0008-0000-2200-000042000000}"/>
            </a:ext>
          </a:extLst>
        </xdr:cNvPr>
        <xdr:cNvSpPr/>
      </xdr:nvSpPr>
      <xdr:spPr bwMode="auto">
        <a:xfrm>
          <a:off x="3048000" y="7096125"/>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31</xdr:row>
      <xdr:rowOff>0</xdr:rowOff>
    </xdr:from>
    <xdr:to>
      <xdr:col>8</xdr:col>
      <xdr:colOff>424961</xdr:colOff>
      <xdr:row>32</xdr:row>
      <xdr:rowOff>3847</xdr:rowOff>
    </xdr:to>
    <xdr:sp macro="" textlink="">
      <xdr:nvSpPr>
        <xdr:cNvPr id="67" name="Rectangle à coins arrondis 66">
          <a:extLst>
            <a:ext uri="{FF2B5EF4-FFF2-40B4-BE49-F238E27FC236}">
              <a16:creationId xmlns:a16="http://schemas.microsoft.com/office/drawing/2014/main" id="{00000000-0008-0000-2200-000043000000}"/>
            </a:ext>
          </a:extLst>
        </xdr:cNvPr>
        <xdr:cNvSpPr/>
      </xdr:nvSpPr>
      <xdr:spPr bwMode="auto">
        <a:xfrm>
          <a:off x="3790950" y="7096125"/>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4</xdr:col>
      <xdr:colOff>0</xdr:colOff>
      <xdr:row>31</xdr:row>
      <xdr:rowOff>0</xdr:rowOff>
    </xdr:from>
    <xdr:to>
      <xdr:col>5</xdr:col>
      <xdr:colOff>7078</xdr:colOff>
      <xdr:row>32</xdr:row>
      <xdr:rowOff>3847</xdr:rowOff>
    </xdr:to>
    <xdr:sp macro="" textlink="">
      <xdr:nvSpPr>
        <xdr:cNvPr id="68" name="Rectangle à coins arrondis 67">
          <a:extLst>
            <a:ext uri="{FF2B5EF4-FFF2-40B4-BE49-F238E27FC236}">
              <a16:creationId xmlns:a16="http://schemas.microsoft.com/office/drawing/2014/main" id="{00000000-0008-0000-2200-000044000000}"/>
            </a:ext>
          </a:extLst>
        </xdr:cNvPr>
        <xdr:cNvSpPr/>
      </xdr:nvSpPr>
      <xdr:spPr bwMode="auto">
        <a:xfrm>
          <a:off x="1400175" y="7096125"/>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31</xdr:row>
      <xdr:rowOff>0</xdr:rowOff>
    </xdr:from>
    <xdr:to>
      <xdr:col>11</xdr:col>
      <xdr:colOff>7078</xdr:colOff>
      <xdr:row>32</xdr:row>
      <xdr:rowOff>3847</xdr:rowOff>
    </xdr:to>
    <xdr:sp macro="" textlink="">
      <xdr:nvSpPr>
        <xdr:cNvPr id="69" name="Rectangle à coins arrondis 68">
          <a:extLst>
            <a:ext uri="{FF2B5EF4-FFF2-40B4-BE49-F238E27FC236}">
              <a16:creationId xmlns:a16="http://schemas.microsoft.com/office/drawing/2014/main" id="{00000000-0008-0000-2200-000045000000}"/>
            </a:ext>
          </a:extLst>
        </xdr:cNvPr>
        <xdr:cNvSpPr/>
      </xdr:nvSpPr>
      <xdr:spPr bwMode="auto">
        <a:xfrm>
          <a:off x="4505325" y="7096125"/>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12</xdr:col>
      <xdr:colOff>0</xdr:colOff>
      <xdr:row>31</xdr:row>
      <xdr:rowOff>0</xdr:rowOff>
    </xdr:from>
    <xdr:to>
      <xdr:col>13</xdr:col>
      <xdr:colOff>2198</xdr:colOff>
      <xdr:row>32</xdr:row>
      <xdr:rowOff>3847</xdr:rowOff>
    </xdr:to>
    <xdr:sp macro="" textlink="">
      <xdr:nvSpPr>
        <xdr:cNvPr id="70" name="Rectangle à coins arrondis 69">
          <a:extLst>
            <a:ext uri="{FF2B5EF4-FFF2-40B4-BE49-F238E27FC236}">
              <a16:creationId xmlns:a16="http://schemas.microsoft.com/office/drawing/2014/main" id="{00000000-0008-0000-2200-000046000000}"/>
            </a:ext>
          </a:extLst>
        </xdr:cNvPr>
        <xdr:cNvSpPr/>
      </xdr:nvSpPr>
      <xdr:spPr bwMode="auto">
        <a:xfrm>
          <a:off x="5953125" y="7096125"/>
          <a:ext cx="621323" cy="327697"/>
        </a:xfrm>
        <a:prstGeom prst="roundRect">
          <a:avLst>
            <a:gd name="adj" fmla="val 7344"/>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xdr:col>
      <xdr:colOff>1</xdr:colOff>
      <xdr:row>31</xdr:row>
      <xdr:rowOff>0</xdr:rowOff>
    </xdr:from>
    <xdr:to>
      <xdr:col>3</xdr:col>
      <xdr:colOff>4331</xdr:colOff>
      <xdr:row>32</xdr:row>
      <xdr:rowOff>3847</xdr:rowOff>
    </xdr:to>
    <xdr:sp macro="" textlink="">
      <xdr:nvSpPr>
        <xdr:cNvPr id="71" name="Rectangle à coins arrondis 70">
          <a:extLst>
            <a:ext uri="{FF2B5EF4-FFF2-40B4-BE49-F238E27FC236}">
              <a16:creationId xmlns:a16="http://schemas.microsoft.com/office/drawing/2014/main" id="{00000000-0008-0000-2200-000047000000}"/>
            </a:ext>
          </a:extLst>
        </xdr:cNvPr>
        <xdr:cNvSpPr/>
      </xdr:nvSpPr>
      <xdr:spPr bwMode="auto">
        <a:xfrm>
          <a:off x="76201" y="7096125"/>
          <a:ext cx="1128280"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6</xdr:col>
      <xdr:colOff>0</xdr:colOff>
      <xdr:row>33</xdr:row>
      <xdr:rowOff>0</xdr:rowOff>
    </xdr:from>
    <xdr:to>
      <xdr:col>6</xdr:col>
      <xdr:colOff>424961</xdr:colOff>
      <xdr:row>34</xdr:row>
      <xdr:rowOff>3847</xdr:rowOff>
    </xdr:to>
    <xdr:sp macro="" textlink="">
      <xdr:nvSpPr>
        <xdr:cNvPr id="72" name="Rectangle à coins arrondis 71">
          <a:extLst>
            <a:ext uri="{FF2B5EF4-FFF2-40B4-BE49-F238E27FC236}">
              <a16:creationId xmlns:a16="http://schemas.microsoft.com/office/drawing/2014/main" id="{00000000-0008-0000-2200-000048000000}"/>
            </a:ext>
          </a:extLst>
        </xdr:cNvPr>
        <xdr:cNvSpPr/>
      </xdr:nvSpPr>
      <xdr:spPr bwMode="auto">
        <a:xfrm>
          <a:off x="3048000" y="7581900"/>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8</xdr:col>
      <xdr:colOff>0</xdr:colOff>
      <xdr:row>33</xdr:row>
      <xdr:rowOff>0</xdr:rowOff>
    </xdr:from>
    <xdr:to>
      <xdr:col>8</xdr:col>
      <xdr:colOff>424961</xdr:colOff>
      <xdr:row>34</xdr:row>
      <xdr:rowOff>3847</xdr:rowOff>
    </xdr:to>
    <xdr:sp macro="" textlink="">
      <xdr:nvSpPr>
        <xdr:cNvPr id="73" name="Rectangle à coins arrondis 72">
          <a:extLst>
            <a:ext uri="{FF2B5EF4-FFF2-40B4-BE49-F238E27FC236}">
              <a16:creationId xmlns:a16="http://schemas.microsoft.com/office/drawing/2014/main" id="{00000000-0008-0000-2200-000049000000}"/>
            </a:ext>
          </a:extLst>
        </xdr:cNvPr>
        <xdr:cNvSpPr/>
      </xdr:nvSpPr>
      <xdr:spPr bwMode="auto">
        <a:xfrm>
          <a:off x="3790950" y="7581900"/>
          <a:ext cx="424961" cy="327697"/>
        </a:xfrm>
        <a:prstGeom prst="roundRect">
          <a:avLst>
            <a:gd name="adj" fmla="val 23333"/>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4</xdr:col>
      <xdr:colOff>0</xdr:colOff>
      <xdr:row>33</xdr:row>
      <xdr:rowOff>0</xdr:rowOff>
    </xdr:from>
    <xdr:to>
      <xdr:col>5</xdr:col>
      <xdr:colOff>7078</xdr:colOff>
      <xdr:row>34</xdr:row>
      <xdr:rowOff>3847</xdr:rowOff>
    </xdr:to>
    <xdr:sp macro="" textlink="">
      <xdr:nvSpPr>
        <xdr:cNvPr id="74" name="Rectangle à coins arrondis 73">
          <a:extLst>
            <a:ext uri="{FF2B5EF4-FFF2-40B4-BE49-F238E27FC236}">
              <a16:creationId xmlns:a16="http://schemas.microsoft.com/office/drawing/2014/main" id="{00000000-0008-0000-2200-00004A000000}"/>
            </a:ext>
          </a:extLst>
        </xdr:cNvPr>
        <xdr:cNvSpPr/>
      </xdr:nvSpPr>
      <xdr:spPr bwMode="auto">
        <a:xfrm>
          <a:off x="1400175" y="7581900"/>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10</xdr:col>
      <xdr:colOff>0</xdr:colOff>
      <xdr:row>33</xdr:row>
      <xdr:rowOff>0</xdr:rowOff>
    </xdr:from>
    <xdr:to>
      <xdr:col>11</xdr:col>
      <xdr:colOff>7078</xdr:colOff>
      <xdr:row>34</xdr:row>
      <xdr:rowOff>3847</xdr:rowOff>
    </xdr:to>
    <xdr:sp macro="" textlink="">
      <xdr:nvSpPr>
        <xdr:cNvPr id="75" name="Rectangle à coins arrondis 74">
          <a:extLst>
            <a:ext uri="{FF2B5EF4-FFF2-40B4-BE49-F238E27FC236}">
              <a16:creationId xmlns:a16="http://schemas.microsoft.com/office/drawing/2014/main" id="{00000000-0008-0000-2200-00004B000000}"/>
            </a:ext>
          </a:extLst>
        </xdr:cNvPr>
        <xdr:cNvSpPr/>
      </xdr:nvSpPr>
      <xdr:spPr bwMode="auto">
        <a:xfrm>
          <a:off x="4505325" y="7581900"/>
          <a:ext cx="1369153"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12</xdr:col>
      <xdr:colOff>0</xdr:colOff>
      <xdr:row>33</xdr:row>
      <xdr:rowOff>0</xdr:rowOff>
    </xdr:from>
    <xdr:to>
      <xdr:col>13</xdr:col>
      <xdr:colOff>2198</xdr:colOff>
      <xdr:row>34</xdr:row>
      <xdr:rowOff>3847</xdr:rowOff>
    </xdr:to>
    <xdr:sp macro="" textlink="">
      <xdr:nvSpPr>
        <xdr:cNvPr id="76" name="Rectangle à coins arrondis 75">
          <a:extLst>
            <a:ext uri="{FF2B5EF4-FFF2-40B4-BE49-F238E27FC236}">
              <a16:creationId xmlns:a16="http://schemas.microsoft.com/office/drawing/2014/main" id="{00000000-0008-0000-2200-00004C000000}"/>
            </a:ext>
          </a:extLst>
        </xdr:cNvPr>
        <xdr:cNvSpPr/>
      </xdr:nvSpPr>
      <xdr:spPr bwMode="auto">
        <a:xfrm>
          <a:off x="5953125" y="7581900"/>
          <a:ext cx="621323" cy="327697"/>
        </a:xfrm>
        <a:prstGeom prst="roundRect">
          <a:avLst>
            <a:gd name="adj" fmla="val 7344"/>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xdr:from>
      <xdr:col>1</xdr:col>
      <xdr:colOff>1</xdr:colOff>
      <xdr:row>33</xdr:row>
      <xdr:rowOff>0</xdr:rowOff>
    </xdr:from>
    <xdr:to>
      <xdr:col>3</xdr:col>
      <xdr:colOff>4331</xdr:colOff>
      <xdr:row>34</xdr:row>
      <xdr:rowOff>3847</xdr:rowOff>
    </xdr:to>
    <xdr:sp macro="" textlink="">
      <xdr:nvSpPr>
        <xdr:cNvPr id="77" name="Rectangle à coins arrondis 76">
          <a:extLst>
            <a:ext uri="{FF2B5EF4-FFF2-40B4-BE49-F238E27FC236}">
              <a16:creationId xmlns:a16="http://schemas.microsoft.com/office/drawing/2014/main" id="{00000000-0008-0000-2200-00004D000000}"/>
            </a:ext>
          </a:extLst>
        </xdr:cNvPr>
        <xdr:cNvSpPr/>
      </xdr:nvSpPr>
      <xdr:spPr bwMode="auto">
        <a:xfrm>
          <a:off x="76201" y="7581900"/>
          <a:ext cx="1128280" cy="327697"/>
        </a:xfrm>
        <a:prstGeom prst="roundRect">
          <a:avLst>
            <a:gd name="adj" fmla="val 16488"/>
          </a:avLst>
        </a:prstGeom>
        <a:noFill/>
        <a:ln w="9525">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editAs="oneCell">
    <xdr:from>
      <xdr:col>10</xdr:col>
      <xdr:colOff>76200</xdr:colOff>
      <xdr:row>26</xdr:row>
      <xdr:rowOff>47625</xdr:rowOff>
    </xdr:from>
    <xdr:to>
      <xdr:col>10</xdr:col>
      <xdr:colOff>333375</xdr:colOff>
      <xdr:row>26</xdr:row>
      <xdr:rowOff>276225</xdr:rowOff>
    </xdr:to>
    <xdr:pic>
      <xdr:nvPicPr>
        <xdr:cNvPr id="1749811" name="Image 4">
          <a:extLst>
            <a:ext uri="{FF2B5EF4-FFF2-40B4-BE49-F238E27FC236}">
              <a16:creationId xmlns:a16="http://schemas.microsoft.com/office/drawing/2014/main" id="{00000000-0008-0000-2200-000033B31A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581525" y="5848350"/>
          <a:ext cx="2571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58</xdr:row>
      <xdr:rowOff>0</xdr:rowOff>
    </xdr:from>
    <xdr:to>
      <xdr:col>4</xdr:col>
      <xdr:colOff>1352550</xdr:colOff>
      <xdr:row>58</xdr:row>
      <xdr:rowOff>85725</xdr:rowOff>
    </xdr:to>
    <xdr:sp macro="" textlink="">
      <xdr:nvSpPr>
        <xdr:cNvPr id="1749812" name="Parenthèse ouvrante 121">
          <a:extLst>
            <a:ext uri="{FF2B5EF4-FFF2-40B4-BE49-F238E27FC236}">
              <a16:creationId xmlns:a16="http://schemas.microsoft.com/office/drawing/2014/main" id="{00000000-0008-0000-2200-000034B31A00}"/>
            </a:ext>
          </a:extLst>
        </xdr:cNvPr>
        <xdr:cNvSpPr>
          <a:spLocks/>
        </xdr:cNvSpPr>
      </xdr:nvSpPr>
      <xdr:spPr bwMode="auto">
        <a:xfrm rot="-5400000">
          <a:off x="1619250" y="13173075"/>
          <a:ext cx="85725" cy="2181225"/>
        </a:xfrm>
        <a:prstGeom prst="leftBracket">
          <a:avLst>
            <a:gd name="adj" fmla="val 8364"/>
          </a:avLst>
        </a:prstGeom>
        <a:solidFill>
          <a:srgbClr val="FFFFFF"/>
        </a:solidFill>
        <a:ln w="19050" algn="ctr">
          <a:solidFill>
            <a:srgbClr val="000000"/>
          </a:solidFill>
          <a:round/>
          <a:headEnd/>
          <a:tailEnd/>
        </a:ln>
      </xdr:spPr>
    </xdr:sp>
    <xdr:clientData/>
  </xdr:twoCellAnchor>
  <xdr:twoCellAnchor>
    <xdr:from>
      <xdr:col>9</xdr:col>
      <xdr:colOff>0</xdr:colOff>
      <xdr:row>58</xdr:row>
      <xdr:rowOff>9525</xdr:rowOff>
    </xdr:from>
    <xdr:to>
      <xdr:col>12</xdr:col>
      <xdr:colOff>428625</xdr:colOff>
      <xdr:row>58</xdr:row>
      <xdr:rowOff>95250</xdr:rowOff>
    </xdr:to>
    <xdr:sp macro="" textlink="">
      <xdr:nvSpPr>
        <xdr:cNvPr id="1749813" name="Parenthèse ouvrante 123">
          <a:extLst>
            <a:ext uri="{FF2B5EF4-FFF2-40B4-BE49-F238E27FC236}">
              <a16:creationId xmlns:a16="http://schemas.microsoft.com/office/drawing/2014/main" id="{00000000-0008-0000-2200-000035B31A00}"/>
            </a:ext>
          </a:extLst>
        </xdr:cNvPr>
        <xdr:cNvSpPr>
          <a:spLocks/>
        </xdr:cNvSpPr>
      </xdr:nvSpPr>
      <xdr:spPr bwMode="auto">
        <a:xfrm rot="-5400000">
          <a:off x="5257800" y="13192125"/>
          <a:ext cx="85725" cy="2162175"/>
        </a:xfrm>
        <a:prstGeom prst="leftBracket">
          <a:avLst>
            <a:gd name="adj" fmla="val 8291"/>
          </a:avLst>
        </a:prstGeom>
        <a:solidFill>
          <a:srgbClr val="FFFFFF"/>
        </a:solidFill>
        <a:ln w="19050" algn="ctr">
          <a:solidFill>
            <a:srgbClr val="000000"/>
          </a:solidFill>
          <a:round/>
          <a:headEnd/>
          <a:tailEnd/>
        </a:ln>
      </xdr:spPr>
    </xdr:sp>
    <xdr:clientData/>
  </xdr:twoCellAnchor>
  <xdr:twoCellAnchor editAs="oneCell">
    <xdr:from>
      <xdr:col>9</xdr:col>
      <xdr:colOff>19050</xdr:colOff>
      <xdr:row>19</xdr:row>
      <xdr:rowOff>219075</xdr:rowOff>
    </xdr:from>
    <xdr:to>
      <xdr:col>9</xdr:col>
      <xdr:colOff>257175</xdr:colOff>
      <xdr:row>20</xdr:row>
      <xdr:rowOff>361950</xdr:rowOff>
    </xdr:to>
    <xdr:pic>
      <xdr:nvPicPr>
        <xdr:cNvPr id="1749814" name="Image 2">
          <a:extLst>
            <a:ext uri="{FF2B5EF4-FFF2-40B4-BE49-F238E27FC236}">
              <a16:creationId xmlns:a16="http://schemas.microsoft.com/office/drawing/2014/main" id="{00000000-0008-0000-2200-000036B31A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238625" y="4486275"/>
          <a:ext cx="23812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28575</xdr:colOff>
      <xdr:row>19</xdr:row>
      <xdr:rowOff>219075</xdr:rowOff>
    </xdr:from>
    <xdr:to>
      <xdr:col>5</xdr:col>
      <xdr:colOff>257175</xdr:colOff>
      <xdr:row>20</xdr:row>
      <xdr:rowOff>352425</xdr:rowOff>
    </xdr:to>
    <xdr:pic>
      <xdr:nvPicPr>
        <xdr:cNvPr id="1749815" name="Image 3">
          <a:extLst>
            <a:ext uri="{FF2B5EF4-FFF2-40B4-BE49-F238E27FC236}">
              <a16:creationId xmlns:a16="http://schemas.microsoft.com/office/drawing/2014/main" id="{00000000-0008-0000-2200-000037B31A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790825" y="4486275"/>
          <a:ext cx="22860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38100</xdr:colOff>
      <xdr:row>29</xdr:row>
      <xdr:rowOff>38100</xdr:rowOff>
    </xdr:from>
    <xdr:to>
      <xdr:col>5</xdr:col>
      <xdr:colOff>276225</xdr:colOff>
      <xdr:row>29</xdr:row>
      <xdr:rowOff>266700</xdr:rowOff>
    </xdr:to>
    <xdr:pic>
      <xdr:nvPicPr>
        <xdr:cNvPr id="1749816" name="Image 4">
          <a:extLst>
            <a:ext uri="{FF2B5EF4-FFF2-40B4-BE49-F238E27FC236}">
              <a16:creationId xmlns:a16="http://schemas.microsoft.com/office/drawing/2014/main" id="{00000000-0008-0000-2200-000038B31A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800350" y="6648450"/>
          <a:ext cx="238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28575</xdr:colOff>
      <xdr:row>29</xdr:row>
      <xdr:rowOff>38100</xdr:rowOff>
    </xdr:from>
    <xdr:to>
      <xdr:col>9</xdr:col>
      <xdr:colOff>257175</xdr:colOff>
      <xdr:row>29</xdr:row>
      <xdr:rowOff>266700</xdr:rowOff>
    </xdr:to>
    <xdr:pic>
      <xdr:nvPicPr>
        <xdr:cNvPr id="1749817" name="Image 5">
          <a:extLst>
            <a:ext uri="{FF2B5EF4-FFF2-40B4-BE49-F238E27FC236}">
              <a16:creationId xmlns:a16="http://schemas.microsoft.com/office/drawing/2014/main" id="{00000000-0008-0000-2200-000039B31A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248150" y="6648450"/>
          <a:ext cx="2286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28575</xdr:colOff>
      <xdr:row>31</xdr:row>
      <xdr:rowOff>38100</xdr:rowOff>
    </xdr:from>
    <xdr:to>
      <xdr:col>5</xdr:col>
      <xdr:colOff>266700</xdr:colOff>
      <xdr:row>31</xdr:row>
      <xdr:rowOff>266700</xdr:rowOff>
    </xdr:to>
    <xdr:pic>
      <xdr:nvPicPr>
        <xdr:cNvPr id="1749818" name="Image 128">
          <a:extLst>
            <a:ext uri="{FF2B5EF4-FFF2-40B4-BE49-F238E27FC236}">
              <a16:creationId xmlns:a16="http://schemas.microsoft.com/office/drawing/2014/main" id="{00000000-0008-0000-2200-00003AB31A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90825" y="7134225"/>
          <a:ext cx="238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19050</xdr:colOff>
      <xdr:row>31</xdr:row>
      <xdr:rowOff>38100</xdr:rowOff>
    </xdr:from>
    <xdr:to>
      <xdr:col>9</xdr:col>
      <xdr:colOff>257175</xdr:colOff>
      <xdr:row>31</xdr:row>
      <xdr:rowOff>266700</xdr:rowOff>
    </xdr:to>
    <xdr:pic>
      <xdr:nvPicPr>
        <xdr:cNvPr id="1749819" name="Image 129">
          <a:extLst>
            <a:ext uri="{FF2B5EF4-FFF2-40B4-BE49-F238E27FC236}">
              <a16:creationId xmlns:a16="http://schemas.microsoft.com/office/drawing/2014/main" id="{00000000-0008-0000-2200-00003BB31A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4238625" y="7134225"/>
          <a:ext cx="238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38100</xdr:colOff>
      <xdr:row>33</xdr:row>
      <xdr:rowOff>38100</xdr:rowOff>
    </xdr:from>
    <xdr:to>
      <xdr:col>5</xdr:col>
      <xdr:colOff>276225</xdr:colOff>
      <xdr:row>33</xdr:row>
      <xdr:rowOff>266700</xdr:rowOff>
    </xdr:to>
    <xdr:pic>
      <xdr:nvPicPr>
        <xdr:cNvPr id="1749820" name="Image 130">
          <a:extLst>
            <a:ext uri="{FF2B5EF4-FFF2-40B4-BE49-F238E27FC236}">
              <a16:creationId xmlns:a16="http://schemas.microsoft.com/office/drawing/2014/main" id="{00000000-0008-0000-2200-00003CB31A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800350" y="7620000"/>
          <a:ext cx="238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28575</xdr:colOff>
      <xdr:row>33</xdr:row>
      <xdr:rowOff>38100</xdr:rowOff>
    </xdr:from>
    <xdr:to>
      <xdr:col>9</xdr:col>
      <xdr:colOff>257175</xdr:colOff>
      <xdr:row>33</xdr:row>
      <xdr:rowOff>266700</xdr:rowOff>
    </xdr:to>
    <xdr:pic>
      <xdr:nvPicPr>
        <xdr:cNvPr id="1749821" name="Image 131">
          <a:extLst>
            <a:ext uri="{FF2B5EF4-FFF2-40B4-BE49-F238E27FC236}">
              <a16:creationId xmlns:a16="http://schemas.microsoft.com/office/drawing/2014/main" id="{00000000-0008-0000-2200-00003DB31A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248150" y="7620000"/>
          <a:ext cx="2286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28575</xdr:colOff>
      <xdr:row>35</xdr:row>
      <xdr:rowOff>47625</xdr:rowOff>
    </xdr:from>
    <xdr:to>
      <xdr:col>5</xdr:col>
      <xdr:colOff>266700</xdr:colOff>
      <xdr:row>35</xdr:row>
      <xdr:rowOff>276225</xdr:rowOff>
    </xdr:to>
    <xdr:pic>
      <xdr:nvPicPr>
        <xdr:cNvPr id="1749822" name="Image 132">
          <a:extLst>
            <a:ext uri="{FF2B5EF4-FFF2-40B4-BE49-F238E27FC236}">
              <a16:creationId xmlns:a16="http://schemas.microsoft.com/office/drawing/2014/main" id="{00000000-0008-0000-2200-00003EB31A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90825" y="8115300"/>
          <a:ext cx="238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19050</xdr:colOff>
      <xdr:row>35</xdr:row>
      <xdr:rowOff>47625</xdr:rowOff>
    </xdr:from>
    <xdr:to>
      <xdr:col>9</xdr:col>
      <xdr:colOff>257175</xdr:colOff>
      <xdr:row>35</xdr:row>
      <xdr:rowOff>276225</xdr:rowOff>
    </xdr:to>
    <xdr:pic>
      <xdr:nvPicPr>
        <xdr:cNvPr id="1749823" name="Image 133">
          <a:extLst>
            <a:ext uri="{FF2B5EF4-FFF2-40B4-BE49-F238E27FC236}">
              <a16:creationId xmlns:a16="http://schemas.microsoft.com/office/drawing/2014/main" id="{00000000-0008-0000-2200-00003FB31A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4238625" y="8115300"/>
          <a:ext cx="2381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0</xdr:colOff>
      <xdr:row>20</xdr:row>
      <xdr:rowOff>0</xdr:rowOff>
    </xdr:from>
    <xdr:to>
      <xdr:col>11</xdr:col>
      <xdr:colOff>7078</xdr:colOff>
      <xdr:row>21</xdr:row>
      <xdr:rowOff>9525</xdr:rowOff>
    </xdr:to>
    <xdr:sp macro="" textlink="">
      <xdr:nvSpPr>
        <xdr:cNvPr id="91" name="Rectangle à coins arrondis 90">
          <a:extLst>
            <a:ext uri="{FF2B5EF4-FFF2-40B4-BE49-F238E27FC236}">
              <a16:creationId xmlns:a16="http://schemas.microsoft.com/office/drawing/2014/main" id="{00000000-0008-0000-2200-00005B000000}"/>
            </a:ext>
          </a:extLst>
        </xdr:cNvPr>
        <xdr:cNvSpPr/>
      </xdr:nvSpPr>
      <xdr:spPr bwMode="auto">
        <a:xfrm>
          <a:off x="4505325" y="4495800"/>
          <a:ext cx="1369153" cy="447675"/>
        </a:xfrm>
        <a:prstGeom prst="roundRect">
          <a:avLst>
            <a:gd name="adj" fmla="val 16488"/>
          </a:avLst>
        </a:prstGeom>
        <a:no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endParaRPr lang="fr-FR"/>
        </a:p>
      </xdr:txBody>
    </xdr:sp>
    <xdr:clientData/>
  </xdr:twoCellAnchor>
  <xdr:twoCellAnchor editAs="oneCell">
    <xdr:from>
      <xdr:col>1</xdr:col>
      <xdr:colOff>9525</xdr:colOff>
      <xdr:row>5</xdr:row>
      <xdr:rowOff>57150</xdr:rowOff>
    </xdr:from>
    <xdr:to>
      <xdr:col>2</xdr:col>
      <xdr:colOff>142872</xdr:colOff>
      <xdr:row>9</xdr:row>
      <xdr:rowOff>2053</xdr:rowOff>
    </xdr:to>
    <xdr:pic>
      <xdr:nvPicPr>
        <xdr:cNvPr id="3" name="Image 2">
          <a:extLst>
            <a:ext uri="{FF2B5EF4-FFF2-40B4-BE49-F238E27FC236}">
              <a16:creationId xmlns:a16="http://schemas.microsoft.com/office/drawing/2014/main" id="{717884B0-5AA6-45C5-BB2F-63E15B74831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5725" y="1152525"/>
          <a:ext cx="628647" cy="802153"/>
        </a:xfrm>
        <a:prstGeom prst="rect">
          <a:avLst/>
        </a:prstGeom>
      </xdr:spPr>
    </xdr:pic>
    <xdr:clientData/>
  </xdr:twoCellAnchor>
  <xdr:twoCellAnchor editAs="oneCell">
    <xdr:from>
      <xdr:col>1</xdr:col>
      <xdr:colOff>19050</xdr:colOff>
      <xdr:row>19</xdr:row>
      <xdr:rowOff>66675</xdr:rowOff>
    </xdr:from>
    <xdr:to>
      <xdr:col>2</xdr:col>
      <xdr:colOff>152397</xdr:colOff>
      <xdr:row>22</xdr:row>
      <xdr:rowOff>97303</xdr:rowOff>
    </xdr:to>
    <xdr:pic>
      <xdr:nvPicPr>
        <xdr:cNvPr id="5" name="Image 4">
          <a:extLst>
            <a:ext uri="{FF2B5EF4-FFF2-40B4-BE49-F238E27FC236}">
              <a16:creationId xmlns:a16="http://schemas.microsoft.com/office/drawing/2014/main" id="{6A8B0233-9520-401A-9C47-A08F1BC0F87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5250" y="4333875"/>
          <a:ext cx="628647" cy="80215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9</xdr:col>
      <xdr:colOff>133350</xdr:colOff>
      <xdr:row>0</xdr:row>
      <xdr:rowOff>0</xdr:rowOff>
    </xdr:from>
    <xdr:to>
      <xdr:col>9</xdr:col>
      <xdr:colOff>685800</xdr:colOff>
      <xdr:row>2</xdr:row>
      <xdr:rowOff>123825</xdr:rowOff>
    </xdr:to>
    <xdr:pic macro="[0]!PrintPodium">
      <xdr:nvPicPr>
        <xdr:cNvPr id="1620170" name="Image 2">
          <a:extLst>
            <a:ext uri="{FF2B5EF4-FFF2-40B4-BE49-F238E27FC236}">
              <a16:creationId xmlns:a16="http://schemas.microsoft.com/office/drawing/2014/main" id="{00000000-0008-0000-2300-0000CAB818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24800" y="0"/>
          <a:ext cx="552450"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42" Type="http://schemas.openxmlformats.org/officeDocument/2006/relationships/ctrlProp" Target="../ctrlProps/ctrlProp38.xml"/><Relationship Id="rId47" Type="http://schemas.openxmlformats.org/officeDocument/2006/relationships/ctrlProp" Target="../ctrlProps/ctrlProp43.xml"/><Relationship Id="rId63" Type="http://schemas.openxmlformats.org/officeDocument/2006/relationships/ctrlProp" Target="../ctrlProps/ctrlProp59.xml"/><Relationship Id="rId68" Type="http://schemas.openxmlformats.org/officeDocument/2006/relationships/ctrlProp" Target="../ctrlProps/ctrlProp64.xml"/><Relationship Id="rId2" Type="http://schemas.openxmlformats.org/officeDocument/2006/relationships/printerSettings" Target="../printerSettings/printerSettings8.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8" Type="http://schemas.openxmlformats.org/officeDocument/2006/relationships/ctrlProp" Target="../ctrlProps/ctrlProp54.xml"/><Relationship Id="rId66" Type="http://schemas.openxmlformats.org/officeDocument/2006/relationships/ctrlProp" Target="../ctrlProps/ctrlProp62.xml"/><Relationship Id="rId74" Type="http://schemas.openxmlformats.org/officeDocument/2006/relationships/ctrlProp" Target="../ctrlProps/ctrlProp70.xml"/><Relationship Id="rId5" Type="http://schemas.openxmlformats.org/officeDocument/2006/relationships/ctrlProp" Target="../ctrlProps/ctrlProp1.xml"/><Relationship Id="rId61" Type="http://schemas.openxmlformats.org/officeDocument/2006/relationships/ctrlProp" Target="../ctrlProps/ctrlProp57.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69" Type="http://schemas.openxmlformats.org/officeDocument/2006/relationships/ctrlProp" Target="../ctrlProps/ctrlProp65.xml"/><Relationship Id="rId8" Type="http://schemas.openxmlformats.org/officeDocument/2006/relationships/ctrlProp" Target="../ctrlProps/ctrlProp4.xml"/><Relationship Id="rId51" Type="http://schemas.openxmlformats.org/officeDocument/2006/relationships/ctrlProp" Target="../ctrlProps/ctrlProp47.xml"/><Relationship Id="rId72" Type="http://schemas.openxmlformats.org/officeDocument/2006/relationships/ctrlProp" Target="../ctrlProps/ctrlProp68.xml"/><Relationship Id="rId3" Type="http://schemas.openxmlformats.org/officeDocument/2006/relationships/drawing" Target="../drawings/drawing2.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70"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73" Type="http://schemas.openxmlformats.org/officeDocument/2006/relationships/ctrlProp" Target="../ctrlProps/ctrlProp69.xml"/><Relationship Id="rId4" Type="http://schemas.openxmlformats.org/officeDocument/2006/relationships/vmlDrawing" Target="../drawings/vmlDrawing1.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 Id="rId34" Type="http://schemas.openxmlformats.org/officeDocument/2006/relationships/ctrlProp" Target="../ctrlProps/ctrlProp30.xml"/><Relationship Id="rId50" Type="http://schemas.openxmlformats.org/officeDocument/2006/relationships/ctrlProp" Target="../ctrlProps/ctrlProp46.xml"/><Relationship Id="rId55" Type="http://schemas.openxmlformats.org/officeDocument/2006/relationships/ctrlProp" Target="../ctrlProps/ctrlProp51.xml"/><Relationship Id="rId7" Type="http://schemas.openxmlformats.org/officeDocument/2006/relationships/ctrlProp" Target="../ctrlProps/ctrlProp3.xml"/><Relationship Id="rId71"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TODO"/>
  <dimension ref="A2:E80"/>
  <sheetViews>
    <sheetView showGridLines="0" workbookViewId="0">
      <selection activeCell="C12" sqref="C12"/>
    </sheetView>
  </sheetViews>
  <sheetFormatPr baseColWidth="10" defaultColWidth="11.42578125" defaultRowHeight="12.75" x14ac:dyDescent="0.2"/>
  <cols>
    <col min="1" max="1" width="7.42578125" style="296" customWidth="1"/>
    <col min="2" max="2" width="11.42578125" style="296" customWidth="1"/>
    <col min="3" max="3" width="99.85546875" style="296" customWidth="1"/>
    <col min="4" max="4" width="3.7109375" style="296" customWidth="1"/>
    <col min="5" max="5" width="3.42578125" style="296" customWidth="1"/>
    <col min="6" max="6" width="6.7109375" style="1455" customWidth="1"/>
    <col min="7" max="16384" width="11.42578125" style="1455"/>
  </cols>
  <sheetData>
    <row r="2" spans="1:5" ht="23.25" x14ac:dyDescent="0.2">
      <c r="A2" s="1455"/>
      <c r="B2" s="1824" t="s">
        <v>3892</v>
      </c>
      <c r="C2" s="1825"/>
      <c r="D2" s="928"/>
      <c r="E2" s="927"/>
    </row>
    <row r="3" spans="1:5" x14ac:dyDescent="0.2">
      <c r="A3" s="1455"/>
      <c r="B3" s="1342" t="s">
        <v>18215</v>
      </c>
      <c r="C3" s="312" t="s">
        <v>18216</v>
      </c>
      <c r="D3" s="928"/>
      <c r="E3" s="927"/>
    </row>
    <row r="4" spans="1:5" x14ac:dyDescent="0.2">
      <c r="A4" s="1455"/>
      <c r="B4" s="1342" t="s">
        <v>17658</v>
      </c>
      <c r="C4" s="312" t="s">
        <v>17659</v>
      </c>
      <c r="D4" s="928"/>
      <c r="E4" s="927"/>
    </row>
    <row r="5" spans="1:5" ht="25.5" x14ac:dyDescent="0.2">
      <c r="A5" s="1455"/>
      <c r="B5" s="1342" t="s">
        <v>17656</v>
      </c>
      <c r="C5" s="312" t="s">
        <v>17657</v>
      </c>
      <c r="D5" s="928"/>
      <c r="E5" s="927"/>
    </row>
    <row r="6" spans="1:5" x14ac:dyDescent="0.2">
      <c r="A6" s="1455"/>
      <c r="B6" s="1342" t="s">
        <v>17638</v>
      </c>
      <c r="C6" s="312" t="s">
        <v>17639</v>
      </c>
      <c r="D6" s="928"/>
      <c r="E6" s="927"/>
    </row>
    <row r="7" spans="1:5" ht="63.75" x14ac:dyDescent="0.2">
      <c r="A7" s="1455"/>
      <c r="B7" s="1342">
        <v>14</v>
      </c>
      <c r="C7" s="312" t="s">
        <v>17636</v>
      </c>
      <c r="D7" s="928"/>
      <c r="E7" s="927"/>
    </row>
    <row r="8" spans="1:5" x14ac:dyDescent="0.2">
      <c r="A8" s="1823"/>
      <c r="B8" s="1342" t="s">
        <v>16612</v>
      </c>
      <c r="C8" s="312" t="s">
        <v>16824</v>
      </c>
      <c r="D8" s="928"/>
      <c r="E8" s="927"/>
    </row>
    <row r="9" spans="1:5" x14ac:dyDescent="0.2">
      <c r="A9" s="1823"/>
      <c r="B9" s="1342" t="s">
        <v>15132</v>
      </c>
      <c r="C9" s="312" t="s">
        <v>15133</v>
      </c>
      <c r="D9" s="928"/>
      <c r="E9" s="927"/>
    </row>
    <row r="10" spans="1:5" x14ac:dyDescent="0.2">
      <c r="A10" s="1823"/>
      <c r="B10" s="1342" t="s">
        <v>15130</v>
      </c>
      <c r="C10" s="312" t="s">
        <v>15131</v>
      </c>
      <c r="D10" s="928"/>
      <c r="E10" s="927"/>
    </row>
    <row r="11" spans="1:5" x14ac:dyDescent="0.2">
      <c r="A11" s="1823"/>
      <c r="B11" s="1342" t="s">
        <v>15021</v>
      </c>
      <c r="C11" s="312" t="s">
        <v>15020</v>
      </c>
      <c r="D11" s="928"/>
      <c r="E11" s="927"/>
    </row>
    <row r="12" spans="1:5" x14ac:dyDescent="0.2">
      <c r="A12" s="1823"/>
      <c r="B12" s="1342" t="s">
        <v>15019</v>
      </c>
      <c r="C12" s="312" t="s">
        <v>15022</v>
      </c>
      <c r="D12" s="928"/>
      <c r="E12" s="927"/>
    </row>
    <row r="13" spans="1:5" x14ac:dyDescent="0.2">
      <c r="A13" s="1823"/>
      <c r="B13" s="1342">
        <v>13</v>
      </c>
      <c r="C13" s="312" t="s">
        <v>15018</v>
      </c>
      <c r="D13" s="928"/>
      <c r="E13" s="927"/>
    </row>
    <row r="14" spans="1:5" x14ac:dyDescent="0.2">
      <c r="A14" s="1823"/>
      <c r="B14" s="1342" t="s">
        <v>15016</v>
      </c>
      <c r="C14" s="312" t="s">
        <v>15017</v>
      </c>
      <c r="D14" s="928"/>
      <c r="E14" s="927"/>
    </row>
    <row r="15" spans="1:5" x14ac:dyDescent="0.2">
      <c r="A15" s="1823"/>
      <c r="B15" s="1342" t="s">
        <v>15014</v>
      </c>
      <c r="C15" s="312" t="s">
        <v>15015</v>
      </c>
      <c r="D15" s="928"/>
      <c r="E15" s="927"/>
    </row>
    <row r="16" spans="1:5" x14ac:dyDescent="0.2">
      <c r="A16" s="1823"/>
      <c r="B16" s="1342" t="s">
        <v>15012</v>
      </c>
      <c r="C16" s="312" t="s">
        <v>15013</v>
      </c>
      <c r="D16" s="928"/>
      <c r="E16" s="927"/>
    </row>
    <row r="17" spans="1:5" ht="25.5" x14ac:dyDescent="0.2">
      <c r="A17" s="1823"/>
      <c r="B17" s="1342" t="s">
        <v>15001</v>
      </c>
      <c r="C17" s="312" t="s">
        <v>15004</v>
      </c>
      <c r="D17" s="928"/>
      <c r="E17" s="927"/>
    </row>
    <row r="18" spans="1:5" x14ac:dyDescent="0.2">
      <c r="A18" s="1823"/>
      <c r="B18" s="1342" t="s">
        <v>14338</v>
      </c>
      <c r="C18" s="312" t="s">
        <v>14339</v>
      </c>
      <c r="D18" s="928"/>
      <c r="E18" s="927"/>
    </row>
    <row r="19" spans="1:5" x14ac:dyDescent="0.2">
      <c r="A19" s="1823"/>
      <c r="B19" s="1342" t="s">
        <v>14336</v>
      </c>
      <c r="C19" s="312" t="s">
        <v>14337</v>
      </c>
      <c r="D19" s="928"/>
      <c r="E19" s="927"/>
    </row>
    <row r="20" spans="1:5" x14ac:dyDescent="0.2">
      <c r="A20" s="1823"/>
      <c r="B20" s="1342" t="s">
        <v>14334</v>
      </c>
      <c r="C20" s="312" t="s">
        <v>14335</v>
      </c>
      <c r="D20" s="928"/>
      <c r="E20" s="927"/>
    </row>
    <row r="21" spans="1:5" x14ac:dyDescent="0.2">
      <c r="A21" s="1823"/>
      <c r="B21" s="1342" t="s">
        <v>14332</v>
      </c>
      <c r="C21" s="312" t="s">
        <v>14333</v>
      </c>
      <c r="D21" s="928"/>
      <c r="E21" s="927"/>
    </row>
    <row r="22" spans="1:5" ht="25.5" x14ac:dyDescent="0.2">
      <c r="A22" s="1823"/>
      <c r="B22" s="1342">
        <v>10</v>
      </c>
      <c r="C22" s="312" t="s">
        <v>14120</v>
      </c>
      <c r="D22" s="928"/>
      <c r="E22" s="927"/>
    </row>
    <row r="23" spans="1:5" x14ac:dyDescent="0.2">
      <c r="A23" s="1823"/>
      <c r="B23" s="1342" t="s">
        <v>13506</v>
      </c>
      <c r="C23" s="312" t="s">
        <v>13507</v>
      </c>
      <c r="D23" s="928"/>
      <c r="E23" s="927"/>
    </row>
    <row r="24" spans="1:5" x14ac:dyDescent="0.2">
      <c r="A24" s="1823"/>
      <c r="B24" s="1342" t="s">
        <v>13504</v>
      </c>
      <c r="C24" s="312" t="s">
        <v>13505</v>
      </c>
      <c r="D24" s="928"/>
      <c r="E24" s="927"/>
    </row>
    <row r="25" spans="1:5" ht="25.5" x14ac:dyDescent="0.2">
      <c r="A25" s="1823"/>
      <c r="B25" s="1342" t="s">
        <v>13209</v>
      </c>
      <c r="C25" s="312" t="s">
        <v>13503</v>
      </c>
      <c r="D25" s="928"/>
      <c r="E25" s="927"/>
    </row>
    <row r="26" spans="1:5" x14ac:dyDescent="0.2">
      <c r="A26" s="1823"/>
      <c r="B26" s="1342" t="s">
        <v>12951</v>
      </c>
      <c r="C26" s="312" t="s">
        <v>12952</v>
      </c>
      <c r="D26" s="928"/>
      <c r="E26" s="927"/>
    </row>
    <row r="27" spans="1:5" ht="140.25" x14ac:dyDescent="0.2">
      <c r="A27" s="1823"/>
      <c r="B27" s="1342">
        <v>9.1999999999999993</v>
      </c>
      <c r="C27" s="312" t="s">
        <v>11572</v>
      </c>
      <c r="D27" s="928"/>
      <c r="E27" s="927"/>
    </row>
    <row r="28" spans="1:5" ht="51" x14ac:dyDescent="0.2">
      <c r="A28" s="1823"/>
      <c r="B28" s="1342" t="s">
        <v>11498</v>
      </c>
      <c r="C28" s="312" t="s">
        <v>11496</v>
      </c>
      <c r="D28" s="928"/>
      <c r="E28" s="927"/>
    </row>
    <row r="29" spans="1:5" x14ac:dyDescent="0.2">
      <c r="A29" s="1823"/>
      <c r="B29" s="1342" t="s">
        <v>11497</v>
      </c>
      <c r="C29" s="312" t="s">
        <v>11459</v>
      </c>
      <c r="D29" s="928"/>
      <c r="E29" s="927"/>
    </row>
    <row r="30" spans="1:5" ht="25.5" x14ac:dyDescent="0.2">
      <c r="A30" s="1823"/>
      <c r="B30" s="1342" t="s">
        <v>9853</v>
      </c>
      <c r="C30" s="312" t="s">
        <v>9854</v>
      </c>
      <c r="D30" s="928"/>
      <c r="E30" s="927"/>
    </row>
    <row r="31" spans="1:5" ht="25.5" x14ac:dyDescent="0.2">
      <c r="A31" s="1823"/>
      <c r="B31" s="1342" t="s">
        <v>9852</v>
      </c>
      <c r="C31" s="312" t="s">
        <v>9840</v>
      </c>
      <c r="D31" s="928"/>
      <c r="E31" s="927"/>
    </row>
    <row r="32" spans="1:5" ht="25.5" x14ac:dyDescent="0.2">
      <c r="A32" s="1823"/>
      <c r="B32" s="1342" t="s">
        <v>9739</v>
      </c>
      <c r="C32" s="312" t="s">
        <v>9834</v>
      </c>
      <c r="D32" s="928"/>
      <c r="E32" s="927"/>
    </row>
    <row r="33" spans="1:5" ht="25.5" x14ac:dyDescent="0.2">
      <c r="A33" s="1823"/>
      <c r="B33" s="1342" t="s">
        <v>9726</v>
      </c>
      <c r="C33" s="312" t="s">
        <v>9835</v>
      </c>
      <c r="D33" s="928"/>
      <c r="E33" s="927"/>
    </row>
    <row r="34" spans="1:5" ht="25.5" x14ac:dyDescent="0.2">
      <c r="A34" s="1823"/>
      <c r="B34" s="1342" t="s">
        <v>9632</v>
      </c>
      <c r="C34" s="312" t="s">
        <v>9725</v>
      </c>
      <c r="D34" s="928"/>
      <c r="E34" s="927"/>
    </row>
    <row r="35" spans="1:5" ht="25.5" x14ac:dyDescent="0.2">
      <c r="A35" s="1823"/>
      <c r="B35" s="1342" t="s">
        <v>9607</v>
      </c>
      <c r="C35" s="312" t="s">
        <v>9631</v>
      </c>
      <c r="D35" s="928"/>
      <c r="E35" s="927"/>
    </row>
    <row r="36" spans="1:5" x14ac:dyDescent="0.2">
      <c r="A36" s="1823"/>
      <c r="B36" s="1342" t="s">
        <v>9608</v>
      </c>
      <c r="C36" s="312" t="s">
        <v>9609</v>
      </c>
      <c r="D36" s="928"/>
      <c r="E36" s="927"/>
    </row>
    <row r="37" spans="1:5" x14ac:dyDescent="0.2">
      <c r="B37" s="1342">
        <v>6.1</v>
      </c>
      <c r="C37" s="312" t="s">
        <v>9606</v>
      </c>
    </row>
    <row r="38" spans="1:5" ht="25.5" x14ac:dyDescent="0.2">
      <c r="B38" s="1342" t="s">
        <v>9531</v>
      </c>
      <c r="C38" s="312" t="s">
        <v>9532</v>
      </c>
    </row>
    <row r="39" spans="1:5" x14ac:dyDescent="0.2">
      <c r="B39" s="1342" t="s">
        <v>9503</v>
      </c>
      <c r="C39" s="312" t="s">
        <v>9504</v>
      </c>
    </row>
    <row r="40" spans="1:5" ht="25.5" x14ac:dyDescent="0.2">
      <c r="B40" s="1342" t="s">
        <v>9471</v>
      </c>
      <c r="C40" s="312" t="s">
        <v>9472</v>
      </c>
    </row>
    <row r="41" spans="1:5" ht="63.75" x14ac:dyDescent="0.2">
      <c r="B41" s="1339" t="s">
        <v>9464</v>
      </c>
      <c r="C41" s="312" t="s">
        <v>9465</v>
      </c>
    </row>
    <row r="42" spans="1:5" ht="25.5" x14ac:dyDescent="0.2">
      <c r="B42" s="1339" t="s">
        <v>9365</v>
      </c>
      <c r="C42" s="312" t="s">
        <v>9390</v>
      </c>
    </row>
    <row r="43" spans="1:5" ht="51" x14ac:dyDescent="0.2">
      <c r="B43" s="1342" t="s">
        <v>8877</v>
      </c>
      <c r="C43" s="312" t="s">
        <v>9484</v>
      </c>
    </row>
    <row r="44" spans="1:5" x14ac:dyDescent="0.2">
      <c r="B44" s="1342" t="s">
        <v>8771</v>
      </c>
      <c r="C44" s="312" t="s">
        <v>8772</v>
      </c>
    </row>
    <row r="45" spans="1:5" x14ac:dyDescent="0.2">
      <c r="B45" s="1342" t="s">
        <v>7946</v>
      </c>
      <c r="C45" s="312" t="s">
        <v>7947</v>
      </c>
    </row>
    <row r="46" spans="1:5" x14ac:dyDescent="0.2">
      <c r="B46" s="1342" t="s">
        <v>7919</v>
      </c>
      <c r="C46" s="312" t="s">
        <v>7920</v>
      </c>
    </row>
    <row r="47" spans="1:5" x14ac:dyDescent="0.2">
      <c r="B47" s="1342" t="s">
        <v>7911</v>
      </c>
      <c r="C47" s="312" t="s">
        <v>7912</v>
      </c>
    </row>
    <row r="48" spans="1:5" x14ac:dyDescent="0.2">
      <c r="B48" s="1342" t="s">
        <v>7883</v>
      </c>
      <c r="C48" s="312" t="s">
        <v>7884</v>
      </c>
    </row>
    <row r="49" spans="2:3" ht="25.5" x14ac:dyDescent="0.2">
      <c r="B49" s="1342" t="s">
        <v>7864</v>
      </c>
      <c r="C49" s="312" t="s">
        <v>7866</v>
      </c>
    </row>
    <row r="50" spans="2:3" x14ac:dyDescent="0.2">
      <c r="B50" s="1342" t="s">
        <v>7861</v>
      </c>
      <c r="C50" s="312" t="s">
        <v>7865</v>
      </c>
    </row>
    <row r="51" spans="2:3" ht="25.5" x14ac:dyDescent="0.2">
      <c r="B51" s="1342" t="s">
        <v>7856</v>
      </c>
      <c r="C51" s="312" t="s">
        <v>7857</v>
      </c>
    </row>
    <row r="52" spans="2:3" x14ac:dyDescent="0.2">
      <c r="B52" s="1342" t="s">
        <v>7846</v>
      </c>
      <c r="C52" s="312" t="s">
        <v>7848</v>
      </c>
    </row>
    <row r="53" spans="2:3" x14ac:dyDescent="0.2">
      <c r="B53" s="1342" t="s">
        <v>7785</v>
      </c>
      <c r="C53" s="312" t="s">
        <v>7847</v>
      </c>
    </row>
    <row r="54" spans="2:3" ht="38.25" x14ac:dyDescent="0.2">
      <c r="B54" s="1339" t="s">
        <v>7781</v>
      </c>
      <c r="C54" s="312" t="s">
        <v>7782</v>
      </c>
    </row>
    <row r="55" spans="2:3" ht="89.25" x14ac:dyDescent="0.2">
      <c r="B55" s="1339" t="s">
        <v>7638</v>
      </c>
      <c r="C55" s="312" t="s">
        <v>7783</v>
      </c>
    </row>
    <row r="56" spans="2:3" ht="191.25" x14ac:dyDescent="0.2">
      <c r="B56" s="1339" t="s">
        <v>7240</v>
      </c>
      <c r="C56" s="312" t="s">
        <v>7637</v>
      </c>
    </row>
    <row r="57" spans="2:3" ht="38.25" x14ac:dyDescent="0.2">
      <c r="B57" s="1339" t="s">
        <v>7238</v>
      </c>
      <c r="C57" s="312" t="s">
        <v>7239</v>
      </c>
    </row>
    <row r="58" spans="2:3" ht="114.75" x14ac:dyDescent="0.2">
      <c r="B58" s="1340" t="s">
        <v>7230</v>
      </c>
      <c r="C58" s="312" t="s">
        <v>7231</v>
      </c>
    </row>
    <row r="59" spans="2:3" ht="395.25" x14ac:dyDescent="0.2">
      <c r="B59" s="1340" t="s">
        <v>5463</v>
      </c>
      <c r="C59" s="312" t="s">
        <v>5504</v>
      </c>
    </row>
    <row r="60" spans="2:3" ht="76.5" x14ac:dyDescent="0.2">
      <c r="B60" s="1341" t="s">
        <v>4037</v>
      </c>
      <c r="C60" s="312" t="s">
        <v>4038</v>
      </c>
    </row>
    <row r="61" spans="2:3" ht="25.5" x14ac:dyDescent="0.2">
      <c r="B61" s="1341" t="s">
        <v>4031</v>
      </c>
      <c r="C61" s="312" t="s">
        <v>4032</v>
      </c>
    </row>
    <row r="62" spans="2:3" ht="38.25" x14ac:dyDescent="0.2">
      <c r="B62" s="1341" t="s">
        <v>4009</v>
      </c>
      <c r="C62" s="312" t="s">
        <v>4010</v>
      </c>
    </row>
    <row r="63" spans="2:3" ht="89.25" x14ac:dyDescent="0.2">
      <c r="B63" s="1341" t="s">
        <v>3983</v>
      </c>
      <c r="C63" s="312" t="s">
        <v>3984</v>
      </c>
    </row>
    <row r="64" spans="2:3" ht="25.5" x14ac:dyDescent="0.2">
      <c r="B64" s="1341" t="s">
        <v>3982</v>
      </c>
      <c r="C64" s="312" t="s">
        <v>4030</v>
      </c>
    </row>
    <row r="65" spans="1:3" ht="38.25" x14ac:dyDescent="0.2">
      <c r="B65" s="1341" t="s">
        <v>3909</v>
      </c>
      <c r="C65" s="312" t="s">
        <v>3910</v>
      </c>
    </row>
    <row r="66" spans="1:3" ht="25.5" x14ac:dyDescent="0.2">
      <c r="B66" s="1341" t="s">
        <v>3901</v>
      </c>
      <c r="C66" s="312" t="s">
        <v>3908</v>
      </c>
    </row>
    <row r="67" spans="1:3" x14ac:dyDescent="0.2">
      <c r="B67" s="1341" t="s">
        <v>3898</v>
      </c>
      <c r="C67" s="312" t="s">
        <v>3897</v>
      </c>
    </row>
    <row r="68" spans="1:3" ht="102" x14ac:dyDescent="0.2">
      <c r="B68" s="2229" t="s">
        <v>3891</v>
      </c>
      <c r="C68" s="312" t="s">
        <v>3893</v>
      </c>
    </row>
    <row r="69" spans="1:3" ht="25.5" x14ac:dyDescent="0.2">
      <c r="B69" s="2230"/>
      <c r="C69" s="312" t="s">
        <v>3896</v>
      </c>
    </row>
    <row r="70" spans="1:3" x14ac:dyDescent="0.2">
      <c r="B70" s="1342" t="s">
        <v>3890</v>
      </c>
      <c r="C70" s="312" t="s">
        <v>3895</v>
      </c>
    </row>
    <row r="71" spans="1:3" x14ac:dyDescent="0.2">
      <c r="C71" s="929"/>
    </row>
    <row r="72" spans="1:3" ht="23.25" x14ac:dyDescent="0.2">
      <c r="A72" s="1455"/>
      <c r="B72" s="1824" t="s">
        <v>3894</v>
      </c>
      <c r="C72" s="1825"/>
    </row>
    <row r="73" spans="1:3" x14ac:dyDescent="0.2">
      <c r="B73" s="1827"/>
      <c r="C73" s="300" t="s">
        <v>9466</v>
      </c>
    </row>
    <row r="74" spans="1:3" x14ac:dyDescent="0.2">
      <c r="B74" s="1827"/>
      <c r="C74" s="300" t="s">
        <v>9533</v>
      </c>
    </row>
    <row r="75" spans="1:3" x14ac:dyDescent="0.2">
      <c r="B75" s="1827"/>
      <c r="C75" s="300"/>
    </row>
    <row r="76" spans="1:3" x14ac:dyDescent="0.2">
      <c r="C76" s="1826"/>
    </row>
    <row r="77" spans="1:3" ht="23.25" x14ac:dyDescent="0.2">
      <c r="A77" s="1455"/>
      <c r="B77" s="1824" t="s">
        <v>2099</v>
      </c>
      <c r="C77" s="1825"/>
    </row>
    <row r="78" spans="1:3" x14ac:dyDescent="0.2">
      <c r="B78" s="1827"/>
      <c r="C78" s="300" t="s">
        <v>9839</v>
      </c>
    </row>
    <row r="79" spans="1:3" x14ac:dyDescent="0.2">
      <c r="B79" s="1827"/>
      <c r="C79" s="300"/>
    </row>
    <row r="80" spans="1:3" x14ac:dyDescent="0.2">
      <c r="B80" s="1827"/>
      <c r="C80" s="300"/>
    </row>
  </sheetData>
  <sheetProtection sheet="1" objects="1" scenarios="1" formatColumns="0" formatRows="0"/>
  <dataConsolidate/>
  <customSheetViews>
    <customSheetView guid="{13F24B0A-7740-483A-BEF7-5257F8522605}" showGridLines="0" state="hidden">
      <selection activeCell="C4" sqref="C4"/>
      <pageMargins left="0.7" right="0.7" top="0.75" bottom="0.75" header="0.3" footer="0.3"/>
      <pageSetup paperSize="9" orientation="portrait" r:id="rId1"/>
    </customSheetView>
  </customSheetViews>
  <mergeCells count="1">
    <mergeCell ref="B68:B69"/>
  </mergeCells>
  <phoneticPr fontId="61" type="noConversion"/>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Lang">
    <tabColor theme="0" tint="-0.249977111117893"/>
  </sheetPr>
  <dimension ref="B1:L858"/>
  <sheetViews>
    <sheetView showGridLines="0" zoomScaleNormal="100" workbookViewId="0">
      <pane xSplit="3" ySplit="2" topLeftCell="D827" activePane="bottomRight" state="frozen"/>
      <selection pane="topRight" activeCell="D1" sqref="D1"/>
      <selection pane="bottomLeft" activeCell="A3" sqref="A3"/>
      <selection pane="bottomRight" activeCell="E837" sqref="E837"/>
    </sheetView>
  </sheetViews>
  <sheetFormatPr baseColWidth="10" defaultColWidth="11.42578125" defaultRowHeight="12.75" x14ac:dyDescent="0.2"/>
  <cols>
    <col min="1" max="1" width="2.28515625" style="296" customWidth="1"/>
    <col min="2" max="2" width="17.7109375" style="297" customWidth="1"/>
    <col min="3" max="3" width="21.28515625" style="297" customWidth="1"/>
    <col min="4" max="4" width="23.140625" style="297" customWidth="1"/>
    <col min="5" max="5" width="21.7109375" style="297" customWidth="1"/>
    <col min="6" max="6" width="21.7109375" style="1575" customWidth="1"/>
    <col min="7" max="7" width="21.7109375" style="297" customWidth="1"/>
    <col min="8" max="8" width="21.7109375" style="296" customWidth="1"/>
    <col min="9" max="9" width="10" style="296" customWidth="1"/>
    <col min="10" max="16384" width="11.42578125" style="296"/>
  </cols>
  <sheetData>
    <row r="1" spans="2:12" ht="77.25" thickBot="1" x14ac:dyDescent="0.25">
      <c r="B1" s="360">
        <f>COUNTA(D2:L2)</f>
        <v>5</v>
      </c>
      <c r="C1" s="355" t="s">
        <v>931</v>
      </c>
      <c r="D1" s="356" t="s">
        <v>932</v>
      </c>
    </row>
    <row r="2" spans="2:12" x14ac:dyDescent="0.2">
      <c r="B2" s="302" t="s">
        <v>1551</v>
      </c>
      <c r="C2" s="353" t="s">
        <v>779</v>
      </c>
      <c r="D2" s="354" t="s">
        <v>1533</v>
      </c>
      <c r="E2" s="302" t="s">
        <v>1534</v>
      </c>
      <c r="F2" s="302" t="s">
        <v>1716</v>
      </c>
      <c r="G2" s="302" t="s">
        <v>11573</v>
      </c>
      <c r="H2" s="301" t="s">
        <v>11847</v>
      </c>
      <c r="I2" s="301"/>
      <c r="J2" s="301"/>
      <c r="K2" s="301"/>
      <c r="L2" s="301"/>
    </row>
    <row r="3" spans="2:12" x14ac:dyDescent="0.2">
      <c r="B3" s="359" t="str">
        <f t="shared" ref="B3:B66" si="0">HLOOKUP(Language,D$2:L$1113,ROW()-1,FALSE)</f>
        <v>Heure</v>
      </c>
      <c r="C3" s="312" t="str">
        <f t="shared" ref="C3:C69" si="1">NAMEOF(B3)</f>
        <v>N_Heure</v>
      </c>
      <c r="D3" s="298" t="s">
        <v>766</v>
      </c>
      <c r="E3" s="312" t="s">
        <v>1535</v>
      </c>
      <c r="F3" s="303" t="s">
        <v>8898</v>
      </c>
      <c r="G3" s="312" t="s">
        <v>11574</v>
      </c>
      <c r="H3" s="2187" t="s">
        <v>11848</v>
      </c>
      <c r="I3" s="300"/>
      <c r="J3" s="321"/>
      <c r="K3" s="321"/>
      <c r="L3" s="321"/>
    </row>
    <row r="4" spans="2:12" x14ac:dyDescent="0.2">
      <c r="B4" s="359" t="str">
        <f t="shared" si="0"/>
        <v>Table</v>
      </c>
      <c r="C4" s="312" t="str">
        <f t="shared" si="1"/>
        <v>N_Table</v>
      </c>
      <c r="D4" s="298" t="s">
        <v>767</v>
      </c>
      <c r="E4" s="312" t="s">
        <v>767</v>
      </c>
      <c r="F4" s="303" t="s">
        <v>8899</v>
      </c>
      <c r="G4" s="312" t="s">
        <v>11575</v>
      </c>
      <c r="H4" s="2187" t="s">
        <v>11849</v>
      </c>
      <c r="I4" s="300"/>
      <c r="J4" s="321"/>
      <c r="K4" s="321"/>
      <c r="L4" s="321"/>
    </row>
    <row r="5" spans="2:12" x14ac:dyDescent="0.2">
      <c r="B5" s="359" t="str">
        <f t="shared" si="0"/>
        <v>Tables</v>
      </c>
      <c r="C5" s="312" t="str">
        <f t="shared" si="1"/>
        <v>N_Tables</v>
      </c>
      <c r="D5" s="303" t="s">
        <v>7667</v>
      </c>
      <c r="E5" s="312" t="s">
        <v>7667</v>
      </c>
      <c r="F5" s="303" t="s">
        <v>8900</v>
      </c>
      <c r="G5" s="312" t="s">
        <v>11576</v>
      </c>
      <c r="H5" s="2187" t="s">
        <v>12269</v>
      </c>
      <c r="I5" s="300"/>
      <c r="J5" s="321"/>
      <c r="K5" s="321"/>
      <c r="L5" s="321"/>
    </row>
    <row r="6" spans="2:12" x14ac:dyDescent="0.2">
      <c r="B6" s="359" t="str">
        <f t="shared" si="0"/>
        <v>Arbitre</v>
      </c>
      <c r="C6" s="312" t="str">
        <f t="shared" si="1"/>
        <v>N_Arbitre</v>
      </c>
      <c r="D6" s="298" t="s">
        <v>768</v>
      </c>
      <c r="E6" s="312" t="s">
        <v>1536</v>
      </c>
      <c r="F6" s="303" t="s">
        <v>8901</v>
      </c>
      <c r="G6" s="312" t="s">
        <v>8901</v>
      </c>
      <c r="H6" s="2187" t="s">
        <v>12270</v>
      </c>
      <c r="I6" s="300"/>
      <c r="J6" s="321"/>
      <c r="K6" s="321"/>
      <c r="L6" s="321"/>
    </row>
    <row r="7" spans="2:12" x14ac:dyDescent="0.2">
      <c r="B7" s="359" t="str">
        <f t="shared" si="0"/>
        <v>Buts</v>
      </c>
      <c r="C7" s="312" t="str">
        <f t="shared" si="1"/>
        <v>N_Buts</v>
      </c>
      <c r="D7" s="298" t="s">
        <v>780</v>
      </c>
      <c r="E7" s="312" t="s">
        <v>1537</v>
      </c>
      <c r="F7" s="303" t="s">
        <v>1537</v>
      </c>
      <c r="G7" s="312" t="s">
        <v>11577</v>
      </c>
      <c r="H7" s="2187" t="s">
        <v>11850</v>
      </c>
      <c r="I7" s="300"/>
      <c r="J7" s="321"/>
      <c r="K7" s="321"/>
      <c r="L7" s="321"/>
    </row>
    <row r="8" spans="2:12" x14ac:dyDescent="0.2">
      <c r="B8" s="359" t="str">
        <f t="shared" si="0"/>
        <v>MS</v>
      </c>
      <c r="C8" s="312" t="str">
        <f t="shared" si="1"/>
        <v>N_MS</v>
      </c>
      <c r="D8" s="298" t="s">
        <v>777</v>
      </c>
      <c r="E8" s="312" t="s">
        <v>1538</v>
      </c>
      <c r="F8" s="303" t="s">
        <v>1538</v>
      </c>
      <c r="G8" s="312" t="s">
        <v>1538</v>
      </c>
      <c r="H8" s="2187" t="s">
        <v>1538</v>
      </c>
      <c r="I8" s="300"/>
      <c r="J8" s="321"/>
      <c r="K8" s="321"/>
      <c r="L8" s="321"/>
    </row>
    <row r="9" spans="2:12" x14ac:dyDescent="0.2">
      <c r="B9" s="359" t="str">
        <f t="shared" si="0"/>
        <v>Diff</v>
      </c>
      <c r="C9" s="312" t="str">
        <f t="shared" si="1"/>
        <v>N_Diff</v>
      </c>
      <c r="D9" s="298" t="s">
        <v>781</v>
      </c>
      <c r="E9" s="312" t="s">
        <v>1602</v>
      </c>
      <c r="F9" s="303" t="s">
        <v>1602</v>
      </c>
      <c r="G9" s="312" t="s">
        <v>1602</v>
      </c>
      <c r="H9" s="2187" t="s">
        <v>1602</v>
      </c>
      <c r="I9" s="300"/>
      <c r="J9" s="321"/>
      <c r="K9" s="321"/>
      <c r="L9" s="321"/>
    </row>
    <row r="10" spans="2:12" x14ac:dyDescent="0.2">
      <c r="B10" s="359" t="str">
        <f t="shared" si="0"/>
        <v>Stade de l'épreuve</v>
      </c>
      <c r="C10" s="312" t="str">
        <f t="shared" si="1"/>
        <v>N_Catégorie</v>
      </c>
      <c r="D10" s="303" t="s">
        <v>901</v>
      </c>
      <c r="E10" s="312" t="s">
        <v>1589</v>
      </c>
      <c r="F10" s="303" t="s">
        <v>1589</v>
      </c>
      <c r="G10" s="312" t="s">
        <v>12266</v>
      </c>
      <c r="H10" s="2187" t="s">
        <v>12371</v>
      </c>
      <c r="I10" s="300"/>
      <c r="J10" s="321"/>
      <c r="K10" s="321"/>
      <c r="L10" s="321"/>
    </row>
    <row r="11" spans="2:12" x14ac:dyDescent="0.2">
      <c r="B11" s="359" t="str">
        <f t="shared" si="0"/>
        <v>Nom équipe</v>
      </c>
      <c r="C11" s="312" t="str">
        <f t="shared" si="1"/>
        <v>N_Nom_équipe</v>
      </c>
      <c r="D11" s="298" t="s">
        <v>891</v>
      </c>
      <c r="E11" s="312" t="s">
        <v>1539</v>
      </c>
      <c r="F11" s="303" t="s">
        <v>8902</v>
      </c>
      <c r="G11" s="312" t="s">
        <v>11578</v>
      </c>
      <c r="H11" s="2187" t="s">
        <v>12271</v>
      </c>
      <c r="I11" s="300"/>
      <c r="J11" s="321"/>
      <c r="K11" s="321"/>
      <c r="L11" s="321"/>
    </row>
    <row r="12" spans="2:12" x14ac:dyDescent="0.2">
      <c r="B12" s="359" t="str">
        <f t="shared" si="0"/>
        <v>Nom double</v>
      </c>
      <c r="C12" s="312" t="str">
        <f t="shared" si="1"/>
        <v>N_Nom_double</v>
      </c>
      <c r="D12" s="298" t="s">
        <v>890</v>
      </c>
      <c r="E12" s="312" t="s">
        <v>1540</v>
      </c>
      <c r="F12" s="303" t="s">
        <v>8903</v>
      </c>
      <c r="G12" s="312" t="s">
        <v>11579</v>
      </c>
      <c r="H12" s="2187" t="s">
        <v>11851</v>
      </c>
      <c r="I12" s="300"/>
      <c r="J12" s="321"/>
      <c r="K12" s="321"/>
      <c r="L12" s="321"/>
    </row>
    <row r="13" spans="2:12" x14ac:dyDescent="0.2">
      <c r="B13" s="359" t="str">
        <f t="shared" si="0"/>
        <v>Membres</v>
      </c>
      <c r="C13" s="312" t="str">
        <f t="shared" si="1"/>
        <v>N_Membres</v>
      </c>
      <c r="D13" s="298" t="s">
        <v>783</v>
      </c>
      <c r="E13" s="312" t="s">
        <v>1541</v>
      </c>
      <c r="F13" s="303" t="s">
        <v>8904</v>
      </c>
      <c r="G13" s="312" t="s">
        <v>11580</v>
      </c>
      <c r="H13" s="2187" t="s">
        <v>12272</v>
      </c>
      <c r="I13" s="300"/>
      <c r="J13" s="321"/>
      <c r="K13" s="321"/>
      <c r="L13" s="321"/>
    </row>
    <row r="14" spans="2:12" x14ac:dyDescent="0.2">
      <c r="B14" s="359" t="str">
        <f t="shared" si="0"/>
        <v>N° de table</v>
      </c>
      <c r="C14" s="312" t="str">
        <f t="shared" si="1"/>
        <v>N_N__de_table</v>
      </c>
      <c r="D14" s="298" t="s">
        <v>784</v>
      </c>
      <c r="E14" s="312" t="s">
        <v>1542</v>
      </c>
      <c r="F14" s="303" t="s">
        <v>8905</v>
      </c>
      <c r="G14" s="312" t="s">
        <v>11581</v>
      </c>
      <c r="H14" s="2187" t="s">
        <v>12273</v>
      </c>
      <c r="I14" s="300"/>
      <c r="J14" s="321"/>
      <c r="K14" s="321"/>
      <c r="L14" s="321"/>
    </row>
    <row r="15" spans="2:12" x14ac:dyDescent="0.2">
      <c r="B15" s="359" t="str">
        <f t="shared" si="0"/>
        <v>Tirage</v>
      </c>
      <c r="C15" s="312" t="str">
        <f t="shared" si="1"/>
        <v>N_Tirage</v>
      </c>
      <c r="D15" s="298" t="s">
        <v>785</v>
      </c>
      <c r="E15" s="312" t="s">
        <v>1601</v>
      </c>
      <c r="F15" s="303" t="s">
        <v>8906</v>
      </c>
      <c r="G15" s="312" t="s">
        <v>11582</v>
      </c>
      <c r="H15" s="2187" t="s">
        <v>12274</v>
      </c>
      <c r="I15" s="300"/>
      <c r="J15" s="321"/>
      <c r="K15" s="321"/>
      <c r="L15" s="321"/>
    </row>
    <row r="16" spans="2:12" x14ac:dyDescent="0.2">
      <c r="B16" s="359" t="str">
        <f t="shared" si="0"/>
        <v>Joueurs</v>
      </c>
      <c r="C16" s="312" t="str">
        <f t="shared" si="1"/>
        <v>N_Joueurs</v>
      </c>
      <c r="D16" s="298" t="s">
        <v>786</v>
      </c>
      <c r="E16" s="312" t="s">
        <v>1543</v>
      </c>
      <c r="F16" s="303" t="s">
        <v>8907</v>
      </c>
      <c r="G16" s="312" t="s">
        <v>11583</v>
      </c>
      <c r="H16" s="2187" t="s">
        <v>12275</v>
      </c>
      <c r="I16" s="300"/>
      <c r="J16" s="321"/>
      <c r="K16" s="321"/>
      <c r="L16" s="321"/>
    </row>
    <row r="17" spans="2:12" x14ac:dyDescent="0.2">
      <c r="B17" s="359" t="str">
        <f t="shared" si="0"/>
        <v>Cla.</v>
      </c>
      <c r="C17" s="312" t="str">
        <f t="shared" si="1"/>
        <v>N_Cla.</v>
      </c>
      <c r="D17" s="298" t="s">
        <v>787</v>
      </c>
      <c r="E17" s="312" t="s">
        <v>444</v>
      </c>
      <c r="F17" s="303" t="s">
        <v>444</v>
      </c>
      <c r="G17" s="312" t="s">
        <v>444</v>
      </c>
      <c r="H17" s="2187" t="s">
        <v>444</v>
      </c>
      <c r="I17" s="300"/>
      <c r="J17" s="321"/>
      <c r="K17" s="321"/>
      <c r="L17" s="321"/>
    </row>
    <row r="18" spans="2:12" x14ac:dyDescent="0.2">
      <c r="B18" s="359" t="str">
        <f t="shared" si="0"/>
        <v>Pts</v>
      </c>
      <c r="C18" s="312" t="str">
        <f t="shared" si="1"/>
        <v>N_Pts</v>
      </c>
      <c r="D18" s="298" t="s">
        <v>788</v>
      </c>
      <c r="E18" s="312" t="s">
        <v>788</v>
      </c>
      <c r="F18" s="303" t="s">
        <v>8908</v>
      </c>
      <c r="G18" s="312" t="s">
        <v>788</v>
      </c>
      <c r="H18" s="2187" t="s">
        <v>788</v>
      </c>
      <c r="I18" s="300" t="s">
        <v>764</v>
      </c>
      <c r="J18" s="321"/>
      <c r="K18" s="321"/>
      <c r="L18" s="321"/>
    </row>
    <row r="19" spans="2:12" x14ac:dyDescent="0.2">
      <c r="B19" s="359" t="str">
        <f t="shared" si="0"/>
        <v>J</v>
      </c>
      <c r="C19" s="312" t="str">
        <f t="shared" si="1"/>
        <v>N_J</v>
      </c>
      <c r="D19" s="298" t="s">
        <v>789</v>
      </c>
      <c r="E19" s="312" t="s">
        <v>2709</v>
      </c>
      <c r="F19" s="303" t="s">
        <v>12954</v>
      </c>
      <c r="G19" s="312" t="s">
        <v>789</v>
      </c>
      <c r="H19" s="2187" t="s">
        <v>789</v>
      </c>
      <c r="I19" s="300" t="s">
        <v>12969</v>
      </c>
      <c r="J19" s="321"/>
      <c r="K19" s="321"/>
      <c r="L19" s="321"/>
    </row>
    <row r="20" spans="2:12" x14ac:dyDescent="0.2">
      <c r="B20" s="359" t="str">
        <f t="shared" si="0"/>
        <v>G</v>
      </c>
      <c r="C20" s="312" t="str">
        <f t="shared" si="1"/>
        <v>N_G</v>
      </c>
      <c r="D20" s="298" t="s">
        <v>790</v>
      </c>
      <c r="E20" s="312" t="s">
        <v>1544</v>
      </c>
      <c r="F20" s="303" t="s">
        <v>12955</v>
      </c>
      <c r="G20" s="312" t="s">
        <v>12955</v>
      </c>
      <c r="H20" s="2187" t="s">
        <v>12955</v>
      </c>
      <c r="I20" s="300" t="s">
        <v>12970</v>
      </c>
      <c r="J20" s="321"/>
      <c r="K20" s="321"/>
      <c r="L20" s="321"/>
    </row>
    <row r="21" spans="2:12" x14ac:dyDescent="0.2">
      <c r="B21" s="359" t="str">
        <f t="shared" si="0"/>
        <v>N</v>
      </c>
      <c r="C21" s="312" t="str">
        <f t="shared" si="1"/>
        <v>N_N</v>
      </c>
      <c r="D21" s="298" t="s">
        <v>791</v>
      </c>
      <c r="E21" s="312" t="s">
        <v>2710</v>
      </c>
      <c r="F21" s="303" t="s">
        <v>792</v>
      </c>
      <c r="G21" s="312" t="s">
        <v>3913</v>
      </c>
      <c r="H21" s="2187" t="s">
        <v>3913</v>
      </c>
      <c r="I21" s="300" t="s">
        <v>1601</v>
      </c>
      <c r="J21" s="321"/>
      <c r="K21" s="321"/>
      <c r="L21" s="321"/>
    </row>
    <row r="22" spans="2:12" x14ac:dyDescent="0.2">
      <c r="B22" s="359" t="str">
        <f t="shared" si="0"/>
        <v>P</v>
      </c>
      <c r="C22" s="312" t="str">
        <f t="shared" si="1"/>
        <v>N_P</v>
      </c>
      <c r="D22" s="298" t="s">
        <v>792</v>
      </c>
      <c r="E22" s="312" t="s">
        <v>1545</v>
      </c>
      <c r="F22" s="303" t="s">
        <v>3921</v>
      </c>
      <c r="G22" s="312" t="s">
        <v>792</v>
      </c>
      <c r="H22" s="2187" t="s">
        <v>792</v>
      </c>
      <c r="I22" s="300" t="s">
        <v>12971</v>
      </c>
      <c r="J22" s="321"/>
      <c r="K22" s="321"/>
      <c r="L22" s="321"/>
    </row>
    <row r="23" spans="2:12" x14ac:dyDescent="0.2">
      <c r="B23" s="359" t="str">
        <f t="shared" si="0"/>
        <v>BP</v>
      </c>
      <c r="C23" s="312" t="str">
        <f t="shared" si="1"/>
        <v>N_BP</v>
      </c>
      <c r="D23" s="298" t="s">
        <v>793</v>
      </c>
      <c r="E23" s="312" t="s">
        <v>2711</v>
      </c>
      <c r="F23" s="303" t="s">
        <v>8911</v>
      </c>
      <c r="G23" s="312" t="s">
        <v>12956</v>
      </c>
      <c r="H23" s="2187" t="s">
        <v>12956</v>
      </c>
      <c r="I23" s="300" t="s">
        <v>12972</v>
      </c>
      <c r="J23" s="321"/>
      <c r="K23" s="321"/>
      <c r="L23" s="321"/>
    </row>
    <row r="24" spans="2:12" x14ac:dyDescent="0.2">
      <c r="B24" s="359" t="str">
        <f t="shared" si="0"/>
        <v>BC</v>
      </c>
      <c r="C24" s="312" t="str">
        <f t="shared" si="1"/>
        <v>N_BC</v>
      </c>
      <c r="D24" s="298" t="s">
        <v>794</v>
      </c>
      <c r="E24" s="312" t="s">
        <v>2712</v>
      </c>
      <c r="F24" s="303" t="s">
        <v>8912</v>
      </c>
      <c r="G24" s="312" t="s">
        <v>12957</v>
      </c>
      <c r="H24" s="2187" t="s">
        <v>12957</v>
      </c>
      <c r="I24" s="300" t="s">
        <v>12973</v>
      </c>
      <c r="J24" s="321"/>
      <c r="K24" s="321"/>
      <c r="L24" s="321"/>
    </row>
    <row r="25" spans="2:12" x14ac:dyDescent="0.2">
      <c r="B25" s="359" t="str">
        <f t="shared" si="0"/>
        <v>Diff.</v>
      </c>
      <c r="C25" s="312" t="str">
        <f t="shared" si="1"/>
        <v>N_Diff.</v>
      </c>
      <c r="D25" s="298" t="s">
        <v>795</v>
      </c>
      <c r="E25" s="312" t="s">
        <v>7768</v>
      </c>
      <c r="F25" s="303" t="s">
        <v>795</v>
      </c>
      <c r="G25" s="312" t="s">
        <v>795</v>
      </c>
      <c r="H25" s="2187" t="s">
        <v>795</v>
      </c>
      <c r="I25" s="300" t="s">
        <v>12974</v>
      </c>
      <c r="J25" s="321"/>
      <c r="K25" s="321"/>
      <c r="L25" s="321"/>
    </row>
    <row r="26" spans="2:12" x14ac:dyDescent="0.2">
      <c r="B26" s="359" t="str">
        <f t="shared" si="0"/>
        <v>Matches</v>
      </c>
      <c r="C26" s="312" t="str">
        <f t="shared" si="1"/>
        <v>N_Matches</v>
      </c>
      <c r="D26" s="298" t="s">
        <v>796</v>
      </c>
      <c r="E26" s="312" t="s">
        <v>796</v>
      </c>
      <c r="F26" s="303" t="s">
        <v>796</v>
      </c>
      <c r="G26" s="312" t="s">
        <v>11586</v>
      </c>
      <c r="H26" s="2187" t="s">
        <v>12278</v>
      </c>
      <c r="I26" s="300"/>
      <c r="J26" s="321"/>
      <c r="K26" s="321"/>
      <c r="L26" s="321"/>
    </row>
    <row r="27" spans="2:12" x14ac:dyDescent="0.2">
      <c r="B27" s="359" t="str">
        <f t="shared" si="0"/>
        <v>Equipes</v>
      </c>
      <c r="C27" s="312" t="str">
        <f t="shared" si="1"/>
        <v>N_Equipes</v>
      </c>
      <c r="D27" s="298" t="s">
        <v>797</v>
      </c>
      <c r="E27" s="312" t="s">
        <v>1546</v>
      </c>
      <c r="F27" s="303" t="s">
        <v>8913</v>
      </c>
      <c r="G27" s="312" t="s">
        <v>11587</v>
      </c>
      <c r="H27" s="2187" t="s">
        <v>12279</v>
      </c>
      <c r="I27" s="300"/>
      <c r="J27" s="321"/>
      <c r="K27" s="321"/>
      <c r="L27" s="321"/>
    </row>
    <row r="28" spans="2:12" x14ac:dyDescent="0.2">
      <c r="B28" s="359" t="str">
        <f t="shared" si="0"/>
        <v>RJ</v>
      </c>
      <c r="C28" s="312" t="str">
        <f t="shared" si="1"/>
        <v>N_RJ</v>
      </c>
      <c r="D28" s="298" t="s">
        <v>798</v>
      </c>
      <c r="E28" s="312" t="s">
        <v>2714</v>
      </c>
      <c r="F28" s="303" t="s">
        <v>1715</v>
      </c>
      <c r="G28" s="312" t="s">
        <v>12960</v>
      </c>
      <c r="H28" s="2187" t="s">
        <v>12960</v>
      </c>
      <c r="I28" s="300" t="s">
        <v>12975</v>
      </c>
      <c r="J28" s="321"/>
      <c r="K28" s="321"/>
      <c r="L28" s="321"/>
    </row>
    <row r="29" spans="2:12" x14ac:dyDescent="0.2">
      <c r="B29" s="359" t="str">
        <f t="shared" si="0"/>
        <v>RG</v>
      </c>
      <c r="C29" s="312" t="str">
        <f t="shared" si="1"/>
        <v>N_RG</v>
      </c>
      <c r="D29" s="298" t="s">
        <v>799</v>
      </c>
      <c r="E29" s="312" t="s">
        <v>1600</v>
      </c>
      <c r="F29" s="303" t="s">
        <v>12958</v>
      </c>
      <c r="G29" s="312" t="s">
        <v>12954</v>
      </c>
      <c r="H29" s="2187" t="s">
        <v>12954</v>
      </c>
      <c r="I29" s="300" t="s">
        <v>12976</v>
      </c>
      <c r="J29" s="321"/>
      <c r="K29" s="321"/>
      <c r="L29" s="321"/>
    </row>
    <row r="30" spans="2:12" x14ac:dyDescent="0.2">
      <c r="B30" s="359" t="str">
        <f t="shared" si="0"/>
        <v>RN</v>
      </c>
      <c r="C30" s="312" t="str">
        <f t="shared" si="1"/>
        <v>N_RN</v>
      </c>
      <c r="D30" s="298" t="s">
        <v>800</v>
      </c>
      <c r="E30" s="312" t="s">
        <v>1599</v>
      </c>
      <c r="F30" s="303" t="s">
        <v>12959</v>
      </c>
      <c r="G30" s="312" t="s">
        <v>1602</v>
      </c>
      <c r="H30" s="2187" t="s">
        <v>12962</v>
      </c>
      <c r="I30" s="300" t="s">
        <v>12977</v>
      </c>
      <c r="J30" s="321"/>
      <c r="K30" s="321"/>
      <c r="L30" s="321"/>
    </row>
    <row r="31" spans="2:12" x14ac:dyDescent="0.2">
      <c r="B31" s="359" t="str">
        <f t="shared" si="0"/>
        <v>RP</v>
      </c>
      <c r="C31" s="312" t="str">
        <f t="shared" si="1"/>
        <v>N_RP</v>
      </c>
      <c r="D31" s="298" t="s">
        <v>801</v>
      </c>
      <c r="E31" s="312" t="s">
        <v>1598</v>
      </c>
      <c r="F31" s="303" t="s">
        <v>8914</v>
      </c>
      <c r="G31" s="312" t="s">
        <v>12961</v>
      </c>
      <c r="H31" s="2187" t="s">
        <v>12961</v>
      </c>
      <c r="I31" s="300" t="s">
        <v>12978</v>
      </c>
      <c r="J31" s="321"/>
      <c r="K31" s="321"/>
      <c r="L31" s="321"/>
    </row>
    <row r="32" spans="2:12" x14ac:dyDescent="0.2">
      <c r="B32" s="359" t="str">
        <f t="shared" si="0"/>
        <v>Diff R</v>
      </c>
      <c r="C32" s="312" t="str">
        <f t="shared" si="1"/>
        <v>N_Diff_R</v>
      </c>
      <c r="D32" s="298" t="s">
        <v>802</v>
      </c>
      <c r="E32" s="312" t="s">
        <v>2715</v>
      </c>
      <c r="F32" s="303" t="s">
        <v>12964</v>
      </c>
      <c r="G32" s="312" t="s">
        <v>12963</v>
      </c>
      <c r="H32" s="2187" t="s">
        <v>12963</v>
      </c>
      <c r="I32" s="300" t="s">
        <v>12979</v>
      </c>
      <c r="J32" s="321"/>
      <c r="K32" s="321"/>
      <c r="L32" s="321"/>
    </row>
    <row r="33" spans="2:12" x14ac:dyDescent="0.2">
      <c r="B33" s="359" t="str">
        <f t="shared" si="0"/>
        <v>MP</v>
      </c>
      <c r="C33" s="312" t="str">
        <f t="shared" si="1"/>
        <v>N_MP</v>
      </c>
      <c r="D33" s="298" t="s">
        <v>803</v>
      </c>
      <c r="E33" s="312" t="s">
        <v>1596</v>
      </c>
      <c r="F33" s="303" t="s">
        <v>12965</v>
      </c>
      <c r="G33" s="312" t="s">
        <v>12958</v>
      </c>
      <c r="H33" s="2187" t="s">
        <v>1715</v>
      </c>
      <c r="I33" s="300" t="s">
        <v>12980</v>
      </c>
      <c r="J33" s="321"/>
      <c r="K33" s="321"/>
      <c r="L33" s="321"/>
    </row>
    <row r="34" spans="2:12" x14ac:dyDescent="0.2">
      <c r="B34" s="359" t="str">
        <f t="shared" si="0"/>
        <v>MC</v>
      </c>
      <c r="C34" s="312" t="str">
        <f t="shared" si="1"/>
        <v>N_MC</v>
      </c>
      <c r="D34" s="298" t="s">
        <v>804</v>
      </c>
      <c r="E34" s="312" t="s">
        <v>1597</v>
      </c>
      <c r="F34" s="303" t="s">
        <v>12966</v>
      </c>
      <c r="G34" s="312" t="s">
        <v>12959</v>
      </c>
      <c r="H34" s="2187" t="s">
        <v>1719</v>
      </c>
      <c r="I34" s="300" t="s">
        <v>12981</v>
      </c>
      <c r="J34" s="321"/>
      <c r="K34" s="321"/>
      <c r="L34" s="321"/>
    </row>
    <row r="35" spans="2:12" x14ac:dyDescent="0.2">
      <c r="B35" s="359" t="str">
        <f t="shared" si="0"/>
        <v>Diff M</v>
      </c>
      <c r="C35" s="312" t="str">
        <f t="shared" si="1"/>
        <v>N_Diff_M</v>
      </c>
      <c r="D35" s="298" t="s">
        <v>805</v>
      </c>
      <c r="E35" s="312" t="s">
        <v>2716</v>
      </c>
      <c r="F35" s="303" t="s">
        <v>12967</v>
      </c>
      <c r="G35" s="312" t="s">
        <v>12967</v>
      </c>
      <c r="H35" s="2187" t="s">
        <v>12967</v>
      </c>
      <c r="I35" s="300" t="s">
        <v>12982</v>
      </c>
      <c r="J35" s="321"/>
      <c r="K35" s="321"/>
      <c r="L35" s="321"/>
    </row>
    <row r="36" spans="2:12" x14ac:dyDescent="0.2">
      <c r="B36" s="359" t="str">
        <f t="shared" si="0"/>
        <v>Diff B</v>
      </c>
      <c r="C36" s="312" t="str">
        <f t="shared" si="1"/>
        <v>N_Diff_B</v>
      </c>
      <c r="D36" s="298" t="s">
        <v>806</v>
      </c>
      <c r="E36" s="312" t="s">
        <v>2713</v>
      </c>
      <c r="F36" s="303" t="s">
        <v>12968</v>
      </c>
      <c r="G36" s="312" t="s">
        <v>12968</v>
      </c>
      <c r="H36" s="2187" t="s">
        <v>12968</v>
      </c>
      <c r="I36" s="300" t="s">
        <v>12983</v>
      </c>
      <c r="J36" s="321"/>
      <c r="K36" s="321"/>
      <c r="L36" s="321"/>
    </row>
    <row r="37" spans="2:12" x14ac:dyDescent="0.2">
      <c r="B37" s="359" t="str">
        <f t="shared" si="0"/>
        <v>Scores</v>
      </c>
      <c r="C37" s="312" t="str">
        <f t="shared" si="1"/>
        <v>N_Scores</v>
      </c>
      <c r="D37" s="298" t="s">
        <v>807</v>
      </c>
      <c r="E37" s="312" t="s">
        <v>807</v>
      </c>
      <c r="F37" s="303" t="s">
        <v>807</v>
      </c>
      <c r="G37" s="312" t="s">
        <v>11588</v>
      </c>
      <c r="H37" s="2187" t="s">
        <v>12280</v>
      </c>
      <c r="I37" s="300"/>
      <c r="J37" s="321"/>
      <c r="K37" s="321"/>
      <c r="L37" s="321"/>
    </row>
    <row r="38" spans="2:12" x14ac:dyDescent="0.2">
      <c r="B38" s="359" t="str">
        <f t="shared" si="0"/>
        <v>Total des buts</v>
      </c>
      <c r="C38" s="312" t="str">
        <f t="shared" si="1"/>
        <v>N_Total_buts</v>
      </c>
      <c r="D38" s="298" t="s">
        <v>808</v>
      </c>
      <c r="E38" s="312" t="s">
        <v>1549</v>
      </c>
      <c r="F38" s="303" t="s">
        <v>8915</v>
      </c>
      <c r="G38" s="312" t="s">
        <v>11589</v>
      </c>
      <c r="H38" s="2187" t="s">
        <v>12281</v>
      </c>
      <c r="I38" s="300"/>
      <c r="J38" s="321"/>
      <c r="K38" s="321"/>
      <c r="L38" s="321"/>
    </row>
    <row r="39" spans="2:12" x14ac:dyDescent="0.2">
      <c r="B39" s="359" t="str">
        <f t="shared" si="0"/>
        <v>Différentiel</v>
      </c>
      <c r="C39" s="312" t="str">
        <f t="shared" si="1"/>
        <v>N_Différentiel</v>
      </c>
      <c r="D39" s="298" t="s">
        <v>778</v>
      </c>
      <c r="E39" s="312" t="s">
        <v>7845</v>
      </c>
      <c r="F39" s="303" t="s">
        <v>8917</v>
      </c>
      <c r="G39" s="312" t="s">
        <v>11590</v>
      </c>
      <c r="H39" s="2187" t="s">
        <v>12282</v>
      </c>
      <c r="I39" s="300"/>
      <c r="J39" s="321"/>
      <c r="K39" s="321"/>
      <c r="L39" s="321"/>
    </row>
    <row r="40" spans="2:12" x14ac:dyDescent="0.2">
      <c r="B40" s="359" t="str">
        <f t="shared" si="0"/>
        <v>VAINQUEUR</v>
      </c>
      <c r="C40" s="312" t="str">
        <f t="shared" si="1"/>
        <v>N_VAINQUEUR</v>
      </c>
      <c r="D40" s="298" t="s">
        <v>810</v>
      </c>
      <c r="E40" s="312" t="s">
        <v>1547</v>
      </c>
      <c r="F40" s="303" t="s">
        <v>8916</v>
      </c>
      <c r="G40" s="312" t="s">
        <v>11591</v>
      </c>
      <c r="H40" s="2187" t="s">
        <v>12283</v>
      </c>
      <c r="I40" s="300"/>
      <c r="J40" s="321"/>
      <c r="K40" s="321"/>
      <c r="L40" s="321"/>
    </row>
    <row r="41" spans="2:12" x14ac:dyDescent="0.2">
      <c r="B41" s="359" t="str">
        <f t="shared" si="0"/>
        <v>Qualifiés</v>
      </c>
      <c r="C41" s="312" t="str">
        <f t="shared" si="1"/>
        <v>N_Qualifiés</v>
      </c>
      <c r="D41" s="298" t="s">
        <v>811</v>
      </c>
      <c r="E41" s="312" t="s">
        <v>1548</v>
      </c>
      <c r="F41" s="303" t="s">
        <v>8918</v>
      </c>
      <c r="G41" s="312" t="s">
        <v>11592</v>
      </c>
      <c r="H41" s="2187" t="s">
        <v>12284</v>
      </c>
      <c r="I41" s="300"/>
      <c r="J41" s="321"/>
      <c r="K41" s="321"/>
      <c r="L41" s="321"/>
    </row>
    <row r="42" spans="2:12" x14ac:dyDescent="0.2">
      <c r="B42" s="359" t="str">
        <f t="shared" si="0"/>
        <v>Disqualifiés</v>
      </c>
      <c r="C42" s="312" t="str">
        <f t="shared" ref="C42" si="2">NAMEOF(B42)</f>
        <v>N_Disqualified</v>
      </c>
      <c r="D42" s="298" t="s">
        <v>10932</v>
      </c>
      <c r="E42" s="312" t="s">
        <v>10933</v>
      </c>
      <c r="F42" s="303" t="s">
        <v>10934</v>
      </c>
      <c r="G42" s="312" t="s">
        <v>11590</v>
      </c>
      <c r="H42" s="2187" t="s">
        <v>12282</v>
      </c>
      <c r="I42" s="300"/>
      <c r="J42" s="321"/>
      <c r="K42" s="321"/>
      <c r="L42" s="321"/>
    </row>
    <row r="43" spans="2:12" x14ac:dyDescent="0.2">
      <c r="B43" s="359" t="str">
        <f t="shared" si="0"/>
        <v>Finaliste</v>
      </c>
      <c r="C43" s="312" t="str">
        <f t="shared" ref="C43" si="3">NAMEOF(B43)</f>
        <v>N_Finalist</v>
      </c>
      <c r="D43" s="298" t="s">
        <v>10935</v>
      </c>
      <c r="E43" s="312" t="s">
        <v>9727</v>
      </c>
      <c r="F43" s="303" t="s">
        <v>10936</v>
      </c>
      <c r="G43" s="312" t="s">
        <v>10936</v>
      </c>
      <c r="H43" s="2187" t="s">
        <v>10936</v>
      </c>
      <c r="I43" s="300"/>
      <c r="J43" s="321"/>
      <c r="K43" s="321"/>
      <c r="L43" s="321"/>
    </row>
    <row r="44" spans="2:12" x14ac:dyDescent="0.2">
      <c r="B44" s="359" t="str">
        <f t="shared" si="0"/>
        <v>Troisième</v>
      </c>
      <c r="C44" s="312" t="str">
        <f t="shared" ref="C44" si="4">NAMEOF(B44)</f>
        <v>N_ThirdWinner</v>
      </c>
      <c r="D44" s="298" t="s">
        <v>10941</v>
      </c>
      <c r="E44" s="312" t="s">
        <v>10938</v>
      </c>
      <c r="F44" s="303" t="s">
        <v>10939</v>
      </c>
      <c r="G44" s="312" t="s">
        <v>11593</v>
      </c>
      <c r="H44" s="2187" t="s">
        <v>12285</v>
      </c>
      <c r="I44" s="300"/>
      <c r="J44" s="321"/>
      <c r="K44" s="321"/>
      <c r="L44" s="321"/>
    </row>
    <row r="45" spans="2:12" x14ac:dyDescent="0.2">
      <c r="B45" s="359" t="str">
        <f t="shared" si="0"/>
        <v>Quatrième</v>
      </c>
      <c r="C45" s="312" t="str">
        <f t="shared" ref="C45" si="5">NAMEOF(B45)</f>
        <v>N_ThirdLoser</v>
      </c>
      <c r="D45" s="298" t="s">
        <v>10942</v>
      </c>
      <c r="E45" s="312" t="s">
        <v>10937</v>
      </c>
      <c r="F45" s="303" t="s">
        <v>10940</v>
      </c>
      <c r="G45" s="312" t="s">
        <v>11594</v>
      </c>
      <c r="H45" s="2187" t="s">
        <v>12286</v>
      </c>
      <c r="I45" s="300"/>
      <c r="J45" s="321"/>
      <c r="K45" s="321"/>
      <c r="L45" s="321"/>
    </row>
    <row r="46" spans="2:12" x14ac:dyDescent="0.2">
      <c r="B46" s="359" t="str">
        <f t="shared" si="0"/>
        <v>Poule</v>
      </c>
      <c r="C46" s="312" t="str">
        <f t="shared" si="1"/>
        <v>N_Poule</v>
      </c>
      <c r="D46" s="298" t="s">
        <v>812</v>
      </c>
      <c r="E46" s="312" t="s">
        <v>1554</v>
      </c>
      <c r="F46" s="303" t="s">
        <v>8919</v>
      </c>
      <c r="G46" s="312" t="s">
        <v>11595</v>
      </c>
      <c r="H46" s="2187" t="s">
        <v>12287</v>
      </c>
      <c r="I46" s="300"/>
      <c r="J46" s="321"/>
      <c r="K46" s="321"/>
      <c r="L46" s="321"/>
    </row>
    <row r="47" spans="2:12" x14ac:dyDescent="0.2">
      <c r="B47" s="359" t="str">
        <f t="shared" si="0"/>
        <v>2èmes de Poule</v>
      </c>
      <c r="C47" s="312" t="str">
        <f t="shared" si="1"/>
        <v>N__2èmes_de_Poule</v>
      </c>
      <c r="D47" s="298" t="s">
        <v>813</v>
      </c>
      <c r="E47" s="312" t="s">
        <v>1555</v>
      </c>
      <c r="F47" s="303" t="s">
        <v>8920</v>
      </c>
      <c r="G47" s="312" t="s">
        <v>11596</v>
      </c>
      <c r="H47" s="2187" t="s">
        <v>12288</v>
      </c>
      <c r="I47" s="300"/>
      <c r="J47" s="321"/>
      <c r="K47" s="321"/>
      <c r="L47" s="321"/>
    </row>
    <row r="48" spans="2:12" ht="25.5" x14ac:dyDescent="0.2">
      <c r="B48" s="359" t="str">
        <f t="shared" si="0"/>
        <v>Class. 2èmes de Poule</v>
      </c>
      <c r="C48" s="312" t="str">
        <f t="shared" si="1"/>
        <v>N_Class._2èmes_de_Poule</v>
      </c>
      <c r="D48" s="298" t="s">
        <v>814</v>
      </c>
      <c r="E48" s="312" t="s">
        <v>1556</v>
      </c>
      <c r="F48" s="303" t="s">
        <v>8921</v>
      </c>
      <c r="G48" s="312" t="s">
        <v>11597</v>
      </c>
      <c r="H48" s="2187" t="s">
        <v>11597</v>
      </c>
      <c r="I48" s="300"/>
      <c r="J48" s="321"/>
      <c r="K48" s="321"/>
      <c r="L48" s="321"/>
    </row>
    <row r="49" spans="2:12" x14ac:dyDescent="0.2">
      <c r="B49" s="359" t="str">
        <f t="shared" si="0"/>
        <v>3èmes de Poule</v>
      </c>
      <c r="C49" s="312" t="str">
        <f t="shared" si="1"/>
        <v>N__3èmes_de_Poule</v>
      </c>
      <c r="D49" s="298" t="s">
        <v>815</v>
      </c>
      <c r="E49" s="312" t="s">
        <v>1557</v>
      </c>
      <c r="F49" s="303" t="s">
        <v>8922</v>
      </c>
      <c r="G49" s="312" t="s">
        <v>11598</v>
      </c>
      <c r="H49" s="2187" t="s">
        <v>12289</v>
      </c>
      <c r="I49" s="300"/>
      <c r="J49" s="321"/>
      <c r="K49" s="321"/>
      <c r="L49" s="321"/>
    </row>
    <row r="50" spans="2:12" ht="25.5" x14ac:dyDescent="0.2">
      <c r="B50" s="359" t="str">
        <f t="shared" si="0"/>
        <v>Class. 3èmes de Poule</v>
      </c>
      <c r="C50" s="312" t="str">
        <f t="shared" si="1"/>
        <v>N_Class._3èmes_de_Poule</v>
      </c>
      <c r="D50" s="298" t="s">
        <v>816</v>
      </c>
      <c r="E50" s="312" t="s">
        <v>1558</v>
      </c>
      <c r="F50" s="303" t="s">
        <v>8923</v>
      </c>
      <c r="G50" s="312" t="s">
        <v>11599</v>
      </c>
      <c r="H50" s="2187" t="s">
        <v>11599</v>
      </c>
      <c r="I50" s="300"/>
      <c r="J50" s="321"/>
      <c r="K50" s="321"/>
      <c r="L50" s="321"/>
    </row>
    <row r="51" spans="2:12" x14ac:dyDescent="0.2">
      <c r="B51" s="359" t="str">
        <f t="shared" si="0"/>
        <v>FINALE</v>
      </c>
      <c r="C51" s="312" t="str">
        <f t="shared" si="1"/>
        <v>N_FINALE</v>
      </c>
      <c r="D51" s="298" t="s">
        <v>817</v>
      </c>
      <c r="E51" s="312" t="s">
        <v>1603</v>
      </c>
      <c r="F51" s="303" t="s">
        <v>834</v>
      </c>
      <c r="G51" s="312" t="s">
        <v>1699</v>
      </c>
      <c r="H51" s="2187" t="s">
        <v>1699</v>
      </c>
      <c r="I51" s="300"/>
      <c r="J51" s="321"/>
      <c r="K51" s="321"/>
      <c r="L51" s="321"/>
    </row>
    <row r="52" spans="2:12" ht="25.5" x14ac:dyDescent="0.2">
      <c r="B52" s="359" t="str">
        <f t="shared" si="0"/>
        <v>PETITE FINALE</v>
      </c>
      <c r="C52" s="312" t="str">
        <f t="shared" si="1"/>
        <v>N_THIRD</v>
      </c>
      <c r="D52" s="303" t="s">
        <v>7246</v>
      </c>
      <c r="E52" s="312" t="s">
        <v>7247</v>
      </c>
      <c r="F52" s="303" t="s">
        <v>8924</v>
      </c>
      <c r="G52" s="312" t="s">
        <v>11600</v>
      </c>
      <c r="H52" s="2187" t="s">
        <v>12290</v>
      </c>
      <c r="I52" s="300"/>
      <c r="J52" s="321"/>
      <c r="K52" s="321"/>
      <c r="L52" s="321"/>
    </row>
    <row r="53" spans="2:12" x14ac:dyDescent="0.2">
      <c r="B53" s="359" t="str">
        <f t="shared" si="0"/>
        <v>1/2 FINALES</v>
      </c>
      <c r="C53" s="312" t="str">
        <f t="shared" si="1"/>
        <v>N_DEMI_FINALE</v>
      </c>
      <c r="D53" s="298" t="s">
        <v>818</v>
      </c>
      <c r="E53" s="312" t="s">
        <v>1666</v>
      </c>
      <c r="F53" s="303" t="s">
        <v>8925</v>
      </c>
      <c r="G53" s="312" t="s">
        <v>11601</v>
      </c>
      <c r="H53" s="2187" t="s">
        <v>11601</v>
      </c>
      <c r="I53" s="300"/>
      <c r="J53" s="321"/>
      <c r="K53" s="321"/>
      <c r="L53" s="321"/>
    </row>
    <row r="54" spans="2:12" x14ac:dyDescent="0.2">
      <c r="B54" s="359" t="str">
        <f t="shared" si="0"/>
        <v>1/4 DE FINALE</v>
      </c>
      <c r="C54" s="312" t="str">
        <f t="shared" si="1"/>
        <v>N_QUART_DE_FINALE</v>
      </c>
      <c r="D54" s="298" t="s">
        <v>819</v>
      </c>
      <c r="E54" s="312" t="s">
        <v>2717</v>
      </c>
      <c r="F54" s="303" t="s">
        <v>8926</v>
      </c>
      <c r="G54" s="312" t="s">
        <v>12987</v>
      </c>
      <c r="H54" s="2187" t="s">
        <v>12988</v>
      </c>
      <c r="I54" s="300"/>
      <c r="J54" s="321"/>
      <c r="K54" s="321"/>
      <c r="L54" s="321"/>
    </row>
    <row r="55" spans="2:12" x14ac:dyDescent="0.2">
      <c r="B55" s="359" t="str">
        <f t="shared" si="0"/>
        <v>1/8 DE FINALE</v>
      </c>
      <c r="C55" s="312" t="str">
        <f t="shared" si="1"/>
        <v>N__1_8_DE_FINALE</v>
      </c>
      <c r="D55" s="298" t="s">
        <v>820</v>
      </c>
      <c r="E55" s="312" t="s">
        <v>2428</v>
      </c>
      <c r="F55" s="303" t="s">
        <v>8927</v>
      </c>
      <c r="G55" s="312" t="s">
        <v>11602</v>
      </c>
      <c r="H55" s="2187" t="s">
        <v>12294</v>
      </c>
      <c r="I55" s="300"/>
      <c r="J55" s="321"/>
      <c r="K55" s="321"/>
      <c r="L55" s="321"/>
    </row>
    <row r="56" spans="2:12" x14ac:dyDescent="0.2">
      <c r="B56" s="359" t="str">
        <f t="shared" si="0"/>
        <v>1/16 DE FINALE</v>
      </c>
      <c r="C56" s="312" t="str">
        <f t="shared" si="1"/>
        <v>N__1_16_DE_FINALE</v>
      </c>
      <c r="D56" s="298" t="s">
        <v>821</v>
      </c>
      <c r="E56" s="312" t="s">
        <v>2427</v>
      </c>
      <c r="F56" s="303" t="s">
        <v>8928</v>
      </c>
      <c r="G56" s="312" t="s">
        <v>11603</v>
      </c>
      <c r="H56" s="2187" t="s">
        <v>12403</v>
      </c>
      <c r="I56" s="300"/>
      <c r="J56" s="321"/>
      <c r="K56" s="321"/>
      <c r="L56" s="321"/>
    </row>
    <row r="57" spans="2:12" x14ac:dyDescent="0.2">
      <c r="B57" s="359" t="str">
        <f t="shared" si="0"/>
        <v>1/32 DE FINALE</v>
      </c>
      <c r="C57" s="312" t="str">
        <f t="shared" si="1"/>
        <v>N__1_32_DE_FINALE</v>
      </c>
      <c r="D57" s="298" t="s">
        <v>2425</v>
      </c>
      <c r="E57" s="312" t="s">
        <v>2426</v>
      </c>
      <c r="F57" s="303" t="s">
        <v>8929</v>
      </c>
      <c r="G57" s="312" t="s">
        <v>11604</v>
      </c>
      <c r="H57" s="2187" t="s">
        <v>12295</v>
      </c>
      <c r="I57" s="300"/>
      <c r="J57" s="321"/>
      <c r="K57" s="321"/>
      <c r="L57" s="321"/>
    </row>
    <row r="58" spans="2:12" x14ac:dyDescent="0.2">
      <c r="B58" s="359" t="str">
        <f t="shared" si="0"/>
        <v>1/64 DE FINALE</v>
      </c>
      <c r="C58" s="312" t="str">
        <f t="shared" si="1"/>
        <v>N__1_64_DE_FINALE</v>
      </c>
      <c r="D58" s="298" t="s">
        <v>2111</v>
      </c>
      <c r="E58" s="312" t="s">
        <v>2112</v>
      </c>
      <c r="F58" s="303" t="s">
        <v>8930</v>
      </c>
      <c r="G58" s="312" t="s">
        <v>11605</v>
      </c>
      <c r="H58" s="2187" t="s">
        <v>12296</v>
      </c>
      <c r="I58" s="300"/>
      <c r="J58" s="321"/>
      <c r="K58" s="321"/>
      <c r="L58" s="321"/>
    </row>
    <row r="59" spans="2:12" x14ac:dyDescent="0.2">
      <c r="B59" s="359" t="str">
        <f t="shared" si="0"/>
        <v>1/128 DE FINALE</v>
      </c>
      <c r="C59" s="312" t="str">
        <f t="shared" si="1"/>
        <v>N__1_128_DE_FINALE</v>
      </c>
      <c r="D59" s="298" t="s">
        <v>2113</v>
      </c>
      <c r="E59" s="312" t="s">
        <v>2114</v>
      </c>
      <c r="F59" s="303" t="s">
        <v>8931</v>
      </c>
      <c r="G59" s="312" t="s">
        <v>11606</v>
      </c>
      <c r="H59" s="2187" t="s">
        <v>12297</v>
      </c>
      <c r="I59" s="300"/>
      <c r="J59" s="321"/>
      <c r="K59" s="321"/>
      <c r="L59" s="321"/>
    </row>
    <row r="60" spans="2:12" x14ac:dyDescent="0.2">
      <c r="B60" s="359" t="str">
        <f t="shared" si="0"/>
        <v>Poules</v>
      </c>
      <c r="C60" s="312" t="str">
        <f t="shared" si="1"/>
        <v>N_Groups</v>
      </c>
      <c r="D60" s="303" t="s">
        <v>5503</v>
      </c>
      <c r="E60" s="312" t="s">
        <v>5462</v>
      </c>
      <c r="F60" s="303" t="s">
        <v>8919</v>
      </c>
      <c r="G60" s="312" t="s">
        <v>11607</v>
      </c>
      <c r="H60" s="2187" t="s">
        <v>12298</v>
      </c>
      <c r="I60" s="300"/>
      <c r="J60" s="321"/>
      <c r="K60" s="321"/>
      <c r="L60" s="321"/>
    </row>
    <row r="61" spans="2:12" x14ac:dyDescent="0.2">
      <c r="B61" s="359" t="str">
        <f t="shared" si="0"/>
        <v>1er tour</v>
      </c>
      <c r="C61" s="312" t="str">
        <f t="shared" si="1"/>
        <v>N_1st_Round</v>
      </c>
      <c r="D61" s="303" t="s">
        <v>1611</v>
      </c>
      <c r="E61" s="312" t="s">
        <v>1612</v>
      </c>
      <c r="F61" s="303" t="s">
        <v>8932</v>
      </c>
      <c r="G61" s="312" t="s">
        <v>11608</v>
      </c>
      <c r="H61" s="2187" t="s">
        <v>11608</v>
      </c>
      <c r="I61" s="300"/>
      <c r="J61" s="321"/>
      <c r="K61" s="321"/>
      <c r="L61" s="321"/>
    </row>
    <row r="62" spans="2:12" x14ac:dyDescent="0.2">
      <c r="B62" s="359" t="str">
        <f t="shared" si="0"/>
        <v>BARRAGES</v>
      </c>
      <c r="C62" s="312" t="str">
        <f t="shared" si="1"/>
        <v>N_BARRAGES</v>
      </c>
      <c r="D62" s="298" t="s">
        <v>822</v>
      </c>
      <c r="E62" s="312" t="s">
        <v>1604</v>
      </c>
      <c r="F62" s="303" t="s">
        <v>8933</v>
      </c>
      <c r="G62" s="312" t="s">
        <v>8933</v>
      </c>
      <c r="H62" s="2187" t="s">
        <v>8933</v>
      </c>
      <c r="I62" s="300"/>
      <c r="J62" s="321"/>
      <c r="K62" s="321"/>
      <c r="L62" s="321"/>
    </row>
    <row r="63" spans="2:12" x14ac:dyDescent="0.2">
      <c r="B63" s="359" t="str">
        <f t="shared" si="0"/>
        <v>Diff-Part</v>
      </c>
      <c r="C63" s="312" t="str">
        <f t="shared" si="1"/>
        <v>N_Diff_Part</v>
      </c>
      <c r="D63" s="298" t="s">
        <v>823</v>
      </c>
      <c r="E63" s="312" t="s">
        <v>1594</v>
      </c>
      <c r="F63" s="303" t="s">
        <v>8934</v>
      </c>
      <c r="G63" s="312" t="s">
        <v>11609</v>
      </c>
      <c r="H63" s="2187" t="s">
        <v>11609</v>
      </c>
      <c r="I63" s="300"/>
      <c r="J63" s="321"/>
      <c r="K63" s="321"/>
      <c r="L63" s="321"/>
    </row>
    <row r="64" spans="2:12" x14ac:dyDescent="0.2">
      <c r="B64" s="359" t="str">
        <f t="shared" si="0"/>
        <v>Petite FINALE</v>
      </c>
      <c r="C64" s="312" t="str">
        <f t="shared" si="1"/>
        <v>N_Petite_FINALE</v>
      </c>
      <c r="D64" s="299" t="s">
        <v>824</v>
      </c>
      <c r="E64" s="312" t="s">
        <v>1605</v>
      </c>
      <c r="F64" s="303" t="s">
        <v>8935</v>
      </c>
      <c r="G64" s="312" t="s">
        <v>11610</v>
      </c>
      <c r="H64" s="2187" t="s">
        <v>12299</v>
      </c>
      <c r="I64" s="300"/>
      <c r="J64" s="321"/>
      <c r="K64" s="321"/>
      <c r="L64" s="321"/>
    </row>
    <row r="65" spans="2:12" x14ac:dyDescent="0.2">
      <c r="B65" s="359" t="str">
        <f t="shared" si="0"/>
        <v xml:space="preserve">Diff </v>
      </c>
      <c r="C65" s="312" t="str">
        <f t="shared" si="1"/>
        <v>N_res_Diff</v>
      </c>
      <c r="D65" s="299" t="s">
        <v>878</v>
      </c>
      <c r="E65" s="312" t="s">
        <v>781</v>
      </c>
      <c r="F65" s="303" t="s">
        <v>8936</v>
      </c>
      <c r="G65" s="312" t="s">
        <v>11611</v>
      </c>
      <c r="H65" s="2187" t="s">
        <v>11611</v>
      </c>
      <c r="I65" s="300"/>
      <c r="J65" s="321"/>
      <c r="K65" s="321"/>
      <c r="L65" s="321"/>
    </row>
    <row r="66" spans="2:12" x14ac:dyDescent="0.2">
      <c r="B66" s="359" t="str">
        <f t="shared" si="0"/>
        <v xml:space="preserve"> ms</v>
      </c>
      <c r="C66" s="312" t="str">
        <f t="shared" si="1"/>
        <v>N_res_MS</v>
      </c>
      <c r="D66" s="299" t="s">
        <v>879</v>
      </c>
      <c r="E66" s="312" t="s">
        <v>1595</v>
      </c>
      <c r="F66" s="303" t="s">
        <v>3723</v>
      </c>
      <c r="G66" s="312" t="s">
        <v>3723</v>
      </c>
      <c r="H66" s="2187" t="s">
        <v>3723</v>
      </c>
      <c r="I66" s="300"/>
      <c r="J66" s="321"/>
      <c r="K66" s="321"/>
      <c r="L66" s="321"/>
    </row>
    <row r="67" spans="2:12" x14ac:dyDescent="0.2">
      <c r="B67" s="359" t="str">
        <f t="shared" ref="B67:B133" si="6">HLOOKUP(Language,D$2:L$1113,ROW()-1,FALSE)</f>
        <v>Epreuve</v>
      </c>
      <c r="C67" s="312" t="str">
        <f t="shared" si="1"/>
        <v>N_Epreuve</v>
      </c>
      <c r="D67" s="299" t="s">
        <v>899</v>
      </c>
      <c r="E67" s="312" t="s">
        <v>1586</v>
      </c>
      <c r="F67" s="303" t="s">
        <v>8937</v>
      </c>
      <c r="G67" s="312" t="s">
        <v>11612</v>
      </c>
      <c r="H67" s="2187" t="s">
        <v>11612</v>
      </c>
      <c r="I67" s="300"/>
      <c r="J67" s="321"/>
      <c r="K67" s="321"/>
      <c r="L67" s="321"/>
    </row>
    <row r="68" spans="2:12" x14ac:dyDescent="0.2">
      <c r="B68" s="359" t="str">
        <f t="shared" si="6"/>
        <v>Stade</v>
      </c>
      <c r="C68" s="312" t="str">
        <f t="shared" si="1"/>
        <v>N_Stade_Epreuve</v>
      </c>
      <c r="D68" s="299" t="s">
        <v>900</v>
      </c>
      <c r="E68" s="312" t="s">
        <v>1589</v>
      </c>
      <c r="F68" s="303" t="s">
        <v>8938</v>
      </c>
      <c r="G68" s="312" t="s">
        <v>12266</v>
      </c>
      <c r="H68" s="2187" t="s">
        <v>12268</v>
      </c>
      <c r="I68" s="300"/>
      <c r="J68" s="321"/>
      <c r="K68" s="321"/>
      <c r="L68" s="321"/>
    </row>
    <row r="69" spans="2:12" x14ac:dyDescent="0.2">
      <c r="B69" s="359" t="str">
        <f t="shared" si="6"/>
        <v>Type de match</v>
      </c>
      <c r="C69" s="312" t="str">
        <f t="shared" si="1"/>
        <v>N_Type_Match</v>
      </c>
      <c r="D69" s="312" t="s">
        <v>1588</v>
      </c>
      <c r="E69" s="312" t="s">
        <v>1587</v>
      </c>
      <c r="F69" s="303" t="s">
        <v>8939</v>
      </c>
      <c r="G69" s="312" t="s">
        <v>11613</v>
      </c>
      <c r="H69" s="2187" t="s">
        <v>12300</v>
      </c>
      <c r="I69" s="300"/>
      <c r="J69" s="321"/>
      <c r="K69" s="321"/>
      <c r="L69" s="321"/>
    </row>
    <row r="70" spans="2:12" ht="25.5" x14ac:dyDescent="0.2">
      <c r="B70" s="359" t="str">
        <f t="shared" si="6"/>
        <v>NOM / Prénom</v>
      </c>
      <c r="C70" s="312" t="str">
        <f t="shared" ref="C70:C73" si="7">NAMEOF(B70)</f>
        <v>N_Name_1stname</v>
      </c>
      <c r="D70" s="299" t="s">
        <v>886</v>
      </c>
      <c r="E70" s="312" t="s">
        <v>11568</v>
      </c>
      <c r="F70" s="303" t="s">
        <v>8940</v>
      </c>
      <c r="G70" s="312" t="s">
        <v>11614</v>
      </c>
      <c r="H70" s="2187" t="s">
        <v>888</v>
      </c>
      <c r="I70" s="300"/>
      <c r="J70" s="321"/>
      <c r="K70" s="321"/>
      <c r="L70" s="321"/>
    </row>
    <row r="71" spans="2:12" x14ac:dyDescent="0.2">
      <c r="B71" s="359" t="str">
        <f t="shared" si="6"/>
        <v>N° Licence</v>
      </c>
      <c r="C71" s="312" t="str">
        <f t="shared" si="7"/>
        <v>N_Licence</v>
      </c>
      <c r="D71" s="299" t="s">
        <v>1566</v>
      </c>
      <c r="E71" s="312" t="s">
        <v>1567</v>
      </c>
      <c r="F71" s="303" t="s">
        <v>8941</v>
      </c>
      <c r="G71" s="312" t="s">
        <v>11615</v>
      </c>
      <c r="H71" s="2187" t="s">
        <v>12301</v>
      </c>
      <c r="I71" s="300"/>
      <c r="J71" s="321"/>
      <c r="K71" s="321"/>
      <c r="L71" s="321"/>
    </row>
    <row r="72" spans="2:12" x14ac:dyDescent="0.2">
      <c r="B72" s="359" t="str">
        <f t="shared" si="6"/>
        <v>Club</v>
      </c>
      <c r="C72" s="312" t="str">
        <f t="shared" si="7"/>
        <v>N_Club</v>
      </c>
      <c r="D72" s="299" t="s">
        <v>881</v>
      </c>
      <c r="E72" s="312" t="s">
        <v>881</v>
      </c>
      <c r="F72" s="303" t="s">
        <v>881</v>
      </c>
      <c r="G72" s="312" t="s">
        <v>881</v>
      </c>
      <c r="H72" s="2187" t="s">
        <v>881</v>
      </c>
      <c r="I72" s="300"/>
      <c r="J72" s="321"/>
      <c r="K72" s="321"/>
      <c r="L72" s="321"/>
    </row>
    <row r="73" spans="2:12" x14ac:dyDescent="0.2">
      <c r="B73" s="359" t="str">
        <f t="shared" si="6"/>
        <v>Catégorie</v>
      </c>
      <c r="C73" s="312" t="str">
        <f t="shared" si="7"/>
        <v>N_Category</v>
      </c>
      <c r="D73" s="312" t="s">
        <v>782</v>
      </c>
      <c r="E73" s="312" t="s">
        <v>1568</v>
      </c>
      <c r="F73" s="303" t="s">
        <v>8942</v>
      </c>
      <c r="G73" s="312" t="s">
        <v>8942</v>
      </c>
      <c r="H73" s="2187" t="s">
        <v>8942</v>
      </c>
      <c r="I73" s="300"/>
      <c r="J73" s="321"/>
      <c r="K73" s="321"/>
      <c r="L73" s="321"/>
    </row>
    <row r="74" spans="2:12" s="352" customFormat="1" ht="51" x14ac:dyDescent="0.2">
      <c r="B74" s="359" t="str">
        <f t="shared" si="6"/>
        <v>Referee</v>
      </c>
      <c r="C74" s="351" t="s">
        <v>450</v>
      </c>
      <c r="D74" s="351" t="s">
        <v>1536</v>
      </c>
      <c r="E74" s="351" t="s">
        <v>1536</v>
      </c>
      <c r="F74" s="1571" t="s">
        <v>1536</v>
      </c>
      <c r="G74" s="1571" t="s">
        <v>1536</v>
      </c>
      <c r="H74" s="1571" t="s">
        <v>1536</v>
      </c>
      <c r="I74" s="1571" t="s">
        <v>1536</v>
      </c>
      <c r="J74" s="351" t="s">
        <v>1536</v>
      </c>
      <c r="K74" s="351" t="s">
        <v>1536</v>
      </c>
      <c r="L74" s="351" t="s">
        <v>1536</v>
      </c>
    </row>
    <row r="75" spans="2:12" s="352" customFormat="1" ht="51" x14ac:dyDescent="0.2">
      <c r="B75" s="359" t="str">
        <f t="shared" si="6"/>
        <v>Open</v>
      </c>
      <c r="C75" s="351" t="s">
        <v>450</v>
      </c>
      <c r="D75" s="351" t="s">
        <v>889</v>
      </c>
      <c r="E75" s="351" t="s">
        <v>889</v>
      </c>
      <c r="F75" s="1571" t="s">
        <v>889</v>
      </c>
      <c r="G75" s="1571" t="s">
        <v>889</v>
      </c>
      <c r="H75" s="2188" t="s">
        <v>889</v>
      </c>
      <c r="I75" s="2188" t="s">
        <v>889</v>
      </c>
      <c r="J75" s="351" t="s">
        <v>889</v>
      </c>
      <c r="K75" s="351" t="s">
        <v>889</v>
      </c>
      <c r="L75" s="351" t="s">
        <v>889</v>
      </c>
    </row>
    <row r="76" spans="2:12" s="352" customFormat="1" ht="51" x14ac:dyDescent="0.2">
      <c r="B76" s="359" t="str">
        <f t="shared" si="6"/>
        <v>Veterans</v>
      </c>
      <c r="C76" s="351" t="s">
        <v>450</v>
      </c>
      <c r="D76" s="351" t="s">
        <v>9734</v>
      </c>
      <c r="E76" s="351" t="s">
        <v>9734</v>
      </c>
      <c r="F76" s="351" t="s">
        <v>9734</v>
      </c>
      <c r="G76" s="351" t="s">
        <v>9734</v>
      </c>
      <c r="H76" s="351" t="s">
        <v>9734</v>
      </c>
      <c r="I76" s="351" t="s">
        <v>9734</v>
      </c>
      <c r="J76" s="351" t="s">
        <v>9734</v>
      </c>
      <c r="K76" s="351" t="s">
        <v>9734</v>
      </c>
      <c r="L76" s="351" t="s">
        <v>9734</v>
      </c>
    </row>
    <row r="77" spans="2:12" s="352" customFormat="1" ht="51" x14ac:dyDescent="0.2">
      <c r="B77" s="359" t="str">
        <f t="shared" si="6"/>
        <v>U40</v>
      </c>
      <c r="C77" s="351" t="s">
        <v>450</v>
      </c>
      <c r="D77" s="351" t="s">
        <v>1564</v>
      </c>
      <c r="E77" s="351" t="s">
        <v>1564</v>
      </c>
      <c r="F77" s="1571" t="s">
        <v>1564</v>
      </c>
      <c r="G77" s="1571" t="s">
        <v>1564</v>
      </c>
      <c r="H77" s="2188" t="s">
        <v>1564</v>
      </c>
      <c r="I77" s="2188" t="s">
        <v>1564</v>
      </c>
      <c r="J77" s="351" t="s">
        <v>1564</v>
      </c>
      <c r="K77" s="351" t="s">
        <v>1564</v>
      </c>
      <c r="L77" s="351" t="s">
        <v>1564</v>
      </c>
    </row>
    <row r="78" spans="2:12" s="352" customFormat="1" ht="51" x14ac:dyDescent="0.2">
      <c r="B78" s="359" t="str">
        <f t="shared" ref="B78" si="8">HLOOKUP(Language,D$2:L$1113,ROW()-1,FALSE)</f>
        <v>U20</v>
      </c>
      <c r="C78" s="351" t="s">
        <v>450</v>
      </c>
      <c r="D78" s="351" t="s">
        <v>13210</v>
      </c>
      <c r="E78" s="351" t="s">
        <v>13210</v>
      </c>
      <c r="F78" s="351" t="s">
        <v>13210</v>
      </c>
      <c r="G78" s="351" t="s">
        <v>13210</v>
      </c>
      <c r="H78" s="351" t="s">
        <v>13210</v>
      </c>
      <c r="I78" s="351" t="s">
        <v>13210</v>
      </c>
      <c r="J78" s="351" t="s">
        <v>13210</v>
      </c>
      <c r="K78" s="351" t="s">
        <v>13210</v>
      </c>
      <c r="L78" s="351" t="s">
        <v>13210</v>
      </c>
    </row>
    <row r="79" spans="2:12" s="352" customFormat="1" ht="51" x14ac:dyDescent="0.2">
      <c r="B79" s="359" t="str">
        <f t="shared" si="6"/>
        <v>U19</v>
      </c>
      <c r="C79" s="351" t="s">
        <v>450</v>
      </c>
      <c r="D79" s="351" t="s">
        <v>1561</v>
      </c>
      <c r="E79" s="351" t="s">
        <v>1561</v>
      </c>
      <c r="F79" s="1571" t="s">
        <v>1561</v>
      </c>
      <c r="G79" s="1571" t="s">
        <v>1561</v>
      </c>
      <c r="H79" s="2188" t="s">
        <v>1561</v>
      </c>
      <c r="I79" s="2188" t="s">
        <v>1561</v>
      </c>
      <c r="J79" s="351" t="s">
        <v>1561</v>
      </c>
      <c r="K79" s="351" t="s">
        <v>1561</v>
      </c>
      <c r="L79" s="351" t="s">
        <v>1561</v>
      </c>
    </row>
    <row r="80" spans="2:12" s="352" customFormat="1" ht="51" x14ac:dyDescent="0.2">
      <c r="B80" s="359" t="str">
        <f t="shared" ref="B80" si="9">HLOOKUP(Language,D$2:L$1113,ROW()-1,FALSE)</f>
        <v>U16</v>
      </c>
      <c r="C80" s="351" t="s">
        <v>450</v>
      </c>
      <c r="D80" s="351" t="s">
        <v>13211</v>
      </c>
      <c r="E80" s="351" t="s">
        <v>13211</v>
      </c>
      <c r="F80" s="351" t="s">
        <v>13211</v>
      </c>
      <c r="G80" s="351" t="s">
        <v>13211</v>
      </c>
      <c r="H80" s="351" t="s">
        <v>13211</v>
      </c>
      <c r="I80" s="351" t="s">
        <v>13211</v>
      </c>
      <c r="J80" s="351" t="s">
        <v>13211</v>
      </c>
      <c r="K80" s="351" t="s">
        <v>13211</v>
      </c>
      <c r="L80" s="351" t="s">
        <v>13211</v>
      </c>
    </row>
    <row r="81" spans="2:12" s="352" customFormat="1" ht="51" x14ac:dyDescent="0.2">
      <c r="B81" s="359" t="str">
        <f t="shared" si="6"/>
        <v>U15</v>
      </c>
      <c r="C81" s="351" t="s">
        <v>450</v>
      </c>
      <c r="D81" s="351" t="s">
        <v>1562</v>
      </c>
      <c r="E81" s="351" t="s">
        <v>1562</v>
      </c>
      <c r="F81" s="1571" t="s">
        <v>1562</v>
      </c>
      <c r="G81" s="1571" t="s">
        <v>1562</v>
      </c>
      <c r="H81" s="2188" t="s">
        <v>1562</v>
      </c>
      <c r="I81" s="2188" t="s">
        <v>1562</v>
      </c>
      <c r="J81" s="351" t="s">
        <v>1562</v>
      </c>
      <c r="K81" s="351" t="s">
        <v>1562</v>
      </c>
      <c r="L81" s="351" t="s">
        <v>1562</v>
      </c>
    </row>
    <row r="82" spans="2:12" s="352" customFormat="1" ht="51" x14ac:dyDescent="0.2">
      <c r="B82" s="359" t="str">
        <f t="shared" si="6"/>
        <v>U12</v>
      </c>
      <c r="C82" s="351" t="s">
        <v>450</v>
      </c>
      <c r="D82" s="351" t="s">
        <v>1563</v>
      </c>
      <c r="E82" s="351" t="s">
        <v>1563</v>
      </c>
      <c r="F82" s="1571" t="s">
        <v>1563</v>
      </c>
      <c r="G82" s="1571" t="s">
        <v>1563</v>
      </c>
      <c r="H82" s="2188" t="s">
        <v>1563</v>
      </c>
      <c r="I82" s="2188" t="s">
        <v>1563</v>
      </c>
      <c r="J82" s="351" t="s">
        <v>1563</v>
      </c>
      <c r="K82" s="351" t="s">
        <v>1563</v>
      </c>
      <c r="L82" s="351" t="s">
        <v>1563</v>
      </c>
    </row>
    <row r="83" spans="2:12" s="352" customFormat="1" ht="51" x14ac:dyDescent="0.2">
      <c r="B83" s="359" t="str">
        <f t="shared" si="6"/>
        <v>Team</v>
      </c>
      <c r="C83" s="351" t="s">
        <v>450</v>
      </c>
      <c r="D83" s="351" t="s">
        <v>1569</v>
      </c>
      <c r="E83" s="351" t="s">
        <v>1569</v>
      </c>
      <c r="F83" s="1571" t="s">
        <v>1569</v>
      </c>
      <c r="G83" s="1571" t="s">
        <v>1569</v>
      </c>
      <c r="H83" s="1571" t="s">
        <v>1569</v>
      </c>
      <c r="I83" s="1571" t="s">
        <v>1569</v>
      </c>
      <c r="J83" s="351" t="s">
        <v>1569</v>
      </c>
      <c r="K83" s="351" t="s">
        <v>1569</v>
      </c>
      <c r="L83" s="351" t="s">
        <v>1569</v>
      </c>
    </row>
    <row r="84" spans="2:12" s="352" customFormat="1" ht="51" x14ac:dyDescent="0.2">
      <c r="B84" s="359" t="str">
        <f t="shared" si="6"/>
        <v>Double</v>
      </c>
      <c r="C84" s="351" t="s">
        <v>450</v>
      </c>
      <c r="D84" s="351" t="s">
        <v>1570</v>
      </c>
      <c r="E84" s="351" t="s">
        <v>1570</v>
      </c>
      <c r="F84" s="1571" t="s">
        <v>1570</v>
      </c>
      <c r="G84" s="1571" t="s">
        <v>1570</v>
      </c>
      <c r="H84" s="1571" t="s">
        <v>1570</v>
      </c>
      <c r="I84" s="1571" t="s">
        <v>1570</v>
      </c>
      <c r="J84" s="351" t="s">
        <v>1570</v>
      </c>
      <c r="K84" s="351" t="s">
        <v>1570</v>
      </c>
      <c r="L84" s="351" t="s">
        <v>1570</v>
      </c>
    </row>
    <row r="85" spans="2:12" s="352" customFormat="1" ht="51" x14ac:dyDescent="0.2">
      <c r="B85" s="359" t="str">
        <f t="shared" si="6"/>
        <v>Women</v>
      </c>
      <c r="C85" s="351" t="s">
        <v>450</v>
      </c>
      <c r="D85" s="351" t="s">
        <v>16795</v>
      </c>
      <c r="E85" s="351" t="s">
        <v>16795</v>
      </c>
      <c r="F85" s="1571" t="s">
        <v>16795</v>
      </c>
      <c r="G85" s="1571" t="s">
        <v>16795</v>
      </c>
      <c r="H85" s="1571" t="s">
        <v>16795</v>
      </c>
      <c r="I85" s="1571" t="s">
        <v>16795</v>
      </c>
      <c r="J85" s="351" t="s">
        <v>16795</v>
      </c>
      <c r="K85" s="351" t="s">
        <v>16795</v>
      </c>
      <c r="L85" s="351" t="s">
        <v>16795</v>
      </c>
    </row>
    <row r="86" spans="2:12" x14ac:dyDescent="0.2">
      <c r="B86" s="359" t="str">
        <f t="shared" si="6"/>
        <v>Signature</v>
      </c>
      <c r="C86" s="312" t="str">
        <f t="shared" ref="C86:C118" si="10">NAMEOF(B86)</f>
        <v>N_Visa</v>
      </c>
      <c r="D86" s="312" t="s">
        <v>885</v>
      </c>
      <c r="E86" s="312" t="s">
        <v>885</v>
      </c>
      <c r="F86" s="303" t="s">
        <v>885</v>
      </c>
      <c r="G86" s="312" t="s">
        <v>11617</v>
      </c>
      <c r="H86" s="2187" t="s">
        <v>12302</v>
      </c>
      <c r="I86" s="300"/>
      <c r="J86" s="321"/>
      <c r="K86" s="321"/>
      <c r="L86" s="321"/>
    </row>
    <row r="87" spans="2:12" ht="25.5" x14ac:dyDescent="0.2">
      <c r="B87" s="359" t="str">
        <f t="shared" si="6"/>
        <v>Participation aux épreuves</v>
      </c>
      <c r="C87" s="312" t="str">
        <f t="shared" si="10"/>
        <v>N_Event_participation</v>
      </c>
      <c r="D87" s="312" t="s">
        <v>1572</v>
      </c>
      <c r="E87" s="312" t="s">
        <v>1571</v>
      </c>
      <c r="F87" s="303" t="s">
        <v>8943</v>
      </c>
      <c r="G87" s="312" t="s">
        <v>11618</v>
      </c>
      <c r="H87" s="2187" t="s">
        <v>12303</v>
      </c>
      <c r="I87" s="300"/>
      <c r="J87" s="321"/>
      <c r="K87" s="321"/>
      <c r="L87" s="321"/>
    </row>
    <row r="88" spans="2:12" x14ac:dyDescent="0.2">
      <c r="B88" s="359" t="str">
        <f t="shared" si="6"/>
        <v>Nom</v>
      </c>
      <c r="C88" s="312" t="str">
        <f t="shared" si="10"/>
        <v>N_Name</v>
      </c>
      <c r="D88" s="312" t="s">
        <v>888</v>
      </c>
      <c r="E88" s="312" t="s">
        <v>1565</v>
      </c>
      <c r="F88" s="303" t="s">
        <v>8940</v>
      </c>
      <c r="G88" s="312" t="s">
        <v>11614</v>
      </c>
      <c r="H88" s="2187" t="s">
        <v>888</v>
      </c>
      <c r="I88" s="300"/>
      <c r="J88" s="321"/>
      <c r="K88" s="321"/>
      <c r="L88" s="321"/>
    </row>
    <row r="89" spans="2:12" x14ac:dyDescent="0.2">
      <c r="B89" s="359" t="str">
        <f t="shared" ref="B89" si="11">HLOOKUP(Language,D$2:L$1113,ROW()-1,FALSE)</f>
        <v>Nom</v>
      </c>
      <c r="C89" s="312" t="str">
        <f>NAMEOF(B89)</f>
        <v>N_Family_Name</v>
      </c>
      <c r="D89" s="312" t="s">
        <v>888</v>
      </c>
      <c r="E89" s="312" t="s">
        <v>11570</v>
      </c>
      <c r="F89" s="303" t="s">
        <v>8940</v>
      </c>
      <c r="G89" s="312" t="s">
        <v>11614</v>
      </c>
      <c r="H89" s="2187" t="s">
        <v>888</v>
      </c>
      <c r="I89" s="300"/>
      <c r="J89" s="321"/>
      <c r="K89" s="321"/>
      <c r="L89" s="321"/>
    </row>
    <row r="90" spans="2:12" x14ac:dyDescent="0.2">
      <c r="B90" s="359" t="str">
        <f t="shared" si="6"/>
        <v>Prénom</v>
      </c>
      <c r="C90" s="312" t="str">
        <f t="shared" si="10"/>
        <v>N_1st_Name</v>
      </c>
      <c r="D90" s="312" t="s">
        <v>880</v>
      </c>
      <c r="E90" s="312" t="s">
        <v>11569</v>
      </c>
      <c r="F90" s="303" t="s">
        <v>8903</v>
      </c>
      <c r="G90" s="312" t="s">
        <v>11579</v>
      </c>
      <c r="H90" s="2187" t="s">
        <v>11851</v>
      </c>
      <c r="I90" s="300"/>
      <c r="J90" s="321"/>
      <c r="K90" s="321"/>
      <c r="L90" s="321"/>
    </row>
    <row r="91" spans="2:12" x14ac:dyDescent="0.2">
      <c r="B91" s="359" t="str">
        <f t="shared" si="6"/>
        <v>Nationalité</v>
      </c>
      <c r="C91" s="312" t="str">
        <f t="shared" si="10"/>
        <v>N_Nationality</v>
      </c>
      <c r="D91" s="312" t="s">
        <v>1574</v>
      </c>
      <c r="E91" s="312" t="s">
        <v>1573</v>
      </c>
      <c r="F91" s="303" t="s">
        <v>8944</v>
      </c>
      <c r="G91" s="312" t="s">
        <v>11619</v>
      </c>
      <c r="H91" s="2187" t="s">
        <v>12304</v>
      </c>
      <c r="I91" s="300"/>
      <c r="J91" s="321"/>
      <c r="K91" s="321"/>
      <c r="L91" s="321"/>
    </row>
    <row r="92" spans="2:12" x14ac:dyDescent="0.2">
      <c r="B92" s="359" t="str">
        <f t="shared" si="6"/>
        <v>Nom du Club</v>
      </c>
      <c r="C92" s="312" t="str">
        <f t="shared" si="10"/>
        <v>N_Club_Name</v>
      </c>
      <c r="D92" s="312" t="s">
        <v>882</v>
      </c>
      <c r="E92" s="312" t="s">
        <v>1575</v>
      </c>
      <c r="F92" s="303" t="s">
        <v>8945</v>
      </c>
      <c r="G92" s="312" t="s">
        <v>11620</v>
      </c>
      <c r="H92" s="2187" t="s">
        <v>12305</v>
      </c>
      <c r="I92" s="300"/>
      <c r="J92" s="321"/>
      <c r="K92" s="321"/>
      <c r="L92" s="321"/>
    </row>
    <row r="93" spans="2:12" x14ac:dyDescent="0.2">
      <c r="B93" s="359" t="str">
        <f t="shared" si="6"/>
        <v>Abbréviation</v>
      </c>
      <c r="C93" s="312" t="str">
        <f t="shared" si="10"/>
        <v>N_Abbreviation</v>
      </c>
      <c r="D93" s="312" t="s">
        <v>883</v>
      </c>
      <c r="E93" s="312" t="s">
        <v>1576</v>
      </c>
      <c r="F93" s="303" t="s">
        <v>8946</v>
      </c>
      <c r="G93" s="312" t="s">
        <v>11621</v>
      </c>
      <c r="H93" s="2187" t="s">
        <v>12306</v>
      </c>
      <c r="I93" s="300"/>
      <c r="J93" s="321"/>
      <c r="K93" s="321"/>
      <c r="L93" s="321"/>
    </row>
    <row r="94" spans="2:12" ht="25.5" x14ac:dyDescent="0.2">
      <c r="B94" s="359" t="str">
        <f t="shared" si="6"/>
        <v>Insérer les cellules au dessus</v>
      </c>
      <c r="C94" s="312" t="str">
        <f t="shared" si="10"/>
        <v>N_Insert_Upper</v>
      </c>
      <c r="D94" s="312" t="s">
        <v>1578</v>
      </c>
      <c r="E94" s="312" t="s">
        <v>1577</v>
      </c>
      <c r="F94" s="303" t="s">
        <v>8947</v>
      </c>
      <c r="G94" s="312" t="s">
        <v>11622</v>
      </c>
      <c r="H94" s="2187" t="s">
        <v>12307</v>
      </c>
      <c r="I94" s="300"/>
      <c r="J94" s="321"/>
      <c r="K94" s="321"/>
      <c r="L94" s="321"/>
    </row>
    <row r="95" spans="2:12" ht="25.5" x14ac:dyDescent="0.2">
      <c r="B95" s="359" t="str">
        <f t="shared" si="6"/>
        <v>Liste des joueurs licenciés</v>
      </c>
      <c r="C95" s="312" t="str">
        <f t="shared" si="10"/>
        <v>N_Player_list</v>
      </c>
      <c r="D95" s="312" t="s">
        <v>958</v>
      </c>
      <c r="E95" s="312" t="s">
        <v>959</v>
      </c>
      <c r="F95" s="303" t="s">
        <v>9372</v>
      </c>
      <c r="G95" s="312" t="s">
        <v>11623</v>
      </c>
      <c r="H95" s="2187" t="s">
        <v>12308</v>
      </c>
      <c r="I95" s="300"/>
      <c r="J95" s="321"/>
      <c r="K95" s="321"/>
      <c r="L95" s="321"/>
    </row>
    <row r="96" spans="2:12" x14ac:dyDescent="0.2">
      <c r="B96" s="359" t="str">
        <f t="shared" si="6"/>
        <v>Liste des clubs</v>
      </c>
      <c r="C96" s="312" t="str">
        <f t="shared" si="10"/>
        <v>N_Club_list</v>
      </c>
      <c r="D96" s="312" t="s">
        <v>1579</v>
      </c>
      <c r="E96" s="312" t="s">
        <v>1580</v>
      </c>
      <c r="F96" s="303" t="s">
        <v>8948</v>
      </c>
      <c r="G96" s="312" t="s">
        <v>8948</v>
      </c>
      <c r="H96" s="2187" t="s">
        <v>12309</v>
      </c>
      <c r="I96" s="300"/>
      <c r="J96" s="321"/>
      <c r="K96" s="321"/>
      <c r="L96" s="321"/>
    </row>
    <row r="97" spans="2:12" ht="114.75" x14ac:dyDescent="0.2">
      <c r="B97" s="359" t="str">
        <f t="shared" si="6"/>
        <v>Pour ajouter une nouvelle ligne : Copier une ligne d'équipe puis faire "Clic droit &gt; Insérer les cellules copiées" sur une ligne d'équipe existante</v>
      </c>
      <c r="C97" s="312" t="str">
        <f t="shared" si="10"/>
        <v>N_Insert_team_line</v>
      </c>
      <c r="D97" s="312" t="s">
        <v>911</v>
      </c>
      <c r="E97" s="312" t="s">
        <v>1581</v>
      </c>
      <c r="F97" s="303" t="s">
        <v>8949</v>
      </c>
      <c r="G97" s="312" t="s">
        <v>11624</v>
      </c>
      <c r="H97" s="2187" t="s">
        <v>12310</v>
      </c>
      <c r="I97" s="300"/>
      <c r="J97" s="321"/>
      <c r="K97" s="321"/>
      <c r="L97" s="321"/>
    </row>
    <row r="98" spans="2:12" ht="25.5" x14ac:dyDescent="0.2">
      <c r="B98" s="359" t="str">
        <f t="shared" si="6"/>
        <v>Nb équipiers</v>
      </c>
      <c r="C98" s="312" t="str">
        <f t="shared" si="10"/>
        <v>N_Nb_Team_Members</v>
      </c>
      <c r="D98" s="312" t="s">
        <v>1582</v>
      </c>
      <c r="E98" s="312" t="s">
        <v>1583</v>
      </c>
      <c r="F98" s="303" t="s">
        <v>8950</v>
      </c>
      <c r="G98" s="312" t="s">
        <v>11625</v>
      </c>
      <c r="H98" s="2187" t="s">
        <v>12311</v>
      </c>
      <c r="I98" s="300"/>
      <c r="J98" s="321"/>
      <c r="K98" s="321"/>
      <c r="L98" s="321"/>
    </row>
    <row r="99" spans="2:12" ht="25.5" x14ac:dyDescent="0.2">
      <c r="B99" s="359" t="str">
        <f t="shared" si="6"/>
        <v>Nb max équipiers</v>
      </c>
      <c r="C99" s="312" t="str">
        <f t="shared" si="10"/>
        <v>N_nb_max_members</v>
      </c>
      <c r="D99" s="312" t="s">
        <v>1585</v>
      </c>
      <c r="E99" s="312" t="s">
        <v>1584</v>
      </c>
      <c r="F99" s="303" t="s">
        <v>8951</v>
      </c>
      <c r="G99" s="312" t="s">
        <v>11626</v>
      </c>
      <c r="H99" s="2187" t="s">
        <v>12312</v>
      </c>
      <c r="I99" s="300"/>
      <c r="J99" s="321"/>
      <c r="K99" s="321"/>
      <c r="L99" s="321"/>
    </row>
    <row r="100" spans="2:12" x14ac:dyDescent="0.2">
      <c r="B100" s="359" t="str">
        <f t="shared" si="6"/>
        <v>Joueur N° 1</v>
      </c>
      <c r="C100" s="312" t="str">
        <f t="shared" si="10"/>
        <v>N_Player1</v>
      </c>
      <c r="D100" s="312" t="s">
        <v>1591</v>
      </c>
      <c r="E100" s="312" t="s">
        <v>1590</v>
      </c>
      <c r="F100" s="303" t="s">
        <v>8952</v>
      </c>
      <c r="G100" s="312" t="s">
        <v>11627</v>
      </c>
      <c r="H100" s="2187" t="s">
        <v>11627</v>
      </c>
      <c r="I100" s="300"/>
      <c r="J100" s="321"/>
      <c r="K100" s="321"/>
      <c r="L100" s="321"/>
    </row>
    <row r="101" spans="2:12" x14ac:dyDescent="0.2">
      <c r="B101" s="359" t="str">
        <f t="shared" si="6"/>
        <v>Joueur N° 2</v>
      </c>
      <c r="C101" s="312" t="str">
        <f t="shared" si="10"/>
        <v>N_Player2</v>
      </c>
      <c r="D101" s="312" t="s">
        <v>1593</v>
      </c>
      <c r="E101" s="312" t="s">
        <v>1592</v>
      </c>
      <c r="F101" s="303" t="s">
        <v>8953</v>
      </c>
      <c r="G101" s="312" t="s">
        <v>11628</v>
      </c>
      <c r="H101" s="2187" t="s">
        <v>11628</v>
      </c>
      <c r="I101" s="300"/>
      <c r="J101" s="321"/>
      <c r="K101" s="321"/>
      <c r="L101" s="321"/>
    </row>
    <row r="102" spans="2:12" x14ac:dyDescent="0.2">
      <c r="B102" s="359" t="str">
        <f t="shared" si="6"/>
        <v>Equipe N° 1</v>
      </c>
      <c r="C102" s="312" t="str">
        <f t="shared" si="10"/>
        <v>N_Team1</v>
      </c>
      <c r="D102" s="312" t="s">
        <v>1657</v>
      </c>
      <c r="E102" s="312" t="s">
        <v>1655</v>
      </c>
      <c r="F102" s="303" t="s">
        <v>8954</v>
      </c>
      <c r="G102" s="312" t="s">
        <v>11629</v>
      </c>
      <c r="H102" s="2187" t="s">
        <v>12313</v>
      </c>
      <c r="I102" s="300"/>
      <c r="J102" s="321"/>
      <c r="K102" s="321"/>
      <c r="L102" s="321"/>
    </row>
    <row r="103" spans="2:12" x14ac:dyDescent="0.2">
      <c r="B103" s="359" t="str">
        <f t="shared" si="6"/>
        <v>Equipe N° 2</v>
      </c>
      <c r="C103" s="312" t="str">
        <f t="shared" si="10"/>
        <v>N_Team2</v>
      </c>
      <c r="D103" s="312" t="s">
        <v>1658</v>
      </c>
      <c r="E103" s="312" t="s">
        <v>1656</v>
      </c>
      <c r="F103" s="303" t="s">
        <v>8955</v>
      </c>
      <c r="G103" s="312" t="s">
        <v>11630</v>
      </c>
      <c r="H103" s="2187" t="s">
        <v>12314</v>
      </c>
      <c r="I103" s="300"/>
      <c r="J103" s="321"/>
      <c r="K103" s="321"/>
      <c r="L103" s="321"/>
    </row>
    <row r="104" spans="2:12" x14ac:dyDescent="0.2">
      <c r="B104" s="359" t="str">
        <f t="shared" si="6"/>
        <v>Vainqueur</v>
      </c>
      <c r="C104" s="312" t="str">
        <f t="shared" si="10"/>
        <v>N_Winner</v>
      </c>
      <c r="D104" s="312" t="s">
        <v>809</v>
      </c>
      <c r="E104" s="312" t="s">
        <v>1550</v>
      </c>
      <c r="F104" s="303" t="s">
        <v>8916</v>
      </c>
      <c r="G104" s="312" t="s">
        <v>11591</v>
      </c>
      <c r="H104" s="2187" t="s">
        <v>12283</v>
      </c>
      <c r="I104" s="300"/>
      <c r="J104" s="321"/>
      <c r="K104" s="321"/>
      <c r="L104" s="321"/>
    </row>
    <row r="105" spans="2:12" x14ac:dyDescent="0.2">
      <c r="B105" s="359" t="str">
        <f t="shared" si="6"/>
        <v>Qualifiés d'office</v>
      </c>
      <c r="C105" s="312" t="str">
        <f t="shared" si="10"/>
        <v>N_Pre_Qualified</v>
      </c>
      <c r="D105" s="312" t="s">
        <v>897</v>
      </c>
      <c r="E105" s="312" t="s">
        <v>1606</v>
      </c>
      <c r="F105" s="303" t="s">
        <v>8918</v>
      </c>
      <c r="G105" s="312" t="s">
        <v>11592</v>
      </c>
      <c r="H105" s="2187" t="s">
        <v>12284</v>
      </c>
      <c r="I105" s="300"/>
      <c r="J105" s="321"/>
      <c r="K105" s="321"/>
      <c r="L105" s="321"/>
    </row>
    <row r="106" spans="2:12" ht="25.5" x14ac:dyDescent="0.2">
      <c r="B106" s="359" t="str">
        <f t="shared" si="6"/>
        <v>Par équipe en tirage au sort intégral</v>
      </c>
      <c r="C106" s="312" t="str">
        <f t="shared" si="10"/>
        <v>N_Team_FDL</v>
      </c>
      <c r="D106" s="312" t="s">
        <v>1607</v>
      </c>
      <c r="E106" s="312" t="s">
        <v>1608</v>
      </c>
      <c r="F106" s="303" t="s">
        <v>8956</v>
      </c>
      <c r="G106" s="312" t="s">
        <v>12293</v>
      </c>
      <c r="H106" s="2187" t="s">
        <v>12315</v>
      </c>
      <c r="I106" s="300"/>
      <c r="J106" s="321"/>
      <c r="K106" s="321"/>
      <c r="L106" s="321"/>
    </row>
    <row r="107" spans="2:12" ht="25.5" x14ac:dyDescent="0.2">
      <c r="B107" s="359" t="str">
        <f t="shared" si="6"/>
        <v>Individuel en tirage au sort intégral</v>
      </c>
      <c r="C107" s="312" t="str">
        <f t="shared" si="10"/>
        <v>N_Individual_FDL</v>
      </c>
      <c r="D107" s="312" t="s">
        <v>1609</v>
      </c>
      <c r="E107" s="312" t="s">
        <v>1610</v>
      </c>
      <c r="F107" s="303" t="s">
        <v>8957</v>
      </c>
      <c r="G107" s="312" t="s">
        <v>12291</v>
      </c>
      <c r="H107" s="2187" t="s">
        <v>12316</v>
      </c>
      <c r="I107" s="300"/>
      <c r="J107" s="321"/>
      <c r="K107" s="321"/>
      <c r="L107" s="321"/>
    </row>
    <row r="108" spans="2:12" ht="25.5" x14ac:dyDescent="0.2">
      <c r="B108" s="359" t="str">
        <f t="shared" si="6"/>
        <v>Double en tirage au sort intégral</v>
      </c>
      <c r="C108" s="312" t="str">
        <f t="shared" si="10"/>
        <v>N_Double_FDL</v>
      </c>
      <c r="D108" s="312" t="s">
        <v>1613</v>
      </c>
      <c r="E108" s="312" t="s">
        <v>1614</v>
      </c>
      <c r="F108" s="303" t="s">
        <v>8958</v>
      </c>
      <c r="G108" s="312" t="s">
        <v>12292</v>
      </c>
      <c r="H108" s="2187" t="s">
        <v>12317</v>
      </c>
      <c r="I108" s="300"/>
      <c r="J108" s="321"/>
      <c r="K108" s="321"/>
      <c r="L108" s="321"/>
    </row>
    <row r="109" spans="2:12" x14ac:dyDescent="0.2">
      <c r="B109" s="359" t="str">
        <f t="shared" si="6"/>
        <v>Group of 3</v>
      </c>
      <c r="C109" s="312" t="str">
        <f t="shared" si="10"/>
        <v>N_Group_3</v>
      </c>
      <c r="D109" s="312" t="s">
        <v>1615</v>
      </c>
      <c r="E109" s="312" t="s">
        <v>1615</v>
      </c>
      <c r="F109" s="303" t="s">
        <v>8959</v>
      </c>
      <c r="G109" s="312" t="s">
        <v>11631</v>
      </c>
      <c r="H109" s="2187" t="s">
        <v>12318</v>
      </c>
      <c r="I109" s="300"/>
      <c r="J109" s="321"/>
      <c r="K109" s="321"/>
      <c r="L109" s="321"/>
    </row>
    <row r="110" spans="2:12" x14ac:dyDescent="0.2">
      <c r="B110" s="359" t="str">
        <f t="shared" si="6"/>
        <v>Poule de 4</v>
      </c>
      <c r="C110" s="312" t="str">
        <f t="shared" si="10"/>
        <v>N_Group_4</v>
      </c>
      <c r="D110" s="312" t="s">
        <v>1617</v>
      </c>
      <c r="E110" s="312" t="s">
        <v>1616</v>
      </c>
      <c r="F110" s="303" t="s">
        <v>8960</v>
      </c>
      <c r="G110" s="312" t="s">
        <v>11632</v>
      </c>
      <c r="H110" s="2187" t="s">
        <v>12319</v>
      </c>
      <c r="I110" s="300"/>
      <c r="J110" s="321"/>
      <c r="K110" s="321"/>
      <c r="L110" s="321"/>
    </row>
    <row r="111" spans="2:12" x14ac:dyDescent="0.2">
      <c r="B111" s="359" t="str">
        <f t="shared" si="6"/>
        <v>Poule de 5</v>
      </c>
      <c r="C111" s="312" t="str">
        <f t="shared" si="10"/>
        <v>N_Group_5</v>
      </c>
      <c r="D111" s="312" t="s">
        <v>1619</v>
      </c>
      <c r="E111" s="312" t="s">
        <v>1618</v>
      </c>
      <c r="F111" s="303" t="s">
        <v>8961</v>
      </c>
      <c r="G111" s="312" t="s">
        <v>11633</v>
      </c>
      <c r="H111" s="2187" t="s">
        <v>12320</v>
      </c>
      <c r="I111" s="300"/>
      <c r="J111" s="321"/>
      <c r="K111" s="321"/>
      <c r="L111" s="321"/>
    </row>
    <row r="112" spans="2:12" x14ac:dyDescent="0.2">
      <c r="B112" s="359" t="str">
        <f t="shared" si="6"/>
        <v>Poule de 6</v>
      </c>
      <c r="C112" s="312" t="str">
        <f t="shared" si="10"/>
        <v>N_Group_6</v>
      </c>
      <c r="D112" s="312" t="s">
        <v>1621</v>
      </c>
      <c r="E112" s="312" t="s">
        <v>1620</v>
      </c>
      <c r="F112" s="303" t="s">
        <v>8962</v>
      </c>
      <c r="G112" s="312" t="s">
        <v>11634</v>
      </c>
      <c r="H112" s="2187" t="s">
        <v>12321</v>
      </c>
      <c r="I112" s="300"/>
      <c r="J112" s="321"/>
      <c r="K112" s="321"/>
      <c r="L112" s="321"/>
    </row>
    <row r="113" spans="2:12" x14ac:dyDescent="0.2">
      <c r="B113" s="359" t="str">
        <f t="shared" si="6"/>
        <v>Poule de 7</v>
      </c>
      <c r="C113" s="312" t="str">
        <f t="shared" si="10"/>
        <v>N_Group_7</v>
      </c>
      <c r="D113" s="312" t="s">
        <v>1623</v>
      </c>
      <c r="E113" s="312" t="s">
        <v>1622</v>
      </c>
      <c r="F113" s="303" t="s">
        <v>8963</v>
      </c>
      <c r="G113" s="312" t="s">
        <v>11635</v>
      </c>
      <c r="H113" s="2187" t="s">
        <v>12322</v>
      </c>
      <c r="I113" s="300"/>
      <c r="J113" s="321"/>
      <c r="K113" s="321"/>
      <c r="L113" s="321"/>
    </row>
    <row r="114" spans="2:12" x14ac:dyDescent="0.2">
      <c r="B114" s="359" t="str">
        <f t="shared" si="6"/>
        <v>Poule de 8</v>
      </c>
      <c r="C114" s="312" t="str">
        <f t="shared" si="10"/>
        <v>N_Group_8</v>
      </c>
      <c r="D114" s="312" t="s">
        <v>1625</v>
      </c>
      <c r="E114" s="312" t="s">
        <v>1624</v>
      </c>
      <c r="F114" s="303" t="s">
        <v>8964</v>
      </c>
      <c r="G114" s="312" t="s">
        <v>11636</v>
      </c>
      <c r="H114" s="2187" t="s">
        <v>12323</v>
      </c>
      <c r="I114" s="300"/>
      <c r="J114" s="321"/>
      <c r="K114" s="321"/>
      <c r="L114" s="321"/>
    </row>
    <row r="115" spans="2:12" x14ac:dyDescent="0.2">
      <c r="B115" s="359" t="str">
        <f t="shared" si="6"/>
        <v>Poule de 9</v>
      </c>
      <c r="C115" s="312" t="str">
        <f t="shared" si="10"/>
        <v>N_Group_9</v>
      </c>
      <c r="D115" s="312" t="s">
        <v>3929</v>
      </c>
      <c r="E115" s="312" t="s">
        <v>3923</v>
      </c>
      <c r="F115" s="303" t="s">
        <v>8965</v>
      </c>
      <c r="G115" s="312" t="s">
        <v>11637</v>
      </c>
      <c r="H115" s="2187" t="s">
        <v>12324</v>
      </c>
      <c r="I115" s="300"/>
      <c r="J115" s="321"/>
      <c r="K115" s="321"/>
      <c r="L115" s="321"/>
    </row>
    <row r="116" spans="2:12" x14ac:dyDescent="0.2">
      <c r="B116" s="359" t="str">
        <f t="shared" si="6"/>
        <v>Poule de 10</v>
      </c>
      <c r="C116" s="312" t="str">
        <f t="shared" si="10"/>
        <v>N_Group_10</v>
      </c>
      <c r="D116" s="312" t="s">
        <v>3930</v>
      </c>
      <c r="E116" s="312" t="s">
        <v>3924</v>
      </c>
      <c r="F116" s="303" t="s">
        <v>8966</v>
      </c>
      <c r="G116" s="312" t="s">
        <v>11638</v>
      </c>
      <c r="H116" s="2187" t="s">
        <v>12325</v>
      </c>
      <c r="I116" s="300"/>
      <c r="J116" s="321"/>
      <c r="K116" s="321"/>
      <c r="L116" s="321"/>
    </row>
    <row r="117" spans="2:12" x14ac:dyDescent="0.2">
      <c r="B117" s="359" t="str">
        <f t="shared" si="6"/>
        <v>Poule de 11</v>
      </c>
      <c r="C117" s="312" t="str">
        <f t="shared" si="10"/>
        <v>N_Group_11</v>
      </c>
      <c r="D117" s="312" t="s">
        <v>3931</v>
      </c>
      <c r="E117" s="312" t="s">
        <v>3925</v>
      </c>
      <c r="F117" s="303" t="s">
        <v>8967</v>
      </c>
      <c r="G117" s="312" t="s">
        <v>11639</v>
      </c>
      <c r="H117" s="2187" t="s">
        <v>12326</v>
      </c>
      <c r="I117" s="300"/>
      <c r="J117" s="321"/>
      <c r="K117" s="321"/>
      <c r="L117" s="321"/>
    </row>
    <row r="118" spans="2:12" x14ac:dyDescent="0.2">
      <c r="B118" s="359" t="str">
        <f t="shared" si="6"/>
        <v>Poule de 12</v>
      </c>
      <c r="C118" s="312" t="str">
        <f t="shared" si="10"/>
        <v>N_Group_12</v>
      </c>
      <c r="D118" s="312" t="s">
        <v>3932</v>
      </c>
      <c r="E118" s="312" t="s">
        <v>3926</v>
      </c>
      <c r="F118" s="303" t="s">
        <v>8968</v>
      </c>
      <c r="G118" s="312" t="s">
        <v>11640</v>
      </c>
      <c r="H118" s="2187" t="s">
        <v>12327</v>
      </c>
      <c r="I118" s="300"/>
      <c r="J118" s="321"/>
      <c r="K118" s="321"/>
      <c r="L118" s="321"/>
    </row>
    <row r="119" spans="2:12" x14ac:dyDescent="0.2">
      <c r="B119" s="359" t="str">
        <f t="shared" si="6"/>
        <v>Poule de 13</v>
      </c>
      <c r="C119" s="312" t="str">
        <f t="shared" ref="C119:C150" si="12">NAMEOF(B119)</f>
        <v>N_Group_13</v>
      </c>
      <c r="D119" s="312" t="s">
        <v>3933</v>
      </c>
      <c r="E119" s="312" t="s">
        <v>3927</v>
      </c>
      <c r="F119" s="303" t="s">
        <v>8969</v>
      </c>
      <c r="G119" s="312" t="s">
        <v>11641</v>
      </c>
      <c r="H119" s="2187" t="s">
        <v>12328</v>
      </c>
      <c r="I119" s="300"/>
      <c r="J119" s="321"/>
      <c r="K119" s="321"/>
      <c r="L119" s="321"/>
    </row>
    <row r="120" spans="2:12" x14ac:dyDescent="0.2">
      <c r="B120" s="359" t="str">
        <f t="shared" si="6"/>
        <v>Poule de 14</v>
      </c>
      <c r="C120" s="312" t="str">
        <f t="shared" si="12"/>
        <v>N_Group_14</v>
      </c>
      <c r="D120" s="312" t="s">
        <v>3934</v>
      </c>
      <c r="E120" s="312" t="s">
        <v>3928</v>
      </c>
      <c r="F120" s="303" t="s">
        <v>8970</v>
      </c>
      <c r="G120" s="312" t="s">
        <v>11642</v>
      </c>
      <c r="H120" s="2187" t="s">
        <v>12329</v>
      </c>
      <c r="I120" s="300"/>
      <c r="J120" s="321"/>
      <c r="K120" s="321"/>
      <c r="L120" s="321"/>
    </row>
    <row r="121" spans="2:12" x14ac:dyDescent="0.2">
      <c r="B121" s="359" t="str">
        <f t="shared" si="6"/>
        <v>Poule de 15</v>
      </c>
      <c r="C121" s="312" t="str">
        <f t="shared" si="12"/>
        <v>N_Group_15</v>
      </c>
      <c r="D121" s="312" t="s">
        <v>3941</v>
      </c>
      <c r="E121" s="312" t="s">
        <v>3935</v>
      </c>
      <c r="F121" s="303" t="s">
        <v>8971</v>
      </c>
      <c r="G121" s="312" t="s">
        <v>11643</v>
      </c>
      <c r="H121" s="2187" t="s">
        <v>12330</v>
      </c>
      <c r="I121" s="300"/>
      <c r="J121" s="321"/>
      <c r="K121" s="321"/>
      <c r="L121" s="321"/>
    </row>
    <row r="122" spans="2:12" x14ac:dyDescent="0.2">
      <c r="B122" s="359" t="str">
        <f t="shared" si="6"/>
        <v>Poule de 16</v>
      </c>
      <c r="C122" s="312" t="str">
        <f t="shared" si="12"/>
        <v>N_Group_16</v>
      </c>
      <c r="D122" s="312" t="s">
        <v>3942</v>
      </c>
      <c r="E122" s="312" t="s">
        <v>3936</v>
      </c>
      <c r="F122" s="303" t="s">
        <v>8972</v>
      </c>
      <c r="G122" s="312" t="s">
        <v>11644</v>
      </c>
      <c r="H122" s="2187" t="s">
        <v>12331</v>
      </c>
      <c r="I122" s="300"/>
      <c r="J122" s="321"/>
      <c r="K122" s="321"/>
      <c r="L122" s="321"/>
    </row>
    <row r="123" spans="2:12" x14ac:dyDescent="0.2">
      <c r="B123" s="359" t="str">
        <f t="shared" si="6"/>
        <v>Poule de 17</v>
      </c>
      <c r="C123" s="312" t="str">
        <f t="shared" si="12"/>
        <v>N_Group_17</v>
      </c>
      <c r="D123" s="312" t="s">
        <v>3943</v>
      </c>
      <c r="E123" s="312" t="s">
        <v>3937</v>
      </c>
      <c r="F123" s="303" t="s">
        <v>8973</v>
      </c>
      <c r="G123" s="312" t="s">
        <v>11645</v>
      </c>
      <c r="H123" s="2187" t="s">
        <v>12332</v>
      </c>
      <c r="I123" s="300"/>
      <c r="J123" s="321"/>
      <c r="K123" s="321"/>
      <c r="L123" s="321"/>
    </row>
    <row r="124" spans="2:12" x14ac:dyDescent="0.2">
      <c r="B124" s="359" t="str">
        <f t="shared" si="6"/>
        <v>Poule de 18</v>
      </c>
      <c r="C124" s="312" t="str">
        <f t="shared" si="12"/>
        <v>N_Group_18</v>
      </c>
      <c r="D124" s="312" t="s">
        <v>3944</v>
      </c>
      <c r="E124" s="312" t="s">
        <v>3938</v>
      </c>
      <c r="F124" s="303" t="s">
        <v>8974</v>
      </c>
      <c r="G124" s="312" t="s">
        <v>11646</v>
      </c>
      <c r="H124" s="2187" t="s">
        <v>12333</v>
      </c>
      <c r="I124" s="300"/>
      <c r="J124" s="321"/>
      <c r="K124" s="321"/>
      <c r="L124" s="321"/>
    </row>
    <row r="125" spans="2:12" x14ac:dyDescent="0.2">
      <c r="B125" s="359" t="str">
        <f t="shared" si="6"/>
        <v>Poule de 19</v>
      </c>
      <c r="C125" s="312" t="str">
        <f t="shared" si="12"/>
        <v>N_Group_19</v>
      </c>
      <c r="D125" s="312" t="s">
        <v>3945</v>
      </c>
      <c r="E125" s="312" t="s">
        <v>3939</v>
      </c>
      <c r="F125" s="303" t="s">
        <v>8975</v>
      </c>
      <c r="G125" s="312" t="s">
        <v>11647</v>
      </c>
      <c r="H125" s="2187" t="s">
        <v>12334</v>
      </c>
      <c r="I125" s="300"/>
      <c r="J125" s="321"/>
      <c r="K125" s="321"/>
      <c r="L125" s="321"/>
    </row>
    <row r="126" spans="2:12" x14ac:dyDescent="0.2">
      <c r="B126" s="359" t="str">
        <f t="shared" si="6"/>
        <v>Poule de 20</v>
      </c>
      <c r="C126" s="312" t="str">
        <f t="shared" si="12"/>
        <v>N_Group_20</v>
      </c>
      <c r="D126" s="312" t="s">
        <v>3946</v>
      </c>
      <c r="E126" s="312" t="s">
        <v>3940</v>
      </c>
      <c r="F126" s="303" t="s">
        <v>8976</v>
      </c>
      <c r="G126" s="312" t="s">
        <v>11648</v>
      </c>
      <c r="H126" s="2187" t="s">
        <v>12335</v>
      </c>
      <c r="I126" s="300"/>
      <c r="J126" s="321"/>
      <c r="K126" s="321"/>
      <c r="L126" s="321"/>
    </row>
    <row r="127" spans="2:12" ht="25.5" x14ac:dyDescent="0.2">
      <c r="B127" s="359" t="str">
        <f t="shared" si="6"/>
        <v>Poule de 3 en A/R</v>
      </c>
      <c r="C127" s="312" t="str">
        <f t="shared" si="12"/>
        <v>N_Group_3_2Leg</v>
      </c>
      <c r="D127" s="312" t="s">
        <v>1626</v>
      </c>
      <c r="E127" s="312" t="s">
        <v>1660</v>
      </c>
      <c r="F127" s="303" t="s">
        <v>9373</v>
      </c>
      <c r="G127" s="312" t="s">
        <v>11649</v>
      </c>
      <c r="H127" s="2187" t="s">
        <v>12336</v>
      </c>
      <c r="I127" s="300"/>
      <c r="J127" s="321"/>
      <c r="K127" s="321"/>
      <c r="L127" s="321"/>
    </row>
    <row r="128" spans="2:12" ht="25.5" x14ac:dyDescent="0.2">
      <c r="B128" s="359" t="str">
        <f t="shared" si="6"/>
        <v>Poule de 4 en A/R</v>
      </c>
      <c r="C128" s="312" t="str">
        <f t="shared" si="12"/>
        <v>N_Group_4_2leg</v>
      </c>
      <c r="D128" s="312" t="s">
        <v>1627</v>
      </c>
      <c r="E128" s="312" t="s">
        <v>1661</v>
      </c>
      <c r="F128" s="303" t="s">
        <v>9374</v>
      </c>
      <c r="G128" s="312" t="s">
        <v>11650</v>
      </c>
      <c r="H128" s="2187" t="s">
        <v>12337</v>
      </c>
      <c r="I128" s="300"/>
      <c r="J128" s="321"/>
      <c r="K128" s="321"/>
      <c r="L128" s="321"/>
    </row>
    <row r="129" spans="2:12" ht="25.5" x14ac:dyDescent="0.2">
      <c r="B129" s="359" t="str">
        <f t="shared" si="6"/>
        <v>Poule de 5 en A/R</v>
      </c>
      <c r="C129" s="312" t="str">
        <f t="shared" si="12"/>
        <v>N_Group_5_2leg</v>
      </c>
      <c r="D129" s="312" t="s">
        <v>7863</v>
      </c>
      <c r="E129" s="312" t="s">
        <v>7862</v>
      </c>
      <c r="F129" s="303" t="s">
        <v>9375</v>
      </c>
      <c r="G129" s="312" t="s">
        <v>11651</v>
      </c>
      <c r="H129" s="2187" t="s">
        <v>12338</v>
      </c>
      <c r="I129" s="300"/>
      <c r="J129" s="321"/>
      <c r="K129" s="321"/>
      <c r="L129" s="321"/>
    </row>
    <row r="130" spans="2:12" ht="25.5" x14ac:dyDescent="0.2">
      <c r="B130" s="359" t="str">
        <f t="shared" si="6"/>
        <v>Poule de 6 en auto-arbitrage</v>
      </c>
      <c r="C130" s="312" t="str">
        <f t="shared" si="12"/>
        <v>N_Group_6_Self_Refereeing</v>
      </c>
      <c r="D130" s="312" t="s">
        <v>1629</v>
      </c>
      <c r="E130" s="312" t="s">
        <v>1628</v>
      </c>
      <c r="F130" s="303" t="s">
        <v>8977</v>
      </c>
      <c r="G130" s="312" t="s">
        <v>11652</v>
      </c>
      <c r="H130" s="2187" t="s">
        <v>12339</v>
      </c>
      <c r="I130" s="300"/>
      <c r="J130" s="321"/>
      <c r="K130" s="321"/>
      <c r="L130" s="321"/>
    </row>
    <row r="131" spans="2:12" ht="51" x14ac:dyDescent="0.2">
      <c r="B131" s="359" t="str">
        <f t="shared" si="6"/>
        <v>Message pour une erreur de marque dans un match éliminatoire</v>
      </c>
      <c r="C131" s="312" t="str">
        <f t="shared" si="12"/>
        <v>N_ERROR_Sel_Match</v>
      </c>
      <c r="D131" s="312" t="s">
        <v>1635</v>
      </c>
      <c r="E131" s="312" t="s">
        <v>1634</v>
      </c>
      <c r="F131" s="303" t="s">
        <v>8978</v>
      </c>
      <c r="G131" s="312" t="s">
        <v>11678</v>
      </c>
      <c r="H131" s="2187" t="s">
        <v>12340</v>
      </c>
      <c r="I131" s="300"/>
      <c r="J131" s="321"/>
      <c r="K131" s="321"/>
      <c r="L131" s="321"/>
    </row>
    <row r="132" spans="2:12" ht="25.5" x14ac:dyDescent="0.2">
      <c r="B132" s="359" t="str">
        <f t="shared" si="6"/>
        <v>Message d'égalité dans une poule</v>
      </c>
      <c r="C132" s="312" t="str">
        <f t="shared" si="12"/>
        <v>N_Equality_Group</v>
      </c>
      <c r="D132" s="312" t="s">
        <v>1632</v>
      </c>
      <c r="E132" s="312" t="s">
        <v>1633</v>
      </c>
      <c r="F132" s="303" t="s">
        <v>8979</v>
      </c>
      <c r="G132" s="312" t="s">
        <v>11677</v>
      </c>
      <c r="H132" s="2187" t="s">
        <v>12341</v>
      </c>
      <c r="I132" s="300"/>
      <c r="J132" s="321"/>
      <c r="K132" s="321"/>
      <c r="L132" s="321"/>
    </row>
    <row r="133" spans="2:12" ht="25.5" x14ac:dyDescent="0.2">
      <c r="B133" s="359" t="str">
        <f t="shared" si="6"/>
        <v>Délai entre 2 matches de poule</v>
      </c>
      <c r="C133" s="312" t="str">
        <f t="shared" si="12"/>
        <v>N_Delay_Group</v>
      </c>
      <c r="D133" s="312" t="s">
        <v>1651</v>
      </c>
      <c r="E133" s="312" t="s">
        <v>1630</v>
      </c>
      <c r="F133" s="303" t="s">
        <v>8980</v>
      </c>
      <c r="G133" s="312" t="s">
        <v>11679</v>
      </c>
      <c r="H133" s="2187" t="s">
        <v>12342</v>
      </c>
      <c r="I133" s="300"/>
      <c r="J133" s="321"/>
      <c r="K133" s="321"/>
      <c r="L133" s="321"/>
    </row>
    <row r="134" spans="2:12" ht="38.25" x14ac:dyDescent="0.2">
      <c r="B134" s="359" t="str">
        <f t="shared" ref="B134:B197" si="13">HLOOKUP(Language,D$2:L$1113,ROW()-1,FALSE)</f>
        <v>Délai entre 2 matches éliminatoires</v>
      </c>
      <c r="C134" s="312" t="str">
        <f t="shared" si="12"/>
        <v>N_Delay_Sel_Match</v>
      </c>
      <c r="D134" s="312" t="s">
        <v>1532</v>
      </c>
      <c r="E134" s="312" t="s">
        <v>1631</v>
      </c>
      <c r="F134" s="303" t="s">
        <v>8981</v>
      </c>
      <c r="G134" s="312" t="s">
        <v>11680</v>
      </c>
      <c r="H134" s="2187" t="s">
        <v>12343</v>
      </c>
      <c r="I134" s="300"/>
      <c r="J134" s="321"/>
      <c r="K134" s="321"/>
      <c r="L134" s="321"/>
    </row>
    <row r="135" spans="2:12" x14ac:dyDescent="0.2">
      <c r="B135" s="359" t="str">
        <f t="shared" si="13"/>
        <v>Ordre</v>
      </c>
      <c r="C135" s="312" t="str">
        <f t="shared" si="12"/>
        <v>N_Order</v>
      </c>
      <c r="D135" s="312" t="s">
        <v>771</v>
      </c>
      <c r="E135" s="312" t="s">
        <v>1638</v>
      </c>
      <c r="F135" s="303" t="s">
        <v>8982</v>
      </c>
      <c r="G135" s="312" t="s">
        <v>11681</v>
      </c>
      <c r="H135" s="2187" t="s">
        <v>771</v>
      </c>
      <c r="I135" s="300"/>
      <c r="J135" s="321"/>
      <c r="K135" s="321"/>
      <c r="L135" s="321"/>
    </row>
    <row r="136" spans="2:12" x14ac:dyDescent="0.2">
      <c r="B136" s="359" t="str">
        <f t="shared" si="13"/>
        <v>Critère</v>
      </c>
      <c r="C136" s="312" t="str">
        <f t="shared" si="12"/>
        <v>N_Criteria</v>
      </c>
      <c r="D136" s="312" t="s">
        <v>770</v>
      </c>
      <c r="E136" s="312" t="s">
        <v>1639</v>
      </c>
      <c r="F136" s="303" t="s">
        <v>8983</v>
      </c>
      <c r="G136" s="312" t="s">
        <v>11682</v>
      </c>
      <c r="H136" s="2187" t="s">
        <v>8983</v>
      </c>
      <c r="I136" s="300"/>
      <c r="J136" s="321"/>
      <c r="K136" s="321"/>
      <c r="L136" s="321"/>
    </row>
    <row r="137" spans="2:12" ht="38.25" x14ac:dyDescent="0.2">
      <c r="B137" s="359" t="str">
        <f t="shared" si="13"/>
        <v>Critères avant la différence particulière</v>
      </c>
      <c r="C137" s="312" t="str">
        <f t="shared" si="12"/>
        <v>N_Criteria_before_diff</v>
      </c>
      <c r="D137" s="312" t="s">
        <v>7770</v>
      </c>
      <c r="E137" s="312" t="s">
        <v>7769</v>
      </c>
      <c r="F137" s="303" t="s">
        <v>8984</v>
      </c>
      <c r="G137" s="312" t="s">
        <v>11683</v>
      </c>
      <c r="H137" s="2187" t="s">
        <v>12344</v>
      </c>
      <c r="I137" s="300"/>
      <c r="J137" s="321"/>
      <c r="K137" s="321"/>
      <c r="L137" s="321"/>
    </row>
    <row r="138" spans="2:12" ht="51" x14ac:dyDescent="0.2">
      <c r="B138" s="359" t="str">
        <f t="shared" si="13"/>
        <v>Différentiel particulier en cas d'égalité sur critères précédents</v>
      </c>
      <c r="C138" s="312" t="str">
        <f t="shared" si="12"/>
        <v>N_particular_diff</v>
      </c>
      <c r="D138" s="299" t="s">
        <v>775</v>
      </c>
      <c r="E138" s="312" t="s">
        <v>7771</v>
      </c>
      <c r="F138" s="303" t="s">
        <v>8985</v>
      </c>
      <c r="G138" s="312" t="s">
        <v>11684</v>
      </c>
      <c r="H138" s="2187" t="s">
        <v>12345</v>
      </c>
      <c r="I138" s="300"/>
      <c r="J138" s="321"/>
      <c r="K138" s="321"/>
      <c r="L138" s="321"/>
    </row>
    <row r="139" spans="2:12" ht="51" x14ac:dyDescent="0.2">
      <c r="B139" s="359" t="str">
        <f t="shared" si="13"/>
        <v>Critères après égalité sur différence particulière</v>
      </c>
      <c r="C139" s="312" t="str">
        <f t="shared" si="12"/>
        <v>N_Criteria_after_diff</v>
      </c>
      <c r="D139" s="312" t="s">
        <v>7773</v>
      </c>
      <c r="E139" s="312" t="s">
        <v>7772</v>
      </c>
      <c r="F139" s="303" t="s">
        <v>8986</v>
      </c>
      <c r="G139" s="312" t="s">
        <v>11685</v>
      </c>
      <c r="H139" s="2187" t="s">
        <v>12346</v>
      </c>
      <c r="I139" s="300"/>
      <c r="J139" s="321"/>
      <c r="K139" s="321"/>
      <c r="L139" s="321"/>
    </row>
    <row r="140" spans="2:12" ht="25.5" x14ac:dyDescent="0.2">
      <c r="B140" s="359" t="str">
        <f t="shared" si="13"/>
        <v>Calcul Classement individuel</v>
      </c>
      <c r="C140" s="312" t="str">
        <f t="shared" si="12"/>
        <v>N_calculation_ind_rank</v>
      </c>
      <c r="D140" s="312" t="s">
        <v>1640</v>
      </c>
      <c r="E140" s="312" t="s">
        <v>1641</v>
      </c>
      <c r="F140" s="303" t="s">
        <v>8987</v>
      </c>
      <c r="G140" s="312" t="s">
        <v>11686</v>
      </c>
      <c r="H140" s="2187" t="s">
        <v>12347</v>
      </c>
      <c r="I140" s="300"/>
      <c r="J140" s="321"/>
      <c r="K140" s="321"/>
      <c r="L140" s="321"/>
    </row>
    <row r="141" spans="2:12" ht="25.5" x14ac:dyDescent="0.2">
      <c r="B141" s="359" t="str">
        <f t="shared" si="13"/>
        <v>Calcul Classement équipe</v>
      </c>
      <c r="C141" s="312" t="str">
        <f t="shared" si="12"/>
        <v>N_Calculation_team_rank</v>
      </c>
      <c r="D141" s="312" t="s">
        <v>1642</v>
      </c>
      <c r="E141" s="312" t="s">
        <v>1643</v>
      </c>
      <c r="F141" s="303" t="s">
        <v>8988</v>
      </c>
      <c r="G141" s="312" t="s">
        <v>11687</v>
      </c>
      <c r="H141" s="2187" t="s">
        <v>12348</v>
      </c>
      <c r="I141" s="300"/>
      <c r="J141" s="321"/>
      <c r="K141" s="321"/>
      <c r="L141" s="321"/>
    </row>
    <row r="142" spans="2:12" x14ac:dyDescent="0.2">
      <c r="B142" s="359" t="str">
        <f t="shared" si="13"/>
        <v>Points</v>
      </c>
      <c r="C142" s="312" t="str">
        <f t="shared" si="12"/>
        <v>N_Points</v>
      </c>
      <c r="D142" s="312" t="s">
        <v>764</v>
      </c>
      <c r="E142" s="312" t="s">
        <v>764</v>
      </c>
      <c r="F142" s="303" t="s">
        <v>8908</v>
      </c>
      <c r="G142" s="312" t="s">
        <v>11688</v>
      </c>
      <c r="H142" s="2187" t="s">
        <v>12349</v>
      </c>
      <c r="I142" s="300"/>
      <c r="J142" s="321"/>
      <c r="K142" s="321"/>
      <c r="L142" s="321"/>
    </row>
    <row r="143" spans="2:12" x14ac:dyDescent="0.2">
      <c r="B143" s="359" t="str">
        <f t="shared" si="13"/>
        <v>Différentiel de buts</v>
      </c>
      <c r="C143" s="312" t="str">
        <f t="shared" si="12"/>
        <v>N_Goal_Diff</v>
      </c>
      <c r="D143" s="299" t="s">
        <v>772</v>
      </c>
      <c r="E143" s="312" t="s">
        <v>1644</v>
      </c>
      <c r="F143" s="303" t="s">
        <v>8989</v>
      </c>
      <c r="G143" s="312" t="s">
        <v>11689</v>
      </c>
      <c r="H143" s="2187" t="s">
        <v>12350</v>
      </c>
      <c r="I143" s="300"/>
      <c r="J143" s="321"/>
      <c r="K143" s="321"/>
      <c r="L143" s="321"/>
    </row>
    <row r="144" spans="2:12" x14ac:dyDescent="0.2">
      <c r="B144" s="359" t="str">
        <f t="shared" si="13"/>
        <v>Matches gagnés</v>
      </c>
      <c r="C144" s="312" t="str">
        <f t="shared" si="12"/>
        <v>N_Won_Matches</v>
      </c>
      <c r="D144" s="299" t="s">
        <v>773</v>
      </c>
      <c r="E144" s="312" t="s">
        <v>1645</v>
      </c>
      <c r="F144" s="303" t="s">
        <v>8990</v>
      </c>
      <c r="G144" s="312" t="s">
        <v>11690</v>
      </c>
      <c r="H144" s="2187" t="s">
        <v>12351</v>
      </c>
      <c r="I144" s="300"/>
      <c r="J144" s="321"/>
      <c r="K144" s="321"/>
      <c r="L144" s="321"/>
    </row>
    <row r="145" spans="2:12" x14ac:dyDescent="0.2">
      <c r="B145" s="359" t="str">
        <f t="shared" si="13"/>
        <v>Meilleure attaque</v>
      </c>
      <c r="C145" s="312" t="str">
        <f t="shared" si="12"/>
        <v>N_Best_Attack</v>
      </c>
      <c r="D145" s="299" t="s">
        <v>774</v>
      </c>
      <c r="E145" s="312" t="s">
        <v>1646</v>
      </c>
      <c r="F145" s="303" t="s">
        <v>8991</v>
      </c>
      <c r="G145" s="312" t="s">
        <v>11691</v>
      </c>
      <c r="H145" s="2187" t="s">
        <v>12352</v>
      </c>
      <c r="I145" s="300"/>
      <c r="J145" s="321"/>
      <c r="K145" s="321"/>
      <c r="L145" s="321"/>
    </row>
    <row r="146" spans="2:12" ht="25.5" x14ac:dyDescent="0.2">
      <c r="B146" s="359" t="str">
        <f t="shared" si="13"/>
        <v>Résultat match entre ex-aequo</v>
      </c>
      <c r="C146" s="312" t="str">
        <f t="shared" si="12"/>
        <v>N_Particular_Difference</v>
      </c>
      <c r="D146" s="299" t="s">
        <v>5476</v>
      </c>
      <c r="E146" s="312" t="s">
        <v>5479</v>
      </c>
      <c r="F146" s="303" t="s">
        <v>8992</v>
      </c>
      <c r="G146" s="312" t="s">
        <v>11692</v>
      </c>
      <c r="H146" s="2187" t="s">
        <v>12353</v>
      </c>
      <c r="I146" s="300"/>
      <c r="J146" s="321"/>
      <c r="K146" s="321"/>
      <c r="L146" s="321"/>
    </row>
    <row r="147" spans="2:12" ht="25.5" x14ac:dyDescent="0.2">
      <c r="B147" s="359" t="str">
        <f t="shared" si="13"/>
        <v>Différence de buts entre ex-aequo</v>
      </c>
      <c r="C147" s="312" t="str">
        <f t="shared" si="12"/>
        <v>N_Particular_Goals</v>
      </c>
      <c r="D147" s="299" t="s">
        <v>5477</v>
      </c>
      <c r="E147" s="312" t="s">
        <v>5480</v>
      </c>
      <c r="F147" s="303" t="s">
        <v>8993</v>
      </c>
      <c r="G147" s="312" t="s">
        <v>11693</v>
      </c>
      <c r="H147" s="2187" t="s">
        <v>12354</v>
      </c>
      <c r="I147" s="300"/>
      <c r="J147" s="321"/>
      <c r="K147" s="321"/>
      <c r="L147" s="321"/>
    </row>
    <row r="148" spans="2:12" ht="25.5" x14ac:dyDescent="0.2">
      <c r="B148" s="359" t="str">
        <f t="shared" si="13"/>
        <v>Meilleure attaque entre ex-aequo</v>
      </c>
      <c r="C148" s="312" t="str">
        <f t="shared" si="12"/>
        <v>N_Particular_Attack</v>
      </c>
      <c r="D148" s="299" t="s">
        <v>5478</v>
      </c>
      <c r="E148" s="312" t="s">
        <v>5481</v>
      </c>
      <c r="F148" s="303" t="s">
        <v>8994</v>
      </c>
      <c r="G148" s="312" t="s">
        <v>11694</v>
      </c>
      <c r="H148" s="2187" t="s">
        <v>12355</v>
      </c>
      <c r="I148" s="300"/>
      <c r="J148" s="321"/>
      <c r="K148" s="321"/>
      <c r="L148" s="321"/>
    </row>
    <row r="149" spans="2:12" ht="38.25" x14ac:dyDescent="0.2">
      <c r="B149" s="359" t="str">
        <f t="shared" si="13"/>
        <v>Différence de matches individuels entre ex-aequo</v>
      </c>
      <c r="C149" s="312" t="str">
        <f t="shared" si="12"/>
        <v>N_Particular_Win_Diff</v>
      </c>
      <c r="D149" s="299" t="s">
        <v>5482</v>
      </c>
      <c r="E149" s="312" t="s">
        <v>5484</v>
      </c>
      <c r="F149" s="303" t="s">
        <v>8995</v>
      </c>
      <c r="G149" s="312" t="s">
        <v>11695</v>
      </c>
      <c r="H149" s="2187" t="s">
        <v>12356</v>
      </c>
      <c r="I149" s="300"/>
      <c r="J149" s="321"/>
      <c r="K149" s="321"/>
      <c r="L149" s="321"/>
    </row>
    <row r="150" spans="2:12" ht="38.25" x14ac:dyDescent="0.2">
      <c r="B150" s="359" t="str">
        <f t="shared" si="13"/>
        <v>Plus de victoires individuells entre ex-aequo</v>
      </c>
      <c r="C150" s="312" t="str">
        <f t="shared" si="12"/>
        <v>N_Particular_More_Wins</v>
      </c>
      <c r="D150" s="299" t="s">
        <v>5483</v>
      </c>
      <c r="E150" s="312" t="s">
        <v>5485</v>
      </c>
      <c r="F150" s="303" t="s">
        <v>8996</v>
      </c>
      <c r="G150" s="312" t="s">
        <v>11696</v>
      </c>
      <c r="H150" s="2187" t="s">
        <v>12357</v>
      </c>
      <c r="I150" s="300"/>
      <c r="J150" s="321"/>
      <c r="K150" s="321"/>
      <c r="L150" s="321"/>
    </row>
    <row r="151" spans="2:12" ht="25.5" x14ac:dyDescent="0.2">
      <c r="B151" s="359" t="str">
        <f t="shared" si="13"/>
        <v>Différentiel de rencontres</v>
      </c>
      <c r="C151" s="312" t="str">
        <f t="shared" ref="C151:C174" si="14">NAMEOF(B151)</f>
        <v>N_Encounter_Diff</v>
      </c>
      <c r="D151" s="299" t="s">
        <v>776</v>
      </c>
      <c r="E151" s="312" t="s">
        <v>1647</v>
      </c>
      <c r="F151" s="303" t="s">
        <v>8997</v>
      </c>
      <c r="G151" s="312" t="s">
        <v>11697</v>
      </c>
      <c r="H151" s="2187" t="s">
        <v>12358</v>
      </c>
      <c r="I151" s="300"/>
      <c r="J151" s="321"/>
      <c r="K151" s="321"/>
      <c r="L151" s="321"/>
    </row>
    <row r="152" spans="2:12" ht="25.5" x14ac:dyDescent="0.2">
      <c r="B152" s="359" t="str">
        <f t="shared" si="13"/>
        <v>Différentiel de matches individuels</v>
      </c>
      <c r="C152" s="312" t="str">
        <f t="shared" si="14"/>
        <v>N_Match_Diff</v>
      </c>
      <c r="D152" s="299" t="s">
        <v>5486</v>
      </c>
      <c r="E152" s="312" t="s">
        <v>5487</v>
      </c>
      <c r="F152" s="303" t="s">
        <v>8998</v>
      </c>
      <c r="G152" s="312" t="s">
        <v>11698</v>
      </c>
      <c r="H152" s="2187" t="s">
        <v>12359</v>
      </c>
      <c r="I152" s="300"/>
      <c r="J152" s="321"/>
      <c r="K152" s="321"/>
      <c r="L152" s="321"/>
    </row>
    <row r="153" spans="2:12" ht="25.5" x14ac:dyDescent="0.2">
      <c r="B153" s="359" t="str">
        <f t="shared" si="13"/>
        <v>Plus de victoires individuelles</v>
      </c>
      <c r="C153" s="312" t="str">
        <f t="shared" si="14"/>
        <v>N_Most_Ind_Match_Wins</v>
      </c>
      <c r="D153" s="299" t="s">
        <v>5489</v>
      </c>
      <c r="E153" s="312" t="s">
        <v>5488</v>
      </c>
      <c r="F153" s="303" t="s">
        <v>8999</v>
      </c>
      <c r="G153" s="312" t="s">
        <v>11699</v>
      </c>
      <c r="H153" s="2187" t="s">
        <v>12360</v>
      </c>
      <c r="I153" s="300"/>
      <c r="J153" s="321"/>
      <c r="K153" s="321"/>
      <c r="L153" s="321"/>
    </row>
    <row r="154" spans="2:12" x14ac:dyDescent="0.2">
      <c r="B154" s="359" t="str">
        <f t="shared" si="13"/>
        <v>Victoire</v>
      </c>
      <c r="C154" s="312" t="str">
        <f t="shared" si="14"/>
        <v>N_Win</v>
      </c>
      <c r="D154" s="312" t="s">
        <v>765</v>
      </c>
      <c r="E154" s="312" t="s">
        <v>1648</v>
      </c>
      <c r="F154" s="303" t="s">
        <v>9000</v>
      </c>
      <c r="G154" s="312" t="s">
        <v>3645</v>
      </c>
      <c r="H154" s="2187" t="s">
        <v>12361</v>
      </c>
      <c r="I154" s="300"/>
      <c r="J154" s="321"/>
      <c r="K154" s="321"/>
      <c r="L154" s="321"/>
    </row>
    <row r="155" spans="2:12" x14ac:dyDescent="0.2">
      <c r="B155" s="359" t="str">
        <f t="shared" si="13"/>
        <v>Nul</v>
      </c>
      <c r="C155" s="312" t="str">
        <f t="shared" si="14"/>
        <v>N_Draw</v>
      </c>
      <c r="D155" s="312" t="s">
        <v>1649</v>
      </c>
      <c r="E155" s="312" t="s">
        <v>1601</v>
      </c>
      <c r="F155" s="303" t="s">
        <v>8910</v>
      </c>
      <c r="G155" s="312" t="s">
        <v>11700</v>
      </c>
      <c r="H155" s="2187" t="s">
        <v>12362</v>
      </c>
      <c r="I155" s="300"/>
      <c r="J155" s="321"/>
      <c r="K155" s="321"/>
      <c r="L155" s="321"/>
    </row>
    <row r="156" spans="2:12" x14ac:dyDescent="0.2">
      <c r="B156" s="359" t="str">
        <f t="shared" si="13"/>
        <v>Langue</v>
      </c>
      <c r="C156" s="312" t="str">
        <f t="shared" si="14"/>
        <v>N_Language</v>
      </c>
      <c r="D156" s="312" t="s">
        <v>1650</v>
      </c>
      <c r="E156" s="312" t="s">
        <v>1559</v>
      </c>
      <c r="F156" s="303" t="s">
        <v>9001</v>
      </c>
      <c r="G156" s="312" t="s">
        <v>11701</v>
      </c>
      <c r="H156" s="2187" t="s">
        <v>12363</v>
      </c>
      <c r="I156" s="300"/>
      <c r="J156" s="321"/>
      <c r="K156" s="321"/>
      <c r="L156" s="321"/>
    </row>
    <row r="157" spans="2:12" x14ac:dyDescent="0.2">
      <c r="B157" s="359" t="str">
        <f t="shared" si="13"/>
        <v>FIN DU PLANNING</v>
      </c>
      <c r="C157" s="312" t="str">
        <f t="shared" si="14"/>
        <v>N_End_Planning</v>
      </c>
      <c r="D157" s="312" t="s">
        <v>830</v>
      </c>
      <c r="E157" s="312" t="s">
        <v>1652</v>
      </c>
      <c r="F157" s="303" t="s">
        <v>12953</v>
      </c>
      <c r="G157" s="312" t="s">
        <v>11702</v>
      </c>
      <c r="H157" s="2187" t="s">
        <v>12364</v>
      </c>
      <c r="I157" s="300"/>
      <c r="J157" s="321"/>
      <c r="K157" s="321"/>
      <c r="L157" s="321"/>
    </row>
    <row r="158" spans="2:12" ht="38.25" x14ac:dyDescent="0.2">
      <c r="B158" s="359" t="str">
        <f t="shared" si="13"/>
        <v>Insérez des lignes au dessus de cette zone</v>
      </c>
      <c r="C158" s="312" t="str">
        <f t="shared" si="14"/>
        <v>N_Insert_above</v>
      </c>
      <c r="D158" s="312" t="s">
        <v>1653</v>
      </c>
      <c r="E158" s="312" t="s">
        <v>1654</v>
      </c>
      <c r="F158" s="303" t="s">
        <v>9002</v>
      </c>
      <c r="G158" s="312" t="s">
        <v>11703</v>
      </c>
      <c r="H158" s="2187" t="s">
        <v>12365</v>
      </c>
      <c r="I158" s="300"/>
      <c r="J158" s="321"/>
      <c r="K158" s="321"/>
      <c r="L158" s="321"/>
    </row>
    <row r="159" spans="2:12" ht="191.25" x14ac:dyDescent="0.2">
      <c r="B159" s="359" t="str">
        <f t="shared" si="13"/>
        <v>Feuille pour imprimer les feuilles de match en par équipe.
Coller à gauche les LIGNES du planning dans la limite de 20.
La ligne 6 doit être la première ligne 
La ligne 126 doit être vide
Pas de ligne blanche entre les matches d'équipes</v>
      </c>
      <c r="C159" s="312" t="str">
        <f t="shared" si="14"/>
        <v>N_printing_sheet</v>
      </c>
      <c r="D159" s="312" t="s">
        <v>1531</v>
      </c>
      <c r="E159" s="312" t="s">
        <v>1659</v>
      </c>
      <c r="F159" s="303" t="s">
        <v>9003</v>
      </c>
      <c r="G159" s="312" t="s">
        <v>11704</v>
      </c>
      <c r="H159" s="2187" t="s">
        <v>12366</v>
      </c>
      <c r="I159" s="300"/>
      <c r="J159" s="321"/>
      <c r="K159" s="321"/>
      <c r="L159" s="321"/>
    </row>
    <row r="160" spans="2:12" ht="25.5" x14ac:dyDescent="0.2">
      <c r="B160" s="359" t="str">
        <f t="shared" si="13"/>
        <v>Catégorie de l'épreuve</v>
      </c>
      <c r="C160" s="312" t="str">
        <f t="shared" si="14"/>
        <v>N_Event_Category</v>
      </c>
      <c r="D160" s="299" t="s">
        <v>1665</v>
      </c>
      <c r="E160" s="299" t="s">
        <v>1664</v>
      </c>
      <c r="F160" s="298" t="s">
        <v>9004</v>
      </c>
      <c r="G160" s="312" t="s">
        <v>11705</v>
      </c>
      <c r="H160" s="2187" t="s">
        <v>12367</v>
      </c>
      <c r="I160" s="321"/>
      <c r="J160" s="321"/>
      <c r="K160" s="321"/>
      <c r="L160" s="321"/>
    </row>
    <row r="161" spans="2:12" x14ac:dyDescent="0.2">
      <c r="B161" s="359" t="str">
        <f t="shared" si="13"/>
        <v>Poule</v>
      </c>
      <c r="C161" s="312" t="str">
        <f t="shared" si="14"/>
        <v>N_Group</v>
      </c>
      <c r="D161" s="299" t="s">
        <v>812</v>
      </c>
      <c r="E161" s="312" t="s">
        <v>1554</v>
      </c>
      <c r="F161" s="298" t="s">
        <v>8919</v>
      </c>
      <c r="G161" s="312" t="s">
        <v>11595</v>
      </c>
      <c r="H161" s="2187" t="s">
        <v>12287</v>
      </c>
      <c r="I161" s="321"/>
      <c r="J161" s="321"/>
      <c r="K161" s="321"/>
      <c r="L161" s="321"/>
    </row>
    <row r="162" spans="2:12" ht="38.25" x14ac:dyDescent="0.2">
      <c r="B162" s="359" t="str">
        <f t="shared" si="13"/>
        <v>Définition d'une nouvelle épreuve individuelle</v>
      </c>
      <c r="C162" s="312" t="str">
        <f t="shared" si="14"/>
        <v>N_NewEventForm_Title</v>
      </c>
      <c r="D162" s="312" t="s">
        <v>926</v>
      </c>
      <c r="E162" s="312" t="s">
        <v>927</v>
      </c>
      <c r="F162" s="298" t="s">
        <v>9005</v>
      </c>
      <c r="G162" s="312" t="s">
        <v>11706</v>
      </c>
      <c r="H162" s="2187" t="s">
        <v>12368</v>
      </c>
      <c r="I162" s="321"/>
      <c r="J162" s="321"/>
      <c r="K162" s="321"/>
      <c r="L162" s="321"/>
    </row>
    <row r="163" spans="2:12" ht="38.25" x14ac:dyDescent="0.2">
      <c r="B163" s="359" t="str">
        <f t="shared" si="13"/>
        <v>Définition d'une nouvelle épreuve par équipe</v>
      </c>
      <c r="C163" s="312" t="str">
        <f t="shared" si="14"/>
        <v>N_NewEventFormForTeams_Title</v>
      </c>
      <c r="D163" s="312" t="s">
        <v>918</v>
      </c>
      <c r="E163" s="312" t="s">
        <v>920</v>
      </c>
      <c r="F163" s="298" t="s">
        <v>9006</v>
      </c>
      <c r="G163" s="312" t="s">
        <v>11707</v>
      </c>
      <c r="H163" s="2187" t="s">
        <v>12369</v>
      </c>
      <c r="I163" s="321"/>
      <c r="J163" s="321"/>
      <c r="K163" s="321"/>
      <c r="L163" s="321"/>
    </row>
    <row r="164" spans="2:12" ht="38.25" x14ac:dyDescent="0.2">
      <c r="B164" s="359" t="str">
        <f t="shared" si="13"/>
        <v>Définition d'une nouvelle épreuve en double</v>
      </c>
      <c r="C164" s="312" t="str">
        <f t="shared" si="14"/>
        <v>N_NewEventFormForDoubles_Title</v>
      </c>
      <c r="D164" s="312" t="s">
        <v>919</v>
      </c>
      <c r="E164" s="312" t="s">
        <v>921</v>
      </c>
      <c r="F164" s="298" t="s">
        <v>9007</v>
      </c>
      <c r="G164" s="312" t="s">
        <v>11708</v>
      </c>
      <c r="H164" s="2187" t="s">
        <v>12370</v>
      </c>
      <c r="I164" s="321"/>
      <c r="J164" s="321"/>
      <c r="K164" s="321"/>
      <c r="L164" s="321"/>
    </row>
    <row r="165" spans="2:12" ht="63.75" x14ac:dyDescent="0.2">
      <c r="B165" s="359" t="str">
        <f t="shared" si="13"/>
        <v>Définition d'une nouvelle épreuve individuelle basée sur les formules de compétition</v>
      </c>
      <c r="C165" s="312" t="str">
        <f t="shared" si="14"/>
        <v>N_NewOfficialEventForm_Title</v>
      </c>
      <c r="D165" s="312" t="s">
        <v>1289</v>
      </c>
      <c r="E165" s="312" t="s">
        <v>1292</v>
      </c>
      <c r="F165" s="298" t="s">
        <v>9008</v>
      </c>
      <c r="G165" s="312" t="s">
        <v>11709</v>
      </c>
      <c r="H165" s="2187" t="s">
        <v>12372</v>
      </c>
      <c r="I165" s="321"/>
      <c r="J165" s="321"/>
      <c r="K165" s="321"/>
      <c r="L165" s="321"/>
    </row>
    <row r="166" spans="2:12" ht="63.75" x14ac:dyDescent="0.2">
      <c r="B166" s="359" t="str">
        <f t="shared" si="13"/>
        <v>Définition d'une nouvelle épreuve par équipe basée sur les formules de compétition</v>
      </c>
      <c r="C166" s="312" t="str">
        <f t="shared" si="14"/>
        <v>N_NewOfficialEventFormForTeams_Title</v>
      </c>
      <c r="D166" s="312" t="s">
        <v>1290</v>
      </c>
      <c r="E166" s="312" t="s">
        <v>1293</v>
      </c>
      <c r="F166" s="298" t="s">
        <v>9009</v>
      </c>
      <c r="G166" s="312" t="s">
        <v>11710</v>
      </c>
      <c r="H166" s="2187" t="s">
        <v>12373</v>
      </c>
      <c r="I166" s="321"/>
      <c r="J166" s="321"/>
      <c r="K166" s="321"/>
      <c r="L166" s="321"/>
    </row>
    <row r="167" spans="2:12" ht="63.75" x14ac:dyDescent="0.2">
      <c r="B167" s="359" t="str">
        <f t="shared" si="13"/>
        <v>Définition d'une nouvelle épreuve en double basée sur les formules de compétition</v>
      </c>
      <c r="C167" s="312" t="str">
        <f t="shared" si="14"/>
        <v>N_NewOfficialEventFormForDoubles_Title</v>
      </c>
      <c r="D167" s="312" t="s">
        <v>1291</v>
      </c>
      <c r="E167" s="312" t="s">
        <v>1294</v>
      </c>
      <c r="F167" s="298" t="s">
        <v>9010</v>
      </c>
      <c r="G167" s="312" t="s">
        <v>11711</v>
      </c>
      <c r="H167" s="2187" t="s">
        <v>12374</v>
      </c>
      <c r="I167" s="321"/>
      <c r="J167" s="321"/>
      <c r="K167" s="321"/>
      <c r="L167" s="321"/>
    </row>
    <row r="168" spans="2:12" ht="76.5" x14ac:dyDescent="0.2">
      <c r="B168" s="359" t="str">
        <f t="shared" si="13"/>
        <v>Définition d'une nouvelle épreuve individuelle basée sur les formules de compétition officielles ou non</v>
      </c>
      <c r="C168" s="312" t="str">
        <f t="shared" si="14"/>
        <v>N_NewEventWithFormulasForm_Title</v>
      </c>
      <c r="D168" s="312" t="s">
        <v>1218</v>
      </c>
      <c r="E168" s="312" t="s">
        <v>1219</v>
      </c>
      <c r="F168" s="298" t="s">
        <v>9011</v>
      </c>
      <c r="G168" s="312" t="s">
        <v>11712</v>
      </c>
      <c r="H168" s="2187" t="s">
        <v>12375</v>
      </c>
      <c r="I168" s="321"/>
      <c r="J168" s="321"/>
      <c r="K168" s="321"/>
      <c r="L168" s="321"/>
    </row>
    <row r="169" spans="2:12" ht="76.5" x14ac:dyDescent="0.2">
      <c r="B169" s="359" t="str">
        <f t="shared" si="13"/>
        <v>Définition d'une nouvelle épreuve par équipe basée sur les formules de compétition officielles ou non</v>
      </c>
      <c r="C169" s="312" t="str">
        <f t="shared" si="14"/>
        <v>N_NewEventWithFormulasFormForTeams_Title</v>
      </c>
      <c r="D169" s="312" t="s">
        <v>1217</v>
      </c>
      <c r="E169" s="312" t="s">
        <v>1220</v>
      </c>
      <c r="F169" s="298" t="s">
        <v>9012</v>
      </c>
      <c r="G169" s="312" t="s">
        <v>11713</v>
      </c>
      <c r="H169" s="2187" t="s">
        <v>12376</v>
      </c>
      <c r="I169" s="321"/>
      <c r="J169" s="321"/>
      <c r="K169" s="321"/>
      <c r="L169" s="321"/>
    </row>
    <row r="170" spans="2:12" ht="76.5" x14ac:dyDescent="0.2">
      <c r="B170" s="359" t="str">
        <f t="shared" si="13"/>
        <v>Définition d'une nouvelle épreuve en double basée sur les formules de compétition officielles ou non</v>
      </c>
      <c r="C170" s="312" t="str">
        <f t="shared" si="14"/>
        <v>N_NewEventWithFormulasFormForDoubles_Title</v>
      </c>
      <c r="D170" s="312" t="s">
        <v>1216</v>
      </c>
      <c r="E170" s="312" t="s">
        <v>1221</v>
      </c>
      <c r="F170" s="298" t="s">
        <v>9013</v>
      </c>
      <c r="G170" s="312" t="s">
        <v>11714</v>
      </c>
      <c r="H170" s="2187" t="s">
        <v>12377</v>
      </c>
      <c r="I170" s="321"/>
      <c r="J170" s="321"/>
      <c r="K170" s="321"/>
      <c r="L170" s="321"/>
    </row>
    <row r="171" spans="2:12" ht="25.5" x14ac:dyDescent="0.2">
      <c r="B171" s="359" t="str">
        <f t="shared" si="13"/>
        <v>Nom de l'épreuve</v>
      </c>
      <c r="C171" s="312" t="str">
        <f t="shared" si="14"/>
        <v>N_NewEventForm_EventName</v>
      </c>
      <c r="D171" s="312" t="s">
        <v>1667</v>
      </c>
      <c r="E171" s="312" t="s">
        <v>1668</v>
      </c>
      <c r="F171" s="298" t="s">
        <v>9014</v>
      </c>
      <c r="G171" s="312" t="s">
        <v>11671</v>
      </c>
      <c r="H171" s="2187" t="s">
        <v>12303</v>
      </c>
      <c r="I171" s="321"/>
      <c r="J171" s="321"/>
      <c r="K171" s="321"/>
      <c r="L171" s="321"/>
    </row>
    <row r="172" spans="2:12" ht="25.5" x14ac:dyDescent="0.2">
      <c r="B172" s="359" t="str">
        <f t="shared" si="13"/>
        <v>Catégorie</v>
      </c>
      <c r="C172" s="312" t="str">
        <f t="shared" si="14"/>
        <v>N_NewEventForm_Category</v>
      </c>
      <c r="D172" s="312" t="s">
        <v>782</v>
      </c>
      <c r="E172" s="312" t="s">
        <v>1568</v>
      </c>
      <c r="F172" s="298" t="s">
        <v>8942</v>
      </c>
      <c r="G172" s="312" t="s">
        <v>8942</v>
      </c>
      <c r="H172" s="2187" t="s">
        <v>8942</v>
      </c>
      <c r="I172" s="321"/>
      <c r="J172" s="321"/>
      <c r="K172" s="321"/>
      <c r="L172" s="321"/>
    </row>
    <row r="173" spans="2:12" ht="25.5" x14ac:dyDescent="0.2">
      <c r="B173" s="359" t="str">
        <f t="shared" si="13"/>
        <v>Poules de 3</v>
      </c>
      <c r="C173" s="312" t="str">
        <f t="shared" si="14"/>
        <v>N_NewEventForm_GroupOf_3</v>
      </c>
      <c r="D173" s="312" t="s">
        <v>1670</v>
      </c>
      <c r="E173" s="312" t="s">
        <v>1669</v>
      </c>
      <c r="F173" s="298" t="s">
        <v>9015</v>
      </c>
      <c r="G173" s="312" t="s">
        <v>11653</v>
      </c>
      <c r="H173" s="2187" t="s">
        <v>12378</v>
      </c>
      <c r="I173" s="321"/>
      <c r="J173" s="321"/>
      <c r="K173" s="321"/>
      <c r="L173" s="321"/>
    </row>
    <row r="174" spans="2:12" ht="25.5" x14ac:dyDescent="0.2">
      <c r="B174" s="359" t="str">
        <f t="shared" si="13"/>
        <v>Poules de 4</v>
      </c>
      <c r="C174" s="312" t="str">
        <f t="shared" si="14"/>
        <v>N_NewEventForm_GroupOf_4</v>
      </c>
      <c r="D174" s="312" t="s">
        <v>1677</v>
      </c>
      <c r="E174" s="312" t="s">
        <v>1671</v>
      </c>
      <c r="F174" s="298" t="s">
        <v>9016</v>
      </c>
      <c r="G174" s="312" t="s">
        <v>11654</v>
      </c>
      <c r="H174" s="2187" t="s">
        <v>12379</v>
      </c>
      <c r="I174" s="321"/>
      <c r="J174" s="321"/>
      <c r="K174" s="321"/>
      <c r="L174" s="321"/>
    </row>
    <row r="175" spans="2:12" ht="25.5" x14ac:dyDescent="0.2">
      <c r="B175" s="359" t="str">
        <f t="shared" si="13"/>
        <v>Poules de 5</v>
      </c>
      <c r="C175" s="312" t="str">
        <f t="shared" ref="C175:C214" si="15">NAMEOF(B175)</f>
        <v>N_NewEventForm_GroupOf_5</v>
      </c>
      <c r="D175" s="312" t="s">
        <v>1678</v>
      </c>
      <c r="E175" s="312" t="s">
        <v>1672</v>
      </c>
      <c r="F175" s="298" t="s">
        <v>9017</v>
      </c>
      <c r="G175" s="312" t="s">
        <v>11655</v>
      </c>
      <c r="H175" s="2187" t="s">
        <v>12380</v>
      </c>
      <c r="I175" s="321"/>
      <c r="J175" s="321"/>
      <c r="K175" s="321"/>
      <c r="L175" s="321"/>
    </row>
    <row r="176" spans="2:12" ht="25.5" x14ac:dyDescent="0.2">
      <c r="B176" s="359" t="str">
        <f t="shared" si="13"/>
        <v>Poules de 6</v>
      </c>
      <c r="C176" s="312" t="str">
        <f t="shared" si="15"/>
        <v>N_NewEventForm_GroupOf_6</v>
      </c>
      <c r="D176" s="312" t="s">
        <v>1679</v>
      </c>
      <c r="E176" s="312" t="s">
        <v>1673</v>
      </c>
      <c r="F176" s="298" t="s">
        <v>9018</v>
      </c>
      <c r="G176" s="312" t="s">
        <v>11656</v>
      </c>
      <c r="H176" s="2187" t="s">
        <v>12381</v>
      </c>
      <c r="I176" s="321"/>
      <c r="J176" s="321"/>
      <c r="K176" s="321"/>
      <c r="L176" s="321"/>
    </row>
    <row r="177" spans="2:12" ht="25.5" x14ac:dyDescent="0.2">
      <c r="B177" s="359" t="str">
        <f t="shared" si="13"/>
        <v>Poules de 7</v>
      </c>
      <c r="C177" s="312" t="str">
        <f t="shared" si="15"/>
        <v>N_NewEventForm_GroupOf_7</v>
      </c>
      <c r="D177" s="312" t="s">
        <v>1680</v>
      </c>
      <c r="E177" s="312" t="s">
        <v>1674</v>
      </c>
      <c r="F177" s="298" t="s">
        <v>9019</v>
      </c>
      <c r="G177" s="312" t="s">
        <v>11657</v>
      </c>
      <c r="H177" s="2187" t="s">
        <v>12382</v>
      </c>
      <c r="I177" s="321"/>
      <c r="J177" s="321"/>
      <c r="K177" s="321"/>
      <c r="L177" s="321"/>
    </row>
    <row r="178" spans="2:12" ht="25.5" x14ac:dyDescent="0.2">
      <c r="B178" s="359" t="str">
        <f t="shared" si="13"/>
        <v>Poules de 8</v>
      </c>
      <c r="C178" s="312" t="str">
        <f t="shared" si="15"/>
        <v>N_NewEventForm_GroupOf_8</v>
      </c>
      <c r="D178" s="312" t="s">
        <v>1681</v>
      </c>
      <c r="E178" s="312" t="s">
        <v>1675</v>
      </c>
      <c r="F178" s="298" t="s">
        <v>9020</v>
      </c>
      <c r="G178" s="312" t="s">
        <v>11658</v>
      </c>
      <c r="H178" s="2187" t="s">
        <v>12383</v>
      </c>
      <c r="I178" s="321"/>
      <c r="J178" s="321"/>
      <c r="K178" s="321"/>
      <c r="L178" s="321"/>
    </row>
    <row r="179" spans="2:12" ht="25.5" x14ac:dyDescent="0.2">
      <c r="B179" s="359" t="str">
        <f t="shared" si="13"/>
        <v>Poules de 9</v>
      </c>
      <c r="C179" s="312" t="str">
        <f t="shared" si="15"/>
        <v>N_NewEventForm_GroupOf_9</v>
      </c>
      <c r="D179" s="312" t="s">
        <v>3959</v>
      </c>
      <c r="E179" s="312" t="s">
        <v>3947</v>
      </c>
      <c r="F179" s="298" t="s">
        <v>9021</v>
      </c>
      <c r="G179" s="312" t="s">
        <v>11659</v>
      </c>
      <c r="H179" s="2187" t="s">
        <v>12384</v>
      </c>
      <c r="I179" s="321"/>
      <c r="J179" s="321"/>
      <c r="K179" s="321"/>
      <c r="L179" s="321"/>
    </row>
    <row r="180" spans="2:12" ht="25.5" x14ac:dyDescent="0.2">
      <c r="B180" s="359" t="str">
        <f t="shared" si="13"/>
        <v>Poules de 10</v>
      </c>
      <c r="C180" s="312" t="str">
        <f t="shared" si="15"/>
        <v>N_NewEventForm_GroupOf_10</v>
      </c>
      <c r="D180" s="312" t="s">
        <v>3960</v>
      </c>
      <c r="E180" s="312" t="s">
        <v>3948</v>
      </c>
      <c r="F180" s="298" t="s">
        <v>9022</v>
      </c>
      <c r="G180" s="312" t="s">
        <v>11660</v>
      </c>
      <c r="H180" s="2187" t="s">
        <v>12385</v>
      </c>
      <c r="I180" s="321"/>
      <c r="J180" s="321"/>
      <c r="K180" s="321"/>
      <c r="L180" s="321"/>
    </row>
    <row r="181" spans="2:12" ht="25.5" x14ac:dyDescent="0.2">
      <c r="B181" s="359" t="str">
        <f t="shared" si="13"/>
        <v>Poules de 11</v>
      </c>
      <c r="C181" s="312" t="str">
        <f t="shared" si="15"/>
        <v>N_NewEventForm_GroupOf_11</v>
      </c>
      <c r="D181" s="312" t="s">
        <v>3961</v>
      </c>
      <c r="E181" s="312" t="s">
        <v>3949</v>
      </c>
      <c r="F181" s="298" t="s">
        <v>9023</v>
      </c>
      <c r="G181" s="312" t="s">
        <v>11661</v>
      </c>
      <c r="H181" s="2187" t="s">
        <v>12386</v>
      </c>
      <c r="I181" s="321"/>
      <c r="J181" s="321"/>
      <c r="K181" s="321"/>
      <c r="L181" s="321"/>
    </row>
    <row r="182" spans="2:12" ht="25.5" x14ac:dyDescent="0.2">
      <c r="B182" s="359" t="str">
        <f t="shared" si="13"/>
        <v>Poules de 12</v>
      </c>
      <c r="C182" s="312" t="str">
        <f t="shared" si="15"/>
        <v>N_NewEventForm_GroupOf_12</v>
      </c>
      <c r="D182" s="312" t="s">
        <v>3962</v>
      </c>
      <c r="E182" s="312" t="s">
        <v>3950</v>
      </c>
      <c r="F182" s="298" t="s">
        <v>9024</v>
      </c>
      <c r="G182" s="312" t="s">
        <v>11662</v>
      </c>
      <c r="H182" s="2187" t="s">
        <v>12387</v>
      </c>
      <c r="I182" s="321"/>
      <c r="J182" s="321"/>
      <c r="K182" s="321"/>
      <c r="L182" s="321"/>
    </row>
    <row r="183" spans="2:12" ht="25.5" x14ac:dyDescent="0.2">
      <c r="B183" s="359" t="str">
        <f t="shared" si="13"/>
        <v>Poules de 13</v>
      </c>
      <c r="C183" s="312" t="str">
        <f t="shared" si="15"/>
        <v>N_NewEventForm_GroupOf_13</v>
      </c>
      <c r="D183" s="312" t="s">
        <v>3963</v>
      </c>
      <c r="E183" s="312" t="s">
        <v>3951</v>
      </c>
      <c r="F183" s="298" t="s">
        <v>9025</v>
      </c>
      <c r="G183" s="312" t="s">
        <v>11663</v>
      </c>
      <c r="H183" s="2187" t="s">
        <v>12388</v>
      </c>
      <c r="I183" s="321"/>
      <c r="J183" s="321"/>
      <c r="K183" s="321"/>
      <c r="L183" s="321"/>
    </row>
    <row r="184" spans="2:12" ht="25.5" x14ac:dyDescent="0.2">
      <c r="B184" s="359" t="str">
        <f t="shared" si="13"/>
        <v>Poules de 14</v>
      </c>
      <c r="C184" s="312" t="str">
        <f t="shared" si="15"/>
        <v>N_NewEventForm_GroupOf_14</v>
      </c>
      <c r="D184" s="312" t="s">
        <v>3964</v>
      </c>
      <c r="E184" s="312" t="s">
        <v>3952</v>
      </c>
      <c r="F184" s="298" t="s">
        <v>9026</v>
      </c>
      <c r="G184" s="312" t="s">
        <v>11664</v>
      </c>
      <c r="H184" s="2187" t="s">
        <v>12389</v>
      </c>
      <c r="I184" s="321"/>
      <c r="J184" s="321"/>
      <c r="K184" s="321"/>
      <c r="L184" s="321"/>
    </row>
    <row r="185" spans="2:12" ht="25.5" x14ac:dyDescent="0.2">
      <c r="B185" s="359" t="str">
        <f t="shared" si="13"/>
        <v>Poules de 15</v>
      </c>
      <c r="C185" s="312" t="str">
        <f t="shared" si="15"/>
        <v>N_NewEventForm_GroupOf_15</v>
      </c>
      <c r="D185" s="312" t="s">
        <v>3965</v>
      </c>
      <c r="E185" s="312" t="s">
        <v>3953</v>
      </c>
      <c r="F185" s="298" t="s">
        <v>9027</v>
      </c>
      <c r="G185" s="312" t="s">
        <v>11665</v>
      </c>
      <c r="H185" s="2187" t="s">
        <v>12390</v>
      </c>
      <c r="I185" s="321"/>
      <c r="J185" s="321"/>
      <c r="K185" s="321"/>
      <c r="L185" s="321"/>
    </row>
    <row r="186" spans="2:12" ht="25.5" x14ac:dyDescent="0.2">
      <c r="B186" s="359" t="str">
        <f t="shared" si="13"/>
        <v>Poules de 16</v>
      </c>
      <c r="C186" s="312" t="str">
        <f t="shared" si="15"/>
        <v>N_NewEventForm_GroupOf_16</v>
      </c>
      <c r="D186" s="312" t="s">
        <v>3966</v>
      </c>
      <c r="E186" s="312" t="s">
        <v>3954</v>
      </c>
      <c r="F186" s="298" t="s">
        <v>9028</v>
      </c>
      <c r="G186" s="312" t="s">
        <v>11666</v>
      </c>
      <c r="H186" s="2187" t="s">
        <v>12391</v>
      </c>
      <c r="I186" s="321"/>
      <c r="J186" s="321"/>
      <c r="K186" s="321"/>
      <c r="L186" s="321"/>
    </row>
    <row r="187" spans="2:12" ht="25.5" x14ac:dyDescent="0.2">
      <c r="B187" s="359" t="str">
        <f t="shared" si="13"/>
        <v>Poules de 17</v>
      </c>
      <c r="C187" s="312" t="str">
        <f t="shared" si="15"/>
        <v>N_NewEventForm_GroupOf_17</v>
      </c>
      <c r="D187" s="312" t="s">
        <v>3967</v>
      </c>
      <c r="E187" s="312" t="s">
        <v>3955</v>
      </c>
      <c r="F187" s="298" t="s">
        <v>9029</v>
      </c>
      <c r="G187" s="312" t="s">
        <v>11667</v>
      </c>
      <c r="H187" s="2187" t="s">
        <v>12392</v>
      </c>
      <c r="I187" s="321"/>
      <c r="J187" s="321"/>
      <c r="K187" s="321"/>
      <c r="L187" s="321"/>
    </row>
    <row r="188" spans="2:12" ht="25.5" x14ac:dyDescent="0.2">
      <c r="B188" s="359" t="str">
        <f t="shared" si="13"/>
        <v>Poules de 18</v>
      </c>
      <c r="C188" s="312" t="str">
        <f t="shared" si="15"/>
        <v>N_NewEventForm_GroupOf_18</v>
      </c>
      <c r="D188" s="312" t="s">
        <v>3968</v>
      </c>
      <c r="E188" s="312" t="s">
        <v>3956</v>
      </c>
      <c r="F188" s="298" t="s">
        <v>9030</v>
      </c>
      <c r="G188" s="312" t="s">
        <v>11668</v>
      </c>
      <c r="H188" s="2187" t="s">
        <v>12393</v>
      </c>
      <c r="I188" s="321"/>
      <c r="J188" s="321"/>
      <c r="K188" s="321"/>
      <c r="L188" s="321"/>
    </row>
    <row r="189" spans="2:12" ht="25.5" x14ac:dyDescent="0.2">
      <c r="B189" s="359" t="str">
        <f t="shared" si="13"/>
        <v>Poules de 19</v>
      </c>
      <c r="C189" s="312" t="str">
        <f t="shared" si="15"/>
        <v>N_NewEventForm_GroupOf_19</v>
      </c>
      <c r="D189" s="312" t="s">
        <v>3969</v>
      </c>
      <c r="E189" s="312" t="s">
        <v>3957</v>
      </c>
      <c r="F189" s="298" t="s">
        <v>9031</v>
      </c>
      <c r="G189" s="312" t="s">
        <v>11669</v>
      </c>
      <c r="H189" s="2187" t="s">
        <v>12394</v>
      </c>
      <c r="I189" s="321"/>
      <c r="J189" s="321"/>
      <c r="K189" s="321"/>
      <c r="L189" s="321"/>
    </row>
    <row r="190" spans="2:12" ht="25.5" x14ac:dyDescent="0.2">
      <c r="B190" s="359" t="str">
        <f t="shared" si="13"/>
        <v>Poules de 20</v>
      </c>
      <c r="C190" s="312" t="str">
        <f t="shared" si="15"/>
        <v>N_NewEventForm_GroupOf_20</v>
      </c>
      <c r="D190" s="312" t="s">
        <v>3970</v>
      </c>
      <c r="E190" s="312" t="s">
        <v>3958</v>
      </c>
      <c r="F190" s="298" t="s">
        <v>9032</v>
      </c>
      <c r="G190" s="312" t="s">
        <v>11670</v>
      </c>
      <c r="H190" s="2187" t="s">
        <v>12395</v>
      </c>
      <c r="I190" s="321"/>
      <c r="J190" s="321"/>
      <c r="K190" s="321"/>
      <c r="L190" s="321"/>
    </row>
    <row r="191" spans="2:12" ht="25.5" x14ac:dyDescent="0.2">
      <c r="B191" s="359" t="str">
        <f t="shared" si="13"/>
        <v>en matches Aller / Retour</v>
      </c>
      <c r="C191" s="312" t="str">
        <f t="shared" si="15"/>
        <v>N_NewEventForm_GroupOf_X_FS</v>
      </c>
      <c r="D191" s="312" t="s">
        <v>1682</v>
      </c>
      <c r="E191" s="312" t="s">
        <v>1683</v>
      </c>
      <c r="F191" s="298" t="s">
        <v>9376</v>
      </c>
      <c r="G191" s="312" t="s">
        <v>11672</v>
      </c>
      <c r="H191" s="2187" t="s">
        <v>12396</v>
      </c>
      <c r="I191" s="321"/>
      <c r="J191" s="321"/>
      <c r="K191" s="321"/>
      <c r="L191" s="321"/>
    </row>
    <row r="192" spans="2:12" ht="25.5" x14ac:dyDescent="0.2">
      <c r="B192" s="359" t="str">
        <f t="shared" si="13"/>
        <v>Phase de Poules</v>
      </c>
      <c r="C192" s="312" t="str">
        <f t="shared" si="15"/>
        <v>N_NewEventForm_GroupPhase</v>
      </c>
      <c r="D192" s="312" t="s">
        <v>1687</v>
      </c>
      <c r="E192" s="312" t="s">
        <v>1684</v>
      </c>
      <c r="F192" s="298" t="s">
        <v>8919</v>
      </c>
      <c r="G192" s="312" t="s">
        <v>11673</v>
      </c>
      <c r="H192" s="2187" t="s">
        <v>12397</v>
      </c>
      <c r="I192" s="321"/>
      <c r="J192" s="321"/>
      <c r="K192" s="321"/>
      <c r="L192" s="321"/>
    </row>
    <row r="193" spans="2:12" ht="25.5" x14ac:dyDescent="0.2">
      <c r="B193" s="359" t="str">
        <f t="shared" si="13"/>
        <v>Phase de Barrages</v>
      </c>
      <c r="C193" s="312" t="str">
        <f t="shared" si="15"/>
        <v>N_NewEventForm_PlayOffPhase</v>
      </c>
      <c r="D193" s="312" t="s">
        <v>1688</v>
      </c>
      <c r="E193" s="312" t="s">
        <v>1685</v>
      </c>
      <c r="F193" s="298" t="s">
        <v>9033</v>
      </c>
      <c r="G193" s="312" t="s">
        <v>11674</v>
      </c>
      <c r="H193" s="2187" t="s">
        <v>12398</v>
      </c>
      <c r="I193" s="321"/>
      <c r="J193" s="321"/>
      <c r="K193" s="321"/>
      <c r="L193" s="321"/>
    </row>
    <row r="194" spans="2:12" ht="25.5" x14ac:dyDescent="0.2">
      <c r="B194" s="359" t="str">
        <f t="shared" si="13"/>
        <v>Phase Finale</v>
      </c>
      <c r="C194" s="312" t="str">
        <f t="shared" si="15"/>
        <v>N_NewEventForm_FinalPhase</v>
      </c>
      <c r="D194" s="312" t="s">
        <v>1689</v>
      </c>
      <c r="E194" s="312" t="s">
        <v>1686</v>
      </c>
      <c r="F194" s="298" t="s">
        <v>9034</v>
      </c>
      <c r="G194" s="312" t="s">
        <v>11675</v>
      </c>
      <c r="H194" s="2187" t="s">
        <v>11675</v>
      </c>
      <c r="I194" s="321"/>
      <c r="J194" s="321"/>
      <c r="K194" s="321"/>
      <c r="L194" s="321"/>
    </row>
    <row r="195" spans="2:12" ht="25.5" x14ac:dyDescent="0.2">
      <c r="B195" s="359" t="str">
        <f t="shared" si="13"/>
        <v>Nombre de Matches</v>
      </c>
      <c r="C195" s="312" t="str">
        <f t="shared" si="15"/>
        <v>N_NewEventForm_NbMatchPlayOff</v>
      </c>
      <c r="D195" s="312" t="s">
        <v>1690</v>
      </c>
      <c r="E195" s="312" t="s">
        <v>1691</v>
      </c>
      <c r="F195" s="298" t="s">
        <v>9035</v>
      </c>
      <c r="G195" s="312" t="s">
        <v>11676</v>
      </c>
      <c r="H195" s="2187" t="s">
        <v>12399</v>
      </c>
      <c r="I195" s="321"/>
      <c r="J195" s="321"/>
      <c r="K195" s="321"/>
      <c r="L195" s="321"/>
    </row>
    <row r="196" spans="2:12" ht="25.5" x14ac:dyDescent="0.2">
      <c r="B196" s="359" t="str">
        <f t="shared" si="13"/>
        <v>Nombre de qualifiés d'office</v>
      </c>
      <c r="C196" s="312" t="str">
        <f t="shared" si="15"/>
        <v>N_NewEventForm_NbPreQualified</v>
      </c>
      <c r="D196" s="312" t="s">
        <v>1692</v>
      </c>
      <c r="E196" s="312" t="s">
        <v>1693</v>
      </c>
      <c r="F196" s="298" t="s">
        <v>9036</v>
      </c>
      <c r="G196" s="312" t="s">
        <v>11715</v>
      </c>
      <c r="H196" s="2187" t="s">
        <v>12400</v>
      </c>
      <c r="I196" s="321"/>
      <c r="J196" s="321"/>
      <c r="K196" s="321"/>
      <c r="L196" s="321"/>
    </row>
    <row r="197" spans="2:12" ht="25.5" x14ac:dyDescent="0.2">
      <c r="B197" s="359" t="str">
        <f t="shared" si="13"/>
        <v>Tirage au sort intégral</v>
      </c>
      <c r="C197" s="312" t="str">
        <f t="shared" si="15"/>
        <v>N_NewEventForm_FullDraw</v>
      </c>
      <c r="D197" s="312" t="s">
        <v>2120</v>
      </c>
      <c r="E197" s="312" t="s">
        <v>2121</v>
      </c>
      <c r="F197" s="298" t="s">
        <v>9037</v>
      </c>
      <c r="G197" s="312" t="s">
        <v>11716</v>
      </c>
      <c r="H197" s="2187" t="s">
        <v>12401</v>
      </c>
      <c r="I197" s="321"/>
      <c r="J197" s="321"/>
      <c r="K197" s="321"/>
      <c r="L197" s="321"/>
    </row>
    <row r="198" spans="2:12" ht="25.5" x14ac:dyDescent="0.2">
      <c r="B198" s="359" t="str">
        <f t="shared" ref="B198:B261" si="16">HLOOKUP(Language,D$2:L$1113,ROW()-1,FALSE)</f>
        <v>64ème de Finale</v>
      </c>
      <c r="C198" s="312" t="str">
        <f t="shared" si="15"/>
        <v>N_NewEventForm_Elim_64</v>
      </c>
      <c r="D198" s="312" t="s">
        <v>2118</v>
      </c>
      <c r="E198" s="312" t="s">
        <v>7977</v>
      </c>
      <c r="F198" s="298" t="s">
        <v>8930</v>
      </c>
      <c r="G198" s="312" t="s">
        <v>11605</v>
      </c>
      <c r="H198" s="2187" t="s">
        <v>12296</v>
      </c>
      <c r="I198" s="321"/>
      <c r="J198" s="321"/>
      <c r="K198" s="321"/>
      <c r="L198" s="321"/>
    </row>
    <row r="199" spans="2:12" ht="25.5" x14ac:dyDescent="0.2">
      <c r="B199" s="359" t="str">
        <f t="shared" si="16"/>
        <v>32ème de Finale</v>
      </c>
      <c r="C199" s="312" t="str">
        <f t="shared" si="15"/>
        <v>N_NewEventForm_Elim_32</v>
      </c>
      <c r="D199" s="312" t="s">
        <v>2119</v>
      </c>
      <c r="E199" s="312" t="s">
        <v>7976</v>
      </c>
      <c r="F199" s="298" t="s">
        <v>8929</v>
      </c>
      <c r="G199" s="312" t="s">
        <v>11604</v>
      </c>
      <c r="H199" s="2187" t="s">
        <v>12402</v>
      </c>
      <c r="I199" s="321"/>
      <c r="J199" s="321"/>
      <c r="K199" s="321"/>
      <c r="L199" s="321"/>
    </row>
    <row r="200" spans="2:12" ht="25.5" x14ac:dyDescent="0.2">
      <c r="B200" s="359" t="str">
        <f t="shared" si="16"/>
        <v>16ème de Finale</v>
      </c>
      <c r="C200" s="312" t="str">
        <f t="shared" si="15"/>
        <v>N_NewEventForm_Elim_16</v>
      </c>
      <c r="D200" s="312" t="s">
        <v>1697</v>
      </c>
      <c r="E200" s="312" t="s">
        <v>7975</v>
      </c>
      <c r="F200" s="298" t="s">
        <v>8928</v>
      </c>
      <c r="G200" s="312" t="s">
        <v>11603</v>
      </c>
      <c r="H200" s="2187" t="s">
        <v>12403</v>
      </c>
      <c r="I200" s="321"/>
      <c r="J200" s="321"/>
      <c r="K200" s="321"/>
      <c r="L200" s="321"/>
    </row>
    <row r="201" spans="2:12" ht="25.5" x14ac:dyDescent="0.2">
      <c r="B201" s="359" t="str">
        <f t="shared" si="16"/>
        <v>8ème de Finale</v>
      </c>
      <c r="C201" s="312" t="str">
        <f t="shared" si="15"/>
        <v>N_NewEventForm_Elim_8</v>
      </c>
      <c r="D201" s="312" t="s">
        <v>1696</v>
      </c>
      <c r="E201" s="312" t="s">
        <v>7974</v>
      </c>
      <c r="F201" s="298" t="s">
        <v>8927</v>
      </c>
      <c r="G201" s="312" t="s">
        <v>11602</v>
      </c>
      <c r="H201" s="2187" t="s">
        <v>12294</v>
      </c>
      <c r="I201" s="321"/>
      <c r="J201" s="321"/>
      <c r="K201" s="321"/>
      <c r="L201" s="321"/>
    </row>
    <row r="202" spans="2:12" ht="25.5" x14ac:dyDescent="0.2">
      <c r="B202" s="359" t="str">
        <f t="shared" si="16"/>
        <v>Quart de Finale</v>
      </c>
      <c r="C202" s="312" t="str">
        <f t="shared" si="15"/>
        <v>N_NewEventForm_Elim_Quart</v>
      </c>
      <c r="D202" s="312" t="s">
        <v>1695</v>
      </c>
      <c r="E202" s="312" t="s">
        <v>7973</v>
      </c>
      <c r="F202" s="298" t="s">
        <v>9038</v>
      </c>
      <c r="G202" s="312" t="s">
        <v>12987</v>
      </c>
      <c r="H202" s="2187" t="s">
        <v>12988</v>
      </c>
      <c r="I202" s="321"/>
      <c r="J202" s="321"/>
      <c r="K202" s="321"/>
      <c r="L202" s="321"/>
    </row>
    <row r="203" spans="2:12" ht="25.5" x14ac:dyDescent="0.2">
      <c r="B203" s="359" t="str">
        <f t="shared" si="16"/>
        <v>Demi Finale</v>
      </c>
      <c r="C203" s="312" t="str">
        <f t="shared" si="15"/>
        <v>N_NewEventForm_Elim_Semi</v>
      </c>
      <c r="D203" s="312" t="s">
        <v>1694</v>
      </c>
      <c r="E203" s="312" t="s">
        <v>1698</v>
      </c>
      <c r="F203" s="298" t="s">
        <v>8925</v>
      </c>
      <c r="G203" s="312" t="s">
        <v>11601</v>
      </c>
      <c r="H203" s="2187" t="s">
        <v>11601</v>
      </c>
      <c r="I203" s="321"/>
      <c r="J203" s="321"/>
      <c r="K203" s="321"/>
      <c r="L203" s="321"/>
    </row>
    <row r="204" spans="2:12" ht="25.5" x14ac:dyDescent="0.2">
      <c r="B204" s="359" t="str">
        <f t="shared" si="16"/>
        <v>Finale</v>
      </c>
      <c r="C204" s="312" t="str">
        <f t="shared" si="15"/>
        <v>N_NewEventForm_Elim_Final</v>
      </c>
      <c r="D204" s="312" t="s">
        <v>834</v>
      </c>
      <c r="E204" s="312" t="s">
        <v>1699</v>
      </c>
      <c r="F204" s="298" t="s">
        <v>9039</v>
      </c>
      <c r="G204" s="312" t="s">
        <v>1699</v>
      </c>
      <c r="H204" s="2187" t="s">
        <v>1699</v>
      </c>
      <c r="I204" s="321"/>
      <c r="J204" s="321"/>
      <c r="K204" s="321"/>
      <c r="L204" s="321"/>
    </row>
    <row r="205" spans="2:12" ht="25.5" x14ac:dyDescent="0.2">
      <c r="B205" s="359" t="str">
        <f t="shared" si="16"/>
        <v>Petite Finale</v>
      </c>
      <c r="C205" s="312" t="str">
        <f t="shared" si="15"/>
        <v>N_NewEventForm_Elim_Third</v>
      </c>
      <c r="D205" s="312" t="s">
        <v>876</v>
      </c>
      <c r="E205" s="312" t="s">
        <v>7978</v>
      </c>
      <c r="F205" s="298" t="s">
        <v>8924</v>
      </c>
      <c r="G205" s="312" t="s">
        <v>11600</v>
      </c>
      <c r="H205" s="2187" t="s">
        <v>12404</v>
      </c>
      <c r="I205" s="321"/>
      <c r="J205" s="321"/>
      <c r="K205" s="321"/>
      <c r="L205" s="321"/>
    </row>
    <row r="206" spans="2:12" ht="25.5" x14ac:dyDescent="0.2">
      <c r="B206" s="359" t="str">
        <f t="shared" si="16"/>
        <v>Valider</v>
      </c>
      <c r="C206" s="312" t="str">
        <f t="shared" si="15"/>
        <v>N_NewEventForm_Validate</v>
      </c>
      <c r="D206" s="312" t="s">
        <v>1700</v>
      </c>
      <c r="E206" s="312" t="s">
        <v>1701</v>
      </c>
      <c r="F206" s="298" t="s">
        <v>9040</v>
      </c>
      <c r="G206" s="312" t="s">
        <v>11717</v>
      </c>
      <c r="H206" s="2187" t="s">
        <v>11717</v>
      </c>
      <c r="I206" s="321"/>
      <c r="J206" s="321"/>
      <c r="K206" s="321"/>
      <c r="L206" s="321"/>
    </row>
    <row r="207" spans="2:12" ht="51" x14ac:dyDescent="0.2">
      <c r="B207" s="359" t="str">
        <f t="shared" si="16"/>
        <v>Le nom de l'épreuve est déjà utilisé pour une feuille de ce classeur.</v>
      </c>
      <c r="C207" s="312" t="str">
        <f t="shared" si="15"/>
        <v>N_NewEventForm_SheetExists</v>
      </c>
      <c r="D207" s="312" t="s">
        <v>1702</v>
      </c>
      <c r="E207" s="312" t="s">
        <v>1703</v>
      </c>
      <c r="F207" s="298" t="s">
        <v>9041</v>
      </c>
      <c r="G207" s="312" t="s">
        <v>11718</v>
      </c>
      <c r="H207" s="2187" t="s">
        <v>12405</v>
      </c>
      <c r="I207" s="321"/>
      <c r="J207" s="321"/>
      <c r="K207" s="321"/>
      <c r="L207" s="321"/>
    </row>
    <row r="208" spans="2:12" ht="38.25" x14ac:dyDescent="0.2">
      <c r="B208" s="359" t="str">
        <f t="shared" si="16"/>
        <v>La valeur saisie n'est pas numérique.</v>
      </c>
      <c r="C208" s="312" t="str">
        <f t="shared" si="15"/>
        <v>N_NonNumeric</v>
      </c>
      <c r="D208" s="312" t="s">
        <v>1705</v>
      </c>
      <c r="E208" s="312" t="s">
        <v>1704</v>
      </c>
      <c r="F208" s="298" t="s">
        <v>9042</v>
      </c>
      <c r="G208" s="312" t="s">
        <v>11719</v>
      </c>
      <c r="H208" s="2187" t="s">
        <v>12406</v>
      </c>
      <c r="I208" s="321"/>
      <c r="J208" s="321"/>
      <c r="K208" s="321"/>
      <c r="L208" s="321"/>
    </row>
    <row r="209" spans="2:12" x14ac:dyDescent="0.2">
      <c r="B209" s="359" t="str">
        <f t="shared" si="16"/>
        <v>Sortir</v>
      </c>
      <c r="C209" s="312" t="str">
        <f t="shared" si="15"/>
        <v>N_NewEventForm_Exit</v>
      </c>
      <c r="D209" s="312" t="s">
        <v>1707</v>
      </c>
      <c r="E209" s="312" t="s">
        <v>1706</v>
      </c>
      <c r="F209" s="298" t="s">
        <v>9043</v>
      </c>
      <c r="G209" s="312" t="s">
        <v>11720</v>
      </c>
      <c r="H209" s="2187" t="s">
        <v>1707</v>
      </c>
      <c r="I209" s="321"/>
      <c r="J209" s="321"/>
      <c r="K209" s="321"/>
      <c r="L209" s="321"/>
    </row>
    <row r="210" spans="2:12" ht="51" x14ac:dyDescent="0.2">
      <c r="B210" s="359" t="str">
        <f t="shared" si="16"/>
        <v>Formulaire de saisie pour une nouvelle épreuve individuelle</v>
      </c>
      <c r="C210" s="312" t="str">
        <f t="shared" si="15"/>
        <v>N_NewEventForm_Caption</v>
      </c>
      <c r="D210" s="312" t="s">
        <v>928</v>
      </c>
      <c r="E210" s="312" t="s">
        <v>929</v>
      </c>
      <c r="F210" s="298" t="s">
        <v>9044</v>
      </c>
      <c r="G210" s="312" t="s">
        <v>11721</v>
      </c>
      <c r="H210" s="2187" t="s">
        <v>12407</v>
      </c>
      <c r="I210" s="321"/>
      <c r="J210" s="321"/>
      <c r="K210" s="321"/>
      <c r="L210" s="321"/>
    </row>
    <row r="211" spans="2:12" ht="51" x14ac:dyDescent="0.2">
      <c r="B211" s="359" t="str">
        <f t="shared" si="16"/>
        <v>Formulaire de saisie pour une nouvelle épreuve par équipe</v>
      </c>
      <c r="C211" s="312" t="str">
        <f t="shared" si="15"/>
        <v>N_NewEventFormForTeams_Caption</v>
      </c>
      <c r="D211" s="312" t="s">
        <v>922</v>
      </c>
      <c r="E211" s="312" t="s">
        <v>924</v>
      </c>
      <c r="F211" s="298" t="s">
        <v>9045</v>
      </c>
      <c r="G211" s="312" t="s">
        <v>11722</v>
      </c>
      <c r="H211" s="2187" t="s">
        <v>12408</v>
      </c>
      <c r="I211" s="321"/>
      <c r="J211" s="321"/>
      <c r="K211" s="321"/>
      <c r="L211" s="321"/>
    </row>
    <row r="212" spans="2:12" ht="51" x14ac:dyDescent="0.2">
      <c r="B212" s="359" t="str">
        <f t="shared" si="16"/>
        <v>Formulaire de saisie pour une nouvelle épreuve en double</v>
      </c>
      <c r="C212" s="312" t="str">
        <f t="shared" si="15"/>
        <v>N_NewEventFormForDoubles_Caption</v>
      </c>
      <c r="D212" s="312" t="s">
        <v>923</v>
      </c>
      <c r="E212" s="312" t="s">
        <v>925</v>
      </c>
      <c r="F212" s="298" t="s">
        <v>9046</v>
      </c>
      <c r="G212" s="312" t="s">
        <v>11723</v>
      </c>
      <c r="H212" s="2187" t="s">
        <v>12409</v>
      </c>
      <c r="I212" s="321"/>
      <c r="J212" s="321"/>
      <c r="K212" s="321"/>
      <c r="L212" s="321"/>
    </row>
    <row r="213" spans="2:12" ht="63.75" x14ac:dyDescent="0.2">
      <c r="B213" s="359" t="str">
        <f t="shared" si="16"/>
        <v>Formulaire de saisie pour une nouvelle épreuve individuelle selon formule</v>
      </c>
      <c r="C213" s="312" t="str">
        <f t="shared" si="15"/>
        <v>N_NewOfficialEventForm_Caption</v>
      </c>
      <c r="D213" s="312" t="s">
        <v>1283</v>
      </c>
      <c r="E213" s="312" t="s">
        <v>1286</v>
      </c>
      <c r="F213" s="298" t="s">
        <v>9047</v>
      </c>
      <c r="G213" s="312" t="s">
        <v>11724</v>
      </c>
      <c r="H213" s="2187" t="s">
        <v>12410</v>
      </c>
      <c r="I213" s="321"/>
      <c r="J213" s="321"/>
      <c r="K213" s="321"/>
      <c r="L213" s="321"/>
    </row>
    <row r="214" spans="2:12" ht="63.75" x14ac:dyDescent="0.2">
      <c r="B214" s="359" t="str">
        <f t="shared" si="16"/>
        <v>Formulaire de saisie pour une nouvelle épreuve par équipe selon formule</v>
      </c>
      <c r="C214" s="312" t="str">
        <f t="shared" si="15"/>
        <v>N_NewOfficialEventFormForTeams_Caption</v>
      </c>
      <c r="D214" s="312" t="s">
        <v>1284</v>
      </c>
      <c r="E214" s="312" t="s">
        <v>1287</v>
      </c>
      <c r="F214" s="298" t="s">
        <v>9048</v>
      </c>
      <c r="G214" s="312" t="s">
        <v>11725</v>
      </c>
      <c r="H214" s="2187" t="s">
        <v>12411</v>
      </c>
      <c r="I214" s="321"/>
      <c r="J214" s="321"/>
      <c r="K214" s="321"/>
      <c r="L214" s="321"/>
    </row>
    <row r="215" spans="2:12" ht="63.75" x14ac:dyDescent="0.2">
      <c r="B215" s="359" t="str">
        <f t="shared" si="16"/>
        <v>Formulaire de saisie pour une nouvelle épreuve en double selon formule</v>
      </c>
      <c r="C215" s="312" t="str">
        <f t="shared" ref="C215:C277" si="17">NAMEOF(B215)</f>
        <v>N_NewOfficialEventFormForDoubles_Caption</v>
      </c>
      <c r="D215" s="312" t="s">
        <v>1285</v>
      </c>
      <c r="E215" s="312" t="s">
        <v>1288</v>
      </c>
      <c r="F215" s="298" t="s">
        <v>9049</v>
      </c>
      <c r="G215" s="312" t="s">
        <v>11726</v>
      </c>
      <c r="H215" s="2187" t="s">
        <v>12412</v>
      </c>
      <c r="I215" s="321"/>
      <c r="J215" s="321"/>
      <c r="K215" s="321"/>
      <c r="L215" s="321"/>
    </row>
    <row r="216" spans="2:12" ht="76.5" x14ac:dyDescent="0.2">
      <c r="B216" s="359" t="str">
        <f t="shared" si="16"/>
        <v>Formulaire de saisie pour une nouvelle épreuve individuelle selon formule officielles ou non</v>
      </c>
      <c r="C216" s="312" t="str">
        <f t="shared" si="17"/>
        <v>N_NewEventWithFormulasForm_Caption</v>
      </c>
      <c r="D216" s="312" t="s">
        <v>1215</v>
      </c>
      <c r="E216" s="312" t="s">
        <v>1213</v>
      </c>
      <c r="F216" s="298" t="s">
        <v>9050</v>
      </c>
      <c r="G216" s="312" t="s">
        <v>11727</v>
      </c>
      <c r="H216" s="2187" t="s">
        <v>12413</v>
      </c>
      <c r="I216" s="321"/>
      <c r="J216" s="321"/>
      <c r="K216" s="321"/>
      <c r="L216" s="321"/>
    </row>
    <row r="217" spans="2:12" ht="76.5" x14ac:dyDescent="0.2">
      <c r="B217" s="359" t="str">
        <f t="shared" si="16"/>
        <v>Formulaire de saisie pour une nouvelle épreuve par équipe selon formule officielles ou non</v>
      </c>
      <c r="C217" s="312" t="str">
        <f t="shared" si="17"/>
        <v>N_NewEventWithFormulasFormForTeams_Caption</v>
      </c>
      <c r="D217" s="312" t="s">
        <v>1214</v>
      </c>
      <c r="E217" s="312" t="s">
        <v>1212</v>
      </c>
      <c r="F217" s="298" t="s">
        <v>9051</v>
      </c>
      <c r="G217" s="312" t="s">
        <v>11728</v>
      </c>
      <c r="H217" s="2187" t="s">
        <v>12414</v>
      </c>
      <c r="I217" s="321"/>
      <c r="J217" s="321"/>
      <c r="K217" s="321"/>
      <c r="L217" s="321"/>
    </row>
    <row r="218" spans="2:12" ht="76.5" x14ac:dyDescent="0.2">
      <c r="B218" s="359" t="str">
        <f t="shared" si="16"/>
        <v>Formulaire de saisie pour une nouvelle épreuve en double selon formules officielles ou non</v>
      </c>
      <c r="C218" s="312" t="str">
        <f t="shared" si="17"/>
        <v>N_NewEventWithFormulasFormForDoubles_Caption</v>
      </c>
      <c r="D218" s="312" t="s">
        <v>1210</v>
      </c>
      <c r="E218" s="312" t="s">
        <v>1211</v>
      </c>
      <c r="F218" s="298" t="s">
        <v>9052</v>
      </c>
      <c r="G218" s="312" t="s">
        <v>11729</v>
      </c>
      <c r="H218" s="2187" t="s">
        <v>12415</v>
      </c>
      <c r="I218" s="321"/>
      <c r="J218" s="321"/>
      <c r="K218" s="321"/>
      <c r="L218" s="321"/>
    </row>
    <row r="219" spans="2:12" ht="25.5" x14ac:dyDescent="0.2">
      <c r="B219" s="359" t="str">
        <f t="shared" si="16"/>
        <v>Nombre de joueurs engagés</v>
      </c>
      <c r="C219" s="312" t="str">
        <f t="shared" si="17"/>
        <v>N_NewOfficialEventForm_NbPlayersInvolved</v>
      </c>
      <c r="D219" s="312" t="s">
        <v>1295</v>
      </c>
      <c r="E219" s="312" t="s">
        <v>1296</v>
      </c>
      <c r="F219" s="298" t="s">
        <v>9053</v>
      </c>
      <c r="G219" s="312" t="s">
        <v>12984</v>
      </c>
      <c r="H219" s="2187" t="s">
        <v>12985</v>
      </c>
      <c r="I219" s="321"/>
      <c r="J219" s="321"/>
      <c r="K219" s="321"/>
      <c r="L219" s="321"/>
    </row>
    <row r="220" spans="2:12" ht="25.5" x14ac:dyDescent="0.2">
      <c r="B220" s="359" t="str">
        <f t="shared" si="16"/>
        <v>Poules de …</v>
      </c>
      <c r="C220" s="312" t="str">
        <f t="shared" si="17"/>
        <v>N_NewOfficialEventForm_GroupsOf</v>
      </c>
      <c r="D220" s="312" t="s">
        <v>1301</v>
      </c>
      <c r="E220" s="312" t="s">
        <v>1302</v>
      </c>
      <c r="F220" s="298" t="s">
        <v>9054</v>
      </c>
      <c r="G220" s="312" t="s">
        <v>11730</v>
      </c>
      <c r="H220" s="2187" t="s">
        <v>12416</v>
      </c>
      <c r="I220" s="321"/>
      <c r="J220" s="321"/>
      <c r="K220" s="321"/>
      <c r="L220" s="321"/>
    </row>
    <row r="221" spans="2:12" ht="25.5" x14ac:dyDescent="0.2">
      <c r="B221" s="359" t="str">
        <f t="shared" si="16"/>
        <v>3 Joueurs</v>
      </c>
      <c r="C221" s="312" t="str">
        <f t="shared" si="17"/>
        <v>N_NewOfficialEventForm_GroupSizeOf3</v>
      </c>
      <c r="D221" s="312" t="s">
        <v>1297</v>
      </c>
      <c r="E221" s="312" t="s">
        <v>1299</v>
      </c>
      <c r="F221" s="298" t="s">
        <v>9055</v>
      </c>
      <c r="G221" s="312" t="s">
        <v>11731</v>
      </c>
      <c r="H221" s="2187" t="s">
        <v>12417</v>
      </c>
      <c r="I221" s="321"/>
      <c r="J221" s="321"/>
      <c r="K221" s="321"/>
      <c r="L221" s="321"/>
    </row>
    <row r="222" spans="2:12" ht="25.5" x14ac:dyDescent="0.2">
      <c r="B222" s="359" t="str">
        <f t="shared" si="16"/>
        <v>4 Joueurs</v>
      </c>
      <c r="C222" s="312" t="str">
        <f t="shared" si="17"/>
        <v>N_NewOfficialEventForm_GroupSizeOf4</v>
      </c>
      <c r="D222" s="312" t="s">
        <v>1298</v>
      </c>
      <c r="E222" s="312" t="s">
        <v>1300</v>
      </c>
      <c r="F222" s="298" t="s">
        <v>9056</v>
      </c>
      <c r="G222" s="312" t="s">
        <v>11732</v>
      </c>
      <c r="H222" s="2187" t="s">
        <v>12418</v>
      </c>
      <c r="I222" s="321"/>
      <c r="J222" s="321"/>
      <c r="K222" s="321"/>
      <c r="L222" s="321"/>
    </row>
    <row r="223" spans="2:12" ht="25.5" x14ac:dyDescent="0.2">
      <c r="B223" s="359" t="str">
        <f t="shared" si="16"/>
        <v>5 Joueurs</v>
      </c>
      <c r="C223" s="312" t="str">
        <f t="shared" si="17"/>
        <v>N_NewOfficialEventForm_GroupSizeOf5</v>
      </c>
      <c r="D223" s="312" t="s">
        <v>4011</v>
      </c>
      <c r="E223" s="312" t="s">
        <v>4017</v>
      </c>
      <c r="F223" s="298" t="s">
        <v>9057</v>
      </c>
      <c r="G223" s="312" t="s">
        <v>11733</v>
      </c>
      <c r="H223" s="2187" t="s">
        <v>12419</v>
      </c>
      <c r="I223" s="321"/>
      <c r="J223" s="321"/>
      <c r="K223" s="321"/>
      <c r="L223" s="321"/>
    </row>
    <row r="224" spans="2:12" ht="25.5" x14ac:dyDescent="0.2">
      <c r="B224" s="359" t="str">
        <f t="shared" si="16"/>
        <v>6 Joueurs</v>
      </c>
      <c r="C224" s="312" t="str">
        <f t="shared" si="17"/>
        <v>N_NewOfficialEventForm_GroupSizeOf6</v>
      </c>
      <c r="D224" s="312" t="s">
        <v>4012</v>
      </c>
      <c r="E224" s="312" t="s">
        <v>4018</v>
      </c>
      <c r="F224" s="298" t="s">
        <v>9058</v>
      </c>
      <c r="G224" s="312" t="s">
        <v>11734</v>
      </c>
      <c r="H224" s="2187" t="s">
        <v>12420</v>
      </c>
      <c r="I224" s="321"/>
      <c r="J224" s="321"/>
      <c r="K224" s="321"/>
      <c r="L224" s="321"/>
    </row>
    <row r="225" spans="2:12" ht="25.5" x14ac:dyDescent="0.2">
      <c r="B225" s="359" t="str">
        <f t="shared" si="16"/>
        <v>7 Joueurs</v>
      </c>
      <c r="C225" s="312" t="str">
        <f t="shared" si="17"/>
        <v>N_NewOfficialEventForm_GroupSizeOf7</v>
      </c>
      <c r="D225" s="312" t="s">
        <v>4013</v>
      </c>
      <c r="E225" s="312" t="s">
        <v>4019</v>
      </c>
      <c r="F225" s="298" t="s">
        <v>9059</v>
      </c>
      <c r="G225" s="312" t="s">
        <v>11735</v>
      </c>
      <c r="H225" s="2187" t="s">
        <v>12421</v>
      </c>
      <c r="I225" s="321"/>
      <c r="J225" s="321"/>
      <c r="K225" s="321"/>
      <c r="L225" s="321"/>
    </row>
    <row r="226" spans="2:12" ht="25.5" x14ac:dyDescent="0.2">
      <c r="B226" s="359" t="str">
        <f t="shared" si="16"/>
        <v>8 Joueurs</v>
      </c>
      <c r="C226" s="312" t="str">
        <f t="shared" si="17"/>
        <v>N_NewOfficialEventForm_GroupSizeOf8</v>
      </c>
      <c r="D226" s="312" t="s">
        <v>4014</v>
      </c>
      <c r="E226" s="312" t="s">
        <v>4020</v>
      </c>
      <c r="F226" s="298" t="s">
        <v>9060</v>
      </c>
      <c r="G226" s="312" t="s">
        <v>11736</v>
      </c>
      <c r="H226" s="2187" t="s">
        <v>12422</v>
      </c>
      <c r="I226" s="321"/>
      <c r="J226" s="321"/>
      <c r="K226" s="321"/>
      <c r="L226" s="321"/>
    </row>
    <row r="227" spans="2:12" ht="25.5" x14ac:dyDescent="0.2">
      <c r="B227" s="359" t="str">
        <f t="shared" si="16"/>
        <v>9 Joueurs</v>
      </c>
      <c r="C227" s="312" t="str">
        <f t="shared" si="17"/>
        <v>N_NewOfficialEventForm_GroupSizeOf9</v>
      </c>
      <c r="D227" s="312" t="s">
        <v>4015</v>
      </c>
      <c r="E227" s="312" t="s">
        <v>4021</v>
      </c>
      <c r="F227" s="298" t="s">
        <v>9061</v>
      </c>
      <c r="G227" s="312" t="s">
        <v>11737</v>
      </c>
      <c r="H227" s="2187" t="s">
        <v>12423</v>
      </c>
      <c r="I227" s="321"/>
      <c r="J227" s="321"/>
      <c r="K227" s="321"/>
      <c r="L227" s="321"/>
    </row>
    <row r="228" spans="2:12" ht="25.5" x14ac:dyDescent="0.2">
      <c r="B228" s="359" t="str">
        <f t="shared" si="16"/>
        <v>10 Joueurs</v>
      </c>
      <c r="C228" s="312" t="str">
        <f t="shared" si="17"/>
        <v>N_NewOfficialEventForm_GroupSizeOf10</v>
      </c>
      <c r="D228" s="312" t="s">
        <v>4016</v>
      </c>
      <c r="E228" s="312" t="s">
        <v>4022</v>
      </c>
      <c r="F228" s="298" t="s">
        <v>9062</v>
      </c>
      <c r="G228" s="312" t="s">
        <v>11738</v>
      </c>
      <c r="H228" s="2187" t="s">
        <v>12424</v>
      </c>
      <c r="I228" s="321"/>
      <c r="J228" s="321"/>
      <c r="K228" s="321"/>
      <c r="L228" s="321"/>
    </row>
    <row r="229" spans="2:12" x14ac:dyDescent="0.2">
      <c r="B229" s="359" t="str">
        <f t="shared" si="16"/>
        <v>Masquer</v>
      </c>
      <c r="C229" s="312" t="str">
        <f t="shared" si="17"/>
        <v>N_NewEventForm_Hide</v>
      </c>
      <c r="D229" s="312" t="s">
        <v>1709</v>
      </c>
      <c r="E229" s="312" t="s">
        <v>1708</v>
      </c>
      <c r="F229" s="298" t="s">
        <v>9063</v>
      </c>
      <c r="G229" s="312" t="s">
        <v>11739</v>
      </c>
      <c r="H229" s="2187" t="s">
        <v>12425</v>
      </c>
      <c r="I229" s="321"/>
      <c r="J229" s="321"/>
      <c r="K229" s="321"/>
      <c r="L229" s="321"/>
    </row>
    <row r="230" spans="2:12" ht="25.5" x14ac:dyDescent="0.2">
      <c r="B230" s="359" t="str">
        <f t="shared" si="16"/>
        <v xml:space="preserve">Session N° </v>
      </c>
      <c r="C230" s="312" t="str">
        <f t="shared" si="17"/>
        <v>N_Rib_GmftSession_Number</v>
      </c>
      <c r="D230" s="312" t="s">
        <v>1711</v>
      </c>
      <c r="E230" s="312" t="s">
        <v>1710</v>
      </c>
      <c r="F230" s="298" t="s">
        <v>9064</v>
      </c>
      <c r="G230" s="312" t="s">
        <v>11740</v>
      </c>
      <c r="H230" s="2187" t="s">
        <v>12426</v>
      </c>
      <c r="I230" s="321"/>
      <c r="J230" s="321"/>
      <c r="K230" s="321"/>
      <c r="L230" s="321"/>
    </row>
    <row r="231" spans="2:12" x14ac:dyDescent="0.2">
      <c r="B231" s="359" t="str">
        <f t="shared" si="16"/>
        <v>Durée</v>
      </c>
      <c r="C231" s="312" t="str">
        <f t="shared" si="17"/>
        <v>N_Duration</v>
      </c>
      <c r="D231" s="312" t="s">
        <v>1713</v>
      </c>
      <c r="E231" s="312" t="s">
        <v>1712</v>
      </c>
      <c r="F231" s="298" t="s">
        <v>9065</v>
      </c>
      <c r="G231" s="312" t="s">
        <v>11741</v>
      </c>
      <c r="H231" s="2187" t="s">
        <v>12427</v>
      </c>
      <c r="I231" s="321"/>
      <c r="J231" s="321"/>
      <c r="K231" s="321"/>
      <c r="L231" s="321"/>
    </row>
    <row r="232" spans="2:12" x14ac:dyDescent="0.2">
      <c r="B232" s="359" t="str">
        <f t="shared" si="16"/>
        <v>Tr</v>
      </c>
      <c r="C232" s="312" t="str">
        <f t="shared" si="17"/>
        <v>N_Round</v>
      </c>
      <c r="D232" s="312" t="s">
        <v>8868</v>
      </c>
      <c r="E232" s="312" t="s">
        <v>8867</v>
      </c>
      <c r="F232" s="298" t="s">
        <v>9066</v>
      </c>
      <c r="G232" s="312" t="s">
        <v>11742</v>
      </c>
      <c r="H232" s="2187" t="s">
        <v>11742</v>
      </c>
      <c r="I232" s="321"/>
      <c r="J232" s="321"/>
      <c r="K232" s="321"/>
      <c r="L232" s="321"/>
    </row>
    <row r="233" spans="2:12" ht="102" x14ac:dyDescent="0.2">
      <c r="B233" s="359" t="str">
        <f t="shared" si="16"/>
        <v>Une feuille de feuilles de match existe déjà. Cette opération va supprimer cette feuille et le recréer. Voulez-vous continuer ?</v>
      </c>
      <c r="C233" s="312" t="str">
        <f t="shared" si="17"/>
        <v>N_MatchFormsSheetExists</v>
      </c>
      <c r="D233" s="312" t="s">
        <v>1747</v>
      </c>
      <c r="E233" s="312" t="s">
        <v>1748</v>
      </c>
      <c r="F233" s="298" t="s">
        <v>9067</v>
      </c>
      <c r="G233" s="312" t="s">
        <v>11743</v>
      </c>
      <c r="H233" s="2187" t="s">
        <v>12428</v>
      </c>
      <c r="I233" s="321"/>
      <c r="J233" s="321"/>
      <c r="K233" s="321"/>
      <c r="L233" s="321"/>
    </row>
    <row r="234" spans="2:12" x14ac:dyDescent="0.2">
      <c r="B234" s="359" t="str">
        <f t="shared" si="16"/>
        <v>Fin de journée</v>
      </c>
      <c r="C234" s="312" t="str">
        <f t="shared" si="17"/>
        <v>N_EndEvent</v>
      </c>
      <c r="D234" s="312" t="s">
        <v>1749</v>
      </c>
      <c r="E234" s="312" t="s">
        <v>1750</v>
      </c>
      <c r="F234" s="298" t="s">
        <v>9068</v>
      </c>
      <c r="G234" s="312" t="s">
        <v>11744</v>
      </c>
      <c r="H234" s="2187" t="s">
        <v>12429</v>
      </c>
      <c r="I234" s="321"/>
      <c r="J234" s="321"/>
      <c r="K234" s="321"/>
      <c r="L234" s="321"/>
    </row>
    <row r="235" spans="2:12" ht="25.5" x14ac:dyDescent="0.2">
      <c r="B235" s="359" t="str">
        <f t="shared" si="16"/>
        <v>Vous n'avez rien sélectionné !</v>
      </c>
      <c r="C235" s="312" t="str">
        <f t="shared" si="17"/>
        <v>N_NothingSelected</v>
      </c>
      <c r="D235" s="312" t="s">
        <v>1751</v>
      </c>
      <c r="E235" s="312" t="s">
        <v>1752</v>
      </c>
      <c r="F235" s="298" t="s">
        <v>9069</v>
      </c>
      <c r="G235" s="312" t="s">
        <v>11745</v>
      </c>
      <c r="H235" s="2187" t="s">
        <v>12430</v>
      </c>
      <c r="I235" s="321"/>
      <c r="J235" s="321"/>
      <c r="K235" s="321"/>
      <c r="L235" s="321"/>
    </row>
    <row r="236" spans="2:12" ht="51" x14ac:dyDescent="0.2">
      <c r="B236" s="359" t="str">
        <f t="shared" si="16"/>
        <v xml:space="preserve">Votre sélection ne correspond pas uniquement à des lignes de match ! </v>
      </c>
      <c r="C236" s="312" t="str">
        <f t="shared" si="17"/>
        <v>N_NotOnlyMatchSelected</v>
      </c>
      <c r="D236" s="312" t="s">
        <v>1753</v>
      </c>
      <c r="E236" s="312" t="s">
        <v>1754</v>
      </c>
      <c r="F236" s="298" t="s">
        <v>9070</v>
      </c>
      <c r="G236" s="312" t="s">
        <v>11746</v>
      </c>
      <c r="H236" s="2187" t="s">
        <v>12431</v>
      </c>
      <c r="I236" s="321"/>
      <c r="J236" s="321"/>
      <c r="K236" s="321"/>
      <c r="L236" s="321"/>
    </row>
    <row r="237" spans="2:12" ht="76.5" x14ac:dyDescent="0.2">
      <c r="B237" s="359" t="str">
        <f t="shared" si="16"/>
        <v>La sélection ne doit être constituée que d'une seul zone continue et entièrement incluse dans une session !</v>
      </c>
      <c r="C237" s="312" t="str">
        <f t="shared" si="17"/>
        <v>N_ContinuousSelectionInSession</v>
      </c>
      <c r="D237" s="312" t="s">
        <v>7222</v>
      </c>
      <c r="E237" s="312" t="s">
        <v>7223</v>
      </c>
      <c r="F237" s="298" t="s">
        <v>9071</v>
      </c>
      <c r="G237" s="312" t="s">
        <v>11747</v>
      </c>
      <c r="H237" s="2187" t="s">
        <v>12432</v>
      </c>
      <c r="I237" s="321"/>
      <c r="J237" s="321"/>
      <c r="K237" s="321"/>
      <c r="L237" s="321"/>
    </row>
    <row r="238" spans="2:12" ht="38.25" x14ac:dyDescent="0.2">
      <c r="B238" s="359" t="str">
        <f t="shared" si="16"/>
        <v>Saisir le numéro de session de destination</v>
      </c>
      <c r="C238" s="312" t="str">
        <f t="shared" si="17"/>
        <v>N_GetSessionNumber</v>
      </c>
      <c r="D238" s="312" t="s">
        <v>7226</v>
      </c>
      <c r="E238" s="312" t="s">
        <v>7227</v>
      </c>
      <c r="F238" s="303" t="s">
        <v>9072</v>
      </c>
      <c r="G238" s="312" t="s">
        <v>11748</v>
      </c>
      <c r="H238" s="2187" t="s">
        <v>12433</v>
      </c>
      <c r="I238" s="321"/>
      <c r="J238" s="321"/>
      <c r="K238" s="321"/>
      <c r="L238" s="321"/>
    </row>
    <row r="239" spans="2:12" ht="51" x14ac:dyDescent="0.2">
      <c r="B239" s="359" t="str">
        <f t="shared" si="16"/>
        <v xml:space="preserve">Numéro de session incorrect ! la valeur saisie doit être comprise entre 1 et </v>
      </c>
      <c r="C239" s="312" t="str">
        <f t="shared" si="17"/>
        <v>N_BadSessionNo</v>
      </c>
      <c r="D239" s="312" t="s">
        <v>7228</v>
      </c>
      <c r="E239" s="312" t="s">
        <v>7229</v>
      </c>
      <c r="F239" s="298" t="s">
        <v>9073</v>
      </c>
      <c r="G239" s="312" t="s">
        <v>11749</v>
      </c>
      <c r="H239" s="2186" t="s">
        <v>12434</v>
      </c>
      <c r="I239" s="321"/>
      <c r="J239" s="321"/>
      <c r="K239" s="321"/>
      <c r="L239" s="321"/>
    </row>
    <row r="240" spans="2:12" ht="63.75" x14ac:dyDescent="0.2">
      <c r="B240" s="359" t="str">
        <f t="shared" si="16"/>
        <v>Votre sélection est en début de planning et ne peut être encore remontée !</v>
      </c>
      <c r="C240" s="312" t="str">
        <f t="shared" si="17"/>
        <v>N_UpNotPossible</v>
      </c>
      <c r="D240" s="312" t="s">
        <v>1755</v>
      </c>
      <c r="E240" s="312" t="s">
        <v>1756</v>
      </c>
      <c r="F240" s="298" t="s">
        <v>9074</v>
      </c>
      <c r="G240" s="312" t="s">
        <v>11750</v>
      </c>
      <c r="H240" s="2186" t="s">
        <v>12435</v>
      </c>
      <c r="I240" s="321"/>
      <c r="J240" s="321"/>
      <c r="K240" s="321"/>
      <c r="L240" s="321"/>
    </row>
    <row r="241" spans="2:12" ht="102" x14ac:dyDescent="0.2">
      <c r="B241" s="359" t="str">
        <f t="shared" si="16"/>
        <v>La sélection est en session 1 et ne peut donc être déplacée dans une session précédente ! Au préalable, créer une session avant la session 1.</v>
      </c>
      <c r="C241" s="312" t="str">
        <f t="shared" si="17"/>
        <v>N_SessionUpNotPossible</v>
      </c>
      <c r="D241" s="312" t="s">
        <v>7225</v>
      </c>
      <c r="E241" s="312" t="s">
        <v>7224</v>
      </c>
      <c r="F241" s="298" t="s">
        <v>9075</v>
      </c>
      <c r="G241" s="312" t="s">
        <v>11751</v>
      </c>
      <c r="H241" s="2187" t="s">
        <v>12436</v>
      </c>
      <c r="I241" s="321"/>
      <c r="J241" s="321"/>
      <c r="K241" s="321"/>
      <c r="L241" s="321"/>
    </row>
    <row r="242" spans="2:12" ht="114.75" x14ac:dyDescent="0.2">
      <c r="B242" s="359" t="str">
        <f t="shared" si="16"/>
        <v>Votre sélection est dans la dernière session de planning et ne peut être encore descendue ! Vous pouvez éventuellement créer une nouvelle session.</v>
      </c>
      <c r="C242" s="312" t="str">
        <f t="shared" si="17"/>
        <v>N_DownNotPossible</v>
      </c>
      <c r="D242" s="312" t="s">
        <v>912</v>
      </c>
      <c r="E242" s="312" t="s">
        <v>913</v>
      </c>
      <c r="F242" s="298" t="s">
        <v>9076</v>
      </c>
      <c r="G242" s="312" t="s">
        <v>11752</v>
      </c>
      <c r="H242" s="2186" t="s">
        <v>12437</v>
      </c>
      <c r="I242" s="321"/>
      <c r="J242" s="321"/>
      <c r="K242" s="321"/>
      <c r="L242" s="321"/>
    </row>
    <row r="243" spans="2:12" ht="153" x14ac:dyDescent="0.2">
      <c r="B243" s="359" t="str">
        <f t="shared" si="16"/>
        <v>Erreur système : une cellule cachée "Type de Match" contient un code de type de match inconnu. Contacter le support. Essayer de supprimer et recréer manuellement les matches concernés dans le planning.</v>
      </c>
      <c r="C243" s="312" t="str">
        <f t="shared" si="17"/>
        <v>N_BadMatchTypeIndicator</v>
      </c>
      <c r="D243" s="312" t="s">
        <v>916</v>
      </c>
      <c r="E243" s="312" t="s">
        <v>917</v>
      </c>
      <c r="F243" s="298" t="s">
        <v>9077</v>
      </c>
      <c r="G243" s="312" t="s">
        <v>11753</v>
      </c>
      <c r="H243" s="2187" t="s">
        <v>12438</v>
      </c>
      <c r="I243" s="321"/>
      <c r="J243" s="321"/>
      <c r="K243" s="321"/>
      <c r="L243" s="321"/>
    </row>
    <row r="244" spans="2:12" ht="191.25" x14ac:dyDescent="0.2">
      <c r="B244" s="359" t="str">
        <f t="shared" si="16"/>
        <v xml:space="preserve">Erreur système : un match d'équipe ou de double ne comporte pas tous les matches individuels. Des lignes ont peut être été supprimées par erreur. Contacter le support. Essayer de supprimer et recréer manuellement les matches concernés dans le planning. </v>
      </c>
      <c r="C244" s="312" t="str">
        <f t="shared" si="17"/>
        <v>N_NotEnoughMatchesInATeamMatch</v>
      </c>
      <c r="D244" s="312" t="s">
        <v>914</v>
      </c>
      <c r="E244" s="312" t="s">
        <v>915</v>
      </c>
      <c r="F244" s="298" t="s">
        <v>9078</v>
      </c>
      <c r="G244" s="312" t="s">
        <v>11754</v>
      </c>
      <c r="H244" s="2187" t="s">
        <v>12439</v>
      </c>
      <c r="I244" s="321"/>
      <c r="J244" s="321"/>
      <c r="K244" s="321"/>
      <c r="L244" s="321"/>
    </row>
    <row r="245" spans="2:12" ht="38.25" x14ac:dyDescent="0.2">
      <c r="B245" s="359" t="str">
        <f t="shared" si="16"/>
        <v>Renseigner la base de données des joueurs et clubs</v>
      </c>
      <c r="C245" s="312" t="str">
        <f t="shared" si="17"/>
        <v>N_FillIn_Players_And_Clubs</v>
      </c>
      <c r="D245" s="312" t="s">
        <v>933</v>
      </c>
      <c r="E245" s="312" t="s">
        <v>934</v>
      </c>
      <c r="F245" s="298" t="s">
        <v>9079</v>
      </c>
      <c r="G245" s="312" t="s">
        <v>11755</v>
      </c>
      <c r="H245" s="2187" t="s">
        <v>12440</v>
      </c>
      <c r="I245" s="321"/>
      <c r="J245" s="321"/>
      <c r="K245" s="321"/>
      <c r="L245" s="321"/>
    </row>
    <row r="246" spans="2:12" ht="51" x14ac:dyDescent="0.2">
      <c r="B246" s="359" t="str">
        <f t="shared" si="16"/>
        <v>Enregistrer les inscriptions et participations aux différentes épreuves</v>
      </c>
      <c r="C246" s="312" t="str">
        <f t="shared" si="17"/>
        <v>N_Checkin</v>
      </c>
      <c r="D246" s="312" t="s">
        <v>935</v>
      </c>
      <c r="E246" s="312" t="s">
        <v>2076</v>
      </c>
      <c r="F246" s="298" t="s">
        <v>9080</v>
      </c>
      <c r="G246" s="312" t="s">
        <v>11756</v>
      </c>
      <c r="H246" s="2187" t="s">
        <v>12441</v>
      </c>
      <c r="I246" s="321"/>
      <c r="J246" s="321"/>
      <c r="K246" s="321"/>
      <c r="L246" s="321"/>
    </row>
    <row r="247" spans="2:12" ht="38.25" x14ac:dyDescent="0.2">
      <c r="B247" s="359" t="str">
        <f t="shared" si="16"/>
        <v>Définir les paramètres sportifs de la compétition</v>
      </c>
      <c r="C247" s="312" t="str">
        <f t="shared" si="17"/>
        <v>N_Parameter</v>
      </c>
      <c r="D247" s="312" t="s">
        <v>955</v>
      </c>
      <c r="E247" s="312" t="s">
        <v>7858</v>
      </c>
      <c r="F247" s="298" t="s">
        <v>9081</v>
      </c>
      <c r="G247" s="312" t="s">
        <v>11757</v>
      </c>
      <c r="H247" s="2187" t="s">
        <v>12442</v>
      </c>
      <c r="I247" s="321"/>
      <c r="J247" s="321"/>
      <c r="K247" s="321"/>
      <c r="L247" s="321"/>
    </row>
    <row r="248" spans="2:12" ht="38.25" x14ac:dyDescent="0.2">
      <c r="B248" s="359" t="str">
        <f t="shared" si="16"/>
        <v>Si besoin définir les équipes de la compétition</v>
      </c>
      <c r="C248" s="312" t="str">
        <f t="shared" si="17"/>
        <v>N_DefineTeams</v>
      </c>
      <c r="D248" s="312" t="s">
        <v>2072</v>
      </c>
      <c r="E248" s="312" t="s">
        <v>2073</v>
      </c>
      <c r="F248" s="298" t="s">
        <v>9082</v>
      </c>
      <c r="G248" s="312" t="s">
        <v>11758</v>
      </c>
      <c r="H248" s="2187" t="s">
        <v>12443</v>
      </c>
      <c r="I248" s="321"/>
      <c r="J248" s="321"/>
      <c r="K248" s="321"/>
      <c r="L248" s="321"/>
    </row>
    <row r="249" spans="2:12" ht="38.25" x14ac:dyDescent="0.2">
      <c r="B249" s="359" t="str">
        <f t="shared" si="16"/>
        <v>Si besoin définir les doubles de la compétition</v>
      </c>
      <c r="C249" s="312" t="str">
        <f t="shared" si="17"/>
        <v>N_DefineDoubles</v>
      </c>
      <c r="D249" s="312" t="s">
        <v>2074</v>
      </c>
      <c r="E249" s="312" t="s">
        <v>2075</v>
      </c>
      <c r="F249" s="303" t="s">
        <v>9083</v>
      </c>
      <c r="G249" s="312" t="s">
        <v>11759</v>
      </c>
      <c r="H249" s="2187" t="s">
        <v>12444</v>
      </c>
      <c r="I249" s="321"/>
      <c r="J249" s="321"/>
      <c r="K249" s="321"/>
      <c r="L249" s="321"/>
    </row>
    <row r="250" spans="2:12" ht="38.25" x14ac:dyDescent="0.2">
      <c r="B250" s="359" t="str">
        <f t="shared" si="16"/>
        <v>Vérifier les listes de joueurs, d'équipes et d'arbitres</v>
      </c>
      <c r="C250" s="312" t="str">
        <f t="shared" si="17"/>
        <v>N_Lists</v>
      </c>
      <c r="D250" s="312" t="s">
        <v>944</v>
      </c>
      <c r="E250" s="312" t="s">
        <v>945</v>
      </c>
      <c r="F250" s="298" t="s">
        <v>9084</v>
      </c>
      <c r="G250" s="312" t="s">
        <v>11760</v>
      </c>
      <c r="H250" s="2187" t="s">
        <v>12445</v>
      </c>
      <c r="I250" s="321"/>
      <c r="J250" s="321"/>
      <c r="K250" s="321"/>
      <c r="L250" s="321"/>
    </row>
    <row r="251" spans="2:12" ht="25.5" x14ac:dyDescent="0.2">
      <c r="B251" s="359" t="str">
        <f t="shared" si="16"/>
        <v xml:space="preserve">Créer une ou plusieurs épreuves </v>
      </c>
      <c r="C251" s="312" t="str">
        <f t="shared" si="17"/>
        <v>N_NewEvent</v>
      </c>
      <c r="D251" s="312" t="s">
        <v>949</v>
      </c>
      <c r="E251" s="312" t="s">
        <v>950</v>
      </c>
      <c r="F251" s="298" t="s">
        <v>9085</v>
      </c>
      <c r="G251" s="312" t="s">
        <v>11761</v>
      </c>
      <c r="H251" s="2187" t="s">
        <v>12446</v>
      </c>
      <c r="I251" s="321"/>
      <c r="J251" s="321"/>
      <c r="K251" s="321"/>
      <c r="L251" s="321"/>
    </row>
    <row r="252" spans="2:12" x14ac:dyDescent="0.2">
      <c r="B252" s="359" t="str">
        <f t="shared" si="16"/>
        <v>Actions</v>
      </c>
      <c r="C252" s="312" t="str">
        <f t="shared" si="17"/>
        <v>N_Action</v>
      </c>
      <c r="D252" s="312" t="s">
        <v>947</v>
      </c>
      <c r="E252" s="312" t="s">
        <v>947</v>
      </c>
      <c r="F252" s="298" t="s">
        <v>947</v>
      </c>
      <c r="G252" s="312" t="s">
        <v>11762</v>
      </c>
      <c r="H252" s="2187" t="s">
        <v>12447</v>
      </c>
      <c r="I252" s="321"/>
      <c r="J252" s="321"/>
      <c r="K252" s="321"/>
      <c r="L252" s="321"/>
    </row>
    <row r="253" spans="2:12" x14ac:dyDescent="0.2">
      <c r="B253" s="359" t="str">
        <f t="shared" si="16"/>
        <v>Feuille de calcul</v>
      </c>
      <c r="C253" s="312" t="str">
        <f t="shared" si="17"/>
        <v>N_Worksheet</v>
      </c>
      <c r="D253" s="312" t="s">
        <v>936</v>
      </c>
      <c r="E253" s="312" t="s">
        <v>937</v>
      </c>
      <c r="F253" s="298" t="s">
        <v>9086</v>
      </c>
      <c r="G253" s="312" t="s">
        <v>11763</v>
      </c>
      <c r="H253" s="2187" t="s">
        <v>12448</v>
      </c>
      <c r="I253" s="321"/>
      <c r="J253" s="321"/>
      <c r="K253" s="321"/>
      <c r="L253" s="321"/>
    </row>
    <row r="254" spans="2:12" x14ac:dyDescent="0.2">
      <c r="B254" s="359" t="str">
        <f t="shared" si="16"/>
        <v>Y accéder</v>
      </c>
      <c r="C254" s="312" t="str">
        <f t="shared" si="17"/>
        <v>N_ShowIt</v>
      </c>
      <c r="D254" s="312" t="s">
        <v>938</v>
      </c>
      <c r="E254" s="312" t="s">
        <v>940</v>
      </c>
      <c r="F254" s="298" t="s">
        <v>9087</v>
      </c>
      <c r="G254" s="312" t="s">
        <v>11764</v>
      </c>
      <c r="H254" s="2187" t="s">
        <v>9343</v>
      </c>
      <c r="I254" s="321"/>
      <c r="J254" s="321"/>
      <c r="K254" s="321"/>
      <c r="L254" s="321"/>
    </row>
    <row r="255" spans="2:12" x14ac:dyDescent="0.2">
      <c r="B255" s="359" t="str">
        <f t="shared" si="16"/>
        <v>La masquer</v>
      </c>
      <c r="C255" s="312" t="str">
        <f t="shared" si="17"/>
        <v>N_HideIt</v>
      </c>
      <c r="D255" s="312" t="s">
        <v>939</v>
      </c>
      <c r="E255" s="312" t="s">
        <v>941</v>
      </c>
      <c r="F255" s="298" t="s">
        <v>9063</v>
      </c>
      <c r="G255" s="312" t="s">
        <v>11739</v>
      </c>
      <c r="H255" s="2187" t="s">
        <v>12449</v>
      </c>
      <c r="I255" s="321"/>
      <c r="J255" s="321"/>
      <c r="K255" s="321"/>
      <c r="L255" s="321"/>
    </row>
    <row r="256" spans="2:12" x14ac:dyDescent="0.2">
      <c r="B256" s="359" t="str">
        <f t="shared" si="16"/>
        <v>Individuels</v>
      </c>
      <c r="C256" s="312" t="str">
        <f t="shared" si="17"/>
        <v>N_Individuals</v>
      </c>
      <c r="D256" s="312" t="s">
        <v>951</v>
      </c>
      <c r="E256" s="312" t="s">
        <v>954</v>
      </c>
      <c r="F256" s="298" t="s">
        <v>9088</v>
      </c>
      <c r="G256" s="312" t="s">
        <v>11765</v>
      </c>
      <c r="H256" s="2187" t="s">
        <v>954</v>
      </c>
      <c r="I256" s="321"/>
      <c r="J256" s="321"/>
      <c r="K256" s="321"/>
      <c r="L256" s="321"/>
    </row>
    <row r="257" spans="2:12" x14ac:dyDescent="0.2">
      <c r="B257" s="359" t="str">
        <f t="shared" si="16"/>
        <v>Par équipe</v>
      </c>
      <c r="C257" s="312" t="str">
        <f t="shared" si="17"/>
        <v>N_Teams</v>
      </c>
      <c r="D257" s="312" t="s">
        <v>952</v>
      </c>
      <c r="E257" s="312" t="s">
        <v>1546</v>
      </c>
      <c r="F257" s="298" t="s">
        <v>9089</v>
      </c>
      <c r="G257" s="312" t="s">
        <v>11587</v>
      </c>
      <c r="H257" s="2187" t="s">
        <v>12279</v>
      </c>
      <c r="I257" s="321"/>
      <c r="J257" s="321"/>
      <c r="K257" s="321"/>
      <c r="L257" s="321"/>
    </row>
    <row r="258" spans="2:12" x14ac:dyDescent="0.2">
      <c r="B258" s="359" t="str">
        <f t="shared" si="16"/>
        <v>En double</v>
      </c>
      <c r="C258" s="312" t="str">
        <f t="shared" si="17"/>
        <v>N_Doubles</v>
      </c>
      <c r="D258" s="312" t="s">
        <v>953</v>
      </c>
      <c r="E258" s="312" t="s">
        <v>887</v>
      </c>
      <c r="F258" s="298" t="s">
        <v>9090</v>
      </c>
      <c r="G258" s="312" t="s">
        <v>11616</v>
      </c>
      <c r="H258" s="2187" t="s">
        <v>11616</v>
      </c>
      <c r="I258" s="321"/>
      <c r="J258" s="321"/>
      <c r="K258" s="321"/>
      <c r="L258" s="321"/>
    </row>
    <row r="259" spans="2:12" ht="357" x14ac:dyDescent="0.2">
      <c r="B259" s="359" t="str">
        <f t="shared" si="16"/>
        <v xml:space="preserve">Finaliser la saisie dans les feuilles d'épreuve en renseignant la position des joueurs dans les poules (ou la première des phases finales s'il n'y a pas de poules). En cas de matches dirigés avec une phase de poules, renseigner également les formules pour les matches de la première des phases finales en fonction des tours précédents. Dans le cas de tirages au sort intégral,la saisie des joueurs de chaque rencontre se fait dans les feuilles d'épreuve mais pas dans le planning. </v>
      </c>
      <c r="C259" s="312" t="str">
        <f t="shared" si="17"/>
        <v>N_FillinFormula</v>
      </c>
      <c r="D259" s="312" t="s">
        <v>1529</v>
      </c>
      <c r="E259" s="312" t="s">
        <v>1530</v>
      </c>
      <c r="F259" s="298" t="s">
        <v>9091</v>
      </c>
      <c r="G259" s="312" t="s">
        <v>11766</v>
      </c>
      <c r="H259" s="2187" t="s">
        <v>12450</v>
      </c>
      <c r="I259" s="321"/>
      <c r="J259" s="321"/>
      <c r="K259" s="321"/>
      <c r="L259" s="321"/>
    </row>
    <row r="260" spans="2:12" ht="255" x14ac:dyDescent="0.2">
      <c r="B260" s="359" t="str">
        <f t="shared" si="16"/>
        <v>Aménager le planning en déplaçant les matches sur les différentes session de la journée. Durant la compétition, les arbitres, les tables et les scores sont saisis UNIQUEMENT dans le planning.
Dans le cas des matches d'équipe (ou doubles), les joueurs sont renseignés également dans la feuille "planning".</v>
      </c>
      <c r="C260" s="312" t="str">
        <f t="shared" si="17"/>
        <v>N_Planning</v>
      </c>
      <c r="D260" s="312" t="s">
        <v>0</v>
      </c>
      <c r="E260" s="312" t="s">
        <v>1</v>
      </c>
      <c r="F260" s="298" t="s">
        <v>9092</v>
      </c>
      <c r="G260" s="312" t="s">
        <v>11767</v>
      </c>
      <c r="H260" s="2187" t="s">
        <v>12451</v>
      </c>
      <c r="I260" s="321"/>
      <c r="J260" s="321"/>
      <c r="K260" s="321"/>
      <c r="L260" s="321"/>
    </row>
    <row r="261" spans="2:12" ht="38.25" x14ac:dyDescent="0.2">
      <c r="B261" s="359" t="str">
        <f t="shared" si="16"/>
        <v>GMFT - Gestion des Matches de Football de Table</v>
      </c>
      <c r="C261" s="312" t="str">
        <f t="shared" si="17"/>
        <v>N_GMFT</v>
      </c>
      <c r="D261" s="312" t="s">
        <v>948</v>
      </c>
      <c r="E261" s="312" t="s">
        <v>956</v>
      </c>
      <c r="F261" s="303" t="s">
        <v>956</v>
      </c>
      <c r="G261" s="312" t="s">
        <v>11768</v>
      </c>
      <c r="H261" s="2187" t="s">
        <v>12452</v>
      </c>
      <c r="I261" s="321"/>
      <c r="J261" s="321"/>
      <c r="K261" s="321"/>
      <c r="L261" s="321"/>
    </row>
    <row r="262" spans="2:12" x14ac:dyDescent="0.2">
      <c r="B262" s="359" t="str">
        <f t="shared" ref="B262:B325" si="18">HLOOKUP(Language,D$2:L$1113,ROW()-1,FALSE)</f>
        <v>Version</v>
      </c>
      <c r="C262" s="312" t="str">
        <f t="shared" si="17"/>
        <v>N_GMFT_Version</v>
      </c>
      <c r="D262" s="312" t="s">
        <v>957</v>
      </c>
      <c r="E262" s="312" t="s">
        <v>957</v>
      </c>
      <c r="F262" s="298" t="s">
        <v>9093</v>
      </c>
      <c r="G262" s="312" t="s">
        <v>11769</v>
      </c>
      <c r="H262" s="2187" t="s">
        <v>12453</v>
      </c>
      <c r="I262" s="321"/>
      <c r="J262" s="321"/>
      <c r="K262" s="321"/>
      <c r="L262" s="321"/>
    </row>
    <row r="263" spans="2:12" ht="38.25" x14ac:dyDescent="0.2">
      <c r="B263" s="359" t="str">
        <f t="shared" si="18"/>
        <v>Base de données des joueurs licenciés</v>
      </c>
      <c r="C263" s="312" t="str">
        <f t="shared" si="17"/>
        <v>N_LicencesSheetTitle</v>
      </c>
      <c r="D263" s="312" t="s">
        <v>979</v>
      </c>
      <c r="E263" s="312" t="s">
        <v>980</v>
      </c>
      <c r="F263" s="298" t="s">
        <v>9094</v>
      </c>
      <c r="G263" s="312" t="s">
        <v>11770</v>
      </c>
      <c r="H263" s="2187" t="s">
        <v>12454</v>
      </c>
      <c r="I263" s="321"/>
      <c r="J263" s="321"/>
      <c r="K263" s="321"/>
      <c r="L263" s="321"/>
    </row>
    <row r="264" spans="2:12" ht="25.5" x14ac:dyDescent="0.2">
      <c r="B264" s="359" t="str">
        <f t="shared" si="18"/>
        <v>Base de données des clubs</v>
      </c>
      <c r="C264" s="312" t="str">
        <f t="shared" si="17"/>
        <v>N_ClubsSheetTitle</v>
      </c>
      <c r="D264" s="312" t="s">
        <v>977</v>
      </c>
      <c r="E264" s="312" t="s">
        <v>978</v>
      </c>
      <c r="F264" s="298" t="s">
        <v>9095</v>
      </c>
      <c r="G264" s="312" t="s">
        <v>11771</v>
      </c>
      <c r="H264" s="2187" t="s">
        <v>12455</v>
      </c>
      <c r="I264" s="321"/>
      <c r="J264" s="321"/>
      <c r="K264" s="321"/>
      <c r="L264" s="321"/>
    </row>
    <row r="265" spans="2:12" ht="25.5" x14ac:dyDescent="0.2">
      <c r="B265" s="359" t="str">
        <f t="shared" si="18"/>
        <v>Inscription des joueurs</v>
      </c>
      <c r="C265" s="312" t="str">
        <f t="shared" si="17"/>
        <v>N_PlayerCheckin</v>
      </c>
      <c r="D265" s="312" t="s">
        <v>974</v>
      </c>
      <c r="E265" s="312" t="s">
        <v>975</v>
      </c>
      <c r="F265" s="298" t="s">
        <v>9096</v>
      </c>
      <c r="G265" s="312" t="s">
        <v>11772</v>
      </c>
      <c r="H265" s="2187" t="s">
        <v>12456</v>
      </c>
      <c r="I265" s="321"/>
      <c r="J265" s="321"/>
      <c r="K265" s="321"/>
      <c r="L265" s="321"/>
    </row>
    <row r="266" spans="2:12" ht="25.5" x14ac:dyDescent="0.2">
      <c r="B266" s="359" t="str">
        <f t="shared" si="18"/>
        <v>Enregistrement des équipes</v>
      </c>
      <c r="C266" s="312" t="str">
        <f t="shared" si="17"/>
        <v>N_TeamCheckin</v>
      </c>
      <c r="D266" s="312" t="s">
        <v>963</v>
      </c>
      <c r="E266" s="312" t="s">
        <v>960</v>
      </c>
      <c r="F266" s="298" t="s">
        <v>9097</v>
      </c>
      <c r="G266" s="312" t="s">
        <v>11773</v>
      </c>
      <c r="H266" s="2187" t="s">
        <v>12457</v>
      </c>
      <c r="I266" s="321"/>
      <c r="J266" s="321"/>
      <c r="K266" s="321"/>
      <c r="L266" s="321"/>
    </row>
    <row r="267" spans="2:12" ht="25.5" x14ac:dyDescent="0.2">
      <c r="B267" s="359" t="str">
        <f t="shared" si="18"/>
        <v>Enregistrement des doubles</v>
      </c>
      <c r="C267" s="312" t="str">
        <f t="shared" si="17"/>
        <v>N_DoubleCheckin</v>
      </c>
      <c r="D267" s="312" t="s">
        <v>962</v>
      </c>
      <c r="E267" s="312" t="s">
        <v>961</v>
      </c>
      <c r="F267" s="298" t="s">
        <v>9098</v>
      </c>
      <c r="G267" s="312" t="s">
        <v>11774</v>
      </c>
      <c r="H267" s="2187" t="s">
        <v>12458</v>
      </c>
      <c r="I267" s="321"/>
      <c r="J267" s="321"/>
      <c r="K267" s="321"/>
      <c r="L267" s="321"/>
    </row>
    <row r="268" spans="2:12" ht="38.25" x14ac:dyDescent="0.2">
      <c r="B268" s="359" t="str">
        <f t="shared" si="18"/>
        <v>Listes des joueurs après l'enregistrement</v>
      </c>
      <c r="C268" s="312" t="str">
        <f t="shared" si="17"/>
        <v>N_ListsSheet</v>
      </c>
      <c r="D268" s="312" t="s">
        <v>965</v>
      </c>
      <c r="E268" s="312" t="s">
        <v>964</v>
      </c>
      <c r="F268" s="298" t="s">
        <v>9099</v>
      </c>
      <c r="G268" s="312" t="s">
        <v>11775</v>
      </c>
      <c r="H268" s="2187" t="s">
        <v>12459</v>
      </c>
      <c r="I268" s="321"/>
      <c r="J268" s="321"/>
      <c r="K268" s="321"/>
      <c r="L268" s="321"/>
    </row>
    <row r="269" spans="2:12" ht="89.25" x14ac:dyDescent="0.2">
      <c r="B269" s="359" t="str">
        <f t="shared" si="18"/>
        <v>ATTENTION de ne pas faire de modifications dans cette feuille ! Eviter également les actions de formatage.</v>
      </c>
      <c r="C269" s="312" t="str">
        <f t="shared" si="17"/>
        <v>N_ListsMessage</v>
      </c>
      <c r="D269" s="312" t="s">
        <v>966</v>
      </c>
      <c r="E269" s="312" t="s">
        <v>967</v>
      </c>
      <c r="F269" s="298" t="s">
        <v>9100</v>
      </c>
      <c r="G269" s="312" t="s">
        <v>11776</v>
      </c>
      <c r="H269" s="2187" t="s">
        <v>12460</v>
      </c>
      <c r="I269" s="321"/>
      <c r="J269" s="321"/>
      <c r="K269" s="321"/>
      <c r="L269" s="321"/>
    </row>
    <row r="270" spans="2:12" ht="63.75" x14ac:dyDescent="0.2">
      <c r="B270" s="359" t="str">
        <f t="shared" si="18"/>
        <v>La liste ne comporte que 2 membres. La suppression n'est pas autorisée.</v>
      </c>
      <c r="C270" s="312" t="str">
        <f t="shared" si="17"/>
        <v>N_Only2Members</v>
      </c>
      <c r="D270" s="312" t="s">
        <v>968</v>
      </c>
      <c r="E270" s="312" t="s">
        <v>969</v>
      </c>
      <c r="F270" s="298" t="s">
        <v>9101</v>
      </c>
      <c r="G270" s="312" t="s">
        <v>11777</v>
      </c>
      <c r="H270" s="2187" t="s">
        <v>12461</v>
      </c>
      <c r="I270" s="321"/>
      <c r="J270" s="321"/>
      <c r="K270" s="321"/>
      <c r="L270" s="321"/>
    </row>
    <row r="271" spans="2:12" ht="102" x14ac:dyDescent="0.2">
      <c r="B271" s="359" t="str">
        <f t="shared" si="18"/>
        <v>La sélection courante comporte plusieurs lignes. Or la fonction de suppression n'autorise la sélection que d'une seule ligne.</v>
      </c>
      <c r="C271" s="312" t="str">
        <f t="shared" si="17"/>
        <v>N_MultiRowSelection</v>
      </c>
      <c r="D271" s="312" t="s">
        <v>970</v>
      </c>
      <c r="E271" s="312" t="s">
        <v>971</v>
      </c>
      <c r="F271" s="298" t="s">
        <v>9102</v>
      </c>
      <c r="G271" s="312" t="s">
        <v>11778</v>
      </c>
      <c r="H271" s="2187" t="s">
        <v>12462</v>
      </c>
      <c r="I271" s="321"/>
      <c r="J271" s="321"/>
      <c r="K271" s="321"/>
      <c r="L271" s="321"/>
    </row>
    <row r="272" spans="2:12" ht="51" x14ac:dyDescent="0.2">
      <c r="B272" s="359" t="str">
        <f t="shared" si="18"/>
        <v>La sélection ne concerne pas une ligne susceptible d'être supprimée.</v>
      </c>
      <c r="C272" s="312" t="str">
        <f t="shared" si="17"/>
        <v>N_SelectionOutside</v>
      </c>
      <c r="D272" s="312" t="s">
        <v>972</v>
      </c>
      <c r="E272" s="312" t="s">
        <v>973</v>
      </c>
      <c r="F272" s="298" t="s">
        <v>9103</v>
      </c>
      <c r="G272" s="312" t="s">
        <v>11779</v>
      </c>
      <c r="H272" s="2187" t="s">
        <v>12463</v>
      </c>
      <c r="I272" s="321"/>
      <c r="J272" s="321"/>
      <c r="K272" s="321"/>
      <c r="L272" s="321"/>
    </row>
    <row r="273" spans="2:12" ht="38.25" x14ac:dyDescent="0.2">
      <c r="B273" s="359" t="str">
        <f t="shared" si="18"/>
        <v>Nombre de lignes à insérer au delà de une</v>
      </c>
      <c r="C273" s="312" t="str">
        <f t="shared" si="17"/>
        <v>N_NbRowtoAdd</v>
      </c>
      <c r="D273" s="312" t="s">
        <v>435</v>
      </c>
      <c r="E273" s="312" t="s">
        <v>976</v>
      </c>
      <c r="F273" s="303" t="s">
        <v>9104</v>
      </c>
      <c r="G273" s="312" t="s">
        <v>11780</v>
      </c>
      <c r="H273" s="2187" t="s">
        <v>12464</v>
      </c>
      <c r="I273" s="321"/>
      <c r="J273" s="321"/>
      <c r="K273" s="321"/>
      <c r="L273" s="321"/>
    </row>
    <row r="274" spans="2:12" ht="25.5" x14ac:dyDescent="0.2">
      <c r="B274" s="359" t="str">
        <f t="shared" si="18"/>
        <v>Codes de nationalité FISTF</v>
      </c>
      <c r="C274" s="312" t="str">
        <f t="shared" si="17"/>
        <v>N_NationalityCodes</v>
      </c>
      <c r="D274" s="312" t="s">
        <v>1133</v>
      </c>
      <c r="E274" s="312" t="s">
        <v>1134</v>
      </c>
      <c r="F274" s="298" t="s">
        <v>9105</v>
      </c>
      <c r="G274" s="312" t="s">
        <v>11781</v>
      </c>
      <c r="H274" s="2187" t="s">
        <v>12465</v>
      </c>
      <c r="I274" s="321"/>
      <c r="J274" s="321"/>
      <c r="K274" s="321"/>
      <c r="L274" s="321"/>
    </row>
    <row r="275" spans="2:12" ht="102" x14ac:dyDescent="0.2">
      <c r="B275" s="359" t="str">
        <f t="shared" si="18"/>
        <v>Utiliser la nationalité à la place du club pour le trigramme dans le nom du joueur (cas de la Coupe du Monde). Ex. Marcel DUPONT (FRA)</v>
      </c>
      <c r="C275" s="312" t="str">
        <f t="shared" si="17"/>
        <v>N_Trigram</v>
      </c>
      <c r="D275" s="312" t="s">
        <v>1136</v>
      </c>
      <c r="E275" s="312" t="s">
        <v>1202</v>
      </c>
      <c r="F275" s="298" t="s">
        <v>9106</v>
      </c>
      <c r="G275" s="312" t="s">
        <v>11782</v>
      </c>
      <c r="H275" s="2187" t="s">
        <v>12466</v>
      </c>
      <c r="I275" s="321"/>
      <c r="J275" s="321"/>
      <c r="K275" s="321"/>
      <c r="L275" s="321"/>
    </row>
    <row r="276" spans="2:12" ht="25.5" x14ac:dyDescent="0.2">
      <c r="B276" s="359" t="str">
        <f t="shared" si="18"/>
        <v>Trier par "NOM Prénom"</v>
      </c>
      <c r="C276" s="312" t="str">
        <f t="shared" si="17"/>
        <v>N_SortByNameFirstname</v>
      </c>
      <c r="D276" s="312" t="s">
        <v>1280</v>
      </c>
      <c r="E276" s="312" t="s">
        <v>11571</v>
      </c>
      <c r="F276" s="298" t="s">
        <v>9107</v>
      </c>
      <c r="G276" s="312" t="s">
        <v>11783</v>
      </c>
      <c r="H276" s="2187" t="s">
        <v>12467</v>
      </c>
      <c r="I276" s="321"/>
      <c r="J276" s="321"/>
      <c r="K276" s="321"/>
      <c r="L276" s="321"/>
    </row>
    <row r="277" spans="2:12" x14ac:dyDescent="0.2">
      <c r="B277" s="359" t="str">
        <f t="shared" si="18"/>
        <v>Valider les inscrits</v>
      </c>
      <c r="C277" s="312" t="str">
        <f t="shared" si="17"/>
        <v>N_Rib_GmftMAJListes</v>
      </c>
      <c r="D277" s="312" t="s">
        <v>1281</v>
      </c>
      <c r="E277" s="312" t="s">
        <v>1282</v>
      </c>
      <c r="F277" s="303" t="s">
        <v>9108</v>
      </c>
      <c r="G277" s="312" t="s">
        <v>11784</v>
      </c>
      <c r="H277" s="2187" t="s">
        <v>12468</v>
      </c>
      <c r="I277" s="321"/>
      <c r="J277" s="321"/>
      <c r="K277" s="321"/>
      <c r="L277" s="321"/>
    </row>
    <row r="278" spans="2:12" ht="51" x14ac:dyDescent="0.2">
      <c r="B278" s="359" t="str">
        <f t="shared" si="18"/>
        <v>Le nombre maximum de participants est de 128.</v>
      </c>
      <c r="C278" s="312" t="str">
        <f t="shared" ref="C278:C335" si="19">NAMEOF(B278)</f>
        <v>N_NbPlayerMax128</v>
      </c>
      <c r="D278" s="312" t="s">
        <v>5458</v>
      </c>
      <c r="E278" s="312" t="s">
        <v>5459</v>
      </c>
      <c r="F278" s="298" t="s">
        <v>9109</v>
      </c>
      <c r="G278" s="312" t="s">
        <v>11785</v>
      </c>
      <c r="H278" s="2187" t="s">
        <v>12469</v>
      </c>
      <c r="I278" s="321"/>
      <c r="J278" s="321"/>
      <c r="K278" s="321"/>
      <c r="L278" s="321"/>
    </row>
    <row r="279" spans="2:12" ht="76.5" x14ac:dyDescent="0.2">
      <c r="B279" s="359" t="str">
        <f t="shared" si="18"/>
        <v>Le nombre maximum de participants est de 64 pour une compétition par poules de 4.</v>
      </c>
      <c r="C279" s="312" t="str">
        <f t="shared" si="19"/>
        <v>N_NbPlayerMax64</v>
      </c>
      <c r="D279" s="312" t="s">
        <v>1303</v>
      </c>
      <c r="E279" s="312" t="s">
        <v>1304</v>
      </c>
      <c r="F279" s="298" t="s">
        <v>9110</v>
      </c>
      <c r="G279" s="312" t="s">
        <v>11786</v>
      </c>
      <c r="H279" s="2187" t="s">
        <v>12470</v>
      </c>
      <c r="I279" s="321"/>
      <c r="J279" s="321"/>
      <c r="K279" s="321"/>
      <c r="L279" s="321"/>
    </row>
    <row r="280" spans="2:12" ht="76.5" x14ac:dyDescent="0.2">
      <c r="B280" s="359" t="str">
        <f t="shared" si="18"/>
        <v>Le nombre minimum de participants est de 3 pour une compétition par poules de 3.</v>
      </c>
      <c r="C280" s="312" t="str">
        <f t="shared" si="19"/>
        <v>N_NbPlayerMin3</v>
      </c>
      <c r="D280" s="312" t="s">
        <v>2419</v>
      </c>
      <c r="E280" s="312" t="s">
        <v>2422</v>
      </c>
      <c r="F280" s="298" t="s">
        <v>9111</v>
      </c>
      <c r="G280" s="312" t="s">
        <v>12472</v>
      </c>
      <c r="H280" s="2187" t="s">
        <v>12471</v>
      </c>
      <c r="I280" s="321"/>
      <c r="J280" s="321"/>
      <c r="K280" s="321"/>
      <c r="L280" s="321"/>
    </row>
    <row r="281" spans="2:12" ht="76.5" x14ac:dyDescent="0.2">
      <c r="B281" s="359" t="str">
        <f t="shared" si="18"/>
        <v>Le nombre minimum de participants est de 4 pour une compétition par poules de 4.</v>
      </c>
      <c r="C281" s="312" t="str">
        <f t="shared" si="19"/>
        <v>N_NbPlayerMin4</v>
      </c>
      <c r="D281" s="312" t="s">
        <v>2420</v>
      </c>
      <c r="E281" s="312" t="s">
        <v>2421</v>
      </c>
      <c r="F281" s="298" t="s">
        <v>9112</v>
      </c>
      <c r="G281" s="312" t="s">
        <v>12479</v>
      </c>
      <c r="H281" s="2187" t="s">
        <v>12480</v>
      </c>
      <c r="I281" s="321"/>
      <c r="J281" s="321"/>
      <c r="K281" s="321"/>
      <c r="L281" s="321"/>
    </row>
    <row r="282" spans="2:12" ht="76.5" x14ac:dyDescent="0.2">
      <c r="B282" s="359" t="str">
        <f t="shared" si="18"/>
        <v>Le nombre minimum de participants est de 5 pour une compétition par poules de 5.</v>
      </c>
      <c r="C282" s="312" t="str">
        <f t="shared" si="19"/>
        <v>N_NbPlayerMin5</v>
      </c>
      <c r="D282" s="312" t="s">
        <v>3997</v>
      </c>
      <c r="E282" s="312" t="s">
        <v>4005</v>
      </c>
      <c r="F282" s="298" t="s">
        <v>9113</v>
      </c>
      <c r="G282" s="312" t="s">
        <v>12478</v>
      </c>
      <c r="H282" s="2187" t="s">
        <v>12481</v>
      </c>
      <c r="I282" s="321"/>
      <c r="J282" s="321"/>
      <c r="K282" s="321"/>
      <c r="L282" s="321"/>
    </row>
    <row r="283" spans="2:12" ht="76.5" x14ac:dyDescent="0.2">
      <c r="B283" s="359" t="str">
        <f t="shared" si="18"/>
        <v>Le nombre minimum de participants est de 6 pour une compétition par poules de 6.</v>
      </c>
      <c r="C283" s="312" t="str">
        <f t="shared" si="19"/>
        <v>N_NbPlayerMin6</v>
      </c>
      <c r="D283" s="312" t="s">
        <v>3998</v>
      </c>
      <c r="E283" s="312" t="s">
        <v>4006</v>
      </c>
      <c r="F283" s="298" t="s">
        <v>9114</v>
      </c>
      <c r="G283" s="312" t="s">
        <v>12477</v>
      </c>
      <c r="H283" s="2187" t="s">
        <v>12482</v>
      </c>
      <c r="I283" s="321"/>
      <c r="J283" s="321"/>
      <c r="K283" s="321"/>
      <c r="L283" s="321"/>
    </row>
    <row r="284" spans="2:12" ht="76.5" x14ac:dyDescent="0.2">
      <c r="B284" s="359" t="str">
        <f t="shared" si="18"/>
        <v>Le nombre minimum de participants est de 7 pour une compétition par poules de .</v>
      </c>
      <c r="C284" s="312" t="str">
        <f t="shared" si="19"/>
        <v>N_NbPlayerMin7</v>
      </c>
      <c r="D284" s="312" t="s">
        <v>3999</v>
      </c>
      <c r="E284" s="312" t="s">
        <v>4007</v>
      </c>
      <c r="F284" s="298" t="s">
        <v>9115</v>
      </c>
      <c r="G284" s="312" t="s">
        <v>12476</v>
      </c>
      <c r="H284" s="2187" t="s">
        <v>12483</v>
      </c>
      <c r="I284" s="321"/>
      <c r="J284" s="321"/>
      <c r="K284" s="321"/>
      <c r="L284" s="321"/>
    </row>
    <row r="285" spans="2:12" ht="76.5" x14ac:dyDescent="0.2">
      <c r="B285" s="359" t="str">
        <f t="shared" si="18"/>
        <v>Le nombre minimum de participants est de 8 pour une compétition par poules de 8.</v>
      </c>
      <c r="C285" s="312" t="str">
        <f t="shared" si="19"/>
        <v>N_NbPlayerMin8</v>
      </c>
      <c r="D285" s="312" t="s">
        <v>4000</v>
      </c>
      <c r="E285" s="312" t="s">
        <v>4008</v>
      </c>
      <c r="F285" s="298" t="s">
        <v>9116</v>
      </c>
      <c r="G285" s="312" t="s">
        <v>12475</v>
      </c>
      <c r="H285" s="2187" t="s">
        <v>12484</v>
      </c>
      <c r="I285" s="321"/>
      <c r="J285" s="321"/>
      <c r="K285" s="321"/>
      <c r="L285" s="321"/>
    </row>
    <row r="286" spans="2:12" ht="76.5" x14ac:dyDescent="0.2">
      <c r="B286" s="359" t="str">
        <f t="shared" si="18"/>
        <v>Le nombre minimum de participants est de 9 pour une compétition par poules de 9.</v>
      </c>
      <c r="C286" s="312" t="str">
        <f t="shared" si="19"/>
        <v>N_NbPlayerMin9</v>
      </c>
      <c r="D286" s="312" t="s">
        <v>4001</v>
      </c>
      <c r="E286" s="312" t="s">
        <v>4004</v>
      </c>
      <c r="F286" s="298" t="s">
        <v>9117</v>
      </c>
      <c r="G286" s="312" t="s">
        <v>12474</v>
      </c>
      <c r="H286" s="2187" t="s">
        <v>12485</v>
      </c>
      <c r="I286" s="321"/>
      <c r="J286" s="321"/>
      <c r="K286" s="321"/>
      <c r="L286" s="321"/>
    </row>
    <row r="287" spans="2:12" ht="76.5" x14ac:dyDescent="0.2">
      <c r="B287" s="359" t="str">
        <f t="shared" si="18"/>
        <v>Le nombre minimum de participants est de 10 pour une compétition par poules de 10.</v>
      </c>
      <c r="C287" s="312" t="str">
        <f t="shared" si="19"/>
        <v>N_NbPlayerMin10</v>
      </c>
      <c r="D287" s="312" t="s">
        <v>4002</v>
      </c>
      <c r="E287" s="312" t="s">
        <v>4003</v>
      </c>
      <c r="F287" s="298" t="s">
        <v>9118</v>
      </c>
      <c r="G287" s="312" t="s">
        <v>12473</v>
      </c>
      <c r="H287" s="2187" t="s">
        <v>12486</v>
      </c>
      <c r="I287" s="321"/>
      <c r="J287" s="321"/>
      <c r="K287" s="321"/>
      <c r="L287" s="321"/>
    </row>
    <row r="288" spans="2:12" ht="25.5" x14ac:dyDescent="0.2">
      <c r="B288" s="359" t="str">
        <f t="shared" si="18"/>
        <v>Formules de compétition FISTF</v>
      </c>
      <c r="C288" s="312" t="str">
        <f t="shared" si="19"/>
        <v>N_FISTFCompetitionFormula</v>
      </c>
      <c r="D288" s="312" t="s">
        <v>2339</v>
      </c>
      <c r="E288" s="312" t="s">
        <v>2340</v>
      </c>
      <c r="F288" s="298" t="s">
        <v>9119</v>
      </c>
      <c r="G288" s="312" t="s">
        <v>11787</v>
      </c>
      <c r="H288" s="2187" t="s">
        <v>12487</v>
      </c>
      <c r="I288" s="321"/>
      <c r="J288" s="321"/>
      <c r="K288" s="321"/>
      <c r="L288" s="321"/>
    </row>
    <row r="289" spans="2:12" ht="51" x14ac:dyDescent="0.2">
      <c r="B289" s="359" t="str">
        <f t="shared" si="18"/>
        <v>Organisation des matches avec priorité aux poules de 3</v>
      </c>
      <c r="C289" s="312" t="str">
        <f t="shared" si="19"/>
        <v>N_MatchOrganisationFor3</v>
      </c>
      <c r="D289" s="312" t="s">
        <v>2337</v>
      </c>
      <c r="E289" s="312" t="s">
        <v>2338</v>
      </c>
      <c r="F289" s="303" t="s">
        <v>9120</v>
      </c>
      <c r="G289" s="312" t="s">
        <v>11788</v>
      </c>
      <c r="H289" s="2187" t="s">
        <v>12488</v>
      </c>
      <c r="I289" s="321"/>
      <c r="J289" s="321"/>
      <c r="K289" s="321"/>
      <c r="L289" s="321"/>
    </row>
    <row r="290" spans="2:12" ht="51" x14ac:dyDescent="0.2">
      <c r="B290" s="359" t="str">
        <f t="shared" si="18"/>
        <v>Organisation des matches avec priorité aux poules de 4</v>
      </c>
      <c r="C290" s="312" t="str">
        <f t="shared" si="19"/>
        <v>N_MatchOrganisationFor4</v>
      </c>
      <c r="D290" s="312" t="s">
        <v>2335</v>
      </c>
      <c r="E290" s="312" t="s">
        <v>2336</v>
      </c>
      <c r="F290" s="298" t="s">
        <v>9121</v>
      </c>
      <c r="G290" s="312" t="s">
        <v>11789</v>
      </c>
      <c r="H290" s="2187" t="s">
        <v>12489</v>
      </c>
      <c r="I290" s="321"/>
      <c r="J290" s="321"/>
      <c r="K290" s="321"/>
      <c r="L290" s="321"/>
    </row>
    <row r="291" spans="2:12" ht="51" x14ac:dyDescent="0.2">
      <c r="B291" s="359" t="str">
        <f t="shared" si="18"/>
        <v>Organisation des matches avec priorité aux poules de 5</v>
      </c>
      <c r="C291" s="312" t="str">
        <f t="shared" si="19"/>
        <v>N_MatchOrganisationFor5</v>
      </c>
      <c r="D291" s="312" t="s">
        <v>3985</v>
      </c>
      <c r="E291" s="312" t="s">
        <v>3991</v>
      </c>
      <c r="F291" s="298" t="s">
        <v>9122</v>
      </c>
      <c r="G291" s="312" t="s">
        <v>11790</v>
      </c>
      <c r="H291" s="2187" t="s">
        <v>12490</v>
      </c>
      <c r="I291" s="321"/>
      <c r="J291" s="321"/>
      <c r="K291" s="321"/>
      <c r="L291" s="321"/>
    </row>
    <row r="292" spans="2:12" ht="51" x14ac:dyDescent="0.2">
      <c r="B292" s="359" t="str">
        <f t="shared" si="18"/>
        <v>Organisation des matches avec priorité aux poules de 6</v>
      </c>
      <c r="C292" s="312" t="str">
        <f t="shared" si="19"/>
        <v>N_MatchOrganisationFor6</v>
      </c>
      <c r="D292" s="312" t="s">
        <v>3986</v>
      </c>
      <c r="E292" s="312" t="s">
        <v>3992</v>
      </c>
      <c r="F292" s="298" t="s">
        <v>9123</v>
      </c>
      <c r="G292" s="312" t="s">
        <v>11791</v>
      </c>
      <c r="H292" s="2187" t="s">
        <v>12491</v>
      </c>
      <c r="I292" s="321"/>
      <c r="J292" s="321"/>
      <c r="K292" s="321"/>
      <c r="L292" s="321"/>
    </row>
    <row r="293" spans="2:12" ht="51" x14ac:dyDescent="0.2">
      <c r="B293" s="359" t="str">
        <f t="shared" si="18"/>
        <v>Organisation des matches avec priorité aux poules de 7</v>
      </c>
      <c r="C293" s="312" t="str">
        <f t="shared" si="19"/>
        <v>N_MatchOrganisationFor7</v>
      </c>
      <c r="D293" s="312" t="s">
        <v>3987</v>
      </c>
      <c r="E293" s="312" t="s">
        <v>3993</v>
      </c>
      <c r="F293" s="298" t="s">
        <v>9124</v>
      </c>
      <c r="G293" s="312" t="s">
        <v>11792</v>
      </c>
      <c r="H293" s="2187" t="s">
        <v>12492</v>
      </c>
      <c r="I293" s="321"/>
      <c r="J293" s="321"/>
      <c r="K293" s="321"/>
      <c r="L293" s="321"/>
    </row>
    <row r="294" spans="2:12" ht="51" x14ac:dyDescent="0.2">
      <c r="B294" s="359" t="str">
        <f t="shared" si="18"/>
        <v>Organisation des matches avec priorité aux poules de 8</v>
      </c>
      <c r="C294" s="312" t="str">
        <f t="shared" si="19"/>
        <v>N_MatchOrganisationFor8</v>
      </c>
      <c r="D294" s="312" t="s">
        <v>3988</v>
      </c>
      <c r="E294" s="312" t="s">
        <v>3994</v>
      </c>
      <c r="F294" s="298" t="s">
        <v>9125</v>
      </c>
      <c r="G294" s="312" t="s">
        <v>11793</v>
      </c>
      <c r="H294" s="2187" t="s">
        <v>12493</v>
      </c>
      <c r="I294" s="321"/>
      <c r="J294" s="321"/>
      <c r="K294" s="321"/>
      <c r="L294" s="321"/>
    </row>
    <row r="295" spans="2:12" ht="51" x14ac:dyDescent="0.2">
      <c r="B295" s="359" t="str">
        <f t="shared" si="18"/>
        <v>Organisation des matches avec priorité aux poules de 9</v>
      </c>
      <c r="C295" s="312" t="str">
        <f t="shared" si="19"/>
        <v>N_MatchOrganisationFor9</v>
      </c>
      <c r="D295" s="312" t="s">
        <v>3989</v>
      </c>
      <c r="E295" s="312" t="s">
        <v>3995</v>
      </c>
      <c r="F295" s="298" t="s">
        <v>9126</v>
      </c>
      <c r="G295" s="312" t="s">
        <v>11794</v>
      </c>
      <c r="H295" s="2187" t="s">
        <v>12494</v>
      </c>
      <c r="I295" s="321"/>
      <c r="J295" s="321"/>
      <c r="K295" s="321"/>
      <c r="L295" s="321"/>
    </row>
    <row r="296" spans="2:12" ht="51" x14ac:dyDescent="0.2">
      <c r="B296" s="359" t="str">
        <f t="shared" si="18"/>
        <v>Organisation des matches avec priorité aux poules de 10</v>
      </c>
      <c r="C296" s="312" t="str">
        <f t="shared" si="19"/>
        <v>N_MatchOrganisationFor10</v>
      </c>
      <c r="D296" s="312" t="s">
        <v>3990</v>
      </c>
      <c r="E296" s="312" t="s">
        <v>3996</v>
      </c>
      <c r="F296" s="298" t="s">
        <v>9127</v>
      </c>
      <c r="G296" s="312" t="s">
        <v>11795</v>
      </c>
      <c r="H296" s="2187" t="s">
        <v>12495</v>
      </c>
      <c r="I296" s="321"/>
      <c r="J296" s="321"/>
      <c r="K296" s="321"/>
      <c r="L296" s="321"/>
    </row>
    <row r="297" spans="2:12" ht="25.5" x14ac:dyDescent="0.2">
      <c r="B297" s="359" t="str">
        <f t="shared" si="18"/>
        <v>Formules des matches</v>
      </c>
      <c r="C297" s="312" t="str">
        <f t="shared" si="19"/>
        <v>N_MatchFormula</v>
      </c>
      <c r="D297" s="312" t="s">
        <v>2408</v>
      </c>
      <c r="E297" s="312" t="s">
        <v>2409</v>
      </c>
      <c r="F297" s="298" t="s">
        <v>9128</v>
      </c>
      <c r="G297" s="312" t="s">
        <v>11796</v>
      </c>
      <c r="H297" s="2187" t="s">
        <v>12496</v>
      </c>
      <c r="I297" s="321"/>
      <c r="J297" s="321"/>
      <c r="K297" s="321"/>
      <c r="L297" s="321"/>
    </row>
    <row r="298" spans="2:12" ht="25.5" x14ac:dyDescent="0.2">
      <c r="B298" s="359" t="str">
        <f t="shared" si="18"/>
        <v>Nb Joueurs pré-qualifiés</v>
      </c>
      <c r="C298" s="312" t="str">
        <f t="shared" si="19"/>
        <v>N_QualifiedPlayers</v>
      </c>
      <c r="D298" s="312" t="s">
        <v>2410</v>
      </c>
      <c r="E298" s="312" t="s">
        <v>2403</v>
      </c>
      <c r="F298" s="298" t="s">
        <v>9129</v>
      </c>
      <c r="G298" s="312" t="s">
        <v>11797</v>
      </c>
      <c r="H298" s="2187" t="s">
        <v>12497</v>
      </c>
      <c r="I298" s="321"/>
      <c r="J298" s="321"/>
      <c r="K298" s="321"/>
      <c r="L298" s="321"/>
    </row>
    <row r="299" spans="2:12" ht="25.5" x14ac:dyDescent="0.2">
      <c r="B299" s="359" t="str">
        <f t="shared" si="18"/>
        <v>Matches de barrages</v>
      </c>
      <c r="C299" s="312" t="str">
        <f t="shared" si="19"/>
        <v>N_PlayOffMatches</v>
      </c>
      <c r="D299" s="312" t="s">
        <v>1207</v>
      </c>
      <c r="E299" s="312" t="s">
        <v>2404</v>
      </c>
      <c r="F299" s="298" t="s">
        <v>8933</v>
      </c>
      <c r="G299" s="312" t="s">
        <v>8933</v>
      </c>
      <c r="H299" s="2187" t="s">
        <v>8933</v>
      </c>
      <c r="I299" s="321"/>
      <c r="J299" s="321"/>
      <c r="K299" s="321"/>
      <c r="L299" s="321"/>
    </row>
    <row r="300" spans="2:12" ht="25.5" x14ac:dyDescent="0.2">
      <c r="B300" s="359" t="str">
        <f t="shared" si="18"/>
        <v>Nb Matches de barrages</v>
      </c>
      <c r="C300" s="312" t="str">
        <f t="shared" si="19"/>
        <v>N_NbPlayOffMatches</v>
      </c>
      <c r="D300" s="312" t="s">
        <v>2411</v>
      </c>
      <c r="E300" s="312" t="s">
        <v>1206</v>
      </c>
      <c r="F300" s="298" t="s">
        <v>9130</v>
      </c>
      <c r="G300" s="312" t="s">
        <v>11837</v>
      </c>
      <c r="H300" s="2187" t="s">
        <v>11837</v>
      </c>
      <c r="I300" s="321"/>
      <c r="J300" s="321"/>
      <c r="K300" s="321"/>
      <c r="L300" s="321"/>
    </row>
    <row r="301" spans="2:12" ht="25.5" x14ac:dyDescent="0.2">
      <c r="B301" s="359" t="str">
        <f t="shared" si="18"/>
        <v>Nb Joueurs phase finale</v>
      </c>
      <c r="C301" s="312" t="str">
        <f t="shared" si="19"/>
        <v>N_NbLastPlayers</v>
      </c>
      <c r="D301" s="312" t="s">
        <v>2412</v>
      </c>
      <c r="E301" s="312" t="s">
        <v>2405</v>
      </c>
      <c r="F301" s="298" t="s">
        <v>9131</v>
      </c>
      <c r="G301" s="312" t="s">
        <v>11838</v>
      </c>
      <c r="H301" s="2187" t="s">
        <v>12498</v>
      </c>
      <c r="I301" s="321"/>
      <c r="J301" s="321"/>
      <c r="K301" s="321"/>
      <c r="L301" s="321"/>
    </row>
    <row r="302" spans="2:12" x14ac:dyDescent="0.2">
      <c r="B302" s="359" t="str">
        <f t="shared" si="18"/>
        <v>Nb Joueurs</v>
      </c>
      <c r="C302" s="312" t="str">
        <f t="shared" si="19"/>
        <v>N_NbPlayers</v>
      </c>
      <c r="D302" s="312" t="s">
        <v>1204</v>
      </c>
      <c r="E302" s="312" t="s">
        <v>2413</v>
      </c>
      <c r="F302" s="298" t="s">
        <v>9132</v>
      </c>
      <c r="G302" s="312" t="s">
        <v>11839</v>
      </c>
      <c r="H302" s="2187" t="s">
        <v>12499</v>
      </c>
      <c r="I302" s="321"/>
      <c r="J302" s="321"/>
      <c r="K302" s="321"/>
      <c r="L302" s="321"/>
    </row>
    <row r="303" spans="2:12" x14ac:dyDescent="0.2">
      <c r="B303" s="359" t="str">
        <f t="shared" si="18"/>
        <v>Nb Poules de …</v>
      </c>
      <c r="C303" s="312" t="str">
        <f t="shared" si="19"/>
        <v>N_NbGroupsOf</v>
      </c>
      <c r="D303" s="312" t="s">
        <v>2414</v>
      </c>
      <c r="E303" s="312" t="s">
        <v>1305</v>
      </c>
      <c r="F303" s="298" t="s">
        <v>9133</v>
      </c>
      <c r="G303" s="312" t="s">
        <v>11840</v>
      </c>
      <c r="H303" s="2187" t="s">
        <v>12500</v>
      </c>
      <c r="I303" s="321"/>
      <c r="J303" s="321"/>
      <c r="K303" s="321"/>
      <c r="L303" s="321"/>
    </row>
    <row r="304" spans="2:12" x14ac:dyDescent="0.2">
      <c r="B304" s="359" t="str">
        <f t="shared" si="18"/>
        <v>Nb Total de Poules</v>
      </c>
      <c r="C304" s="312" t="str">
        <f t="shared" si="19"/>
        <v>N_TotalNbGroups</v>
      </c>
      <c r="D304" s="312" t="s">
        <v>2415</v>
      </c>
      <c r="E304" s="312" t="s">
        <v>2406</v>
      </c>
      <c r="F304" s="298" t="s">
        <v>9134</v>
      </c>
      <c r="G304" s="312" t="s">
        <v>11841</v>
      </c>
      <c r="H304" s="2187" t="s">
        <v>12501</v>
      </c>
      <c r="I304" s="321"/>
      <c r="J304" s="321"/>
      <c r="K304" s="321"/>
      <c r="L304" s="321"/>
    </row>
    <row r="305" spans="2:12" ht="25.5" x14ac:dyDescent="0.2">
      <c r="B305" s="359" t="str">
        <f t="shared" si="18"/>
        <v>Matches 1ère phase finale</v>
      </c>
      <c r="C305" s="312" t="str">
        <f t="shared" si="19"/>
        <v>N_LastMatches</v>
      </c>
      <c r="D305" s="312" t="s">
        <v>2416</v>
      </c>
      <c r="E305" s="312" t="s">
        <v>2407</v>
      </c>
      <c r="F305" s="298" t="s">
        <v>9034</v>
      </c>
      <c r="G305" s="312" t="s">
        <v>11675</v>
      </c>
      <c r="H305" s="2187" t="s">
        <v>11675</v>
      </c>
      <c r="I305" s="321"/>
      <c r="J305" s="321"/>
      <c r="K305" s="321"/>
      <c r="L305" s="321"/>
    </row>
    <row r="306" spans="2:12" x14ac:dyDescent="0.2">
      <c r="B306" s="359" t="str">
        <f t="shared" si="18"/>
        <v>Série</v>
      </c>
      <c r="C306" s="312" t="str">
        <f t="shared" si="19"/>
        <v>N_Serie</v>
      </c>
      <c r="D306" s="312" t="s">
        <v>2417</v>
      </c>
      <c r="E306" s="312" t="s">
        <v>2418</v>
      </c>
      <c r="F306" s="298" t="s">
        <v>9135</v>
      </c>
      <c r="G306" s="312" t="s">
        <v>2418</v>
      </c>
      <c r="H306" s="2187" t="s">
        <v>2418</v>
      </c>
      <c r="I306" s="321"/>
      <c r="J306" s="321"/>
      <c r="K306" s="321"/>
      <c r="L306" s="321"/>
    </row>
    <row r="307" spans="2:12" ht="63.75" x14ac:dyDescent="0.2">
      <c r="B307" s="359" t="str">
        <f t="shared" si="18"/>
        <v>Erreur système : la formule de match n'a pas été trouvée. Contacter le support</v>
      </c>
      <c r="C307" s="312" t="str">
        <f t="shared" si="19"/>
        <v>N_MatchForumlaNotFound</v>
      </c>
      <c r="D307" s="312" t="s">
        <v>2424</v>
      </c>
      <c r="E307" s="312" t="s">
        <v>2423</v>
      </c>
      <c r="F307" s="298" t="s">
        <v>9136</v>
      </c>
      <c r="G307" s="312" t="s">
        <v>11798</v>
      </c>
      <c r="H307" s="2187" t="s">
        <v>12502</v>
      </c>
      <c r="I307" s="321"/>
      <c r="J307" s="321"/>
      <c r="K307" s="321"/>
      <c r="L307" s="321"/>
    </row>
    <row r="308" spans="2:12" ht="51" x14ac:dyDescent="0.2">
      <c r="B308" s="359" t="str">
        <f t="shared" si="18"/>
        <v>Vous ne pouvez pas supprimer l'avant dernière session</v>
      </c>
      <c r="C308" s="312" t="str">
        <f t="shared" si="19"/>
        <v>N_CantDeleteFirstSession</v>
      </c>
      <c r="D308" s="312" t="s">
        <v>555</v>
      </c>
      <c r="E308" s="312" t="s">
        <v>556</v>
      </c>
      <c r="F308" s="298" t="s">
        <v>9137</v>
      </c>
      <c r="G308" s="312" t="s">
        <v>11799</v>
      </c>
      <c r="H308" s="2187" t="s">
        <v>12503</v>
      </c>
      <c r="I308" s="321"/>
      <c r="J308" s="321"/>
      <c r="K308" s="321"/>
      <c r="L308" s="321"/>
    </row>
    <row r="309" spans="2:12" ht="51" x14ac:dyDescent="0.2">
      <c r="B309" s="359" t="str">
        <f t="shared" si="18"/>
        <v>Le nom de l'épreuve est obligatoire. Merci de le renseigner.</v>
      </c>
      <c r="C309" s="312" t="str">
        <f t="shared" si="19"/>
        <v>N_EventNameEmpty</v>
      </c>
      <c r="D309" s="312" t="s">
        <v>1525</v>
      </c>
      <c r="E309" s="312" t="s">
        <v>1524</v>
      </c>
      <c r="F309" s="298" t="s">
        <v>9138</v>
      </c>
      <c r="G309" s="312" t="s">
        <v>11800</v>
      </c>
      <c r="H309" s="2187" t="s">
        <v>12504</v>
      </c>
      <c r="I309" s="321"/>
      <c r="J309" s="321"/>
      <c r="K309" s="321"/>
      <c r="L309" s="321"/>
    </row>
    <row r="310" spans="2:12" ht="38.25" x14ac:dyDescent="0.2">
      <c r="B310" s="359" t="str">
        <f t="shared" si="18"/>
        <v>Sur la base des formules de compétition FISTF</v>
      </c>
      <c r="C310" s="312" t="str">
        <f t="shared" si="19"/>
        <v>N_NewEventFISTF</v>
      </c>
      <c r="D310" s="312" t="s">
        <v>1526</v>
      </c>
      <c r="E310" s="312" t="s">
        <v>1527</v>
      </c>
      <c r="F310" s="298" t="s">
        <v>9139</v>
      </c>
      <c r="G310" s="312" t="s">
        <v>11801</v>
      </c>
      <c r="H310" s="2187" t="s">
        <v>12505</v>
      </c>
      <c r="I310" s="321"/>
      <c r="J310" s="321"/>
      <c r="K310" s="321"/>
      <c r="L310" s="321"/>
    </row>
    <row r="311" spans="2:12" ht="51" x14ac:dyDescent="0.2">
      <c r="B311" s="359" t="str">
        <f t="shared" si="18"/>
        <v>En construisant vous-même votre formule de compétition</v>
      </c>
      <c r="C311" s="312" t="str">
        <f t="shared" si="19"/>
        <v>N_NewEventPersonnalized</v>
      </c>
      <c r="D311" s="312" t="s">
        <v>1528</v>
      </c>
      <c r="E311" s="312" t="s">
        <v>2</v>
      </c>
      <c r="F311" s="298" t="s">
        <v>9140</v>
      </c>
      <c r="G311" s="312" t="s">
        <v>11802</v>
      </c>
      <c r="H311" s="2187" t="s">
        <v>12506</v>
      </c>
      <c r="I311" s="321"/>
      <c r="J311" s="321"/>
      <c r="K311" s="321"/>
      <c r="L311" s="321"/>
    </row>
    <row r="312" spans="2:12" ht="38.25" x14ac:dyDescent="0.2">
      <c r="B312" s="359" t="str">
        <f t="shared" si="18"/>
        <v>Formules de compétition non officielles</v>
      </c>
      <c r="C312" s="312" t="str">
        <f t="shared" si="19"/>
        <v>N_CompetitionFormula</v>
      </c>
      <c r="D312" s="312" t="s">
        <v>2341</v>
      </c>
      <c r="E312" s="312" t="s">
        <v>2342</v>
      </c>
      <c r="F312" s="298" t="s">
        <v>9141</v>
      </c>
      <c r="G312" s="312" t="s">
        <v>11803</v>
      </c>
      <c r="H312" s="2187" t="s">
        <v>12507</v>
      </c>
      <c r="I312" s="321"/>
      <c r="J312" s="321"/>
      <c r="K312" s="321"/>
      <c r="L312" s="321"/>
    </row>
    <row r="313" spans="2:12" ht="63.75" x14ac:dyDescent="0.2">
      <c r="B313" s="359" t="str">
        <f t="shared" si="18"/>
        <v xml:space="preserve">En choisissant parmi des formules officielles ou non mais avec un choix plus important </v>
      </c>
      <c r="C313" s="312" t="str">
        <f t="shared" si="19"/>
        <v>N_NewEventWithFormulas</v>
      </c>
      <c r="D313" s="312" t="s">
        <v>1208</v>
      </c>
      <c r="E313" s="312" t="s">
        <v>1209</v>
      </c>
      <c r="F313" s="303" t="s">
        <v>9142</v>
      </c>
      <c r="G313" s="312" t="s">
        <v>11804</v>
      </c>
      <c r="H313" s="2187" t="s">
        <v>12508</v>
      </c>
      <c r="I313" s="321"/>
      <c r="J313" s="321"/>
      <c r="K313" s="321"/>
      <c r="L313" s="321"/>
    </row>
    <row r="314" spans="2:12" ht="114.75" x14ac:dyDescent="0.2">
      <c r="B314" s="359" t="str">
        <f t="shared" si="18"/>
        <v>Le nombre maximum de formules différentes pour un nombre de joueurs donné est dépassé. Modifier la feuille "CompetitionFormulas".</v>
      </c>
      <c r="C314" s="312" t="str">
        <f t="shared" si="19"/>
        <v>N_ToMuchFormulas</v>
      </c>
      <c r="D314" s="312" t="s">
        <v>4023</v>
      </c>
      <c r="E314" s="312" t="s">
        <v>4024</v>
      </c>
      <c r="F314" s="303" t="s">
        <v>9143</v>
      </c>
      <c r="G314" s="312" t="s">
        <v>11805</v>
      </c>
      <c r="H314" s="2187" t="s">
        <v>12509</v>
      </c>
      <c r="I314" s="321"/>
      <c r="J314" s="321"/>
      <c r="K314" s="321"/>
      <c r="L314" s="321"/>
    </row>
    <row r="315" spans="2:12" x14ac:dyDescent="0.2">
      <c r="B315" s="359" t="str">
        <f t="shared" si="18"/>
        <v>Nb Buts Max</v>
      </c>
      <c r="C315" s="312" t="str">
        <f t="shared" si="19"/>
        <v>N_MaxGoals</v>
      </c>
      <c r="D315" s="312" t="s">
        <v>2025</v>
      </c>
      <c r="E315" s="312" t="s">
        <v>2030</v>
      </c>
      <c r="F315" s="298" t="s">
        <v>9144</v>
      </c>
      <c r="G315" s="312" t="s">
        <v>11806</v>
      </c>
      <c r="H315" s="2187" t="s">
        <v>12510</v>
      </c>
      <c r="I315" s="321"/>
      <c r="J315" s="321"/>
      <c r="K315" s="321"/>
      <c r="L315" s="321"/>
    </row>
    <row r="316" spans="2:12" x14ac:dyDescent="0.2">
      <c r="B316" s="359" t="str">
        <f t="shared" si="18"/>
        <v>Perdant</v>
      </c>
      <c r="C316" s="312" t="str">
        <f t="shared" si="19"/>
        <v>N_Loser</v>
      </c>
      <c r="D316" s="312" t="s">
        <v>2028</v>
      </c>
      <c r="E316" s="312" t="s">
        <v>2029</v>
      </c>
      <c r="F316" s="298" t="s">
        <v>9145</v>
      </c>
      <c r="G316" s="312" t="s">
        <v>11807</v>
      </c>
      <c r="H316" s="2187" t="s">
        <v>11807</v>
      </c>
      <c r="I316" s="321"/>
      <c r="J316" s="321"/>
      <c r="K316" s="321"/>
      <c r="L316" s="321"/>
    </row>
    <row r="317" spans="2:12" x14ac:dyDescent="0.2">
      <c r="B317" s="359" t="str">
        <f t="shared" si="18"/>
        <v>Score Max</v>
      </c>
      <c r="C317" s="312" t="str">
        <f t="shared" si="19"/>
        <v>N_MaxScore</v>
      </c>
      <c r="D317" s="312" t="s">
        <v>2026</v>
      </c>
      <c r="E317" s="312" t="s">
        <v>2027</v>
      </c>
      <c r="F317" s="298" t="s">
        <v>9146</v>
      </c>
      <c r="G317" s="312" t="s">
        <v>11808</v>
      </c>
      <c r="H317" s="2187" t="s">
        <v>12511</v>
      </c>
      <c r="I317" s="321"/>
      <c r="J317" s="321"/>
      <c r="K317" s="321"/>
      <c r="L317" s="321"/>
    </row>
    <row r="318" spans="2:12" x14ac:dyDescent="0.2">
      <c r="B318" s="359" t="str">
        <f t="shared" si="18"/>
        <v>Applicable</v>
      </c>
      <c r="C318" s="312" t="str">
        <f t="shared" si="19"/>
        <v>N_Applicable</v>
      </c>
      <c r="D318" s="312" t="s">
        <v>2031</v>
      </c>
      <c r="E318" s="312" t="s">
        <v>2031</v>
      </c>
      <c r="F318" s="298" t="s">
        <v>9147</v>
      </c>
      <c r="G318" s="312" t="s">
        <v>11809</v>
      </c>
      <c r="H318" s="2187" t="s">
        <v>11809</v>
      </c>
      <c r="I318" s="321"/>
      <c r="J318" s="321"/>
      <c r="K318" s="321"/>
      <c r="L318" s="321"/>
    </row>
    <row r="319" spans="2:12" x14ac:dyDescent="0.2">
      <c r="B319" s="359" t="str">
        <f t="shared" si="18"/>
        <v>Clas.</v>
      </c>
      <c r="C319" s="312" t="str">
        <f t="shared" si="19"/>
        <v>N_Rank</v>
      </c>
      <c r="D319" s="312" t="s">
        <v>443</v>
      </c>
      <c r="E319" s="312" t="s">
        <v>444</v>
      </c>
      <c r="F319" s="298" t="s">
        <v>444</v>
      </c>
      <c r="G319" s="312" t="s">
        <v>444</v>
      </c>
      <c r="H319" s="2187" t="s">
        <v>444</v>
      </c>
      <c r="I319" s="321"/>
      <c r="J319" s="321"/>
      <c r="K319" s="321"/>
      <c r="L319" s="321"/>
    </row>
    <row r="320" spans="2:12" x14ac:dyDescent="0.2">
      <c r="B320" s="359" t="str">
        <f t="shared" si="18"/>
        <v>Pt. Clas.</v>
      </c>
      <c r="C320" s="312" t="str">
        <f t="shared" si="19"/>
        <v>N_RankPoints</v>
      </c>
      <c r="D320" s="312" t="s">
        <v>438</v>
      </c>
      <c r="E320" s="312" t="s">
        <v>439</v>
      </c>
      <c r="F320" s="298" t="s">
        <v>439</v>
      </c>
      <c r="G320" s="312" t="s">
        <v>439</v>
      </c>
      <c r="H320" s="2187" t="s">
        <v>439</v>
      </c>
      <c r="I320" s="321"/>
      <c r="J320" s="321"/>
      <c r="K320" s="321"/>
      <c r="L320" s="321"/>
    </row>
    <row r="321" spans="2:12" ht="25.5" x14ac:dyDescent="0.2">
      <c r="B321" s="359" t="str">
        <f t="shared" si="18"/>
        <v>Classement des équipes</v>
      </c>
      <c r="C321" s="312" t="str">
        <f t="shared" si="19"/>
        <v>N_RankingTeamSheetTitle</v>
      </c>
      <c r="D321" s="312" t="s">
        <v>9495</v>
      </c>
      <c r="E321" s="312" t="s">
        <v>9496</v>
      </c>
      <c r="F321" s="303" t="s">
        <v>9500</v>
      </c>
      <c r="G321" s="312" t="s">
        <v>11810</v>
      </c>
      <c r="H321" s="2187" t="s">
        <v>12512</v>
      </c>
      <c r="I321" s="321"/>
      <c r="J321" s="321"/>
      <c r="K321" s="321"/>
      <c r="L321" s="321"/>
    </row>
    <row r="322" spans="2:12" ht="25.5" x14ac:dyDescent="0.2">
      <c r="B322" s="359" t="str">
        <f t="shared" si="18"/>
        <v>Classement des joueurs</v>
      </c>
      <c r="C322" s="312" t="str">
        <f t="shared" si="19"/>
        <v>N_RankingSheetTitle</v>
      </c>
      <c r="D322" s="312" t="s">
        <v>434</v>
      </c>
      <c r="E322" s="312" t="s">
        <v>2129</v>
      </c>
      <c r="F322" s="298" t="s">
        <v>9148</v>
      </c>
      <c r="G322" s="312" t="s">
        <v>11811</v>
      </c>
      <c r="H322" s="2187" t="s">
        <v>12513</v>
      </c>
      <c r="I322" s="321"/>
      <c r="J322" s="321"/>
      <c r="K322" s="321"/>
      <c r="L322" s="321"/>
    </row>
    <row r="323" spans="2:12" ht="25.5" x14ac:dyDescent="0.2">
      <c r="B323" s="359" t="str">
        <f t="shared" si="18"/>
        <v>Liste des équipes classées</v>
      </c>
      <c r="C323" s="312" t="str">
        <f t="shared" si="19"/>
        <v>N_RankedTeams_list</v>
      </c>
      <c r="D323" s="312" t="s">
        <v>9497</v>
      </c>
      <c r="E323" s="312" t="s">
        <v>9498</v>
      </c>
      <c r="F323" s="303" t="s">
        <v>9499</v>
      </c>
      <c r="G323" s="312" t="s">
        <v>11812</v>
      </c>
      <c r="H323" s="2187" t="s">
        <v>12514</v>
      </c>
      <c r="I323" s="321"/>
      <c r="J323" s="321"/>
      <c r="K323" s="321"/>
      <c r="L323" s="321"/>
    </row>
    <row r="324" spans="2:12" ht="25.5" x14ac:dyDescent="0.2">
      <c r="B324" s="359" t="str">
        <f t="shared" si="18"/>
        <v>Liste des joueurs classés</v>
      </c>
      <c r="C324" s="312" t="str">
        <f t="shared" si="19"/>
        <v>N_RankedPlayers_list</v>
      </c>
      <c r="D324" s="312" t="s">
        <v>436</v>
      </c>
      <c r="E324" s="312" t="s">
        <v>437</v>
      </c>
      <c r="F324" s="298" t="s">
        <v>9149</v>
      </c>
      <c r="G324" s="312" t="s">
        <v>11813</v>
      </c>
      <c r="H324" s="2187" t="s">
        <v>12515</v>
      </c>
      <c r="I324" s="321"/>
      <c r="J324" s="321"/>
      <c r="K324" s="321"/>
      <c r="L324" s="321"/>
    </row>
    <row r="325" spans="2:12" ht="38.25" x14ac:dyDescent="0.2">
      <c r="B325" s="359" t="str">
        <f t="shared" si="18"/>
        <v>Critère sur le classement des joueurs</v>
      </c>
      <c r="C325" s="312" t="str">
        <f t="shared" si="19"/>
        <v>N_Criteria_on_WR</v>
      </c>
      <c r="D325" s="312" t="s">
        <v>440</v>
      </c>
      <c r="E325" s="312" t="s">
        <v>2106</v>
      </c>
      <c r="F325" s="298" t="s">
        <v>9150</v>
      </c>
      <c r="G325" s="312" t="s">
        <v>11814</v>
      </c>
      <c r="H325" s="2187" t="s">
        <v>12516</v>
      </c>
      <c r="I325" s="321"/>
      <c r="J325" s="321"/>
      <c r="K325" s="321"/>
      <c r="L325" s="321"/>
    </row>
    <row r="326" spans="2:12" ht="25.5" x14ac:dyDescent="0.2">
      <c r="B326" s="359" t="str">
        <f t="shared" ref="B326:B389" si="20">HLOOKUP(Language,D$2:L$1113,ROW()-1,FALSE)</f>
        <v>Nombre de points au classement</v>
      </c>
      <c r="C326" s="312" t="str">
        <f t="shared" si="19"/>
        <v>N_NbPointsInRanking</v>
      </c>
      <c r="D326" s="312" t="s">
        <v>441</v>
      </c>
      <c r="E326" s="312" t="s">
        <v>442</v>
      </c>
      <c r="F326" s="298" t="s">
        <v>9151</v>
      </c>
      <c r="G326" s="312" t="s">
        <v>11815</v>
      </c>
      <c r="H326" s="2187" t="s">
        <v>12517</v>
      </c>
      <c r="I326" s="321"/>
      <c r="J326" s="321"/>
      <c r="K326" s="321"/>
      <c r="L326" s="321"/>
    </row>
    <row r="327" spans="2:12" ht="153" x14ac:dyDescent="0.2">
      <c r="B327" s="359" t="str">
        <f t="shared" si="20"/>
        <v>Mettre à jour si besoin le classement Mondial (dans le cas où ce classement est utilisé dans les critères de classement de poules ou pour l'utilisation de la fonctionnalité de tirage au sort)</v>
      </c>
      <c r="C327" s="312" t="str">
        <f t="shared" si="19"/>
        <v>N_Ranking</v>
      </c>
      <c r="D327" s="312" t="s">
        <v>10696</v>
      </c>
      <c r="E327" s="312" t="s">
        <v>10697</v>
      </c>
      <c r="F327" s="303" t="s">
        <v>10698</v>
      </c>
      <c r="G327" s="312" t="s">
        <v>11816</v>
      </c>
      <c r="H327" s="2187" t="s">
        <v>12518</v>
      </c>
      <c r="I327" s="321"/>
      <c r="J327" s="321"/>
      <c r="K327" s="321"/>
      <c r="L327" s="321"/>
    </row>
    <row r="328" spans="2:12" ht="178.5" x14ac:dyDescent="0.2">
      <c r="B328" s="359" t="str">
        <f t="shared" si="20"/>
        <v>Le fichier sélectionné n'est semble-t-il pas un fichier de classement FISTF. Si ce n'est pas le cas, il se peut que le format du fichier ait changé et qu'il faille modifier la fonction d'import; contacter dans ce cas le support GMFT.</v>
      </c>
      <c r="C328" s="312" t="str">
        <f t="shared" si="19"/>
        <v>N_NotAFistfWRFile</v>
      </c>
      <c r="D328" s="312" t="s">
        <v>2124</v>
      </c>
      <c r="E328" s="312" t="s">
        <v>2726</v>
      </c>
      <c r="F328" s="298" t="s">
        <v>9152</v>
      </c>
      <c r="G328" s="312" t="s">
        <v>11817</v>
      </c>
      <c r="H328" s="2187" t="s">
        <v>12519</v>
      </c>
      <c r="I328" s="321"/>
      <c r="J328" s="321"/>
      <c r="K328" s="321"/>
      <c r="L328" s="321"/>
    </row>
    <row r="329" spans="2:12" ht="178.5" x14ac:dyDescent="0.2">
      <c r="B329" s="359" t="str">
        <f t="shared" si="20"/>
        <v>Le fichier sélectionné n'est semble-t-il pas un fichier de Table de Marque GMFT. Si ce n'est pas le cas, il se peut que le format du fichier ait changé malgré les protections initiales interdisant tout autre modification que la saisie des scores.</v>
      </c>
      <c r="C329" s="312" t="str">
        <f t="shared" si="19"/>
        <v>N_NotAScorerTableFile</v>
      </c>
      <c r="D329" s="312" t="s">
        <v>2859</v>
      </c>
      <c r="E329" s="312" t="s">
        <v>2860</v>
      </c>
      <c r="F329" s="298" t="s">
        <v>9153</v>
      </c>
      <c r="G329" s="312" t="s">
        <v>11818</v>
      </c>
      <c r="H329" s="2187" t="s">
        <v>12520</v>
      </c>
      <c r="I329" s="321"/>
      <c r="J329" s="321"/>
      <c r="K329" s="321"/>
      <c r="L329" s="321"/>
    </row>
    <row r="330" spans="2:12" ht="25.5" x14ac:dyDescent="0.2">
      <c r="B330" s="359" t="str">
        <f t="shared" si="20"/>
        <v>Nombre total de joueurs classés</v>
      </c>
      <c r="C330" s="312" t="str">
        <f t="shared" si="19"/>
        <v>N_TotalNbRankedPlayers</v>
      </c>
      <c r="D330" s="312" t="s">
        <v>2125</v>
      </c>
      <c r="E330" s="312" t="s">
        <v>2127</v>
      </c>
      <c r="F330" s="298" t="s">
        <v>9154</v>
      </c>
      <c r="G330" s="312" t="s">
        <v>11819</v>
      </c>
      <c r="H330" s="2187" t="s">
        <v>12521</v>
      </c>
      <c r="I330" s="321"/>
      <c r="J330" s="321"/>
      <c r="K330" s="321"/>
      <c r="L330" s="321"/>
    </row>
    <row r="331" spans="2:12" ht="38.25" x14ac:dyDescent="0.2">
      <c r="B331" s="359" t="str">
        <f t="shared" si="20"/>
        <v>Nombre total de lignes de classement</v>
      </c>
      <c r="C331" s="312" t="str">
        <f t="shared" si="19"/>
        <v>N_TotalNbRankingLines</v>
      </c>
      <c r="D331" s="312" t="s">
        <v>2126</v>
      </c>
      <c r="E331" s="312" t="s">
        <v>2128</v>
      </c>
      <c r="F331" s="298" t="s">
        <v>9155</v>
      </c>
      <c r="G331" s="312" t="s">
        <v>11820</v>
      </c>
      <c r="H331" s="2187" t="s">
        <v>12522</v>
      </c>
      <c r="I331" s="321"/>
      <c r="J331" s="321"/>
      <c r="K331" s="321"/>
      <c r="L331" s="321"/>
    </row>
    <row r="332" spans="2:12" ht="38.25" x14ac:dyDescent="0.2">
      <c r="B332" s="359" t="str">
        <f t="shared" si="20"/>
        <v>Importer le fichier de classement FISTF</v>
      </c>
      <c r="C332" s="312" t="str">
        <f t="shared" si="19"/>
        <v>N_Import_FISTF_File</v>
      </c>
      <c r="D332" s="312" t="s">
        <v>2130</v>
      </c>
      <c r="E332" s="312" t="s">
        <v>2131</v>
      </c>
      <c r="F332" s="298" t="s">
        <v>9156</v>
      </c>
      <c r="G332" s="312" t="s">
        <v>11821</v>
      </c>
      <c r="H332" s="2187" t="s">
        <v>12523</v>
      </c>
      <c r="I332" s="321"/>
      <c r="J332" s="321"/>
      <c r="K332" s="321"/>
      <c r="L332" s="321"/>
    </row>
    <row r="333" spans="2:12" ht="127.5" x14ac:dyDescent="0.2">
      <c r="B333" s="359" t="str">
        <f t="shared" si="20"/>
        <v>Utiliser le Classement Mondial des joueurs (feuille Ranking) comme base de données des licenciés (utilisée dans la feuille Checkin comme liste des joueurs).</v>
      </c>
      <c r="C333" s="312" t="str">
        <f t="shared" si="19"/>
        <v>N_RankingAsLicenceList</v>
      </c>
      <c r="D333" s="312" t="s">
        <v>430</v>
      </c>
      <c r="E333" s="312" t="s">
        <v>429</v>
      </c>
      <c r="F333" s="298" t="s">
        <v>9157</v>
      </c>
      <c r="G333" s="312" t="s">
        <v>11822</v>
      </c>
      <c r="H333" s="2187" t="s">
        <v>12524</v>
      </c>
      <c r="I333" s="321"/>
      <c r="J333" s="321"/>
      <c r="K333" s="321"/>
      <c r="L333" s="321"/>
    </row>
    <row r="334" spans="2:12" ht="25.5" x14ac:dyDescent="0.2">
      <c r="B334" s="359" t="str">
        <f t="shared" si="20"/>
        <v>Date Naiss. si non licencié</v>
      </c>
      <c r="C334" s="312" t="str">
        <f t="shared" si="19"/>
        <v>N_DateOfBirth</v>
      </c>
      <c r="D334" s="312" t="s">
        <v>2800</v>
      </c>
      <c r="E334" s="312" t="s">
        <v>2799</v>
      </c>
      <c r="F334" s="298" t="s">
        <v>9158</v>
      </c>
      <c r="G334" s="312" t="s">
        <v>11823</v>
      </c>
      <c r="H334" s="2187" t="s">
        <v>12525</v>
      </c>
      <c r="I334" s="321"/>
      <c r="J334" s="321"/>
      <c r="K334" s="321"/>
      <c r="L334" s="321"/>
    </row>
    <row r="335" spans="2:12" ht="38.25" x14ac:dyDescent="0.2">
      <c r="B335" s="359" t="str">
        <f t="shared" si="20"/>
        <v>Vous sélection ne doit porter que sur une seule ligne !</v>
      </c>
      <c r="C335" s="312" t="str">
        <f t="shared" si="19"/>
        <v>N_OnlyOneLineSelection</v>
      </c>
      <c r="D335" s="312" t="s">
        <v>432</v>
      </c>
      <c r="E335" s="312" t="s">
        <v>431</v>
      </c>
      <c r="F335" s="298" t="s">
        <v>9159</v>
      </c>
      <c r="G335" s="312" t="s">
        <v>11824</v>
      </c>
      <c r="H335" s="2186" t="s">
        <v>12526</v>
      </c>
      <c r="I335" s="321"/>
      <c r="J335" s="321"/>
      <c r="K335" s="321"/>
      <c r="L335" s="321"/>
    </row>
    <row r="336" spans="2:12" ht="76.5" x14ac:dyDescent="0.2">
      <c r="B336" s="359" t="str">
        <f t="shared" si="20"/>
        <v>Vous n'êtes pas positionné sur une ligne de session (la première session ne peut être utilisée).</v>
      </c>
      <c r="C336" s="312" t="str">
        <f t="shared" ref="C336:C401" si="21">NAMEOF(B336)</f>
        <v>N_NotSessionRow</v>
      </c>
      <c r="D336" s="312" t="s">
        <v>1137</v>
      </c>
      <c r="E336" s="312" t="s">
        <v>1138</v>
      </c>
      <c r="F336" s="298" t="s">
        <v>9160</v>
      </c>
      <c r="G336" s="312" t="s">
        <v>11825</v>
      </c>
      <c r="H336" s="2187" t="s">
        <v>12527</v>
      </c>
      <c r="I336" s="321"/>
      <c r="J336" s="321"/>
      <c r="K336" s="321"/>
      <c r="L336" s="321"/>
    </row>
    <row r="337" spans="2:12" ht="38.25" x14ac:dyDescent="0.2">
      <c r="B337" s="359" t="str">
        <f t="shared" si="20"/>
        <v>Insérer avant / Supprimer session sélectionnée</v>
      </c>
      <c r="C337" s="312" t="str">
        <f t="shared" si="21"/>
        <v>N_Add_Delete_Session</v>
      </c>
      <c r="D337" s="312" t="s">
        <v>7216</v>
      </c>
      <c r="E337" s="312" t="s">
        <v>7217</v>
      </c>
      <c r="F337" s="298" t="s">
        <v>9161</v>
      </c>
      <c r="G337" s="312" t="s">
        <v>11826</v>
      </c>
      <c r="H337" s="2187" t="s">
        <v>12528</v>
      </c>
      <c r="I337" s="321"/>
      <c r="J337" s="321"/>
      <c r="K337" s="321"/>
      <c r="L337" s="321"/>
    </row>
    <row r="338" spans="2:12" ht="25.5" x14ac:dyDescent="0.2">
      <c r="B338" s="359" t="str">
        <f t="shared" si="20"/>
        <v>Insérer / Supprimer dernière session</v>
      </c>
      <c r="C338" s="312" t="str">
        <f t="shared" si="21"/>
        <v>N_Add_Delete_Last_Session</v>
      </c>
      <c r="D338" s="312" t="s">
        <v>7214</v>
      </c>
      <c r="E338" s="312" t="s">
        <v>7215</v>
      </c>
      <c r="F338" s="298" t="s">
        <v>9162</v>
      </c>
      <c r="G338" s="312" t="s">
        <v>11827</v>
      </c>
      <c r="H338" s="2187" t="s">
        <v>12529</v>
      </c>
      <c r="I338" s="321"/>
      <c r="J338" s="321"/>
      <c r="K338" s="321"/>
      <c r="L338" s="321"/>
    </row>
    <row r="339" spans="2:12" ht="51" x14ac:dyDescent="0.2">
      <c r="B339" s="359" t="str">
        <f t="shared" si="20"/>
        <v>Déplacer ou supprimer les matches sélectionnés</v>
      </c>
      <c r="C339" s="312" t="str">
        <f t="shared" si="21"/>
        <v>N_Move_Delete_Matches</v>
      </c>
      <c r="D339" s="312" t="s">
        <v>7220</v>
      </c>
      <c r="E339" s="312" t="s">
        <v>1139</v>
      </c>
      <c r="F339" s="298" t="s">
        <v>9163</v>
      </c>
      <c r="G339" s="312" t="s">
        <v>11828</v>
      </c>
      <c r="H339" s="2187" t="s">
        <v>12530</v>
      </c>
      <c r="I339" s="321"/>
      <c r="J339" s="321"/>
      <c r="K339" s="321"/>
      <c r="L339" s="321"/>
    </row>
    <row r="340" spans="2:12" ht="63.75" x14ac:dyDescent="0.2">
      <c r="B340" s="359" t="str">
        <f t="shared" si="20"/>
        <v>Déplacer les matches sélectionnés : Avant/Après session</v>
      </c>
      <c r="C340" s="312" t="str">
        <f t="shared" si="21"/>
        <v>N_Move_Matches_To_Session</v>
      </c>
      <c r="D340" s="312" t="s">
        <v>7218</v>
      </c>
      <c r="E340" s="312" t="s">
        <v>7219</v>
      </c>
      <c r="F340" s="298" t="s">
        <v>9164</v>
      </c>
      <c r="G340" s="312" t="s">
        <v>11829</v>
      </c>
      <c r="H340" s="2187" t="s">
        <v>12531</v>
      </c>
      <c r="I340" s="321"/>
      <c r="J340" s="321"/>
      <c r="K340" s="321"/>
      <c r="L340" s="321"/>
    </row>
    <row r="341" spans="2:12" ht="25.5" x14ac:dyDescent="0.2">
      <c r="B341" s="359" t="str">
        <f t="shared" si="20"/>
        <v>Copier les scores et dévalider</v>
      </c>
      <c r="C341" s="312" t="str">
        <f t="shared" si="21"/>
        <v>N_Copy_Unvalidate</v>
      </c>
      <c r="D341" s="312" t="s">
        <v>1143</v>
      </c>
      <c r="E341" s="312" t="s">
        <v>1141</v>
      </c>
      <c r="F341" s="298" t="s">
        <v>9165</v>
      </c>
      <c r="G341" s="312" t="s">
        <v>11831</v>
      </c>
      <c r="H341" s="2187" t="s">
        <v>12532</v>
      </c>
      <c r="I341" s="321"/>
      <c r="J341" s="321"/>
      <c r="K341" s="321"/>
      <c r="L341" s="321"/>
    </row>
    <row r="342" spans="2:12" ht="25.5" x14ac:dyDescent="0.2">
      <c r="B342" s="359" t="str">
        <f t="shared" si="20"/>
        <v>Copier les scores et valider</v>
      </c>
      <c r="C342" s="312" t="str">
        <f t="shared" si="21"/>
        <v>N_Copy_Validate</v>
      </c>
      <c r="D342" s="312" t="s">
        <v>1140</v>
      </c>
      <c r="E342" s="312" t="s">
        <v>1142</v>
      </c>
      <c r="F342" s="298" t="s">
        <v>9166</v>
      </c>
      <c r="G342" s="312" t="s">
        <v>11830</v>
      </c>
      <c r="H342" s="2187" t="s">
        <v>12533</v>
      </c>
      <c r="I342" s="321"/>
      <c r="J342" s="321"/>
      <c r="K342" s="321"/>
      <c r="L342" s="321"/>
    </row>
    <row r="343" spans="2:12" ht="25.5" x14ac:dyDescent="0.2">
      <c r="B343" s="359" t="str">
        <f t="shared" si="20"/>
        <v>Supprimer matches obsolètes (#REF!)</v>
      </c>
      <c r="C343" s="312" t="str">
        <f t="shared" si="21"/>
        <v>N_Delete_Bad_Ref</v>
      </c>
      <c r="D343" s="312" t="s">
        <v>7221</v>
      </c>
      <c r="E343" s="312" t="s">
        <v>1144</v>
      </c>
      <c r="F343" s="298" t="s">
        <v>9167</v>
      </c>
      <c r="G343" s="312" t="s">
        <v>11832</v>
      </c>
      <c r="H343" s="2187" t="s">
        <v>12534</v>
      </c>
      <c r="I343" s="321"/>
      <c r="J343" s="321"/>
      <c r="K343" s="321"/>
      <c r="L343" s="321"/>
    </row>
    <row r="344" spans="2:12" ht="51" x14ac:dyDescent="0.2">
      <c r="B344" s="359" t="str">
        <f t="shared" si="20"/>
        <v>Verrouiller les feuilles pour éviter les erreurs de manipulation</v>
      </c>
      <c r="C344" s="312" t="str">
        <f t="shared" si="21"/>
        <v>N_LockSheets</v>
      </c>
      <c r="D344" s="312" t="s">
        <v>1145</v>
      </c>
      <c r="E344" s="312" t="s">
        <v>1146</v>
      </c>
      <c r="F344" s="298" t="s">
        <v>9168</v>
      </c>
      <c r="G344" s="312" t="s">
        <v>11833</v>
      </c>
      <c r="H344" s="2187" t="s">
        <v>12535</v>
      </c>
      <c r="I344" s="321"/>
      <c r="J344" s="321"/>
      <c r="K344" s="321"/>
      <c r="L344" s="321"/>
    </row>
    <row r="345" spans="2:12" x14ac:dyDescent="0.2">
      <c r="B345" s="359" t="str">
        <f t="shared" si="20"/>
        <v>Remplaçant</v>
      </c>
      <c r="C345" s="312" t="str">
        <f t="shared" si="21"/>
        <v>N_Substitute</v>
      </c>
      <c r="D345" s="312" t="s">
        <v>1147</v>
      </c>
      <c r="E345" s="312" t="s">
        <v>1148</v>
      </c>
      <c r="F345" s="298" t="s">
        <v>9169</v>
      </c>
      <c r="G345" s="312" t="s">
        <v>11834</v>
      </c>
      <c r="H345" s="2187" t="s">
        <v>12536</v>
      </c>
      <c r="I345" s="321"/>
      <c r="J345" s="321"/>
      <c r="K345" s="321"/>
      <c r="L345" s="321"/>
    </row>
    <row r="346" spans="2:12" ht="38.25" x14ac:dyDescent="0.2">
      <c r="B346" s="359" t="str">
        <f t="shared" si="20"/>
        <v>Codes de match pour les remplaçants</v>
      </c>
      <c r="C346" s="312" t="str">
        <f t="shared" si="21"/>
        <v>N_Substitute_Codes</v>
      </c>
      <c r="D346" s="312" t="s">
        <v>1149</v>
      </c>
      <c r="E346" s="312" t="s">
        <v>1150</v>
      </c>
      <c r="F346" s="298" t="s">
        <v>9170</v>
      </c>
      <c r="G346" s="312" t="s">
        <v>11835</v>
      </c>
      <c r="H346" s="2187" t="s">
        <v>12537</v>
      </c>
      <c r="I346" s="321"/>
      <c r="J346" s="321"/>
      <c r="K346" s="321"/>
      <c r="L346" s="321"/>
    </row>
    <row r="347" spans="2:12" ht="25.5" x14ac:dyDescent="0.2">
      <c r="B347" s="359" t="str">
        <f t="shared" si="20"/>
        <v>Nb Matches arbitrés</v>
      </c>
      <c r="C347" s="312" t="str">
        <f t="shared" si="21"/>
        <v>N_Nb_Refereeing</v>
      </c>
      <c r="D347" s="312" t="s">
        <v>445</v>
      </c>
      <c r="E347" s="312" t="s">
        <v>7784</v>
      </c>
      <c r="F347" s="298" t="s">
        <v>9171</v>
      </c>
      <c r="G347" s="312" t="s">
        <v>11836</v>
      </c>
      <c r="H347" s="2187" t="s">
        <v>12538</v>
      </c>
      <c r="I347" s="321"/>
      <c r="J347" s="321"/>
      <c r="K347" s="321"/>
      <c r="L347" s="321"/>
    </row>
    <row r="348" spans="2:12" ht="25.5" x14ac:dyDescent="0.2">
      <c r="B348" s="359" t="str">
        <f t="shared" si="20"/>
        <v>Session de dernier arbitrage</v>
      </c>
      <c r="C348" s="312" t="str">
        <f t="shared" si="21"/>
        <v>N_LastHourRefereeing</v>
      </c>
      <c r="D348" s="312" t="s">
        <v>10943</v>
      </c>
      <c r="E348" s="312" t="s">
        <v>10944</v>
      </c>
      <c r="F348" s="303" t="s">
        <v>10945</v>
      </c>
      <c r="G348" s="312" t="s">
        <v>11842</v>
      </c>
      <c r="H348" s="2187" t="s">
        <v>12539</v>
      </c>
      <c r="I348" s="321"/>
      <c r="J348" s="321"/>
      <c r="K348" s="321"/>
      <c r="L348" s="321"/>
    </row>
    <row r="349" spans="2:12" ht="102" x14ac:dyDescent="0.2">
      <c r="B349" s="359" t="str">
        <f t="shared" si="20"/>
        <v>Cette liste vous permet d'adapter la "liste de valeurs" disponible dans les champs "Abitre" de la feuille Planning afin qu'elle soit plus facile à utiliser.</v>
      </c>
      <c r="C349" s="312" t="str">
        <f t="shared" si="21"/>
        <v>N_RefereeListReason</v>
      </c>
      <c r="D349" s="312" t="s">
        <v>454</v>
      </c>
      <c r="E349" s="312" t="s">
        <v>453</v>
      </c>
      <c r="F349" s="298" t="s">
        <v>9172</v>
      </c>
      <c r="G349" s="312" t="s">
        <v>11843</v>
      </c>
      <c r="H349" s="2187" t="s">
        <v>12540</v>
      </c>
      <c r="I349" s="321"/>
      <c r="J349" s="321"/>
      <c r="K349" s="321"/>
      <c r="L349" s="321"/>
    </row>
    <row r="350" spans="2:12" ht="33.75" customHeight="1" x14ac:dyDescent="0.2">
      <c r="B350" s="359" t="str">
        <f t="shared" si="20"/>
        <v>Utiliser les filtres ci-dessous pour trier la liste des arbitres (le filtrage n'a pas d'effet)</v>
      </c>
      <c r="C350" s="312" t="str">
        <f t="shared" si="21"/>
        <v>N_RefereeList</v>
      </c>
      <c r="D350" s="312" t="s">
        <v>449</v>
      </c>
      <c r="E350" s="312" t="s">
        <v>448</v>
      </c>
      <c r="F350" s="298" t="s">
        <v>9173</v>
      </c>
      <c r="G350" s="312" t="s">
        <v>11844</v>
      </c>
      <c r="H350" s="2187" t="s">
        <v>12541</v>
      </c>
      <c r="I350" s="321"/>
      <c r="J350" s="321"/>
      <c r="K350" s="321"/>
      <c r="L350" s="321"/>
    </row>
    <row r="351" spans="2:12" ht="89.25" x14ac:dyDescent="0.2">
      <c r="B351" s="359" t="str">
        <f t="shared" si="20"/>
        <v>Vous pouvez effacer des lignes ou ajouter des caractéristiques dans les critères supplémentaires (1 à 4).</v>
      </c>
      <c r="C351" s="312" t="str">
        <f t="shared" si="21"/>
        <v>N_RefereeListAdapt</v>
      </c>
      <c r="D351" s="312" t="s">
        <v>456</v>
      </c>
      <c r="E351" s="312" t="s">
        <v>455</v>
      </c>
      <c r="F351" s="298" t="s">
        <v>9174</v>
      </c>
      <c r="G351" s="312" t="s">
        <v>11845</v>
      </c>
      <c r="H351" s="2187" t="s">
        <v>12542</v>
      </c>
      <c r="I351" s="321"/>
      <c r="J351" s="321"/>
      <c r="K351" s="321"/>
      <c r="L351" s="321"/>
    </row>
    <row r="352" spans="2:12" ht="153" x14ac:dyDescent="0.2">
      <c r="B352" s="359" t="str">
        <f t="shared" si="20"/>
        <v>Lorsque vous validez les inscriptions dans la feuille "Checkin" cette liste est complètement réinitialisée et vos saisies complémentaires dans les critères supplémentaires sont effacés.</v>
      </c>
      <c r="C352" s="312" t="str">
        <f t="shared" si="21"/>
        <v>N_RefereeListValidate</v>
      </c>
      <c r="D352" s="312" t="s">
        <v>457</v>
      </c>
      <c r="E352" s="312" t="s">
        <v>11009</v>
      </c>
      <c r="F352" s="298" t="s">
        <v>9175</v>
      </c>
      <c r="G352" s="312" t="s">
        <v>11846</v>
      </c>
      <c r="H352" s="2187" t="s">
        <v>12543</v>
      </c>
      <c r="I352" s="321"/>
      <c r="J352" s="321"/>
      <c r="K352" s="321"/>
      <c r="L352" s="321"/>
    </row>
    <row r="353" spans="2:12" ht="38.25" x14ac:dyDescent="0.2">
      <c r="B353" s="359" t="str">
        <f t="shared" si="20"/>
        <v>Liste des arbitres pour utilisation dans le planning</v>
      </c>
      <c r="C353" s="312" t="str">
        <f t="shared" si="21"/>
        <v>N_RefereeSheetTitle</v>
      </c>
      <c r="D353" s="312" t="s">
        <v>446</v>
      </c>
      <c r="E353" s="312" t="s">
        <v>447</v>
      </c>
      <c r="F353" s="298" t="s">
        <v>9176</v>
      </c>
      <c r="G353" s="312" t="s">
        <v>11852</v>
      </c>
      <c r="H353" s="2187" t="s">
        <v>12544</v>
      </c>
      <c r="I353" s="321"/>
      <c r="J353" s="321"/>
      <c r="K353" s="321"/>
      <c r="L353" s="321"/>
    </row>
    <row r="354" spans="2:12" x14ac:dyDescent="0.2">
      <c r="B354" s="359" t="str">
        <f t="shared" si="20"/>
        <v>Votre critère</v>
      </c>
      <c r="C354" s="312" t="str">
        <f t="shared" si="21"/>
        <v>N_YourCriteria</v>
      </c>
      <c r="D354" s="312" t="s">
        <v>451</v>
      </c>
      <c r="E354" s="312" t="s">
        <v>452</v>
      </c>
      <c r="F354" s="298" t="s">
        <v>9177</v>
      </c>
      <c r="G354" s="312" t="s">
        <v>11853</v>
      </c>
      <c r="H354" s="2187" t="s">
        <v>12545</v>
      </c>
      <c r="I354" s="321"/>
      <c r="J354" s="321"/>
      <c r="K354" s="321"/>
      <c r="L354" s="321"/>
    </row>
    <row r="355" spans="2:12" ht="63.75" x14ac:dyDescent="0.2">
      <c r="B355" s="359" t="str">
        <f t="shared" si="20"/>
        <v>Adapter le planning puis saisir les résultats directement dans le planning</v>
      </c>
      <c r="C355" s="312" t="str">
        <f t="shared" si="21"/>
        <v>N_AdaptPlanning</v>
      </c>
      <c r="D355" s="312" t="s">
        <v>462</v>
      </c>
      <c r="E355" s="312" t="s">
        <v>463</v>
      </c>
      <c r="F355" s="298" t="s">
        <v>9178</v>
      </c>
      <c r="G355" s="312" t="s">
        <v>11854</v>
      </c>
      <c r="H355" s="2187" t="s">
        <v>12546</v>
      </c>
      <c r="I355" s="321"/>
      <c r="J355" s="321"/>
      <c r="K355" s="321"/>
      <c r="L355" s="321"/>
    </row>
    <row r="356" spans="2:12" ht="38.25" x14ac:dyDescent="0.2">
      <c r="B356" s="359" t="str">
        <f t="shared" si="20"/>
        <v>Renseigner les joueurs après le tirage au sort</v>
      </c>
      <c r="C356" s="312" t="str">
        <f t="shared" si="21"/>
        <v>N_FillinPlayers</v>
      </c>
      <c r="D356" s="312" t="s">
        <v>464</v>
      </c>
      <c r="E356" s="312" t="s">
        <v>465</v>
      </c>
      <c r="F356" s="303" t="s">
        <v>9377</v>
      </c>
      <c r="G356" s="312" t="s">
        <v>11855</v>
      </c>
      <c r="H356" s="2187" t="s">
        <v>12547</v>
      </c>
      <c r="I356" s="321"/>
      <c r="J356" s="321"/>
      <c r="K356" s="321"/>
      <c r="L356" s="321"/>
    </row>
    <row r="357" spans="2:12" ht="38.25" x14ac:dyDescent="0.2">
      <c r="B357" s="359" t="str">
        <f t="shared" si="20"/>
        <v>Adapter la liste des arbitres à vos besoins</v>
      </c>
      <c r="C357" s="312" t="str">
        <f t="shared" si="21"/>
        <v>N_ManageRefereeList</v>
      </c>
      <c r="D357" s="312" t="s">
        <v>459</v>
      </c>
      <c r="E357" s="312" t="s">
        <v>460</v>
      </c>
      <c r="F357" s="298" t="s">
        <v>9179</v>
      </c>
      <c r="G357" s="312" t="s">
        <v>11856</v>
      </c>
      <c r="H357" s="2187" t="s">
        <v>12548</v>
      </c>
      <c r="I357" s="321"/>
      <c r="J357" s="321"/>
      <c r="K357" s="321"/>
      <c r="L357" s="321"/>
    </row>
    <row r="358" spans="2:12" ht="38.25" x14ac:dyDescent="0.2">
      <c r="B358" s="359" t="str">
        <f t="shared" si="20"/>
        <v>Voir ou masquer les feuilles de tirage au sort</v>
      </c>
      <c r="C358" s="312" t="str">
        <f t="shared" si="21"/>
        <v>N_DrawManage</v>
      </c>
      <c r="D358" s="312" t="s">
        <v>7242</v>
      </c>
      <c r="E358" s="312" t="s">
        <v>7243</v>
      </c>
      <c r="F358" s="298" t="s">
        <v>9180</v>
      </c>
      <c r="G358" s="312" t="s">
        <v>11857</v>
      </c>
      <c r="H358" s="2187" t="s">
        <v>12549</v>
      </c>
      <c r="I358" s="321"/>
      <c r="J358" s="321"/>
      <c r="K358" s="321"/>
      <c r="L358" s="321"/>
    </row>
    <row r="359" spans="2:12" ht="51" x14ac:dyDescent="0.2">
      <c r="B359" s="359" t="str">
        <f t="shared" si="20"/>
        <v>Afficher ou imprimer le planning de chaque joueur</v>
      </c>
      <c r="C359" s="312" t="str">
        <f t="shared" si="21"/>
        <v>N_ManageTimeline</v>
      </c>
      <c r="D359" s="312" t="s">
        <v>7859</v>
      </c>
      <c r="E359" s="312" t="s">
        <v>7860</v>
      </c>
      <c r="F359" s="298" t="s">
        <v>9181</v>
      </c>
      <c r="G359" s="312" t="s">
        <v>11858</v>
      </c>
      <c r="H359" s="2187" t="s">
        <v>12550</v>
      </c>
      <c r="I359" s="321"/>
      <c r="J359" s="321"/>
      <c r="K359" s="321"/>
      <c r="L359" s="321"/>
    </row>
    <row r="360" spans="2:12" ht="51" x14ac:dyDescent="0.2">
      <c r="B360" s="359" t="str">
        <f t="shared" si="20"/>
        <v>Représente le plan de la salle avec le nom des tables</v>
      </c>
      <c r="C360" s="312" t="str">
        <f t="shared" si="21"/>
        <v>N_ManageVenue</v>
      </c>
      <c r="D360" s="312" t="s">
        <v>9387</v>
      </c>
      <c r="E360" s="312" t="s">
        <v>9388</v>
      </c>
      <c r="F360" s="303" t="s">
        <v>9389</v>
      </c>
      <c r="G360" s="312" t="s">
        <v>11859</v>
      </c>
      <c r="H360" s="2187" t="s">
        <v>12551</v>
      </c>
      <c r="I360" s="321"/>
      <c r="J360" s="321"/>
      <c r="K360" s="321"/>
      <c r="L360" s="321"/>
    </row>
    <row r="361" spans="2:12" ht="51" x14ac:dyDescent="0.2">
      <c r="B361" s="359" t="str">
        <f t="shared" si="20"/>
        <v>Consulter les statistiques des joueurs</v>
      </c>
      <c r="C361" s="312" t="str">
        <f t="shared" si="21"/>
        <v>N_ManageStats</v>
      </c>
      <c r="D361" s="312" t="s">
        <v>3824</v>
      </c>
      <c r="E361" s="312" t="s">
        <v>3825</v>
      </c>
      <c r="F361" s="298" t="s">
        <v>9182</v>
      </c>
      <c r="G361" s="312" t="s">
        <v>11861</v>
      </c>
      <c r="H361" s="2187" t="s">
        <v>12552</v>
      </c>
      <c r="I361" s="321"/>
      <c r="J361" s="321"/>
      <c r="K361" s="321"/>
      <c r="L361" s="321"/>
    </row>
    <row r="362" spans="2:12" ht="38.25" x14ac:dyDescent="0.2">
      <c r="B362" s="359" t="str">
        <f t="shared" si="20"/>
        <v>Afficher les podium pour la remise des trophées</v>
      </c>
      <c r="C362" s="312" t="str">
        <f t="shared" si="21"/>
        <v>N_ManagePodium</v>
      </c>
      <c r="D362" s="312" t="s">
        <v>9736</v>
      </c>
      <c r="E362" s="312" t="s">
        <v>9737</v>
      </c>
      <c r="F362" s="303" t="s">
        <v>9738</v>
      </c>
      <c r="G362" s="312" t="s">
        <v>11860</v>
      </c>
      <c r="H362" s="2187" t="s">
        <v>12553</v>
      </c>
      <c r="I362" s="321"/>
      <c r="J362" s="321"/>
      <c r="K362" s="321"/>
      <c r="L362" s="321"/>
    </row>
    <row r="363" spans="2:12" ht="38.25" x14ac:dyDescent="0.2">
      <c r="B363" s="359" t="str">
        <f t="shared" si="20"/>
        <v>Exporter les données vers le Site Web GMFT</v>
      </c>
      <c r="C363" s="312" t="str">
        <f t="shared" si="21"/>
        <v>N_ExportDataToWebSite</v>
      </c>
      <c r="D363" s="312" t="s">
        <v>7953</v>
      </c>
      <c r="E363" s="312" t="s">
        <v>7952</v>
      </c>
      <c r="F363" s="298" t="s">
        <v>9183</v>
      </c>
      <c r="G363" s="312" t="s">
        <v>11862</v>
      </c>
      <c r="H363" s="2187" t="s">
        <v>12554</v>
      </c>
      <c r="I363" s="321"/>
      <c r="J363" s="321"/>
      <c r="K363" s="321"/>
      <c r="L363" s="321"/>
    </row>
    <row r="364" spans="2:12" ht="38.25" x14ac:dyDescent="0.2">
      <c r="B364" s="359" t="str">
        <f t="shared" si="20"/>
        <v>Diffuser les résultats après la compétition</v>
      </c>
      <c r="C364" s="312" t="str">
        <f t="shared" si="21"/>
        <v>N_Dispatch_Results</v>
      </c>
      <c r="D364" s="312" t="s">
        <v>466</v>
      </c>
      <c r="E364" s="312" t="s">
        <v>467</v>
      </c>
      <c r="F364" s="298" t="s">
        <v>9184</v>
      </c>
      <c r="G364" s="312" t="s">
        <v>11863</v>
      </c>
      <c r="H364" s="2187" t="s">
        <v>12555</v>
      </c>
      <c r="I364" s="321"/>
      <c r="J364" s="321"/>
      <c r="K364" s="321"/>
      <c r="L364" s="321"/>
    </row>
    <row r="365" spans="2:12" ht="25.5" x14ac:dyDescent="0.2">
      <c r="B365" s="359" t="str">
        <f t="shared" si="20"/>
        <v>En imprimant les résultats</v>
      </c>
      <c r="C365" s="312" t="str">
        <f t="shared" si="21"/>
        <v>N_Printing</v>
      </c>
      <c r="D365" s="312" t="s">
        <v>2059</v>
      </c>
      <c r="E365" s="312" t="s">
        <v>2060</v>
      </c>
      <c r="F365" s="298" t="s">
        <v>9185</v>
      </c>
      <c r="G365" s="312" t="s">
        <v>11864</v>
      </c>
      <c r="H365" s="2187" t="s">
        <v>12567</v>
      </c>
      <c r="I365" s="321"/>
      <c r="J365" s="321"/>
      <c r="K365" s="321"/>
      <c r="L365" s="321"/>
    </row>
    <row r="366" spans="2:12" ht="51" x14ac:dyDescent="0.2">
      <c r="B366" s="359" t="str">
        <f t="shared" si="20"/>
        <v>En générant les formulaires de résultats officiels de la FISTF</v>
      </c>
      <c r="C366" s="312" t="str">
        <f t="shared" si="21"/>
        <v>N_Exporting</v>
      </c>
      <c r="D366" s="312" t="s">
        <v>469</v>
      </c>
      <c r="E366" s="312" t="s">
        <v>468</v>
      </c>
      <c r="F366" s="298" t="s">
        <v>9378</v>
      </c>
      <c r="G366" s="312" t="s">
        <v>12556</v>
      </c>
      <c r="H366" s="2187" t="s">
        <v>12557</v>
      </c>
      <c r="I366" s="321"/>
      <c r="J366" s="321"/>
      <c r="K366" s="321"/>
      <c r="L366" s="321"/>
    </row>
    <row r="367" spans="2:12" x14ac:dyDescent="0.2">
      <c r="B367" s="359" t="str">
        <f t="shared" si="20"/>
        <v>Accueil GMFT</v>
      </c>
      <c r="C367" s="312" t="str">
        <f t="shared" si="21"/>
        <v>N_AboutForm_Caption</v>
      </c>
      <c r="D367" s="312" t="s">
        <v>2055</v>
      </c>
      <c r="E367" s="312" t="s">
        <v>2056</v>
      </c>
      <c r="F367" s="298" t="s">
        <v>9186</v>
      </c>
      <c r="G367" s="312" t="s">
        <v>11865</v>
      </c>
      <c r="H367" s="2187" t="s">
        <v>12558</v>
      </c>
      <c r="I367" s="321"/>
      <c r="J367" s="321"/>
      <c r="K367" s="321"/>
      <c r="L367" s="321"/>
    </row>
    <row r="368" spans="2:12" ht="409.5" x14ac:dyDescent="0.2">
      <c r="B368" s="359" t="str">
        <f t="shared" si="20"/>
        <v>Cet outil a pour but d'aider à la gestion des matches lors des compétitions. L'objectif visé est de permettre aux organisateurs de se concentrer sur la compétition en se reposant sur un outil qui permet de planifier les épreuves (horaires, tables, arbitres) et de calculer automatiquement en temps réel les classements, les tours successifs, parfois même les arbitres pour les épreuves en auto-arbitrage.
En l'absence de Manuel Uitilisateur pour l'instant, nous vous conseillons vivement de contacter son auteur (gmftinfo@gmail.com) pour vous aider à mettre en oeuvre l'outil pour votre compétition.
En espérant que cet outil vous sera utile !</v>
      </c>
      <c r="C368" s="312" t="str">
        <f t="shared" si="21"/>
        <v>N_AboutForm_DescriptionLabel</v>
      </c>
      <c r="D368" s="312" t="s">
        <v>15005</v>
      </c>
      <c r="E368" s="312" t="s">
        <v>15006</v>
      </c>
      <c r="F368" s="298" t="s">
        <v>15007</v>
      </c>
      <c r="G368" s="312" t="s">
        <v>15008</v>
      </c>
      <c r="H368" s="2187" t="s">
        <v>15009</v>
      </c>
      <c r="I368" s="321"/>
      <c r="J368" s="321"/>
      <c r="K368" s="321"/>
      <c r="L368" s="321"/>
    </row>
    <row r="369" spans="2:12" ht="204" x14ac:dyDescent="0.2">
      <c r="B369" s="359" t="str">
        <f t="shared" si="20"/>
        <v>Cet outil logiciel vous est mis à disposition gratieusement par Roger Trouillard.
Le bon fonctionnement de ce logiciel n'est pas garanti. De même, l'auteur ne saurait être responsable des anomalies ou dégradations qui résulteraient de l'utilisation de ce logiciel.</v>
      </c>
      <c r="C369" s="312" t="str">
        <f t="shared" si="21"/>
        <v>N_AboutForm_NoWarrantyLabel</v>
      </c>
      <c r="D369" s="312" t="s">
        <v>2054</v>
      </c>
      <c r="E369" s="312" t="s">
        <v>2058</v>
      </c>
      <c r="F369" s="298" t="s">
        <v>9187</v>
      </c>
      <c r="G369" s="312" t="s">
        <v>11867</v>
      </c>
      <c r="H369" s="2187" t="s">
        <v>12559</v>
      </c>
      <c r="I369" s="321"/>
      <c r="J369" s="321"/>
      <c r="K369" s="321"/>
      <c r="L369" s="321"/>
    </row>
    <row r="370" spans="2:12" ht="38.25" x14ac:dyDescent="0.2">
      <c r="B370" s="359" t="str">
        <f t="shared" si="20"/>
        <v>La passion du football au bout des doigts !</v>
      </c>
      <c r="C370" s="312" t="str">
        <f t="shared" si="21"/>
        <v>N_AboutForm_SloganLabel</v>
      </c>
      <c r="D370" s="312" t="s">
        <v>2053</v>
      </c>
      <c r="E370" s="312" t="s">
        <v>2052</v>
      </c>
      <c r="F370" s="298" t="s">
        <v>9188</v>
      </c>
      <c r="G370" s="312" t="s">
        <v>11866</v>
      </c>
      <c r="H370" s="2187" t="s">
        <v>12697</v>
      </c>
      <c r="I370" s="321"/>
      <c r="J370" s="321"/>
      <c r="K370" s="321"/>
      <c r="L370" s="321"/>
    </row>
    <row r="371" spans="2:12" ht="25.5" x14ac:dyDescent="0.2">
      <c r="B371" s="359" t="str">
        <f t="shared" si="20"/>
        <v>Version</v>
      </c>
      <c r="C371" s="312" t="str">
        <f t="shared" si="21"/>
        <v>N_AboutForm_VersionLabel</v>
      </c>
      <c r="D371" s="312" t="s">
        <v>957</v>
      </c>
      <c r="E371" s="312" t="s">
        <v>957</v>
      </c>
      <c r="F371" s="298" t="s">
        <v>9093</v>
      </c>
      <c r="G371" s="312" t="s">
        <v>11769</v>
      </c>
      <c r="H371" s="2187" t="s">
        <v>12453</v>
      </c>
      <c r="I371" s="321"/>
      <c r="J371" s="321"/>
      <c r="K371" s="321"/>
      <c r="L371" s="321"/>
    </row>
    <row r="372" spans="2:12" ht="63.75" x14ac:dyDescent="0.2">
      <c r="B372" s="359" t="str">
        <f t="shared" si="20"/>
        <v>Bienvenue dans GMFT
l'outil de Gestion des Matches de 
Football de Table</v>
      </c>
      <c r="C372" s="312" t="str">
        <f t="shared" si="21"/>
        <v>N_AboutForm_WelcomeLabel</v>
      </c>
      <c r="D372" s="312" t="s">
        <v>2051</v>
      </c>
      <c r="E372" s="312" t="s">
        <v>2057</v>
      </c>
      <c r="F372" s="298" t="s">
        <v>9189</v>
      </c>
      <c r="G372" s="312" t="s">
        <v>11868</v>
      </c>
      <c r="H372" s="2187" t="s">
        <v>12560</v>
      </c>
      <c r="I372" s="321"/>
      <c r="J372" s="321"/>
      <c r="K372" s="321"/>
      <c r="L372" s="321"/>
    </row>
    <row r="373" spans="2:12" ht="25.5" x14ac:dyDescent="0.2">
      <c r="B373" s="359" t="str">
        <f t="shared" si="20"/>
        <v>Titre de la compétition</v>
      </c>
      <c r="C373" s="312" t="str">
        <f t="shared" si="21"/>
        <v>N_Layout</v>
      </c>
      <c r="D373" s="312" t="s">
        <v>902</v>
      </c>
      <c r="E373" s="312" t="s">
        <v>9362</v>
      </c>
      <c r="F373" s="303" t="s">
        <v>10694</v>
      </c>
      <c r="G373" s="312" t="s">
        <v>11869</v>
      </c>
      <c r="H373" s="2187" t="s">
        <v>12561</v>
      </c>
      <c r="I373" s="321"/>
      <c r="J373" s="321"/>
      <c r="K373" s="321"/>
      <c r="L373" s="321"/>
    </row>
    <row r="374" spans="2:12" ht="51" x14ac:dyDescent="0.2">
      <c r="B374" s="359" t="str">
        <f t="shared" si="20"/>
        <v xml:space="preserve">Visualiser et décaler les sauts de pages avant d'imprimer </v>
      </c>
      <c r="C374" s="312" t="str">
        <f t="shared" si="21"/>
        <v>N_PageBreak</v>
      </c>
      <c r="D374" s="312" t="s">
        <v>2061</v>
      </c>
      <c r="E374" s="312" t="s">
        <v>2062</v>
      </c>
      <c r="F374" s="298" t="s">
        <v>9190</v>
      </c>
      <c r="G374" s="312" t="s">
        <v>11870</v>
      </c>
      <c r="H374" s="2187" t="s">
        <v>12562</v>
      </c>
      <c r="I374" s="321"/>
      <c r="J374" s="321"/>
      <c r="K374" s="321"/>
      <c r="L374" s="321"/>
    </row>
    <row r="375" spans="2:12" ht="25.5" x14ac:dyDescent="0.2">
      <c r="B375" s="359" t="str">
        <f t="shared" si="20"/>
        <v>Lancer l'impression</v>
      </c>
      <c r="C375" s="312" t="str">
        <f t="shared" si="21"/>
        <v>N_StartPrint</v>
      </c>
      <c r="D375" s="312" t="s">
        <v>2063</v>
      </c>
      <c r="E375" s="312" t="s">
        <v>2064</v>
      </c>
      <c r="F375" s="298" t="s">
        <v>9191</v>
      </c>
      <c r="G375" s="312" t="s">
        <v>11871</v>
      </c>
      <c r="H375" s="2187" t="s">
        <v>12563</v>
      </c>
      <c r="I375" s="321"/>
      <c r="J375" s="321"/>
      <c r="K375" s="321"/>
      <c r="L375" s="321"/>
    </row>
    <row r="376" spans="2:12" x14ac:dyDescent="0.2">
      <c r="B376" s="359" t="str">
        <f t="shared" si="20"/>
        <v>Vue normale</v>
      </c>
      <c r="C376" s="312" t="str">
        <f t="shared" si="21"/>
        <v>N_NormalView</v>
      </c>
      <c r="D376" s="312" t="s">
        <v>2065</v>
      </c>
      <c r="E376" s="312" t="s">
        <v>2066</v>
      </c>
      <c r="F376" s="298" t="s">
        <v>9192</v>
      </c>
      <c r="G376" s="312" t="s">
        <v>11872</v>
      </c>
      <c r="H376" s="2187" t="s">
        <v>11872</v>
      </c>
      <c r="I376" s="321"/>
      <c r="J376" s="321"/>
      <c r="K376" s="321"/>
      <c r="L376" s="321"/>
    </row>
    <row r="377" spans="2:12" ht="25.5" x14ac:dyDescent="0.2">
      <c r="B377" s="359" t="str">
        <f t="shared" si="20"/>
        <v>Date de la compétition</v>
      </c>
      <c r="C377" s="312" t="str">
        <f t="shared" si="21"/>
        <v>N_EventDate</v>
      </c>
      <c r="D377" s="312" t="s">
        <v>10695</v>
      </c>
      <c r="E377" s="312" t="s">
        <v>2067</v>
      </c>
      <c r="F377" s="298" t="s">
        <v>9193</v>
      </c>
      <c r="G377" s="312" t="s">
        <v>11873</v>
      </c>
      <c r="H377" s="2187" t="s">
        <v>12564</v>
      </c>
      <c r="I377" s="321"/>
      <c r="J377" s="321"/>
      <c r="K377" s="321"/>
      <c r="L377" s="321"/>
    </row>
    <row r="378" spans="2:12" ht="51" x14ac:dyDescent="0.2">
      <c r="B378" s="359" t="str">
        <f t="shared" si="20"/>
        <v>Masquer l'affichage des formules des joueurs en l'absence de scores</v>
      </c>
      <c r="C378" s="312" t="str">
        <f t="shared" si="21"/>
        <v>N_HidePlayerFormulas</v>
      </c>
      <c r="D378" s="312" t="s">
        <v>2068</v>
      </c>
      <c r="E378" s="312" t="s">
        <v>2069</v>
      </c>
      <c r="F378" s="298" t="s">
        <v>9194</v>
      </c>
      <c r="G378" s="312" t="s">
        <v>11874</v>
      </c>
      <c r="H378" s="2187" t="s">
        <v>12565</v>
      </c>
      <c r="I378" s="321"/>
      <c r="J378" s="321"/>
      <c r="K378" s="321"/>
      <c r="L378" s="321"/>
    </row>
    <row r="379" spans="2:12" ht="25.5" x14ac:dyDescent="0.2">
      <c r="B379" s="359" t="str">
        <f t="shared" si="20"/>
        <v>Exporter le planning</v>
      </c>
      <c r="C379" s="312" t="str">
        <f t="shared" si="21"/>
        <v>N_ExportPlanning</v>
      </c>
      <c r="D379" s="312" t="s">
        <v>2077</v>
      </c>
      <c r="E379" s="312" t="s">
        <v>2078</v>
      </c>
      <c r="F379" s="298" t="s">
        <v>9195</v>
      </c>
      <c r="G379" s="312" t="s">
        <v>11875</v>
      </c>
      <c r="H379" s="2187" t="s">
        <v>12566</v>
      </c>
      <c r="I379" s="321"/>
      <c r="J379" s="321"/>
      <c r="K379" s="321"/>
      <c r="L379" s="321"/>
    </row>
    <row r="380" spans="2:12" ht="25.5" x14ac:dyDescent="0.2">
      <c r="B380" s="359" t="str">
        <f t="shared" si="20"/>
        <v>Exporter les groupes</v>
      </c>
      <c r="C380" s="312" t="str">
        <f t="shared" si="21"/>
        <v>N_ExportGroups</v>
      </c>
      <c r="D380" s="312" t="s">
        <v>7962</v>
      </c>
      <c r="E380" s="312" t="s">
        <v>7963</v>
      </c>
      <c r="F380" s="298" t="s">
        <v>9196</v>
      </c>
      <c r="G380" s="312" t="s">
        <v>11876</v>
      </c>
      <c r="H380" s="2187" t="s">
        <v>12568</v>
      </c>
      <c r="I380" s="321"/>
      <c r="J380" s="321"/>
      <c r="K380" s="321"/>
      <c r="L380" s="321"/>
    </row>
    <row r="381" spans="2:12" ht="25.5" x14ac:dyDescent="0.2">
      <c r="B381" s="359" t="str">
        <f t="shared" si="20"/>
        <v>Exporter les statistiques</v>
      </c>
      <c r="C381" s="312" t="str">
        <f t="shared" si="21"/>
        <v>N_ExportStats</v>
      </c>
      <c r="D381" s="312" t="s">
        <v>7968</v>
      </c>
      <c r="E381" s="312" t="s">
        <v>7967</v>
      </c>
      <c r="F381" s="298" t="s">
        <v>9197</v>
      </c>
      <c r="G381" s="312" t="s">
        <v>11877</v>
      </c>
      <c r="H381" s="2187" t="s">
        <v>11877</v>
      </c>
      <c r="I381" s="321"/>
      <c r="J381" s="321"/>
      <c r="K381" s="321"/>
      <c r="L381" s="321"/>
    </row>
    <row r="382" spans="2:12" ht="25.5" x14ac:dyDescent="0.2">
      <c r="B382" s="359" t="str">
        <f t="shared" si="20"/>
        <v>Exporter les résultats</v>
      </c>
      <c r="C382" s="312" t="str">
        <f t="shared" si="21"/>
        <v>N_ExportResults</v>
      </c>
      <c r="D382" s="312" t="s">
        <v>7969</v>
      </c>
      <c r="E382" s="312" t="s">
        <v>7966</v>
      </c>
      <c r="F382" s="298" t="s">
        <v>9198</v>
      </c>
      <c r="G382" s="312" t="s">
        <v>11878</v>
      </c>
      <c r="H382" s="2187" t="s">
        <v>12569</v>
      </c>
      <c r="I382" s="321"/>
      <c r="J382" s="321"/>
      <c r="K382" s="321"/>
      <c r="L382" s="321"/>
    </row>
    <row r="383" spans="2:12" ht="25.5" x14ac:dyDescent="0.2">
      <c r="B383" s="359" t="str">
        <f t="shared" si="20"/>
        <v>Exporter le détail des matches</v>
      </c>
      <c r="C383" s="312" t="str">
        <f t="shared" si="21"/>
        <v>N_ExportMatches</v>
      </c>
      <c r="D383" s="312" t="s">
        <v>7964</v>
      </c>
      <c r="E383" s="312" t="s">
        <v>7965</v>
      </c>
      <c r="F383" s="298" t="s">
        <v>9199</v>
      </c>
      <c r="G383" s="312" t="s">
        <v>11879</v>
      </c>
      <c r="H383" s="2187" t="s">
        <v>12570</v>
      </c>
      <c r="I383" s="321"/>
      <c r="J383" s="321"/>
      <c r="K383" s="321"/>
      <c r="L383" s="321"/>
    </row>
    <row r="384" spans="2:12" ht="38.25" x14ac:dyDescent="0.2">
      <c r="B384" s="359" t="str">
        <f t="shared" si="20"/>
        <v>Générer feuilles de match</v>
      </c>
      <c r="C384" s="312" t="str">
        <f t="shared" si="21"/>
        <v>N_ExportScoresheets</v>
      </c>
      <c r="D384" s="312" t="s">
        <v>2100</v>
      </c>
      <c r="E384" s="312" t="s">
        <v>2101</v>
      </c>
      <c r="F384" s="298" t="s">
        <v>9200</v>
      </c>
      <c r="G384" s="312" t="s">
        <v>11880</v>
      </c>
      <c r="H384" s="2187" t="s">
        <v>12571</v>
      </c>
      <c r="I384" s="321"/>
      <c r="J384" s="321"/>
      <c r="K384" s="321"/>
      <c r="L384" s="321"/>
    </row>
    <row r="385" spans="2:12" ht="19.5" customHeight="1" x14ac:dyDescent="0.2">
      <c r="B385" s="359" t="str">
        <f t="shared" si="20"/>
        <v>Première session de planning à exporter</v>
      </c>
      <c r="C385" s="312" t="str">
        <f t="shared" si="21"/>
        <v>N_FirstSessionToExport</v>
      </c>
      <c r="D385" s="312" t="s">
        <v>2079</v>
      </c>
      <c r="E385" s="312" t="s">
        <v>2080</v>
      </c>
      <c r="F385" s="298" t="s">
        <v>9201</v>
      </c>
      <c r="G385" s="312" t="s">
        <v>11881</v>
      </c>
      <c r="H385" s="2187" t="s">
        <v>12572</v>
      </c>
      <c r="I385" s="321"/>
      <c r="J385" s="321"/>
      <c r="K385" s="321"/>
      <c r="L385" s="321"/>
    </row>
    <row r="386" spans="2:12" ht="25.5" x14ac:dyDescent="0.2">
      <c r="B386" s="359" t="str">
        <f t="shared" si="20"/>
        <v>Session de départ</v>
      </c>
      <c r="C386" s="312" t="str">
        <f t="shared" si="21"/>
        <v>N_StartSession</v>
      </c>
      <c r="D386" s="312" t="s">
        <v>2083</v>
      </c>
      <c r="E386" s="312" t="s">
        <v>2084</v>
      </c>
      <c r="F386" s="298" t="s">
        <v>9202</v>
      </c>
      <c r="G386" s="312" t="s">
        <v>11882</v>
      </c>
      <c r="H386" s="2187" t="s">
        <v>12573</v>
      </c>
      <c r="I386" s="321"/>
      <c r="J386" s="321"/>
      <c r="K386" s="321"/>
      <c r="L386" s="321"/>
    </row>
    <row r="387" spans="2:12" ht="38.25" x14ac:dyDescent="0.2">
      <c r="B387" s="359" t="str">
        <f t="shared" si="20"/>
        <v>Nombre de sessions de planning à exporter</v>
      </c>
      <c r="C387" s="312" t="str">
        <f t="shared" si="21"/>
        <v>N_NbOfSessionToExport</v>
      </c>
      <c r="D387" s="312" t="s">
        <v>2081</v>
      </c>
      <c r="E387" s="312" t="s">
        <v>2082</v>
      </c>
      <c r="F387" s="303" t="s">
        <v>9203</v>
      </c>
      <c r="G387" s="312" t="s">
        <v>11884</v>
      </c>
      <c r="H387" s="2187" t="s">
        <v>12574</v>
      </c>
      <c r="I387" s="321"/>
      <c r="J387" s="321"/>
      <c r="K387" s="321"/>
      <c r="L387" s="321"/>
    </row>
    <row r="388" spans="2:12" ht="25.5" x14ac:dyDescent="0.2">
      <c r="B388" s="359" t="str">
        <f t="shared" si="20"/>
        <v>Nombre de sessions</v>
      </c>
      <c r="C388" s="312" t="str">
        <f t="shared" si="21"/>
        <v>N_NbOfSession</v>
      </c>
      <c r="D388" s="312" t="s">
        <v>2085</v>
      </c>
      <c r="E388" s="312" t="s">
        <v>2086</v>
      </c>
      <c r="F388" s="298" t="s">
        <v>9204</v>
      </c>
      <c r="G388" s="312" t="s">
        <v>11883</v>
      </c>
      <c r="H388" s="2187" t="s">
        <v>12575</v>
      </c>
      <c r="I388" s="321"/>
      <c r="J388" s="321"/>
      <c r="K388" s="321"/>
      <c r="L388" s="321"/>
    </row>
    <row r="389" spans="2:12" ht="38.25" x14ac:dyDescent="0.2">
      <c r="B389" s="359" t="str">
        <f t="shared" si="20"/>
        <v xml:space="preserve">Paramètres d'export sur le Site Web </v>
      </c>
      <c r="C389" s="312" t="str">
        <f t="shared" si="21"/>
        <v>N_WebSiteExportForm_Caption</v>
      </c>
      <c r="D389" s="312" t="s">
        <v>7948</v>
      </c>
      <c r="E389" s="312" t="s">
        <v>7949</v>
      </c>
      <c r="F389" s="298" t="s">
        <v>9205</v>
      </c>
      <c r="G389" s="312" t="s">
        <v>11885</v>
      </c>
      <c r="H389" s="2187" t="s">
        <v>12576</v>
      </c>
      <c r="I389" s="321"/>
      <c r="J389" s="321"/>
      <c r="K389" s="321"/>
      <c r="L389" s="321"/>
    </row>
    <row r="390" spans="2:12" ht="38.25" x14ac:dyDescent="0.2">
      <c r="B390" s="359" t="str">
        <f t="shared" ref="B390" si="22">HLOOKUP(Language,D$2:L$1113,ROW()-1,FALSE)</f>
        <v xml:space="preserve">Paramètres d'export des Inscriptions </v>
      </c>
      <c r="C390" s="312" t="str">
        <f>NAMEOF(B390)</f>
        <v>N_RegistrationExportForm_Caption</v>
      </c>
      <c r="D390" s="312" t="s">
        <v>11443</v>
      </c>
      <c r="E390" s="312" t="s">
        <v>11442</v>
      </c>
      <c r="F390" s="298" t="s">
        <v>11444</v>
      </c>
      <c r="G390" s="312" t="s">
        <v>11886</v>
      </c>
      <c r="H390" s="2187" t="s">
        <v>12577</v>
      </c>
      <c r="I390" s="321"/>
      <c r="J390" s="321"/>
      <c r="K390" s="321"/>
      <c r="L390" s="321"/>
    </row>
    <row r="391" spans="2:12" ht="38.25" x14ac:dyDescent="0.2">
      <c r="B391" s="359" t="str">
        <f t="shared" ref="B391:B457" si="23">HLOOKUP(Language,D$2:L$1113,ROW()-1,FALSE)</f>
        <v>Paramètres pour l'export sur le Site Web</v>
      </c>
      <c r="C391" s="312" t="str">
        <f t="shared" si="21"/>
        <v>N_WebSiteExportForm_Title</v>
      </c>
      <c r="D391" s="312" t="s">
        <v>7950</v>
      </c>
      <c r="E391" s="312" t="s">
        <v>7951</v>
      </c>
      <c r="F391" s="298" t="s">
        <v>9206</v>
      </c>
      <c r="G391" s="312" t="s">
        <v>11887</v>
      </c>
      <c r="H391" s="2187" t="s">
        <v>12578</v>
      </c>
      <c r="I391" s="321"/>
      <c r="J391" s="321"/>
      <c r="K391" s="321"/>
      <c r="L391" s="321"/>
    </row>
    <row r="392" spans="2:12" ht="38.25" x14ac:dyDescent="0.2">
      <c r="B392" s="359" t="str">
        <f t="shared" ref="B392" si="24">HLOOKUP(Language,D$2:L$1113,ROW()-1,FALSE)</f>
        <v>Paramètres pour l'export des inscriptions</v>
      </c>
      <c r="C392" s="312" t="str">
        <f t="shared" ref="C392" si="25">NAMEOF(B392)</f>
        <v>N_RegistrationExportForm_Title</v>
      </c>
      <c r="D392" s="312" t="s">
        <v>11445</v>
      </c>
      <c r="E392" s="312" t="s">
        <v>11446</v>
      </c>
      <c r="F392" s="298" t="s">
        <v>11447</v>
      </c>
      <c r="G392" s="312" t="s">
        <v>11888</v>
      </c>
      <c r="H392" s="2187" t="s">
        <v>12579</v>
      </c>
      <c r="I392" s="321"/>
      <c r="J392" s="321"/>
      <c r="K392" s="321"/>
      <c r="L392" s="321"/>
    </row>
    <row r="393" spans="2:12" ht="51" x14ac:dyDescent="0.2">
      <c r="B393" s="359" t="str">
        <f t="shared" si="23"/>
        <v>Paramètres d'export du planning</v>
      </c>
      <c r="C393" s="312" t="str">
        <f t="shared" si="21"/>
        <v>N_ExportForm_Planning_Caption</v>
      </c>
      <c r="D393" s="312" t="s">
        <v>2090</v>
      </c>
      <c r="E393" s="312" t="s">
        <v>2088</v>
      </c>
      <c r="F393" s="298" t="s">
        <v>9207</v>
      </c>
      <c r="G393" s="312" t="s">
        <v>11890</v>
      </c>
      <c r="H393" s="2187" t="s">
        <v>12580</v>
      </c>
      <c r="I393" s="321"/>
      <c r="J393" s="321"/>
      <c r="K393" s="321"/>
      <c r="L393" s="321"/>
    </row>
    <row r="394" spans="2:12" ht="38.25" x14ac:dyDescent="0.2">
      <c r="B394" s="359" t="str">
        <f t="shared" si="23"/>
        <v>Paramètres pour l'export du planning</v>
      </c>
      <c r="C394" s="312" t="str">
        <f t="shared" si="21"/>
        <v>N_ExportForm_Planning_Title</v>
      </c>
      <c r="D394" s="312" t="s">
        <v>2087</v>
      </c>
      <c r="E394" s="312" t="s">
        <v>2089</v>
      </c>
      <c r="F394" s="298" t="s">
        <v>9208</v>
      </c>
      <c r="G394" s="312" t="s">
        <v>11889</v>
      </c>
      <c r="H394" s="2187" t="s">
        <v>12581</v>
      </c>
      <c r="I394" s="321"/>
      <c r="J394" s="321"/>
      <c r="K394" s="321"/>
      <c r="L394" s="321"/>
    </row>
    <row r="395" spans="2:12" ht="38.25" x14ac:dyDescent="0.2">
      <c r="B395" s="359" t="str">
        <f t="shared" si="23"/>
        <v>Paramètres d'export des résultats</v>
      </c>
      <c r="C395" s="312" t="str">
        <f t="shared" si="21"/>
        <v>N_ExportForm_Result_Caption</v>
      </c>
      <c r="D395" s="312" t="s">
        <v>3715</v>
      </c>
      <c r="E395" s="312" t="s">
        <v>3718</v>
      </c>
      <c r="F395" s="298" t="s">
        <v>9209</v>
      </c>
      <c r="G395" s="312" t="s">
        <v>11891</v>
      </c>
      <c r="H395" s="2187" t="s">
        <v>12582</v>
      </c>
      <c r="I395" s="321"/>
      <c r="J395" s="321"/>
      <c r="K395" s="321"/>
      <c r="L395" s="321"/>
    </row>
    <row r="396" spans="2:12" ht="38.25" x14ac:dyDescent="0.2">
      <c r="B396" s="359" t="str">
        <f t="shared" si="23"/>
        <v>Paramètres pour l'export des résultats</v>
      </c>
      <c r="C396" s="312" t="str">
        <f t="shared" si="21"/>
        <v>N_ExportForm_Result_Title</v>
      </c>
      <c r="D396" s="312" t="s">
        <v>3716</v>
      </c>
      <c r="E396" s="312" t="s">
        <v>3717</v>
      </c>
      <c r="F396" s="298" t="s">
        <v>9210</v>
      </c>
      <c r="G396" s="312" t="s">
        <v>11904</v>
      </c>
      <c r="H396" s="2187" t="s">
        <v>12583</v>
      </c>
      <c r="I396" s="321"/>
      <c r="J396" s="321"/>
      <c r="K396" s="321"/>
      <c r="L396" s="321"/>
    </row>
    <row r="397" spans="2:12" ht="38.25" x14ac:dyDescent="0.2">
      <c r="B397" s="359" t="str">
        <f t="shared" si="23"/>
        <v>Paramètres d'export de la Table de Marque</v>
      </c>
      <c r="C397" s="312" t="str">
        <f t="shared" si="21"/>
        <v>N_ExportForm_ScorerTable_Caption</v>
      </c>
      <c r="D397" s="312" t="s">
        <v>2853</v>
      </c>
      <c r="E397" s="312" t="s">
        <v>2855</v>
      </c>
      <c r="F397" s="298" t="s">
        <v>9211</v>
      </c>
      <c r="G397" s="312" t="s">
        <v>11905</v>
      </c>
      <c r="H397" s="2187" t="s">
        <v>12584</v>
      </c>
      <c r="I397" s="321"/>
      <c r="J397" s="321"/>
      <c r="K397" s="321"/>
      <c r="L397" s="321"/>
    </row>
    <row r="398" spans="2:12" ht="15.75" customHeight="1" x14ac:dyDescent="0.2">
      <c r="B398" s="359" t="str">
        <f t="shared" si="23"/>
        <v>Paramètres pour l'export de la Table de Marque</v>
      </c>
      <c r="C398" s="312" t="str">
        <f t="shared" si="21"/>
        <v>N_ExportForm_ScorerTable_Title</v>
      </c>
      <c r="D398" s="312" t="s">
        <v>2854</v>
      </c>
      <c r="E398" s="312" t="s">
        <v>2856</v>
      </c>
      <c r="F398" s="298" t="s">
        <v>9212</v>
      </c>
      <c r="G398" s="312" t="s">
        <v>11904</v>
      </c>
      <c r="H398" s="2187" t="s">
        <v>12583</v>
      </c>
      <c r="I398" s="321"/>
      <c r="J398" s="321"/>
      <c r="K398" s="321"/>
      <c r="L398" s="321"/>
    </row>
    <row r="399" spans="2:12" ht="38.25" x14ac:dyDescent="0.2">
      <c r="B399" s="359" t="str">
        <f t="shared" si="23"/>
        <v>Paramètres d'export des feuilles de match</v>
      </c>
      <c r="C399" s="312" t="str">
        <f t="shared" si="21"/>
        <v>N_ExportForm_Scores_Caption</v>
      </c>
      <c r="D399" s="312" t="s">
        <v>3799</v>
      </c>
      <c r="E399" s="312" t="s">
        <v>3801</v>
      </c>
      <c r="F399" s="303" t="s">
        <v>9213</v>
      </c>
      <c r="G399" s="312" t="s">
        <v>11906</v>
      </c>
      <c r="H399" s="2187" t="s">
        <v>12585</v>
      </c>
      <c r="I399" s="321"/>
      <c r="J399" s="321"/>
      <c r="K399" s="321"/>
      <c r="L399" s="321"/>
    </row>
    <row r="400" spans="2:12" ht="51" x14ac:dyDescent="0.2">
      <c r="B400" s="359" t="str">
        <f t="shared" si="23"/>
        <v>Paramètres pour l'export des feuilles de match</v>
      </c>
      <c r="C400" s="312" t="str">
        <f t="shared" si="21"/>
        <v>N_ExportForm_Scores_Title</v>
      </c>
      <c r="D400" s="312" t="s">
        <v>3800</v>
      </c>
      <c r="E400" s="312" t="s">
        <v>3802</v>
      </c>
      <c r="F400" s="298" t="s">
        <v>9214</v>
      </c>
      <c r="G400" s="312" t="s">
        <v>11907</v>
      </c>
      <c r="H400" s="2187" t="s">
        <v>12586</v>
      </c>
      <c r="I400" s="321"/>
      <c r="J400" s="321"/>
      <c r="K400" s="321"/>
      <c r="L400" s="321"/>
    </row>
    <row r="401" spans="2:12" ht="38.25" x14ac:dyDescent="0.2">
      <c r="B401" s="359" t="str">
        <f t="shared" si="23"/>
        <v>Formulaire d'inscription individuel</v>
      </c>
      <c r="C401" s="312" t="str">
        <f t="shared" si="21"/>
        <v>N_CheckinForm_Caption</v>
      </c>
      <c r="D401" s="312" t="s">
        <v>7923</v>
      </c>
      <c r="E401" s="312" t="s">
        <v>7924</v>
      </c>
      <c r="F401" s="298" t="s">
        <v>9215</v>
      </c>
      <c r="G401" s="312" t="s">
        <v>11908</v>
      </c>
      <c r="H401" s="2187" t="s">
        <v>12587</v>
      </c>
      <c r="I401" s="321"/>
      <c r="J401" s="321"/>
      <c r="K401" s="321"/>
      <c r="L401" s="321"/>
    </row>
    <row r="402" spans="2:12" ht="25.5" x14ac:dyDescent="0.2">
      <c r="B402" s="359" t="str">
        <f t="shared" si="23"/>
        <v>Formulaire d'inscription</v>
      </c>
      <c r="C402" s="312" t="str">
        <f t="shared" ref="C402:C466" si="26">NAMEOF(B402)</f>
        <v>N_CheckinForm_Title</v>
      </c>
      <c r="D402" s="312" t="s">
        <v>7921</v>
      </c>
      <c r="E402" s="312" t="s">
        <v>7922</v>
      </c>
      <c r="F402" s="298" t="s">
        <v>9216</v>
      </c>
      <c r="G402" s="312" t="s">
        <v>11909</v>
      </c>
      <c r="H402" s="2187" t="s">
        <v>12588</v>
      </c>
      <c r="I402" s="321"/>
      <c r="J402" s="321"/>
      <c r="K402" s="321"/>
      <c r="L402" s="321"/>
    </row>
    <row r="403" spans="2:12" ht="25.5" x14ac:dyDescent="0.2">
      <c r="B403" s="359" t="str">
        <f t="shared" ref="B403" si="27">HLOOKUP(Language,D$2:L$1113,ROW()-1,FALSE)</f>
        <v>N° Equipe du club</v>
      </c>
      <c r="C403" s="312" t="str">
        <f t="shared" ref="C403" si="28">NAMEOF(B403)</f>
        <v>N_TeamNumber</v>
      </c>
      <c r="D403" s="312" t="s">
        <v>14317</v>
      </c>
      <c r="E403" s="312" t="s">
        <v>14318</v>
      </c>
      <c r="F403" s="298" t="s">
        <v>14319</v>
      </c>
      <c r="G403" s="298" t="s">
        <v>14320</v>
      </c>
      <c r="H403" s="298" t="s">
        <v>14321</v>
      </c>
      <c r="I403" s="321"/>
      <c r="J403" s="321"/>
      <c r="K403" s="321"/>
      <c r="L403" s="321"/>
    </row>
    <row r="404" spans="2:12" ht="38.25" x14ac:dyDescent="0.2">
      <c r="B404" s="359" t="str">
        <f t="shared" si="23"/>
        <v>Paramètres de choix des arbitres</v>
      </c>
      <c r="C404" s="312" t="str">
        <f t="shared" si="26"/>
        <v>N_RefereesCategory_Caption</v>
      </c>
      <c r="D404" s="312" t="s">
        <v>7196</v>
      </c>
      <c r="E404" s="312" t="s">
        <v>7197</v>
      </c>
      <c r="F404" s="298" t="s">
        <v>9217</v>
      </c>
      <c r="G404" s="312" t="s">
        <v>11910</v>
      </c>
      <c r="H404" s="2187" t="s">
        <v>12589</v>
      </c>
      <c r="I404" s="321"/>
      <c r="J404" s="321"/>
      <c r="K404" s="321"/>
      <c r="L404" s="321"/>
    </row>
    <row r="405" spans="2:12" ht="25.5" x14ac:dyDescent="0.2">
      <c r="B405" s="359" t="str">
        <f t="shared" si="23"/>
        <v>Sélection des arbitres</v>
      </c>
      <c r="C405" s="312" t="str">
        <f t="shared" si="26"/>
        <v>N_RefereesCategory_Title</v>
      </c>
      <c r="D405" s="312" t="s">
        <v>7244</v>
      </c>
      <c r="E405" s="312" t="s">
        <v>7245</v>
      </c>
      <c r="F405" s="298" t="s">
        <v>9218</v>
      </c>
      <c r="G405" s="312" t="s">
        <v>11911</v>
      </c>
      <c r="H405" s="2187" t="s">
        <v>12590</v>
      </c>
      <c r="I405" s="321"/>
      <c r="J405" s="321"/>
      <c r="K405" s="321"/>
      <c r="L405" s="321"/>
    </row>
    <row r="406" spans="2:12" ht="25.5" x14ac:dyDescent="0.2">
      <c r="B406" s="359" t="str">
        <f t="shared" si="23"/>
        <v>Numéro de session de départ</v>
      </c>
      <c r="C406" s="312" t="str">
        <f t="shared" si="26"/>
        <v>N_ExportForm_StartSession</v>
      </c>
      <c r="D406" s="312" t="s">
        <v>2091</v>
      </c>
      <c r="E406" s="312" t="s">
        <v>2092</v>
      </c>
      <c r="F406" s="298" t="s">
        <v>9219</v>
      </c>
      <c r="G406" s="312" t="s">
        <v>11912</v>
      </c>
      <c r="H406" s="2187" t="s">
        <v>12591</v>
      </c>
      <c r="I406" s="321"/>
      <c r="J406" s="321"/>
      <c r="K406" s="321"/>
      <c r="L406" s="321"/>
    </row>
    <row r="407" spans="2:12" ht="38.25" x14ac:dyDescent="0.2">
      <c r="B407" s="359" t="str">
        <f t="shared" si="23"/>
        <v>Chemin du répertoire du Site Web GMFT</v>
      </c>
      <c r="C407" s="312" t="str">
        <f t="shared" si="26"/>
        <v>N_WebSiteExportForm_WebSiteRootPath</v>
      </c>
      <c r="D407" s="312" t="s">
        <v>7957</v>
      </c>
      <c r="E407" s="312" t="s">
        <v>7956</v>
      </c>
      <c r="F407" s="298" t="s">
        <v>9220</v>
      </c>
      <c r="G407" s="299" t="s">
        <v>11913</v>
      </c>
      <c r="H407" s="2187" t="s">
        <v>12592</v>
      </c>
      <c r="I407" s="321"/>
      <c r="J407" s="321"/>
      <c r="K407" s="321"/>
      <c r="L407" s="321"/>
    </row>
    <row r="408" spans="2:12" ht="16.5" customHeight="1" x14ac:dyDescent="0.2">
      <c r="B408" s="359" t="str">
        <f t="shared" ref="B408" si="29">HLOOKUP(Language,D$2:L$1113,ROW()-1,FALSE)</f>
        <v>Chemin du répertoire du Site des Inscriptions</v>
      </c>
      <c r="C408" s="312" t="str">
        <f t="shared" ref="C408" si="30">NAMEOF(B408)</f>
        <v>N_RegistrationExportForm_WebSiteRootPath</v>
      </c>
      <c r="D408" s="312" t="s">
        <v>11448</v>
      </c>
      <c r="E408" s="312" t="s">
        <v>11449</v>
      </c>
      <c r="F408" s="298" t="s">
        <v>11450</v>
      </c>
      <c r="G408" s="299" t="s">
        <v>11914</v>
      </c>
      <c r="H408" s="2187" t="s">
        <v>12593</v>
      </c>
      <c r="I408" s="321"/>
      <c r="J408" s="321"/>
      <c r="K408" s="321"/>
      <c r="L408" s="321"/>
    </row>
    <row r="409" spans="2:12" ht="38.25" x14ac:dyDescent="0.2">
      <c r="B409" s="359" t="str">
        <f t="shared" si="23"/>
        <v>Nombre de sessions à exporter</v>
      </c>
      <c r="C409" s="312" t="str">
        <f t="shared" si="26"/>
        <v>N_ExportForm_NumberOfSessions</v>
      </c>
      <c r="D409" s="312" t="s">
        <v>2093</v>
      </c>
      <c r="E409" s="312" t="s">
        <v>2094</v>
      </c>
      <c r="F409" s="298" t="s">
        <v>9221</v>
      </c>
      <c r="G409" s="299" t="s">
        <v>11915</v>
      </c>
      <c r="H409" s="2187" t="s">
        <v>12594</v>
      </c>
      <c r="I409" s="321"/>
      <c r="J409" s="321"/>
      <c r="K409" s="321"/>
      <c r="L409" s="321"/>
    </row>
    <row r="410" spans="2:12" ht="51" x14ac:dyDescent="0.2">
      <c r="B410" s="359" t="str">
        <f t="shared" si="23"/>
        <v>Exporter les matches individuels en par équipe</v>
      </c>
      <c r="C410" s="312" t="str">
        <f t="shared" si="26"/>
        <v>N_ExportForm_ExportIndMatches</v>
      </c>
      <c r="D410" s="312" t="s">
        <v>3798</v>
      </c>
      <c r="E410" s="312" t="s">
        <v>3797</v>
      </c>
      <c r="F410" s="298" t="s">
        <v>9222</v>
      </c>
      <c r="G410" s="299" t="s">
        <v>11916</v>
      </c>
      <c r="H410" s="2187" t="s">
        <v>12595</v>
      </c>
      <c r="I410" s="321"/>
      <c r="J410" s="321"/>
      <c r="K410" s="321"/>
      <c r="L410" s="321"/>
    </row>
    <row r="411" spans="2:12" x14ac:dyDescent="0.2">
      <c r="B411" s="359" t="str">
        <f t="shared" si="23"/>
        <v>Filtres</v>
      </c>
      <c r="C411" s="312" t="str">
        <f t="shared" si="26"/>
        <v>N_FilterFrame</v>
      </c>
      <c r="D411" s="312" t="s">
        <v>2841</v>
      </c>
      <c r="E411" s="312" t="s">
        <v>2842</v>
      </c>
      <c r="F411" s="298" t="s">
        <v>9223</v>
      </c>
      <c r="G411" s="299" t="s">
        <v>11917</v>
      </c>
      <c r="H411" s="2187" t="s">
        <v>2841</v>
      </c>
      <c r="I411" s="321"/>
      <c r="J411" s="321"/>
      <c r="K411" s="321"/>
      <c r="L411" s="321"/>
    </row>
    <row r="412" spans="2:12" ht="15" customHeight="1" x14ac:dyDescent="0.2">
      <c r="B412" s="359" t="str">
        <f t="shared" si="23"/>
        <v>Motif pour le stade de l'épreuve</v>
      </c>
      <c r="C412" s="312" t="str">
        <f t="shared" si="26"/>
        <v>N_ExportForm_StagePattern</v>
      </c>
      <c r="D412" s="312" t="s">
        <v>2847</v>
      </c>
      <c r="E412" s="312" t="s">
        <v>2843</v>
      </c>
      <c r="F412" s="298" t="s">
        <v>9224</v>
      </c>
      <c r="G412" s="299" t="s">
        <v>11918</v>
      </c>
      <c r="H412" s="2187" t="s">
        <v>12596</v>
      </c>
      <c r="I412" s="321"/>
      <c r="J412" s="321"/>
      <c r="K412" s="321"/>
      <c r="L412" s="321"/>
    </row>
    <row r="413" spans="2:12" ht="25.5" x14ac:dyDescent="0.2">
      <c r="B413" s="359" t="str">
        <f t="shared" si="23"/>
        <v>Motif pour les tables</v>
      </c>
      <c r="C413" s="312" t="str">
        <f t="shared" si="26"/>
        <v>N_ExportForm_TablePattern</v>
      </c>
      <c r="D413" s="312" t="s">
        <v>2848</v>
      </c>
      <c r="E413" s="312" t="s">
        <v>2844</v>
      </c>
      <c r="F413" s="298" t="s">
        <v>9225</v>
      </c>
      <c r="G413" s="312" t="s">
        <v>11919</v>
      </c>
      <c r="H413" s="2187" t="s">
        <v>12597</v>
      </c>
      <c r="I413" s="321"/>
      <c r="J413" s="321"/>
      <c r="K413" s="321"/>
      <c r="L413" s="321"/>
    </row>
    <row r="414" spans="2:12" ht="38.25" x14ac:dyDescent="0.2">
      <c r="B414" s="359" t="str">
        <f t="shared" si="23"/>
        <v>Motif pour les joueurs ou équipes</v>
      </c>
      <c r="C414" s="312" t="str">
        <f t="shared" si="26"/>
        <v>N_ExportForm_PlayerOrTeamPattern</v>
      </c>
      <c r="D414" s="312" t="s">
        <v>2849</v>
      </c>
      <c r="E414" s="312" t="s">
        <v>2845</v>
      </c>
      <c r="F414" s="298" t="s">
        <v>9226</v>
      </c>
      <c r="G414" s="299" t="s">
        <v>11920</v>
      </c>
      <c r="H414" s="2187" t="s">
        <v>12598</v>
      </c>
      <c r="I414" s="321"/>
      <c r="J414" s="321"/>
      <c r="K414" s="321"/>
      <c r="L414" s="321"/>
    </row>
    <row r="415" spans="2:12" ht="127.5" x14ac:dyDescent="0.2">
      <c r="B415" s="359" t="str">
        <f t="shared" si="23"/>
        <v>Motif à trouver dans les valeurs de cellule.
Pour les joueurs et équipes, la recherche porte sur Joueur 1, Joueur 2 et Arbitre.
Recherche non sensible à la casse.</v>
      </c>
      <c r="C415" s="312" t="str">
        <f t="shared" si="26"/>
        <v>N_ExportForm_CommentPatterns</v>
      </c>
      <c r="D415" s="312" t="s">
        <v>2850</v>
      </c>
      <c r="E415" s="312" t="s">
        <v>2846</v>
      </c>
      <c r="F415" s="298" t="s">
        <v>9227</v>
      </c>
      <c r="G415" s="312" t="s">
        <v>11921</v>
      </c>
      <c r="H415" s="2187" t="s">
        <v>12599</v>
      </c>
      <c r="I415" s="321"/>
      <c r="J415" s="321"/>
      <c r="K415" s="321"/>
      <c r="L415" s="321"/>
    </row>
    <row r="416" spans="2:12" ht="38.25" x14ac:dyDescent="0.2">
      <c r="B416" s="359" t="str">
        <f t="shared" si="23"/>
        <v>Numéro de session invalide</v>
      </c>
      <c r="C416" s="312" t="str">
        <f t="shared" si="26"/>
        <v>N_InvalidSessionNumber</v>
      </c>
      <c r="D416" s="312" t="s">
        <v>2095</v>
      </c>
      <c r="E416" s="312" t="s">
        <v>2096</v>
      </c>
      <c r="F416" s="298" t="s">
        <v>9228</v>
      </c>
      <c r="G416" s="299" t="s">
        <v>11922</v>
      </c>
      <c r="H416" s="2187" t="s">
        <v>12600</v>
      </c>
      <c r="I416" s="321"/>
      <c r="J416" s="321"/>
      <c r="K416" s="321"/>
      <c r="L416" s="321"/>
    </row>
    <row r="417" spans="2:12" ht="38.25" x14ac:dyDescent="0.2">
      <c r="B417" s="359" t="str">
        <f t="shared" si="23"/>
        <v>Valeur par défaut de la session de départ</v>
      </c>
      <c r="C417" s="312" t="str">
        <f t="shared" si="26"/>
        <v>N_DefaultStartSessionNmber</v>
      </c>
      <c r="D417" s="312" t="s">
        <v>10726</v>
      </c>
      <c r="E417" s="312" t="s">
        <v>10727</v>
      </c>
      <c r="F417" s="303" t="s">
        <v>10728</v>
      </c>
      <c r="G417" s="299" t="s">
        <v>11923</v>
      </c>
      <c r="H417" s="2187" t="s">
        <v>12601</v>
      </c>
      <c r="I417" s="321"/>
      <c r="J417" s="321"/>
      <c r="K417" s="321"/>
      <c r="L417" s="321"/>
    </row>
    <row r="418" spans="2:12" ht="38.25" x14ac:dyDescent="0.2">
      <c r="B418" s="359" t="str">
        <f t="shared" si="23"/>
        <v>Valeur par défaut du nombre de sessions</v>
      </c>
      <c r="C418" s="312" t="str">
        <f t="shared" si="26"/>
        <v>N_DefaultNumberOfSessions</v>
      </c>
      <c r="D418" s="312" t="s">
        <v>10729</v>
      </c>
      <c r="E418" s="312" t="s">
        <v>10730</v>
      </c>
      <c r="F418" s="303" t="s">
        <v>10731</v>
      </c>
      <c r="G418" s="299" t="s">
        <v>11924</v>
      </c>
      <c r="H418" s="2187" t="s">
        <v>12602</v>
      </c>
      <c r="I418" s="321"/>
      <c r="J418" s="321"/>
      <c r="K418" s="321"/>
      <c r="L418" s="321"/>
    </row>
    <row r="419" spans="2:12" ht="76.5" x14ac:dyDescent="0.2">
      <c r="B419" s="359" t="str">
        <f t="shared" si="23"/>
        <v>Valeur par défaut de l'indicateur d'export des matches individuels pour les résultats par équipe</v>
      </c>
      <c r="C419" s="312" t="str">
        <f t="shared" si="26"/>
        <v>N_DefaultExportIndMAtches</v>
      </c>
      <c r="D419" s="312" t="s">
        <v>3803</v>
      </c>
      <c r="E419" s="312" t="s">
        <v>3804</v>
      </c>
      <c r="F419" s="298" t="s">
        <v>9229</v>
      </c>
      <c r="G419" s="299" t="s">
        <v>11925</v>
      </c>
      <c r="H419" s="2187" t="s">
        <v>12603</v>
      </c>
      <c r="I419" s="321"/>
      <c r="J419" s="321"/>
      <c r="K419" s="321"/>
      <c r="L419" s="321"/>
    </row>
    <row r="420" spans="2:12" x14ac:dyDescent="0.2">
      <c r="B420" s="359" t="str">
        <f t="shared" si="23"/>
        <v>Feuille de Match</v>
      </c>
      <c r="C420" s="312" t="str">
        <f t="shared" si="26"/>
        <v>N_ScoreSheet</v>
      </c>
      <c r="D420" s="312" t="s">
        <v>2097</v>
      </c>
      <c r="E420" s="312" t="s">
        <v>2098</v>
      </c>
      <c r="F420" s="298" t="s">
        <v>9230</v>
      </c>
      <c r="G420" s="299" t="s">
        <v>11926</v>
      </c>
      <c r="H420" s="2187" t="s">
        <v>12604</v>
      </c>
      <c r="I420" s="321"/>
      <c r="J420" s="321"/>
      <c r="K420" s="321"/>
      <c r="L420" s="321"/>
    </row>
    <row r="421" spans="2:12" x14ac:dyDescent="0.2">
      <c r="B421" s="359" t="str">
        <f t="shared" si="23"/>
        <v>Remplaçant</v>
      </c>
      <c r="C421" s="312" t="str">
        <f t="shared" si="26"/>
        <v>N_Substitue</v>
      </c>
      <c r="D421" s="312" t="s">
        <v>1147</v>
      </c>
      <c r="E421" s="312" t="s">
        <v>1148</v>
      </c>
      <c r="F421" s="298" t="s">
        <v>9231</v>
      </c>
      <c r="G421" s="299" t="s">
        <v>11834</v>
      </c>
      <c r="H421" s="2187" t="s">
        <v>12536</v>
      </c>
      <c r="I421" s="321"/>
      <c r="J421" s="321"/>
      <c r="K421" s="321"/>
      <c r="L421" s="321"/>
    </row>
    <row r="422" spans="2:12" ht="51" x14ac:dyDescent="0.2">
      <c r="B422" s="359" t="str">
        <f t="shared" si="23"/>
        <v>Créer au préalable une compétition avant de lancer l'impression !</v>
      </c>
      <c r="C422" s="312" t="str">
        <f t="shared" si="26"/>
        <v>N_NoEventToPrint</v>
      </c>
      <c r="D422" s="312" t="s">
        <v>2103</v>
      </c>
      <c r="E422" s="312" t="s">
        <v>2102</v>
      </c>
      <c r="F422" s="298" t="s">
        <v>9232</v>
      </c>
      <c r="G422" s="299" t="s">
        <v>11927</v>
      </c>
      <c r="H422" s="2186" t="s">
        <v>12605</v>
      </c>
      <c r="I422" s="321"/>
      <c r="J422" s="321"/>
      <c r="K422" s="321"/>
      <c r="L422" s="321"/>
    </row>
    <row r="423" spans="2:12" ht="38.25" x14ac:dyDescent="0.2">
      <c r="B423" s="359" t="str">
        <f t="shared" si="23"/>
        <v>Fonctionnalité non encore disponible.</v>
      </c>
      <c r="C423" s="312" t="str">
        <f t="shared" si="26"/>
        <v>N_ToBeDone</v>
      </c>
      <c r="D423" s="312" t="s">
        <v>2104</v>
      </c>
      <c r="E423" s="312" t="s">
        <v>2105</v>
      </c>
      <c r="F423" s="298" t="s">
        <v>9233</v>
      </c>
      <c r="G423" s="299" t="s">
        <v>11928</v>
      </c>
      <c r="H423" s="2187" t="s">
        <v>12606</v>
      </c>
      <c r="I423" s="321"/>
      <c r="J423" s="321"/>
      <c r="K423" s="321"/>
      <c r="L423" s="321"/>
    </row>
    <row r="424" spans="2:12" ht="178.5" x14ac:dyDescent="0.2">
      <c r="B424" s="359" t="str">
        <f t="shared" si="23"/>
        <v>Le mode de calcul Excel a été positionné en mode "Manuel" pour de meilleures performances.
Avant de quitter GMFT, vous pouvez cliquer sur le bouton "Calcul Manuel" dans le ruban,  pour basculer en automatique.</v>
      </c>
      <c r="C424" s="312" t="str">
        <f t="shared" si="26"/>
        <v>N_CalculationMode</v>
      </c>
      <c r="D424" s="312" t="s">
        <v>11010</v>
      </c>
      <c r="E424" s="312" t="s">
        <v>11011</v>
      </c>
      <c r="F424" s="298" t="s">
        <v>11012</v>
      </c>
      <c r="G424" s="299" t="s">
        <v>11929</v>
      </c>
      <c r="H424" s="2187" t="s">
        <v>12607</v>
      </c>
      <c r="I424" s="321"/>
      <c r="J424" s="321"/>
      <c r="K424" s="321"/>
      <c r="L424" s="321"/>
    </row>
    <row r="425" spans="2:12" ht="16.5" customHeight="1" x14ac:dyDescent="0.2">
      <c r="B425" s="359" t="str">
        <f t="shared" si="23"/>
        <v>Mode de Calcul</v>
      </c>
      <c r="C425" s="312" t="str">
        <f t="shared" si="26"/>
        <v>N_SetCalculationMode_Label</v>
      </c>
      <c r="D425" s="312" t="s">
        <v>2107</v>
      </c>
      <c r="E425" s="312" t="s">
        <v>2108</v>
      </c>
      <c r="F425" s="298" t="s">
        <v>9234</v>
      </c>
      <c r="G425" s="299" t="s">
        <v>11930</v>
      </c>
      <c r="H425" s="2187" t="s">
        <v>12608</v>
      </c>
      <c r="I425" s="321"/>
      <c r="J425" s="321"/>
      <c r="K425" s="321"/>
      <c r="L425" s="321"/>
    </row>
    <row r="426" spans="2:12" ht="25.5" x14ac:dyDescent="0.2">
      <c r="B426" s="359" t="str">
        <f t="shared" si="23"/>
        <v>Supprmier cette feuille</v>
      </c>
      <c r="C426" s="312" t="str">
        <f t="shared" si="26"/>
        <v>N_DeleteSheet</v>
      </c>
      <c r="D426" s="312" t="s">
        <v>2122</v>
      </c>
      <c r="E426" s="312" t="s">
        <v>2123</v>
      </c>
      <c r="F426" s="298" t="s">
        <v>9235</v>
      </c>
      <c r="G426" s="299" t="s">
        <v>11931</v>
      </c>
      <c r="H426" s="2187" t="s">
        <v>12609</v>
      </c>
      <c r="I426" s="321"/>
      <c r="J426" s="321"/>
      <c r="K426" s="321"/>
      <c r="L426" s="321"/>
    </row>
    <row r="427" spans="2:12" ht="178.5" x14ac:dyDescent="0.2">
      <c r="B427" s="359" t="str">
        <f t="shared" si="23"/>
        <v>Le fichier sélectionné n'est semble-t-il pas un fichier FISTF de liste de licences. Si ce n'est pas le cas, il se peut que le format du fichier ait changé et qu'il faille modifier la fonction d'import; contacter dans ce cas le support GMFT.</v>
      </c>
      <c r="C427" s="312" t="str">
        <f t="shared" si="26"/>
        <v>N_NotAFistfLicencesFile</v>
      </c>
      <c r="D427" s="312" t="s">
        <v>2732</v>
      </c>
      <c r="E427" s="312" t="s">
        <v>2733</v>
      </c>
      <c r="F427" s="298" t="s">
        <v>9236</v>
      </c>
      <c r="G427" s="299" t="s">
        <v>11932</v>
      </c>
      <c r="H427" s="2187" t="s">
        <v>12610</v>
      </c>
      <c r="I427" s="321"/>
      <c r="J427" s="321"/>
      <c r="K427" s="321"/>
      <c r="L427" s="321"/>
    </row>
    <row r="428" spans="2:12" ht="114.75" x14ac:dyDescent="0.2">
      <c r="B428" s="359" t="str">
        <f t="shared" si="23"/>
        <v xml:space="preserve">Le nombre de lignes de la liste des clubs n'est pas suffisant pour importer la liste des clubs FISTF. Augmenter le nombre de lignes de la liste jusqu'à : </v>
      </c>
      <c r="C428" s="312" t="str">
        <f t="shared" si="26"/>
        <v>N_NotEnoughClubListLines</v>
      </c>
      <c r="D428" s="312" t="s">
        <v>2700</v>
      </c>
      <c r="E428" s="312" t="s">
        <v>2699</v>
      </c>
      <c r="F428" s="298" t="s">
        <v>9237</v>
      </c>
      <c r="G428" s="299" t="s">
        <v>11933</v>
      </c>
      <c r="H428" s="2187" t="s">
        <v>12611</v>
      </c>
      <c r="I428" s="321"/>
      <c r="J428" s="321"/>
      <c r="K428" s="321"/>
      <c r="L428" s="321"/>
    </row>
    <row r="429" spans="2:12" ht="114.75" x14ac:dyDescent="0.2">
      <c r="B429" s="359" t="str">
        <f t="shared" si="23"/>
        <v xml:space="preserve">Le nombre de lignes de la liste des joueurs n'est pas suffisant pour importer la liste des joueurs FISTF. Augmenter le nombre de lignes de la liste jusqu'à : </v>
      </c>
      <c r="C429" s="312" t="str">
        <f t="shared" si="26"/>
        <v>N_NotEnoughPlayerListLines</v>
      </c>
      <c r="D429" s="312" t="s">
        <v>3899</v>
      </c>
      <c r="E429" s="312" t="s">
        <v>3900</v>
      </c>
      <c r="F429" s="298" t="s">
        <v>9238</v>
      </c>
      <c r="G429" s="299" t="s">
        <v>11934</v>
      </c>
      <c r="H429" s="2187" t="s">
        <v>12612</v>
      </c>
      <c r="I429" s="321"/>
      <c r="J429" s="321"/>
      <c r="K429" s="321"/>
      <c r="L429" s="321"/>
    </row>
    <row r="430" spans="2:12" ht="25.5" x14ac:dyDescent="0.2">
      <c r="B430" s="359" t="str">
        <f t="shared" si="23"/>
        <v>Nombre total de clubs</v>
      </c>
      <c r="C430" s="312" t="str">
        <f t="shared" si="26"/>
        <v>N_TotalNbClubs</v>
      </c>
      <c r="D430" s="312" t="s">
        <v>2701</v>
      </c>
      <c r="E430" s="312" t="s">
        <v>2703</v>
      </c>
      <c r="F430" s="298" t="s">
        <v>9239</v>
      </c>
      <c r="G430" s="299" t="s">
        <v>11935</v>
      </c>
      <c r="H430" s="2187" t="s">
        <v>12613</v>
      </c>
      <c r="I430" s="321"/>
      <c r="J430" s="321"/>
      <c r="K430" s="321"/>
      <c r="L430" s="321"/>
    </row>
    <row r="431" spans="2:12" ht="38.25" x14ac:dyDescent="0.2">
      <c r="B431" s="359" t="str">
        <f t="shared" si="23"/>
        <v>Nombre total de lignes de la liste</v>
      </c>
      <c r="C431" s="312" t="str">
        <f t="shared" si="26"/>
        <v>N_TotalNbClubsLines</v>
      </c>
      <c r="D431" s="312" t="s">
        <v>2702</v>
      </c>
      <c r="E431" s="312" t="s">
        <v>2704</v>
      </c>
      <c r="F431" s="298" t="s">
        <v>9240</v>
      </c>
      <c r="G431" s="299" t="s">
        <v>11936</v>
      </c>
      <c r="H431" s="2187" t="s">
        <v>12614</v>
      </c>
      <c r="I431" s="321"/>
      <c r="J431" s="321"/>
      <c r="K431" s="321"/>
      <c r="L431" s="321"/>
    </row>
    <row r="432" spans="2:12" ht="25.5" x14ac:dyDescent="0.2">
      <c r="B432" s="359" t="str">
        <f t="shared" si="23"/>
        <v>Nombre total de joueurs classés</v>
      </c>
      <c r="C432" s="312" t="str">
        <f t="shared" si="26"/>
        <v>N_TotalNbPlayers</v>
      </c>
      <c r="D432" s="312" t="s">
        <v>2125</v>
      </c>
      <c r="E432" s="312" t="s">
        <v>2734</v>
      </c>
      <c r="F432" s="298" t="s">
        <v>9241</v>
      </c>
      <c r="G432" s="299" t="s">
        <v>11937</v>
      </c>
      <c r="H432" s="2187" t="s">
        <v>12615</v>
      </c>
      <c r="I432" s="321"/>
      <c r="J432" s="321"/>
      <c r="K432" s="321"/>
      <c r="L432" s="321"/>
    </row>
    <row r="433" spans="2:12" ht="38.25" x14ac:dyDescent="0.2">
      <c r="B433" s="359" t="str">
        <f t="shared" si="23"/>
        <v>Nombre total de lignes de la liste</v>
      </c>
      <c r="C433" s="312" t="str">
        <f t="shared" si="26"/>
        <v>N_TotalNbPlayersLines</v>
      </c>
      <c r="D433" s="312" t="s">
        <v>2702</v>
      </c>
      <c r="E433" s="312" t="s">
        <v>2735</v>
      </c>
      <c r="F433" s="298" t="s">
        <v>9242</v>
      </c>
      <c r="G433" s="299" t="s">
        <v>11938</v>
      </c>
      <c r="H433" s="2187" t="s">
        <v>12616</v>
      </c>
      <c r="I433" s="321"/>
      <c r="J433" s="321"/>
      <c r="K433" s="321"/>
      <c r="L433" s="321"/>
    </row>
    <row r="434" spans="2:12" ht="38.25" x14ac:dyDescent="0.2">
      <c r="B434" s="359" t="str">
        <f t="shared" si="23"/>
        <v>Importer le fichier des clubs FISTF</v>
      </c>
      <c r="C434" s="312" t="str">
        <f t="shared" si="26"/>
        <v>N_Import_FISTF_Clubs</v>
      </c>
      <c r="D434" s="312" t="s">
        <v>2705</v>
      </c>
      <c r="E434" s="312" t="s">
        <v>2706</v>
      </c>
      <c r="F434" s="298" t="s">
        <v>9243</v>
      </c>
      <c r="G434" s="299" t="s">
        <v>11939</v>
      </c>
      <c r="H434" s="2187" t="s">
        <v>12617</v>
      </c>
      <c r="I434" s="321"/>
      <c r="J434" s="321"/>
      <c r="K434" s="321"/>
      <c r="L434" s="321"/>
    </row>
    <row r="435" spans="2:12" ht="38.25" x14ac:dyDescent="0.2">
      <c r="B435" s="359" t="str">
        <f t="shared" si="23"/>
        <v>Importer le fichier des joueurs FISTF</v>
      </c>
      <c r="C435" s="312" t="str">
        <f t="shared" si="26"/>
        <v>N_Import_FISTF_Players</v>
      </c>
      <c r="D435" s="312" t="s">
        <v>2736</v>
      </c>
      <c r="E435" s="312" t="s">
        <v>2737</v>
      </c>
      <c r="F435" s="298" t="s">
        <v>9244</v>
      </c>
      <c r="G435" s="312" t="s">
        <v>11940</v>
      </c>
      <c r="H435" s="2187" t="s">
        <v>12618</v>
      </c>
      <c r="I435" s="321"/>
      <c r="J435" s="321"/>
      <c r="K435" s="321"/>
      <c r="L435" s="321"/>
    </row>
    <row r="436" spans="2:12" ht="29.25" customHeight="1" x14ac:dyDescent="0.2">
      <c r="B436" s="359" t="str">
        <f t="shared" si="23"/>
        <v>Sélectionner le fichier modèle FISTF de synthèse des scores de la compétition.</v>
      </c>
      <c r="C436" s="312" t="str">
        <f t="shared" si="26"/>
        <v>N_GetFISTFScoreSheetTemplateFile</v>
      </c>
      <c r="D436" s="312" t="s">
        <v>2718</v>
      </c>
      <c r="E436" s="312" t="s">
        <v>2719</v>
      </c>
      <c r="F436" s="298" t="s">
        <v>9245</v>
      </c>
      <c r="G436" s="312" t="s">
        <v>11941</v>
      </c>
      <c r="H436" s="2187" t="s">
        <v>12619</v>
      </c>
      <c r="I436" s="321"/>
      <c r="J436" s="321"/>
      <c r="K436" s="321"/>
      <c r="L436" s="321"/>
    </row>
    <row r="437" spans="2:12" ht="51" x14ac:dyDescent="0.2">
      <c r="B437" s="359" t="str">
        <f t="shared" si="23"/>
        <v>Sélectionner le fichier  FISTF de classement mondial des joueurs.</v>
      </c>
      <c r="C437" s="312" t="str">
        <f t="shared" si="26"/>
        <v>N_GetFISTFWorldRankingFile</v>
      </c>
      <c r="D437" s="312" t="s">
        <v>2720</v>
      </c>
      <c r="E437" s="312" t="s">
        <v>2721</v>
      </c>
      <c r="F437" s="298" t="s">
        <v>9246</v>
      </c>
      <c r="G437" s="312" t="s">
        <v>11942</v>
      </c>
      <c r="H437" s="2187" t="s">
        <v>12620</v>
      </c>
      <c r="I437" s="321"/>
      <c r="J437" s="321"/>
      <c r="K437" s="321"/>
      <c r="L437" s="321"/>
    </row>
    <row r="438" spans="2:12" ht="51" x14ac:dyDescent="0.2">
      <c r="B438" s="359" t="str">
        <f t="shared" si="23"/>
        <v>Sélectionner le fichier  FISTF d'identification des licenciés.</v>
      </c>
      <c r="C438" s="312" t="str">
        <f t="shared" si="26"/>
        <v>N_GetFISTFClubsFile</v>
      </c>
      <c r="D438" s="312" t="s">
        <v>2730</v>
      </c>
      <c r="E438" s="312" t="s">
        <v>2731</v>
      </c>
      <c r="F438" s="298" t="s">
        <v>9247</v>
      </c>
      <c r="G438" s="312" t="s">
        <v>11943</v>
      </c>
      <c r="H438" s="2187" t="s">
        <v>12621</v>
      </c>
      <c r="I438" s="321"/>
      <c r="J438" s="321"/>
      <c r="K438" s="321"/>
      <c r="L438" s="321"/>
    </row>
    <row r="439" spans="2:12" ht="63.75" x14ac:dyDescent="0.2">
      <c r="B439" s="359" t="str">
        <f t="shared" si="23"/>
        <v>Sélectionner le nom de fichier pour la synthèse officielle FISTF des résultats de la compétition.</v>
      </c>
      <c r="C439" s="312" t="str">
        <f t="shared" si="26"/>
        <v>N_GetScoreSheetFileName</v>
      </c>
      <c r="D439" s="312" t="s">
        <v>2722</v>
      </c>
      <c r="E439" s="312" t="s">
        <v>2723</v>
      </c>
      <c r="F439" s="298" t="s">
        <v>9248</v>
      </c>
      <c r="G439" s="312" t="s">
        <v>11944</v>
      </c>
      <c r="H439" s="2187" t="s">
        <v>12622</v>
      </c>
      <c r="I439" s="321"/>
      <c r="J439" s="321"/>
      <c r="K439" s="321"/>
      <c r="L439" s="321"/>
    </row>
    <row r="440" spans="2:12" ht="38.25" x14ac:dyDescent="0.2">
      <c r="B440" s="359" t="str">
        <f t="shared" si="23"/>
        <v>Sélectionner le fichier Table de Marque.</v>
      </c>
      <c r="C440" s="312" t="str">
        <f t="shared" si="26"/>
        <v>N_GetScorerTableFile</v>
      </c>
      <c r="D440" s="312" t="s">
        <v>2857</v>
      </c>
      <c r="E440" s="312" t="s">
        <v>2858</v>
      </c>
      <c r="F440" s="298" t="s">
        <v>9249</v>
      </c>
      <c r="G440" s="312" t="s">
        <v>11945</v>
      </c>
      <c r="H440" s="2187" t="s">
        <v>12623</v>
      </c>
      <c r="I440" s="321"/>
      <c r="J440" s="321"/>
      <c r="K440" s="321"/>
      <c r="L440" s="321"/>
    </row>
    <row r="441" spans="2:12" ht="191.25" x14ac:dyDescent="0.2">
      <c r="B441" s="359" t="str">
        <f t="shared" si="23"/>
        <v>Le fichier sélectioné semble ne pas être un fichier officiel FISTF de consignation des résultats de compétition. Si ce n'est pas le cas, il se peut que le format du fichier ait changé et qu'il faille modifier la fonction d'export; contacter dans ce cas le support GMFT.</v>
      </c>
      <c r="C441" s="312" t="str">
        <f t="shared" si="26"/>
        <v>N_NotAFistfSSFile</v>
      </c>
      <c r="D441" s="312" t="s">
        <v>2724</v>
      </c>
      <c r="E441" s="312" t="s">
        <v>2725</v>
      </c>
      <c r="F441" s="298" t="s">
        <v>9250</v>
      </c>
      <c r="G441" s="312" t="s">
        <v>11946</v>
      </c>
      <c r="H441" s="2187" t="s">
        <v>12624</v>
      </c>
      <c r="I441" s="321"/>
      <c r="J441" s="321"/>
      <c r="K441" s="321"/>
      <c r="L441" s="321"/>
    </row>
    <row r="442" spans="2:12" ht="51" x14ac:dyDescent="0.2">
      <c r="B442" s="359" t="str">
        <f t="shared" si="23"/>
        <v>Ne pas afficher cette demande de confirmation la prochaine fois</v>
      </c>
      <c r="C442" s="312" t="str">
        <f t="shared" si="26"/>
        <v>N_ChkBoxConfirmGlobalSave_Label</v>
      </c>
      <c r="D442" s="312" t="s">
        <v>2740</v>
      </c>
      <c r="E442" s="312" t="s">
        <v>2739</v>
      </c>
      <c r="F442" s="298" t="s">
        <v>9251</v>
      </c>
      <c r="G442" s="312" t="s">
        <v>11947</v>
      </c>
      <c r="H442" s="2187" t="s">
        <v>12625</v>
      </c>
      <c r="I442" s="321"/>
      <c r="J442" s="321"/>
      <c r="K442" s="321"/>
      <c r="L442" s="321"/>
    </row>
    <row r="443" spans="2:12" ht="102" x14ac:dyDescent="0.2">
      <c r="B443" s="359" t="str">
        <f t="shared" si="23"/>
        <v>Cette action va sauvegarder tous les fichiers Excel ouverts sans demande de confirmation. Voulez-vous continuer ?</v>
      </c>
      <c r="C443" s="312" t="str">
        <f t="shared" si="26"/>
        <v>N_MsgConfirmGlobalSave_Label</v>
      </c>
      <c r="D443" s="312" t="s">
        <v>2742</v>
      </c>
      <c r="E443" s="312" t="s">
        <v>2741</v>
      </c>
      <c r="F443" s="298" t="s">
        <v>9252</v>
      </c>
      <c r="G443" s="312" t="s">
        <v>11948</v>
      </c>
      <c r="H443" s="2187" t="s">
        <v>12626</v>
      </c>
      <c r="I443" s="321"/>
      <c r="J443" s="321"/>
      <c r="K443" s="321"/>
      <c r="L443" s="321"/>
    </row>
    <row r="444" spans="2:12" ht="89.25" x14ac:dyDescent="0.2">
      <c r="B444" s="359" t="str">
        <f t="shared" si="23"/>
        <v>Erreur dans l'appel à la routine CheckReferee : La cible n'est pas une cellule "Referee" de la feuille "Planning"</v>
      </c>
      <c r="C444" s="312" t="str">
        <f t="shared" si="26"/>
        <v>N_ErrorCheckRefereeTarget</v>
      </c>
      <c r="D444" s="312" t="s">
        <v>2801</v>
      </c>
      <c r="E444" s="312" t="s">
        <v>2802</v>
      </c>
      <c r="F444" s="298" t="s">
        <v>9253</v>
      </c>
      <c r="G444" s="312" t="s">
        <v>11949</v>
      </c>
      <c r="H444" s="2187" t="s">
        <v>12627</v>
      </c>
      <c r="I444" s="321"/>
      <c r="J444" s="321"/>
      <c r="K444" s="321"/>
      <c r="L444" s="321"/>
    </row>
    <row r="445" spans="2:12" ht="38.25" x14ac:dyDescent="0.2">
      <c r="B445" s="359" t="str">
        <f t="shared" si="23"/>
        <v>Cet arbitre joue dans la même poule</v>
      </c>
      <c r="C445" s="312" t="str">
        <f t="shared" si="26"/>
        <v>N_RefereeWithinGroup</v>
      </c>
      <c r="D445" s="312" t="s">
        <v>2824</v>
      </c>
      <c r="E445" s="312" t="s">
        <v>2804</v>
      </c>
      <c r="F445" s="298" t="s">
        <v>9254</v>
      </c>
      <c r="G445" s="312" t="s">
        <v>11950</v>
      </c>
      <c r="H445" s="2187" t="s">
        <v>12628</v>
      </c>
      <c r="I445" s="321"/>
      <c r="J445" s="321"/>
      <c r="K445" s="321"/>
      <c r="L445" s="321"/>
    </row>
    <row r="446" spans="2:12" ht="51" x14ac:dyDescent="0.2">
      <c r="B446" s="359" t="str">
        <f t="shared" si="23"/>
        <v>Cet arbitre dispute également cette phase</v>
      </c>
      <c r="C446" s="312" t="str">
        <f t="shared" si="26"/>
        <v>N_RefereeWithinStage</v>
      </c>
      <c r="D446" s="312" t="s">
        <v>2803</v>
      </c>
      <c r="E446" s="312" t="s">
        <v>2805</v>
      </c>
      <c r="F446" s="298" t="s">
        <v>9255</v>
      </c>
      <c r="G446" s="312" t="s">
        <v>11951</v>
      </c>
      <c r="H446" s="2187" t="s">
        <v>12629</v>
      </c>
      <c r="I446" s="321"/>
      <c r="J446" s="321"/>
      <c r="K446" s="321"/>
      <c r="L446" s="321"/>
    </row>
    <row r="447" spans="2:12" ht="51" x14ac:dyDescent="0.2">
      <c r="B447" s="359" t="str">
        <f t="shared" si="23"/>
        <v>Cet arbitre fait partie du même club que le joueur 1</v>
      </c>
      <c r="C447" s="312" t="str">
        <f t="shared" si="26"/>
        <v>N_RefereeSameClubAsPlayer1</v>
      </c>
      <c r="D447" s="312" t="s">
        <v>2806</v>
      </c>
      <c r="E447" s="312" t="s">
        <v>2815</v>
      </c>
      <c r="F447" s="298" t="s">
        <v>9256</v>
      </c>
      <c r="G447" s="312" t="s">
        <v>11952</v>
      </c>
      <c r="H447" s="2187" t="s">
        <v>12630</v>
      </c>
      <c r="I447" s="321"/>
      <c r="J447" s="321"/>
      <c r="K447" s="321"/>
      <c r="L447" s="321"/>
    </row>
    <row r="448" spans="2:12" ht="51" x14ac:dyDescent="0.2">
      <c r="B448" s="359" t="str">
        <f t="shared" si="23"/>
        <v>Cet arbitre fait partie du même club que le joueur 2</v>
      </c>
      <c r="C448" s="312" t="str">
        <f t="shared" si="26"/>
        <v>N_RefereeSameClubAsPlayer2</v>
      </c>
      <c r="D448" s="312" t="s">
        <v>2807</v>
      </c>
      <c r="E448" s="312" t="s">
        <v>2814</v>
      </c>
      <c r="F448" s="298" t="s">
        <v>9257</v>
      </c>
      <c r="G448" s="312" t="s">
        <v>11953</v>
      </c>
      <c r="H448" s="2187" t="s">
        <v>12631</v>
      </c>
      <c r="I448" s="321"/>
      <c r="J448" s="321"/>
      <c r="K448" s="321"/>
      <c r="L448" s="321"/>
    </row>
    <row r="449" spans="2:12" ht="51" x14ac:dyDescent="0.2">
      <c r="B449" s="359" t="str">
        <f t="shared" si="23"/>
        <v>Cet arbitre a la même nationalité que le joueur 1</v>
      </c>
      <c r="C449" s="312" t="str">
        <f t="shared" si="26"/>
        <v>N_RefereeSameNationalityAsPlayer1</v>
      </c>
      <c r="D449" s="312" t="s">
        <v>2808</v>
      </c>
      <c r="E449" s="312" t="s">
        <v>2813</v>
      </c>
      <c r="F449" s="298" t="s">
        <v>9258</v>
      </c>
      <c r="G449" s="312" t="s">
        <v>11954</v>
      </c>
      <c r="H449" s="2187" t="s">
        <v>12632</v>
      </c>
      <c r="I449" s="321"/>
      <c r="J449" s="321"/>
      <c r="K449" s="321"/>
      <c r="L449" s="321"/>
    </row>
    <row r="450" spans="2:12" ht="51" x14ac:dyDescent="0.2">
      <c r="B450" s="359" t="str">
        <f t="shared" si="23"/>
        <v>Cet arbitre a la même nationalité que le joueur 2</v>
      </c>
      <c r="C450" s="312" t="str">
        <f t="shared" si="26"/>
        <v>N_RefereeSameNationalityAsPlayer2</v>
      </c>
      <c r="D450" s="312" t="s">
        <v>2809</v>
      </c>
      <c r="E450" s="312" t="s">
        <v>2812</v>
      </c>
      <c r="F450" s="298" t="s">
        <v>9259</v>
      </c>
      <c r="G450" s="312" t="s">
        <v>11955</v>
      </c>
      <c r="H450" s="2187" t="s">
        <v>12633</v>
      </c>
      <c r="I450" s="321"/>
      <c r="J450" s="321"/>
      <c r="K450" s="321"/>
      <c r="L450" s="321"/>
    </row>
    <row r="451" spans="2:12" ht="38.25" x14ac:dyDescent="0.2">
      <c r="B451" s="359" t="str">
        <f t="shared" si="23"/>
        <v>Rapport de choix d'arbitre :</v>
      </c>
      <c r="C451" s="312" t="str">
        <f t="shared" si="26"/>
        <v>N_RefereeChecking</v>
      </c>
      <c r="D451" s="312" t="s">
        <v>2810</v>
      </c>
      <c r="E451" s="312" t="s">
        <v>2811</v>
      </c>
      <c r="F451" s="298" t="s">
        <v>9260</v>
      </c>
      <c r="G451" s="312" t="s">
        <v>11956</v>
      </c>
      <c r="H451" s="2187" t="s">
        <v>12634</v>
      </c>
      <c r="I451" s="321"/>
      <c r="J451" s="321"/>
      <c r="K451" s="321"/>
      <c r="L451" s="321"/>
    </row>
    <row r="452" spans="2:12" ht="51" x14ac:dyDescent="0.2">
      <c r="B452" s="359" t="str">
        <f t="shared" si="23"/>
        <v>Activation des contrôles sur les choix des arbitres dans le planning</v>
      </c>
      <c r="C452" s="312" t="str">
        <f t="shared" si="26"/>
        <v>N_CheckingReferees</v>
      </c>
      <c r="D452" s="312" t="s">
        <v>2817</v>
      </c>
      <c r="E452" s="312" t="s">
        <v>2816</v>
      </c>
      <c r="F452" s="298" t="s">
        <v>9261</v>
      </c>
      <c r="G452" s="312" t="s">
        <v>11957</v>
      </c>
      <c r="H452" s="2187" t="s">
        <v>12635</v>
      </c>
      <c r="I452" s="321"/>
      <c r="J452" s="321"/>
      <c r="K452" s="321"/>
      <c r="L452" s="321"/>
    </row>
    <row r="453" spans="2:12" ht="16.5" customHeight="1" x14ac:dyDescent="0.2">
      <c r="B453" s="359" t="str">
        <f t="shared" si="23"/>
        <v>Arbitre dans la même Poule qu'un des joueurs</v>
      </c>
      <c r="C453" s="312" t="str">
        <f t="shared" si="26"/>
        <v>N_CheckReferee_SameGroup</v>
      </c>
      <c r="D453" s="312" t="s">
        <v>2823</v>
      </c>
      <c r="E453" s="312" t="s">
        <v>2822</v>
      </c>
      <c r="F453" s="298" t="s">
        <v>9262</v>
      </c>
      <c r="G453" s="312" t="s">
        <v>11958</v>
      </c>
      <c r="H453" s="2187" t="s">
        <v>12636</v>
      </c>
      <c r="I453" s="321"/>
      <c r="J453" s="321"/>
      <c r="K453" s="321"/>
      <c r="L453" s="321"/>
    </row>
    <row r="454" spans="2:12" ht="38.25" x14ac:dyDescent="0.2">
      <c r="B454" s="359" t="str">
        <f t="shared" si="23"/>
        <v>Arbitre du même Club qu'un des joueurs</v>
      </c>
      <c r="C454" s="312" t="str">
        <f t="shared" si="26"/>
        <v>N_CheckReferee_SameClub</v>
      </c>
      <c r="D454" s="312" t="s">
        <v>2819</v>
      </c>
      <c r="E454" s="312" t="s">
        <v>2818</v>
      </c>
      <c r="F454" s="298" t="s">
        <v>9263</v>
      </c>
      <c r="G454" s="312" t="s">
        <v>11959</v>
      </c>
      <c r="H454" s="2187" t="s">
        <v>12637</v>
      </c>
      <c r="I454" s="321"/>
      <c r="J454" s="321"/>
      <c r="K454" s="321"/>
      <c r="L454" s="321"/>
    </row>
    <row r="455" spans="2:12" ht="51" x14ac:dyDescent="0.2">
      <c r="B455" s="359" t="str">
        <f t="shared" si="23"/>
        <v>Arbitre de même Nationalité qu'un des joueurs</v>
      </c>
      <c r="C455" s="312" t="str">
        <f t="shared" si="26"/>
        <v>N_CheckReferee_SameNat</v>
      </c>
      <c r="D455" s="312" t="s">
        <v>2820</v>
      </c>
      <c r="E455" s="312" t="s">
        <v>2821</v>
      </c>
      <c r="F455" s="298" t="s">
        <v>9264</v>
      </c>
      <c r="G455" s="312" t="s">
        <v>11960</v>
      </c>
      <c r="H455" s="2187" t="s">
        <v>12638</v>
      </c>
      <c r="I455" s="321"/>
      <c r="J455" s="321"/>
      <c r="K455" s="321"/>
      <c r="L455" s="321"/>
    </row>
    <row r="456" spans="2:12" ht="38.25" x14ac:dyDescent="0.2">
      <c r="B456" s="359" t="str">
        <f t="shared" si="23"/>
        <v>Arbitre du même Club qu'un des joueurs de la poule</v>
      </c>
      <c r="C456" s="312" t="str">
        <f t="shared" si="26"/>
        <v>N_CheckReferee_Club_InGroup</v>
      </c>
      <c r="D456" s="312" t="s">
        <v>3888</v>
      </c>
      <c r="E456" s="312" t="s">
        <v>3889</v>
      </c>
      <c r="F456" s="298" t="s">
        <v>9265</v>
      </c>
      <c r="G456" s="312" t="s">
        <v>11961</v>
      </c>
      <c r="H456" s="2187" t="s">
        <v>12639</v>
      </c>
      <c r="I456" s="321"/>
      <c r="J456" s="321"/>
      <c r="K456" s="321"/>
      <c r="L456" s="321"/>
    </row>
    <row r="457" spans="2:12" ht="51" x14ac:dyDescent="0.2">
      <c r="B457" s="359" t="str">
        <f t="shared" si="23"/>
        <v>Arbitre de même Nationalité qu'un des joueurs de la poule</v>
      </c>
      <c r="C457" s="312" t="str">
        <f t="shared" si="26"/>
        <v>N_CheckReferee_Nat_InGroup</v>
      </c>
      <c r="D457" s="312" t="s">
        <v>3883</v>
      </c>
      <c r="E457" s="312" t="s">
        <v>3884</v>
      </c>
      <c r="F457" s="298" t="s">
        <v>9266</v>
      </c>
      <c r="G457" s="312" t="s">
        <v>11962</v>
      </c>
      <c r="H457" s="2187" t="s">
        <v>12640</v>
      </c>
      <c r="I457" s="321"/>
      <c r="J457" s="321"/>
      <c r="K457" s="321"/>
      <c r="L457" s="321"/>
    </row>
    <row r="458" spans="2:12" ht="63.75" x14ac:dyDescent="0.2">
      <c r="B458" s="359" t="str">
        <f t="shared" ref="B458:B521" si="31">HLOOKUP(Language,D$2:L$1113,ROW()-1,FALSE)</f>
        <v>Cet arbitre fait partie du même club qu'un des joueurs de la poule</v>
      </c>
      <c r="C458" s="312" t="str">
        <f t="shared" si="26"/>
        <v>N_RefereeSameClubAsOneInGroup</v>
      </c>
      <c r="D458" s="312" t="s">
        <v>3885</v>
      </c>
      <c r="E458" s="312" t="s">
        <v>3887</v>
      </c>
      <c r="F458" s="298" t="s">
        <v>9267</v>
      </c>
      <c r="G458" s="312" t="s">
        <v>11963</v>
      </c>
      <c r="H458" s="2187" t="s">
        <v>12641</v>
      </c>
      <c r="I458" s="321"/>
      <c r="J458" s="321"/>
      <c r="K458" s="321"/>
      <c r="L458" s="321"/>
    </row>
    <row r="459" spans="2:12" ht="51" x14ac:dyDescent="0.2">
      <c r="B459" s="359" t="str">
        <f t="shared" si="31"/>
        <v>Cet arbitre a la même nationalité qu'un des joueurs de la poule</v>
      </c>
      <c r="C459" s="312" t="str">
        <f t="shared" si="26"/>
        <v>N_RefereeSameNationalityAsOneInGroup</v>
      </c>
      <c r="D459" s="312" t="s">
        <v>3886</v>
      </c>
      <c r="E459" s="312" t="s">
        <v>3884</v>
      </c>
      <c r="F459" s="298" t="s">
        <v>9266</v>
      </c>
      <c r="G459" s="312" t="s">
        <v>11962</v>
      </c>
      <c r="H459" s="2187" t="s">
        <v>12640</v>
      </c>
      <c r="I459" s="321"/>
      <c r="J459" s="321"/>
      <c r="K459" s="321"/>
      <c r="L459" s="321"/>
    </row>
    <row r="460" spans="2:12" ht="38.25" x14ac:dyDescent="0.2">
      <c r="B460" s="359" t="str">
        <f t="shared" si="31"/>
        <v>Sauvegarder tous les fichiers Excel ouverts</v>
      </c>
      <c r="C460" s="312" t="str">
        <f t="shared" si="26"/>
        <v>N_SaveFiles</v>
      </c>
      <c r="D460" s="312" t="s">
        <v>2825</v>
      </c>
      <c r="E460" s="312" t="s">
        <v>2826</v>
      </c>
      <c r="F460" s="298" t="s">
        <v>9268</v>
      </c>
      <c r="G460" s="312" t="s">
        <v>11964</v>
      </c>
      <c r="H460" s="2187" t="s">
        <v>12642</v>
      </c>
      <c r="I460" s="321"/>
      <c r="J460" s="321"/>
      <c r="K460" s="321"/>
      <c r="L460" s="321"/>
    </row>
    <row r="461" spans="2:12" ht="153" x14ac:dyDescent="0.2">
      <c r="B461" s="359" t="str">
        <f t="shared" si="31"/>
        <v xml:space="preserve">Au moins une cellule dans une des colonnes Joueurs, Given name ou Family name a une valeur #N/A._x000D_Pour chaque joueur renseigner au mininum un club reconnu ("---" si le joueur n'appartient pas à un club). </v>
      </c>
      <c r="C461" s="312" t="str">
        <f t="shared" si="26"/>
        <v>N_UnknownPlayer</v>
      </c>
      <c r="D461" s="312" t="str">
        <f>"Au moins une cellule dans une des colonnes " &amp; N_Joueurs &amp; ", Given name ou Family name a une valeur #N/A." &amp; CHAR(13) &amp; "Pour chaque joueur renseigner au mininum un club reconnu (""---"" si le joueur n'appartient pas à un club). "</f>
        <v xml:space="preserve">Au moins une cellule dans une des colonnes Joueurs, Given name ou Family name a une valeur #N/A._x000D_Pour chaque joueur renseigner au mininum un club reconnu ("---" si le joueur n'appartient pas à un club). </v>
      </c>
      <c r="E461" s="312" t="str">
        <f>"At least one cell in one of the columns " &amp; N_Joueurs &amp; ", Given name or Family name has a #N/A value." &amp; CHAR(13) &amp; "For each player fill at least a known club (""---"" if the player has no club). "</f>
        <v xml:space="preserve">At least one cell in one of the columns Joueurs, Given name or Family name has a #N/A value._x000D_For each player fill at least a known club ("---" if the player has no club). </v>
      </c>
      <c r="F461" s="303" t="s">
        <v>9269</v>
      </c>
      <c r="G461" s="312" t="s">
        <v>11965</v>
      </c>
      <c r="H461" s="2187" t="s">
        <v>12643</v>
      </c>
      <c r="I461" s="321"/>
      <c r="J461" s="321"/>
      <c r="K461" s="321"/>
      <c r="L461" s="321"/>
    </row>
    <row r="462" spans="2:12" ht="14.25" customHeight="1" x14ac:dyDescent="0.2">
      <c r="B462" s="359" t="str">
        <f t="shared" si="31"/>
        <v>N° de session de départ</v>
      </c>
      <c r="C462" s="312" t="str">
        <f t="shared" si="26"/>
        <v>N_NewEventForm_SessionNumber</v>
      </c>
      <c r="D462" s="312" t="s">
        <v>2827</v>
      </c>
      <c r="E462" s="312" t="s">
        <v>2092</v>
      </c>
      <c r="F462" s="298" t="s">
        <v>9270</v>
      </c>
      <c r="G462" s="312" t="s">
        <v>11903</v>
      </c>
      <c r="H462" s="2187" t="s">
        <v>12644</v>
      </c>
      <c r="I462" s="321"/>
      <c r="J462" s="321"/>
      <c r="K462" s="321"/>
      <c r="L462" s="321"/>
    </row>
    <row r="463" spans="2:12" x14ac:dyDescent="0.2">
      <c r="B463" s="359" t="str">
        <f t="shared" si="31"/>
        <v>Pause 1</v>
      </c>
      <c r="C463" s="312" t="str">
        <f t="shared" si="26"/>
        <v>N_Break1</v>
      </c>
      <c r="D463" s="312" t="s">
        <v>2829</v>
      </c>
      <c r="E463" s="312" t="s">
        <v>2833</v>
      </c>
      <c r="F463" s="298" t="s">
        <v>9271</v>
      </c>
      <c r="G463" s="312" t="s">
        <v>9271</v>
      </c>
      <c r="H463" s="2187" t="s">
        <v>9271</v>
      </c>
      <c r="I463" s="321"/>
      <c r="J463" s="321"/>
      <c r="K463" s="321"/>
      <c r="L463" s="321"/>
    </row>
    <row r="464" spans="2:12" x14ac:dyDescent="0.2">
      <c r="B464" s="359" t="str">
        <f t="shared" si="31"/>
        <v>Pause 2</v>
      </c>
      <c r="C464" s="312" t="str">
        <f t="shared" si="26"/>
        <v>N_Break2</v>
      </c>
      <c r="D464" s="312" t="s">
        <v>2830</v>
      </c>
      <c r="E464" s="312" t="s">
        <v>2834</v>
      </c>
      <c r="F464" s="298" t="s">
        <v>9272</v>
      </c>
      <c r="G464" s="312" t="s">
        <v>9272</v>
      </c>
      <c r="H464" s="2187" t="s">
        <v>9272</v>
      </c>
      <c r="I464" s="321"/>
      <c r="J464" s="321"/>
      <c r="K464" s="321"/>
      <c r="L464" s="321"/>
    </row>
    <row r="465" spans="2:12" x14ac:dyDescent="0.2">
      <c r="B465" s="359" t="str">
        <f t="shared" si="31"/>
        <v>Pause 3</v>
      </c>
      <c r="C465" s="312" t="str">
        <f t="shared" si="26"/>
        <v>N_Break3</v>
      </c>
      <c r="D465" s="312" t="s">
        <v>2831</v>
      </c>
      <c r="E465" s="312" t="s">
        <v>2835</v>
      </c>
      <c r="F465" s="298" t="s">
        <v>9273</v>
      </c>
      <c r="G465" s="312" t="s">
        <v>9273</v>
      </c>
      <c r="H465" s="2187" t="s">
        <v>9273</v>
      </c>
      <c r="I465" s="321"/>
      <c r="J465" s="321"/>
      <c r="K465" s="321"/>
      <c r="L465" s="321"/>
    </row>
    <row r="466" spans="2:12" x14ac:dyDescent="0.2">
      <c r="B466" s="359" t="str">
        <f t="shared" si="31"/>
        <v>Pause 4</v>
      </c>
      <c r="C466" s="312" t="str">
        <f t="shared" si="26"/>
        <v>N_Break4</v>
      </c>
      <c r="D466" s="312" t="s">
        <v>2832</v>
      </c>
      <c r="E466" s="312" t="s">
        <v>2836</v>
      </c>
      <c r="F466" s="298" t="s">
        <v>9274</v>
      </c>
      <c r="G466" s="312" t="s">
        <v>9274</v>
      </c>
      <c r="H466" s="2187" t="s">
        <v>9274</v>
      </c>
      <c r="I466" s="321"/>
      <c r="J466" s="321"/>
      <c r="K466" s="321"/>
      <c r="L466" s="321"/>
    </row>
    <row r="467" spans="2:12" ht="15.75" customHeight="1" x14ac:dyDescent="0.2">
      <c r="B467" s="359" t="str">
        <f t="shared" si="31"/>
        <v>Plan de Salle</v>
      </c>
      <c r="C467" s="312" t="str">
        <f t="shared" ref="C467:C527" si="32">NAMEOF(B467)</f>
        <v>N_VenueTitle</v>
      </c>
      <c r="D467" s="312" t="s">
        <v>2839</v>
      </c>
      <c r="E467" s="312" t="s">
        <v>2840</v>
      </c>
      <c r="F467" s="298" t="s">
        <v>9275</v>
      </c>
      <c r="G467" s="312" t="s">
        <v>11902</v>
      </c>
      <c r="H467" s="2187" t="s">
        <v>12645</v>
      </c>
      <c r="I467" s="321"/>
      <c r="J467" s="321"/>
      <c r="K467" s="321"/>
      <c r="L467" s="321"/>
    </row>
    <row r="468" spans="2:12" ht="15" customHeight="1" x14ac:dyDescent="0.2">
      <c r="B468" s="359" t="str">
        <f t="shared" si="31"/>
        <v>Exporter / Importer Table de Marque</v>
      </c>
      <c r="C468" s="312" t="str">
        <f t="shared" si="32"/>
        <v>N_ExportScorerTable</v>
      </c>
      <c r="D468" s="312" t="s">
        <v>2861</v>
      </c>
      <c r="E468" s="312" t="s">
        <v>2862</v>
      </c>
      <c r="F468" s="298" t="s">
        <v>9276</v>
      </c>
      <c r="G468" s="312" t="s">
        <v>11966</v>
      </c>
      <c r="H468" s="2187" t="s">
        <v>12646</v>
      </c>
      <c r="I468" s="321"/>
      <c r="J468" s="321"/>
      <c r="K468" s="321"/>
      <c r="L468" s="321"/>
    </row>
    <row r="469" spans="2:12" x14ac:dyDescent="0.2">
      <c r="B469" s="359" t="str">
        <f t="shared" si="31"/>
        <v>Table de Marque</v>
      </c>
      <c r="C469" s="312" t="str">
        <f t="shared" si="32"/>
        <v>N_ScorerTable</v>
      </c>
      <c r="D469" s="312" t="s">
        <v>2851</v>
      </c>
      <c r="E469" s="312" t="s">
        <v>2852</v>
      </c>
      <c r="F469" s="298" t="s">
        <v>9277</v>
      </c>
      <c r="G469" s="312" t="s">
        <v>11967</v>
      </c>
      <c r="H469" s="2187" t="s">
        <v>12647</v>
      </c>
      <c r="I469" s="321"/>
      <c r="J469" s="321"/>
      <c r="K469" s="321"/>
      <c r="L469" s="321"/>
    </row>
    <row r="470" spans="2:12" ht="38.25" x14ac:dyDescent="0.2">
      <c r="B470" s="359" t="str">
        <f t="shared" si="31"/>
        <v xml:space="preserve">Le nombre de matches traités est de : </v>
      </c>
      <c r="C470" s="312" t="str">
        <f t="shared" si="32"/>
        <v>N_NbMatchProceed</v>
      </c>
      <c r="D470" s="312" t="s">
        <v>2863</v>
      </c>
      <c r="E470" s="312" t="s">
        <v>2865</v>
      </c>
      <c r="F470" s="298" t="s">
        <v>9278</v>
      </c>
      <c r="G470" s="312" t="s">
        <v>11968</v>
      </c>
      <c r="H470" s="2187" t="s">
        <v>12648</v>
      </c>
      <c r="I470" s="321"/>
      <c r="J470" s="321"/>
      <c r="K470" s="321"/>
      <c r="L470" s="321"/>
    </row>
    <row r="471" spans="2:12" ht="17.25" customHeight="1" x14ac:dyDescent="0.2">
      <c r="B471" s="359" t="str">
        <f t="shared" si="31"/>
        <v xml:space="preserve">Le nombre total de résultats importés est de : </v>
      </c>
      <c r="C471" s="312" t="str">
        <f t="shared" si="32"/>
        <v>N_NbMatchImported</v>
      </c>
      <c r="D471" s="312" t="s">
        <v>2864</v>
      </c>
      <c r="E471" s="312" t="s">
        <v>2866</v>
      </c>
      <c r="F471" s="298" t="s">
        <v>9279</v>
      </c>
      <c r="G471" s="312" t="s">
        <v>11969</v>
      </c>
      <c r="H471" s="2187" t="s">
        <v>12649</v>
      </c>
      <c r="I471" s="321"/>
      <c r="J471" s="321"/>
      <c r="K471" s="321"/>
      <c r="L471" s="321"/>
    </row>
    <row r="472" spans="2:12" ht="16.5" customHeight="1" x14ac:dyDescent="0.2">
      <c r="B472" s="359" t="str">
        <f t="shared" si="31"/>
        <v>Trier les joueurs des équipes</v>
      </c>
      <c r="C472" s="312" t="str">
        <f t="shared" si="32"/>
        <v>N_Rib_GmftSortPlayersInTeams</v>
      </c>
      <c r="D472" s="312" t="s">
        <v>3003</v>
      </c>
      <c r="E472" s="312" t="s">
        <v>3004</v>
      </c>
      <c r="F472" s="298" t="s">
        <v>9280</v>
      </c>
      <c r="G472" s="312" t="s">
        <v>11970</v>
      </c>
      <c r="H472" s="2187" t="s">
        <v>12650</v>
      </c>
      <c r="I472" s="321"/>
      <c r="J472" s="321"/>
      <c r="K472" s="321"/>
      <c r="L472" s="321"/>
    </row>
    <row r="473" spans="2:12" ht="25.5" x14ac:dyDescent="0.2">
      <c r="B473" s="359" t="str">
        <f t="shared" si="31"/>
        <v>Résultats et Classements</v>
      </c>
      <c r="C473" s="312" t="str">
        <f t="shared" si="32"/>
        <v>N_Results_Export</v>
      </c>
      <c r="D473" s="312" t="s">
        <v>10689</v>
      </c>
      <c r="E473" s="312" t="s">
        <v>10690</v>
      </c>
      <c r="F473" s="298" t="s">
        <v>10691</v>
      </c>
      <c r="G473" s="312" t="s">
        <v>11971</v>
      </c>
      <c r="H473" s="2187" t="s">
        <v>12651</v>
      </c>
      <c r="I473" s="321"/>
      <c r="J473" s="321"/>
      <c r="K473" s="321"/>
      <c r="L473" s="321"/>
    </row>
    <row r="474" spans="2:12" ht="28.5" customHeight="1" x14ac:dyDescent="0.2">
      <c r="B474" s="359" t="str">
        <f t="shared" si="31"/>
        <v>Le nom de fichier choisi correspond à un fichier actuellement ouvert. Fermer le fichier ciblé et recommencer l'opération.</v>
      </c>
      <c r="C474" s="312" t="str">
        <f t="shared" si="32"/>
        <v>N_ClosePreviousVersionOfFISTFExportFirst</v>
      </c>
      <c r="D474" s="312" t="s">
        <v>3806</v>
      </c>
      <c r="E474" s="312" t="s">
        <v>3805</v>
      </c>
      <c r="F474" s="298" t="s">
        <v>9281</v>
      </c>
      <c r="G474" s="312" t="s">
        <v>11972</v>
      </c>
      <c r="H474" s="2187" t="s">
        <v>12652</v>
      </c>
      <c r="I474" s="321"/>
      <c r="J474" s="321"/>
      <c r="K474" s="321"/>
      <c r="L474" s="321"/>
    </row>
    <row r="475" spans="2:12" ht="14.25" customHeight="1" x14ac:dyDescent="0.2">
      <c r="B475" s="359" t="str">
        <f t="shared" si="31"/>
        <v>Impression du plan de la salle ?</v>
      </c>
      <c r="C475" s="312" t="str">
        <f t="shared" si="32"/>
        <v>N_PrintVenue</v>
      </c>
      <c r="D475" s="312" t="s">
        <v>3808</v>
      </c>
      <c r="E475" s="312" t="s">
        <v>3807</v>
      </c>
      <c r="F475" s="298" t="s">
        <v>9282</v>
      </c>
      <c r="G475" s="312" t="s">
        <v>11973</v>
      </c>
      <c r="H475" s="2187" t="s">
        <v>12653</v>
      </c>
      <c r="I475" s="321"/>
      <c r="J475" s="321"/>
      <c r="K475" s="321"/>
      <c r="L475" s="321"/>
    </row>
    <row r="476" spans="2:12" ht="12" customHeight="1" x14ac:dyDescent="0.2">
      <c r="B476" s="359" t="str">
        <f t="shared" si="31"/>
        <v>Impression des statistiques ?</v>
      </c>
      <c r="C476" s="312" t="str">
        <f t="shared" si="32"/>
        <v>N_PrintStats</v>
      </c>
      <c r="D476" s="312" t="s">
        <v>3826</v>
      </c>
      <c r="E476" s="312" t="s">
        <v>3827</v>
      </c>
      <c r="F476" s="298" t="s">
        <v>9283</v>
      </c>
      <c r="G476" s="312" t="s">
        <v>11974</v>
      </c>
      <c r="H476" s="2187" t="s">
        <v>12654</v>
      </c>
      <c r="I476" s="321"/>
      <c r="J476" s="321"/>
      <c r="K476" s="321"/>
      <c r="L476" s="321"/>
    </row>
    <row r="477" spans="2:12" x14ac:dyDescent="0.2">
      <c r="B477" s="359" t="str">
        <f t="shared" si="31"/>
        <v>Total Buts</v>
      </c>
      <c r="C477" s="312" t="str">
        <f t="shared" si="32"/>
        <v>N_Nb_Goals</v>
      </c>
      <c r="D477" s="312" t="s">
        <v>12655</v>
      </c>
      <c r="E477" s="312" t="s">
        <v>3809</v>
      </c>
      <c r="F477" s="298" t="s">
        <v>9284</v>
      </c>
      <c r="G477" s="312" t="s">
        <v>11589</v>
      </c>
      <c r="H477" s="2187" t="s">
        <v>12281</v>
      </c>
      <c r="I477" s="321"/>
      <c r="J477" s="321"/>
      <c r="K477" s="321"/>
      <c r="L477" s="321"/>
    </row>
    <row r="478" spans="2:12" x14ac:dyDescent="0.2">
      <c r="B478" s="359" t="str">
        <f t="shared" si="31"/>
        <v>Total Victoires</v>
      </c>
      <c r="C478" s="312" t="str">
        <f t="shared" si="32"/>
        <v>N_Wins</v>
      </c>
      <c r="D478" s="312" t="s">
        <v>12656</v>
      </c>
      <c r="E478" s="312" t="s">
        <v>3810</v>
      </c>
      <c r="F478" s="298" t="s">
        <v>9285</v>
      </c>
      <c r="G478" s="312" t="s">
        <v>11975</v>
      </c>
      <c r="H478" s="2187" t="s">
        <v>11975</v>
      </c>
      <c r="I478" s="321"/>
      <c r="J478" s="321"/>
      <c r="K478" s="321"/>
      <c r="L478" s="321"/>
    </row>
    <row r="479" spans="2:12" x14ac:dyDescent="0.2">
      <c r="B479" s="359" t="str">
        <f t="shared" si="31"/>
        <v>Total Défaites</v>
      </c>
      <c r="C479" s="312" t="str">
        <f t="shared" si="32"/>
        <v>N_Loses</v>
      </c>
      <c r="D479" s="312" t="s">
        <v>12658</v>
      </c>
      <c r="E479" s="312" t="s">
        <v>3811</v>
      </c>
      <c r="F479" s="298" t="s">
        <v>9286</v>
      </c>
      <c r="G479" s="312" t="s">
        <v>11976</v>
      </c>
      <c r="H479" s="2187" t="s">
        <v>12662</v>
      </c>
      <c r="I479" s="321"/>
      <c r="J479" s="321"/>
      <c r="K479" s="321"/>
      <c r="L479" s="321"/>
    </row>
    <row r="480" spans="2:12" x14ac:dyDescent="0.2">
      <c r="B480" s="359" t="str">
        <f t="shared" si="31"/>
        <v>Total Nuls</v>
      </c>
      <c r="C480" s="312" t="str">
        <f t="shared" si="32"/>
        <v>N_Draws</v>
      </c>
      <c r="D480" s="312" t="s">
        <v>12657</v>
      </c>
      <c r="E480" s="312" t="s">
        <v>3812</v>
      </c>
      <c r="F480" s="298" t="s">
        <v>9287</v>
      </c>
      <c r="G480" s="312" t="s">
        <v>11977</v>
      </c>
      <c r="H480" s="2187" t="s">
        <v>12663</v>
      </c>
      <c r="I480" s="321"/>
      <c r="J480" s="321"/>
      <c r="K480" s="321"/>
      <c r="L480" s="321"/>
    </row>
    <row r="481" spans="2:12" ht="11.25" customHeight="1" x14ac:dyDescent="0.2">
      <c r="B481" s="359" t="str">
        <f t="shared" si="31"/>
        <v>Moyenne
Buts</v>
      </c>
      <c r="C481" s="312" t="str">
        <f t="shared" si="32"/>
        <v>N_Average_Goals</v>
      </c>
      <c r="D481" s="312" t="s">
        <v>3815</v>
      </c>
      <c r="E481" s="312" t="s">
        <v>3813</v>
      </c>
      <c r="F481" s="298" t="s">
        <v>8911</v>
      </c>
      <c r="G481" s="312" t="s">
        <v>11584</v>
      </c>
      <c r="H481" s="2187" t="s">
        <v>12276</v>
      </c>
      <c r="I481" s="321"/>
      <c r="J481" s="321"/>
      <c r="K481" s="321"/>
      <c r="L481" s="321"/>
    </row>
    <row r="482" spans="2:12" x14ac:dyDescent="0.2">
      <c r="B482" s="359" t="str">
        <f t="shared" si="31"/>
        <v>Buts contre</v>
      </c>
      <c r="C482" s="312" t="str">
        <f t="shared" si="32"/>
        <v>N_GoalsConceded</v>
      </c>
      <c r="D482" s="312" t="s">
        <v>12659</v>
      </c>
      <c r="E482" s="312" t="s">
        <v>12660</v>
      </c>
      <c r="F482" s="298" t="s">
        <v>8912</v>
      </c>
      <c r="G482" s="312" t="s">
        <v>11585</v>
      </c>
      <c r="H482" s="2187" t="s">
        <v>12277</v>
      </c>
      <c r="I482" s="321"/>
      <c r="J482" s="321"/>
      <c r="K482" s="321"/>
      <c r="L482" s="321"/>
    </row>
    <row r="483" spans="2:12" x14ac:dyDescent="0.2">
      <c r="B483" s="359" t="str">
        <f t="shared" si="31"/>
        <v>Matches joués</v>
      </c>
      <c r="C483" s="312" t="str">
        <f t="shared" si="32"/>
        <v>N_Nb_Matches</v>
      </c>
      <c r="D483" s="312" t="s">
        <v>12661</v>
      </c>
      <c r="E483" s="312" t="s">
        <v>3814</v>
      </c>
      <c r="F483" s="298" t="s">
        <v>8909</v>
      </c>
      <c r="G483" s="312" t="s">
        <v>11978</v>
      </c>
      <c r="H483" s="2187" t="s">
        <v>12664</v>
      </c>
      <c r="I483" s="321"/>
      <c r="J483" s="321"/>
      <c r="K483" s="321"/>
      <c r="L483" s="321"/>
    </row>
    <row r="484" spans="2:12" ht="17.25" customHeight="1" x14ac:dyDescent="0.2">
      <c r="B484" s="359" t="str">
        <f t="shared" si="31"/>
        <v>Feuille de route des joueurs</v>
      </c>
      <c r="C484" s="312" t="str">
        <f t="shared" si="32"/>
        <v>N_PlayerTimeline</v>
      </c>
      <c r="D484" s="312" t="s">
        <v>7851</v>
      </c>
      <c r="E484" s="312" t="s">
        <v>7852</v>
      </c>
      <c r="F484" s="298" t="s">
        <v>9288</v>
      </c>
      <c r="G484" s="312" t="s">
        <v>11979</v>
      </c>
      <c r="H484" s="2187" t="s">
        <v>12665</v>
      </c>
      <c r="I484" s="321"/>
      <c r="J484" s="321"/>
      <c r="K484" s="321"/>
      <c r="L484" s="321"/>
    </row>
    <row r="485" spans="2:12" x14ac:dyDescent="0.2">
      <c r="B485" s="359" t="str">
        <f t="shared" si="31"/>
        <v>Arbitre</v>
      </c>
      <c r="C485" s="312" t="str">
        <f t="shared" si="32"/>
        <v>N_Refer</v>
      </c>
      <c r="D485" s="312" t="s">
        <v>768</v>
      </c>
      <c r="E485" s="312" t="s">
        <v>1536</v>
      </c>
      <c r="F485" s="298" t="s">
        <v>8901</v>
      </c>
      <c r="G485" s="312" t="s">
        <v>8901</v>
      </c>
      <c r="H485" s="2187" t="s">
        <v>768</v>
      </c>
      <c r="I485" s="321"/>
      <c r="J485" s="321"/>
      <c r="K485" s="321"/>
      <c r="L485" s="321"/>
    </row>
    <row r="486" spans="2:12" x14ac:dyDescent="0.2">
      <c r="B486" s="359" t="str">
        <f t="shared" si="31"/>
        <v>Joue</v>
      </c>
      <c r="C486" s="312" t="str">
        <f t="shared" si="32"/>
        <v>N_Play</v>
      </c>
      <c r="D486" s="312" t="s">
        <v>7853</v>
      </c>
      <c r="E486" s="312" t="s">
        <v>7854</v>
      </c>
      <c r="F486" s="303" t="s">
        <v>9289</v>
      </c>
      <c r="G486" s="312" t="s">
        <v>11980</v>
      </c>
      <c r="H486" s="2187" t="s">
        <v>11980</v>
      </c>
      <c r="I486" s="321"/>
      <c r="J486" s="321"/>
      <c r="K486" s="321"/>
      <c r="L486" s="321"/>
    </row>
    <row r="487" spans="2:12" ht="18" customHeight="1" x14ac:dyDescent="0.2">
      <c r="B487" s="359" t="str">
        <f t="shared" si="31"/>
        <v>Statistiques des joueurs</v>
      </c>
      <c r="C487" s="312" t="str">
        <f t="shared" si="32"/>
        <v>N_PlayerStatistics</v>
      </c>
      <c r="D487" s="312" t="s">
        <v>3816</v>
      </c>
      <c r="E487" s="312" t="s">
        <v>3817</v>
      </c>
      <c r="F487" s="298" t="s">
        <v>9290</v>
      </c>
      <c r="G487" s="312" t="s">
        <v>11981</v>
      </c>
      <c r="H487" s="2187" t="s">
        <v>12666</v>
      </c>
      <c r="I487" s="321"/>
      <c r="J487" s="321"/>
      <c r="K487" s="321"/>
      <c r="L487" s="321"/>
    </row>
    <row r="488" spans="2:12" ht="31.5" customHeight="1" x14ac:dyDescent="0.2">
      <c r="B488" s="359" t="str">
        <f t="shared" si="31"/>
        <v>Cette feuille présente le planning de chaque participant qu'il soit joueur ou arbitre.</v>
      </c>
      <c r="C488" s="312" t="str">
        <f t="shared" si="32"/>
        <v>N_TimelineDescription</v>
      </c>
      <c r="D488" s="312" t="s">
        <v>7849</v>
      </c>
      <c r="E488" s="312" t="s">
        <v>7850</v>
      </c>
      <c r="F488" s="298" t="s">
        <v>9291</v>
      </c>
      <c r="G488" s="312" t="s">
        <v>11982</v>
      </c>
      <c r="H488" s="2187" t="s">
        <v>12667</v>
      </c>
      <c r="I488" s="321"/>
      <c r="J488" s="321"/>
      <c r="K488" s="321"/>
      <c r="L488" s="321"/>
    </row>
    <row r="489" spans="2:12" ht="165.75" x14ac:dyDescent="0.2">
      <c r="B489" s="359" t="str">
        <f t="shared" si="31"/>
        <v>Cette feuille présente les statistiques des joueurs sur l'ensemble de la compétition. 
Elle permet d'établir, notamment, le classement du plus grand nombre de buts marqués sur une épreuve.</v>
      </c>
      <c r="C489" s="312" t="str">
        <f t="shared" si="32"/>
        <v>N_PlayerStatisticsDescription</v>
      </c>
      <c r="D489" s="312" t="s">
        <v>3818</v>
      </c>
      <c r="E489" s="312" t="s">
        <v>3819</v>
      </c>
      <c r="F489" s="298" t="s">
        <v>9292</v>
      </c>
      <c r="G489" s="312" t="s">
        <v>11983</v>
      </c>
      <c r="H489" s="2187" t="s">
        <v>12668</v>
      </c>
      <c r="I489" s="321"/>
      <c r="J489" s="321"/>
      <c r="K489" s="321"/>
      <c r="L489" s="321"/>
    </row>
    <row r="490" spans="2:12" ht="25.5" x14ac:dyDescent="0.2">
      <c r="B490" s="359" t="str">
        <f t="shared" si="31"/>
        <v>Laisser vide pour toutes les épreuves</v>
      </c>
      <c r="C490" s="312" t="str">
        <f t="shared" si="32"/>
        <v>N_Let_Empty_for_all</v>
      </c>
      <c r="D490" s="312" t="s">
        <v>3820</v>
      </c>
      <c r="E490" s="312" t="s">
        <v>3821</v>
      </c>
      <c r="F490" s="298" t="s">
        <v>9293</v>
      </c>
      <c r="G490" s="312" t="s">
        <v>11984</v>
      </c>
      <c r="H490" s="2187" t="s">
        <v>12669</v>
      </c>
      <c r="I490" s="321"/>
      <c r="J490" s="321"/>
      <c r="K490" s="321"/>
      <c r="L490" s="321"/>
    </row>
    <row r="491" spans="2:12" ht="42" customHeight="1" x14ac:dyDescent="0.2">
      <c r="B491" s="359" t="str">
        <f t="shared" si="31"/>
        <v xml:space="preserve">Liste des différentes épreuves de la compétition (noms et couleurs). Laisser vide pour la valeur par défaut. </v>
      </c>
      <c r="C491" s="312" t="str">
        <f t="shared" si="32"/>
        <v>N_Events</v>
      </c>
      <c r="D491" s="312" t="s">
        <v>3830</v>
      </c>
      <c r="E491" s="312" t="s">
        <v>3831</v>
      </c>
      <c r="F491" s="298" t="s">
        <v>9294</v>
      </c>
      <c r="G491" s="312" t="s">
        <v>11985</v>
      </c>
      <c r="H491" s="2187" t="s">
        <v>12670</v>
      </c>
      <c r="I491" s="321"/>
      <c r="J491" s="321"/>
      <c r="K491" s="321"/>
      <c r="L491" s="321"/>
    </row>
    <row r="492" spans="2:12" ht="25.5" x14ac:dyDescent="0.2">
      <c r="B492" s="359" t="str">
        <f t="shared" si="31"/>
        <v>Type de l'épreuve</v>
      </c>
      <c r="C492" s="312" t="str">
        <f t="shared" si="32"/>
        <v>N_Event_Type</v>
      </c>
      <c r="D492" s="312" t="s">
        <v>3828</v>
      </c>
      <c r="E492" s="312" t="s">
        <v>3829</v>
      </c>
      <c r="F492" s="298" t="s">
        <v>9295</v>
      </c>
      <c r="G492" s="312" t="s">
        <v>11986</v>
      </c>
      <c r="H492" s="2187" t="s">
        <v>12671</v>
      </c>
      <c r="I492" s="321"/>
      <c r="J492" s="321"/>
      <c r="K492" s="321"/>
      <c r="L492" s="321"/>
    </row>
    <row r="493" spans="2:12" ht="25.5" x14ac:dyDescent="0.2">
      <c r="B493" s="359" t="str">
        <f t="shared" si="31"/>
        <v>Score à la mi-temps</v>
      </c>
      <c r="C493" s="312" t="str">
        <f t="shared" si="32"/>
        <v>N_HalfTimeScore</v>
      </c>
      <c r="D493" s="312" t="s">
        <v>3906</v>
      </c>
      <c r="E493" s="312" t="s">
        <v>3907</v>
      </c>
      <c r="F493" s="298" t="s">
        <v>9296</v>
      </c>
      <c r="G493" s="312" t="s">
        <v>11987</v>
      </c>
      <c r="H493" s="2187" t="s">
        <v>12672</v>
      </c>
      <c r="I493" s="321"/>
      <c r="J493" s="321"/>
      <c r="K493" s="321"/>
      <c r="L493" s="321"/>
    </row>
    <row r="494" spans="2:12" ht="51" x14ac:dyDescent="0.2">
      <c r="B494" s="359" t="str">
        <f t="shared" si="31"/>
        <v>Opération annulée. Vous devez créer une compétition avant.</v>
      </c>
      <c r="C494" s="312" t="str">
        <f t="shared" si="32"/>
        <v>N_CreateEventBefore</v>
      </c>
      <c r="D494" s="312" t="s">
        <v>4035</v>
      </c>
      <c r="E494" s="312" t="s">
        <v>4036</v>
      </c>
      <c r="F494" s="298" t="s">
        <v>9297</v>
      </c>
      <c r="G494" s="312" t="s">
        <v>11988</v>
      </c>
      <c r="H494" s="2187" t="s">
        <v>12673</v>
      </c>
      <c r="I494" s="321"/>
      <c r="J494" s="321"/>
      <c r="K494" s="321"/>
      <c r="L494" s="321"/>
    </row>
    <row r="495" spans="2:12" x14ac:dyDescent="0.2">
      <c r="B495" s="359" t="str">
        <f t="shared" si="31"/>
        <v>[---Forfait---]</v>
      </c>
      <c r="C495" s="312" t="str">
        <f t="shared" si="32"/>
        <v>N_Withdraw</v>
      </c>
      <c r="D495" s="312" t="s">
        <v>4039</v>
      </c>
      <c r="E495" s="312" t="s">
        <v>2828</v>
      </c>
      <c r="F495" s="298" t="s">
        <v>9298</v>
      </c>
      <c r="G495" s="312" t="s">
        <v>11989</v>
      </c>
      <c r="H495" s="2187" t="s">
        <v>11989</v>
      </c>
      <c r="I495" s="321"/>
      <c r="J495" s="321"/>
      <c r="K495" s="321"/>
      <c r="L495" s="321"/>
    </row>
    <row r="496" spans="2:12" ht="25.5" x14ac:dyDescent="0.2">
      <c r="B496" s="359" t="str">
        <f t="shared" si="31"/>
        <v>Non encore défini</v>
      </c>
      <c r="C496" s="312" t="str">
        <f t="shared" si="32"/>
        <v>N_ToBeDrawn</v>
      </c>
      <c r="D496" s="312" t="s">
        <v>5393</v>
      </c>
      <c r="E496" s="312" t="s">
        <v>5392</v>
      </c>
      <c r="F496" s="303" t="s">
        <v>9299</v>
      </c>
      <c r="G496" s="312" t="s">
        <v>11990</v>
      </c>
      <c r="H496" s="2187" t="s">
        <v>12674</v>
      </c>
      <c r="I496" s="321"/>
      <c r="J496" s="321"/>
      <c r="K496" s="321"/>
      <c r="L496" s="321"/>
    </row>
    <row r="497" spans="2:12" x14ac:dyDescent="0.2">
      <c r="B497" s="359" t="str">
        <f t="shared" si="31"/>
        <v>Tirage</v>
      </c>
      <c r="C497" s="312" t="str">
        <f t="shared" si="32"/>
        <v>N_Drawing</v>
      </c>
      <c r="D497" s="312" t="s">
        <v>785</v>
      </c>
      <c r="E497" s="312" t="s">
        <v>1601</v>
      </c>
      <c r="F497" s="298" t="s">
        <v>8906</v>
      </c>
      <c r="G497" s="312" t="s">
        <v>11582</v>
      </c>
      <c r="H497" s="2187" t="s">
        <v>12274</v>
      </c>
      <c r="I497" s="321"/>
      <c r="J497" s="321"/>
      <c r="K497" s="321"/>
      <c r="L497" s="321"/>
    </row>
    <row r="498" spans="2:12" ht="25.5" x14ac:dyDescent="0.2">
      <c r="B498" s="359" t="str">
        <f t="shared" si="31"/>
        <v>Participants Classement</v>
      </c>
      <c r="C498" s="312" t="str">
        <f t="shared" si="32"/>
        <v>N_ParticipantsRanking</v>
      </c>
      <c r="D498" s="312" t="s">
        <v>5394</v>
      </c>
      <c r="E498" s="312" t="s">
        <v>5388</v>
      </c>
      <c r="F498" s="298" t="s">
        <v>9300</v>
      </c>
      <c r="G498" s="312" t="s">
        <v>11991</v>
      </c>
      <c r="H498" s="2187" t="s">
        <v>12675</v>
      </c>
      <c r="I498" s="321"/>
      <c r="J498" s="321"/>
      <c r="K498" s="321"/>
      <c r="L498" s="321"/>
    </row>
    <row r="499" spans="2:12" ht="15.75" customHeight="1" x14ac:dyDescent="0.2">
      <c r="B499" s="359" t="str">
        <f t="shared" si="31"/>
        <v>Participants Alphabétique</v>
      </c>
      <c r="C499" s="312" t="str">
        <f t="shared" si="32"/>
        <v>N_ParticipantsAlphabeticals</v>
      </c>
      <c r="D499" s="312" t="s">
        <v>5395</v>
      </c>
      <c r="E499" s="312" t="s">
        <v>5389</v>
      </c>
      <c r="F499" s="298" t="s">
        <v>9301</v>
      </c>
      <c r="G499" s="312" t="s">
        <v>11992</v>
      </c>
      <c r="H499" s="2187" t="s">
        <v>12676</v>
      </c>
      <c r="I499" s="321"/>
      <c r="J499" s="321"/>
      <c r="K499" s="321"/>
      <c r="L499" s="321"/>
    </row>
    <row r="500" spans="2:12" ht="28.5" customHeight="1" x14ac:dyDescent="0.2">
      <c r="B500" s="359" t="str">
        <f t="shared" si="31"/>
        <v>Format des cellules avec formule modifiables par l'utilisateur</v>
      </c>
      <c r="C500" s="312" t="str">
        <f t="shared" si="32"/>
        <v>N_ConditionalFormatLabel</v>
      </c>
      <c r="D500" s="312" t="s">
        <v>5460</v>
      </c>
      <c r="E500" s="312" t="s">
        <v>5461</v>
      </c>
      <c r="F500" s="298" t="s">
        <v>9302</v>
      </c>
      <c r="G500" s="312" t="s">
        <v>11993</v>
      </c>
      <c r="H500" s="2187" t="s">
        <v>12677</v>
      </c>
      <c r="I500" s="321"/>
      <c r="J500" s="321"/>
      <c r="K500" s="321"/>
      <c r="L500" s="321"/>
    </row>
    <row r="501" spans="2:12" ht="63.75" x14ac:dyDescent="0.2">
      <c r="B501" s="359" t="str">
        <f t="shared" si="31"/>
        <v>Validation impossible car il reste des tirages au sort à effectuer.</v>
      </c>
      <c r="C501" s="312" t="str">
        <f t="shared" si="32"/>
        <v>N_ToBeDrawnLeft</v>
      </c>
      <c r="D501" s="312" t="s">
        <v>5465</v>
      </c>
      <c r="E501" s="312" t="s">
        <v>5466</v>
      </c>
      <c r="F501" s="298" t="s">
        <v>9303</v>
      </c>
      <c r="G501" s="312" t="s">
        <v>11994</v>
      </c>
      <c r="H501" s="2187" t="s">
        <v>12678</v>
      </c>
      <c r="I501" s="321"/>
      <c r="J501" s="321"/>
      <c r="K501" s="321"/>
      <c r="L501" s="321"/>
    </row>
    <row r="502" spans="2:12" ht="63.75" x14ac:dyDescent="0.2">
      <c r="B502" s="359" t="str">
        <f t="shared" si="31"/>
        <v>Vous êtes sur le point de supprimer la feuille de calcul ! Merci de bien vouloir confirmer.</v>
      </c>
      <c r="C502" s="312" t="str">
        <f t="shared" si="32"/>
        <v>N_ConfirmDeleteSheet</v>
      </c>
      <c r="D502" s="312" t="s">
        <v>5467</v>
      </c>
      <c r="E502" s="312" t="s">
        <v>5468</v>
      </c>
      <c r="F502" s="298" t="s">
        <v>9304</v>
      </c>
      <c r="G502" s="312" t="s">
        <v>11995</v>
      </c>
      <c r="H502" s="2187" t="s">
        <v>12679</v>
      </c>
      <c r="I502" s="321"/>
      <c r="J502" s="321"/>
      <c r="K502" s="321"/>
      <c r="L502" s="321"/>
    </row>
    <row r="503" spans="2:12" ht="15.75" customHeight="1" x14ac:dyDescent="0.2">
      <c r="B503" s="359" t="str">
        <f t="shared" si="31"/>
        <v>Confirmation de suppression</v>
      </c>
      <c r="C503" s="312" t="str">
        <f t="shared" si="32"/>
        <v>N_ConfirmDeletion</v>
      </c>
      <c r="D503" s="312" t="s">
        <v>5469</v>
      </c>
      <c r="E503" s="312" t="s">
        <v>5470</v>
      </c>
      <c r="F503" s="298" t="s">
        <v>9305</v>
      </c>
      <c r="G503" s="312" t="s">
        <v>11996</v>
      </c>
      <c r="H503" s="2187" t="s">
        <v>12680</v>
      </c>
      <c r="I503" s="321"/>
      <c r="J503" s="321"/>
      <c r="K503" s="321"/>
      <c r="L503" s="321"/>
    </row>
    <row r="504" spans="2:12" ht="102" x14ac:dyDescent="0.2">
      <c r="B504" s="359" t="str">
        <f t="shared" si="31"/>
        <v>Dans les phases de poules par équipe, en cas d'égalité en matches gagnés, l'équipe ayant le plus de joueurs forfaits perd le match.</v>
      </c>
      <c r="C504" s="312" t="str">
        <f t="shared" si="32"/>
        <v>N_NoDrawWithWithdraw</v>
      </c>
      <c r="D504" s="312" t="s">
        <v>5472</v>
      </c>
      <c r="E504" s="312" t="s">
        <v>5473</v>
      </c>
      <c r="F504" s="298" t="s">
        <v>9306</v>
      </c>
      <c r="G504" s="312" t="s">
        <v>11997</v>
      </c>
      <c r="H504" s="2187" t="s">
        <v>12681</v>
      </c>
      <c r="I504" s="321"/>
      <c r="J504" s="321"/>
      <c r="K504" s="321"/>
      <c r="L504" s="321"/>
    </row>
    <row r="505" spans="2:12" ht="39.75" customHeight="1" x14ac:dyDescent="0.2">
      <c r="B505" s="359" t="str">
        <f t="shared" si="31"/>
        <v>Label pour signifier un joueur forfait. Conseil : laisser la formule pour profiter du multilinguisme.</v>
      </c>
      <c r="C505" s="312" t="str">
        <f t="shared" si="32"/>
        <v>N_ModifyingWithDrawLabel</v>
      </c>
      <c r="D505" s="312" t="s">
        <v>5474</v>
      </c>
      <c r="E505" s="312" t="s">
        <v>5475</v>
      </c>
      <c r="F505" s="298" t="s">
        <v>9307</v>
      </c>
      <c r="G505" s="312" t="s">
        <v>11998</v>
      </c>
      <c r="H505" s="2187" t="s">
        <v>12682</v>
      </c>
      <c r="I505" s="321"/>
      <c r="J505" s="321"/>
      <c r="K505" s="321"/>
      <c r="L505" s="321"/>
    </row>
    <row r="506" spans="2:12" x14ac:dyDescent="0.2">
      <c r="B506" s="359" t="str">
        <f t="shared" si="31"/>
        <v>Série</v>
      </c>
      <c r="C506" s="312" t="str">
        <f t="shared" si="32"/>
        <v>N_Row</v>
      </c>
      <c r="D506" s="312" t="s">
        <v>2417</v>
      </c>
      <c r="E506" s="312" t="s">
        <v>5506</v>
      </c>
      <c r="F506" s="298" t="s">
        <v>9308</v>
      </c>
      <c r="G506" s="312" t="s">
        <v>11999</v>
      </c>
      <c r="H506" s="2187" t="s">
        <v>11999</v>
      </c>
      <c r="I506" s="321"/>
      <c r="J506" s="321"/>
      <c r="K506" s="321"/>
      <c r="L506" s="321"/>
    </row>
    <row r="507" spans="2:12" x14ac:dyDescent="0.2">
      <c r="B507" s="359" t="str">
        <f t="shared" si="31"/>
        <v>PLANNING</v>
      </c>
      <c r="C507" s="312" t="str">
        <f t="shared" si="32"/>
        <v>N_PlanningTitle</v>
      </c>
      <c r="D507" s="312" t="s">
        <v>829</v>
      </c>
      <c r="E507" s="312" t="s">
        <v>829</v>
      </c>
      <c r="F507" s="298" t="s">
        <v>829</v>
      </c>
      <c r="G507" s="312" t="s">
        <v>829</v>
      </c>
      <c r="H507" s="2187" t="s">
        <v>829</v>
      </c>
      <c r="I507" s="321"/>
      <c r="J507" s="321"/>
      <c r="K507" s="321"/>
      <c r="L507" s="321"/>
    </row>
    <row r="508" spans="2:12" ht="63.75" x14ac:dyDescent="0.2">
      <c r="B508" s="359" t="str">
        <f t="shared" si="31"/>
        <v>Vous devez sélectionner un et un seul joueur dans la liste "Participants Classement".</v>
      </c>
      <c r="C508" s="312" t="str">
        <f t="shared" si="32"/>
        <v>N_DrawPlayerSelection</v>
      </c>
      <c r="D508" s="312" t="str">
        <f>"Vous devez sélectionner un et un seul joueur dans la liste """ &amp; N_ParticipantsRanking &amp; """."</f>
        <v>Vous devez sélectionner un et un seul joueur dans la liste "Participants Classement".</v>
      </c>
      <c r="E508" s="312" t="str">
        <f>"You must select one and only one player in the """ &amp; N_ParticipantsRanking &amp; """ list."</f>
        <v>You must select one and only one player in the "Participants Classement" list.</v>
      </c>
      <c r="F508" s="303" t="s">
        <v>9309</v>
      </c>
      <c r="G508" s="312" t="s">
        <v>12000</v>
      </c>
      <c r="H508" s="2187" t="s">
        <v>12683</v>
      </c>
      <c r="I508" s="321"/>
      <c r="J508" s="321"/>
      <c r="K508" s="321"/>
      <c r="L508" s="321"/>
    </row>
    <row r="509" spans="2:12" ht="16.5" customHeight="1" x14ac:dyDescent="0.2">
      <c r="B509" s="359" t="str">
        <f t="shared" si="31"/>
        <v>Assigner Arbitres</v>
      </c>
      <c r="C509" s="312" t="str">
        <f t="shared" si="32"/>
        <v>N_AssignReferees</v>
      </c>
      <c r="D509" s="312" t="s">
        <v>7204</v>
      </c>
      <c r="E509" s="312" t="s">
        <v>7205</v>
      </c>
      <c r="F509" s="298" t="s">
        <v>9310</v>
      </c>
      <c r="G509" s="312" t="s">
        <v>12001</v>
      </c>
      <c r="H509" s="2187" t="s">
        <v>12684</v>
      </c>
      <c r="I509" s="321"/>
      <c r="J509" s="321"/>
      <c r="K509" s="321"/>
      <c r="L509" s="321"/>
    </row>
    <row r="510" spans="2:12" ht="28.5" customHeight="1" x14ac:dyDescent="0.2">
      <c r="B510" s="359" t="str">
        <f t="shared" si="31"/>
        <v xml:space="preserve">Les lignes sélectionnées sont en dehors de la zone du planning. </v>
      </c>
      <c r="C510" s="312" t="str">
        <f t="shared" si="32"/>
        <v>N_SelectionOutsidePlanning</v>
      </c>
      <c r="D510" s="312" t="s">
        <v>7188</v>
      </c>
      <c r="E510" s="312" t="s">
        <v>7189</v>
      </c>
      <c r="F510" s="298" t="s">
        <v>9311</v>
      </c>
      <c r="G510" s="312" t="s">
        <v>12002</v>
      </c>
      <c r="H510" s="2187" t="s">
        <v>12685</v>
      </c>
      <c r="I510" s="321"/>
      <c r="J510" s="321"/>
      <c r="K510" s="321"/>
      <c r="L510" s="321"/>
    </row>
    <row r="511" spans="2:12" ht="51" x14ac:dyDescent="0.2">
      <c r="B511" s="359" t="str">
        <f t="shared" si="31"/>
        <v>La sélection ne peut porter que sur des lignes d'une même session.</v>
      </c>
      <c r="C511" s="312" t="str">
        <f t="shared" si="32"/>
        <v>N_SelectionOnOneSession</v>
      </c>
      <c r="D511" s="312" t="s">
        <v>7190</v>
      </c>
      <c r="E511" s="312" t="s">
        <v>7191</v>
      </c>
      <c r="F511" s="298" t="s">
        <v>9312</v>
      </c>
      <c r="G511" s="312" t="s">
        <v>12003</v>
      </c>
      <c r="H511" s="2187" t="s">
        <v>12686</v>
      </c>
      <c r="I511" s="321"/>
      <c r="J511" s="321"/>
      <c r="K511" s="321"/>
      <c r="L511" s="321"/>
    </row>
    <row r="512" spans="2:12" ht="28.5" customHeight="1" x14ac:dyDescent="0.2">
      <c r="B512" s="359" t="str">
        <f t="shared" si="31"/>
        <v xml:space="preserve">Confirmez-vous la désignation des arbitres pour l'ensemble de la session </v>
      </c>
      <c r="C512" s="312" t="str">
        <f t="shared" si="32"/>
        <v>N_ConfirmOneSession</v>
      </c>
      <c r="D512" s="312" t="s">
        <v>7192</v>
      </c>
      <c r="E512" s="312" t="s">
        <v>7193</v>
      </c>
      <c r="F512" s="298" t="s">
        <v>9313</v>
      </c>
      <c r="G512" s="312" t="s">
        <v>12004</v>
      </c>
      <c r="H512" s="2187" t="s">
        <v>12687</v>
      </c>
      <c r="I512" s="321"/>
      <c r="J512" s="321"/>
      <c r="K512" s="321"/>
      <c r="L512" s="321"/>
    </row>
    <row r="513" spans="2:12" ht="63.75" x14ac:dyDescent="0.2">
      <c r="B513" s="359" t="str">
        <f t="shared" si="31"/>
        <v>Confirmez-vous la désignation des arbitres pour les lignes sélectionnées ?</v>
      </c>
      <c r="C513" s="312" t="str">
        <f t="shared" si="32"/>
        <v>N_ConfirmRefereeSelection</v>
      </c>
      <c r="D513" s="312" t="s">
        <v>7194</v>
      </c>
      <c r="E513" s="312" t="s">
        <v>7195</v>
      </c>
      <c r="F513" s="298" t="s">
        <v>9314</v>
      </c>
      <c r="G513" s="312" t="s">
        <v>12005</v>
      </c>
      <c r="H513" s="2187" t="s">
        <v>12688</v>
      </c>
      <c r="I513" s="321"/>
      <c r="J513" s="321"/>
      <c r="K513" s="321"/>
      <c r="L513" s="321"/>
    </row>
    <row r="514" spans="2:12" ht="19.5" customHeight="1" x14ac:dyDescent="0.2">
      <c r="B514" s="359" t="str">
        <f t="shared" si="31"/>
        <v>Catégories d'arbitres exclues</v>
      </c>
      <c r="C514" s="312" t="str">
        <f t="shared" si="32"/>
        <v>N_DefaultRefereesCategories</v>
      </c>
      <c r="D514" s="312" t="s">
        <v>7198</v>
      </c>
      <c r="E514" s="312" t="s">
        <v>7199</v>
      </c>
      <c r="F514" s="298" t="s">
        <v>9315</v>
      </c>
      <c r="G514" s="312" t="s">
        <v>12006</v>
      </c>
      <c r="H514" s="2187" t="s">
        <v>12698</v>
      </c>
      <c r="I514" s="321"/>
      <c r="J514" s="321"/>
      <c r="K514" s="321"/>
      <c r="L514" s="321"/>
    </row>
    <row r="515" spans="2:12" ht="102" x14ac:dyDescent="0.2">
      <c r="B515" s="359" t="str">
        <f t="shared" si="31"/>
        <v xml:space="preserve">Voulez-vous traiter les matches de TOUT le planning plutôt que les matches de la session actuellement sélectionnée : </v>
      </c>
      <c r="C515" s="312" t="str">
        <f t="shared" si="32"/>
        <v>N_ConfirmFullPlanning</v>
      </c>
      <c r="D515" s="312" t="s">
        <v>7200</v>
      </c>
      <c r="E515" s="312" t="s">
        <v>7201</v>
      </c>
      <c r="F515" s="298" t="s">
        <v>9316</v>
      </c>
      <c r="G515" s="312" t="s">
        <v>12007</v>
      </c>
      <c r="H515" s="2187" t="s">
        <v>12699</v>
      </c>
      <c r="I515" s="321"/>
      <c r="J515" s="321"/>
      <c r="K515" s="321"/>
      <c r="L515" s="321"/>
    </row>
    <row r="516" spans="2:12" ht="17.25" customHeight="1" x14ac:dyDescent="0.2">
      <c r="B516" s="359" t="str">
        <f t="shared" si="31"/>
        <v>Intervertir Arbitres</v>
      </c>
      <c r="C516" s="312" t="str">
        <f t="shared" si="32"/>
        <v>N_SwitchReferees</v>
      </c>
      <c r="D516" s="312" t="s">
        <v>7202</v>
      </c>
      <c r="E516" s="312" t="s">
        <v>7203</v>
      </c>
      <c r="F516" s="298" t="s">
        <v>9317</v>
      </c>
      <c r="G516" s="312" t="s">
        <v>12008</v>
      </c>
      <c r="H516" s="2187" t="s">
        <v>12700</v>
      </c>
      <c r="I516" s="321"/>
      <c r="J516" s="321"/>
      <c r="K516" s="321"/>
      <c r="L516" s="321"/>
    </row>
    <row r="517" spans="2:12" ht="41.25" customHeight="1" x14ac:dyDescent="0.2">
      <c r="B517" s="359" t="str">
        <f t="shared" si="31"/>
        <v>Mauvaise sélection; Cette opération nécessite de sélectionner uniquement 2 cellules d'arbitres à interchanger.</v>
      </c>
      <c r="C517" s="312" t="str">
        <f t="shared" si="32"/>
        <v>N_BadSwitchRefereesSelection</v>
      </c>
      <c r="D517" s="312" t="s">
        <v>7206</v>
      </c>
      <c r="E517" s="312" t="s">
        <v>7207</v>
      </c>
      <c r="F517" s="298" t="s">
        <v>9318</v>
      </c>
      <c r="G517" s="312" t="s">
        <v>12009</v>
      </c>
      <c r="H517" s="2187" t="s">
        <v>12701</v>
      </c>
      <c r="I517" s="321"/>
      <c r="J517" s="321"/>
      <c r="K517" s="321"/>
      <c r="L517" s="321"/>
    </row>
    <row r="518" spans="2:12" ht="76.5" x14ac:dyDescent="0.2">
      <c r="B518" s="359" t="str">
        <f t="shared" si="31"/>
        <v>Les cellules sélectionnées sont en tout ou partie en dehors de la zone du planning.</v>
      </c>
      <c r="C518" s="312" t="str">
        <f t="shared" si="32"/>
        <v>N_BadSwitchRefereesPlanning</v>
      </c>
      <c r="D518" s="312" t="s">
        <v>7208</v>
      </c>
      <c r="E518" s="312" t="s">
        <v>7209</v>
      </c>
      <c r="F518" s="298" t="s">
        <v>9319</v>
      </c>
      <c r="G518" s="312" t="s">
        <v>12010</v>
      </c>
      <c r="H518" s="2187" t="s">
        <v>12702</v>
      </c>
      <c r="I518" s="321"/>
      <c r="J518" s="321"/>
      <c r="K518" s="321"/>
      <c r="L518" s="321"/>
    </row>
    <row r="519" spans="2:12" ht="51" x14ac:dyDescent="0.2">
      <c r="B519" s="359" t="str">
        <f t="shared" si="31"/>
        <v>Les cellules sélectionnées ne peuvent être sur des sessions.</v>
      </c>
      <c r="C519" s="312" t="str">
        <f t="shared" si="32"/>
        <v>N_BadSwitchRefereesSession</v>
      </c>
      <c r="D519" s="312" t="s">
        <v>7210</v>
      </c>
      <c r="E519" s="312" t="s">
        <v>7211</v>
      </c>
      <c r="F519" s="298" t="s">
        <v>9320</v>
      </c>
      <c r="G519" s="312" t="s">
        <v>12011</v>
      </c>
      <c r="H519" s="2187" t="s">
        <v>12703</v>
      </c>
      <c r="I519" s="321"/>
      <c r="J519" s="321"/>
      <c r="K519" s="321"/>
      <c r="L519" s="321"/>
    </row>
    <row r="520" spans="2:12" ht="51" x14ac:dyDescent="0.2">
      <c r="B520" s="359" t="str">
        <f t="shared" si="31"/>
        <v>L'échange ne peut se faire que sur 2 arbitres d'une même session.</v>
      </c>
      <c r="C520" s="312" t="str">
        <f t="shared" si="32"/>
        <v>N_BadSwitchRefereesHour</v>
      </c>
      <c r="D520" s="312" t="s">
        <v>7213</v>
      </c>
      <c r="E520" s="312" t="s">
        <v>7212</v>
      </c>
      <c r="F520" s="298" t="s">
        <v>9321</v>
      </c>
      <c r="G520" s="312" t="s">
        <v>12012</v>
      </c>
      <c r="H520" s="2187" t="s">
        <v>12704</v>
      </c>
      <c r="I520" s="321"/>
      <c r="J520" s="321"/>
      <c r="K520" s="321"/>
      <c r="L520" s="321"/>
    </row>
    <row r="521" spans="2:12" ht="51" x14ac:dyDescent="0.2">
      <c r="B521" s="359" t="str">
        <f t="shared" si="31"/>
        <v>Nombre de matches déjà arbitrés supérieur ou égal à</v>
      </c>
      <c r="C521" s="312" t="str">
        <f t="shared" si="32"/>
        <v>N_NbMaxRefereing</v>
      </c>
      <c r="D521" s="312" t="s">
        <v>7248</v>
      </c>
      <c r="E521" s="312" t="s">
        <v>7249</v>
      </c>
      <c r="F521" s="298" t="s">
        <v>9322</v>
      </c>
      <c r="G521" s="312" t="s">
        <v>12013</v>
      </c>
      <c r="H521" s="2187" t="s">
        <v>12705</v>
      </c>
      <c r="I521" s="321"/>
      <c r="J521" s="321"/>
      <c r="K521" s="321"/>
      <c r="L521" s="321"/>
    </row>
    <row r="522" spans="2:12" ht="38.25" x14ac:dyDescent="0.2">
      <c r="B522" s="359" t="str">
        <f t="shared" ref="B522:B567" si="33">HLOOKUP(Language,D$2:L$1113,ROW()-1,FALSE)</f>
        <v>Liste des catégories FISTF des joueurs</v>
      </c>
      <c r="C522" s="312" t="str">
        <f t="shared" si="32"/>
        <v>N_FISTF_Categories</v>
      </c>
      <c r="D522" s="312" t="s">
        <v>7232</v>
      </c>
      <c r="E522" s="312" t="s">
        <v>7233</v>
      </c>
      <c r="F522" s="298" t="s">
        <v>9323</v>
      </c>
      <c r="G522" s="312" t="s">
        <v>12014</v>
      </c>
      <c r="H522" s="2187" t="s">
        <v>12706</v>
      </c>
      <c r="I522" s="321"/>
      <c r="J522" s="321"/>
      <c r="K522" s="321"/>
      <c r="L522" s="321"/>
    </row>
    <row r="523" spans="2:12" x14ac:dyDescent="0.2">
      <c r="B523" s="359" t="str">
        <f t="shared" si="33"/>
        <v>Catégories FISTF</v>
      </c>
      <c r="C523" s="312" t="str">
        <f t="shared" si="32"/>
        <v>N_FISTF_Category_List</v>
      </c>
      <c r="D523" s="312" t="s">
        <v>7234</v>
      </c>
      <c r="E523" s="312" t="s">
        <v>7235</v>
      </c>
      <c r="F523" s="298" t="s">
        <v>9324</v>
      </c>
      <c r="G523" s="312" t="s">
        <v>12015</v>
      </c>
      <c r="H523" s="2187" t="s">
        <v>12707</v>
      </c>
      <c r="I523" s="321"/>
      <c r="J523" s="321"/>
      <c r="K523" s="321"/>
      <c r="L523" s="321"/>
    </row>
    <row r="524" spans="2:12" ht="38.25" x14ac:dyDescent="0.2">
      <c r="B524" s="359" t="str">
        <f t="shared" si="33"/>
        <v>Catégories de la compétition</v>
      </c>
      <c r="C524" s="312" t="str">
        <f t="shared" si="32"/>
        <v>N_Event_Category_List</v>
      </c>
      <c r="D524" s="312" t="s">
        <v>7237</v>
      </c>
      <c r="E524" s="312" t="s">
        <v>7236</v>
      </c>
      <c r="F524" s="298" t="s">
        <v>9325</v>
      </c>
      <c r="G524" s="312" t="s">
        <v>11705</v>
      </c>
      <c r="H524" s="2187" t="s">
        <v>12708</v>
      </c>
      <c r="I524" s="321"/>
      <c r="J524" s="321"/>
      <c r="K524" s="321"/>
      <c r="L524" s="321"/>
    </row>
    <row r="525" spans="2:12" ht="15.75" customHeight="1" x14ac:dyDescent="0.2">
      <c r="B525" s="359" t="str">
        <f t="shared" si="33"/>
        <v>Exclure ces catégories</v>
      </c>
      <c r="C525" s="312" t="str">
        <f t="shared" si="32"/>
        <v>N_ExcludeCategories</v>
      </c>
      <c r="D525" s="312" t="s">
        <v>7250</v>
      </c>
      <c r="E525" s="312" t="s">
        <v>7251</v>
      </c>
      <c r="F525" s="298" t="s">
        <v>9326</v>
      </c>
      <c r="G525" s="312" t="s">
        <v>12016</v>
      </c>
      <c r="H525" s="2187" t="s">
        <v>12709</v>
      </c>
      <c r="I525" s="321"/>
      <c r="J525" s="321"/>
      <c r="K525" s="321"/>
      <c r="L525" s="321"/>
    </row>
    <row r="526" spans="2:12" ht="38.25" x14ac:dyDescent="0.2">
      <c r="B526" s="359" t="str">
        <f t="shared" si="33"/>
        <v>Utiliser uniquement ces joueurs disqualifiés</v>
      </c>
      <c r="C526" s="312" t="str">
        <f t="shared" si="32"/>
        <v>N_UseDisqualified</v>
      </c>
      <c r="D526" s="312" t="s">
        <v>7253</v>
      </c>
      <c r="E526" s="312" t="s">
        <v>7252</v>
      </c>
      <c r="F526" s="298" t="s">
        <v>9327</v>
      </c>
      <c r="G526" s="312" t="s">
        <v>12017</v>
      </c>
      <c r="H526" s="2187" t="s">
        <v>12710</v>
      </c>
      <c r="I526" s="321"/>
      <c r="J526" s="321"/>
      <c r="K526" s="321"/>
      <c r="L526" s="321"/>
    </row>
    <row r="527" spans="2:12" ht="51" x14ac:dyDescent="0.2">
      <c r="B527" s="359" t="str">
        <f t="shared" si="33"/>
        <v>Exclude les joueurs ayant déjà arbitrer un nnombre de matches</v>
      </c>
      <c r="C527" s="312" t="str">
        <f t="shared" si="32"/>
        <v>N_AlreadyRefereed</v>
      </c>
      <c r="D527" s="312" t="s">
        <v>7255</v>
      </c>
      <c r="E527" s="312" t="s">
        <v>7254</v>
      </c>
      <c r="F527" s="298" t="s">
        <v>9328</v>
      </c>
      <c r="G527" s="312" t="s">
        <v>12018</v>
      </c>
      <c r="H527" s="2187" t="s">
        <v>12711</v>
      </c>
      <c r="I527" s="321"/>
      <c r="J527" s="321"/>
      <c r="K527" s="321"/>
      <c r="L527" s="321"/>
    </row>
    <row r="528" spans="2:12" ht="38.25" x14ac:dyDescent="0.2">
      <c r="B528" s="359" t="str">
        <f t="shared" si="33"/>
        <v>Utiliser aussi les critères d'exclusion par catégorie</v>
      </c>
      <c r="C528" s="312" t="str">
        <f t="shared" ref="C528:C592" si="34">NAMEOF(B528)</f>
        <v>N_UseCategories</v>
      </c>
      <c r="D528" s="312" t="s">
        <v>7261</v>
      </c>
      <c r="E528" s="312" t="s">
        <v>7260</v>
      </c>
      <c r="F528" s="298" t="s">
        <v>9329</v>
      </c>
      <c r="G528" s="312" t="s">
        <v>12019</v>
      </c>
      <c r="H528" s="2187" t="s">
        <v>12712</v>
      </c>
      <c r="I528" s="321"/>
      <c r="J528" s="321"/>
      <c r="K528" s="321"/>
      <c r="L528" s="321"/>
    </row>
    <row r="529" spans="2:12" ht="17.25" customHeight="1" x14ac:dyDescent="0.2">
      <c r="B529" s="359" t="str">
        <f t="shared" si="33"/>
        <v>Eliminés en …</v>
      </c>
      <c r="C529" s="312" t="str">
        <f t="shared" si="34"/>
        <v>N_DisqualifiedFrom</v>
      </c>
      <c r="D529" s="312" t="s">
        <v>7259</v>
      </c>
      <c r="E529" s="312" t="s">
        <v>7258</v>
      </c>
      <c r="F529" s="298" t="s">
        <v>9330</v>
      </c>
      <c r="G529" s="312" t="s">
        <v>12020</v>
      </c>
      <c r="H529" s="2187" t="s">
        <v>12713</v>
      </c>
      <c r="I529" s="321"/>
      <c r="J529" s="321"/>
      <c r="K529" s="321"/>
      <c r="L529" s="321"/>
    </row>
    <row r="530" spans="2:12" ht="17.25" customHeight="1" x14ac:dyDescent="0.2">
      <c r="B530" s="359" t="str">
        <f t="shared" si="33"/>
        <v>Compétition jouée</v>
      </c>
      <c r="C530" s="312" t="str">
        <f t="shared" si="34"/>
        <v>N_EventPlayed</v>
      </c>
      <c r="D530" s="312" t="s">
        <v>7257</v>
      </c>
      <c r="E530" s="312" t="s">
        <v>7256</v>
      </c>
      <c r="F530" s="298" t="s">
        <v>9331</v>
      </c>
      <c r="G530" s="312" t="s">
        <v>12021</v>
      </c>
      <c r="H530" s="2187" t="s">
        <v>12714</v>
      </c>
      <c r="I530" s="321"/>
      <c r="J530" s="321"/>
      <c r="K530" s="321"/>
      <c r="L530" s="321"/>
    </row>
    <row r="531" spans="2:12" ht="38.25" x14ac:dyDescent="0.2">
      <c r="B531" s="359" t="str">
        <f t="shared" si="33"/>
        <v>Exclure un nombre de matches déjà arbitrés</v>
      </c>
      <c r="C531" s="312" t="str">
        <f t="shared" si="34"/>
        <v>N_AlreadyRefereed_Title</v>
      </c>
      <c r="D531" s="312" t="s">
        <v>7263</v>
      </c>
      <c r="E531" s="312" t="s">
        <v>7262</v>
      </c>
      <c r="F531" s="298" t="s">
        <v>9332</v>
      </c>
      <c r="G531" s="312" t="s">
        <v>12022</v>
      </c>
      <c r="H531" s="2187" t="s">
        <v>12715</v>
      </c>
      <c r="I531" s="321"/>
      <c r="J531" s="321"/>
      <c r="K531" s="321"/>
      <c r="L531" s="321"/>
    </row>
    <row r="532" spans="2:12" ht="51" x14ac:dyDescent="0.2">
      <c r="B532" s="359" t="str">
        <f t="shared" si="33"/>
        <v>Aucun joueur disqualifié pour le moment selon les critères choisis</v>
      </c>
      <c r="C532" s="312" t="str">
        <f t="shared" si="34"/>
        <v>N_NoDisqualifiedForTheMoment</v>
      </c>
      <c r="D532" s="312" t="s">
        <v>7635</v>
      </c>
      <c r="E532" s="312" t="s">
        <v>7636</v>
      </c>
      <c r="F532" s="298" t="s">
        <v>9333</v>
      </c>
      <c r="G532" s="312" t="s">
        <v>12023</v>
      </c>
      <c r="H532" s="2187" t="s">
        <v>12023</v>
      </c>
      <c r="I532" s="321"/>
      <c r="J532" s="321"/>
      <c r="K532" s="321"/>
      <c r="L532" s="321"/>
    </row>
    <row r="533" spans="2:12" x14ac:dyDescent="0.2">
      <c r="B533" s="359" t="str">
        <f t="shared" si="33"/>
        <v>Nombre d'équipes</v>
      </c>
      <c r="C533" s="312" t="str">
        <f t="shared" si="34"/>
        <v>N_NbTeams</v>
      </c>
      <c r="D533" s="312" t="s">
        <v>7640</v>
      </c>
      <c r="E533" s="312" t="s">
        <v>7641</v>
      </c>
      <c r="F533" s="298" t="s">
        <v>9334</v>
      </c>
      <c r="G533" s="312" t="s">
        <v>12024</v>
      </c>
      <c r="H533" s="2187" t="s">
        <v>12716</v>
      </c>
      <c r="I533" s="321"/>
      <c r="J533" s="321"/>
      <c r="K533" s="321"/>
      <c r="L533" s="321"/>
    </row>
    <row r="534" spans="2:12" ht="25.5" x14ac:dyDescent="0.2">
      <c r="B534" s="359" t="str">
        <f t="shared" si="33"/>
        <v>… pour les individuels</v>
      </c>
      <c r="C534" s="312" t="str">
        <f t="shared" si="34"/>
        <v>N_RefForIndiv</v>
      </c>
      <c r="D534" s="312" t="s">
        <v>7642</v>
      </c>
      <c r="E534" s="312" t="s">
        <v>7644</v>
      </c>
      <c r="F534" s="298" t="s">
        <v>9335</v>
      </c>
      <c r="G534" s="312" t="s">
        <v>12025</v>
      </c>
      <c r="H534" s="2187" t="s">
        <v>12717</v>
      </c>
      <c r="I534" s="321"/>
      <c r="J534" s="321"/>
      <c r="K534" s="321"/>
      <c r="L534" s="321"/>
    </row>
    <row r="535" spans="2:12" ht="25.5" x14ac:dyDescent="0.2">
      <c r="B535" s="359" t="str">
        <f t="shared" si="33"/>
        <v>… pour le par équipe</v>
      </c>
      <c r="C535" s="312" t="str">
        <f t="shared" si="34"/>
        <v>N_RefForTeams</v>
      </c>
      <c r="D535" s="312" t="s">
        <v>7643</v>
      </c>
      <c r="E535" s="312" t="s">
        <v>7645</v>
      </c>
      <c r="F535" s="298" t="s">
        <v>9336</v>
      </c>
      <c r="G535" s="312" t="s">
        <v>12026</v>
      </c>
      <c r="H535" s="2187" t="s">
        <v>12718</v>
      </c>
      <c r="I535" s="321"/>
      <c r="J535" s="321"/>
      <c r="K535" s="321"/>
      <c r="L535" s="321"/>
    </row>
    <row r="536" spans="2:12" ht="63.75" x14ac:dyDescent="0.2">
      <c r="B536" s="359" t="str">
        <f t="shared" si="33"/>
        <v>Auncu match individuel ou par équipe =&gt; pas d'assignation automatique</v>
      </c>
      <c r="C536" s="312" t="str">
        <f t="shared" si="34"/>
        <v>N_NoIndivAndTeamMatch</v>
      </c>
      <c r="D536" s="312" t="s">
        <v>7646</v>
      </c>
      <c r="E536" s="312" t="s">
        <v>7647</v>
      </c>
      <c r="F536" s="298" t="s">
        <v>9337</v>
      </c>
      <c r="G536" s="312" t="s">
        <v>12027</v>
      </c>
      <c r="H536" s="2187" t="s">
        <v>12719</v>
      </c>
      <c r="I536" s="321"/>
      <c r="J536" s="321"/>
      <c r="K536" s="321"/>
      <c r="L536" s="321"/>
    </row>
    <row r="537" spans="2:12" ht="63.75" x14ac:dyDescent="0.2">
      <c r="B537" s="359" t="str">
        <f t="shared" si="33"/>
        <v>Vous devez sélectionner soit " … pour les individuels", soit "… pour le par équipe"</v>
      </c>
      <c r="C537" s="312" t="str">
        <f t="shared" si="34"/>
        <v>N_YouMustSelectIndivOrTeam</v>
      </c>
      <c r="D537" s="312" t="s">
        <v>7648</v>
      </c>
      <c r="E537" s="312" t="s">
        <v>11004</v>
      </c>
      <c r="F537" s="298" t="s">
        <v>9338</v>
      </c>
      <c r="G537" s="312" t="s">
        <v>12028</v>
      </c>
      <c r="H537" s="2187" t="s">
        <v>12720</v>
      </c>
      <c r="I537" s="321"/>
      <c r="J537" s="321"/>
      <c r="K537" s="321"/>
      <c r="L537" s="321"/>
    </row>
    <row r="538" spans="2:12" ht="27.75" customHeight="1" x14ac:dyDescent="0.2">
      <c r="B538" s="359" t="str">
        <f t="shared" si="33"/>
        <v>Les arbitres sélectionnés pour l'inversion ne sont pas du même type (individuel ou équipe)</v>
      </c>
      <c r="C538" s="312" t="str">
        <f t="shared" si="34"/>
        <v>N_NotSameTypeOfReferees</v>
      </c>
      <c r="D538" s="312" t="s">
        <v>7649</v>
      </c>
      <c r="E538" s="312" t="s">
        <v>7650</v>
      </c>
      <c r="F538" s="298" t="s">
        <v>9339</v>
      </c>
      <c r="G538" s="312" t="s">
        <v>12029</v>
      </c>
      <c r="H538" s="2187" t="s">
        <v>12721</v>
      </c>
      <c r="I538" s="321"/>
      <c r="J538" s="321"/>
      <c r="K538" s="321"/>
      <c r="L538" s="321"/>
    </row>
    <row r="539" spans="2:12" ht="22.5" customHeight="1" x14ac:dyDescent="0.2">
      <c r="B539" s="359" t="str">
        <f t="shared" si="33"/>
        <v>Liste des joueurs inscrits dans chaque équipe</v>
      </c>
      <c r="C539" s="312" t="str">
        <f t="shared" si="34"/>
        <v>N_TeamsRegisteredPlayers</v>
      </c>
      <c r="D539" s="312" t="s">
        <v>7843</v>
      </c>
      <c r="E539" s="312" t="s">
        <v>7844</v>
      </c>
      <c r="F539" s="298" t="s">
        <v>9340</v>
      </c>
      <c r="G539" s="312" t="s">
        <v>12030</v>
      </c>
      <c r="H539" s="2187" t="s">
        <v>12722</v>
      </c>
      <c r="I539" s="321"/>
      <c r="J539" s="321"/>
      <c r="K539" s="321"/>
      <c r="L539" s="321"/>
    </row>
    <row r="540" spans="2:12" ht="31.5" customHeight="1" x14ac:dyDescent="0.2">
      <c r="B540" s="359" t="str">
        <f t="shared" si="33"/>
        <v>Utiliser les codes S1 à S4 en fonction du N° de match concerné par le remplacement</v>
      </c>
      <c r="C540" s="312" t="str">
        <f t="shared" si="34"/>
        <v>N_SubstituteCodeRule</v>
      </c>
      <c r="D540" s="312" t="s">
        <v>7665</v>
      </c>
      <c r="E540" s="312" t="s">
        <v>7666</v>
      </c>
      <c r="F540" s="298" t="s">
        <v>9341</v>
      </c>
      <c r="G540" s="312" t="s">
        <v>12031</v>
      </c>
      <c r="H540" s="2187" t="s">
        <v>12723</v>
      </c>
      <c r="I540" s="321"/>
      <c r="J540" s="321"/>
      <c r="K540" s="321"/>
      <c r="L540" s="321"/>
    </row>
    <row r="541" spans="2:12" ht="12.75" customHeight="1" x14ac:dyDescent="0.2">
      <c r="B541" s="359" t="str">
        <f t="shared" si="33"/>
        <v>Remplir avec un "X"</v>
      </c>
      <c r="C541" s="312" t="str">
        <f t="shared" si="34"/>
        <v>N_FillWithX</v>
      </c>
      <c r="D541" s="312" t="s">
        <v>7668</v>
      </c>
      <c r="E541" s="312" t="s">
        <v>7669</v>
      </c>
      <c r="F541" s="303" t="s">
        <v>9342</v>
      </c>
      <c r="G541" s="312" t="s">
        <v>12032</v>
      </c>
      <c r="H541" s="2187" t="s">
        <v>12724</v>
      </c>
      <c r="I541" s="321"/>
      <c r="J541" s="321"/>
      <c r="K541" s="321"/>
      <c r="L541" s="321"/>
    </row>
    <row r="542" spans="2:12" ht="25.5" x14ac:dyDescent="0.2">
      <c r="B542" s="359" t="str">
        <f t="shared" si="33"/>
        <v>Afficher</v>
      </c>
      <c r="C542" s="312" t="str">
        <f t="shared" si="34"/>
        <v>N_Rib_TableDisplayDropDown</v>
      </c>
      <c r="D542" s="312" t="s">
        <v>7775</v>
      </c>
      <c r="E542" s="312" t="s">
        <v>7776</v>
      </c>
      <c r="F542" s="298" t="s">
        <v>9343</v>
      </c>
      <c r="G542" s="312" t="s">
        <v>11764</v>
      </c>
      <c r="H542" s="2187" t="s">
        <v>9343</v>
      </c>
      <c r="I542" s="321"/>
      <c r="J542" s="321"/>
      <c r="K542" s="321"/>
      <c r="L542" s="321"/>
    </row>
    <row r="543" spans="2:12" x14ac:dyDescent="0.2">
      <c r="B543" s="1509" t="str">
        <f t="shared" si="33"/>
        <v>Vide</v>
      </c>
      <c r="C543" s="312" t="str">
        <f t="shared" si="34"/>
        <v>N_Nothing</v>
      </c>
      <c r="D543" s="1510" t="s">
        <v>8770</v>
      </c>
      <c r="E543" s="1510" t="s">
        <v>8769</v>
      </c>
      <c r="F543" s="1572" t="s">
        <v>9344</v>
      </c>
      <c r="G543" s="1510" t="s">
        <v>3654</v>
      </c>
      <c r="H543" s="2189" t="s">
        <v>12725</v>
      </c>
      <c r="I543" s="1511"/>
      <c r="J543" s="1511"/>
      <c r="K543" s="1511"/>
      <c r="L543" s="1511"/>
    </row>
    <row r="544" spans="2:12" x14ac:dyDescent="0.2">
      <c r="B544" s="1512" t="str">
        <f t="shared" si="33"/>
        <v>Joueurs</v>
      </c>
      <c r="C544" s="312" t="str">
        <f t="shared" si="34"/>
        <v>N_Players</v>
      </c>
      <c r="D544" s="1513" t="s">
        <v>786</v>
      </c>
      <c r="E544" s="1513" t="s">
        <v>1543</v>
      </c>
      <c r="F544" s="1573" t="s">
        <v>8907</v>
      </c>
      <c r="G544" s="1513" t="s">
        <v>11583</v>
      </c>
      <c r="H544" s="2190" t="s">
        <v>12275</v>
      </c>
      <c r="I544" s="1514"/>
      <c r="J544" s="1514"/>
      <c r="K544" s="1514"/>
      <c r="L544" s="1514"/>
    </row>
    <row r="545" spans="2:12" x14ac:dyDescent="0.2">
      <c r="B545" s="1512" t="str">
        <f t="shared" si="33"/>
        <v>Arbitres</v>
      </c>
      <c r="C545" s="312" t="str">
        <f t="shared" si="34"/>
        <v>N_Referees</v>
      </c>
      <c r="D545" s="1513" t="s">
        <v>7777</v>
      </c>
      <c r="E545" s="1513" t="s">
        <v>7780</v>
      </c>
      <c r="F545" s="1573" t="s">
        <v>9345</v>
      </c>
      <c r="G545" s="1513" t="s">
        <v>12033</v>
      </c>
      <c r="H545" s="2190" t="s">
        <v>7777</v>
      </c>
      <c r="I545" s="1514"/>
      <c r="J545" s="1514"/>
      <c r="K545" s="1514"/>
      <c r="L545" s="1514"/>
    </row>
    <row r="546" spans="2:12" x14ac:dyDescent="0.2">
      <c r="B546" s="1515" t="str">
        <f t="shared" si="33"/>
        <v>Tours</v>
      </c>
      <c r="C546" s="312" t="str">
        <f t="shared" si="34"/>
        <v>N_Stages</v>
      </c>
      <c r="D546" s="1516" t="s">
        <v>7778</v>
      </c>
      <c r="E546" s="1516" t="s">
        <v>7779</v>
      </c>
      <c r="F546" s="1574" t="s">
        <v>7779</v>
      </c>
      <c r="G546" s="1516" t="s">
        <v>12034</v>
      </c>
      <c r="H546" s="2191" t="s">
        <v>12034</v>
      </c>
      <c r="I546" s="1517"/>
      <c r="J546" s="1517"/>
      <c r="K546" s="1517"/>
      <c r="L546" s="1517"/>
    </row>
    <row r="547" spans="2:12" x14ac:dyDescent="0.2">
      <c r="B547" s="1515" t="str">
        <f t="shared" ref="B547" si="35">HLOOKUP(Language,D$2:L$1113,ROW()-1,FALSE)</f>
        <v>Nom du club</v>
      </c>
      <c r="C547" s="312" t="str">
        <f t="shared" ref="C547" si="36">NAMEOF(B547)</f>
        <v>N_ClubName</v>
      </c>
      <c r="D547" s="1516" t="s">
        <v>14322</v>
      </c>
      <c r="E547" s="1516" t="s">
        <v>14323</v>
      </c>
      <c r="F547" s="1574" t="s">
        <v>14326</v>
      </c>
      <c r="G547" s="1516" t="s">
        <v>14325</v>
      </c>
      <c r="H547" s="2191" t="s">
        <v>14324</v>
      </c>
      <c r="I547" s="1517"/>
      <c r="J547" s="1517"/>
      <c r="K547" s="1517"/>
      <c r="L547" s="1517"/>
    </row>
    <row r="548" spans="2:12" x14ac:dyDescent="0.2">
      <c r="B548" s="1515" t="str">
        <f t="shared" si="33"/>
        <v>Nom du joueur</v>
      </c>
      <c r="C548" s="312" t="str">
        <f t="shared" si="34"/>
        <v>N_PlayerName</v>
      </c>
      <c r="D548" s="1516" t="s">
        <v>7925</v>
      </c>
      <c r="E548" s="1516" t="s">
        <v>7926</v>
      </c>
      <c r="F548" s="1574" t="s">
        <v>9346</v>
      </c>
      <c r="G548" s="1516" t="s">
        <v>12035</v>
      </c>
      <c r="H548" s="2191" t="s">
        <v>12726</v>
      </c>
      <c r="I548" s="1517"/>
      <c r="J548" s="1517"/>
      <c r="K548" s="1517"/>
      <c r="L548" s="1517"/>
    </row>
    <row r="549" spans="2:12" ht="25.5" x14ac:dyDescent="0.2">
      <c r="B549" s="1515" t="str">
        <f t="shared" si="33"/>
        <v xml:space="preserve">Supprimer la 1ère ligne </v>
      </c>
      <c r="C549" s="312" t="str">
        <f t="shared" si="34"/>
        <v>N_DeleteCheckin</v>
      </c>
      <c r="D549" s="1516" t="s">
        <v>7927</v>
      </c>
      <c r="E549" s="1516" t="s">
        <v>7928</v>
      </c>
      <c r="F549" s="1574" t="s">
        <v>9347</v>
      </c>
      <c r="G549" s="1516" t="s">
        <v>12036</v>
      </c>
      <c r="H549" s="2191" t="s">
        <v>12036</v>
      </c>
      <c r="I549" s="1517"/>
      <c r="J549" s="1517"/>
      <c r="K549" s="1517"/>
      <c r="L549" s="1517"/>
    </row>
    <row r="550" spans="2:12" ht="15.75" customHeight="1" x14ac:dyDescent="0.2">
      <c r="B550" s="1515" t="str">
        <f t="shared" si="33"/>
        <v>Valider et copier en fin de liste</v>
      </c>
      <c r="C550" s="312" t="str">
        <f t="shared" si="34"/>
        <v>N_CheckinForm_Validate</v>
      </c>
      <c r="D550" s="1516" t="s">
        <v>7929</v>
      </c>
      <c r="E550" s="1516" t="s">
        <v>7930</v>
      </c>
      <c r="F550" s="1574" t="s">
        <v>9348</v>
      </c>
      <c r="G550" s="1516" t="s">
        <v>12037</v>
      </c>
      <c r="H550" s="2191" t="s">
        <v>12727</v>
      </c>
      <c r="I550" s="1517"/>
      <c r="J550" s="1517"/>
      <c r="K550" s="1517"/>
      <c r="L550" s="1517"/>
    </row>
    <row r="551" spans="2:12" x14ac:dyDescent="0.2">
      <c r="B551" s="1515" t="str">
        <f t="shared" ref="B551" si="37">HLOOKUP(Language,D$2:L$1113,ROW()-1,FALSE)</f>
        <v>Aide à la saisie</v>
      </c>
      <c r="C551" s="312" t="str">
        <f>NAMEOF(B551)</f>
        <v>N_Rib_GmftTeamsForm</v>
      </c>
      <c r="D551" s="1516" t="s">
        <v>7931</v>
      </c>
      <c r="E551" s="1516" t="s">
        <v>7932</v>
      </c>
      <c r="F551" s="1576" t="s">
        <v>9349</v>
      </c>
      <c r="G551" s="1516" t="s">
        <v>12038</v>
      </c>
      <c r="H551" s="2191" t="s">
        <v>12728</v>
      </c>
      <c r="I551" s="1517"/>
      <c r="J551" s="1517"/>
      <c r="K551" s="1517"/>
      <c r="L551" s="1517"/>
    </row>
    <row r="552" spans="2:12" ht="25.5" x14ac:dyDescent="0.2">
      <c r="B552" s="1515" t="str">
        <f t="shared" si="33"/>
        <v>Aide à la saisie</v>
      </c>
      <c r="C552" s="312" t="str">
        <f>NAMEOF(B552)</f>
        <v>N_Rib_GmftCheckinForm</v>
      </c>
      <c r="D552" s="1516" t="s">
        <v>7931</v>
      </c>
      <c r="E552" s="1516" t="s">
        <v>7932</v>
      </c>
      <c r="F552" s="1576" t="s">
        <v>9349</v>
      </c>
      <c r="G552" s="1516" t="s">
        <v>12038</v>
      </c>
      <c r="H552" s="2191" t="s">
        <v>12728</v>
      </c>
      <c r="I552" s="1517"/>
      <c r="J552" s="1517"/>
      <c r="K552" s="1517"/>
      <c r="L552" s="1517"/>
    </row>
    <row r="553" spans="2:12" ht="25.5" x14ac:dyDescent="0.2">
      <c r="B553" s="1515" t="str">
        <f t="shared" si="33"/>
        <v>Compétiteurs</v>
      </c>
      <c r="C553" s="312" t="str">
        <f t="shared" si="34"/>
        <v>N_WebSiteExport_ExportCompetitors</v>
      </c>
      <c r="D553" s="1516" t="s">
        <v>7954</v>
      </c>
      <c r="E553" s="1516" t="s">
        <v>7955</v>
      </c>
      <c r="F553" s="1574" t="s">
        <v>8907</v>
      </c>
      <c r="G553" s="1516" t="s">
        <v>11583</v>
      </c>
      <c r="H553" s="2191" t="s">
        <v>12275</v>
      </c>
      <c r="I553" s="1517"/>
      <c r="J553" s="1517"/>
      <c r="K553" s="1517"/>
      <c r="L553" s="1517"/>
    </row>
    <row r="554" spans="2:12" ht="25.5" x14ac:dyDescent="0.2">
      <c r="B554" s="1515" t="str">
        <f t="shared" ref="B554" si="38">HLOOKUP(Language,D$2:L$1113,ROW()-1,FALSE)</f>
        <v>Inscriptions</v>
      </c>
      <c r="C554" s="312" t="str">
        <f t="shared" ref="C554" si="39">NAMEOF(B554)</f>
        <v>N_RegistrationExport_ExportCompetitors</v>
      </c>
      <c r="D554" s="1516" t="s">
        <v>9878</v>
      </c>
      <c r="E554" s="1516" t="s">
        <v>9879</v>
      </c>
      <c r="F554" s="1574" t="s">
        <v>10403</v>
      </c>
      <c r="G554" s="1516" t="s">
        <v>12039</v>
      </c>
      <c r="H554" s="2191" t="s">
        <v>12729</v>
      </c>
      <c r="I554" s="1517"/>
      <c r="J554" s="1517"/>
      <c r="K554" s="1517"/>
      <c r="L554" s="1517"/>
    </row>
    <row r="555" spans="2:12" ht="25.5" x14ac:dyDescent="0.2">
      <c r="B555" s="1515" t="str">
        <f t="shared" si="33"/>
        <v>Planning</v>
      </c>
      <c r="C555" s="312" t="str">
        <f t="shared" si="34"/>
        <v>N_WebSiteExport_ExportPlanning</v>
      </c>
      <c r="D555" s="1516" t="s">
        <v>458</v>
      </c>
      <c r="E555" s="1516" t="s">
        <v>458</v>
      </c>
      <c r="F555" s="1574" t="s">
        <v>458</v>
      </c>
      <c r="G555" s="1516" t="s">
        <v>458</v>
      </c>
      <c r="H555" s="2191" t="s">
        <v>458</v>
      </c>
      <c r="I555" s="1517"/>
      <c r="J555" s="1517"/>
      <c r="K555" s="1517"/>
      <c r="L555" s="1517"/>
    </row>
    <row r="556" spans="2:12" ht="25.5" x14ac:dyDescent="0.2">
      <c r="B556" s="1515" t="str">
        <f t="shared" si="33"/>
        <v>Groupes</v>
      </c>
      <c r="C556" s="312" t="str">
        <f t="shared" si="34"/>
        <v>N_WebSiteExport_ExportGroups</v>
      </c>
      <c r="D556" s="1516" t="s">
        <v>7972</v>
      </c>
      <c r="E556" s="1516" t="s">
        <v>5462</v>
      </c>
      <c r="F556" s="1574" t="s">
        <v>9350</v>
      </c>
      <c r="G556" s="1516" t="s">
        <v>11607</v>
      </c>
      <c r="H556" s="2191" t="s">
        <v>12298</v>
      </c>
      <c r="I556" s="1517"/>
      <c r="J556" s="1517"/>
      <c r="K556" s="1517"/>
      <c r="L556" s="1517"/>
    </row>
    <row r="557" spans="2:12" ht="25.5" x14ac:dyDescent="0.2">
      <c r="B557" s="1515" t="str">
        <f t="shared" si="33"/>
        <v>Statistiques</v>
      </c>
      <c r="C557" s="312" t="str">
        <f t="shared" si="34"/>
        <v>N_WebSiteExport_ExportStats</v>
      </c>
      <c r="D557" s="1516" t="s">
        <v>7971</v>
      </c>
      <c r="E557" s="1516" t="s">
        <v>3823</v>
      </c>
      <c r="F557" s="1574" t="s">
        <v>9351</v>
      </c>
      <c r="G557" s="1516" t="s">
        <v>12040</v>
      </c>
      <c r="H557" s="2191" t="s">
        <v>12730</v>
      </c>
      <c r="I557" s="1517"/>
      <c r="J557" s="1517"/>
      <c r="K557" s="1517"/>
      <c r="L557" s="1517"/>
    </row>
    <row r="558" spans="2:12" ht="25.5" x14ac:dyDescent="0.2">
      <c r="B558" s="1515" t="str">
        <f t="shared" si="33"/>
        <v>Résultats</v>
      </c>
      <c r="C558" s="312" t="str">
        <f t="shared" si="34"/>
        <v>N_WebSiteExport_ExportResults</v>
      </c>
      <c r="D558" s="1516" t="s">
        <v>7970</v>
      </c>
      <c r="E558" s="1516" t="s">
        <v>3720</v>
      </c>
      <c r="F558" s="1574" t="s">
        <v>9352</v>
      </c>
      <c r="G558" s="1516" t="s">
        <v>11588</v>
      </c>
      <c r="H558" s="2191" t="s">
        <v>12280</v>
      </c>
      <c r="I558" s="1517"/>
      <c r="J558" s="1517"/>
      <c r="K558" s="1517"/>
      <c r="L558" s="1517"/>
    </row>
    <row r="559" spans="2:12" ht="25.5" x14ac:dyDescent="0.2">
      <c r="B559" s="1515" t="str">
        <f t="shared" si="33"/>
        <v>Matches</v>
      </c>
      <c r="C559" s="312" t="str">
        <f t="shared" si="34"/>
        <v>N_WebSiteExport_ExportMatches</v>
      </c>
      <c r="D559" s="1516" t="s">
        <v>796</v>
      </c>
      <c r="E559" s="1516" t="s">
        <v>796</v>
      </c>
      <c r="F559" s="1574" t="s">
        <v>9353</v>
      </c>
      <c r="G559" s="1516" t="s">
        <v>11586</v>
      </c>
      <c r="H559" s="2191" t="s">
        <v>12278</v>
      </c>
      <c r="I559" s="1517"/>
      <c r="J559" s="1517"/>
      <c r="K559" s="1517"/>
      <c r="L559" s="1517"/>
    </row>
    <row r="560" spans="2:12" ht="27.75" customHeight="1" x14ac:dyDescent="0.2">
      <c r="B560" s="1515" t="str">
        <f t="shared" si="33"/>
        <v>Dernières cases cochées pour l'export des compétiteurs sur le Site Web GMFT</v>
      </c>
      <c r="C560" s="312" t="str">
        <f t="shared" si="34"/>
        <v>N_DefaultCompetitorsExportToWebSite</v>
      </c>
      <c r="D560" s="1516" t="s">
        <v>7959</v>
      </c>
      <c r="E560" s="1516" t="s">
        <v>7958</v>
      </c>
      <c r="F560" s="1574" t="s">
        <v>9354</v>
      </c>
      <c r="G560" s="1516" t="s">
        <v>12041</v>
      </c>
      <c r="H560" s="2191" t="s">
        <v>12731</v>
      </c>
      <c r="I560" s="1517"/>
      <c r="J560" s="1517"/>
      <c r="K560" s="1517"/>
      <c r="L560" s="1517"/>
    </row>
    <row r="561" spans="2:12" ht="29.25" customHeight="1" x14ac:dyDescent="0.2">
      <c r="B561" s="1515" t="str">
        <f t="shared" si="33"/>
        <v>Export vers le site web GMFT des types de compétition suivants</v>
      </c>
      <c r="C561" s="312" t="str">
        <f t="shared" si="34"/>
        <v>N_ExportTypeOfEventToWebSite</v>
      </c>
      <c r="D561" s="1516" t="s">
        <v>7960</v>
      </c>
      <c r="E561" s="1516" t="s">
        <v>7961</v>
      </c>
      <c r="F561" s="1574" t="s">
        <v>9355</v>
      </c>
      <c r="G561" s="1516" t="s">
        <v>12042</v>
      </c>
      <c r="H561" s="2191" t="s">
        <v>12732</v>
      </c>
      <c r="I561" s="1517"/>
      <c r="J561" s="1517"/>
      <c r="K561" s="1517"/>
      <c r="L561" s="1517"/>
    </row>
    <row r="562" spans="2:12" x14ac:dyDescent="0.2">
      <c r="B562" s="1515" t="str">
        <f t="shared" si="33"/>
        <v>Nom</v>
      </c>
      <c r="C562" s="312" t="str">
        <f t="shared" si="34"/>
        <v>N_Web_PlayerName</v>
      </c>
      <c r="D562" s="1516" t="s">
        <v>888</v>
      </c>
      <c r="E562" s="1516" t="s">
        <v>1565</v>
      </c>
      <c r="F562" s="1574" t="s">
        <v>8940</v>
      </c>
      <c r="G562" s="1516" t="s">
        <v>11614</v>
      </c>
      <c r="H562" s="2191" t="s">
        <v>888</v>
      </c>
      <c r="I562" s="1517"/>
      <c r="J562" s="1517"/>
      <c r="K562" s="1517"/>
      <c r="L562" s="1517"/>
    </row>
    <row r="563" spans="2:12" x14ac:dyDescent="0.2">
      <c r="B563" s="1515" t="str">
        <f t="shared" si="33"/>
        <v>Classement</v>
      </c>
      <c r="C563" s="312" t="str">
        <f t="shared" si="34"/>
        <v>N_Web_Ranking</v>
      </c>
      <c r="D563" s="1516" t="s">
        <v>8892</v>
      </c>
      <c r="E563" s="1516" t="s">
        <v>1552</v>
      </c>
      <c r="F563" s="1574" t="s">
        <v>1552</v>
      </c>
      <c r="G563" s="1516" t="s">
        <v>1552</v>
      </c>
      <c r="H563" s="2191" t="s">
        <v>1552</v>
      </c>
      <c r="I563" s="1517"/>
      <c r="J563" s="1517"/>
      <c r="K563" s="1517"/>
      <c r="L563" s="1517"/>
    </row>
    <row r="564" spans="2:12" x14ac:dyDescent="0.2">
      <c r="B564" s="1515" t="str">
        <f t="shared" si="33"/>
        <v>Nation</v>
      </c>
      <c r="C564" s="312" t="str">
        <f t="shared" si="34"/>
        <v>N_Web_Nation</v>
      </c>
      <c r="D564" s="1516" t="s">
        <v>8891</v>
      </c>
      <c r="E564" s="1516" t="s">
        <v>8891</v>
      </c>
      <c r="F564" s="1574" t="s">
        <v>9379</v>
      </c>
      <c r="G564" s="1516" t="s">
        <v>12043</v>
      </c>
      <c r="H564" s="2191" t="s">
        <v>12043</v>
      </c>
      <c r="I564" s="1517"/>
      <c r="J564" s="1517"/>
      <c r="K564" s="1517"/>
      <c r="L564" s="1517"/>
    </row>
    <row r="565" spans="2:12" x14ac:dyDescent="0.2">
      <c r="B565" s="1515" t="str">
        <f t="shared" si="33"/>
        <v>Club</v>
      </c>
      <c r="C565" s="312" t="str">
        <f t="shared" si="34"/>
        <v>N_Web_Club</v>
      </c>
      <c r="D565" s="1516" t="s">
        <v>881</v>
      </c>
      <c r="E565" s="1516" t="s">
        <v>881</v>
      </c>
      <c r="F565" s="1574" t="s">
        <v>881</v>
      </c>
      <c r="G565" s="1516" t="s">
        <v>881</v>
      </c>
      <c r="H565" s="2191" t="s">
        <v>881</v>
      </c>
      <c r="I565" s="1517"/>
      <c r="J565" s="1517"/>
      <c r="K565" s="1517"/>
      <c r="L565" s="1517"/>
    </row>
    <row r="566" spans="2:12" x14ac:dyDescent="0.2">
      <c r="B566" s="1515" t="str">
        <f t="shared" si="33"/>
        <v>Cl.</v>
      </c>
      <c r="C566" s="312" t="str">
        <f t="shared" si="34"/>
        <v>N_Web_Rk</v>
      </c>
      <c r="D566" s="1516" t="s">
        <v>8894</v>
      </c>
      <c r="E566" s="1516" t="s">
        <v>8893</v>
      </c>
      <c r="F566" s="1574" t="s">
        <v>8893</v>
      </c>
      <c r="G566" s="1516" t="s">
        <v>8893</v>
      </c>
      <c r="H566" s="2191" t="s">
        <v>8893</v>
      </c>
      <c r="I566" s="1517"/>
      <c r="J566" s="1517"/>
      <c r="K566" s="1517"/>
      <c r="L566" s="1517"/>
    </row>
    <row r="567" spans="2:12" x14ac:dyDescent="0.2">
      <c r="B567" s="1515" t="str">
        <f t="shared" si="33"/>
        <v>Phase</v>
      </c>
      <c r="C567" s="312" t="str">
        <f t="shared" si="34"/>
        <v>N_Web_Stage</v>
      </c>
      <c r="D567" s="1516" t="s">
        <v>8895</v>
      </c>
      <c r="E567" s="1516" t="s">
        <v>1589</v>
      </c>
      <c r="F567" s="1574" t="s">
        <v>9066</v>
      </c>
      <c r="G567" s="1516" t="s">
        <v>12044</v>
      </c>
      <c r="H567" s="2191" t="s">
        <v>12044</v>
      </c>
      <c r="I567" s="1517"/>
      <c r="J567" s="1517"/>
      <c r="K567" s="1517"/>
      <c r="L567" s="1517"/>
    </row>
    <row r="568" spans="2:12" x14ac:dyDescent="0.2">
      <c r="B568" s="1515" t="str">
        <f t="shared" ref="B568:B587" si="40">HLOOKUP(Language,D$2:L$1114,ROW()-1,FALSE)</f>
        <v>Num. Match</v>
      </c>
      <c r="C568" s="312" t="str">
        <f t="shared" si="34"/>
        <v>N_Web_MatchNo</v>
      </c>
      <c r="D568" s="1516" t="s">
        <v>8896</v>
      </c>
      <c r="E568" s="1516" t="s">
        <v>8897</v>
      </c>
      <c r="F568" s="1574" t="s">
        <v>8896</v>
      </c>
      <c r="G568" s="1516" t="s">
        <v>12045</v>
      </c>
      <c r="H568" s="2191" t="s">
        <v>12733</v>
      </c>
      <c r="I568" s="1517"/>
      <c r="J568" s="1517"/>
      <c r="K568" s="1517"/>
      <c r="L568" s="1517"/>
    </row>
    <row r="569" spans="2:12" ht="16.5" customHeight="1" x14ac:dyDescent="0.2">
      <c r="B569" s="1515" t="str">
        <f t="shared" si="40"/>
        <v>Générer le fichier GMFTData.html</v>
      </c>
      <c r="C569" s="312" t="str">
        <f t="shared" si="34"/>
        <v>N_GenerateConfigurationFile</v>
      </c>
      <c r="D569" s="1516" t="s">
        <v>9357</v>
      </c>
      <c r="E569" s="1516" t="s">
        <v>9356</v>
      </c>
      <c r="F569" s="1574" t="s">
        <v>9380</v>
      </c>
      <c r="G569" s="1516" t="s">
        <v>12046</v>
      </c>
      <c r="H569" s="2191" t="s">
        <v>12734</v>
      </c>
      <c r="I569" s="1517"/>
      <c r="J569" s="1517"/>
      <c r="K569" s="1517"/>
      <c r="L569" s="1517"/>
    </row>
    <row r="570" spans="2:12" ht="17.25" customHeight="1" x14ac:dyDescent="0.2">
      <c r="B570" s="1515" t="str">
        <f t="shared" si="40"/>
        <v>Paramètres d'export de la décoration sur le site web</v>
      </c>
      <c r="C570" s="312" t="str">
        <f t="shared" si="34"/>
        <v>N_ExportDecorationToWebSite</v>
      </c>
      <c r="D570" s="1516" t="s">
        <v>9359</v>
      </c>
      <c r="E570" s="1516" t="s">
        <v>9358</v>
      </c>
      <c r="F570" s="1574" t="s">
        <v>9381</v>
      </c>
      <c r="G570" s="1516" t="s">
        <v>12047</v>
      </c>
      <c r="H570" s="2191" t="s">
        <v>12735</v>
      </c>
      <c r="I570" s="1517"/>
      <c r="J570" s="1517"/>
      <c r="K570" s="1517"/>
      <c r="L570" s="1517"/>
    </row>
    <row r="571" spans="2:12" ht="15.75" customHeight="1" x14ac:dyDescent="0.2">
      <c r="B571" s="1515" t="str">
        <f t="shared" si="40"/>
        <v>Titre dans la barre de navigation</v>
      </c>
      <c r="C571" s="312" t="str">
        <f t="shared" si="34"/>
        <v>N_WebNavBarTitleLabel</v>
      </c>
      <c r="D571" s="1516" t="s">
        <v>9361</v>
      </c>
      <c r="E571" s="1516" t="s">
        <v>9360</v>
      </c>
      <c r="F571" s="1574" t="s">
        <v>9382</v>
      </c>
      <c r="G571" s="1516" t="s">
        <v>12048</v>
      </c>
      <c r="H571" s="2191" t="s">
        <v>12736</v>
      </c>
      <c r="I571" s="1517"/>
      <c r="J571" s="1517"/>
      <c r="K571" s="1517"/>
      <c r="L571" s="1517"/>
    </row>
    <row r="572" spans="2:12" ht="25.5" x14ac:dyDescent="0.2">
      <c r="B572" s="1515" t="str">
        <f t="shared" si="40"/>
        <v>Titre de la compétition</v>
      </c>
      <c r="C572" s="312" t="str">
        <f t="shared" si="34"/>
        <v>N_WebEventTitleLabel</v>
      </c>
      <c r="D572" s="1516" t="s">
        <v>902</v>
      </c>
      <c r="E572" s="1516" t="s">
        <v>9362</v>
      </c>
      <c r="F572" s="1574" t="s">
        <v>9014</v>
      </c>
      <c r="G572" s="1516" t="s">
        <v>11671</v>
      </c>
      <c r="H572" s="2191" t="s">
        <v>12986</v>
      </c>
      <c r="I572" s="1517"/>
      <c r="J572" s="1517"/>
      <c r="K572" s="1517"/>
      <c r="L572" s="1517"/>
    </row>
    <row r="573" spans="2:12" ht="15" customHeight="1" x14ac:dyDescent="0.2">
      <c r="B573" s="1515" t="str">
        <f t="shared" si="40"/>
        <v>Description de la compétition</v>
      </c>
      <c r="C573" s="312" t="str">
        <f t="shared" si="34"/>
        <v>N_WebEventDescriptionLabel</v>
      </c>
      <c r="D573" s="1516" t="s">
        <v>9364</v>
      </c>
      <c r="E573" s="1516" t="s">
        <v>9363</v>
      </c>
      <c r="F573" s="1576" t="s">
        <v>9386</v>
      </c>
      <c r="G573" s="1516" t="s">
        <v>12049</v>
      </c>
      <c r="H573" s="2191" t="s">
        <v>12737</v>
      </c>
      <c r="I573" s="1517"/>
      <c r="J573" s="1517"/>
      <c r="K573" s="1517"/>
      <c r="L573" s="1517"/>
    </row>
    <row r="574" spans="2:12" ht="38.25" x14ac:dyDescent="0.2">
      <c r="B574" s="1515" t="str">
        <f t="shared" si="40"/>
        <v>Données de la compétition =&gt; répertoire Data</v>
      </c>
      <c r="C574" s="312" t="str">
        <f t="shared" si="34"/>
        <v>N_WebSiteExport_ExportCompetitonData</v>
      </c>
      <c r="D574" s="1516" t="s">
        <v>9366</v>
      </c>
      <c r="E574" s="1516" t="s">
        <v>9367</v>
      </c>
      <c r="F574" s="1574" t="s">
        <v>9383</v>
      </c>
      <c r="G574" s="1516" t="s">
        <v>12050</v>
      </c>
      <c r="H574" s="2191" t="s">
        <v>12738</v>
      </c>
      <c r="I574" s="1517"/>
      <c r="J574" s="1517"/>
      <c r="K574" s="1517"/>
      <c r="L574" s="1517"/>
    </row>
    <row r="575" spans="2:12" ht="14.25" customHeight="1" x14ac:dyDescent="0.2">
      <c r="B575" s="1515" t="str">
        <f t="shared" si="40"/>
        <v>Décoration Web =&gt; Custom/GMFTData.html</v>
      </c>
      <c r="C575" s="312" t="str">
        <f t="shared" si="34"/>
        <v>N_WebSiteExport_ExportWebDecoration</v>
      </c>
      <c r="D575" s="1516" t="s">
        <v>9369</v>
      </c>
      <c r="E575" s="1516" t="s">
        <v>9368</v>
      </c>
      <c r="F575" s="1574" t="s">
        <v>9384</v>
      </c>
      <c r="G575" s="1516" t="s">
        <v>12051</v>
      </c>
      <c r="H575" s="2191" t="s">
        <v>12739</v>
      </c>
      <c r="I575" s="1517"/>
      <c r="J575" s="1517"/>
      <c r="K575" s="1517"/>
      <c r="L575" s="1517"/>
    </row>
    <row r="576" spans="2:12" ht="204" x14ac:dyDescent="0.2">
      <c r="B576" s="1515" t="str">
        <f t="shared" si="40"/>
        <v>Vous pouvez également changer l'icône et l'image de fond. Pour ce faire, allez dans le répertoire "Custom" dans le répertoire que vous avez précisé ci-dessus. Vous pouvez alors remplacer les images "logo.png" et "event-background.jpg" mais en gardant les mêmes noms !</v>
      </c>
      <c r="C576" s="312" t="str">
        <f t="shared" si="34"/>
        <v>N_WebChangingImages</v>
      </c>
      <c r="D576" s="1516" t="s">
        <v>9371</v>
      </c>
      <c r="E576" s="1516" t="s">
        <v>9370</v>
      </c>
      <c r="F576" s="1574" t="s">
        <v>9385</v>
      </c>
      <c r="G576" s="1516" t="s">
        <v>12052</v>
      </c>
      <c r="H576" s="2191" t="s">
        <v>12740</v>
      </c>
      <c r="I576" s="1517"/>
      <c r="J576" s="1517"/>
      <c r="K576" s="1517"/>
      <c r="L576" s="1517"/>
    </row>
    <row r="577" spans="2:12" ht="38.25" x14ac:dyDescent="0.2">
      <c r="B577" s="1515" t="str">
        <f t="shared" si="40"/>
        <v xml:space="preserve">Chemin d'accès du template Tableau de Bord </v>
      </c>
      <c r="C577" s="312" t="str">
        <f t="shared" si="34"/>
        <v>N_DashboardTemplatePath</v>
      </c>
      <c r="D577" s="1516" t="s">
        <v>9505</v>
      </c>
      <c r="E577" s="1516" t="s">
        <v>9506</v>
      </c>
      <c r="F577" s="1574" t="s">
        <v>9507</v>
      </c>
      <c r="G577" s="1516" t="s">
        <v>12053</v>
      </c>
      <c r="H577" s="2191" t="s">
        <v>12053</v>
      </c>
      <c r="I577" s="1517"/>
      <c r="J577" s="1517"/>
      <c r="K577" s="1517"/>
      <c r="L577" s="1517"/>
    </row>
    <row r="578" spans="2:12" ht="38.25" x14ac:dyDescent="0.2">
      <c r="B578" s="1515" t="str">
        <f t="shared" si="40"/>
        <v>Mettre à jour &amp; afficher le tableau de bord</v>
      </c>
      <c r="C578" s="312" t="str">
        <f t="shared" si="34"/>
        <v>N_ShowDashboard_Title</v>
      </c>
      <c r="D578" s="1516" t="s">
        <v>9508</v>
      </c>
      <c r="E578" s="1516" t="s">
        <v>9509</v>
      </c>
      <c r="F578" s="1576" t="s">
        <v>9510</v>
      </c>
      <c r="G578" s="1516" t="s">
        <v>12054</v>
      </c>
      <c r="H578" s="2191" t="s">
        <v>12741</v>
      </c>
      <c r="I578" s="1517"/>
      <c r="J578" s="1517"/>
      <c r="K578" s="1517"/>
      <c r="L578" s="1517"/>
    </row>
    <row r="579" spans="2:12" x14ac:dyDescent="0.2">
      <c r="B579" s="1515" t="str">
        <f t="shared" si="40"/>
        <v>Titre de la session</v>
      </c>
      <c r="C579" s="312" t="str">
        <f t="shared" si="34"/>
        <v>N_SessionTitle</v>
      </c>
      <c r="D579" s="1516" t="s">
        <v>9528</v>
      </c>
      <c r="E579" s="1516" t="s">
        <v>9529</v>
      </c>
      <c r="F579" s="1576" t="s">
        <v>9530</v>
      </c>
      <c r="G579" s="1516" t="s">
        <v>12055</v>
      </c>
      <c r="H579" s="2191" t="s">
        <v>12742</v>
      </c>
      <c r="I579" s="1517"/>
      <c r="J579" s="1517"/>
      <c r="K579" s="1517"/>
      <c r="L579" s="1517"/>
    </row>
    <row r="580" spans="2:12" ht="38.25" x14ac:dyDescent="0.2">
      <c r="B580" s="1515" t="str">
        <f t="shared" si="40"/>
        <v>Titre de la session : si vide le texte sera :</v>
      </c>
      <c r="C580" s="312" t="str">
        <f t="shared" si="34"/>
        <v>N_SessionTitle_Label</v>
      </c>
      <c r="D580" s="1516" t="s">
        <v>9512</v>
      </c>
      <c r="E580" s="1516" t="s">
        <v>9511</v>
      </c>
      <c r="F580" s="1576" t="s">
        <v>9513</v>
      </c>
      <c r="G580" s="1516" t="s">
        <v>12056</v>
      </c>
      <c r="H580" s="2191" t="s">
        <v>12743</v>
      </c>
      <c r="I580" s="1517"/>
      <c r="J580" s="1517"/>
      <c r="K580" s="1517"/>
      <c r="L580" s="1517"/>
    </row>
    <row r="581" spans="2:12" ht="38.25" x14ac:dyDescent="0.2">
      <c r="B581" s="1515" t="str">
        <f t="shared" si="40"/>
        <v>Chemin du modèle de fichier Dashboard</v>
      </c>
      <c r="C581" s="312" t="str">
        <f t="shared" si="34"/>
        <v>N_PathToTemplateTitle_Label</v>
      </c>
      <c r="D581" s="1516" t="s">
        <v>9514</v>
      </c>
      <c r="E581" s="1516" t="s">
        <v>9506</v>
      </c>
      <c r="F581" s="1576" t="s">
        <v>9515</v>
      </c>
      <c r="G581" s="1516" t="s">
        <v>12053</v>
      </c>
      <c r="H581" s="2191" t="s">
        <v>12053</v>
      </c>
      <c r="I581" s="1517"/>
      <c r="J581" s="1517"/>
      <c r="K581" s="1517"/>
      <c r="L581" s="1517"/>
    </row>
    <row r="582" spans="2:12" ht="25.5" x14ac:dyDescent="0.2">
      <c r="B582" s="1515" t="str">
        <f t="shared" si="40"/>
        <v>Tableau de Bord &amp; Timer</v>
      </c>
      <c r="C582" s="312" t="str">
        <f t="shared" si="34"/>
        <v>N_OpenDashboard</v>
      </c>
      <c r="D582" s="1516" t="s">
        <v>9516</v>
      </c>
      <c r="E582" s="1516" t="s">
        <v>9517</v>
      </c>
      <c r="F582" s="1576" t="s">
        <v>9518</v>
      </c>
      <c r="G582" s="1516" t="s">
        <v>12057</v>
      </c>
      <c r="H582" s="2191" t="s">
        <v>12744</v>
      </c>
      <c r="I582" s="1517"/>
      <c r="J582" s="1517"/>
      <c r="K582" s="1517"/>
      <c r="L582" s="1517"/>
    </row>
    <row r="583" spans="2:12" ht="76.5" x14ac:dyDescent="0.2">
      <c r="B583" s="1515" t="str">
        <f t="shared" si="40"/>
        <v>Le fichier Dashboard sélectionné n'est pas un fichier Dashboard compatible GMFT</v>
      </c>
      <c r="C583" s="312" t="str">
        <f t="shared" si="34"/>
        <v>N_BadDashBoardFile</v>
      </c>
      <c r="D583" s="1516" t="s">
        <v>9519</v>
      </c>
      <c r="E583" s="1516" t="s">
        <v>9520</v>
      </c>
      <c r="F583" s="1576" t="s">
        <v>9521</v>
      </c>
      <c r="G583" s="1516" t="s">
        <v>12058</v>
      </c>
      <c r="H583" s="2191" t="s">
        <v>12745</v>
      </c>
      <c r="I583" s="1517"/>
      <c r="J583" s="1517"/>
      <c r="K583" s="1517"/>
      <c r="L583" s="1517"/>
    </row>
    <row r="584" spans="2:12" ht="25.5" x14ac:dyDescent="0.2">
      <c r="B584" s="1515" t="str">
        <f t="shared" si="40"/>
        <v>Chemin (vide = même répertoire)</v>
      </c>
      <c r="C584" s="312" t="str">
        <f t="shared" si="34"/>
        <v>N_PathToTemplatePath_Label</v>
      </c>
      <c r="D584" s="1516" t="s">
        <v>9524</v>
      </c>
      <c r="E584" s="1516" t="s">
        <v>9522</v>
      </c>
      <c r="F584" s="1576" t="s">
        <v>9526</v>
      </c>
      <c r="G584" s="1516" t="s">
        <v>12059</v>
      </c>
      <c r="H584" s="2191" t="s">
        <v>12746</v>
      </c>
      <c r="I584" s="1517"/>
      <c r="J584" s="1517"/>
      <c r="K584" s="1517"/>
      <c r="L584" s="1517"/>
    </row>
    <row r="585" spans="2:12" ht="25.5" x14ac:dyDescent="0.2">
      <c r="B585" s="1515" t="str">
        <f t="shared" si="40"/>
        <v>Nom du fichier (relatif au chemin)</v>
      </c>
      <c r="C585" s="312" t="str">
        <f t="shared" si="34"/>
        <v>N_PathToTemplateFileName_Label</v>
      </c>
      <c r="D585" s="1516" t="s">
        <v>9525</v>
      </c>
      <c r="E585" s="1516" t="s">
        <v>9523</v>
      </c>
      <c r="F585" s="1576" t="s">
        <v>9527</v>
      </c>
      <c r="G585" s="1516" t="s">
        <v>12060</v>
      </c>
      <c r="H585" s="2191" t="s">
        <v>12747</v>
      </c>
      <c r="I585" s="1517"/>
      <c r="J585" s="1517"/>
      <c r="K585" s="1517"/>
      <c r="L585" s="1517"/>
    </row>
    <row r="586" spans="2:12" ht="25.5" x14ac:dyDescent="0.2">
      <c r="B586" s="1515" t="str">
        <f t="shared" ref="B586" si="41">HLOOKUP(Language,D$2:L$1114,ROW()-1,FALSE)</f>
        <v>Nom du répertoire (relatif au chemin)</v>
      </c>
      <c r="C586" s="312" t="str">
        <f t="shared" ref="C586" si="42">NAMEOF(B586)</f>
        <v>N_PathToTemplateDirName_Label</v>
      </c>
      <c r="D586" s="1516" t="s">
        <v>10998</v>
      </c>
      <c r="E586" s="1516" t="s">
        <v>10999</v>
      </c>
      <c r="F586" s="1576" t="s">
        <v>11000</v>
      </c>
      <c r="G586" s="1516" t="s">
        <v>12061</v>
      </c>
      <c r="H586" s="2191" t="s">
        <v>12748</v>
      </c>
      <c r="I586" s="1517"/>
      <c r="J586" s="1517"/>
      <c r="K586" s="1517"/>
      <c r="L586" s="1517"/>
    </row>
    <row r="587" spans="2:12" ht="51" x14ac:dyDescent="0.2">
      <c r="B587" s="1515" t="str">
        <f t="shared" si="40"/>
        <v>Le nombre maximum de compétitions est attenit.</v>
      </c>
      <c r="C587" s="312" t="str">
        <f t="shared" si="34"/>
        <v>N_MaxNumberOfEvents</v>
      </c>
      <c r="D587" s="1516" t="s">
        <v>9722</v>
      </c>
      <c r="E587" s="1516" t="s">
        <v>9724</v>
      </c>
      <c r="F587" s="1576" t="s">
        <v>9723</v>
      </c>
      <c r="G587" s="1516" t="s">
        <v>12062</v>
      </c>
      <c r="H587" s="2191" t="s">
        <v>12749</v>
      </c>
      <c r="I587" s="1517"/>
      <c r="J587" s="1517"/>
      <c r="K587" s="1517"/>
      <c r="L587" s="1517"/>
    </row>
    <row r="588" spans="2:12" x14ac:dyDescent="0.2">
      <c r="B588" s="1515" t="str">
        <f>HLOOKUP(Language,D$2:L$1113,ROW()-1,FALSE)</f>
        <v>Tirs au but</v>
      </c>
      <c r="C588" s="312" t="str">
        <f t="shared" si="34"/>
        <v>N_Shout_Out</v>
      </c>
      <c r="D588" s="1516" t="s">
        <v>9836</v>
      </c>
      <c r="E588" s="1516" t="s">
        <v>9837</v>
      </c>
      <c r="F588" s="1576" t="s">
        <v>9838</v>
      </c>
      <c r="G588" s="1516" t="s">
        <v>12063</v>
      </c>
      <c r="H588" s="2191" t="s">
        <v>12750</v>
      </c>
      <c r="I588" s="1517"/>
      <c r="J588" s="1517"/>
      <c r="K588" s="1517"/>
      <c r="L588" s="1517"/>
    </row>
    <row r="589" spans="2:12" ht="25.5" x14ac:dyDescent="0.2">
      <c r="B589" s="1515" t="str">
        <f t="shared" ref="B589:B620" si="43">HLOOKUP(Language,D$2:L$1114,ROW()-1,FALSE)</f>
        <v>Fonctions générales</v>
      </c>
      <c r="C589" s="312" t="str">
        <f t="shared" si="34"/>
        <v>N_Rib_GmftGroupHome</v>
      </c>
      <c r="D589" s="1516" t="s">
        <v>9855</v>
      </c>
      <c r="E589" s="1516" t="s">
        <v>9856</v>
      </c>
      <c r="F589" s="1576" t="s">
        <v>9857</v>
      </c>
      <c r="G589" s="1516" t="s">
        <v>12064</v>
      </c>
      <c r="H589" s="2191" t="s">
        <v>12751</v>
      </c>
      <c r="I589" s="1517"/>
      <c r="J589" s="1517"/>
      <c r="K589" s="1517"/>
      <c r="L589" s="1517"/>
    </row>
    <row r="590" spans="2:12" x14ac:dyDescent="0.2">
      <c r="B590" s="1515" t="str">
        <f t="shared" si="43"/>
        <v>Accueil</v>
      </c>
      <c r="C590" s="312" t="str">
        <f t="shared" si="34"/>
        <v>N_Rib_GmftHome</v>
      </c>
      <c r="D590" s="1516" t="s">
        <v>9858</v>
      </c>
      <c r="E590" s="1516" t="s">
        <v>9859</v>
      </c>
      <c r="F590" s="1576" t="s">
        <v>9859</v>
      </c>
      <c r="G590" s="1516" t="s">
        <v>11892</v>
      </c>
      <c r="H590" s="2191" t="s">
        <v>12752</v>
      </c>
      <c r="I590" s="1517"/>
      <c r="J590" s="1517"/>
      <c r="K590" s="1517"/>
      <c r="L590" s="1517"/>
    </row>
    <row r="591" spans="2:12" ht="25.5" x14ac:dyDescent="0.2">
      <c r="B591" s="1515" t="str">
        <f t="shared" si="43"/>
        <v>Language</v>
      </c>
      <c r="C591" s="312" t="str">
        <f t="shared" si="34"/>
        <v>N_Rib_LanguageDropDown</v>
      </c>
      <c r="D591" s="1516" t="s">
        <v>1559</v>
      </c>
      <c r="E591" s="1516" t="s">
        <v>1559</v>
      </c>
      <c r="F591" s="1576" t="s">
        <v>9001</v>
      </c>
      <c r="G591" s="1516" t="s">
        <v>11701</v>
      </c>
      <c r="H591" s="2191" t="s">
        <v>12363</v>
      </c>
      <c r="I591" s="1517"/>
      <c r="J591" s="1517"/>
      <c r="K591" s="1517"/>
      <c r="L591" s="1517"/>
    </row>
    <row r="592" spans="2:12" x14ac:dyDescent="0.2">
      <c r="B592" s="1515" t="str">
        <f t="shared" si="43"/>
        <v>Calcul Automatique</v>
      </c>
      <c r="C592" s="312" t="str">
        <f t="shared" si="34"/>
        <v>N_CalculationAuto</v>
      </c>
      <c r="D592" s="1516" t="s">
        <v>9860</v>
      </c>
      <c r="E592" s="1516" t="s">
        <v>9861</v>
      </c>
      <c r="F592" s="1576" t="s">
        <v>9862</v>
      </c>
      <c r="G592" s="1516" t="s">
        <v>11893</v>
      </c>
      <c r="H592" s="2191" t="s">
        <v>12756</v>
      </c>
      <c r="I592" s="1517"/>
      <c r="J592" s="1517"/>
      <c r="K592" s="1517"/>
      <c r="L592" s="1517"/>
    </row>
    <row r="593" spans="2:12" x14ac:dyDescent="0.2">
      <c r="B593" s="1515" t="str">
        <f t="shared" si="43"/>
        <v>Calcul Manuel</v>
      </c>
      <c r="C593" s="312" t="str">
        <f t="shared" ref="C593:C636" si="44">NAMEOF(B593)</f>
        <v>N_CalculationManual</v>
      </c>
      <c r="D593" s="1516" t="s">
        <v>9863</v>
      </c>
      <c r="E593" s="1516" t="s">
        <v>9864</v>
      </c>
      <c r="F593" s="1576" t="s">
        <v>9865</v>
      </c>
      <c r="G593" s="1516" t="s">
        <v>11894</v>
      </c>
      <c r="H593" s="2191" t="s">
        <v>12755</v>
      </c>
      <c r="I593" s="1517"/>
      <c r="J593" s="1517"/>
      <c r="K593" s="1517"/>
      <c r="L593" s="1517"/>
    </row>
    <row r="594" spans="2:12" ht="25.5" x14ac:dyDescent="0.2">
      <c r="B594" s="1515" t="str">
        <f t="shared" si="43"/>
        <v>Calculer Maintenant</v>
      </c>
      <c r="C594" s="312" t="str">
        <f t="shared" si="44"/>
        <v>N_Rib_GmftCalculateNow</v>
      </c>
      <c r="D594" s="1516" t="s">
        <v>9866</v>
      </c>
      <c r="E594" s="1516" t="s">
        <v>9867</v>
      </c>
      <c r="F594" s="1576" t="s">
        <v>9868</v>
      </c>
      <c r="G594" s="1516" t="s">
        <v>11895</v>
      </c>
      <c r="H594" s="2191" t="s">
        <v>12753</v>
      </c>
      <c r="I594" s="1517"/>
      <c r="J594" s="1517"/>
      <c r="K594" s="1517"/>
      <c r="L594" s="1517"/>
    </row>
    <row r="595" spans="2:12" ht="25.5" x14ac:dyDescent="0.2">
      <c r="B595" s="1515" t="str">
        <f t="shared" si="43"/>
        <v>Calcul</v>
      </c>
      <c r="C595" s="312" t="str">
        <f t="shared" si="44"/>
        <v>N_Rib_GmftGroupCalculation</v>
      </c>
      <c r="D595" s="1516" t="s">
        <v>9869</v>
      </c>
      <c r="E595" s="1516" t="s">
        <v>9870</v>
      </c>
      <c r="F595" s="1576" t="s">
        <v>9871</v>
      </c>
      <c r="G595" s="1516" t="s">
        <v>11896</v>
      </c>
      <c r="H595" s="2191" t="s">
        <v>12754</v>
      </c>
      <c r="I595" s="1517"/>
      <c r="J595" s="1517"/>
      <c r="K595" s="1517"/>
      <c r="L595" s="1517"/>
    </row>
    <row r="596" spans="2:12" ht="25.5" x14ac:dyDescent="0.2">
      <c r="B596" s="1515" t="str">
        <f t="shared" si="43"/>
        <v>Feuille Non protégée</v>
      </c>
      <c r="C596" s="312" t="str">
        <f t="shared" si="44"/>
        <v>N_Rib_GmftUnlockSheet</v>
      </c>
      <c r="D596" s="1516" t="s">
        <v>9910</v>
      </c>
      <c r="E596" s="1516" t="s">
        <v>9912</v>
      </c>
      <c r="F596" s="1576" t="s">
        <v>9914</v>
      </c>
      <c r="G596" s="1516" t="s">
        <v>11897</v>
      </c>
      <c r="H596" s="2191" t="s">
        <v>12757</v>
      </c>
      <c r="I596" s="1517"/>
      <c r="J596" s="1517"/>
      <c r="K596" s="1517"/>
      <c r="L596" s="1517"/>
    </row>
    <row r="597" spans="2:12" x14ac:dyDescent="0.2">
      <c r="B597" s="1515" t="str">
        <f t="shared" si="43"/>
        <v>Feuille protégée</v>
      </c>
      <c r="C597" s="312" t="str">
        <f t="shared" si="44"/>
        <v>N_Rib_GmftLockSheet</v>
      </c>
      <c r="D597" s="1516" t="s">
        <v>9909</v>
      </c>
      <c r="E597" s="1516" t="s">
        <v>9911</v>
      </c>
      <c r="F597" s="1576" t="s">
        <v>9913</v>
      </c>
      <c r="G597" s="1516" t="s">
        <v>11898</v>
      </c>
      <c r="H597" s="2191" t="s">
        <v>12758</v>
      </c>
      <c r="I597" s="1517"/>
      <c r="J597" s="1517"/>
      <c r="K597" s="1517"/>
      <c r="L597" s="1517"/>
    </row>
    <row r="598" spans="2:12" x14ac:dyDescent="0.2">
      <c r="B598" s="1515" t="str">
        <f t="shared" si="43"/>
        <v>Joueurs</v>
      </c>
      <c r="C598" s="312" t="str">
        <f t="shared" si="44"/>
        <v>N_Rib_GmftLicences</v>
      </c>
      <c r="D598" s="1516" t="s">
        <v>786</v>
      </c>
      <c r="E598" s="1516" t="s">
        <v>1543</v>
      </c>
      <c r="F598" s="1576" t="s">
        <v>8907</v>
      </c>
      <c r="G598" s="1516" t="s">
        <v>11583</v>
      </c>
      <c r="H598" s="2191" t="s">
        <v>12275</v>
      </c>
      <c r="I598" s="1517"/>
      <c r="J598" s="1517"/>
      <c r="K598" s="1517"/>
      <c r="L598" s="1517"/>
    </row>
    <row r="599" spans="2:12" x14ac:dyDescent="0.2">
      <c r="B599" s="1515" t="str">
        <f t="shared" si="43"/>
        <v>Equipes</v>
      </c>
      <c r="C599" s="312" t="str">
        <f t="shared" si="44"/>
        <v>N_Rib_GmftClubs</v>
      </c>
      <c r="D599" s="1516" t="s">
        <v>797</v>
      </c>
      <c r="E599" s="1516" t="s">
        <v>1546</v>
      </c>
      <c r="F599" s="1576" t="s">
        <v>8913</v>
      </c>
      <c r="G599" s="1516" t="s">
        <v>11587</v>
      </c>
      <c r="H599" s="2191" t="s">
        <v>12279</v>
      </c>
      <c r="I599" s="1517"/>
      <c r="J599" s="1517"/>
      <c r="K599" s="1517"/>
      <c r="L599" s="1517"/>
    </row>
    <row r="600" spans="2:12" ht="25.5" x14ac:dyDescent="0.2">
      <c r="B600" s="1515" t="str">
        <f t="shared" si="43"/>
        <v>Classement Joueurs</v>
      </c>
      <c r="C600" s="312" t="str">
        <f t="shared" si="44"/>
        <v>N_Rib_GmftRankingPlayers</v>
      </c>
      <c r="D600" s="1516" t="s">
        <v>9872</v>
      </c>
      <c r="E600" s="1516" t="s">
        <v>9873</v>
      </c>
      <c r="F600" s="1576" t="s">
        <v>9874</v>
      </c>
      <c r="G600" s="1516" t="s">
        <v>11899</v>
      </c>
      <c r="H600" s="2191" t="s">
        <v>12759</v>
      </c>
      <c r="I600" s="1517"/>
      <c r="J600" s="1517"/>
      <c r="K600" s="1517"/>
      <c r="L600" s="1517"/>
    </row>
    <row r="601" spans="2:12" ht="25.5" x14ac:dyDescent="0.2">
      <c r="B601" s="1515" t="str">
        <f t="shared" si="43"/>
        <v>Classement équipes</v>
      </c>
      <c r="C601" s="312" t="str">
        <f t="shared" si="44"/>
        <v>N_Rib_GmftRankingTeams</v>
      </c>
      <c r="D601" s="1516" t="s">
        <v>9875</v>
      </c>
      <c r="E601" s="1516" t="s">
        <v>9876</v>
      </c>
      <c r="F601" s="1576" t="s">
        <v>9877</v>
      </c>
      <c r="G601" s="1516" t="s">
        <v>11900</v>
      </c>
      <c r="H601" s="2191" t="s">
        <v>12760</v>
      </c>
      <c r="I601" s="1517"/>
      <c r="J601" s="1517"/>
      <c r="K601" s="1517"/>
      <c r="L601" s="1517"/>
    </row>
    <row r="602" spans="2:12" x14ac:dyDescent="0.2">
      <c r="B602" s="1515" t="str">
        <f t="shared" si="43"/>
        <v>Enregistrements</v>
      </c>
      <c r="C602" s="312" t="str">
        <f t="shared" si="44"/>
        <v>N_Rib_GmftCheckin</v>
      </c>
      <c r="D602" s="1516" t="s">
        <v>9880</v>
      </c>
      <c r="E602" s="1516" t="s">
        <v>942</v>
      </c>
      <c r="F602" s="1576" t="s">
        <v>9881</v>
      </c>
      <c r="G602" s="1516" t="s">
        <v>11901</v>
      </c>
      <c r="H602" s="2191" t="s">
        <v>12690</v>
      </c>
      <c r="I602" s="1517"/>
      <c r="J602" s="1517"/>
      <c r="K602" s="1517"/>
      <c r="L602" s="1517"/>
    </row>
    <row r="603" spans="2:12" x14ac:dyDescent="0.2">
      <c r="B603" s="1515" t="str">
        <f t="shared" si="43"/>
        <v>Listes</v>
      </c>
      <c r="C603" s="312" t="str">
        <f t="shared" si="44"/>
        <v>N_Rib_GmftLists</v>
      </c>
      <c r="D603" s="1516" t="s">
        <v>9882</v>
      </c>
      <c r="E603" s="1516" t="s">
        <v>946</v>
      </c>
      <c r="F603" s="1576" t="s">
        <v>9883</v>
      </c>
      <c r="G603" s="1516" t="s">
        <v>9985</v>
      </c>
      <c r="H603" s="2191" t="s">
        <v>12689</v>
      </c>
      <c r="I603" s="1517"/>
      <c r="J603" s="1517"/>
      <c r="K603" s="1517"/>
      <c r="L603" s="1517"/>
    </row>
    <row r="604" spans="2:12" x14ac:dyDescent="0.2">
      <c r="B604" s="1515" t="str">
        <f t="shared" si="43"/>
        <v>Equipes</v>
      </c>
      <c r="C604" s="312" t="str">
        <f t="shared" si="44"/>
        <v>N_Rib_GmftTeams</v>
      </c>
      <c r="D604" s="1516" t="s">
        <v>797</v>
      </c>
      <c r="E604" s="1516" t="s">
        <v>1546</v>
      </c>
      <c r="F604" s="1576" t="s">
        <v>8913</v>
      </c>
      <c r="G604" s="1516" t="s">
        <v>11587</v>
      </c>
      <c r="H604" s="2191" t="s">
        <v>12279</v>
      </c>
      <c r="I604" s="1517"/>
      <c r="J604" s="1517"/>
      <c r="K604" s="1517"/>
      <c r="L604" s="1517"/>
    </row>
    <row r="605" spans="2:12" x14ac:dyDescent="0.2">
      <c r="B605" s="1515" t="str">
        <f t="shared" si="43"/>
        <v>Doubles</v>
      </c>
      <c r="C605" s="312" t="str">
        <f t="shared" si="44"/>
        <v>N_Rib_GmftDoubles</v>
      </c>
      <c r="D605" s="1516" t="s">
        <v>887</v>
      </c>
      <c r="E605" s="1516" t="s">
        <v>887</v>
      </c>
      <c r="F605" s="1576" t="s">
        <v>9884</v>
      </c>
      <c r="G605" s="1516" t="s">
        <v>11616</v>
      </c>
      <c r="H605" s="2191" t="s">
        <v>11616</v>
      </c>
      <c r="I605" s="1517"/>
      <c r="J605" s="1517"/>
      <c r="K605" s="1517"/>
      <c r="L605" s="1517"/>
    </row>
    <row r="606" spans="2:12" ht="25.5" x14ac:dyDescent="0.2">
      <c r="B606" s="1515" t="str">
        <f t="shared" si="43"/>
        <v>Afficher</v>
      </c>
      <c r="C606" s="312" t="str">
        <f t="shared" si="44"/>
        <v>N_Rib_GmftDatabaseSheets</v>
      </c>
      <c r="D606" s="1516" t="s">
        <v>7775</v>
      </c>
      <c r="E606" s="1516" t="s">
        <v>9885</v>
      </c>
      <c r="F606" s="1576" t="s">
        <v>9885</v>
      </c>
      <c r="G606" s="1516" t="s">
        <v>11764</v>
      </c>
      <c r="H606" s="2191" t="s">
        <v>9343</v>
      </c>
      <c r="I606" s="1517"/>
      <c r="J606" s="1517"/>
      <c r="K606" s="1517"/>
      <c r="L606" s="1517"/>
    </row>
    <row r="607" spans="2:12" ht="25.5" x14ac:dyDescent="0.2">
      <c r="B607" s="1515" t="str">
        <f t="shared" si="43"/>
        <v>feuilles Inscriptions</v>
      </c>
      <c r="C607" s="312" t="str">
        <f t="shared" si="44"/>
        <v>N_Rib_GmftHideRegistrations</v>
      </c>
      <c r="D607" s="1516" t="s">
        <v>10342</v>
      </c>
      <c r="E607" s="1516" t="s">
        <v>10347</v>
      </c>
      <c r="F607" s="1576" t="s">
        <v>10352</v>
      </c>
      <c r="G607" s="1516" t="s">
        <v>12065</v>
      </c>
      <c r="H607" s="2191" t="s">
        <v>12761</v>
      </c>
      <c r="I607" s="1517"/>
      <c r="J607" s="1517"/>
      <c r="K607" s="1517"/>
      <c r="L607" s="1517"/>
    </row>
    <row r="608" spans="2:12" ht="25.5" x14ac:dyDescent="0.2">
      <c r="B608" s="1515" t="str">
        <f t="shared" si="43"/>
        <v>feuilles Database</v>
      </c>
      <c r="C608" s="312" t="str">
        <f t="shared" si="44"/>
        <v>N_Rib_GmftHideDatabase</v>
      </c>
      <c r="D608" s="1516" t="s">
        <v>10343</v>
      </c>
      <c r="E608" s="1516" t="s">
        <v>10348</v>
      </c>
      <c r="F608" s="1576" t="s">
        <v>10353</v>
      </c>
      <c r="G608" s="1516" t="s">
        <v>12066</v>
      </c>
      <c r="H608" s="2191" t="s">
        <v>12762</v>
      </c>
      <c r="I608" s="1517"/>
      <c r="J608" s="1517"/>
      <c r="K608" s="1517"/>
      <c r="L608" s="1517"/>
    </row>
    <row r="609" spans="2:12" ht="25.5" x14ac:dyDescent="0.2">
      <c r="B609" s="1515" t="str">
        <f t="shared" si="43"/>
        <v>Planning</v>
      </c>
      <c r="C609" s="312" t="str">
        <f t="shared" si="44"/>
        <v>N_Rib_GmftHidePlanning</v>
      </c>
      <c r="D609" s="1516" t="s">
        <v>458</v>
      </c>
      <c r="E609" s="1516" t="s">
        <v>458</v>
      </c>
      <c r="F609" s="1576" t="s">
        <v>458</v>
      </c>
      <c r="G609" s="1516" t="s">
        <v>458</v>
      </c>
      <c r="H609" s="2191" t="s">
        <v>458</v>
      </c>
      <c r="I609" s="1517"/>
      <c r="J609" s="1517"/>
      <c r="K609" s="1517"/>
      <c r="L609" s="1517"/>
    </row>
    <row r="610" spans="2:12" x14ac:dyDescent="0.2">
      <c r="B610" s="1515" t="str">
        <f t="shared" si="43"/>
        <v>feuilles Compétition</v>
      </c>
      <c r="C610" s="312" t="str">
        <f t="shared" si="44"/>
        <v>N_Rib_GmftHideEvents</v>
      </c>
      <c r="D610" s="1516" t="s">
        <v>10344</v>
      </c>
      <c r="E610" s="1516" t="s">
        <v>10349</v>
      </c>
      <c r="F610" s="1576" t="s">
        <v>10354</v>
      </c>
      <c r="G610" s="1516" t="s">
        <v>12067</v>
      </c>
      <c r="H610" s="2191" t="s">
        <v>12763</v>
      </c>
      <c r="I610" s="1517"/>
      <c r="J610" s="1517"/>
      <c r="K610" s="1517"/>
      <c r="L610" s="1517"/>
    </row>
    <row r="611" spans="2:12" ht="25.5" x14ac:dyDescent="0.2">
      <c r="B611" s="1515" t="str">
        <f t="shared" si="43"/>
        <v>feuilles Tirage au Sort</v>
      </c>
      <c r="C611" s="312" t="str">
        <f t="shared" si="44"/>
        <v>N_Rib_GmftHideDraws</v>
      </c>
      <c r="D611" s="1516" t="s">
        <v>10345</v>
      </c>
      <c r="E611" s="1516" t="s">
        <v>10350</v>
      </c>
      <c r="F611" s="1576" t="s">
        <v>10355</v>
      </c>
      <c r="G611" s="1516" t="s">
        <v>12068</v>
      </c>
      <c r="H611" s="2191" t="s">
        <v>12764</v>
      </c>
      <c r="I611" s="1517"/>
      <c r="J611" s="1517"/>
      <c r="K611" s="1517"/>
      <c r="L611" s="1517"/>
    </row>
    <row r="612" spans="2:12" ht="25.5" x14ac:dyDescent="0.2">
      <c r="B612" s="1515" t="str">
        <f t="shared" si="43"/>
        <v>feuilles de Données de Compétition</v>
      </c>
      <c r="C612" s="312" t="str">
        <f t="shared" si="44"/>
        <v>N_Rib_GmftHideCompetitionData</v>
      </c>
      <c r="D612" s="1516" t="s">
        <v>10346</v>
      </c>
      <c r="E612" s="1516" t="s">
        <v>10351</v>
      </c>
      <c r="F612" s="1576" t="s">
        <v>10356</v>
      </c>
      <c r="G612" s="1516" t="s">
        <v>12069</v>
      </c>
      <c r="H612" s="2191" t="s">
        <v>12765</v>
      </c>
      <c r="I612" s="1517"/>
      <c r="J612" s="1517"/>
      <c r="K612" s="1517"/>
      <c r="L612" s="1517"/>
    </row>
    <row r="613" spans="2:12" x14ac:dyDescent="0.2">
      <c r="B613" s="1515" t="str">
        <f t="shared" si="43"/>
        <v>Venue</v>
      </c>
      <c r="C613" s="312" t="str">
        <f t="shared" si="44"/>
        <v>N_Rib_GmftHideVenue</v>
      </c>
      <c r="D613" s="1516" t="s">
        <v>2837</v>
      </c>
      <c r="E613" s="1516" t="s">
        <v>10335</v>
      </c>
      <c r="F613" s="1576" t="s">
        <v>2837</v>
      </c>
      <c r="G613" s="1516" t="s">
        <v>12070</v>
      </c>
      <c r="H613" s="2191" t="s">
        <v>12766</v>
      </c>
      <c r="I613" s="1517"/>
      <c r="J613" s="1517"/>
      <c r="K613" s="1517"/>
      <c r="L613" s="1517"/>
    </row>
    <row r="614" spans="2:12" ht="25.5" x14ac:dyDescent="0.2">
      <c r="B614" s="1515" t="str">
        <f t="shared" si="43"/>
        <v>Afficher</v>
      </c>
      <c r="C614" s="312" t="str">
        <f t="shared" si="44"/>
        <v>N_Rib_GmftRegistrationSheets</v>
      </c>
      <c r="D614" s="1516" t="s">
        <v>7775</v>
      </c>
      <c r="E614" s="1516" t="s">
        <v>9885</v>
      </c>
      <c r="F614" s="1576" t="s">
        <v>9885</v>
      </c>
      <c r="G614" s="1516" t="s">
        <v>11764</v>
      </c>
      <c r="H614" s="2191" t="s">
        <v>9343</v>
      </c>
      <c r="I614" s="1517"/>
      <c r="J614" s="1517"/>
      <c r="K614" s="1517"/>
      <c r="L614" s="1517"/>
    </row>
    <row r="615" spans="2:12" ht="25.5" x14ac:dyDescent="0.2">
      <c r="B615" s="1515" t="str">
        <f t="shared" si="43"/>
        <v>Compléter inscriptions</v>
      </c>
      <c r="C615" s="312" t="str">
        <f t="shared" si="44"/>
        <v>N_Rib_GmftCalculateCheckin</v>
      </c>
      <c r="D615" s="1516" t="s">
        <v>9886</v>
      </c>
      <c r="E615" s="1516" t="s">
        <v>9887</v>
      </c>
      <c r="F615" s="1576" t="s">
        <v>9888</v>
      </c>
      <c r="G615" s="1516" t="s">
        <v>12071</v>
      </c>
      <c r="H615" s="2191" t="s">
        <v>12767</v>
      </c>
      <c r="I615" s="1517"/>
      <c r="J615" s="1517"/>
      <c r="K615" s="1517"/>
      <c r="L615" s="1517"/>
    </row>
    <row r="616" spans="2:12" ht="25.5" x14ac:dyDescent="0.2">
      <c r="B616" s="1515" t="str">
        <f t="shared" si="43"/>
        <v>Checkin</v>
      </c>
      <c r="C616" s="312" t="str">
        <f t="shared" si="44"/>
        <v>N_Rib_GmftGroupCheckIn</v>
      </c>
      <c r="D616" s="1516" t="s">
        <v>942</v>
      </c>
      <c r="E616" s="1516" t="s">
        <v>942</v>
      </c>
      <c r="F616" s="1576" t="s">
        <v>942</v>
      </c>
      <c r="G616" s="1516" t="s">
        <v>12072</v>
      </c>
      <c r="H616" s="2191" t="s">
        <v>12072</v>
      </c>
      <c r="I616" s="1517"/>
      <c r="J616" s="1517"/>
      <c r="K616" s="1517"/>
      <c r="L616" s="1517"/>
    </row>
    <row r="617" spans="2:12" ht="25.5" x14ac:dyDescent="0.2">
      <c r="B617" s="1515" t="str">
        <f t="shared" si="43"/>
        <v>Nb articles</v>
      </c>
      <c r="C617" s="312" t="str">
        <f t="shared" si="44"/>
        <v>N_Rib_GmftNumberOfRowsToAdd</v>
      </c>
      <c r="D617" s="1516" t="s">
        <v>9889</v>
      </c>
      <c r="E617" s="1516" t="s">
        <v>9890</v>
      </c>
      <c r="F617" s="1576" t="s">
        <v>9891</v>
      </c>
      <c r="G617" s="1516" t="s">
        <v>12073</v>
      </c>
      <c r="H617" s="2191" t="s">
        <v>12768</v>
      </c>
      <c r="I617" s="1517"/>
      <c r="J617" s="1517"/>
      <c r="K617" s="1517"/>
      <c r="L617" s="1517"/>
    </row>
    <row r="618" spans="2:12" ht="25.5" x14ac:dyDescent="0.2">
      <c r="B618" s="1515" t="str">
        <f t="shared" si="43"/>
        <v>Ajouter</v>
      </c>
      <c r="C618" s="312" t="str">
        <f t="shared" si="44"/>
        <v>N_Rib_GmftListsAddRows</v>
      </c>
      <c r="D618" s="1516" t="s">
        <v>9892</v>
      </c>
      <c r="E618" s="1516" t="s">
        <v>9893</v>
      </c>
      <c r="F618" s="1576" t="s">
        <v>9894</v>
      </c>
      <c r="G618" s="1516" t="s">
        <v>12074</v>
      </c>
      <c r="H618" s="2191" t="s">
        <v>12769</v>
      </c>
      <c r="I618" s="1517"/>
      <c r="J618" s="1517"/>
      <c r="K618" s="1517"/>
      <c r="L618" s="1517"/>
    </row>
    <row r="619" spans="2:12" ht="25.5" x14ac:dyDescent="0.2">
      <c r="B619" s="1515" t="str">
        <f t="shared" si="43"/>
        <v>Supprimer 1 article</v>
      </c>
      <c r="C619" s="312" t="str">
        <f t="shared" si="44"/>
        <v>N_Rib_GmftListsRemoveRows</v>
      </c>
      <c r="D619" s="1516" t="s">
        <v>9895</v>
      </c>
      <c r="E619" s="1516" t="s">
        <v>9896</v>
      </c>
      <c r="F619" s="1576" t="s">
        <v>9897</v>
      </c>
      <c r="G619" s="1516" t="s">
        <v>12075</v>
      </c>
      <c r="H619" s="2191" t="s">
        <v>12770</v>
      </c>
      <c r="I619" s="1517"/>
      <c r="J619" s="1517"/>
      <c r="K619" s="1517"/>
      <c r="L619" s="1517"/>
    </row>
    <row r="620" spans="2:12" ht="25.5" x14ac:dyDescent="0.2">
      <c r="B620" s="1515" t="str">
        <f t="shared" si="43"/>
        <v>Gestion de liste</v>
      </c>
      <c r="C620" s="312" t="str">
        <f t="shared" si="44"/>
        <v>N_Rib_GmftGroupListMgt</v>
      </c>
      <c r="D620" s="1516" t="s">
        <v>9898</v>
      </c>
      <c r="E620" s="1516" t="s">
        <v>9899</v>
      </c>
      <c r="F620" s="1576" t="s">
        <v>9900</v>
      </c>
      <c r="G620" s="1516" t="s">
        <v>12076</v>
      </c>
      <c r="H620" s="2191" t="s">
        <v>12771</v>
      </c>
      <c r="I620" s="1517"/>
      <c r="J620" s="1517"/>
      <c r="K620" s="1517"/>
      <c r="L620" s="1517"/>
    </row>
    <row r="621" spans="2:12" ht="25.5" x14ac:dyDescent="0.2">
      <c r="B621" s="1515" t="str">
        <f t="shared" ref="B621:B652" si="45">HLOOKUP(Language,D$2:L$1114,ROW()-1,FALSE)</f>
        <v>Navigation</v>
      </c>
      <c r="C621" s="312" t="str">
        <f t="shared" si="44"/>
        <v>N_Rib_GmftGroupNavigation</v>
      </c>
      <c r="D621" s="1516" t="s">
        <v>9901</v>
      </c>
      <c r="E621" s="1516" t="s">
        <v>9901</v>
      </c>
      <c r="F621" s="1576" t="s">
        <v>9902</v>
      </c>
      <c r="G621" s="1516" t="s">
        <v>12077</v>
      </c>
      <c r="H621" s="2191" t="s">
        <v>12694</v>
      </c>
      <c r="I621" s="1517"/>
      <c r="J621" s="1517"/>
      <c r="K621" s="1517"/>
      <c r="L621" s="1517"/>
    </row>
    <row r="622" spans="2:12" x14ac:dyDescent="0.2">
      <c r="B622" s="1515" t="str">
        <f t="shared" si="45"/>
        <v>Afficher les feuilles</v>
      </c>
      <c r="C622" s="312" t="str">
        <f>NAMEOF(B622)</f>
        <v>N_Rib_GmftMenuNav</v>
      </c>
      <c r="D622" s="1516" t="s">
        <v>9903</v>
      </c>
      <c r="E622" s="1516" t="s">
        <v>9904</v>
      </c>
      <c r="F622" s="1576" t="s">
        <v>9905</v>
      </c>
      <c r="G622" s="1516" t="s">
        <v>12078</v>
      </c>
      <c r="H622" s="2191" t="s">
        <v>12691</v>
      </c>
      <c r="I622" s="1517"/>
      <c r="J622" s="1517"/>
      <c r="K622" s="1517"/>
      <c r="L622" s="1517"/>
    </row>
    <row r="623" spans="2:12" ht="25.5" x14ac:dyDescent="0.2">
      <c r="B623" s="1515" t="str">
        <f t="shared" si="45"/>
        <v>Masquer les feuilles</v>
      </c>
      <c r="C623" s="312" t="str">
        <f>NAMEOF(B623)</f>
        <v>N_Rib_GmftMenuNavHide</v>
      </c>
      <c r="D623" s="1516" t="s">
        <v>9906</v>
      </c>
      <c r="E623" s="1516" t="s">
        <v>9907</v>
      </c>
      <c r="F623" s="1576" t="s">
        <v>9908</v>
      </c>
      <c r="G623" s="1516" t="s">
        <v>12079</v>
      </c>
      <c r="H623" s="2191" t="s">
        <v>12692</v>
      </c>
      <c r="I623" s="1517"/>
      <c r="J623" s="1517"/>
      <c r="K623" s="1517"/>
      <c r="L623" s="1517"/>
    </row>
    <row r="624" spans="2:12" ht="25.5" x14ac:dyDescent="0.2">
      <c r="B624" s="1515" t="str">
        <f t="shared" si="45"/>
        <v>Licences</v>
      </c>
      <c r="C624" s="312" t="str">
        <f t="shared" si="44"/>
        <v>N_Rib_GmftGroupLicences</v>
      </c>
      <c r="D624" s="1516" t="s">
        <v>9915</v>
      </c>
      <c r="E624" s="1516" t="s">
        <v>9915</v>
      </c>
      <c r="F624" s="1576" t="s">
        <v>9917</v>
      </c>
      <c r="G624" s="1516" t="s">
        <v>12080</v>
      </c>
      <c r="H624" s="2191" t="s">
        <v>12693</v>
      </c>
      <c r="I624" s="1517"/>
      <c r="J624" s="1517"/>
      <c r="K624" s="1517"/>
      <c r="L624" s="1517"/>
    </row>
    <row r="625" spans="2:12" x14ac:dyDescent="0.2">
      <c r="B625" s="1515" t="str">
        <f t="shared" si="45"/>
        <v>Clubs</v>
      </c>
      <c r="C625" s="312" t="str">
        <f>NAMEOF(B625)</f>
        <v>N_Rib_GmftGroupClubs</v>
      </c>
      <c r="D625" s="1516" t="s">
        <v>9916</v>
      </c>
      <c r="E625" s="1516" t="s">
        <v>9916</v>
      </c>
      <c r="F625" s="1576" t="s">
        <v>881</v>
      </c>
      <c r="G625" s="1516" t="s">
        <v>9916</v>
      </c>
      <c r="H625" s="2191" t="s">
        <v>9916</v>
      </c>
      <c r="I625" s="1517"/>
      <c r="J625" s="1517"/>
      <c r="K625" s="1517"/>
      <c r="L625" s="1517"/>
    </row>
    <row r="626" spans="2:12" ht="25.5" x14ac:dyDescent="0.2">
      <c r="B626" s="1515" t="str">
        <f t="shared" si="45"/>
        <v>Classement</v>
      </c>
      <c r="C626" s="312" t="str">
        <f t="shared" si="44"/>
        <v>N_Rib_GmftGroupRanking</v>
      </c>
      <c r="D626" s="1516" t="s">
        <v>8892</v>
      </c>
      <c r="E626" s="1516" t="s">
        <v>1552</v>
      </c>
      <c r="F626" s="1576" t="s">
        <v>9918</v>
      </c>
      <c r="G626" s="1516" t="s">
        <v>12081</v>
      </c>
      <c r="H626" s="2191" t="s">
        <v>12695</v>
      </c>
      <c r="I626" s="1517"/>
      <c r="J626" s="1517"/>
      <c r="K626" s="1517"/>
      <c r="L626" s="1517"/>
    </row>
    <row r="627" spans="2:12" ht="25.5" x14ac:dyDescent="0.2">
      <c r="B627" s="1515" t="str">
        <f t="shared" si="45"/>
        <v>Classement Equipes</v>
      </c>
      <c r="C627" s="312" t="str">
        <f>NAMEOF(B627)</f>
        <v>N_Rib_GmftGroupRankingTeams</v>
      </c>
      <c r="D627" s="1516" t="s">
        <v>9920</v>
      </c>
      <c r="E627" s="1516" t="s">
        <v>9496</v>
      </c>
      <c r="F627" s="1576" t="s">
        <v>9919</v>
      </c>
      <c r="G627" s="1516" t="s">
        <v>11900</v>
      </c>
      <c r="H627" s="2191" t="s">
        <v>12696</v>
      </c>
      <c r="I627" s="1517"/>
      <c r="J627" s="1517"/>
      <c r="K627" s="1517"/>
      <c r="L627" s="1517"/>
    </row>
    <row r="628" spans="2:12" ht="25.5" x14ac:dyDescent="0.2">
      <c r="B628" s="1515" t="str">
        <f t="shared" si="45"/>
        <v>Equipes</v>
      </c>
      <c r="C628" s="312" t="str">
        <f t="shared" si="44"/>
        <v>N_Rib_GmftGroupTeams</v>
      </c>
      <c r="D628" s="1516" t="s">
        <v>797</v>
      </c>
      <c r="E628" s="1516" t="s">
        <v>1546</v>
      </c>
      <c r="F628" s="1576" t="s">
        <v>8913</v>
      </c>
      <c r="G628" s="1516" t="s">
        <v>11587</v>
      </c>
      <c r="H628" s="2191" t="s">
        <v>12279</v>
      </c>
      <c r="I628" s="1517"/>
      <c r="J628" s="1517"/>
      <c r="K628" s="1517"/>
      <c r="L628" s="1517"/>
    </row>
    <row r="629" spans="2:12" ht="25.5" x14ac:dyDescent="0.2">
      <c r="B629" s="1515" t="str">
        <f t="shared" si="45"/>
        <v>Arbitrages</v>
      </c>
      <c r="C629" s="312" t="str">
        <f>NAMEOF(B629)</f>
        <v>N_Rib_GmftGroupRefereeing</v>
      </c>
      <c r="D629" s="1516" t="s">
        <v>10309</v>
      </c>
      <c r="E629" s="1516" t="s">
        <v>461</v>
      </c>
      <c r="F629" s="1576" t="s">
        <v>10310</v>
      </c>
      <c r="G629" s="1516" t="s">
        <v>12082</v>
      </c>
      <c r="H629" s="2191" t="s">
        <v>12772</v>
      </c>
      <c r="I629" s="1517"/>
      <c r="J629" s="1517"/>
      <c r="K629" s="1517"/>
      <c r="L629" s="1517"/>
    </row>
    <row r="630" spans="2:12" ht="25.5" x14ac:dyDescent="0.2">
      <c r="B630" s="1515" t="str">
        <f t="shared" si="45"/>
        <v>Agenda</v>
      </c>
      <c r="C630" s="312" t="str">
        <f t="shared" si="44"/>
        <v>N_Rib_GmftGroupTimeline</v>
      </c>
      <c r="D630" s="1516" t="s">
        <v>10312</v>
      </c>
      <c r="E630" s="1516" t="s">
        <v>7855</v>
      </c>
      <c r="F630" s="1576" t="s">
        <v>10311</v>
      </c>
      <c r="G630" s="1516" t="s">
        <v>12083</v>
      </c>
      <c r="H630" s="2191" t="s">
        <v>12083</v>
      </c>
      <c r="I630" s="1517"/>
      <c r="J630" s="1517"/>
      <c r="K630" s="1517"/>
      <c r="L630" s="1517"/>
    </row>
    <row r="631" spans="2:12" x14ac:dyDescent="0.2">
      <c r="B631" s="1515" t="str">
        <f t="shared" si="45"/>
        <v>Statistiques</v>
      </c>
      <c r="C631" s="312" t="str">
        <f>NAMEOF(B631)</f>
        <v>N_Rib_GmftGroupStats</v>
      </c>
      <c r="D631" s="1516" t="s">
        <v>7971</v>
      </c>
      <c r="E631" s="1516" t="s">
        <v>10313</v>
      </c>
      <c r="F631" s="1576" t="s">
        <v>10314</v>
      </c>
      <c r="G631" s="1516" t="s">
        <v>12040</v>
      </c>
      <c r="H631" s="2191" t="s">
        <v>12773</v>
      </c>
      <c r="I631" s="1517"/>
      <c r="J631" s="1517"/>
      <c r="K631" s="1517"/>
      <c r="L631" s="1517"/>
    </row>
    <row r="632" spans="2:12" ht="25.5" x14ac:dyDescent="0.2">
      <c r="B632" s="1515" t="str">
        <f t="shared" si="45"/>
        <v>Rafraîchir</v>
      </c>
      <c r="C632" s="312" t="str">
        <f>NAMEOF(B632)</f>
        <v>N_Rib_GmftUpdatePlayerTimelineFromTimeline</v>
      </c>
      <c r="D632" s="1516" t="s">
        <v>10574</v>
      </c>
      <c r="E632" s="1516" t="s">
        <v>10315</v>
      </c>
      <c r="F632" s="1576" t="s">
        <v>10316</v>
      </c>
      <c r="G632" s="1516" t="s">
        <v>12084</v>
      </c>
      <c r="H632" s="2191" t="s">
        <v>12084</v>
      </c>
      <c r="I632" s="1517"/>
      <c r="J632" s="1517"/>
      <c r="K632" s="1517"/>
      <c r="L632" s="1517"/>
    </row>
    <row r="633" spans="2:12" ht="25.5" x14ac:dyDescent="0.2">
      <c r="B633" s="1515" t="str">
        <f t="shared" si="45"/>
        <v>Définir Table</v>
      </c>
      <c r="C633" s="312" t="str">
        <f>NAMEOF(B633)</f>
        <v>N_Rib_GmftCreateTableName</v>
      </c>
      <c r="D633" s="1516" t="s">
        <v>10317</v>
      </c>
      <c r="E633" s="1516" t="s">
        <v>10318</v>
      </c>
      <c r="F633" s="1576" t="s">
        <v>10324</v>
      </c>
      <c r="G633" s="1516" t="s">
        <v>12085</v>
      </c>
      <c r="H633" s="2191" t="s">
        <v>12774</v>
      </c>
      <c r="I633" s="1517"/>
      <c r="J633" s="1517"/>
      <c r="K633" s="1517"/>
      <c r="L633" s="1517"/>
    </row>
    <row r="634" spans="2:12" ht="25.5" x14ac:dyDescent="0.2">
      <c r="B634" s="1515" t="str">
        <f t="shared" si="45"/>
        <v>Définir Groupe de Tables</v>
      </c>
      <c r="C634" s="312" t="str">
        <f>NAMEOF(B634)</f>
        <v>N_Rib_GmftCreateGroupOfTablesName</v>
      </c>
      <c r="D634" s="1516" t="s">
        <v>10320</v>
      </c>
      <c r="E634" s="1516" t="s">
        <v>10321</v>
      </c>
      <c r="F634" s="1576" t="s">
        <v>10325</v>
      </c>
      <c r="G634" s="1516" t="s">
        <v>12086</v>
      </c>
      <c r="H634" s="2191" t="s">
        <v>12775</v>
      </c>
      <c r="I634" s="1517"/>
      <c r="J634" s="1517"/>
      <c r="K634" s="1517"/>
      <c r="L634" s="1517"/>
    </row>
    <row r="635" spans="2:12" ht="25.5" x14ac:dyDescent="0.2">
      <c r="B635" s="1515" t="str">
        <f t="shared" si="45"/>
        <v>Définir Modèle</v>
      </c>
      <c r="C635" s="312" t="str">
        <f>NAMEOF(B635)</f>
        <v>N_Rib_GmftCreateModel</v>
      </c>
      <c r="D635" s="1516" t="s">
        <v>10319</v>
      </c>
      <c r="E635" s="1516" t="s">
        <v>10322</v>
      </c>
      <c r="F635" s="1576" t="s">
        <v>10323</v>
      </c>
      <c r="G635" s="1516" t="s">
        <v>12087</v>
      </c>
      <c r="H635" s="2191" t="s">
        <v>12776</v>
      </c>
      <c r="I635" s="1517"/>
      <c r="J635" s="1517"/>
      <c r="K635" s="1517"/>
      <c r="L635" s="1517"/>
    </row>
    <row r="636" spans="2:12" ht="25.5" x14ac:dyDescent="0.2">
      <c r="B636" s="1515" t="str">
        <f t="shared" si="45"/>
        <v>Indéfinir Toutes les Tables</v>
      </c>
      <c r="C636" s="312" t="str">
        <f t="shared" si="44"/>
        <v>N_Rib_GmftUndefineTableNames</v>
      </c>
      <c r="D636" s="1516" t="s">
        <v>10327</v>
      </c>
      <c r="E636" s="1516" t="s">
        <v>10326</v>
      </c>
      <c r="F636" s="1576" t="s">
        <v>10332</v>
      </c>
      <c r="G636" s="1516" t="s">
        <v>12091</v>
      </c>
      <c r="H636" s="2191" t="s">
        <v>12777</v>
      </c>
      <c r="I636" s="1517"/>
      <c r="J636" s="1517"/>
      <c r="K636" s="1517"/>
      <c r="L636" s="1517"/>
    </row>
    <row r="637" spans="2:12" ht="25.5" x14ac:dyDescent="0.2">
      <c r="B637" s="1515" t="str">
        <f t="shared" si="45"/>
        <v>Indéfinir Tous les Groupes</v>
      </c>
      <c r="C637" s="312" t="str">
        <f>NAMEOF(B637)</f>
        <v>N_Rib_GmftUndefineGroupOfTableNames</v>
      </c>
      <c r="D637" s="1516" t="s">
        <v>10328</v>
      </c>
      <c r="E637" s="1516" t="s">
        <v>10330</v>
      </c>
      <c r="F637" s="1576" t="s">
        <v>10333</v>
      </c>
      <c r="G637" s="1516" t="s">
        <v>12090</v>
      </c>
      <c r="H637" s="2191" t="s">
        <v>12778</v>
      </c>
      <c r="I637" s="1517"/>
      <c r="J637" s="1517"/>
      <c r="K637" s="1517"/>
      <c r="L637" s="1517"/>
    </row>
    <row r="638" spans="2:12" ht="25.5" x14ac:dyDescent="0.2">
      <c r="B638" s="1515" t="str">
        <f t="shared" si="45"/>
        <v>Indéfinir Tous les Modèles</v>
      </c>
      <c r="C638" s="312" t="str">
        <f>NAMEOF(B638)</f>
        <v>N_Rib_GmftUndefineModels</v>
      </c>
      <c r="D638" s="1516" t="s">
        <v>10329</v>
      </c>
      <c r="E638" s="1516" t="s">
        <v>10331</v>
      </c>
      <c r="F638" s="1576" t="s">
        <v>10334</v>
      </c>
      <c r="G638" s="1516" t="s">
        <v>12089</v>
      </c>
      <c r="H638" s="2191" t="s">
        <v>12779</v>
      </c>
      <c r="I638" s="1517"/>
      <c r="J638" s="1517"/>
      <c r="K638" s="1517"/>
      <c r="L638" s="1517"/>
    </row>
    <row r="639" spans="2:12" ht="25.5" x14ac:dyDescent="0.2">
      <c r="B639" s="1515" t="str">
        <f t="shared" si="45"/>
        <v>Design de la Salle</v>
      </c>
      <c r="C639" s="312" t="str">
        <f>NAMEOF(B639)</f>
        <v>N_Rib_GmftGroupVenueDefinition</v>
      </c>
      <c r="D639" s="1516" t="s">
        <v>10336</v>
      </c>
      <c r="E639" s="1516" t="s">
        <v>10337</v>
      </c>
      <c r="F639" s="1576" t="s">
        <v>10338</v>
      </c>
      <c r="G639" s="1516" t="s">
        <v>12088</v>
      </c>
      <c r="H639" s="2191" t="s">
        <v>12780</v>
      </c>
      <c r="I639" s="1517"/>
      <c r="J639" s="1517"/>
      <c r="K639" s="1517"/>
      <c r="L639" s="1517"/>
    </row>
    <row r="640" spans="2:12" ht="25.5" x14ac:dyDescent="0.2">
      <c r="B640" s="1515" t="str">
        <f t="shared" si="45"/>
        <v>Affichage Occupation Salle</v>
      </c>
      <c r="C640" s="312" t="str">
        <f t="shared" ref="C640:C665" si="46">NAMEOF(B640)</f>
        <v>N_Rib_GmftGroupVenueShow</v>
      </c>
      <c r="D640" s="1516" t="s">
        <v>10339</v>
      </c>
      <c r="E640" s="1516" t="s">
        <v>10340</v>
      </c>
      <c r="F640" s="1576" t="s">
        <v>10341</v>
      </c>
      <c r="G640" s="1516" t="s">
        <v>12092</v>
      </c>
      <c r="H640" s="2191" t="s">
        <v>12781</v>
      </c>
      <c r="I640" s="1517"/>
      <c r="J640" s="1517"/>
      <c r="K640" s="1517"/>
      <c r="L640" s="1517"/>
    </row>
    <row r="641" spans="2:12" ht="25.5" x14ac:dyDescent="0.2">
      <c r="B641" s="1515" t="str">
        <f t="shared" si="45"/>
        <v>Accueil</v>
      </c>
      <c r="C641" s="312" t="str">
        <f t="shared" si="46"/>
        <v>N_Rib_ScrTip_GmftHome</v>
      </c>
      <c r="D641" s="1516" t="s">
        <v>9858</v>
      </c>
      <c r="E641" s="1516" t="s">
        <v>10366</v>
      </c>
      <c r="F641" s="1576" t="s">
        <v>9859</v>
      </c>
      <c r="G641" s="1516" t="s">
        <v>11892</v>
      </c>
      <c r="H641" s="2191" t="s">
        <v>12752</v>
      </c>
      <c r="I641" s="1517"/>
      <c r="J641" s="1517"/>
      <c r="K641" s="1517"/>
      <c r="L641" s="1517"/>
    </row>
    <row r="642" spans="2:12" ht="25.5" x14ac:dyDescent="0.2">
      <c r="B642" s="1515" t="str">
        <f t="shared" si="45"/>
        <v>Retour à la feuille d'accueil</v>
      </c>
      <c r="C642" s="312" t="str">
        <f t="shared" si="46"/>
        <v>N_Rib_SupTip_GmftHome</v>
      </c>
      <c r="D642" s="1516" t="s">
        <v>10368</v>
      </c>
      <c r="E642" s="1516" t="s">
        <v>10340</v>
      </c>
      <c r="F642" s="1576" t="s">
        <v>10367</v>
      </c>
      <c r="G642" s="1516" t="s">
        <v>12093</v>
      </c>
      <c r="H642" s="2191" t="s">
        <v>12782</v>
      </c>
      <c r="I642" s="1517"/>
      <c r="J642" s="1517"/>
      <c r="K642" s="1517"/>
      <c r="L642" s="1517"/>
    </row>
    <row r="643" spans="2:12" ht="25.5" x14ac:dyDescent="0.2">
      <c r="B643" s="1515" t="str">
        <f t="shared" si="45"/>
        <v>Version</v>
      </c>
      <c r="C643" s="312" t="str">
        <f t="shared" si="46"/>
        <v>N_Rib_ScrTip_GmftVersion</v>
      </c>
      <c r="D643" s="1516" t="s">
        <v>957</v>
      </c>
      <c r="E643" s="1516" t="s">
        <v>957</v>
      </c>
      <c r="F643" s="1576" t="s">
        <v>9093</v>
      </c>
      <c r="G643" s="1516" t="s">
        <v>11769</v>
      </c>
      <c r="H643" s="2191" t="s">
        <v>12783</v>
      </c>
      <c r="I643" s="1517"/>
      <c r="J643" s="1517"/>
      <c r="K643" s="1517"/>
      <c r="L643" s="1517"/>
    </row>
    <row r="644" spans="2:12" ht="25.5" x14ac:dyDescent="0.2">
      <c r="B644" s="1515" t="str">
        <f t="shared" si="45"/>
        <v>Evolutions du logiciel GMFT</v>
      </c>
      <c r="C644" s="312" t="str">
        <f t="shared" si="46"/>
        <v>N_Rib_SupTip_GmftVersion</v>
      </c>
      <c r="D644" s="1516" t="s">
        <v>10363</v>
      </c>
      <c r="E644" s="1516" t="s">
        <v>10364</v>
      </c>
      <c r="F644" s="1576" t="s">
        <v>10365</v>
      </c>
      <c r="G644" s="1516" t="s">
        <v>12095</v>
      </c>
      <c r="H644" s="2191" t="s">
        <v>12784</v>
      </c>
      <c r="I644" s="1517"/>
      <c r="J644" s="1517"/>
      <c r="K644" s="1517"/>
      <c r="L644" s="1517"/>
    </row>
    <row r="645" spans="2:12" ht="25.5" x14ac:dyDescent="0.2">
      <c r="B645" s="1515" t="str">
        <f t="shared" si="45"/>
        <v>Paramètres</v>
      </c>
      <c r="C645" s="312" t="str">
        <f t="shared" si="46"/>
        <v>N_Rib_ScrTip_GmftParameters</v>
      </c>
      <c r="D645" s="1516" t="s">
        <v>10357</v>
      </c>
      <c r="E645" s="1516" t="s">
        <v>10358</v>
      </c>
      <c r="F645" s="1576" t="s">
        <v>10362</v>
      </c>
      <c r="G645" s="1516" t="s">
        <v>12094</v>
      </c>
      <c r="H645" s="2191" t="s">
        <v>12785</v>
      </c>
      <c r="I645" s="1517"/>
      <c r="J645" s="1517"/>
      <c r="K645" s="1517"/>
      <c r="L645" s="1517"/>
    </row>
    <row r="646" spans="2:12" ht="102" x14ac:dyDescent="0.2">
      <c r="B646" s="1515" t="str">
        <f t="shared" si="45"/>
        <v>Accéder à la configuration de GMFT pour modifier les valeurs des paramètres ainsi que l'adaptation des modèles pour les exports.</v>
      </c>
      <c r="C646" s="312" t="str">
        <f t="shared" si="46"/>
        <v>N_Rib_SupTip_GmftParameters</v>
      </c>
      <c r="D646" s="1516" t="s">
        <v>10359</v>
      </c>
      <c r="E646" s="1516" t="s">
        <v>10360</v>
      </c>
      <c r="F646" s="1576" t="s">
        <v>10361</v>
      </c>
      <c r="G646" s="1516" t="s">
        <v>12096</v>
      </c>
      <c r="H646" s="2191" t="s">
        <v>12786</v>
      </c>
      <c r="I646" s="1517"/>
      <c r="J646" s="1517"/>
      <c r="K646" s="1517"/>
      <c r="L646" s="1517"/>
    </row>
    <row r="647" spans="2:12" ht="17.25" customHeight="1" x14ac:dyDescent="0.2">
      <c r="B647" s="1515" t="str">
        <f t="shared" si="45"/>
        <v>Création Compétition | Individuels | Equipes | Doubles</v>
      </c>
      <c r="C647" s="312" t="str">
        <f t="shared" si="46"/>
        <v>N_Rib_GmftGroupHomeCreateEvents</v>
      </c>
      <c r="D647" s="1516" t="s">
        <v>10399</v>
      </c>
      <c r="E647" s="1516" t="s">
        <v>10396</v>
      </c>
      <c r="F647" s="1576" t="s">
        <v>10397</v>
      </c>
      <c r="G647" s="1516" t="s">
        <v>12097</v>
      </c>
      <c r="H647" s="2191" t="s">
        <v>12789</v>
      </c>
      <c r="I647" s="1517"/>
      <c r="J647" s="1517"/>
      <c r="K647" s="1517"/>
      <c r="L647" s="1517"/>
    </row>
    <row r="648" spans="2:12" ht="25.5" x14ac:dyDescent="0.2">
      <c r="B648" s="1515" t="str">
        <f t="shared" si="45"/>
        <v>FISTF Officiel</v>
      </c>
      <c r="C648" s="312" t="str">
        <f t="shared" si="46"/>
        <v>N_Rib_GmftNewEvent_FISTF</v>
      </c>
      <c r="D648" s="1516" t="s">
        <v>10369</v>
      </c>
      <c r="E648" s="1516" t="s">
        <v>10370</v>
      </c>
      <c r="F648" s="1576" t="s">
        <v>10398</v>
      </c>
      <c r="G648" s="1516" t="s">
        <v>12098</v>
      </c>
      <c r="H648" s="2191" t="s">
        <v>12098</v>
      </c>
      <c r="I648" s="1517"/>
      <c r="J648" s="1517"/>
      <c r="K648" s="1517"/>
      <c r="L648" s="1517"/>
    </row>
    <row r="649" spans="2:12" ht="25.5" x14ac:dyDescent="0.2">
      <c r="B649" s="1515" t="str">
        <f t="shared" si="45"/>
        <v>Formules prédéfinies</v>
      </c>
      <c r="C649" s="312" t="str">
        <f t="shared" si="46"/>
        <v>N_Rib_GmftNewEvent_Predefined</v>
      </c>
      <c r="D649" s="1516" t="s">
        <v>10371</v>
      </c>
      <c r="E649" s="1516" t="s">
        <v>10372</v>
      </c>
      <c r="F649" s="1576" t="s">
        <v>10373</v>
      </c>
      <c r="G649" s="1516" t="s">
        <v>12099</v>
      </c>
      <c r="H649" s="2191" t="s">
        <v>12790</v>
      </c>
      <c r="I649" s="1517"/>
      <c r="J649" s="1517"/>
      <c r="K649" s="1517"/>
      <c r="L649" s="1517"/>
    </row>
    <row r="650" spans="2:12" ht="25.5" x14ac:dyDescent="0.2">
      <c r="B650" s="1515" t="str">
        <f t="shared" si="45"/>
        <v>Composer les formules</v>
      </c>
      <c r="C650" s="312" t="str">
        <f t="shared" si="46"/>
        <v>N_Rib_GmftNewEvent_Custom</v>
      </c>
      <c r="D650" s="1516" t="s">
        <v>10375</v>
      </c>
      <c r="E650" s="1516" t="s">
        <v>10374</v>
      </c>
      <c r="F650" s="1576" t="s">
        <v>10376</v>
      </c>
      <c r="G650" s="1516" t="s">
        <v>12100</v>
      </c>
      <c r="H650" s="2191" t="s">
        <v>12791</v>
      </c>
      <c r="I650" s="1517"/>
      <c r="J650" s="1517"/>
      <c r="K650" s="1517"/>
      <c r="L650" s="1517"/>
    </row>
    <row r="651" spans="2:12" ht="25.5" x14ac:dyDescent="0.2">
      <c r="B651" s="1515" t="str">
        <f t="shared" si="45"/>
        <v>Exports</v>
      </c>
      <c r="C651" s="312" t="str">
        <f t="shared" si="46"/>
        <v>N_Rib_GmftGroupHomeExport</v>
      </c>
      <c r="D651" s="1516" t="s">
        <v>10377</v>
      </c>
      <c r="E651" s="1516" t="s">
        <v>10377</v>
      </c>
      <c r="F651" s="1576" t="s">
        <v>10387</v>
      </c>
      <c r="G651" s="1516" t="s">
        <v>12101</v>
      </c>
      <c r="H651" s="2191" t="s">
        <v>12101</v>
      </c>
      <c r="I651" s="1517"/>
      <c r="J651" s="1517"/>
      <c r="K651" s="1517"/>
      <c r="L651" s="1517"/>
    </row>
    <row r="652" spans="2:12" ht="25.5" x14ac:dyDescent="0.2">
      <c r="B652" s="1515" t="str">
        <f t="shared" si="45"/>
        <v>Site Web</v>
      </c>
      <c r="C652" s="312" t="str">
        <f t="shared" si="46"/>
        <v>N_Rib_GmftWebSiteExport</v>
      </c>
      <c r="D652" s="1516" t="s">
        <v>10378</v>
      </c>
      <c r="E652" s="1516" t="s">
        <v>10379</v>
      </c>
      <c r="F652" s="1576" t="s">
        <v>10386</v>
      </c>
      <c r="G652" s="1516" t="s">
        <v>12102</v>
      </c>
      <c r="H652" s="2191" t="s">
        <v>12792</v>
      </c>
      <c r="I652" s="1517"/>
      <c r="J652" s="1517"/>
      <c r="K652" s="1517"/>
      <c r="L652" s="1517"/>
    </row>
    <row r="653" spans="2:12" ht="25.5" x14ac:dyDescent="0.2">
      <c r="B653" s="1515" t="str">
        <f t="shared" ref="B653" si="47">HLOOKUP(Language,D$2:L$1114,ROW()-1,FALSE)</f>
        <v>Inscriptions</v>
      </c>
      <c r="C653" s="312" t="str">
        <f t="shared" ref="C653" si="48">NAMEOF(B653)</f>
        <v>N_Rib_GmftRegistrationsExport</v>
      </c>
      <c r="D653" s="1516" t="s">
        <v>9878</v>
      </c>
      <c r="E653" s="1516" t="s">
        <v>9879</v>
      </c>
      <c r="F653" s="1576" t="s">
        <v>10403</v>
      </c>
      <c r="G653" s="1516" t="s">
        <v>12103</v>
      </c>
      <c r="H653" s="2191" t="s">
        <v>12793</v>
      </c>
      <c r="I653" s="1517"/>
      <c r="J653" s="1517"/>
      <c r="K653" s="1517"/>
      <c r="L653" s="1517"/>
    </row>
    <row r="654" spans="2:12" ht="25.5" x14ac:dyDescent="0.2">
      <c r="B654" s="1515" t="str">
        <f t="shared" ref="B654:B688" si="49">HLOOKUP(Language,D$2:L$1114,ROW()-1,FALSE)</f>
        <v>Export FISTF</v>
      </c>
      <c r="C654" s="312" t="str">
        <f t="shared" si="46"/>
        <v>N_Rib_GmftFISTFExport</v>
      </c>
      <c r="D654" s="1516" t="s">
        <v>10380</v>
      </c>
      <c r="E654" s="1516" t="s">
        <v>10381</v>
      </c>
      <c r="F654" s="1576" t="s">
        <v>10385</v>
      </c>
      <c r="G654" s="1516" t="s">
        <v>12104</v>
      </c>
      <c r="H654" s="2191" t="s">
        <v>12104</v>
      </c>
      <c r="I654" s="1517"/>
      <c r="J654" s="1517"/>
      <c r="K654" s="1517"/>
      <c r="L654" s="1517"/>
    </row>
    <row r="655" spans="2:12" ht="25.5" x14ac:dyDescent="0.2">
      <c r="B655" s="1515" t="str">
        <f t="shared" si="49"/>
        <v>Impressions / Publications</v>
      </c>
      <c r="C655" s="312" t="str">
        <f t="shared" si="46"/>
        <v>N_Rib_GmftGroupHomePrinting</v>
      </c>
      <c r="D655" s="1516" t="s">
        <v>11552</v>
      </c>
      <c r="E655" s="1516" t="s">
        <v>11551</v>
      </c>
      <c r="F655" s="1576" t="s">
        <v>11553</v>
      </c>
      <c r="G655" s="1516" t="s">
        <v>12105</v>
      </c>
      <c r="H655" s="2191" t="s">
        <v>12105</v>
      </c>
      <c r="I655" s="1517"/>
      <c r="J655" s="1517"/>
      <c r="K655" s="1517"/>
      <c r="L655" s="1517"/>
    </row>
    <row r="656" spans="2:12" ht="25.5" x14ac:dyDescent="0.2">
      <c r="B656" s="1515" t="str">
        <f t="shared" si="49"/>
        <v>Initialiser Mise en Page</v>
      </c>
      <c r="C656" s="312" t="str">
        <f t="shared" si="46"/>
        <v>N_Rib_GmftInitLayout</v>
      </c>
      <c r="D656" s="1516" t="s">
        <v>10383</v>
      </c>
      <c r="E656" s="1516" t="s">
        <v>10382</v>
      </c>
      <c r="F656" s="1576" t="s">
        <v>10384</v>
      </c>
      <c r="G656" s="1516" t="s">
        <v>12106</v>
      </c>
      <c r="H656" s="2191" t="s">
        <v>12794</v>
      </c>
      <c r="I656" s="1517"/>
      <c r="J656" s="1517"/>
      <c r="K656" s="1517"/>
      <c r="L656" s="1517"/>
    </row>
    <row r="657" spans="2:12" ht="25.5" x14ac:dyDescent="0.2">
      <c r="B657" s="1515" t="str">
        <f t="shared" si="49"/>
        <v>Voir Sauts de Page</v>
      </c>
      <c r="C657" s="312" t="str">
        <f t="shared" si="46"/>
        <v>N_Rib_GmftViewPageBreaks</v>
      </c>
      <c r="D657" s="1516" t="s">
        <v>10388</v>
      </c>
      <c r="E657" s="1516" t="s">
        <v>10389</v>
      </c>
      <c r="F657" s="1576" t="s">
        <v>10390</v>
      </c>
      <c r="G657" s="1516" t="s">
        <v>12107</v>
      </c>
      <c r="H657" s="2191" t="s">
        <v>12795</v>
      </c>
      <c r="I657" s="1517"/>
      <c r="J657" s="1517"/>
      <c r="K657" s="1517"/>
      <c r="L657" s="1517"/>
    </row>
    <row r="658" spans="2:12" x14ac:dyDescent="0.2">
      <c r="B658" s="1515" t="str">
        <f t="shared" si="49"/>
        <v>Vue normale</v>
      </c>
      <c r="C658" s="312" t="str">
        <f t="shared" si="46"/>
        <v>N_Rib_GmftViewNormal</v>
      </c>
      <c r="D658" s="1516" t="s">
        <v>2065</v>
      </c>
      <c r="E658" s="1516" t="s">
        <v>10391</v>
      </c>
      <c r="F658" s="1576" t="s">
        <v>10392</v>
      </c>
      <c r="G658" s="1516" t="s">
        <v>11872</v>
      </c>
      <c r="H658" s="2191" t="s">
        <v>11872</v>
      </c>
      <c r="I658" s="1517"/>
      <c r="J658" s="1517"/>
      <c r="K658" s="1517"/>
      <c r="L658" s="1517"/>
    </row>
    <row r="659" spans="2:12" ht="25.5" x14ac:dyDescent="0.2">
      <c r="B659" s="1515" t="str">
        <f t="shared" ref="B659" si="50">HLOOKUP(Language,D$2:L$1114,ROW()-1,FALSE)</f>
        <v>Sauver les résultats en PDF</v>
      </c>
      <c r="C659" s="312" t="str">
        <f t="shared" ref="C659" si="51">NAMEOF(B659)</f>
        <v>N_Rib_GmftSaveResultsAsPDF</v>
      </c>
      <c r="D659" s="1516" t="s">
        <v>11550</v>
      </c>
      <c r="E659" s="1516" t="s">
        <v>11545</v>
      </c>
      <c r="F659" s="1576" t="s">
        <v>11546</v>
      </c>
      <c r="G659" s="1516" t="s">
        <v>12108</v>
      </c>
      <c r="H659" s="2191" t="s">
        <v>12796</v>
      </c>
      <c r="I659" s="1517"/>
      <c r="J659" s="1517"/>
      <c r="K659" s="1517"/>
      <c r="L659" s="1517"/>
    </row>
    <row r="660" spans="2:12" ht="25.5" x14ac:dyDescent="0.2">
      <c r="B660" s="1515" t="str">
        <f t="shared" si="49"/>
        <v>Imprimer les résultats</v>
      </c>
      <c r="C660" s="312" t="str">
        <f t="shared" si="46"/>
        <v>N_Rib_GmftPrintResults</v>
      </c>
      <c r="D660" s="1516" t="s">
        <v>10393</v>
      </c>
      <c r="E660" s="1516" t="s">
        <v>10394</v>
      </c>
      <c r="F660" s="1576" t="s">
        <v>10395</v>
      </c>
      <c r="G660" s="1516" t="s">
        <v>12109</v>
      </c>
      <c r="H660" s="2191" t="s">
        <v>12797</v>
      </c>
      <c r="I660" s="1517"/>
      <c r="J660" s="1517"/>
      <c r="K660" s="1517"/>
      <c r="L660" s="1517"/>
    </row>
    <row r="661" spans="2:12" ht="25.5" x14ac:dyDescent="0.2">
      <c r="B661" s="1515" t="str">
        <f t="shared" si="49"/>
        <v>Bases de données</v>
      </c>
      <c r="C661" s="312" t="str">
        <f t="shared" si="46"/>
        <v>N_Rib_GmftMenuSepDatabase</v>
      </c>
      <c r="D661" s="1516" t="s">
        <v>10400</v>
      </c>
      <c r="E661" s="1516" t="s">
        <v>10401</v>
      </c>
      <c r="F661" s="1576" t="s">
        <v>10402</v>
      </c>
      <c r="G661" s="1516" t="s">
        <v>12110</v>
      </c>
      <c r="H661" s="2191" t="s">
        <v>12798</v>
      </c>
      <c r="I661" s="1517"/>
      <c r="J661" s="1517"/>
      <c r="K661" s="1517"/>
      <c r="L661" s="1517"/>
    </row>
    <row r="662" spans="2:12" ht="25.5" x14ac:dyDescent="0.2">
      <c r="B662" s="1515" t="str">
        <f t="shared" si="49"/>
        <v>Inscriptions</v>
      </c>
      <c r="C662" s="312" t="str">
        <f t="shared" si="46"/>
        <v>N_Rib_GmftMenuSepRegistrations</v>
      </c>
      <c r="D662" s="1516" t="s">
        <v>9878</v>
      </c>
      <c r="E662" s="1516" t="s">
        <v>9879</v>
      </c>
      <c r="F662" s="1576" t="s">
        <v>10403</v>
      </c>
      <c r="G662" s="1516" t="s">
        <v>12103</v>
      </c>
      <c r="H662" s="2191" t="s">
        <v>12793</v>
      </c>
      <c r="I662" s="1517"/>
      <c r="J662" s="1517"/>
      <c r="K662" s="1517"/>
      <c r="L662" s="1517"/>
    </row>
    <row r="663" spans="2:12" ht="25.5" x14ac:dyDescent="0.2">
      <c r="B663" s="1515" t="str">
        <f t="shared" si="49"/>
        <v>Planning et Epreuves</v>
      </c>
      <c r="C663" s="312" t="str">
        <f t="shared" si="46"/>
        <v>N_Rib_GmftMenuSepPlanningEvent</v>
      </c>
      <c r="D663" s="1516" t="s">
        <v>10404</v>
      </c>
      <c r="E663" s="1516" t="s">
        <v>10847</v>
      </c>
      <c r="F663" s="1576" t="s">
        <v>10405</v>
      </c>
      <c r="G663" s="1516" t="s">
        <v>12111</v>
      </c>
      <c r="H663" s="2191" t="s">
        <v>12799</v>
      </c>
      <c r="I663" s="1517"/>
      <c r="J663" s="1517"/>
      <c r="K663" s="1517"/>
      <c r="L663" s="1517"/>
    </row>
    <row r="664" spans="2:12" ht="25.5" x14ac:dyDescent="0.2">
      <c r="B664" s="1515" t="str">
        <f t="shared" si="49"/>
        <v>Données des compétitions</v>
      </c>
      <c r="C664" s="312" t="str">
        <f t="shared" si="46"/>
        <v>N_Rib_GmftMenuSepCompData</v>
      </c>
      <c r="D664" s="1516" t="s">
        <v>10406</v>
      </c>
      <c r="E664" s="1516" t="s">
        <v>10407</v>
      </c>
      <c r="F664" s="1576" t="s">
        <v>10408</v>
      </c>
      <c r="G664" s="1516" t="s">
        <v>12112</v>
      </c>
      <c r="H664" s="2191" t="s">
        <v>12800</v>
      </c>
      <c r="I664" s="1517"/>
      <c r="J664" s="1517"/>
      <c r="K664" s="1517"/>
      <c r="L664" s="1517"/>
    </row>
    <row r="665" spans="2:12" ht="25.5" x14ac:dyDescent="0.2">
      <c r="B665" s="1515" t="str">
        <f t="shared" si="49"/>
        <v>Salle</v>
      </c>
      <c r="C665" s="312" t="str">
        <f t="shared" si="46"/>
        <v>N_Rib_GmftMenuSepVenue</v>
      </c>
      <c r="D665" s="1516" t="s">
        <v>5990</v>
      </c>
      <c r="E665" s="1516" t="s">
        <v>2837</v>
      </c>
      <c r="F665" s="1576" t="s">
        <v>10409</v>
      </c>
      <c r="G665" s="1516" t="s">
        <v>12113</v>
      </c>
      <c r="H665" s="2191" t="s">
        <v>12113</v>
      </c>
      <c r="I665" s="1517"/>
      <c r="J665" s="1517"/>
      <c r="K665" s="1517"/>
      <c r="L665" s="1517"/>
    </row>
    <row r="666" spans="2:12" ht="25.5" x14ac:dyDescent="0.2">
      <c r="B666" s="1515" t="str">
        <f t="shared" si="49"/>
        <v>Nombre d'articles</v>
      </c>
      <c r="C666" s="312" t="str">
        <f t="shared" ref="C666:C684" si="52">NAMEOF(B666)</f>
        <v>N_Rib_SupTip_GmftNumberOfRowsToAdd</v>
      </c>
      <c r="D666" s="1516" t="s">
        <v>10410</v>
      </c>
      <c r="E666" s="1516" t="s">
        <v>10415</v>
      </c>
      <c r="F666" s="1576" t="s">
        <v>10421</v>
      </c>
      <c r="G666" s="1516" t="s">
        <v>12114</v>
      </c>
      <c r="H666" s="2191" t="s">
        <v>12801</v>
      </c>
      <c r="I666" s="1517"/>
      <c r="J666" s="1517"/>
      <c r="K666" s="1517"/>
      <c r="L666" s="1517"/>
    </row>
    <row r="667" spans="2:12" ht="25.5" x14ac:dyDescent="0.2">
      <c r="B667" s="1515" t="str">
        <f t="shared" si="49"/>
        <v>Nombre d'articles à ajouter à la liste</v>
      </c>
      <c r="C667" s="312" t="str">
        <f>NAMEOF(B667)</f>
        <v>N_Rib_ScrTip_GmftNumberOfRowsToAdd</v>
      </c>
      <c r="D667" s="1516" t="s">
        <v>10411</v>
      </c>
      <c r="E667" s="1516" t="s">
        <v>10416</v>
      </c>
      <c r="F667" s="1576" t="s">
        <v>10422</v>
      </c>
      <c r="G667" s="1516" t="s">
        <v>12115</v>
      </c>
      <c r="H667" s="2191" t="s">
        <v>12802</v>
      </c>
      <c r="I667" s="1517"/>
      <c r="J667" s="1517"/>
      <c r="K667" s="1517"/>
      <c r="L667" s="1517"/>
    </row>
    <row r="668" spans="2:12" ht="25.5" x14ac:dyDescent="0.2">
      <c r="B668" s="1515" t="str">
        <f t="shared" si="49"/>
        <v>Ajouter les articles</v>
      </c>
      <c r="C668" s="312" t="str">
        <f t="shared" si="52"/>
        <v>N_Rib_ScrTip_GmftListsAddRows</v>
      </c>
      <c r="D668" s="1516" t="s">
        <v>10412</v>
      </c>
      <c r="E668" s="1516" t="s">
        <v>10417</v>
      </c>
      <c r="F668" s="1576" t="s">
        <v>10423</v>
      </c>
      <c r="G668" s="1516" t="s">
        <v>12116</v>
      </c>
      <c r="H668" s="2191" t="s">
        <v>12803</v>
      </c>
      <c r="I668" s="1517"/>
      <c r="J668" s="1517"/>
      <c r="K668" s="1517"/>
      <c r="L668" s="1517"/>
    </row>
    <row r="669" spans="2:12" ht="25.5" x14ac:dyDescent="0.2">
      <c r="B669" s="1515" t="str">
        <f t="shared" si="49"/>
        <v>Ajouter le nombre d'articles spécifié</v>
      </c>
      <c r="C669" s="312" t="str">
        <f t="shared" si="52"/>
        <v>N_Rib_SupTip_GmftListsAddRows</v>
      </c>
      <c r="D669" s="1516" t="s">
        <v>10413</v>
      </c>
      <c r="E669" s="1516" t="s">
        <v>10418</v>
      </c>
      <c r="F669" s="1576" t="s">
        <v>10424</v>
      </c>
      <c r="G669" s="1516" t="s">
        <v>12117</v>
      </c>
      <c r="H669" s="2191" t="s">
        <v>12804</v>
      </c>
      <c r="I669" s="1517"/>
      <c r="J669" s="1517"/>
      <c r="K669" s="1517"/>
      <c r="L669" s="1517"/>
    </row>
    <row r="670" spans="2:12" ht="25.5" x14ac:dyDescent="0.2">
      <c r="B670" s="1515" t="str">
        <f t="shared" si="49"/>
        <v>Supprimer 1 article</v>
      </c>
      <c r="C670" s="312" t="str">
        <f t="shared" si="52"/>
        <v>N_Rib_ScrTip_GmftListsRemoveRows</v>
      </c>
      <c r="D670" s="1516" t="s">
        <v>9895</v>
      </c>
      <c r="E670" s="1516" t="s">
        <v>10419</v>
      </c>
      <c r="F670" s="1576" t="s">
        <v>10425</v>
      </c>
      <c r="G670" s="1516" t="s">
        <v>12118</v>
      </c>
      <c r="H670" s="2191" t="s">
        <v>12805</v>
      </c>
      <c r="I670" s="1517"/>
      <c r="J670" s="1517"/>
      <c r="K670" s="1517"/>
      <c r="L670" s="1517"/>
    </row>
    <row r="671" spans="2:12" ht="63.75" x14ac:dyDescent="0.2">
      <c r="B671" s="1515" t="str">
        <f t="shared" si="49"/>
        <v>Supprimer l'article après avoir sélectionné des cellules de l'article à supprimer</v>
      </c>
      <c r="C671" s="312" t="str">
        <f t="shared" si="52"/>
        <v>N_Rib_SupTip_GmftListsRemoveRows</v>
      </c>
      <c r="D671" s="1516" t="s">
        <v>10414</v>
      </c>
      <c r="E671" s="1516" t="s">
        <v>10420</v>
      </c>
      <c r="F671" s="1576" t="s">
        <v>10426</v>
      </c>
      <c r="G671" s="1516" t="s">
        <v>12119</v>
      </c>
      <c r="H671" s="2191" t="s">
        <v>12806</v>
      </c>
      <c r="I671" s="1517"/>
      <c r="J671" s="1517"/>
      <c r="K671" s="1517"/>
      <c r="L671" s="1517"/>
    </row>
    <row r="672" spans="2:12" ht="25.5" x14ac:dyDescent="0.2">
      <c r="B672" s="1515" t="str">
        <f t="shared" si="49"/>
        <v>Compléter la grille des inscriptions</v>
      </c>
      <c r="C672" s="312" t="str">
        <f t="shared" si="52"/>
        <v>N_Rib_ScrTip_GmftCalculateCheckin</v>
      </c>
      <c r="D672" s="1516" t="s">
        <v>10427</v>
      </c>
      <c r="E672" s="1516" t="s">
        <v>10430</v>
      </c>
      <c r="F672" s="1576" t="s">
        <v>10434</v>
      </c>
      <c r="G672" s="1516" t="s">
        <v>12120</v>
      </c>
      <c r="H672" s="2191" t="s">
        <v>12807</v>
      </c>
      <c r="I672" s="1517"/>
      <c r="J672" s="1517"/>
      <c r="K672" s="1517"/>
      <c r="L672" s="1517"/>
    </row>
    <row r="673" spans="2:12" ht="38.25" x14ac:dyDescent="0.2">
      <c r="B673" s="1515" t="str">
        <f t="shared" si="49"/>
        <v>Mettre à jour le tableau complet des inscriptions</v>
      </c>
      <c r="C673" s="312" t="str">
        <f t="shared" si="52"/>
        <v>N_Rib_SupTip_GmftCalculateCheckin</v>
      </c>
      <c r="D673" s="1516" t="s">
        <v>10428</v>
      </c>
      <c r="E673" s="1516" t="s">
        <v>10431</v>
      </c>
      <c r="F673" s="1576" t="s">
        <v>10435</v>
      </c>
      <c r="G673" s="1516" t="s">
        <v>12121</v>
      </c>
      <c r="H673" s="2191" t="s">
        <v>12808</v>
      </c>
      <c r="I673" s="1517"/>
      <c r="J673" s="1517"/>
      <c r="K673" s="1517"/>
      <c r="L673" s="1517"/>
    </row>
    <row r="674" spans="2:12" ht="25.5" x14ac:dyDescent="0.2">
      <c r="B674" s="1515" t="str">
        <f t="shared" si="49"/>
        <v>Enregistrer les inscriptions</v>
      </c>
      <c r="C674" s="312" t="str">
        <f t="shared" si="52"/>
        <v>N_Rib_ScrTip_GmftMAJListes</v>
      </c>
      <c r="D674" s="1516" t="s">
        <v>10429</v>
      </c>
      <c r="E674" s="1516" t="s">
        <v>10432</v>
      </c>
      <c r="F674" s="1576" t="s">
        <v>10436</v>
      </c>
      <c r="G674" s="1516" t="s">
        <v>12122</v>
      </c>
      <c r="H674" s="2191" t="s">
        <v>12809</v>
      </c>
      <c r="I674" s="1517"/>
      <c r="J674" s="1517"/>
      <c r="K674" s="1517"/>
      <c r="L674" s="1517"/>
    </row>
    <row r="675" spans="2:12" ht="51" x14ac:dyDescent="0.2">
      <c r="B675" s="1515" t="str">
        <f t="shared" si="49"/>
        <v>Enregistrer les inscriptions et participations aux différentes épreuves</v>
      </c>
      <c r="C675" s="312" t="str">
        <f t="shared" si="52"/>
        <v>N_Rib_SupTip_GmftMAJListes</v>
      </c>
      <c r="D675" s="1516" t="s">
        <v>935</v>
      </c>
      <c r="E675" s="1516" t="s">
        <v>10433</v>
      </c>
      <c r="F675" s="1576" t="s">
        <v>10437</v>
      </c>
      <c r="G675" s="1516" t="s">
        <v>12123</v>
      </c>
      <c r="H675" s="2191" t="s">
        <v>12810</v>
      </c>
      <c r="I675" s="1517"/>
      <c r="J675" s="1517"/>
      <c r="K675" s="1517"/>
      <c r="L675" s="1517"/>
    </row>
    <row r="676" spans="2:12" ht="25.5" x14ac:dyDescent="0.2">
      <c r="B676" s="1515" t="str">
        <f t="shared" ref="B676" si="53">HLOOKUP(Language,D$2:L$1114,ROW()-1,FALSE)</f>
        <v>Aide à la saisie</v>
      </c>
      <c r="C676" s="312" t="str">
        <f t="shared" si="52"/>
        <v>N_Rib_ScrTip_GmftTeamsForm</v>
      </c>
      <c r="D676" s="1516" t="s">
        <v>7931</v>
      </c>
      <c r="E676" s="1516" t="s">
        <v>10573</v>
      </c>
      <c r="F676" s="1576" t="s">
        <v>10572</v>
      </c>
      <c r="G676" s="1516" t="s">
        <v>12124</v>
      </c>
      <c r="H676" s="2191" t="s">
        <v>12811</v>
      </c>
      <c r="I676" s="1517"/>
      <c r="J676" s="1517"/>
      <c r="K676" s="1517"/>
      <c r="L676" s="1517"/>
    </row>
    <row r="677" spans="2:12" ht="25.5" x14ac:dyDescent="0.2">
      <c r="B677" s="1515" t="str">
        <f t="shared" si="49"/>
        <v>Aide à la saisie</v>
      </c>
      <c r="C677" s="312" t="str">
        <f t="shared" ref="C677:C679" si="54">NAMEOF(B677)</f>
        <v>N_Rib_ScrTip_GmftCheckinForm</v>
      </c>
      <c r="D677" s="1516" t="s">
        <v>7931</v>
      </c>
      <c r="E677" s="1516" t="s">
        <v>10573</v>
      </c>
      <c r="F677" s="1576" t="s">
        <v>10572</v>
      </c>
      <c r="G677" s="1516" t="s">
        <v>12124</v>
      </c>
      <c r="H677" s="2191" t="s">
        <v>12811</v>
      </c>
      <c r="I677" s="1517"/>
      <c r="J677" s="1517"/>
      <c r="K677" s="1517"/>
      <c r="L677" s="1517"/>
    </row>
    <row r="678" spans="2:12" ht="63.75" x14ac:dyDescent="0.2">
      <c r="B678" s="1515" t="str">
        <f t="shared" ref="B678" si="55">HLOOKUP(Language,D$2:L$1114,ROW()-1,FALSE)</f>
        <v>Formulaire de saisie en masse avec aide sur reherche des noms des clubs.</v>
      </c>
      <c r="C678" s="312" t="str">
        <f t="shared" ref="C678" si="56">NAMEOF(B678)</f>
        <v>N_Rib_SupTip_GmftTeamsForm</v>
      </c>
      <c r="D678" s="1516" t="s">
        <v>14327</v>
      </c>
      <c r="E678" s="1516" t="s">
        <v>14328</v>
      </c>
      <c r="F678" s="1576" t="s">
        <v>14329</v>
      </c>
      <c r="G678" s="1516" t="s">
        <v>14330</v>
      </c>
      <c r="H678" s="2191" t="s">
        <v>14331</v>
      </c>
      <c r="I678" s="1517"/>
      <c r="J678" s="1517"/>
      <c r="K678" s="1517"/>
      <c r="L678" s="1517"/>
    </row>
    <row r="679" spans="2:12" ht="63.75" x14ac:dyDescent="0.2">
      <c r="B679" s="1515" t="str">
        <f t="shared" si="49"/>
        <v>Formulaire de saisie en masse avec aide sur reherche des noms des joueurs.</v>
      </c>
      <c r="C679" s="312" t="str">
        <f t="shared" si="54"/>
        <v>N_Rib_SupTip_GmftCheckinForm</v>
      </c>
      <c r="D679" s="1516" t="s">
        <v>10569</v>
      </c>
      <c r="E679" s="1516" t="s">
        <v>10570</v>
      </c>
      <c r="F679" s="1576" t="s">
        <v>10571</v>
      </c>
      <c r="G679" s="1516" t="s">
        <v>12125</v>
      </c>
      <c r="H679" s="2191" t="s">
        <v>12812</v>
      </c>
      <c r="I679" s="1517"/>
      <c r="J679" s="1517"/>
      <c r="K679" s="1517"/>
      <c r="L679" s="1517"/>
    </row>
    <row r="680" spans="2:12" ht="25.5" x14ac:dyDescent="0.2">
      <c r="B680" s="1515" t="str">
        <f t="shared" si="49"/>
        <v>Import des licences FISTF</v>
      </c>
      <c r="C680" s="312" t="str">
        <f t="shared" si="52"/>
        <v>N_Rib_ScrTip_GmftImportLicenses</v>
      </c>
      <c r="D680" s="1516" t="s">
        <v>10438</v>
      </c>
      <c r="E680" s="1516" t="s">
        <v>10439</v>
      </c>
      <c r="F680" s="1576" t="s">
        <v>10463</v>
      </c>
      <c r="G680" s="1516" t="s">
        <v>12126</v>
      </c>
      <c r="H680" s="2191" t="s">
        <v>12813</v>
      </c>
      <c r="I680" s="1517"/>
      <c r="J680" s="1517"/>
      <c r="K680" s="1517"/>
      <c r="L680" s="1517"/>
    </row>
    <row r="681" spans="2:12" ht="76.5" x14ac:dyDescent="0.2">
      <c r="B681" s="1515" t="str">
        <f t="shared" si="49"/>
        <v>Importer le fichier Database.xlsm de la FISTF et y récupérer les licences des joueurs</v>
      </c>
      <c r="C681" s="312" t="str">
        <f t="shared" si="52"/>
        <v>N_Rib_SupTip_GmftImportLicenses</v>
      </c>
      <c r="D681" s="1516" t="s">
        <v>10443</v>
      </c>
      <c r="E681" s="1516" t="s">
        <v>10461</v>
      </c>
      <c r="F681" s="1576" t="s">
        <v>10464</v>
      </c>
      <c r="G681" s="1516" t="s">
        <v>12127</v>
      </c>
      <c r="H681" s="2191" t="s">
        <v>12814</v>
      </c>
      <c r="I681" s="1517"/>
      <c r="J681" s="1517"/>
      <c r="K681" s="1517"/>
      <c r="L681" s="1517"/>
    </row>
    <row r="682" spans="2:12" ht="25.5" x14ac:dyDescent="0.2">
      <c r="B682" s="1515" t="str">
        <f t="shared" si="49"/>
        <v>Import des clubs</v>
      </c>
      <c r="C682" s="312" t="str">
        <f t="shared" si="52"/>
        <v>N_Rib_ScrTip_GmftImportClubs</v>
      </c>
      <c r="D682" s="1516" t="s">
        <v>10440</v>
      </c>
      <c r="E682" s="1516" t="s">
        <v>10452</v>
      </c>
      <c r="F682" s="1576" t="s">
        <v>10465</v>
      </c>
      <c r="G682" s="1516" t="s">
        <v>12128</v>
      </c>
      <c r="H682" s="2191" t="s">
        <v>12815</v>
      </c>
      <c r="I682" s="1517"/>
      <c r="J682" s="1517"/>
      <c r="K682" s="1517"/>
      <c r="L682" s="1517"/>
    </row>
    <row r="683" spans="2:12" ht="76.5" x14ac:dyDescent="0.2">
      <c r="B683" s="1515" t="str">
        <f t="shared" si="49"/>
        <v>Importer le fichier Database.xlsm de la FISTF et y récupérer les références des clubs</v>
      </c>
      <c r="C683" s="312" t="str">
        <f t="shared" si="52"/>
        <v>N_Rib_SupTip_GmftImportClubs</v>
      </c>
      <c r="D683" s="1516" t="s">
        <v>10442</v>
      </c>
      <c r="E683" s="1516" t="s">
        <v>10453</v>
      </c>
      <c r="F683" s="1576" t="s">
        <v>10466</v>
      </c>
      <c r="G683" s="1516" t="s">
        <v>12129</v>
      </c>
      <c r="H683" s="2191" t="s">
        <v>12816</v>
      </c>
      <c r="I683" s="1517"/>
      <c r="J683" s="1517"/>
      <c r="K683" s="1517"/>
      <c r="L683" s="1517"/>
    </row>
    <row r="684" spans="2:12" ht="25.5" x14ac:dyDescent="0.2">
      <c r="B684" s="1515" t="str">
        <f t="shared" si="49"/>
        <v>Import des classements</v>
      </c>
      <c r="C684" s="312" t="str">
        <f t="shared" si="52"/>
        <v>N_Rib_ScrTip_GmftImportRanking</v>
      </c>
      <c r="D684" s="1516" t="s">
        <v>10441</v>
      </c>
      <c r="E684" s="1516" t="s">
        <v>10454</v>
      </c>
      <c r="F684" s="1576" t="s">
        <v>10467</v>
      </c>
      <c r="G684" s="1516" t="s">
        <v>12130</v>
      </c>
      <c r="H684" s="2191" t="s">
        <v>12817</v>
      </c>
      <c r="I684" s="1517"/>
      <c r="J684" s="1517"/>
      <c r="K684" s="1517"/>
      <c r="L684" s="1517"/>
    </row>
    <row r="685" spans="2:12" ht="76.5" x14ac:dyDescent="0.2">
      <c r="B685" s="1515" t="str">
        <f t="shared" si="49"/>
        <v>Import du fichier Web-YYYYMM.xlsx pour récupérer le classement mondial des joueurs</v>
      </c>
      <c r="C685" s="312" t="str">
        <f t="shared" ref="C685:C700" si="57">NAMEOF(B685)</f>
        <v>N_Rib_SupTip_GmftImportRanking</v>
      </c>
      <c r="D685" s="1516" t="s">
        <v>10444</v>
      </c>
      <c r="E685" s="1516" t="s">
        <v>10455</v>
      </c>
      <c r="F685" s="1576" t="s">
        <v>10468</v>
      </c>
      <c r="G685" s="1516" t="s">
        <v>12131</v>
      </c>
      <c r="H685" s="2191" t="s">
        <v>12818</v>
      </c>
      <c r="I685" s="1517"/>
      <c r="J685" s="1517"/>
      <c r="K685" s="1517"/>
      <c r="L685" s="1517"/>
    </row>
    <row r="686" spans="2:12" ht="38.25" x14ac:dyDescent="0.2">
      <c r="B686" s="1515" t="str">
        <f t="shared" si="49"/>
        <v>Import des classements équipes</v>
      </c>
      <c r="C686" s="312" t="str">
        <f t="shared" si="57"/>
        <v>N_Rib_ScrTip_GmftImportRankingTeams</v>
      </c>
      <c r="D686" s="1516" t="s">
        <v>10445</v>
      </c>
      <c r="E686" s="1516" t="s">
        <v>10456</v>
      </c>
      <c r="F686" s="1576" t="s">
        <v>10469</v>
      </c>
      <c r="G686" s="1516" t="s">
        <v>12132</v>
      </c>
      <c r="H686" s="2191" t="s">
        <v>12819</v>
      </c>
      <c r="I686" s="1517"/>
      <c r="J686" s="1517"/>
      <c r="K686" s="1517"/>
      <c r="L686" s="1517"/>
    </row>
    <row r="687" spans="2:12" ht="76.5" x14ac:dyDescent="0.2">
      <c r="B687" s="1515" t="str">
        <f t="shared" si="49"/>
        <v>Import du fichier Web-YYYYMM.xlsx pour récupérer le classement mondial des équipes</v>
      </c>
      <c r="C687" s="312" t="str">
        <f t="shared" si="57"/>
        <v>N_Rib_SupTip_GmftImportRankingTeams</v>
      </c>
      <c r="D687" s="1516" t="s">
        <v>10446</v>
      </c>
      <c r="E687" s="1516" t="s">
        <v>10457</v>
      </c>
      <c r="F687" s="1576" t="s">
        <v>10470</v>
      </c>
      <c r="G687" s="1516" t="s">
        <v>12133</v>
      </c>
      <c r="H687" s="2191" t="s">
        <v>12820</v>
      </c>
      <c r="I687" s="1517"/>
      <c r="J687" s="1517"/>
      <c r="K687" s="1517"/>
      <c r="L687" s="1517"/>
    </row>
    <row r="688" spans="2:12" ht="25.5" x14ac:dyDescent="0.2">
      <c r="B688" s="1515" t="str">
        <f t="shared" si="49"/>
        <v>Trier les joueurs</v>
      </c>
      <c r="C688" s="312" t="str">
        <f t="shared" si="57"/>
        <v>N_Rib_ScrTip_GmftSortPlayersInTeams</v>
      </c>
      <c r="D688" s="1516" t="s">
        <v>10447</v>
      </c>
      <c r="E688" s="1516" t="s">
        <v>10458</v>
      </c>
      <c r="F688" s="1576" t="s">
        <v>10471</v>
      </c>
      <c r="G688" s="1516" t="s">
        <v>12134</v>
      </c>
      <c r="H688" s="2191" t="s">
        <v>12821</v>
      </c>
      <c r="I688" s="1517"/>
      <c r="J688" s="1517"/>
      <c r="K688" s="1517"/>
      <c r="L688" s="1517"/>
    </row>
    <row r="689" spans="2:12" ht="38.25" x14ac:dyDescent="0.2">
      <c r="B689" s="1515" t="str">
        <f t="shared" ref="B689:B722" si="58">HLOOKUP(Language,D$2:L$1114,ROW()-1,FALSE)</f>
        <v xml:space="preserve">Trier les joueurs de chaque équipe par ordre alphabétique </v>
      </c>
      <c r="C689" s="312" t="str">
        <f t="shared" si="57"/>
        <v>N_Rib_SupTip_GmftSortPlayersInTeams</v>
      </c>
      <c r="D689" s="1516" t="s">
        <v>10448</v>
      </c>
      <c r="E689" s="1516" t="s">
        <v>10459</v>
      </c>
      <c r="F689" s="1576" t="s">
        <v>10472</v>
      </c>
      <c r="G689" s="1516" t="s">
        <v>12135</v>
      </c>
      <c r="H689" s="2191" t="s">
        <v>12822</v>
      </c>
      <c r="I689" s="1517"/>
      <c r="J689" s="1517"/>
      <c r="K689" s="1517"/>
      <c r="L689" s="1517"/>
    </row>
    <row r="690" spans="2:12" ht="25.5" x14ac:dyDescent="0.2">
      <c r="B690" s="1515" t="str">
        <f t="shared" si="58"/>
        <v>Mise à jour du tableau</v>
      </c>
      <c r="C690" s="312" t="str">
        <f t="shared" si="57"/>
        <v>N_Rib_ScrTip_GmftUpdateRefereeing</v>
      </c>
      <c r="D690" s="1516" t="s">
        <v>10449</v>
      </c>
      <c r="E690" s="1516" t="s">
        <v>10485</v>
      </c>
      <c r="F690" s="1576" t="s">
        <v>10473</v>
      </c>
      <c r="G690" s="1516" t="s">
        <v>12136</v>
      </c>
      <c r="H690" s="2191" t="s">
        <v>12823</v>
      </c>
      <c r="I690" s="1517"/>
      <c r="J690" s="1517"/>
      <c r="K690" s="1517"/>
      <c r="L690" s="1517"/>
    </row>
    <row r="691" spans="2:12" ht="38.25" x14ac:dyDescent="0.2">
      <c r="B691" s="1515" t="str">
        <f t="shared" si="58"/>
        <v>Mise à jour du tableau des arbitrages</v>
      </c>
      <c r="C691" s="312" t="str">
        <f t="shared" si="57"/>
        <v>N_Rib_SupTip_GmftUpdateRefereeing</v>
      </c>
      <c r="D691" s="1516" t="s">
        <v>10450</v>
      </c>
      <c r="E691" s="1516" t="s">
        <v>10462</v>
      </c>
      <c r="F691" s="1576" t="s">
        <v>10474</v>
      </c>
      <c r="G691" s="1516" t="s">
        <v>12137</v>
      </c>
      <c r="H691" s="2191" t="s">
        <v>12824</v>
      </c>
      <c r="I691" s="1517"/>
      <c r="J691" s="1517"/>
      <c r="K691" s="1517"/>
      <c r="L691" s="1517"/>
    </row>
    <row r="692" spans="2:12" ht="15.75" customHeight="1" x14ac:dyDescent="0.2">
      <c r="B692" s="1515" t="str">
        <f t="shared" si="58"/>
        <v>Mise à jour du tableau</v>
      </c>
      <c r="C692" s="312" t="str">
        <f t="shared" si="57"/>
        <v>N_Rib_ScrTip_GmftUpdatePlayerTimelineFromTimeline</v>
      </c>
      <c r="D692" s="1516" t="s">
        <v>10449</v>
      </c>
      <c r="E692" s="1516" t="s">
        <v>10485</v>
      </c>
      <c r="F692" s="1576" t="s">
        <v>10473</v>
      </c>
      <c r="G692" s="1516" t="s">
        <v>12136</v>
      </c>
      <c r="H692" s="2191" t="s">
        <v>12823</v>
      </c>
      <c r="I692" s="1517"/>
      <c r="J692" s="1517"/>
      <c r="K692" s="1517"/>
      <c r="L692" s="1517"/>
    </row>
    <row r="693" spans="2:12" ht="51" x14ac:dyDescent="0.2">
      <c r="B693" s="1515" t="str">
        <f t="shared" si="58"/>
        <v>Mise à jour du tableau des planning individuels des joueurs</v>
      </c>
      <c r="C693" s="312" t="str">
        <f t="shared" si="57"/>
        <v>N_Rib_SupTip_GmftUpdatePlayerTimelineFromTimeline</v>
      </c>
      <c r="D693" s="1516" t="s">
        <v>10451</v>
      </c>
      <c r="E693" s="1516" t="s">
        <v>10460</v>
      </c>
      <c r="F693" s="1576" t="s">
        <v>10475</v>
      </c>
      <c r="G693" s="1516" t="s">
        <v>12138</v>
      </c>
      <c r="H693" s="2191" t="s">
        <v>12825</v>
      </c>
      <c r="I693" s="1517"/>
      <c r="J693" s="1517"/>
      <c r="K693" s="1517"/>
      <c r="L693" s="1517"/>
    </row>
    <row r="694" spans="2:12" ht="25.5" x14ac:dyDescent="0.2">
      <c r="B694" s="1515" t="str">
        <f t="shared" si="58"/>
        <v>Mise à jour du tableau</v>
      </c>
      <c r="C694" s="312" t="str">
        <f t="shared" si="57"/>
        <v>N_Rib_ScrTip_GmftUpdateStatistics</v>
      </c>
      <c r="D694" s="1516" t="s">
        <v>10449</v>
      </c>
      <c r="E694" s="1516" t="s">
        <v>10485</v>
      </c>
      <c r="F694" s="1576" t="s">
        <v>10473</v>
      </c>
      <c r="G694" s="1516" t="s">
        <v>12139</v>
      </c>
      <c r="H694" s="2191" t="s">
        <v>12826</v>
      </c>
      <c r="I694" s="1517"/>
      <c r="J694" s="1517"/>
      <c r="K694" s="1517"/>
      <c r="L694" s="1517"/>
    </row>
    <row r="695" spans="2:12" ht="51" x14ac:dyDescent="0.2">
      <c r="B695" s="1515" t="str">
        <f t="shared" si="58"/>
        <v>Mise à jour du tableau des statistiques des joueurs</v>
      </c>
      <c r="C695" s="312" t="str">
        <f t="shared" si="57"/>
        <v>N_Rib_SupTip_GmftUpdateStatistics</v>
      </c>
      <c r="D695" s="1516" t="s">
        <v>10476</v>
      </c>
      <c r="E695" s="1516" t="s">
        <v>10484</v>
      </c>
      <c r="F695" s="1576" t="s">
        <v>10487</v>
      </c>
      <c r="G695" s="1516" t="s">
        <v>12140</v>
      </c>
      <c r="H695" s="2191" t="s">
        <v>12827</v>
      </c>
      <c r="I695" s="1517"/>
      <c r="J695" s="1517"/>
      <c r="K695" s="1517"/>
      <c r="L695" s="1517"/>
    </row>
    <row r="696" spans="2:12" ht="25.5" x14ac:dyDescent="0.2">
      <c r="B696" s="1515" t="str">
        <f t="shared" si="58"/>
        <v>Créer une table</v>
      </c>
      <c r="C696" s="312" t="str">
        <f t="shared" si="57"/>
        <v>N_Rib_ScrTip_GmftCreateTableName</v>
      </c>
      <c r="D696" s="1516" t="s">
        <v>10477</v>
      </c>
      <c r="E696" s="1516" t="s">
        <v>10481</v>
      </c>
      <c r="F696" s="1576" t="s">
        <v>10488</v>
      </c>
      <c r="G696" s="1516" t="s">
        <v>12141</v>
      </c>
      <c r="H696" s="2191" t="s">
        <v>12828</v>
      </c>
      <c r="I696" s="1517"/>
      <c r="J696" s="1517"/>
      <c r="K696" s="1517"/>
      <c r="L696" s="1517"/>
    </row>
    <row r="697" spans="2:12" ht="102" x14ac:dyDescent="0.2">
      <c r="B697" s="1515" t="str">
        <f t="shared" si="58"/>
        <v xml:space="preserve">Déclarer une nouvelle table après avoir sélectionner les cellules groupées représentant la table et contenant le nom de la table </v>
      </c>
      <c r="C697" s="312" t="str">
        <f t="shared" si="57"/>
        <v>N_Rib_SupTip_GmftCreateTableName</v>
      </c>
      <c r="D697" s="1516" t="s">
        <v>10478</v>
      </c>
      <c r="E697" s="1516" t="s">
        <v>10482</v>
      </c>
      <c r="F697" s="1576" t="s">
        <v>10489</v>
      </c>
      <c r="G697" s="1516" t="s">
        <v>12142</v>
      </c>
      <c r="H697" s="2191" t="s">
        <v>12829</v>
      </c>
      <c r="I697" s="1517"/>
      <c r="J697" s="1517"/>
      <c r="K697" s="1517"/>
      <c r="L697" s="1517"/>
    </row>
    <row r="698" spans="2:12" ht="25.5" x14ac:dyDescent="0.2">
      <c r="B698" s="1515" t="str">
        <f t="shared" si="58"/>
        <v>Créer un groupe de tables</v>
      </c>
      <c r="C698" s="312" t="str">
        <f t="shared" si="57"/>
        <v>N_Rib_ScrTip_GmftCreateGroupOfTablesName</v>
      </c>
      <c r="D698" s="1516" t="s">
        <v>10479</v>
      </c>
      <c r="E698" s="1516" t="s">
        <v>10483</v>
      </c>
      <c r="F698" s="1576" t="s">
        <v>10490</v>
      </c>
      <c r="G698" s="1516" t="s">
        <v>12143</v>
      </c>
      <c r="H698" s="2191" t="s">
        <v>12830</v>
      </c>
      <c r="I698" s="1517"/>
      <c r="J698" s="1517"/>
      <c r="K698" s="1517"/>
      <c r="L698" s="1517"/>
    </row>
    <row r="699" spans="2:12" ht="114.75" x14ac:dyDescent="0.2">
      <c r="B699" s="1515" t="str">
        <f t="shared" si="58"/>
        <v xml:space="preserve">Déclarer un nouveau groupe de tables après avoir sélectionné l'ensemble des cellules de la zone contenant dans la cellule haut-gauche le nom du groupe </v>
      </c>
      <c r="C699" s="312" t="str">
        <f t="shared" si="57"/>
        <v>N_Rib_SupTip_GmftCreateGroupOfTablesName</v>
      </c>
      <c r="D699" s="1516" t="s">
        <v>10480</v>
      </c>
      <c r="E699" s="1516" t="s">
        <v>10486</v>
      </c>
      <c r="F699" s="1576" t="s">
        <v>10491</v>
      </c>
      <c r="G699" s="1516" t="s">
        <v>12144</v>
      </c>
      <c r="H699" s="2191" t="s">
        <v>12831</v>
      </c>
      <c r="I699" s="1517"/>
      <c r="J699" s="1517"/>
      <c r="K699" s="1517"/>
      <c r="L699" s="1517"/>
    </row>
    <row r="700" spans="2:12" ht="25.5" x14ac:dyDescent="0.2">
      <c r="B700" s="1515" t="str">
        <f t="shared" si="58"/>
        <v>Créer un modèle de table/groupe</v>
      </c>
      <c r="C700" s="312" t="str">
        <f t="shared" si="57"/>
        <v>N_Rib_ScrTip_GmftCreateModel</v>
      </c>
      <c r="D700" s="1516" t="s">
        <v>10495</v>
      </c>
      <c r="E700" s="1516" t="s">
        <v>10498</v>
      </c>
      <c r="F700" s="1576" t="s">
        <v>10506</v>
      </c>
      <c r="G700" s="1516" t="s">
        <v>12145</v>
      </c>
      <c r="H700" s="2191" t="s">
        <v>12832</v>
      </c>
      <c r="I700" s="1517"/>
      <c r="J700" s="1517"/>
      <c r="K700" s="1517"/>
      <c r="L700" s="1517"/>
    </row>
    <row r="701" spans="2:12" ht="165.75" x14ac:dyDescent="0.2">
      <c r="B701" s="1515" t="str">
        <f t="shared" si="58"/>
        <v>Créer un modèle portant le nom de l'épreuve ou un des termes "Free" ou "FreeGroup". Toute épreuve du planning doit avoir un modèle dédié. De même, les modèles "Free" et "FreeGroup" doivent être obligatoirement définis.</v>
      </c>
      <c r="C701" s="312" t="str">
        <f t="shared" ref="C701:C717" si="59">NAMEOF(B701)</f>
        <v>N_Rib_SupTip_GmftCreateModel</v>
      </c>
      <c r="D701" s="1516" t="s">
        <v>10504</v>
      </c>
      <c r="E701" s="1516" t="s">
        <v>10505</v>
      </c>
      <c r="F701" s="1576" t="s">
        <v>10507</v>
      </c>
      <c r="G701" s="1516" t="s">
        <v>12146</v>
      </c>
      <c r="H701" s="2191" t="s">
        <v>12833</v>
      </c>
      <c r="I701" s="1517"/>
      <c r="J701" s="1517"/>
      <c r="K701" s="1517"/>
      <c r="L701" s="1517"/>
    </row>
    <row r="702" spans="2:12" ht="25.5" x14ac:dyDescent="0.2">
      <c r="B702" s="1515" t="str">
        <f t="shared" si="58"/>
        <v>Supprimer les tables</v>
      </c>
      <c r="C702" s="312" t="str">
        <f t="shared" si="59"/>
        <v>N_Rib_ScrTip_GmftUndefineTableNames</v>
      </c>
      <c r="D702" s="1516" t="s">
        <v>10492</v>
      </c>
      <c r="E702" s="1516" t="s">
        <v>10499</v>
      </c>
      <c r="F702" s="1576" t="s">
        <v>10508</v>
      </c>
      <c r="G702" s="1516" t="s">
        <v>12149</v>
      </c>
      <c r="H702" s="2191" t="s">
        <v>12834</v>
      </c>
      <c r="I702" s="1517"/>
      <c r="J702" s="1517"/>
      <c r="K702" s="1517"/>
      <c r="L702" s="1517"/>
    </row>
    <row r="703" spans="2:12" ht="38.25" x14ac:dyDescent="0.2">
      <c r="B703" s="1515" t="str">
        <f t="shared" si="58"/>
        <v>Supprimer les définitions de toutes les tables</v>
      </c>
      <c r="C703" s="312" t="str">
        <f t="shared" si="59"/>
        <v>N_Rib_SupTip_GmftUndefineTableNames</v>
      </c>
      <c r="D703" s="1516" t="s">
        <v>10493</v>
      </c>
      <c r="E703" s="1516" t="s">
        <v>10500</v>
      </c>
      <c r="F703" s="1576" t="s">
        <v>10509</v>
      </c>
      <c r="G703" s="1516" t="s">
        <v>12147</v>
      </c>
      <c r="H703" s="2191" t="s">
        <v>12835</v>
      </c>
      <c r="I703" s="1517"/>
      <c r="J703" s="1517"/>
      <c r="K703" s="1517"/>
      <c r="L703" s="1517"/>
    </row>
    <row r="704" spans="2:12" ht="38.25" x14ac:dyDescent="0.2">
      <c r="B704" s="1515" t="str">
        <f t="shared" si="58"/>
        <v>Supprimer les groupes de tables</v>
      </c>
      <c r="C704" s="312" t="str">
        <f t="shared" si="59"/>
        <v>N_Rib_ScrTip_GmftUndefineGroupOfTableNames</v>
      </c>
      <c r="D704" s="1516" t="s">
        <v>10494</v>
      </c>
      <c r="E704" s="1516" t="s">
        <v>10501</v>
      </c>
      <c r="F704" s="1576" t="s">
        <v>10510</v>
      </c>
      <c r="G704" s="1516" t="s">
        <v>12148</v>
      </c>
      <c r="H704" s="2191" t="s">
        <v>12836</v>
      </c>
      <c r="I704" s="1517"/>
      <c r="J704" s="1517"/>
      <c r="K704" s="1517"/>
      <c r="L704" s="1517"/>
    </row>
    <row r="705" spans="2:12" ht="38.25" x14ac:dyDescent="0.2">
      <c r="B705" s="1515" t="str">
        <f t="shared" si="58"/>
        <v>Supprimer les définitions de toutes les tables</v>
      </c>
      <c r="C705" s="312" t="str">
        <f t="shared" si="59"/>
        <v>N_Rib_SupTip_GmftUndefineGroupOfTableNames</v>
      </c>
      <c r="D705" s="1516" t="s">
        <v>10493</v>
      </c>
      <c r="E705" s="1516" t="s">
        <v>10500</v>
      </c>
      <c r="F705" s="1576" t="s">
        <v>10509</v>
      </c>
      <c r="G705" s="1516" t="s">
        <v>12147</v>
      </c>
      <c r="H705" s="2191" t="s">
        <v>12835</v>
      </c>
      <c r="I705" s="1517"/>
      <c r="J705" s="1517"/>
      <c r="K705" s="1517"/>
      <c r="L705" s="1517"/>
    </row>
    <row r="706" spans="2:12" ht="38.25" x14ac:dyDescent="0.2">
      <c r="B706" s="1515" t="str">
        <f t="shared" si="58"/>
        <v>Supprimer les modèles de table/groupe</v>
      </c>
      <c r="C706" s="312" t="str">
        <f t="shared" si="59"/>
        <v>N_Rib_ScrTip_GmftUndefineModels</v>
      </c>
      <c r="D706" s="1516" t="s">
        <v>10496</v>
      </c>
      <c r="E706" s="1516" t="s">
        <v>10502</v>
      </c>
      <c r="F706" s="1576" t="s">
        <v>10511</v>
      </c>
      <c r="G706" s="1516" t="s">
        <v>12150</v>
      </c>
      <c r="H706" s="2191" t="s">
        <v>12837</v>
      </c>
      <c r="I706" s="1517"/>
      <c r="J706" s="1517"/>
      <c r="K706" s="1517"/>
      <c r="L706" s="1517"/>
    </row>
    <row r="707" spans="2:12" ht="51" x14ac:dyDescent="0.2">
      <c r="B707" s="1515" t="str">
        <f t="shared" si="58"/>
        <v>Supprimer les définitions de tous les modèles de table/groupe</v>
      </c>
      <c r="C707" s="312" t="str">
        <f t="shared" si="59"/>
        <v>N_Rib_SupTip_GmftUndefineModels</v>
      </c>
      <c r="D707" s="1516" t="s">
        <v>10497</v>
      </c>
      <c r="E707" s="1516" t="s">
        <v>10503</v>
      </c>
      <c r="F707" s="1576" t="s">
        <v>10512</v>
      </c>
      <c r="G707" s="1516" t="s">
        <v>12151</v>
      </c>
      <c r="H707" s="2191" t="s">
        <v>12838</v>
      </c>
      <c r="I707" s="1517"/>
      <c r="J707" s="1517"/>
      <c r="K707" s="1517"/>
      <c r="L707" s="1517"/>
    </row>
    <row r="708" spans="2:12" ht="25.5" x14ac:dyDescent="0.2">
      <c r="B708" s="1515" t="str">
        <f t="shared" si="58"/>
        <v>Information affichée</v>
      </c>
      <c r="C708" s="312" t="str">
        <f t="shared" si="59"/>
        <v>N_Rib_ScrTip_TableDisplayDropDown</v>
      </c>
      <c r="D708" s="1516" t="s">
        <v>10513</v>
      </c>
      <c r="E708" s="1516" t="s">
        <v>10523</v>
      </c>
      <c r="F708" s="1576" t="s">
        <v>10532</v>
      </c>
      <c r="G708" s="1516" t="s">
        <v>12152</v>
      </c>
      <c r="H708" s="2191" t="s">
        <v>12839</v>
      </c>
      <c r="I708" s="1517"/>
      <c r="J708" s="1517"/>
      <c r="K708" s="1517"/>
      <c r="L708" s="1517"/>
    </row>
    <row r="709" spans="2:12" ht="38.25" x14ac:dyDescent="0.2">
      <c r="B709" s="1515" t="str">
        <f t="shared" si="58"/>
        <v>Type d'information à afficher sur les tables</v>
      </c>
      <c r="C709" s="312" t="str">
        <f t="shared" si="59"/>
        <v>N_Rib_SupTip_TableDisplayDropDown</v>
      </c>
      <c r="D709" s="1516" t="s">
        <v>10514</v>
      </c>
      <c r="E709" s="1516" t="s">
        <v>10524</v>
      </c>
      <c r="F709" s="1576" t="s">
        <v>10533</v>
      </c>
      <c r="G709" s="1516" t="s">
        <v>12153</v>
      </c>
      <c r="H709" s="2191" t="s">
        <v>12840</v>
      </c>
      <c r="I709" s="1517"/>
      <c r="J709" s="1517"/>
      <c r="K709" s="1517"/>
      <c r="L709" s="1517"/>
    </row>
    <row r="710" spans="2:12" ht="25.5" x14ac:dyDescent="0.2">
      <c r="B710" s="1515" t="str">
        <f t="shared" si="58"/>
        <v>Numéro Session</v>
      </c>
      <c r="C710" s="312" t="str">
        <f t="shared" si="59"/>
        <v>N_Rib_ScrTip_GmftSession_Number</v>
      </c>
      <c r="D710" s="1516" t="s">
        <v>10515</v>
      </c>
      <c r="E710" s="1516" t="s">
        <v>10525</v>
      </c>
      <c r="F710" s="1576" t="s">
        <v>10534</v>
      </c>
      <c r="G710" s="1516" t="s">
        <v>12154</v>
      </c>
      <c r="H710" s="2191" t="s">
        <v>12841</v>
      </c>
      <c r="I710" s="1517"/>
      <c r="J710" s="1517"/>
      <c r="K710" s="1517"/>
      <c r="L710" s="1517"/>
    </row>
    <row r="711" spans="2:12" ht="38.25" x14ac:dyDescent="0.2">
      <c r="B711" s="1515" t="str">
        <f t="shared" si="58"/>
        <v>Numéro de la série du planning à afficher</v>
      </c>
      <c r="C711" s="312" t="str">
        <f t="shared" si="59"/>
        <v>N_Rib_SupTip_GmftSession_Number</v>
      </c>
      <c r="D711" s="1516" t="s">
        <v>10516</v>
      </c>
      <c r="E711" s="1516" t="s">
        <v>11005</v>
      </c>
      <c r="F711" s="1576" t="s">
        <v>10535</v>
      </c>
      <c r="G711" s="1516" t="s">
        <v>12155</v>
      </c>
      <c r="H711" s="2191" t="s">
        <v>12842</v>
      </c>
      <c r="I711" s="1517"/>
      <c r="J711" s="1517"/>
      <c r="K711" s="1517"/>
      <c r="L711" s="1517"/>
    </row>
    <row r="712" spans="2:12" ht="25.5" x14ac:dyDescent="0.2">
      <c r="B712" s="1515" t="str">
        <f t="shared" si="58"/>
        <v>Epreuve Officielle FISTF</v>
      </c>
      <c r="C712" s="312" t="str">
        <f t="shared" si="59"/>
        <v>N_Rib_ScrTip_GmftNewEvent_FISTF</v>
      </c>
      <c r="D712" s="1516" t="s">
        <v>10517</v>
      </c>
      <c r="E712" s="1516" t="s">
        <v>10527</v>
      </c>
      <c r="F712" s="1576" t="s">
        <v>10536</v>
      </c>
      <c r="G712" s="1516" t="s">
        <v>12156</v>
      </c>
      <c r="H712" s="2191" t="s">
        <v>12843</v>
      </c>
      <c r="I712" s="1517"/>
      <c r="J712" s="1517"/>
      <c r="K712" s="1517"/>
      <c r="L712" s="1517"/>
    </row>
    <row r="713" spans="2:12" ht="63.75" x14ac:dyDescent="0.2">
      <c r="B713" s="1515" t="str">
        <f t="shared" si="58"/>
        <v>Création d'une épreuve basée sur les formules officielles de la FISTF</v>
      </c>
      <c r="C713" s="312" t="str">
        <f t="shared" si="59"/>
        <v>N_Rib_SupTip_GmftNewEvent_FISTF</v>
      </c>
      <c r="D713" s="1516" t="s">
        <v>10518</v>
      </c>
      <c r="E713" s="1516" t="s">
        <v>10528</v>
      </c>
      <c r="F713" s="1576" t="s">
        <v>10537</v>
      </c>
      <c r="G713" s="1516" t="s">
        <v>12157</v>
      </c>
      <c r="H713" s="2191" t="s">
        <v>12844</v>
      </c>
      <c r="I713" s="1517"/>
      <c r="J713" s="1517"/>
      <c r="K713" s="1517"/>
      <c r="L713" s="1517"/>
    </row>
    <row r="714" spans="2:12" ht="25.5" x14ac:dyDescent="0.2">
      <c r="B714" s="1515" t="str">
        <f t="shared" si="58"/>
        <v>Epreuve sur formules prédéfinies</v>
      </c>
      <c r="C714" s="312" t="str">
        <f t="shared" si="59"/>
        <v>N_Rib_ScrTip_GmftNewEvent_Predefined</v>
      </c>
      <c r="D714" s="1516" t="s">
        <v>10519</v>
      </c>
      <c r="E714" s="1516" t="s">
        <v>10529</v>
      </c>
      <c r="F714" s="1576" t="s">
        <v>10538</v>
      </c>
      <c r="G714" s="1516" t="s">
        <v>12158</v>
      </c>
      <c r="H714" s="2191" t="s">
        <v>12845</v>
      </c>
      <c r="I714" s="1517"/>
      <c r="J714" s="1517"/>
      <c r="K714" s="1517"/>
      <c r="L714" s="1517"/>
    </row>
    <row r="715" spans="2:12" ht="63.75" x14ac:dyDescent="0.2">
      <c r="B715" s="1515" t="str">
        <f t="shared" si="58"/>
        <v>Création d'une épreuve basée sur des formules prédéfinies de 3 à 128 joueurs</v>
      </c>
      <c r="C715" s="312" t="str">
        <f t="shared" si="59"/>
        <v>N_Rib_SupTip_GmftNewEvent_Predefined</v>
      </c>
      <c r="D715" s="1516" t="s">
        <v>10520</v>
      </c>
      <c r="E715" s="1516" t="s">
        <v>10526</v>
      </c>
      <c r="F715" s="1576" t="s">
        <v>10539</v>
      </c>
      <c r="G715" s="1516" t="s">
        <v>12159</v>
      </c>
      <c r="H715" s="2191" t="s">
        <v>12846</v>
      </c>
      <c r="I715" s="1517"/>
      <c r="J715" s="1517"/>
      <c r="K715" s="1517"/>
      <c r="L715" s="1517"/>
    </row>
    <row r="716" spans="2:12" ht="25.5" x14ac:dyDescent="0.2">
      <c r="B716" s="1515" t="str">
        <f t="shared" si="58"/>
        <v>Epreuve personnalisée</v>
      </c>
      <c r="C716" s="312" t="str">
        <f t="shared" si="59"/>
        <v>N_Rib_ScrTip_GmftNewEvent_Custom</v>
      </c>
      <c r="D716" s="1516" t="s">
        <v>10521</v>
      </c>
      <c r="E716" s="1516" t="s">
        <v>10530</v>
      </c>
      <c r="F716" s="1576" t="s">
        <v>10540</v>
      </c>
      <c r="G716" s="1516" t="s">
        <v>12160</v>
      </c>
      <c r="H716" s="2191" t="s">
        <v>12847</v>
      </c>
      <c r="I716" s="1517"/>
      <c r="J716" s="1517"/>
      <c r="K716" s="1517"/>
      <c r="L716" s="1517"/>
    </row>
    <row r="717" spans="2:12" ht="140.25" x14ac:dyDescent="0.2">
      <c r="B717" s="1515" t="str">
        <f t="shared" si="58"/>
        <v>Création d'une épreuve entièrement personnalisée. ATTENTION: les liens de qualification entre les phases de poule et les phases finales sont à renseigner dans l'onglet de l'épreuve.</v>
      </c>
      <c r="C717" s="312" t="str">
        <f t="shared" si="59"/>
        <v>N_Rib_SupTip_GmftNewEvent_Custom</v>
      </c>
      <c r="D717" s="1516" t="s">
        <v>10522</v>
      </c>
      <c r="E717" s="1516" t="s">
        <v>10531</v>
      </c>
      <c r="F717" s="1576" t="s">
        <v>10541</v>
      </c>
      <c r="G717" s="1516" t="s">
        <v>12267</v>
      </c>
      <c r="H717" s="2191" t="s">
        <v>12848</v>
      </c>
      <c r="I717" s="1517"/>
      <c r="J717" s="1517"/>
      <c r="K717" s="1517"/>
      <c r="L717" s="1517"/>
    </row>
    <row r="718" spans="2:12" ht="25.5" x14ac:dyDescent="0.2">
      <c r="B718" s="1515" t="str">
        <f t="shared" si="58"/>
        <v>Export Web</v>
      </c>
      <c r="C718" s="312" t="str">
        <f t="shared" ref="C718:C733" si="60">NAMEOF(B718)</f>
        <v>N_Rib_ScrTip_GmftWebSiteExport</v>
      </c>
      <c r="D718" s="1516" t="s">
        <v>10542</v>
      </c>
      <c r="E718" s="1516" t="s">
        <v>10543</v>
      </c>
      <c r="F718" s="1576" t="s">
        <v>10568</v>
      </c>
      <c r="G718" s="1516" t="s">
        <v>12161</v>
      </c>
      <c r="H718" s="2191" t="s">
        <v>12849</v>
      </c>
      <c r="I718" s="1517"/>
      <c r="J718" s="1517"/>
      <c r="K718" s="1517"/>
      <c r="L718" s="1517"/>
    </row>
    <row r="719" spans="2:12" ht="38.25" x14ac:dyDescent="0.2">
      <c r="B719" s="1515" t="str">
        <f t="shared" si="58"/>
        <v>Exporter les données vers le Site Web GMFT</v>
      </c>
      <c r="C719" s="312" t="str">
        <f t="shared" si="60"/>
        <v>N_Rib_SupTip_GmftWebSiteExport</v>
      </c>
      <c r="D719" s="1516" t="s">
        <v>7953</v>
      </c>
      <c r="E719" s="312" t="s">
        <v>7952</v>
      </c>
      <c r="F719" s="298" t="s">
        <v>9183</v>
      </c>
      <c r="G719" s="1516" t="s">
        <v>12162</v>
      </c>
      <c r="H719" s="2191" t="s">
        <v>12850</v>
      </c>
      <c r="I719" s="1517"/>
      <c r="J719" s="1517"/>
      <c r="K719" s="1517"/>
      <c r="L719" s="1517"/>
    </row>
    <row r="720" spans="2:12" ht="25.5" x14ac:dyDescent="0.2">
      <c r="B720" s="1515" t="str">
        <f t="shared" ref="B720:B721" si="61">HLOOKUP(Language,D$2:L$1114,ROW()-1,FALSE)</f>
        <v>Export Inscriptions</v>
      </c>
      <c r="C720" s="312" t="str">
        <f t="shared" ref="C720:C721" si="62">NAMEOF(B720)</f>
        <v>N_Rib_ScrTip_GmftRegistrationsExport</v>
      </c>
      <c r="D720" s="1516" t="s">
        <v>11453</v>
      </c>
      <c r="E720" s="1516" t="s">
        <v>11457</v>
      </c>
      <c r="F720" s="1576" t="s">
        <v>11458</v>
      </c>
      <c r="G720" s="1516" t="s">
        <v>12163</v>
      </c>
      <c r="H720" s="2191" t="s">
        <v>12851</v>
      </c>
      <c r="I720" s="1517"/>
      <c r="J720" s="1517"/>
      <c r="K720" s="1517"/>
      <c r="L720" s="1517"/>
    </row>
    <row r="721" spans="2:12" ht="51" x14ac:dyDescent="0.2">
      <c r="B721" s="1515" t="str">
        <f t="shared" si="61"/>
        <v>Exporter les Inscriptions vers le Site Web Inscriptions</v>
      </c>
      <c r="C721" s="312" t="str">
        <f t="shared" si="62"/>
        <v>N_Rib_SupTip_GmftRegistrationsExport</v>
      </c>
      <c r="D721" s="1516" t="s">
        <v>11454</v>
      </c>
      <c r="E721" s="312" t="s">
        <v>11455</v>
      </c>
      <c r="F721" s="298" t="s">
        <v>11456</v>
      </c>
      <c r="G721" s="1516" t="s">
        <v>12164</v>
      </c>
      <c r="H721" s="2191" t="s">
        <v>12852</v>
      </c>
      <c r="I721" s="1517"/>
      <c r="J721" s="1517"/>
      <c r="K721" s="1517"/>
      <c r="L721" s="1517"/>
    </row>
    <row r="722" spans="2:12" ht="25.5" x14ac:dyDescent="0.2">
      <c r="B722" s="1515" t="str">
        <f t="shared" si="58"/>
        <v>Export FISTF</v>
      </c>
      <c r="C722" s="312" t="str">
        <f t="shared" si="60"/>
        <v>N_Rib_ScrTip_GmftFISTFExport</v>
      </c>
      <c r="D722" s="1516" t="s">
        <v>10380</v>
      </c>
      <c r="E722" s="1516" t="s">
        <v>10552</v>
      </c>
      <c r="F722" s="1576" t="s">
        <v>10385</v>
      </c>
      <c r="G722" s="1516" t="s">
        <v>12104</v>
      </c>
      <c r="H722" s="2191" t="s">
        <v>12104</v>
      </c>
      <c r="I722" s="1517"/>
      <c r="J722" s="1517"/>
      <c r="K722" s="1517"/>
      <c r="L722" s="1517"/>
    </row>
    <row r="723" spans="2:12" ht="38.25" x14ac:dyDescent="0.2">
      <c r="B723" s="1515" t="str">
        <f t="shared" ref="B723:B741" si="63">HLOOKUP(Language,D$2:L$1114,ROW()-1,FALSE)</f>
        <v>Exporter dans le fichier résultats officiel FISTF</v>
      </c>
      <c r="C723" s="312" t="str">
        <f t="shared" si="60"/>
        <v>N_Rib_SupTip_GmftFISTFExport</v>
      </c>
      <c r="D723" s="1516" t="s">
        <v>10544</v>
      </c>
      <c r="E723" s="1516" t="s">
        <v>10553</v>
      </c>
      <c r="F723" s="1576" t="s">
        <v>10567</v>
      </c>
      <c r="G723" s="1516" t="s">
        <v>12165</v>
      </c>
      <c r="H723" s="2191" t="s">
        <v>12853</v>
      </c>
      <c r="I723" s="1517"/>
      <c r="J723" s="1517"/>
      <c r="K723" s="1517"/>
      <c r="L723" s="1517"/>
    </row>
    <row r="724" spans="2:12" ht="25.5" x14ac:dyDescent="0.2">
      <c r="B724" s="1515" t="str">
        <f t="shared" si="63"/>
        <v>Initialiser mise en page</v>
      </c>
      <c r="C724" s="312" t="str">
        <f t="shared" si="60"/>
        <v>N_Rib_ScrTip_GmftInitLayout</v>
      </c>
      <c r="D724" s="1516" t="s">
        <v>10545</v>
      </c>
      <c r="E724" s="1516" t="s">
        <v>10382</v>
      </c>
      <c r="F724" s="1576" t="s">
        <v>10384</v>
      </c>
      <c r="G724" s="1516" t="s">
        <v>12106</v>
      </c>
      <c r="H724" s="2191" t="s">
        <v>12854</v>
      </c>
      <c r="I724" s="1517"/>
      <c r="J724" s="1517"/>
      <c r="K724" s="1517"/>
      <c r="L724" s="1517"/>
    </row>
    <row r="725" spans="2:12" ht="63.75" x14ac:dyDescent="0.2">
      <c r="B725" s="1515" t="str">
        <f t="shared" si="63"/>
        <v>Initialiser les entêtes et pieds de page des différentes feuilles en vue de leur impression</v>
      </c>
      <c r="C725" s="312" t="str">
        <f t="shared" si="60"/>
        <v>N_Rib_SupTip_GmftInitLayout</v>
      </c>
      <c r="D725" s="1516" t="s">
        <v>10546</v>
      </c>
      <c r="E725" s="1516" t="s">
        <v>10554</v>
      </c>
      <c r="F725" s="1576" t="s">
        <v>10561</v>
      </c>
      <c r="G725" s="1516" t="s">
        <v>12166</v>
      </c>
      <c r="H725" s="2191" t="s">
        <v>12855</v>
      </c>
      <c r="I725" s="1517"/>
      <c r="J725" s="1517"/>
      <c r="K725" s="1517"/>
      <c r="L725" s="1517"/>
    </row>
    <row r="726" spans="2:12" ht="25.5" x14ac:dyDescent="0.2">
      <c r="B726" s="1515" t="str">
        <f t="shared" si="63"/>
        <v>Afficher les sauts de page</v>
      </c>
      <c r="C726" s="312" t="str">
        <f t="shared" si="60"/>
        <v>N_Rib_ScrTip_GmftViewPageBreaks</v>
      </c>
      <c r="D726" s="1516" t="s">
        <v>10547</v>
      </c>
      <c r="E726" s="1516" t="s">
        <v>10555</v>
      </c>
      <c r="F726" s="1576" t="s">
        <v>10562</v>
      </c>
      <c r="G726" s="1516" t="s">
        <v>12167</v>
      </c>
      <c r="H726" s="2191" t="s">
        <v>12856</v>
      </c>
      <c r="I726" s="1517"/>
      <c r="J726" s="1517"/>
      <c r="K726" s="1517"/>
      <c r="L726" s="1517"/>
    </row>
    <row r="727" spans="2:12" ht="76.5" x14ac:dyDescent="0.2">
      <c r="B727" s="1515" t="str">
        <f t="shared" si="63"/>
        <v>Afficher les feuilles à imprimer en mode mise en page pour régler les sauts de page avant impression</v>
      </c>
      <c r="C727" s="312" t="str">
        <f t="shared" si="60"/>
        <v>N_Rib_SupTip_GmftViewPageBreaks</v>
      </c>
      <c r="D727" s="1516" t="s">
        <v>10548</v>
      </c>
      <c r="E727" s="1516" t="s">
        <v>10556</v>
      </c>
      <c r="F727" s="1576" t="s">
        <v>10563</v>
      </c>
      <c r="G727" s="1516" t="s">
        <v>12168</v>
      </c>
      <c r="H727" s="2191" t="s">
        <v>12857</v>
      </c>
      <c r="I727" s="1517"/>
      <c r="J727" s="1517"/>
      <c r="K727" s="1517"/>
      <c r="L727" s="1517"/>
    </row>
    <row r="728" spans="2:12" ht="25.5" x14ac:dyDescent="0.2">
      <c r="B728" s="1515" t="str">
        <f t="shared" si="63"/>
        <v>Revenir à la vue normale</v>
      </c>
      <c r="C728" s="312" t="str">
        <f t="shared" si="60"/>
        <v>N_Rib_ScrTip_GmftViewNormal</v>
      </c>
      <c r="D728" s="1516" t="s">
        <v>10549</v>
      </c>
      <c r="E728" s="1516" t="s">
        <v>10557</v>
      </c>
      <c r="F728" s="1576" t="s">
        <v>10564</v>
      </c>
      <c r="G728" s="1516" t="s">
        <v>12169</v>
      </c>
      <c r="H728" s="2191" t="s">
        <v>12858</v>
      </c>
      <c r="I728" s="1517"/>
      <c r="J728" s="1517"/>
      <c r="K728" s="1517"/>
      <c r="L728" s="1517"/>
    </row>
    <row r="729" spans="2:12" ht="63.75" x14ac:dyDescent="0.2">
      <c r="B729" s="1515" t="str">
        <f t="shared" si="63"/>
        <v>Remettre les feuilles à imprimer dans le mode de visualisation standard</v>
      </c>
      <c r="C729" s="312" t="str">
        <f t="shared" si="60"/>
        <v>N_Rib_SupTip_GmftViewNormal</v>
      </c>
      <c r="D729" s="1516" t="s">
        <v>10550</v>
      </c>
      <c r="E729" s="1516" t="s">
        <v>10558</v>
      </c>
      <c r="F729" s="1576" t="s">
        <v>10565</v>
      </c>
      <c r="G729" s="1516" t="s">
        <v>12170</v>
      </c>
      <c r="H729" s="2191" t="s">
        <v>12859</v>
      </c>
      <c r="I729" s="1517"/>
      <c r="J729" s="1517"/>
      <c r="K729" s="1517"/>
      <c r="L729" s="1517"/>
    </row>
    <row r="730" spans="2:12" ht="25.5" x14ac:dyDescent="0.2">
      <c r="B730" s="1515" t="str">
        <f t="shared" ref="B730" si="64">HLOOKUP(Language,D$2:L$1114,ROW()-1,FALSE)</f>
        <v>Exporter les résultats en PDF</v>
      </c>
      <c r="C730" s="312" t="str">
        <f t="shared" ref="C730" si="65">NAMEOF(B730)</f>
        <v>N_Rib_ScrTip_GmftSaveResultsAsPDF</v>
      </c>
      <c r="D730" s="1516" t="s">
        <v>11544</v>
      </c>
      <c r="E730" s="1516" t="s">
        <v>11545</v>
      </c>
      <c r="F730" s="1576" t="s">
        <v>11546</v>
      </c>
      <c r="G730" s="1516" t="s">
        <v>12171</v>
      </c>
      <c r="H730" s="2191" t="s">
        <v>12860</v>
      </c>
      <c r="I730" s="1517"/>
      <c r="J730" s="1517"/>
      <c r="K730" s="1517"/>
      <c r="L730" s="1517"/>
    </row>
    <row r="731" spans="2:12" ht="25.5" x14ac:dyDescent="0.2">
      <c r="B731" s="1515" t="str">
        <f t="shared" si="63"/>
        <v>Imprimer les résultats</v>
      </c>
      <c r="C731" s="312" t="str">
        <f t="shared" si="60"/>
        <v>N_Rib_ScrTip_GmftPrintResults</v>
      </c>
      <c r="D731" s="1516" t="s">
        <v>10393</v>
      </c>
      <c r="E731" s="1516" t="s">
        <v>10559</v>
      </c>
      <c r="F731" s="1576" t="s">
        <v>9185</v>
      </c>
      <c r="G731" s="1516" t="s">
        <v>12172</v>
      </c>
      <c r="H731" s="2191" t="s">
        <v>12861</v>
      </c>
      <c r="I731" s="1517"/>
      <c r="J731" s="1517"/>
      <c r="K731" s="1517"/>
      <c r="L731" s="1517"/>
    </row>
    <row r="732" spans="2:12" ht="38.25" customHeight="1" x14ac:dyDescent="0.2">
      <c r="B732" s="1515" t="str">
        <f t="shared" ref="B732" si="66">HLOOKUP(Language,D$2:L$1114,ROW()-1,FALSE)</f>
        <v>Ne rendre visibles que les onglets utiles pour les résultats et enregistrer le classeur en fichier PDF</v>
      </c>
      <c r="C732" s="312" t="str">
        <f t="shared" ref="C732" si="67">NAMEOF(B732)</f>
        <v>N_Rib_SupTip_GmftSaveResultsAsPDF</v>
      </c>
      <c r="D732" s="1516" t="s">
        <v>11547</v>
      </c>
      <c r="E732" s="1516" t="s">
        <v>11549</v>
      </c>
      <c r="F732" s="1576" t="s">
        <v>11548</v>
      </c>
      <c r="G732" s="1516" t="s">
        <v>12173</v>
      </c>
      <c r="H732" s="2191" t="s">
        <v>12862</v>
      </c>
      <c r="I732" s="1517"/>
      <c r="J732" s="1517"/>
      <c r="K732" s="1517"/>
      <c r="L732" s="1517"/>
    </row>
    <row r="733" spans="2:12" ht="76.5" x14ac:dyDescent="0.2">
      <c r="B733" s="1515" t="str">
        <f t="shared" si="63"/>
        <v>Préparer l'impression et passer en mode "Aperçu avant impression" pour imprimer</v>
      </c>
      <c r="C733" s="312" t="str">
        <f t="shared" si="60"/>
        <v>N_Rib_SupTip_GmftPrintResults</v>
      </c>
      <c r="D733" s="1516" t="s">
        <v>10551</v>
      </c>
      <c r="E733" s="1516" t="s">
        <v>10560</v>
      </c>
      <c r="F733" s="1576" t="s">
        <v>10566</v>
      </c>
      <c r="G733" s="1516" t="s">
        <v>12174</v>
      </c>
      <c r="H733" s="2191" t="s">
        <v>12863</v>
      </c>
      <c r="I733" s="1517"/>
      <c r="J733" s="1517"/>
      <c r="K733" s="1517"/>
      <c r="L733" s="1517"/>
    </row>
    <row r="734" spans="2:12" ht="25.5" x14ac:dyDescent="0.2">
      <c r="B734" s="1515" t="str">
        <f t="shared" si="63"/>
        <v>Déplacement Matches</v>
      </c>
      <c r="C734" s="312" t="str">
        <f t="shared" ref="C734" si="68">NAMEOF(B734)</f>
        <v>N_Rib_GmftGroupPlanningMoveMatches</v>
      </c>
      <c r="D734" s="1516" t="s">
        <v>10575</v>
      </c>
      <c r="E734" s="1516" t="s">
        <v>10576</v>
      </c>
      <c r="F734" s="1576" t="s">
        <v>10577</v>
      </c>
      <c r="G734" s="1516" t="s">
        <v>12175</v>
      </c>
      <c r="H734" s="2191" t="s">
        <v>12864</v>
      </c>
      <c r="I734" s="1517"/>
      <c r="J734" s="1517"/>
      <c r="K734" s="1517"/>
      <c r="L734" s="1517"/>
    </row>
    <row r="735" spans="2:12" ht="25.5" x14ac:dyDescent="0.2">
      <c r="B735" s="1515" t="str">
        <f t="shared" si="63"/>
        <v>Gestion des sessions</v>
      </c>
      <c r="C735" s="312" t="str">
        <f t="shared" ref="C735:C770" si="69">NAMEOF(B735)</f>
        <v>N_Rib_GmftGroupPlanningSessionMgt</v>
      </c>
      <c r="D735" s="1516" t="s">
        <v>10578</v>
      </c>
      <c r="E735" s="1516" t="s">
        <v>10579</v>
      </c>
      <c r="F735" s="1576" t="s">
        <v>10587</v>
      </c>
      <c r="G735" s="1516" t="s">
        <v>12176</v>
      </c>
      <c r="H735" s="2191" t="s">
        <v>12865</v>
      </c>
      <c r="I735" s="1517"/>
      <c r="J735" s="1517"/>
      <c r="K735" s="1517"/>
      <c r="L735" s="1517"/>
    </row>
    <row r="736" spans="2:12" ht="25.5" x14ac:dyDescent="0.2">
      <c r="B736" s="1515" t="str">
        <f t="shared" si="63"/>
        <v>Enregistrer scores</v>
      </c>
      <c r="C736" s="312" t="str">
        <f t="shared" si="69"/>
        <v>N_Rib_GmftGroupPlanningRecord</v>
      </c>
      <c r="D736" s="1516" t="s">
        <v>10685</v>
      </c>
      <c r="E736" s="1516" t="s">
        <v>10582</v>
      </c>
      <c r="F736" s="1576" t="s">
        <v>10584</v>
      </c>
      <c r="G736" s="1516" t="s">
        <v>12177</v>
      </c>
      <c r="H736" s="2191" t="s">
        <v>12866</v>
      </c>
      <c r="I736" s="1517"/>
      <c r="J736" s="1517"/>
      <c r="K736" s="1517"/>
      <c r="L736" s="1517"/>
    </row>
    <row r="737" spans="2:12" ht="25.5" x14ac:dyDescent="0.2">
      <c r="B737" s="1515" t="str">
        <f t="shared" si="63"/>
        <v>Gestion arbitrage</v>
      </c>
      <c r="C737" s="312" t="str">
        <f t="shared" si="69"/>
        <v>N_Rib_GmftGroupPlanningReferees</v>
      </c>
      <c r="D737" s="1516" t="s">
        <v>10580</v>
      </c>
      <c r="E737" s="1516" t="s">
        <v>10583</v>
      </c>
      <c r="F737" s="1576" t="s">
        <v>10585</v>
      </c>
      <c r="G737" s="1516" t="s">
        <v>12178</v>
      </c>
      <c r="H737" s="2191" t="s">
        <v>12867</v>
      </c>
      <c r="I737" s="1517"/>
      <c r="J737" s="1517"/>
      <c r="K737" s="1517"/>
      <c r="L737" s="1517"/>
    </row>
    <row r="738" spans="2:12" ht="25.5" x14ac:dyDescent="0.2">
      <c r="B738" s="1515" t="str">
        <f t="shared" si="63"/>
        <v>Exports</v>
      </c>
      <c r="C738" s="312" t="str">
        <f t="shared" si="69"/>
        <v>N_Rib_GmftGroupPlanningExports</v>
      </c>
      <c r="D738" s="1516" t="s">
        <v>10377</v>
      </c>
      <c r="E738" s="1516" t="s">
        <v>10377</v>
      </c>
      <c r="F738" s="1576" t="s">
        <v>10586</v>
      </c>
      <c r="G738" s="1516" t="s">
        <v>12179</v>
      </c>
      <c r="H738" s="2191" t="s">
        <v>12868</v>
      </c>
      <c r="I738" s="1517"/>
      <c r="J738" s="1517"/>
      <c r="K738" s="1517"/>
      <c r="L738" s="1517"/>
    </row>
    <row r="739" spans="2:12" ht="25.5" x14ac:dyDescent="0.2">
      <c r="B739" s="1515" t="str">
        <f t="shared" si="63"/>
        <v>Dashboard</v>
      </c>
      <c r="C739" s="312" t="str">
        <f t="shared" si="69"/>
        <v>N_Rib_GmftGroupPlanningDashboard</v>
      </c>
      <c r="D739" s="1516" t="s">
        <v>10581</v>
      </c>
      <c r="E739" s="1516" t="s">
        <v>10581</v>
      </c>
      <c r="F739" s="1516" t="s">
        <v>10581</v>
      </c>
      <c r="G739" s="1516" t="s">
        <v>10581</v>
      </c>
      <c r="H739" s="2191" t="s">
        <v>10581</v>
      </c>
      <c r="I739" s="1517"/>
      <c r="J739" s="1517"/>
      <c r="K739" s="1517"/>
      <c r="L739" s="1517"/>
    </row>
    <row r="740" spans="2:12" ht="25.5" x14ac:dyDescent="0.2">
      <c r="B740" s="1515" t="str">
        <f t="shared" si="63"/>
        <v>Afficher les modèles</v>
      </c>
      <c r="C740" s="312" t="str">
        <f t="shared" ref="C740" si="70">NAMEOF(B740)</f>
        <v>N_Rib_GmftGroupParameters</v>
      </c>
      <c r="D740" s="1516" t="s">
        <v>10699</v>
      </c>
      <c r="E740" s="1516" t="s">
        <v>10700</v>
      </c>
      <c r="F740" s="1516" t="s">
        <v>10581</v>
      </c>
      <c r="G740" s="1516" t="s">
        <v>12180</v>
      </c>
      <c r="H740" s="2191" t="s">
        <v>12869</v>
      </c>
      <c r="I740" s="1517"/>
      <c r="J740" s="1517"/>
      <c r="K740" s="1517"/>
      <c r="L740" s="1517"/>
    </row>
    <row r="741" spans="2:12" ht="25.5" x14ac:dyDescent="0.2">
      <c r="B741" s="1515" t="str">
        <f t="shared" si="63"/>
        <v>Monter d'1 ligne</v>
      </c>
      <c r="C741" s="312" t="str">
        <f t="shared" ref="C741" si="71">NAMEOF(B741)</f>
        <v>N_Rib_GmftMoveMatchesUp</v>
      </c>
      <c r="D741" s="1516" t="s">
        <v>10588</v>
      </c>
      <c r="E741" s="1516" t="s">
        <v>10596</v>
      </c>
      <c r="F741" s="1516" t="s">
        <v>10701</v>
      </c>
      <c r="G741" s="1516" t="s">
        <v>12181</v>
      </c>
      <c r="H741" s="2191" t="s">
        <v>12870</v>
      </c>
      <c r="I741" s="1517"/>
      <c r="J741" s="1517"/>
      <c r="K741" s="1517"/>
      <c r="L741" s="1517"/>
    </row>
    <row r="742" spans="2:12" ht="25.5" x14ac:dyDescent="0.2">
      <c r="B742" s="1515" t="str">
        <f>N_Rib_GmftMoveMatchesUp</f>
        <v>Monter d'1 ligne</v>
      </c>
      <c r="C742" s="312" t="str">
        <f t="shared" si="69"/>
        <v>N_Rib_ScrTip_GmftMoveMatchesUp</v>
      </c>
      <c r="D742" s="1516" t="s">
        <v>10592</v>
      </c>
      <c r="E742" s="1516" t="s">
        <v>10592</v>
      </c>
      <c r="F742" s="1516" t="s">
        <v>10592</v>
      </c>
      <c r="G742" s="1516" t="s">
        <v>12182</v>
      </c>
      <c r="H742" s="2191" t="s">
        <v>12182</v>
      </c>
      <c r="I742" s="1517"/>
      <c r="J742" s="1517"/>
      <c r="K742" s="1517"/>
      <c r="L742" s="1517"/>
    </row>
    <row r="743" spans="2:12" ht="38.25" x14ac:dyDescent="0.2">
      <c r="B743" s="1515" t="str">
        <f>HLOOKUP(Language,D$2:L$1114,ROW()-1,FALSE)</f>
        <v>Monter d'1 ligne les matches sélectionnés</v>
      </c>
      <c r="C743" s="312" t="str">
        <f t="shared" si="69"/>
        <v>N_Rib_SupTip_GmftMoveMatchesUp</v>
      </c>
      <c r="D743" s="1516" t="s">
        <v>10589</v>
      </c>
      <c r="E743" s="1516" t="s">
        <v>10594</v>
      </c>
      <c r="F743" s="1516" t="s">
        <v>10599</v>
      </c>
      <c r="G743" s="1516" t="s">
        <v>12183</v>
      </c>
      <c r="H743" s="2191" t="s">
        <v>12871</v>
      </c>
      <c r="I743" s="1517"/>
      <c r="J743" s="1517"/>
      <c r="K743" s="1517"/>
      <c r="L743" s="1517"/>
    </row>
    <row r="744" spans="2:12" ht="25.5" x14ac:dyDescent="0.2">
      <c r="B744" s="1515" t="str">
        <f>HLOOKUP(Language,D$2:L$1114,ROW()-1,FALSE)</f>
        <v>Desc. d'1 ligne</v>
      </c>
      <c r="C744" s="312" t="str">
        <f t="shared" si="69"/>
        <v>N_Rib_GmftMoveMatchesDown</v>
      </c>
      <c r="D744" s="1516" t="s">
        <v>10681</v>
      </c>
      <c r="E744" s="1516" t="s">
        <v>10595</v>
      </c>
      <c r="F744" s="1516" t="s">
        <v>10693</v>
      </c>
      <c r="G744" s="1516" t="s">
        <v>12184</v>
      </c>
      <c r="H744" s="2191" t="s">
        <v>12872</v>
      </c>
      <c r="I744" s="1517"/>
      <c r="J744" s="1517"/>
      <c r="K744" s="1517"/>
      <c r="L744" s="1517"/>
    </row>
    <row r="745" spans="2:12" ht="25.5" x14ac:dyDescent="0.2">
      <c r="B745" s="1515" t="str">
        <f>N_Rib_GmftMoveMatchesDown</f>
        <v>Desc. d'1 ligne</v>
      </c>
      <c r="C745" s="312" t="str">
        <f t="shared" si="69"/>
        <v>N_Rib_ScrTip_GmftMoveMatchesDown</v>
      </c>
      <c r="D745" s="1516" t="s">
        <v>10592</v>
      </c>
      <c r="E745" s="1516" t="s">
        <v>10592</v>
      </c>
      <c r="F745" s="1516" t="s">
        <v>10592</v>
      </c>
      <c r="G745" s="1516" t="s">
        <v>12182</v>
      </c>
      <c r="H745" s="2191" t="s">
        <v>12182</v>
      </c>
      <c r="I745" s="1517"/>
      <c r="J745" s="1517"/>
      <c r="K745" s="1517"/>
      <c r="L745" s="1517"/>
    </row>
    <row r="746" spans="2:12" ht="38.25" x14ac:dyDescent="0.2">
      <c r="B746" s="1515" t="str">
        <f>HLOOKUP(Language,D$2:L$1114,ROW()-1,FALSE)</f>
        <v>Descendre d'1 ligne les matches sélectionnés</v>
      </c>
      <c r="C746" s="312" t="str">
        <f t="shared" si="69"/>
        <v>N_Rib_SupTip_GmftMoveMatchesDown</v>
      </c>
      <c r="D746" s="1516" t="s">
        <v>10590</v>
      </c>
      <c r="E746" s="1516" t="s">
        <v>10597</v>
      </c>
      <c r="F746" s="1516" t="s">
        <v>10599</v>
      </c>
      <c r="G746" s="1516" t="s">
        <v>12185</v>
      </c>
      <c r="H746" s="2191" t="s">
        <v>12873</v>
      </c>
      <c r="I746" s="1517"/>
      <c r="J746" s="1517"/>
      <c r="K746" s="1517"/>
      <c r="L746" s="1517"/>
    </row>
    <row r="747" spans="2:12" ht="25.5" x14ac:dyDescent="0.2">
      <c r="B747" s="1515" t="str">
        <f>HLOOKUP(Language,D$2:L$1114,ROW()-1,FALSE)</f>
        <v>Suppr. Matches</v>
      </c>
      <c r="C747" s="312" t="str">
        <f t="shared" ref="C747" si="72">NAMEOF(B747)</f>
        <v>N_Rib_GmftDeleteMatches</v>
      </c>
      <c r="D747" s="1516" t="s">
        <v>10682</v>
      </c>
      <c r="E747" s="1516" t="s">
        <v>10598</v>
      </c>
      <c r="F747" s="1516" t="s">
        <v>10692</v>
      </c>
      <c r="G747" s="1516" t="s">
        <v>12186</v>
      </c>
      <c r="H747" s="2191" t="s">
        <v>12874</v>
      </c>
      <c r="I747" s="1517"/>
      <c r="J747" s="1517"/>
      <c r="K747" s="1517"/>
      <c r="L747" s="1517"/>
    </row>
    <row r="748" spans="2:12" ht="25.5" x14ac:dyDescent="0.2">
      <c r="B748" s="1515" t="str">
        <f>N_Rib_GmftDeleteMatches</f>
        <v>Suppr. Matches</v>
      </c>
      <c r="C748" s="312" t="str">
        <f t="shared" si="69"/>
        <v>N_Rib_ScrTip_GmftDeleteMatches</v>
      </c>
      <c r="D748" s="1516" t="s">
        <v>10592</v>
      </c>
      <c r="E748" s="1516" t="s">
        <v>10592</v>
      </c>
      <c r="F748" s="1516" t="s">
        <v>10592</v>
      </c>
      <c r="G748" s="1516" t="s">
        <v>10592</v>
      </c>
      <c r="H748" s="2191" t="s">
        <v>10592</v>
      </c>
      <c r="I748" s="1517"/>
      <c r="J748" s="1517"/>
      <c r="K748" s="1517"/>
      <c r="L748" s="1517"/>
    </row>
    <row r="749" spans="2:12" ht="38.25" x14ac:dyDescent="0.2">
      <c r="B749" s="1515" t="str">
        <f>HLOOKUP(Language,D$2:L$1114,ROW()-1,FALSE)</f>
        <v>Supprimer les matches sélectionnés</v>
      </c>
      <c r="C749" s="312" t="str">
        <f t="shared" si="69"/>
        <v>N_Rib_SupTip_GmftDeleteMatches</v>
      </c>
      <c r="D749" s="1516" t="s">
        <v>10591</v>
      </c>
      <c r="E749" s="1516" t="s">
        <v>10593</v>
      </c>
      <c r="F749" s="1516" t="s">
        <v>10600</v>
      </c>
      <c r="G749" s="1516" t="s">
        <v>12187</v>
      </c>
      <c r="H749" s="2191" t="s">
        <v>12875</v>
      </c>
      <c r="I749" s="1517"/>
      <c r="J749" s="1517"/>
      <c r="K749" s="1517"/>
      <c r="L749" s="1517"/>
    </row>
    <row r="750" spans="2:12" ht="25.5" x14ac:dyDescent="0.2">
      <c r="B750" s="1515" t="str">
        <f>HLOOKUP(Language,D$2:L$1114,ROW()-1,FALSE)</f>
        <v>Session préc.</v>
      </c>
      <c r="C750" s="312" t="str">
        <f t="shared" si="69"/>
        <v>N_Rib_GmftMoveMatchesSessionUp</v>
      </c>
      <c r="D750" s="1516" t="s">
        <v>10675</v>
      </c>
      <c r="E750" s="1516" t="s">
        <v>10677</v>
      </c>
      <c r="F750" s="1516" t="s">
        <v>10678</v>
      </c>
      <c r="G750" s="1516" t="s">
        <v>12188</v>
      </c>
      <c r="H750" s="2191" t="s">
        <v>12876</v>
      </c>
      <c r="I750" s="1517"/>
      <c r="J750" s="1517"/>
      <c r="K750" s="1517"/>
      <c r="L750" s="1517"/>
    </row>
    <row r="751" spans="2:12" ht="25.5" x14ac:dyDescent="0.2">
      <c r="B751" s="1515" t="str">
        <f>N_Rib_GmftMoveMatchesSessionUp</f>
        <v>Session préc.</v>
      </c>
      <c r="C751" s="312" t="str">
        <f t="shared" si="69"/>
        <v>N_Rib_ScrTip_GmftMoveMatchesSessionUp</v>
      </c>
      <c r="D751" s="1516" t="s">
        <v>10605</v>
      </c>
      <c r="E751" s="1516" t="s">
        <v>10592</v>
      </c>
      <c r="F751" s="1516" t="s">
        <v>10592</v>
      </c>
      <c r="G751" s="1516" t="s">
        <v>10592</v>
      </c>
      <c r="H751" s="2191" t="s">
        <v>10592</v>
      </c>
      <c r="I751" s="1517"/>
      <c r="J751" s="1517"/>
      <c r="K751" s="1517"/>
      <c r="L751" s="1517"/>
    </row>
    <row r="752" spans="2:12" ht="63.75" x14ac:dyDescent="0.2">
      <c r="B752" s="1515" t="str">
        <f>HLOOKUP(Language,D$2:L$1114,ROW()-1,FALSE)</f>
        <v>Déplacer les matchs sélectionnés au début de la session précédente</v>
      </c>
      <c r="C752" s="312" t="str">
        <f t="shared" ref="C752:C753" si="73">NAMEOF(B752)</f>
        <v>N_Rib_SupTip_GmftMoveMatchesSessionUp</v>
      </c>
      <c r="D752" s="1516" t="s">
        <v>10606</v>
      </c>
      <c r="E752" s="1516" t="s">
        <v>10603</v>
      </c>
      <c r="F752" s="1516" t="s">
        <v>10609</v>
      </c>
      <c r="G752" s="1516" t="s">
        <v>12189</v>
      </c>
      <c r="H752" s="2191" t="s">
        <v>12877</v>
      </c>
      <c r="I752" s="1517"/>
      <c r="J752" s="1517"/>
      <c r="K752" s="1517"/>
      <c r="L752" s="1517"/>
    </row>
    <row r="753" spans="2:12" ht="25.5" x14ac:dyDescent="0.2">
      <c r="B753" s="1515" t="str">
        <f>HLOOKUP(Language,D$2:L$1114,ROW()-1,FALSE)</f>
        <v>Session suiv.</v>
      </c>
      <c r="C753" s="312" t="str">
        <f t="shared" si="73"/>
        <v>N_Rib_GmftMoveMatchesSessionDown</v>
      </c>
      <c r="D753" s="1516" t="s">
        <v>10676</v>
      </c>
      <c r="E753" s="1516" t="s">
        <v>10601</v>
      </c>
      <c r="F753" s="1516" t="s">
        <v>10679</v>
      </c>
      <c r="G753" s="1516" t="s">
        <v>12190</v>
      </c>
      <c r="H753" s="2191" t="s">
        <v>12878</v>
      </c>
      <c r="I753" s="1517"/>
      <c r="J753" s="1517"/>
      <c r="K753" s="1517"/>
      <c r="L753" s="1517"/>
    </row>
    <row r="754" spans="2:12" ht="25.5" x14ac:dyDescent="0.2">
      <c r="B754" s="1515" t="str">
        <f>N_Rib_GmftMoveMatchesSessionDown</f>
        <v>Session suiv.</v>
      </c>
      <c r="C754" s="312" t="str">
        <f t="shared" si="69"/>
        <v>N_Rib_ScrTip_GmftMoveMatchesSessionDown</v>
      </c>
      <c r="D754" s="1516" t="s">
        <v>10605</v>
      </c>
      <c r="E754" s="1516" t="s">
        <v>10592</v>
      </c>
      <c r="F754" s="1516" t="s">
        <v>10592</v>
      </c>
      <c r="G754" s="1516" t="s">
        <v>10592</v>
      </c>
      <c r="H754" s="2191" t="s">
        <v>10592</v>
      </c>
      <c r="I754" s="1517"/>
      <c r="J754" s="1517"/>
      <c r="K754" s="1517"/>
      <c r="L754" s="1517"/>
    </row>
    <row r="755" spans="2:12" ht="63.75" x14ac:dyDescent="0.2">
      <c r="B755" s="1515" t="str">
        <f>HLOOKUP(Language,D$2:L$1114,ROW()-1,FALSE)</f>
        <v>Déplacer les matchs sélectionnés au début de la session suivante</v>
      </c>
      <c r="C755" s="312" t="str">
        <f t="shared" si="69"/>
        <v>N_Rib_SupTip_GmftMoveMatchesSessionDown</v>
      </c>
      <c r="D755" s="1516" t="s">
        <v>10607</v>
      </c>
      <c r="E755" s="1516" t="s">
        <v>10602</v>
      </c>
      <c r="F755" s="1516" t="s">
        <v>10610</v>
      </c>
      <c r="G755" s="1516" t="s">
        <v>12191</v>
      </c>
      <c r="H755" s="2191" t="s">
        <v>12879</v>
      </c>
      <c r="I755" s="1517"/>
      <c r="J755" s="1517"/>
      <c r="K755" s="1517"/>
      <c r="L755" s="1517"/>
    </row>
    <row r="756" spans="2:12" ht="25.5" x14ac:dyDescent="0.2">
      <c r="B756" s="1515" t="str">
        <f>HLOOKUP(Language,D$2:L$1114,ROW()-1,FALSE)</f>
        <v xml:space="preserve">Session N° </v>
      </c>
      <c r="C756" s="312" t="str">
        <f t="shared" si="69"/>
        <v>N_Rib_GmftMoveMatchesToParticularSession</v>
      </c>
      <c r="D756" s="1516" t="s">
        <v>1711</v>
      </c>
      <c r="E756" s="1516" t="s">
        <v>1710</v>
      </c>
      <c r="F756" s="1516" t="s">
        <v>10680</v>
      </c>
      <c r="G756" s="1516" t="s">
        <v>11740</v>
      </c>
      <c r="H756" s="2191" t="s">
        <v>12880</v>
      </c>
      <c r="I756" s="1517"/>
      <c r="J756" s="1517"/>
      <c r="K756" s="1517"/>
      <c r="L756" s="1517"/>
    </row>
    <row r="757" spans="2:12" ht="38.25" x14ac:dyDescent="0.2">
      <c r="B757" s="1515" t="str">
        <f>N_Rib_GmftMoveMatchesToParticularSession</f>
        <v xml:space="preserve">Session N° </v>
      </c>
      <c r="C757" s="312" t="str">
        <f t="shared" si="69"/>
        <v>N_Rib_ScrTip_GmftMoveMatchesToParticularSession</v>
      </c>
      <c r="D757" s="1516" t="s">
        <v>10605</v>
      </c>
      <c r="E757" s="1516" t="s">
        <v>10592</v>
      </c>
      <c r="F757" s="1516" t="s">
        <v>10592</v>
      </c>
      <c r="G757" s="1516" t="s">
        <v>10592</v>
      </c>
      <c r="H757" s="2191" t="s">
        <v>10592</v>
      </c>
      <c r="I757" s="1517"/>
      <c r="J757" s="1517"/>
      <c r="K757" s="1517"/>
      <c r="L757" s="1517"/>
    </row>
    <row r="758" spans="2:12" ht="63.75" x14ac:dyDescent="0.2">
      <c r="B758" s="1515" t="str">
        <f>HLOOKUP(Language,D$2:L$1114,ROW()-1,FALSE)</f>
        <v>Déplacer les matchs sélectionnés au début d'une session spécifiée</v>
      </c>
      <c r="C758" s="312" t="str">
        <f t="shared" si="69"/>
        <v>N_Rib_SupTip_GmftMoveMatchesToParticularSession</v>
      </c>
      <c r="D758" s="1516" t="s">
        <v>10608</v>
      </c>
      <c r="E758" s="1516" t="s">
        <v>10604</v>
      </c>
      <c r="F758" s="1516" t="s">
        <v>10611</v>
      </c>
      <c r="G758" s="1516" t="s">
        <v>12192</v>
      </c>
      <c r="H758" s="2191" t="s">
        <v>12881</v>
      </c>
      <c r="I758" s="1517"/>
      <c r="J758" s="1517"/>
      <c r="K758" s="1517"/>
      <c r="L758" s="1517"/>
    </row>
    <row r="759" spans="2:12" ht="25.5" x14ac:dyDescent="0.2">
      <c r="B759" s="1515" t="str">
        <f>HLOOKUP(Language,D$2:L$1114,ROW()-1,FALSE)</f>
        <v>Insérer avant</v>
      </c>
      <c r="C759" s="312" t="str">
        <f t="shared" si="69"/>
        <v>N_Rib_GmftPlanning_InsertSession</v>
      </c>
      <c r="D759" s="1516" t="s">
        <v>10614</v>
      </c>
      <c r="E759" s="1516" t="s">
        <v>10615</v>
      </c>
      <c r="F759" s="1516" t="s">
        <v>10651</v>
      </c>
      <c r="G759" s="1516" t="s">
        <v>12193</v>
      </c>
      <c r="H759" s="2191" t="s">
        <v>12882</v>
      </c>
      <c r="I759" s="1517"/>
      <c r="J759" s="1517"/>
      <c r="K759" s="1517"/>
      <c r="L759" s="1517"/>
    </row>
    <row r="760" spans="2:12" ht="25.5" x14ac:dyDescent="0.2">
      <c r="B760" s="1515" t="str">
        <f>N_Rib_GmftPlanning_InsertSession</f>
        <v>Insérer avant</v>
      </c>
      <c r="C760" s="312" t="str">
        <f t="shared" si="69"/>
        <v>N_Rib_ScrTip_GmftPlanning_InsertSession</v>
      </c>
      <c r="D760" s="1516" t="s">
        <v>10592</v>
      </c>
      <c r="E760" s="1516" t="s">
        <v>10592</v>
      </c>
      <c r="F760" s="1516" t="s">
        <v>10592</v>
      </c>
      <c r="G760" s="1516" t="s">
        <v>10592</v>
      </c>
      <c r="H760" s="2191" t="s">
        <v>10592</v>
      </c>
      <c r="I760" s="1517"/>
      <c r="J760" s="1517"/>
      <c r="K760" s="1517"/>
      <c r="L760" s="1517"/>
    </row>
    <row r="761" spans="2:12" ht="38.25" x14ac:dyDescent="0.2">
      <c r="B761" s="1515" t="str">
        <f>HLOOKUP(Language,D$2:L$1114,ROW()-1,FALSE)</f>
        <v>Insérer une nouvelle session avant celle sélectionnée</v>
      </c>
      <c r="C761" s="312" t="str">
        <f t="shared" si="69"/>
        <v>N_Rib_SupTip_GmftPlanning_InsertSession</v>
      </c>
      <c r="D761" s="1516" t="s">
        <v>10617</v>
      </c>
      <c r="E761" s="1516" t="s">
        <v>10616</v>
      </c>
      <c r="F761" s="1516" t="s">
        <v>10652</v>
      </c>
      <c r="G761" s="1516" t="s">
        <v>12194</v>
      </c>
      <c r="H761" s="2191" t="s">
        <v>12883</v>
      </c>
      <c r="I761" s="1517"/>
      <c r="J761" s="1517"/>
      <c r="K761" s="1517"/>
      <c r="L761" s="1517"/>
    </row>
    <row r="762" spans="2:12" ht="25.5" x14ac:dyDescent="0.2">
      <c r="B762" s="1515" t="str">
        <f>HLOOKUP(Language,D$2:L$1114,ROW()-1,FALSE)</f>
        <v>Suppr. celle-ci</v>
      </c>
      <c r="C762" s="312" t="str">
        <f t="shared" si="69"/>
        <v>N_Rib_GmftPlanning_DeleteThisSession</v>
      </c>
      <c r="D762" s="1516" t="s">
        <v>10683</v>
      </c>
      <c r="E762" s="1516" t="s">
        <v>10627</v>
      </c>
      <c r="F762" s="1516" t="s">
        <v>10653</v>
      </c>
      <c r="G762" s="1516" t="s">
        <v>12195</v>
      </c>
      <c r="H762" s="2191" t="s">
        <v>12884</v>
      </c>
      <c r="I762" s="1517"/>
      <c r="J762" s="1517"/>
      <c r="K762" s="1517"/>
      <c r="L762" s="1517"/>
    </row>
    <row r="763" spans="2:12" ht="25.5" x14ac:dyDescent="0.2">
      <c r="B763" s="1515" t="str">
        <f>N_Rib_GmftPlanning_DeleteThisSession</f>
        <v>Suppr. celle-ci</v>
      </c>
      <c r="C763" s="312" t="str">
        <f t="shared" si="69"/>
        <v>N_Rib_ScrTip_GmftPlanning_DeleteThisSession</v>
      </c>
      <c r="D763" s="1516" t="s">
        <v>10592</v>
      </c>
      <c r="E763" s="1516" t="s">
        <v>10592</v>
      </c>
      <c r="F763" s="1516" t="s">
        <v>10592</v>
      </c>
      <c r="G763" s="1516" t="s">
        <v>12196</v>
      </c>
      <c r="H763" s="2191" t="s">
        <v>12196</v>
      </c>
      <c r="I763" s="1517"/>
      <c r="J763" s="1517"/>
      <c r="K763" s="1517"/>
      <c r="L763" s="1517"/>
    </row>
    <row r="764" spans="2:12" ht="38.25" x14ac:dyDescent="0.2">
      <c r="B764" s="1515" t="str">
        <f>HLOOKUP(Language,D$2:L$1114,ROW()-1,FALSE)</f>
        <v>Supprimer la session sélectionnée</v>
      </c>
      <c r="C764" s="312" t="str">
        <f t="shared" si="69"/>
        <v>N_Rib_SupTip_GmftPlanning_DeleteThisSession</v>
      </c>
      <c r="D764" s="1516" t="s">
        <v>10618</v>
      </c>
      <c r="E764" s="1516" t="s">
        <v>10613</v>
      </c>
      <c r="F764" s="1516" t="s">
        <v>10654</v>
      </c>
      <c r="G764" s="1516" t="s">
        <v>12197</v>
      </c>
      <c r="H764" s="2191" t="s">
        <v>12885</v>
      </c>
      <c r="I764" s="1517"/>
      <c r="J764" s="1517"/>
      <c r="K764" s="1517"/>
      <c r="L764" s="1517"/>
    </row>
    <row r="765" spans="2:12" ht="25.5" x14ac:dyDescent="0.2">
      <c r="B765" s="1515" t="str">
        <f>HLOOKUP(Language,D$2:L$1114,ROW()-1,FALSE)</f>
        <v>Ajouter à la fin</v>
      </c>
      <c r="C765" s="312" t="str">
        <f t="shared" si="69"/>
        <v>N_Rib_GmftPlanning_AddSession</v>
      </c>
      <c r="D765" s="1516" t="s">
        <v>10619</v>
      </c>
      <c r="E765" s="1516" t="s">
        <v>10626</v>
      </c>
      <c r="F765" s="1516" t="s">
        <v>10655</v>
      </c>
      <c r="G765" s="1516" t="s">
        <v>12198</v>
      </c>
      <c r="H765" s="2191" t="s">
        <v>12886</v>
      </c>
      <c r="I765" s="1517"/>
      <c r="J765" s="1517"/>
      <c r="K765" s="1517"/>
      <c r="L765" s="1517"/>
    </row>
    <row r="766" spans="2:12" ht="25.5" x14ac:dyDescent="0.2">
      <c r="B766" s="1515" t="str">
        <f>N_Rib_GmftPlanning_AddSession</f>
        <v>Ajouter à la fin</v>
      </c>
      <c r="C766" s="312" t="str">
        <f t="shared" si="69"/>
        <v>N_Rib_ScrTip_GmftPlanning_AddSession</v>
      </c>
      <c r="D766" s="1516" t="s">
        <v>10592</v>
      </c>
      <c r="E766" s="1516" t="s">
        <v>10592</v>
      </c>
      <c r="F766" s="1516" t="s">
        <v>10592</v>
      </c>
      <c r="G766" s="1516" t="s">
        <v>10592</v>
      </c>
      <c r="H766" s="2191" t="s">
        <v>10592</v>
      </c>
      <c r="I766" s="1517"/>
      <c r="J766" s="1517"/>
      <c r="K766" s="1517"/>
      <c r="L766" s="1517"/>
    </row>
    <row r="767" spans="2:12" ht="38.25" x14ac:dyDescent="0.2">
      <c r="B767" s="1515" t="str">
        <f>HLOOKUP(Language,D$2:L$1114,ROW()-1,FALSE)</f>
        <v>Ajouter une nouvelle session à la fin du planning</v>
      </c>
      <c r="C767" s="312" t="str">
        <f t="shared" si="69"/>
        <v>N_Rib_SupTip_GmftPlanning_AddSession</v>
      </c>
      <c r="D767" s="1516" t="s">
        <v>10620</v>
      </c>
      <c r="E767" s="1516" t="s">
        <v>11007</v>
      </c>
      <c r="F767" s="1516" t="s">
        <v>10656</v>
      </c>
      <c r="G767" s="1516" t="s">
        <v>12199</v>
      </c>
      <c r="H767" s="2191" t="s">
        <v>12887</v>
      </c>
      <c r="I767" s="1517"/>
      <c r="J767" s="1517"/>
      <c r="K767" s="1517"/>
      <c r="L767" s="1517"/>
    </row>
    <row r="768" spans="2:12" ht="25.5" x14ac:dyDescent="0.2">
      <c r="B768" s="1515" t="str">
        <f>HLOOKUP(Language,D$2:L$1114,ROW()-1,FALSE)</f>
        <v>Suppr. dernière</v>
      </c>
      <c r="C768" s="312" t="str">
        <f t="shared" si="69"/>
        <v>N_Rib_GmftPlanning_DeleteSession</v>
      </c>
      <c r="D768" s="1516" t="s">
        <v>10684</v>
      </c>
      <c r="E768" s="1516" t="s">
        <v>10612</v>
      </c>
      <c r="F768" s="1516" t="s">
        <v>10657</v>
      </c>
      <c r="G768" s="1516" t="s">
        <v>12200</v>
      </c>
      <c r="H768" s="2191" t="s">
        <v>12888</v>
      </c>
      <c r="I768" s="1517"/>
      <c r="J768" s="1517"/>
      <c r="K768" s="1517"/>
      <c r="L768" s="1517"/>
    </row>
    <row r="769" spans="2:12" ht="25.5" x14ac:dyDescent="0.2">
      <c r="B769" s="1515" t="str">
        <f>N_Rib_GmftPlanning_DeleteSession</f>
        <v>Suppr. dernière</v>
      </c>
      <c r="C769" s="312" t="str">
        <f t="shared" si="69"/>
        <v>N_Rib_ScrTip_GmftPlanning_DeleteSession</v>
      </c>
      <c r="D769" s="1516" t="s">
        <v>10592</v>
      </c>
      <c r="E769" s="1516" t="s">
        <v>10592</v>
      </c>
      <c r="F769" s="1516" t="s">
        <v>10592</v>
      </c>
      <c r="G769" s="1516" t="s">
        <v>12196</v>
      </c>
      <c r="H769" s="2191" t="s">
        <v>12196</v>
      </c>
      <c r="I769" s="1517"/>
      <c r="J769" s="1517"/>
      <c r="K769" s="1517"/>
      <c r="L769" s="1517"/>
    </row>
    <row r="770" spans="2:12" ht="38.25" x14ac:dyDescent="0.2">
      <c r="B770" s="1515" t="str">
        <f>HLOOKUP(Language,D$2:L$1114,ROW()-1,FALSE)</f>
        <v>Supprimer la dernière session du planning</v>
      </c>
      <c r="C770" s="312" t="str">
        <f t="shared" si="69"/>
        <v>N_Rib_SupTip_GmftPlanning_DeleteSession</v>
      </c>
      <c r="D770" s="1516" t="s">
        <v>10621</v>
      </c>
      <c r="E770" s="1516" t="s">
        <v>11008</v>
      </c>
      <c r="F770" s="1516" t="s">
        <v>10658</v>
      </c>
      <c r="G770" s="1516" t="s">
        <v>12201</v>
      </c>
      <c r="H770" s="2191" t="s">
        <v>12889</v>
      </c>
      <c r="I770" s="1517"/>
      <c r="J770" s="1517"/>
      <c r="K770" s="1517"/>
      <c r="L770" s="1517"/>
    </row>
    <row r="771" spans="2:12" ht="25.5" x14ac:dyDescent="0.2">
      <c r="B771" s="1515" t="str">
        <f>HLOOKUP(Language,D$2:L$1114,ROW()-1,FALSE)</f>
        <v>Recopier scores</v>
      </c>
      <c r="C771" s="312" t="str">
        <f t="shared" ref="C771:C792" si="74">NAMEOF(B771)</f>
        <v>N_Rib_GmftRecopier_matches</v>
      </c>
      <c r="D771" s="1516" t="s">
        <v>10622</v>
      </c>
      <c r="E771" s="1516" t="s">
        <v>10624</v>
      </c>
      <c r="F771" s="1516" t="s">
        <v>10659</v>
      </c>
      <c r="G771" s="1516" t="s">
        <v>12202</v>
      </c>
      <c r="H771" s="2191" t="s">
        <v>12890</v>
      </c>
      <c r="I771" s="1517"/>
      <c r="J771" s="1517"/>
      <c r="K771" s="1517"/>
      <c r="L771" s="1517"/>
    </row>
    <row r="772" spans="2:12" ht="25.5" x14ac:dyDescent="0.2">
      <c r="B772" s="1515" t="str">
        <f>N_Rib_GmftRecopier_matches</f>
        <v>Recopier scores</v>
      </c>
      <c r="C772" s="312" t="str">
        <f t="shared" si="74"/>
        <v>N_Rib_ScrTip_GmftRecopier_matches</v>
      </c>
      <c r="D772" s="1516" t="s">
        <v>10592</v>
      </c>
      <c r="E772" s="1516" t="s">
        <v>10592</v>
      </c>
      <c r="F772" s="1516" t="s">
        <v>10592</v>
      </c>
      <c r="G772" s="1516" t="s">
        <v>12196</v>
      </c>
      <c r="H772" s="2191" t="s">
        <v>12196</v>
      </c>
      <c r="I772" s="1517"/>
      <c r="J772" s="1517"/>
      <c r="K772" s="1517"/>
      <c r="L772" s="1517"/>
    </row>
    <row r="773" spans="2:12" ht="51" x14ac:dyDescent="0.2">
      <c r="B773" s="1515" t="str">
        <f>HLOOKUP(Language,D$2:L$1114,ROW()-1,FALSE)</f>
        <v>Recopier les score dans les feuilles d'épreuve et dévalider</v>
      </c>
      <c r="C773" s="312" t="str">
        <f t="shared" si="74"/>
        <v>N_Rib_SupTip_GmftRecopier_matches</v>
      </c>
      <c r="D773" s="1516" t="s">
        <v>10629</v>
      </c>
      <c r="E773" s="1516" t="s">
        <v>10628</v>
      </c>
      <c r="F773" s="1516" t="s">
        <v>10660</v>
      </c>
      <c r="G773" s="1516" t="s">
        <v>12203</v>
      </c>
      <c r="H773" s="2191" t="s">
        <v>12891</v>
      </c>
      <c r="I773" s="1517"/>
      <c r="J773" s="1517"/>
      <c r="K773" s="1517"/>
      <c r="L773" s="1517"/>
    </row>
    <row r="774" spans="2:12" ht="25.5" x14ac:dyDescent="0.2">
      <c r="B774" s="1515" t="str">
        <f>HLOOKUP(Language,D$2:L$1114,ROW()-1,FALSE)</f>
        <v>Valider scores</v>
      </c>
      <c r="C774" s="312" t="str">
        <f t="shared" si="74"/>
        <v>N_Rib_GmftValider_matches</v>
      </c>
      <c r="D774" s="1516" t="s">
        <v>10623</v>
      </c>
      <c r="E774" s="1516" t="s">
        <v>10625</v>
      </c>
      <c r="F774" s="1516" t="s">
        <v>10661</v>
      </c>
      <c r="G774" s="1516" t="s">
        <v>12204</v>
      </c>
      <c r="H774" s="2191" t="s">
        <v>12892</v>
      </c>
      <c r="I774" s="1517"/>
      <c r="J774" s="1517"/>
      <c r="K774" s="1517"/>
      <c r="L774" s="1517"/>
    </row>
    <row r="775" spans="2:12" ht="25.5" x14ac:dyDescent="0.2">
      <c r="B775" s="1515" t="str">
        <f>N_Rib_GmftValider_matches</f>
        <v>Valider scores</v>
      </c>
      <c r="C775" s="312" t="str">
        <f t="shared" si="74"/>
        <v>N_Rib_ScrTip_GmftValider_matches</v>
      </c>
      <c r="D775" s="1516" t="s">
        <v>10592</v>
      </c>
      <c r="E775" s="1516" t="s">
        <v>10592</v>
      </c>
      <c r="F775" s="1516" t="s">
        <v>10592</v>
      </c>
      <c r="G775" s="1516" t="s">
        <v>12196</v>
      </c>
      <c r="H775" s="2191" t="s">
        <v>12196</v>
      </c>
      <c r="I775" s="1517"/>
      <c r="J775" s="1517"/>
      <c r="K775" s="1517"/>
      <c r="L775" s="1517"/>
    </row>
    <row r="776" spans="2:12" ht="38.25" x14ac:dyDescent="0.2">
      <c r="B776" s="1515" t="str">
        <f>HLOOKUP(Language,D$2:L$1114,ROW()-1,FALSE)</f>
        <v>Recopier les score dans les feuilles d'épreuve et valider</v>
      </c>
      <c r="C776" s="312" t="str">
        <f t="shared" si="74"/>
        <v>N_Rib_SupTip_GmftValider_matches</v>
      </c>
      <c r="D776" s="1516" t="s">
        <v>10630</v>
      </c>
      <c r="E776" s="1516" t="s">
        <v>10631</v>
      </c>
      <c r="F776" s="1516" t="s">
        <v>10662</v>
      </c>
      <c r="G776" s="1516" t="s">
        <v>12205</v>
      </c>
      <c r="H776" s="2191" t="s">
        <v>12893</v>
      </c>
      <c r="I776" s="1517"/>
      <c r="J776" s="1517"/>
      <c r="K776" s="1517"/>
      <c r="L776" s="1517"/>
    </row>
    <row r="777" spans="2:12" ht="25.5" x14ac:dyDescent="0.2">
      <c r="B777" s="1515" t="str">
        <f>HLOOKUP(Language,D$2:L$1114,ROW()-1,FALSE)</f>
        <v>Assigner Arbitres</v>
      </c>
      <c r="C777" s="312" t="str">
        <f t="shared" si="74"/>
        <v>N_Rib_GmftAssignReferees</v>
      </c>
      <c r="D777" s="1516" t="s">
        <v>7204</v>
      </c>
      <c r="E777" s="1516" t="s">
        <v>7205</v>
      </c>
      <c r="F777" s="1516" t="s">
        <v>10663</v>
      </c>
      <c r="G777" s="1516" t="s">
        <v>12206</v>
      </c>
      <c r="H777" s="2191" t="s">
        <v>12894</v>
      </c>
      <c r="I777" s="1517"/>
      <c r="J777" s="1517"/>
      <c r="K777" s="1517"/>
      <c r="L777" s="1517"/>
    </row>
    <row r="778" spans="2:12" ht="25.5" x14ac:dyDescent="0.2">
      <c r="B778" s="1515" t="str">
        <f>N_Rib_GmftAssignReferees</f>
        <v>Assigner Arbitres</v>
      </c>
      <c r="C778" s="312" t="str">
        <f t="shared" si="74"/>
        <v>N_Rib_ScrTip_GmftAssignReferees</v>
      </c>
      <c r="D778" s="1516" t="s">
        <v>10592</v>
      </c>
      <c r="E778" s="1516" t="s">
        <v>10592</v>
      </c>
      <c r="F778" s="1516" t="s">
        <v>10592</v>
      </c>
      <c r="G778" s="1516" t="s">
        <v>12196</v>
      </c>
      <c r="H778" s="2191" t="s">
        <v>12196</v>
      </c>
      <c r="I778" s="1517"/>
      <c r="J778" s="1517"/>
      <c r="K778" s="1517"/>
      <c r="L778" s="1517"/>
    </row>
    <row r="779" spans="2:12" ht="102" x14ac:dyDescent="0.2">
      <c r="B779" s="1515" t="str">
        <f>HLOOKUP(Language,D$2:L$1114,ROW()-1,FALSE)</f>
        <v>Assigner aléatoirement les arbitres à la session en cours ou à la sélection CONTIGÜE de matches dans la session</v>
      </c>
      <c r="C779" s="312" t="str">
        <f t="shared" si="74"/>
        <v>N_Rib_SupTip_GmftAssignReferees</v>
      </c>
      <c r="D779" s="1516" t="s">
        <v>10633</v>
      </c>
      <c r="E779" s="1516" t="s">
        <v>10634</v>
      </c>
      <c r="F779" s="1516" t="s">
        <v>10664</v>
      </c>
      <c r="G779" s="1516" t="s">
        <v>12207</v>
      </c>
      <c r="H779" s="2191" t="s">
        <v>12895</v>
      </c>
      <c r="I779" s="1517"/>
      <c r="J779" s="1517"/>
      <c r="K779" s="1517"/>
      <c r="L779" s="1517"/>
    </row>
    <row r="780" spans="2:12" ht="25.5" x14ac:dyDescent="0.2">
      <c r="B780" s="1515" t="str">
        <f>HLOOKUP(Language,D$2:L$1114,ROW()-1,FALSE)</f>
        <v>Permuter Arbitres</v>
      </c>
      <c r="C780" s="312" t="str">
        <f t="shared" si="74"/>
        <v>N_Rib_GmftSwitchReferees</v>
      </c>
      <c r="D780" s="1516" t="s">
        <v>10632</v>
      </c>
      <c r="E780" s="1516" t="s">
        <v>7203</v>
      </c>
      <c r="F780" s="1516" t="s">
        <v>10665</v>
      </c>
      <c r="G780" s="1516" t="s">
        <v>12208</v>
      </c>
      <c r="H780" s="2191" t="s">
        <v>12896</v>
      </c>
      <c r="I780" s="1517"/>
      <c r="J780" s="1517"/>
      <c r="K780" s="1517"/>
      <c r="L780" s="1517"/>
    </row>
    <row r="781" spans="2:12" ht="25.5" x14ac:dyDescent="0.2">
      <c r="B781" s="1515" t="str">
        <f>N_Rib_GmftSwitchReferees</f>
        <v>Permuter Arbitres</v>
      </c>
      <c r="C781" s="312" t="str">
        <f t="shared" si="74"/>
        <v>N_Rib_ScrTip_GmftSwitchReferees</v>
      </c>
      <c r="D781" s="1516" t="s">
        <v>10592</v>
      </c>
      <c r="E781" s="1516" t="s">
        <v>10592</v>
      </c>
      <c r="F781" s="1516" t="s">
        <v>10592</v>
      </c>
      <c r="G781" s="1516" t="s">
        <v>12196</v>
      </c>
      <c r="H781" s="2191" t="s">
        <v>12196</v>
      </c>
      <c r="I781" s="1517"/>
      <c r="J781" s="1517"/>
      <c r="K781" s="1517"/>
      <c r="L781" s="1517"/>
    </row>
    <row r="782" spans="2:12" ht="51" x14ac:dyDescent="0.2">
      <c r="B782" s="1515" t="str">
        <f>HLOOKUP(Language,D$2:L$1114,ROW()-1,FALSE)</f>
        <v>Permuter les arbitres des 2 matches sélectionnés</v>
      </c>
      <c r="C782" s="312" t="str">
        <f t="shared" si="74"/>
        <v>N_Rib_SupTip_GmftSwitchReferees</v>
      </c>
      <c r="D782" s="1516" t="s">
        <v>10635</v>
      </c>
      <c r="E782" s="1516" t="s">
        <v>10636</v>
      </c>
      <c r="F782" s="1516" t="s">
        <v>10666</v>
      </c>
      <c r="G782" s="1516" t="s">
        <v>12209</v>
      </c>
      <c r="H782" s="2191" t="s">
        <v>12897</v>
      </c>
      <c r="I782" s="1517"/>
      <c r="J782" s="1517"/>
      <c r="K782" s="1517"/>
      <c r="L782" s="1517"/>
    </row>
    <row r="783" spans="2:12" ht="25.5" x14ac:dyDescent="0.2">
      <c r="B783" s="1515" t="str">
        <f>HLOOKUP(Language,D$2:L$1114,ROW()-1,FALSE)</f>
        <v>Feuilles de match</v>
      </c>
      <c r="C783" s="312" t="str">
        <f t="shared" si="74"/>
        <v>N_Rib_GmftScoresheetsExport</v>
      </c>
      <c r="D783" s="312" t="s">
        <v>10686</v>
      </c>
      <c r="E783" s="312" t="s">
        <v>10687</v>
      </c>
      <c r="F783" s="298" t="s">
        <v>10688</v>
      </c>
      <c r="G783" s="1516" t="s">
        <v>12210</v>
      </c>
      <c r="H783" s="2191" t="s">
        <v>12898</v>
      </c>
      <c r="I783" s="1517"/>
      <c r="J783" s="1517"/>
      <c r="K783" s="1517"/>
      <c r="L783" s="1517"/>
    </row>
    <row r="784" spans="2:12" ht="25.5" x14ac:dyDescent="0.2">
      <c r="B784" s="1515" t="str">
        <f>N_Rib_GmftScoresheetsExport</f>
        <v>Feuilles de match</v>
      </c>
      <c r="C784" s="312" t="str">
        <f t="shared" si="74"/>
        <v>N_Rib_ScrTip_GmftScoresheetsExport</v>
      </c>
      <c r="D784" s="1516" t="s">
        <v>10592</v>
      </c>
      <c r="E784" s="1516" t="s">
        <v>10592</v>
      </c>
      <c r="F784" s="1516" t="s">
        <v>10592</v>
      </c>
      <c r="G784" s="1516" t="s">
        <v>12196</v>
      </c>
      <c r="H784" s="2191" t="s">
        <v>12196</v>
      </c>
      <c r="I784" s="1517"/>
      <c r="J784" s="1517"/>
      <c r="K784" s="1517"/>
      <c r="L784" s="1517"/>
    </row>
    <row r="785" spans="2:12" ht="51" x14ac:dyDescent="0.2">
      <c r="B785" s="1515" t="str">
        <f>HLOOKUP(Language,D$2:L$1114,ROW()-1,FALSE)</f>
        <v>Génération des feuilles de match pour la ou les sessions désignées</v>
      </c>
      <c r="C785" s="312" t="str">
        <f t="shared" si="74"/>
        <v>N_Rib_SupTip_GmftScoresheetsExport</v>
      </c>
      <c r="D785" s="1516" t="s">
        <v>10637</v>
      </c>
      <c r="E785" s="1516" t="s">
        <v>10638</v>
      </c>
      <c r="F785" s="1516" t="s">
        <v>10667</v>
      </c>
      <c r="G785" s="1516" t="s">
        <v>12211</v>
      </c>
      <c r="H785" s="2191" t="s">
        <v>12899</v>
      </c>
      <c r="I785" s="1517"/>
      <c r="J785" s="1517"/>
      <c r="K785" s="1517"/>
      <c r="L785" s="1517"/>
    </row>
    <row r="786" spans="2:12" ht="25.5" x14ac:dyDescent="0.2">
      <c r="B786" s="1515" t="str">
        <f>HLOOKUP(Language,D$2:L$1114,ROW()-1,FALSE)</f>
        <v>Planning</v>
      </c>
      <c r="C786" s="312" t="str">
        <f t="shared" si="74"/>
        <v>N_Rib_GmftPlanningExport</v>
      </c>
      <c r="D786" s="1516" t="s">
        <v>458</v>
      </c>
      <c r="E786" s="1516" t="s">
        <v>458</v>
      </c>
      <c r="F786" s="1516" t="s">
        <v>458</v>
      </c>
      <c r="G786" s="1516" t="s">
        <v>458</v>
      </c>
      <c r="H786" s="2191" t="s">
        <v>458</v>
      </c>
      <c r="I786" s="1517"/>
      <c r="J786" s="1517"/>
      <c r="K786" s="1517"/>
      <c r="L786" s="1517"/>
    </row>
    <row r="787" spans="2:12" ht="25.5" x14ac:dyDescent="0.2">
      <c r="B787" s="1515" t="str">
        <f>N_Rib_GmftPlanningExport</f>
        <v>Planning</v>
      </c>
      <c r="C787" s="312" t="str">
        <f t="shared" si="74"/>
        <v>N_Rib_ScrTip_GmftPlanningExport</v>
      </c>
      <c r="D787" s="1516" t="s">
        <v>10592</v>
      </c>
      <c r="E787" s="1516" t="s">
        <v>10592</v>
      </c>
      <c r="F787" s="1516" t="s">
        <v>10592</v>
      </c>
      <c r="G787" s="1516" t="s">
        <v>12196</v>
      </c>
      <c r="H787" s="2191" t="s">
        <v>12196</v>
      </c>
      <c r="I787" s="1517"/>
      <c r="J787" s="1517"/>
      <c r="K787" s="1517"/>
      <c r="L787" s="1517"/>
    </row>
    <row r="788" spans="2:12" ht="51" x14ac:dyDescent="0.2">
      <c r="B788" s="1515" t="str">
        <f>HLOOKUP(Language,D$2:L$1114,ROW()-1,FALSE)</f>
        <v>Exporter un planning pour la ou les sessions désignées</v>
      </c>
      <c r="C788" s="312" t="str">
        <f t="shared" si="74"/>
        <v>N_Rib_SupTip_GmftPlanningExport</v>
      </c>
      <c r="D788" s="1516" t="s">
        <v>10639</v>
      </c>
      <c r="E788" s="1516" t="s">
        <v>11006</v>
      </c>
      <c r="F788" s="1516" t="s">
        <v>10668</v>
      </c>
      <c r="G788" s="1516" t="s">
        <v>12212</v>
      </c>
      <c r="H788" s="2191" t="s">
        <v>12900</v>
      </c>
      <c r="I788" s="1517"/>
      <c r="J788" s="1517"/>
      <c r="K788" s="1517"/>
      <c r="L788" s="1517"/>
    </row>
    <row r="789" spans="2:12" ht="25.5" x14ac:dyDescent="0.2">
      <c r="B789" s="1515" t="str">
        <f>N_ScorerTable</f>
        <v>Table de Marque</v>
      </c>
      <c r="C789" s="312" t="str">
        <f t="shared" ref="C789" si="75">NAMEOF(B789)</f>
        <v>N_Rib_GmftScorerTableLabel</v>
      </c>
      <c r="D789" s="1516" t="s">
        <v>10592</v>
      </c>
      <c r="E789" s="1516" t="s">
        <v>10592</v>
      </c>
      <c r="F789" s="1516" t="s">
        <v>10592</v>
      </c>
      <c r="G789" s="1516" t="s">
        <v>12196</v>
      </c>
      <c r="H789" s="2191" t="s">
        <v>12196</v>
      </c>
      <c r="I789" s="1517"/>
      <c r="J789" s="1517"/>
      <c r="K789" s="1517"/>
      <c r="L789" s="1517"/>
    </row>
    <row r="790" spans="2:12" ht="25.5" x14ac:dyDescent="0.2">
      <c r="B790" s="1515" t="str">
        <f>HLOOKUP(Language,D$2:L$1114,ROW()-1,FALSE)</f>
        <v>Exporter</v>
      </c>
      <c r="C790" s="312" t="str">
        <f t="shared" si="74"/>
        <v>N_Rib_ScrTip_GmftScorerTableExport</v>
      </c>
      <c r="D790" s="1516" t="s">
        <v>10640</v>
      </c>
      <c r="E790" s="1516" t="s">
        <v>10641</v>
      </c>
      <c r="F790" s="1516" t="s">
        <v>10669</v>
      </c>
      <c r="G790" s="1516" t="s">
        <v>12101</v>
      </c>
      <c r="H790" s="2191" t="s">
        <v>12101</v>
      </c>
      <c r="I790" s="1517"/>
      <c r="J790" s="1517"/>
      <c r="K790" s="1517"/>
      <c r="L790" s="1517"/>
    </row>
    <row r="791" spans="2:12" ht="25.5" x14ac:dyDescent="0.2">
      <c r="B791" s="1515" t="str">
        <f>HLOOKUP(Language,D$2:L$1114,ROW()-1,FALSE)</f>
        <v>Expoorter le tableau des matches</v>
      </c>
      <c r="C791" s="312" t="str">
        <f t="shared" si="74"/>
        <v>N_Rib_SupTip_GmftScorerTableExport</v>
      </c>
      <c r="D791" s="1516" t="s">
        <v>10643</v>
      </c>
      <c r="E791" s="1516" t="s">
        <v>10644</v>
      </c>
      <c r="F791" s="1516" t="s">
        <v>10670</v>
      </c>
      <c r="G791" s="1516" t="s">
        <v>12213</v>
      </c>
      <c r="H791" s="2191" t="s">
        <v>12901</v>
      </c>
      <c r="I791" s="1517"/>
      <c r="J791" s="1517"/>
      <c r="K791" s="1517"/>
      <c r="L791" s="1517"/>
    </row>
    <row r="792" spans="2:12" ht="25.5" x14ac:dyDescent="0.2">
      <c r="B792" s="1515" t="str">
        <f>HLOOKUP(Language,D$2:L$1114,ROW()-1,FALSE)</f>
        <v>Import</v>
      </c>
      <c r="C792" s="312" t="str">
        <f t="shared" si="74"/>
        <v>N_Rib_ScrTip_GmftImportScorerTable</v>
      </c>
      <c r="D792" s="1516" t="s">
        <v>10642</v>
      </c>
      <c r="E792" s="1516" t="s">
        <v>10642</v>
      </c>
      <c r="F792" s="1516" t="s">
        <v>10671</v>
      </c>
      <c r="G792" s="1516" t="s">
        <v>12214</v>
      </c>
      <c r="H792" s="2191" t="s">
        <v>12214</v>
      </c>
      <c r="I792" s="1517"/>
      <c r="J792" s="1517"/>
      <c r="K792" s="1517"/>
      <c r="L792" s="1517"/>
    </row>
    <row r="793" spans="2:12" ht="38.25" x14ac:dyDescent="0.2">
      <c r="B793" s="1515" t="str">
        <f>HLOOKUP(Language,D$2:L$1114,ROW()-1,FALSE)</f>
        <v>Importer les scores via le tableau des matches renseigné</v>
      </c>
      <c r="C793" s="312" t="str">
        <f t="shared" ref="C793:C800" si="76">NAMEOF(B793)</f>
        <v>N_Rib_SupTip_GmftImportScorerTable</v>
      </c>
      <c r="D793" s="1516" t="s">
        <v>10645</v>
      </c>
      <c r="E793" s="1516" t="s">
        <v>10646</v>
      </c>
      <c r="F793" s="1516" t="s">
        <v>10672</v>
      </c>
      <c r="G793" s="1516" t="s">
        <v>12215</v>
      </c>
      <c r="H793" s="2191" t="s">
        <v>12902</v>
      </c>
      <c r="I793" s="1517"/>
      <c r="J793" s="1517"/>
      <c r="K793" s="1517"/>
      <c r="L793" s="1517"/>
    </row>
    <row r="794" spans="2:12" ht="25.5" x14ac:dyDescent="0.2">
      <c r="B794" s="1515" t="str">
        <f>N_Results_Export</f>
        <v>Résultats et Classements</v>
      </c>
      <c r="C794" s="312" t="str">
        <f t="shared" si="76"/>
        <v>N_Rib_GmftResultExport</v>
      </c>
      <c r="D794" s="1516" t="s">
        <v>10592</v>
      </c>
      <c r="E794" s="1516" t="s">
        <v>10592</v>
      </c>
      <c r="F794" s="1516" t="s">
        <v>10592</v>
      </c>
      <c r="G794" s="1516" t="s">
        <v>12196</v>
      </c>
      <c r="H794" s="2191" t="s">
        <v>12196</v>
      </c>
      <c r="I794" s="1517"/>
      <c r="J794" s="1517"/>
      <c r="K794" s="1517"/>
      <c r="L794" s="1517"/>
    </row>
    <row r="795" spans="2:12" ht="25.5" x14ac:dyDescent="0.2">
      <c r="B795" s="1515" t="str">
        <f>N_Rib_GmftResultExport</f>
        <v>Résultats et Classements</v>
      </c>
      <c r="C795" s="312" t="str">
        <f t="shared" si="76"/>
        <v>N_Rib_ScrTip_GmftResultExport</v>
      </c>
      <c r="D795" s="1516" t="s">
        <v>10592</v>
      </c>
      <c r="E795" s="1516" t="s">
        <v>10592</v>
      </c>
      <c r="F795" s="1516" t="s">
        <v>10592</v>
      </c>
      <c r="G795" s="1516" t="s">
        <v>12196</v>
      </c>
      <c r="H795" s="2191" t="s">
        <v>12196</v>
      </c>
      <c r="I795" s="1517"/>
      <c r="J795" s="1517"/>
      <c r="K795" s="1517"/>
      <c r="L795" s="1517"/>
    </row>
    <row r="796" spans="2:12" ht="127.5" x14ac:dyDescent="0.2">
      <c r="B796" s="1515" t="str">
        <f>HLOOKUP(Language,D$2:L$1114,ROW()-1,FALSE)</f>
        <v>Exporter les résultats intermédiaires ou finaux des matches avec les classements des groupes, en sélectionnant les sessions concernées</v>
      </c>
      <c r="C796" s="312" t="str">
        <f t="shared" si="76"/>
        <v>N_Rib_SupTip_GmftResultExport</v>
      </c>
      <c r="D796" s="1516" t="s">
        <v>10647</v>
      </c>
      <c r="E796" s="1516" t="s">
        <v>10648</v>
      </c>
      <c r="F796" s="1516" t="s">
        <v>10673</v>
      </c>
      <c r="G796" s="1516" t="s">
        <v>12216</v>
      </c>
      <c r="H796" s="2191" t="s">
        <v>12903</v>
      </c>
      <c r="I796" s="1517"/>
      <c r="J796" s="1517"/>
      <c r="K796" s="1517"/>
      <c r="L796" s="1517"/>
    </row>
    <row r="797" spans="2:12" ht="25.5" x14ac:dyDescent="0.2">
      <c r="B797" s="1515" t="str">
        <f>N_OpenDashboard</f>
        <v>Tableau de Bord &amp; Timer</v>
      </c>
      <c r="C797" s="312" t="str">
        <f t="shared" si="76"/>
        <v>N_Rib_GmftOpenDashboard</v>
      </c>
      <c r="D797" s="1516" t="s">
        <v>10592</v>
      </c>
      <c r="E797" s="1516" t="s">
        <v>10592</v>
      </c>
      <c r="F797" s="1516" t="s">
        <v>10592</v>
      </c>
      <c r="G797" s="1516" t="s">
        <v>12196</v>
      </c>
      <c r="H797" s="2191" t="s">
        <v>12196</v>
      </c>
      <c r="I797" s="1517"/>
      <c r="J797" s="1517"/>
      <c r="K797" s="1517"/>
      <c r="L797" s="1517"/>
    </row>
    <row r="798" spans="2:12" ht="25.5" x14ac:dyDescent="0.2">
      <c r="B798" s="1515" t="str">
        <f>N_Rib_GmftPlanning_DeleteSession</f>
        <v>Suppr. dernière</v>
      </c>
      <c r="C798" s="312" t="str">
        <f t="shared" si="76"/>
        <v>N_Rib_ScrTip_GmftOpenDashboard</v>
      </c>
      <c r="D798" s="1516" t="s">
        <v>10592</v>
      </c>
      <c r="E798" s="1516" t="s">
        <v>10592</v>
      </c>
      <c r="F798" s="1516" t="s">
        <v>10592</v>
      </c>
      <c r="G798" s="1516" t="s">
        <v>12196</v>
      </c>
      <c r="H798" s="2191" t="s">
        <v>12196</v>
      </c>
      <c r="I798" s="1517"/>
      <c r="J798" s="1517"/>
      <c r="K798" s="1517"/>
      <c r="L798" s="1517"/>
    </row>
    <row r="799" spans="2:12" ht="89.25" x14ac:dyDescent="0.2">
      <c r="B799" s="1515" t="str">
        <f>HLOOKUP(Language,D$2:L$1114,ROW()-1,FALSE)</f>
        <v>Ouvrir tableau de bord sur une fenêtre Windows séparée pour affichage des prochains matches et, éventuellement, du Timer</v>
      </c>
      <c r="C799" s="312" t="str">
        <f t="shared" si="76"/>
        <v>N_Rib_SupTip_GmftOpenDashboard</v>
      </c>
      <c r="D799" s="1516" t="s">
        <v>10649</v>
      </c>
      <c r="E799" s="1516" t="s">
        <v>10650</v>
      </c>
      <c r="F799" s="1516" t="s">
        <v>10674</v>
      </c>
      <c r="G799" s="1516" t="s">
        <v>12217</v>
      </c>
      <c r="H799" s="2191" t="s">
        <v>12904</v>
      </c>
      <c r="I799" s="1517"/>
      <c r="J799" s="1517"/>
      <c r="K799" s="1517"/>
      <c r="L799" s="1517"/>
    </row>
    <row r="800" spans="2:12" ht="25.5" x14ac:dyDescent="0.2">
      <c r="B800" s="1515" t="str">
        <f>HLOOKUP(Language,D$2:L$1114,ROW()-1,FALSE)</f>
        <v>Nationalités</v>
      </c>
      <c r="C800" s="312" t="str">
        <f t="shared" si="76"/>
        <v>N_Rib_GmftShowNationalities</v>
      </c>
      <c r="D800" s="1516" t="s">
        <v>10703</v>
      </c>
      <c r="E800" s="1516" t="s">
        <v>10711</v>
      </c>
      <c r="F800" s="1516" t="s">
        <v>8944</v>
      </c>
      <c r="G800" s="1516" t="s">
        <v>12218</v>
      </c>
      <c r="H800" s="2191" t="s">
        <v>12905</v>
      </c>
      <c r="I800" s="1517"/>
      <c r="J800" s="1517"/>
      <c r="K800" s="1517"/>
      <c r="L800" s="1517"/>
    </row>
    <row r="801" spans="2:12" ht="25.5" x14ac:dyDescent="0.2">
      <c r="B801" s="1515" t="str">
        <f>N_Rib_GmftShowNationalities</f>
        <v>Nationalités</v>
      </c>
      <c r="C801" s="312" t="str">
        <f t="shared" ref="C801:C810" si="77">NAMEOF(B801)</f>
        <v>N_Rib_ScrTip_GmftShowNationalities</v>
      </c>
      <c r="D801" s="1516" t="s">
        <v>10702</v>
      </c>
      <c r="E801" s="1516" t="s">
        <v>10592</v>
      </c>
      <c r="F801" s="1516" t="s">
        <v>10592</v>
      </c>
      <c r="G801" s="1516" t="s">
        <v>12196</v>
      </c>
      <c r="H801" s="2191" t="s">
        <v>12196</v>
      </c>
      <c r="I801" s="1517"/>
      <c r="J801" s="1517"/>
      <c r="K801" s="1517"/>
      <c r="L801" s="1517"/>
    </row>
    <row r="802" spans="2:12" ht="38.25" x14ac:dyDescent="0.2">
      <c r="B802" s="1515" t="str">
        <f>HLOOKUP(Language,D$2:L$1114,ROW()-1,FALSE)</f>
        <v>Gérer les acronymes des nationalités</v>
      </c>
      <c r="C802" s="312" t="str">
        <f t="shared" si="77"/>
        <v>N_Rib_SupTip_GmftShowNationalities</v>
      </c>
      <c r="D802" s="1516" t="s">
        <v>10712</v>
      </c>
      <c r="E802" s="1516" t="s">
        <v>10713</v>
      </c>
      <c r="F802" s="1516" t="s">
        <v>10717</v>
      </c>
      <c r="G802" s="1516" t="s">
        <v>12219</v>
      </c>
      <c r="H802" s="2191" t="s">
        <v>12906</v>
      </c>
      <c r="I802" s="1517"/>
      <c r="J802" s="1517"/>
      <c r="K802" s="1517"/>
      <c r="L802" s="1517"/>
    </row>
    <row r="803" spans="2:12" ht="25.5" x14ac:dyDescent="0.2">
      <c r="B803" s="1515" t="str">
        <f>HLOOKUP(Language,D$2:L$1114,ROW()-1,FALSE)</f>
        <v>Résultats</v>
      </c>
      <c r="C803" s="312" t="str">
        <f t="shared" si="77"/>
        <v>N_Rib_GmftShowREsultModel</v>
      </c>
      <c r="D803" s="1516" t="s">
        <v>7970</v>
      </c>
      <c r="E803" s="1516" t="s">
        <v>3720</v>
      </c>
      <c r="F803" s="1516" t="s">
        <v>10718</v>
      </c>
      <c r="G803" s="1516" t="s">
        <v>12220</v>
      </c>
      <c r="H803" s="2191" t="s">
        <v>12907</v>
      </c>
      <c r="I803" s="1517"/>
      <c r="J803" s="1517"/>
      <c r="K803" s="1517"/>
      <c r="L803" s="1517"/>
    </row>
    <row r="804" spans="2:12" ht="25.5" x14ac:dyDescent="0.2">
      <c r="B804" s="1515" t="str">
        <f>N_Rib_GmftShowREsultModel</f>
        <v>Résultats</v>
      </c>
      <c r="C804" s="312" t="str">
        <f t="shared" si="77"/>
        <v>N_Rib_ScrTip_GmftShowREsultModel</v>
      </c>
      <c r="D804" s="1516" t="s">
        <v>10702</v>
      </c>
      <c r="E804" s="1516" t="s">
        <v>10592</v>
      </c>
      <c r="F804" s="1516" t="s">
        <v>10592</v>
      </c>
      <c r="G804" s="1516" t="s">
        <v>12196</v>
      </c>
      <c r="H804" s="2191" t="s">
        <v>12196</v>
      </c>
      <c r="I804" s="1517"/>
      <c r="J804" s="1517"/>
      <c r="K804" s="1517"/>
      <c r="L804" s="1517"/>
    </row>
    <row r="805" spans="2:12" ht="63.75" x14ac:dyDescent="0.2">
      <c r="B805" s="1515" t="str">
        <f>HLOOKUP(Language,D$2:L$1114,ROW()-1,FALSE)</f>
        <v>Export des résultats des matches avec classement des poules</v>
      </c>
      <c r="C805" s="312" t="str">
        <f t="shared" si="77"/>
        <v>N_Rib_SupTip_GmftShowREsultModel</v>
      </c>
      <c r="D805" s="1516" t="s">
        <v>10704</v>
      </c>
      <c r="E805" s="1516" t="s">
        <v>10714</v>
      </c>
      <c r="F805" s="1516" t="s">
        <v>10719</v>
      </c>
      <c r="G805" s="1516" t="s">
        <v>12221</v>
      </c>
      <c r="H805" s="2191" t="s">
        <v>12908</v>
      </c>
      <c r="I805" s="1517"/>
      <c r="J805" s="1517"/>
      <c r="K805" s="1517"/>
      <c r="L805" s="1517"/>
    </row>
    <row r="806" spans="2:12" ht="25.5" x14ac:dyDescent="0.2">
      <c r="B806" s="1515" t="str">
        <f>HLOOKUP(Language,D$2:L$1114,ROW()-1,FALSE)</f>
        <v>Feuilles de match</v>
      </c>
      <c r="C806" s="312" t="str">
        <f t="shared" si="77"/>
        <v>N_Rib_GmftShowScoresheetModel</v>
      </c>
      <c r="D806" s="1516" t="s">
        <v>10686</v>
      </c>
      <c r="E806" s="1516" t="s">
        <v>10715</v>
      </c>
      <c r="F806" s="1516" t="s">
        <v>10720</v>
      </c>
      <c r="G806" s="1516" t="s">
        <v>12222</v>
      </c>
      <c r="H806" s="2191" t="s">
        <v>12909</v>
      </c>
      <c r="I806" s="1517"/>
      <c r="J806" s="1517"/>
      <c r="K806" s="1517"/>
      <c r="L806" s="1517"/>
    </row>
    <row r="807" spans="2:12" ht="25.5" x14ac:dyDescent="0.2">
      <c r="B807" s="1515" t="str">
        <f>N_Rib_GmftShowScoresheetModel</f>
        <v>Feuilles de match</v>
      </c>
      <c r="C807" s="312" t="str">
        <f t="shared" si="77"/>
        <v>N_Rib_ScrTip_GmftShowScoresheetModel</v>
      </c>
      <c r="D807" s="1516" t="s">
        <v>10702</v>
      </c>
      <c r="E807" s="1516" t="s">
        <v>10592</v>
      </c>
      <c r="F807" s="1516" t="s">
        <v>10592</v>
      </c>
      <c r="G807" s="1516" t="s">
        <v>12196</v>
      </c>
      <c r="H807" s="2191" t="s">
        <v>12196</v>
      </c>
      <c r="I807" s="1517"/>
      <c r="J807" s="1517"/>
      <c r="K807" s="1517"/>
      <c r="L807" s="1517"/>
    </row>
    <row r="808" spans="2:12" ht="15" customHeight="1" x14ac:dyDescent="0.2">
      <c r="B808" s="1515" t="str">
        <f>HLOOKUP(Language,D$2:L$1114,ROW()-1,FALSE)</f>
        <v>Feuilles de match individuels, par équipes et en doubles</v>
      </c>
      <c r="C808" s="312" t="str">
        <f t="shared" si="77"/>
        <v>N_Rib_SupTip_GmftShowScoresheetModel</v>
      </c>
      <c r="D808" s="1516" t="s">
        <v>10716</v>
      </c>
      <c r="E808" s="1516" t="s">
        <v>10708</v>
      </c>
      <c r="F808" s="1516" t="s">
        <v>10721</v>
      </c>
      <c r="G808" s="1516" t="s">
        <v>12223</v>
      </c>
      <c r="H808" s="2191" t="s">
        <v>12910</v>
      </c>
      <c r="I808" s="1517"/>
      <c r="J808" s="1517"/>
      <c r="K808" s="1517"/>
      <c r="L808" s="1517"/>
    </row>
    <row r="809" spans="2:12" ht="25.5" x14ac:dyDescent="0.2">
      <c r="B809" s="1515" t="str">
        <f>HLOOKUP(Language,D$2:L$1114,ROW()-1,FALSE)</f>
        <v>Planning</v>
      </c>
      <c r="C809" s="312" t="str">
        <f t="shared" si="77"/>
        <v>N_Rib_GmftShowPlanningModel</v>
      </c>
      <c r="D809" s="1516" t="s">
        <v>458</v>
      </c>
      <c r="E809" s="1516" t="s">
        <v>458</v>
      </c>
      <c r="F809" s="1516" t="s">
        <v>458</v>
      </c>
      <c r="G809" s="1516" t="s">
        <v>458</v>
      </c>
      <c r="H809" s="2191" t="s">
        <v>458</v>
      </c>
      <c r="I809" s="1517"/>
      <c r="J809" s="1517"/>
      <c r="K809" s="1517"/>
      <c r="L809" s="1517"/>
    </row>
    <row r="810" spans="2:12" ht="25.5" x14ac:dyDescent="0.2">
      <c r="B810" s="1515" t="str">
        <f>N_Rib_GmftShowPlanningModel</f>
        <v>Planning</v>
      </c>
      <c r="C810" s="312" t="str">
        <f t="shared" si="77"/>
        <v>N_Rib_ScrTip_GmftShowPlanningModel</v>
      </c>
      <c r="D810" s="1516" t="s">
        <v>10702</v>
      </c>
      <c r="E810" s="1516" t="s">
        <v>10592</v>
      </c>
      <c r="F810" s="1516" t="s">
        <v>10592</v>
      </c>
      <c r="G810" s="1516" t="s">
        <v>12196</v>
      </c>
      <c r="H810" s="2191" t="s">
        <v>12196</v>
      </c>
      <c r="I810" s="1517"/>
      <c r="J810" s="1517"/>
      <c r="K810" s="1517"/>
      <c r="L810" s="1517"/>
    </row>
    <row r="811" spans="2:12" ht="25.5" x14ac:dyDescent="0.2">
      <c r="B811" s="1515" t="str">
        <f>HLOOKUP(Language,D$2:L$1114,ROW()-1,FALSE)</f>
        <v>Export du planning</v>
      </c>
      <c r="C811" s="312" t="str">
        <f t="shared" ref="C811:C814" si="78">NAMEOF(B811)</f>
        <v>N_Rib_SupTip_GmftShowPlanningModel</v>
      </c>
      <c r="D811" s="1516" t="s">
        <v>10705</v>
      </c>
      <c r="E811" s="1516" t="s">
        <v>10725</v>
      </c>
      <c r="F811" s="1516" t="s">
        <v>10722</v>
      </c>
      <c r="G811" s="1516" t="s">
        <v>12224</v>
      </c>
      <c r="H811" s="2191" t="s">
        <v>12224</v>
      </c>
      <c r="I811" s="1517"/>
      <c r="J811" s="1517"/>
      <c r="K811" s="1517"/>
      <c r="L811" s="1517"/>
    </row>
    <row r="812" spans="2:12" ht="25.5" x14ac:dyDescent="0.2">
      <c r="B812" s="1515" t="str">
        <f>HLOOKUP(Language,D$2:L$1114,ROW()-1,FALSE)</f>
        <v>Feuille de tirage au sort</v>
      </c>
      <c r="C812" s="312" t="str">
        <f t="shared" si="78"/>
        <v>N_Rib_GmftShowDrawModel</v>
      </c>
      <c r="D812" s="1516" t="s">
        <v>10706</v>
      </c>
      <c r="E812" s="1516" t="s">
        <v>10709</v>
      </c>
      <c r="F812" s="1516" t="s">
        <v>10723</v>
      </c>
      <c r="G812" s="1516" t="s">
        <v>12225</v>
      </c>
      <c r="H812" s="2191" t="s">
        <v>12911</v>
      </c>
      <c r="I812" s="1517"/>
      <c r="J812" s="1517"/>
      <c r="K812" s="1517"/>
      <c r="L812" s="1517"/>
    </row>
    <row r="813" spans="2:12" ht="25.5" x14ac:dyDescent="0.2">
      <c r="B813" s="1515" t="str">
        <f>N_Rib_GmftShowDrawModel</f>
        <v>Feuille de tirage au sort</v>
      </c>
      <c r="C813" s="312" t="str">
        <f t="shared" si="78"/>
        <v>N_Rib_ScrTip_GmftShowDrawModel</v>
      </c>
      <c r="D813" s="1516" t="s">
        <v>10702</v>
      </c>
      <c r="E813" s="1516" t="s">
        <v>10592</v>
      </c>
      <c r="F813" s="1516" t="s">
        <v>10592</v>
      </c>
      <c r="G813" s="1516" t="s">
        <v>12196</v>
      </c>
      <c r="H813" s="2191" t="s">
        <v>12196</v>
      </c>
      <c r="I813" s="1517"/>
      <c r="J813" s="1517"/>
      <c r="K813" s="1517"/>
      <c r="L813" s="1517"/>
    </row>
    <row r="814" spans="2:12" ht="63.75" x14ac:dyDescent="0.2">
      <c r="B814" s="1515" t="str">
        <f t="shared" ref="B814:B855" si="79">HLOOKUP(Language,D$2:L$1114,ROW()-1,FALSE)</f>
        <v>Modèle pour générer les feuilles de tirage au sort pour chaque épreuve</v>
      </c>
      <c r="C814" s="312" t="str">
        <f t="shared" si="78"/>
        <v>N_Rib_SupTip_GmftShowDrawModel</v>
      </c>
      <c r="D814" s="1516" t="s">
        <v>10707</v>
      </c>
      <c r="E814" s="1516" t="s">
        <v>10710</v>
      </c>
      <c r="F814" s="1516" t="s">
        <v>10724</v>
      </c>
      <c r="G814" s="1516" t="s">
        <v>12226</v>
      </c>
      <c r="H814" s="2191" t="s">
        <v>12912</v>
      </c>
      <c r="I814" s="1517"/>
      <c r="J814" s="1517"/>
      <c r="K814" s="1517"/>
      <c r="L814" s="1517"/>
    </row>
    <row r="815" spans="2:12" ht="25.5" x14ac:dyDescent="0.2">
      <c r="B815" s="1515" t="str">
        <f t="shared" si="79"/>
        <v>OngletsMSO Ruban Visibles</v>
      </c>
      <c r="C815" s="312" t="str">
        <f t="shared" ref="C815:C816" si="80">NAMEOF(B815)</f>
        <v>N_Rib_GmftTabsVisible</v>
      </c>
      <c r="D815" s="1516" t="s">
        <v>10743</v>
      </c>
      <c r="E815" s="1516" t="s">
        <v>10746</v>
      </c>
      <c r="F815" s="1516" t="s">
        <v>10747</v>
      </c>
      <c r="G815" s="1516" t="s">
        <v>12227</v>
      </c>
      <c r="H815" s="2191" t="s">
        <v>12913</v>
      </c>
      <c r="I815" s="1517"/>
      <c r="J815" s="1517"/>
      <c r="K815" s="1517"/>
      <c r="L815" s="1517"/>
    </row>
    <row r="816" spans="2:12" ht="25.5" x14ac:dyDescent="0.2">
      <c r="B816" s="1515" t="str">
        <f t="shared" si="79"/>
        <v>Onglets MSO Ruban Cachés</v>
      </c>
      <c r="C816" s="312" t="str">
        <f t="shared" si="80"/>
        <v>N_Rib_GmftTabsHidden</v>
      </c>
      <c r="D816" s="1516" t="s">
        <v>10744</v>
      </c>
      <c r="E816" s="1516" t="s">
        <v>10745</v>
      </c>
      <c r="F816" s="1516" t="s">
        <v>10748</v>
      </c>
      <c r="G816" s="1516" t="s">
        <v>12228</v>
      </c>
      <c r="H816" s="2191" t="s">
        <v>12914</v>
      </c>
      <c r="I816" s="1517"/>
      <c r="J816" s="1517"/>
      <c r="K816" s="1517"/>
      <c r="L816" s="1517"/>
    </row>
    <row r="817" spans="2:12" ht="38.25" x14ac:dyDescent="0.2">
      <c r="B817" s="1515" t="str">
        <f t="shared" si="79"/>
        <v>Verrouiller / déverrouiller le Classeur</v>
      </c>
      <c r="C817" s="312" t="str">
        <f t="shared" ref="C817:C820" si="81">NAMEOF(B817)</f>
        <v>N_Rib_ScrTip_GmftLockUnlockWB</v>
      </c>
      <c r="D817" s="1516" t="s">
        <v>10749</v>
      </c>
      <c r="E817" s="1516" t="s">
        <v>10751</v>
      </c>
      <c r="F817" s="1516" t="s">
        <v>10753</v>
      </c>
      <c r="G817" s="1516" t="s">
        <v>12229</v>
      </c>
      <c r="H817" s="2191" t="s">
        <v>12915</v>
      </c>
      <c r="I817" s="1517"/>
      <c r="J817" s="1517"/>
      <c r="K817" s="1517"/>
      <c r="L817" s="1517"/>
    </row>
    <row r="818" spans="2:12" ht="89.25" x14ac:dyDescent="0.2">
      <c r="B818" s="1515" t="str">
        <f t="shared" si="79"/>
        <v>Déverrouille ou verrouille les classeur entier de sorte à pouvoir afficher des feuilles cachées par exemple.</v>
      </c>
      <c r="C818" s="312" t="str">
        <f t="shared" si="81"/>
        <v>N_Rib_SupTip_GmftLockUnlockWB</v>
      </c>
      <c r="D818" s="1516" t="s">
        <v>10750</v>
      </c>
      <c r="E818" s="1516" t="s">
        <v>10752</v>
      </c>
      <c r="F818" s="1516" t="s">
        <v>10754</v>
      </c>
      <c r="G818" s="1516" t="s">
        <v>12230</v>
      </c>
      <c r="H818" s="2191" t="s">
        <v>12916</v>
      </c>
      <c r="I818" s="1517"/>
      <c r="J818" s="1517"/>
      <c r="K818" s="1517"/>
      <c r="L818" s="1517"/>
    </row>
    <row r="819" spans="2:12" ht="51" x14ac:dyDescent="0.2">
      <c r="B819" s="1515" t="str">
        <f t="shared" si="79"/>
        <v>Afficher/Masquer les onglets Microsoft du Ruban</v>
      </c>
      <c r="C819" s="312" t="str">
        <f t="shared" si="81"/>
        <v>N_Rib_ScrTip_GmftViewHideRibbonTabs</v>
      </c>
      <c r="D819" s="1516" t="s">
        <v>10755</v>
      </c>
      <c r="E819" s="1516" t="s">
        <v>10756</v>
      </c>
      <c r="F819" s="1516" t="s">
        <v>10759</v>
      </c>
      <c r="G819" s="1516" t="s">
        <v>12231</v>
      </c>
      <c r="H819" s="2191" t="s">
        <v>12917</v>
      </c>
      <c r="I819" s="1517"/>
      <c r="J819" s="1517"/>
      <c r="K819" s="1517"/>
      <c r="L819" s="1517"/>
    </row>
    <row r="820" spans="2:12" ht="63.75" x14ac:dyDescent="0.2">
      <c r="B820" s="1515" t="str">
        <f t="shared" si="79"/>
        <v>Afficher ou Masquer les onglets standard de Microsoft du Ruban Office.</v>
      </c>
      <c r="C820" s="312" t="str">
        <f t="shared" si="81"/>
        <v>N_Rib_SupTip_GmftViewHideRibbonTabs</v>
      </c>
      <c r="D820" s="1516" t="s">
        <v>10757</v>
      </c>
      <c r="E820" s="1516" t="s">
        <v>10758</v>
      </c>
      <c r="F820" s="1516" t="s">
        <v>10760</v>
      </c>
      <c r="G820" s="1516" t="s">
        <v>12232</v>
      </c>
      <c r="H820" s="2191" t="s">
        <v>12918</v>
      </c>
      <c r="I820" s="1517"/>
      <c r="J820" s="1517"/>
      <c r="K820" s="1517"/>
      <c r="L820" s="1517"/>
    </row>
    <row r="821" spans="2:12" x14ac:dyDescent="0.2">
      <c r="B821" s="1515" t="str">
        <f t="shared" si="79"/>
        <v>Gestion Epreuve</v>
      </c>
      <c r="C821" s="312" t="str">
        <f t="shared" ref="C821:C827" si="82">NAMEOF(B821)</f>
        <v>N_Rib_GmftGroupEvent</v>
      </c>
      <c r="D821" s="1516" t="s">
        <v>10761</v>
      </c>
      <c r="E821" s="1516" t="s">
        <v>10762</v>
      </c>
      <c r="F821" s="1516" t="s">
        <v>10775</v>
      </c>
      <c r="G821" s="1516" t="s">
        <v>12233</v>
      </c>
      <c r="H821" s="2191" t="s">
        <v>12919</v>
      </c>
      <c r="I821" s="1517"/>
      <c r="J821" s="1517"/>
      <c r="K821" s="1517"/>
      <c r="L821" s="1517"/>
    </row>
    <row r="822" spans="2:12" ht="25.5" x14ac:dyDescent="0.2">
      <c r="B822" s="1515" t="str">
        <f t="shared" si="79"/>
        <v>Créer fiche tirage au sort</v>
      </c>
      <c r="C822" s="312" t="str">
        <f t="shared" si="82"/>
        <v>N_Rib_GmftCreateDrawSheet</v>
      </c>
      <c r="D822" s="1516" t="s">
        <v>10763</v>
      </c>
      <c r="E822" s="1516" t="s">
        <v>10764</v>
      </c>
      <c r="F822" s="1516" t="s">
        <v>10776</v>
      </c>
      <c r="G822" s="1516" t="s">
        <v>12234</v>
      </c>
      <c r="H822" s="2191" t="s">
        <v>12920</v>
      </c>
      <c r="I822" s="1517"/>
      <c r="J822" s="1517"/>
      <c r="K822" s="1517"/>
      <c r="L822" s="1517"/>
    </row>
    <row r="823" spans="2:12" ht="25.5" x14ac:dyDescent="0.2">
      <c r="B823" s="1515" t="str">
        <f t="shared" si="79"/>
        <v>Tirage au Sort</v>
      </c>
      <c r="C823" s="312" t="str">
        <f t="shared" si="82"/>
        <v>N_Rib_ScrTip_GmftCreateDrawSheet</v>
      </c>
      <c r="D823" s="1516" t="s">
        <v>10765</v>
      </c>
      <c r="E823" s="1516" t="s">
        <v>10770</v>
      </c>
      <c r="F823" s="1516" t="s">
        <v>10777</v>
      </c>
      <c r="G823" s="1516" t="s">
        <v>12235</v>
      </c>
      <c r="H823" s="2191" t="s">
        <v>12921</v>
      </c>
      <c r="I823" s="1517"/>
      <c r="J823" s="1517"/>
      <c r="K823" s="1517"/>
      <c r="L823" s="1517"/>
    </row>
    <row r="824" spans="2:12" ht="38.25" x14ac:dyDescent="0.2">
      <c r="B824" s="1515" t="str">
        <f t="shared" si="79"/>
        <v>Création de la feuille de tirage au sort</v>
      </c>
      <c r="C824" s="312" t="str">
        <f t="shared" si="82"/>
        <v>N_Rib_SupTip_GmftCreateDrawSheet</v>
      </c>
      <c r="D824" s="1516" t="s">
        <v>10766</v>
      </c>
      <c r="E824" s="1516" t="s">
        <v>10771</v>
      </c>
      <c r="F824" s="1516" t="s">
        <v>10778</v>
      </c>
      <c r="G824" s="1516" t="s">
        <v>12236</v>
      </c>
      <c r="H824" s="2191" t="s">
        <v>12922</v>
      </c>
      <c r="I824" s="1517"/>
      <c r="J824" s="1517"/>
      <c r="K824" s="1517"/>
      <c r="L824" s="1517"/>
    </row>
    <row r="825" spans="2:12" ht="25.5" x14ac:dyDescent="0.2">
      <c r="B825" s="1515" t="str">
        <f t="shared" si="79"/>
        <v>Supprimer Epreuve</v>
      </c>
      <c r="C825" s="312" t="str">
        <f t="shared" si="82"/>
        <v>N_Rib_GmftDelete_This_sheet</v>
      </c>
      <c r="D825" s="1516" t="s">
        <v>10767</v>
      </c>
      <c r="E825" s="1516" t="s">
        <v>10772</v>
      </c>
      <c r="F825" s="1516" t="s">
        <v>10779</v>
      </c>
      <c r="G825" s="1516" t="s">
        <v>12237</v>
      </c>
      <c r="H825" s="2191" t="s">
        <v>12923</v>
      </c>
      <c r="I825" s="1517"/>
      <c r="J825" s="1517"/>
      <c r="K825" s="1517"/>
      <c r="L825" s="1517"/>
    </row>
    <row r="826" spans="2:12" ht="25.5" x14ac:dyDescent="0.2">
      <c r="B826" s="1515" t="str">
        <f t="shared" si="79"/>
        <v>Supprimer cette épreuve</v>
      </c>
      <c r="C826" s="312" t="str">
        <f t="shared" si="82"/>
        <v>N_Rib_ScrTip_GmftDelete_This_sheet</v>
      </c>
      <c r="D826" s="1516" t="s">
        <v>10768</v>
      </c>
      <c r="E826" s="1516" t="s">
        <v>10773</v>
      </c>
      <c r="F826" s="1516" t="s">
        <v>10780</v>
      </c>
      <c r="G826" s="1516" t="s">
        <v>12238</v>
      </c>
      <c r="H826" s="2191" t="s">
        <v>12924</v>
      </c>
      <c r="I826" s="1517"/>
      <c r="J826" s="1517"/>
      <c r="K826" s="1517"/>
      <c r="L826" s="1517"/>
    </row>
    <row r="827" spans="2:12" ht="51" x14ac:dyDescent="0.2">
      <c r="B827" s="1515" t="str">
        <f t="shared" si="79"/>
        <v>Supprime la feuille d'épreuve et met à jour la feuille planning</v>
      </c>
      <c r="C827" s="312" t="str">
        <f t="shared" si="82"/>
        <v>N_Rib_SupTip_GmftDelete_This_sheet</v>
      </c>
      <c r="D827" s="1516" t="s">
        <v>10769</v>
      </c>
      <c r="E827" s="1516" t="s">
        <v>10774</v>
      </c>
      <c r="F827" s="1516" t="s">
        <v>10781</v>
      </c>
      <c r="G827" s="1516" t="s">
        <v>12239</v>
      </c>
      <c r="H827" s="2191" t="s">
        <v>12925</v>
      </c>
      <c r="I827" s="1517"/>
      <c r="J827" s="1517"/>
      <c r="K827" s="1517"/>
      <c r="L827" s="1517"/>
    </row>
    <row r="828" spans="2:12" ht="25.5" x14ac:dyDescent="0.2">
      <c r="B828" s="1515" t="str">
        <f t="shared" si="79"/>
        <v>Gestion Tirage au Sort</v>
      </c>
      <c r="C828" s="312" t="str">
        <f t="shared" ref="C828" si="83">NAMEOF(B828)</f>
        <v>N_Rib_GmftGroupDraw</v>
      </c>
      <c r="D828" s="1516" t="s">
        <v>10783</v>
      </c>
      <c r="E828" s="1516" t="s">
        <v>10784</v>
      </c>
      <c r="F828" s="1516" t="s">
        <v>10782</v>
      </c>
      <c r="G828" s="1516" t="s">
        <v>12240</v>
      </c>
      <c r="H828" s="2191" t="s">
        <v>12926</v>
      </c>
      <c r="I828" s="1517"/>
      <c r="J828" s="1517"/>
      <c r="K828" s="1517"/>
      <c r="L828" s="1517"/>
    </row>
    <row r="829" spans="2:12" ht="25.5" x14ac:dyDescent="0.2">
      <c r="B829" s="1515" t="str">
        <f t="shared" si="79"/>
        <v>Têtes de série</v>
      </c>
      <c r="C829" s="312" t="str">
        <f t="shared" ref="C829:C849" si="84">NAMEOF(B829)</f>
        <v>N_Rib_GmftDefineFirstSeeds</v>
      </c>
      <c r="D829" s="1516" t="s">
        <v>10785</v>
      </c>
      <c r="E829" s="1516" t="s">
        <v>10810</v>
      </c>
      <c r="F829" s="1516" t="s">
        <v>10819</v>
      </c>
      <c r="G829" s="1516" t="s">
        <v>12241</v>
      </c>
      <c r="H829" s="2191" t="s">
        <v>12927</v>
      </c>
      <c r="I829" s="1517"/>
      <c r="J829" s="1517"/>
      <c r="K829" s="1517"/>
      <c r="L829" s="1517"/>
    </row>
    <row r="830" spans="2:12" ht="25.5" x14ac:dyDescent="0.2">
      <c r="B830" s="1515" t="str">
        <f t="shared" si="79"/>
        <v>Définir les têtes de série</v>
      </c>
      <c r="C830" s="312" t="str">
        <f t="shared" si="84"/>
        <v>N_Rib_ScrTip_GmftDefineFirstSeeds</v>
      </c>
      <c r="D830" s="1516" t="s">
        <v>10786</v>
      </c>
      <c r="E830" s="1516" t="s">
        <v>10803</v>
      </c>
      <c r="F830" s="1516" t="s">
        <v>10820</v>
      </c>
      <c r="G830" s="1516" t="s">
        <v>12242</v>
      </c>
      <c r="H830" s="2191" t="s">
        <v>12928</v>
      </c>
      <c r="I830" s="1517"/>
      <c r="J830" s="1517"/>
      <c r="K830" s="1517"/>
      <c r="L830" s="1517"/>
    </row>
    <row r="831" spans="2:12" ht="76.5" x14ac:dyDescent="0.2">
      <c r="B831" s="1515" t="str">
        <f t="shared" si="79"/>
        <v>Attribuer les 1ers de chaque groupe avec les 1ers de la liste des participants triés par classement</v>
      </c>
      <c r="C831" s="312" t="str">
        <f t="shared" si="84"/>
        <v>N_Rib_SupTip_GmftDefineFirstSeeds</v>
      </c>
      <c r="D831" s="1516" t="s">
        <v>10787</v>
      </c>
      <c r="E831" s="1516" t="s">
        <v>10811</v>
      </c>
      <c r="F831" s="1516" t="s">
        <v>10821</v>
      </c>
      <c r="G831" s="1516" t="s">
        <v>12243</v>
      </c>
      <c r="H831" s="2191" t="s">
        <v>12929</v>
      </c>
      <c r="I831" s="1517"/>
      <c r="J831" s="1517"/>
      <c r="K831" s="1517"/>
      <c r="L831" s="1517"/>
    </row>
    <row r="832" spans="2:12" ht="25.5" x14ac:dyDescent="0.2">
      <c r="B832" s="1515" t="str">
        <f t="shared" si="79"/>
        <v>Tirage position suivante</v>
      </c>
      <c r="C832" s="312" t="str">
        <f t="shared" si="84"/>
        <v>N_Rib_GmftMakeNextDraw</v>
      </c>
      <c r="D832" s="1516" t="s">
        <v>10788</v>
      </c>
      <c r="E832" s="1516" t="s">
        <v>10804</v>
      </c>
      <c r="F832" s="1516" t="s">
        <v>10822</v>
      </c>
      <c r="G832" s="1516" t="s">
        <v>12245</v>
      </c>
      <c r="H832" s="2191" t="s">
        <v>12930</v>
      </c>
      <c r="I832" s="1517"/>
      <c r="J832" s="1517"/>
      <c r="K832" s="1517"/>
      <c r="L832" s="1517"/>
    </row>
    <row r="833" spans="2:12" ht="25.5" x14ac:dyDescent="0.2">
      <c r="B833" s="1515" t="str">
        <f t="shared" ref="B833" si="85">HLOOKUP(Language,D$2:L$1114,ROW()-1,FALSE)</f>
        <v>Tirage position suivante 2ème Pot</v>
      </c>
      <c r="C833" s="312" t="str">
        <f t="shared" ref="C833" si="86">NAMEOF(B833)</f>
        <v>N_Rib_GmftMakeNextDrawInSecondPot</v>
      </c>
      <c r="D833" s="1516" t="s">
        <v>16828</v>
      </c>
      <c r="E833" s="1516" t="s">
        <v>16829</v>
      </c>
      <c r="F833" s="1516" t="s">
        <v>16831</v>
      </c>
      <c r="G833" s="1516" t="s">
        <v>16830</v>
      </c>
      <c r="H833" s="2191" t="s">
        <v>16832</v>
      </c>
      <c r="I833" s="1517"/>
      <c r="J833" s="1517"/>
      <c r="K833" s="1517"/>
      <c r="L833" s="1517"/>
    </row>
    <row r="834" spans="2:12" ht="25.5" x14ac:dyDescent="0.2">
      <c r="B834" s="1515" t="str">
        <f t="shared" si="79"/>
        <v>Tirage au sort de la position suivante</v>
      </c>
      <c r="C834" s="312" t="str">
        <f t="shared" si="84"/>
        <v>N_Rib_ScrTip_GmftMakeNextDraw</v>
      </c>
      <c r="D834" s="1516" t="s">
        <v>10789</v>
      </c>
      <c r="E834" s="1516" t="s">
        <v>9832</v>
      </c>
      <c r="F834" s="1516" t="s">
        <v>9833</v>
      </c>
      <c r="G834" s="1516" t="s">
        <v>12244</v>
      </c>
      <c r="H834" s="2191" t="s">
        <v>12931</v>
      </c>
      <c r="I834" s="1517"/>
      <c r="J834" s="1517"/>
      <c r="K834" s="1517"/>
      <c r="L834" s="1517"/>
    </row>
    <row r="835" spans="2:12" ht="38.25" x14ac:dyDescent="0.2">
      <c r="B835" s="1515" t="str">
        <f t="shared" ref="B835" si="87">HLOOKUP(Language,D$2:L$1114,ROW()-1,FALSE)</f>
        <v>Tirage au sort de la position suivante dans le 2ème Pot</v>
      </c>
      <c r="C835" s="312" t="str">
        <f t="shared" ref="C835" si="88">NAMEOF(B835)</f>
        <v>N_Rib_ScrTip_GmftMakeNextDrawInSecondPot</v>
      </c>
      <c r="D835" s="1516" t="s">
        <v>16833</v>
      </c>
      <c r="E835" s="1516" t="s">
        <v>16834</v>
      </c>
      <c r="F835" s="1516" t="s">
        <v>16836</v>
      </c>
      <c r="G835" s="1516" t="s">
        <v>16837</v>
      </c>
      <c r="H835" s="2191" t="s">
        <v>16835</v>
      </c>
      <c r="I835" s="1517"/>
      <c r="J835" s="1517"/>
      <c r="K835" s="1517"/>
      <c r="L835" s="1517"/>
    </row>
    <row r="836" spans="2:12" ht="76.5" x14ac:dyDescent="0.2">
      <c r="B836" s="1515" t="str">
        <f t="shared" si="79"/>
        <v>Tire au sort des numéros pour la position suivante jusqu'à trouver un numéro non encore utilisé</v>
      </c>
      <c r="C836" s="312" t="str">
        <f t="shared" si="84"/>
        <v>N_Rib_SupTip_GmftMakeNextDraw</v>
      </c>
      <c r="D836" s="1516" t="s">
        <v>10790</v>
      </c>
      <c r="E836" s="1516" t="s">
        <v>10812</v>
      </c>
      <c r="F836" s="1516" t="s">
        <v>10823</v>
      </c>
      <c r="G836" s="1516" t="s">
        <v>12246</v>
      </c>
      <c r="H836" s="2191" t="s">
        <v>12932</v>
      </c>
      <c r="I836" s="1517"/>
      <c r="J836" s="1517"/>
      <c r="K836" s="1517"/>
      <c r="L836" s="1517"/>
    </row>
    <row r="837" spans="2:12" ht="89.25" x14ac:dyDescent="0.2">
      <c r="B837" s="1515" t="str">
        <f t="shared" ref="B837" si="89">HLOOKUP(Language,D$2:L$1114,ROW()-1,FALSE)</f>
        <v>Tire au sort des numéros pour la position suivante jusqu'à trouver un numéro non encore utilisé dans le second pot</v>
      </c>
      <c r="C837" s="312" t="str">
        <f t="shared" ref="C837" si="90">NAMEOF(B837)</f>
        <v>N_Rib_SupTip_GmftMakeNextDrawInSecondPot</v>
      </c>
      <c r="D837" s="1516" t="s">
        <v>16838</v>
      </c>
      <c r="E837" s="1516" t="s">
        <v>16842</v>
      </c>
      <c r="F837" s="1516" t="s">
        <v>16841</v>
      </c>
      <c r="G837" s="1516" t="s">
        <v>16839</v>
      </c>
      <c r="H837" s="2191" t="s">
        <v>16840</v>
      </c>
      <c r="I837" s="1517"/>
      <c r="J837" s="1517"/>
      <c r="K837" s="1517"/>
      <c r="L837" s="1517"/>
    </row>
    <row r="838" spans="2:12" ht="25.5" x14ac:dyDescent="0.2">
      <c r="B838" s="1515" t="str">
        <f t="shared" si="79"/>
        <v>Tirage global</v>
      </c>
      <c r="C838" s="312" t="str">
        <f t="shared" si="84"/>
        <v>N_Rib_GmftMakeAllDraw</v>
      </c>
      <c r="D838" s="1516" t="s">
        <v>10791</v>
      </c>
      <c r="E838" s="1516" t="s">
        <v>10805</v>
      </c>
      <c r="F838" s="1516" t="s">
        <v>10824</v>
      </c>
      <c r="G838" s="1516" t="s">
        <v>12247</v>
      </c>
      <c r="H838" s="2191" t="s">
        <v>12933</v>
      </c>
      <c r="I838" s="1517"/>
      <c r="J838" s="1517"/>
      <c r="K838" s="1517"/>
      <c r="L838" s="1517"/>
    </row>
    <row r="839" spans="2:12" ht="25.5" x14ac:dyDescent="0.2">
      <c r="B839" s="1515" t="str">
        <f t="shared" si="79"/>
        <v>Tirage de toutes les positions</v>
      </c>
      <c r="C839" s="312" t="str">
        <f t="shared" si="84"/>
        <v>N_Rib_ScrTip_GmftMakeAllDraw</v>
      </c>
      <c r="D839" s="1516" t="s">
        <v>10792</v>
      </c>
      <c r="E839" s="1516" t="s">
        <v>10806</v>
      </c>
      <c r="F839" s="1516" t="s">
        <v>10825</v>
      </c>
      <c r="G839" s="1516" t="s">
        <v>12248</v>
      </c>
      <c r="H839" s="2191" t="s">
        <v>12934</v>
      </c>
      <c r="I839" s="1517"/>
      <c r="J839" s="1517"/>
      <c r="K839" s="1517"/>
      <c r="L839" s="1517"/>
    </row>
    <row r="840" spans="2:12" ht="76.5" x14ac:dyDescent="0.2">
      <c r="B840" s="1515" t="str">
        <f t="shared" si="79"/>
        <v>Tire au sort les numéros de toutes les positions en veillant à ne pas dupliquer les numéros tirés</v>
      </c>
      <c r="C840" s="312" t="str">
        <f t="shared" si="84"/>
        <v>N_Rib_SupTip_GmftMakeAllDraw</v>
      </c>
      <c r="D840" s="1516" t="s">
        <v>10793</v>
      </c>
      <c r="E840" s="1516" t="s">
        <v>10807</v>
      </c>
      <c r="F840" s="1516" t="s">
        <v>10826</v>
      </c>
      <c r="G840" s="1516" t="s">
        <v>12249</v>
      </c>
      <c r="H840" s="2191" t="s">
        <v>12935</v>
      </c>
      <c r="I840" s="1517"/>
      <c r="J840" s="1517"/>
      <c r="K840" s="1517"/>
      <c r="L840" s="1517"/>
    </row>
    <row r="841" spans="2:12" ht="25.5" x14ac:dyDescent="0.2">
      <c r="B841" s="1515" t="str">
        <f t="shared" si="79"/>
        <v>Déclarer Forfait</v>
      </c>
      <c r="C841" s="312" t="str">
        <f t="shared" si="84"/>
        <v>N_Rib_GmftMakeWithDraw</v>
      </c>
      <c r="D841" s="1516" t="s">
        <v>10795</v>
      </c>
      <c r="E841" s="1516" t="s">
        <v>10794</v>
      </c>
      <c r="F841" s="1516" t="s">
        <v>10827</v>
      </c>
      <c r="G841" s="1516" t="s">
        <v>12250</v>
      </c>
      <c r="H841" s="2191" t="s">
        <v>12936</v>
      </c>
      <c r="I841" s="1517"/>
      <c r="J841" s="1517"/>
      <c r="K841" s="1517"/>
      <c r="L841" s="1517"/>
    </row>
    <row r="842" spans="2:12" ht="25.5" x14ac:dyDescent="0.2">
      <c r="B842" s="1515" t="str">
        <f t="shared" si="79"/>
        <v>Déclarer le joueur forfait</v>
      </c>
      <c r="C842" s="312" t="str">
        <f t="shared" si="84"/>
        <v>N_Rib_ScrTip_GmftMakeWithDraw</v>
      </c>
      <c r="D842" s="1516" t="s">
        <v>10796</v>
      </c>
      <c r="E842" s="1516" t="s">
        <v>10813</v>
      </c>
      <c r="F842" s="1516" t="s">
        <v>10828</v>
      </c>
      <c r="G842" s="1516" t="s">
        <v>12251</v>
      </c>
      <c r="H842" s="2191" t="s">
        <v>12937</v>
      </c>
      <c r="I842" s="1517"/>
      <c r="J842" s="1517"/>
      <c r="K842" s="1517"/>
      <c r="L842" s="1517"/>
    </row>
    <row r="843" spans="2:12" ht="89.25" x14ac:dyDescent="0.2">
      <c r="B843" s="1515" t="str">
        <f t="shared" si="79"/>
        <v>Remplace le nom du joueur sélectionné dans la liste des "Participants Classement" par la mention "Forfait"</v>
      </c>
      <c r="C843" s="312" t="str">
        <f t="shared" si="84"/>
        <v>N_Rib_SupTip_GmftMakeWithDraw</v>
      </c>
      <c r="D843" s="1516" t="s">
        <v>10797</v>
      </c>
      <c r="E843" s="1516" t="s">
        <v>10814</v>
      </c>
      <c r="F843" s="1516" t="s">
        <v>10829</v>
      </c>
      <c r="G843" s="1516" t="s">
        <v>12252</v>
      </c>
      <c r="H843" s="2191" t="s">
        <v>12938</v>
      </c>
      <c r="I843" s="1517"/>
      <c r="J843" s="1517"/>
      <c r="K843" s="1517"/>
      <c r="L843" s="1517"/>
    </row>
    <row r="844" spans="2:12" ht="25.5" x14ac:dyDescent="0.2">
      <c r="B844" s="1515" t="str">
        <f t="shared" si="79"/>
        <v>Valider Tirage</v>
      </c>
      <c r="C844" s="312" t="str">
        <f t="shared" si="84"/>
        <v>N_Rib_GmftValidateDraw</v>
      </c>
      <c r="D844" s="1516" t="s">
        <v>10798</v>
      </c>
      <c r="E844" s="1516" t="s">
        <v>10808</v>
      </c>
      <c r="F844" s="1516" t="s">
        <v>10830</v>
      </c>
      <c r="G844" s="1516" t="s">
        <v>12253</v>
      </c>
      <c r="H844" s="2191" t="s">
        <v>12939</v>
      </c>
      <c r="I844" s="1517"/>
      <c r="J844" s="1517"/>
      <c r="K844" s="1517"/>
      <c r="L844" s="1517"/>
    </row>
    <row r="845" spans="2:12" ht="25.5" x14ac:dyDescent="0.2">
      <c r="B845" s="1515" t="str">
        <f t="shared" si="79"/>
        <v>Valider le tirage au sort</v>
      </c>
      <c r="C845" s="312" t="str">
        <f t="shared" si="84"/>
        <v>N_Rib_ScrTip_GmftValidateDraw</v>
      </c>
      <c r="D845" s="1516" t="s">
        <v>10799</v>
      </c>
      <c r="E845" s="1516" t="s">
        <v>10809</v>
      </c>
      <c r="F845" s="1516" t="s">
        <v>10831</v>
      </c>
      <c r="G845" s="1516" t="s">
        <v>12254</v>
      </c>
      <c r="H845" s="2191" t="s">
        <v>12940</v>
      </c>
      <c r="I845" s="1517"/>
      <c r="J845" s="1517"/>
      <c r="K845" s="1517"/>
      <c r="L845" s="1517"/>
    </row>
    <row r="846" spans="2:12" ht="89.25" x14ac:dyDescent="0.2">
      <c r="B846" s="1515" t="str">
        <f t="shared" si="79"/>
        <v>Valide le tirage au sort en recopiant les noms des joueurs dans les groupes de la feuille de l'épreuve corespondante</v>
      </c>
      <c r="C846" s="312" t="str">
        <f t="shared" si="84"/>
        <v>N_Rib_SupTip_GmftValidateDraw</v>
      </c>
      <c r="D846" s="1516" t="s">
        <v>10800</v>
      </c>
      <c r="E846" s="1516" t="s">
        <v>10815</v>
      </c>
      <c r="F846" s="1516" t="s">
        <v>10832</v>
      </c>
      <c r="G846" s="1516" t="s">
        <v>12255</v>
      </c>
      <c r="H846" s="2191" t="s">
        <v>12941</v>
      </c>
      <c r="I846" s="1517"/>
      <c r="J846" s="1517"/>
      <c r="K846" s="1517"/>
      <c r="L846" s="1517"/>
    </row>
    <row r="847" spans="2:12" ht="25.5" x14ac:dyDescent="0.2">
      <c r="B847" s="1515" t="str">
        <f t="shared" si="79"/>
        <v>Supprimer Feuille Tirage</v>
      </c>
      <c r="C847" s="312" t="str">
        <f t="shared" si="84"/>
        <v>N_Rib_GmftDeleteDraw</v>
      </c>
      <c r="D847" s="1516" t="s">
        <v>10801</v>
      </c>
      <c r="E847" s="1516" t="s">
        <v>10816</v>
      </c>
      <c r="F847" s="1516" t="s">
        <v>10833</v>
      </c>
      <c r="G847" s="1516" t="s">
        <v>12256</v>
      </c>
      <c r="H847" s="2191" t="s">
        <v>12942</v>
      </c>
      <c r="I847" s="1517"/>
      <c r="J847" s="1517"/>
      <c r="K847" s="1517"/>
      <c r="L847" s="1517"/>
    </row>
    <row r="848" spans="2:12" ht="25.5" x14ac:dyDescent="0.2">
      <c r="B848" s="1515" t="str">
        <f t="shared" si="79"/>
        <v>Supprimer la feuille tirage au sort</v>
      </c>
      <c r="C848" s="312" t="str">
        <f t="shared" si="84"/>
        <v>N_Rib_ScrTip_GmftDeleteDraw</v>
      </c>
      <c r="D848" s="1516" t="s">
        <v>10817</v>
      </c>
      <c r="E848" s="1516" t="s">
        <v>10818</v>
      </c>
      <c r="F848" s="1516" t="s">
        <v>10834</v>
      </c>
      <c r="G848" s="1516" t="s">
        <v>12257</v>
      </c>
      <c r="H848" s="2191" t="s">
        <v>12943</v>
      </c>
      <c r="I848" s="1517"/>
      <c r="J848" s="1517"/>
      <c r="K848" s="1517"/>
      <c r="L848" s="1517"/>
    </row>
    <row r="849" spans="2:12" ht="25.5" x14ac:dyDescent="0.2">
      <c r="B849" s="1515" t="str">
        <f t="shared" si="79"/>
        <v>Supprime la feuille de tirage au sort</v>
      </c>
      <c r="C849" s="312" t="str">
        <f t="shared" si="84"/>
        <v>N_Rib_SupTip_GmftDeleteDraw</v>
      </c>
      <c r="D849" s="1516" t="s">
        <v>10802</v>
      </c>
      <c r="E849" s="1516" t="s">
        <v>10818</v>
      </c>
      <c r="F849" s="1516" t="s">
        <v>10834</v>
      </c>
      <c r="G849" s="1516" t="s">
        <v>12257</v>
      </c>
      <c r="H849" s="2191" t="s">
        <v>12943</v>
      </c>
      <c r="I849" s="1517"/>
      <c r="J849" s="1517"/>
      <c r="K849" s="1517"/>
      <c r="L849" s="1517"/>
    </row>
    <row r="850" spans="2:12" ht="25.5" x14ac:dyDescent="0.2">
      <c r="B850" s="1515" t="str">
        <f t="shared" si="79"/>
        <v>Score Maximum activé</v>
      </c>
      <c r="C850" s="312" t="str">
        <f t="shared" ref="C850:C853" si="91">NAMEOF(B850)</f>
        <v>N_Rib_GmftMaxScore</v>
      </c>
      <c r="D850" s="1516" t="s">
        <v>10837</v>
      </c>
      <c r="E850" s="1516" t="s">
        <v>10836</v>
      </c>
      <c r="F850" s="1516" t="s">
        <v>10834</v>
      </c>
      <c r="G850" s="1516" t="s">
        <v>12258</v>
      </c>
      <c r="H850" s="2191" t="s">
        <v>12944</v>
      </c>
      <c r="I850" s="1517"/>
      <c r="J850" s="1517"/>
      <c r="K850" s="1517"/>
      <c r="L850" s="1517"/>
    </row>
    <row r="851" spans="2:12" ht="25.5" x14ac:dyDescent="0.2">
      <c r="B851" s="1515" t="str">
        <f t="shared" si="79"/>
        <v>Score Maximum désactivé</v>
      </c>
      <c r="C851" s="312" t="str">
        <f t="shared" ref="C851" si="92">NAMEOF(B851)</f>
        <v>N_Rib_GmftMaxScoreDeactivated</v>
      </c>
      <c r="D851" s="1516" t="s">
        <v>10838</v>
      </c>
      <c r="E851" s="1516" t="s">
        <v>10839</v>
      </c>
      <c r="F851" s="1516" t="s">
        <v>10834</v>
      </c>
      <c r="G851" s="1516" t="s">
        <v>12259</v>
      </c>
      <c r="H851" s="2191" t="s">
        <v>12945</v>
      </c>
      <c r="I851" s="1517"/>
      <c r="J851" s="1517"/>
      <c r="K851" s="1517"/>
      <c r="L851" s="1517"/>
    </row>
    <row r="852" spans="2:12" ht="25.5" x14ac:dyDescent="0.2">
      <c r="B852" s="1515" t="str">
        <f t="shared" si="79"/>
        <v>Application Score Maximum</v>
      </c>
      <c r="C852" s="312" t="str">
        <f t="shared" si="91"/>
        <v>N_Rib_ScrTip_GmftMaxScore</v>
      </c>
      <c r="D852" s="1516" t="s">
        <v>10840</v>
      </c>
      <c r="E852" s="1516" t="s">
        <v>10841</v>
      </c>
      <c r="F852" s="1516" t="s">
        <v>10834</v>
      </c>
      <c r="G852" s="1516" t="s">
        <v>12260</v>
      </c>
      <c r="H852" s="2191" t="s">
        <v>12946</v>
      </c>
      <c r="I852" s="1517"/>
      <c r="J852" s="1517"/>
      <c r="K852" s="1517"/>
      <c r="L852" s="1517"/>
    </row>
    <row r="853" spans="2:12" ht="38.25" x14ac:dyDescent="0.2">
      <c r="B853" s="1515" t="str">
        <f t="shared" si="79"/>
        <v>Activation/Désactivation de la règle du score maximum</v>
      </c>
      <c r="C853" s="312" t="str">
        <f t="shared" si="91"/>
        <v>N_Rib_SupTip_GmftMaxScore</v>
      </c>
      <c r="D853" s="1516" t="s">
        <v>10835</v>
      </c>
      <c r="E853" s="1516" t="s">
        <v>10842</v>
      </c>
      <c r="F853" s="1516" t="s">
        <v>10834</v>
      </c>
      <c r="G853" s="1516" t="s">
        <v>12261</v>
      </c>
      <c r="H853" s="2191" t="s">
        <v>12947</v>
      </c>
      <c r="I853" s="1517"/>
      <c r="J853" s="1517"/>
      <c r="K853" s="1517"/>
      <c r="L853" s="1517"/>
    </row>
    <row r="854" spans="2:12" ht="25.5" x14ac:dyDescent="0.2">
      <c r="B854" s="1515" t="str">
        <f t="shared" si="79"/>
        <v>Epreuve d'inscription</v>
      </c>
      <c r="C854" s="312" t="str">
        <f t="shared" ref="C854:C855" si="93">NAMEOF(B854)</f>
        <v>N_Rib_ScrTip_CategoryDropDown</v>
      </c>
      <c r="D854" s="1516" t="s">
        <v>10843</v>
      </c>
      <c r="E854" s="1516" t="s">
        <v>10845</v>
      </c>
      <c r="F854" s="1516" t="s">
        <v>10834</v>
      </c>
      <c r="G854" s="1516" t="s">
        <v>12262</v>
      </c>
      <c r="H854" s="2191" t="s">
        <v>12948</v>
      </c>
      <c r="I854" s="1517"/>
      <c r="J854" s="1517"/>
      <c r="K854" s="1517"/>
      <c r="L854" s="1517"/>
    </row>
    <row r="855" spans="2:12" ht="153" x14ac:dyDescent="0.2">
      <c r="B855" s="1515" t="str">
        <f t="shared" si="79"/>
        <v>Epreuve dans laquelle sont inscrits les joueurs de cette épreuve. Par exemple, pour un tournoi B Open, on sélectionne "Open". Par défaut, la valeur sélectionnée est celle de l'épreuve elle-même.</v>
      </c>
      <c r="C855" s="312" t="str">
        <f t="shared" si="93"/>
        <v>N_Rib_SupTip_CategoryDropDown</v>
      </c>
      <c r="D855" s="1516" t="s">
        <v>10844</v>
      </c>
      <c r="E855" s="1516" t="s">
        <v>10846</v>
      </c>
      <c r="F855" s="1516" t="s">
        <v>10834</v>
      </c>
      <c r="G855" s="1516" t="s">
        <v>12263</v>
      </c>
      <c r="H855" s="2191" t="s">
        <v>12949</v>
      </c>
      <c r="I855" s="1517"/>
      <c r="J855" s="1517"/>
      <c r="K855" s="1517"/>
      <c r="L855" s="1517"/>
    </row>
    <row r="856" spans="2:12" ht="25.5" x14ac:dyDescent="0.2">
      <c r="B856" s="1515" t="str">
        <f t="shared" ref="B856" si="94">HLOOKUP(Language,D$2:L$1114,ROW()-1,FALSE)</f>
        <v>Mauvais chemin de répertoire</v>
      </c>
      <c r="C856" s="312" t="str">
        <f t="shared" ref="C856" si="95">NAMEOF(B856)</f>
        <v>N_BadDirectoryPath</v>
      </c>
      <c r="D856" s="1516" t="s">
        <v>10995</v>
      </c>
      <c r="E856" s="1516" t="s">
        <v>10996</v>
      </c>
      <c r="F856" s="1516" t="s">
        <v>10997</v>
      </c>
      <c r="G856" s="1516" t="s">
        <v>12264</v>
      </c>
      <c r="H856" s="2191" t="s">
        <v>12264</v>
      </c>
      <c r="I856" s="1517"/>
      <c r="J856" s="1517"/>
      <c r="K856" s="1517"/>
      <c r="L856" s="1517"/>
    </row>
    <row r="857" spans="2:12" ht="51" x14ac:dyDescent="0.2">
      <c r="B857" s="1515" t="str">
        <f t="shared" ref="B857" si="96">HLOOKUP(Language,D$2:L$1114,ROW()-1,FALSE)</f>
        <v>Certaines épreuves ne sont pas définies en tant que modèles de table</v>
      </c>
      <c r="C857" s="312" t="str">
        <f>NAMEOF(B857)</f>
        <v>N_EventModelsNotDefined</v>
      </c>
      <c r="D857" s="1516" t="s">
        <v>11001</v>
      </c>
      <c r="E857" s="1516" t="s">
        <v>11002</v>
      </c>
      <c r="F857" s="1576" t="s">
        <v>11003</v>
      </c>
      <c r="G857" s="1516" t="s">
        <v>12265</v>
      </c>
      <c r="H857" s="2191" t="s">
        <v>12950</v>
      </c>
      <c r="I857" s="1517"/>
      <c r="J857" s="1517"/>
      <c r="K857" s="1517"/>
      <c r="L857" s="1517"/>
    </row>
    <row r="858" spans="2:12" ht="153" x14ac:dyDescent="0.2">
      <c r="B858" s="1515" t="str">
        <f t="shared" ref="B858" si="97">HLOOKUP(Language,D$2:L$1114,ROW()-1,FALSE)</f>
        <v>Avertissement :  certains de vos événements ne seront pas pris en compte pour l'export; seuls les événements suivants seront traités : Open, Veterans, Women, U20, U16, U12, Teams, Consolation</v>
      </c>
      <c r="C858" s="312" t="str">
        <f>NAMEOF(B858)</f>
        <v>N_OnlyParticularEventNames</v>
      </c>
      <c r="D858" s="1516" t="s">
        <v>16825</v>
      </c>
      <c r="E858" s="1516" t="s">
        <v>16826</v>
      </c>
      <c r="F858" s="1576" t="s">
        <v>16827</v>
      </c>
      <c r="G858" s="1516" t="s">
        <v>15010</v>
      </c>
      <c r="H858" s="2191" t="s">
        <v>15011</v>
      </c>
      <c r="I858" s="1517"/>
      <c r="J858" s="1517"/>
      <c r="K858" s="1517"/>
      <c r="L858" s="1517"/>
    </row>
  </sheetData>
  <sheetProtection formatColumns="0" formatRows="0"/>
  <dataConsolidate/>
  <customSheetViews>
    <customSheetView guid="{13F24B0A-7740-483A-BEF7-5257F8522605}" showGridLines="0" state="hidden" topLeftCell="B624">
      <selection activeCell="E647" sqref="E647"/>
      <pageMargins left="0.7" right="0.7" top="0.75" bottom="0.75" header="0.3" footer="0.3"/>
      <pageSetup paperSize="9" orientation="portrait" r:id="rId1"/>
    </customSheetView>
  </customSheetViews>
  <phoneticPr fontId="61" type="noConversion"/>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_Home">
    <tabColor rgb="FF008000"/>
    <pageSetUpPr fitToPage="1"/>
  </sheetPr>
  <dimension ref="A1:D35"/>
  <sheetViews>
    <sheetView showGridLines="0" showZeros="0" workbookViewId="0">
      <selection activeCell="B8" sqref="B8:C8"/>
    </sheetView>
  </sheetViews>
  <sheetFormatPr baseColWidth="10" defaultColWidth="4" defaultRowHeight="12.75" x14ac:dyDescent="0.2"/>
  <cols>
    <col min="1" max="1" width="4.7109375" style="7" customWidth="1"/>
    <col min="2" max="2" width="67.7109375" style="7" bestFit="1" customWidth="1"/>
    <col min="3" max="3" width="23.85546875" style="7" customWidth="1"/>
    <col min="4" max="4" width="3.7109375" style="7" customWidth="1"/>
    <col min="5" max="5" width="5.85546875" style="7" customWidth="1"/>
    <col min="6" max="16384" width="4" style="7"/>
  </cols>
  <sheetData>
    <row r="1" spans="1:4" ht="30" x14ac:dyDescent="0.2">
      <c r="A1" s="1904"/>
      <c r="B1" s="2231" t="str">
        <f>N_GMFT</f>
        <v>GMFT - Gestion des Matches de Football de Table</v>
      </c>
      <c r="C1" s="2231"/>
      <c r="D1" s="1905"/>
    </row>
    <row r="2" spans="1:4" x14ac:dyDescent="0.2">
      <c r="A2" s="1906"/>
      <c r="B2" s="1927" t="str">
        <f>N_GMFT_Version &amp; " " &amp; Version_Outil</f>
        <v>Version 14.3.1</v>
      </c>
      <c r="C2" s="1928"/>
      <c r="D2" s="1905"/>
    </row>
    <row r="3" spans="1:4" x14ac:dyDescent="0.2">
      <c r="A3" s="1907"/>
      <c r="B3" s="1907"/>
      <c r="C3" s="1905"/>
      <c r="D3" s="1905"/>
    </row>
    <row r="4" spans="1:4" ht="16.5" x14ac:dyDescent="0.2">
      <c r="A4" s="1908"/>
      <c r="B4" s="2232" t="str">
        <f>N_Layout</f>
        <v>Titre de la compétition</v>
      </c>
      <c r="C4" s="2232"/>
      <c r="D4" s="1905"/>
    </row>
    <row r="5" spans="1:4" ht="16.5" x14ac:dyDescent="0.2">
      <c r="A5" s="1906"/>
      <c r="B5" s="2234" t="s">
        <v>17474</v>
      </c>
      <c r="C5" s="2235"/>
      <c r="D5" s="1905"/>
    </row>
    <row r="6" spans="1:4" x14ac:dyDescent="0.2">
      <c r="A6" s="1906"/>
      <c r="B6" s="1909"/>
      <c r="C6" s="1905"/>
      <c r="D6" s="1905"/>
    </row>
    <row r="7" spans="1:4" ht="16.5" x14ac:dyDescent="0.2">
      <c r="A7" s="1906"/>
      <c r="B7" s="2233" t="str">
        <f>N_EventDate</f>
        <v>Date de la compétition</v>
      </c>
      <c r="C7" s="2233"/>
      <c r="D7" s="1905"/>
    </row>
    <row r="8" spans="1:4" ht="16.5" x14ac:dyDescent="0.2">
      <c r="A8" s="1906"/>
      <c r="B8" s="2236" t="s">
        <v>17475</v>
      </c>
      <c r="C8" s="2237"/>
      <c r="D8" s="1905"/>
    </row>
    <row r="9" spans="1:4" x14ac:dyDescent="0.2">
      <c r="A9" s="1906"/>
      <c r="B9" s="1909"/>
      <c r="C9" s="1905"/>
      <c r="D9" s="1905"/>
    </row>
    <row r="10" spans="1:4" x14ac:dyDescent="0.2">
      <c r="A10" s="1907"/>
      <c r="B10" s="1909" t="str">
        <f>N_Action</f>
        <v>Actions</v>
      </c>
      <c r="C10" s="1903" t="str">
        <f>N_Worksheet</f>
        <v>Feuille de calcul</v>
      </c>
      <c r="D10" s="1905"/>
    </row>
    <row r="11" spans="1:4" ht="30" x14ac:dyDescent="0.2">
      <c r="A11" s="1910">
        <v>1</v>
      </c>
      <c r="B11" s="1911" t="str">
        <f>N_FillIn_Players_And_Clubs</f>
        <v>Renseigner la base de données des joueurs et clubs</v>
      </c>
      <c r="C11" s="1912" t="s">
        <v>1203</v>
      </c>
      <c r="D11" s="1905"/>
    </row>
    <row r="12" spans="1:4" ht="49.5" x14ac:dyDescent="0.2">
      <c r="A12" s="1913">
        <v>2</v>
      </c>
      <c r="B12" s="1911" t="str">
        <f>N_Ranking</f>
        <v>Mettre à jour si besoin le classement Mondial (dans le cas où ce classement est utilisé dans les critères de classement de poules ou pour l'utilisation de la fonctionnalité de tirage au sort)</v>
      </c>
      <c r="C12" s="1914" t="s">
        <v>9501</v>
      </c>
      <c r="D12" s="1905"/>
    </row>
    <row r="13" spans="1:4" ht="16.5" x14ac:dyDescent="0.2">
      <c r="A13" s="1910">
        <v>3</v>
      </c>
      <c r="B13" s="1911" t="str">
        <f>N_Checkin</f>
        <v>Enregistrer les inscriptions et participations aux différentes épreuves</v>
      </c>
      <c r="C13" s="1912" t="s">
        <v>942</v>
      </c>
      <c r="D13" s="1905"/>
    </row>
    <row r="14" spans="1:4" ht="16.5" x14ac:dyDescent="0.2">
      <c r="A14" s="1910">
        <v>4</v>
      </c>
      <c r="B14" s="1911" t="str">
        <f>N_DefineTeams</f>
        <v>Si besoin définir les équipes de la compétition</v>
      </c>
      <c r="C14" s="1912" t="s">
        <v>1546</v>
      </c>
      <c r="D14" s="1905"/>
    </row>
    <row r="15" spans="1:4" ht="16.5" x14ac:dyDescent="0.2">
      <c r="A15" s="1910">
        <v>5</v>
      </c>
      <c r="B15" s="1911" t="str">
        <f>N_DefineDoubles</f>
        <v>Si besoin définir les doubles de la compétition</v>
      </c>
      <c r="C15" s="1912" t="s">
        <v>887</v>
      </c>
      <c r="D15" s="1905"/>
    </row>
    <row r="16" spans="1:4" ht="16.5" x14ac:dyDescent="0.2">
      <c r="A16" s="1910">
        <v>6</v>
      </c>
      <c r="B16" s="1911" t="str">
        <f>N_Lists</f>
        <v>Vérifier les listes de joueurs, d'équipes et d'arbitres</v>
      </c>
      <c r="C16" s="1912" t="s">
        <v>946</v>
      </c>
      <c r="D16" s="1905"/>
    </row>
    <row r="17" spans="1:4" ht="16.5" x14ac:dyDescent="0.2">
      <c r="A17" s="1910">
        <v>7</v>
      </c>
      <c r="B17" s="1911" t="str">
        <f>N_Parameter</f>
        <v>Définir les paramètres sportifs de la compétition</v>
      </c>
      <c r="C17" s="1912" t="s">
        <v>943</v>
      </c>
      <c r="D17" s="1905"/>
    </row>
    <row r="18" spans="1:4" ht="17.25" thickBot="1" x14ac:dyDescent="0.25">
      <c r="A18" s="1910">
        <v>8</v>
      </c>
      <c r="B18" s="1911" t="str">
        <f>N_NewEvent</f>
        <v xml:space="preserve">Créer une ou plusieurs épreuves </v>
      </c>
      <c r="C18" s="1915"/>
      <c r="D18" s="1905"/>
    </row>
    <row r="19" spans="1:4" ht="17.25" thickBot="1" x14ac:dyDescent="0.25">
      <c r="A19" s="1910">
        <v>9</v>
      </c>
      <c r="B19" s="1911" t="str">
        <f>N_FillinPlayers</f>
        <v>Renseigner les joueurs après le tirage au sort</v>
      </c>
      <c r="C19" s="414" t="s">
        <v>889</v>
      </c>
      <c r="D19" s="1905"/>
    </row>
    <row r="20" spans="1:4" ht="16.5" x14ac:dyDescent="0.2">
      <c r="A20" s="1910">
        <v>10</v>
      </c>
      <c r="B20" s="1911" t="str">
        <f>N_DrawManage</f>
        <v>Voir ou masquer les feuilles de tirage au sort</v>
      </c>
      <c r="C20" s="1912" t="s">
        <v>7241</v>
      </c>
      <c r="D20" s="1905"/>
    </row>
    <row r="21" spans="1:4" ht="16.5" x14ac:dyDescent="0.2">
      <c r="A21" s="1910">
        <v>11</v>
      </c>
      <c r="B21" s="1911" t="str">
        <f>N_AdaptPlanning</f>
        <v>Adapter le planning puis saisir les résultats directement dans le planning</v>
      </c>
      <c r="C21" s="1912" t="s">
        <v>458</v>
      </c>
      <c r="D21" s="1905"/>
    </row>
    <row r="22" spans="1:4" ht="16.5" x14ac:dyDescent="0.2">
      <c r="A22" s="1910">
        <v>12</v>
      </c>
      <c r="B22" s="1911" t="str">
        <f>N_ManageRefereeList</f>
        <v>Adapter la liste des arbitres à vos besoins</v>
      </c>
      <c r="C22" s="1912" t="s">
        <v>461</v>
      </c>
      <c r="D22" s="1905"/>
    </row>
    <row r="23" spans="1:4" ht="16.5" x14ac:dyDescent="0.2">
      <c r="A23" s="1910">
        <v>13</v>
      </c>
      <c r="B23" s="1911" t="str">
        <f>N_ManageTimeline</f>
        <v>Afficher ou imprimer le planning de chaque joueur</v>
      </c>
      <c r="C23" s="1912" t="s">
        <v>7855</v>
      </c>
      <c r="D23" s="1905"/>
    </row>
    <row r="24" spans="1:4" ht="16.5" x14ac:dyDescent="0.2">
      <c r="A24" s="1910">
        <v>14</v>
      </c>
      <c r="B24" s="1911" t="str">
        <f>N_ManageVenue</f>
        <v>Représente le plan de la salle avec le nom des tables</v>
      </c>
      <c r="C24" s="1912" t="s">
        <v>2837</v>
      </c>
      <c r="D24" s="1905"/>
    </row>
    <row r="25" spans="1:4" ht="16.5" x14ac:dyDescent="0.2">
      <c r="A25" s="1910">
        <v>15</v>
      </c>
      <c r="B25" s="1911" t="str">
        <f>N_ManageStats</f>
        <v>Consulter les statistiques des joueurs</v>
      </c>
      <c r="C25" s="1912" t="s">
        <v>3823</v>
      </c>
      <c r="D25" s="1905"/>
    </row>
    <row r="26" spans="1:4" ht="16.5" x14ac:dyDescent="0.2">
      <c r="A26" s="1910">
        <v>16</v>
      </c>
      <c r="B26" s="1911" t="str">
        <f>N_ManagePodium</f>
        <v>Afficher les podium pour la remise des trophées</v>
      </c>
      <c r="C26" s="1912" t="s">
        <v>9735</v>
      </c>
      <c r="D26" s="1905"/>
    </row>
    <row r="27" spans="1:4" ht="16.5" x14ac:dyDescent="0.2">
      <c r="A27" s="1910">
        <v>17</v>
      </c>
      <c r="B27" s="1911" t="str">
        <f>N_ExportDataToWebSite</f>
        <v>Exporter les données vers le Site Web GMFT</v>
      </c>
      <c r="C27" s="1915"/>
      <c r="D27" s="1905"/>
    </row>
    <row r="28" spans="1:4" ht="16.5" x14ac:dyDescent="0.2">
      <c r="A28" s="1910">
        <v>18</v>
      </c>
      <c r="B28" s="1916" t="str">
        <f>N_Dispatch_Results</f>
        <v>Diffuser les résultats après la compétition</v>
      </c>
      <c r="C28" s="1917"/>
      <c r="D28" s="1905"/>
    </row>
    <row r="29" spans="1:4" ht="13.5" x14ac:dyDescent="0.2">
      <c r="A29" s="1908"/>
      <c r="B29" s="1918" t="str">
        <f>N_Exporting</f>
        <v>En générant les formulaires de résultats officiels de la FISTF</v>
      </c>
      <c r="C29" s="1905"/>
      <c r="D29" s="1905"/>
    </row>
    <row r="30" spans="1:4" ht="13.5" x14ac:dyDescent="0.2">
      <c r="A30" s="1908"/>
      <c r="B30" s="1919" t="str">
        <f>N_Printing</f>
        <v>En imprimant les résultats</v>
      </c>
      <c r="C30" s="1920"/>
      <c r="D30" s="1905"/>
    </row>
    <row r="31" spans="1:4" x14ac:dyDescent="0.2">
      <c r="A31" s="1906"/>
      <c r="B31" s="1921"/>
      <c r="C31" s="1905"/>
      <c r="D31" s="1905"/>
    </row>
    <row r="32" spans="1:4" ht="54" x14ac:dyDescent="0.2">
      <c r="A32" s="1922"/>
      <c r="B32" s="1923" t="str">
        <f>N_FillinFormula</f>
        <v xml:space="preserve">Finaliser la saisie dans les feuilles d'épreuve en renseignant la position des joueurs dans les poules (ou la première des phases finales s'il n'y a pas de poules). En cas de matches dirigés avec une phase de poules, renseigner également les formules pour les matches de la première des phases finales en fonction des tours précédents. Dans le cas de tirages au sort intégral,la saisie des joueurs de chaque rencontre se fait dans les feuilles d'épreuve mais pas dans le planning. </v>
      </c>
      <c r="C32" s="1924"/>
      <c r="D32" s="1905"/>
    </row>
    <row r="33" spans="1:4" ht="40.5" x14ac:dyDescent="0.2">
      <c r="A33" s="1922"/>
      <c r="B33" s="1923" t="str">
        <f>N_Planning</f>
        <v>Aménager le planning en déplaçant les matches sur les différentes session de la journée. Durant la compétition, les arbitres, les tables et les scores sont saisis UNIQUEMENT dans le planning.
Dans le cas des matches d'équipe (ou doubles), les joueurs sont renseignés également dans la feuille "planning".</v>
      </c>
      <c r="C33" s="1924"/>
      <c r="D33" s="1905"/>
    </row>
    <row r="34" spans="1:4" x14ac:dyDescent="0.2">
      <c r="A34" s="1906"/>
      <c r="B34" s="1921"/>
      <c r="C34" s="1905"/>
      <c r="D34" s="1905"/>
    </row>
    <row r="35" spans="1:4" x14ac:dyDescent="0.2">
      <c r="A35" s="1925"/>
      <c r="B35" s="1925"/>
    </row>
  </sheetData>
  <sheetProtection formatColumns="0" formatRows="0" selectLockedCells="1"/>
  <dataConsolidate/>
  <customSheetViews>
    <customSheetView guid="{13F24B0A-7740-483A-BEF7-5257F8522605}" showGridLines="0" zeroValues="0" fitToPage="1">
      <selection activeCell="L11" sqref="L11"/>
      <pageMargins left="0.70866141732283472" right="0.70866141732283472" top="0.74803149606299213" bottom="0.74803149606299213" header="0.31496062992125984" footer="0.31496062992125984"/>
      <pageSetup paperSize="9" scale="88" orientation="landscape" r:id="rId1"/>
    </customSheetView>
  </customSheetViews>
  <mergeCells count="5">
    <mergeCell ref="B1:C1"/>
    <mergeCell ref="B4:C4"/>
    <mergeCell ref="B7:C7"/>
    <mergeCell ref="B5:C5"/>
    <mergeCell ref="B8:C8"/>
  </mergeCells>
  <phoneticPr fontId="61" type="noConversion"/>
  <dataValidations count="1">
    <dataValidation type="list" allowBlank="1" showInputMessage="1" showErrorMessage="1" sqref="C19" xr:uid="{00000000-0002-0000-0200-000000000000}">
      <formula1>OFFSET(EventSheetTable,0,0,NbEvents,1)</formula1>
    </dataValidation>
  </dataValidations>
  <pageMargins left="0.70866141732283472" right="0.70866141732283472" top="0.74803149606299213" bottom="0.74803149606299213" header="0.31496062992125984" footer="0.31496062992125984"/>
  <pageSetup paperSize="9" scale="88" orientation="landscape"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_Parameters">
    <tabColor rgb="FFFFFF00"/>
    <pageSetUpPr fitToPage="1"/>
  </sheetPr>
  <dimension ref="A1:L135"/>
  <sheetViews>
    <sheetView showGridLines="0" topLeftCell="A9" zoomScale="130" zoomScaleNormal="130" workbookViewId="0">
      <selection activeCell="I31" sqref="I31"/>
    </sheetView>
  </sheetViews>
  <sheetFormatPr baseColWidth="10" defaultColWidth="11.42578125" defaultRowHeight="12.75" x14ac:dyDescent="0.2"/>
  <cols>
    <col min="1" max="1" width="3.140625" style="845" customWidth="1"/>
    <col min="2" max="2" width="49.140625" style="845" customWidth="1"/>
    <col min="3" max="3" width="18" style="845" customWidth="1"/>
    <col min="4" max="4" width="13.28515625" style="845" bestFit="1" customWidth="1"/>
    <col min="5" max="5" width="2.42578125" style="845" customWidth="1"/>
    <col min="6" max="6" width="2.7109375" style="845" customWidth="1"/>
    <col min="7" max="7" width="3.42578125" style="845" customWidth="1"/>
    <col min="8" max="8" width="4.140625" style="845" customWidth="1"/>
    <col min="9" max="9" width="61.42578125" style="845" customWidth="1"/>
    <col min="10" max="10" width="16.28515625" style="845" customWidth="1"/>
    <col min="11" max="11" width="5.28515625" style="845" bestFit="1" customWidth="1"/>
    <col min="12" max="12" width="4.7109375" style="845" customWidth="1"/>
    <col min="13" max="16384" width="11.42578125" style="845"/>
  </cols>
  <sheetData>
    <row r="1" spans="1:12" ht="13.5" thickBot="1" x14ac:dyDescent="0.25">
      <c r="A1" s="685"/>
      <c r="B1" s="685"/>
      <c r="C1" s="685"/>
      <c r="D1" s="685"/>
      <c r="E1" s="685"/>
      <c r="F1" s="685"/>
      <c r="G1" s="685"/>
      <c r="H1" s="685"/>
      <c r="I1" s="685"/>
      <c r="J1" s="685"/>
      <c r="K1" s="685"/>
      <c r="L1" s="685"/>
    </row>
    <row r="2" spans="1:12" ht="30.75" thickBot="1" x14ac:dyDescent="0.25">
      <c r="A2" s="1355"/>
      <c r="B2" s="1939" t="str">
        <f>N_Parameter</f>
        <v>Définir les paramètres sportifs de la compétition</v>
      </c>
      <c r="C2" s="1940"/>
      <c r="D2" s="1941"/>
      <c r="E2" s="1941"/>
      <c r="F2" s="1942"/>
      <c r="G2" s="1942"/>
      <c r="H2" s="1942"/>
      <c r="I2" s="1357" t="s">
        <v>1135</v>
      </c>
      <c r="J2" s="2212" t="s">
        <v>18215</v>
      </c>
      <c r="K2" s="1356"/>
      <c r="L2" s="1356"/>
    </row>
    <row r="3" spans="1:12" ht="16.5" thickTop="1" thickBot="1" x14ac:dyDescent="0.25">
      <c r="A3" s="1948"/>
      <c r="B3" s="2084" t="s">
        <v>10735</v>
      </c>
      <c r="C3" s="2050"/>
      <c r="D3" s="2051"/>
      <c r="E3" s="1952"/>
      <c r="F3" s="1953"/>
      <c r="G3" s="685"/>
      <c r="H3" s="685"/>
      <c r="I3" s="1358" t="str">
        <f>N_Language</f>
        <v>Langue</v>
      </c>
      <c r="J3" s="1359" t="s">
        <v>1533</v>
      </c>
      <c r="K3" s="685"/>
      <c r="L3" s="685"/>
    </row>
    <row r="4" spans="1:12" ht="15.75" thickTop="1" thickBot="1" x14ac:dyDescent="0.25">
      <c r="A4" s="1948"/>
      <c r="B4" s="1949"/>
      <c r="C4" s="1950"/>
      <c r="D4" s="1951"/>
      <c r="E4" s="1952"/>
      <c r="F4" s="1953"/>
      <c r="G4" s="1360"/>
      <c r="H4" s="1360"/>
      <c r="I4" s="685"/>
      <c r="J4" s="685"/>
      <c r="K4" s="685"/>
      <c r="L4" s="685"/>
    </row>
    <row r="5" spans="1:12" ht="15.75" thickTop="1" thickBot="1" x14ac:dyDescent="0.25">
      <c r="A5" s="1954"/>
      <c r="B5" s="1943"/>
      <c r="C5" s="1364" t="str">
        <f>N_Points</f>
        <v>Points</v>
      </c>
      <c r="D5" s="1943"/>
      <c r="E5" s="1943"/>
      <c r="F5" s="1955"/>
      <c r="G5" s="1360"/>
      <c r="H5" s="2052"/>
      <c r="I5" s="2071" t="s">
        <v>10736</v>
      </c>
      <c r="J5" s="2070"/>
      <c r="K5" s="2053"/>
      <c r="L5" s="685"/>
    </row>
    <row r="6" spans="1:12" ht="13.5" thickBot="1" x14ac:dyDescent="0.25">
      <c r="A6" s="1965"/>
      <c r="B6" s="1368" t="str">
        <f>N_Win</f>
        <v>Victoire</v>
      </c>
      <c r="C6" s="1369">
        <v>3</v>
      </c>
      <c r="D6" s="1943"/>
      <c r="E6" s="1943"/>
      <c r="F6" s="1956"/>
      <c r="G6" s="1929"/>
      <c r="H6" s="1968"/>
      <c r="I6" s="1969"/>
      <c r="J6" s="1969"/>
      <c r="K6" s="1970"/>
      <c r="L6" s="685"/>
    </row>
    <row r="7" spans="1:12" ht="13.5" thickBot="1" x14ac:dyDescent="0.25">
      <c r="A7" s="1965"/>
      <c r="B7" s="1370" t="str">
        <f>N_Draw</f>
        <v>Nul</v>
      </c>
      <c r="C7" s="1371">
        <v>1</v>
      </c>
      <c r="D7" s="1943"/>
      <c r="E7" s="1944"/>
      <c r="F7" s="1957"/>
      <c r="G7" s="685"/>
      <c r="H7" s="1972"/>
      <c r="I7" s="1283" t="str">
        <f>N_Delay_Group</f>
        <v>Délai entre 2 matches de poule</v>
      </c>
      <c r="J7" s="1343">
        <v>3.4722222222222224E-2</v>
      </c>
      <c r="K7" s="1970"/>
      <c r="L7" s="685"/>
    </row>
    <row r="8" spans="1:12" ht="13.5" thickBot="1" x14ac:dyDescent="0.25">
      <c r="A8" s="1965"/>
      <c r="B8" s="1943"/>
      <c r="C8" s="1943"/>
      <c r="D8" s="1943"/>
      <c r="E8" s="1944"/>
      <c r="F8" s="1957"/>
      <c r="G8" s="685"/>
      <c r="H8" s="1972"/>
      <c r="I8" s="1285" t="str">
        <f>N_Delay_Sel_Match</f>
        <v>Délai entre 2 matches éliminatoires</v>
      </c>
      <c r="J8" s="1344">
        <v>4.5138888888888888E-2</v>
      </c>
      <c r="K8" s="1970"/>
      <c r="L8" s="685"/>
    </row>
    <row r="9" spans="1:12" ht="13.5" thickBot="1" x14ac:dyDescent="0.25">
      <c r="A9" s="1965"/>
      <c r="B9" s="1358" t="str">
        <f>N_MaxGoals</f>
        <v>Nb Buts Max</v>
      </c>
      <c r="C9" s="1348">
        <v>5</v>
      </c>
      <c r="D9" s="1943"/>
      <c r="E9" s="1944"/>
      <c r="F9" s="1957"/>
      <c r="G9" s="685"/>
      <c r="H9" s="1972"/>
      <c r="I9" s="1285" t="str">
        <f>N_Break1</f>
        <v>Pause 1</v>
      </c>
      <c r="J9" s="1344">
        <v>1.0416666666666666E-2</v>
      </c>
      <c r="K9" s="1970"/>
      <c r="L9" s="685"/>
    </row>
    <row r="10" spans="1:12" ht="13.5" thickBot="1" x14ac:dyDescent="0.25">
      <c r="A10" s="1965"/>
      <c r="B10" s="1943"/>
      <c r="C10" s="1943"/>
      <c r="D10" s="1943"/>
      <c r="E10" s="1944"/>
      <c r="F10" s="1957"/>
      <c r="G10" s="685"/>
      <c r="H10" s="1972"/>
      <c r="I10" s="1285" t="str">
        <f>N_Break2</f>
        <v>Pause 2</v>
      </c>
      <c r="J10" s="1344">
        <v>2.0833333333333332E-2</v>
      </c>
      <c r="K10" s="1970"/>
      <c r="L10" s="685"/>
    </row>
    <row r="11" spans="1:12" ht="13.5" thickBot="1" x14ac:dyDescent="0.25">
      <c r="A11" s="1965"/>
      <c r="B11" s="2243" t="str">
        <f>N_calculation_ind_rank</f>
        <v>Calcul Classement individuel</v>
      </c>
      <c r="C11" s="2244"/>
      <c r="D11" s="2245"/>
      <c r="E11" s="1944"/>
      <c r="F11" s="1958"/>
      <c r="G11" s="1930"/>
      <c r="H11" s="1973"/>
      <c r="I11" s="1285" t="str">
        <f>N_Break3</f>
        <v>Pause 3</v>
      </c>
      <c r="J11" s="1344">
        <v>3.125E-2</v>
      </c>
      <c r="K11" s="1970"/>
      <c r="L11" s="685"/>
    </row>
    <row r="12" spans="1:12" ht="13.5" thickBot="1" x14ac:dyDescent="0.25">
      <c r="A12" s="1965"/>
      <c r="B12" s="2246" t="str">
        <f>N_Criteria_before_diff</f>
        <v>Critères avant la différence particulière</v>
      </c>
      <c r="C12" s="2247"/>
      <c r="D12" s="2248"/>
      <c r="E12" s="1944"/>
      <c r="F12" s="1957"/>
      <c r="G12" s="685"/>
      <c r="H12" s="1972"/>
      <c r="I12" s="1284" t="str">
        <f>N_Break4</f>
        <v>Pause 4</v>
      </c>
      <c r="J12" s="1345">
        <v>4.1666666666666664E-2</v>
      </c>
      <c r="K12" s="1970"/>
      <c r="L12" s="685"/>
    </row>
    <row r="13" spans="1:12" ht="13.5" thickBot="1" x14ac:dyDescent="0.25">
      <c r="A13" s="1965"/>
      <c r="B13" s="1361" t="str">
        <f>N_Criteria</f>
        <v>Critère</v>
      </c>
      <c r="C13" s="1362" t="s">
        <v>2024</v>
      </c>
      <c r="D13" s="1363" t="str">
        <f>N_Order</f>
        <v>Ordre</v>
      </c>
      <c r="E13" s="1945" t="s">
        <v>1637</v>
      </c>
      <c r="F13" s="1957"/>
      <c r="G13" s="685"/>
      <c r="H13" s="1972"/>
      <c r="I13" s="1969"/>
      <c r="J13" s="1969"/>
      <c r="K13" s="1970"/>
      <c r="L13" s="685"/>
    </row>
    <row r="14" spans="1:12" ht="26.25" thickBot="1" x14ac:dyDescent="0.25">
      <c r="A14" s="1965"/>
      <c r="B14" s="1365" t="str">
        <f>N_Points</f>
        <v>Points</v>
      </c>
      <c r="C14" s="1366">
        <v>1</v>
      </c>
      <c r="D14" s="1367">
        <v>1</v>
      </c>
      <c r="E14" s="1944">
        <f>IF(D14="",0,POWER(100,RANK(D14,D$14:D$28)-1))</f>
        <v>10000000000</v>
      </c>
      <c r="F14" s="1957"/>
      <c r="G14" s="685"/>
      <c r="H14" s="1972"/>
      <c r="I14" s="1349" t="str">
        <f>N_FISTF_Categories</f>
        <v>Liste des catégories FISTF des joueurs</v>
      </c>
      <c r="J14" s="1349" t="str">
        <f>N_DefaultRefereesCategories</f>
        <v>Catégories d'arbitres exclues</v>
      </c>
      <c r="K14" s="1970"/>
      <c r="L14" s="685"/>
    </row>
    <row r="15" spans="1:12" ht="13.5" thickBot="1" x14ac:dyDescent="0.25">
      <c r="A15" s="1965"/>
      <c r="B15" s="1365" t="str">
        <f>N_Goal_Diff</f>
        <v>Différentiel de buts</v>
      </c>
      <c r="C15" s="1366"/>
      <c r="D15" s="1367"/>
      <c r="E15" s="1944">
        <f>IF(D15="",0,POWER(100,RANK(D15,D$14:D$28)-1))</f>
        <v>0</v>
      </c>
      <c r="F15" s="1958"/>
      <c r="G15" s="1930"/>
      <c r="H15" s="1973"/>
      <c r="I15" s="1352" t="s">
        <v>5299</v>
      </c>
      <c r="J15" s="1353" t="b">
        <v>0</v>
      </c>
      <c r="K15" s="1970"/>
      <c r="L15" s="685"/>
    </row>
    <row r="16" spans="1:12" ht="13.5" thickBot="1" x14ac:dyDescent="0.25">
      <c r="A16" s="1965"/>
      <c r="B16" s="1365" t="str">
        <f>N_Won_Matches</f>
        <v>Matches gagnés</v>
      </c>
      <c r="C16" s="1366"/>
      <c r="D16" s="1367"/>
      <c r="E16" s="1944">
        <f>IF(D16="",0,POWER(100,RANK(D16,D$14:D$28)-1))</f>
        <v>0</v>
      </c>
      <c r="F16" s="1957"/>
      <c r="G16" s="685"/>
      <c r="H16" s="1972"/>
      <c r="I16" s="1352" t="s">
        <v>5300</v>
      </c>
      <c r="J16" s="1353" t="b">
        <v>0</v>
      </c>
      <c r="K16" s="1970"/>
      <c r="L16" s="685"/>
    </row>
    <row r="17" spans="1:12" ht="13.5" thickBot="1" x14ac:dyDescent="0.25">
      <c r="A17" s="1965"/>
      <c r="B17" s="1372" t="str">
        <f>N_Best_Attack</f>
        <v>Meilleure attaque</v>
      </c>
      <c r="C17" s="1373"/>
      <c r="D17" s="1374"/>
      <c r="E17" s="1944">
        <f>IF(D17="",0,POWER(100,RANK(D17,D$14:D$28)-1))</f>
        <v>0</v>
      </c>
      <c r="F17" s="1957"/>
      <c r="G17" s="685"/>
      <c r="H17" s="1972"/>
      <c r="I17" s="1352" t="s">
        <v>13210</v>
      </c>
      <c r="J17" s="1353" t="b">
        <v>0</v>
      </c>
      <c r="K17" s="1970"/>
      <c r="L17" s="685"/>
    </row>
    <row r="18" spans="1:12" ht="13.5" thickBot="1" x14ac:dyDescent="0.25">
      <c r="A18" s="1965"/>
      <c r="B18" s="2240" t="str">
        <f>N_particular_diff</f>
        <v>Différentiel particulier en cas d'égalité sur critères précédents</v>
      </c>
      <c r="C18" s="2241"/>
      <c r="D18" s="2242"/>
      <c r="E18" s="1946"/>
      <c r="F18" s="1957"/>
      <c r="G18" s="685"/>
      <c r="H18" s="1972"/>
      <c r="I18" s="1352" t="s">
        <v>13211</v>
      </c>
      <c r="J18" s="1353" t="b">
        <v>1</v>
      </c>
      <c r="K18" s="1970"/>
      <c r="L18" s="685"/>
    </row>
    <row r="19" spans="1:12" ht="13.5" thickBot="1" x14ac:dyDescent="0.25">
      <c r="A19" s="1965"/>
      <c r="B19" s="1375" t="str">
        <f>N_Particular_Difference</f>
        <v>Résultat match entre ex-aequo</v>
      </c>
      <c r="C19" s="1376">
        <v>2</v>
      </c>
      <c r="D19" s="1377">
        <v>2</v>
      </c>
      <c r="E19" s="1944">
        <f>IF(D19="",0,POWER(100,RANK(D19,D$14:D$28)-1))</f>
        <v>100000000</v>
      </c>
      <c r="F19" s="1957"/>
      <c r="G19" s="685"/>
      <c r="H19" s="1972"/>
      <c r="I19" s="1352" t="str">
        <f>N_U12</f>
        <v>U12</v>
      </c>
      <c r="J19" s="1353" t="b">
        <v>1</v>
      </c>
      <c r="K19" s="1970"/>
      <c r="L19" s="685"/>
    </row>
    <row r="20" spans="1:12" ht="26.25" thickBot="1" x14ac:dyDescent="0.25">
      <c r="A20" s="1965"/>
      <c r="B20" s="1365" t="str">
        <f>N_Particular_Goals</f>
        <v>Différence de buts entre ex-aequo</v>
      </c>
      <c r="C20" s="1366">
        <v>3</v>
      </c>
      <c r="D20" s="1367">
        <v>3</v>
      </c>
      <c r="E20" s="1944">
        <f>IF(D20="",0,POWER(100,RANK(D20,D$14:D$28)-1))</f>
        <v>1000000</v>
      </c>
      <c r="F20" s="1957"/>
      <c r="G20" s="685"/>
      <c r="H20" s="1972"/>
      <c r="I20" s="1349" t="str">
        <f>N_Events</f>
        <v xml:space="preserve">Liste des différentes épreuves de la compétition (noms et couleurs). Laisser vide pour la valeur par défaut. </v>
      </c>
      <c r="J20" s="1349" t="str">
        <f>N_DefaultRefereesCategories</f>
        <v>Catégories d'arbitres exclues</v>
      </c>
      <c r="K20" s="2034" t="b">
        <v>0</v>
      </c>
      <c r="L20" s="685"/>
    </row>
    <row r="21" spans="1:12" ht="13.5" thickBot="1" x14ac:dyDescent="0.25">
      <c r="A21" s="1965"/>
      <c r="B21" s="1365" t="str">
        <f>N_Particular_Attack</f>
        <v>Meilleure attaque entre ex-aequo</v>
      </c>
      <c r="C21" s="1366">
        <v>4</v>
      </c>
      <c r="D21" s="1367">
        <v>4</v>
      </c>
      <c r="E21" s="1944">
        <f>IF(D21="",0,POWER(100,RANK(D21,D$14:D$28)-1))</f>
        <v>10000</v>
      </c>
      <c r="F21" s="1957"/>
      <c r="G21" s="685"/>
      <c r="H21" s="1972"/>
      <c r="I21" s="1620" t="str">
        <f>N_Open</f>
        <v>Open</v>
      </c>
      <c r="J21" s="1353" t="b">
        <v>0</v>
      </c>
      <c r="K21" s="1970"/>
      <c r="L21" s="685"/>
    </row>
    <row r="22" spans="1:12" ht="13.5" thickBot="1" x14ac:dyDescent="0.25">
      <c r="A22" s="1965"/>
      <c r="B22" s="2249" t="str">
        <f>N_Criteria_after_diff</f>
        <v>Critères après égalité sur différence particulière</v>
      </c>
      <c r="C22" s="2241"/>
      <c r="D22" s="2250"/>
      <c r="E22" s="1946"/>
      <c r="F22" s="1957"/>
      <c r="G22" s="685"/>
      <c r="H22" s="1972"/>
      <c r="I22" s="1618" t="str">
        <f>N_Veterans</f>
        <v>Veterans</v>
      </c>
      <c r="J22" s="1353" t="b">
        <v>0</v>
      </c>
      <c r="K22" s="1970"/>
      <c r="L22" s="685"/>
    </row>
    <row r="23" spans="1:12" ht="13.5" thickBot="1" x14ac:dyDescent="0.25">
      <c r="A23" s="1965"/>
      <c r="B23" s="1375" t="str">
        <f>N_Points</f>
        <v>Points</v>
      </c>
      <c r="C23" s="1376"/>
      <c r="D23" s="1377"/>
      <c r="E23" s="1944">
        <f>IF(D23="",0,POWER(100,RANK(D23,D$14:D$28)-1))</f>
        <v>0</v>
      </c>
      <c r="F23" s="1957"/>
      <c r="G23" s="685"/>
      <c r="H23" s="1972"/>
      <c r="I23" s="2215" t="str">
        <f>N_Ladies</f>
        <v>Women</v>
      </c>
      <c r="J23" s="1353" t="b">
        <v>0</v>
      </c>
      <c r="K23" s="1970"/>
      <c r="L23" s="685"/>
    </row>
    <row r="24" spans="1:12" ht="13.5" thickBot="1" x14ac:dyDescent="0.25">
      <c r="A24" s="1965"/>
      <c r="B24" s="1365" t="str">
        <f>N_Goal_Diff</f>
        <v>Différentiel de buts</v>
      </c>
      <c r="C24" s="1366">
        <v>5</v>
      </c>
      <c r="D24" s="1367">
        <v>5</v>
      </c>
      <c r="E24" s="1944">
        <f>IF(D24="",0,POWER(100,RANK(D24,D$14:D$28)-1))</f>
        <v>100</v>
      </c>
      <c r="F24" s="1957"/>
      <c r="G24" s="685"/>
      <c r="H24" s="1972"/>
      <c r="I24" s="1578" t="str">
        <f>N_U20</f>
        <v>U20</v>
      </c>
      <c r="J24" s="1353" t="b">
        <v>0</v>
      </c>
      <c r="K24" s="1970"/>
      <c r="L24" s="685"/>
    </row>
    <row r="25" spans="1:12" ht="13.5" thickBot="1" x14ac:dyDescent="0.25">
      <c r="A25" s="1965"/>
      <c r="B25" s="1365" t="str">
        <f>N_Won_Matches</f>
        <v>Matches gagnés</v>
      </c>
      <c r="C25" s="1366"/>
      <c r="D25" s="1367"/>
      <c r="E25" s="1944">
        <f>IF(D25="",0,POWER(100,RANK(D25,D$14:D$28)-1))</f>
        <v>0</v>
      </c>
      <c r="F25" s="1957"/>
      <c r="G25" s="685"/>
      <c r="H25" s="1972"/>
      <c r="I25" s="1354" t="str">
        <f>N_U16</f>
        <v>U16</v>
      </c>
      <c r="J25" s="1353" t="b">
        <v>1</v>
      </c>
      <c r="K25" s="1970"/>
      <c r="L25" s="685"/>
    </row>
    <row r="26" spans="1:12" ht="13.5" thickBot="1" x14ac:dyDescent="0.25">
      <c r="A26" s="1965"/>
      <c r="B26" s="1378" t="str">
        <f>N_Best_Attack</f>
        <v>Meilleure attaque</v>
      </c>
      <c r="C26" s="1379">
        <v>6</v>
      </c>
      <c r="D26" s="1380">
        <v>6</v>
      </c>
      <c r="E26" s="1944">
        <f>IF(D26="",0,POWER(100,RANK(D26,D$14:D$28)-1))</f>
        <v>1</v>
      </c>
      <c r="F26" s="1957"/>
      <c r="G26" s="685"/>
      <c r="H26" s="1972"/>
      <c r="I26" s="2211" t="str">
        <f>N_U12</f>
        <v>U12</v>
      </c>
      <c r="J26" s="1353" t="b">
        <v>1</v>
      </c>
      <c r="K26" s="1970"/>
      <c r="L26" s="685"/>
    </row>
    <row r="27" spans="1:12" ht="13.5" thickBot="1" x14ac:dyDescent="0.25">
      <c r="A27" s="1965"/>
      <c r="B27" s="2240" t="str">
        <f>N_Criteria_on_WR</f>
        <v>Critère sur le classement des joueurs</v>
      </c>
      <c r="C27" s="2241"/>
      <c r="D27" s="2242"/>
      <c r="E27" s="1944"/>
      <c r="F27" s="1957"/>
      <c r="G27" s="685"/>
      <c r="H27" s="1972"/>
      <c r="I27" s="2575" t="s">
        <v>18217</v>
      </c>
      <c r="J27" s="1353" t="b">
        <v>0</v>
      </c>
      <c r="K27" s="1970"/>
      <c r="L27" s="685"/>
    </row>
    <row r="28" spans="1:12" ht="13.5" thickBot="1" x14ac:dyDescent="0.25">
      <c r="A28" s="1965"/>
      <c r="B28" s="1381" t="str">
        <f>N_NbPointsInRanking</f>
        <v>Nombre de points au classement</v>
      </c>
      <c r="C28" s="1926"/>
      <c r="D28" s="1382"/>
      <c r="E28" s="1944">
        <f>IF(D28="",0,POWER(100,RANK(D28,D$14:D$28)-1))</f>
        <v>0</v>
      </c>
      <c r="F28" s="1957"/>
      <c r="G28" s="685"/>
      <c r="H28" s="1972"/>
      <c r="I28" s="2224" t="s">
        <v>18218</v>
      </c>
      <c r="J28" s="2210" t="b">
        <v>0</v>
      </c>
      <c r="K28" s="1970"/>
      <c r="L28" s="685"/>
    </row>
    <row r="29" spans="1:12" ht="15" thickBot="1" x14ac:dyDescent="0.25">
      <c r="A29" s="1965"/>
      <c r="B29" s="1947"/>
      <c r="C29" s="1947"/>
      <c r="D29" s="1947"/>
      <c r="E29" s="1944"/>
      <c r="F29" s="1957"/>
      <c r="G29" s="685"/>
      <c r="H29" s="1972"/>
      <c r="I29" s="2577" t="s">
        <v>18219</v>
      </c>
      <c r="J29" s="2210" t="b">
        <v>0</v>
      </c>
      <c r="K29" s="1970"/>
      <c r="L29" s="685"/>
    </row>
    <row r="30" spans="1:12" ht="13.5" thickBot="1" x14ac:dyDescent="0.25">
      <c r="A30" s="1965"/>
      <c r="B30" s="2253" t="str">
        <f>N_Calculation_team_rank</f>
        <v>Calcul Classement équipe</v>
      </c>
      <c r="C30" s="2254"/>
      <c r="D30" s="2255"/>
      <c r="E30" s="1944"/>
      <c r="F30" s="1957"/>
      <c r="G30" s="685"/>
      <c r="H30" s="1972"/>
      <c r="I30" s="2579" t="s">
        <v>18220</v>
      </c>
      <c r="J30" s="2210" t="b">
        <v>0</v>
      </c>
      <c r="K30" s="1970"/>
      <c r="L30" s="685"/>
    </row>
    <row r="31" spans="1:12" ht="13.5" thickBot="1" x14ac:dyDescent="0.25">
      <c r="A31" s="1965"/>
      <c r="B31" s="2251" t="str">
        <f>N_Criteria_before_diff</f>
        <v>Critères avant la différence particulière</v>
      </c>
      <c r="C31" s="2247"/>
      <c r="D31" s="2252"/>
      <c r="E31" s="1944"/>
      <c r="F31" s="1957"/>
      <c r="G31" s="685"/>
      <c r="H31" s="1972"/>
      <c r="I31" s="2581" t="s">
        <v>18221</v>
      </c>
      <c r="J31" s="2210" t="b">
        <v>1</v>
      </c>
      <c r="K31" s="1970"/>
      <c r="L31" s="685"/>
    </row>
    <row r="32" spans="1:12" ht="13.5" thickBot="1" x14ac:dyDescent="0.25">
      <c r="A32" s="1965"/>
      <c r="B32" s="1936" t="str">
        <f>N_Criteria</f>
        <v>Critère</v>
      </c>
      <c r="C32" s="1937" t="s">
        <v>2024</v>
      </c>
      <c r="D32" s="1938" t="str">
        <f>N_Order</f>
        <v>Ordre</v>
      </c>
      <c r="E32" s="1945" t="s">
        <v>1637</v>
      </c>
      <c r="F32" s="1959"/>
      <c r="G32" s="1493"/>
      <c r="H32" s="1972"/>
      <c r="I32" s="2581" t="s">
        <v>18221</v>
      </c>
      <c r="J32" s="2210" t="b">
        <v>1</v>
      </c>
      <c r="K32" s="1970"/>
      <c r="L32" s="685"/>
    </row>
    <row r="33" spans="1:12" ht="13.5" thickBot="1" x14ac:dyDescent="0.25">
      <c r="A33" s="1965"/>
      <c r="B33" s="1931" t="str">
        <f>N_Points</f>
        <v>Points</v>
      </c>
      <c r="C33" s="1932">
        <v>1</v>
      </c>
      <c r="D33" s="1933">
        <v>1</v>
      </c>
      <c r="E33" s="1944">
        <f t="shared" ref="E33:E38" si="0">IF(D33="",0,POWER(30,RANK(D33,C$33:C$51)-1))</f>
        <v>19683000000000</v>
      </c>
      <c r="F33" s="1957"/>
      <c r="G33" s="1494"/>
      <c r="H33" s="1972"/>
      <c r="I33" s="2581" t="s">
        <v>18221</v>
      </c>
      <c r="J33" s="1353" t="b">
        <v>1</v>
      </c>
      <c r="K33" s="1970"/>
      <c r="L33" s="685"/>
    </row>
    <row r="34" spans="1:12" ht="13.5" thickBot="1" x14ac:dyDescent="0.25">
      <c r="A34" s="1965"/>
      <c r="B34" s="1365" t="str">
        <f>N_Encounter_Diff</f>
        <v>Différentiel de rencontres</v>
      </c>
      <c r="C34" s="1934"/>
      <c r="D34" s="1367"/>
      <c r="E34" s="1944">
        <f t="shared" si="0"/>
        <v>0</v>
      </c>
      <c r="F34" s="1957"/>
      <c r="G34" s="1494"/>
      <c r="H34" s="1972"/>
      <c r="I34" s="2584" t="s">
        <v>18221</v>
      </c>
      <c r="J34" s="1353" t="b">
        <v>1</v>
      </c>
      <c r="K34" s="1970"/>
      <c r="L34" s="685"/>
    </row>
    <row r="35" spans="1:12" ht="13.5" thickBot="1" x14ac:dyDescent="0.25">
      <c r="A35" s="1965"/>
      <c r="B35" s="1365" t="str">
        <f>N_Match_Diff</f>
        <v>Différentiel de matches individuels</v>
      </c>
      <c r="C35" s="1934"/>
      <c r="D35" s="1367"/>
      <c r="E35" s="1944">
        <f t="shared" si="0"/>
        <v>0</v>
      </c>
      <c r="F35" s="1957"/>
      <c r="G35" s="1494"/>
      <c r="H35" s="1972"/>
      <c r="I35" s="1969"/>
      <c r="J35" s="1969">
        <v>1</v>
      </c>
      <c r="K35" s="1970"/>
      <c r="L35" s="685"/>
    </row>
    <row r="36" spans="1:12" x14ac:dyDescent="0.2">
      <c r="A36" s="1965"/>
      <c r="B36" s="1365" t="str">
        <f>N_Goal_Diff</f>
        <v>Différentiel de buts</v>
      </c>
      <c r="C36" s="1934"/>
      <c r="D36" s="1367"/>
      <c r="E36" s="1944">
        <f t="shared" si="0"/>
        <v>0</v>
      </c>
      <c r="F36" s="1957"/>
      <c r="G36" s="1494"/>
      <c r="H36" s="1972"/>
      <c r="I36" s="1346" t="str">
        <f>N_Equality_Group</f>
        <v>Message d'égalité dans une poule</v>
      </c>
      <c r="J36" s="1969"/>
      <c r="K36" s="1970"/>
      <c r="L36" s="685"/>
    </row>
    <row r="37" spans="1:12" ht="13.5" thickBot="1" x14ac:dyDescent="0.25">
      <c r="A37" s="1965"/>
      <c r="B37" s="1365" t="str">
        <f>N_Won_Matches</f>
        <v>Matches gagnés</v>
      </c>
      <c r="C37" s="1934"/>
      <c r="D37" s="1367"/>
      <c r="E37" s="1944">
        <f t="shared" si="0"/>
        <v>0</v>
      </c>
      <c r="F37" s="1957"/>
      <c r="G37" s="1494"/>
      <c r="H37" s="1974"/>
      <c r="I37" s="1286" t="s">
        <v>17473</v>
      </c>
      <c r="J37" s="1969"/>
      <c r="K37" s="1970"/>
      <c r="L37" s="685"/>
    </row>
    <row r="38" spans="1:12" ht="13.5" thickBot="1" x14ac:dyDescent="0.25">
      <c r="A38" s="1965"/>
      <c r="B38" s="1378" t="str">
        <f>N_Best_Attack</f>
        <v>Meilleure attaque</v>
      </c>
      <c r="C38" s="1935"/>
      <c r="D38" s="1380"/>
      <c r="E38" s="1944">
        <f t="shared" si="0"/>
        <v>0</v>
      </c>
      <c r="F38" s="1957"/>
      <c r="G38" s="1494"/>
      <c r="H38" s="1972"/>
      <c r="I38" s="1347" t="str">
        <f>N_ERROR_Sel_Match</f>
        <v>Message pour une erreur de marque dans un match éliminatoire</v>
      </c>
      <c r="J38" s="1969"/>
      <c r="K38" s="1970"/>
      <c r="L38" s="685"/>
    </row>
    <row r="39" spans="1:12" ht="13.5" thickBot="1" x14ac:dyDescent="0.25">
      <c r="A39" s="1965"/>
      <c r="B39" s="2249" t="str">
        <f>N_particular_diff</f>
        <v>Différentiel particulier en cas d'égalité sur critères précédents</v>
      </c>
      <c r="C39" s="2241"/>
      <c r="D39" s="2250"/>
      <c r="E39" s="1944"/>
      <c r="F39" s="1957"/>
      <c r="G39" s="1494"/>
      <c r="H39" s="1972"/>
      <c r="I39" s="1286" t="s">
        <v>1636</v>
      </c>
      <c r="J39" s="1969"/>
      <c r="K39" s="1970"/>
      <c r="L39" s="685"/>
    </row>
    <row r="40" spans="1:12" ht="13.5" thickBot="1" x14ac:dyDescent="0.25">
      <c r="A40" s="1965"/>
      <c r="B40" s="1931" t="str">
        <f>N_Particular_Difference</f>
        <v>Résultat match entre ex-aequo</v>
      </c>
      <c r="C40" s="1932">
        <v>2</v>
      </c>
      <c r="D40" s="1933">
        <v>2</v>
      </c>
      <c r="E40" s="1944">
        <f>IF(D40="",0,POWER(30,RANK(D40,C$33:C$51)-1))</f>
        <v>656100000000</v>
      </c>
      <c r="F40" s="1957"/>
      <c r="G40" s="1494"/>
      <c r="H40" s="1972"/>
      <c r="I40" s="1969"/>
      <c r="J40" s="1969"/>
      <c r="K40" s="1970"/>
      <c r="L40" s="685"/>
    </row>
    <row r="41" spans="1:12" ht="13.5" thickBot="1" x14ac:dyDescent="0.25">
      <c r="A41" s="1965"/>
      <c r="B41" s="1365" t="str">
        <f>N_Particular_Win_Diff</f>
        <v>Différence de matches individuels entre ex-aequo</v>
      </c>
      <c r="C41" s="1934">
        <v>3</v>
      </c>
      <c r="D41" s="1367">
        <v>3</v>
      </c>
      <c r="E41" s="1944">
        <f>IF(D41="",0,POWER(30,RANK(D41,C$33:C$51)-1))</f>
        <v>21870000000</v>
      </c>
      <c r="F41" s="1957"/>
      <c r="G41" s="1494"/>
      <c r="H41" s="1972"/>
      <c r="I41" s="1350" t="str">
        <f>N_Substitute_Codes</f>
        <v>Codes de match pour les remplaçants</v>
      </c>
      <c r="J41" s="1969"/>
      <c r="K41" s="1970"/>
      <c r="L41" s="685"/>
    </row>
    <row r="42" spans="1:12" x14ac:dyDescent="0.2">
      <c r="A42" s="1965"/>
      <c r="B42" s="1365" t="str">
        <f>N_Particular_More_Wins</f>
        <v>Plus de victoires individuells entre ex-aequo</v>
      </c>
      <c r="C42" s="1934">
        <v>4</v>
      </c>
      <c r="D42" s="1367">
        <v>4</v>
      </c>
      <c r="E42" s="1944">
        <f>IF(D42="",0,POWER(30,RANK(D42,C$33:C$51)-1))</f>
        <v>729000000</v>
      </c>
      <c r="F42" s="1957"/>
      <c r="G42" s="1494"/>
      <c r="H42" s="1972"/>
      <c r="I42" s="1369" t="s">
        <v>554</v>
      </c>
      <c r="J42" s="1969"/>
      <c r="K42" s="1970"/>
      <c r="L42" s="685"/>
    </row>
    <row r="43" spans="1:12" x14ac:dyDescent="0.2">
      <c r="A43" s="1965"/>
      <c r="B43" s="1365" t="str">
        <f>N_Particular_Goals</f>
        <v>Différence de buts entre ex-aequo</v>
      </c>
      <c r="C43" s="1934">
        <v>7</v>
      </c>
      <c r="D43" s="1367">
        <v>7</v>
      </c>
      <c r="E43" s="1944">
        <f>IF(D43="",0,POWER(30,RANK(D43,C$33:C$51)-1))</f>
        <v>27000</v>
      </c>
      <c r="F43" s="1957"/>
      <c r="G43" s="1494"/>
      <c r="H43" s="1972"/>
      <c r="I43" s="1384" t="s">
        <v>2727</v>
      </c>
      <c r="J43" s="1969"/>
      <c r="K43" s="1970"/>
      <c r="L43" s="685"/>
    </row>
    <row r="44" spans="1:12" ht="13.5" thickBot="1" x14ac:dyDescent="0.25">
      <c r="A44" s="1965"/>
      <c r="B44" s="1378" t="str">
        <f>N_Particular_Attack</f>
        <v>Meilleure attaque entre ex-aequo</v>
      </c>
      <c r="C44" s="1935">
        <v>8</v>
      </c>
      <c r="D44" s="1380">
        <v>8</v>
      </c>
      <c r="E44" s="1944">
        <f>IF(D44="",0,POWER(30,RANK(D44,C$33:C$51)-1))</f>
        <v>900</v>
      </c>
      <c r="F44" s="1957"/>
      <c r="G44" s="1494"/>
      <c r="H44" s="1972"/>
      <c r="I44" s="1384" t="s">
        <v>2728</v>
      </c>
      <c r="J44" s="1969"/>
      <c r="K44" s="1970"/>
      <c r="L44" s="685"/>
    </row>
    <row r="45" spans="1:12" ht="13.5" thickBot="1" x14ac:dyDescent="0.25">
      <c r="A45" s="1965"/>
      <c r="B45" s="2249" t="str">
        <f>N_Criteria_after_diff</f>
        <v>Critères après égalité sur différence particulière</v>
      </c>
      <c r="C45" s="2241"/>
      <c r="D45" s="2250"/>
      <c r="E45" s="1944"/>
      <c r="F45" s="1960"/>
      <c r="G45" s="1386"/>
      <c r="H45" s="1972"/>
      <c r="I45" s="1385" t="s">
        <v>2729</v>
      </c>
      <c r="J45" s="1969"/>
      <c r="K45" s="1970"/>
      <c r="L45" s="685"/>
    </row>
    <row r="46" spans="1:12" x14ac:dyDescent="0.2">
      <c r="A46" s="1965"/>
      <c r="B46" s="1931" t="str">
        <f>N_Points</f>
        <v>Points</v>
      </c>
      <c r="C46" s="1932"/>
      <c r="D46" s="1933"/>
      <c r="E46" s="1944">
        <f t="shared" ref="E46:E51" si="1">IF(D46="",0,POWER(30,RANK(D46,C$33:C$51)-1))</f>
        <v>0</v>
      </c>
      <c r="F46" s="1960"/>
      <c r="G46" s="1386"/>
      <c r="H46" s="1972"/>
      <c r="I46" s="1969"/>
      <c r="J46" s="1969"/>
      <c r="K46" s="1970"/>
      <c r="L46" s="685"/>
    </row>
    <row r="47" spans="1:12" ht="13.5" thickBot="1" x14ac:dyDescent="0.25">
      <c r="A47" s="1965"/>
      <c r="B47" s="1365" t="str">
        <f>N_Encounter_Diff</f>
        <v>Différentiel de rencontres</v>
      </c>
      <c r="C47" s="1934"/>
      <c r="D47" s="1367"/>
      <c r="E47" s="1944">
        <f t="shared" si="1"/>
        <v>0</v>
      </c>
      <c r="F47" s="1960"/>
      <c r="G47" s="1386"/>
      <c r="H47" s="1975"/>
      <c r="I47" s="1976"/>
      <c r="J47" s="1976"/>
      <c r="K47" s="1971"/>
      <c r="L47" s="685"/>
    </row>
    <row r="48" spans="1:12" ht="14.25" thickTop="1" thickBot="1" x14ac:dyDescent="0.25">
      <c r="A48" s="1965"/>
      <c r="B48" s="1365" t="str">
        <f>N_Match_Diff</f>
        <v>Différentiel de matches individuels</v>
      </c>
      <c r="C48" s="1934">
        <v>5</v>
      </c>
      <c r="D48" s="1367">
        <v>5</v>
      </c>
      <c r="E48" s="1944">
        <f t="shared" si="1"/>
        <v>24300000</v>
      </c>
      <c r="F48" s="1960"/>
      <c r="G48" s="1386"/>
      <c r="H48" s="1494"/>
      <c r="I48" s="685"/>
      <c r="J48" s="685"/>
      <c r="K48" s="685"/>
      <c r="L48" s="685"/>
    </row>
    <row r="49" spans="1:12" ht="14.25" thickTop="1" thickBot="1" x14ac:dyDescent="0.25">
      <c r="A49" s="1965"/>
      <c r="B49" s="1365" t="str">
        <f>N_Goal_Diff</f>
        <v>Différentiel de buts</v>
      </c>
      <c r="C49" s="1934">
        <v>9</v>
      </c>
      <c r="D49" s="1367">
        <v>9</v>
      </c>
      <c r="E49" s="1944">
        <f t="shared" si="1"/>
        <v>30</v>
      </c>
      <c r="F49" s="1960"/>
      <c r="G49" s="1386"/>
      <c r="H49" s="2054"/>
      <c r="I49" s="2055" t="s">
        <v>10734</v>
      </c>
      <c r="J49" s="2055"/>
      <c r="K49" s="2056"/>
      <c r="L49" s="685"/>
    </row>
    <row r="50" spans="1:12" ht="14.25" thickTop="1" thickBot="1" x14ac:dyDescent="0.25">
      <c r="A50" s="1965"/>
      <c r="B50" s="1365" t="str">
        <f>N_Most_Ind_Match_Wins</f>
        <v>Plus de victoires individuelles</v>
      </c>
      <c r="C50" s="1934">
        <v>6</v>
      </c>
      <c r="D50" s="1367">
        <v>6</v>
      </c>
      <c r="E50" s="1944">
        <f t="shared" si="1"/>
        <v>810000</v>
      </c>
      <c r="F50" s="1960"/>
      <c r="G50" s="1386"/>
      <c r="H50" s="2002"/>
      <c r="I50" s="2003"/>
      <c r="J50" s="2003"/>
      <c r="K50" s="2004"/>
      <c r="L50" s="685"/>
    </row>
    <row r="51" spans="1:12" ht="13.5" thickBot="1" x14ac:dyDescent="0.25">
      <c r="A51" s="1965"/>
      <c r="B51" s="1378" t="str">
        <f>N_Best_Attack</f>
        <v>Meilleure attaque</v>
      </c>
      <c r="C51" s="1935">
        <v>10</v>
      </c>
      <c r="D51" s="1380">
        <v>10</v>
      </c>
      <c r="E51" s="1944">
        <f t="shared" si="1"/>
        <v>1</v>
      </c>
      <c r="F51" s="1960"/>
      <c r="G51" s="1386"/>
      <c r="H51" s="2002"/>
      <c r="I51" s="2029" t="str">
        <f>N_DashboardTemplatePath</f>
        <v xml:space="preserve">Chemin d'accès du template Tableau de Bord </v>
      </c>
      <c r="J51" s="2030"/>
      <c r="K51" s="2004"/>
      <c r="L51" s="685"/>
    </row>
    <row r="52" spans="1:12" ht="15" thickBot="1" x14ac:dyDescent="0.25">
      <c r="A52" s="1965"/>
      <c r="B52" s="1947"/>
      <c r="C52" s="1947"/>
      <c r="D52" s="1947"/>
      <c r="E52" s="1944"/>
      <c r="F52" s="1960"/>
      <c r="G52" s="1386"/>
      <c r="H52" s="2002"/>
      <c r="I52" s="1286" t="s">
        <v>898</v>
      </c>
      <c r="J52" s="2001" t="s">
        <v>10732</v>
      </c>
      <c r="K52" s="2004"/>
      <c r="L52" s="685"/>
    </row>
    <row r="53" spans="1:12" ht="39" thickBot="1" x14ac:dyDescent="0.25">
      <c r="A53" s="1965"/>
      <c r="B53" s="1269" t="str">
        <f>N_NoDrawWithWithdraw</f>
        <v>Dans les phases de poules par équipe, en cas d'égalité en matches gagnés, l'équipe ayant le plus de joueurs forfaits perd le match.</v>
      </c>
      <c r="C53" s="1383" t="b">
        <v>0</v>
      </c>
      <c r="D53" s="1947"/>
      <c r="E53" s="1944"/>
      <c r="F53" s="1960"/>
      <c r="G53" s="1386"/>
      <c r="H53" s="2002"/>
      <c r="I53" s="1286" t="s">
        <v>17469</v>
      </c>
      <c r="J53" s="2000" t="s">
        <v>10733</v>
      </c>
      <c r="K53" s="2004"/>
      <c r="L53" s="685"/>
    </row>
    <row r="54" spans="1:12" ht="15" thickBot="1" x14ac:dyDescent="0.25">
      <c r="A54" s="1964"/>
      <c r="B54" s="1961"/>
      <c r="C54" s="1961"/>
      <c r="D54" s="1961"/>
      <c r="E54" s="1962"/>
      <c r="F54" s="1963"/>
      <c r="G54" s="1386"/>
      <c r="H54" s="2002"/>
      <c r="I54" s="2003"/>
      <c r="J54" s="2003"/>
      <c r="K54" s="2004"/>
      <c r="L54" s="685"/>
    </row>
    <row r="55" spans="1:12" ht="15.75" thickTop="1" thickBot="1" x14ac:dyDescent="0.25">
      <c r="A55" s="685"/>
      <c r="B55" s="685"/>
      <c r="C55" s="685"/>
      <c r="D55" s="1387"/>
      <c r="E55" s="1494"/>
      <c r="F55" s="1386"/>
      <c r="G55" s="1386"/>
      <c r="H55" s="2002"/>
      <c r="I55" s="2015" t="str">
        <f>N_SessionTitle</f>
        <v>Titre de la session</v>
      </c>
      <c r="J55" s="2003"/>
      <c r="K55" s="2004"/>
      <c r="L55" s="685"/>
    </row>
    <row r="56" spans="1:12" ht="14.25" thickTop="1" thickBot="1" x14ac:dyDescent="0.25">
      <c r="A56" s="2067"/>
      <c r="B56" s="2074" t="s">
        <v>10737</v>
      </c>
      <c r="C56" s="2072"/>
      <c r="D56" s="2073"/>
      <c r="E56" s="2068"/>
      <c r="F56" s="2069"/>
      <c r="G56" s="685"/>
      <c r="H56" s="2002"/>
      <c r="I56" s="2016" t="s">
        <v>17472</v>
      </c>
      <c r="J56" s="2003"/>
      <c r="K56" s="2004"/>
      <c r="L56" s="685"/>
    </row>
    <row r="57" spans="1:12" ht="14.25" thickTop="1" thickBot="1" x14ac:dyDescent="0.25">
      <c r="A57" s="1978"/>
      <c r="B57" s="1977"/>
      <c r="C57" s="1977"/>
      <c r="D57" s="1979"/>
      <c r="E57" s="1977"/>
      <c r="F57" s="1980"/>
      <c r="G57" s="685"/>
      <c r="H57" s="2005"/>
      <c r="I57" s="2006"/>
      <c r="J57" s="2006"/>
      <c r="K57" s="2007"/>
      <c r="L57" s="685"/>
    </row>
    <row r="58" spans="1:12" ht="14.25" thickTop="1" thickBot="1" x14ac:dyDescent="0.25">
      <c r="A58" s="1978"/>
      <c r="B58" s="2238" t="str">
        <f>N_CheckingReferees</f>
        <v>Activation des contrôles sur les choix des arbitres dans le planning</v>
      </c>
      <c r="C58" s="2239"/>
      <c r="D58" s="1984" t="s">
        <v>17635</v>
      </c>
      <c r="E58" s="1984"/>
      <c r="F58" s="1985"/>
      <c r="G58" s="685"/>
      <c r="H58" s="685"/>
      <c r="I58" s="685"/>
      <c r="J58" s="685"/>
      <c r="K58" s="685"/>
      <c r="L58" s="685"/>
    </row>
    <row r="59" spans="1:12" ht="14.25" thickTop="1" thickBot="1" x14ac:dyDescent="0.25">
      <c r="A59" s="1978"/>
      <c r="B59" s="911" t="str">
        <f>N_CheckReferee_SameGroup</f>
        <v>Arbitre dans la même Poule qu'un des joueurs</v>
      </c>
      <c r="C59" s="1353" t="b">
        <v>1</v>
      </c>
      <c r="D59" s="1986"/>
      <c r="E59" s="1984"/>
      <c r="F59" s="1985"/>
      <c r="G59" s="685"/>
      <c r="H59" s="2057"/>
      <c r="I59" s="2075" t="s">
        <v>10738</v>
      </c>
      <c r="J59" s="2075"/>
      <c r="K59" s="2058"/>
      <c r="L59" s="685"/>
    </row>
    <row r="60" spans="1:12" ht="14.25" thickTop="1" thickBot="1" x14ac:dyDescent="0.25">
      <c r="A60" s="1978"/>
      <c r="B60" s="911" t="str">
        <f>N_CheckReferee_SameClub</f>
        <v>Arbitre du même Club qu'un des joueurs</v>
      </c>
      <c r="C60" s="1353" t="b">
        <v>1</v>
      </c>
      <c r="D60" s="1986"/>
      <c r="E60" s="1984" t="s">
        <v>17470</v>
      </c>
      <c r="F60" s="1985"/>
      <c r="G60" s="685"/>
      <c r="H60" s="2078"/>
      <c r="I60" s="2079"/>
      <c r="J60" s="2079"/>
      <c r="K60" s="2080"/>
      <c r="L60" s="685"/>
    </row>
    <row r="61" spans="1:12" ht="13.5" thickBot="1" x14ac:dyDescent="0.25">
      <c r="A61" s="1978"/>
      <c r="B61" s="911" t="str">
        <f>N_CheckReferee_SameNat</f>
        <v>Arbitre de même Nationalité qu'un des joueurs</v>
      </c>
      <c r="C61" s="1353" t="b">
        <v>1</v>
      </c>
      <c r="D61" s="1986"/>
      <c r="E61" s="1984" t="s">
        <v>17470</v>
      </c>
      <c r="F61" s="1985"/>
      <c r="G61" s="685"/>
      <c r="H61" s="2022"/>
      <c r="I61" s="2029" t="str">
        <f>N_ExportTypeOfEventToWebSite</f>
        <v>Export vers le site web GMFT des types de compétition suivants</v>
      </c>
      <c r="J61" s="2030"/>
      <c r="K61" s="2023"/>
      <c r="L61" s="685"/>
    </row>
    <row r="62" spans="1:12" ht="13.5" thickBot="1" x14ac:dyDescent="0.25">
      <c r="A62" s="1978"/>
      <c r="B62" s="911" t="str">
        <f>N_CheckReferee_Club_InGroup</f>
        <v>Arbitre du même Club qu'un des joueurs de la poule</v>
      </c>
      <c r="C62" s="1353" t="b">
        <v>1</v>
      </c>
      <c r="D62" s="1986"/>
      <c r="E62" s="1984"/>
      <c r="F62" s="1985"/>
      <c r="G62" s="685"/>
      <c r="H62" s="2022"/>
      <c r="I62" s="1269" t="str">
        <f>N_Individuals</f>
        <v>Individuels</v>
      </c>
      <c r="J62" s="1383" t="b">
        <v>1</v>
      </c>
      <c r="K62" s="2023"/>
      <c r="L62" s="685"/>
    </row>
    <row r="63" spans="1:12" ht="26.25" thickBot="1" x14ac:dyDescent="0.25">
      <c r="A63" s="1978"/>
      <c r="B63" s="911" t="str">
        <f>N_CheckReferee_Nat_InGroup</f>
        <v>Arbitre de même Nationalité qu'un des joueurs de la poule</v>
      </c>
      <c r="C63" s="1353" t="b">
        <v>1</v>
      </c>
      <c r="D63" s="1986"/>
      <c r="E63" s="1984"/>
      <c r="F63" s="1985"/>
      <c r="G63" s="685"/>
      <c r="H63" s="2022"/>
      <c r="I63" s="1269" t="str">
        <f>N_Teams</f>
        <v>Par équipe</v>
      </c>
      <c r="J63" s="1383" t="b">
        <v>0</v>
      </c>
      <c r="K63" s="2023"/>
      <c r="L63" s="685"/>
    </row>
    <row r="64" spans="1:12" ht="26.25" thickBot="1" x14ac:dyDescent="0.25">
      <c r="A64" s="1978"/>
      <c r="B64" s="1977"/>
      <c r="C64" s="1977"/>
      <c r="D64" s="1986"/>
      <c r="E64" s="1984"/>
      <c r="F64" s="1985"/>
      <c r="G64" s="685"/>
      <c r="H64" s="2022"/>
      <c r="I64" s="1349" t="str">
        <f>N_DefaultCompetitorsExportToWebSite</f>
        <v>Dernières cases cochées pour l'export des compétiteurs sur le Site Web GMFT</v>
      </c>
      <c r="J64" s="2028"/>
      <c r="K64" s="2023"/>
      <c r="L64" s="685"/>
    </row>
    <row r="65" spans="1:12" ht="13.5" thickBot="1" x14ac:dyDescent="0.25">
      <c r="A65" s="1978"/>
      <c r="B65" s="1269" t="str">
        <f>N_NbMaxRefereing</f>
        <v>Nombre de matches déjà arbitrés supérieur ou égal à</v>
      </c>
      <c r="C65" s="1348">
        <v>3</v>
      </c>
      <c r="D65" s="1986"/>
      <c r="E65" s="1984"/>
      <c r="F65" s="1985"/>
      <c r="G65" s="685"/>
      <c r="H65" s="2022"/>
      <c r="I65" s="2028"/>
      <c r="J65" s="1383" t="b">
        <v>0</v>
      </c>
      <c r="K65" s="2023"/>
      <c r="L65" s="685"/>
    </row>
    <row r="66" spans="1:12" ht="13.5" thickBot="1" x14ac:dyDescent="0.25">
      <c r="A66" s="1978"/>
      <c r="B66" s="1977"/>
      <c r="C66" s="1977"/>
      <c r="D66" s="1986"/>
      <c r="E66" s="1984"/>
      <c r="F66" s="1985"/>
      <c r="G66" s="685"/>
      <c r="H66" s="2022"/>
      <c r="I66" s="2028"/>
      <c r="J66" s="1383" t="b">
        <v>0</v>
      </c>
      <c r="K66" s="2023"/>
      <c r="L66" s="685"/>
    </row>
    <row r="67" spans="1:12" ht="13.5" thickBot="1" x14ac:dyDescent="0.25">
      <c r="A67" s="1981"/>
      <c r="B67" s="1982"/>
      <c r="C67" s="1983"/>
      <c r="D67" s="1987"/>
      <c r="E67" s="1987"/>
      <c r="F67" s="1988"/>
      <c r="G67" s="685"/>
      <c r="H67" s="2022"/>
      <c r="I67" s="2028"/>
      <c r="J67" s="1383" t="b">
        <v>0</v>
      </c>
      <c r="K67" s="2023"/>
      <c r="L67" s="685"/>
    </row>
    <row r="68" spans="1:12" ht="14.25" thickTop="1" thickBot="1" x14ac:dyDescent="0.25">
      <c r="A68" s="685"/>
      <c r="B68" s="685"/>
      <c r="C68" s="685"/>
      <c r="D68" s="685"/>
      <c r="E68" s="1386"/>
      <c r="F68" s="685"/>
      <c r="G68" s="685"/>
      <c r="H68" s="2022"/>
      <c r="I68" s="2028"/>
      <c r="J68" s="1383" t="b">
        <v>0</v>
      </c>
      <c r="K68" s="2023"/>
      <c r="L68" s="685"/>
    </row>
    <row r="69" spans="1:12" ht="14.25" thickTop="1" thickBot="1" x14ac:dyDescent="0.25">
      <c r="A69" s="2064"/>
      <c r="B69" s="2081" t="s">
        <v>10740</v>
      </c>
      <c r="C69" s="2081"/>
      <c r="D69" s="2081"/>
      <c r="E69" s="2065"/>
      <c r="F69" s="2066"/>
      <c r="G69" s="685"/>
      <c r="H69" s="2022"/>
      <c r="I69" s="2028"/>
      <c r="J69" s="1383" t="b">
        <v>0</v>
      </c>
      <c r="K69" s="2023"/>
      <c r="L69" s="685"/>
    </row>
    <row r="70" spans="1:12" ht="14.25" thickTop="1" thickBot="1" x14ac:dyDescent="0.25">
      <c r="A70" s="2008"/>
      <c r="B70" s="2009"/>
      <c r="C70" s="2009"/>
      <c r="D70" s="1969"/>
      <c r="E70" s="1969"/>
      <c r="F70" s="2010"/>
      <c r="G70" s="685"/>
      <c r="H70" s="2024"/>
      <c r="I70" s="2028"/>
      <c r="J70" s="1383" t="b">
        <v>0</v>
      </c>
      <c r="K70" s="2023"/>
      <c r="L70" s="685"/>
    </row>
    <row r="71" spans="1:12" ht="13.5" thickBot="1" x14ac:dyDescent="0.25">
      <c r="A71" s="2008"/>
      <c r="B71" s="1269" t="str">
        <f>N_PrintVenue</f>
        <v>Impression du plan de la salle ?</v>
      </c>
      <c r="C71" s="1383" t="b">
        <v>0</v>
      </c>
      <c r="D71" s="1969"/>
      <c r="E71" s="1969"/>
      <c r="F71" s="2010"/>
      <c r="G71" s="685"/>
      <c r="H71" s="2024"/>
      <c r="I71" s="2028"/>
      <c r="J71" s="1383" t="b">
        <v>1</v>
      </c>
      <c r="K71" s="2023"/>
      <c r="L71" s="685"/>
    </row>
    <row r="72" spans="1:12" ht="13.5" thickBot="1" x14ac:dyDescent="0.25">
      <c r="A72" s="2008"/>
      <c r="B72" s="1269" t="str">
        <f>N_PrintStats</f>
        <v>Impression des statistiques ?</v>
      </c>
      <c r="C72" s="1383" t="b">
        <v>0</v>
      </c>
      <c r="D72" s="2011"/>
      <c r="E72" s="1969"/>
      <c r="F72" s="2010"/>
      <c r="G72" s="685"/>
      <c r="H72" s="2024"/>
      <c r="I72" s="2028"/>
      <c r="J72" s="1383" t="b">
        <v>1</v>
      </c>
      <c r="K72" s="2023"/>
      <c r="L72" s="685"/>
    </row>
    <row r="73" spans="1:12" ht="13.5" thickBot="1" x14ac:dyDescent="0.25">
      <c r="A73" s="2014"/>
      <c r="B73" s="2012"/>
      <c r="C73" s="2012"/>
      <c r="D73" s="2012"/>
      <c r="E73" s="2012"/>
      <c r="F73" s="2013"/>
      <c r="G73" s="685"/>
      <c r="H73" s="2022"/>
      <c r="I73" s="2028"/>
      <c r="J73" s="1383" t="b">
        <v>1</v>
      </c>
      <c r="K73" s="2023"/>
      <c r="L73" s="685"/>
    </row>
    <row r="74" spans="1:12" ht="14.25" thickTop="1" thickBot="1" x14ac:dyDescent="0.25">
      <c r="A74" s="685"/>
      <c r="B74" s="685"/>
      <c r="C74" s="685"/>
      <c r="D74" s="685"/>
      <c r="E74" s="685"/>
      <c r="F74" s="685"/>
      <c r="G74" s="685"/>
      <c r="H74" s="2022"/>
      <c r="I74" s="2028"/>
      <c r="J74" s="1383" t="b">
        <v>1</v>
      </c>
      <c r="K74" s="2023"/>
      <c r="L74" s="685"/>
    </row>
    <row r="75" spans="1:12" ht="14.25" thickTop="1" thickBot="1" x14ac:dyDescent="0.25">
      <c r="A75" s="1990"/>
      <c r="B75" s="2082" t="s">
        <v>10741</v>
      </c>
      <c r="C75" s="2082"/>
      <c r="D75" s="2082"/>
      <c r="E75" s="1991"/>
      <c r="F75" s="1992"/>
      <c r="G75" s="685"/>
      <c r="H75" s="2024"/>
      <c r="I75" s="2028"/>
      <c r="J75" s="1383" t="b">
        <v>0</v>
      </c>
      <c r="K75" s="2023"/>
      <c r="L75" s="685"/>
    </row>
    <row r="76" spans="1:12" ht="14.25" thickTop="1" thickBot="1" x14ac:dyDescent="0.25">
      <c r="A76" s="1990"/>
      <c r="B76" s="1991"/>
      <c r="C76" s="1991"/>
      <c r="D76" s="1991"/>
      <c r="E76" s="1991"/>
      <c r="F76" s="1992"/>
      <c r="G76" s="685"/>
      <c r="H76" s="2024"/>
      <c r="I76" s="2028"/>
      <c r="J76" s="1383" t="b">
        <v>0</v>
      </c>
      <c r="K76" s="2023"/>
      <c r="L76" s="685"/>
    </row>
    <row r="77" spans="1:12" ht="26.25" thickBot="1" x14ac:dyDescent="0.25">
      <c r="A77" s="1993"/>
      <c r="B77" s="1269" t="str">
        <f>N_LockSheets</f>
        <v>Verrouiller les feuilles pour éviter les erreurs de manipulation</v>
      </c>
      <c r="C77" s="1383" t="b">
        <v>0</v>
      </c>
      <c r="D77" s="1989"/>
      <c r="E77" s="1989"/>
      <c r="F77" s="1994"/>
      <c r="G77" s="685"/>
      <c r="H77" s="2024"/>
      <c r="I77" s="2028"/>
      <c r="J77" s="1383" t="b">
        <v>0</v>
      </c>
      <c r="K77" s="2023"/>
      <c r="L77" s="685"/>
    </row>
    <row r="78" spans="1:12" ht="13.5" thickBot="1" x14ac:dyDescent="0.25">
      <c r="A78" s="1993"/>
      <c r="B78" s="1989"/>
      <c r="C78" s="1989"/>
      <c r="D78" s="1989"/>
      <c r="E78" s="1989"/>
      <c r="F78" s="1994"/>
      <c r="G78" s="1493"/>
      <c r="H78" s="2024"/>
      <c r="I78" s="2028"/>
      <c r="J78" s="1383" t="b">
        <v>0</v>
      </c>
      <c r="K78" s="2023"/>
      <c r="L78" s="685"/>
    </row>
    <row r="79" spans="1:12" ht="26.25" thickBot="1" x14ac:dyDescent="0.25">
      <c r="A79" s="1993"/>
      <c r="B79" s="1269" t="str">
        <f>N_HidePlayerFormulas</f>
        <v>Masquer l'affichage des formules des joueurs en l'absence de scores</v>
      </c>
      <c r="C79" s="1383" t="b">
        <v>1</v>
      </c>
      <c r="D79" s="1989"/>
      <c r="E79" s="1989"/>
      <c r="F79" s="1994"/>
      <c r="G79" s="1493"/>
      <c r="H79" s="2024"/>
      <c r="I79" s="1269" t="str">
        <f>N_ExportPlanning</f>
        <v>Exporter le planning</v>
      </c>
      <c r="J79" s="1383" t="b">
        <v>1</v>
      </c>
      <c r="K79" s="2023"/>
      <c r="L79" s="685"/>
    </row>
    <row r="80" spans="1:12" ht="13.5" thickBot="1" x14ac:dyDescent="0.25">
      <c r="A80" s="1993"/>
      <c r="B80" s="2031"/>
      <c r="C80" s="2031"/>
      <c r="D80" s="1989"/>
      <c r="E80" s="1989"/>
      <c r="F80" s="1994"/>
      <c r="G80" s="1493"/>
      <c r="H80" s="2024"/>
      <c r="I80" s="1269" t="str">
        <f>N_ExportGroups</f>
        <v>Exporter les groupes</v>
      </c>
      <c r="J80" s="1383" t="b">
        <v>1</v>
      </c>
      <c r="K80" s="2023"/>
      <c r="L80" s="685"/>
    </row>
    <row r="81" spans="1:12" ht="26.25" thickBot="1" x14ac:dyDescent="0.25">
      <c r="A81" s="1993"/>
      <c r="B81" s="1351" t="str">
        <f>N_ConditionalFormatLabel</f>
        <v>Format des cellules avec formule modifiables par l'utilisateur</v>
      </c>
      <c r="C81" s="1989"/>
      <c r="D81" s="1989"/>
      <c r="E81" s="1989"/>
      <c r="F81" s="1994"/>
      <c r="G81" s="1493"/>
      <c r="H81" s="2024"/>
      <c r="I81" s="1269" t="s">
        <v>7967</v>
      </c>
      <c r="J81" s="1383" t="b">
        <v>1</v>
      </c>
      <c r="K81" s="2023"/>
      <c r="L81" s="685"/>
    </row>
    <row r="82" spans="1:12" ht="13.5" thickBot="1" x14ac:dyDescent="0.25">
      <c r="A82" s="1993"/>
      <c r="B82" s="2031"/>
      <c r="C82" s="2031"/>
      <c r="D82" s="1989"/>
      <c r="E82" s="1989"/>
      <c r="F82" s="1994"/>
      <c r="G82" s="1493"/>
      <c r="H82" s="2024"/>
      <c r="I82" s="1269" t="s">
        <v>7966</v>
      </c>
      <c r="J82" s="1383" t="b">
        <v>1</v>
      </c>
      <c r="K82" s="2023"/>
      <c r="L82" s="685"/>
    </row>
    <row r="83" spans="1:12" ht="26.25" thickBot="1" x14ac:dyDescent="0.25">
      <c r="A83" s="1993"/>
      <c r="B83" s="1998" t="str">
        <f>N_ModifyingWithDrawLabel</f>
        <v>Label pour signifier un joueur forfait. Conseil : laisser la formule pour profiter du multilinguisme.</v>
      </c>
      <c r="C83" s="1999" t="str">
        <f>N_Withdraw</f>
        <v>[---Forfait---]</v>
      </c>
      <c r="D83" s="1989"/>
      <c r="E83" s="1989"/>
      <c r="F83" s="1994"/>
      <c r="G83" s="685"/>
      <c r="H83" s="2024"/>
      <c r="I83" s="1269" t="str">
        <f>N_ExportMatches</f>
        <v>Exporter le détail des matches</v>
      </c>
      <c r="J83" s="1383" t="b">
        <v>1</v>
      </c>
      <c r="K83" s="2023"/>
      <c r="L83" s="685"/>
    </row>
    <row r="84" spans="1:12" ht="13.5" thickBot="1" x14ac:dyDescent="0.25">
      <c r="A84" s="1993"/>
      <c r="B84" s="2031"/>
      <c r="C84" s="2031"/>
      <c r="D84" s="1989"/>
      <c r="E84" s="1989"/>
      <c r="F84" s="1994"/>
      <c r="G84" s="685"/>
      <c r="H84" s="2024"/>
      <c r="I84" s="2027"/>
      <c r="J84" s="2027"/>
      <c r="K84" s="2023"/>
      <c r="L84" s="685"/>
    </row>
    <row r="85" spans="1:12" ht="39.75" thickTop="1" thickBot="1" x14ac:dyDescent="0.25">
      <c r="A85" s="1993"/>
      <c r="B85" s="1269" t="str">
        <f>N_RankingAsLicenceList</f>
        <v>Utiliser le Classement Mondial des joueurs (feuille Ranking) comme base de données des licenciés (utilisée dans la feuille Checkin comme liste des joueurs).</v>
      </c>
      <c r="C85" s="1383" t="b">
        <v>0</v>
      </c>
      <c r="D85" s="1989"/>
      <c r="E85" s="1989"/>
      <c r="F85" s="1994"/>
      <c r="G85" s="685"/>
      <c r="H85" s="2024"/>
      <c r="I85" s="2032" t="str">
        <f>N_WebSiteExportForm_WebSiteRootPath</f>
        <v>Chemin du répertoire du Site Web GMFT</v>
      </c>
      <c r="J85" s="2032"/>
      <c r="K85" s="2023"/>
      <c r="L85" s="685"/>
    </row>
    <row r="86" spans="1:12" ht="39" thickBot="1" x14ac:dyDescent="0.25">
      <c r="A86" s="1993"/>
      <c r="B86" s="1269" t="str">
        <f>N_Trigram</f>
        <v>Utiliser la nationalité à la place du club pour le trigramme dans le nom du joueur (cas de la Coupe du Monde). Ex. Marcel DUPONT (FRA)</v>
      </c>
      <c r="C86" s="1383" t="b">
        <v>0</v>
      </c>
      <c r="D86" s="1989"/>
      <c r="E86" s="1989"/>
      <c r="F86" s="1994"/>
      <c r="G86" s="1493"/>
      <c r="H86" s="2024"/>
      <c r="I86" s="1286"/>
      <c r="J86" s="2001" t="s">
        <v>10732</v>
      </c>
      <c r="K86" s="2023"/>
      <c r="L86" s="685"/>
    </row>
    <row r="87" spans="1:12" ht="13.5" thickBot="1" x14ac:dyDescent="0.25">
      <c r="A87" s="1995"/>
      <c r="B87" s="1996"/>
      <c r="C87" s="1996"/>
      <c r="D87" s="1996"/>
      <c r="E87" s="1996"/>
      <c r="F87" s="1997"/>
      <c r="G87" s="1493"/>
      <c r="H87" s="2024"/>
      <c r="I87" s="1286" t="s">
        <v>18390</v>
      </c>
      <c r="J87" s="2000" t="s">
        <v>10733</v>
      </c>
      <c r="K87" s="2023"/>
      <c r="L87" s="685"/>
    </row>
    <row r="88" spans="1:12" ht="14.25" thickTop="1" thickBot="1" x14ac:dyDescent="0.25">
      <c r="A88" s="685"/>
      <c r="B88" s="685"/>
      <c r="C88" s="685"/>
      <c r="D88" s="685"/>
      <c r="E88" s="685"/>
      <c r="F88" s="685"/>
      <c r="G88" s="1493"/>
      <c r="H88" s="2024"/>
      <c r="I88" s="1966" t="s">
        <v>9358</v>
      </c>
      <c r="J88" s="1967"/>
      <c r="K88" s="2023"/>
      <c r="L88" s="685"/>
    </row>
    <row r="89" spans="1:12" ht="14.25" thickTop="1" thickBot="1" x14ac:dyDescent="0.25">
      <c r="A89" s="2061"/>
      <c r="B89" s="2083" t="s">
        <v>10742</v>
      </c>
      <c r="C89" s="2083"/>
      <c r="D89" s="2083"/>
      <c r="E89" s="2062"/>
      <c r="F89" s="2063"/>
      <c r="G89" s="685"/>
      <c r="H89" s="2024"/>
      <c r="I89" s="1269" t="str">
        <f>N_GenerateConfigurationFile</f>
        <v>Générer le fichier GMFTData.html</v>
      </c>
      <c r="J89" s="1383" t="b">
        <v>1</v>
      </c>
      <c r="K89" s="2023"/>
      <c r="L89" s="685"/>
    </row>
    <row r="90" spans="1:12" ht="14.25" thickTop="1" thickBot="1" x14ac:dyDescent="0.25">
      <c r="A90" s="2039"/>
      <c r="B90" s="2040"/>
      <c r="C90" s="2040"/>
      <c r="D90" s="2040"/>
      <c r="E90" s="2040"/>
      <c r="F90" s="2041"/>
      <c r="G90" s="685"/>
      <c r="H90" s="2024"/>
      <c r="I90" s="1568" t="s">
        <v>9360</v>
      </c>
      <c r="J90" s="2077"/>
      <c r="K90" s="2023"/>
      <c r="L90" s="685"/>
    </row>
    <row r="91" spans="1:12" ht="13.5" thickBot="1" x14ac:dyDescent="0.25">
      <c r="A91" s="2039"/>
      <c r="B91" s="2038">
        <f ca="1">COUNTA(EventSheetTable)-COUNTBLANK(EventSheetTable)</f>
        <v>3</v>
      </c>
      <c r="C91" s="2040"/>
      <c r="D91" s="2040"/>
      <c r="E91" s="2040"/>
      <c r="F91" s="2041"/>
      <c r="G91" s="685"/>
      <c r="H91" s="2024"/>
      <c r="I91" s="1569" t="s">
        <v>18391</v>
      </c>
      <c r="J91" s="2024"/>
      <c r="K91" s="2023"/>
      <c r="L91" s="685"/>
    </row>
    <row r="92" spans="1:12" ht="13.5" thickBot="1" x14ac:dyDescent="0.25">
      <c r="A92" s="2039"/>
      <c r="B92" s="2035" t="str">
        <f t="array" aca="1" ref="B92:B111" ca="1">EVTSHEETLIST()</f>
        <v>D1_Tr1</v>
      </c>
      <c r="C92" s="2040"/>
      <c r="D92" s="2035" t="str">
        <f t="array" ref="D92:D107">IF(TRANSPOSE(LanguageList)=0,"",TRANSPOSE(LanguageList))</f>
        <v>FR</v>
      </c>
      <c r="E92" s="2040"/>
      <c r="F92" s="2041"/>
      <c r="G92" s="685"/>
      <c r="H92" s="2024"/>
      <c r="I92" s="1570" t="str">
        <f>N_WebEventTitleLabel</f>
        <v>Titre de la compétition</v>
      </c>
      <c r="J92" s="2024"/>
      <c r="K92" s="2023"/>
      <c r="L92" s="685"/>
    </row>
    <row r="93" spans="1:12" ht="13.5" thickBot="1" x14ac:dyDescent="0.25">
      <c r="A93" s="2039"/>
      <c r="B93" s="2036" t="str">
        <f ca="1"/>
        <v>D1_Top8</v>
      </c>
      <c r="C93" s="2040"/>
      <c r="D93" s="2036" t="str">
        <v>EN</v>
      </c>
      <c r="E93" s="2040"/>
      <c r="F93" s="2041"/>
      <c r="G93" s="685"/>
      <c r="H93" s="2024"/>
      <c r="I93" s="2033" t="s">
        <v>18392</v>
      </c>
      <c r="J93" s="2024"/>
      <c r="K93" s="2023"/>
      <c r="L93" s="685"/>
    </row>
    <row r="94" spans="1:12" ht="13.5" thickBot="1" x14ac:dyDescent="0.25">
      <c r="A94" s="2039"/>
      <c r="B94" s="2036" t="str">
        <f ca="1"/>
        <v>D1_Last8</v>
      </c>
      <c r="C94" s="2040"/>
      <c r="D94" s="2036" t="str">
        <v>IT</v>
      </c>
      <c r="E94" s="2040"/>
      <c r="F94" s="2041"/>
      <c r="G94" s="685"/>
      <c r="H94" s="2024"/>
      <c r="I94" s="1570" t="str">
        <f>N_WebEventDescriptionLabel</f>
        <v>Description de la compétition</v>
      </c>
      <c r="J94" s="2024"/>
      <c r="K94" s="2023"/>
      <c r="L94" s="685"/>
    </row>
    <row r="95" spans="1:12" ht="243" thickBot="1" x14ac:dyDescent="0.25">
      <c r="A95" s="2039"/>
      <c r="B95" s="2036" t="str">
        <f ca="1"/>
        <v/>
      </c>
      <c r="C95" s="2040"/>
      <c r="D95" s="2036" t="str">
        <v>SP</v>
      </c>
      <c r="E95" s="2040"/>
      <c r="F95" s="2041"/>
      <c r="G95" s="685"/>
      <c r="H95" s="2024"/>
      <c r="I95" s="2113" t="s">
        <v>17477</v>
      </c>
      <c r="J95" s="2024" t="s">
        <v>2838</v>
      </c>
      <c r="K95" s="2023"/>
      <c r="L95" s="685"/>
    </row>
    <row r="96" spans="1:12" ht="13.5" thickBot="1" x14ac:dyDescent="0.25">
      <c r="A96" s="2039"/>
      <c r="B96" s="2036" t="str">
        <f ca="1"/>
        <v/>
      </c>
      <c r="C96" s="2040"/>
      <c r="D96" s="2036" t="str">
        <v>CAT</v>
      </c>
      <c r="E96" s="2040"/>
      <c r="F96" s="2041"/>
      <c r="G96" s="685"/>
      <c r="H96" s="2025"/>
      <c r="I96" s="2027"/>
      <c r="J96" s="2027"/>
      <c r="K96" s="2026"/>
      <c r="L96" s="685"/>
    </row>
    <row r="97" spans="1:12" ht="13.5" thickTop="1" x14ac:dyDescent="0.2">
      <c r="A97" s="2039"/>
      <c r="B97" s="2036" t="str">
        <f ca="1"/>
        <v/>
      </c>
      <c r="C97" s="2040"/>
      <c r="D97" s="2036" t="str">
        <v/>
      </c>
      <c r="E97" s="2040"/>
      <c r="F97" s="2041"/>
      <c r="G97" s="685"/>
      <c r="H97" s="1493"/>
      <c r="I97" s="1493"/>
      <c r="J97" s="1493"/>
      <c r="K97" s="1494"/>
      <c r="L97" s="685"/>
    </row>
    <row r="98" spans="1:12" ht="13.5" thickBot="1" x14ac:dyDescent="0.25">
      <c r="A98" s="2042"/>
      <c r="B98" s="2036" t="str">
        <f ca="1"/>
        <v/>
      </c>
      <c r="C98" s="2043"/>
      <c r="D98" s="2036" t="str">
        <v/>
      </c>
      <c r="E98" s="2043"/>
      <c r="F98" s="2044"/>
      <c r="G98" s="1493"/>
      <c r="H98" s="1493"/>
      <c r="I98" s="1493"/>
      <c r="J98" s="1493"/>
      <c r="K98" s="1493"/>
      <c r="L98" s="1494"/>
    </row>
    <row r="99" spans="1:12" ht="14.25" thickTop="1" thickBot="1" x14ac:dyDescent="0.25">
      <c r="A99" s="2042"/>
      <c r="B99" s="2036" t="str">
        <f ca="1"/>
        <v/>
      </c>
      <c r="C99" s="2043"/>
      <c r="D99" s="2036" t="str">
        <v/>
      </c>
      <c r="E99" s="2043"/>
      <c r="F99" s="2044"/>
      <c r="G99" s="1493"/>
      <c r="H99" s="2059"/>
      <c r="I99" s="2076" t="s">
        <v>10739</v>
      </c>
      <c r="J99" s="2076"/>
      <c r="K99" s="2060"/>
      <c r="L99" s="1494"/>
    </row>
    <row r="100" spans="1:12" ht="14.25" thickTop="1" thickBot="1" x14ac:dyDescent="0.25">
      <c r="A100" s="2042"/>
      <c r="B100" s="2036" t="str">
        <f ca="1"/>
        <v/>
      </c>
      <c r="C100" s="2043"/>
      <c r="D100" s="2036" t="str">
        <v/>
      </c>
      <c r="E100" s="2043"/>
      <c r="F100" s="2044"/>
      <c r="G100" s="1493"/>
      <c r="H100" s="2017"/>
      <c r="I100" s="2018"/>
      <c r="J100" s="2018"/>
      <c r="K100" s="2019"/>
      <c r="L100" s="1494"/>
    </row>
    <row r="101" spans="1:12" ht="13.5" thickBot="1" x14ac:dyDescent="0.25">
      <c r="A101" s="2042"/>
      <c r="B101" s="2036" t="str">
        <f ca="1"/>
        <v/>
      </c>
      <c r="C101" s="2043"/>
      <c r="D101" s="2036" t="e">
        <v>#N/A</v>
      </c>
      <c r="E101" s="2043"/>
      <c r="F101" s="2044"/>
      <c r="G101" s="1493"/>
      <c r="H101" s="2017"/>
      <c r="I101" s="1350" t="str">
        <f>N_DefaultStartSessionNmber</f>
        <v>Valeur par défaut de la session de départ</v>
      </c>
      <c r="J101" s="1348" t="s">
        <v>17468</v>
      </c>
      <c r="K101" s="2019"/>
      <c r="L101" s="1494"/>
    </row>
    <row r="102" spans="1:12" ht="13.5" thickBot="1" x14ac:dyDescent="0.25">
      <c r="A102" s="2042"/>
      <c r="B102" s="2036" t="str">
        <f ca="1"/>
        <v/>
      </c>
      <c r="C102" s="2040"/>
      <c r="D102" s="2036" t="e">
        <v>#N/A</v>
      </c>
      <c r="E102" s="2043"/>
      <c r="F102" s="2044"/>
      <c r="G102" s="1493"/>
      <c r="H102" s="2017"/>
      <c r="I102" s="1350" t="str">
        <f>N_DefaultNumberOfSessions</f>
        <v>Valeur par défaut du nombre de sessions</v>
      </c>
      <c r="J102" s="1348" t="s">
        <v>17471</v>
      </c>
      <c r="K102" s="2019"/>
      <c r="L102" s="1494"/>
    </row>
    <row r="103" spans="1:12" ht="13.5" thickBot="1" x14ac:dyDescent="0.25">
      <c r="A103" s="2042"/>
      <c r="B103" s="2036" t="str">
        <f ca="1"/>
        <v/>
      </c>
      <c r="C103" s="2040"/>
      <c r="D103" s="2036" t="e">
        <v>#N/A</v>
      </c>
      <c r="E103" s="2043"/>
      <c r="F103" s="2044"/>
      <c r="G103" s="1493"/>
      <c r="H103" s="2017"/>
      <c r="I103" s="2019"/>
      <c r="J103" s="2019"/>
      <c r="K103" s="2019"/>
      <c r="L103" s="1494"/>
    </row>
    <row r="104" spans="1:12" ht="26.25" thickBot="1" x14ac:dyDescent="0.25">
      <c r="A104" s="2042"/>
      <c r="B104" s="2036" t="str">
        <f ca="1"/>
        <v/>
      </c>
      <c r="C104" s="2040"/>
      <c r="D104" s="2036" t="e">
        <v>#N/A</v>
      </c>
      <c r="E104" s="2043"/>
      <c r="F104" s="2044"/>
      <c r="G104" s="1493"/>
      <c r="H104" s="2017"/>
      <c r="I104" s="1350" t="str">
        <f>N_DefaultExportIndMAtches</f>
        <v>Valeur par défaut de l'indicateur d'export des matches individuels pour les résultats par équipe</v>
      </c>
      <c r="J104" s="1383" t="b">
        <v>1</v>
      </c>
      <c r="K104" s="2019"/>
      <c r="L104" s="1494"/>
    </row>
    <row r="105" spans="1:12" ht="13.5" thickBot="1" x14ac:dyDescent="0.25">
      <c r="A105" s="2042"/>
      <c r="B105" s="2036" t="str">
        <f ca="1"/>
        <v/>
      </c>
      <c r="C105" s="2040"/>
      <c r="D105" s="2036" t="e">
        <v>#N/A</v>
      </c>
      <c r="E105" s="2043"/>
      <c r="F105" s="2044"/>
      <c r="G105" s="1493"/>
      <c r="H105" s="2021"/>
      <c r="I105" s="2020"/>
      <c r="J105" s="2020"/>
      <c r="K105" s="2020"/>
      <c r="L105" s="1494"/>
    </row>
    <row r="106" spans="1:12" ht="13.5" thickTop="1" x14ac:dyDescent="0.2">
      <c r="A106" s="2042"/>
      <c r="B106" s="2036" t="str">
        <f ca="1"/>
        <v/>
      </c>
      <c r="C106" s="2040"/>
      <c r="D106" s="2036" t="e">
        <v>#N/A</v>
      </c>
      <c r="E106" s="2043"/>
      <c r="F106" s="2044"/>
      <c r="G106" s="1493"/>
      <c r="H106" s="1493"/>
      <c r="I106" s="1493"/>
      <c r="J106" s="1493"/>
      <c r="K106" s="1493"/>
      <c r="L106" s="1494"/>
    </row>
    <row r="107" spans="1:12" ht="13.5" thickBot="1" x14ac:dyDescent="0.25">
      <c r="A107" s="2042"/>
      <c r="B107" s="2036" t="str">
        <f ca="1"/>
        <v/>
      </c>
      <c r="C107" s="2040"/>
      <c r="D107" s="2037" t="e">
        <v>#N/A</v>
      </c>
      <c r="E107" s="2043"/>
      <c r="F107" s="2044"/>
      <c r="G107" s="1493"/>
      <c r="H107" s="1493"/>
      <c r="I107" s="1493"/>
      <c r="J107" s="1493"/>
      <c r="K107" s="1493"/>
      <c r="L107" s="1494"/>
    </row>
    <row r="108" spans="1:12" ht="14.25" thickTop="1" thickBot="1" x14ac:dyDescent="0.25">
      <c r="A108" s="2042"/>
      <c r="B108" s="2036" t="str">
        <f ca="1"/>
        <v/>
      </c>
      <c r="C108" s="2040"/>
      <c r="D108" s="2043"/>
      <c r="E108" s="2043"/>
      <c r="F108" s="2044"/>
      <c r="G108" s="1493"/>
      <c r="H108" s="2114"/>
      <c r="I108" s="2115" t="s">
        <v>11451</v>
      </c>
      <c r="J108" s="2115"/>
      <c r="K108" s="2116"/>
      <c r="L108" s="1494"/>
    </row>
    <row r="109" spans="1:12" ht="14.25" thickTop="1" thickBot="1" x14ac:dyDescent="0.25">
      <c r="A109" s="2042"/>
      <c r="B109" s="2036" t="str">
        <f ca="1"/>
        <v/>
      </c>
      <c r="C109" s="2040"/>
      <c r="D109" s="2035">
        <v>2911458092144</v>
      </c>
      <c r="E109" s="2043"/>
      <c r="F109" s="2044"/>
      <c r="G109" s="1493"/>
      <c r="H109" s="2117"/>
      <c r="I109" s="2118"/>
      <c r="J109" s="2118"/>
      <c r="K109" s="2119"/>
      <c r="L109" s="1494"/>
    </row>
    <row r="110" spans="1:12" ht="13.5" thickBot="1" x14ac:dyDescent="0.25">
      <c r="A110" s="2042"/>
      <c r="B110" s="2036" t="str">
        <f ca="1"/>
        <v/>
      </c>
      <c r="C110" s="2040"/>
      <c r="D110" s="2037" t="b">
        <v>1</v>
      </c>
      <c r="E110" s="2043"/>
      <c r="F110" s="2044"/>
      <c r="G110" s="1493"/>
      <c r="H110" s="2120"/>
      <c r="I110" s="2029" t="str">
        <f>N_ExportTypeOfEventToWebSite</f>
        <v>Export vers le site web GMFT des types de compétition suivants</v>
      </c>
      <c r="J110" s="2030"/>
      <c r="K110" s="2125"/>
      <c r="L110" s="1493"/>
    </row>
    <row r="111" spans="1:12" ht="13.5" thickBot="1" x14ac:dyDescent="0.25">
      <c r="A111" s="2042"/>
      <c r="B111" s="2037" t="str">
        <f ca="1"/>
        <v/>
      </c>
      <c r="C111" s="2040"/>
      <c r="D111" s="2043"/>
      <c r="E111" s="2043"/>
      <c r="F111" s="2044"/>
      <c r="G111" s="1493"/>
      <c r="H111" s="2120"/>
      <c r="I111" s="1269" t="str">
        <f>N_Individuals</f>
        <v>Individuels</v>
      </c>
      <c r="J111" s="1383" t="b">
        <v>1</v>
      </c>
      <c r="K111" s="2125"/>
      <c r="L111" s="1493"/>
    </row>
    <row r="112" spans="1:12" ht="13.5" thickBot="1" x14ac:dyDescent="0.25">
      <c r="A112" s="2045"/>
      <c r="B112" s="2046"/>
      <c r="C112" s="2047"/>
      <c r="D112" s="2048"/>
      <c r="E112" s="2048"/>
      <c r="F112" s="2049"/>
      <c r="G112" s="1493"/>
      <c r="H112" s="2120"/>
      <c r="I112" s="1269" t="str">
        <f>N_Teams</f>
        <v>Par équipe</v>
      </c>
      <c r="J112" s="1383" t="b">
        <v>1</v>
      </c>
      <c r="K112" s="2125"/>
      <c r="L112" s="1493"/>
    </row>
    <row r="113" spans="1:12" ht="27" thickTop="1" thickBot="1" x14ac:dyDescent="0.25">
      <c r="A113" s="1493"/>
      <c r="B113" s="1493"/>
      <c r="C113" s="1494"/>
      <c r="D113" s="1493"/>
      <c r="E113" s="1493"/>
      <c r="F113" s="1493"/>
      <c r="G113" s="1493"/>
      <c r="H113" s="2120"/>
      <c r="I113" s="1349" t="str">
        <f>N_DefaultCompetitorsExportToWebSite</f>
        <v>Dernières cases cochées pour l'export des compétiteurs sur le Site Web GMFT</v>
      </c>
      <c r="J113" s="2126"/>
      <c r="K113" s="2125"/>
      <c r="L113" s="1493"/>
    </row>
    <row r="114" spans="1:12" ht="13.5" thickBot="1" x14ac:dyDescent="0.25">
      <c r="A114" s="1493"/>
      <c r="B114" s="1493"/>
      <c r="C114" s="1494"/>
      <c r="D114" s="1493"/>
      <c r="E114" s="1493"/>
      <c r="F114" s="1493"/>
      <c r="G114" s="1493"/>
      <c r="H114" s="2120"/>
      <c r="I114" s="2126"/>
      <c r="J114" s="2214" t="b">
        <v>1</v>
      </c>
      <c r="K114" s="2125"/>
      <c r="L114" s="1493"/>
    </row>
    <row r="115" spans="1:12" ht="13.5" thickBot="1" x14ac:dyDescent="0.25">
      <c r="A115" s="1493"/>
      <c r="B115" s="1493"/>
      <c r="C115" s="1494"/>
      <c r="D115" s="1493"/>
      <c r="E115" s="1493"/>
      <c r="F115" s="1493"/>
      <c r="G115" s="1493"/>
      <c r="H115" s="2120"/>
      <c r="I115" s="2126"/>
      <c r="J115" s="2214" t="b">
        <v>1</v>
      </c>
      <c r="K115" s="2125"/>
      <c r="L115" s="1493"/>
    </row>
    <row r="116" spans="1:12" ht="13.5" thickBot="1" x14ac:dyDescent="0.25">
      <c r="A116" s="1493"/>
      <c r="B116" s="1493"/>
      <c r="C116" s="1494"/>
      <c r="D116" s="1493"/>
      <c r="E116" s="1493"/>
      <c r="F116" s="1493"/>
      <c r="G116" s="1493"/>
      <c r="H116" s="2120"/>
      <c r="I116" s="2126"/>
      <c r="J116" s="2214" t="b">
        <v>1</v>
      </c>
      <c r="K116" s="2125"/>
      <c r="L116" s="1493"/>
    </row>
    <row r="117" spans="1:12" ht="13.5" thickBot="1" x14ac:dyDescent="0.25">
      <c r="A117" s="1493"/>
      <c r="B117" s="1493"/>
      <c r="C117" s="1494"/>
      <c r="D117" s="1493"/>
      <c r="E117" s="1493"/>
      <c r="F117" s="1493"/>
      <c r="G117" s="1493"/>
      <c r="H117" s="2120"/>
      <c r="I117" s="2126"/>
      <c r="J117" s="2214" t="b">
        <v>1</v>
      </c>
      <c r="K117" s="2125"/>
      <c r="L117" s="1493"/>
    </row>
    <row r="118" spans="1:12" ht="13.5" thickBot="1" x14ac:dyDescent="0.25">
      <c r="A118" s="1493"/>
      <c r="B118" s="1493"/>
      <c r="C118" s="1493"/>
      <c r="D118" s="1493"/>
      <c r="E118" s="1493"/>
      <c r="F118" s="1493"/>
      <c r="G118" s="1493"/>
      <c r="H118" s="2120"/>
      <c r="I118" s="2126"/>
      <c r="J118" s="2214" t="b">
        <v>1</v>
      </c>
      <c r="K118" s="2125"/>
      <c r="L118" s="1493"/>
    </row>
    <row r="119" spans="1:12" ht="13.5" thickBot="1" x14ac:dyDescent="0.25">
      <c r="A119" s="1493"/>
      <c r="B119" s="1493"/>
      <c r="C119" s="1493"/>
      <c r="D119" s="1493"/>
      <c r="E119" s="1493"/>
      <c r="F119" s="1493"/>
      <c r="G119" s="1493"/>
      <c r="H119" s="2121"/>
      <c r="I119" s="2126"/>
      <c r="J119" s="2214" t="b">
        <v>1</v>
      </c>
      <c r="K119" s="2125"/>
      <c r="L119" s="1493"/>
    </row>
    <row r="120" spans="1:12" ht="13.5" thickBot="1" x14ac:dyDescent="0.25">
      <c r="A120" s="1493"/>
      <c r="B120" s="1493"/>
      <c r="C120" s="1493"/>
      <c r="D120" s="1493"/>
      <c r="E120" s="1493"/>
      <c r="F120" s="1493"/>
      <c r="G120" s="1493"/>
      <c r="H120" s="2121"/>
      <c r="I120" s="2126"/>
      <c r="J120" s="2214" t="b">
        <v>1</v>
      </c>
      <c r="K120" s="2125"/>
      <c r="L120" s="1493"/>
    </row>
    <row r="121" spans="1:12" ht="13.5" thickBot="1" x14ac:dyDescent="0.25">
      <c r="A121" s="1493"/>
      <c r="B121" s="1493"/>
      <c r="C121" s="1493"/>
      <c r="D121" s="1493"/>
      <c r="E121" s="1493"/>
      <c r="F121" s="1493"/>
      <c r="G121" s="1493"/>
      <c r="H121" s="2121"/>
      <c r="I121" s="2126"/>
      <c r="J121" s="2214" t="b">
        <v>1</v>
      </c>
      <c r="K121" s="2125"/>
      <c r="L121" s="1493"/>
    </row>
    <row r="122" spans="1:12" ht="13.5" thickBot="1" x14ac:dyDescent="0.25">
      <c r="A122" s="1493"/>
      <c r="B122" s="1493"/>
      <c r="C122" s="1494"/>
      <c r="D122" s="1493"/>
      <c r="E122" s="1493"/>
      <c r="F122" s="1493"/>
      <c r="G122" s="1493"/>
      <c r="H122" s="2120"/>
      <c r="I122" s="2126"/>
      <c r="J122" s="2214" t="b">
        <v>1</v>
      </c>
      <c r="K122" s="2125"/>
      <c r="L122" s="1493"/>
    </row>
    <row r="123" spans="1:12" ht="13.5" thickBot="1" x14ac:dyDescent="0.25">
      <c r="A123" s="1493"/>
      <c r="B123" s="1493"/>
      <c r="C123" s="1493"/>
      <c r="D123" s="1493"/>
      <c r="E123" s="1493"/>
      <c r="F123" s="1493"/>
      <c r="G123" s="1493"/>
      <c r="H123" s="2120"/>
      <c r="I123" s="2126"/>
      <c r="J123" s="2214" t="b">
        <v>1</v>
      </c>
      <c r="K123" s="2125"/>
      <c r="L123" s="1493"/>
    </row>
    <row r="124" spans="1:12" ht="13.5" thickBot="1" x14ac:dyDescent="0.25">
      <c r="A124" s="1493"/>
      <c r="B124" s="1493"/>
      <c r="C124" s="1493"/>
      <c r="D124" s="1493"/>
      <c r="E124" s="1493"/>
      <c r="F124" s="1493"/>
      <c r="G124" s="1493"/>
      <c r="H124" s="2121"/>
      <c r="I124" s="2126"/>
      <c r="J124" s="2214" t="b">
        <v>1</v>
      </c>
      <c r="K124" s="2125"/>
      <c r="L124" s="1493"/>
    </row>
    <row r="125" spans="1:12" ht="13.5" thickBot="1" x14ac:dyDescent="0.25">
      <c r="A125" s="1493"/>
      <c r="B125" s="1493"/>
      <c r="C125" s="1493"/>
      <c r="D125" s="1493"/>
      <c r="E125" s="1493"/>
      <c r="F125" s="1493"/>
      <c r="G125" s="1493"/>
      <c r="H125" s="2121"/>
      <c r="I125" s="2126"/>
      <c r="J125" s="2214" t="b">
        <v>1</v>
      </c>
      <c r="K125" s="2125"/>
      <c r="L125" s="1493"/>
    </row>
    <row r="126" spans="1:12" ht="13.5" thickBot="1" x14ac:dyDescent="0.25">
      <c r="A126" s="1493"/>
      <c r="B126" s="1493"/>
      <c r="C126" s="1493"/>
      <c r="D126" s="1493"/>
      <c r="E126" s="1493"/>
      <c r="F126" s="1493"/>
      <c r="G126" s="1493"/>
      <c r="H126" s="2121"/>
      <c r="I126" s="2126"/>
      <c r="J126" s="2214" t="b">
        <v>1</v>
      </c>
      <c r="K126" s="2125"/>
      <c r="L126" s="1493"/>
    </row>
    <row r="127" spans="1:12" ht="13.5" thickBot="1" x14ac:dyDescent="0.25">
      <c r="A127" s="1493"/>
      <c r="B127" s="1493"/>
      <c r="C127" s="1493"/>
      <c r="D127" s="1493"/>
      <c r="E127" s="1493"/>
      <c r="F127" s="1493"/>
      <c r="G127" s="1493"/>
      <c r="H127" s="2121"/>
      <c r="I127" s="2126"/>
      <c r="J127" s="2214" t="b">
        <v>1</v>
      </c>
      <c r="K127" s="2125"/>
      <c r="L127" s="1493"/>
    </row>
    <row r="128" spans="1:12" ht="13.5" thickBot="1" x14ac:dyDescent="0.25">
      <c r="A128" s="1493"/>
      <c r="B128" s="1493"/>
      <c r="C128" s="1493"/>
      <c r="D128" s="1493"/>
      <c r="E128" s="1493"/>
      <c r="F128" s="1493"/>
      <c r="G128" s="1493"/>
      <c r="H128" s="2121"/>
      <c r="I128" s="2123"/>
      <c r="J128" s="2123" t="b">
        <v>0</v>
      </c>
      <c r="K128" s="2125"/>
      <c r="L128" s="1493"/>
    </row>
    <row r="129" spans="1:12" ht="13.5" thickTop="1" x14ac:dyDescent="0.2">
      <c r="A129" s="1493"/>
      <c r="B129" s="1493"/>
      <c r="C129" s="1493"/>
      <c r="D129" s="1493"/>
      <c r="E129" s="1493"/>
      <c r="F129" s="1493"/>
      <c r="G129" s="1493"/>
      <c r="H129" s="2121"/>
      <c r="I129" s="2032" t="str">
        <f>N_WebSiteExportForm_WebSiteRootPath</f>
        <v>Chemin du répertoire du Site Web GMFT</v>
      </c>
      <c r="J129" s="2032"/>
      <c r="K129" s="2125"/>
      <c r="L129" s="1493"/>
    </row>
    <row r="130" spans="1:12" ht="13.5" thickBot="1" x14ac:dyDescent="0.25">
      <c r="A130" s="1493"/>
      <c r="B130" s="1493"/>
      <c r="C130" s="1493"/>
      <c r="D130" s="1493"/>
      <c r="E130" s="1493"/>
      <c r="F130" s="1493"/>
      <c r="G130" s="1493"/>
      <c r="H130" s="2121"/>
      <c r="I130" s="1286"/>
      <c r="J130" s="2001" t="s">
        <v>10732</v>
      </c>
      <c r="K130" s="2125"/>
      <c r="L130" s="1493"/>
    </row>
    <row r="131" spans="1:12" ht="13.5" thickBot="1" x14ac:dyDescent="0.25">
      <c r="A131" s="1493"/>
      <c r="B131" s="1493"/>
      <c r="C131" s="1493"/>
      <c r="D131" s="1493"/>
      <c r="E131" s="1493"/>
      <c r="F131" s="1493"/>
      <c r="G131" s="1493"/>
      <c r="H131" s="2121"/>
      <c r="I131" s="1286" t="s">
        <v>17476</v>
      </c>
      <c r="J131" s="2000" t="s">
        <v>10733</v>
      </c>
      <c r="K131" s="2125"/>
      <c r="L131" s="1493"/>
    </row>
    <row r="132" spans="1:12" ht="13.5" thickBot="1" x14ac:dyDescent="0.25">
      <c r="A132" s="1493"/>
      <c r="B132" s="1493"/>
      <c r="C132" s="1493"/>
      <c r="D132" s="1493"/>
      <c r="E132" s="1493"/>
      <c r="F132" s="1493"/>
      <c r="G132" s="1493"/>
      <c r="H132" s="2121"/>
      <c r="I132" s="2127" t="s">
        <v>11452</v>
      </c>
      <c r="J132" s="2126"/>
      <c r="K132" s="2125"/>
      <c r="L132" s="1493"/>
    </row>
    <row r="133" spans="1:12" ht="13.5" thickBot="1" x14ac:dyDescent="0.25">
      <c r="A133" s="1493"/>
      <c r="B133" s="1493"/>
      <c r="C133" s="1493"/>
      <c r="D133" s="1493"/>
      <c r="E133" s="1493"/>
      <c r="F133" s="1493"/>
      <c r="G133" s="1493"/>
      <c r="H133" s="2121"/>
      <c r="I133" s="1569" t="s">
        <v>17061</v>
      </c>
      <c r="J133" s="2126"/>
      <c r="K133" s="2125"/>
      <c r="L133" s="1493"/>
    </row>
    <row r="134" spans="1:12" ht="13.5" thickBot="1" x14ac:dyDescent="0.25">
      <c r="A134" s="1493"/>
      <c r="B134" s="1493"/>
      <c r="C134" s="1493"/>
      <c r="D134" s="1493"/>
      <c r="E134" s="1493"/>
      <c r="F134" s="1493"/>
      <c r="G134" s="1493"/>
      <c r="H134" s="2122"/>
      <c r="I134" s="2123"/>
      <c r="J134" s="2123"/>
      <c r="K134" s="2124"/>
      <c r="L134" s="1493"/>
    </row>
    <row r="135" spans="1:12" ht="13.5" thickTop="1" x14ac:dyDescent="0.2">
      <c r="A135" s="1493"/>
      <c r="B135" s="1493"/>
      <c r="C135" s="1493"/>
      <c r="D135" s="1493"/>
      <c r="E135" s="1493"/>
      <c r="F135" s="1493"/>
      <c r="G135" s="1493"/>
      <c r="H135" s="1493"/>
      <c r="I135" s="1493"/>
      <c r="J135" s="1493"/>
      <c r="K135" s="1493"/>
      <c r="L135" s="1493"/>
    </row>
  </sheetData>
  <sheetProtection formatColumns="0" formatRows="0"/>
  <dataConsolidate/>
  <customSheetViews>
    <customSheetView guid="{13F24B0A-7740-483A-BEF7-5257F8522605}" showGridLines="0" fitToPage="1" state="hidden">
      <selection activeCell="I106" sqref="I106"/>
      <pageMargins left="0.78740157480314965" right="0.78740157480314965" top="0.98425196850393704" bottom="0.98425196850393704" header="0.51181102362204722" footer="0.51181102362204722"/>
      <pageSetup paperSize="9" scale="25" orientation="landscape" r:id="rId1"/>
      <headerFooter alignWithMargins="0"/>
    </customSheetView>
  </customSheetViews>
  <mergeCells count="10">
    <mergeCell ref="B58:C58"/>
    <mergeCell ref="B27:D27"/>
    <mergeCell ref="B11:D11"/>
    <mergeCell ref="B12:D12"/>
    <mergeCell ref="B22:D22"/>
    <mergeCell ref="B31:D31"/>
    <mergeCell ref="B30:D30"/>
    <mergeCell ref="B39:D39"/>
    <mergeCell ref="B45:D45"/>
    <mergeCell ref="B18:D18"/>
  </mergeCells>
  <phoneticPr fontId="0" type="noConversion"/>
  <conditionalFormatting sqref="B71:B72 B85:B86 B58:C58 I101:I102 I104 I41 B59:B63 I38 I36 I7:I12 C5 B11:D11 B13:D13 B30 B53 B83 I20:J20 B65 I14:J14 I62:I64 I79:I83 I88:J88 I2:I3 B77 B79 I89:I90 I92 I94 I55 B32:D32 I51:J51 I61:J61 I85:J85 I111:I113 I110:J110">
    <cfRule type="expression" dxfId="116" priority="101" stopIfTrue="1">
      <formula>TRUE</formula>
    </cfRule>
  </conditionalFormatting>
  <conditionalFormatting sqref="B45 B12:D12 B18:D18 B22:D22 B39 B31 B27:D27">
    <cfRule type="expression" dxfId="115" priority="103" stopIfTrue="1">
      <formula>TRUE</formula>
    </cfRule>
  </conditionalFormatting>
  <conditionalFormatting sqref="B59:B63 B6:B7 B14:C17 B23:C26 B28:C28 B19:C21 B9 B33:C38 B40:C44 B46:C51">
    <cfRule type="expression" dxfId="114" priority="104" stopIfTrue="1">
      <formula>TRUE</formula>
    </cfRule>
  </conditionalFormatting>
  <conditionalFormatting sqref="J2:J3">
    <cfRule type="expression" dxfId="113" priority="106" stopIfTrue="1">
      <formula>TRUE</formula>
    </cfRule>
  </conditionalFormatting>
  <conditionalFormatting sqref="C83 J9:J12">
    <cfRule type="expression" dxfId="112" priority="75" stopIfTrue="1">
      <formula>TRUE</formula>
    </cfRule>
  </conditionalFormatting>
  <conditionalFormatting sqref="C83 B81 I91 I93 I95">
    <cfRule type="expression" dxfId="111" priority="48" stopIfTrue="1">
      <formula>ISFORMULAGMFT(B81)</formula>
    </cfRule>
  </conditionalFormatting>
  <conditionalFormatting sqref="I129">
    <cfRule type="expression" dxfId="110" priority="7" stopIfTrue="1">
      <formula>TRUE</formula>
    </cfRule>
  </conditionalFormatting>
  <conditionalFormatting sqref="J129">
    <cfRule type="expression" dxfId="109" priority="4" stopIfTrue="1">
      <formula>TRUE</formula>
    </cfRule>
  </conditionalFormatting>
  <conditionalFormatting sqref="I132">
    <cfRule type="expression" dxfId="108" priority="3" stopIfTrue="1">
      <formula>TRUE</formula>
    </cfRule>
  </conditionalFormatting>
  <conditionalFormatting sqref="I133">
    <cfRule type="expression" dxfId="107" priority="2" stopIfTrue="1">
      <formula>ISFORMULAGMFT(I133)</formula>
    </cfRule>
  </conditionalFormatting>
  <conditionalFormatting sqref="J7">
    <cfRule type="expression" dxfId="106" priority="1" stopIfTrue="1">
      <formula>TRUE</formula>
    </cfRule>
  </conditionalFormatting>
  <dataValidations count="7">
    <dataValidation type="list" allowBlank="1" showInputMessage="1" showErrorMessage="1" sqref="D14:D17 D19:D21" xr:uid="{00000000-0002-0000-0300-000000000000}">
      <formula1>"1,2,3,4,5,6"</formula1>
    </dataValidation>
    <dataValidation type="list" allowBlank="1" showInputMessage="1" showErrorMessage="1" sqref="D28 D23:D26" xr:uid="{00000000-0002-0000-0300-000001000000}">
      <formula1>"1,2,3,4,5,6,7,8"</formula1>
    </dataValidation>
    <dataValidation type="list" allowBlank="1" showInputMessage="1" showErrorMessage="1" sqref="D33:D38 D46:D51 D40:D44" xr:uid="{00000000-0002-0000-0300-000002000000}">
      <formula1>"1,2,3,4,5,6,7,8,9,10"</formula1>
    </dataValidation>
    <dataValidation type="list" allowBlank="1" showInputMessage="1" showErrorMessage="1" sqref="B6 B2" xr:uid="{00000000-0002-0000-0300-000003000000}">
      <formula1>EventSheetTable</formula1>
    </dataValidation>
    <dataValidation type="list" allowBlank="1" showInputMessage="1" showErrorMessage="1" sqref="B2" xr:uid="{00000000-0002-0000-0300-000004000000}">
      <formula1>OFFSET(EventSheetTable,0,0,NbEvents)</formula1>
    </dataValidation>
    <dataValidation type="list" allowBlank="1" showInputMessage="1" showErrorMessage="1" sqref="B2" xr:uid="{00000000-0002-0000-0300-000005000000}">
      <formula1>"a,b"</formula1>
    </dataValidation>
    <dataValidation type="list" allowBlank="1" showInputMessage="1" showErrorMessage="1" sqref="J3" xr:uid="{00000000-0002-0000-0300-000006000000}">
      <formula1>OFFSET(LanguageList,0,0,1,NbLanguages)</formula1>
    </dataValidation>
  </dataValidations>
  <pageMargins left="0.78740157480314965" right="0.78740157480314965" top="0.98425196850393704" bottom="0.98425196850393704" header="0.51181102362204722" footer="0.51181102362204722"/>
  <pageSetup paperSize="9" scale="25"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88" r:id="rId5" name="Check Box 60">
              <controlPr defaultSize="0" autoFill="0" autoLine="0" autoPict="0" macro="[0]!DoNationalityTrigram">
                <anchor moveWithCells="1">
                  <from>
                    <xdr:col>2</xdr:col>
                    <xdr:colOff>161925</xdr:colOff>
                    <xdr:row>85</xdr:row>
                    <xdr:rowOff>19050</xdr:rowOff>
                  </from>
                  <to>
                    <xdr:col>2</xdr:col>
                    <xdr:colOff>1066800</xdr:colOff>
                    <xdr:row>85</xdr:row>
                    <xdr:rowOff>314325</xdr:rowOff>
                  </to>
                </anchor>
              </controlPr>
            </control>
          </mc:Choice>
        </mc:AlternateContent>
        <mc:AlternateContent xmlns:mc="http://schemas.openxmlformats.org/markup-compatibility/2006">
          <mc:Choice Requires="x14">
            <control shapeId="22912" r:id="rId6" name="Check Box 384">
              <controlPr defaultSize="0" autoFill="0" autoLine="0" autoPict="0" macro="[0]!DoWRDatabase">
                <anchor moveWithCells="1">
                  <from>
                    <xdr:col>2</xdr:col>
                    <xdr:colOff>123825</xdr:colOff>
                    <xdr:row>84</xdr:row>
                    <xdr:rowOff>38100</xdr:rowOff>
                  </from>
                  <to>
                    <xdr:col>2</xdr:col>
                    <xdr:colOff>981075</xdr:colOff>
                    <xdr:row>84</xdr:row>
                    <xdr:rowOff>409575</xdr:rowOff>
                  </to>
                </anchor>
              </controlPr>
            </control>
          </mc:Choice>
        </mc:AlternateContent>
        <mc:AlternateContent xmlns:mc="http://schemas.openxmlformats.org/markup-compatibility/2006">
          <mc:Choice Requires="x14">
            <control shapeId="23045" r:id="rId7" name="Check Box 517">
              <controlPr defaultSize="0" autoFill="0" autoLine="0" autoPict="0" macro="[0]!DoCalculate">
                <anchor moveWithCells="1">
                  <from>
                    <xdr:col>2</xdr:col>
                    <xdr:colOff>142875</xdr:colOff>
                    <xdr:row>75</xdr:row>
                    <xdr:rowOff>161925</xdr:rowOff>
                  </from>
                  <to>
                    <xdr:col>2</xdr:col>
                    <xdr:colOff>942975</xdr:colOff>
                    <xdr:row>77</xdr:row>
                    <xdr:rowOff>0</xdr:rowOff>
                  </to>
                </anchor>
              </controlPr>
            </control>
          </mc:Choice>
        </mc:AlternateContent>
        <mc:AlternateContent xmlns:mc="http://schemas.openxmlformats.org/markup-compatibility/2006">
          <mc:Choice Requires="x14">
            <control shapeId="448530" r:id="rId8" name="Check Box 1042">
              <controlPr defaultSize="0" autoFill="0" autoLine="0" autoPict="0" macro="[0]!DoCalculate">
                <anchor moveWithCells="1">
                  <from>
                    <xdr:col>2</xdr:col>
                    <xdr:colOff>123825</xdr:colOff>
                    <xdr:row>78</xdr:row>
                    <xdr:rowOff>0</xdr:rowOff>
                  </from>
                  <to>
                    <xdr:col>2</xdr:col>
                    <xdr:colOff>904875</xdr:colOff>
                    <xdr:row>78</xdr:row>
                    <xdr:rowOff>152400</xdr:rowOff>
                  </to>
                </anchor>
              </controlPr>
            </control>
          </mc:Choice>
        </mc:AlternateContent>
        <mc:AlternateContent xmlns:mc="http://schemas.openxmlformats.org/markup-compatibility/2006">
          <mc:Choice Requires="x14">
            <control shapeId="585766" r:id="rId9" name="Check Box 2086">
              <controlPr defaultSize="0" autoFill="0" autoLine="0" autoPict="0" macro="[0]!DoCalculate">
                <anchor moveWithCells="1">
                  <from>
                    <xdr:col>2</xdr:col>
                    <xdr:colOff>66675</xdr:colOff>
                    <xdr:row>57</xdr:row>
                    <xdr:rowOff>104775</xdr:rowOff>
                  </from>
                  <to>
                    <xdr:col>2</xdr:col>
                    <xdr:colOff>542925</xdr:colOff>
                    <xdr:row>59</xdr:row>
                    <xdr:rowOff>19050</xdr:rowOff>
                  </to>
                </anchor>
              </controlPr>
            </control>
          </mc:Choice>
        </mc:AlternateContent>
        <mc:AlternateContent xmlns:mc="http://schemas.openxmlformats.org/markup-compatibility/2006">
          <mc:Choice Requires="x14">
            <control shapeId="585767" r:id="rId10" name="Check Box 2087">
              <controlPr defaultSize="0" autoFill="0" autoLine="0" autoPict="0" macro="[0]!DoCalculate">
                <anchor moveWithCells="1">
                  <from>
                    <xdr:col>2</xdr:col>
                    <xdr:colOff>66675</xdr:colOff>
                    <xdr:row>58</xdr:row>
                    <xdr:rowOff>95250</xdr:rowOff>
                  </from>
                  <to>
                    <xdr:col>2</xdr:col>
                    <xdr:colOff>561975</xdr:colOff>
                    <xdr:row>60</xdr:row>
                    <xdr:rowOff>9525</xdr:rowOff>
                  </to>
                </anchor>
              </controlPr>
            </control>
          </mc:Choice>
        </mc:AlternateContent>
        <mc:AlternateContent xmlns:mc="http://schemas.openxmlformats.org/markup-compatibility/2006">
          <mc:Choice Requires="x14">
            <control shapeId="585768" r:id="rId11" name="Check Box 2088">
              <controlPr defaultSize="0" autoFill="0" autoLine="0" autoPict="0" macro="[0]!DoCalculate">
                <anchor moveWithCells="1">
                  <from>
                    <xdr:col>2</xdr:col>
                    <xdr:colOff>66675</xdr:colOff>
                    <xdr:row>59</xdr:row>
                    <xdr:rowOff>104775</xdr:rowOff>
                  </from>
                  <to>
                    <xdr:col>2</xdr:col>
                    <xdr:colOff>542925</xdr:colOff>
                    <xdr:row>61</xdr:row>
                    <xdr:rowOff>28575</xdr:rowOff>
                  </to>
                </anchor>
              </controlPr>
            </control>
          </mc:Choice>
        </mc:AlternateContent>
        <mc:AlternateContent xmlns:mc="http://schemas.openxmlformats.org/markup-compatibility/2006">
          <mc:Choice Requires="x14">
            <control shapeId="586323" r:id="rId12" name="Check Box 2643">
              <controlPr defaultSize="0" autoFill="0" autoLine="0" autoPict="0" macro="[0]!DoCalculate">
                <anchor moveWithCells="1">
                  <from>
                    <xdr:col>9</xdr:col>
                    <xdr:colOff>76200</xdr:colOff>
                    <xdr:row>103</xdr:row>
                    <xdr:rowOff>0</xdr:rowOff>
                  </from>
                  <to>
                    <xdr:col>9</xdr:col>
                    <xdr:colOff>561975</xdr:colOff>
                    <xdr:row>103</xdr:row>
                    <xdr:rowOff>171450</xdr:rowOff>
                  </to>
                </anchor>
              </controlPr>
            </control>
          </mc:Choice>
        </mc:AlternateContent>
        <mc:AlternateContent xmlns:mc="http://schemas.openxmlformats.org/markup-compatibility/2006">
          <mc:Choice Requires="x14">
            <control shapeId="586430" r:id="rId13" name="Check Box 2750">
              <controlPr defaultSize="0" autoFill="0" autoLine="0" autoPict="0" macro="[0]!DoCalculate">
                <anchor moveWithCells="1">
                  <from>
                    <xdr:col>2</xdr:col>
                    <xdr:colOff>57150</xdr:colOff>
                    <xdr:row>70</xdr:row>
                    <xdr:rowOff>0</xdr:rowOff>
                  </from>
                  <to>
                    <xdr:col>2</xdr:col>
                    <xdr:colOff>923925</xdr:colOff>
                    <xdr:row>70</xdr:row>
                    <xdr:rowOff>152400</xdr:rowOff>
                  </to>
                </anchor>
              </controlPr>
            </control>
          </mc:Choice>
        </mc:AlternateContent>
        <mc:AlternateContent xmlns:mc="http://schemas.openxmlformats.org/markup-compatibility/2006">
          <mc:Choice Requires="x14">
            <control shapeId="586431" r:id="rId14" name="Check Box 2751">
              <controlPr defaultSize="0" autoFill="0" autoLine="0" autoPict="0" macro="[0]!DoCalculate">
                <anchor moveWithCells="1">
                  <from>
                    <xdr:col>2</xdr:col>
                    <xdr:colOff>57150</xdr:colOff>
                    <xdr:row>71</xdr:row>
                    <xdr:rowOff>19050</xdr:rowOff>
                  </from>
                  <to>
                    <xdr:col>2</xdr:col>
                    <xdr:colOff>895350</xdr:colOff>
                    <xdr:row>72</xdr:row>
                    <xdr:rowOff>19050</xdr:rowOff>
                  </to>
                </anchor>
              </controlPr>
            </control>
          </mc:Choice>
        </mc:AlternateContent>
        <mc:AlternateContent xmlns:mc="http://schemas.openxmlformats.org/markup-compatibility/2006">
          <mc:Choice Requires="x14">
            <control shapeId="586581" r:id="rId15" name="Check Box 2901">
              <controlPr defaultSize="0" autoFill="0" autoLine="0" autoPict="0" macro="[0]!DoCalculate">
                <anchor moveWithCells="1">
                  <from>
                    <xdr:col>2</xdr:col>
                    <xdr:colOff>66675</xdr:colOff>
                    <xdr:row>60</xdr:row>
                    <xdr:rowOff>104775</xdr:rowOff>
                  </from>
                  <to>
                    <xdr:col>2</xdr:col>
                    <xdr:colOff>561975</xdr:colOff>
                    <xdr:row>62</xdr:row>
                    <xdr:rowOff>66675</xdr:rowOff>
                  </to>
                </anchor>
              </controlPr>
            </control>
          </mc:Choice>
        </mc:AlternateContent>
        <mc:AlternateContent xmlns:mc="http://schemas.openxmlformats.org/markup-compatibility/2006">
          <mc:Choice Requires="x14">
            <control shapeId="586582" r:id="rId16" name="Check Box 2902">
              <controlPr defaultSize="0" autoFill="0" autoLine="0" autoPict="0" macro="[0]!DoCalculate">
                <anchor moveWithCells="1">
                  <from>
                    <xdr:col>2</xdr:col>
                    <xdr:colOff>66675</xdr:colOff>
                    <xdr:row>61</xdr:row>
                    <xdr:rowOff>85725</xdr:rowOff>
                  </from>
                  <to>
                    <xdr:col>2</xdr:col>
                    <xdr:colOff>542925</xdr:colOff>
                    <xdr:row>62</xdr:row>
                    <xdr:rowOff>285750</xdr:rowOff>
                  </to>
                </anchor>
              </controlPr>
            </control>
          </mc:Choice>
        </mc:AlternateContent>
        <mc:AlternateContent xmlns:mc="http://schemas.openxmlformats.org/markup-compatibility/2006">
          <mc:Choice Requires="x14">
            <control shapeId="932127" r:id="rId17" name="Check Box 4383">
              <controlPr defaultSize="0" autoFill="0" autoLine="0" autoPict="0">
                <anchor moveWithCells="1">
                  <from>
                    <xdr:col>2</xdr:col>
                    <xdr:colOff>142875</xdr:colOff>
                    <xdr:row>52</xdr:row>
                    <xdr:rowOff>19050</xdr:rowOff>
                  </from>
                  <to>
                    <xdr:col>2</xdr:col>
                    <xdr:colOff>1047750</xdr:colOff>
                    <xdr:row>52</xdr:row>
                    <xdr:rowOff>295275</xdr:rowOff>
                  </to>
                </anchor>
              </controlPr>
            </control>
          </mc:Choice>
        </mc:AlternateContent>
        <mc:AlternateContent xmlns:mc="http://schemas.openxmlformats.org/markup-compatibility/2006">
          <mc:Choice Requires="x14">
            <control shapeId="932792" r:id="rId18" name="Check Box 5048">
              <controlPr defaultSize="0" autoFill="0" autoLine="0" autoPict="0" macro="[0]!DoCalculate">
                <anchor moveWithCells="1">
                  <from>
                    <xdr:col>9</xdr:col>
                    <xdr:colOff>285750</xdr:colOff>
                    <xdr:row>20</xdr:row>
                    <xdr:rowOff>0</xdr:rowOff>
                  </from>
                  <to>
                    <xdr:col>9</xdr:col>
                    <xdr:colOff>619125</xdr:colOff>
                    <xdr:row>21</xdr:row>
                    <xdr:rowOff>47625</xdr:rowOff>
                  </to>
                </anchor>
              </controlPr>
            </control>
          </mc:Choice>
        </mc:AlternateContent>
        <mc:AlternateContent xmlns:mc="http://schemas.openxmlformats.org/markup-compatibility/2006">
          <mc:Choice Requires="x14">
            <control shapeId="932793" r:id="rId19" name="Check Box 5049">
              <controlPr defaultSize="0" autoFill="0" autoLine="0" autoPict="0" macro="[0]!DoCalculate">
                <anchor moveWithCells="1">
                  <from>
                    <xdr:col>9</xdr:col>
                    <xdr:colOff>285750</xdr:colOff>
                    <xdr:row>20</xdr:row>
                    <xdr:rowOff>142875</xdr:rowOff>
                  </from>
                  <to>
                    <xdr:col>9</xdr:col>
                    <xdr:colOff>619125</xdr:colOff>
                    <xdr:row>22</xdr:row>
                    <xdr:rowOff>19050</xdr:rowOff>
                  </to>
                </anchor>
              </controlPr>
            </control>
          </mc:Choice>
        </mc:AlternateContent>
        <mc:AlternateContent xmlns:mc="http://schemas.openxmlformats.org/markup-compatibility/2006">
          <mc:Choice Requires="x14">
            <control shapeId="932794" r:id="rId20" name="Check Box 5050">
              <controlPr defaultSize="0" autoFill="0" autoLine="0" autoPict="0" macro="[0]!DoCalculate">
                <anchor moveWithCells="1">
                  <from>
                    <xdr:col>9</xdr:col>
                    <xdr:colOff>285750</xdr:colOff>
                    <xdr:row>21</xdr:row>
                    <xdr:rowOff>142875</xdr:rowOff>
                  </from>
                  <to>
                    <xdr:col>9</xdr:col>
                    <xdr:colOff>619125</xdr:colOff>
                    <xdr:row>23</xdr:row>
                    <xdr:rowOff>19050</xdr:rowOff>
                  </to>
                </anchor>
              </controlPr>
            </control>
          </mc:Choice>
        </mc:AlternateContent>
        <mc:AlternateContent xmlns:mc="http://schemas.openxmlformats.org/markup-compatibility/2006">
          <mc:Choice Requires="x14">
            <control shapeId="932795" r:id="rId21" name="Check Box 5051">
              <controlPr defaultSize="0" autoFill="0" autoLine="0" autoPict="0" macro="[0]!DoCalculate">
                <anchor moveWithCells="1">
                  <from>
                    <xdr:col>9</xdr:col>
                    <xdr:colOff>285750</xdr:colOff>
                    <xdr:row>22</xdr:row>
                    <xdr:rowOff>142875</xdr:rowOff>
                  </from>
                  <to>
                    <xdr:col>9</xdr:col>
                    <xdr:colOff>619125</xdr:colOff>
                    <xdr:row>24</xdr:row>
                    <xdr:rowOff>19050</xdr:rowOff>
                  </to>
                </anchor>
              </controlPr>
            </control>
          </mc:Choice>
        </mc:AlternateContent>
        <mc:AlternateContent xmlns:mc="http://schemas.openxmlformats.org/markup-compatibility/2006">
          <mc:Choice Requires="x14">
            <control shapeId="932796" r:id="rId22" name="Check Box 5052">
              <controlPr defaultSize="0" autoFill="0" autoLine="0" autoPict="0" macro="[0]!DoCalculate">
                <anchor moveWithCells="1">
                  <from>
                    <xdr:col>9</xdr:col>
                    <xdr:colOff>285750</xdr:colOff>
                    <xdr:row>23</xdr:row>
                    <xdr:rowOff>142875</xdr:rowOff>
                  </from>
                  <to>
                    <xdr:col>9</xdr:col>
                    <xdr:colOff>619125</xdr:colOff>
                    <xdr:row>25</xdr:row>
                    <xdr:rowOff>19050</xdr:rowOff>
                  </to>
                </anchor>
              </controlPr>
            </control>
          </mc:Choice>
        </mc:AlternateContent>
        <mc:AlternateContent xmlns:mc="http://schemas.openxmlformats.org/markup-compatibility/2006">
          <mc:Choice Requires="x14">
            <control shapeId="932797" r:id="rId23" name="Check Box 5053">
              <controlPr defaultSize="0" autoFill="0" autoLine="0" autoPict="0" macro="[0]!DoCalculate">
                <anchor moveWithCells="1">
                  <from>
                    <xdr:col>9</xdr:col>
                    <xdr:colOff>285750</xdr:colOff>
                    <xdr:row>24</xdr:row>
                    <xdr:rowOff>142875</xdr:rowOff>
                  </from>
                  <to>
                    <xdr:col>9</xdr:col>
                    <xdr:colOff>619125</xdr:colOff>
                    <xdr:row>26</xdr:row>
                    <xdr:rowOff>19050</xdr:rowOff>
                  </to>
                </anchor>
              </controlPr>
            </control>
          </mc:Choice>
        </mc:AlternateContent>
        <mc:AlternateContent xmlns:mc="http://schemas.openxmlformats.org/markup-compatibility/2006">
          <mc:Choice Requires="x14">
            <control shapeId="932798" r:id="rId24" name="Check Box 5054">
              <controlPr defaultSize="0" autoFill="0" autoLine="0" autoPict="0" macro="[0]!DoCalculate">
                <anchor moveWithCells="1">
                  <from>
                    <xdr:col>9</xdr:col>
                    <xdr:colOff>285750</xdr:colOff>
                    <xdr:row>25</xdr:row>
                    <xdr:rowOff>133350</xdr:rowOff>
                  </from>
                  <to>
                    <xdr:col>9</xdr:col>
                    <xdr:colOff>619125</xdr:colOff>
                    <xdr:row>27</xdr:row>
                    <xdr:rowOff>9525</xdr:rowOff>
                  </to>
                </anchor>
              </controlPr>
            </control>
          </mc:Choice>
        </mc:AlternateContent>
        <mc:AlternateContent xmlns:mc="http://schemas.openxmlformats.org/markup-compatibility/2006">
          <mc:Choice Requires="x14">
            <control shapeId="932799" r:id="rId25" name="Check Box 5055">
              <controlPr defaultSize="0" autoFill="0" autoLine="0" autoPict="0" macro="[0]!DoCalculate">
                <anchor moveWithCells="1">
                  <from>
                    <xdr:col>9</xdr:col>
                    <xdr:colOff>285750</xdr:colOff>
                    <xdr:row>31</xdr:row>
                    <xdr:rowOff>133350</xdr:rowOff>
                  </from>
                  <to>
                    <xdr:col>9</xdr:col>
                    <xdr:colOff>619125</xdr:colOff>
                    <xdr:row>33</xdr:row>
                    <xdr:rowOff>9525</xdr:rowOff>
                  </to>
                </anchor>
              </controlPr>
            </control>
          </mc:Choice>
        </mc:AlternateContent>
        <mc:AlternateContent xmlns:mc="http://schemas.openxmlformats.org/markup-compatibility/2006">
          <mc:Choice Requires="x14">
            <control shapeId="932800" r:id="rId26" name="Check Box 5056">
              <controlPr defaultSize="0" autoFill="0" autoLine="0" autoPict="0" macro="[0]!DoCalculate">
                <anchor moveWithCells="1">
                  <from>
                    <xdr:col>9</xdr:col>
                    <xdr:colOff>285750</xdr:colOff>
                    <xdr:row>32</xdr:row>
                    <xdr:rowOff>133350</xdr:rowOff>
                  </from>
                  <to>
                    <xdr:col>9</xdr:col>
                    <xdr:colOff>619125</xdr:colOff>
                    <xdr:row>34</xdr:row>
                    <xdr:rowOff>9525</xdr:rowOff>
                  </to>
                </anchor>
              </controlPr>
            </control>
          </mc:Choice>
        </mc:AlternateContent>
        <mc:AlternateContent xmlns:mc="http://schemas.openxmlformats.org/markup-compatibility/2006">
          <mc:Choice Requires="x14">
            <control shapeId="1097886" r:id="rId27" name="Check Box 5278">
              <controlPr defaultSize="0" autoFill="0" autoLine="0" autoPict="0" macro="[0]!DoCalculate">
                <anchor moveWithCells="1">
                  <from>
                    <xdr:col>9</xdr:col>
                    <xdr:colOff>285750</xdr:colOff>
                    <xdr:row>14</xdr:row>
                    <xdr:rowOff>0</xdr:rowOff>
                  </from>
                  <to>
                    <xdr:col>9</xdr:col>
                    <xdr:colOff>619125</xdr:colOff>
                    <xdr:row>15</xdr:row>
                    <xdr:rowOff>47625</xdr:rowOff>
                  </to>
                </anchor>
              </controlPr>
            </control>
          </mc:Choice>
        </mc:AlternateContent>
        <mc:AlternateContent xmlns:mc="http://schemas.openxmlformats.org/markup-compatibility/2006">
          <mc:Choice Requires="x14">
            <control shapeId="1097887" r:id="rId28" name="Check Box 5279">
              <controlPr defaultSize="0" autoFill="0" autoLine="0" autoPict="0" macro="[0]!DoCalculate">
                <anchor moveWithCells="1">
                  <from>
                    <xdr:col>9</xdr:col>
                    <xdr:colOff>285750</xdr:colOff>
                    <xdr:row>14</xdr:row>
                    <xdr:rowOff>133350</xdr:rowOff>
                  </from>
                  <to>
                    <xdr:col>9</xdr:col>
                    <xdr:colOff>619125</xdr:colOff>
                    <xdr:row>16</xdr:row>
                    <xdr:rowOff>9525</xdr:rowOff>
                  </to>
                </anchor>
              </controlPr>
            </control>
          </mc:Choice>
        </mc:AlternateContent>
        <mc:AlternateContent xmlns:mc="http://schemas.openxmlformats.org/markup-compatibility/2006">
          <mc:Choice Requires="x14">
            <control shapeId="1097888" r:id="rId29" name="Check Box 5280">
              <controlPr defaultSize="0" autoFill="0" autoLine="0" autoPict="0" macro="[0]!DoCalculate">
                <anchor moveWithCells="1">
                  <from>
                    <xdr:col>9</xdr:col>
                    <xdr:colOff>285750</xdr:colOff>
                    <xdr:row>15</xdr:row>
                    <xdr:rowOff>133350</xdr:rowOff>
                  </from>
                  <to>
                    <xdr:col>9</xdr:col>
                    <xdr:colOff>619125</xdr:colOff>
                    <xdr:row>17</xdr:row>
                    <xdr:rowOff>9525</xdr:rowOff>
                  </to>
                </anchor>
              </controlPr>
            </control>
          </mc:Choice>
        </mc:AlternateContent>
        <mc:AlternateContent xmlns:mc="http://schemas.openxmlformats.org/markup-compatibility/2006">
          <mc:Choice Requires="x14">
            <control shapeId="1097889" r:id="rId30" name="Check Box 5281">
              <controlPr defaultSize="0" autoFill="0" autoLine="0" autoPict="0" macro="[0]!DoCalculate">
                <anchor moveWithCells="1">
                  <from>
                    <xdr:col>9</xdr:col>
                    <xdr:colOff>285750</xdr:colOff>
                    <xdr:row>16</xdr:row>
                    <xdr:rowOff>133350</xdr:rowOff>
                  </from>
                  <to>
                    <xdr:col>9</xdr:col>
                    <xdr:colOff>619125</xdr:colOff>
                    <xdr:row>18</xdr:row>
                    <xdr:rowOff>9525</xdr:rowOff>
                  </to>
                </anchor>
              </controlPr>
            </control>
          </mc:Choice>
        </mc:AlternateContent>
        <mc:AlternateContent xmlns:mc="http://schemas.openxmlformats.org/markup-compatibility/2006">
          <mc:Choice Requires="x14">
            <control shapeId="1097890" r:id="rId31" name="Check Box 5282">
              <controlPr defaultSize="0" autoFill="0" autoLine="0" autoPict="0" macro="[0]!DoCalculate">
                <anchor moveWithCells="1">
                  <from>
                    <xdr:col>9</xdr:col>
                    <xdr:colOff>285750</xdr:colOff>
                    <xdr:row>17</xdr:row>
                    <xdr:rowOff>142875</xdr:rowOff>
                  </from>
                  <to>
                    <xdr:col>9</xdr:col>
                    <xdr:colOff>619125</xdr:colOff>
                    <xdr:row>19</xdr:row>
                    <xdr:rowOff>19050</xdr:rowOff>
                  </to>
                </anchor>
              </controlPr>
            </control>
          </mc:Choice>
        </mc:AlternateContent>
        <mc:AlternateContent xmlns:mc="http://schemas.openxmlformats.org/markup-compatibility/2006">
          <mc:Choice Requires="x14">
            <control shapeId="1369919" r:id="rId32" name="Check Box 7999">
              <controlPr defaultSize="0" autoFill="0" autoLine="0" autoPict="0" macro="[0]!DoCalculate">
                <anchor moveWithCells="1">
                  <from>
                    <xdr:col>9</xdr:col>
                    <xdr:colOff>85725</xdr:colOff>
                    <xdr:row>63</xdr:row>
                    <xdr:rowOff>161925</xdr:rowOff>
                  </from>
                  <to>
                    <xdr:col>9</xdr:col>
                    <xdr:colOff>419100</xdr:colOff>
                    <xdr:row>65</xdr:row>
                    <xdr:rowOff>38100</xdr:rowOff>
                  </to>
                </anchor>
              </controlPr>
            </control>
          </mc:Choice>
        </mc:AlternateContent>
        <mc:AlternateContent xmlns:mc="http://schemas.openxmlformats.org/markup-compatibility/2006">
          <mc:Choice Requires="x14">
            <control shapeId="1369920" r:id="rId33" name="Check Box 8000">
              <controlPr defaultSize="0" autoFill="0" autoLine="0" autoPict="0" macro="[0]!DoCalculate">
                <anchor moveWithCells="1">
                  <from>
                    <xdr:col>9</xdr:col>
                    <xdr:colOff>85725</xdr:colOff>
                    <xdr:row>64</xdr:row>
                    <xdr:rowOff>161925</xdr:rowOff>
                  </from>
                  <to>
                    <xdr:col>9</xdr:col>
                    <xdr:colOff>419100</xdr:colOff>
                    <xdr:row>66</xdr:row>
                    <xdr:rowOff>38100</xdr:rowOff>
                  </to>
                </anchor>
              </controlPr>
            </control>
          </mc:Choice>
        </mc:AlternateContent>
        <mc:AlternateContent xmlns:mc="http://schemas.openxmlformats.org/markup-compatibility/2006">
          <mc:Choice Requires="x14">
            <control shapeId="1369921" r:id="rId34" name="Check Box 8001">
              <controlPr defaultSize="0" autoFill="0" autoLine="0" autoPict="0" macro="[0]!DoCalculate">
                <anchor moveWithCells="1">
                  <from>
                    <xdr:col>9</xdr:col>
                    <xdr:colOff>85725</xdr:colOff>
                    <xdr:row>65</xdr:row>
                    <xdr:rowOff>161925</xdr:rowOff>
                  </from>
                  <to>
                    <xdr:col>9</xdr:col>
                    <xdr:colOff>419100</xdr:colOff>
                    <xdr:row>67</xdr:row>
                    <xdr:rowOff>38100</xdr:rowOff>
                  </to>
                </anchor>
              </controlPr>
            </control>
          </mc:Choice>
        </mc:AlternateContent>
        <mc:AlternateContent xmlns:mc="http://schemas.openxmlformats.org/markup-compatibility/2006">
          <mc:Choice Requires="x14">
            <control shapeId="1369922" r:id="rId35" name="Check Box 8002">
              <controlPr defaultSize="0" autoFill="0" autoLine="0" autoPict="0" macro="[0]!DoCalculate">
                <anchor moveWithCells="1">
                  <from>
                    <xdr:col>9</xdr:col>
                    <xdr:colOff>85725</xdr:colOff>
                    <xdr:row>66</xdr:row>
                    <xdr:rowOff>142875</xdr:rowOff>
                  </from>
                  <to>
                    <xdr:col>9</xdr:col>
                    <xdr:colOff>419100</xdr:colOff>
                    <xdr:row>68</xdr:row>
                    <xdr:rowOff>9525</xdr:rowOff>
                  </to>
                </anchor>
              </controlPr>
            </control>
          </mc:Choice>
        </mc:AlternateContent>
        <mc:AlternateContent xmlns:mc="http://schemas.openxmlformats.org/markup-compatibility/2006">
          <mc:Choice Requires="x14">
            <control shapeId="1369923" r:id="rId36" name="Check Box 8003">
              <controlPr defaultSize="0" autoFill="0" autoLine="0" autoPict="0" macro="[0]!DoCalculate">
                <anchor moveWithCells="1">
                  <from>
                    <xdr:col>9</xdr:col>
                    <xdr:colOff>85725</xdr:colOff>
                    <xdr:row>72</xdr:row>
                    <xdr:rowOff>142875</xdr:rowOff>
                  </from>
                  <to>
                    <xdr:col>9</xdr:col>
                    <xdr:colOff>419100</xdr:colOff>
                    <xdr:row>74</xdr:row>
                    <xdr:rowOff>9525</xdr:rowOff>
                  </to>
                </anchor>
              </controlPr>
            </control>
          </mc:Choice>
        </mc:AlternateContent>
        <mc:AlternateContent xmlns:mc="http://schemas.openxmlformats.org/markup-compatibility/2006">
          <mc:Choice Requires="x14">
            <control shapeId="1369924" r:id="rId37" name="Check Box 8004">
              <controlPr defaultSize="0" autoFill="0" autoLine="0" autoPict="0" macro="[0]!DoCalculate">
                <anchor moveWithCells="1">
                  <from>
                    <xdr:col>9</xdr:col>
                    <xdr:colOff>85725</xdr:colOff>
                    <xdr:row>73</xdr:row>
                    <xdr:rowOff>133350</xdr:rowOff>
                  </from>
                  <to>
                    <xdr:col>9</xdr:col>
                    <xdr:colOff>419100</xdr:colOff>
                    <xdr:row>74</xdr:row>
                    <xdr:rowOff>171450</xdr:rowOff>
                  </to>
                </anchor>
              </controlPr>
            </control>
          </mc:Choice>
        </mc:AlternateContent>
        <mc:AlternateContent xmlns:mc="http://schemas.openxmlformats.org/markup-compatibility/2006">
          <mc:Choice Requires="x14">
            <control shapeId="1369925" r:id="rId38" name="Check Box 8005">
              <controlPr defaultSize="0" autoFill="0" autoLine="0" autoPict="0" macro="[0]!DoCalculate">
                <anchor moveWithCells="1">
                  <from>
                    <xdr:col>9</xdr:col>
                    <xdr:colOff>85725</xdr:colOff>
                    <xdr:row>74</xdr:row>
                    <xdr:rowOff>133350</xdr:rowOff>
                  </from>
                  <to>
                    <xdr:col>9</xdr:col>
                    <xdr:colOff>419100</xdr:colOff>
                    <xdr:row>75</xdr:row>
                    <xdr:rowOff>171450</xdr:rowOff>
                  </to>
                </anchor>
              </controlPr>
            </control>
          </mc:Choice>
        </mc:AlternateContent>
        <mc:AlternateContent xmlns:mc="http://schemas.openxmlformats.org/markup-compatibility/2006">
          <mc:Choice Requires="x14">
            <control shapeId="1369926" r:id="rId39" name="Check Box 8006">
              <controlPr defaultSize="0" autoFill="0" autoLine="0" autoPict="0" macro="[0]!DoCalculate">
                <anchor moveWithCells="1">
                  <from>
                    <xdr:col>9</xdr:col>
                    <xdr:colOff>85725</xdr:colOff>
                    <xdr:row>75</xdr:row>
                    <xdr:rowOff>123825</xdr:rowOff>
                  </from>
                  <to>
                    <xdr:col>9</xdr:col>
                    <xdr:colOff>419100</xdr:colOff>
                    <xdr:row>76</xdr:row>
                    <xdr:rowOff>171450</xdr:rowOff>
                  </to>
                </anchor>
              </controlPr>
            </control>
          </mc:Choice>
        </mc:AlternateContent>
        <mc:AlternateContent xmlns:mc="http://schemas.openxmlformats.org/markup-compatibility/2006">
          <mc:Choice Requires="x14">
            <control shapeId="1369927" r:id="rId40" name="Check Box 8007">
              <controlPr defaultSize="0" autoFill="0" autoLine="0" autoPict="0" macro="[0]!DoCalculate">
                <anchor moveWithCells="1">
                  <from>
                    <xdr:col>9</xdr:col>
                    <xdr:colOff>85725</xdr:colOff>
                    <xdr:row>76</xdr:row>
                    <xdr:rowOff>123825</xdr:rowOff>
                  </from>
                  <to>
                    <xdr:col>9</xdr:col>
                    <xdr:colOff>419100</xdr:colOff>
                    <xdr:row>78</xdr:row>
                    <xdr:rowOff>0</xdr:rowOff>
                  </to>
                </anchor>
              </controlPr>
            </control>
          </mc:Choice>
        </mc:AlternateContent>
        <mc:AlternateContent xmlns:mc="http://schemas.openxmlformats.org/markup-compatibility/2006">
          <mc:Choice Requires="x14">
            <control shapeId="1369964" r:id="rId41" name="Check Box 8044">
              <controlPr defaultSize="0" autoFill="0" autoLine="0" autoPict="0" macro="[0]!DoCalculate">
                <anchor moveWithCells="1">
                  <from>
                    <xdr:col>9</xdr:col>
                    <xdr:colOff>85725</xdr:colOff>
                    <xdr:row>61</xdr:row>
                    <xdr:rowOff>0</xdr:rowOff>
                  </from>
                  <to>
                    <xdr:col>9</xdr:col>
                    <xdr:colOff>952500</xdr:colOff>
                    <xdr:row>61</xdr:row>
                    <xdr:rowOff>161925</xdr:rowOff>
                  </to>
                </anchor>
              </controlPr>
            </control>
          </mc:Choice>
        </mc:AlternateContent>
        <mc:AlternateContent xmlns:mc="http://schemas.openxmlformats.org/markup-compatibility/2006">
          <mc:Choice Requires="x14">
            <control shapeId="1369965" r:id="rId42" name="Check Box 8045">
              <controlPr defaultSize="0" autoFill="0" autoLine="0" autoPict="0" macro="[0]!DoCalculate">
                <anchor moveWithCells="1">
                  <from>
                    <xdr:col>9</xdr:col>
                    <xdr:colOff>76200</xdr:colOff>
                    <xdr:row>62</xdr:row>
                    <xdr:rowOff>9525</xdr:rowOff>
                  </from>
                  <to>
                    <xdr:col>9</xdr:col>
                    <xdr:colOff>914400</xdr:colOff>
                    <xdr:row>62</xdr:row>
                    <xdr:rowOff>161925</xdr:rowOff>
                  </to>
                </anchor>
              </controlPr>
            </control>
          </mc:Choice>
        </mc:AlternateContent>
        <mc:AlternateContent xmlns:mc="http://schemas.openxmlformats.org/markup-compatibility/2006">
          <mc:Choice Requires="x14">
            <control shapeId="1369990" r:id="rId43" name="Check Box 8070">
              <controlPr defaultSize="0" autoFill="0" autoLine="0" autoPict="0" macro="[0]!DoCalculate">
                <anchor moveWithCells="1">
                  <from>
                    <xdr:col>9</xdr:col>
                    <xdr:colOff>85725</xdr:colOff>
                    <xdr:row>77</xdr:row>
                    <xdr:rowOff>123825</xdr:rowOff>
                  </from>
                  <to>
                    <xdr:col>9</xdr:col>
                    <xdr:colOff>923925</xdr:colOff>
                    <xdr:row>79</xdr:row>
                    <xdr:rowOff>0</xdr:rowOff>
                  </to>
                </anchor>
              </controlPr>
            </control>
          </mc:Choice>
        </mc:AlternateContent>
        <mc:AlternateContent xmlns:mc="http://schemas.openxmlformats.org/markup-compatibility/2006">
          <mc:Choice Requires="x14">
            <control shapeId="1370015" r:id="rId44" name="Check Box 8095">
              <controlPr defaultSize="0" autoFill="0" autoLine="0" autoPict="0" macro="[0]!DoCalculate">
                <anchor moveWithCells="1">
                  <from>
                    <xdr:col>9</xdr:col>
                    <xdr:colOff>85725</xdr:colOff>
                    <xdr:row>78</xdr:row>
                    <xdr:rowOff>123825</xdr:rowOff>
                  </from>
                  <to>
                    <xdr:col>9</xdr:col>
                    <xdr:colOff>923925</xdr:colOff>
                    <xdr:row>79</xdr:row>
                    <xdr:rowOff>171450</xdr:rowOff>
                  </to>
                </anchor>
              </controlPr>
            </control>
          </mc:Choice>
        </mc:AlternateContent>
        <mc:AlternateContent xmlns:mc="http://schemas.openxmlformats.org/markup-compatibility/2006">
          <mc:Choice Requires="x14">
            <control shapeId="1370016" r:id="rId45" name="Check Box 8096">
              <controlPr defaultSize="0" autoFill="0" autoLine="0" autoPict="0" macro="[0]!DoCalculate">
                <anchor moveWithCells="1">
                  <from>
                    <xdr:col>9</xdr:col>
                    <xdr:colOff>85725</xdr:colOff>
                    <xdr:row>79</xdr:row>
                    <xdr:rowOff>123825</xdr:rowOff>
                  </from>
                  <to>
                    <xdr:col>9</xdr:col>
                    <xdr:colOff>923925</xdr:colOff>
                    <xdr:row>80</xdr:row>
                    <xdr:rowOff>171450</xdr:rowOff>
                  </to>
                </anchor>
              </controlPr>
            </control>
          </mc:Choice>
        </mc:AlternateContent>
        <mc:AlternateContent xmlns:mc="http://schemas.openxmlformats.org/markup-compatibility/2006">
          <mc:Choice Requires="x14">
            <control shapeId="1370017" r:id="rId46" name="Check Box 8097">
              <controlPr defaultSize="0" autoFill="0" autoLine="0" autoPict="0" macro="[0]!DoCalculate">
                <anchor moveWithCells="1">
                  <from>
                    <xdr:col>9</xdr:col>
                    <xdr:colOff>85725</xdr:colOff>
                    <xdr:row>80</xdr:row>
                    <xdr:rowOff>123825</xdr:rowOff>
                  </from>
                  <to>
                    <xdr:col>9</xdr:col>
                    <xdr:colOff>923925</xdr:colOff>
                    <xdr:row>81</xdr:row>
                    <xdr:rowOff>0</xdr:rowOff>
                  </to>
                </anchor>
              </controlPr>
            </control>
          </mc:Choice>
        </mc:AlternateContent>
        <mc:AlternateContent xmlns:mc="http://schemas.openxmlformats.org/markup-compatibility/2006">
          <mc:Choice Requires="x14">
            <control shapeId="1370018" r:id="rId47" name="Check Box 8098">
              <controlPr defaultSize="0" autoFill="0" autoLine="0" autoPict="0" macro="[0]!DoCalculate">
                <anchor moveWithCells="1">
                  <from>
                    <xdr:col>9</xdr:col>
                    <xdr:colOff>85725</xdr:colOff>
                    <xdr:row>81</xdr:row>
                    <xdr:rowOff>123825</xdr:rowOff>
                  </from>
                  <to>
                    <xdr:col>9</xdr:col>
                    <xdr:colOff>923925</xdr:colOff>
                    <xdr:row>82</xdr:row>
                    <xdr:rowOff>171450</xdr:rowOff>
                  </to>
                </anchor>
              </controlPr>
            </control>
          </mc:Choice>
        </mc:AlternateContent>
        <mc:AlternateContent xmlns:mc="http://schemas.openxmlformats.org/markup-compatibility/2006">
          <mc:Choice Requires="x14">
            <control shapeId="1520265" r:id="rId48" name="Check Box 8841">
              <controlPr defaultSize="0" autoFill="0" autoLine="0" autoPict="0" macro="[0]!DoCalculate">
                <anchor moveWithCells="1">
                  <from>
                    <xdr:col>9</xdr:col>
                    <xdr:colOff>85725</xdr:colOff>
                    <xdr:row>87</xdr:row>
                    <xdr:rowOff>161925</xdr:rowOff>
                  </from>
                  <to>
                    <xdr:col>9</xdr:col>
                    <xdr:colOff>923925</xdr:colOff>
                    <xdr:row>88</xdr:row>
                    <xdr:rowOff>142875</xdr:rowOff>
                  </to>
                </anchor>
              </controlPr>
            </control>
          </mc:Choice>
        </mc:AlternateContent>
        <mc:AlternateContent xmlns:mc="http://schemas.openxmlformats.org/markup-compatibility/2006">
          <mc:Choice Requires="x14">
            <control shapeId="1520266" r:id="rId49" name="Check Box 8842">
              <controlPr defaultSize="0" autoFill="0" autoLine="0" autoPict="0" macro="[0]!DoCalculate">
                <anchor moveWithCells="1">
                  <from>
                    <xdr:col>9</xdr:col>
                    <xdr:colOff>85725</xdr:colOff>
                    <xdr:row>112</xdr:row>
                    <xdr:rowOff>161925</xdr:rowOff>
                  </from>
                  <to>
                    <xdr:col>9</xdr:col>
                    <xdr:colOff>419100</xdr:colOff>
                    <xdr:row>114</xdr:row>
                    <xdr:rowOff>28575</xdr:rowOff>
                  </to>
                </anchor>
              </controlPr>
            </control>
          </mc:Choice>
        </mc:AlternateContent>
        <mc:AlternateContent xmlns:mc="http://schemas.openxmlformats.org/markup-compatibility/2006">
          <mc:Choice Requires="x14">
            <control shapeId="1520267" r:id="rId50" name="Check Box 8843">
              <controlPr defaultSize="0" autoFill="0" autoLine="0" autoPict="0" macro="[0]!DoCalculate">
                <anchor moveWithCells="1">
                  <from>
                    <xdr:col>9</xdr:col>
                    <xdr:colOff>85725</xdr:colOff>
                    <xdr:row>113</xdr:row>
                    <xdr:rowOff>161925</xdr:rowOff>
                  </from>
                  <to>
                    <xdr:col>9</xdr:col>
                    <xdr:colOff>419100</xdr:colOff>
                    <xdr:row>115</xdr:row>
                    <xdr:rowOff>38100</xdr:rowOff>
                  </to>
                </anchor>
              </controlPr>
            </control>
          </mc:Choice>
        </mc:AlternateContent>
        <mc:AlternateContent xmlns:mc="http://schemas.openxmlformats.org/markup-compatibility/2006">
          <mc:Choice Requires="x14">
            <control shapeId="1520268" r:id="rId51" name="Check Box 8844">
              <controlPr defaultSize="0" autoFill="0" autoLine="0" autoPict="0" macro="[0]!DoCalculate">
                <anchor moveWithCells="1">
                  <from>
                    <xdr:col>9</xdr:col>
                    <xdr:colOff>85725</xdr:colOff>
                    <xdr:row>114</xdr:row>
                    <xdr:rowOff>161925</xdr:rowOff>
                  </from>
                  <to>
                    <xdr:col>9</xdr:col>
                    <xdr:colOff>419100</xdr:colOff>
                    <xdr:row>116</xdr:row>
                    <xdr:rowOff>38100</xdr:rowOff>
                  </to>
                </anchor>
              </controlPr>
            </control>
          </mc:Choice>
        </mc:AlternateContent>
        <mc:AlternateContent xmlns:mc="http://schemas.openxmlformats.org/markup-compatibility/2006">
          <mc:Choice Requires="x14">
            <control shapeId="1520269" r:id="rId52" name="Check Box 8845">
              <controlPr defaultSize="0" autoFill="0" autoLine="0" autoPict="0" macro="[0]!DoCalculate">
                <anchor moveWithCells="1">
                  <from>
                    <xdr:col>9</xdr:col>
                    <xdr:colOff>85725</xdr:colOff>
                    <xdr:row>115</xdr:row>
                    <xdr:rowOff>142875</xdr:rowOff>
                  </from>
                  <to>
                    <xdr:col>9</xdr:col>
                    <xdr:colOff>419100</xdr:colOff>
                    <xdr:row>117</xdr:row>
                    <xdr:rowOff>19050</xdr:rowOff>
                  </to>
                </anchor>
              </controlPr>
            </control>
          </mc:Choice>
        </mc:AlternateContent>
        <mc:AlternateContent xmlns:mc="http://schemas.openxmlformats.org/markup-compatibility/2006">
          <mc:Choice Requires="x14">
            <control shapeId="1520270" r:id="rId53" name="Check Box 8846">
              <controlPr defaultSize="0" autoFill="0" autoLine="0" autoPict="0" macro="[0]!DoCalculate">
                <anchor moveWithCells="1">
                  <from>
                    <xdr:col>9</xdr:col>
                    <xdr:colOff>85725</xdr:colOff>
                    <xdr:row>121</xdr:row>
                    <xdr:rowOff>142875</xdr:rowOff>
                  </from>
                  <to>
                    <xdr:col>9</xdr:col>
                    <xdr:colOff>419100</xdr:colOff>
                    <xdr:row>123</xdr:row>
                    <xdr:rowOff>19050</xdr:rowOff>
                  </to>
                </anchor>
              </controlPr>
            </control>
          </mc:Choice>
        </mc:AlternateContent>
        <mc:AlternateContent xmlns:mc="http://schemas.openxmlformats.org/markup-compatibility/2006">
          <mc:Choice Requires="x14">
            <control shapeId="1520271" r:id="rId54" name="Check Box 8847">
              <controlPr defaultSize="0" autoFill="0" autoLine="0" autoPict="0" macro="[0]!DoCalculate">
                <anchor moveWithCells="1">
                  <from>
                    <xdr:col>9</xdr:col>
                    <xdr:colOff>85725</xdr:colOff>
                    <xdr:row>122</xdr:row>
                    <xdr:rowOff>133350</xdr:rowOff>
                  </from>
                  <to>
                    <xdr:col>9</xdr:col>
                    <xdr:colOff>419100</xdr:colOff>
                    <xdr:row>124</xdr:row>
                    <xdr:rowOff>9525</xdr:rowOff>
                  </to>
                </anchor>
              </controlPr>
            </control>
          </mc:Choice>
        </mc:AlternateContent>
        <mc:AlternateContent xmlns:mc="http://schemas.openxmlformats.org/markup-compatibility/2006">
          <mc:Choice Requires="x14">
            <control shapeId="1520272" r:id="rId55" name="Check Box 8848">
              <controlPr defaultSize="0" autoFill="0" autoLine="0" autoPict="0" macro="[0]!DoCalculate">
                <anchor moveWithCells="1">
                  <from>
                    <xdr:col>9</xdr:col>
                    <xdr:colOff>85725</xdr:colOff>
                    <xdr:row>123</xdr:row>
                    <xdr:rowOff>133350</xdr:rowOff>
                  </from>
                  <to>
                    <xdr:col>9</xdr:col>
                    <xdr:colOff>419100</xdr:colOff>
                    <xdr:row>125</xdr:row>
                    <xdr:rowOff>9525</xdr:rowOff>
                  </to>
                </anchor>
              </controlPr>
            </control>
          </mc:Choice>
        </mc:AlternateContent>
        <mc:AlternateContent xmlns:mc="http://schemas.openxmlformats.org/markup-compatibility/2006">
          <mc:Choice Requires="x14">
            <control shapeId="1520273" r:id="rId56" name="Check Box 8849">
              <controlPr defaultSize="0" autoFill="0" autoLine="0" autoPict="0" macro="[0]!DoCalculate">
                <anchor moveWithCells="1">
                  <from>
                    <xdr:col>9</xdr:col>
                    <xdr:colOff>85725</xdr:colOff>
                    <xdr:row>124</xdr:row>
                    <xdr:rowOff>123825</xdr:rowOff>
                  </from>
                  <to>
                    <xdr:col>9</xdr:col>
                    <xdr:colOff>419100</xdr:colOff>
                    <xdr:row>126</xdr:row>
                    <xdr:rowOff>0</xdr:rowOff>
                  </to>
                </anchor>
              </controlPr>
            </control>
          </mc:Choice>
        </mc:AlternateContent>
        <mc:AlternateContent xmlns:mc="http://schemas.openxmlformats.org/markup-compatibility/2006">
          <mc:Choice Requires="x14">
            <control shapeId="1520274" r:id="rId57" name="Check Box 8850">
              <controlPr defaultSize="0" autoFill="0" autoLine="0" autoPict="0" macro="[0]!DoCalculate">
                <anchor moveWithCells="1">
                  <from>
                    <xdr:col>9</xdr:col>
                    <xdr:colOff>85725</xdr:colOff>
                    <xdr:row>125</xdr:row>
                    <xdr:rowOff>123825</xdr:rowOff>
                  </from>
                  <to>
                    <xdr:col>9</xdr:col>
                    <xdr:colOff>419100</xdr:colOff>
                    <xdr:row>127</xdr:row>
                    <xdr:rowOff>0</xdr:rowOff>
                  </to>
                </anchor>
              </controlPr>
            </control>
          </mc:Choice>
        </mc:AlternateContent>
        <mc:AlternateContent xmlns:mc="http://schemas.openxmlformats.org/markup-compatibility/2006">
          <mc:Choice Requires="x14">
            <control shapeId="1520275" r:id="rId58" name="Check Box 8851">
              <controlPr defaultSize="0" autoFill="0" autoLine="0" autoPict="0" macro="[0]!DoCalculate">
                <anchor moveWithCells="1">
                  <from>
                    <xdr:col>9</xdr:col>
                    <xdr:colOff>76200</xdr:colOff>
                    <xdr:row>110</xdr:row>
                    <xdr:rowOff>0</xdr:rowOff>
                  </from>
                  <to>
                    <xdr:col>9</xdr:col>
                    <xdr:colOff>942975</xdr:colOff>
                    <xdr:row>110</xdr:row>
                    <xdr:rowOff>161925</xdr:rowOff>
                  </to>
                </anchor>
              </controlPr>
            </control>
          </mc:Choice>
        </mc:AlternateContent>
        <mc:AlternateContent xmlns:mc="http://schemas.openxmlformats.org/markup-compatibility/2006">
          <mc:Choice Requires="x14">
            <control shapeId="1520276" r:id="rId59" name="Check Box 8852">
              <controlPr defaultSize="0" autoFill="0" autoLine="0" autoPict="0" macro="[0]!DoCalculate">
                <anchor moveWithCells="1">
                  <from>
                    <xdr:col>9</xdr:col>
                    <xdr:colOff>76200</xdr:colOff>
                    <xdr:row>111</xdr:row>
                    <xdr:rowOff>9525</xdr:rowOff>
                  </from>
                  <to>
                    <xdr:col>9</xdr:col>
                    <xdr:colOff>914400</xdr:colOff>
                    <xdr:row>111</xdr:row>
                    <xdr:rowOff>161925</xdr:rowOff>
                  </to>
                </anchor>
              </controlPr>
            </control>
          </mc:Choice>
        </mc:AlternateContent>
        <mc:AlternateContent xmlns:mc="http://schemas.openxmlformats.org/markup-compatibility/2006">
          <mc:Choice Requires="x14">
            <control shapeId="1520277" r:id="rId60" name="Check Box 8853">
              <controlPr defaultSize="0" autoFill="0" autoLine="0" autoPict="0" macro="[0]!DoCalculate">
                <anchor moveWithCells="1">
                  <from>
                    <xdr:col>9</xdr:col>
                    <xdr:colOff>285750</xdr:colOff>
                    <xdr:row>26</xdr:row>
                    <xdr:rowOff>133350</xdr:rowOff>
                  </from>
                  <to>
                    <xdr:col>9</xdr:col>
                    <xdr:colOff>619125</xdr:colOff>
                    <xdr:row>28</xdr:row>
                    <xdr:rowOff>9525</xdr:rowOff>
                  </to>
                </anchor>
              </controlPr>
            </control>
          </mc:Choice>
        </mc:AlternateContent>
        <mc:AlternateContent xmlns:mc="http://schemas.openxmlformats.org/markup-compatibility/2006">
          <mc:Choice Requires="x14">
            <control shapeId="1520278" r:id="rId61" name="Check Box 8854">
              <controlPr defaultSize="0" autoFill="0" autoLine="0" autoPict="0" macro="[0]!DoCalculate">
                <anchor moveWithCells="1">
                  <from>
                    <xdr:col>9</xdr:col>
                    <xdr:colOff>285750</xdr:colOff>
                    <xdr:row>27</xdr:row>
                    <xdr:rowOff>142875</xdr:rowOff>
                  </from>
                  <to>
                    <xdr:col>9</xdr:col>
                    <xdr:colOff>619125</xdr:colOff>
                    <xdr:row>29</xdr:row>
                    <xdr:rowOff>0</xdr:rowOff>
                  </to>
                </anchor>
              </controlPr>
            </control>
          </mc:Choice>
        </mc:AlternateContent>
        <mc:AlternateContent xmlns:mc="http://schemas.openxmlformats.org/markup-compatibility/2006">
          <mc:Choice Requires="x14">
            <control shapeId="1520279" r:id="rId62" name="Check Box 8855">
              <controlPr defaultSize="0" autoFill="0" autoLine="0" autoPict="0" macro="[0]!DoCalculate">
                <anchor moveWithCells="1">
                  <from>
                    <xdr:col>9</xdr:col>
                    <xdr:colOff>285750</xdr:colOff>
                    <xdr:row>28</xdr:row>
                    <xdr:rowOff>142875</xdr:rowOff>
                  </from>
                  <to>
                    <xdr:col>9</xdr:col>
                    <xdr:colOff>619125</xdr:colOff>
                    <xdr:row>30</xdr:row>
                    <xdr:rowOff>0</xdr:rowOff>
                  </to>
                </anchor>
              </controlPr>
            </control>
          </mc:Choice>
        </mc:AlternateContent>
        <mc:AlternateContent xmlns:mc="http://schemas.openxmlformats.org/markup-compatibility/2006">
          <mc:Choice Requires="x14">
            <control shapeId="1520280" r:id="rId63" name="Check Box 8856">
              <controlPr defaultSize="0" autoFill="0" autoLine="0" autoPict="0" macro="[0]!DoCalculate">
                <anchor moveWithCells="1">
                  <from>
                    <xdr:col>9</xdr:col>
                    <xdr:colOff>285750</xdr:colOff>
                    <xdr:row>29</xdr:row>
                    <xdr:rowOff>123825</xdr:rowOff>
                  </from>
                  <to>
                    <xdr:col>9</xdr:col>
                    <xdr:colOff>619125</xdr:colOff>
                    <xdr:row>31</xdr:row>
                    <xdr:rowOff>0</xdr:rowOff>
                  </to>
                </anchor>
              </controlPr>
            </control>
          </mc:Choice>
        </mc:AlternateContent>
        <mc:AlternateContent xmlns:mc="http://schemas.openxmlformats.org/markup-compatibility/2006">
          <mc:Choice Requires="x14">
            <control shapeId="1520281" r:id="rId64" name="Check Box 8857">
              <controlPr defaultSize="0" autoFill="0" autoLine="0" autoPict="0" macro="[0]!DoCalculate">
                <anchor moveWithCells="1">
                  <from>
                    <xdr:col>9</xdr:col>
                    <xdr:colOff>285750</xdr:colOff>
                    <xdr:row>30</xdr:row>
                    <xdr:rowOff>123825</xdr:rowOff>
                  </from>
                  <to>
                    <xdr:col>9</xdr:col>
                    <xdr:colOff>619125</xdr:colOff>
                    <xdr:row>32</xdr:row>
                    <xdr:rowOff>0</xdr:rowOff>
                  </to>
                </anchor>
              </controlPr>
            </control>
          </mc:Choice>
        </mc:AlternateContent>
        <mc:AlternateContent xmlns:mc="http://schemas.openxmlformats.org/markup-compatibility/2006">
          <mc:Choice Requires="x14">
            <control shapeId="1520282" r:id="rId65" name="Check Box 8858">
              <controlPr defaultSize="0" autoFill="0" autoLine="0" autoPict="0" macro="[0]!DoCalculate">
                <anchor moveWithCells="1">
                  <from>
                    <xdr:col>9</xdr:col>
                    <xdr:colOff>85725</xdr:colOff>
                    <xdr:row>67</xdr:row>
                    <xdr:rowOff>142875</xdr:rowOff>
                  </from>
                  <to>
                    <xdr:col>9</xdr:col>
                    <xdr:colOff>419100</xdr:colOff>
                    <xdr:row>69</xdr:row>
                    <xdr:rowOff>0</xdr:rowOff>
                  </to>
                </anchor>
              </controlPr>
            </control>
          </mc:Choice>
        </mc:AlternateContent>
        <mc:AlternateContent xmlns:mc="http://schemas.openxmlformats.org/markup-compatibility/2006">
          <mc:Choice Requires="x14">
            <control shapeId="1520283" r:id="rId66" name="Check Box 8859">
              <controlPr defaultSize="0" autoFill="0" autoLine="0" autoPict="0" macro="[0]!DoCalculate">
                <anchor moveWithCells="1">
                  <from>
                    <xdr:col>9</xdr:col>
                    <xdr:colOff>85725</xdr:colOff>
                    <xdr:row>68</xdr:row>
                    <xdr:rowOff>133350</xdr:rowOff>
                  </from>
                  <to>
                    <xdr:col>9</xdr:col>
                    <xdr:colOff>419100</xdr:colOff>
                    <xdr:row>69</xdr:row>
                    <xdr:rowOff>171450</xdr:rowOff>
                  </to>
                </anchor>
              </controlPr>
            </control>
          </mc:Choice>
        </mc:AlternateContent>
        <mc:AlternateContent xmlns:mc="http://schemas.openxmlformats.org/markup-compatibility/2006">
          <mc:Choice Requires="x14">
            <control shapeId="1520284" r:id="rId67" name="Check Box 8860">
              <controlPr defaultSize="0" autoFill="0" autoLine="0" autoPict="0" macro="[0]!DoCalculate">
                <anchor moveWithCells="1">
                  <from>
                    <xdr:col>9</xdr:col>
                    <xdr:colOff>85725</xdr:colOff>
                    <xdr:row>69</xdr:row>
                    <xdr:rowOff>133350</xdr:rowOff>
                  </from>
                  <to>
                    <xdr:col>9</xdr:col>
                    <xdr:colOff>419100</xdr:colOff>
                    <xdr:row>71</xdr:row>
                    <xdr:rowOff>0</xdr:rowOff>
                  </to>
                </anchor>
              </controlPr>
            </control>
          </mc:Choice>
        </mc:AlternateContent>
        <mc:AlternateContent xmlns:mc="http://schemas.openxmlformats.org/markup-compatibility/2006">
          <mc:Choice Requires="x14">
            <control shapeId="1520285" r:id="rId68" name="Check Box 8861">
              <controlPr defaultSize="0" autoFill="0" autoLine="0" autoPict="0" macro="[0]!DoCalculate">
                <anchor moveWithCells="1">
                  <from>
                    <xdr:col>9</xdr:col>
                    <xdr:colOff>85725</xdr:colOff>
                    <xdr:row>70</xdr:row>
                    <xdr:rowOff>123825</xdr:rowOff>
                  </from>
                  <to>
                    <xdr:col>9</xdr:col>
                    <xdr:colOff>419100</xdr:colOff>
                    <xdr:row>72</xdr:row>
                    <xdr:rowOff>0</xdr:rowOff>
                  </to>
                </anchor>
              </controlPr>
            </control>
          </mc:Choice>
        </mc:AlternateContent>
        <mc:AlternateContent xmlns:mc="http://schemas.openxmlformats.org/markup-compatibility/2006">
          <mc:Choice Requires="x14">
            <control shapeId="1520286" r:id="rId69" name="Check Box 8862">
              <controlPr defaultSize="0" autoFill="0" autoLine="0" autoPict="0" macro="[0]!DoCalculate">
                <anchor moveWithCells="1">
                  <from>
                    <xdr:col>9</xdr:col>
                    <xdr:colOff>85725</xdr:colOff>
                    <xdr:row>71</xdr:row>
                    <xdr:rowOff>123825</xdr:rowOff>
                  </from>
                  <to>
                    <xdr:col>9</xdr:col>
                    <xdr:colOff>419100</xdr:colOff>
                    <xdr:row>73</xdr:row>
                    <xdr:rowOff>0</xdr:rowOff>
                  </to>
                </anchor>
              </controlPr>
            </control>
          </mc:Choice>
        </mc:AlternateContent>
        <mc:AlternateContent xmlns:mc="http://schemas.openxmlformats.org/markup-compatibility/2006">
          <mc:Choice Requires="x14">
            <control shapeId="1520287" r:id="rId70" name="Check Box 8863">
              <controlPr defaultSize="0" autoFill="0" autoLine="0" autoPict="0" macro="[0]!DoCalculate">
                <anchor moveWithCells="1">
                  <from>
                    <xdr:col>9</xdr:col>
                    <xdr:colOff>85725</xdr:colOff>
                    <xdr:row>116</xdr:row>
                    <xdr:rowOff>142875</xdr:rowOff>
                  </from>
                  <to>
                    <xdr:col>9</xdr:col>
                    <xdr:colOff>419100</xdr:colOff>
                    <xdr:row>118</xdr:row>
                    <xdr:rowOff>19050</xdr:rowOff>
                  </to>
                </anchor>
              </controlPr>
            </control>
          </mc:Choice>
        </mc:AlternateContent>
        <mc:AlternateContent xmlns:mc="http://schemas.openxmlformats.org/markup-compatibility/2006">
          <mc:Choice Requires="x14">
            <control shapeId="1520288" r:id="rId71" name="Check Box 8864">
              <controlPr defaultSize="0" autoFill="0" autoLine="0" autoPict="0" macro="[0]!DoCalculate">
                <anchor moveWithCells="1">
                  <from>
                    <xdr:col>9</xdr:col>
                    <xdr:colOff>85725</xdr:colOff>
                    <xdr:row>117</xdr:row>
                    <xdr:rowOff>133350</xdr:rowOff>
                  </from>
                  <to>
                    <xdr:col>9</xdr:col>
                    <xdr:colOff>419100</xdr:colOff>
                    <xdr:row>119</xdr:row>
                    <xdr:rowOff>9525</xdr:rowOff>
                  </to>
                </anchor>
              </controlPr>
            </control>
          </mc:Choice>
        </mc:AlternateContent>
        <mc:AlternateContent xmlns:mc="http://schemas.openxmlformats.org/markup-compatibility/2006">
          <mc:Choice Requires="x14">
            <control shapeId="1520289" r:id="rId72" name="Check Box 8865">
              <controlPr defaultSize="0" autoFill="0" autoLine="0" autoPict="0" macro="[0]!DoCalculate">
                <anchor moveWithCells="1">
                  <from>
                    <xdr:col>9</xdr:col>
                    <xdr:colOff>85725</xdr:colOff>
                    <xdr:row>118</xdr:row>
                    <xdr:rowOff>133350</xdr:rowOff>
                  </from>
                  <to>
                    <xdr:col>9</xdr:col>
                    <xdr:colOff>419100</xdr:colOff>
                    <xdr:row>120</xdr:row>
                    <xdr:rowOff>9525</xdr:rowOff>
                  </to>
                </anchor>
              </controlPr>
            </control>
          </mc:Choice>
        </mc:AlternateContent>
        <mc:AlternateContent xmlns:mc="http://schemas.openxmlformats.org/markup-compatibility/2006">
          <mc:Choice Requires="x14">
            <control shapeId="1520290" r:id="rId73" name="Check Box 8866">
              <controlPr defaultSize="0" autoFill="0" autoLine="0" autoPict="0" macro="[0]!DoCalculate">
                <anchor moveWithCells="1">
                  <from>
                    <xdr:col>9</xdr:col>
                    <xdr:colOff>85725</xdr:colOff>
                    <xdr:row>119</xdr:row>
                    <xdr:rowOff>123825</xdr:rowOff>
                  </from>
                  <to>
                    <xdr:col>9</xdr:col>
                    <xdr:colOff>419100</xdr:colOff>
                    <xdr:row>121</xdr:row>
                    <xdr:rowOff>0</xdr:rowOff>
                  </to>
                </anchor>
              </controlPr>
            </control>
          </mc:Choice>
        </mc:AlternateContent>
        <mc:AlternateContent xmlns:mc="http://schemas.openxmlformats.org/markup-compatibility/2006">
          <mc:Choice Requires="x14">
            <control shapeId="1520291" r:id="rId74" name="Check Box 8867">
              <controlPr defaultSize="0" autoFill="0" autoLine="0" autoPict="0" macro="[0]!DoCalculate">
                <anchor moveWithCells="1">
                  <from>
                    <xdr:col>9</xdr:col>
                    <xdr:colOff>85725</xdr:colOff>
                    <xdr:row>120</xdr:row>
                    <xdr:rowOff>123825</xdr:rowOff>
                  </from>
                  <to>
                    <xdr:col>9</xdr:col>
                    <xdr:colOff>419100</xdr:colOff>
                    <xdr:row>122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Licences">
    <tabColor rgb="FFFFC000"/>
    <pageSetUpPr fitToPage="1"/>
  </sheetPr>
  <dimension ref="A1:H4348"/>
  <sheetViews>
    <sheetView showGridLines="0" workbookViewId="0">
      <pane ySplit="6" topLeftCell="A7" activePane="bottomLeft" state="frozen"/>
      <selection activeCell="N33" sqref="N33"/>
      <selection pane="bottomLeft" activeCell="C8" sqref="C8:H4339"/>
    </sheetView>
  </sheetViews>
  <sheetFormatPr baseColWidth="10" defaultColWidth="2.7109375" defaultRowHeight="12.75" x14ac:dyDescent="0.2"/>
  <cols>
    <col min="1" max="1" width="3.28515625" style="1397" customWidth="1"/>
    <col min="2" max="2" width="36.140625" style="1397" bestFit="1" customWidth="1"/>
    <col min="3" max="3" width="24.85546875" style="1397" customWidth="1"/>
    <col min="4" max="4" width="24.28515625" style="1397" bestFit="1" customWidth="1"/>
    <col min="5" max="5" width="13.5703125" style="1397" customWidth="1"/>
    <col min="6" max="6" width="11.140625" style="1397" bestFit="1" customWidth="1"/>
    <col min="7" max="7" width="35.7109375" style="1397" bestFit="1" customWidth="1"/>
    <col min="8" max="8" width="12" style="1397" bestFit="1" customWidth="1"/>
    <col min="9" max="252" width="11.42578125" style="1397" customWidth="1"/>
    <col min="253" max="16384" width="2.7109375" style="1397"/>
  </cols>
  <sheetData>
    <row r="1" spans="1:8" ht="36" thickBot="1" x14ac:dyDescent="0.55000000000000004">
      <c r="A1" s="1853">
        <v>200</v>
      </c>
      <c r="B1" s="2259" t="str">
        <f>N_LicencesSheetTitle</f>
        <v>Base de données des joueurs licenciés</v>
      </c>
      <c r="C1" s="2259"/>
      <c r="D1" s="2259"/>
      <c r="E1" s="2259"/>
      <c r="F1" s="2259"/>
      <c r="G1" s="2259"/>
      <c r="H1" s="2259"/>
    </row>
    <row r="2" spans="1:8" x14ac:dyDescent="0.2">
      <c r="A2" s="7"/>
      <c r="B2" s="1413"/>
      <c r="C2" s="1438" t="str">
        <f>N_TotalNbPlayers</f>
        <v>Nombre total de joueurs classés</v>
      </c>
      <c r="D2" s="1414">
        <f ca="1">COUNTA(OFFSET(FullLicencedPlayerList,0,1,,1))</f>
        <v>4331</v>
      </c>
      <c r="E2" s="1414"/>
      <c r="F2" s="1414"/>
      <c r="G2" s="1414"/>
      <c r="H2" s="1415"/>
    </row>
    <row r="3" spans="1:8" x14ac:dyDescent="0.2">
      <c r="A3" s="7"/>
      <c r="B3" s="1416"/>
      <c r="C3" s="1422" t="str">
        <f>N_TotalNbPlayersLines</f>
        <v>Nombre total de lignes de la liste</v>
      </c>
      <c r="D3" s="1411">
        <f>ROWS(FullLicencedPlayerList)</f>
        <v>4341</v>
      </c>
      <c r="E3" s="1411"/>
      <c r="F3" s="1411"/>
      <c r="G3" s="1422"/>
      <c r="H3" s="1417"/>
    </row>
    <row r="4" spans="1:8" ht="15.75" x14ac:dyDescent="0.2">
      <c r="A4" s="1394"/>
      <c r="B4" s="1408">
        <f ca="1">COUNTA(OFFSET(Liste_licenciés_noms_prénoms,0,1))</f>
        <v>4331</v>
      </c>
      <c r="C4" s="1409"/>
      <c r="D4" s="1409"/>
      <c r="E4" s="1409"/>
      <c r="F4" s="1410"/>
      <c r="G4" s="1411"/>
      <c r="H4" s="1412"/>
    </row>
    <row r="5" spans="1:8" ht="15.75" thickBot="1" x14ac:dyDescent="0.3">
      <c r="A5" s="7"/>
      <c r="B5" s="2256" t="str">
        <f>N_Player_list</f>
        <v>Liste des joueurs licenciés</v>
      </c>
      <c r="C5" s="2257"/>
      <c r="D5" s="2257"/>
      <c r="E5" s="2257"/>
      <c r="F5" s="2257"/>
      <c r="G5" s="2257"/>
      <c r="H5" s="2258"/>
    </row>
    <row r="6" spans="1:8" ht="13.5" thickBot="1" x14ac:dyDescent="0.25">
      <c r="A6" s="7"/>
      <c r="B6" s="1418" t="str">
        <f>N_Name_1stname</f>
        <v>NOM / Prénom</v>
      </c>
      <c r="C6" s="1419" t="str">
        <f>N_Family_Name</f>
        <v>Nom</v>
      </c>
      <c r="D6" s="1418" t="str">
        <f>N_1st_Name</f>
        <v>Prénom</v>
      </c>
      <c r="E6" s="1420" t="str">
        <f>N_Licence</f>
        <v>N° Licence</v>
      </c>
      <c r="F6" s="1420" t="str">
        <f>N_Category</f>
        <v>Catégorie</v>
      </c>
      <c r="G6" s="1418" t="str">
        <f>N_Club</f>
        <v>Club</v>
      </c>
      <c r="H6" s="1421" t="str">
        <f>N_Nationality</f>
        <v>Nationalité</v>
      </c>
    </row>
    <row r="7" spans="1:8" x14ac:dyDescent="0.2">
      <c r="A7" s="7"/>
      <c r="B7" s="1407" t="s">
        <v>2797</v>
      </c>
      <c r="C7" s="1402"/>
      <c r="D7" s="1403"/>
      <c r="E7" s="1404"/>
      <c r="F7" s="1405"/>
      <c r="G7" s="1403"/>
      <c r="H7" s="1406"/>
    </row>
    <row r="8" spans="1:8" x14ac:dyDescent="0.2">
      <c r="A8" s="7"/>
      <c r="B8" s="1407" t="str">
        <f t="shared" ref="B8:B70" si="0">TRIM(CONCATENATE(D8," ",C8))</f>
        <v>Fabrizio Bertolini</v>
      </c>
      <c r="C8" s="1402" t="s">
        <v>5666</v>
      </c>
      <c r="D8" s="1403" t="s">
        <v>3087</v>
      </c>
      <c r="E8" s="1404" t="s">
        <v>4056</v>
      </c>
      <c r="F8" s="1405" t="s">
        <v>5300</v>
      </c>
      <c r="G8" s="1403" t="s">
        <v>9589</v>
      </c>
      <c r="H8" s="1406" t="s">
        <v>984</v>
      </c>
    </row>
    <row r="9" spans="1:8" x14ac:dyDescent="0.2">
      <c r="A9" s="7"/>
      <c r="B9" s="1407" t="str">
        <f t="shared" si="0"/>
        <v>Gioacchino Di Giannantonio</v>
      </c>
      <c r="C9" s="1402" t="s">
        <v>5667</v>
      </c>
      <c r="D9" s="1403" t="s">
        <v>6872</v>
      </c>
      <c r="E9" s="1404" t="s">
        <v>4057</v>
      </c>
      <c r="F9" s="1405" t="s">
        <v>5300</v>
      </c>
      <c r="G9" s="1403" t="s">
        <v>9589</v>
      </c>
      <c r="H9" s="1406" t="s">
        <v>984</v>
      </c>
    </row>
    <row r="10" spans="1:8" x14ac:dyDescent="0.2">
      <c r="A10" s="7"/>
      <c r="B10" s="1407" t="str">
        <f t="shared" si="0"/>
        <v>Gustavo Di Giannantonio</v>
      </c>
      <c r="C10" s="1402" t="s">
        <v>5667</v>
      </c>
      <c r="D10" s="1403" t="s">
        <v>6873</v>
      </c>
      <c r="E10" s="1404" t="s">
        <v>4058</v>
      </c>
      <c r="F10" s="1405" t="s">
        <v>5299</v>
      </c>
      <c r="G10" s="1403" t="s">
        <v>9589</v>
      </c>
      <c r="H10" s="1406" t="s">
        <v>984</v>
      </c>
    </row>
    <row r="11" spans="1:8" x14ac:dyDescent="0.2">
      <c r="A11" s="7"/>
      <c r="B11" s="1407" t="str">
        <f t="shared" si="0"/>
        <v>Nino Di Giannantonio</v>
      </c>
      <c r="C11" s="1402" t="s">
        <v>5667</v>
      </c>
      <c r="D11" s="1403" t="s">
        <v>6874</v>
      </c>
      <c r="E11" s="1404" t="s">
        <v>4059</v>
      </c>
      <c r="F11" s="1405" t="s">
        <v>5299</v>
      </c>
      <c r="G11" s="1403" t="s">
        <v>9589</v>
      </c>
      <c r="H11" s="1406" t="s">
        <v>984</v>
      </c>
    </row>
    <row r="12" spans="1:8" x14ac:dyDescent="0.2">
      <c r="A12" s="7"/>
      <c r="B12" s="1407" t="str">
        <f t="shared" si="0"/>
        <v>Bruno Di Paolo Sr.</v>
      </c>
      <c r="C12" s="1402" t="s">
        <v>5668</v>
      </c>
      <c r="D12" s="1403" t="s">
        <v>3168</v>
      </c>
      <c r="E12" s="1404" t="s">
        <v>4060</v>
      </c>
      <c r="F12" s="1405" t="s">
        <v>5300</v>
      </c>
      <c r="G12" s="1403" t="s">
        <v>9589</v>
      </c>
      <c r="H12" s="1406" t="s">
        <v>984</v>
      </c>
    </row>
    <row r="13" spans="1:8" x14ac:dyDescent="0.2">
      <c r="A13" s="7"/>
      <c r="B13" s="1407" t="str">
        <f t="shared" si="0"/>
        <v>Paolo Ferrara</v>
      </c>
      <c r="C13" s="1402" t="s">
        <v>5669</v>
      </c>
      <c r="D13" s="1403" t="s">
        <v>3119</v>
      </c>
      <c r="E13" s="1404" t="s">
        <v>4061</v>
      </c>
      <c r="F13" s="1405" t="s">
        <v>5299</v>
      </c>
      <c r="G13" s="1403" t="s">
        <v>9589</v>
      </c>
      <c r="H13" s="1406" t="s">
        <v>984</v>
      </c>
    </row>
    <row r="14" spans="1:8" x14ac:dyDescent="0.2">
      <c r="A14" s="7"/>
      <c r="B14" s="1407" t="str">
        <f t="shared" si="0"/>
        <v>Gonzalo Gómez</v>
      </c>
      <c r="C14" s="1402" t="s">
        <v>7364</v>
      </c>
      <c r="D14" s="1403" t="s">
        <v>3403</v>
      </c>
      <c r="E14" s="1404" t="s">
        <v>4062</v>
      </c>
      <c r="F14" s="1405" t="s">
        <v>5299</v>
      </c>
      <c r="G14" s="1403" t="s">
        <v>9589</v>
      </c>
      <c r="H14" s="1406" t="s">
        <v>984</v>
      </c>
    </row>
    <row r="15" spans="1:8" x14ac:dyDescent="0.2">
      <c r="A15" s="7"/>
      <c r="B15" s="1407" t="str">
        <f t="shared" si="0"/>
        <v>Leonardo Mario Juanto</v>
      </c>
      <c r="C15" s="1402" t="s">
        <v>5670</v>
      </c>
      <c r="D15" s="1403" t="s">
        <v>6875</v>
      </c>
      <c r="E15" s="1404" t="s">
        <v>4063</v>
      </c>
      <c r="F15" s="1405" t="s">
        <v>5299</v>
      </c>
      <c r="G15" s="1403" t="s">
        <v>9589</v>
      </c>
      <c r="H15" s="1406" t="s">
        <v>984</v>
      </c>
    </row>
    <row r="16" spans="1:8" x14ac:dyDescent="0.2">
      <c r="A16" s="7"/>
      <c r="B16" s="1407" t="str">
        <f t="shared" si="0"/>
        <v>Toribio Lambertucci</v>
      </c>
      <c r="C16" s="1402" t="s">
        <v>5671</v>
      </c>
      <c r="D16" s="1403" t="s">
        <v>3536</v>
      </c>
      <c r="E16" s="1404" t="s">
        <v>4064</v>
      </c>
      <c r="F16" s="1405" t="s">
        <v>5300</v>
      </c>
      <c r="G16" s="1403" t="s">
        <v>9589</v>
      </c>
      <c r="H16" s="1406" t="s">
        <v>984</v>
      </c>
    </row>
    <row r="17" spans="1:8" x14ac:dyDescent="0.2">
      <c r="A17" s="7"/>
      <c r="B17" s="1407" t="str">
        <f t="shared" si="0"/>
        <v>Matías Lioy</v>
      </c>
      <c r="C17" s="1402" t="s">
        <v>5672</v>
      </c>
      <c r="D17" s="1403" t="s">
        <v>3078</v>
      </c>
      <c r="E17" s="1404" t="s">
        <v>4065</v>
      </c>
      <c r="F17" s="1405" t="s">
        <v>5299</v>
      </c>
      <c r="G17" s="1403" t="s">
        <v>9589</v>
      </c>
      <c r="H17" s="1406" t="s">
        <v>984</v>
      </c>
    </row>
    <row r="18" spans="1:8" x14ac:dyDescent="0.2">
      <c r="A18" s="7"/>
      <c r="B18" s="1407" t="str">
        <f t="shared" si="0"/>
        <v>Nicolás Lioy</v>
      </c>
      <c r="C18" s="1402" t="s">
        <v>5672</v>
      </c>
      <c r="D18" s="1403" t="s">
        <v>3066</v>
      </c>
      <c r="E18" s="1404" t="s">
        <v>4066</v>
      </c>
      <c r="F18" s="1405" t="s">
        <v>5299</v>
      </c>
      <c r="G18" s="1403" t="s">
        <v>9589</v>
      </c>
      <c r="H18" s="1406" t="s">
        <v>984</v>
      </c>
    </row>
    <row r="19" spans="1:8" x14ac:dyDescent="0.2">
      <c r="A19" s="7"/>
      <c r="B19" s="1407" t="str">
        <f t="shared" si="0"/>
        <v>Claudio Murcilli</v>
      </c>
      <c r="C19" s="1402" t="s">
        <v>5673</v>
      </c>
      <c r="D19" s="1403" t="s">
        <v>3038</v>
      </c>
      <c r="E19" s="1404" t="s">
        <v>4067</v>
      </c>
      <c r="F19" s="1405" t="s">
        <v>5300</v>
      </c>
      <c r="G19" s="1403" t="s">
        <v>9589</v>
      </c>
      <c r="H19" s="1406" t="s">
        <v>984</v>
      </c>
    </row>
    <row r="20" spans="1:8" x14ac:dyDescent="0.2">
      <c r="A20" s="7"/>
      <c r="B20" s="1407" t="str">
        <f t="shared" si="0"/>
        <v>Renato Murcilli</v>
      </c>
      <c r="C20" s="1402" t="s">
        <v>5673</v>
      </c>
      <c r="D20" s="1403" t="s">
        <v>3178</v>
      </c>
      <c r="E20" s="1404" t="s">
        <v>4068</v>
      </c>
      <c r="F20" s="1405" t="s">
        <v>5299</v>
      </c>
      <c r="G20" s="1403" t="s">
        <v>9589</v>
      </c>
      <c r="H20" s="1406" t="s">
        <v>984</v>
      </c>
    </row>
    <row r="21" spans="1:8" x14ac:dyDescent="0.2">
      <c r="A21" s="7"/>
      <c r="B21" s="1407" t="str">
        <f t="shared" si="0"/>
        <v>Ricardo Roberti</v>
      </c>
      <c r="C21" s="1402" t="s">
        <v>5674</v>
      </c>
      <c r="D21" s="1403" t="s">
        <v>3137</v>
      </c>
      <c r="E21" s="1404" t="s">
        <v>4069</v>
      </c>
      <c r="F21" s="1405" t="s">
        <v>5299</v>
      </c>
      <c r="G21" s="1403" t="s">
        <v>9589</v>
      </c>
      <c r="H21" s="1406" t="s">
        <v>984</v>
      </c>
    </row>
    <row r="22" spans="1:8" x14ac:dyDescent="0.2">
      <c r="A22" s="7"/>
      <c r="B22" s="1407" t="str">
        <f t="shared" si="0"/>
        <v>Edgar Shoenfeld</v>
      </c>
      <c r="C22" s="1402" t="s">
        <v>5675</v>
      </c>
      <c r="D22" s="1403" t="s">
        <v>3128</v>
      </c>
      <c r="E22" s="1404" t="s">
        <v>4070</v>
      </c>
      <c r="F22" s="1405" t="s">
        <v>5300</v>
      </c>
      <c r="G22" s="1403" t="s">
        <v>9589</v>
      </c>
      <c r="H22" s="1406" t="s">
        <v>984</v>
      </c>
    </row>
    <row r="23" spans="1:8" x14ac:dyDescent="0.2">
      <c r="A23" s="7"/>
      <c r="B23" s="1407" t="str">
        <f t="shared" si="0"/>
        <v>Fernando Tortelli</v>
      </c>
      <c r="C23" s="1402" t="s">
        <v>5676</v>
      </c>
      <c r="D23" s="1403" t="s">
        <v>3292</v>
      </c>
      <c r="E23" s="1404" t="s">
        <v>4071</v>
      </c>
      <c r="F23" s="1405" t="s">
        <v>5299</v>
      </c>
      <c r="G23" s="1403" t="s">
        <v>9589</v>
      </c>
      <c r="H23" s="1406" t="s">
        <v>984</v>
      </c>
    </row>
    <row r="24" spans="1:8" x14ac:dyDescent="0.2">
      <c r="A24" s="7"/>
      <c r="B24" s="1407" t="str">
        <f t="shared" si="0"/>
        <v>Leonardo Vera</v>
      </c>
      <c r="C24" s="1402" t="s">
        <v>5677</v>
      </c>
      <c r="D24" s="1403" t="s">
        <v>3633</v>
      </c>
      <c r="E24" s="1404" t="s">
        <v>4072</v>
      </c>
      <c r="F24" s="1405" t="s">
        <v>5299</v>
      </c>
      <c r="G24" s="1403" t="s">
        <v>9589</v>
      </c>
      <c r="H24" s="1406" t="s">
        <v>984</v>
      </c>
    </row>
    <row r="25" spans="1:8" x14ac:dyDescent="0.2">
      <c r="A25" s="7"/>
      <c r="B25" s="1407" t="str">
        <f t="shared" si="0"/>
        <v>Gregorio Caro Solis</v>
      </c>
      <c r="C25" s="1402" t="s">
        <v>5678</v>
      </c>
      <c r="D25" s="1403" t="s">
        <v>3430</v>
      </c>
      <c r="E25" s="1404" t="s">
        <v>4073</v>
      </c>
      <c r="F25" s="1405" t="s">
        <v>5300</v>
      </c>
      <c r="G25" s="1403" t="s">
        <v>2757</v>
      </c>
      <c r="H25" s="1406" t="s">
        <v>984</v>
      </c>
    </row>
    <row r="26" spans="1:8" x14ac:dyDescent="0.2">
      <c r="A26" s="7"/>
      <c r="B26" s="1407" t="str">
        <f t="shared" si="0"/>
        <v>Flavio Bellingeri</v>
      </c>
      <c r="C26" s="1402" t="s">
        <v>5679</v>
      </c>
      <c r="D26" s="1403" t="s">
        <v>3201</v>
      </c>
      <c r="E26" s="1404" t="s">
        <v>4074</v>
      </c>
      <c r="F26" s="1405" t="s">
        <v>5300</v>
      </c>
      <c r="G26" s="1403" t="s">
        <v>2757</v>
      </c>
      <c r="H26" s="1406" t="s">
        <v>984</v>
      </c>
    </row>
    <row r="27" spans="1:8" x14ac:dyDescent="0.2">
      <c r="A27" s="7"/>
      <c r="B27" s="1407" t="str">
        <f t="shared" si="0"/>
        <v>Christopher Wander</v>
      </c>
      <c r="C27" s="1402" t="s">
        <v>5680</v>
      </c>
      <c r="D27" s="1403" t="s">
        <v>3262</v>
      </c>
      <c r="E27" s="1404" t="s">
        <v>4075</v>
      </c>
      <c r="F27" s="1405" t="s">
        <v>5300</v>
      </c>
      <c r="G27" s="1403" t="s">
        <v>2757</v>
      </c>
      <c r="H27" s="1406" t="s">
        <v>984</v>
      </c>
    </row>
    <row r="28" spans="1:8" x14ac:dyDescent="0.2">
      <c r="A28" s="7"/>
      <c r="B28" s="1407" t="str">
        <f t="shared" si="0"/>
        <v>Germán Pacello</v>
      </c>
      <c r="C28" s="1402" t="s">
        <v>14340</v>
      </c>
      <c r="D28" s="1403" t="s">
        <v>3291</v>
      </c>
      <c r="E28" s="1404" t="s">
        <v>4076</v>
      </c>
      <c r="F28" s="1405" t="s">
        <v>5299</v>
      </c>
      <c r="G28" s="1403" t="s">
        <v>2757</v>
      </c>
      <c r="H28" s="1406" t="s">
        <v>984</v>
      </c>
    </row>
    <row r="29" spans="1:8" x14ac:dyDescent="0.2">
      <c r="A29" s="7"/>
      <c r="B29" s="1407" t="str">
        <f t="shared" si="0"/>
        <v>Patricio Echevarrieta</v>
      </c>
      <c r="C29" s="1402" t="s">
        <v>5681</v>
      </c>
      <c r="D29" s="1403" t="s">
        <v>3400</v>
      </c>
      <c r="E29" s="1404" t="s">
        <v>4077</v>
      </c>
      <c r="F29" s="1405" t="s">
        <v>5299</v>
      </c>
      <c r="G29" s="1403" t="s">
        <v>2757</v>
      </c>
      <c r="H29" s="1406" t="s">
        <v>984</v>
      </c>
    </row>
    <row r="30" spans="1:8" x14ac:dyDescent="0.2">
      <c r="A30" s="7"/>
      <c r="B30" s="1407" t="str">
        <f t="shared" si="0"/>
        <v>Fernando Soneira</v>
      </c>
      <c r="C30" s="1402" t="s">
        <v>5682</v>
      </c>
      <c r="D30" s="1403" t="s">
        <v>3292</v>
      </c>
      <c r="E30" s="1404" t="s">
        <v>4078</v>
      </c>
      <c r="F30" s="1405" t="s">
        <v>5299</v>
      </c>
      <c r="G30" s="1403" t="s">
        <v>2757</v>
      </c>
      <c r="H30" s="1406" t="s">
        <v>984</v>
      </c>
    </row>
    <row r="31" spans="1:8" x14ac:dyDescent="0.2">
      <c r="A31" s="7"/>
      <c r="B31" s="1407" t="str">
        <f t="shared" si="0"/>
        <v>Claudia Cuello</v>
      </c>
      <c r="C31" s="1402" t="s">
        <v>5683</v>
      </c>
      <c r="D31" s="1403" t="s">
        <v>3169</v>
      </c>
      <c r="E31" s="1404" t="s">
        <v>4079</v>
      </c>
      <c r="F31" s="1405" t="s">
        <v>5299</v>
      </c>
      <c r="G31" s="1403" t="s">
        <v>2757</v>
      </c>
      <c r="H31" s="1406" t="s">
        <v>984</v>
      </c>
    </row>
    <row r="32" spans="1:8" x14ac:dyDescent="0.2">
      <c r="A32" s="7"/>
      <c r="B32" s="1407" t="str">
        <f t="shared" si="0"/>
        <v>Sergio Gustavo Pelle</v>
      </c>
      <c r="C32" s="1402" t="s">
        <v>5684</v>
      </c>
      <c r="D32" s="1403" t="s">
        <v>6876</v>
      </c>
      <c r="E32" s="1404" t="s">
        <v>4080</v>
      </c>
      <c r="F32" s="1405" t="s">
        <v>5300</v>
      </c>
      <c r="G32" s="1403" t="s">
        <v>9590</v>
      </c>
      <c r="H32" s="1406" t="s">
        <v>984</v>
      </c>
    </row>
    <row r="33" spans="1:8" x14ac:dyDescent="0.2">
      <c r="A33" s="7"/>
      <c r="B33" s="1407" t="str">
        <f t="shared" si="0"/>
        <v>Juan Carlos Galassi</v>
      </c>
      <c r="C33" s="1402" t="s">
        <v>5685</v>
      </c>
      <c r="D33" s="1403" t="s">
        <v>3091</v>
      </c>
      <c r="E33" s="1404" t="s">
        <v>4081</v>
      </c>
      <c r="F33" s="1405" t="s">
        <v>5300</v>
      </c>
      <c r="G33" s="1403" t="s">
        <v>9590</v>
      </c>
      <c r="H33" s="1406" t="s">
        <v>984</v>
      </c>
    </row>
    <row r="34" spans="1:8" x14ac:dyDescent="0.2">
      <c r="A34" s="7"/>
      <c r="B34" s="1407" t="str">
        <f t="shared" si="0"/>
        <v>Leonardo Galassi</v>
      </c>
      <c r="C34" s="1402" t="s">
        <v>5685</v>
      </c>
      <c r="D34" s="1403" t="s">
        <v>3633</v>
      </c>
      <c r="E34" s="1404" t="s">
        <v>4082</v>
      </c>
      <c r="F34" s="1405" t="s">
        <v>5300</v>
      </c>
      <c r="G34" s="1403" t="s">
        <v>9590</v>
      </c>
      <c r="H34" s="1406" t="s">
        <v>984</v>
      </c>
    </row>
    <row r="35" spans="1:8" x14ac:dyDescent="0.2">
      <c r="A35" s="7"/>
      <c r="B35" s="1407" t="str">
        <f t="shared" si="0"/>
        <v>Juan Manuel Sordo</v>
      </c>
      <c r="C35" s="1402" t="s">
        <v>5686</v>
      </c>
      <c r="D35" s="1403" t="s">
        <v>3065</v>
      </c>
      <c r="E35" s="1404" t="s">
        <v>4083</v>
      </c>
      <c r="F35" s="1405" t="s">
        <v>5299</v>
      </c>
      <c r="G35" s="1403" t="s">
        <v>9590</v>
      </c>
      <c r="H35" s="1406" t="s">
        <v>984</v>
      </c>
    </row>
    <row r="36" spans="1:8" x14ac:dyDescent="0.2">
      <c r="A36" s="7"/>
      <c r="B36" s="1407" t="str">
        <f t="shared" si="0"/>
        <v>Mauro Bertolini</v>
      </c>
      <c r="C36" s="1402" t="s">
        <v>5666</v>
      </c>
      <c r="D36" s="1403" t="s">
        <v>3204</v>
      </c>
      <c r="E36" s="1404" t="s">
        <v>4084</v>
      </c>
      <c r="F36" s="1405" t="s">
        <v>5299</v>
      </c>
      <c r="G36" s="1403" t="s">
        <v>9589</v>
      </c>
      <c r="H36" s="1406" t="s">
        <v>984</v>
      </c>
    </row>
    <row r="37" spans="1:8" x14ac:dyDescent="0.2">
      <c r="A37" s="7"/>
      <c r="B37" s="1407" t="str">
        <f t="shared" si="0"/>
        <v>Sebastián Pesci</v>
      </c>
      <c r="C37" s="1402" t="s">
        <v>5687</v>
      </c>
      <c r="D37" s="1403" t="s">
        <v>8875</v>
      </c>
      <c r="E37" s="1404" t="s">
        <v>4085</v>
      </c>
      <c r="F37" s="1405" t="s">
        <v>5299</v>
      </c>
      <c r="G37" s="1403" t="s">
        <v>9589</v>
      </c>
      <c r="H37" s="1406" t="s">
        <v>984</v>
      </c>
    </row>
    <row r="38" spans="1:8" x14ac:dyDescent="0.2">
      <c r="A38" s="7"/>
      <c r="B38" s="1407" t="str">
        <f t="shared" si="0"/>
        <v>Agustin Ortega</v>
      </c>
      <c r="C38" s="1402" t="s">
        <v>5688</v>
      </c>
      <c r="D38" s="1403" t="s">
        <v>5521</v>
      </c>
      <c r="E38" s="1404" t="s">
        <v>4086</v>
      </c>
      <c r="F38" s="1405" t="s">
        <v>5299</v>
      </c>
      <c r="G38" s="1403" t="s">
        <v>9589</v>
      </c>
      <c r="H38" s="1406" t="s">
        <v>984</v>
      </c>
    </row>
    <row r="39" spans="1:8" x14ac:dyDescent="0.2">
      <c r="A39" s="7"/>
      <c r="B39" s="1407" t="str">
        <f t="shared" si="0"/>
        <v>Agustin Bruno</v>
      </c>
      <c r="C39" s="1402" t="s">
        <v>3168</v>
      </c>
      <c r="D39" s="1403" t="s">
        <v>5521</v>
      </c>
      <c r="E39" s="1404" t="s">
        <v>4087</v>
      </c>
      <c r="F39" s="1405" t="s">
        <v>5299</v>
      </c>
      <c r="G39" s="1403" t="s">
        <v>9589</v>
      </c>
      <c r="H39" s="1406" t="s">
        <v>984</v>
      </c>
    </row>
    <row r="40" spans="1:8" x14ac:dyDescent="0.2">
      <c r="A40" s="7"/>
      <c r="B40" s="1407" t="str">
        <f t="shared" si="0"/>
        <v>Tomas Testoni</v>
      </c>
      <c r="C40" s="1402" t="s">
        <v>5689</v>
      </c>
      <c r="D40" s="1403" t="s">
        <v>5581</v>
      </c>
      <c r="E40" s="1404" t="s">
        <v>4088</v>
      </c>
      <c r="F40" s="1405" t="s">
        <v>5299</v>
      </c>
      <c r="G40" s="1403" t="s">
        <v>9589</v>
      </c>
      <c r="H40" s="1406" t="s">
        <v>984</v>
      </c>
    </row>
    <row r="41" spans="1:8" x14ac:dyDescent="0.2">
      <c r="A41" s="7"/>
      <c r="B41" s="1407" t="str">
        <f t="shared" si="0"/>
        <v>Alvaro Paciaroni</v>
      </c>
      <c r="C41" s="1402" t="s">
        <v>5690</v>
      </c>
      <c r="D41" s="1403" t="s">
        <v>5541</v>
      </c>
      <c r="E41" s="1404" t="s">
        <v>4089</v>
      </c>
      <c r="F41" s="1405" t="s">
        <v>5299</v>
      </c>
      <c r="G41" s="1403" t="s">
        <v>9589</v>
      </c>
      <c r="H41" s="1406" t="s">
        <v>984</v>
      </c>
    </row>
    <row r="42" spans="1:8" x14ac:dyDescent="0.2">
      <c r="A42" s="7"/>
      <c r="B42" s="1407" t="str">
        <f t="shared" si="0"/>
        <v>Ricardo Buldorini</v>
      </c>
      <c r="C42" s="1402" t="s">
        <v>5691</v>
      </c>
      <c r="D42" s="1403" t="s">
        <v>3137</v>
      </c>
      <c r="E42" s="1404" t="s">
        <v>4090</v>
      </c>
      <c r="F42" s="1405" t="s">
        <v>5299</v>
      </c>
      <c r="G42" s="1403" t="s">
        <v>9589</v>
      </c>
      <c r="H42" s="1406" t="s">
        <v>984</v>
      </c>
    </row>
    <row r="43" spans="1:8" x14ac:dyDescent="0.2">
      <c r="A43" s="7"/>
      <c r="B43" s="1407" t="str">
        <f t="shared" si="0"/>
        <v>Martín Zega</v>
      </c>
      <c r="C43" s="1402" t="s">
        <v>5692</v>
      </c>
      <c r="D43" s="1403" t="s">
        <v>5634</v>
      </c>
      <c r="E43" s="1404" t="s">
        <v>4091</v>
      </c>
      <c r="F43" s="1405" t="s">
        <v>5299</v>
      </c>
      <c r="G43" s="1403" t="s">
        <v>9589</v>
      </c>
      <c r="H43" s="1406" t="s">
        <v>984</v>
      </c>
    </row>
    <row r="44" spans="1:8" x14ac:dyDescent="0.2">
      <c r="A44" s="7"/>
      <c r="B44" s="1407" t="str">
        <f t="shared" si="0"/>
        <v>Santiago Shoenfeld</v>
      </c>
      <c r="C44" s="1402" t="s">
        <v>5675</v>
      </c>
      <c r="D44" s="1403" t="s">
        <v>3579</v>
      </c>
      <c r="E44" s="1404" t="s">
        <v>7052</v>
      </c>
      <c r="F44" s="1405" t="s">
        <v>5299</v>
      </c>
      <c r="G44" s="1403" t="s">
        <v>9589</v>
      </c>
      <c r="H44" s="1406" t="s">
        <v>984</v>
      </c>
    </row>
    <row r="45" spans="1:8" x14ac:dyDescent="0.2">
      <c r="A45" s="7"/>
      <c r="B45" s="1407" t="str">
        <f t="shared" si="0"/>
        <v>Tomás Shoenfeld</v>
      </c>
      <c r="C45" s="1402" t="s">
        <v>5675</v>
      </c>
      <c r="D45" s="1403" t="s">
        <v>5641</v>
      </c>
      <c r="E45" s="1404" t="s">
        <v>7053</v>
      </c>
      <c r="F45" s="1405" t="s">
        <v>5299</v>
      </c>
      <c r="G45" s="1403" t="s">
        <v>9589</v>
      </c>
      <c r="H45" s="1406" t="s">
        <v>984</v>
      </c>
    </row>
    <row r="46" spans="1:8" x14ac:dyDescent="0.2">
      <c r="A46" s="7"/>
      <c r="B46" s="1407" t="str">
        <f t="shared" si="0"/>
        <v>Davide Bozzano</v>
      </c>
      <c r="C46" s="1402" t="s">
        <v>7984</v>
      </c>
      <c r="D46" s="1403" t="s">
        <v>3329</v>
      </c>
      <c r="E46" s="1404" t="s">
        <v>8318</v>
      </c>
      <c r="F46" s="1405" t="s">
        <v>5300</v>
      </c>
      <c r="G46" s="1403" t="s">
        <v>9589</v>
      </c>
      <c r="H46" s="1406" t="s">
        <v>984</v>
      </c>
    </row>
    <row r="47" spans="1:8" x14ac:dyDescent="0.2">
      <c r="A47" s="7"/>
      <c r="B47" s="1407" t="str">
        <f t="shared" si="0"/>
        <v>Norberto Martínez</v>
      </c>
      <c r="C47" s="1402" t="s">
        <v>5953</v>
      </c>
      <c r="D47" s="1403" t="s">
        <v>3386</v>
      </c>
      <c r="E47" s="1404" t="s">
        <v>8319</v>
      </c>
      <c r="F47" s="1405" t="s">
        <v>5300</v>
      </c>
      <c r="G47" s="1403" t="s">
        <v>9591</v>
      </c>
      <c r="H47" s="1406" t="s">
        <v>984</v>
      </c>
    </row>
    <row r="48" spans="1:8" x14ac:dyDescent="0.2">
      <c r="A48" s="7"/>
      <c r="B48" s="1407" t="str">
        <f t="shared" si="0"/>
        <v>Norberto Oscar Martínez</v>
      </c>
      <c r="C48" s="1402" t="s">
        <v>5953</v>
      </c>
      <c r="D48" s="1403" t="s">
        <v>8216</v>
      </c>
      <c r="E48" s="1404" t="s">
        <v>8320</v>
      </c>
      <c r="F48" s="1405" t="s">
        <v>5300</v>
      </c>
      <c r="G48" s="1403" t="s">
        <v>9591</v>
      </c>
      <c r="H48" s="1406" t="s">
        <v>984</v>
      </c>
    </row>
    <row r="49" spans="1:8" x14ac:dyDescent="0.2">
      <c r="A49" s="7"/>
      <c r="B49" s="1407" t="str">
        <f t="shared" si="0"/>
        <v>Carlos Alberto Martínez</v>
      </c>
      <c r="C49" s="1402" t="s">
        <v>5953</v>
      </c>
      <c r="D49" s="1403" t="s">
        <v>8217</v>
      </c>
      <c r="E49" s="1404" t="s">
        <v>8321</v>
      </c>
      <c r="F49" s="1405" t="s">
        <v>5299</v>
      </c>
      <c r="G49" s="1403" t="s">
        <v>9591</v>
      </c>
      <c r="H49" s="1406" t="s">
        <v>984</v>
      </c>
    </row>
    <row r="50" spans="1:8" x14ac:dyDescent="0.2">
      <c r="A50" s="7"/>
      <c r="B50" s="1407" t="str">
        <f t="shared" si="0"/>
        <v>Guillermo Joel Gramajo</v>
      </c>
      <c r="C50" s="1402" t="s">
        <v>7985</v>
      </c>
      <c r="D50" s="1403" t="s">
        <v>8218</v>
      </c>
      <c r="E50" s="1404" t="s">
        <v>8322</v>
      </c>
      <c r="F50" s="1405" t="s">
        <v>5299</v>
      </c>
      <c r="G50" s="1403" t="s">
        <v>9591</v>
      </c>
      <c r="H50" s="1406" t="s">
        <v>984</v>
      </c>
    </row>
    <row r="51" spans="1:8" x14ac:dyDescent="0.2">
      <c r="A51" s="7"/>
      <c r="B51" s="1407" t="str">
        <f t="shared" si="0"/>
        <v>Maximiliano Gabriel Vergara</v>
      </c>
      <c r="C51" s="1402" t="s">
        <v>7986</v>
      </c>
      <c r="D51" s="1403" t="s">
        <v>8219</v>
      </c>
      <c r="E51" s="1404" t="s">
        <v>8323</v>
      </c>
      <c r="F51" s="1405" t="s">
        <v>5299</v>
      </c>
      <c r="G51" s="1403" t="s">
        <v>9591</v>
      </c>
      <c r="H51" s="1406" t="s">
        <v>984</v>
      </c>
    </row>
    <row r="52" spans="1:8" x14ac:dyDescent="0.2">
      <c r="A52" s="7"/>
      <c r="B52" s="1407" t="str">
        <f t="shared" si="0"/>
        <v>Mariano Di Luozzo</v>
      </c>
      <c r="C52" s="1402" t="s">
        <v>7987</v>
      </c>
      <c r="D52" s="1403" t="s">
        <v>3537</v>
      </c>
      <c r="E52" s="1404" t="s">
        <v>8324</v>
      </c>
      <c r="F52" s="1405" t="s">
        <v>5299</v>
      </c>
      <c r="G52" s="1403" t="s">
        <v>9592</v>
      </c>
      <c r="H52" s="1406" t="s">
        <v>984</v>
      </c>
    </row>
    <row r="53" spans="1:8" x14ac:dyDescent="0.2">
      <c r="A53" s="7"/>
      <c r="B53" s="1407" t="str">
        <f t="shared" si="0"/>
        <v>Mauro Fantino</v>
      </c>
      <c r="C53" s="1402" t="s">
        <v>7988</v>
      </c>
      <c r="D53" s="1403" t="s">
        <v>3204</v>
      </c>
      <c r="E53" s="1404" t="s">
        <v>8325</v>
      </c>
      <c r="F53" s="1405" t="s">
        <v>5300</v>
      </c>
      <c r="G53" s="1403" t="s">
        <v>9589</v>
      </c>
      <c r="H53" s="1406" t="s">
        <v>984</v>
      </c>
    </row>
    <row r="54" spans="1:8" x14ac:dyDescent="0.2">
      <c r="A54" s="7"/>
      <c r="B54" s="1407" t="str">
        <f t="shared" si="0"/>
        <v>Joaquín Martínez</v>
      </c>
      <c r="C54" s="1402" t="s">
        <v>5953</v>
      </c>
      <c r="D54" s="1403" t="s">
        <v>8220</v>
      </c>
      <c r="E54" s="1404" t="s">
        <v>8326</v>
      </c>
      <c r="F54" s="1405" t="s">
        <v>13210</v>
      </c>
      <c r="G54" s="1403" t="s">
        <v>9591</v>
      </c>
      <c r="H54" s="1406" t="s">
        <v>984</v>
      </c>
    </row>
    <row r="55" spans="1:8" x14ac:dyDescent="0.2">
      <c r="A55" s="7"/>
      <c r="B55" s="1407" t="str">
        <f t="shared" si="0"/>
        <v>Martín Gallimò</v>
      </c>
      <c r="C55" s="1402" t="s">
        <v>7989</v>
      </c>
      <c r="D55" s="1403" t="s">
        <v>5634</v>
      </c>
      <c r="E55" s="1404" t="s">
        <v>8327</v>
      </c>
      <c r="F55" s="1405" t="s">
        <v>5299</v>
      </c>
      <c r="G55" s="1403" t="s">
        <v>9589</v>
      </c>
      <c r="H55" s="1406" t="s">
        <v>984</v>
      </c>
    </row>
    <row r="56" spans="1:8" x14ac:dyDescent="0.2">
      <c r="A56" s="7"/>
      <c r="B56" s="1407" t="str">
        <f t="shared" si="0"/>
        <v>Marcelo Rossi</v>
      </c>
      <c r="C56" s="1402" t="s">
        <v>6532</v>
      </c>
      <c r="D56" s="1403" t="s">
        <v>5513</v>
      </c>
      <c r="E56" s="1404" t="s">
        <v>8328</v>
      </c>
      <c r="F56" s="1405" t="s">
        <v>5300</v>
      </c>
      <c r="G56" s="1403" t="s">
        <v>9592</v>
      </c>
      <c r="H56" s="1406" t="s">
        <v>984</v>
      </c>
    </row>
    <row r="57" spans="1:8" x14ac:dyDescent="0.2">
      <c r="A57" s="7"/>
      <c r="B57" s="1407" t="str">
        <f t="shared" si="0"/>
        <v>Juan Sebastián Garcia Ciraudo</v>
      </c>
      <c r="C57" s="1402" t="s">
        <v>7990</v>
      </c>
      <c r="D57" s="1403" t="s">
        <v>8221</v>
      </c>
      <c r="E57" s="1404" t="s">
        <v>8329</v>
      </c>
      <c r="F57" s="1405" t="s">
        <v>5299</v>
      </c>
      <c r="G57" s="1403" t="s">
        <v>9592</v>
      </c>
      <c r="H57" s="1406" t="s">
        <v>984</v>
      </c>
    </row>
    <row r="58" spans="1:8" x14ac:dyDescent="0.2">
      <c r="A58" s="7"/>
      <c r="B58" s="1407" t="str">
        <f t="shared" si="0"/>
        <v>Augusto Rossi</v>
      </c>
      <c r="C58" s="1402" t="s">
        <v>6532</v>
      </c>
      <c r="D58" s="1403" t="s">
        <v>3215</v>
      </c>
      <c r="E58" s="1404" t="s">
        <v>8330</v>
      </c>
      <c r="F58" s="1405" t="s">
        <v>13211</v>
      </c>
      <c r="G58" s="1403" t="s">
        <v>9592</v>
      </c>
      <c r="H58" s="1406" t="s">
        <v>984</v>
      </c>
    </row>
    <row r="59" spans="1:8" x14ac:dyDescent="0.2">
      <c r="A59" s="7"/>
      <c r="B59" s="1407" t="str">
        <f t="shared" si="0"/>
        <v>Valeria Forlani</v>
      </c>
      <c r="C59" s="1402" t="s">
        <v>6438</v>
      </c>
      <c r="D59" s="1403" t="s">
        <v>8222</v>
      </c>
      <c r="E59" s="1404" t="s">
        <v>8331</v>
      </c>
      <c r="F59" s="1405" t="s">
        <v>5299</v>
      </c>
      <c r="G59" s="1403" t="s">
        <v>9592</v>
      </c>
      <c r="H59" s="1406" t="s">
        <v>984</v>
      </c>
    </row>
    <row r="60" spans="1:8" x14ac:dyDescent="0.2">
      <c r="A60" s="7"/>
      <c r="B60" s="1407" t="str">
        <f t="shared" si="0"/>
        <v>Valentino García Ciraudo</v>
      </c>
      <c r="C60" s="1402" t="s">
        <v>7991</v>
      </c>
      <c r="D60" s="1403" t="s">
        <v>6943</v>
      </c>
      <c r="E60" s="1404" t="s">
        <v>8332</v>
      </c>
      <c r="F60" s="1405" t="s">
        <v>5299</v>
      </c>
      <c r="G60" s="1403" t="s">
        <v>9592</v>
      </c>
      <c r="H60" s="1406" t="s">
        <v>984</v>
      </c>
    </row>
    <row r="61" spans="1:8" x14ac:dyDescent="0.2">
      <c r="A61" s="7"/>
      <c r="B61" s="1407" t="str">
        <f t="shared" si="0"/>
        <v>Frida Rossi</v>
      </c>
      <c r="C61" s="1402" t="s">
        <v>6532</v>
      </c>
      <c r="D61" s="1403" t="s">
        <v>8223</v>
      </c>
      <c r="E61" s="1404" t="s">
        <v>8333</v>
      </c>
      <c r="F61" s="1405" t="s">
        <v>13210</v>
      </c>
      <c r="G61" s="1403" t="s">
        <v>9592</v>
      </c>
      <c r="H61" s="1406" t="s">
        <v>984</v>
      </c>
    </row>
    <row r="62" spans="1:8" x14ac:dyDescent="0.2">
      <c r="A62" s="7"/>
      <c r="B62" s="1407" t="str">
        <f t="shared" si="0"/>
        <v>Brian González</v>
      </c>
      <c r="C62" s="1402" t="s">
        <v>5963</v>
      </c>
      <c r="D62" s="1403" t="s">
        <v>3195</v>
      </c>
      <c r="E62" s="1404" t="s">
        <v>8334</v>
      </c>
      <c r="F62" s="1405" t="s">
        <v>13210</v>
      </c>
      <c r="G62" s="1403" t="s">
        <v>9592</v>
      </c>
      <c r="H62" s="1406" t="s">
        <v>984</v>
      </c>
    </row>
    <row r="63" spans="1:8" x14ac:dyDescent="0.2">
      <c r="A63" s="7"/>
      <c r="B63" s="1407" t="str">
        <f t="shared" si="0"/>
        <v>Gabriel Fantino</v>
      </c>
      <c r="C63" s="1402" t="s">
        <v>7988</v>
      </c>
      <c r="D63" s="1403" t="s">
        <v>6887</v>
      </c>
      <c r="E63" s="1404" t="s">
        <v>9561</v>
      </c>
      <c r="F63" s="1405" t="s">
        <v>5299</v>
      </c>
      <c r="G63" s="1403" t="s">
        <v>9589</v>
      </c>
      <c r="H63" s="1406" t="s">
        <v>984</v>
      </c>
    </row>
    <row r="64" spans="1:8" x14ac:dyDescent="0.2">
      <c r="A64" s="7"/>
      <c r="B64" s="1407" t="str">
        <f t="shared" si="0"/>
        <v>Facundo Rossi</v>
      </c>
      <c r="C64" s="1402" t="s">
        <v>6532</v>
      </c>
      <c r="D64" s="1403" t="s">
        <v>9549</v>
      </c>
      <c r="E64" s="1404" t="s">
        <v>9562</v>
      </c>
      <c r="F64" s="1405" t="s">
        <v>5299</v>
      </c>
      <c r="G64" s="1403" t="s">
        <v>9592</v>
      </c>
      <c r="H64" s="1406" t="s">
        <v>984</v>
      </c>
    </row>
    <row r="65" spans="1:8" x14ac:dyDescent="0.2">
      <c r="A65" s="7"/>
      <c r="B65" s="1407" t="str">
        <f t="shared" si="0"/>
        <v>Juan Ramòn González</v>
      </c>
      <c r="C65" s="1402" t="s">
        <v>5963</v>
      </c>
      <c r="D65" s="1403" t="s">
        <v>9550</v>
      </c>
      <c r="E65" s="1404" t="s">
        <v>9563</v>
      </c>
      <c r="F65" s="1405" t="s">
        <v>5300</v>
      </c>
      <c r="G65" s="1403" t="s">
        <v>9592</v>
      </c>
      <c r="H65" s="1406" t="s">
        <v>984</v>
      </c>
    </row>
    <row r="66" spans="1:8" x14ac:dyDescent="0.2">
      <c r="A66" s="7"/>
      <c r="B66" s="1407" t="str">
        <f t="shared" si="0"/>
        <v>Hugo Senone</v>
      </c>
      <c r="C66" s="1402" t="s">
        <v>9534</v>
      </c>
      <c r="D66" s="1403" t="s">
        <v>3142</v>
      </c>
      <c r="E66" s="1404" t="s">
        <v>9564</v>
      </c>
      <c r="F66" s="1405" t="s">
        <v>5300</v>
      </c>
      <c r="G66" s="1403" t="s">
        <v>9592</v>
      </c>
      <c r="H66" s="1406" t="s">
        <v>984</v>
      </c>
    </row>
    <row r="67" spans="1:8" x14ac:dyDescent="0.2">
      <c r="A67" s="7"/>
      <c r="B67" s="1407" t="str">
        <f t="shared" si="0"/>
        <v>Santiago Torres</v>
      </c>
      <c r="C67" s="1402" t="s">
        <v>9535</v>
      </c>
      <c r="D67" s="1403" t="s">
        <v>3579</v>
      </c>
      <c r="E67" s="1404" t="s">
        <v>9565</v>
      </c>
      <c r="F67" s="1405" t="s">
        <v>5299</v>
      </c>
      <c r="G67" s="1403" t="s">
        <v>2757</v>
      </c>
      <c r="H67" s="1406" t="s">
        <v>984</v>
      </c>
    </row>
    <row r="68" spans="1:8" x14ac:dyDescent="0.2">
      <c r="A68" s="7"/>
      <c r="B68" s="1407" t="str">
        <f t="shared" si="0"/>
        <v>Robert Green</v>
      </c>
      <c r="C68" s="1402" t="s">
        <v>5693</v>
      </c>
      <c r="D68" s="1403" t="s">
        <v>3405</v>
      </c>
      <c r="E68" s="1404" t="s">
        <v>4092</v>
      </c>
      <c r="F68" s="1405" t="s">
        <v>5300</v>
      </c>
      <c r="G68" s="1403" t="s">
        <v>9593</v>
      </c>
      <c r="H68" s="1406" t="s">
        <v>986</v>
      </c>
    </row>
    <row r="69" spans="1:8" x14ac:dyDescent="0.2">
      <c r="A69" s="7"/>
      <c r="B69" s="1407" t="str">
        <f t="shared" si="0"/>
        <v>Peter Thomas</v>
      </c>
      <c r="C69" s="1402" t="s">
        <v>3124</v>
      </c>
      <c r="D69" s="1403" t="s">
        <v>3194</v>
      </c>
      <c r="E69" s="1404" t="s">
        <v>11087</v>
      </c>
      <c r="F69" s="1405" t="s">
        <v>5299</v>
      </c>
      <c r="G69" s="1403" t="s">
        <v>9594</v>
      </c>
      <c r="H69" s="1406" t="s">
        <v>986</v>
      </c>
    </row>
    <row r="70" spans="1:8" x14ac:dyDescent="0.2">
      <c r="A70" s="7"/>
      <c r="B70" s="1407" t="str">
        <f t="shared" si="0"/>
        <v>Benji Batten</v>
      </c>
      <c r="C70" s="1402" t="s">
        <v>7331</v>
      </c>
      <c r="D70" s="1403" t="s">
        <v>7303</v>
      </c>
      <c r="E70" s="1404" t="s">
        <v>7481</v>
      </c>
      <c r="F70" s="1405" t="s">
        <v>5299</v>
      </c>
      <c r="G70" s="1403" t="s">
        <v>9594</v>
      </c>
      <c r="H70" s="1406" t="s">
        <v>986</v>
      </c>
    </row>
    <row r="71" spans="1:8" x14ac:dyDescent="0.2">
      <c r="A71" s="7"/>
      <c r="B71" s="1407" t="str">
        <f t="shared" ref="B71:B134" si="1">TRIM(CONCATENATE(D71," ",C71))</f>
        <v>Steve Dettre</v>
      </c>
      <c r="C71" s="1402" t="s">
        <v>7332</v>
      </c>
      <c r="D71" s="1403" t="s">
        <v>3088</v>
      </c>
      <c r="E71" s="1404" t="s">
        <v>7482</v>
      </c>
      <c r="F71" s="1405" t="s">
        <v>5300</v>
      </c>
      <c r="G71" s="1403" t="s">
        <v>9593</v>
      </c>
      <c r="H71" s="1406" t="s">
        <v>986</v>
      </c>
    </row>
    <row r="72" spans="1:8" x14ac:dyDescent="0.2">
      <c r="A72" s="7"/>
      <c r="B72" s="1407" t="str">
        <f t="shared" si="1"/>
        <v>Adrian Elmer</v>
      </c>
      <c r="C72" s="1402" t="s">
        <v>7333</v>
      </c>
      <c r="D72" s="1403" t="s">
        <v>3356</v>
      </c>
      <c r="E72" s="1404" t="s">
        <v>7483</v>
      </c>
      <c r="F72" s="1405" t="s">
        <v>5300</v>
      </c>
      <c r="G72" s="1403" t="s">
        <v>17660</v>
      </c>
      <c r="H72" s="1406" t="s">
        <v>986</v>
      </c>
    </row>
    <row r="73" spans="1:8" x14ac:dyDescent="0.2">
      <c r="A73" s="7"/>
      <c r="B73" s="1407" t="str">
        <f t="shared" si="1"/>
        <v>Eliot Kennedy</v>
      </c>
      <c r="C73" s="1402" t="s">
        <v>7334</v>
      </c>
      <c r="D73" s="1403" t="s">
        <v>7269</v>
      </c>
      <c r="E73" s="1404" t="s">
        <v>7484</v>
      </c>
      <c r="F73" s="1405" t="s">
        <v>5300</v>
      </c>
      <c r="G73" s="1403" t="s">
        <v>9593</v>
      </c>
      <c r="H73" s="1406" t="s">
        <v>986</v>
      </c>
    </row>
    <row r="74" spans="1:8" x14ac:dyDescent="0.2">
      <c r="A74" s="7"/>
      <c r="B74" s="1407" t="str">
        <f t="shared" si="1"/>
        <v>Luke Radziminski</v>
      </c>
      <c r="C74" s="1402" t="s">
        <v>7336</v>
      </c>
      <c r="D74" s="1403" t="s">
        <v>5550</v>
      </c>
      <c r="E74" s="1404" t="s">
        <v>7485</v>
      </c>
      <c r="F74" s="1405" t="s">
        <v>5299</v>
      </c>
      <c r="G74" s="1403" t="s">
        <v>9594</v>
      </c>
      <c r="H74" s="1406" t="s">
        <v>986</v>
      </c>
    </row>
    <row r="75" spans="1:8" x14ac:dyDescent="0.2">
      <c r="A75" s="7"/>
      <c r="B75" s="1407" t="str">
        <f t="shared" si="1"/>
        <v>Giuseppe Tardiota</v>
      </c>
      <c r="C75" s="1402" t="s">
        <v>7337</v>
      </c>
      <c r="D75" s="1403" t="s">
        <v>3122</v>
      </c>
      <c r="E75" s="1404" t="s">
        <v>7486</v>
      </c>
      <c r="F75" s="1405" t="s">
        <v>5300</v>
      </c>
      <c r="G75" s="1403" t="s">
        <v>13508</v>
      </c>
      <c r="H75" s="1406" t="s">
        <v>986</v>
      </c>
    </row>
    <row r="76" spans="1:8" x14ac:dyDescent="0.2">
      <c r="A76" s="7"/>
      <c r="B76" s="1407" t="str">
        <f t="shared" si="1"/>
        <v>Daniel Lombard</v>
      </c>
      <c r="C76" s="1402" t="s">
        <v>14341</v>
      </c>
      <c r="D76" s="1403" t="s">
        <v>3243</v>
      </c>
      <c r="E76" s="1404" t="s">
        <v>7487</v>
      </c>
      <c r="F76" s="1405" t="s">
        <v>5299</v>
      </c>
      <c r="G76" s="1403" t="s">
        <v>9595</v>
      </c>
      <c r="H76" s="1406" t="s">
        <v>986</v>
      </c>
    </row>
    <row r="77" spans="1:8" x14ac:dyDescent="0.2">
      <c r="A77" s="7"/>
      <c r="B77" s="1407" t="str">
        <f t="shared" si="1"/>
        <v>Louie Dettre</v>
      </c>
      <c r="C77" s="1402" t="s">
        <v>7332</v>
      </c>
      <c r="D77" s="1403" t="s">
        <v>15464</v>
      </c>
      <c r="E77" s="1404" t="s">
        <v>7488</v>
      </c>
      <c r="F77" s="1405" t="s">
        <v>5299</v>
      </c>
      <c r="G77" s="1403" t="s">
        <v>9593</v>
      </c>
      <c r="H77" s="1406" t="s">
        <v>986</v>
      </c>
    </row>
    <row r="78" spans="1:8" x14ac:dyDescent="0.2">
      <c r="A78" s="7"/>
      <c r="B78" s="1407" t="str">
        <f t="shared" si="1"/>
        <v>James Dettre</v>
      </c>
      <c r="C78" s="1402" t="s">
        <v>7332</v>
      </c>
      <c r="D78" s="1403" t="s">
        <v>3349</v>
      </c>
      <c r="E78" s="1404" t="s">
        <v>7489</v>
      </c>
      <c r="F78" s="1405" t="s">
        <v>5299</v>
      </c>
      <c r="G78" s="1403" t="s">
        <v>9593</v>
      </c>
      <c r="H78" s="1406" t="s">
        <v>986</v>
      </c>
    </row>
    <row r="79" spans="1:8" x14ac:dyDescent="0.2">
      <c r="A79" s="7"/>
      <c r="B79" s="1407" t="str">
        <f t="shared" si="1"/>
        <v>Imojjen Elmer</v>
      </c>
      <c r="C79" s="1402" t="s">
        <v>7333</v>
      </c>
      <c r="D79" s="1403" t="s">
        <v>7463</v>
      </c>
      <c r="E79" s="1404" t="s">
        <v>7490</v>
      </c>
      <c r="F79" s="1405" t="s">
        <v>5299</v>
      </c>
      <c r="G79" s="1403" t="s">
        <v>17660</v>
      </c>
      <c r="H79" s="1406" t="s">
        <v>986</v>
      </c>
    </row>
    <row r="80" spans="1:8" x14ac:dyDescent="0.2">
      <c r="A80" s="7"/>
      <c r="B80" s="1407" t="str">
        <f t="shared" si="1"/>
        <v>Jonny Ball</v>
      </c>
      <c r="C80" s="1402" t="s">
        <v>11013</v>
      </c>
      <c r="D80" s="1403" t="s">
        <v>11068</v>
      </c>
      <c r="E80" s="1404" t="s">
        <v>11088</v>
      </c>
      <c r="F80" s="1405" t="s">
        <v>5300</v>
      </c>
      <c r="G80" s="1403" t="s">
        <v>9593</v>
      </c>
      <c r="H80" s="1406" t="s">
        <v>986</v>
      </c>
    </row>
    <row r="81" spans="1:8" x14ac:dyDescent="0.2">
      <c r="A81" s="7"/>
      <c r="B81" s="1407" t="str">
        <f t="shared" si="1"/>
        <v>Paul Mercer</v>
      </c>
      <c r="C81" s="1402" t="s">
        <v>7338</v>
      </c>
      <c r="D81" s="1403" t="s">
        <v>3259</v>
      </c>
      <c r="E81" s="1404" t="s">
        <v>7491</v>
      </c>
      <c r="F81" s="1405" t="s">
        <v>5300</v>
      </c>
      <c r="G81" s="1403" t="s">
        <v>9597</v>
      </c>
      <c r="H81" s="1406" t="s">
        <v>986</v>
      </c>
    </row>
    <row r="82" spans="1:8" x14ac:dyDescent="0.2">
      <c r="A82" s="7"/>
      <c r="B82" s="1407" t="str">
        <f t="shared" si="1"/>
        <v>Harry Wightman</v>
      </c>
      <c r="C82" s="1402" t="s">
        <v>17661</v>
      </c>
      <c r="D82" s="1403" t="s">
        <v>16001</v>
      </c>
      <c r="E82" s="1404" t="s">
        <v>17662</v>
      </c>
      <c r="F82" s="1405" t="s">
        <v>5299</v>
      </c>
      <c r="G82" s="1403" t="s">
        <v>9594</v>
      </c>
      <c r="H82" s="1406" t="s">
        <v>986</v>
      </c>
    </row>
    <row r="83" spans="1:8" x14ac:dyDescent="0.2">
      <c r="A83" s="7"/>
      <c r="B83" s="1407" t="str">
        <f t="shared" si="1"/>
        <v>Paul Magee</v>
      </c>
      <c r="C83" s="1402" t="s">
        <v>13620</v>
      </c>
      <c r="D83" s="1403" t="s">
        <v>3259</v>
      </c>
      <c r="E83" s="1404" t="s">
        <v>13621</v>
      </c>
      <c r="F83" s="1405" t="s">
        <v>5300</v>
      </c>
      <c r="G83" s="1403" t="s">
        <v>17660</v>
      </c>
      <c r="H83" s="1406" t="s">
        <v>986</v>
      </c>
    </row>
    <row r="84" spans="1:8" x14ac:dyDescent="0.2">
      <c r="A84" s="7"/>
      <c r="B84" s="1407" t="str">
        <f t="shared" si="1"/>
        <v>Christos Garagounis</v>
      </c>
      <c r="C84" s="1402" t="s">
        <v>13622</v>
      </c>
      <c r="D84" s="1403" t="s">
        <v>3135</v>
      </c>
      <c r="E84" s="1404" t="s">
        <v>13623</v>
      </c>
      <c r="F84" s="1405" t="s">
        <v>5300</v>
      </c>
      <c r="G84" s="1403" t="s">
        <v>9597</v>
      </c>
      <c r="H84" s="1406" t="s">
        <v>986</v>
      </c>
    </row>
    <row r="85" spans="1:8" x14ac:dyDescent="0.2">
      <c r="A85" s="7"/>
      <c r="B85" s="1407" t="str">
        <f t="shared" si="1"/>
        <v>Hermann Kruse</v>
      </c>
      <c r="C85" s="1402" t="s">
        <v>16954</v>
      </c>
      <c r="D85" s="1403" t="s">
        <v>16871</v>
      </c>
      <c r="E85" s="1404" t="s">
        <v>16955</v>
      </c>
      <c r="F85" s="1405" t="s">
        <v>5300</v>
      </c>
      <c r="G85" s="1403" t="s">
        <v>13588</v>
      </c>
      <c r="H85" s="1406" t="s">
        <v>986</v>
      </c>
    </row>
    <row r="86" spans="1:8" x14ac:dyDescent="0.2">
      <c r="A86" s="7"/>
      <c r="B86" s="1407" t="str">
        <f t="shared" si="1"/>
        <v>Jonty Brener</v>
      </c>
      <c r="C86" s="1402" t="s">
        <v>13624</v>
      </c>
      <c r="D86" s="1403" t="s">
        <v>13625</v>
      </c>
      <c r="E86" s="1404" t="s">
        <v>13626</v>
      </c>
      <c r="F86" s="1405" t="s">
        <v>5299</v>
      </c>
      <c r="G86" s="1403" t="s">
        <v>9593</v>
      </c>
      <c r="H86" s="1406" t="s">
        <v>986</v>
      </c>
    </row>
    <row r="87" spans="1:8" x14ac:dyDescent="0.2">
      <c r="A87" s="7"/>
      <c r="B87" s="1407" t="str">
        <f t="shared" si="1"/>
        <v>Fabrizio Coco</v>
      </c>
      <c r="C87" s="1402" t="s">
        <v>6400</v>
      </c>
      <c r="D87" s="1403" t="s">
        <v>3087</v>
      </c>
      <c r="E87" s="1404" t="s">
        <v>8335</v>
      </c>
      <c r="F87" s="1405" t="s">
        <v>5299</v>
      </c>
      <c r="G87" s="1403" t="s">
        <v>9595</v>
      </c>
      <c r="H87" s="1406" t="s">
        <v>986</v>
      </c>
    </row>
    <row r="88" spans="1:8" x14ac:dyDescent="0.2">
      <c r="A88" s="7"/>
      <c r="B88" s="1407" t="str">
        <f t="shared" si="1"/>
        <v>Dom Grenot</v>
      </c>
      <c r="C88" s="1402" t="s">
        <v>7992</v>
      </c>
      <c r="D88" s="1403" t="s">
        <v>8224</v>
      </c>
      <c r="E88" s="1404" t="s">
        <v>8336</v>
      </c>
      <c r="F88" s="1405" t="s">
        <v>5300</v>
      </c>
      <c r="G88" s="1403" t="s">
        <v>9593</v>
      </c>
      <c r="H88" s="1406" t="s">
        <v>986</v>
      </c>
    </row>
    <row r="89" spans="1:8" x14ac:dyDescent="0.2">
      <c r="A89" s="7"/>
      <c r="B89" s="1407" t="str">
        <f t="shared" si="1"/>
        <v>Geoff Sirmai</v>
      </c>
      <c r="C89" s="1402" t="s">
        <v>13627</v>
      </c>
      <c r="D89" s="1403" t="s">
        <v>13628</v>
      </c>
      <c r="E89" s="1404" t="s">
        <v>13629</v>
      </c>
      <c r="F89" s="1405" t="s">
        <v>5300</v>
      </c>
      <c r="G89" s="1403" t="s">
        <v>13513</v>
      </c>
      <c r="H89" s="1406" t="s">
        <v>986</v>
      </c>
    </row>
    <row r="90" spans="1:8" x14ac:dyDescent="0.2">
      <c r="A90" s="7"/>
      <c r="B90" s="1407" t="str">
        <f t="shared" si="1"/>
        <v>Antonio Credentino</v>
      </c>
      <c r="C90" s="1402" t="s">
        <v>7993</v>
      </c>
      <c r="D90" s="1403" t="s">
        <v>3341</v>
      </c>
      <c r="E90" s="1404" t="s">
        <v>8337</v>
      </c>
      <c r="F90" s="1405" t="s">
        <v>5300</v>
      </c>
      <c r="G90" s="1403" t="s">
        <v>9595</v>
      </c>
      <c r="H90" s="1406" t="s">
        <v>986</v>
      </c>
    </row>
    <row r="91" spans="1:8" x14ac:dyDescent="0.2">
      <c r="A91" s="7"/>
      <c r="B91" s="1407" t="str">
        <f t="shared" si="1"/>
        <v>Gareth Whalley</v>
      </c>
      <c r="C91" s="1402" t="s">
        <v>13630</v>
      </c>
      <c r="D91" s="1403" t="s">
        <v>3390</v>
      </c>
      <c r="E91" s="1404" t="s">
        <v>13631</v>
      </c>
      <c r="F91" s="1405" t="s">
        <v>5299</v>
      </c>
      <c r="G91" s="1403" t="s">
        <v>13508</v>
      </c>
      <c r="H91" s="1406" t="s">
        <v>986</v>
      </c>
    </row>
    <row r="92" spans="1:8" x14ac:dyDescent="0.2">
      <c r="A92" s="7"/>
      <c r="B92" s="1407" t="str">
        <f t="shared" si="1"/>
        <v>Beth Eveleigh</v>
      </c>
      <c r="C92" s="1402" t="s">
        <v>7994</v>
      </c>
      <c r="D92" s="1403" t="s">
        <v>8225</v>
      </c>
      <c r="E92" s="1404" t="s">
        <v>8338</v>
      </c>
      <c r="F92" s="1405" t="s">
        <v>5300</v>
      </c>
      <c r="G92" s="1403" t="s">
        <v>9597</v>
      </c>
      <c r="H92" s="1406" t="s">
        <v>986</v>
      </c>
    </row>
    <row r="93" spans="1:8" x14ac:dyDescent="0.2">
      <c r="A93" s="7"/>
      <c r="B93" s="1407" t="str">
        <f t="shared" si="1"/>
        <v>Chris Thorn</v>
      </c>
      <c r="C93" s="1402" t="s">
        <v>7995</v>
      </c>
      <c r="D93" s="1403" t="s">
        <v>3029</v>
      </c>
      <c r="E93" s="1404" t="s">
        <v>8339</v>
      </c>
      <c r="F93" s="1405" t="s">
        <v>5300</v>
      </c>
      <c r="G93" s="1403" t="s">
        <v>7914</v>
      </c>
      <c r="H93" s="1406" t="s">
        <v>986</v>
      </c>
    </row>
    <row r="94" spans="1:8" x14ac:dyDescent="0.2">
      <c r="A94" s="7"/>
      <c r="B94" s="1407" t="str">
        <f t="shared" si="1"/>
        <v>Hugh Best</v>
      </c>
      <c r="C94" s="1402" t="s">
        <v>7997</v>
      </c>
      <c r="D94" s="1403" t="s">
        <v>8226</v>
      </c>
      <c r="E94" s="1404" t="s">
        <v>8340</v>
      </c>
      <c r="F94" s="1405" t="s">
        <v>5300</v>
      </c>
      <c r="G94" s="1403" t="s">
        <v>15246</v>
      </c>
      <c r="H94" s="1406" t="s">
        <v>986</v>
      </c>
    </row>
    <row r="95" spans="1:8" x14ac:dyDescent="0.2">
      <c r="A95" s="7"/>
      <c r="B95" s="1407" t="str">
        <f t="shared" si="1"/>
        <v>Adrian Connolly</v>
      </c>
      <c r="C95" s="1402" t="s">
        <v>7998</v>
      </c>
      <c r="D95" s="1403" t="s">
        <v>3356</v>
      </c>
      <c r="E95" s="1404" t="s">
        <v>8341</v>
      </c>
      <c r="F95" s="1405" t="s">
        <v>5299</v>
      </c>
      <c r="G95" s="1403" t="s">
        <v>15379</v>
      </c>
      <c r="H95" s="1406" t="s">
        <v>986</v>
      </c>
    </row>
    <row r="96" spans="1:8" x14ac:dyDescent="0.2">
      <c r="A96" s="7"/>
      <c r="B96" s="1407" t="str">
        <f t="shared" si="1"/>
        <v>Kevin Grant</v>
      </c>
      <c r="C96" s="1402" t="s">
        <v>7999</v>
      </c>
      <c r="D96" s="1403" t="s">
        <v>3263</v>
      </c>
      <c r="E96" s="1404" t="s">
        <v>8342</v>
      </c>
      <c r="F96" s="1405" t="s">
        <v>5300</v>
      </c>
      <c r="G96" s="1403" t="s">
        <v>11322</v>
      </c>
      <c r="H96" s="1406" t="s">
        <v>986</v>
      </c>
    </row>
    <row r="97" spans="1:8" x14ac:dyDescent="0.2">
      <c r="A97" s="7"/>
      <c r="B97" s="1407" t="str">
        <f t="shared" si="1"/>
        <v>Billy Koutzas</v>
      </c>
      <c r="C97" s="1402" t="s">
        <v>13632</v>
      </c>
      <c r="D97" s="1403" t="s">
        <v>8227</v>
      </c>
      <c r="E97" s="1404" t="s">
        <v>13634</v>
      </c>
      <c r="F97" s="1405" t="s">
        <v>5299</v>
      </c>
      <c r="G97" s="1403" t="s">
        <v>9595</v>
      </c>
      <c r="H97" s="1406" t="s">
        <v>986</v>
      </c>
    </row>
    <row r="98" spans="1:8" x14ac:dyDescent="0.2">
      <c r="A98" s="7"/>
      <c r="B98" s="1407" t="str">
        <f t="shared" si="1"/>
        <v>Nick Brill</v>
      </c>
      <c r="C98" s="1402" t="s">
        <v>8000</v>
      </c>
      <c r="D98" s="1403" t="s">
        <v>5540</v>
      </c>
      <c r="E98" s="1404" t="s">
        <v>8343</v>
      </c>
      <c r="F98" s="1405" t="s">
        <v>5299</v>
      </c>
      <c r="G98" s="1403" t="s">
        <v>17660</v>
      </c>
      <c r="H98" s="1406" t="s">
        <v>986</v>
      </c>
    </row>
    <row r="99" spans="1:8" x14ac:dyDescent="0.2">
      <c r="A99" s="7"/>
      <c r="B99" s="1407" t="str">
        <f t="shared" si="1"/>
        <v>Kostas Barbaris</v>
      </c>
      <c r="C99" s="1402" t="s">
        <v>8001</v>
      </c>
      <c r="D99" s="1403" t="s">
        <v>3073</v>
      </c>
      <c r="E99" s="1404" t="s">
        <v>8344</v>
      </c>
      <c r="F99" s="1405" t="s">
        <v>5299</v>
      </c>
      <c r="G99" s="1403" t="s">
        <v>9595</v>
      </c>
      <c r="H99" s="1406" t="s">
        <v>986</v>
      </c>
    </row>
    <row r="100" spans="1:8" x14ac:dyDescent="0.2">
      <c r="A100" s="7"/>
      <c r="B100" s="1407" t="str">
        <f t="shared" si="1"/>
        <v>Richard Wilson</v>
      </c>
      <c r="C100" s="1402" t="s">
        <v>5946</v>
      </c>
      <c r="D100" s="1403" t="s">
        <v>3219</v>
      </c>
      <c r="E100" s="1404" t="s">
        <v>8345</v>
      </c>
      <c r="F100" s="1405" t="s">
        <v>5299</v>
      </c>
      <c r="G100" s="1403" t="s">
        <v>17660</v>
      </c>
      <c r="H100" s="1406" t="s">
        <v>986</v>
      </c>
    </row>
    <row r="101" spans="1:8" x14ac:dyDescent="0.2">
      <c r="A101" s="7"/>
      <c r="B101" s="1407" t="str">
        <f t="shared" si="1"/>
        <v>Oliver Ollnow</v>
      </c>
      <c r="C101" s="1402" t="s">
        <v>16970</v>
      </c>
      <c r="D101" s="1403" t="s">
        <v>3298</v>
      </c>
      <c r="E101" s="1404" t="s">
        <v>16971</v>
      </c>
      <c r="F101" s="1405" t="s">
        <v>13210</v>
      </c>
      <c r="G101" s="1403" t="s">
        <v>13588</v>
      </c>
      <c r="H101" s="1406" t="s">
        <v>986</v>
      </c>
    </row>
    <row r="102" spans="1:8" x14ac:dyDescent="0.2">
      <c r="A102" s="7"/>
      <c r="B102" s="1407" t="str">
        <f t="shared" si="1"/>
        <v>Adrian Grunbach</v>
      </c>
      <c r="C102" s="1402" t="s">
        <v>9391</v>
      </c>
      <c r="D102" s="1403" t="s">
        <v>3356</v>
      </c>
      <c r="E102" s="1404" t="s">
        <v>9417</v>
      </c>
      <c r="F102" s="1405" t="s">
        <v>5299</v>
      </c>
      <c r="G102" s="1403" t="s">
        <v>9593</v>
      </c>
      <c r="H102" s="1406" t="s">
        <v>986</v>
      </c>
    </row>
    <row r="103" spans="1:8" x14ac:dyDescent="0.2">
      <c r="A103" s="7"/>
      <c r="B103" s="1407" t="str">
        <f t="shared" si="1"/>
        <v>Anthony Madiona</v>
      </c>
      <c r="C103" s="1402" t="s">
        <v>9392</v>
      </c>
      <c r="D103" s="1403" t="s">
        <v>3305</v>
      </c>
      <c r="E103" s="1404" t="s">
        <v>9418</v>
      </c>
      <c r="F103" s="1405" t="s">
        <v>5300</v>
      </c>
      <c r="G103" s="1403" t="s">
        <v>9597</v>
      </c>
      <c r="H103" s="1406" t="s">
        <v>986</v>
      </c>
    </row>
    <row r="104" spans="1:8" x14ac:dyDescent="0.2">
      <c r="A104" s="7"/>
      <c r="B104" s="1407" t="str">
        <f t="shared" si="1"/>
        <v>Greg Werner</v>
      </c>
      <c r="C104" s="1402" t="s">
        <v>8241</v>
      </c>
      <c r="D104" s="1403" t="s">
        <v>5516</v>
      </c>
      <c r="E104" s="1404" t="s">
        <v>14342</v>
      </c>
      <c r="F104" s="1405" t="s">
        <v>5300</v>
      </c>
      <c r="G104" s="1403" t="s">
        <v>13513</v>
      </c>
      <c r="H104" s="1406" t="s">
        <v>986</v>
      </c>
    </row>
    <row r="105" spans="1:8" x14ac:dyDescent="0.2">
      <c r="A105" s="7"/>
      <c r="B105" s="1407" t="str">
        <f t="shared" si="1"/>
        <v>Nathan Urbaniak</v>
      </c>
      <c r="C105" s="1402" t="s">
        <v>13635</v>
      </c>
      <c r="D105" s="1403" t="s">
        <v>3183</v>
      </c>
      <c r="E105" s="1404" t="s">
        <v>13636</v>
      </c>
      <c r="F105" s="1405" t="s">
        <v>5299</v>
      </c>
      <c r="G105" s="1403" t="s">
        <v>9594</v>
      </c>
      <c r="H105" s="1406" t="s">
        <v>986</v>
      </c>
    </row>
    <row r="106" spans="1:8" x14ac:dyDescent="0.2">
      <c r="A106" s="7"/>
      <c r="B106" s="1407" t="str">
        <f t="shared" si="1"/>
        <v>Dimitris Barbaris</v>
      </c>
      <c r="C106" s="1402" t="s">
        <v>8001</v>
      </c>
      <c r="D106" s="1403" t="s">
        <v>3099</v>
      </c>
      <c r="E106" s="1404" t="s">
        <v>10079</v>
      </c>
      <c r="F106" s="1405" t="s">
        <v>13211</v>
      </c>
      <c r="G106" s="1403" t="s">
        <v>9595</v>
      </c>
      <c r="H106" s="1406" t="s">
        <v>986</v>
      </c>
    </row>
    <row r="107" spans="1:8" x14ac:dyDescent="0.2">
      <c r="A107" s="7"/>
      <c r="B107" s="1407" t="str">
        <f t="shared" si="1"/>
        <v>Paolo Credentino</v>
      </c>
      <c r="C107" s="1402" t="s">
        <v>7993</v>
      </c>
      <c r="D107" s="1403" t="s">
        <v>3119</v>
      </c>
      <c r="E107" s="1404" t="s">
        <v>11258</v>
      </c>
      <c r="F107" s="1405" t="s">
        <v>5299</v>
      </c>
      <c r="G107" s="1403" t="s">
        <v>9595</v>
      </c>
      <c r="H107" s="1406" t="s">
        <v>986</v>
      </c>
    </row>
    <row r="108" spans="1:8" x14ac:dyDescent="0.2">
      <c r="A108" s="7"/>
      <c r="B108" s="1407" t="str">
        <f t="shared" si="1"/>
        <v>Francis Cozzarin</v>
      </c>
      <c r="C108" s="1402" t="s">
        <v>13637</v>
      </c>
      <c r="D108" s="1403" t="s">
        <v>3376</v>
      </c>
      <c r="E108" s="1404" t="s">
        <v>13638</v>
      </c>
      <c r="F108" s="1405" t="s">
        <v>5299</v>
      </c>
      <c r="G108" s="1403" t="s">
        <v>17660</v>
      </c>
      <c r="H108" s="1406" t="s">
        <v>986</v>
      </c>
    </row>
    <row r="109" spans="1:8" x14ac:dyDescent="0.2">
      <c r="A109" s="7"/>
      <c r="B109" s="1407" t="str">
        <f t="shared" si="1"/>
        <v>Katelyn Grunbach</v>
      </c>
      <c r="C109" s="1402" t="s">
        <v>9391</v>
      </c>
      <c r="D109" s="1403" t="s">
        <v>13639</v>
      </c>
      <c r="E109" s="1404" t="s">
        <v>13640</v>
      </c>
      <c r="F109" s="1405" t="s">
        <v>13211</v>
      </c>
      <c r="G109" s="1403" t="s">
        <v>9593</v>
      </c>
      <c r="H109" s="1406" t="s">
        <v>986</v>
      </c>
    </row>
    <row r="110" spans="1:8" x14ac:dyDescent="0.2">
      <c r="A110" s="7"/>
      <c r="B110" s="1407" t="str">
        <f t="shared" si="1"/>
        <v>Wayne Millar</v>
      </c>
      <c r="C110" s="1402" t="s">
        <v>17062</v>
      </c>
      <c r="D110" s="1403" t="s">
        <v>17063</v>
      </c>
      <c r="E110" s="1404" t="s">
        <v>17064</v>
      </c>
      <c r="F110" s="1405" t="s">
        <v>5299</v>
      </c>
      <c r="G110" s="1403" t="s">
        <v>13508</v>
      </c>
      <c r="H110" s="1406" t="s">
        <v>986</v>
      </c>
    </row>
    <row r="111" spans="1:8" x14ac:dyDescent="0.2">
      <c r="A111" s="7"/>
      <c r="B111" s="1407" t="str">
        <f t="shared" si="1"/>
        <v>Kevin Halliday</v>
      </c>
      <c r="C111" s="1402" t="s">
        <v>13641</v>
      </c>
      <c r="D111" s="1403" t="s">
        <v>3263</v>
      </c>
      <c r="E111" s="1404" t="s">
        <v>13642</v>
      </c>
      <c r="F111" s="1405" t="s">
        <v>5299</v>
      </c>
      <c r="G111" s="1403" t="s">
        <v>13508</v>
      </c>
      <c r="H111" s="1406" t="s">
        <v>986</v>
      </c>
    </row>
    <row r="112" spans="1:8" x14ac:dyDescent="0.2">
      <c r="A112" s="7"/>
      <c r="B112" s="1407" t="str">
        <f t="shared" si="1"/>
        <v>Gordon Orr</v>
      </c>
      <c r="C112" s="1402" t="s">
        <v>17065</v>
      </c>
      <c r="D112" s="1403" t="s">
        <v>17066</v>
      </c>
      <c r="E112" s="1404" t="s">
        <v>17067</v>
      </c>
      <c r="F112" s="1405" t="s">
        <v>5300</v>
      </c>
      <c r="G112" s="1403" t="s">
        <v>13508</v>
      </c>
      <c r="H112" s="1406" t="s">
        <v>986</v>
      </c>
    </row>
    <row r="113" spans="1:8" x14ac:dyDescent="0.2">
      <c r="A113" s="7"/>
      <c r="B113" s="1407" t="str">
        <f t="shared" si="1"/>
        <v>David Wright</v>
      </c>
      <c r="C113" s="1402" t="s">
        <v>8778</v>
      </c>
      <c r="D113" s="1403" t="s">
        <v>3072</v>
      </c>
      <c r="E113" s="1404" t="s">
        <v>16365</v>
      </c>
      <c r="F113" s="1405" t="s">
        <v>5300</v>
      </c>
      <c r="G113" s="1403" t="s">
        <v>17660</v>
      </c>
      <c r="H113" s="1406" t="s">
        <v>986</v>
      </c>
    </row>
    <row r="114" spans="1:8" x14ac:dyDescent="0.2">
      <c r="A114" s="7"/>
      <c r="B114" s="1407" t="str">
        <f t="shared" si="1"/>
        <v>Michael Ridger</v>
      </c>
      <c r="C114" s="1402" t="s">
        <v>16127</v>
      </c>
      <c r="D114" s="1403" t="s">
        <v>3416</v>
      </c>
      <c r="E114" s="1404" t="s">
        <v>16128</v>
      </c>
      <c r="F114" s="1405" t="s">
        <v>5299</v>
      </c>
      <c r="G114" s="1403" t="s">
        <v>17660</v>
      </c>
      <c r="H114" s="1406" t="s">
        <v>986</v>
      </c>
    </row>
    <row r="115" spans="1:8" x14ac:dyDescent="0.2">
      <c r="A115" s="7"/>
      <c r="B115" s="1407" t="str">
        <f t="shared" si="1"/>
        <v>Samuel Ridger</v>
      </c>
      <c r="C115" s="1402" t="s">
        <v>16127</v>
      </c>
      <c r="D115" s="1403" t="s">
        <v>3015</v>
      </c>
      <c r="E115" s="1404" t="s">
        <v>16129</v>
      </c>
      <c r="F115" s="1405" t="s">
        <v>1563</v>
      </c>
      <c r="G115" s="1403" t="s">
        <v>17660</v>
      </c>
      <c r="H115" s="1406" t="s">
        <v>986</v>
      </c>
    </row>
    <row r="116" spans="1:8" x14ac:dyDescent="0.2">
      <c r="A116" s="7"/>
      <c r="B116" s="1407" t="str">
        <f t="shared" si="1"/>
        <v>Sean Mayock</v>
      </c>
      <c r="C116" s="1402" t="s">
        <v>15880</v>
      </c>
      <c r="D116" s="1403" t="s">
        <v>6945</v>
      </c>
      <c r="E116" s="1404" t="s">
        <v>15881</v>
      </c>
      <c r="F116" s="1405" t="s">
        <v>5300</v>
      </c>
      <c r="G116" s="1403" t="s">
        <v>9593</v>
      </c>
      <c r="H116" s="1406" t="s">
        <v>986</v>
      </c>
    </row>
    <row r="117" spans="1:8" x14ac:dyDescent="0.2">
      <c r="A117" s="7"/>
      <c r="B117" s="1407" t="str">
        <f t="shared" si="1"/>
        <v>Nathan Heard</v>
      </c>
      <c r="C117" s="1402" t="s">
        <v>15658</v>
      </c>
      <c r="D117" s="1403" t="s">
        <v>3183</v>
      </c>
      <c r="E117" s="1404" t="s">
        <v>15659</v>
      </c>
      <c r="F117" s="1405" t="s">
        <v>5300</v>
      </c>
      <c r="G117" s="1403" t="s">
        <v>9597</v>
      </c>
      <c r="H117" s="1406" t="s">
        <v>986</v>
      </c>
    </row>
    <row r="118" spans="1:8" x14ac:dyDescent="0.2">
      <c r="A118" s="7"/>
      <c r="B118" s="1407" t="str">
        <f t="shared" si="1"/>
        <v>Timothy Phokos</v>
      </c>
      <c r="C118" s="1402" t="s">
        <v>16042</v>
      </c>
      <c r="D118" s="1403" t="s">
        <v>16044</v>
      </c>
      <c r="E118" s="1404" t="s">
        <v>16045</v>
      </c>
      <c r="F118" s="1405" t="s">
        <v>13210</v>
      </c>
      <c r="G118" s="1403" t="s">
        <v>17660</v>
      </c>
      <c r="H118" s="1406" t="s">
        <v>986</v>
      </c>
    </row>
    <row r="119" spans="1:8" x14ac:dyDescent="0.2">
      <c r="A119" s="7"/>
      <c r="B119" s="1407" t="str">
        <f t="shared" si="1"/>
        <v>Gabriel Phokos</v>
      </c>
      <c r="C119" s="1402" t="s">
        <v>16042</v>
      </c>
      <c r="D119" s="1403" t="s">
        <v>6887</v>
      </c>
      <c r="E119" s="1404" t="s">
        <v>16043</v>
      </c>
      <c r="F119" s="1405" t="s">
        <v>13211</v>
      </c>
      <c r="G119" s="1403" t="s">
        <v>17660</v>
      </c>
      <c r="H119" s="1406" t="s">
        <v>986</v>
      </c>
    </row>
    <row r="120" spans="1:8" x14ac:dyDescent="0.2">
      <c r="A120" s="7"/>
      <c r="B120" s="1407" t="str">
        <f t="shared" si="1"/>
        <v>Mick Phillips</v>
      </c>
      <c r="C120" s="1402" t="s">
        <v>16040</v>
      </c>
      <c r="D120" s="1403" t="s">
        <v>6918</v>
      </c>
      <c r="E120" s="1404" t="s">
        <v>16041</v>
      </c>
      <c r="F120" s="1405" t="s">
        <v>5300</v>
      </c>
      <c r="G120" s="1403" t="s">
        <v>16381</v>
      </c>
      <c r="H120" s="1406" t="s">
        <v>986</v>
      </c>
    </row>
    <row r="121" spans="1:8" x14ac:dyDescent="0.2">
      <c r="A121" s="7"/>
      <c r="B121" s="1407" t="str">
        <f t="shared" si="1"/>
        <v>Marc Davey</v>
      </c>
      <c r="C121" s="1402" t="s">
        <v>16906</v>
      </c>
      <c r="D121" s="1403" t="s">
        <v>3208</v>
      </c>
      <c r="E121" s="1404" t="s">
        <v>16907</v>
      </c>
      <c r="F121" s="1405" t="s">
        <v>5299</v>
      </c>
      <c r="G121" s="1403" t="s">
        <v>16381</v>
      </c>
      <c r="H121" s="1406" t="s">
        <v>986</v>
      </c>
    </row>
    <row r="122" spans="1:8" x14ac:dyDescent="0.2">
      <c r="A122" s="7"/>
      <c r="B122" s="1407" t="str">
        <f t="shared" si="1"/>
        <v>Justin Bullock</v>
      </c>
      <c r="C122" s="1402" t="s">
        <v>17478</v>
      </c>
      <c r="D122" s="1403" t="s">
        <v>3025</v>
      </c>
      <c r="E122" s="1404" t="s">
        <v>17479</v>
      </c>
      <c r="F122" s="1405" t="s">
        <v>5299</v>
      </c>
      <c r="G122" s="1403"/>
      <c r="H122" s="1406" t="s">
        <v>986</v>
      </c>
    </row>
    <row r="123" spans="1:8" x14ac:dyDescent="0.2">
      <c r="A123" s="7"/>
      <c r="B123" s="1407" t="str">
        <f t="shared" si="1"/>
        <v>Riley Connolly</v>
      </c>
      <c r="C123" s="1402" t="s">
        <v>7998</v>
      </c>
      <c r="D123" s="1403" t="s">
        <v>15497</v>
      </c>
      <c r="E123" s="1404" t="s">
        <v>17663</v>
      </c>
      <c r="F123" s="1405" t="s">
        <v>1563</v>
      </c>
      <c r="G123" s="1403"/>
      <c r="H123" s="1406" t="s">
        <v>986</v>
      </c>
    </row>
    <row r="124" spans="1:8" x14ac:dyDescent="0.2">
      <c r="A124" s="7"/>
      <c r="B124" s="1407" t="str">
        <f t="shared" si="1"/>
        <v>Günter Exler</v>
      </c>
      <c r="C124" s="1402" t="s">
        <v>5694</v>
      </c>
      <c r="D124" s="1403" t="s">
        <v>3347</v>
      </c>
      <c r="E124" s="1404" t="s">
        <v>4093</v>
      </c>
      <c r="F124" s="1405" t="s">
        <v>5300</v>
      </c>
      <c r="G124" s="1403" t="s">
        <v>2738</v>
      </c>
      <c r="H124" s="1406" t="s">
        <v>988</v>
      </c>
    </row>
    <row r="125" spans="1:8" x14ac:dyDescent="0.2">
      <c r="A125" s="7"/>
      <c r="B125" s="1407" t="str">
        <f t="shared" si="1"/>
        <v>Thomas Exler</v>
      </c>
      <c r="C125" s="1402" t="s">
        <v>5694</v>
      </c>
      <c r="D125" s="1403" t="s">
        <v>3124</v>
      </c>
      <c r="E125" s="1404" t="s">
        <v>4094</v>
      </c>
      <c r="F125" s="1405" t="s">
        <v>5299</v>
      </c>
      <c r="G125" s="1403" t="s">
        <v>2738</v>
      </c>
      <c r="H125" s="1406" t="s">
        <v>988</v>
      </c>
    </row>
    <row r="126" spans="1:8" x14ac:dyDescent="0.2">
      <c r="A126" s="7"/>
      <c r="B126" s="1407" t="str">
        <f t="shared" si="1"/>
        <v>Wolfgang Leitner</v>
      </c>
      <c r="C126" s="1402" t="s">
        <v>5696</v>
      </c>
      <c r="D126" s="1403" t="s">
        <v>3010</v>
      </c>
      <c r="E126" s="1404" t="s">
        <v>4095</v>
      </c>
      <c r="F126" s="1405" t="s">
        <v>5299</v>
      </c>
      <c r="G126" s="1403" t="s">
        <v>2748</v>
      </c>
      <c r="H126" s="1406" t="s">
        <v>988</v>
      </c>
    </row>
    <row r="127" spans="1:8" x14ac:dyDescent="0.2">
      <c r="A127" s="7"/>
      <c r="B127" s="1407" t="str">
        <f t="shared" si="1"/>
        <v>Robert Lenz</v>
      </c>
      <c r="C127" s="1402" t="s">
        <v>5697</v>
      </c>
      <c r="D127" s="1403" t="s">
        <v>3405</v>
      </c>
      <c r="E127" s="1404" t="s">
        <v>4096</v>
      </c>
      <c r="F127" s="1405" t="s">
        <v>5300</v>
      </c>
      <c r="G127" s="1403" t="s">
        <v>2748</v>
      </c>
      <c r="H127" s="1406" t="s">
        <v>988</v>
      </c>
    </row>
    <row r="128" spans="1:8" x14ac:dyDescent="0.2">
      <c r="A128" s="7"/>
      <c r="B128" s="1407" t="str">
        <f t="shared" si="1"/>
        <v>Gerhard Mandl</v>
      </c>
      <c r="C128" s="1402" t="s">
        <v>5698</v>
      </c>
      <c r="D128" s="1403" t="s">
        <v>3609</v>
      </c>
      <c r="E128" s="1404" t="s">
        <v>4097</v>
      </c>
      <c r="F128" s="1405" t="s">
        <v>5300</v>
      </c>
      <c r="G128" s="1403" t="s">
        <v>2738</v>
      </c>
      <c r="H128" s="1406" t="s">
        <v>988</v>
      </c>
    </row>
    <row r="129" spans="1:8" x14ac:dyDescent="0.2">
      <c r="A129" s="7"/>
      <c r="B129" s="1407" t="str">
        <f t="shared" si="1"/>
        <v>Markus Matzinger</v>
      </c>
      <c r="C129" s="1402" t="s">
        <v>8002</v>
      </c>
      <c r="D129" s="1403" t="s">
        <v>3116</v>
      </c>
      <c r="E129" s="1404" t="s">
        <v>8346</v>
      </c>
      <c r="F129" s="1405" t="s">
        <v>5299</v>
      </c>
      <c r="G129" s="1403" t="s">
        <v>2738</v>
      </c>
      <c r="H129" s="1406" t="s">
        <v>988</v>
      </c>
    </row>
    <row r="130" spans="1:8" x14ac:dyDescent="0.2">
      <c r="A130" s="7"/>
      <c r="B130" s="1407" t="str">
        <f t="shared" si="1"/>
        <v>Gerhard Ecker</v>
      </c>
      <c r="C130" s="1402" t="s">
        <v>5699</v>
      </c>
      <c r="D130" s="1403" t="s">
        <v>3609</v>
      </c>
      <c r="E130" s="1404" t="s">
        <v>4098</v>
      </c>
      <c r="F130" s="1405" t="s">
        <v>5300</v>
      </c>
      <c r="G130" s="1403" t="s">
        <v>2748</v>
      </c>
      <c r="H130" s="1406" t="s">
        <v>988</v>
      </c>
    </row>
    <row r="131" spans="1:8" x14ac:dyDescent="0.2">
      <c r="A131" s="7"/>
      <c r="B131" s="1407" t="str">
        <f t="shared" si="1"/>
        <v>Heinz Eder</v>
      </c>
      <c r="C131" s="1402" t="s">
        <v>5700</v>
      </c>
      <c r="D131" s="1403" t="s">
        <v>3103</v>
      </c>
      <c r="E131" s="1404" t="s">
        <v>4099</v>
      </c>
      <c r="F131" s="1405" t="s">
        <v>5299</v>
      </c>
      <c r="G131" s="1403" t="s">
        <v>2748</v>
      </c>
      <c r="H131" s="1406" t="s">
        <v>988</v>
      </c>
    </row>
    <row r="132" spans="1:8" x14ac:dyDescent="0.2">
      <c r="A132" s="7"/>
      <c r="B132" s="1407" t="str">
        <f t="shared" si="1"/>
        <v>Christoph Gerbasits</v>
      </c>
      <c r="C132" s="1402" t="s">
        <v>5701</v>
      </c>
      <c r="D132" s="1403" t="s">
        <v>3197</v>
      </c>
      <c r="E132" s="1404" t="s">
        <v>4100</v>
      </c>
      <c r="F132" s="1405" t="s">
        <v>5299</v>
      </c>
      <c r="G132" s="1403" t="s">
        <v>2748</v>
      </c>
      <c r="H132" s="1406" t="s">
        <v>988</v>
      </c>
    </row>
    <row r="133" spans="1:8" x14ac:dyDescent="0.2">
      <c r="A133" s="7"/>
      <c r="B133" s="1407" t="str">
        <f t="shared" si="1"/>
        <v>Herbert Gütl</v>
      </c>
      <c r="C133" s="1402" t="s">
        <v>15638</v>
      </c>
      <c r="D133" s="1403" t="s">
        <v>15639</v>
      </c>
      <c r="E133" s="1404" t="s">
        <v>15640</v>
      </c>
      <c r="F133" s="1405" t="s">
        <v>5299</v>
      </c>
      <c r="G133" s="1403" t="s">
        <v>2748</v>
      </c>
      <c r="H133" s="1406" t="s">
        <v>988</v>
      </c>
    </row>
    <row r="134" spans="1:8" x14ac:dyDescent="0.2">
      <c r="A134" s="7"/>
      <c r="B134" s="1407" t="str">
        <f t="shared" si="1"/>
        <v>Alexander Haas</v>
      </c>
      <c r="C134" s="1402" t="s">
        <v>5702</v>
      </c>
      <c r="D134" s="1403" t="s">
        <v>3037</v>
      </c>
      <c r="E134" s="1404" t="s">
        <v>4101</v>
      </c>
      <c r="F134" s="1405" t="s">
        <v>5299</v>
      </c>
      <c r="G134" s="1403" t="s">
        <v>2748</v>
      </c>
      <c r="H134" s="1406" t="s">
        <v>988</v>
      </c>
    </row>
    <row r="135" spans="1:8" x14ac:dyDescent="0.2">
      <c r="A135" s="7"/>
      <c r="B135" s="1407" t="str">
        <f t="shared" ref="B135:B198" si="2">TRIM(CONCATENATE(D135," ",C135))</f>
        <v>Christian Haas</v>
      </c>
      <c r="C135" s="1402" t="s">
        <v>5702</v>
      </c>
      <c r="D135" s="1403" t="s">
        <v>3063</v>
      </c>
      <c r="E135" s="1404" t="s">
        <v>4102</v>
      </c>
      <c r="F135" s="1405" t="s">
        <v>5299</v>
      </c>
      <c r="G135" s="1403" t="s">
        <v>10253</v>
      </c>
      <c r="H135" s="1406" t="s">
        <v>988</v>
      </c>
    </row>
    <row r="136" spans="1:8" x14ac:dyDescent="0.2">
      <c r="A136" s="7"/>
      <c r="B136" s="1407" t="str">
        <f t="shared" si="2"/>
        <v>Michael Hasieber</v>
      </c>
      <c r="C136" s="1402" t="s">
        <v>5703</v>
      </c>
      <c r="D136" s="1403" t="s">
        <v>3416</v>
      </c>
      <c r="E136" s="1404" t="s">
        <v>4103</v>
      </c>
      <c r="F136" s="1405" t="s">
        <v>5300</v>
      </c>
      <c r="G136" s="1403" t="s">
        <v>2748</v>
      </c>
      <c r="H136" s="1406" t="s">
        <v>988</v>
      </c>
    </row>
    <row r="137" spans="1:8" x14ac:dyDescent="0.2">
      <c r="A137" s="7"/>
      <c r="B137" s="1407" t="str">
        <f t="shared" si="2"/>
        <v>Stefan Sandner</v>
      </c>
      <c r="C137" s="1402" t="s">
        <v>5704</v>
      </c>
      <c r="D137" s="1403" t="s">
        <v>3385</v>
      </c>
      <c r="E137" s="1404" t="s">
        <v>4104</v>
      </c>
      <c r="F137" s="1405" t="s">
        <v>5300</v>
      </c>
      <c r="G137" s="1403" t="s">
        <v>2748</v>
      </c>
      <c r="H137" s="1406" t="s">
        <v>988</v>
      </c>
    </row>
    <row r="138" spans="1:8" x14ac:dyDescent="0.2">
      <c r="A138" s="7"/>
      <c r="B138" s="1407" t="str">
        <f t="shared" si="2"/>
        <v>Reinhard Schöberl</v>
      </c>
      <c r="C138" s="1402" t="s">
        <v>5705</v>
      </c>
      <c r="D138" s="1403" t="s">
        <v>3176</v>
      </c>
      <c r="E138" s="1404" t="s">
        <v>4105</v>
      </c>
      <c r="F138" s="1405" t="s">
        <v>5299</v>
      </c>
      <c r="G138" s="1403" t="s">
        <v>2748</v>
      </c>
      <c r="H138" s="1406" t="s">
        <v>988</v>
      </c>
    </row>
    <row r="139" spans="1:8" x14ac:dyDescent="0.2">
      <c r="A139" s="7"/>
      <c r="B139" s="1407" t="str">
        <f t="shared" si="2"/>
        <v>Manfred Schuhmann</v>
      </c>
      <c r="C139" s="1402" t="s">
        <v>5706</v>
      </c>
      <c r="D139" s="1403" t="s">
        <v>3412</v>
      </c>
      <c r="E139" s="1404" t="s">
        <v>4106</v>
      </c>
      <c r="F139" s="1405" t="s">
        <v>5300</v>
      </c>
      <c r="G139" s="1403" t="s">
        <v>2748</v>
      </c>
      <c r="H139" s="1406" t="s">
        <v>988</v>
      </c>
    </row>
    <row r="140" spans="1:8" x14ac:dyDescent="0.2">
      <c r="A140" s="7"/>
      <c r="B140" s="1407" t="str">
        <f t="shared" si="2"/>
        <v>Murat Tünger</v>
      </c>
      <c r="C140" s="1402" t="s">
        <v>5707</v>
      </c>
      <c r="D140" s="1403" t="s">
        <v>3104</v>
      </c>
      <c r="E140" s="1404" t="s">
        <v>4107</v>
      </c>
      <c r="F140" s="1405" t="s">
        <v>5299</v>
      </c>
      <c r="G140" s="1403" t="s">
        <v>2748</v>
      </c>
      <c r="H140" s="1406" t="s">
        <v>988</v>
      </c>
    </row>
    <row r="141" spans="1:8" x14ac:dyDescent="0.2">
      <c r="A141" s="7"/>
      <c r="B141" s="1407" t="str">
        <f t="shared" si="2"/>
        <v>Thomas Wittmann</v>
      </c>
      <c r="C141" s="1402" t="s">
        <v>5708</v>
      </c>
      <c r="D141" s="1403" t="s">
        <v>3124</v>
      </c>
      <c r="E141" s="1404" t="s">
        <v>4108</v>
      </c>
      <c r="F141" s="1405" t="s">
        <v>5299</v>
      </c>
      <c r="G141" s="1403" t="s">
        <v>2748</v>
      </c>
      <c r="H141" s="1406" t="s">
        <v>988</v>
      </c>
    </row>
    <row r="142" spans="1:8" x14ac:dyDescent="0.2">
      <c r="A142" s="7"/>
      <c r="B142" s="1407" t="str">
        <f t="shared" si="2"/>
        <v>Peter Zeilinger</v>
      </c>
      <c r="C142" s="1402" t="s">
        <v>5709</v>
      </c>
      <c r="D142" s="1403" t="s">
        <v>3194</v>
      </c>
      <c r="E142" s="1404" t="s">
        <v>4109</v>
      </c>
      <c r="F142" s="1405" t="s">
        <v>5299</v>
      </c>
      <c r="G142" s="1403" t="s">
        <v>2748</v>
      </c>
      <c r="H142" s="1406" t="s">
        <v>988</v>
      </c>
    </row>
    <row r="143" spans="1:8" x14ac:dyDescent="0.2">
      <c r="A143" s="7"/>
      <c r="B143" s="1407" t="str">
        <f t="shared" si="2"/>
        <v>Wolfgang Haas</v>
      </c>
      <c r="C143" s="1402" t="s">
        <v>5702</v>
      </c>
      <c r="D143" s="1403" t="s">
        <v>3010</v>
      </c>
      <c r="E143" s="1404" t="s">
        <v>4110</v>
      </c>
      <c r="F143" s="1405" t="s">
        <v>5299</v>
      </c>
      <c r="G143" s="1403" t="s">
        <v>10253</v>
      </c>
      <c r="H143" s="1406" t="s">
        <v>988</v>
      </c>
    </row>
    <row r="144" spans="1:8" x14ac:dyDescent="0.2">
      <c r="A144" s="7"/>
      <c r="B144" s="1407" t="str">
        <f t="shared" si="2"/>
        <v>Günther Bamberzky</v>
      </c>
      <c r="C144" s="1402" t="s">
        <v>5710</v>
      </c>
      <c r="D144" s="1403" t="s">
        <v>3439</v>
      </c>
      <c r="E144" s="1404" t="s">
        <v>4111</v>
      </c>
      <c r="F144" s="1405" t="s">
        <v>5300</v>
      </c>
      <c r="G144" s="1403" t="s">
        <v>15175</v>
      </c>
      <c r="H144" s="1406" t="s">
        <v>988</v>
      </c>
    </row>
    <row r="145" spans="1:8" x14ac:dyDescent="0.2">
      <c r="A145" s="7"/>
      <c r="B145" s="1407" t="str">
        <f t="shared" si="2"/>
        <v>Christian Blümel</v>
      </c>
      <c r="C145" s="1402" t="s">
        <v>5711</v>
      </c>
      <c r="D145" s="1403" t="s">
        <v>3063</v>
      </c>
      <c r="E145" s="1404" t="s">
        <v>4112</v>
      </c>
      <c r="F145" s="1405" t="s">
        <v>5299</v>
      </c>
      <c r="G145" s="1403" t="s">
        <v>8871</v>
      </c>
      <c r="H145" s="1406" t="s">
        <v>988</v>
      </c>
    </row>
    <row r="146" spans="1:8" x14ac:dyDescent="0.2">
      <c r="A146" s="7"/>
      <c r="B146" s="1407" t="str">
        <f t="shared" si="2"/>
        <v>Erich Hinkelmann</v>
      </c>
      <c r="C146" s="1402" t="s">
        <v>5712</v>
      </c>
      <c r="D146" s="1403" t="s">
        <v>3140</v>
      </c>
      <c r="E146" s="1404" t="s">
        <v>4113</v>
      </c>
      <c r="F146" s="1405" t="s">
        <v>5300</v>
      </c>
      <c r="G146" s="1403" t="s">
        <v>8871</v>
      </c>
      <c r="H146" s="1406" t="s">
        <v>988</v>
      </c>
    </row>
    <row r="147" spans="1:8" x14ac:dyDescent="0.2">
      <c r="A147" s="7"/>
      <c r="B147" s="1407" t="str">
        <f t="shared" si="2"/>
        <v>Thomas Karnthaler</v>
      </c>
      <c r="C147" s="1402" t="s">
        <v>5713</v>
      </c>
      <c r="D147" s="1403" t="s">
        <v>3124</v>
      </c>
      <c r="E147" s="1404" t="s">
        <v>4114</v>
      </c>
      <c r="F147" s="1405" t="s">
        <v>5299</v>
      </c>
      <c r="G147" s="1403" t="s">
        <v>8871</v>
      </c>
      <c r="H147" s="1406" t="s">
        <v>988</v>
      </c>
    </row>
    <row r="148" spans="1:8" x14ac:dyDescent="0.2">
      <c r="A148" s="7"/>
      <c r="B148" s="1407" t="str">
        <f t="shared" si="2"/>
        <v>Jürgen Lizar</v>
      </c>
      <c r="C148" s="1402" t="s">
        <v>5714</v>
      </c>
      <c r="D148" s="1403" t="s">
        <v>3443</v>
      </c>
      <c r="E148" s="1404" t="s">
        <v>4115</v>
      </c>
      <c r="F148" s="1405" t="s">
        <v>5299</v>
      </c>
      <c r="G148" s="1403" t="s">
        <v>8871</v>
      </c>
      <c r="H148" s="1406" t="s">
        <v>988</v>
      </c>
    </row>
    <row r="149" spans="1:8" x14ac:dyDescent="0.2">
      <c r="A149" s="7"/>
      <c r="B149" s="1407" t="str">
        <f t="shared" si="2"/>
        <v>Manfred Pawlica</v>
      </c>
      <c r="C149" s="1402" t="s">
        <v>5715</v>
      </c>
      <c r="D149" s="1403" t="s">
        <v>3412</v>
      </c>
      <c r="E149" s="1404" t="s">
        <v>4116</v>
      </c>
      <c r="F149" s="1405" t="s">
        <v>5300</v>
      </c>
      <c r="G149" s="1403" t="s">
        <v>8871</v>
      </c>
      <c r="H149" s="1406" t="s">
        <v>988</v>
      </c>
    </row>
    <row r="150" spans="1:8" x14ac:dyDescent="0.2">
      <c r="A150" s="7"/>
      <c r="B150" s="1407" t="str">
        <f t="shared" si="2"/>
        <v>Alfred Strommer</v>
      </c>
      <c r="C150" s="1402" t="s">
        <v>5716</v>
      </c>
      <c r="D150" s="1403" t="s">
        <v>3511</v>
      </c>
      <c r="E150" s="1404" t="s">
        <v>4117</v>
      </c>
      <c r="F150" s="1405" t="s">
        <v>5300</v>
      </c>
      <c r="G150" s="1403" t="s">
        <v>8871</v>
      </c>
      <c r="H150" s="1406" t="s">
        <v>988</v>
      </c>
    </row>
    <row r="151" spans="1:8" x14ac:dyDescent="0.2">
      <c r="A151" s="7"/>
      <c r="B151" s="1407" t="str">
        <f t="shared" si="2"/>
        <v>David Vranovitz</v>
      </c>
      <c r="C151" s="1402" t="s">
        <v>5718</v>
      </c>
      <c r="D151" s="1403" t="s">
        <v>3072</v>
      </c>
      <c r="E151" s="1404" t="s">
        <v>16346</v>
      </c>
      <c r="F151" s="1405" t="s">
        <v>5299</v>
      </c>
      <c r="G151" s="1403"/>
      <c r="H151" s="1406" t="s">
        <v>988</v>
      </c>
    </row>
    <row r="152" spans="1:8" x14ac:dyDescent="0.2">
      <c r="A152" s="7"/>
      <c r="B152" s="1407" t="str">
        <f t="shared" si="2"/>
        <v>Marios Strommer</v>
      </c>
      <c r="C152" s="1402" t="s">
        <v>5716</v>
      </c>
      <c r="D152" s="1403" t="s">
        <v>3557</v>
      </c>
      <c r="E152" s="1404" t="s">
        <v>4118</v>
      </c>
      <c r="F152" s="1405" t="s">
        <v>5299</v>
      </c>
      <c r="G152" s="1403" t="s">
        <v>8871</v>
      </c>
      <c r="H152" s="1406" t="s">
        <v>988</v>
      </c>
    </row>
    <row r="153" spans="1:8" x14ac:dyDescent="0.2">
      <c r="A153" s="7"/>
      <c r="B153" s="1407" t="str">
        <f t="shared" si="2"/>
        <v>David Busch</v>
      </c>
      <c r="C153" s="1402" t="s">
        <v>5717</v>
      </c>
      <c r="D153" s="1403" t="s">
        <v>3072</v>
      </c>
      <c r="E153" s="1404" t="s">
        <v>4119</v>
      </c>
      <c r="F153" s="1405" t="s">
        <v>5300</v>
      </c>
      <c r="G153" s="1403" t="s">
        <v>10253</v>
      </c>
      <c r="H153" s="1406" t="s">
        <v>988</v>
      </c>
    </row>
    <row r="154" spans="1:8" x14ac:dyDescent="0.2">
      <c r="A154" s="7"/>
      <c r="B154" s="1407" t="str">
        <f t="shared" si="2"/>
        <v>Thomas Busch</v>
      </c>
      <c r="C154" s="1402" t="s">
        <v>5717</v>
      </c>
      <c r="D154" s="1403" t="s">
        <v>3124</v>
      </c>
      <c r="E154" s="1404" t="s">
        <v>4120</v>
      </c>
      <c r="F154" s="1405" t="s">
        <v>5300</v>
      </c>
      <c r="G154" s="1403" t="s">
        <v>8871</v>
      </c>
      <c r="H154" s="1406" t="s">
        <v>988</v>
      </c>
    </row>
    <row r="155" spans="1:8" x14ac:dyDescent="0.2">
      <c r="A155" s="7"/>
      <c r="B155" s="1407" t="str">
        <f t="shared" si="2"/>
        <v>Thorsten Korzil</v>
      </c>
      <c r="C155" s="1402" t="s">
        <v>5695</v>
      </c>
      <c r="D155" s="1403" t="s">
        <v>3381</v>
      </c>
      <c r="E155" s="1404" t="s">
        <v>4121</v>
      </c>
      <c r="F155" s="1405" t="s">
        <v>5299</v>
      </c>
      <c r="G155" s="1403" t="s">
        <v>2738</v>
      </c>
      <c r="H155" s="1406" t="s">
        <v>988</v>
      </c>
    </row>
    <row r="156" spans="1:8" x14ac:dyDescent="0.2">
      <c r="A156" s="7"/>
      <c r="B156" s="1407" t="str">
        <f t="shared" si="2"/>
        <v>Daniel Vranovitz</v>
      </c>
      <c r="C156" s="1402" t="s">
        <v>5718</v>
      </c>
      <c r="D156" s="1403" t="s">
        <v>3243</v>
      </c>
      <c r="E156" s="1404" t="s">
        <v>4122</v>
      </c>
      <c r="F156" s="1405" t="s">
        <v>5299</v>
      </c>
      <c r="G156" s="1403" t="s">
        <v>2748</v>
      </c>
      <c r="H156" s="1406" t="s">
        <v>988</v>
      </c>
    </row>
    <row r="157" spans="1:8" x14ac:dyDescent="0.2">
      <c r="A157" s="7"/>
      <c r="B157" s="1407" t="str">
        <f t="shared" si="2"/>
        <v>Bettina Lenz</v>
      </c>
      <c r="C157" s="1402" t="s">
        <v>5697</v>
      </c>
      <c r="D157" s="1403" t="s">
        <v>7464</v>
      </c>
      <c r="E157" s="1404" t="s">
        <v>7492</v>
      </c>
      <c r="F157" s="1405" t="s">
        <v>5299</v>
      </c>
      <c r="G157" s="1403" t="s">
        <v>2738</v>
      </c>
      <c r="H157" s="1406" t="s">
        <v>988</v>
      </c>
    </row>
    <row r="158" spans="1:8" x14ac:dyDescent="0.2">
      <c r="A158" s="7"/>
      <c r="B158" s="1407" t="str">
        <f t="shared" si="2"/>
        <v>Karl Vranovitz</v>
      </c>
      <c r="C158" s="1402" t="s">
        <v>5718</v>
      </c>
      <c r="D158" s="1403" t="s">
        <v>3685</v>
      </c>
      <c r="E158" s="1404" t="s">
        <v>7054</v>
      </c>
      <c r="F158" s="1405" t="s">
        <v>5300</v>
      </c>
      <c r="G158" s="1403" t="s">
        <v>2748</v>
      </c>
      <c r="H158" s="1406" t="s">
        <v>988</v>
      </c>
    </row>
    <row r="159" spans="1:8" x14ac:dyDescent="0.2">
      <c r="A159" s="7"/>
      <c r="B159" s="1407" t="str">
        <f t="shared" si="2"/>
        <v>Elias Walzer</v>
      </c>
      <c r="C159" s="1402" t="s">
        <v>5719</v>
      </c>
      <c r="D159" s="1403" t="s">
        <v>6746</v>
      </c>
      <c r="E159" s="1404" t="s">
        <v>7493</v>
      </c>
      <c r="F159" s="1405" t="s">
        <v>13210</v>
      </c>
      <c r="G159" s="1403" t="s">
        <v>2738</v>
      </c>
      <c r="H159" s="1406" t="s">
        <v>988</v>
      </c>
    </row>
    <row r="160" spans="1:8" x14ac:dyDescent="0.2">
      <c r="A160" s="7"/>
      <c r="B160" s="1407" t="str">
        <f t="shared" si="2"/>
        <v>David Scherbantin</v>
      </c>
      <c r="C160" s="1402" t="s">
        <v>16215</v>
      </c>
      <c r="D160" s="1403" t="s">
        <v>3072</v>
      </c>
      <c r="E160" s="1404" t="s">
        <v>16216</v>
      </c>
      <c r="F160" s="1405" t="s">
        <v>5299</v>
      </c>
      <c r="G160" s="1403" t="s">
        <v>2748</v>
      </c>
      <c r="H160" s="1406" t="s">
        <v>988</v>
      </c>
    </row>
    <row r="161" spans="1:8" x14ac:dyDescent="0.2">
      <c r="A161" s="7"/>
      <c r="B161" s="1407" t="str">
        <f t="shared" si="2"/>
        <v>Katharina Ocenasek</v>
      </c>
      <c r="C161" s="1402" t="s">
        <v>9610</v>
      </c>
      <c r="D161" s="1403" t="s">
        <v>9614</v>
      </c>
      <c r="E161" s="1404" t="s">
        <v>9617</v>
      </c>
      <c r="F161" s="1405" t="s">
        <v>5299</v>
      </c>
      <c r="G161" s="1403" t="s">
        <v>2748</v>
      </c>
      <c r="H161" s="1406" t="s">
        <v>988</v>
      </c>
    </row>
    <row r="162" spans="1:8" x14ac:dyDescent="0.2">
      <c r="A162" s="7"/>
      <c r="B162" s="1407" t="str">
        <f t="shared" si="2"/>
        <v>Christian Hausmann</v>
      </c>
      <c r="C162" s="1402" t="s">
        <v>15656</v>
      </c>
      <c r="D162" s="1403" t="s">
        <v>3063</v>
      </c>
      <c r="E162" s="1404" t="s">
        <v>15657</v>
      </c>
      <c r="F162" s="1405" t="s">
        <v>5299</v>
      </c>
      <c r="G162" s="1403" t="s">
        <v>2748</v>
      </c>
      <c r="H162" s="1406" t="s">
        <v>988</v>
      </c>
    </row>
    <row r="163" spans="1:8" x14ac:dyDescent="0.2">
      <c r="A163" s="7"/>
      <c r="B163" s="1407" t="str">
        <f t="shared" si="2"/>
        <v>Fabian Pinter</v>
      </c>
      <c r="C163" s="1402" t="s">
        <v>11508</v>
      </c>
      <c r="D163" s="1403" t="s">
        <v>11518</v>
      </c>
      <c r="E163" s="1404" t="s">
        <v>11521</v>
      </c>
      <c r="F163" s="1405" t="s">
        <v>13210</v>
      </c>
      <c r="G163" s="1403" t="s">
        <v>2738</v>
      </c>
      <c r="H163" s="1406" t="s">
        <v>988</v>
      </c>
    </row>
    <row r="164" spans="1:8" x14ac:dyDescent="0.2">
      <c r="A164" s="7"/>
      <c r="B164" s="1407" t="str">
        <f t="shared" si="2"/>
        <v>Katharina Waldorf-Busch</v>
      </c>
      <c r="C164" s="1402" t="s">
        <v>13212</v>
      </c>
      <c r="D164" s="1403" t="s">
        <v>9614</v>
      </c>
      <c r="E164" s="1404" t="s">
        <v>13213</v>
      </c>
      <c r="F164" s="1405" t="s">
        <v>5300</v>
      </c>
      <c r="G164" s="1403" t="s">
        <v>10253</v>
      </c>
      <c r="H164" s="1406" t="s">
        <v>988</v>
      </c>
    </row>
    <row r="165" spans="1:8" x14ac:dyDescent="0.2">
      <c r="A165" s="7"/>
      <c r="B165" s="1407" t="str">
        <f t="shared" si="2"/>
        <v>Louis Haas</v>
      </c>
      <c r="C165" s="1402" t="s">
        <v>5702</v>
      </c>
      <c r="D165" s="1403" t="s">
        <v>5660</v>
      </c>
      <c r="E165" s="1404" t="s">
        <v>15648</v>
      </c>
      <c r="F165" s="1405" t="s">
        <v>1563</v>
      </c>
      <c r="G165" s="1403" t="s">
        <v>2748</v>
      </c>
      <c r="H165" s="1406" t="s">
        <v>988</v>
      </c>
    </row>
    <row r="166" spans="1:8" x14ac:dyDescent="0.2">
      <c r="A166" s="7"/>
      <c r="B166" s="1407" t="str">
        <f t="shared" si="2"/>
        <v>Johannes Haas</v>
      </c>
      <c r="C166" s="1402" t="s">
        <v>5702</v>
      </c>
      <c r="D166" s="1403" t="s">
        <v>15646</v>
      </c>
      <c r="E166" s="1404" t="s">
        <v>15647</v>
      </c>
      <c r="F166" s="1405" t="s">
        <v>1563</v>
      </c>
      <c r="G166" s="1403" t="s">
        <v>14359</v>
      </c>
      <c r="H166" s="1406" t="s">
        <v>988</v>
      </c>
    </row>
    <row r="167" spans="1:8" x14ac:dyDescent="0.2">
      <c r="A167" s="7"/>
      <c r="B167" s="1407" t="str">
        <f t="shared" si="2"/>
        <v>Igor Ljubisavljevic</v>
      </c>
      <c r="C167" s="1402" t="s">
        <v>15817</v>
      </c>
      <c r="D167" s="1403" t="s">
        <v>3144</v>
      </c>
      <c r="E167" s="1404" t="s">
        <v>15818</v>
      </c>
      <c r="F167" s="1405" t="s">
        <v>5299</v>
      </c>
      <c r="G167" s="1403" t="s">
        <v>8871</v>
      </c>
      <c r="H167" s="1406" t="s">
        <v>988</v>
      </c>
    </row>
    <row r="168" spans="1:8" x14ac:dyDescent="0.2">
      <c r="A168" s="7"/>
      <c r="B168" s="1407" t="str">
        <f t="shared" si="2"/>
        <v>Florian Daxböck</v>
      </c>
      <c r="C168" s="1402" t="s">
        <v>15423</v>
      </c>
      <c r="D168" s="1403" t="s">
        <v>3358</v>
      </c>
      <c r="E168" s="1404" t="s">
        <v>15424</v>
      </c>
      <c r="F168" s="1405" t="s">
        <v>5300</v>
      </c>
      <c r="G168" s="1403" t="s">
        <v>8871</v>
      </c>
      <c r="H168" s="1406" t="s">
        <v>988</v>
      </c>
    </row>
    <row r="169" spans="1:8" x14ac:dyDescent="0.2">
      <c r="A169" s="7"/>
      <c r="B169" s="1407" t="str">
        <f t="shared" si="2"/>
        <v>Jordan Bonte</v>
      </c>
      <c r="C169" s="1402" t="s">
        <v>17664</v>
      </c>
      <c r="D169" s="1403" t="s">
        <v>17665</v>
      </c>
      <c r="E169" s="1404" t="s">
        <v>17666</v>
      </c>
      <c r="F169" s="1405" t="s">
        <v>5299</v>
      </c>
      <c r="G169" s="1403" t="s">
        <v>16416</v>
      </c>
      <c r="H169" s="1406" t="s">
        <v>990</v>
      </c>
    </row>
    <row r="170" spans="1:8" x14ac:dyDescent="0.2">
      <c r="A170" s="7"/>
      <c r="B170" s="1407" t="str">
        <f t="shared" si="2"/>
        <v>Sébastien Scheen</v>
      </c>
      <c r="C170" s="1402" t="s">
        <v>5742</v>
      </c>
      <c r="D170" s="1403" t="s">
        <v>3043</v>
      </c>
      <c r="E170" s="1404" t="s">
        <v>4144</v>
      </c>
      <c r="F170" s="1405" t="s">
        <v>5299</v>
      </c>
      <c r="G170" s="1403" t="s">
        <v>5311</v>
      </c>
      <c r="H170" s="1406" t="s">
        <v>990</v>
      </c>
    </row>
    <row r="171" spans="1:8" x14ac:dyDescent="0.2">
      <c r="A171" s="7"/>
      <c r="B171" s="1407" t="str">
        <f t="shared" si="2"/>
        <v>Joffray Laurent</v>
      </c>
      <c r="C171" s="1402" t="s">
        <v>3123</v>
      </c>
      <c r="D171" s="1403" t="s">
        <v>3465</v>
      </c>
      <c r="E171" s="1404" t="s">
        <v>4127</v>
      </c>
      <c r="F171" s="1405" t="s">
        <v>5299</v>
      </c>
      <c r="G171" s="1403" t="s">
        <v>2745</v>
      </c>
      <c r="H171" s="1406" t="s">
        <v>990</v>
      </c>
    </row>
    <row r="172" spans="1:8" x14ac:dyDescent="0.2">
      <c r="A172" s="7"/>
      <c r="B172" s="1407" t="str">
        <f t="shared" si="2"/>
        <v>Matthias Averlant</v>
      </c>
      <c r="C172" s="1402" t="s">
        <v>5758</v>
      </c>
      <c r="D172" s="1403" t="s">
        <v>3172</v>
      </c>
      <c r="E172" s="1404" t="s">
        <v>7055</v>
      </c>
      <c r="F172" s="1405" t="s">
        <v>5299</v>
      </c>
      <c r="G172" s="1403" t="s">
        <v>13519</v>
      </c>
      <c r="H172" s="1406" t="s">
        <v>990</v>
      </c>
    </row>
    <row r="173" spans="1:8" x14ac:dyDescent="0.2">
      <c r="A173" s="7"/>
      <c r="B173" s="1407" t="str">
        <f t="shared" si="2"/>
        <v>Elodie Bertholet</v>
      </c>
      <c r="C173" s="1402" t="s">
        <v>5749</v>
      </c>
      <c r="D173" s="1403" t="s">
        <v>3283</v>
      </c>
      <c r="E173" s="1404" t="s">
        <v>4151</v>
      </c>
      <c r="F173" s="1405" t="s">
        <v>5299</v>
      </c>
      <c r="G173" s="1403" t="s">
        <v>13519</v>
      </c>
      <c r="H173" s="1406" t="s">
        <v>990</v>
      </c>
    </row>
    <row r="174" spans="1:8" x14ac:dyDescent="0.2">
      <c r="A174" s="7"/>
      <c r="B174" s="1407" t="str">
        <f t="shared" si="2"/>
        <v>Corentin Boltz</v>
      </c>
      <c r="C174" s="1402" t="s">
        <v>5756</v>
      </c>
      <c r="D174" s="1403" t="s">
        <v>3673</v>
      </c>
      <c r="E174" s="1404" t="s">
        <v>4158</v>
      </c>
      <c r="F174" s="1405" t="s">
        <v>5299</v>
      </c>
      <c r="G174" s="1403" t="s">
        <v>13519</v>
      </c>
      <c r="H174" s="1406" t="s">
        <v>990</v>
      </c>
    </row>
    <row r="175" spans="1:8" x14ac:dyDescent="0.2">
      <c r="A175" s="7"/>
      <c r="B175" s="1407" t="str">
        <f t="shared" si="2"/>
        <v>Jérôme Cyganek</v>
      </c>
      <c r="C175" s="1402" t="s">
        <v>8005</v>
      </c>
      <c r="D175" s="1403" t="s">
        <v>3121</v>
      </c>
      <c r="E175" s="1404" t="s">
        <v>8347</v>
      </c>
      <c r="F175" s="1405" t="s">
        <v>13210</v>
      </c>
      <c r="G175" s="1403" t="s">
        <v>13519</v>
      </c>
      <c r="H175" s="1406" t="s">
        <v>990</v>
      </c>
    </row>
    <row r="176" spans="1:8" x14ac:dyDescent="0.2">
      <c r="A176" s="7"/>
      <c r="B176" s="1407" t="str">
        <f t="shared" si="2"/>
        <v>Emeric Delcroix</v>
      </c>
      <c r="C176" s="1402" t="s">
        <v>14344</v>
      </c>
      <c r="D176" s="1403" t="s">
        <v>14345</v>
      </c>
      <c r="E176" s="1404" t="s">
        <v>14346</v>
      </c>
      <c r="F176" s="1405" t="s">
        <v>5299</v>
      </c>
      <c r="G176" s="1403" t="s">
        <v>13519</v>
      </c>
      <c r="H176" s="1406" t="s">
        <v>990</v>
      </c>
    </row>
    <row r="177" spans="1:8" x14ac:dyDescent="0.2">
      <c r="A177" s="7"/>
      <c r="B177" s="1407" t="str">
        <f t="shared" si="2"/>
        <v>Louka Demeuldre</v>
      </c>
      <c r="C177" s="1402" t="s">
        <v>17667</v>
      </c>
      <c r="D177" s="1403" t="s">
        <v>17668</v>
      </c>
      <c r="E177" s="1404" t="s">
        <v>17669</v>
      </c>
      <c r="F177" s="1405" t="s">
        <v>13211</v>
      </c>
      <c r="G177" s="1403" t="s">
        <v>13519</v>
      </c>
      <c r="H177" s="1406" t="s">
        <v>990</v>
      </c>
    </row>
    <row r="178" spans="1:8" x14ac:dyDescent="0.2">
      <c r="A178" s="7"/>
      <c r="B178" s="1407" t="str">
        <f t="shared" si="2"/>
        <v>Emilie Despretz</v>
      </c>
      <c r="C178" s="1402" t="s">
        <v>5731</v>
      </c>
      <c r="D178" s="1403" t="s">
        <v>15460</v>
      </c>
      <c r="E178" s="1404" t="s">
        <v>15461</v>
      </c>
      <c r="F178" s="1405" t="s">
        <v>5299</v>
      </c>
      <c r="G178" s="1403" t="s">
        <v>13519</v>
      </c>
      <c r="H178" s="1406" t="s">
        <v>990</v>
      </c>
    </row>
    <row r="179" spans="1:8" x14ac:dyDescent="0.2">
      <c r="A179" s="7"/>
      <c r="B179" s="1407" t="str">
        <f t="shared" si="2"/>
        <v>Steffen Despretz</v>
      </c>
      <c r="C179" s="1402" t="s">
        <v>5731</v>
      </c>
      <c r="D179" s="1403" t="s">
        <v>3306</v>
      </c>
      <c r="E179" s="1404" t="s">
        <v>4132</v>
      </c>
      <c r="F179" s="1405" t="s">
        <v>5299</v>
      </c>
      <c r="G179" s="1403" t="s">
        <v>13519</v>
      </c>
      <c r="H179" s="1406" t="s">
        <v>990</v>
      </c>
    </row>
    <row r="180" spans="1:8" x14ac:dyDescent="0.2">
      <c r="A180" s="7"/>
      <c r="B180" s="1407" t="str">
        <f t="shared" si="2"/>
        <v>Léa Despretz</v>
      </c>
      <c r="C180" s="1402" t="s">
        <v>5731</v>
      </c>
      <c r="D180" s="1403" t="s">
        <v>6880</v>
      </c>
      <c r="E180" s="1404" t="s">
        <v>4159</v>
      </c>
      <c r="F180" s="1405" t="s">
        <v>13210</v>
      </c>
      <c r="G180" s="1403" t="s">
        <v>13519</v>
      </c>
      <c r="H180" s="1406" t="s">
        <v>990</v>
      </c>
    </row>
    <row r="181" spans="1:8" x14ac:dyDescent="0.2">
      <c r="A181" s="7"/>
      <c r="B181" s="1407" t="str">
        <f t="shared" si="2"/>
        <v>Chloé Despretz</v>
      </c>
      <c r="C181" s="1402" t="s">
        <v>5731</v>
      </c>
      <c r="D181" s="1403" t="s">
        <v>15458</v>
      </c>
      <c r="E181" s="1404" t="s">
        <v>15459</v>
      </c>
      <c r="F181" s="1405" t="s">
        <v>13211</v>
      </c>
      <c r="G181" s="1403" t="s">
        <v>13519</v>
      </c>
      <c r="H181" s="1406" t="s">
        <v>990</v>
      </c>
    </row>
    <row r="182" spans="1:8" x14ac:dyDescent="0.2">
      <c r="A182" s="7"/>
      <c r="B182" s="1407" t="str">
        <f t="shared" si="2"/>
        <v>Delphine Dieudonne</v>
      </c>
      <c r="C182" s="1402" t="s">
        <v>5732</v>
      </c>
      <c r="D182" s="1403" t="s">
        <v>3244</v>
      </c>
      <c r="E182" s="1404" t="s">
        <v>4133</v>
      </c>
      <c r="F182" s="1405" t="s">
        <v>5299</v>
      </c>
      <c r="G182" s="1403" t="s">
        <v>13519</v>
      </c>
      <c r="H182" s="1406" t="s">
        <v>990</v>
      </c>
    </row>
    <row r="183" spans="1:8" x14ac:dyDescent="0.2">
      <c r="A183" s="7"/>
      <c r="B183" s="1407" t="str">
        <f t="shared" si="2"/>
        <v>Chantal Gallez</v>
      </c>
      <c r="C183" s="1402" t="s">
        <v>14348</v>
      </c>
      <c r="D183" s="1403" t="s">
        <v>3593</v>
      </c>
      <c r="E183" s="1404" t="s">
        <v>14349</v>
      </c>
      <c r="F183" s="1405" t="s">
        <v>5300</v>
      </c>
      <c r="G183" s="1403" t="s">
        <v>13519</v>
      </c>
      <c r="H183" s="1406" t="s">
        <v>990</v>
      </c>
    </row>
    <row r="184" spans="1:8" x14ac:dyDescent="0.2">
      <c r="A184" s="7"/>
      <c r="B184" s="1407" t="str">
        <f t="shared" si="2"/>
        <v>Laurent Goor</v>
      </c>
      <c r="C184" s="1402" t="s">
        <v>5733</v>
      </c>
      <c r="D184" s="1403" t="s">
        <v>3123</v>
      </c>
      <c r="E184" s="1404" t="s">
        <v>4134</v>
      </c>
      <c r="F184" s="1405" t="s">
        <v>5299</v>
      </c>
      <c r="G184" s="1403" t="s">
        <v>13519</v>
      </c>
      <c r="H184" s="1406" t="s">
        <v>990</v>
      </c>
    </row>
    <row r="185" spans="1:8" x14ac:dyDescent="0.2">
      <c r="A185" s="7"/>
      <c r="B185" s="1407" t="str">
        <f t="shared" si="2"/>
        <v>Benoit Lagneau</v>
      </c>
      <c r="C185" s="1402" t="s">
        <v>5760</v>
      </c>
      <c r="D185" s="1403" t="s">
        <v>5592</v>
      </c>
      <c r="E185" s="1404" t="s">
        <v>7058</v>
      </c>
      <c r="F185" s="1405" t="s">
        <v>5299</v>
      </c>
      <c r="G185" s="1403" t="s">
        <v>13519</v>
      </c>
      <c r="H185" s="1406" t="s">
        <v>990</v>
      </c>
    </row>
    <row r="186" spans="1:8" x14ac:dyDescent="0.2">
      <c r="A186" s="7"/>
      <c r="B186" s="1407" t="str">
        <f t="shared" si="2"/>
        <v>Geoffrey Marain</v>
      </c>
      <c r="C186" s="1402" t="s">
        <v>5750</v>
      </c>
      <c r="D186" s="1403" t="s">
        <v>3230</v>
      </c>
      <c r="E186" s="1404" t="s">
        <v>4152</v>
      </c>
      <c r="F186" s="1405" t="s">
        <v>5299</v>
      </c>
      <c r="G186" s="1403" t="s">
        <v>13519</v>
      </c>
      <c r="H186" s="1406" t="s">
        <v>990</v>
      </c>
    </row>
    <row r="187" spans="1:8" x14ac:dyDescent="0.2">
      <c r="A187" s="7"/>
      <c r="B187" s="1407" t="str">
        <f t="shared" si="2"/>
        <v>Benjamin Marain</v>
      </c>
      <c r="C187" s="1402" t="s">
        <v>5750</v>
      </c>
      <c r="D187" s="1403" t="s">
        <v>3362</v>
      </c>
      <c r="E187" s="1404" t="s">
        <v>13653</v>
      </c>
      <c r="F187" s="1405" t="s">
        <v>13210</v>
      </c>
      <c r="G187" s="1403" t="s">
        <v>13519</v>
      </c>
      <c r="H187" s="1406" t="s">
        <v>990</v>
      </c>
    </row>
    <row r="188" spans="1:8" x14ac:dyDescent="0.2">
      <c r="A188" s="7"/>
      <c r="B188" s="1407" t="str">
        <f t="shared" si="2"/>
        <v>Patrick Peltier</v>
      </c>
      <c r="C188" s="1402" t="s">
        <v>5734</v>
      </c>
      <c r="D188" s="1403" t="s">
        <v>3271</v>
      </c>
      <c r="E188" s="1404" t="s">
        <v>4135</v>
      </c>
      <c r="F188" s="1405" t="s">
        <v>5300</v>
      </c>
      <c r="G188" s="1403" t="s">
        <v>13519</v>
      </c>
      <c r="H188" s="1406" t="s">
        <v>990</v>
      </c>
    </row>
    <row r="189" spans="1:8" x14ac:dyDescent="0.2">
      <c r="A189" s="7"/>
      <c r="B189" s="1407" t="str">
        <f t="shared" si="2"/>
        <v>Olivier Pere</v>
      </c>
      <c r="C189" s="1402" t="s">
        <v>5735</v>
      </c>
      <c r="D189" s="1403" t="s">
        <v>3193</v>
      </c>
      <c r="E189" s="1404" t="s">
        <v>4136</v>
      </c>
      <c r="F189" s="1405" t="s">
        <v>5300</v>
      </c>
      <c r="G189" s="1403" t="s">
        <v>13519</v>
      </c>
      <c r="H189" s="1406" t="s">
        <v>990</v>
      </c>
    </row>
    <row r="190" spans="1:8" x14ac:dyDescent="0.2">
      <c r="A190" s="7"/>
      <c r="B190" s="1407" t="str">
        <f t="shared" si="2"/>
        <v>Lucas Pere</v>
      </c>
      <c r="C190" s="1402" t="s">
        <v>5735</v>
      </c>
      <c r="D190" s="1403" t="s">
        <v>3684</v>
      </c>
      <c r="E190" s="1404" t="s">
        <v>4157</v>
      </c>
      <c r="F190" s="1405" t="s">
        <v>5299</v>
      </c>
      <c r="G190" s="1403" t="s">
        <v>13519</v>
      </c>
      <c r="H190" s="1406" t="s">
        <v>990</v>
      </c>
    </row>
    <row r="191" spans="1:8" x14ac:dyDescent="0.2">
      <c r="A191" s="7"/>
      <c r="B191" s="1407" t="str">
        <f t="shared" si="2"/>
        <v>Jann Segers</v>
      </c>
      <c r="C191" s="1402" t="s">
        <v>5759</v>
      </c>
      <c r="D191" s="1403" t="s">
        <v>5656</v>
      </c>
      <c r="E191" s="1404" t="s">
        <v>7056</v>
      </c>
      <c r="F191" s="1405" t="s">
        <v>13210</v>
      </c>
      <c r="G191" s="1403" t="s">
        <v>13519</v>
      </c>
      <c r="H191" s="1406" t="s">
        <v>990</v>
      </c>
    </row>
    <row r="192" spans="1:8" x14ac:dyDescent="0.2">
      <c r="A192" s="7"/>
      <c r="B192" s="1407" t="str">
        <f t="shared" si="2"/>
        <v>David Vantassel</v>
      </c>
      <c r="C192" s="1402" t="s">
        <v>5736</v>
      </c>
      <c r="D192" s="1403" t="s">
        <v>3072</v>
      </c>
      <c r="E192" s="1404" t="s">
        <v>4137</v>
      </c>
      <c r="F192" s="1405" t="s">
        <v>5299</v>
      </c>
      <c r="G192" s="1403" t="s">
        <v>13519</v>
      </c>
      <c r="H192" s="1406" t="s">
        <v>990</v>
      </c>
    </row>
    <row r="193" spans="1:8" x14ac:dyDescent="0.2">
      <c r="A193" s="7"/>
      <c r="B193" s="1407" t="str">
        <f t="shared" si="2"/>
        <v>Bessim Golger</v>
      </c>
      <c r="C193" s="1402" t="s">
        <v>5721</v>
      </c>
      <c r="D193" s="1403" t="s">
        <v>3019</v>
      </c>
      <c r="E193" s="1404" t="s">
        <v>4124</v>
      </c>
      <c r="F193" s="1405" t="s">
        <v>5299</v>
      </c>
      <c r="G193" s="1403" t="s">
        <v>10253</v>
      </c>
      <c r="H193" s="1406" t="s">
        <v>990</v>
      </c>
    </row>
    <row r="194" spans="1:8" x14ac:dyDescent="0.2">
      <c r="A194" s="7"/>
      <c r="B194" s="1407" t="str">
        <f t="shared" si="2"/>
        <v>William Van Den Houte</v>
      </c>
      <c r="C194" s="1402" t="s">
        <v>5739</v>
      </c>
      <c r="D194" s="1403" t="s">
        <v>3236</v>
      </c>
      <c r="E194" s="1404" t="s">
        <v>17670</v>
      </c>
      <c r="F194" s="1405" t="s">
        <v>5299</v>
      </c>
      <c r="G194" s="1403" t="s">
        <v>10253</v>
      </c>
      <c r="H194" s="1406" t="s">
        <v>990</v>
      </c>
    </row>
    <row r="195" spans="1:8" x14ac:dyDescent="0.2">
      <c r="A195" s="7"/>
      <c r="B195" s="1407" t="str">
        <f t="shared" si="2"/>
        <v>Christophe Dheur</v>
      </c>
      <c r="C195" s="1402" t="s">
        <v>5740</v>
      </c>
      <c r="D195" s="1403" t="s">
        <v>3012</v>
      </c>
      <c r="E195" s="1404" t="s">
        <v>4140</v>
      </c>
      <c r="F195" s="1405" t="s">
        <v>5299</v>
      </c>
      <c r="G195" s="1403" t="s">
        <v>2750</v>
      </c>
      <c r="H195" s="1406" t="s">
        <v>990</v>
      </c>
    </row>
    <row r="196" spans="1:8" x14ac:dyDescent="0.2">
      <c r="A196" s="7"/>
      <c r="B196" s="1407" t="str">
        <f t="shared" si="2"/>
        <v>Vincent Dirick</v>
      </c>
      <c r="C196" s="1402" t="s">
        <v>13215</v>
      </c>
      <c r="D196" s="1403" t="s">
        <v>3457</v>
      </c>
      <c r="E196" s="1404" t="s">
        <v>15489</v>
      </c>
      <c r="F196" s="1405" t="s">
        <v>5300</v>
      </c>
      <c r="G196" s="1403" t="s">
        <v>15681</v>
      </c>
      <c r="H196" s="1406" t="s">
        <v>990</v>
      </c>
    </row>
    <row r="197" spans="1:8" x14ac:dyDescent="0.2">
      <c r="A197" s="7"/>
      <c r="B197" s="1407" t="str">
        <f t="shared" si="2"/>
        <v>Olivia Huet</v>
      </c>
      <c r="C197" s="1402" t="s">
        <v>15678</v>
      </c>
      <c r="D197" s="1403" t="s">
        <v>15679</v>
      </c>
      <c r="E197" s="1404" t="s">
        <v>15680</v>
      </c>
      <c r="F197" s="1405" t="s">
        <v>13211</v>
      </c>
      <c r="G197" s="1403" t="s">
        <v>15681</v>
      </c>
      <c r="H197" s="1406" t="s">
        <v>990</v>
      </c>
    </row>
    <row r="198" spans="1:8" x14ac:dyDescent="0.2">
      <c r="A198" s="7"/>
      <c r="B198" s="1407" t="str">
        <f t="shared" si="2"/>
        <v>Mathis Joachim</v>
      </c>
      <c r="C198" s="1402" t="s">
        <v>13894</v>
      </c>
      <c r="D198" s="1403" t="s">
        <v>15614</v>
      </c>
      <c r="E198" s="1404" t="s">
        <v>15709</v>
      </c>
      <c r="F198" s="1405" t="s">
        <v>13211</v>
      </c>
      <c r="G198" s="1403" t="s">
        <v>15681</v>
      </c>
      <c r="H198" s="1406" t="s">
        <v>990</v>
      </c>
    </row>
    <row r="199" spans="1:8" x14ac:dyDescent="0.2">
      <c r="A199" s="7"/>
      <c r="B199" s="1407" t="str">
        <f t="shared" ref="B199:B262" si="3">TRIM(CONCATENATE(D199," ",C199))</f>
        <v>Romain Joris</v>
      </c>
      <c r="C199" s="1402" t="s">
        <v>15712</v>
      </c>
      <c r="D199" s="1403" t="s">
        <v>3242</v>
      </c>
      <c r="E199" s="1404" t="s">
        <v>15713</v>
      </c>
      <c r="F199" s="1405" t="s">
        <v>13211</v>
      </c>
      <c r="G199" s="1403" t="s">
        <v>15681</v>
      </c>
      <c r="H199" s="1406" t="s">
        <v>990</v>
      </c>
    </row>
    <row r="200" spans="1:8" x14ac:dyDescent="0.2">
      <c r="A200" s="7"/>
      <c r="B200" s="1407" t="str">
        <f t="shared" si="3"/>
        <v>Martin Joris</v>
      </c>
      <c r="C200" s="1402" t="s">
        <v>15712</v>
      </c>
      <c r="D200" s="1403" t="s">
        <v>3408</v>
      </c>
      <c r="E200" s="1404" t="s">
        <v>15714</v>
      </c>
      <c r="F200" s="1405" t="s">
        <v>1563</v>
      </c>
      <c r="G200" s="1403" t="s">
        <v>15681</v>
      </c>
      <c r="H200" s="1406" t="s">
        <v>990</v>
      </c>
    </row>
    <row r="201" spans="1:8" x14ac:dyDescent="0.2">
      <c r="A201" s="7"/>
      <c r="B201" s="1407" t="str">
        <f t="shared" si="3"/>
        <v>Martin Lebutte</v>
      </c>
      <c r="C201" s="1402" t="s">
        <v>15792</v>
      </c>
      <c r="D201" s="1403" t="s">
        <v>3408</v>
      </c>
      <c r="E201" s="1404" t="s">
        <v>15793</v>
      </c>
      <c r="F201" s="1405" t="s">
        <v>1563</v>
      </c>
      <c r="G201" s="1403" t="s">
        <v>15681</v>
      </c>
      <c r="H201" s="1406" t="s">
        <v>990</v>
      </c>
    </row>
    <row r="202" spans="1:8" x14ac:dyDescent="0.2">
      <c r="A202" s="7"/>
      <c r="B202" s="1407" t="str">
        <f t="shared" si="3"/>
        <v>Robin Verplaetse</v>
      </c>
      <c r="C202" s="1402" t="s">
        <v>16326</v>
      </c>
      <c r="D202" s="1403" t="s">
        <v>6879</v>
      </c>
      <c r="E202" s="1404" t="s">
        <v>16327</v>
      </c>
      <c r="F202" s="1405" t="s">
        <v>13211</v>
      </c>
      <c r="G202" s="1403" t="s">
        <v>15681</v>
      </c>
      <c r="H202" s="1406" t="s">
        <v>990</v>
      </c>
    </row>
    <row r="203" spans="1:8" x14ac:dyDescent="0.2">
      <c r="A203" s="7"/>
      <c r="B203" s="1407" t="str">
        <f t="shared" si="3"/>
        <v>Rémy Huynh</v>
      </c>
      <c r="C203" s="1402" t="s">
        <v>5737</v>
      </c>
      <c r="D203" s="1403" t="s">
        <v>3394</v>
      </c>
      <c r="E203" s="1404" t="s">
        <v>4138</v>
      </c>
      <c r="F203" s="1405" t="s">
        <v>5299</v>
      </c>
      <c r="G203" s="1403" t="s">
        <v>7870</v>
      </c>
      <c r="H203" s="1406" t="s">
        <v>990</v>
      </c>
    </row>
    <row r="204" spans="1:8" x14ac:dyDescent="0.2">
      <c r="A204" s="7"/>
      <c r="B204" s="1407" t="str">
        <f t="shared" si="3"/>
        <v>Xavier Herman</v>
      </c>
      <c r="C204" s="1402" t="s">
        <v>17671</v>
      </c>
      <c r="D204" s="1403" t="s">
        <v>3295</v>
      </c>
      <c r="E204" s="1404" t="s">
        <v>17672</v>
      </c>
      <c r="F204" s="1405" t="s">
        <v>5299</v>
      </c>
      <c r="G204" s="1403" t="s">
        <v>14347</v>
      </c>
      <c r="H204" s="1406" t="s">
        <v>990</v>
      </c>
    </row>
    <row r="205" spans="1:8" x14ac:dyDescent="0.2">
      <c r="A205" s="7"/>
      <c r="B205" s="1407" t="str">
        <f t="shared" si="3"/>
        <v>Florian Giaux</v>
      </c>
      <c r="C205" s="1402" t="s">
        <v>13646</v>
      </c>
      <c r="D205" s="1403" t="s">
        <v>3358</v>
      </c>
      <c r="E205" s="1404" t="s">
        <v>13647</v>
      </c>
      <c r="F205" s="1405" t="s">
        <v>5299</v>
      </c>
      <c r="G205" s="1403" t="s">
        <v>2893</v>
      </c>
      <c r="H205" s="1406" t="s">
        <v>990</v>
      </c>
    </row>
    <row r="206" spans="1:8" x14ac:dyDescent="0.2">
      <c r="A206" s="7"/>
      <c r="B206" s="1407" t="str">
        <f t="shared" si="3"/>
        <v>Louison Giaux</v>
      </c>
      <c r="C206" s="1402" t="s">
        <v>13646</v>
      </c>
      <c r="D206" s="1403" t="s">
        <v>17673</v>
      </c>
      <c r="E206" s="1404" t="s">
        <v>17674</v>
      </c>
      <c r="F206" s="1405" t="s">
        <v>5299</v>
      </c>
      <c r="G206" s="1403" t="s">
        <v>2893</v>
      </c>
      <c r="H206" s="1406" t="s">
        <v>990</v>
      </c>
    </row>
    <row r="207" spans="1:8" x14ac:dyDescent="0.2">
      <c r="A207" s="7"/>
      <c r="B207" s="1407" t="str">
        <f t="shared" si="3"/>
        <v>Justin Leroy</v>
      </c>
      <c r="C207" s="1402" t="s">
        <v>5738</v>
      </c>
      <c r="D207" s="1403" t="s">
        <v>3025</v>
      </c>
      <c r="E207" s="1404" t="s">
        <v>13648</v>
      </c>
      <c r="F207" s="1405" t="s">
        <v>5299</v>
      </c>
      <c r="G207" s="1403" t="s">
        <v>2893</v>
      </c>
      <c r="H207" s="1406" t="s">
        <v>990</v>
      </c>
    </row>
    <row r="208" spans="1:8" x14ac:dyDescent="0.2">
      <c r="A208" s="7"/>
      <c r="B208" s="1407" t="str">
        <f t="shared" si="3"/>
        <v>Pierre De Leeuw</v>
      </c>
      <c r="C208" s="1402" t="s">
        <v>5720</v>
      </c>
      <c r="D208" s="1403" t="s">
        <v>3061</v>
      </c>
      <c r="E208" s="1404" t="s">
        <v>4123</v>
      </c>
      <c r="F208" s="1405" t="s">
        <v>5299</v>
      </c>
      <c r="G208" s="1403" t="s">
        <v>11331</v>
      </c>
      <c r="H208" s="1406" t="s">
        <v>990</v>
      </c>
    </row>
    <row r="209" spans="1:8" x14ac:dyDescent="0.2">
      <c r="A209" s="7"/>
      <c r="B209" s="1407" t="str">
        <f t="shared" si="3"/>
        <v>Bruno Timpano</v>
      </c>
      <c r="C209" s="1402" t="s">
        <v>8007</v>
      </c>
      <c r="D209" s="1403" t="s">
        <v>3168</v>
      </c>
      <c r="E209" s="1404" t="s">
        <v>17675</v>
      </c>
      <c r="F209" s="1405" t="s">
        <v>5299</v>
      </c>
      <c r="G209" s="1403" t="s">
        <v>11331</v>
      </c>
      <c r="H209" s="1406" t="s">
        <v>990</v>
      </c>
    </row>
    <row r="210" spans="1:8" x14ac:dyDescent="0.2">
      <c r="A210" s="7"/>
      <c r="B210" s="1407" t="str">
        <f t="shared" si="3"/>
        <v>Jérémy Ancion</v>
      </c>
      <c r="C210" s="1402" t="s">
        <v>17676</v>
      </c>
      <c r="D210" s="1403" t="s">
        <v>3311</v>
      </c>
      <c r="E210" s="1404" t="s">
        <v>17677</v>
      </c>
      <c r="F210" s="1405" t="s">
        <v>5299</v>
      </c>
      <c r="G210" s="1403" t="s">
        <v>2747</v>
      </c>
      <c r="H210" s="1406" t="s">
        <v>990</v>
      </c>
    </row>
    <row r="211" spans="1:8" x14ac:dyDescent="0.2">
      <c r="A211" s="7"/>
      <c r="B211" s="1407" t="str">
        <f t="shared" si="3"/>
        <v>Kévin Beckers</v>
      </c>
      <c r="C211" s="1402" t="s">
        <v>17678</v>
      </c>
      <c r="D211" s="1403" t="s">
        <v>13220</v>
      </c>
      <c r="E211" s="1404" t="s">
        <v>17679</v>
      </c>
      <c r="F211" s="1405" t="s">
        <v>5299</v>
      </c>
      <c r="G211" s="1403" t="s">
        <v>2747</v>
      </c>
      <c r="H211" s="1406" t="s">
        <v>990</v>
      </c>
    </row>
    <row r="212" spans="1:8" x14ac:dyDescent="0.2">
      <c r="A212" s="7"/>
      <c r="B212" s="1407" t="str">
        <f t="shared" si="3"/>
        <v>Valéry Dejardin</v>
      </c>
      <c r="C212" s="1402" t="s">
        <v>17680</v>
      </c>
      <c r="D212" s="1403" t="s">
        <v>17534</v>
      </c>
      <c r="E212" s="1404" t="s">
        <v>17681</v>
      </c>
      <c r="F212" s="1405" t="s">
        <v>5299</v>
      </c>
      <c r="G212" s="1403" t="s">
        <v>2747</v>
      </c>
      <c r="H212" s="1406" t="s">
        <v>990</v>
      </c>
    </row>
    <row r="213" spans="1:8" x14ac:dyDescent="0.2">
      <c r="A213" s="7"/>
      <c r="B213" s="1407" t="str">
        <f t="shared" si="3"/>
        <v>Gil Delogne</v>
      </c>
      <c r="C213" s="1402" t="s">
        <v>17682</v>
      </c>
      <c r="D213" s="1403" t="s">
        <v>3383</v>
      </c>
      <c r="E213" s="1404" t="s">
        <v>17683</v>
      </c>
      <c r="F213" s="1405" t="s">
        <v>5300</v>
      </c>
      <c r="G213" s="1403" t="s">
        <v>2747</v>
      </c>
      <c r="H213" s="1406" t="s">
        <v>990</v>
      </c>
    </row>
    <row r="214" spans="1:8" x14ac:dyDescent="0.2">
      <c r="A214" s="7"/>
      <c r="B214" s="1407" t="str">
        <f t="shared" si="3"/>
        <v>Michaël Denooz</v>
      </c>
      <c r="C214" s="1402" t="s">
        <v>17492</v>
      </c>
      <c r="D214" s="1403" t="s">
        <v>3095</v>
      </c>
      <c r="E214" s="1404" t="s">
        <v>17684</v>
      </c>
      <c r="F214" s="1405" t="s">
        <v>5299</v>
      </c>
      <c r="G214" s="1403" t="s">
        <v>2747</v>
      </c>
      <c r="H214" s="1406" t="s">
        <v>990</v>
      </c>
    </row>
    <row r="215" spans="1:8" x14ac:dyDescent="0.2">
      <c r="A215" s="7"/>
      <c r="B215" s="1407" t="str">
        <f t="shared" si="3"/>
        <v>Nathan Dizier</v>
      </c>
      <c r="C215" s="1402" t="s">
        <v>17685</v>
      </c>
      <c r="D215" s="1403" t="s">
        <v>3183</v>
      </c>
      <c r="E215" s="1404" t="s">
        <v>17686</v>
      </c>
      <c r="F215" s="1405" t="s">
        <v>5299</v>
      </c>
      <c r="G215" s="1403" t="s">
        <v>2747</v>
      </c>
      <c r="H215" s="1406" t="s">
        <v>990</v>
      </c>
    </row>
    <row r="216" spans="1:8" x14ac:dyDescent="0.2">
      <c r="A216" s="7"/>
      <c r="B216" s="1407" t="str">
        <f t="shared" si="3"/>
        <v>Rémy Honet</v>
      </c>
      <c r="C216" s="1402" t="s">
        <v>17687</v>
      </c>
      <c r="D216" s="1403" t="s">
        <v>3394</v>
      </c>
      <c r="E216" s="1404" t="s">
        <v>17688</v>
      </c>
      <c r="F216" s="1405" t="s">
        <v>5299</v>
      </c>
      <c r="G216" s="1403" t="s">
        <v>2747</v>
      </c>
      <c r="H216" s="1406" t="s">
        <v>990</v>
      </c>
    </row>
    <row r="217" spans="1:8" x14ac:dyDescent="0.2">
      <c r="A217" s="7"/>
      <c r="B217" s="1407" t="str">
        <f t="shared" si="3"/>
        <v>Mathieu Marlair</v>
      </c>
      <c r="C217" s="1402" t="s">
        <v>17689</v>
      </c>
      <c r="D217" s="1403" t="s">
        <v>13656</v>
      </c>
      <c r="E217" s="1404" t="s">
        <v>17690</v>
      </c>
      <c r="F217" s="1405" t="s">
        <v>5299</v>
      </c>
      <c r="G217" s="1403" t="s">
        <v>2747</v>
      </c>
      <c r="H217" s="1406" t="s">
        <v>990</v>
      </c>
    </row>
    <row r="218" spans="1:8" x14ac:dyDescent="0.2">
      <c r="A218" s="7"/>
      <c r="B218" s="1407" t="str">
        <f t="shared" si="3"/>
        <v>Maxime Muraille</v>
      </c>
      <c r="C218" s="1402" t="s">
        <v>17691</v>
      </c>
      <c r="D218" s="1403" t="s">
        <v>17518</v>
      </c>
      <c r="E218" s="1404" t="s">
        <v>17692</v>
      </c>
      <c r="F218" s="1405" t="s">
        <v>5299</v>
      </c>
      <c r="G218" s="1403" t="s">
        <v>2747</v>
      </c>
      <c r="H218" s="1406" t="s">
        <v>990</v>
      </c>
    </row>
    <row r="219" spans="1:8" x14ac:dyDescent="0.2">
      <c r="A219" s="7"/>
      <c r="B219" s="1407" t="str">
        <f t="shared" si="3"/>
        <v>Arnaud Robillard</v>
      </c>
      <c r="C219" s="1402" t="s">
        <v>17693</v>
      </c>
      <c r="D219" s="1403" t="s">
        <v>13645</v>
      </c>
      <c r="E219" s="1404" t="s">
        <v>17694</v>
      </c>
      <c r="F219" s="1405" t="s">
        <v>5299</v>
      </c>
      <c r="G219" s="1403" t="s">
        <v>2747</v>
      </c>
      <c r="H219" s="1406" t="s">
        <v>990</v>
      </c>
    </row>
    <row r="220" spans="1:8" x14ac:dyDescent="0.2">
      <c r="A220" s="7"/>
      <c r="B220" s="1407" t="str">
        <f t="shared" si="3"/>
        <v>Olivier Saffer</v>
      </c>
      <c r="C220" s="1402" t="s">
        <v>17695</v>
      </c>
      <c r="D220" s="1403" t="s">
        <v>3193</v>
      </c>
      <c r="E220" s="1404" t="s">
        <v>17696</v>
      </c>
      <c r="F220" s="1405" t="s">
        <v>5299</v>
      </c>
      <c r="G220" s="1403" t="s">
        <v>2747</v>
      </c>
      <c r="H220" s="1406" t="s">
        <v>990</v>
      </c>
    </row>
    <row r="221" spans="1:8" x14ac:dyDescent="0.2">
      <c r="A221" s="7"/>
      <c r="B221" s="1407" t="str">
        <f t="shared" si="3"/>
        <v>Didier Stevenot</v>
      </c>
      <c r="C221" s="1402" t="s">
        <v>17697</v>
      </c>
      <c r="D221" s="1403" t="s">
        <v>3281</v>
      </c>
      <c r="E221" s="1404" t="s">
        <v>17698</v>
      </c>
      <c r="F221" s="1405" t="s">
        <v>5300</v>
      </c>
      <c r="G221" s="1403" t="s">
        <v>2747</v>
      </c>
      <c r="H221" s="1406" t="s">
        <v>990</v>
      </c>
    </row>
    <row r="222" spans="1:8" x14ac:dyDescent="0.2">
      <c r="A222" s="7"/>
      <c r="B222" s="1407" t="str">
        <f t="shared" si="3"/>
        <v>Michaël Dupret</v>
      </c>
      <c r="C222" s="1402" t="s">
        <v>9394</v>
      </c>
      <c r="D222" s="1403" t="s">
        <v>3095</v>
      </c>
      <c r="E222" s="1404" t="s">
        <v>9421</v>
      </c>
      <c r="F222" s="1405" t="s">
        <v>5299</v>
      </c>
      <c r="G222" s="1403" t="s">
        <v>7885</v>
      </c>
      <c r="H222" s="1406" t="s">
        <v>990</v>
      </c>
    </row>
    <row r="223" spans="1:8" x14ac:dyDescent="0.2">
      <c r="A223" s="7"/>
      <c r="B223" s="1407" t="str">
        <f t="shared" si="3"/>
        <v>Mathieu Crasset</v>
      </c>
      <c r="C223" s="1402" t="s">
        <v>14350</v>
      </c>
      <c r="D223" s="1403" t="s">
        <v>13656</v>
      </c>
      <c r="E223" s="1404" t="s">
        <v>14351</v>
      </c>
      <c r="F223" s="1405" t="s">
        <v>5299</v>
      </c>
      <c r="G223" s="1403" t="s">
        <v>7867</v>
      </c>
      <c r="H223" s="1406" t="s">
        <v>990</v>
      </c>
    </row>
    <row r="224" spans="1:8" x14ac:dyDescent="0.2">
      <c r="A224" s="7"/>
      <c r="B224" s="1407" t="str">
        <f t="shared" si="3"/>
        <v>Jérôme Heyvaert</v>
      </c>
      <c r="C224" s="1402" t="s">
        <v>5722</v>
      </c>
      <c r="D224" s="1403" t="s">
        <v>3121</v>
      </c>
      <c r="E224" s="1404" t="s">
        <v>4125</v>
      </c>
      <c r="F224" s="1405" t="s">
        <v>5299</v>
      </c>
      <c r="G224" s="1403" t="s">
        <v>7867</v>
      </c>
      <c r="H224" s="1406" t="s">
        <v>990</v>
      </c>
    </row>
    <row r="225" spans="1:8" x14ac:dyDescent="0.2">
      <c r="A225" s="7"/>
      <c r="B225" s="1407" t="str">
        <f t="shared" si="3"/>
        <v>Gaston Cheronnet</v>
      </c>
      <c r="C225" s="1402" t="s">
        <v>17699</v>
      </c>
      <c r="D225" s="1403" t="s">
        <v>17700</v>
      </c>
      <c r="E225" s="1404" t="s">
        <v>17701</v>
      </c>
      <c r="F225" s="1405" t="s">
        <v>1563</v>
      </c>
      <c r="G225" s="1403" t="s">
        <v>15816</v>
      </c>
      <c r="H225" s="1406" t="s">
        <v>990</v>
      </c>
    </row>
    <row r="226" spans="1:8" x14ac:dyDescent="0.2">
      <c r="A226" s="7"/>
      <c r="B226" s="1407" t="str">
        <f t="shared" si="3"/>
        <v>Bryan De Schuyteneer</v>
      </c>
      <c r="C226" s="1402" t="s">
        <v>13643</v>
      </c>
      <c r="D226" s="1403" t="s">
        <v>3344</v>
      </c>
      <c r="E226" s="1404" t="s">
        <v>16910</v>
      </c>
      <c r="F226" s="1405" t="s">
        <v>5299</v>
      </c>
      <c r="G226" s="1403" t="s">
        <v>15816</v>
      </c>
      <c r="H226" s="1406" t="s">
        <v>990</v>
      </c>
    </row>
    <row r="227" spans="1:8" x14ac:dyDescent="0.2">
      <c r="A227" s="7"/>
      <c r="B227" s="1407" t="str">
        <f t="shared" si="3"/>
        <v>Michel De Schuyteneer</v>
      </c>
      <c r="C227" s="1402" t="s">
        <v>13643</v>
      </c>
      <c r="D227" s="1403" t="s">
        <v>3555</v>
      </c>
      <c r="E227" s="1404" t="s">
        <v>16911</v>
      </c>
      <c r="F227" s="1405" t="s">
        <v>5300</v>
      </c>
      <c r="G227" s="1403" t="s">
        <v>15816</v>
      </c>
      <c r="H227" s="1406" t="s">
        <v>990</v>
      </c>
    </row>
    <row r="228" spans="1:8" x14ac:dyDescent="0.2">
      <c r="A228" s="7"/>
      <c r="B228" s="1407" t="str">
        <f t="shared" si="3"/>
        <v>Véronique Dery</v>
      </c>
      <c r="C228" s="1402" t="s">
        <v>17068</v>
      </c>
      <c r="D228" s="1403" t="s">
        <v>16916</v>
      </c>
      <c r="E228" s="1404" t="s">
        <v>16917</v>
      </c>
      <c r="F228" s="1405" t="s">
        <v>5299</v>
      </c>
      <c r="G228" s="1403" t="s">
        <v>15816</v>
      </c>
      <c r="H228" s="1406" t="s">
        <v>990</v>
      </c>
    </row>
    <row r="229" spans="1:8" x14ac:dyDescent="0.2">
      <c r="A229" s="7"/>
      <c r="B229" s="1407" t="str">
        <f t="shared" si="3"/>
        <v>André Flémal</v>
      </c>
      <c r="C229" s="1402" t="s">
        <v>16927</v>
      </c>
      <c r="D229" s="1403" t="s">
        <v>3175</v>
      </c>
      <c r="E229" s="1404" t="s">
        <v>16928</v>
      </c>
      <c r="F229" s="1405" t="s">
        <v>5300</v>
      </c>
      <c r="G229" s="1403" t="s">
        <v>15816</v>
      </c>
      <c r="H229" s="1406" t="s">
        <v>990</v>
      </c>
    </row>
    <row r="230" spans="1:8" x14ac:dyDescent="0.2">
      <c r="A230" s="7"/>
      <c r="B230" s="1407" t="str">
        <f t="shared" si="3"/>
        <v>Pascal Flémal</v>
      </c>
      <c r="C230" s="1402" t="s">
        <v>16927</v>
      </c>
      <c r="D230" s="1403" t="s">
        <v>3035</v>
      </c>
      <c r="E230" s="1404" t="s">
        <v>17496</v>
      </c>
      <c r="F230" s="1405" t="s">
        <v>5300</v>
      </c>
      <c r="G230" s="1403" t="s">
        <v>15816</v>
      </c>
      <c r="H230" s="1406" t="s">
        <v>990</v>
      </c>
    </row>
    <row r="231" spans="1:8" x14ac:dyDescent="0.2">
      <c r="A231" s="7"/>
      <c r="B231" s="1407" t="str">
        <f t="shared" si="3"/>
        <v>Marc Hambrouck</v>
      </c>
      <c r="C231" s="1402" t="s">
        <v>16936</v>
      </c>
      <c r="D231" s="1403" t="s">
        <v>3208</v>
      </c>
      <c r="E231" s="1404" t="s">
        <v>16937</v>
      </c>
      <c r="F231" s="1405" t="s">
        <v>5300</v>
      </c>
      <c r="G231" s="1403" t="s">
        <v>15816</v>
      </c>
      <c r="H231" s="1406" t="s">
        <v>990</v>
      </c>
    </row>
    <row r="232" spans="1:8" x14ac:dyDescent="0.2">
      <c r="A232" s="7"/>
      <c r="B232" s="1407" t="str">
        <f t="shared" si="3"/>
        <v>Quentin Hambrouck</v>
      </c>
      <c r="C232" s="1402" t="s">
        <v>16936</v>
      </c>
      <c r="D232" s="1403" t="s">
        <v>3681</v>
      </c>
      <c r="E232" s="1404" t="s">
        <v>17503</v>
      </c>
      <c r="F232" s="1405" t="s">
        <v>5299</v>
      </c>
      <c r="G232" s="1403" t="s">
        <v>15816</v>
      </c>
      <c r="H232" s="1406" t="s">
        <v>990</v>
      </c>
    </row>
    <row r="233" spans="1:8" x14ac:dyDescent="0.2">
      <c r="A233" s="7"/>
      <c r="B233" s="1407" t="str">
        <f t="shared" si="3"/>
        <v>Philippe Hipfinger</v>
      </c>
      <c r="C233" s="1402" t="s">
        <v>17702</v>
      </c>
      <c r="D233" s="1403" t="s">
        <v>3312</v>
      </c>
      <c r="E233" s="1404" t="s">
        <v>17703</v>
      </c>
      <c r="F233" s="1405" t="s">
        <v>5300</v>
      </c>
      <c r="G233" s="1403" t="s">
        <v>15816</v>
      </c>
      <c r="H233" s="1406" t="s">
        <v>990</v>
      </c>
    </row>
    <row r="234" spans="1:8" x14ac:dyDescent="0.2">
      <c r="A234" s="7"/>
      <c r="B234" s="1407" t="str">
        <f t="shared" si="3"/>
        <v>Fabian Limpens</v>
      </c>
      <c r="C234" s="1402" t="s">
        <v>15814</v>
      </c>
      <c r="D234" s="1403" t="s">
        <v>11518</v>
      </c>
      <c r="E234" s="1404" t="s">
        <v>15815</v>
      </c>
      <c r="F234" s="1405" t="s">
        <v>5300</v>
      </c>
      <c r="G234" s="1403" t="s">
        <v>15816</v>
      </c>
      <c r="H234" s="1406" t="s">
        <v>990</v>
      </c>
    </row>
    <row r="235" spans="1:8" x14ac:dyDescent="0.2">
      <c r="A235" s="7"/>
      <c r="B235" s="1407" t="str">
        <f t="shared" si="3"/>
        <v>Didier Van Renterghem</v>
      </c>
      <c r="C235" s="1402" t="s">
        <v>16992</v>
      </c>
      <c r="D235" s="1403" t="s">
        <v>3281</v>
      </c>
      <c r="E235" s="1404" t="s">
        <v>16993</v>
      </c>
      <c r="F235" s="1405" t="s">
        <v>5300</v>
      </c>
      <c r="G235" s="1403" t="s">
        <v>15816</v>
      </c>
      <c r="H235" s="1406" t="s">
        <v>990</v>
      </c>
    </row>
    <row r="236" spans="1:8" x14ac:dyDescent="0.2">
      <c r="A236" s="7"/>
      <c r="B236" s="1407" t="str">
        <f t="shared" si="3"/>
        <v>Alexis Van Renterghem</v>
      </c>
      <c r="C236" s="1402" t="s">
        <v>16992</v>
      </c>
      <c r="D236" s="1403" t="s">
        <v>3527</v>
      </c>
      <c r="E236" s="1404" t="s">
        <v>17532</v>
      </c>
      <c r="F236" s="1405" t="s">
        <v>13211</v>
      </c>
      <c r="G236" s="1403" t="s">
        <v>15816</v>
      </c>
      <c r="H236" s="1406" t="s">
        <v>990</v>
      </c>
    </row>
    <row r="237" spans="1:8" x14ac:dyDescent="0.2">
      <c r="A237" s="7"/>
      <c r="B237" s="1407" t="str">
        <f t="shared" si="3"/>
        <v>Eric Kirschvink</v>
      </c>
      <c r="C237" s="1402" t="s">
        <v>17704</v>
      </c>
      <c r="D237" s="1403" t="s">
        <v>3044</v>
      </c>
      <c r="E237" s="1404" t="s">
        <v>17705</v>
      </c>
      <c r="F237" s="1405" t="s">
        <v>5300</v>
      </c>
      <c r="G237" s="1403" t="s">
        <v>15605</v>
      </c>
      <c r="H237" s="1406" t="s">
        <v>990</v>
      </c>
    </row>
    <row r="238" spans="1:8" x14ac:dyDescent="0.2">
      <c r="A238" s="7"/>
      <c r="B238" s="1407" t="str">
        <f t="shared" si="3"/>
        <v>Christophe Brach</v>
      </c>
      <c r="C238" s="1402" t="s">
        <v>17484</v>
      </c>
      <c r="D238" s="1403" t="s">
        <v>3012</v>
      </c>
      <c r="E238" s="1404" t="s">
        <v>17485</v>
      </c>
      <c r="F238" s="1405" t="s">
        <v>5299</v>
      </c>
      <c r="G238" s="1403" t="s">
        <v>2746</v>
      </c>
      <c r="H238" s="1406" t="s">
        <v>990</v>
      </c>
    </row>
    <row r="239" spans="1:8" x14ac:dyDescent="0.2">
      <c r="A239" s="7"/>
      <c r="B239" s="1407" t="str">
        <f t="shared" si="3"/>
        <v>Michaël Casciano</v>
      </c>
      <c r="C239" s="1402" t="s">
        <v>17486</v>
      </c>
      <c r="D239" s="1403" t="s">
        <v>3095</v>
      </c>
      <c r="E239" s="1404" t="s">
        <v>17487</v>
      </c>
      <c r="F239" s="1405" t="s">
        <v>5299</v>
      </c>
      <c r="G239" s="1403" t="s">
        <v>2746</v>
      </c>
      <c r="H239" s="1406" t="s">
        <v>990</v>
      </c>
    </row>
    <row r="240" spans="1:8" x14ac:dyDescent="0.2">
      <c r="A240" s="7"/>
      <c r="B240" s="1407" t="str">
        <f t="shared" si="3"/>
        <v>Vito Di Ruggiero</v>
      </c>
      <c r="C240" s="1402" t="s">
        <v>17494</v>
      </c>
      <c r="D240" s="1403" t="s">
        <v>3418</v>
      </c>
      <c r="E240" s="1404" t="s">
        <v>17495</v>
      </c>
      <c r="F240" s="1405" t="s">
        <v>5300</v>
      </c>
      <c r="G240" s="1403" t="s">
        <v>2746</v>
      </c>
      <c r="H240" s="1406" t="s">
        <v>990</v>
      </c>
    </row>
    <row r="241" spans="1:8" x14ac:dyDescent="0.2">
      <c r="A241" s="7"/>
      <c r="B241" s="1407" t="str">
        <f t="shared" si="3"/>
        <v>David Fraikin</v>
      </c>
      <c r="C241" s="1402" t="s">
        <v>17497</v>
      </c>
      <c r="D241" s="1403" t="s">
        <v>3072</v>
      </c>
      <c r="E241" s="1404" t="s">
        <v>17498</v>
      </c>
      <c r="F241" s="1405" t="s">
        <v>5299</v>
      </c>
      <c r="G241" s="1403" t="s">
        <v>2746</v>
      </c>
      <c r="H241" s="1406" t="s">
        <v>990</v>
      </c>
    </row>
    <row r="242" spans="1:8" x14ac:dyDescent="0.2">
      <c r="A242" s="7"/>
      <c r="B242" s="1407" t="str">
        <f t="shared" si="3"/>
        <v>Alain Hanotiaux</v>
      </c>
      <c r="C242" s="1402" t="s">
        <v>17504</v>
      </c>
      <c r="D242" s="1403" t="s">
        <v>17505</v>
      </c>
      <c r="E242" s="1404" t="s">
        <v>17506</v>
      </c>
      <c r="F242" s="1405" t="s">
        <v>5300</v>
      </c>
      <c r="G242" s="1403" t="s">
        <v>2746</v>
      </c>
      <c r="H242" s="1406" t="s">
        <v>990</v>
      </c>
    </row>
    <row r="243" spans="1:8" x14ac:dyDescent="0.2">
      <c r="A243" s="7"/>
      <c r="B243" s="1407" t="str">
        <f t="shared" si="3"/>
        <v>Sami Targui</v>
      </c>
      <c r="C243" s="1402" t="s">
        <v>5723</v>
      </c>
      <c r="D243" s="1403" t="s">
        <v>3031</v>
      </c>
      <c r="E243" s="1404" t="s">
        <v>4126</v>
      </c>
      <c r="F243" s="1405" t="s">
        <v>5299</v>
      </c>
      <c r="G243" s="1403" t="s">
        <v>2746</v>
      </c>
      <c r="H243" s="1406" t="s">
        <v>990</v>
      </c>
    </row>
    <row r="244" spans="1:8" x14ac:dyDescent="0.2">
      <c r="A244" s="7"/>
      <c r="B244" s="1407" t="str">
        <f t="shared" si="3"/>
        <v>Maxime Van Impe</v>
      </c>
      <c r="C244" s="1402" t="s">
        <v>17530</v>
      </c>
      <c r="D244" s="1403" t="s">
        <v>17518</v>
      </c>
      <c r="E244" s="1404" t="s">
        <v>17531</v>
      </c>
      <c r="F244" s="1405" t="s">
        <v>5300</v>
      </c>
      <c r="G244" s="1403" t="s">
        <v>2746</v>
      </c>
      <c r="H244" s="1406" t="s">
        <v>990</v>
      </c>
    </row>
    <row r="245" spans="1:8" x14ac:dyDescent="0.2">
      <c r="A245" s="7"/>
      <c r="B245" s="1407" t="str">
        <f t="shared" si="3"/>
        <v>Jos Ceulemans</v>
      </c>
      <c r="C245" s="1402" t="s">
        <v>17488</v>
      </c>
      <c r="D245" s="1403" t="s">
        <v>17489</v>
      </c>
      <c r="E245" s="1404" t="s">
        <v>17490</v>
      </c>
      <c r="F245" s="1405" t="s">
        <v>5300</v>
      </c>
      <c r="G245" s="1403" t="s">
        <v>2772</v>
      </c>
      <c r="H245" s="1406" t="s">
        <v>990</v>
      </c>
    </row>
    <row r="246" spans="1:8" x14ac:dyDescent="0.2">
      <c r="A246" s="7"/>
      <c r="B246" s="1407" t="str">
        <f t="shared" si="3"/>
        <v>Geert Leys</v>
      </c>
      <c r="C246" s="1402" t="s">
        <v>17512</v>
      </c>
      <c r="D246" s="1403" t="s">
        <v>17513</v>
      </c>
      <c r="E246" s="1404" t="s">
        <v>17514</v>
      </c>
      <c r="F246" s="1405" t="s">
        <v>5300</v>
      </c>
      <c r="G246" s="1403" t="s">
        <v>2772</v>
      </c>
      <c r="H246" s="1406" t="s">
        <v>990</v>
      </c>
    </row>
    <row r="247" spans="1:8" x14ac:dyDescent="0.2">
      <c r="A247" s="7"/>
      <c r="B247" s="1407" t="str">
        <f t="shared" si="3"/>
        <v>Yves Peremans</v>
      </c>
      <c r="C247" s="1402" t="s">
        <v>8006</v>
      </c>
      <c r="D247" s="1403" t="s">
        <v>8228</v>
      </c>
      <c r="E247" s="1404" t="s">
        <v>8348</v>
      </c>
      <c r="F247" s="1405" t="s">
        <v>5300</v>
      </c>
      <c r="G247" s="1403" t="s">
        <v>2772</v>
      </c>
      <c r="H247" s="1406" t="s">
        <v>990</v>
      </c>
    </row>
    <row r="248" spans="1:8" x14ac:dyDescent="0.2">
      <c r="A248" s="7"/>
      <c r="B248" s="1407" t="str">
        <f t="shared" si="3"/>
        <v>Robin Somers</v>
      </c>
      <c r="C248" s="1402" t="s">
        <v>17525</v>
      </c>
      <c r="D248" s="1403" t="s">
        <v>6879</v>
      </c>
      <c r="E248" s="1404" t="s">
        <v>17526</v>
      </c>
      <c r="F248" s="1405" t="s">
        <v>5299</v>
      </c>
      <c r="G248" s="1403" t="s">
        <v>2772</v>
      </c>
      <c r="H248" s="1406" t="s">
        <v>990</v>
      </c>
    </row>
    <row r="249" spans="1:8" x14ac:dyDescent="0.2">
      <c r="A249" s="7"/>
      <c r="B249" s="1407" t="str">
        <f t="shared" si="3"/>
        <v>David Wouters</v>
      </c>
      <c r="C249" s="1402" t="s">
        <v>9393</v>
      </c>
      <c r="D249" s="1403" t="s">
        <v>3072</v>
      </c>
      <c r="E249" s="1404" t="s">
        <v>9420</v>
      </c>
      <c r="F249" s="1405" t="s">
        <v>5300</v>
      </c>
      <c r="G249" s="1403" t="s">
        <v>2772</v>
      </c>
      <c r="H249" s="1406" t="s">
        <v>990</v>
      </c>
    </row>
    <row r="250" spans="1:8" x14ac:dyDescent="0.2">
      <c r="A250" s="7"/>
      <c r="B250" s="1407" t="str">
        <f t="shared" si="3"/>
        <v>Corentin Bouchez</v>
      </c>
      <c r="C250" s="1402" t="s">
        <v>17480</v>
      </c>
      <c r="D250" s="1403" t="s">
        <v>3673</v>
      </c>
      <c r="E250" s="1404" t="s">
        <v>17481</v>
      </c>
      <c r="F250" s="1405" t="s">
        <v>5299</v>
      </c>
      <c r="G250" s="1403" t="s">
        <v>5301</v>
      </c>
      <c r="H250" s="1406" t="s">
        <v>990</v>
      </c>
    </row>
    <row r="251" spans="1:8" x14ac:dyDescent="0.2">
      <c r="A251" s="7"/>
      <c r="B251" s="1407" t="str">
        <f t="shared" si="3"/>
        <v>Denis Bouchez</v>
      </c>
      <c r="C251" s="1402" t="s">
        <v>17480</v>
      </c>
      <c r="D251" s="1403" t="s">
        <v>3272</v>
      </c>
      <c r="E251" s="1404" t="s">
        <v>17482</v>
      </c>
      <c r="F251" s="1405" t="s">
        <v>5300</v>
      </c>
      <c r="G251" s="1403" t="s">
        <v>5301</v>
      </c>
      <c r="H251" s="1406" t="s">
        <v>990</v>
      </c>
    </row>
    <row r="252" spans="1:8" x14ac:dyDescent="0.2">
      <c r="A252" s="7"/>
      <c r="B252" s="1407" t="str">
        <f t="shared" si="3"/>
        <v>Charlotte Bouchez</v>
      </c>
      <c r="C252" s="1402" t="s">
        <v>17480</v>
      </c>
      <c r="D252" s="1403" t="s">
        <v>5661</v>
      </c>
      <c r="E252" s="1404" t="s">
        <v>17483</v>
      </c>
      <c r="F252" s="1405" t="s">
        <v>13210</v>
      </c>
      <c r="G252" s="1403" t="s">
        <v>5301</v>
      </c>
      <c r="H252" s="1406" t="s">
        <v>990</v>
      </c>
    </row>
    <row r="253" spans="1:8" x14ac:dyDescent="0.2">
      <c r="A253" s="7"/>
      <c r="B253" s="1407" t="str">
        <f t="shared" si="3"/>
        <v>Kenny De Schuyteneer</v>
      </c>
      <c r="C253" s="1402" t="s">
        <v>13643</v>
      </c>
      <c r="D253" s="1403" t="s">
        <v>3334</v>
      </c>
      <c r="E253" s="1404" t="s">
        <v>17491</v>
      </c>
      <c r="F253" s="1405" t="s">
        <v>5299</v>
      </c>
      <c r="G253" s="1403" t="s">
        <v>5301</v>
      </c>
      <c r="H253" s="1406" t="s">
        <v>990</v>
      </c>
    </row>
    <row r="254" spans="1:8" x14ac:dyDescent="0.2">
      <c r="A254" s="7"/>
      <c r="B254" s="1407" t="str">
        <f t="shared" si="3"/>
        <v>Noah Denne</v>
      </c>
      <c r="C254" s="1402" t="s">
        <v>8009</v>
      </c>
      <c r="D254" s="1403" t="s">
        <v>7329</v>
      </c>
      <c r="E254" s="1404" t="s">
        <v>8350</v>
      </c>
      <c r="F254" s="1405" t="s">
        <v>13210</v>
      </c>
      <c r="G254" s="1403" t="s">
        <v>5301</v>
      </c>
      <c r="H254" s="1406" t="s">
        <v>990</v>
      </c>
    </row>
    <row r="255" spans="1:8" x14ac:dyDescent="0.2">
      <c r="A255" s="7"/>
      <c r="B255" s="1407" t="str">
        <f t="shared" si="3"/>
        <v>Mael Denne</v>
      </c>
      <c r="C255" s="1402" t="s">
        <v>8009</v>
      </c>
      <c r="D255" s="1403" t="s">
        <v>13658</v>
      </c>
      <c r="E255" s="1404" t="s">
        <v>13659</v>
      </c>
      <c r="F255" s="1405" t="s">
        <v>1563</v>
      </c>
      <c r="G255" s="1403" t="s">
        <v>5301</v>
      </c>
      <c r="H255" s="1406" t="s">
        <v>990</v>
      </c>
    </row>
    <row r="256" spans="1:8" x14ac:dyDescent="0.2">
      <c r="A256" s="7"/>
      <c r="B256" s="1407" t="str">
        <f t="shared" si="3"/>
        <v>Damien Denooz</v>
      </c>
      <c r="C256" s="1402" t="s">
        <v>17492</v>
      </c>
      <c r="D256" s="1403" t="s">
        <v>3284</v>
      </c>
      <c r="E256" s="1404" t="s">
        <v>17493</v>
      </c>
      <c r="F256" s="1405" t="s">
        <v>5299</v>
      </c>
      <c r="G256" s="1403" t="s">
        <v>5301</v>
      </c>
      <c r="H256" s="1406" t="s">
        <v>990</v>
      </c>
    </row>
    <row r="257" spans="1:8" x14ac:dyDescent="0.2">
      <c r="A257" s="7"/>
      <c r="B257" s="1407" t="str">
        <f t="shared" si="3"/>
        <v>Giulian Frébutte</v>
      </c>
      <c r="C257" s="1402" t="s">
        <v>17706</v>
      </c>
      <c r="D257" s="1403" t="s">
        <v>17707</v>
      </c>
      <c r="E257" s="1404" t="s">
        <v>17708</v>
      </c>
      <c r="F257" s="1405" t="s">
        <v>1563</v>
      </c>
      <c r="G257" s="1403" t="s">
        <v>17709</v>
      </c>
      <c r="H257" s="1406" t="s">
        <v>990</v>
      </c>
    </row>
    <row r="258" spans="1:8" x14ac:dyDescent="0.2">
      <c r="A258" s="7"/>
      <c r="B258" s="1407" t="str">
        <f t="shared" si="3"/>
        <v>Alex Genart</v>
      </c>
      <c r="C258" s="1402" t="s">
        <v>5757</v>
      </c>
      <c r="D258" s="1403" t="s">
        <v>3130</v>
      </c>
      <c r="E258" s="1404" t="s">
        <v>17499</v>
      </c>
      <c r="F258" s="1405" t="s">
        <v>5299</v>
      </c>
      <c r="G258" s="1403" t="s">
        <v>5301</v>
      </c>
      <c r="H258" s="1406" t="s">
        <v>990</v>
      </c>
    </row>
    <row r="259" spans="1:8" x14ac:dyDescent="0.2">
      <c r="A259" s="7"/>
      <c r="B259" s="1407" t="str">
        <f t="shared" si="3"/>
        <v>Mathis Goffin</v>
      </c>
      <c r="C259" s="1402" t="s">
        <v>17500</v>
      </c>
      <c r="D259" s="1403" t="s">
        <v>15614</v>
      </c>
      <c r="E259" s="1404" t="s">
        <v>17501</v>
      </c>
      <c r="F259" s="1405" t="s">
        <v>1563</v>
      </c>
      <c r="G259" s="1403" t="s">
        <v>5301</v>
      </c>
      <c r="H259" s="1406" t="s">
        <v>990</v>
      </c>
    </row>
    <row r="260" spans="1:8" x14ac:dyDescent="0.2">
      <c r="A260" s="7"/>
      <c r="B260" s="1407" t="str">
        <f t="shared" si="3"/>
        <v>Jody Henrioul</v>
      </c>
      <c r="C260" s="1402" t="s">
        <v>17507</v>
      </c>
      <c r="D260" s="1403" t="s">
        <v>17508</v>
      </c>
      <c r="E260" s="1404" t="s">
        <v>17509</v>
      </c>
      <c r="F260" s="1405" t="s">
        <v>5299</v>
      </c>
      <c r="G260" s="1403" t="s">
        <v>5301</v>
      </c>
      <c r="H260" s="1406" t="s">
        <v>990</v>
      </c>
    </row>
    <row r="261" spans="1:8" x14ac:dyDescent="0.2">
      <c r="A261" s="7"/>
      <c r="B261" s="1407" t="str">
        <f t="shared" si="3"/>
        <v>Kevin Lelubre</v>
      </c>
      <c r="C261" s="1402" t="s">
        <v>17510</v>
      </c>
      <c r="D261" s="1403" t="s">
        <v>3263</v>
      </c>
      <c r="E261" s="1404" t="s">
        <v>17511</v>
      </c>
      <c r="F261" s="1405" t="s">
        <v>5299</v>
      </c>
      <c r="G261" s="1403" t="s">
        <v>5301</v>
      </c>
      <c r="H261" s="1406" t="s">
        <v>990</v>
      </c>
    </row>
    <row r="262" spans="1:8" x14ac:dyDescent="0.2">
      <c r="A262" s="7"/>
      <c r="B262" s="1407" t="str">
        <f t="shared" si="3"/>
        <v>Xavier Outters</v>
      </c>
      <c r="C262" s="1402" t="s">
        <v>17710</v>
      </c>
      <c r="D262" s="1403" t="s">
        <v>3295</v>
      </c>
      <c r="E262" s="1404" t="s">
        <v>17515</v>
      </c>
      <c r="F262" s="1405" t="s">
        <v>5299</v>
      </c>
      <c r="G262" s="1403" t="s">
        <v>5301</v>
      </c>
      <c r="H262" s="1406" t="s">
        <v>990</v>
      </c>
    </row>
    <row r="263" spans="1:8" x14ac:dyDescent="0.2">
      <c r="A263" s="7"/>
      <c r="B263" s="1407" t="str">
        <f t="shared" ref="B263:B326" si="4">TRIM(CONCATENATE(D263," ",C263))</f>
        <v>Christophe Rairoux</v>
      </c>
      <c r="C263" s="1402" t="s">
        <v>17516</v>
      </c>
      <c r="D263" s="1403" t="s">
        <v>3012</v>
      </c>
      <c r="E263" s="1404" t="s">
        <v>17517</v>
      </c>
      <c r="F263" s="1405" t="s">
        <v>5299</v>
      </c>
      <c r="G263" s="1403" t="s">
        <v>5301</v>
      </c>
      <c r="H263" s="1406" t="s">
        <v>990</v>
      </c>
    </row>
    <row r="264" spans="1:8" x14ac:dyDescent="0.2">
      <c r="A264" s="7"/>
      <c r="B264" s="1407" t="str">
        <f t="shared" si="4"/>
        <v>Maxime Rairoux</v>
      </c>
      <c r="C264" s="1402" t="s">
        <v>17516</v>
      </c>
      <c r="D264" s="1403" t="s">
        <v>17518</v>
      </c>
      <c r="E264" s="1404" t="s">
        <v>17519</v>
      </c>
      <c r="F264" s="1405" t="s">
        <v>5299</v>
      </c>
      <c r="G264" s="1403" t="s">
        <v>5301</v>
      </c>
      <c r="H264" s="1406" t="s">
        <v>990</v>
      </c>
    </row>
    <row r="265" spans="1:8" x14ac:dyDescent="0.2">
      <c r="A265" s="7"/>
      <c r="B265" s="1407" t="str">
        <f t="shared" si="4"/>
        <v>Lucas Raison</v>
      </c>
      <c r="C265" s="1402" t="s">
        <v>8011</v>
      </c>
      <c r="D265" s="1403" t="s">
        <v>3684</v>
      </c>
      <c r="E265" s="1404" t="s">
        <v>8352</v>
      </c>
      <c r="F265" s="1405" t="s">
        <v>13210</v>
      </c>
      <c r="G265" s="1403" t="s">
        <v>5301</v>
      </c>
      <c r="H265" s="1406" t="s">
        <v>990</v>
      </c>
    </row>
    <row r="266" spans="1:8" x14ac:dyDescent="0.2">
      <c r="A266" s="7"/>
      <c r="B266" s="1407" t="str">
        <f t="shared" si="4"/>
        <v>Marius Ruelle</v>
      </c>
      <c r="C266" s="1402" t="s">
        <v>17520</v>
      </c>
      <c r="D266" s="1403" t="s">
        <v>17521</v>
      </c>
      <c r="E266" s="1404" t="s">
        <v>17522</v>
      </c>
      <c r="F266" s="1405" t="s">
        <v>1563</v>
      </c>
      <c r="G266" s="1403" t="s">
        <v>5301</v>
      </c>
      <c r="H266" s="1406" t="s">
        <v>990</v>
      </c>
    </row>
    <row r="267" spans="1:8" x14ac:dyDescent="0.2">
      <c r="A267" s="7"/>
      <c r="B267" s="1407" t="str">
        <f t="shared" si="4"/>
        <v>Marc Sceraert</v>
      </c>
      <c r="C267" s="1402" t="s">
        <v>17523</v>
      </c>
      <c r="D267" s="1403" t="s">
        <v>3208</v>
      </c>
      <c r="E267" s="1404" t="s">
        <v>17524</v>
      </c>
      <c r="F267" s="1405" t="s">
        <v>5300</v>
      </c>
      <c r="G267" s="1403" t="s">
        <v>5301</v>
      </c>
      <c r="H267" s="1406" t="s">
        <v>990</v>
      </c>
    </row>
    <row r="268" spans="1:8" x14ac:dyDescent="0.2">
      <c r="A268" s="7"/>
      <c r="B268" s="1407" t="str">
        <f t="shared" si="4"/>
        <v>Frédéric Thiel</v>
      </c>
      <c r="C268" s="1402" t="s">
        <v>17527</v>
      </c>
      <c r="D268" s="1403" t="s">
        <v>3286</v>
      </c>
      <c r="E268" s="1404" t="s">
        <v>17528</v>
      </c>
      <c r="F268" s="1405" t="s">
        <v>5299</v>
      </c>
      <c r="G268" s="1403" t="s">
        <v>5301</v>
      </c>
      <c r="H268" s="1406" t="s">
        <v>990</v>
      </c>
    </row>
    <row r="269" spans="1:8" x14ac:dyDescent="0.2">
      <c r="A269" s="7"/>
      <c r="B269" s="1407" t="str">
        <f t="shared" si="4"/>
        <v>Konstandinos Tsangouris</v>
      </c>
      <c r="C269" s="1402" t="s">
        <v>5726</v>
      </c>
      <c r="D269" s="1403" t="s">
        <v>7307</v>
      </c>
      <c r="E269" s="1404" t="s">
        <v>14352</v>
      </c>
      <c r="F269" s="1405" t="s">
        <v>13211</v>
      </c>
      <c r="G269" s="1403" t="s">
        <v>5301</v>
      </c>
      <c r="H269" s="1406" t="s">
        <v>990</v>
      </c>
    </row>
    <row r="270" spans="1:8" x14ac:dyDescent="0.2">
      <c r="A270" s="7"/>
      <c r="B270" s="1407" t="str">
        <f t="shared" si="4"/>
        <v>Olivier Van Glabeke</v>
      </c>
      <c r="C270" s="1402" t="s">
        <v>8003</v>
      </c>
      <c r="D270" s="1403" t="s">
        <v>3193</v>
      </c>
      <c r="E270" s="1404" t="s">
        <v>17529</v>
      </c>
      <c r="F270" s="1405" t="s">
        <v>5300</v>
      </c>
      <c r="G270" s="1403" t="s">
        <v>5301</v>
      </c>
      <c r="H270" s="1406" t="s">
        <v>990</v>
      </c>
    </row>
    <row r="271" spans="1:8" x14ac:dyDescent="0.2">
      <c r="A271" s="7"/>
      <c r="B271" s="1407" t="str">
        <f t="shared" si="4"/>
        <v>Jean-Christophe Daelman</v>
      </c>
      <c r="C271" s="1402" t="s">
        <v>5755</v>
      </c>
      <c r="D271" s="1403" t="s">
        <v>6882</v>
      </c>
      <c r="E271" s="1404" t="s">
        <v>7057</v>
      </c>
      <c r="F271" s="1405" t="s">
        <v>5299</v>
      </c>
      <c r="G271" s="1403" t="s">
        <v>2779</v>
      </c>
      <c r="H271" s="1406" t="s">
        <v>990</v>
      </c>
    </row>
    <row r="272" spans="1:8" x14ac:dyDescent="0.2">
      <c r="A272" s="7"/>
      <c r="B272" s="1407" t="str">
        <f t="shared" si="4"/>
        <v>Rudi De Smet</v>
      </c>
      <c r="C272" s="1402" t="s">
        <v>5728</v>
      </c>
      <c r="D272" s="1403" t="s">
        <v>3365</v>
      </c>
      <c r="E272" s="1404" t="s">
        <v>4129</v>
      </c>
      <c r="F272" s="1405" t="s">
        <v>5300</v>
      </c>
      <c r="G272" s="1403" t="s">
        <v>2779</v>
      </c>
      <c r="H272" s="1406" t="s">
        <v>990</v>
      </c>
    </row>
    <row r="273" spans="1:8" x14ac:dyDescent="0.2">
      <c r="A273" s="7"/>
      <c r="B273" s="1407" t="str">
        <f t="shared" si="4"/>
        <v>Nathanaël Dhyne</v>
      </c>
      <c r="C273" s="1402" t="s">
        <v>15465</v>
      </c>
      <c r="D273" s="1403" t="s">
        <v>15466</v>
      </c>
      <c r="E273" s="1404" t="s">
        <v>15467</v>
      </c>
      <c r="F273" s="1405" t="s">
        <v>13211</v>
      </c>
      <c r="G273" s="1403" t="s">
        <v>2779</v>
      </c>
      <c r="H273" s="1406" t="s">
        <v>990</v>
      </c>
    </row>
    <row r="274" spans="1:8" x14ac:dyDescent="0.2">
      <c r="A274" s="7"/>
      <c r="B274" s="1407" t="str">
        <f t="shared" si="4"/>
        <v>Olivier Dubois</v>
      </c>
      <c r="C274" s="1402" t="s">
        <v>5744</v>
      </c>
      <c r="D274" s="1403" t="s">
        <v>3193</v>
      </c>
      <c r="E274" s="1404" t="s">
        <v>4146</v>
      </c>
      <c r="F274" s="1405" t="s">
        <v>5300</v>
      </c>
      <c r="G274" s="1403" t="s">
        <v>2779</v>
      </c>
      <c r="H274" s="1406" t="s">
        <v>990</v>
      </c>
    </row>
    <row r="275" spans="1:8" x14ac:dyDescent="0.2">
      <c r="A275" s="7"/>
      <c r="B275" s="1407" t="str">
        <f t="shared" si="4"/>
        <v>Jean-Pierre Genart</v>
      </c>
      <c r="C275" s="1402" t="s">
        <v>5757</v>
      </c>
      <c r="D275" s="1403" t="s">
        <v>11495</v>
      </c>
      <c r="E275" s="1404" t="s">
        <v>11259</v>
      </c>
      <c r="F275" s="1405" t="s">
        <v>5300</v>
      </c>
      <c r="G275" s="1403" t="s">
        <v>2779</v>
      </c>
      <c r="H275" s="1406" t="s">
        <v>990</v>
      </c>
    </row>
    <row r="276" spans="1:8" x14ac:dyDescent="0.2">
      <c r="A276" s="7"/>
      <c r="B276" s="1407" t="str">
        <f t="shared" si="4"/>
        <v>Michaël Hallin</v>
      </c>
      <c r="C276" s="1402" t="s">
        <v>7339</v>
      </c>
      <c r="D276" s="1403" t="s">
        <v>3095</v>
      </c>
      <c r="E276" s="1404" t="s">
        <v>7494</v>
      </c>
      <c r="F276" s="1405" t="s">
        <v>5300</v>
      </c>
      <c r="G276" s="1403" t="s">
        <v>2779</v>
      </c>
      <c r="H276" s="1406" t="s">
        <v>990</v>
      </c>
    </row>
    <row r="277" spans="1:8" x14ac:dyDescent="0.2">
      <c r="A277" s="7"/>
      <c r="B277" s="1407" t="str">
        <f t="shared" si="4"/>
        <v>Jules Hanosset</v>
      </c>
      <c r="C277" s="1402" t="s">
        <v>13662</v>
      </c>
      <c r="D277" s="1403" t="s">
        <v>13663</v>
      </c>
      <c r="E277" s="1404" t="s">
        <v>13664</v>
      </c>
      <c r="F277" s="1405" t="s">
        <v>13211</v>
      </c>
      <c r="G277" s="1403" t="s">
        <v>2779</v>
      </c>
      <c r="H277" s="1406" t="s">
        <v>990</v>
      </c>
    </row>
    <row r="278" spans="1:8" x14ac:dyDescent="0.2">
      <c r="A278" s="7"/>
      <c r="B278" s="1407" t="str">
        <f t="shared" si="4"/>
        <v>Frank Lannoy</v>
      </c>
      <c r="C278" s="1402" t="s">
        <v>5730</v>
      </c>
      <c r="D278" s="1403" t="s">
        <v>3207</v>
      </c>
      <c r="E278" s="1404" t="s">
        <v>4131</v>
      </c>
      <c r="F278" s="1405" t="s">
        <v>5300</v>
      </c>
      <c r="G278" s="1403" t="s">
        <v>2779</v>
      </c>
      <c r="H278" s="1406" t="s">
        <v>990</v>
      </c>
    </row>
    <row r="279" spans="1:8" x14ac:dyDescent="0.2">
      <c r="A279" s="7"/>
      <c r="B279" s="1407" t="str">
        <f t="shared" si="4"/>
        <v>Thierry Magermans</v>
      </c>
      <c r="C279" s="1402" t="s">
        <v>5761</v>
      </c>
      <c r="D279" s="1403" t="s">
        <v>3332</v>
      </c>
      <c r="E279" s="1404" t="s">
        <v>7059</v>
      </c>
      <c r="F279" s="1405" t="s">
        <v>5300</v>
      </c>
      <c r="G279" s="1403" t="s">
        <v>2779</v>
      </c>
      <c r="H279" s="1406" t="s">
        <v>990</v>
      </c>
    </row>
    <row r="280" spans="1:8" x14ac:dyDescent="0.2">
      <c r="A280" s="7"/>
      <c r="B280" s="1407" t="str">
        <f t="shared" si="4"/>
        <v>Benoît Massart</v>
      </c>
      <c r="C280" s="1402" t="s">
        <v>5746</v>
      </c>
      <c r="D280" s="1403" t="s">
        <v>3285</v>
      </c>
      <c r="E280" s="1404" t="s">
        <v>4148</v>
      </c>
      <c r="F280" s="1405" t="s">
        <v>5300</v>
      </c>
      <c r="G280" s="1403" t="s">
        <v>2779</v>
      </c>
      <c r="H280" s="1406" t="s">
        <v>990</v>
      </c>
    </row>
    <row r="281" spans="1:8" x14ac:dyDescent="0.2">
      <c r="A281" s="7"/>
      <c r="B281" s="1407" t="str">
        <f t="shared" si="4"/>
        <v>Bruno Mottet</v>
      </c>
      <c r="C281" s="1402" t="s">
        <v>9536</v>
      </c>
      <c r="D281" s="1403" t="s">
        <v>3168</v>
      </c>
      <c r="E281" s="1404" t="s">
        <v>9566</v>
      </c>
      <c r="F281" s="1405" t="s">
        <v>5299</v>
      </c>
      <c r="G281" s="1403" t="s">
        <v>2779</v>
      </c>
      <c r="H281" s="1406" t="s">
        <v>990</v>
      </c>
    </row>
    <row r="282" spans="1:8" x14ac:dyDescent="0.2">
      <c r="A282" s="7"/>
      <c r="B282" s="1407" t="str">
        <f t="shared" si="4"/>
        <v>Arnaud Nullens</v>
      </c>
      <c r="C282" s="1402" t="s">
        <v>13649</v>
      </c>
      <c r="D282" s="1403" t="s">
        <v>13645</v>
      </c>
      <c r="E282" s="1404" t="s">
        <v>13650</v>
      </c>
      <c r="F282" s="1405" t="s">
        <v>5299</v>
      </c>
      <c r="G282" s="1403" t="s">
        <v>2779</v>
      </c>
      <c r="H282" s="1406" t="s">
        <v>990</v>
      </c>
    </row>
    <row r="283" spans="1:8" x14ac:dyDescent="0.2">
      <c r="A283" s="7"/>
      <c r="B283" s="1407" t="str">
        <f t="shared" si="4"/>
        <v>Philippe Roufosse</v>
      </c>
      <c r="C283" s="1402" t="s">
        <v>5751</v>
      </c>
      <c r="D283" s="1403" t="s">
        <v>3312</v>
      </c>
      <c r="E283" s="1404" t="s">
        <v>4153</v>
      </c>
      <c r="F283" s="1405" t="s">
        <v>5300</v>
      </c>
      <c r="G283" s="1403" t="s">
        <v>2779</v>
      </c>
      <c r="H283" s="1406" t="s">
        <v>990</v>
      </c>
    </row>
    <row r="284" spans="1:8" x14ac:dyDescent="0.2">
      <c r="A284" s="7"/>
      <c r="B284" s="1407" t="str">
        <f t="shared" si="4"/>
        <v>David Van Den Houte</v>
      </c>
      <c r="C284" s="1402" t="s">
        <v>5739</v>
      </c>
      <c r="D284" s="1403" t="s">
        <v>3072</v>
      </c>
      <c r="E284" s="1404" t="s">
        <v>4139</v>
      </c>
      <c r="F284" s="1405" t="s">
        <v>5300</v>
      </c>
      <c r="G284" s="1403" t="s">
        <v>2779</v>
      </c>
      <c r="H284" s="1406" t="s">
        <v>990</v>
      </c>
    </row>
    <row r="285" spans="1:8" x14ac:dyDescent="0.2">
      <c r="A285" s="7"/>
      <c r="B285" s="1407" t="str">
        <f t="shared" si="4"/>
        <v>Benoît Vanwissen</v>
      </c>
      <c r="C285" s="1402" t="s">
        <v>5753</v>
      </c>
      <c r="D285" s="1403" t="s">
        <v>3285</v>
      </c>
      <c r="E285" s="1404" t="s">
        <v>4154</v>
      </c>
      <c r="F285" s="1405" t="s">
        <v>5300</v>
      </c>
      <c r="G285" s="1403" t="s">
        <v>2779</v>
      </c>
      <c r="H285" s="1406" t="s">
        <v>990</v>
      </c>
    </row>
    <row r="286" spans="1:8" x14ac:dyDescent="0.2">
      <c r="A286" s="7"/>
      <c r="B286" s="1407" t="str">
        <f t="shared" si="4"/>
        <v>Pol Verhaeghe</v>
      </c>
      <c r="C286" s="1402" t="s">
        <v>5748</v>
      </c>
      <c r="D286" s="1403" t="s">
        <v>3495</v>
      </c>
      <c r="E286" s="1404" t="s">
        <v>4150</v>
      </c>
      <c r="F286" s="1405" t="s">
        <v>5300</v>
      </c>
      <c r="G286" s="1403" t="s">
        <v>2779</v>
      </c>
      <c r="H286" s="1406" t="s">
        <v>990</v>
      </c>
    </row>
    <row r="287" spans="1:8" x14ac:dyDescent="0.2">
      <c r="A287" s="7"/>
      <c r="B287" s="1407" t="str">
        <f t="shared" si="4"/>
        <v>Xavier Verstrepen</v>
      </c>
      <c r="C287" s="1402" t="s">
        <v>17711</v>
      </c>
      <c r="D287" s="1403" t="s">
        <v>3295</v>
      </c>
      <c r="E287" s="1404" t="s">
        <v>17712</v>
      </c>
      <c r="F287" s="1405" t="s">
        <v>5299</v>
      </c>
      <c r="G287" s="1403" t="s">
        <v>11409</v>
      </c>
      <c r="H287" s="1406" t="s">
        <v>990</v>
      </c>
    </row>
    <row r="288" spans="1:8" x14ac:dyDescent="0.2">
      <c r="A288" s="7"/>
      <c r="B288" s="1407" t="str">
        <f t="shared" si="4"/>
        <v>Aurélien Feye</v>
      </c>
      <c r="C288" s="1402" t="s">
        <v>14353</v>
      </c>
      <c r="D288" s="1403" t="s">
        <v>14354</v>
      </c>
      <c r="E288" s="1404" t="s">
        <v>14355</v>
      </c>
      <c r="F288" s="1405" t="s">
        <v>13210</v>
      </c>
      <c r="G288" s="1403" t="s">
        <v>10250</v>
      </c>
      <c r="H288" s="1406" t="s">
        <v>990</v>
      </c>
    </row>
    <row r="289" spans="1:8" x14ac:dyDescent="0.2">
      <c r="A289" s="7"/>
      <c r="B289" s="1407" t="str">
        <f t="shared" si="4"/>
        <v>Bruno Goset</v>
      </c>
      <c r="C289" s="1402" t="s">
        <v>5741</v>
      </c>
      <c r="D289" s="1403" t="s">
        <v>3168</v>
      </c>
      <c r="E289" s="1404" t="s">
        <v>4141</v>
      </c>
      <c r="F289" s="1405" t="s">
        <v>5300</v>
      </c>
      <c r="G289" s="1403" t="s">
        <v>10250</v>
      </c>
      <c r="H289" s="1406" t="s">
        <v>990</v>
      </c>
    </row>
    <row r="290" spans="1:8" x14ac:dyDescent="0.2">
      <c r="A290" s="7"/>
      <c r="B290" s="1407" t="str">
        <f t="shared" si="4"/>
        <v>Charles Goset</v>
      </c>
      <c r="C290" s="1402" t="s">
        <v>5741</v>
      </c>
      <c r="D290" s="1403" t="s">
        <v>3422</v>
      </c>
      <c r="E290" s="1404" t="s">
        <v>17502</v>
      </c>
      <c r="F290" s="1405" t="s">
        <v>5300</v>
      </c>
      <c r="G290" s="1403" t="s">
        <v>10250</v>
      </c>
      <c r="H290" s="1406" t="s">
        <v>990</v>
      </c>
    </row>
    <row r="291" spans="1:8" x14ac:dyDescent="0.2">
      <c r="A291" s="7"/>
      <c r="B291" s="1407" t="str">
        <f t="shared" si="4"/>
        <v>Noah Janssens</v>
      </c>
      <c r="C291" s="1402" t="s">
        <v>13217</v>
      </c>
      <c r="D291" s="1403" t="s">
        <v>7329</v>
      </c>
      <c r="E291" s="1404" t="s">
        <v>13218</v>
      </c>
      <c r="F291" s="1405" t="s">
        <v>13210</v>
      </c>
      <c r="G291" s="1403" t="s">
        <v>10250</v>
      </c>
      <c r="H291" s="1406" t="s">
        <v>990</v>
      </c>
    </row>
    <row r="292" spans="1:8" x14ac:dyDescent="0.2">
      <c r="A292" s="7"/>
      <c r="B292" s="1407" t="str">
        <f t="shared" si="4"/>
        <v>Ludovic Ponthieux</v>
      </c>
      <c r="C292" s="1402" t="s">
        <v>5725</v>
      </c>
      <c r="D292" s="1403" t="s">
        <v>3190</v>
      </c>
      <c r="E292" s="1404" t="s">
        <v>13214</v>
      </c>
      <c r="F292" s="1405" t="s">
        <v>5299</v>
      </c>
      <c r="G292" s="1403" t="s">
        <v>10250</v>
      </c>
      <c r="H292" s="1406" t="s">
        <v>990</v>
      </c>
    </row>
    <row r="293" spans="1:8" x14ac:dyDescent="0.2">
      <c r="A293" s="7"/>
      <c r="B293" s="1407" t="str">
        <f t="shared" si="4"/>
        <v>Sébastien Rochez</v>
      </c>
      <c r="C293" s="1402" t="s">
        <v>16137</v>
      </c>
      <c r="D293" s="1403" t="s">
        <v>3043</v>
      </c>
      <c r="E293" s="1404" t="s">
        <v>16138</v>
      </c>
      <c r="F293" s="1405" t="s">
        <v>5300</v>
      </c>
      <c r="G293" s="1403" t="s">
        <v>10250</v>
      </c>
      <c r="H293" s="1406" t="s">
        <v>990</v>
      </c>
    </row>
    <row r="294" spans="1:8" x14ac:dyDescent="0.2">
      <c r="A294" s="7"/>
      <c r="B294" s="1407" t="str">
        <f t="shared" si="4"/>
        <v>Christopher Sabetta</v>
      </c>
      <c r="C294" s="1402" t="s">
        <v>17713</v>
      </c>
      <c r="D294" s="1403" t="s">
        <v>3262</v>
      </c>
      <c r="E294" s="1404" t="s">
        <v>17714</v>
      </c>
      <c r="F294" s="1405" t="s">
        <v>5299</v>
      </c>
      <c r="G294" s="1403" t="s">
        <v>10250</v>
      </c>
      <c r="H294" s="1406" t="s">
        <v>990</v>
      </c>
    </row>
    <row r="295" spans="1:8" x14ac:dyDescent="0.2">
      <c r="A295" s="7"/>
      <c r="B295" s="1407" t="str">
        <f t="shared" si="4"/>
        <v>Pascal Scheen</v>
      </c>
      <c r="C295" s="1402" t="s">
        <v>5742</v>
      </c>
      <c r="D295" s="1403" t="s">
        <v>3035</v>
      </c>
      <c r="E295" s="1404" t="s">
        <v>4143</v>
      </c>
      <c r="F295" s="1405" t="s">
        <v>5300</v>
      </c>
      <c r="G295" s="1403" t="s">
        <v>10250</v>
      </c>
      <c r="H295" s="1406" t="s">
        <v>990</v>
      </c>
    </row>
    <row r="296" spans="1:8" x14ac:dyDescent="0.2">
      <c r="A296" s="7"/>
      <c r="B296" s="1407" t="str">
        <f t="shared" si="4"/>
        <v>Mélina Scheen</v>
      </c>
      <c r="C296" s="1402" t="s">
        <v>5742</v>
      </c>
      <c r="D296" s="1403" t="s">
        <v>13654</v>
      </c>
      <c r="E296" s="1404" t="s">
        <v>13655</v>
      </c>
      <c r="F296" s="1405" t="s">
        <v>5299</v>
      </c>
      <c r="G296" s="1403" t="s">
        <v>10250</v>
      </c>
      <c r="H296" s="1406" t="s">
        <v>990</v>
      </c>
    </row>
    <row r="297" spans="1:8" x14ac:dyDescent="0.2">
      <c r="A297" s="7"/>
      <c r="B297" s="1407" t="str">
        <f t="shared" si="4"/>
        <v>Eric Threis</v>
      </c>
      <c r="C297" s="1402" t="s">
        <v>5743</v>
      </c>
      <c r="D297" s="1403" t="s">
        <v>3044</v>
      </c>
      <c r="E297" s="1404" t="s">
        <v>4145</v>
      </c>
      <c r="F297" s="1405" t="s">
        <v>5300</v>
      </c>
      <c r="G297" s="1403" t="s">
        <v>10250</v>
      </c>
      <c r="H297" s="1406" t="s">
        <v>990</v>
      </c>
    </row>
    <row r="298" spans="1:8" x14ac:dyDescent="0.2">
      <c r="A298" s="7"/>
      <c r="B298" s="1407" t="str">
        <f t="shared" si="4"/>
        <v>Quentin Van Glabeke</v>
      </c>
      <c r="C298" s="1402" t="s">
        <v>8003</v>
      </c>
      <c r="D298" s="1403" t="s">
        <v>3681</v>
      </c>
      <c r="E298" s="1404" t="s">
        <v>4156</v>
      </c>
      <c r="F298" s="1405" t="s">
        <v>5299</v>
      </c>
      <c r="G298" s="1403" t="s">
        <v>10250</v>
      </c>
      <c r="H298" s="1406" t="s">
        <v>990</v>
      </c>
    </row>
    <row r="299" spans="1:8" x14ac:dyDescent="0.2">
      <c r="A299" s="7"/>
      <c r="B299" s="1407" t="str">
        <f t="shared" si="4"/>
        <v>Valéry Willot</v>
      </c>
      <c r="C299" s="1402" t="s">
        <v>17533</v>
      </c>
      <c r="D299" s="1403" t="s">
        <v>17534</v>
      </c>
      <c r="E299" s="1404" t="s">
        <v>17535</v>
      </c>
      <c r="F299" s="1405" t="s">
        <v>5299</v>
      </c>
      <c r="G299" s="1403" t="s">
        <v>10250</v>
      </c>
      <c r="H299" s="1406" t="s">
        <v>990</v>
      </c>
    </row>
    <row r="300" spans="1:8" x14ac:dyDescent="0.2">
      <c r="A300" s="7"/>
      <c r="B300" s="1407" t="str">
        <f t="shared" si="4"/>
        <v>Vincent Coppenolle</v>
      </c>
      <c r="C300" s="1402" t="s">
        <v>17715</v>
      </c>
      <c r="D300" s="1403" t="s">
        <v>3457</v>
      </c>
      <c r="E300" s="1404" t="s">
        <v>17716</v>
      </c>
      <c r="F300" s="1405" t="s">
        <v>5299</v>
      </c>
      <c r="G300" s="1403" t="s">
        <v>2778</v>
      </c>
      <c r="H300" s="1406" t="s">
        <v>990</v>
      </c>
    </row>
    <row r="301" spans="1:8" x14ac:dyDescent="0.2">
      <c r="A301" s="7"/>
      <c r="B301" s="1407" t="str">
        <f t="shared" si="4"/>
        <v>Raphaël Dhondt</v>
      </c>
      <c r="C301" s="1402" t="s">
        <v>17717</v>
      </c>
      <c r="D301" s="1403" t="s">
        <v>3541</v>
      </c>
      <c r="E301" s="1404" t="s">
        <v>17718</v>
      </c>
      <c r="F301" s="1405" t="s">
        <v>5299</v>
      </c>
      <c r="G301" s="1403" t="s">
        <v>2778</v>
      </c>
      <c r="H301" s="1406" t="s">
        <v>990</v>
      </c>
    </row>
    <row r="302" spans="1:8" x14ac:dyDescent="0.2">
      <c r="A302" s="7"/>
      <c r="B302" s="1407" t="str">
        <f t="shared" si="4"/>
        <v>Ursule Dhondt</v>
      </c>
      <c r="C302" s="1402" t="s">
        <v>17717</v>
      </c>
      <c r="D302" s="1403" t="s">
        <v>17719</v>
      </c>
      <c r="E302" s="1404" t="s">
        <v>17720</v>
      </c>
      <c r="F302" s="1405" t="s">
        <v>1563</v>
      </c>
      <c r="G302" s="1403" t="s">
        <v>2778</v>
      </c>
      <c r="H302" s="1406" t="s">
        <v>990</v>
      </c>
    </row>
    <row r="303" spans="1:8" x14ac:dyDescent="0.2">
      <c r="A303" s="7"/>
      <c r="B303" s="1407" t="str">
        <f t="shared" si="4"/>
        <v>Daniel Scheen</v>
      </c>
      <c r="C303" s="1402" t="s">
        <v>5742</v>
      </c>
      <c r="D303" s="1403" t="s">
        <v>3243</v>
      </c>
      <c r="E303" s="1404" t="s">
        <v>4142</v>
      </c>
      <c r="F303" s="1405" t="s">
        <v>5300</v>
      </c>
      <c r="G303" s="1403" t="s">
        <v>2755</v>
      </c>
      <c r="H303" s="1406" t="s">
        <v>990</v>
      </c>
    </row>
    <row r="304" spans="1:8" x14ac:dyDescent="0.2">
      <c r="A304" s="7"/>
      <c r="B304" s="1407" t="str">
        <f t="shared" si="4"/>
        <v>Salvatore Visconti</v>
      </c>
      <c r="C304" s="1402" t="s">
        <v>5754</v>
      </c>
      <c r="D304" s="1403" t="s">
        <v>3265</v>
      </c>
      <c r="E304" s="1404" t="s">
        <v>4155</v>
      </c>
      <c r="F304" s="1405" t="s">
        <v>5299</v>
      </c>
      <c r="G304" s="1403" t="s">
        <v>2755</v>
      </c>
      <c r="H304" s="1406" t="s">
        <v>990</v>
      </c>
    </row>
    <row r="305" spans="1:8" x14ac:dyDescent="0.2">
      <c r="A305" s="7"/>
      <c r="B305" s="1407" t="str">
        <f t="shared" si="4"/>
        <v>Sébastien Darmont</v>
      </c>
      <c r="C305" s="1402" t="s">
        <v>13651</v>
      </c>
      <c r="D305" s="1403" t="s">
        <v>3043</v>
      </c>
      <c r="E305" s="1404" t="s">
        <v>13652</v>
      </c>
      <c r="F305" s="1405" t="s">
        <v>5299</v>
      </c>
      <c r="G305" s="1403" t="s">
        <v>10254</v>
      </c>
      <c r="H305" s="1406" t="s">
        <v>990</v>
      </c>
    </row>
    <row r="306" spans="1:8" x14ac:dyDescent="0.2">
      <c r="A306" s="7"/>
      <c r="B306" s="1407" t="str">
        <f t="shared" si="4"/>
        <v>Ralf Gregoire</v>
      </c>
      <c r="C306" s="1402" t="s">
        <v>5745</v>
      </c>
      <c r="D306" s="1403" t="s">
        <v>3205</v>
      </c>
      <c r="E306" s="1404" t="s">
        <v>4147</v>
      </c>
      <c r="F306" s="1405" t="s">
        <v>5299</v>
      </c>
      <c r="G306" s="1403" t="s">
        <v>10254</v>
      </c>
      <c r="H306" s="1406" t="s">
        <v>990</v>
      </c>
    </row>
    <row r="307" spans="1:8" x14ac:dyDescent="0.2">
      <c r="A307" s="7"/>
      <c r="B307" s="1407" t="str">
        <f t="shared" si="4"/>
        <v>Steve Gregoire</v>
      </c>
      <c r="C307" s="1402" t="s">
        <v>5745</v>
      </c>
      <c r="D307" s="1403" t="s">
        <v>3088</v>
      </c>
      <c r="E307" s="1404" t="s">
        <v>17721</v>
      </c>
      <c r="F307" s="1405" t="s">
        <v>5300</v>
      </c>
      <c r="G307" s="1403" t="s">
        <v>10254</v>
      </c>
      <c r="H307" s="1406" t="s">
        <v>990</v>
      </c>
    </row>
    <row r="308" spans="1:8" x14ac:dyDescent="0.2">
      <c r="A308" s="7"/>
      <c r="B308" s="1407" t="str">
        <f t="shared" si="4"/>
        <v>Fabrice Guyaux</v>
      </c>
      <c r="C308" s="1402" t="s">
        <v>13644</v>
      </c>
      <c r="D308" s="1403" t="s">
        <v>14356</v>
      </c>
      <c r="E308" s="1404" t="s">
        <v>14357</v>
      </c>
      <c r="F308" s="1405" t="s">
        <v>5300</v>
      </c>
      <c r="G308" s="1403" t="s">
        <v>10254</v>
      </c>
      <c r="H308" s="1406" t="s">
        <v>990</v>
      </c>
    </row>
    <row r="309" spans="1:8" x14ac:dyDescent="0.2">
      <c r="A309" s="7"/>
      <c r="B309" s="1407" t="str">
        <f t="shared" si="4"/>
        <v>Adam Guyaux</v>
      </c>
      <c r="C309" s="1402" t="s">
        <v>13644</v>
      </c>
      <c r="D309" s="1403" t="s">
        <v>3502</v>
      </c>
      <c r="E309" s="1404" t="s">
        <v>15644</v>
      </c>
      <c r="F309" s="1405" t="s">
        <v>13211</v>
      </c>
      <c r="G309" s="1403" t="s">
        <v>10254</v>
      </c>
      <c r="H309" s="1406" t="s">
        <v>990</v>
      </c>
    </row>
    <row r="310" spans="1:8" x14ac:dyDescent="0.2">
      <c r="A310" s="7"/>
      <c r="B310" s="1407" t="str">
        <f t="shared" si="4"/>
        <v>Pol Serwy</v>
      </c>
      <c r="C310" s="1402" t="s">
        <v>5747</v>
      </c>
      <c r="D310" s="1403" t="s">
        <v>3495</v>
      </c>
      <c r="E310" s="1404" t="s">
        <v>4149</v>
      </c>
      <c r="F310" s="1405" t="s">
        <v>5300</v>
      </c>
      <c r="G310" s="1403" t="s">
        <v>10254</v>
      </c>
      <c r="H310" s="1406" t="s">
        <v>990</v>
      </c>
    </row>
    <row r="311" spans="1:8" x14ac:dyDescent="0.2">
      <c r="A311" s="7"/>
      <c r="B311" s="1407" t="str">
        <f t="shared" si="4"/>
        <v>Giulio Bonfanti</v>
      </c>
      <c r="C311" s="1402" t="s">
        <v>9633</v>
      </c>
      <c r="D311" s="1403" t="s">
        <v>3583</v>
      </c>
      <c r="E311" s="1404" t="s">
        <v>9658</v>
      </c>
      <c r="F311" s="1405" t="s">
        <v>5300</v>
      </c>
      <c r="G311" s="1403" t="s">
        <v>10252</v>
      </c>
      <c r="H311" s="1406" t="s">
        <v>990</v>
      </c>
    </row>
    <row r="312" spans="1:8" x14ac:dyDescent="0.2">
      <c r="A312" s="7"/>
      <c r="B312" s="1407" t="str">
        <f t="shared" si="4"/>
        <v>Richard Boulanger</v>
      </c>
      <c r="C312" s="1402" t="s">
        <v>5727</v>
      </c>
      <c r="D312" s="1403" t="s">
        <v>3219</v>
      </c>
      <c r="E312" s="1404" t="s">
        <v>4128</v>
      </c>
      <c r="F312" s="1405" t="s">
        <v>5300</v>
      </c>
      <c r="G312" s="1403" t="s">
        <v>10252</v>
      </c>
      <c r="H312" s="1406" t="s">
        <v>990</v>
      </c>
    </row>
    <row r="313" spans="1:8" x14ac:dyDescent="0.2">
      <c r="A313" s="7"/>
      <c r="B313" s="1407" t="str">
        <f t="shared" si="4"/>
        <v>David Boulanger</v>
      </c>
      <c r="C313" s="1402" t="s">
        <v>5727</v>
      </c>
      <c r="D313" s="1403" t="s">
        <v>3072</v>
      </c>
      <c r="E313" s="1404" t="s">
        <v>13219</v>
      </c>
      <c r="F313" s="1405" t="s">
        <v>5299</v>
      </c>
      <c r="G313" s="1403" t="s">
        <v>10252</v>
      </c>
      <c r="H313" s="1406" t="s">
        <v>990</v>
      </c>
    </row>
    <row r="314" spans="1:8" x14ac:dyDescent="0.2">
      <c r="A314" s="7"/>
      <c r="B314" s="1407" t="str">
        <f t="shared" si="4"/>
        <v>Noah Dirick</v>
      </c>
      <c r="C314" s="1402" t="s">
        <v>13215</v>
      </c>
      <c r="D314" s="1403" t="s">
        <v>7329</v>
      </c>
      <c r="E314" s="1404" t="s">
        <v>13216</v>
      </c>
      <c r="F314" s="1405" t="s">
        <v>13210</v>
      </c>
      <c r="G314" s="1403" t="s">
        <v>10252</v>
      </c>
      <c r="H314" s="1406" t="s">
        <v>990</v>
      </c>
    </row>
    <row r="315" spans="1:8" x14ac:dyDescent="0.2">
      <c r="A315" s="7"/>
      <c r="B315" s="1407" t="str">
        <f t="shared" si="4"/>
        <v>Jean Grosdent</v>
      </c>
      <c r="C315" s="1402" t="s">
        <v>8010</v>
      </c>
      <c r="D315" s="1403" t="s">
        <v>3559</v>
      </c>
      <c r="E315" s="1404" t="s">
        <v>8351</v>
      </c>
      <c r="F315" s="1405" t="s">
        <v>5299</v>
      </c>
      <c r="G315" s="1403" t="s">
        <v>10252</v>
      </c>
      <c r="H315" s="1406" t="s">
        <v>990</v>
      </c>
    </row>
    <row r="316" spans="1:8" x14ac:dyDescent="0.2">
      <c r="A316" s="7"/>
      <c r="B316" s="1407" t="str">
        <f t="shared" si="4"/>
        <v>Luc Grosdent</v>
      </c>
      <c r="C316" s="1402" t="s">
        <v>8010</v>
      </c>
      <c r="D316" s="1403" t="s">
        <v>9408</v>
      </c>
      <c r="E316" s="1404" t="s">
        <v>9419</v>
      </c>
      <c r="F316" s="1405" t="s">
        <v>5299</v>
      </c>
      <c r="G316" s="1403" t="s">
        <v>10252</v>
      </c>
      <c r="H316" s="1406" t="s">
        <v>990</v>
      </c>
    </row>
    <row r="317" spans="1:8" x14ac:dyDescent="0.2">
      <c r="A317" s="7"/>
      <c r="B317" s="1407" t="str">
        <f t="shared" si="4"/>
        <v>Maxim Grosdent</v>
      </c>
      <c r="C317" s="1402" t="s">
        <v>8010</v>
      </c>
      <c r="D317" s="1403" t="s">
        <v>9551</v>
      </c>
      <c r="E317" s="1404" t="s">
        <v>9567</v>
      </c>
      <c r="F317" s="1405" t="s">
        <v>13211</v>
      </c>
      <c r="G317" s="1403" t="s">
        <v>10252</v>
      </c>
      <c r="H317" s="1406" t="s">
        <v>990</v>
      </c>
    </row>
    <row r="318" spans="1:8" x14ac:dyDescent="0.2">
      <c r="A318" s="7"/>
      <c r="B318" s="1407" t="str">
        <f t="shared" si="4"/>
        <v>Sophia Grosdent</v>
      </c>
      <c r="C318" s="1402" t="s">
        <v>8010</v>
      </c>
      <c r="D318" s="1403" t="s">
        <v>13660</v>
      </c>
      <c r="E318" s="1404" t="s">
        <v>13661</v>
      </c>
      <c r="F318" s="1405" t="s">
        <v>13211</v>
      </c>
      <c r="G318" s="1403" t="s">
        <v>10252</v>
      </c>
      <c r="H318" s="1406" t="s">
        <v>990</v>
      </c>
    </row>
    <row r="319" spans="1:8" x14ac:dyDescent="0.2">
      <c r="A319" s="7"/>
      <c r="B319" s="1407" t="str">
        <f t="shared" si="4"/>
        <v>Thomas Janssens</v>
      </c>
      <c r="C319" s="1402" t="s">
        <v>13217</v>
      </c>
      <c r="D319" s="1403" t="s">
        <v>3124</v>
      </c>
      <c r="E319" s="1404" t="s">
        <v>15708</v>
      </c>
      <c r="F319" s="1405" t="s">
        <v>5299</v>
      </c>
      <c r="G319" s="1403" t="s">
        <v>10252</v>
      </c>
      <c r="H319" s="1406" t="s">
        <v>990</v>
      </c>
    </row>
    <row r="320" spans="1:8" x14ac:dyDescent="0.2">
      <c r="A320" s="7"/>
      <c r="B320" s="1407" t="str">
        <f t="shared" si="4"/>
        <v>Gabriel Janssens</v>
      </c>
      <c r="C320" s="1402" t="s">
        <v>13217</v>
      </c>
      <c r="D320" s="1403" t="s">
        <v>6887</v>
      </c>
      <c r="E320" s="1404" t="s">
        <v>17722</v>
      </c>
      <c r="F320" s="1405" t="s">
        <v>1563</v>
      </c>
      <c r="G320" s="1403" t="s">
        <v>10252</v>
      </c>
      <c r="H320" s="1406" t="s">
        <v>990</v>
      </c>
    </row>
    <row r="321" spans="1:8" x14ac:dyDescent="0.2">
      <c r="A321" s="7"/>
      <c r="B321" s="1407" t="str">
        <f t="shared" si="4"/>
        <v>Philippe Thys</v>
      </c>
      <c r="C321" s="1402" t="s">
        <v>9537</v>
      </c>
      <c r="D321" s="1403" t="s">
        <v>3312</v>
      </c>
      <c r="E321" s="1404" t="s">
        <v>9568</v>
      </c>
      <c r="F321" s="1405" t="s">
        <v>5300</v>
      </c>
      <c r="G321" s="1403" t="s">
        <v>10252</v>
      </c>
      <c r="H321" s="1406" t="s">
        <v>990</v>
      </c>
    </row>
    <row r="322" spans="1:8" x14ac:dyDescent="0.2">
      <c r="A322" s="7"/>
      <c r="B322" s="1407" t="str">
        <f t="shared" si="4"/>
        <v>Antonio Timpano</v>
      </c>
      <c r="C322" s="1402" t="s">
        <v>8007</v>
      </c>
      <c r="D322" s="1403" t="s">
        <v>3341</v>
      </c>
      <c r="E322" s="1404" t="s">
        <v>8349</v>
      </c>
      <c r="F322" s="1405" t="s">
        <v>5299</v>
      </c>
      <c r="G322" s="1403" t="s">
        <v>10252</v>
      </c>
      <c r="H322" s="1406" t="s">
        <v>990</v>
      </c>
    </row>
    <row r="323" spans="1:8" x14ac:dyDescent="0.2">
      <c r="A323" s="7"/>
      <c r="B323" s="1407" t="str">
        <f t="shared" si="4"/>
        <v>Lulani Verhoeven</v>
      </c>
      <c r="C323" s="1402" t="s">
        <v>11195</v>
      </c>
      <c r="D323" s="1403" t="s">
        <v>11237</v>
      </c>
      <c r="E323" s="1404" t="s">
        <v>11260</v>
      </c>
      <c r="F323" s="1405" t="s">
        <v>13210</v>
      </c>
      <c r="G323" s="1403" t="s">
        <v>10252</v>
      </c>
      <c r="H323" s="1406" t="s">
        <v>990</v>
      </c>
    </row>
    <row r="324" spans="1:8" x14ac:dyDescent="0.2">
      <c r="A324" s="7"/>
      <c r="B324" s="1407" t="str">
        <f t="shared" si="4"/>
        <v>Stéphane Lambert</v>
      </c>
      <c r="C324" s="1402" t="s">
        <v>5729</v>
      </c>
      <c r="D324" s="1403" t="s">
        <v>3624</v>
      </c>
      <c r="E324" s="1404" t="s">
        <v>4130</v>
      </c>
      <c r="F324" s="1405" t="s">
        <v>5300</v>
      </c>
      <c r="G324" s="1403" t="s">
        <v>5508</v>
      </c>
      <c r="H324" s="1406" t="s">
        <v>990</v>
      </c>
    </row>
    <row r="325" spans="1:8" x14ac:dyDescent="0.2">
      <c r="A325" s="7"/>
      <c r="B325" s="1407" t="str">
        <f t="shared" si="4"/>
        <v>Regis Abboud</v>
      </c>
      <c r="C325" s="1402" t="s">
        <v>5792</v>
      </c>
      <c r="D325" s="1403" t="s">
        <v>6893</v>
      </c>
      <c r="E325" s="1404" t="s">
        <v>4191</v>
      </c>
      <c r="F325" s="1405" t="s">
        <v>5300</v>
      </c>
      <c r="G325" s="1403" t="s">
        <v>14362</v>
      </c>
      <c r="H325" s="1406" t="s">
        <v>994</v>
      </c>
    </row>
    <row r="326" spans="1:8" x14ac:dyDescent="0.2">
      <c r="A326" s="7"/>
      <c r="B326" s="1407" t="str">
        <f t="shared" si="4"/>
        <v>Paulo Agra</v>
      </c>
      <c r="C326" s="1402" t="s">
        <v>5785</v>
      </c>
      <c r="D326" s="1403" t="s">
        <v>3246</v>
      </c>
      <c r="E326" s="1404" t="s">
        <v>4182</v>
      </c>
      <c r="F326" s="1405" t="s">
        <v>5300</v>
      </c>
      <c r="G326" s="1403" t="s">
        <v>14359</v>
      </c>
      <c r="H326" s="1406" t="s">
        <v>994</v>
      </c>
    </row>
    <row r="327" spans="1:8" x14ac:dyDescent="0.2">
      <c r="A327" s="7"/>
      <c r="B327" s="1407" t="str">
        <f t="shared" ref="B327:B390" si="5">TRIM(CONCATENATE(D327," ",C327))</f>
        <v>Felipe Andreassi</v>
      </c>
      <c r="C327" s="1402" t="s">
        <v>5795</v>
      </c>
      <c r="D327" s="1403" t="s">
        <v>3165</v>
      </c>
      <c r="E327" s="1404" t="s">
        <v>4195</v>
      </c>
      <c r="F327" s="1405" t="s">
        <v>5299</v>
      </c>
      <c r="G327" s="1403" t="s">
        <v>14359</v>
      </c>
      <c r="H327" s="1406" t="s">
        <v>994</v>
      </c>
    </row>
    <row r="328" spans="1:8" x14ac:dyDescent="0.2">
      <c r="A328" s="7"/>
      <c r="B328" s="1407" t="str">
        <f t="shared" si="5"/>
        <v>Diego Antonio de Lima</v>
      </c>
      <c r="C328" s="1402" t="s">
        <v>13745</v>
      </c>
      <c r="D328" s="1403" t="s">
        <v>3373</v>
      </c>
      <c r="E328" s="1404" t="s">
        <v>13746</v>
      </c>
      <c r="F328" s="1405" t="s">
        <v>5299</v>
      </c>
      <c r="G328" s="1403" t="s">
        <v>14359</v>
      </c>
      <c r="H328" s="1406" t="s">
        <v>994</v>
      </c>
    </row>
    <row r="329" spans="1:8" x14ac:dyDescent="0.2">
      <c r="A329" s="7"/>
      <c r="B329" s="1407" t="str">
        <f t="shared" si="5"/>
        <v>Danilo Aparecido Mendonça Pereira</v>
      </c>
      <c r="C329" s="1402" t="s">
        <v>13722</v>
      </c>
      <c r="D329" s="1403" t="s">
        <v>5561</v>
      </c>
      <c r="E329" s="1404" t="s">
        <v>13723</v>
      </c>
      <c r="F329" s="1405" t="s">
        <v>5299</v>
      </c>
      <c r="G329" s="1403" t="s">
        <v>14359</v>
      </c>
      <c r="H329" s="1406" t="s">
        <v>994</v>
      </c>
    </row>
    <row r="330" spans="1:8" x14ac:dyDescent="0.2">
      <c r="A330" s="7"/>
      <c r="B330" s="1407" t="str">
        <f t="shared" si="5"/>
        <v>Leonardo Armani</v>
      </c>
      <c r="C330" s="1402" t="s">
        <v>5799</v>
      </c>
      <c r="D330" s="1403" t="s">
        <v>3633</v>
      </c>
      <c r="E330" s="1404" t="s">
        <v>4199</v>
      </c>
      <c r="F330" s="1405" t="s">
        <v>5299</v>
      </c>
      <c r="G330" s="1403" t="s">
        <v>14359</v>
      </c>
      <c r="H330" s="1406" t="s">
        <v>994</v>
      </c>
    </row>
    <row r="331" spans="1:8" x14ac:dyDescent="0.2">
      <c r="A331" s="7"/>
      <c r="B331" s="1407" t="str">
        <f t="shared" si="5"/>
        <v>José Humberto Arruda</v>
      </c>
      <c r="C331" s="1402" t="s">
        <v>13693</v>
      </c>
      <c r="D331" s="1403" t="s">
        <v>13694</v>
      </c>
      <c r="E331" s="1404" t="s">
        <v>13695</v>
      </c>
      <c r="F331" s="1405" t="s">
        <v>5300</v>
      </c>
      <c r="G331" s="1403" t="s">
        <v>14359</v>
      </c>
      <c r="H331" s="1406" t="s">
        <v>994</v>
      </c>
    </row>
    <row r="332" spans="1:8" x14ac:dyDescent="0.2">
      <c r="A332" s="7"/>
      <c r="B332" s="1407" t="str">
        <f t="shared" si="5"/>
        <v>Ricardo Asso</v>
      </c>
      <c r="C332" s="1402" t="s">
        <v>15179</v>
      </c>
      <c r="D332" s="1403" t="s">
        <v>3137</v>
      </c>
      <c r="E332" s="1404" t="s">
        <v>15180</v>
      </c>
      <c r="F332" s="1405" t="s">
        <v>5300</v>
      </c>
      <c r="G332" s="1403" t="s">
        <v>14359</v>
      </c>
      <c r="H332" s="1406" t="s">
        <v>994</v>
      </c>
    </row>
    <row r="333" spans="1:8" x14ac:dyDescent="0.2">
      <c r="A333" s="7"/>
      <c r="B333" s="1407" t="str">
        <f t="shared" si="5"/>
        <v>Alex Bahr</v>
      </c>
      <c r="C333" s="1402" t="s">
        <v>7340</v>
      </c>
      <c r="D333" s="1403" t="s">
        <v>3130</v>
      </c>
      <c r="E333" s="1404" t="s">
        <v>7174</v>
      </c>
      <c r="F333" s="1405" t="s">
        <v>5300</v>
      </c>
      <c r="G333" s="1403" t="s">
        <v>14361</v>
      </c>
      <c r="H333" s="1406" t="s">
        <v>994</v>
      </c>
    </row>
    <row r="334" spans="1:8" x14ac:dyDescent="0.2">
      <c r="A334" s="7"/>
      <c r="B334" s="1407" t="str">
        <f t="shared" si="5"/>
        <v>João Tassio Barbosa de Farias</v>
      </c>
      <c r="C334" s="1402" t="s">
        <v>13739</v>
      </c>
      <c r="D334" s="1403" t="s">
        <v>13740</v>
      </c>
      <c r="E334" s="1404" t="s">
        <v>13741</v>
      </c>
      <c r="F334" s="1405" t="s">
        <v>13210</v>
      </c>
      <c r="G334" s="1403" t="s">
        <v>14359</v>
      </c>
      <c r="H334" s="1406" t="s">
        <v>994</v>
      </c>
    </row>
    <row r="335" spans="1:8" x14ac:dyDescent="0.2">
      <c r="A335" s="7"/>
      <c r="B335" s="1407" t="str">
        <f t="shared" si="5"/>
        <v>Luciano Barcelos</v>
      </c>
      <c r="C335" s="1402" t="s">
        <v>5827</v>
      </c>
      <c r="D335" s="1403" t="s">
        <v>5577</v>
      </c>
      <c r="E335" s="1404" t="s">
        <v>7060</v>
      </c>
      <c r="F335" s="1405" t="s">
        <v>5299</v>
      </c>
      <c r="G335" s="1403" t="s">
        <v>14359</v>
      </c>
      <c r="H335" s="1406" t="s">
        <v>994</v>
      </c>
    </row>
    <row r="336" spans="1:8" x14ac:dyDescent="0.2">
      <c r="A336" s="7"/>
      <c r="B336" s="1407" t="str">
        <f t="shared" si="5"/>
        <v>Tacito Belfort de Moura</v>
      </c>
      <c r="C336" s="1402" t="s">
        <v>13690</v>
      </c>
      <c r="D336" s="1403" t="s">
        <v>13691</v>
      </c>
      <c r="E336" s="1404" t="s">
        <v>13692</v>
      </c>
      <c r="F336" s="1405" t="s">
        <v>5299</v>
      </c>
      <c r="G336" s="1403" t="s">
        <v>14367</v>
      </c>
      <c r="H336" s="1406" t="s">
        <v>994</v>
      </c>
    </row>
    <row r="337" spans="1:8" x14ac:dyDescent="0.2">
      <c r="A337" s="7"/>
      <c r="B337" s="1407" t="str">
        <f t="shared" si="5"/>
        <v>Vlademir Betaressi</v>
      </c>
      <c r="C337" s="1402" t="s">
        <v>5797</v>
      </c>
      <c r="D337" s="1403" t="s">
        <v>6895</v>
      </c>
      <c r="E337" s="1404" t="s">
        <v>4197</v>
      </c>
      <c r="F337" s="1405" t="s">
        <v>5299</v>
      </c>
      <c r="G337" s="1403" t="s">
        <v>14359</v>
      </c>
      <c r="H337" s="1406" t="s">
        <v>994</v>
      </c>
    </row>
    <row r="338" spans="1:8" x14ac:dyDescent="0.2">
      <c r="A338" s="7"/>
      <c r="B338" s="1407" t="str">
        <f t="shared" si="5"/>
        <v>Éder Sergio Bezerra de Souza</v>
      </c>
      <c r="C338" s="1402" t="s">
        <v>13732</v>
      </c>
      <c r="D338" s="1403" t="s">
        <v>13733</v>
      </c>
      <c r="E338" s="1404" t="s">
        <v>13734</v>
      </c>
      <c r="F338" s="1405" t="s">
        <v>5300</v>
      </c>
      <c r="G338" s="1403" t="s">
        <v>14359</v>
      </c>
      <c r="H338" s="1406" t="s">
        <v>994</v>
      </c>
    </row>
    <row r="339" spans="1:8" x14ac:dyDescent="0.2">
      <c r="A339" s="7"/>
      <c r="B339" s="1407" t="str">
        <f t="shared" si="5"/>
        <v>Fabio Borges</v>
      </c>
      <c r="C339" s="1402" t="s">
        <v>5765</v>
      </c>
      <c r="D339" s="1403" t="s">
        <v>3133</v>
      </c>
      <c r="E339" s="1404" t="s">
        <v>4164</v>
      </c>
      <c r="F339" s="1405" t="s">
        <v>5299</v>
      </c>
      <c r="G339" s="1403" t="s">
        <v>14359</v>
      </c>
      <c r="H339" s="1406" t="s">
        <v>994</v>
      </c>
    </row>
    <row r="340" spans="1:8" x14ac:dyDescent="0.2">
      <c r="A340" s="7"/>
      <c r="B340" s="1407" t="str">
        <f t="shared" si="5"/>
        <v>Eduardo Canocchiari</v>
      </c>
      <c r="C340" s="1402" t="s">
        <v>5787</v>
      </c>
      <c r="D340" s="1403" t="s">
        <v>3711</v>
      </c>
      <c r="E340" s="1404" t="s">
        <v>4184</v>
      </c>
      <c r="F340" s="1405" t="s">
        <v>5299</v>
      </c>
      <c r="G340" s="1403" t="s">
        <v>14359</v>
      </c>
      <c r="H340" s="1406" t="s">
        <v>994</v>
      </c>
    </row>
    <row r="341" spans="1:8" x14ac:dyDescent="0.2">
      <c r="A341" s="7"/>
      <c r="B341" s="1407" t="str">
        <f t="shared" si="5"/>
        <v>Halisson Carneiro da Siva</v>
      </c>
      <c r="C341" s="1402" t="s">
        <v>13707</v>
      </c>
      <c r="D341" s="1403" t="s">
        <v>13708</v>
      </c>
      <c r="E341" s="1404" t="s">
        <v>13709</v>
      </c>
      <c r="F341" s="1405" t="s">
        <v>5300</v>
      </c>
      <c r="G341" s="1403" t="s">
        <v>14363</v>
      </c>
      <c r="H341" s="1406" t="s">
        <v>994</v>
      </c>
    </row>
    <row r="342" spans="1:8" x14ac:dyDescent="0.2">
      <c r="A342" s="7"/>
      <c r="B342" s="1407" t="str">
        <f t="shared" si="5"/>
        <v>Renato César Carneiro dos Santos</v>
      </c>
      <c r="C342" s="1402" t="s">
        <v>15323</v>
      </c>
      <c r="D342" s="1403" t="s">
        <v>15324</v>
      </c>
      <c r="E342" s="1404" t="s">
        <v>15325</v>
      </c>
      <c r="F342" s="1405" t="s">
        <v>5300</v>
      </c>
      <c r="G342" s="1403" t="s">
        <v>14359</v>
      </c>
      <c r="H342" s="1406" t="s">
        <v>994</v>
      </c>
    </row>
    <row r="343" spans="1:8" x14ac:dyDescent="0.2">
      <c r="A343" s="7"/>
      <c r="B343" s="1407" t="str">
        <f t="shared" si="5"/>
        <v>Luiz Carvalho</v>
      </c>
      <c r="C343" s="1402" t="s">
        <v>6739</v>
      </c>
      <c r="D343" s="1403" t="s">
        <v>6890</v>
      </c>
      <c r="E343" s="1404" t="s">
        <v>9848</v>
      </c>
      <c r="F343" s="1405" t="s">
        <v>5299</v>
      </c>
      <c r="G343" s="1403" t="s">
        <v>9851</v>
      </c>
      <c r="H343" s="1406" t="s">
        <v>994</v>
      </c>
    </row>
    <row r="344" spans="1:8" x14ac:dyDescent="0.2">
      <c r="A344" s="7"/>
      <c r="B344" s="1407" t="str">
        <f t="shared" si="5"/>
        <v>Thiago Dias Cassis</v>
      </c>
      <c r="C344" s="1402" t="s">
        <v>11353</v>
      </c>
      <c r="D344" s="1403" t="s">
        <v>11371</v>
      </c>
      <c r="E344" s="1404" t="s">
        <v>11384</v>
      </c>
      <c r="F344" s="1405" t="s">
        <v>5299</v>
      </c>
      <c r="G344" s="1403" t="s">
        <v>14359</v>
      </c>
      <c r="H344" s="1406" t="s">
        <v>994</v>
      </c>
    </row>
    <row r="345" spans="1:8" x14ac:dyDescent="0.2">
      <c r="A345" s="7"/>
      <c r="B345" s="1407" t="str">
        <f t="shared" si="5"/>
        <v>Flavio Celandroni</v>
      </c>
      <c r="C345" s="1402" t="s">
        <v>5782</v>
      </c>
      <c r="D345" s="1403" t="s">
        <v>3201</v>
      </c>
      <c r="E345" s="1404" t="s">
        <v>4189</v>
      </c>
      <c r="F345" s="1405" t="s">
        <v>5300</v>
      </c>
      <c r="G345" s="1403" t="s">
        <v>14362</v>
      </c>
      <c r="H345" s="1406" t="s">
        <v>994</v>
      </c>
    </row>
    <row r="346" spans="1:8" x14ac:dyDescent="0.2">
      <c r="A346" s="7"/>
      <c r="B346" s="1407" t="str">
        <f t="shared" si="5"/>
        <v>Abel Cepa</v>
      </c>
      <c r="C346" s="1402" t="s">
        <v>8779</v>
      </c>
      <c r="D346" s="1403" t="s">
        <v>3573</v>
      </c>
      <c r="E346" s="1404" t="s">
        <v>7497</v>
      </c>
      <c r="F346" s="1405" t="s">
        <v>5299</v>
      </c>
      <c r="G346" s="1403" t="s">
        <v>7265</v>
      </c>
      <c r="H346" s="1406" t="s">
        <v>994</v>
      </c>
    </row>
    <row r="347" spans="1:8" x14ac:dyDescent="0.2">
      <c r="A347" s="7"/>
      <c r="B347" s="1407" t="str">
        <f t="shared" si="5"/>
        <v>Jeferson Cincotto</v>
      </c>
      <c r="C347" s="1402" t="s">
        <v>5793</v>
      </c>
      <c r="D347" s="1403" t="s">
        <v>6894</v>
      </c>
      <c r="E347" s="1404" t="s">
        <v>4192</v>
      </c>
      <c r="F347" s="1405" t="s">
        <v>5300</v>
      </c>
      <c r="G347" s="1403" t="s">
        <v>14362</v>
      </c>
      <c r="H347" s="1406" t="s">
        <v>994</v>
      </c>
    </row>
    <row r="348" spans="1:8" x14ac:dyDescent="0.2">
      <c r="A348" s="7"/>
      <c r="B348" s="1407" t="str">
        <f t="shared" si="5"/>
        <v>Marcus Constantino</v>
      </c>
      <c r="C348" s="1402" t="s">
        <v>5829</v>
      </c>
      <c r="D348" s="1403" t="s">
        <v>3056</v>
      </c>
      <c r="E348" s="1404" t="s">
        <v>7061</v>
      </c>
      <c r="F348" s="1405" t="s">
        <v>5299</v>
      </c>
      <c r="G348" s="1403" t="s">
        <v>7265</v>
      </c>
      <c r="H348" s="1406" t="s">
        <v>994</v>
      </c>
    </row>
    <row r="349" spans="1:8" x14ac:dyDescent="0.2">
      <c r="A349" s="7"/>
      <c r="B349" s="1407" t="str">
        <f t="shared" si="5"/>
        <v>Silvio Alexandre Corujeira</v>
      </c>
      <c r="C349" s="1402" t="s">
        <v>13701</v>
      </c>
      <c r="D349" s="1403" t="s">
        <v>13702</v>
      </c>
      <c r="E349" s="1404" t="s">
        <v>13703</v>
      </c>
      <c r="F349" s="1405" t="s">
        <v>5300</v>
      </c>
      <c r="G349" s="1403" t="s">
        <v>9851</v>
      </c>
      <c r="H349" s="1406" t="s">
        <v>994</v>
      </c>
    </row>
    <row r="350" spans="1:8" x14ac:dyDescent="0.2">
      <c r="A350" s="7"/>
      <c r="B350" s="1407" t="str">
        <f t="shared" si="5"/>
        <v>Eduardo Costa</v>
      </c>
      <c r="C350" s="1402" t="s">
        <v>5824</v>
      </c>
      <c r="D350" s="1403" t="s">
        <v>3711</v>
      </c>
      <c r="E350" s="1404" t="s">
        <v>7175</v>
      </c>
      <c r="F350" s="1405" t="s">
        <v>5299</v>
      </c>
      <c r="G350" s="1403" t="s">
        <v>7265</v>
      </c>
      <c r="H350" s="1406" t="s">
        <v>994</v>
      </c>
    </row>
    <row r="351" spans="1:8" x14ac:dyDescent="0.2">
      <c r="A351" s="7"/>
      <c r="B351" s="1407" t="str">
        <f t="shared" si="5"/>
        <v>Paolo Costa</v>
      </c>
      <c r="C351" s="1402" t="s">
        <v>5824</v>
      </c>
      <c r="D351" s="1403" t="s">
        <v>3119</v>
      </c>
      <c r="E351" s="1404" t="s">
        <v>4228</v>
      </c>
      <c r="F351" s="1405" t="s">
        <v>5299</v>
      </c>
      <c r="G351" s="1403" t="s">
        <v>14360</v>
      </c>
      <c r="H351" s="1406" t="s">
        <v>994</v>
      </c>
    </row>
    <row r="352" spans="1:8" x14ac:dyDescent="0.2">
      <c r="A352" s="7"/>
      <c r="B352" s="1407" t="str">
        <f t="shared" si="5"/>
        <v>Paulo Costa Filho</v>
      </c>
      <c r="C352" s="1402" t="s">
        <v>8780</v>
      </c>
      <c r="D352" s="1403" t="s">
        <v>3246</v>
      </c>
      <c r="E352" s="1404" t="s">
        <v>8812</v>
      </c>
      <c r="F352" s="1405" t="s">
        <v>5299</v>
      </c>
      <c r="G352" s="1403" t="s">
        <v>7265</v>
      </c>
      <c r="H352" s="1406" t="s">
        <v>994</v>
      </c>
    </row>
    <row r="353" spans="1:8" x14ac:dyDescent="0.2">
      <c r="A353" s="7"/>
      <c r="B353" s="1407" t="str">
        <f t="shared" si="5"/>
        <v>Emanoel José Costa Júnior</v>
      </c>
      <c r="C353" s="1402" t="s">
        <v>11352</v>
      </c>
      <c r="D353" s="1403" t="s">
        <v>11370</v>
      </c>
      <c r="E353" s="1404" t="s">
        <v>11383</v>
      </c>
      <c r="F353" s="1405" t="s">
        <v>5299</v>
      </c>
      <c r="G353" s="1403" t="s">
        <v>14359</v>
      </c>
      <c r="H353" s="1406" t="s">
        <v>994</v>
      </c>
    </row>
    <row r="354" spans="1:8" x14ac:dyDescent="0.2">
      <c r="A354" s="7"/>
      <c r="B354" s="1407" t="str">
        <f t="shared" si="5"/>
        <v>Bruno Coutinho</v>
      </c>
      <c r="C354" s="1402" t="s">
        <v>5762</v>
      </c>
      <c r="D354" s="1403" t="s">
        <v>3168</v>
      </c>
      <c r="E354" s="1404" t="s">
        <v>8810</v>
      </c>
      <c r="F354" s="1405" t="s">
        <v>5299</v>
      </c>
      <c r="G354" s="1403" t="s">
        <v>14358</v>
      </c>
      <c r="H354" s="1406" t="s">
        <v>994</v>
      </c>
    </row>
    <row r="355" spans="1:8" x14ac:dyDescent="0.2">
      <c r="A355" s="7"/>
      <c r="B355" s="1407" t="str">
        <f t="shared" si="5"/>
        <v>Daniel Coutinho</v>
      </c>
      <c r="C355" s="1402" t="s">
        <v>5762</v>
      </c>
      <c r="D355" s="1403" t="s">
        <v>3243</v>
      </c>
      <c r="E355" s="1404" t="s">
        <v>8811</v>
      </c>
      <c r="F355" s="1405" t="s">
        <v>5299</v>
      </c>
      <c r="G355" s="1403" t="s">
        <v>14358</v>
      </c>
      <c r="H355" s="1406" t="s">
        <v>994</v>
      </c>
    </row>
    <row r="356" spans="1:8" x14ac:dyDescent="0.2">
      <c r="A356" s="7"/>
      <c r="B356" s="1407" t="str">
        <f t="shared" si="5"/>
        <v>Marcelo Coutinho</v>
      </c>
      <c r="C356" s="1402" t="s">
        <v>5762</v>
      </c>
      <c r="D356" s="1403" t="s">
        <v>5513</v>
      </c>
      <c r="E356" s="1404" t="s">
        <v>4160</v>
      </c>
      <c r="F356" s="1405" t="s">
        <v>5300</v>
      </c>
      <c r="G356" s="1403" t="s">
        <v>14358</v>
      </c>
      <c r="H356" s="1406" t="s">
        <v>994</v>
      </c>
    </row>
    <row r="357" spans="1:8" x14ac:dyDescent="0.2">
      <c r="A357" s="7"/>
      <c r="B357" s="1407" t="str">
        <f t="shared" si="5"/>
        <v>Breno Couto</v>
      </c>
      <c r="C357" s="1402" t="s">
        <v>8781</v>
      </c>
      <c r="D357" s="1403" t="s">
        <v>10053</v>
      </c>
      <c r="E357" s="1404" t="s">
        <v>10081</v>
      </c>
      <c r="F357" s="1405" t="s">
        <v>13210</v>
      </c>
      <c r="G357" s="1403" t="s">
        <v>7265</v>
      </c>
      <c r="H357" s="1406" t="s">
        <v>994</v>
      </c>
    </row>
    <row r="358" spans="1:8" x14ac:dyDescent="0.2">
      <c r="A358" s="7"/>
      <c r="B358" s="1407" t="str">
        <f t="shared" si="5"/>
        <v>Lauro Couto</v>
      </c>
      <c r="C358" s="1402" t="s">
        <v>8781</v>
      </c>
      <c r="D358" s="1403" t="s">
        <v>8747</v>
      </c>
      <c r="E358" s="1404" t="s">
        <v>8814</v>
      </c>
      <c r="F358" s="1405" t="s">
        <v>5299</v>
      </c>
      <c r="G358" s="1403" t="s">
        <v>7265</v>
      </c>
      <c r="H358" s="1406" t="s">
        <v>994</v>
      </c>
    </row>
    <row r="359" spans="1:8" x14ac:dyDescent="0.2">
      <c r="A359" s="7"/>
      <c r="B359" s="1407" t="str">
        <f t="shared" si="5"/>
        <v>Artur Crepaldi</v>
      </c>
      <c r="C359" s="1402" t="s">
        <v>5817</v>
      </c>
      <c r="D359" s="1403" t="s">
        <v>6905</v>
      </c>
      <c r="E359" s="1404" t="s">
        <v>4221</v>
      </c>
      <c r="F359" s="1405" t="s">
        <v>5299</v>
      </c>
      <c r="G359" s="1403" t="s">
        <v>14361</v>
      </c>
      <c r="H359" s="1406" t="s">
        <v>994</v>
      </c>
    </row>
    <row r="360" spans="1:8" x14ac:dyDescent="0.2">
      <c r="A360" s="7"/>
      <c r="B360" s="1407" t="str">
        <f t="shared" si="5"/>
        <v>Marcos Moysés da Cunha</v>
      </c>
      <c r="C360" s="1402" t="s">
        <v>13710</v>
      </c>
      <c r="D360" s="1403" t="s">
        <v>13711</v>
      </c>
      <c r="E360" s="1404" t="s">
        <v>13712</v>
      </c>
      <c r="F360" s="1405" t="s">
        <v>5300</v>
      </c>
      <c r="G360" s="1403" t="s">
        <v>14363</v>
      </c>
      <c r="H360" s="1406" t="s">
        <v>994</v>
      </c>
    </row>
    <row r="361" spans="1:8" x14ac:dyDescent="0.2">
      <c r="A361" s="7"/>
      <c r="B361" s="1407" t="str">
        <f t="shared" si="5"/>
        <v>Alex da Silva</v>
      </c>
      <c r="C361" s="1402" t="s">
        <v>5784</v>
      </c>
      <c r="D361" s="1403" t="s">
        <v>3130</v>
      </c>
      <c r="E361" s="1404" t="s">
        <v>4181</v>
      </c>
      <c r="F361" s="1405" t="s">
        <v>5300</v>
      </c>
      <c r="G361" s="1403" t="s">
        <v>14362</v>
      </c>
      <c r="H361" s="1406" t="s">
        <v>994</v>
      </c>
    </row>
    <row r="362" spans="1:8" x14ac:dyDescent="0.2">
      <c r="A362" s="7"/>
      <c r="B362" s="1407" t="str">
        <f t="shared" si="5"/>
        <v>Wellington da Silva</v>
      </c>
      <c r="C362" s="1402" t="s">
        <v>5784</v>
      </c>
      <c r="D362" s="1403" t="s">
        <v>6902</v>
      </c>
      <c r="E362" s="1404" t="s">
        <v>4214</v>
      </c>
      <c r="F362" s="1405" t="s">
        <v>5299</v>
      </c>
      <c r="G362" s="1403" t="s">
        <v>14359</v>
      </c>
      <c r="H362" s="1406" t="s">
        <v>994</v>
      </c>
    </row>
    <row r="363" spans="1:8" x14ac:dyDescent="0.2">
      <c r="A363" s="7"/>
      <c r="B363" s="1407" t="str">
        <f t="shared" si="5"/>
        <v>João Paulo da Silva Barbosa</v>
      </c>
      <c r="C363" s="1402" t="s">
        <v>13680</v>
      </c>
      <c r="D363" s="1403" t="s">
        <v>8313</v>
      </c>
      <c r="E363" s="1404" t="s">
        <v>13681</v>
      </c>
      <c r="F363" s="1405" t="s">
        <v>5299</v>
      </c>
      <c r="G363" s="1403" t="s">
        <v>14364</v>
      </c>
      <c r="H363" s="1406" t="s">
        <v>994</v>
      </c>
    </row>
    <row r="364" spans="1:8" x14ac:dyDescent="0.2">
      <c r="A364" s="7"/>
      <c r="B364" s="1407" t="str">
        <f t="shared" si="5"/>
        <v>Roberto Dalcin</v>
      </c>
      <c r="C364" s="1402" t="s">
        <v>15411</v>
      </c>
      <c r="D364" s="1403" t="s">
        <v>3279</v>
      </c>
      <c r="E364" s="1404" t="s">
        <v>15412</v>
      </c>
      <c r="F364" s="1405" t="s">
        <v>5299</v>
      </c>
      <c r="G364" s="1403" t="s">
        <v>14359</v>
      </c>
      <c r="H364" s="1406" t="s">
        <v>994</v>
      </c>
    </row>
    <row r="365" spans="1:8" x14ac:dyDescent="0.2">
      <c r="A365" s="7"/>
      <c r="B365" s="1407" t="str">
        <f t="shared" si="5"/>
        <v>Gilson de Carvalho</v>
      </c>
      <c r="C365" s="1402" t="s">
        <v>5807</v>
      </c>
      <c r="D365" s="1403" t="s">
        <v>6899</v>
      </c>
      <c r="E365" s="1404" t="s">
        <v>4208</v>
      </c>
      <c r="F365" s="1405" t="s">
        <v>5300</v>
      </c>
      <c r="G365" s="1403" t="s">
        <v>14359</v>
      </c>
      <c r="H365" s="1406" t="s">
        <v>994</v>
      </c>
    </row>
    <row r="366" spans="1:8" x14ac:dyDescent="0.2">
      <c r="A366" s="7"/>
      <c r="B366" s="1407" t="str">
        <f t="shared" si="5"/>
        <v>Daniel de Matos</v>
      </c>
      <c r="C366" s="1402" t="s">
        <v>11348</v>
      </c>
      <c r="D366" s="1403" t="s">
        <v>3243</v>
      </c>
      <c r="E366" s="1404" t="s">
        <v>4231</v>
      </c>
      <c r="F366" s="1405" t="s">
        <v>5299</v>
      </c>
      <c r="G366" s="1403" t="s">
        <v>7265</v>
      </c>
      <c r="H366" s="1406" t="s">
        <v>994</v>
      </c>
    </row>
    <row r="367" spans="1:8" x14ac:dyDescent="0.2">
      <c r="A367" s="7"/>
      <c r="B367" s="1407" t="str">
        <f t="shared" si="5"/>
        <v>Sidney de Souza</v>
      </c>
      <c r="C367" s="1402" t="s">
        <v>5818</v>
      </c>
      <c r="D367" s="1403" t="s">
        <v>6906</v>
      </c>
      <c r="E367" s="1404" t="s">
        <v>4222</v>
      </c>
      <c r="F367" s="1405" t="s">
        <v>5299</v>
      </c>
      <c r="G367" s="1403" t="s">
        <v>14360</v>
      </c>
      <c r="H367" s="1406" t="s">
        <v>994</v>
      </c>
    </row>
    <row r="368" spans="1:8" x14ac:dyDescent="0.2">
      <c r="A368" s="7"/>
      <c r="B368" s="1407" t="str">
        <f t="shared" si="5"/>
        <v>Marcos Dominos</v>
      </c>
      <c r="C368" s="1402" t="s">
        <v>5808</v>
      </c>
      <c r="D368" s="1403" t="s">
        <v>3112</v>
      </c>
      <c r="E368" s="1404" t="s">
        <v>4209</v>
      </c>
      <c r="F368" s="1405" t="s">
        <v>5300</v>
      </c>
      <c r="G368" s="1403" t="s">
        <v>14359</v>
      </c>
      <c r="H368" s="1406" t="s">
        <v>994</v>
      </c>
    </row>
    <row r="369" spans="1:8" x14ac:dyDescent="0.2">
      <c r="A369" s="7"/>
      <c r="B369" s="1407" t="str">
        <f t="shared" si="5"/>
        <v>Norberto Donizeti Bergamini</v>
      </c>
      <c r="C369" s="1402" t="s">
        <v>13705</v>
      </c>
      <c r="D369" s="1403" t="s">
        <v>3386</v>
      </c>
      <c r="E369" s="1404" t="s">
        <v>13706</v>
      </c>
      <c r="F369" s="1405" t="s">
        <v>5300</v>
      </c>
      <c r="G369" s="1403" t="s">
        <v>14359</v>
      </c>
      <c r="H369" s="1406" t="s">
        <v>994</v>
      </c>
    </row>
    <row r="370" spans="1:8" x14ac:dyDescent="0.2">
      <c r="A370" s="7"/>
      <c r="B370" s="1407" t="str">
        <f t="shared" si="5"/>
        <v>Antonio Carlos dos Santos</v>
      </c>
      <c r="C370" s="1402" t="s">
        <v>11354</v>
      </c>
      <c r="D370" s="1403" t="s">
        <v>11372</v>
      </c>
      <c r="E370" s="1404" t="s">
        <v>11385</v>
      </c>
      <c r="F370" s="1405" t="s">
        <v>5300</v>
      </c>
      <c r="G370" s="1403" t="s">
        <v>9851</v>
      </c>
      <c r="H370" s="1406" t="s">
        <v>994</v>
      </c>
    </row>
    <row r="371" spans="1:8" x14ac:dyDescent="0.2">
      <c r="A371" s="7"/>
      <c r="B371" s="1407" t="str">
        <f t="shared" si="5"/>
        <v>Maurício dos Santos Matos</v>
      </c>
      <c r="C371" s="1402" t="s">
        <v>13725</v>
      </c>
      <c r="D371" s="1403" t="s">
        <v>13726</v>
      </c>
      <c r="E371" s="1404" t="s">
        <v>13727</v>
      </c>
      <c r="F371" s="1405" t="s">
        <v>5300</v>
      </c>
      <c r="G371" s="1403" t="s">
        <v>14359</v>
      </c>
      <c r="H371" s="1406" t="s">
        <v>994</v>
      </c>
    </row>
    <row r="372" spans="1:8" x14ac:dyDescent="0.2">
      <c r="A372" s="7"/>
      <c r="B372" s="1407" t="str">
        <f t="shared" si="5"/>
        <v>Antonio Carlos Efangelo Júnior</v>
      </c>
      <c r="C372" s="1402" t="s">
        <v>13730</v>
      </c>
      <c r="D372" s="1403" t="s">
        <v>11372</v>
      </c>
      <c r="E372" s="1404" t="s">
        <v>13731</v>
      </c>
      <c r="F372" s="1405" t="s">
        <v>5299</v>
      </c>
      <c r="G372" s="1403" t="s">
        <v>13523</v>
      </c>
      <c r="H372" s="1406" t="s">
        <v>994</v>
      </c>
    </row>
    <row r="373" spans="1:8" x14ac:dyDescent="0.2">
      <c r="A373" s="7"/>
      <c r="B373" s="1407" t="str">
        <f t="shared" si="5"/>
        <v>Marcio Eglit</v>
      </c>
      <c r="C373" s="1402" t="s">
        <v>5810</v>
      </c>
      <c r="D373" s="1403" t="s">
        <v>6897</v>
      </c>
      <c r="E373" s="1404" t="s">
        <v>4211</v>
      </c>
      <c r="F373" s="1405" t="s">
        <v>5300</v>
      </c>
      <c r="G373" s="1403" t="s">
        <v>14359</v>
      </c>
      <c r="H373" s="1406" t="s">
        <v>994</v>
      </c>
    </row>
    <row r="374" spans="1:8" x14ac:dyDescent="0.2">
      <c r="A374" s="7"/>
      <c r="B374" s="1407" t="str">
        <f t="shared" si="5"/>
        <v>Fred Elesbao</v>
      </c>
      <c r="C374" s="1402" t="s">
        <v>11359</v>
      </c>
      <c r="D374" s="1403" t="s">
        <v>3317</v>
      </c>
      <c r="E374" s="1404" t="s">
        <v>16920</v>
      </c>
      <c r="F374" s="1405" t="s">
        <v>5299</v>
      </c>
      <c r="G374" s="1403" t="s">
        <v>11409</v>
      </c>
      <c r="H374" s="1406" t="s">
        <v>994</v>
      </c>
    </row>
    <row r="375" spans="1:8" x14ac:dyDescent="0.2">
      <c r="A375" s="7"/>
      <c r="B375" s="1407" t="str">
        <f t="shared" si="5"/>
        <v>José Farah</v>
      </c>
      <c r="C375" s="1402" t="s">
        <v>5779</v>
      </c>
      <c r="D375" s="1403" t="s">
        <v>3232</v>
      </c>
      <c r="E375" s="1404" t="s">
        <v>4177</v>
      </c>
      <c r="F375" s="1405" t="s">
        <v>5300</v>
      </c>
      <c r="G375" s="1403" t="s">
        <v>14362</v>
      </c>
      <c r="H375" s="1406" t="s">
        <v>994</v>
      </c>
    </row>
    <row r="376" spans="1:8" x14ac:dyDescent="0.2">
      <c r="A376" s="7"/>
      <c r="B376" s="1407" t="str">
        <f t="shared" si="5"/>
        <v>Ernandes Felicio</v>
      </c>
      <c r="C376" s="1402" t="s">
        <v>5820</v>
      </c>
      <c r="D376" s="1403" t="s">
        <v>6908</v>
      </c>
      <c r="E376" s="1404" t="s">
        <v>4224</v>
      </c>
      <c r="F376" s="1405" t="s">
        <v>5299</v>
      </c>
      <c r="G376" s="1403" t="s">
        <v>14360</v>
      </c>
      <c r="H376" s="1406" t="s">
        <v>994</v>
      </c>
    </row>
    <row r="377" spans="1:8" x14ac:dyDescent="0.2">
      <c r="A377" s="7"/>
      <c r="B377" s="1407" t="str">
        <f t="shared" si="5"/>
        <v>Macio Fernando Pacheco</v>
      </c>
      <c r="C377" s="1402" t="s">
        <v>13685</v>
      </c>
      <c r="D377" s="1403" t="s">
        <v>13686</v>
      </c>
      <c r="E377" s="1404" t="s">
        <v>13687</v>
      </c>
      <c r="F377" s="1405" t="s">
        <v>5300</v>
      </c>
      <c r="G377" s="1403" t="s">
        <v>14365</v>
      </c>
      <c r="H377" s="1406" t="s">
        <v>994</v>
      </c>
    </row>
    <row r="378" spans="1:8" x14ac:dyDescent="0.2">
      <c r="A378" s="7"/>
      <c r="B378" s="1407" t="str">
        <f t="shared" si="5"/>
        <v>Roger Ferracin de Oliveira</v>
      </c>
      <c r="C378" s="1402" t="s">
        <v>13720</v>
      </c>
      <c r="D378" s="1403" t="s">
        <v>3323</v>
      </c>
      <c r="E378" s="1404" t="s">
        <v>13721</v>
      </c>
      <c r="F378" s="1405" t="s">
        <v>5299</v>
      </c>
      <c r="G378" s="1403" t="s">
        <v>13525</v>
      </c>
      <c r="H378" s="1406" t="s">
        <v>994</v>
      </c>
    </row>
    <row r="379" spans="1:8" x14ac:dyDescent="0.2">
      <c r="A379" s="7"/>
      <c r="B379" s="1407" t="str">
        <f t="shared" si="5"/>
        <v>Ailton Ferreira</v>
      </c>
      <c r="C379" s="1402" t="s">
        <v>5772</v>
      </c>
      <c r="D379" s="1403" t="s">
        <v>5618</v>
      </c>
      <c r="E379" s="1404" t="s">
        <v>4171</v>
      </c>
      <c r="F379" s="1405" t="s">
        <v>5300</v>
      </c>
      <c r="G379" s="1403" t="s">
        <v>13525</v>
      </c>
      <c r="H379" s="1406" t="s">
        <v>994</v>
      </c>
    </row>
    <row r="380" spans="1:8" x14ac:dyDescent="0.2">
      <c r="A380" s="7"/>
      <c r="B380" s="1407" t="str">
        <f t="shared" si="5"/>
        <v>Fernando Ferreira</v>
      </c>
      <c r="C380" s="1402" t="s">
        <v>5772</v>
      </c>
      <c r="D380" s="1403" t="s">
        <v>3292</v>
      </c>
      <c r="E380" s="1404" t="s">
        <v>8815</v>
      </c>
      <c r="F380" s="1405" t="s">
        <v>5299</v>
      </c>
      <c r="G380" s="1403" t="s">
        <v>7265</v>
      </c>
      <c r="H380" s="1406" t="s">
        <v>994</v>
      </c>
    </row>
    <row r="381" spans="1:8" x14ac:dyDescent="0.2">
      <c r="A381" s="7"/>
      <c r="B381" s="1407" t="str">
        <f t="shared" si="5"/>
        <v>Frederico Fleury</v>
      </c>
      <c r="C381" s="1402" t="s">
        <v>5798</v>
      </c>
      <c r="D381" s="1403" t="s">
        <v>6896</v>
      </c>
      <c r="E381" s="1404" t="s">
        <v>4198</v>
      </c>
      <c r="F381" s="1405" t="s">
        <v>5299</v>
      </c>
      <c r="G381" s="1403" t="s">
        <v>14359</v>
      </c>
      <c r="H381" s="1406" t="s">
        <v>994</v>
      </c>
    </row>
    <row r="382" spans="1:8" x14ac:dyDescent="0.2">
      <c r="A382" s="7"/>
      <c r="B382" s="1407" t="str">
        <f t="shared" si="5"/>
        <v>Sérgio Franco</v>
      </c>
      <c r="C382" s="1402" t="s">
        <v>5778</v>
      </c>
      <c r="D382" s="1403" t="s">
        <v>3047</v>
      </c>
      <c r="E382" s="1404" t="s">
        <v>4193</v>
      </c>
      <c r="F382" s="1405" t="s">
        <v>5299</v>
      </c>
      <c r="G382" s="1403" t="s">
        <v>14359</v>
      </c>
      <c r="H382" s="1406" t="s">
        <v>994</v>
      </c>
    </row>
    <row r="383" spans="1:8" x14ac:dyDescent="0.2">
      <c r="A383" s="7"/>
      <c r="B383" s="1407" t="str">
        <f t="shared" si="5"/>
        <v>Fabio Freitas</v>
      </c>
      <c r="C383" s="1402" t="s">
        <v>5816</v>
      </c>
      <c r="D383" s="1403" t="s">
        <v>3133</v>
      </c>
      <c r="E383" s="1404" t="s">
        <v>4220</v>
      </c>
      <c r="F383" s="1405" t="s">
        <v>5299</v>
      </c>
      <c r="G383" s="1403" t="s">
        <v>14360</v>
      </c>
      <c r="H383" s="1406" t="s">
        <v>994</v>
      </c>
    </row>
    <row r="384" spans="1:8" x14ac:dyDescent="0.2">
      <c r="A384" s="7"/>
      <c r="B384" s="1407" t="str">
        <f t="shared" si="5"/>
        <v>Bruno Fujisão</v>
      </c>
      <c r="C384" s="1402" t="s">
        <v>15573</v>
      </c>
      <c r="D384" s="1403" t="s">
        <v>3168</v>
      </c>
      <c r="E384" s="1404" t="s">
        <v>15574</v>
      </c>
      <c r="F384" s="1405" t="s">
        <v>5299</v>
      </c>
      <c r="G384" s="1403" t="s">
        <v>14359</v>
      </c>
      <c r="H384" s="1406" t="s">
        <v>994</v>
      </c>
    </row>
    <row r="385" spans="1:8" x14ac:dyDescent="0.2">
      <c r="A385" s="7"/>
      <c r="B385" s="1407" t="str">
        <f t="shared" si="5"/>
        <v>Rafael Gaba</v>
      </c>
      <c r="C385" s="1402" t="s">
        <v>13728</v>
      </c>
      <c r="D385" s="1403" t="s">
        <v>9410</v>
      </c>
      <c r="E385" s="1404" t="s">
        <v>13729</v>
      </c>
      <c r="F385" s="1405" t="s">
        <v>5299</v>
      </c>
      <c r="G385" s="1403" t="s">
        <v>13523</v>
      </c>
      <c r="H385" s="1406" t="s">
        <v>994</v>
      </c>
    </row>
    <row r="386" spans="1:8" x14ac:dyDescent="0.2">
      <c r="A386" s="7"/>
      <c r="B386" s="1407" t="str">
        <f t="shared" si="5"/>
        <v>Ednilson Gaffo</v>
      </c>
      <c r="C386" s="1402" t="s">
        <v>5774</v>
      </c>
      <c r="D386" s="1403" t="s">
        <v>5593</v>
      </c>
      <c r="E386" s="1404" t="s">
        <v>4172</v>
      </c>
      <c r="F386" s="1405" t="s">
        <v>5299</v>
      </c>
      <c r="G386" s="1403" t="s">
        <v>14361</v>
      </c>
      <c r="H386" s="1406" t="s">
        <v>994</v>
      </c>
    </row>
    <row r="387" spans="1:8" x14ac:dyDescent="0.2">
      <c r="A387" s="7"/>
      <c r="B387" s="1407" t="str">
        <f t="shared" si="5"/>
        <v>Marco Antonio Galindo Perez</v>
      </c>
      <c r="C387" s="1402" t="s">
        <v>8012</v>
      </c>
      <c r="D387" s="1403" t="s">
        <v>8230</v>
      </c>
      <c r="E387" s="1404" t="s">
        <v>13665</v>
      </c>
      <c r="F387" s="1405" t="s">
        <v>5300</v>
      </c>
      <c r="G387" s="1403" t="s">
        <v>14359</v>
      </c>
      <c r="H387" s="1406" t="s">
        <v>994</v>
      </c>
    </row>
    <row r="388" spans="1:8" x14ac:dyDescent="0.2">
      <c r="A388" s="7"/>
      <c r="B388" s="1407" t="str">
        <f t="shared" si="5"/>
        <v>João Garcia</v>
      </c>
      <c r="C388" s="1402" t="s">
        <v>5805</v>
      </c>
      <c r="D388" s="1403" t="s">
        <v>3427</v>
      </c>
      <c r="E388" s="1404" t="s">
        <v>4206</v>
      </c>
      <c r="F388" s="1405" t="s">
        <v>5299</v>
      </c>
      <c r="G388" s="1403" t="s">
        <v>14359</v>
      </c>
      <c r="H388" s="1406" t="s">
        <v>994</v>
      </c>
    </row>
    <row r="389" spans="1:8" x14ac:dyDescent="0.2">
      <c r="A389" s="7"/>
      <c r="B389" s="1407" t="str">
        <f t="shared" si="5"/>
        <v>Jefferson Genta</v>
      </c>
      <c r="C389" s="1402" t="s">
        <v>5813</v>
      </c>
      <c r="D389" s="1403" t="s">
        <v>6903</v>
      </c>
      <c r="E389" s="1404" t="s">
        <v>4216</v>
      </c>
      <c r="F389" s="1405" t="s">
        <v>5300</v>
      </c>
      <c r="G389" s="1403" t="s">
        <v>14360</v>
      </c>
      <c r="H389" s="1406" t="s">
        <v>994</v>
      </c>
    </row>
    <row r="390" spans="1:8" x14ac:dyDescent="0.2">
      <c r="A390" s="7"/>
      <c r="B390" s="1407" t="str">
        <f t="shared" si="5"/>
        <v>Pedro Canali Genta</v>
      </c>
      <c r="C390" s="1402" t="s">
        <v>5813</v>
      </c>
      <c r="D390" s="1403" t="s">
        <v>11373</v>
      </c>
      <c r="E390" s="1404" t="s">
        <v>11386</v>
      </c>
      <c r="F390" s="1405" t="s">
        <v>13211</v>
      </c>
      <c r="G390" s="1403" t="s">
        <v>14360</v>
      </c>
      <c r="H390" s="1406" t="s">
        <v>994</v>
      </c>
    </row>
    <row r="391" spans="1:8" x14ac:dyDescent="0.2">
      <c r="A391" s="7"/>
      <c r="B391" s="1407" t="str">
        <f t="shared" ref="B391:B454" si="6">TRIM(CONCATENATE(D391," ",C391))</f>
        <v>Felipe Gomes</v>
      </c>
      <c r="C391" s="1402" t="s">
        <v>5777</v>
      </c>
      <c r="D391" s="1403" t="s">
        <v>3165</v>
      </c>
      <c r="E391" s="1404" t="s">
        <v>7496</v>
      </c>
      <c r="F391" s="1405" t="s">
        <v>5299</v>
      </c>
      <c r="G391" s="1403" t="s">
        <v>7265</v>
      </c>
      <c r="H391" s="1406" t="s">
        <v>994</v>
      </c>
    </row>
    <row r="392" spans="1:8" x14ac:dyDescent="0.2">
      <c r="A392" s="7"/>
      <c r="B392" s="1407" t="str">
        <f t="shared" si="6"/>
        <v>Guilherme Gomes</v>
      </c>
      <c r="C392" s="1402" t="s">
        <v>5777</v>
      </c>
      <c r="D392" s="1403" t="s">
        <v>5517</v>
      </c>
      <c r="E392" s="1404" t="s">
        <v>4176</v>
      </c>
      <c r="F392" s="1405" t="s">
        <v>5299</v>
      </c>
      <c r="G392" s="1403" t="s">
        <v>5302</v>
      </c>
      <c r="H392" s="1406" t="s">
        <v>994</v>
      </c>
    </row>
    <row r="393" spans="1:8" x14ac:dyDescent="0.2">
      <c r="A393" s="7"/>
      <c r="B393" s="1407" t="str">
        <f t="shared" si="6"/>
        <v>Weber José Gomes</v>
      </c>
      <c r="C393" s="1402" t="s">
        <v>5777</v>
      </c>
      <c r="D393" s="1403" t="s">
        <v>13668</v>
      </c>
      <c r="E393" s="1404" t="s">
        <v>13669</v>
      </c>
      <c r="F393" s="1405" t="s">
        <v>5300</v>
      </c>
      <c r="G393" s="1403" t="s">
        <v>14358</v>
      </c>
      <c r="H393" s="1406" t="s">
        <v>994</v>
      </c>
    </row>
    <row r="394" spans="1:8" x14ac:dyDescent="0.2">
      <c r="A394" s="7"/>
      <c r="B394" s="1407" t="str">
        <f t="shared" si="6"/>
        <v>Weber José Gomes Júnior</v>
      </c>
      <c r="C394" s="1402" t="s">
        <v>13675</v>
      </c>
      <c r="D394" s="1403" t="s">
        <v>13668</v>
      </c>
      <c r="E394" s="1404" t="s">
        <v>13676</v>
      </c>
      <c r="F394" s="1405" t="s">
        <v>13210</v>
      </c>
      <c r="G394" s="1403" t="s">
        <v>14358</v>
      </c>
      <c r="H394" s="1406" t="s">
        <v>994</v>
      </c>
    </row>
    <row r="395" spans="1:8" x14ac:dyDescent="0.2">
      <c r="A395" s="7"/>
      <c r="B395" s="1407" t="str">
        <f t="shared" si="6"/>
        <v>Maicon Gouvêa</v>
      </c>
      <c r="C395" s="1402" t="s">
        <v>5768</v>
      </c>
      <c r="D395" s="1403" t="s">
        <v>6884</v>
      </c>
      <c r="E395" s="1404" t="s">
        <v>4167</v>
      </c>
      <c r="F395" s="1405" t="s">
        <v>5300</v>
      </c>
      <c r="G395" s="1403" t="s">
        <v>13525</v>
      </c>
      <c r="H395" s="1406" t="s">
        <v>994</v>
      </c>
    </row>
    <row r="396" spans="1:8" x14ac:dyDescent="0.2">
      <c r="A396" s="7"/>
      <c r="B396" s="1407" t="str">
        <f t="shared" si="6"/>
        <v>Alexandre Guerra</v>
      </c>
      <c r="C396" s="1402" t="s">
        <v>5781</v>
      </c>
      <c r="D396" s="1403" t="s">
        <v>3184</v>
      </c>
      <c r="E396" s="1404" t="s">
        <v>4179</v>
      </c>
      <c r="F396" s="1405" t="s">
        <v>5300</v>
      </c>
      <c r="G396" s="1403" t="s">
        <v>5302</v>
      </c>
      <c r="H396" s="1406" t="s">
        <v>994</v>
      </c>
    </row>
    <row r="397" spans="1:8" x14ac:dyDescent="0.2">
      <c r="A397" s="7"/>
      <c r="B397" s="1407" t="str">
        <f t="shared" si="6"/>
        <v>João Lucas Heraclio Gomes Barbosa</v>
      </c>
      <c r="C397" s="1402" t="s">
        <v>13742</v>
      </c>
      <c r="D397" s="1403" t="s">
        <v>13743</v>
      </c>
      <c r="E397" s="1404" t="s">
        <v>13744</v>
      </c>
      <c r="F397" s="1405" t="s">
        <v>1563</v>
      </c>
      <c r="G397" s="1403" t="s">
        <v>14359</v>
      </c>
      <c r="H397" s="1406" t="s">
        <v>994</v>
      </c>
    </row>
    <row r="398" spans="1:8" x14ac:dyDescent="0.2">
      <c r="A398" s="7"/>
      <c r="B398" s="1407" t="str">
        <f t="shared" si="6"/>
        <v>Victor Heremann</v>
      </c>
      <c r="C398" s="1402" t="s">
        <v>5767</v>
      </c>
      <c r="D398" s="1403" t="s">
        <v>3141</v>
      </c>
      <c r="E398" s="1404" t="s">
        <v>4166</v>
      </c>
      <c r="F398" s="1405" t="s">
        <v>5299</v>
      </c>
      <c r="G398" s="1403" t="s">
        <v>14361</v>
      </c>
      <c r="H398" s="1406" t="s">
        <v>994</v>
      </c>
    </row>
    <row r="399" spans="1:8" x14ac:dyDescent="0.2">
      <c r="A399" s="7"/>
      <c r="B399" s="1407" t="str">
        <f t="shared" si="6"/>
        <v>Flavio Hermenegildo</v>
      </c>
      <c r="C399" s="1402" t="s">
        <v>5806</v>
      </c>
      <c r="D399" s="1403" t="s">
        <v>3201</v>
      </c>
      <c r="E399" s="1404" t="s">
        <v>4207</v>
      </c>
      <c r="F399" s="1405" t="s">
        <v>5300</v>
      </c>
      <c r="G399" s="1403" t="s">
        <v>14359</v>
      </c>
      <c r="H399" s="1406" t="s">
        <v>994</v>
      </c>
    </row>
    <row r="400" spans="1:8" x14ac:dyDescent="0.2">
      <c r="A400" s="7"/>
      <c r="B400" s="1407" t="str">
        <f t="shared" si="6"/>
        <v>Rhaniery Jardim</v>
      </c>
      <c r="C400" s="1402" t="s">
        <v>7341</v>
      </c>
      <c r="D400" s="1403" t="s">
        <v>7277</v>
      </c>
      <c r="E400" s="1404" t="s">
        <v>7495</v>
      </c>
      <c r="F400" s="1405" t="s">
        <v>5299</v>
      </c>
      <c r="G400" s="1403" t="s">
        <v>7265</v>
      </c>
      <c r="H400" s="1406" t="s">
        <v>994</v>
      </c>
    </row>
    <row r="401" spans="1:8" x14ac:dyDescent="0.2">
      <c r="A401" s="7"/>
      <c r="B401" s="1407" t="str">
        <f t="shared" si="6"/>
        <v>Carlos Junior</v>
      </c>
      <c r="C401" s="1402" t="s">
        <v>5773</v>
      </c>
      <c r="D401" s="1403" t="s">
        <v>3008</v>
      </c>
      <c r="E401" s="1404" t="s">
        <v>15715</v>
      </c>
      <c r="F401" s="1405" t="s">
        <v>5300</v>
      </c>
      <c r="G401" s="1403" t="s">
        <v>14359</v>
      </c>
      <c r="H401" s="1406" t="s">
        <v>994</v>
      </c>
    </row>
    <row r="402" spans="1:8" x14ac:dyDescent="0.2">
      <c r="A402" s="7"/>
      <c r="B402" s="1407" t="str">
        <f t="shared" si="6"/>
        <v>Vandir Junior</v>
      </c>
      <c r="C402" s="1402" t="s">
        <v>5773</v>
      </c>
      <c r="D402" s="1403" t="s">
        <v>6898</v>
      </c>
      <c r="E402" s="1404" t="s">
        <v>4203</v>
      </c>
      <c r="F402" s="1405" t="s">
        <v>5300</v>
      </c>
      <c r="G402" s="1403" t="s">
        <v>14359</v>
      </c>
      <c r="H402" s="1406" t="s">
        <v>994</v>
      </c>
    </row>
    <row r="403" spans="1:8" x14ac:dyDescent="0.2">
      <c r="A403" s="7"/>
      <c r="B403" s="1407" t="str">
        <f t="shared" si="6"/>
        <v>Luís Coelho Júnior</v>
      </c>
      <c r="C403" s="1402" t="s">
        <v>13670</v>
      </c>
      <c r="D403" s="1403" t="s">
        <v>13671</v>
      </c>
      <c r="E403" s="1404" t="s">
        <v>13672</v>
      </c>
      <c r="F403" s="1405" t="s">
        <v>5299</v>
      </c>
      <c r="G403" s="1403" t="s">
        <v>14358</v>
      </c>
      <c r="H403" s="1406" t="s">
        <v>994</v>
      </c>
    </row>
    <row r="404" spans="1:8" x14ac:dyDescent="0.2">
      <c r="A404" s="7"/>
      <c r="B404" s="1407" t="str">
        <f t="shared" si="6"/>
        <v>Ricardo Leandro</v>
      </c>
      <c r="C404" s="1402" t="s">
        <v>3566</v>
      </c>
      <c r="D404" s="1403" t="s">
        <v>3137</v>
      </c>
      <c r="E404" s="1404" t="s">
        <v>13684</v>
      </c>
      <c r="F404" s="1405" t="s">
        <v>5300</v>
      </c>
      <c r="G404" s="1403" t="s">
        <v>14366</v>
      </c>
      <c r="H404" s="1406" t="s">
        <v>994</v>
      </c>
    </row>
    <row r="405" spans="1:8" x14ac:dyDescent="0.2">
      <c r="A405" s="7"/>
      <c r="B405" s="1407" t="str">
        <f t="shared" si="6"/>
        <v>Matheus Lima</v>
      </c>
      <c r="C405" s="1402" t="s">
        <v>5775</v>
      </c>
      <c r="D405" s="1403" t="s">
        <v>6888</v>
      </c>
      <c r="E405" s="1404" t="s">
        <v>4173</v>
      </c>
      <c r="F405" s="1405" t="s">
        <v>5299</v>
      </c>
      <c r="G405" s="1403" t="s">
        <v>14359</v>
      </c>
      <c r="H405" s="1406" t="s">
        <v>994</v>
      </c>
    </row>
    <row r="406" spans="1:8" x14ac:dyDescent="0.2">
      <c r="A406" s="7"/>
      <c r="B406" s="1407" t="str">
        <f t="shared" si="6"/>
        <v>Vinícius Lima Rolim</v>
      </c>
      <c r="C406" s="1402" t="s">
        <v>13713</v>
      </c>
      <c r="D406" s="1403" t="s">
        <v>13714</v>
      </c>
      <c r="E406" s="1404" t="s">
        <v>13715</v>
      </c>
      <c r="F406" s="1405" t="s">
        <v>5299</v>
      </c>
      <c r="G406" s="1403" t="s">
        <v>9851</v>
      </c>
      <c r="H406" s="1406" t="s">
        <v>994</v>
      </c>
    </row>
    <row r="407" spans="1:8" x14ac:dyDescent="0.2">
      <c r="A407" s="7"/>
      <c r="B407" s="1407" t="str">
        <f t="shared" si="6"/>
        <v>Gilmar Maghenzani</v>
      </c>
      <c r="C407" s="1402" t="s">
        <v>5788</v>
      </c>
      <c r="D407" s="1403" t="s">
        <v>6891</v>
      </c>
      <c r="E407" s="1404" t="s">
        <v>4185</v>
      </c>
      <c r="F407" s="1405" t="s">
        <v>5300</v>
      </c>
      <c r="G407" s="1403" t="s">
        <v>14362</v>
      </c>
      <c r="H407" s="1406" t="s">
        <v>994</v>
      </c>
    </row>
    <row r="408" spans="1:8" x14ac:dyDescent="0.2">
      <c r="A408" s="7"/>
      <c r="B408" s="1407" t="str">
        <f t="shared" si="6"/>
        <v>Hylson Mamoni</v>
      </c>
      <c r="C408" s="1402" t="s">
        <v>5819</v>
      </c>
      <c r="D408" s="1403" t="s">
        <v>6907</v>
      </c>
      <c r="E408" s="1404" t="s">
        <v>4223</v>
      </c>
      <c r="F408" s="1405" t="s">
        <v>5299</v>
      </c>
      <c r="G408" s="1403" t="s">
        <v>14360</v>
      </c>
      <c r="H408" s="1406" t="s">
        <v>994</v>
      </c>
    </row>
    <row r="409" spans="1:8" x14ac:dyDescent="0.2">
      <c r="A409" s="7"/>
      <c r="B409" s="1407" t="str">
        <f t="shared" si="6"/>
        <v>Luiz Manceira</v>
      </c>
      <c r="C409" s="1402" t="s">
        <v>5804</v>
      </c>
      <c r="D409" s="1403" t="s">
        <v>6890</v>
      </c>
      <c r="E409" s="1404" t="s">
        <v>4205</v>
      </c>
      <c r="F409" s="1405" t="s">
        <v>5299</v>
      </c>
      <c r="G409" s="1403" t="s">
        <v>14359</v>
      </c>
      <c r="H409" s="1406" t="s">
        <v>994</v>
      </c>
    </row>
    <row r="410" spans="1:8" x14ac:dyDescent="0.2">
      <c r="A410" s="7"/>
      <c r="B410" s="1407" t="str">
        <f t="shared" si="6"/>
        <v>Róbson Fabricio Marfa</v>
      </c>
      <c r="C410" s="1402" t="s">
        <v>11351</v>
      </c>
      <c r="D410" s="1403" t="s">
        <v>11369</v>
      </c>
      <c r="E410" s="1404" t="s">
        <v>11382</v>
      </c>
      <c r="F410" s="1405" t="s">
        <v>5300</v>
      </c>
      <c r="G410" s="1403" t="s">
        <v>14363</v>
      </c>
      <c r="H410" s="1406" t="s">
        <v>994</v>
      </c>
    </row>
    <row r="411" spans="1:8" x14ac:dyDescent="0.2">
      <c r="A411" s="7"/>
      <c r="B411" s="1407" t="str">
        <f t="shared" si="6"/>
        <v>Ronaldo Marques</v>
      </c>
      <c r="C411" s="1402" t="s">
        <v>5776</v>
      </c>
      <c r="D411" s="1403" t="s">
        <v>5515</v>
      </c>
      <c r="E411" s="1404" t="s">
        <v>4175</v>
      </c>
      <c r="F411" s="1405" t="s">
        <v>5300</v>
      </c>
      <c r="G411" s="1403" t="s">
        <v>5302</v>
      </c>
      <c r="H411" s="1406" t="s">
        <v>994</v>
      </c>
    </row>
    <row r="412" spans="1:8" x14ac:dyDescent="0.2">
      <c r="A412" s="7"/>
      <c r="B412" s="1407" t="str">
        <f t="shared" si="6"/>
        <v>Vitor Martins</v>
      </c>
      <c r="C412" s="1402" t="s">
        <v>5825</v>
      </c>
      <c r="D412" s="1403" t="s">
        <v>3698</v>
      </c>
      <c r="E412" s="1404" t="s">
        <v>4229</v>
      </c>
      <c r="F412" s="1405" t="s">
        <v>5299</v>
      </c>
      <c r="G412" s="1403" t="s">
        <v>13525</v>
      </c>
      <c r="H412" s="1406" t="s">
        <v>994</v>
      </c>
    </row>
    <row r="413" spans="1:8" x14ac:dyDescent="0.2">
      <c r="A413" s="7"/>
      <c r="B413" s="1407" t="str">
        <f t="shared" si="6"/>
        <v>Allan Matos</v>
      </c>
      <c r="C413" s="1402" t="s">
        <v>5796</v>
      </c>
      <c r="D413" s="1403" t="s">
        <v>3601</v>
      </c>
      <c r="E413" s="1404" t="s">
        <v>7498</v>
      </c>
      <c r="F413" s="1405" t="s">
        <v>5299</v>
      </c>
      <c r="G413" s="1403" t="s">
        <v>14359</v>
      </c>
      <c r="H413" s="1406" t="s">
        <v>994</v>
      </c>
    </row>
    <row r="414" spans="1:8" x14ac:dyDescent="0.2">
      <c r="A414" s="7"/>
      <c r="B414" s="1407" t="str">
        <f t="shared" si="6"/>
        <v>Marcelo Matos</v>
      </c>
      <c r="C414" s="1402" t="s">
        <v>5796</v>
      </c>
      <c r="D414" s="1403" t="s">
        <v>5513</v>
      </c>
      <c r="E414" s="1404" t="s">
        <v>4196</v>
      </c>
      <c r="F414" s="1405" t="s">
        <v>5300</v>
      </c>
      <c r="G414" s="1403" t="s">
        <v>14359</v>
      </c>
      <c r="H414" s="1406" t="s">
        <v>994</v>
      </c>
    </row>
    <row r="415" spans="1:8" x14ac:dyDescent="0.2">
      <c r="A415" s="7"/>
      <c r="B415" s="1407" t="str">
        <f t="shared" si="6"/>
        <v>Emerson Melli</v>
      </c>
      <c r="C415" s="1402" t="s">
        <v>5822</v>
      </c>
      <c r="D415" s="1403" t="s">
        <v>6909</v>
      </c>
      <c r="E415" s="1404" t="s">
        <v>4226</v>
      </c>
      <c r="F415" s="1405" t="s">
        <v>5299</v>
      </c>
      <c r="G415" s="1403" t="s">
        <v>14360</v>
      </c>
      <c r="H415" s="1406" t="s">
        <v>994</v>
      </c>
    </row>
    <row r="416" spans="1:8" x14ac:dyDescent="0.2">
      <c r="A416" s="7"/>
      <c r="B416" s="1407" t="str">
        <f t="shared" si="6"/>
        <v>Ricardo Meni</v>
      </c>
      <c r="C416" s="1402" t="s">
        <v>5812</v>
      </c>
      <c r="D416" s="1403" t="s">
        <v>3137</v>
      </c>
      <c r="E416" s="1404" t="s">
        <v>4215</v>
      </c>
      <c r="F416" s="1405" t="s">
        <v>5300</v>
      </c>
      <c r="G416" s="1403" t="s">
        <v>14359</v>
      </c>
      <c r="H416" s="1406" t="s">
        <v>994</v>
      </c>
    </row>
    <row r="417" spans="1:8" x14ac:dyDescent="0.2">
      <c r="A417" s="7"/>
      <c r="B417" s="1407" t="str">
        <f t="shared" si="6"/>
        <v>Mauro Michilin</v>
      </c>
      <c r="C417" s="1402" t="s">
        <v>5814</v>
      </c>
      <c r="D417" s="1403" t="s">
        <v>3204</v>
      </c>
      <c r="E417" s="1404" t="s">
        <v>4217</v>
      </c>
      <c r="F417" s="1405" t="s">
        <v>5299</v>
      </c>
      <c r="G417" s="1403" t="s">
        <v>14360</v>
      </c>
      <c r="H417" s="1406" t="s">
        <v>994</v>
      </c>
    </row>
    <row r="418" spans="1:8" x14ac:dyDescent="0.2">
      <c r="A418" s="7"/>
      <c r="B418" s="1407" t="str">
        <f t="shared" si="6"/>
        <v>Paulo Michilin</v>
      </c>
      <c r="C418" s="1402" t="s">
        <v>5814</v>
      </c>
      <c r="D418" s="1403" t="s">
        <v>3246</v>
      </c>
      <c r="E418" s="1404" t="s">
        <v>4218</v>
      </c>
      <c r="F418" s="1405" t="s">
        <v>5300</v>
      </c>
      <c r="G418" s="1403" t="s">
        <v>14360</v>
      </c>
      <c r="H418" s="1406" t="s">
        <v>994</v>
      </c>
    </row>
    <row r="419" spans="1:8" x14ac:dyDescent="0.2">
      <c r="A419" s="7"/>
      <c r="B419" s="1407" t="str">
        <f t="shared" si="6"/>
        <v>João Molina</v>
      </c>
      <c r="C419" s="1402" t="s">
        <v>5800</v>
      </c>
      <c r="D419" s="1403" t="s">
        <v>3427</v>
      </c>
      <c r="E419" s="1404" t="s">
        <v>4200</v>
      </c>
      <c r="F419" s="1405" t="s">
        <v>5299</v>
      </c>
      <c r="G419" s="1403" t="s">
        <v>14359</v>
      </c>
      <c r="H419" s="1406" t="s">
        <v>994</v>
      </c>
    </row>
    <row r="420" spans="1:8" x14ac:dyDescent="0.2">
      <c r="A420" s="7"/>
      <c r="B420" s="1407" t="str">
        <f t="shared" si="6"/>
        <v>Dilton Monteiro</v>
      </c>
      <c r="C420" s="1402" t="s">
        <v>8024</v>
      </c>
      <c r="D420" s="1403" t="s">
        <v>13688</v>
      </c>
      <c r="E420" s="1404" t="s">
        <v>13689</v>
      </c>
      <c r="F420" s="1405" t="s">
        <v>5299</v>
      </c>
      <c r="G420" s="1403" t="s">
        <v>14365</v>
      </c>
      <c r="H420" s="1406" t="s">
        <v>994</v>
      </c>
    </row>
    <row r="421" spans="1:8" x14ac:dyDescent="0.2">
      <c r="A421" s="7"/>
      <c r="B421" s="1407" t="str">
        <f t="shared" si="6"/>
        <v>Sergio Monteleone</v>
      </c>
      <c r="C421" s="1402" t="s">
        <v>15923</v>
      </c>
      <c r="D421" s="1403" t="s">
        <v>3064</v>
      </c>
      <c r="E421" s="1404" t="s">
        <v>15924</v>
      </c>
      <c r="F421" s="1405" t="s">
        <v>5300</v>
      </c>
      <c r="G421" s="1403" t="s">
        <v>7265</v>
      </c>
      <c r="H421" s="1406" t="s">
        <v>994</v>
      </c>
    </row>
    <row r="422" spans="1:8" x14ac:dyDescent="0.2">
      <c r="A422" s="7"/>
      <c r="B422" s="1407" t="str">
        <f t="shared" si="6"/>
        <v>André Luiz Moraes</v>
      </c>
      <c r="C422" s="1402" t="s">
        <v>13677</v>
      </c>
      <c r="D422" s="1403" t="s">
        <v>13678</v>
      </c>
      <c r="E422" s="1404" t="s">
        <v>13679</v>
      </c>
      <c r="F422" s="1405" t="s">
        <v>5299</v>
      </c>
      <c r="G422" s="1403" t="s">
        <v>7265</v>
      </c>
      <c r="H422" s="1406" t="s">
        <v>994</v>
      </c>
    </row>
    <row r="423" spans="1:8" x14ac:dyDescent="0.2">
      <c r="A423" s="7"/>
      <c r="B423" s="1407" t="str">
        <f t="shared" si="6"/>
        <v>Danilo Moricz</v>
      </c>
      <c r="C423" s="1402" t="s">
        <v>9842</v>
      </c>
      <c r="D423" s="1403" t="s">
        <v>5561</v>
      </c>
      <c r="E423" s="1404" t="s">
        <v>9847</v>
      </c>
      <c r="F423" s="1405" t="s">
        <v>5300</v>
      </c>
      <c r="G423" s="1403" t="s">
        <v>14361</v>
      </c>
      <c r="H423" s="1406" t="s">
        <v>994</v>
      </c>
    </row>
    <row r="424" spans="1:8" x14ac:dyDescent="0.2">
      <c r="A424" s="7"/>
      <c r="B424" s="1407" t="str">
        <f t="shared" si="6"/>
        <v>Rodrigo Moro</v>
      </c>
      <c r="C424" s="1402" t="s">
        <v>6636</v>
      </c>
      <c r="D424" s="1403" t="s">
        <v>5659</v>
      </c>
      <c r="E424" s="1404" t="s">
        <v>13704</v>
      </c>
      <c r="F424" s="1405" t="s">
        <v>5299</v>
      </c>
      <c r="G424" s="1403" t="s">
        <v>9851</v>
      </c>
      <c r="H424" s="1406" t="s">
        <v>994</v>
      </c>
    </row>
    <row r="425" spans="1:8" x14ac:dyDescent="0.2">
      <c r="A425" s="7"/>
      <c r="B425" s="1407" t="str">
        <f t="shared" si="6"/>
        <v>Luiz Nannini</v>
      </c>
      <c r="C425" s="1402" t="s">
        <v>5786</v>
      </c>
      <c r="D425" s="1403" t="s">
        <v>6890</v>
      </c>
      <c r="E425" s="1404" t="s">
        <v>4183</v>
      </c>
      <c r="F425" s="1405" t="s">
        <v>5300</v>
      </c>
      <c r="G425" s="1403" t="s">
        <v>14359</v>
      </c>
      <c r="H425" s="1406" t="s">
        <v>994</v>
      </c>
    </row>
    <row r="426" spans="1:8" x14ac:dyDescent="0.2">
      <c r="A426" s="7"/>
      <c r="B426" s="1407" t="str">
        <f t="shared" si="6"/>
        <v>Rodrigo Narduche</v>
      </c>
      <c r="C426" s="1402" t="s">
        <v>5821</v>
      </c>
      <c r="D426" s="1403" t="s">
        <v>5659</v>
      </c>
      <c r="E426" s="1404" t="s">
        <v>4225</v>
      </c>
      <c r="F426" s="1405" t="s">
        <v>5299</v>
      </c>
      <c r="G426" s="1403" t="s">
        <v>14360</v>
      </c>
      <c r="H426" s="1406" t="s">
        <v>994</v>
      </c>
    </row>
    <row r="427" spans="1:8" x14ac:dyDescent="0.2">
      <c r="A427" s="7"/>
      <c r="B427" s="1407" t="str">
        <f t="shared" si="6"/>
        <v>Luis Carlos Nascimento</v>
      </c>
      <c r="C427" s="1402" t="s">
        <v>9841</v>
      </c>
      <c r="D427" s="1403" t="s">
        <v>10051</v>
      </c>
      <c r="E427" s="1404" t="s">
        <v>9846</v>
      </c>
      <c r="F427" s="1405" t="s">
        <v>5300</v>
      </c>
      <c r="G427" s="1403" t="s">
        <v>9851</v>
      </c>
      <c r="H427" s="1406" t="s">
        <v>994</v>
      </c>
    </row>
    <row r="428" spans="1:8" x14ac:dyDescent="0.2">
      <c r="A428" s="7"/>
      <c r="B428" s="1407" t="str">
        <f t="shared" si="6"/>
        <v>Demetrio Neto</v>
      </c>
      <c r="C428" s="1402" t="s">
        <v>5815</v>
      </c>
      <c r="D428" s="1403" t="s">
        <v>6904</v>
      </c>
      <c r="E428" s="1404" t="s">
        <v>4219</v>
      </c>
      <c r="F428" s="1405" t="s">
        <v>5299</v>
      </c>
      <c r="G428" s="1403" t="s">
        <v>14361</v>
      </c>
      <c r="H428" s="1406" t="s">
        <v>994</v>
      </c>
    </row>
    <row r="429" spans="1:8" x14ac:dyDescent="0.2">
      <c r="A429" s="7"/>
      <c r="B429" s="1407" t="str">
        <f t="shared" si="6"/>
        <v>José Netto</v>
      </c>
      <c r="C429" s="1402" t="s">
        <v>5783</v>
      </c>
      <c r="D429" s="1403" t="s">
        <v>3232</v>
      </c>
      <c r="E429" s="1404" t="s">
        <v>4180</v>
      </c>
      <c r="F429" s="1405" t="s">
        <v>5299</v>
      </c>
      <c r="G429" s="1403" t="s">
        <v>14359</v>
      </c>
      <c r="H429" s="1406" t="s">
        <v>994</v>
      </c>
    </row>
    <row r="430" spans="1:8" x14ac:dyDescent="0.2">
      <c r="A430" s="7"/>
      <c r="B430" s="1407" t="str">
        <f t="shared" si="6"/>
        <v>Leonardo Oliveira</v>
      </c>
      <c r="C430" s="1402" t="s">
        <v>5826</v>
      </c>
      <c r="D430" s="1403" t="s">
        <v>3633</v>
      </c>
      <c r="E430" s="1404" t="s">
        <v>4230</v>
      </c>
      <c r="F430" s="1405" t="s">
        <v>5299</v>
      </c>
      <c r="G430" s="1403" t="s">
        <v>13525</v>
      </c>
      <c r="H430" s="1406" t="s">
        <v>994</v>
      </c>
    </row>
    <row r="431" spans="1:8" x14ac:dyDescent="0.2">
      <c r="A431" s="7"/>
      <c r="B431" s="1407" t="str">
        <f t="shared" si="6"/>
        <v>Cristiano Paffrath Bertolino</v>
      </c>
      <c r="C431" s="1402" t="s">
        <v>15978</v>
      </c>
      <c r="D431" s="1403" t="s">
        <v>6409</v>
      </c>
      <c r="E431" s="1404" t="s">
        <v>13738</v>
      </c>
      <c r="F431" s="1405" t="s">
        <v>5300</v>
      </c>
      <c r="G431" s="1403" t="s">
        <v>14359</v>
      </c>
      <c r="H431" s="1406" t="s">
        <v>994</v>
      </c>
    </row>
    <row r="432" spans="1:8" x14ac:dyDescent="0.2">
      <c r="A432" s="7"/>
      <c r="B432" s="1407" t="str">
        <f t="shared" si="6"/>
        <v>Zenon Palitot Filho</v>
      </c>
      <c r="C432" s="1402" t="s">
        <v>11349</v>
      </c>
      <c r="D432" s="1403" t="s">
        <v>8806</v>
      </c>
      <c r="E432" s="1404" t="s">
        <v>8813</v>
      </c>
      <c r="F432" s="1405" t="s">
        <v>5300</v>
      </c>
      <c r="G432" s="1403" t="s">
        <v>14358</v>
      </c>
      <c r="H432" s="1406" t="s">
        <v>994</v>
      </c>
    </row>
    <row r="433" spans="1:8" x14ac:dyDescent="0.2">
      <c r="A433" s="7"/>
      <c r="B433" s="1407" t="str">
        <f t="shared" si="6"/>
        <v>Agnaldo Panzarini</v>
      </c>
      <c r="C433" s="1402" t="s">
        <v>5811</v>
      </c>
      <c r="D433" s="1403" t="s">
        <v>6901</v>
      </c>
      <c r="E433" s="1404" t="s">
        <v>4212</v>
      </c>
      <c r="F433" s="1405" t="s">
        <v>5299</v>
      </c>
      <c r="G433" s="1403" t="s">
        <v>14359</v>
      </c>
      <c r="H433" s="1406" t="s">
        <v>994</v>
      </c>
    </row>
    <row r="434" spans="1:8" x14ac:dyDescent="0.2">
      <c r="A434" s="7"/>
      <c r="B434" s="1407" t="str">
        <f t="shared" si="6"/>
        <v>Guilherme Panzarini</v>
      </c>
      <c r="C434" s="1402" t="s">
        <v>5811</v>
      </c>
      <c r="D434" s="1403" t="s">
        <v>5517</v>
      </c>
      <c r="E434" s="1404" t="s">
        <v>4213</v>
      </c>
      <c r="F434" s="1405" t="s">
        <v>5299</v>
      </c>
      <c r="G434" s="1403" t="s">
        <v>14359</v>
      </c>
      <c r="H434" s="1406" t="s">
        <v>994</v>
      </c>
    </row>
    <row r="435" spans="1:8" x14ac:dyDescent="0.2">
      <c r="A435" s="7"/>
      <c r="B435" s="1407" t="str">
        <f t="shared" si="6"/>
        <v>Júlio Paroski</v>
      </c>
      <c r="C435" s="1402" t="s">
        <v>5769</v>
      </c>
      <c r="D435" s="1403" t="s">
        <v>6885</v>
      </c>
      <c r="E435" s="1404" t="s">
        <v>4168</v>
      </c>
      <c r="F435" s="1405" t="s">
        <v>5299</v>
      </c>
      <c r="G435" s="1403" t="s">
        <v>14359</v>
      </c>
      <c r="H435" s="1406" t="s">
        <v>994</v>
      </c>
    </row>
    <row r="436" spans="1:8" x14ac:dyDescent="0.2">
      <c r="A436" s="7"/>
      <c r="B436" s="1407" t="str">
        <f t="shared" si="6"/>
        <v>João Gilberto Parras Benitez</v>
      </c>
      <c r="C436" s="1402" t="s">
        <v>13698</v>
      </c>
      <c r="D436" s="1403" t="s">
        <v>13699</v>
      </c>
      <c r="E436" s="1404" t="s">
        <v>13700</v>
      </c>
      <c r="F436" s="1405" t="s">
        <v>5300</v>
      </c>
      <c r="G436" s="1403" t="s">
        <v>9851</v>
      </c>
      <c r="H436" s="1406" t="s">
        <v>994</v>
      </c>
    </row>
    <row r="437" spans="1:8" x14ac:dyDescent="0.2">
      <c r="A437" s="7"/>
      <c r="B437" s="1407" t="str">
        <f t="shared" si="6"/>
        <v>Christofer Pereira</v>
      </c>
      <c r="C437" s="1402" t="s">
        <v>5830</v>
      </c>
      <c r="D437" s="1403" t="s">
        <v>5527</v>
      </c>
      <c r="E437" s="1404" t="s">
        <v>7062</v>
      </c>
      <c r="F437" s="1405" t="s">
        <v>5299</v>
      </c>
      <c r="G437" s="1403" t="s">
        <v>5526</v>
      </c>
      <c r="H437" s="1406" t="s">
        <v>994</v>
      </c>
    </row>
    <row r="438" spans="1:8" x14ac:dyDescent="0.2">
      <c r="A438" s="7"/>
      <c r="B438" s="1407" t="str">
        <f t="shared" si="6"/>
        <v>Paulo Cesar Pereira</v>
      </c>
      <c r="C438" s="1402" t="s">
        <v>5830</v>
      </c>
      <c r="D438" s="1403" t="s">
        <v>10052</v>
      </c>
      <c r="E438" s="1404" t="s">
        <v>10080</v>
      </c>
      <c r="F438" s="1405" t="s">
        <v>5299</v>
      </c>
      <c r="G438" s="1403" t="s">
        <v>14359</v>
      </c>
      <c r="H438" s="1406" t="s">
        <v>994</v>
      </c>
    </row>
    <row r="439" spans="1:8" x14ac:dyDescent="0.2">
      <c r="A439" s="7"/>
      <c r="B439" s="1407" t="str">
        <f t="shared" si="6"/>
        <v>Ricardo Pereira da Silva</v>
      </c>
      <c r="C439" s="1402" t="s">
        <v>9921</v>
      </c>
      <c r="D439" s="1403" t="s">
        <v>3137</v>
      </c>
      <c r="E439" s="1404" t="s">
        <v>10082</v>
      </c>
      <c r="F439" s="1405" t="s">
        <v>5299</v>
      </c>
      <c r="G439" s="1403" t="s">
        <v>14358</v>
      </c>
      <c r="H439" s="1406" t="s">
        <v>994</v>
      </c>
    </row>
    <row r="440" spans="1:8" x14ac:dyDescent="0.2">
      <c r="A440" s="7"/>
      <c r="B440" s="1407" t="str">
        <f t="shared" si="6"/>
        <v>Paulo Perrotti</v>
      </c>
      <c r="C440" s="1402" t="s">
        <v>5766</v>
      </c>
      <c r="D440" s="1403" t="s">
        <v>3246</v>
      </c>
      <c r="E440" s="1404" t="s">
        <v>4165</v>
      </c>
      <c r="F440" s="1405" t="s">
        <v>5299</v>
      </c>
      <c r="G440" s="1403" t="s">
        <v>14360</v>
      </c>
      <c r="H440" s="1406" t="s">
        <v>994</v>
      </c>
    </row>
    <row r="441" spans="1:8" x14ac:dyDescent="0.2">
      <c r="A441" s="7"/>
      <c r="B441" s="1407" t="str">
        <f t="shared" si="6"/>
        <v>Felipe Maciel Pinheiro</v>
      </c>
      <c r="C441" s="1402" t="s">
        <v>5828</v>
      </c>
      <c r="D441" s="1403" t="s">
        <v>13673</v>
      </c>
      <c r="E441" s="1404" t="s">
        <v>13674</v>
      </c>
      <c r="F441" s="1405" t="s">
        <v>5299</v>
      </c>
      <c r="G441" s="1403" t="s">
        <v>14358</v>
      </c>
      <c r="H441" s="1406" t="s">
        <v>994</v>
      </c>
    </row>
    <row r="442" spans="1:8" x14ac:dyDescent="0.2">
      <c r="A442" s="7"/>
      <c r="B442" s="1407" t="str">
        <f t="shared" si="6"/>
        <v>Renato Pinheiro Barthez</v>
      </c>
      <c r="C442" s="1402" t="s">
        <v>11347</v>
      </c>
      <c r="D442" s="1403" t="s">
        <v>3178</v>
      </c>
      <c r="E442" s="1404" t="s">
        <v>4174</v>
      </c>
      <c r="F442" s="1405" t="s">
        <v>5299</v>
      </c>
      <c r="G442" s="1403" t="s">
        <v>7265</v>
      </c>
      <c r="H442" s="1406" t="s">
        <v>994</v>
      </c>
    </row>
    <row r="443" spans="1:8" x14ac:dyDescent="0.2">
      <c r="A443" s="7"/>
      <c r="B443" s="1407" t="str">
        <f t="shared" si="6"/>
        <v>Fabio Porto</v>
      </c>
      <c r="C443" s="1402" t="s">
        <v>5803</v>
      </c>
      <c r="D443" s="1403" t="s">
        <v>3133</v>
      </c>
      <c r="E443" s="1404" t="s">
        <v>4204</v>
      </c>
      <c r="F443" s="1405" t="s">
        <v>5299</v>
      </c>
      <c r="G443" s="1403" t="s">
        <v>14359</v>
      </c>
      <c r="H443" s="1406" t="s">
        <v>994</v>
      </c>
    </row>
    <row r="444" spans="1:8" x14ac:dyDescent="0.2">
      <c r="A444" s="7"/>
      <c r="B444" s="1407" t="str">
        <f t="shared" si="6"/>
        <v>Lucas Prando Ferreira</v>
      </c>
      <c r="C444" s="1402" t="s">
        <v>13666</v>
      </c>
      <c r="D444" s="1403" t="s">
        <v>3684</v>
      </c>
      <c r="E444" s="1404" t="s">
        <v>13724</v>
      </c>
      <c r="F444" s="1405" t="s">
        <v>5299</v>
      </c>
      <c r="G444" s="1403" t="s">
        <v>14359</v>
      </c>
      <c r="H444" s="1406" t="s">
        <v>994</v>
      </c>
    </row>
    <row r="445" spans="1:8" x14ac:dyDescent="0.2">
      <c r="A445" s="7"/>
      <c r="B445" s="1407" t="str">
        <f t="shared" si="6"/>
        <v>Pedro Prando Ferreira</v>
      </c>
      <c r="C445" s="1402" t="s">
        <v>13666</v>
      </c>
      <c r="D445" s="1403" t="s">
        <v>5604</v>
      </c>
      <c r="E445" s="1404" t="s">
        <v>13667</v>
      </c>
      <c r="F445" s="1405" t="s">
        <v>5299</v>
      </c>
      <c r="G445" s="1403" t="s">
        <v>13525</v>
      </c>
      <c r="H445" s="1406" t="s">
        <v>994</v>
      </c>
    </row>
    <row r="446" spans="1:8" x14ac:dyDescent="0.2">
      <c r="A446" s="7"/>
      <c r="B446" s="1407" t="str">
        <f t="shared" si="6"/>
        <v>Igor Quintaes</v>
      </c>
      <c r="C446" s="1402" t="s">
        <v>5763</v>
      </c>
      <c r="D446" s="1403" t="s">
        <v>3144</v>
      </c>
      <c r="E446" s="1404" t="s">
        <v>4161</v>
      </c>
      <c r="F446" s="1405" t="s">
        <v>5299</v>
      </c>
      <c r="G446" s="1403" t="s">
        <v>7265</v>
      </c>
      <c r="H446" s="1406" t="s">
        <v>994</v>
      </c>
    </row>
    <row r="447" spans="1:8" x14ac:dyDescent="0.2">
      <c r="A447" s="7"/>
      <c r="B447" s="1407" t="str">
        <f t="shared" si="6"/>
        <v>José Antônio Ramalhete</v>
      </c>
      <c r="C447" s="1402" t="s">
        <v>5764</v>
      </c>
      <c r="D447" s="1403" t="s">
        <v>3414</v>
      </c>
      <c r="E447" s="1404" t="s">
        <v>4162</v>
      </c>
      <c r="F447" s="1405" t="s">
        <v>5300</v>
      </c>
      <c r="G447" s="1403" t="s">
        <v>7265</v>
      </c>
      <c r="H447" s="1406" t="s">
        <v>994</v>
      </c>
    </row>
    <row r="448" spans="1:8" x14ac:dyDescent="0.2">
      <c r="A448" s="7"/>
      <c r="B448" s="1407" t="str">
        <f t="shared" si="6"/>
        <v>Marcelo Lages Ramalhete</v>
      </c>
      <c r="C448" s="1402" t="s">
        <v>5764</v>
      </c>
      <c r="D448" s="1403" t="s">
        <v>3413</v>
      </c>
      <c r="E448" s="1404" t="s">
        <v>4163</v>
      </c>
      <c r="F448" s="1405" t="s">
        <v>5300</v>
      </c>
      <c r="G448" s="1403" t="s">
        <v>7265</v>
      </c>
      <c r="H448" s="1406" t="s">
        <v>994</v>
      </c>
    </row>
    <row r="449" spans="1:8" x14ac:dyDescent="0.2">
      <c r="A449" s="7"/>
      <c r="B449" s="1407" t="str">
        <f t="shared" si="6"/>
        <v>Wesley William Ramos Barreto</v>
      </c>
      <c r="C449" s="1402" t="s">
        <v>13735</v>
      </c>
      <c r="D449" s="1403" t="s">
        <v>13736</v>
      </c>
      <c r="E449" s="1404" t="s">
        <v>13737</v>
      </c>
      <c r="F449" s="1405" t="s">
        <v>5300</v>
      </c>
      <c r="G449" s="1403" t="s">
        <v>14359</v>
      </c>
      <c r="H449" s="1406" t="s">
        <v>994</v>
      </c>
    </row>
    <row r="450" spans="1:8" x14ac:dyDescent="0.2">
      <c r="A450" s="7"/>
      <c r="B450" s="1407" t="str">
        <f t="shared" si="6"/>
        <v>Marcio Rangel</v>
      </c>
      <c r="C450" s="1402" t="s">
        <v>5802</v>
      </c>
      <c r="D450" s="1403" t="s">
        <v>6897</v>
      </c>
      <c r="E450" s="1404" t="s">
        <v>4202</v>
      </c>
      <c r="F450" s="1405" t="s">
        <v>5300</v>
      </c>
      <c r="G450" s="1403" t="s">
        <v>14359</v>
      </c>
      <c r="H450" s="1406" t="s">
        <v>994</v>
      </c>
    </row>
    <row r="451" spans="1:8" x14ac:dyDescent="0.2">
      <c r="A451" s="7"/>
      <c r="B451" s="1407" t="str">
        <f t="shared" si="6"/>
        <v>Leandro Robles</v>
      </c>
      <c r="C451" s="1402" t="s">
        <v>5794</v>
      </c>
      <c r="D451" s="1403" t="s">
        <v>3566</v>
      </c>
      <c r="E451" s="1404" t="s">
        <v>4194</v>
      </c>
      <c r="F451" s="1405" t="s">
        <v>5299</v>
      </c>
      <c r="G451" s="1403" t="s">
        <v>14359</v>
      </c>
      <c r="H451" s="1406" t="s">
        <v>994</v>
      </c>
    </row>
    <row r="452" spans="1:8" x14ac:dyDescent="0.2">
      <c r="A452" s="7"/>
      <c r="B452" s="1407" t="str">
        <f t="shared" si="6"/>
        <v>Francisco Rojo</v>
      </c>
      <c r="C452" s="1402" t="s">
        <v>5791</v>
      </c>
      <c r="D452" s="1403" t="s">
        <v>3366</v>
      </c>
      <c r="E452" s="1404" t="s">
        <v>4190</v>
      </c>
      <c r="F452" s="1405" t="s">
        <v>5299</v>
      </c>
      <c r="G452" s="1403" t="s">
        <v>14359</v>
      </c>
      <c r="H452" s="1406" t="s">
        <v>994</v>
      </c>
    </row>
    <row r="453" spans="1:8" x14ac:dyDescent="0.2">
      <c r="A453" s="7"/>
      <c r="B453" s="1407" t="str">
        <f t="shared" si="6"/>
        <v>Antonio Carlos Sammartino</v>
      </c>
      <c r="C453" s="1402" t="s">
        <v>13696</v>
      </c>
      <c r="D453" s="1403" t="s">
        <v>11372</v>
      </c>
      <c r="E453" s="1404" t="s">
        <v>13697</v>
      </c>
      <c r="F453" s="1405" t="s">
        <v>5300</v>
      </c>
      <c r="G453" s="1403" t="s">
        <v>14360</v>
      </c>
      <c r="H453" s="1406" t="s">
        <v>994</v>
      </c>
    </row>
    <row r="454" spans="1:8" x14ac:dyDescent="0.2">
      <c r="A454" s="7"/>
      <c r="B454" s="1407" t="str">
        <f t="shared" si="6"/>
        <v>Fernando Santini Vedovati</v>
      </c>
      <c r="C454" s="1402" t="s">
        <v>13716</v>
      </c>
      <c r="D454" s="1403" t="s">
        <v>3292</v>
      </c>
      <c r="E454" s="1404" t="s">
        <v>13717</v>
      </c>
      <c r="F454" s="1405" t="s">
        <v>5299</v>
      </c>
      <c r="G454" s="1403" t="s">
        <v>13525</v>
      </c>
      <c r="H454" s="1406" t="s">
        <v>994</v>
      </c>
    </row>
    <row r="455" spans="1:8" x14ac:dyDescent="0.2">
      <c r="A455" s="7"/>
      <c r="B455" s="1407" t="str">
        <f t="shared" ref="B455:B518" si="7">TRIM(CONCATENATE(D455," ",C455))</f>
        <v>Ruy Saviani</v>
      </c>
      <c r="C455" s="1402" t="s">
        <v>5771</v>
      </c>
      <c r="D455" s="1403" t="s">
        <v>6886</v>
      </c>
      <c r="E455" s="1404" t="s">
        <v>4170</v>
      </c>
      <c r="F455" s="1405" t="s">
        <v>5300</v>
      </c>
      <c r="G455" s="1403" t="s">
        <v>14359</v>
      </c>
      <c r="H455" s="1406" t="s">
        <v>994</v>
      </c>
    </row>
    <row r="456" spans="1:8" x14ac:dyDescent="0.2">
      <c r="A456" s="7"/>
      <c r="B456" s="1407" t="str">
        <f t="shared" si="7"/>
        <v>Humberto Scavinsky de Alencar</v>
      </c>
      <c r="C456" s="1402" t="s">
        <v>11350</v>
      </c>
      <c r="D456" s="1403" t="s">
        <v>9844</v>
      </c>
      <c r="E456" s="1404" t="s">
        <v>9845</v>
      </c>
      <c r="F456" s="1405" t="s">
        <v>5300</v>
      </c>
      <c r="G456" s="1403" t="s">
        <v>9851</v>
      </c>
      <c r="H456" s="1406" t="s">
        <v>994</v>
      </c>
    </row>
    <row r="457" spans="1:8" x14ac:dyDescent="0.2">
      <c r="A457" s="7"/>
      <c r="B457" s="1407" t="str">
        <f t="shared" si="7"/>
        <v>Julio Simi</v>
      </c>
      <c r="C457" s="1402" t="s">
        <v>5789</v>
      </c>
      <c r="D457" s="1403" t="s">
        <v>3181</v>
      </c>
      <c r="E457" s="1404" t="s">
        <v>4186</v>
      </c>
      <c r="F457" s="1405" t="s">
        <v>5300</v>
      </c>
      <c r="G457" s="1403" t="s">
        <v>14362</v>
      </c>
      <c r="H457" s="1406" t="s">
        <v>994</v>
      </c>
    </row>
    <row r="458" spans="1:8" x14ac:dyDescent="0.2">
      <c r="A458" s="7"/>
      <c r="B458" s="1407" t="str">
        <f t="shared" si="7"/>
        <v>Lucas Sotana Pereira</v>
      </c>
      <c r="C458" s="1402" t="s">
        <v>13718</v>
      </c>
      <c r="D458" s="1403" t="s">
        <v>3684</v>
      </c>
      <c r="E458" s="1404" t="s">
        <v>13719</v>
      </c>
      <c r="F458" s="1405" t="s">
        <v>5299</v>
      </c>
      <c r="G458" s="1403" t="s">
        <v>14359</v>
      </c>
      <c r="H458" s="1406" t="s">
        <v>994</v>
      </c>
    </row>
    <row r="459" spans="1:8" x14ac:dyDescent="0.2">
      <c r="A459" s="7"/>
      <c r="B459" s="1407" t="str">
        <f t="shared" si="7"/>
        <v>Giuseppe Spasiano</v>
      </c>
      <c r="C459" s="1402" t="s">
        <v>9843</v>
      </c>
      <c r="D459" s="1403" t="s">
        <v>3122</v>
      </c>
      <c r="E459" s="1404" t="s">
        <v>9849</v>
      </c>
      <c r="F459" s="1405" t="s">
        <v>5300</v>
      </c>
      <c r="G459" s="1403" t="s">
        <v>7265</v>
      </c>
      <c r="H459" s="1406" t="s">
        <v>994</v>
      </c>
    </row>
    <row r="460" spans="1:8" x14ac:dyDescent="0.2">
      <c r="A460" s="7"/>
      <c r="B460" s="1407" t="str">
        <f t="shared" si="7"/>
        <v>Rony Suzuki</v>
      </c>
      <c r="C460" s="1402" t="s">
        <v>5770</v>
      </c>
      <c r="D460" s="1403" t="s">
        <v>5507</v>
      </c>
      <c r="E460" s="1404" t="s">
        <v>4169</v>
      </c>
      <c r="F460" s="1405" t="s">
        <v>5300</v>
      </c>
      <c r="G460" s="1403" t="s">
        <v>13525</v>
      </c>
      <c r="H460" s="1406" t="s">
        <v>994</v>
      </c>
    </row>
    <row r="461" spans="1:8" x14ac:dyDescent="0.2">
      <c r="A461" s="7"/>
      <c r="B461" s="1407" t="str">
        <f t="shared" si="7"/>
        <v>Fellipe Tereska</v>
      </c>
      <c r="C461" s="1402" t="s">
        <v>16295</v>
      </c>
      <c r="D461" s="1403" t="s">
        <v>16296</v>
      </c>
      <c r="E461" s="1404" t="s">
        <v>16297</v>
      </c>
      <c r="F461" s="1405" t="s">
        <v>5299</v>
      </c>
      <c r="G461" s="1403" t="s">
        <v>13525</v>
      </c>
      <c r="H461" s="1406" t="s">
        <v>994</v>
      </c>
    </row>
    <row r="462" spans="1:8" x14ac:dyDescent="0.2">
      <c r="A462" s="7"/>
      <c r="B462" s="1407" t="str">
        <f t="shared" si="7"/>
        <v>Sergio Travassos Correia</v>
      </c>
      <c r="C462" s="1402" t="s">
        <v>13682</v>
      </c>
      <c r="D462" s="1403" t="s">
        <v>3064</v>
      </c>
      <c r="E462" s="1404" t="s">
        <v>13683</v>
      </c>
      <c r="F462" s="1405" t="s">
        <v>5300</v>
      </c>
      <c r="G462" s="1403" t="s">
        <v>14359</v>
      </c>
      <c r="H462" s="1406" t="s">
        <v>994</v>
      </c>
    </row>
    <row r="463" spans="1:8" x14ac:dyDescent="0.2">
      <c r="A463" s="7"/>
      <c r="B463" s="1407" t="str">
        <f t="shared" si="7"/>
        <v>Luis Venazzi</v>
      </c>
      <c r="C463" s="1402" t="s">
        <v>5801</v>
      </c>
      <c r="D463" s="1403" t="s">
        <v>3683</v>
      </c>
      <c r="E463" s="1404" t="s">
        <v>4201</v>
      </c>
      <c r="F463" s="1405" t="s">
        <v>5300</v>
      </c>
      <c r="G463" s="1403" t="s">
        <v>14359</v>
      </c>
      <c r="H463" s="1406" t="s">
        <v>994</v>
      </c>
    </row>
    <row r="464" spans="1:8" x14ac:dyDescent="0.2">
      <c r="A464" s="7"/>
      <c r="B464" s="1407" t="str">
        <f t="shared" si="7"/>
        <v>Eliahou Vidal</v>
      </c>
      <c r="C464" s="1402" t="s">
        <v>5780</v>
      </c>
      <c r="D464" s="1403" t="s">
        <v>6889</v>
      </c>
      <c r="E464" s="1404" t="s">
        <v>4178</v>
      </c>
      <c r="F464" s="1405" t="s">
        <v>5300</v>
      </c>
      <c r="G464" s="1403" t="s">
        <v>14362</v>
      </c>
      <c r="H464" s="1406" t="s">
        <v>994</v>
      </c>
    </row>
    <row r="465" spans="1:8" x14ac:dyDescent="0.2">
      <c r="A465" s="7"/>
      <c r="B465" s="1407" t="str">
        <f t="shared" si="7"/>
        <v>Vinicius Vieira</v>
      </c>
      <c r="C465" s="1402" t="s">
        <v>5809</v>
      </c>
      <c r="D465" s="1403" t="s">
        <v>6900</v>
      </c>
      <c r="E465" s="1404" t="s">
        <v>4210</v>
      </c>
      <c r="F465" s="1405" t="s">
        <v>5299</v>
      </c>
      <c r="G465" s="1403" t="s">
        <v>14359</v>
      </c>
      <c r="H465" s="1406" t="s">
        <v>994</v>
      </c>
    </row>
    <row r="466" spans="1:8" x14ac:dyDescent="0.2">
      <c r="A466" s="7"/>
      <c r="B466" s="1407" t="str">
        <f t="shared" si="7"/>
        <v>Nelson Zanella</v>
      </c>
      <c r="C466" s="1402" t="s">
        <v>5790</v>
      </c>
      <c r="D466" s="1403" t="s">
        <v>5533</v>
      </c>
      <c r="E466" s="1404" t="s">
        <v>4187</v>
      </c>
      <c r="F466" s="1405" t="s">
        <v>5300</v>
      </c>
      <c r="G466" s="1403" t="s">
        <v>14362</v>
      </c>
      <c r="H466" s="1406" t="s">
        <v>994</v>
      </c>
    </row>
    <row r="467" spans="1:8" x14ac:dyDescent="0.2">
      <c r="A467" s="7"/>
      <c r="B467" s="1407" t="str">
        <f t="shared" si="7"/>
        <v>Rogério Zanella</v>
      </c>
      <c r="C467" s="1402" t="s">
        <v>5790</v>
      </c>
      <c r="D467" s="1403" t="s">
        <v>6892</v>
      </c>
      <c r="E467" s="1404" t="s">
        <v>4188</v>
      </c>
      <c r="F467" s="1405" t="s">
        <v>5299</v>
      </c>
      <c r="G467" s="1403" t="s">
        <v>14362</v>
      </c>
      <c r="H467" s="1406" t="s">
        <v>994</v>
      </c>
    </row>
    <row r="468" spans="1:8" x14ac:dyDescent="0.2">
      <c r="A468" s="7"/>
      <c r="B468" s="1407" t="str">
        <f t="shared" si="7"/>
        <v>Marcus Zucatto</v>
      </c>
      <c r="C468" s="1402" t="s">
        <v>5823</v>
      </c>
      <c r="D468" s="1403" t="s">
        <v>3056</v>
      </c>
      <c r="E468" s="1404" t="s">
        <v>4227</v>
      </c>
      <c r="F468" s="1405" t="s">
        <v>5299</v>
      </c>
      <c r="G468" s="1403" t="s">
        <v>14359</v>
      </c>
      <c r="H468" s="1406" t="s">
        <v>994</v>
      </c>
    </row>
    <row r="469" spans="1:8" x14ac:dyDescent="0.2">
      <c r="A469" s="7"/>
      <c r="B469" s="1407" t="str">
        <f t="shared" si="7"/>
        <v>Dave Baxter</v>
      </c>
      <c r="C469" s="1402" t="s">
        <v>6754</v>
      </c>
      <c r="D469" s="1403" t="s">
        <v>3046</v>
      </c>
      <c r="E469" s="1404" t="s">
        <v>8353</v>
      </c>
      <c r="F469" s="1405" t="s">
        <v>5300</v>
      </c>
      <c r="G469" s="1403" t="s">
        <v>11323</v>
      </c>
      <c r="H469" s="1406" t="s">
        <v>884</v>
      </c>
    </row>
    <row r="470" spans="1:8" x14ac:dyDescent="0.2">
      <c r="A470" s="7"/>
      <c r="B470" s="1407" t="str">
        <f t="shared" si="7"/>
        <v>Shane Hoopfer</v>
      </c>
      <c r="C470" s="1402" t="s">
        <v>5831</v>
      </c>
      <c r="D470" s="1403" t="s">
        <v>3687</v>
      </c>
      <c r="E470" s="1404" t="s">
        <v>4232</v>
      </c>
      <c r="F470" s="1405" t="s">
        <v>5299</v>
      </c>
      <c r="G470" s="1403" t="s">
        <v>10255</v>
      </c>
      <c r="H470" s="1406" t="s">
        <v>884</v>
      </c>
    </row>
    <row r="471" spans="1:8" x14ac:dyDescent="0.2">
      <c r="A471" s="7"/>
      <c r="B471" s="1407" t="str">
        <f t="shared" si="7"/>
        <v>Josh Braun</v>
      </c>
      <c r="C471" s="1402" t="s">
        <v>5832</v>
      </c>
      <c r="D471" s="1403" t="s">
        <v>3562</v>
      </c>
      <c r="E471" s="1404" t="s">
        <v>4233</v>
      </c>
      <c r="F471" s="1405" t="s">
        <v>5299</v>
      </c>
      <c r="G471" s="1403" t="s">
        <v>10255</v>
      </c>
      <c r="H471" s="1406" t="s">
        <v>884</v>
      </c>
    </row>
    <row r="472" spans="1:8" x14ac:dyDescent="0.2">
      <c r="A472" s="7"/>
      <c r="B472" s="1407" t="str">
        <f t="shared" si="7"/>
        <v>Travis Hoopfer</v>
      </c>
      <c r="C472" s="1402" t="s">
        <v>5831</v>
      </c>
      <c r="D472" s="1403" t="s">
        <v>6910</v>
      </c>
      <c r="E472" s="1404" t="s">
        <v>4234</v>
      </c>
      <c r="F472" s="1405" t="s">
        <v>5299</v>
      </c>
      <c r="G472" s="1403" t="s">
        <v>10255</v>
      </c>
      <c r="H472" s="1406" t="s">
        <v>884</v>
      </c>
    </row>
    <row r="473" spans="1:8" x14ac:dyDescent="0.2">
      <c r="A473" s="7"/>
      <c r="B473" s="1407" t="str">
        <f t="shared" si="7"/>
        <v>Nathan Haylett</v>
      </c>
      <c r="C473" s="1402" t="s">
        <v>5833</v>
      </c>
      <c r="D473" s="1403" t="s">
        <v>3183</v>
      </c>
      <c r="E473" s="1404" t="s">
        <v>4235</v>
      </c>
      <c r="F473" s="1405" t="s">
        <v>5299</v>
      </c>
      <c r="G473" s="1403" t="s">
        <v>10255</v>
      </c>
      <c r="H473" s="1406" t="s">
        <v>884</v>
      </c>
    </row>
    <row r="474" spans="1:8" x14ac:dyDescent="0.2">
      <c r="A474" s="7"/>
      <c r="B474" s="1407" t="str">
        <f t="shared" si="7"/>
        <v>Ben Herrel</v>
      </c>
      <c r="C474" s="1402" t="s">
        <v>5834</v>
      </c>
      <c r="D474" s="1403" t="s">
        <v>3264</v>
      </c>
      <c r="E474" s="1404" t="s">
        <v>4236</v>
      </c>
      <c r="F474" s="1405" t="s">
        <v>5299</v>
      </c>
      <c r="G474" s="1403" t="s">
        <v>10255</v>
      </c>
      <c r="H474" s="1406" t="s">
        <v>884</v>
      </c>
    </row>
    <row r="475" spans="1:8" x14ac:dyDescent="0.2">
      <c r="A475" s="7"/>
      <c r="B475" s="1407" t="str">
        <f t="shared" si="7"/>
        <v>Gurmeet Khaira</v>
      </c>
      <c r="C475" s="1402" t="s">
        <v>5835</v>
      </c>
      <c r="D475" s="1403" t="s">
        <v>6911</v>
      </c>
      <c r="E475" s="1404" t="s">
        <v>4237</v>
      </c>
      <c r="F475" s="1405" t="s">
        <v>5300</v>
      </c>
      <c r="G475" s="1403" t="s">
        <v>5303</v>
      </c>
      <c r="H475" s="1406" t="s">
        <v>884</v>
      </c>
    </row>
    <row r="476" spans="1:8" x14ac:dyDescent="0.2">
      <c r="A476" s="7"/>
      <c r="B476" s="1407" t="str">
        <f t="shared" si="7"/>
        <v>Parjesh Randhawa</v>
      </c>
      <c r="C476" s="1402" t="s">
        <v>5836</v>
      </c>
      <c r="D476" s="1403" t="s">
        <v>6912</v>
      </c>
      <c r="E476" s="1404" t="s">
        <v>4238</v>
      </c>
      <c r="F476" s="1405" t="s">
        <v>5299</v>
      </c>
      <c r="G476" s="1403" t="s">
        <v>5303</v>
      </c>
      <c r="H476" s="1406" t="s">
        <v>884</v>
      </c>
    </row>
    <row r="477" spans="1:8" x14ac:dyDescent="0.2">
      <c r="A477" s="7"/>
      <c r="B477" s="1407" t="str">
        <f t="shared" si="7"/>
        <v>Shaan Bal</v>
      </c>
      <c r="C477" s="1402" t="s">
        <v>5837</v>
      </c>
      <c r="D477" s="1403" t="s">
        <v>6913</v>
      </c>
      <c r="E477" s="1404" t="s">
        <v>4239</v>
      </c>
      <c r="F477" s="1405" t="s">
        <v>5299</v>
      </c>
      <c r="G477" s="1403" t="s">
        <v>5303</v>
      </c>
      <c r="H477" s="1406" t="s">
        <v>884</v>
      </c>
    </row>
    <row r="478" spans="1:8" x14ac:dyDescent="0.2">
      <c r="A478" s="7"/>
      <c r="B478" s="1407" t="str">
        <f t="shared" si="7"/>
        <v>Richard Ho</v>
      </c>
      <c r="C478" s="1402" t="s">
        <v>5838</v>
      </c>
      <c r="D478" s="1403" t="s">
        <v>3219</v>
      </c>
      <c r="E478" s="1404" t="s">
        <v>4240</v>
      </c>
      <c r="F478" s="1405" t="s">
        <v>5299</v>
      </c>
      <c r="G478" s="1403" t="s">
        <v>5303</v>
      </c>
      <c r="H478" s="1406" t="s">
        <v>884</v>
      </c>
    </row>
    <row r="479" spans="1:8" x14ac:dyDescent="0.2">
      <c r="A479" s="7"/>
      <c r="B479" s="1407" t="str">
        <f t="shared" si="7"/>
        <v>Allan Thornton</v>
      </c>
      <c r="C479" s="1402" t="s">
        <v>5839</v>
      </c>
      <c r="D479" s="1403" t="s">
        <v>3601</v>
      </c>
      <c r="E479" s="1404" t="s">
        <v>4241</v>
      </c>
      <c r="F479" s="1405" t="s">
        <v>5300</v>
      </c>
      <c r="G479" s="1403" t="s">
        <v>10291</v>
      </c>
      <c r="H479" s="1406" t="s">
        <v>884</v>
      </c>
    </row>
    <row r="480" spans="1:8" x14ac:dyDescent="0.2">
      <c r="A480" s="7"/>
      <c r="B480" s="1407" t="str">
        <f t="shared" si="7"/>
        <v>Jeff Watts</v>
      </c>
      <c r="C480" s="1402" t="s">
        <v>5840</v>
      </c>
      <c r="D480" s="1403" t="s">
        <v>5624</v>
      </c>
      <c r="E480" s="1404" t="s">
        <v>4242</v>
      </c>
      <c r="F480" s="1405" t="s">
        <v>5300</v>
      </c>
      <c r="G480" s="1403" t="s">
        <v>10291</v>
      </c>
      <c r="H480" s="1406" t="s">
        <v>884</v>
      </c>
    </row>
    <row r="481" spans="1:8" x14ac:dyDescent="0.2">
      <c r="A481" s="7"/>
      <c r="B481" s="1407" t="str">
        <f t="shared" si="7"/>
        <v>Peter Sexton</v>
      </c>
      <c r="C481" s="1402" t="s">
        <v>5841</v>
      </c>
      <c r="D481" s="1403" t="s">
        <v>3194</v>
      </c>
      <c r="E481" s="1404" t="s">
        <v>4243</v>
      </c>
      <c r="F481" s="1405" t="s">
        <v>5300</v>
      </c>
      <c r="G481" s="1403" t="s">
        <v>10257</v>
      </c>
      <c r="H481" s="1406" t="s">
        <v>884</v>
      </c>
    </row>
    <row r="482" spans="1:8" x14ac:dyDescent="0.2">
      <c r="A482" s="7"/>
      <c r="B482" s="1407" t="str">
        <f t="shared" si="7"/>
        <v>Stephan McNab</v>
      </c>
      <c r="C482" s="1402" t="s">
        <v>5842</v>
      </c>
      <c r="D482" s="1403" t="s">
        <v>3572</v>
      </c>
      <c r="E482" s="1404" t="s">
        <v>4244</v>
      </c>
      <c r="F482" s="1405" t="s">
        <v>5300</v>
      </c>
      <c r="G482" s="1403" t="s">
        <v>10257</v>
      </c>
      <c r="H482" s="1406" t="s">
        <v>884</v>
      </c>
    </row>
    <row r="483" spans="1:8" x14ac:dyDescent="0.2">
      <c r="A483" s="7"/>
      <c r="B483" s="1407" t="str">
        <f t="shared" si="7"/>
        <v>Brodyn Sexton</v>
      </c>
      <c r="C483" s="1402" t="s">
        <v>5841</v>
      </c>
      <c r="D483" s="1403" t="s">
        <v>6914</v>
      </c>
      <c r="E483" s="1404" t="s">
        <v>4245</v>
      </c>
      <c r="F483" s="1405" t="s">
        <v>5299</v>
      </c>
      <c r="G483" s="1403" t="s">
        <v>10257</v>
      </c>
      <c r="H483" s="1406" t="s">
        <v>884</v>
      </c>
    </row>
    <row r="484" spans="1:8" x14ac:dyDescent="0.2">
      <c r="A484" s="7"/>
      <c r="B484" s="1407" t="str">
        <f t="shared" si="7"/>
        <v>Liam Sexton</v>
      </c>
      <c r="C484" s="1402" t="s">
        <v>5841</v>
      </c>
      <c r="D484" s="1403" t="s">
        <v>3378</v>
      </c>
      <c r="E484" s="1404" t="s">
        <v>4246</v>
      </c>
      <c r="F484" s="1405" t="s">
        <v>5299</v>
      </c>
      <c r="G484" s="1403" t="s">
        <v>10257</v>
      </c>
      <c r="H484" s="1406" t="s">
        <v>884</v>
      </c>
    </row>
    <row r="485" spans="1:8" x14ac:dyDescent="0.2">
      <c r="A485" s="7"/>
      <c r="B485" s="1407" t="str">
        <f t="shared" si="7"/>
        <v>Shaun Burt</v>
      </c>
      <c r="C485" s="1402" t="s">
        <v>5843</v>
      </c>
      <c r="D485" s="1403" t="s">
        <v>3377</v>
      </c>
      <c r="E485" s="1404" t="s">
        <v>4247</v>
      </c>
      <c r="F485" s="1405" t="s">
        <v>5300</v>
      </c>
      <c r="G485" s="1403" t="s">
        <v>10257</v>
      </c>
      <c r="H485" s="1406" t="s">
        <v>884</v>
      </c>
    </row>
    <row r="486" spans="1:8" x14ac:dyDescent="0.2">
      <c r="A486" s="7"/>
      <c r="B486" s="1407" t="str">
        <f t="shared" si="7"/>
        <v>Iain Clarkson</v>
      </c>
      <c r="C486" s="1402" t="s">
        <v>5844</v>
      </c>
      <c r="D486" s="1403" t="s">
        <v>6915</v>
      </c>
      <c r="E486" s="1404" t="s">
        <v>4248</v>
      </c>
      <c r="F486" s="1405" t="s">
        <v>5299</v>
      </c>
      <c r="G486" s="1403" t="s">
        <v>10257</v>
      </c>
      <c r="H486" s="1406" t="s">
        <v>884</v>
      </c>
    </row>
    <row r="487" spans="1:8" x14ac:dyDescent="0.2">
      <c r="A487" s="7"/>
      <c r="B487" s="1407" t="str">
        <f t="shared" si="7"/>
        <v>Kyle Rokoski</v>
      </c>
      <c r="C487" s="1402" t="s">
        <v>5845</v>
      </c>
      <c r="D487" s="1403" t="s">
        <v>3577</v>
      </c>
      <c r="E487" s="1404" t="s">
        <v>4249</v>
      </c>
      <c r="F487" s="1405" t="s">
        <v>5299</v>
      </c>
      <c r="G487" s="1403" t="s">
        <v>10257</v>
      </c>
      <c r="H487" s="1406" t="s">
        <v>884</v>
      </c>
    </row>
    <row r="488" spans="1:8" x14ac:dyDescent="0.2">
      <c r="A488" s="7"/>
      <c r="B488" s="1407" t="str">
        <f t="shared" si="7"/>
        <v>Andrew Lemak</v>
      </c>
      <c r="C488" s="1402" t="s">
        <v>5846</v>
      </c>
      <c r="D488" s="1403" t="s">
        <v>3105</v>
      </c>
      <c r="E488" s="1404" t="s">
        <v>4250</v>
      </c>
      <c r="F488" s="1405" t="s">
        <v>5299</v>
      </c>
      <c r="G488" s="1403" t="s">
        <v>10257</v>
      </c>
      <c r="H488" s="1406" t="s">
        <v>884</v>
      </c>
    </row>
    <row r="489" spans="1:8" x14ac:dyDescent="0.2">
      <c r="A489" s="7"/>
      <c r="B489" s="1407" t="str">
        <f t="shared" si="7"/>
        <v>Chris Moore</v>
      </c>
      <c r="C489" s="1402" t="s">
        <v>5847</v>
      </c>
      <c r="D489" s="1403" t="s">
        <v>3029</v>
      </c>
      <c r="E489" s="1404" t="s">
        <v>4251</v>
      </c>
      <c r="F489" s="1405" t="s">
        <v>5299</v>
      </c>
      <c r="G489" s="1403" t="s">
        <v>10257</v>
      </c>
      <c r="H489" s="1406" t="s">
        <v>884</v>
      </c>
    </row>
    <row r="490" spans="1:8" x14ac:dyDescent="0.2">
      <c r="A490" s="7"/>
      <c r="B490" s="1407" t="str">
        <f t="shared" si="7"/>
        <v>Gerald Moore</v>
      </c>
      <c r="C490" s="1402" t="s">
        <v>5847</v>
      </c>
      <c r="D490" s="1403" t="s">
        <v>3608</v>
      </c>
      <c r="E490" s="1404" t="s">
        <v>4252</v>
      </c>
      <c r="F490" s="1405" t="s">
        <v>5300</v>
      </c>
      <c r="G490" s="1403" t="s">
        <v>10257</v>
      </c>
      <c r="H490" s="1406" t="s">
        <v>884</v>
      </c>
    </row>
    <row r="491" spans="1:8" x14ac:dyDescent="0.2">
      <c r="A491" s="7"/>
      <c r="B491" s="1407" t="str">
        <f t="shared" si="7"/>
        <v>John Sexton</v>
      </c>
      <c r="C491" s="1402" t="s">
        <v>5841</v>
      </c>
      <c r="D491" s="1403" t="s">
        <v>3250</v>
      </c>
      <c r="E491" s="1404" t="s">
        <v>4253</v>
      </c>
      <c r="F491" s="1405" t="s">
        <v>5300</v>
      </c>
      <c r="G491" s="1403" t="s">
        <v>10257</v>
      </c>
      <c r="H491" s="1406" t="s">
        <v>884</v>
      </c>
    </row>
    <row r="492" spans="1:8" x14ac:dyDescent="0.2">
      <c r="A492" s="7"/>
      <c r="B492" s="1407" t="str">
        <f t="shared" si="7"/>
        <v>Behn Wurthman</v>
      </c>
      <c r="C492" s="1402" t="s">
        <v>5848</v>
      </c>
      <c r="D492" s="1403" t="s">
        <v>6916</v>
      </c>
      <c r="E492" s="1404" t="s">
        <v>4254</v>
      </c>
      <c r="F492" s="1405" t="s">
        <v>5300</v>
      </c>
      <c r="G492" s="1403" t="s">
        <v>10257</v>
      </c>
      <c r="H492" s="1406" t="s">
        <v>884</v>
      </c>
    </row>
    <row r="493" spans="1:8" x14ac:dyDescent="0.2">
      <c r="A493" s="7"/>
      <c r="B493" s="1407" t="str">
        <f t="shared" si="7"/>
        <v>John Mckay</v>
      </c>
      <c r="C493" s="1402" t="s">
        <v>5849</v>
      </c>
      <c r="D493" s="1403" t="s">
        <v>3250</v>
      </c>
      <c r="E493" s="1404" t="s">
        <v>4255</v>
      </c>
      <c r="F493" s="1405" t="s">
        <v>5300</v>
      </c>
      <c r="G493" s="1403" t="s">
        <v>10257</v>
      </c>
      <c r="H493" s="1406" t="s">
        <v>884</v>
      </c>
    </row>
    <row r="494" spans="1:8" x14ac:dyDescent="0.2">
      <c r="A494" s="7"/>
      <c r="B494" s="1407" t="str">
        <f t="shared" si="7"/>
        <v>Paul Burt</v>
      </c>
      <c r="C494" s="1402" t="s">
        <v>5843</v>
      </c>
      <c r="D494" s="1403" t="s">
        <v>3259</v>
      </c>
      <c r="E494" s="1404" t="s">
        <v>4256</v>
      </c>
      <c r="F494" s="1405" t="s">
        <v>5300</v>
      </c>
      <c r="G494" s="1403" t="s">
        <v>10257</v>
      </c>
      <c r="H494" s="1406" t="s">
        <v>884</v>
      </c>
    </row>
    <row r="495" spans="1:8" x14ac:dyDescent="0.2">
      <c r="A495" s="7"/>
      <c r="B495" s="1407" t="str">
        <f t="shared" si="7"/>
        <v>Shawn Lovegrove</v>
      </c>
      <c r="C495" s="1402" t="s">
        <v>5850</v>
      </c>
      <c r="D495" s="1403" t="s">
        <v>6917</v>
      </c>
      <c r="E495" s="1404" t="s">
        <v>4257</v>
      </c>
      <c r="F495" s="1405" t="s">
        <v>5300</v>
      </c>
      <c r="G495" s="1403" t="s">
        <v>10257</v>
      </c>
      <c r="H495" s="1406" t="s">
        <v>884</v>
      </c>
    </row>
    <row r="496" spans="1:8" x14ac:dyDescent="0.2">
      <c r="A496" s="7"/>
      <c r="B496" s="1407" t="str">
        <f t="shared" si="7"/>
        <v>Chris Fallie</v>
      </c>
      <c r="C496" s="1402" t="s">
        <v>5851</v>
      </c>
      <c r="D496" s="1403" t="s">
        <v>3029</v>
      </c>
      <c r="E496" s="1404" t="s">
        <v>4258</v>
      </c>
      <c r="F496" s="1405" t="s">
        <v>5299</v>
      </c>
      <c r="G496" s="1403" t="s">
        <v>10257</v>
      </c>
      <c r="H496" s="1406" t="s">
        <v>884</v>
      </c>
    </row>
    <row r="497" spans="1:8" x14ac:dyDescent="0.2">
      <c r="A497" s="7"/>
      <c r="B497" s="1407" t="str">
        <f t="shared" si="7"/>
        <v>Sarjit Khaira</v>
      </c>
      <c r="C497" s="1402" t="s">
        <v>5835</v>
      </c>
      <c r="D497" s="1403" t="s">
        <v>6920</v>
      </c>
      <c r="E497" s="1404" t="s">
        <v>4259</v>
      </c>
      <c r="F497" s="1405" t="s">
        <v>5300</v>
      </c>
      <c r="G497" s="1403" t="s">
        <v>5303</v>
      </c>
      <c r="H497" s="1406" t="s">
        <v>884</v>
      </c>
    </row>
    <row r="498" spans="1:8" x14ac:dyDescent="0.2">
      <c r="A498" s="7"/>
      <c r="B498" s="1407" t="str">
        <f t="shared" si="7"/>
        <v>Gavin Khaira</v>
      </c>
      <c r="C498" s="1402" t="s">
        <v>5835</v>
      </c>
      <c r="D498" s="1403" t="s">
        <v>6921</v>
      </c>
      <c r="E498" s="1404" t="s">
        <v>4260</v>
      </c>
      <c r="F498" s="1405" t="s">
        <v>5299</v>
      </c>
      <c r="G498" s="1403" t="s">
        <v>5303</v>
      </c>
      <c r="H498" s="1406" t="s">
        <v>884</v>
      </c>
    </row>
    <row r="499" spans="1:8" x14ac:dyDescent="0.2">
      <c r="A499" s="7"/>
      <c r="B499" s="1407" t="str">
        <f t="shared" si="7"/>
        <v>Mike Sgro</v>
      </c>
      <c r="C499" s="1402" t="s">
        <v>9740</v>
      </c>
      <c r="D499" s="1403" t="s">
        <v>3304</v>
      </c>
      <c r="E499" s="1404" t="s">
        <v>9780</v>
      </c>
      <c r="F499" s="1405" t="s">
        <v>5299</v>
      </c>
      <c r="G499" s="1403" t="s">
        <v>10256</v>
      </c>
      <c r="H499" s="1406" t="s">
        <v>884</v>
      </c>
    </row>
    <row r="500" spans="1:8" x14ac:dyDescent="0.2">
      <c r="A500" s="7"/>
      <c r="B500" s="1407" t="str">
        <f t="shared" si="7"/>
        <v>Mike Chieffallo</v>
      </c>
      <c r="C500" s="1402" t="s">
        <v>9741</v>
      </c>
      <c r="D500" s="1403" t="s">
        <v>3304</v>
      </c>
      <c r="E500" s="1404" t="s">
        <v>9781</v>
      </c>
      <c r="F500" s="1405" t="s">
        <v>5299</v>
      </c>
      <c r="G500" s="1403" t="s">
        <v>10256</v>
      </c>
      <c r="H500" s="1406" t="s">
        <v>884</v>
      </c>
    </row>
    <row r="501" spans="1:8" x14ac:dyDescent="0.2">
      <c r="A501" s="7"/>
      <c r="B501" s="1407" t="str">
        <f t="shared" si="7"/>
        <v>Mike Devey</v>
      </c>
      <c r="C501" s="1402" t="s">
        <v>9742</v>
      </c>
      <c r="D501" s="1403" t="s">
        <v>3304</v>
      </c>
      <c r="E501" s="1404" t="s">
        <v>9782</v>
      </c>
      <c r="F501" s="1405" t="s">
        <v>5299</v>
      </c>
      <c r="G501" s="1403" t="s">
        <v>10256</v>
      </c>
      <c r="H501" s="1406" t="s">
        <v>884</v>
      </c>
    </row>
    <row r="502" spans="1:8" x14ac:dyDescent="0.2">
      <c r="A502" s="7"/>
      <c r="B502" s="1407" t="str">
        <f t="shared" si="7"/>
        <v>Richard Ruffolo</v>
      </c>
      <c r="C502" s="1402" t="s">
        <v>9743</v>
      </c>
      <c r="D502" s="1403" t="s">
        <v>3219</v>
      </c>
      <c r="E502" s="1404" t="s">
        <v>9783</v>
      </c>
      <c r="F502" s="1405" t="s">
        <v>5299</v>
      </c>
      <c r="G502" s="1403" t="s">
        <v>10256</v>
      </c>
      <c r="H502" s="1406" t="s">
        <v>884</v>
      </c>
    </row>
    <row r="503" spans="1:8" x14ac:dyDescent="0.2">
      <c r="A503" s="7"/>
      <c r="B503" s="1407" t="str">
        <f t="shared" si="7"/>
        <v>Chris Moreira</v>
      </c>
      <c r="C503" s="1402" t="s">
        <v>9744</v>
      </c>
      <c r="D503" s="1403" t="s">
        <v>3029</v>
      </c>
      <c r="E503" s="1404" t="s">
        <v>9784</v>
      </c>
      <c r="F503" s="1405" t="s">
        <v>5299</v>
      </c>
      <c r="G503" s="1403" t="s">
        <v>10256</v>
      </c>
      <c r="H503" s="1406" t="s">
        <v>884</v>
      </c>
    </row>
    <row r="504" spans="1:8" x14ac:dyDescent="0.2">
      <c r="A504" s="7"/>
      <c r="B504" s="1407" t="str">
        <f t="shared" si="7"/>
        <v>Frédéric Perdaens</v>
      </c>
      <c r="C504" s="1402" t="s">
        <v>11355</v>
      </c>
      <c r="D504" s="1403" t="s">
        <v>3286</v>
      </c>
      <c r="E504" s="1404" t="s">
        <v>11387</v>
      </c>
      <c r="F504" s="1405" t="s">
        <v>5300</v>
      </c>
      <c r="G504" s="1403" t="s">
        <v>2779</v>
      </c>
      <c r="H504" s="1406" t="s">
        <v>884</v>
      </c>
    </row>
    <row r="505" spans="1:8" x14ac:dyDescent="0.2">
      <c r="A505" s="7"/>
      <c r="B505" s="1407" t="str">
        <f t="shared" si="7"/>
        <v>Gary Caven</v>
      </c>
      <c r="C505" s="1402" t="s">
        <v>17723</v>
      </c>
      <c r="D505" s="1403" t="s">
        <v>3192</v>
      </c>
      <c r="E505" s="1404" t="s">
        <v>17724</v>
      </c>
      <c r="F505" s="1405"/>
      <c r="G505" s="1403" t="s">
        <v>14359</v>
      </c>
      <c r="H505" s="1406" t="s">
        <v>884</v>
      </c>
    </row>
    <row r="506" spans="1:8" x14ac:dyDescent="0.2">
      <c r="A506" s="7"/>
      <c r="B506" s="1407" t="str">
        <f t="shared" si="7"/>
        <v>Warren Creighton</v>
      </c>
      <c r="C506" s="1402" t="s">
        <v>17725</v>
      </c>
      <c r="D506" s="1403" t="s">
        <v>16352</v>
      </c>
      <c r="E506" s="1404" t="s">
        <v>17726</v>
      </c>
      <c r="F506" s="1405"/>
      <c r="G506" s="1403" t="s">
        <v>14359</v>
      </c>
      <c r="H506" s="1406" t="s">
        <v>884</v>
      </c>
    </row>
    <row r="507" spans="1:8" x14ac:dyDescent="0.2">
      <c r="A507" s="7"/>
      <c r="B507" s="1407" t="str">
        <f t="shared" si="7"/>
        <v>Ian Parkes</v>
      </c>
      <c r="C507" s="1402" t="s">
        <v>17727</v>
      </c>
      <c r="D507" s="1403" t="s">
        <v>3688</v>
      </c>
      <c r="E507" s="1404" t="s">
        <v>17728</v>
      </c>
      <c r="F507" s="1405" t="s">
        <v>5300</v>
      </c>
      <c r="G507" s="1403" t="s">
        <v>14359</v>
      </c>
      <c r="H507" s="1406" t="s">
        <v>884</v>
      </c>
    </row>
    <row r="508" spans="1:8" x14ac:dyDescent="0.2">
      <c r="A508" s="7"/>
      <c r="B508" s="1407" t="str">
        <f t="shared" si="7"/>
        <v>Domenic Ientile</v>
      </c>
      <c r="C508" s="1402" t="s">
        <v>17729</v>
      </c>
      <c r="D508" s="1403" t="s">
        <v>17730</v>
      </c>
      <c r="E508" s="1404" t="s">
        <v>17731</v>
      </c>
      <c r="F508" s="1405" t="s">
        <v>5300</v>
      </c>
      <c r="G508" s="1403" t="s">
        <v>17732</v>
      </c>
      <c r="H508" s="1406" t="s">
        <v>884</v>
      </c>
    </row>
    <row r="509" spans="1:8" x14ac:dyDescent="0.2">
      <c r="A509" s="7"/>
      <c r="B509" s="1407" t="str">
        <f t="shared" si="7"/>
        <v>Pat Cubellis</v>
      </c>
      <c r="C509" s="1402" t="s">
        <v>17733</v>
      </c>
      <c r="D509" s="1403" t="s">
        <v>17734</v>
      </c>
      <c r="E509" s="1404" t="s">
        <v>17735</v>
      </c>
      <c r="F509" s="1405" t="s">
        <v>5300</v>
      </c>
      <c r="G509" s="1403"/>
      <c r="H509" s="1406" t="s">
        <v>884</v>
      </c>
    </row>
    <row r="510" spans="1:8" x14ac:dyDescent="0.2">
      <c r="A510" s="7"/>
      <c r="B510" s="1407" t="str">
        <f t="shared" si="7"/>
        <v>Hugh MacSween</v>
      </c>
      <c r="C510" s="1402" t="s">
        <v>17736</v>
      </c>
      <c r="D510" s="1403" t="s">
        <v>8226</v>
      </c>
      <c r="E510" s="1404" t="s">
        <v>17737</v>
      </c>
      <c r="F510" s="1405" t="s">
        <v>5300</v>
      </c>
      <c r="G510" s="1403" t="s">
        <v>17738</v>
      </c>
      <c r="H510" s="1406" t="s">
        <v>884</v>
      </c>
    </row>
    <row r="511" spans="1:8" x14ac:dyDescent="0.2">
      <c r="A511" s="7"/>
      <c r="B511" s="1407" t="str">
        <f t="shared" si="7"/>
        <v>Lachlan MacSween</v>
      </c>
      <c r="C511" s="1402" t="s">
        <v>17736</v>
      </c>
      <c r="D511" s="1403" t="s">
        <v>17739</v>
      </c>
      <c r="E511" s="1404" t="s">
        <v>17740</v>
      </c>
      <c r="F511" s="1405" t="s">
        <v>1563</v>
      </c>
      <c r="G511" s="1403" t="s">
        <v>17738</v>
      </c>
      <c r="H511" s="1406" t="s">
        <v>884</v>
      </c>
    </row>
    <row r="512" spans="1:8" x14ac:dyDescent="0.2">
      <c r="A512" s="7"/>
      <c r="B512" s="1407" t="str">
        <f t="shared" si="7"/>
        <v>Paul Andreas</v>
      </c>
      <c r="C512" s="1402" t="s">
        <v>3351</v>
      </c>
      <c r="D512" s="1403" t="s">
        <v>3259</v>
      </c>
      <c r="E512" s="1404" t="s">
        <v>4261</v>
      </c>
      <c r="F512" s="1405" t="s">
        <v>5300</v>
      </c>
      <c r="G512" s="1403" t="s">
        <v>17082</v>
      </c>
      <c r="H512" s="1406" t="s">
        <v>1005</v>
      </c>
    </row>
    <row r="513" spans="1:8" x14ac:dyDescent="0.2">
      <c r="A513" s="7"/>
      <c r="B513" s="1407" t="str">
        <f t="shared" si="7"/>
        <v>Andy Andronikou</v>
      </c>
      <c r="C513" s="1402" t="s">
        <v>5852</v>
      </c>
      <c r="D513" s="1403" t="s">
        <v>3322</v>
      </c>
      <c r="E513" s="1404" t="s">
        <v>4262</v>
      </c>
      <c r="F513" s="1405" t="s">
        <v>5299</v>
      </c>
      <c r="G513" s="1403" t="s">
        <v>16892</v>
      </c>
      <c r="H513" s="1406" t="s">
        <v>1005</v>
      </c>
    </row>
    <row r="514" spans="1:8" x14ac:dyDescent="0.2">
      <c r="A514" s="7"/>
      <c r="B514" s="1407" t="str">
        <f t="shared" si="7"/>
        <v>Andreas Constantinou</v>
      </c>
      <c r="C514" s="1402" t="s">
        <v>5853</v>
      </c>
      <c r="D514" s="1403" t="s">
        <v>3351</v>
      </c>
      <c r="E514" s="1404" t="s">
        <v>4263</v>
      </c>
      <c r="F514" s="1405" t="s">
        <v>5299</v>
      </c>
      <c r="G514" s="1403" t="s">
        <v>2798</v>
      </c>
      <c r="H514" s="1406" t="s">
        <v>1005</v>
      </c>
    </row>
    <row r="515" spans="1:8" x14ac:dyDescent="0.2">
      <c r="A515" s="7"/>
      <c r="B515" s="1407" t="str">
        <f t="shared" si="7"/>
        <v>Theodosis Hadjitheklis</v>
      </c>
      <c r="C515" s="1402" t="s">
        <v>5854</v>
      </c>
      <c r="D515" s="1403" t="s">
        <v>5603</v>
      </c>
      <c r="E515" s="1404" t="s">
        <v>4264</v>
      </c>
      <c r="F515" s="1405" t="s">
        <v>5299</v>
      </c>
      <c r="G515" s="1403" t="s">
        <v>2798</v>
      </c>
      <c r="H515" s="1406" t="s">
        <v>1005</v>
      </c>
    </row>
    <row r="516" spans="1:8" x14ac:dyDescent="0.2">
      <c r="A516" s="7"/>
      <c r="B516" s="1407" t="str">
        <f t="shared" si="7"/>
        <v>Neophytos Ioannides</v>
      </c>
      <c r="C516" s="1402" t="s">
        <v>5855</v>
      </c>
      <c r="D516" s="1403" t="s">
        <v>5588</v>
      </c>
      <c r="E516" s="1404" t="s">
        <v>4265</v>
      </c>
      <c r="F516" s="1405" t="s">
        <v>5299</v>
      </c>
      <c r="G516" s="1403" t="s">
        <v>2798</v>
      </c>
      <c r="H516" s="1406" t="s">
        <v>1005</v>
      </c>
    </row>
    <row r="517" spans="1:8" x14ac:dyDescent="0.2">
      <c r="A517" s="7"/>
      <c r="B517" s="1407" t="str">
        <f t="shared" si="7"/>
        <v>Kostas Kalopsidiotis</v>
      </c>
      <c r="C517" s="1402" t="s">
        <v>5856</v>
      </c>
      <c r="D517" s="1403" t="s">
        <v>3073</v>
      </c>
      <c r="E517" s="1404" t="s">
        <v>4266</v>
      </c>
      <c r="F517" s="1405" t="s">
        <v>5299</v>
      </c>
      <c r="G517" s="1403" t="s">
        <v>2798</v>
      </c>
      <c r="H517" s="1406" t="s">
        <v>1005</v>
      </c>
    </row>
    <row r="518" spans="1:8" x14ac:dyDescent="0.2">
      <c r="A518" s="7"/>
      <c r="B518" s="1407" t="str">
        <f t="shared" si="7"/>
        <v>Marcos Kalopsidiotis</v>
      </c>
      <c r="C518" s="1402" t="s">
        <v>5856</v>
      </c>
      <c r="D518" s="1403" t="s">
        <v>3112</v>
      </c>
      <c r="E518" s="1404" t="s">
        <v>4267</v>
      </c>
      <c r="F518" s="1405" t="s">
        <v>5299</v>
      </c>
      <c r="G518" s="1403" t="s">
        <v>2798</v>
      </c>
      <c r="H518" s="1406" t="s">
        <v>1005</v>
      </c>
    </row>
    <row r="519" spans="1:8" x14ac:dyDescent="0.2">
      <c r="A519" s="7"/>
      <c r="B519" s="1407" t="str">
        <f t="shared" ref="B519:B582" si="8">TRIM(CONCATENATE(D519," ",C519))</f>
        <v>Stefanos Kouratzis</v>
      </c>
      <c r="C519" s="1402" t="s">
        <v>5857</v>
      </c>
      <c r="D519" s="1403" t="s">
        <v>3501</v>
      </c>
      <c r="E519" s="1404" t="s">
        <v>4268</v>
      </c>
      <c r="F519" s="1405" t="s">
        <v>5299</v>
      </c>
      <c r="G519" s="1403" t="s">
        <v>16892</v>
      </c>
      <c r="H519" s="1406" t="s">
        <v>1005</v>
      </c>
    </row>
    <row r="520" spans="1:8" x14ac:dyDescent="0.2">
      <c r="A520" s="7"/>
      <c r="B520" s="1407" t="str">
        <f t="shared" si="8"/>
        <v>Kyriacos Ktenas</v>
      </c>
      <c r="C520" s="1402" t="s">
        <v>5858</v>
      </c>
      <c r="D520" s="1403" t="s">
        <v>6922</v>
      </c>
      <c r="E520" s="1404" t="s">
        <v>4269</v>
      </c>
      <c r="F520" s="1405" t="s">
        <v>5299</v>
      </c>
      <c r="G520" s="1403" t="s">
        <v>9447</v>
      </c>
      <c r="H520" s="1406" t="s">
        <v>1005</v>
      </c>
    </row>
    <row r="521" spans="1:8" x14ac:dyDescent="0.2">
      <c r="A521" s="7"/>
      <c r="B521" s="1407" t="str">
        <f t="shared" si="8"/>
        <v>Marios Kyriacou</v>
      </c>
      <c r="C521" s="1402" t="s">
        <v>5859</v>
      </c>
      <c r="D521" s="1403" t="s">
        <v>3557</v>
      </c>
      <c r="E521" s="1404" t="s">
        <v>4270</v>
      </c>
      <c r="F521" s="1405" t="s">
        <v>5300</v>
      </c>
      <c r="G521" s="1403" t="s">
        <v>16892</v>
      </c>
      <c r="H521" s="1406" t="s">
        <v>1005</v>
      </c>
    </row>
    <row r="522" spans="1:8" x14ac:dyDescent="0.2">
      <c r="A522" s="7"/>
      <c r="B522" s="1407" t="str">
        <f t="shared" si="8"/>
        <v>Christos Nicolau</v>
      </c>
      <c r="C522" s="1402" t="s">
        <v>5860</v>
      </c>
      <c r="D522" s="1403" t="s">
        <v>3135</v>
      </c>
      <c r="E522" s="1404" t="s">
        <v>4271</v>
      </c>
      <c r="F522" s="1405" t="s">
        <v>5299</v>
      </c>
      <c r="G522" s="1403" t="s">
        <v>2798</v>
      </c>
      <c r="H522" s="1406" t="s">
        <v>1005</v>
      </c>
    </row>
    <row r="523" spans="1:8" x14ac:dyDescent="0.2">
      <c r="A523" s="7"/>
      <c r="B523" s="1407" t="str">
        <f t="shared" si="8"/>
        <v>Rob O'Hare</v>
      </c>
      <c r="C523" s="1402" t="s">
        <v>5861</v>
      </c>
      <c r="D523" s="1403" t="s">
        <v>3320</v>
      </c>
      <c r="E523" s="1404" t="s">
        <v>4272</v>
      </c>
      <c r="F523" s="1405" t="s">
        <v>5300</v>
      </c>
      <c r="G523" s="1403" t="s">
        <v>2752</v>
      </c>
      <c r="H523" s="1406" t="s">
        <v>1005</v>
      </c>
    </row>
    <row r="524" spans="1:8" x14ac:dyDescent="0.2">
      <c r="A524" s="7"/>
      <c r="B524" s="1407" t="str">
        <f t="shared" si="8"/>
        <v>Dimitris Parperis</v>
      </c>
      <c r="C524" s="1402" t="s">
        <v>5862</v>
      </c>
      <c r="D524" s="1403" t="s">
        <v>3099</v>
      </c>
      <c r="E524" s="1404" t="s">
        <v>4273</v>
      </c>
      <c r="F524" s="1405" t="s">
        <v>5299</v>
      </c>
      <c r="G524" s="1403" t="s">
        <v>2892</v>
      </c>
      <c r="H524" s="1406" t="s">
        <v>1005</v>
      </c>
    </row>
    <row r="525" spans="1:8" x14ac:dyDescent="0.2">
      <c r="A525" s="7"/>
      <c r="B525" s="1407" t="str">
        <f t="shared" si="8"/>
        <v>Alexandros Sarris</v>
      </c>
      <c r="C525" s="1402" t="s">
        <v>5863</v>
      </c>
      <c r="D525" s="1403" t="s">
        <v>3582</v>
      </c>
      <c r="E525" s="1404" t="s">
        <v>4274</v>
      </c>
      <c r="F525" s="1405" t="s">
        <v>5299</v>
      </c>
      <c r="G525" s="1403" t="s">
        <v>2798</v>
      </c>
      <c r="H525" s="1406" t="s">
        <v>1005</v>
      </c>
    </row>
    <row r="526" spans="1:8" x14ac:dyDescent="0.2">
      <c r="A526" s="7"/>
      <c r="B526" s="1407" t="str">
        <f t="shared" si="8"/>
        <v>Daniel Sarris</v>
      </c>
      <c r="C526" s="1402" t="s">
        <v>5863</v>
      </c>
      <c r="D526" s="1403" t="s">
        <v>3243</v>
      </c>
      <c r="E526" s="1404" t="s">
        <v>4275</v>
      </c>
      <c r="F526" s="1405" t="s">
        <v>5299</v>
      </c>
      <c r="G526" s="1403" t="s">
        <v>2798</v>
      </c>
      <c r="H526" s="1406" t="s">
        <v>1005</v>
      </c>
    </row>
    <row r="527" spans="1:8" x14ac:dyDescent="0.2">
      <c r="A527" s="7"/>
      <c r="B527" s="1407" t="str">
        <f t="shared" si="8"/>
        <v>Mikel Sarris</v>
      </c>
      <c r="C527" s="1402" t="s">
        <v>5863</v>
      </c>
      <c r="D527" s="1403" t="s">
        <v>5576</v>
      </c>
      <c r="E527" s="1404" t="s">
        <v>4276</v>
      </c>
      <c r="F527" s="1405" t="s">
        <v>5299</v>
      </c>
      <c r="G527" s="1403" t="s">
        <v>2798</v>
      </c>
      <c r="H527" s="1406" t="s">
        <v>1005</v>
      </c>
    </row>
    <row r="528" spans="1:8" x14ac:dyDescent="0.2">
      <c r="A528" s="7"/>
      <c r="B528" s="1407" t="str">
        <f t="shared" si="8"/>
        <v>Nikolas Sarris</v>
      </c>
      <c r="C528" s="1402" t="s">
        <v>5863</v>
      </c>
      <c r="D528" s="1403" t="s">
        <v>5557</v>
      </c>
      <c r="E528" s="1404" t="s">
        <v>4277</v>
      </c>
      <c r="F528" s="1405" t="s">
        <v>5299</v>
      </c>
      <c r="G528" s="1403" t="s">
        <v>2798</v>
      </c>
      <c r="H528" s="1406" t="s">
        <v>1005</v>
      </c>
    </row>
    <row r="529" spans="1:8" x14ac:dyDescent="0.2">
      <c r="A529" s="7"/>
      <c r="B529" s="1407" t="str">
        <f t="shared" si="8"/>
        <v>Christos Socratous</v>
      </c>
      <c r="C529" s="1402" t="s">
        <v>5864</v>
      </c>
      <c r="D529" s="1403" t="s">
        <v>3135</v>
      </c>
      <c r="E529" s="1404" t="s">
        <v>4278</v>
      </c>
      <c r="F529" s="1405" t="s">
        <v>5299</v>
      </c>
      <c r="G529" s="1403" t="s">
        <v>2798</v>
      </c>
      <c r="H529" s="1406" t="s">
        <v>1005</v>
      </c>
    </row>
    <row r="530" spans="1:8" x14ac:dyDescent="0.2">
      <c r="A530" s="7"/>
      <c r="B530" s="1407" t="str">
        <f t="shared" si="8"/>
        <v>George Vassiliades</v>
      </c>
      <c r="C530" s="1402" t="s">
        <v>5865</v>
      </c>
      <c r="D530" s="1403" t="s">
        <v>3162</v>
      </c>
      <c r="E530" s="1404" t="s">
        <v>4279</v>
      </c>
      <c r="F530" s="1405" t="s">
        <v>5300</v>
      </c>
      <c r="G530" s="1403" t="s">
        <v>16892</v>
      </c>
      <c r="H530" s="1406" t="s">
        <v>1005</v>
      </c>
    </row>
    <row r="531" spans="1:8" x14ac:dyDescent="0.2">
      <c r="A531" s="7"/>
      <c r="B531" s="1407" t="str">
        <f t="shared" si="8"/>
        <v>Giorgos Zangylos</v>
      </c>
      <c r="C531" s="1402" t="s">
        <v>5866</v>
      </c>
      <c r="D531" s="1403" t="s">
        <v>3040</v>
      </c>
      <c r="E531" s="1404" t="s">
        <v>4280</v>
      </c>
      <c r="F531" s="1405" t="s">
        <v>5300</v>
      </c>
      <c r="G531" s="1403" t="s">
        <v>2798</v>
      </c>
      <c r="H531" s="1406" t="s">
        <v>1005</v>
      </c>
    </row>
    <row r="532" spans="1:8" x14ac:dyDescent="0.2">
      <c r="A532" s="7"/>
      <c r="B532" s="1407" t="str">
        <f t="shared" si="8"/>
        <v>Giannis Zinonos</v>
      </c>
      <c r="C532" s="1402" t="s">
        <v>5867</v>
      </c>
      <c r="D532" s="1403" t="s">
        <v>3083</v>
      </c>
      <c r="E532" s="1404" t="s">
        <v>4281</v>
      </c>
      <c r="F532" s="1405" t="s">
        <v>5299</v>
      </c>
      <c r="G532" s="1403" t="s">
        <v>2798</v>
      </c>
      <c r="H532" s="1406" t="s">
        <v>1005</v>
      </c>
    </row>
    <row r="533" spans="1:8" x14ac:dyDescent="0.2">
      <c r="A533" s="7"/>
      <c r="B533" s="1407" t="str">
        <f t="shared" si="8"/>
        <v>Pambos Zorbis</v>
      </c>
      <c r="C533" s="1402" t="s">
        <v>5868</v>
      </c>
      <c r="D533" s="1403" t="s">
        <v>5582</v>
      </c>
      <c r="E533" s="1404" t="s">
        <v>4282</v>
      </c>
      <c r="F533" s="1405" t="s">
        <v>5299</v>
      </c>
      <c r="G533" s="1403" t="s">
        <v>2798</v>
      </c>
      <c r="H533" s="1406" t="s">
        <v>1005</v>
      </c>
    </row>
    <row r="534" spans="1:8" x14ac:dyDescent="0.2">
      <c r="A534" s="7"/>
      <c r="B534" s="1407" t="str">
        <f t="shared" si="8"/>
        <v>Vangelis Zorbis</v>
      </c>
      <c r="C534" s="1402" t="s">
        <v>5868</v>
      </c>
      <c r="D534" s="1403" t="s">
        <v>5514</v>
      </c>
      <c r="E534" s="1404" t="s">
        <v>4283</v>
      </c>
      <c r="F534" s="1405" t="s">
        <v>5299</v>
      </c>
      <c r="G534" s="1403" t="s">
        <v>2798</v>
      </c>
      <c r="H534" s="1406" t="s">
        <v>1005</v>
      </c>
    </row>
    <row r="535" spans="1:8" x14ac:dyDescent="0.2">
      <c r="A535" s="7"/>
      <c r="B535" s="1407" t="str">
        <f t="shared" si="8"/>
        <v>Christoforou Kleanthis</v>
      </c>
      <c r="C535" s="1402" t="s">
        <v>15752</v>
      </c>
      <c r="D535" s="1403" t="s">
        <v>15365</v>
      </c>
      <c r="E535" s="1404" t="s">
        <v>15753</v>
      </c>
      <c r="F535" s="1405"/>
      <c r="G535" s="1403" t="s">
        <v>2798</v>
      </c>
      <c r="H535" s="1406" t="s">
        <v>1005</v>
      </c>
    </row>
    <row r="536" spans="1:8" x14ac:dyDescent="0.2">
      <c r="A536" s="7"/>
      <c r="B536" s="1407" t="str">
        <f t="shared" si="8"/>
        <v>Christakis Ioannou</v>
      </c>
      <c r="C536" s="1402" t="s">
        <v>5869</v>
      </c>
      <c r="D536" s="1403" t="s">
        <v>6923</v>
      </c>
      <c r="E536" s="1404" t="s">
        <v>4284</v>
      </c>
      <c r="F536" s="1405" t="s">
        <v>5300</v>
      </c>
      <c r="G536" s="1403" t="s">
        <v>16892</v>
      </c>
      <c r="H536" s="1406" t="s">
        <v>1005</v>
      </c>
    </row>
    <row r="537" spans="1:8" x14ac:dyDescent="0.2">
      <c r="A537" s="7"/>
      <c r="B537" s="1407" t="str">
        <f t="shared" si="8"/>
        <v>Achilles Karayiannis</v>
      </c>
      <c r="C537" s="1402" t="s">
        <v>5870</v>
      </c>
      <c r="D537" s="1403" t="s">
        <v>15731</v>
      </c>
      <c r="E537" s="1404" t="s">
        <v>15732</v>
      </c>
      <c r="F537" s="1405"/>
      <c r="G537" s="1403" t="s">
        <v>16892</v>
      </c>
      <c r="H537" s="1406" t="s">
        <v>1005</v>
      </c>
    </row>
    <row r="538" spans="1:8" x14ac:dyDescent="0.2">
      <c r="A538" s="7"/>
      <c r="B538" s="1407" t="str">
        <f t="shared" si="8"/>
        <v>Nick Gregoriou</v>
      </c>
      <c r="C538" s="1402" t="s">
        <v>15624</v>
      </c>
      <c r="D538" s="1403" t="s">
        <v>5540</v>
      </c>
      <c r="E538" s="1404" t="s">
        <v>15625</v>
      </c>
      <c r="F538" s="1405"/>
      <c r="G538" s="1403" t="s">
        <v>2798</v>
      </c>
      <c r="H538" s="1406" t="s">
        <v>1005</v>
      </c>
    </row>
    <row r="539" spans="1:8" x14ac:dyDescent="0.2">
      <c r="A539" s="7"/>
      <c r="B539" s="1407" t="str">
        <f t="shared" si="8"/>
        <v>Antonis Bargilly</v>
      </c>
      <c r="C539" s="1402" t="s">
        <v>15215</v>
      </c>
      <c r="D539" s="1403" t="s">
        <v>3164</v>
      </c>
      <c r="E539" s="1404" t="s">
        <v>15216</v>
      </c>
      <c r="F539" s="1405"/>
      <c r="G539" s="1403" t="s">
        <v>16892</v>
      </c>
      <c r="H539" s="1406" t="s">
        <v>1005</v>
      </c>
    </row>
    <row r="540" spans="1:8" x14ac:dyDescent="0.2">
      <c r="A540" s="7"/>
      <c r="B540" s="1407" t="str">
        <f t="shared" si="8"/>
        <v>Yiannos Karayiannis</v>
      </c>
      <c r="C540" s="1402" t="s">
        <v>5870</v>
      </c>
      <c r="D540" s="1403" t="s">
        <v>5607</v>
      </c>
      <c r="E540" s="1404" t="s">
        <v>4285</v>
      </c>
      <c r="F540" s="1405" t="s">
        <v>5300</v>
      </c>
      <c r="G540" s="1403" t="s">
        <v>16892</v>
      </c>
      <c r="H540" s="1406" t="s">
        <v>1005</v>
      </c>
    </row>
    <row r="541" spans="1:8" x14ac:dyDescent="0.2">
      <c r="A541" s="7"/>
      <c r="B541" s="1407" t="str">
        <f t="shared" si="8"/>
        <v>Christos Savva</v>
      </c>
      <c r="C541" s="1402" t="s">
        <v>16203</v>
      </c>
      <c r="D541" s="1403" t="s">
        <v>3135</v>
      </c>
      <c r="E541" s="1404" t="s">
        <v>16204</v>
      </c>
      <c r="F541" s="1405"/>
      <c r="G541" s="1403" t="s">
        <v>2798</v>
      </c>
      <c r="H541" s="1406" t="s">
        <v>1005</v>
      </c>
    </row>
    <row r="542" spans="1:8" x14ac:dyDescent="0.2">
      <c r="A542" s="7"/>
      <c r="B542" s="1407" t="str">
        <f t="shared" si="8"/>
        <v>Kleanthos Christoforou</v>
      </c>
      <c r="C542" s="1402" t="s">
        <v>15365</v>
      </c>
      <c r="D542" s="1403" t="s">
        <v>15366</v>
      </c>
      <c r="E542" s="1404" t="s">
        <v>15367</v>
      </c>
      <c r="F542" s="1405"/>
      <c r="G542" s="1403" t="s">
        <v>2798</v>
      </c>
      <c r="H542" s="1406" t="s">
        <v>1005</v>
      </c>
    </row>
    <row r="543" spans="1:8" x14ac:dyDescent="0.2">
      <c r="A543" s="7"/>
      <c r="B543" s="1407" t="str">
        <f t="shared" si="8"/>
        <v>Charis Kaptsas</v>
      </c>
      <c r="C543" s="1402" t="s">
        <v>15729</v>
      </c>
      <c r="D543" s="1403" t="s">
        <v>13887</v>
      </c>
      <c r="E543" s="1404" t="s">
        <v>15730</v>
      </c>
      <c r="F543" s="1405"/>
      <c r="G543" s="1403" t="s">
        <v>2798</v>
      </c>
      <c r="H543" s="1406" t="s">
        <v>1005</v>
      </c>
    </row>
    <row r="544" spans="1:8" x14ac:dyDescent="0.2">
      <c r="A544" s="7"/>
      <c r="B544" s="1407" t="str">
        <f t="shared" si="8"/>
        <v>Nicolas Shiamishis</v>
      </c>
      <c r="C544" s="1402" t="s">
        <v>5871</v>
      </c>
      <c r="D544" s="1403" t="s">
        <v>3666</v>
      </c>
      <c r="E544" s="1404" t="s">
        <v>4286</v>
      </c>
      <c r="F544" s="1405" t="s">
        <v>5299</v>
      </c>
      <c r="G544" s="1403" t="s">
        <v>2798</v>
      </c>
      <c r="H544" s="1406" t="s">
        <v>1005</v>
      </c>
    </row>
    <row r="545" spans="1:8" x14ac:dyDescent="0.2">
      <c r="A545" s="7"/>
      <c r="B545" s="1407" t="str">
        <f t="shared" si="8"/>
        <v>Giorgos Ty</v>
      </c>
      <c r="C545" s="1402" t="s">
        <v>16990</v>
      </c>
      <c r="D545" s="1403" t="s">
        <v>3040</v>
      </c>
      <c r="E545" s="1404" t="s">
        <v>4287</v>
      </c>
      <c r="F545" s="1405" t="s">
        <v>5299</v>
      </c>
      <c r="G545" s="1403" t="s">
        <v>2798</v>
      </c>
      <c r="H545" s="1406" t="s">
        <v>1005</v>
      </c>
    </row>
    <row r="546" spans="1:8" x14ac:dyDescent="0.2">
      <c r="A546" s="7"/>
      <c r="B546" s="1407" t="str">
        <f t="shared" si="8"/>
        <v>Christofis Hadjikypris</v>
      </c>
      <c r="C546" s="1402" t="s">
        <v>5873</v>
      </c>
      <c r="D546" s="1403" t="s">
        <v>5583</v>
      </c>
      <c r="E546" s="1404" t="s">
        <v>4288</v>
      </c>
      <c r="F546" s="1405" t="s">
        <v>5299</v>
      </c>
      <c r="G546" s="1403" t="s">
        <v>2798</v>
      </c>
      <c r="H546" s="1406" t="s">
        <v>1005</v>
      </c>
    </row>
    <row r="547" spans="1:8" x14ac:dyDescent="0.2">
      <c r="A547" s="7"/>
      <c r="B547" s="1407" t="str">
        <f t="shared" si="8"/>
        <v>Vasileios Vavourakis</v>
      </c>
      <c r="C547" s="1402" t="s">
        <v>5874</v>
      </c>
      <c r="D547" s="1403" t="s">
        <v>5548</v>
      </c>
      <c r="E547" s="1404" t="s">
        <v>4289</v>
      </c>
      <c r="F547" s="1405" t="s">
        <v>5299</v>
      </c>
      <c r="G547" s="1403" t="s">
        <v>7267</v>
      </c>
      <c r="H547" s="1406" t="s">
        <v>1005</v>
      </c>
    </row>
    <row r="548" spans="1:8" x14ac:dyDescent="0.2">
      <c r="A548" s="7"/>
      <c r="B548" s="1407" t="str">
        <f t="shared" si="8"/>
        <v>Melios Hadjikypris</v>
      </c>
      <c r="C548" s="1402" t="s">
        <v>5873</v>
      </c>
      <c r="D548" s="1403" t="s">
        <v>5584</v>
      </c>
      <c r="E548" s="1404" t="s">
        <v>4290</v>
      </c>
      <c r="F548" s="1405" t="s">
        <v>5299</v>
      </c>
      <c r="G548" s="1403" t="s">
        <v>2798</v>
      </c>
      <c r="H548" s="1406" t="s">
        <v>1005</v>
      </c>
    </row>
    <row r="549" spans="1:8" x14ac:dyDescent="0.2">
      <c r="A549" s="7"/>
      <c r="B549" s="1407" t="str">
        <f t="shared" si="8"/>
        <v>Nikolas Ioannou</v>
      </c>
      <c r="C549" s="1402" t="s">
        <v>5869</v>
      </c>
      <c r="D549" s="1403" t="s">
        <v>5557</v>
      </c>
      <c r="E549" s="1404" t="s">
        <v>4291</v>
      </c>
      <c r="F549" s="1405" t="s">
        <v>5300</v>
      </c>
      <c r="G549" s="1403" t="s">
        <v>2798</v>
      </c>
      <c r="H549" s="1406" t="s">
        <v>1005</v>
      </c>
    </row>
    <row r="550" spans="1:8" x14ac:dyDescent="0.2">
      <c r="A550" s="7"/>
      <c r="B550" s="1407" t="str">
        <f t="shared" si="8"/>
        <v>Loukas Antoniou</v>
      </c>
      <c r="C550" s="1402" t="s">
        <v>5875</v>
      </c>
      <c r="D550" s="1403" t="s">
        <v>6924</v>
      </c>
      <c r="E550" s="1404" t="s">
        <v>4292</v>
      </c>
      <c r="F550" s="1405" t="s">
        <v>5300</v>
      </c>
      <c r="G550" s="1403" t="s">
        <v>2798</v>
      </c>
      <c r="H550" s="1406" t="s">
        <v>1005</v>
      </c>
    </row>
    <row r="551" spans="1:8" x14ac:dyDescent="0.2">
      <c r="A551" s="7"/>
      <c r="B551" s="1407" t="str">
        <f t="shared" si="8"/>
        <v>Giannis Koureas</v>
      </c>
      <c r="C551" s="1402" t="s">
        <v>5876</v>
      </c>
      <c r="D551" s="1403" t="s">
        <v>3083</v>
      </c>
      <c r="E551" s="1404" t="s">
        <v>4293</v>
      </c>
      <c r="F551" s="1405" t="s">
        <v>5299</v>
      </c>
      <c r="G551" s="1403" t="s">
        <v>2798</v>
      </c>
      <c r="H551" s="1406" t="s">
        <v>1005</v>
      </c>
    </row>
    <row r="552" spans="1:8" x14ac:dyDescent="0.2">
      <c r="A552" s="7"/>
      <c r="B552" s="1407" t="str">
        <f t="shared" si="8"/>
        <v>Nikitas Georgiou</v>
      </c>
      <c r="C552" s="1402" t="s">
        <v>5877</v>
      </c>
      <c r="D552" s="1403" t="s">
        <v>6925</v>
      </c>
      <c r="E552" s="1404" t="s">
        <v>4294</v>
      </c>
      <c r="F552" s="1405" t="s">
        <v>5299</v>
      </c>
      <c r="G552" s="1403" t="s">
        <v>2798</v>
      </c>
      <c r="H552" s="1406" t="s">
        <v>1005</v>
      </c>
    </row>
    <row r="553" spans="1:8" x14ac:dyDescent="0.2">
      <c r="A553" s="7"/>
      <c r="B553" s="1407" t="str">
        <f t="shared" si="8"/>
        <v>Andonis Lysandrou</v>
      </c>
      <c r="C553" s="1402" t="s">
        <v>5878</v>
      </c>
      <c r="D553" s="1403" t="s">
        <v>6926</v>
      </c>
      <c r="E553" s="1404" t="s">
        <v>4295</v>
      </c>
      <c r="F553" s="1405" t="s">
        <v>5300</v>
      </c>
      <c r="G553" s="1403" t="s">
        <v>2798</v>
      </c>
      <c r="H553" s="1406" t="s">
        <v>1005</v>
      </c>
    </row>
    <row r="554" spans="1:8" x14ac:dyDescent="0.2">
      <c r="A554" s="7"/>
      <c r="B554" s="1407" t="str">
        <f t="shared" si="8"/>
        <v>Alkiviades Tsokatksides</v>
      </c>
      <c r="C554" s="1402" t="s">
        <v>5879</v>
      </c>
      <c r="D554" s="1403" t="s">
        <v>6927</v>
      </c>
      <c r="E554" s="1404" t="s">
        <v>4296</v>
      </c>
      <c r="F554" s="1405" t="s">
        <v>5299</v>
      </c>
      <c r="G554" s="1403" t="s">
        <v>2798</v>
      </c>
      <c r="H554" s="1406" t="s">
        <v>1005</v>
      </c>
    </row>
    <row r="555" spans="1:8" x14ac:dyDescent="0.2">
      <c r="A555" s="7"/>
      <c r="B555" s="1407" t="str">
        <f t="shared" si="8"/>
        <v>Marios Nikolau</v>
      </c>
      <c r="C555" s="1402" t="s">
        <v>5880</v>
      </c>
      <c r="D555" s="1403" t="s">
        <v>3557</v>
      </c>
      <c r="E555" s="1404" t="s">
        <v>4297</v>
      </c>
      <c r="F555" s="1405" t="s">
        <v>5299</v>
      </c>
      <c r="G555" s="1403" t="s">
        <v>2798</v>
      </c>
      <c r="H555" s="1406" t="s">
        <v>1005</v>
      </c>
    </row>
    <row r="556" spans="1:8" x14ac:dyDescent="0.2">
      <c r="A556" s="7"/>
      <c r="B556" s="1407" t="str">
        <f t="shared" si="8"/>
        <v>Angelos Pappas</v>
      </c>
      <c r="C556" s="1402" t="s">
        <v>5881</v>
      </c>
      <c r="D556" s="1403" t="s">
        <v>5528</v>
      </c>
      <c r="E556" s="1404" t="s">
        <v>4298</v>
      </c>
      <c r="F556" s="1405" t="s">
        <v>5299</v>
      </c>
      <c r="G556" s="1403" t="s">
        <v>2798</v>
      </c>
      <c r="H556" s="1406" t="s">
        <v>1005</v>
      </c>
    </row>
    <row r="557" spans="1:8" x14ac:dyDescent="0.2">
      <c r="A557" s="7"/>
      <c r="B557" s="1407" t="str">
        <f t="shared" si="8"/>
        <v>Andrew Michel</v>
      </c>
      <c r="C557" s="1402" t="s">
        <v>3555</v>
      </c>
      <c r="D557" s="1403" t="s">
        <v>3105</v>
      </c>
      <c r="E557" s="1404" t="s">
        <v>7063</v>
      </c>
      <c r="F557" s="1405" t="s">
        <v>5300</v>
      </c>
      <c r="G557" s="1403" t="s">
        <v>17069</v>
      </c>
      <c r="H557" s="1406" t="s">
        <v>1005</v>
      </c>
    </row>
    <row r="558" spans="1:8" x14ac:dyDescent="0.2">
      <c r="A558" s="7"/>
      <c r="B558" s="1407" t="str">
        <f t="shared" si="8"/>
        <v>Konstandinos Paraskevas</v>
      </c>
      <c r="C558" s="1402" t="s">
        <v>6976</v>
      </c>
      <c r="D558" s="1403" t="s">
        <v>7307</v>
      </c>
      <c r="E558" s="1404" t="s">
        <v>7499</v>
      </c>
      <c r="F558" s="1405" t="s">
        <v>5299</v>
      </c>
      <c r="G558" s="1403" t="s">
        <v>2798</v>
      </c>
      <c r="H558" s="1406" t="s">
        <v>1005</v>
      </c>
    </row>
    <row r="559" spans="1:8" x14ac:dyDescent="0.2">
      <c r="A559" s="7"/>
      <c r="B559" s="1407" t="str">
        <f t="shared" si="8"/>
        <v>Marinos Mitellas</v>
      </c>
      <c r="C559" s="1402" t="s">
        <v>7342</v>
      </c>
      <c r="D559" s="1403" t="s">
        <v>7282</v>
      </c>
      <c r="E559" s="1404" t="s">
        <v>7500</v>
      </c>
      <c r="F559" s="1405" t="s">
        <v>5299</v>
      </c>
      <c r="G559" s="1403" t="s">
        <v>2798</v>
      </c>
      <c r="H559" s="1406" t="s">
        <v>1005</v>
      </c>
    </row>
    <row r="560" spans="1:8" x14ac:dyDescent="0.2">
      <c r="A560" s="7"/>
      <c r="B560" s="1407" t="str">
        <f t="shared" si="8"/>
        <v>Sophoklis Mougis</v>
      </c>
      <c r="C560" s="1402" t="s">
        <v>7343</v>
      </c>
      <c r="D560" s="1403" t="s">
        <v>7308</v>
      </c>
      <c r="E560" s="1404" t="s">
        <v>7501</v>
      </c>
      <c r="F560" s="1405" t="s">
        <v>5299</v>
      </c>
      <c r="G560" s="1403" t="s">
        <v>2798</v>
      </c>
      <c r="H560" s="1406" t="s">
        <v>1005</v>
      </c>
    </row>
    <row r="561" spans="1:8" x14ac:dyDescent="0.2">
      <c r="A561" s="7"/>
      <c r="B561" s="1407" t="str">
        <f t="shared" si="8"/>
        <v>Maximos Sydiropoulos</v>
      </c>
      <c r="C561" s="1402" t="s">
        <v>7344</v>
      </c>
      <c r="D561" s="1403" t="s">
        <v>7309</v>
      </c>
      <c r="E561" s="1404" t="s">
        <v>7502</v>
      </c>
      <c r="F561" s="1405" t="s">
        <v>5299</v>
      </c>
      <c r="G561" s="1403" t="s">
        <v>2798</v>
      </c>
      <c r="H561" s="1406" t="s">
        <v>1005</v>
      </c>
    </row>
    <row r="562" spans="1:8" x14ac:dyDescent="0.2">
      <c r="A562" s="7"/>
      <c r="B562" s="1407" t="str">
        <f t="shared" si="8"/>
        <v>Marios Themistokleous</v>
      </c>
      <c r="C562" s="1402" t="s">
        <v>7345</v>
      </c>
      <c r="D562" s="1403" t="s">
        <v>3557</v>
      </c>
      <c r="E562" s="1404" t="s">
        <v>7503</v>
      </c>
      <c r="F562" s="1405" t="s">
        <v>5299</v>
      </c>
      <c r="G562" s="1403" t="s">
        <v>2798</v>
      </c>
      <c r="H562" s="1406" t="s">
        <v>1005</v>
      </c>
    </row>
    <row r="563" spans="1:8" x14ac:dyDescent="0.2">
      <c r="A563" s="7"/>
      <c r="B563" s="1407" t="str">
        <f t="shared" si="8"/>
        <v>Kyriacos Stylianou</v>
      </c>
      <c r="C563" s="1402" t="s">
        <v>5872</v>
      </c>
      <c r="D563" s="1403" t="s">
        <v>6922</v>
      </c>
      <c r="E563" s="1404" t="s">
        <v>16266</v>
      </c>
      <c r="F563" s="1405" t="s">
        <v>5299</v>
      </c>
      <c r="G563" s="1403" t="s">
        <v>2798</v>
      </c>
      <c r="H563" s="1406" t="s">
        <v>1005</v>
      </c>
    </row>
    <row r="564" spans="1:8" x14ac:dyDescent="0.2">
      <c r="A564" s="7"/>
      <c r="B564" s="1407" t="str">
        <f t="shared" si="8"/>
        <v>Harris Katsaras</v>
      </c>
      <c r="C564" s="1402" t="s">
        <v>16949</v>
      </c>
      <c r="D564" s="1403" t="s">
        <v>6757</v>
      </c>
      <c r="E564" s="1404" t="s">
        <v>16950</v>
      </c>
      <c r="F564" s="1405" t="s">
        <v>5300</v>
      </c>
      <c r="G564" s="1403" t="s">
        <v>16892</v>
      </c>
      <c r="H564" s="1406" t="s">
        <v>1005</v>
      </c>
    </row>
    <row r="565" spans="1:8" x14ac:dyDescent="0.2">
      <c r="A565" s="7"/>
      <c r="B565" s="1407" t="str">
        <f t="shared" si="8"/>
        <v>Demetris Eleftheriou</v>
      </c>
      <c r="C565" s="1402" t="s">
        <v>8786</v>
      </c>
      <c r="D565" s="1403" t="s">
        <v>17070</v>
      </c>
      <c r="E565" s="1404" t="s">
        <v>17071</v>
      </c>
      <c r="F565" s="1405" t="s">
        <v>5300</v>
      </c>
      <c r="G565" s="1403" t="s">
        <v>2798</v>
      </c>
      <c r="H565" s="1406" t="s">
        <v>1005</v>
      </c>
    </row>
    <row r="566" spans="1:8" x14ac:dyDescent="0.2">
      <c r="A566" s="7"/>
      <c r="B566" s="1407" t="str">
        <f t="shared" si="8"/>
        <v>Stefanos Eleftheriou</v>
      </c>
      <c r="C566" s="1402" t="s">
        <v>8786</v>
      </c>
      <c r="D566" s="1403" t="s">
        <v>3501</v>
      </c>
      <c r="E566" s="1404" t="s">
        <v>17072</v>
      </c>
      <c r="F566" s="1405" t="s">
        <v>5299</v>
      </c>
      <c r="G566" s="1403" t="s">
        <v>2798</v>
      </c>
      <c r="H566" s="1406" t="s">
        <v>1005</v>
      </c>
    </row>
    <row r="567" spans="1:8" x14ac:dyDescent="0.2">
      <c r="A567" s="7"/>
      <c r="B567" s="1407" t="str">
        <f t="shared" si="8"/>
        <v>Andreas Marneros</v>
      </c>
      <c r="C567" s="1402" t="s">
        <v>17073</v>
      </c>
      <c r="D567" s="1403" t="s">
        <v>3351</v>
      </c>
      <c r="E567" s="1404" t="s">
        <v>17074</v>
      </c>
      <c r="F567" s="1405" t="s">
        <v>5300</v>
      </c>
      <c r="G567" s="1403" t="s">
        <v>17069</v>
      </c>
      <c r="H567" s="1406" t="s">
        <v>1005</v>
      </c>
    </row>
    <row r="568" spans="1:8" x14ac:dyDescent="0.2">
      <c r="A568" s="7"/>
      <c r="B568" s="1407" t="str">
        <f t="shared" si="8"/>
        <v>Panayiotis Panaretos</v>
      </c>
      <c r="C568" s="1402" t="s">
        <v>17075</v>
      </c>
      <c r="D568" s="1403" t="s">
        <v>17076</v>
      </c>
      <c r="E568" s="1404" t="s">
        <v>17077</v>
      </c>
      <c r="F568" s="1405" t="s">
        <v>5299</v>
      </c>
      <c r="G568" s="1403" t="s">
        <v>2798</v>
      </c>
      <c r="H568" s="1406" t="s">
        <v>1005</v>
      </c>
    </row>
    <row r="569" spans="1:8" x14ac:dyDescent="0.2">
      <c r="A569" s="7"/>
      <c r="B569" s="1407" t="str">
        <f t="shared" si="8"/>
        <v>Maximos Koumas</v>
      </c>
      <c r="C569" s="1402" t="s">
        <v>17078</v>
      </c>
      <c r="D569" s="1403" t="s">
        <v>7309</v>
      </c>
      <c r="E569" s="1404" t="s">
        <v>17079</v>
      </c>
      <c r="F569" s="1405" t="s">
        <v>13210</v>
      </c>
      <c r="G569" s="1403" t="s">
        <v>2798</v>
      </c>
      <c r="H569" s="1406" t="s">
        <v>1005</v>
      </c>
    </row>
    <row r="570" spans="1:8" x14ac:dyDescent="0.2">
      <c r="A570" s="7"/>
      <c r="B570" s="1407" t="str">
        <f t="shared" si="8"/>
        <v>Rafael Eleftheriou</v>
      </c>
      <c r="C570" s="1402" t="s">
        <v>8786</v>
      </c>
      <c r="D570" s="1403" t="s">
        <v>9410</v>
      </c>
      <c r="E570" s="1404" t="s">
        <v>17080</v>
      </c>
      <c r="F570" s="1405"/>
      <c r="G570" s="1403" t="s">
        <v>2798</v>
      </c>
      <c r="H570" s="1406" t="s">
        <v>1005</v>
      </c>
    </row>
    <row r="571" spans="1:8" x14ac:dyDescent="0.2">
      <c r="A571" s="7"/>
      <c r="B571" s="1407" t="str">
        <f t="shared" si="8"/>
        <v>David Lazzari</v>
      </c>
      <c r="C571" s="1402" t="s">
        <v>5882</v>
      </c>
      <c r="D571" s="1403" t="s">
        <v>3072</v>
      </c>
      <c r="E571" s="1404" t="s">
        <v>4299</v>
      </c>
      <c r="F571" s="1405" t="s">
        <v>5300</v>
      </c>
      <c r="G571" s="1403" t="s">
        <v>7878</v>
      </c>
      <c r="H571" s="1406" t="s">
        <v>1007</v>
      </c>
    </row>
    <row r="572" spans="1:8" x14ac:dyDescent="0.2">
      <c r="A572" s="7"/>
      <c r="B572" s="1407" t="str">
        <f t="shared" si="8"/>
        <v>Jakub Tichon</v>
      </c>
      <c r="C572" s="1402" t="s">
        <v>7346</v>
      </c>
      <c r="D572" s="1403" t="s">
        <v>7310</v>
      </c>
      <c r="E572" s="1404" t="s">
        <v>7504</v>
      </c>
      <c r="F572" s="1405" t="s">
        <v>5299</v>
      </c>
      <c r="G572" s="1403" t="s">
        <v>7272</v>
      </c>
      <c r="H572" s="1406" t="s">
        <v>1007</v>
      </c>
    </row>
    <row r="573" spans="1:8" x14ac:dyDescent="0.2">
      <c r="A573" s="7"/>
      <c r="B573" s="1407" t="str">
        <f t="shared" si="8"/>
        <v>David Vacke</v>
      </c>
      <c r="C573" s="1402" t="s">
        <v>7347</v>
      </c>
      <c r="D573" s="1403" t="s">
        <v>3072</v>
      </c>
      <c r="E573" s="1404" t="s">
        <v>7505</v>
      </c>
      <c r="F573" s="1405" t="s">
        <v>5299</v>
      </c>
      <c r="G573" s="1403" t="s">
        <v>7272</v>
      </c>
      <c r="H573" s="1406" t="s">
        <v>1007</v>
      </c>
    </row>
    <row r="574" spans="1:8" x14ac:dyDescent="0.2">
      <c r="A574" s="7"/>
      <c r="B574" s="1407" t="str">
        <f t="shared" si="8"/>
        <v>Dominik Vanek</v>
      </c>
      <c r="C574" s="1402" t="s">
        <v>7348</v>
      </c>
      <c r="D574" s="1403" t="s">
        <v>6949</v>
      </c>
      <c r="E574" s="1404" t="s">
        <v>7506</v>
      </c>
      <c r="F574" s="1405" t="s">
        <v>5299</v>
      </c>
      <c r="G574" s="1403" t="s">
        <v>7272</v>
      </c>
      <c r="H574" s="1406" t="s">
        <v>1007</v>
      </c>
    </row>
    <row r="575" spans="1:8" x14ac:dyDescent="0.2">
      <c r="A575" s="7"/>
      <c r="B575" s="1407" t="str">
        <f t="shared" si="8"/>
        <v>Marco Zucchi</v>
      </c>
      <c r="C575" s="1402" t="s">
        <v>6574</v>
      </c>
      <c r="D575" s="1403" t="s">
        <v>3109</v>
      </c>
      <c r="E575" s="1404" t="s">
        <v>7507</v>
      </c>
      <c r="F575" s="1405" t="s">
        <v>5300</v>
      </c>
      <c r="G575" s="1403" t="s">
        <v>17081</v>
      </c>
      <c r="H575" s="1406" t="s">
        <v>1007</v>
      </c>
    </row>
    <row r="576" spans="1:8" x14ac:dyDescent="0.2">
      <c r="A576" s="7"/>
      <c r="B576" s="1407" t="str">
        <f t="shared" si="8"/>
        <v>Daniele Gamba</v>
      </c>
      <c r="C576" s="1402" t="s">
        <v>7349</v>
      </c>
      <c r="D576" s="1403" t="s">
        <v>3022</v>
      </c>
      <c r="E576" s="1404" t="s">
        <v>7508</v>
      </c>
      <c r="F576" s="1405" t="s">
        <v>5300</v>
      </c>
      <c r="G576" s="1403" t="s">
        <v>7272</v>
      </c>
      <c r="H576" s="1406" t="s">
        <v>1007</v>
      </c>
    </row>
    <row r="577" spans="1:8" x14ac:dyDescent="0.2">
      <c r="A577" s="7"/>
      <c r="B577" s="1407" t="str">
        <f t="shared" si="8"/>
        <v>David Young</v>
      </c>
      <c r="C577" s="1402" t="s">
        <v>5951</v>
      </c>
      <c r="D577" s="1403" t="s">
        <v>3072</v>
      </c>
      <c r="E577" s="1404" t="s">
        <v>7509</v>
      </c>
      <c r="F577" s="1405" t="s">
        <v>5300</v>
      </c>
      <c r="G577" s="1403" t="s">
        <v>7272</v>
      </c>
      <c r="H577" s="1406" t="s">
        <v>1007</v>
      </c>
    </row>
    <row r="578" spans="1:8" x14ac:dyDescent="0.2">
      <c r="A578" s="7"/>
      <c r="B578" s="1407" t="str">
        <f t="shared" si="8"/>
        <v>Ondrej Vacke</v>
      </c>
      <c r="C578" s="1402" t="s">
        <v>7347</v>
      </c>
      <c r="D578" s="1403" t="s">
        <v>7281</v>
      </c>
      <c r="E578" s="1404" t="s">
        <v>7510</v>
      </c>
      <c r="F578" s="1405" t="s">
        <v>5299</v>
      </c>
      <c r="G578" s="1403" t="s">
        <v>7272</v>
      </c>
      <c r="H578" s="1406" t="s">
        <v>1007</v>
      </c>
    </row>
    <row r="579" spans="1:8" x14ac:dyDescent="0.2">
      <c r="A579" s="7"/>
      <c r="B579" s="1407" t="str">
        <f t="shared" si="8"/>
        <v>Jiri Uchytil</v>
      </c>
      <c r="C579" s="1402" t="s">
        <v>7350</v>
      </c>
      <c r="D579" s="1403" t="s">
        <v>7273</v>
      </c>
      <c r="E579" s="1404" t="s">
        <v>7511</v>
      </c>
      <c r="F579" s="1405" t="s">
        <v>5299</v>
      </c>
      <c r="G579" s="1403" t="s">
        <v>14359</v>
      </c>
      <c r="H579" s="1406" t="s">
        <v>1007</v>
      </c>
    </row>
    <row r="580" spans="1:8" x14ac:dyDescent="0.2">
      <c r="A580" s="7"/>
      <c r="B580" s="1407" t="str">
        <f t="shared" si="8"/>
        <v>Stanislav Opl</v>
      </c>
      <c r="C580" s="1402" t="s">
        <v>7351</v>
      </c>
      <c r="D580" s="1403" t="s">
        <v>7318</v>
      </c>
      <c r="E580" s="1404" t="s">
        <v>7512</v>
      </c>
      <c r="F580" s="1405" t="s">
        <v>5300</v>
      </c>
      <c r="G580" s="1403" t="s">
        <v>7272</v>
      </c>
      <c r="H580" s="1406" t="s">
        <v>1007</v>
      </c>
    </row>
    <row r="581" spans="1:8" x14ac:dyDescent="0.2">
      <c r="A581" s="7"/>
      <c r="B581" s="1407" t="str">
        <f t="shared" si="8"/>
        <v>Paolo Di Stefano</v>
      </c>
      <c r="C581" s="1402" t="s">
        <v>6580</v>
      </c>
      <c r="D581" s="1403" t="s">
        <v>3119</v>
      </c>
      <c r="E581" s="1404" t="s">
        <v>8354</v>
      </c>
      <c r="F581" s="1405" t="s">
        <v>5299</v>
      </c>
      <c r="G581" s="1403" t="s">
        <v>7272</v>
      </c>
      <c r="H581" s="1406" t="s">
        <v>1007</v>
      </c>
    </row>
    <row r="582" spans="1:8" x14ac:dyDescent="0.2">
      <c r="A582" s="7"/>
      <c r="B582" s="1407" t="str">
        <f t="shared" si="8"/>
        <v>Martin Novotny</v>
      </c>
      <c r="C582" s="1402" t="s">
        <v>7982</v>
      </c>
      <c r="D582" s="1403" t="s">
        <v>3408</v>
      </c>
      <c r="E582" s="1404" t="s">
        <v>8355</v>
      </c>
      <c r="F582" s="1405" t="s">
        <v>5300</v>
      </c>
      <c r="G582" s="1403" t="s">
        <v>7272</v>
      </c>
      <c r="H582" s="1406" t="s">
        <v>1007</v>
      </c>
    </row>
    <row r="583" spans="1:8" x14ac:dyDescent="0.2">
      <c r="A583" s="7"/>
      <c r="B583" s="1407" t="str">
        <f t="shared" ref="B583:B646" si="9">TRIM(CONCATENATE(D583," ",C583))</f>
        <v>Thomas Petersen</v>
      </c>
      <c r="C583" s="1402" t="s">
        <v>5901</v>
      </c>
      <c r="D583" s="1403" t="s">
        <v>3124</v>
      </c>
      <c r="E583" s="1404" t="s">
        <v>4300</v>
      </c>
      <c r="F583" s="1405" t="s">
        <v>5299</v>
      </c>
      <c r="G583" s="1403" t="s">
        <v>10259</v>
      </c>
      <c r="H583" s="1406" t="s">
        <v>1009</v>
      </c>
    </row>
    <row r="584" spans="1:8" x14ac:dyDescent="0.2">
      <c r="A584" s="7"/>
      <c r="B584" s="1407" t="str">
        <f t="shared" si="9"/>
        <v>Rasmus Lund</v>
      </c>
      <c r="C584" s="1402" t="s">
        <v>5883</v>
      </c>
      <c r="D584" s="1403" t="s">
        <v>3032</v>
      </c>
      <c r="E584" s="1404" t="s">
        <v>4301</v>
      </c>
      <c r="F584" s="1405" t="s">
        <v>5299</v>
      </c>
      <c r="G584" s="1403" t="s">
        <v>10249</v>
      </c>
      <c r="H584" s="1406" t="s">
        <v>1009</v>
      </c>
    </row>
    <row r="585" spans="1:8" x14ac:dyDescent="0.2">
      <c r="A585" s="7"/>
      <c r="B585" s="1407" t="str">
        <f t="shared" si="9"/>
        <v>Christian Emil Christiansen</v>
      </c>
      <c r="C585" s="1402" t="s">
        <v>5884</v>
      </c>
      <c r="D585" s="1403" t="s">
        <v>3063</v>
      </c>
      <c r="E585" s="1404" t="s">
        <v>4302</v>
      </c>
      <c r="F585" s="1405" t="s">
        <v>5299</v>
      </c>
      <c r="G585" s="1403" t="s">
        <v>2748</v>
      </c>
      <c r="H585" s="1406" t="s">
        <v>1009</v>
      </c>
    </row>
    <row r="586" spans="1:8" x14ac:dyDescent="0.2">
      <c r="A586" s="7"/>
      <c r="B586" s="1407" t="str">
        <f t="shared" si="9"/>
        <v>Peter Fursund</v>
      </c>
      <c r="C586" s="1402" t="s">
        <v>5885</v>
      </c>
      <c r="D586" s="1403" t="s">
        <v>3194</v>
      </c>
      <c r="E586" s="1404" t="s">
        <v>4303</v>
      </c>
      <c r="F586" s="1405" t="s">
        <v>5299</v>
      </c>
      <c r="G586" s="1403" t="s">
        <v>10259</v>
      </c>
      <c r="H586" s="1406" t="s">
        <v>1009</v>
      </c>
    </row>
    <row r="587" spans="1:8" x14ac:dyDescent="0.2">
      <c r="A587" s="7"/>
      <c r="B587" s="1407" t="str">
        <f t="shared" si="9"/>
        <v>Jesper Staal Nielsen</v>
      </c>
      <c r="C587" s="1402" t="s">
        <v>5886</v>
      </c>
      <c r="D587" s="1403" t="s">
        <v>3397</v>
      </c>
      <c r="E587" s="1404" t="s">
        <v>4304</v>
      </c>
      <c r="F587" s="1405" t="s">
        <v>5299</v>
      </c>
      <c r="G587" s="1403" t="s">
        <v>10259</v>
      </c>
      <c r="H587" s="1406" t="s">
        <v>1009</v>
      </c>
    </row>
    <row r="588" spans="1:8" x14ac:dyDescent="0.2">
      <c r="A588" s="7"/>
      <c r="B588" s="1407" t="str">
        <f t="shared" si="9"/>
        <v>Kristian Staal Nielsen</v>
      </c>
      <c r="C588" s="1402" t="s">
        <v>5886</v>
      </c>
      <c r="D588" s="1403" t="s">
        <v>3388</v>
      </c>
      <c r="E588" s="1404" t="s">
        <v>4305</v>
      </c>
      <c r="F588" s="1405" t="s">
        <v>5299</v>
      </c>
      <c r="G588" s="1403" t="s">
        <v>10259</v>
      </c>
      <c r="H588" s="1406" t="s">
        <v>1009</v>
      </c>
    </row>
    <row r="589" spans="1:8" x14ac:dyDescent="0.2">
      <c r="A589" s="7"/>
      <c r="B589" s="1407" t="str">
        <f t="shared" si="9"/>
        <v>Anders Staal Nielsen</v>
      </c>
      <c r="C589" s="1402" t="s">
        <v>5886</v>
      </c>
      <c r="D589" s="1403" t="s">
        <v>3090</v>
      </c>
      <c r="E589" s="1404" t="s">
        <v>4306</v>
      </c>
      <c r="F589" s="1405" t="s">
        <v>5299</v>
      </c>
      <c r="G589" s="1403" t="s">
        <v>10259</v>
      </c>
      <c r="H589" s="1406" t="s">
        <v>1009</v>
      </c>
    </row>
    <row r="590" spans="1:8" x14ac:dyDescent="0.2">
      <c r="A590" s="7"/>
      <c r="B590" s="1407" t="str">
        <f t="shared" si="9"/>
        <v>Rasmus Staal Nielsen</v>
      </c>
      <c r="C590" s="1402" t="s">
        <v>5886</v>
      </c>
      <c r="D590" s="1403" t="s">
        <v>3032</v>
      </c>
      <c r="E590" s="1404" t="s">
        <v>4307</v>
      </c>
      <c r="F590" s="1405" t="s">
        <v>5299</v>
      </c>
      <c r="G590" s="1403" t="s">
        <v>10259</v>
      </c>
      <c r="H590" s="1406" t="s">
        <v>1009</v>
      </c>
    </row>
    <row r="591" spans="1:8" x14ac:dyDescent="0.2">
      <c r="A591" s="7"/>
      <c r="B591" s="1407" t="str">
        <f t="shared" si="9"/>
        <v>Jonas Bentzen</v>
      </c>
      <c r="C591" s="1402" t="s">
        <v>5887</v>
      </c>
      <c r="D591" s="1403" t="s">
        <v>3432</v>
      </c>
      <c r="E591" s="1404" t="s">
        <v>4308</v>
      </c>
      <c r="F591" s="1405" t="s">
        <v>5299</v>
      </c>
      <c r="G591" s="1403" t="s">
        <v>10259</v>
      </c>
      <c r="H591" s="1406" t="s">
        <v>1009</v>
      </c>
    </row>
    <row r="592" spans="1:8" x14ac:dyDescent="0.2">
      <c r="A592" s="7"/>
      <c r="B592" s="1407" t="str">
        <f t="shared" si="9"/>
        <v>Anders Buhl Hansen</v>
      </c>
      <c r="C592" s="1402" t="s">
        <v>5888</v>
      </c>
      <c r="D592" s="1403" t="s">
        <v>3090</v>
      </c>
      <c r="E592" s="1404" t="s">
        <v>4309</v>
      </c>
      <c r="F592" s="1405" t="s">
        <v>5299</v>
      </c>
      <c r="G592" s="1403" t="s">
        <v>10259</v>
      </c>
      <c r="H592" s="1406" t="s">
        <v>1009</v>
      </c>
    </row>
    <row r="593" spans="1:8" x14ac:dyDescent="0.2">
      <c r="A593" s="7"/>
      <c r="B593" s="1407" t="str">
        <f t="shared" si="9"/>
        <v>Tommy Gold Christiansen</v>
      </c>
      <c r="C593" s="1402" t="s">
        <v>5889</v>
      </c>
      <c r="D593" s="1403" t="s">
        <v>3177</v>
      </c>
      <c r="E593" s="1404" t="s">
        <v>4310</v>
      </c>
      <c r="F593" s="1405" t="s">
        <v>5299</v>
      </c>
      <c r="G593" s="1403" t="s">
        <v>10259</v>
      </c>
      <c r="H593" s="1406" t="s">
        <v>1009</v>
      </c>
    </row>
    <row r="594" spans="1:8" x14ac:dyDescent="0.2">
      <c r="A594" s="7"/>
      <c r="B594" s="1407" t="str">
        <f t="shared" si="9"/>
        <v>Tommas Lange Klausen</v>
      </c>
      <c r="C594" s="1402" t="s">
        <v>5890</v>
      </c>
      <c r="D594" s="1403" t="s">
        <v>3149</v>
      </c>
      <c r="E594" s="1404" t="s">
        <v>4311</v>
      </c>
      <c r="F594" s="1405" t="s">
        <v>5300</v>
      </c>
      <c r="G594" s="1403" t="s">
        <v>10259</v>
      </c>
      <c r="H594" s="1406" t="s">
        <v>1009</v>
      </c>
    </row>
    <row r="595" spans="1:8" x14ac:dyDescent="0.2">
      <c r="A595" s="7"/>
      <c r="B595" s="1407" t="str">
        <f t="shared" si="9"/>
        <v>Kamilla Kristensen</v>
      </c>
      <c r="C595" s="1402" t="s">
        <v>5891</v>
      </c>
      <c r="D595" s="1403" t="s">
        <v>3482</v>
      </c>
      <c r="E595" s="1404" t="s">
        <v>4312</v>
      </c>
      <c r="F595" s="1405" t="s">
        <v>5299</v>
      </c>
      <c r="G595" s="1403" t="s">
        <v>10259</v>
      </c>
      <c r="H595" s="1406" t="s">
        <v>1009</v>
      </c>
    </row>
    <row r="596" spans="1:8" x14ac:dyDescent="0.2">
      <c r="A596" s="7"/>
      <c r="B596" s="1407" t="str">
        <f t="shared" si="9"/>
        <v>Lukas Enevoldsen</v>
      </c>
      <c r="C596" s="1402" t="s">
        <v>5892</v>
      </c>
      <c r="D596" s="1403" t="s">
        <v>3468</v>
      </c>
      <c r="E596" s="1404" t="s">
        <v>4313</v>
      </c>
      <c r="F596" s="1405" t="s">
        <v>5299</v>
      </c>
      <c r="G596" s="1403" t="s">
        <v>10259</v>
      </c>
      <c r="H596" s="1406" t="s">
        <v>1009</v>
      </c>
    </row>
    <row r="597" spans="1:8" x14ac:dyDescent="0.2">
      <c r="A597" s="7"/>
      <c r="B597" s="1407" t="str">
        <f t="shared" si="9"/>
        <v>Nico Wilse</v>
      </c>
      <c r="C597" s="1402" t="s">
        <v>5893</v>
      </c>
      <c r="D597" s="1403" t="s">
        <v>3556</v>
      </c>
      <c r="E597" s="1404" t="s">
        <v>4314</v>
      </c>
      <c r="F597" s="1405" t="s">
        <v>5299</v>
      </c>
      <c r="G597" s="1403" t="s">
        <v>10259</v>
      </c>
      <c r="H597" s="1406" t="s">
        <v>1009</v>
      </c>
    </row>
    <row r="598" spans="1:8" x14ac:dyDescent="0.2">
      <c r="A598" s="7"/>
      <c r="B598" s="1407" t="str">
        <f t="shared" si="9"/>
        <v>Lasse Honore</v>
      </c>
      <c r="C598" s="1402" t="s">
        <v>5894</v>
      </c>
      <c r="D598" s="1403" t="s">
        <v>6928</v>
      </c>
      <c r="E598" s="1404" t="s">
        <v>4315</v>
      </c>
      <c r="F598" s="1405" t="s">
        <v>5299</v>
      </c>
      <c r="G598" s="1403" t="s">
        <v>10259</v>
      </c>
      <c r="H598" s="1406" t="s">
        <v>1009</v>
      </c>
    </row>
    <row r="599" spans="1:8" x14ac:dyDescent="0.2">
      <c r="A599" s="7"/>
      <c r="B599" s="1407" t="str">
        <f t="shared" si="9"/>
        <v>David Frederiksen</v>
      </c>
      <c r="C599" s="1402" t="s">
        <v>5895</v>
      </c>
      <c r="D599" s="1403" t="s">
        <v>3072</v>
      </c>
      <c r="E599" s="1404" t="s">
        <v>4316</v>
      </c>
      <c r="F599" s="1405" t="s">
        <v>5299</v>
      </c>
      <c r="G599" s="1403" t="s">
        <v>10259</v>
      </c>
      <c r="H599" s="1406" t="s">
        <v>1009</v>
      </c>
    </row>
    <row r="600" spans="1:8" x14ac:dyDescent="0.2">
      <c r="A600" s="7"/>
      <c r="B600" s="1407" t="str">
        <f t="shared" si="9"/>
        <v>Frank Staal Nielsen</v>
      </c>
      <c r="C600" s="1402" t="s">
        <v>5886</v>
      </c>
      <c r="D600" s="1403" t="s">
        <v>3207</v>
      </c>
      <c r="E600" s="1404" t="s">
        <v>4317</v>
      </c>
      <c r="F600" s="1405" t="s">
        <v>5300</v>
      </c>
      <c r="G600" s="1403" t="s">
        <v>10259</v>
      </c>
      <c r="H600" s="1406" t="s">
        <v>1009</v>
      </c>
    </row>
    <row r="601" spans="1:8" x14ac:dyDescent="0.2">
      <c r="A601" s="7"/>
      <c r="B601" s="1407" t="str">
        <f t="shared" si="9"/>
        <v>Christian Gørtz</v>
      </c>
      <c r="C601" s="1402" t="s">
        <v>5896</v>
      </c>
      <c r="D601" s="1403" t="s">
        <v>3063</v>
      </c>
      <c r="E601" s="1404" t="s">
        <v>4318</v>
      </c>
      <c r="F601" s="1405" t="s">
        <v>5299</v>
      </c>
      <c r="G601" s="1403" t="s">
        <v>10259</v>
      </c>
      <c r="H601" s="1406" t="s">
        <v>1009</v>
      </c>
    </row>
    <row r="602" spans="1:8" x14ac:dyDescent="0.2">
      <c r="A602" s="7"/>
      <c r="B602" s="1407" t="str">
        <f t="shared" si="9"/>
        <v>Michael Hedegård</v>
      </c>
      <c r="C602" s="1402" t="s">
        <v>5899</v>
      </c>
      <c r="D602" s="1403" t="s">
        <v>3416</v>
      </c>
      <c r="E602" s="1404" t="s">
        <v>4319</v>
      </c>
      <c r="F602" s="1405" t="s">
        <v>5300</v>
      </c>
      <c r="G602" s="1403" t="s">
        <v>10259</v>
      </c>
      <c r="H602" s="1406" t="s">
        <v>1009</v>
      </c>
    </row>
    <row r="603" spans="1:8" x14ac:dyDescent="0.2">
      <c r="A603" s="7"/>
      <c r="B603" s="1407" t="str">
        <f t="shared" si="9"/>
        <v>Katrine Jørgensen</v>
      </c>
      <c r="C603" s="1402" t="s">
        <v>5900</v>
      </c>
      <c r="D603" s="1403" t="s">
        <v>3560</v>
      </c>
      <c r="E603" s="1404" t="s">
        <v>4320</v>
      </c>
      <c r="F603" s="1405" t="s">
        <v>5299</v>
      </c>
      <c r="G603" s="1403" t="s">
        <v>10259</v>
      </c>
      <c r="H603" s="1406" t="s">
        <v>1009</v>
      </c>
    </row>
    <row r="604" spans="1:8" x14ac:dyDescent="0.2">
      <c r="A604" s="7"/>
      <c r="B604" s="1407" t="str">
        <f t="shared" si="9"/>
        <v>Thyge Enevoldsen</v>
      </c>
      <c r="C604" s="1402" t="s">
        <v>5892</v>
      </c>
      <c r="D604" s="1403" t="s">
        <v>6929</v>
      </c>
      <c r="E604" s="1404" t="s">
        <v>4321</v>
      </c>
      <c r="F604" s="1405" t="s">
        <v>5300</v>
      </c>
      <c r="G604" s="1403" t="s">
        <v>10259</v>
      </c>
      <c r="H604" s="1406" t="s">
        <v>1009</v>
      </c>
    </row>
    <row r="605" spans="1:8" x14ac:dyDescent="0.2">
      <c r="A605" s="7"/>
      <c r="B605" s="1407" t="str">
        <f t="shared" si="9"/>
        <v>Jens Enevoldsen</v>
      </c>
      <c r="C605" s="1402" t="s">
        <v>5892</v>
      </c>
      <c r="D605" s="1403" t="s">
        <v>6930</v>
      </c>
      <c r="E605" s="1404" t="s">
        <v>4322</v>
      </c>
      <c r="F605" s="1405" t="s">
        <v>5299</v>
      </c>
      <c r="G605" s="1403" t="s">
        <v>10259</v>
      </c>
      <c r="H605" s="1406" t="s">
        <v>1009</v>
      </c>
    </row>
    <row r="606" spans="1:8" x14ac:dyDescent="0.2">
      <c r="A606" s="7"/>
      <c r="B606" s="1407" t="str">
        <f t="shared" si="9"/>
        <v>Simon Enevoldsen</v>
      </c>
      <c r="C606" s="1402" t="s">
        <v>5892</v>
      </c>
      <c r="D606" s="1403" t="s">
        <v>3626</v>
      </c>
      <c r="E606" s="1404" t="s">
        <v>4323</v>
      </c>
      <c r="F606" s="1405" t="s">
        <v>5299</v>
      </c>
      <c r="G606" s="1403" t="s">
        <v>10259</v>
      </c>
      <c r="H606" s="1406" t="s">
        <v>1009</v>
      </c>
    </row>
    <row r="607" spans="1:8" x14ac:dyDescent="0.2">
      <c r="A607" s="7"/>
      <c r="B607" s="1407" t="str">
        <f t="shared" si="9"/>
        <v>Andreas Petersen</v>
      </c>
      <c r="C607" s="1402" t="s">
        <v>5901</v>
      </c>
      <c r="D607" s="1403" t="s">
        <v>3351</v>
      </c>
      <c r="E607" s="1404" t="s">
        <v>4324</v>
      </c>
      <c r="F607" s="1405" t="s">
        <v>5299</v>
      </c>
      <c r="G607" s="1403" t="s">
        <v>10259</v>
      </c>
      <c r="H607" s="1406" t="s">
        <v>1009</v>
      </c>
    </row>
    <row r="608" spans="1:8" x14ac:dyDescent="0.2">
      <c r="A608" s="7"/>
      <c r="B608" s="1407" t="str">
        <f t="shared" si="9"/>
        <v>Frits Vendebæk</v>
      </c>
      <c r="C608" s="1402" t="s">
        <v>5902</v>
      </c>
      <c r="D608" s="1403" t="s">
        <v>6931</v>
      </c>
      <c r="E608" s="1404" t="s">
        <v>4325</v>
      </c>
      <c r="F608" s="1405" t="s">
        <v>5300</v>
      </c>
      <c r="G608" s="1403" t="s">
        <v>10259</v>
      </c>
      <c r="H608" s="1406" t="s">
        <v>1009</v>
      </c>
    </row>
    <row r="609" spans="1:8" x14ac:dyDescent="0.2">
      <c r="A609" s="7"/>
      <c r="B609" s="1407" t="str">
        <f t="shared" si="9"/>
        <v>Magnus Emil Madsen</v>
      </c>
      <c r="C609" s="1402" t="s">
        <v>5903</v>
      </c>
      <c r="D609" s="1403" t="s">
        <v>3174</v>
      </c>
      <c r="E609" s="1404" t="s">
        <v>4326</v>
      </c>
      <c r="F609" s="1405" t="s">
        <v>5299</v>
      </c>
      <c r="G609" s="1403" t="s">
        <v>10259</v>
      </c>
      <c r="H609" s="1406" t="s">
        <v>1009</v>
      </c>
    </row>
    <row r="610" spans="1:8" x14ac:dyDescent="0.2">
      <c r="A610" s="7"/>
      <c r="B610" s="1407" t="str">
        <f t="shared" si="9"/>
        <v>Magnus Honore</v>
      </c>
      <c r="C610" s="1402" t="s">
        <v>5894</v>
      </c>
      <c r="D610" s="1403" t="s">
        <v>3173</v>
      </c>
      <c r="E610" s="1404" t="s">
        <v>4327</v>
      </c>
      <c r="F610" s="1405" t="s">
        <v>5299</v>
      </c>
      <c r="G610" s="1403" t="s">
        <v>10259</v>
      </c>
      <c r="H610" s="1406" t="s">
        <v>1009</v>
      </c>
    </row>
    <row r="611" spans="1:8" x14ac:dyDescent="0.2">
      <c r="A611" s="7"/>
      <c r="B611" s="1407" t="str">
        <f t="shared" si="9"/>
        <v>Victor Petersen</v>
      </c>
      <c r="C611" s="1402" t="s">
        <v>5901</v>
      </c>
      <c r="D611" s="1403" t="s">
        <v>3141</v>
      </c>
      <c r="E611" s="1404" t="s">
        <v>4328</v>
      </c>
      <c r="F611" s="1405" t="s">
        <v>5299</v>
      </c>
      <c r="G611" s="1403" t="s">
        <v>10259</v>
      </c>
      <c r="H611" s="1406" t="s">
        <v>1009</v>
      </c>
    </row>
    <row r="612" spans="1:8" x14ac:dyDescent="0.2">
      <c r="A612" s="7"/>
      <c r="B612" s="1407" t="str">
        <f t="shared" si="9"/>
        <v>Alexander Petersen</v>
      </c>
      <c r="C612" s="1402" t="s">
        <v>5901</v>
      </c>
      <c r="D612" s="1403" t="s">
        <v>3037</v>
      </c>
      <c r="E612" s="1404" t="s">
        <v>4329</v>
      </c>
      <c r="F612" s="1405" t="s">
        <v>5299</v>
      </c>
      <c r="G612" s="1403" t="s">
        <v>10259</v>
      </c>
      <c r="H612" s="1406" t="s">
        <v>1009</v>
      </c>
    </row>
    <row r="613" spans="1:8" x14ac:dyDescent="0.2">
      <c r="A613" s="7"/>
      <c r="B613" s="1407" t="str">
        <f t="shared" si="9"/>
        <v>William Achton Boel</v>
      </c>
      <c r="C613" s="1402" t="s">
        <v>5904</v>
      </c>
      <c r="D613" s="1403" t="s">
        <v>3236</v>
      </c>
      <c r="E613" s="1404" t="s">
        <v>4330</v>
      </c>
      <c r="F613" s="1405" t="s">
        <v>5299</v>
      </c>
      <c r="G613" s="1403" t="s">
        <v>10259</v>
      </c>
      <c r="H613" s="1406" t="s">
        <v>1009</v>
      </c>
    </row>
    <row r="614" spans="1:8" x14ac:dyDescent="0.2">
      <c r="A614" s="7"/>
      <c r="B614" s="1407" t="str">
        <f t="shared" si="9"/>
        <v>Miki Pedersen</v>
      </c>
      <c r="C614" s="1402" t="s">
        <v>5905</v>
      </c>
      <c r="D614" s="1403" t="s">
        <v>6932</v>
      </c>
      <c r="E614" s="1404" t="s">
        <v>4331</v>
      </c>
      <c r="F614" s="1405" t="s">
        <v>5299</v>
      </c>
      <c r="G614" s="1403" t="s">
        <v>10259</v>
      </c>
      <c r="H614" s="1406" t="s">
        <v>1009</v>
      </c>
    </row>
    <row r="615" spans="1:8" x14ac:dyDescent="0.2">
      <c r="A615" s="7"/>
      <c r="B615" s="1407" t="str">
        <f t="shared" si="9"/>
        <v>Oliver Clemmensen</v>
      </c>
      <c r="C615" s="1402" t="s">
        <v>5906</v>
      </c>
      <c r="D615" s="1403" t="s">
        <v>3298</v>
      </c>
      <c r="E615" s="1404" t="s">
        <v>4332</v>
      </c>
      <c r="F615" s="1405" t="s">
        <v>5299</v>
      </c>
      <c r="G615" s="1403" t="s">
        <v>10259</v>
      </c>
      <c r="H615" s="1406" t="s">
        <v>1009</v>
      </c>
    </row>
    <row r="616" spans="1:8" x14ac:dyDescent="0.2">
      <c r="A616" s="7"/>
      <c r="B616" s="1407" t="str">
        <f t="shared" si="9"/>
        <v>Sebastian Lind</v>
      </c>
      <c r="C616" s="1402" t="s">
        <v>5907</v>
      </c>
      <c r="D616" s="1403" t="s">
        <v>3478</v>
      </c>
      <c r="E616" s="1404" t="s">
        <v>4333</v>
      </c>
      <c r="F616" s="1405" t="s">
        <v>5299</v>
      </c>
      <c r="G616" s="1403" t="s">
        <v>10259</v>
      </c>
      <c r="H616" s="1406" t="s">
        <v>1009</v>
      </c>
    </row>
    <row r="617" spans="1:8" x14ac:dyDescent="0.2">
      <c r="A617" s="7"/>
      <c r="B617" s="1407" t="str">
        <f t="shared" si="9"/>
        <v>Patrick Lund</v>
      </c>
      <c r="C617" s="1402" t="s">
        <v>5883</v>
      </c>
      <c r="D617" s="1403" t="s">
        <v>3271</v>
      </c>
      <c r="E617" s="1404" t="s">
        <v>4334</v>
      </c>
      <c r="F617" s="1405" t="s">
        <v>5299</v>
      </c>
      <c r="G617" s="1403" t="s">
        <v>10259</v>
      </c>
      <c r="H617" s="1406" t="s">
        <v>1009</v>
      </c>
    </row>
    <row r="618" spans="1:8" x14ac:dyDescent="0.2">
      <c r="A618" s="7"/>
      <c r="B618" s="1407" t="str">
        <f t="shared" si="9"/>
        <v>Stephan Nørregaard</v>
      </c>
      <c r="C618" s="1402" t="s">
        <v>5908</v>
      </c>
      <c r="D618" s="1403" t="s">
        <v>3572</v>
      </c>
      <c r="E618" s="1404" t="s">
        <v>4335</v>
      </c>
      <c r="F618" s="1405" t="s">
        <v>5299</v>
      </c>
      <c r="G618" s="1403" t="s">
        <v>10259</v>
      </c>
      <c r="H618" s="1406" t="s">
        <v>1009</v>
      </c>
    </row>
    <row r="619" spans="1:8" x14ac:dyDescent="0.2">
      <c r="A619" s="7"/>
      <c r="B619" s="1407" t="str">
        <f t="shared" si="9"/>
        <v>Jonas Franck</v>
      </c>
      <c r="C619" s="1402" t="s">
        <v>5558</v>
      </c>
      <c r="D619" s="1403" t="s">
        <v>3432</v>
      </c>
      <c r="E619" s="1404" t="s">
        <v>4336</v>
      </c>
      <c r="F619" s="1405" t="s">
        <v>5299</v>
      </c>
      <c r="G619" s="1403" t="s">
        <v>10259</v>
      </c>
      <c r="H619" s="1406" t="s">
        <v>1009</v>
      </c>
    </row>
    <row r="620" spans="1:8" x14ac:dyDescent="0.2">
      <c r="A620" s="7"/>
      <c r="B620" s="1407" t="str">
        <f t="shared" si="9"/>
        <v>Thomas Hjorth Kristensen</v>
      </c>
      <c r="C620" s="1402" t="s">
        <v>5891</v>
      </c>
      <c r="D620" s="1403" t="s">
        <v>6933</v>
      </c>
      <c r="E620" s="1404" t="s">
        <v>4337</v>
      </c>
      <c r="F620" s="1405" t="s">
        <v>5299</v>
      </c>
      <c r="G620" s="1403" t="s">
        <v>10259</v>
      </c>
      <c r="H620" s="1406" t="s">
        <v>1009</v>
      </c>
    </row>
    <row r="621" spans="1:8" x14ac:dyDescent="0.2">
      <c r="A621" s="7"/>
      <c r="B621" s="1407" t="str">
        <f t="shared" si="9"/>
        <v>Nick Ranklit</v>
      </c>
      <c r="C621" s="1402" t="s">
        <v>5909</v>
      </c>
      <c r="D621" s="1403" t="s">
        <v>5540</v>
      </c>
      <c r="E621" s="1404" t="s">
        <v>4338</v>
      </c>
      <c r="F621" s="1405" t="s">
        <v>5299</v>
      </c>
      <c r="G621" s="1403" t="s">
        <v>10259</v>
      </c>
      <c r="H621" s="1406" t="s">
        <v>1009</v>
      </c>
    </row>
    <row r="622" spans="1:8" x14ac:dyDescent="0.2">
      <c r="A622" s="7"/>
      <c r="B622" s="1407" t="str">
        <f t="shared" si="9"/>
        <v>Patrick From</v>
      </c>
      <c r="C622" s="1402" t="s">
        <v>5910</v>
      </c>
      <c r="D622" s="1403" t="s">
        <v>3271</v>
      </c>
      <c r="E622" s="1404" t="s">
        <v>4339</v>
      </c>
      <c r="F622" s="1405" t="s">
        <v>5299</v>
      </c>
      <c r="G622" s="1403" t="s">
        <v>10259</v>
      </c>
      <c r="H622" s="1406" t="s">
        <v>1009</v>
      </c>
    </row>
    <row r="623" spans="1:8" x14ac:dyDescent="0.2">
      <c r="A623" s="7"/>
      <c r="B623" s="1407" t="str">
        <f t="shared" si="9"/>
        <v>Rasmus Stagsted</v>
      </c>
      <c r="C623" s="1402" t="s">
        <v>5911</v>
      </c>
      <c r="D623" s="1403" t="s">
        <v>3032</v>
      </c>
      <c r="E623" s="1404" t="s">
        <v>4340</v>
      </c>
      <c r="F623" s="1405" t="s">
        <v>5299</v>
      </c>
      <c r="G623" s="1403" t="s">
        <v>10259</v>
      </c>
      <c r="H623" s="1406" t="s">
        <v>1009</v>
      </c>
    </row>
    <row r="624" spans="1:8" x14ac:dyDescent="0.2">
      <c r="A624" s="7"/>
      <c r="B624" s="1407" t="str">
        <f t="shared" si="9"/>
        <v>Brian Illum Hansen</v>
      </c>
      <c r="C624" s="1402" t="s">
        <v>5912</v>
      </c>
      <c r="D624" s="1403" t="s">
        <v>6934</v>
      </c>
      <c r="E624" s="1404" t="s">
        <v>4341</v>
      </c>
      <c r="F624" s="1405" t="s">
        <v>5299</v>
      </c>
      <c r="G624" s="1403" t="s">
        <v>10259</v>
      </c>
      <c r="H624" s="1406" t="s">
        <v>1009</v>
      </c>
    </row>
    <row r="625" spans="1:8" x14ac:dyDescent="0.2">
      <c r="A625" s="7"/>
      <c r="B625" s="1407" t="str">
        <f t="shared" si="9"/>
        <v>Maja Johansen</v>
      </c>
      <c r="C625" s="1402" t="s">
        <v>5913</v>
      </c>
      <c r="D625" s="1403" t="s">
        <v>6935</v>
      </c>
      <c r="E625" s="1404" t="s">
        <v>4342</v>
      </c>
      <c r="F625" s="1405" t="s">
        <v>5299</v>
      </c>
      <c r="G625" s="1403" t="s">
        <v>10259</v>
      </c>
      <c r="H625" s="1406" t="s">
        <v>1009</v>
      </c>
    </row>
    <row r="626" spans="1:8" x14ac:dyDescent="0.2">
      <c r="A626" s="7"/>
      <c r="B626" s="1407" t="str">
        <f t="shared" si="9"/>
        <v>Kim Kristensen</v>
      </c>
      <c r="C626" s="1402" t="s">
        <v>5891</v>
      </c>
      <c r="D626" s="1403" t="s">
        <v>6844</v>
      </c>
      <c r="E626" s="1404" t="s">
        <v>4343</v>
      </c>
      <c r="F626" s="1405" t="s">
        <v>5299</v>
      </c>
      <c r="G626" s="1403" t="s">
        <v>10259</v>
      </c>
      <c r="H626" s="1406" t="s">
        <v>1009</v>
      </c>
    </row>
    <row r="627" spans="1:8" x14ac:dyDescent="0.2">
      <c r="A627" s="7"/>
      <c r="B627" s="1407" t="str">
        <f t="shared" si="9"/>
        <v>Rune Thorsen</v>
      </c>
      <c r="C627" s="1402" t="s">
        <v>5914</v>
      </c>
      <c r="D627" s="1403" t="s">
        <v>6936</v>
      </c>
      <c r="E627" s="1404" t="s">
        <v>4344</v>
      </c>
      <c r="F627" s="1405" t="s">
        <v>5299</v>
      </c>
      <c r="G627" s="1403" t="s">
        <v>10259</v>
      </c>
      <c r="H627" s="1406" t="s">
        <v>1009</v>
      </c>
    </row>
    <row r="628" spans="1:8" x14ac:dyDescent="0.2">
      <c r="A628" s="7"/>
      <c r="B628" s="1407" t="str">
        <f t="shared" si="9"/>
        <v>Frank Andreasen</v>
      </c>
      <c r="C628" s="1402" t="s">
        <v>5915</v>
      </c>
      <c r="D628" s="1403" t="s">
        <v>3207</v>
      </c>
      <c r="E628" s="1404" t="s">
        <v>4345</v>
      </c>
      <c r="F628" s="1405" t="s">
        <v>5299</v>
      </c>
      <c r="G628" s="1403" t="s">
        <v>10259</v>
      </c>
      <c r="H628" s="1406" t="s">
        <v>1009</v>
      </c>
    </row>
    <row r="629" spans="1:8" x14ac:dyDescent="0.2">
      <c r="A629" s="7"/>
      <c r="B629" s="1407" t="str">
        <f t="shared" si="9"/>
        <v>Daniel Kristensen</v>
      </c>
      <c r="C629" s="1402" t="s">
        <v>5891</v>
      </c>
      <c r="D629" s="1403" t="s">
        <v>3243</v>
      </c>
      <c r="E629" s="1404" t="s">
        <v>4346</v>
      </c>
      <c r="F629" s="1405" t="s">
        <v>5299</v>
      </c>
      <c r="G629" s="1403" t="s">
        <v>10259</v>
      </c>
      <c r="H629" s="1406" t="s">
        <v>1009</v>
      </c>
    </row>
    <row r="630" spans="1:8" x14ac:dyDescent="0.2">
      <c r="A630" s="7"/>
      <c r="B630" s="1407" t="str">
        <f t="shared" si="9"/>
        <v>Ulrik Andersen</v>
      </c>
      <c r="C630" s="1402" t="s">
        <v>5916</v>
      </c>
      <c r="D630" s="1403" t="s">
        <v>6937</v>
      </c>
      <c r="E630" s="1404" t="s">
        <v>4347</v>
      </c>
      <c r="F630" s="1405" t="s">
        <v>5299</v>
      </c>
      <c r="G630" s="1403" t="s">
        <v>10259</v>
      </c>
      <c r="H630" s="1406" t="s">
        <v>1009</v>
      </c>
    </row>
    <row r="631" spans="1:8" x14ac:dyDescent="0.2">
      <c r="A631" s="7"/>
      <c r="B631" s="1407" t="str">
        <f t="shared" si="9"/>
        <v>Dorthe Bremholm Sørensen</v>
      </c>
      <c r="C631" s="1402" t="s">
        <v>5897</v>
      </c>
      <c r="D631" s="1403" t="s">
        <v>6938</v>
      </c>
      <c r="E631" s="1404" t="s">
        <v>4348</v>
      </c>
      <c r="F631" s="1405" t="s">
        <v>5299</v>
      </c>
      <c r="G631" s="1403" t="s">
        <v>10259</v>
      </c>
      <c r="H631" s="1406" t="s">
        <v>1009</v>
      </c>
    </row>
    <row r="632" spans="1:8" x14ac:dyDescent="0.2">
      <c r="A632" s="7"/>
      <c r="B632" s="1407" t="str">
        <f t="shared" si="9"/>
        <v>Anders Peter Spanggaard</v>
      </c>
      <c r="C632" s="1402" t="s">
        <v>5917</v>
      </c>
      <c r="D632" s="1403" t="s">
        <v>6939</v>
      </c>
      <c r="E632" s="1404" t="s">
        <v>4349</v>
      </c>
      <c r="F632" s="1405" t="s">
        <v>5299</v>
      </c>
      <c r="G632" s="1403" t="s">
        <v>10259</v>
      </c>
      <c r="H632" s="1406" t="s">
        <v>1009</v>
      </c>
    </row>
    <row r="633" spans="1:8" x14ac:dyDescent="0.2">
      <c r="A633" s="7"/>
      <c r="B633" s="1407" t="str">
        <f t="shared" si="9"/>
        <v>Egon Lund Mikkelsen</v>
      </c>
      <c r="C633" s="1402" t="s">
        <v>5918</v>
      </c>
      <c r="D633" s="1403" t="s">
        <v>6940</v>
      </c>
      <c r="E633" s="1404" t="s">
        <v>4350</v>
      </c>
      <c r="F633" s="1405" t="s">
        <v>5300</v>
      </c>
      <c r="G633" s="1403" t="s">
        <v>10259</v>
      </c>
      <c r="H633" s="1406" t="s">
        <v>1009</v>
      </c>
    </row>
    <row r="634" spans="1:8" x14ac:dyDescent="0.2">
      <c r="A634" s="7"/>
      <c r="B634" s="1407" t="str">
        <f t="shared" si="9"/>
        <v>Louise Have Post</v>
      </c>
      <c r="C634" s="1402" t="s">
        <v>5919</v>
      </c>
      <c r="D634" s="1403" t="s">
        <v>3196</v>
      </c>
      <c r="E634" s="1404" t="s">
        <v>4351</v>
      </c>
      <c r="F634" s="1405" t="s">
        <v>5299</v>
      </c>
      <c r="G634" s="1403" t="s">
        <v>10259</v>
      </c>
      <c r="H634" s="1406" t="s">
        <v>1009</v>
      </c>
    </row>
    <row r="635" spans="1:8" x14ac:dyDescent="0.2">
      <c r="A635" s="7"/>
      <c r="B635" s="1407" t="str">
        <f t="shared" si="9"/>
        <v>Ole Esmark</v>
      </c>
      <c r="C635" s="1402" t="s">
        <v>5920</v>
      </c>
      <c r="D635" s="1403" t="s">
        <v>6941</v>
      </c>
      <c r="E635" s="1404" t="s">
        <v>4352</v>
      </c>
      <c r="F635" s="1405" t="s">
        <v>5299</v>
      </c>
      <c r="G635" s="1403" t="s">
        <v>10259</v>
      </c>
      <c r="H635" s="1406" t="s">
        <v>1009</v>
      </c>
    </row>
    <row r="636" spans="1:8" x14ac:dyDescent="0.2">
      <c r="A636" s="7"/>
      <c r="B636" s="1407" t="str">
        <f t="shared" si="9"/>
        <v>Camilla Bech Kaysen</v>
      </c>
      <c r="C636" s="1402" t="s">
        <v>5921</v>
      </c>
      <c r="D636" s="1403" t="s">
        <v>6942</v>
      </c>
      <c r="E636" s="1404" t="s">
        <v>4353</v>
      </c>
      <c r="F636" s="1405" t="s">
        <v>5299</v>
      </c>
      <c r="G636" s="1403" t="s">
        <v>10259</v>
      </c>
      <c r="H636" s="1406" t="s">
        <v>1009</v>
      </c>
    </row>
    <row r="637" spans="1:8" x14ac:dyDescent="0.2">
      <c r="A637" s="7"/>
      <c r="B637" s="1407" t="str">
        <f t="shared" si="9"/>
        <v>André Eeg Jensen</v>
      </c>
      <c r="C637" s="1402" t="s">
        <v>5922</v>
      </c>
      <c r="D637" s="1403" t="s">
        <v>3175</v>
      </c>
      <c r="E637" s="1404" t="s">
        <v>4354</v>
      </c>
      <c r="F637" s="1405" t="s">
        <v>5299</v>
      </c>
      <c r="G637" s="1403" t="s">
        <v>10259</v>
      </c>
      <c r="H637" s="1406" t="s">
        <v>1009</v>
      </c>
    </row>
    <row r="638" spans="1:8" x14ac:dyDescent="0.2">
      <c r="A638" s="7"/>
      <c r="B638" s="1407" t="str">
        <f t="shared" si="9"/>
        <v>Jonathan Harregaard</v>
      </c>
      <c r="C638" s="1402" t="s">
        <v>5923</v>
      </c>
      <c r="D638" s="1403" t="s">
        <v>3293</v>
      </c>
      <c r="E638" s="1404" t="s">
        <v>4355</v>
      </c>
      <c r="F638" s="1405" t="s">
        <v>5299</v>
      </c>
      <c r="G638" s="1403" t="s">
        <v>10259</v>
      </c>
      <c r="H638" s="1406" t="s">
        <v>1009</v>
      </c>
    </row>
    <row r="639" spans="1:8" x14ac:dyDescent="0.2">
      <c r="A639" s="7"/>
      <c r="B639" s="1407" t="str">
        <f t="shared" si="9"/>
        <v>Hans Martens</v>
      </c>
      <c r="C639" s="1402" t="s">
        <v>5924</v>
      </c>
      <c r="D639" s="1403" t="s">
        <v>3617</v>
      </c>
      <c r="E639" s="1404" t="s">
        <v>4356</v>
      </c>
      <c r="F639" s="1405" t="s">
        <v>5299</v>
      </c>
      <c r="G639" s="1403" t="s">
        <v>10259</v>
      </c>
      <c r="H639" s="1406" t="s">
        <v>1009</v>
      </c>
    </row>
    <row r="640" spans="1:8" x14ac:dyDescent="0.2">
      <c r="A640" s="7"/>
      <c r="B640" s="1407" t="str">
        <f t="shared" si="9"/>
        <v>Jacob Thorbech</v>
      </c>
      <c r="C640" s="1402" t="s">
        <v>5925</v>
      </c>
      <c r="D640" s="1403" t="s">
        <v>3635</v>
      </c>
      <c r="E640" s="1404" t="s">
        <v>4357</v>
      </c>
      <c r="F640" s="1405" t="s">
        <v>5299</v>
      </c>
      <c r="G640" s="1403" t="s">
        <v>10259</v>
      </c>
      <c r="H640" s="1406" t="s">
        <v>1009</v>
      </c>
    </row>
    <row r="641" spans="1:8" x14ac:dyDescent="0.2">
      <c r="A641" s="7"/>
      <c r="B641" s="1407" t="str">
        <f t="shared" si="9"/>
        <v>Kristoffer Falk-Hansen</v>
      </c>
      <c r="C641" s="1402" t="s">
        <v>11014</v>
      </c>
      <c r="D641" s="1403" t="s">
        <v>11069</v>
      </c>
      <c r="E641" s="1404" t="s">
        <v>11089</v>
      </c>
      <c r="F641" s="1405" t="s">
        <v>13211</v>
      </c>
      <c r="G641" s="1403" t="s">
        <v>10259</v>
      </c>
      <c r="H641" s="1406" t="s">
        <v>1009</v>
      </c>
    </row>
    <row r="642" spans="1:8" x14ac:dyDescent="0.2">
      <c r="A642" s="7"/>
      <c r="B642" s="1407" t="str">
        <f t="shared" si="9"/>
        <v>Kasper Lønfeldt</v>
      </c>
      <c r="C642" s="1402" t="s">
        <v>11196</v>
      </c>
      <c r="D642" s="1403" t="s">
        <v>11070</v>
      </c>
      <c r="E642" s="1404" t="s">
        <v>11090</v>
      </c>
      <c r="F642" s="1405" t="s">
        <v>13210</v>
      </c>
      <c r="G642" s="1403" t="s">
        <v>10259</v>
      </c>
      <c r="H642" s="1406" t="s">
        <v>1009</v>
      </c>
    </row>
    <row r="643" spans="1:8" x14ac:dyDescent="0.2">
      <c r="A643" s="7"/>
      <c r="B643" s="1407" t="str">
        <f t="shared" si="9"/>
        <v>Martin Ravnborg</v>
      </c>
      <c r="C643" s="1402" t="s">
        <v>9922</v>
      </c>
      <c r="D643" s="1403" t="s">
        <v>3408</v>
      </c>
      <c r="E643" s="1404" t="s">
        <v>10083</v>
      </c>
      <c r="F643" s="1405" t="s">
        <v>5299</v>
      </c>
      <c r="G643" s="1403" t="s">
        <v>10259</v>
      </c>
      <c r="H643" s="1406" t="s">
        <v>1009</v>
      </c>
    </row>
    <row r="644" spans="1:8" x14ac:dyDescent="0.2">
      <c r="A644" s="7"/>
      <c r="B644" s="1407" t="str">
        <f t="shared" si="9"/>
        <v>Minna Dabbas</v>
      </c>
      <c r="C644" s="1402" t="s">
        <v>9923</v>
      </c>
      <c r="D644" s="1403" t="s">
        <v>10871</v>
      </c>
      <c r="E644" s="1404" t="s">
        <v>10084</v>
      </c>
      <c r="F644" s="1405" t="s">
        <v>13210</v>
      </c>
      <c r="G644" s="1403" t="s">
        <v>10259</v>
      </c>
      <c r="H644" s="1406" t="s">
        <v>1009</v>
      </c>
    </row>
    <row r="645" spans="1:8" x14ac:dyDescent="0.2">
      <c r="A645" s="7"/>
      <c r="B645" s="1407" t="str">
        <f t="shared" si="9"/>
        <v>Ahmad Dabbas</v>
      </c>
      <c r="C645" s="1402" t="s">
        <v>9923</v>
      </c>
      <c r="D645" s="1403" t="s">
        <v>5609</v>
      </c>
      <c r="E645" s="1404" t="s">
        <v>10085</v>
      </c>
      <c r="F645" s="1405" t="s">
        <v>5299</v>
      </c>
      <c r="G645" s="1403" t="s">
        <v>10259</v>
      </c>
      <c r="H645" s="1406" t="s">
        <v>1009</v>
      </c>
    </row>
    <row r="646" spans="1:8" x14ac:dyDescent="0.2">
      <c r="A646" s="7"/>
      <c r="B646" s="1407" t="str">
        <f t="shared" si="9"/>
        <v>Mohammad Dabbas</v>
      </c>
      <c r="C646" s="1402" t="s">
        <v>9923</v>
      </c>
      <c r="D646" s="1403" t="s">
        <v>10872</v>
      </c>
      <c r="E646" s="1404" t="s">
        <v>10086</v>
      </c>
      <c r="F646" s="1405" t="s">
        <v>13210</v>
      </c>
      <c r="G646" s="1403" t="s">
        <v>10259</v>
      </c>
      <c r="H646" s="1406" t="s">
        <v>1009</v>
      </c>
    </row>
    <row r="647" spans="1:8" x14ac:dyDescent="0.2">
      <c r="A647" s="7"/>
      <c r="B647" s="1407" t="str">
        <f t="shared" ref="B647:B710" si="10">TRIM(CONCATENATE(D647," ",C647))</f>
        <v>Benjamin Frederiksen</v>
      </c>
      <c r="C647" s="1402" t="s">
        <v>5895</v>
      </c>
      <c r="D647" s="1403" t="s">
        <v>3362</v>
      </c>
      <c r="E647" s="1404" t="s">
        <v>10087</v>
      </c>
      <c r="F647" s="1405" t="s">
        <v>13210</v>
      </c>
      <c r="G647" s="1403" t="s">
        <v>10259</v>
      </c>
      <c r="H647" s="1406" t="s">
        <v>1009</v>
      </c>
    </row>
    <row r="648" spans="1:8" x14ac:dyDescent="0.2">
      <c r="A648" s="7"/>
      <c r="B648" s="1407" t="str">
        <f t="shared" si="10"/>
        <v>Daniel Raarup</v>
      </c>
      <c r="C648" s="1402" t="s">
        <v>9924</v>
      </c>
      <c r="D648" s="1403" t="s">
        <v>3243</v>
      </c>
      <c r="E648" s="1404" t="s">
        <v>10088</v>
      </c>
      <c r="F648" s="1405" t="s">
        <v>13210</v>
      </c>
      <c r="G648" s="1403" t="s">
        <v>10259</v>
      </c>
      <c r="H648" s="1406" t="s">
        <v>1009</v>
      </c>
    </row>
    <row r="649" spans="1:8" x14ac:dyDescent="0.2">
      <c r="A649" s="7"/>
      <c r="B649" s="1407" t="str">
        <f t="shared" si="10"/>
        <v>Tobias Høj Martens</v>
      </c>
      <c r="C649" s="1402" t="s">
        <v>5924</v>
      </c>
      <c r="D649" s="1403" t="s">
        <v>10054</v>
      </c>
      <c r="E649" s="1404" t="s">
        <v>10089</v>
      </c>
      <c r="F649" s="1405" t="s">
        <v>13211</v>
      </c>
      <c r="G649" s="1403" t="s">
        <v>10259</v>
      </c>
      <c r="H649" s="1406" t="s">
        <v>1009</v>
      </c>
    </row>
    <row r="650" spans="1:8" x14ac:dyDescent="0.2">
      <c r="A650" s="7"/>
      <c r="B650" s="1407" t="str">
        <f t="shared" si="10"/>
        <v>Laura Høj Martens</v>
      </c>
      <c r="C650" s="1402" t="s">
        <v>5924</v>
      </c>
      <c r="D650" s="1403" t="s">
        <v>10055</v>
      </c>
      <c r="E650" s="1404" t="s">
        <v>10090</v>
      </c>
      <c r="F650" s="1405" t="s">
        <v>13210</v>
      </c>
      <c r="G650" s="1403" t="s">
        <v>10259</v>
      </c>
      <c r="H650" s="1406" t="s">
        <v>1009</v>
      </c>
    </row>
    <row r="651" spans="1:8" x14ac:dyDescent="0.2">
      <c r="A651" s="7"/>
      <c r="B651" s="1407" t="str">
        <f t="shared" si="10"/>
        <v>Rasmus Høj Martens</v>
      </c>
      <c r="C651" s="1402" t="s">
        <v>5924</v>
      </c>
      <c r="D651" s="1403" t="s">
        <v>10056</v>
      </c>
      <c r="E651" s="1404" t="s">
        <v>10091</v>
      </c>
      <c r="F651" s="1405" t="s">
        <v>1563</v>
      </c>
      <c r="G651" s="1403" t="s">
        <v>10259</v>
      </c>
      <c r="H651" s="1406" t="s">
        <v>1009</v>
      </c>
    </row>
    <row r="652" spans="1:8" x14ac:dyDescent="0.2">
      <c r="A652" s="7"/>
      <c r="B652" s="1407" t="str">
        <f t="shared" si="10"/>
        <v>Mads Bryder</v>
      </c>
      <c r="C652" s="1402" t="s">
        <v>9925</v>
      </c>
      <c r="D652" s="1403" t="s">
        <v>10873</v>
      </c>
      <c r="E652" s="1404" t="s">
        <v>10092</v>
      </c>
      <c r="F652" s="1405" t="s">
        <v>5300</v>
      </c>
      <c r="G652" s="1403" t="s">
        <v>10259</v>
      </c>
      <c r="H652" s="1406" t="s">
        <v>1009</v>
      </c>
    </row>
    <row r="653" spans="1:8" x14ac:dyDescent="0.2">
      <c r="A653" s="7"/>
      <c r="B653" s="1407" t="str">
        <f t="shared" si="10"/>
        <v>Uffe Peitersen</v>
      </c>
      <c r="C653" s="1402" t="s">
        <v>9926</v>
      </c>
      <c r="D653" s="1403" t="s">
        <v>10874</v>
      </c>
      <c r="E653" s="1404" t="s">
        <v>10093</v>
      </c>
      <c r="F653" s="1405" t="s">
        <v>5299</v>
      </c>
      <c r="G653" s="1403" t="s">
        <v>10259</v>
      </c>
      <c r="H653" s="1406" t="s">
        <v>1009</v>
      </c>
    </row>
    <row r="654" spans="1:8" x14ac:dyDescent="0.2">
      <c r="A654" s="7"/>
      <c r="B654" s="1407" t="str">
        <f t="shared" si="10"/>
        <v>Julius Kluge</v>
      </c>
      <c r="C654" s="1402" t="s">
        <v>10848</v>
      </c>
      <c r="D654" s="1403" t="s">
        <v>10875</v>
      </c>
      <c r="E654" s="1404" t="s">
        <v>10885</v>
      </c>
      <c r="F654" s="1405" t="s">
        <v>13210</v>
      </c>
      <c r="G654" s="1403" t="s">
        <v>10259</v>
      </c>
      <c r="H654" s="1406" t="s">
        <v>1009</v>
      </c>
    </row>
    <row r="655" spans="1:8" x14ac:dyDescent="0.2">
      <c r="A655" s="7"/>
      <c r="B655" s="1407" t="str">
        <f t="shared" si="10"/>
        <v>Nadja Milbo Hansen</v>
      </c>
      <c r="C655" s="1402" t="s">
        <v>10849</v>
      </c>
      <c r="D655" s="1403" t="s">
        <v>10876</v>
      </c>
      <c r="E655" s="1404" t="s">
        <v>10886</v>
      </c>
      <c r="F655" s="1405" t="s">
        <v>13210</v>
      </c>
      <c r="G655" s="1403" t="s">
        <v>10259</v>
      </c>
      <c r="H655" s="1406" t="s">
        <v>1009</v>
      </c>
    </row>
    <row r="656" spans="1:8" x14ac:dyDescent="0.2">
      <c r="A656" s="7"/>
      <c r="B656" s="1407" t="str">
        <f t="shared" si="10"/>
        <v>Mohammad Faour</v>
      </c>
      <c r="C656" s="1402" t="s">
        <v>10850</v>
      </c>
      <c r="D656" s="1403" t="s">
        <v>10872</v>
      </c>
      <c r="E656" s="1404" t="s">
        <v>10887</v>
      </c>
      <c r="F656" s="1405" t="s">
        <v>13210</v>
      </c>
      <c r="G656" s="1403" t="s">
        <v>10259</v>
      </c>
      <c r="H656" s="1406" t="s">
        <v>1009</v>
      </c>
    </row>
    <row r="657" spans="1:8" x14ac:dyDescent="0.2">
      <c r="A657" s="7"/>
      <c r="B657" s="1407" t="str">
        <f t="shared" si="10"/>
        <v>Batool Dabbas</v>
      </c>
      <c r="C657" s="1402" t="s">
        <v>9923</v>
      </c>
      <c r="D657" s="1403" t="s">
        <v>10877</v>
      </c>
      <c r="E657" s="1404" t="s">
        <v>10888</v>
      </c>
      <c r="F657" s="1405" t="s">
        <v>5299</v>
      </c>
      <c r="G657" s="1403" t="s">
        <v>10259</v>
      </c>
      <c r="H657" s="1406" t="s">
        <v>1009</v>
      </c>
    </row>
    <row r="658" spans="1:8" x14ac:dyDescent="0.2">
      <c r="A658" s="7"/>
      <c r="B658" s="1407" t="str">
        <f t="shared" si="10"/>
        <v>Bertram Møller</v>
      </c>
      <c r="C658" s="1402" t="s">
        <v>10851</v>
      </c>
      <c r="D658" s="1403" t="s">
        <v>10878</v>
      </c>
      <c r="E658" s="1404" t="s">
        <v>10889</v>
      </c>
      <c r="F658" s="1405" t="s">
        <v>13211</v>
      </c>
      <c r="G658" s="1403" t="s">
        <v>10259</v>
      </c>
      <c r="H658" s="1406" t="s">
        <v>1009</v>
      </c>
    </row>
    <row r="659" spans="1:8" x14ac:dyDescent="0.2">
      <c r="A659" s="7"/>
      <c r="B659" s="1407" t="str">
        <f t="shared" si="10"/>
        <v>Jonas Bøge</v>
      </c>
      <c r="C659" s="1402" t="s">
        <v>10852</v>
      </c>
      <c r="D659" s="1403" t="s">
        <v>3432</v>
      </c>
      <c r="E659" s="1404" t="s">
        <v>10890</v>
      </c>
      <c r="F659" s="1405" t="s">
        <v>5299</v>
      </c>
      <c r="G659" s="1403" t="s">
        <v>10259</v>
      </c>
      <c r="H659" s="1406" t="s">
        <v>1009</v>
      </c>
    </row>
    <row r="660" spans="1:8" x14ac:dyDescent="0.2">
      <c r="A660" s="7"/>
      <c r="B660" s="1407" t="str">
        <f t="shared" si="10"/>
        <v>Mohammad Idriss</v>
      </c>
      <c r="C660" s="1402" t="s">
        <v>10853</v>
      </c>
      <c r="D660" s="1403" t="s">
        <v>10872</v>
      </c>
      <c r="E660" s="1404" t="s">
        <v>10891</v>
      </c>
      <c r="F660" s="1405" t="s">
        <v>13210</v>
      </c>
      <c r="G660" s="1403" t="s">
        <v>10259</v>
      </c>
      <c r="H660" s="1406" t="s">
        <v>1009</v>
      </c>
    </row>
    <row r="661" spans="1:8" x14ac:dyDescent="0.2">
      <c r="A661" s="7"/>
      <c r="B661" s="1407" t="str">
        <f t="shared" si="10"/>
        <v>Khalil Faour</v>
      </c>
      <c r="C661" s="1402" t="s">
        <v>10850</v>
      </c>
      <c r="D661" s="1403" t="s">
        <v>10879</v>
      </c>
      <c r="E661" s="1404" t="s">
        <v>10892</v>
      </c>
      <c r="F661" s="1405" t="s">
        <v>13210</v>
      </c>
      <c r="G661" s="1403" t="s">
        <v>10259</v>
      </c>
      <c r="H661" s="1406" t="s">
        <v>1009</v>
      </c>
    </row>
    <row r="662" spans="1:8" x14ac:dyDescent="0.2">
      <c r="A662" s="7"/>
      <c r="B662" s="1407" t="str">
        <f t="shared" si="10"/>
        <v>Mihai Valentin</v>
      </c>
      <c r="C662" s="1402" t="s">
        <v>3674</v>
      </c>
      <c r="D662" s="1403" t="s">
        <v>10880</v>
      </c>
      <c r="E662" s="1404" t="s">
        <v>10893</v>
      </c>
      <c r="F662" s="1405" t="s">
        <v>13210</v>
      </c>
      <c r="G662" s="1403" t="s">
        <v>10259</v>
      </c>
      <c r="H662" s="1406" t="s">
        <v>1009</v>
      </c>
    </row>
    <row r="663" spans="1:8" x14ac:dyDescent="0.2">
      <c r="A663" s="7"/>
      <c r="B663" s="1407" t="str">
        <f t="shared" si="10"/>
        <v>Tobias Knudsen</v>
      </c>
      <c r="C663" s="1402" t="s">
        <v>9395</v>
      </c>
      <c r="D663" s="1403" t="s">
        <v>3693</v>
      </c>
      <c r="E663" s="1404" t="s">
        <v>10894</v>
      </c>
      <c r="F663" s="1405" t="s">
        <v>5299</v>
      </c>
      <c r="G663" s="1403" t="s">
        <v>10259</v>
      </c>
      <c r="H663" s="1406" t="s">
        <v>1009</v>
      </c>
    </row>
    <row r="664" spans="1:8" x14ac:dyDescent="0.2">
      <c r="A664" s="7"/>
      <c r="B664" s="1407" t="str">
        <f t="shared" si="10"/>
        <v>Safa Dabbas</v>
      </c>
      <c r="C664" s="1402" t="s">
        <v>9923</v>
      </c>
      <c r="D664" s="1403" t="s">
        <v>10881</v>
      </c>
      <c r="E664" s="1404" t="s">
        <v>10895</v>
      </c>
      <c r="F664" s="1405" t="s">
        <v>5299</v>
      </c>
      <c r="G664" s="1403" t="s">
        <v>10259</v>
      </c>
      <c r="H664" s="1406" t="s">
        <v>1009</v>
      </c>
    </row>
    <row r="665" spans="1:8" x14ac:dyDescent="0.2">
      <c r="A665" s="7"/>
      <c r="B665" s="1407" t="str">
        <f t="shared" si="10"/>
        <v>Magnus Mørch</v>
      </c>
      <c r="C665" s="1402" t="s">
        <v>11015</v>
      </c>
      <c r="D665" s="1403" t="s">
        <v>3173</v>
      </c>
      <c r="E665" s="1404" t="s">
        <v>11091</v>
      </c>
      <c r="F665" s="1405" t="s">
        <v>13210</v>
      </c>
      <c r="G665" s="1403" t="s">
        <v>10259</v>
      </c>
      <c r="H665" s="1406" t="s">
        <v>1009</v>
      </c>
    </row>
    <row r="666" spans="1:8" x14ac:dyDescent="0.2">
      <c r="A666" s="7"/>
      <c r="B666" s="1407" t="str">
        <f t="shared" si="10"/>
        <v>Mike Parnaby</v>
      </c>
      <c r="C666" s="1402" t="s">
        <v>15995</v>
      </c>
      <c r="D666" s="1403" t="s">
        <v>3304</v>
      </c>
      <c r="E666" s="1404" t="s">
        <v>15996</v>
      </c>
      <c r="F666" s="1405" t="s">
        <v>5300</v>
      </c>
      <c r="G666" s="1403" t="s">
        <v>15274</v>
      </c>
      <c r="H666" s="1406" t="s">
        <v>1013</v>
      </c>
    </row>
    <row r="667" spans="1:8" x14ac:dyDescent="0.2">
      <c r="A667" s="7"/>
      <c r="B667" s="1407" t="str">
        <f t="shared" si="10"/>
        <v>Kevin Adderley</v>
      </c>
      <c r="C667" s="1402" t="s">
        <v>17741</v>
      </c>
      <c r="D667" s="1403" t="s">
        <v>3263</v>
      </c>
      <c r="E667" s="1404" t="s">
        <v>17742</v>
      </c>
      <c r="F667" s="1405" t="s">
        <v>5299</v>
      </c>
      <c r="G667" s="1403" t="s">
        <v>15274</v>
      </c>
      <c r="H667" s="1406" t="s">
        <v>1013</v>
      </c>
    </row>
    <row r="668" spans="1:8" x14ac:dyDescent="0.2">
      <c r="A668" s="7"/>
      <c r="B668" s="1407" t="str">
        <f t="shared" si="10"/>
        <v>Andrew Boyer</v>
      </c>
      <c r="C668" s="1402" t="s">
        <v>13747</v>
      </c>
      <c r="D668" s="1403" t="s">
        <v>3105</v>
      </c>
      <c r="E668" s="1404" t="s">
        <v>13748</v>
      </c>
      <c r="F668" s="1405" t="s">
        <v>5300</v>
      </c>
      <c r="G668" s="1403" t="s">
        <v>15274</v>
      </c>
      <c r="H668" s="1406" t="s">
        <v>1013</v>
      </c>
    </row>
    <row r="669" spans="1:8" x14ac:dyDescent="0.2">
      <c r="A669" s="7"/>
      <c r="B669" s="1407" t="str">
        <f t="shared" si="10"/>
        <v>Martin Hodds</v>
      </c>
      <c r="C669" s="1402" t="s">
        <v>5927</v>
      </c>
      <c r="D669" s="1403" t="s">
        <v>3408</v>
      </c>
      <c r="E669" s="1404" t="s">
        <v>4358</v>
      </c>
      <c r="F669" s="1405" t="s">
        <v>5300</v>
      </c>
      <c r="G669" s="1403" t="s">
        <v>15274</v>
      </c>
      <c r="H669" s="1406" t="s">
        <v>1013</v>
      </c>
    </row>
    <row r="670" spans="1:8" x14ac:dyDescent="0.2">
      <c r="A670" s="7"/>
      <c r="B670" s="1407" t="str">
        <f t="shared" si="10"/>
        <v>Ben Staples</v>
      </c>
      <c r="C670" s="1402" t="s">
        <v>5928</v>
      </c>
      <c r="D670" s="1403" t="s">
        <v>3264</v>
      </c>
      <c r="E670" s="1404" t="s">
        <v>13749</v>
      </c>
      <c r="F670" s="1405" t="s">
        <v>5299</v>
      </c>
      <c r="G670" s="1403" t="s">
        <v>15274</v>
      </c>
      <c r="H670" s="1406" t="s">
        <v>1013</v>
      </c>
    </row>
    <row r="671" spans="1:8" x14ac:dyDescent="0.2">
      <c r="A671" s="7"/>
      <c r="B671" s="1407" t="str">
        <f t="shared" si="10"/>
        <v>Mark Green</v>
      </c>
      <c r="C671" s="1402" t="s">
        <v>5693</v>
      </c>
      <c r="D671" s="1403" t="s">
        <v>3017</v>
      </c>
      <c r="E671" s="1404" t="s">
        <v>17743</v>
      </c>
      <c r="F671" s="1405" t="s">
        <v>5300</v>
      </c>
      <c r="G671" s="1403" t="s">
        <v>13548</v>
      </c>
      <c r="H671" s="1406" t="s">
        <v>1013</v>
      </c>
    </row>
    <row r="672" spans="1:8" x14ac:dyDescent="0.2">
      <c r="A672" s="7"/>
      <c r="B672" s="1407" t="str">
        <f t="shared" si="10"/>
        <v>Matt Lampitt</v>
      </c>
      <c r="C672" s="1402" t="s">
        <v>14368</v>
      </c>
      <c r="D672" s="1403" t="s">
        <v>3059</v>
      </c>
      <c r="E672" s="1404" t="s">
        <v>14369</v>
      </c>
      <c r="F672" s="1405" t="s">
        <v>5299</v>
      </c>
      <c r="G672" s="1403" t="s">
        <v>15227</v>
      </c>
      <c r="H672" s="1406" t="s">
        <v>1013</v>
      </c>
    </row>
    <row r="673" spans="1:8" x14ac:dyDescent="0.2">
      <c r="A673" s="7"/>
      <c r="B673" s="1407" t="str">
        <f t="shared" si="10"/>
        <v>Jeremy Bradley</v>
      </c>
      <c r="C673" s="1402" t="s">
        <v>5930</v>
      </c>
      <c r="D673" s="1403" t="s">
        <v>3110</v>
      </c>
      <c r="E673" s="1404" t="s">
        <v>14373</v>
      </c>
      <c r="F673" s="1405" t="s">
        <v>5300</v>
      </c>
      <c r="G673" s="1403" t="s">
        <v>13531</v>
      </c>
      <c r="H673" s="1406" t="s">
        <v>1013</v>
      </c>
    </row>
    <row r="674" spans="1:8" x14ac:dyDescent="0.2">
      <c r="A674" s="7"/>
      <c r="B674" s="1407" t="str">
        <f t="shared" si="10"/>
        <v>Kevin Dyson</v>
      </c>
      <c r="C674" s="1402" t="s">
        <v>14371</v>
      </c>
      <c r="D674" s="1403" t="s">
        <v>3263</v>
      </c>
      <c r="E674" s="1404" t="s">
        <v>14372</v>
      </c>
      <c r="F674" s="1405" t="s">
        <v>5300</v>
      </c>
      <c r="G674" s="1403" t="s">
        <v>13531</v>
      </c>
      <c r="H674" s="1406" t="s">
        <v>1013</v>
      </c>
    </row>
    <row r="675" spans="1:8" x14ac:dyDescent="0.2">
      <c r="A675" s="7"/>
      <c r="B675" s="1407" t="str">
        <f t="shared" si="10"/>
        <v>Christian Short</v>
      </c>
      <c r="C675" s="1402" t="s">
        <v>13750</v>
      </c>
      <c r="D675" s="1403" t="s">
        <v>3063</v>
      </c>
      <c r="E675" s="1404" t="s">
        <v>13751</v>
      </c>
      <c r="F675" s="1405" t="s">
        <v>5299</v>
      </c>
      <c r="G675" s="1403" t="s">
        <v>2754</v>
      </c>
      <c r="H675" s="1406" t="s">
        <v>1013</v>
      </c>
    </row>
    <row r="676" spans="1:8" x14ac:dyDescent="0.2">
      <c r="A676" s="7"/>
      <c r="B676" s="1407" t="str">
        <f t="shared" si="10"/>
        <v>Adam Douglas</v>
      </c>
      <c r="C676" s="1402" t="s">
        <v>13752</v>
      </c>
      <c r="D676" s="1403" t="s">
        <v>3502</v>
      </c>
      <c r="E676" s="1404" t="s">
        <v>13753</v>
      </c>
      <c r="F676" s="1405" t="s">
        <v>5299</v>
      </c>
      <c r="G676" s="1403" t="s">
        <v>17082</v>
      </c>
      <c r="H676" s="1406" t="s">
        <v>1013</v>
      </c>
    </row>
    <row r="677" spans="1:8" x14ac:dyDescent="0.2">
      <c r="A677" s="7"/>
      <c r="B677" s="1407" t="str">
        <f t="shared" si="10"/>
        <v>Paul Lawrenson</v>
      </c>
      <c r="C677" s="1402" t="s">
        <v>5932</v>
      </c>
      <c r="D677" s="1403" t="s">
        <v>3259</v>
      </c>
      <c r="E677" s="1404" t="s">
        <v>13754</v>
      </c>
      <c r="F677" s="1405" t="s">
        <v>5299</v>
      </c>
      <c r="G677" s="1403" t="s">
        <v>15274</v>
      </c>
      <c r="H677" s="1406" t="s">
        <v>1013</v>
      </c>
    </row>
    <row r="678" spans="1:8" x14ac:dyDescent="0.2">
      <c r="A678" s="7"/>
      <c r="B678" s="1407" t="str">
        <f t="shared" si="10"/>
        <v>Elliott Bellefontaine</v>
      </c>
      <c r="C678" s="1402" t="s">
        <v>5933</v>
      </c>
      <c r="D678" s="1403" t="s">
        <v>3448</v>
      </c>
      <c r="E678" s="1404" t="s">
        <v>4359</v>
      </c>
      <c r="F678" s="1405" t="s">
        <v>5299</v>
      </c>
      <c r="G678" s="1403" t="s">
        <v>13593</v>
      </c>
      <c r="H678" s="1406" t="s">
        <v>1013</v>
      </c>
    </row>
    <row r="679" spans="1:8" x14ac:dyDescent="0.2">
      <c r="A679" s="7"/>
      <c r="B679" s="1407" t="str">
        <f t="shared" si="10"/>
        <v>Kaspar Bennett</v>
      </c>
      <c r="C679" s="1402" t="s">
        <v>5934</v>
      </c>
      <c r="D679" s="1403" t="s">
        <v>14374</v>
      </c>
      <c r="E679" s="1404" t="s">
        <v>14375</v>
      </c>
      <c r="F679" s="1405" t="s">
        <v>5299</v>
      </c>
      <c r="G679" s="1403" t="s">
        <v>2745</v>
      </c>
      <c r="H679" s="1406" t="s">
        <v>1013</v>
      </c>
    </row>
    <row r="680" spans="1:8" x14ac:dyDescent="0.2">
      <c r="A680" s="7"/>
      <c r="B680" s="1407" t="str">
        <f t="shared" si="10"/>
        <v>Chris Thomas</v>
      </c>
      <c r="C680" s="1402" t="s">
        <v>3124</v>
      </c>
      <c r="D680" s="1403" t="s">
        <v>3029</v>
      </c>
      <c r="E680" s="1404" t="s">
        <v>4360</v>
      </c>
      <c r="F680" s="1405" t="s">
        <v>5299</v>
      </c>
      <c r="G680" s="1403" t="s">
        <v>15227</v>
      </c>
      <c r="H680" s="1406" t="s">
        <v>1013</v>
      </c>
    </row>
    <row r="681" spans="1:8" x14ac:dyDescent="0.2">
      <c r="A681" s="7"/>
      <c r="B681" s="1407" t="str">
        <f t="shared" si="10"/>
        <v>Paul Sutton</v>
      </c>
      <c r="C681" s="1402" t="s">
        <v>17744</v>
      </c>
      <c r="D681" s="1403" t="s">
        <v>3259</v>
      </c>
      <c r="E681" s="1404" t="s">
        <v>17745</v>
      </c>
      <c r="F681" s="1405" t="s">
        <v>5299</v>
      </c>
      <c r="G681" s="1403" t="s">
        <v>17082</v>
      </c>
      <c r="H681" s="1406" t="s">
        <v>1013</v>
      </c>
    </row>
    <row r="682" spans="1:8" x14ac:dyDescent="0.2">
      <c r="A682" s="7"/>
      <c r="B682" s="1407" t="str">
        <f t="shared" si="10"/>
        <v>Justin Finch</v>
      </c>
      <c r="C682" s="1402" t="s">
        <v>5935</v>
      </c>
      <c r="D682" s="1403" t="s">
        <v>3025</v>
      </c>
      <c r="E682" s="1404" t="s">
        <v>4361</v>
      </c>
      <c r="F682" s="1405" t="s">
        <v>5300</v>
      </c>
      <c r="G682" s="1403" t="s">
        <v>2772</v>
      </c>
      <c r="H682" s="1406" t="s">
        <v>1013</v>
      </c>
    </row>
    <row r="683" spans="1:8" x14ac:dyDescent="0.2">
      <c r="A683" s="7"/>
      <c r="B683" s="1407" t="str">
        <f t="shared" si="10"/>
        <v>Steve George</v>
      </c>
      <c r="C683" s="1402" t="s">
        <v>3162</v>
      </c>
      <c r="D683" s="1403" t="s">
        <v>3088</v>
      </c>
      <c r="E683" s="1404" t="s">
        <v>13755</v>
      </c>
      <c r="F683" s="1405" t="s">
        <v>5300</v>
      </c>
      <c r="G683" s="1403" t="s">
        <v>17082</v>
      </c>
      <c r="H683" s="1406" t="s">
        <v>1013</v>
      </c>
    </row>
    <row r="684" spans="1:8" x14ac:dyDescent="0.2">
      <c r="A684" s="7"/>
      <c r="B684" s="1407" t="str">
        <f t="shared" si="10"/>
        <v>Paul Caulfield</v>
      </c>
      <c r="C684" s="1402" t="s">
        <v>17746</v>
      </c>
      <c r="D684" s="1403" t="s">
        <v>3259</v>
      </c>
      <c r="E684" s="1404" t="s">
        <v>17747</v>
      </c>
      <c r="F684" s="1405" t="s">
        <v>5300</v>
      </c>
      <c r="G684" s="1403" t="s">
        <v>15274</v>
      </c>
      <c r="H684" s="1406" t="s">
        <v>1013</v>
      </c>
    </row>
    <row r="685" spans="1:8" x14ac:dyDescent="0.2">
      <c r="A685" s="7"/>
      <c r="B685" s="1407" t="str">
        <f t="shared" si="10"/>
        <v>David Russell</v>
      </c>
      <c r="C685" s="1402" t="s">
        <v>5939</v>
      </c>
      <c r="D685" s="1403" t="s">
        <v>3072</v>
      </c>
      <c r="E685" s="1404" t="s">
        <v>13756</v>
      </c>
      <c r="F685" s="1405" t="s">
        <v>5299</v>
      </c>
      <c r="G685" s="1403" t="s">
        <v>15274</v>
      </c>
      <c r="H685" s="1406" t="s">
        <v>1013</v>
      </c>
    </row>
    <row r="686" spans="1:8" x14ac:dyDescent="0.2">
      <c r="A686" s="7"/>
      <c r="B686" s="1407" t="str">
        <f t="shared" si="10"/>
        <v>Craig Heward</v>
      </c>
      <c r="C686" s="1402" t="s">
        <v>15667</v>
      </c>
      <c r="D686" s="1403" t="s">
        <v>3188</v>
      </c>
      <c r="E686" s="1404" t="s">
        <v>15668</v>
      </c>
      <c r="F686" s="1405" t="s">
        <v>5300</v>
      </c>
      <c r="G686" s="1403" t="s">
        <v>15274</v>
      </c>
      <c r="H686" s="1406" t="s">
        <v>1013</v>
      </c>
    </row>
    <row r="687" spans="1:8" x14ac:dyDescent="0.2">
      <c r="A687" s="7"/>
      <c r="B687" s="1407" t="str">
        <f t="shared" si="10"/>
        <v>Tony McCann</v>
      </c>
      <c r="C687" s="1402" t="s">
        <v>13757</v>
      </c>
      <c r="D687" s="1403" t="s">
        <v>3134</v>
      </c>
      <c r="E687" s="1404" t="s">
        <v>13758</v>
      </c>
      <c r="F687" s="1405" t="s">
        <v>5300</v>
      </c>
      <c r="G687" s="1403" t="s">
        <v>15274</v>
      </c>
      <c r="H687" s="1406" t="s">
        <v>1013</v>
      </c>
    </row>
    <row r="688" spans="1:8" x14ac:dyDescent="0.2">
      <c r="A688" s="7"/>
      <c r="B688" s="1407" t="str">
        <f t="shared" si="10"/>
        <v>Terry Arnold</v>
      </c>
      <c r="C688" s="1402" t="s">
        <v>3625</v>
      </c>
      <c r="D688" s="1403" t="s">
        <v>13633</v>
      </c>
      <c r="E688" s="1404" t="s">
        <v>13759</v>
      </c>
      <c r="F688" s="1405" t="s">
        <v>5300</v>
      </c>
      <c r="G688" s="1403" t="s">
        <v>17082</v>
      </c>
      <c r="H688" s="1406" t="s">
        <v>1013</v>
      </c>
    </row>
    <row r="689" spans="1:8" x14ac:dyDescent="0.2">
      <c r="A689" s="7"/>
      <c r="B689" s="1407" t="str">
        <f t="shared" si="10"/>
        <v>Kye Arnold</v>
      </c>
      <c r="C689" s="1402" t="s">
        <v>3625</v>
      </c>
      <c r="D689" s="1403" t="s">
        <v>3690</v>
      </c>
      <c r="E689" s="1404" t="s">
        <v>4362</v>
      </c>
      <c r="F689" s="1405" t="s">
        <v>5299</v>
      </c>
      <c r="G689" s="1403" t="s">
        <v>17082</v>
      </c>
      <c r="H689" s="1406" t="s">
        <v>1013</v>
      </c>
    </row>
    <row r="690" spans="1:8" x14ac:dyDescent="0.2">
      <c r="A690" s="7"/>
      <c r="B690" s="1407" t="str">
        <f t="shared" si="10"/>
        <v>Brian Kinrade</v>
      </c>
      <c r="C690" s="1402" t="s">
        <v>5940</v>
      </c>
      <c r="D690" s="1403" t="s">
        <v>3195</v>
      </c>
      <c r="E690" s="1404" t="s">
        <v>4363</v>
      </c>
      <c r="F690" s="1405" t="s">
        <v>5300</v>
      </c>
      <c r="G690" s="1403" t="s">
        <v>2769</v>
      </c>
      <c r="H690" s="1406" t="s">
        <v>1013</v>
      </c>
    </row>
    <row r="691" spans="1:8" x14ac:dyDescent="0.2">
      <c r="A691" s="7"/>
      <c r="B691" s="1407" t="str">
        <f t="shared" si="10"/>
        <v>Brian Daley</v>
      </c>
      <c r="C691" s="1402" t="s">
        <v>5941</v>
      </c>
      <c r="D691" s="1403" t="s">
        <v>3195</v>
      </c>
      <c r="E691" s="1404" t="s">
        <v>4364</v>
      </c>
      <c r="F691" s="1405" t="s">
        <v>5300</v>
      </c>
      <c r="G691" s="1403" t="s">
        <v>15274</v>
      </c>
      <c r="H691" s="1406" t="s">
        <v>1013</v>
      </c>
    </row>
    <row r="692" spans="1:8" x14ac:dyDescent="0.2">
      <c r="A692" s="7"/>
      <c r="B692" s="1407" t="str">
        <f t="shared" si="10"/>
        <v>Colin Fletcher</v>
      </c>
      <c r="C692" s="1402" t="s">
        <v>13760</v>
      </c>
      <c r="D692" s="1403" t="s">
        <v>3114</v>
      </c>
      <c r="E692" s="1404" t="s">
        <v>13761</v>
      </c>
      <c r="F692" s="1405" t="s">
        <v>5300</v>
      </c>
      <c r="G692" s="1403" t="s">
        <v>13531</v>
      </c>
      <c r="H692" s="1406" t="s">
        <v>1013</v>
      </c>
    </row>
    <row r="693" spans="1:8" x14ac:dyDescent="0.2">
      <c r="A693" s="7"/>
      <c r="B693" s="1407" t="str">
        <f t="shared" si="10"/>
        <v>Darren Clark</v>
      </c>
      <c r="C693" s="1402" t="s">
        <v>5942</v>
      </c>
      <c r="D693" s="1403" t="s">
        <v>3150</v>
      </c>
      <c r="E693" s="1404" t="s">
        <v>4365</v>
      </c>
      <c r="F693" s="1405" t="s">
        <v>5300</v>
      </c>
      <c r="G693" s="1403" t="s">
        <v>7183</v>
      </c>
      <c r="H693" s="1406" t="s">
        <v>1013</v>
      </c>
    </row>
    <row r="694" spans="1:8" x14ac:dyDescent="0.2">
      <c r="A694" s="7"/>
      <c r="B694" s="1407" t="str">
        <f t="shared" si="10"/>
        <v>Samuel Curtis</v>
      </c>
      <c r="C694" s="1402" t="s">
        <v>11071</v>
      </c>
      <c r="D694" s="1403" t="s">
        <v>3015</v>
      </c>
      <c r="E694" s="1404" t="s">
        <v>13762</v>
      </c>
      <c r="F694" s="1405" t="s">
        <v>5299</v>
      </c>
      <c r="G694" s="1403" t="s">
        <v>15274</v>
      </c>
      <c r="H694" s="1406" t="s">
        <v>1013</v>
      </c>
    </row>
    <row r="695" spans="1:8" x14ac:dyDescent="0.2">
      <c r="A695" s="7"/>
      <c r="B695" s="1407" t="str">
        <f t="shared" si="10"/>
        <v>Simon Bryan</v>
      </c>
      <c r="C695" s="1402" t="s">
        <v>3344</v>
      </c>
      <c r="D695" s="1403" t="s">
        <v>3626</v>
      </c>
      <c r="E695" s="1404" t="s">
        <v>17748</v>
      </c>
      <c r="F695" s="1405" t="s">
        <v>5300</v>
      </c>
      <c r="G695" s="1403" t="s">
        <v>15274</v>
      </c>
      <c r="H695" s="1406" t="s">
        <v>1013</v>
      </c>
    </row>
    <row r="696" spans="1:8" x14ac:dyDescent="0.2">
      <c r="A696" s="7"/>
      <c r="B696" s="1407" t="str">
        <f t="shared" si="10"/>
        <v>Jeremy Boothman</v>
      </c>
      <c r="C696" s="1402" t="s">
        <v>13763</v>
      </c>
      <c r="D696" s="1403" t="s">
        <v>3110</v>
      </c>
      <c r="E696" s="1404" t="s">
        <v>13764</v>
      </c>
      <c r="F696" s="1405" t="s">
        <v>5300</v>
      </c>
      <c r="G696" s="1403" t="s">
        <v>13531</v>
      </c>
      <c r="H696" s="1406" t="s">
        <v>1013</v>
      </c>
    </row>
    <row r="697" spans="1:8" x14ac:dyDescent="0.2">
      <c r="A697" s="7"/>
      <c r="B697" s="1407" t="str">
        <f t="shared" si="10"/>
        <v>Rob Paterson</v>
      </c>
      <c r="C697" s="1402" t="s">
        <v>13765</v>
      </c>
      <c r="D697" s="1403" t="s">
        <v>3320</v>
      </c>
      <c r="E697" s="1404" t="s">
        <v>13766</v>
      </c>
      <c r="F697" s="1405" t="s">
        <v>5300</v>
      </c>
      <c r="G697" s="1403" t="s">
        <v>13531</v>
      </c>
      <c r="H697" s="1406" t="s">
        <v>1013</v>
      </c>
    </row>
    <row r="698" spans="1:8" x14ac:dyDescent="0.2">
      <c r="A698" s="7"/>
      <c r="B698" s="1407" t="str">
        <f t="shared" si="10"/>
        <v>Matthew Thomas</v>
      </c>
      <c r="C698" s="1402" t="s">
        <v>3124</v>
      </c>
      <c r="D698" s="1403" t="s">
        <v>3240</v>
      </c>
      <c r="E698" s="1404" t="s">
        <v>16299</v>
      </c>
      <c r="F698" s="1405" t="s">
        <v>5299</v>
      </c>
      <c r="G698" s="1403" t="s">
        <v>15227</v>
      </c>
      <c r="H698" s="1406" t="s">
        <v>1013</v>
      </c>
    </row>
    <row r="699" spans="1:8" x14ac:dyDescent="0.2">
      <c r="A699" s="7"/>
      <c r="B699" s="1407" t="str">
        <f t="shared" si="10"/>
        <v>Colin Tarry</v>
      </c>
      <c r="C699" s="1402" t="s">
        <v>14376</v>
      </c>
      <c r="D699" s="1403" t="s">
        <v>3114</v>
      </c>
      <c r="E699" s="1404" t="s">
        <v>14377</v>
      </c>
      <c r="F699" s="1405" t="s">
        <v>5300</v>
      </c>
      <c r="G699" s="1403" t="s">
        <v>15274</v>
      </c>
      <c r="H699" s="1406" t="s">
        <v>1013</v>
      </c>
    </row>
    <row r="700" spans="1:8" x14ac:dyDescent="0.2">
      <c r="A700" s="7"/>
      <c r="B700" s="1407" t="str">
        <f t="shared" si="10"/>
        <v>Brett Price</v>
      </c>
      <c r="C700" s="1402" t="s">
        <v>16079</v>
      </c>
      <c r="D700" s="1403" t="s">
        <v>16080</v>
      </c>
      <c r="E700" s="1404" t="s">
        <v>16081</v>
      </c>
      <c r="F700" s="1405" t="s">
        <v>5300</v>
      </c>
      <c r="G700" s="1403" t="s">
        <v>17082</v>
      </c>
      <c r="H700" s="1406" t="s">
        <v>1013</v>
      </c>
    </row>
    <row r="701" spans="1:8" x14ac:dyDescent="0.2">
      <c r="A701" s="7"/>
      <c r="B701" s="1407" t="str">
        <f t="shared" si="10"/>
        <v>John Turpin</v>
      </c>
      <c r="C701" s="1402" t="s">
        <v>13767</v>
      </c>
      <c r="D701" s="1403" t="s">
        <v>3250</v>
      </c>
      <c r="E701" s="1404" t="s">
        <v>13768</v>
      </c>
      <c r="F701" s="1405" t="s">
        <v>5300</v>
      </c>
      <c r="G701" s="1403" t="s">
        <v>13531</v>
      </c>
      <c r="H701" s="1406" t="s">
        <v>1013</v>
      </c>
    </row>
    <row r="702" spans="1:8" x14ac:dyDescent="0.2">
      <c r="A702" s="7"/>
      <c r="B702" s="1407" t="str">
        <f t="shared" si="10"/>
        <v>Victor Jones</v>
      </c>
      <c r="C702" s="1402" t="s">
        <v>5943</v>
      </c>
      <c r="D702" s="1403" t="s">
        <v>3141</v>
      </c>
      <c r="E702" s="1404" t="s">
        <v>13769</v>
      </c>
      <c r="F702" s="1405" t="s">
        <v>5299</v>
      </c>
      <c r="G702" s="1403" t="s">
        <v>17082</v>
      </c>
      <c r="H702" s="1406" t="s">
        <v>1013</v>
      </c>
    </row>
    <row r="703" spans="1:8" x14ac:dyDescent="0.2">
      <c r="A703" s="7"/>
      <c r="B703" s="1407" t="str">
        <f t="shared" si="10"/>
        <v>Phil Holmes</v>
      </c>
      <c r="C703" s="1402" t="s">
        <v>5944</v>
      </c>
      <c r="D703" s="1403" t="s">
        <v>3398</v>
      </c>
      <c r="E703" s="1404" t="s">
        <v>15672</v>
      </c>
      <c r="F703" s="1405" t="s">
        <v>5300</v>
      </c>
      <c r="G703" s="1403" t="s">
        <v>13531</v>
      </c>
      <c r="H703" s="1406" t="s">
        <v>1013</v>
      </c>
    </row>
    <row r="704" spans="1:8" x14ac:dyDescent="0.2">
      <c r="A704" s="7"/>
      <c r="B704" s="1407" t="str">
        <f t="shared" si="10"/>
        <v>Dimitris Stemitsiotis</v>
      </c>
      <c r="C704" s="1402" t="s">
        <v>16258</v>
      </c>
      <c r="D704" s="1403" t="s">
        <v>3099</v>
      </c>
      <c r="E704" s="1404" t="s">
        <v>16259</v>
      </c>
      <c r="F704" s="1405" t="s">
        <v>5299</v>
      </c>
      <c r="G704" s="1403" t="s">
        <v>7904</v>
      </c>
      <c r="H704" s="1406" t="s">
        <v>1013</v>
      </c>
    </row>
    <row r="705" spans="1:8" x14ac:dyDescent="0.2">
      <c r="A705" s="7"/>
      <c r="B705" s="1407" t="str">
        <f t="shared" si="10"/>
        <v>Bob Varney</v>
      </c>
      <c r="C705" s="1402" t="s">
        <v>10946</v>
      </c>
      <c r="D705" s="1403" t="s">
        <v>3637</v>
      </c>
      <c r="E705" s="1404" t="s">
        <v>10965</v>
      </c>
      <c r="F705" s="1405" t="s">
        <v>5300</v>
      </c>
      <c r="G705" s="1403" t="s">
        <v>7183</v>
      </c>
      <c r="H705" s="1406" t="s">
        <v>1013</v>
      </c>
    </row>
    <row r="706" spans="1:8" x14ac:dyDescent="0.2">
      <c r="A706" s="7"/>
      <c r="B706" s="1407" t="str">
        <f t="shared" si="10"/>
        <v>Francesca Bellefontaine</v>
      </c>
      <c r="C706" s="1402" t="s">
        <v>5933</v>
      </c>
      <c r="D706" s="1403" t="s">
        <v>15228</v>
      </c>
      <c r="E706" s="1404" t="s">
        <v>15229</v>
      </c>
      <c r="F706" s="1405" t="s">
        <v>13210</v>
      </c>
      <c r="G706" s="1403" t="s">
        <v>15227</v>
      </c>
      <c r="H706" s="1406" t="s">
        <v>1013</v>
      </c>
    </row>
    <row r="707" spans="1:8" x14ac:dyDescent="0.2">
      <c r="A707" s="7"/>
      <c r="B707" s="1407" t="str">
        <f t="shared" si="10"/>
        <v>Jonathan Lopez-Real</v>
      </c>
      <c r="C707" s="1402" t="s">
        <v>15826</v>
      </c>
      <c r="D707" s="1403" t="s">
        <v>3293</v>
      </c>
      <c r="E707" s="1404" t="s">
        <v>15827</v>
      </c>
      <c r="F707" s="1405" t="s">
        <v>5300</v>
      </c>
      <c r="G707" s="1403" t="s">
        <v>14359</v>
      </c>
      <c r="H707" s="1406" t="s">
        <v>1013</v>
      </c>
    </row>
    <row r="708" spans="1:8" x14ac:dyDescent="0.2">
      <c r="A708" s="7"/>
      <c r="B708" s="1407" t="str">
        <f t="shared" si="10"/>
        <v>Tony Pickance</v>
      </c>
      <c r="C708" s="1402" t="s">
        <v>14378</v>
      </c>
      <c r="D708" s="1403" t="s">
        <v>3134</v>
      </c>
      <c r="E708" s="1404" t="s">
        <v>14379</v>
      </c>
      <c r="F708" s="1405" t="s">
        <v>5300</v>
      </c>
      <c r="G708" s="1403" t="s">
        <v>13542</v>
      </c>
      <c r="H708" s="1406" t="s">
        <v>1013</v>
      </c>
    </row>
    <row r="709" spans="1:8" x14ac:dyDescent="0.2">
      <c r="A709" s="7"/>
      <c r="B709" s="1407" t="str">
        <f t="shared" si="10"/>
        <v>Panos Stemitsiotis</v>
      </c>
      <c r="C709" s="1402" t="s">
        <v>16258</v>
      </c>
      <c r="D709" s="1403" t="s">
        <v>16260</v>
      </c>
      <c r="E709" s="1404" t="s">
        <v>16261</v>
      </c>
      <c r="F709" s="1405" t="s">
        <v>5300</v>
      </c>
      <c r="G709" s="1403" t="s">
        <v>17082</v>
      </c>
      <c r="H709" s="1406" t="s">
        <v>1013</v>
      </c>
    </row>
    <row r="710" spans="1:8" x14ac:dyDescent="0.2">
      <c r="A710" s="7"/>
      <c r="B710" s="1407" t="str">
        <f t="shared" si="10"/>
        <v>Stuart Walsh</v>
      </c>
      <c r="C710" s="1402" t="s">
        <v>16350</v>
      </c>
      <c r="D710" s="1403" t="s">
        <v>3316</v>
      </c>
      <c r="E710" s="1404" t="s">
        <v>16351</v>
      </c>
      <c r="F710" s="1405" t="s">
        <v>5299</v>
      </c>
      <c r="G710" s="1403" t="s">
        <v>15274</v>
      </c>
      <c r="H710" s="1406" t="s">
        <v>1013</v>
      </c>
    </row>
    <row r="711" spans="1:8" x14ac:dyDescent="0.2">
      <c r="A711" s="7"/>
      <c r="B711" s="1407" t="str">
        <f t="shared" ref="B711:B774" si="11">TRIM(CONCATENATE(D711," ",C711))</f>
        <v>Brandon Lavender</v>
      </c>
      <c r="C711" s="1402" t="s">
        <v>11016</v>
      </c>
      <c r="D711" s="1403" t="s">
        <v>3576</v>
      </c>
      <c r="E711" s="1404" t="s">
        <v>11092</v>
      </c>
      <c r="F711" s="1405" t="s">
        <v>5299</v>
      </c>
      <c r="G711" s="1403" t="s">
        <v>2773</v>
      </c>
      <c r="H711" s="1406" t="s">
        <v>1013</v>
      </c>
    </row>
    <row r="712" spans="1:8" x14ac:dyDescent="0.2">
      <c r="A712" s="7"/>
      <c r="B712" s="1407" t="str">
        <f t="shared" si="11"/>
        <v>Rudi Peterschinigg</v>
      </c>
      <c r="C712" s="1402" t="s">
        <v>5948</v>
      </c>
      <c r="D712" s="1403" t="s">
        <v>3365</v>
      </c>
      <c r="E712" s="1404" t="s">
        <v>4366</v>
      </c>
      <c r="F712" s="1405" t="s">
        <v>5300</v>
      </c>
      <c r="G712" s="1403" t="s">
        <v>17082</v>
      </c>
      <c r="H712" s="1406" t="s">
        <v>1013</v>
      </c>
    </row>
    <row r="713" spans="1:8" x14ac:dyDescent="0.2">
      <c r="A713" s="7"/>
      <c r="B713" s="1407" t="str">
        <f t="shared" si="11"/>
        <v>Russ Harker</v>
      </c>
      <c r="C713" s="1402" t="s">
        <v>15650</v>
      </c>
      <c r="D713" s="1403" t="s">
        <v>15651</v>
      </c>
      <c r="E713" s="1404" t="s">
        <v>15652</v>
      </c>
      <c r="F713" s="1405" t="s">
        <v>5299</v>
      </c>
      <c r="G713" s="1403" t="s">
        <v>15274</v>
      </c>
      <c r="H713" s="1406" t="s">
        <v>1013</v>
      </c>
    </row>
    <row r="714" spans="1:8" x14ac:dyDescent="0.2">
      <c r="A714" s="7"/>
      <c r="B714" s="1407" t="str">
        <f t="shared" si="11"/>
        <v>Lee Fenton</v>
      </c>
      <c r="C714" s="1402" t="s">
        <v>13770</v>
      </c>
      <c r="D714" s="1403" t="s">
        <v>6944</v>
      </c>
      <c r="E714" s="1404" t="s">
        <v>13771</v>
      </c>
      <c r="F714" s="1405" t="s">
        <v>5300</v>
      </c>
      <c r="G714" s="1403" t="s">
        <v>17082</v>
      </c>
      <c r="H714" s="1406" t="s">
        <v>1013</v>
      </c>
    </row>
    <row r="715" spans="1:8" x14ac:dyDescent="0.2">
      <c r="A715" s="7"/>
      <c r="B715" s="1407" t="str">
        <f t="shared" si="11"/>
        <v>Kevin Cordell</v>
      </c>
      <c r="C715" s="1402" t="s">
        <v>13221</v>
      </c>
      <c r="D715" s="1403" t="s">
        <v>3263</v>
      </c>
      <c r="E715" s="1404" t="s">
        <v>13222</v>
      </c>
      <c r="F715" s="1405" t="s">
        <v>5299</v>
      </c>
      <c r="G715" s="1403" t="s">
        <v>17082</v>
      </c>
      <c r="H715" s="1406" t="s">
        <v>1013</v>
      </c>
    </row>
    <row r="716" spans="1:8" x14ac:dyDescent="0.2">
      <c r="A716" s="7"/>
      <c r="B716" s="1407" t="str">
        <f t="shared" si="11"/>
        <v>Simon McMurray</v>
      </c>
      <c r="C716" s="1402" t="s">
        <v>15895</v>
      </c>
      <c r="D716" s="1403" t="s">
        <v>3626</v>
      </c>
      <c r="E716" s="1404" t="s">
        <v>15896</v>
      </c>
      <c r="F716" s="1405" t="s">
        <v>5299</v>
      </c>
      <c r="G716" s="1403" t="s">
        <v>14399</v>
      </c>
      <c r="H716" s="1406" t="s">
        <v>1013</v>
      </c>
    </row>
    <row r="717" spans="1:8" x14ac:dyDescent="0.2">
      <c r="A717" s="7"/>
      <c r="B717" s="1407" t="str">
        <f t="shared" si="11"/>
        <v>Aaron Skinner</v>
      </c>
      <c r="C717" s="1402" t="s">
        <v>13772</v>
      </c>
      <c r="D717" s="1403" t="s">
        <v>3314</v>
      </c>
      <c r="E717" s="1404" t="s">
        <v>13773</v>
      </c>
      <c r="F717" s="1405" t="s">
        <v>5300</v>
      </c>
      <c r="G717" s="1403" t="s">
        <v>17082</v>
      </c>
      <c r="H717" s="1406" t="s">
        <v>1013</v>
      </c>
    </row>
    <row r="718" spans="1:8" x14ac:dyDescent="0.2">
      <c r="A718" s="7"/>
      <c r="B718" s="1407" t="str">
        <f t="shared" si="11"/>
        <v>Jeff Parsons</v>
      </c>
      <c r="C718" s="1402" t="s">
        <v>5950</v>
      </c>
      <c r="D718" s="1403" t="s">
        <v>5624</v>
      </c>
      <c r="E718" s="1404" t="s">
        <v>17749</v>
      </c>
      <c r="F718" s="1405" t="s">
        <v>5300</v>
      </c>
      <c r="G718" s="1403" t="s">
        <v>14359</v>
      </c>
      <c r="H718" s="1406" t="s">
        <v>1013</v>
      </c>
    </row>
    <row r="719" spans="1:8" x14ac:dyDescent="0.2">
      <c r="A719" s="7"/>
      <c r="B719" s="1407" t="str">
        <f t="shared" si="11"/>
        <v>Martin Blanchard</v>
      </c>
      <c r="C719" s="1402" t="s">
        <v>13774</v>
      </c>
      <c r="D719" s="1403" t="s">
        <v>3408</v>
      </c>
      <c r="E719" s="1404" t="s">
        <v>13775</v>
      </c>
      <c r="F719" s="1405" t="s">
        <v>5300</v>
      </c>
      <c r="G719" s="1403" t="s">
        <v>14359</v>
      </c>
      <c r="H719" s="1406" t="s">
        <v>1013</v>
      </c>
    </row>
    <row r="720" spans="1:8" x14ac:dyDescent="0.2">
      <c r="A720" s="7"/>
      <c r="B720" s="1407" t="str">
        <f t="shared" si="11"/>
        <v>Brian Butterworth</v>
      </c>
      <c r="C720" s="1402" t="s">
        <v>13776</v>
      </c>
      <c r="D720" s="1403" t="s">
        <v>3195</v>
      </c>
      <c r="E720" s="1404" t="s">
        <v>13777</v>
      </c>
      <c r="F720" s="1405" t="s">
        <v>5299</v>
      </c>
      <c r="G720" s="1403" t="s">
        <v>2772</v>
      </c>
      <c r="H720" s="1406" t="s">
        <v>1013</v>
      </c>
    </row>
    <row r="721" spans="1:8" x14ac:dyDescent="0.2">
      <c r="A721" s="7"/>
      <c r="B721" s="1407" t="str">
        <f t="shared" si="11"/>
        <v>Dave Collier</v>
      </c>
      <c r="C721" s="1402" t="s">
        <v>13779</v>
      </c>
      <c r="D721" s="1403" t="s">
        <v>3046</v>
      </c>
      <c r="E721" s="1404" t="s">
        <v>13780</v>
      </c>
      <c r="F721" s="1405" t="s">
        <v>5300</v>
      </c>
      <c r="G721" s="1403" t="s">
        <v>17082</v>
      </c>
      <c r="H721" s="1406" t="s">
        <v>1013</v>
      </c>
    </row>
    <row r="722" spans="1:8" x14ac:dyDescent="0.2">
      <c r="A722" s="7"/>
      <c r="B722" s="1407" t="str">
        <f t="shared" si="11"/>
        <v>Louis Singh</v>
      </c>
      <c r="C722" s="1402" t="s">
        <v>14801</v>
      </c>
      <c r="D722" s="1403" t="s">
        <v>5660</v>
      </c>
      <c r="E722" s="1404" t="s">
        <v>16231</v>
      </c>
      <c r="F722" s="1405" t="s">
        <v>5299</v>
      </c>
      <c r="G722" s="1403" t="s">
        <v>5304</v>
      </c>
      <c r="H722" s="1406" t="s">
        <v>1013</v>
      </c>
    </row>
    <row r="723" spans="1:8" x14ac:dyDescent="0.2">
      <c r="A723" s="7"/>
      <c r="B723" s="1407" t="str">
        <f t="shared" si="11"/>
        <v>Malcolm Jamieson</v>
      </c>
      <c r="C723" s="1402" t="s">
        <v>14380</v>
      </c>
      <c r="D723" s="1403" t="s">
        <v>3463</v>
      </c>
      <c r="E723" s="1404" t="s">
        <v>14381</v>
      </c>
      <c r="F723" s="1405" t="s">
        <v>5300</v>
      </c>
      <c r="G723" s="1403" t="s">
        <v>17082</v>
      </c>
      <c r="H723" s="1406" t="s">
        <v>1013</v>
      </c>
    </row>
    <row r="724" spans="1:8" x14ac:dyDescent="0.2">
      <c r="A724" s="7"/>
      <c r="B724" s="1407" t="str">
        <f t="shared" si="11"/>
        <v>Jason Christopher</v>
      </c>
      <c r="C724" s="1402" t="s">
        <v>3262</v>
      </c>
      <c r="D724" s="1403" t="s">
        <v>3297</v>
      </c>
      <c r="E724" s="1404" t="s">
        <v>14383</v>
      </c>
      <c r="F724" s="1405" t="s">
        <v>5300</v>
      </c>
      <c r="G724" s="1403" t="s">
        <v>14399</v>
      </c>
      <c r="H724" s="1406" t="s">
        <v>1013</v>
      </c>
    </row>
    <row r="725" spans="1:8" x14ac:dyDescent="0.2">
      <c r="A725" s="7"/>
      <c r="B725" s="1407" t="str">
        <f t="shared" si="11"/>
        <v>Robert Ramsay</v>
      </c>
      <c r="C725" s="1402" t="s">
        <v>16107</v>
      </c>
      <c r="D725" s="1403" t="s">
        <v>3405</v>
      </c>
      <c r="E725" s="1404" t="s">
        <v>16108</v>
      </c>
      <c r="F725" s="1405" t="s">
        <v>5299</v>
      </c>
      <c r="G725" s="1403" t="s">
        <v>14399</v>
      </c>
      <c r="H725" s="1406" t="s">
        <v>1013</v>
      </c>
    </row>
    <row r="726" spans="1:8" x14ac:dyDescent="0.2">
      <c r="A726" s="7"/>
      <c r="B726" s="1407" t="str">
        <f t="shared" si="11"/>
        <v>Marco Ghigliotti</v>
      </c>
      <c r="C726" s="1402" t="s">
        <v>8013</v>
      </c>
      <c r="D726" s="1403" t="s">
        <v>3109</v>
      </c>
      <c r="E726" s="1404" t="s">
        <v>8356</v>
      </c>
      <c r="F726" s="1405" t="s">
        <v>5300</v>
      </c>
      <c r="G726" s="1403" t="s">
        <v>17082</v>
      </c>
      <c r="H726" s="1406" t="s">
        <v>1013</v>
      </c>
    </row>
    <row r="727" spans="1:8" x14ac:dyDescent="0.2">
      <c r="A727" s="7"/>
      <c r="B727" s="1407" t="str">
        <f t="shared" si="11"/>
        <v>Neil Doherty</v>
      </c>
      <c r="C727" s="1402" t="s">
        <v>14443</v>
      </c>
      <c r="D727" s="1403" t="s">
        <v>3440</v>
      </c>
      <c r="E727" s="1404" t="s">
        <v>15492</v>
      </c>
      <c r="F727" s="1405" t="s">
        <v>5300</v>
      </c>
      <c r="G727" s="1403" t="s">
        <v>17082</v>
      </c>
      <c r="H727" s="1406" t="s">
        <v>1013</v>
      </c>
    </row>
    <row r="728" spans="1:8" x14ac:dyDescent="0.2">
      <c r="A728" s="7"/>
      <c r="B728" s="1407" t="str">
        <f t="shared" si="11"/>
        <v>Mick Hammonds</v>
      </c>
      <c r="C728" s="1402" t="s">
        <v>9538</v>
      </c>
      <c r="D728" s="1403" t="s">
        <v>6918</v>
      </c>
      <c r="E728" s="1404" t="s">
        <v>9785</v>
      </c>
      <c r="F728" s="1405" t="s">
        <v>5300</v>
      </c>
      <c r="G728" s="1403" t="s">
        <v>14399</v>
      </c>
      <c r="H728" s="1406" t="s">
        <v>1013</v>
      </c>
    </row>
    <row r="729" spans="1:8" x14ac:dyDescent="0.2">
      <c r="A729" s="7"/>
      <c r="B729" s="1407" t="str">
        <f t="shared" si="11"/>
        <v>Nick Pearson</v>
      </c>
      <c r="C729" s="1402" t="s">
        <v>5926</v>
      </c>
      <c r="D729" s="1403" t="s">
        <v>5540</v>
      </c>
      <c r="E729" s="1404" t="s">
        <v>13781</v>
      </c>
      <c r="F729" s="1405" t="s">
        <v>5300</v>
      </c>
      <c r="G729" s="1403" t="s">
        <v>17082</v>
      </c>
      <c r="H729" s="1406" t="s">
        <v>1013</v>
      </c>
    </row>
    <row r="730" spans="1:8" x14ac:dyDescent="0.2">
      <c r="A730" s="7"/>
      <c r="B730" s="1407" t="str">
        <f t="shared" si="11"/>
        <v>Robert Fairbrother</v>
      </c>
      <c r="C730" s="1402" t="s">
        <v>15522</v>
      </c>
      <c r="D730" s="1403" t="s">
        <v>3405</v>
      </c>
      <c r="E730" s="1404" t="s">
        <v>15523</v>
      </c>
      <c r="F730" s="1405" t="s">
        <v>5300</v>
      </c>
      <c r="G730" s="1403" t="s">
        <v>13539</v>
      </c>
      <c r="H730" s="1406" t="s">
        <v>1013</v>
      </c>
    </row>
    <row r="731" spans="1:8" x14ac:dyDescent="0.2">
      <c r="A731" s="7"/>
      <c r="B731" s="1407" t="str">
        <f t="shared" si="11"/>
        <v>Justin Scott</v>
      </c>
      <c r="C731" s="1402" t="s">
        <v>10947</v>
      </c>
      <c r="D731" s="1403" t="s">
        <v>3025</v>
      </c>
      <c r="E731" s="1404" t="s">
        <v>10966</v>
      </c>
      <c r="F731" s="1405" t="s">
        <v>5300</v>
      </c>
      <c r="G731" s="1403" t="s">
        <v>14399</v>
      </c>
      <c r="H731" s="1406" t="s">
        <v>1013</v>
      </c>
    </row>
    <row r="732" spans="1:8" x14ac:dyDescent="0.2">
      <c r="A732" s="7"/>
      <c r="B732" s="1407" t="str">
        <f t="shared" si="11"/>
        <v>Richard Badger</v>
      </c>
      <c r="C732" s="1402" t="s">
        <v>10948</v>
      </c>
      <c r="D732" s="1403" t="s">
        <v>3219</v>
      </c>
      <c r="E732" s="1404" t="s">
        <v>10967</v>
      </c>
      <c r="F732" s="1405" t="s">
        <v>5300</v>
      </c>
      <c r="G732" s="1403" t="s">
        <v>14399</v>
      </c>
      <c r="H732" s="1406" t="s">
        <v>1013</v>
      </c>
    </row>
    <row r="733" spans="1:8" x14ac:dyDescent="0.2">
      <c r="A733" s="7"/>
      <c r="B733" s="1407" t="str">
        <f t="shared" si="11"/>
        <v>Graham Harwood</v>
      </c>
      <c r="C733" s="1402" t="s">
        <v>14441</v>
      </c>
      <c r="D733" s="1403" t="s">
        <v>14442</v>
      </c>
      <c r="E733" s="1404" t="s">
        <v>15655</v>
      </c>
      <c r="F733" s="1405" t="s">
        <v>5300</v>
      </c>
      <c r="G733" s="1403" t="s">
        <v>14399</v>
      </c>
      <c r="H733" s="1406" t="s">
        <v>1013</v>
      </c>
    </row>
    <row r="734" spans="1:8" x14ac:dyDescent="0.2">
      <c r="A734" s="7"/>
      <c r="B734" s="1407" t="str">
        <f t="shared" si="11"/>
        <v>Alan Lee</v>
      </c>
      <c r="C734" s="1402" t="s">
        <v>6944</v>
      </c>
      <c r="D734" s="1403" t="s">
        <v>3254</v>
      </c>
      <c r="E734" s="1404" t="s">
        <v>11463</v>
      </c>
      <c r="F734" s="1405" t="s">
        <v>5300</v>
      </c>
      <c r="G734" s="1403" t="s">
        <v>17082</v>
      </c>
      <c r="H734" s="1406" t="s">
        <v>1013</v>
      </c>
    </row>
    <row r="735" spans="1:8" x14ac:dyDescent="0.2">
      <c r="A735" s="7"/>
      <c r="B735" s="1407" t="str">
        <f t="shared" si="11"/>
        <v>David Hunter</v>
      </c>
      <c r="C735" s="1402" t="s">
        <v>14385</v>
      </c>
      <c r="D735" s="1403" t="s">
        <v>3072</v>
      </c>
      <c r="E735" s="1404" t="s">
        <v>14386</v>
      </c>
      <c r="F735" s="1405" t="s">
        <v>5299</v>
      </c>
      <c r="G735" s="1403" t="s">
        <v>14399</v>
      </c>
      <c r="H735" s="1406" t="s">
        <v>1013</v>
      </c>
    </row>
    <row r="736" spans="1:8" x14ac:dyDescent="0.2">
      <c r="A736" s="7"/>
      <c r="B736" s="1407" t="str">
        <f t="shared" si="11"/>
        <v>Richard Roper</v>
      </c>
      <c r="C736" s="1402" t="s">
        <v>13223</v>
      </c>
      <c r="D736" s="1403" t="s">
        <v>3219</v>
      </c>
      <c r="E736" s="1404" t="s">
        <v>13782</v>
      </c>
      <c r="F736" s="1405" t="s">
        <v>5300</v>
      </c>
      <c r="G736" s="1403" t="s">
        <v>14399</v>
      </c>
      <c r="H736" s="1406" t="s">
        <v>1013</v>
      </c>
    </row>
    <row r="737" spans="1:8" x14ac:dyDescent="0.2">
      <c r="A737" s="7"/>
      <c r="B737" s="1407" t="str">
        <f t="shared" si="11"/>
        <v>Josef Harrington</v>
      </c>
      <c r="C737" s="1402" t="s">
        <v>13783</v>
      </c>
      <c r="D737" s="1403" t="s">
        <v>3154</v>
      </c>
      <c r="E737" s="1404" t="s">
        <v>13784</v>
      </c>
      <c r="F737" s="1405" t="s">
        <v>5299</v>
      </c>
      <c r="G737" s="1403" t="s">
        <v>17082</v>
      </c>
      <c r="H737" s="1406" t="s">
        <v>1013</v>
      </c>
    </row>
    <row r="738" spans="1:8" x14ac:dyDescent="0.2">
      <c r="A738" s="7"/>
      <c r="B738" s="1407" t="str">
        <f t="shared" si="11"/>
        <v>Peter Holmes</v>
      </c>
      <c r="C738" s="1402" t="s">
        <v>5944</v>
      </c>
      <c r="D738" s="1403" t="s">
        <v>3194</v>
      </c>
      <c r="E738" s="1404" t="s">
        <v>13785</v>
      </c>
      <c r="F738" s="1405" t="s">
        <v>5300</v>
      </c>
      <c r="G738" s="1403" t="s">
        <v>17082</v>
      </c>
      <c r="H738" s="1406" t="s">
        <v>1013</v>
      </c>
    </row>
    <row r="739" spans="1:8" x14ac:dyDescent="0.2">
      <c r="A739" s="7"/>
      <c r="B739" s="1407" t="str">
        <f t="shared" si="11"/>
        <v>Stewart Grant</v>
      </c>
      <c r="C739" s="1402" t="s">
        <v>7999</v>
      </c>
      <c r="D739" s="1403" t="s">
        <v>11064</v>
      </c>
      <c r="E739" s="1404" t="s">
        <v>13786</v>
      </c>
      <c r="F739" s="1405" t="s">
        <v>5299</v>
      </c>
      <c r="G739" s="1403" t="s">
        <v>13550</v>
      </c>
      <c r="H739" s="1406" t="s">
        <v>1013</v>
      </c>
    </row>
    <row r="740" spans="1:8" x14ac:dyDescent="0.2">
      <c r="A740" s="7"/>
      <c r="B740" s="1407" t="str">
        <f t="shared" si="11"/>
        <v>Andrew Forster-Fake</v>
      </c>
      <c r="C740" s="1402" t="s">
        <v>13787</v>
      </c>
      <c r="D740" s="1403" t="s">
        <v>3105</v>
      </c>
      <c r="E740" s="1404" t="s">
        <v>13788</v>
      </c>
      <c r="F740" s="1405" t="s">
        <v>5300</v>
      </c>
      <c r="G740" s="1403" t="s">
        <v>14867</v>
      </c>
      <c r="H740" s="1406" t="s">
        <v>1013</v>
      </c>
    </row>
    <row r="741" spans="1:8" x14ac:dyDescent="0.2">
      <c r="A741" s="7"/>
      <c r="B741" s="1407" t="str">
        <f t="shared" si="11"/>
        <v>Gianluca Zucchelli</v>
      </c>
      <c r="C741" s="1402" t="s">
        <v>13789</v>
      </c>
      <c r="D741" s="1403" t="s">
        <v>3369</v>
      </c>
      <c r="E741" s="1404" t="s">
        <v>13790</v>
      </c>
      <c r="F741" s="1405" t="s">
        <v>5300</v>
      </c>
      <c r="G741" s="1403" t="s">
        <v>13618</v>
      </c>
      <c r="H741" s="1406" t="s">
        <v>1013</v>
      </c>
    </row>
    <row r="742" spans="1:8" x14ac:dyDescent="0.2">
      <c r="A742" s="7"/>
      <c r="B742" s="1407" t="str">
        <f t="shared" si="11"/>
        <v>Geoffrey Brown</v>
      </c>
      <c r="C742" s="1402" t="s">
        <v>13224</v>
      </c>
      <c r="D742" s="1403" t="s">
        <v>3230</v>
      </c>
      <c r="E742" s="1404" t="s">
        <v>13791</v>
      </c>
      <c r="F742" s="1405" t="s">
        <v>5300</v>
      </c>
      <c r="G742" s="1403" t="s">
        <v>14359</v>
      </c>
      <c r="H742" s="1406" t="s">
        <v>1013</v>
      </c>
    </row>
    <row r="743" spans="1:8" x14ac:dyDescent="0.2">
      <c r="A743" s="7"/>
      <c r="B743" s="1407" t="str">
        <f t="shared" si="11"/>
        <v>Mike Williams</v>
      </c>
      <c r="C743" s="1402" t="s">
        <v>13792</v>
      </c>
      <c r="D743" s="1403" t="s">
        <v>3304</v>
      </c>
      <c r="E743" s="1404" t="s">
        <v>13794</v>
      </c>
      <c r="F743" s="1405" t="s">
        <v>5299</v>
      </c>
      <c r="G743" s="1403" t="s">
        <v>17082</v>
      </c>
      <c r="H743" s="1406" t="s">
        <v>1013</v>
      </c>
    </row>
    <row r="744" spans="1:8" x14ac:dyDescent="0.2">
      <c r="A744" s="7"/>
      <c r="B744" s="1407" t="str">
        <f t="shared" si="11"/>
        <v>Finley Skinner</v>
      </c>
      <c r="C744" s="1402" t="s">
        <v>13772</v>
      </c>
      <c r="D744" s="1403" t="s">
        <v>13795</v>
      </c>
      <c r="E744" s="1404" t="s">
        <v>13796</v>
      </c>
      <c r="F744" s="1405" t="s">
        <v>13210</v>
      </c>
      <c r="G744" s="1403" t="s">
        <v>17082</v>
      </c>
      <c r="H744" s="1406" t="s">
        <v>1013</v>
      </c>
    </row>
    <row r="745" spans="1:8" x14ac:dyDescent="0.2">
      <c r="A745" s="7"/>
      <c r="B745" s="1407" t="str">
        <f t="shared" si="11"/>
        <v>Stephen Wonnacott</v>
      </c>
      <c r="C745" s="1402" t="s">
        <v>13798</v>
      </c>
      <c r="D745" s="1403" t="s">
        <v>3280</v>
      </c>
      <c r="E745" s="1404" t="s">
        <v>13799</v>
      </c>
      <c r="F745" s="1405" t="s">
        <v>5300</v>
      </c>
      <c r="G745" s="1403" t="s">
        <v>17082</v>
      </c>
      <c r="H745" s="1406" t="s">
        <v>1013</v>
      </c>
    </row>
    <row r="746" spans="1:8" x14ac:dyDescent="0.2">
      <c r="A746" s="7"/>
      <c r="B746" s="1407" t="str">
        <f t="shared" si="11"/>
        <v>Paul Matthews</v>
      </c>
      <c r="C746" s="1402" t="s">
        <v>8014</v>
      </c>
      <c r="D746" s="1403" t="s">
        <v>3259</v>
      </c>
      <c r="E746" s="1404" t="s">
        <v>13800</v>
      </c>
      <c r="F746" s="1405" t="s">
        <v>5299</v>
      </c>
      <c r="G746" s="1403" t="s">
        <v>14387</v>
      </c>
      <c r="H746" s="1406" t="s">
        <v>1013</v>
      </c>
    </row>
    <row r="747" spans="1:8" x14ac:dyDescent="0.2">
      <c r="A747" s="7"/>
      <c r="B747" s="1407" t="str">
        <f t="shared" si="11"/>
        <v>Gary Gladwell</v>
      </c>
      <c r="C747" s="1402" t="s">
        <v>13801</v>
      </c>
      <c r="D747" s="1403" t="s">
        <v>3192</v>
      </c>
      <c r="E747" s="1404" t="s">
        <v>13802</v>
      </c>
      <c r="F747" s="1405" t="s">
        <v>5300</v>
      </c>
      <c r="G747" s="1403" t="s">
        <v>14864</v>
      </c>
      <c r="H747" s="1406" t="s">
        <v>1013</v>
      </c>
    </row>
    <row r="748" spans="1:8" x14ac:dyDescent="0.2">
      <c r="A748" s="7"/>
      <c r="B748" s="1407" t="str">
        <f t="shared" si="11"/>
        <v>Malcolm Rodenby</v>
      </c>
      <c r="C748" s="1402" t="s">
        <v>13803</v>
      </c>
      <c r="D748" s="1403" t="s">
        <v>3463</v>
      </c>
      <c r="E748" s="1404" t="s">
        <v>13804</v>
      </c>
      <c r="F748" s="1405" t="s">
        <v>5300</v>
      </c>
      <c r="G748" s="1403" t="s">
        <v>14359</v>
      </c>
      <c r="H748" s="1406" t="s">
        <v>1013</v>
      </c>
    </row>
    <row r="749" spans="1:8" x14ac:dyDescent="0.2">
      <c r="A749" s="7"/>
      <c r="B749" s="1407" t="str">
        <f t="shared" si="11"/>
        <v>Simon Goodman</v>
      </c>
      <c r="C749" s="1402" t="s">
        <v>13805</v>
      </c>
      <c r="D749" s="1403" t="s">
        <v>3626</v>
      </c>
      <c r="E749" s="1404" t="s">
        <v>13806</v>
      </c>
      <c r="F749" s="1405" t="s">
        <v>5300</v>
      </c>
      <c r="G749" s="1403" t="s">
        <v>17082</v>
      </c>
      <c r="H749" s="1406" t="s">
        <v>1013</v>
      </c>
    </row>
    <row r="750" spans="1:8" x14ac:dyDescent="0.2">
      <c r="A750" s="7"/>
      <c r="B750" s="1407" t="str">
        <f t="shared" si="11"/>
        <v>Chris Burford</v>
      </c>
      <c r="C750" s="1402" t="s">
        <v>13807</v>
      </c>
      <c r="D750" s="1403" t="s">
        <v>3029</v>
      </c>
      <c r="E750" s="1404" t="s">
        <v>13808</v>
      </c>
      <c r="F750" s="1405" t="s">
        <v>5300</v>
      </c>
      <c r="G750" s="1403" t="s">
        <v>17082</v>
      </c>
      <c r="H750" s="1406" t="s">
        <v>1013</v>
      </c>
    </row>
    <row r="751" spans="1:8" x14ac:dyDescent="0.2">
      <c r="A751" s="7"/>
      <c r="B751" s="1407" t="str">
        <f t="shared" si="11"/>
        <v>Nigel Morgan</v>
      </c>
      <c r="C751" s="1402" t="s">
        <v>3543</v>
      </c>
      <c r="D751" s="1403" t="s">
        <v>7010</v>
      </c>
      <c r="E751" s="1404" t="s">
        <v>13809</v>
      </c>
      <c r="F751" s="1405" t="s">
        <v>5300</v>
      </c>
      <c r="G751" s="1403" t="s">
        <v>14399</v>
      </c>
      <c r="H751" s="1406" t="s">
        <v>1013</v>
      </c>
    </row>
    <row r="752" spans="1:8" x14ac:dyDescent="0.2">
      <c r="A752" s="7"/>
      <c r="B752" s="1407" t="str">
        <f t="shared" si="11"/>
        <v>Gareth Slinger</v>
      </c>
      <c r="C752" s="1402" t="s">
        <v>13810</v>
      </c>
      <c r="D752" s="1403" t="s">
        <v>3390</v>
      </c>
      <c r="E752" s="1404" t="s">
        <v>13811</v>
      </c>
      <c r="F752" s="1405" t="s">
        <v>5299</v>
      </c>
      <c r="G752" s="1403" t="s">
        <v>13550</v>
      </c>
      <c r="H752" s="1406" t="s">
        <v>1013</v>
      </c>
    </row>
    <row r="753" spans="1:8" x14ac:dyDescent="0.2">
      <c r="A753" s="7"/>
      <c r="B753" s="1407" t="str">
        <f t="shared" si="11"/>
        <v>Mark Francis</v>
      </c>
      <c r="C753" s="1402" t="s">
        <v>3376</v>
      </c>
      <c r="D753" s="1403" t="s">
        <v>3017</v>
      </c>
      <c r="E753" s="1404" t="s">
        <v>13812</v>
      </c>
      <c r="F753" s="1405" t="s">
        <v>5300</v>
      </c>
      <c r="G753" s="1403" t="s">
        <v>14864</v>
      </c>
      <c r="H753" s="1406" t="s">
        <v>1013</v>
      </c>
    </row>
    <row r="754" spans="1:8" x14ac:dyDescent="0.2">
      <c r="A754" s="7"/>
      <c r="B754" s="1407" t="str">
        <f t="shared" si="11"/>
        <v>Stuart Briffett</v>
      </c>
      <c r="C754" s="1402" t="s">
        <v>13813</v>
      </c>
      <c r="D754" s="1403" t="s">
        <v>3316</v>
      </c>
      <c r="E754" s="1404" t="s">
        <v>13814</v>
      </c>
      <c r="F754" s="1405" t="s">
        <v>5300</v>
      </c>
      <c r="G754" s="1403" t="s">
        <v>17082</v>
      </c>
      <c r="H754" s="1406" t="s">
        <v>1013</v>
      </c>
    </row>
    <row r="755" spans="1:8" x14ac:dyDescent="0.2">
      <c r="A755" s="7"/>
      <c r="B755" s="1407" t="str">
        <f t="shared" si="11"/>
        <v>Paris Ioannou</v>
      </c>
      <c r="C755" s="1402" t="s">
        <v>5869</v>
      </c>
      <c r="D755" s="1403" t="s">
        <v>6970</v>
      </c>
      <c r="E755" s="1404" t="s">
        <v>13815</v>
      </c>
      <c r="F755" s="1405" t="s">
        <v>5299</v>
      </c>
      <c r="G755" s="1403" t="s">
        <v>14359</v>
      </c>
      <c r="H755" s="1406" t="s">
        <v>1013</v>
      </c>
    </row>
    <row r="756" spans="1:8" x14ac:dyDescent="0.2">
      <c r="A756" s="7"/>
      <c r="B756" s="1407" t="str">
        <f t="shared" si="11"/>
        <v>Gary Mather</v>
      </c>
      <c r="C756" s="1402" t="s">
        <v>13816</v>
      </c>
      <c r="D756" s="1403" t="s">
        <v>3192</v>
      </c>
      <c r="E756" s="1404" t="s">
        <v>13817</v>
      </c>
      <c r="F756" s="1405" t="s">
        <v>5300</v>
      </c>
      <c r="G756" s="1403" t="s">
        <v>13616</v>
      </c>
      <c r="H756" s="1406" t="s">
        <v>1013</v>
      </c>
    </row>
    <row r="757" spans="1:8" x14ac:dyDescent="0.2">
      <c r="A757" s="7"/>
      <c r="B757" s="1407" t="str">
        <f t="shared" si="11"/>
        <v>Keith Carman</v>
      </c>
      <c r="C757" s="1402" t="s">
        <v>14388</v>
      </c>
      <c r="D757" s="1403" t="s">
        <v>13793</v>
      </c>
      <c r="E757" s="1404" t="s">
        <v>14389</v>
      </c>
      <c r="F757" s="1405" t="s">
        <v>5300</v>
      </c>
      <c r="G757" s="1403" t="s">
        <v>13562</v>
      </c>
      <c r="H757" s="1406" t="s">
        <v>1013</v>
      </c>
    </row>
    <row r="758" spans="1:8" x14ac:dyDescent="0.2">
      <c r="A758" s="7"/>
      <c r="B758" s="1407" t="str">
        <f t="shared" si="11"/>
        <v>Mark Alexander</v>
      </c>
      <c r="C758" s="1402" t="s">
        <v>3037</v>
      </c>
      <c r="D758" s="1403" t="s">
        <v>3017</v>
      </c>
      <c r="E758" s="1404" t="s">
        <v>14390</v>
      </c>
      <c r="F758" s="1405" t="s">
        <v>5300</v>
      </c>
      <c r="G758" s="1403" t="s">
        <v>14359</v>
      </c>
      <c r="H758" s="1406" t="s">
        <v>1013</v>
      </c>
    </row>
    <row r="759" spans="1:8" x14ac:dyDescent="0.2">
      <c r="A759" s="7"/>
      <c r="B759" s="1407" t="str">
        <f t="shared" si="11"/>
        <v>Scott Hunt</v>
      </c>
      <c r="C759" s="1402" t="s">
        <v>14391</v>
      </c>
      <c r="D759" s="1403" t="s">
        <v>10947</v>
      </c>
      <c r="E759" s="1404" t="s">
        <v>14392</v>
      </c>
      <c r="F759" s="1405" t="s">
        <v>5300</v>
      </c>
      <c r="G759" s="1403" t="s">
        <v>13613</v>
      </c>
      <c r="H759" s="1406" t="s">
        <v>1013</v>
      </c>
    </row>
    <row r="760" spans="1:8" x14ac:dyDescent="0.2">
      <c r="A760" s="7"/>
      <c r="B760" s="1407" t="str">
        <f t="shared" si="11"/>
        <v>Stephen Moreton</v>
      </c>
      <c r="C760" s="1402" t="s">
        <v>14393</v>
      </c>
      <c r="D760" s="1403" t="s">
        <v>3280</v>
      </c>
      <c r="E760" s="1404" t="s">
        <v>14394</v>
      </c>
      <c r="F760" s="1405" t="s">
        <v>5300</v>
      </c>
      <c r="G760" s="1403" t="s">
        <v>14864</v>
      </c>
      <c r="H760" s="1406" t="s">
        <v>1013</v>
      </c>
    </row>
    <row r="761" spans="1:8" x14ac:dyDescent="0.2">
      <c r="A761" s="7"/>
      <c r="B761" s="1407" t="str">
        <f t="shared" si="11"/>
        <v>Ian Welby</v>
      </c>
      <c r="C761" s="1402" t="s">
        <v>14395</v>
      </c>
      <c r="D761" s="1403" t="s">
        <v>3688</v>
      </c>
      <c r="E761" s="1404" t="s">
        <v>14396</v>
      </c>
      <c r="F761" s="1405" t="s">
        <v>5300</v>
      </c>
      <c r="G761" s="1403" t="s">
        <v>13469</v>
      </c>
      <c r="H761" s="1406" t="s">
        <v>1013</v>
      </c>
    </row>
    <row r="762" spans="1:8" x14ac:dyDescent="0.2">
      <c r="A762" s="7"/>
      <c r="B762" s="1407" t="str">
        <f t="shared" si="11"/>
        <v>Gage Badger</v>
      </c>
      <c r="C762" s="1402" t="s">
        <v>10948</v>
      </c>
      <c r="D762" s="1403" t="s">
        <v>14397</v>
      </c>
      <c r="E762" s="1404" t="s">
        <v>14398</v>
      </c>
      <c r="F762" s="1405" t="s">
        <v>13210</v>
      </c>
      <c r="G762" s="1403" t="s">
        <v>14399</v>
      </c>
      <c r="H762" s="1406" t="s">
        <v>1013</v>
      </c>
    </row>
    <row r="763" spans="1:8" x14ac:dyDescent="0.2">
      <c r="A763" s="7"/>
      <c r="B763" s="1407" t="str">
        <f t="shared" si="11"/>
        <v>Thomas Heslop</v>
      </c>
      <c r="C763" s="1402" t="s">
        <v>14400</v>
      </c>
      <c r="D763" s="1403" t="s">
        <v>3124</v>
      </c>
      <c r="E763" s="1404" t="s">
        <v>14401</v>
      </c>
      <c r="F763" s="1405" t="s">
        <v>5300</v>
      </c>
      <c r="G763" s="1403" t="s">
        <v>7935</v>
      </c>
      <c r="H763" s="1406" t="s">
        <v>1013</v>
      </c>
    </row>
    <row r="764" spans="1:8" x14ac:dyDescent="0.2">
      <c r="A764" s="7"/>
      <c r="B764" s="1407" t="str">
        <f t="shared" si="11"/>
        <v>Alexander Scott</v>
      </c>
      <c r="C764" s="1402" t="s">
        <v>10947</v>
      </c>
      <c r="D764" s="1403" t="s">
        <v>3037</v>
      </c>
      <c r="E764" s="1404" t="s">
        <v>14402</v>
      </c>
      <c r="F764" s="1405" t="s">
        <v>13210</v>
      </c>
      <c r="G764" s="1403" t="s">
        <v>14399</v>
      </c>
      <c r="H764" s="1406" t="s">
        <v>1013</v>
      </c>
    </row>
    <row r="765" spans="1:8" x14ac:dyDescent="0.2">
      <c r="A765" s="7"/>
      <c r="B765" s="1407" t="str">
        <f t="shared" si="11"/>
        <v>Sean Ellis</v>
      </c>
      <c r="C765" s="1402" t="s">
        <v>14403</v>
      </c>
      <c r="D765" s="1403" t="s">
        <v>6945</v>
      </c>
      <c r="E765" s="1404" t="s">
        <v>14404</v>
      </c>
      <c r="F765" s="1405" t="s">
        <v>5300</v>
      </c>
      <c r="G765" s="1403" t="s">
        <v>14359</v>
      </c>
      <c r="H765" s="1406" t="s">
        <v>1013</v>
      </c>
    </row>
    <row r="766" spans="1:8" x14ac:dyDescent="0.2">
      <c r="A766" s="7"/>
      <c r="B766" s="1407" t="str">
        <f t="shared" si="11"/>
        <v>Roger Duckworth</v>
      </c>
      <c r="C766" s="1402" t="s">
        <v>14405</v>
      </c>
      <c r="D766" s="1403" t="s">
        <v>3323</v>
      </c>
      <c r="E766" s="1404" t="s">
        <v>14406</v>
      </c>
      <c r="F766" s="1405" t="s">
        <v>5300</v>
      </c>
      <c r="G766" s="1403" t="s">
        <v>14382</v>
      </c>
      <c r="H766" s="1406" t="s">
        <v>1013</v>
      </c>
    </row>
    <row r="767" spans="1:8" x14ac:dyDescent="0.2">
      <c r="A767" s="7"/>
      <c r="B767" s="1407" t="str">
        <f t="shared" si="11"/>
        <v>Alan Crampton</v>
      </c>
      <c r="C767" s="1402" t="s">
        <v>14407</v>
      </c>
      <c r="D767" s="1403" t="s">
        <v>3254</v>
      </c>
      <c r="E767" s="1404" t="s">
        <v>14408</v>
      </c>
      <c r="F767" s="1405" t="s">
        <v>5300</v>
      </c>
      <c r="G767" s="1403" t="s">
        <v>14359</v>
      </c>
      <c r="H767" s="1406" t="s">
        <v>1013</v>
      </c>
    </row>
    <row r="768" spans="1:8" x14ac:dyDescent="0.2">
      <c r="A768" s="7"/>
      <c r="B768" s="1407" t="str">
        <f t="shared" si="11"/>
        <v>Andrew Mannix</v>
      </c>
      <c r="C768" s="1402" t="s">
        <v>14409</v>
      </c>
      <c r="D768" s="1403" t="s">
        <v>3105</v>
      </c>
      <c r="E768" s="1404" t="s">
        <v>14410</v>
      </c>
      <c r="F768" s="1405" t="s">
        <v>5300</v>
      </c>
      <c r="G768" s="1403" t="s">
        <v>14359</v>
      </c>
      <c r="H768" s="1406" t="s">
        <v>1013</v>
      </c>
    </row>
    <row r="769" spans="1:8" x14ac:dyDescent="0.2">
      <c r="A769" s="7"/>
      <c r="B769" s="1407" t="str">
        <f t="shared" si="11"/>
        <v>Rick Danes</v>
      </c>
      <c r="C769" s="1402" t="s">
        <v>14411</v>
      </c>
      <c r="D769" s="1403" t="s">
        <v>3486</v>
      </c>
      <c r="E769" s="1404" t="s">
        <v>14412</v>
      </c>
      <c r="F769" s="1405" t="s">
        <v>5300</v>
      </c>
      <c r="G769" s="1403" t="s">
        <v>14359</v>
      </c>
      <c r="H769" s="1406" t="s">
        <v>1013</v>
      </c>
    </row>
    <row r="770" spans="1:8" x14ac:dyDescent="0.2">
      <c r="A770" s="7"/>
      <c r="B770" s="1407" t="str">
        <f t="shared" si="11"/>
        <v>Robert Jones</v>
      </c>
      <c r="C770" s="1402" t="s">
        <v>5943</v>
      </c>
      <c r="D770" s="1403" t="s">
        <v>3405</v>
      </c>
      <c r="E770" s="1404" t="s">
        <v>14413</v>
      </c>
      <c r="F770" s="1405" t="s">
        <v>5299</v>
      </c>
      <c r="G770" s="1403" t="s">
        <v>14359</v>
      </c>
      <c r="H770" s="1406" t="s">
        <v>1013</v>
      </c>
    </row>
    <row r="771" spans="1:8" x14ac:dyDescent="0.2">
      <c r="A771" s="7"/>
      <c r="B771" s="1407" t="str">
        <f t="shared" si="11"/>
        <v>Connor Gregory</v>
      </c>
      <c r="C771" s="1402" t="s">
        <v>14415</v>
      </c>
      <c r="D771" s="1403" t="s">
        <v>14414</v>
      </c>
      <c r="E771" s="1404" t="s">
        <v>14416</v>
      </c>
      <c r="F771" s="1405" t="s">
        <v>13211</v>
      </c>
      <c r="G771" s="1403" t="s">
        <v>17082</v>
      </c>
      <c r="H771" s="1406" t="s">
        <v>1013</v>
      </c>
    </row>
    <row r="772" spans="1:8" x14ac:dyDescent="0.2">
      <c r="A772" s="7"/>
      <c r="B772" s="1407" t="str">
        <f t="shared" si="11"/>
        <v>Simon Bodily</v>
      </c>
      <c r="C772" s="1402" t="s">
        <v>14418</v>
      </c>
      <c r="D772" s="1403" t="s">
        <v>3626</v>
      </c>
      <c r="E772" s="1404" t="s">
        <v>14419</v>
      </c>
      <c r="F772" s="1405" t="s">
        <v>5299</v>
      </c>
      <c r="G772" s="1403" t="s">
        <v>14399</v>
      </c>
      <c r="H772" s="1406" t="s">
        <v>1013</v>
      </c>
    </row>
    <row r="773" spans="1:8" x14ac:dyDescent="0.2">
      <c r="A773" s="7"/>
      <c r="B773" s="1407" t="str">
        <f t="shared" si="11"/>
        <v>Mark Hammersley</v>
      </c>
      <c r="C773" s="1402" t="s">
        <v>14420</v>
      </c>
      <c r="D773" s="1403" t="s">
        <v>3017</v>
      </c>
      <c r="E773" s="1404" t="s">
        <v>14421</v>
      </c>
      <c r="F773" s="1405" t="s">
        <v>5300</v>
      </c>
      <c r="G773" s="1403" t="s">
        <v>13543</v>
      </c>
      <c r="H773" s="1406" t="s">
        <v>1013</v>
      </c>
    </row>
    <row r="774" spans="1:8" x14ac:dyDescent="0.2">
      <c r="A774" s="7"/>
      <c r="B774" s="1407" t="str">
        <f t="shared" si="11"/>
        <v>Brian Hall</v>
      </c>
      <c r="C774" s="1402" t="s">
        <v>14422</v>
      </c>
      <c r="D774" s="1403" t="s">
        <v>3195</v>
      </c>
      <c r="E774" s="1404" t="s">
        <v>14423</v>
      </c>
      <c r="F774" s="1405" t="s">
        <v>5300</v>
      </c>
      <c r="G774" s="1403" t="s">
        <v>16533</v>
      </c>
      <c r="H774" s="1406" t="s">
        <v>1013</v>
      </c>
    </row>
    <row r="775" spans="1:8" x14ac:dyDescent="0.2">
      <c r="A775" s="7"/>
      <c r="B775" s="1407" t="str">
        <f t="shared" ref="B775:B838" si="12">TRIM(CONCATENATE(D775," ",C775))</f>
        <v>Mark Weaver</v>
      </c>
      <c r="C775" s="1402" t="s">
        <v>14424</v>
      </c>
      <c r="D775" s="1403" t="s">
        <v>3017</v>
      </c>
      <c r="E775" s="1404" t="s">
        <v>14425</v>
      </c>
      <c r="F775" s="1405" t="s">
        <v>5300</v>
      </c>
      <c r="G775" s="1403" t="s">
        <v>15274</v>
      </c>
      <c r="H775" s="1406" t="s">
        <v>1013</v>
      </c>
    </row>
    <row r="776" spans="1:8" x14ac:dyDescent="0.2">
      <c r="A776" s="7"/>
      <c r="B776" s="1407" t="str">
        <f t="shared" si="12"/>
        <v>Marco Barqueiro</v>
      </c>
      <c r="C776" s="1402" t="s">
        <v>14426</v>
      </c>
      <c r="D776" s="1403" t="s">
        <v>3109</v>
      </c>
      <c r="E776" s="1404" t="s">
        <v>14427</v>
      </c>
      <c r="F776" s="1405" t="s">
        <v>5299</v>
      </c>
      <c r="G776" s="1403" t="s">
        <v>17082</v>
      </c>
      <c r="H776" s="1406" t="s">
        <v>1013</v>
      </c>
    </row>
    <row r="777" spans="1:8" x14ac:dyDescent="0.2">
      <c r="A777" s="7"/>
      <c r="B777" s="1407" t="str">
        <f t="shared" si="12"/>
        <v>Dave Simmill</v>
      </c>
      <c r="C777" s="1402" t="s">
        <v>14428</v>
      </c>
      <c r="D777" s="1403" t="s">
        <v>3046</v>
      </c>
      <c r="E777" s="1404" t="s">
        <v>14429</v>
      </c>
      <c r="F777" s="1405" t="s">
        <v>5300</v>
      </c>
      <c r="G777" s="1403" t="s">
        <v>14359</v>
      </c>
      <c r="H777" s="1406" t="s">
        <v>1013</v>
      </c>
    </row>
    <row r="778" spans="1:8" x14ac:dyDescent="0.2">
      <c r="A778" s="7"/>
      <c r="B778" s="1407" t="str">
        <f t="shared" si="12"/>
        <v>Samantha Levy</v>
      </c>
      <c r="C778" s="1402" t="s">
        <v>6341</v>
      </c>
      <c r="D778" s="1403" t="s">
        <v>14430</v>
      </c>
      <c r="E778" s="1404" t="s">
        <v>14431</v>
      </c>
      <c r="F778" s="1405" t="s">
        <v>5299</v>
      </c>
      <c r="G778" s="1403" t="s">
        <v>14864</v>
      </c>
      <c r="H778" s="1406" t="s">
        <v>1013</v>
      </c>
    </row>
    <row r="779" spans="1:8" x14ac:dyDescent="0.2">
      <c r="A779" s="7"/>
      <c r="B779" s="1407" t="str">
        <f t="shared" si="12"/>
        <v>Jamie Warren</v>
      </c>
      <c r="C779" s="1402" t="s">
        <v>16352</v>
      </c>
      <c r="D779" s="1403" t="s">
        <v>3368</v>
      </c>
      <c r="E779" s="1404" t="s">
        <v>16353</v>
      </c>
      <c r="F779" s="1405" t="s">
        <v>13211</v>
      </c>
      <c r="G779" s="1403" t="s">
        <v>17082</v>
      </c>
      <c r="H779" s="1406" t="s">
        <v>1013</v>
      </c>
    </row>
    <row r="780" spans="1:8" x14ac:dyDescent="0.2">
      <c r="A780" s="7"/>
      <c r="B780" s="1407" t="str">
        <f t="shared" si="12"/>
        <v>Ian Sharp</v>
      </c>
      <c r="C780" s="1402" t="s">
        <v>16221</v>
      </c>
      <c r="D780" s="1403" t="s">
        <v>3688</v>
      </c>
      <c r="E780" s="1404" t="s">
        <v>16222</v>
      </c>
      <c r="F780" s="1405" t="s">
        <v>5300</v>
      </c>
      <c r="G780" s="1403" t="s">
        <v>15274</v>
      </c>
      <c r="H780" s="1406" t="s">
        <v>1013</v>
      </c>
    </row>
    <row r="781" spans="1:8" x14ac:dyDescent="0.2">
      <c r="A781" s="7"/>
      <c r="B781" s="1407" t="str">
        <f t="shared" si="12"/>
        <v>David McCartney</v>
      </c>
      <c r="C781" s="1402" t="s">
        <v>15890</v>
      </c>
      <c r="D781" s="1403" t="s">
        <v>3072</v>
      </c>
      <c r="E781" s="1404" t="s">
        <v>15891</v>
      </c>
      <c r="F781" s="1405" t="s">
        <v>5299</v>
      </c>
      <c r="G781" s="1403" t="s">
        <v>14864</v>
      </c>
      <c r="H781" s="1406" t="s">
        <v>1013</v>
      </c>
    </row>
    <row r="782" spans="1:8" x14ac:dyDescent="0.2">
      <c r="A782" s="7"/>
      <c r="B782" s="1407" t="str">
        <f t="shared" si="12"/>
        <v>Adam Clark</v>
      </c>
      <c r="C782" s="1402" t="s">
        <v>5942</v>
      </c>
      <c r="D782" s="1403" t="s">
        <v>3502</v>
      </c>
      <c r="E782" s="1404" t="s">
        <v>15372</v>
      </c>
      <c r="F782" s="1405" t="s">
        <v>5299</v>
      </c>
      <c r="G782" s="1403" t="s">
        <v>14359</v>
      </c>
      <c r="H782" s="1406" t="s">
        <v>1013</v>
      </c>
    </row>
    <row r="783" spans="1:8" x14ac:dyDescent="0.2">
      <c r="A783" s="7"/>
      <c r="B783" s="1407" t="str">
        <f t="shared" si="12"/>
        <v>Nick Owen</v>
      </c>
      <c r="C783" s="1402" t="s">
        <v>3321</v>
      </c>
      <c r="D783" s="1403" t="s">
        <v>5540</v>
      </c>
      <c r="E783" s="1404" t="s">
        <v>15975</v>
      </c>
      <c r="F783" s="1405" t="s">
        <v>5300</v>
      </c>
      <c r="G783" s="1403" t="s">
        <v>14359</v>
      </c>
      <c r="H783" s="1406" t="s">
        <v>1013</v>
      </c>
    </row>
    <row r="784" spans="1:8" x14ac:dyDescent="0.2">
      <c r="A784" s="7"/>
      <c r="B784" s="1407" t="str">
        <f t="shared" si="12"/>
        <v>Colin Mitchell</v>
      </c>
      <c r="C784" s="1402" t="s">
        <v>15915</v>
      </c>
      <c r="D784" s="1403" t="s">
        <v>3114</v>
      </c>
      <c r="E784" s="1404" t="s">
        <v>15916</v>
      </c>
      <c r="F784" s="1405" t="s">
        <v>5300</v>
      </c>
      <c r="G784" s="1403" t="s">
        <v>14359</v>
      </c>
      <c r="H784" s="1406" t="s">
        <v>1013</v>
      </c>
    </row>
    <row r="785" spans="1:8" x14ac:dyDescent="0.2">
      <c r="A785" s="7"/>
      <c r="B785" s="1407" t="str">
        <f t="shared" si="12"/>
        <v>Mark West</v>
      </c>
      <c r="C785" s="1402" t="s">
        <v>16358</v>
      </c>
      <c r="D785" s="1403" t="s">
        <v>3017</v>
      </c>
      <c r="E785" s="1404" t="s">
        <v>16359</v>
      </c>
      <c r="F785" s="1405" t="s">
        <v>5300</v>
      </c>
      <c r="G785" s="1403" t="s">
        <v>14864</v>
      </c>
      <c r="H785" s="1406" t="s">
        <v>1013</v>
      </c>
    </row>
    <row r="786" spans="1:8" x14ac:dyDescent="0.2">
      <c r="A786" s="7"/>
      <c r="B786" s="1407" t="str">
        <f t="shared" si="12"/>
        <v>Alex Fenton</v>
      </c>
      <c r="C786" s="1402" t="s">
        <v>13770</v>
      </c>
      <c r="D786" s="1403" t="s">
        <v>3130</v>
      </c>
      <c r="E786" s="1404" t="s">
        <v>15536</v>
      </c>
      <c r="F786" s="1405" t="s">
        <v>13210</v>
      </c>
      <c r="G786" s="1403" t="s">
        <v>17082</v>
      </c>
      <c r="H786" s="1406" t="s">
        <v>1013</v>
      </c>
    </row>
    <row r="787" spans="1:8" x14ac:dyDescent="0.2">
      <c r="A787" s="7"/>
      <c r="B787" s="1407" t="str">
        <f t="shared" si="12"/>
        <v>Steve Kreeger</v>
      </c>
      <c r="C787" s="1402" t="s">
        <v>15767</v>
      </c>
      <c r="D787" s="1403" t="s">
        <v>3088</v>
      </c>
      <c r="E787" s="1404" t="s">
        <v>15768</v>
      </c>
      <c r="F787" s="1405" t="s">
        <v>5299</v>
      </c>
      <c r="G787" s="1403" t="s">
        <v>14359</v>
      </c>
      <c r="H787" s="1406" t="s">
        <v>1013</v>
      </c>
    </row>
    <row r="788" spans="1:8" x14ac:dyDescent="0.2">
      <c r="A788" s="7"/>
      <c r="B788" s="1407" t="str">
        <f t="shared" si="12"/>
        <v>Benjamin Palmer</v>
      </c>
      <c r="C788" s="1402" t="s">
        <v>6058</v>
      </c>
      <c r="D788" s="1403" t="s">
        <v>3362</v>
      </c>
      <c r="E788" s="1404" t="s">
        <v>15982</v>
      </c>
      <c r="F788" s="1405" t="s">
        <v>1563</v>
      </c>
      <c r="G788" s="1403" t="s">
        <v>14359</v>
      </c>
      <c r="H788" s="1406" t="s">
        <v>1013</v>
      </c>
    </row>
    <row r="789" spans="1:8" x14ac:dyDescent="0.2">
      <c r="A789" s="7"/>
      <c r="B789" s="1407" t="str">
        <f t="shared" si="12"/>
        <v>Daz Clarke</v>
      </c>
      <c r="C789" s="1402" t="s">
        <v>15373</v>
      </c>
      <c r="D789" s="1403" t="s">
        <v>15374</v>
      </c>
      <c r="E789" s="1404" t="s">
        <v>15375</v>
      </c>
      <c r="F789" s="1405" t="s">
        <v>5300</v>
      </c>
      <c r="G789" s="1403" t="s">
        <v>16399</v>
      </c>
      <c r="H789" s="1406" t="s">
        <v>1013</v>
      </c>
    </row>
    <row r="790" spans="1:8" x14ac:dyDescent="0.2">
      <c r="A790" s="7"/>
      <c r="B790" s="1407" t="str">
        <f t="shared" si="12"/>
        <v>Dan Nicholls</v>
      </c>
      <c r="C790" s="1402" t="s">
        <v>9548</v>
      </c>
      <c r="D790" s="1403" t="s">
        <v>6919</v>
      </c>
      <c r="E790" s="1404" t="s">
        <v>15948</v>
      </c>
      <c r="F790" s="1405" t="s">
        <v>5299</v>
      </c>
      <c r="G790" s="1403" t="s">
        <v>17082</v>
      </c>
      <c r="H790" s="1406" t="s">
        <v>1013</v>
      </c>
    </row>
    <row r="791" spans="1:8" x14ac:dyDescent="0.2">
      <c r="A791" s="7"/>
      <c r="B791" s="1407" t="str">
        <f t="shared" si="12"/>
        <v>Thomas Lacey</v>
      </c>
      <c r="C791" s="1402" t="s">
        <v>15778</v>
      </c>
      <c r="D791" s="1403" t="s">
        <v>3124</v>
      </c>
      <c r="E791" s="1404" t="s">
        <v>15779</v>
      </c>
      <c r="F791" s="1405" t="s">
        <v>5299</v>
      </c>
      <c r="G791" s="1403" t="s">
        <v>17082</v>
      </c>
      <c r="H791" s="1406" t="s">
        <v>1013</v>
      </c>
    </row>
    <row r="792" spans="1:8" x14ac:dyDescent="0.2">
      <c r="A792" s="7"/>
      <c r="B792" s="1407" t="str">
        <f t="shared" si="12"/>
        <v>Hadley Chapman</v>
      </c>
      <c r="C792" s="1402" t="s">
        <v>15351</v>
      </c>
      <c r="D792" s="1403" t="s">
        <v>15352</v>
      </c>
      <c r="E792" s="1404" t="s">
        <v>15353</v>
      </c>
      <c r="F792" s="1405" t="s">
        <v>1563</v>
      </c>
      <c r="G792" s="1403" t="s">
        <v>17082</v>
      </c>
      <c r="H792" s="1406" t="s">
        <v>1013</v>
      </c>
    </row>
    <row r="793" spans="1:8" x14ac:dyDescent="0.2">
      <c r="A793" s="7"/>
      <c r="B793" s="1407" t="str">
        <f t="shared" si="12"/>
        <v>Jacob Hodds</v>
      </c>
      <c r="C793" s="1402" t="s">
        <v>5927</v>
      </c>
      <c r="D793" s="1403" t="s">
        <v>3635</v>
      </c>
      <c r="E793" s="1404" t="s">
        <v>15670</v>
      </c>
      <c r="F793" s="1405" t="s">
        <v>1563</v>
      </c>
      <c r="G793" s="1403" t="s">
        <v>15274</v>
      </c>
      <c r="H793" s="1406" t="s">
        <v>1013</v>
      </c>
    </row>
    <row r="794" spans="1:8" x14ac:dyDescent="0.2">
      <c r="A794" s="7"/>
      <c r="B794" s="1407" t="str">
        <f t="shared" si="12"/>
        <v>Martin Holmes</v>
      </c>
      <c r="C794" s="1402" t="s">
        <v>5944</v>
      </c>
      <c r="D794" s="1403" t="s">
        <v>3408</v>
      </c>
      <c r="E794" s="1404" t="s">
        <v>15671</v>
      </c>
      <c r="F794" s="1405" t="s">
        <v>5300</v>
      </c>
      <c r="G794" s="1403" t="s">
        <v>15518</v>
      </c>
      <c r="H794" s="1406" t="s">
        <v>1013</v>
      </c>
    </row>
    <row r="795" spans="1:8" x14ac:dyDescent="0.2">
      <c r="A795" s="7"/>
      <c r="B795" s="1407" t="str">
        <f t="shared" si="12"/>
        <v>David Everitt</v>
      </c>
      <c r="C795" s="1402" t="s">
        <v>15516</v>
      </c>
      <c r="D795" s="1403" t="s">
        <v>3072</v>
      </c>
      <c r="E795" s="1404" t="s">
        <v>15517</v>
      </c>
      <c r="F795" s="1405" t="s">
        <v>5300</v>
      </c>
      <c r="G795" s="1403" t="s">
        <v>15518</v>
      </c>
      <c r="H795" s="1406" t="s">
        <v>1013</v>
      </c>
    </row>
    <row r="796" spans="1:8" x14ac:dyDescent="0.2">
      <c r="A796" s="7"/>
      <c r="B796" s="1407" t="str">
        <f t="shared" si="12"/>
        <v>Craig Purnell</v>
      </c>
      <c r="C796" s="1402" t="s">
        <v>16094</v>
      </c>
      <c r="D796" s="1403" t="s">
        <v>3188</v>
      </c>
      <c r="E796" s="1404" t="s">
        <v>16095</v>
      </c>
      <c r="F796" s="1405" t="s">
        <v>5299</v>
      </c>
      <c r="G796" s="1403" t="s">
        <v>14359</v>
      </c>
      <c r="H796" s="1406" t="s">
        <v>1013</v>
      </c>
    </row>
    <row r="797" spans="1:8" x14ac:dyDescent="0.2">
      <c r="A797" s="7"/>
      <c r="B797" s="1407" t="str">
        <f t="shared" si="12"/>
        <v>David McCallum</v>
      </c>
      <c r="C797" s="1402" t="s">
        <v>15888</v>
      </c>
      <c r="D797" s="1403" t="s">
        <v>3072</v>
      </c>
      <c r="E797" s="1404" t="s">
        <v>15889</v>
      </c>
      <c r="F797" s="1405" t="s">
        <v>5300</v>
      </c>
      <c r="G797" s="1403" t="s">
        <v>15518</v>
      </c>
      <c r="H797" s="1406" t="s">
        <v>1013</v>
      </c>
    </row>
    <row r="798" spans="1:8" x14ac:dyDescent="0.2">
      <c r="A798" s="7"/>
      <c r="B798" s="1407" t="str">
        <f t="shared" si="12"/>
        <v>Martin Colwell</v>
      </c>
      <c r="C798" s="1402" t="s">
        <v>15377</v>
      </c>
      <c r="D798" s="1403" t="s">
        <v>3408</v>
      </c>
      <c r="E798" s="1404" t="s">
        <v>15378</v>
      </c>
      <c r="F798" s="1405" t="s">
        <v>5300</v>
      </c>
      <c r="G798" s="1403" t="s">
        <v>17082</v>
      </c>
      <c r="H798" s="1406" t="s">
        <v>1013</v>
      </c>
    </row>
    <row r="799" spans="1:8" x14ac:dyDescent="0.2">
      <c r="A799" s="7"/>
      <c r="B799" s="1407" t="str">
        <f t="shared" si="12"/>
        <v>James McCormick</v>
      </c>
      <c r="C799" s="1402" t="s">
        <v>15892</v>
      </c>
      <c r="D799" s="1403" t="s">
        <v>3349</v>
      </c>
      <c r="E799" s="1404" t="s">
        <v>15894</v>
      </c>
      <c r="F799" s="1405" t="s">
        <v>5299</v>
      </c>
      <c r="G799" s="1403" t="s">
        <v>5304</v>
      </c>
      <c r="H799" s="1406" t="s">
        <v>1013</v>
      </c>
    </row>
    <row r="800" spans="1:8" x14ac:dyDescent="0.2">
      <c r="A800" s="7"/>
      <c r="B800" s="1407" t="str">
        <f t="shared" si="12"/>
        <v>Daniel McCormick</v>
      </c>
      <c r="C800" s="1402" t="s">
        <v>15892</v>
      </c>
      <c r="D800" s="1403" t="s">
        <v>3243</v>
      </c>
      <c r="E800" s="1404" t="s">
        <v>15893</v>
      </c>
      <c r="F800" s="1405" t="s">
        <v>5299</v>
      </c>
      <c r="G800" s="1403" t="s">
        <v>5304</v>
      </c>
      <c r="H800" s="1406" t="s">
        <v>1013</v>
      </c>
    </row>
    <row r="801" spans="1:8" x14ac:dyDescent="0.2">
      <c r="A801" s="7"/>
      <c r="B801" s="1407" t="str">
        <f t="shared" si="12"/>
        <v>Martin Hill</v>
      </c>
      <c r="C801" s="1402" t="s">
        <v>14438</v>
      </c>
      <c r="D801" s="1403" t="s">
        <v>3408</v>
      </c>
      <c r="E801" s="1404" t="s">
        <v>15669</v>
      </c>
      <c r="F801" s="1405" t="s">
        <v>5300</v>
      </c>
      <c r="G801" s="1403" t="s">
        <v>15518</v>
      </c>
      <c r="H801" s="1406" t="s">
        <v>1013</v>
      </c>
    </row>
    <row r="802" spans="1:8" x14ac:dyDescent="0.2">
      <c r="A802" s="7"/>
      <c r="B802" s="1407" t="str">
        <f t="shared" si="12"/>
        <v>Paul Izard</v>
      </c>
      <c r="C802" s="1402" t="s">
        <v>15702</v>
      </c>
      <c r="D802" s="1403" t="s">
        <v>3259</v>
      </c>
      <c r="E802" s="1404" t="s">
        <v>15703</v>
      </c>
      <c r="F802" s="1405" t="s">
        <v>5300</v>
      </c>
      <c r="G802" s="1403" t="s">
        <v>17082</v>
      </c>
      <c r="H802" s="1406" t="s">
        <v>1013</v>
      </c>
    </row>
    <row r="803" spans="1:8" x14ac:dyDescent="0.2">
      <c r="A803" s="7"/>
      <c r="B803" s="1407" t="str">
        <f t="shared" si="12"/>
        <v>Harry Parsons</v>
      </c>
      <c r="C803" s="1402" t="s">
        <v>5950</v>
      </c>
      <c r="D803" s="1403" t="s">
        <v>16001</v>
      </c>
      <c r="E803" s="1404" t="s">
        <v>16002</v>
      </c>
      <c r="F803" s="1405" t="s">
        <v>13211</v>
      </c>
      <c r="G803" s="1403" t="s">
        <v>5304</v>
      </c>
      <c r="H803" s="1406" t="s">
        <v>1013</v>
      </c>
    </row>
    <row r="804" spans="1:8" x14ac:dyDescent="0.2">
      <c r="A804" s="7"/>
      <c r="B804" s="1407" t="str">
        <f t="shared" si="12"/>
        <v>Ollie Parsons</v>
      </c>
      <c r="C804" s="1402" t="s">
        <v>5950</v>
      </c>
      <c r="D804" s="1403" t="s">
        <v>16003</v>
      </c>
      <c r="E804" s="1404" t="s">
        <v>16004</v>
      </c>
      <c r="F804" s="1405" t="s">
        <v>13211</v>
      </c>
      <c r="G804" s="1403" t="s">
        <v>5304</v>
      </c>
      <c r="H804" s="1406" t="s">
        <v>1013</v>
      </c>
    </row>
    <row r="805" spans="1:8" x14ac:dyDescent="0.2">
      <c r="A805" s="7"/>
      <c r="B805" s="1407" t="str">
        <f t="shared" si="12"/>
        <v>Alexander Ashcroft</v>
      </c>
      <c r="C805" s="1402" t="s">
        <v>15176</v>
      </c>
      <c r="D805" s="1403" t="s">
        <v>3037</v>
      </c>
      <c r="E805" s="1404" t="s">
        <v>15177</v>
      </c>
      <c r="F805" s="1405" t="s">
        <v>5299</v>
      </c>
      <c r="G805" s="1403" t="s">
        <v>13613</v>
      </c>
      <c r="H805" s="1406" t="s">
        <v>1013</v>
      </c>
    </row>
    <row r="806" spans="1:8" x14ac:dyDescent="0.2">
      <c r="A806" s="7"/>
      <c r="B806" s="1407" t="str">
        <f t="shared" si="12"/>
        <v>Ian Aggett</v>
      </c>
      <c r="C806" s="1402" t="s">
        <v>15142</v>
      </c>
      <c r="D806" s="1403" t="s">
        <v>3688</v>
      </c>
      <c r="E806" s="1404" t="s">
        <v>15143</v>
      </c>
      <c r="F806" s="1405" t="s">
        <v>5300</v>
      </c>
      <c r="G806" s="1403" t="s">
        <v>15274</v>
      </c>
      <c r="H806" s="1406" t="s">
        <v>1013</v>
      </c>
    </row>
    <row r="807" spans="1:8" x14ac:dyDescent="0.2">
      <c r="A807" s="7"/>
      <c r="B807" s="1407" t="str">
        <f t="shared" si="12"/>
        <v>David Parsons</v>
      </c>
      <c r="C807" s="1402" t="s">
        <v>5950</v>
      </c>
      <c r="D807" s="1403" t="s">
        <v>3072</v>
      </c>
      <c r="E807" s="1404" t="s">
        <v>15999</v>
      </c>
      <c r="F807" s="1405" t="s">
        <v>5300</v>
      </c>
      <c r="G807" s="1403" t="s">
        <v>16000</v>
      </c>
      <c r="H807" s="1406" t="s">
        <v>1013</v>
      </c>
    </row>
    <row r="808" spans="1:8" x14ac:dyDescent="0.2">
      <c r="A808" s="7"/>
      <c r="B808" s="1407" t="str">
        <f t="shared" si="12"/>
        <v>John Cooper</v>
      </c>
      <c r="C808" s="1402" t="s">
        <v>15384</v>
      </c>
      <c r="D808" s="1403" t="s">
        <v>3250</v>
      </c>
      <c r="E808" s="1404" t="s">
        <v>15385</v>
      </c>
      <c r="F808" s="1405" t="s">
        <v>5300</v>
      </c>
      <c r="G808" s="1403" t="s">
        <v>13531</v>
      </c>
      <c r="H808" s="1406" t="s">
        <v>1013</v>
      </c>
    </row>
    <row r="809" spans="1:8" x14ac:dyDescent="0.2">
      <c r="A809" s="7"/>
      <c r="B809" s="1407" t="str">
        <f t="shared" si="12"/>
        <v>Vicky Lewis</v>
      </c>
      <c r="C809" s="1402" t="s">
        <v>6870</v>
      </c>
      <c r="D809" s="1403" t="s">
        <v>15806</v>
      </c>
      <c r="E809" s="1404" t="s">
        <v>15807</v>
      </c>
      <c r="F809" s="1405" t="s">
        <v>5300</v>
      </c>
      <c r="G809" s="1403" t="s">
        <v>17082</v>
      </c>
      <c r="H809" s="1406" t="s">
        <v>1013</v>
      </c>
    </row>
    <row r="810" spans="1:8" x14ac:dyDescent="0.2">
      <c r="A810" s="7"/>
      <c r="B810" s="1407" t="str">
        <f t="shared" si="12"/>
        <v>Nigel Pestelle</v>
      </c>
      <c r="C810" s="1402" t="s">
        <v>16032</v>
      </c>
      <c r="D810" s="1403" t="s">
        <v>7010</v>
      </c>
      <c r="E810" s="1404" t="s">
        <v>16033</v>
      </c>
      <c r="F810" s="1405" t="s">
        <v>5300</v>
      </c>
      <c r="G810" s="1403" t="s">
        <v>2789</v>
      </c>
      <c r="H810" s="1406" t="s">
        <v>1013</v>
      </c>
    </row>
    <row r="811" spans="1:8" x14ac:dyDescent="0.2">
      <c r="A811" s="7"/>
      <c r="B811" s="1407" t="str">
        <f t="shared" si="12"/>
        <v>Nigel Edwards</v>
      </c>
      <c r="C811" s="1402" t="s">
        <v>15503</v>
      </c>
      <c r="D811" s="1403" t="s">
        <v>7010</v>
      </c>
      <c r="E811" s="1404" t="s">
        <v>15504</v>
      </c>
      <c r="F811" s="1405" t="s">
        <v>5300</v>
      </c>
      <c r="G811" s="1403" t="s">
        <v>13613</v>
      </c>
      <c r="H811" s="1406" t="s">
        <v>1013</v>
      </c>
    </row>
    <row r="812" spans="1:8" x14ac:dyDescent="0.2">
      <c r="A812" s="7"/>
      <c r="B812" s="1407" t="str">
        <f t="shared" si="12"/>
        <v>Trevor Allen</v>
      </c>
      <c r="C812" s="1402" t="s">
        <v>15155</v>
      </c>
      <c r="D812" s="1403" t="s">
        <v>5578</v>
      </c>
      <c r="E812" s="1404" t="s">
        <v>15156</v>
      </c>
      <c r="F812" s="1405" t="s">
        <v>5300</v>
      </c>
      <c r="G812" s="1403" t="s">
        <v>14867</v>
      </c>
      <c r="H812" s="1406" t="s">
        <v>1013</v>
      </c>
    </row>
    <row r="813" spans="1:8" x14ac:dyDescent="0.2">
      <c r="A813" s="7"/>
      <c r="B813" s="1407" t="str">
        <f t="shared" si="12"/>
        <v>Andrew Jon Heath</v>
      </c>
      <c r="C813" s="1402" t="s">
        <v>15660</v>
      </c>
      <c r="D813" s="1403" t="s">
        <v>15661</v>
      </c>
      <c r="E813" s="1404" t="s">
        <v>15662</v>
      </c>
      <c r="F813" s="1405" t="s">
        <v>5299</v>
      </c>
      <c r="G813" s="1403" t="s">
        <v>15663</v>
      </c>
      <c r="H813" s="1406" t="s">
        <v>1013</v>
      </c>
    </row>
    <row r="814" spans="1:8" x14ac:dyDescent="0.2">
      <c r="A814" s="7"/>
      <c r="B814" s="1407" t="str">
        <f t="shared" si="12"/>
        <v>Yazid Bin Mohamoad</v>
      </c>
      <c r="C814" s="1402" t="s">
        <v>15252</v>
      </c>
      <c r="D814" s="1403" t="s">
        <v>15253</v>
      </c>
      <c r="E814" s="1404" t="s">
        <v>15254</v>
      </c>
      <c r="F814" s="1405" t="s">
        <v>5300</v>
      </c>
      <c r="G814" s="1403" t="s">
        <v>14359</v>
      </c>
      <c r="H814" s="1406" t="s">
        <v>1013</v>
      </c>
    </row>
    <row r="815" spans="1:8" x14ac:dyDescent="0.2">
      <c r="A815" s="7"/>
      <c r="B815" s="1407" t="str">
        <f t="shared" si="12"/>
        <v>Dennis Perry</v>
      </c>
      <c r="C815" s="1402" t="s">
        <v>16029</v>
      </c>
      <c r="D815" s="1403" t="s">
        <v>3516</v>
      </c>
      <c r="E815" s="1404" t="s">
        <v>16031</v>
      </c>
      <c r="F815" s="1405" t="s">
        <v>5299</v>
      </c>
      <c r="G815" s="1403" t="s">
        <v>13539</v>
      </c>
      <c r="H815" s="1406" t="s">
        <v>1013</v>
      </c>
    </row>
    <row r="816" spans="1:8" x14ac:dyDescent="0.2">
      <c r="A816" s="7"/>
      <c r="B816" s="1407" t="str">
        <f t="shared" si="12"/>
        <v>Riley Duckworth</v>
      </c>
      <c r="C816" s="1402" t="s">
        <v>14405</v>
      </c>
      <c r="D816" s="1403" t="s">
        <v>15497</v>
      </c>
      <c r="E816" s="1404" t="s">
        <v>15498</v>
      </c>
      <c r="F816" s="1405" t="s">
        <v>13210</v>
      </c>
      <c r="G816" s="1403" t="s">
        <v>14359</v>
      </c>
      <c r="H816" s="1406" t="s">
        <v>1013</v>
      </c>
    </row>
    <row r="817" spans="1:8" x14ac:dyDescent="0.2">
      <c r="A817" s="7"/>
      <c r="B817" s="1407" t="str">
        <f t="shared" si="12"/>
        <v>Jason Kettley</v>
      </c>
      <c r="C817" s="1402" t="s">
        <v>15739</v>
      </c>
      <c r="D817" s="1403" t="s">
        <v>3297</v>
      </c>
      <c r="E817" s="1404" t="s">
        <v>15740</v>
      </c>
      <c r="F817" s="1405" t="s">
        <v>5299</v>
      </c>
      <c r="G817" s="1403" t="s">
        <v>14864</v>
      </c>
      <c r="H817" s="1406" t="s">
        <v>1013</v>
      </c>
    </row>
    <row r="818" spans="1:8" x14ac:dyDescent="0.2">
      <c r="A818" s="7"/>
      <c r="B818" s="1407" t="str">
        <f t="shared" si="12"/>
        <v>Jerry Whelband</v>
      </c>
      <c r="C818" s="1402" t="s">
        <v>16360</v>
      </c>
      <c r="D818" s="1403" t="s">
        <v>16361</v>
      </c>
      <c r="E818" s="1404" t="s">
        <v>16362</v>
      </c>
      <c r="F818" s="1405" t="s">
        <v>5300</v>
      </c>
      <c r="G818" s="1403" t="s">
        <v>14864</v>
      </c>
      <c r="H818" s="1406" t="s">
        <v>1013</v>
      </c>
    </row>
    <row r="819" spans="1:8" x14ac:dyDescent="0.2">
      <c r="A819" s="7"/>
      <c r="B819" s="1407" t="str">
        <f t="shared" si="12"/>
        <v>Gary Wiley</v>
      </c>
      <c r="C819" s="1402" t="s">
        <v>16363</v>
      </c>
      <c r="D819" s="1403" t="s">
        <v>3192</v>
      </c>
      <c r="E819" s="1404" t="s">
        <v>16364</v>
      </c>
      <c r="F819" s="1405" t="s">
        <v>5300</v>
      </c>
      <c r="G819" s="1403" t="s">
        <v>14359</v>
      </c>
      <c r="H819" s="1406" t="s">
        <v>1013</v>
      </c>
    </row>
    <row r="820" spans="1:8" x14ac:dyDescent="0.2">
      <c r="A820" s="7"/>
      <c r="B820" s="1407" t="str">
        <f t="shared" si="12"/>
        <v>Bailey Challinor</v>
      </c>
      <c r="C820" s="1402" t="s">
        <v>15345</v>
      </c>
      <c r="D820" s="1403" t="s">
        <v>15346</v>
      </c>
      <c r="E820" s="1404" t="s">
        <v>15347</v>
      </c>
      <c r="F820" s="1405" t="s">
        <v>5299</v>
      </c>
      <c r="G820" s="1403" t="s">
        <v>14382</v>
      </c>
      <c r="H820" s="1406" t="s">
        <v>1013</v>
      </c>
    </row>
    <row r="821" spans="1:8" x14ac:dyDescent="0.2">
      <c r="A821" s="7"/>
      <c r="B821" s="1407" t="str">
        <f t="shared" si="12"/>
        <v>Billy Attwood</v>
      </c>
      <c r="C821" s="1402" t="s">
        <v>15181</v>
      </c>
      <c r="D821" s="1403" t="s">
        <v>8227</v>
      </c>
      <c r="E821" s="1404" t="s">
        <v>15182</v>
      </c>
      <c r="F821" s="1405" t="s">
        <v>5299</v>
      </c>
      <c r="G821" s="1403" t="s">
        <v>14864</v>
      </c>
      <c r="H821" s="1406" t="s">
        <v>1013</v>
      </c>
    </row>
    <row r="822" spans="1:8" x14ac:dyDescent="0.2">
      <c r="A822" s="7"/>
      <c r="B822" s="1407" t="str">
        <f t="shared" si="12"/>
        <v>Taylor Randles</v>
      </c>
      <c r="C822" s="1402" t="s">
        <v>16113</v>
      </c>
      <c r="D822" s="1403" t="s">
        <v>5937</v>
      </c>
      <c r="E822" s="1404" t="s">
        <v>16114</v>
      </c>
      <c r="F822" s="1405" t="s">
        <v>5299</v>
      </c>
      <c r="G822" s="1403" t="s">
        <v>13539</v>
      </c>
      <c r="H822" s="1406" t="s">
        <v>1013</v>
      </c>
    </row>
    <row r="823" spans="1:8" x14ac:dyDescent="0.2">
      <c r="A823" s="7"/>
      <c r="B823" s="1407" t="str">
        <f t="shared" si="12"/>
        <v>Valter Baroncini</v>
      </c>
      <c r="C823" s="1402" t="s">
        <v>15219</v>
      </c>
      <c r="D823" s="1403" t="s">
        <v>15220</v>
      </c>
      <c r="E823" s="1404" t="s">
        <v>15221</v>
      </c>
      <c r="F823" s="1405" t="s">
        <v>5300</v>
      </c>
      <c r="G823" s="1403" t="s">
        <v>13618</v>
      </c>
      <c r="H823" s="1406" t="s">
        <v>1013</v>
      </c>
    </row>
    <row r="824" spans="1:8" x14ac:dyDescent="0.2">
      <c r="A824" s="7"/>
      <c r="B824" s="1407" t="str">
        <f t="shared" si="12"/>
        <v>Martin Ellaway</v>
      </c>
      <c r="C824" s="1402" t="s">
        <v>15505</v>
      </c>
      <c r="D824" s="1403" t="s">
        <v>3408</v>
      </c>
      <c r="E824" s="1404" t="s">
        <v>15506</v>
      </c>
      <c r="F824" s="1405" t="s">
        <v>5299</v>
      </c>
      <c r="G824" s="1403" t="s">
        <v>14359</v>
      </c>
      <c r="H824" s="1406" t="s">
        <v>1013</v>
      </c>
    </row>
    <row r="825" spans="1:8" x14ac:dyDescent="0.2">
      <c r="A825" s="7"/>
      <c r="B825" s="1407" t="str">
        <f t="shared" si="12"/>
        <v>Liam Smith</v>
      </c>
      <c r="C825" s="1402" t="s">
        <v>5936</v>
      </c>
      <c r="D825" s="1403" t="s">
        <v>3378</v>
      </c>
      <c r="E825" s="1404" t="s">
        <v>16240</v>
      </c>
      <c r="F825" s="1405" t="s">
        <v>5299</v>
      </c>
      <c r="G825" s="1403" t="s">
        <v>14359</v>
      </c>
      <c r="H825" s="1406" t="s">
        <v>1013</v>
      </c>
    </row>
    <row r="826" spans="1:8" x14ac:dyDescent="0.2">
      <c r="A826" s="7"/>
      <c r="B826" s="1407" t="str">
        <f t="shared" si="12"/>
        <v>Andrew Gregory</v>
      </c>
      <c r="C826" s="1402" t="s">
        <v>14415</v>
      </c>
      <c r="D826" s="1403" t="s">
        <v>3105</v>
      </c>
      <c r="E826" s="1404" t="s">
        <v>15626</v>
      </c>
      <c r="F826" s="1405" t="s">
        <v>5300</v>
      </c>
      <c r="G826" s="1403" t="s">
        <v>14359</v>
      </c>
      <c r="H826" s="1406" t="s">
        <v>1013</v>
      </c>
    </row>
    <row r="827" spans="1:8" x14ac:dyDescent="0.2">
      <c r="A827" s="7"/>
      <c r="B827" s="1407" t="str">
        <f t="shared" si="12"/>
        <v>John Ellis</v>
      </c>
      <c r="C827" s="1402" t="s">
        <v>14403</v>
      </c>
      <c r="D827" s="1403" t="s">
        <v>3250</v>
      </c>
      <c r="E827" s="1404" t="s">
        <v>15507</v>
      </c>
      <c r="F827" s="1405" t="s">
        <v>5300</v>
      </c>
      <c r="G827" s="1403" t="s">
        <v>13618</v>
      </c>
      <c r="H827" s="1406" t="s">
        <v>1013</v>
      </c>
    </row>
    <row r="828" spans="1:8" x14ac:dyDescent="0.2">
      <c r="A828" s="7"/>
      <c r="B828" s="1407" t="str">
        <f t="shared" si="12"/>
        <v>Drew Kiely</v>
      </c>
      <c r="C828" s="1402" t="s">
        <v>15741</v>
      </c>
      <c r="D828" s="1403" t="s">
        <v>15742</v>
      </c>
      <c r="E828" s="1404" t="s">
        <v>15743</v>
      </c>
      <c r="F828" s="1405" t="s">
        <v>5300</v>
      </c>
      <c r="G828" s="1403" t="s">
        <v>13618</v>
      </c>
      <c r="H828" s="1406" t="s">
        <v>1013</v>
      </c>
    </row>
    <row r="829" spans="1:8" x14ac:dyDescent="0.2">
      <c r="A829" s="7"/>
      <c r="B829" s="1407" t="str">
        <f t="shared" si="12"/>
        <v>Steve Race</v>
      </c>
      <c r="C829" s="1402" t="s">
        <v>16098</v>
      </c>
      <c r="D829" s="1403" t="s">
        <v>3088</v>
      </c>
      <c r="E829" s="1404" t="s">
        <v>16099</v>
      </c>
      <c r="F829" s="1405" t="s">
        <v>5300</v>
      </c>
      <c r="G829" s="1403" t="s">
        <v>14359</v>
      </c>
      <c r="H829" s="1406" t="s">
        <v>1013</v>
      </c>
    </row>
    <row r="830" spans="1:8" x14ac:dyDescent="0.2">
      <c r="A830" s="7"/>
      <c r="B830" s="1407" t="str">
        <f t="shared" si="12"/>
        <v>James Taylor-Nye</v>
      </c>
      <c r="C830" s="1402" t="s">
        <v>16290</v>
      </c>
      <c r="D830" s="1403" t="s">
        <v>3349</v>
      </c>
      <c r="E830" s="1404" t="s">
        <v>16291</v>
      </c>
      <c r="F830" s="1405" t="s">
        <v>5300</v>
      </c>
      <c r="G830" s="1403" t="s">
        <v>14359</v>
      </c>
      <c r="H830" s="1406" t="s">
        <v>1013</v>
      </c>
    </row>
    <row r="831" spans="1:8" x14ac:dyDescent="0.2">
      <c r="A831" s="7"/>
      <c r="B831" s="1407" t="str">
        <f t="shared" si="12"/>
        <v>Ian Smalley</v>
      </c>
      <c r="C831" s="1402" t="s">
        <v>16238</v>
      </c>
      <c r="D831" s="1403" t="s">
        <v>3688</v>
      </c>
      <c r="E831" s="1404" t="s">
        <v>16239</v>
      </c>
      <c r="F831" s="1405" t="s">
        <v>5300</v>
      </c>
      <c r="G831" s="1403" t="s">
        <v>15274</v>
      </c>
      <c r="H831" s="1406" t="s">
        <v>1013</v>
      </c>
    </row>
    <row r="832" spans="1:8" x14ac:dyDescent="0.2">
      <c r="A832" s="7"/>
      <c r="B832" s="1407" t="str">
        <f t="shared" si="12"/>
        <v>Owen Boon</v>
      </c>
      <c r="C832" s="1402" t="s">
        <v>6785</v>
      </c>
      <c r="D832" s="1403" t="s">
        <v>3321</v>
      </c>
      <c r="E832" s="1404" t="s">
        <v>15267</v>
      </c>
      <c r="F832" s="1405" t="s">
        <v>13211</v>
      </c>
      <c r="G832" s="1403" t="s">
        <v>14359</v>
      </c>
      <c r="H832" s="1406" t="s">
        <v>1013</v>
      </c>
    </row>
    <row r="833" spans="1:8" x14ac:dyDescent="0.2">
      <c r="A833" s="7"/>
      <c r="B833" s="1407" t="str">
        <f t="shared" si="12"/>
        <v>Zachary Ramsay</v>
      </c>
      <c r="C833" s="1402" t="s">
        <v>16107</v>
      </c>
      <c r="D833" s="1403" t="s">
        <v>16109</v>
      </c>
      <c r="E833" s="1404" t="s">
        <v>16110</v>
      </c>
      <c r="F833" s="1405" t="s">
        <v>1563</v>
      </c>
      <c r="G833" s="1403" t="s">
        <v>14399</v>
      </c>
      <c r="H833" s="1406" t="s">
        <v>1013</v>
      </c>
    </row>
    <row r="834" spans="1:8" x14ac:dyDescent="0.2">
      <c r="A834" s="7"/>
      <c r="B834" s="1407" t="str">
        <f t="shared" si="12"/>
        <v>Sean Wenlock</v>
      </c>
      <c r="C834" s="1402" t="s">
        <v>16356</v>
      </c>
      <c r="D834" s="1403" t="s">
        <v>6945</v>
      </c>
      <c r="E834" s="1404" t="s">
        <v>16357</v>
      </c>
      <c r="F834" s="1405" t="s">
        <v>5300</v>
      </c>
      <c r="G834" s="1403" t="s">
        <v>13613</v>
      </c>
      <c r="H834" s="1406" t="s">
        <v>1013</v>
      </c>
    </row>
    <row r="835" spans="1:8" x14ac:dyDescent="0.2">
      <c r="A835" s="7"/>
      <c r="B835" s="1407" t="str">
        <f t="shared" si="12"/>
        <v>Tony Kiely</v>
      </c>
      <c r="C835" s="1402" t="s">
        <v>15741</v>
      </c>
      <c r="D835" s="1403" t="s">
        <v>3134</v>
      </c>
      <c r="E835" s="1404" t="s">
        <v>15744</v>
      </c>
      <c r="F835" s="1405" t="s">
        <v>5300</v>
      </c>
      <c r="G835" s="1403" t="s">
        <v>13618</v>
      </c>
      <c r="H835" s="1406" t="s">
        <v>1013</v>
      </c>
    </row>
    <row r="836" spans="1:8" x14ac:dyDescent="0.2">
      <c r="A836" s="7"/>
      <c r="B836" s="1407" t="str">
        <f t="shared" si="12"/>
        <v>Darren Howat</v>
      </c>
      <c r="C836" s="1402" t="s">
        <v>15676</v>
      </c>
      <c r="D836" s="1403" t="s">
        <v>3150</v>
      </c>
      <c r="E836" s="1404" t="s">
        <v>15677</v>
      </c>
      <c r="F836" s="1405" t="s">
        <v>5300</v>
      </c>
      <c r="G836" s="1403" t="s">
        <v>14359</v>
      </c>
      <c r="H836" s="1406" t="s">
        <v>1013</v>
      </c>
    </row>
    <row r="837" spans="1:8" x14ac:dyDescent="0.2">
      <c r="A837" s="7"/>
      <c r="B837" s="1407" t="str">
        <f t="shared" si="12"/>
        <v>David Cope</v>
      </c>
      <c r="C837" s="1402" t="s">
        <v>15386</v>
      </c>
      <c r="D837" s="1403" t="s">
        <v>3072</v>
      </c>
      <c r="E837" s="1404" t="s">
        <v>15387</v>
      </c>
      <c r="F837" s="1405" t="s">
        <v>5300</v>
      </c>
      <c r="G837" s="1403" t="s">
        <v>2789</v>
      </c>
      <c r="H837" s="1406" t="s">
        <v>1013</v>
      </c>
    </row>
    <row r="838" spans="1:8" x14ac:dyDescent="0.2">
      <c r="A838" s="7"/>
      <c r="B838" s="1407" t="str">
        <f t="shared" si="12"/>
        <v>Paolo Matteo Agostinelli</v>
      </c>
      <c r="C838" s="1402" t="s">
        <v>15146</v>
      </c>
      <c r="D838" s="1403" t="s">
        <v>15147</v>
      </c>
      <c r="E838" s="1404" t="s">
        <v>15148</v>
      </c>
      <c r="F838" s="1405" t="s">
        <v>5300</v>
      </c>
      <c r="G838" s="1403" t="s">
        <v>13618</v>
      </c>
      <c r="H838" s="1406" t="s">
        <v>1013</v>
      </c>
    </row>
    <row r="839" spans="1:8" x14ac:dyDescent="0.2">
      <c r="A839" s="7"/>
      <c r="B839" s="1407" t="str">
        <f t="shared" ref="B839:B902" si="13">TRIM(CONCATENATE(D839," ",C839))</f>
        <v>Simon Francis</v>
      </c>
      <c r="C839" s="1402" t="s">
        <v>3376</v>
      </c>
      <c r="D839" s="1403" t="s">
        <v>3626</v>
      </c>
      <c r="E839" s="1404" t="s">
        <v>15567</v>
      </c>
      <c r="F839" s="1405" t="s">
        <v>5299</v>
      </c>
      <c r="G839" s="1403" t="s">
        <v>14359</v>
      </c>
      <c r="H839" s="1406" t="s">
        <v>1013</v>
      </c>
    </row>
    <row r="840" spans="1:8" x14ac:dyDescent="0.2">
      <c r="A840" s="7"/>
      <c r="B840" s="1407" t="str">
        <f t="shared" si="13"/>
        <v>Robin Martin</v>
      </c>
      <c r="C840" s="1402" t="s">
        <v>3408</v>
      </c>
      <c r="D840" s="1403" t="s">
        <v>6879</v>
      </c>
      <c r="E840" s="1404" t="s">
        <v>15865</v>
      </c>
      <c r="F840" s="1405" t="s">
        <v>5300</v>
      </c>
      <c r="G840" s="1403" t="s">
        <v>14359</v>
      </c>
      <c r="H840" s="1406" t="s">
        <v>1013</v>
      </c>
    </row>
    <row r="841" spans="1:8" x14ac:dyDescent="0.2">
      <c r="A841" s="7"/>
      <c r="B841" s="1407" t="str">
        <f t="shared" si="13"/>
        <v>Tim James</v>
      </c>
      <c r="C841" s="1402" t="s">
        <v>3349</v>
      </c>
      <c r="D841" s="1403" t="s">
        <v>3689</v>
      </c>
      <c r="E841" s="1404" t="s">
        <v>15706</v>
      </c>
      <c r="F841" s="1405" t="s">
        <v>5300</v>
      </c>
      <c r="G841" s="1403" t="s">
        <v>14359</v>
      </c>
      <c r="H841" s="1406" t="s">
        <v>1013</v>
      </c>
    </row>
    <row r="842" spans="1:8" x14ac:dyDescent="0.2">
      <c r="A842" s="7"/>
      <c r="B842" s="1407" t="str">
        <f t="shared" si="13"/>
        <v>Amy Horncastle</v>
      </c>
      <c r="C842" s="1402" t="s">
        <v>15673</v>
      </c>
      <c r="D842" s="1403" t="s">
        <v>15674</v>
      </c>
      <c r="E842" s="1404" t="s">
        <v>15675</v>
      </c>
      <c r="F842" s="1405" t="s">
        <v>13211</v>
      </c>
      <c r="G842" s="1403" t="s">
        <v>13550</v>
      </c>
      <c r="H842" s="1406" t="s">
        <v>1013</v>
      </c>
    </row>
    <row r="843" spans="1:8" x14ac:dyDescent="0.2">
      <c r="A843" s="7"/>
      <c r="B843" s="1407" t="str">
        <f t="shared" si="13"/>
        <v>Robert Piggott</v>
      </c>
      <c r="C843" s="1402" t="s">
        <v>16054</v>
      </c>
      <c r="D843" s="1403" t="s">
        <v>3405</v>
      </c>
      <c r="E843" s="1404" t="s">
        <v>16055</v>
      </c>
      <c r="F843" s="1405" t="s">
        <v>5300</v>
      </c>
      <c r="G843" s="1403" t="s">
        <v>14359</v>
      </c>
      <c r="H843" s="1406" t="s">
        <v>1013</v>
      </c>
    </row>
    <row r="844" spans="1:8" x14ac:dyDescent="0.2">
      <c r="A844" s="7"/>
      <c r="B844" s="1407" t="str">
        <f t="shared" si="13"/>
        <v>Stu Chamberlain</v>
      </c>
      <c r="C844" s="1402" t="s">
        <v>15348</v>
      </c>
      <c r="D844" s="1403" t="s">
        <v>15349</v>
      </c>
      <c r="E844" s="1404" t="s">
        <v>15350</v>
      </c>
      <c r="F844" s="1405" t="s">
        <v>5300</v>
      </c>
      <c r="G844" s="1403" t="s">
        <v>14359</v>
      </c>
      <c r="H844" s="1406" t="s">
        <v>1013</v>
      </c>
    </row>
    <row r="845" spans="1:8" x14ac:dyDescent="0.2">
      <c r="A845" s="7"/>
      <c r="B845" s="1407" t="str">
        <f t="shared" si="13"/>
        <v>Robert Fitch</v>
      </c>
      <c r="C845" s="1402" t="s">
        <v>15550</v>
      </c>
      <c r="D845" s="1403" t="s">
        <v>3405</v>
      </c>
      <c r="E845" s="1404" t="s">
        <v>15551</v>
      </c>
      <c r="F845" s="1405" t="s">
        <v>5300</v>
      </c>
      <c r="G845" s="1403" t="s">
        <v>17082</v>
      </c>
      <c r="H845" s="1406" t="s">
        <v>1013</v>
      </c>
    </row>
    <row r="846" spans="1:8" x14ac:dyDescent="0.2">
      <c r="A846" s="7"/>
      <c r="B846" s="1407" t="str">
        <f t="shared" si="13"/>
        <v>Max Rahman</v>
      </c>
      <c r="C846" s="1402" t="s">
        <v>16100</v>
      </c>
      <c r="D846" s="1403" t="s">
        <v>3710</v>
      </c>
      <c r="E846" s="1404" t="s">
        <v>16101</v>
      </c>
      <c r="F846" s="1405" t="s">
        <v>1563</v>
      </c>
      <c r="G846" s="1403" t="s">
        <v>17082</v>
      </c>
      <c r="H846" s="1406" t="s">
        <v>1013</v>
      </c>
    </row>
    <row r="847" spans="1:8" x14ac:dyDescent="0.2">
      <c r="A847" s="7"/>
      <c r="B847" s="1407" t="str">
        <f t="shared" si="13"/>
        <v>Richard Myers</v>
      </c>
      <c r="C847" s="1402" t="s">
        <v>15943</v>
      </c>
      <c r="D847" s="1403" t="s">
        <v>3219</v>
      </c>
      <c r="E847" s="1404" t="s">
        <v>15944</v>
      </c>
      <c r="F847" s="1405" t="s">
        <v>5300</v>
      </c>
      <c r="G847" s="1403" t="s">
        <v>15945</v>
      </c>
      <c r="H847" s="1406" t="s">
        <v>1013</v>
      </c>
    </row>
    <row r="848" spans="1:8" x14ac:dyDescent="0.2">
      <c r="A848" s="7"/>
      <c r="B848" s="1407" t="str">
        <f t="shared" si="13"/>
        <v>Troy Cowdrey</v>
      </c>
      <c r="C848" s="1402" t="s">
        <v>15398</v>
      </c>
      <c r="D848" s="1403" t="s">
        <v>15399</v>
      </c>
      <c r="E848" s="1404" t="s">
        <v>15400</v>
      </c>
      <c r="F848" s="1405" t="s">
        <v>5300</v>
      </c>
      <c r="G848" s="1403" t="s">
        <v>13618</v>
      </c>
      <c r="H848" s="1406" t="s">
        <v>1013</v>
      </c>
    </row>
    <row r="849" spans="1:8" x14ac:dyDescent="0.2">
      <c r="A849" s="7"/>
      <c r="B849" s="1407" t="str">
        <f t="shared" si="13"/>
        <v>Shane Young</v>
      </c>
      <c r="C849" s="1402" t="s">
        <v>5951</v>
      </c>
      <c r="D849" s="1403" t="s">
        <v>3687</v>
      </c>
      <c r="E849" s="1404" t="s">
        <v>16374</v>
      </c>
      <c r="F849" s="1405" t="s">
        <v>5299</v>
      </c>
      <c r="G849" s="1403" t="s">
        <v>14359</v>
      </c>
      <c r="H849" s="1406" t="s">
        <v>1013</v>
      </c>
    </row>
    <row r="850" spans="1:8" x14ac:dyDescent="0.2">
      <c r="A850" s="7"/>
      <c r="B850" s="1407" t="str">
        <f t="shared" si="13"/>
        <v>William Lacey</v>
      </c>
      <c r="C850" s="1402" t="s">
        <v>15778</v>
      </c>
      <c r="D850" s="1403" t="s">
        <v>3236</v>
      </c>
      <c r="E850" s="1404" t="s">
        <v>15780</v>
      </c>
      <c r="F850" s="1405" t="s">
        <v>5300</v>
      </c>
      <c r="G850" s="1403" t="s">
        <v>14359</v>
      </c>
      <c r="H850" s="1406" t="s">
        <v>1013</v>
      </c>
    </row>
    <row r="851" spans="1:8" x14ac:dyDescent="0.2">
      <c r="A851" s="7"/>
      <c r="B851" s="1407" t="str">
        <f t="shared" si="13"/>
        <v>Robert Johnson</v>
      </c>
      <c r="C851" s="1402" t="s">
        <v>16945</v>
      </c>
      <c r="D851" s="1403" t="s">
        <v>3405</v>
      </c>
      <c r="E851" s="1404" t="s">
        <v>16946</v>
      </c>
      <c r="F851" s="1405" t="s">
        <v>5300</v>
      </c>
      <c r="G851" s="1403" t="s">
        <v>14359</v>
      </c>
      <c r="H851" s="1406" t="s">
        <v>1013</v>
      </c>
    </row>
    <row r="852" spans="1:8" x14ac:dyDescent="0.2">
      <c r="A852" s="7"/>
      <c r="B852" s="1407" t="str">
        <f t="shared" si="13"/>
        <v>Paul Strongitharm</v>
      </c>
      <c r="C852" s="1402" t="s">
        <v>16988</v>
      </c>
      <c r="D852" s="1403" t="s">
        <v>3259</v>
      </c>
      <c r="E852" s="1404" t="s">
        <v>16989</v>
      </c>
      <c r="F852" s="1405" t="s">
        <v>5300</v>
      </c>
      <c r="G852" s="1403" t="s">
        <v>14359</v>
      </c>
      <c r="H852" s="1406" t="s">
        <v>1013</v>
      </c>
    </row>
    <row r="853" spans="1:8" x14ac:dyDescent="0.2">
      <c r="A853" s="7"/>
      <c r="B853" s="1407" t="str">
        <f t="shared" si="13"/>
        <v>John Hardy Kom</v>
      </c>
      <c r="C853" s="1402" t="s">
        <v>16951</v>
      </c>
      <c r="D853" s="1403" t="s">
        <v>16952</v>
      </c>
      <c r="E853" s="1404" t="s">
        <v>16953</v>
      </c>
      <c r="F853" s="1405" t="s">
        <v>5300</v>
      </c>
      <c r="G853" s="1403" t="s">
        <v>14359</v>
      </c>
      <c r="H853" s="1406" t="s">
        <v>1013</v>
      </c>
    </row>
    <row r="854" spans="1:8" x14ac:dyDescent="0.2">
      <c r="A854" s="7"/>
      <c r="B854" s="1407" t="str">
        <f t="shared" si="13"/>
        <v>William Mahoney</v>
      </c>
      <c r="C854" s="1402" t="s">
        <v>16957</v>
      </c>
      <c r="D854" s="1403" t="s">
        <v>3236</v>
      </c>
      <c r="E854" s="1404" t="s">
        <v>16958</v>
      </c>
      <c r="F854" s="1405" t="s">
        <v>5300</v>
      </c>
      <c r="G854" s="1403" t="s">
        <v>14359</v>
      </c>
      <c r="H854" s="1406" t="s">
        <v>1013</v>
      </c>
    </row>
    <row r="855" spans="1:8" x14ac:dyDescent="0.2">
      <c r="A855" s="7"/>
      <c r="B855" s="1407" t="str">
        <f t="shared" si="13"/>
        <v>Andrew Pountney</v>
      </c>
      <c r="C855" s="1402" t="s">
        <v>16976</v>
      </c>
      <c r="D855" s="1403" t="s">
        <v>3105</v>
      </c>
      <c r="E855" s="1404" t="s">
        <v>16977</v>
      </c>
      <c r="F855" s="1405" t="s">
        <v>5300</v>
      </c>
      <c r="G855" s="1403" t="s">
        <v>14399</v>
      </c>
      <c r="H855" s="1406" t="s">
        <v>1013</v>
      </c>
    </row>
    <row r="856" spans="1:8" x14ac:dyDescent="0.2">
      <c r="A856" s="7"/>
      <c r="B856" s="1407" t="str">
        <f t="shared" si="13"/>
        <v>Anthony Henderson</v>
      </c>
      <c r="C856" s="1402" t="s">
        <v>16940</v>
      </c>
      <c r="D856" s="1403" t="s">
        <v>3305</v>
      </c>
      <c r="E856" s="1404" t="s">
        <v>16941</v>
      </c>
      <c r="F856" s="1405" t="s">
        <v>5299</v>
      </c>
      <c r="G856" s="1403" t="s">
        <v>14359</v>
      </c>
      <c r="H856" s="1406" t="s">
        <v>1013</v>
      </c>
    </row>
    <row r="857" spans="1:8" x14ac:dyDescent="0.2">
      <c r="A857" s="7"/>
      <c r="B857" s="1407" t="str">
        <f t="shared" si="13"/>
        <v>Reggie Cramer</v>
      </c>
      <c r="C857" s="1402" t="s">
        <v>16903</v>
      </c>
      <c r="D857" s="1403" t="s">
        <v>16904</v>
      </c>
      <c r="E857" s="1404" t="s">
        <v>16905</v>
      </c>
      <c r="F857" s="1405" t="s">
        <v>1563</v>
      </c>
      <c r="G857" s="1403" t="s">
        <v>14359</v>
      </c>
      <c r="H857" s="1406" t="s">
        <v>1013</v>
      </c>
    </row>
    <row r="858" spans="1:8" x14ac:dyDescent="0.2">
      <c r="A858" s="7"/>
      <c r="B858" s="1407" t="str">
        <f t="shared" si="13"/>
        <v>Michele Claydon</v>
      </c>
      <c r="C858" s="1402" t="s">
        <v>16901</v>
      </c>
      <c r="D858" s="1403" t="s">
        <v>3216</v>
      </c>
      <c r="E858" s="1404" t="s">
        <v>16902</v>
      </c>
      <c r="F858" s="1405" t="s">
        <v>5300</v>
      </c>
      <c r="G858" s="1403" t="s">
        <v>14864</v>
      </c>
      <c r="H858" s="1406" t="s">
        <v>1013</v>
      </c>
    </row>
    <row r="859" spans="1:8" x14ac:dyDescent="0.2">
      <c r="A859" s="7"/>
      <c r="B859" s="1407" t="str">
        <f t="shared" si="13"/>
        <v>Martin Weston</v>
      </c>
      <c r="C859" s="1402" t="s">
        <v>16997</v>
      </c>
      <c r="D859" s="1403" t="s">
        <v>3408</v>
      </c>
      <c r="E859" s="1404" t="s">
        <v>16998</v>
      </c>
      <c r="F859" s="1405" t="s">
        <v>5300</v>
      </c>
      <c r="G859" s="1403" t="s">
        <v>14359</v>
      </c>
      <c r="H859" s="1406" t="s">
        <v>1013</v>
      </c>
    </row>
    <row r="860" spans="1:8" x14ac:dyDescent="0.2">
      <c r="A860" s="7"/>
      <c r="B860" s="1407" t="str">
        <f t="shared" si="13"/>
        <v>Fraser Chapman</v>
      </c>
      <c r="C860" s="1402" t="s">
        <v>15351</v>
      </c>
      <c r="D860" s="1403" t="s">
        <v>3499</v>
      </c>
      <c r="E860" s="1404" t="s">
        <v>16898</v>
      </c>
      <c r="F860" s="1405" t="s">
        <v>13211</v>
      </c>
      <c r="G860" s="1403" t="s">
        <v>17082</v>
      </c>
      <c r="H860" s="1406" t="s">
        <v>1013</v>
      </c>
    </row>
    <row r="861" spans="1:8" x14ac:dyDescent="0.2">
      <c r="A861" s="7"/>
      <c r="B861" s="1407" t="str">
        <f t="shared" si="13"/>
        <v>Adrian Hawcroft</v>
      </c>
      <c r="C861" s="1402" t="s">
        <v>16938</v>
      </c>
      <c r="D861" s="1403" t="s">
        <v>3356</v>
      </c>
      <c r="E861" s="1404" t="s">
        <v>16939</v>
      </c>
      <c r="F861" s="1405" t="s">
        <v>5300</v>
      </c>
      <c r="G861" s="1403" t="s">
        <v>15274</v>
      </c>
      <c r="H861" s="1406" t="s">
        <v>1013</v>
      </c>
    </row>
    <row r="862" spans="1:8" x14ac:dyDescent="0.2">
      <c r="A862" s="7"/>
      <c r="B862" s="1407" t="str">
        <f t="shared" si="13"/>
        <v>Grahame Farmer</v>
      </c>
      <c r="C862" s="1402" t="s">
        <v>16921</v>
      </c>
      <c r="D862" s="1403" t="s">
        <v>16922</v>
      </c>
      <c r="E862" s="1404" t="s">
        <v>16923</v>
      </c>
      <c r="F862" s="1405" t="s">
        <v>5299</v>
      </c>
      <c r="G862" s="1403" t="s">
        <v>14359</v>
      </c>
      <c r="H862" s="1406" t="s">
        <v>1013</v>
      </c>
    </row>
    <row r="863" spans="1:8" x14ac:dyDescent="0.2">
      <c r="A863" s="7"/>
      <c r="B863" s="1407" t="str">
        <f t="shared" si="13"/>
        <v>Al Gilmour</v>
      </c>
      <c r="C863" s="1402" t="s">
        <v>16929</v>
      </c>
      <c r="D863" s="1403" t="s">
        <v>16930</v>
      </c>
      <c r="E863" s="1404" t="s">
        <v>16931</v>
      </c>
      <c r="F863" s="1405" t="s">
        <v>5300</v>
      </c>
      <c r="G863" s="1403" t="s">
        <v>14359</v>
      </c>
      <c r="H863" s="1406" t="s">
        <v>1013</v>
      </c>
    </row>
    <row r="864" spans="1:8" x14ac:dyDescent="0.2">
      <c r="A864" s="7"/>
      <c r="B864" s="1407" t="str">
        <f t="shared" si="13"/>
        <v>Tom Claxton</v>
      </c>
      <c r="C864" s="1402" t="s">
        <v>16899</v>
      </c>
      <c r="D864" s="1403" t="s">
        <v>3235</v>
      </c>
      <c r="E864" s="1404" t="s">
        <v>16900</v>
      </c>
      <c r="F864" s="1405" t="s">
        <v>5300</v>
      </c>
      <c r="G864" s="1403" t="s">
        <v>15945</v>
      </c>
      <c r="H864" s="1406" t="s">
        <v>1013</v>
      </c>
    </row>
    <row r="865" spans="1:8" x14ac:dyDescent="0.2">
      <c r="A865" s="7"/>
      <c r="B865" s="1407" t="str">
        <f t="shared" si="13"/>
        <v>Simon Hawley</v>
      </c>
      <c r="C865" s="1402" t="s">
        <v>17083</v>
      </c>
      <c r="D865" s="1403" t="s">
        <v>3626</v>
      </c>
      <c r="E865" s="1404" t="s">
        <v>17084</v>
      </c>
      <c r="F865" s="1405" t="s">
        <v>5300</v>
      </c>
      <c r="G865" s="1403" t="s">
        <v>14359</v>
      </c>
      <c r="H865" s="1406" t="s">
        <v>1013</v>
      </c>
    </row>
    <row r="866" spans="1:8" x14ac:dyDescent="0.2">
      <c r="A866" s="7"/>
      <c r="B866" s="1407" t="str">
        <f t="shared" si="13"/>
        <v>Daniel Vensyk</v>
      </c>
      <c r="C866" s="1402" t="s">
        <v>17085</v>
      </c>
      <c r="D866" s="1403" t="s">
        <v>3243</v>
      </c>
      <c r="E866" s="1404" t="s">
        <v>17086</v>
      </c>
      <c r="F866" s="1405" t="s">
        <v>13210</v>
      </c>
      <c r="G866" s="1403" t="s">
        <v>14359</v>
      </c>
      <c r="H866" s="1406" t="s">
        <v>1013</v>
      </c>
    </row>
    <row r="867" spans="1:8" x14ac:dyDescent="0.2">
      <c r="A867" s="7"/>
      <c r="B867" s="1407" t="str">
        <f t="shared" si="13"/>
        <v>Paul Drake</v>
      </c>
      <c r="C867" s="1402" t="s">
        <v>14844</v>
      </c>
      <c r="D867" s="1403" t="s">
        <v>3259</v>
      </c>
      <c r="E867" s="1404" t="s">
        <v>17536</v>
      </c>
      <c r="F867" s="1405" t="s">
        <v>5300</v>
      </c>
      <c r="G867" s="1403" t="s">
        <v>14359</v>
      </c>
      <c r="H867" s="1406" t="s">
        <v>1013</v>
      </c>
    </row>
    <row r="868" spans="1:8" x14ac:dyDescent="0.2">
      <c r="A868" s="7"/>
      <c r="B868" s="1407" t="str">
        <f t="shared" si="13"/>
        <v>Matthew Blackwell</v>
      </c>
      <c r="C868" s="1402" t="s">
        <v>17537</v>
      </c>
      <c r="D868" s="1403" t="s">
        <v>3240</v>
      </c>
      <c r="E868" s="1404" t="s">
        <v>17538</v>
      </c>
      <c r="F868" s="1405" t="s">
        <v>5299</v>
      </c>
      <c r="G868" s="1403" t="s">
        <v>14359</v>
      </c>
      <c r="H868" s="1406" t="s">
        <v>1013</v>
      </c>
    </row>
    <row r="869" spans="1:8" x14ac:dyDescent="0.2">
      <c r="A869" s="7"/>
      <c r="B869" s="1407" t="str">
        <f t="shared" si="13"/>
        <v>Patrick Meredith</v>
      </c>
      <c r="C869" s="1402" t="s">
        <v>17539</v>
      </c>
      <c r="D869" s="1403" t="s">
        <v>3271</v>
      </c>
      <c r="E869" s="1404" t="s">
        <v>17540</v>
      </c>
      <c r="F869" s="1405" t="s">
        <v>5300</v>
      </c>
      <c r="G869" s="1403" t="s">
        <v>14359</v>
      </c>
      <c r="H869" s="1406" t="s">
        <v>1013</v>
      </c>
    </row>
    <row r="870" spans="1:8" x14ac:dyDescent="0.2">
      <c r="A870" s="7"/>
      <c r="B870" s="1407" t="str">
        <f t="shared" si="13"/>
        <v>Joe Nixon</v>
      </c>
      <c r="C870" s="1402" t="s">
        <v>17541</v>
      </c>
      <c r="D870" s="1403" t="s">
        <v>5662</v>
      </c>
      <c r="E870" s="1404" t="s">
        <v>17542</v>
      </c>
      <c r="F870" s="1405" t="s">
        <v>5299</v>
      </c>
      <c r="G870" s="1403" t="s">
        <v>15274</v>
      </c>
      <c r="H870" s="1406" t="s">
        <v>1013</v>
      </c>
    </row>
    <row r="871" spans="1:8" x14ac:dyDescent="0.2">
      <c r="A871" s="7"/>
      <c r="B871" s="1407" t="str">
        <f t="shared" si="13"/>
        <v>Wyn Edwards</v>
      </c>
      <c r="C871" s="1402" t="s">
        <v>15503</v>
      </c>
      <c r="D871" s="1403" t="s">
        <v>17750</v>
      </c>
      <c r="E871" s="1404" t="s">
        <v>17751</v>
      </c>
      <c r="F871" s="1405" t="s">
        <v>5300</v>
      </c>
      <c r="G871" s="1403" t="s">
        <v>14359</v>
      </c>
      <c r="H871" s="1406" t="s">
        <v>1013</v>
      </c>
    </row>
    <row r="872" spans="1:8" x14ac:dyDescent="0.2">
      <c r="A872" s="7"/>
      <c r="B872" s="1407" t="str">
        <f t="shared" si="13"/>
        <v>Michael Mayes</v>
      </c>
      <c r="C872" s="1402" t="s">
        <v>17752</v>
      </c>
      <c r="D872" s="1403" t="s">
        <v>3416</v>
      </c>
      <c r="E872" s="1404" t="s">
        <v>17753</v>
      </c>
      <c r="F872" s="1405" t="s">
        <v>5299</v>
      </c>
      <c r="G872" s="1403" t="s">
        <v>17082</v>
      </c>
      <c r="H872" s="1406" t="s">
        <v>1013</v>
      </c>
    </row>
    <row r="873" spans="1:8" x14ac:dyDescent="0.2">
      <c r="A873" s="7"/>
      <c r="B873" s="1407" t="str">
        <f t="shared" si="13"/>
        <v>Lyndon Davies</v>
      </c>
      <c r="C873" s="1402" t="s">
        <v>17754</v>
      </c>
      <c r="D873" s="1403" t="s">
        <v>17755</v>
      </c>
      <c r="E873" s="1404" t="s">
        <v>17756</v>
      </c>
      <c r="F873" s="1405" t="s">
        <v>5300</v>
      </c>
      <c r="G873" s="1403" t="s">
        <v>17082</v>
      </c>
      <c r="H873" s="1406" t="s">
        <v>1013</v>
      </c>
    </row>
    <row r="874" spans="1:8" x14ac:dyDescent="0.2">
      <c r="A874" s="7"/>
      <c r="B874" s="1407" t="str">
        <f t="shared" si="13"/>
        <v>Jan Blazak</v>
      </c>
      <c r="C874" s="1402" t="s">
        <v>17757</v>
      </c>
      <c r="D874" s="1403" t="s">
        <v>15707</v>
      </c>
      <c r="E874" s="1404" t="s">
        <v>17758</v>
      </c>
      <c r="F874" s="1405" t="s">
        <v>5300</v>
      </c>
      <c r="G874" s="1403" t="s">
        <v>16396</v>
      </c>
      <c r="H874" s="1406" t="s">
        <v>1013</v>
      </c>
    </row>
    <row r="875" spans="1:8" x14ac:dyDescent="0.2">
      <c r="A875" s="7"/>
      <c r="B875" s="1407" t="str">
        <f t="shared" si="13"/>
        <v>Damian Mayes</v>
      </c>
      <c r="C875" s="1402" t="s">
        <v>17752</v>
      </c>
      <c r="D875" s="1403" t="s">
        <v>17759</v>
      </c>
      <c r="E875" s="1404" t="s">
        <v>17760</v>
      </c>
      <c r="F875" s="1405" t="s">
        <v>5299</v>
      </c>
      <c r="G875" s="1403" t="s">
        <v>17082</v>
      </c>
      <c r="H875" s="1406" t="s">
        <v>1013</v>
      </c>
    </row>
    <row r="876" spans="1:8" x14ac:dyDescent="0.2">
      <c r="A876" s="7"/>
      <c r="B876" s="1407" t="str">
        <f t="shared" si="13"/>
        <v>Calum Potter</v>
      </c>
      <c r="C876" s="1402" t="s">
        <v>17761</v>
      </c>
      <c r="D876" s="1403" t="s">
        <v>17762</v>
      </c>
      <c r="E876" s="1404" t="s">
        <v>17763</v>
      </c>
      <c r="F876" s="1405" t="s">
        <v>5299</v>
      </c>
      <c r="G876" s="1403" t="s">
        <v>14359</v>
      </c>
      <c r="H876" s="1406" t="s">
        <v>1013</v>
      </c>
    </row>
    <row r="877" spans="1:8" x14ac:dyDescent="0.2">
      <c r="A877" s="7"/>
      <c r="B877" s="1407" t="str">
        <f t="shared" si="13"/>
        <v>Adam Wells</v>
      </c>
      <c r="C877" s="1402" t="s">
        <v>17764</v>
      </c>
      <c r="D877" s="1403" t="s">
        <v>3502</v>
      </c>
      <c r="E877" s="1404" t="s">
        <v>17765</v>
      </c>
      <c r="F877" s="1405" t="s">
        <v>5300</v>
      </c>
      <c r="G877" s="1403" t="s">
        <v>14359</v>
      </c>
      <c r="H877" s="1406" t="s">
        <v>1013</v>
      </c>
    </row>
    <row r="878" spans="1:8" x14ac:dyDescent="0.2">
      <c r="A878" s="7"/>
      <c r="B878" s="1407" t="str">
        <f t="shared" si="13"/>
        <v>Alan Twiddy</v>
      </c>
      <c r="C878" s="1402" t="s">
        <v>17766</v>
      </c>
      <c r="D878" s="1403" t="s">
        <v>3254</v>
      </c>
      <c r="E878" s="1404" t="s">
        <v>17767</v>
      </c>
      <c r="F878" s="1405" t="s">
        <v>5300</v>
      </c>
      <c r="G878" s="1403" t="s">
        <v>13539</v>
      </c>
      <c r="H878" s="1406" t="s">
        <v>1013</v>
      </c>
    </row>
    <row r="879" spans="1:8" x14ac:dyDescent="0.2">
      <c r="A879" s="7"/>
      <c r="B879" s="1407" t="str">
        <f t="shared" si="13"/>
        <v>Dave Fletcher</v>
      </c>
      <c r="C879" s="1402" t="s">
        <v>13760</v>
      </c>
      <c r="D879" s="1403" t="s">
        <v>3046</v>
      </c>
      <c r="E879" s="1404" t="s">
        <v>17768</v>
      </c>
      <c r="F879" s="1405" t="s">
        <v>5300</v>
      </c>
      <c r="G879" s="1403" t="s">
        <v>13539</v>
      </c>
      <c r="H879" s="1406" t="s">
        <v>1013</v>
      </c>
    </row>
    <row r="880" spans="1:8" x14ac:dyDescent="0.2">
      <c r="A880" s="7"/>
      <c r="B880" s="1407" t="str">
        <f t="shared" si="13"/>
        <v>Tom Fitzpatrick</v>
      </c>
      <c r="C880" s="1402" t="s">
        <v>14071</v>
      </c>
      <c r="D880" s="1403" t="s">
        <v>3235</v>
      </c>
      <c r="E880" s="1404" t="s">
        <v>17769</v>
      </c>
      <c r="F880" s="1405" t="s">
        <v>5300</v>
      </c>
      <c r="G880" s="1403" t="s">
        <v>14359</v>
      </c>
      <c r="H880" s="1406" t="s">
        <v>1013</v>
      </c>
    </row>
    <row r="881" spans="1:8" x14ac:dyDescent="0.2">
      <c r="A881" s="7"/>
      <c r="B881" s="1407" t="str">
        <f t="shared" si="13"/>
        <v>Dave Everett</v>
      </c>
      <c r="C881" s="1402" t="s">
        <v>17770</v>
      </c>
      <c r="D881" s="1403" t="s">
        <v>3046</v>
      </c>
      <c r="E881" s="1404" t="s">
        <v>17771</v>
      </c>
      <c r="F881" s="1405" t="s">
        <v>5300</v>
      </c>
      <c r="G881" s="1403" t="s">
        <v>14359</v>
      </c>
      <c r="H881" s="1406" t="s">
        <v>1013</v>
      </c>
    </row>
    <row r="882" spans="1:8" x14ac:dyDescent="0.2">
      <c r="A882" s="7"/>
      <c r="B882" s="1407" t="str">
        <f t="shared" si="13"/>
        <v>Ben Harrison</v>
      </c>
      <c r="C882" s="1402" t="s">
        <v>17772</v>
      </c>
      <c r="D882" s="1403" t="s">
        <v>3264</v>
      </c>
      <c r="E882" s="1404" t="s">
        <v>17773</v>
      </c>
      <c r="F882" s="1405" t="s">
        <v>1563</v>
      </c>
      <c r="G882" s="1403" t="s">
        <v>14359</v>
      </c>
      <c r="H882" s="1406" t="s">
        <v>1013</v>
      </c>
    </row>
    <row r="883" spans="1:8" x14ac:dyDescent="0.2">
      <c r="A883" s="7"/>
      <c r="B883" s="1407" t="str">
        <f t="shared" si="13"/>
        <v>Les Emery</v>
      </c>
      <c r="C883" s="1402" t="s">
        <v>17774</v>
      </c>
      <c r="D883" s="1403" t="s">
        <v>17775</v>
      </c>
      <c r="E883" s="1404" t="s">
        <v>17776</v>
      </c>
      <c r="F883" s="1405" t="s">
        <v>5300</v>
      </c>
      <c r="G883" s="1403" t="s">
        <v>14359</v>
      </c>
      <c r="H883" s="1406" t="s">
        <v>1013</v>
      </c>
    </row>
    <row r="884" spans="1:8" x14ac:dyDescent="0.2">
      <c r="A884" s="7"/>
      <c r="B884" s="1407" t="str">
        <f t="shared" si="13"/>
        <v>Joe Parody</v>
      </c>
      <c r="C884" s="1402" t="s">
        <v>17777</v>
      </c>
      <c r="D884" s="1403" t="s">
        <v>5662</v>
      </c>
      <c r="E884" s="1404" t="s">
        <v>17778</v>
      </c>
      <c r="F884" s="1405" t="s">
        <v>5300</v>
      </c>
      <c r="G884" s="1403" t="s">
        <v>17082</v>
      </c>
      <c r="H884" s="1406" t="s">
        <v>1013</v>
      </c>
    </row>
    <row r="885" spans="1:8" x14ac:dyDescent="0.2">
      <c r="A885" s="7"/>
      <c r="B885" s="1407" t="str">
        <f t="shared" si="13"/>
        <v>Ben Reid</v>
      </c>
      <c r="C885" s="1402" t="s">
        <v>17779</v>
      </c>
      <c r="D885" s="1403" t="s">
        <v>3264</v>
      </c>
      <c r="E885" s="1404" t="s">
        <v>17780</v>
      </c>
      <c r="F885" s="1405" t="s">
        <v>5299</v>
      </c>
      <c r="G885" s="1403" t="s">
        <v>14359</v>
      </c>
      <c r="H885" s="1406" t="s">
        <v>1013</v>
      </c>
    </row>
    <row r="886" spans="1:8" x14ac:dyDescent="0.2">
      <c r="A886" s="7"/>
      <c r="B886" s="1407" t="str">
        <f t="shared" si="13"/>
        <v>Alex Salter</v>
      </c>
      <c r="C886" s="1402" t="s">
        <v>17781</v>
      </c>
      <c r="D886" s="1403" t="s">
        <v>3130</v>
      </c>
      <c r="E886" s="1404" t="s">
        <v>17782</v>
      </c>
      <c r="F886" s="1405" t="s">
        <v>5299</v>
      </c>
      <c r="G886" s="1403" t="s">
        <v>17082</v>
      </c>
      <c r="H886" s="1406" t="s">
        <v>1013</v>
      </c>
    </row>
    <row r="887" spans="1:8" x14ac:dyDescent="0.2">
      <c r="A887" s="7"/>
      <c r="B887" s="1407" t="str">
        <f t="shared" si="13"/>
        <v>Adam Jackson</v>
      </c>
      <c r="C887" s="1402" t="s">
        <v>14432</v>
      </c>
      <c r="D887" s="1403" t="s">
        <v>3502</v>
      </c>
      <c r="E887" s="1404" t="s">
        <v>14433</v>
      </c>
      <c r="F887" s="1405" t="s">
        <v>5299</v>
      </c>
      <c r="G887" s="1403" t="s">
        <v>14864</v>
      </c>
      <c r="H887" s="1406" t="s">
        <v>1013</v>
      </c>
    </row>
    <row r="888" spans="1:8" x14ac:dyDescent="0.2">
      <c r="A888" s="7"/>
      <c r="B888" s="1407" t="str">
        <f t="shared" si="13"/>
        <v>Cayne Matthews</v>
      </c>
      <c r="C888" s="1402" t="s">
        <v>8014</v>
      </c>
      <c r="D888" s="1403" t="s">
        <v>8231</v>
      </c>
      <c r="E888" s="1404" t="s">
        <v>14434</v>
      </c>
      <c r="F888" s="1405" t="s">
        <v>5300</v>
      </c>
      <c r="G888" s="1403" t="s">
        <v>15274</v>
      </c>
      <c r="H888" s="1406" t="s">
        <v>1013</v>
      </c>
    </row>
    <row r="889" spans="1:8" x14ac:dyDescent="0.2">
      <c r="A889" s="7"/>
      <c r="B889" s="1407" t="str">
        <f t="shared" si="13"/>
        <v>Ruby Matthews</v>
      </c>
      <c r="C889" s="1402" t="s">
        <v>8014</v>
      </c>
      <c r="D889" s="1403" t="s">
        <v>8232</v>
      </c>
      <c r="E889" s="1404" t="s">
        <v>14435</v>
      </c>
      <c r="F889" s="1405" t="s">
        <v>13211</v>
      </c>
      <c r="G889" s="1403" t="s">
        <v>13519</v>
      </c>
      <c r="H889" s="1406" t="s">
        <v>1013</v>
      </c>
    </row>
    <row r="890" spans="1:8" x14ac:dyDescent="0.2">
      <c r="A890" s="7"/>
      <c r="B890" s="1407" t="str">
        <f t="shared" si="13"/>
        <v>Luca Lanzani</v>
      </c>
      <c r="C890" s="1402" t="s">
        <v>14436</v>
      </c>
      <c r="D890" s="1403" t="s">
        <v>3198</v>
      </c>
      <c r="E890" s="1404" t="s">
        <v>14437</v>
      </c>
      <c r="F890" s="1405" t="s">
        <v>5300</v>
      </c>
      <c r="G890" s="1403" t="s">
        <v>13562</v>
      </c>
      <c r="H890" s="1406" t="s">
        <v>1013</v>
      </c>
    </row>
    <row r="891" spans="1:8" x14ac:dyDescent="0.2">
      <c r="A891" s="7"/>
      <c r="B891" s="1407" t="str">
        <f t="shared" si="13"/>
        <v>Tim Hill</v>
      </c>
      <c r="C891" s="1402" t="s">
        <v>14438</v>
      </c>
      <c r="D891" s="1403" t="s">
        <v>3689</v>
      </c>
      <c r="E891" s="1404" t="s">
        <v>14439</v>
      </c>
      <c r="F891" s="1405" t="s">
        <v>5300</v>
      </c>
      <c r="G891" s="1403" t="s">
        <v>14382</v>
      </c>
      <c r="H891" s="1406" t="s">
        <v>1013</v>
      </c>
    </row>
    <row r="892" spans="1:8" x14ac:dyDescent="0.2">
      <c r="A892" s="7"/>
      <c r="B892" s="1407" t="str">
        <f t="shared" si="13"/>
        <v>Paul Taylor</v>
      </c>
      <c r="C892" s="1402" t="s">
        <v>5937</v>
      </c>
      <c r="D892" s="1403" t="s">
        <v>3259</v>
      </c>
      <c r="E892" s="1404" t="s">
        <v>14440</v>
      </c>
      <c r="F892" s="1405" t="s">
        <v>5300</v>
      </c>
      <c r="G892" s="1403" t="s">
        <v>14359</v>
      </c>
      <c r="H892" s="1406" t="s">
        <v>1013</v>
      </c>
    </row>
    <row r="893" spans="1:8" x14ac:dyDescent="0.2">
      <c r="A893" s="7"/>
      <c r="B893" s="1407" t="str">
        <f t="shared" si="13"/>
        <v>Tony Banks</v>
      </c>
      <c r="C893" s="1402" t="s">
        <v>14444</v>
      </c>
      <c r="D893" s="1403" t="s">
        <v>3134</v>
      </c>
      <c r="E893" s="1404" t="s">
        <v>14445</v>
      </c>
      <c r="F893" s="1405" t="s">
        <v>5300</v>
      </c>
      <c r="G893" s="1403" t="s">
        <v>13618</v>
      </c>
      <c r="H893" s="1406" t="s">
        <v>1013</v>
      </c>
    </row>
    <row r="894" spans="1:8" x14ac:dyDescent="0.2">
      <c r="A894" s="7"/>
      <c r="B894" s="1407" t="str">
        <f t="shared" si="13"/>
        <v>Andrew Meggitt</v>
      </c>
      <c r="C894" s="1402" t="s">
        <v>14446</v>
      </c>
      <c r="D894" s="1403" t="s">
        <v>3105</v>
      </c>
      <c r="E894" s="1404" t="s">
        <v>14447</v>
      </c>
      <c r="F894" s="1405" t="s">
        <v>5300</v>
      </c>
      <c r="G894" s="1403" t="s">
        <v>14359</v>
      </c>
      <c r="H894" s="1406" t="s">
        <v>1013</v>
      </c>
    </row>
    <row r="895" spans="1:8" x14ac:dyDescent="0.2">
      <c r="A895" s="7"/>
      <c r="B895" s="1407" t="str">
        <f t="shared" si="13"/>
        <v>Arturo Martínez</v>
      </c>
      <c r="C895" s="1402" t="s">
        <v>5953</v>
      </c>
      <c r="D895" s="1403" t="s">
        <v>3253</v>
      </c>
      <c r="E895" s="1404" t="s">
        <v>4367</v>
      </c>
      <c r="F895" s="1405" t="s">
        <v>5300</v>
      </c>
      <c r="G895" s="1403" t="s">
        <v>14448</v>
      </c>
      <c r="H895" s="1406" t="s">
        <v>1015</v>
      </c>
    </row>
    <row r="896" spans="1:8" x14ac:dyDescent="0.2">
      <c r="A896" s="7"/>
      <c r="B896" s="1407" t="str">
        <f t="shared" si="13"/>
        <v>José Luis Márquez</v>
      </c>
      <c r="C896" s="1402" t="s">
        <v>5954</v>
      </c>
      <c r="D896" s="1403" t="s">
        <v>3268</v>
      </c>
      <c r="E896" s="1404" t="s">
        <v>4368</v>
      </c>
      <c r="F896" s="1405" t="s">
        <v>5300</v>
      </c>
      <c r="G896" s="1403" t="s">
        <v>2783</v>
      </c>
      <c r="H896" s="1406" t="s">
        <v>1015</v>
      </c>
    </row>
    <row r="897" spans="1:8" x14ac:dyDescent="0.2">
      <c r="A897" s="7"/>
      <c r="B897" s="1407" t="str">
        <f t="shared" si="13"/>
        <v>Alfred Laporta</v>
      </c>
      <c r="C897" s="1402" t="s">
        <v>15783</v>
      </c>
      <c r="D897" s="1403" t="s">
        <v>3511</v>
      </c>
      <c r="E897" s="1404" t="s">
        <v>15784</v>
      </c>
      <c r="F897" s="1405" t="s">
        <v>5300</v>
      </c>
      <c r="G897" s="1403" t="s">
        <v>14359</v>
      </c>
      <c r="H897" s="1406" t="s">
        <v>1015</v>
      </c>
    </row>
    <row r="898" spans="1:8" x14ac:dyDescent="0.2">
      <c r="A898" s="7"/>
      <c r="B898" s="1407" t="str">
        <f t="shared" si="13"/>
        <v>Vicenç Prats</v>
      </c>
      <c r="C898" s="1402" t="s">
        <v>7353</v>
      </c>
      <c r="D898" s="1403" t="s">
        <v>3057</v>
      </c>
      <c r="E898" s="1404" t="s">
        <v>4369</v>
      </c>
      <c r="F898" s="1405" t="s">
        <v>5300</v>
      </c>
      <c r="G898" s="1403" t="s">
        <v>2755</v>
      </c>
      <c r="H898" s="1406" t="s">
        <v>1015</v>
      </c>
    </row>
    <row r="899" spans="1:8" x14ac:dyDescent="0.2">
      <c r="A899" s="7"/>
      <c r="B899" s="1407" t="str">
        <f t="shared" si="13"/>
        <v>Raúl Benita</v>
      </c>
      <c r="C899" s="1402" t="s">
        <v>5955</v>
      </c>
      <c r="D899" s="1403" t="s">
        <v>3497</v>
      </c>
      <c r="E899" s="1404" t="s">
        <v>4370</v>
      </c>
      <c r="F899" s="1405" t="s">
        <v>5300</v>
      </c>
      <c r="G899" s="1403" t="s">
        <v>7869</v>
      </c>
      <c r="H899" s="1406" t="s">
        <v>1015</v>
      </c>
    </row>
    <row r="900" spans="1:8" x14ac:dyDescent="0.2">
      <c r="A900" s="7"/>
      <c r="B900" s="1407" t="str">
        <f t="shared" si="13"/>
        <v>David Gallart</v>
      </c>
      <c r="C900" s="1402" t="s">
        <v>11197</v>
      </c>
      <c r="D900" s="1403" t="s">
        <v>3072</v>
      </c>
      <c r="E900" s="1404" t="s">
        <v>11261</v>
      </c>
      <c r="F900" s="1405" t="s">
        <v>5300</v>
      </c>
      <c r="G900" s="1403" t="s">
        <v>14454</v>
      </c>
      <c r="H900" s="1406" t="s">
        <v>1015</v>
      </c>
    </row>
    <row r="901" spans="1:8" x14ac:dyDescent="0.2">
      <c r="A901" s="7"/>
      <c r="B901" s="1407" t="str">
        <f t="shared" si="13"/>
        <v>Fernando Gómez</v>
      </c>
      <c r="C901" s="1402" t="s">
        <v>7364</v>
      </c>
      <c r="D901" s="1403" t="s">
        <v>3292</v>
      </c>
      <c r="E901" s="1404" t="s">
        <v>8357</v>
      </c>
      <c r="F901" s="1405" t="s">
        <v>5300</v>
      </c>
      <c r="G901" s="1403" t="s">
        <v>7869</v>
      </c>
      <c r="H901" s="1406" t="s">
        <v>1015</v>
      </c>
    </row>
    <row r="902" spans="1:8" x14ac:dyDescent="0.2">
      <c r="A902" s="7"/>
      <c r="B902" s="1407" t="str">
        <f t="shared" si="13"/>
        <v>Juan Carlos Granados</v>
      </c>
      <c r="C902" s="1402" t="s">
        <v>7354</v>
      </c>
      <c r="D902" s="1403" t="s">
        <v>3091</v>
      </c>
      <c r="E902" s="1404" t="s">
        <v>4371</v>
      </c>
      <c r="F902" s="1405" t="s">
        <v>5300</v>
      </c>
      <c r="G902" s="1403" t="s">
        <v>7183</v>
      </c>
      <c r="H902" s="1406" t="s">
        <v>1015</v>
      </c>
    </row>
    <row r="903" spans="1:8" x14ac:dyDescent="0.2">
      <c r="A903" s="7"/>
      <c r="B903" s="1407" t="str">
        <f t="shared" ref="B903:B966" si="14">TRIM(CONCATENATE(D903," ",C903))</f>
        <v>Miguel Ángel Heredia</v>
      </c>
      <c r="C903" s="1402" t="s">
        <v>5956</v>
      </c>
      <c r="D903" s="1403" t="s">
        <v>3247</v>
      </c>
      <c r="E903" s="1404" t="s">
        <v>4372</v>
      </c>
      <c r="F903" s="1405" t="s">
        <v>5300</v>
      </c>
      <c r="G903" s="1403" t="s">
        <v>7183</v>
      </c>
      <c r="H903" s="1406" t="s">
        <v>1015</v>
      </c>
    </row>
    <row r="904" spans="1:8" x14ac:dyDescent="0.2">
      <c r="A904" s="7"/>
      <c r="B904" s="1407" t="str">
        <f t="shared" si="14"/>
        <v>José León Moreno</v>
      </c>
      <c r="C904" s="1402" t="s">
        <v>14449</v>
      </c>
      <c r="D904" s="1403" t="s">
        <v>3232</v>
      </c>
      <c r="E904" s="1404" t="s">
        <v>14450</v>
      </c>
      <c r="F904" s="1405" t="s">
        <v>5300</v>
      </c>
      <c r="G904" s="1403" t="s">
        <v>7869</v>
      </c>
      <c r="H904" s="1406" t="s">
        <v>1015</v>
      </c>
    </row>
    <row r="905" spans="1:8" x14ac:dyDescent="0.2">
      <c r="A905" s="7"/>
      <c r="B905" s="1407" t="str">
        <f t="shared" si="14"/>
        <v>Francisco Cayuela</v>
      </c>
      <c r="C905" s="1402" t="s">
        <v>5957</v>
      </c>
      <c r="D905" s="1403" t="s">
        <v>3366</v>
      </c>
      <c r="E905" s="1404" t="s">
        <v>7064</v>
      </c>
      <c r="F905" s="1405" t="s">
        <v>5299</v>
      </c>
      <c r="G905" s="1403" t="s">
        <v>7183</v>
      </c>
      <c r="H905" s="1406" t="s">
        <v>1015</v>
      </c>
    </row>
    <row r="906" spans="1:8" x14ac:dyDescent="0.2">
      <c r="A906" s="7"/>
      <c r="B906" s="1407" t="str">
        <f t="shared" si="14"/>
        <v>Alberto Mateos</v>
      </c>
      <c r="C906" s="1402" t="s">
        <v>7355</v>
      </c>
      <c r="D906" s="1403" t="s">
        <v>3042</v>
      </c>
      <c r="E906" s="1404" t="s">
        <v>4373</v>
      </c>
      <c r="F906" s="1405" t="s">
        <v>5299</v>
      </c>
      <c r="G906" s="1403" t="s">
        <v>10262</v>
      </c>
      <c r="H906" s="1406" t="s">
        <v>1015</v>
      </c>
    </row>
    <row r="907" spans="1:8" x14ac:dyDescent="0.2">
      <c r="A907" s="7"/>
      <c r="B907" s="1407" t="str">
        <f t="shared" si="14"/>
        <v>Luis Mateos</v>
      </c>
      <c r="C907" s="1402" t="s">
        <v>7355</v>
      </c>
      <c r="D907" s="1403" t="s">
        <v>3683</v>
      </c>
      <c r="E907" s="1404" t="s">
        <v>7812</v>
      </c>
      <c r="F907" s="1405" t="s">
        <v>5299</v>
      </c>
      <c r="G907" s="1403" t="s">
        <v>2774</v>
      </c>
      <c r="H907" s="1406" t="s">
        <v>1015</v>
      </c>
    </row>
    <row r="908" spans="1:8" x14ac:dyDescent="0.2">
      <c r="A908" s="7"/>
      <c r="B908" s="1407" t="str">
        <f t="shared" si="14"/>
        <v>Álex Araujo</v>
      </c>
      <c r="C908" s="1402" t="s">
        <v>9927</v>
      </c>
      <c r="D908" s="1403" t="s">
        <v>10057</v>
      </c>
      <c r="E908" s="1404" t="s">
        <v>10094</v>
      </c>
      <c r="F908" s="1405" t="s">
        <v>5299</v>
      </c>
      <c r="G908" s="1403" t="s">
        <v>14451</v>
      </c>
      <c r="H908" s="1406" t="s">
        <v>1015</v>
      </c>
    </row>
    <row r="909" spans="1:8" x14ac:dyDescent="0.2">
      <c r="A909" s="7"/>
      <c r="B909" s="1407" t="str">
        <f t="shared" si="14"/>
        <v>Carlos Flores</v>
      </c>
      <c r="C909" s="1402" t="s">
        <v>5958</v>
      </c>
      <c r="D909" s="1403" t="s">
        <v>3008</v>
      </c>
      <c r="E909" s="1404" t="s">
        <v>4374</v>
      </c>
      <c r="F909" s="1405" t="s">
        <v>5299</v>
      </c>
      <c r="G909" s="1403" t="s">
        <v>7870</v>
      </c>
      <c r="H909" s="1406" t="s">
        <v>1015</v>
      </c>
    </row>
    <row r="910" spans="1:8" x14ac:dyDescent="0.2">
      <c r="A910" s="7"/>
      <c r="B910" s="1407" t="str">
        <f t="shared" si="14"/>
        <v>José Casas</v>
      </c>
      <c r="C910" s="1402" t="s">
        <v>13226</v>
      </c>
      <c r="D910" s="1403" t="s">
        <v>3232</v>
      </c>
      <c r="E910" s="1404" t="s">
        <v>13227</v>
      </c>
      <c r="F910" s="1405" t="s">
        <v>5300</v>
      </c>
      <c r="G910" s="1403" t="s">
        <v>7869</v>
      </c>
      <c r="H910" s="1406" t="s">
        <v>1015</v>
      </c>
    </row>
    <row r="911" spans="1:8" x14ac:dyDescent="0.2">
      <c r="A911" s="7"/>
      <c r="B911" s="1407" t="str">
        <f t="shared" si="14"/>
        <v>Javier París</v>
      </c>
      <c r="C911" s="1402" t="s">
        <v>14452</v>
      </c>
      <c r="D911" s="1403" t="s">
        <v>3574</v>
      </c>
      <c r="E911" s="1404" t="s">
        <v>10095</v>
      </c>
      <c r="F911" s="1405" t="s">
        <v>5300</v>
      </c>
      <c r="G911" s="1403" t="s">
        <v>7869</v>
      </c>
      <c r="H911" s="1406" t="s">
        <v>1015</v>
      </c>
    </row>
    <row r="912" spans="1:8" x14ac:dyDescent="0.2">
      <c r="A912" s="7"/>
      <c r="B912" s="1407" t="str">
        <f t="shared" si="14"/>
        <v>Ángel Valverde</v>
      </c>
      <c r="C912" s="1402" t="s">
        <v>5959</v>
      </c>
      <c r="D912" s="1403" t="s">
        <v>3054</v>
      </c>
      <c r="E912" s="1404" t="s">
        <v>4375</v>
      </c>
      <c r="F912" s="1405" t="s">
        <v>5299</v>
      </c>
      <c r="G912" s="1403" t="s">
        <v>7183</v>
      </c>
      <c r="H912" s="1406" t="s">
        <v>1015</v>
      </c>
    </row>
    <row r="913" spans="1:8" x14ac:dyDescent="0.2">
      <c r="A913" s="7"/>
      <c r="B913" s="1407" t="str">
        <f t="shared" si="14"/>
        <v>Miguel Ángel López</v>
      </c>
      <c r="C913" s="1402" t="s">
        <v>7360</v>
      </c>
      <c r="D913" s="1403" t="s">
        <v>3247</v>
      </c>
      <c r="E913" s="1404" t="s">
        <v>10096</v>
      </c>
      <c r="F913" s="1405" t="s">
        <v>5299</v>
      </c>
      <c r="G913" s="1403" t="s">
        <v>2774</v>
      </c>
      <c r="H913" s="1406" t="s">
        <v>1015</v>
      </c>
    </row>
    <row r="914" spans="1:8" x14ac:dyDescent="0.2">
      <c r="A914" s="7"/>
      <c r="B914" s="1407" t="str">
        <f t="shared" si="14"/>
        <v>Manuel Clemares</v>
      </c>
      <c r="C914" s="1402" t="s">
        <v>9928</v>
      </c>
      <c r="D914" s="1403" t="s">
        <v>3171</v>
      </c>
      <c r="E914" s="1404" t="s">
        <v>10097</v>
      </c>
      <c r="F914" s="1405" t="s">
        <v>5300</v>
      </c>
      <c r="G914" s="1403" t="s">
        <v>7869</v>
      </c>
      <c r="H914" s="1406" t="s">
        <v>1015</v>
      </c>
    </row>
    <row r="915" spans="1:8" x14ac:dyDescent="0.2">
      <c r="A915" s="7"/>
      <c r="B915" s="1407" t="str">
        <f t="shared" si="14"/>
        <v>Juan Noguera</v>
      </c>
      <c r="C915" s="1402" t="s">
        <v>15955</v>
      </c>
      <c r="D915" s="1403" t="s">
        <v>15956</v>
      </c>
      <c r="E915" s="1404" t="s">
        <v>15957</v>
      </c>
      <c r="F915" s="1405" t="s">
        <v>5299</v>
      </c>
      <c r="G915" s="1403" t="s">
        <v>10262</v>
      </c>
      <c r="H915" s="1406" t="s">
        <v>1015</v>
      </c>
    </row>
    <row r="916" spans="1:8" x14ac:dyDescent="0.2">
      <c r="A916" s="7"/>
      <c r="B916" s="1407" t="str">
        <f t="shared" si="14"/>
        <v>José Ros</v>
      </c>
      <c r="C916" s="1402" t="s">
        <v>14453</v>
      </c>
      <c r="D916" s="1403" t="s">
        <v>3232</v>
      </c>
      <c r="E916" s="1404" t="s">
        <v>7981</v>
      </c>
      <c r="F916" s="1405" t="s">
        <v>5299</v>
      </c>
      <c r="G916" s="1403" t="s">
        <v>7183</v>
      </c>
      <c r="H916" s="1406" t="s">
        <v>1015</v>
      </c>
    </row>
    <row r="917" spans="1:8" x14ac:dyDescent="0.2">
      <c r="A917" s="7"/>
      <c r="B917" s="1407" t="str">
        <f t="shared" si="14"/>
        <v>Jorge Juan López Soligó</v>
      </c>
      <c r="C917" s="1402" t="s">
        <v>7786</v>
      </c>
      <c r="D917" s="1403" t="s">
        <v>7805</v>
      </c>
      <c r="E917" s="1404" t="s">
        <v>7813</v>
      </c>
      <c r="F917" s="1405" t="s">
        <v>5300</v>
      </c>
      <c r="G917" s="1403" t="s">
        <v>14359</v>
      </c>
      <c r="H917" s="1406" t="s">
        <v>1015</v>
      </c>
    </row>
    <row r="918" spans="1:8" x14ac:dyDescent="0.2">
      <c r="A918" s="7"/>
      <c r="B918" s="1407" t="str">
        <f t="shared" si="14"/>
        <v>Santiago Escudero</v>
      </c>
      <c r="C918" s="1402" t="s">
        <v>5960</v>
      </c>
      <c r="D918" s="1403" t="s">
        <v>3579</v>
      </c>
      <c r="E918" s="1404" t="s">
        <v>4376</v>
      </c>
      <c r="F918" s="1405" t="s">
        <v>5299</v>
      </c>
      <c r="G918" s="1403" t="s">
        <v>7869</v>
      </c>
      <c r="H918" s="1406" t="s">
        <v>1015</v>
      </c>
    </row>
    <row r="919" spans="1:8" x14ac:dyDescent="0.2">
      <c r="A919" s="7"/>
      <c r="B919" s="1407" t="str">
        <f t="shared" si="14"/>
        <v>Ferran Coll</v>
      </c>
      <c r="C919" s="1402" t="s">
        <v>5961</v>
      </c>
      <c r="D919" s="1403" t="s">
        <v>7299</v>
      </c>
      <c r="E919" s="1404" t="s">
        <v>4377</v>
      </c>
      <c r="F919" s="1405" t="s">
        <v>5300</v>
      </c>
      <c r="G919" s="1403" t="s">
        <v>2755</v>
      </c>
      <c r="H919" s="1406" t="s">
        <v>1015</v>
      </c>
    </row>
    <row r="920" spans="1:8" x14ac:dyDescent="0.2">
      <c r="A920" s="7"/>
      <c r="B920" s="1407" t="str">
        <f t="shared" si="14"/>
        <v>Isaac García</v>
      </c>
      <c r="C920" s="1402" t="s">
        <v>7356</v>
      </c>
      <c r="D920" s="1403" t="s">
        <v>3460</v>
      </c>
      <c r="E920" s="1404" t="s">
        <v>4378</v>
      </c>
      <c r="F920" s="1405" t="s">
        <v>5300</v>
      </c>
      <c r="G920" s="1403" t="s">
        <v>7183</v>
      </c>
      <c r="H920" s="1406" t="s">
        <v>1015</v>
      </c>
    </row>
    <row r="921" spans="1:8" x14ac:dyDescent="0.2">
      <c r="A921" s="7"/>
      <c r="B921" s="1407" t="str">
        <f t="shared" si="14"/>
        <v>Piero Capponi</v>
      </c>
      <c r="C921" s="1402" t="s">
        <v>9929</v>
      </c>
      <c r="D921" s="1403" t="s">
        <v>10058</v>
      </c>
      <c r="E921" s="1404" t="s">
        <v>10098</v>
      </c>
      <c r="F921" s="1405" t="s">
        <v>5300</v>
      </c>
      <c r="G921" s="1403" t="s">
        <v>7183</v>
      </c>
      <c r="H921" s="1406" t="s">
        <v>1015</v>
      </c>
    </row>
    <row r="922" spans="1:8" x14ac:dyDescent="0.2">
      <c r="A922" s="7"/>
      <c r="B922" s="1407" t="str">
        <f t="shared" si="14"/>
        <v>José María Feyjoo</v>
      </c>
      <c r="C922" s="1402" t="s">
        <v>8015</v>
      </c>
      <c r="D922" s="1403" t="s">
        <v>8233</v>
      </c>
      <c r="E922" s="1404" t="s">
        <v>8358</v>
      </c>
      <c r="F922" s="1405" t="s">
        <v>5300</v>
      </c>
      <c r="G922" s="1403" t="s">
        <v>14370</v>
      </c>
      <c r="H922" s="1406" t="s">
        <v>1015</v>
      </c>
    </row>
    <row r="923" spans="1:8" x14ac:dyDescent="0.2">
      <c r="A923" s="7"/>
      <c r="B923" s="1407" t="str">
        <f t="shared" si="14"/>
        <v>Julio Candelas</v>
      </c>
      <c r="C923" s="1402" t="s">
        <v>7357</v>
      </c>
      <c r="D923" s="1403" t="s">
        <v>3181</v>
      </c>
      <c r="E923" s="1404" t="s">
        <v>4379</v>
      </c>
      <c r="F923" s="1405" t="s">
        <v>5300</v>
      </c>
      <c r="G923" s="1403" t="s">
        <v>14370</v>
      </c>
      <c r="H923" s="1406" t="s">
        <v>1015</v>
      </c>
    </row>
    <row r="924" spans="1:8" x14ac:dyDescent="0.2">
      <c r="A924" s="7"/>
      <c r="B924" s="1407" t="str">
        <f t="shared" si="14"/>
        <v>Guillem Balaguer</v>
      </c>
      <c r="C924" s="1402" t="s">
        <v>11356</v>
      </c>
      <c r="D924" s="1403" t="s">
        <v>8234</v>
      </c>
      <c r="E924" s="1404" t="s">
        <v>11388</v>
      </c>
      <c r="F924" s="1405" t="s">
        <v>5299</v>
      </c>
      <c r="G924" s="1403" t="s">
        <v>7183</v>
      </c>
      <c r="H924" s="1406" t="s">
        <v>1015</v>
      </c>
    </row>
    <row r="925" spans="1:8" x14ac:dyDescent="0.2">
      <c r="A925" s="7"/>
      <c r="B925" s="1407" t="str">
        <f t="shared" si="14"/>
        <v>Marc Ligos</v>
      </c>
      <c r="C925" s="1402" t="s">
        <v>15813</v>
      </c>
      <c r="D925" s="1403" t="s">
        <v>3208</v>
      </c>
      <c r="E925" s="1404" t="s">
        <v>8359</v>
      </c>
      <c r="F925" s="1405" t="s">
        <v>5299</v>
      </c>
      <c r="G925" s="1403" t="s">
        <v>14451</v>
      </c>
      <c r="H925" s="1406" t="s">
        <v>1015</v>
      </c>
    </row>
    <row r="926" spans="1:8" x14ac:dyDescent="0.2">
      <c r="A926" s="7"/>
      <c r="B926" s="1407" t="str">
        <f t="shared" si="14"/>
        <v>Luis Felipe Méndez</v>
      </c>
      <c r="C926" s="1402" t="s">
        <v>7358</v>
      </c>
      <c r="D926" s="1403" t="s">
        <v>3417</v>
      </c>
      <c r="E926" s="1404" t="s">
        <v>4380</v>
      </c>
      <c r="F926" s="1405" t="s">
        <v>5300</v>
      </c>
      <c r="G926" s="1403" t="s">
        <v>2755</v>
      </c>
      <c r="H926" s="1406" t="s">
        <v>1015</v>
      </c>
    </row>
    <row r="927" spans="1:8" x14ac:dyDescent="0.2">
      <c r="A927" s="7"/>
      <c r="B927" s="1407" t="str">
        <f t="shared" si="14"/>
        <v>Antonio Montaño</v>
      </c>
      <c r="C927" s="1402" t="s">
        <v>5962</v>
      </c>
      <c r="D927" s="1403" t="s">
        <v>3341</v>
      </c>
      <c r="E927" s="1404" t="s">
        <v>4381</v>
      </c>
      <c r="F927" s="1405" t="s">
        <v>5300</v>
      </c>
      <c r="G927" s="1403" t="s">
        <v>2755</v>
      </c>
      <c r="H927" s="1406" t="s">
        <v>1015</v>
      </c>
    </row>
    <row r="928" spans="1:8" x14ac:dyDescent="0.2">
      <c r="A928" s="7"/>
      <c r="B928" s="1407" t="str">
        <f t="shared" si="14"/>
        <v>Alfonso Montaño</v>
      </c>
      <c r="C928" s="1402" t="s">
        <v>5962</v>
      </c>
      <c r="D928" s="1403" t="s">
        <v>3157</v>
      </c>
      <c r="E928" s="1404" t="s">
        <v>4382</v>
      </c>
      <c r="F928" s="1405" t="s">
        <v>5299</v>
      </c>
      <c r="G928" s="1403" t="s">
        <v>2755</v>
      </c>
      <c r="H928" s="1406" t="s">
        <v>1015</v>
      </c>
    </row>
    <row r="929" spans="1:8" x14ac:dyDescent="0.2">
      <c r="A929" s="7"/>
      <c r="B929" s="1407" t="str">
        <f t="shared" si="14"/>
        <v>José M. Castellano</v>
      </c>
      <c r="C929" s="1402" t="s">
        <v>7359</v>
      </c>
      <c r="D929" s="1403" t="s">
        <v>7276</v>
      </c>
      <c r="E929" s="1404" t="s">
        <v>4383</v>
      </c>
      <c r="F929" s="1405" t="s">
        <v>5300</v>
      </c>
      <c r="G929" s="1403" t="s">
        <v>2774</v>
      </c>
      <c r="H929" s="1406" t="s">
        <v>1015</v>
      </c>
    </row>
    <row r="930" spans="1:8" x14ac:dyDescent="0.2">
      <c r="A930" s="7"/>
      <c r="B930" s="1407" t="str">
        <f t="shared" si="14"/>
        <v>Luis López</v>
      </c>
      <c r="C930" s="1402" t="s">
        <v>7360</v>
      </c>
      <c r="D930" s="1403" t="s">
        <v>3683</v>
      </c>
      <c r="E930" s="1404" t="s">
        <v>4384</v>
      </c>
      <c r="F930" s="1405" t="s">
        <v>5300</v>
      </c>
      <c r="G930" s="1403" t="s">
        <v>2755</v>
      </c>
      <c r="H930" s="1406" t="s">
        <v>1015</v>
      </c>
    </row>
    <row r="931" spans="1:8" x14ac:dyDescent="0.2">
      <c r="A931" s="7"/>
      <c r="B931" s="1407" t="str">
        <f t="shared" si="14"/>
        <v>David González</v>
      </c>
      <c r="C931" s="1402" t="s">
        <v>5963</v>
      </c>
      <c r="D931" s="1403" t="s">
        <v>3072</v>
      </c>
      <c r="E931" s="1404" t="s">
        <v>4385</v>
      </c>
      <c r="F931" s="1405" t="s">
        <v>5299</v>
      </c>
      <c r="G931" s="1403" t="s">
        <v>2749</v>
      </c>
      <c r="H931" s="1406" t="s">
        <v>1015</v>
      </c>
    </row>
    <row r="932" spans="1:8" x14ac:dyDescent="0.2">
      <c r="A932" s="7"/>
      <c r="B932" s="1407" t="str">
        <f t="shared" si="14"/>
        <v>Antonio Jesús Casín</v>
      </c>
      <c r="C932" s="1402" t="s">
        <v>5964</v>
      </c>
      <c r="D932" s="1403" t="s">
        <v>3554</v>
      </c>
      <c r="E932" s="1404" t="s">
        <v>4386</v>
      </c>
      <c r="F932" s="1405" t="s">
        <v>5299</v>
      </c>
      <c r="G932" s="1403" t="s">
        <v>7870</v>
      </c>
      <c r="H932" s="1406" t="s">
        <v>1015</v>
      </c>
    </row>
    <row r="933" spans="1:8" x14ac:dyDescent="0.2">
      <c r="A933" s="7"/>
      <c r="B933" s="1407" t="str">
        <f t="shared" si="14"/>
        <v>José David Somoza</v>
      </c>
      <c r="C933" s="1402" t="s">
        <v>5966</v>
      </c>
      <c r="D933" s="1403" t="s">
        <v>3451</v>
      </c>
      <c r="E933" s="1404" t="s">
        <v>4387</v>
      </c>
      <c r="F933" s="1405" t="s">
        <v>5300</v>
      </c>
      <c r="G933" s="1403" t="s">
        <v>7183</v>
      </c>
      <c r="H933" s="1406" t="s">
        <v>1015</v>
      </c>
    </row>
    <row r="934" spans="1:8" x14ac:dyDescent="0.2">
      <c r="A934" s="7"/>
      <c r="B934" s="1407" t="str">
        <f t="shared" si="14"/>
        <v>José Manuel Sánchez</v>
      </c>
      <c r="C934" s="1402" t="s">
        <v>5967</v>
      </c>
      <c r="D934" s="1403" t="s">
        <v>3513</v>
      </c>
      <c r="E934" s="1404" t="s">
        <v>4388</v>
      </c>
      <c r="F934" s="1405" t="s">
        <v>5300</v>
      </c>
      <c r="G934" s="1403" t="s">
        <v>2774</v>
      </c>
      <c r="H934" s="1406" t="s">
        <v>1015</v>
      </c>
    </row>
    <row r="935" spans="1:8" x14ac:dyDescent="0.2">
      <c r="A935" s="7"/>
      <c r="B935" s="1407" t="str">
        <f t="shared" si="14"/>
        <v>Toni Vidal</v>
      </c>
      <c r="C935" s="1402" t="s">
        <v>5780</v>
      </c>
      <c r="D935" s="1403" t="s">
        <v>3504</v>
      </c>
      <c r="E935" s="1404" t="s">
        <v>16328</v>
      </c>
      <c r="F935" s="1405" t="s">
        <v>5300</v>
      </c>
      <c r="G935" s="1403" t="s">
        <v>2774</v>
      </c>
      <c r="H935" s="1406" t="s">
        <v>1015</v>
      </c>
    </row>
    <row r="936" spans="1:8" x14ac:dyDescent="0.2">
      <c r="A936" s="7"/>
      <c r="B936" s="1407" t="str">
        <f t="shared" si="14"/>
        <v>Bruno Gerosa Cisneros</v>
      </c>
      <c r="C936" s="1402" t="s">
        <v>17783</v>
      </c>
      <c r="D936" s="1403" t="s">
        <v>3168</v>
      </c>
      <c r="E936" s="1404" t="s">
        <v>17784</v>
      </c>
      <c r="F936" s="1405" t="s">
        <v>5299</v>
      </c>
      <c r="G936" s="1403" t="s">
        <v>2774</v>
      </c>
      <c r="H936" s="1406" t="s">
        <v>1015</v>
      </c>
    </row>
    <row r="937" spans="1:8" x14ac:dyDescent="0.2">
      <c r="A937" s="7"/>
      <c r="B937" s="1407" t="str">
        <f t="shared" si="14"/>
        <v>Bonifacio Ruíz</v>
      </c>
      <c r="C937" s="1402" t="s">
        <v>16156</v>
      </c>
      <c r="D937" s="1403" t="s">
        <v>16157</v>
      </c>
      <c r="E937" s="1404" t="s">
        <v>16158</v>
      </c>
      <c r="F937" s="1405" t="s">
        <v>5299</v>
      </c>
      <c r="G937" s="1403" t="s">
        <v>2774</v>
      </c>
      <c r="H937" s="1406" t="s">
        <v>1015</v>
      </c>
    </row>
    <row r="938" spans="1:8" x14ac:dyDescent="0.2">
      <c r="A938" s="7"/>
      <c r="B938" s="1407" t="str">
        <f t="shared" si="14"/>
        <v>Francisco Soler</v>
      </c>
      <c r="C938" s="1402" t="s">
        <v>17087</v>
      </c>
      <c r="D938" s="1403" t="s">
        <v>3366</v>
      </c>
      <c r="E938" s="1404" t="s">
        <v>17088</v>
      </c>
      <c r="F938" s="1405" t="s">
        <v>5300</v>
      </c>
      <c r="G938" s="1403" t="s">
        <v>769</v>
      </c>
      <c r="H938" s="1406" t="s">
        <v>1015</v>
      </c>
    </row>
    <row r="939" spans="1:8" x14ac:dyDescent="0.2">
      <c r="A939" s="7"/>
      <c r="B939" s="1407" t="str">
        <f t="shared" si="14"/>
        <v>Antonio Fernández</v>
      </c>
      <c r="C939" s="1402" t="s">
        <v>5968</v>
      </c>
      <c r="D939" s="1403" t="s">
        <v>3341</v>
      </c>
      <c r="E939" s="1404" t="s">
        <v>4389</v>
      </c>
      <c r="F939" s="1405" t="s">
        <v>5299</v>
      </c>
      <c r="G939" s="1403" t="s">
        <v>2755</v>
      </c>
      <c r="H939" s="1406" t="s">
        <v>1015</v>
      </c>
    </row>
    <row r="940" spans="1:8" x14ac:dyDescent="0.2">
      <c r="A940" s="7"/>
      <c r="B940" s="1407" t="str">
        <f t="shared" si="14"/>
        <v>Juan Antonio García</v>
      </c>
      <c r="C940" s="1402" t="s">
        <v>7356</v>
      </c>
      <c r="D940" s="1403" t="s">
        <v>5595</v>
      </c>
      <c r="E940" s="1404" t="s">
        <v>4390</v>
      </c>
      <c r="F940" s="1405" t="s">
        <v>5299</v>
      </c>
      <c r="G940" s="1403" t="s">
        <v>14454</v>
      </c>
      <c r="H940" s="1406" t="s">
        <v>1015</v>
      </c>
    </row>
    <row r="941" spans="1:8" x14ac:dyDescent="0.2">
      <c r="A941" s="7"/>
      <c r="B941" s="1407" t="str">
        <f t="shared" si="14"/>
        <v>Luis Cano</v>
      </c>
      <c r="C941" s="1402" t="s">
        <v>5969</v>
      </c>
      <c r="D941" s="1403" t="s">
        <v>3683</v>
      </c>
      <c r="E941" s="1404" t="s">
        <v>4391</v>
      </c>
      <c r="F941" s="1405" t="s">
        <v>5299</v>
      </c>
      <c r="G941" s="1403" t="s">
        <v>14872</v>
      </c>
      <c r="H941" s="1406" t="s">
        <v>1015</v>
      </c>
    </row>
    <row r="942" spans="1:8" x14ac:dyDescent="0.2">
      <c r="A942" s="7"/>
      <c r="B942" s="1407" t="str">
        <f t="shared" si="14"/>
        <v>Manuel Romero</v>
      </c>
      <c r="C942" s="1402" t="s">
        <v>5971</v>
      </c>
      <c r="D942" s="1403" t="s">
        <v>3171</v>
      </c>
      <c r="E942" s="1404" t="s">
        <v>7065</v>
      </c>
      <c r="F942" s="1405" t="s">
        <v>5299</v>
      </c>
      <c r="G942" s="1403" t="s">
        <v>7183</v>
      </c>
      <c r="H942" s="1406" t="s">
        <v>1015</v>
      </c>
    </row>
    <row r="943" spans="1:8" x14ac:dyDescent="0.2">
      <c r="A943" s="7"/>
      <c r="B943" s="1407" t="str">
        <f t="shared" si="14"/>
        <v>José Pedro González</v>
      </c>
      <c r="C943" s="1402" t="s">
        <v>5963</v>
      </c>
      <c r="D943" s="1403" t="s">
        <v>7466</v>
      </c>
      <c r="E943" s="1404" t="s">
        <v>7513</v>
      </c>
      <c r="F943" s="1405" t="s">
        <v>5299</v>
      </c>
      <c r="G943" s="1403" t="s">
        <v>7871</v>
      </c>
      <c r="H943" s="1406" t="s">
        <v>1015</v>
      </c>
    </row>
    <row r="944" spans="1:8" x14ac:dyDescent="0.2">
      <c r="A944" s="7"/>
      <c r="B944" s="1407" t="str">
        <f t="shared" si="14"/>
        <v>Javier Junquera Miñambres</v>
      </c>
      <c r="C944" s="1402" t="s">
        <v>7361</v>
      </c>
      <c r="D944" s="1403" t="s">
        <v>3574</v>
      </c>
      <c r="E944" s="1404" t="s">
        <v>7514</v>
      </c>
      <c r="F944" s="1405" t="s">
        <v>13210</v>
      </c>
      <c r="G944" s="1403" t="s">
        <v>15716</v>
      </c>
      <c r="H944" s="1406" t="s">
        <v>1015</v>
      </c>
    </row>
    <row r="945" spans="1:8" x14ac:dyDescent="0.2">
      <c r="A945" s="7"/>
      <c r="B945" s="1407" t="str">
        <f t="shared" si="14"/>
        <v>Javier Junquera Quintana</v>
      </c>
      <c r="C945" s="1402" t="s">
        <v>7362</v>
      </c>
      <c r="D945" s="1403" t="s">
        <v>3574</v>
      </c>
      <c r="E945" s="1404" t="s">
        <v>7515</v>
      </c>
      <c r="F945" s="1405" t="s">
        <v>5300</v>
      </c>
      <c r="G945" s="1403" t="s">
        <v>15716</v>
      </c>
      <c r="H945" s="1406" t="s">
        <v>1015</v>
      </c>
    </row>
    <row r="946" spans="1:8" x14ac:dyDescent="0.2">
      <c r="A946" s="7"/>
      <c r="B946" s="1407" t="str">
        <f t="shared" si="14"/>
        <v>Alberto Gómez</v>
      </c>
      <c r="C946" s="1402" t="s">
        <v>7364</v>
      </c>
      <c r="D946" s="1403" t="s">
        <v>3042</v>
      </c>
      <c r="E946" s="1404" t="s">
        <v>7516</v>
      </c>
      <c r="F946" s="1405" t="s">
        <v>5300</v>
      </c>
      <c r="G946" s="1403" t="s">
        <v>14454</v>
      </c>
      <c r="H946" s="1406" t="s">
        <v>1015</v>
      </c>
    </row>
    <row r="947" spans="1:8" x14ac:dyDescent="0.2">
      <c r="A947" s="7"/>
      <c r="B947" s="1407" t="str">
        <f t="shared" si="14"/>
        <v>Txema de Miguel</v>
      </c>
      <c r="C947" s="1402" t="s">
        <v>14455</v>
      </c>
      <c r="D947" s="1403" t="s">
        <v>7468</v>
      </c>
      <c r="E947" s="1404" t="s">
        <v>7517</v>
      </c>
      <c r="F947" s="1405" t="s">
        <v>5300</v>
      </c>
      <c r="G947" s="1403" t="s">
        <v>9704</v>
      </c>
      <c r="H947" s="1406" t="s">
        <v>1015</v>
      </c>
    </row>
    <row r="948" spans="1:8" x14ac:dyDescent="0.2">
      <c r="A948" s="7"/>
      <c r="B948" s="1407" t="str">
        <f t="shared" si="14"/>
        <v>Carlos Pinto Gurdiel</v>
      </c>
      <c r="C948" s="1402" t="s">
        <v>14456</v>
      </c>
      <c r="D948" s="1403" t="s">
        <v>3008</v>
      </c>
      <c r="E948" s="1404" t="s">
        <v>7518</v>
      </c>
      <c r="F948" s="1405" t="s">
        <v>13210</v>
      </c>
      <c r="G948" s="1403" t="s">
        <v>2755</v>
      </c>
      <c r="H948" s="1406" t="s">
        <v>1015</v>
      </c>
    </row>
    <row r="949" spans="1:8" x14ac:dyDescent="0.2">
      <c r="A949" s="7"/>
      <c r="B949" s="1407" t="str">
        <f t="shared" si="14"/>
        <v>Juan Carlos Pinto</v>
      </c>
      <c r="C949" s="1402" t="s">
        <v>7365</v>
      </c>
      <c r="D949" s="1403" t="s">
        <v>3091</v>
      </c>
      <c r="E949" s="1404" t="s">
        <v>7519</v>
      </c>
      <c r="F949" s="1405" t="s">
        <v>5300</v>
      </c>
      <c r="G949" s="1403" t="s">
        <v>14370</v>
      </c>
      <c r="H949" s="1406" t="s">
        <v>1015</v>
      </c>
    </row>
    <row r="950" spans="1:8" x14ac:dyDescent="0.2">
      <c r="A950" s="7"/>
      <c r="B950" s="1407" t="str">
        <f t="shared" si="14"/>
        <v>Emilio Tomás Torrico</v>
      </c>
      <c r="C950" s="1402" t="s">
        <v>17089</v>
      </c>
      <c r="D950" s="1403" t="s">
        <v>17090</v>
      </c>
      <c r="E950" s="1404" t="s">
        <v>17091</v>
      </c>
      <c r="F950" s="1405" t="s">
        <v>5299</v>
      </c>
      <c r="G950" s="1403" t="s">
        <v>17092</v>
      </c>
      <c r="H950" s="1406" t="s">
        <v>1015</v>
      </c>
    </row>
    <row r="951" spans="1:8" x14ac:dyDescent="0.2">
      <c r="A951" s="7"/>
      <c r="B951" s="1407" t="str">
        <f t="shared" si="14"/>
        <v>Paula Maireles</v>
      </c>
      <c r="C951" s="1402" t="s">
        <v>7671</v>
      </c>
      <c r="D951" s="1403" t="s">
        <v>6946</v>
      </c>
      <c r="E951" s="1404" t="s">
        <v>7709</v>
      </c>
      <c r="F951" s="1405" t="s">
        <v>5299</v>
      </c>
      <c r="G951" s="1403" t="s">
        <v>7304</v>
      </c>
      <c r="H951" s="1406" t="s">
        <v>1015</v>
      </c>
    </row>
    <row r="952" spans="1:8" x14ac:dyDescent="0.2">
      <c r="A952" s="7"/>
      <c r="B952" s="1407" t="str">
        <f t="shared" si="14"/>
        <v>Miguel Ángel Matabuena</v>
      </c>
      <c r="C952" s="1402" t="s">
        <v>8016</v>
      </c>
      <c r="D952" s="1403" t="s">
        <v>3247</v>
      </c>
      <c r="E952" s="1404" t="s">
        <v>8360</v>
      </c>
      <c r="F952" s="1405" t="s">
        <v>5300</v>
      </c>
      <c r="G952" s="1403" t="s">
        <v>7871</v>
      </c>
      <c r="H952" s="1406" t="s">
        <v>1015</v>
      </c>
    </row>
    <row r="953" spans="1:8" x14ac:dyDescent="0.2">
      <c r="A953" s="7"/>
      <c r="B953" s="1407" t="str">
        <f t="shared" si="14"/>
        <v>Juan Manuel Haro</v>
      </c>
      <c r="C953" s="1402" t="s">
        <v>8017</v>
      </c>
      <c r="D953" s="1403" t="s">
        <v>3065</v>
      </c>
      <c r="E953" s="1404" t="s">
        <v>8361</v>
      </c>
      <c r="F953" s="1405" t="s">
        <v>5300</v>
      </c>
      <c r="G953" s="1403" t="s">
        <v>7871</v>
      </c>
      <c r="H953" s="1406" t="s">
        <v>1015</v>
      </c>
    </row>
    <row r="954" spans="1:8" x14ac:dyDescent="0.2">
      <c r="A954" s="7"/>
      <c r="B954" s="1407" t="str">
        <f t="shared" si="14"/>
        <v>Álex Iliev</v>
      </c>
      <c r="C954" s="1402" t="s">
        <v>8018</v>
      </c>
      <c r="D954" s="1403" t="s">
        <v>10057</v>
      </c>
      <c r="E954" s="1404" t="s">
        <v>8362</v>
      </c>
      <c r="F954" s="1405" t="s">
        <v>13210</v>
      </c>
      <c r="G954" s="1403" t="s">
        <v>7869</v>
      </c>
      <c r="H954" s="1406" t="s">
        <v>1015</v>
      </c>
    </row>
    <row r="955" spans="1:8" x14ac:dyDescent="0.2">
      <c r="A955" s="7"/>
      <c r="B955" s="1407" t="str">
        <f t="shared" si="14"/>
        <v>Cristian Antúnez</v>
      </c>
      <c r="C955" s="1402" t="s">
        <v>15167</v>
      </c>
      <c r="D955" s="1403" t="s">
        <v>3705</v>
      </c>
      <c r="E955" s="1404" t="s">
        <v>15169</v>
      </c>
      <c r="F955" s="1405" t="s">
        <v>13210</v>
      </c>
      <c r="G955" s="1403" t="s">
        <v>2755</v>
      </c>
      <c r="H955" s="1406" t="s">
        <v>1015</v>
      </c>
    </row>
    <row r="956" spans="1:8" x14ac:dyDescent="0.2">
      <c r="A956" s="7"/>
      <c r="B956" s="1407" t="str">
        <f t="shared" si="14"/>
        <v>Jesús Maireles Alfaro</v>
      </c>
      <c r="C956" s="1402" t="s">
        <v>14457</v>
      </c>
      <c r="D956" s="1403" t="s">
        <v>3575</v>
      </c>
      <c r="E956" s="1404" t="s">
        <v>8363</v>
      </c>
      <c r="F956" s="1405" t="s">
        <v>13210</v>
      </c>
      <c r="G956" s="1403" t="s">
        <v>7304</v>
      </c>
      <c r="H956" s="1406" t="s">
        <v>1015</v>
      </c>
    </row>
    <row r="957" spans="1:8" x14ac:dyDescent="0.2">
      <c r="A957" s="7"/>
      <c r="B957" s="1407" t="str">
        <f t="shared" si="14"/>
        <v>Guillem Alsina</v>
      </c>
      <c r="C957" s="1402" t="s">
        <v>8019</v>
      </c>
      <c r="D957" s="1403" t="s">
        <v>8234</v>
      </c>
      <c r="E957" s="1404" t="s">
        <v>8364</v>
      </c>
      <c r="F957" s="1405" t="s">
        <v>5300</v>
      </c>
      <c r="G957" s="1403" t="s">
        <v>2783</v>
      </c>
      <c r="H957" s="1406" t="s">
        <v>1015</v>
      </c>
    </row>
    <row r="958" spans="1:8" x14ac:dyDescent="0.2">
      <c r="A958" s="7"/>
      <c r="B958" s="1407" t="str">
        <f t="shared" si="14"/>
        <v>Jesús Maireles Reyes</v>
      </c>
      <c r="C958" s="1402" t="s">
        <v>14458</v>
      </c>
      <c r="D958" s="1403" t="s">
        <v>3575</v>
      </c>
      <c r="E958" s="1404" t="s">
        <v>8365</v>
      </c>
      <c r="F958" s="1405" t="s">
        <v>5299</v>
      </c>
      <c r="G958" s="1403" t="s">
        <v>7304</v>
      </c>
      <c r="H958" s="1406" t="s">
        <v>1015</v>
      </c>
    </row>
    <row r="959" spans="1:8" x14ac:dyDescent="0.2">
      <c r="A959" s="7"/>
      <c r="B959" s="1407" t="str">
        <f t="shared" si="14"/>
        <v>Paolo Clerici</v>
      </c>
      <c r="C959" s="1402" t="s">
        <v>6625</v>
      </c>
      <c r="D959" s="1403" t="s">
        <v>3119</v>
      </c>
      <c r="E959" s="1404" t="s">
        <v>8366</v>
      </c>
      <c r="F959" s="1405" t="s">
        <v>5300</v>
      </c>
      <c r="G959" s="1403" t="s">
        <v>9704</v>
      </c>
      <c r="H959" s="1406" t="s">
        <v>1015</v>
      </c>
    </row>
    <row r="960" spans="1:8" x14ac:dyDescent="0.2">
      <c r="A960" s="7"/>
      <c r="B960" s="1407" t="str">
        <f t="shared" si="14"/>
        <v>Hugo de Miguel</v>
      </c>
      <c r="C960" s="1402" t="s">
        <v>14455</v>
      </c>
      <c r="D960" s="1403" t="s">
        <v>3142</v>
      </c>
      <c r="E960" s="1404" t="s">
        <v>17093</v>
      </c>
      <c r="F960" s="1405" t="s">
        <v>13211</v>
      </c>
      <c r="G960" s="1403" t="s">
        <v>17094</v>
      </c>
      <c r="H960" s="1406" t="s">
        <v>1015</v>
      </c>
    </row>
    <row r="961" spans="1:8" x14ac:dyDescent="0.2">
      <c r="A961" s="7"/>
      <c r="B961" s="1407" t="str">
        <f t="shared" si="14"/>
        <v>Álvaro Pérez</v>
      </c>
      <c r="C961" s="1402" t="s">
        <v>5965</v>
      </c>
      <c r="D961" s="1403" t="s">
        <v>3538</v>
      </c>
      <c r="E961" s="1404" t="s">
        <v>17785</v>
      </c>
      <c r="F961" s="1405" t="s">
        <v>13210</v>
      </c>
      <c r="G961" s="1403" t="s">
        <v>2755</v>
      </c>
      <c r="H961" s="1406" t="s">
        <v>1015</v>
      </c>
    </row>
    <row r="962" spans="1:8" x14ac:dyDescent="0.2">
      <c r="A962" s="7"/>
      <c r="B962" s="1407" t="str">
        <f t="shared" si="14"/>
        <v>Daniel Parrilla</v>
      </c>
      <c r="C962" s="1402" t="s">
        <v>8020</v>
      </c>
      <c r="D962" s="1403" t="s">
        <v>3243</v>
      </c>
      <c r="E962" s="1404" t="s">
        <v>8367</v>
      </c>
      <c r="F962" s="1405" t="s">
        <v>5299</v>
      </c>
      <c r="G962" s="1403" t="s">
        <v>14454</v>
      </c>
      <c r="H962" s="1406" t="s">
        <v>1015</v>
      </c>
    </row>
    <row r="963" spans="1:8" x14ac:dyDescent="0.2">
      <c r="A963" s="7"/>
      <c r="B963" s="1407" t="str">
        <f t="shared" si="14"/>
        <v>Pedro Benavent</v>
      </c>
      <c r="C963" s="1402" t="s">
        <v>8021</v>
      </c>
      <c r="D963" s="1403" t="s">
        <v>5604</v>
      </c>
      <c r="E963" s="1404" t="s">
        <v>8368</v>
      </c>
      <c r="F963" s="1405" t="s">
        <v>5300</v>
      </c>
      <c r="G963" s="1403" t="s">
        <v>14872</v>
      </c>
      <c r="H963" s="1406" t="s">
        <v>1015</v>
      </c>
    </row>
    <row r="964" spans="1:8" x14ac:dyDescent="0.2">
      <c r="A964" s="7"/>
      <c r="B964" s="1407" t="str">
        <f t="shared" si="14"/>
        <v>José García Ferri</v>
      </c>
      <c r="C964" s="1402" t="s">
        <v>14466</v>
      </c>
      <c r="D964" s="1403" t="s">
        <v>3232</v>
      </c>
      <c r="E964" s="1404" t="s">
        <v>15593</v>
      </c>
      <c r="F964" s="1405" t="s">
        <v>5299</v>
      </c>
      <c r="G964" s="1403" t="s">
        <v>14872</v>
      </c>
      <c r="H964" s="1406" t="s">
        <v>1015</v>
      </c>
    </row>
    <row r="965" spans="1:8" x14ac:dyDescent="0.2">
      <c r="A965" s="7"/>
      <c r="B965" s="1407" t="str">
        <f t="shared" si="14"/>
        <v>Stefka Pirova</v>
      </c>
      <c r="C965" s="1402" t="s">
        <v>8022</v>
      </c>
      <c r="D965" s="1403" t="s">
        <v>8236</v>
      </c>
      <c r="E965" s="1404" t="s">
        <v>8369</v>
      </c>
      <c r="F965" s="1405" t="s">
        <v>5300</v>
      </c>
      <c r="G965" s="1403" t="s">
        <v>7869</v>
      </c>
      <c r="H965" s="1406" t="s">
        <v>1015</v>
      </c>
    </row>
    <row r="966" spans="1:8" x14ac:dyDescent="0.2">
      <c r="A966" s="7"/>
      <c r="B966" s="1407" t="str">
        <f t="shared" si="14"/>
        <v>César Fuertes</v>
      </c>
      <c r="C966" s="1402" t="s">
        <v>13228</v>
      </c>
      <c r="D966" s="1403" t="s">
        <v>13229</v>
      </c>
      <c r="E966" s="1404" t="s">
        <v>13230</v>
      </c>
      <c r="F966" s="1405" t="s">
        <v>5299</v>
      </c>
      <c r="G966" s="1403" t="s">
        <v>7869</v>
      </c>
      <c r="H966" s="1406" t="s">
        <v>1015</v>
      </c>
    </row>
    <row r="967" spans="1:8" x14ac:dyDescent="0.2">
      <c r="A967" s="7"/>
      <c r="B967" s="1407" t="str">
        <f t="shared" ref="B967:B1030" si="15">TRIM(CONCATENATE(D967," ",C967))</f>
        <v>Rubén Benita</v>
      </c>
      <c r="C967" s="1402" t="s">
        <v>5955</v>
      </c>
      <c r="D967" s="1403" t="s">
        <v>9409</v>
      </c>
      <c r="E967" s="1404" t="s">
        <v>9422</v>
      </c>
      <c r="F967" s="1405" t="s">
        <v>13210</v>
      </c>
      <c r="G967" s="1403" t="s">
        <v>7869</v>
      </c>
      <c r="H967" s="1406" t="s">
        <v>1015</v>
      </c>
    </row>
    <row r="968" spans="1:8" x14ac:dyDescent="0.2">
      <c r="A968" s="7"/>
      <c r="B968" s="1407" t="str">
        <f t="shared" si="15"/>
        <v>Isaac Alfaro</v>
      </c>
      <c r="C968" s="1402" t="s">
        <v>15153</v>
      </c>
      <c r="D968" s="1403" t="s">
        <v>3460</v>
      </c>
      <c r="E968" s="1404" t="s">
        <v>15154</v>
      </c>
      <c r="F968" s="1405" t="s">
        <v>13210</v>
      </c>
      <c r="G968" s="1403" t="s">
        <v>2755</v>
      </c>
      <c r="H968" s="1406" t="s">
        <v>1015</v>
      </c>
    </row>
    <row r="969" spans="1:8" x14ac:dyDescent="0.2">
      <c r="A969" s="7"/>
      <c r="B969" s="1407" t="str">
        <f t="shared" si="15"/>
        <v>Ferran Borbones</v>
      </c>
      <c r="C969" s="1402" t="s">
        <v>9396</v>
      </c>
      <c r="D969" s="1403" t="s">
        <v>7299</v>
      </c>
      <c r="E969" s="1404" t="s">
        <v>9423</v>
      </c>
      <c r="F969" s="1405" t="s">
        <v>5300</v>
      </c>
      <c r="G969" s="1403" t="s">
        <v>2783</v>
      </c>
      <c r="H969" s="1406" t="s">
        <v>1015</v>
      </c>
    </row>
    <row r="970" spans="1:8" x14ac:dyDescent="0.2">
      <c r="A970" s="7"/>
      <c r="B970" s="1407" t="str">
        <f t="shared" si="15"/>
        <v>Héctor Pérez</v>
      </c>
      <c r="C970" s="1402" t="s">
        <v>5965</v>
      </c>
      <c r="D970" s="1403" t="s">
        <v>9411</v>
      </c>
      <c r="E970" s="1404" t="s">
        <v>9424</v>
      </c>
      <c r="F970" s="1405" t="s">
        <v>5300</v>
      </c>
      <c r="G970" s="1403" t="s">
        <v>14454</v>
      </c>
      <c r="H970" s="1406" t="s">
        <v>1015</v>
      </c>
    </row>
    <row r="971" spans="1:8" x14ac:dyDescent="0.2">
      <c r="A971" s="7"/>
      <c r="B971" s="1407" t="str">
        <f t="shared" si="15"/>
        <v>Ernesto Ruiz</v>
      </c>
      <c r="C971" s="1402" t="s">
        <v>9397</v>
      </c>
      <c r="D971" s="1403" t="s">
        <v>5464</v>
      </c>
      <c r="E971" s="1404" t="s">
        <v>9425</v>
      </c>
      <c r="F971" s="1405" t="s">
        <v>5300</v>
      </c>
      <c r="G971" s="1403" t="s">
        <v>7871</v>
      </c>
      <c r="H971" s="1406" t="s">
        <v>1015</v>
      </c>
    </row>
    <row r="972" spans="1:8" x14ac:dyDescent="0.2">
      <c r="A972" s="7"/>
      <c r="B972" s="1407" t="str">
        <f t="shared" si="15"/>
        <v>Antonio Manuel Hernández</v>
      </c>
      <c r="C972" s="1402" t="s">
        <v>11017</v>
      </c>
      <c r="D972" s="1403" t="s">
        <v>11073</v>
      </c>
      <c r="E972" s="1404" t="s">
        <v>11093</v>
      </c>
      <c r="F972" s="1405" t="s">
        <v>5300</v>
      </c>
      <c r="G972" s="1403" t="s">
        <v>2783</v>
      </c>
      <c r="H972" s="1406" t="s">
        <v>1015</v>
      </c>
    </row>
    <row r="973" spans="1:8" x14ac:dyDescent="0.2">
      <c r="A973" s="7"/>
      <c r="B973" s="1407" t="str">
        <f t="shared" si="15"/>
        <v>Jordi Geronès</v>
      </c>
      <c r="C973" s="1402" t="s">
        <v>17543</v>
      </c>
      <c r="D973" s="1403" t="s">
        <v>17544</v>
      </c>
      <c r="E973" s="1404" t="s">
        <v>17545</v>
      </c>
      <c r="F973" s="1405" t="s">
        <v>5299</v>
      </c>
      <c r="G973" s="1403" t="s">
        <v>2783</v>
      </c>
      <c r="H973" s="1406" t="s">
        <v>1015</v>
      </c>
    </row>
    <row r="974" spans="1:8" x14ac:dyDescent="0.2">
      <c r="A974" s="7"/>
      <c r="B974" s="1407" t="str">
        <f t="shared" si="15"/>
        <v>Iván Acuña</v>
      </c>
      <c r="C974" s="1402" t="s">
        <v>9398</v>
      </c>
      <c r="D974" s="1403" t="s">
        <v>8235</v>
      </c>
      <c r="E974" s="1404" t="s">
        <v>9569</v>
      </c>
      <c r="F974" s="1405" t="s">
        <v>5299</v>
      </c>
      <c r="G974" s="1403" t="s">
        <v>2783</v>
      </c>
      <c r="H974" s="1406" t="s">
        <v>1015</v>
      </c>
    </row>
    <row r="975" spans="1:8" x14ac:dyDescent="0.2">
      <c r="A975" s="7"/>
      <c r="B975" s="1407" t="str">
        <f t="shared" si="15"/>
        <v>Manuel Muñoz</v>
      </c>
      <c r="C975" s="1402" t="s">
        <v>7363</v>
      </c>
      <c r="D975" s="1403" t="s">
        <v>3171</v>
      </c>
      <c r="E975" s="1404" t="s">
        <v>9570</v>
      </c>
      <c r="F975" s="1405" t="s">
        <v>5299</v>
      </c>
      <c r="G975" s="1403" t="s">
        <v>14454</v>
      </c>
      <c r="H975" s="1406" t="s">
        <v>1015</v>
      </c>
    </row>
    <row r="976" spans="1:8" x14ac:dyDescent="0.2">
      <c r="A976" s="7"/>
      <c r="B976" s="1407" t="str">
        <f t="shared" si="15"/>
        <v>Moisés Ramos</v>
      </c>
      <c r="C976" s="1402" t="s">
        <v>6737</v>
      </c>
      <c r="D976" s="1403" t="s">
        <v>9552</v>
      </c>
      <c r="E976" s="1404" t="s">
        <v>9571</v>
      </c>
      <c r="F976" s="1405" t="s">
        <v>5299</v>
      </c>
      <c r="G976" s="1403" t="s">
        <v>9704</v>
      </c>
      <c r="H976" s="1406" t="s">
        <v>1015</v>
      </c>
    </row>
    <row r="977" spans="1:8" x14ac:dyDescent="0.2">
      <c r="A977" s="7"/>
      <c r="B977" s="1407" t="str">
        <f t="shared" si="15"/>
        <v>Manuel Redondo</v>
      </c>
      <c r="C977" s="1402" t="s">
        <v>17095</v>
      </c>
      <c r="D977" s="1403" t="s">
        <v>3171</v>
      </c>
      <c r="E977" s="1404" t="s">
        <v>17096</v>
      </c>
      <c r="F977" s="1405" t="s">
        <v>5299</v>
      </c>
      <c r="G977" s="1403" t="s">
        <v>7871</v>
      </c>
      <c r="H977" s="1406" t="s">
        <v>1015</v>
      </c>
    </row>
    <row r="978" spans="1:8" x14ac:dyDescent="0.2">
      <c r="A978" s="7"/>
      <c r="B978" s="1407" t="str">
        <f t="shared" si="15"/>
        <v>José Antonio Salazar</v>
      </c>
      <c r="C978" s="1402" t="s">
        <v>9539</v>
      </c>
      <c r="D978" s="1403" t="s">
        <v>9553</v>
      </c>
      <c r="E978" s="1404" t="s">
        <v>9572</v>
      </c>
      <c r="F978" s="1405" t="s">
        <v>5299</v>
      </c>
      <c r="G978" s="1403" t="s">
        <v>9704</v>
      </c>
      <c r="H978" s="1406" t="s">
        <v>1015</v>
      </c>
    </row>
    <row r="979" spans="1:8" x14ac:dyDescent="0.2">
      <c r="A979" s="7"/>
      <c r="B979" s="1407" t="str">
        <f t="shared" si="15"/>
        <v>Álvaro Benita</v>
      </c>
      <c r="C979" s="1402" t="s">
        <v>5955</v>
      </c>
      <c r="D979" s="1403" t="s">
        <v>3538</v>
      </c>
      <c r="E979" s="1404" t="s">
        <v>9573</v>
      </c>
      <c r="F979" s="1405" t="s">
        <v>13211</v>
      </c>
      <c r="G979" s="1403" t="s">
        <v>7869</v>
      </c>
      <c r="H979" s="1406" t="s">
        <v>1015</v>
      </c>
    </row>
    <row r="980" spans="1:8" x14ac:dyDescent="0.2">
      <c r="A980" s="7"/>
      <c r="B980" s="1407" t="str">
        <f t="shared" si="15"/>
        <v>Jean Michel Cuenca</v>
      </c>
      <c r="C980" s="1402" t="s">
        <v>8004</v>
      </c>
      <c r="D980" s="1403" t="s">
        <v>14459</v>
      </c>
      <c r="E980" s="1404" t="s">
        <v>9574</v>
      </c>
      <c r="F980" s="1405" t="s">
        <v>5300</v>
      </c>
      <c r="G980" s="1403" t="s">
        <v>2755</v>
      </c>
      <c r="H980" s="1406" t="s">
        <v>1015</v>
      </c>
    </row>
    <row r="981" spans="1:8" x14ac:dyDescent="0.2">
      <c r="A981" s="7"/>
      <c r="B981" s="1407" t="str">
        <f t="shared" si="15"/>
        <v>Fabio Mastroianni</v>
      </c>
      <c r="C981" s="1402" t="s">
        <v>9634</v>
      </c>
      <c r="D981" s="1403" t="s">
        <v>3133</v>
      </c>
      <c r="E981" s="1404" t="s">
        <v>9659</v>
      </c>
      <c r="F981" s="1405" t="s">
        <v>5299</v>
      </c>
      <c r="G981" s="1403" t="s">
        <v>14359</v>
      </c>
      <c r="H981" s="1406" t="s">
        <v>1015</v>
      </c>
    </row>
    <row r="982" spans="1:8" x14ac:dyDescent="0.2">
      <c r="A982" s="7"/>
      <c r="B982" s="1407" t="str">
        <f t="shared" si="15"/>
        <v>Eduardo Martín</v>
      </c>
      <c r="C982" s="1402" t="s">
        <v>5634</v>
      </c>
      <c r="D982" s="1403" t="s">
        <v>3711</v>
      </c>
      <c r="E982" s="1404" t="s">
        <v>10099</v>
      </c>
      <c r="F982" s="1405" t="s">
        <v>5300</v>
      </c>
      <c r="G982" s="1403" t="s">
        <v>9704</v>
      </c>
      <c r="H982" s="1406" t="s">
        <v>1015</v>
      </c>
    </row>
    <row r="983" spans="1:8" x14ac:dyDescent="0.2">
      <c r="A983" s="7"/>
      <c r="B983" s="1407" t="str">
        <f t="shared" si="15"/>
        <v>Manuel Reguera Delgado</v>
      </c>
      <c r="C983" s="1402" t="s">
        <v>16119</v>
      </c>
      <c r="D983" s="1403" t="s">
        <v>3171</v>
      </c>
      <c r="E983" s="1404" t="s">
        <v>16120</v>
      </c>
      <c r="F983" s="1405" t="s">
        <v>5299</v>
      </c>
      <c r="G983" s="1403" t="s">
        <v>7871</v>
      </c>
      <c r="H983" s="1406" t="s">
        <v>1015</v>
      </c>
    </row>
    <row r="984" spans="1:8" x14ac:dyDescent="0.2">
      <c r="A984" s="7"/>
      <c r="B984" s="1407" t="str">
        <f t="shared" si="15"/>
        <v>Rafael Gómez</v>
      </c>
      <c r="C984" s="1402" t="s">
        <v>7364</v>
      </c>
      <c r="D984" s="1403" t="s">
        <v>9410</v>
      </c>
      <c r="E984" s="1404" t="s">
        <v>11262</v>
      </c>
      <c r="F984" s="1405" t="s">
        <v>5300</v>
      </c>
      <c r="G984" s="1403" t="s">
        <v>7869</v>
      </c>
      <c r="H984" s="1406" t="s">
        <v>1015</v>
      </c>
    </row>
    <row r="985" spans="1:8" x14ac:dyDescent="0.2">
      <c r="A985" s="7"/>
      <c r="B985" s="1407" t="str">
        <f t="shared" si="15"/>
        <v>Enrique Villao</v>
      </c>
      <c r="C985" s="1402" t="s">
        <v>11357</v>
      </c>
      <c r="D985" s="1403" t="s">
        <v>11374</v>
      </c>
      <c r="E985" s="1404" t="s">
        <v>11389</v>
      </c>
      <c r="F985" s="1405" t="s">
        <v>13211</v>
      </c>
      <c r="G985" s="1403" t="s">
        <v>14370</v>
      </c>
      <c r="H985" s="1406" t="s">
        <v>1015</v>
      </c>
    </row>
    <row r="986" spans="1:8" x14ac:dyDescent="0.2">
      <c r="A986" s="7"/>
      <c r="B986" s="1407" t="str">
        <f t="shared" si="15"/>
        <v>Ricard Carles Prat</v>
      </c>
      <c r="C986" s="1402" t="s">
        <v>15318</v>
      </c>
      <c r="D986" s="1403" t="s">
        <v>15319</v>
      </c>
      <c r="E986" s="1404" t="s">
        <v>11390</v>
      </c>
      <c r="F986" s="1405" t="s">
        <v>5299</v>
      </c>
      <c r="G986" s="1403" t="s">
        <v>2783</v>
      </c>
      <c r="H986" s="1406" t="s">
        <v>1015</v>
      </c>
    </row>
    <row r="987" spans="1:8" x14ac:dyDescent="0.2">
      <c r="A987" s="7"/>
      <c r="B987" s="1407" t="str">
        <f t="shared" si="15"/>
        <v>Albert Carles Prat</v>
      </c>
      <c r="C987" s="1402" t="s">
        <v>15318</v>
      </c>
      <c r="D987" s="1403" t="s">
        <v>17546</v>
      </c>
      <c r="E987" s="1404" t="s">
        <v>17547</v>
      </c>
      <c r="F987" s="1405" t="s">
        <v>5300</v>
      </c>
      <c r="G987" s="1403" t="s">
        <v>2783</v>
      </c>
      <c r="H987" s="1406" t="s">
        <v>1015</v>
      </c>
    </row>
    <row r="988" spans="1:8" x14ac:dyDescent="0.2">
      <c r="A988" s="7"/>
      <c r="B988" s="1407" t="str">
        <f t="shared" si="15"/>
        <v>Manuel Reguera Muñoz</v>
      </c>
      <c r="C988" s="1402" t="s">
        <v>16121</v>
      </c>
      <c r="D988" s="1403" t="s">
        <v>3171</v>
      </c>
      <c r="E988" s="1404" t="s">
        <v>16123</v>
      </c>
      <c r="F988" s="1405" t="s">
        <v>13211</v>
      </c>
      <c r="G988" s="1403" t="s">
        <v>7871</v>
      </c>
      <c r="H988" s="1406" t="s">
        <v>1015</v>
      </c>
    </row>
    <row r="989" spans="1:8" x14ac:dyDescent="0.2">
      <c r="A989" s="7"/>
      <c r="B989" s="1407" t="str">
        <f t="shared" si="15"/>
        <v>Francisco Ucha</v>
      </c>
      <c r="C989" s="1402" t="s">
        <v>11358</v>
      </c>
      <c r="D989" s="1403" t="s">
        <v>3366</v>
      </c>
      <c r="E989" s="1404" t="s">
        <v>11391</v>
      </c>
      <c r="F989" s="1405" t="s">
        <v>5299</v>
      </c>
      <c r="G989" s="1403" t="s">
        <v>14451</v>
      </c>
      <c r="H989" s="1406" t="s">
        <v>1015</v>
      </c>
    </row>
    <row r="990" spans="1:8" x14ac:dyDescent="0.2">
      <c r="A990" s="7"/>
      <c r="B990" s="1407" t="str">
        <f t="shared" si="15"/>
        <v>Toni Rosa</v>
      </c>
      <c r="C990" s="1402" t="s">
        <v>3658</v>
      </c>
      <c r="D990" s="1403" t="s">
        <v>3504</v>
      </c>
      <c r="E990" s="1404" t="s">
        <v>13231</v>
      </c>
      <c r="F990" s="1405" t="s">
        <v>5299</v>
      </c>
      <c r="G990" s="1403" t="s">
        <v>14451</v>
      </c>
      <c r="H990" s="1406" t="s">
        <v>1015</v>
      </c>
    </row>
    <row r="991" spans="1:8" x14ac:dyDescent="0.2">
      <c r="A991" s="7"/>
      <c r="B991" s="1407" t="str">
        <f t="shared" si="15"/>
        <v>Martí Rosa</v>
      </c>
      <c r="C991" s="1402" t="s">
        <v>3658</v>
      </c>
      <c r="D991" s="1403" t="s">
        <v>13233</v>
      </c>
      <c r="E991" s="1404" t="s">
        <v>13234</v>
      </c>
      <c r="F991" s="1405" t="s">
        <v>13211</v>
      </c>
      <c r="G991" s="1403" t="s">
        <v>14451</v>
      </c>
      <c r="H991" s="1406" t="s">
        <v>1015</v>
      </c>
    </row>
    <row r="992" spans="1:8" x14ac:dyDescent="0.2">
      <c r="A992" s="7"/>
      <c r="B992" s="1407" t="str">
        <f t="shared" si="15"/>
        <v>Erick Moreira</v>
      </c>
      <c r="C992" s="1402" t="s">
        <v>9744</v>
      </c>
      <c r="D992" s="1403" t="s">
        <v>13235</v>
      </c>
      <c r="E992" s="1404" t="s">
        <v>13236</v>
      </c>
      <c r="F992" s="1405" t="s">
        <v>13211</v>
      </c>
      <c r="G992" s="1403" t="s">
        <v>14370</v>
      </c>
      <c r="H992" s="1406" t="s">
        <v>1015</v>
      </c>
    </row>
    <row r="993" spans="1:8" x14ac:dyDescent="0.2">
      <c r="A993" s="7"/>
      <c r="B993" s="1407" t="str">
        <f t="shared" si="15"/>
        <v>Manuel Baena</v>
      </c>
      <c r="C993" s="1402" t="s">
        <v>15193</v>
      </c>
      <c r="D993" s="1403" t="s">
        <v>3171</v>
      </c>
      <c r="E993" s="1404" t="s">
        <v>15194</v>
      </c>
      <c r="F993" s="1405" t="s">
        <v>13211</v>
      </c>
      <c r="G993" s="1403" t="s">
        <v>7304</v>
      </c>
      <c r="H993" s="1406" t="s">
        <v>1015</v>
      </c>
    </row>
    <row r="994" spans="1:8" x14ac:dyDescent="0.2">
      <c r="A994" s="7"/>
      <c r="B994" s="1407" t="str">
        <f t="shared" si="15"/>
        <v>Xavi Maso</v>
      </c>
      <c r="C994" s="1402" t="s">
        <v>13818</v>
      </c>
      <c r="D994" s="1403" t="s">
        <v>13819</v>
      </c>
      <c r="E994" s="1404" t="s">
        <v>13820</v>
      </c>
      <c r="F994" s="1405" t="s">
        <v>5299</v>
      </c>
      <c r="G994" s="1403" t="s">
        <v>14451</v>
      </c>
      <c r="H994" s="1406" t="s">
        <v>1015</v>
      </c>
    </row>
    <row r="995" spans="1:8" x14ac:dyDescent="0.2">
      <c r="A995" s="7"/>
      <c r="B995" s="1407" t="str">
        <f t="shared" si="15"/>
        <v>Carles Puertas</v>
      </c>
      <c r="C995" s="1402" t="s">
        <v>13821</v>
      </c>
      <c r="D995" s="1403" t="s">
        <v>13822</v>
      </c>
      <c r="E995" s="1404" t="s">
        <v>13823</v>
      </c>
      <c r="F995" s="1405" t="s">
        <v>5300</v>
      </c>
      <c r="G995" s="1403" t="s">
        <v>14451</v>
      </c>
      <c r="H995" s="1406" t="s">
        <v>1015</v>
      </c>
    </row>
    <row r="996" spans="1:8" x14ac:dyDescent="0.2">
      <c r="A996" s="7"/>
      <c r="B996" s="1407" t="str">
        <f t="shared" si="15"/>
        <v>Julià Rosa</v>
      </c>
      <c r="C996" s="1402" t="s">
        <v>3658</v>
      </c>
      <c r="D996" s="1403" t="s">
        <v>13824</v>
      </c>
      <c r="E996" s="1404" t="s">
        <v>13825</v>
      </c>
      <c r="F996" s="1405" t="s">
        <v>1563</v>
      </c>
      <c r="G996" s="1403" t="s">
        <v>14451</v>
      </c>
      <c r="H996" s="1406" t="s">
        <v>1015</v>
      </c>
    </row>
    <row r="997" spans="1:8" x14ac:dyDescent="0.2">
      <c r="A997" s="7"/>
      <c r="B997" s="1407" t="str">
        <f t="shared" si="15"/>
        <v>Arç Barnola</v>
      </c>
      <c r="C997" s="1402" t="s">
        <v>13826</v>
      </c>
      <c r="D997" s="1403" t="s">
        <v>13827</v>
      </c>
      <c r="E997" s="1404" t="s">
        <v>13828</v>
      </c>
      <c r="F997" s="1405" t="s">
        <v>1563</v>
      </c>
      <c r="G997" s="1403" t="s">
        <v>14451</v>
      </c>
      <c r="H997" s="1406" t="s">
        <v>1015</v>
      </c>
    </row>
    <row r="998" spans="1:8" x14ac:dyDescent="0.2">
      <c r="A998" s="7"/>
      <c r="B998" s="1407" t="str">
        <f t="shared" si="15"/>
        <v>Oriol Quer</v>
      </c>
      <c r="C998" s="1402" t="s">
        <v>14460</v>
      </c>
      <c r="D998" s="1403" t="s">
        <v>14461</v>
      </c>
      <c r="E998" s="1404" t="s">
        <v>14462</v>
      </c>
      <c r="F998" s="1405" t="s">
        <v>5299</v>
      </c>
      <c r="G998" s="1403" t="s">
        <v>14451</v>
      </c>
      <c r="H998" s="1406" t="s">
        <v>1015</v>
      </c>
    </row>
    <row r="999" spans="1:8" x14ac:dyDescent="0.2">
      <c r="A999" s="7"/>
      <c r="B999" s="1407" t="str">
        <f t="shared" si="15"/>
        <v>Owen Márquez Galisteo</v>
      </c>
      <c r="C999" s="1402" t="s">
        <v>14463</v>
      </c>
      <c r="D999" s="1403" t="s">
        <v>3321</v>
      </c>
      <c r="E999" s="1404" t="s">
        <v>14464</v>
      </c>
      <c r="F999" s="1405" t="s">
        <v>1563</v>
      </c>
      <c r="G999" s="1403" t="s">
        <v>14451</v>
      </c>
      <c r="H999" s="1406" t="s">
        <v>1015</v>
      </c>
    </row>
    <row r="1000" spans="1:8" x14ac:dyDescent="0.2">
      <c r="A1000" s="7"/>
      <c r="B1000" s="1407" t="str">
        <f t="shared" si="15"/>
        <v>Xian Rodríguez Viñas</v>
      </c>
      <c r="C1000" s="1402" t="s">
        <v>17097</v>
      </c>
      <c r="D1000" s="1403" t="s">
        <v>17098</v>
      </c>
      <c r="E1000" s="1404" t="s">
        <v>17099</v>
      </c>
      <c r="F1000" s="1405" t="s">
        <v>13211</v>
      </c>
      <c r="G1000" s="1403" t="s">
        <v>7869</v>
      </c>
      <c r="H1000" s="1406" t="s">
        <v>1015</v>
      </c>
    </row>
    <row r="1001" spans="1:8" x14ac:dyDescent="0.2">
      <c r="A1001" s="7"/>
      <c r="B1001" s="1407" t="str">
        <f t="shared" si="15"/>
        <v>Massimo Barone</v>
      </c>
      <c r="C1001" s="1402" t="s">
        <v>6359</v>
      </c>
      <c r="D1001" s="1403" t="s">
        <v>3013</v>
      </c>
      <c r="E1001" s="1404" t="s">
        <v>14465</v>
      </c>
      <c r="F1001" s="1405" t="s">
        <v>5299</v>
      </c>
      <c r="G1001" s="1403" t="s">
        <v>14454</v>
      </c>
      <c r="H1001" s="1406" t="s">
        <v>1015</v>
      </c>
    </row>
    <row r="1002" spans="1:8" x14ac:dyDescent="0.2">
      <c r="A1002" s="7"/>
      <c r="B1002" s="1407" t="str">
        <f t="shared" si="15"/>
        <v>Teresa Martínez</v>
      </c>
      <c r="C1002" s="1402" t="s">
        <v>5953</v>
      </c>
      <c r="D1002" s="1403" t="s">
        <v>17786</v>
      </c>
      <c r="E1002" s="1404" t="s">
        <v>17787</v>
      </c>
      <c r="F1002" s="1405" t="s">
        <v>13210</v>
      </c>
      <c r="G1002" s="1403" t="s">
        <v>7304</v>
      </c>
      <c r="H1002" s="1406" t="s">
        <v>1015</v>
      </c>
    </row>
    <row r="1003" spans="1:8" x14ac:dyDescent="0.2">
      <c r="A1003" s="7"/>
      <c r="B1003" s="1407" t="str">
        <f t="shared" si="15"/>
        <v>Antonio Moreno Vico</v>
      </c>
      <c r="C1003" s="1402" t="s">
        <v>14467</v>
      </c>
      <c r="D1003" s="1403" t="s">
        <v>3341</v>
      </c>
      <c r="E1003" s="1404" t="s">
        <v>14468</v>
      </c>
      <c r="F1003" s="1405" t="s">
        <v>5300</v>
      </c>
      <c r="G1003" s="1403" t="s">
        <v>14872</v>
      </c>
      <c r="H1003" s="1406" t="s">
        <v>1015</v>
      </c>
    </row>
    <row r="1004" spans="1:8" x14ac:dyDescent="0.2">
      <c r="A1004" s="7"/>
      <c r="B1004" s="1407" t="str">
        <f t="shared" si="15"/>
        <v>Carlos Espada</v>
      </c>
      <c r="C1004" s="1402" t="s">
        <v>15515</v>
      </c>
      <c r="D1004" s="1403" t="s">
        <v>3008</v>
      </c>
      <c r="E1004" s="1404" t="s">
        <v>14469</v>
      </c>
      <c r="F1004" s="1405" t="s">
        <v>5300</v>
      </c>
      <c r="G1004" s="1403" t="s">
        <v>7869</v>
      </c>
      <c r="H1004" s="1406" t="s">
        <v>1015</v>
      </c>
    </row>
    <row r="1005" spans="1:8" x14ac:dyDescent="0.2">
      <c r="A1005" s="7"/>
      <c r="B1005" s="1407" t="str">
        <f t="shared" si="15"/>
        <v>Jesús García López</v>
      </c>
      <c r="C1005" s="1402" t="s">
        <v>17100</v>
      </c>
      <c r="D1005" s="1403" t="s">
        <v>3575</v>
      </c>
      <c r="E1005" s="1404" t="s">
        <v>17101</v>
      </c>
      <c r="F1005" s="1405" t="s">
        <v>5299</v>
      </c>
      <c r="G1005" s="1403" t="s">
        <v>14454</v>
      </c>
      <c r="H1005" s="1406" t="s">
        <v>1015</v>
      </c>
    </row>
    <row r="1006" spans="1:8" x14ac:dyDescent="0.2">
      <c r="A1006" s="7"/>
      <c r="B1006" s="1407" t="str">
        <f t="shared" si="15"/>
        <v>José Pérez Montero</v>
      </c>
      <c r="C1006" s="1402" t="s">
        <v>17788</v>
      </c>
      <c r="D1006" s="1403" t="s">
        <v>3232</v>
      </c>
      <c r="E1006" s="1404" t="s">
        <v>17789</v>
      </c>
      <c r="F1006" s="1405" t="s">
        <v>5299</v>
      </c>
      <c r="G1006" s="1403" t="s">
        <v>14872</v>
      </c>
      <c r="H1006" s="1406" t="s">
        <v>1015</v>
      </c>
    </row>
    <row r="1007" spans="1:8" x14ac:dyDescent="0.2">
      <c r="A1007" s="7"/>
      <c r="B1007" s="1407" t="str">
        <f t="shared" si="15"/>
        <v>Antonio Antúnez</v>
      </c>
      <c r="C1007" s="1402" t="s">
        <v>15167</v>
      </c>
      <c r="D1007" s="1403" t="s">
        <v>3341</v>
      </c>
      <c r="E1007" s="1404" t="s">
        <v>15168</v>
      </c>
      <c r="F1007" s="1405" t="s">
        <v>1563</v>
      </c>
      <c r="G1007" s="1403" t="s">
        <v>7304</v>
      </c>
      <c r="H1007" s="1406" t="s">
        <v>1015</v>
      </c>
    </row>
    <row r="1008" spans="1:8" x14ac:dyDescent="0.2">
      <c r="A1008" s="7"/>
      <c r="B1008" s="1407" t="str">
        <f t="shared" si="15"/>
        <v>Jesús Blanco</v>
      </c>
      <c r="C1008" s="1402" t="s">
        <v>15255</v>
      </c>
      <c r="D1008" s="1403" t="s">
        <v>3575</v>
      </c>
      <c r="E1008" s="1404" t="s">
        <v>15256</v>
      </c>
      <c r="F1008" s="1405" t="s">
        <v>13211</v>
      </c>
      <c r="G1008" s="1403" t="s">
        <v>7304</v>
      </c>
      <c r="H1008" s="1406" t="s">
        <v>1015</v>
      </c>
    </row>
    <row r="1009" spans="1:8" x14ac:dyDescent="0.2">
      <c r="A1009" s="7"/>
      <c r="B1009" s="1407" t="str">
        <f t="shared" si="15"/>
        <v>Alberto Marchán</v>
      </c>
      <c r="C1009" s="1402" t="s">
        <v>15853</v>
      </c>
      <c r="D1009" s="1403" t="s">
        <v>3042</v>
      </c>
      <c r="E1009" s="1404" t="s">
        <v>15854</v>
      </c>
      <c r="F1009" s="1405" t="s">
        <v>1563</v>
      </c>
      <c r="G1009" s="1403" t="s">
        <v>7304</v>
      </c>
      <c r="H1009" s="1406" t="s">
        <v>1015</v>
      </c>
    </row>
    <row r="1010" spans="1:8" x14ac:dyDescent="0.2">
      <c r="A1010" s="7"/>
      <c r="B1010" s="1407" t="str">
        <f t="shared" si="15"/>
        <v>Alejandro García</v>
      </c>
      <c r="C1010" s="1402" t="s">
        <v>7356</v>
      </c>
      <c r="D1010" s="1403" t="s">
        <v>15589</v>
      </c>
      <c r="E1010" s="1404" t="s">
        <v>15590</v>
      </c>
      <c r="F1010" s="1405" t="s">
        <v>13211</v>
      </c>
      <c r="G1010" s="1403" t="s">
        <v>7304</v>
      </c>
      <c r="H1010" s="1406" t="s">
        <v>1015</v>
      </c>
    </row>
    <row r="1011" spans="1:8" x14ac:dyDescent="0.2">
      <c r="A1011" s="7"/>
      <c r="B1011" s="1407" t="str">
        <f t="shared" si="15"/>
        <v>Joan Acuña Padilla</v>
      </c>
      <c r="C1011" s="1402" t="s">
        <v>15139</v>
      </c>
      <c r="D1011" s="1403" t="s">
        <v>15140</v>
      </c>
      <c r="E1011" s="1404" t="s">
        <v>15141</v>
      </c>
      <c r="F1011" s="1405" t="s">
        <v>13211</v>
      </c>
      <c r="G1011" s="1403" t="s">
        <v>2783</v>
      </c>
      <c r="H1011" s="1406" t="s">
        <v>1015</v>
      </c>
    </row>
    <row r="1012" spans="1:8" x14ac:dyDescent="0.2">
      <c r="A1012" s="7"/>
      <c r="B1012" s="1407" t="str">
        <f t="shared" si="15"/>
        <v>José Mª Diéguez</v>
      </c>
      <c r="C1012" s="1402" t="s">
        <v>15483</v>
      </c>
      <c r="D1012" s="1403" t="s">
        <v>15484</v>
      </c>
      <c r="E1012" s="1404" t="s">
        <v>15485</v>
      </c>
      <c r="F1012" s="1405" t="s">
        <v>5299</v>
      </c>
      <c r="G1012" s="1403" t="s">
        <v>2783</v>
      </c>
      <c r="H1012" s="1406" t="s">
        <v>1015</v>
      </c>
    </row>
    <row r="1013" spans="1:8" x14ac:dyDescent="0.2">
      <c r="A1013" s="7"/>
      <c r="B1013" s="1407" t="str">
        <f t="shared" si="15"/>
        <v>Cesc Vidal Torner</v>
      </c>
      <c r="C1013" s="1402" t="s">
        <v>17790</v>
      </c>
      <c r="D1013" s="1403" t="s">
        <v>17791</v>
      </c>
      <c r="E1013" s="1404" t="s">
        <v>17792</v>
      </c>
      <c r="F1013" s="1405" t="s">
        <v>13211</v>
      </c>
      <c r="G1013" s="1403" t="s">
        <v>14451</v>
      </c>
      <c r="H1013" s="1406" t="s">
        <v>1015</v>
      </c>
    </row>
    <row r="1014" spans="1:8" x14ac:dyDescent="0.2">
      <c r="A1014" s="7"/>
      <c r="B1014" s="1407" t="str">
        <f t="shared" si="15"/>
        <v>Diego Barone Sánchez</v>
      </c>
      <c r="C1014" s="1402" t="s">
        <v>15222</v>
      </c>
      <c r="D1014" s="1403" t="s">
        <v>3373</v>
      </c>
      <c r="E1014" s="1404" t="s">
        <v>15223</v>
      </c>
      <c r="F1014" s="1405" t="s">
        <v>1563</v>
      </c>
      <c r="G1014" s="1403" t="s">
        <v>14454</v>
      </c>
      <c r="H1014" s="1406" t="s">
        <v>1015</v>
      </c>
    </row>
    <row r="1015" spans="1:8" x14ac:dyDescent="0.2">
      <c r="A1015" s="7"/>
      <c r="B1015" s="1407" t="str">
        <f t="shared" si="15"/>
        <v>Juan Antonio Montaño</v>
      </c>
      <c r="C1015" s="1402" t="s">
        <v>5962</v>
      </c>
      <c r="D1015" s="1403" t="s">
        <v>5595</v>
      </c>
      <c r="E1015" s="1404" t="s">
        <v>17793</v>
      </c>
      <c r="F1015" s="1405" t="s">
        <v>1563</v>
      </c>
      <c r="G1015" s="1403" t="s">
        <v>7304</v>
      </c>
      <c r="H1015" s="1406" t="s">
        <v>1015</v>
      </c>
    </row>
    <row r="1016" spans="1:8" x14ac:dyDescent="0.2">
      <c r="A1016" s="7"/>
      <c r="B1016" s="1407" t="str">
        <f t="shared" si="15"/>
        <v>Raúl Romera</v>
      </c>
      <c r="C1016" s="1402" t="s">
        <v>17102</v>
      </c>
      <c r="D1016" s="1403" t="s">
        <v>3497</v>
      </c>
      <c r="E1016" s="1404" t="s">
        <v>16141</v>
      </c>
      <c r="F1016" s="1405" t="s">
        <v>5299</v>
      </c>
      <c r="G1016" s="1403" t="s">
        <v>14872</v>
      </c>
      <c r="H1016" s="1406" t="s">
        <v>1015</v>
      </c>
    </row>
    <row r="1017" spans="1:8" x14ac:dyDescent="0.2">
      <c r="A1017" s="7"/>
      <c r="B1017" s="1407" t="str">
        <f t="shared" si="15"/>
        <v>Gonzalo Reguera Muñoz</v>
      </c>
      <c r="C1017" s="1402" t="s">
        <v>16121</v>
      </c>
      <c r="D1017" s="1403" t="s">
        <v>3403</v>
      </c>
      <c r="E1017" s="1404" t="s">
        <v>16122</v>
      </c>
      <c r="F1017" s="1405" t="s">
        <v>1563</v>
      </c>
      <c r="G1017" s="1403" t="s">
        <v>7871</v>
      </c>
      <c r="H1017" s="1406" t="s">
        <v>1015</v>
      </c>
    </row>
    <row r="1018" spans="1:8" x14ac:dyDescent="0.2">
      <c r="A1018" s="7"/>
      <c r="B1018" s="1407" t="str">
        <f t="shared" si="15"/>
        <v>Andrés Puerto</v>
      </c>
      <c r="C1018" s="1402" t="s">
        <v>16088</v>
      </c>
      <c r="D1018" s="1403" t="s">
        <v>7467</v>
      </c>
      <c r="E1018" s="1404" t="s">
        <v>16089</v>
      </c>
      <c r="F1018" s="1405" t="s">
        <v>13211</v>
      </c>
      <c r="G1018" s="1403" t="s">
        <v>7304</v>
      </c>
      <c r="H1018" s="1406" t="s">
        <v>1015</v>
      </c>
    </row>
    <row r="1019" spans="1:8" x14ac:dyDescent="0.2">
      <c r="A1019" s="7"/>
      <c r="B1019" s="1407" t="str">
        <f t="shared" si="15"/>
        <v>Joaquín Harillo</v>
      </c>
      <c r="C1019" s="1402" t="s">
        <v>17794</v>
      </c>
      <c r="D1019" s="1403" t="s">
        <v>8220</v>
      </c>
      <c r="E1019" s="1404" t="s">
        <v>17795</v>
      </c>
      <c r="F1019" s="1405" t="s">
        <v>13211</v>
      </c>
      <c r="G1019" s="1403" t="s">
        <v>7304</v>
      </c>
      <c r="H1019" s="1406" t="s">
        <v>1015</v>
      </c>
    </row>
    <row r="1020" spans="1:8" x14ac:dyDescent="0.2">
      <c r="A1020" s="7"/>
      <c r="B1020" s="1407" t="str">
        <f t="shared" si="15"/>
        <v>Curro Martín</v>
      </c>
      <c r="C1020" s="1402" t="s">
        <v>5634</v>
      </c>
      <c r="D1020" s="1403" t="s">
        <v>17548</v>
      </c>
      <c r="E1020" s="1404" t="s">
        <v>17549</v>
      </c>
      <c r="F1020" s="1405" t="s">
        <v>13211</v>
      </c>
      <c r="G1020" s="1403" t="s">
        <v>7304</v>
      </c>
      <c r="H1020" s="1406" t="s">
        <v>1015</v>
      </c>
    </row>
    <row r="1021" spans="1:8" x14ac:dyDescent="0.2">
      <c r="A1021" s="7"/>
      <c r="B1021" s="1407" t="str">
        <f t="shared" si="15"/>
        <v>Rafael García Corredera</v>
      </c>
      <c r="C1021" s="1402" t="s">
        <v>15591</v>
      </c>
      <c r="D1021" s="1403" t="s">
        <v>9410</v>
      </c>
      <c r="E1021" s="1404" t="s">
        <v>15592</v>
      </c>
      <c r="F1021" s="1405" t="s">
        <v>1563</v>
      </c>
      <c r="G1021" s="1403" t="s">
        <v>7304</v>
      </c>
      <c r="H1021" s="1406" t="s">
        <v>1015</v>
      </c>
    </row>
    <row r="1022" spans="1:8" x14ac:dyDescent="0.2">
      <c r="A1022" s="7"/>
      <c r="B1022" s="1407" t="str">
        <f t="shared" si="15"/>
        <v>David Mercado</v>
      </c>
      <c r="C1022" s="1402" t="s">
        <v>17103</v>
      </c>
      <c r="D1022" s="1403" t="s">
        <v>3072</v>
      </c>
      <c r="E1022" s="1404" t="s">
        <v>16959</v>
      </c>
      <c r="F1022" s="1405" t="s">
        <v>5300</v>
      </c>
      <c r="G1022" s="1403" t="s">
        <v>2769</v>
      </c>
      <c r="H1022" s="1406" t="s">
        <v>1015</v>
      </c>
    </row>
    <row r="1023" spans="1:8" x14ac:dyDescent="0.2">
      <c r="A1023" s="7"/>
      <c r="B1023" s="1407" t="str">
        <f t="shared" si="15"/>
        <v>Rafael Blasco</v>
      </c>
      <c r="C1023" s="1402" t="s">
        <v>16894</v>
      </c>
      <c r="D1023" s="1403" t="s">
        <v>9410</v>
      </c>
      <c r="E1023" s="1404" t="s">
        <v>16895</v>
      </c>
      <c r="F1023" s="1405" t="s">
        <v>5300</v>
      </c>
      <c r="G1023" s="1403" t="s">
        <v>14359</v>
      </c>
      <c r="H1023" s="1406" t="s">
        <v>1015</v>
      </c>
    </row>
    <row r="1024" spans="1:8" x14ac:dyDescent="0.2">
      <c r="A1024" s="7"/>
      <c r="B1024" s="1407" t="str">
        <f t="shared" si="15"/>
        <v>Alfredo Soria García</v>
      </c>
      <c r="C1024" s="1402" t="s">
        <v>16985</v>
      </c>
      <c r="D1024" s="1403" t="s">
        <v>3587</v>
      </c>
      <c r="E1024" s="1404" t="s">
        <v>16986</v>
      </c>
      <c r="F1024" s="1405" t="s">
        <v>1563</v>
      </c>
      <c r="G1024" s="1403" t="s">
        <v>7304</v>
      </c>
      <c r="H1024" s="1406" t="s">
        <v>1015</v>
      </c>
    </row>
    <row r="1025" spans="1:8" x14ac:dyDescent="0.2">
      <c r="A1025" s="7"/>
      <c r="B1025" s="1407" t="str">
        <f t="shared" si="15"/>
        <v>Adrià Acuña Padilla</v>
      </c>
      <c r="C1025" s="1402" t="s">
        <v>15139</v>
      </c>
      <c r="D1025" s="1403" t="s">
        <v>16883</v>
      </c>
      <c r="E1025" s="1404" t="s">
        <v>16888</v>
      </c>
      <c r="F1025" s="1405" t="s">
        <v>1563</v>
      </c>
      <c r="G1025" s="1403" t="s">
        <v>2783</v>
      </c>
      <c r="H1025" s="1406" t="s">
        <v>1015</v>
      </c>
    </row>
    <row r="1026" spans="1:8" x14ac:dyDescent="0.2">
      <c r="A1026" s="7"/>
      <c r="B1026" s="1407" t="str">
        <f t="shared" si="15"/>
        <v>Martí Acuña Padilla</v>
      </c>
      <c r="C1026" s="1402" t="s">
        <v>15139</v>
      </c>
      <c r="D1026" s="1403" t="s">
        <v>13233</v>
      </c>
      <c r="E1026" s="1404" t="s">
        <v>16889</v>
      </c>
      <c r="F1026" s="1405" t="s">
        <v>1563</v>
      </c>
      <c r="G1026" s="1403" t="s">
        <v>2783</v>
      </c>
      <c r="H1026" s="1406" t="s">
        <v>1015</v>
      </c>
    </row>
    <row r="1027" spans="1:8" x14ac:dyDescent="0.2">
      <c r="A1027" s="7"/>
      <c r="B1027" s="1407" t="str">
        <f t="shared" si="15"/>
        <v>Fernando Iñigo Villacorta</v>
      </c>
      <c r="C1027" s="1402" t="s">
        <v>17104</v>
      </c>
      <c r="D1027" s="1403" t="s">
        <v>3292</v>
      </c>
      <c r="E1027" s="1404" t="s">
        <v>17105</v>
      </c>
      <c r="F1027" s="1405" t="s">
        <v>5299</v>
      </c>
      <c r="G1027" s="1403" t="s">
        <v>2769</v>
      </c>
      <c r="H1027" s="1406" t="s">
        <v>1015</v>
      </c>
    </row>
    <row r="1028" spans="1:8" x14ac:dyDescent="0.2">
      <c r="A1028" s="7"/>
      <c r="B1028" s="1407" t="str">
        <f t="shared" si="15"/>
        <v>Pablo Iñigo Acosta</v>
      </c>
      <c r="C1028" s="1402" t="s">
        <v>17106</v>
      </c>
      <c r="D1028" s="1403" t="s">
        <v>15195</v>
      </c>
      <c r="E1028" s="1404" t="s">
        <v>17107</v>
      </c>
      <c r="F1028" s="1405" t="s">
        <v>1563</v>
      </c>
      <c r="G1028" s="1403" t="s">
        <v>2769</v>
      </c>
      <c r="H1028" s="1406" t="s">
        <v>1015</v>
      </c>
    </row>
    <row r="1029" spans="1:8" x14ac:dyDescent="0.2">
      <c r="A1029" s="7"/>
      <c r="B1029" s="1407" t="str">
        <f t="shared" si="15"/>
        <v>Rafael García Luque</v>
      </c>
      <c r="C1029" s="1402" t="s">
        <v>17108</v>
      </c>
      <c r="D1029" s="1403" t="s">
        <v>9410</v>
      </c>
      <c r="E1029" s="1404" t="s">
        <v>17109</v>
      </c>
      <c r="F1029" s="1405" t="s">
        <v>5300</v>
      </c>
      <c r="G1029" s="1403" t="s">
        <v>7304</v>
      </c>
      <c r="H1029" s="1406" t="s">
        <v>1015</v>
      </c>
    </row>
    <row r="1030" spans="1:8" x14ac:dyDescent="0.2">
      <c r="A1030" s="7"/>
      <c r="B1030" s="1407" t="str">
        <f t="shared" si="15"/>
        <v>Juan Carlos Alcolea Martínez</v>
      </c>
      <c r="C1030" s="1402" t="s">
        <v>17110</v>
      </c>
      <c r="D1030" s="1403" t="s">
        <v>3091</v>
      </c>
      <c r="E1030" s="1404" t="s">
        <v>17111</v>
      </c>
      <c r="F1030" s="1405" t="s">
        <v>5299</v>
      </c>
      <c r="G1030" s="1403" t="s">
        <v>7183</v>
      </c>
      <c r="H1030" s="1406" t="s">
        <v>1015</v>
      </c>
    </row>
    <row r="1031" spans="1:8" x14ac:dyDescent="0.2">
      <c r="A1031" s="7"/>
      <c r="B1031" s="1407" t="str">
        <f t="shared" ref="B1031:B1094" si="16">TRIM(CONCATENATE(D1031," ",C1031))</f>
        <v>Alejandro Alcolea Martínez</v>
      </c>
      <c r="C1031" s="1402" t="s">
        <v>17110</v>
      </c>
      <c r="D1031" s="1403" t="s">
        <v>15589</v>
      </c>
      <c r="E1031" s="1404" t="s">
        <v>17112</v>
      </c>
      <c r="F1031" s="1405" t="s">
        <v>1563</v>
      </c>
      <c r="G1031" s="1403" t="s">
        <v>7183</v>
      </c>
      <c r="H1031" s="1406" t="s">
        <v>1015</v>
      </c>
    </row>
    <row r="1032" spans="1:8" x14ac:dyDescent="0.2">
      <c r="A1032" s="7"/>
      <c r="B1032" s="1407" t="str">
        <f t="shared" si="16"/>
        <v>Miguel Vera Palacios</v>
      </c>
      <c r="C1032" s="1402" t="s">
        <v>17796</v>
      </c>
      <c r="D1032" s="1403" t="s">
        <v>3089</v>
      </c>
      <c r="E1032" s="1404" t="s">
        <v>17797</v>
      </c>
      <c r="F1032" s="1405" t="s">
        <v>1563</v>
      </c>
      <c r="G1032" s="1403" t="s">
        <v>7304</v>
      </c>
      <c r="H1032" s="1406" t="s">
        <v>1015</v>
      </c>
    </row>
    <row r="1033" spans="1:8" x14ac:dyDescent="0.2">
      <c r="A1033" s="7"/>
      <c r="B1033" s="1407" t="str">
        <f t="shared" si="16"/>
        <v>Luis Cruz Gallardo</v>
      </c>
      <c r="C1033" s="1402" t="s">
        <v>17798</v>
      </c>
      <c r="D1033" s="1403" t="s">
        <v>3683</v>
      </c>
      <c r="E1033" s="1404" t="s">
        <v>17799</v>
      </c>
      <c r="F1033" s="1405" t="s">
        <v>1563</v>
      </c>
      <c r="G1033" s="1403" t="s">
        <v>7304</v>
      </c>
      <c r="H1033" s="1406" t="s">
        <v>1015</v>
      </c>
    </row>
    <row r="1034" spans="1:8" x14ac:dyDescent="0.2">
      <c r="A1034" s="7"/>
      <c r="B1034" s="1407" t="str">
        <f t="shared" si="16"/>
        <v>José Ayala Ramírez</v>
      </c>
      <c r="C1034" s="1402" t="s">
        <v>17800</v>
      </c>
      <c r="D1034" s="1403" t="s">
        <v>3232</v>
      </c>
      <c r="E1034" s="1404" t="s">
        <v>17801</v>
      </c>
      <c r="F1034" s="1405" t="s">
        <v>1563</v>
      </c>
      <c r="G1034" s="1403" t="s">
        <v>7304</v>
      </c>
      <c r="H1034" s="1406" t="s">
        <v>1015</v>
      </c>
    </row>
    <row r="1035" spans="1:8" x14ac:dyDescent="0.2">
      <c r="A1035" s="7"/>
      <c r="B1035" s="1407" t="str">
        <f t="shared" si="16"/>
        <v>Mario Moral Blanco</v>
      </c>
      <c r="C1035" s="1402" t="s">
        <v>17802</v>
      </c>
      <c r="D1035" s="1403" t="s">
        <v>3079</v>
      </c>
      <c r="E1035" s="1404" t="s">
        <v>17803</v>
      </c>
      <c r="F1035" s="1405" t="s">
        <v>13211</v>
      </c>
      <c r="G1035" s="1403" t="s">
        <v>7304</v>
      </c>
      <c r="H1035" s="1406" t="s">
        <v>1015</v>
      </c>
    </row>
    <row r="1036" spans="1:8" x14ac:dyDescent="0.2">
      <c r="A1036" s="7"/>
      <c r="B1036" s="1407" t="str">
        <f t="shared" si="16"/>
        <v>Andrés Garrido Robles</v>
      </c>
      <c r="C1036" s="1402" t="s">
        <v>17804</v>
      </c>
      <c r="D1036" s="1403" t="s">
        <v>7467</v>
      </c>
      <c r="E1036" s="1404" t="s">
        <v>17805</v>
      </c>
      <c r="F1036" s="1405" t="s">
        <v>1563</v>
      </c>
      <c r="G1036" s="1403" t="s">
        <v>7304</v>
      </c>
      <c r="H1036" s="1406" t="s">
        <v>1015</v>
      </c>
    </row>
    <row r="1037" spans="1:8" x14ac:dyDescent="0.2">
      <c r="A1037" s="7"/>
      <c r="B1037" s="1407" t="str">
        <f t="shared" si="16"/>
        <v>Alvaro Palacios Palacios</v>
      </c>
      <c r="C1037" s="1402" t="s">
        <v>17806</v>
      </c>
      <c r="D1037" s="1403" t="s">
        <v>5541</v>
      </c>
      <c r="E1037" s="1404" t="s">
        <v>17807</v>
      </c>
      <c r="F1037" s="1405" t="s">
        <v>1563</v>
      </c>
      <c r="G1037" s="1403" t="s">
        <v>7304</v>
      </c>
      <c r="H1037" s="1406" t="s">
        <v>1015</v>
      </c>
    </row>
    <row r="1038" spans="1:8" x14ac:dyDescent="0.2">
      <c r="A1038" s="7"/>
      <c r="B1038" s="1407" t="str">
        <f t="shared" si="16"/>
        <v>Javier Alvarez Torres</v>
      </c>
      <c r="C1038" s="1402" t="s">
        <v>17808</v>
      </c>
      <c r="D1038" s="1403" t="s">
        <v>3574</v>
      </c>
      <c r="E1038" s="1404" t="s">
        <v>17809</v>
      </c>
      <c r="F1038" s="1405" t="s">
        <v>1563</v>
      </c>
      <c r="G1038" s="1403" t="s">
        <v>7304</v>
      </c>
      <c r="H1038" s="1406" t="s">
        <v>1015</v>
      </c>
    </row>
    <row r="1039" spans="1:8" x14ac:dyDescent="0.2">
      <c r="A1039" s="7"/>
      <c r="B1039" s="1407" t="str">
        <f t="shared" si="16"/>
        <v>Juanchi Martín Díaz</v>
      </c>
      <c r="C1039" s="1402" t="s">
        <v>17810</v>
      </c>
      <c r="D1039" s="1403" t="s">
        <v>17811</v>
      </c>
      <c r="E1039" s="1404" t="s">
        <v>17812</v>
      </c>
      <c r="F1039" s="1405" t="s">
        <v>1563</v>
      </c>
      <c r="G1039" s="1403" t="s">
        <v>7304</v>
      </c>
      <c r="H1039" s="1406" t="s">
        <v>1015</v>
      </c>
    </row>
    <row r="1040" spans="1:8" x14ac:dyDescent="0.2">
      <c r="A1040" s="7"/>
      <c r="B1040" s="1407" t="str">
        <f t="shared" si="16"/>
        <v>Alvaro Castellano Rodríguez</v>
      </c>
      <c r="C1040" s="1402" t="s">
        <v>17813</v>
      </c>
      <c r="D1040" s="1403" t="s">
        <v>5541</v>
      </c>
      <c r="E1040" s="1404" t="s">
        <v>17814</v>
      </c>
      <c r="F1040" s="1405" t="s">
        <v>1563</v>
      </c>
      <c r="G1040" s="1403" t="s">
        <v>7304</v>
      </c>
      <c r="H1040" s="1406" t="s">
        <v>1015</v>
      </c>
    </row>
    <row r="1041" spans="1:8" x14ac:dyDescent="0.2">
      <c r="A1041" s="7"/>
      <c r="B1041" s="1407" t="str">
        <f t="shared" si="16"/>
        <v>Gerardo Borrego González</v>
      </c>
      <c r="C1041" s="1402" t="s">
        <v>17815</v>
      </c>
      <c r="D1041" s="1403" t="s">
        <v>3071</v>
      </c>
      <c r="E1041" s="1404" t="s">
        <v>17816</v>
      </c>
      <c r="F1041" s="1405" t="s">
        <v>1563</v>
      </c>
      <c r="G1041" s="1403" t="s">
        <v>7304</v>
      </c>
      <c r="H1041" s="1406" t="s">
        <v>1015</v>
      </c>
    </row>
    <row r="1042" spans="1:8" x14ac:dyDescent="0.2">
      <c r="A1042" s="7"/>
      <c r="B1042" s="1407" t="str">
        <f t="shared" si="16"/>
        <v>Luis Reina Osuna</v>
      </c>
      <c r="C1042" s="1402" t="s">
        <v>17817</v>
      </c>
      <c r="D1042" s="1403" t="s">
        <v>3683</v>
      </c>
      <c r="E1042" s="1404" t="s">
        <v>17818</v>
      </c>
      <c r="F1042" s="1405" t="s">
        <v>1563</v>
      </c>
      <c r="G1042" s="1403" t="s">
        <v>7304</v>
      </c>
      <c r="H1042" s="1406" t="s">
        <v>1015</v>
      </c>
    </row>
    <row r="1043" spans="1:8" x14ac:dyDescent="0.2">
      <c r="A1043" s="7"/>
      <c r="B1043" s="1407" t="str">
        <f t="shared" si="16"/>
        <v>Joan Fontcuberta Famadas Joan</v>
      </c>
      <c r="C1043" s="1402" t="s">
        <v>17819</v>
      </c>
      <c r="D1043" s="1403" t="s">
        <v>15140</v>
      </c>
      <c r="E1043" s="1404" t="s">
        <v>17820</v>
      </c>
      <c r="F1043" s="1405" t="s">
        <v>5299</v>
      </c>
      <c r="G1043" s="1403" t="s">
        <v>14359</v>
      </c>
      <c r="H1043" s="1406" t="s">
        <v>1015</v>
      </c>
    </row>
    <row r="1044" spans="1:8" x14ac:dyDescent="0.2">
      <c r="A1044" s="7"/>
      <c r="B1044" s="1407" t="str">
        <f t="shared" si="16"/>
        <v>Alvaro Chacón Jiménez</v>
      </c>
      <c r="C1044" s="1402" t="s">
        <v>17821</v>
      </c>
      <c r="D1044" s="1403" t="s">
        <v>5541</v>
      </c>
      <c r="E1044" s="1404" t="s">
        <v>17822</v>
      </c>
      <c r="F1044" s="1405" t="s">
        <v>1563</v>
      </c>
      <c r="G1044" s="1403" t="s">
        <v>7304</v>
      </c>
      <c r="H1044" s="1406" t="s">
        <v>1015</v>
      </c>
    </row>
    <row r="1045" spans="1:8" x14ac:dyDescent="0.2">
      <c r="A1045" s="7"/>
      <c r="B1045" s="1407" t="str">
        <f t="shared" si="16"/>
        <v>Jordi Herraiz Delgado</v>
      </c>
      <c r="C1045" s="1402" t="s">
        <v>17823</v>
      </c>
      <c r="D1045" s="1403" t="s">
        <v>17544</v>
      </c>
      <c r="E1045" s="1404" t="s">
        <v>17824</v>
      </c>
      <c r="F1045" s="1405" t="s">
        <v>5300</v>
      </c>
      <c r="G1045" s="1403" t="s">
        <v>14451</v>
      </c>
      <c r="H1045" s="1406" t="s">
        <v>1015</v>
      </c>
    </row>
    <row r="1046" spans="1:8" x14ac:dyDescent="0.2">
      <c r="A1046" s="7"/>
      <c r="B1046" s="1407" t="str">
        <f t="shared" si="16"/>
        <v>Roberto Rodríguez Segura</v>
      </c>
      <c r="C1046" s="1402" t="s">
        <v>17825</v>
      </c>
      <c r="D1046" s="1403" t="s">
        <v>3279</v>
      </c>
      <c r="E1046" s="1404" t="s">
        <v>17826</v>
      </c>
      <c r="F1046" s="1405" t="s">
        <v>1563</v>
      </c>
      <c r="G1046" s="1403" t="s">
        <v>7304</v>
      </c>
      <c r="H1046" s="1406" t="s">
        <v>1015</v>
      </c>
    </row>
    <row r="1047" spans="1:8" x14ac:dyDescent="0.2">
      <c r="A1047" s="7"/>
      <c r="B1047" s="1407" t="str">
        <f t="shared" si="16"/>
        <v>Pedro Rodríguez Reyes</v>
      </c>
      <c r="C1047" s="1402" t="s">
        <v>17827</v>
      </c>
      <c r="D1047" s="1403" t="s">
        <v>5604</v>
      </c>
      <c r="E1047" s="1404" t="s">
        <v>17828</v>
      </c>
      <c r="F1047" s="1405" t="s">
        <v>1563</v>
      </c>
      <c r="G1047" s="1403" t="s">
        <v>7304</v>
      </c>
      <c r="H1047" s="1406" t="s">
        <v>1015</v>
      </c>
    </row>
    <row r="1048" spans="1:8" x14ac:dyDescent="0.2">
      <c r="A1048" s="7"/>
      <c r="B1048" s="1407" t="str">
        <f t="shared" si="16"/>
        <v>Lionel Abecassis</v>
      </c>
      <c r="C1048" s="1402" t="s">
        <v>17573</v>
      </c>
      <c r="D1048" s="1403" t="s">
        <v>17574</v>
      </c>
      <c r="E1048" s="1404" t="s">
        <v>17575</v>
      </c>
      <c r="F1048" s="1405" t="s">
        <v>5300</v>
      </c>
      <c r="G1048" s="1403" t="s">
        <v>14359</v>
      </c>
      <c r="H1048" s="1406" t="s">
        <v>1019</v>
      </c>
    </row>
    <row r="1049" spans="1:8" x14ac:dyDescent="0.2">
      <c r="A1049" s="7"/>
      <c r="B1049" s="1407" t="str">
        <f t="shared" si="16"/>
        <v>Jean-Marie Amberny</v>
      </c>
      <c r="C1049" s="1402" t="s">
        <v>5976</v>
      </c>
      <c r="D1049" s="1403" t="s">
        <v>3082</v>
      </c>
      <c r="E1049" s="1404" t="s">
        <v>2875</v>
      </c>
      <c r="F1049" s="1405" t="s">
        <v>5300</v>
      </c>
      <c r="G1049" s="1403" t="s">
        <v>2754</v>
      </c>
      <c r="H1049" s="1406" t="s">
        <v>1019</v>
      </c>
    </row>
    <row r="1050" spans="1:8" x14ac:dyDescent="0.2">
      <c r="A1050" s="7"/>
      <c r="B1050" s="1407" t="str">
        <f t="shared" si="16"/>
        <v>Mael Archerray</v>
      </c>
      <c r="C1050" s="1402" t="s">
        <v>17829</v>
      </c>
      <c r="D1050" s="1403" t="s">
        <v>13658</v>
      </c>
      <c r="E1050" s="1404" t="s">
        <v>17830</v>
      </c>
      <c r="F1050" s="1405" t="s">
        <v>1563</v>
      </c>
      <c r="G1050" s="1403" t="s">
        <v>2893</v>
      </c>
      <c r="H1050" s="1406" t="s">
        <v>1019</v>
      </c>
    </row>
    <row r="1051" spans="1:8" x14ac:dyDescent="0.2">
      <c r="A1051" s="7"/>
      <c r="B1051" s="1407" t="str">
        <f t="shared" si="16"/>
        <v>Laurent Arduise</v>
      </c>
      <c r="C1051" s="1402" t="s">
        <v>15170</v>
      </c>
      <c r="D1051" s="1403" t="s">
        <v>3123</v>
      </c>
      <c r="E1051" s="1404" t="s">
        <v>14472</v>
      </c>
      <c r="F1051" s="1405" t="s">
        <v>5300</v>
      </c>
      <c r="G1051" s="1403" t="s">
        <v>14359</v>
      </c>
      <c r="H1051" s="1406" t="s">
        <v>1019</v>
      </c>
    </row>
    <row r="1052" spans="1:8" x14ac:dyDescent="0.2">
      <c r="A1052" s="7"/>
      <c r="B1052" s="1407" t="str">
        <f t="shared" si="16"/>
        <v>Thierry Arnaudin</v>
      </c>
      <c r="C1052" s="1402" t="s">
        <v>15174</v>
      </c>
      <c r="D1052" s="1403" t="s">
        <v>3332</v>
      </c>
      <c r="E1052" s="1404" t="s">
        <v>14473</v>
      </c>
      <c r="F1052" s="1405" t="s">
        <v>5300</v>
      </c>
      <c r="G1052" s="1403" t="s">
        <v>13838</v>
      </c>
      <c r="H1052" s="1406" t="s">
        <v>1019</v>
      </c>
    </row>
    <row r="1053" spans="1:8" x14ac:dyDescent="0.2">
      <c r="A1053" s="7"/>
      <c r="B1053" s="1407" t="str">
        <f t="shared" si="16"/>
        <v>Laurent Ausset</v>
      </c>
      <c r="C1053" s="1402" t="s">
        <v>14474</v>
      </c>
      <c r="D1053" s="1403" t="s">
        <v>3123</v>
      </c>
      <c r="E1053" s="1404" t="s">
        <v>14475</v>
      </c>
      <c r="F1053" s="1405" t="s">
        <v>5300</v>
      </c>
      <c r="G1053" s="1403" t="s">
        <v>15183</v>
      </c>
      <c r="H1053" s="1406" t="s">
        <v>1019</v>
      </c>
    </row>
    <row r="1054" spans="1:8" x14ac:dyDescent="0.2">
      <c r="A1054" s="7"/>
      <c r="B1054" s="1407" t="str">
        <f t="shared" si="16"/>
        <v>Quentin Ausset</v>
      </c>
      <c r="C1054" s="1402" t="s">
        <v>14474</v>
      </c>
      <c r="D1054" s="1403" t="s">
        <v>3681</v>
      </c>
      <c r="E1054" s="1404" t="s">
        <v>14476</v>
      </c>
      <c r="F1054" s="1405" t="s">
        <v>13210</v>
      </c>
      <c r="G1054" s="1403" t="s">
        <v>15183</v>
      </c>
      <c r="H1054" s="1406" t="s">
        <v>1019</v>
      </c>
    </row>
    <row r="1055" spans="1:8" x14ac:dyDescent="0.2">
      <c r="A1055" s="7"/>
      <c r="B1055" s="1407" t="str">
        <f t="shared" si="16"/>
        <v>Vincent Auzilleau</v>
      </c>
      <c r="C1055" s="1402" t="s">
        <v>17831</v>
      </c>
      <c r="D1055" s="1403" t="s">
        <v>3457</v>
      </c>
      <c r="E1055" s="1404" t="s">
        <v>17832</v>
      </c>
      <c r="F1055" s="1405" t="s">
        <v>5300</v>
      </c>
      <c r="G1055" s="1403" t="s">
        <v>13838</v>
      </c>
      <c r="H1055" s="1406" t="s">
        <v>1019</v>
      </c>
    </row>
    <row r="1056" spans="1:8" x14ac:dyDescent="0.2">
      <c r="A1056" s="7"/>
      <c r="B1056" s="1407" t="str">
        <f t="shared" si="16"/>
        <v>Alban Badignon</v>
      </c>
      <c r="C1056" s="1402" t="s">
        <v>17153</v>
      </c>
      <c r="D1056" s="1403" t="s">
        <v>15259</v>
      </c>
      <c r="E1056" s="1404" t="s">
        <v>17154</v>
      </c>
      <c r="F1056" s="1405" t="s">
        <v>13211</v>
      </c>
      <c r="G1056" s="1403" t="s">
        <v>2796</v>
      </c>
      <c r="H1056" s="1406" t="s">
        <v>1019</v>
      </c>
    </row>
    <row r="1057" spans="1:8" x14ac:dyDescent="0.2">
      <c r="A1057" s="7"/>
      <c r="B1057" s="1407" t="str">
        <f t="shared" si="16"/>
        <v>Jean-François Balard</v>
      </c>
      <c r="C1057" s="1402" t="s">
        <v>11018</v>
      </c>
      <c r="D1057" s="1403" t="s">
        <v>3360</v>
      </c>
      <c r="E1057" s="1404" t="s">
        <v>11094</v>
      </c>
      <c r="F1057" s="1405" t="s">
        <v>5300</v>
      </c>
      <c r="G1057" s="1403" t="s">
        <v>2795</v>
      </c>
      <c r="H1057" s="1406" t="s">
        <v>1019</v>
      </c>
    </row>
    <row r="1058" spans="1:8" x14ac:dyDescent="0.2">
      <c r="A1058" s="7"/>
      <c r="B1058" s="1407" t="str">
        <f t="shared" si="16"/>
        <v>Manuel Baldassare</v>
      </c>
      <c r="C1058" s="1402" t="s">
        <v>17833</v>
      </c>
      <c r="D1058" s="1403" t="s">
        <v>3171</v>
      </c>
      <c r="E1058" s="1404" t="s">
        <v>17834</v>
      </c>
      <c r="F1058" s="1405" t="s">
        <v>5299</v>
      </c>
      <c r="G1058" s="1403" t="s">
        <v>17166</v>
      </c>
      <c r="H1058" s="1406" t="s">
        <v>1019</v>
      </c>
    </row>
    <row r="1059" spans="1:8" x14ac:dyDescent="0.2">
      <c r="A1059" s="7"/>
      <c r="B1059" s="1407" t="str">
        <f t="shared" si="16"/>
        <v>Jerome Barlet</v>
      </c>
      <c r="C1059" s="1402" t="s">
        <v>17835</v>
      </c>
      <c r="D1059" s="1403" t="s">
        <v>17115</v>
      </c>
      <c r="E1059" s="1404" t="s">
        <v>17836</v>
      </c>
      <c r="F1059" s="1405" t="s">
        <v>5300</v>
      </c>
      <c r="G1059" s="1403" t="s">
        <v>15842</v>
      </c>
      <c r="H1059" s="1406" t="s">
        <v>1019</v>
      </c>
    </row>
    <row r="1060" spans="1:8" x14ac:dyDescent="0.2">
      <c r="A1060" s="7"/>
      <c r="B1060" s="1407" t="str">
        <f t="shared" si="16"/>
        <v>Michel Barrot</v>
      </c>
      <c r="C1060" s="1402" t="s">
        <v>17552</v>
      </c>
      <c r="D1060" s="1403" t="s">
        <v>3555</v>
      </c>
      <c r="E1060" s="1404" t="s">
        <v>17553</v>
      </c>
      <c r="F1060" s="1405" t="s">
        <v>5300</v>
      </c>
      <c r="G1060" s="1403" t="s">
        <v>14359</v>
      </c>
      <c r="H1060" s="1406" t="s">
        <v>1019</v>
      </c>
    </row>
    <row r="1061" spans="1:8" x14ac:dyDescent="0.2">
      <c r="A1061" s="7"/>
      <c r="B1061" s="1407" t="str">
        <f t="shared" si="16"/>
        <v>Olivier Bastin</v>
      </c>
      <c r="C1061" s="1402" t="s">
        <v>11019</v>
      </c>
      <c r="D1061" s="1403" t="s">
        <v>3193</v>
      </c>
      <c r="E1061" s="1404" t="s">
        <v>11096</v>
      </c>
      <c r="F1061" s="1405" t="s">
        <v>5299</v>
      </c>
      <c r="G1061" s="1403" t="s">
        <v>2795</v>
      </c>
      <c r="H1061" s="1406" t="s">
        <v>1019</v>
      </c>
    </row>
    <row r="1062" spans="1:8" x14ac:dyDescent="0.2">
      <c r="A1062" s="7"/>
      <c r="B1062" s="1407" t="str">
        <f t="shared" si="16"/>
        <v>Ludovic Beauvais</v>
      </c>
      <c r="C1062" s="1402" t="s">
        <v>14477</v>
      </c>
      <c r="D1062" s="1403" t="s">
        <v>3190</v>
      </c>
      <c r="E1062" s="1404" t="s">
        <v>14478</v>
      </c>
      <c r="F1062" s="1405" t="s">
        <v>5300</v>
      </c>
      <c r="G1062" s="1403" t="s">
        <v>14485</v>
      </c>
      <c r="H1062" s="1406" t="s">
        <v>1019</v>
      </c>
    </row>
    <row r="1063" spans="1:8" x14ac:dyDescent="0.2">
      <c r="A1063" s="7"/>
      <c r="B1063" s="1407" t="str">
        <f t="shared" si="16"/>
        <v>Rodolphe Becka</v>
      </c>
      <c r="C1063" s="1402" t="s">
        <v>17162</v>
      </c>
      <c r="D1063" s="1403" t="s">
        <v>17163</v>
      </c>
      <c r="E1063" s="1404" t="s">
        <v>17164</v>
      </c>
      <c r="F1063" s="1405" t="s">
        <v>5300</v>
      </c>
      <c r="G1063" s="1403" t="s">
        <v>15605</v>
      </c>
      <c r="H1063" s="1406" t="s">
        <v>1019</v>
      </c>
    </row>
    <row r="1064" spans="1:8" x14ac:dyDescent="0.2">
      <c r="A1064" s="7"/>
      <c r="B1064" s="1407" t="str">
        <f t="shared" si="16"/>
        <v>Eric Benand</v>
      </c>
      <c r="C1064" s="1402" t="s">
        <v>17116</v>
      </c>
      <c r="D1064" s="1403" t="s">
        <v>3044</v>
      </c>
      <c r="E1064" s="1404" t="s">
        <v>17117</v>
      </c>
      <c r="F1064" s="1405" t="s">
        <v>5300</v>
      </c>
      <c r="G1064" s="1403" t="s">
        <v>2754</v>
      </c>
      <c r="H1064" s="1406" t="s">
        <v>1019</v>
      </c>
    </row>
    <row r="1065" spans="1:8" x14ac:dyDescent="0.2">
      <c r="A1065" s="7"/>
      <c r="B1065" s="1407" t="str">
        <f t="shared" si="16"/>
        <v>Lena Bernard</v>
      </c>
      <c r="C1065" s="1402" t="s">
        <v>5518</v>
      </c>
      <c r="D1065" s="1403" t="s">
        <v>6467</v>
      </c>
      <c r="E1065" s="1404" t="s">
        <v>15238</v>
      </c>
      <c r="F1065" s="1405" t="s">
        <v>13211</v>
      </c>
      <c r="G1065" s="1403" t="s">
        <v>15239</v>
      </c>
      <c r="H1065" s="1406" t="s">
        <v>1019</v>
      </c>
    </row>
    <row r="1066" spans="1:8" x14ac:dyDescent="0.2">
      <c r="A1066" s="7"/>
      <c r="B1066" s="1407" t="str">
        <f t="shared" si="16"/>
        <v>Paul Bernard</v>
      </c>
      <c r="C1066" s="1402" t="s">
        <v>5518</v>
      </c>
      <c r="D1066" s="1403" t="s">
        <v>3259</v>
      </c>
      <c r="E1066" s="1404" t="s">
        <v>15240</v>
      </c>
      <c r="F1066" s="1405" t="s">
        <v>1563</v>
      </c>
      <c r="G1066" s="1403" t="s">
        <v>15239</v>
      </c>
      <c r="H1066" s="1406" t="s">
        <v>1019</v>
      </c>
    </row>
    <row r="1067" spans="1:8" x14ac:dyDescent="0.2">
      <c r="A1067" s="7"/>
      <c r="B1067" s="1407" t="str">
        <f t="shared" si="16"/>
        <v>Thierry Biliotti</v>
      </c>
      <c r="C1067" s="1402" t="s">
        <v>15248</v>
      </c>
      <c r="D1067" s="1403" t="s">
        <v>3332</v>
      </c>
      <c r="E1067" s="1404" t="s">
        <v>15249</v>
      </c>
      <c r="F1067" s="1405" t="s">
        <v>5300</v>
      </c>
      <c r="G1067" s="1403" t="s">
        <v>17591</v>
      </c>
      <c r="H1067" s="1406" t="s">
        <v>1019</v>
      </c>
    </row>
    <row r="1068" spans="1:8" x14ac:dyDescent="0.2">
      <c r="A1068" s="7"/>
      <c r="B1068" s="1407" t="str">
        <f t="shared" si="16"/>
        <v>Mickaël Blanc</v>
      </c>
      <c r="C1068" s="1402" t="s">
        <v>9745</v>
      </c>
      <c r="D1068" s="1403" t="s">
        <v>9772</v>
      </c>
      <c r="E1068" s="1404" t="s">
        <v>9786</v>
      </c>
      <c r="F1068" s="1405" t="s">
        <v>5299</v>
      </c>
      <c r="G1068" s="1403" t="s">
        <v>15239</v>
      </c>
      <c r="H1068" s="1406" t="s">
        <v>1019</v>
      </c>
    </row>
    <row r="1069" spans="1:8" x14ac:dyDescent="0.2">
      <c r="A1069" s="7"/>
      <c r="B1069" s="1407" t="str">
        <f t="shared" si="16"/>
        <v>Julien Blanchon</v>
      </c>
      <c r="C1069" s="1402" t="s">
        <v>14479</v>
      </c>
      <c r="D1069" s="1403" t="s">
        <v>14480</v>
      </c>
      <c r="E1069" s="1404" t="s">
        <v>14481</v>
      </c>
      <c r="F1069" s="1405" t="s">
        <v>5299</v>
      </c>
      <c r="G1069" s="1403" t="s">
        <v>15239</v>
      </c>
      <c r="H1069" s="1406" t="s">
        <v>1019</v>
      </c>
    </row>
    <row r="1070" spans="1:8" x14ac:dyDescent="0.2">
      <c r="A1070" s="7"/>
      <c r="B1070" s="1407" t="str">
        <f t="shared" si="16"/>
        <v>Olivier Bodelle</v>
      </c>
      <c r="C1070" s="1402" t="s">
        <v>17143</v>
      </c>
      <c r="D1070" s="1403" t="s">
        <v>3193</v>
      </c>
      <c r="E1070" s="1404" t="s">
        <v>17144</v>
      </c>
      <c r="F1070" s="1405" t="s">
        <v>5300</v>
      </c>
      <c r="G1070" s="1403" t="s">
        <v>16416</v>
      </c>
      <c r="H1070" s="1406" t="s">
        <v>1019</v>
      </c>
    </row>
    <row r="1071" spans="1:8" x14ac:dyDescent="0.2">
      <c r="A1071" s="7"/>
      <c r="B1071" s="1407" t="str">
        <f t="shared" si="16"/>
        <v>Alban Boigeol</v>
      </c>
      <c r="C1071" s="1402" t="s">
        <v>15258</v>
      </c>
      <c r="D1071" s="1403" t="s">
        <v>15259</v>
      </c>
      <c r="E1071" s="1404" t="s">
        <v>15260</v>
      </c>
      <c r="F1071" s="1405" t="s">
        <v>5300</v>
      </c>
      <c r="G1071" s="1403" t="s">
        <v>13838</v>
      </c>
      <c r="H1071" s="1406" t="s">
        <v>1019</v>
      </c>
    </row>
    <row r="1072" spans="1:8" x14ac:dyDescent="0.2">
      <c r="A1072" s="7"/>
      <c r="B1072" s="1407" t="str">
        <f t="shared" si="16"/>
        <v>Noé Bolusset</v>
      </c>
      <c r="C1072" s="1402" t="s">
        <v>9733</v>
      </c>
      <c r="D1072" s="1403" t="s">
        <v>3668</v>
      </c>
      <c r="E1072" s="1404" t="s">
        <v>9729</v>
      </c>
      <c r="F1072" s="1405" t="s">
        <v>13210</v>
      </c>
      <c r="G1072" s="1403" t="s">
        <v>15239</v>
      </c>
      <c r="H1072" s="1406" t="s">
        <v>1019</v>
      </c>
    </row>
    <row r="1073" spans="1:8" x14ac:dyDescent="0.2">
      <c r="A1073" s="7"/>
      <c r="B1073" s="1407" t="str">
        <f t="shared" si="16"/>
        <v>Cyril Bolusset</v>
      </c>
      <c r="C1073" s="1402" t="s">
        <v>9733</v>
      </c>
      <c r="D1073" s="1403" t="s">
        <v>8229</v>
      </c>
      <c r="E1073" s="1404" t="s">
        <v>9791</v>
      </c>
      <c r="F1073" s="1405" t="s">
        <v>5299</v>
      </c>
      <c r="G1073" s="1403" t="s">
        <v>15239</v>
      </c>
      <c r="H1073" s="1406" t="s">
        <v>1019</v>
      </c>
    </row>
    <row r="1074" spans="1:8" x14ac:dyDescent="0.2">
      <c r="A1074" s="7"/>
      <c r="B1074" s="1407" t="str">
        <f t="shared" si="16"/>
        <v>Frédéric Bondi</v>
      </c>
      <c r="C1074" s="1402" t="s">
        <v>15266</v>
      </c>
      <c r="D1074" s="1403" t="s">
        <v>3286</v>
      </c>
      <c r="E1074" s="1404" t="s">
        <v>14486</v>
      </c>
      <c r="F1074" s="1405" t="s">
        <v>5299</v>
      </c>
      <c r="G1074" s="1403" t="s">
        <v>14485</v>
      </c>
      <c r="H1074" s="1406" t="s">
        <v>1019</v>
      </c>
    </row>
    <row r="1075" spans="1:8" x14ac:dyDescent="0.2">
      <c r="A1075" s="7"/>
      <c r="B1075" s="1407" t="str">
        <f t="shared" si="16"/>
        <v>Clément Bondi</v>
      </c>
      <c r="C1075" s="1402" t="s">
        <v>15266</v>
      </c>
      <c r="D1075" s="1403" t="s">
        <v>14483</v>
      </c>
      <c r="E1075" s="1404" t="s">
        <v>14484</v>
      </c>
      <c r="F1075" s="1405" t="s">
        <v>1563</v>
      </c>
      <c r="G1075" s="1403" t="s">
        <v>14485</v>
      </c>
      <c r="H1075" s="1406" t="s">
        <v>1019</v>
      </c>
    </row>
    <row r="1076" spans="1:8" x14ac:dyDescent="0.2">
      <c r="A1076" s="7"/>
      <c r="B1076" s="1407" t="str">
        <f t="shared" si="16"/>
        <v>Jules Bonnefemme</v>
      </c>
      <c r="C1076" s="1402" t="s">
        <v>17837</v>
      </c>
      <c r="D1076" s="1403" t="s">
        <v>13663</v>
      </c>
      <c r="E1076" s="1404" t="s">
        <v>17838</v>
      </c>
      <c r="F1076" s="1405" t="s">
        <v>1563</v>
      </c>
      <c r="G1076" s="1403" t="s">
        <v>2893</v>
      </c>
      <c r="H1076" s="1406" t="s">
        <v>1019</v>
      </c>
    </row>
    <row r="1077" spans="1:8" x14ac:dyDescent="0.2">
      <c r="A1077" s="7"/>
      <c r="B1077" s="1407" t="str">
        <f t="shared" si="16"/>
        <v>Cyprien Bonnet</v>
      </c>
      <c r="C1077" s="1402" t="s">
        <v>9730</v>
      </c>
      <c r="D1077" s="1403" t="s">
        <v>9731</v>
      </c>
      <c r="E1077" s="1404" t="s">
        <v>9732</v>
      </c>
      <c r="F1077" s="1405" t="s">
        <v>5299</v>
      </c>
      <c r="G1077" s="1403" t="s">
        <v>15239</v>
      </c>
      <c r="H1077" s="1406" t="s">
        <v>1019</v>
      </c>
    </row>
    <row r="1078" spans="1:8" x14ac:dyDescent="0.2">
      <c r="A1078" s="7"/>
      <c r="B1078" s="1407" t="str">
        <f t="shared" si="16"/>
        <v>Guglielmo Boroli</v>
      </c>
      <c r="C1078" s="1402" t="s">
        <v>15268</v>
      </c>
      <c r="D1078" s="1403" t="s">
        <v>14487</v>
      </c>
      <c r="E1078" s="1404" t="s">
        <v>14489</v>
      </c>
      <c r="F1078" s="1405" t="s">
        <v>1563</v>
      </c>
      <c r="G1078" s="1403" t="s">
        <v>15269</v>
      </c>
      <c r="H1078" s="1406" t="s">
        <v>1019</v>
      </c>
    </row>
    <row r="1079" spans="1:8" x14ac:dyDescent="0.2">
      <c r="A1079" s="7"/>
      <c r="B1079" s="1407" t="str">
        <f t="shared" si="16"/>
        <v>Lucas Bouree</v>
      </c>
      <c r="C1079" s="1402" t="s">
        <v>17151</v>
      </c>
      <c r="D1079" s="1403" t="s">
        <v>3684</v>
      </c>
      <c r="E1079" s="1404" t="s">
        <v>17152</v>
      </c>
      <c r="F1079" s="1405" t="s">
        <v>13211</v>
      </c>
      <c r="G1079" s="1403" t="s">
        <v>2796</v>
      </c>
      <c r="H1079" s="1406" t="s">
        <v>1019</v>
      </c>
    </row>
    <row r="1080" spans="1:8" x14ac:dyDescent="0.2">
      <c r="A1080" s="7"/>
      <c r="B1080" s="1407" t="str">
        <f t="shared" si="16"/>
        <v>Samuel Brignon Kiegl</v>
      </c>
      <c r="C1080" s="1402" t="s">
        <v>17839</v>
      </c>
      <c r="D1080" s="1403" t="s">
        <v>3015</v>
      </c>
      <c r="E1080" s="1404" t="s">
        <v>17840</v>
      </c>
      <c r="F1080" s="1405" t="s">
        <v>1563</v>
      </c>
      <c r="G1080" s="1403" t="s">
        <v>15269</v>
      </c>
      <c r="H1080" s="1406" t="s">
        <v>1019</v>
      </c>
    </row>
    <row r="1081" spans="1:8" x14ac:dyDescent="0.2">
      <c r="A1081" s="7"/>
      <c r="B1081" s="1407" t="str">
        <f t="shared" si="16"/>
        <v>Isaac Brignon-Kiegl</v>
      </c>
      <c r="C1081" s="1402" t="s">
        <v>15284</v>
      </c>
      <c r="D1081" s="1403" t="s">
        <v>3460</v>
      </c>
      <c r="E1081" s="1404" t="s">
        <v>15285</v>
      </c>
      <c r="F1081" s="1405" t="s">
        <v>1563</v>
      </c>
      <c r="G1081" s="1403" t="s">
        <v>15269</v>
      </c>
      <c r="H1081" s="1406" t="s">
        <v>1019</v>
      </c>
    </row>
    <row r="1082" spans="1:8" x14ac:dyDescent="0.2">
      <c r="A1082" s="7"/>
      <c r="B1082" s="1407" t="str">
        <f t="shared" si="16"/>
        <v>Francis Callot</v>
      </c>
      <c r="C1082" s="1402" t="s">
        <v>15306</v>
      </c>
      <c r="D1082" s="1403" t="s">
        <v>3376</v>
      </c>
      <c r="E1082" s="1404" t="s">
        <v>15307</v>
      </c>
      <c r="F1082" s="1405" t="s">
        <v>5300</v>
      </c>
      <c r="G1082" s="1403" t="s">
        <v>15446</v>
      </c>
      <c r="H1082" s="1406" t="s">
        <v>1019</v>
      </c>
    </row>
    <row r="1083" spans="1:8" x14ac:dyDescent="0.2">
      <c r="A1083" s="7"/>
      <c r="B1083" s="1407" t="str">
        <f t="shared" si="16"/>
        <v>Michel Capra</v>
      </c>
      <c r="C1083" s="1402" t="s">
        <v>15315</v>
      </c>
      <c r="D1083" s="1403" t="s">
        <v>3555</v>
      </c>
      <c r="E1083" s="1404" t="s">
        <v>14490</v>
      </c>
      <c r="F1083" s="1405" t="s">
        <v>5300</v>
      </c>
      <c r="G1083" s="1403" t="s">
        <v>17841</v>
      </c>
      <c r="H1083" s="1406" t="s">
        <v>1019</v>
      </c>
    </row>
    <row r="1084" spans="1:8" x14ac:dyDescent="0.2">
      <c r="A1084" s="7"/>
      <c r="B1084" s="1407" t="str">
        <f t="shared" si="16"/>
        <v>Simon Carmona</v>
      </c>
      <c r="C1084" s="1402" t="s">
        <v>15321</v>
      </c>
      <c r="D1084" s="1403" t="s">
        <v>3626</v>
      </c>
      <c r="E1084" s="1404" t="s">
        <v>15322</v>
      </c>
      <c r="F1084" s="1405" t="s">
        <v>13211</v>
      </c>
      <c r="G1084" s="1403" t="s">
        <v>15239</v>
      </c>
      <c r="H1084" s="1406" t="s">
        <v>1019</v>
      </c>
    </row>
    <row r="1085" spans="1:8" x14ac:dyDescent="0.2">
      <c r="A1085" s="7"/>
      <c r="B1085" s="1407" t="str">
        <f t="shared" si="16"/>
        <v>Eric Cazala</v>
      </c>
      <c r="C1085" s="1402" t="s">
        <v>14491</v>
      </c>
      <c r="D1085" s="1403" t="s">
        <v>3044</v>
      </c>
      <c r="E1085" s="1404" t="s">
        <v>14492</v>
      </c>
      <c r="F1085" s="1405" t="s">
        <v>5300</v>
      </c>
      <c r="G1085" s="1403" t="s">
        <v>2754</v>
      </c>
      <c r="H1085" s="1406" t="s">
        <v>1019</v>
      </c>
    </row>
    <row r="1086" spans="1:8" x14ac:dyDescent="0.2">
      <c r="A1086" s="7"/>
      <c r="B1086" s="1407" t="str">
        <f t="shared" si="16"/>
        <v>Hugo Chennevrière</v>
      </c>
      <c r="C1086" s="1402" t="s">
        <v>17118</v>
      </c>
      <c r="D1086" s="1403" t="s">
        <v>3142</v>
      </c>
      <c r="E1086" s="1404" t="s">
        <v>14495</v>
      </c>
      <c r="F1086" s="1405" t="s">
        <v>5300</v>
      </c>
      <c r="G1086" s="1403" t="s">
        <v>14359</v>
      </c>
      <c r="H1086" s="1406" t="s">
        <v>1019</v>
      </c>
    </row>
    <row r="1087" spans="1:8" x14ac:dyDescent="0.2">
      <c r="A1087" s="7"/>
      <c r="B1087" s="1407" t="str">
        <f t="shared" si="16"/>
        <v>Giovanni Chiappetta</v>
      </c>
      <c r="C1087" s="1402" t="s">
        <v>15357</v>
      </c>
      <c r="D1087" s="1403" t="s">
        <v>3371</v>
      </c>
      <c r="E1087" s="1404" t="s">
        <v>14498</v>
      </c>
      <c r="F1087" s="1405" t="s">
        <v>5299</v>
      </c>
      <c r="G1087" s="1403" t="s">
        <v>15269</v>
      </c>
      <c r="H1087" s="1406" t="s">
        <v>1019</v>
      </c>
    </row>
    <row r="1088" spans="1:8" x14ac:dyDescent="0.2">
      <c r="A1088" s="7"/>
      <c r="B1088" s="1407" t="str">
        <f t="shared" si="16"/>
        <v>Gabriel Chiappetta</v>
      </c>
      <c r="C1088" s="1402" t="s">
        <v>15357</v>
      </c>
      <c r="D1088" s="1403" t="s">
        <v>6887</v>
      </c>
      <c r="E1088" s="1404" t="s">
        <v>14497</v>
      </c>
      <c r="F1088" s="1405" t="s">
        <v>1563</v>
      </c>
      <c r="G1088" s="1403" t="s">
        <v>15269</v>
      </c>
      <c r="H1088" s="1406" t="s">
        <v>1019</v>
      </c>
    </row>
    <row r="1089" spans="1:8" x14ac:dyDescent="0.2">
      <c r="A1089" s="7"/>
      <c r="B1089" s="1407" t="str">
        <f t="shared" si="16"/>
        <v>Fanch Coquillon</v>
      </c>
      <c r="C1089" s="1402" t="s">
        <v>15391</v>
      </c>
      <c r="D1089" s="1403" t="s">
        <v>11375</v>
      </c>
      <c r="E1089" s="1404" t="s">
        <v>11392</v>
      </c>
      <c r="F1089" s="1405" t="s">
        <v>13210</v>
      </c>
      <c r="G1089" s="1403" t="s">
        <v>2796</v>
      </c>
      <c r="H1089" s="1406" t="s">
        <v>1019</v>
      </c>
    </row>
    <row r="1090" spans="1:8" x14ac:dyDescent="0.2">
      <c r="A1090" s="7"/>
      <c r="B1090" s="1407" t="str">
        <f t="shared" si="16"/>
        <v>Cyrille Coutenceau</v>
      </c>
      <c r="C1090" s="1402" t="s">
        <v>17842</v>
      </c>
      <c r="D1090" s="1403" t="s">
        <v>17843</v>
      </c>
      <c r="E1090" s="1404" t="s">
        <v>17844</v>
      </c>
      <c r="F1090" s="1405" t="s">
        <v>5300</v>
      </c>
      <c r="G1090" s="1403" t="s">
        <v>17121</v>
      </c>
      <c r="H1090" s="1406" t="s">
        <v>1019</v>
      </c>
    </row>
    <row r="1091" spans="1:8" x14ac:dyDescent="0.2">
      <c r="A1091" s="7"/>
      <c r="B1091" s="1407" t="str">
        <f t="shared" si="16"/>
        <v>Fabrice Dallara</v>
      </c>
      <c r="C1091" s="1402" t="s">
        <v>15415</v>
      </c>
      <c r="D1091" s="1403" t="s">
        <v>14356</v>
      </c>
      <c r="E1091" s="1404" t="s">
        <v>15416</v>
      </c>
      <c r="F1091" s="1405" t="s">
        <v>5299</v>
      </c>
      <c r="G1091" s="1403" t="s">
        <v>15417</v>
      </c>
      <c r="H1091" s="1406" t="s">
        <v>1019</v>
      </c>
    </row>
    <row r="1092" spans="1:8" x14ac:dyDescent="0.2">
      <c r="A1092" s="7"/>
      <c r="B1092" s="1407" t="str">
        <f t="shared" si="16"/>
        <v>Manoa Dautel</v>
      </c>
      <c r="C1092" s="1402" t="s">
        <v>17148</v>
      </c>
      <c r="D1092" s="1403" t="s">
        <v>17149</v>
      </c>
      <c r="E1092" s="1404" t="s">
        <v>17150</v>
      </c>
      <c r="F1092" s="1405" t="s">
        <v>13211</v>
      </c>
      <c r="G1092" s="1403" t="s">
        <v>2796</v>
      </c>
      <c r="H1092" s="1406" t="s">
        <v>1019</v>
      </c>
    </row>
    <row r="1093" spans="1:8" x14ac:dyDescent="0.2">
      <c r="A1093" s="7"/>
      <c r="B1093" s="1407" t="str">
        <f t="shared" si="16"/>
        <v>Didier De Sousa</v>
      </c>
      <c r="C1093" s="1402" t="s">
        <v>15443</v>
      </c>
      <c r="D1093" s="1403" t="s">
        <v>3281</v>
      </c>
      <c r="E1093" s="1404" t="s">
        <v>15444</v>
      </c>
      <c r="F1093" s="1405" t="s">
        <v>5299</v>
      </c>
      <c r="G1093" s="1403" t="s">
        <v>15445</v>
      </c>
      <c r="H1093" s="1406" t="s">
        <v>1019</v>
      </c>
    </row>
    <row r="1094" spans="1:8" x14ac:dyDescent="0.2">
      <c r="A1094" s="7"/>
      <c r="B1094" s="1407" t="str">
        <f t="shared" si="16"/>
        <v>Jerome Deffolin</v>
      </c>
      <c r="C1094" s="1402" t="s">
        <v>14499</v>
      </c>
      <c r="D1094" s="1403" t="s">
        <v>17115</v>
      </c>
      <c r="E1094" s="1404" t="s">
        <v>14500</v>
      </c>
      <c r="F1094" s="1405" t="s">
        <v>5299</v>
      </c>
      <c r="G1094" s="1403" t="s">
        <v>15446</v>
      </c>
      <c r="H1094" s="1406" t="s">
        <v>1019</v>
      </c>
    </row>
    <row r="1095" spans="1:8" x14ac:dyDescent="0.2">
      <c r="A1095" s="7"/>
      <c r="B1095" s="1407" t="str">
        <f t="shared" ref="B1095:B1158" si="17">TRIM(CONCATENATE(D1095," ",C1095))</f>
        <v>Fabrice Delagarde</v>
      </c>
      <c r="C1095" s="1402" t="s">
        <v>15454</v>
      </c>
      <c r="D1095" s="1403" t="s">
        <v>14356</v>
      </c>
      <c r="E1095" s="1404" t="s">
        <v>15455</v>
      </c>
      <c r="F1095" s="1405" t="s">
        <v>5300</v>
      </c>
      <c r="G1095" s="1403" t="s">
        <v>17591</v>
      </c>
      <c r="H1095" s="1406" t="s">
        <v>1019</v>
      </c>
    </row>
    <row r="1096" spans="1:8" x14ac:dyDescent="0.2">
      <c r="A1096" s="7"/>
      <c r="B1096" s="1407" t="str">
        <f t="shared" si="17"/>
        <v>Isabelle Disser</v>
      </c>
      <c r="C1096" s="1402" t="s">
        <v>17568</v>
      </c>
      <c r="D1096" s="1403" t="s">
        <v>17569</v>
      </c>
      <c r="E1096" s="1404" t="s">
        <v>17570</v>
      </c>
      <c r="F1096" s="1405" t="s">
        <v>5299</v>
      </c>
      <c r="G1096" s="1403" t="s">
        <v>15446</v>
      </c>
      <c r="H1096" s="1406" t="s">
        <v>1019</v>
      </c>
    </row>
    <row r="1097" spans="1:8" x14ac:dyDescent="0.2">
      <c r="A1097" s="7"/>
      <c r="B1097" s="1407" t="str">
        <f t="shared" si="17"/>
        <v>David Dolui</v>
      </c>
      <c r="C1097" s="1402" t="s">
        <v>17845</v>
      </c>
      <c r="D1097" s="1403" t="s">
        <v>3072</v>
      </c>
      <c r="E1097" s="1404" t="s">
        <v>17846</v>
      </c>
      <c r="F1097" s="1405" t="s">
        <v>5299</v>
      </c>
      <c r="G1097" s="1403" t="s">
        <v>17841</v>
      </c>
      <c r="H1097" s="1406" t="s">
        <v>1019</v>
      </c>
    </row>
    <row r="1098" spans="1:8" x14ac:dyDescent="0.2">
      <c r="A1098" s="7"/>
      <c r="B1098" s="1407" t="str">
        <f t="shared" si="17"/>
        <v>Axel Donval</v>
      </c>
      <c r="C1098" s="1402" t="s">
        <v>5977</v>
      </c>
      <c r="D1098" s="1403" t="s">
        <v>3075</v>
      </c>
      <c r="E1098" s="1404" t="s">
        <v>2876</v>
      </c>
      <c r="F1098" s="1405" t="s">
        <v>5299</v>
      </c>
      <c r="G1098" s="1403" t="s">
        <v>2754</v>
      </c>
      <c r="H1098" s="1406" t="s">
        <v>1019</v>
      </c>
    </row>
    <row r="1099" spans="1:8" x14ac:dyDescent="0.2">
      <c r="A1099" s="7"/>
      <c r="B1099" s="1407" t="str">
        <f t="shared" si="17"/>
        <v>Cedric Dreyer</v>
      </c>
      <c r="C1099" s="1402" t="s">
        <v>17565</v>
      </c>
      <c r="D1099" s="1403" t="s">
        <v>17566</v>
      </c>
      <c r="E1099" s="1404" t="s">
        <v>17567</v>
      </c>
      <c r="F1099" s="1405" t="s">
        <v>5299</v>
      </c>
      <c r="G1099" s="1403" t="s">
        <v>15446</v>
      </c>
      <c r="H1099" s="1406" t="s">
        <v>1019</v>
      </c>
    </row>
    <row r="1100" spans="1:8" x14ac:dyDescent="0.2">
      <c r="A1100" s="7"/>
      <c r="B1100" s="1407" t="str">
        <f t="shared" si="17"/>
        <v>Xavier Dubois</v>
      </c>
      <c r="C1100" s="1402" t="s">
        <v>5744</v>
      </c>
      <c r="D1100" s="1403" t="s">
        <v>3295</v>
      </c>
      <c r="E1100" s="1404" t="s">
        <v>7066</v>
      </c>
      <c r="F1100" s="1405" t="s">
        <v>5300</v>
      </c>
      <c r="G1100" s="1403" t="s">
        <v>2893</v>
      </c>
      <c r="H1100" s="1406" t="s">
        <v>1019</v>
      </c>
    </row>
    <row r="1101" spans="1:8" x14ac:dyDescent="0.2">
      <c r="A1101" s="7"/>
      <c r="B1101" s="1407" t="str">
        <f t="shared" si="17"/>
        <v>Franck Dubreuil</v>
      </c>
      <c r="C1101" s="1402" t="s">
        <v>9473</v>
      </c>
      <c r="D1101" s="1403" t="s">
        <v>5558</v>
      </c>
      <c r="E1101" s="1404" t="s">
        <v>9478</v>
      </c>
      <c r="F1101" s="1405" t="s">
        <v>5299</v>
      </c>
      <c r="G1101" s="1403" t="s">
        <v>15183</v>
      </c>
      <c r="H1101" s="1406" t="s">
        <v>1019</v>
      </c>
    </row>
    <row r="1102" spans="1:8" x14ac:dyDescent="0.2">
      <c r="A1102" s="7"/>
      <c r="B1102" s="1407" t="str">
        <f t="shared" si="17"/>
        <v>Eric Dujardin</v>
      </c>
      <c r="C1102" s="1402" t="s">
        <v>15499</v>
      </c>
      <c r="D1102" s="1403" t="s">
        <v>3044</v>
      </c>
      <c r="E1102" s="1404" t="s">
        <v>15500</v>
      </c>
      <c r="F1102" s="1405" t="s">
        <v>5300</v>
      </c>
      <c r="G1102" s="1403" t="s">
        <v>17121</v>
      </c>
      <c r="H1102" s="1406" t="s">
        <v>1019</v>
      </c>
    </row>
    <row r="1103" spans="1:8" x14ac:dyDescent="0.2">
      <c r="A1103" s="7"/>
      <c r="B1103" s="1407" t="str">
        <f t="shared" si="17"/>
        <v>Stéphane Dumazi</v>
      </c>
      <c r="C1103" s="1402" t="s">
        <v>14501</v>
      </c>
      <c r="D1103" s="1403" t="s">
        <v>3624</v>
      </c>
      <c r="E1103" s="1404" t="s">
        <v>13832</v>
      </c>
      <c r="F1103" s="1405" t="s">
        <v>5300</v>
      </c>
      <c r="G1103" s="1403" t="s">
        <v>14359</v>
      </c>
      <c r="H1103" s="1406" t="s">
        <v>1019</v>
      </c>
    </row>
    <row r="1104" spans="1:8" x14ac:dyDescent="0.2">
      <c r="A1104" s="7"/>
      <c r="B1104" s="1407" t="str">
        <f t="shared" si="17"/>
        <v>Alexandre Durand</v>
      </c>
      <c r="C1104" s="1402" t="s">
        <v>9747</v>
      </c>
      <c r="D1104" s="1403" t="s">
        <v>3184</v>
      </c>
      <c r="E1104" s="1404" t="s">
        <v>17113</v>
      </c>
      <c r="F1104" s="1405" t="s">
        <v>5299</v>
      </c>
      <c r="G1104" s="1403" t="s">
        <v>2795</v>
      </c>
      <c r="H1104" s="1406" t="s">
        <v>1019</v>
      </c>
    </row>
    <row r="1105" spans="1:8" x14ac:dyDescent="0.2">
      <c r="A1105" s="7"/>
      <c r="B1105" s="1407" t="str">
        <f t="shared" si="17"/>
        <v>David Durand</v>
      </c>
      <c r="C1105" s="1402" t="s">
        <v>9747</v>
      </c>
      <c r="D1105" s="1403" t="s">
        <v>3072</v>
      </c>
      <c r="E1105" s="1404" t="s">
        <v>9789</v>
      </c>
      <c r="F1105" s="1405" t="s">
        <v>5300</v>
      </c>
      <c r="G1105" s="1403" t="s">
        <v>14359</v>
      </c>
      <c r="H1105" s="1406" t="s">
        <v>1019</v>
      </c>
    </row>
    <row r="1106" spans="1:8" x14ac:dyDescent="0.2">
      <c r="A1106" s="7"/>
      <c r="B1106" s="1407" t="str">
        <f t="shared" si="17"/>
        <v>Sébastien Durandeau</v>
      </c>
      <c r="C1106" s="1402" t="s">
        <v>15501</v>
      </c>
      <c r="D1106" s="1403" t="s">
        <v>3043</v>
      </c>
      <c r="E1106" s="1404" t="s">
        <v>15502</v>
      </c>
      <c r="F1106" s="1405" t="s">
        <v>5300</v>
      </c>
      <c r="G1106" s="1403" t="s">
        <v>17591</v>
      </c>
      <c r="H1106" s="1406" t="s">
        <v>1019</v>
      </c>
    </row>
    <row r="1107" spans="1:8" x14ac:dyDescent="0.2">
      <c r="A1107" s="7"/>
      <c r="B1107" s="1407" t="str">
        <f t="shared" si="17"/>
        <v>Loic Eigenmann</v>
      </c>
      <c r="C1107" s="1402" t="s">
        <v>17562</v>
      </c>
      <c r="D1107" s="1403" t="s">
        <v>17563</v>
      </c>
      <c r="E1107" s="1404" t="s">
        <v>17564</v>
      </c>
      <c r="F1107" s="1405" t="s">
        <v>5299</v>
      </c>
      <c r="G1107" s="1403" t="s">
        <v>15446</v>
      </c>
      <c r="H1107" s="1406" t="s">
        <v>1019</v>
      </c>
    </row>
    <row r="1108" spans="1:8" x14ac:dyDescent="0.2">
      <c r="A1108" s="7"/>
      <c r="B1108" s="1407" t="str">
        <f t="shared" si="17"/>
        <v>Guillaume Faucher</v>
      </c>
      <c r="C1108" s="1402" t="s">
        <v>15524</v>
      </c>
      <c r="D1108" s="1403" t="s">
        <v>15527</v>
      </c>
      <c r="E1108" s="1404" t="s">
        <v>15528</v>
      </c>
      <c r="F1108" s="1405" t="s">
        <v>5299</v>
      </c>
      <c r="G1108" s="1403" t="s">
        <v>14359</v>
      </c>
      <c r="H1108" s="1406" t="s">
        <v>1019</v>
      </c>
    </row>
    <row r="1109" spans="1:8" x14ac:dyDescent="0.2">
      <c r="A1109" s="7"/>
      <c r="B1109" s="1407" t="str">
        <f t="shared" si="17"/>
        <v>Hugo Faucher</v>
      </c>
      <c r="C1109" s="1402" t="s">
        <v>15524</v>
      </c>
      <c r="D1109" s="1403" t="s">
        <v>3142</v>
      </c>
      <c r="E1109" s="1404" t="s">
        <v>15529</v>
      </c>
      <c r="F1109" s="1405" t="s">
        <v>13211</v>
      </c>
      <c r="G1109" s="1403" t="s">
        <v>14359</v>
      </c>
      <c r="H1109" s="1406" t="s">
        <v>1019</v>
      </c>
    </row>
    <row r="1110" spans="1:8" x14ac:dyDescent="0.2">
      <c r="A1110" s="7"/>
      <c r="B1110" s="1407" t="str">
        <f t="shared" si="17"/>
        <v>Clement Faucher</v>
      </c>
      <c r="C1110" s="1402" t="s">
        <v>15524</v>
      </c>
      <c r="D1110" s="1403" t="s">
        <v>15525</v>
      </c>
      <c r="E1110" s="1404" t="s">
        <v>15526</v>
      </c>
      <c r="F1110" s="1405" t="s">
        <v>13211</v>
      </c>
      <c r="G1110" s="1403" t="s">
        <v>14359</v>
      </c>
      <c r="H1110" s="1406" t="s">
        <v>1019</v>
      </c>
    </row>
    <row r="1111" spans="1:8" x14ac:dyDescent="0.2">
      <c r="A1111" s="7"/>
      <c r="B1111" s="1407" t="str">
        <f t="shared" si="17"/>
        <v>Pierre Favier</v>
      </c>
      <c r="C1111" s="1402" t="s">
        <v>15530</v>
      </c>
      <c r="D1111" s="1403" t="s">
        <v>3061</v>
      </c>
      <c r="E1111" s="1404" t="s">
        <v>15531</v>
      </c>
      <c r="F1111" s="1405" t="s">
        <v>5300</v>
      </c>
      <c r="G1111" s="1403" t="s">
        <v>14359</v>
      </c>
      <c r="H1111" s="1406" t="s">
        <v>1019</v>
      </c>
    </row>
    <row r="1112" spans="1:8" x14ac:dyDescent="0.2">
      <c r="A1112" s="7"/>
      <c r="B1112" s="1407" t="str">
        <f t="shared" si="17"/>
        <v>Herve Fino</v>
      </c>
      <c r="C1112" s="1402" t="s">
        <v>8023</v>
      </c>
      <c r="D1112" s="1403" t="s">
        <v>17114</v>
      </c>
      <c r="E1112" s="1404" t="s">
        <v>7814</v>
      </c>
      <c r="F1112" s="1405" t="s">
        <v>5300</v>
      </c>
      <c r="G1112" s="1403" t="s">
        <v>15446</v>
      </c>
      <c r="H1112" s="1406" t="s">
        <v>1019</v>
      </c>
    </row>
    <row r="1113" spans="1:8" x14ac:dyDescent="0.2">
      <c r="A1113" s="7"/>
      <c r="B1113" s="1407" t="str">
        <f t="shared" si="17"/>
        <v>Axel Fino</v>
      </c>
      <c r="C1113" s="1402" t="s">
        <v>8023</v>
      </c>
      <c r="D1113" s="1403" t="s">
        <v>3075</v>
      </c>
      <c r="E1113" s="1404" t="s">
        <v>15546</v>
      </c>
      <c r="F1113" s="1405" t="s">
        <v>13211</v>
      </c>
      <c r="G1113" s="1403" t="s">
        <v>15446</v>
      </c>
      <c r="H1113" s="1406" t="s">
        <v>1019</v>
      </c>
    </row>
    <row r="1114" spans="1:8" x14ac:dyDescent="0.2">
      <c r="A1114" s="7"/>
      <c r="B1114" s="1407" t="str">
        <f t="shared" si="17"/>
        <v>Martial Foechterle</v>
      </c>
      <c r="C1114" s="1402" t="s">
        <v>15558</v>
      </c>
      <c r="D1114" s="1403" t="s">
        <v>15559</v>
      </c>
      <c r="E1114" s="1404" t="s">
        <v>15560</v>
      </c>
      <c r="F1114" s="1405" t="s">
        <v>5299</v>
      </c>
      <c r="G1114" s="1403" t="s">
        <v>15446</v>
      </c>
      <c r="H1114" s="1406" t="s">
        <v>1019</v>
      </c>
    </row>
    <row r="1115" spans="1:8" x14ac:dyDescent="0.2">
      <c r="A1115" s="7"/>
      <c r="B1115" s="1407" t="str">
        <f t="shared" si="17"/>
        <v>Gregory Fornells</v>
      </c>
      <c r="C1115" s="1402" t="s">
        <v>17847</v>
      </c>
      <c r="D1115" s="1403" t="s">
        <v>14415</v>
      </c>
      <c r="E1115" s="1404" t="s">
        <v>17848</v>
      </c>
      <c r="F1115" s="1405" t="s">
        <v>5299</v>
      </c>
      <c r="G1115" s="1403" t="s">
        <v>13838</v>
      </c>
      <c r="H1115" s="1406" t="s">
        <v>1019</v>
      </c>
    </row>
    <row r="1116" spans="1:8" x14ac:dyDescent="0.2">
      <c r="A1116" s="7"/>
      <c r="B1116" s="1407" t="str">
        <f t="shared" si="17"/>
        <v>Jean-Marie Fouetillou</v>
      </c>
      <c r="C1116" s="1402" t="s">
        <v>5987</v>
      </c>
      <c r="D1116" s="1403" t="s">
        <v>3082</v>
      </c>
      <c r="E1116" s="1404" t="s">
        <v>2887</v>
      </c>
      <c r="F1116" s="1405" t="s">
        <v>5300</v>
      </c>
      <c r="G1116" s="1403" t="s">
        <v>2893</v>
      </c>
      <c r="H1116" s="1406" t="s">
        <v>1019</v>
      </c>
    </row>
    <row r="1117" spans="1:8" x14ac:dyDescent="0.2">
      <c r="A1117" s="7"/>
      <c r="B1117" s="1407" t="str">
        <f t="shared" si="17"/>
        <v>Christophe France</v>
      </c>
      <c r="C1117" s="1402" t="s">
        <v>1018</v>
      </c>
      <c r="D1117" s="1403" t="s">
        <v>3012</v>
      </c>
      <c r="E1117" s="1404" t="s">
        <v>14502</v>
      </c>
      <c r="F1117" s="1405" t="s">
        <v>5300</v>
      </c>
      <c r="G1117" s="1403" t="s">
        <v>15239</v>
      </c>
      <c r="H1117" s="1406" t="s">
        <v>1019</v>
      </c>
    </row>
    <row r="1118" spans="1:8" x14ac:dyDescent="0.2">
      <c r="A1118" s="7"/>
      <c r="B1118" s="1407" t="str">
        <f t="shared" si="17"/>
        <v>Théo Fromweiler</v>
      </c>
      <c r="C1118" s="1402" t="s">
        <v>15572</v>
      </c>
      <c r="D1118" s="1403" t="s">
        <v>3678</v>
      </c>
      <c r="E1118" s="1404" t="s">
        <v>14503</v>
      </c>
      <c r="F1118" s="1405" t="s">
        <v>13211</v>
      </c>
      <c r="G1118" s="1403" t="s">
        <v>15239</v>
      </c>
      <c r="H1118" s="1406" t="s">
        <v>1019</v>
      </c>
    </row>
    <row r="1119" spans="1:8" x14ac:dyDescent="0.2">
      <c r="A1119" s="7"/>
      <c r="B1119" s="1407" t="str">
        <f t="shared" si="17"/>
        <v>Christophe Fuseau</v>
      </c>
      <c r="C1119" s="1402" t="s">
        <v>14504</v>
      </c>
      <c r="D1119" s="1403" t="s">
        <v>3012</v>
      </c>
      <c r="E1119" s="1404" t="s">
        <v>14505</v>
      </c>
      <c r="F1119" s="1405" t="s">
        <v>5300</v>
      </c>
      <c r="G1119" s="1403" t="s">
        <v>2796</v>
      </c>
      <c r="H1119" s="1406" t="s">
        <v>1019</v>
      </c>
    </row>
    <row r="1120" spans="1:8" x14ac:dyDescent="0.2">
      <c r="A1120" s="7"/>
      <c r="B1120" s="1407" t="str">
        <f t="shared" si="17"/>
        <v>Romain Gadais</v>
      </c>
      <c r="C1120" s="1402" t="s">
        <v>14506</v>
      </c>
      <c r="D1120" s="1403" t="s">
        <v>3242</v>
      </c>
      <c r="E1120" s="1404" t="s">
        <v>14507</v>
      </c>
      <c r="F1120" s="1405" t="s">
        <v>5299</v>
      </c>
      <c r="G1120" s="1403" t="s">
        <v>14359</v>
      </c>
      <c r="H1120" s="1406" t="s">
        <v>1019</v>
      </c>
    </row>
    <row r="1121" spans="1:8" x14ac:dyDescent="0.2">
      <c r="A1121" s="7"/>
      <c r="B1121" s="1407" t="str">
        <f t="shared" si="17"/>
        <v>Stephane Galichet</v>
      </c>
      <c r="C1121" s="1402" t="s">
        <v>17849</v>
      </c>
      <c r="D1121" s="1403" t="s">
        <v>17850</v>
      </c>
      <c r="E1121" s="1404" t="s">
        <v>17851</v>
      </c>
      <c r="F1121" s="1405" t="s">
        <v>5299</v>
      </c>
      <c r="G1121" s="1403" t="s">
        <v>14359</v>
      </c>
      <c r="H1121" s="1406" t="s">
        <v>1019</v>
      </c>
    </row>
    <row r="1122" spans="1:8" x14ac:dyDescent="0.2">
      <c r="A1122" s="7"/>
      <c r="B1122" s="1407" t="str">
        <f t="shared" si="17"/>
        <v>Domitille Garnier</v>
      </c>
      <c r="C1122" s="1402" t="s">
        <v>5985</v>
      </c>
      <c r="D1122" s="1403" t="s">
        <v>14493</v>
      </c>
      <c r="E1122" s="1404" t="s">
        <v>14494</v>
      </c>
      <c r="F1122" s="1405" t="s">
        <v>13211</v>
      </c>
      <c r="G1122" s="1403" t="s">
        <v>14359</v>
      </c>
      <c r="H1122" s="1406" t="s">
        <v>1019</v>
      </c>
    </row>
    <row r="1123" spans="1:8" x14ac:dyDescent="0.2">
      <c r="A1123" s="7"/>
      <c r="B1123" s="1407" t="str">
        <f t="shared" si="17"/>
        <v>Stéphanie Garnier</v>
      </c>
      <c r="C1123" s="1402" t="s">
        <v>5985</v>
      </c>
      <c r="D1123" s="1403" t="s">
        <v>8777</v>
      </c>
      <c r="E1123" s="1404" t="s">
        <v>8817</v>
      </c>
      <c r="F1123" s="1405" t="s">
        <v>5299</v>
      </c>
      <c r="G1123" s="1403" t="s">
        <v>2755</v>
      </c>
      <c r="H1123" s="1406" t="s">
        <v>1019</v>
      </c>
    </row>
    <row r="1124" spans="1:8" x14ac:dyDescent="0.2">
      <c r="A1124" s="7"/>
      <c r="B1124" s="1407" t="str">
        <f t="shared" si="17"/>
        <v>Thibaud Gauthier</v>
      </c>
      <c r="C1124" s="1402" t="s">
        <v>15594</v>
      </c>
      <c r="D1124" s="1403" t="s">
        <v>14508</v>
      </c>
      <c r="E1124" s="1404" t="s">
        <v>14509</v>
      </c>
      <c r="F1124" s="1405" t="s">
        <v>13210</v>
      </c>
      <c r="G1124" s="1403" t="s">
        <v>14359</v>
      </c>
      <c r="H1124" s="1406" t="s">
        <v>1019</v>
      </c>
    </row>
    <row r="1125" spans="1:8" x14ac:dyDescent="0.2">
      <c r="A1125" s="7"/>
      <c r="B1125" s="1407" t="str">
        <f t="shared" si="17"/>
        <v>Victor Gauvin</v>
      </c>
      <c r="C1125" s="1402" t="s">
        <v>15595</v>
      </c>
      <c r="D1125" s="1403" t="s">
        <v>3141</v>
      </c>
      <c r="E1125" s="1404" t="s">
        <v>15596</v>
      </c>
      <c r="F1125" s="1405" t="s">
        <v>1563</v>
      </c>
      <c r="G1125" s="1403" t="s">
        <v>15269</v>
      </c>
      <c r="H1125" s="1406" t="s">
        <v>1019</v>
      </c>
    </row>
    <row r="1126" spans="1:8" x14ac:dyDescent="0.2">
      <c r="A1126" s="7"/>
      <c r="B1126" s="1407" t="str">
        <f t="shared" si="17"/>
        <v>Stéphane Genvo</v>
      </c>
      <c r="C1126" s="1402" t="s">
        <v>15604</v>
      </c>
      <c r="D1126" s="1403" t="s">
        <v>3624</v>
      </c>
      <c r="E1126" s="1404" t="s">
        <v>14511</v>
      </c>
      <c r="F1126" s="1405" t="s">
        <v>5299</v>
      </c>
      <c r="G1126" s="1403" t="s">
        <v>15605</v>
      </c>
      <c r="H1126" s="1406" t="s">
        <v>1019</v>
      </c>
    </row>
    <row r="1127" spans="1:8" x14ac:dyDescent="0.2">
      <c r="A1127" s="7"/>
      <c r="B1127" s="1407" t="str">
        <f t="shared" si="17"/>
        <v>Florian Genvo</v>
      </c>
      <c r="C1127" s="1402" t="s">
        <v>15604</v>
      </c>
      <c r="D1127" s="1403" t="s">
        <v>3358</v>
      </c>
      <c r="E1127" s="1404" t="s">
        <v>14510</v>
      </c>
      <c r="F1127" s="1405" t="s">
        <v>5299</v>
      </c>
      <c r="G1127" s="1403" t="s">
        <v>15605</v>
      </c>
      <c r="H1127" s="1406" t="s">
        <v>1019</v>
      </c>
    </row>
    <row r="1128" spans="1:8" x14ac:dyDescent="0.2">
      <c r="A1128" s="7"/>
      <c r="B1128" s="1407" t="str">
        <f t="shared" si="17"/>
        <v>Stéphane Geretto</v>
      </c>
      <c r="C1128" s="1402" t="s">
        <v>15607</v>
      </c>
      <c r="D1128" s="1403" t="s">
        <v>3624</v>
      </c>
      <c r="E1128" s="1404" t="s">
        <v>14513</v>
      </c>
      <c r="F1128" s="1405" t="s">
        <v>5300</v>
      </c>
      <c r="G1128" s="1403" t="s">
        <v>14485</v>
      </c>
      <c r="H1128" s="1406" t="s">
        <v>1019</v>
      </c>
    </row>
    <row r="1129" spans="1:8" x14ac:dyDescent="0.2">
      <c r="A1129" s="7"/>
      <c r="B1129" s="1407" t="str">
        <f t="shared" si="17"/>
        <v>Ludovic Geretto</v>
      </c>
      <c r="C1129" s="1402" t="s">
        <v>15607</v>
      </c>
      <c r="D1129" s="1403" t="s">
        <v>3190</v>
      </c>
      <c r="E1129" s="1404" t="s">
        <v>14512</v>
      </c>
      <c r="F1129" s="1405" t="s">
        <v>5300</v>
      </c>
      <c r="G1129" s="1403" t="s">
        <v>14485</v>
      </c>
      <c r="H1129" s="1406" t="s">
        <v>1019</v>
      </c>
    </row>
    <row r="1130" spans="1:8" x14ac:dyDescent="0.2">
      <c r="A1130" s="7"/>
      <c r="B1130" s="1407" t="str">
        <f t="shared" si="17"/>
        <v>Philippe Gillet</v>
      </c>
      <c r="C1130" s="1402" t="s">
        <v>17571</v>
      </c>
      <c r="D1130" s="1403" t="s">
        <v>3312</v>
      </c>
      <c r="E1130" s="1404" t="s">
        <v>17572</v>
      </c>
      <c r="F1130" s="1405" t="s">
        <v>5300</v>
      </c>
      <c r="G1130" s="1403" t="s">
        <v>17591</v>
      </c>
      <c r="H1130" s="1406" t="s">
        <v>1019</v>
      </c>
    </row>
    <row r="1131" spans="1:8" x14ac:dyDescent="0.2">
      <c r="A1131" s="7"/>
      <c r="B1131" s="1407" t="str">
        <f t="shared" si="17"/>
        <v>Benjamin Girault</v>
      </c>
      <c r="C1131" s="1402" t="s">
        <v>17852</v>
      </c>
      <c r="D1131" s="1403" t="s">
        <v>3362</v>
      </c>
      <c r="E1131" s="1404" t="s">
        <v>17853</v>
      </c>
      <c r="F1131" s="1405" t="s">
        <v>5299</v>
      </c>
      <c r="G1131" s="1403" t="s">
        <v>17166</v>
      </c>
      <c r="H1131" s="1406" t="s">
        <v>1019</v>
      </c>
    </row>
    <row r="1132" spans="1:8" x14ac:dyDescent="0.2">
      <c r="A1132" s="7"/>
      <c r="B1132" s="1407" t="str">
        <f t="shared" si="17"/>
        <v>Emmanuel Gorgette</v>
      </c>
      <c r="C1132" s="1402" t="s">
        <v>5975</v>
      </c>
      <c r="D1132" s="1403" t="s">
        <v>3392</v>
      </c>
      <c r="E1132" s="1404" t="s">
        <v>2874</v>
      </c>
      <c r="F1132" s="1405" t="s">
        <v>5299</v>
      </c>
      <c r="G1132" s="1403" t="s">
        <v>2754</v>
      </c>
      <c r="H1132" s="1406" t="s">
        <v>1019</v>
      </c>
    </row>
    <row r="1133" spans="1:8" x14ac:dyDescent="0.2">
      <c r="A1133" s="7"/>
      <c r="B1133" s="1407" t="str">
        <f t="shared" si="17"/>
        <v>Patrice Grangier</v>
      </c>
      <c r="C1133" s="1402" t="s">
        <v>14514</v>
      </c>
      <c r="D1133" s="1403" t="s">
        <v>14515</v>
      </c>
      <c r="E1133" s="1404" t="s">
        <v>14516</v>
      </c>
      <c r="F1133" s="1405" t="s">
        <v>5300</v>
      </c>
      <c r="G1133" s="1403" t="s">
        <v>15239</v>
      </c>
      <c r="H1133" s="1406" t="s">
        <v>1019</v>
      </c>
    </row>
    <row r="1134" spans="1:8" x14ac:dyDescent="0.2">
      <c r="A1134" s="7"/>
      <c r="B1134" s="1407" t="str">
        <f t="shared" si="17"/>
        <v>Gilles Grangier</v>
      </c>
      <c r="C1134" s="1402" t="s">
        <v>14514</v>
      </c>
      <c r="D1134" s="1403" t="s">
        <v>8008</v>
      </c>
      <c r="E1134" s="1404" t="s">
        <v>17854</v>
      </c>
      <c r="F1134" s="1405" t="s">
        <v>5300</v>
      </c>
      <c r="G1134" s="1403" t="s">
        <v>15239</v>
      </c>
      <c r="H1134" s="1406" t="s">
        <v>1019</v>
      </c>
    </row>
    <row r="1135" spans="1:8" x14ac:dyDescent="0.2">
      <c r="A1135" s="7"/>
      <c r="B1135" s="1407" t="str">
        <f t="shared" si="17"/>
        <v>Françoise Guyot</v>
      </c>
      <c r="C1135" s="1402" t="s">
        <v>5982</v>
      </c>
      <c r="D1135" s="1403" t="s">
        <v>3525</v>
      </c>
      <c r="E1135" s="1404" t="s">
        <v>2885</v>
      </c>
      <c r="F1135" s="1405" t="s">
        <v>5300</v>
      </c>
      <c r="G1135" s="1403" t="s">
        <v>15183</v>
      </c>
      <c r="H1135" s="1406" t="s">
        <v>1019</v>
      </c>
    </row>
    <row r="1136" spans="1:8" x14ac:dyDescent="0.2">
      <c r="A1136" s="7"/>
      <c r="B1136" s="1407" t="str">
        <f t="shared" si="17"/>
        <v>Daniel Guyot</v>
      </c>
      <c r="C1136" s="1402" t="s">
        <v>5982</v>
      </c>
      <c r="D1136" s="1403" t="s">
        <v>3243</v>
      </c>
      <c r="E1136" s="1404" t="s">
        <v>9787</v>
      </c>
      <c r="F1136" s="1405" t="s">
        <v>5300</v>
      </c>
      <c r="G1136" s="1403" t="s">
        <v>15239</v>
      </c>
      <c r="H1136" s="1406" t="s">
        <v>1019</v>
      </c>
    </row>
    <row r="1137" spans="1:8" x14ac:dyDescent="0.2">
      <c r="A1137" s="7"/>
      <c r="B1137" s="1407" t="str">
        <f t="shared" si="17"/>
        <v>Jade Guyot</v>
      </c>
      <c r="C1137" s="1402" t="s">
        <v>5982</v>
      </c>
      <c r="D1137" s="1403" t="s">
        <v>14517</v>
      </c>
      <c r="E1137" s="1404" t="s">
        <v>14518</v>
      </c>
      <c r="F1137" s="1405" t="s">
        <v>13211</v>
      </c>
      <c r="G1137" s="1403" t="s">
        <v>15239</v>
      </c>
      <c r="H1137" s="1406" t="s">
        <v>1019</v>
      </c>
    </row>
    <row r="1138" spans="1:8" x14ac:dyDescent="0.2">
      <c r="A1138" s="7"/>
      <c r="B1138" s="1407" t="str">
        <f t="shared" si="17"/>
        <v>Charlotte Guyot</v>
      </c>
      <c r="C1138" s="1402" t="s">
        <v>5982</v>
      </c>
      <c r="D1138" s="1403" t="s">
        <v>5661</v>
      </c>
      <c r="E1138" s="1404" t="s">
        <v>15645</v>
      </c>
      <c r="F1138" s="1405" t="s">
        <v>1563</v>
      </c>
      <c r="G1138" s="1403" t="s">
        <v>15239</v>
      </c>
      <c r="H1138" s="1406" t="s">
        <v>1019</v>
      </c>
    </row>
    <row r="1139" spans="1:8" x14ac:dyDescent="0.2">
      <c r="A1139" s="7"/>
      <c r="B1139" s="1407" t="str">
        <f t="shared" si="17"/>
        <v>Hisham Haja Maideen</v>
      </c>
      <c r="C1139" s="1402" t="s">
        <v>17855</v>
      </c>
      <c r="D1139" s="1403" t="s">
        <v>5567</v>
      </c>
      <c r="E1139" s="1404" t="s">
        <v>17856</v>
      </c>
      <c r="F1139" s="1405" t="s">
        <v>1563</v>
      </c>
      <c r="G1139" s="1403" t="s">
        <v>15269</v>
      </c>
      <c r="H1139" s="1406" t="s">
        <v>1019</v>
      </c>
    </row>
    <row r="1140" spans="1:8" x14ac:dyDescent="0.2">
      <c r="A1140" s="7"/>
      <c r="B1140" s="1407" t="str">
        <f t="shared" si="17"/>
        <v>Hanif Haja Maideen</v>
      </c>
      <c r="C1140" s="1402" t="s">
        <v>17855</v>
      </c>
      <c r="D1140" s="1403" t="s">
        <v>17857</v>
      </c>
      <c r="E1140" s="1404" t="s">
        <v>17858</v>
      </c>
      <c r="F1140" s="1405" t="s">
        <v>1563</v>
      </c>
      <c r="G1140" s="1403" t="s">
        <v>15269</v>
      </c>
      <c r="H1140" s="1406" t="s">
        <v>1019</v>
      </c>
    </row>
    <row r="1141" spans="1:8" x14ac:dyDescent="0.2">
      <c r="A1141" s="7"/>
      <c r="B1141" s="1407" t="str">
        <f t="shared" si="17"/>
        <v>Antoine Herbaut</v>
      </c>
      <c r="C1141" s="1402" t="s">
        <v>5983</v>
      </c>
      <c r="D1141" s="1403" t="s">
        <v>3276</v>
      </c>
      <c r="E1141" s="1404" t="s">
        <v>2882</v>
      </c>
      <c r="F1141" s="1405" t="s">
        <v>5299</v>
      </c>
      <c r="G1141" s="1403" t="s">
        <v>15183</v>
      </c>
      <c r="H1141" s="1406" t="s">
        <v>1019</v>
      </c>
    </row>
    <row r="1142" spans="1:8" x14ac:dyDescent="0.2">
      <c r="A1142" s="7"/>
      <c r="B1142" s="1407" t="str">
        <f t="shared" si="17"/>
        <v>Audrey Herbaut</v>
      </c>
      <c r="C1142" s="1402" t="s">
        <v>5983</v>
      </c>
      <c r="D1142" s="1403" t="s">
        <v>3649</v>
      </c>
      <c r="E1142" s="1404" t="s">
        <v>2883</v>
      </c>
      <c r="F1142" s="1405" t="s">
        <v>5299</v>
      </c>
      <c r="G1142" s="1403" t="s">
        <v>15183</v>
      </c>
      <c r="H1142" s="1406" t="s">
        <v>1019</v>
      </c>
    </row>
    <row r="1143" spans="1:8" x14ac:dyDescent="0.2">
      <c r="A1143" s="7"/>
      <c r="B1143" s="1407" t="str">
        <f t="shared" si="17"/>
        <v>Gilles Herbaut</v>
      </c>
      <c r="C1143" s="1402" t="s">
        <v>5983</v>
      </c>
      <c r="D1143" s="1403" t="s">
        <v>8008</v>
      </c>
      <c r="E1143" s="1404" t="s">
        <v>9426</v>
      </c>
      <c r="F1143" s="1405" t="s">
        <v>5300</v>
      </c>
      <c r="G1143" s="1403" t="s">
        <v>15183</v>
      </c>
      <c r="H1143" s="1406" t="s">
        <v>1019</v>
      </c>
    </row>
    <row r="1144" spans="1:8" x14ac:dyDescent="0.2">
      <c r="A1144" s="7"/>
      <c r="B1144" s="1407" t="str">
        <f t="shared" si="17"/>
        <v>Jean-Michel Hlupic</v>
      </c>
      <c r="C1144" s="1402" t="s">
        <v>17559</v>
      </c>
      <c r="D1144" s="1403" t="s">
        <v>17560</v>
      </c>
      <c r="E1144" s="1404" t="s">
        <v>17561</v>
      </c>
      <c r="F1144" s="1405" t="s">
        <v>5300</v>
      </c>
      <c r="G1144" s="1403" t="s">
        <v>15605</v>
      </c>
      <c r="H1144" s="1406" t="s">
        <v>1019</v>
      </c>
    </row>
    <row r="1145" spans="1:8" x14ac:dyDescent="0.2">
      <c r="A1145" s="7"/>
      <c r="B1145" s="1407" t="str">
        <f t="shared" si="17"/>
        <v>Michel Hortegat</v>
      </c>
      <c r="C1145" s="1402" t="s">
        <v>17133</v>
      </c>
      <c r="D1145" s="1403" t="s">
        <v>3555</v>
      </c>
      <c r="E1145" s="1404" t="s">
        <v>17134</v>
      </c>
      <c r="F1145" s="1405" t="s">
        <v>5300</v>
      </c>
      <c r="G1145" s="1403" t="s">
        <v>15605</v>
      </c>
      <c r="H1145" s="1406" t="s">
        <v>1019</v>
      </c>
    </row>
    <row r="1146" spans="1:8" x14ac:dyDescent="0.2">
      <c r="A1146" s="7"/>
      <c r="B1146" s="1407" t="str">
        <f t="shared" si="17"/>
        <v>Jérémy Idoux</v>
      </c>
      <c r="C1146" s="1402" t="s">
        <v>15689</v>
      </c>
      <c r="D1146" s="1403" t="s">
        <v>3311</v>
      </c>
      <c r="E1146" s="1404" t="s">
        <v>14519</v>
      </c>
      <c r="F1146" s="1405" t="s">
        <v>5299</v>
      </c>
      <c r="G1146" s="1403" t="s">
        <v>15605</v>
      </c>
      <c r="H1146" s="1406" t="s">
        <v>1019</v>
      </c>
    </row>
    <row r="1147" spans="1:8" x14ac:dyDescent="0.2">
      <c r="A1147" s="7"/>
      <c r="B1147" s="1407" t="str">
        <f t="shared" si="17"/>
        <v>Michel Idoux</v>
      </c>
      <c r="C1147" s="1402" t="s">
        <v>15689</v>
      </c>
      <c r="D1147" s="1403" t="s">
        <v>3555</v>
      </c>
      <c r="E1147" s="1404" t="s">
        <v>14520</v>
      </c>
      <c r="F1147" s="1405" t="s">
        <v>5300</v>
      </c>
      <c r="G1147" s="1403" t="s">
        <v>15605</v>
      </c>
      <c r="H1147" s="1406" t="s">
        <v>1019</v>
      </c>
    </row>
    <row r="1148" spans="1:8" x14ac:dyDescent="0.2">
      <c r="A1148" s="7"/>
      <c r="B1148" s="1407" t="str">
        <f t="shared" si="17"/>
        <v>Richard Ippoliti</v>
      </c>
      <c r="C1148" s="1402" t="s">
        <v>17557</v>
      </c>
      <c r="D1148" s="1403" t="s">
        <v>3219</v>
      </c>
      <c r="E1148" s="1404" t="s">
        <v>17558</v>
      </c>
      <c r="F1148" s="1405" t="s">
        <v>5299</v>
      </c>
      <c r="G1148" s="1403" t="s">
        <v>15605</v>
      </c>
      <c r="H1148" s="1406" t="s">
        <v>1019</v>
      </c>
    </row>
    <row r="1149" spans="1:8" x14ac:dyDescent="0.2">
      <c r="A1149" s="7"/>
      <c r="B1149" s="1407" t="str">
        <f t="shared" si="17"/>
        <v>Laurent Jaillet</v>
      </c>
      <c r="C1149" s="1402" t="s">
        <v>10949</v>
      </c>
      <c r="D1149" s="1403" t="s">
        <v>3123</v>
      </c>
      <c r="E1149" s="1404" t="s">
        <v>10968</v>
      </c>
      <c r="F1149" s="1405" t="s">
        <v>5300</v>
      </c>
      <c r="G1149" s="1403" t="s">
        <v>15183</v>
      </c>
      <c r="H1149" s="1406" t="s">
        <v>1019</v>
      </c>
    </row>
    <row r="1150" spans="1:8" x14ac:dyDescent="0.2">
      <c r="A1150" s="7"/>
      <c r="B1150" s="1407" t="str">
        <f t="shared" si="17"/>
        <v>Thierry Jalbert</v>
      </c>
      <c r="C1150" s="1402" t="s">
        <v>14521</v>
      </c>
      <c r="D1150" s="1403" t="s">
        <v>3332</v>
      </c>
      <c r="E1150" s="1404" t="s">
        <v>14522</v>
      </c>
      <c r="F1150" s="1405" t="s">
        <v>5300</v>
      </c>
      <c r="G1150" s="1403" t="s">
        <v>15183</v>
      </c>
      <c r="H1150" s="1406" t="s">
        <v>1019</v>
      </c>
    </row>
    <row r="1151" spans="1:8" x14ac:dyDescent="0.2">
      <c r="A1151" s="7"/>
      <c r="B1151" s="1407" t="str">
        <f t="shared" si="17"/>
        <v>Franck Jan</v>
      </c>
      <c r="C1151" s="1402" t="s">
        <v>15707</v>
      </c>
      <c r="D1151" s="1403" t="s">
        <v>5558</v>
      </c>
      <c r="E1151" s="1404" t="s">
        <v>14523</v>
      </c>
      <c r="F1151" s="1405" t="s">
        <v>5300</v>
      </c>
      <c r="G1151" s="1403" t="s">
        <v>14359</v>
      </c>
      <c r="H1151" s="1406" t="s">
        <v>1019</v>
      </c>
    </row>
    <row r="1152" spans="1:8" x14ac:dyDescent="0.2">
      <c r="A1152" s="7"/>
      <c r="B1152" s="1407" t="str">
        <f t="shared" si="17"/>
        <v>Mathias Koch</v>
      </c>
      <c r="C1152" s="1402" t="s">
        <v>15756</v>
      </c>
      <c r="D1152" s="1403" t="s">
        <v>3694</v>
      </c>
      <c r="E1152" s="1404" t="s">
        <v>15757</v>
      </c>
      <c r="F1152" s="1405" t="s">
        <v>13211</v>
      </c>
      <c r="G1152" s="1403" t="s">
        <v>15446</v>
      </c>
      <c r="H1152" s="1406" t="s">
        <v>1019</v>
      </c>
    </row>
    <row r="1153" spans="1:8" x14ac:dyDescent="0.2">
      <c r="A1153" s="7"/>
      <c r="B1153" s="1407" t="str">
        <f t="shared" si="17"/>
        <v>Emmanuel Lafontaine</v>
      </c>
      <c r="C1153" s="1402" t="s">
        <v>11020</v>
      </c>
      <c r="D1153" s="1403" t="s">
        <v>3392</v>
      </c>
      <c r="E1153" s="1404" t="s">
        <v>14524</v>
      </c>
      <c r="F1153" s="1405" t="s">
        <v>5299</v>
      </c>
      <c r="G1153" s="1403" t="s">
        <v>2893</v>
      </c>
      <c r="H1153" s="1406" t="s">
        <v>1019</v>
      </c>
    </row>
    <row r="1154" spans="1:8" x14ac:dyDescent="0.2">
      <c r="A1154" s="7"/>
      <c r="B1154" s="1407" t="str">
        <f t="shared" si="17"/>
        <v>Romain Lafontaine</v>
      </c>
      <c r="C1154" s="1402" t="s">
        <v>11020</v>
      </c>
      <c r="D1154" s="1403" t="s">
        <v>3242</v>
      </c>
      <c r="E1154" s="1404" t="s">
        <v>11393</v>
      </c>
      <c r="F1154" s="1405" t="s">
        <v>5299</v>
      </c>
      <c r="G1154" s="1403" t="s">
        <v>2893</v>
      </c>
      <c r="H1154" s="1406" t="s">
        <v>1019</v>
      </c>
    </row>
    <row r="1155" spans="1:8" x14ac:dyDescent="0.2">
      <c r="A1155" s="7"/>
      <c r="B1155" s="1407" t="str">
        <f t="shared" si="17"/>
        <v>Ninon Lafontaine</v>
      </c>
      <c r="C1155" s="1402" t="s">
        <v>11020</v>
      </c>
      <c r="D1155" s="1403" t="s">
        <v>17859</v>
      </c>
      <c r="E1155" s="1404" t="s">
        <v>17860</v>
      </c>
      <c r="F1155" s="1405" t="s">
        <v>1563</v>
      </c>
      <c r="G1155" s="1403" t="s">
        <v>2893</v>
      </c>
      <c r="H1155" s="1406" t="s">
        <v>1019</v>
      </c>
    </row>
    <row r="1156" spans="1:8" x14ac:dyDescent="0.2">
      <c r="A1156" s="7"/>
      <c r="B1156" s="1407" t="str">
        <f t="shared" si="17"/>
        <v>Romain Laloy</v>
      </c>
      <c r="C1156" s="1402" t="s">
        <v>17167</v>
      </c>
      <c r="D1156" s="1403" t="s">
        <v>3242</v>
      </c>
      <c r="E1156" s="1404" t="s">
        <v>17168</v>
      </c>
      <c r="F1156" s="1405" t="s">
        <v>5299</v>
      </c>
      <c r="G1156" s="1403" t="s">
        <v>16416</v>
      </c>
      <c r="H1156" s="1406" t="s">
        <v>1019</v>
      </c>
    </row>
    <row r="1157" spans="1:8" x14ac:dyDescent="0.2">
      <c r="A1157" s="7"/>
      <c r="B1157" s="1407" t="str">
        <f t="shared" si="17"/>
        <v>Pierre Larroumes</v>
      </c>
      <c r="C1157" s="1402" t="s">
        <v>15787</v>
      </c>
      <c r="D1157" s="1403" t="s">
        <v>3061</v>
      </c>
      <c r="E1157" s="1404" t="s">
        <v>14525</v>
      </c>
      <c r="F1157" s="1405" t="s">
        <v>5300</v>
      </c>
      <c r="G1157" s="1403" t="s">
        <v>15239</v>
      </c>
      <c r="H1157" s="1406" t="s">
        <v>1019</v>
      </c>
    </row>
    <row r="1158" spans="1:8" x14ac:dyDescent="0.2">
      <c r="A1158" s="7"/>
      <c r="B1158" s="1407" t="str">
        <f t="shared" si="17"/>
        <v>Romain Larrouy</v>
      </c>
      <c r="C1158" s="1402" t="s">
        <v>17139</v>
      </c>
      <c r="D1158" s="1403" t="s">
        <v>3242</v>
      </c>
      <c r="E1158" s="1404" t="s">
        <v>17140</v>
      </c>
      <c r="F1158" s="1405" t="s">
        <v>5299</v>
      </c>
      <c r="G1158" s="1403" t="s">
        <v>17005</v>
      </c>
      <c r="H1158" s="1406" t="s">
        <v>1019</v>
      </c>
    </row>
    <row r="1159" spans="1:8" x14ac:dyDescent="0.2">
      <c r="A1159" s="7"/>
      <c r="B1159" s="1407" t="str">
        <f t="shared" ref="B1159:B1222" si="18">TRIM(CONCATENATE(D1159," ",C1159))</f>
        <v>Francis Laurent</v>
      </c>
      <c r="C1159" s="1402" t="s">
        <v>3123</v>
      </c>
      <c r="D1159" s="1403" t="s">
        <v>3376</v>
      </c>
      <c r="E1159" s="1404" t="s">
        <v>14526</v>
      </c>
      <c r="F1159" s="1405" t="s">
        <v>5300</v>
      </c>
      <c r="G1159" s="1403" t="s">
        <v>15605</v>
      </c>
      <c r="H1159" s="1406" t="s">
        <v>1019</v>
      </c>
    </row>
    <row r="1160" spans="1:8" x14ac:dyDescent="0.2">
      <c r="A1160" s="7"/>
      <c r="B1160" s="1407" t="str">
        <f t="shared" si="18"/>
        <v>Didier Le De</v>
      </c>
      <c r="C1160" s="1402" t="s">
        <v>13836</v>
      </c>
      <c r="D1160" s="1403" t="s">
        <v>3281</v>
      </c>
      <c r="E1160" s="1404" t="s">
        <v>13837</v>
      </c>
      <c r="F1160" s="1405" t="s">
        <v>5300</v>
      </c>
      <c r="G1160" s="1403" t="s">
        <v>13838</v>
      </c>
      <c r="H1160" s="1406" t="s">
        <v>1019</v>
      </c>
    </row>
    <row r="1161" spans="1:8" x14ac:dyDescent="0.2">
      <c r="A1161" s="7"/>
      <c r="B1161" s="1407" t="str">
        <f t="shared" si="18"/>
        <v>Lucie Le Teno</v>
      </c>
      <c r="C1161" s="1402" t="s">
        <v>14527</v>
      </c>
      <c r="D1161" s="1403" t="s">
        <v>14529</v>
      </c>
      <c r="E1161" s="1404" t="s">
        <v>14530</v>
      </c>
      <c r="F1161" s="1405" t="s">
        <v>5299</v>
      </c>
      <c r="G1161" s="1403" t="s">
        <v>14359</v>
      </c>
      <c r="H1161" s="1406" t="s">
        <v>1019</v>
      </c>
    </row>
    <row r="1162" spans="1:8" x14ac:dyDescent="0.2">
      <c r="A1162" s="7"/>
      <c r="B1162" s="1407" t="str">
        <f t="shared" si="18"/>
        <v>Arnaud Le Teno</v>
      </c>
      <c r="C1162" s="1402" t="s">
        <v>14527</v>
      </c>
      <c r="D1162" s="1403" t="s">
        <v>13645</v>
      </c>
      <c r="E1162" s="1404" t="s">
        <v>14528</v>
      </c>
      <c r="F1162" s="1405" t="s">
        <v>5299</v>
      </c>
      <c r="G1162" s="1403" t="s">
        <v>14359</v>
      </c>
      <c r="H1162" s="1406" t="s">
        <v>1019</v>
      </c>
    </row>
    <row r="1163" spans="1:8" x14ac:dyDescent="0.2">
      <c r="A1163" s="7"/>
      <c r="B1163" s="1407" t="str">
        <f t="shared" si="18"/>
        <v>Sébastien Lecerf</v>
      </c>
      <c r="C1163" s="1402" t="s">
        <v>15796</v>
      </c>
      <c r="D1163" s="1403" t="s">
        <v>3043</v>
      </c>
      <c r="E1163" s="1404" t="s">
        <v>15800</v>
      </c>
      <c r="F1163" s="1405" t="s">
        <v>5299</v>
      </c>
      <c r="G1163" s="1403" t="s">
        <v>15799</v>
      </c>
      <c r="H1163" s="1406" t="s">
        <v>1019</v>
      </c>
    </row>
    <row r="1164" spans="1:8" x14ac:dyDescent="0.2">
      <c r="A1164" s="7"/>
      <c r="B1164" s="1407" t="str">
        <f t="shared" si="18"/>
        <v>Emeline Lecerf</v>
      </c>
      <c r="C1164" s="1402" t="s">
        <v>15796</v>
      </c>
      <c r="D1164" s="1403" t="s">
        <v>15797</v>
      </c>
      <c r="E1164" s="1404" t="s">
        <v>15798</v>
      </c>
      <c r="F1164" s="1405" t="s">
        <v>1563</v>
      </c>
      <c r="G1164" s="1403" t="s">
        <v>15799</v>
      </c>
      <c r="H1164" s="1406" t="s">
        <v>1019</v>
      </c>
    </row>
    <row r="1165" spans="1:8" x14ac:dyDescent="0.2">
      <c r="A1165" s="7"/>
      <c r="B1165" s="1407" t="str">
        <f t="shared" si="18"/>
        <v>Johnny Ledieu</v>
      </c>
      <c r="C1165" s="1402" t="s">
        <v>5984</v>
      </c>
      <c r="D1165" s="1403" t="s">
        <v>6878</v>
      </c>
      <c r="E1165" s="1404" t="s">
        <v>2884</v>
      </c>
      <c r="F1165" s="1405" t="s">
        <v>5299</v>
      </c>
      <c r="G1165" s="1403" t="s">
        <v>15183</v>
      </c>
      <c r="H1165" s="1406" t="s">
        <v>1019</v>
      </c>
    </row>
    <row r="1166" spans="1:8" x14ac:dyDescent="0.2">
      <c r="A1166" s="7"/>
      <c r="B1166" s="1407" t="str">
        <f t="shared" si="18"/>
        <v>Bastien Ledieu</v>
      </c>
      <c r="C1166" s="1402" t="s">
        <v>5984</v>
      </c>
      <c r="D1166" s="1403" t="s">
        <v>17861</v>
      </c>
      <c r="E1166" s="1404" t="s">
        <v>17862</v>
      </c>
      <c r="F1166" s="1405" t="s">
        <v>13211</v>
      </c>
      <c r="G1166" s="1403" t="s">
        <v>15183</v>
      </c>
      <c r="H1166" s="1406" t="s">
        <v>1019</v>
      </c>
    </row>
    <row r="1167" spans="1:8" x14ac:dyDescent="0.2">
      <c r="A1167" s="7"/>
      <c r="B1167" s="1407" t="str">
        <f t="shared" si="18"/>
        <v>Augustin Ledoit</v>
      </c>
      <c r="C1167" s="1402" t="s">
        <v>15801</v>
      </c>
      <c r="D1167" s="1403" t="s">
        <v>15613</v>
      </c>
      <c r="E1167" s="1404" t="s">
        <v>15802</v>
      </c>
      <c r="F1167" s="1405" t="s">
        <v>1563</v>
      </c>
      <c r="G1167" s="1403" t="s">
        <v>15269</v>
      </c>
      <c r="H1167" s="1406" t="s">
        <v>1019</v>
      </c>
    </row>
    <row r="1168" spans="1:8" x14ac:dyDescent="0.2">
      <c r="A1168" s="7"/>
      <c r="B1168" s="1407" t="str">
        <f t="shared" si="18"/>
        <v>Cyril Ledoit</v>
      </c>
      <c r="C1168" s="1402" t="s">
        <v>15801</v>
      </c>
      <c r="D1168" s="1403" t="s">
        <v>8229</v>
      </c>
      <c r="E1168" s="1404" t="s">
        <v>14532</v>
      </c>
      <c r="F1168" s="1405" t="s">
        <v>5300</v>
      </c>
      <c r="G1168" s="1403" t="s">
        <v>15269</v>
      </c>
      <c r="H1168" s="1406" t="s">
        <v>1019</v>
      </c>
    </row>
    <row r="1169" spans="1:8" x14ac:dyDescent="0.2">
      <c r="A1169" s="7"/>
      <c r="B1169" s="1407" t="str">
        <f t="shared" si="18"/>
        <v>Adrien Lefebvre</v>
      </c>
      <c r="C1169" s="1402" t="s">
        <v>17863</v>
      </c>
      <c r="D1169" s="1403" t="s">
        <v>17864</v>
      </c>
      <c r="E1169" s="1404" t="s">
        <v>17865</v>
      </c>
      <c r="F1169" s="1405" t="s">
        <v>1563</v>
      </c>
      <c r="G1169" s="1403" t="s">
        <v>2893</v>
      </c>
      <c r="H1169" s="1406" t="s">
        <v>1019</v>
      </c>
    </row>
    <row r="1170" spans="1:8" x14ac:dyDescent="0.2">
      <c r="A1170" s="7"/>
      <c r="B1170" s="1407" t="str">
        <f t="shared" si="18"/>
        <v>Nicolas Lefèbvre</v>
      </c>
      <c r="C1170" s="1402" t="s">
        <v>16956</v>
      </c>
      <c r="D1170" s="1403" t="s">
        <v>3666</v>
      </c>
      <c r="E1170" s="1404" t="s">
        <v>14533</v>
      </c>
      <c r="F1170" s="1405" t="s">
        <v>5299</v>
      </c>
      <c r="G1170" s="1403" t="s">
        <v>2893</v>
      </c>
      <c r="H1170" s="1406" t="s">
        <v>1019</v>
      </c>
    </row>
    <row r="1171" spans="1:8" x14ac:dyDescent="0.2">
      <c r="A1171" s="7"/>
      <c r="B1171" s="1407" t="str">
        <f t="shared" si="18"/>
        <v>Eliott Legall</v>
      </c>
      <c r="C1171" s="1402" t="s">
        <v>14534</v>
      </c>
      <c r="D1171" s="1403" t="s">
        <v>14535</v>
      </c>
      <c r="E1171" s="1404" t="s">
        <v>14536</v>
      </c>
      <c r="F1171" s="1405" t="s">
        <v>5299</v>
      </c>
      <c r="G1171" s="1403" t="s">
        <v>2796</v>
      </c>
      <c r="H1171" s="1406" t="s">
        <v>1019</v>
      </c>
    </row>
    <row r="1172" spans="1:8" x14ac:dyDescent="0.2">
      <c r="A1172" s="7"/>
      <c r="B1172" s="1407" t="str">
        <f t="shared" si="18"/>
        <v>Serge Leroy</v>
      </c>
      <c r="C1172" s="1402" t="s">
        <v>5738</v>
      </c>
      <c r="D1172" s="1403" t="s">
        <v>11074</v>
      </c>
      <c r="E1172" s="1404" t="s">
        <v>11095</v>
      </c>
      <c r="F1172" s="1405" t="s">
        <v>5300</v>
      </c>
      <c r="G1172" s="1403" t="s">
        <v>2795</v>
      </c>
      <c r="H1172" s="1406" t="s">
        <v>1019</v>
      </c>
    </row>
    <row r="1173" spans="1:8" x14ac:dyDescent="0.2">
      <c r="A1173" s="7"/>
      <c r="B1173" s="1407" t="str">
        <f t="shared" si="18"/>
        <v>David Leroy</v>
      </c>
      <c r="C1173" s="1402" t="s">
        <v>5738</v>
      </c>
      <c r="D1173" s="1403" t="s">
        <v>3072</v>
      </c>
      <c r="E1173" s="1404" t="s">
        <v>14537</v>
      </c>
      <c r="F1173" s="1405" t="s">
        <v>5299</v>
      </c>
      <c r="G1173" s="1403" t="s">
        <v>2795</v>
      </c>
      <c r="H1173" s="1406" t="s">
        <v>1019</v>
      </c>
    </row>
    <row r="1174" spans="1:8" x14ac:dyDescent="0.2">
      <c r="A1174" s="7"/>
      <c r="B1174" s="1407" t="str">
        <f t="shared" si="18"/>
        <v>Martine Leroy</v>
      </c>
      <c r="C1174" s="1402" t="s">
        <v>5738</v>
      </c>
      <c r="D1174" s="1403" t="s">
        <v>17158</v>
      </c>
      <c r="E1174" s="1404" t="s">
        <v>17159</v>
      </c>
      <c r="F1174" s="1405" t="s">
        <v>5300</v>
      </c>
      <c r="G1174" s="1403" t="s">
        <v>2795</v>
      </c>
      <c r="H1174" s="1406" t="s">
        <v>1019</v>
      </c>
    </row>
    <row r="1175" spans="1:8" x14ac:dyDescent="0.2">
      <c r="A1175" s="7"/>
      <c r="B1175" s="1407" t="str">
        <f t="shared" si="18"/>
        <v>Thibault Lesne</v>
      </c>
      <c r="C1175" s="1402" t="s">
        <v>15805</v>
      </c>
      <c r="D1175" s="1403" t="s">
        <v>14539</v>
      </c>
      <c r="E1175" s="1404" t="s">
        <v>14540</v>
      </c>
      <c r="F1175" s="1405" t="s">
        <v>5300</v>
      </c>
      <c r="G1175" s="1403" t="s">
        <v>13838</v>
      </c>
      <c r="H1175" s="1406" t="s">
        <v>1019</v>
      </c>
    </row>
    <row r="1176" spans="1:8" x14ac:dyDescent="0.2">
      <c r="A1176" s="7"/>
      <c r="B1176" s="1407" t="str">
        <f t="shared" si="18"/>
        <v>Eric Lienhardt</v>
      </c>
      <c r="C1176" s="1402" t="s">
        <v>5981</v>
      </c>
      <c r="D1176" s="1403" t="s">
        <v>3044</v>
      </c>
      <c r="E1176" s="1404" t="s">
        <v>2879</v>
      </c>
      <c r="F1176" s="1405" t="s">
        <v>5300</v>
      </c>
      <c r="G1176" s="1403" t="s">
        <v>15446</v>
      </c>
      <c r="H1176" s="1406" t="s">
        <v>1019</v>
      </c>
    </row>
    <row r="1177" spans="1:8" x14ac:dyDescent="0.2">
      <c r="A1177" s="7"/>
      <c r="B1177" s="1407" t="str">
        <f t="shared" si="18"/>
        <v>Irène Linquercq-Rivière</v>
      </c>
      <c r="C1177" s="1402" t="s">
        <v>14541</v>
      </c>
      <c r="D1177" s="1403" t="s">
        <v>8807</v>
      </c>
      <c r="E1177" s="1404" t="s">
        <v>8818</v>
      </c>
      <c r="F1177" s="1405" t="s">
        <v>5299</v>
      </c>
      <c r="G1177" s="1403" t="s">
        <v>2754</v>
      </c>
      <c r="H1177" s="1406" t="s">
        <v>1019</v>
      </c>
    </row>
    <row r="1178" spans="1:8" x14ac:dyDescent="0.2">
      <c r="A1178" s="7"/>
      <c r="B1178" s="1407" t="str">
        <f t="shared" si="18"/>
        <v>Lorenzo Lo Preti</v>
      </c>
      <c r="C1178" s="1402" t="s">
        <v>14542</v>
      </c>
      <c r="D1178" s="1403" t="s">
        <v>3155</v>
      </c>
      <c r="E1178" s="1404" t="s">
        <v>14543</v>
      </c>
      <c r="F1178" s="1405" t="s">
        <v>5299</v>
      </c>
      <c r="G1178" s="1403" t="s">
        <v>15446</v>
      </c>
      <c r="H1178" s="1406" t="s">
        <v>1019</v>
      </c>
    </row>
    <row r="1179" spans="1:8" x14ac:dyDescent="0.2">
      <c r="A1179" s="7"/>
      <c r="B1179" s="1407" t="str">
        <f t="shared" si="18"/>
        <v>Yann Loarec</v>
      </c>
      <c r="C1179" s="1402" t="s">
        <v>13829</v>
      </c>
      <c r="D1179" s="1403" t="s">
        <v>13830</v>
      </c>
      <c r="E1179" s="1404" t="s">
        <v>13831</v>
      </c>
      <c r="F1179" s="1405" t="s">
        <v>5300</v>
      </c>
      <c r="G1179" s="1403" t="s">
        <v>2796</v>
      </c>
      <c r="H1179" s="1406" t="s">
        <v>1019</v>
      </c>
    </row>
    <row r="1180" spans="1:8" x14ac:dyDescent="0.2">
      <c r="A1180" s="7"/>
      <c r="B1180" s="1407" t="str">
        <f t="shared" si="18"/>
        <v>François Long Andreani</v>
      </c>
      <c r="C1180" s="1402" t="s">
        <v>17127</v>
      </c>
      <c r="D1180" s="1403" t="s">
        <v>7465</v>
      </c>
      <c r="E1180" s="1404" t="s">
        <v>17128</v>
      </c>
      <c r="F1180" s="1405" t="s">
        <v>5300</v>
      </c>
      <c r="G1180" s="1403" t="s">
        <v>17129</v>
      </c>
      <c r="H1180" s="1406" t="s">
        <v>1019</v>
      </c>
    </row>
    <row r="1181" spans="1:8" x14ac:dyDescent="0.2">
      <c r="A1181" s="7"/>
      <c r="B1181" s="1407" t="str">
        <f t="shared" si="18"/>
        <v>Rémy Lours</v>
      </c>
      <c r="C1181" s="1402" t="s">
        <v>5993</v>
      </c>
      <c r="D1181" s="1403" t="s">
        <v>3394</v>
      </c>
      <c r="E1181" s="1404" t="s">
        <v>4392</v>
      </c>
      <c r="F1181" s="1405" t="s">
        <v>5299</v>
      </c>
      <c r="G1181" s="1403" t="s">
        <v>2893</v>
      </c>
      <c r="H1181" s="1406" t="s">
        <v>1019</v>
      </c>
    </row>
    <row r="1182" spans="1:8" x14ac:dyDescent="0.2">
      <c r="A1182" s="7"/>
      <c r="B1182" s="1407" t="str">
        <f t="shared" si="18"/>
        <v>Thierry Lunard</v>
      </c>
      <c r="C1182" s="1402" t="s">
        <v>17125</v>
      </c>
      <c r="D1182" s="1403" t="s">
        <v>3332</v>
      </c>
      <c r="E1182" s="1404" t="s">
        <v>17126</v>
      </c>
      <c r="F1182" s="1405" t="s">
        <v>5300</v>
      </c>
      <c r="G1182" s="1403" t="s">
        <v>17121</v>
      </c>
      <c r="H1182" s="1406" t="s">
        <v>1019</v>
      </c>
    </row>
    <row r="1183" spans="1:8" x14ac:dyDescent="0.2">
      <c r="A1183" s="7"/>
      <c r="B1183" s="1407" t="str">
        <f t="shared" si="18"/>
        <v>Liam Lupo</v>
      </c>
      <c r="C1183" s="1402" t="s">
        <v>11205</v>
      </c>
      <c r="D1183" s="1403" t="s">
        <v>3378</v>
      </c>
      <c r="E1183" s="1404" t="s">
        <v>14546</v>
      </c>
      <c r="F1183" s="1405" t="s">
        <v>13211</v>
      </c>
      <c r="G1183" s="1403" t="s">
        <v>17591</v>
      </c>
      <c r="H1183" s="1406" t="s">
        <v>1019</v>
      </c>
    </row>
    <row r="1184" spans="1:8" x14ac:dyDescent="0.2">
      <c r="A1184" s="7"/>
      <c r="B1184" s="1407" t="str">
        <f t="shared" si="18"/>
        <v>Enrico Lupo</v>
      </c>
      <c r="C1184" s="1402" t="s">
        <v>11205</v>
      </c>
      <c r="D1184" s="1403" t="s">
        <v>3132</v>
      </c>
      <c r="E1184" s="1404" t="s">
        <v>14545</v>
      </c>
      <c r="F1184" s="1405" t="s">
        <v>5300</v>
      </c>
      <c r="G1184" s="1403" t="s">
        <v>14485</v>
      </c>
      <c r="H1184" s="1406" t="s">
        <v>1019</v>
      </c>
    </row>
    <row r="1185" spans="1:8" x14ac:dyDescent="0.2">
      <c r="A1185" s="7"/>
      <c r="B1185" s="1407" t="str">
        <f t="shared" si="18"/>
        <v>Rayan Makhlouf</v>
      </c>
      <c r="C1185" s="1402" t="s">
        <v>15839</v>
      </c>
      <c r="D1185" s="1403" t="s">
        <v>15840</v>
      </c>
      <c r="E1185" s="1404" t="s">
        <v>15841</v>
      </c>
      <c r="F1185" s="1405" t="s">
        <v>5299</v>
      </c>
      <c r="G1185" s="1403" t="s">
        <v>15842</v>
      </c>
      <c r="H1185" s="1406" t="s">
        <v>1019</v>
      </c>
    </row>
    <row r="1186" spans="1:8" x14ac:dyDescent="0.2">
      <c r="A1186" s="7"/>
      <c r="B1186" s="1407" t="str">
        <f t="shared" si="18"/>
        <v>Nicolas Malfait</v>
      </c>
      <c r="C1186" s="1402" t="s">
        <v>17866</v>
      </c>
      <c r="D1186" s="1403" t="s">
        <v>3666</v>
      </c>
      <c r="E1186" s="1404" t="s">
        <v>17867</v>
      </c>
      <c r="F1186" s="1405" t="s">
        <v>5299</v>
      </c>
      <c r="G1186" s="1403" t="s">
        <v>16416</v>
      </c>
      <c r="H1186" s="1406" t="s">
        <v>1019</v>
      </c>
    </row>
    <row r="1187" spans="1:8" x14ac:dyDescent="0.2">
      <c r="A1187" s="7"/>
      <c r="B1187" s="1407" t="str">
        <f t="shared" si="18"/>
        <v>Orlan Martin</v>
      </c>
      <c r="C1187" s="1402" t="s">
        <v>3408</v>
      </c>
      <c r="D1187" s="1403" t="s">
        <v>14547</v>
      </c>
      <c r="E1187" s="1404" t="s">
        <v>14548</v>
      </c>
      <c r="F1187" s="1405" t="s">
        <v>13211</v>
      </c>
      <c r="G1187" s="1403" t="s">
        <v>15239</v>
      </c>
      <c r="H1187" s="1406" t="s">
        <v>1019</v>
      </c>
    </row>
    <row r="1188" spans="1:8" x14ac:dyDescent="0.2">
      <c r="A1188" s="7"/>
      <c r="B1188" s="1407" t="str">
        <f t="shared" si="18"/>
        <v>Thibaut Marville</v>
      </c>
      <c r="C1188" s="1402" t="s">
        <v>17145</v>
      </c>
      <c r="D1188" s="1403" t="s">
        <v>17146</v>
      </c>
      <c r="E1188" s="1404" t="s">
        <v>17147</v>
      </c>
      <c r="F1188" s="1405" t="s">
        <v>5299</v>
      </c>
      <c r="G1188" s="1403" t="s">
        <v>16416</v>
      </c>
      <c r="H1188" s="1406" t="s">
        <v>1019</v>
      </c>
    </row>
    <row r="1189" spans="1:8" x14ac:dyDescent="0.2">
      <c r="A1189" s="7"/>
      <c r="B1189" s="1407" t="str">
        <f t="shared" si="18"/>
        <v>David Mathieu</v>
      </c>
      <c r="C1189" s="1402" t="s">
        <v>13656</v>
      </c>
      <c r="D1189" s="1403" t="s">
        <v>3072</v>
      </c>
      <c r="E1189" s="1404" t="s">
        <v>14549</v>
      </c>
      <c r="F1189" s="1405" t="s">
        <v>5300</v>
      </c>
      <c r="G1189" s="1403" t="s">
        <v>14485</v>
      </c>
      <c r="H1189" s="1406" t="s">
        <v>1019</v>
      </c>
    </row>
    <row r="1190" spans="1:8" x14ac:dyDescent="0.2">
      <c r="A1190" s="7"/>
      <c r="B1190" s="1407" t="str">
        <f t="shared" si="18"/>
        <v>Franck Mayoungou</v>
      </c>
      <c r="C1190" s="1402" t="s">
        <v>17868</v>
      </c>
      <c r="D1190" s="1403" t="s">
        <v>5558</v>
      </c>
      <c r="E1190" s="1404" t="s">
        <v>17869</v>
      </c>
      <c r="F1190" s="1405" t="s">
        <v>5299</v>
      </c>
      <c r="G1190" s="1403" t="s">
        <v>17166</v>
      </c>
      <c r="H1190" s="1406" t="s">
        <v>1019</v>
      </c>
    </row>
    <row r="1191" spans="1:8" x14ac:dyDescent="0.2">
      <c r="A1191" s="7"/>
      <c r="B1191" s="1407" t="str">
        <f t="shared" si="18"/>
        <v>Laurent Meygret</v>
      </c>
      <c r="C1191" s="1402" t="s">
        <v>14550</v>
      </c>
      <c r="D1191" s="1403" t="s">
        <v>3123</v>
      </c>
      <c r="E1191" s="1404" t="s">
        <v>14551</v>
      </c>
      <c r="F1191" s="1405" t="s">
        <v>5299</v>
      </c>
      <c r="G1191" s="1403" t="s">
        <v>15239</v>
      </c>
      <c r="H1191" s="1406" t="s">
        <v>1019</v>
      </c>
    </row>
    <row r="1192" spans="1:8" x14ac:dyDescent="0.2">
      <c r="A1192" s="7"/>
      <c r="B1192" s="1407" t="str">
        <f t="shared" si="18"/>
        <v>Ludovic Midoux</v>
      </c>
      <c r="C1192" s="1402" t="s">
        <v>5991</v>
      </c>
      <c r="D1192" s="1403" t="s">
        <v>3190</v>
      </c>
      <c r="E1192" s="1404" t="s">
        <v>2890</v>
      </c>
      <c r="F1192" s="1405" t="s">
        <v>5299</v>
      </c>
      <c r="G1192" s="1403" t="s">
        <v>13519</v>
      </c>
      <c r="H1192" s="1406" t="s">
        <v>1019</v>
      </c>
    </row>
    <row r="1193" spans="1:8" x14ac:dyDescent="0.2">
      <c r="A1193" s="7"/>
      <c r="B1193" s="1407" t="str">
        <f t="shared" si="18"/>
        <v>Rafaël Midoux</v>
      </c>
      <c r="C1193" s="1402" t="s">
        <v>5991</v>
      </c>
      <c r="D1193" s="1403" t="s">
        <v>8238</v>
      </c>
      <c r="E1193" s="1404" t="s">
        <v>8371</v>
      </c>
      <c r="F1193" s="1405" t="s">
        <v>13210</v>
      </c>
      <c r="G1193" s="1403" t="s">
        <v>13519</v>
      </c>
      <c r="H1193" s="1406" t="s">
        <v>1019</v>
      </c>
    </row>
    <row r="1194" spans="1:8" x14ac:dyDescent="0.2">
      <c r="A1194" s="7"/>
      <c r="B1194" s="1407" t="str">
        <f t="shared" si="18"/>
        <v>Bertrand Mienville</v>
      </c>
      <c r="C1194" s="1402" t="s">
        <v>15907</v>
      </c>
      <c r="D1194" s="1403" t="s">
        <v>13657</v>
      </c>
      <c r="E1194" s="1404" t="s">
        <v>14552</v>
      </c>
      <c r="F1194" s="1405" t="s">
        <v>5300</v>
      </c>
      <c r="G1194" s="1403" t="s">
        <v>15908</v>
      </c>
      <c r="H1194" s="1406" t="s">
        <v>1019</v>
      </c>
    </row>
    <row r="1195" spans="1:8" x14ac:dyDescent="0.2">
      <c r="A1195" s="7"/>
      <c r="B1195" s="1407" t="str">
        <f t="shared" si="18"/>
        <v>Axel Modeste</v>
      </c>
      <c r="C1195" s="1402" t="s">
        <v>5978</v>
      </c>
      <c r="D1195" s="1403" t="s">
        <v>3075</v>
      </c>
      <c r="E1195" s="1404" t="s">
        <v>2877</v>
      </c>
      <c r="F1195" s="1405" t="s">
        <v>5300</v>
      </c>
      <c r="G1195" s="1403" t="s">
        <v>2754</v>
      </c>
      <c r="H1195" s="1406" t="s">
        <v>1019</v>
      </c>
    </row>
    <row r="1196" spans="1:8" x14ac:dyDescent="0.2">
      <c r="A1196" s="7"/>
      <c r="B1196" s="1407" t="str">
        <f t="shared" si="18"/>
        <v>Théo Modeste</v>
      </c>
      <c r="C1196" s="1402" t="s">
        <v>5978</v>
      </c>
      <c r="D1196" s="1403" t="s">
        <v>3678</v>
      </c>
      <c r="E1196" s="1404" t="s">
        <v>2880</v>
      </c>
      <c r="F1196" s="1405" t="s">
        <v>5299</v>
      </c>
      <c r="G1196" s="1403" t="s">
        <v>2754</v>
      </c>
      <c r="H1196" s="1406" t="s">
        <v>1019</v>
      </c>
    </row>
    <row r="1197" spans="1:8" x14ac:dyDescent="0.2">
      <c r="A1197" s="7"/>
      <c r="B1197" s="1407" t="str">
        <f t="shared" si="18"/>
        <v>Jérôme Monchalin</v>
      </c>
      <c r="C1197" s="1402" t="s">
        <v>15917</v>
      </c>
      <c r="D1197" s="1403" t="s">
        <v>3121</v>
      </c>
      <c r="E1197" s="1404" t="s">
        <v>14553</v>
      </c>
      <c r="F1197" s="1405" t="s">
        <v>5299</v>
      </c>
      <c r="G1197" s="1403" t="s">
        <v>15239</v>
      </c>
      <c r="H1197" s="1406" t="s">
        <v>1019</v>
      </c>
    </row>
    <row r="1198" spans="1:8" x14ac:dyDescent="0.2">
      <c r="A1198" s="7"/>
      <c r="B1198" s="1407" t="str">
        <f t="shared" si="18"/>
        <v>Tristan Monchalin</v>
      </c>
      <c r="C1198" s="1402" t="s">
        <v>15917</v>
      </c>
      <c r="D1198" s="1403" t="s">
        <v>3676</v>
      </c>
      <c r="E1198" s="1404" t="s">
        <v>14554</v>
      </c>
      <c r="F1198" s="1405" t="s">
        <v>1563</v>
      </c>
      <c r="G1198" s="1403" t="s">
        <v>15239</v>
      </c>
      <c r="H1198" s="1406" t="s">
        <v>1019</v>
      </c>
    </row>
    <row r="1199" spans="1:8" x14ac:dyDescent="0.2">
      <c r="A1199" s="7"/>
      <c r="B1199" s="1407" t="str">
        <f t="shared" si="18"/>
        <v>Christophe Monteiro</v>
      </c>
      <c r="C1199" s="1402" t="s">
        <v>8024</v>
      </c>
      <c r="D1199" s="1403" t="s">
        <v>3012</v>
      </c>
      <c r="E1199" s="1404" t="s">
        <v>8370</v>
      </c>
      <c r="F1199" s="1405" t="s">
        <v>5300</v>
      </c>
      <c r="G1199" s="1403" t="s">
        <v>2754</v>
      </c>
      <c r="H1199" s="1406" t="s">
        <v>1019</v>
      </c>
    </row>
    <row r="1200" spans="1:8" x14ac:dyDescent="0.2">
      <c r="A1200" s="7"/>
      <c r="B1200" s="1407" t="str">
        <f t="shared" si="18"/>
        <v>Joris Morel</v>
      </c>
      <c r="C1200" s="1402" t="s">
        <v>17870</v>
      </c>
      <c r="D1200" s="1403" t="s">
        <v>15712</v>
      </c>
      <c r="E1200" s="1404" t="s">
        <v>17871</v>
      </c>
      <c r="F1200" s="1405" t="s">
        <v>5299</v>
      </c>
      <c r="G1200" s="1403" t="s">
        <v>14485</v>
      </c>
      <c r="H1200" s="1406" t="s">
        <v>1019</v>
      </c>
    </row>
    <row r="1201" spans="1:8" x14ac:dyDescent="0.2">
      <c r="A1201" s="7"/>
      <c r="B1201" s="1407" t="str">
        <f t="shared" si="18"/>
        <v>Nicolas Morier</v>
      </c>
      <c r="C1201" s="1402" t="s">
        <v>14555</v>
      </c>
      <c r="D1201" s="1403" t="s">
        <v>3666</v>
      </c>
      <c r="E1201" s="1404" t="s">
        <v>14556</v>
      </c>
      <c r="F1201" s="1405" t="s">
        <v>5300</v>
      </c>
      <c r="G1201" s="1403" t="s">
        <v>13838</v>
      </c>
      <c r="H1201" s="1406" t="s">
        <v>1019</v>
      </c>
    </row>
    <row r="1202" spans="1:8" x14ac:dyDescent="0.2">
      <c r="A1202" s="7"/>
      <c r="B1202" s="1407" t="str">
        <f t="shared" si="18"/>
        <v>Augustin Moulin</v>
      </c>
      <c r="C1202" s="1402" t="s">
        <v>17872</v>
      </c>
      <c r="D1202" s="1403" t="s">
        <v>15613</v>
      </c>
      <c r="E1202" s="1404" t="s">
        <v>17873</v>
      </c>
      <c r="F1202" s="1405" t="s">
        <v>1563</v>
      </c>
      <c r="G1202" s="1403" t="s">
        <v>15239</v>
      </c>
      <c r="H1202" s="1406" t="s">
        <v>1019</v>
      </c>
    </row>
    <row r="1203" spans="1:8" x14ac:dyDescent="0.2">
      <c r="A1203" s="7"/>
      <c r="B1203" s="1407" t="str">
        <f t="shared" si="18"/>
        <v>Eric Naszalyi</v>
      </c>
      <c r="C1203" s="1402" t="s">
        <v>5973</v>
      </c>
      <c r="D1203" s="1403" t="s">
        <v>3044</v>
      </c>
      <c r="E1203" s="1404" t="s">
        <v>2872</v>
      </c>
      <c r="F1203" s="1405" t="s">
        <v>5300</v>
      </c>
      <c r="G1203" s="1403" t="s">
        <v>2754</v>
      </c>
      <c r="H1203" s="1406" t="s">
        <v>1019</v>
      </c>
    </row>
    <row r="1204" spans="1:8" x14ac:dyDescent="0.2">
      <c r="A1204" s="7"/>
      <c r="B1204" s="1407" t="str">
        <f t="shared" si="18"/>
        <v>Paul Naszalyi</v>
      </c>
      <c r="C1204" s="1402" t="s">
        <v>5973</v>
      </c>
      <c r="D1204" s="1403" t="s">
        <v>3259</v>
      </c>
      <c r="E1204" s="1404" t="s">
        <v>2881</v>
      </c>
      <c r="F1204" s="1405" t="s">
        <v>5299</v>
      </c>
      <c r="G1204" s="1403" t="s">
        <v>2754</v>
      </c>
      <c r="H1204" s="1406" t="s">
        <v>1019</v>
      </c>
    </row>
    <row r="1205" spans="1:8" x14ac:dyDescent="0.2">
      <c r="A1205" s="7"/>
      <c r="B1205" s="1407" t="str">
        <f t="shared" si="18"/>
        <v>Julien Nicolas</v>
      </c>
      <c r="C1205" s="1402" t="s">
        <v>3666</v>
      </c>
      <c r="D1205" s="1403" t="s">
        <v>14480</v>
      </c>
      <c r="E1205" s="1404" t="s">
        <v>17165</v>
      </c>
      <c r="F1205" s="1405" t="s">
        <v>5299</v>
      </c>
      <c r="G1205" s="1403" t="s">
        <v>17166</v>
      </c>
      <c r="H1205" s="1406" t="s">
        <v>1019</v>
      </c>
    </row>
    <row r="1206" spans="1:8" x14ac:dyDescent="0.2">
      <c r="A1206" s="7"/>
      <c r="B1206" s="1407" t="str">
        <f t="shared" si="18"/>
        <v>Mathieu Nicolas</v>
      </c>
      <c r="C1206" s="1402" t="s">
        <v>3666</v>
      </c>
      <c r="D1206" s="1403" t="s">
        <v>13656</v>
      </c>
      <c r="E1206" s="1404" t="s">
        <v>17874</v>
      </c>
      <c r="F1206" s="1405" t="s">
        <v>5299</v>
      </c>
      <c r="G1206" s="1403" t="s">
        <v>17166</v>
      </c>
      <c r="H1206" s="1406" t="s">
        <v>1019</v>
      </c>
    </row>
    <row r="1207" spans="1:8" x14ac:dyDescent="0.2">
      <c r="A1207" s="7"/>
      <c r="B1207" s="1407" t="str">
        <f t="shared" si="18"/>
        <v>Jean-Maurice Noël</v>
      </c>
      <c r="C1207" s="1402" t="s">
        <v>16967</v>
      </c>
      <c r="D1207" s="1403" t="s">
        <v>15953</v>
      </c>
      <c r="E1207" s="1404" t="s">
        <v>15954</v>
      </c>
      <c r="F1207" s="1405" t="s">
        <v>5300</v>
      </c>
      <c r="G1207" s="1403" t="s">
        <v>15842</v>
      </c>
      <c r="H1207" s="1406" t="s">
        <v>1019</v>
      </c>
    </row>
    <row r="1208" spans="1:8" x14ac:dyDescent="0.2">
      <c r="A1208" s="7"/>
      <c r="B1208" s="1407" t="str">
        <f t="shared" si="18"/>
        <v>Paul Offmann</v>
      </c>
      <c r="C1208" s="1402" t="s">
        <v>14557</v>
      </c>
      <c r="D1208" s="1403" t="s">
        <v>3259</v>
      </c>
      <c r="E1208" s="1404" t="s">
        <v>14558</v>
      </c>
      <c r="F1208" s="1405" t="s">
        <v>5299</v>
      </c>
      <c r="G1208" s="1403" t="s">
        <v>17082</v>
      </c>
      <c r="H1208" s="1406" t="s">
        <v>1019</v>
      </c>
    </row>
    <row r="1209" spans="1:8" x14ac:dyDescent="0.2">
      <c r="A1209" s="7"/>
      <c r="B1209" s="1407" t="str">
        <f t="shared" si="18"/>
        <v>Telio Pandolfi</v>
      </c>
      <c r="C1209" s="1402" t="s">
        <v>9748</v>
      </c>
      <c r="D1209" s="1403" t="s">
        <v>17550</v>
      </c>
      <c r="E1209" s="1404" t="s">
        <v>17551</v>
      </c>
      <c r="F1209" s="1405" t="s">
        <v>13210</v>
      </c>
      <c r="G1209" s="1403" t="s">
        <v>14359</v>
      </c>
      <c r="H1209" s="1406" t="s">
        <v>1019</v>
      </c>
    </row>
    <row r="1210" spans="1:8" x14ac:dyDescent="0.2">
      <c r="A1210" s="7"/>
      <c r="B1210" s="1407" t="str">
        <f t="shared" si="18"/>
        <v>Cédric Pandolfi</v>
      </c>
      <c r="C1210" s="1402" t="s">
        <v>9748</v>
      </c>
      <c r="D1210" s="1403" t="s">
        <v>3375</v>
      </c>
      <c r="E1210" s="1404" t="s">
        <v>9790</v>
      </c>
      <c r="F1210" s="1405" t="s">
        <v>5299</v>
      </c>
      <c r="G1210" s="1403" t="s">
        <v>15239</v>
      </c>
      <c r="H1210" s="1406" t="s">
        <v>1019</v>
      </c>
    </row>
    <row r="1211" spans="1:8" x14ac:dyDescent="0.2">
      <c r="A1211" s="7"/>
      <c r="B1211" s="1407" t="str">
        <f t="shared" si="18"/>
        <v>Fabrice Parmentier</v>
      </c>
      <c r="C1211" s="1402" t="s">
        <v>17137</v>
      </c>
      <c r="D1211" s="1403" t="s">
        <v>14356</v>
      </c>
      <c r="E1211" s="1404" t="s">
        <v>17138</v>
      </c>
      <c r="F1211" s="1405" t="s">
        <v>5300</v>
      </c>
      <c r="G1211" s="1403" t="s">
        <v>15446</v>
      </c>
      <c r="H1211" s="1406" t="s">
        <v>1019</v>
      </c>
    </row>
    <row r="1212" spans="1:8" x14ac:dyDescent="0.2">
      <c r="A1212" s="7"/>
      <c r="B1212" s="1407" t="str">
        <f t="shared" si="18"/>
        <v>Laurent Pasquier</v>
      </c>
      <c r="C1212" s="1402" t="s">
        <v>16007</v>
      </c>
      <c r="D1212" s="1403" t="s">
        <v>3123</v>
      </c>
      <c r="E1212" s="1404" t="s">
        <v>14559</v>
      </c>
      <c r="F1212" s="1405" t="s">
        <v>5299</v>
      </c>
      <c r="G1212" s="1403" t="s">
        <v>14359</v>
      </c>
      <c r="H1212" s="1406" t="s">
        <v>1019</v>
      </c>
    </row>
    <row r="1213" spans="1:8" x14ac:dyDescent="0.2">
      <c r="A1213" s="7"/>
      <c r="B1213" s="1407" t="str">
        <f t="shared" si="18"/>
        <v>Aldo Pedetti</v>
      </c>
      <c r="C1213" s="1402" t="s">
        <v>16013</v>
      </c>
      <c r="D1213" s="1403" t="s">
        <v>3642</v>
      </c>
      <c r="E1213" s="1404" t="s">
        <v>16014</v>
      </c>
      <c r="F1213" s="1405" t="s">
        <v>5300</v>
      </c>
      <c r="G1213" s="1403" t="s">
        <v>15446</v>
      </c>
      <c r="H1213" s="1406" t="s">
        <v>1019</v>
      </c>
    </row>
    <row r="1214" spans="1:8" x14ac:dyDescent="0.2">
      <c r="A1214" s="7"/>
      <c r="B1214" s="1407" t="str">
        <f t="shared" si="18"/>
        <v>Denis Polsinelli</v>
      </c>
      <c r="C1214" s="1402" t="s">
        <v>9746</v>
      </c>
      <c r="D1214" s="1403" t="s">
        <v>3272</v>
      </c>
      <c r="E1214" s="1404" t="s">
        <v>9788</v>
      </c>
      <c r="F1214" s="1405" t="s">
        <v>5300</v>
      </c>
      <c r="G1214" s="1403" t="s">
        <v>15239</v>
      </c>
      <c r="H1214" s="1406" t="s">
        <v>1019</v>
      </c>
    </row>
    <row r="1215" spans="1:8" x14ac:dyDescent="0.2">
      <c r="A1215" s="7"/>
      <c r="B1215" s="1407" t="str">
        <f t="shared" si="18"/>
        <v>Stéphane Pommier</v>
      </c>
      <c r="C1215" s="1402" t="s">
        <v>5986</v>
      </c>
      <c r="D1215" s="1403" t="s">
        <v>3624</v>
      </c>
      <c r="E1215" s="1404" t="s">
        <v>2886</v>
      </c>
      <c r="F1215" s="1405" t="s">
        <v>5300</v>
      </c>
      <c r="G1215" s="1403" t="s">
        <v>2893</v>
      </c>
      <c r="H1215" s="1406" t="s">
        <v>1019</v>
      </c>
    </row>
    <row r="1216" spans="1:8" x14ac:dyDescent="0.2">
      <c r="A1216" s="7"/>
      <c r="B1216" s="1407" t="str">
        <f t="shared" si="18"/>
        <v>Raphaël Pommier</v>
      </c>
      <c r="C1216" s="1402" t="s">
        <v>5986</v>
      </c>
      <c r="D1216" s="1403" t="s">
        <v>3541</v>
      </c>
      <c r="E1216" s="1404" t="s">
        <v>2889</v>
      </c>
      <c r="F1216" s="1405" t="s">
        <v>5299</v>
      </c>
      <c r="G1216" s="1403" t="s">
        <v>2893</v>
      </c>
      <c r="H1216" s="1406" t="s">
        <v>1019</v>
      </c>
    </row>
    <row r="1217" spans="1:8" x14ac:dyDescent="0.2">
      <c r="A1217" s="7"/>
      <c r="B1217" s="1407" t="str">
        <f t="shared" si="18"/>
        <v>Kévin Pouffet</v>
      </c>
      <c r="C1217" s="1402" t="s">
        <v>13834</v>
      </c>
      <c r="D1217" s="1403" t="s">
        <v>13220</v>
      </c>
      <c r="E1217" s="1404" t="s">
        <v>13835</v>
      </c>
      <c r="F1217" s="1405" t="s">
        <v>5299</v>
      </c>
      <c r="G1217" s="1403" t="s">
        <v>2795</v>
      </c>
      <c r="H1217" s="1406" t="s">
        <v>1019</v>
      </c>
    </row>
    <row r="1218" spans="1:8" x14ac:dyDescent="0.2">
      <c r="A1218" s="7"/>
      <c r="B1218" s="1407" t="str">
        <f t="shared" si="18"/>
        <v>Aymeric Pouffet</v>
      </c>
      <c r="C1218" s="1402" t="s">
        <v>13834</v>
      </c>
      <c r="D1218" s="1403" t="s">
        <v>14560</v>
      </c>
      <c r="E1218" s="1404" t="s">
        <v>14561</v>
      </c>
      <c r="F1218" s="1405" t="s">
        <v>5299</v>
      </c>
      <c r="G1218" s="1403" t="s">
        <v>13838</v>
      </c>
      <c r="H1218" s="1406" t="s">
        <v>1019</v>
      </c>
    </row>
    <row r="1219" spans="1:8" x14ac:dyDescent="0.2">
      <c r="A1219" s="7"/>
      <c r="B1219" s="1407" t="str">
        <f t="shared" si="18"/>
        <v>Lea Poupart</v>
      </c>
      <c r="C1219" s="1402" t="s">
        <v>17119</v>
      </c>
      <c r="D1219" s="1403" t="s">
        <v>17120</v>
      </c>
      <c r="E1219" s="1404" t="s">
        <v>14563</v>
      </c>
      <c r="F1219" s="1405" t="s">
        <v>13210</v>
      </c>
      <c r="G1219" s="1403" t="s">
        <v>2796</v>
      </c>
      <c r="H1219" s="1406" t="s">
        <v>1019</v>
      </c>
    </row>
    <row r="1220" spans="1:8" x14ac:dyDescent="0.2">
      <c r="A1220" s="7"/>
      <c r="B1220" s="1407" t="str">
        <f t="shared" si="18"/>
        <v>Hervé Rakowski</v>
      </c>
      <c r="C1220" s="1402" t="s">
        <v>14564</v>
      </c>
      <c r="D1220" s="1403" t="s">
        <v>8237</v>
      </c>
      <c r="E1220" s="1404" t="s">
        <v>14565</v>
      </c>
      <c r="F1220" s="1405" t="s">
        <v>5300</v>
      </c>
      <c r="G1220" s="1403" t="s">
        <v>15446</v>
      </c>
      <c r="H1220" s="1406" t="s">
        <v>1019</v>
      </c>
    </row>
    <row r="1221" spans="1:8" x14ac:dyDescent="0.2">
      <c r="A1221" s="7"/>
      <c r="B1221" s="1407" t="str">
        <f t="shared" si="18"/>
        <v>Marc Regnier</v>
      </c>
      <c r="C1221" s="1402" t="s">
        <v>16117</v>
      </c>
      <c r="D1221" s="1403" t="s">
        <v>3208</v>
      </c>
      <c r="E1221" s="1404" t="s">
        <v>16118</v>
      </c>
      <c r="F1221" s="1405" t="s">
        <v>5300</v>
      </c>
      <c r="G1221" s="1403" t="s">
        <v>2795</v>
      </c>
      <c r="H1221" s="1406" t="s">
        <v>1019</v>
      </c>
    </row>
    <row r="1222" spans="1:8" x14ac:dyDescent="0.2">
      <c r="A1222" s="7"/>
      <c r="B1222" s="1407" t="str">
        <f t="shared" si="18"/>
        <v>Christian Reinbold</v>
      </c>
      <c r="C1222" s="1402" t="s">
        <v>17875</v>
      </c>
      <c r="D1222" s="1403" t="s">
        <v>3063</v>
      </c>
      <c r="E1222" s="1404" t="s">
        <v>17876</v>
      </c>
      <c r="F1222" s="1405" t="s">
        <v>5300</v>
      </c>
      <c r="G1222" s="1403" t="s">
        <v>17841</v>
      </c>
      <c r="H1222" s="1406" t="s">
        <v>1019</v>
      </c>
    </row>
    <row r="1223" spans="1:8" x14ac:dyDescent="0.2">
      <c r="A1223" s="7"/>
      <c r="B1223" s="1407" t="str">
        <f t="shared" ref="B1223:B1286" si="19">TRIM(CONCATENATE(D1223," ",C1223))</f>
        <v>Jean Marc Rethore</v>
      </c>
      <c r="C1223" s="1402" t="s">
        <v>17155</v>
      </c>
      <c r="D1223" s="1403" t="s">
        <v>17156</v>
      </c>
      <c r="E1223" s="1404" t="s">
        <v>17157</v>
      </c>
      <c r="F1223" s="1405" t="s">
        <v>5300</v>
      </c>
      <c r="G1223" s="1403" t="s">
        <v>2796</v>
      </c>
      <c r="H1223" s="1406" t="s">
        <v>1019</v>
      </c>
    </row>
    <row r="1224" spans="1:8" x14ac:dyDescent="0.2">
      <c r="A1224" s="7"/>
      <c r="B1224" s="1407" t="str">
        <f t="shared" si="19"/>
        <v>Fayçal Rouis</v>
      </c>
      <c r="C1224" s="1402" t="s">
        <v>5980</v>
      </c>
      <c r="D1224" s="1403" t="s">
        <v>3426</v>
      </c>
      <c r="E1224" s="1404" t="s">
        <v>16149</v>
      </c>
      <c r="F1224" s="1405" t="s">
        <v>5299</v>
      </c>
      <c r="G1224" s="1403" t="s">
        <v>2893</v>
      </c>
      <c r="H1224" s="1406" t="s">
        <v>1019</v>
      </c>
    </row>
    <row r="1225" spans="1:8" x14ac:dyDescent="0.2">
      <c r="A1225" s="7"/>
      <c r="B1225" s="1407" t="str">
        <f t="shared" si="19"/>
        <v>Abdelmaneum Rouis</v>
      </c>
      <c r="C1225" s="1402" t="s">
        <v>5980</v>
      </c>
      <c r="D1225" s="1403" t="s">
        <v>14824</v>
      </c>
      <c r="E1225" s="1404" t="s">
        <v>16148</v>
      </c>
      <c r="F1225" s="1405" t="s">
        <v>5299</v>
      </c>
      <c r="G1225" s="1403" t="s">
        <v>2893</v>
      </c>
      <c r="H1225" s="1406" t="s">
        <v>1019</v>
      </c>
    </row>
    <row r="1226" spans="1:8" x14ac:dyDescent="0.2">
      <c r="A1226" s="7"/>
      <c r="B1226" s="1407" t="str">
        <f t="shared" si="19"/>
        <v>Valentino Rubbi</v>
      </c>
      <c r="C1226" s="1402" t="s">
        <v>16150</v>
      </c>
      <c r="D1226" s="1403" t="s">
        <v>6943</v>
      </c>
      <c r="E1226" s="1404" t="s">
        <v>16151</v>
      </c>
      <c r="F1226" s="1405" t="s">
        <v>1563</v>
      </c>
      <c r="G1226" s="1403" t="s">
        <v>15269</v>
      </c>
      <c r="H1226" s="1406" t="s">
        <v>1019</v>
      </c>
    </row>
    <row r="1227" spans="1:8" x14ac:dyDescent="0.2">
      <c r="A1227" s="7"/>
      <c r="B1227" s="1407" t="str">
        <f t="shared" si="19"/>
        <v>Jean-François Rubi</v>
      </c>
      <c r="C1227" s="1402" t="s">
        <v>14566</v>
      </c>
      <c r="D1227" s="1403" t="s">
        <v>3360</v>
      </c>
      <c r="E1227" s="1404" t="s">
        <v>14567</v>
      </c>
      <c r="F1227" s="1405" t="s">
        <v>5300</v>
      </c>
      <c r="G1227" s="1403" t="s">
        <v>15183</v>
      </c>
      <c r="H1227" s="1406" t="s">
        <v>1019</v>
      </c>
    </row>
    <row r="1228" spans="1:8" x14ac:dyDescent="0.2">
      <c r="A1228" s="7"/>
      <c r="B1228" s="1407" t="str">
        <f t="shared" si="19"/>
        <v>Isaiah Rugard Angot</v>
      </c>
      <c r="C1228" s="1402" t="s">
        <v>17122</v>
      </c>
      <c r="D1228" s="1403" t="s">
        <v>17123</v>
      </c>
      <c r="E1228" s="1404" t="s">
        <v>17124</v>
      </c>
      <c r="F1228" s="1405" t="s">
        <v>1563</v>
      </c>
      <c r="G1228" s="1403" t="s">
        <v>15269</v>
      </c>
      <c r="H1228" s="1406" t="s">
        <v>1019</v>
      </c>
    </row>
    <row r="1229" spans="1:8" x14ac:dyDescent="0.2">
      <c r="A1229" s="7"/>
      <c r="B1229" s="1407" t="str">
        <f t="shared" si="19"/>
        <v>Diego Russolillo</v>
      </c>
      <c r="C1229" s="1402" t="s">
        <v>16159</v>
      </c>
      <c r="D1229" s="1403" t="s">
        <v>3373</v>
      </c>
      <c r="E1229" s="1404" t="s">
        <v>14568</v>
      </c>
      <c r="F1229" s="1405" t="s">
        <v>1563</v>
      </c>
      <c r="G1229" s="1403" t="s">
        <v>15269</v>
      </c>
      <c r="H1229" s="1406" t="s">
        <v>1019</v>
      </c>
    </row>
    <row r="1230" spans="1:8" x14ac:dyDescent="0.2">
      <c r="A1230" s="7"/>
      <c r="B1230" s="1407" t="str">
        <f t="shared" si="19"/>
        <v>Giorgio Russolillo</v>
      </c>
      <c r="C1230" s="1402" t="s">
        <v>16159</v>
      </c>
      <c r="D1230" s="1403" t="s">
        <v>3643</v>
      </c>
      <c r="E1230" s="1404" t="s">
        <v>14569</v>
      </c>
      <c r="F1230" s="1405" t="s">
        <v>5300</v>
      </c>
      <c r="G1230" s="1403" t="s">
        <v>15269</v>
      </c>
      <c r="H1230" s="1406" t="s">
        <v>1019</v>
      </c>
    </row>
    <row r="1231" spans="1:8" x14ac:dyDescent="0.2">
      <c r="A1231" s="7"/>
      <c r="B1231" s="1407" t="str">
        <f t="shared" si="19"/>
        <v>Olivier Sagit</v>
      </c>
      <c r="C1231" s="1402" t="s">
        <v>5988</v>
      </c>
      <c r="D1231" s="1403" t="s">
        <v>3193</v>
      </c>
      <c r="E1231" s="1404" t="s">
        <v>2888</v>
      </c>
      <c r="F1231" s="1405" t="s">
        <v>5299</v>
      </c>
      <c r="G1231" s="1403" t="s">
        <v>2893</v>
      </c>
      <c r="H1231" s="1406" t="s">
        <v>1019</v>
      </c>
    </row>
    <row r="1232" spans="1:8" x14ac:dyDescent="0.2">
      <c r="A1232" s="7"/>
      <c r="B1232" s="1407" t="str">
        <f t="shared" si="19"/>
        <v>Laurent Salle</v>
      </c>
      <c r="C1232" s="1402" t="s">
        <v>5990</v>
      </c>
      <c r="D1232" s="1403" t="s">
        <v>3123</v>
      </c>
      <c r="E1232" s="1404" t="s">
        <v>17877</v>
      </c>
      <c r="F1232" s="1405" t="s">
        <v>5300</v>
      </c>
      <c r="G1232" s="1403" t="s">
        <v>2796</v>
      </c>
      <c r="H1232" s="1406" t="s">
        <v>1019</v>
      </c>
    </row>
    <row r="1233" spans="1:8" x14ac:dyDescent="0.2">
      <c r="A1233" s="7"/>
      <c r="B1233" s="1407" t="str">
        <f t="shared" si="19"/>
        <v>David Sardi de Letto</v>
      </c>
      <c r="C1233" s="1402" t="s">
        <v>16193</v>
      </c>
      <c r="D1233" s="1403" t="s">
        <v>3072</v>
      </c>
      <c r="E1233" s="1404" t="s">
        <v>16194</v>
      </c>
      <c r="F1233" s="1405" t="s">
        <v>5300</v>
      </c>
      <c r="G1233" s="1403" t="s">
        <v>16195</v>
      </c>
      <c r="H1233" s="1406" t="s">
        <v>1019</v>
      </c>
    </row>
    <row r="1234" spans="1:8" x14ac:dyDescent="0.2">
      <c r="A1234" s="7"/>
      <c r="B1234" s="1407" t="str">
        <f t="shared" si="19"/>
        <v>Damien Savel</v>
      </c>
      <c r="C1234" s="1402" t="s">
        <v>16201</v>
      </c>
      <c r="D1234" s="1403" t="s">
        <v>3284</v>
      </c>
      <c r="E1234" s="1404" t="s">
        <v>16202</v>
      </c>
      <c r="F1234" s="1405" t="s">
        <v>5300</v>
      </c>
      <c r="G1234" s="1403" t="s">
        <v>15842</v>
      </c>
      <c r="H1234" s="1406" t="s">
        <v>1019</v>
      </c>
    </row>
    <row r="1235" spans="1:8" x14ac:dyDescent="0.2">
      <c r="A1235" s="7"/>
      <c r="B1235" s="1407" t="str">
        <f t="shared" si="19"/>
        <v>Eric Siwczak</v>
      </c>
      <c r="C1235" s="1402" t="s">
        <v>14570</v>
      </c>
      <c r="D1235" s="1403" t="s">
        <v>3044</v>
      </c>
      <c r="E1235" s="1404" t="s">
        <v>14571</v>
      </c>
      <c r="F1235" s="1405" t="s">
        <v>5300</v>
      </c>
      <c r="G1235" s="1403" t="s">
        <v>14485</v>
      </c>
      <c r="H1235" s="1406" t="s">
        <v>1019</v>
      </c>
    </row>
    <row r="1236" spans="1:8" x14ac:dyDescent="0.2">
      <c r="A1236" s="7"/>
      <c r="B1236" s="1407" t="str">
        <f t="shared" si="19"/>
        <v>Rémi Soret</v>
      </c>
      <c r="C1236" s="1402" t="s">
        <v>5992</v>
      </c>
      <c r="D1236" s="1403" t="s">
        <v>3520</v>
      </c>
      <c r="E1236" s="1404" t="s">
        <v>2891</v>
      </c>
      <c r="F1236" s="1405" t="s">
        <v>5299</v>
      </c>
      <c r="G1236" s="1403" t="s">
        <v>13519</v>
      </c>
      <c r="H1236" s="1406" t="s">
        <v>1019</v>
      </c>
    </row>
    <row r="1237" spans="1:8" x14ac:dyDescent="0.2">
      <c r="A1237" s="7"/>
      <c r="B1237" s="1407" t="str">
        <f t="shared" si="19"/>
        <v>Louis Soret</v>
      </c>
      <c r="C1237" s="1402" t="s">
        <v>5992</v>
      </c>
      <c r="D1237" s="1403" t="s">
        <v>5660</v>
      </c>
      <c r="E1237" s="1404" t="s">
        <v>8816</v>
      </c>
      <c r="F1237" s="1405" t="s">
        <v>13211</v>
      </c>
      <c r="G1237" s="1403" t="s">
        <v>13519</v>
      </c>
      <c r="H1237" s="1406" t="s">
        <v>1019</v>
      </c>
    </row>
    <row r="1238" spans="1:8" x14ac:dyDescent="0.2">
      <c r="A1238" s="7"/>
      <c r="B1238" s="1407" t="str">
        <f t="shared" si="19"/>
        <v>Sébastien Sorge</v>
      </c>
      <c r="C1238" s="1402" t="s">
        <v>14572</v>
      </c>
      <c r="D1238" s="1403" t="s">
        <v>3043</v>
      </c>
      <c r="E1238" s="1404" t="s">
        <v>13833</v>
      </c>
      <c r="F1238" s="1405" t="s">
        <v>5300</v>
      </c>
      <c r="G1238" s="1403" t="s">
        <v>16416</v>
      </c>
      <c r="H1238" s="1406" t="s">
        <v>1019</v>
      </c>
    </row>
    <row r="1239" spans="1:8" x14ac:dyDescent="0.2">
      <c r="A1239" s="7"/>
      <c r="B1239" s="1407" t="str">
        <f t="shared" si="19"/>
        <v>Lucas Sourdot</v>
      </c>
      <c r="C1239" s="1402" t="s">
        <v>17135</v>
      </c>
      <c r="D1239" s="1403" t="s">
        <v>3684</v>
      </c>
      <c r="E1239" s="1404" t="s">
        <v>17136</v>
      </c>
      <c r="F1239" s="1405" t="s">
        <v>13211</v>
      </c>
      <c r="G1239" s="1403" t="s">
        <v>17129</v>
      </c>
      <c r="H1239" s="1406" t="s">
        <v>1019</v>
      </c>
    </row>
    <row r="1240" spans="1:8" x14ac:dyDescent="0.2">
      <c r="A1240" s="7"/>
      <c r="B1240" s="1407" t="str">
        <f t="shared" si="19"/>
        <v>Frédéric Staine</v>
      </c>
      <c r="C1240" s="1402" t="s">
        <v>16256</v>
      </c>
      <c r="D1240" s="1403" t="s">
        <v>3286</v>
      </c>
      <c r="E1240" s="1404" t="s">
        <v>14573</v>
      </c>
      <c r="F1240" s="1405" t="s">
        <v>5300</v>
      </c>
      <c r="G1240" s="1403" t="s">
        <v>17841</v>
      </c>
      <c r="H1240" s="1406" t="s">
        <v>1019</v>
      </c>
    </row>
    <row r="1241" spans="1:8" x14ac:dyDescent="0.2">
      <c r="A1241" s="7"/>
      <c r="B1241" s="1407" t="str">
        <f t="shared" si="19"/>
        <v>Manon Steiner</v>
      </c>
      <c r="C1241" s="1402" t="s">
        <v>16257</v>
      </c>
      <c r="D1241" s="1403" t="s">
        <v>14574</v>
      </c>
      <c r="E1241" s="1404" t="s">
        <v>14575</v>
      </c>
      <c r="F1241" s="1405" t="s">
        <v>5299</v>
      </c>
      <c r="G1241" s="1403" t="s">
        <v>15605</v>
      </c>
      <c r="H1241" s="1406" t="s">
        <v>1019</v>
      </c>
    </row>
    <row r="1242" spans="1:8" x14ac:dyDescent="0.2">
      <c r="A1242" s="7"/>
      <c r="B1242" s="1407" t="str">
        <f t="shared" si="19"/>
        <v>Maël Teixido-Regnier</v>
      </c>
      <c r="C1242" s="1402" t="s">
        <v>16292</v>
      </c>
      <c r="D1242" s="1403" t="s">
        <v>16293</v>
      </c>
      <c r="E1242" s="1404" t="s">
        <v>16294</v>
      </c>
      <c r="F1242" s="1405" t="s">
        <v>13211</v>
      </c>
      <c r="G1242" s="1403" t="s">
        <v>2795</v>
      </c>
      <c r="H1242" s="1406" t="s">
        <v>1019</v>
      </c>
    </row>
    <row r="1243" spans="1:8" x14ac:dyDescent="0.2">
      <c r="A1243" s="7"/>
      <c r="B1243" s="1407" t="str">
        <f t="shared" si="19"/>
        <v>Dorian Testud</v>
      </c>
      <c r="C1243" s="1402" t="s">
        <v>17554</v>
      </c>
      <c r="D1243" s="1403" t="s">
        <v>17555</v>
      </c>
      <c r="E1243" s="1404" t="s">
        <v>17556</v>
      </c>
      <c r="F1243" s="1405" t="s">
        <v>13211</v>
      </c>
      <c r="G1243" s="1403" t="s">
        <v>14359</v>
      </c>
      <c r="H1243" s="1406" t="s">
        <v>1019</v>
      </c>
    </row>
    <row r="1244" spans="1:8" x14ac:dyDescent="0.2">
      <c r="A1244" s="7"/>
      <c r="B1244" s="1407" t="str">
        <f t="shared" si="19"/>
        <v>Léandre Thibaudeau</v>
      </c>
      <c r="C1244" s="1402" t="s">
        <v>17130</v>
      </c>
      <c r="D1244" s="1403" t="s">
        <v>17131</v>
      </c>
      <c r="E1244" s="1404" t="s">
        <v>17132</v>
      </c>
      <c r="F1244" s="1405" t="s">
        <v>13211</v>
      </c>
      <c r="G1244" s="1403" t="s">
        <v>17129</v>
      </c>
      <c r="H1244" s="1406" t="s">
        <v>1019</v>
      </c>
    </row>
    <row r="1245" spans="1:8" x14ac:dyDescent="0.2">
      <c r="A1245" s="7"/>
      <c r="B1245" s="1407" t="str">
        <f t="shared" si="19"/>
        <v>Jean-Jacques Trichot</v>
      </c>
      <c r="C1245" s="1402" t="s">
        <v>14576</v>
      </c>
      <c r="D1245" s="1403" t="s">
        <v>14577</v>
      </c>
      <c r="E1245" s="1404" t="s">
        <v>14578</v>
      </c>
      <c r="F1245" s="1405" t="s">
        <v>5300</v>
      </c>
      <c r="G1245" s="1403" t="s">
        <v>15842</v>
      </c>
      <c r="H1245" s="1406" t="s">
        <v>1019</v>
      </c>
    </row>
    <row r="1246" spans="1:8" x14ac:dyDescent="0.2">
      <c r="A1246" s="7"/>
      <c r="B1246" s="1407" t="str">
        <f t="shared" si="19"/>
        <v>Pierre Troestler</v>
      </c>
      <c r="C1246" s="1402" t="s">
        <v>16305</v>
      </c>
      <c r="D1246" s="1403" t="s">
        <v>3061</v>
      </c>
      <c r="E1246" s="1404" t="s">
        <v>14579</v>
      </c>
      <c r="F1246" s="1405" t="s">
        <v>5300</v>
      </c>
      <c r="G1246" s="1403" t="s">
        <v>17841</v>
      </c>
      <c r="H1246" s="1406" t="s">
        <v>1019</v>
      </c>
    </row>
    <row r="1247" spans="1:8" x14ac:dyDescent="0.2">
      <c r="A1247" s="7"/>
      <c r="B1247" s="1407" t="str">
        <f t="shared" si="19"/>
        <v>Charlotte Troestler</v>
      </c>
      <c r="C1247" s="1402" t="s">
        <v>16305</v>
      </c>
      <c r="D1247" s="1403" t="s">
        <v>5661</v>
      </c>
      <c r="E1247" s="1404" t="s">
        <v>16306</v>
      </c>
      <c r="F1247" s="1405" t="s">
        <v>13211</v>
      </c>
      <c r="G1247" s="1403" t="s">
        <v>17841</v>
      </c>
      <c r="H1247" s="1406" t="s">
        <v>1019</v>
      </c>
    </row>
    <row r="1248" spans="1:8" x14ac:dyDescent="0.2">
      <c r="A1248" s="7"/>
      <c r="B1248" s="1407" t="str">
        <f t="shared" si="19"/>
        <v>Roger Trouillard</v>
      </c>
      <c r="C1248" s="1402" t="s">
        <v>5972</v>
      </c>
      <c r="D1248" s="1403" t="s">
        <v>3323</v>
      </c>
      <c r="E1248" s="1404" t="s">
        <v>2871</v>
      </c>
      <c r="F1248" s="1405" t="s">
        <v>5300</v>
      </c>
      <c r="G1248" s="1403" t="s">
        <v>2795</v>
      </c>
      <c r="H1248" s="1406" t="s">
        <v>1019</v>
      </c>
    </row>
    <row r="1249" spans="1:8" x14ac:dyDescent="0.2">
      <c r="A1249" s="7"/>
      <c r="B1249" s="1407" t="str">
        <f t="shared" si="19"/>
        <v>Vincent Vandamme</v>
      </c>
      <c r="C1249" s="1402" t="s">
        <v>17878</v>
      </c>
      <c r="D1249" s="1403" t="s">
        <v>3457</v>
      </c>
      <c r="E1249" s="1404" t="s">
        <v>17879</v>
      </c>
      <c r="F1249" s="1405" t="s">
        <v>5300</v>
      </c>
      <c r="G1249" s="1403" t="s">
        <v>15183</v>
      </c>
      <c r="H1249" s="1406" t="s">
        <v>1019</v>
      </c>
    </row>
    <row r="1250" spans="1:8" x14ac:dyDescent="0.2">
      <c r="A1250" s="7"/>
      <c r="B1250" s="1407" t="str">
        <f t="shared" si="19"/>
        <v>Eric Villard</v>
      </c>
      <c r="C1250" s="1402" t="s">
        <v>16335</v>
      </c>
      <c r="D1250" s="1403" t="s">
        <v>3044</v>
      </c>
      <c r="E1250" s="1404" t="s">
        <v>16336</v>
      </c>
      <c r="F1250" s="1405" t="s">
        <v>5299</v>
      </c>
      <c r="G1250" s="1403" t="s">
        <v>15842</v>
      </c>
      <c r="H1250" s="1406" t="s">
        <v>1019</v>
      </c>
    </row>
    <row r="1251" spans="1:8" x14ac:dyDescent="0.2">
      <c r="A1251" s="7"/>
      <c r="B1251" s="1407" t="str">
        <f t="shared" si="19"/>
        <v>Stéphanie Vinh</v>
      </c>
      <c r="C1251" s="1402" t="s">
        <v>17160</v>
      </c>
      <c r="D1251" s="1403" t="s">
        <v>8777</v>
      </c>
      <c r="E1251" s="1404" t="s">
        <v>17161</v>
      </c>
      <c r="F1251" s="1405" t="s">
        <v>5299</v>
      </c>
      <c r="G1251" s="1403" t="s">
        <v>17841</v>
      </c>
      <c r="H1251" s="1406" t="s">
        <v>1019</v>
      </c>
    </row>
    <row r="1252" spans="1:8" x14ac:dyDescent="0.2">
      <c r="A1252" s="7"/>
      <c r="B1252" s="1407" t="str">
        <f t="shared" si="19"/>
        <v>Thierry Vivron</v>
      </c>
      <c r="C1252" s="1402" t="s">
        <v>5974</v>
      </c>
      <c r="D1252" s="1403" t="s">
        <v>3332</v>
      </c>
      <c r="E1252" s="1404" t="s">
        <v>2873</v>
      </c>
      <c r="F1252" s="1405" t="s">
        <v>5300</v>
      </c>
      <c r="G1252" s="1403" t="s">
        <v>2754</v>
      </c>
      <c r="H1252" s="1406" t="s">
        <v>1019</v>
      </c>
    </row>
    <row r="1253" spans="1:8" x14ac:dyDescent="0.2">
      <c r="A1253" s="7"/>
      <c r="B1253" s="1407" t="str">
        <f t="shared" si="19"/>
        <v>Nicolas Voet</v>
      </c>
      <c r="C1253" s="1402" t="s">
        <v>17141</v>
      </c>
      <c r="D1253" s="1403" t="s">
        <v>3666</v>
      </c>
      <c r="E1253" s="1404" t="s">
        <v>17142</v>
      </c>
      <c r="F1253" s="1405" t="s">
        <v>5299</v>
      </c>
      <c r="G1253" s="1403" t="s">
        <v>16416</v>
      </c>
      <c r="H1253" s="1406" t="s">
        <v>1019</v>
      </c>
    </row>
    <row r="1254" spans="1:8" x14ac:dyDescent="0.2">
      <c r="A1254" s="7"/>
      <c r="B1254" s="1407" t="str">
        <f t="shared" si="19"/>
        <v>Gilles Weinstich</v>
      </c>
      <c r="C1254" s="1402" t="s">
        <v>16354</v>
      </c>
      <c r="D1254" s="1403" t="s">
        <v>8008</v>
      </c>
      <c r="E1254" s="1404" t="s">
        <v>16355</v>
      </c>
      <c r="F1254" s="1405" t="s">
        <v>5299</v>
      </c>
      <c r="G1254" s="1403" t="s">
        <v>17841</v>
      </c>
      <c r="H1254" s="1406" t="s">
        <v>1019</v>
      </c>
    </row>
    <row r="1255" spans="1:8" x14ac:dyDescent="0.2">
      <c r="A1255" s="7"/>
      <c r="B1255" s="1407" t="str">
        <f t="shared" si="19"/>
        <v>David Zaki</v>
      </c>
      <c r="C1255" s="1402" t="s">
        <v>5979</v>
      </c>
      <c r="D1255" s="1403" t="s">
        <v>3072</v>
      </c>
      <c r="E1255" s="1404" t="s">
        <v>2878</v>
      </c>
      <c r="F1255" s="1405" t="s">
        <v>5299</v>
      </c>
      <c r="G1255" s="1403" t="s">
        <v>2754</v>
      </c>
      <c r="H1255" s="1406" t="s">
        <v>1019</v>
      </c>
    </row>
    <row r="1256" spans="1:8" x14ac:dyDescent="0.2">
      <c r="A1256" s="7"/>
      <c r="B1256" s="1407" t="str">
        <f t="shared" si="19"/>
        <v>Loic Zulsdorff</v>
      </c>
      <c r="C1256" s="1402" t="s">
        <v>17880</v>
      </c>
      <c r="D1256" s="1403" t="s">
        <v>17563</v>
      </c>
      <c r="E1256" s="1404" t="s">
        <v>17881</v>
      </c>
      <c r="F1256" s="1405" t="s">
        <v>5299</v>
      </c>
      <c r="G1256" s="1403" t="s">
        <v>15605</v>
      </c>
      <c r="H1256" s="1406" t="s">
        <v>1019</v>
      </c>
    </row>
    <row r="1257" spans="1:8" x14ac:dyDescent="0.2">
      <c r="A1257" s="7"/>
      <c r="B1257" s="1407" t="str">
        <f t="shared" si="19"/>
        <v>Estebane Zulsdorff</v>
      </c>
      <c r="C1257" s="1402" t="s">
        <v>17880</v>
      </c>
      <c r="D1257" s="1403" t="s">
        <v>17882</v>
      </c>
      <c r="E1257" s="1404" t="s">
        <v>17883</v>
      </c>
      <c r="F1257" s="1405" t="s">
        <v>1563</v>
      </c>
      <c r="G1257" s="1403" t="s">
        <v>15605</v>
      </c>
      <c r="H1257" s="1406" t="s">
        <v>1019</v>
      </c>
    </row>
    <row r="1258" spans="1:8" x14ac:dyDescent="0.2">
      <c r="A1258" s="7"/>
      <c r="B1258" s="1407" t="str">
        <f t="shared" si="19"/>
        <v>Pascal Abel</v>
      </c>
      <c r="C1258" s="1402" t="s">
        <v>3573</v>
      </c>
      <c r="D1258" s="1403" t="s">
        <v>3035</v>
      </c>
      <c r="E1258" s="1404" t="s">
        <v>13847</v>
      </c>
      <c r="F1258" s="1405" t="s">
        <v>5299</v>
      </c>
      <c r="G1258" s="1403" t="s">
        <v>2753</v>
      </c>
      <c r="H1258" s="1406" t="s">
        <v>1021</v>
      </c>
    </row>
    <row r="1259" spans="1:8" x14ac:dyDescent="0.2">
      <c r="A1259" s="7"/>
      <c r="B1259" s="1407" t="str">
        <f t="shared" si="19"/>
        <v>Kevin Abeln</v>
      </c>
      <c r="C1259" s="1402" t="s">
        <v>13873</v>
      </c>
      <c r="D1259" s="1403" t="s">
        <v>3263</v>
      </c>
      <c r="E1259" s="1404" t="s">
        <v>13874</v>
      </c>
      <c r="F1259" s="1405" t="s">
        <v>5299</v>
      </c>
      <c r="G1259" s="1403" t="s">
        <v>5316</v>
      </c>
      <c r="H1259" s="1406" t="s">
        <v>1021</v>
      </c>
    </row>
    <row r="1260" spans="1:8" x14ac:dyDescent="0.2">
      <c r="A1260" s="7"/>
      <c r="B1260" s="1407" t="str">
        <f t="shared" si="19"/>
        <v>Daniel Badziung</v>
      </c>
      <c r="C1260" s="1402" t="s">
        <v>6043</v>
      </c>
      <c r="D1260" s="1403" t="s">
        <v>3243</v>
      </c>
      <c r="E1260" s="1404" t="s">
        <v>4463</v>
      </c>
      <c r="F1260" s="1405" t="s">
        <v>5299</v>
      </c>
      <c r="G1260" s="1403" t="s">
        <v>13575</v>
      </c>
      <c r="H1260" s="1406" t="s">
        <v>1021</v>
      </c>
    </row>
    <row r="1261" spans="1:8" x14ac:dyDescent="0.2">
      <c r="A1261" s="7"/>
      <c r="B1261" s="1407" t="str">
        <f t="shared" si="19"/>
        <v>Leif Bancherus</v>
      </c>
      <c r="C1261" s="1402" t="s">
        <v>14580</v>
      </c>
      <c r="D1261" s="1403" t="s">
        <v>3514</v>
      </c>
      <c r="E1261" s="1404" t="s">
        <v>4393</v>
      </c>
      <c r="F1261" s="1405" t="s">
        <v>5299</v>
      </c>
      <c r="G1261" s="1403" t="s">
        <v>9481</v>
      </c>
      <c r="H1261" s="1406" t="s">
        <v>1021</v>
      </c>
    </row>
    <row r="1262" spans="1:8" x14ac:dyDescent="0.2">
      <c r="A1262" s="7"/>
      <c r="B1262" s="1407" t="str">
        <f t="shared" si="19"/>
        <v>Dirk Bärwald</v>
      </c>
      <c r="C1262" s="1402" t="s">
        <v>6011</v>
      </c>
      <c r="D1262" s="1403" t="s">
        <v>6881</v>
      </c>
      <c r="E1262" s="1404" t="s">
        <v>4414</v>
      </c>
      <c r="F1262" s="1405" t="s">
        <v>5300</v>
      </c>
      <c r="G1262" s="1403" t="s">
        <v>2794</v>
      </c>
      <c r="H1262" s="1406" t="s">
        <v>1021</v>
      </c>
    </row>
    <row r="1263" spans="1:8" x14ac:dyDescent="0.2">
      <c r="A1263" s="7"/>
      <c r="B1263" s="1407" t="str">
        <f t="shared" si="19"/>
        <v>Volker Bärwald</v>
      </c>
      <c r="C1263" s="1402" t="s">
        <v>6011</v>
      </c>
      <c r="D1263" s="1403" t="s">
        <v>6948</v>
      </c>
      <c r="E1263" s="1404" t="s">
        <v>4415</v>
      </c>
      <c r="F1263" s="1405" t="s">
        <v>5300</v>
      </c>
      <c r="G1263" s="1403" t="s">
        <v>2794</v>
      </c>
      <c r="H1263" s="1406" t="s">
        <v>1021</v>
      </c>
    </row>
    <row r="1264" spans="1:8" x14ac:dyDescent="0.2">
      <c r="A1264" s="7"/>
      <c r="B1264" s="1407" t="str">
        <f t="shared" si="19"/>
        <v>Bernd Bauer</v>
      </c>
      <c r="C1264" s="1402" t="s">
        <v>6028</v>
      </c>
      <c r="D1264" s="1403" t="s">
        <v>3605</v>
      </c>
      <c r="E1264" s="1404" t="s">
        <v>4438</v>
      </c>
      <c r="F1264" s="1405" t="s">
        <v>5300</v>
      </c>
      <c r="G1264" s="1403" t="s">
        <v>2751</v>
      </c>
      <c r="H1264" s="1406" t="s">
        <v>1021</v>
      </c>
    </row>
    <row r="1265" spans="1:8" x14ac:dyDescent="0.2">
      <c r="A1265" s="7"/>
      <c r="B1265" s="1407" t="str">
        <f t="shared" si="19"/>
        <v>Volker Becker</v>
      </c>
      <c r="C1265" s="1402" t="s">
        <v>13856</v>
      </c>
      <c r="D1265" s="1403" t="s">
        <v>6948</v>
      </c>
      <c r="E1265" s="1404" t="s">
        <v>13857</v>
      </c>
      <c r="F1265" s="1405" t="s">
        <v>5300</v>
      </c>
      <c r="G1265" s="1403" t="s">
        <v>13578</v>
      </c>
      <c r="H1265" s="1406" t="s">
        <v>1021</v>
      </c>
    </row>
    <row r="1266" spans="1:8" x14ac:dyDescent="0.2">
      <c r="A1266" s="7"/>
      <c r="B1266" s="1407" t="str">
        <f t="shared" si="19"/>
        <v>Michael Beifuß</v>
      </c>
      <c r="C1266" s="1402" t="s">
        <v>6036</v>
      </c>
      <c r="D1266" s="1403" t="s">
        <v>3416</v>
      </c>
      <c r="E1266" s="1404" t="s">
        <v>4454</v>
      </c>
      <c r="F1266" s="1405" t="s">
        <v>5299</v>
      </c>
      <c r="G1266" s="1403" t="s">
        <v>2775</v>
      </c>
      <c r="H1266" s="1406" t="s">
        <v>1021</v>
      </c>
    </row>
    <row r="1267" spans="1:8" x14ac:dyDescent="0.2">
      <c r="A1267" s="7"/>
      <c r="B1267" s="1407" t="str">
        <f t="shared" si="19"/>
        <v>Fabio Bianco</v>
      </c>
      <c r="C1267" s="1402" t="s">
        <v>6002</v>
      </c>
      <c r="D1267" s="1403" t="s">
        <v>3133</v>
      </c>
      <c r="E1267" s="1404" t="s">
        <v>4405</v>
      </c>
      <c r="F1267" s="1405" t="s">
        <v>5299</v>
      </c>
      <c r="G1267" s="1403" t="s">
        <v>2753</v>
      </c>
      <c r="H1267" s="1406" t="s">
        <v>1021</v>
      </c>
    </row>
    <row r="1268" spans="1:8" x14ac:dyDescent="0.2">
      <c r="A1268" s="7"/>
      <c r="B1268" s="1407" t="str">
        <f t="shared" si="19"/>
        <v>Carsten Bock</v>
      </c>
      <c r="C1268" s="1402" t="s">
        <v>13891</v>
      </c>
      <c r="D1268" s="1403" t="s">
        <v>13892</v>
      </c>
      <c r="E1268" s="1404" t="s">
        <v>15257</v>
      </c>
      <c r="F1268" s="1405" t="s">
        <v>5299</v>
      </c>
      <c r="G1268" s="1403" t="s">
        <v>13588</v>
      </c>
      <c r="H1268" s="1406" t="s">
        <v>1021</v>
      </c>
    </row>
    <row r="1269" spans="1:8" x14ac:dyDescent="0.2">
      <c r="A1269" s="7"/>
      <c r="B1269" s="1407" t="str">
        <f t="shared" si="19"/>
        <v>Stephan Boddenberg</v>
      </c>
      <c r="C1269" s="1402" t="s">
        <v>6012</v>
      </c>
      <c r="D1269" s="1403" t="s">
        <v>3572</v>
      </c>
      <c r="E1269" s="1404" t="s">
        <v>4416</v>
      </c>
      <c r="F1269" s="1405" t="s">
        <v>5299</v>
      </c>
      <c r="G1269" s="1403" t="s">
        <v>2794</v>
      </c>
      <c r="H1269" s="1406" t="s">
        <v>1021</v>
      </c>
    </row>
    <row r="1270" spans="1:8" x14ac:dyDescent="0.2">
      <c r="A1270" s="7"/>
      <c r="B1270" s="1407" t="str">
        <f t="shared" si="19"/>
        <v>Henrik Boer</v>
      </c>
      <c r="C1270" s="1402" t="s">
        <v>6046</v>
      </c>
      <c r="D1270" s="1403" t="s">
        <v>6956</v>
      </c>
      <c r="E1270" s="1404" t="s">
        <v>4466</v>
      </c>
      <c r="F1270" s="1405" t="s">
        <v>5299</v>
      </c>
      <c r="G1270" s="1403" t="s">
        <v>2753</v>
      </c>
      <c r="H1270" s="1406" t="s">
        <v>1021</v>
      </c>
    </row>
    <row r="1271" spans="1:8" x14ac:dyDescent="0.2">
      <c r="A1271" s="7"/>
      <c r="B1271" s="1407" t="str">
        <f t="shared" si="19"/>
        <v>Kim Bradke</v>
      </c>
      <c r="C1271" s="1402" t="s">
        <v>8782</v>
      </c>
      <c r="D1271" s="1403" t="s">
        <v>6844</v>
      </c>
      <c r="E1271" s="1404" t="s">
        <v>8819</v>
      </c>
      <c r="F1271" s="1405" t="s">
        <v>5299</v>
      </c>
      <c r="G1271" s="1403" t="s">
        <v>9481</v>
      </c>
      <c r="H1271" s="1406" t="s">
        <v>1021</v>
      </c>
    </row>
    <row r="1272" spans="1:8" x14ac:dyDescent="0.2">
      <c r="A1272" s="7"/>
      <c r="B1272" s="1407" t="str">
        <f t="shared" si="19"/>
        <v>Steven Breselg</v>
      </c>
      <c r="C1272" s="1402" t="s">
        <v>6013</v>
      </c>
      <c r="D1272" s="1403" t="s">
        <v>3199</v>
      </c>
      <c r="E1272" s="1404" t="s">
        <v>4417</v>
      </c>
      <c r="F1272" s="1405" t="s">
        <v>5299</v>
      </c>
      <c r="G1272" s="1403" t="s">
        <v>13575</v>
      </c>
      <c r="H1272" s="1406" t="s">
        <v>1021</v>
      </c>
    </row>
    <row r="1273" spans="1:8" x14ac:dyDescent="0.2">
      <c r="A1273" s="7"/>
      <c r="B1273" s="1407" t="str">
        <f t="shared" si="19"/>
        <v>Thossa Büsing</v>
      </c>
      <c r="C1273" s="1402" t="s">
        <v>5994</v>
      </c>
      <c r="D1273" s="1403" t="s">
        <v>3526</v>
      </c>
      <c r="E1273" s="1404" t="s">
        <v>4395</v>
      </c>
      <c r="F1273" s="1405" t="s">
        <v>5300</v>
      </c>
      <c r="G1273" s="1403" t="s">
        <v>9481</v>
      </c>
      <c r="H1273" s="1406" t="s">
        <v>1021</v>
      </c>
    </row>
    <row r="1274" spans="1:8" x14ac:dyDescent="0.2">
      <c r="A1274" s="7"/>
      <c r="B1274" s="1407" t="str">
        <f t="shared" si="19"/>
        <v>Alexander Büsing</v>
      </c>
      <c r="C1274" s="1402" t="s">
        <v>5994</v>
      </c>
      <c r="D1274" s="1403" t="s">
        <v>3037</v>
      </c>
      <c r="E1274" s="1404" t="s">
        <v>4394</v>
      </c>
      <c r="F1274" s="1405" t="s">
        <v>5299</v>
      </c>
      <c r="G1274" s="1403" t="s">
        <v>2753</v>
      </c>
      <c r="H1274" s="1406" t="s">
        <v>1021</v>
      </c>
    </row>
    <row r="1275" spans="1:8" x14ac:dyDescent="0.2">
      <c r="A1275" s="7"/>
      <c r="B1275" s="1407" t="str">
        <f t="shared" si="19"/>
        <v>Victoria Büsing</v>
      </c>
      <c r="C1275" s="1402" t="s">
        <v>5994</v>
      </c>
      <c r="D1275" s="1403" t="s">
        <v>3645</v>
      </c>
      <c r="E1275" s="1404" t="s">
        <v>4396</v>
      </c>
      <c r="F1275" s="1405" t="s">
        <v>5299</v>
      </c>
      <c r="G1275" s="1403" t="s">
        <v>9481</v>
      </c>
      <c r="H1275" s="1406" t="s">
        <v>1021</v>
      </c>
    </row>
    <row r="1276" spans="1:8" x14ac:dyDescent="0.2">
      <c r="A1276" s="7"/>
      <c r="B1276" s="1407" t="str">
        <f t="shared" si="19"/>
        <v>Joachim Busmann</v>
      </c>
      <c r="C1276" s="1402" t="s">
        <v>13893</v>
      </c>
      <c r="D1276" s="1403" t="s">
        <v>13894</v>
      </c>
      <c r="E1276" s="1404" t="s">
        <v>13895</v>
      </c>
      <c r="F1276" s="1405" t="s">
        <v>5300</v>
      </c>
      <c r="G1276" s="1403" t="s">
        <v>2753</v>
      </c>
      <c r="H1276" s="1406" t="s">
        <v>1021</v>
      </c>
    </row>
    <row r="1277" spans="1:8" x14ac:dyDescent="0.2">
      <c r="A1277" s="7"/>
      <c r="B1277" s="1407" t="str">
        <f t="shared" si="19"/>
        <v>Charis Chatziplaton</v>
      </c>
      <c r="C1277" s="1402" t="s">
        <v>13886</v>
      </c>
      <c r="D1277" s="1403" t="s">
        <v>13887</v>
      </c>
      <c r="E1277" s="1404" t="s">
        <v>13888</v>
      </c>
      <c r="F1277" s="1405" t="s">
        <v>5299</v>
      </c>
      <c r="G1277" s="1403" t="s">
        <v>11409</v>
      </c>
      <c r="H1277" s="1406" t="s">
        <v>1021</v>
      </c>
    </row>
    <row r="1278" spans="1:8" x14ac:dyDescent="0.2">
      <c r="A1278" s="7"/>
      <c r="B1278" s="1407" t="str">
        <f t="shared" si="19"/>
        <v>Nicola Dähne</v>
      </c>
      <c r="C1278" s="1402" t="s">
        <v>13878</v>
      </c>
      <c r="D1278" s="1403" t="s">
        <v>3191</v>
      </c>
      <c r="E1278" s="1404" t="s">
        <v>13879</v>
      </c>
      <c r="F1278" s="1405" t="s">
        <v>5299</v>
      </c>
      <c r="G1278" s="1403" t="s">
        <v>2753</v>
      </c>
      <c r="H1278" s="1406" t="s">
        <v>1021</v>
      </c>
    </row>
    <row r="1279" spans="1:8" x14ac:dyDescent="0.2">
      <c r="A1279" s="7"/>
      <c r="B1279" s="1407" t="str">
        <f t="shared" si="19"/>
        <v>Felix Eger</v>
      </c>
      <c r="C1279" s="1402" t="s">
        <v>6003</v>
      </c>
      <c r="D1279" s="1403" t="s">
        <v>3302</v>
      </c>
      <c r="E1279" s="1404" t="s">
        <v>4406</v>
      </c>
      <c r="F1279" s="1405" t="s">
        <v>5299</v>
      </c>
      <c r="G1279" s="1403" t="s">
        <v>2753</v>
      </c>
      <c r="H1279" s="1406" t="s">
        <v>1021</v>
      </c>
    </row>
    <row r="1280" spans="1:8" x14ac:dyDescent="0.2">
      <c r="A1280" s="7"/>
      <c r="B1280" s="1407" t="str">
        <f t="shared" si="19"/>
        <v>Wilfried Eiring</v>
      </c>
      <c r="C1280" s="1402" t="s">
        <v>6049</v>
      </c>
      <c r="D1280" s="1403" t="s">
        <v>6958</v>
      </c>
      <c r="E1280" s="1404" t="s">
        <v>7069</v>
      </c>
      <c r="F1280" s="1405" t="s">
        <v>5300</v>
      </c>
      <c r="G1280" s="1403" t="s">
        <v>2794</v>
      </c>
      <c r="H1280" s="1406" t="s">
        <v>1021</v>
      </c>
    </row>
    <row r="1281" spans="1:8" x14ac:dyDescent="0.2">
      <c r="A1281" s="7"/>
      <c r="B1281" s="1407" t="str">
        <f t="shared" si="19"/>
        <v>Dennis Eisemann</v>
      </c>
      <c r="C1281" s="1402" t="s">
        <v>14581</v>
      </c>
      <c r="D1281" s="1403" t="s">
        <v>3516</v>
      </c>
      <c r="E1281" s="1404" t="s">
        <v>13846</v>
      </c>
      <c r="F1281" s="1405" t="s">
        <v>5299</v>
      </c>
      <c r="G1281" s="1403" t="s">
        <v>13575</v>
      </c>
      <c r="H1281" s="1406" t="s">
        <v>1021</v>
      </c>
    </row>
    <row r="1282" spans="1:8" x14ac:dyDescent="0.2">
      <c r="A1282" s="7"/>
      <c r="B1282" s="1407" t="str">
        <f t="shared" si="19"/>
        <v>Sara Eisen</v>
      </c>
      <c r="C1282" s="1402" t="s">
        <v>9540</v>
      </c>
      <c r="D1282" s="1403" t="s">
        <v>3648</v>
      </c>
      <c r="E1282" s="1404" t="s">
        <v>9575</v>
      </c>
      <c r="F1282" s="1405" t="s">
        <v>5299</v>
      </c>
      <c r="G1282" s="1403" t="s">
        <v>2751</v>
      </c>
      <c r="H1282" s="1406" t="s">
        <v>1021</v>
      </c>
    </row>
    <row r="1283" spans="1:8" x14ac:dyDescent="0.2">
      <c r="A1283" s="7"/>
      <c r="B1283" s="1407" t="str">
        <f t="shared" si="19"/>
        <v>Uli Euler</v>
      </c>
      <c r="C1283" s="1402" t="s">
        <v>13869</v>
      </c>
      <c r="D1283" s="1403" t="s">
        <v>13870</v>
      </c>
      <c r="E1283" s="1404" t="s">
        <v>13871</v>
      </c>
      <c r="F1283" s="1405" t="s">
        <v>5299</v>
      </c>
      <c r="G1283" s="1403" t="s">
        <v>2775</v>
      </c>
      <c r="H1283" s="1406" t="s">
        <v>1021</v>
      </c>
    </row>
    <row r="1284" spans="1:8" x14ac:dyDescent="0.2">
      <c r="A1284" s="7"/>
      <c r="B1284" s="1407" t="str">
        <f t="shared" si="19"/>
        <v>Steven Evans</v>
      </c>
      <c r="C1284" s="1402" t="s">
        <v>8212</v>
      </c>
      <c r="D1284" s="1403" t="s">
        <v>3199</v>
      </c>
      <c r="E1284" s="1404" t="s">
        <v>13877</v>
      </c>
      <c r="F1284" s="1405" t="s">
        <v>5299</v>
      </c>
      <c r="G1284" s="1403" t="s">
        <v>5316</v>
      </c>
      <c r="H1284" s="1406" t="s">
        <v>1021</v>
      </c>
    </row>
    <row r="1285" spans="1:8" x14ac:dyDescent="0.2">
      <c r="A1285" s="7"/>
      <c r="B1285" s="1407" t="str">
        <f t="shared" si="19"/>
        <v>Marian Flemer</v>
      </c>
      <c r="C1285" s="1402" t="s">
        <v>9474</v>
      </c>
      <c r="D1285" s="1403" t="s">
        <v>9476</v>
      </c>
      <c r="E1285" s="1404" t="s">
        <v>9479</v>
      </c>
      <c r="F1285" s="1405" t="s">
        <v>5299</v>
      </c>
      <c r="G1285" s="1403" t="s">
        <v>2753</v>
      </c>
      <c r="H1285" s="1406" t="s">
        <v>1021</v>
      </c>
    </row>
    <row r="1286" spans="1:8" x14ac:dyDescent="0.2">
      <c r="A1286" s="7"/>
      <c r="B1286" s="1407" t="str">
        <f t="shared" si="19"/>
        <v>Pia Flemer</v>
      </c>
      <c r="C1286" s="1402" t="s">
        <v>9474</v>
      </c>
      <c r="D1286" s="1403" t="s">
        <v>10882</v>
      </c>
      <c r="E1286" s="1404" t="s">
        <v>10896</v>
      </c>
      <c r="F1286" s="1405" t="s">
        <v>13210</v>
      </c>
      <c r="G1286" s="1403" t="s">
        <v>2753</v>
      </c>
      <c r="H1286" s="1406" t="s">
        <v>1021</v>
      </c>
    </row>
    <row r="1287" spans="1:8" x14ac:dyDescent="0.2">
      <c r="A1287" s="7"/>
      <c r="B1287" s="1407" t="str">
        <f t="shared" ref="B1287:B1350" si="20">TRIM(CONCATENATE(D1287," ",C1287))</f>
        <v>Rene Frey</v>
      </c>
      <c r="C1287" s="1402" t="s">
        <v>7368</v>
      </c>
      <c r="D1287" s="1403" t="s">
        <v>14343</v>
      </c>
      <c r="E1287" s="1404" t="s">
        <v>7523</v>
      </c>
      <c r="F1287" s="1405" t="s">
        <v>5299</v>
      </c>
      <c r="G1287" s="1403" t="s">
        <v>13575</v>
      </c>
      <c r="H1287" s="1406" t="s">
        <v>1021</v>
      </c>
    </row>
    <row r="1288" spans="1:8" x14ac:dyDescent="0.2">
      <c r="A1288" s="7"/>
      <c r="B1288" s="1407" t="str">
        <f t="shared" si="20"/>
        <v>Jürgen Fricke</v>
      </c>
      <c r="C1288" s="1402" t="s">
        <v>13841</v>
      </c>
      <c r="D1288" s="1403" t="s">
        <v>3443</v>
      </c>
      <c r="E1288" s="1404" t="s">
        <v>13842</v>
      </c>
      <c r="F1288" s="1405" t="s">
        <v>5300</v>
      </c>
      <c r="G1288" s="1403" t="s">
        <v>13575</v>
      </c>
      <c r="H1288" s="1406" t="s">
        <v>1021</v>
      </c>
    </row>
    <row r="1289" spans="1:8" x14ac:dyDescent="0.2">
      <c r="A1289" s="7"/>
      <c r="B1289" s="1407" t="str">
        <f t="shared" si="20"/>
        <v>Klaus Fritz</v>
      </c>
      <c r="C1289" s="1402" t="s">
        <v>7370</v>
      </c>
      <c r="D1289" s="1403" t="s">
        <v>6952</v>
      </c>
      <c r="E1289" s="1404" t="s">
        <v>7526</v>
      </c>
      <c r="F1289" s="1405" t="s">
        <v>5300</v>
      </c>
      <c r="G1289" s="1403" t="s">
        <v>2753</v>
      </c>
      <c r="H1289" s="1406" t="s">
        <v>1021</v>
      </c>
    </row>
    <row r="1290" spans="1:8" x14ac:dyDescent="0.2">
      <c r="A1290" s="7"/>
      <c r="B1290" s="1407" t="str">
        <f t="shared" si="20"/>
        <v>Christoph Georgi</v>
      </c>
      <c r="C1290" s="1402" t="s">
        <v>13848</v>
      </c>
      <c r="D1290" s="1403" t="s">
        <v>3197</v>
      </c>
      <c r="E1290" s="1404" t="s">
        <v>13849</v>
      </c>
      <c r="F1290" s="1405" t="s">
        <v>5299</v>
      </c>
      <c r="G1290" s="1403" t="s">
        <v>2753</v>
      </c>
      <c r="H1290" s="1406" t="s">
        <v>1021</v>
      </c>
    </row>
    <row r="1291" spans="1:8" x14ac:dyDescent="0.2">
      <c r="A1291" s="7"/>
      <c r="B1291" s="1407" t="str">
        <f t="shared" si="20"/>
        <v>Janus Gersie</v>
      </c>
      <c r="C1291" s="1402" t="s">
        <v>6035</v>
      </c>
      <c r="D1291" s="1403" t="s">
        <v>3245</v>
      </c>
      <c r="E1291" s="1404" t="s">
        <v>4455</v>
      </c>
      <c r="F1291" s="1405" t="s">
        <v>5300</v>
      </c>
      <c r="G1291" s="1403" t="s">
        <v>2775</v>
      </c>
      <c r="H1291" s="1406" t="s">
        <v>1021</v>
      </c>
    </row>
    <row r="1292" spans="1:8" x14ac:dyDescent="0.2">
      <c r="A1292" s="7"/>
      <c r="B1292" s="1407" t="str">
        <f t="shared" si="20"/>
        <v>Nora Gersie</v>
      </c>
      <c r="C1292" s="1402" t="s">
        <v>6035</v>
      </c>
      <c r="D1292" s="1403" t="s">
        <v>13861</v>
      </c>
      <c r="E1292" s="1404" t="s">
        <v>13862</v>
      </c>
      <c r="F1292" s="1405" t="s">
        <v>5299</v>
      </c>
      <c r="G1292" s="1403" t="s">
        <v>2896</v>
      </c>
      <c r="H1292" s="1406" t="s">
        <v>1021</v>
      </c>
    </row>
    <row r="1293" spans="1:8" x14ac:dyDescent="0.2">
      <c r="A1293" s="7"/>
      <c r="B1293" s="1407" t="str">
        <f t="shared" si="20"/>
        <v>Hagen Gersie</v>
      </c>
      <c r="C1293" s="1402" t="s">
        <v>6035</v>
      </c>
      <c r="D1293" s="1403" t="s">
        <v>6954</v>
      </c>
      <c r="E1293" s="1404" t="s">
        <v>4452</v>
      </c>
      <c r="F1293" s="1405" t="s">
        <v>5299</v>
      </c>
      <c r="G1293" s="1403" t="s">
        <v>2896</v>
      </c>
      <c r="H1293" s="1406" t="s">
        <v>1021</v>
      </c>
    </row>
    <row r="1294" spans="1:8" x14ac:dyDescent="0.2">
      <c r="A1294" s="7"/>
      <c r="B1294" s="1407" t="str">
        <f t="shared" si="20"/>
        <v>Wolfgang Göbel</v>
      </c>
      <c r="C1294" s="1402" t="s">
        <v>6024</v>
      </c>
      <c r="D1294" s="1403" t="s">
        <v>3010</v>
      </c>
      <c r="E1294" s="1404" t="s">
        <v>4434</v>
      </c>
      <c r="F1294" s="1405" t="s">
        <v>5300</v>
      </c>
      <c r="G1294" s="1403" t="s">
        <v>2895</v>
      </c>
      <c r="H1294" s="1406" t="s">
        <v>1021</v>
      </c>
    </row>
    <row r="1295" spans="1:8" x14ac:dyDescent="0.2">
      <c r="A1295" s="7"/>
      <c r="B1295" s="1407" t="str">
        <f t="shared" si="20"/>
        <v>Jürgen Göhring</v>
      </c>
      <c r="C1295" s="1402" t="s">
        <v>6029</v>
      </c>
      <c r="D1295" s="1403" t="s">
        <v>3443</v>
      </c>
      <c r="E1295" s="1404" t="s">
        <v>4439</v>
      </c>
      <c r="F1295" s="1405" t="s">
        <v>5300</v>
      </c>
      <c r="G1295" s="1403" t="s">
        <v>2751</v>
      </c>
      <c r="H1295" s="1406" t="s">
        <v>1021</v>
      </c>
    </row>
    <row r="1296" spans="1:8" x14ac:dyDescent="0.2">
      <c r="A1296" s="7"/>
      <c r="B1296" s="1407" t="str">
        <f t="shared" si="20"/>
        <v>Christian Göhring</v>
      </c>
      <c r="C1296" s="1402" t="s">
        <v>6029</v>
      </c>
      <c r="D1296" s="1403" t="s">
        <v>3063</v>
      </c>
      <c r="E1296" s="1404" t="s">
        <v>4440</v>
      </c>
      <c r="F1296" s="1405" t="s">
        <v>5299</v>
      </c>
      <c r="G1296" s="1403" t="s">
        <v>2751</v>
      </c>
      <c r="H1296" s="1406" t="s">
        <v>1021</v>
      </c>
    </row>
    <row r="1297" spans="1:8" x14ac:dyDescent="0.2">
      <c r="A1297" s="7"/>
      <c r="B1297" s="1407" t="str">
        <f t="shared" si="20"/>
        <v>Jennifer Golze</v>
      </c>
      <c r="C1297" s="1402" t="s">
        <v>11360</v>
      </c>
      <c r="D1297" s="1403" t="s">
        <v>11376</v>
      </c>
      <c r="E1297" s="1404" t="s">
        <v>11394</v>
      </c>
      <c r="F1297" s="1405" t="s">
        <v>5299</v>
      </c>
      <c r="G1297" s="1403" t="s">
        <v>2738</v>
      </c>
      <c r="H1297" s="1406" t="s">
        <v>1021</v>
      </c>
    </row>
    <row r="1298" spans="1:8" x14ac:dyDescent="0.2">
      <c r="A1298" s="7"/>
      <c r="B1298" s="1407" t="str">
        <f t="shared" si="20"/>
        <v>Klaus Gottke</v>
      </c>
      <c r="C1298" s="1402" t="s">
        <v>6016</v>
      </c>
      <c r="D1298" s="1403" t="s">
        <v>6952</v>
      </c>
      <c r="E1298" s="1404" t="s">
        <v>4423</v>
      </c>
      <c r="F1298" s="1405" t="s">
        <v>5300</v>
      </c>
      <c r="G1298" s="1403" t="s">
        <v>2792</v>
      </c>
      <c r="H1298" s="1406" t="s">
        <v>1021</v>
      </c>
    </row>
    <row r="1299" spans="1:8" x14ac:dyDescent="0.2">
      <c r="A1299" s="7"/>
      <c r="B1299" s="1407" t="str">
        <f t="shared" si="20"/>
        <v>Olaf Gottke</v>
      </c>
      <c r="C1299" s="1402" t="s">
        <v>6016</v>
      </c>
      <c r="D1299" s="1403" t="s">
        <v>6951</v>
      </c>
      <c r="E1299" s="1404" t="s">
        <v>4422</v>
      </c>
      <c r="F1299" s="1405" t="s">
        <v>5300</v>
      </c>
      <c r="G1299" s="1403" t="s">
        <v>2792</v>
      </c>
      <c r="H1299" s="1406" t="s">
        <v>1021</v>
      </c>
    </row>
    <row r="1300" spans="1:8" x14ac:dyDescent="0.2">
      <c r="A1300" s="7"/>
      <c r="B1300" s="1407" t="str">
        <f t="shared" si="20"/>
        <v>Frank Greier</v>
      </c>
      <c r="C1300" s="1402" t="s">
        <v>8025</v>
      </c>
      <c r="D1300" s="1403" t="s">
        <v>3207</v>
      </c>
      <c r="E1300" s="1404" t="s">
        <v>4432</v>
      </c>
      <c r="F1300" s="1405" t="s">
        <v>5300</v>
      </c>
      <c r="G1300" s="1403" t="s">
        <v>2894</v>
      </c>
      <c r="H1300" s="1406" t="s">
        <v>1021</v>
      </c>
    </row>
    <row r="1301" spans="1:8" x14ac:dyDescent="0.2">
      <c r="A1301" s="7"/>
      <c r="B1301" s="1407" t="str">
        <f t="shared" si="20"/>
        <v>Gerhard Grünberg</v>
      </c>
      <c r="C1301" s="1402" t="s">
        <v>6044</v>
      </c>
      <c r="D1301" s="1403" t="s">
        <v>3609</v>
      </c>
      <c r="E1301" s="1404" t="s">
        <v>15629</v>
      </c>
      <c r="F1301" s="1405" t="s">
        <v>5300</v>
      </c>
      <c r="G1301" s="1403" t="s">
        <v>14585</v>
      </c>
      <c r="H1301" s="1406" t="s">
        <v>1021</v>
      </c>
    </row>
    <row r="1302" spans="1:8" x14ac:dyDescent="0.2">
      <c r="A1302" s="7"/>
      <c r="B1302" s="1407" t="str">
        <f t="shared" si="20"/>
        <v>Daniela Grünberg</v>
      </c>
      <c r="C1302" s="1402" t="s">
        <v>6044</v>
      </c>
      <c r="D1302" s="1403" t="s">
        <v>8240</v>
      </c>
      <c r="E1302" s="1404" t="s">
        <v>8379</v>
      </c>
      <c r="F1302" s="1405" t="s">
        <v>5299</v>
      </c>
      <c r="G1302" s="1403" t="s">
        <v>2775</v>
      </c>
      <c r="H1302" s="1406" t="s">
        <v>1021</v>
      </c>
    </row>
    <row r="1303" spans="1:8" x14ac:dyDescent="0.2">
      <c r="A1303" s="7"/>
      <c r="B1303" s="1407" t="str">
        <f t="shared" si="20"/>
        <v>Patrick Grunwald</v>
      </c>
      <c r="C1303" s="1402" t="s">
        <v>6030</v>
      </c>
      <c r="D1303" s="1403" t="s">
        <v>3271</v>
      </c>
      <c r="E1303" s="1404" t="s">
        <v>4441</v>
      </c>
      <c r="F1303" s="1405" t="s">
        <v>5299</v>
      </c>
      <c r="G1303" s="1403" t="s">
        <v>2751</v>
      </c>
      <c r="H1303" s="1406" t="s">
        <v>1021</v>
      </c>
    </row>
    <row r="1304" spans="1:8" x14ac:dyDescent="0.2">
      <c r="A1304" s="7"/>
      <c r="B1304" s="1407" t="str">
        <f t="shared" si="20"/>
        <v>Andreas Guhr</v>
      </c>
      <c r="C1304" s="1402" t="s">
        <v>9930</v>
      </c>
      <c r="D1304" s="1403" t="s">
        <v>3351</v>
      </c>
      <c r="E1304" s="1404" t="s">
        <v>10100</v>
      </c>
      <c r="F1304" s="1405" t="s">
        <v>5300</v>
      </c>
      <c r="G1304" s="1403" t="s">
        <v>2753</v>
      </c>
      <c r="H1304" s="1406" t="s">
        <v>1021</v>
      </c>
    </row>
    <row r="1305" spans="1:8" x14ac:dyDescent="0.2">
      <c r="A1305" s="7"/>
      <c r="B1305" s="1407" t="str">
        <f t="shared" si="20"/>
        <v>Thomas Guhr</v>
      </c>
      <c r="C1305" s="1402" t="s">
        <v>9930</v>
      </c>
      <c r="D1305" s="1403" t="s">
        <v>3124</v>
      </c>
      <c r="E1305" s="1404" t="s">
        <v>10101</v>
      </c>
      <c r="F1305" s="1405" t="s">
        <v>13210</v>
      </c>
      <c r="G1305" s="1403" t="s">
        <v>2753</v>
      </c>
      <c r="H1305" s="1406" t="s">
        <v>1021</v>
      </c>
    </row>
    <row r="1306" spans="1:8" x14ac:dyDescent="0.2">
      <c r="A1306" s="7"/>
      <c r="B1306" s="1407" t="str">
        <f t="shared" si="20"/>
        <v>Manfred Guth</v>
      </c>
      <c r="C1306" s="1402" t="s">
        <v>7787</v>
      </c>
      <c r="D1306" s="1403" t="s">
        <v>3412</v>
      </c>
      <c r="E1306" s="1404" t="s">
        <v>7815</v>
      </c>
      <c r="F1306" s="1405" t="s">
        <v>5300</v>
      </c>
      <c r="G1306" s="1403" t="s">
        <v>7320</v>
      </c>
      <c r="H1306" s="1406" t="s">
        <v>1021</v>
      </c>
    </row>
    <row r="1307" spans="1:8" x14ac:dyDescent="0.2">
      <c r="A1307" s="7"/>
      <c r="B1307" s="1407" t="str">
        <f t="shared" si="20"/>
        <v>Gerd Häcker</v>
      </c>
      <c r="C1307" s="1402" t="s">
        <v>7367</v>
      </c>
      <c r="D1307" s="1403" t="s">
        <v>7319</v>
      </c>
      <c r="E1307" s="1404" t="s">
        <v>7522</v>
      </c>
      <c r="F1307" s="1405" t="s">
        <v>5300</v>
      </c>
      <c r="G1307" s="1403" t="s">
        <v>7320</v>
      </c>
      <c r="H1307" s="1406" t="s">
        <v>1021</v>
      </c>
    </row>
    <row r="1308" spans="1:8" x14ac:dyDescent="0.2">
      <c r="A1308" s="7"/>
      <c r="B1308" s="1407" t="str">
        <f t="shared" si="20"/>
        <v>Oskar Häcker</v>
      </c>
      <c r="C1308" s="1402" t="s">
        <v>7367</v>
      </c>
      <c r="D1308" s="1403" t="s">
        <v>7325</v>
      </c>
      <c r="E1308" s="1404" t="s">
        <v>7529</v>
      </c>
      <c r="F1308" s="1405" t="s">
        <v>5299</v>
      </c>
      <c r="G1308" s="1403" t="s">
        <v>7320</v>
      </c>
      <c r="H1308" s="1406" t="s">
        <v>1021</v>
      </c>
    </row>
    <row r="1309" spans="1:8" x14ac:dyDescent="0.2">
      <c r="A1309" s="7"/>
      <c r="B1309" s="1407" t="str">
        <f t="shared" si="20"/>
        <v>Frank Hagenkötter</v>
      </c>
      <c r="C1309" s="1402" t="s">
        <v>6014</v>
      </c>
      <c r="D1309" s="1403" t="s">
        <v>3207</v>
      </c>
      <c r="E1309" s="1404" t="s">
        <v>4418</v>
      </c>
      <c r="F1309" s="1405" t="s">
        <v>5300</v>
      </c>
      <c r="G1309" s="1403" t="s">
        <v>7872</v>
      </c>
      <c r="H1309" s="1406" t="s">
        <v>1021</v>
      </c>
    </row>
    <row r="1310" spans="1:8" x14ac:dyDescent="0.2">
      <c r="A1310" s="7"/>
      <c r="B1310" s="1407" t="str">
        <f t="shared" si="20"/>
        <v>Kai Hagenkötter</v>
      </c>
      <c r="C1310" s="1402" t="s">
        <v>6014</v>
      </c>
      <c r="D1310" s="1403" t="s">
        <v>3202</v>
      </c>
      <c r="E1310" s="1404" t="s">
        <v>4419</v>
      </c>
      <c r="F1310" s="1405" t="s">
        <v>5299</v>
      </c>
      <c r="G1310" s="1403" t="s">
        <v>7872</v>
      </c>
      <c r="H1310" s="1406" t="s">
        <v>1021</v>
      </c>
    </row>
    <row r="1311" spans="1:8" x14ac:dyDescent="0.2">
      <c r="A1311" s="7"/>
      <c r="B1311" s="1407" t="str">
        <f t="shared" si="20"/>
        <v>Michael Hain</v>
      </c>
      <c r="C1311" s="1402" t="s">
        <v>13865</v>
      </c>
      <c r="D1311" s="1403" t="s">
        <v>3416</v>
      </c>
      <c r="E1311" s="1404" t="s">
        <v>13866</v>
      </c>
      <c r="F1311" s="1405" t="s">
        <v>5300</v>
      </c>
      <c r="G1311" s="1403" t="s">
        <v>5315</v>
      </c>
      <c r="H1311" s="1406" t="s">
        <v>1021</v>
      </c>
    </row>
    <row r="1312" spans="1:8" x14ac:dyDescent="0.2">
      <c r="A1312" s="7"/>
      <c r="B1312" s="1407" t="str">
        <f t="shared" si="20"/>
        <v>Annika Hentrich</v>
      </c>
      <c r="C1312" s="1402" t="s">
        <v>7372</v>
      </c>
      <c r="D1312" s="1403" t="s">
        <v>7324</v>
      </c>
      <c r="E1312" s="1404" t="s">
        <v>7530</v>
      </c>
      <c r="F1312" s="1405" t="s">
        <v>5299</v>
      </c>
      <c r="G1312" s="1403" t="s">
        <v>2753</v>
      </c>
      <c r="H1312" s="1406" t="s">
        <v>1021</v>
      </c>
    </row>
    <row r="1313" spans="1:8" x14ac:dyDescent="0.2">
      <c r="A1313" s="7"/>
      <c r="B1313" s="1407" t="str">
        <f t="shared" si="20"/>
        <v>Felix Herrmannsdörfer</v>
      </c>
      <c r="C1313" s="1402" t="s">
        <v>5995</v>
      </c>
      <c r="D1313" s="1403" t="s">
        <v>3302</v>
      </c>
      <c r="E1313" s="1404" t="s">
        <v>4397</v>
      </c>
      <c r="F1313" s="1405" t="s">
        <v>5299</v>
      </c>
      <c r="G1313" s="1403" t="s">
        <v>9481</v>
      </c>
      <c r="H1313" s="1406" t="s">
        <v>1021</v>
      </c>
    </row>
    <row r="1314" spans="1:8" x14ac:dyDescent="0.2">
      <c r="A1314" s="7"/>
      <c r="B1314" s="1407" t="str">
        <f t="shared" si="20"/>
        <v>Jörg Hirzmann</v>
      </c>
      <c r="C1314" s="1402" t="s">
        <v>13858</v>
      </c>
      <c r="D1314" s="1403" t="s">
        <v>13859</v>
      </c>
      <c r="E1314" s="1404" t="s">
        <v>13860</v>
      </c>
      <c r="F1314" s="1405" t="s">
        <v>5300</v>
      </c>
      <c r="G1314" s="1403" t="s">
        <v>13578</v>
      </c>
      <c r="H1314" s="1406" t="s">
        <v>1021</v>
      </c>
    </row>
    <row r="1315" spans="1:8" x14ac:dyDescent="0.2">
      <c r="A1315" s="7"/>
      <c r="B1315" s="1407" t="str">
        <f t="shared" si="20"/>
        <v>Tom Horn</v>
      </c>
      <c r="C1315" s="1402" t="s">
        <v>6042</v>
      </c>
      <c r="D1315" s="1403" t="s">
        <v>3235</v>
      </c>
      <c r="E1315" s="1404" t="s">
        <v>4461</v>
      </c>
      <c r="F1315" s="1405" t="s">
        <v>5300</v>
      </c>
      <c r="G1315" s="1403" t="s">
        <v>2753</v>
      </c>
      <c r="H1315" s="1406" t="s">
        <v>1021</v>
      </c>
    </row>
    <row r="1316" spans="1:8" x14ac:dyDescent="0.2">
      <c r="A1316" s="7"/>
      <c r="B1316" s="1407" t="str">
        <f t="shared" si="20"/>
        <v>Holger Husarek</v>
      </c>
      <c r="C1316" s="1402" t="s">
        <v>13843</v>
      </c>
      <c r="D1316" s="1403" t="s">
        <v>13844</v>
      </c>
      <c r="E1316" s="1404" t="s">
        <v>13845</v>
      </c>
      <c r="F1316" s="1405" t="s">
        <v>5300</v>
      </c>
      <c r="G1316" s="1403" t="s">
        <v>13581</v>
      </c>
      <c r="H1316" s="1406" t="s">
        <v>1021</v>
      </c>
    </row>
    <row r="1317" spans="1:8" x14ac:dyDescent="0.2">
      <c r="A1317" s="7"/>
      <c r="B1317" s="1407" t="str">
        <f t="shared" si="20"/>
        <v>Bernhard Ihle</v>
      </c>
      <c r="C1317" s="1402" t="s">
        <v>6041</v>
      </c>
      <c r="D1317" s="1403" t="s">
        <v>6877</v>
      </c>
      <c r="E1317" s="1404" t="s">
        <v>4460</v>
      </c>
      <c r="F1317" s="1405" t="s">
        <v>5300</v>
      </c>
      <c r="G1317" s="1403" t="s">
        <v>2899</v>
      </c>
      <c r="H1317" s="1406" t="s">
        <v>1021</v>
      </c>
    </row>
    <row r="1318" spans="1:8" x14ac:dyDescent="0.2">
      <c r="A1318" s="7"/>
      <c r="B1318" s="1407" t="str">
        <f t="shared" si="20"/>
        <v>Andreas Jung</v>
      </c>
      <c r="C1318" s="1402" t="s">
        <v>6045</v>
      </c>
      <c r="D1318" s="1403" t="s">
        <v>3351</v>
      </c>
      <c r="E1318" s="1404" t="s">
        <v>4442</v>
      </c>
      <c r="F1318" s="1405" t="s">
        <v>5300</v>
      </c>
      <c r="G1318" s="1403" t="s">
        <v>2751</v>
      </c>
      <c r="H1318" s="1406" t="s">
        <v>1021</v>
      </c>
    </row>
    <row r="1319" spans="1:8" x14ac:dyDescent="0.2">
      <c r="A1319" s="7"/>
      <c r="B1319" s="1407" t="str">
        <f t="shared" si="20"/>
        <v>Andreas Jung</v>
      </c>
      <c r="C1319" s="1402" t="s">
        <v>6045</v>
      </c>
      <c r="D1319" s="1403" t="s">
        <v>3351</v>
      </c>
      <c r="E1319" s="1404" t="s">
        <v>4443</v>
      </c>
      <c r="F1319" s="1405" t="s">
        <v>5299</v>
      </c>
      <c r="G1319" s="1403" t="s">
        <v>2751</v>
      </c>
      <c r="H1319" s="1406" t="s">
        <v>1021</v>
      </c>
    </row>
    <row r="1320" spans="1:8" x14ac:dyDescent="0.2">
      <c r="A1320" s="7"/>
      <c r="B1320" s="1407" t="str">
        <f t="shared" si="20"/>
        <v>Moritz Jung</v>
      </c>
      <c r="C1320" s="1402" t="s">
        <v>6045</v>
      </c>
      <c r="D1320" s="1403" t="s">
        <v>5564</v>
      </c>
      <c r="E1320" s="1404" t="s">
        <v>4465</v>
      </c>
      <c r="F1320" s="1405" t="s">
        <v>5299</v>
      </c>
      <c r="G1320" s="1403" t="s">
        <v>2751</v>
      </c>
      <c r="H1320" s="1406" t="s">
        <v>1021</v>
      </c>
    </row>
    <row r="1321" spans="1:8" x14ac:dyDescent="0.2">
      <c r="A1321" s="7"/>
      <c r="B1321" s="1407" t="str">
        <f t="shared" si="20"/>
        <v>Frank Kalyta</v>
      </c>
      <c r="C1321" s="1402" t="s">
        <v>6053</v>
      </c>
      <c r="D1321" s="1403" t="s">
        <v>3207</v>
      </c>
      <c r="E1321" s="1404" t="s">
        <v>7073</v>
      </c>
      <c r="F1321" s="1405" t="s">
        <v>5299</v>
      </c>
      <c r="G1321" s="1403" t="s">
        <v>5626</v>
      </c>
      <c r="H1321" s="1406" t="s">
        <v>1021</v>
      </c>
    </row>
    <row r="1322" spans="1:8" x14ac:dyDescent="0.2">
      <c r="A1322" s="7"/>
      <c r="B1322" s="1407" t="str">
        <f t="shared" si="20"/>
        <v>Luc Kaouane</v>
      </c>
      <c r="C1322" s="1402" t="s">
        <v>13889</v>
      </c>
      <c r="D1322" s="1403" t="s">
        <v>9408</v>
      </c>
      <c r="E1322" s="1404" t="s">
        <v>13890</v>
      </c>
      <c r="F1322" s="1405" t="s">
        <v>5299</v>
      </c>
      <c r="G1322" s="1403" t="s">
        <v>11409</v>
      </c>
      <c r="H1322" s="1406" t="s">
        <v>1021</v>
      </c>
    </row>
    <row r="1323" spans="1:8" x14ac:dyDescent="0.2">
      <c r="A1323" s="7"/>
      <c r="B1323" s="1407" t="str">
        <f t="shared" si="20"/>
        <v>Michael Kappl</v>
      </c>
      <c r="C1323" s="1402" t="s">
        <v>6037</v>
      </c>
      <c r="D1323" s="1403" t="s">
        <v>3416</v>
      </c>
      <c r="E1323" s="1404" t="s">
        <v>4456</v>
      </c>
      <c r="F1323" s="1405" t="s">
        <v>5300</v>
      </c>
      <c r="G1323" s="1403" t="s">
        <v>2775</v>
      </c>
      <c r="H1323" s="1406" t="s">
        <v>1021</v>
      </c>
    </row>
    <row r="1324" spans="1:8" x14ac:dyDescent="0.2">
      <c r="A1324" s="7"/>
      <c r="B1324" s="1407" t="str">
        <f t="shared" si="20"/>
        <v>Björn Kegenbein</v>
      </c>
      <c r="C1324" s="1402" t="s">
        <v>6004</v>
      </c>
      <c r="D1324" s="1403" t="s">
        <v>3101</v>
      </c>
      <c r="E1324" s="1404" t="s">
        <v>4407</v>
      </c>
      <c r="F1324" s="1405" t="s">
        <v>5299</v>
      </c>
      <c r="G1324" s="1403" t="s">
        <v>2738</v>
      </c>
      <c r="H1324" s="1406" t="s">
        <v>1021</v>
      </c>
    </row>
    <row r="1325" spans="1:8" x14ac:dyDescent="0.2">
      <c r="A1325" s="7"/>
      <c r="B1325" s="1407" t="str">
        <f t="shared" si="20"/>
        <v>Katrin Knezevic-Schlosser</v>
      </c>
      <c r="C1325" s="1402" t="s">
        <v>8030</v>
      </c>
      <c r="D1325" s="1403" t="s">
        <v>8239</v>
      </c>
      <c r="E1325" s="1404" t="s">
        <v>8378</v>
      </c>
      <c r="F1325" s="1405" t="s">
        <v>5299</v>
      </c>
      <c r="G1325" s="1403" t="s">
        <v>2896</v>
      </c>
      <c r="H1325" s="1406" t="s">
        <v>1021</v>
      </c>
    </row>
    <row r="1326" spans="1:8" x14ac:dyDescent="0.2">
      <c r="A1326" s="7"/>
      <c r="B1326" s="1407" t="str">
        <f t="shared" si="20"/>
        <v>Rudi Knuf</v>
      </c>
      <c r="C1326" s="1402" t="s">
        <v>6017</v>
      </c>
      <c r="D1326" s="1403" t="s">
        <v>3365</v>
      </c>
      <c r="E1326" s="1404" t="s">
        <v>4424</v>
      </c>
      <c r="F1326" s="1405" t="s">
        <v>5299</v>
      </c>
      <c r="G1326" s="1403" t="s">
        <v>2745</v>
      </c>
      <c r="H1326" s="1406" t="s">
        <v>1021</v>
      </c>
    </row>
    <row r="1327" spans="1:8" x14ac:dyDescent="0.2">
      <c r="A1327" s="7"/>
      <c r="B1327" s="1407" t="str">
        <f t="shared" si="20"/>
        <v>Michael König-Danielson</v>
      </c>
      <c r="C1327" s="1402" t="s">
        <v>15758</v>
      </c>
      <c r="D1327" s="1403" t="s">
        <v>3416</v>
      </c>
      <c r="E1327" s="1404" t="s">
        <v>15759</v>
      </c>
      <c r="F1327" s="1405" t="s">
        <v>5299</v>
      </c>
      <c r="G1327" s="1403" t="s">
        <v>13588</v>
      </c>
      <c r="H1327" s="1406" t="s">
        <v>1021</v>
      </c>
    </row>
    <row r="1328" spans="1:8" x14ac:dyDescent="0.2">
      <c r="A1328" s="7"/>
      <c r="B1328" s="1407" t="str">
        <f t="shared" si="20"/>
        <v>Maike Krause</v>
      </c>
      <c r="C1328" s="1402" t="s">
        <v>5996</v>
      </c>
      <c r="D1328" s="1403" t="s">
        <v>5549</v>
      </c>
      <c r="E1328" s="1404" t="s">
        <v>4398</v>
      </c>
      <c r="F1328" s="1405" t="s">
        <v>5299</v>
      </c>
      <c r="G1328" s="1403" t="s">
        <v>2753</v>
      </c>
      <c r="H1328" s="1406" t="s">
        <v>1021</v>
      </c>
    </row>
    <row r="1329" spans="1:8" x14ac:dyDescent="0.2">
      <c r="A1329" s="7"/>
      <c r="B1329" s="1407" t="str">
        <f t="shared" si="20"/>
        <v>Svenja Krause</v>
      </c>
      <c r="C1329" s="1402" t="s">
        <v>5996</v>
      </c>
      <c r="D1329" s="1403" t="s">
        <v>7699</v>
      </c>
      <c r="E1329" s="1404" t="s">
        <v>7711</v>
      </c>
      <c r="F1329" s="1405" t="s">
        <v>5299</v>
      </c>
      <c r="G1329" s="1403" t="s">
        <v>2753</v>
      </c>
      <c r="H1329" s="1406" t="s">
        <v>1021</v>
      </c>
    </row>
    <row r="1330" spans="1:8" x14ac:dyDescent="0.2">
      <c r="A1330" s="7"/>
      <c r="B1330" s="1407" t="str">
        <f t="shared" si="20"/>
        <v>Alwin Krause</v>
      </c>
      <c r="C1330" s="1402" t="s">
        <v>5996</v>
      </c>
      <c r="D1330" s="1403" t="s">
        <v>5522</v>
      </c>
      <c r="E1330" s="1404" t="s">
        <v>4464</v>
      </c>
      <c r="F1330" s="1405" t="s">
        <v>5299</v>
      </c>
      <c r="G1330" s="1403" t="s">
        <v>2753</v>
      </c>
      <c r="H1330" s="1406" t="s">
        <v>1021</v>
      </c>
    </row>
    <row r="1331" spans="1:8" x14ac:dyDescent="0.2">
      <c r="A1331" s="7"/>
      <c r="B1331" s="1407" t="str">
        <f t="shared" si="20"/>
        <v>Achim Krichel</v>
      </c>
      <c r="C1331" s="1402" t="s">
        <v>13839</v>
      </c>
      <c r="D1331" s="1403" t="s">
        <v>6947</v>
      </c>
      <c r="E1331" s="1404" t="s">
        <v>13840</v>
      </c>
      <c r="F1331" s="1405" t="s">
        <v>5300</v>
      </c>
      <c r="G1331" s="1403" t="s">
        <v>13572</v>
      </c>
      <c r="H1331" s="1406" t="s">
        <v>1021</v>
      </c>
    </row>
    <row r="1332" spans="1:8" x14ac:dyDescent="0.2">
      <c r="A1332" s="7"/>
      <c r="B1332" s="1407" t="str">
        <f t="shared" si="20"/>
        <v>Panagiotis Krommydas</v>
      </c>
      <c r="C1332" s="1402" t="s">
        <v>8029</v>
      </c>
      <c r="D1332" s="1403" t="s">
        <v>3249</v>
      </c>
      <c r="E1332" s="1404" t="s">
        <v>8377</v>
      </c>
      <c r="F1332" s="1405" t="s">
        <v>5300</v>
      </c>
      <c r="G1332" s="1403" t="s">
        <v>14585</v>
      </c>
      <c r="H1332" s="1406" t="s">
        <v>1021</v>
      </c>
    </row>
    <row r="1333" spans="1:8" x14ac:dyDescent="0.2">
      <c r="A1333" s="7"/>
      <c r="B1333" s="1407" t="str">
        <f t="shared" si="20"/>
        <v>Melanie Kronmüller</v>
      </c>
      <c r="C1333" s="1402" t="s">
        <v>8032</v>
      </c>
      <c r="D1333" s="1403" t="s">
        <v>7983</v>
      </c>
      <c r="E1333" s="1404" t="s">
        <v>8381</v>
      </c>
      <c r="F1333" s="1405" t="s">
        <v>5299</v>
      </c>
      <c r="G1333" s="1403" t="s">
        <v>14585</v>
      </c>
      <c r="H1333" s="1406" t="s">
        <v>1021</v>
      </c>
    </row>
    <row r="1334" spans="1:8" x14ac:dyDescent="0.2">
      <c r="A1334" s="7"/>
      <c r="B1334" s="1407" t="str">
        <f t="shared" si="20"/>
        <v>Manuela Kwiatkowski</v>
      </c>
      <c r="C1334" s="1402" t="s">
        <v>6005</v>
      </c>
      <c r="D1334" s="1403" t="s">
        <v>5633</v>
      </c>
      <c r="E1334" s="1404" t="s">
        <v>13872</v>
      </c>
      <c r="F1334" s="1405" t="s">
        <v>5300</v>
      </c>
      <c r="G1334" s="1403" t="s">
        <v>2753</v>
      </c>
      <c r="H1334" s="1406" t="s">
        <v>1021</v>
      </c>
    </row>
    <row r="1335" spans="1:8" x14ac:dyDescent="0.2">
      <c r="A1335" s="7"/>
      <c r="B1335" s="1407" t="str">
        <f t="shared" si="20"/>
        <v>Marcel Kwiatkowski</v>
      </c>
      <c r="C1335" s="1402" t="s">
        <v>6005</v>
      </c>
      <c r="D1335" s="1403" t="s">
        <v>3300</v>
      </c>
      <c r="E1335" s="1404" t="s">
        <v>4408</v>
      </c>
      <c r="F1335" s="1405" t="s">
        <v>5299</v>
      </c>
      <c r="G1335" s="1403" t="s">
        <v>2753</v>
      </c>
      <c r="H1335" s="1406" t="s">
        <v>1021</v>
      </c>
    </row>
    <row r="1336" spans="1:8" x14ac:dyDescent="0.2">
      <c r="A1336" s="7"/>
      <c r="B1336" s="1407" t="str">
        <f t="shared" si="20"/>
        <v>Finn Laurentius</v>
      </c>
      <c r="C1336" s="1402" t="s">
        <v>9475</v>
      </c>
      <c r="D1336" s="1403" t="s">
        <v>9477</v>
      </c>
      <c r="E1336" s="1404" t="s">
        <v>9480</v>
      </c>
      <c r="F1336" s="1405" t="s">
        <v>5299</v>
      </c>
      <c r="G1336" s="1403" t="s">
        <v>2753</v>
      </c>
      <c r="H1336" s="1406" t="s">
        <v>1021</v>
      </c>
    </row>
    <row r="1337" spans="1:8" x14ac:dyDescent="0.2">
      <c r="A1337" s="7"/>
      <c r="B1337" s="1407" t="str">
        <f t="shared" si="20"/>
        <v>Markus Lindner</v>
      </c>
      <c r="C1337" s="1402" t="s">
        <v>6019</v>
      </c>
      <c r="D1337" s="1403" t="s">
        <v>3116</v>
      </c>
      <c r="E1337" s="1404" t="s">
        <v>4427</v>
      </c>
      <c r="F1337" s="1405" t="s">
        <v>5300</v>
      </c>
      <c r="G1337" s="1403" t="s">
        <v>2792</v>
      </c>
      <c r="H1337" s="1406" t="s">
        <v>1021</v>
      </c>
    </row>
    <row r="1338" spans="1:8" x14ac:dyDescent="0.2">
      <c r="A1338" s="7"/>
      <c r="B1338" s="1407" t="str">
        <f t="shared" si="20"/>
        <v>Niklas-Joel Lorenz</v>
      </c>
      <c r="C1338" s="1402" t="s">
        <v>13883</v>
      </c>
      <c r="D1338" s="1403" t="s">
        <v>13884</v>
      </c>
      <c r="E1338" s="1404" t="s">
        <v>13885</v>
      </c>
      <c r="F1338" s="1405" t="s">
        <v>5299</v>
      </c>
      <c r="G1338" s="1403" t="s">
        <v>5316</v>
      </c>
      <c r="H1338" s="1406" t="s">
        <v>1021</v>
      </c>
    </row>
    <row r="1339" spans="1:8" x14ac:dyDescent="0.2">
      <c r="A1339" s="7"/>
      <c r="B1339" s="1407" t="str">
        <f t="shared" si="20"/>
        <v>Jens Maaß</v>
      </c>
      <c r="C1339" s="1402" t="s">
        <v>7672</v>
      </c>
      <c r="D1339" s="1403" t="s">
        <v>6930</v>
      </c>
      <c r="E1339" s="1404" t="s">
        <v>7710</v>
      </c>
      <c r="F1339" s="1405" t="s">
        <v>5300</v>
      </c>
      <c r="G1339" s="1403" t="s">
        <v>7320</v>
      </c>
      <c r="H1339" s="1406" t="s">
        <v>1021</v>
      </c>
    </row>
    <row r="1340" spans="1:8" x14ac:dyDescent="0.2">
      <c r="A1340" s="7"/>
      <c r="B1340" s="1407" t="str">
        <f t="shared" si="20"/>
        <v>Maiko Maaz</v>
      </c>
      <c r="C1340" s="1402" t="s">
        <v>6015</v>
      </c>
      <c r="D1340" s="1403" t="s">
        <v>6950</v>
      </c>
      <c r="E1340" s="1404" t="s">
        <v>4421</v>
      </c>
      <c r="F1340" s="1405" t="s">
        <v>5299</v>
      </c>
      <c r="G1340" s="1403" t="s">
        <v>2794</v>
      </c>
      <c r="H1340" s="1406" t="s">
        <v>1021</v>
      </c>
    </row>
    <row r="1341" spans="1:8" x14ac:dyDescent="0.2">
      <c r="A1341" s="7"/>
      <c r="B1341" s="1407" t="str">
        <f t="shared" si="20"/>
        <v>Wolfgang Mair</v>
      </c>
      <c r="C1341" s="1402" t="s">
        <v>6031</v>
      </c>
      <c r="D1341" s="1403" t="s">
        <v>3010</v>
      </c>
      <c r="E1341" s="1404" t="s">
        <v>4445</v>
      </c>
      <c r="F1341" s="1405" t="s">
        <v>5300</v>
      </c>
      <c r="G1341" s="1403" t="s">
        <v>2751</v>
      </c>
      <c r="H1341" s="1406" t="s">
        <v>1021</v>
      </c>
    </row>
    <row r="1342" spans="1:8" x14ac:dyDescent="0.2">
      <c r="A1342" s="7"/>
      <c r="B1342" s="1407" t="str">
        <f t="shared" si="20"/>
        <v>Arnold Mair</v>
      </c>
      <c r="C1342" s="1402" t="s">
        <v>6031</v>
      </c>
      <c r="D1342" s="1403" t="s">
        <v>3625</v>
      </c>
      <c r="E1342" s="1404" t="s">
        <v>4444</v>
      </c>
      <c r="F1342" s="1405" t="s">
        <v>5300</v>
      </c>
      <c r="G1342" s="1403" t="s">
        <v>2751</v>
      </c>
      <c r="H1342" s="1406" t="s">
        <v>1021</v>
      </c>
    </row>
    <row r="1343" spans="1:8" x14ac:dyDescent="0.2">
      <c r="A1343" s="7"/>
      <c r="B1343" s="1407" t="str">
        <f t="shared" si="20"/>
        <v>Marc Manger</v>
      </c>
      <c r="C1343" s="1402" t="s">
        <v>6022</v>
      </c>
      <c r="D1343" s="1403" t="s">
        <v>3208</v>
      </c>
      <c r="E1343" s="1404" t="s">
        <v>4431</v>
      </c>
      <c r="F1343" s="1405" t="s">
        <v>5300</v>
      </c>
      <c r="G1343" s="1403" t="s">
        <v>2894</v>
      </c>
      <c r="H1343" s="1406" t="s">
        <v>1021</v>
      </c>
    </row>
    <row r="1344" spans="1:8" x14ac:dyDescent="0.2">
      <c r="A1344" s="7"/>
      <c r="B1344" s="1407" t="str">
        <f t="shared" si="20"/>
        <v>Yannik Matusch</v>
      </c>
      <c r="C1344" s="1402" t="s">
        <v>8027</v>
      </c>
      <c r="D1344" s="1403" t="s">
        <v>8873</v>
      </c>
      <c r="E1344" s="1404" t="s">
        <v>8375</v>
      </c>
      <c r="F1344" s="1405" t="s">
        <v>5299</v>
      </c>
      <c r="G1344" s="1403" t="s">
        <v>9481</v>
      </c>
      <c r="H1344" s="1406" t="s">
        <v>1021</v>
      </c>
    </row>
    <row r="1345" spans="1:8" x14ac:dyDescent="0.2">
      <c r="A1345" s="7"/>
      <c r="B1345" s="1407" t="str">
        <f t="shared" si="20"/>
        <v>Anna-Lisa Mensel</v>
      </c>
      <c r="C1345" s="1402" t="s">
        <v>15904</v>
      </c>
      <c r="D1345" s="1403" t="s">
        <v>15905</v>
      </c>
      <c r="E1345" s="1404" t="s">
        <v>13850</v>
      </c>
      <c r="F1345" s="1405" t="s">
        <v>5299</v>
      </c>
      <c r="G1345" s="1403" t="s">
        <v>2753</v>
      </c>
      <c r="H1345" s="1406" t="s">
        <v>1021</v>
      </c>
    </row>
    <row r="1346" spans="1:8" x14ac:dyDescent="0.2">
      <c r="A1346" s="7"/>
      <c r="B1346" s="1407" t="str">
        <f t="shared" si="20"/>
        <v>Fabian Mertins</v>
      </c>
      <c r="C1346" s="1402" t="s">
        <v>13875</v>
      </c>
      <c r="D1346" s="1403" t="s">
        <v>11518</v>
      </c>
      <c r="E1346" s="1404" t="s">
        <v>13876</v>
      </c>
      <c r="F1346" s="1405" t="s">
        <v>5299</v>
      </c>
      <c r="G1346" s="1403" t="s">
        <v>5316</v>
      </c>
      <c r="H1346" s="1406" t="s">
        <v>1021</v>
      </c>
    </row>
    <row r="1347" spans="1:8" x14ac:dyDescent="0.2">
      <c r="A1347" s="7"/>
      <c r="B1347" s="1407" t="str">
        <f t="shared" si="20"/>
        <v>Friedel Molinaro</v>
      </c>
      <c r="C1347" s="1402" t="s">
        <v>6018</v>
      </c>
      <c r="D1347" s="1403" t="s">
        <v>6953</v>
      </c>
      <c r="E1347" s="1404" t="s">
        <v>4425</v>
      </c>
      <c r="F1347" s="1405" t="s">
        <v>5300</v>
      </c>
      <c r="G1347" s="1403" t="s">
        <v>2792</v>
      </c>
      <c r="H1347" s="1406" t="s">
        <v>1021</v>
      </c>
    </row>
    <row r="1348" spans="1:8" x14ac:dyDescent="0.2">
      <c r="A1348" s="7"/>
      <c r="B1348" s="1407" t="str">
        <f t="shared" si="20"/>
        <v>Mario Molinaro</v>
      </c>
      <c r="C1348" s="1402" t="s">
        <v>6018</v>
      </c>
      <c r="D1348" s="1403" t="s">
        <v>3079</v>
      </c>
      <c r="E1348" s="1404" t="s">
        <v>4426</v>
      </c>
      <c r="F1348" s="1405" t="s">
        <v>5299</v>
      </c>
      <c r="G1348" s="1403" t="s">
        <v>2792</v>
      </c>
      <c r="H1348" s="1406" t="s">
        <v>1021</v>
      </c>
    </row>
    <row r="1349" spans="1:8" x14ac:dyDescent="0.2">
      <c r="A1349" s="7"/>
      <c r="B1349" s="1407" t="str">
        <f t="shared" si="20"/>
        <v>Edin Mulasmajic</v>
      </c>
      <c r="C1349" s="1402" t="s">
        <v>6052</v>
      </c>
      <c r="D1349" s="1403" t="s">
        <v>6959</v>
      </c>
      <c r="E1349" s="1404" t="s">
        <v>7072</v>
      </c>
      <c r="F1349" s="1405" t="s">
        <v>5300</v>
      </c>
      <c r="G1349" s="1403" t="s">
        <v>11409</v>
      </c>
      <c r="H1349" s="1406" t="s">
        <v>1021</v>
      </c>
    </row>
    <row r="1350" spans="1:8" x14ac:dyDescent="0.2">
      <c r="A1350" s="7"/>
      <c r="B1350" s="1407" t="str">
        <f t="shared" si="20"/>
        <v>Ekrem Mulasmajic</v>
      </c>
      <c r="C1350" s="1402" t="s">
        <v>6052</v>
      </c>
      <c r="D1350" s="1403" t="s">
        <v>7296</v>
      </c>
      <c r="E1350" s="1404" t="s">
        <v>7525</v>
      </c>
      <c r="F1350" s="1405" t="s">
        <v>13210</v>
      </c>
      <c r="G1350" s="1403" t="s">
        <v>11409</v>
      </c>
      <c r="H1350" s="1406" t="s">
        <v>1021</v>
      </c>
    </row>
    <row r="1351" spans="1:8" x14ac:dyDescent="0.2">
      <c r="A1351" s="7"/>
      <c r="B1351" s="1407" t="str">
        <f t="shared" ref="B1351:B1414" si="21">TRIM(CONCATENATE(D1351," ",C1351))</f>
        <v>Nico Müller</v>
      </c>
      <c r="C1351" s="1402" t="s">
        <v>7371</v>
      </c>
      <c r="D1351" s="1403" t="s">
        <v>3556</v>
      </c>
      <c r="E1351" s="1404" t="s">
        <v>8374</v>
      </c>
      <c r="F1351" s="1405" t="s">
        <v>5300</v>
      </c>
      <c r="G1351" s="1403" t="s">
        <v>13588</v>
      </c>
      <c r="H1351" s="1406" t="s">
        <v>1021</v>
      </c>
    </row>
    <row r="1352" spans="1:8" x14ac:dyDescent="0.2">
      <c r="A1352" s="7"/>
      <c r="B1352" s="1407" t="str">
        <f t="shared" si="21"/>
        <v>André Müller</v>
      </c>
      <c r="C1352" s="1402" t="s">
        <v>7371</v>
      </c>
      <c r="D1352" s="1403" t="s">
        <v>3175</v>
      </c>
      <c r="E1352" s="1404" t="s">
        <v>7527</v>
      </c>
      <c r="F1352" s="1405" t="s">
        <v>5299</v>
      </c>
      <c r="G1352" s="1403" t="s">
        <v>2753</v>
      </c>
      <c r="H1352" s="1406" t="s">
        <v>1021</v>
      </c>
    </row>
    <row r="1353" spans="1:8" x14ac:dyDescent="0.2">
      <c r="A1353" s="7"/>
      <c r="B1353" s="1407" t="str">
        <f t="shared" si="21"/>
        <v>Michael Nixdorf</v>
      </c>
      <c r="C1353" s="1402" t="s">
        <v>15951</v>
      </c>
      <c r="D1353" s="1403" t="s">
        <v>3416</v>
      </c>
      <c r="E1353" s="1404" t="s">
        <v>15952</v>
      </c>
      <c r="F1353" s="1405" t="s">
        <v>5300</v>
      </c>
      <c r="G1353" s="1403" t="s">
        <v>11409</v>
      </c>
      <c r="H1353" s="1406" t="s">
        <v>1021</v>
      </c>
    </row>
    <row r="1354" spans="1:8" x14ac:dyDescent="0.2">
      <c r="A1354" s="7"/>
      <c r="B1354" s="1407" t="str">
        <f t="shared" si="21"/>
        <v>Matthias Odelga</v>
      </c>
      <c r="C1354" s="1402" t="s">
        <v>6006</v>
      </c>
      <c r="D1354" s="1403" t="s">
        <v>3172</v>
      </c>
      <c r="E1354" s="1404" t="s">
        <v>4409</v>
      </c>
      <c r="F1354" s="1405" t="s">
        <v>5299</v>
      </c>
      <c r="G1354" s="1403" t="s">
        <v>2753</v>
      </c>
      <c r="H1354" s="1406" t="s">
        <v>1021</v>
      </c>
    </row>
    <row r="1355" spans="1:8" x14ac:dyDescent="0.2">
      <c r="A1355" s="7"/>
      <c r="B1355" s="1407" t="str">
        <f t="shared" si="21"/>
        <v>Manuel Politz</v>
      </c>
      <c r="C1355" s="1402" t="s">
        <v>8028</v>
      </c>
      <c r="D1355" s="1403" t="s">
        <v>3171</v>
      </c>
      <c r="E1355" s="1404" t="s">
        <v>8376</v>
      </c>
      <c r="F1355" s="1405" t="s">
        <v>5299</v>
      </c>
      <c r="G1355" s="1403" t="s">
        <v>9481</v>
      </c>
      <c r="H1355" s="1406" t="s">
        <v>1021</v>
      </c>
    </row>
    <row r="1356" spans="1:8" x14ac:dyDescent="0.2">
      <c r="A1356" s="7"/>
      <c r="B1356" s="1407" t="str">
        <f t="shared" si="21"/>
        <v>Harald Popp</v>
      </c>
      <c r="C1356" s="1402" t="s">
        <v>6032</v>
      </c>
      <c r="D1356" s="1403" t="s">
        <v>6955</v>
      </c>
      <c r="E1356" s="1404" t="s">
        <v>4453</v>
      </c>
      <c r="F1356" s="1405" t="s">
        <v>5300</v>
      </c>
      <c r="G1356" s="1403" t="s">
        <v>2897</v>
      </c>
      <c r="H1356" s="1406" t="s">
        <v>1021</v>
      </c>
    </row>
    <row r="1357" spans="1:8" x14ac:dyDescent="0.2">
      <c r="A1357" s="7"/>
      <c r="B1357" s="1407" t="str">
        <f t="shared" si="21"/>
        <v>Roland Popp</v>
      </c>
      <c r="C1357" s="1402" t="s">
        <v>6032</v>
      </c>
      <c r="D1357" s="1403" t="s">
        <v>3563</v>
      </c>
      <c r="E1357" s="1404" t="s">
        <v>4446</v>
      </c>
      <c r="F1357" s="1405" t="s">
        <v>5300</v>
      </c>
      <c r="G1357" s="1403" t="s">
        <v>2775</v>
      </c>
      <c r="H1357" s="1406" t="s">
        <v>1021</v>
      </c>
    </row>
    <row r="1358" spans="1:8" x14ac:dyDescent="0.2">
      <c r="A1358" s="7"/>
      <c r="B1358" s="1407" t="str">
        <f t="shared" si="21"/>
        <v>Benedikt Popp</v>
      </c>
      <c r="C1358" s="1402" t="s">
        <v>6032</v>
      </c>
      <c r="D1358" s="1403" t="s">
        <v>3675</v>
      </c>
      <c r="E1358" s="1404" t="s">
        <v>4447</v>
      </c>
      <c r="F1358" s="1405" t="s">
        <v>5299</v>
      </c>
      <c r="G1358" s="1403" t="s">
        <v>2751</v>
      </c>
      <c r="H1358" s="1406" t="s">
        <v>1021</v>
      </c>
    </row>
    <row r="1359" spans="1:8" x14ac:dyDescent="0.2">
      <c r="A1359" s="7"/>
      <c r="B1359" s="1407" t="str">
        <f t="shared" si="21"/>
        <v>Tobias Popp</v>
      </c>
      <c r="C1359" s="1402" t="s">
        <v>6032</v>
      </c>
      <c r="D1359" s="1403" t="s">
        <v>3693</v>
      </c>
      <c r="E1359" s="1404" t="s">
        <v>4462</v>
      </c>
      <c r="F1359" s="1405" t="s">
        <v>5299</v>
      </c>
      <c r="G1359" s="1403" t="s">
        <v>2751</v>
      </c>
      <c r="H1359" s="1406" t="s">
        <v>1021</v>
      </c>
    </row>
    <row r="1360" spans="1:8" x14ac:dyDescent="0.2">
      <c r="A1360" s="7"/>
      <c r="B1360" s="1407" t="str">
        <f t="shared" si="21"/>
        <v>Joshua Poreski</v>
      </c>
      <c r="C1360" s="1402" t="s">
        <v>7366</v>
      </c>
      <c r="D1360" s="1403" t="s">
        <v>5657</v>
      </c>
      <c r="E1360" s="1404" t="s">
        <v>7520</v>
      </c>
      <c r="F1360" s="1405" t="s">
        <v>13210</v>
      </c>
      <c r="G1360" s="1403" t="s">
        <v>5316</v>
      </c>
      <c r="H1360" s="1406" t="s">
        <v>1021</v>
      </c>
    </row>
    <row r="1361" spans="1:8" x14ac:dyDescent="0.2">
      <c r="A1361" s="7"/>
      <c r="B1361" s="1407" t="str">
        <f t="shared" si="21"/>
        <v>Florian Powels</v>
      </c>
      <c r="C1361" s="1402" t="s">
        <v>13851</v>
      </c>
      <c r="D1361" s="1403" t="s">
        <v>3358</v>
      </c>
      <c r="E1361" s="1404" t="s">
        <v>13852</v>
      </c>
      <c r="F1361" s="1405" t="s">
        <v>5299</v>
      </c>
      <c r="G1361" s="1403" t="s">
        <v>2753</v>
      </c>
      <c r="H1361" s="1406" t="s">
        <v>1021</v>
      </c>
    </row>
    <row r="1362" spans="1:8" x14ac:dyDescent="0.2">
      <c r="A1362" s="7"/>
      <c r="B1362" s="1407" t="str">
        <f t="shared" si="21"/>
        <v>Wilfried Pretzel</v>
      </c>
      <c r="C1362" s="1402" t="s">
        <v>8026</v>
      </c>
      <c r="D1362" s="1403" t="s">
        <v>6958</v>
      </c>
      <c r="E1362" s="1404" t="s">
        <v>8372</v>
      </c>
      <c r="F1362" s="1405" t="s">
        <v>5300</v>
      </c>
      <c r="G1362" s="1403" t="s">
        <v>2753</v>
      </c>
      <c r="H1362" s="1406" t="s">
        <v>1021</v>
      </c>
    </row>
    <row r="1363" spans="1:8" x14ac:dyDescent="0.2">
      <c r="A1363" s="7"/>
      <c r="B1363" s="1407" t="str">
        <f t="shared" si="21"/>
        <v>Nico Pretzel</v>
      </c>
      <c r="C1363" s="1402" t="s">
        <v>8026</v>
      </c>
      <c r="D1363" s="1403" t="s">
        <v>3556</v>
      </c>
      <c r="E1363" s="1404" t="s">
        <v>8373</v>
      </c>
      <c r="F1363" s="1405" t="s">
        <v>5299</v>
      </c>
      <c r="G1363" s="1403" t="s">
        <v>2753</v>
      </c>
      <c r="H1363" s="1406" t="s">
        <v>1021</v>
      </c>
    </row>
    <row r="1364" spans="1:8" x14ac:dyDescent="0.2">
      <c r="A1364" s="7"/>
      <c r="B1364" s="1407" t="str">
        <f t="shared" si="21"/>
        <v>Achim Preu</v>
      </c>
      <c r="C1364" s="1402" t="s">
        <v>6025</v>
      </c>
      <c r="D1364" s="1403" t="s">
        <v>6947</v>
      </c>
      <c r="E1364" s="1404" t="s">
        <v>4435</v>
      </c>
      <c r="F1364" s="1405" t="s">
        <v>5300</v>
      </c>
      <c r="G1364" s="1403" t="s">
        <v>2895</v>
      </c>
      <c r="H1364" s="1406" t="s">
        <v>1021</v>
      </c>
    </row>
    <row r="1365" spans="1:8" x14ac:dyDescent="0.2">
      <c r="A1365" s="7"/>
      <c r="B1365" s="1407" t="str">
        <f t="shared" si="21"/>
        <v>Thomas Pröhle</v>
      </c>
      <c r="C1365" s="1402" t="s">
        <v>16082</v>
      </c>
      <c r="D1365" s="1403" t="s">
        <v>3124</v>
      </c>
      <c r="E1365" s="1404" t="s">
        <v>16083</v>
      </c>
      <c r="F1365" s="1405" t="s">
        <v>5300</v>
      </c>
      <c r="G1365" s="1403" t="s">
        <v>2753</v>
      </c>
      <c r="H1365" s="1406" t="s">
        <v>1021</v>
      </c>
    </row>
    <row r="1366" spans="1:8" x14ac:dyDescent="0.2">
      <c r="A1366" s="7"/>
      <c r="B1366" s="1407" t="str">
        <f t="shared" si="21"/>
        <v>Peng Qiao</v>
      </c>
      <c r="C1366" s="1402" t="s">
        <v>16096</v>
      </c>
      <c r="D1366" s="1403" t="s">
        <v>8192</v>
      </c>
      <c r="E1366" s="1404" t="s">
        <v>16097</v>
      </c>
      <c r="F1366" s="1405" t="s">
        <v>5299</v>
      </c>
      <c r="G1366" s="1403" t="s">
        <v>11409</v>
      </c>
      <c r="H1366" s="1406" t="s">
        <v>1021</v>
      </c>
    </row>
    <row r="1367" spans="1:8" x14ac:dyDescent="0.2">
      <c r="A1367" s="7"/>
      <c r="B1367" s="1407" t="str">
        <f t="shared" si="21"/>
        <v>Bodo Reckzeh</v>
      </c>
      <c r="C1367" s="1402" t="s">
        <v>9399</v>
      </c>
      <c r="D1367" s="1403" t="s">
        <v>8876</v>
      </c>
      <c r="E1367" s="1404" t="s">
        <v>9427</v>
      </c>
      <c r="F1367" s="1405" t="s">
        <v>5300</v>
      </c>
      <c r="G1367" s="1403" t="s">
        <v>2753</v>
      </c>
      <c r="H1367" s="1406" t="s">
        <v>1021</v>
      </c>
    </row>
    <row r="1368" spans="1:8" x14ac:dyDescent="0.2">
      <c r="A1368" s="7"/>
      <c r="B1368" s="1407" t="str">
        <f t="shared" si="21"/>
        <v>Marc Reitz</v>
      </c>
      <c r="C1368" s="1402" t="s">
        <v>5898</v>
      </c>
      <c r="D1368" s="1403" t="s">
        <v>3208</v>
      </c>
      <c r="E1368" s="1404" t="s">
        <v>4467</v>
      </c>
      <c r="F1368" s="1405" t="s">
        <v>5299</v>
      </c>
      <c r="G1368" s="1403" t="s">
        <v>2775</v>
      </c>
      <c r="H1368" s="1406" t="s">
        <v>1021</v>
      </c>
    </row>
    <row r="1369" spans="1:8" x14ac:dyDescent="0.2">
      <c r="A1369" s="7"/>
      <c r="B1369" s="1407" t="str">
        <f t="shared" si="21"/>
        <v>Florian Riehl</v>
      </c>
      <c r="C1369" s="1402" t="s">
        <v>6033</v>
      </c>
      <c r="D1369" s="1403" t="s">
        <v>3358</v>
      </c>
      <c r="E1369" s="1404" t="s">
        <v>4448</v>
      </c>
      <c r="F1369" s="1405" t="s">
        <v>5299</v>
      </c>
      <c r="G1369" s="1403" t="s">
        <v>2751</v>
      </c>
      <c r="H1369" s="1406" t="s">
        <v>1021</v>
      </c>
    </row>
    <row r="1370" spans="1:8" x14ac:dyDescent="0.2">
      <c r="A1370" s="7"/>
      <c r="B1370" s="1407" t="str">
        <f t="shared" si="21"/>
        <v>Frank Rosenkranz</v>
      </c>
      <c r="C1370" s="1402" t="s">
        <v>16979</v>
      </c>
      <c r="D1370" s="1403" t="s">
        <v>3207</v>
      </c>
      <c r="E1370" s="1404" t="s">
        <v>16980</v>
      </c>
      <c r="F1370" s="1405" t="s">
        <v>5300</v>
      </c>
      <c r="G1370" s="1403" t="s">
        <v>14585</v>
      </c>
      <c r="H1370" s="1406" t="s">
        <v>1021</v>
      </c>
    </row>
    <row r="1371" spans="1:8" x14ac:dyDescent="0.2">
      <c r="A1371" s="7"/>
      <c r="B1371" s="1407" t="str">
        <f t="shared" si="21"/>
        <v>Jens Röttjer</v>
      </c>
      <c r="C1371" s="1402" t="s">
        <v>6007</v>
      </c>
      <c r="D1371" s="1403" t="s">
        <v>6930</v>
      </c>
      <c r="E1371" s="1404" t="s">
        <v>4410</v>
      </c>
      <c r="F1371" s="1405" t="s">
        <v>5300</v>
      </c>
      <c r="G1371" s="1403" t="s">
        <v>2753</v>
      </c>
      <c r="H1371" s="1406" t="s">
        <v>1021</v>
      </c>
    </row>
    <row r="1372" spans="1:8" x14ac:dyDescent="0.2">
      <c r="A1372" s="7"/>
      <c r="B1372" s="1407" t="str">
        <f t="shared" si="21"/>
        <v>Hans Ruf</v>
      </c>
      <c r="C1372" s="1402" t="s">
        <v>6034</v>
      </c>
      <c r="D1372" s="1403" t="s">
        <v>3617</v>
      </c>
      <c r="E1372" s="1404" t="s">
        <v>4450</v>
      </c>
      <c r="F1372" s="1405" t="s">
        <v>5300</v>
      </c>
      <c r="G1372" s="1403" t="s">
        <v>2751</v>
      </c>
      <c r="H1372" s="1406" t="s">
        <v>1021</v>
      </c>
    </row>
    <row r="1373" spans="1:8" x14ac:dyDescent="0.2">
      <c r="A1373" s="7"/>
      <c r="B1373" s="1407" t="str">
        <f t="shared" si="21"/>
        <v>Alexander Ruf</v>
      </c>
      <c r="C1373" s="1402" t="s">
        <v>6034</v>
      </c>
      <c r="D1373" s="1403" t="s">
        <v>3037</v>
      </c>
      <c r="E1373" s="1404" t="s">
        <v>4449</v>
      </c>
      <c r="F1373" s="1405" t="s">
        <v>5299</v>
      </c>
      <c r="G1373" s="1403" t="s">
        <v>2751</v>
      </c>
      <c r="H1373" s="1406" t="s">
        <v>1021</v>
      </c>
    </row>
    <row r="1374" spans="1:8" x14ac:dyDescent="0.2">
      <c r="A1374" s="7"/>
      <c r="B1374" s="1407" t="str">
        <f t="shared" si="21"/>
        <v>Werner Rust</v>
      </c>
      <c r="C1374" s="1402" t="s">
        <v>8031</v>
      </c>
      <c r="D1374" s="1403" t="s">
        <v>8241</v>
      </c>
      <c r="E1374" s="1404" t="s">
        <v>8380</v>
      </c>
      <c r="F1374" s="1405" t="s">
        <v>5300</v>
      </c>
      <c r="G1374" s="1403" t="s">
        <v>7915</v>
      </c>
      <c r="H1374" s="1406" t="s">
        <v>1021</v>
      </c>
    </row>
    <row r="1375" spans="1:8" x14ac:dyDescent="0.2">
      <c r="A1375" s="7"/>
      <c r="B1375" s="1407" t="str">
        <f t="shared" si="21"/>
        <v>Wolfgang Sartor</v>
      </c>
      <c r="C1375" s="1402" t="s">
        <v>6023</v>
      </c>
      <c r="D1375" s="1403" t="s">
        <v>3010</v>
      </c>
      <c r="E1375" s="1404" t="s">
        <v>4433</v>
      </c>
      <c r="F1375" s="1405" t="s">
        <v>5300</v>
      </c>
      <c r="G1375" s="1403" t="s">
        <v>5307</v>
      </c>
      <c r="H1375" s="1406" t="s">
        <v>1021</v>
      </c>
    </row>
    <row r="1376" spans="1:8" x14ac:dyDescent="0.2">
      <c r="A1376" s="7"/>
      <c r="B1376" s="1407" t="str">
        <f t="shared" si="21"/>
        <v>Dieter Sauerwein</v>
      </c>
      <c r="C1376" s="1402" t="s">
        <v>6000</v>
      </c>
      <c r="D1376" s="1403" t="s">
        <v>3638</v>
      </c>
      <c r="E1376" s="1404" t="s">
        <v>4403</v>
      </c>
      <c r="F1376" s="1405" t="s">
        <v>5300</v>
      </c>
      <c r="G1376" s="1403" t="s">
        <v>9481</v>
      </c>
      <c r="H1376" s="1406" t="s">
        <v>1021</v>
      </c>
    </row>
    <row r="1377" spans="1:8" x14ac:dyDescent="0.2">
      <c r="A1377" s="7"/>
      <c r="B1377" s="1407" t="str">
        <f t="shared" si="21"/>
        <v>Pascal Schäfer</v>
      </c>
      <c r="C1377" s="1402" t="s">
        <v>13867</v>
      </c>
      <c r="D1377" s="1403" t="s">
        <v>3035</v>
      </c>
      <c r="E1377" s="1404" t="s">
        <v>13868</v>
      </c>
      <c r="F1377" s="1405" t="s">
        <v>5299</v>
      </c>
      <c r="G1377" s="1403" t="s">
        <v>5316</v>
      </c>
      <c r="H1377" s="1406" t="s">
        <v>1021</v>
      </c>
    </row>
    <row r="1378" spans="1:8" x14ac:dyDescent="0.2">
      <c r="A1378" s="7"/>
      <c r="B1378" s="1407" t="str">
        <f t="shared" si="21"/>
        <v>Michael Schaup</v>
      </c>
      <c r="C1378" s="1402" t="s">
        <v>6026</v>
      </c>
      <c r="D1378" s="1403" t="s">
        <v>3416</v>
      </c>
      <c r="E1378" s="1404" t="s">
        <v>4436</v>
      </c>
      <c r="F1378" s="1405" t="s">
        <v>5300</v>
      </c>
      <c r="G1378" s="1403" t="s">
        <v>2895</v>
      </c>
      <c r="H1378" s="1406" t="s">
        <v>1021</v>
      </c>
    </row>
    <row r="1379" spans="1:8" x14ac:dyDescent="0.2">
      <c r="A1379" s="7"/>
      <c r="B1379" s="1407" t="str">
        <f t="shared" si="21"/>
        <v>Frank Scherer</v>
      </c>
      <c r="C1379" s="1402" t="s">
        <v>13863</v>
      </c>
      <c r="D1379" s="1403" t="s">
        <v>3207</v>
      </c>
      <c r="E1379" s="1404" t="s">
        <v>13864</v>
      </c>
      <c r="F1379" s="1405" t="s">
        <v>5300</v>
      </c>
      <c r="G1379" s="1403" t="s">
        <v>2775</v>
      </c>
      <c r="H1379" s="1406" t="s">
        <v>1021</v>
      </c>
    </row>
    <row r="1380" spans="1:8" x14ac:dyDescent="0.2">
      <c r="A1380" s="7"/>
      <c r="B1380" s="1407" t="str">
        <f t="shared" si="21"/>
        <v>Rainer Scheurer</v>
      </c>
      <c r="C1380" s="1402" t="s">
        <v>6040</v>
      </c>
      <c r="D1380" s="1403" t="s">
        <v>3473</v>
      </c>
      <c r="E1380" s="1404" t="s">
        <v>4459</v>
      </c>
      <c r="F1380" s="1405" t="s">
        <v>5300</v>
      </c>
      <c r="G1380" s="1403" t="s">
        <v>2775</v>
      </c>
      <c r="H1380" s="1406" t="s">
        <v>1021</v>
      </c>
    </row>
    <row r="1381" spans="1:8" x14ac:dyDescent="0.2">
      <c r="A1381" s="7"/>
      <c r="B1381" s="1407" t="str">
        <f t="shared" si="21"/>
        <v>Axel Schneider</v>
      </c>
      <c r="C1381" s="1402" t="s">
        <v>6021</v>
      </c>
      <c r="D1381" s="1403" t="s">
        <v>3075</v>
      </c>
      <c r="E1381" s="1404" t="s">
        <v>4429</v>
      </c>
      <c r="F1381" s="1405" t="s">
        <v>5300</v>
      </c>
      <c r="G1381" s="1403" t="s">
        <v>2792</v>
      </c>
      <c r="H1381" s="1406" t="s">
        <v>1021</v>
      </c>
    </row>
    <row r="1382" spans="1:8" x14ac:dyDescent="0.2">
      <c r="A1382" s="7"/>
      <c r="B1382" s="1407" t="str">
        <f t="shared" si="21"/>
        <v>Wolfgang Schneider</v>
      </c>
      <c r="C1382" s="1402" t="s">
        <v>6021</v>
      </c>
      <c r="D1382" s="1403" t="s">
        <v>3010</v>
      </c>
      <c r="E1382" s="1404" t="s">
        <v>4430</v>
      </c>
      <c r="F1382" s="1405" t="s">
        <v>5300</v>
      </c>
      <c r="G1382" s="1403" t="s">
        <v>2792</v>
      </c>
      <c r="H1382" s="1406" t="s">
        <v>1021</v>
      </c>
    </row>
    <row r="1383" spans="1:8" x14ac:dyDescent="0.2">
      <c r="A1383" s="7"/>
      <c r="B1383" s="1407" t="str">
        <f t="shared" si="21"/>
        <v>Daniel Schneider</v>
      </c>
      <c r="C1383" s="1402" t="s">
        <v>6021</v>
      </c>
      <c r="D1383" s="1403" t="s">
        <v>3243</v>
      </c>
      <c r="E1383" s="1404" t="s">
        <v>13855</v>
      </c>
      <c r="F1383" s="1405" t="s">
        <v>5299</v>
      </c>
      <c r="G1383" s="1403" t="s">
        <v>2792</v>
      </c>
      <c r="H1383" s="1406" t="s">
        <v>1021</v>
      </c>
    </row>
    <row r="1384" spans="1:8" x14ac:dyDescent="0.2">
      <c r="A1384" s="7"/>
      <c r="B1384" s="1407" t="str">
        <f t="shared" si="21"/>
        <v>Patrick Schneider</v>
      </c>
      <c r="C1384" s="1402" t="s">
        <v>6021</v>
      </c>
      <c r="D1384" s="1403" t="s">
        <v>3271</v>
      </c>
      <c r="E1384" s="1404" t="s">
        <v>7067</v>
      </c>
      <c r="F1384" s="1405" t="s">
        <v>5299</v>
      </c>
      <c r="G1384" s="1403" t="s">
        <v>2792</v>
      </c>
      <c r="H1384" s="1406" t="s">
        <v>1021</v>
      </c>
    </row>
    <row r="1385" spans="1:8" x14ac:dyDescent="0.2">
      <c r="A1385" s="7"/>
      <c r="B1385" s="1407" t="str">
        <f t="shared" si="21"/>
        <v>Leon Schneider</v>
      </c>
      <c r="C1385" s="1402" t="s">
        <v>6021</v>
      </c>
      <c r="D1385" s="1403" t="s">
        <v>5655</v>
      </c>
      <c r="E1385" s="1404" t="s">
        <v>13896</v>
      </c>
      <c r="F1385" s="1405" t="s">
        <v>13210</v>
      </c>
      <c r="G1385" s="1403" t="s">
        <v>13588</v>
      </c>
      <c r="H1385" s="1406" t="s">
        <v>1021</v>
      </c>
    </row>
    <row r="1386" spans="1:8" x14ac:dyDescent="0.2">
      <c r="A1386" s="7"/>
      <c r="B1386" s="1407" t="str">
        <f t="shared" si="21"/>
        <v>Patrick Schnieder</v>
      </c>
      <c r="C1386" s="1402" t="s">
        <v>7369</v>
      </c>
      <c r="D1386" s="1403" t="s">
        <v>3271</v>
      </c>
      <c r="E1386" s="1404" t="s">
        <v>7524</v>
      </c>
      <c r="F1386" s="1405" t="s">
        <v>5299</v>
      </c>
      <c r="G1386" s="1403" t="s">
        <v>13575</v>
      </c>
      <c r="H1386" s="1406" t="s">
        <v>1021</v>
      </c>
    </row>
    <row r="1387" spans="1:8" x14ac:dyDescent="0.2">
      <c r="A1387" s="7"/>
      <c r="B1387" s="1407" t="str">
        <f t="shared" si="21"/>
        <v>Manuel Schreckenbach</v>
      </c>
      <c r="C1387" s="1402" t="s">
        <v>13853</v>
      </c>
      <c r="D1387" s="1403" t="s">
        <v>3171</v>
      </c>
      <c r="E1387" s="1404" t="s">
        <v>13854</v>
      </c>
      <c r="F1387" s="1405" t="s">
        <v>5299</v>
      </c>
      <c r="G1387" s="1403" t="s">
        <v>2753</v>
      </c>
      <c r="H1387" s="1406" t="s">
        <v>1021</v>
      </c>
    </row>
    <row r="1388" spans="1:8" x14ac:dyDescent="0.2">
      <c r="A1388" s="7"/>
      <c r="B1388" s="1407" t="str">
        <f t="shared" si="21"/>
        <v>Martin Schrott</v>
      </c>
      <c r="C1388" s="1402" t="s">
        <v>5998</v>
      </c>
      <c r="D1388" s="1403" t="s">
        <v>3408</v>
      </c>
      <c r="E1388" s="1404" t="s">
        <v>4401</v>
      </c>
      <c r="F1388" s="1405" t="s">
        <v>5300</v>
      </c>
      <c r="G1388" s="1403" t="s">
        <v>13575</v>
      </c>
      <c r="H1388" s="1406" t="s">
        <v>1021</v>
      </c>
    </row>
    <row r="1389" spans="1:8" x14ac:dyDescent="0.2">
      <c r="A1389" s="7"/>
      <c r="B1389" s="1407" t="str">
        <f t="shared" si="21"/>
        <v>Rene Schulz</v>
      </c>
      <c r="C1389" s="1402" t="s">
        <v>5997</v>
      </c>
      <c r="D1389" s="1403" t="s">
        <v>14343</v>
      </c>
      <c r="E1389" s="1404" t="s">
        <v>4399</v>
      </c>
      <c r="F1389" s="1405" t="s">
        <v>5299</v>
      </c>
      <c r="G1389" s="1403" t="s">
        <v>2753</v>
      </c>
      <c r="H1389" s="1406" t="s">
        <v>1021</v>
      </c>
    </row>
    <row r="1390" spans="1:8" x14ac:dyDescent="0.2">
      <c r="A1390" s="7"/>
      <c r="B1390" s="1407" t="str">
        <f t="shared" si="21"/>
        <v>Marcel Schulz</v>
      </c>
      <c r="C1390" s="1402" t="s">
        <v>5997</v>
      </c>
      <c r="D1390" s="1403" t="s">
        <v>3300</v>
      </c>
      <c r="E1390" s="1404" t="s">
        <v>4400</v>
      </c>
      <c r="F1390" s="1405" t="s">
        <v>5299</v>
      </c>
      <c r="G1390" s="1403" t="s">
        <v>2775</v>
      </c>
      <c r="H1390" s="1406" t="s">
        <v>1021</v>
      </c>
    </row>
    <row r="1391" spans="1:8" x14ac:dyDescent="0.2">
      <c r="A1391" s="7"/>
      <c r="B1391" s="1407" t="str">
        <f t="shared" si="21"/>
        <v>Dominik Schulz</v>
      </c>
      <c r="C1391" s="1402" t="s">
        <v>5997</v>
      </c>
      <c r="D1391" s="1403" t="s">
        <v>6949</v>
      </c>
      <c r="E1391" s="1404" t="s">
        <v>4420</v>
      </c>
      <c r="F1391" s="1405" t="s">
        <v>5299</v>
      </c>
      <c r="G1391" s="1403" t="s">
        <v>9481</v>
      </c>
      <c r="H1391" s="1406" t="s">
        <v>1021</v>
      </c>
    </row>
    <row r="1392" spans="1:8" x14ac:dyDescent="0.2">
      <c r="A1392" s="7"/>
      <c r="B1392" s="1407" t="str">
        <f t="shared" si="21"/>
        <v>Olaf Seidel</v>
      </c>
      <c r="C1392" s="1402" t="s">
        <v>6020</v>
      </c>
      <c r="D1392" s="1403" t="s">
        <v>6951</v>
      </c>
      <c r="E1392" s="1404" t="s">
        <v>4428</v>
      </c>
      <c r="F1392" s="1405" t="s">
        <v>5300</v>
      </c>
      <c r="G1392" s="1403" t="s">
        <v>2792</v>
      </c>
      <c r="H1392" s="1406" t="s">
        <v>1021</v>
      </c>
    </row>
    <row r="1393" spans="1:8" x14ac:dyDescent="0.2">
      <c r="A1393" s="7"/>
      <c r="B1393" s="1407" t="str">
        <f t="shared" si="21"/>
        <v>Uli Selsen</v>
      </c>
      <c r="C1393" s="1402" t="s">
        <v>5999</v>
      </c>
      <c r="D1393" s="1403" t="s">
        <v>13870</v>
      </c>
      <c r="E1393" s="1404" t="s">
        <v>4402</v>
      </c>
      <c r="F1393" s="1405" t="s">
        <v>5300</v>
      </c>
      <c r="G1393" s="1403" t="s">
        <v>5306</v>
      </c>
      <c r="H1393" s="1406" t="s">
        <v>1021</v>
      </c>
    </row>
    <row r="1394" spans="1:8" x14ac:dyDescent="0.2">
      <c r="A1394" s="7"/>
      <c r="B1394" s="1407" t="str">
        <f t="shared" si="21"/>
        <v>Sascha Skroblin</v>
      </c>
      <c r="C1394" s="1402" t="s">
        <v>6047</v>
      </c>
      <c r="D1394" s="1403" t="s">
        <v>6957</v>
      </c>
      <c r="E1394" s="1404" t="s">
        <v>4468</v>
      </c>
      <c r="F1394" s="1405" t="s">
        <v>5299</v>
      </c>
      <c r="G1394" s="1403" t="s">
        <v>2794</v>
      </c>
      <c r="H1394" s="1406" t="s">
        <v>1021</v>
      </c>
    </row>
    <row r="1395" spans="1:8" x14ac:dyDescent="0.2">
      <c r="A1395" s="7"/>
      <c r="B1395" s="1407" t="str">
        <f t="shared" si="21"/>
        <v>Fisnik Sopa</v>
      </c>
      <c r="C1395" s="1402" t="s">
        <v>14591</v>
      </c>
      <c r="D1395" s="1403" t="s">
        <v>14592</v>
      </c>
      <c r="E1395" s="1404" t="s">
        <v>14593</v>
      </c>
      <c r="F1395" s="1405" t="s">
        <v>5299</v>
      </c>
      <c r="G1395" s="1403" t="s">
        <v>11409</v>
      </c>
      <c r="H1395" s="1406" t="s">
        <v>1021</v>
      </c>
    </row>
    <row r="1396" spans="1:8" x14ac:dyDescent="0.2">
      <c r="A1396" s="7"/>
      <c r="B1396" s="1407" t="str">
        <f t="shared" si="21"/>
        <v>Mattia Spataro</v>
      </c>
      <c r="C1396" s="1402" t="s">
        <v>16250</v>
      </c>
      <c r="D1396" s="1403" t="s">
        <v>3228</v>
      </c>
      <c r="E1396" s="1404" t="s">
        <v>16251</v>
      </c>
      <c r="F1396" s="1405" t="s">
        <v>5299</v>
      </c>
      <c r="G1396" s="1403" t="s">
        <v>14585</v>
      </c>
      <c r="H1396" s="1406" t="s">
        <v>1021</v>
      </c>
    </row>
    <row r="1397" spans="1:8" x14ac:dyDescent="0.2">
      <c r="A1397" s="7"/>
      <c r="B1397" s="1407" t="str">
        <f t="shared" si="21"/>
        <v>Matthias Stechern</v>
      </c>
      <c r="C1397" s="1402" t="s">
        <v>11021</v>
      </c>
      <c r="D1397" s="1403" t="s">
        <v>3172</v>
      </c>
      <c r="E1397" s="1404" t="s">
        <v>11097</v>
      </c>
      <c r="F1397" s="1405" t="s">
        <v>5300</v>
      </c>
      <c r="G1397" s="1403" t="s">
        <v>14679</v>
      </c>
      <c r="H1397" s="1406" t="s">
        <v>1021</v>
      </c>
    </row>
    <row r="1398" spans="1:8" x14ac:dyDescent="0.2">
      <c r="A1398" s="7"/>
      <c r="B1398" s="1407" t="str">
        <f t="shared" si="21"/>
        <v>Frank Stiller</v>
      </c>
      <c r="C1398" s="1402" t="s">
        <v>6051</v>
      </c>
      <c r="D1398" s="1403" t="s">
        <v>3207</v>
      </c>
      <c r="E1398" s="1404" t="s">
        <v>7071</v>
      </c>
      <c r="F1398" s="1405" t="s">
        <v>5300</v>
      </c>
      <c r="G1398" s="1403" t="s">
        <v>7867</v>
      </c>
      <c r="H1398" s="1406" t="s">
        <v>1021</v>
      </c>
    </row>
    <row r="1399" spans="1:8" x14ac:dyDescent="0.2">
      <c r="A1399" s="7"/>
      <c r="B1399" s="1407" t="str">
        <f t="shared" si="21"/>
        <v>Uwe Stiller</v>
      </c>
      <c r="C1399" s="1402" t="s">
        <v>6051</v>
      </c>
      <c r="D1399" s="1403" t="s">
        <v>7469</v>
      </c>
      <c r="E1399" s="1404" t="s">
        <v>7521</v>
      </c>
      <c r="F1399" s="1405" t="s">
        <v>5300</v>
      </c>
      <c r="G1399" s="1403" t="s">
        <v>7867</v>
      </c>
      <c r="H1399" s="1406" t="s">
        <v>1021</v>
      </c>
    </row>
    <row r="1400" spans="1:8" x14ac:dyDescent="0.2">
      <c r="A1400" s="7"/>
      <c r="B1400" s="1407" t="str">
        <f t="shared" si="21"/>
        <v>Michael Stolzenberg</v>
      </c>
      <c r="C1400" s="1402" t="s">
        <v>6008</v>
      </c>
      <c r="D1400" s="1403" t="s">
        <v>3416</v>
      </c>
      <c r="E1400" s="1404" t="s">
        <v>4411</v>
      </c>
      <c r="F1400" s="1405" t="s">
        <v>5299</v>
      </c>
      <c r="G1400" s="1403" t="s">
        <v>17169</v>
      </c>
      <c r="H1400" s="1406" t="s">
        <v>1021</v>
      </c>
    </row>
    <row r="1401" spans="1:8" x14ac:dyDescent="0.2">
      <c r="A1401" s="7"/>
      <c r="B1401" s="1407" t="str">
        <f t="shared" si="21"/>
        <v>Stephan Thiele</v>
      </c>
      <c r="C1401" s="1402" t="s">
        <v>6038</v>
      </c>
      <c r="D1401" s="1403" t="s">
        <v>3572</v>
      </c>
      <c r="E1401" s="1404" t="s">
        <v>4457</v>
      </c>
      <c r="F1401" s="1405" t="s">
        <v>5300</v>
      </c>
      <c r="G1401" s="1403" t="s">
        <v>2775</v>
      </c>
      <c r="H1401" s="1406" t="s">
        <v>1021</v>
      </c>
    </row>
    <row r="1402" spans="1:8" x14ac:dyDescent="0.2">
      <c r="A1402" s="7"/>
      <c r="B1402" s="1407" t="str">
        <f t="shared" si="21"/>
        <v>Bernd Tholen</v>
      </c>
      <c r="C1402" s="1402" t="s">
        <v>6048</v>
      </c>
      <c r="D1402" s="1403" t="s">
        <v>3605</v>
      </c>
      <c r="E1402" s="1404" t="s">
        <v>7068</v>
      </c>
      <c r="F1402" s="1405" t="s">
        <v>5300</v>
      </c>
      <c r="G1402" s="1403" t="s">
        <v>5315</v>
      </c>
      <c r="H1402" s="1406" t="s">
        <v>1021</v>
      </c>
    </row>
    <row r="1403" spans="1:8" x14ac:dyDescent="0.2">
      <c r="A1403" s="7"/>
      <c r="B1403" s="1407" t="str">
        <f t="shared" si="21"/>
        <v>Marcus Tilgner</v>
      </c>
      <c r="C1403" s="1402" t="s">
        <v>6009</v>
      </c>
      <c r="D1403" s="1403" t="s">
        <v>3056</v>
      </c>
      <c r="E1403" s="1404" t="s">
        <v>4412</v>
      </c>
      <c r="F1403" s="1405" t="s">
        <v>5300</v>
      </c>
      <c r="G1403" s="1403" t="s">
        <v>2753</v>
      </c>
      <c r="H1403" s="1406" t="s">
        <v>1021</v>
      </c>
    </row>
    <row r="1404" spans="1:8" x14ac:dyDescent="0.2">
      <c r="A1404" s="7"/>
      <c r="B1404" s="1407" t="str">
        <f t="shared" si="21"/>
        <v>Daria Tilgner</v>
      </c>
      <c r="C1404" s="1402" t="s">
        <v>6009</v>
      </c>
      <c r="D1404" s="1403" t="s">
        <v>7323</v>
      </c>
      <c r="E1404" s="1404" t="s">
        <v>7528</v>
      </c>
      <c r="F1404" s="1405" t="s">
        <v>5299</v>
      </c>
      <c r="G1404" s="1403" t="s">
        <v>2753</v>
      </c>
      <c r="H1404" s="1406" t="s">
        <v>1021</v>
      </c>
    </row>
    <row r="1405" spans="1:8" x14ac:dyDescent="0.2">
      <c r="A1405" s="7"/>
      <c r="B1405" s="1407" t="str">
        <f t="shared" si="21"/>
        <v>Dimitrios Tolias</v>
      </c>
      <c r="C1405" s="1402" t="s">
        <v>14586</v>
      </c>
      <c r="D1405" s="1403" t="s">
        <v>5644</v>
      </c>
      <c r="E1405" s="1404" t="s">
        <v>14587</v>
      </c>
      <c r="F1405" s="1405" t="s">
        <v>5299</v>
      </c>
      <c r="G1405" s="1403" t="s">
        <v>11409</v>
      </c>
      <c r="H1405" s="1406" t="s">
        <v>1021</v>
      </c>
    </row>
    <row r="1406" spans="1:8" x14ac:dyDescent="0.2">
      <c r="A1406" s="7"/>
      <c r="B1406" s="1407" t="str">
        <f t="shared" si="21"/>
        <v>Rainer Vogt</v>
      </c>
      <c r="C1406" s="1402" t="s">
        <v>6010</v>
      </c>
      <c r="D1406" s="1403" t="s">
        <v>3473</v>
      </c>
      <c r="E1406" s="1404" t="s">
        <v>4413</v>
      </c>
      <c r="F1406" s="1405" t="s">
        <v>5300</v>
      </c>
      <c r="G1406" s="1403" t="s">
        <v>2753</v>
      </c>
      <c r="H1406" s="1406" t="s">
        <v>1021</v>
      </c>
    </row>
    <row r="1407" spans="1:8" x14ac:dyDescent="0.2">
      <c r="A1407" s="7"/>
      <c r="B1407" s="1407" t="str">
        <f t="shared" si="21"/>
        <v>Linus von Schultzendorff</v>
      </c>
      <c r="C1407" s="1402" t="s">
        <v>14588</v>
      </c>
      <c r="D1407" s="1403" t="s">
        <v>14589</v>
      </c>
      <c r="E1407" s="1404" t="s">
        <v>14590</v>
      </c>
      <c r="F1407" s="1405" t="s">
        <v>5299</v>
      </c>
      <c r="G1407" s="1403" t="s">
        <v>11409</v>
      </c>
      <c r="H1407" s="1406" t="s">
        <v>1021</v>
      </c>
    </row>
    <row r="1408" spans="1:8" x14ac:dyDescent="0.2">
      <c r="A1408" s="7"/>
      <c r="B1408" s="1407" t="str">
        <f t="shared" si="21"/>
        <v>Fred Vulpes</v>
      </c>
      <c r="C1408" s="1402" t="s">
        <v>6001</v>
      </c>
      <c r="D1408" s="1403" t="s">
        <v>3317</v>
      </c>
      <c r="E1408" s="1404" t="s">
        <v>4404</v>
      </c>
      <c r="F1408" s="1405" t="s">
        <v>5300</v>
      </c>
      <c r="G1408" s="1403" t="s">
        <v>2896</v>
      </c>
      <c r="H1408" s="1406" t="s">
        <v>1021</v>
      </c>
    </row>
    <row r="1409" spans="1:8" x14ac:dyDescent="0.2">
      <c r="A1409" s="7"/>
      <c r="B1409" s="1407" t="str">
        <f t="shared" si="21"/>
        <v>Thomas Vulpes</v>
      </c>
      <c r="C1409" s="1402" t="s">
        <v>6001</v>
      </c>
      <c r="D1409" s="1403" t="s">
        <v>3124</v>
      </c>
      <c r="E1409" s="1404" t="s">
        <v>16347</v>
      </c>
      <c r="F1409" s="1405" t="s">
        <v>5300</v>
      </c>
      <c r="G1409" s="1403" t="s">
        <v>2751</v>
      </c>
      <c r="H1409" s="1406" t="s">
        <v>1021</v>
      </c>
    </row>
    <row r="1410" spans="1:8" x14ac:dyDescent="0.2">
      <c r="A1410" s="7"/>
      <c r="B1410" s="1407" t="str">
        <f t="shared" si="21"/>
        <v>Cornelia Vulpes</v>
      </c>
      <c r="C1410" s="1402" t="s">
        <v>6001</v>
      </c>
      <c r="D1410" s="1403" t="s">
        <v>14583</v>
      </c>
      <c r="E1410" s="1404" t="s">
        <v>4451</v>
      </c>
      <c r="F1410" s="1405" t="s">
        <v>5299</v>
      </c>
      <c r="G1410" s="1403" t="s">
        <v>2751</v>
      </c>
      <c r="H1410" s="1406" t="s">
        <v>1021</v>
      </c>
    </row>
    <row r="1411" spans="1:8" x14ac:dyDescent="0.2">
      <c r="A1411" s="7"/>
      <c r="B1411" s="1407" t="str">
        <f t="shared" si="21"/>
        <v>Robert Wagner</v>
      </c>
      <c r="C1411" s="1402" t="s">
        <v>6050</v>
      </c>
      <c r="D1411" s="1403" t="s">
        <v>3405</v>
      </c>
      <c r="E1411" s="1404" t="s">
        <v>7070</v>
      </c>
      <c r="F1411" s="1405" t="s">
        <v>5300</v>
      </c>
      <c r="G1411" s="1403" t="s">
        <v>5626</v>
      </c>
      <c r="H1411" s="1406" t="s">
        <v>1021</v>
      </c>
    </row>
    <row r="1412" spans="1:8" x14ac:dyDescent="0.2">
      <c r="A1412" s="7"/>
      <c r="B1412" s="1407" t="str">
        <f t="shared" si="21"/>
        <v>Gerhard Walper</v>
      </c>
      <c r="C1412" s="1402" t="s">
        <v>6027</v>
      </c>
      <c r="D1412" s="1403" t="s">
        <v>3609</v>
      </c>
      <c r="E1412" s="1404" t="s">
        <v>4437</v>
      </c>
      <c r="F1412" s="1405" t="s">
        <v>5300</v>
      </c>
      <c r="G1412" s="1403" t="s">
        <v>2895</v>
      </c>
      <c r="H1412" s="1406" t="s">
        <v>1021</v>
      </c>
    </row>
    <row r="1413" spans="1:8" x14ac:dyDescent="0.2">
      <c r="A1413" s="7"/>
      <c r="B1413" s="1407" t="str">
        <f t="shared" si="21"/>
        <v>Cathrin Weihermann</v>
      </c>
      <c r="C1413" s="1402" t="s">
        <v>13880</v>
      </c>
      <c r="D1413" s="1403" t="s">
        <v>13881</v>
      </c>
      <c r="E1413" s="1404" t="s">
        <v>13882</v>
      </c>
      <c r="F1413" s="1405" t="s">
        <v>5299</v>
      </c>
      <c r="G1413" s="1403" t="s">
        <v>2751</v>
      </c>
      <c r="H1413" s="1406" t="s">
        <v>1021</v>
      </c>
    </row>
    <row r="1414" spans="1:8" x14ac:dyDescent="0.2">
      <c r="A1414" s="7"/>
      <c r="B1414" s="1407" t="str">
        <f t="shared" si="21"/>
        <v>Thomas Winkler</v>
      </c>
      <c r="C1414" s="1402" t="s">
        <v>6039</v>
      </c>
      <c r="D1414" s="1403" t="s">
        <v>3124</v>
      </c>
      <c r="E1414" s="1404" t="s">
        <v>4458</v>
      </c>
      <c r="F1414" s="1405" t="s">
        <v>5300</v>
      </c>
      <c r="G1414" s="1403" t="s">
        <v>2775</v>
      </c>
      <c r="H1414" s="1406" t="s">
        <v>1021</v>
      </c>
    </row>
    <row r="1415" spans="1:8" x14ac:dyDescent="0.2">
      <c r="A1415" s="7"/>
      <c r="B1415" s="1407" t="str">
        <f t="shared" ref="B1415:B1478" si="22">TRIM(CONCATENATE(D1415," ",C1415))</f>
        <v>Noah Wulff</v>
      </c>
      <c r="C1415" s="1402" t="s">
        <v>14594</v>
      </c>
      <c r="D1415" s="1403" t="s">
        <v>7329</v>
      </c>
      <c r="E1415" s="1404" t="s">
        <v>14595</v>
      </c>
      <c r="F1415" s="1405" t="s">
        <v>13211</v>
      </c>
      <c r="G1415" s="1403" t="s">
        <v>11409</v>
      </c>
      <c r="H1415" s="1406" t="s">
        <v>1021</v>
      </c>
    </row>
    <row r="1416" spans="1:8" x14ac:dyDescent="0.2">
      <c r="A1416" s="7"/>
      <c r="B1416" s="1407" t="str">
        <f t="shared" si="22"/>
        <v>Yeliskan Yilmaz</v>
      </c>
      <c r="C1416" s="1402" t="s">
        <v>6054</v>
      </c>
      <c r="D1416" s="1403" t="s">
        <v>6960</v>
      </c>
      <c r="E1416" s="1404" t="s">
        <v>7074</v>
      </c>
      <c r="F1416" s="1405" t="s">
        <v>5299</v>
      </c>
      <c r="G1416" s="1403" t="s">
        <v>5626</v>
      </c>
      <c r="H1416" s="1406" t="s">
        <v>1021</v>
      </c>
    </row>
    <row r="1417" spans="1:8" x14ac:dyDescent="0.2">
      <c r="A1417" s="7"/>
      <c r="B1417" s="1407" t="str">
        <f t="shared" si="22"/>
        <v>Manuel Martinez</v>
      </c>
      <c r="C1417" s="1402" t="s">
        <v>6055</v>
      </c>
      <c r="D1417" s="1403" t="s">
        <v>3171</v>
      </c>
      <c r="E1417" s="1404" t="s">
        <v>4469</v>
      </c>
      <c r="F1417" s="1405" t="s">
        <v>5300</v>
      </c>
      <c r="G1417" s="1403" t="s">
        <v>9448</v>
      </c>
      <c r="H1417" s="1406" t="s">
        <v>1023</v>
      </c>
    </row>
    <row r="1418" spans="1:8" x14ac:dyDescent="0.2">
      <c r="A1418" s="7"/>
      <c r="B1418" s="1407" t="str">
        <f t="shared" si="22"/>
        <v>John Field</v>
      </c>
      <c r="C1418" s="1402" t="s">
        <v>6056</v>
      </c>
      <c r="D1418" s="1403" t="s">
        <v>3250</v>
      </c>
      <c r="E1418" s="1404" t="s">
        <v>4470</v>
      </c>
      <c r="F1418" s="1405" t="s">
        <v>5300</v>
      </c>
      <c r="G1418" s="1403" t="s">
        <v>2755</v>
      </c>
      <c r="H1418" s="1406" t="s">
        <v>1023</v>
      </c>
    </row>
    <row r="1419" spans="1:8" x14ac:dyDescent="0.2">
      <c r="A1419" s="7"/>
      <c r="B1419" s="1407" t="str">
        <f t="shared" si="22"/>
        <v>Lawrence Alvarez</v>
      </c>
      <c r="C1419" s="1402" t="s">
        <v>6057</v>
      </c>
      <c r="D1419" s="1403" t="s">
        <v>3152</v>
      </c>
      <c r="E1419" s="1404" t="s">
        <v>4471</v>
      </c>
      <c r="F1419" s="1405" t="s">
        <v>5300</v>
      </c>
      <c r="G1419" s="1403" t="s">
        <v>9448</v>
      </c>
      <c r="H1419" s="1406" t="s">
        <v>1023</v>
      </c>
    </row>
    <row r="1420" spans="1:8" x14ac:dyDescent="0.2">
      <c r="A1420" s="7"/>
      <c r="B1420" s="1407" t="str">
        <f t="shared" si="22"/>
        <v>Guy Palmer</v>
      </c>
      <c r="C1420" s="1402" t="s">
        <v>6058</v>
      </c>
      <c r="D1420" s="1403" t="s">
        <v>3454</v>
      </c>
      <c r="E1420" s="1404" t="s">
        <v>4472</v>
      </c>
      <c r="F1420" s="1405" t="s">
        <v>5300</v>
      </c>
      <c r="G1420" s="1403" t="s">
        <v>15983</v>
      </c>
      <c r="H1420" s="1406" t="s">
        <v>1023</v>
      </c>
    </row>
    <row r="1421" spans="1:8" x14ac:dyDescent="0.2">
      <c r="A1421" s="7"/>
      <c r="B1421" s="1407" t="str">
        <f t="shared" si="22"/>
        <v>Eddie Tellez</v>
      </c>
      <c r="C1421" s="1402" t="s">
        <v>6059</v>
      </c>
      <c r="D1421" s="1403" t="s">
        <v>3225</v>
      </c>
      <c r="E1421" s="1404" t="s">
        <v>4473</v>
      </c>
      <c r="F1421" s="1405" t="s">
        <v>5300</v>
      </c>
      <c r="G1421" s="1403" t="s">
        <v>9448</v>
      </c>
      <c r="H1421" s="1406" t="s">
        <v>1023</v>
      </c>
    </row>
    <row r="1422" spans="1:8" x14ac:dyDescent="0.2">
      <c r="A1422" s="7"/>
      <c r="B1422" s="1407" t="str">
        <f t="shared" si="22"/>
        <v>Tom Santos</v>
      </c>
      <c r="C1422" s="1402" t="s">
        <v>6730</v>
      </c>
      <c r="D1422" s="1403" t="s">
        <v>3235</v>
      </c>
      <c r="E1422" s="1404" t="s">
        <v>8382</v>
      </c>
      <c r="F1422" s="1405" t="s">
        <v>5300</v>
      </c>
      <c r="G1422" s="1403" t="s">
        <v>14359</v>
      </c>
      <c r="H1422" s="1406" t="s">
        <v>1023</v>
      </c>
    </row>
    <row r="1423" spans="1:8" x14ac:dyDescent="0.2">
      <c r="A1423" s="7"/>
      <c r="B1423" s="1407" t="str">
        <f t="shared" si="22"/>
        <v>Richard Osborne</v>
      </c>
      <c r="C1423" s="1402" t="s">
        <v>15972</v>
      </c>
      <c r="D1423" s="1403" t="s">
        <v>3219</v>
      </c>
      <c r="E1423" s="1404" t="s">
        <v>15973</v>
      </c>
      <c r="F1423" s="1405"/>
      <c r="G1423" s="1403" t="s">
        <v>15974</v>
      </c>
      <c r="H1423" s="1406" t="s">
        <v>1023</v>
      </c>
    </row>
    <row r="1424" spans="1:8" x14ac:dyDescent="0.2">
      <c r="A1424" s="7"/>
      <c r="B1424" s="1407" t="str">
        <f t="shared" si="22"/>
        <v>Jose Luis Bonavia</v>
      </c>
      <c r="C1424" s="1402" t="s">
        <v>6060</v>
      </c>
      <c r="D1424" s="1403" t="s">
        <v>3146</v>
      </c>
      <c r="E1424" s="1404" t="s">
        <v>4474</v>
      </c>
      <c r="F1424" s="1405" t="s">
        <v>5300</v>
      </c>
      <c r="G1424" s="1403" t="s">
        <v>2755</v>
      </c>
      <c r="H1424" s="1406" t="s">
        <v>1023</v>
      </c>
    </row>
    <row r="1425" spans="1:8" x14ac:dyDescent="0.2">
      <c r="A1425" s="7"/>
      <c r="B1425" s="1407" t="str">
        <f t="shared" si="22"/>
        <v>Kyle Tellez</v>
      </c>
      <c r="C1425" s="1402" t="s">
        <v>6059</v>
      </c>
      <c r="D1425" s="1403" t="s">
        <v>3577</v>
      </c>
      <c r="E1425" s="1404" t="s">
        <v>4475</v>
      </c>
      <c r="F1425" s="1405" t="s">
        <v>5299</v>
      </c>
      <c r="G1425" s="1403" t="s">
        <v>9448</v>
      </c>
      <c r="H1425" s="1406" t="s">
        <v>1023</v>
      </c>
    </row>
    <row r="1426" spans="1:8" x14ac:dyDescent="0.2">
      <c r="A1426" s="7"/>
      <c r="B1426" s="1407" t="str">
        <f t="shared" si="22"/>
        <v>Patrick Dean</v>
      </c>
      <c r="C1426" s="1402" t="s">
        <v>6062</v>
      </c>
      <c r="D1426" s="1403" t="s">
        <v>3271</v>
      </c>
      <c r="E1426" s="1404" t="s">
        <v>4476</v>
      </c>
      <c r="F1426" s="1405" t="s">
        <v>5300</v>
      </c>
      <c r="G1426" s="1403" t="s">
        <v>9448</v>
      </c>
      <c r="H1426" s="1406" t="s">
        <v>1023</v>
      </c>
    </row>
    <row r="1427" spans="1:8" x14ac:dyDescent="0.2">
      <c r="A1427" s="7"/>
      <c r="B1427" s="1407" t="str">
        <f t="shared" si="22"/>
        <v>Francis Avellano</v>
      </c>
      <c r="C1427" s="1402" t="s">
        <v>6063</v>
      </c>
      <c r="D1427" s="1403" t="s">
        <v>3376</v>
      </c>
      <c r="E1427" s="1404" t="s">
        <v>4477</v>
      </c>
      <c r="F1427" s="1405" t="s">
        <v>5299</v>
      </c>
      <c r="G1427" s="1403" t="s">
        <v>9448</v>
      </c>
      <c r="H1427" s="1406" t="s">
        <v>1023</v>
      </c>
    </row>
    <row r="1428" spans="1:8" x14ac:dyDescent="0.2">
      <c r="A1428" s="7"/>
      <c r="B1428" s="1407" t="str">
        <f t="shared" si="22"/>
        <v>Niall Dean</v>
      </c>
      <c r="C1428" s="1402" t="s">
        <v>6062</v>
      </c>
      <c r="D1428" s="1403" t="s">
        <v>5543</v>
      </c>
      <c r="E1428" s="1404" t="s">
        <v>7075</v>
      </c>
      <c r="F1428" s="1405" t="s">
        <v>5299</v>
      </c>
      <c r="G1428" s="1403" t="s">
        <v>9448</v>
      </c>
      <c r="H1428" s="1406" t="s">
        <v>1023</v>
      </c>
    </row>
    <row r="1429" spans="1:8" x14ac:dyDescent="0.2">
      <c r="A1429" s="7"/>
      <c r="B1429" s="1407" t="str">
        <f t="shared" si="22"/>
        <v>Leon Avellano</v>
      </c>
      <c r="C1429" s="1402" t="s">
        <v>6063</v>
      </c>
      <c r="D1429" s="1403" t="s">
        <v>5655</v>
      </c>
      <c r="E1429" s="1404" t="s">
        <v>7076</v>
      </c>
      <c r="F1429" s="1405" t="s">
        <v>5299</v>
      </c>
      <c r="G1429" s="1403" t="s">
        <v>9448</v>
      </c>
      <c r="H1429" s="1406" t="s">
        <v>1023</v>
      </c>
    </row>
    <row r="1430" spans="1:8" x14ac:dyDescent="0.2">
      <c r="A1430" s="7"/>
      <c r="B1430" s="1407" t="str">
        <f t="shared" si="22"/>
        <v>Jonathan Dotto</v>
      </c>
      <c r="C1430" s="1402" t="s">
        <v>5970</v>
      </c>
      <c r="D1430" s="1403" t="s">
        <v>3293</v>
      </c>
      <c r="E1430" s="1404" t="s">
        <v>8383</v>
      </c>
      <c r="F1430" s="1405" t="s">
        <v>5299</v>
      </c>
      <c r="G1430" s="1403" t="s">
        <v>9448</v>
      </c>
      <c r="H1430" s="1406" t="s">
        <v>1023</v>
      </c>
    </row>
    <row r="1431" spans="1:8" x14ac:dyDescent="0.2">
      <c r="A1431" s="7"/>
      <c r="B1431" s="1407" t="str">
        <f t="shared" si="22"/>
        <v>Richard Berliaque</v>
      </c>
      <c r="C1431" s="1402" t="s">
        <v>8033</v>
      </c>
      <c r="D1431" s="1403" t="s">
        <v>3219</v>
      </c>
      <c r="E1431" s="1404" t="s">
        <v>8384</v>
      </c>
      <c r="F1431" s="1405" t="s">
        <v>5300</v>
      </c>
      <c r="G1431" s="1403" t="s">
        <v>9448</v>
      </c>
      <c r="H1431" s="1406" t="s">
        <v>1023</v>
      </c>
    </row>
    <row r="1432" spans="1:8" x14ac:dyDescent="0.2">
      <c r="A1432" s="7"/>
      <c r="B1432" s="1407" t="str">
        <f t="shared" si="22"/>
        <v>Jose Luis Sanchez</v>
      </c>
      <c r="C1432" s="1402" t="s">
        <v>8034</v>
      </c>
      <c r="D1432" s="1403" t="s">
        <v>3146</v>
      </c>
      <c r="E1432" s="1404" t="s">
        <v>8385</v>
      </c>
      <c r="F1432" s="1405" t="s">
        <v>5300</v>
      </c>
      <c r="G1432" s="1403" t="s">
        <v>9448</v>
      </c>
      <c r="H1432" s="1406" t="s">
        <v>1023</v>
      </c>
    </row>
    <row r="1433" spans="1:8" x14ac:dyDescent="0.2">
      <c r="A1433" s="7"/>
      <c r="B1433" s="1407" t="str">
        <f t="shared" si="22"/>
        <v>Jason Canilla</v>
      </c>
      <c r="C1433" s="1402" t="s">
        <v>8035</v>
      </c>
      <c r="D1433" s="1403" t="s">
        <v>3297</v>
      </c>
      <c r="E1433" s="1404" t="s">
        <v>8386</v>
      </c>
      <c r="F1433" s="1405" t="s">
        <v>5300</v>
      </c>
      <c r="G1433" s="1403" t="s">
        <v>9448</v>
      </c>
      <c r="H1433" s="1406" t="s">
        <v>1023</v>
      </c>
    </row>
    <row r="1434" spans="1:8" x14ac:dyDescent="0.2">
      <c r="A1434" s="7"/>
      <c r="B1434" s="1407" t="str">
        <f t="shared" si="22"/>
        <v>Gerald Laguea</v>
      </c>
      <c r="C1434" s="1402" t="s">
        <v>9931</v>
      </c>
      <c r="D1434" s="1403" t="s">
        <v>3608</v>
      </c>
      <c r="E1434" s="1404" t="s">
        <v>10102</v>
      </c>
      <c r="F1434" s="1405" t="s">
        <v>5300</v>
      </c>
      <c r="G1434" s="1403" t="s">
        <v>9448</v>
      </c>
      <c r="H1434" s="1406" t="s">
        <v>1023</v>
      </c>
    </row>
    <row r="1435" spans="1:8" x14ac:dyDescent="0.2">
      <c r="A1435" s="7"/>
      <c r="B1435" s="1407" t="str">
        <f t="shared" si="22"/>
        <v>Lazaros Papakonstantinou</v>
      </c>
      <c r="C1435" s="1402" t="s">
        <v>6064</v>
      </c>
      <c r="D1435" s="1403" t="s">
        <v>17884</v>
      </c>
      <c r="E1435" s="1404" t="s">
        <v>17885</v>
      </c>
      <c r="F1435" s="1405" t="s">
        <v>5300</v>
      </c>
      <c r="G1435" s="1403" t="s">
        <v>2745</v>
      </c>
      <c r="H1435" s="1406" t="s">
        <v>1025</v>
      </c>
    </row>
    <row r="1436" spans="1:8" x14ac:dyDescent="0.2">
      <c r="A1436" s="7"/>
      <c r="B1436" s="1407" t="str">
        <f t="shared" si="22"/>
        <v>Leonidas Koutroumanos</v>
      </c>
      <c r="C1436" s="1402" t="s">
        <v>6065</v>
      </c>
      <c r="D1436" s="1403" t="s">
        <v>3211</v>
      </c>
      <c r="E1436" s="1404" t="s">
        <v>4478</v>
      </c>
      <c r="F1436" s="1405" t="s">
        <v>5300</v>
      </c>
      <c r="G1436" s="1403" t="s">
        <v>2758</v>
      </c>
      <c r="H1436" s="1406" t="s">
        <v>1025</v>
      </c>
    </row>
    <row r="1437" spans="1:8" x14ac:dyDescent="0.2">
      <c r="A1437" s="7"/>
      <c r="B1437" s="1407" t="str">
        <f t="shared" si="22"/>
        <v>Marcos Kapsabelis</v>
      </c>
      <c r="C1437" s="1402" t="s">
        <v>6066</v>
      </c>
      <c r="D1437" s="1403" t="s">
        <v>3112</v>
      </c>
      <c r="E1437" s="1404" t="s">
        <v>4479</v>
      </c>
      <c r="F1437" s="1405" t="s">
        <v>5300</v>
      </c>
      <c r="G1437" s="1403" t="s">
        <v>10269</v>
      </c>
      <c r="H1437" s="1406" t="s">
        <v>1025</v>
      </c>
    </row>
    <row r="1438" spans="1:8" x14ac:dyDescent="0.2">
      <c r="A1438" s="7"/>
      <c r="B1438" s="1407" t="str">
        <f t="shared" si="22"/>
        <v>Efthymios Koutroumanos</v>
      </c>
      <c r="C1438" s="1402" t="s">
        <v>6065</v>
      </c>
      <c r="D1438" s="1403" t="s">
        <v>8242</v>
      </c>
      <c r="E1438" s="1404" t="s">
        <v>4480</v>
      </c>
      <c r="F1438" s="1405" t="s">
        <v>5300</v>
      </c>
      <c r="G1438" s="1403" t="s">
        <v>14359</v>
      </c>
      <c r="H1438" s="1406" t="s">
        <v>1025</v>
      </c>
    </row>
    <row r="1439" spans="1:8" x14ac:dyDescent="0.2">
      <c r="A1439" s="7"/>
      <c r="B1439" s="1407" t="str">
        <f t="shared" si="22"/>
        <v>Periklis Dimopoulos</v>
      </c>
      <c r="C1439" s="1402" t="s">
        <v>6067</v>
      </c>
      <c r="D1439" s="1403" t="s">
        <v>3167</v>
      </c>
      <c r="E1439" s="1404" t="s">
        <v>4481</v>
      </c>
      <c r="F1439" s="1405" t="s">
        <v>5300</v>
      </c>
      <c r="G1439" s="1403" t="s">
        <v>9822</v>
      </c>
      <c r="H1439" s="1406" t="s">
        <v>1025</v>
      </c>
    </row>
    <row r="1440" spans="1:8" x14ac:dyDescent="0.2">
      <c r="A1440" s="7"/>
      <c r="B1440" s="1407" t="str">
        <f t="shared" si="22"/>
        <v>Adrianos Dervis</v>
      </c>
      <c r="C1440" s="1402" t="s">
        <v>6068</v>
      </c>
      <c r="D1440" s="1403" t="s">
        <v>8243</v>
      </c>
      <c r="E1440" s="1404" t="s">
        <v>4482</v>
      </c>
      <c r="F1440" s="1405" t="s">
        <v>5300</v>
      </c>
      <c r="G1440" s="1403" t="s">
        <v>10263</v>
      </c>
      <c r="H1440" s="1406" t="s">
        <v>1025</v>
      </c>
    </row>
    <row r="1441" spans="1:8" x14ac:dyDescent="0.2">
      <c r="A1441" s="7"/>
      <c r="B1441" s="1407" t="str">
        <f t="shared" si="22"/>
        <v>Miltiadis Gkiochalas</v>
      </c>
      <c r="C1441" s="1402" t="s">
        <v>8036</v>
      </c>
      <c r="D1441" s="1403" t="s">
        <v>3113</v>
      </c>
      <c r="E1441" s="1404" t="s">
        <v>4483</v>
      </c>
      <c r="F1441" s="1405" t="s">
        <v>5299</v>
      </c>
      <c r="G1441" s="1403" t="s">
        <v>13488</v>
      </c>
      <c r="H1441" s="1406" t="s">
        <v>1025</v>
      </c>
    </row>
    <row r="1442" spans="1:8" x14ac:dyDescent="0.2">
      <c r="A1442" s="7"/>
      <c r="B1442" s="1407" t="str">
        <f t="shared" si="22"/>
        <v>Konstantinos Triantafillou</v>
      </c>
      <c r="C1442" s="1402" t="s">
        <v>6069</v>
      </c>
      <c r="D1442" s="1403" t="s">
        <v>6986</v>
      </c>
      <c r="E1442" s="1404" t="s">
        <v>4484</v>
      </c>
      <c r="F1442" s="1405" t="s">
        <v>5300</v>
      </c>
      <c r="G1442" s="1403" t="s">
        <v>3041</v>
      </c>
      <c r="H1442" s="1406" t="s">
        <v>1025</v>
      </c>
    </row>
    <row r="1443" spans="1:8" x14ac:dyDescent="0.2">
      <c r="A1443" s="7"/>
      <c r="B1443" s="1407" t="str">
        <f t="shared" si="22"/>
        <v>Georgios Koutis</v>
      </c>
      <c r="C1443" s="1402" t="s">
        <v>6070</v>
      </c>
      <c r="D1443" s="1403" t="s">
        <v>3324</v>
      </c>
      <c r="E1443" s="1404" t="s">
        <v>4485</v>
      </c>
      <c r="F1443" s="1405" t="s">
        <v>5299</v>
      </c>
      <c r="G1443" s="1403" t="s">
        <v>3041</v>
      </c>
      <c r="H1443" s="1406" t="s">
        <v>1025</v>
      </c>
    </row>
    <row r="1444" spans="1:8" x14ac:dyDescent="0.2">
      <c r="A1444" s="7"/>
      <c r="B1444" s="1407" t="str">
        <f t="shared" si="22"/>
        <v>Evripidis Prantsoudis</v>
      </c>
      <c r="C1444" s="1402" t="s">
        <v>8037</v>
      </c>
      <c r="D1444" s="1403" t="s">
        <v>3058</v>
      </c>
      <c r="E1444" s="1404" t="s">
        <v>4486</v>
      </c>
      <c r="F1444" s="1405" t="s">
        <v>5299</v>
      </c>
      <c r="G1444" s="1403" t="s">
        <v>10263</v>
      </c>
      <c r="H1444" s="1406" t="s">
        <v>1025</v>
      </c>
    </row>
    <row r="1445" spans="1:8" x14ac:dyDescent="0.2">
      <c r="A1445" s="7"/>
      <c r="B1445" s="1407" t="str">
        <f t="shared" si="22"/>
        <v>Evgenios Plytas</v>
      </c>
      <c r="C1445" s="1402" t="s">
        <v>6071</v>
      </c>
      <c r="D1445" s="1403" t="s">
        <v>8244</v>
      </c>
      <c r="E1445" s="1404" t="s">
        <v>4487</v>
      </c>
      <c r="F1445" s="1405" t="s">
        <v>5300</v>
      </c>
      <c r="G1445" s="1403" t="s">
        <v>10268</v>
      </c>
      <c r="H1445" s="1406" t="s">
        <v>1025</v>
      </c>
    </row>
    <row r="1446" spans="1:8" x14ac:dyDescent="0.2">
      <c r="A1446" s="7"/>
      <c r="B1446" s="1407" t="str">
        <f t="shared" si="22"/>
        <v>Ioannis Ntakas</v>
      </c>
      <c r="C1446" s="1402" t="s">
        <v>6072</v>
      </c>
      <c r="D1446" s="1403" t="s">
        <v>3350</v>
      </c>
      <c r="E1446" s="1404" t="s">
        <v>4488</v>
      </c>
      <c r="F1446" s="1405" t="s">
        <v>5299</v>
      </c>
      <c r="G1446" s="1403" t="s">
        <v>14359</v>
      </c>
      <c r="H1446" s="1406" t="s">
        <v>1025</v>
      </c>
    </row>
    <row r="1447" spans="1:8" x14ac:dyDescent="0.2">
      <c r="A1447" s="7"/>
      <c r="B1447" s="1407" t="str">
        <f t="shared" si="22"/>
        <v>Dimitrios Stamatopoulos</v>
      </c>
      <c r="C1447" s="1402" t="s">
        <v>6073</v>
      </c>
      <c r="D1447" s="1403" t="s">
        <v>5644</v>
      </c>
      <c r="E1447" s="1404" t="s">
        <v>4489</v>
      </c>
      <c r="F1447" s="1405" t="s">
        <v>5300</v>
      </c>
      <c r="G1447" s="1403" t="s">
        <v>2758</v>
      </c>
      <c r="H1447" s="1406" t="s">
        <v>1025</v>
      </c>
    </row>
    <row r="1448" spans="1:8" x14ac:dyDescent="0.2">
      <c r="A1448" s="7"/>
      <c r="B1448" s="1407" t="str">
        <f t="shared" si="22"/>
        <v>Nikolaos Beis</v>
      </c>
      <c r="C1448" s="1402" t="s">
        <v>6074</v>
      </c>
      <c r="D1448" s="1403" t="s">
        <v>5554</v>
      </c>
      <c r="E1448" s="1404" t="s">
        <v>4490</v>
      </c>
      <c r="F1448" s="1405" t="s">
        <v>5299</v>
      </c>
      <c r="G1448" s="1403" t="s">
        <v>10246</v>
      </c>
      <c r="H1448" s="1406" t="s">
        <v>1025</v>
      </c>
    </row>
    <row r="1449" spans="1:8" x14ac:dyDescent="0.2">
      <c r="A1449" s="7"/>
      <c r="B1449" s="1407" t="str">
        <f t="shared" si="22"/>
        <v>Christos Pitsaris</v>
      </c>
      <c r="C1449" s="1402" t="s">
        <v>6075</v>
      </c>
      <c r="D1449" s="1403" t="s">
        <v>3135</v>
      </c>
      <c r="E1449" s="1404" t="s">
        <v>4491</v>
      </c>
      <c r="F1449" s="1405" t="s">
        <v>5299</v>
      </c>
      <c r="G1449" s="1403" t="s">
        <v>15175</v>
      </c>
      <c r="H1449" s="1406" t="s">
        <v>1025</v>
      </c>
    </row>
    <row r="1450" spans="1:8" x14ac:dyDescent="0.2">
      <c r="A1450" s="7"/>
      <c r="B1450" s="1407" t="str">
        <f t="shared" si="22"/>
        <v>Anargyros Poulidis</v>
      </c>
      <c r="C1450" s="1402" t="s">
        <v>6076</v>
      </c>
      <c r="D1450" s="1403" t="s">
        <v>6982</v>
      </c>
      <c r="E1450" s="1404" t="s">
        <v>4492</v>
      </c>
      <c r="F1450" s="1405" t="s">
        <v>5300</v>
      </c>
      <c r="G1450" s="1403" t="s">
        <v>14359</v>
      </c>
      <c r="H1450" s="1406" t="s">
        <v>1025</v>
      </c>
    </row>
    <row r="1451" spans="1:8" x14ac:dyDescent="0.2">
      <c r="A1451" s="7"/>
      <c r="B1451" s="1407" t="str">
        <f t="shared" si="22"/>
        <v>Georgios Petronikolos</v>
      </c>
      <c r="C1451" s="1402" t="s">
        <v>6077</v>
      </c>
      <c r="D1451" s="1403" t="s">
        <v>3324</v>
      </c>
      <c r="E1451" s="1404" t="s">
        <v>4493</v>
      </c>
      <c r="F1451" s="1405" t="s">
        <v>5300</v>
      </c>
      <c r="G1451" s="1403" t="s">
        <v>14359</v>
      </c>
      <c r="H1451" s="1406" t="s">
        <v>1025</v>
      </c>
    </row>
    <row r="1452" spans="1:8" x14ac:dyDescent="0.2">
      <c r="A1452" s="7"/>
      <c r="B1452" s="1407" t="str">
        <f t="shared" si="22"/>
        <v>Nektarios Psihas</v>
      </c>
      <c r="C1452" s="1402" t="s">
        <v>6078</v>
      </c>
      <c r="D1452" s="1403" t="s">
        <v>6962</v>
      </c>
      <c r="E1452" s="1404" t="s">
        <v>4494</v>
      </c>
      <c r="F1452" s="1405" t="s">
        <v>5299</v>
      </c>
      <c r="G1452" s="1403" t="s">
        <v>14359</v>
      </c>
      <c r="H1452" s="1406" t="s">
        <v>1025</v>
      </c>
    </row>
    <row r="1453" spans="1:8" x14ac:dyDescent="0.2">
      <c r="A1453" s="7"/>
      <c r="B1453" s="1407" t="str">
        <f t="shared" si="22"/>
        <v>Michalis Vernados</v>
      </c>
      <c r="C1453" s="1402" t="s">
        <v>6079</v>
      </c>
      <c r="D1453" s="1403" t="s">
        <v>3580</v>
      </c>
      <c r="E1453" s="1404" t="s">
        <v>4495</v>
      </c>
      <c r="F1453" s="1405" t="s">
        <v>5300</v>
      </c>
      <c r="G1453" s="1403" t="s">
        <v>14359</v>
      </c>
      <c r="H1453" s="1406" t="s">
        <v>1025</v>
      </c>
    </row>
    <row r="1454" spans="1:8" x14ac:dyDescent="0.2">
      <c r="A1454" s="7"/>
      <c r="B1454" s="1407" t="str">
        <f t="shared" si="22"/>
        <v>Alexis Vasiliou</v>
      </c>
      <c r="C1454" s="1402" t="s">
        <v>6080</v>
      </c>
      <c r="D1454" s="1403" t="s">
        <v>3527</v>
      </c>
      <c r="E1454" s="1404" t="s">
        <v>4496</v>
      </c>
      <c r="F1454" s="1405" t="s">
        <v>5299</v>
      </c>
      <c r="G1454" s="1403" t="s">
        <v>14359</v>
      </c>
      <c r="H1454" s="1406" t="s">
        <v>1025</v>
      </c>
    </row>
    <row r="1455" spans="1:8" x14ac:dyDescent="0.2">
      <c r="A1455" s="7"/>
      <c r="B1455" s="1407" t="str">
        <f t="shared" si="22"/>
        <v>Achilleas Bogdanidis</v>
      </c>
      <c r="C1455" s="1402" t="s">
        <v>6081</v>
      </c>
      <c r="D1455" s="1403" t="s">
        <v>8245</v>
      </c>
      <c r="E1455" s="1404" t="s">
        <v>4497</v>
      </c>
      <c r="F1455" s="1405" t="s">
        <v>5299</v>
      </c>
      <c r="G1455" s="1403" t="s">
        <v>17170</v>
      </c>
      <c r="H1455" s="1406" t="s">
        <v>1025</v>
      </c>
    </row>
    <row r="1456" spans="1:8" x14ac:dyDescent="0.2">
      <c r="A1456" s="7"/>
      <c r="B1456" s="1407" t="str">
        <f t="shared" si="22"/>
        <v>Christos Kidis</v>
      </c>
      <c r="C1456" s="1402" t="s">
        <v>6082</v>
      </c>
      <c r="D1456" s="1403" t="s">
        <v>3135</v>
      </c>
      <c r="E1456" s="1404" t="s">
        <v>4498</v>
      </c>
      <c r="F1456" s="1405" t="s">
        <v>5299</v>
      </c>
      <c r="G1456" s="1403" t="s">
        <v>14359</v>
      </c>
      <c r="H1456" s="1406" t="s">
        <v>1025</v>
      </c>
    </row>
    <row r="1457" spans="1:8" x14ac:dyDescent="0.2">
      <c r="A1457" s="7"/>
      <c r="B1457" s="1407" t="str">
        <f t="shared" si="22"/>
        <v>Nikolaos Sklavounos</v>
      </c>
      <c r="C1457" s="1402" t="s">
        <v>6083</v>
      </c>
      <c r="D1457" s="1403" t="s">
        <v>5554</v>
      </c>
      <c r="E1457" s="1404" t="s">
        <v>4499</v>
      </c>
      <c r="F1457" s="1405" t="s">
        <v>5300</v>
      </c>
      <c r="G1457" s="1403" t="s">
        <v>14359</v>
      </c>
      <c r="H1457" s="1406" t="s">
        <v>1025</v>
      </c>
    </row>
    <row r="1458" spans="1:8" x14ac:dyDescent="0.2">
      <c r="A1458" s="7"/>
      <c r="B1458" s="1407" t="str">
        <f t="shared" si="22"/>
        <v>Serafim Kazantzoglou</v>
      </c>
      <c r="C1458" s="1402" t="s">
        <v>6084</v>
      </c>
      <c r="D1458" s="1403" t="s">
        <v>3435</v>
      </c>
      <c r="E1458" s="1404" t="s">
        <v>4500</v>
      </c>
      <c r="F1458" s="1405" t="s">
        <v>5300</v>
      </c>
      <c r="G1458" s="1403" t="s">
        <v>14359</v>
      </c>
      <c r="H1458" s="1406" t="s">
        <v>1025</v>
      </c>
    </row>
    <row r="1459" spans="1:8" x14ac:dyDescent="0.2">
      <c r="A1459" s="7"/>
      <c r="B1459" s="1407" t="str">
        <f t="shared" si="22"/>
        <v>Nikolaos Skenteris</v>
      </c>
      <c r="C1459" s="1402" t="s">
        <v>6085</v>
      </c>
      <c r="D1459" s="1403" t="s">
        <v>5554</v>
      </c>
      <c r="E1459" s="1404" t="s">
        <v>4501</v>
      </c>
      <c r="F1459" s="1405" t="s">
        <v>5300</v>
      </c>
      <c r="G1459" s="1403" t="s">
        <v>14359</v>
      </c>
      <c r="H1459" s="1406" t="s">
        <v>1025</v>
      </c>
    </row>
    <row r="1460" spans="1:8" x14ac:dyDescent="0.2">
      <c r="A1460" s="7"/>
      <c r="B1460" s="1407" t="str">
        <f t="shared" si="22"/>
        <v>Michalis Karatarakis</v>
      </c>
      <c r="C1460" s="1402" t="s">
        <v>6086</v>
      </c>
      <c r="D1460" s="1403" t="s">
        <v>3580</v>
      </c>
      <c r="E1460" s="1404" t="s">
        <v>4502</v>
      </c>
      <c r="F1460" s="1405" t="s">
        <v>5300</v>
      </c>
      <c r="G1460" s="1403" t="s">
        <v>14359</v>
      </c>
      <c r="H1460" s="1406" t="s">
        <v>1025</v>
      </c>
    </row>
    <row r="1461" spans="1:8" x14ac:dyDescent="0.2">
      <c r="A1461" s="7"/>
      <c r="B1461" s="1407" t="str">
        <f t="shared" si="22"/>
        <v>Panagiotis Valantasis</v>
      </c>
      <c r="C1461" s="1402" t="s">
        <v>6087</v>
      </c>
      <c r="D1461" s="1403" t="s">
        <v>3249</v>
      </c>
      <c r="E1461" s="1404" t="s">
        <v>4503</v>
      </c>
      <c r="F1461" s="1405" t="s">
        <v>5300</v>
      </c>
      <c r="G1461" s="1403" t="s">
        <v>14359</v>
      </c>
      <c r="H1461" s="1406" t="s">
        <v>1025</v>
      </c>
    </row>
    <row r="1462" spans="1:8" x14ac:dyDescent="0.2">
      <c r="A1462" s="7"/>
      <c r="B1462" s="1407" t="str">
        <f t="shared" si="22"/>
        <v>Stavros Hotzakis</v>
      </c>
      <c r="C1462" s="1402" t="s">
        <v>6088</v>
      </c>
      <c r="D1462" s="1403" t="s">
        <v>3336</v>
      </c>
      <c r="E1462" s="1404" t="s">
        <v>4504</v>
      </c>
      <c r="F1462" s="1405" t="s">
        <v>5300</v>
      </c>
      <c r="G1462" s="1403" t="s">
        <v>14359</v>
      </c>
      <c r="H1462" s="1406" t="s">
        <v>1025</v>
      </c>
    </row>
    <row r="1463" spans="1:8" x14ac:dyDescent="0.2">
      <c r="A1463" s="7"/>
      <c r="B1463" s="1407" t="str">
        <f t="shared" si="22"/>
        <v>Georgios Georgopoulos</v>
      </c>
      <c r="C1463" s="1402" t="s">
        <v>6089</v>
      </c>
      <c r="D1463" s="1403" t="s">
        <v>3324</v>
      </c>
      <c r="E1463" s="1404" t="s">
        <v>4505</v>
      </c>
      <c r="F1463" s="1405" t="s">
        <v>5300</v>
      </c>
      <c r="G1463" s="1403" t="s">
        <v>14359</v>
      </c>
      <c r="H1463" s="1406" t="s">
        <v>1025</v>
      </c>
    </row>
    <row r="1464" spans="1:8" x14ac:dyDescent="0.2">
      <c r="A1464" s="7"/>
      <c r="B1464" s="1407" t="str">
        <f t="shared" si="22"/>
        <v>Nikolaos Krevvatas</v>
      </c>
      <c r="C1464" s="1402" t="s">
        <v>8038</v>
      </c>
      <c r="D1464" s="1403" t="s">
        <v>5554</v>
      </c>
      <c r="E1464" s="1404" t="s">
        <v>4506</v>
      </c>
      <c r="F1464" s="1405" t="s">
        <v>5300</v>
      </c>
      <c r="G1464" s="1403" t="s">
        <v>14359</v>
      </c>
      <c r="H1464" s="1406" t="s">
        <v>1025</v>
      </c>
    </row>
    <row r="1465" spans="1:8" x14ac:dyDescent="0.2">
      <c r="A1465" s="7"/>
      <c r="B1465" s="1407" t="str">
        <f t="shared" si="22"/>
        <v>Nikolaos Sklavounakos</v>
      </c>
      <c r="C1465" s="1402" t="s">
        <v>6090</v>
      </c>
      <c r="D1465" s="1403" t="s">
        <v>5554</v>
      </c>
      <c r="E1465" s="1404" t="s">
        <v>4507</v>
      </c>
      <c r="F1465" s="1405" t="s">
        <v>5300</v>
      </c>
      <c r="G1465" s="1403" t="s">
        <v>14359</v>
      </c>
      <c r="H1465" s="1406" t="s">
        <v>1025</v>
      </c>
    </row>
    <row r="1466" spans="1:8" x14ac:dyDescent="0.2">
      <c r="A1466" s="7"/>
      <c r="B1466" s="1407" t="str">
        <f t="shared" si="22"/>
        <v>Vasileios Papathanasiou</v>
      </c>
      <c r="C1466" s="1402" t="s">
        <v>6091</v>
      </c>
      <c r="D1466" s="1403" t="s">
        <v>5548</v>
      </c>
      <c r="E1466" s="1404" t="s">
        <v>4508</v>
      </c>
      <c r="F1466" s="1405" t="s">
        <v>5299</v>
      </c>
      <c r="G1466" s="1403" t="s">
        <v>14359</v>
      </c>
      <c r="H1466" s="1406" t="s">
        <v>1025</v>
      </c>
    </row>
    <row r="1467" spans="1:8" x14ac:dyDescent="0.2">
      <c r="A1467" s="7"/>
      <c r="B1467" s="1407" t="str">
        <f t="shared" si="22"/>
        <v>Nikolaos Kolidakis</v>
      </c>
      <c r="C1467" s="1402" t="s">
        <v>6092</v>
      </c>
      <c r="D1467" s="1403" t="s">
        <v>5554</v>
      </c>
      <c r="E1467" s="1404" t="s">
        <v>4509</v>
      </c>
      <c r="F1467" s="1405" t="s">
        <v>5300</v>
      </c>
      <c r="G1467" s="1403" t="s">
        <v>14359</v>
      </c>
      <c r="H1467" s="1406" t="s">
        <v>1025</v>
      </c>
    </row>
    <row r="1468" spans="1:8" x14ac:dyDescent="0.2">
      <c r="A1468" s="7"/>
      <c r="B1468" s="1407" t="str">
        <f t="shared" si="22"/>
        <v>Georgios Kolidakis</v>
      </c>
      <c r="C1468" s="1402" t="s">
        <v>6092</v>
      </c>
      <c r="D1468" s="1403" t="s">
        <v>3324</v>
      </c>
      <c r="E1468" s="1404" t="s">
        <v>4510</v>
      </c>
      <c r="F1468" s="1405" t="s">
        <v>5299</v>
      </c>
      <c r="G1468" s="1403" t="s">
        <v>14359</v>
      </c>
      <c r="H1468" s="1406" t="s">
        <v>1025</v>
      </c>
    </row>
    <row r="1469" spans="1:8" x14ac:dyDescent="0.2">
      <c r="A1469" s="7"/>
      <c r="B1469" s="1407" t="str">
        <f t="shared" si="22"/>
        <v>Panagiotis Michalatos</v>
      </c>
      <c r="C1469" s="1402" t="s">
        <v>8039</v>
      </c>
      <c r="D1469" s="1403" t="s">
        <v>3249</v>
      </c>
      <c r="E1469" s="1404" t="s">
        <v>4511</v>
      </c>
      <c r="F1469" s="1405" t="s">
        <v>5300</v>
      </c>
      <c r="G1469" s="1403" t="s">
        <v>14359</v>
      </c>
      <c r="H1469" s="1406" t="s">
        <v>1025</v>
      </c>
    </row>
    <row r="1470" spans="1:8" x14ac:dyDescent="0.2">
      <c r="A1470" s="7"/>
      <c r="B1470" s="1407" t="str">
        <f t="shared" si="22"/>
        <v>Panagiotis Argirakoulis</v>
      </c>
      <c r="C1470" s="1402" t="s">
        <v>8040</v>
      </c>
      <c r="D1470" s="1403" t="s">
        <v>3249</v>
      </c>
      <c r="E1470" s="1404" t="s">
        <v>4512</v>
      </c>
      <c r="F1470" s="1405" t="s">
        <v>5300</v>
      </c>
      <c r="G1470" s="1403" t="s">
        <v>14359</v>
      </c>
      <c r="H1470" s="1406" t="s">
        <v>1025</v>
      </c>
    </row>
    <row r="1471" spans="1:8" x14ac:dyDescent="0.2">
      <c r="A1471" s="7"/>
      <c r="B1471" s="1407" t="str">
        <f t="shared" si="22"/>
        <v>Manos Vernadakis</v>
      </c>
      <c r="C1471" s="1402" t="s">
        <v>6094</v>
      </c>
      <c r="D1471" s="1403" t="s">
        <v>3691</v>
      </c>
      <c r="E1471" s="1404" t="s">
        <v>4513</v>
      </c>
      <c r="F1471" s="1405" t="s">
        <v>5299</v>
      </c>
      <c r="G1471" s="1403" t="s">
        <v>14359</v>
      </c>
      <c r="H1471" s="1406" t="s">
        <v>1025</v>
      </c>
    </row>
    <row r="1472" spans="1:8" x14ac:dyDescent="0.2">
      <c r="A1472" s="7"/>
      <c r="B1472" s="1407" t="str">
        <f t="shared" si="22"/>
        <v>Spiros Pensas</v>
      </c>
      <c r="C1472" s="1402" t="s">
        <v>6095</v>
      </c>
      <c r="D1472" s="1403" t="s">
        <v>6979</v>
      </c>
      <c r="E1472" s="1404" t="s">
        <v>4514</v>
      </c>
      <c r="F1472" s="1405" t="s">
        <v>5300</v>
      </c>
      <c r="G1472" s="1403" t="s">
        <v>14359</v>
      </c>
      <c r="H1472" s="1406" t="s">
        <v>1025</v>
      </c>
    </row>
    <row r="1473" spans="1:8" x14ac:dyDescent="0.2">
      <c r="A1473" s="7"/>
      <c r="B1473" s="1407" t="str">
        <f t="shared" si="22"/>
        <v>Dimitrios Vrettakos</v>
      </c>
      <c r="C1473" s="1402" t="s">
        <v>6096</v>
      </c>
      <c r="D1473" s="1403" t="s">
        <v>5644</v>
      </c>
      <c r="E1473" s="1404" t="s">
        <v>4515</v>
      </c>
      <c r="F1473" s="1405" t="s">
        <v>5300</v>
      </c>
      <c r="G1473" s="1403" t="s">
        <v>14359</v>
      </c>
      <c r="H1473" s="1406" t="s">
        <v>1025</v>
      </c>
    </row>
    <row r="1474" spans="1:8" x14ac:dyDescent="0.2">
      <c r="A1474" s="7"/>
      <c r="B1474" s="1407" t="str">
        <f t="shared" si="22"/>
        <v>Nikolaos Tsoukanaras</v>
      </c>
      <c r="C1474" s="1402" t="s">
        <v>6097</v>
      </c>
      <c r="D1474" s="1403" t="s">
        <v>5554</v>
      </c>
      <c r="E1474" s="1404" t="s">
        <v>4516</v>
      </c>
      <c r="F1474" s="1405" t="s">
        <v>5299</v>
      </c>
      <c r="G1474" s="1403" t="s">
        <v>14359</v>
      </c>
      <c r="H1474" s="1406" t="s">
        <v>1025</v>
      </c>
    </row>
    <row r="1475" spans="1:8" x14ac:dyDescent="0.2">
      <c r="A1475" s="7"/>
      <c r="B1475" s="1407" t="str">
        <f t="shared" si="22"/>
        <v>Kostas Fitos</v>
      </c>
      <c r="C1475" s="1402" t="s">
        <v>6098</v>
      </c>
      <c r="D1475" s="1403" t="s">
        <v>3073</v>
      </c>
      <c r="E1475" s="1404" t="s">
        <v>4517</v>
      </c>
      <c r="F1475" s="1405" t="s">
        <v>5299</v>
      </c>
      <c r="G1475" s="1403" t="s">
        <v>14596</v>
      </c>
      <c r="H1475" s="1406" t="s">
        <v>1025</v>
      </c>
    </row>
    <row r="1476" spans="1:8" x14ac:dyDescent="0.2">
      <c r="A1476" s="7"/>
      <c r="B1476" s="1407" t="str">
        <f t="shared" si="22"/>
        <v>Charalambos Charalampidis</v>
      </c>
      <c r="C1476" s="1402" t="s">
        <v>6099</v>
      </c>
      <c r="D1476" s="1403" t="s">
        <v>3493</v>
      </c>
      <c r="E1476" s="1404" t="s">
        <v>4518</v>
      </c>
      <c r="F1476" s="1405" t="s">
        <v>5299</v>
      </c>
      <c r="G1476" s="1403" t="s">
        <v>14359</v>
      </c>
      <c r="H1476" s="1406" t="s">
        <v>1025</v>
      </c>
    </row>
    <row r="1477" spans="1:8" x14ac:dyDescent="0.2">
      <c r="A1477" s="7"/>
      <c r="B1477" s="1407" t="str">
        <f t="shared" si="22"/>
        <v>Christos Pouris</v>
      </c>
      <c r="C1477" s="1402" t="s">
        <v>6100</v>
      </c>
      <c r="D1477" s="1403" t="s">
        <v>3135</v>
      </c>
      <c r="E1477" s="1404" t="s">
        <v>4519</v>
      </c>
      <c r="F1477" s="1405" t="s">
        <v>5300</v>
      </c>
      <c r="G1477" s="1403" t="s">
        <v>14359</v>
      </c>
      <c r="H1477" s="1406" t="s">
        <v>1025</v>
      </c>
    </row>
    <row r="1478" spans="1:8" x14ac:dyDescent="0.2">
      <c r="A1478" s="7"/>
      <c r="B1478" s="1407" t="str">
        <f t="shared" si="22"/>
        <v>Gerasimos Ioannou</v>
      </c>
      <c r="C1478" s="1402" t="s">
        <v>5869</v>
      </c>
      <c r="D1478" s="1403" t="s">
        <v>6964</v>
      </c>
      <c r="E1478" s="1404" t="s">
        <v>4520</v>
      </c>
      <c r="F1478" s="1405" t="s">
        <v>5299</v>
      </c>
      <c r="G1478" s="1403" t="s">
        <v>14359</v>
      </c>
      <c r="H1478" s="1406" t="s">
        <v>1025</v>
      </c>
    </row>
    <row r="1479" spans="1:8" x14ac:dyDescent="0.2">
      <c r="A1479" s="7"/>
      <c r="B1479" s="1407" t="str">
        <f t="shared" ref="B1479:B1542" si="23">TRIM(CONCATENATE(D1479," ",C1479))</f>
        <v>Pavlos Caseley</v>
      </c>
      <c r="C1479" s="1402" t="s">
        <v>6101</v>
      </c>
      <c r="D1479" s="1403" t="s">
        <v>5654</v>
      </c>
      <c r="E1479" s="1404" t="s">
        <v>4521</v>
      </c>
      <c r="F1479" s="1405" t="s">
        <v>5300</v>
      </c>
      <c r="G1479" s="1403" t="s">
        <v>14359</v>
      </c>
      <c r="H1479" s="1406" t="s">
        <v>1025</v>
      </c>
    </row>
    <row r="1480" spans="1:8" x14ac:dyDescent="0.2">
      <c r="A1480" s="7"/>
      <c r="B1480" s="1407" t="str">
        <f t="shared" si="23"/>
        <v>Nasos Drossopoulos</v>
      </c>
      <c r="C1480" s="1402" t="s">
        <v>6102</v>
      </c>
      <c r="D1480" s="1403" t="s">
        <v>6965</v>
      </c>
      <c r="E1480" s="1404" t="s">
        <v>4522</v>
      </c>
      <c r="F1480" s="1405" t="s">
        <v>5300</v>
      </c>
      <c r="G1480" s="1403" t="s">
        <v>14359</v>
      </c>
      <c r="H1480" s="1406" t="s">
        <v>1025</v>
      </c>
    </row>
    <row r="1481" spans="1:8" x14ac:dyDescent="0.2">
      <c r="A1481" s="7"/>
      <c r="B1481" s="1407" t="str">
        <f t="shared" si="23"/>
        <v>Nikolaos Arvanitis</v>
      </c>
      <c r="C1481" s="1402" t="s">
        <v>6103</v>
      </c>
      <c r="D1481" s="1403" t="s">
        <v>5554</v>
      </c>
      <c r="E1481" s="1404" t="s">
        <v>4523</v>
      </c>
      <c r="F1481" s="1405" t="s">
        <v>5299</v>
      </c>
      <c r="G1481" s="1403" t="s">
        <v>14359</v>
      </c>
      <c r="H1481" s="1406" t="s">
        <v>1025</v>
      </c>
    </row>
    <row r="1482" spans="1:8" x14ac:dyDescent="0.2">
      <c r="A1482" s="7"/>
      <c r="B1482" s="1407" t="str">
        <f t="shared" si="23"/>
        <v>Serafeim Koulosousas</v>
      </c>
      <c r="C1482" s="1402" t="s">
        <v>6104</v>
      </c>
      <c r="D1482" s="1403" t="s">
        <v>8246</v>
      </c>
      <c r="E1482" s="1404" t="s">
        <v>4524</v>
      </c>
      <c r="F1482" s="1405" t="s">
        <v>5300</v>
      </c>
      <c r="G1482" s="1403" t="s">
        <v>10263</v>
      </c>
      <c r="H1482" s="1406" t="s">
        <v>1025</v>
      </c>
    </row>
    <row r="1483" spans="1:8" x14ac:dyDescent="0.2">
      <c r="A1483" s="7"/>
      <c r="B1483" s="1407" t="str">
        <f t="shared" si="23"/>
        <v>Georgios Sklavounos</v>
      </c>
      <c r="C1483" s="1402" t="s">
        <v>6083</v>
      </c>
      <c r="D1483" s="1403" t="s">
        <v>3324</v>
      </c>
      <c r="E1483" s="1404" t="s">
        <v>4525</v>
      </c>
      <c r="F1483" s="1405" t="s">
        <v>5300</v>
      </c>
      <c r="G1483" s="1403" t="s">
        <v>14596</v>
      </c>
      <c r="H1483" s="1406" t="s">
        <v>1025</v>
      </c>
    </row>
    <row r="1484" spans="1:8" x14ac:dyDescent="0.2">
      <c r="A1484" s="7"/>
      <c r="B1484" s="1407" t="str">
        <f t="shared" si="23"/>
        <v>Athanasios Giaglis</v>
      </c>
      <c r="C1484" s="1402" t="s">
        <v>6105</v>
      </c>
      <c r="D1484" s="1403" t="s">
        <v>3472</v>
      </c>
      <c r="E1484" s="1404" t="s">
        <v>4526</v>
      </c>
      <c r="F1484" s="1405" t="s">
        <v>5299</v>
      </c>
      <c r="G1484" s="1403" t="s">
        <v>14359</v>
      </c>
      <c r="H1484" s="1406" t="s">
        <v>1025</v>
      </c>
    </row>
    <row r="1485" spans="1:8" x14ac:dyDescent="0.2">
      <c r="A1485" s="7"/>
      <c r="B1485" s="1407" t="str">
        <f t="shared" si="23"/>
        <v>Damianos Polichronidis Polichroniadis</v>
      </c>
      <c r="C1485" s="1402" t="s">
        <v>8041</v>
      </c>
      <c r="D1485" s="1403" t="s">
        <v>3248</v>
      </c>
      <c r="E1485" s="1404" t="s">
        <v>4527</v>
      </c>
      <c r="F1485" s="1405" t="s">
        <v>5299</v>
      </c>
      <c r="G1485" s="1403" t="s">
        <v>14359</v>
      </c>
      <c r="H1485" s="1406" t="s">
        <v>1025</v>
      </c>
    </row>
    <row r="1486" spans="1:8" x14ac:dyDescent="0.2">
      <c r="A1486" s="7"/>
      <c r="B1486" s="1407" t="str">
        <f t="shared" si="23"/>
        <v>Pavlos Tsimpoukas</v>
      </c>
      <c r="C1486" s="1402" t="s">
        <v>6106</v>
      </c>
      <c r="D1486" s="1403" t="s">
        <v>5654</v>
      </c>
      <c r="E1486" s="1404" t="s">
        <v>4528</v>
      </c>
      <c r="F1486" s="1405" t="s">
        <v>5299</v>
      </c>
      <c r="G1486" s="1403" t="s">
        <v>14359</v>
      </c>
      <c r="H1486" s="1406" t="s">
        <v>1025</v>
      </c>
    </row>
    <row r="1487" spans="1:8" x14ac:dyDescent="0.2">
      <c r="A1487" s="7"/>
      <c r="B1487" s="1407" t="str">
        <f t="shared" si="23"/>
        <v>Stavros Argyropoulos</v>
      </c>
      <c r="C1487" s="1402" t="s">
        <v>6107</v>
      </c>
      <c r="D1487" s="1403" t="s">
        <v>3336</v>
      </c>
      <c r="E1487" s="1404" t="s">
        <v>4529</v>
      </c>
      <c r="F1487" s="1405" t="s">
        <v>5300</v>
      </c>
      <c r="G1487" s="1403" t="s">
        <v>14359</v>
      </c>
      <c r="H1487" s="1406" t="s">
        <v>1025</v>
      </c>
    </row>
    <row r="1488" spans="1:8" x14ac:dyDescent="0.2">
      <c r="A1488" s="7"/>
      <c r="B1488" s="1407" t="str">
        <f t="shared" si="23"/>
        <v>Vasileios Manoloulis</v>
      </c>
      <c r="C1488" s="1402" t="s">
        <v>6108</v>
      </c>
      <c r="D1488" s="1403" t="s">
        <v>5548</v>
      </c>
      <c r="E1488" s="1404" t="s">
        <v>4530</v>
      </c>
      <c r="F1488" s="1405" t="s">
        <v>5300</v>
      </c>
      <c r="G1488" s="1403" t="s">
        <v>2760</v>
      </c>
      <c r="H1488" s="1406" t="s">
        <v>1025</v>
      </c>
    </row>
    <row r="1489" spans="1:8" x14ac:dyDescent="0.2">
      <c r="A1489" s="7"/>
      <c r="B1489" s="1407" t="str">
        <f t="shared" si="23"/>
        <v>Apostolis Metzidakis</v>
      </c>
      <c r="C1489" s="1402" t="s">
        <v>6109</v>
      </c>
      <c r="D1489" s="1403" t="s">
        <v>6966</v>
      </c>
      <c r="E1489" s="1404" t="s">
        <v>4531</v>
      </c>
      <c r="F1489" s="1405" t="s">
        <v>5299</v>
      </c>
      <c r="G1489" s="1403" t="s">
        <v>14359</v>
      </c>
      <c r="H1489" s="1406" t="s">
        <v>1025</v>
      </c>
    </row>
    <row r="1490" spans="1:8" x14ac:dyDescent="0.2">
      <c r="A1490" s="7"/>
      <c r="B1490" s="1407" t="str">
        <f t="shared" si="23"/>
        <v>Athanasios Bartzis</v>
      </c>
      <c r="C1490" s="1402" t="s">
        <v>6110</v>
      </c>
      <c r="D1490" s="1403" t="s">
        <v>3472</v>
      </c>
      <c r="E1490" s="1404" t="s">
        <v>4532</v>
      </c>
      <c r="F1490" s="1405" t="s">
        <v>5299</v>
      </c>
      <c r="G1490" s="1403" t="s">
        <v>9449</v>
      </c>
      <c r="H1490" s="1406" t="s">
        <v>1025</v>
      </c>
    </row>
    <row r="1491" spans="1:8" x14ac:dyDescent="0.2">
      <c r="A1491" s="7"/>
      <c r="B1491" s="1407" t="str">
        <f t="shared" si="23"/>
        <v>Georgios Bizas</v>
      </c>
      <c r="C1491" s="1402" t="s">
        <v>6111</v>
      </c>
      <c r="D1491" s="1403" t="s">
        <v>3324</v>
      </c>
      <c r="E1491" s="1404" t="s">
        <v>4533</v>
      </c>
      <c r="F1491" s="1405" t="s">
        <v>5299</v>
      </c>
      <c r="G1491" s="1403" t="s">
        <v>10263</v>
      </c>
      <c r="H1491" s="1406" t="s">
        <v>1025</v>
      </c>
    </row>
    <row r="1492" spans="1:8" x14ac:dyDescent="0.2">
      <c r="A1492" s="7"/>
      <c r="B1492" s="1407" t="str">
        <f t="shared" si="23"/>
        <v>Charalampos Chaitas</v>
      </c>
      <c r="C1492" s="1402" t="s">
        <v>6112</v>
      </c>
      <c r="D1492" s="1403" t="s">
        <v>8247</v>
      </c>
      <c r="E1492" s="1404" t="s">
        <v>4534</v>
      </c>
      <c r="F1492" s="1405" t="s">
        <v>5300</v>
      </c>
      <c r="G1492" s="1403" t="s">
        <v>14359</v>
      </c>
      <c r="H1492" s="1406" t="s">
        <v>1025</v>
      </c>
    </row>
    <row r="1493" spans="1:8" x14ac:dyDescent="0.2">
      <c r="A1493" s="7"/>
      <c r="B1493" s="1407" t="str">
        <f t="shared" si="23"/>
        <v>Michail Filippousis</v>
      </c>
      <c r="C1493" s="1402" t="s">
        <v>6113</v>
      </c>
      <c r="D1493" s="1403" t="s">
        <v>8248</v>
      </c>
      <c r="E1493" s="1404" t="s">
        <v>4535</v>
      </c>
      <c r="F1493" s="1405" t="s">
        <v>5299</v>
      </c>
      <c r="G1493" s="1403" t="s">
        <v>14359</v>
      </c>
      <c r="H1493" s="1406" t="s">
        <v>1025</v>
      </c>
    </row>
    <row r="1494" spans="1:8" x14ac:dyDescent="0.2">
      <c r="A1494" s="7"/>
      <c r="B1494" s="1407" t="str">
        <f t="shared" si="23"/>
        <v>Emanouil Fousteris</v>
      </c>
      <c r="C1494" s="1402" t="s">
        <v>6114</v>
      </c>
      <c r="D1494" s="1403" t="s">
        <v>8249</v>
      </c>
      <c r="E1494" s="1404" t="s">
        <v>4536</v>
      </c>
      <c r="F1494" s="1405" t="s">
        <v>5300</v>
      </c>
      <c r="G1494" s="1403" t="s">
        <v>14359</v>
      </c>
      <c r="H1494" s="1406" t="s">
        <v>1025</v>
      </c>
    </row>
    <row r="1495" spans="1:8" x14ac:dyDescent="0.2">
      <c r="A1495" s="7"/>
      <c r="B1495" s="1407" t="str">
        <f t="shared" si="23"/>
        <v>Giannis Gouvelis</v>
      </c>
      <c r="C1495" s="1402" t="s">
        <v>6115</v>
      </c>
      <c r="D1495" s="1403" t="s">
        <v>3083</v>
      </c>
      <c r="E1495" s="1404" t="s">
        <v>4537</v>
      </c>
      <c r="F1495" s="1405" t="s">
        <v>5299</v>
      </c>
      <c r="G1495" s="1403" t="s">
        <v>14359</v>
      </c>
      <c r="H1495" s="1406" t="s">
        <v>1025</v>
      </c>
    </row>
    <row r="1496" spans="1:8" x14ac:dyDescent="0.2">
      <c r="A1496" s="7"/>
      <c r="B1496" s="1407" t="str">
        <f t="shared" si="23"/>
        <v>Ioannis D. Mavroeidakos</v>
      </c>
      <c r="C1496" s="1402" t="s">
        <v>6116</v>
      </c>
      <c r="D1496" s="1403" t="s">
        <v>8250</v>
      </c>
      <c r="E1496" s="1404" t="s">
        <v>4538</v>
      </c>
      <c r="F1496" s="1405" t="s">
        <v>5299</v>
      </c>
      <c r="G1496" s="1403" t="s">
        <v>14359</v>
      </c>
      <c r="H1496" s="1406" t="s">
        <v>1025</v>
      </c>
    </row>
    <row r="1497" spans="1:8" x14ac:dyDescent="0.2">
      <c r="A1497" s="7"/>
      <c r="B1497" s="1407" t="str">
        <f t="shared" si="23"/>
        <v>Apostolos Kokkalis</v>
      </c>
      <c r="C1497" s="1402" t="s">
        <v>8042</v>
      </c>
      <c r="D1497" s="1403" t="s">
        <v>6968</v>
      </c>
      <c r="E1497" s="1404" t="s">
        <v>8387</v>
      </c>
      <c r="F1497" s="1405" t="s">
        <v>5300</v>
      </c>
      <c r="G1497" s="1403" t="s">
        <v>14359</v>
      </c>
      <c r="H1497" s="1406" t="s">
        <v>1025</v>
      </c>
    </row>
    <row r="1498" spans="1:8" x14ac:dyDescent="0.2">
      <c r="A1498" s="7"/>
      <c r="B1498" s="1407" t="str">
        <f t="shared" si="23"/>
        <v>Serafeim Kontos</v>
      </c>
      <c r="C1498" s="1402" t="s">
        <v>6117</v>
      </c>
      <c r="D1498" s="1403" t="s">
        <v>8246</v>
      </c>
      <c r="E1498" s="1404" t="s">
        <v>4539</v>
      </c>
      <c r="F1498" s="1405" t="s">
        <v>5300</v>
      </c>
      <c r="G1498" s="1403" t="s">
        <v>2893</v>
      </c>
      <c r="H1498" s="1406" t="s">
        <v>1025</v>
      </c>
    </row>
    <row r="1499" spans="1:8" x14ac:dyDescent="0.2">
      <c r="A1499" s="7"/>
      <c r="B1499" s="1407" t="str">
        <f t="shared" si="23"/>
        <v>Konstantinos Kouvelas</v>
      </c>
      <c r="C1499" s="1402" t="s">
        <v>6118</v>
      </c>
      <c r="D1499" s="1403" t="s">
        <v>6986</v>
      </c>
      <c r="E1499" s="1404" t="s">
        <v>4540</v>
      </c>
      <c r="F1499" s="1405" t="s">
        <v>5299</v>
      </c>
      <c r="G1499" s="1403" t="s">
        <v>14359</v>
      </c>
      <c r="H1499" s="1406" t="s">
        <v>1025</v>
      </c>
    </row>
    <row r="1500" spans="1:8" x14ac:dyDescent="0.2">
      <c r="A1500" s="7"/>
      <c r="B1500" s="1407" t="str">
        <f t="shared" si="23"/>
        <v>Manousos Makrydakis</v>
      </c>
      <c r="C1500" s="1402" t="s">
        <v>7373</v>
      </c>
      <c r="D1500" s="1403" t="s">
        <v>8251</v>
      </c>
      <c r="E1500" s="1404" t="s">
        <v>4541</v>
      </c>
      <c r="F1500" s="1405" t="s">
        <v>5299</v>
      </c>
      <c r="G1500" s="1403" t="s">
        <v>14359</v>
      </c>
      <c r="H1500" s="1406" t="s">
        <v>1025</v>
      </c>
    </row>
    <row r="1501" spans="1:8" x14ac:dyDescent="0.2">
      <c r="A1501" s="7"/>
      <c r="B1501" s="1407" t="str">
        <f t="shared" si="23"/>
        <v>Ioannis H. Mavroeidakos</v>
      </c>
      <c r="C1501" s="1402" t="s">
        <v>6116</v>
      </c>
      <c r="D1501" s="1403" t="s">
        <v>8252</v>
      </c>
      <c r="E1501" s="1404" t="s">
        <v>4542</v>
      </c>
      <c r="F1501" s="1405" t="s">
        <v>5299</v>
      </c>
      <c r="G1501" s="1403" t="s">
        <v>14359</v>
      </c>
      <c r="H1501" s="1406" t="s">
        <v>1025</v>
      </c>
    </row>
    <row r="1502" spans="1:8" x14ac:dyDescent="0.2">
      <c r="A1502" s="7"/>
      <c r="B1502" s="1407" t="str">
        <f t="shared" si="23"/>
        <v>Panagiotis Ioakimidis</v>
      </c>
      <c r="C1502" s="1402" t="s">
        <v>8043</v>
      </c>
      <c r="D1502" s="1403" t="s">
        <v>3249</v>
      </c>
      <c r="E1502" s="1404" t="s">
        <v>8388</v>
      </c>
      <c r="F1502" s="1405" t="s">
        <v>5299</v>
      </c>
      <c r="G1502" s="1403" t="s">
        <v>14359</v>
      </c>
      <c r="H1502" s="1406" t="s">
        <v>1025</v>
      </c>
    </row>
    <row r="1503" spans="1:8" x14ac:dyDescent="0.2">
      <c r="A1503" s="7"/>
      <c r="B1503" s="1407" t="str">
        <f t="shared" si="23"/>
        <v>Spyridon Mavroeidakos</v>
      </c>
      <c r="C1503" s="1402" t="s">
        <v>6116</v>
      </c>
      <c r="D1503" s="1403" t="s">
        <v>7806</v>
      </c>
      <c r="E1503" s="1404" t="s">
        <v>4543</v>
      </c>
      <c r="F1503" s="1405" t="s">
        <v>5299</v>
      </c>
      <c r="G1503" s="1403" t="s">
        <v>14359</v>
      </c>
      <c r="H1503" s="1406" t="s">
        <v>1025</v>
      </c>
    </row>
    <row r="1504" spans="1:8" x14ac:dyDescent="0.2">
      <c r="A1504" s="7"/>
      <c r="B1504" s="1407" t="str">
        <f t="shared" si="23"/>
        <v>Ioannis Metaxas</v>
      </c>
      <c r="C1504" s="1402" t="s">
        <v>6119</v>
      </c>
      <c r="D1504" s="1403" t="s">
        <v>3350</v>
      </c>
      <c r="E1504" s="1404" t="s">
        <v>4544</v>
      </c>
      <c r="F1504" s="1405" t="s">
        <v>5300</v>
      </c>
      <c r="G1504" s="1403" t="s">
        <v>14359</v>
      </c>
      <c r="H1504" s="1406" t="s">
        <v>1025</v>
      </c>
    </row>
    <row r="1505" spans="1:8" x14ac:dyDescent="0.2">
      <c r="A1505" s="7"/>
      <c r="B1505" s="1407" t="str">
        <f t="shared" si="23"/>
        <v>Konstantinos Moros</v>
      </c>
      <c r="C1505" s="1402" t="s">
        <v>6120</v>
      </c>
      <c r="D1505" s="1403" t="s">
        <v>6986</v>
      </c>
      <c r="E1505" s="1404" t="s">
        <v>4545</v>
      </c>
      <c r="F1505" s="1405" t="s">
        <v>5299</v>
      </c>
      <c r="G1505" s="1403" t="s">
        <v>14359</v>
      </c>
      <c r="H1505" s="1406" t="s">
        <v>1025</v>
      </c>
    </row>
    <row r="1506" spans="1:8" x14ac:dyDescent="0.2">
      <c r="A1506" s="7"/>
      <c r="B1506" s="1407" t="str">
        <f t="shared" si="23"/>
        <v>Dimitris Garefalakis</v>
      </c>
      <c r="C1506" s="1402" t="s">
        <v>6121</v>
      </c>
      <c r="D1506" s="1403" t="s">
        <v>3099</v>
      </c>
      <c r="E1506" s="1404" t="s">
        <v>4546</v>
      </c>
      <c r="F1506" s="1405" t="s">
        <v>5300</v>
      </c>
      <c r="G1506" s="1403" t="s">
        <v>14359</v>
      </c>
      <c r="H1506" s="1406" t="s">
        <v>1025</v>
      </c>
    </row>
    <row r="1507" spans="1:8" x14ac:dyDescent="0.2">
      <c r="A1507" s="7"/>
      <c r="B1507" s="1407" t="str">
        <f t="shared" si="23"/>
        <v>Giannis Nikolopoulos</v>
      </c>
      <c r="C1507" s="1402" t="s">
        <v>8044</v>
      </c>
      <c r="D1507" s="1403" t="s">
        <v>3083</v>
      </c>
      <c r="E1507" s="1404" t="s">
        <v>8389</v>
      </c>
      <c r="F1507" s="1405" t="s">
        <v>5299</v>
      </c>
      <c r="G1507" s="1403" t="s">
        <v>14359</v>
      </c>
      <c r="H1507" s="1406" t="s">
        <v>1025</v>
      </c>
    </row>
    <row r="1508" spans="1:8" x14ac:dyDescent="0.2">
      <c r="A1508" s="7"/>
      <c r="B1508" s="1407" t="str">
        <f t="shared" si="23"/>
        <v>Andreas Nteros</v>
      </c>
      <c r="C1508" s="1402" t="s">
        <v>6122</v>
      </c>
      <c r="D1508" s="1403" t="s">
        <v>3351</v>
      </c>
      <c r="E1508" s="1404" t="s">
        <v>4547</v>
      </c>
      <c r="F1508" s="1405" t="s">
        <v>5299</v>
      </c>
      <c r="G1508" s="1403" t="s">
        <v>2760</v>
      </c>
      <c r="H1508" s="1406" t="s">
        <v>1025</v>
      </c>
    </row>
    <row r="1509" spans="1:8" x14ac:dyDescent="0.2">
      <c r="A1509" s="7"/>
      <c r="B1509" s="1407" t="str">
        <f t="shared" si="23"/>
        <v>Konstantinos Papadakis</v>
      </c>
      <c r="C1509" s="1402" t="s">
        <v>6123</v>
      </c>
      <c r="D1509" s="1403" t="s">
        <v>6986</v>
      </c>
      <c r="E1509" s="1404" t="s">
        <v>4548</v>
      </c>
      <c r="F1509" s="1405" t="s">
        <v>5299</v>
      </c>
      <c r="G1509" s="1403" t="s">
        <v>9449</v>
      </c>
      <c r="H1509" s="1406" t="s">
        <v>1025</v>
      </c>
    </row>
    <row r="1510" spans="1:8" x14ac:dyDescent="0.2">
      <c r="A1510" s="7"/>
      <c r="B1510" s="1407" t="str">
        <f t="shared" si="23"/>
        <v>Dimitris Papadoukakis</v>
      </c>
      <c r="C1510" s="1402" t="s">
        <v>6124</v>
      </c>
      <c r="D1510" s="1403" t="s">
        <v>3099</v>
      </c>
      <c r="E1510" s="1404" t="s">
        <v>4549</v>
      </c>
      <c r="F1510" s="1405" t="s">
        <v>5300</v>
      </c>
      <c r="G1510" s="1403" t="s">
        <v>14359</v>
      </c>
      <c r="H1510" s="1406" t="s">
        <v>1025</v>
      </c>
    </row>
    <row r="1511" spans="1:8" x14ac:dyDescent="0.2">
      <c r="A1511" s="7"/>
      <c r="B1511" s="1407" t="str">
        <f t="shared" si="23"/>
        <v>Nikolaos Pappas</v>
      </c>
      <c r="C1511" s="1402" t="s">
        <v>5881</v>
      </c>
      <c r="D1511" s="1403" t="s">
        <v>5554</v>
      </c>
      <c r="E1511" s="1404" t="s">
        <v>4550</v>
      </c>
      <c r="F1511" s="1405" t="s">
        <v>5300</v>
      </c>
      <c r="G1511" s="1403" t="s">
        <v>10246</v>
      </c>
      <c r="H1511" s="1406" t="s">
        <v>1025</v>
      </c>
    </row>
    <row r="1512" spans="1:8" x14ac:dyDescent="0.2">
      <c r="A1512" s="7"/>
      <c r="B1512" s="1407" t="str">
        <f t="shared" si="23"/>
        <v>Georgios Dimakeas</v>
      </c>
      <c r="C1512" s="1402" t="s">
        <v>6125</v>
      </c>
      <c r="D1512" s="1403" t="s">
        <v>3324</v>
      </c>
      <c r="E1512" s="1404" t="s">
        <v>4551</v>
      </c>
      <c r="F1512" s="1405" t="s">
        <v>5300</v>
      </c>
      <c r="G1512" s="1403" t="s">
        <v>3213</v>
      </c>
      <c r="H1512" s="1406" t="s">
        <v>1025</v>
      </c>
    </row>
    <row r="1513" spans="1:8" x14ac:dyDescent="0.2">
      <c r="A1513" s="7"/>
      <c r="B1513" s="1407" t="str">
        <f t="shared" si="23"/>
        <v>Georgios Tsompanidis</v>
      </c>
      <c r="C1513" s="1402" t="s">
        <v>8045</v>
      </c>
      <c r="D1513" s="1403" t="s">
        <v>3324</v>
      </c>
      <c r="E1513" s="1404" t="s">
        <v>4552</v>
      </c>
      <c r="F1513" s="1405" t="s">
        <v>5299</v>
      </c>
      <c r="G1513" s="1403" t="s">
        <v>14359</v>
      </c>
      <c r="H1513" s="1406" t="s">
        <v>1025</v>
      </c>
    </row>
    <row r="1514" spans="1:8" x14ac:dyDescent="0.2">
      <c r="A1514" s="7"/>
      <c r="B1514" s="1407" t="str">
        <f t="shared" si="23"/>
        <v>Dimos Tsompanidis</v>
      </c>
      <c r="C1514" s="1402" t="s">
        <v>8045</v>
      </c>
      <c r="D1514" s="1403" t="s">
        <v>3212</v>
      </c>
      <c r="E1514" s="1404" t="s">
        <v>4553</v>
      </c>
      <c r="F1514" s="1405" t="s">
        <v>5299</v>
      </c>
      <c r="G1514" s="1403" t="s">
        <v>14359</v>
      </c>
      <c r="H1514" s="1406" t="s">
        <v>1025</v>
      </c>
    </row>
    <row r="1515" spans="1:8" x14ac:dyDescent="0.2">
      <c r="A1515" s="7"/>
      <c r="B1515" s="1407" t="str">
        <f t="shared" si="23"/>
        <v>Christos Rikos</v>
      </c>
      <c r="C1515" s="1402" t="s">
        <v>6126</v>
      </c>
      <c r="D1515" s="1403" t="s">
        <v>3135</v>
      </c>
      <c r="E1515" s="1404" t="s">
        <v>4554</v>
      </c>
      <c r="F1515" s="1405" t="s">
        <v>5299</v>
      </c>
      <c r="G1515" s="1403" t="s">
        <v>14359</v>
      </c>
      <c r="H1515" s="1406" t="s">
        <v>1025</v>
      </c>
    </row>
    <row r="1516" spans="1:8" x14ac:dyDescent="0.2">
      <c r="A1516" s="7"/>
      <c r="B1516" s="1407" t="str">
        <f t="shared" si="23"/>
        <v>Christos Archimandritis</v>
      </c>
      <c r="C1516" s="1402" t="s">
        <v>6127</v>
      </c>
      <c r="D1516" s="1403" t="s">
        <v>3135</v>
      </c>
      <c r="E1516" s="1404" t="s">
        <v>4555</v>
      </c>
      <c r="F1516" s="1405" t="s">
        <v>5300</v>
      </c>
      <c r="G1516" s="1403" t="s">
        <v>14359</v>
      </c>
      <c r="H1516" s="1406" t="s">
        <v>1025</v>
      </c>
    </row>
    <row r="1517" spans="1:8" x14ac:dyDescent="0.2">
      <c r="A1517" s="7"/>
      <c r="B1517" s="1407" t="str">
        <f t="shared" si="23"/>
        <v>Georgios Angelinas</v>
      </c>
      <c r="C1517" s="1402" t="s">
        <v>8046</v>
      </c>
      <c r="D1517" s="1403" t="s">
        <v>3324</v>
      </c>
      <c r="E1517" s="1404" t="s">
        <v>4556</v>
      </c>
      <c r="F1517" s="1405" t="s">
        <v>5300</v>
      </c>
      <c r="G1517" s="1403" t="s">
        <v>2758</v>
      </c>
      <c r="H1517" s="1406" t="s">
        <v>1025</v>
      </c>
    </row>
    <row r="1518" spans="1:8" x14ac:dyDescent="0.2">
      <c r="A1518" s="7"/>
      <c r="B1518" s="1407" t="str">
        <f t="shared" si="23"/>
        <v>Periklis Biskinis</v>
      </c>
      <c r="C1518" s="1402" t="s">
        <v>6128</v>
      </c>
      <c r="D1518" s="1403" t="s">
        <v>3167</v>
      </c>
      <c r="E1518" s="1404" t="s">
        <v>4557</v>
      </c>
      <c r="F1518" s="1405" t="s">
        <v>5299</v>
      </c>
      <c r="G1518" s="1403" t="s">
        <v>14359</v>
      </c>
      <c r="H1518" s="1406" t="s">
        <v>1025</v>
      </c>
    </row>
    <row r="1519" spans="1:8" x14ac:dyDescent="0.2">
      <c r="A1519" s="7"/>
      <c r="B1519" s="1407" t="str">
        <f t="shared" si="23"/>
        <v>Georgios Symeon</v>
      </c>
      <c r="C1519" s="1402" t="s">
        <v>6129</v>
      </c>
      <c r="D1519" s="1403" t="s">
        <v>3324</v>
      </c>
      <c r="E1519" s="1404" t="s">
        <v>4558</v>
      </c>
      <c r="F1519" s="1405" t="s">
        <v>5299</v>
      </c>
      <c r="G1519" s="1403" t="s">
        <v>14359</v>
      </c>
      <c r="H1519" s="1406" t="s">
        <v>1025</v>
      </c>
    </row>
    <row r="1520" spans="1:8" x14ac:dyDescent="0.2">
      <c r="A1520" s="7"/>
      <c r="B1520" s="1407" t="str">
        <f t="shared" si="23"/>
        <v>Alexandros Tzelatis</v>
      </c>
      <c r="C1520" s="1402" t="s">
        <v>6130</v>
      </c>
      <c r="D1520" s="1403" t="s">
        <v>3582</v>
      </c>
      <c r="E1520" s="1404" t="s">
        <v>4559</v>
      </c>
      <c r="F1520" s="1405" t="s">
        <v>5299</v>
      </c>
      <c r="G1520" s="1403" t="s">
        <v>14359</v>
      </c>
      <c r="H1520" s="1406" t="s">
        <v>1025</v>
      </c>
    </row>
    <row r="1521" spans="1:8" x14ac:dyDescent="0.2">
      <c r="A1521" s="7"/>
      <c r="B1521" s="1407" t="str">
        <f t="shared" si="23"/>
        <v>Evangelos Pritsis</v>
      </c>
      <c r="C1521" s="1402" t="s">
        <v>6131</v>
      </c>
      <c r="D1521" s="1403" t="s">
        <v>3709</v>
      </c>
      <c r="E1521" s="1404" t="s">
        <v>4560</v>
      </c>
      <c r="F1521" s="1405" t="s">
        <v>5299</v>
      </c>
      <c r="G1521" s="1403" t="s">
        <v>14359</v>
      </c>
      <c r="H1521" s="1406" t="s">
        <v>1025</v>
      </c>
    </row>
    <row r="1522" spans="1:8" x14ac:dyDescent="0.2">
      <c r="A1522" s="7"/>
      <c r="B1522" s="1407" t="str">
        <f t="shared" si="23"/>
        <v>Ioannis Kordantonopoulos</v>
      </c>
      <c r="C1522" s="1402" t="s">
        <v>6132</v>
      </c>
      <c r="D1522" s="1403" t="s">
        <v>3350</v>
      </c>
      <c r="E1522" s="1404" t="s">
        <v>4561</v>
      </c>
      <c r="F1522" s="1405" t="s">
        <v>5299</v>
      </c>
      <c r="G1522" s="1403" t="s">
        <v>9449</v>
      </c>
      <c r="H1522" s="1406" t="s">
        <v>1025</v>
      </c>
    </row>
    <row r="1523" spans="1:8" x14ac:dyDescent="0.2">
      <c r="A1523" s="7"/>
      <c r="B1523" s="1407" t="str">
        <f t="shared" si="23"/>
        <v>Athanasios Kordantonopoulos</v>
      </c>
      <c r="C1523" s="1402" t="s">
        <v>6132</v>
      </c>
      <c r="D1523" s="1403" t="s">
        <v>3472</v>
      </c>
      <c r="E1523" s="1404" t="s">
        <v>4562</v>
      </c>
      <c r="F1523" s="1405" t="s">
        <v>5299</v>
      </c>
      <c r="G1523" s="1403" t="s">
        <v>3213</v>
      </c>
      <c r="H1523" s="1406" t="s">
        <v>1025</v>
      </c>
    </row>
    <row r="1524" spans="1:8" x14ac:dyDescent="0.2">
      <c r="A1524" s="7"/>
      <c r="B1524" s="1407" t="str">
        <f t="shared" si="23"/>
        <v>Anastasios Priftis</v>
      </c>
      <c r="C1524" s="1402" t="s">
        <v>6133</v>
      </c>
      <c r="D1524" s="1403" t="s">
        <v>3611</v>
      </c>
      <c r="E1524" s="1404" t="s">
        <v>4563</v>
      </c>
      <c r="F1524" s="1405" t="s">
        <v>5300</v>
      </c>
      <c r="G1524" s="1403" t="s">
        <v>3213</v>
      </c>
      <c r="H1524" s="1406" t="s">
        <v>1025</v>
      </c>
    </row>
    <row r="1525" spans="1:8" x14ac:dyDescent="0.2">
      <c r="A1525" s="7"/>
      <c r="B1525" s="1407" t="str">
        <f t="shared" si="23"/>
        <v>Christos Asimakopoulos</v>
      </c>
      <c r="C1525" s="1402" t="s">
        <v>6134</v>
      </c>
      <c r="D1525" s="1403" t="s">
        <v>3135</v>
      </c>
      <c r="E1525" s="1404" t="s">
        <v>4564</v>
      </c>
      <c r="F1525" s="1405" t="s">
        <v>5300</v>
      </c>
      <c r="G1525" s="1403" t="s">
        <v>14359</v>
      </c>
      <c r="H1525" s="1406" t="s">
        <v>1025</v>
      </c>
    </row>
    <row r="1526" spans="1:8" x14ac:dyDescent="0.2">
      <c r="A1526" s="7"/>
      <c r="B1526" s="1407" t="str">
        <f t="shared" si="23"/>
        <v>Christos Petropoulos</v>
      </c>
      <c r="C1526" s="1402" t="s">
        <v>6135</v>
      </c>
      <c r="D1526" s="1403" t="s">
        <v>3135</v>
      </c>
      <c r="E1526" s="1404" t="s">
        <v>4565</v>
      </c>
      <c r="F1526" s="1405" t="s">
        <v>5299</v>
      </c>
      <c r="G1526" s="1403" t="s">
        <v>14359</v>
      </c>
      <c r="H1526" s="1406" t="s">
        <v>1025</v>
      </c>
    </row>
    <row r="1527" spans="1:8" x14ac:dyDescent="0.2">
      <c r="A1527" s="7"/>
      <c r="B1527" s="1407" t="str">
        <f t="shared" si="23"/>
        <v>Georgios Papanikolaou</v>
      </c>
      <c r="C1527" s="1402" t="s">
        <v>6136</v>
      </c>
      <c r="D1527" s="1403" t="s">
        <v>3324</v>
      </c>
      <c r="E1527" s="1404" t="s">
        <v>4566</v>
      </c>
      <c r="F1527" s="1405" t="s">
        <v>5300</v>
      </c>
      <c r="G1527" s="1403" t="s">
        <v>14359</v>
      </c>
      <c r="H1527" s="1406" t="s">
        <v>1025</v>
      </c>
    </row>
    <row r="1528" spans="1:8" x14ac:dyDescent="0.2">
      <c r="A1528" s="7"/>
      <c r="B1528" s="1407" t="str">
        <f t="shared" si="23"/>
        <v>Nikoletta Arvanitaki</v>
      </c>
      <c r="C1528" s="1402" t="s">
        <v>6137</v>
      </c>
      <c r="D1528" s="1403" t="s">
        <v>6967</v>
      </c>
      <c r="E1528" s="1404" t="s">
        <v>4567</v>
      </c>
      <c r="F1528" s="1405" t="s">
        <v>5299</v>
      </c>
      <c r="G1528" s="1403" t="s">
        <v>3213</v>
      </c>
      <c r="H1528" s="1406" t="s">
        <v>1025</v>
      </c>
    </row>
    <row r="1529" spans="1:8" x14ac:dyDescent="0.2">
      <c r="A1529" s="7"/>
      <c r="B1529" s="1407" t="str">
        <f t="shared" si="23"/>
        <v>Anastasia Stamatopoulou</v>
      </c>
      <c r="C1529" s="1402" t="s">
        <v>8047</v>
      </c>
      <c r="D1529" s="1403" t="s">
        <v>8253</v>
      </c>
      <c r="E1529" s="1404" t="s">
        <v>8390</v>
      </c>
      <c r="F1529" s="1405" t="s">
        <v>5299</v>
      </c>
      <c r="G1529" s="1403" t="s">
        <v>14359</v>
      </c>
      <c r="H1529" s="1406" t="s">
        <v>1025</v>
      </c>
    </row>
    <row r="1530" spans="1:8" x14ac:dyDescent="0.2">
      <c r="A1530" s="7"/>
      <c r="B1530" s="1407" t="str">
        <f t="shared" si="23"/>
        <v>Penny Liaromati</v>
      </c>
      <c r="C1530" s="1402" t="s">
        <v>8048</v>
      </c>
      <c r="D1530" s="1403" t="s">
        <v>8254</v>
      </c>
      <c r="E1530" s="1404" t="s">
        <v>8391</v>
      </c>
      <c r="F1530" s="1405" t="s">
        <v>5299</v>
      </c>
      <c r="G1530" s="1403" t="s">
        <v>14359</v>
      </c>
      <c r="H1530" s="1406" t="s">
        <v>1025</v>
      </c>
    </row>
    <row r="1531" spans="1:8" x14ac:dyDescent="0.2">
      <c r="A1531" s="7"/>
      <c r="B1531" s="1407" t="str">
        <f t="shared" si="23"/>
        <v>Violetta Xyki</v>
      </c>
      <c r="C1531" s="1402" t="s">
        <v>8049</v>
      </c>
      <c r="D1531" s="1403" t="s">
        <v>8255</v>
      </c>
      <c r="E1531" s="1404" t="s">
        <v>8392</v>
      </c>
      <c r="F1531" s="1405" t="s">
        <v>5299</v>
      </c>
      <c r="G1531" s="1403" t="s">
        <v>14359</v>
      </c>
      <c r="H1531" s="1406" t="s">
        <v>1025</v>
      </c>
    </row>
    <row r="1532" spans="1:8" x14ac:dyDescent="0.2">
      <c r="A1532" s="7"/>
      <c r="B1532" s="1407" t="str">
        <f t="shared" si="23"/>
        <v>Antonios Theologos</v>
      </c>
      <c r="C1532" s="1402" t="s">
        <v>6138</v>
      </c>
      <c r="D1532" s="1403" t="s">
        <v>8256</v>
      </c>
      <c r="E1532" s="1404" t="s">
        <v>4568</v>
      </c>
      <c r="F1532" s="1405" t="s">
        <v>5300</v>
      </c>
      <c r="G1532" s="1403" t="s">
        <v>14359</v>
      </c>
      <c r="H1532" s="1406" t="s">
        <v>1025</v>
      </c>
    </row>
    <row r="1533" spans="1:8" x14ac:dyDescent="0.2">
      <c r="A1533" s="7"/>
      <c r="B1533" s="1407" t="str">
        <f t="shared" si="23"/>
        <v>Vasileios Kadinopoulos</v>
      </c>
      <c r="C1533" s="1402" t="s">
        <v>6139</v>
      </c>
      <c r="D1533" s="1403" t="s">
        <v>5548</v>
      </c>
      <c r="E1533" s="1404" t="s">
        <v>4569</v>
      </c>
      <c r="F1533" s="1405" t="s">
        <v>5300</v>
      </c>
      <c r="G1533" s="1403" t="s">
        <v>9449</v>
      </c>
      <c r="H1533" s="1406" t="s">
        <v>1025</v>
      </c>
    </row>
    <row r="1534" spans="1:8" x14ac:dyDescent="0.2">
      <c r="A1534" s="7"/>
      <c r="B1534" s="1407" t="str">
        <f t="shared" si="23"/>
        <v>Eleftheria Papanikolaou</v>
      </c>
      <c r="C1534" s="1402" t="s">
        <v>6136</v>
      </c>
      <c r="D1534" s="1403" t="s">
        <v>5631</v>
      </c>
      <c r="E1534" s="1404" t="s">
        <v>4570</v>
      </c>
      <c r="F1534" s="1405" t="s">
        <v>5300</v>
      </c>
      <c r="G1534" s="1403" t="s">
        <v>2760</v>
      </c>
      <c r="H1534" s="1406" t="s">
        <v>1025</v>
      </c>
    </row>
    <row r="1535" spans="1:8" x14ac:dyDescent="0.2">
      <c r="A1535" s="7"/>
      <c r="B1535" s="1407" t="str">
        <f t="shared" si="23"/>
        <v>Nada Plesa</v>
      </c>
      <c r="C1535" s="1402" t="s">
        <v>6140</v>
      </c>
      <c r="D1535" s="1403" t="s">
        <v>3654</v>
      </c>
      <c r="E1535" s="1404" t="s">
        <v>4571</v>
      </c>
      <c r="F1535" s="1405" t="s">
        <v>5299</v>
      </c>
      <c r="G1535" s="1403" t="s">
        <v>14359</v>
      </c>
      <c r="H1535" s="1406" t="s">
        <v>1025</v>
      </c>
    </row>
    <row r="1536" spans="1:8" x14ac:dyDescent="0.2">
      <c r="A1536" s="7"/>
      <c r="B1536" s="1407" t="str">
        <f t="shared" si="23"/>
        <v>Nikolaos Papoulias</v>
      </c>
      <c r="C1536" s="1402" t="s">
        <v>6141</v>
      </c>
      <c r="D1536" s="1403" t="s">
        <v>5554</v>
      </c>
      <c r="E1536" s="1404" t="s">
        <v>4572</v>
      </c>
      <c r="F1536" s="1405" t="s">
        <v>5300</v>
      </c>
      <c r="G1536" s="1403" t="s">
        <v>5309</v>
      </c>
      <c r="H1536" s="1406" t="s">
        <v>1025</v>
      </c>
    </row>
    <row r="1537" spans="1:8" x14ac:dyDescent="0.2">
      <c r="A1537" s="7"/>
      <c r="B1537" s="1407" t="str">
        <f t="shared" si="23"/>
        <v>Angelos Kourouklis</v>
      </c>
      <c r="C1537" s="1402" t="s">
        <v>6142</v>
      </c>
      <c r="D1537" s="1403" t="s">
        <v>5528</v>
      </c>
      <c r="E1537" s="1404" t="s">
        <v>4573</v>
      </c>
      <c r="F1537" s="1405" t="s">
        <v>5300</v>
      </c>
      <c r="G1537" s="1403" t="s">
        <v>14359</v>
      </c>
      <c r="H1537" s="1406" t="s">
        <v>1025</v>
      </c>
    </row>
    <row r="1538" spans="1:8" x14ac:dyDescent="0.2">
      <c r="A1538" s="7"/>
      <c r="B1538" s="1407" t="str">
        <f t="shared" si="23"/>
        <v>Apostolos Christodoulou</v>
      </c>
      <c r="C1538" s="1402" t="s">
        <v>6143</v>
      </c>
      <c r="D1538" s="1403" t="s">
        <v>6968</v>
      </c>
      <c r="E1538" s="1404" t="s">
        <v>4574</v>
      </c>
      <c r="F1538" s="1405" t="s">
        <v>5300</v>
      </c>
      <c r="G1538" s="1403" t="s">
        <v>14359</v>
      </c>
      <c r="H1538" s="1406" t="s">
        <v>1025</v>
      </c>
    </row>
    <row r="1539" spans="1:8" x14ac:dyDescent="0.2">
      <c r="A1539" s="7"/>
      <c r="B1539" s="1407" t="str">
        <f t="shared" si="23"/>
        <v>Velissarios Fragkakis</v>
      </c>
      <c r="C1539" s="1402" t="s">
        <v>8050</v>
      </c>
      <c r="D1539" s="1403" t="s">
        <v>3431</v>
      </c>
      <c r="E1539" s="1404" t="s">
        <v>4575</v>
      </c>
      <c r="F1539" s="1405" t="s">
        <v>5299</v>
      </c>
      <c r="G1539" s="1403" t="s">
        <v>3041</v>
      </c>
      <c r="H1539" s="1406" t="s">
        <v>1025</v>
      </c>
    </row>
    <row r="1540" spans="1:8" x14ac:dyDescent="0.2">
      <c r="A1540" s="7"/>
      <c r="B1540" s="1407" t="str">
        <f t="shared" si="23"/>
        <v>Spyridon Chantzaras</v>
      </c>
      <c r="C1540" s="1402" t="s">
        <v>8051</v>
      </c>
      <c r="D1540" s="1403" t="s">
        <v>7806</v>
      </c>
      <c r="E1540" s="1404" t="s">
        <v>4576</v>
      </c>
      <c r="F1540" s="1405" t="s">
        <v>5299</v>
      </c>
      <c r="G1540" s="1403" t="s">
        <v>3041</v>
      </c>
      <c r="H1540" s="1406" t="s">
        <v>1025</v>
      </c>
    </row>
    <row r="1541" spans="1:8" x14ac:dyDescent="0.2">
      <c r="A1541" s="7"/>
      <c r="B1541" s="1407" t="str">
        <f t="shared" si="23"/>
        <v>Dionysios Koutis</v>
      </c>
      <c r="C1541" s="1402" t="s">
        <v>6070</v>
      </c>
      <c r="D1541" s="1403" t="s">
        <v>8257</v>
      </c>
      <c r="E1541" s="1404" t="s">
        <v>4577</v>
      </c>
      <c r="F1541" s="1405" t="s">
        <v>5299</v>
      </c>
      <c r="G1541" s="1403" t="s">
        <v>3041</v>
      </c>
      <c r="H1541" s="1406" t="s">
        <v>1025</v>
      </c>
    </row>
    <row r="1542" spans="1:8" x14ac:dyDescent="0.2">
      <c r="A1542" s="7"/>
      <c r="B1542" s="1407" t="str">
        <f t="shared" si="23"/>
        <v>Nikolaos Naskos</v>
      </c>
      <c r="C1542" s="1402" t="s">
        <v>6144</v>
      </c>
      <c r="D1542" s="1403" t="s">
        <v>5554</v>
      </c>
      <c r="E1542" s="1404" t="s">
        <v>4578</v>
      </c>
      <c r="F1542" s="1405" t="s">
        <v>5300</v>
      </c>
      <c r="G1542" s="1403" t="s">
        <v>10251</v>
      </c>
      <c r="H1542" s="1406" t="s">
        <v>1025</v>
      </c>
    </row>
    <row r="1543" spans="1:8" x14ac:dyDescent="0.2">
      <c r="A1543" s="7"/>
      <c r="B1543" s="1407" t="str">
        <f t="shared" ref="B1543:B1606" si="24">TRIM(CONCATENATE(D1543," ",C1543))</f>
        <v>Panagiotis Aliadis</v>
      </c>
      <c r="C1543" s="1402" t="s">
        <v>6145</v>
      </c>
      <c r="D1543" s="1403" t="s">
        <v>3249</v>
      </c>
      <c r="E1543" s="1404" t="s">
        <v>4579</v>
      </c>
      <c r="F1543" s="1405" t="s">
        <v>5299</v>
      </c>
      <c r="G1543" s="1403" t="s">
        <v>10251</v>
      </c>
      <c r="H1543" s="1406" t="s">
        <v>1025</v>
      </c>
    </row>
    <row r="1544" spans="1:8" x14ac:dyDescent="0.2">
      <c r="A1544" s="7"/>
      <c r="B1544" s="1407" t="str">
        <f t="shared" si="24"/>
        <v>Lampros Drossopoulos</v>
      </c>
      <c r="C1544" s="1402" t="s">
        <v>6102</v>
      </c>
      <c r="D1544" s="1403" t="s">
        <v>8258</v>
      </c>
      <c r="E1544" s="1404" t="s">
        <v>4580</v>
      </c>
      <c r="F1544" s="1405" t="s">
        <v>5300</v>
      </c>
      <c r="G1544" s="1403" t="s">
        <v>10251</v>
      </c>
      <c r="H1544" s="1406" t="s">
        <v>1025</v>
      </c>
    </row>
    <row r="1545" spans="1:8" x14ac:dyDescent="0.2">
      <c r="A1545" s="7"/>
      <c r="B1545" s="1407" t="str">
        <f t="shared" si="24"/>
        <v>Vasileios Koutsompinas</v>
      </c>
      <c r="C1545" s="1402" t="s">
        <v>6146</v>
      </c>
      <c r="D1545" s="1403" t="s">
        <v>5548</v>
      </c>
      <c r="E1545" s="1404" t="s">
        <v>4581</v>
      </c>
      <c r="F1545" s="1405" t="s">
        <v>5299</v>
      </c>
      <c r="G1545" s="1403" t="s">
        <v>9449</v>
      </c>
      <c r="H1545" s="1406" t="s">
        <v>1025</v>
      </c>
    </row>
    <row r="1546" spans="1:8" x14ac:dyDescent="0.2">
      <c r="A1546" s="7"/>
      <c r="B1546" s="1407" t="str">
        <f t="shared" si="24"/>
        <v>Ioannis Voulgaris</v>
      </c>
      <c r="C1546" s="1402" t="s">
        <v>6147</v>
      </c>
      <c r="D1546" s="1403" t="s">
        <v>3350</v>
      </c>
      <c r="E1546" s="1404" t="s">
        <v>4582</v>
      </c>
      <c r="F1546" s="1405" t="s">
        <v>5300</v>
      </c>
      <c r="G1546" s="1403" t="s">
        <v>2745</v>
      </c>
      <c r="H1546" s="1406" t="s">
        <v>1025</v>
      </c>
    </row>
    <row r="1547" spans="1:8" x14ac:dyDescent="0.2">
      <c r="A1547" s="7"/>
      <c r="B1547" s="1407" t="str">
        <f t="shared" si="24"/>
        <v>Evaggelos Liolios</v>
      </c>
      <c r="C1547" s="1402" t="s">
        <v>6148</v>
      </c>
      <c r="D1547" s="1403" t="s">
        <v>6974</v>
      </c>
      <c r="E1547" s="1404" t="s">
        <v>4583</v>
      </c>
      <c r="F1547" s="1405" t="s">
        <v>5300</v>
      </c>
      <c r="G1547" s="1403" t="s">
        <v>10265</v>
      </c>
      <c r="H1547" s="1406" t="s">
        <v>1025</v>
      </c>
    </row>
    <row r="1548" spans="1:8" x14ac:dyDescent="0.2">
      <c r="A1548" s="7"/>
      <c r="B1548" s="1407" t="str">
        <f t="shared" si="24"/>
        <v>Christos Karadedos</v>
      </c>
      <c r="C1548" s="1402" t="s">
        <v>6149</v>
      </c>
      <c r="D1548" s="1403" t="s">
        <v>3135</v>
      </c>
      <c r="E1548" s="1404" t="s">
        <v>4584</v>
      </c>
      <c r="F1548" s="1405" t="s">
        <v>5300</v>
      </c>
      <c r="G1548" s="1403" t="s">
        <v>14359</v>
      </c>
      <c r="H1548" s="1406" t="s">
        <v>1025</v>
      </c>
    </row>
    <row r="1549" spans="1:8" x14ac:dyDescent="0.2">
      <c r="A1549" s="7"/>
      <c r="B1549" s="1407" t="str">
        <f t="shared" si="24"/>
        <v>Alexandros Prinias</v>
      </c>
      <c r="C1549" s="1402" t="s">
        <v>6150</v>
      </c>
      <c r="D1549" s="1403" t="s">
        <v>3582</v>
      </c>
      <c r="E1549" s="1404" t="s">
        <v>4585</v>
      </c>
      <c r="F1549" s="1405" t="s">
        <v>5300</v>
      </c>
      <c r="G1549" s="1403" t="s">
        <v>14359</v>
      </c>
      <c r="H1549" s="1406" t="s">
        <v>1025</v>
      </c>
    </row>
    <row r="1550" spans="1:8" x14ac:dyDescent="0.2">
      <c r="A1550" s="7"/>
      <c r="B1550" s="1407" t="str">
        <f t="shared" si="24"/>
        <v>Vasilis Vavourakis</v>
      </c>
      <c r="C1550" s="1402" t="s">
        <v>5874</v>
      </c>
      <c r="D1550" s="1403" t="s">
        <v>3630</v>
      </c>
      <c r="E1550" s="1404" t="s">
        <v>13237</v>
      </c>
      <c r="F1550" s="1405" t="s">
        <v>5299</v>
      </c>
      <c r="G1550" s="1403" t="s">
        <v>14359</v>
      </c>
      <c r="H1550" s="1406" t="s">
        <v>1025</v>
      </c>
    </row>
    <row r="1551" spans="1:8" x14ac:dyDescent="0.2">
      <c r="A1551" s="7"/>
      <c r="B1551" s="1407" t="str">
        <f t="shared" si="24"/>
        <v>Michalis Papadakis</v>
      </c>
      <c r="C1551" s="1402" t="s">
        <v>6123</v>
      </c>
      <c r="D1551" s="1403" t="s">
        <v>3580</v>
      </c>
      <c r="E1551" s="1404" t="s">
        <v>8393</v>
      </c>
      <c r="F1551" s="1405" t="s">
        <v>5299</v>
      </c>
      <c r="G1551" s="1403" t="s">
        <v>14359</v>
      </c>
      <c r="H1551" s="1406" t="s">
        <v>1025</v>
      </c>
    </row>
    <row r="1552" spans="1:8" x14ac:dyDescent="0.2">
      <c r="A1552" s="7"/>
      <c r="B1552" s="1407" t="str">
        <f t="shared" si="24"/>
        <v>Athanasios Vlassopoulos</v>
      </c>
      <c r="C1552" s="1402" t="s">
        <v>6151</v>
      </c>
      <c r="D1552" s="1403" t="s">
        <v>3472</v>
      </c>
      <c r="E1552" s="1404" t="s">
        <v>4586</v>
      </c>
      <c r="F1552" s="1405" t="s">
        <v>5299</v>
      </c>
      <c r="G1552" s="1403" t="s">
        <v>10263</v>
      </c>
      <c r="H1552" s="1406" t="s">
        <v>1025</v>
      </c>
    </row>
    <row r="1553" spans="1:8" x14ac:dyDescent="0.2">
      <c r="A1553" s="7"/>
      <c r="B1553" s="1407" t="str">
        <f t="shared" si="24"/>
        <v>Ioannis Sioutis</v>
      </c>
      <c r="C1553" s="1402" t="s">
        <v>6152</v>
      </c>
      <c r="D1553" s="1403" t="s">
        <v>3350</v>
      </c>
      <c r="E1553" s="1404" t="s">
        <v>4587</v>
      </c>
      <c r="F1553" s="1405" t="s">
        <v>5299</v>
      </c>
      <c r="G1553" s="1403" t="s">
        <v>3041</v>
      </c>
      <c r="H1553" s="1406" t="s">
        <v>1025</v>
      </c>
    </row>
    <row r="1554" spans="1:8" x14ac:dyDescent="0.2">
      <c r="A1554" s="7"/>
      <c r="B1554" s="1407" t="str">
        <f t="shared" si="24"/>
        <v>Athanasios Karamanis</v>
      </c>
      <c r="C1554" s="1402" t="s">
        <v>6153</v>
      </c>
      <c r="D1554" s="1403" t="s">
        <v>3472</v>
      </c>
      <c r="E1554" s="1404" t="s">
        <v>4588</v>
      </c>
      <c r="F1554" s="1405" t="s">
        <v>5300</v>
      </c>
      <c r="G1554" s="1403" t="s">
        <v>3213</v>
      </c>
      <c r="H1554" s="1406" t="s">
        <v>1025</v>
      </c>
    </row>
    <row r="1555" spans="1:8" x14ac:dyDescent="0.2">
      <c r="A1555" s="7"/>
      <c r="B1555" s="1407" t="str">
        <f t="shared" si="24"/>
        <v>Paris Papadopoulos</v>
      </c>
      <c r="C1555" s="1402" t="s">
        <v>6154</v>
      </c>
      <c r="D1555" s="1403" t="s">
        <v>6970</v>
      </c>
      <c r="E1555" s="1404" t="s">
        <v>4589</v>
      </c>
      <c r="F1555" s="1405" t="s">
        <v>5300</v>
      </c>
      <c r="G1555" s="1403" t="s">
        <v>14359</v>
      </c>
      <c r="H1555" s="1406" t="s">
        <v>1025</v>
      </c>
    </row>
    <row r="1556" spans="1:8" x14ac:dyDescent="0.2">
      <c r="A1556" s="7"/>
      <c r="B1556" s="1407" t="str">
        <f t="shared" si="24"/>
        <v>Dimitrios Papadopoulos</v>
      </c>
      <c r="C1556" s="1402" t="s">
        <v>6154</v>
      </c>
      <c r="D1556" s="1403" t="s">
        <v>5644</v>
      </c>
      <c r="E1556" s="1404" t="s">
        <v>4590</v>
      </c>
      <c r="F1556" s="1405" t="s">
        <v>5300</v>
      </c>
      <c r="G1556" s="1403" t="s">
        <v>14359</v>
      </c>
      <c r="H1556" s="1406" t="s">
        <v>1025</v>
      </c>
    </row>
    <row r="1557" spans="1:8" x14ac:dyDescent="0.2">
      <c r="A1557" s="7"/>
      <c r="B1557" s="1407" t="str">
        <f t="shared" si="24"/>
        <v>Stratos Routsis</v>
      </c>
      <c r="C1557" s="1402" t="s">
        <v>6155</v>
      </c>
      <c r="D1557" s="1403" t="s">
        <v>3352</v>
      </c>
      <c r="E1557" s="1404" t="s">
        <v>4591</v>
      </c>
      <c r="F1557" s="1405" t="s">
        <v>5300</v>
      </c>
      <c r="G1557" s="1403" t="s">
        <v>14359</v>
      </c>
      <c r="H1557" s="1406" t="s">
        <v>1025</v>
      </c>
    </row>
    <row r="1558" spans="1:8" x14ac:dyDescent="0.2">
      <c r="A1558" s="7"/>
      <c r="B1558" s="1407" t="str">
        <f t="shared" si="24"/>
        <v>Aggelos Tsakiris</v>
      </c>
      <c r="C1558" s="1402" t="s">
        <v>6156</v>
      </c>
      <c r="D1558" s="1403" t="s">
        <v>3644</v>
      </c>
      <c r="E1558" s="1404" t="s">
        <v>4592</v>
      </c>
      <c r="F1558" s="1405" t="s">
        <v>5300</v>
      </c>
      <c r="G1558" s="1403" t="s">
        <v>14359</v>
      </c>
      <c r="H1558" s="1406" t="s">
        <v>1025</v>
      </c>
    </row>
    <row r="1559" spans="1:8" x14ac:dyDescent="0.2">
      <c r="A1559" s="7"/>
      <c r="B1559" s="1407" t="str">
        <f t="shared" si="24"/>
        <v>Andreas Eleftheriou</v>
      </c>
      <c r="C1559" s="1402" t="s">
        <v>8786</v>
      </c>
      <c r="D1559" s="1403" t="s">
        <v>3351</v>
      </c>
      <c r="E1559" s="1404" t="s">
        <v>4593</v>
      </c>
      <c r="F1559" s="1405" t="s">
        <v>5300</v>
      </c>
      <c r="G1559" s="1403" t="s">
        <v>2758</v>
      </c>
      <c r="H1559" s="1406" t="s">
        <v>1025</v>
      </c>
    </row>
    <row r="1560" spans="1:8" x14ac:dyDescent="0.2">
      <c r="A1560" s="7"/>
      <c r="B1560" s="1407" t="str">
        <f t="shared" si="24"/>
        <v>Dimitrios Tziortziotis</v>
      </c>
      <c r="C1560" s="1402" t="s">
        <v>6157</v>
      </c>
      <c r="D1560" s="1403" t="s">
        <v>5644</v>
      </c>
      <c r="E1560" s="1404" t="s">
        <v>4594</v>
      </c>
      <c r="F1560" s="1405" t="s">
        <v>5299</v>
      </c>
      <c r="G1560" s="1403" t="s">
        <v>14359</v>
      </c>
      <c r="H1560" s="1406" t="s">
        <v>1025</v>
      </c>
    </row>
    <row r="1561" spans="1:8" x14ac:dyDescent="0.2">
      <c r="A1561" s="7"/>
      <c r="B1561" s="1407" t="str">
        <f t="shared" si="24"/>
        <v>Kostas Arabatzis</v>
      </c>
      <c r="C1561" s="1402" t="s">
        <v>6158</v>
      </c>
      <c r="D1561" s="1403" t="s">
        <v>3073</v>
      </c>
      <c r="E1561" s="1404" t="s">
        <v>4595</v>
      </c>
      <c r="F1561" s="1405" t="s">
        <v>5300</v>
      </c>
      <c r="G1561" s="1403" t="s">
        <v>14359</v>
      </c>
      <c r="H1561" s="1406" t="s">
        <v>1025</v>
      </c>
    </row>
    <row r="1562" spans="1:8" x14ac:dyDescent="0.2">
      <c r="A1562" s="7"/>
      <c r="B1562" s="1407" t="str">
        <f t="shared" si="24"/>
        <v>Thomas Arvanitakis</v>
      </c>
      <c r="C1562" s="1402" t="s">
        <v>6159</v>
      </c>
      <c r="D1562" s="1403" t="s">
        <v>3124</v>
      </c>
      <c r="E1562" s="1404" t="s">
        <v>4596</v>
      </c>
      <c r="F1562" s="1405" t="s">
        <v>5299</v>
      </c>
      <c r="G1562" s="1403" t="s">
        <v>15175</v>
      </c>
      <c r="H1562" s="1406" t="s">
        <v>1025</v>
      </c>
    </row>
    <row r="1563" spans="1:8" x14ac:dyDescent="0.2">
      <c r="A1563" s="7"/>
      <c r="B1563" s="1407" t="str">
        <f t="shared" si="24"/>
        <v>Theodoros Tsagiannis</v>
      </c>
      <c r="C1563" s="1402" t="s">
        <v>6160</v>
      </c>
      <c r="D1563" s="1403" t="s">
        <v>5579</v>
      </c>
      <c r="E1563" s="1404" t="s">
        <v>4597</v>
      </c>
      <c r="F1563" s="1405" t="s">
        <v>5300</v>
      </c>
      <c r="G1563" s="1403" t="s">
        <v>14359</v>
      </c>
      <c r="H1563" s="1406" t="s">
        <v>1025</v>
      </c>
    </row>
    <row r="1564" spans="1:8" x14ac:dyDescent="0.2">
      <c r="A1564" s="7"/>
      <c r="B1564" s="1407" t="str">
        <f t="shared" si="24"/>
        <v>Konstantinos Kechris</v>
      </c>
      <c r="C1564" s="1402" t="s">
        <v>6161</v>
      </c>
      <c r="D1564" s="1403" t="s">
        <v>6986</v>
      </c>
      <c r="E1564" s="1404" t="s">
        <v>17886</v>
      </c>
      <c r="F1564" s="1405" t="s">
        <v>5300</v>
      </c>
      <c r="G1564" s="1403" t="s">
        <v>10268</v>
      </c>
      <c r="H1564" s="1406" t="s">
        <v>1025</v>
      </c>
    </row>
    <row r="1565" spans="1:8" x14ac:dyDescent="0.2">
      <c r="A1565" s="7"/>
      <c r="B1565" s="1407" t="str">
        <f t="shared" si="24"/>
        <v>Georgios Papadopoulos</v>
      </c>
      <c r="C1565" s="1402" t="s">
        <v>6154</v>
      </c>
      <c r="D1565" s="1403" t="s">
        <v>3324</v>
      </c>
      <c r="E1565" s="1404" t="s">
        <v>4598</v>
      </c>
      <c r="F1565" s="1405" t="s">
        <v>5300</v>
      </c>
      <c r="G1565" s="1403" t="s">
        <v>2745</v>
      </c>
      <c r="H1565" s="1406" t="s">
        <v>1025</v>
      </c>
    </row>
    <row r="1566" spans="1:8" x14ac:dyDescent="0.2">
      <c r="A1566" s="7"/>
      <c r="B1566" s="1407" t="str">
        <f t="shared" si="24"/>
        <v>Antonios Kastellanos</v>
      </c>
      <c r="C1566" s="1402" t="s">
        <v>8052</v>
      </c>
      <c r="D1566" s="1403" t="s">
        <v>8256</v>
      </c>
      <c r="E1566" s="1404" t="s">
        <v>4599</v>
      </c>
      <c r="F1566" s="1405" t="s">
        <v>5300</v>
      </c>
      <c r="G1566" s="1403" t="s">
        <v>10246</v>
      </c>
      <c r="H1566" s="1406" t="s">
        <v>1025</v>
      </c>
    </row>
    <row r="1567" spans="1:8" x14ac:dyDescent="0.2">
      <c r="A1567" s="7"/>
      <c r="B1567" s="1407" t="str">
        <f t="shared" si="24"/>
        <v>Konstantinos Stamokostas</v>
      </c>
      <c r="C1567" s="1402" t="s">
        <v>6162</v>
      </c>
      <c r="D1567" s="1403" t="s">
        <v>6986</v>
      </c>
      <c r="E1567" s="1404" t="s">
        <v>4600</v>
      </c>
      <c r="F1567" s="1405" t="s">
        <v>5299</v>
      </c>
      <c r="G1567" s="1403" t="s">
        <v>2745</v>
      </c>
      <c r="H1567" s="1406" t="s">
        <v>1025</v>
      </c>
    </row>
    <row r="1568" spans="1:8" x14ac:dyDescent="0.2">
      <c r="A1568" s="7"/>
      <c r="B1568" s="1407" t="str">
        <f t="shared" si="24"/>
        <v>Spyridon Patrinos</v>
      </c>
      <c r="C1568" s="1402" t="s">
        <v>6163</v>
      </c>
      <c r="D1568" s="1403" t="s">
        <v>7806</v>
      </c>
      <c r="E1568" s="1404" t="s">
        <v>4601</v>
      </c>
      <c r="F1568" s="1405" t="s">
        <v>5299</v>
      </c>
      <c r="G1568" s="1403" t="s">
        <v>10246</v>
      </c>
      <c r="H1568" s="1406" t="s">
        <v>1025</v>
      </c>
    </row>
    <row r="1569" spans="1:8" x14ac:dyDescent="0.2">
      <c r="A1569" s="7"/>
      <c r="B1569" s="1407" t="str">
        <f t="shared" si="24"/>
        <v>Dimitrios Kosmopoulos</v>
      </c>
      <c r="C1569" s="1402" t="s">
        <v>6164</v>
      </c>
      <c r="D1569" s="1403" t="s">
        <v>5644</v>
      </c>
      <c r="E1569" s="1404" t="s">
        <v>4602</v>
      </c>
      <c r="F1569" s="1405" t="s">
        <v>5299</v>
      </c>
      <c r="G1569" s="1403" t="s">
        <v>10263</v>
      </c>
      <c r="H1569" s="1406" t="s">
        <v>1025</v>
      </c>
    </row>
    <row r="1570" spans="1:8" x14ac:dyDescent="0.2">
      <c r="A1570" s="7"/>
      <c r="B1570" s="1407" t="str">
        <f t="shared" si="24"/>
        <v>Gerasimos Apergis</v>
      </c>
      <c r="C1570" s="1402" t="s">
        <v>6165</v>
      </c>
      <c r="D1570" s="1403" t="s">
        <v>6964</v>
      </c>
      <c r="E1570" s="1404" t="s">
        <v>4603</v>
      </c>
      <c r="F1570" s="1405" t="s">
        <v>5300</v>
      </c>
      <c r="G1570" s="1403" t="s">
        <v>14359</v>
      </c>
      <c r="H1570" s="1406" t="s">
        <v>1025</v>
      </c>
    </row>
    <row r="1571" spans="1:8" x14ac:dyDescent="0.2">
      <c r="A1571" s="7"/>
      <c r="B1571" s="1407" t="str">
        <f t="shared" si="24"/>
        <v>Kyriakos Tzitziris</v>
      </c>
      <c r="C1571" s="1402" t="s">
        <v>8053</v>
      </c>
      <c r="D1571" s="1403" t="s">
        <v>8259</v>
      </c>
      <c r="E1571" s="1404" t="s">
        <v>8394</v>
      </c>
      <c r="F1571" s="1405" t="s">
        <v>5299</v>
      </c>
      <c r="G1571" s="1403" t="s">
        <v>14359</v>
      </c>
      <c r="H1571" s="1406" t="s">
        <v>1025</v>
      </c>
    </row>
    <row r="1572" spans="1:8" x14ac:dyDescent="0.2">
      <c r="A1572" s="7"/>
      <c r="B1572" s="1407" t="str">
        <f t="shared" si="24"/>
        <v>Dimitrios Patrinos</v>
      </c>
      <c r="C1572" s="1402" t="s">
        <v>6163</v>
      </c>
      <c r="D1572" s="1403" t="s">
        <v>5644</v>
      </c>
      <c r="E1572" s="1404" t="s">
        <v>4604</v>
      </c>
      <c r="F1572" s="1405" t="s">
        <v>5299</v>
      </c>
      <c r="G1572" s="1403" t="s">
        <v>10246</v>
      </c>
      <c r="H1572" s="1406" t="s">
        <v>1025</v>
      </c>
    </row>
    <row r="1573" spans="1:8" x14ac:dyDescent="0.2">
      <c r="A1573" s="7"/>
      <c r="B1573" s="1407" t="str">
        <f t="shared" si="24"/>
        <v>Athanasios Fotopoulos</v>
      </c>
      <c r="C1573" s="1402" t="s">
        <v>6166</v>
      </c>
      <c r="D1573" s="1403" t="s">
        <v>3472</v>
      </c>
      <c r="E1573" s="1404" t="s">
        <v>4605</v>
      </c>
      <c r="F1573" s="1405" t="s">
        <v>5300</v>
      </c>
      <c r="G1573" s="1403" t="s">
        <v>14359</v>
      </c>
      <c r="H1573" s="1406" t="s">
        <v>1025</v>
      </c>
    </row>
    <row r="1574" spans="1:8" x14ac:dyDescent="0.2">
      <c r="A1574" s="7"/>
      <c r="B1574" s="1407" t="str">
        <f t="shared" si="24"/>
        <v>Panagiotis Vasilopoulos</v>
      </c>
      <c r="C1574" s="1402" t="s">
        <v>6303</v>
      </c>
      <c r="D1574" s="1403" t="s">
        <v>3249</v>
      </c>
      <c r="E1574" s="1404" t="s">
        <v>4606</v>
      </c>
      <c r="F1574" s="1405" t="s">
        <v>5300</v>
      </c>
      <c r="G1574" s="1403" t="s">
        <v>10251</v>
      </c>
      <c r="H1574" s="1406" t="s">
        <v>1025</v>
      </c>
    </row>
    <row r="1575" spans="1:8" x14ac:dyDescent="0.2">
      <c r="A1575" s="7"/>
      <c r="B1575" s="1407" t="str">
        <f t="shared" si="24"/>
        <v>Christos Angelinas</v>
      </c>
      <c r="C1575" s="1402" t="s">
        <v>8046</v>
      </c>
      <c r="D1575" s="1403" t="s">
        <v>3135</v>
      </c>
      <c r="E1575" s="1404" t="s">
        <v>4607</v>
      </c>
      <c r="F1575" s="1405" t="s">
        <v>5300</v>
      </c>
      <c r="G1575" s="1403" t="s">
        <v>13519</v>
      </c>
      <c r="H1575" s="1406" t="s">
        <v>1025</v>
      </c>
    </row>
    <row r="1576" spans="1:8" x14ac:dyDescent="0.2">
      <c r="A1576" s="7"/>
      <c r="B1576" s="1407" t="str">
        <f t="shared" si="24"/>
        <v>Athina Baira</v>
      </c>
      <c r="C1576" s="1402" t="s">
        <v>8054</v>
      </c>
      <c r="D1576" s="1403" t="s">
        <v>8260</v>
      </c>
      <c r="E1576" s="1404" t="s">
        <v>8395</v>
      </c>
      <c r="F1576" s="1405" t="s">
        <v>5300</v>
      </c>
      <c r="G1576" s="1403" t="s">
        <v>14359</v>
      </c>
      <c r="H1576" s="1406" t="s">
        <v>1025</v>
      </c>
    </row>
    <row r="1577" spans="1:8" x14ac:dyDescent="0.2">
      <c r="A1577" s="7"/>
      <c r="B1577" s="1407" t="str">
        <f t="shared" si="24"/>
        <v>Alexandros Christou</v>
      </c>
      <c r="C1577" s="1402" t="s">
        <v>6167</v>
      </c>
      <c r="D1577" s="1403" t="s">
        <v>3582</v>
      </c>
      <c r="E1577" s="1404" t="s">
        <v>4608</v>
      </c>
      <c r="F1577" s="1405" t="s">
        <v>5300</v>
      </c>
      <c r="G1577" s="1403" t="s">
        <v>14359</v>
      </c>
      <c r="H1577" s="1406" t="s">
        <v>1025</v>
      </c>
    </row>
    <row r="1578" spans="1:8" x14ac:dyDescent="0.2">
      <c r="A1578" s="7"/>
      <c r="B1578" s="1407" t="str">
        <f t="shared" si="24"/>
        <v>Alex Gouloulis</v>
      </c>
      <c r="C1578" s="1402" t="s">
        <v>6168</v>
      </c>
      <c r="D1578" s="1403" t="s">
        <v>3130</v>
      </c>
      <c r="E1578" s="1404" t="s">
        <v>4609</v>
      </c>
      <c r="F1578" s="1405" t="s">
        <v>5299</v>
      </c>
      <c r="G1578" s="1403" t="s">
        <v>11324</v>
      </c>
      <c r="H1578" s="1406" t="s">
        <v>1025</v>
      </c>
    </row>
    <row r="1579" spans="1:8" x14ac:dyDescent="0.2">
      <c r="A1579" s="7"/>
      <c r="B1579" s="1407" t="str">
        <f t="shared" si="24"/>
        <v>Panagiotis Kyriakoulakos</v>
      </c>
      <c r="C1579" s="1402" t="s">
        <v>8055</v>
      </c>
      <c r="D1579" s="1403" t="s">
        <v>3249</v>
      </c>
      <c r="E1579" s="1404" t="s">
        <v>8396</v>
      </c>
      <c r="F1579" s="1405" t="s">
        <v>5299</v>
      </c>
      <c r="G1579" s="1403" t="s">
        <v>14359</v>
      </c>
      <c r="H1579" s="1406" t="s">
        <v>1025</v>
      </c>
    </row>
    <row r="1580" spans="1:8" x14ac:dyDescent="0.2">
      <c r="A1580" s="7"/>
      <c r="B1580" s="1407" t="str">
        <f t="shared" si="24"/>
        <v>Argyris Zavrakas</v>
      </c>
      <c r="C1580" s="1402" t="s">
        <v>6169</v>
      </c>
      <c r="D1580" s="1403" t="s">
        <v>8261</v>
      </c>
      <c r="E1580" s="1404" t="s">
        <v>4610</v>
      </c>
      <c r="F1580" s="1405" t="s">
        <v>5299</v>
      </c>
      <c r="G1580" s="1403" t="s">
        <v>14359</v>
      </c>
      <c r="H1580" s="1406" t="s">
        <v>1025</v>
      </c>
    </row>
    <row r="1581" spans="1:8" x14ac:dyDescent="0.2">
      <c r="A1581" s="7"/>
      <c r="B1581" s="1407" t="str">
        <f t="shared" si="24"/>
        <v>Vasilis Nousios</v>
      </c>
      <c r="C1581" s="1402" t="s">
        <v>6170</v>
      </c>
      <c r="D1581" s="1403" t="s">
        <v>3630</v>
      </c>
      <c r="E1581" s="1404" t="s">
        <v>4611</v>
      </c>
      <c r="F1581" s="1405" t="s">
        <v>5299</v>
      </c>
      <c r="G1581" s="1403" t="s">
        <v>15175</v>
      </c>
      <c r="H1581" s="1406" t="s">
        <v>1025</v>
      </c>
    </row>
    <row r="1582" spans="1:8" x14ac:dyDescent="0.2">
      <c r="A1582" s="7"/>
      <c r="B1582" s="1407" t="str">
        <f t="shared" si="24"/>
        <v>Tasos Bairas</v>
      </c>
      <c r="C1582" s="1402" t="s">
        <v>8056</v>
      </c>
      <c r="D1582" s="1403" t="s">
        <v>3639</v>
      </c>
      <c r="E1582" s="1404" t="s">
        <v>8397</v>
      </c>
      <c r="F1582" s="1405" t="s">
        <v>5300</v>
      </c>
      <c r="G1582" s="1403" t="s">
        <v>14359</v>
      </c>
      <c r="H1582" s="1406" t="s">
        <v>1025</v>
      </c>
    </row>
    <row r="1583" spans="1:8" x14ac:dyDescent="0.2">
      <c r="A1583" s="7"/>
      <c r="B1583" s="1407" t="str">
        <f t="shared" si="24"/>
        <v>Giorgos Niavis</v>
      </c>
      <c r="C1583" s="1402" t="s">
        <v>6171</v>
      </c>
      <c r="D1583" s="1403" t="s">
        <v>3040</v>
      </c>
      <c r="E1583" s="1404" t="s">
        <v>4612</v>
      </c>
      <c r="F1583" s="1405" t="s">
        <v>5299</v>
      </c>
      <c r="G1583" s="1403" t="s">
        <v>15175</v>
      </c>
      <c r="H1583" s="1406" t="s">
        <v>1025</v>
      </c>
    </row>
    <row r="1584" spans="1:8" x14ac:dyDescent="0.2">
      <c r="A1584" s="7"/>
      <c r="B1584" s="1407" t="str">
        <f t="shared" si="24"/>
        <v>Dimitris Georgakis</v>
      </c>
      <c r="C1584" s="1402" t="s">
        <v>6172</v>
      </c>
      <c r="D1584" s="1403" t="s">
        <v>3099</v>
      </c>
      <c r="E1584" s="1404" t="s">
        <v>4613</v>
      </c>
      <c r="F1584" s="1405" t="s">
        <v>5299</v>
      </c>
      <c r="G1584" s="1403" t="s">
        <v>14359</v>
      </c>
      <c r="H1584" s="1406" t="s">
        <v>1025</v>
      </c>
    </row>
    <row r="1585" spans="1:8" x14ac:dyDescent="0.2">
      <c r="A1585" s="7"/>
      <c r="B1585" s="1407" t="str">
        <f t="shared" si="24"/>
        <v>Stilianos Kyriakoulakos</v>
      </c>
      <c r="C1585" s="1402" t="s">
        <v>8055</v>
      </c>
      <c r="D1585" s="1403" t="s">
        <v>8262</v>
      </c>
      <c r="E1585" s="1404" t="s">
        <v>8398</v>
      </c>
      <c r="F1585" s="1405" t="s">
        <v>5300</v>
      </c>
      <c r="G1585" s="1403" t="s">
        <v>14359</v>
      </c>
      <c r="H1585" s="1406" t="s">
        <v>1025</v>
      </c>
    </row>
    <row r="1586" spans="1:8" x14ac:dyDescent="0.2">
      <c r="A1586" s="7"/>
      <c r="B1586" s="1407" t="str">
        <f t="shared" si="24"/>
        <v>Theodoros Tsoutsas</v>
      </c>
      <c r="C1586" s="1402" t="s">
        <v>6173</v>
      </c>
      <c r="D1586" s="1403" t="s">
        <v>5579</v>
      </c>
      <c r="E1586" s="1404" t="s">
        <v>4614</v>
      </c>
      <c r="F1586" s="1405" t="s">
        <v>5299</v>
      </c>
      <c r="G1586" s="1403" t="s">
        <v>15175</v>
      </c>
      <c r="H1586" s="1406" t="s">
        <v>1025</v>
      </c>
    </row>
    <row r="1587" spans="1:8" x14ac:dyDescent="0.2">
      <c r="A1587" s="7"/>
      <c r="B1587" s="1407" t="str">
        <f t="shared" si="24"/>
        <v>John Meros</v>
      </c>
      <c r="C1587" s="1402" t="s">
        <v>6174</v>
      </c>
      <c r="D1587" s="1403" t="s">
        <v>3250</v>
      </c>
      <c r="E1587" s="1404" t="s">
        <v>4615</v>
      </c>
      <c r="F1587" s="1405" t="s">
        <v>5299</v>
      </c>
      <c r="G1587" s="1403" t="s">
        <v>14359</v>
      </c>
      <c r="H1587" s="1406" t="s">
        <v>1025</v>
      </c>
    </row>
    <row r="1588" spans="1:8" x14ac:dyDescent="0.2">
      <c r="A1588" s="7"/>
      <c r="B1588" s="1407" t="str">
        <f t="shared" si="24"/>
        <v>Ioannis Kakavas</v>
      </c>
      <c r="C1588" s="1402" t="s">
        <v>6175</v>
      </c>
      <c r="D1588" s="1403" t="s">
        <v>3350</v>
      </c>
      <c r="E1588" s="1404" t="s">
        <v>4616</v>
      </c>
      <c r="F1588" s="1405" t="s">
        <v>5300</v>
      </c>
      <c r="G1588" s="1403" t="s">
        <v>10251</v>
      </c>
      <c r="H1588" s="1406" t="s">
        <v>1025</v>
      </c>
    </row>
    <row r="1589" spans="1:8" x14ac:dyDescent="0.2">
      <c r="A1589" s="7"/>
      <c r="B1589" s="1407" t="str">
        <f t="shared" si="24"/>
        <v>Kostas Mitrakopoulos</v>
      </c>
      <c r="C1589" s="1402" t="s">
        <v>6176</v>
      </c>
      <c r="D1589" s="1403" t="s">
        <v>3073</v>
      </c>
      <c r="E1589" s="1404" t="s">
        <v>4617</v>
      </c>
      <c r="F1589" s="1405" t="s">
        <v>5299</v>
      </c>
      <c r="G1589" s="1403" t="s">
        <v>14359</v>
      </c>
      <c r="H1589" s="1406" t="s">
        <v>1025</v>
      </c>
    </row>
    <row r="1590" spans="1:8" x14ac:dyDescent="0.2">
      <c r="A1590" s="7"/>
      <c r="B1590" s="1407" t="str">
        <f t="shared" si="24"/>
        <v>Menelaos Karavasilis</v>
      </c>
      <c r="C1590" s="1402" t="s">
        <v>6177</v>
      </c>
      <c r="D1590" s="1403" t="s">
        <v>6971</v>
      </c>
      <c r="E1590" s="1404" t="s">
        <v>4618</v>
      </c>
      <c r="F1590" s="1405" t="s">
        <v>5299</v>
      </c>
      <c r="G1590" s="1403" t="s">
        <v>11324</v>
      </c>
      <c r="H1590" s="1406" t="s">
        <v>1025</v>
      </c>
    </row>
    <row r="1591" spans="1:8" x14ac:dyDescent="0.2">
      <c r="A1591" s="7"/>
      <c r="B1591" s="1407" t="str">
        <f t="shared" si="24"/>
        <v>Nikolaos Karavasilis</v>
      </c>
      <c r="C1591" s="1402" t="s">
        <v>6177</v>
      </c>
      <c r="D1591" s="1403" t="s">
        <v>5554</v>
      </c>
      <c r="E1591" s="1404" t="s">
        <v>4619</v>
      </c>
      <c r="F1591" s="1405" t="s">
        <v>5299</v>
      </c>
      <c r="G1591" s="1403" t="s">
        <v>15175</v>
      </c>
      <c r="H1591" s="1406" t="s">
        <v>1025</v>
      </c>
    </row>
    <row r="1592" spans="1:8" x14ac:dyDescent="0.2">
      <c r="A1592" s="7"/>
      <c r="B1592" s="1407" t="str">
        <f t="shared" si="24"/>
        <v>Nikolaos Georgiopoulos</v>
      </c>
      <c r="C1592" s="1402" t="s">
        <v>6178</v>
      </c>
      <c r="D1592" s="1403" t="s">
        <v>5554</v>
      </c>
      <c r="E1592" s="1404" t="s">
        <v>4620</v>
      </c>
      <c r="F1592" s="1405" t="s">
        <v>5300</v>
      </c>
      <c r="G1592" s="1403" t="s">
        <v>14359</v>
      </c>
      <c r="H1592" s="1406" t="s">
        <v>1025</v>
      </c>
    </row>
    <row r="1593" spans="1:8" x14ac:dyDescent="0.2">
      <c r="A1593" s="7"/>
      <c r="B1593" s="1407" t="str">
        <f t="shared" si="24"/>
        <v>Stefanos Krikelis</v>
      </c>
      <c r="C1593" s="1402" t="s">
        <v>6179</v>
      </c>
      <c r="D1593" s="1403" t="s">
        <v>3501</v>
      </c>
      <c r="E1593" s="1404" t="s">
        <v>4621</v>
      </c>
      <c r="F1593" s="1405" t="s">
        <v>5300</v>
      </c>
      <c r="G1593" s="1403" t="s">
        <v>17171</v>
      </c>
      <c r="H1593" s="1406" t="s">
        <v>1025</v>
      </c>
    </row>
    <row r="1594" spans="1:8" x14ac:dyDescent="0.2">
      <c r="A1594" s="7"/>
      <c r="B1594" s="1407" t="str">
        <f t="shared" si="24"/>
        <v>Dimitrios Kourtis</v>
      </c>
      <c r="C1594" s="1402" t="s">
        <v>6180</v>
      </c>
      <c r="D1594" s="1403" t="s">
        <v>5644</v>
      </c>
      <c r="E1594" s="1404" t="s">
        <v>4622</v>
      </c>
      <c r="F1594" s="1405" t="s">
        <v>5299</v>
      </c>
      <c r="G1594" s="1403" t="s">
        <v>14359</v>
      </c>
      <c r="H1594" s="1406" t="s">
        <v>1025</v>
      </c>
    </row>
    <row r="1595" spans="1:8" x14ac:dyDescent="0.2">
      <c r="A1595" s="7"/>
      <c r="B1595" s="1407" t="str">
        <f t="shared" si="24"/>
        <v>Konstantinos Kaperonis</v>
      </c>
      <c r="C1595" s="1402" t="s">
        <v>6181</v>
      </c>
      <c r="D1595" s="1403" t="s">
        <v>6986</v>
      </c>
      <c r="E1595" s="1404" t="s">
        <v>4623</v>
      </c>
      <c r="F1595" s="1405" t="s">
        <v>5300</v>
      </c>
      <c r="G1595" s="1403" t="s">
        <v>10263</v>
      </c>
      <c r="H1595" s="1406" t="s">
        <v>1025</v>
      </c>
    </row>
    <row r="1596" spans="1:8" x14ac:dyDescent="0.2">
      <c r="A1596" s="7"/>
      <c r="B1596" s="1407" t="str">
        <f t="shared" si="24"/>
        <v>Vasileios Zimeras</v>
      </c>
      <c r="C1596" s="1402" t="s">
        <v>6182</v>
      </c>
      <c r="D1596" s="1403" t="s">
        <v>5548</v>
      </c>
      <c r="E1596" s="1404" t="s">
        <v>4624</v>
      </c>
      <c r="F1596" s="1405" t="s">
        <v>5300</v>
      </c>
      <c r="G1596" s="1403" t="s">
        <v>10263</v>
      </c>
      <c r="H1596" s="1406" t="s">
        <v>1025</v>
      </c>
    </row>
    <row r="1597" spans="1:8" x14ac:dyDescent="0.2">
      <c r="A1597" s="7"/>
      <c r="B1597" s="1407" t="str">
        <f t="shared" si="24"/>
        <v>Konstantinos Mavraganis</v>
      </c>
      <c r="C1597" s="1402" t="s">
        <v>8057</v>
      </c>
      <c r="D1597" s="1403" t="s">
        <v>6986</v>
      </c>
      <c r="E1597" s="1404" t="s">
        <v>8399</v>
      </c>
      <c r="F1597" s="1405" t="s">
        <v>5300</v>
      </c>
      <c r="G1597" s="1403" t="s">
        <v>14359</v>
      </c>
      <c r="H1597" s="1406" t="s">
        <v>1025</v>
      </c>
    </row>
    <row r="1598" spans="1:8" x14ac:dyDescent="0.2">
      <c r="A1598" s="7"/>
      <c r="B1598" s="1407" t="str">
        <f t="shared" si="24"/>
        <v>Lambros Sioulas</v>
      </c>
      <c r="C1598" s="1402" t="s">
        <v>6183</v>
      </c>
      <c r="D1598" s="1403" t="s">
        <v>3096</v>
      </c>
      <c r="E1598" s="1404" t="s">
        <v>4625</v>
      </c>
      <c r="F1598" s="1405" t="s">
        <v>5299</v>
      </c>
      <c r="G1598" s="1403" t="s">
        <v>17171</v>
      </c>
      <c r="H1598" s="1406" t="s">
        <v>1025</v>
      </c>
    </row>
    <row r="1599" spans="1:8" x14ac:dyDescent="0.2">
      <c r="A1599" s="7"/>
      <c r="B1599" s="1407" t="str">
        <f t="shared" si="24"/>
        <v>Georgios Tzimas</v>
      </c>
      <c r="C1599" s="1402" t="s">
        <v>6184</v>
      </c>
      <c r="D1599" s="1403" t="s">
        <v>3324</v>
      </c>
      <c r="E1599" s="1404" t="s">
        <v>4626</v>
      </c>
      <c r="F1599" s="1405" t="s">
        <v>5299</v>
      </c>
      <c r="G1599" s="1403" t="s">
        <v>14359</v>
      </c>
      <c r="H1599" s="1406" t="s">
        <v>1025</v>
      </c>
    </row>
    <row r="1600" spans="1:8" x14ac:dyDescent="0.2">
      <c r="A1600" s="7"/>
      <c r="B1600" s="1407" t="str">
        <f t="shared" si="24"/>
        <v>Dimitris Gortzas</v>
      </c>
      <c r="C1600" s="1402" t="s">
        <v>6185</v>
      </c>
      <c r="D1600" s="1403" t="s">
        <v>3099</v>
      </c>
      <c r="E1600" s="1404" t="s">
        <v>4627</v>
      </c>
      <c r="F1600" s="1405" t="s">
        <v>5299</v>
      </c>
      <c r="G1600" s="1403" t="s">
        <v>14359</v>
      </c>
      <c r="H1600" s="1406" t="s">
        <v>1025</v>
      </c>
    </row>
    <row r="1601" spans="1:8" x14ac:dyDescent="0.2">
      <c r="A1601" s="7"/>
      <c r="B1601" s="1407" t="str">
        <f t="shared" si="24"/>
        <v>Konstantinos Kordatos</v>
      </c>
      <c r="C1601" s="1402" t="s">
        <v>6186</v>
      </c>
      <c r="D1601" s="1403" t="s">
        <v>6986</v>
      </c>
      <c r="E1601" s="1404" t="s">
        <v>4628</v>
      </c>
      <c r="F1601" s="1405" t="s">
        <v>5299</v>
      </c>
      <c r="G1601" s="1403" t="s">
        <v>10246</v>
      </c>
      <c r="H1601" s="1406" t="s">
        <v>1025</v>
      </c>
    </row>
    <row r="1602" spans="1:8" x14ac:dyDescent="0.2">
      <c r="A1602" s="7"/>
      <c r="B1602" s="1407" t="str">
        <f t="shared" si="24"/>
        <v>Konstantinos Seses</v>
      </c>
      <c r="C1602" s="1402" t="s">
        <v>6187</v>
      </c>
      <c r="D1602" s="1403" t="s">
        <v>6986</v>
      </c>
      <c r="E1602" s="1404" t="s">
        <v>4629</v>
      </c>
      <c r="F1602" s="1405" t="s">
        <v>5299</v>
      </c>
      <c r="G1602" s="1403" t="s">
        <v>10246</v>
      </c>
      <c r="H1602" s="1406" t="s">
        <v>1025</v>
      </c>
    </row>
    <row r="1603" spans="1:8" x14ac:dyDescent="0.2">
      <c r="A1603" s="7"/>
      <c r="B1603" s="1407" t="str">
        <f t="shared" si="24"/>
        <v>Stavros Sioulas</v>
      </c>
      <c r="C1603" s="1402" t="s">
        <v>6183</v>
      </c>
      <c r="D1603" s="1403" t="s">
        <v>3336</v>
      </c>
      <c r="E1603" s="1404" t="s">
        <v>4630</v>
      </c>
      <c r="F1603" s="1405" t="s">
        <v>5300</v>
      </c>
      <c r="G1603" s="1403" t="s">
        <v>17171</v>
      </c>
      <c r="H1603" s="1406" t="s">
        <v>1025</v>
      </c>
    </row>
    <row r="1604" spans="1:8" x14ac:dyDescent="0.2">
      <c r="A1604" s="7"/>
      <c r="B1604" s="1407" t="str">
        <f t="shared" si="24"/>
        <v>Dimitris Kourabas</v>
      </c>
      <c r="C1604" s="1402" t="s">
        <v>6188</v>
      </c>
      <c r="D1604" s="1403" t="s">
        <v>3099</v>
      </c>
      <c r="E1604" s="1404" t="s">
        <v>4631</v>
      </c>
      <c r="F1604" s="1405" t="s">
        <v>5300</v>
      </c>
      <c r="G1604" s="1403" t="s">
        <v>13590</v>
      </c>
      <c r="H1604" s="1406" t="s">
        <v>1025</v>
      </c>
    </row>
    <row r="1605" spans="1:8" x14ac:dyDescent="0.2">
      <c r="A1605" s="7"/>
      <c r="B1605" s="1407" t="str">
        <f t="shared" si="24"/>
        <v>Dimitrios Mavromitros</v>
      </c>
      <c r="C1605" s="1402" t="s">
        <v>6189</v>
      </c>
      <c r="D1605" s="1403" t="s">
        <v>5644</v>
      </c>
      <c r="E1605" s="1404" t="s">
        <v>4632</v>
      </c>
      <c r="F1605" s="1405" t="s">
        <v>5300</v>
      </c>
      <c r="G1605" s="1403" t="s">
        <v>14359</v>
      </c>
      <c r="H1605" s="1406" t="s">
        <v>1025</v>
      </c>
    </row>
    <row r="1606" spans="1:8" x14ac:dyDescent="0.2">
      <c r="A1606" s="7"/>
      <c r="B1606" s="1407" t="str">
        <f t="shared" si="24"/>
        <v>Alexandros Theodosopoulos</v>
      </c>
      <c r="C1606" s="1402" t="s">
        <v>6190</v>
      </c>
      <c r="D1606" s="1403" t="s">
        <v>3582</v>
      </c>
      <c r="E1606" s="1404" t="s">
        <v>4633</v>
      </c>
      <c r="F1606" s="1405" t="s">
        <v>5300</v>
      </c>
      <c r="G1606" s="1403" t="s">
        <v>14359</v>
      </c>
      <c r="H1606" s="1406" t="s">
        <v>1025</v>
      </c>
    </row>
    <row r="1607" spans="1:8" x14ac:dyDescent="0.2">
      <c r="A1607" s="7"/>
      <c r="B1607" s="1407" t="str">
        <f t="shared" ref="B1607:B1670" si="25">TRIM(CONCATENATE(D1607," ",C1607))</f>
        <v>Ioannis Mallias</v>
      </c>
      <c r="C1607" s="1402" t="s">
        <v>6191</v>
      </c>
      <c r="D1607" s="1403" t="s">
        <v>3350</v>
      </c>
      <c r="E1607" s="1404" t="s">
        <v>4634</v>
      </c>
      <c r="F1607" s="1405" t="s">
        <v>5299</v>
      </c>
      <c r="G1607" s="1403" t="s">
        <v>14359</v>
      </c>
      <c r="H1607" s="1406" t="s">
        <v>1025</v>
      </c>
    </row>
    <row r="1608" spans="1:8" x14ac:dyDescent="0.2">
      <c r="A1608" s="7"/>
      <c r="B1608" s="1407" t="str">
        <f t="shared" si="25"/>
        <v>Ioannis Kosmopoulos</v>
      </c>
      <c r="C1608" s="1402" t="s">
        <v>6164</v>
      </c>
      <c r="D1608" s="1403" t="s">
        <v>3350</v>
      </c>
      <c r="E1608" s="1404" t="s">
        <v>4635</v>
      </c>
      <c r="F1608" s="1405" t="s">
        <v>5299</v>
      </c>
      <c r="G1608" s="1403" t="s">
        <v>14359</v>
      </c>
      <c r="H1608" s="1406" t="s">
        <v>1025</v>
      </c>
    </row>
    <row r="1609" spans="1:8" x14ac:dyDescent="0.2">
      <c r="A1609" s="7"/>
      <c r="B1609" s="1407" t="str">
        <f t="shared" si="25"/>
        <v>Dimitrios Mallias</v>
      </c>
      <c r="C1609" s="1402" t="s">
        <v>6191</v>
      </c>
      <c r="D1609" s="1403" t="s">
        <v>5644</v>
      </c>
      <c r="E1609" s="1404" t="s">
        <v>4636</v>
      </c>
      <c r="F1609" s="1405" t="s">
        <v>5300</v>
      </c>
      <c r="G1609" s="1403" t="s">
        <v>2758</v>
      </c>
      <c r="H1609" s="1406" t="s">
        <v>1025</v>
      </c>
    </row>
    <row r="1610" spans="1:8" x14ac:dyDescent="0.2">
      <c r="A1610" s="7"/>
      <c r="B1610" s="1407" t="str">
        <f t="shared" si="25"/>
        <v>Dimosthenis Cheiras</v>
      </c>
      <c r="C1610" s="1402" t="s">
        <v>6192</v>
      </c>
      <c r="D1610" s="1403" t="s">
        <v>5601</v>
      </c>
      <c r="E1610" s="1404" t="s">
        <v>4637</v>
      </c>
      <c r="F1610" s="1405" t="s">
        <v>5300</v>
      </c>
      <c r="G1610" s="1403" t="s">
        <v>14359</v>
      </c>
      <c r="H1610" s="1406" t="s">
        <v>1025</v>
      </c>
    </row>
    <row r="1611" spans="1:8" x14ac:dyDescent="0.2">
      <c r="A1611" s="7"/>
      <c r="B1611" s="1407" t="str">
        <f t="shared" si="25"/>
        <v>Theodoros Papavasiliou</v>
      </c>
      <c r="C1611" s="1402" t="s">
        <v>8058</v>
      </c>
      <c r="D1611" s="1403" t="s">
        <v>5579</v>
      </c>
      <c r="E1611" s="1404" t="s">
        <v>4638</v>
      </c>
      <c r="F1611" s="1405" t="s">
        <v>5300</v>
      </c>
      <c r="G1611" s="1403" t="s">
        <v>14359</v>
      </c>
      <c r="H1611" s="1406" t="s">
        <v>1025</v>
      </c>
    </row>
    <row r="1612" spans="1:8" x14ac:dyDescent="0.2">
      <c r="A1612" s="7"/>
      <c r="B1612" s="1407" t="str">
        <f t="shared" si="25"/>
        <v>Eleftherios Voutsinas</v>
      </c>
      <c r="C1612" s="1402" t="s">
        <v>6194</v>
      </c>
      <c r="D1612" s="1403" t="s">
        <v>7808</v>
      </c>
      <c r="E1612" s="1404" t="s">
        <v>4639</v>
      </c>
      <c r="F1612" s="1405" t="s">
        <v>5300</v>
      </c>
      <c r="G1612" s="1403" t="s">
        <v>14359</v>
      </c>
      <c r="H1612" s="1406" t="s">
        <v>1025</v>
      </c>
    </row>
    <row r="1613" spans="1:8" x14ac:dyDescent="0.2">
      <c r="A1613" s="7"/>
      <c r="B1613" s="1407" t="str">
        <f t="shared" si="25"/>
        <v>Nikolaos Palaiologos</v>
      </c>
      <c r="C1613" s="1402" t="s">
        <v>6195</v>
      </c>
      <c r="D1613" s="1403" t="s">
        <v>5554</v>
      </c>
      <c r="E1613" s="1404" t="s">
        <v>4640</v>
      </c>
      <c r="F1613" s="1405" t="s">
        <v>5300</v>
      </c>
      <c r="G1613" s="1403" t="s">
        <v>14359</v>
      </c>
      <c r="H1613" s="1406" t="s">
        <v>1025</v>
      </c>
    </row>
    <row r="1614" spans="1:8" x14ac:dyDescent="0.2">
      <c r="A1614" s="7"/>
      <c r="B1614" s="1407" t="str">
        <f t="shared" si="25"/>
        <v>Panagiotis Axiomakaros</v>
      </c>
      <c r="C1614" s="1402" t="s">
        <v>6196</v>
      </c>
      <c r="D1614" s="1403" t="s">
        <v>3249</v>
      </c>
      <c r="E1614" s="1404" t="s">
        <v>4641</v>
      </c>
      <c r="F1614" s="1405" t="s">
        <v>5300</v>
      </c>
      <c r="G1614" s="1403" t="s">
        <v>14359</v>
      </c>
      <c r="H1614" s="1406" t="s">
        <v>1025</v>
      </c>
    </row>
    <row r="1615" spans="1:8" x14ac:dyDescent="0.2">
      <c r="A1615" s="7"/>
      <c r="B1615" s="1407" t="str">
        <f t="shared" si="25"/>
        <v>Ioannis Kalavros</v>
      </c>
      <c r="C1615" s="1402" t="s">
        <v>6197</v>
      </c>
      <c r="D1615" s="1403" t="s">
        <v>3350</v>
      </c>
      <c r="E1615" s="1404" t="s">
        <v>4642</v>
      </c>
      <c r="F1615" s="1405" t="s">
        <v>5300</v>
      </c>
      <c r="G1615" s="1403" t="s">
        <v>14359</v>
      </c>
      <c r="H1615" s="1406" t="s">
        <v>1025</v>
      </c>
    </row>
    <row r="1616" spans="1:8" x14ac:dyDescent="0.2">
      <c r="A1616" s="7"/>
      <c r="B1616" s="1407" t="str">
        <f t="shared" si="25"/>
        <v>Konstantinos Alexiou</v>
      </c>
      <c r="C1616" s="1402" t="s">
        <v>6198</v>
      </c>
      <c r="D1616" s="1403" t="s">
        <v>6986</v>
      </c>
      <c r="E1616" s="1404" t="s">
        <v>4643</v>
      </c>
      <c r="F1616" s="1405" t="s">
        <v>5299</v>
      </c>
      <c r="G1616" s="1403" t="s">
        <v>10251</v>
      </c>
      <c r="H1616" s="1406" t="s">
        <v>1025</v>
      </c>
    </row>
    <row r="1617" spans="1:8" x14ac:dyDescent="0.2">
      <c r="A1617" s="7"/>
      <c r="B1617" s="1407" t="str">
        <f t="shared" si="25"/>
        <v>Christos Fanaras</v>
      </c>
      <c r="C1617" s="1402" t="s">
        <v>6199</v>
      </c>
      <c r="D1617" s="1403" t="s">
        <v>3135</v>
      </c>
      <c r="E1617" s="1404" t="s">
        <v>4644</v>
      </c>
      <c r="F1617" s="1405" t="s">
        <v>5299</v>
      </c>
      <c r="G1617" s="1403" t="s">
        <v>14359</v>
      </c>
      <c r="H1617" s="1406" t="s">
        <v>1025</v>
      </c>
    </row>
    <row r="1618" spans="1:8" x14ac:dyDescent="0.2">
      <c r="A1618" s="7"/>
      <c r="B1618" s="1407" t="str">
        <f t="shared" si="25"/>
        <v>Athanasios Zavrakas</v>
      </c>
      <c r="C1618" s="1402" t="s">
        <v>6169</v>
      </c>
      <c r="D1618" s="1403" t="s">
        <v>3472</v>
      </c>
      <c r="E1618" s="1404" t="s">
        <v>4645</v>
      </c>
      <c r="F1618" s="1405" t="s">
        <v>5299</v>
      </c>
      <c r="G1618" s="1403" t="s">
        <v>15175</v>
      </c>
      <c r="H1618" s="1406" t="s">
        <v>1025</v>
      </c>
    </row>
    <row r="1619" spans="1:8" x14ac:dyDescent="0.2">
      <c r="A1619" s="7"/>
      <c r="B1619" s="1407" t="str">
        <f t="shared" si="25"/>
        <v>Thrasyvoulos Gagas</v>
      </c>
      <c r="C1619" s="1402" t="s">
        <v>6200</v>
      </c>
      <c r="D1619" s="1403" t="s">
        <v>3540</v>
      </c>
      <c r="E1619" s="1404" t="s">
        <v>4646</v>
      </c>
      <c r="F1619" s="1405" t="s">
        <v>5299</v>
      </c>
      <c r="G1619" s="1403" t="s">
        <v>15175</v>
      </c>
      <c r="H1619" s="1406" t="s">
        <v>1025</v>
      </c>
    </row>
    <row r="1620" spans="1:8" x14ac:dyDescent="0.2">
      <c r="A1620" s="7"/>
      <c r="B1620" s="1407" t="str">
        <f t="shared" si="25"/>
        <v>Georgios Seferos</v>
      </c>
      <c r="C1620" s="1402" t="s">
        <v>6201</v>
      </c>
      <c r="D1620" s="1403" t="s">
        <v>3324</v>
      </c>
      <c r="E1620" s="1404" t="s">
        <v>4647</v>
      </c>
      <c r="F1620" s="1405" t="s">
        <v>5300</v>
      </c>
      <c r="G1620" s="1403" t="s">
        <v>14359</v>
      </c>
      <c r="H1620" s="1406" t="s">
        <v>1025</v>
      </c>
    </row>
    <row r="1621" spans="1:8" x14ac:dyDescent="0.2">
      <c r="A1621" s="7"/>
      <c r="B1621" s="1407" t="str">
        <f t="shared" si="25"/>
        <v>Giannis Psarras</v>
      </c>
      <c r="C1621" s="1402" t="s">
        <v>6202</v>
      </c>
      <c r="D1621" s="1403" t="s">
        <v>3083</v>
      </c>
      <c r="E1621" s="1404" t="s">
        <v>4648</v>
      </c>
      <c r="F1621" s="1405" t="s">
        <v>5300</v>
      </c>
      <c r="G1621" s="1403" t="s">
        <v>14359</v>
      </c>
      <c r="H1621" s="1406" t="s">
        <v>1025</v>
      </c>
    </row>
    <row r="1622" spans="1:8" x14ac:dyDescent="0.2">
      <c r="A1622" s="7"/>
      <c r="B1622" s="1407" t="str">
        <f t="shared" si="25"/>
        <v>Evangelos Kotrotsos</v>
      </c>
      <c r="C1622" s="1402" t="s">
        <v>6203</v>
      </c>
      <c r="D1622" s="1403" t="s">
        <v>3709</v>
      </c>
      <c r="E1622" s="1404" t="s">
        <v>4649</v>
      </c>
      <c r="F1622" s="1405" t="s">
        <v>13210</v>
      </c>
      <c r="G1622" s="1403" t="s">
        <v>3213</v>
      </c>
      <c r="H1622" s="1406" t="s">
        <v>1025</v>
      </c>
    </row>
    <row r="1623" spans="1:8" x14ac:dyDescent="0.2">
      <c r="A1623" s="7"/>
      <c r="B1623" s="1407" t="str">
        <f t="shared" si="25"/>
        <v>Antonios Vlastos</v>
      </c>
      <c r="C1623" s="1402" t="s">
        <v>6204</v>
      </c>
      <c r="D1623" s="1403" t="s">
        <v>8256</v>
      </c>
      <c r="E1623" s="1404" t="s">
        <v>4650</v>
      </c>
      <c r="F1623" s="1405" t="s">
        <v>5300</v>
      </c>
      <c r="G1623" s="1403" t="s">
        <v>14359</v>
      </c>
      <c r="H1623" s="1406" t="s">
        <v>1025</v>
      </c>
    </row>
    <row r="1624" spans="1:8" x14ac:dyDescent="0.2">
      <c r="A1624" s="7"/>
      <c r="B1624" s="1407" t="str">
        <f t="shared" si="25"/>
        <v>Kostantinos Dalietos</v>
      </c>
      <c r="C1624" s="1402" t="s">
        <v>6205</v>
      </c>
      <c r="D1624" s="1403" t="s">
        <v>8263</v>
      </c>
      <c r="E1624" s="1404" t="s">
        <v>4651</v>
      </c>
      <c r="F1624" s="1405" t="s">
        <v>5299</v>
      </c>
      <c r="G1624" s="1403" t="s">
        <v>14359</v>
      </c>
      <c r="H1624" s="1406" t="s">
        <v>1025</v>
      </c>
    </row>
    <row r="1625" spans="1:8" x14ac:dyDescent="0.2">
      <c r="A1625" s="7"/>
      <c r="B1625" s="1407" t="str">
        <f t="shared" si="25"/>
        <v>Georgios Androutsopoulos</v>
      </c>
      <c r="C1625" s="1402" t="s">
        <v>6206</v>
      </c>
      <c r="D1625" s="1403" t="s">
        <v>3324</v>
      </c>
      <c r="E1625" s="1404" t="s">
        <v>4652</v>
      </c>
      <c r="F1625" s="1405" t="s">
        <v>5299</v>
      </c>
      <c r="G1625" s="1403" t="s">
        <v>14359</v>
      </c>
      <c r="H1625" s="1406" t="s">
        <v>1025</v>
      </c>
    </row>
    <row r="1626" spans="1:8" x14ac:dyDescent="0.2">
      <c r="A1626" s="7"/>
      <c r="B1626" s="1407" t="str">
        <f t="shared" si="25"/>
        <v>Antonis Vikatos</v>
      </c>
      <c r="C1626" s="1402" t="s">
        <v>6207</v>
      </c>
      <c r="D1626" s="1403" t="s">
        <v>3164</v>
      </c>
      <c r="E1626" s="1404" t="s">
        <v>4653</v>
      </c>
      <c r="F1626" s="1405" t="s">
        <v>5300</v>
      </c>
      <c r="G1626" s="1403" t="s">
        <v>14359</v>
      </c>
      <c r="H1626" s="1406" t="s">
        <v>1025</v>
      </c>
    </row>
    <row r="1627" spans="1:8" x14ac:dyDescent="0.2">
      <c r="A1627" s="7"/>
      <c r="B1627" s="1407" t="str">
        <f t="shared" si="25"/>
        <v>Alekos Morias</v>
      </c>
      <c r="C1627" s="1402" t="s">
        <v>6208</v>
      </c>
      <c r="D1627" s="1403" t="s">
        <v>6972</v>
      </c>
      <c r="E1627" s="1404" t="s">
        <v>4654</v>
      </c>
      <c r="F1627" s="1405" t="s">
        <v>5299</v>
      </c>
      <c r="G1627" s="1403" t="s">
        <v>14359</v>
      </c>
      <c r="H1627" s="1406" t="s">
        <v>1025</v>
      </c>
    </row>
    <row r="1628" spans="1:8" x14ac:dyDescent="0.2">
      <c r="A1628" s="7"/>
      <c r="B1628" s="1407" t="str">
        <f t="shared" si="25"/>
        <v>Antonis Vlachopoulos</v>
      </c>
      <c r="C1628" s="1402" t="s">
        <v>8059</v>
      </c>
      <c r="D1628" s="1403" t="s">
        <v>3164</v>
      </c>
      <c r="E1628" s="1404" t="s">
        <v>4655</v>
      </c>
      <c r="F1628" s="1405" t="s">
        <v>5299</v>
      </c>
      <c r="G1628" s="1403" t="s">
        <v>10251</v>
      </c>
      <c r="H1628" s="1406" t="s">
        <v>1025</v>
      </c>
    </row>
    <row r="1629" spans="1:8" x14ac:dyDescent="0.2">
      <c r="A1629" s="7"/>
      <c r="B1629" s="1407" t="str">
        <f t="shared" si="25"/>
        <v>Vasilis Rahmanis</v>
      </c>
      <c r="C1629" s="1402" t="s">
        <v>6209</v>
      </c>
      <c r="D1629" s="1403" t="s">
        <v>3630</v>
      </c>
      <c r="E1629" s="1404" t="s">
        <v>4656</v>
      </c>
      <c r="F1629" s="1405" t="s">
        <v>5300</v>
      </c>
      <c r="G1629" s="1403" t="s">
        <v>14359</v>
      </c>
      <c r="H1629" s="1406" t="s">
        <v>1025</v>
      </c>
    </row>
    <row r="1630" spans="1:8" x14ac:dyDescent="0.2">
      <c r="A1630" s="7"/>
      <c r="B1630" s="1407" t="str">
        <f t="shared" si="25"/>
        <v>Efthimios Tosioudis</v>
      </c>
      <c r="C1630" s="1402" t="s">
        <v>6210</v>
      </c>
      <c r="D1630" s="1403" t="s">
        <v>6961</v>
      </c>
      <c r="E1630" s="1404" t="s">
        <v>4657</v>
      </c>
      <c r="F1630" s="1405" t="s">
        <v>5299</v>
      </c>
      <c r="G1630" s="1403" t="s">
        <v>14359</v>
      </c>
      <c r="H1630" s="1406" t="s">
        <v>1025</v>
      </c>
    </row>
    <row r="1631" spans="1:8" x14ac:dyDescent="0.2">
      <c r="A1631" s="7"/>
      <c r="B1631" s="1407" t="str">
        <f t="shared" si="25"/>
        <v>Thanos Kaffes</v>
      </c>
      <c r="C1631" s="1402" t="s">
        <v>6211</v>
      </c>
      <c r="D1631" s="1403" t="s">
        <v>6973</v>
      </c>
      <c r="E1631" s="1404" t="s">
        <v>4658</v>
      </c>
      <c r="F1631" s="1405" t="s">
        <v>5299</v>
      </c>
      <c r="G1631" s="1403" t="s">
        <v>14359</v>
      </c>
      <c r="H1631" s="1406" t="s">
        <v>1025</v>
      </c>
    </row>
    <row r="1632" spans="1:8" x14ac:dyDescent="0.2">
      <c r="A1632" s="7"/>
      <c r="B1632" s="1407" t="str">
        <f t="shared" si="25"/>
        <v>Giannis Kailoglou</v>
      </c>
      <c r="C1632" s="1402" t="s">
        <v>6212</v>
      </c>
      <c r="D1632" s="1403" t="s">
        <v>3083</v>
      </c>
      <c r="E1632" s="1404" t="s">
        <v>4659</v>
      </c>
      <c r="F1632" s="1405" t="s">
        <v>5299</v>
      </c>
      <c r="G1632" s="1403" t="s">
        <v>14359</v>
      </c>
      <c r="H1632" s="1406" t="s">
        <v>1025</v>
      </c>
    </row>
    <row r="1633" spans="1:8" x14ac:dyDescent="0.2">
      <c r="A1633" s="7"/>
      <c r="B1633" s="1407" t="str">
        <f t="shared" si="25"/>
        <v>Nikolaos Tosioudis</v>
      </c>
      <c r="C1633" s="1402" t="s">
        <v>6210</v>
      </c>
      <c r="D1633" s="1403" t="s">
        <v>5554</v>
      </c>
      <c r="E1633" s="1404" t="s">
        <v>4660</v>
      </c>
      <c r="F1633" s="1405" t="s">
        <v>5299</v>
      </c>
      <c r="G1633" s="1403" t="s">
        <v>11324</v>
      </c>
      <c r="H1633" s="1406" t="s">
        <v>1025</v>
      </c>
    </row>
    <row r="1634" spans="1:8" x14ac:dyDescent="0.2">
      <c r="A1634" s="7"/>
      <c r="B1634" s="1407" t="str">
        <f t="shared" si="25"/>
        <v>Nikolaos Moshidis</v>
      </c>
      <c r="C1634" s="1402" t="s">
        <v>6213</v>
      </c>
      <c r="D1634" s="1403" t="s">
        <v>5554</v>
      </c>
      <c r="E1634" s="1404" t="s">
        <v>4661</v>
      </c>
      <c r="F1634" s="1405" t="s">
        <v>5299</v>
      </c>
      <c r="G1634" s="1403" t="s">
        <v>14359</v>
      </c>
      <c r="H1634" s="1406" t="s">
        <v>1025</v>
      </c>
    </row>
    <row r="1635" spans="1:8" x14ac:dyDescent="0.2">
      <c r="A1635" s="7"/>
      <c r="B1635" s="1407" t="str">
        <f t="shared" si="25"/>
        <v>Dimitrios Kontogiannis</v>
      </c>
      <c r="C1635" s="1402" t="s">
        <v>6214</v>
      </c>
      <c r="D1635" s="1403" t="s">
        <v>5644</v>
      </c>
      <c r="E1635" s="1404" t="s">
        <v>4662</v>
      </c>
      <c r="F1635" s="1405" t="s">
        <v>5300</v>
      </c>
      <c r="G1635" s="1403" t="s">
        <v>14359</v>
      </c>
      <c r="H1635" s="1406" t="s">
        <v>1025</v>
      </c>
    </row>
    <row r="1636" spans="1:8" x14ac:dyDescent="0.2">
      <c r="A1636" s="7"/>
      <c r="B1636" s="1407" t="str">
        <f t="shared" si="25"/>
        <v>Nikolaos Giannopoulos</v>
      </c>
      <c r="C1636" s="1402" t="s">
        <v>6215</v>
      </c>
      <c r="D1636" s="1403" t="s">
        <v>5554</v>
      </c>
      <c r="E1636" s="1404" t="s">
        <v>4663</v>
      </c>
      <c r="F1636" s="1405" t="s">
        <v>5300</v>
      </c>
      <c r="G1636" s="1403" t="s">
        <v>14359</v>
      </c>
      <c r="H1636" s="1406" t="s">
        <v>1025</v>
      </c>
    </row>
    <row r="1637" spans="1:8" x14ac:dyDescent="0.2">
      <c r="A1637" s="7"/>
      <c r="B1637" s="1407" t="str">
        <f t="shared" si="25"/>
        <v>Marios Cheiras</v>
      </c>
      <c r="C1637" s="1402" t="s">
        <v>6192</v>
      </c>
      <c r="D1637" s="1403" t="s">
        <v>3557</v>
      </c>
      <c r="E1637" s="1404" t="s">
        <v>4664</v>
      </c>
      <c r="F1637" s="1405" t="s">
        <v>5300</v>
      </c>
      <c r="G1637" s="1403" t="s">
        <v>14359</v>
      </c>
      <c r="H1637" s="1406" t="s">
        <v>1025</v>
      </c>
    </row>
    <row r="1638" spans="1:8" x14ac:dyDescent="0.2">
      <c r="A1638" s="7"/>
      <c r="B1638" s="1407" t="str">
        <f t="shared" si="25"/>
        <v>Nikolaos Zafirakis</v>
      </c>
      <c r="C1638" s="1402" t="s">
        <v>6216</v>
      </c>
      <c r="D1638" s="1403" t="s">
        <v>5554</v>
      </c>
      <c r="E1638" s="1404" t="s">
        <v>4665</v>
      </c>
      <c r="F1638" s="1405" t="s">
        <v>5299</v>
      </c>
      <c r="G1638" s="1403" t="s">
        <v>14359</v>
      </c>
      <c r="H1638" s="1406" t="s">
        <v>1025</v>
      </c>
    </row>
    <row r="1639" spans="1:8" x14ac:dyDescent="0.2">
      <c r="A1639" s="7"/>
      <c r="B1639" s="1407" t="str">
        <f t="shared" si="25"/>
        <v>Michalis Zioulis</v>
      </c>
      <c r="C1639" s="1402" t="s">
        <v>6217</v>
      </c>
      <c r="D1639" s="1403" t="s">
        <v>3580</v>
      </c>
      <c r="E1639" s="1404" t="s">
        <v>4666</v>
      </c>
      <c r="F1639" s="1405" t="s">
        <v>5299</v>
      </c>
      <c r="G1639" s="1403" t="s">
        <v>14359</v>
      </c>
      <c r="H1639" s="1406" t="s">
        <v>1025</v>
      </c>
    </row>
    <row r="1640" spans="1:8" x14ac:dyDescent="0.2">
      <c r="A1640" s="7"/>
      <c r="B1640" s="1407" t="str">
        <f t="shared" si="25"/>
        <v>Kostas Ftakas</v>
      </c>
      <c r="C1640" s="1402" t="s">
        <v>6218</v>
      </c>
      <c r="D1640" s="1403" t="s">
        <v>3073</v>
      </c>
      <c r="E1640" s="1404" t="s">
        <v>4667</v>
      </c>
      <c r="F1640" s="1405" t="s">
        <v>5299</v>
      </c>
      <c r="G1640" s="1403" t="s">
        <v>14359</v>
      </c>
      <c r="H1640" s="1406" t="s">
        <v>1025</v>
      </c>
    </row>
    <row r="1641" spans="1:8" x14ac:dyDescent="0.2">
      <c r="A1641" s="7"/>
      <c r="B1641" s="1407" t="str">
        <f t="shared" si="25"/>
        <v>Aggelos Papaioannoy</v>
      </c>
      <c r="C1641" s="1402" t="s">
        <v>6219</v>
      </c>
      <c r="D1641" s="1403" t="s">
        <v>3644</v>
      </c>
      <c r="E1641" s="1404" t="s">
        <v>4668</v>
      </c>
      <c r="F1641" s="1405" t="s">
        <v>5299</v>
      </c>
      <c r="G1641" s="1403" t="s">
        <v>14359</v>
      </c>
      <c r="H1641" s="1406" t="s">
        <v>1025</v>
      </c>
    </row>
    <row r="1642" spans="1:8" x14ac:dyDescent="0.2">
      <c r="A1642" s="7"/>
      <c r="B1642" s="1407" t="str">
        <f t="shared" si="25"/>
        <v>Evaggelos Stergioulas</v>
      </c>
      <c r="C1642" s="1402" t="s">
        <v>6220</v>
      </c>
      <c r="D1642" s="1403" t="s">
        <v>6974</v>
      </c>
      <c r="E1642" s="1404" t="s">
        <v>4669</v>
      </c>
      <c r="F1642" s="1405" t="s">
        <v>5299</v>
      </c>
      <c r="G1642" s="1403" t="s">
        <v>14359</v>
      </c>
      <c r="H1642" s="1406" t="s">
        <v>1025</v>
      </c>
    </row>
    <row r="1643" spans="1:8" x14ac:dyDescent="0.2">
      <c r="A1643" s="7"/>
      <c r="B1643" s="1407" t="str">
        <f t="shared" si="25"/>
        <v>Spyros Polizos</v>
      </c>
      <c r="C1643" s="1402" t="s">
        <v>8060</v>
      </c>
      <c r="D1643" s="1403" t="s">
        <v>3050</v>
      </c>
      <c r="E1643" s="1404" t="s">
        <v>4670</v>
      </c>
      <c r="F1643" s="1405" t="s">
        <v>5299</v>
      </c>
      <c r="G1643" s="1403" t="s">
        <v>3041</v>
      </c>
      <c r="H1643" s="1406" t="s">
        <v>1025</v>
      </c>
    </row>
    <row r="1644" spans="1:8" x14ac:dyDescent="0.2">
      <c r="A1644" s="7"/>
      <c r="B1644" s="1407" t="str">
        <f t="shared" si="25"/>
        <v>Stilianos Matsopoulos</v>
      </c>
      <c r="C1644" s="1402" t="s">
        <v>6221</v>
      </c>
      <c r="D1644" s="1403" t="s">
        <v>8262</v>
      </c>
      <c r="E1644" s="1404" t="s">
        <v>4671</v>
      </c>
      <c r="F1644" s="1405" t="s">
        <v>5299</v>
      </c>
      <c r="G1644" s="1403" t="s">
        <v>17171</v>
      </c>
      <c r="H1644" s="1406" t="s">
        <v>1025</v>
      </c>
    </row>
    <row r="1645" spans="1:8" x14ac:dyDescent="0.2">
      <c r="A1645" s="7"/>
      <c r="B1645" s="1407" t="str">
        <f t="shared" si="25"/>
        <v>Leandros Sourlas</v>
      </c>
      <c r="C1645" s="1402" t="s">
        <v>6222</v>
      </c>
      <c r="D1645" s="1403" t="s">
        <v>5647</v>
      </c>
      <c r="E1645" s="1404" t="s">
        <v>4672</v>
      </c>
      <c r="F1645" s="1405" t="s">
        <v>5299</v>
      </c>
      <c r="G1645" s="1403" t="s">
        <v>5309</v>
      </c>
      <c r="H1645" s="1406" t="s">
        <v>1025</v>
      </c>
    </row>
    <row r="1646" spans="1:8" x14ac:dyDescent="0.2">
      <c r="A1646" s="7"/>
      <c r="B1646" s="1407" t="str">
        <f t="shared" si="25"/>
        <v>Haralampos Hatziliadis</v>
      </c>
      <c r="C1646" s="1402" t="s">
        <v>6223</v>
      </c>
      <c r="D1646" s="1403" t="s">
        <v>6975</v>
      </c>
      <c r="E1646" s="1404" t="s">
        <v>4673</v>
      </c>
      <c r="F1646" s="1405" t="s">
        <v>5299</v>
      </c>
      <c r="G1646" s="1403" t="s">
        <v>14359</v>
      </c>
      <c r="H1646" s="1406" t="s">
        <v>1025</v>
      </c>
    </row>
    <row r="1647" spans="1:8" x14ac:dyDescent="0.2">
      <c r="A1647" s="7"/>
      <c r="B1647" s="1407" t="str">
        <f t="shared" si="25"/>
        <v>Ioannis Hatziliadis</v>
      </c>
      <c r="C1647" s="1402" t="s">
        <v>6223</v>
      </c>
      <c r="D1647" s="1403" t="s">
        <v>3350</v>
      </c>
      <c r="E1647" s="1404" t="s">
        <v>4674</v>
      </c>
      <c r="F1647" s="1405" t="s">
        <v>13210</v>
      </c>
      <c r="G1647" s="1403" t="s">
        <v>14359</v>
      </c>
      <c r="H1647" s="1406" t="s">
        <v>1025</v>
      </c>
    </row>
    <row r="1648" spans="1:8" x14ac:dyDescent="0.2">
      <c r="A1648" s="7"/>
      <c r="B1648" s="1407" t="str">
        <f t="shared" si="25"/>
        <v>Theodoros Mitropoulos</v>
      </c>
      <c r="C1648" s="1402" t="s">
        <v>6224</v>
      </c>
      <c r="D1648" s="1403" t="s">
        <v>5579</v>
      </c>
      <c r="E1648" s="1404" t="s">
        <v>4675</v>
      </c>
      <c r="F1648" s="1405" t="s">
        <v>5299</v>
      </c>
      <c r="G1648" s="1403" t="s">
        <v>14359</v>
      </c>
      <c r="H1648" s="1406" t="s">
        <v>1025</v>
      </c>
    </row>
    <row r="1649" spans="1:8" x14ac:dyDescent="0.2">
      <c r="A1649" s="7"/>
      <c r="B1649" s="1407" t="str">
        <f t="shared" si="25"/>
        <v>Georgios Kollias</v>
      </c>
      <c r="C1649" s="1402" t="s">
        <v>6225</v>
      </c>
      <c r="D1649" s="1403" t="s">
        <v>3324</v>
      </c>
      <c r="E1649" s="1404" t="s">
        <v>4676</v>
      </c>
      <c r="F1649" s="1405" t="s">
        <v>5299</v>
      </c>
      <c r="G1649" s="1403" t="s">
        <v>9449</v>
      </c>
      <c r="H1649" s="1406" t="s">
        <v>1025</v>
      </c>
    </row>
    <row r="1650" spans="1:8" x14ac:dyDescent="0.2">
      <c r="A1650" s="7"/>
      <c r="B1650" s="1407" t="str">
        <f t="shared" si="25"/>
        <v>Nikolaos Tselepidis</v>
      </c>
      <c r="C1650" s="1402" t="s">
        <v>6226</v>
      </c>
      <c r="D1650" s="1403" t="s">
        <v>5554</v>
      </c>
      <c r="E1650" s="1404" t="s">
        <v>4677</v>
      </c>
      <c r="F1650" s="1405" t="s">
        <v>5300</v>
      </c>
      <c r="G1650" s="1403" t="s">
        <v>5309</v>
      </c>
      <c r="H1650" s="1406" t="s">
        <v>1025</v>
      </c>
    </row>
    <row r="1651" spans="1:8" x14ac:dyDescent="0.2">
      <c r="A1651" s="7"/>
      <c r="B1651" s="1407" t="str">
        <f t="shared" si="25"/>
        <v>Giorgos Zavos</v>
      </c>
      <c r="C1651" s="1402" t="s">
        <v>6227</v>
      </c>
      <c r="D1651" s="1403" t="s">
        <v>3040</v>
      </c>
      <c r="E1651" s="1404" t="s">
        <v>4678</v>
      </c>
      <c r="F1651" s="1405" t="s">
        <v>5300</v>
      </c>
      <c r="G1651" s="1403" t="s">
        <v>5309</v>
      </c>
      <c r="H1651" s="1406" t="s">
        <v>1025</v>
      </c>
    </row>
    <row r="1652" spans="1:8" x14ac:dyDescent="0.2">
      <c r="A1652" s="7"/>
      <c r="B1652" s="1407" t="str">
        <f t="shared" si="25"/>
        <v>Giorgos Kartalis</v>
      </c>
      <c r="C1652" s="1402" t="s">
        <v>6228</v>
      </c>
      <c r="D1652" s="1403" t="s">
        <v>3040</v>
      </c>
      <c r="E1652" s="1404" t="s">
        <v>4679</v>
      </c>
      <c r="F1652" s="1405" t="s">
        <v>5300</v>
      </c>
      <c r="G1652" s="1403" t="s">
        <v>14359</v>
      </c>
      <c r="H1652" s="1406" t="s">
        <v>1025</v>
      </c>
    </row>
    <row r="1653" spans="1:8" x14ac:dyDescent="0.2">
      <c r="A1653" s="7"/>
      <c r="B1653" s="1407" t="str">
        <f t="shared" si="25"/>
        <v>Panagiotis Charatsis</v>
      </c>
      <c r="C1653" s="1402" t="s">
        <v>9932</v>
      </c>
      <c r="D1653" s="1403" t="s">
        <v>3249</v>
      </c>
      <c r="E1653" s="1404" t="s">
        <v>4680</v>
      </c>
      <c r="F1653" s="1405" t="s">
        <v>5300</v>
      </c>
      <c r="G1653" s="1403" t="s">
        <v>5309</v>
      </c>
      <c r="H1653" s="1406" t="s">
        <v>1025</v>
      </c>
    </row>
    <row r="1654" spans="1:8" x14ac:dyDescent="0.2">
      <c r="A1654" s="7"/>
      <c r="B1654" s="1407" t="str">
        <f t="shared" si="25"/>
        <v>Konstantinos Voikos</v>
      </c>
      <c r="C1654" s="1402" t="s">
        <v>8061</v>
      </c>
      <c r="D1654" s="1403" t="s">
        <v>6986</v>
      </c>
      <c r="E1654" s="1404" t="s">
        <v>8400</v>
      </c>
      <c r="F1654" s="1405" t="s">
        <v>5299</v>
      </c>
      <c r="G1654" s="1403" t="s">
        <v>14359</v>
      </c>
      <c r="H1654" s="1406" t="s">
        <v>1025</v>
      </c>
    </row>
    <row r="1655" spans="1:8" x14ac:dyDescent="0.2">
      <c r="A1655" s="7"/>
      <c r="B1655" s="1407" t="str">
        <f t="shared" si="25"/>
        <v>Paraskevas Aggelakos</v>
      </c>
      <c r="C1655" s="1402" t="s">
        <v>6229</v>
      </c>
      <c r="D1655" s="1403" t="s">
        <v>6976</v>
      </c>
      <c r="E1655" s="1404" t="s">
        <v>4681</v>
      </c>
      <c r="F1655" s="1405" t="s">
        <v>5300</v>
      </c>
      <c r="G1655" s="1403" t="s">
        <v>14359</v>
      </c>
      <c r="H1655" s="1406" t="s">
        <v>1025</v>
      </c>
    </row>
    <row r="1656" spans="1:8" x14ac:dyDescent="0.2">
      <c r="A1656" s="7"/>
      <c r="B1656" s="1407" t="str">
        <f t="shared" si="25"/>
        <v>Nikolaos Papadogonas</v>
      </c>
      <c r="C1656" s="1402" t="s">
        <v>6230</v>
      </c>
      <c r="D1656" s="1403" t="s">
        <v>5554</v>
      </c>
      <c r="E1656" s="1404" t="s">
        <v>4682</v>
      </c>
      <c r="F1656" s="1405" t="s">
        <v>5299</v>
      </c>
      <c r="G1656" s="1403" t="s">
        <v>14359</v>
      </c>
      <c r="H1656" s="1406" t="s">
        <v>1025</v>
      </c>
    </row>
    <row r="1657" spans="1:8" x14ac:dyDescent="0.2">
      <c r="A1657" s="7"/>
      <c r="B1657" s="1407" t="str">
        <f t="shared" si="25"/>
        <v>Makis Tsitouras</v>
      </c>
      <c r="C1657" s="1402" t="s">
        <v>6231</v>
      </c>
      <c r="D1657" s="1403" t="s">
        <v>6963</v>
      </c>
      <c r="E1657" s="1404" t="s">
        <v>4683</v>
      </c>
      <c r="F1657" s="1405" t="s">
        <v>5299</v>
      </c>
      <c r="G1657" s="1403" t="s">
        <v>14359</v>
      </c>
      <c r="H1657" s="1406" t="s">
        <v>1025</v>
      </c>
    </row>
    <row r="1658" spans="1:8" x14ac:dyDescent="0.2">
      <c r="A1658" s="7"/>
      <c r="B1658" s="1407" t="str">
        <f t="shared" si="25"/>
        <v>Theofilos Karagianniotis</v>
      </c>
      <c r="C1658" s="1402" t="s">
        <v>6232</v>
      </c>
      <c r="D1658" s="1403" t="s">
        <v>5535</v>
      </c>
      <c r="E1658" s="1404" t="s">
        <v>4684</v>
      </c>
      <c r="F1658" s="1405" t="s">
        <v>5299</v>
      </c>
      <c r="G1658" s="1403" t="s">
        <v>3213</v>
      </c>
      <c r="H1658" s="1406" t="s">
        <v>1025</v>
      </c>
    </row>
    <row r="1659" spans="1:8" x14ac:dyDescent="0.2">
      <c r="A1659" s="7"/>
      <c r="B1659" s="1407" t="str">
        <f t="shared" si="25"/>
        <v>Giorgos Drazinakis</v>
      </c>
      <c r="C1659" s="1402" t="s">
        <v>6233</v>
      </c>
      <c r="D1659" s="1403" t="s">
        <v>3040</v>
      </c>
      <c r="E1659" s="1404" t="s">
        <v>4685</v>
      </c>
      <c r="F1659" s="1405" t="s">
        <v>5300</v>
      </c>
      <c r="G1659" s="1403" t="s">
        <v>5309</v>
      </c>
      <c r="H1659" s="1406" t="s">
        <v>1025</v>
      </c>
    </row>
    <row r="1660" spans="1:8" x14ac:dyDescent="0.2">
      <c r="A1660" s="7"/>
      <c r="B1660" s="1407" t="str">
        <f t="shared" si="25"/>
        <v>Dimitrios Dimopoulos</v>
      </c>
      <c r="C1660" s="1402" t="s">
        <v>6067</v>
      </c>
      <c r="D1660" s="1403" t="s">
        <v>5644</v>
      </c>
      <c r="E1660" s="1404" t="s">
        <v>4686</v>
      </c>
      <c r="F1660" s="1405" t="s">
        <v>5299</v>
      </c>
      <c r="G1660" s="1403" t="s">
        <v>10262</v>
      </c>
      <c r="H1660" s="1406" t="s">
        <v>1025</v>
      </c>
    </row>
    <row r="1661" spans="1:8" x14ac:dyDescent="0.2">
      <c r="A1661" s="7"/>
      <c r="B1661" s="1407" t="str">
        <f t="shared" si="25"/>
        <v>Rafail Dimopoulos</v>
      </c>
      <c r="C1661" s="1402" t="s">
        <v>6067</v>
      </c>
      <c r="D1661" s="1403" t="s">
        <v>8264</v>
      </c>
      <c r="E1661" s="1404" t="s">
        <v>4687</v>
      </c>
      <c r="F1661" s="1405" t="s">
        <v>5299</v>
      </c>
      <c r="G1661" s="1403" t="s">
        <v>14359</v>
      </c>
      <c r="H1661" s="1406" t="s">
        <v>1025</v>
      </c>
    </row>
    <row r="1662" spans="1:8" x14ac:dyDescent="0.2">
      <c r="A1662" s="7"/>
      <c r="B1662" s="1407" t="str">
        <f t="shared" si="25"/>
        <v>Georgios Kolidakis Jr</v>
      </c>
      <c r="C1662" s="1402" t="s">
        <v>14597</v>
      </c>
      <c r="D1662" s="1403" t="s">
        <v>3324</v>
      </c>
      <c r="E1662" s="1404" t="s">
        <v>4688</v>
      </c>
      <c r="F1662" s="1405" t="s">
        <v>5299</v>
      </c>
      <c r="G1662" s="1403" t="s">
        <v>14359</v>
      </c>
      <c r="H1662" s="1406" t="s">
        <v>1025</v>
      </c>
    </row>
    <row r="1663" spans="1:8" x14ac:dyDescent="0.2">
      <c r="A1663" s="7"/>
      <c r="B1663" s="1407" t="str">
        <f t="shared" si="25"/>
        <v>Aggelos Kolidakis</v>
      </c>
      <c r="C1663" s="1402" t="s">
        <v>6092</v>
      </c>
      <c r="D1663" s="1403" t="s">
        <v>3644</v>
      </c>
      <c r="E1663" s="1404" t="s">
        <v>4689</v>
      </c>
      <c r="F1663" s="1405" t="s">
        <v>5299</v>
      </c>
      <c r="G1663" s="1403" t="s">
        <v>14359</v>
      </c>
      <c r="H1663" s="1406" t="s">
        <v>1025</v>
      </c>
    </row>
    <row r="1664" spans="1:8" x14ac:dyDescent="0.2">
      <c r="A1664" s="7"/>
      <c r="B1664" s="1407" t="str">
        <f t="shared" si="25"/>
        <v>Georgios Karatarakis</v>
      </c>
      <c r="C1664" s="1402" t="s">
        <v>6086</v>
      </c>
      <c r="D1664" s="1403" t="s">
        <v>3324</v>
      </c>
      <c r="E1664" s="1404" t="s">
        <v>4690</v>
      </c>
      <c r="F1664" s="1405" t="s">
        <v>5299</v>
      </c>
      <c r="G1664" s="1403" t="s">
        <v>10263</v>
      </c>
      <c r="H1664" s="1406" t="s">
        <v>1025</v>
      </c>
    </row>
    <row r="1665" spans="1:8" x14ac:dyDescent="0.2">
      <c r="A1665" s="7"/>
      <c r="B1665" s="1407" t="str">
        <f t="shared" si="25"/>
        <v>Nikiforos Karatarakis</v>
      </c>
      <c r="C1665" s="1402" t="s">
        <v>6086</v>
      </c>
      <c r="D1665" s="1403" t="s">
        <v>3679</v>
      </c>
      <c r="E1665" s="1404" t="s">
        <v>4691</v>
      </c>
      <c r="F1665" s="1405" t="s">
        <v>5299</v>
      </c>
      <c r="G1665" s="1403" t="s">
        <v>14359</v>
      </c>
      <c r="H1665" s="1406" t="s">
        <v>1025</v>
      </c>
    </row>
    <row r="1666" spans="1:8" x14ac:dyDescent="0.2">
      <c r="A1666" s="7"/>
      <c r="B1666" s="1407" t="str">
        <f t="shared" si="25"/>
        <v>Giorgos Tsagiannis</v>
      </c>
      <c r="C1666" s="1402" t="s">
        <v>6160</v>
      </c>
      <c r="D1666" s="1403" t="s">
        <v>3040</v>
      </c>
      <c r="E1666" s="1404" t="s">
        <v>4692</v>
      </c>
      <c r="F1666" s="1405" t="s">
        <v>5299</v>
      </c>
      <c r="G1666" s="1403" t="s">
        <v>14359</v>
      </c>
      <c r="H1666" s="1406" t="s">
        <v>1025</v>
      </c>
    </row>
    <row r="1667" spans="1:8" x14ac:dyDescent="0.2">
      <c r="A1667" s="7"/>
      <c r="B1667" s="1407" t="str">
        <f t="shared" si="25"/>
        <v>Konstantinos Valantasis</v>
      </c>
      <c r="C1667" s="1402" t="s">
        <v>6087</v>
      </c>
      <c r="D1667" s="1403" t="s">
        <v>6986</v>
      </c>
      <c r="E1667" s="1404" t="s">
        <v>4693</v>
      </c>
      <c r="F1667" s="1405" t="s">
        <v>5299</v>
      </c>
      <c r="G1667" s="1403" t="s">
        <v>14359</v>
      </c>
      <c r="H1667" s="1406" t="s">
        <v>1025</v>
      </c>
    </row>
    <row r="1668" spans="1:8" x14ac:dyDescent="0.2">
      <c r="A1668" s="7"/>
      <c r="B1668" s="1407" t="str">
        <f t="shared" si="25"/>
        <v>Nikolaos Valantasis</v>
      </c>
      <c r="C1668" s="1402" t="s">
        <v>6087</v>
      </c>
      <c r="D1668" s="1403" t="s">
        <v>5554</v>
      </c>
      <c r="E1668" s="1404" t="s">
        <v>4694</v>
      </c>
      <c r="F1668" s="1405" t="s">
        <v>5299</v>
      </c>
      <c r="G1668" s="1403" t="s">
        <v>14359</v>
      </c>
      <c r="H1668" s="1406" t="s">
        <v>1025</v>
      </c>
    </row>
    <row r="1669" spans="1:8" x14ac:dyDescent="0.2">
      <c r="A1669" s="7"/>
      <c r="B1669" s="1407" t="str">
        <f t="shared" si="25"/>
        <v>Alexandros Argyrakoulis</v>
      </c>
      <c r="C1669" s="1402" t="s">
        <v>6093</v>
      </c>
      <c r="D1669" s="1403" t="s">
        <v>3582</v>
      </c>
      <c r="E1669" s="1404" t="s">
        <v>4695</v>
      </c>
      <c r="F1669" s="1405" t="s">
        <v>5299</v>
      </c>
      <c r="G1669" s="1403" t="s">
        <v>14359</v>
      </c>
      <c r="H1669" s="1406" t="s">
        <v>1025</v>
      </c>
    </row>
    <row r="1670" spans="1:8" x14ac:dyDescent="0.2">
      <c r="A1670" s="7"/>
      <c r="B1670" s="1407" t="str">
        <f t="shared" si="25"/>
        <v>Pavlos Vrettakos</v>
      </c>
      <c r="C1670" s="1402" t="s">
        <v>6096</v>
      </c>
      <c r="D1670" s="1403" t="s">
        <v>5654</v>
      </c>
      <c r="E1670" s="1404" t="s">
        <v>4696</v>
      </c>
      <c r="F1670" s="1405" t="s">
        <v>5299</v>
      </c>
      <c r="G1670" s="1403" t="s">
        <v>14359</v>
      </c>
      <c r="H1670" s="1406" t="s">
        <v>1025</v>
      </c>
    </row>
    <row r="1671" spans="1:8" x14ac:dyDescent="0.2">
      <c r="A1671" s="7"/>
      <c r="B1671" s="1407" t="str">
        <f t="shared" ref="B1671:B1734" si="26">TRIM(CONCATENATE(D1671," ",C1671))</f>
        <v>Panagiotis Vrettakos</v>
      </c>
      <c r="C1671" s="1402" t="s">
        <v>6096</v>
      </c>
      <c r="D1671" s="1403" t="s">
        <v>3249</v>
      </c>
      <c r="E1671" s="1404" t="s">
        <v>4697</v>
      </c>
      <c r="F1671" s="1405" t="s">
        <v>5299</v>
      </c>
      <c r="G1671" s="1403" t="s">
        <v>14359</v>
      </c>
      <c r="H1671" s="1406" t="s">
        <v>1025</v>
      </c>
    </row>
    <row r="1672" spans="1:8" x14ac:dyDescent="0.2">
      <c r="A1672" s="7"/>
      <c r="B1672" s="1407" t="str">
        <f t="shared" si="26"/>
        <v>Odysseas Papadopoulos</v>
      </c>
      <c r="C1672" s="1402" t="s">
        <v>6154</v>
      </c>
      <c r="D1672" s="1403" t="s">
        <v>3703</v>
      </c>
      <c r="E1672" s="1404" t="s">
        <v>4698</v>
      </c>
      <c r="F1672" s="1405" t="s">
        <v>5299</v>
      </c>
      <c r="G1672" s="1403" t="s">
        <v>14359</v>
      </c>
      <c r="H1672" s="1406" t="s">
        <v>1025</v>
      </c>
    </row>
    <row r="1673" spans="1:8" x14ac:dyDescent="0.2">
      <c r="A1673" s="7"/>
      <c r="B1673" s="1407" t="str">
        <f t="shared" si="26"/>
        <v>Dimitrios Koulosousas</v>
      </c>
      <c r="C1673" s="1402" t="s">
        <v>6104</v>
      </c>
      <c r="D1673" s="1403" t="s">
        <v>5644</v>
      </c>
      <c r="E1673" s="1404" t="s">
        <v>4699</v>
      </c>
      <c r="F1673" s="1405" t="s">
        <v>5299</v>
      </c>
      <c r="G1673" s="1403" t="s">
        <v>10263</v>
      </c>
      <c r="H1673" s="1406" t="s">
        <v>1025</v>
      </c>
    </row>
    <row r="1674" spans="1:8" x14ac:dyDescent="0.2">
      <c r="A1674" s="7"/>
      <c r="B1674" s="1407" t="str">
        <f t="shared" si="26"/>
        <v>Eleni Koulosousa</v>
      </c>
      <c r="C1674" s="1402" t="s">
        <v>6234</v>
      </c>
      <c r="D1674" s="1403" t="s">
        <v>3325</v>
      </c>
      <c r="E1674" s="1404" t="s">
        <v>4700</v>
      </c>
      <c r="F1674" s="1405" t="s">
        <v>5299</v>
      </c>
      <c r="G1674" s="1403" t="s">
        <v>14359</v>
      </c>
      <c r="H1674" s="1406" t="s">
        <v>1025</v>
      </c>
    </row>
    <row r="1675" spans="1:8" x14ac:dyDescent="0.2">
      <c r="A1675" s="7"/>
      <c r="B1675" s="1407" t="str">
        <f t="shared" si="26"/>
        <v>Eirini Patrikiou</v>
      </c>
      <c r="C1675" s="1402" t="s">
        <v>6235</v>
      </c>
      <c r="D1675" s="1403" t="s">
        <v>3652</v>
      </c>
      <c r="E1675" s="1404" t="s">
        <v>4701</v>
      </c>
      <c r="F1675" s="1405" t="s">
        <v>5299</v>
      </c>
      <c r="G1675" s="1403" t="s">
        <v>10263</v>
      </c>
      <c r="H1675" s="1406" t="s">
        <v>1025</v>
      </c>
    </row>
    <row r="1676" spans="1:8" x14ac:dyDescent="0.2">
      <c r="A1676" s="7"/>
      <c r="B1676" s="1407" t="str">
        <f t="shared" si="26"/>
        <v>Ioannis Vlassopoulos</v>
      </c>
      <c r="C1676" s="1402" t="s">
        <v>6151</v>
      </c>
      <c r="D1676" s="1403" t="s">
        <v>3350</v>
      </c>
      <c r="E1676" s="1404" t="s">
        <v>4702</v>
      </c>
      <c r="F1676" s="1405" t="s">
        <v>5299</v>
      </c>
      <c r="G1676" s="1403" t="s">
        <v>10263</v>
      </c>
      <c r="H1676" s="1406" t="s">
        <v>1025</v>
      </c>
    </row>
    <row r="1677" spans="1:8" x14ac:dyDescent="0.2">
      <c r="A1677" s="7"/>
      <c r="B1677" s="1407" t="str">
        <f t="shared" si="26"/>
        <v>Artemis Kechris</v>
      </c>
      <c r="C1677" s="1402" t="s">
        <v>6161</v>
      </c>
      <c r="D1677" s="1403" t="s">
        <v>3702</v>
      </c>
      <c r="E1677" s="1404" t="s">
        <v>4703</v>
      </c>
      <c r="F1677" s="1405" t="s">
        <v>5299</v>
      </c>
      <c r="G1677" s="1403" t="s">
        <v>14359</v>
      </c>
      <c r="H1677" s="1406" t="s">
        <v>1025</v>
      </c>
    </row>
    <row r="1678" spans="1:8" x14ac:dyDescent="0.2">
      <c r="A1678" s="7"/>
      <c r="B1678" s="1407" t="str">
        <f t="shared" si="26"/>
        <v>Dimitrios-Marios Papakonstantinou</v>
      </c>
      <c r="C1678" s="1402" t="s">
        <v>6064</v>
      </c>
      <c r="D1678" s="1403" t="s">
        <v>8265</v>
      </c>
      <c r="E1678" s="1404" t="s">
        <v>4704</v>
      </c>
      <c r="F1678" s="1405" t="s">
        <v>13210</v>
      </c>
      <c r="G1678" s="1403" t="s">
        <v>14359</v>
      </c>
      <c r="H1678" s="1406" t="s">
        <v>1025</v>
      </c>
    </row>
    <row r="1679" spans="1:8" x14ac:dyDescent="0.2">
      <c r="A1679" s="7"/>
      <c r="B1679" s="1407" t="str">
        <f t="shared" si="26"/>
        <v>Efstratios Moros</v>
      </c>
      <c r="C1679" s="1402" t="s">
        <v>6120</v>
      </c>
      <c r="D1679" s="1403" t="s">
        <v>6977</v>
      </c>
      <c r="E1679" s="1404" t="s">
        <v>4705</v>
      </c>
      <c r="F1679" s="1405" t="s">
        <v>5299</v>
      </c>
      <c r="G1679" s="1403" t="s">
        <v>14359</v>
      </c>
      <c r="H1679" s="1406" t="s">
        <v>1025</v>
      </c>
    </row>
    <row r="1680" spans="1:8" x14ac:dyDescent="0.2">
      <c r="A1680" s="7"/>
      <c r="B1680" s="1407" t="str">
        <f t="shared" si="26"/>
        <v>Nikolaos Papanikolaou</v>
      </c>
      <c r="C1680" s="1402" t="s">
        <v>6136</v>
      </c>
      <c r="D1680" s="1403" t="s">
        <v>5554</v>
      </c>
      <c r="E1680" s="1404" t="s">
        <v>4706</v>
      </c>
      <c r="F1680" s="1405" t="s">
        <v>5299</v>
      </c>
      <c r="G1680" s="1403" t="s">
        <v>14359</v>
      </c>
      <c r="H1680" s="1406" t="s">
        <v>1025</v>
      </c>
    </row>
    <row r="1681" spans="1:8" x14ac:dyDescent="0.2">
      <c r="A1681" s="7"/>
      <c r="B1681" s="1407" t="str">
        <f t="shared" si="26"/>
        <v>Robert Ohrstrom</v>
      </c>
      <c r="C1681" s="1402" t="s">
        <v>6236</v>
      </c>
      <c r="D1681" s="1403" t="s">
        <v>3405</v>
      </c>
      <c r="E1681" s="1404" t="s">
        <v>4707</v>
      </c>
      <c r="F1681" s="1405" t="s">
        <v>5299</v>
      </c>
      <c r="G1681" s="1403" t="s">
        <v>14359</v>
      </c>
      <c r="H1681" s="1406" t="s">
        <v>1025</v>
      </c>
    </row>
    <row r="1682" spans="1:8" x14ac:dyDescent="0.2">
      <c r="A1682" s="7"/>
      <c r="B1682" s="1407" t="str">
        <f t="shared" si="26"/>
        <v>Thodoris Xiarhogiannopoulos</v>
      </c>
      <c r="C1682" s="1402" t="s">
        <v>8062</v>
      </c>
      <c r="D1682" s="1403" t="s">
        <v>7807</v>
      </c>
      <c r="E1682" s="1404" t="s">
        <v>8401</v>
      </c>
      <c r="F1682" s="1405" t="s">
        <v>5299</v>
      </c>
      <c r="G1682" s="1403" t="s">
        <v>14359</v>
      </c>
      <c r="H1682" s="1406" t="s">
        <v>1025</v>
      </c>
    </row>
    <row r="1683" spans="1:8" x14ac:dyDescent="0.2">
      <c r="A1683" s="7"/>
      <c r="B1683" s="1407" t="str">
        <f t="shared" si="26"/>
        <v>Ilias Koukoutsas</v>
      </c>
      <c r="C1683" s="1402" t="s">
        <v>6237</v>
      </c>
      <c r="D1683" s="1403" t="s">
        <v>6978</v>
      </c>
      <c r="E1683" s="1404" t="s">
        <v>4708</v>
      </c>
      <c r="F1683" s="1405" t="s">
        <v>5299</v>
      </c>
      <c r="G1683" s="1403" t="s">
        <v>14359</v>
      </c>
      <c r="H1683" s="1406" t="s">
        <v>1025</v>
      </c>
    </row>
    <row r="1684" spans="1:8" x14ac:dyDescent="0.2">
      <c r="A1684" s="7"/>
      <c r="B1684" s="1407" t="str">
        <f t="shared" si="26"/>
        <v>Marios Bourtzonis</v>
      </c>
      <c r="C1684" s="1402" t="s">
        <v>6238</v>
      </c>
      <c r="D1684" s="1403" t="s">
        <v>3557</v>
      </c>
      <c r="E1684" s="1404" t="s">
        <v>4709</v>
      </c>
      <c r="F1684" s="1405" t="s">
        <v>5299</v>
      </c>
      <c r="G1684" s="1403" t="s">
        <v>14359</v>
      </c>
      <c r="H1684" s="1406" t="s">
        <v>1025</v>
      </c>
    </row>
    <row r="1685" spans="1:8" x14ac:dyDescent="0.2">
      <c r="A1685" s="7"/>
      <c r="B1685" s="1407" t="str">
        <f t="shared" si="26"/>
        <v>Petros Theologos</v>
      </c>
      <c r="C1685" s="1402" t="s">
        <v>6138</v>
      </c>
      <c r="D1685" s="1403" t="s">
        <v>5635</v>
      </c>
      <c r="E1685" s="1404" t="s">
        <v>4710</v>
      </c>
      <c r="F1685" s="1405" t="s">
        <v>5299</v>
      </c>
      <c r="G1685" s="1403" t="s">
        <v>14359</v>
      </c>
      <c r="H1685" s="1406" t="s">
        <v>1025</v>
      </c>
    </row>
    <row r="1686" spans="1:8" x14ac:dyDescent="0.2">
      <c r="A1686" s="7"/>
      <c r="B1686" s="1407" t="str">
        <f t="shared" si="26"/>
        <v>Christos Kourouklis</v>
      </c>
      <c r="C1686" s="1402" t="s">
        <v>6142</v>
      </c>
      <c r="D1686" s="1403" t="s">
        <v>3135</v>
      </c>
      <c r="E1686" s="1404" t="s">
        <v>4711</v>
      </c>
      <c r="F1686" s="1405" t="s">
        <v>5299</v>
      </c>
      <c r="G1686" s="1403" t="s">
        <v>14359</v>
      </c>
      <c r="H1686" s="1406" t="s">
        <v>1025</v>
      </c>
    </row>
    <row r="1687" spans="1:8" x14ac:dyDescent="0.2">
      <c r="A1687" s="7"/>
      <c r="B1687" s="1407" t="str">
        <f t="shared" si="26"/>
        <v>Stefanos Smyrneos</v>
      </c>
      <c r="C1687" s="1402" t="s">
        <v>6239</v>
      </c>
      <c r="D1687" s="1403" t="s">
        <v>3501</v>
      </c>
      <c r="E1687" s="1404" t="s">
        <v>4712</v>
      </c>
      <c r="F1687" s="1405" t="s">
        <v>5299</v>
      </c>
      <c r="G1687" s="1403" t="s">
        <v>14359</v>
      </c>
      <c r="H1687" s="1406" t="s">
        <v>1025</v>
      </c>
    </row>
    <row r="1688" spans="1:8" x14ac:dyDescent="0.2">
      <c r="A1688" s="7"/>
      <c r="B1688" s="1407" t="str">
        <f t="shared" si="26"/>
        <v>Sofia Prifti</v>
      </c>
      <c r="C1688" s="1402" t="s">
        <v>6240</v>
      </c>
      <c r="D1688" s="1403" t="s">
        <v>3655</v>
      </c>
      <c r="E1688" s="1404" t="s">
        <v>4713</v>
      </c>
      <c r="F1688" s="1405" t="s">
        <v>5299</v>
      </c>
      <c r="G1688" s="1403" t="s">
        <v>14359</v>
      </c>
      <c r="H1688" s="1406" t="s">
        <v>1025</v>
      </c>
    </row>
    <row r="1689" spans="1:8" x14ac:dyDescent="0.2">
      <c r="A1689" s="7"/>
      <c r="B1689" s="1407" t="str">
        <f t="shared" si="26"/>
        <v>Aris Nomikos</v>
      </c>
      <c r="C1689" s="1402" t="s">
        <v>6241</v>
      </c>
      <c r="D1689" s="1403" t="s">
        <v>8266</v>
      </c>
      <c r="E1689" s="1404" t="s">
        <v>4714</v>
      </c>
      <c r="F1689" s="1405" t="s">
        <v>5299</v>
      </c>
      <c r="G1689" s="1403" t="s">
        <v>14359</v>
      </c>
      <c r="H1689" s="1406" t="s">
        <v>1025</v>
      </c>
    </row>
    <row r="1690" spans="1:8" x14ac:dyDescent="0.2">
      <c r="A1690" s="7"/>
      <c r="B1690" s="1407" t="str">
        <f t="shared" si="26"/>
        <v>Evangelos Tsakopoulos</v>
      </c>
      <c r="C1690" s="1402" t="s">
        <v>6242</v>
      </c>
      <c r="D1690" s="1403" t="s">
        <v>3709</v>
      </c>
      <c r="E1690" s="1404" t="s">
        <v>4715</v>
      </c>
      <c r="F1690" s="1405" t="s">
        <v>5299</v>
      </c>
      <c r="G1690" s="1403" t="s">
        <v>14359</v>
      </c>
      <c r="H1690" s="1406" t="s">
        <v>1025</v>
      </c>
    </row>
    <row r="1691" spans="1:8" x14ac:dyDescent="0.2">
      <c r="A1691" s="7"/>
      <c r="B1691" s="1407" t="str">
        <f t="shared" si="26"/>
        <v>Nikolaos Arabatzis</v>
      </c>
      <c r="C1691" s="1402" t="s">
        <v>6158</v>
      </c>
      <c r="D1691" s="1403" t="s">
        <v>5554</v>
      </c>
      <c r="E1691" s="1404" t="s">
        <v>4716</v>
      </c>
      <c r="F1691" s="1405" t="s">
        <v>5299</v>
      </c>
      <c r="G1691" s="1403" t="s">
        <v>14359</v>
      </c>
      <c r="H1691" s="1406" t="s">
        <v>1025</v>
      </c>
    </row>
    <row r="1692" spans="1:8" x14ac:dyDescent="0.2">
      <c r="A1692" s="7"/>
      <c r="B1692" s="1407" t="str">
        <f t="shared" si="26"/>
        <v>Manos Kapsabelis</v>
      </c>
      <c r="C1692" s="1402" t="s">
        <v>6066</v>
      </c>
      <c r="D1692" s="1403" t="s">
        <v>3691</v>
      </c>
      <c r="E1692" s="1404" t="s">
        <v>4717</v>
      </c>
      <c r="F1692" s="1405" t="s">
        <v>5299</v>
      </c>
      <c r="G1692" s="1403" t="s">
        <v>14359</v>
      </c>
      <c r="H1692" s="1406" t="s">
        <v>1025</v>
      </c>
    </row>
    <row r="1693" spans="1:8" x14ac:dyDescent="0.2">
      <c r="A1693" s="7"/>
      <c r="B1693" s="1407" t="str">
        <f t="shared" si="26"/>
        <v>Anastasios Maroulas</v>
      </c>
      <c r="C1693" s="1402" t="s">
        <v>6243</v>
      </c>
      <c r="D1693" s="1403" t="s">
        <v>3611</v>
      </c>
      <c r="E1693" s="1404" t="s">
        <v>4718</v>
      </c>
      <c r="F1693" s="1405" t="s">
        <v>5299</v>
      </c>
      <c r="G1693" s="1403" t="s">
        <v>14359</v>
      </c>
      <c r="H1693" s="1406" t="s">
        <v>1025</v>
      </c>
    </row>
    <row r="1694" spans="1:8" x14ac:dyDescent="0.2">
      <c r="A1694" s="7"/>
      <c r="B1694" s="1407" t="str">
        <f t="shared" si="26"/>
        <v>Manos Lysikatos</v>
      </c>
      <c r="C1694" s="1402" t="s">
        <v>6244</v>
      </c>
      <c r="D1694" s="1403" t="s">
        <v>3691</v>
      </c>
      <c r="E1694" s="1404" t="s">
        <v>4719</v>
      </c>
      <c r="F1694" s="1405" t="s">
        <v>5299</v>
      </c>
      <c r="G1694" s="1403" t="s">
        <v>14359</v>
      </c>
      <c r="H1694" s="1406" t="s">
        <v>1025</v>
      </c>
    </row>
    <row r="1695" spans="1:8" x14ac:dyDescent="0.2">
      <c r="A1695" s="7"/>
      <c r="B1695" s="1407" t="str">
        <f t="shared" si="26"/>
        <v>Tzanis Monemvasitis</v>
      </c>
      <c r="C1695" s="1402" t="s">
        <v>6245</v>
      </c>
      <c r="D1695" s="1403" t="s">
        <v>3707</v>
      </c>
      <c r="E1695" s="1404" t="s">
        <v>4720</v>
      </c>
      <c r="F1695" s="1405" t="s">
        <v>5299</v>
      </c>
      <c r="G1695" s="1403" t="s">
        <v>14359</v>
      </c>
      <c r="H1695" s="1406" t="s">
        <v>1025</v>
      </c>
    </row>
    <row r="1696" spans="1:8" x14ac:dyDescent="0.2">
      <c r="A1696" s="7"/>
      <c r="B1696" s="1407" t="str">
        <f t="shared" si="26"/>
        <v>Dimitrios Ioannis Monemvasitis</v>
      </c>
      <c r="C1696" s="1402" t="s">
        <v>6245</v>
      </c>
      <c r="D1696" s="1403" t="s">
        <v>8267</v>
      </c>
      <c r="E1696" s="1404" t="s">
        <v>4721</v>
      </c>
      <c r="F1696" s="1405" t="s">
        <v>5299</v>
      </c>
      <c r="G1696" s="1403" t="s">
        <v>14359</v>
      </c>
      <c r="H1696" s="1406" t="s">
        <v>1025</v>
      </c>
    </row>
    <row r="1697" spans="1:8" x14ac:dyDescent="0.2">
      <c r="A1697" s="7"/>
      <c r="B1697" s="1407" t="str">
        <f t="shared" si="26"/>
        <v>Dimitrios Sarantos Monemvasitis</v>
      </c>
      <c r="C1697" s="1402" t="s">
        <v>6245</v>
      </c>
      <c r="D1697" s="1403" t="s">
        <v>8268</v>
      </c>
      <c r="E1697" s="1404" t="s">
        <v>4722</v>
      </c>
      <c r="F1697" s="1405" t="s">
        <v>13211</v>
      </c>
      <c r="G1697" s="1403" t="s">
        <v>14359</v>
      </c>
      <c r="H1697" s="1406" t="s">
        <v>1025</v>
      </c>
    </row>
    <row r="1698" spans="1:8" x14ac:dyDescent="0.2">
      <c r="A1698" s="7"/>
      <c r="B1698" s="1407" t="str">
        <f t="shared" si="26"/>
        <v>Giorgos Kilias</v>
      </c>
      <c r="C1698" s="1402" t="s">
        <v>6246</v>
      </c>
      <c r="D1698" s="1403" t="s">
        <v>3040</v>
      </c>
      <c r="E1698" s="1404" t="s">
        <v>4723</v>
      </c>
      <c r="F1698" s="1405" t="s">
        <v>5299</v>
      </c>
      <c r="G1698" s="1403" t="s">
        <v>14359</v>
      </c>
      <c r="H1698" s="1406" t="s">
        <v>1025</v>
      </c>
    </row>
    <row r="1699" spans="1:8" x14ac:dyDescent="0.2">
      <c r="A1699" s="7"/>
      <c r="B1699" s="1407" t="str">
        <f t="shared" si="26"/>
        <v>Dimitrios Liolios</v>
      </c>
      <c r="C1699" s="1402" t="s">
        <v>6148</v>
      </c>
      <c r="D1699" s="1403" t="s">
        <v>5644</v>
      </c>
      <c r="E1699" s="1404" t="s">
        <v>4724</v>
      </c>
      <c r="F1699" s="1405" t="s">
        <v>5299</v>
      </c>
      <c r="G1699" s="1403" t="s">
        <v>14359</v>
      </c>
      <c r="H1699" s="1406" t="s">
        <v>1025</v>
      </c>
    </row>
    <row r="1700" spans="1:8" x14ac:dyDescent="0.2">
      <c r="A1700" s="7"/>
      <c r="B1700" s="1407" t="str">
        <f t="shared" si="26"/>
        <v>Dimitris Karatosidis</v>
      </c>
      <c r="C1700" s="1402" t="s">
        <v>6247</v>
      </c>
      <c r="D1700" s="1403" t="s">
        <v>3099</v>
      </c>
      <c r="E1700" s="1404" t="s">
        <v>4725</v>
      </c>
      <c r="F1700" s="1405" t="s">
        <v>5299</v>
      </c>
      <c r="G1700" s="1403" t="s">
        <v>14359</v>
      </c>
      <c r="H1700" s="1406" t="s">
        <v>1025</v>
      </c>
    </row>
    <row r="1701" spans="1:8" x14ac:dyDescent="0.2">
      <c r="A1701" s="7"/>
      <c r="B1701" s="1407" t="str">
        <f t="shared" si="26"/>
        <v>Kyriakos Arzoumanidis</v>
      </c>
      <c r="C1701" s="1402" t="s">
        <v>6248</v>
      </c>
      <c r="D1701" s="1403" t="s">
        <v>8259</v>
      </c>
      <c r="E1701" s="1404" t="s">
        <v>4726</v>
      </c>
      <c r="F1701" s="1405" t="s">
        <v>5299</v>
      </c>
      <c r="G1701" s="1403" t="s">
        <v>14359</v>
      </c>
      <c r="H1701" s="1406" t="s">
        <v>1025</v>
      </c>
    </row>
    <row r="1702" spans="1:8" x14ac:dyDescent="0.2">
      <c r="A1702" s="7"/>
      <c r="B1702" s="1407" t="str">
        <f t="shared" si="26"/>
        <v>Kostas Kilias</v>
      </c>
      <c r="C1702" s="1402" t="s">
        <v>6246</v>
      </c>
      <c r="D1702" s="1403" t="s">
        <v>3073</v>
      </c>
      <c r="E1702" s="1404" t="s">
        <v>4727</v>
      </c>
      <c r="F1702" s="1405" t="s">
        <v>5299</v>
      </c>
      <c r="G1702" s="1403" t="s">
        <v>14359</v>
      </c>
      <c r="H1702" s="1406" t="s">
        <v>1025</v>
      </c>
    </row>
    <row r="1703" spans="1:8" x14ac:dyDescent="0.2">
      <c r="A1703" s="7"/>
      <c r="B1703" s="1407" t="str">
        <f t="shared" si="26"/>
        <v>Giorgos Spinos</v>
      </c>
      <c r="C1703" s="1402" t="s">
        <v>6249</v>
      </c>
      <c r="D1703" s="1403" t="s">
        <v>3040</v>
      </c>
      <c r="E1703" s="1404" t="s">
        <v>4728</v>
      </c>
      <c r="F1703" s="1405" t="s">
        <v>13211</v>
      </c>
      <c r="G1703" s="1403" t="s">
        <v>14359</v>
      </c>
      <c r="H1703" s="1406" t="s">
        <v>1025</v>
      </c>
    </row>
    <row r="1704" spans="1:8" x14ac:dyDescent="0.2">
      <c r="A1704" s="7"/>
      <c r="B1704" s="1407" t="str">
        <f t="shared" si="26"/>
        <v>Orestis Christopoulos</v>
      </c>
      <c r="C1704" s="1402" t="s">
        <v>6250</v>
      </c>
      <c r="D1704" s="1403" t="s">
        <v>3696</v>
      </c>
      <c r="E1704" s="1404" t="s">
        <v>4729</v>
      </c>
      <c r="F1704" s="1405" t="s">
        <v>5299</v>
      </c>
      <c r="G1704" s="1403" t="s">
        <v>10251</v>
      </c>
      <c r="H1704" s="1406" t="s">
        <v>1025</v>
      </c>
    </row>
    <row r="1705" spans="1:8" x14ac:dyDescent="0.2">
      <c r="A1705" s="7"/>
      <c r="B1705" s="1407" t="str">
        <f t="shared" si="26"/>
        <v>Spyros Makkos</v>
      </c>
      <c r="C1705" s="1402" t="s">
        <v>6251</v>
      </c>
      <c r="D1705" s="1403" t="s">
        <v>3050</v>
      </c>
      <c r="E1705" s="1404" t="s">
        <v>4730</v>
      </c>
      <c r="F1705" s="1405" t="s">
        <v>5299</v>
      </c>
      <c r="G1705" s="1403" t="s">
        <v>14359</v>
      </c>
      <c r="H1705" s="1406" t="s">
        <v>1025</v>
      </c>
    </row>
    <row r="1706" spans="1:8" x14ac:dyDescent="0.2">
      <c r="A1706" s="7"/>
      <c r="B1706" s="1407" t="str">
        <f t="shared" si="26"/>
        <v>Stelios Bairasm Jr</v>
      </c>
      <c r="C1706" s="1402" t="s">
        <v>14598</v>
      </c>
      <c r="D1706" s="1403" t="s">
        <v>3210</v>
      </c>
      <c r="E1706" s="1404" t="s">
        <v>8402</v>
      </c>
      <c r="F1706" s="1405" t="s">
        <v>5299</v>
      </c>
      <c r="G1706" s="1403" t="s">
        <v>14359</v>
      </c>
      <c r="H1706" s="1406" t="s">
        <v>1025</v>
      </c>
    </row>
    <row r="1707" spans="1:8" x14ac:dyDescent="0.2">
      <c r="A1707" s="7"/>
      <c r="B1707" s="1407" t="str">
        <f t="shared" si="26"/>
        <v>Filippos Kakavas</v>
      </c>
      <c r="C1707" s="1402" t="s">
        <v>6175</v>
      </c>
      <c r="D1707" s="1403" t="s">
        <v>6983</v>
      </c>
      <c r="E1707" s="1404" t="s">
        <v>4731</v>
      </c>
      <c r="F1707" s="1405" t="s">
        <v>5299</v>
      </c>
      <c r="G1707" s="1403" t="s">
        <v>14359</v>
      </c>
      <c r="H1707" s="1406" t="s">
        <v>1025</v>
      </c>
    </row>
    <row r="1708" spans="1:8" x14ac:dyDescent="0.2">
      <c r="A1708" s="7"/>
      <c r="B1708" s="1407" t="str">
        <f t="shared" si="26"/>
        <v>Alexandros Zervas</v>
      </c>
      <c r="C1708" s="1402" t="s">
        <v>6252</v>
      </c>
      <c r="D1708" s="1403" t="s">
        <v>3582</v>
      </c>
      <c r="E1708" s="1404" t="s">
        <v>4732</v>
      </c>
      <c r="F1708" s="1405" t="s">
        <v>5299</v>
      </c>
      <c r="G1708" s="1403" t="s">
        <v>14359</v>
      </c>
      <c r="H1708" s="1406" t="s">
        <v>1025</v>
      </c>
    </row>
    <row r="1709" spans="1:8" x14ac:dyDescent="0.2">
      <c r="A1709" s="7"/>
      <c r="B1709" s="1407" t="str">
        <f t="shared" si="26"/>
        <v>Antonis Kiritsis</v>
      </c>
      <c r="C1709" s="1402" t="s">
        <v>6253</v>
      </c>
      <c r="D1709" s="1403" t="s">
        <v>3164</v>
      </c>
      <c r="E1709" s="1404" t="s">
        <v>4733</v>
      </c>
      <c r="F1709" s="1405" t="s">
        <v>5299</v>
      </c>
      <c r="G1709" s="1403" t="s">
        <v>14359</v>
      </c>
      <c r="H1709" s="1406" t="s">
        <v>1025</v>
      </c>
    </row>
    <row r="1710" spans="1:8" x14ac:dyDescent="0.2">
      <c r="A1710" s="7"/>
      <c r="B1710" s="1407" t="str">
        <f t="shared" si="26"/>
        <v>Antonis Mpitras</v>
      </c>
      <c r="C1710" s="1402" t="s">
        <v>6254</v>
      </c>
      <c r="D1710" s="1403" t="s">
        <v>3164</v>
      </c>
      <c r="E1710" s="1404" t="s">
        <v>4734</v>
      </c>
      <c r="F1710" s="1405" t="s">
        <v>5299</v>
      </c>
      <c r="G1710" s="1403" t="s">
        <v>14359</v>
      </c>
      <c r="H1710" s="1406" t="s">
        <v>1025</v>
      </c>
    </row>
    <row r="1711" spans="1:8" x14ac:dyDescent="0.2">
      <c r="A1711" s="7"/>
      <c r="B1711" s="1407" t="str">
        <f t="shared" si="26"/>
        <v>Vaggelis Makkas</v>
      </c>
      <c r="C1711" s="1402" t="s">
        <v>6255</v>
      </c>
      <c r="D1711" s="1403" t="s">
        <v>3542</v>
      </c>
      <c r="E1711" s="1404" t="s">
        <v>4735</v>
      </c>
      <c r="F1711" s="1405" t="s">
        <v>5299</v>
      </c>
      <c r="G1711" s="1403" t="s">
        <v>14359</v>
      </c>
      <c r="H1711" s="1406" t="s">
        <v>1025</v>
      </c>
    </row>
    <row r="1712" spans="1:8" x14ac:dyDescent="0.2">
      <c r="A1712" s="7"/>
      <c r="B1712" s="1407" t="str">
        <f t="shared" si="26"/>
        <v>Vasileios Mavromitros</v>
      </c>
      <c r="C1712" s="1402" t="s">
        <v>6189</v>
      </c>
      <c r="D1712" s="1403" t="s">
        <v>5548</v>
      </c>
      <c r="E1712" s="1404" t="s">
        <v>4736</v>
      </c>
      <c r="F1712" s="1405" t="s">
        <v>5299</v>
      </c>
      <c r="G1712" s="1403" t="s">
        <v>14359</v>
      </c>
      <c r="H1712" s="1406" t="s">
        <v>1025</v>
      </c>
    </row>
    <row r="1713" spans="1:8" x14ac:dyDescent="0.2">
      <c r="A1713" s="7"/>
      <c r="B1713" s="1407" t="str">
        <f t="shared" si="26"/>
        <v>Dionysia Koulosousa</v>
      </c>
      <c r="C1713" s="1402" t="s">
        <v>6234</v>
      </c>
      <c r="D1713" s="1403" t="s">
        <v>3647</v>
      </c>
      <c r="E1713" s="1404" t="s">
        <v>4737</v>
      </c>
      <c r="F1713" s="1405" t="s">
        <v>5299</v>
      </c>
      <c r="G1713" s="1403" t="s">
        <v>10263</v>
      </c>
      <c r="H1713" s="1406" t="s">
        <v>1025</v>
      </c>
    </row>
    <row r="1714" spans="1:8" x14ac:dyDescent="0.2">
      <c r="A1714" s="7"/>
      <c r="B1714" s="1407" t="str">
        <f t="shared" si="26"/>
        <v>Eftichios Delligianakis</v>
      </c>
      <c r="C1714" s="1402" t="s">
        <v>6256</v>
      </c>
      <c r="D1714" s="1403" t="s">
        <v>6980</v>
      </c>
      <c r="E1714" s="1404" t="s">
        <v>4738</v>
      </c>
      <c r="F1714" s="1405" t="s">
        <v>5299</v>
      </c>
      <c r="G1714" s="1403" t="s">
        <v>14359</v>
      </c>
      <c r="H1714" s="1406" t="s">
        <v>1025</v>
      </c>
    </row>
    <row r="1715" spans="1:8" x14ac:dyDescent="0.2">
      <c r="A1715" s="7"/>
      <c r="B1715" s="1407" t="str">
        <f t="shared" si="26"/>
        <v>Konstantinos Kordatos Jr</v>
      </c>
      <c r="C1715" s="1402" t="s">
        <v>6257</v>
      </c>
      <c r="D1715" s="1403" t="s">
        <v>6986</v>
      </c>
      <c r="E1715" s="1404" t="s">
        <v>4739</v>
      </c>
      <c r="F1715" s="1405" t="s">
        <v>5299</v>
      </c>
      <c r="G1715" s="1403" t="s">
        <v>14359</v>
      </c>
      <c r="H1715" s="1406" t="s">
        <v>1025</v>
      </c>
    </row>
    <row r="1716" spans="1:8" x14ac:dyDescent="0.2">
      <c r="A1716" s="7"/>
      <c r="B1716" s="1407" t="str">
        <f t="shared" si="26"/>
        <v>Kostas Christodoulou</v>
      </c>
      <c r="C1716" s="1402" t="s">
        <v>6143</v>
      </c>
      <c r="D1716" s="1403" t="s">
        <v>3073</v>
      </c>
      <c r="E1716" s="1404" t="s">
        <v>4740</v>
      </c>
      <c r="F1716" s="1405" t="s">
        <v>5299</v>
      </c>
      <c r="G1716" s="1403" t="s">
        <v>14359</v>
      </c>
      <c r="H1716" s="1406" t="s">
        <v>1025</v>
      </c>
    </row>
    <row r="1717" spans="1:8" x14ac:dyDescent="0.2">
      <c r="A1717" s="7"/>
      <c r="B1717" s="1407" t="str">
        <f t="shared" si="26"/>
        <v>Kostas Skafidas</v>
      </c>
      <c r="C1717" s="1402" t="s">
        <v>6258</v>
      </c>
      <c r="D1717" s="1403" t="s">
        <v>3073</v>
      </c>
      <c r="E1717" s="1404" t="s">
        <v>4741</v>
      </c>
      <c r="F1717" s="1405" t="s">
        <v>5299</v>
      </c>
      <c r="G1717" s="1403" t="s">
        <v>14359</v>
      </c>
      <c r="H1717" s="1406" t="s">
        <v>1025</v>
      </c>
    </row>
    <row r="1718" spans="1:8" x14ac:dyDescent="0.2">
      <c r="A1718" s="7"/>
      <c r="B1718" s="1407" t="str">
        <f t="shared" si="26"/>
        <v>Leonidas Tountas</v>
      </c>
      <c r="C1718" s="1402" t="s">
        <v>7801</v>
      </c>
      <c r="D1718" s="1403" t="s">
        <v>3211</v>
      </c>
      <c r="E1718" s="1404" t="s">
        <v>8403</v>
      </c>
      <c r="F1718" s="1405" t="s">
        <v>5299</v>
      </c>
      <c r="G1718" s="1403" t="s">
        <v>14359</v>
      </c>
      <c r="H1718" s="1406" t="s">
        <v>1025</v>
      </c>
    </row>
    <row r="1719" spans="1:8" x14ac:dyDescent="0.2">
      <c r="A1719" s="7"/>
      <c r="B1719" s="1407" t="str">
        <f t="shared" si="26"/>
        <v>Panagiotis Tsiamos</v>
      </c>
      <c r="C1719" s="1402" t="s">
        <v>8063</v>
      </c>
      <c r="D1719" s="1403" t="s">
        <v>3249</v>
      </c>
      <c r="E1719" s="1404" t="s">
        <v>8404</v>
      </c>
      <c r="F1719" s="1405" t="s">
        <v>5299</v>
      </c>
      <c r="G1719" s="1403" t="s">
        <v>14359</v>
      </c>
      <c r="H1719" s="1406" t="s">
        <v>1025</v>
      </c>
    </row>
    <row r="1720" spans="1:8" x14ac:dyDescent="0.2">
      <c r="A1720" s="7"/>
      <c r="B1720" s="1407" t="str">
        <f t="shared" si="26"/>
        <v>Pantelis Dolmes</v>
      </c>
      <c r="C1720" s="1402" t="s">
        <v>6259</v>
      </c>
      <c r="D1720" s="1403" t="s">
        <v>3682</v>
      </c>
      <c r="E1720" s="1404" t="s">
        <v>4742</v>
      </c>
      <c r="F1720" s="1405" t="s">
        <v>5299</v>
      </c>
      <c r="G1720" s="1403" t="s">
        <v>14359</v>
      </c>
      <c r="H1720" s="1406" t="s">
        <v>1025</v>
      </c>
    </row>
    <row r="1721" spans="1:8" x14ac:dyDescent="0.2">
      <c r="A1721" s="7"/>
      <c r="B1721" s="1407" t="str">
        <f t="shared" si="26"/>
        <v>Rafail Panagoulas</v>
      </c>
      <c r="C1721" s="1402" t="s">
        <v>8064</v>
      </c>
      <c r="D1721" s="1403" t="s">
        <v>8264</v>
      </c>
      <c r="E1721" s="1404" t="s">
        <v>4743</v>
      </c>
      <c r="F1721" s="1405" t="s">
        <v>5299</v>
      </c>
      <c r="G1721" s="1403" t="s">
        <v>14359</v>
      </c>
      <c r="H1721" s="1406" t="s">
        <v>1025</v>
      </c>
    </row>
    <row r="1722" spans="1:8" x14ac:dyDescent="0.2">
      <c r="A1722" s="7"/>
      <c r="B1722" s="1407" t="str">
        <f t="shared" si="26"/>
        <v>Vaggelis Bairas</v>
      </c>
      <c r="C1722" s="1402" t="s">
        <v>8056</v>
      </c>
      <c r="D1722" s="1403" t="s">
        <v>3542</v>
      </c>
      <c r="E1722" s="1404" t="s">
        <v>8405</v>
      </c>
      <c r="F1722" s="1405" t="s">
        <v>5299</v>
      </c>
      <c r="G1722" s="1403" t="s">
        <v>14359</v>
      </c>
      <c r="H1722" s="1406" t="s">
        <v>1025</v>
      </c>
    </row>
    <row r="1723" spans="1:8" x14ac:dyDescent="0.2">
      <c r="A1723" s="7"/>
      <c r="B1723" s="1407" t="str">
        <f t="shared" si="26"/>
        <v>Eirini Stamatiadou</v>
      </c>
      <c r="C1723" s="1402" t="s">
        <v>8065</v>
      </c>
      <c r="D1723" s="1403" t="s">
        <v>3652</v>
      </c>
      <c r="E1723" s="1404" t="s">
        <v>8406</v>
      </c>
      <c r="F1723" s="1405" t="s">
        <v>5299</v>
      </c>
      <c r="G1723" s="1403" t="s">
        <v>14359</v>
      </c>
      <c r="H1723" s="1406" t="s">
        <v>1025</v>
      </c>
    </row>
    <row r="1724" spans="1:8" x14ac:dyDescent="0.2">
      <c r="A1724" s="7"/>
      <c r="B1724" s="1407" t="str">
        <f t="shared" si="26"/>
        <v>Thanasis Tsiamos</v>
      </c>
      <c r="C1724" s="1402" t="s">
        <v>8063</v>
      </c>
      <c r="D1724" s="1403" t="s">
        <v>3138</v>
      </c>
      <c r="E1724" s="1404" t="s">
        <v>8407</v>
      </c>
      <c r="F1724" s="1405" t="s">
        <v>5299</v>
      </c>
      <c r="G1724" s="1403" t="s">
        <v>14359</v>
      </c>
      <c r="H1724" s="1406" t="s">
        <v>1025</v>
      </c>
    </row>
    <row r="1725" spans="1:8" x14ac:dyDescent="0.2">
      <c r="A1725" s="7"/>
      <c r="B1725" s="1407" t="str">
        <f t="shared" si="26"/>
        <v>Nikolaos Kiritsis</v>
      </c>
      <c r="C1725" s="1402" t="s">
        <v>6253</v>
      </c>
      <c r="D1725" s="1403" t="s">
        <v>5554</v>
      </c>
      <c r="E1725" s="1404" t="s">
        <v>4744</v>
      </c>
      <c r="F1725" s="1405" t="s">
        <v>5299</v>
      </c>
      <c r="G1725" s="1403" t="s">
        <v>14359</v>
      </c>
      <c r="H1725" s="1406" t="s">
        <v>1025</v>
      </c>
    </row>
    <row r="1726" spans="1:8" x14ac:dyDescent="0.2">
      <c r="A1726" s="7"/>
      <c r="B1726" s="1407" t="str">
        <f t="shared" si="26"/>
        <v>Periklis Kontaxakis</v>
      </c>
      <c r="C1726" s="1402" t="s">
        <v>6260</v>
      </c>
      <c r="D1726" s="1403" t="s">
        <v>3167</v>
      </c>
      <c r="E1726" s="1404" t="s">
        <v>4745</v>
      </c>
      <c r="F1726" s="1405" t="s">
        <v>5299</v>
      </c>
      <c r="G1726" s="1403" t="s">
        <v>14359</v>
      </c>
      <c r="H1726" s="1406" t="s">
        <v>1025</v>
      </c>
    </row>
    <row r="1727" spans="1:8" x14ac:dyDescent="0.2">
      <c r="A1727" s="7"/>
      <c r="B1727" s="1407" t="str">
        <f t="shared" si="26"/>
        <v>Porfyrios Gialitsis</v>
      </c>
      <c r="C1727" s="1402" t="s">
        <v>6261</v>
      </c>
      <c r="D1727" s="1403" t="s">
        <v>6981</v>
      </c>
      <c r="E1727" s="1404" t="s">
        <v>4746</v>
      </c>
      <c r="F1727" s="1405" t="s">
        <v>5299</v>
      </c>
      <c r="G1727" s="1403" t="s">
        <v>14359</v>
      </c>
      <c r="H1727" s="1406" t="s">
        <v>1025</v>
      </c>
    </row>
    <row r="1728" spans="1:8" x14ac:dyDescent="0.2">
      <c r="A1728" s="7"/>
      <c r="B1728" s="1407" t="str">
        <f t="shared" si="26"/>
        <v>Nikolaos Charatsis</v>
      </c>
      <c r="C1728" s="1402" t="s">
        <v>9932</v>
      </c>
      <c r="D1728" s="1403" t="s">
        <v>5554</v>
      </c>
      <c r="E1728" s="1404" t="s">
        <v>4747</v>
      </c>
      <c r="F1728" s="1405" t="s">
        <v>5299</v>
      </c>
      <c r="G1728" s="1403" t="s">
        <v>5309</v>
      </c>
      <c r="H1728" s="1406" t="s">
        <v>1025</v>
      </c>
    </row>
    <row r="1729" spans="1:8" x14ac:dyDescent="0.2">
      <c r="A1729" s="7"/>
      <c r="B1729" s="1407" t="str">
        <f t="shared" si="26"/>
        <v>Kostas Drazinakis</v>
      </c>
      <c r="C1729" s="1402" t="s">
        <v>6233</v>
      </c>
      <c r="D1729" s="1403" t="s">
        <v>3073</v>
      </c>
      <c r="E1729" s="1404" t="s">
        <v>4748</v>
      </c>
      <c r="F1729" s="1405" t="s">
        <v>5299</v>
      </c>
      <c r="G1729" s="1403" t="s">
        <v>14359</v>
      </c>
      <c r="H1729" s="1406" t="s">
        <v>1025</v>
      </c>
    </row>
    <row r="1730" spans="1:8" x14ac:dyDescent="0.2">
      <c r="A1730" s="7"/>
      <c r="B1730" s="1407" t="str">
        <f t="shared" si="26"/>
        <v>Christos Chytas</v>
      </c>
      <c r="C1730" s="1402" t="s">
        <v>14599</v>
      </c>
      <c r="D1730" s="1403" t="s">
        <v>3135</v>
      </c>
      <c r="E1730" s="1404" t="s">
        <v>4749</v>
      </c>
      <c r="F1730" s="1405" t="s">
        <v>5299</v>
      </c>
      <c r="G1730" s="1403" t="s">
        <v>3041</v>
      </c>
      <c r="H1730" s="1406" t="s">
        <v>1025</v>
      </c>
    </row>
    <row r="1731" spans="1:8" x14ac:dyDescent="0.2">
      <c r="A1731" s="7"/>
      <c r="B1731" s="1407" t="str">
        <f t="shared" si="26"/>
        <v>Athanasios Gkogkos</v>
      </c>
      <c r="C1731" s="1402" t="s">
        <v>6262</v>
      </c>
      <c r="D1731" s="1403" t="s">
        <v>3472</v>
      </c>
      <c r="E1731" s="1404" t="s">
        <v>4750</v>
      </c>
      <c r="F1731" s="1405" t="s">
        <v>5300</v>
      </c>
      <c r="G1731" s="1403" t="s">
        <v>10246</v>
      </c>
      <c r="H1731" s="1406" t="s">
        <v>1025</v>
      </c>
    </row>
    <row r="1732" spans="1:8" x14ac:dyDescent="0.2">
      <c r="A1732" s="7"/>
      <c r="B1732" s="1407" t="str">
        <f t="shared" si="26"/>
        <v>Panagiotis Papahronopoulos</v>
      </c>
      <c r="C1732" s="1402" t="s">
        <v>8066</v>
      </c>
      <c r="D1732" s="1403" t="s">
        <v>3249</v>
      </c>
      <c r="E1732" s="1404" t="s">
        <v>4751</v>
      </c>
      <c r="F1732" s="1405" t="s">
        <v>5300</v>
      </c>
      <c r="G1732" s="1403" t="s">
        <v>14359</v>
      </c>
      <c r="H1732" s="1406" t="s">
        <v>1025</v>
      </c>
    </row>
    <row r="1733" spans="1:8" x14ac:dyDescent="0.2">
      <c r="A1733" s="7"/>
      <c r="B1733" s="1407" t="str">
        <f t="shared" si="26"/>
        <v>Spyridon Maniatis</v>
      </c>
      <c r="C1733" s="1402" t="s">
        <v>6263</v>
      </c>
      <c r="D1733" s="1403" t="s">
        <v>7806</v>
      </c>
      <c r="E1733" s="1404" t="s">
        <v>4752</v>
      </c>
      <c r="F1733" s="1405" t="s">
        <v>5300</v>
      </c>
      <c r="G1733" s="1403" t="s">
        <v>10246</v>
      </c>
      <c r="H1733" s="1406" t="s">
        <v>1025</v>
      </c>
    </row>
    <row r="1734" spans="1:8" x14ac:dyDescent="0.2">
      <c r="A1734" s="7"/>
      <c r="B1734" s="1407" t="str">
        <f t="shared" si="26"/>
        <v>Vasileios Angelopoulos</v>
      </c>
      <c r="C1734" s="1402" t="s">
        <v>6264</v>
      </c>
      <c r="D1734" s="1403" t="s">
        <v>5548</v>
      </c>
      <c r="E1734" s="1404" t="s">
        <v>4753</v>
      </c>
      <c r="F1734" s="1405" t="s">
        <v>5300</v>
      </c>
      <c r="G1734" s="1403" t="s">
        <v>10246</v>
      </c>
      <c r="H1734" s="1406" t="s">
        <v>1025</v>
      </c>
    </row>
    <row r="1735" spans="1:8" x14ac:dyDescent="0.2">
      <c r="A1735" s="7"/>
      <c r="B1735" s="1407" t="str">
        <f t="shared" ref="B1735:B1798" si="27">TRIM(CONCATENATE(D1735," ",C1735))</f>
        <v>Fotis Chondroudakis</v>
      </c>
      <c r="C1735" s="1402" t="s">
        <v>6265</v>
      </c>
      <c r="D1735" s="1403" t="s">
        <v>3363</v>
      </c>
      <c r="E1735" s="1404" t="s">
        <v>4754</v>
      </c>
      <c r="F1735" s="1405" t="s">
        <v>5299</v>
      </c>
      <c r="G1735" s="1403" t="s">
        <v>10251</v>
      </c>
      <c r="H1735" s="1406" t="s">
        <v>1025</v>
      </c>
    </row>
    <row r="1736" spans="1:8" x14ac:dyDescent="0.2">
      <c r="A1736" s="7"/>
      <c r="B1736" s="1407" t="str">
        <f t="shared" si="27"/>
        <v>Konstantinos Zarogiannis</v>
      </c>
      <c r="C1736" s="1402" t="s">
        <v>6266</v>
      </c>
      <c r="D1736" s="1403" t="s">
        <v>6986</v>
      </c>
      <c r="E1736" s="1404" t="s">
        <v>4755</v>
      </c>
      <c r="F1736" s="1405" t="s">
        <v>5299</v>
      </c>
      <c r="G1736" s="1403" t="s">
        <v>10246</v>
      </c>
      <c r="H1736" s="1406" t="s">
        <v>1025</v>
      </c>
    </row>
    <row r="1737" spans="1:8" x14ac:dyDescent="0.2">
      <c r="A1737" s="7"/>
      <c r="B1737" s="1407" t="str">
        <f t="shared" si="27"/>
        <v>Christos Psaradelis</v>
      </c>
      <c r="C1737" s="1402" t="s">
        <v>6267</v>
      </c>
      <c r="D1737" s="1403" t="s">
        <v>3135</v>
      </c>
      <c r="E1737" s="1404" t="s">
        <v>4756</v>
      </c>
      <c r="F1737" s="1405" t="s">
        <v>5299</v>
      </c>
      <c r="G1737" s="1403" t="s">
        <v>2775</v>
      </c>
      <c r="H1737" s="1406" t="s">
        <v>1025</v>
      </c>
    </row>
    <row r="1738" spans="1:8" x14ac:dyDescent="0.2">
      <c r="A1738" s="7"/>
      <c r="B1738" s="1407" t="str">
        <f t="shared" si="27"/>
        <v>Nikolaos Georgiou</v>
      </c>
      <c r="C1738" s="1402" t="s">
        <v>5877</v>
      </c>
      <c r="D1738" s="1403" t="s">
        <v>5554</v>
      </c>
      <c r="E1738" s="1404" t="s">
        <v>4757</v>
      </c>
      <c r="F1738" s="1405" t="s">
        <v>5299</v>
      </c>
      <c r="G1738" s="1403" t="s">
        <v>14359</v>
      </c>
      <c r="H1738" s="1406" t="s">
        <v>1025</v>
      </c>
    </row>
    <row r="1739" spans="1:8" x14ac:dyDescent="0.2">
      <c r="A1739" s="7"/>
      <c r="B1739" s="1407" t="str">
        <f t="shared" si="27"/>
        <v>Dimitris Xifaras</v>
      </c>
      <c r="C1739" s="1402" t="s">
        <v>6268</v>
      </c>
      <c r="D1739" s="1403" t="s">
        <v>3099</v>
      </c>
      <c r="E1739" s="1404" t="s">
        <v>4758</v>
      </c>
      <c r="F1739" s="1405" t="s">
        <v>5299</v>
      </c>
      <c r="G1739" s="1403" t="s">
        <v>14359</v>
      </c>
      <c r="H1739" s="1406" t="s">
        <v>1025</v>
      </c>
    </row>
    <row r="1740" spans="1:8" x14ac:dyDescent="0.2">
      <c r="A1740" s="7"/>
      <c r="B1740" s="1407" t="str">
        <f t="shared" si="27"/>
        <v>Anargyros Tsitouras</v>
      </c>
      <c r="C1740" s="1402" t="s">
        <v>6231</v>
      </c>
      <c r="D1740" s="1403" t="s">
        <v>6982</v>
      </c>
      <c r="E1740" s="1404" t="s">
        <v>4759</v>
      </c>
      <c r="F1740" s="1405" t="s">
        <v>5300</v>
      </c>
      <c r="G1740" s="1403" t="s">
        <v>14359</v>
      </c>
      <c r="H1740" s="1406" t="s">
        <v>1025</v>
      </c>
    </row>
    <row r="1741" spans="1:8" x14ac:dyDescent="0.2">
      <c r="A1741" s="7"/>
      <c r="B1741" s="1407" t="str">
        <f t="shared" si="27"/>
        <v>Christos Kotrotsos</v>
      </c>
      <c r="C1741" s="1402" t="s">
        <v>6203</v>
      </c>
      <c r="D1741" s="1403" t="s">
        <v>3135</v>
      </c>
      <c r="E1741" s="1404" t="s">
        <v>4760</v>
      </c>
      <c r="F1741" s="1405" t="s">
        <v>5300</v>
      </c>
      <c r="G1741" s="1403" t="s">
        <v>3213</v>
      </c>
      <c r="H1741" s="1406" t="s">
        <v>1025</v>
      </c>
    </row>
    <row r="1742" spans="1:8" x14ac:dyDescent="0.2">
      <c r="A1742" s="7"/>
      <c r="B1742" s="1407" t="str">
        <f t="shared" si="27"/>
        <v>Dimitris Kontogiannis</v>
      </c>
      <c r="C1742" s="1402" t="s">
        <v>6214</v>
      </c>
      <c r="D1742" s="1403" t="s">
        <v>3099</v>
      </c>
      <c r="E1742" s="1404" t="s">
        <v>4761</v>
      </c>
      <c r="F1742" s="1405" t="s">
        <v>5299</v>
      </c>
      <c r="G1742" s="1403" t="s">
        <v>14359</v>
      </c>
      <c r="H1742" s="1406" t="s">
        <v>1025</v>
      </c>
    </row>
    <row r="1743" spans="1:8" x14ac:dyDescent="0.2">
      <c r="A1743" s="7"/>
      <c r="B1743" s="1407" t="str">
        <f t="shared" si="27"/>
        <v>Nicos Agelakis</v>
      </c>
      <c r="C1743" s="1402" t="s">
        <v>6269</v>
      </c>
      <c r="D1743" s="1403" t="s">
        <v>5642</v>
      </c>
      <c r="E1743" s="1404" t="s">
        <v>4762</v>
      </c>
      <c r="F1743" s="1405" t="s">
        <v>5299</v>
      </c>
      <c r="G1743" s="1403" t="s">
        <v>11324</v>
      </c>
      <c r="H1743" s="1406" t="s">
        <v>1025</v>
      </c>
    </row>
    <row r="1744" spans="1:8" x14ac:dyDescent="0.2">
      <c r="A1744" s="7"/>
      <c r="B1744" s="1407" t="str">
        <f t="shared" si="27"/>
        <v>Haris Smyliotopoulos</v>
      </c>
      <c r="C1744" s="1402" t="s">
        <v>6270</v>
      </c>
      <c r="D1744" s="1403" t="s">
        <v>3547</v>
      </c>
      <c r="E1744" s="1404" t="s">
        <v>4763</v>
      </c>
      <c r="F1744" s="1405" t="s">
        <v>5300</v>
      </c>
      <c r="G1744" s="1403" t="s">
        <v>14359</v>
      </c>
      <c r="H1744" s="1406" t="s">
        <v>1025</v>
      </c>
    </row>
    <row r="1745" spans="1:8" x14ac:dyDescent="0.2">
      <c r="A1745" s="7"/>
      <c r="B1745" s="1407" t="str">
        <f t="shared" si="27"/>
        <v>Konstantinos Apostolidis</v>
      </c>
      <c r="C1745" s="1402" t="s">
        <v>6271</v>
      </c>
      <c r="D1745" s="1403" t="s">
        <v>6986</v>
      </c>
      <c r="E1745" s="1404" t="s">
        <v>4764</v>
      </c>
      <c r="F1745" s="1405" t="s">
        <v>5300</v>
      </c>
      <c r="G1745" s="1403" t="s">
        <v>14359</v>
      </c>
      <c r="H1745" s="1406" t="s">
        <v>1025</v>
      </c>
    </row>
    <row r="1746" spans="1:8" x14ac:dyDescent="0.2">
      <c r="A1746" s="7"/>
      <c r="B1746" s="1407" t="str">
        <f t="shared" si="27"/>
        <v>Georgios Athanasopoulos</v>
      </c>
      <c r="C1746" s="1402" t="s">
        <v>6272</v>
      </c>
      <c r="D1746" s="1403" t="s">
        <v>3324</v>
      </c>
      <c r="E1746" s="1404" t="s">
        <v>4765</v>
      </c>
      <c r="F1746" s="1405" t="s">
        <v>5299</v>
      </c>
      <c r="G1746" s="1403" t="s">
        <v>14359</v>
      </c>
      <c r="H1746" s="1406" t="s">
        <v>1025</v>
      </c>
    </row>
    <row r="1747" spans="1:8" x14ac:dyDescent="0.2">
      <c r="A1747" s="7"/>
      <c r="B1747" s="1407" t="str">
        <f t="shared" si="27"/>
        <v>Georgios Golemis</v>
      </c>
      <c r="C1747" s="1402" t="s">
        <v>6273</v>
      </c>
      <c r="D1747" s="1403" t="s">
        <v>3324</v>
      </c>
      <c r="E1747" s="1404" t="s">
        <v>4766</v>
      </c>
      <c r="F1747" s="1405" t="s">
        <v>5299</v>
      </c>
      <c r="G1747" s="1403" t="s">
        <v>2760</v>
      </c>
      <c r="H1747" s="1406" t="s">
        <v>1025</v>
      </c>
    </row>
    <row r="1748" spans="1:8" x14ac:dyDescent="0.2">
      <c r="A1748" s="7"/>
      <c r="B1748" s="1407" t="str">
        <f t="shared" si="27"/>
        <v>Giorgos Mamalakis</v>
      </c>
      <c r="C1748" s="1402" t="s">
        <v>6274</v>
      </c>
      <c r="D1748" s="1403" t="s">
        <v>3040</v>
      </c>
      <c r="E1748" s="1404" t="s">
        <v>4767</v>
      </c>
      <c r="F1748" s="1405" t="s">
        <v>5300</v>
      </c>
      <c r="G1748" s="1403" t="s">
        <v>14359</v>
      </c>
      <c r="H1748" s="1406" t="s">
        <v>1025</v>
      </c>
    </row>
    <row r="1749" spans="1:8" x14ac:dyDescent="0.2">
      <c r="A1749" s="7"/>
      <c r="B1749" s="1407" t="str">
        <f t="shared" si="27"/>
        <v>Stamatis Perdicaris</v>
      </c>
      <c r="C1749" s="1402" t="s">
        <v>8067</v>
      </c>
      <c r="D1749" s="1403" t="s">
        <v>5611</v>
      </c>
      <c r="E1749" s="1404" t="s">
        <v>4768</v>
      </c>
      <c r="F1749" s="1405" t="s">
        <v>5300</v>
      </c>
      <c r="G1749" s="1403" t="s">
        <v>14359</v>
      </c>
      <c r="H1749" s="1406" t="s">
        <v>1025</v>
      </c>
    </row>
    <row r="1750" spans="1:8" x14ac:dyDescent="0.2">
      <c r="A1750" s="7"/>
      <c r="B1750" s="1407" t="str">
        <f t="shared" si="27"/>
        <v>Iordanis Demirtzoglou</v>
      </c>
      <c r="C1750" s="1402" t="s">
        <v>6275</v>
      </c>
      <c r="D1750" s="1403" t="s">
        <v>5586</v>
      </c>
      <c r="E1750" s="1404" t="s">
        <v>4769</v>
      </c>
      <c r="F1750" s="1405" t="s">
        <v>5299</v>
      </c>
      <c r="G1750" s="1403" t="s">
        <v>14359</v>
      </c>
      <c r="H1750" s="1406" t="s">
        <v>1025</v>
      </c>
    </row>
    <row r="1751" spans="1:8" x14ac:dyDescent="0.2">
      <c r="A1751" s="7"/>
      <c r="B1751" s="1407" t="str">
        <f t="shared" si="27"/>
        <v>Filippos Panagopoulos</v>
      </c>
      <c r="C1751" s="1402" t="s">
        <v>6276</v>
      </c>
      <c r="D1751" s="1403" t="s">
        <v>6983</v>
      </c>
      <c r="E1751" s="1404" t="s">
        <v>4770</v>
      </c>
      <c r="F1751" s="1405" t="s">
        <v>5299</v>
      </c>
      <c r="G1751" s="1403" t="s">
        <v>14359</v>
      </c>
      <c r="H1751" s="1406" t="s">
        <v>1025</v>
      </c>
    </row>
    <row r="1752" spans="1:8" x14ac:dyDescent="0.2">
      <c r="A1752" s="7"/>
      <c r="B1752" s="1407" t="str">
        <f t="shared" si="27"/>
        <v>Ioannis Dragomanidis</v>
      </c>
      <c r="C1752" s="1402" t="s">
        <v>6277</v>
      </c>
      <c r="D1752" s="1403" t="s">
        <v>3350</v>
      </c>
      <c r="E1752" s="1404" t="s">
        <v>4771</v>
      </c>
      <c r="F1752" s="1405" t="s">
        <v>5300</v>
      </c>
      <c r="G1752" s="1403" t="s">
        <v>14359</v>
      </c>
      <c r="H1752" s="1406" t="s">
        <v>1025</v>
      </c>
    </row>
    <row r="1753" spans="1:8" x14ac:dyDescent="0.2">
      <c r="A1753" s="7"/>
      <c r="B1753" s="1407" t="str">
        <f t="shared" si="27"/>
        <v>Manolis Markoudakis</v>
      </c>
      <c r="C1753" s="1402" t="s">
        <v>6278</v>
      </c>
      <c r="D1753" s="1403" t="s">
        <v>3591</v>
      </c>
      <c r="E1753" s="1404" t="s">
        <v>4772</v>
      </c>
      <c r="F1753" s="1405" t="s">
        <v>5299</v>
      </c>
      <c r="G1753" s="1403" t="s">
        <v>14359</v>
      </c>
      <c r="H1753" s="1406" t="s">
        <v>1025</v>
      </c>
    </row>
    <row r="1754" spans="1:8" x14ac:dyDescent="0.2">
      <c r="A1754" s="7"/>
      <c r="B1754" s="1407" t="str">
        <f t="shared" si="27"/>
        <v>Harris Tsekouras</v>
      </c>
      <c r="C1754" s="1402" t="s">
        <v>6279</v>
      </c>
      <c r="D1754" s="1403" t="s">
        <v>6757</v>
      </c>
      <c r="E1754" s="1404" t="s">
        <v>4773</v>
      </c>
      <c r="F1754" s="1405" t="s">
        <v>5299</v>
      </c>
      <c r="G1754" s="1403" t="s">
        <v>14359</v>
      </c>
      <c r="H1754" s="1406" t="s">
        <v>1025</v>
      </c>
    </row>
    <row r="1755" spans="1:8" x14ac:dyDescent="0.2">
      <c r="A1755" s="7"/>
      <c r="B1755" s="1407" t="str">
        <f t="shared" si="27"/>
        <v>Andreas Mavrogiannis</v>
      </c>
      <c r="C1755" s="1402" t="s">
        <v>6280</v>
      </c>
      <c r="D1755" s="1403" t="s">
        <v>3351</v>
      </c>
      <c r="E1755" s="1404" t="s">
        <v>4774</v>
      </c>
      <c r="F1755" s="1405" t="s">
        <v>5299</v>
      </c>
      <c r="G1755" s="1403" t="s">
        <v>10265</v>
      </c>
      <c r="H1755" s="1406" t="s">
        <v>1025</v>
      </c>
    </row>
    <row r="1756" spans="1:8" x14ac:dyDescent="0.2">
      <c r="A1756" s="7"/>
      <c r="B1756" s="1407" t="str">
        <f t="shared" si="27"/>
        <v>Aggelos-Chrisostomos Kadinopoulos</v>
      </c>
      <c r="C1756" s="1402" t="s">
        <v>6139</v>
      </c>
      <c r="D1756" s="1403" t="s">
        <v>8269</v>
      </c>
      <c r="E1756" s="1404" t="s">
        <v>4775</v>
      </c>
      <c r="F1756" s="1405" t="s">
        <v>13210</v>
      </c>
      <c r="G1756" s="1403" t="s">
        <v>9449</v>
      </c>
      <c r="H1756" s="1406" t="s">
        <v>1025</v>
      </c>
    </row>
    <row r="1757" spans="1:8" x14ac:dyDescent="0.2">
      <c r="A1757" s="7"/>
      <c r="B1757" s="1407" t="str">
        <f t="shared" si="27"/>
        <v>Grigorios Kadinopoulos</v>
      </c>
      <c r="C1757" s="1402" t="s">
        <v>6139</v>
      </c>
      <c r="D1757" s="1403" t="s">
        <v>8270</v>
      </c>
      <c r="E1757" s="1404" t="s">
        <v>4776</v>
      </c>
      <c r="F1757" s="1405" t="s">
        <v>5299</v>
      </c>
      <c r="G1757" s="1403" t="s">
        <v>9449</v>
      </c>
      <c r="H1757" s="1406" t="s">
        <v>1025</v>
      </c>
    </row>
    <row r="1758" spans="1:8" x14ac:dyDescent="0.2">
      <c r="A1758" s="7"/>
      <c r="B1758" s="1407" t="str">
        <f t="shared" si="27"/>
        <v>Vasileios Apostolidis</v>
      </c>
      <c r="C1758" s="1402" t="s">
        <v>6271</v>
      </c>
      <c r="D1758" s="1403" t="s">
        <v>5548</v>
      </c>
      <c r="E1758" s="1404" t="s">
        <v>4777</v>
      </c>
      <c r="F1758" s="1405" t="s">
        <v>13210</v>
      </c>
      <c r="G1758" s="1403" t="s">
        <v>14359</v>
      </c>
      <c r="H1758" s="1406" t="s">
        <v>1025</v>
      </c>
    </row>
    <row r="1759" spans="1:8" x14ac:dyDescent="0.2">
      <c r="A1759" s="7"/>
      <c r="B1759" s="1407" t="str">
        <f t="shared" si="27"/>
        <v>Michail Apostolidis</v>
      </c>
      <c r="C1759" s="1402" t="s">
        <v>6271</v>
      </c>
      <c r="D1759" s="1403" t="s">
        <v>8248</v>
      </c>
      <c r="E1759" s="1404" t="s">
        <v>4778</v>
      </c>
      <c r="F1759" s="1405" t="s">
        <v>13210</v>
      </c>
      <c r="G1759" s="1403" t="s">
        <v>14359</v>
      </c>
      <c r="H1759" s="1406" t="s">
        <v>1025</v>
      </c>
    </row>
    <row r="1760" spans="1:8" x14ac:dyDescent="0.2">
      <c r="A1760" s="7"/>
      <c r="B1760" s="1407" t="str">
        <f t="shared" si="27"/>
        <v>Ioannis Salamouris</v>
      </c>
      <c r="C1760" s="1402" t="s">
        <v>6281</v>
      </c>
      <c r="D1760" s="1403" t="s">
        <v>3350</v>
      </c>
      <c r="E1760" s="1404" t="s">
        <v>4779</v>
      </c>
      <c r="F1760" s="1405" t="s">
        <v>5300</v>
      </c>
      <c r="G1760" s="1403" t="s">
        <v>3041</v>
      </c>
      <c r="H1760" s="1406" t="s">
        <v>1025</v>
      </c>
    </row>
    <row r="1761" spans="1:8" x14ac:dyDescent="0.2">
      <c r="A1761" s="7"/>
      <c r="B1761" s="1407" t="str">
        <f t="shared" si="27"/>
        <v>Sotiris Korologos</v>
      </c>
      <c r="C1761" s="1402" t="s">
        <v>6282</v>
      </c>
      <c r="D1761" s="1403" t="s">
        <v>5560</v>
      </c>
      <c r="E1761" s="1404" t="s">
        <v>4780</v>
      </c>
      <c r="F1761" s="1405" t="s">
        <v>5300</v>
      </c>
      <c r="G1761" s="1403" t="s">
        <v>9449</v>
      </c>
      <c r="H1761" s="1406" t="s">
        <v>1025</v>
      </c>
    </row>
    <row r="1762" spans="1:8" x14ac:dyDescent="0.2">
      <c r="A1762" s="7"/>
      <c r="B1762" s="1407" t="str">
        <f t="shared" si="27"/>
        <v>Nikolaos Georginis</v>
      </c>
      <c r="C1762" s="1402" t="s">
        <v>6283</v>
      </c>
      <c r="D1762" s="1403" t="s">
        <v>5554</v>
      </c>
      <c r="E1762" s="1404" t="s">
        <v>4781</v>
      </c>
      <c r="F1762" s="1405" t="s">
        <v>5299</v>
      </c>
      <c r="G1762" s="1403" t="s">
        <v>14359</v>
      </c>
      <c r="H1762" s="1406" t="s">
        <v>1025</v>
      </c>
    </row>
    <row r="1763" spans="1:8" x14ac:dyDescent="0.2">
      <c r="A1763" s="7"/>
      <c r="B1763" s="1407" t="str">
        <f t="shared" si="27"/>
        <v>Paris Oiconomidis</v>
      </c>
      <c r="C1763" s="1402" t="s">
        <v>8068</v>
      </c>
      <c r="D1763" s="1403" t="s">
        <v>6970</v>
      </c>
      <c r="E1763" s="1404" t="s">
        <v>4782</v>
      </c>
      <c r="F1763" s="1405" t="s">
        <v>5300</v>
      </c>
      <c r="G1763" s="1403" t="s">
        <v>14359</v>
      </c>
      <c r="H1763" s="1406" t="s">
        <v>1025</v>
      </c>
    </row>
    <row r="1764" spans="1:8" x14ac:dyDescent="0.2">
      <c r="A1764" s="7"/>
      <c r="B1764" s="1407" t="str">
        <f t="shared" si="27"/>
        <v>Georgios Genitsaropoulos</v>
      </c>
      <c r="C1764" s="1402" t="s">
        <v>6284</v>
      </c>
      <c r="D1764" s="1403" t="s">
        <v>3324</v>
      </c>
      <c r="E1764" s="1404" t="s">
        <v>4783</v>
      </c>
      <c r="F1764" s="1405" t="s">
        <v>5299</v>
      </c>
      <c r="G1764" s="1403" t="s">
        <v>5311</v>
      </c>
      <c r="H1764" s="1406" t="s">
        <v>1025</v>
      </c>
    </row>
    <row r="1765" spans="1:8" x14ac:dyDescent="0.2">
      <c r="A1765" s="7"/>
      <c r="B1765" s="1407" t="str">
        <f t="shared" si="27"/>
        <v>Christoforos Alatsakis</v>
      </c>
      <c r="C1765" s="1402" t="s">
        <v>6285</v>
      </c>
      <c r="D1765" s="1403" t="s">
        <v>5653</v>
      </c>
      <c r="E1765" s="1404" t="s">
        <v>4784</v>
      </c>
      <c r="F1765" s="1405" t="s">
        <v>5299</v>
      </c>
      <c r="G1765" s="1403" t="s">
        <v>14359</v>
      </c>
      <c r="H1765" s="1406" t="s">
        <v>1025</v>
      </c>
    </row>
    <row r="1766" spans="1:8" x14ac:dyDescent="0.2">
      <c r="A1766" s="7"/>
      <c r="B1766" s="1407" t="str">
        <f t="shared" si="27"/>
        <v>Evaggelia Mpelanti</v>
      </c>
      <c r="C1766" s="1402" t="s">
        <v>8069</v>
      </c>
      <c r="D1766" s="1403" t="s">
        <v>8271</v>
      </c>
      <c r="E1766" s="1404" t="s">
        <v>4785</v>
      </c>
      <c r="F1766" s="1405" t="s">
        <v>5300</v>
      </c>
      <c r="G1766" s="1403" t="s">
        <v>14359</v>
      </c>
      <c r="H1766" s="1406" t="s">
        <v>1025</v>
      </c>
    </row>
    <row r="1767" spans="1:8" x14ac:dyDescent="0.2">
      <c r="A1767" s="7"/>
      <c r="B1767" s="1407" t="str">
        <f t="shared" si="27"/>
        <v>Nasos Kalogiros</v>
      </c>
      <c r="C1767" s="1402" t="s">
        <v>6286</v>
      </c>
      <c r="D1767" s="1403" t="s">
        <v>6965</v>
      </c>
      <c r="E1767" s="1404" t="s">
        <v>4786</v>
      </c>
      <c r="F1767" s="1405" t="s">
        <v>5300</v>
      </c>
      <c r="G1767" s="1403" t="s">
        <v>14359</v>
      </c>
      <c r="H1767" s="1406" t="s">
        <v>1025</v>
      </c>
    </row>
    <row r="1768" spans="1:8" x14ac:dyDescent="0.2">
      <c r="A1768" s="7"/>
      <c r="B1768" s="1407" t="str">
        <f t="shared" si="27"/>
        <v>Athanasios Kalogiros</v>
      </c>
      <c r="C1768" s="1402" t="s">
        <v>6286</v>
      </c>
      <c r="D1768" s="1403" t="s">
        <v>3472</v>
      </c>
      <c r="E1768" s="1404" t="s">
        <v>4787</v>
      </c>
      <c r="F1768" s="1405" t="s">
        <v>5299</v>
      </c>
      <c r="G1768" s="1403" t="s">
        <v>14359</v>
      </c>
      <c r="H1768" s="1406" t="s">
        <v>1025</v>
      </c>
    </row>
    <row r="1769" spans="1:8" x14ac:dyDescent="0.2">
      <c r="A1769" s="7"/>
      <c r="B1769" s="1407" t="str">
        <f t="shared" si="27"/>
        <v>Ioannis Androutsopoulos</v>
      </c>
      <c r="C1769" s="1402" t="s">
        <v>6206</v>
      </c>
      <c r="D1769" s="1403" t="s">
        <v>3350</v>
      </c>
      <c r="E1769" s="1404" t="s">
        <v>4788</v>
      </c>
      <c r="F1769" s="1405" t="s">
        <v>5300</v>
      </c>
      <c r="G1769" s="1403" t="s">
        <v>14359</v>
      </c>
      <c r="H1769" s="1406" t="s">
        <v>1025</v>
      </c>
    </row>
    <row r="1770" spans="1:8" x14ac:dyDescent="0.2">
      <c r="A1770" s="7"/>
      <c r="B1770" s="1407" t="str">
        <f t="shared" si="27"/>
        <v>Nikolaos Antonaropoulos</v>
      </c>
      <c r="C1770" s="1402" t="s">
        <v>6287</v>
      </c>
      <c r="D1770" s="1403" t="s">
        <v>5554</v>
      </c>
      <c r="E1770" s="1404" t="s">
        <v>4789</v>
      </c>
      <c r="F1770" s="1405" t="s">
        <v>5300</v>
      </c>
      <c r="G1770" s="1403" t="s">
        <v>14359</v>
      </c>
      <c r="H1770" s="1406" t="s">
        <v>1025</v>
      </c>
    </row>
    <row r="1771" spans="1:8" x14ac:dyDescent="0.2">
      <c r="A1771" s="7"/>
      <c r="B1771" s="1407" t="str">
        <f t="shared" si="27"/>
        <v>Georgios Arvanitis</v>
      </c>
      <c r="C1771" s="1402" t="s">
        <v>6103</v>
      </c>
      <c r="D1771" s="1403" t="s">
        <v>3324</v>
      </c>
      <c r="E1771" s="1404" t="s">
        <v>4790</v>
      </c>
      <c r="F1771" s="1405" t="s">
        <v>5299</v>
      </c>
      <c r="G1771" s="1403" t="s">
        <v>14359</v>
      </c>
      <c r="H1771" s="1406" t="s">
        <v>1025</v>
      </c>
    </row>
    <row r="1772" spans="1:8" x14ac:dyDescent="0.2">
      <c r="A1772" s="7"/>
      <c r="B1772" s="1407" t="str">
        <f t="shared" si="27"/>
        <v>Eleftherios Iliadis</v>
      </c>
      <c r="C1772" s="1402" t="s">
        <v>6288</v>
      </c>
      <c r="D1772" s="1403" t="s">
        <v>7808</v>
      </c>
      <c r="E1772" s="1404" t="s">
        <v>4791</v>
      </c>
      <c r="F1772" s="1405" t="s">
        <v>5299</v>
      </c>
      <c r="G1772" s="1403" t="s">
        <v>14359</v>
      </c>
      <c r="H1772" s="1406" t="s">
        <v>1025</v>
      </c>
    </row>
    <row r="1773" spans="1:8" x14ac:dyDescent="0.2">
      <c r="A1773" s="7"/>
      <c r="B1773" s="1407" t="str">
        <f t="shared" si="27"/>
        <v>Miltiadis Kounenos</v>
      </c>
      <c r="C1773" s="1402" t="s">
        <v>6289</v>
      </c>
      <c r="D1773" s="1403" t="s">
        <v>3113</v>
      </c>
      <c r="E1773" s="1404" t="s">
        <v>4792</v>
      </c>
      <c r="F1773" s="1405" t="s">
        <v>5300</v>
      </c>
      <c r="G1773" s="1403" t="s">
        <v>14359</v>
      </c>
      <c r="H1773" s="1406" t="s">
        <v>1025</v>
      </c>
    </row>
    <row r="1774" spans="1:8" x14ac:dyDescent="0.2">
      <c r="A1774" s="7"/>
      <c r="B1774" s="1407" t="str">
        <f t="shared" si="27"/>
        <v>Georgios Kounenos</v>
      </c>
      <c r="C1774" s="1402" t="s">
        <v>6289</v>
      </c>
      <c r="D1774" s="1403" t="s">
        <v>3324</v>
      </c>
      <c r="E1774" s="1404" t="s">
        <v>4793</v>
      </c>
      <c r="F1774" s="1405" t="s">
        <v>5299</v>
      </c>
      <c r="G1774" s="1403" t="s">
        <v>14359</v>
      </c>
      <c r="H1774" s="1406" t="s">
        <v>1025</v>
      </c>
    </row>
    <row r="1775" spans="1:8" x14ac:dyDescent="0.2">
      <c r="A1775" s="7"/>
      <c r="B1775" s="1407" t="str">
        <f t="shared" si="27"/>
        <v>Charalampos Polychronakis</v>
      </c>
      <c r="C1775" s="1402" t="s">
        <v>6290</v>
      </c>
      <c r="D1775" s="1403" t="s">
        <v>8247</v>
      </c>
      <c r="E1775" s="1404" t="s">
        <v>4794</v>
      </c>
      <c r="F1775" s="1405" t="s">
        <v>5299</v>
      </c>
      <c r="G1775" s="1403" t="s">
        <v>14359</v>
      </c>
      <c r="H1775" s="1406" t="s">
        <v>1025</v>
      </c>
    </row>
    <row r="1776" spans="1:8" x14ac:dyDescent="0.2">
      <c r="A1776" s="7"/>
      <c r="B1776" s="1407" t="str">
        <f t="shared" si="27"/>
        <v>Konstantinos Polykratis</v>
      </c>
      <c r="C1776" s="1402" t="s">
        <v>6291</v>
      </c>
      <c r="D1776" s="1403" t="s">
        <v>6986</v>
      </c>
      <c r="E1776" s="1404" t="s">
        <v>4795</v>
      </c>
      <c r="F1776" s="1405" t="s">
        <v>5300</v>
      </c>
      <c r="G1776" s="1403" t="s">
        <v>14359</v>
      </c>
      <c r="H1776" s="1406" t="s">
        <v>1025</v>
      </c>
    </row>
    <row r="1777" spans="1:8" x14ac:dyDescent="0.2">
      <c r="A1777" s="7"/>
      <c r="B1777" s="1407" t="str">
        <f t="shared" si="27"/>
        <v>Vardis Samaritakis</v>
      </c>
      <c r="C1777" s="1402" t="s">
        <v>6292</v>
      </c>
      <c r="D1777" s="1403" t="s">
        <v>6985</v>
      </c>
      <c r="E1777" s="1404" t="s">
        <v>4796</v>
      </c>
      <c r="F1777" s="1405" t="s">
        <v>5299</v>
      </c>
      <c r="G1777" s="1403" t="s">
        <v>14359</v>
      </c>
      <c r="H1777" s="1406" t="s">
        <v>1025</v>
      </c>
    </row>
    <row r="1778" spans="1:8" x14ac:dyDescent="0.2">
      <c r="A1778" s="7"/>
      <c r="B1778" s="1407" t="str">
        <f t="shared" si="27"/>
        <v>Dimitrios Zymvragoudakis</v>
      </c>
      <c r="C1778" s="1402" t="s">
        <v>6293</v>
      </c>
      <c r="D1778" s="1403" t="s">
        <v>5644</v>
      </c>
      <c r="E1778" s="1404" t="s">
        <v>4797</v>
      </c>
      <c r="F1778" s="1405" t="s">
        <v>5300</v>
      </c>
      <c r="G1778" s="1403" t="s">
        <v>14359</v>
      </c>
      <c r="H1778" s="1406" t="s">
        <v>1025</v>
      </c>
    </row>
    <row r="1779" spans="1:8" x14ac:dyDescent="0.2">
      <c r="A1779" s="7"/>
      <c r="B1779" s="1407" t="str">
        <f t="shared" si="27"/>
        <v>George Pol Papadakis</v>
      </c>
      <c r="C1779" s="1402" t="s">
        <v>6123</v>
      </c>
      <c r="D1779" s="1403" t="s">
        <v>5525</v>
      </c>
      <c r="E1779" s="1404" t="s">
        <v>4798</v>
      </c>
      <c r="F1779" s="1405" t="s">
        <v>5300</v>
      </c>
      <c r="G1779" s="1403" t="s">
        <v>14359</v>
      </c>
      <c r="H1779" s="1406" t="s">
        <v>1025</v>
      </c>
    </row>
    <row r="1780" spans="1:8" x14ac:dyDescent="0.2">
      <c r="A1780" s="7"/>
      <c r="B1780" s="1407" t="str">
        <f t="shared" si="27"/>
        <v>Michail Marakis</v>
      </c>
      <c r="C1780" s="1402" t="s">
        <v>6294</v>
      </c>
      <c r="D1780" s="1403" t="s">
        <v>8248</v>
      </c>
      <c r="E1780" s="1404" t="s">
        <v>4799</v>
      </c>
      <c r="F1780" s="1405" t="s">
        <v>5299</v>
      </c>
      <c r="G1780" s="1403" t="s">
        <v>14359</v>
      </c>
      <c r="H1780" s="1406" t="s">
        <v>1025</v>
      </c>
    </row>
    <row r="1781" spans="1:8" x14ac:dyDescent="0.2">
      <c r="A1781" s="7"/>
      <c r="B1781" s="1407" t="str">
        <f t="shared" si="27"/>
        <v>Georgios Kalogiros</v>
      </c>
      <c r="C1781" s="1402" t="s">
        <v>6286</v>
      </c>
      <c r="D1781" s="1403" t="s">
        <v>3324</v>
      </c>
      <c r="E1781" s="1404" t="s">
        <v>4800</v>
      </c>
      <c r="F1781" s="1405" t="s">
        <v>13210</v>
      </c>
      <c r="G1781" s="1403" t="s">
        <v>14359</v>
      </c>
      <c r="H1781" s="1406" t="s">
        <v>1025</v>
      </c>
    </row>
    <row r="1782" spans="1:8" x14ac:dyDescent="0.2">
      <c r="A1782" s="7"/>
      <c r="B1782" s="1407" t="str">
        <f t="shared" si="27"/>
        <v>Antonis Apostolou</v>
      </c>
      <c r="C1782" s="1402" t="s">
        <v>6295</v>
      </c>
      <c r="D1782" s="1403" t="s">
        <v>3164</v>
      </c>
      <c r="E1782" s="1404" t="s">
        <v>4801</v>
      </c>
      <c r="F1782" s="1405" t="s">
        <v>5300</v>
      </c>
      <c r="G1782" s="1403" t="s">
        <v>14359</v>
      </c>
      <c r="H1782" s="1406" t="s">
        <v>1025</v>
      </c>
    </row>
    <row r="1783" spans="1:8" x14ac:dyDescent="0.2">
      <c r="A1783" s="7"/>
      <c r="B1783" s="1407" t="str">
        <f t="shared" si="27"/>
        <v>Dimitris Papageorgiou</v>
      </c>
      <c r="C1783" s="1402" t="s">
        <v>6296</v>
      </c>
      <c r="D1783" s="1403" t="s">
        <v>3099</v>
      </c>
      <c r="E1783" s="1404" t="s">
        <v>4802</v>
      </c>
      <c r="F1783" s="1405" t="s">
        <v>5299</v>
      </c>
      <c r="G1783" s="1403" t="s">
        <v>14359</v>
      </c>
      <c r="H1783" s="1406" t="s">
        <v>1025</v>
      </c>
    </row>
    <row r="1784" spans="1:8" x14ac:dyDescent="0.2">
      <c r="A1784" s="7"/>
      <c r="B1784" s="1407" t="str">
        <f t="shared" si="27"/>
        <v>Alexandros Niavis</v>
      </c>
      <c r="C1784" s="1402" t="s">
        <v>6171</v>
      </c>
      <c r="D1784" s="1403" t="s">
        <v>3582</v>
      </c>
      <c r="E1784" s="1404" t="s">
        <v>4803</v>
      </c>
      <c r="F1784" s="1405" t="s">
        <v>5299</v>
      </c>
      <c r="G1784" s="1403" t="s">
        <v>14359</v>
      </c>
      <c r="H1784" s="1406" t="s">
        <v>1025</v>
      </c>
    </row>
    <row r="1785" spans="1:8" x14ac:dyDescent="0.2">
      <c r="A1785" s="7"/>
      <c r="B1785" s="1407" t="str">
        <f t="shared" si="27"/>
        <v>Konstantinos Sourlas</v>
      </c>
      <c r="C1785" s="1402" t="s">
        <v>6222</v>
      </c>
      <c r="D1785" s="1403" t="s">
        <v>6986</v>
      </c>
      <c r="E1785" s="1404" t="s">
        <v>4804</v>
      </c>
      <c r="F1785" s="1405" t="s">
        <v>5299</v>
      </c>
      <c r="G1785" s="1403" t="s">
        <v>11324</v>
      </c>
      <c r="H1785" s="1406" t="s">
        <v>1025</v>
      </c>
    </row>
    <row r="1786" spans="1:8" x14ac:dyDescent="0.2">
      <c r="A1786" s="7"/>
      <c r="B1786" s="1407" t="str">
        <f t="shared" si="27"/>
        <v>Konstantinos Vlachopoulos</v>
      </c>
      <c r="C1786" s="1402" t="s">
        <v>8059</v>
      </c>
      <c r="D1786" s="1403" t="s">
        <v>6986</v>
      </c>
      <c r="E1786" s="1404" t="s">
        <v>4805</v>
      </c>
      <c r="F1786" s="1405" t="s">
        <v>5299</v>
      </c>
      <c r="G1786" s="1403" t="s">
        <v>14359</v>
      </c>
      <c r="H1786" s="1406" t="s">
        <v>1025</v>
      </c>
    </row>
    <row r="1787" spans="1:8" x14ac:dyDescent="0.2">
      <c r="A1787" s="7"/>
      <c r="B1787" s="1407" t="str">
        <f t="shared" si="27"/>
        <v>Maria Papadea</v>
      </c>
      <c r="C1787" s="1402" t="s">
        <v>6297</v>
      </c>
      <c r="D1787" s="1403" t="s">
        <v>3475</v>
      </c>
      <c r="E1787" s="1404" t="s">
        <v>4806</v>
      </c>
      <c r="F1787" s="1405" t="s">
        <v>5299</v>
      </c>
      <c r="G1787" s="1403" t="s">
        <v>14359</v>
      </c>
      <c r="H1787" s="1406" t="s">
        <v>1025</v>
      </c>
    </row>
    <row r="1788" spans="1:8" x14ac:dyDescent="0.2">
      <c r="A1788" s="7"/>
      <c r="B1788" s="1407" t="str">
        <f t="shared" si="27"/>
        <v>Apostolis Triantafillou</v>
      </c>
      <c r="C1788" s="1402" t="s">
        <v>6069</v>
      </c>
      <c r="D1788" s="1403" t="s">
        <v>6966</v>
      </c>
      <c r="E1788" s="1404" t="s">
        <v>4807</v>
      </c>
      <c r="F1788" s="1405" t="s">
        <v>5299</v>
      </c>
      <c r="G1788" s="1403" t="s">
        <v>14359</v>
      </c>
      <c r="H1788" s="1406" t="s">
        <v>1025</v>
      </c>
    </row>
    <row r="1789" spans="1:8" x14ac:dyDescent="0.2">
      <c r="A1789" s="7"/>
      <c r="B1789" s="1407" t="str">
        <f t="shared" si="27"/>
        <v>Giorgos Apostolou</v>
      </c>
      <c r="C1789" s="1402" t="s">
        <v>6295</v>
      </c>
      <c r="D1789" s="1403" t="s">
        <v>3040</v>
      </c>
      <c r="E1789" s="1404" t="s">
        <v>4808</v>
      </c>
      <c r="F1789" s="1405" t="s">
        <v>5299</v>
      </c>
      <c r="G1789" s="1403" t="s">
        <v>14359</v>
      </c>
      <c r="H1789" s="1406" t="s">
        <v>1025</v>
      </c>
    </row>
    <row r="1790" spans="1:8" x14ac:dyDescent="0.2">
      <c r="A1790" s="7"/>
      <c r="B1790" s="1407" t="str">
        <f t="shared" si="27"/>
        <v>Dimitra Koutsiana</v>
      </c>
      <c r="C1790" s="1402" t="s">
        <v>6298</v>
      </c>
      <c r="D1790" s="1403" t="s">
        <v>6987</v>
      </c>
      <c r="E1790" s="1404" t="s">
        <v>4809</v>
      </c>
      <c r="F1790" s="1405" t="s">
        <v>5299</v>
      </c>
      <c r="G1790" s="1403" t="s">
        <v>14359</v>
      </c>
      <c r="H1790" s="1406" t="s">
        <v>1025</v>
      </c>
    </row>
    <row r="1791" spans="1:8" x14ac:dyDescent="0.2">
      <c r="A1791" s="7"/>
      <c r="B1791" s="1407" t="str">
        <f t="shared" si="27"/>
        <v>Vasiliki Ioakim</v>
      </c>
      <c r="C1791" s="1402" t="s">
        <v>6299</v>
      </c>
      <c r="D1791" s="1403" t="s">
        <v>6988</v>
      </c>
      <c r="E1791" s="1404" t="s">
        <v>4810</v>
      </c>
      <c r="F1791" s="1405" t="s">
        <v>5299</v>
      </c>
      <c r="G1791" s="1403" t="s">
        <v>14359</v>
      </c>
      <c r="H1791" s="1406" t="s">
        <v>1025</v>
      </c>
    </row>
    <row r="1792" spans="1:8" x14ac:dyDescent="0.2">
      <c r="A1792" s="7"/>
      <c r="B1792" s="1407" t="str">
        <f t="shared" si="27"/>
        <v>Marion Tsiamalou</v>
      </c>
      <c r="C1792" s="1402" t="s">
        <v>6300</v>
      </c>
      <c r="D1792" s="1403" t="s">
        <v>6989</v>
      </c>
      <c r="E1792" s="1404" t="s">
        <v>4811</v>
      </c>
      <c r="F1792" s="1405" t="s">
        <v>5299</v>
      </c>
      <c r="G1792" s="1403" t="s">
        <v>14359</v>
      </c>
      <c r="H1792" s="1406" t="s">
        <v>1025</v>
      </c>
    </row>
    <row r="1793" spans="1:8" x14ac:dyDescent="0.2">
      <c r="A1793" s="7"/>
      <c r="B1793" s="1407" t="str">
        <f t="shared" si="27"/>
        <v>Athanasios Nikou</v>
      </c>
      <c r="C1793" s="1402" t="s">
        <v>6301</v>
      </c>
      <c r="D1793" s="1403" t="s">
        <v>3472</v>
      </c>
      <c r="E1793" s="1404" t="s">
        <v>4812</v>
      </c>
      <c r="F1793" s="1405" t="s">
        <v>5299</v>
      </c>
      <c r="G1793" s="1403" t="s">
        <v>14359</v>
      </c>
      <c r="H1793" s="1406" t="s">
        <v>1025</v>
      </c>
    </row>
    <row r="1794" spans="1:8" x14ac:dyDescent="0.2">
      <c r="A1794" s="7"/>
      <c r="B1794" s="1407" t="str">
        <f t="shared" si="27"/>
        <v>Marianna Niavi</v>
      </c>
      <c r="C1794" s="1402" t="s">
        <v>6302</v>
      </c>
      <c r="D1794" s="1403" t="s">
        <v>6990</v>
      </c>
      <c r="E1794" s="1404" t="s">
        <v>4813</v>
      </c>
      <c r="F1794" s="1405" t="s">
        <v>5299</v>
      </c>
      <c r="G1794" s="1403" t="s">
        <v>14359</v>
      </c>
      <c r="H1794" s="1406" t="s">
        <v>1025</v>
      </c>
    </row>
    <row r="1795" spans="1:8" x14ac:dyDescent="0.2">
      <c r="A1795" s="7"/>
      <c r="B1795" s="1407" t="str">
        <f t="shared" si="27"/>
        <v>Panagiotis (67) Vasilopoulos</v>
      </c>
      <c r="C1795" s="1402" t="s">
        <v>6303</v>
      </c>
      <c r="D1795" s="1403" t="s">
        <v>16315</v>
      </c>
      <c r="E1795" s="1404" t="s">
        <v>4814</v>
      </c>
      <c r="F1795" s="1405" t="s">
        <v>5300</v>
      </c>
      <c r="G1795" s="1403" t="s">
        <v>14359</v>
      </c>
      <c r="H1795" s="1406" t="s">
        <v>1025</v>
      </c>
    </row>
    <row r="1796" spans="1:8" x14ac:dyDescent="0.2">
      <c r="A1796" s="7"/>
      <c r="B1796" s="1407" t="str">
        <f t="shared" si="27"/>
        <v>Vasileios Vasilopoulos</v>
      </c>
      <c r="C1796" s="1402" t="s">
        <v>6303</v>
      </c>
      <c r="D1796" s="1403" t="s">
        <v>5548</v>
      </c>
      <c r="E1796" s="1404" t="s">
        <v>4815</v>
      </c>
      <c r="F1796" s="1405" t="s">
        <v>5299</v>
      </c>
      <c r="G1796" s="1403" t="s">
        <v>14359</v>
      </c>
      <c r="H1796" s="1406" t="s">
        <v>1025</v>
      </c>
    </row>
    <row r="1797" spans="1:8" x14ac:dyDescent="0.2">
      <c r="A1797" s="7"/>
      <c r="B1797" s="1407" t="str">
        <f t="shared" si="27"/>
        <v>Nikolaos Vasilopoulos</v>
      </c>
      <c r="C1797" s="1402" t="s">
        <v>6303</v>
      </c>
      <c r="D1797" s="1403" t="s">
        <v>5554</v>
      </c>
      <c r="E1797" s="1404" t="s">
        <v>4816</v>
      </c>
      <c r="F1797" s="1405" t="s">
        <v>5299</v>
      </c>
      <c r="G1797" s="1403" t="s">
        <v>2793</v>
      </c>
      <c r="H1797" s="1406" t="s">
        <v>1025</v>
      </c>
    </row>
    <row r="1798" spans="1:8" x14ac:dyDescent="0.2">
      <c r="A1798" s="7"/>
      <c r="B1798" s="1407" t="str">
        <f t="shared" si="27"/>
        <v>Konstantinos Stollas</v>
      </c>
      <c r="C1798" s="1402" t="s">
        <v>6304</v>
      </c>
      <c r="D1798" s="1403" t="s">
        <v>6986</v>
      </c>
      <c r="E1798" s="1404" t="s">
        <v>4817</v>
      </c>
      <c r="F1798" s="1405" t="s">
        <v>13210</v>
      </c>
      <c r="G1798" s="1403" t="s">
        <v>14359</v>
      </c>
      <c r="H1798" s="1406" t="s">
        <v>1025</v>
      </c>
    </row>
    <row r="1799" spans="1:8" x14ac:dyDescent="0.2">
      <c r="A1799" s="7"/>
      <c r="B1799" s="1407" t="str">
        <f t="shared" ref="B1799:B1862" si="28">TRIM(CONCATENATE(D1799," ",C1799))</f>
        <v>Emmanouil Sotiropoulos</v>
      </c>
      <c r="C1799" s="1402" t="s">
        <v>6305</v>
      </c>
      <c r="D1799" s="1403" t="s">
        <v>6991</v>
      </c>
      <c r="E1799" s="1404" t="s">
        <v>4818</v>
      </c>
      <c r="F1799" s="1405" t="s">
        <v>5299</v>
      </c>
      <c r="G1799" s="1403" t="s">
        <v>2793</v>
      </c>
      <c r="H1799" s="1406" t="s">
        <v>1025</v>
      </c>
    </row>
    <row r="1800" spans="1:8" x14ac:dyDescent="0.2">
      <c r="A1800" s="7"/>
      <c r="B1800" s="1407" t="str">
        <f t="shared" si="28"/>
        <v>Dimitrios Sotiropoulos</v>
      </c>
      <c r="C1800" s="1402" t="s">
        <v>6305</v>
      </c>
      <c r="D1800" s="1403" t="s">
        <v>5644</v>
      </c>
      <c r="E1800" s="1404" t="s">
        <v>4819</v>
      </c>
      <c r="F1800" s="1405" t="s">
        <v>5299</v>
      </c>
      <c r="G1800" s="1403" t="s">
        <v>2793</v>
      </c>
      <c r="H1800" s="1406" t="s">
        <v>1025</v>
      </c>
    </row>
    <row r="1801" spans="1:8" x14ac:dyDescent="0.2">
      <c r="A1801" s="7"/>
      <c r="B1801" s="1407" t="str">
        <f t="shared" si="28"/>
        <v>Georgios Papavasileiou</v>
      </c>
      <c r="C1801" s="1402" t="s">
        <v>6193</v>
      </c>
      <c r="D1801" s="1403" t="s">
        <v>3324</v>
      </c>
      <c r="E1801" s="1404" t="s">
        <v>4820</v>
      </c>
      <c r="F1801" s="1405" t="s">
        <v>5299</v>
      </c>
      <c r="G1801" s="1403" t="s">
        <v>14359</v>
      </c>
      <c r="H1801" s="1406" t="s">
        <v>1025</v>
      </c>
    </row>
    <row r="1802" spans="1:8" x14ac:dyDescent="0.2">
      <c r="A1802" s="7"/>
      <c r="B1802" s="1407" t="str">
        <f t="shared" si="28"/>
        <v>Stavros Panagiotakopoulos</v>
      </c>
      <c r="C1802" s="1402" t="s">
        <v>6306</v>
      </c>
      <c r="D1802" s="1403" t="s">
        <v>3336</v>
      </c>
      <c r="E1802" s="1404" t="s">
        <v>4821</v>
      </c>
      <c r="F1802" s="1405" t="s">
        <v>5299</v>
      </c>
      <c r="G1802" s="1403" t="s">
        <v>14359</v>
      </c>
      <c r="H1802" s="1406" t="s">
        <v>1025</v>
      </c>
    </row>
    <row r="1803" spans="1:8" x14ac:dyDescent="0.2">
      <c r="A1803" s="7"/>
      <c r="B1803" s="1407" t="str">
        <f t="shared" si="28"/>
        <v>Giannis Mpratis</v>
      </c>
      <c r="C1803" s="1402" t="s">
        <v>6307</v>
      </c>
      <c r="D1803" s="1403" t="s">
        <v>3083</v>
      </c>
      <c r="E1803" s="1404" t="s">
        <v>4822</v>
      </c>
      <c r="F1803" s="1405" t="s">
        <v>5299</v>
      </c>
      <c r="G1803" s="1403" t="s">
        <v>14359</v>
      </c>
      <c r="H1803" s="1406" t="s">
        <v>1025</v>
      </c>
    </row>
    <row r="1804" spans="1:8" x14ac:dyDescent="0.2">
      <c r="A1804" s="7"/>
      <c r="B1804" s="1407" t="str">
        <f t="shared" si="28"/>
        <v>Giannis Stollas</v>
      </c>
      <c r="C1804" s="1402" t="s">
        <v>6304</v>
      </c>
      <c r="D1804" s="1403" t="s">
        <v>3083</v>
      </c>
      <c r="E1804" s="1404" t="s">
        <v>4823</v>
      </c>
      <c r="F1804" s="1405" t="s">
        <v>5299</v>
      </c>
      <c r="G1804" s="1403" t="s">
        <v>14359</v>
      </c>
      <c r="H1804" s="1406" t="s">
        <v>1025</v>
      </c>
    </row>
    <row r="1805" spans="1:8" x14ac:dyDescent="0.2">
      <c r="A1805" s="7"/>
      <c r="B1805" s="1407" t="str">
        <f t="shared" si="28"/>
        <v>Panagiotis Kavgas</v>
      </c>
      <c r="C1805" s="1402" t="s">
        <v>6308</v>
      </c>
      <c r="D1805" s="1403" t="s">
        <v>3249</v>
      </c>
      <c r="E1805" s="1404" t="s">
        <v>4824</v>
      </c>
      <c r="F1805" s="1405" t="s">
        <v>5299</v>
      </c>
      <c r="G1805" s="1403" t="s">
        <v>14359</v>
      </c>
      <c r="H1805" s="1406" t="s">
        <v>1025</v>
      </c>
    </row>
    <row r="1806" spans="1:8" x14ac:dyDescent="0.2">
      <c r="A1806" s="7"/>
      <c r="B1806" s="1407" t="str">
        <f t="shared" si="28"/>
        <v>Nikolaos Paolino</v>
      </c>
      <c r="C1806" s="1402" t="s">
        <v>6618</v>
      </c>
      <c r="D1806" s="1403" t="s">
        <v>5554</v>
      </c>
      <c r="E1806" s="1404" t="s">
        <v>4825</v>
      </c>
      <c r="F1806" s="1405" t="s">
        <v>5299</v>
      </c>
      <c r="G1806" s="1403" t="s">
        <v>14359</v>
      </c>
      <c r="H1806" s="1406" t="s">
        <v>1025</v>
      </c>
    </row>
    <row r="1807" spans="1:8" x14ac:dyDescent="0.2">
      <c r="A1807" s="7"/>
      <c r="B1807" s="1407" t="str">
        <f t="shared" si="28"/>
        <v>Pavlos Stollas</v>
      </c>
      <c r="C1807" s="1402" t="s">
        <v>6304</v>
      </c>
      <c r="D1807" s="1403" t="s">
        <v>5654</v>
      </c>
      <c r="E1807" s="1404" t="s">
        <v>4826</v>
      </c>
      <c r="F1807" s="1405" t="s">
        <v>5300</v>
      </c>
      <c r="G1807" s="1403" t="s">
        <v>14359</v>
      </c>
      <c r="H1807" s="1406" t="s">
        <v>1025</v>
      </c>
    </row>
    <row r="1808" spans="1:8" x14ac:dyDescent="0.2">
      <c r="A1808" s="7"/>
      <c r="B1808" s="1407" t="str">
        <f t="shared" si="28"/>
        <v>Andreas Papavasileiou</v>
      </c>
      <c r="C1808" s="1402" t="s">
        <v>6193</v>
      </c>
      <c r="D1808" s="1403" t="s">
        <v>3351</v>
      </c>
      <c r="E1808" s="1404" t="s">
        <v>4827</v>
      </c>
      <c r="F1808" s="1405" t="s">
        <v>5299</v>
      </c>
      <c r="G1808" s="1403" t="s">
        <v>14359</v>
      </c>
      <c r="H1808" s="1406" t="s">
        <v>1025</v>
      </c>
    </row>
    <row r="1809" spans="1:8" x14ac:dyDescent="0.2">
      <c r="A1809" s="7"/>
      <c r="B1809" s="1407" t="str">
        <f t="shared" si="28"/>
        <v>Panagiotis Sotiropoulos</v>
      </c>
      <c r="C1809" s="1402" t="s">
        <v>6305</v>
      </c>
      <c r="D1809" s="1403" t="s">
        <v>3249</v>
      </c>
      <c r="E1809" s="1404" t="s">
        <v>4828</v>
      </c>
      <c r="F1809" s="1405" t="s">
        <v>5300</v>
      </c>
      <c r="G1809" s="1403" t="s">
        <v>14359</v>
      </c>
      <c r="H1809" s="1406" t="s">
        <v>1025</v>
      </c>
    </row>
    <row r="1810" spans="1:8" x14ac:dyDescent="0.2">
      <c r="A1810" s="7"/>
      <c r="B1810" s="1407" t="str">
        <f t="shared" si="28"/>
        <v>Alexandros Nanis</v>
      </c>
      <c r="C1810" s="1402" t="s">
        <v>6309</v>
      </c>
      <c r="D1810" s="1403" t="s">
        <v>3582</v>
      </c>
      <c r="E1810" s="1404" t="s">
        <v>7077</v>
      </c>
      <c r="F1810" s="1405" t="s">
        <v>5299</v>
      </c>
      <c r="G1810" s="1403" t="s">
        <v>14359</v>
      </c>
      <c r="H1810" s="1406" t="s">
        <v>1025</v>
      </c>
    </row>
    <row r="1811" spans="1:8" x14ac:dyDescent="0.2">
      <c r="A1811" s="7"/>
      <c r="B1811" s="1407" t="str">
        <f t="shared" si="28"/>
        <v>Alexandros Siotos</v>
      </c>
      <c r="C1811" s="1402" t="s">
        <v>6310</v>
      </c>
      <c r="D1811" s="1403" t="s">
        <v>3582</v>
      </c>
      <c r="E1811" s="1404" t="s">
        <v>7078</v>
      </c>
      <c r="F1811" s="1405" t="s">
        <v>5299</v>
      </c>
      <c r="G1811" s="1403" t="s">
        <v>14359</v>
      </c>
      <c r="H1811" s="1406" t="s">
        <v>1025</v>
      </c>
    </row>
    <row r="1812" spans="1:8" x14ac:dyDescent="0.2">
      <c r="A1812" s="7"/>
      <c r="B1812" s="1407" t="str">
        <f t="shared" si="28"/>
        <v>Lakis Hatzikonstantinou</v>
      </c>
      <c r="C1812" s="1402" t="s">
        <v>6311</v>
      </c>
      <c r="D1812" s="1403" t="s">
        <v>5574</v>
      </c>
      <c r="E1812" s="1404" t="s">
        <v>7079</v>
      </c>
      <c r="F1812" s="1405" t="s">
        <v>5299</v>
      </c>
      <c r="G1812" s="1403" t="s">
        <v>14359</v>
      </c>
      <c r="H1812" s="1406" t="s">
        <v>1025</v>
      </c>
    </row>
    <row r="1813" spans="1:8" x14ac:dyDescent="0.2">
      <c r="A1813" s="7"/>
      <c r="B1813" s="1407" t="str">
        <f t="shared" si="28"/>
        <v>Panagiotis Konstantakos</v>
      </c>
      <c r="C1813" s="1402" t="s">
        <v>6312</v>
      </c>
      <c r="D1813" s="1403" t="s">
        <v>3249</v>
      </c>
      <c r="E1813" s="1404" t="s">
        <v>7080</v>
      </c>
      <c r="F1813" s="1405" t="s">
        <v>5300</v>
      </c>
      <c r="G1813" s="1403" t="s">
        <v>9449</v>
      </c>
      <c r="H1813" s="1406" t="s">
        <v>1025</v>
      </c>
    </row>
    <row r="1814" spans="1:8" x14ac:dyDescent="0.2">
      <c r="A1814" s="7"/>
      <c r="B1814" s="1407" t="str">
        <f t="shared" si="28"/>
        <v>Pothiti Alatsaki</v>
      </c>
      <c r="C1814" s="1402" t="s">
        <v>6313</v>
      </c>
      <c r="D1814" s="1403" t="s">
        <v>5645</v>
      </c>
      <c r="E1814" s="1404" t="s">
        <v>7081</v>
      </c>
      <c r="F1814" s="1405" t="s">
        <v>5299</v>
      </c>
      <c r="G1814" s="1403" t="s">
        <v>14359</v>
      </c>
      <c r="H1814" s="1406" t="s">
        <v>1025</v>
      </c>
    </row>
    <row r="1815" spans="1:8" x14ac:dyDescent="0.2">
      <c r="A1815" s="7"/>
      <c r="B1815" s="1407" t="str">
        <f t="shared" si="28"/>
        <v>Evaggelos Falelakis</v>
      </c>
      <c r="C1815" s="1402" t="s">
        <v>7374</v>
      </c>
      <c r="D1815" s="1403" t="s">
        <v>6974</v>
      </c>
      <c r="E1815" s="1404" t="s">
        <v>7082</v>
      </c>
      <c r="F1815" s="1405" t="s">
        <v>5300</v>
      </c>
      <c r="G1815" s="1403" t="s">
        <v>14359</v>
      </c>
      <c r="H1815" s="1406" t="s">
        <v>1025</v>
      </c>
    </row>
    <row r="1816" spans="1:8" x14ac:dyDescent="0.2">
      <c r="A1816" s="7"/>
      <c r="B1816" s="1407" t="str">
        <f t="shared" si="28"/>
        <v>Markos Falelakis</v>
      </c>
      <c r="C1816" s="1402" t="s">
        <v>7374</v>
      </c>
      <c r="D1816" s="1403" t="s">
        <v>5563</v>
      </c>
      <c r="E1816" s="1404" t="s">
        <v>7083</v>
      </c>
      <c r="F1816" s="1405" t="s">
        <v>5299</v>
      </c>
      <c r="G1816" s="1403" t="s">
        <v>14359</v>
      </c>
      <c r="H1816" s="1406" t="s">
        <v>1025</v>
      </c>
    </row>
    <row r="1817" spans="1:8" x14ac:dyDescent="0.2">
      <c r="A1817" s="7"/>
      <c r="B1817" s="1407" t="str">
        <f t="shared" si="28"/>
        <v>Pavlos Nezis</v>
      </c>
      <c r="C1817" s="1402" t="s">
        <v>6314</v>
      </c>
      <c r="D1817" s="1403" t="s">
        <v>5654</v>
      </c>
      <c r="E1817" s="1404" t="s">
        <v>7084</v>
      </c>
      <c r="F1817" s="1405" t="s">
        <v>5299</v>
      </c>
      <c r="G1817" s="1403" t="s">
        <v>14359</v>
      </c>
      <c r="H1817" s="1406" t="s">
        <v>1025</v>
      </c>
    </row>
    <row r="1818" spans="1:8" x14ac:dyDescent="0.2">
      <c r="A1818" s="7"/>
      <c r="B1818" s="1407" t="str">
        <f t="shared" si="28"/>
        <v>Nikolaos Argyros</v>
      </c>
      <c r="C1818" s="1402" t="s">
        <v>6315</v>
      </c>
      <c r="D1818" s="1403" t="s">
        <v>5554</v>
      </c>
      <c r="E1818" s="1404" t="s">
        <v>7085</v>
      </c>
      <c r="F1818" s="1405" t="s">
        <v>5299</v>
      </c>
      <c r="G1818" s="1403" t="s">
        <v>3213</v>
      </c>
      <c r="H1818" s="1406" t="s">
        <v>1025</v>
      </c>
    </row>
    <row r="1819" spans="1:8" x14ac:dyDescent="0.2">
      <c r="A1819" s="7"/>
      <c r="B1819" s="1407" t="str">
        <f t="shared" si="28"/>
        <v>Emmanouil Pantazopoulos</v>
      </c>
      <c r="C1819" s="1402" t="s">
        <v>6316</v>
      </c>
      <c r="D1819" s="1403" t="s">
        <v>6991</v>
      </c>
      <c r="E1819" s="1404" t="s">
        <v>7086</v>
      </c>
      <c r="F1819" s="1405" t="s">
        <v>5299</v>
      </c>
      <c r="G1819" s="1403" t="s">
        <v>14359</v>
      </c>
      <c r="H1819" s="1406" t="s">
        <v>1025</v>
      </c>
    </row>
    <row r="1820" spans="1:8" x14ac:dyDescent="0.2">
      <c r="A1820" s="7"/>
      <c r="B1820" s="1407" t="str">
        <f t="shared" si="28"/>
        <v>Georgios Pantazopoulos</v>
      </c>
      <c r="C1820" s="1402" t="s">
        <v>6316</v>
      </c>
      <c r="D1820" s="1403" t="s">
        <v>3324</v>
      </c>
      <c r="E1820" s="1404" t="s">
        <v>7087</v>
      </c>
      <c r="F1820" s="1405" t="s">
        <v>5299</v>
      </c>
      <c r="G1820" s="1403" t="s">
        <v>14359</v>
      </c>
      <c r="H1820" s="1406" t="s">
        <v>1025</v>
      </c>
    </row>
    <row r="1821" spans="1:8" x14ac:dyDescent="0.2">
      <c r="A1821" s="7"/>
      <c r="B1821" s="1407" t="str">
        <f t="shared" si="28"/>
        <v>Dimitrios Kolovos</v>
      </c>
      <c r="C1821" s="1402" t="s">
        <v>6317</v>
      </c>
      <c r="D1821" s="1403" t="s">
        <v>5644</v>
      </c>
      <c r="E1821" s="1404" t="s">
        <v>7088</v>
      </c>
      <c r="F1821" s="1405" t="s">
        <v>5299</v>
      </c>
      <c r="G1821" s="1403" t="s">
        <v>2760</v>
      </c>
      <c r="H1821" s="1406" t="s">
        <v>1025</v>
      </c>
    </row>
    <row r="1822" spans="1:8" x14ac:dyDescent="0.2">
      <c r="A1822" s="7"/>
      <c r="B1822" s="1407" t="str">
        <f t="shared" si="28"/>
        <v>John Karvounis</v>
      </c>
      <c r="C1822" s="1402" t="s">
        <v>6318</v>
      </c>
      <c r="D1822" s="1403" t="s">
        <v>3250</v>
      </c>
      <c r="E1822" s="1404" t="s">
        <v>7089</v>
      </c>
      <c r="F1822" s="1405" t="s">
        <v>5300</v>
      </c>
      <c r="G1822" s="1403" t="s">
        <v>5309</v>
      </c>
      <c r="H1822" s="1406" t="s">
        <v>1025</v>
      </c>
    </row>
    <row r="1823" spans="1:8" x14ac:dyDescent="0.2">
      <c r="A1823" s="7"/>
      <c r="B1823" s="1407" t="str">
        <f t="shared" si="28"/>
        <v>Konstantinos Ifantis</v>
      </c>
      <c r="C1823" s="1402" t="s">
        <v>6319</v>
      </c>
      <c r="D1823" s="1403" t="s">
        <v>6986</v>
      </c>
      <c r="E1823" s="1404" t="s">
        <v>7090</v>
      </c>
      <c r="F1823" s="1405" t="s">
        <v>5300</v>
      </c>
      <c r="G1823" s="1403" t="s">
        <v>14359</v>
      </c>
      <c r="H1823" s="1406" t="s">
        <v>1025</v>
      </c>
    </row>
    <row r="1824" spans="1:8" x14ac:dyDescent="0.2">
      <c r="A1824" s="7"/>
      <c r="B1824" s="1407" t="str">
        <f t="shared" si="28"/>
        <v>Nikolaos Zacharopoulos</v>
      </c>
      <c r="C1824" s="1402" t="s">
        <v>6320</v>
      </c>
      <c r="D1824" s="1403" t="s">
        <v>5554</v>
      </c>
      <c r="E1824" s="1404" t="s">
        <v>7091</v>
      </c>
      <c r="F1824" s="1405" t="s">
        <v>5300</v>
      </c>
      <c r="G1824" s="1403" t="s">
        <v>14359</v>
      </c>
      <c r="H1824" s="1406" t="s">
        <v>1025</v>
      </c>
    </row>
    <row r="1825" spans="1:8" x14ac:dyDescent="0.2">
      <c r="A1825" s="7"/>
      <c r="B1825" s="1407" t="str">
        <f t="shared" si="28"/>
        <v>Antonis Krysilas</v>
      </c>
      <c r="C1825" s="1402" t="s">
        <v>7375</v>
      </c>
      <c r="D1825" s="1403" t="s">
        <v>3164</v>
      </c>
      <c r="E1825" s="1404" t="s">
        <v>7092</v>
      </c>
      <c r="F1825" s="1405" t="s">
        <v>5300</v>
      </c>
      <c r="G1825" s="1403" t="s">
        <v>7285</v>
      </c>
      <c r="H1825" s="1406" t="s">
        <v>1025</v>
      </c>
    </row>
    <row r="1826" spans="1:8" x14ac:dyDescent="0.2">
      <c r="A1826" s="7"/>
      <c r="B1826" s="1407" t="str">
        <f t="shared" si="28"/>
        <v>Orestis Kappatos</v>
      </c>
      <c r="C1826" s="1402" t="s">
        <v>6321</v>
      </c>
      <c r="D1826" s="1403" t="s">
        <v>3696</v>
      </c>
      <c r="E1826" s="1404" t="s">
        <v>7093</v>
      </c>
      <c r="F1826" s="1405" t="s">
        <v>5300</v>
      </c>
      <c r="G1826" s="1403" t="s">
        <v>14359</v>
      </c>
      <c r="H1826" s="1406" t="s">
        <v>1025</v>
      </c>
    </row>
    <row r="1827" spans="1:8" x14ac:dyDescent="0.2">
      <c r="A1827" s="7"/>
      <c r="B1827" s="1407" t="str">
        <f t="shared" si="28"/>
        <v>Panagiotis Kappatos</v>
      </c>
      <c r="C1827" s="1402" t="s">
        <v>6321</v>
      </c>
      <c r="D1827" s="1403" t="s">
        <v>3249</v>
      </c>
      <c r="E1827" s="1404" t="s">
        <v>7094</v>
      </c>
      <c r="F1827" s="1405" t="s">
        <v>13210</v>
      </c>
      <c r="G1827" s="1403" t="s">
        <v>14359</v>
      </c>
      <c r="H1827" s="1406" t="s">
        <v>1025</v>
      </c>
    </row>
    <row r="1828" spans="1:8" x14ac:dyDescent="0.2">
      <c r="A1828" s="7"/>
      <c r="B1828" s="1407" t="str">
        <f t="shared" si="28"/>
        <v>Georgios Vlassopoulos</v>
      </c>
      <c r="C1828" s="1402" t="s">
        <v>6151</v>
      </c>
      <c r="D1828" s="1403" t="s">
        <v>3324</v>
      </c>
      <c r="E1828" s="1404" t="s">
        <v>7095</v>
      </c>
      <c r="F1828" s="1405" t="s">
        <v>13210</v>
      </c>
      <c r="G1828" s="1403" t="s">
        <v>10263</v>
      </c>
      <c r="H1828" s="1406" t="s">
        <v>1025</v>
      </c>
    </row>
    <row r="1829" spans="1:8" x14ac:dyDescent="0.2">
      <c r="A1829" s="7"/>
      <c r="B1829" s="1407" t="str">
        <f t="shared" si="28"/>
        <v>Timotheos Vaggelatos</v>
      </c>
      <c r="C1829" s="1402" t="s">
        <v>6322</v>
      </c>
      <c r="D1829" s="1403" t="s">
        <v>5649</v>
      </c>
      <c r="E1829" s="1404" t="s">
        <v>7096</v>
      </c>
      <c r="F1829" s="1405" t="s">
        <v>5299</v>
      </c>
      <c r="G1829" s="1403" t="s">
        <v>14359</v>
      </c>
      <c r="H1829" s="1406" t="s">
        <v>1025</v>
      </c>
    </row>
    <row r="1830" spans="1:8" x14ac:dyDescent="0.2">
      <c r="A1830" s="7"/>
      <c r="B1830" s="1407" t="str">
        <f t="shared" si="28"/>
        <v>Nikolaos Lountzis</v>
      </c>
      <c r="C1830" s="1402" t="s">
        <v>6323</v>
      </c>
      <c r="D1830" s="1403" t="s">
        <v>5554</v>
      </c>
      <c r="E1830" s="1404" t="s">
        <v>7097</v>
      </c>
      <c r="F1830" s="1405" t="s">
        <v>5299</v>
      </c>
      <c r="G1830" s="1403" t="s">
        <v>14359</v>
      </c>
      <c r="H1830" s="1406" t="s">
        <v>1025</v>
      </c>
    </row>
    <row r="1831" spans="1:8" x14ac:dyDescent="0.2">
      <c r="A1831" s="7"/>
      <c r="B1831" s="1407" t="str">
        <f t="shared" si="28"/>
        <v>Eleftherios Chatzakis</v>
      </c>
      <c r="C1831" s="1402" t="s">
        <v>6324</v>
      </c>
      <c r="D1831" s="1403" t="s">
        <v>7808</v>
      </c>
      <c r="E1831" s="1404" t="s">
        <v>7098</v>
      </c>
      <c r="F1831" s="1405" t="s">
        <v>5300</v>
      </c>
      <c r="G1831" s="1403" t="s">
        <v>2745</v>
      </c>
      <c r="H1831" s="1406" t="s">
        <v>1025</v>
      </c>
    </row>
    <row r="1832" spans="1:8" x14ac:dyDescent="0.2">
      <c r="A1832" s="7"/>
      <c r="B1832" s="1407" t="str">
        <f t="shared" si="28"/>
        <v>Panagiota Kouraba</v>
      </c>
      <c r="C1832" s="1402" t="s">
        <v>6325</v>
      </c>
      <c r="D1832" s="1403" t="s">
        <v>6992</v>
      </c>
      <c r="E1832" s="1404" t="s">
        <v>7099</v>
      </c>
      <c r="F1832" s="1405" t="s">
        <v>5299</v>
      </c>
      <c r="G1832" s="1403" t="s">
        <v>14359</v>
      </c>
      <c r="H1832" s="1406" t="s">
        <v>1025</v>
      </c>
    </row>
    <row r="1833" spans="1:8" x14ac:dyDescent="0.2">
      <c r="A1833" s="7"/>
      <c r="B1833" s="1407" t="str">
        <f t="shared" si="28"/>
        <v>Nikolas Kourabas</v>
      </c>
      <c r="C1833" s="1402" t="s">
        <v>6188</v>
      </c>
      <c r="D1833" s="1403" t="s">
        <v>5557</v>
      </c>
      <c r="E1833" s="1404" t="s">
        <v>7100</v>
      </c>
      <c r="F1833" s="1405" t="s">
        <v>5299</v>
      </c>
      <c r="G1833" s="1403" t="s">
        <v>14359</v>
      </c>
      <c r="H1833" s="1406" t="s">
        <v>1025</v>
      </c>
    </row>
    <row r="1834" spans="1:8" x14ac:dyDescent="0.2">
      <c r="A1834" s="7"/>
      <c r="B1834" s="1407" t="str">
        <f t="shared" si="28"/>
        <v>Ektoras Bartzis</v>
      </c>
      <c r="C1834" s="1402" t="s">
        <v>6110</v>
      </c>
      <c r="D1834" s="1403" t="s">
        <v>6993</v>
      </c>
      <c r="E1834" s="1404" t="s">
        <v>7101</v>
      </c>
      <c r="F1834" s="1405" t="s">
        <v>13210</v>
      </c>
      <c r="G1834" s="1403" t="s">
        <v>9449</v>
      </c>
      <c r="H1834" s="1406" t="s">
        <v>1025</v>
      </c>
    </row>
    <row r="1835" spans="1:8" x14ac:dyDescent="0.2">
      <c r="A1835" s="7"/>
      <c r="B1835" s="1407" t="str">
        <f t="shared" si="28"/>
        <v>Christos Kouridakis</v>
      </c>
      <c r="C1835" s="1402" t="s">
        <v>6326</v>
      </c>
      <c r="D1835" s="1403" t="s">
        <v>3135</v>
      </c>
      <c r="E1835" s="1404" t="s">
        <v>7102</v>
      </c>
      <c r="F1835" s="1405" t="s">
        <v>5300</v>
      </c>
      <c r="G1835" s="1403" t="s">
        <v>2760</v>
      </c>
      <c r="H1835" s="1406" t="s">
        <v>1025</v>
      </c>
    </row>
    <row r="1836" spans="1:8" x14ac:dyDescent="0.2">
      <c r="A1836" s="7"/>
      <c r="B1836" s="1407" t="str">
        <f t="shared" si="28"/>
        <v>Spyridon Katsoulas</v>
      </c>
      <c r="C1836" s="1402" t="s">
        <v>6327</v>
      </c>
      <c r="D1836" s="1403" t="s">
        <v>7806</v>
      </c>
      <c r="E1836" s="1404" t="s">
        <v>7103</v>
      </c>
      <c r="F1836" s="1405" t="s">
        <v>5300</v>
      </c>
      <c r="G1836" s="1403" t="s">
        <v>2758</v>
      </c>
      <c r="H1836" s="1406" t="s">
        <v>1025</v>
      </c>
    </row>
    <row r="1837" spans="1:8" x14ac:dyDescent="0.2">
      <c r="A1837" s="7"/>
      <c r="B1837" s="1407" t="str">
        <f t="shared" si="28"/>
        <v>Evaggelos Theofanopoulos</v>
      </c>
      <c r="C1837" s="1402" t="s">
        <v>6328</v>
      </c>
      <c r="D1837" s="1403" t="s">
        <v>6974</v>
      </c>
      <c r="E1837" s="1404" t="s">
        <v>7104</v>
      </c>
      <c r="F1837" s="1405" t="s">
        <v>5299</v>
      </c>
      <c r="G1837" s="1403" t="s">
        <v>14359</v>
      </c>
      <c r="H1837" s="1406" t="s">
        <v>1025</v>
      </c>
    </row>
    <row r="1838" spans="1:8" x14ac:dyDescent="0.2">
      <c r="A1838" s="7"/>
      <c r="B1838" s="1407" t="str">
        <f t="shared" si="28"/>
        <v>Christos Karouzos</v>
      </c>
      <c r="C1838" s="1402" t="s">
        <v>6329</v>
      </c>
      <c r="D1838" s="1403" t="s">
        <v>3135</v>
      </c>
      <c r="E1838" s="1404" t="s">
        <v>7105</v>
      </c>
      <c r="F1838" s="1405" t="s">
        <v>5299</v>
      </c>
      <c r="G1838" s="1403" t="s">
        <v>10251</v>
      </c>
      <c r="H1838" s="1406" t="s">
        <v>1025</v>
      </c>
    </row>
    <row r="1839" spans="1:8" x14ac:dyDescent="0.2">
      <c r="A1839" s="7"/>
      <c r="B1839" s="1407" t="str">
        <f t="shared" si="28"/>
        <v>Dimosthenis Kalatzis</v>
      </c>
      <c r="C1839" s="1402" t="s">
        <v>6330</v>
      </c>
      <c r="D1839" s="1403" t="s">
        <v>5601</v>
      </c>
      <c r="E1839" s="1404" t="s">
        <v>7106</v>
      </c>
      <c r="F1839" s="1405" t="s">
        <v>5299</v>
      </c>
      <c r="G1839" s="1403" t="s">
        <v>14359</v>
      </c>
      <c r="H1839" s="1406" t="s">
        <v>1025</v>
      </c>
    </row>
    <row r="1840" spans="1:8" x14ac:dyDescent="0.2">
      <c r="A1840" s="7"/>
      <c r="B1840" s="1407" t="str">
        <f t="shared" si="28"/>
        <v>Stelios Nitis</v>
      </c>
      <c r="C1840" s="1402" t="s">
        <v>6331</v>
      </c>
      <c r="D1840" s="1403" t="s">
        <v>3210</v>
      </c>
      <c r="E1840" s="1404" t="s">
        <v>7107</v>
      </c>
      <c r="F1840" s="1405" t="s">
        <v>5300</v>
      </c>
      <c r="G1840" s="1403" t="s">
        <v>14359</v>
      </c>
      <c r="H1840" s="1406" t="s">
        <v>1025</v>
      </c>
    </row>
    <row r="1841" spans="1:8" x14ac:dyDescent="0.2">
      <c r="A1841" s="7"/>
      <c r="B1841" s="1407" t="str">
        <f t="shared" si="28"/>
        <v>Vasilios Nitis</v>
      </c>
      <c r="C1841" s="1402" t="s">
        <v>6331</v>
      </c>
      <c r="D1841" s="1403" t="s">
        <v>5511</v>
      </c>
      <c r="E1841" s="1404" t="s">
        <v>7108</v>
      </c>
      <c r="F1841" s="1405" t="s">
        <v>5299</v>
      </c>
      <c r="G1841" s="1403" t="s">
        <v>14359</v>
      </c>
      <c r="H1841" s="1406" t="s">
        <v>1025</v>
      </c>
    </row>
    <row r="1842" spans="1:8" x14ac:dyDescent="0.2">
      <c r="A1842" s="7"/>
      <c r="B1842" s="1407" t="str">
        <f t="shared" si="28"/>
        <v>Nicos Kouimanis</v>
      </c>
      <c r="C1842" s="1402" t="s">
        <v>6332</v>
      </c>
      <c r="D1842" s="1403" t="s">
        <v>5642</v>
      </c>
      <c r="E1842" s="1404" t="s">
        <v>7109</v>
      </c>
      <c r="F1842" s="1405" t="s">
        <v>5299</v>
      </c>
      <c r="G1842" s="1403" t="s">
        <v>14359</v>
      </c>
      <c r="H1842" s="1406" t="s">
        <v>1025</v>
      </c>
    </row>
    <row r="1843" spans="1:8" x14ac:dyDescent="0.2">
      <c r="A1843" s="7"/>
      <c r="B1843" s="1407" t="str">
        <f t="shared" si="28"/>
        <v>Dimitrios Zarogiannis</v>
      </c>
      <c r="C1843" s="1402" t="s">
        <v>6266</v>
      </c>
      <c r="D1843" s="1403" t="s">
        <v>5644</v>
      </c>
      <c r="E1843" s="1404" t="s">
        <v>7110</v>
      </c>
      <c r="F1843" s="1405" t="s">
        <v>5300</v>
      </c>
      <c r="G1843" s="1403" t="s">
        <v>10246</v>
      </c>
      <c r="H1843" s="1406" t="s">
        <v>1025</v>
      </c>
    </row>
    <row r="1844" spans="1:8" x14ac:dyDescent="0.2">
      <c r="A1844" s="7"/>
      <c r="B1844" s="1407" t="str">
        <f t="shared" si="28"/>
        <v>Nikolaos Kolydas</v>
      </c>
      <c r="C1844" s="1402" t="s">
        <v>6333</v>
      </c>
      <c r="D1844" s="1403" t="s">
        <v>5554</v>
      </c>
      <c r="E1844" s="1404" t="s">
        <v>7111</v>
      </c>
      <c r="F1844" s="1405" t="s">
        <v>5300</v>
      </c>
      <c r="G1844" s="1403" t="s">
        <v>14359</v>
      </c>
      <c r="H1844" s="1406" t="s">
        <v>1025</v>
      </c>
    </row>
    <row r="1845" spans="1:8" x14ac:dyDescent="0.2">
      <c r="A1845" s="7"/>
      <c r="B1845" s="1407" t="str">
        <f t="shared" si="28"/>
        <v>Vaggelis Tsaras</v>
      </c>
      <c r="C1845" s="1402" t="s">
        <v>7376</v>
      </c>
      <c r="D1845" s="1403" t="s">
        <v>3542</v>
      </c>
      <c r="E1845" s="1404" t="s">
        <v>7531</v>
      </c>
      <c r="F1845" s="1405" t="s">
        <v>5299</v>
      </c>
      <c r="G1845" s="1403" t="s">
        <v>14359</v>
      </c>
      <c r="H1845" s="1406" t="s">
        <v>1025</v>
      </c>
    </row>
    <row r="1846" spans="1:8" x14ac:dyDescent="0.2">
      <c r="A1846" s="7"/>
      <c r="B1846" s="1407" t="str">
        <f t="shared" si="28"/>
        <v>Panagiotis Panagiotidis</v>
      </c>
      <c r="C1846" s="1402" t="s">
        <v>7901</v>
      </c>
      <c r="D1846" s="1403" t="s">
        <v>3249</v>
      </c>
      <c r="E1846" s="1404" t="s">
        <v>7532</v>
      </c>
      <c r="F1846" s="1405" t="s">
        <v>5300</v>
      </c>
      <c r="G1846" s="1403" t="s">
        <v>7285</v>
      </c>
      <c r="H1846" s="1406" t="s">
        <v>1025</v>
      </c>
    </row>
    <row r="1847" spans="1:8" x14ac:dyDescent="0.2">
      <c r="A1847" s="7"/>
      <c r="B1847" s="1407" t="str">
        <f t="shared" si="28"/>
        <v>Apostolos Vazoukis</v>
      </c>
      <c r="C1847" s="1402" t="s">
        <v>7377</v>
      </c>
      <c r="D1847" s="1403" t="s">
        <v>6968</v>
      </c>
      <c r="E1847" s="1404" t="s">
        <v>7533</v>
      </c>
      <c r="F1847" s="1405" t="s">
        <v>5300</v>
      </c>
      <c r="G1847" s="1403" t="s">
        <v>14359</v>
      </c>
      <c r="H1847" s="1406" t="s">
        <v>1025</v>
      </c>
    </row>
    <row r="1848" spans="1:8" x14ac:dyDescent="0.2">
      <c r="A1848" s="7"/>
      <c r="B1848" s="1407" t="str">
        <f t="shared" si="28"/>
        <v>Evaggelos Miliarakis</v>
      </c>
      <c r="C1848" s="1402" t="s">
        <v>7378</v>
      </c>
      <c r="D1848" s="1403" t="s">
        <v>6974</v>
      </c>
      <c r="E1848" s="1404" t="s">
        <v>7534</v>
      </c>
      <c r="F1848" s="1405" t="s">
        <v>5300</v>
      </c>
      <c r="G1848" s="1403" t="s">
        <v>14359</v>
      </c>
      <c r="H1848" s="1406" t="s">
        <v>1025</v>
      </c>
    </row>
    <row r="1849" spans="1:8" x14ac:dyDescent="0.2">
      <c r="A1849" s="7"/>
      <c r="B1849" s="1407" t="str">
        <f t="shared" si="28"/>
        <v>Charalambos Polychroniadis</v>
      </c>
      <c r="C1849" s="1402" t="s">
        <v>7379</v>
      </c>
      <c r="D1849" s="1403" t="s">
        <v>3493</v>
      </c>
      <c r="E1849" s="1404" t="s">
        <v>7535</v>
      </c>
      <c r="F1849" s="1405" t="s">
        <v>5299</v>
      </c>
      <c r="G1849" s="1403" t="s">
        <v>14359</v>
      </c>
      <c r="H1849" s="1406" t="s">
        <v>1025</v>
      </c>
    </row>
    <row r="1850" spans="1:8" x14ac:dyDescent="0.2">
      <c r="A1850" s="7"/>
      <c r="B1850" s="1407" t="str">
        <f t="shared" si="28"/>
        <v>Giannis Paschalides</v>
      </c>
      <c r="C1850" s="1402" t="s">
        <v>7380</v>
      </c>
      <c r="D1850" s="1403" t="s">
        <v>3083</v>
      </c>
      <c r="E1850" s="1404" t="s">
        <v>7536</v>
      </c>
      <c r="F1850" s="1405" t="s">
        <v>5300</v>
      </c>
      <c r="G1850" s="1403" t="s">
        <v>14359</v>
      </c>
      <c r="H1850" s="1406" t="s">
        <v>1025</v>
      </c>
    </row>
    <row r="1851" spans="1:8" x14ac:dyDescent="0.2">
      <c r="A1851" s="7"/>
      <c r="B1851" s="1407" t="str">
        <f t="shared" si="28"/>
        <v>Christos Panagiotidis</v>
      </c>
      <c r="C1851" s="1402" t="s">
        <v>7901</v>
      </c>
      <c r="D1851" s="1403" t="s">
        <v>3135</v>
      </c>
      <c r="E1851" s="1404" t="s">
        <v>7537</v>
      </c>
      <c r="F1851" s="1405" t="s">
        <v>5300</v>
      </c>
      <c r="G1851" s="1403" t="s">
        <v>7285</v>
      </c>
      <c r="H1851" s="1406" t="s">
        <v>1025</v>
      </c>
    </row>
    <row r="1852" spans="1:8" x14ac:dyDescent="0.2">
      <c r="A1852" s="7"/>
      <c r="B1852" s="1407" t="str">
        <f t="shared" si="28"/>
        <v>Efstathios Robotis</v>
      </c>
      <c r="C1852" s="1402" t="s">
        <v>7381</v>
      </c>
      <c r="D1852" s="1403" t="s">
        <v>8272</v>
      </c>
      <c r="E1852" s="1404" t="s">
        <v>7538</v>
      </c>
      <c r="F1852" s="1405" t="s">
        <v>5300</v>
      </c>
      <c r="G1852" s="1403" t="s">
        <v>14359</v>
      </c>
      <c r="H1852" s="1406" t="s">
        <v>1025</v>
      </c>
    </row>
    <row r="1853" spans="1:8" x14ac:dyDescent="0.2">
      <c r="A1853" s="7"/>
      <c r="B1853" s="1407" t="str">
        <f t="shared" si="28"/>
        <v>Dimitrios Georgoulis</v>
      </c>
      <c r="C1853" s="1402" t="s">
        <v>7382</v>
      </c>
      <c r="D1853" s="1403" t="s">
        <v>5644</v>
      </c>
      <c r="E1853" s="1404" t="s">
        <v>7539</v>
      </c>
      <c r="F1853" s="1405" t="s">
        <v>5300</v>
      </c>
      <c r="G1853" s="1403" t="s">
        <v>14359</v>
      </c>
      <c r="H1853" s="1406" t="s">
        <v>1025</v>
      </c>
    </row>
    <row r="1854" spans="1:8" x14ac:dyDescent="0.2">
      <c r="A1854" s="7"/>
      <c r="B1854" s="1407" t="str">
        <f t="shared" si="28"/>
        <v>Andreas Papakyriakou</v>
      </c>
      <c r="C1854" s="1402" t="s">
        <v>7383</v>
      </c>
      <c r="D1854" s="1403" t="s">
        <v>3351</v>
      </c>
      <c r="E1854" s="1404" t="s">
        <v>7540</v>
      </c>
      <c r="F1854" s="1405" t="s">
        <v>5299</v>
      </c>
      <c r="G1854" s="1403" t="s">
        <v>14359</v>
      </c>
      <c r="H1854" s="1406" t="s">
        <v>1025</v>
      </c>
    </row>
    <row r="1855" spans="1:8" x14ac:dyDescent="0.2">
      <c r="A1855" s="7"/>
      <c r="B1855" s="1407" t="str">
        <f t="shared" si="28"/>
        <v>Spyridon Stratoudakis</v>
      </c>
      <c r="C1855" s="1402" t="s">
        <v>7384</v>
      </c>
      <c r="D1855" s="1403" t="s">
        <v>7806</v>
      </c>
      <c r="E1855" s="1404" t="s">
        <v>7541</v>
      </c>
      <c r="F1855" s="1405" t="s">
        <v>5299</v>
      </c>
      <c r="G1855" s="1403" t="s">
        <v>2758</v>
      </c>
      <c r="H1855" s="1406" t="s">
        <v>1025</v>
      </c>
    </row>
    <row r="1856" spans="1:8" x14ac:dyDescent="0.2">
      <c r="A1856" s="7"/>
      <c r="B1856" s="1407" t="str">
        <f t="shared" si="28"/>
        <v>Panagiotis Lamprakis</v>
      </c>
      <c r="C1856" s="1402" t="s">
        <v>8070</v>
      </c>
      <c r="D1856" s="1403" t="s">
        <v>3249</v>
      </c>
      <c r="E1856" s="1404" t="s">
        <v>7542</v>
      </c>
      <c r="F1856" s="1405" t="s">
        <v>5299</v>
      </c>
      <c r="G1856" s="1403" t="s">
        <v>14359</v>
      </c>
      <c r="H1856" s="1406" t="s">
        <v>1025</v>
      </c>
    </row>
    <row r="1857" spans="1:8" x14ac:dyDescent="0.2">
      <c r="A1857" s="7"/>
      <c r="B1857" s="1407" t="str">
        <f t="shared" si="28"/>
        <v>Philippos Vavoulakis</v>
      </c>
      <c r="C1857" s="1402" t="s">
        <v>7385</v>
      </c>
      <c r="D1857" s="1403" t="s">
        <v>7470</v>
      </c>
      <c r="E1857" s="1404" t="s">
        <v>7543</v>
      </c>
      <c r="F1857" s="1405" t="s">
        <v>5299</v>
      </c>
      <c r="G1857" s="1403" t="s">
        <v>14359</v>
      </c>
      <c r="H1857" s="1406" t="s">
        <v>1025</v>
      </c>
    </row>
    <row r="1858" spans="1:8" x14ac:dyDescent="0.2">
      <c r="A1858" s="7"/>
      <c r="B1858" s="1407" t="str">
        <f t="shared" si="28"/>
        <v>Natasha Kayia</v>
      </c>
      <c r="C1858" s="1402" t="s">
        <v>7386</v>
      </c>
      <c r="D1858" s="1403" t="s">
        <v>7471</v>
      </c>
      <c r="E1858" s="1404" t="s">
        <v>7544</v>
      </c>
      <c r="F1858" s="1405" t="s">
        <v>5299</v>
      </c>
      <c r="G1858" s="1403" t="s">
        <v>14359</v>
      </c>
      <c r="H1858" s="1406" t="s">
        <v>1025</v>
      </c>
    </row>
    <row r="1859" spans="1:8" x14ac:dyDescent="0.2">
      <c r="A1859" s="7"/>
      <c r="B1859" s="1407" t="str">
        <f t="shared" si="28"/>
        <v>Michail Tastsoglou</v>
      </c>
      <c r="C1859" s="1402" t="s">
        <v>7387</v>
      </c>
      <c r="D1859" s="1403" t="s">
        <v>8248</v>
      </c>
      <c r="E1859" s="1404" t="s">
        <v>7545</v>
      </c>
      <c r="F1859" s="1405" t="s">
        <v>5299</v>
      </c>
      <c r="G1859" s="1403" t="s">
        <v>13590</v>
      </c>
      <c r="H1859" s="1406" t="s">
        <v>1025</v>
      </c>
    </row>
    <row r="1860" spans="1:8" x14ac:dyDescent="0.2">
      <c r="A1860" s="7"/>
      <c r="B1860" s="1407" t="str">
        <f t="shared" si="28"/>
        <v>Nikolaos Manos</v>
      </c>
      <c r="C1860" s="1402" t="s">
        <v>3691</v>
      </c>
      <c r="D1860" s="1403" t="s">
        <v>5554</v>
      </c>
      <c r="E1860" s="1404" t="s">
        <v>7546</v>
      </c>
      <c r="F1860" s="1405" t="s">
        <v>5299</v>
      </c>
      <c r="G1860" s="1403" t="s">
        <v>14359</v>
      </c>
      <c r="H1860" s="1406" t="s">
        <v>1025</v>
      </c>
    </row>
    <row r="1861" spans="1:8" x14ac:dyDescent="0.2">
      <c r="A1861" s="7"/>
      <c r="B1861" s="1407" t="str">
        <f t="shared" si="28"/>
        <v>Daniil Papazoglou</v>
      </c>
      <c r="C1861" s="1402" t="s">
        <v>7388</v>
      </c>
      <c r="D1861" s="1403" t="s">
        <v>7472</v>
      </c>
      <c r="E1861" s="1404" t="s">
        <v>7547</v>
      </c>
      <c r="F1861" s="1405" t="s">
        <v>5299</v>
      </c>
      <c r="G1861" s="1403" t="s">
        <v>14359</v>
      </c>
      <c r="H1861" s="1406" t="s">
        <v>1025</v>
      </c>
    </row>
    <row r="1862" spans="1:8" x14ac:dyDescent="0.2">
      <c r="A1862" s="7"/>
      <c r="B1862" s="1407" t="str">
        <f t="shared" si="28"/>
        <v>Vasileios Avgeas</v>
      </c>
      <c r="C1862" s="1402" t="s">
        <v>7389</v>
      </c>
      <c r="D1862" s="1403" t="s">
        <v>5548</v>
      </c>
      <c r="E1862" s="1404" t="s">
        <v>7548</v>
      </c>
      <c r="F1862" s="1405" t="s">
        <v>5299</v>
      </c>
      <c r="G1862" s="1403" t="s">
        <v>14359</v>
      </c>
      <c r="H1862" s="1406" t="s">
        <v>1025</v>
      </c>
    </row>
    <row r="1863" spans="1:8" x14ac:dyDescent="0.2">
      <c r="A1863" s="7"/>
      <c r="B1863" s="1407" t="str">
        <f t="shared" ref="B1863:B1926" si="29">TRIM(CONCATENATE(D1863," ",C1863))</f>
        <v>Vasileios Panagiotides</v>
      </c>
      <c r="C1863" s="1402" t="s">
        <v>7390</v>
      </c>
      <c r="D1863" s="1403" t="s">
        <v>5548</v>
      </c>
      <c r="E1863" s="1404" t="s">
        <v>7549</v>
      </c>
      <c r="F1863" s="1405" t="s">
        <v>5299</v>
      </c>
      <c r="G1863" s="1403" t="s">
        <v>14359</v>
      </c>
      <c r="H1863" s="1406" t="s">
        <v>1025</v>
      </c>
    </row>
    <row r="1864" spans="1:8" x14ac:dyDescent="0.2">
      <c r="A1864" s="7"/>
      <c r="B1864" s="1407" t="str">
        <f t="shared" si="29"/>
        <v>Nikolaos Georgoulis</v>
      </c>
      <c r="C1864" s="1402" t="s">
        <v>7382</v>
      </c>
      <c r="D1864" s="1403" t="s">
        <v>5554</v>
      </c>
      <c r="E1864" s="1404" t="s">
        <v>7550</v>
      </c>
      <c r="F1864" s="1405" t="s">
        <v>13210</v>
      </c>
      <c r="G1864" s="1403" t="s">
        <v>14359</v>
      </c>
      <c r="H1864" s="1406" t="s">
        <v>1025</v>
      </c>
    </row>
    <row r="1865" spans="1:8" x14ac:dyDescent="0.2">
      <c r="A1865" s="7"/>
      <c r="B1865" s="1407" t="str">
        <f t="shared" si="29"/>
        <v>Nikolaos Paraskevas</v>
      </c>
      <c r="C1865" s="1402" t="s">
        <v>6976</v>
      </c>
      <c r="D1865" s="1403" t="s">
        <v>5554</v>
      </c>
      <c r="E1865" s="1404" t="s">
        <v>7551</v>
      </c>
      <c r="F1865" s="1405" t="s">
        <v>5300</v>
      </c>
      <c r="G1865" s="1403" t="s">
        <v>14359</v>
      </c>
      <c r="H1865" s="1406" t="s">
        <v>1025</v>
      </c>
    </row>
    <row r="1866" spans="1:8" x14ac:dyDescent="0.2">
      <c r="A1866" s="7"/>
      <c r="B1866" s="1407" t="str">
        <f t="shared" si="29"/>
        <v>Sotirios Chalkias</v>
      </c>
      <c r="C1866" s="1402" t="s">
        <v>7391</v>
      </c>
      <c r="D1866" s="1403" t="s">
        <v>8273</v>
      </c>
      <c r="E1866" s="1404" t="s">
        <v>7552</v>
      </c>
      <c r="F1866" s="1405" t="s">
        <v>5300</v>
      </c>
      <c r="G1866" s="1403" t="s">
        <v>2760</v>
      </c>
      <c r="H1866" s="1406" t="s">
        <v>1025</v>
      </c>
    </row>
    <row r="1867" spans="1:8" x14ac:dyDescent="0.2">
      <c r="A1867" s="7"/>
      <c r="B1867" s="1407" t="str">
        <f t="shared" si="29"/>
        <v>Dimitrios Begnis</v>
      </c>
      <c r="C1867" s="1402" t="s">
        <v>7392</v>
      </c>
      <c r="D1867" s="1403" t="s">
        <v>5644</v>
      </c>
      <c r="E1867" s="1404" t="s">
        <v>7553</v>
      </c>
      <c r="F1867" s="1405" t="s">
        <v>5300</v>
      </c>
      <c r="G1867" s="1403" t="s">
        <v>14359</v>
      </c>
      <c r="H1867" s="1406" t="s">
        <v>1025</v>
      </c>
    </row>
    <row r="1868" spans="1:8" x14ac:dyDescent="0.2">
      <c r="A1868" s="7"/>
      <c r="B1868" s="1407" t="str">
        <f t="shared" si="29"/>
        <v>Ioannis Begnis</v>
      </c>
      <c r="C1868" s="1402" t="s">
        <v>7392</v>
      </c>
      <c r="D1868" s="1403" t="s">
        <v>3350</v>
      </c>
      <c r="E1868" s="1404" t="s">
        <v>7554</v>
      </c>
      <c r="F1868" s="1405" t="s">
        <v>5299</v>
      </c>
      <c r="G1868" s="1403" t="s">
        <v>14359</v>
      </c>
      <c r="H1868" s="1406" t="s">
        <v>1025</v>
      </c>
    </row>
    <row r="1869" spans="1:8" x14ac:dyDescent="0.2">
      <c r="A1869" s="7"/>
      <c r="B1869" s="1407" t="str">
        <f t="shared" si="29"/>
        <v>Aggelos Kalvakis</v>
      </c>
      <c r="C1869" s="1402" t="s">
        <v>7677</v>
      </c>
      <c r="D1869" s="1403" t="s">
        <v>3644</v>
      </c>
      <c r="E1869" s="1404" t="s">
        <v>7555</v>
      </c>
      <c r="F1869" s="1405" t="s">
        <v>5299</v>
      </c>
      <c r="G1869" s="1403" t="s">
        <v>14359</v>
      </c>
      <c r="H1869" s="1406" t="s">
        <v>1025</v>
      </c>
    </row>
    <row r="1870" spans="1:8" x14ac:dyDescent="0.2">
      <c r="A1870" s="7"/>
      <c r="B1870" s="1407" t="str">
        <f t="shared" si="29"/>
        <v>Nikolaos Tsaggaris</v>
      </c>
      <c r="C1870" s="1402" t="s">
        <v>7394</v>
      </c>
      <c r="D1870" s="1403" t="s">
        <v>5554</v>
      </c>
      <c r="E1870" s="1404" t="s">
        <v>7556</v>
      </c>
      <c r="F1870" s="1405" t="s">
        <v>5299</v>
      </c>
      <c r="G1870" s="1403" t="s">
        <v>14359</v>
      </c>
      <c r="H1870" s="1406" t="s">
        <v>1025</v>
      </c>
    </row>
    <row r="1871" spans="1:8" x14ac:dyDescent="0.2">
      <c r="A1871" s="7"/>
      <c r="B1871" s="1407" t="str">
        <f t="shared" si="29"/>
        <v>Panagiotis Galanakis</v>
      </c>
      <c r="C1871" s="1402" t="s">
        <v>7395</v>
      </c>
      <c r="D1871" s="1403" t="s">
        <v>3249</v>
      </c>
      <c r="E1871" s="1404" t="s">
        <v>7557</v>
      </c>
      <c r="F1871" s="1405" t="s">
        <v>5299</v>
      </c>
      <c r="G1871" s="1403" t="s">
        <v>14359</v>
      </c>
      <c r="H1871" s="1406" t="s">
        <v>1025</v>
      </c>
    </row>
    <row r="1872" spans="1:8" x14ac:dyDescent="0.2">
      <c r="A1872" s="7"/>
      <c r="B1872" s="1407" t="str">
        <f t="shared" si="29"/>
        <v>Antonios Stratoudakis</v>
      </c>
      <c r="C1872" s="1402" t="s">
        <v>7384</v>
      </c>
      <c r="D1872" s="1403" t="s">
        <v>8256</v>
      </c>
      <c r="E1872" s="1404" t="s">
        <v>7558</v>
      </c>
      <c r="F1872" s="1405" t="s">
        <v>5299</v>
      </c>
      <c r="G1872" s="1403" t="s">
        <v>2758</v>
      </c>
      <c r="H1872" s="1406" t="s">
        <v>1025</v>
      </c>
    </row>
    <row r="1873" spans="1:8" x14ac:dyDescent="0.2">
      <c r="A1873" s="7"/>
      <c r="B1873" s="1407" t="str">
        <f t="shared" si="29"/>
        <v>Nasos Sigalas</v>
      </c>
      <c r="C1873" s="1402" t="s">
        <v>7393</v>
      </c>
      <c r="D1873" s="1403" t="s">
        <v>6965</v>
      </c>
      <c r="E1873" s="1404" t="s">
        <v>7559</v>
      </c>
      <c r="F1873" s="1405" t="s">
        <v>5300</v>
      </c>
      <c r="G1873" s="1403" t="s">
        <v>14359</v>
      </c>
      <c r="H1873" s="1406" t="s">
        <v>1025</v>
      </c>
    </row>
    <row r="1874" spans="1:8" x14ac:dyDescent="0.2">
      <c r="A1874" s="7"/>
      <c r="B1874" s="1407" t="str">
        <f t="shared" si="29"/>
        <v>Georgios Matsakas</v>
      </c>
      <c r="C1874" s="1402" t="s">
        <v>7396</v>
      </c>
      <c r="D1874" s="1403" t="s">
        <v>3324</v>
      </c>
      <c r="E1874" s="1404" t="s">
        <v>7560</v>
      </c>
      <c r="F1874" s="1405" t="s">
        <v>5299</v>
      </c>
      <c r="G1874" s="1403" t="s">
        <v>14359</v>
      </c>
      <c r="H1874" s="1406" t="s">
        <v>1025</v>
      </c>
    </row>
    <row r="1875" spans="1:8" x14ac:dyDescent="0.2">
      <c r="A1875" s="7"/>
      <c r="B1875" s="1407" t="str">
        <f t="shared" si="29"/>
        <v>Anastasios Stamoulis</v>
      </c>
      <c r="C1875" s="1402" t="s">
        <v>7397</v>
      </c>
      <c r="D1875" s="1403" t="s">
        <v>3611</v>
      </c>
      <c r="E1875" s="1404" t="s">
        <v>7561</v>
      </c>
      <c r="F1875" s="1405" t="s">
        <v>5299</v>
      </c>
      <c r="G1875" s="1403" t="s">
        <v>14359</v>
      </c>
      <c r="H1875" s="1406" t="s">
        <v>1025</v>
      </c>
    </row>
    <row r="1876" spans="1:8" x14ac:dyDescent="0.2">
      <c r="A1876" s="7"/>
      <c r="B1876" s="1407" t="str">
        <f t="shared" si="29"/>
        <v>Platonas Apostolopoulos</v>
      </c>
      <c r="C1876" s="1402" t="s">
        <v>7398</v>
      </c>
      <c r="D1876" s="1403" t="s">
        <v>7473</v>
      </c>
      <c r="E1876" s="1404" t="s">
        <v>7562</v>
      </c>
      <c r="F1876" s="1405" t="s">
        <v>5300</v>
      </c>
      <c r="G1876" s="1403" t="s">
        <v>14359</v>
      </c>
      <c r="H1876" s="1406" t="s">
        <v>1025</v>
      </c>
    </row>
    <row r="1877" spans="1:8" x14ac:dyDescent="0.2">
      <c r="A1877" s="7"/>
      <c r="B1877" s="1407" t="str">
        <f t="shared" si="29"/>
        <v>Grigoris Milidonis</v>
      </c>
      <c r="C1877" s="1402" t="s">
        <v>7399</v>
      </c>
      <c r="D1877" s="1403" t="s">
        <v>6984</v>
      </c>
      <c r="E1877" s="1404" t="s">
        <v>7563</v>
      </c>
      <c r="F1877" s="1405" t="s">
        <v>5300</v>
      </c>
      <c r="G1877" s="1403" t="s">
        <v>14359</v>
      </c>
      <c r="H1877" s="1406" t="s">
        <v>1025</v>
      </c>
    </row>
    <row r="1878" spans="1:8" x14ac:dyDescent="0.2">
      <c r="A1878" s="7"/>
      <c r="B1878" s="1407" t="str">
        <f t="shared" si="29"/>
        <v>Michail Marinis</v>
      </c>
      <c r="C1878" s="1402" t="s">
        <v>7400</v>
      </c>
      <c r="D1878" s="1403" t="s">
        <v>8248</v>
      </c>
      <c r="E1878" s="1404" t="s">
        <v>7564</v>
      </c>
      <c r="F1878" s="1405" t="s">
        <v>5299</v>
      </c>
      <c r="G1878" s="1403" t="s">
        <v>14359</v>
      </c>
      <c r="H1878" s="1406" t="s">
        <v>1025</v>
      </c>
    </row>
    <row r="1879" spans="1:8" x14ac:dyDescent="0.2">
      <c r="A1879" s="7"/>
      <c r="B1879" s="1407" t="str">
        <f t="shared" si="29"/>
        <v>Panagiotis Vogiatzis</v>
      </c>
      <c r="C1879" s="1402" t="s">
        <v>7401</v>
      </c>
      <c r="D1879" s="1403" t="s">
        <v>3249</v>
      </c>
      <c r="E1879" s="1404" t="s">
        <v>7565</v>
      </c>
      <c r="F1879" s="1405" t="s">
        <v>5300</v>
      </c>
      <c r="G1879" s="1403" t="s">
        <v>14359</v>
      </c>
      <c r="H1879" s="1406" t="s">
        <v>1025</v>
      </c>
    </row>
    <row r="1880" spans="1:8" x14ac:dyDescent="0.2">
      <c r="A1880" s="7"/>
      <c r="B1880" s="1407" t="str">
        <f t="shared" si="29"/>
        <v>Konstantinos Vogiatzis</v>
      </c>
      <c r="C1880" s="1402" t="s">
        <v>7401</v>
      </c>
      <c r="D1880" s="1403" t="s">
        <v>6986</v>
      </c>
      <c r="E1880" s="1404" t="s">
        <v>7566</v>
      </c>
      <c r="F1880" s="1405" t="s">
        <v>5299</v>
      </c>
      <c r="G1880" s="1403" t="s">
        <v>14359</v>
      </c>
      <c r="H1880" s="1406" t="s">
        <v>1025</v>
      </c>
    </row>
    <row r="1881" spans="1:8" x14ac:dyDescent="0.2">
      <c r="A1881" s="7"/>
      <c r="B1881" s="1407" t="str">
        <f t="shared" si="29"/>
        <v>Dimitris Vogiatzis</v>
      </c>
      <c r="C1881" s="1402" t="s">
        <v>7401</v>
      </c>
      <c r="D1881" s="1403" t="s">
        <v>3099</v>
      </c>
      <c r="E1881" s="1404" t="s">
        <v>7567</v>
      </c>
      <c r="F1881" s="1405" t="s">
        <v>5299</v>
      </c>
      <c r="G1881" s="1403" t="s">
        <v>14359</v>
      </c>
      <c r="H1881" s="1406" t="s">
        <v>1025</v>
      </c>
    </row>
    <row r="1882" spans="1:8" x14ac:dyDescent="0.2">
      <c r="A1882" s="7"/>
      <c r="B1882" s="1407" t="str">
        <f t="shared" si="29"/>
        <v>Michail Christidis</v>
      </c>
      <c r="C1882" s="1402" t="s">
        <v>7402</v>
      </c>
      <c r="D1882" s="1403" t="s">
        <v>8248</v>
      </c>
      <c r="E1882" s="1404" t="s">
        <v>7568</v>
      </c>
      <c r="F1882" s="1405" t="s">
        <v>5300</v>
      </c>
      <c r="G1882" s="1403" t="s">
        <v>14359</v>
      </c>
      <c r="H1882" s="1406" t="s">
        <v>1025</v>
      </c>
    </row>
    <row r="1883" spans="1:8" x14ac:dyDescent="0.2">
      <c r="A1883" s="7"/>
      <c r="B1883" s="1407" t="str">
        <f t="shared" si="29"/>
        <v>Georgios Detorakis</v>
      </c>
      <c r="C1883" s="1402" t="s">
        <v>7403</v>
      </c>
      <c r="D1883" s="1403" t="s">
        <v>3324</v>
      </c>
      <c r="E1883" s="1404" t="s">
        <v>7569</v>
      </c>
      <c r="F1883" s="1405" t="s">
        <v>5299</v>
      </c>
      <c r="G1883" s="1403" t="s">
        <v>14359</v>
      </c>
      <c r="H1883" s="1406" t="s">
        <v>1025</v>
      </c>
    </row>
    <row r="1884" spans="1:8" x14ac:dyDescent="0.2">
      <c r="A1884" s="7"/>
      <c r="B1884" s="1407" t="str">
        <f t="shared" si="29"/>
        <v>Evaggelos Vavoulakis</v>
      </c>
      <c r="C1884" s="1402" t="s">
        <v>7385</v>
      </c>
      <c r="D1884" s="1403" t="s">
        <v>6974</v>
      </c>
      <c r="E1884" s="1404" t="s">
        <v>7570</v>
      </c>
      <c r="F1884" s="1405" t="s">
        <v>5299</v>
      </c>
      <c r="G1884" s="1403" t="s">
        <v>14359</v>
      </c>
      <c r="H1884" s="1406" t="s">
        <v>1025</v>
      </c>
    </row>
    <row r="1885" spans="1:8" x14ac:dyDescent="0.2">
      <c r="A1885" s="7"/>
      <c r="B1885" s="1407" t="str">
        <f t="shared" si="29"/>
        <v>Georgios Goutzioulis</v>
      </c>
      <c r="C1885" s="1402" t="s">
        <v>7404</v>
      </c>
      <c r="D1885" s="1403" t="s">
        <v>3324</v>
      </c>
      <c r="E1885" s="1404" t="s">
        <v>7571</v>
      </c>
      <c r="F1885" s="1405" t="s">
        <v>5299</v>
      </c>
      <c r="G1885" s="1403" t="s">
        <v>10251</v>
      </c>
      <c r="H1885" s="1406" t="s">
        <v>1025</v>
      </c>
    </row>
    <row r="1886" spans="1:8" x14ac:dyDescent="0.2">
      <c r="A1886" s="7"/>
      <c r="B1886" s="1407" t="str">
        <f t="shared" si="29"/>
        <v>Alberto Di Maggio</v>
      </c>
      <c r="C1886" s="1402" t="s">
        <v>7405</v>
      </c>
      <c r="D1886" s="1403" t="s">
        <v>3042</v>
      </c>
      <c r="E1886" s="1404" t="s">
        <v>7572</v>
      </c>
      <c r="F1886" s="1405" t="s">
        <v>5299</v>
      </c>
      <c r="G1886" s="1403" t="s">
        <v>2749</v>
      </c>
      <c r="H1886" s="1406" t="s">
        <v>1025</v>
      </c>
    </row>
    <row r="1887" spans="1:8" x14ac:dyDescent="0.2">
      <c r="A1887" s="7"/>
      <c r="B1887" s="1407" t="str">
        <f t="shared" si="29"/>
        <v>Anastasios Oikonomou</v>
      </c>
      <c r="C1887" s="1402" t="s">
        <v>7406</v>
      </c>
      <c r="D1887" s="1403" t="s">
        <v>3611</v>
      </c>
      <c r="E1887" s="1404" t="s">
        <v>7573</v>
      </c>
      <c r="F1887" s="1405" t="s">
        <v>5299</v>
      </c>
      <c r="G1887" s="1403" t="s">
        <v>14359</v>
      </c>
      <c r="H1887" s="1406" t="s">
        <v>1025</v>
      </c>
    </row>
    <row r="1888" spans="1:8" x14ac:dyDescent="0.2">
      <c r="A1888" s="7"/>
      <c r="B1888" s="1407" t="str">
        <f t="shared" si="29"/>
        <v>Sarantis Papidakis</v>
      </c>
      <c r="C1888" s="1402" t="s">
        <v>7407</v>
      </c>
      <c r="D1888" s="1403" t="s">
        <v>7280</v>
      </c>
      <c r="E1888" s="1404" t="s">
        <v>7574</v>
      </c>
      <c r="F1888" s="1405" t="s">
        <v>5300</v>
      </c>
      <c r="G1888" s="1403" t="s">
        <v>5309</v>
      </c>
      <c r="H1888" s="1406" t="s">
        <v>1025</v>
      </c>
    </row>
    <row r="1889" spans="1:8" x14ac:dyDescent="0.2">
      <c r="A1889" s="7"/>
      <c r="B1889" s="1407" t="str">
        <f t="shared" si="29"/>
        <v>Elias Papaioannou</v>
      </c>
      <c r="C1889" s="1402" t="s">
        <v>7408</v>
      </c>
      <c r="D1889" s="1403" t="s">
        <v>6746</v>
      </c>
      <c r="E1889" s="1404" t="s">
        <v>7575</v>
      </c>
      <c r="F1889" s="1405" t="s">
        <v>5299</v>
      </c>
      <c r="G1889" s="1403" t="s">
        <v>14359</v>
      </c>
      <c r="H1889" s="1406" t="s">
        <v>1025</v>
      </c>
    </row>
    <row r="1890" spans="1:8" x14ac:dyDescent="0.2">
      <c r="A1890" s="7"/>
      <c r="B1890" s="1407" t="str">
        <f t="shared" si="29"/>
        <v>Maria Stratoudaki</v>
      </c>
      <c r="C1890" s="1402" t="s">
        <v>7409</v>
      </c>
      <c r="D1890" s="1403" t="s">
        <v>3475</v>
      </c>
      <c r="E1890" s="1404" t="s">
        <v>7576</v>
      </c>
      <c r="F1890" s="1405" t="s">
        <v>13210</v>
      </c>
      <c r="G1890" s="1403" t="s">
        <v>14359</v>
      </c>
      <c r="H1890" s="1406" t="s">
        <v>1025</v>
      </c>
    </row>
    <row r="1891" spans="1:8" x14ac:dyDescent="0.2">
      <c r="A1891" s="7"/>
      <c r="B1891" s="1407" t="str">
        <f t="shared" si="29"/>
        <v>Fotios Voukouris</v>
      </c>
      <c r="C1891" s="1402" t="s">
        <v>7410</v>
      </c>
      <c r="D1891" s="1403" t="s">
        <v>8274</v>
      </c>
      <c r="E1891" s="1404" t="s">
        <v>7577</v>
      </c>
      <c r="F1891" s="1405" t="s">
        <v>5299</v>
      </c>
      <c r="G1891" s="1403" t="s">
        <v>14359</v>
      </c>
      <c r="H1891" s="1406" t="s">
        <v>1025</v>
      </c>
    </row>
    <row r="1892" spans="1:8" x14ac:dyDescent="0.2">
      <c r="A1892" s="7"/>
      <c r="B1892" s="1407" t="str">
        <f t="shared" si="29"/>
        <v>Georgios Pitihoutis</v>
      </c>
      <c r="C1892" s="1402" t="s">
        <v>7411</v>
      </c>
      <c r="D1892" s="1403" t="s">
        <v>3324</v>
      </c>
      <c r="E1892" s="1404" t="s">
        <v>7578</v>
      </c>
      <c r="F1892" s="1405" t="s">
        <v>5300</v>
      </c>
      <c r="G1892" s="1403" t="s">
        <v>13590</v>
      </c>
      <c r="H1892" s="1406" t="s">
        <v>1025</v>
      </c>
    </row>
    <row r="1893" spans="1:8" x14ac:dyDescent="0.2">
      <c r="A1893" s="7"/>
      <c r="B1893" s="1407" t="str">
        <f t="shared" si="29"/>
        <v>Spyridon Arvanitis</v>
      </c>
      <c r="C1893" s="1402" t="s">
        <v>6103</v>
      </c>
      <c r="D1893" s="1403" t="s">
        <v>7806</v>
      </c>
      <c r="E1893" s="1404" t="s">
        <v>7579</v>
      </c>
      <c r="F1893" s="1405" t="s">
        <v>5300</v>
      </c>
      <c r="G1893" s="1403" t="s">
        <v>14359</v>
      </c>
      <c r="H1893" s="1406" t="s">
        <v>1025</v>
      </c>
    </row>
    <row r="1894" spans="1:8" x14ac:dyDescent="0.2">
      <c r="A1894" s="7"/>
      <c r="B1894" s="1407" t="str">
        <f t="shared" si="29"/>
        <v>Franco Alfonso</v>
      </c>
      <c r="C1894" s="1402" t="s">
        <v>3157</v>
      </c>
      <c r="D1894" s="1403" t="s">
        <v>5778</v>
      </c>
      <c r="E1894" s="1404" t="s">
        <v>7580</v>
      </c>
      <c r="F1894" s="1405" t="s">
        <v>5300</v>
      </c>
      <c r="G1894" s="1403" t="s">
        <v>14359</v>
      </c>
      <c r="H1894" s="1406" t="s">
        <v>1025</v>
      </c>
    </row>
    <row r="1895" spans="1:8" x14ac:dyDescent="0.2">
      <c r="A1895" s="7"/>
      <c r="B1895" s="1407" t="str">
        <f t="shared" si="29"/>
        <v>Marios Schoinas</v>
      </c>
      <c r="C1895" s="1402" t="s">
        <v>8071</v>
      </c>
      <c r="D1895" s="1403" t="s">
        <v>3557</v>
      </c>
      <c r="E1895" s="1404" t="s">
        <v>7581</v>
      </c>
      <c r="F1895" s="1405" t="s">
        <v>5299</v>
      </c>
      <c r="G1895" s="1403" t="s">
        <v>14359</v>
      </c>
      <c r="H1895" s="1406" t="s">
        <v>1025</v>
      </c>
    </row>
    <row r="1896" spans="1:8" x14ac:dyDescent="0.2">
      <c r="A1896" s="7"/>
      <c r="B1896" s="1407" t="str">
        <f t="shared" si="29"/>
        <v>Vaggelis Giantais</v>
      </c>
      <c r="C1896" s="1402" t="s">
        <v>7412</v>
      </c>
      <c r="D1896" s="1403" t="s">
        <v>3542</v>
      </c>
      <c r="E1896" s="1404" t="s">
        <v>7582</v>
      </c>
      <c r="F1896" s="1405" t="s">
        <v>5299</v>
      </c>
      <c r="G1896" s="1403" t="s">
        <v>10246</v>
      </c>
      <c r="H1896" s="1406" t="s">
        <v>1025</v>
      </c>
    </row>
    <row r="1897" spans="1:8" x14ac:dyDescent="0.2">
      <c r="A1897" s="7"/>
      <c r="B1897" s="1407" t="str">
        <f t="shared" si="29"/>
        <v>Dimitrios Diamantopoulos</v>
      </c>
      <c r="C1897" s="1402" t="s">
        <v>7413</v>
      </c>
      <c r="D1897" s="1403" t="s">
        <v>5644</v>
      </c>
      <c r="E1897" s="1404" t="s">
        <v>7583</v>
      </c>
      <c r="F1897" s="1405" t="s">
        <v>5300</v>
      </c>
      <c r="G1897" s="1403" t="s">
        <v>14359</v>
      </c>
      <c r="H1897" s="1406" t="s">
        <v>1025</v>
      </c>
    </row>
    <row r="1898" spans="1:8" x14ac:dyDescent="0.2">
      <c r="A1898" s="7"/>
      <c r="B1898" s="1407" t="str">
        <f t="shared" si="29"/>
        <v>Dimitrios Navridis</v>
      </c>
      <c r="C1898" s="1402" t="s">
        <v>7414</v>
      </c>
      <c r="D1898" s="1403" t="s">
        <v>5644</v>
      </c>
      <c r="E1898" s="1404" t="s">
        <v>7584</v>
      </c>
      <c r="F1898" s="1405" t="s">
        <v>5299</v>
      </c>
      <c r="G1898" s="1403" t="s">
        <v>14359</v>
      </c>
      <c r="H1898" s="1406" t="s">
        <v>1025</v>
      </c>
    </row>
    <row r="1899" spans="1:8" x14ac:dyDescent="0.2">
      <c r="A1899" s="7"/>
      <c r="B1899" s="1407" t="str">
        <f t="shared" si="29"/>
        <v>Mike Jenner</v>
      </c>
      <c r="C1899" s="1402" t="s">
        <v>13238</v>
      </c>
      <c r="D1899" s="1403" t="s">
        <v>3304</v>
      </c>
      <c r="E1899" s="1404" t="s">
        <v>13239</v>
      </c>
      <c r="F1899" s="1405" t="s">
        <v>5299</v>
      </c>
      <c r="G1899" s="1403" t="s">
        <v>14359</v>
      </c>
      <c r="H1899" s="1406" t="s">
        <v>1025</v>
      </c>
    </row>
    <row r="1900" spans="1:8" x14ac:dyDescent="0.2">
      <c r="A1900" s="7"/>
      <c r="B1900" s="1407" t="str">
        <f t="shared" si="29"/>
        <v>Aggelos Foutrakis</v>
      </c>
      <c r="C1900" s="1402" t="s">
        <v>7415</v>
      </c>
      <c r="D1900" s="1403" t="s">
        <v>3644</v>
      </c>
      <c r="E1900" s="1404" t="s">
        <v>7585</v>
      </c>
      <c r="F1900" s="1405" t="s">
        <v>5299</v>
      </c>
      <c r="G1900" s="1403" t="s">
        <v>10265</v>
      </c>
      <c r="H1900" s="1406" t="s">
        <v>1025</v>
      </c>
    </row>
    <row r="1901" spans="1:8" x14ac:dyDescent="0.2">
      <c r="A1901" s="7"/>
      <c r="B1901" s="1407" t="str">
        <f t="shared" si="29"/>
        <v>Ioannis Krokos</v>
      </c>
      <c r="C1901" s="1402" t="s">
        <v>7416</v>
      </c>
      <c r="D1901" s="1403" t="s">
        <v>3350</v>
      </c>
      <c r="E1901" s="1404" t="s">
        <v>7586</v>
      </c>
      <c r="F1901" s="1405" t="s">
        <v>5299</v>
      </c>
      <c r="G1901" s="1403" t="s">
        <v>14359</v>
      </c>
      <c r="H1901" s="1406" t="s">
        <v>1025</v>
      </c>
    </row>
    <row r="1902" spans="1:8" x14ac:dyDescent="0.2">
      <c r="A1902" s="7"/>
      <c r="B1902" s="1407" t="str">
        <f t="shared" si="29"/>
        <v>Georgios Verganelakis</v>
      </c>
      <c r="C1902" s="1402" t="s">
        <v>7417</v>
      </c>
      <c r="D1902" s="1403" t="s">
        <v>3324</v>
      </c>
      <c r="E1902" s="1404" t="s">
        <v>7587</v>
      </c>
      <c r="F1902" s="1405" t="s">
        <v>5299</v>
      </c>
      <c r="G1902" s="1403" t="s">
        <v>2793</v>
      </c>
      <c r="H1902" s="1406" t="s">
        <v>1025</v>
      </c>
    </row>
    <row r="1903" spans="1:8" x14ac:dyDescent="0.2">
      <c r="A1903" s="7"/>
      <c r="B1903" s="1407" t="str">
        <f t="shared" si="29"/>
        <v>Athanasios Koulakis</v>
      </c>
      <c r="C1903" s="1402" t="s">
        <v>7673</v>
      </c>
      <c r="D1903" s="1403" t="s">
        <v>3472</v>
      </c>
      <c r="E1903" s="1404" t="s">
        <v>7712</v>
      </c>
      <c r="F1903" s="1405" t="s">
        <v>5300</v>
      </c>
      <c r="G1903" s="1403" t="s">
        <v>14359</v>
      </c>
      <c r="H1903" s="1406" t="s">
        <v>1025</v>
      </c>
    </row>
    <row r="1904" spans="1:8" x14ac:dyDescent="0.2">
      <c r="A1904" s="7"/>
      <c r="B1904" s="1407" t="str">
        <f t="shared" si="29"/>
        <v>Antonios Patedakis</v>
      </c>
      <c r="C1904" s="1402" t="s">
        <v>7674</v>
      </c>
      <c r="D1904" s="1403" t="s">
        <v>8256</v>
      </c>
      <c r="E1904" s="1404" t="s">
        <v>7713</v>
      </c>
      <c r="F1904" s="1405" t="s">
        <v>5299</v>
      </c>
      <c r="G1904" s="1403" t="s">
        <v>14359</v>
      </c>
      <c r="H1904" s="1406" t="s">
        <v>1025</v>
      </c>
    </row>
    <row r="1905" spans="1:8" x14ac:dyDescent="0.2">
      <c r="A1905" s="7"/>
      <c r="B1905" s="1407" t="str">
        <f t="shared" si="29"/>
        <v>Vasileios Dragosis</v>
      </c>
      <c r="C1905" s="1402" t="s">
        <v>7675</v>
      </c>
      <c r="D1905" s="1403" t="s">
        <v>5548</v>
      </c>
      <c r="E1905" s="1404" t="s">
        <v>7714</v>
      </c>
      <c r="F1905" s="1405" t="s">
        <v>5300</v>
      </c>
      <c r="G1905" s="1403" t="s">
        <v>14359</v>
      </c>
      <c r="H1905" s="1406" t="s">
        <v>1025</v>
      </c>
    </row>
    <row r="1906" spans="1:8" x14ac:dyDescent="0.2">
      <c r="A1906" s="7"/>
      <c r="B1906" s="1407" t="str">
        <f t="shared" si="29"/>
        <v>Michail Dragosis</v>
      </c>
      <c r="C1906" s="1402" t="s">
        <v>7675</v>
      </c>
      <c r="D1906" s="1403" t="s">
        <v>8248</v>
      </c>
      <c r="E1906" s="1404" t="s">
        <v>7715</v>
      </c>
      <c r="F1906" s="1405" t="s">
        <v>5299</v>
      </c>
      <c r="G1906" s="1403" t="s">
        <v>14359</v>
      </c>
      <c r="H1906" s="1406" t="s">
        <v>1025</v>
      </c>
    </row>
    <row r="1907" spans="1:8" x14ac:dyDescent="0.2">
      <c r="A1907" s="7"/>
      <c r="B1907" s="1407" t="str">
        <f t="shared" si="29"/>
        <v>Dimitrios Dragosis</v>
      </c>
      <c r="C1907" s="1402" t="s">
        <v>7675</v>
      </c>
      <c r="D1907" s="1403" t="s">
        <v>5644</v>
      </c>
      <c r="E1907" s="1404" t="s">
        <v>7716</v>
      </c>
      <c r="F1907" s="1405" t="s">
        <v>5299</v>
      </c>
      <c r="G1907" s="1403" t="s">
        <v>14359</v>
      </c>
      <c r="H1907" s="1406" t="s">
        <v>1025</v>
      </c>
    </row>
    <row r="1908" spans="1:8" x14ac:dyDescent="0.2">
      <c r="A1908" s="7"/>
      <c r="B1908" s="1407" t="str">
        <f t="shared" si="29"/>
        <v>Manolis Papadakis</v>
      </c>
      <c r="C1908" s="1402" t="s">
        <v>6123</v>
      </c>
      <c r="D1908" s="1403" t="s">
        <v>3591</v>
      </c>
      <c r="E1908" s="1404" t="s">
        <v>7717</v>
      </c>
      <c r="F1908" s="1405" t="s">
        <v>5300</v>
      </c>
      <c r="G1908" s="1403" t="s">
        <v>2745</v>
      </c>
      <c r="H1908" s="1406" t="s">
        <v>1025</v>
      </c>
    </row>
    <row r="1909" spans="1:8" x14ac:dyDescent="0.2">
      <c r="A1909" s="7"/>
      <c r="B1909" s="1407" t="str">
        <f t="shared" si="29"/>
        <v>Filippos Kantarakis</v>
      </c>
      <c r="C1909" s="1402" t="s">
        <v>7676</v>
      </c>
      <c r="D1909" s="1403" t="s">
        <v>6983</v>
      </c>
      <c r="E1909" s="1404" t="s">
        <v>7718</v>
      </c>
      <c r="F1909" s="1405" t="s">
        <v>5300</v>
      </c>
      <c r="G1909" s="1403" t="s">
        <v>14359</v>
      </c>
      <c r="H1909" s="1406" t="s">
        <v>1025</v>
      </c>
    </row>
    <row r="1910" spans="1:8" x14ac:dyDescent="0.2">
      <c r="A1910" s="7"/>
      <c r="B1910" s="1407" t="str">
        <f t="shared" si="29"/>
        <v>Nasos Kalvakis</v>
      </c>
      <c r="C1910" s="1402" t="s">
        <v>7677</v>
      </c>
      <c r="D1910" s="1403" t="s">
        <v>6965</v>
      </c>
      <c r="E1910" s="1404" t="s">
        <v>7719</v>
      </c>
      <c r="F1910" s="1405" t="s">
        <v>5300</v>
      </c>
      <c r="G1910" s="1403" t="s">
        <v>14359</v>
      </c>
      <c r="H1910" s="1406" t="s">
        <v>1025</v>
      </c>
    </row>
    <row r="1911" spans="1:8" x14ac:dyDescent="0.2">
      <c r="A1911" s="7"/>
      <c r="B1911" s="1407" t="str">
        <f t="shared" si="29"/>
        <v>Michail Lazaridis</v>
      </c>
      <c r="C1911" s="1402" t="s">
        <v>7678</v>
      </c>
      <c r="D1911" s="1403" t="s">
        <v>8248</v>
      </c>
      <c r="E1911" s="1404" t="s">
        <v>7720</v>
      </c>
      <c r="F1911" s="1405" t="s">
        <v>5300</v>
      </c>
      <c r="G1911" s="1403" t="s">
        <v>14359</v>
      </c>
      <c r="H1911" s="1406" t="s">
        <v>1025</v>
      </c>
    </row>
    <row r="1912" spans="1:8" x14ac:dyDescent="0.2">
      <c r="A1912" s="7"/>
      <c r="B1912" s="1407" t="str">
        <f t="shared" si="29"/>
        <v>Iasonas Dimopoulos</v>
      </c>
      <c r="C1912" s="1402" t="s">
        <v>6067</v>
      </c>
      <c r="D1912" s="1403" t="s">
        <v>7700</v>
      </c>
      <c r="E1912" s="1404" t="s">
        <v>7721</v>
      </c>
      <c r="F1912" s="1405" t="s">
        <v>5299</v>
      </c>
      <c r="G1912" s="1403" t="s">
        <v>14359</v>
      </c>
      <c r="H1912" s="1406" t="s">
        <v>1025</v>
      </c>
    </row>
    <row r="1913" spans="1:8" x14ac:dyDescent="0.2">
      <c r="A1913" s="7"/>
      <c r="B1913" s="1407" t="str">
        <f t="shared" si="29"/>
        <v>Dimitrios Karaminas</v>
      </c>
      <c r="C1913" s="1402" t="s">
        <v>7788</v>
      </c>
      <c r="D1913" s="1403" t="s">
        <v>5644</v>
      </c>
      <c r="E1913" s="1404" t="s">
        <v>7816</v>
      </c>
      <c r="F1913" s="1405" t="s">
        <v>13211</v>
      </c>
      <c r="G1913" s="1403" t="s">
        <v>14359</v>
      </c>
      <c r="H1913" s="1406" t="s">
        <v>1025</v>
      </c>
    </row>
    <row r="1914" spans="1:8" x14ac:dyDescent="0.2">
      <c r="A1914" s="7"/>
      <c r="B1914" s="1407" t="str">
        <f t="shared" si="29"/>
        <v>Spyridon Pagkratis</v>
      </c>
      <c r="C1914" s="1402" t="s">
        <v>7789</v>
      </c>
      <c r="D1914" s="1403" t="s">
        <v>7806</v>
      </c>
      <c r="E1914" s="1404" t="s">
        <v>7817</v>
      </c>
      <c r="F1914" s="1405" t="s">
        <v>13210</v>
      </c>
      <c r="G1914" s="1403" t="s">
        <v>14359</v>
      </c>
      <c r="H1914" s="1406" t="s">
        <v>1025</v>
      </c>
    </row>
    <row r="1915" spans="1:8" x14ac:dyDescent="0.2">
      <c r="A1915" s="7"/>
      <c r="B1915" s="1407" t="str">
        <f t="shared" si="29"/>
        <v>Georgios Pontikopoulos</v>
      </c>
      <c r="C1915" s="1402" t="s">
        <v>7790</v>
      </c>
      <c r="D1915" s="1403" t="s">
        <v>3324</v>
      </c>
      <c r="E1915" s="1404" t="s">
        <v>7818</v>
      </c>
      <c r="F1915" s="1405" t="s">
        <v>5300</v>
      </c>
      <c r="G1915" s="1403" t="s">
        <v>3041</v>
      </c>
      <c r="H1915" s="1406" t="s">
        <v>1025</v>
      </c>
    </row>
    <row r="1916" spans="1:8" x14ac:dyDescent="0.2">
      <c r="A1916" s="7"/>
      <c r="B1916" s="1407" t="str">
        <f t="shared" si="29"/>
        <v>Giorgos Filippou</v>
      </c>
      <c r="C1916" s="1402" t="s">
        <v>9400</v>
      </c>
      <c r="D1916" s="1403" t="s">
        <v>3040</v>
      </c>
      <c r="E1916" s="1404" t="s">
        <v>7819</v>
      </c>
      <c r="F1916" s="1405" t="s">
        <v>5299</v>
      </c>
      <c r="G1916" s="1403" t="s">
        <v>15175</v>
      </c>
      <c r="H1916" s="1406" t="s">
        <v>1025</v>
      </c>
    </row>
    <row r="1917" spans="1:8" x14ac:dyDescent="0.2">
      <c r="A1917" s="7"/>
      <c r="B1917" s="1407" t="str">
        <f t="shared" si="29"/>
        <v>Christos Antonopoulos</v>
      </c>
      <c r="C1917" s="1402" t="s">
        <v>7791</v>
      </c>
      <c r="D1917" s="1403" t="s">
        <v>3135</v>
      </c>
      <c r="E1917" s="1404" t="s">
        <v>7820</v>
      </c>
      <c r="F1917" s="1405" t="s">
        <v>5299</v>
      </c>
      <c r="G1917" s="1403" t="s">
        <v>14359</v>
      </c>
      <c r="H1917" s="1406" t="s">
        <v>1025</v>
      </c>
    </row>
    <row r="1918" spans="1:8" x14ac:dyDescent="0.2">
      <c r="A1918" s="7"/>
      <c r="B1918" s="1407" t="str">
        <f t="shared" si="29"/>
        <v>Thodoris Antonopoulos</v>
      </c>
      <c r="C1918" s="1402" t="s">
        <v>7791</v>
      </c>
      <c r="D1918" s="1403" t="s">
        <v>7807</v>
      </c>
      <c r="E1918" s="1404" t="s">
        <v>7821</v>
      </c>
      <c r="F1918" s="1405" t="s">
        <v>5299</v>
      </c>
      <c r="G1918" s="1403" t="s">
        <v>14359</v>
      </c>
      <c r="H1918" s="1406" t="s">
        <v>1025</v>
      </c>
    </row>
    <row r="1919" spans="1:8" x14ac:dyDescent="0.2">
      <c r="A1919" s="7"/>
      <c r="B1919" s="1407" t="str">
        <f t="shared" si="29"/>
        <v>Dimitris Chronopoulos</v>
      </c>
      <c r="C1919" s="1402" t="s">
        <v>7792</v>
      </c>
      <c r="D1919" s="1403" t="s">
        <v>3099</v>
      </c>
      <c r="E1919" s="1404" t="s">
        <v>7822</v>
      </c>
      <c r="F1919" s="1405" t="s">
        <v>5299</v>
      </c>
      <c r="G1919" s="1403" t="s">
        <v>14359</v>
      </c>
      <c r="H1919" s="1406" t="s">
        <v>1025</v>
      </c>
    </row>
    <row r="1920" spans="1:8" x14ac:dyDescent="0.2">
      <c r="A1920" s="7"/>
      <c r="B1920" s="1407" t="str">
        <f t="shared" si="29"/>
        <v>Michail Kalogerakos</v>
      </c>
      <c r="C1920" s="1402" t="s">
        <v>7793</v>
      </c>
      <c r="D1920" s="1403" t="s">
        <v>8248</v>
      </c>
      <c r="E1920" s="1404" t="s">
        <v>7823</v>
      </c>
      <c r="F1920" s="1405" t="s">
        <v>5300</v>
      </c>
      <c r="G1920" s="1403" t="s">
        <v>2760</v>
      </c>
      <c r="H1920" s="1406" t="s">
        <v>1025</v>
      </c>
    </row>
    <row r="1921" spans="1:8" x14ac:dyDescent="0.2">
      <c r="A1921" s="7"/>
      <c r="B1921" s="1407" t="str">
        <f t="shared" si="29"/>
        <v>Efthimios Koutsogiannis</v>
      </c>
      <c r="C1921" s="1402" t="s">
        <v>7794</v>
      </c>
      <c r="D1921" s="1403" t="s">
        <v>6961</v>
      </c>
      <c r="E1921" s="1404" t="s">
        <v>7824</v>
      </c>
      <c r="F1921" s="1405" t="s">
        <v>5299</v>
      </c>
      <c r="G1921" s="1403" t="s">
        <v>15175</v>
      </c>
      <c r="H1921" s="1406" t="s">
        <v>1025</v>
      </c>
    </row>
    <row r="1922" spans="1:8" x14ac:dyDescent="0.2">
      <c r="A1922" s="7"/>
      <c r="B1922" s="1407" t="str">
        <f t="shared" si="29"/>
        <v>Dimitris Gioutsas</v>
      </c>
      <c r="C1922" s="1402" t="s">
        <v>7795</v>
      </c>
      <c r="D1922" s="1403" t="s">
        <v>3099</v>
      </c>
      <c r="E1922" s="1404" t="s">
        <v>7825</v>
      </c>
      <c r="F1922" s="1405" t="s">
        <v>5299</v>
      </c>
      <c r="G1922" s="1403" t="s">
        <v>14359</v>
      </c>
      <c r="H1922" s="1406" t="s">
        <v>1025</v>
      </c>
    </row>
    <row r="1923" spans="1:8" x14ac:dyDescent="0.2">
      <c r="A1923" s="7"/>
      <c r="B1923" s="1407" t="str">
        <f t="shared" si="29"/>
        <v>Eleftherios Chalkidis</v>
      </c>
      <c r="C1923" s="1402" t="s">
        <v>7796</v>
      </c>
      <c r="D1923" s="1403" t="s">
        <v>7808</v>
      </c>
      <c r="E1923" s="1404" t="s">
        <v>7826</v>
      </c>
      <c r="F1923" s="1405" t="s">
        <v>5299</v>
      </c>
      <c r="G1923" s="1403" t="s">
        <v>14359</v>
      </c>
      <c r="H1923" s="1406" t="s">
        <v>1025</v>
      </c>
    </row>
    <row r="1924" spans="1:8" x14ac:dyDescent="0.2">
      <c r="A1924" s="7"/>
      <c r="B1924" s="1407" t="str">
        <f t="shared" si="29"/>
        <v>Theocharis Chalkidis</v>
      </c>
      <c r="C1924" s="1402" t="s">
        <v>7796</v>
      </c>
      <c r="D1924" s="1403" t="s">
        <v>7809</v>
      </c>
      <c r="E1924" s="1404" t="s">
        <v>7827</v>
      </c>
      <c r="F1924" s="1405" t="s">
        <v>13210</v>
      </c>
      <c r="G1924" s="1403" t="s">
        <v>14359</v>
      </c>
      <c r="H1924" s="1406" t="s">
        <v>1025</v>
      </c>
    </row>
    <row r="1925" spans="1:8" x14ac:dyDescent="0.2">
      <c r="A1925" s="7"/>
      <c r="B1925" s="1407" t="str">
        <f t="shared" si="29"/>
        <v>Dionisis Anagnostopoulos</v>
      </c>
      <c r="C1925" s="1402" t="s">
        <v>7797</v>
      </c>
      <c r="D1925" s="1403" t="s">
        <v>6969</v>
      </c>
      <c r="E1925" s="1404" t="s">
        <v>7828</v>
      </c>
      <c r="F1925" s="1405" t="s">
        <v>5299</v>
      </c>
      <c r="G1925" s="1403" t="s">
        <v>14359</v>
      </c>
      <c r="H1925" s="1406" t="s">
        <v>1025</v>
      </c>
    </row>
    <row r="1926" spans="1:8" x14ac:dyDescent="0.2">
      <c r="A1926" s="7"/>
      <c r="B1926" s="1407" t="str">
        <f t="shared" si="29"/>
        <v>Vasilis Kitsios</v>
      </c>
      <c r="C1926" s="1402" t="s">
        <v>7798</v>
      </c>
      <c r="D1926" s="1403" t="s">
        <v>3630</v>
      </c>
      <c r="E1926" s="1404" t="s">
        <v>7829</v>
      </c>
      <c r="F1926" s="1405" t="s">
        <v>5299</v>
      </c>
      <c r="G1926" s="1403" t="s">
        <v>14359</v>
      </c>
      <c r="H1926" s="1406" t="s">
        <v>1025</v>
      </c>
    </row>
    <row r="1927" spans="1:8" x14ac:dyDescent="0.2">
      <c r="A1927" s="7"/>
      <c r="B1927" s="1407" t="str">
        <f t="shared" ref="B1927:B1990" si="30">TRIM(CONCATENATE(D1927," ",C1927))</f>
        <v>Georgios Zimeras</v>
      </c>
      <c r="C1927" s="1402" t="s">
        <v>6182</v>
      </c>
      <c r="D1927" s="1403" t="s">
        <v>3324</v>
      </c>
      <c r="E1927" s="1404" t="s">
        <v>7830</v>
      </c>
      <c r="F1927" s="1405" t="s">
        <v>5299</v>
      </c>
      <c r="G1927" s="1403" t="s">
        <v>14359</v>
      </c>
      <c r="H1927" s="1406" t="s">
        <v>1025</v>
      </c>
    </row>
    <row r="1928" spans="1:8" x14ac:dyDescent="0.2">
      <c r="A1928" s="7"/>
      <c r="B1928" s="1407" t="str">
        <f t="shared" si="30"/>
        <v>Nikolaos Liakopoulos</v>
      </c>
      <c r="C1928" s="1402" t="s">
        <v>7799</v>
      </c>
      <c r="D1928" s="1403" t="s">
        <v>5554</v>
      </c>
      <c r="E1928" s="1404" t="s">
        <v>7831</v>
      </c>
      <c r="F1928" s="1405" t="s">
        <v>5299</v>
      </c>
      <c r="G1928" s="1403" t="s">
        <v>10246</v>
      </c>
      <c r="H1928" s="1406" t="s">
        <v>1025</v>
      </c>
    </row>
    <row r="1929" spans="1:8" x14ac:dyDescent="0.2">
      <c r="A1929" s="7"/>
      <c r="B1929" s="1407" t="str">
        <f t="shared" si="30"/>
        <v>Anastasios Lampropoulos</v>
      </c>
      <c r="C1929" s="1402" t="s">
        <v>8072</v>
      </c>
      <c r="D1929" s="1403" t="s">
        <v>3611</v>
      </c>
      <c r="E1929" s="1404" t="s">
        <v>7832</v>
      </c>
      <c r="F1929" s="1405" t="s">
        <v>5299</v>
      </c>
      <c r="G1929" s="1403" t="s">
        <v>14359</v>
      </c>
      <c r="H1929" s="1406" t="s">
        <v>1025</v>
      </c>
    </row>
    <row r="1930" spans="1:8" x14ac:dyDescent="0.2">
      <c r="A1930" s="7"/>
      <c r="B1930" s="1407" t="str">
        <f t="shared" si="30"/>
        <v>Antonios Kosmadakis</v>
      </c>
      <c r="C1930" s="1402" t="s">
        <v>7800</v>
      </c>
      <c r="D1930" s="1403" t="s">
        <v>8256</v>
      </c>
      <c r="E1930" s="1404" t="s">
        <v>7833</v>
      </c>
      <c r="F1930" s="1405" t="s">
        <v>5299</v>
      </c>
      <c r="G1930" s="1403" t="s">
        <v>14359</v>
      </c>
      <c r="H1930" s="1406" t="s">
        <v>1025</v>
      </c>
    </row>
    <row r="1931" spans="1:8" x14ac:dyDescent="0.2">
      <c r="A1931" s="7"/>
      <c r="B1931" s="1407" t="str">
        <f t="shared" si="30"/>
        <v>Ioannis Tountas</v>
      </c>
      <c r="C1931" s="1402" t="s">
        <v>7801</v>
      </c>
      <c r="D1931" s="1403" t="s">
        <v>3350</v>
      </c>
      <c r="E1931" s="1404" t="s">
        <v>7834</v>
      </c>
      <c r="F1931" s="1405" t="s">
        <v>5300</v>
      </c>
      <c r="G1931" s="1403" t="s">
        <v>14359</v>
      </c>
      <c r="H1931" s="1406" t="s">
        <v>1025</v>
      </c>
    </row>
    <row r="1932" spans="1:8" x14ac:dyDescent="0.2">
      <c r="A1932" s="7"/>
      <c r="B1932" s="1407" t="str">
        <f t="shared" si="30"/>
        <v>Vassiliki Tsioumanis</v>
      </c>
      <c r="C1932" s="1402" t="s">
        <v>8073</v>
      </c>
      <c r="D1932" s="1403" t="s">
        <v>7810</v>
      </c>
      <c r="E1932" s="1404" t="s">
        <v>7835</v>
      </c>
      <c r="F1932" s="1405" t="s">
        <v>13210</v>
      </c>
      <c r="G1932" s="1403" t="s">
        <v>14359</v>
      </c>
      <c r="H1932" s="1406" t="s">
        <v>1025</v>
      </c>
    </row>
    <row r="1933" spans="1:8" x14ac:dyDescent="0.2">
      <c r="A1933" s="7"/>
      <c r="B1933" s="1407" t="str">
        <f t="shared" si="30"/>
        <v>Myrsini Tsioumanis</v>
      </c>
      <c r="C1933" s="1402" t="s">
        <v>8073</v>
      </c>
      <c r="D1933" s="1403" t="s">
        <v>7811</v>
      </c>
      <c r="E1933" s="1404" t="s">
        <v>7836</v>
      </c>
      <c r="F1933" s="1405" t="s">
        <v>13210</v>
      </c>
      <c r="G1933" s="1403" t="s">
        <v>14359</v>
      </c>
      <c r="H1933" s="1406" t="s">
        <v>1025</v>
      </c>
    </row>
    <row r="1934" spans="1:8" x14ac:dyDescent="0.2">
      <c r="A1934" s="7"/>
      <c r="B1934" s="1407" t="str">
        <f t="shared" si="30"/>
        <v>Nikolaos Kostantakopoulos</v>
      </c>
      <c r="C1934" s="1402" t="s">
        <v>8074</v>
      </c>
      <c r="D1934" s="1403" t="s">
        <v>5554</v>
      </c>
      <c r="E1934" s="1404" t="s">
        <v>8408</v>
      </c>
      <c r="F1934" s="1405" t="s">
        <v>5300</v>
      </c>
      <c r="G1934" s="1403" t="s">
        <v>14359</v>
      </c>
      <c r="H1934" s="1406" t="s">
        <v>1025</v>
      </c>
    </row>
    <row r="1935" spans="1:8" x14ac:dyDescent="0.2">
      <c r="A1935" s="7"/>
      <c r="B1935" s="1407" t="str">
        <f t="shared" si="30"/>
        <v>Michail Papatzimas</v>
      </c>
      <c r="C1935" s="1402" t="s">
        <v>8075</v>
      </c>
      <c r="D1935" s="1403" t="s">
        <v>8248</v>
      </c>
      <c r="E1935" s="1404" t="s">
        <v>8409</v>
      </c>
      <c r="F1935" s="1405" t="s">
        <v>5299</v>
      </c>
      <c r="G1935" s="1403" t="s">
        <v>14359</v>
      </c>
      <c r="H1935" s="1406" t="s">
        <v>1025</v>
      </c>
    </row>
    <row r="1936" spans="1:8" x14ac:dyDescent="0.2">
      <c r="A1936" s="7"/>
      <c r="B1936" s="1407" t="str">
        <f t="shared" si="30"/>
        <v>Evangelos Michopoulos</v>
      </c>
      <c r="C1936" s="1402" t="s">
        <v>8076</v>
      </c>
      <c r="D1936" s="1403" t="s">
        <v>3709</v>
      </c>
      <c r="E1936" s="1404" t="s">
        <v>8410</v>
      </c>
      <c r="F1936" s="1405" t="s">
        <v>5299</v>
      </c>
      <c r="G1936" s="1403" t="s">
        <v>14359</v>
      </c>
      <c r="H1936" s="1406" t="s">
        <v>1025</v>
      </c>
    </row>
    <row r="1937" spans="1:8" x14ac:dyDescent="0.2">
      <c r="A1937" s="7"/>
      <c r="B1937" s="1407" t="str">
        <f t="shared" si="30"/>
        <v>Ioannis Mpougiouris</v>
      </c>
      <c r="C1937" s="1402" t="s">
        <v>8077</v>
      </c>
      <c r="D1937" s="1403" t="s">
        <v>3350</v>
      </c>
      <c r="E1937" s="1404" t="s">
        <v>8411</v>
      </c>
      <c r="F1937" s="1405" t="s">
        <v>5300</v>
      </c>
      <c r="G1937" s="1403" t="s">
        <v>13590</v>
      </c>
      <c r="H1937" s="1406" t="s">
        <v>1025</v>
      </c>
    </row>
    <row r="1938" spans="1:8" x14ac:dyDescent="0.2">
      <c r="A1938" s="7"/>
      <c r="B1938" s="1407" t="str">
        <f t="shared" si="30"/>
        <v>Georgios Rogas</v>
      </c>
      <c r="C1938" s="1402" t="s">
        <v>8078</v>
      </c>
      <c r="D1938" s="1403" t="s">
        <v>3324</v>
      </c>
      <c r="E1938" s="1404" t="s">
        <v>8412</v>
      </c>
      <c r="F1938" s="1405" t="s">
        <v>5299</v>
      </c>
      <c r="G1938" s="1403" t="s">
        <v>14359</v>
      </c>
      <c r="H1938" s="1406" t="s">
        <v>1025</v>
      </c>
    </row>
    <row r="1939" spans="1:8" x14ac:dyDescent="0.2">
      <c r="A1939" s="7"/>
      <c r="B1939" s="1407" t="str">
        <f t="shared" si="30"/>
        <v>Dimitrios Maragopoulos</v>
      </c>
      <c r="C1939" s="1402" t="s">
        <v>8079</v>
      </c>
      <c r="D1939" s="1403" t="s">
        <v>5644</v>
      </c>
      <c r="E1939" s="1404" t="s">
        <v>8413</v>
      </c>
      <c r="F1939" s="1405" t="s">
        <v>5299</v>
      </c>
      <c r="G1939" s="1403" t="s">
        <v>14359</v>
      </c>
      <c r="H1939" s="1406" t="s">
        <v>1025</v>
      </c>
    </row>
    <row r="1940" spans="1:8" x14ac:dyDescent="0.2">
      <c r="A1940" s="7"/>
      <c r="B1940" s="1407" t="str">
        <f t="shared" si="30"/>
        <v>Alexandros Petropoulos</v>
      </c>
      <c r="C1940" s="1402" t="s">
        <v>6135</v>
      </c>
      <c r="D1940" s="1403" t="s">
        <v>3582</v>
      </c>
      <c r="E1940" s="1404" t="s">
        <v>8414</v>
      </c>
      <c r="F1940" s="1405" t="s">
        <v>5299</v>
      </c>
      <c r="G1940" s="1403" t="s">
        <v>14359</v>
      </c>
      <c r="H1940" s="1406" t="s">
        <v>1025</v>
      </c>
    </row>
    <row r="1941" spans="1:8" x14ac:dyDescent="0.2">
      <c r="A1941" s="7"/>
      <c r="B1941" s="1407" t="str">
        <f t="shared" si="30"/>
        <v>Pavlos Malindretos</v>
      </c>
      <c r="C1941" s="1402" t="s">
        <v>8080</v>
      </c>
      <c r="D1941" s="1403" t="s">
        <v>5654</v>
      </c>
      <c r="E1941" s="1404" t="s">
        <v>8415</v>
      </c>
      <c r="F1941" s="1405" t="s">
        <v>5299</v>
      </c>
      <c r="G1941" s="1403" t="s">
        <v>3213</v>
      </c>
      <c r="H1941" s="1406" t="s">
        <v>1025</v>
      </c>
    </row>
    <row r="1942" spans="1:8" x14ac:dyDescent="0.2">
      <c r="A1942" s="7"/>
      <c r="B1942" s="1407" t="str">
        <f t="shared" si="30"/>
        <v>Nikolaos Misiros</v>
      </c>
      <c r="C1942" s="1402" t="s">
        <v>8081</v>
      </c>
      <c r="D1942" s="1403" t="s">
        <v>5554</v>
      </c>
      <c r="E1942" s="1404" t="s">
        <v>8416</v>
      </c>
      <c r="F1942" s="1405" t="s">
        <v>5299</v>
      </c>
      <c r="G1942" s="1403" t="s">
        <v>14359</v>
      </c>
      <c r="H1942" s="1406" t="s">
        <v>1025</v>
      </c>
    </row>
    <row r="1943" spans="1:8" x14ac:dyDescent="0.2">
      <c r="A1943" s="7"/>
      <c r="B1943" s="1407" t="str">
        <f t="shared" si="30"/>
        <v>Rafail Kalogerakos</v>
      </c>
      <c r="C1943" s="1402" t="s">
        <v>7793</v>
      </c>
      <c r="D1943" s="1403" t="s">
        <v>8264</v>
      </c>
      <c r="E1943" s="1404" t="s">
        <v>8417</v>
      </c>
      <c r="F1943" s="1405" t="s">
        <v>13210</v>
      </c>
      <c r="G1943" s="1403" t="s">
        <v>3213</v>
      </c>
      <c r="H1943" s="1406" t="s">
        <v>1025</v>
      </c>
    </row>
    <row r="1944" spans="1:8" x14ac:dyDescent="0.2">
      <c r="A1944" s="7"/>
      <c r="B1944" s="1407" t="str">
        <f t="shared" si="30"/>
        <v>Georgios Koffas</v>
      </c>
      <c r="C1944" s="1402" t="s">
        <v>8082</v>
      </c>
      <c r="D1944" s="1403" t="s">
        <v>3324</v>
      </c>
      <c r="E1944" s="1404" t="s">
        <v>8418</v>
      </c>
      <c r="F1944" s="1405" t="s">
        <v>13210</v>
      </c>
      <c r="G1944" s="1403" t="s">
        <v>14359</v>
      </c>
      <c r="H1944" s="1406" t="s">
        <v>1025</v>
      </c>
    </row>
    <row r="1945" spans="1:8" x14ac:dyDescent="0.2">
      <c r="A1945" s="7"/>
      <c r="B1945" s="1407" t="str">
        <f t="shared" si="30"/>
        <v>Emmanouil Skourtsos</v>
      </c>
      <c r="C1945" s="1402" t="s">
        <v>8083</v>
      </c>
      <c r="D1945" s="1403" t="s">
        <v>6991</v>
      </c>
      <c r="E1945" s="1404" t="s">
        <v>8419</v>
      </c>
      <c r="F1945" s="1405" t="s">
        <v>5300</v>
      </c>
      <c r="G1945" s="1403" t="s">
        <v>2760</v>
      </c>
      <c r="H1945" s="1406" t="s">
        <v>1025</v>
      </c>
    </row>
    <row r="1946" spans="1:8" x14ac:dyDescent="0.2">
      <c r="A1946" s="7"/>
      <c r="B1946" s="1407" t="str">
        <f t="shared" si="30"/>
        <v>Nikolaos Skordas</v>
      </c>
      <c r="C1946" s="1402" t="s">
        <v>8084</v>
      </c>
      <c r="D1946" s="1403" t="s">
        <v>5554</v>
      </c>
      <c r="E1946" s="1404" t="s">
        <v>8420</v>
      </c>
      <c r="F1946" s="1405" t="s">
        <v>5299</v>
      </c>
      <c r="G1946" s="1403" t="s">
        <v>15175</v>
      </c>
      <c r="H1946" s="1406" t="s">
        <v>1025</v>
      </c>
    </row>
    <row r="1947" spans="1:8" x14ac:dyDescent="0.2">
      <c r="A1947" s="7"/>
      <c r="B1947" s="1407" t="str">
        <f t="shared" si="30"/>
        <v>Georgios Palaitsakis</v>
      </c>
      <c r="C1947" s="1402" t="s">
        <v>8085</v>
      </c>
      <c r="D1947" s="1403" t="s">
        <v>3324</v>
      </c>
      <c r="E1947" s="1404" t="s">
        <v>8421</v>
      </c>
      <c r="F1947" s="1405" t="s">
        <v>5299</v>
      </c>
      <c r="G1947" s="1403" t="s">
        <v>14359</v>
      </c>
      <c r="H1947" s="1406" t="s">
        <v>1025</v>
      </c>
    </row>
    <row r="1948" spans="1:8" x14ac:dyDescent="0.2">
      <c r="A1948" s="7"/>
      <c r="B1948" s="1407" t="str">
        <f t="shared" si="30"/>
        <v>Dimitra Fotiadou</v>
      </c>
      <c r="C1948" s="1402" t="s">
        <v>8086</v>
      </c>
      <c r="D1948" s="1403" t="s">
        <v>6987</v>
      </c>
      <c r="E1948" s="1404" t="s">
        <v>8422</v>
      </c>
      <c r="F1948" s="1405" t="s">
        <v>5299</v>
      </c>
      <c r="G1948" s="1403" t="s">
        <v>14359</v>
      </c>
      <c r="H1948" s="1406" t="s">
        <v>1025</v>
      </c>
    </row>
    <row r="1949" spans="1:8" x14ac:dyDescent="0.2">
      <c r="A1949" s="7"/>
      <c r="B1949" s="1407" t="str">
        <f t="shared" si="30"/>
        <v>Anastasia Kantarakis</v>
      </c>
      <c r="C1949" s="1402" t="s">
        <v>7676</v>
      </c>
      <c r="D1949" s="1403" t="s">
        <v>8253</v>
      </c>
      <c r="E1949" s="1404" t="s">
        <v>8423</v>
      </c>
      <c r="F1949" s="1405" t="s">
        <v>5299</v>
      </c>
      <c r="G1949" s="1403" t="s">
        <v>14359</v>
      </c>
      <c r="H1949" s="1406" t="s">
        <v>1025</v>
      </c>
    </row>
    <row r="1950" spans="1:8" x14ac:dyDescent="0.2">
      <c r="A1950" s="7"/>
      <c r="B1950" s="1407" t="str">
        <f t="shared" si="30"/>
        <v>Stamatios Kantarakis</v>
      </c>
      <c r="C1950" s="1402" t="s">
        <v>7676</v>
      </c>
      <c r="D1950" s="1403" t="s">
        <v>8275</v>
      </c>
      <c r="E1950" s="1404" t="s">
        <v>8424</v>
      </c>
      <c r="F1950" s="1405" t="s">
        <v>13210</v>
      </c>
      <c r="G1950" s="1403" t="s">
        <v>14359</v>
      </c>
      <c r="H1950" s="1406" t="s">
        <v>1025</v>
      </c>
    </row>
    <row r="1951" spans="1:8" x14ac:dyDescent="0.2">
      <c r="A1951" s="7"/>
      <c r="B1951" s="1407" t="str">
        <f t="shared" si="30"/>
        <v>Sotirios Koutoulas</v>
      </c>
      <c r="C1951" s="1402" t="s">
        <v>8087</v>
      </c>
      <c r="D1951" s="1403" t="s">
        <v>8273</v>
      </c>
      <c r="E1951" s="1404" t="s">
        <v>8425</v>
      </c>
      <c r="F1951" s="1405" t="s">
        <v>13210</v>
      </c>
      <c r="G1951" s="1403" t="s">
        <v>14359</v>
      </c>
      <c r="H1951" s="1406" t="s">
        <v>1025</v>
      </c>
    </row>
    <row r="1952" spans="1:8" x14ac:dyDescent="0.2">
      <c r="A1952" s="7"/>
      <c r="B1952" s="1407" t="str">
        <f t="shared" si="30"/>
        <v>Panagiotis Lavrakis</v>
      </c>
      <c r="C1952" s="1402" t="s">
        <v>8088</v>
      </c>
      <c r="D1952" s="1403" t="s">
        <v>3249</v>
      </c>
      <c r="E1952" s="1404" t="s">
        <v>8426</v>
      </c>
      <c r="F1952" s="1405" t="s">
        <v>5300</v>
      </c>
      <c r="G1952" s="1403" t="s">
        <v>9449</v>
      </c>
      <c r="H1952" s="1406" t="s">
        <v>1025</v>
      </c>
    </row>
    <row r="1953" spans="1:8" x14ac:dyDescent="0.2">
      <c r="A1953" s="7"/>
      <c r="B1953" s="1407" t="str">
        <f t="shared" si="30"/>
        <v>Nikolaos Klironomos</v>
      </c>
      <c r="C1953" s="1402" t="s">
        <v>8089</v>
      </c>
      <c r="D1953" s="1403" t="s">
        <v>5554</v>
      </c>
      <c r="E1953" s="1404" t="s">
        <v>8427</v>
      </c>
      <c r="F1953" s="1405" t="s">
        <v>5299</v>
      </c>
      <c r="G1953" s="1403" t="s">
        <v>14359</v>
      </c>
      <c r="H1953" s="1406" t="s">
        <v>1025</v>
      </c>
    </row>
    <row r="1954" spans="1:8" x14ac:dyDescent="0.2">
      <c r="A1954" s="7"/>
      <c r="B1954" s="1407" t="str">
        <f t="shared" si="30"/>
        <v>Nikos Psomiadis</v>
      </c>
      <c r="C1954" s="1402" t="s">
        <v>8090</v>
      </c>
      <c r="D1954" s="1403" t="s">
        <v>13294</v>
      </c>
      <c r="E1954" s="1404" t="s">
        <v>8428</v>
      </c>
      <c r="F1954" s="1405" t="s">
        <v>5300</v>
      </c>
      <c r="G1954" s="1403" t="s">
        <v>13590</v>
      </c>
      <c r="H1954" s="1406" t="s">
        <v>1025</v>
      </c>
    </row>
    <row r="1955" spans="1:8" x14ac:dyDescent="0.2">
      <c r="A1955" s="7"/>
      <c r="B1955" s="1407" t="str">
        <f t="shared" si="30"/>
        <v>Nikolas (07) Psomiadis</v>
      </c>
      <c r="C1955" s="1402" t="s">
        <v>8090</v>
      </c>
      <c r="D1955" s="1403" t="s">
        <v>16087</v>
      </c>
      <c r="E1955" s="1404" t="s">
        <v>8429</v>
      </c>
      <c r="F1955" s="1405" t="s">
        <v>13210</v>
      </c>
      <c r="G1955" s="1403" t="s">
        <v>13590</v>
      </c>
      <c r="H1955" s="1406" t="s">
        <v>1025</v>
      </c>
    </row>
    <row r="1956" spans="1:8" x14ac:dyDescent="0.2">
      <c r="A1956" s="7"/>
      <c r="B1956" s="1407" t="str">
        <f t="shared" si="30"/>
        <v>Konstantinos Meleas</v>
      </c>
      <c r="C1956" s="1402" t="s">
        <v>8091</v>
      </c>
      <c r="D1956" s="1403" t="s">
        <v>6986</v>
      </c>
      <c r="E1956" s="1404" t="s">
        <v>8430</v>
      </c>
      <c r="F1956" s="1405" t="s">
        <v>5300</v>
      </c>
      <c r="G1956" s="1403" t="s">
        <v>13590</v>
      </c>
      <c r="H1956" s="1406" t="s">
        <v>1025</v>
      </c>
    </row>
    <row r="1957" spans="1:8" x14ac:dyDescent="0.2">
      <c r="A1957" s="7"/>
      <c r="B1957" s="1407" t="str">
        <f t="shared" si="30"/>
        <v>Nikolaos Gkiotlis</v>
      </c>
      <c r="C1957" s="1402" t="s">
        <v>8092</v>
      </c>
      <c r="D1957" s="1403" t="s">
        <v>5554</v>
      </c>
      <c r="E1957" s="1404" t="s">
        <v>8431</v>
      </c>
      <c r="F1957" s="1405" t="s">
        <v>5300</v>
      </c>
      <c r="G1957" s="1403" t="s">
        <v>10265</v>
      </c>
      <c r="H1957" s="1406" t="s">
        <v>1025</v>
      </c>
    </row>
    <row r="1958" spans="1:8" x14ac:dyDescent="0.2">
      <c r="A1958" s="7"/>
      <c r="B1958" s="1407" t="str">
        <f t="shared" si="30"/>
        <v>Dimitrios Karpouzos</v>
      </c>
      <c r="C1958" s="1402" t="s">
        <v>8093</v>
      </c>
      <c r="D1958" s="1403" t="s">
        <v>5644</v>
      </c>
      <c r="E1958" s="1404" t="s">
        <v>8432</v>
      </c>
      <c r="F1958" s="1405" t="s">
        <v>5300</v>
      </c>
      <c r="G1958" s="1403" t="s">
        <v>14359</v>
      </c>
      <c r="H1958" s="1406" t="s">
        <v>1025</v>
      </c>
    </row>
    <row r="1959" spans="1:8" x14ac:dyDescent="0.2">
      <c r="A1959" s="7"/>
      <c r="B1959" s="1407" t="str">
        <f t="shared" si="30"/>
        <v>Victoras Eskitzioglou</v>
      </c>
      <c r="C1959" s="1402" t="s">
        <v>8094</v>
      </c>
      <c r="D1959" s="1403" t="s">
        <v>8276</v>
      </c>
      <c r="E1959" s="1404" t="s">
        <v>8433</v>
      </c>
      <c r="F1959" s="1405" t="s">
        <v>13210</v>
      </c>
      <c r="G1959" s="1403" t="s">
        <v>14359</v>
      </c>
      <c r="H1959" s="1406" t="s">
        <v>1025</v>
      </c>
    </row>
    <row r="1960" spans="1:8" x14ac:dyDescent="0.2">
      <c r="A1960" s="7"/>
      <c r="B1960" s="1407" t="str">
        <f t="shared" si="30"/>
        <v>Erinarhos Eskitzioglou</v>
      </c>
      <c r="C1960" s="1402" t="s">
        <v>8094</v>
      </c>
      <c r="D1960" s="1403" t="s">
        <v>8277</v>
      </c>
      <c r="E1960" s="1404" t="s">
        <v>8434</v>
      </c>
      <c r="F1960" s="1405" t="s">
        <v>13210</v>
      </c>
      <c r="G1960" s="1403" t="s">
        <v>14359</v>
      </c>
      <c r="H1960" s="1406" t="s">
        <v>1025</v>
      </c>
    </row>
    <row r="1961" spans="1:8" x14ac:dyDescent="0.2">
      <c r="A1961" s="7"/>
      <c r="B1961" s="1407" t="str">
        <f t="shared" si="30"/>
        <v>Ioannis Terzidis</v>
      </c>
      <c r="C1961" s="1402" t="s">
        <v>8095</v>
      </c>
      <c r="D1961" s="1403" t="s">
        <v>3350</v>
      </c>
      <c r="E1961" s="1404" t="s">
        <v>8435</v>
      </c>
      <c r="F1961" s="1405" t="s">
        <v>5300</v>
      </c>
      <c r="G1961" s="1403" t="s">
        <v>10264</v>
      </c>
      <c r="H1961" s="1406" t="s">
        <v>1025</v>
      </c>
    </row>
    <row r="1962" spans="1:8" x14ac:dyDescent="0.2">
      <c r="A1962" s="7"/>
      <c r="B1962" s="1407" t="str">
        <f t="shared" si="30"/>
        <v>Panagiotis Manopoulos</v>
      </c>
      <c r="C1962" s="1402" t="s">
        <v>8096</v>
      </c>
      <c r="D1962" s="1403" t="s">
        <v>3249</v>
      </c>
      <c r="E1962" s="1404" t="s">
        <v>8436</v>
      </c>
      <c r="F1962" s="1405" t="s">
        <v>5300</v>
      </c>
      <c r="G1962" s="1403" t="s">
        <v>14359</v>
      </c>
      <c r="H1962" s="1406" t="s">
        <v>1025</v>
      </c>
    </row>
    <row r="1963" spans="1:8" x14ac:dyDescent="0.2">
      <c r="A1963" s="7"/>
      <c r="B1963" s="1407" t="str">
        <f t="shared" si="30"/>
        <v>Constantios Giapoutzis</v>
      </c>
      <c r="C1963" s="1402" t="s">
        <v>8097</v>
      </c>
      <c r="D1963" s="1403" t="s">
        <v>8278</v>
      </c>
      <c r="E1963" s="1404" t="s">
        <v>8437</v>
      </c>
      <c r="F1963" s="1405" t="s">
        <v>5300</v>
      </c>
      <c r="G1963" s="1403" t="s">
        <v>10264</v>
      </c>
      <c r="H1963" s="1406" t="s">
        <v>1025</v>
      </c>
    </row>
    <row r="1964" spans="1:8" x14ac:dyDescent="0.2">
      <c r="A1964" s="7"/>
      <c r="B1964" s="1407" t="str">
        <f t="shared" si="30"/>
        <v>Pantazis Georgiou</v>
      </c>
      <c r="C1964" s="1402" t="s">
        <v>5877</v>
      </c>
      <c r="D1964" s="1403" t="s">
        <v>8279</v>
      </c>
      <c r="E1964" s="1404" t="s">
        <v>8438</v>
      </c>
      <c r="F1964" s="1405" t="s">
        <v>5300</v>
      </c>
      <c r="G1964" s="1403" t="s">
        <v>14359</v>
      </c>
      <c r="H1964" s="1406" t="s">
        <v>1025</v>
      </c>
    </row>
    <row r="1965" spans="1:8" x14ac:dyDescent="0.2">
      <c r="A1965" s="7"/>
      <c r="B1965" s="1407" t="str">
        <f t="shared" si="30"/>
        <v>Dimitrios Andreadis</v>
      </c>
      <c r="C1965" s="1402" t="s">
        <v>8098</v>
      </c>
      <c r="D1965" s="1403" t="s">
        <v>5644</v>
      </c>
      <c r="E1965" s="1404" t="s">
        <v>8439</v>
      </c>
      <c r="F1965" s="1405" t="s">
        <v>5300</v>
      </c>
      <c r="G1965" s="1403" t="s">
        <v>14359</v>
      </c>
      <c r="H1965" s="1406" t="s">
        <v>1025</v>
      </c>
    </row>
    <row r="1966" spans="1:8" x14ac:dyDescent="0.2">
      <c r="A1966" s="7"/>
      <c r="B1966" s="1407" t="str">
        <f t="shared" si="30"/>
        <v>Ioannis Chatzitheodorou</v>
      </c>
      <c r="C1966" s="1402" t="s">
        <v>8099</v>
      </c>
      <c r="D1966" s="1403" t="s">
        <v>3350</v>
      </c>
      <c r="E1966" s="1404" t="s">
        <v>8440</v>
      </c>
      <c r="F1966" s="1405" t="s">
        <v>5299</v>
      </c>
      <c r="G1966" s="1403" t="s">
        <v>14359</v>
      </c>
      <c r="H1966" s="1406" t="s">
        <v>1025</v>
      </c>
    </row>
    <row r="1967" spans="1:8" x14ac:dyDescent="0.2">
      <c r="A1967" s="7"/>
      <c r="B1967" s="1407" t="str">
        <f t="shared" si="30"/>
        <v>Ilias Mesaikos</v>
      </c>
      <c r="C1967" s="1402" t="s">
        <v>8100</v>
      </c>
      <c r="D1967" s="1403" t="s">
        <v>6978</v>
      </c>
      <c r="E1967" s="1404" t="s">
        <v>8441</v>
      </c>
      <c r="F1967" s="1405" t="s">
        <v>5299</v>
      </c>
      <c r="G1967" s="1403" t="s">
        <v>14359</v>
      </c>
      <c r="H1967" s="1406" t="s">
        <v>1025</v>
      </c>
    </row>
    <row r="1968" spans="1:8" x14ac:dyDescent="0.2">
      <c r="A1968" s="7"/>
      <c r="B1968" s="1407" t="str">
        <f t="shared" si="30"/>
        <v>Iordanis Kanakis</v>
      </c>
      <c r="C1968" s="1402" t="s">
        <v>8101</v>
      </c>
      <c r="D1968" s="1403" t="s">
        <v>5586</v>
      </c>
      <c r="E1968" s="1404" t="s">
        <v>8442</v>
      </c>
      <c r="F1968" s="1405" t="s">
        <v>5299</v>
      </c>
      <c r="G1968" s="1403" t="s">
        <v>14359</v>
      </c>
      <c r="H1968" s="1406" t="s">
        <v>1025</v>
      </c>
    </row>
    <row r="1969" spans="1:8" x14ac:dyDescent="0.2">
      <c r="A1969" s="7"/>
      <c r="B1969" s="1407" t="str">
        <f t="shared" si="30"/>
        <v>Stavros Giapoutzis</v>
      </c>
      <c r="C1969" s="1402" t="s">
        <v>8097</v>
      </c>
      <c r="D1969" s="1403" t="s">
        <v>3336</v>
      </c>
      <c r="E1969" s="1404" t="s">
        <v>8443</v>
      </c>
      <c r="F1969" s="1405" t="s">
        <v>5299</v>
      </c>
      <c r="G1969" s="1403" t="s">
        <v>10264</v>
      </c>
      <c r="H1969" s="1406" t="s">
        <v>1025</v>
      </c>
    </row>
    <row r="1970" spans="1:8" x14ac:dyDescent="0.2">
      <c r="A1970" s="7"/>
      <c r="B1970" s="1407" t="str">
        <f t="shared" si="30"/>
        <v>Dimitrios Pothitos</v>
      </c>
      <c r="C1970" s="1402" t="s">
        <v>8102</v>
      </c>
      <c r="D1970" s="1403" t="s">
        <v>5644</v>
      </c>
      <c r="E1970" s="1404" t="s">
        <v>8444</v>
      </c>
      <c r="F1970" s="1405" t="s">
        <v>5300</v>
      </c>
      <c r="G1970" s="1403" t="s">
        <v>15175</v>
      </c>
      <c r="H1970" s="1406" t="s">
        <v>1025</v>
      </c>
    </row>
    <row r="1971" spans="1:8" x14ac:dyDescent="0.2">
      <c r="A1971" s="7"/>
      <c r="B1971" s="1407" t="str">
        <f t="shared" si="30"/>
        <v>Nikolaos Promponas</v>
      </c>
      <c r="C1971" s="1402" t="s">
        <v>8103</v>
      </c>
      <c r="D1971" s="1403" t="s">
        <v>5554</v>
      </c>
      <c r="E1971" s="1404" t="s">
        <v>8445</v>
      </c>
      <c r="F1971" s="1405" t="s">
        <v>5300</v>
      </c>
      <c r="G1971" s="1403" t="s">
        <v>9449</v>
      </c>
      <c r="H1971" s="1406" t="s">
        <v>1025</v>
      </c>
    </row>
    <row r="1972" spans="1:8" x14ac:dyDescent="0.2">
      <c r="A1972" s="7"/>
      <c r="B1972" s="1407" t="str">
        <f t="shared" si="30"/>
        <v>Georgia Stamatiou</v>
      </c>
      <c r="C1972" s="1402" t="s">
        <v>8104</v>
      </c>
      <c r="D1972" s="1403" t="s">
        <v>8280</v>
      </c>
      <c r="E1972" s="1404" t="s">
        <v>8446</v>
      </c>
      <c r="F1972" s="1405" t="s">
        <v>5299</v>
      </c>
      <c r="G1972" s="1403" t="s">
        <v>14359</v>
      </c>
      <c r="H1972" s="1406" t="s">
        <v>1025</v>
      </c>
    </row>
    <row r="1973" spans="1:8" x14ac:dyDescent="0.2">
      <c r="A1973" s="7"/>
      <c r="B1973" s="1407" t="str">
        <f t="shared" si="30"/>
        <v>Michail Papaioannou</v>
      </c>
      <c r="C1973" s="1402" t="s">
        <v>7408</v>
      </c>
      <c r="D1973" s="1403" t="s">
        <v>8248</v>
      </c>
      <c r="E1973" s="1404" t="s">
        <v>8447</v>
      </c>
      <c r="F1973" s="1405" t="s">
        <v>5299</v>
      </c>
      <c r="G1973" s="1403" t="s">
        <v>14359</v>
      </c>
      <c r="H1973" s="1406" t="s">
        <v>1025</v>
      </c>
    </row>
    <row r="1974" spans="1:8" x14ac:dyDescent="0.2">
      <c r="A1974" s="7"/>
      <c r="B1974" s="1407" t="str">
        <f t="shared" si="30"/>
        <v>Philippos Papidakis</v>
      </c>
      <c r="C1974" s="1402" t="s">
        <v>7407</v>
      </c>
      <c r="D1974" s="1403" t="s">
        <v>7470</v>
      </c>
      <c r="E1974" s="1404" t="s">
        <v>8448</v>
      </c>
      <c r="F1974" s="1405" t="s">
        <v>13210</v>
      </c>
      <c r="G1974" s="1403" t="s">
        <v>5309</v>
      </c>
      <c r="H1974" s="1406" t="s">
        <v>1025</v>
      </c>
    </row>
    <row r="1975" spans="1:8" x14ac:dyDescent="0.2">
      <c r="A1975" s="7"/>
      <c r="B1975" s="1407" t="str">
        <f t="shared" si="30"/>
        <v>Charilaos Chasoulidis</v>
      </c>
      <c r="C1975" s="1402" t="s">
        <v>8105</v>
      </c>
      <c r="D1975" s="1403" t="s">
        <v>8281</v>
      </c>
      <c r="E1975" s="1404" t="s">
        <v>8449</v>
      </c>
      <c r="F1975" s="1405" t="s">
        <v>5300</v>
      </c>
      <c r="G1975" s="1403" t="s">
        <v>14359</v>
      </c>
      <c r="H1975" s="1406" t="s">
        <v>1025</v>
      </c>
    </row>
    <row r="1976" spans="1:8" x14ac:dyDescent="0.2">
      <c r="A1976" s="7"/>
      <c r="B1976" s="1407" t="str">
        <f t="shared" si="30"/>
        <v>Vaggelis Plianthidis</v>
      </c>
      <c r="C1976" s="1402" t="s">
        <v>8106</v>
      </c>
      <c r="D1976" s="1403" t="s">
        <v>3542</v>
      </c>
      <c r="E1976" s="1404" t="s">
        <v>8450</v>
      </c>
      <c r="F1976" s="1405" t="s">
        <v>5299</v>
      </c>
      <c r="G1976" s="1403" t="s">
        <v>14359</v>
      </c>
      <c r="H1976" s="1406" t="s">
        <v>1025</v>
      </c>
    </row>
    <row r="1977" spans="1:8" x14ac:dyDescent="0.2">
      <c r="A1977" s="7"/>
      <c r="B1977" s="1407" t="str">
        <f t="shared" si="30"/>
        <v>Kyriakos Plianthidis</v>
      </c>
      <c r="C1977" s="1402" t="s">
        <v>8106</v>
      </c>
      <c r="D1977" s="1403" t="s">
        <v>8259</v>
      </c>
      <c r="E1977" s="1404" t="s">
        <v>8451</v>
      </c>
      <c r="F1977" s="1405" t="s">
        <v>5299</v>
      </c>
      <c r="G1977" s="1403" t="s">
        <v>14359</v>
      </c>
      <c r="H1977" s="1406" t="s">
        <v>1025</v>
      </c>
    </row>
    <row r="1978" spans="1:8" x14ac:dyDescent="0.2">
      <c r="A1978" s="7"/>
      <c r="B1978" s="1407" t="str">
        <f t="shared" si="30"/>
        <v>Georgios Nidriotis</v>
      </c>
      <c r="C1978" s="1402" t="s">
        <v>8107</v>
      </c>
      <c r="D1978" s="1403" t="s">
        <v>3324</v>
      </c>
      <c r="E1978" s="1404" t="s">
        <v>8452</v>
      </c>
      <c r="F1978" s="1405" t="s">
        <v>5299</v>
      </c>
      <c r="G1978" s="1403" t="s">
        <v>14359</v>
      </c>
      <c r="H1978" s="1406" t="s">
        <v>1025</v>
      </c>
    </row>
    <row r="1979" spans="1:8" x14ac:dyDescent="0.2">
      <c r="A1979" s="7"/>
      <c r="B1979" s="1407" t="str">
        <f t="shared" si="30"/>
        <v>Dimitrios Nidriotis</v>
      </c>
      <c r="C1979" s="1402" t="s">
        <v>8107</v>
      </c>
      <c r="D1979" s="1403" t="s">
        <v>5644</v>
      </c>
      <c r="E1979" s="1404" t="s">
        <v>8453</v>
      </c>
      <c r="F1979" s="1405" t="s">
        <v>5299</v>
      </c>
      <c r="G1979" s="1403" t="s">
        <v>14359</v>
      </c>
      <c r="H1979" s="1406" t="s">
        <v>1025</v>
      </c>
    </row>
    <row r="1980" spans="1:8" x14ac:dyDescent="0.2">
      <c r="A1980" s="7"/>
      <c r="B1980" s="1407" t="str">
        <f t="shared" si="30"/>
        <v>Aristidis Hliaoutakis</v>
      </c>
      <c r="C1980" s="1402" t="s">
        <v>8108</v>
      </c>
      <c r="D1980" s="1403" t="s">
        <v>8282</v>
      </c>
      <c r="E1980" s="1404" t="s">
        <v>8454</v>
      </c>
      <c r="F1980" s="1405" t="s">
        <v>5299</v>
      </c>
      <c r="G1980" s="1403" t="s">
        <v>14359</v>
      </c>
      <c r="H1980" s="1406" t="s">
        <v>1025</v>
      </c>
    </row>
    <row r="1981" spans="1:8" x14ac:dyDescent="0.2">
      <c r="A1981" s="7"/>
      <c r="B1981" s="1407" t="str">
        <f t="shared" si="30"/>
        <v>Panagiotis Pashos</v>
      </c>
      <c r="C1981" s="1402" t="s">
        <v>8109</v>
      </c>
      <c r="D1981" s="1403" t="s">
        <v>3249</v>
      </c>
      <c r="E1981" s="1404" t="s">
        <v>8455</v>
      </c>
      <c r="F1981" s="1405" t="s">
        <v>5299</v>
      </c>
      <c r="G1981" s="1403" t="s">
        <v>14359</v>
      </c>
      <c r="H1981" s="1406" t="s">
        <v>1025</v>
      </c>
    </row>
    <row r="1982" spans="1:8" x14ac:dyDescent="0.2">
      <c r="A1982" s="7"/>
      <c r="B1982" s="1407" t="str">
        <f t="shared" si="30"/>
        <v>Kyriaki Malousidou</v>
      </c>
      <c r="C1982" s="1402" t="s">
        <v>8110</v>
      </c>
      <c r="D1982" s="1403" t="s">
        <v>8283</v>
      </c>
      <c r="E1982" s="1404" t="s">
        <v>8456</v>
      </c>
      <c r="F1982" s="1405" t="s">
        <v>5299</v>
      </c>
      <c r="G1982" s="1403" t="s">
        <v>14359</v>
      </c>
      <c r="H1982" s="1406" t="s">
        <v>1025</v>
      </c>
    </row>
    <row r="1983" spans="1:8" x14ac:dyDescent="0.2">
      <c r="A1983" s="7"/>
      <c r="B1983" s="1407" t="str">
        <f t="shared" si="30"/>
        <v>Apostolis Markantonis</v>
      </c>
      <c r="C1983" s="1402" t="s">
        <v>8111</v>
      </c>
      <c r="D1983" s="1403" t="s">
        <v>6966</v>
      </c>
      <c r="E1983" s="1404" t="s">
        <v>8457</v>
      </c>
      <c r="F1983" s="1405" t="s">
        <v>5299</v>
      </c>
      <c r="G1983" s="1403" t="s">
        <v>14359</v>
      </c>
      <c r="H1983" s="1406" t="s">
        <v>1025</v>
      </c>
    </row>
    <row r="1984" spans="1:8" x14ac:dyDescent="0.2">
      <c r="A1984" s="7"/>
      <c r="B1984" s="1407" t="str">
        <f t="shared" si="30"/>
        <v>Nikolaos Mantzouranis</v>
      </c>
      <c r="C1984" s="1402" t="s">
        <v>8112</v>
      </c>
      <c r="D1984" s="1403" t="s">
        <v>5554</v>
      </c>
      <c r="E1984" s="1404" t="s">
        <v>8458</v>
      </c>
      <c r="F1984" s="1405" t="s">
        <v>5299</v>
      </c>
      <c r="G1984" s="1403" t="s">
        <v>14359</v>
      </c>
      <c r="H1984" s="1406" t="s">
        <v>1025</v>
      </c>
    </row>
    <row r="1985" spans="1:8" x14ac:dyDescent="0.2">
      <c r="A1985" s="7"/>
      <c r="B1985" s="1407" t="str">
        <f t="shared" si="30"/>
        <v>Evangelos Papadopoulos</v>
      </c>
      <c r="C1985" s="1402" t="s">
        <v>6154</v>
      </c>
      <c r="D1985" s="1403" t="s">
        <v>3709</v>
      </c>
      <c r="E1985" s="1404" t="s">
        <v>8459</v>
      </c>
      <c r="F1985" s="1405" t="s">
        <v>5299</v>
      </c>
      <c r="G1985" s="1403" t="s">
        <v>14359</v>
      </c>
      <c r="H1985" s="1406" t="s">
        <v>1025</v>
      </c>
    </row>
    <row r="1986" spans="1:8" x14ac:dyDescent="0.2">
      <c r="A1986" s="7"/>
      <c r="B1986" s="1407" t="str">
        <f t="shared" si="30"/>
        <v>Nikitas Apatzis</v>
      </c>
      <c r="C1986" s="1402" t="s">
        <v>8113</v>
      </c>
      <c r="D1986" s="1403" t="s">
        <v>6925</v>
      </c>
      <c r="E1986" s="1404" t="s">
        <v>8460</v>
      </c>
      <c r="F1986" s="1405" t="s">
        <v>13210</v>
      </c>
      <c r="G1986" s="1403" t="s">
        <v>13590</v>
      </c>
      <c r="H1986" s="1406" t="s">
        <v>1025</v>
      </c>
    </row>
    <row r="1987" spans="1:8" x14ac:dyDescent="0.2">
      <c r="A1987" s="7"/>
      <c r="B1987" s="1407" t="str">
        <f t="shared" si="30"/>
        <v>Alexandros Apatzis</v>
      </c>
      <c r="C1987" s="1402" t="s">
        <v>8113</v>
      </c>
      <c r="D1987" s="1403" t="s">
        <v>3582</v>
      </c>
      <c r="E1987" s="1404" t="s">
        <v>8461</v>
      </c>
      <c r="F1987" s="1405" t="s">
        <v>5300</v>
      </c>
      <c r="G1987" s="1403" t="s">
        <v>13590</v>
      </c>
      <c r="H1987" s="1406" t="s">
        <v>1025</v>
      </c>
    </row>
    <row r="1988" spans="1:8" x14ac:dyDescent="0.2">
      <c r="A1988" s="7"/>
      <c r="B1988" s="1407" t="str">
        <f t="shared" si="30"/>
        <v>Stylianos Stratakis</v>
      </c>
      <c r="C1988" s="1402" t="s">
        <v>8114</v>
      </c>
      <c r="D1988" s="1403" t="s">
        <v>8284</v>
      </c>
      <c r="E1988" s="1404" t="s">
        <v>8462</v>
      </c>
      <c r="F1988" s="1405" t="s">
        <v>5299</v>
      </c>
      <c r="G1988" s="1403" t="s">
        <v>14359</v>
      </c>
      <c r="H1988" s="1406" t="s">
        <v>1025</v>
      </c>
    </row>
    <row r="1989" spans="1:8" x14ac:dyDescent="0.2">
      <c r="A1989" s="7"/>
      <c r="B1989" s="1407" t="str">
        <f t="shared" si="30"/>
        <v>Dimitrios Kolydakis</v>
      </c>
      <c r="C1989" s="1402" t="s">
        <v>8115</v>
      </c>
      <c r="D1989" s="1403" t="s">
        <v>5644</v>
      </c>
      <c r="E1989" s="1404" t="s">
        <v>8463</v>
      </c>
      <c r="F1989" s="1405" t="s">
        <v>5299</v>
      </c>
      <c r="G1989" s="1403" t="s">
        <v>14359</v>
      </c>
      <c r="H1989" s="1406" t="s">
        <v>1025</v>
      </c>
    </row>
    <row r="1990" spans="1:8" x14ac:dyDescent="0.2">
      <c r="A1990" s="7"/>
      <c r="B1990" s="1407" t="str">
        <f t="shared" si="30"/>
        <v>Ioannis Patedakis</v>
      </c>
      <c r="C1990" s="1402" t="s">
        <v>7674</v>
      </c>
      <c r="D1990" s="1403" t="s">
        <v>3350</v>
      </c>
      <c r="E1990" s="1404" t="s">
        <v>8464</v>
      </c>
      <c r="F1990" s="1405" t="s">
        <v>5299</v>
      </c>
      <c r="G1990" s="1403" t="s">
        <v>14359</v>
      </c>
      <c r="H1990" s="1406" t="s">
        <v>1025</v>
      </c>
    </row>
    <row r="1991" spans="1:8" x14ac:dyDescent="0.2">
      <c r="A1991" s="7"/>
      <c r="B1991" s="1407" t="str">
        <f t="shared" ref="B1991:B2054" si="31">TRIM(CONCATENATE(D1991," ",C1991))</f>
        <v>Michail Mavrikidis</v>
      </c>
      <c r="C1991" s="1402" t="s">
        <v>8116</v>
      </c>
      <c r="D1991" s="1403" t="s">
        <v>8248</v>
      </c>
      <c r="E1991" s="1404" t="s">
        <v>8465</v>
      </c>
      <c r="F1991" s="1405" t="s">
        <v>5299</v>
      </c>
      <c r="G1991" s="1403" t="s">
        <v>14359</v>
      </c>
      <c r="H1991" s="1406" t="s">
        <v>1025</v>
      </c>
    </row>
    <row r="1992" spans="1:8" x14ac:dyDescent="0.2">
      <c r="A1992" s="7"/>
      <c r="B1992" s="1407" t="str">
        <f t="shared" si="31"/>
        <v>Ioannis Chasoulidis</v>
      </c>
      <c r="C1992" s="1402" t="s">
        <v>8105</v>
      </c>
      <c r="D1992" s="1403" t="s">
        <v>3350</v>
      </c>
      <c r="E1992" s="1404" t="s">
        <v>8466</v>
      </c>
      <c r="F1992" s="1405" t="s">
        <v>5299</v>
      </c>
      <c r="G1992" s="1403" t="s">
        <v>14359</v>
      </c>
      <c r="H1992" s="1406" t="s">
        <v>1025</v>
      </c>
    </row>
    <row r="1993" spans="1:8" x14ac:dyDescent="0.2">
      <c r="A1993" s="7"/>
      <c r="B1993" s="1407" t="str">
        <f t="shared" si="31"/>
        <v>Dionysios Roumantzas</v>
      </c>
      <c r="C1993" s="1402" t="s">
        <v>8117</v>
      </c>
      <c r="D1993" s="1403" t="s">
        <v>8257</v>
      </c>
      <c r="E1993" s="1404" t="s">
        <v>8467</v>
      </c>
      <c r="F1993" s="1405" t="s">
        <v>5299</v>
      </c>
      <c r="G1993" s="1403" t="s">
        <v>14359</v>
      </c>
      <c r="H1993" s="1406" t="s">
        <v>1025</v>
      </c>
    </row>
    <row r="1994" spans="1:8" x14ac:dyDescent="0.2">
      <c r="A1994" s="7"/>
      <c r="B1994" s="1407" t="str">
        <f t="shared" si="31"/>
        <v>Panagiotis Patistas</v>
      </c>
      <c r="C1994" s="1402" t="s">
        <v>8118</v>
      </c>
      <c r="D1994" s="1403" t="s">
        <v>3249</v>
      </c>
      <c r="E1994" s="1404" t="s">
        <v>8468</v>
      </c>
      <c r="F1994" s="1405" t="s">
        <v>5300</v>
      </c>
      <c r="G1994" s="1403" t="s">
        <v>13590</v>
      </c>
      <c r="H1994" s="1406" t="s">
        <v>1025</v>
      </c>
    </row>
    <row r="1995" spans="1:8" x14ac:dyDescent="0.2">
      <c r="A1995" s="7"/>
      <c r="B1995" s="1407" t="str">
        <f t="shared" si="31"/>
        <v>Achilleas Patistas</v>
      </c>
      <c r="C1995" s="1402" t="s">
        <v>8118</v>
      </c>
      <c r="D1995" s="1403" t="s">
        <v>8245</v>
      </c>
      <c r="E1995" s="1404" t="s">
        <v>8469</v>
      </c>
      <c r="F1995" s="1405" t="s">
        <v>13210</v>
      </c>
      <c r="G1995" s="1403" t="s">
        <v>13590</v>
      </c>
      <c r="H1995" s="1406" t="s">
        <v>1025</v>
      </c>
    </row>
    <row r="1996" spans="1:8" x14ac:dyDescent="0.2">
      <c r="A1996" s="7"/>
      <c r="B1996" s="1407" t="str">
        <f t="shared" si="31"/>
        <v>Athanasios Kalakos</v>
      </c>
      <c r="C1996" s="1402" t="s">
        <v>8119</v>
      </c>
      <c r="D1996" s="1403" t="s">
        <v>3472</v>
      </c>
      <c r="E1996" s="1404" t="s">
        <v>8470</v>
      </c>
      <c r="F1996" s="1405" t="s">
        <v>5300</v>
      </c>
      <c r="G1996" s="1403" t="s">
        <v>14359</v>
      </c>
      <c r="H1996" s="1406" t="s">
        <v>1025</v>
      </c>
    </row>
    <row r="1997" spans="1:8" x14ac:dyDescent="0.2">
      <c r="A1997" s="7"/>
      <c r="B1997" s="1407" t="str">
        <f t="shared" si="31"/>
        <v>Ioannis Psychopoulos</v>
      </c>
      <c r="C1997" s="1402" t="s">
        <v>8120</v>
      </c>
      <c r="D1997" s="1403" t="s">
        <v>3350</v>
      </c>
      <c r="E1997" s="1404" t="s">
        <v>8471</v>
      </c>
      <c r="F1997" s="1405" t="s">
        <v>5300</v>
      </c>
      <c r="G1997" s="1403" t="s">
        <v>10265</v>
      </c>
      <c r="H1997" s="1406" t="s">
        <v>1025</v>
      </c>
    </row>
    <row r="1998" spans="1:8" x14ac:dyDescent="0.2">
      <c r="A1998" s="7"/>
      <c r="B1998" s="1407" t="str">
        <f t="shared" si="31"/>
        <v>Theodoros Agrios</v>
      </c>
      <c r="C1998" s="1402" t="s">
        <v>8121</v>
      </c>
      <c r="D1998" s="1403" t="s">
        <v>5579</v>
      </c>
      <c r="E1998" s="1404" t="s">
        <v>8472</v>
      </c>
      <c r="F1998" s="1405" t="s">
        <v>5300</v>
      </c>
      <c r="G1998" s="1403" t="s">
        <v>14359</v>
      </c>
      <c r="H1998" s="1406" t="s">
        <v>1025</v>
      </c>
    </row>
    <row r="1999" spans="1:8" x14ac:dyDescent="0.2">
      <c r="A1999" s="7"/>
      <c r="B1999" s="1407" t="str">
        <f t="shared" si="31"/>
        <v>Christos Agrios</v>
      </c>
      <c r="C1999" s="1402" t="s">
        <v>8121</v>
      </c>
      <c r="D1999" s="1403" t="s">
        <v>3135</v>
      </c>
      <c r="E1999" s="1404" t="s">
        <v>8473</v>
      </c>
      <c r="F1999" s="1405" t="s">
        <v>5299</v>
      </c>
      <c r="G1999" s="1403" t="s">
        <v>10264</v>
      </c>
      <c r="H1999" s="1406" t="s">
        <v>1025</v>
      </c>
    </row>
    <row r="2000" spans="1:8" x14ac:dyDescent="0.2">
      <c r="A2000" s="7"/>
      <c r="B2000" s="1407" t="str">
        <f t="shared" si="31"/>
        <v>Ilias Kosovas</v>
      </c>
      <c r="C2000" s="1402" t="s">
        <v>8122</v>
      </c>
      <c r="D2000" s="1403" t="s">
        <v>6978</v>
      </c>
      <c r="E2000" s="1404" t="s">
        <v>8474</v>
      </c>
      <c r="F2000" s="1405" t="s">
        <v>5299</v>
      </c>
      <c r="G2000" s="1403" t="s">
        <v>14359</v>
      </c>
      <c r="H2000" s="1406" t="s">
        <v>1025</v>
      </c>
    </row>
    <row r="2001" spans="1:8" x14ac:dyDescent="0.2">
      <c r="A2001" s="7"/>
      <c r="B2001" s="1407" t="str">
        <f t="shared" si="31"/>
        <v>Petros Kleonakos</v>
      </c>
      <c r="C2001" s="1402" t="s">
        <v>8123</v>
      </c>
      <c r="D2001" s="1403" t="s">
        <v>5635</v>
      </c>
      <c r="E2001" s="1404" t="s">
        <v>8475</v>
      </c>
      <c r="F2001" s="1405" t="s">
        <v>5299</v>
      </c>
      <c r="G2001" s="1403" t="s">
        <v>14359</v>
      </c>
      <c r="H2001" s="1406" t="s">
        <v>1025</v>
      </c>
    </row>
    <row r="2002" spans="1:8" x14ac:dyDescent="0.2">
      <c r="A2002" s="7"/>
      <c r="B2002" s="1407" t="str">
        <f t="shared" si="31"/>
        <v>Konstantinos Machairidis</v>
      </c>
      <c r="C2002" s="1402" t="s">
        <v>8124</v>
      </c>
      <c r="D2002" s="1403" t="s">
        <v>6986</v>
      </c>
      <c r="E2002" s="1404" t="s">
        <v>8476</v>
      </c>
      <c r="F2002" s="1405" t="s">
        <v>5299</v>
      </c>
      <c r="G2002" s="1403" t="s">
        <v>14359</v>
      </c>
      <c r="H2002" s="1406" t="s">
        <v>1025</v>
      </c>
    </row>
    <row r="2003" spans="1:8" x14ac:dyDescent="0.2">
      <c r="A2003" s="7"/>
      <c r="B2003" s="1407" t="str">
        <f t="shared" si="31"/>
        <v>Nikolaos Lazaridis</v>
      </c>
      <c r="C2003" s="1402" t="s">
        <v>7678</v>
      </c>
      <c r="D2003" s="1403" t="s">
        <v>5554</v>
      </c>
      <c r="E2003" s="1404" t="s">
        <v>8477</v>
      </c>
      <c r="F2003" s="1405" t="s">
        <v>5299</v>
      </c>
      <c r="G2003" s="1403" t="s">
        <v>14359</v>
      </c>
      <c r="H2003" s="1406" t="s">
        <v>1025</v>
      </c>
    </row>
    <row r="2004" spans="1:8" x14ac:dyDescent="0.2">
      <c r="A2004" s="7"/>
      <c r="B2004" s="1407" t="str">
        <f t="shared" si="31"/>
        <v>Panagiotis (05) Krommydas</v>
      </c>
      <c r="C2004" s="1402" t="s">
        <v>8029</v>
      </c>
      <c r="D2004" s="1403" t="s">
        <v>15769</v>
      </c>
      <c r="E2004" s="1404" t="s">
        <v>8478</v>
      </c>
      <c r="F2004" s="1405" t="s">
        <v>13210</v>
      </c>
      <c r="G2004" s="1403" t="s">
        <v>14359</v>
      </c>
      <c r="H2004" s="1406" t="s">
        <v>1025</v>
      </c>
    </row>
    <row r="2005" spans="1:8" x14ac:dyDescent="0.2">
      <c r="A2005" s="7"/>
      <c r="B2005" s="1407" t="str">
        <f t="shared" si="31"/>
        <v>Dimitrios Tzanakis</v>
      </c>
      <c r="C2005" s="1402" t="s">
        <v>8125</v>
      </c>
      <c r="D2005" s="1403" t="s">
        <v>5644</v>
      </c>
      <c r="E2005" s="1404" t="s">
        <v>8479</v>
      </c>
      <c r="F2005" s="1405" t="s">
        <v>13211</v>
      </c>
      <c r="G2005" s="1403" t="s">
        <v>14359</v>
      </c>
      <c r="H2005" s="1406" t="s">
        <v>1025</v>
      </c>
    </row>
    <row r="2006" spans="1:8" x14ac:dyDescent="0.2">
      <c r="A2006" s="7"/>
      <c r="B2006" s="1407" t="str">
        <f t="shared" si="31"/>
        <v>Apostolos Kolettis</v>
      </c>
      <c r="C2006" s="1402" t="s">
        <v>8126</v>
      </c>
      <c r="D2006" s="1403" t="s">
        <v>6968</v>
      </c>
      <c r="E2006" s="1404" t="s">
        <v>8480</v>
      </c>
      <c r="F2006" s="1405" t="s">
        <v>13211</v>
      </c>
      <c r="G2006" s="1403" t="s">
        <v>14359</v>
      </c>
      <c r="H2006" s="1406" t="s">
        <v>1025</v>
      </c>
    </row>
    <row r="2007" spans="1:8" x14ac:dyDescent="0.2">
      <c r="A2007" s="7"/>
      <c r="B2007" s="1407" t="str">
        <f t="shared" si="31"/>
        <v>Nikolaos Kaperonis</v>
      </c>
      <c r="C2007" s="1402" t="s">
        <v>6181</v>
      </c>
      <c r="D2007" s="1403" t="s">
        <v>5554</v>
      </c>
      <c r="E2007" s="1404" t="s">
        <v>8481</v>
      </c>
      <c r="F2007" s="1405" t="s">
        <v>13211</v>
      </c>
      <c r="G2007" s="1403" t="s">
        <v>14359</v>
      </c>
      <c r="H2007" s="1406" t="s">
        <v>1025</v>
      </c>
    </row>
    <row r="2008" spans="1:8" x14ac:dyDescent="0.2">
      <c r="A2008" s="7"/>
      <c r="B2008" s="1407" t="str">
        <f t="shared" si="31"/>
        <v>Dimitrios Kaperonis</v>
      </c>
      <c r="C2008" s="1402" t="s">
        <v>6181</v>
      </c>
      <c r="D2008" s="1403" t="s">
        <v>5644</v>
      </c>
      <c r="E2008" s="1404" t="s">
        <v>8482</v>
      </c>
      <c r="F2008" s="1405" t="s">
        <v>13210</v>
      </c>
      <c r="G2008" s="1403" t="s">
        <v>14359</v>
      </c>
      <c r="H2008" s="1406" t="s">
        <v>1025</v>
      </c>
    </row>
    <row r="2009" spans="1:8" x14ac:dyDescent="0.2">
      <c r="A2009" s="7"/>
      <c r="B2009" s="1407" t="str">
        <f t="shared" si="31"/>
        <v>Aggeliki Koletti</v>
      </c>
      <c r="C2009" s="1402" t="s">
        <v>8127</v>
      </c>
      <c r="D2009" s="1403" t="s">
        <v>8285</v>
      </c>
      <c r="E2009" s="1404" t="s">
        <v>8483</v>
      </c>
      <c r="F2009" s="1405" t="s">
        <v>13210</v>
      </c>
      <c r="G2009" s="1403" t="s">
        <v>14359</v>
      </c>
      <c r="H2009" s="1406" t="s">
        <v>1025</v>
      </c>
    </row>
    <row r="2010" spans="1:8" x14ac:dyDescent="0.2">
      <c r="A2010" s="7"/>
      <c r="B2010" s="1407" t="str">
        <f t="shared" si="31"/>
        <v>Theodora Kaloudaki</v>
      </c>
      <c r="C2010" s="1402" t="s">
        <v>8128</v>
      </c>
      <c r="D2010" s="1403" t="s">
        <v>8286</v>
      </c>
      <c r="E2010" s="1404" t="s">
        <v>8484</v>
      </c>
      <c r="F2010" s="1405" t="s">
        <v>5300</v>
      </c>
      <c r="G2010" s="1403" t="s">
        <v>14359</v>
      </c>
      <c r="H2010" s="1406" t="s">
        <v>1025</v>
      </c>
    </row>
    <row r="2011" spans="1:8" x14ac:dyDescent="0.2">
      <c r="A2011" s="7"/>
      <c r="B2011" s="1407" t="str">
        <f t="shared" si="31"/>
        <v>Giota Frantzeskou</v>
      </c>
      <c r="C2011" s="1402" t="s">
        <v>8129</v>
      </c>
      <c r="D2011" s="1403" t="s">
        <v>8287</v>
      </c>
      <c r="E2011" s="1404" t="s">
        <v>8485</v>
      </c>
      <c r="F2011" s="1405" t="s">
        <v>5300</v>
      </c>
      <c r="G2011" s="1403" t="s">
        <v>14359</v>
      </c>
      <c r="H2011" s="1406" t="s">
        <v>1025</v>
      </c>
    </row>
    <row r="2012" spans="1:8" x14ac:dyDescent="0.2">
      <c r="A2012" s="7"/>
      <c r="B2012" s="1407" t="str">
        <f t="shared" si="31"/>
        <v>Maximos Di Maggio</v>
      </c>
      <c r="C2012" s="1402" t="s">
        <v>7405</v>
      </c>
      <c r="D2012" s="1403" t="s">
        <v>7309</v>
      </c>
      <c r="E2012" s="1404" t="s">
        <v>8486</v>
      </c>
      <c r="F2012" s="1405" t="s">
        <v>13211</v>
      </c>
      <c r="G2012" s="1403" t="s">
        <v>9449</v>
      </c>
      <c r="H2012" s="1406" t="s">
        <v>1025</v>
      </c>
    </row>
    <row r="2013" spans="1:8" x14ac:dyDescent="0.2">
      <c r="A2013" s="7"/>
      <c r="B2013" s="1407" t="str">
        <f t="shared" si="31"/>
        <v>Theodos Kolokotronis</v>
      </c>
      <c r="C2013" s="1402" t="s">
        <v>8130</v>
      </c>
      <c r="D2013" s="1403" t="s">
        <v>8288</v>
      </c>
      <c r="E2013" s="1404" t="s">
        <v>8487</v>
      </c>
      <c r="F2013" s="1405" t="s">
        <v>5299</v>
      </c>
      <c r="G2013" s="1403" t="s">
        <v>14359</v>
      </c>
      <c r="H2013" s="1406" t="s">
        <v>1025</v>
      </c>
    </row>
    <row r="2014" spans="1:8" x14ac:dyDescent="0.2">
      <c r="A2014" s="7"/>
      <c r="B2014" s="1407" t="str">
        <f t="shared" si="31"/>
        <v>Panagiotis Tsiakalos</v>
      </c>
      <c r="C2014" s="1402" t="s">
        <v>8131</v>
      </c>
      <c r="D2014" s="1403" t="s">
        <v>3249</v>
      </c>
      <c r="E2014" s="1404" t="s">
        <v>8488</v>
      </c>
      <c r="F2014" s="1405" t="s">
        <v>5299</v>
      </c>
      <c r="G2014" s="1403" t="s">
        <v>2760</v>
      </c>
      <c r="H2014" s="1406" t="s">
        <v>1025</v>
      </c>
    </row>
    <row r="2015" spans="1:8" x14ac:dyDescent="0.2">
      <c r="A2015" s="7"/>
      <c r="B2015" s="1407" t="str">
        <f t="shared" si="31"/>
        <v>Alkaios Chazarakis</v>
      </c>
      <c r="C2015" s="1402" t="s">
        <v>8132</v>
      </c>
      <c r="D2015" s="1403" t="s">
        <v>8289</v>
      </c>
      <c r="E2015" s="1404" t="s">
        <v>8489</v>
      </c>
      <c r="F2015" s="1405" t="s">
        <v>5300</v>
      </c>
      <c r="G2015" s="1403" t="s">
        <v>14359</v>
      </c>
      <c r="H2015" s="1406" t="s">
        <v>1025</v>
      </c>
    </row>
    <row r="2016" spans="1:8" x14ac:dyDescent="0.2">
      <c r="A2016" s="7"/>
      <c r="B2016" s="1407" t="str">
        <f t="shared" si="31"/>
        <v>Panagiotis Syrmos</v>
      </c>
      <c r="C2016" s="1402" t="s">
        <v>8133</v>
      </c>
      <c r="D2016" s="1403" t="s">
        <v>3249</v>
      </c>
      <c r="E2016" s="1404" t="s">
        <v>8490</v>
      </c>
      <c r="F2016" s="1405" t="s">
        <v>5299</v>
      </c>
      <c r="G2016" s="1403" t="s">
        <v>14359</v>
      </c>
      <c r="H2016" s="1406" t="s">
        <v>1025</v>
      </c>
    </row>
    <row r="2017" spans="1:8" x14ac:dyDescent="0.2">
      <c r="A2017" s="7"/>
      <c r="B2017" s="1407" t="str">
        <f t="shared" si="31"/>
        <v>Stamatios Syrmos</v>
      </c>
      <c r="C2017" s="1402" t="s">
        <v>8133</v>
      </c>
      <c r="D2017" s="1403" t="s">
        <v>8275</v>
      </c>
      <c r="E2017" s="1404" t="s">
        <v>8491</v>
      </c>
      <c r="F2017" s="1405" t="s">
        <v>5300</v>
      </c>
      <c r="G2017" s="1403" t="s">
        <v>15175</v>
      </c>
      <c r="H2017" s="1406" t="s">
        <v>1025</v>
      </c>
    </row>
    <row r="2018" spans="1:8" x14ac:dyDescent="0.2">
      <c r="A2018" s="7"/>
      <c r="B2018" s="1407" t="str">
        <f t="shared" si="31"/>
        <v>George Fanariotis</v>
      </c>
      <c r="C2018" s="1402" t="s">
        <v>8134</v>
      </c>
      <c r="D2018" s="1403" t="s">
        <v>3162</v>
      </c>
      <c r="E2018" s="1404" t="s">
        <v>8492</v>
      </c>
      <c r="F2018" s="1405" t="s">
        <v>5300</v>
      </c>
      <c r="G2018" s="1403" t="s">
        <v>14359</v>
      </c>
      <c r="H2018" s="1406" t="s">
        <v>1025</v>
      </c>
    </row>
    <row r="2019" spans="1:8" x14ac:dyDescent="0.2">
      <c r="A2019" s="7"/>
      <c r="B2019" s="1407" t="str">
        <f t="shared" si="31"/>
        <v>Dimitris Lagios</v>
      </c>
      <c r="C2019" s="1402" t="s">
        <v>8135</v>
      </c>
      <c r="D2019" s="1403" t="s">
        <v>3099</v>
      </c>
      <c r="E2019" s="1404" t="s">
        <v>8493</v>
      </c>
      <c r="F2019" s="1405" t="s">
        <v>5300</v>
      </c>
      <c r="G2019" s="1403" t="s">
        <v>14359</v>
      </c>
      <c r="H2019" s="1406" t="s">
        <v>1025</v>
      </c>
    </row>
    <row r="2020" spans="1:8" x14ac:dyDescent="0.2">
      <c r="A2020" s="7"/>
      <c r="B2020" s="1407" t="str">
        <f t="shared" si="31"/>
        <v>Dionysis Lagios</v>
      </c>
      <c r="C2020" s="1402" t="s">
        <v>8135</v>
      </c>
      <c r="D2020" s="1403" t="s">
        <v>8290</v>
      </c>
      <c r="E2020" s="1404" t="s">
        <v>8494</v>
      </c>
      <c r="F2020" s="1405" t="s">
        <v>13211</v>
      </c>
      <c r="G2020" s="1403" t="s">
        <v>14359</v>
      </c>
      <c r="H2020" s="1406" t="s">
        <v>1025</v>
      </c>
    </row>
    <row r="2021" spans="1:8" x14ac:dyDescent="0.2">
      <c r="A2021" s="7"/>
      <c r="B2021" s="1407" t="str">
        <f t="shared" si="31"/>
        <v>Giorgos Karavas</v>
      </c>
      <c r="C2021" s="1402" t="s">
        <v>8136</v>
      </c>
      <c r="D2021" s="1403" t="s">
        <v>3040</v>
      </c>
      <c r="E2021" s="1404" t="s">
        <v>8495</v>
      </c>
      <c r="F2021" s="1405" t="s">
        <v>5299</v>
      </c>
      <c r="G2021" s="1403" t="s">
        <v>5309</v>
      </c>
      <c r="H2021" s="1406" t="s">
        <v>1025</v>
      </c>
    </row>
    <row r="2022" spans="1:8" x14ac:dyDescent="0.2">
      <c r="A2022" s="7"/>
      <c r="B2022" s="1407" t="str">
        <f t="shared" si="31"/>
        <v>Ioannis Pothitos</v>
      </c>
      <c r="C2022" s="1402" t="s">
        <v>8102</v>
      </c>
      <c r="D2022" s="1403" t="s">
        <v>3350</v>
      </c>
      <c r="E2022" s="1404" t="s">
        <v>8496</v>
      </c>
      <c r="F2022" s="1405" t="s">
        <v>5299</v>
      </c>
      <c r="G2022" s="1403" t="s">
        <v>15175</v>
      </c>
      <c r="H2022" s="1406" t="s">
        <v>1025</v>
      </c>
    </row>
    <row r="2023" spans="1:8" x14ac:dyDescent="0.2">
      <c r="A2023" s="7"/>
      <c r="B2023" s="1407" t="str">
        <f t="shared" si="31"/>
        <v>Theodoros Ousaklidis</v>
      </c>
      <c r="C2023" s="1402" t="s">
        <v>8783</v>
      </c>
      <c r="D2023" s="1403" t="s">
        <v>5579</v>
      </c>
      <c r="E2023" s="1404" t="s">
        <v>8820</v>
      </c>
      <c r="F2023" s="1405" t="s">
        <v>5299</v>
      </c>
      <c r="G2023" s="1403" t="s">
        <v>14359</v>
      </c>
      <c r="H2023" s="1406" t="s">
        <v>1025</v>
      </c>
    </row>
    <row r="2024" spans="1:8" x14ac:dyDescent="0.2">
      <c r="A2024" s="7"/>
      <c r="B2024" s="1407" t="str">
        <f t="shared" si="31"/>
        <v>Alexandros Balakakis</v>
      </c>
      <c r="C2024" s="1402" t="s">
        <v>8784</v>
      </c>
      <c r="D2024" s="1403" t="s">
        <v>3582</v>
      </c>
      <c r="E2024" s="1404" t="s">
        <v>8821</v>
      </c>
      <c r="F2024" s="1405" t="s">
        <v>5300</v>
      </c>
      <c r="G2024" s="1403" t="s">
        <v>14359</v>
      </c>
      <c r="H2024" s="1406" t="s">
        <v>1025</v>
      </c>
    </row>
    <row r="2025" spans="1:8" x14ac:dyDescent="0.2">
      <c r="A2025" s="7"/>
      <c r="B2025" s="1407" t="str">
        <f t="shared" si="31"/>
        <v>Panagiotis Skouros</v>
      </c>
      <c r="C2025" s="1402" t="s">
        <v>8785</v>
      </c>
      <c r="D2025" s="1403" t="s">
        <v>3249</v>
      </c>
      <c r="E2025" s="1404" t="s">
        <v>8822</v>
      </c>
      <c r="F2025" s="1405" t="s">
        <v>13211</v>
      </c>
      <c r="G2025" s="1403" t="s">
        <v>3213</v>
      </c>
      <c r="H2025" s="1406" t="s">
        <v>1025</v>
      </c>
    </row>
    <row r="2026" spans="1:8" x14ac:dyDescent="0.2">
      <c r="A2026" s="7"/>
      <c r="B2026" s="1407" t="str">
        <f t="shared" si="31"/>
        <v>Vasilios Argyropoulos</v>
      </c>
      <c r="C2026" s="1402" t="s">
        <v>6107</v>
      </c>
      <c r="D2026" s="1403" t="s">
        <v>5511</v>
      </c>
      <c r="E2026" s="1404" t="s">
        <v>8823</v>
      </c>
      <c r="F2026" s="1405" t="s">
        <v>5300</v>
      </c>
      <c r="G2026" s="1403" t="s">
        <v>2760</v>
      </c>
      <c r="H2026" s="1406" t="s">
        <v>1025</v>
      </c>
    </row>
    <row r="2027" spans="1:8" x14ac:dyDescent="0.2">
      <c r="A2027" s="7"/>
      <c r="B2027" s="1407" t="str">
        <f t="shared" si="31"/>
        <v>Charalambos Eleftheriou</v>
      </c>
      <c r="C2027" s="1402" t="s">
        <v>8786</v>
      </c>
      <c r="D2027" s="1403" t="s">
        <v>3493</v>
      </c>
      <c r="E2027" s="1404" t="s">
        <v>8824</v>
      </c>
      <c r="F2027" s="1405" t="s">
        <v>13210</v>
      </c>
      <c r="G2027" s="1403" t="s">
        <v>14359</v>
      </c>
      <c r="H2027" s="1406" t="s">
        <v>1025</v>
      </c>
    </row>
    <row r="2028" spans="1:8" x14ac:dyDescent="0.2">
      <c r="A2028" s="7"/>
      <c r="B2028" s="1407" t="str">
        <f t="shared" si="31"/>
        <v>Vasilis Tsitsarolis</v>
      </c>
      <c r="C2028" s="1402" t="s">
        <v>8787</v>
      </c>
      <c r="D2028" s="1403" t="s">
        <v>3630</v>
      </c>
      <c r="E2028" s="1404" t="s">
        <v>8825</v>
      </c>
      <c r="F2028" s="1405" t="s">
        <v>13210</v>
      </c>
      <c r="G2028" s="1403" t="s">
        <v>14359</v>
      </c>
      <c r="H2028" s="1406" t="s">
        <v>1025</v>
      </c>
    </row>
    <row r="2029" spans="1:8" x14ac:dyDescent="0.2">
      <c r="A2029" s="7"/>
      <c r="B2029" s="1407" t="str">
        <f t="shared" si="31"/>
        <v>Kostas Pantelaras</v>
      </c>
      <c r="C2029" s="1402" t="s">
        <v>8788</v>
      </c>
      <c r="D2029" s="1403" t="s">
        <v>3073</v>
      </c>
      <c r="E2029" s="1404" t="s">
        <v>8826</v>
      </c>
      <c r="F2029" s="1405" t="s">
        <v>13210</v>
      </c>
      <c r="G2029" s="1403" t="s">
        <v>14600</v>
      </c>
      <c r="H2029" s="1406" t="s">
        <v>1025</v>
      </c>
    </row>
    <row r="2030" spans="1:8" x14ac:dyDescent="0.2">
      <c r="A2030" s="7"/>
      <c r="B2030" s="1407" t="str">
        <f t="shared" si="31"/>
        <v>Spiros Antonopoulos</v>
      </c>
      <c r="C2030" s="1402" t="s">
        <v>7791</v>
      </c>
      <c r="D2030" s="1403" t="s">
        <v>6979</v>
      </c>
      <c r="E2030" s="1404" t="s">
        <v>8827</v>
      </c>
      <c r="F2030" s="1405" t="s">
        <v>13210</v>
      </c>
      <c r="G2030" s="1403" t="s">
        <v>14359</v>
      </c>
      <c r="H2030" s="1406" t="s">
        <v>1025</v>
      </c>
    </row>
    <row r="2031" spans="1:8" x14ac:dyDescent="0.2">
      <c r="A2031" s="7"/>
      <c r="B2031" s="1407" t="str">
        <f t="shared" si="31"/>
        <v>Ioannis Kondylis</v>
      </c>
      <c r="C2031" s="1402" t="s">
        <v>8789</v>
      </c>
      <c r="D2031" s="1403" t="s">
        <v>3350</v>
      </c>
      <c r="E2031" s="1404" t="s">
        <v>8828</v>
      </c>
      <c r="F2031" s="1405" t="s">
        <v>5299</v>
      </c>
      <c r="G2031" s="1403" t="s">
        <v>14600</v>
      </c>
      <c r="H2031" s="1406" t="s">
        <v>1025</v>
      </c>
    </row>
    <row r="2032" spans="1:8" x14ac:dyDescent="0.2">
      <c r="A2032" s="7"/>
      <c r="B2032" s="1407" t="str">
        <f t="shared" si="31"/>
        <v>Apollon Papathanasiou</v>
      </c>
      <c r="C2032" s="1402" t="s">
        <v>6091</v>
      </c>
      <c r="D2032" s="1403" t="s">
        <v>8768</v>
      </c>
      <c r="E2032" s="1404" t="s">
        <v>8829</v>
      </c>
      <c r="F2032" s="1405" t="s">
        <v>13210</v>
      </c>
      <c r="G2032" s="1403" t="s">
        <v>14359</v>
      </c>
      <c r="H2032" s="1406" t="s">
        <v>1025</v>
      </c>
    </row>
    <row r="2033" spans="1:8" x14ac:dyDescent="0.2">
      <c r="A2033" s="7"/>
      <c r="B2033" s="1407" t="str">
        <f t="shared" si="31"/>
        <v>Vasileios Vasilos</v>
      </c>
      <c r="C2033" s="1402" t="s">
        <v>9401</v>
      </c>
      <c r="D2033" s="1403" t="s">
        <v>5548</v>
      </c>
      <c r="E2033" s="1404" t="s">
        <v>9428</v>
      </c>
      <c r="F2033" s="1405" t="s">
        <v>5300</v>
      </c>
      <c r="G2033" s="1403" t="s">
        <v>10264</v>
      </c>
      <c r="H2033" s="1406" t="s">
        <v>1025</v>
      </c>
    </row>
    <row r="2034" spans="1:8" x14ac:dyDescent="0.2">
      <c r="A2034" s="7"/>
      <c r="B2034" s="1407" t="str">
        <f t="shared" si="31"/>
        <v>Thrasyvoulos Pachatouridis</v>
      </c>
      <c r="C2034" s="1402" t="s">
        <v>9402</v>
      </c>
      <c r="D2034" s="1403" t="s">
        <v>3540</v>
      </c>
      <c r="E2034" s="1404" t="s">
        <v>9429</v>
      </c>
      <c r="F2034" s="1405" t="s">
        <v>5300</v>
      </c>
      <c r="G2034" s="1403" t="s">
        <v>14359</v>
      </c>
      <c r="H2034" s="1406" t="s">
        <v>1025</v>
      </c>
    </row>
    <row r="2035" spans="1:8" x14ac:dyDescent="0.2">
      <c r="A2035" s="7"/>
      <c r="B2035" s="1407" t="str">
        <f t="shared" si="31"/>
        <v>Christos Terzidis</v>
      </c>
      <c r="C2035" s="1402" t="s">
        <v>8095</v>
      </c>
      <c r="D2035" s="1403" t="s">
        <v>3135</v>
      </c>
      <c r="E2035" s="1404" t="s">
        <v>9430</v>
      </c>
      <c r="F2035" s="1405" t="s">
        <v>5300</v>
      </c>
      <c r="G2035" s="1403" t="s">
        <v>14359</v>
      </c>
      <c r="H2035" s="1406" t="s">
        <v>1025</v>
      </c>
    </row>
    <row r="2036" spans="1:8" x14ac:dyDescent="0.2">
      <c r="A2036" s="7"/>
      <c r="B2036" s="1407" t="str">
        <f t="shared" si="31"/>
        <v>Nikiforos Giapoutzis</v>
      </c>
      <c r="C2036" s="1402" t="s">
        <v>8097</v>
      </c>
      <c r="D2036" s="1403" t="s">
        <v>3679</v>
      </c>
      <c r="E2036" s="1404" t="s">
        <v>9431</v>
      </c>
      <c r="F2036" s="1405" t="s">
        <v>5299</v>
      </c>
      <c r="G2036" s="1403" t="s">
        <v>10264</v>
      </c>
      <c r="H2036" s="1406" t="s">
        <v>1025</v>
      </c>
    </row>
    <row r="2037" spans="1:8" x14ac:dyDescent="0.2">
      <c r="A2037" s="7"/>
      <c r="B2037" s="1407" t="str">
        <f t="shared" si="31"/>
        <v>Agapi Di Maggio</v>
      </c>
      <c r="C2037" s="1402" t="s">
        <v>7405</v>
      </c>
      <c r="D2037" s="1403" t="s">
        <v>9412</v>
      </c>
      <c r="E2037" s="1404" t="s">
        <v>9432</v>
      </c>
      <c r="F2037" s="1405" t="s">
        <v>13211</v>
      </c>
      <c r="G2037" s="1403" t="s">
        <v>9449</v>
      </c>
      <c r="H2037" s="1406" t="s">
        <v>1025</v>
      </c>
    </row>
    <row r="2038" spans="1:8" x14ac:dyDescent="0.2">
      <c r="A2038" s="7"/>
      <c r="B2038" s="1407" t="str">
        <f t="shared" si="31"/>
        <v>Christina Kordantonopoulos</v>
      </c>
      <c r="C2038" s="1402" t="s">
        <v>6132</v>
      </c>
      <c r="D2038" s="1403" t="s">
        <v>9413</v>
      </c>
      <c r="E2038" s="1404" t="s">
        <v>9433</v>
      </c>
      <c r="F2038" s="1405" t="s">
        <v>1563</v>
      </c>
      <c r="G2038" s="1403" t="s">
        <v>14359</v>
      </c>
      <c r="H2038" s="1406" t="s">
        <v>1025</v>
      </c>
    </row>
    <row r="2039" spans="1:8" x14ac:dyDescent="0.2">
      <c r="A2039" s="7"/>
      <c r="B2039" s="1407" t="str">
        <f t="shared" si="31"/>
        <v>Maria Christina Kadinopoulos</v>
      </c>
      <c r="C2039" s="1402" t="s">
        <v>6139</v>
      </c>
      <c r="D2039" s="1403" t="s">
        <v>9414</v>
      </c>
      <c r="E2039" s="1404" t="s">
        <v>9434</v>
      </c>
      <c r="F2039" s="1405" t="s">
        <v>13211</v>
      </c>
      <c r="G2039" s="1403" t="s">
        <v>9449</v>
      </c>
      <c r="H2039" s="1406" t="s">
        <v>1025</v>
      </c>
    </row>
    <row r="2040" spans="1:8" x14ac:dyDescent="0.2">
      <c r="A2040" s="7"/>
      <c r="B2040" s="1407" t="str">
        <f t="shared" si="31"/>
        <v>Stefanos Kadinopoulos</v>
      </c>
      <c r="C2040" s="1402" t="s">
        <v>6139</v>
      </c>
      <c r="D2040" s="1403" t="s">
        <v>3501</v>
      </c>
      <c r="E2040" s="1404" t="s">
        <v>9435</v>
      </c>
      <c r="F2040" s="1405" t="s">
        <v>13211</v>
      </c>
      <c r="G2040" s="1403" t="s">
        <v>9449</v>
      </c>
      <c r="H2040" s="1406" t="s">
        <v>1025</v>
      </c>
    </row>
    <row r="2041" spans="1:8" x14ac:dyDescent="0.2">
      <c r="A2041" s="7"/>
      <c r="B2041" s="1407" t="str">
        <f t="shared" si="31"/>
        <v>Nikolaos Papadakis</v>
      </c>
      <c r="C2041" s="1402" t="s">
        <v>6123</v>
      </c>
      <c r="D2041" s="1403" t="s">
        <v>5554</v>
      </c>
      <c r="E2041" s="1404" t="s">
        <v>9436</v>
      </c>
      <c r="F2041" s="1405" t="s">
        <v>13210</v>
      </c>
      <c r="G2041" s="1403" t="s">
        <v>14359</v>
      </c>
      <c r="H2041" s="1406" t="s">
        <v>1025</v>
      </c>
    </row>
    <row r="2042" spans="1:8" x14ac:dyDescent="0.2">
      <c r="A2042" s="7"/>
      <c r="B2042" s="1407" t="str">
        <f t="shared" si="31"/>
        <v>Vasilios Tsakalakis</v>
      </c>
      <c r="C2042" s="1402" t="s">
        <v>9403</v>
      </c>
      <c r="D2042" s="1403" t="s">
        <v>5511</v>
      </c>
      <c r="E2042" s="1404" t="s">
        <v>9437</v>
      </c>
      <c r="F2042" s="1405" t="s">
        <v>5300</v>
      </c>
      <c r="G2042" s="1403" t="s">
        <v>14359</v>
      </c>
      <c r="H2042" s="1406" t="s">
        <v>1025</v>
      </c>
    </row>
    <row r="2043" spans="1:8" x14ac:dyDescent="0.2">
      <c r="A2043" s="7"/>
      <c r="B2043" s="1407" t="str">
        <f t="shared" si="31"/>
        <v>Christian Tsakalakis</v>
      </c>
      <c r="C2043" s="1402" t="s">
        <v>9403</v>
      </c>
      <c r="D2043" s="1403" t="s">
        <v>3063</v>
      </c>
      <c r="E2043" s="1404" t="s">
        <v>9438</v>
      </c>
      <c r="F2043" s="1405" t="s">
        <v>5299</v>
      </c>
      <c r="G2043" s="1403" t="s">
        <v>14359</v>
      </c>
      <c r="H2043" s="1406" t="s">
        <v>1025</v>
      </c>
    </row>
    <row r="2044" spans="1:8" x14ac:dyDescent="0.2">
      <c r="A2044" s="7"/>
      <c r="B2044" s="1407" t="str">
        <f t="shared" si="31"/>
        <v>Valantis Argyropoulos</v>
      </c>
      <c r="C2044" s="1402" t="s">
        <v>6107</v>
      </c>
      <c r="D2044" s="1403" t="s">
        <v>9415</v>
      </c>
      <c r="E2044" s="1404" t="s">
        <v>9439</v>
      </c>
      <c r="F2044" s="1405" t="s">
        <v>5299</v>
      </c>
      <c r="G2044" s="1403" t="s">
        <v>10265</v>
      </c>
      <c r="H2044" s="1406" t="s">
        <v>1025</v>
      </c>
    </row>
    <row r="2045" spans="1:8" x14ac:dyDescent="0.2">
      <c r="A2045" s="7"/>
      <c r="B2045" s="1407" t="str">
        <f t="shared" si="31"/>
        <v>Giorgos Gkiotlis</v>
      </c>
      <c r="C2045" s="1402" t="s">
        <v>8092</v>
      </c>
      <c r="D2045" s="1403" t="s">
        <v>3040</v>
      </c>
      <c r="E2045" s="1404" t="s">
        <v>9440</v>
      </c>
      <c r="F2045" s="1405" t="s">
        <v>5299</v>
      </c>
      <c r="G2045" s="1403" t="s">
        <v>10265</v>
      </c>
      <c r="H2045" s="1406" t="s">
        <v>1025</v>
      </c>
    </row>
    <row r="2046" spans="1:8" x14ac:dyDescent="0.2">
      <c r="A2046" s="7"/>
      <c r="B2046" s="1407" t="str">
        <f t="shared" si="31"/>
        <v>Leonidas Papamichail</v>
      </c>
      <c r="C2046" s="1402" t="s">
        <v>9749</v>
      </c>
      <c r="D2046" s="1403" t="s">
        <v>3211</v>
      </c>
      <c r="E2046" s="1404" t="s">
        <v>9441</v>
      </c>
      <c r="F2046" s="1405" t="s">
        <v>5300</v>
      </c>
      <c r="G2046" s="1403" t="s">
        <v>9449</v>
      </c>
      <c r="H2046" s="1406" t="s">
        <v>1025</v>
      </c>
    </row>
    <row r="2047" spans="1:8" x14ac:dyDescent="0.2">
      <c r="A2047" s="7"/>
      <c r="B2047" s="1407" t="str">
        <f t="shared" si="31"/>
        <v>Georgios Dionisopoulos</v>
      </c>
      <c r="C2047" s="1402" t="s">
        <v>9750</v>
      </c>
      <c r="D2047" s="1403" t="s">
        <v>3324</v>
      </c>
      <c r="E2047" s="1404" t="s">
        <v>9792</v>
      </c>
      <c r="F2047" s="1405" t="s">
        <v>13210</v>
      </c>
      <c r="G2047" s="1403" t="s">
        <v>17170</v>
      </c>
      <c r="H2047" s="1406" t="s">
        <v>1025</v>
      </c>
    </row>
    <row r="2048" spans="1:8" x14ac:dyDescent="0.2">
      <c r="A2048" s="7"/>
      <c r="B2048" s="1407" t="str">
        <f t="shared" si="31"/>
        <v>Dimitris Bogdanidis</v>
      </c>
      <c r="C2048" s="1402" t="s">
        <v>6081</v>
      </c>
      <c r="D2048" s="1403" t="s">
        <v>3099</v>
      </c>
      <c r="E2048" s="1404" t="s">
        <v>9793</v>
      </c>
      <c r="F2048" s="1405" t="s">
        <v>1563</v>
      </c>
      <c r="G2048" s="1403" t="s">
        <v>17170</v>
      </c>
      <c r="H2048" s="1406" t="s">
        <v>1025</v>
      </c>
    </row>
    <row r="2049" spans="1:8" x14ac:dyDescent="0.2">
      <c r="A2049" s="7"/>
      <c r="B2049" s="1407" t="str">
        <f t="shared" si="31"/>
        <v>Sotiris Petrakis</v>
      </c>
      <c r="C2049" s="1402" t="s">
        <v>9751</v>
      </c>
      <c r="D2049" s="1403" t="s">
        <v>5560</v>
      </c>
      <c r="E2049" s="1404" t="s">
        <v>9794</v>
      </c>
      <c r="F2049" s="1405" t="s">
        <v>5299</v>
      </c>
      <c r="G2049" s="1403" t="s">
        <v>14359</v>
      </c>
      <c r="H2049" s="1406" t="s">
        <v>1025</v>
      </c>
    </row>
    <row r="2050" spans="1:8" x14ac:dyDescent="0.2">
      <c r="A2050" s="7"/>
      <c r="B2050" s="1407" t="str">
        <f t="shared" si="31"/>
        <v>Michail Angelos Merkouris</v>
      </c>
      <c r="C2050" s="1402" t="s">
        <v>9649</v>
      </c>
      <c r="D2050" s="1403" t="s">
        <v>9773</v>
      </c>
      <c r="E2050" s="1404" t="s">
        <v>9795</v>
      </c>
      <c r="F2050" s="1405" t="s">
        <v>13210</v>
      </c>
      <c r="G2050" s="1403" t="s">
        <v>14359</v>
      </c>
      <c r="H2050" s="1406" t="s">
        <v>1025</v>
      </c>
    </row>
    <row r="2051" spans="1:8" x14ac:dyDescent="0.2">
      <c r="A2051" s="7"/>
      <c r="B2051" s="1407" t="str">
        <f t="shared" si="31"/>
        <v>Alexandros Kontorouchas</v>
      </c>
      <c r="C2051" s="1402" t="s">
        <v>9752</v>
      </c>
      <c r="D2051" s="1403" t="s">
        <v>3582</v>
      </c>
      <c r="E2051" s="1404" t="s">
        <v>9796</v>
      </c>
      <c r="F2051" s="1405" t="s">
        <v>5299</v>
      </c>
      <c r="G2051" s="1403" t="s">
        <v>14359</v>
      </c>
      <c r="H2051" s="1406" t="s">
        <v>1025</v>
      </c>
    </row>
    <row r="2052" spans="1:8" x14ac:dyDescent="0.2">
      <c r="A2052" s="7"/>
      <c r="B2052" s="1407" t="str">
        <f t="shared" si="31"/>
        <v>Ioannis Paliouras</v>
      </c>
      <c r="C2052" s="1402" t="s">
        <v>9753</v>
      </c>
      <c r="D2052" s="1403" t="s">
        <v>3350</v>
      </c>
      <c r="E2052" s="1404" t="s">
        <v>9797</v>
      </c>
      <c r="F2052" s="1405" t="s">
        <v>5299</v>
      </c>
      <c r="G2052" s="1403" t="s">
        <v>15175</v>
      </c>
      <c r="H2052" s="1406" t="s">
        <v>1025</v>
      </c>
    </row>
    <row r="2053" spans="1:8" x14ac:dyDescent="0.2">
      <c r="A2053" s="7"/>
      <c r="B2053" s="1407" t="str">
        <f t="shared" si="31"/>
        <v>Dimosthenis Kourou</v>
      </c>
      <c r="C2053" s="1402" t="s">
        <v>9754</v>
      </c>
      <c r="D2053" s="1403" t="s">
        <v>5601</v>
      </c>
      <c r="E2053" s="1404" t="s">
        <v>9798</v>
      </c>
      <c r="F2053" s="1405" t="s">
        <v>5300</v>
      </c>
      <c r="G2053" s="1403" t="s">
        <v>14359</v>
      </c>
      <c r="H2053" s="1406" t="s">
        <v>1025</v>
      </c>
    </row>
    <row r="2054" spans="1:8" x14ac:dyDescent="0.2">
      <c r="A2054" s="7"/>
      <c r="B2054" s="1407" t="str">
        <f t="shared" si="31"/>
        <v>Marios Fotinopoulos</v>
      </c>
      <c r="C2054" s="1402" t="s">
        <v>9755</v>
      </c>
      <c r="D2054" s="1403" t="s">
        <v>3557</v>
      </c>
      <c r="E2054" s="1404" t="s">
        <v>9799</v>
      </c>
      <c r="F2054" s="1405" t="s">
        <v>5299</v>
      </c>
      <c r="G2054" s="1403" t="s">
        <v>14359</v>
      </c>
      <c r="H2054" s="1406" t="s">
        <v>1025</v>
      </c>
    </row>
    <row r="2055" spans="1:8" x14ac:dyDescent="0.2">
      <c r="A2055" s="7"/>
      <c r="B2055" s="1407" t="str">
        <f t="shared" ref="B2055:B2118" si="32">TRIM(CONCATENATE(D2055," ",C2055))</f>
        <v>Petros Kalamaris</v>
      </c>
      <c r="C2055" s="1402" t="s">
        <v>9756</v>
      </c>
      <c r="D2055" s="1403" t="s">
        <v>5635</v>
      </c>
      <c r="E2055" s="1404" t="s">
        <v>9800</v>
      </c>
      <c r="F2055" s="1405" t="s">
        <v>5299</v>
      </c>
      <c r="G2055" s="1403" t="s">
        <v>14359</v>
      </c>
      <c r="H2055" s="1406" t="s">
        <v>1025</v>
      </c>
    </row>
    <row r="2056" spans="1:8" x14ac:dyDescent="0.2">
      <c r="A2056" s="7"/>
      <c r="B2056" s="1407" t="str">
        <f t="shared" si="32"/>
        <v>Giorgos Sfakianakis</v>
      </c>
      <c r="C2056" s="1402" t="s">
        <v>9757</v>
      </c>
      <c r="D2056" s="1403" t="s">
        <v>3040</v>
      </c>
      <c r="E2056" s="1404" t="s">
        <v>9801</v>
      </c>
      <c r="F2056" s="1405" t="s">
        <v>5300</v>
      </c>
      <c r="G2056" s="1403" t="s">
        <v>14359</v>
      </c>
      <c r="H2056" s="1406" t="s">
        <v>1025</v>
      </c>
    </row>
    <row r="2057" spans="1:8" x14ac:dyDescent="0.2">
      <c r="A2057" s="7"/>
      <c r="B2057" s="1407" t="str">
        <f t="shared" si="32"/>
        <v>Marianna Malindretou</v>
      </c>
      <c r="C2057" s="1402" t="s">
        <v>9758</v>
      </c>
      <c r="D2057" s="1403" t="s">
        <v>6990</v>
      </c>
      <c r="E2057" s="1404" t="s">
        <v>9802</v>
      </c>
      <c r="F2057" s="1405" t="s">
        <v>13210</v>
      </c>
      <c r="G2057" s="1403" t="s">
        <v>3213</v>
      </c>
      <c r="H2057" s="1406" t="s">
        <v>1025</v>
      </c>
    </row>
    <row r="2058" spans="1:8" x14ac:dyDescent="0.2">
      <c r="A2058" s="7"/>
      <c r="B2058" s="1407" t="str">
        <f t="shared" si="32"/>
        <v>Giorgos Karahalios</v>
      </c>
      <c r="C2058" s="1402" t="s">
        <v>9759</v>
      </c>
      <c r="D2058" s="1403" t="s">
        <v>3040</v>
      </c>
      <c r="E2058" s="1404" t="s">
        <v>9803</v>
      </c>
      <c r="F2058" s="1405" t="s">
        <v>5300</v>
      </c>
      <c r="G2058" s="1403" t="s">
        <v>3213</v>
      </c>
      <c r="H2058" s="1406" t="s">
        <v>1025</v>
      </c>
    </row>
    <row r="2059" spans="1:8" x14ac:dyDescent="0.2">
      <c r="A2059" s="7"/>
      <c r="B2059" s="1407" t="str">
        <f t="shared" si="32"/>
        <v>Stavros Vagios</v>
      </c>
      <c r="C2059" s="1402" t="s">
        <v>9760</v>
      </c>
      <c r="D2059" s="1403" t="s">
        <v>3336</v>
      </c>
      <c r="E2059" s="1404" t="s">
        <v>9804</v>
      </c>
      <c r="F2059" s="1405" t="s">
        <v>5300</v>
      </c>
      <c r="G2059" s="1403" t="s">
        <v>14359</v>
      </c>
      <c r="H2059" s="1406" t="s">
        <v>1025</v>
      </c>
    </row>
    <row r="2060" spans="1:8" x14ac:dyDescent="0.2">
      <c r="A2060" s="7"/>
      <c r="B2060" s="1407" t="str">
        <f t="shared" si="32"/>
        <v>Ioannis Sermpos</v>
      </c>
      <c r="C2060" s="1402" t="s">
        <v>9761</v>
      </c>
      <c r="D2060" s="1403" t="s">
        <v>3350</v>
      </c>
      <c r="E2060" s="1404" t="s">
        <v>9805</v>
      </c>
      <c r="F2060" s="1405" t="s">
        <v>5299</v>
      </c>
      <c r="G2060" s="1403" t="s">
        <v>14359</v>
      </c>
      <c r="H2060" s="1406" t="s">
        <v>1025</v>
      </c>
    </row>
    <row r="2061" spans="1:8" x14ac:dyDescent="0.2">
      <c r="A2061" s="7"/>
      <c r="B2061" s="1407" t="str">
        <f t="shared" si="32"/>
        <v>Lambros Tekos</v>
      </c>
      <c r="C2061" s="1402" t="s">
        <v>9933</v>
      </c>
      <c r="D2061" s="1403" t="s">
        <v>3096</v>
      </c>
      <c r="E2061" s="1404" t="s">
        <v>9806</v>
      </c>
      <c r="F2061" s="1405" t="s">
        <v>5300</v>
      </c>
      <c r="G2061" s="1403" t="s">
        <v>15175</v>
      </c>
      <c r="H2061" s="1406" t="s">
        <v>1025</v>
      </c>
    </row>
    <row r="2062" spans="1:8" x14ac:dyDescent="0.2">
      <c r="A2062" s="7"/>
      <c r="B2062" s="1407" t="str">
        <f t="shared" si="32"/>
        <v>Danai Konstantakou</v>
      </c>
      <c r="C2062" s="1402" t="s">
        <v>9762</v>
      </c>
      <c r="D2062" s="1403" t="s">
        <v>9774</v>
      </c>
      <c r="E2062" s="1404" t="s">
        <v>9807</v>
      </c>
      <c r="F2062" s="1405" t="s">
        <v>5299</v>
      </c>
      <c r="G2062" s="1403" t="s">
        <v>9449</v>
      </c>
      <c r="H2062" s="1406" t="s">
        <v>1025</v>
      </c>
    </row>
    <row r="2063" spans="1:8" x14ac:dyDescent="0.2">
      <c r="A2063" s="7"/>
      <c r="B2063" s="1407" t="str">
        <f t="shared" si="32"/>
        <v>Aggelos Vlachoulis</v>
      </c>
      <c r="C2063" s="1402" t="s">
        <v>9763</v>
      </c>
      <c r="D2063" s="1403" t="s">
        <v>3644</v>
      </c>
      <c r="E2063" s="1404" t="s">
        <v>9808</v>
      </c>
      <c r="F2063" s="1405" t="s">
        <v>5300</v>
      </c>
      <c r="G2063" s="1403" t="s">
        <v>14359</v>
      </c>
      <c r="H2063" s="1406" t="s">
        <v>1025</v>
      </c>
    </row>
    <row r="2064" spans="1:8" x14ac:dyDescent="0.2">
      <c r="A2064" s="7"/>
      <c r="B2064" s="1407" t="str">
        <f t="shared" si="32"/>
        <v>Lambros Kotsinis</v>
      </c>
      <c r="C2064" s="1402" t="s">
        <v>9764</v>
      </c>
      <c r="D2064" s="1403" t="s">
        <v>3096</v>
      </c>
      <c r="E2064" s="1404" t="s">
        <v>9809</v>
      </c>
      <c r="F2064" s="1405" t="s">
        <v>5299</v>
      </c>
      <c r="G2064" s="1403" t="s">
        <v>14359</v>
      </c>
      <c r="H2064" s="1406" t="s">
        <v>1025</v>
      </c>
    </row>
    <row r="2065" spans="1:8" x14ac:dyDescent="0.2">
      <c r="A2065" s="7"/>
      <c r="B2065" s="1407" t="str">
        <f t="shared" si="32"/>
        <v>Emilios Zaharitsas</v>
      </c>
      <c r="C2065" s="1402" t="s">
        <v>9765</v>
      </c>
      <c r="D2065" s="1403" t="s">
        <v>9775</v>
      </c>
      <c r="E2065" s="1404" t="s">
        <v>9810</v>
      </c>
      <c r="F2065" s="1405" t="s">
        <v>5299</v>
      </c>
      <c r="G2065" s="1403" t="s">
        <v>14359</v>
      </c>
      <c r="H2065" s="1406" t="s">
        <v>1025</v>
      </c>
    </row>
    <row r="2066" spans="1:8" x14ac:dyDescent="0.2">
      <c r="A2066" s="7"/>
      <c r="B2066" s="1407" t="str">
        <f t="shared" si="32"/>
        <v>Kostas Kounadis</v>
      </c>
      <c r="C2066" s="1402" t="s">
        <v>9766</v>
      </c>
      <c r="D2066" s="1403" t="s">
        <v>3073</v>
      </c>
      <c r="E2066" s="1404" t="s">
        <v>9811</v>
      </c>
      <c r="F2066" s="1405" t="s">
        <v>5300</v>
      </c>
      <c r="G2066" s="1403" t="s">
        <v>14359</v>
      </c>
      <c r="H2066" s="1406" t="s">
        <v>1025</v>
      </c>
    </row>
    <row r="2067" spans="1:8" x14ac:dyDescent="0.2">
      <c r="A2067" s="7"/>
      <c r="B2067" s="1407" t="str">
        <f t="shared" si="32"/>
        <v>Georgios Karouzos</v>
      </c>
      <c r="C2067" s="1402" t="s">
        <v>6329</v>
      </c>
      <c r="D2067" s="1403" t="s">
        <v>3324</v>
      </c>
      <c r="E2067" s="1404" t="s">
        <v>9812</v>
      </c>
      <c r="F2067" s="1405" t="s">
        <v>5299</v>
      </c>
      <c r="G2067" s="1403" t="s">
        <v>10251</v>
      </c>
      <c r="H2067" s="1406" t="s">
        <v>1025</v>
      </c>
    </row>
    <row r="2068" spans="1:8" x14ac:dyDescent="0.2">
      <c r="A2068" s="7"/>
      <c r="B2068" s="1407" t="str">
        <f t="shared" si="32"/>
        <v>Dimitrios Rebis</v>
      </c>
      <c r="C2068" s="1402" t="s">
        <v>9767</v>
      </c>
      <c r="D2068" s="1403" t="s">
        <v>5644</v>
      </c>
      <c r="E2068" s="1404" t="s">
        <v>9813</v>
      </c>
      <c r="F2068" s="1405" t="s">
        <v>5300</v>
      </c>
      <c r="G2068" s="1403" t="s">
        <v>14359</v>
      </c>
      <c r="H2068" s="1406" t="s">
        <v>1025</v>
      </c>
    </row>
    <row r="2069" spans="1:8" x14ac:dyDescent="0.2">
      <c r="A2069" s="7"/>
      <c r="B2069" s="1407" t="str">
        <f t="shared" si="32"/>
        <v>Adrianna Papadaki</v>
      </c>
      <c r="C2069" s="1402" t="s">
        <v>9768</v>
      </c>
      <c r="D2069" s="1403" t="s">
        <v>9776</v>
      </c>
      <c r="E2069" s="1404" t="s">
        <v>9814</v>
      </c>
      <c r="F2069" s="1405" t="s">
        <v>13211</v>
      </c>
      <c r="G2069" s="1403" t="s">
        <v>9449</v>
      </c>
      <c r="H2069" s="1406" t="s">
        <v>1025</v>
      </c>
    </row>
    <row r="2070" spans="1:8" x14ac:dyDescent="0.2">
      <c r="A2070" s="7"/>
      <c r="B2070" s="1407" t="str">
        <f t="shared" si="32"/>
        <v>Angelos Sioutis</v>
      </c>
      <c r="C2070" s="1402" t="s">
        <v>6152</v>
      </c>
      <c r="D2070" s="1403" t="s">
        <v>5528</v>
      </c>
      <c r="E2070" s="1404" t="s">
        <v>10103</v>
      </c>
      <c r="F2070" s="1405" t="s">
        <v>13211</v>
      </c>
      <c r="G2070" s="1403" t="s">
        <v>14359</v>
      </c>
      <c r="H2070" s="1406" t="s">
        <v>1025</v>
      </c>
    </row>
    <row r="2071" spans="1:8" x14ac:dyDescent="0.2">
      <c r="A2071" s="7"/>
      <c r="B2071" s="1407" t="str">
        <f t="shared" si="32"/>
        <v>Georgios Briskolas</v>
      </c>
      <c r="C2071" s="1402" t="s">
        <v>9934</v>
      </c>
      <c r="D2071" s="1403" t="s">
        <v>3324</v>
      </c>
      <c r="E2071" s="1404" t="s">
        <v>10104</v>
      </c>
      <c r="F2071" s="1405" t="s">
        <v>5299</v>
      </c>
      <c r="G2071" s="1403" t="s">
        <v>10246</v>
      </c>
      <c r="H2071" s="1406" t="s">
        <v>1025</v>
      </c>
    </row>
    <row r="2072" spans="1:8" x14ac:dyDescent="0.2">
      <c r="A2072" s="7"/>
      <c r="B2072" s="1407" t="str">
        <f t="shared" si="32"/>
        <v>Dimitris Aggelou</v>
      </c>
      <c r="C2072" s="1402" t="s">
        <v>9935</v>
      </c>
      <c r="D2072" s="1403" t="s">
        <v>3099</v>
      </c>
      <c r="E2072" s="1404" t="s">
        <v>10105</v>
      </c>
      <c r="F2072" s="1405" t="s">
        <v>5299</v>
      </c>
      <c r="G2072" s="1403" t="s">
        <v>2760</v>
      </c>
      <c r="H2072" s="1406" t="s">
        <v>1025</v>
      </c>
    </row>
    <row r="2073" spans="1:8" x14ac:dyDescent="0.2">
      <c r="A2073" s="7"/>
      <c r="B2073" s="1407" t="str">
        <f t="shared" si="32"/>
        <v>Ilias Galanopoulos</v>
      </c>
      <c r="C2073" s="1402" t="s">
        <v>9936</v>
      </c>
      <c r="D2073" s="1403" t="s">
        <v>6978</v>
      </c>
      <c r="E2073" s="1404" t="s">
        <v>10106</v>
      </c>
      <c r="F2073" s="1405" t="s">
        <v>5299</v>
      </c>
      <c r="G2073" s="1403" t="s">
        <v>15175</v>
      </c>
      <c r="H2073" s="1406" t="s">
        <v>1025</v>
      </c>
    </row>
    <row r="2074" spans="1:8" x14ac:dyDescent="0.2">
      <c r="A2074" s="7"/>
      <c r="B2074" s="1407" t="str">
        <f t="shared" si="32"/>
        <v>Dimitris Stamos</v>
      </c>
      <c r="C2074" s="1402" t="s">
        <v>9937</v>
      </c>
      <c r="D2074" s="1403" t="s">
        <v>3099</v>
      </c>
      <c r="E2074" s="1404" t="s">
        <v>10107</v>
      </c>
      <c r="F2074" s="1405" t="s">
        <v>5299</v>
      </c>
      <c r="G2074" s="1403" t="s">
        <v>14359</v>
      </c>
      <c r="H2074" s="1406" t="s">
        <v>1025</v>
      </c>
    </row>
    <row r="2075" spans="1:8" x14ac:dyDescent="0.2">
      <c r="A2075" s="7"/>
      <c r="B2075" s="1407" t="str">
        <f t="shared" si="32"/>
        <v>Christos Vogiatzis</v>
      </c>
      <c r="C2075" s="1402" t="s">
        <v>7401</v>
      </c>
      <c r="D2075" s="1403" t="s">
        <v>3135</v>
      </c>
      <c r="E2075" s="1404" t="s">
        <v>10108</v>
      </c>
      <c r="F2075" s="1405" t="s">
        <v>5299</v>
      </c>
      <c r="G2075" s="1403" t="s">
        <v>14359</v>
      </c>
      <c r="H2075" s="1406" t="s">
        <v>1025</v>
      </c>
    </row>
    <row r="2076" spans="1:8" x14ac:dyDescent="0.2">
      <c r="A2076" s="7"/>
      <c r="B2076" s="1407" t="str">
        <f t="shared" si="32"/>
        <v>Sofoklis Vezirtzoglou</v>
      </c>
      <c r="C2076" s="1402" t="s">
        <v>9938</v>
      </c>
      <c r="D2076" s="1403" t="s">
        <v>10059</v>
      </c>
      <c r="E2076" s="1404" t="s">
        <v>10109</v>
      </c>
      <c r="F2076" s="1405" t="s">
        <v>5300</v>
      </c>
      <c r="G2076" s="1403" t="s">
        <v>14596</v>
      </c>
      <c r="H2076" s="1406" t="s">
        <v>1025</v>
      </c>
    </row>
    <row r="2077" spans="1:8" x14ac:dyDescent="0.2">
      <c r="A2077" s="7"/>
      <c r="B2077" s="1407" t="str">
        <f t="shared" si="32"/>
        <v>Christos Dimos</v>
      </c>
      <c r="C2077" s="1402" t="s">
        <v>3212</v>
      </c>
      <c r="D2077" s="1403" t="s">
        <v>3135</v>
      </c>
      <c r="E2077" s="1404" t="s">
        <v>10110</v>
      </c>
      <c r="F2077" s="1405" t="s">
        <v>5300</v>
      </c>
      <c r="G2077" s="1403" t="s">
        <v>14359</v>
      </c>
      <c r="H2077" s="1406" t="s">
        <v>1025</v>
      </c>
    </row>
    <row r="2078" spans="1:8" x14ac:dyDescent="0.2">
      <c r="A2078" s="7"/>
      <c r="B2078" s="1407" t="str">
        <f t="shared" si="32"/>
        <v>Pantelis Trapezountios</v>
      </c>
      <c r="C2078" s="1402" t="s">
        <v>9939</v>
      </c>
      <c r="D2078" s="1403" t="s">
        <v>3682</v>
      </c>
      <c r="E2078" s="1404" t="s">
        <v>10111</v>
      </c>
      <c r="F2078" s="1405" t="s">
        <v>5299</v>
      </c>
      <c r="G2078" s="1403" t="s">
        <v>14596</v>
      </c>
      <c r="H2078" s="1406" t="s">
        <v>1025</v>
      </c>
    </row>
    <row r="2079" spans="1:8" x14ac:dyDescent="0.2">
      <c r="A2079" s="7"/>
      <c r="B2079" s="1407" t="str">
        <f t="shared" si="32"/>
        <v>Alexios Farmakis</v>
      </c>
      <c r="C2079" s="1402" t="s">
        <v>9940</v>
      </c>
      <c r="D2079" s="1403" t="s">
        <v>10060</v>
      </c>
      <c r="E2079" s="1404" t="s">
        <v>10112</v>
      </c>
      <c r="F2079" s="1405" t="s">
        <v>5299</v>
      </c>
      <c r="G2079" s="1403" t="s">
        <v>14596</v>
      </c>
      <c r="H2079" s="1406" t="s">
        <v>1025</v>
      </c>
    </row>
    <row r="2080" spans="1:8" x14ac:dyDescent="0.2">
      <c r="A2080" s="7"/>
      <c r="B2080" s="1407" t="str">
        <f t="shared" si="32"/>
        <v>Ioannis Chanos</v>
      </c>
      <c r="C2080" s="1402" t="s">
        <v>9941</v>
      </c>
      <c r="D2080" s="1403" t="s">
        <v>3350</v>
      </c>
      <c r="E2080" s="1404" t="s">
        <v>10113</v>
      </c>
      <c r="F2080" s="1405" t="s">
        <v>13210</v>
      </c>
      <c r="G2080" s="1403" t="s">
        <v>14359</v>
      </c>
      <c r="H2080" s="1406" t="s">
        <v>1025</v>
      </c>
    </row>
    <row r="2081" spans="1:8" x14ac:dyDescent="0.2">
      <c r="A2081" s="7"/>
      <c r="B2081" s="1407" t="str">
        <f t="shared" si="32"/>
        <v>Konstantinos Chanos</v>
      </c>
      <c r="C2081" s="1402" t="s">
        <v>9941</v>
      </c>
      <c r="D2081" s="1403" t="s">
        <v>6986</v>
      </c>
      <c r="E2081" s="1404" t="s">
        <v>10114</v>
      </c>
      <c r="F2081" s="1405" t="s">
        <v>5299</v>
      </c>
      <c r="G2081" s="1403" t="s">
        <v>14596</v>
      </c>
      <c r="H2081" s="1406" t="s">
        <v>1025</v>
      </c>
    </row>
    <row r="2082" spans="1:8" x14ac:dyDescent="0.2">
      <c r="A2082" s="7"/>
      <c r="B2082" s="1407" t="str">
        <f t="shared" si="32"/>
        <v>Michail I Chanos</v>
      </c>
      <c r="C2082" s="1402" t="s">
        <v>9941</v>
      </c>
      <c r="D2082" s="1403" t="s">
        <v>10061</v>
      </c>
      <c r="E2082" s="1404" t="s">
        <v>10115</v>
      </c>
      <c r="F2082" s="1405" t="s">
        <v>5300</v>
      </c>
      <c r="G2082" s="1403" t="s">
        <v>14596</v>
      </c>
      <c r="H2082" s="1406" t="s">
        <v>1025</v>
      </c>
    </row>
    <row r="2083" spans="1:8" x14ac:dyDescent="0.2">
      <c r="A2083" s="7"/>
      <c r="B2083" s="1407" t="str">
        <f t="shared" si="32"/>
        <v>Michail K Chanos</v>
      </c>
      <c r="C2083" s="1402" t="s">
        <v>9941</v>
      </c>
      <c r="D2083" s="1403" t="s">
        <v>10062</v>
      </c>
      <c r="E2083" s="1404" t="s">
        <v>10116</v>
      </c>
      <c r="F2083" s="1405" t="s">
        <v>13211</v>
      </c>
      <c r="G2083" s="1403" t="s">
        <v>14596</v>
      </c>
      <c r="H2083" s="1406" t="s">
        <v>1025</v>
      </c>
    </row>
    <row r="2084" spans="1:8" x14ac:dyDescent="0.2">
      <c r="A2084" s="7"/>
      <c r="B2084" s="1407" t="str">
        <f t="shared" si="32"/>
        <v>Klearchos Sarikakis</v>
      </c>
      <c r="C2084" s="1402" t="s">
        <v>9942</v>
      </c>
      <c r="D2084" s="1403" t="s">
        <v>10063</v>
      </c>
      <c r="E2084" s="1404" t="s">
        <v>10117</v>
      </c>
      <c r="F2084" s="1405" t="s">
        <v>5299</v>
      </c>
      <c r="G2084" s="1403" t="s">
        <v>13590</v>
      </c>
      <c r="H2084" s="1406" t="s">
        <v>1025</v>
      </c>
    </row>
    <row r="2085" spans="1:8" x14ac:dyDescent="0.2">
      <c r="A2085" s="7"/>
      <c r="B2085" s="1407" t="str">
        <f t="shared" si="32"/>
        <v>Giorgos Panagiotopoulos</v>
      </c>
      <c r="C2085" s="1402" t="s">
        <v>9943</v>
      </c>
      <c r="D2085" s="1403" t="s">
        <v>3040</v>
      </c>
      <c r="E2085" s="1404" t="s">
        <v>10118</v>
      </c>
      <c r="F2085" s="1405" t="s">
        <v>13211</v>
      </c>
      <c r="G2085" s="1403" t="s">
        <v>14359</v>
      </c>
      <c r="H2085" s="1406" t="s">
        <v>1025</v>
      </c>
    </row>
    <row r="2086" spans="1:8" x14ac:dyDescent="0.2">
      <c r="A2086" s="7"/>
      <c r="B2086" s="1407" t="str">
        <f t="shared" si="32"/>
        <v>Ioanna Virginia Panagiotopoulou</v>
      </c>
      <c r="C2086" s="1402" t="s">
        <v>9944</v>
      </c>
      <c r="D2086" s="1403" t="s">
        <v>10064</v>
      </c>
      <c r="E2086" s="1404" t="s">
        <v>10119</v>
      </c>
      <c r="F2086" s="1405" t="s">
        <v>13211</v>
      </c>
      <c r="G2086" s="1403" t="s">
        <v>14359</v>
      </c>
      <c r="H2086" s="1406" t="s">
        <v>1025</v>
      </c>
    </row>
    <row r="2087" spans="1:8" x14ac:dyDescent="0.2">
      <c r="A2087" s="7"/>
      <c r="B2087" s="1407" t="str">
        <f t="shared" si="32"/>
        <v>Giorgos Kolovos</v>
      </c>
      <c r="C2087" s="1402" t="s">
        <v>6317</v>
      </c>
      <c r="D2087" s="1403" t="s">
        <v>3040</v>
      </c>
      <c r="E2087" s="1404" t="s">
        <v>10897</v>
      </c>
      <c r="F2087" s="1405" t="s">
        <v>13211</v>
      </c>
      <c r="G2087" s="1403" t="s">
        <v>14359</v>
      </c>
      <c r="H2087" s="1406" t="s">
        <v>1025</v>
      </c>
    </row>
    <row r="2088" spans="1:8" x14ac:dyDescent="0.2">
      <c r="A2088" s="7"/>
      <c r="B2088" s="1407" t="str">
        <f t="shared" si="32"/>
        <v>Diamantis Lampis</v>
      </c>
      <c r="C2088" s="1402" t="s">
        <v>10854</v>
      </c>
      <c r="D2088" s="1403" t="s">
        <v>6871</v>
      </c>
      <c r="E2088" s="1404" t="s">
        <v>10898</v>
      </c>
      <c r="F2088" s="1405" t="s">
        <v>5299</v>
      </c>
      <c r="G2088" s="1403" t="s">
        <v>14359</v>
      </c>
      <c r="H2088" s="1406" t="s">
        <v>1025</v>
      </c>
    </row>
    <row r="2089" spans="1:8" x14ac:dyDescent="0.2">
      <c r="A2089" s="7"/>
      <c r="B2089" s="1407" t="str">
        <f t="shared" si="32"/>
        <v>Fotis Lampis</v>
      </c>
      <c r="C2089" s="1402" t="s">
        <v>10854</v>
      </c>
      <c r="D2089" s="1403" t="s">
        <v>3363</v>
      </c>
      <c r="E2089" s="1404" t="s">
        <v>10899</v>
      </c>
      <c r="F2089" s="1405" t="s">
        <v>5299</v>
      </c>
      <c r="G2089" s="1403" t="s">
        <v>14359</v>
      </c>
      <c r="H2089" s="1406" t="s">
        <v>1025</v>
      </c>
    </row>
    <row r="2090" spans="1:8" x14ac:dyDescent="0.2">
      <c r="A2090" s="7"/>
      <c r="B2090" s="1407" t="str">
        <f t="shared" si="32"/>
        <v>Stavros Messonisanakis</v>
      </c>
      <c r="C2090" s="1402" t="s">
        <v>11022</v>
      </c>
      <c r="D2090" s="1403" t="s">
        <v>3336</v>
      </c>
      <c r="E2090" s="1404" t="s">
        <v>11098</v>
      </c>
      <c r="F2090" s="1405" t="s">
        <v>5299</v>
      </c>
      <c r="G2090" s="1403" t="s">
        <v>3213</v>
      </c>
      <c r="H2090" s="1406" t="s">
        <v>1025</v>
      </c>
    </row>
    <row r="2091" spans="1:8" x14ac:dyDescent="0.2">
      <c r="A2091" s="7"/>
      <c r="B2091" s="1407" t="str">
        <f t="shared" si="32"/>
        <v>Fotios Rovalis</v>
      </c>
      <c r="C2091" s="1402" t="s">
        <v>11023</v>
      </c>
      <c r="D2091" s="1403" t="s">
        <v>8274</v>
      </c>
      <c r="E2091" s="1404" t="s">
        <v>11099</v>
      </c>
      <c r="F2091" s="1405" t="s">
        <v>5300</v>
      </c>
      <c r="G2091" s="1403" t="s">
        <v>14359</v>
      </c>
      <c r="H2091" s="1406" t="s">
        <v>1025</v>
      </c>
    </row>
    <row r="2092" spans="1:8" x14ac:dyDescent="0.2">
      <c r="A2092" s="7"/>
      <c r="B2092" s="1407" t="str">
        <f t="shared" si="32"/>
        <v>dimitrios Floros</v>
      </c>
      <c r="C2092" s="1402" t="s">
        <v>11024</v>
      </c>
      <c r="D2092" s="1403" t="s">
        <v>14601</v>
      </c>
      <c r="E2092" s="1404" t="s">
        <v>11100</v>
      </c>
      <c r="F2092" s="1405" t="s">
        <v>5299</v>
      </c>
      <c r="G2092" s="1403" t="s">
        <v>14359</v>
      </c>
      <c r="H2092" s="1406" t="s">
        <v>1025</v>
      </c>
    </row>
    <row r="2093" spans="1:8" x14ac:dyDescent="0.2">
      <c r="A2093" s="7"/>
      <c r="B2093" s="1407" t="str">
        <f t="shared" si="32"/>
        <v>Konstantinos Stefanis</v>
      </c>
      <c r="C2093" s="1402" t="s">
        <v>11025</v>
      </c>
      <c r="D2093" s="1403" t="s">
        <v>6986</v>
      </c>
      <c r="E2093" s="1404" t="s">
        <v>11101</v>
      </c>
      <c r="F2093" s="1405" t="s">
        <v>5299</v>
      </c>
      <c r="G2093" s="1403" t="s">
        <v>3213</v>
      </c>
      <c r="H2093" s="1406" t="s">
        <v>1025</v>
      </c>
    </row>
    <row r="2094" spans="1:8" x14ac:dyDescent="0.2">
      <c r="A2094" s="7"/>
      <c r="B2094" s="1407" t="str">
        <f t="shared" si="32"/>
        <v>Efthimios Kollias</v>
      </c>
      <c r="C2094" s="1402" t="s">
        <v>6225</v>
      </c>
      <c r="D2094" s="1403" t="s">
        <v>6961</v>
      </c>
      <c r="E2094" s="1404" t="s">
        <v>11102</v>
      </c>
      <c r="F2094" s="1405" t="s">
        <v>5299</v>
      </c>
      <c r="G2094" s="1403" t="s">
        <v>14600</v>
      </c>
      <c r="H2094" s="1406" t="s">
        <v>1025</v>
      </c>
    </row>
    <row r="2095" spans="1:8" x14ac:dyDescent="0.2">
      <c r="A2095" s="7"/>
      <c r="B2095" s="1407" t="str">
        <f t="shared" si="32"/>
        <v>Panagiotis Tsagkaridis</v>
      </c>
      <c r="C2095" s="1402" t="s">
        <v>11026</v>
      </c>
      <c r="D2095" s="1403" t="s">
        <v>3249</v>
      </c>
      <c r="E2095" s="1404" t="s">
        <v>11103</v>
      </c>
      <c r="F2095" s="1405" t="s">
        <v>5300</v>
      </c>
      <c r="G2095" s="1403" t="s">
        <v>10265</v>
      </c>
      <c r="H2095" s="1406" t="s">
        <v>1025</v>
      </c>
    </row>
    <row r="2096" spans="1:8" x14ac:dyDescent="0.2">
      <c r="A2096" s="7"/>
      <c r="B2096" s="1407" t="str">
        <f t="shared" si="32"/>
        <v>Iosif Orfanoudakis</v>
      </c>
      <c r="C2096" s="1402" t="s">
        <v>11027</v>
      </c>
      <c r="D2096" s="1403" t="s">
        <v>11075</v>
      </c>
      <c r="E2096" s="1404" t="s">
        <v>11104</v>
      </c>
      <c r="F2096" s="1405" t="s">
        <v>5300</v>
      </c>
      <c r="G2096" s="1403" t="s">
        <v>14359</v>
      </c>
      <c r="H2096" s="1406" t="s">
        <v>1025</v>
      </c>
    </row>
    <row r="2097" spans="1:8" x14ac:dyDescent="0.2">
      <c r="A2097" s="7"/>
      <c r="B2097" s="1407" t="str">
        <f t="shared" si="32"/>
        <v>Anderas Kampas</v>
      </c>
      <c r="C2097" s="1402" t="s">
        <v>11028</v>
      </c>
      <c r="D2097" s="1403" t="s">
        <v>11076</v>
      </c>
      <c r="E2097" s="1404" t="s">
        <v>11105</v>
      </c>
      <c r="F2097" s="1405" t="s">
        <v>5299</v>
      </c>
      <c r="G2097" s="1403" t="s">
        <v>14359</v>
      </c>
      <c r="H2097" s="1406" t="s">
        <v>1025</v>
      </c>
    </row>
    <row r="2098" spans="1:8" x14ac:dyDescent="0.2">
      <c r="A2098" s="7"/>
      <c r="B2098" s="1407" t="str">
        <f t="shared" si="32"/>
        <v>Giorgos Psychopoulos</v>
      </c>
      <c r="C2098" s="1402" t="s">
        <v>8120</v>
      </c>
      <c r="D2098" s="1403" t="s">
        <v>3040</v>
      </c>
      <c r="E2098" s="1404" t="s">
        <v>11106</v>
      </c>
      <c r="F2098" s="1405" t="s">
        <v>13211</v>
      </c>
      <c r="G2098" s="1403" t="s">
        <v>14359</v>
      </c>
      <c r="H2098" s="1406" t="s">
        <v>1025</v>
      </c>
    </row>
    <row r="2099" spans="1:8" x14ac:dyDescent="0.2">
      <c r="A2099" s="7"/>
      <c r="B2099" s="1407" t="str">
        <f t="shared" si="32"/>
        <v>Leonidas Orfanoudakis</v>
      </c>
      <c r="C2099" s="1402" t="s">
        <v>11027</v>
      </c>
      <c r="D2099" s="1403" t="s">
        <v>3211</v>
      </c>
      <c r="E2099" s="1404" t="s">
        <v>11107</v>
      </c>
      <c r="F2099" s="1405" t="s">
        <v>13211</v>
      </c>
      <c r="G2099" s="1403" t="s">
        <v>14359</v>
      </c>
      <c r="H2099" s="1406" t="s">
        <v>1025</v>
      </c>
    </row>
    <row r="2100" spans="1:8" x14ac:dyDescent="0.2">
      <c r="A2100" s="7"/>
      <c r="B2100" s="1407" t="str">
        <f t="shared" si="32"/>
        <v>Panagiotis Rouvalis</v>
      </c>
      <c r="C2100" s="1402" t="s">
        <v>11029</v>
      </c>
      <c r="D2100" s="1403" t="s">
        <v>3249</v>
      </c>
      <c r="E2100" s="1404" t="s">
        <v>11108</v>
      </c>
      <c r="F2100" s="1405" t="s">
        <v>13211</v>
      </c>
      <c r="G2100" s="1403" t="s">
        <v>14359</v>
      </c>
      <c r="H2100" s="1406" t="s">
        <v>1025</v>
      </c>
    </row>
    <row r="2101" spans="1:8" x14ac:dyDescent="0.2">
      <c r="A2101" s="7"/>
      <c r="B2101" s="1407" t="str">
        <f t="shared" si="32"/>
        <v>Athanasios Kotrotsos</v>
      </c>
      <c r="C2101" s="1402" t="s">
        <v>6203</v>
      </c>
      <c r="D2101" s="1403" t="s">
        <v>3472</v>
      </c>
      <c r="E2101" s="1404" t="s">
        <v>11109</v>
      </c>
      <c r="F2101" s="1405" t="s">
        <v>13211</v>
      </c>
      <c r="G2101" s="1403" t="s">
        <v>3213</v>
      </c>
      <c r="H2101" s="1406" t="s">
        <v>1025</v>
      </c>
    </row>
    <row r="2102" spans="1:8" x14ac:dyDescent="0.2">
      <c r="A2102" s="7"/>
      <c r="B2102" s="1407" t="str">
        <f t="shared" si="32"/>
        <v>Athanasios Papazoglou</v>
      </c>
      <c r="C2102" s="1402" t="s">
        <v>7388</v>
      </c>
      <c r="D2102" s="1403" t="s">
        <v>3472</v>
      </c>
      <c r="E2102" s="1404" t="s">
        <v>11110</v>
      </c>
      <c r="F2102" s="1405" t="s">
        <v>5300</v>
      </c>
      <c r="G2102" s="1403" t="s">
        <v>14359</v>
      </c>
      <c r="H2102" s="1406" t="s">
        <v>1025</v>
      </c>
    </row>
    <row r="2103" spans="1:8" x14ac:dyDescent="0.2">
      <c r="A2103" s="7"/>
      <c r="B2103" s="1407" t="str">
        <f t="shared" si="32"/>
        <v>Giannis Vardakis</v>
      </c>
      <c r="C2103" s="1402" t="s">
        <v>11030</v>
      </c>
      <c r="D2103" s="1403" t="s">
        <v>3083</v>
      </c>
      <c r="E2103" s="1404" t="s">
        <v>11111</v>
      </c>
      <c r="F2103" s="1405" t="s">
        <v>5300</v>
      </c>
      <c r="G2103" s="1403" t="s">
        <v>14359</v>
      </c>
      <c r="H2103" s="1406" t="s">
        <v>1025</v>
      </c>
    </row>
    <row r="2104" spans="1:8" x14ac:dyDescent="0.2">
      <c r="A2104" s="7"/>
      <c r="B2104" s="1407" t="str">
        <f t="shared" si="32"/>
        <v>Dimitrios Tsakoniatis</v>
      </c>
      <c r="C2104" s="1402" t="s">
        <v>11031</v>
      </c>
      <c r="D2104" s="1403" t="s">
        <v>5644</v>
      </c>
      <c r="E2104" s="1404" t="s">
        <v>11112</v>
      </c>
      <c r="F2104" s="1405" t="s">
        <v>5300</v>
      </c>
      <c r="G2104" s="1403" t="s">
        <v>14359</v>
      </c>
      <c r="H2104" s="1406" t="s">
        <v>1025</v>
      </c>
    </row>
    <row r="2105" spans="1:8" x14ac:dyDescent="0.2">
      <c r="A2105" s="7"/>
      <c r="B2105" s="1407" t="str">
        <f t="shared" si="32"/>
        <v>Konstantinos Theodosiou</v>
      </c>
      <c r="C2105" s="1402" t="s">
        <v>11032</v>
      </c>
      <c r="D2105" s="1403" t="s">
        <v>6986</v>
      </c>
      <c r="E2105" s="1404" t="s">
        <v>11113</v>
      </c>
      <c r="F2105" s="1405" t="s">
        <v>13211</v>
      </c>
      <c r="G2105" s="1403" t="s">
        <v>14359</v>
      </c>
      <c r="H2105" s="1406" t="s">
        <v>1025</v>
      </c>
    </row>
    <row r="2106" spans="1:8" x14ac:dyDescent="0.2">
      <c r="A2106" s="7"/>
      <c r="B2106" s="1407" t="str">
        <f t="shared" si="32"/>
        <v>Michalis Tsiakalos</v>
      </c>
      <c r="C2106" s="1402" t="s">
        <v>8131</v>
      </c>
      <c r="D2106" s="1403" t="s">
        <v>3580</v>
      </c>
      <c r="E2106" s="1404" t="s">
        <v>11114</v>
      </c>
      <c r="F2106" s="1405" t="s">
        <v>13210</v>
      </c>
      <c r="G2106" s="1403" t="s">
        <v>14359</v>
      </c>
      <c r="H2106" s="1406" t="s">
        <v>1025</v>
      </c>
    </row>
    <row r="2107" spans="1:8" x14ac:dyDescent="0.2">
      <c r="A2107" s="7"/>
      <c r="B2107" s="1407" t="str">
        <f t="shared" si="32"/>
        <v>Konstantinos Charalambou</v>
      </c>
      <c r="C2107" s="1402" t="s">
        <v>11033</v>
      </c>
      <c r="D2107" s="1403" t="s">
        <v>6986</v>
      </c>
      <c r="E2107" s="1404" t="s">
        <v>11115</v>
      </c>
      <c r="F2107" s="1405" t="s">
        <v>13210</v>
      </c>
      <c r="G2107" s="1403" t="s">
        <v>14359</v>
      </c>
      <c r="H2107" s="1406" t="s">
        <v>1025</v>
      </c>
    </row>
    <row r="2108" spans="1:8" x14ac:dyDescent="0.2">
      <c r="A2108" s="7"/>
      <c r="B2108" s="1407" t="str">
        <f t="shared" si="32"/>
        <v>Nikolaos Patrinos</v>
      </c>
      <c r="C2108" s="1402" t="s">
        <v>6163</v>
      </c>
      <c r="D2108" s="1403" t="s">
        <v>5554</v>
      </c>
      <c r="E2108" s="1404" t="s">
        <v>11116</v>
      </c>
      <c r="F2108" s="1405" t="s">
        <v>13211</v>
      </c>
      <c r="G2108" s="1403" t="s">
        <v>14359</v>
      </c>
      <c r="H2108" s="1406" t="s">
        <v>1025</v>
      </c>
    </row>
    <row r="2109" spans="1:8" x14ac:dyDescent="0.2">
      <c r="A2109" s="7"/>
      <c r="B2109" s="1407" t="str">
        <f t="shared" si="32"/>
        <v>Panagiotis Charamis</v>
      </c>
      <c r="C2109" s="1402" t="s">
        <v>11034</v>
      </c>
      <c r="D2109" s="1403" t="s">
        <v>3249</v>
      </c>
      <c r="E2109" s="1404" t="s">
        <v>11117</v>
      </c>
      <c r="F2109" s="1405" t="s">
        <v>5299</v>
      </c>
      <c r="G2109" s="1403" t="s">
        <v>14359</v>
      </c>
      <c r="H2109" s="1406" t="s">
        <v>1025</v>
      </c>
    </row>
    <row r="2110" spans="1:8" x14ac:dyDescent="0.2">
      <c r="A2110" s="7"/>
      <c r="B2110" s="1407" t="str">
        <f t="shared" si="32"/>
        <v>Stavros Mellios</v>
      </c>
      <c r="C2110" s="1402" t="s">
        <v>11035</v>
      </c>
      <c r="D2110" s="1403" t="s">
        <v>3336</v>
      </c>
      <c r="E2110" s="1404" t="s">
        <v>11118</v>
      </c>
      <c r="F2110" s="1405" t="s">
        <v>13211</v>
      </c>
      <c r="G2110" s="1403" t="s">
        <v>15175</v>
      </c>
      <c r="H2110" s="1406" t="s">
        <v>1025</v>
      </c>
    </row>
    <row r="2111" spans="1:8" x14ac:dyDescent="0.2">
      <c r="A2111" s="7"/>
      <c r="B2111" s="1407" t="str">
        <f t="shared" si="32"/>
        <v>Symeon Galanopoulos</v>
      </c>
      <c r="C2111" s="1402" t="s">
        <v>9936</v>
      </c>
      <c r="D2111" s="1403" t="s">
        <v>6129</v>
      </c>
      <c r="E2111" s="1404" t="s">
        <v>11119</v>
      </c>
      <c r="F2111" s="1405" t="s">
        <v>1563</v>
      </c>
      <c r="G2111" s="1403" t="s">
        <v>15175</v>
      </c>
      <c r="H2111" s="1406" t="s">
        <v>1025</v>
      </c>
    </row>
    <row r="2112" spans="1:8" x14ac:dyDescent="0.2">
      <c r="A2112" s="7"/>
      <c r="B2112" s="1407" t="str">
        <f t="shared" si="32"/>
        <v>Kostantinos Galanopoulos</v>
      </c>
      <c r="C2112" s="1402" t="s">
        <v>9936</v>
      </c>
      <c r="D2112" s="1403" t="s">
        <v>8263</v>
      </c>
      <c r="E2112" s="1404" t="s">
        <v>11120</v>
      </c>
      <c r="F2112" s="1405" t="s">
        <v>1563</v>
      </c>
      <c r="G2112" s="1403" t="s">
        <v>15175</v>
      </c>
      <c r="H2112" s="1406" t="s">
        <v>1025</v>
      </c>
    </row>
    <row r="2113" spans="1:8" x14ac:dyDescent="0.2">
      <c r="A2113" s="7"/>
      <c r="B2113" s="1407" t="str">
        <f t="shared" si="32"/>
        <v>Christos Filippou</v>
      </c>
      <c r="C2113" s="1402" t="s">
        <v>9400</v>
      </c>
      <c r="D2113" s="1403" t="s">
        <v>3135</v>
      </c>
      <c r="E2113" s="1404" t="s">
        <v>11121</v>
      </c>
      <c r="F2113" s="1405" t="s">
        <v>13211</v>
      </c>
      <c r="G2113" s="1403" t="s">
        <v>15175</v>
      </c>
      <c r="H2113" s="1406" t="s">
        <v>1025</v>
      </c>
    </row>
    <row r="2114" spans="1:8" x14ac:dyDescent="0.2">
      <c r="A2114" s="7"/>
      <c r="B2114" s="1407" t="str">
        <f t="shared" si="32"/>
        <v>Giorgos Matos</v>
      </c>
      <c r="C2114" s="1402" t="s">
        <v>5796</v>
      </c>
      <c r="D2114" s="1403" t="s">
        <v>3040</v>
      </c>
      <c r="E2114" s="1404" t="s">
        <v>11122</v>
      </c>
      <c r="F2114" s="1405" t="s">
        <v>5299</v>
      </c>
      <c r="G2114" s="1403" t="s">
        <v>14359</v>
      </c>
      <c r="H2114" s="1406" t="s">
        <v>1025</v>
      </c>
    </row>
    <row r="2115" spans="1:8" x14ac:dyDescent="0.2">
      <c r="A2115" s="7"/>
      <c r="B2115" s="1407" t="str">
        <f t="shared" si="32"/>
        <v>Asterios Tsimoudis</v>
      </c>
      <c r="C2115" s="1402" t="s">
        <v>11036</v>
      </c>
      <c r="D2115" s="1403" t="s">
        <v>11077</v>
      </c>
      <c r="E2115" s="1404" t="s">
        <v>11123</v>
      </c>
      <c r="F2115" s="1405" t="s">
        <v>5299</v>
      </c>
      <c r="G2115" s="1403" t="s">
        <v>14359</v>
      </c>
      <c r="H2115" s="1406" t="s">
        <v>1025</v>
      </c>
    </row>
    <row r="2116" spans="1:8" x14ac:dyDescent="0.2">
      <c r="A2116" s="7"/>
      <c r="B2116" s="1407" t="str">
        <f t="shared" si="32"/>
        <v>Michalis Chiotis</v>
      </c>
      <c r="C2116" s="1402" t="s">
        <v>11037</v>
      </c>
      <c r="D2116" s="1403" t="s">
        <v>3580</v>
      </c>
      <c r="E2116" s="1404" t="s">
        <v>11124</v>
      </c>
      <c r="F2116" s="1405" t="s">
        <v>13211</v>
      </c>
      <c r="G2116" s="1403" t="s">
        <v>3213</v>
      </c>
      <c r="H2116" s="1406" t="s">
        <v>1025</v>
      </c>
    </row>
    <row r="2117" spans="1:8" x14ac:dyDescent="0.2">
      <c r="A2117" s="7"/>
      <c r="B2117" s="1407" t="str">
        <f t="shared" si="32"/>
        <v>Emmanouil Chiotis</v>
      </c>
      <c r="C2117" s="1402" t="s">
        <v>11037</v>
      </c>
      <c r="D2117" s="1403" t="s">
        <v>6991</v>
      </c>
      <c r="E2117" s="1404" t="s">
        <v>11125</v>
      </c>
      <c r="F2117" s="1405" t="s">
        <v>5300</v>
      </c>
      <c r="G2117" s="1403" t="s">
        <v>14359</v>
      </c>
      <c r="H2117" s="1406" t="s">
        <v>1025</v>
      </c>
    </row>
    <row r="2118" spans="1:8" x14ac:dyDescent="0.2">
      <c r="A2118" s="7"/>
      <c r="B2118" s="1407" t="str">
        <f t="shared" si="32"/>
        <v>Spyros Spyropoulos</v>
      </c>
      <c r="C2118" s="1402" t="s">
        <v>11038</v>
      </c>
      <c r="D2118" s="1403" t="s">
        <v>3050</v>
      </c>
      <c r="E2118" s="1404" t="s">
        <v>11126</v>
      </c>
      <c r="F2118" s="1405" t="s">
        <v>5300</v>
      </c>
      <c r="G2118" s="1403" t="s">
        <v>14359</v>
      </c>
      <c r="H2118" s="1406" t="s">
        <v>1025</v>
      </c>
    </row>
    <row r="2119" spans="1:8" x14ac:dyDescent="0.2">
      <c r="A2119" s="7"/>
      <c r="B2119" s="1407" t="str">
        <f t="shared" ref="B2119:B2182" si="33">TRIM(CONCATENATE(D2119," ",C2119))</f>
        <v>Giorgos Aggelos Spyropoulos</v>
      </c>
      <c r="C2119" s="1402" t="s">
        <v>11038</v>
      </c>
      <c r="D2119" s="1403" t="s">
        <v>11078</v>
      </c>
      <c r="E2119" s="1404" t="s">
        <v>11127</v>
      </c>
      <c r="F2119" s="1405" t="s">
        <v>1563</v>
      </c>
      <c r="G2119" s="1403" t="s">
        <v>7285</v>
      </c>
      <c r="H2119" s="1406" t="s">
        <v>1025</v>
      </c>
    </row>
    <row r="2120" spans="1:8" x14ac:dyDescent="0.2">
      <c r="A2120" s="7"/>
      <c r="B2120" s="1407" t="str">
        <f t="shared" si="33"/>
        <v>Giannis Afratis</v>
      </c>
      <c r="C2120" s="1402" t="s">
        <v>11198</v>
      </c>
      <c r="D2120" s="1403" t="s">
        <v>3083</v>
      </c>
      <c r="E2120" s="1404" t="s">
        <v>11263</v>
      </c>
      <c r="F2120" s="1405" t="s">
        <v>5300</v>
      </c>
      <c r="G2120" s="1403" t="s">
        <v>14359</v>
      </c>
      <c r="H2120" s="1406" t="s">
        <v>1025</v>
      </c>
    </row>
    <row r="2121" spans="1:8" x14ac:dyDescent="0.2">
      <c r="A2121" s="7"/>
      <c r="B2121" s="1407" t="str">
        <f t="shared" si="33"/>
        <v>Georgios Valsamakis</v>
      </c>
      <c r="C2121" s="1402" t="s">
        <v>11199</v>
      </c>
      <c r="D2121" s="1403" t="s">
        <v>3324</v>
      </c>
      <c r="E2121" s="1404" t="s">
        <v>16991</v>
      </c>
      <c r="F2121" s="1405" t="s">
        <v>5300</v>
      </c>
      <c r="G2121" s="1403" t="s">
        <v>14359</v>
      </c>
      <c r="H2121" s="1406" t="s">
        <v>1025</v>
      </c>
    </row>
    <row r="2122" spans="1:8" x14ac:dyDescent="0.2">
      <c r="A2122" s="7"/>
      <c r="B2122" s="1407" t="str">
        <f t="shared" si="33"/>
        <v>Aristogiton Valsamakis</v>
      </c>
      <c r="C2122" s="1402" t="s">
        <v>11199</v>
      </c>
      <c r="D2122" s="1403" t="s">
        <v>11238</v>
      </c>
      <c r="E2122" s="1404" t="s">
        <v>11264</v>
      </c>
      <c r="F2122" s="1405" t="s">
        <v>13211</v>
      </c>
      <c r="G2122" s="1403" t="s">
        <v>14359</v>
      </c>
      <c r="H2122" s="1406" t="s">
        <v>1025</v>
      </c>
    </row>
    <row r="2123" spans="1:8" x14ac:dyDescent="0.2">
      <c r="A2123" s="7"/>
      <c r="B2123" s="1407" t="str">
        <f t="shared" si="33"/>
        <v>Haralambos Valsamakis</v>
      </c>
      <c r="C2123" s="1402" t="s">
        <v>11199</v>
      </c>
      <c r="D2123" s="1403" t="s">
        <v>11239</v>
      </c>
      <c r="E2123" s="1404" t="s">
        <v>11265</v>
      </c>
      <c r="F2123" s="1405" t="s">
        <v>13211</v>
      </c>
      <c r="G2123" s="1403" t="s">
        <v>14359</v>
      </c>
      <c r="H2123" s="1406" t="s">
        <v>1025</v>
      </c>
    </row>
    <row r="2124" spans="1:8" x14ac:dyDescent="0.2">
      <c r="A2124" s="7"/>
      <c r="B2124" s="1407" t="str">
        <f t="shared" si="33"/>
        <v>Petros Tezapsidis</v>
      </c>
      <c r="C2124" s="1402" t="s">
        <v>11200</v>
      </c>
      <c r="D2124" s="1403" t="s">
        <v>5635</v>
      </c>
      <c r="E2124" s="1404" t="s">
        <v>11266</v>
      </c>
      <c r="F2124" s="1405" t="s">
        <v>5300</v>
      </c>
      <c r="G2124" s="1403" t="s">
        <v>10264</v>
      </c>
      <c r="H2124" s="1406" t="s">
        <v>1025</v>
      </c>
    </row>
    <row r="2125" spans="1:8" x14ac:dyDescent="0.2">
      <c r="A2125" s="7"/>
      <c r="B2125" s="1407" t="str">
        <f t="shared" si="33"/>
        <v>Aggelos-Konstantinos Kolokotronis</v>
      </c>
      <c r="C2125" s="1402" t="s">
        <v>8130</v>
      </c>
      <c r="D2125" s="1403" t="s">
        <v>11240</v>
      </c>
      <c r="E2125" s="1404" t="s">
        <v>11267</v>
      </c>
      <c r="F2125" s="1405" t="s">
        <v>13211</v>
      </c>
      <c r="G2125" s="1403" t="s">
        <v>14359</v>
      </c>
      <c r="H2125" s="1406" t="s">
        <v>1025</v>
      </c>
    </row>
    <row r="2126" spans="1:8" x14ac:dyDescent="0.2">
      <c r="A2126" s="7"/>
      <c r="B2126" s="1407" t="str">
        <f t="shared" si="33"/>
        <v>Thanos Theodosiou</v>
      </c>
      <c r="C2126" s="1402" t="s">
        <v>11032</v>
      </c>
      <c r="D2126" s="1403" t="s">
        <v>6973</v>
      </c>
      <c r="E2126" s="1404" t="s">
        <v>11268</v>
      </c>
      <c r="F2126" s="1405" t="s">
        <v>5299</v>
      </c>
      <c r="G2126" s="1403" t="s">
        <v>14359</v>
      </c>
      <c r="H2126" s="1406" t="s">
        <v>1025</v>
      </c>
    </row>
    <row r="2127" spans="1:8" x14ac:dyDescent="0.2">
      <c r="A2127" s="7"/>
      <c r="B2127" s="1407" t="str">
        <f t="shared" si="33"/>
        <v>Georgios Papazoglou</v>
      </c>
      <c r="C2127" s="1402" t="s">
        <v>7388</v>
      </c>
      <c r="D2127" s="1403" t="s">
        <v>3324</v>
      </c>
      <c r="E2127" s="1404" t="s">
        <v>11269</v>
      </c>
      <c r="F2127" s="1405" t="s">
        <v>5300</v>
      </c>
      <c r="G2127" s="1403" t="s">
        <v>14359</v>
      </c>
      <c r="H2127" s="1406" t="s">
        <v>1025</v>
      </c>
    </row>
    <row r="2128" spans="1:8" x14ac:dyDescent="0.2">
      <c r="A2128" s="7"/>
      <c r="B2128" s="1407" t="str">
        <f t="shared" si="33"/>
        <v>Miltiadis Avgitidis</v>
      </c>
      <c r="C2128" s="1402" t="s">
        <v>11361</v>
      </c>
      <c r="D2128" s="1403" t="s">
        <v>3113</v>
      </c>
      <c r="E2128" s="1404" t="s">
        <v>11395</v>
      </c>
      <c r="F2128" s="1405" t="s">
        <v>5299</v>
      </c>
      <c r="G2128" s="1403" t="s">
        <v>14359</v>
      </c>
      <c r="H2128" s="1406" t="s">
        <v>1025</v>
      </c>
    </row>
    <row r="2129" spans="1:8" x14ac:dyDescent="0.2">
      <c r="A2129" s="7"/>
      <c r="B2129" s="1407" t="str">
        <f t="shared" si="33"/>
        <v>Georgios M Avgitidis</v>
      </c>
      <c r="C2129" s="1402" t="s">
        <v>11361</v>
      </c>
      <c r="D2129" s="1403" t="s">
        <v>11377</v>
      </c>
      <c r="E2129" s="1404" t="s">
        <v>11396</v>
      </c>
      <c r="F2129" s="1405" t="s">
        <v>13210</v>
      </c>
      <c r="G2129" s="1403" t="s">
        <v>14359</v>
      </c>
      <c r="H2129" s="1406" t="s">
        <v>1025</v>
      </c>
    </row>
    <row r="2130" spans="1:8" x14ac:dyDescent="0.2">
      <c r="A2130" s="7"/>
      <c r="B2130" s="1407" t="str">
        <f t="shared" si="33"/>
        <v>Nikolaos Avgitidis</v>
      </c>
      <c r="C2130" s="1402" t="s">
        <v>11361</v>
      </c>
      <c r="D2130" s="1403" t="s">
        <v>5554</v>
      </c>
      <c r="E2130" s="1404" t="s">
        <v>11397</v>
      </c>
      <c r="F2130" s="1405" t="s">
        <v>5299</v>
      </c>
      <c r="G2130" s="1403" t="s">
        <v>14359</v>
      </c>
      <c r="H2130" s="1406" t="s">
        <v>1025</v>
      </c>
    </row>
    <row r="2131" spans="1:8" x14ac:dyDescent="0.2">
      <c r="A2131" s="7"/>
      <c r="B2131" s="1407" t="str">
        <f t="shared" si="33"/>
        <v>Georgios N Avgitidis</v>
      </c>
      <c r="C2131" s="1402" t="s">
        <v>11361</v>
      </c>
      <c r="D2131" s="1403" t="s">
        <v>11378</v>
      </c>
      <c r="E2131" s="1404" t="s">
        <v>11398</v>
      </c>
      <c r="F2131" s="1405" t="s">
        <v>13211</v>
      </c>
      <c r="G2131" s="1403" t="s">
        <v>14359</v>
      </c>
      <c r="H2131" s="1406" t="s">
        <v>1025</v>
      </c>
    </row>
    <row r="2132" spans="1:8" x14ac:dyDescent="0.2">
      <c r="A2132" s="7"/>
      <c r="B2132" s="1407" t="str">
        <f t="shared" si="33"/>
        <v>Eleftherios Kanetis</v>
      </c>
      <c r="C2132" s="1402" t="s">
        <v>13240</v>
      </c>
      <c r="D2132" s="1403" t="s">
        <v>7808</v>
      </c>
      <c r="E2132" s="1404" t="s">
        <v>13241</v>
      </c>
      <c r="F2132" s="1405" t="s">
        <v>5299</v>
      </c>
      <c r="G2132" s="1403" t="s">
        <v>9449</v>
      </c>
      <c r="H2132" s="1406" t="s">
        <v>1025</v>
      </c>
    </row>
    <row r="2133" spans="1:8" x14ac:dyDescent="0.2">
      <c r="A2133" s="7"/>
      <c r="B2133" s="1407" t="str">
        <f t="shared" si="33"/>
        <v>Giorgos Spanos</v>
      </c>
      <c r="C2133" s="1402" t="s">
        <v>13242</v>
      </c>
      <c r="D2133" s="1403" t="s">
        <v>3040</v>
      </c>
      <c r="E2133" s="1404" t="s">
        <v>13243</v>
      </c>
      <c r="F2133" s="1405" t="s">
        <v>5299</v>
      </c>
      <c r="G2133" s="1403" t="s">
        <v>17171</v>
      </c>
      <c r="H2133" s="1406" t="s">
        <v>1025</v>
      </c>
    </row>
    <row r="2134" spans="1:8" x14ac:dyDescent="0.2">
      <c r="A2134" s="7"/>
      <c r="B2134" s="1407" t="str">
        <f t="shared" si="33"/>
        <v>Giannis Nikolaidis</v>
      </c>
      <c r="C2134" s="1402" t="s">
        <v>13244</v>
      </c>
      <c r="D2134" s="1403" t="s">
        <v>3083</v>
      </c>
      <c r="E2134" s="1404" t="s">
        <v>13245</v>
      </c>
      <c r="F2134" s="1405" t="s">
        <v>5300</v>
      </c>
      <c r="G2134" s="1403" t="s">
        <v>2745</v>
      </c>
      <c r="H2134" s="1406" t="s">
        <v>1025</v>
      </c>
    </row>
    <row r="2135" spans="1:8" x14ac:dyDescent="0.2">
      <c r="A2135" s="7"/>
      <c r="B2135" s="1407" t="str">
        <f t="shared" si="33"/>
        <v>Fratzeskos Roussis</v>
      </c>
      <c r="C2135" s="1402" t="s">
        <v>13246</v>
      </c>
      <c r="D2135" s="1403" t="s">
        <v>13247</v>
      </c>
      <c r="E2135" s="1404" t="s">
        <v>13248</v>
      </c>
      <c r="F2135" s="1405" t="s">
        <v>5299</v>
      </c>
      <c r="G2135" s="1403" t="s">
        <v>14359</v>
      </c>
      <c r="H2135" s="1406" t="s">
        <v>1025</v>
      </c>
    </row>
    <row r="2136" spans="1:8" x14ac:dyDescent="0.2">
      <c r="A2136" s="7"/>
      <c r="B2136" s="1407" t="str">
        <f t="shared" si="33"/>
        <v>Dimosthenis Moschopoulos</v>
      </c>
      <c r="C2136" s="1402" t="s">
        <v>13249</v>
      </c>
      <c r="D2136" s="1403" t="s">
        <v>5601</v>
      </c>
      <c r="E2136" s="1404" t="s">
        <v>13250</v>
      </c>
      <c r="F2136" s="1405" t="s">
        <v>5299</v>
      </c>
      <c r="G2136" s="1403" t="s">
        <v>14359</v>
      </c>
      <c r="H2136" s="1406" t="s">
        <v>1025</v>
      </c>
    </row>
    <row r="2137" spans="1:8" x14ac:dyDescent="0.2">
      <c r="A2137" s="7"/>
      <c r="B2137" s="1407" t="str">
        <f t="shared" si="33"/>
        <v>Vasilis Stergiou</v>
      </c>
      <c r="C2137" s="1402" t="s">
        <v>13251</v>
      </c>
      <c r="D2137" s="1403" t="s">
        <v>3630</v>
      </c>
      <c r="E2137" s="1404" t="s">
        <v>13252</v>
      </c>
      <c r="F2137" s="1405" t="s">
        <v>13211</v>
      </c>
      <c r="G2137" s="1403" t="s">
        <v>14359</v>
      </c>
      <c r="H2137" s="1406" t="s">
        <v>1025</v>
      </c>
    </row>
    <row r="2138" spans="1:8" x14ac:dyDescent="0.2">
      <c r="A2138" s="7"/>
      <c r="B2138" s="1407" t="str">
        <f t="shared" si="33"/>
        <v>Dimitris Stergiou</v>
      </c>
      <c r="C2138" s="1402" t="s">
        <v>13251</v>
      </c>
      <c r="D2138" s="1403" t="s">
        <v>3099</v>
      </c>
      <c r="E2138" s="1404" t="s">
        <v>13253</v>
      </c>
      <c r="F2138" s="1405" t="s">
        <v>13211</v>
      </c>
      <c r="G2138" s="1403" t="s">
        <v>14359</v>
      </c>
      <c r="H2138" s="1406" t="s">
        <v>1025</v>
      </c>
    </row>
    <row r="2139" spans="1:8" x14ac:dyDescent="0.2">
      <c r="A2139" s="7"/>
      <c r="B2139" s="1407" t="str">
        <f t="shared" si="33"/>
        <v>Giorgos Iordanidis</v>
      </c>
      <c r="C2139" s="1402" t="s">
        <v>13254</v>
      </c>
      <c r="D2139" s="1403" t="s">
        <v>3040</v>
      </c>
      <c r="E2139" s="1404" t="s">
        <v>13255</v>
      </c>
      <c r="F2139" s="1405" t="s">
        <v>5300</v>
      </c>
      <c r="G2139" s="1403" t="s">
        <v>10265</v>
      </c>
      <c r="H2139" s="1406" t="s">
        <v>1025</v>
      </c>
    </row>
    <row r="2140" spans="1:8" x14ac:dyDescent="0.2">
      <c r="A2140" s="7"/>
      <c r="B2140" s="1407" t="str">
        <f t="shared" si="33"/>
        <v>Theodoros Chatzidialechtos</v>
      </c>
      <c r="C2140" s="1402" t="s">
        <v>13256</v>
      </c>
      <c r="D2140" s="1403" t="s">
        <v>5579</v>
      </c>
      <c r="E2140" s="1404" t="s">
        <v>13257</v>
      </c>
      <c r="F2140" s="1405" t="s">
        <v>5299</v>
      </c>
      <c r="G2140" s="1403" t="s">
        <v>10265</v>
      </c>
      <c r="H2140" s="1406" t="s">
        <v>1025</v>
      </c>
    </row>
    <row r="2141" spans="1:8" x14ac:dyDescent="0.2">
      <c r="A2141" s="7"/>
      <c r="B2141" s="1407" t="str">
        <f t="shared" si="33"/>
        <v>Konstantinos Sochoritis</v>
      </c>
      <c r="C2141" s="1402" t="s">
        <v>13897</v>
      </c>
      <c r="D2141" s="1403" t="s">
        <v>6986</v>
      </c>
      <c r="E2141" s="1404" t="s">
        <v>13258</v>
      </c>
      <c r="F2141" s="1405" t="s">
        <v>5300</v>
      </c>
      <c r="G2141" s="1403" t="s">
        <v>2745</v>
      </c>
      <c r="H2141" s="1406" t="s">
        <v>1025</v>
      </c>
    </row>
    <row r="2142" spans="1:8" x14ac:dyDescent="0.2">
      <c r="A2142" s="7"/>
      <c r="B2142" s="1407" t="str">
        <f t="shared" si="33"/>
        <v>Eleftherios Meros</v>
      </c>
      <c r="C2142" s="1402" t="s">
        <v>6174</v>
      </c>
      <c r="D2142" s="1403" t="s">
        <v>7808</v>
      </c>
      <c r="E2142" s="1404" t="s">
        <v>13259</v>
      </c>
      <c r="F2142" s="1405" t="s">
        <v>5300</v>
      </c>
      <c r="G2142" s="1403" t="s">
        <v>2760</v>
      </c>
      <c r="H2142" s="1406" t="s">
        <v>1025</v>
      </c>
    </row>
    <row r="2143" spans="1:8" x14ac:dyDescent="0.2">
      <c r="A2143" s="7"/>
      <c r="B2143" s="1407" t="str">
        <f t="shared" si="33"/>
        <v>Petros Kosmas</v>
      </c>
      <c r="C2143" s="1402" t="s">
        <v>13260</v>
      </c>
      <c r="D2143" s="1403" t="s">
        <v>5635</v>
      </c>
      <c r="E2143" s="1404" t="s">
        <v>13261</v>
      </c>
      <c r="F2143" s="1405" t="s">
        <v>5299</v>
      </c>
      <c r="G2143" s="1403" t="s">
        <v>14359</v>
      </c>
      <c r="H2143" s="1406" t="s">
        <v>1025</v>
      </c>
    </row>
    <row r="2144" spans="1:8" x14ac:dyDescent="0.2">
      <c r="A2144" s="7"/>
      <c r="B2144" s="1407" t="str">
        <f t="shared" si="33"/>
        <v>Emmanouil Paraschis</v>
      </c>
      <c r="C2144" s="1402" t="s">
        <v>13262</v>
      </c>
      <c r="D2144" s="1403" t="s">
        <v>6991</v>
      </c>
      <c r="E2144" s="1404" t="s">
        <v>13263</v>
      </c>
      <c r="F2144" s="1405" t="s">
        <v>5299</v>
      </c>
      <c r="G2144" s="1403" t="s">
        <v>14359</v>
      </c>
      <c r="H2144" s="1406" t="s">
        <v>1025</v>
      </c>
    </row>
    <row r="2145" spans="1:8" x14ac:dyDescent="0.2">
      <c r="A2145" s="7"/>
      <c r="B2145" s="1407" t="str">
        <f t="shared" si="33"/>
        <v>Spyridon Paraschis</v>
      </c>
      <c r="C2145" s="1402" t="s">
        <v>13262</v>
      </c>
      <c r="D2145" s="1403" t="s">
        <v>7806</v>
      </c>
      <c r="E2145" s="1404" t="s">
        <v>13264</v>
      </c>
      <c r="F2145" s="1405" t="s">
        <v>5299</v>
      </c>
      <c r="G2145" s="1403" t="s">
        <v>14359</v>
      </c>
      <c r="H2145" s="1406" t="s">
        <v>1025</v>
      </c>
    </row>
    <row r="2146" spans="1:8" x14ac:dyDescent="0.2">
      <c r="A2146" s="7"/>
      <c r="B2146" s="1407" t="str">
        <f t="shared" si="33"/>
        <v>Georgios Stamatakis</v>
      </c>
      <c r="C2146" s="1402" t="s">
        <v>13265</v>
      </c>
      <c r="D2146" s="1403" t="s">
        <v>3324</v>
      </c>
      <c r="E2146" s="1404" t="s">
        <v>13266</v>
      </c>
      <c r="F2146" s="1405" t="s">
        <v>5299</v>
      </c>
      <c r="G2146" s="1403" t="s">
        <v>14359</v>
      </c>
      <c r="H2146" s="1406" t="s">
        <v>1025</v>
      </c>
    </row>
    <row r="2147" spans="1:8" x14ac:dyDescent="0.2">
      <c r="A2147" s="7"/>
      <c r="B2147" s="1407" t="str">
        <f t="shared" si="33"/>
        <v>Eleftherios Iordanidis</v>
      </c>
      <c r="C2147" s="1402" t="s">
        <v>13254</v>
      </c>
      <c r="D2147" s="1403" t="s">
        <v>7808</v>
      </c>
      <c r="E2147" s="1404" t="s">
        <v>13267</v>
      </c>
      <c r="F2147" s="1405" t="s">
        <v>5299</v>
      </c>
      <c r="G2147" s="1403" t="s">
        <v>14359</v>
      </c>
      <c r="H2147" s="1406" t="s">
        <v>1025</v>
      </c>
    </row>
    <row r="2148" spans="1:8" x14ac:dyDescent="0.2">
      <c r="A2148" s="7"/>
      <c r="B2148" s="1407" t="str">
        <f t="shared" si="33"/>
        <v>Ioulianos Prombonas</v>
      </c>
      <c r="C2148" s="1402" t="s">
        <v>13268</v>
      </c>
      <c r="D2148" s="1403" t="s">
        <v>13269</v>
      </c>
      <c r="E2148" s="1404" t="s">
        <v>13270</v>
      </c>
      <c r="F2148" s="1405" t="s">
        <v>5300</v>
      </c>
      <c r="G2148" s="1403" t="s">
        <v>14359</v>
      </c>
      <c r="H2148" s="1406" t="s">
        <v>1025</v>
      </c>
    </row>
    <row r="2149" spans="1:8" x14ac:dyDescent="0.2">
      <c r="A2149" s="7"/>
      <c r="B2149" s="1407" t="str">
        <f t="shared" si="33"/>
        <v>Evangelia Vasileiadou</v>
      </c>
      <c r="C2149" s="1402" t="s">
        <v>13271</v>
      </c>
      <c r="D2149" s="1403" t="s">
        <v>13272</v>
      </c>
      <c r="E2149" s="1404" t="s">
        <v>13273</v>
      </c>
      <c r="F2149" s="1405" t="s">
        <v>5299</v>
      </c>
      <c r="G2149" s="1403" t="s">
        <v>14359</v>
      </c>
      <c r="H2149" s="1406" t="s">
        <v>1025</v>
      </c>
    </row>
    <row r="2150" spans="1:8" x14ac:dyDescent="0.2">
      <c r="A2150" s="7"/>
      <c r="B2150" s="1407" t="str">
        <f t="shared" si="33"/>
        <v>Theodore Kouniadis</v>
      </c>
      <c r="C2150" s="1402" t="s">
        <v>13274</v>
      </c>
      <c r="D2150" s="1403" t="s">
        <v>13275</v>
      </c>
      <c r="E2150" s="1404" t="s">
        <v>13276</v>
      </c>
      <c r="F2150" s="1405" t="s">
        <v>5299</v>
      </c>
      <c r="G2150" s="1403" t="s">
        <v>14359</v>
      </c>
      <c r="H2150" s="1406" t="s">
        <v>1025</v>
      </c>
    </row>
    <row r="2151" spans="1:8" x14ac:dyDescent="0.2">
      <c r="A2151" s="7"/>
      <c r="B2151" s="1407" t="str">
        <f t="shared" si="33"/>
        <v>Alex Bogdanidis</v>
      </c>
      <c r="C2151" s="1402" t="s">
        <v>6081</v>
      </c>
      <c r="D2151" s="1403" t="s">
        <v>3130</v>
      </c>
      <c r="E2151" s="1404" t="s">
        <v>13277</v>
      </c>
      <c r="F2151" s="1405" t="s">
        <v>1563</v>
      </c>
      <c r="G2151" s="1403" t="s">
        <v>17170</v>
      </c>
      <c r="H2151" s="1406" t="s">
        <v>1025</v>
      </c>
    </row>
    <row r="2152" spans="1:8" x14ac:dyDescent="0.2">
      <c r="A2152" s="7"/>
      <c r="B2152" s="1407" t="str">
        <f t="shared" si="33"/>
        <v>Konstantinos Hatzopoulos</v>
      </c>
      <c r="C2152" s="1402" t="s">
        <v>13278</v>
      </c>
      <c r="D2152" s="1403" t="s">
        <v>6986</v>
      </c>
      <c r="E2152" s="1404" t="s">
        <v>13279</v>
      </c>
      <c r="F2152" s="1405" t="s">
        <v>5300</v>
      </c>
      <c r="G2152" s="1403" t="s">
        <v>14359</v>
      </c>
      <c r="H2152" s="1406" t="s">
        <v>1025</v>
      </c>
    </row>
    <row r="2153" spans="1:8" x14ac:dyDescent="0.2">
      <c r="A2153" s="7"/>
      <c r="B2153" s="1407" t="str">
        <f t="shared" si="33"/>
        <v>Ioannis Galanis</v>
      </c>
      <c r="C2153" s="1402" t="s">
        <v>13280</v>
      </c>
      <c r="D2153" s="1403" t="s">
        <v>3350</v>
      </c>
      <c r="E2153" s="1404" t="s">
        <v>13281</v>
      </c>
      <c r="F2153" s="1405" t="s">
        <v>5300</v>
      </c>
      <c r="G2153" s="1403" t="s">
        <v>14359</v>
      </c>
      <c r="H2153" s="1406" t="s">
        <v>1025</v>
      </c>
    </row>
    <row r="2154" spans="1:8" x14ac:dyDescent="0.2">
      <c r="A2154" s="7"/>
      <c r="B2154" s="1407" t="str">
        <f t="shared" si="33"/>
        <v>Georgios Lamprakis</v>
      </c>
      <c r="C2154" s="1402" t="s">
        <v>8070</v>
      </c>
      <c r="D2154" s="1403" t="s">
        <v>3324</v>
      </c>
      <c r="E2154" s="1404" t="s">
        <v>13282</v>
      </c>
      <c r="F2154" s="1405" t="s">
        <v>5299</v>
      </c>
      <c r="G2154" s="1403" t="s">
        <v>14359</v>
      </c>
      <c r="H2154" s="1406" t="s">
        <v>1025</v>
      </c>
    </row>
    <row r="2155" spans="1:8" x14ac:dyDescent="0.2">
      <c r="A2155" s="7"/>
      <c r="B2155" s="1407" t="str">
        <f t="shared" si="33"/>
        <v>Georgios Derekis</v>
      </c>
      <c r="C2155" s="1402" t="s">
        <v>13283</v>
      </c>
      <c r="D2155" s="1403" t="s">
        <v>3324</v>
      </c>
      <c r="E2155" s="1404" t="s">
        <v>13284</v>
      </c>
      <c r="F2155" s="1405" t="s">
        <v>5300</v>
      </c>
      <c r="G2155" s="1403" t="s">
        <v>14359</v>
      </c>
      <c r="H2155" s="1406" t="s">
        <v>1025</v>
      </c>
    </row>
    <row r="2156" spans="1:8" x14ac:dyDescent="0.2">
      <c r="A2156" s="7"/>
      <c r="B2156" s="1407" t="str">
        <f t="shared" si="33"/>
        <v>Dimitris Arnis Alexandrou</v>
      </c>
      <c r="C2156" s="1402" t="s">
        <v>13285</v>
      </c>
      <c r="D2156" s="1403" t="s">
        <v>13286</v>
      </c>
      <c r="E2156" s="1404" t="s">
        <v>13287</v>
      </c>
      <c r="F2156" s="1405" t="s">
        <v>5299</v>
      </c>
      <c r="G2156" s="1403" t="s">
        <v>14359</v>
      </c>
      <c r="H2156" s="1406" t="s">
        <v>1025</v>
      </c>
    </row>
    <row r="2157" spans="1:8" x14ac:dyDescent="0.2">
      <c r="A2157" s="7"/>
      <c r="B2157" s="1407" t="str">
        <f t="shared" si="33"/>
        <v>Minas Kakiltakis</v>
      </c>
      <c r="C2157" s="1402" t="s">
        <v>13288</v>
      </c>
      <c r="D2157" s="1403" t="s">
        <v>13289</v>
      </c>
      <c r="E2157" s="1404" t="s">
        <v>13290</v>
      </c>
      <c r="F2157" s="1405" t="s">
        <v>5300</v>
      </c>
      <c r="G2157" s="1403" t="s">
        <v>13590</v>
      </c>
      <c r="H2157" s="1406" t="s">
        <v>1025</v>
      </c>
    </row>
    <row r="2158" spans="1:8" x14ac:dyDescent="0.2">
      <c r="A2158" s="7"/>
      <c r="B2158" s="1407" t="str">
        <f t="shared" si="33"/>
        <v>Georgios Evangelou</v>
      </c>
      <c r="C2158" s="1402" t="s">
        <v>13291</v>
      </c>
      <c r="D2158" s="1403" t="s">
        <v>3324</v>
      </c>
      <c r="E2158" s="1404" t="s">
        <v>13292</v>
      </c>
      <c r="F2158" s="1405" t="s">
        <v>5299</v>
      </c>
      <c r="G2158" s="1403" t="s">
        <v>13590</v>
      </c>
      <c r="H2158" s="1406" t="s">
        <v>1025</v>
      </c>
    </row>
    <row r="2159" spans="1:8" x14ac:dyDescent="0.2">
      <c r="A2159" s="7"/>
      <c r="B2159" s="1407" t="str">
        <f t="shared" si="33"/>
        <v>Nikos Vasiladiotis</v>
      </c>
      <c r="C2159" s="1402" t="s">
        <v>13293</v>
      </c>
      <c r="D2159" s="1403" t="s">
        <v>13294</v>
      </c>
      <c r="E2159" s="1404" t="s">
        <v>13295</v>
      </c>
      <c r="F2159" s="1405" t="s">
        <v>13211</v>
      </c>
      <c r="G2159" s="1403" t="s">
        <v>14359</v>
      </c>
      <c r="H2159" s="1406" t="s">
        <v>1025</v>
      </c>
    </row>
    <row r="2160" spans="1:8" x14ac:dyDescent="0.2">
      <c r="A2160" s="7"/>
      <c r="B2160" s="1407" t="str">
        <f t="shared" si="33"/>
        <v>Marios Visvikis</v>
      </c>
      <c r="C2160" s="1402" t="s">
        <v>13898</v>
      </c>
      <c r="D2160" s="1403" t="s">
        <v>3557</v>
      </c>
      <c r="E2160" s="1404" t="s">
        <v>13296</v>
      </c>
      <c r="F2160" s="1405" t="s">
        <v>5299</v>
      </c>
      <c r="G2160" s="1403" t="s">
        <v>14359</v>
      </c>
      <c r="H2160" s="1406" t="s">
        <v>1025</v>
      </c>
    </row>
    <row r="2161" spans="1:8" x14ac:dyDescent="0.2">
      <c r="A2161" s="7"/>
      <c r="B2161" s="1407" t="str">
        <f t="shared" si="33"/>
        <v>Vaios Kolofotias</v>
      </c>
      <c r="C2161" s="1402" t="s">
        <v>13297</v>
      </c>
      <c r="D2161" s="1403" t="s">
        <v>13298</v>
      </c>
      <c r="E2161" s="1404" t="s">
        <v>13299</v>
      </c>
      <c r="F2161" s="1405" t="s">
        <v>5300</v>
      </c>
      <c r="G2161" s="1403" t="s">
        <v>14359</v>
      </c>
      <c r="H2161" s="1406" t="s">
        <v>1025</v>
      </c>
    </row>
    <row r="2162" spans="1:8" x14ac:dyDescent="0.2">
      <c r="A2162" s="7"/>
      <c r="B2162" s="1407" t="str">
        <f t="shared" si="33"/>
        <v>Apollon Dimakeas</v>
      </c>
      <c r="C2162" s="1402" t="s">
        <v>6125</v>
      </c>
      <c r="D2162" s="1403" t="s">
        <v>8768</v>
      </c>
      <c r="E2162" s="1404" t="s">
        <v>13300</v>
      </c>
      <c r="F2162" s="1405" t="s">
        <v>1563</v>
      </c>
      <c r="G2162" s="1403" t="s">
        <v>3213</v>
      </c>
      <c r="H2162" s="1406" t="s">
        <v>1025</v>
      </c>
    </row>
    <row r="2163" spans="1:8" x14ac:dyDescent="0.2">
      <c r="A2163" s="7"/>
      <c r="B2163" s="1407" t="str">
        <f t="shared" si="33"/>
        <v>Iason Prionidis</v>
      </c>
      <c r="C2163" s="1402" t="s">
        <v>13301</v>
      </c>
      <c r="D2163" s="1403" t="s">
        <v>13302</v>
      </c>
      <c r="E2163" s="1404" t="s">
        <v>13303</v>
      </c>
      <c r="F2163" s="1405" t="s">
        <v>5299</v>
      </c>
      <c r="G2163" s="1403" t="s">
        <v>14359</v>
      </c>
      <c r="H2163" s="1406" t="s">
        <v>1025</v>
      </c>
    </row>
    <row r="2164" spans="1:8" x14ac:dyDescent="0.2">
      <c r="A2164" s="7"/>
      <c r="B2164" s="1407" t="str">
        <f t="shared" si="33"/>
        <v>Stylianos Kotakos</v>
      </c>
      <c r="C2164" s="1402" t="s">
        <v>13304</v>
      </c>
      <c r="D2164" s="1403" t="s">
        <v>8284</v>
      </c>
      <c r="E2164" s="1404" t="s">
        <v>13305</v>
      </c>
      <c r="F2164" s="1405" t="s">
        <v>13211</v>
      </c>
      <c r="G2164" s="1403" t="s">
        <v>5309</v>
      </c>
      <c r="H2164" s="1406" t="s">
        <v>1025</v>
      </c>
    </row>
    <row r="2165" spans="1:8" x14ac:dyDescent="0.2">
      <c r="A2165" s="7"/>
      <c r="B2165" s="1407" t="str">
        <f t="shared" si="33"/>
        <v>Andreas Vourakis</v>
      </c>
      <c r="C2165" s="1402" t="s">
        <v>13306</v>
      </c>
      <c r="D2165" s="1403" t="s">
        <v>3351</v>
      </c>
      <c r="E2165" s="1404" t="s">
        <v>13307</v>
      </c>
      <c r="F2165" s="1405" t="s">
        <v>5300</v>
      </c>
      <c r="G2165" s="1403" t="s">
        <v>10251</v>
      </c>
      <c r="H2165" s="1406" t="s">
        <v>1025</v>
      </c>
    </row>
    <row r="2166" spans="1:8" x14ac:dyDescent="0.2">
      <c r="A2166" s="7"/>
      <c r="B2166" s="1407" t="str">
        <f t="shared" si="33"/>
        <v>Ioannis Korakas</v>
      </c>
      <c r="C2166" s="1402" t="s">
        <v>13899</v>
      </c>
      <c r="D2166" s="1403" t="s">
        <v>3350</v>
      </c>
      <c r="E2166" s="1404" t="s">
        <v>13900</v>
      </c>
      <c r="F2166" s="1405" t="s">
        <v>5300</v>
      </c>
      <c r="G2166" s="1403" t="s">
        <v>14359</v>
      </c>
      <c r="H2166" s="1406" t="s">
        <v>1025</v>
      </c>
    </row>
    <row r="2167" spans="1:8" x14ac:dyDescent="0.2">
      <c r="A2167" s="7"/>
      <c r="B2167" s="1407" t="str">
        <f t="shared" si="33"/>
        <v>Emmanouil Chatzistavrakis</v>
      </c>
      <c r="C2167" s="1402" t="s">
        <v>13308</v>
      </c>
      <c r="D2167" s="1403" t="s">
        <v>6991</v>
      </c>
      <c r="E2167" s="1404" t="s">
        <v>13309</v>
      </c>
      <c r="F2167" s="1405" t="s">
        <v>1563</v>
      </c>
      <c r="G2167" s="1403" t="s">
        <v>3213</v>
      </c>
      <c r="H2167" s="1406" t="s">
        <v>1025</v>
      </c>
    </row>
    <row r="2168" spans="1:8" x14ac:dyDescent="0.2">
      <c r="A2168" s="7"/>
      <c r="B2168" s="1407" t="str">
        <f t="shared" si="33"/>
        <v>Konstantinos Argiris</v>
      </c>
      <c r="C2168" s="1402" t="s">
        <v>13310</v>
      </c>
      <c r="D2168" s="1403" t="s">
        <v>6986</v>
      </c>
      <c r="E2168" s="1404" t="s">
        <v>13311</v>
      </c>
      <c r="F2168" s="1405" t="s">
        <v>5299</v>
      </c>
      <c r="G2168" s="1403" t="s">
        <v>10265</v>
      </c>
      <c r="H2168" s="1406" t="s">
        <v>1025</v>
      </c>
    </row>
    <row r="2169" spans="1:8" x14ac:dyDescent="0.2">
      <c r="A2169" s="7"/>
      <c r="B2169" s="1407" t="str">
        <f t="shared" si="33"/>
        <v>Chrysoula Pappa</v>
      </c>
      <c r="C2169" s="1402" t="s">
        <v>13901</v>
      </c>
      <c r="D2169" s="1403" t="s">
        <v>13902</v>
      </c>
      <c r="E2169" s="1404" t="s">
        <v>13903</v>
      </c>
      <c r="F2169" s="1405" t="s">
        <v>5299</v>
      </c>
      <c r="G2169" s="1403" t="s">
        <v>2745</v>
      </c>
      <c r="H2169" s="1406" t="s">
        <v>1025</v>
      </c>
    </row>
    <row r="2170" spans="1:8" x14ac:dyDescent="0.2">
      <c r="A2170" s="7"/>
      <c r="B2170" s="1407" t="str">
        <f t="shared" si="33"/>
        <v>Iraklis Psychogyios</v>
      </c>
      <c r="C2170" s="1402" t="s">
        <v>13904</v>
      </c>
      <c r="D2170" s="1403" t="s">
        <v>13905</v>
      </c>
      <c r="E2170" s="1404" t="s">
        <v>13906</v>
      </c>
      <c r="F2170" s="1405" t="s">
        <v>5299</v>
      </c>
      <c r="G2170" s="1403" t="s">
        <v>14359</v>
      </c>
      <c r="H2170" s="1406" t="s">
        <v>1025</v>
      </c>
    </row>
    <row r="2171" spans="1:8" x14ac:dyDescent="0.2">
      <c r="A2171" s="7"/>
      <c r="B2171" s="1407" t="str">
        <f t="shared" si="33"/>
        <v>Vasilis Triantafyllou</v>
      </c>
      <c r="C2171" s="1402" t="s">
        <v>13907</v>
      </c>
      <c r="D2171" s="1403" t="s">
        <v>3630</v>
      </c>
      <c r="E2171" s="1404" t="s">
        <v>13908</v>
      </c>
      <c r="F2171" s="1405" t="s">
        <v>5299</v>
      </c>
      <c r="G2171" s="1403" t="s">
        <v>10265</v>
      </c>
      <c r="H2171" s="1406" t="s">
        <v>1025</v>
      </c>
    </row>
    <row r="2172" spans="1:8" x14ac:dyDescent="0.2">
      <c r="A2172" s="7"/>
      <c r="B2172" s="1407" t="str">
        <f t="shared" si="33"/>
        <v>George Charizopoulos</v>
      </c>
      <c r="C2172" s="1402" t="s">
        <v>13909</v>
      </c>
      <c r="D2172" s="1403" t="s">
        <v>3162</v>
      </c>
      <c r="E2172" s="1404" t="s">
        <v>13910</v>
      </c>
      <c r="F2172" s="1405" t="s">
        <v>1563</v>
      </c>
      <c r="G2172" s="1403" t="s">
        <v>14359</v>
      </c>
      <c r="H2172" s="1406" t="s">
        <v>1025</v>
      </c>
    </row>
    <row r="2173" spans="1:8" x14ac:dyDescent="0.2">
      <c r="A2173" s="7"/>
      <c r="B2173" s="1407" t="str">
        <f t="shared" si="33"/>
        <v>Argiris Michail</v>
      </c>
      <c r="C2173" s="1402" t="s">
        <v>8248</v>
      </c>
      <c r="D2173" s="1403" t="s">
        <v>13310</v>
      </c>
      <c r="E2173" s="1404" t="s">
        <v>13911</v>
      </c>
      <c r="F2173" s="1405" t="s">
        <v>5300</v>
      </c>
      <c r="G2173" s="1403" t="s">
        <v>14359</v>
      </c>
      <c r="H2173" s="1406" t="s">
        <v>1025</v>
      </c>
    </row>
    <row r="2174" spans="1:8" x14ac:dyDescent="0.2">
      <c r="A2174" s="7"/>
      <c r="B2174" s="1407" t="str">
        <f t="shared" si="33"/>
        <v>Avraam Adavalis</v>
      </c>
      <c r="C2174" s="1402" t="s">
        <v>13912</v>
      </c>
      <c r="D2174" s="1403" t="s">
        <v>13913</v>
      </c>
      <c r="E2174" s="1404" t="s">
        <v>13914</v>
      </c>
      <c r="F2174" s="1405" t="s">
        <v>5299</v>
      </c>
      <c r="G2174" s="1403" t="s">
        <v>14359</v>
      </c>
      <c r="H2174" s="1406" t="s">
        <v>1025</v>
      </c>
    </row>
    <row r="2175" spans="1:8" x14ac:dyDescent="0.2">
      <c r="A2175" s="7"/>
      <c r="B2175" s="1407" t="str">
        <f t="shared" si="33"/>
        <v>Dimitrios Pylarinos</v>
      </c>
      <c r="C2175" s="1402" t="s">
        <v>13915</v>
      </c>
      <c r="D2175" s="1403" t="s">
        <v>5644</v>
      </c>
      <c r="E2175" s="1404" t="s">
        <v>13916</v>
      </c>
      <c r="F2175" s="1405" t="s">
        <v>5299</v>
      </c>
      <c r="G2175" s="1403" t="s">
        <v>10265</v>
      </c>
      <c r="H2175" s="1406" t="s">
        <v>1025</v>
      </c>
    </row>
    <row r="2176" spans="1:8" x14ac:dyDescent="0.2">
      <c r="A2176" s="7"/>
      <c r="B2176" s="1407" t="str">
        <f t="shared" si="33"/>
        <v>Constantios Goulopoulos</v>
      </c>
      <c r="C2176" s="1402" t="s">
        <v>13917</v>
      </c>
      <c r="D2176" s="1403" t="s">
        <v>8278</v>
      </c>
      <c r="E2176" s="1404" t="s">
        <v>13918</v>
      </c>
      <c r="F2176" s="1405" t="s">
        <v>5299</v>
      </c>
      <c r="G2176" s="1403" t="s">
        <v>14359</v>
      </c>
      <c r="H2176" s="1406" t="s">
        <v>1025</v>
      </c>
    </row>
    <row r="2177" spans="1:8" x14ac:dyDescent="0.2">
      <c r="A2177" s="7"/>
      <c r="B2177" s="1407" t="str">
        <f t="shared" si="33"/>
        <v>Agis Filippos Karavas</v>
      </c>
      <c r="C2177" s="1402" t="s">
        <v>8136</v>
      </c>
      <c r="D2177" s="1403" t="s">
        <v>13919</v>
      </c>
      <c r="E2177" s="1404" t="s">
        <v>13920</v>
      </c>
      <c r="F2177" s="1405" t="s">
        <v>1563</v>
      </c>
      <c r="G2177" s="1403" t="s">
        <v>14359</v>
      </c>
      <c r="H2177" s="1406" t="s">
        <v>1025</v>
      </c>
    </row>
    <row r="2178" spans="1:8" x14ac:dyDescent="0.2">
      <c r="A2178" s="7"/>
      <c r="B2178" s="1407" t="str">
        <f t="shared" si="33"/>
        <v>Nikos Vasilopoulos</v>
      </c>
      <c r="C2178" s="1402" t="s">
        <v>6303</v>
      </c>
      <c r="D2178" s="1403" t="s">
        <v>13294</v>
      </c>
      <c r="E2178" s="1404" t="s">
        <v>13921</v>
      </c>
      <c r="F2178" s="1405" t="s">
        <v>5299</v>
      </c>
      <c r="G2178" s="1403" t="s">
        <v>14359</v>
      </c>
      <c r="H2178" s="1406" t="s">
        <v>1025</v>
      </c>
    </row>
    <row r="2179" spans="1:8" x14ac:dyDescent="0.2">
      <c r="A2179" s="7"/>
      <c r="B2179" s="1407" t="str">
        <f t="shared" si="33"/>
        <v>Theodoros Pilatos</v>
      </c>
      <c r="C2179" s="1402" t="s">
        <v>14602</v>
      </c>
      <c r="D2179" s="1403" t="s">
        <v>5579</v>
      </c>
      <c r="E2179" s="1404" t="s">
        <v>14603</v>
      </c>
      <c r="F2179" s="1405" t="s">
        <v>5299</v>
      </c>
      <c r="G2179" s="1403" t="s">
        <v>15175</v>
      </c>
      <c r="H2179" s="1406" t="s">
        <v>1025</v>
      </c>
    </row>
    <row r="2180" spans="1:8" x14ac:dyDescent="0.2">
      <c r="A2180" s="7"/>
      <c r="B2180" s="1407" t="str">
        <f t="shared" si="33"/>
        <v>Valsamas Elekidis</v>
      </c>
      <c r="C2180" s="1402" t="s">
        <v>14604</v>
      </c>
      <c r="D2180" s="1403" t="s">
        <v>14605</v>
      </c>
      <c r="E2180" s="1404" t="s">
        <v>14606</v>
      </c>
      <c r="F2180" s="1405" t="s">
        <v>5299</v>
      </c>
      <c r="G2180" s="1403" t="s">
        <v>14359</v>
      </c>
      <c r="H2180" s="1406" t="s">
        <v>1025</v>
      </c>
    </row>
    <row r="2181" spans="1:8" x14ac:dyDescent="0.2">
      <c r="A2181" s="7"/>
      <c r="B2181" s="1407" t="str">
        <f t="shared" si="33"/>
        <v>Vasilis Aivasliotis</v>
      </c>
      <c r="C2181" s="1402" t="s">
        <v>14607</v>
      </c>
      <c r="D2181" s="1403" t="s">
        <v>3630</v>
      </c>
      <c r="E2181" s="1404" t="s">
        <v>14608</v>
      </c>
      <c r="F2181" s="1405" t="s">
        <v>5299</v>
      </c>
      <c r="G2181" s="1403" t="s">
        <v>14359</v>
      </c>
      <c r="H2181" s="1406" t="s">
        <v>1025</v>
      </c>
    </row>
    <row r="2182" spans="1:8" x14ac:dyDescent="0.2">
      <c r="A2182" s="7"/>
      <c r="B2182" s="1407" t="str">
        <f t="shared" si="33"/>
        <v>Georgios Giannoulis</v>
      </c>
      <c r="C2182" s="1402" t="s">
        <v>14609</v>
      </c>
      <c r="D2182" s="1403" t="s">
        <v>3324</v>
      </c>
      <c r="E2182" s="1404" t="s">
        <v>14610</v>
      </c>
      <c r="F2182" s="1405" t="s">
        <v>5299</v>
      </c>
      <c r="G2182" s="1403" t="s">
        <v>14596</v>
      </c>
      <c r="H2182" s="1406" t="s">
        <v>1025</v>
      </c>
    </row>
    <row r="2183" spans="1:8" x14ac:dyDescent="0.2">
      <c r="A2183" s="7"/>
      <c r="B2183" s="1407" t="str">
        <f t="shared" ref="B2183:B2246" si="34">TRIM(CONCATENATE(D2183," ",C2183))</f>
        <v>Synodis Geerontitis</v>
      </c>
      <c r="C2183" s="1402" t="s">
        <v>14611</v>
      </c>
      <c r="D2183" s="1403" t="s">
        <v>14612</v>
      </c>
      <c r="E2183" s="1404" t="s">
        <v>14613</v>
      </c>
      <c r="F2183" s="1405" t="s">
        <v>5299</v>
      </c>
      <c r="G2183" s="1403" t="s">
        <v>14596</v>
      </c>
      <c r="H2183" s="1406" t="s">
        <v>1025</v>
      </c>
    </row>
    <row r="2184" spans="1:8" x14ac:dyDescent="0.2">
      <c r="A2184" s="7"/>
      <c r="B2184" s="1407" t="str">
        <f t="shared" si="34"/>
        <v>Ioannis Lytras</v>
      </c>
      <c r="C2184" s="1402" t="s">
        <v>14614</v>
      </c>
      <c r="D2184" s="1403" t="s">
        <v>3350</v>
      </c>
      <c r="E2184" s="1404" t="s">
        <v>14615</v>
      </c>
      <c r="F2184" s="1405" t="s">
        <v>5299</v>
      </c>
      <c r="G2184" s="1403" t="s">
        <v>15175</v>
      </c>
      <c r="H2184" s="1406" t="s">
        <v>1025</v>
      </c>
    </row>
    <row r="2185" spans="1:8" x14ac:dyDescent="0.2">
      <c r="A2185" s="7"/>
      <c r="B2185" s="1407" t="str">
        <f t="shared" si="34"/>
        <v>Menelaos Exarchou</v>
      </c>
      <c r="C2185" s="1402" t="s">
        <v>14616</v>
      </c>
      <c r="D2185" s="1403" t="s">
        <v>6971</v>
      </c>
      <c r="E2185" s="1404" t="s">
        <v>14617</v>
      </c>
      <c r="F2185" s="1405" t="s">
        <v>13211</v>
      </c>
      <c r="G2185" s="1403" t="s">
        <v>15175</v>
      </c>
      <c r="H2185" s="1406" t="s">
        <v>1025</v>
      </c>
    </row>
    <row r="2186" spans="1:8" x14ac:dyDescent="0.2">
      <c r="A2186" s="7"/>
      <c r="B2186" s="1407" t="str">
        <f t="shared" si="34"/>
        <v>Vasilios Stamoulis</v>
      </c>
      <c r="C2186" s="1402" t="s">
        <v>7397</v>
      </c>
      <c r="D2186" s="1403" t="s">
        <v>5511</v>
      </c>
      <c r="E2186" s="1404" t="s">
        <v>14618</v>
      </c>
      <c r="F2186" s="1405" t="s">
        <v>5300</v>
      </c>
      <c r="G2186" s="1403" t="s">
        <v>3213</v>
      </c>
      <c r="H2186" s="1406" t="s">
        <v>1025</v>
      </c>
    </row>
    <row r="2187" spans="1:8" x14ac:dyDescent="0.2">
      <c r="A2187" s="7"/>
      <c r="B2187" s="1407" t="str">
        <f t="shared" si="34"/>
        <v>Giorgos Kakopoulos</v>
      </c>
      <c r="C2187" s="1402" t="s">
        <v>14619</v>
      </c>
      <c r="D2187" s="1403" t="s">
        <v>3040</v>
      </c>
      <c r="E2187" s="1404" t="s">
        <v>14620</v>
      </c>
      <c r="F2187" s="1405" t="s">
        <v>5299</v>
      </c>
      <c r="G2187" s="1403" t="s">
        <v>14359</v>
      </c>
      <c r="H2187" s="1406" t="s">
        <v>1025</v>
      </c>
    </row>
    <row r="2188" spans="1:8" x14ac:dyDescent="0.2">
      <c r="A2188" s="7"/>
      <c r="B2188" s="1407" t="str">
        <f t="shared" si="34"/>
        <v>Zacharias Antonakis</v>
      </c>
      <c r="C2188" s="1402" t="s">
        <v>14621</v>
      </c>
      <c r="D2188" s="1403" t="s">
        <v>14622</v>
      </c>
      <c r="E2188" s="1404" t="s">
        <v>14623</v>
      </c>
      <c r="F2188" s="1405" t="s">
        <v>5299</v>
      </c>
      <c r="G2188" s="1403" t="s">
        <v>14359</v>
      </c>
      <c r="H2188" s="1406" t="s">
        <v>1025</v>
      </c>
    </row>
    <row r="2189" spans="1:8" x14ac:dyDescent="0.2">
      <c r="A2189" s="7"/>
      <c r="B2189" s="1407" t="str">
        <f t="shared" si="34"/>
        <v>Christos Dragoumis</v>
      </c>
      <c r="C2189" s="1402" t="s">
        <v>14624</v>
      </c>
      <c r="D2189" s="1403" t="s">
        <v>3135</v>
      </c>
      <c r="E2189" s="1404" t="s">
        <v>14625</v>
      </c>
      <c r="F2189" s="1405" t="s">
        <v>1563</v>
      </c>
      <c r="G2189" s="1403" t="s">
        <v>10264</v>
      </c>
      <c r="H2189" s="1406" t="s">
        <v>1025</v>
      </c>
    </row>
    <row r="2190" spans="1:8" x14ac:dyDescent="0.2">
      <c r="A2190" s="7"/>
      <c r="B2190" s="1407" t="str">
        <f t="shared" si="34"/>
        <v>Michail Dragoumis</v>
      </c>
      <c r="C2190" s="1402" t="s">
        <v>14624</v>
      </c>
      <c r="D2190" s="1403" t="s">
        <v>8248</v>
      </c>
      <c r="E2190" s="1404" t="s">
        <v>14626</v>
      </c>
      <c r="F2190" s="1405" t="s">
        <v>5300</v>
      </c>
      <c r="G2190" s="1403" t="s">
        <v>10264</v>
      </c>
      <c r="H2190" s="1406" t="s">
        <v>1025</v>
      </c>
    </row>
    <row r="2191" spans="1:8" x14ac:dyDescent="0.2">
      <c r="A2191" s="7"/>
      <c r="B2191" s="1407" t="str">
        <f t="shared" si="34"/>
        <v>Markos Seferlis</v>
      </c>
      <c r="C2191" s="1402" t="s">
        <v>14627</v>
      </c>
      <c r="D2191" s="1403" t="s">
        <v>5563</v>
      </c>
      <c r="E2191" s="1404" t="s">
        <v>14628</v>
      </c>
      <c r="F2191" s="1405" t="s">
        <v>5300</v>
      </c>
      <c r="G2191" s="1403" t="s">
        <v>14359</v>
      </c>
      <c r="H2191" s="1406" t="s">
        <v>1025</v>
      </c>
    </row>
    <row r="2192" spans="1:8" x14ac:dyDescent="0.2">
      <c r="A2192" s="7"/>
      <c r="B2192" s="1407" t="str">
        <f t="shared" si="34"/>
        <v>Kosmas Ximitidis</v>
      </c>
      <c r="C2192" s="1402" t="s">
        <v>14629</v>
      </c>
      <c r="D2192" s="1403" t="s">
        <v>13260</v>
      </c>
      <c r="E2192" s="1404" t="s">
        <v>14630</v>
      </c>
      <c r="F2192" s="1405" t="s">
        <v>5300</v>
      </c>
      <c r="G2192" s="1403" t="s">
        <v>14359</v>
      </c>
      <c r="H2192" s="1406" t="s">
        <v>1025</v>
      </c>
    </row>
    <row r="2193" spans="1:8" x14ac:dyDescent="0.2">
      <c r="A2193" s="7"/>
      <c r="B2193" s="1407" t="str">
        <f t="shared" si="34"/>
        <v>Eleftherios Ximitidis</v>
      </c>
      <c r="C2193" s="1402" t="s">
        <v>14629</v>
      </c>
      <c r="D2193" s="1403" t="s">
        <v>7808</v>
      </c>
      <c r="E2193" s="1404" t="s">
        <v>14631</v>
      </c>
      <c r="F2193" s="1405" t="s">
        <v>1563</v>
      </c>
      <c r="G2193" s="1403" t="s">
        <v>14359</v>
      </c>
      <c r="H2193" s="1406" t="s">
        <v>1025</v>
      </c>
    </row>
    <row r="2194" spans="1:8" x14ac:dyDescent="0.2">
      <c r="A2194" s="7"/>
      <c r="B2194" s="1407" t="str">
        <f t="shared" si="34"/>
        <v>Marianna Bouzid</v>
      </c>
      <c r="C2194" s="1402" t="s">
        <v>14632</v>
      </c>
      <c r="D2194" s="1403" t="s">
        <v>6990</v>
      </c>
      <c r="E2194" s="1404" t="s">
        <v>14633</v>
      </c>
      <c r="F2194" s="1405" t="s">
        <v>5299</v>
      </c>
      <c r="G2194" s="1403" t="s">
        <v>5309</v>
      </c>
      <c r="H2194" s="1406" t="s">
        <v>1025</v>
      </c>
    </row>
    <row r="2195" spans="1:8" x14ac:dyDescent="0.2">
      <c r="A2195" s="7"/>
      <c r="B2195" s="1407" t="str">
        <f t="shared" si="34"/>
        <v>Nikolaos Georganoudis</v>
      </c>
      <c r="C2195" s="1402" t="s">
        <v>14634</v>
      </c>
      <c r="D2195" s="1403" t="s">
        <v>5554</v>
      </c>
      <c r="E2195" s="1404" t="s">
        <v>14635</v>
      </c>
      <c r="F2195" s="1405" t="s">
        <v>13211</v>
      </c>
      <c r="G2195" s="1403" t="s">
        <v>5309</v>
      </c>
      <c r="H2195" s="1406" t="s">
        <v>1025</v>
      </c>
    </row>
    <row r="2196" spans="1:8" x14ac:dyDescent="0.2">
      <c r="A2196" s="7"/>
      <c r="B2196" s="1407" t="str">
        <f t="shared" si="34"/>
        <v>Konstantinos Zerdilas</v>
      </c>
      <c r="C2196" s="1402" t="s">
        <v>14636</v>
      </c>
      <c r="D2196" s="1403" t="s">
        <v>6986</v>
      </c>
      <c r="E2196" s="1404" t="s">
        <v>14637</v>
      </c>
      <c r="F2196" s="1405" t="s">
        <v>5299</v>
      </c>
      <c r="G2196" s="1403" t="s">
        <v>14359</v>
      </c>
      <c r="H2196" s="1406" t="s">
        <v>1025</v>
      </c>
    </row>
    <row r="2197" spans="1:8" x14ac:dyDescent="0.2">
      <c r="A2197" s="7"/>
      <c r="B2197" s="1407" t="str">
        <f t="shared" si="34"/>
        <v>Charalambos Zerdilas</v>
      </c>
      <c r="C2197" s="1402" t="s">
        <v>14636</v>
      </c>
      <c r="D2197" s="1403" t="s">
        <v>3493</v>
      </c>
      <c r="E2197" s="1404" t="s">
        <v>14638</v>
      </c>
      <c r="F2197" s="1405" t="s">
        <v>1563</v>
      </c>
      <c r="G2197" s="1403" t="s">
        <v>3213</v>
      </c>
      <c r="H2197" s="1406" t="s">
        <v>1025</v>
      </c>
    </row>
    <row r="2198" spans="1:8" x14ac:dyDescent="0.2">
      <c r="A2198" s="7"/>
      <c r="B2198" s="1407" t="str">
        <f t="shared" si="34"/>
        <v>Panagiotis Konidaris</v>
      </c>
      <c r="C2198" s="1402" t="s">
        <v>14639</v>
      </c>
      <c r="D2198" s="1403" t="s">
        <v>3249</v>
      </c>
      <c r="E2198" s="1404" t="s">
        <v>14640</v>
      </c>
      <c r="F2198" s="1405" t="s">
        <v>5300</v>
      </c>
      <c r="G2198" s="1403" t="s">
        <v>3213</v>
      </c>
      <c r="H2198" s="1406" t="s">
        <v>1025</v>
      </c>
    </row>
    <row r="2199" spans="1:8" x14ac:dyDescent="0.2">
      <c r="A2199" s="7"/>
      <c r="B2199" s="1407" t="str">
        <f t="shared" si="34"/>
        <v>Konstantinos Konidaris</v>
      </c>
      <c r="C2199" s="1402" t="s">
        <v>14639</v>
      </c>
      <c r="D2199" s="1403" t="s">
        <v>6986</v>
      </c>
      <c r="E2199" s="1404" t="s">
        <v>14641</v>
      </c>
      <c r="F2199" s="1405" t="s">
        <v>1563</v>
      </c>
      <c r="G2199" s="1403" t="s">
        <v>3213</v>
      </c>
      <c r="H2199" s="1406" t="s">
        <v>1025</v>
      </c>
    </row>
    <row r="2200" spans="1:8" x14ac:dyDescent="0.2">
      <c r="A2200" s="7"/>
      <c r="B2200" s="1407" t="str">
        <f t="shared" si="34"/>
        <v>Konstantinos Filipoppoulos</v>
      </c>
      <c r="C2200" s="1402" t="s">
        <v>14642</v>
      </c>
      <c r="D2200" s="1403" t="s">
        <v>6986</v>
      </c>
      <c r="E2200" s="1404" t="s">
        <v>14643</v>
      </c>
      <c r="F2200" s="1405" t="s">
        <v>5299</v>
      </c>
      <c r="G2200" s="1403" t="s">
        <v>14359</v>
      </c>
      <c r="H2200" s="1406" t="s">
        <v>1025</v>
      </c>
    </row>
    <row r="2201" spans="1:8" x14ac:dyDescent="0.2">
      <c r="A2201" s="7"/>
      <c r="B2201" s="1407" t="str">
        <f t="shared" si="34"/>
        <v>Charalampos Kazantzoglou</v>
      </c>
      <c r="C2201" s="1402" t="s">
        <v>6084</v>
      </c>
      <c r="D2201" s="1403" t="s">
        <v>8247</v>
      </c>
      <c r="E2201" s="1404" t="s">
        <v>14644</v>
      </c>
      <c r="F2201" s="1405" t="s">
        <v>5300</v>
      </c>
      <c r="G2201" s="1403" t="s">
        <v>13590</v>
      </c>
      <c r="H2201" s="1406" t="s">
        <v>1025</v>
      </c>
    </row>
    <row r="2202" spans="1:8" x14ac:dyDescent="0.2">
      <c r="A2202" s="7"/>
      <c r="B2202" s="1407" t="str">
        <f t="shared" si="34"/>
        <v>Nikolaos Ntais</v>
      </c>
      <c r="C2202" s="1402" t="s">
        <v>14645</v>
      </c>
      <c r="D2202" s="1403" t="s">
        <v>5554</v>
      </c>
      <c r="E2202" s="1404" t="s">
        <v>14646</v>
      </c>
      <c r="F2202" s="1405" t="s">
        <v>1563</v>
      </c>
      <c r="G2202" s="1403" t="s">
        <v>14359</v>
      </c>
      <c r="H2202" s="1406" t="s">
        <v>1025</v>
      </c>
    </row>
    <row r="2203" spans="1:8" x14ac:dyDescent="0.2">
      <c r="A2203" s="7"/>
      <c r="B2203" s="1407" t="str">
        <f t="shared" si="34"/>
        <v>Ilias Ntais</v>
      </c>
      <c r="C2203" s="1402" t="s">
        <v>14645</v>
      </c>
      <c r="D2203" s="1403" t="s">
        <v>6978</v>
      </c>
      <c r="E2203" s="1404" t="s">
        <v>14647</v>
      </c>
      <c r="F2203" s="1405" t="s">
        <v>13211</v>
      </c>
      <c r="G2203" s="1403" t="s">
        <v>14359</v>
      </c>
      <c r="H2203" s="1406" t="s">
        <v>1025</v>
      </c>
    </row>
    <row r="2204" spans="1:8" x14ac:dyDescent="0.2">
      <c r="A2204" s="7"/>
      <c r="B2204" s="1407" t="str">
        <f t="shared" si="34"/>
        <v>Valantis Dimitriadis</v>
      </c>
      <c r="C2204" s="1402" t="s">
        <v>14648</v>
      </c>
      <c r="D2204" s="1403" t="s">
        <v>9415</v>
      </c>
      <c r="E2204" s="1404" t="s">
        <v>14649</v>
      </c>
      <c r="F2204" s="1405" t="s">
        <v>1563</v>
      </c>
      <c r="G2204" s="1403" t="s">
        <v>14359</v>
      </c>
      <c r="H2204" s="1406" t="s">
        <v>1025</v>
      </c>
    </row>
    <row r="2205" spans="1:8" x14ac:dyDescent="0.2">
      <c r="A2205" s="7"/>
      <c r="B2205" s="1407" t="str">
        <f t="shared" si="34"/>
        <v>Athanasios Chaliotis</v>
      </c>
      <c r="C2205" s="1402" t="s">
        <v>14650</v>
      </c>
      <c r="D2205" s="1403" t="s">
        <v>3472</v>
      </c>
      <c r="E2205" s="1404" t="s">
        <v>14651</v>
      </c>
      <c r="F2205" s="1405" t="s">
        <v>5300</v>
      </c>
      <c r="G2205" s="1403" t="s">
        <v>2745</v>
      </c>
      <c r="H2205" s="1406" t="s">
        <v>1025</v>
      </c>
    </row>
    <row r="2206" spans="1:8" x14ac:dyDescent="0.2">
      <c r="A2206" s="7"/>
      <c r="B2206" s="1407" t="str">
        <f t="shared" si="34"/>
        <v>Konstantinos Chaliotis</v>
      </c>
      <c r="C2206" s="1402" t="s">
        <v>14650</v>
      </c>
      <c r="D2206" s="1403" t="s">
        <v>6986</v>
      </c>
      <c r="E2206" s="1404" t="s">
        <v>14652</v>
      </c>
      <c r="F2206" s="1405" t="s">
        <v>13211</v>
      </c>
      <c r="G2206" s="1403" t="s">
        <v>14359</v>
      </c>
      <c r="H2206" s="1406" t="s">
        <v>1025</v>
      </c>
    </row>
    <row r="2207" spans="1:8" x14ac:dyDescent="0.2">
      <c r="A2207" s="7"/>
      <c r="B2207" s="1407" t="str">
        <f t="shared" si="34"/>
        <v>Petros Papathomas</v>
      </c>
      <c r="C2207" s="1402" t="s">
        <v>14653</v>
      </c>
      <c r="D2207" s="1403" t="s">
        <v>5635</v>
      </c>
      <c r="E2207" s="1404" t="s">
        <v>14654</v>
      </c>
      <c r="F2207" s="1405" t="s">
        <v>5299</v>
      </c>
      <c r="G2207" s="1403" t="s">
        <v>14359</v>
      </c>
      <c r="H2207" s="1406" t="s">
        <v>1025</v>
      </c>
    </row>
    <row r="2208" spans="1:8" x14ac:dyDescent="0.2">
      <c r="A2208" s="7"/>
      <c r="B2208" s="1407" t="str">
        <f t="shared" si="34"/>
        <v>Ioannis Dementis</v>
      </c>
      <c r="C2208" s="1402" t="s">
        <v>14655</v>
      </c>
      <c r="D2208" s="1403" t="s">
        <v>3350</v>
      </c>
      <c r="E2208" s="1404" t="s">
        <v>14656</v>
      </c>
      <c r="F2208" s="1405" t="s">
        <v>5299</v>
      </c>
      <c r="G2208" s="1403" t="s">
        <v>10246</v>
      </c>
      <c r="H2208" s="1406" t="s">
        <v>1025</v>
      </c>
    </row>
    <row r="2209" spans="1:8" x14ac:dyDescent="0.2">
      <c r="A2209" s="7"/>
      <c r="B2209" s="1407" t="str">
        <f t="shared" si="34"/>
        <v>Konstantinos Karasavvas</v>
      </c>
      <c r="C2209" s="1402" t="s">
        <v>14657</v>
      </c>
      <c r="D2209" s="1403" t="s">
        <v>6986</v>
      </c>
      <c r="E2209" s="1404" t="s">
        <v>14658</v>
      </c>
      <c r="F2209" s="1405" t="s">
        <v>5299</v>
      </c>
      <c r="G2209" s="1403" t="s">
        <v>10251</v>
      </c>
      <c r="H2209" s="1406" t="s">
        <v>1025</v>
      </c>
    </row>
    <row r="2210" spans="1:8" x14ac:dyDescent="0.2">
      <c r="A2210" s="7"/>
      <c r="B2210" s="1407" t="str">
        <f t="shared" si="34"/>
        <v>Ioannis Stergiopoulos</v>
      </c>
      <c r="C2210" s="1402" t="s">
        <v>14659</v>
      </c>
      <c r="D2210" s="1403" t="s">
        <v>3350</v>
      </c>
      <c r="E2210" s="1404" t="s">
        <v>14660</v>
      </c>
      <c r="F2210" s="1405" t="s">
        <v>5299</v>
      </c>
      <c r="G2210" s="1403" t="s">
        <v>13590</v>
      </c>
      <c r="H2210" s="1406" t="s">
        <v>1025</v>
      </c>
    </row>
    <row r="2211" spans="1:8" x14ac:dyDescent="0.2">
      <c r="A2211" s="7"/>
      <c r="B2211" s="1407" t="str">
        <f t="shared" si="34"/>
        <v>Sotirios Papadimas</v>
      </c>
      <c r="C2211" s="1402" t="s">
        <v>14661</v>
      </c>
      <c r="D2211" s="1403" t="s">
        <v>8273</v>
      </c>
      <c r="E2211" s="1404" t="s">
        <v>14662</v>
      </c>
      <c r="F2211" s="1405" t="s">
        <v>5299</v>
      </c>
      <c r="G2211" s="1403" t="s">
        <v>14359</v>
      </c>
      <c r="H2211" s="1406" t="s">
        <v>1025</v>
      </c>
    </row>
    <row r="2212" spans="1:8" x14ac:dyDescent="0.2">
      <c r="A2212" s="7"/>
      <c r="B2212" s="1407" t="str">
        <f t="shared" si="34"/>
        <v>Vasilios Paliouras</v>
      </c>
      <c r="C2212" s="1402" t="s">
        <v>9753</v>
      </c>
      <c r="D2212" s="1403" t="s">
        <v>5511</v>
      </c>
      <c r="E2212" s="1404" t="s">
        <v>14663</v>
      </c>
      <c r="F2212" s="1405" t="s">
        <v>13211</v>
      </c>
      <c r="G2212" s="1403" t="s">
        <v>14359</v>
      </c>
      <c r="H2212" s="1406" t="s">
        <v>1025</v>
      </c>
    </row>
    <row r="2213" spans="1:8" x14ac:dyDescent="0.2">
      <c r="A2213" s="7"/>
      <c r="B2213" s="1407" t="str">
        <f t="shared" si="34"/>
        <v>Dimitris Giannoulas</v>
      </c>
      <c r="C2213" s="1402" t="s">
        <v>14664</v>
      </c>
      <c r="D2213" s="1403" t="s">
        <v>3099</v>
      </c>
      <c r="E2213" s="1404" t="s">
        <v>14665</v>
      </c>
      <c r="F2213" s="1405" t="s">
        <v>5299</v>
      </c>
      <c r="G2213" s="1403" t="s">
        <v>14359</v>
      </c>
      <c r="H2213" s="1406" t="s">
        <v>1025</v>
      </c>
    </row>
    <row r="2214" spans="1:8" x14ac:dyDescent="0.2">
      <c r="A2214" s="7"/>
      <c r="B2214" s="1407" t="str">
        <f t="shared" si="34"/>
        <v>Fanis Ellinas</v>
      </c>
      <c r="C2214" s="1402" t="s">
        <v>14666</v>
      </c>
      <c r="D2214" s="1403" t="s">
        <v>14667</v>
      </c>
      <c r="E2214" s="1404" t="s">
        <v>14668</v>
      </c>
      <c r="F2214" s="1405" t="s">
        <v>5300</v>
      </c>
      <c r="G2214" s="1403" t="s">
        <v>14359</v>
      </c>
      <c r="H2214" s="1406" t="s">
        <v>1025</v>
      </c>
    </row>
    <row r="2215" spans="1:8" x14ac:dyDescent="0.2">
      <c r="A2215" s="7"/>
      <c r="B2215" s="1407" t="str">
        <f t="shared" si="34"/>
        <v>Efthimis Ellinas</v>
      </c>
      <c r="C2215" s="1402" t="s">
        <v>14666</v>
      </c>
      <c r="D2215" s="1403" t="s">
        <v>14669</v>
      </c>
      <c r="E2215" s="1404" t="s">
        <v>14670</v>
      </c>
      <c r="F2215" s="1405" t="s">
        <v>1563</v>
      </c>
      <c r="G2215" s="1403" t="s">
        <v>14359</v>
      </c>
      <c r="H2215" s="1406" t="s">
        <v>1025</v>
      </c>
    </row>
    <row r="2216" spans="1:8" x14ac:dyDescent="0.2">
      <c r="A2216" s="7"/>
      <c r="B2216" s="1407" t="str">
        <f t="shared" si="34"/>
        <v>Maria Ellina</v>
      </c>
      <c r="C2216" s="1402" t="s">
        <v>14671</v>
      </c>
      <c r="D2216" s="1403" t="s">
        <v>3475</v>
      </c>
      <c r="E2216" s="1404" t="s">
        <v>14672</v>
      </c>
      <c r="F2216" s="1405" t="s">
        <v>1563</v>
      </c>
      <c r="G2216" s="1403" t="s">
        <v>14359</v>
      </c>
      <c r="H2216" s="1406" t="s">
        <v>1025</v>
      </c>
    </row>
    <row r="2217" spans="1:8" x14ac:dyDescent="0.2">
      <c r="A2217" s="7"/>
      <c r="B2217" s="1407" t="str">
        <f t="shared" si="34"/>
        <v>Athanasios Exarchou</v>
      </c>
      <c r="C2217" s="1402" t="s">
        <v>14616</v>
      </c>
      <c r="D2217" s="1403" t="s">
        <v>3472</v>
      </c>
      <c r="E2217" s="1404" t="s">
        <v>15519</v>
      </c>
      <c r="F2217" s="1405" t="s">
        <v>1563</v>
      </c>
      <c r="G2217" s="1403" t="s">
        <v>15175</v>
      </c>
      <c r="H2217" s="1406" t="s">
        <v>1025</v>
      </c>
    </row>
    <row r="2218" spans="1:8" x14ac:dyDescent="0.2">
      <c r="A2218" s="7"/>
      <c r="B2218" s="1407" t="str">
        <f t="shared" si="34"/>
        <v>Athanasios Delizisis</v>
      </c>
      <c r="C2218" s="1402" t="s">
        <v>15456</v>
      </c>
      <c r="D2218" s="1403" t="s">
        <v>3472</v>
      </c>
      <c r="E2218" s="1404" t="s">
        <v>15457</v>
      </c>
      <c r="F2218" s="1405" t="s">
        <v>5299</v>
      </c>
      <c r="G2218" s="1403" t="s">
        <v>14359</v>
      </c>
      <c r="H2218" s="1406" t="s">
        <v>1025</v>
      </c>
    </row>
    <row r="2219" spans="1:8" x14ac:dyDescent="0.2">
      <c r="A2219" s="7"/>
      <c r="B2219" s="1407" t="str">
        <f t="shared" si="34"/>
        <v>Ioannis Karnezis</v>
      </c>
      <c r="C2219" s="1402" t="s">
        <v>15733</v>
      </c>
      <c r="D2219" s="1403" t="s">
        <v>3350</v>
      </c>
      <c r="E2219" s="1404" t="s">
        <v>15734</v>
      </c>
      <c r="F2219" s="1405" t="s">
        <v>5299</v>
      </c>
      <c r="G2219" s="1403" t="s">
        <v>3213</v>
      </c>
      <c r="H2219" s="1406" t="s">
        <v>1025</v>
      </c>
    </row>
    <row r="2220" spans="1:8" x14ac:dyDescent="0.2">
      <c r="A2220" s="7"/>
      <c r="B2220" s="1407" t="str">
        <f t="shared" si="34"/>
        <v>Anastasios Menegakos</v>
      </c>
      <c r="C2220" s="1402" t="s">
        <v>15899</v>
      </c>
      <c r="D2220" s="1403" t="s">
        <v>3611</v>
      </c>
      <c r="E2220" s="1404" t="s">
        <v>15900</v>
      </c>
      <c r="F2220" s="1405" t="s">
        <v>5299</v>
      </c>
      <c r="G2220" s="1403" t="s">
        <v>14359</v>
      </c>
      <c r="H2220" s="1406" t="s">
        <v>1025</v>
      </c>
    </row>
    <row r="2221" spans="1:8" x14ac:dyDescent="0.2">
      <c r="A2221" s="7"/>
      <c r="B2221" s="1407" t="str">
        <f t="shared" si="34"/>
        <v>Georgios Batalis</v>
      </c>
      <c r="C2221" s="1402" t="s">
        <v>15225</v>
      </c>
      <c r="D2221" s="1403" t="s">
        <v>3324</v>
      </c>
      <c r="E2221" s="1404" t="s">
        <v>15226</v>
      </c>
      <c r="F2221" s="1405" t="s">
        <v>5299</v>
      </c>
      <c r="G2221" s="1403" t="s">
        <v>14359</v>
      </c>
      <c r="H2221" s="1406" t="s">
        <v>1025</v>
      </c>
    </row>
    <row r="2222" spans="1:8" x14ac:dyDescent="0.2">
      <c r="A2222" s="7"/>
      <c r="B2222" s="1407" t="str">
        <f t="shared" si="34"/>
        <v>Emmanouil Bimplis</v>
      </c>
      <c r="C2222" s="1402" t="s">
        <v>15250</v>
      </c>
      <c r="D2222" s="1403" t="s">
        <v>6991</v>
      </c>
      <c r="E2222" s="1404" t="s">
        <v>15251</v>
      </c>
      <c r="F2222" s="1405" t="s">
        <v>5299</v>
      </c>
      <c r="G2222" s="1403" t="s">
        <v>14359</v>
      </c>
      <c r="H2222" s="1406" t="s">
        <v>1025</v>
      </c>
    </row>
    <row r="2223" spans="1:8" x14ac:dyDescent="0.2">
      <c r="A2223" s="7"/>
      <c r="B2223" s="1407" t="str">
        <f t="shared" si="34"/>
        <v>Vasileios Nomikos</v>
      </c>
      <c r="C2223" s="1402" t="s">
        <v>6241</v>
      </c>
      <c r="D2223" s="1403" t="s">
        <v>5548</v>
      </c>
      <c r="E2223" s="1404" t="s">
        <v>15958</v>
      </c>
      <c r="F2223" s="1405" t="s">
        <v>5299</v>
      </c>
      <c r="G2223" s="1403" t="s">
        <v>14359</v>
      </c>
      <c r="H2223" s="1406" t="s">
        <v>1025</v>
      </c>
    </row>
    <row r="2224" spans="1:8" x14ac:dyDescent="0.2">
      <c r="A2224" s="7"/>
      <c r="B2224" s="1407" t="str">
        <f t="shared" si="34"/>
        <v>Marios-Georgios Papageorgiou</v>
      </c>
      <c r="C2224" s="1402" t="s">
        <v>6296</v>
      </c>
      <c r="D2224" s="1403" t="s">
        <v>15990</v>
      </c>
      <c r="E2224" s="1404" t="s">
        <v>15991</v>
      </c>
      <c r="F2224" s="1405" t="s">
        <v>5299</v>
      </c>
      <c r="G2224" s="1403" t="s">
        <v>14359</v>
      </c>
      <c r="H2224" s="1406" t="s">
        <v>1025</v>
      </c>
    </row>
    <row r="2225" spans="1:8" x14ac:dyDescent="0.2">
      <c r="A2225" s="7"/>
      <c r="B2225" s="1407" t="str">
        <f t="shared" si="34"/>
        <v>Ioannis Tselepidis</v>
      </c>
      <c r="C2225" s="1402" t="s">
        <v>6226</v>
      </c>
      <c r="D2225" s="1403" t="s">
        <v>3350</v>
      </c>
      <c r="E2225" s="1404" t="s">
        <v>16308</v>
      </c>
      <c r="F2225" s="1405" t="s">
        <v>5299</v>
      </c>
      <c r="G2225" s="1403" t="s">
        <v>14359</v>
      </c>
      <c r="H2225" s="1406" t="s">
        <v>1025</v>
      </c>
    </row>
    <row r="2226" spans="1:8" x14ac:dyDescent="0.2">
      <c r="A2226" s="7"/>
      <c r="B2226" s="1407" t="str">
        <f t="shared" si="34"/>
        <v>Nikolaos Haroulis</v>
      </c>
      <c r="C2226" s="1402" t="s">
        <v>15653</v>
      </c>
      <c r="D2226" s="1403" t="s">
        <v>5554</v>
      </c>
      <c r="E2226" s="1404" t="s">
        <v>15654</v>
      </c>
      <c r="F2226" s="1405" t="s">
        <v>5299</v>
      </c>
      <c r="G2226" s="1403" t="s">
        <v>14359</v>
      </c>
      <c r="H2226" s="1406" t="s">
        <v>1025</v>
      </c>
    </row>
    <row r="2227" spans="1:8" x14ac:dyDescent="0.2">
      <c r="A2227" s="7"/>
      <c r="B2227" s="1407" t="str">
        <f t="shared" si="34"/>
        <v>Raul Ramirez-Pena</v>
      </c>
      <c r="C2227" s="1402" t="s">
        <v>16104</v>
      </c>
      <c r="D2227" s="1403" t="s">
        <v>16105</v>
      </c>
      <c r="E2227" s="1404" t="s">
        <v>16106</v>
      </c>
      <c r="F2227" s="1405" t="s">
        <v>5300</v>
      </c>
      <c r="G2227" s="1403" t="s">
        <v>14359</v>
      </c>
      <c r="H2227" s="1406" t="s">
        <v>1025</v>
      </c>
    </row>
    <row r="2228" spans="1:8" x14ac:dyDescent="0.2">
      <c r="A2228" s="7"/>
      <c r="B2228" s="1407" t="str">
        <f t="shared" si="34"/>
        <v>Evangelos Vlastarakos</v>
      </c>
      <c r="C2228" s="1402" t="s">
        <v>16341</v>
      </c>
      <c r="D2228" s="1403" t="s">
        <v>3709</v>
      </c>
      <c r="E2228" s="1404" t="s">
        <v>16342</v>
      </c>
      <c r="F2228" s="1405" t="s">
        <v>13211</v>
      </c>
      <c r="G2228" s="1403" t="s">
        <v>3213</v>
      </c>
      <c r="H2228" s="1406" t="s">
        <v>1025</v>
      </c>
    </row>
    <row r="2229" spans="1:8" x14ac:dyDescent="0.2">
      <c r="A2229" s="7"/>
      <c r="B2229" s="1407" t="str">
        <f t="shared" si="34"/>
        <v>Αlexandros- Efthymios Papaioannou-Boznas</v>
      </c>
      <c r="C2229" s="1402" t="s">
        <v>15992</v>
      </c>
      <c r="D2229" s="1403" t="s">
        <v>15993</v>
      </c>
      <c r="E2229" s="1404" t="s">
        <v>15994</v>
      </c>
      <c r="F2229" s="1405" t="s">
        <v>5299</v>
      </c>
      <c r="G2229" s="1403" t="s">
        <v>14359</v>
      </c>
      <c r="H2229" s="1406" t="s">
        <v>1025</v>
      </c>
    </row>
    <row r="2230" spans="1:8" x14ac:dyDescent="0.2">
      <c r="A2230" s="7"/>
      <c r="B2230" s="1407" t="str">
        <f t="shared" si="34"/>
        <v>Ourania Skourou</v>
      </c>
      <c r="C2230" s="1402" t="s">
        <v>16234</v>
      </c>
      <c r="D2230" s="1403" t="s">
        <v>16235</v>
      </c>
      <c r="E2230" s="1404" t="s">
        <v>16236</v>
      </c>
      <c r="F2230" s="1405" t="s">
        <v>13211</v>
      </c>
      <c r="G2230" s="1403" t="s">
        <v>3213</v>
      </c>
      <c r="H2230" s="1406" t="s">
        <v>1025</v>
      </c>
    </row>
    <row r="2231" spans="1:8" x14ac:dyDescent="0.2">
      <c r="A2231" s="7"/>
      <c r="B2231" s="1407" t="str">
        <f t="shared" si="34"/>
        <v>Phillipos Kordantonopoulos</v>
      </c>
      <c r="C2231" s="1402" t="s">
        <v>6132</v>
      </c>
      <c r="D2231" s="1403" t="s">
        <v>15765</v>
      </c>
      <c r="E2231" s="1404" t="s">
        <v>15766</v>
      </c>
      <c r="F2231" s="1405" t="s">
        <v>1563</v>
      </c>
      <c r="G2231" s="1403" t="s">
        <v>3213</v>
      </c>
      <c r="H2231" s="1406" t="s">
        <v>1025</v>
      </c>
    </row>
    <row r="2232" spans="1:8" x14ac:dyDescent="0.2">
      <c r="A2232" s="7"/>
      <c r="B2232" s="1407" t="str">
        <f t="shared" si="34"/>
        <v>Grigorios Georganoudis</v>
      </c>
      <c r="C2232" s="1402" t="s">
        <v>14634</v>
      </c>
      <c r="D2232" s="1403" t="s">
        <v>8270</v>
      </c>
      <c r="E2232" s="1404" t="s">
        <v>15606</v>
      </c>
      <c r="F2232" s="1405" t="s">
        <v>5299</v>
      </c>
      <c r="G2232" s="1403" t="s">
        <v>3213</v>
      </c>
      <c r="H2232" s="1406" t="s">
        <v>1025</v>
      </c>
    </row>
    <row r="2233" spans="1:8" x14ac:dyDescent="0.2">
      <c r="A2233" s="7"/>
      <c r="B2233" s="1407" t="str">
        <f t="shared" si="34"/>
        <v>Ioannis- Georgios Iliadakis</v>
      </c>
      <c r="C2233" s="1402" t="s">
        <v>15691</v>
      </c>
      <c r="D2233" s="1403" t="s">
        <v>15692</v>
      </c>
      <c r="E2233" s="1404" t="s">
        <v>15693</v>
      </c>
      <c r="F2233" s="1405" t="s">
        <v>13211</v>
      </c>
      <c r="G2233" s="1403" t="s">
        <v>3213</v>
      </c>
      <c r="H2233" s="1406" t="s">
        <v>1025</v>
      </c>
    </row>
    <row r="2234" spans="1:8" x14ac:dyDescent="0.2">
      <c r="A2234" s="7"/>
      <c r="B2234" s="1407" t="str">
        <f t="shared" si="34"/>
        <v>Christos Kakantousis</v>
      </c>
      <c r="C2234" s="1402" t="s">
        <v>15717</v>
      </c>
      <c r="D2234" s="1403" t="s">
        <v>3135</v>
      </c>
      <c r="E2234" s="1404" t="s">
        <v>15718</v>
      </c>
      <c r="F2234" s="1405" t="s">
        <v>5300</v>
      </c>
      <c r="G2234" s="1403" t="s">
        <v>10265</v>
      </c>
      <c r="H2234" s="1406" t="s">
        <v>1025</v>
      </c>
    </row>
    <row r="2235" spans="1:8" x14ac:dyDescent="0.2">
      <c r="A2235" s="7"/>
      <c r="B2235" s="1407" t="str">
        <f t="shared" si="34"/>
        <v>Christos Kapelis</v>
      </c>
      <c r="C2235" s="1402" t="s">
        <v>15726</v>
      </c>
      <c r="D2235" s="1403" t="s">
        <v>3135</v>
      </c>
      <c r="E2235" s="1404" t="s">
        <v>15727</v>
      </c>
      <c r="F2235" s="1405" t="s">
        <v>5299</v>
      </c>
      <c r="G2235" s="1403" t="s">
        <v>10265</v>
      </c>
      <c r="H2235" s="1406" t="s">
        <v>1025</v>
      </c>
    </row>
    <row r="2236" spans="1:8" x14ac:dyDescent="0.2">
      <c r="A2236" s="7"/>
      <c r="B2236" s="1407" t="str">
        <f t="shared" si="34"/>
        <v>Eleftherios Kapelis</v>
      </c>
      <c r="C2236" s="1402" t="s">
        <v>15726</v>
      </c>
      <c r="D2236" s="1403" t="s">
        <v>7808</v>
      </c>
      <c r="E2236" s="1404" t="s">
        <v>15728</v>
      </c>
      <c r="F2236" s="1405" t="s">
        <v>5299</v>
      </c>
      <c r="G2236" s="1403" t="s">
        <v>10265</v>
      </c>
      <c r="H2236" s="1406" t="s">
        <v>1025</v>
      </c>
    </row>
    <row r="2237" spans="1:8" x14ac:dyDescent="0.2">
      <c r="A2237" s="7"/>
      <c r="B2237" s="1407" t="str">
        <f t="shared" si="34"/>
        <v>Emilios Giantais</v>
      </c>
      <c r="C2237" s="1402" t="s">
        <v>7412</v>
      </c>
      <c r="D2237" s="1403" t="s">
        <v>9775</v>
      </c>
      <c r="E2237" s="1404" t="s">
        <v>15611</v>
      </c>
      <c r="F2237" s="1405" t="s">
        <v>1563</v>
      </c>
      <c r="G2237" s="1403" t="s">
        <v>7285</v>
      </c>
      <c r="H2237" s="1406" t="s">
        <v>1025</v>
      </c>
    </row>
    <row r="2238" spans="1:8" x14ac:dyDescent="0.2">
      <c r="A2238" s="7"/>
      <c r="B2238" s="1407" t="str">
        <f t="shared" si="34"/>
        <v>Nikos Mandarakas</v>
      </c>
      <c r="C2238" s="1402" t="s">
        <v>15846</v>
      </c>
      <c r="D2238" s="1403" t="s">
        <v>13294</v>
      </c>
      <c r="E2238" s="1404" t="s">
        <v>15847</v>
      </c>
      <c r="F2238" s="1405" t="s">
        <v>5300</v>
      </c>
      <c r="G2238" s="1403" t="s">
        <v>14600</v>
      </c>
      <c r="H2238" s="1406" t="s">
        <v>1025</v>
      </c>
    </row>
    <row r="2239" spans="1:8" x14ac:dyDescent="0.2">
      <c r="A2239" s="7"/>
      <c r="B2239" s="1407" t="str">
        <f t="shared" si="34"/>
        <v>Michail Malindretos</v>
      </c>
      <c r="C2239" s="1402" t="s">
        <v>8080</v>
      </c>
      <c r="D2239" s="1403" t="s">
        <v>8248</v>
      </c>
      <c r="E2239" s="1404" t="s">
        <v>15843</v>
      </c>
      <c r="F2239" s="1405" t="s">
        <v>5300</v>
      </c>
      <c r="G2239" s="1403" t="s">
        <v>3213</v>
      </c>
      <c r="H2239" s="1406" t="s">
        <v>1025</v>
      </c>
    </row>
    <row r="2240" spans="1:8" x14ac:dyDescent="0.2">
      <c r="A2240" s="7"/>
      <c r="B2240" s="1407" t="str">
        <f t="shared" si="34"/>
        <v>Tomaso Casagrande</v>
      </c>
      <c r="C2240" s="1402" t="s">
        <v>15329</v>
      </c>
      <c r="D2240" s="1403" t="s">
        <v>15330</v>
      </c>
      <c r="E2240" s="1404" t="s">
        <v>15331</v>
      </c>
      <c r="F2240" s="1405" t="s">
        <v>5300</v>
      </c>
      <c r="G2240" s="1403" t="s">
        <v>14359</v>
      </c>
      <c r="H2240" s="1406" t="s">
        <v>1025</v>
      </c>
    </row>
    <row r="2241" spans="1:8" x14ac:dyDescent="0.2">
      <c r="A2241" s="7"/>
      <c r="B2241" s="1407" t="str">
        <f t="shared" si="34"/>
        <v>Marios Lavrakis</v>
      </c>
      <c r="C2241" s="1402" t="s">
        <v>8088</v>
      </c>
      <c r="D2241" s="1403" t="s">
        <v>3557</v>
      </c>
      <c r="E2241" s="1404" t="s">
        <v>15788</v>
      </c>
      <c r="F2241" s="1405" t="s">
        <v>1563</v>
      </c>
      <c r="G2241" s="1403" t="s">
        <v>9449</v>
      </c>
      <c r="H2241" s="1406" t="s">
        <v>1025</v>
      </c>
    </row>
    <row r="2242" spans="1:8" x14ac:dyDescent="0.2">
      <c r="A2242" s="7"/>
      <c r="B2242" s="1407" t="str">
        <f t="shared" si="34"/>
        <v>Manousos Chatzistavrakis</v>
      </c>
      <c r="C2242" s="1402" t="s">
        <v>13308</v>
      </c>
      <c r="D2242" s="1403" t="s">
        <v>8251</v>
      </c>
      <c r="E2242" s="1404" t="s">
        <v>15354</v>
      </c>
      <c r="F2242" s="1405" t="s">
        <v>5300</v>
      </c>
      <c r="G2242" s="1403" t="s">
        <v>3213</v>
      </c>
      <c r="H2242" s="1406" t="s">
        <v>1025</v>
      </c>
    </row>
    <row r="2243" spans="1:8" x14ac:dyDescent="0.2">
      <c r="A2243" s="7"/>
      <c r="B2243" s="1407" t="str">
        <f t="shared" si="34"/>
        <v>Konstantinos Pefanis</v>
      </c>
      <c r="C2243" s="1402" t="s">
        <v>16017</v>
      </c>
      <c r="D2243" s="1403" t="s">
        <v>6986</v>
      </c>
      <c r="E2243" s="1404" t="s">
        <v>16019</v>
      </c>
      <c r="F2243" s="1405" t="s">
        <v>5300</v>
      </c>
      <c r="G2243" s="1403" t="s">
        <v>17171</v>
      </c>
      <c r="H2243" s="1406" t="s">
        <v>1025</v>
      </c>
    </row>
    <row r="2244" spans="1:8" x14ac:dyDescent="0.2">
      <c r="A2244" s="7"/>
      <c r="B2244" s="1407" t="str">
        <f t="shared" si="34"/>
        <v>Anastasios Eskitzis</v>
      </c>
      <c r="C2244" s="1402" t="s">
        <v>15512</v>
      </c>
      <c r="D2244" s="1403" t="s">
        <v>3611</v>
      </c>
      <c r="E2244" s="1404" t="s">
        <v>15513</v>
      </c>
      <c r="F2244" s="1405" t="s">
        <v>5299</v>
      </c>
      <c r="G2244" s="1403" t="s">
        <v>10265</v>
      </c>
      <c r="H2244" s="1406" t="s">
        <v>1025</v>
      </c>
    </row>
    <row r="2245" spans="1:8" x14ac:dyDescent="0.2">
      <c r="A2245" s="7"/>
      <c r="B2245" s="1407" t="str">
        <f t="shared" si="34"/>
        <v>Gerasimos Asimakopoulos</v>
      </c>
      <c r="C2245" s="1402" t="s">
        <v>6134</v>
      </c>
      <c r="D2245" s="1403" t="s">
        <v>6964</v>
      </c>
      <c r="E2245" s="1404" t="s">
        <v>15178</v>
      </c>
      <c r="F2245" s="1405" t="s">
        <v>5299</v>
      </c>
      <c r="G2245" s="1403" t="s">
        <v>10265</v>
      </c>
      <c r="H2245" s="1406" t="s">
        <v>1025</v>
      </c>
    </row>
    <row r="2246" spans="1:8" x14ac:dyDescent="0.2">
      <c r="A2246" s="7"/>
      <c r="B2246" s="1407" t="str">
        <f t="shared" si="34"/>
        <v>Athanasios Eskitzis</v>
      </c>
      <c r="C2246" s="1402" t="s">
        <v>15512</v>
      </c>
      <c r="D2246" s="1403" t="s">
        <v>3472</v>
      </c>
      <c r="E2246" s="1404" t="s">
        <v>15514</v>
      </c>
      <c r="F2246" s="1405" t="s">
        <v>1563</v>
      </c>
      <c r="G2246" s="1403" t="s">
        <v>10265</v>
      </c>
      <c r="H2246" s="1406" t="s">
        <v>1025</v>
      </c>
    </row>
    <row r="2247" spans="1:8" x14ac:dyDescent="0.2">
      <c r="A2247" s="7"/>
      <c r="B2247" s="1407" t="str">
        <f t="shared" ref="B2247:B2310" si="35">TRIM(CONCATENATE(D2247," ",C2247))</f>
        <v>Dimitrios Stravolaimos</v>
      </c>
      <c r="C2247" s="1402" t="s">
        <v>16262</v>
      </c>
      <c r="D2247" s="1403" t="s">
        <v>5644</v>
      </c>
      <c r="E2247" s="1404" t="s">
        <v>16263</v>
      </c>
      <c r="F2247" s="1405" t="s">
        <v>5299</v>
      </c>
      <c r="G2247" s="1403" t="s">
        <v>3213</v>
      </c>
      <c r="H2247" s="1406" t="s">
        <v>1025</v>
      </c>
    </row>
    <row r="2248" spans="1:8" x14ac:dyDescent="0.2">
      <c r="A2248" s="7"/>
      <c r="B2248" s="1407" t="str">
        <f t="shared" si="35"/>
        <v>Nikolaos Skourtsos</v>
      </c>
      <c r="C2248" s="1402" t="s">
        <v>8083</v>
      </c>
      <c r="D2248" s="1403" t="s">
        <v>5554</v>
      </c>
      <c r="E2248" s="1404" t="s">
        <v>16237</v>
      </c>
      <c r="F2248" s="1405" t="s">
        <v>13211</v>
      </c>
      <c r="G2248" s="1403" t="s">
        <v>2760</v>
      </c>
      <c r="H2248" s="1406" t="s">
        <v>1025</v>
      </c>
    </row>
    <row r="2249" spans="1:8" x14ac:dyDescent="0.2">
      <c r="A2249" s="7"/>
      <c r="B2249" s="1407" t="str">
        <f t="shared" si="35"/>
        <v>Stylianos Tsangouris</v>
      </c>
      <c r="C2249" s="1402" t="s">
        <v>5726</v>
      </c>
      <c r="D2249" s="1403" t="s">
        <v>8284</v>
      </c>
      <c r="E2249" s="1404" t="s">
        <v>16307</v>
      </c>
      <c r="F2249" s="1405" t="s">
        <v>5299</v>
      </c>
      <c r="G2249" s="1403" t="s">
        <v>2745</v>
      </c>
      <c r="H2249" s="1406" t="s">
        <v>1025</v>
      </c>
    </row>
    <row r="2250" spans="1:8" x14ac:dyDescent="0.2">
      <c r="A2250" s="7"/>
      <c r="B2250" s="1407" t="str">
        <f t="shared" si="35"/>
        <v>Konstantinos Morfiadis</v>
      </c>
      <c r="C2250" s="1402" t="s">
        <v>15925</v>
      </c>
      <c r="D2250" s="1403" t="s">
        <v>6986</v>
      </c>
      <c r="E2250" s="1404" t="s">
        <v>15926</v>
      </c>
      <c r="F2250" s="1405" t="s">
        <v>5300</v>
      </c>
      <c r="G2250" s="1403" t="s">
        <v>10265</v>
      </c>
      <c r="H2250" s="1406" t="s">
        <v>1025</v>
      </c>
    </row>
    <row r="2251" spans="1:8" x14ac:dyDescent="0.2">
      <c r="A2251" s="7"/>
      <c r="B2251" s="1407" t="str">
        <f t="shared" si="35"/>
        <v>Georgios Elmensaoui</v>
      </c>
      <c r="C2251" s="1402" t="s">
        <v>15508</v>
      </c>
      <c r="D2251" s="1403" t="s">
        <v>3324</v>
      </c>
      <c r="E2251" s="1404" t="s">
        <v>15509</v>
      </c>
      <c r="F2251" s="1405" t="s">
        <v>5299</v>
      </c>
      <c r="G2251" s="1403" t="s">
        <v>10265</v>
      </c>
      <c r="H2251" s="1406" t="s">
        <v>1025</v>
      </c>
    </row>
    <row r="2252" spans="1:8" x14ac:dyDescent="0.2">
      <c r="A2252" s="7"/>
      <c r="B2252" s="1407" t="str">
        <f t="shared" si="35"/>
        <v>Alexandra Pitsari</v>
      </c>
      <c r="C2252" s="1402" t="s">
        <v>16067</v>
      </c>
      <c r="D2252" s="1403" t="s">
        <v>16068</v>
      </c>
      <c r="E2252" s="1404" t="s">
        <v>16069</v>
      </c>
      <c r="F2252" s="1405" t="s">
        <v>1563</v>
      </c>
      <c r="G2252" s="1403" t="s">
        <v>15175</v>
      </c>
      <c r="H2252" s="1406" t="s">
        <v>1025</v>
      </c>
    </row>
    <row r="2253" spans="1:8" x14ac:dyDescent="0.2">
      <c r="A2253" s="7"/>
      <c r="B2253" s="1407" t="str">
        <f t="shared" si="35"/>
        <v>Georgios Pitsaris</v>
      </c>
      <c r="C2253" s="1402" t="s">
        <v>6075</v>
      </c>
      <c r="D2253" s="1403" t="s">
        <v>3324</v>
      </c>
      <c r="E2253" s="1404" t="s">
        <v>16070</v>
      </c>
      <c r="F2253" s="1405" t="s">
        <v>1563</v>
      </c>
      <c r="G2253" s="1403" t="s">
        <v>15175</v>
      </c>
      <c r="H2253" s="1406" t="s">
        <v>1025</v>
      </c>
    </row>
    <row r="2254" spans="1:8" x14ac:dyDescent="0.2">
      <c r="A2254" s="7"/>
      <c r="B2254" s="1407" t="str">
        <f t="shared" si="35"/>
        <v>Dimitrios Gkogkos</v>
      </c>
      <c r="C2254" s="1402" t="s">
        <v>6262</v>
      </c>
      <c r="D2254" s="1403" t="s">
        <v>5644</v>
      </c>
      <c r="E2254" s="1404" t="s">
        <v>15612</v>
      </c>
      <c r="F2254" s="1405" t="s">
        <v>13211</v>
      </c>
      <c r="G2254" s="1403" t="s">
        <v>10246</v>
      </c>
      <c r="H2254" s="1406" t="s">
        <v>1025</v>
      </c>
    </row>
    <row r="2255" spans="1:8" x14ac:dyDescent="0.2">
      <c r="A2255" s="7"/>
      <c r="B2255" s="1407" t="str">
        <f t="shared" si="35"/>
        <v>Maria Konstantopoulou</v>
      </c>
      <c r="C2255" s="1402" t="s">
        <v>15763</v>
      </c>
      <c r="D2255" s="1403" t="s">
        <v>3475</v>
      </c>
      <c r="E2255" s="1404" t="s">
        <v>15764</v>
      </c>
      <c r="F2255" s="1405" t="s">
        <v>5299</v>
      </c>
      <c r="G2255" s="1403" t="s">
        <v>10265</v>
      </c>
      <c r="H2255" s="1406" t="s">
        <v>1025</v>
      </c>
    </row>
    <row r="2256" spans="1:8" x14ac:dyDescent="0.2">
      <c r="A2256" s="7"/>
      <c r="B2256" s="1407" t="str">
        <f t="shared" si="35"/>
        <v>Dionysis Pefanis</v>
      </c>
      <c r="C2256" s="1402" t="s">
        <v>16017</v>
      </c>
      <c r="D2256" s="1403" t="s">
        <v>8290</v>
      </c>
      <c r="E2256" s="1404" t="s">
        <v>16018</v>
      </c>
      <c r="F2256" s="1405" t="s">
        <v>13211</v>
      </c>
      <c r="G2256" s="1403" t="s">
        <v>17171</v>
      </c>
      <c r="H2256" s="1406" t="s">
        <v>1025</v>
      </c>
    </row>
    <row r="2257" spans="1:8" x14ac:dyDescent="0.2">
      <c r="A2257" s="7"/>
      <c r="B2257" s="1407" t="str">
        <f t="shared" si="35"/>
        <v>Evangelos Skotiniotis</v>
      </c>
      <c r="C2257" s="1402" t="s">
        <v>16983</v>
      </c>
      <c r="D2257" s="1403" t="s">
        <v>3709</v>
      </c>
      <c r="E2257" s="1404" t="s">
        <v>16984</v>
      </c>
      <c r="F2257" s="1405" t="s">
        <v>5300</v>
      </c>
      <c r="G2257" s="1403" t="s">
        <v>7285</v>
      </c>
      <c r="H2257" s="1406" t="s">
        <v>1025</v>
      </c>
    </row>
    <row r="2258" spans="1:8" x14ac:dyDescent="0.2">
      <c r="A2258" s="7"/>
      <c r="B2258" s="1407" t="str">
        <f t="shared" si="35"/>
        <v>Grigorios Eleftherakis</v>
      </c>
      <c r="C2258" s="1402" t="s">
        <v>16918</v>
      </c>
      <c r="D2258" s="1403" t="s">
        <v>8270</v>
      </c>
      <c r="E2258" s="1404" t="s">
        <v>16919</v>
      </c>
      <c r="F2258" s="1405" t="s">
        <v>5299</v>
      </c>
      <c r="G2258" s="1403" t="s">
        <v>10246</v>
      </c>
      <c r="H2258" s="1406" t="s">
        <v>1025</v>
      </c>
    </row>
    <row r="2259" spans="1:8" x14ac:dyDescent="0.2">
      <c r="A2259" s="7"/>
      <c r="B2259" s="1407" t="str">
        <f t="shared" si="35"/>
        <v>Apostolos Niavis</v>
      </c>
      <c r="C2259" s="1402" t="s">
        <v>6171</v>
      </c>
      <c r="D2259" s="1403" t="s">
        <v>6968</v>
      </c>
      <c r="E2259" s="1404" t="s">
        <v>16966</v>
      </c>
      <c r="F2259" s="1405" t="s">
        <v>1563</v>
      </c>
      <c r="G2259" s="1403" t="s">
        <v>15175</v>
      </c>
      <c r="H2259" s="1406" t="s">
        <v>1025</v>
      </c>
    </row>
    <row r="2260" spans="1:8" x14ac:dyDescent="0.2">
      <c r="A2260" s="7"/>
      <c r="B2260" s="1407" t="str">
        <f t="shared" si="35"/>
        <v>Antonio Carabillo</v>
      </c>
      <c r="C2260" s="1402" t="s">
        <v>6334</v>
      </c>
      <c r="D2260" s="1403" t="s">
        <v>3341</v>
      </c>
      <c r="E2260" s="1404" t="s">
        <v>4829</v>
      </c>
      <c r="F2260" s="1405" t="s">
        <v>5300</v>
      </c>
      <c r="G2260" s="1403" t="s">
        <v>10267</v>
      </c>
      <c r="H2260" s="1406" t="s">
        <v>1027</v>
      </c>
    </row>
    <row r="2261" spans="1:8" x14ac:dyDescent="0.2">
      <c r="A2261" s="7"/>
      <c r="B2261" s="1407" t="str">
        <f t="shared" si="35"/>
        <v>Nicholas Carabillo</v>
      </c>
      <c r="C2261" s="1402" t="s">
        <v>6334</v>
      </c>
      <c r="D2261" s="1403" t="s">
        <v>9777</v>
      </c>
      <c r="E2261" s="1404" t="s">
        <v>9815</v>
      </c>
      <c r="F2261" s="1405" t="s">
        <v>5299</v>
      </c>
      <c r="G2261" s="1403" t="s">
        <v>10267</v>
      </c>
      <c r="H2261" s="1406" t="s">
        <v>1027</v>
      </c>
    </row>
    <row r="2262" spans="1:8" x14ac:dyDescent="0.2">
      <c r="A2262" s="7"/>
      <c r="B2262" s="1407" t="str">
        <f t="shared" si="35"/>
        <v>Andras Hicz</v>
      </c>
      <c r="C2262" s="1402" t="s">
        <v>6335</v>
      </c>
      <c r="D2262" s="1403" t="s">
        <v>3484</v>
      </c>
      <c r="E2262" s="1404" t="s">
        <v>4830</v>
      </c>
      <c r="F2262" s="1405" t="s">
        <v>5299</v>
      </c>
      <c r="G2262" s="1403" t="s">
        <v>5310</v>
      </c>
      <c r="H2262" s="1406" t="s">
        <v>1029</v>
      </c>
    </row>
    <row r="2263" spans="1:8" x14ac:dyDescent="0.2">
      <c r="A2263" s="7"/>
      <c r="B2263" s="1407" t="str">
        <f t="shared" si="35"/>
        <v>László Csibor</v>
      </c>
      <c r="C2263" s="1402" t="s">
        <v>6336</v>
      </c>
      <c r="D2263" s="1403" t="s">
        <v>3483</v>
      </c>
      <c r="E2263" s="1404" t="s">
        <v>4831</v>
      </c>
      <c r="F2263" s="1405" t="s">
        <v>5299</v>
      </c>
      <c r="G2263" s="1403" t="s">
        <v>5310</v>
      </c>
      <c r="H2263" s="1406" t="s">
        <v>1029</v>
      </c>
    </row>
    <row r="2264" spans="1:8" x14ac:dyDescent="0.2">
      <c r="A2264" s="7"/>
      <c r="B2264" s="1407" t="str">
        <f t="shared" si="35"/>
        <v>Gábor Baross</v>
      </c>
      <c r="C2264" s="1402" t="s">
        <v>6337</v>
      </c>
      <c r="D2264" s="1403" t="s">
        <v>8721</v>
      </c>
      <c r="E2264" s="1404" t="s">
        <v>4832</v>
      </c>
      <c r="F2264" s="1405" t="s">
        <v>5299</v>
      </c>
      <c r="G2264" s="1403" t="s">
        <v>8871</v>
      </c>
      <c r="H2264" s="1406" t="s">
        <v>1029</v>
      </c>
    </row>
    <row r="2265" spans="1:8" x14ac:dyDescent="0.2">
      <c r="A2265" s="7"/>
      <c r="B2265" s="1407" t="str">
        <f t="shared" si="35"/>
        <v>Zoltán Baross</v>
      </c>
      <c r="C2265" s="1402" t="s">
        <v>6337</v>
      </c>
      <c r="D2265" s="1403" t="s">
        <v>5580</v>
      </c>
      <c r="E2265" s="1404" t="s">
        <v>4833</v>
      </c>
      <c r="F2265" s="1405" t="s">
        <v>5299</v>
      </c>
      <c r="G2265" s="1403" t="s">
        <v>5310</v>
      </c>
      <c r="H2265" s="1406" t="s">
        <v>1029</v>
      </c>
    </row>
    <row r="2266" spans="1:8" x14ac:dyDescent="0.2">
      <c r="A2266" s="7"/>
      <c r="B2266" s="1407" t="str">
        <f t="shared" si="35"/>
        <v>Károly Szathmáry</v>
      </c>
      <c r="C2266" s="1402" t="s">
        <v>8137</v>
      </c>
      <c r="D2266" s="1403" t="s">
        <v>7934</v>
      </c>
      <c r="E2266" s="1404" t="s">
        <v>8497</v>
      </c>
      <c r="F2266" s="1405" t="s">
        <v>5299</v>
      </c>
      <c r="G2266" s="1403" t="s">
        <v>9450</v>
      </c>
      <c r="H2266" s="1406" t="s">
        <v>1029</v>
      </c>
    </row>
    <row r="2267" spans="1:8" x14ac:dyDescent="0.2">
      <c r="A2267" s="7"/>
      <c r="B2267" s="1407" t="str">
        <f t="shared" si="35"/>
        <v>Mark Farrell</v>
      </c>
      <c r="C2267" s="1402" t="s">
        <v>6338</v>
      </c>
      <c r="D2267" s="1403" t="s">
        <v>3017</v>
      </c>
      <c r="E2267" s="1404" t="s">
        <v>14766</v>
      </c>
      <c r="F2267" s="1405" t="s">
        <v>5299</v>
      </c>
      <c r="G2267" s="1403" t="s">
        <v>2752</v>
      </c>
      <c r="H2267" s="1406" t="s">
        <v>1033</v>
      </c>
    </row>
    <row r="2268" spans="1:8" x14ac:dyDescent="0.2">
      <c r="A2268" s="7"/>
      <c r="B2268" s="1407" t="str">
        <f t="shared" si="35"/>
        <v>Gary Moore</v>
      </c>
      <c r="C2268" s="1402" t="s">
        <v>5847</v>
      </c>
      <c r="D2268" s="1403" t="s">
        <v>3192</v>
      </c>
      <c r="E2268" s="1404" t="s">
        <v>14767</v>
      </c>
      <c r="F2268" s="1405" t="s">
        <v>5299</v>
      </c>
      <c r="G2268" s="1403" t="s">
        <v>2764</v>
      </c>
      <c r="H2268" s="1406" t="s">
        <v>1033</v>
      </c>
    </row>
    <row r="2269" spans="1:8" x14ac:dyDescent="0.2">
      <c r="A2269" s="7"/>
      <c r="B2269" s="1407" t="str">
        <f t="shared" si="35"/>
        <v>John Moore</v>
      </c>
      <c r="C2269" s="1402" t="s">
        <v>5847</v>
      </c>
      <c r="D2269" s="1403" t="s">
        <v>3250</v>
      </c>
      <c r="E2269" s="1404" t="s">
        <v>14769</v>
      </c>
      <c r="F2269" s="1405" t="s">
        <v>5300</v>
      </c>
      <c r="G2269" s="1403" t="s">
        <v>2764</v>
      </c>
      <c r="H2269" s="1406" t="s">
        <v>1033</v>
      </c>
    </row>
    <row r="2270" spans="1:8" x14ac:dyDescent="0.2">
      <c r="A2270" s="7"/>
      <c r="B2270" s="1407" t="str">
        <f t="shared" si="35"/>
        <v>Nicky Moore</v>
      </c>
      <c r="C2270" s="1402" t="s">
        <v>5847</v>
      </c>
      <c r="D2270" s="1403" t="s">
        <v>3069</v>
      </c>
      <c r="E2270" s="1404" t="s">
        <v>14770</v>
      </c>
      <c r="F2270" s="1405" t="s">
        <v>5300</v>
      </c>
      <c r="G2270" s="1403" t="s">
        <v>2764</v>
      </c>
      <c r="H2270" s="1406" t="s">
        <v>1033</v>
      </c>
    </row>
    <row r="2271" spans="1:8" x14ac:dyDescent="0.2">
      <c r="A2271" s="7"/>
      <c r="B2271" s="1407" t="str">
        <f t="shared" si="35"/>
        <v>Ken McKenzie</v>
      </c>
      <c r="C2271" s="1402" t="s">
        <v>8185</v>
      </c>
      <c r="D2271" s="1403" t="s">
        <v>8299</v>
      </c>
      <c r="E2271" s="1404" t="s">
        <v>14771</v>
      </c>
      <c r="F2271" s="1405" t="s">
        <v>5299</v>
      </c>
      <c r="G2271" s="1403" t="s">
        <v>2764</v>
      </c>
      <c r="H2271" s="1406" t="s">
        <v>1033</v>
      </c>
    </row>
    <row r="2272" spans="1:8" x14ac:dyDescent="0.2">
      <c r="A2272" s="7"/>
      <c r="B2272" s="1407" t="str">
        <f t="shared" si="35"/>
        <v>Mick O’Brien</v>
      </c>
      <c r="C2272" s="1402" t="s">
        <v>8186</v>
      </c>
      <c r="D2272" s="1403" t="s">
        <v>6918</v>
      </c>
      <c r="E2272" s="1404" t="s">
        <v>14772</v>
      </c>
      <c r="F2272" s="1405" t="s">
        <v>5299</v>
      </c>
      <c r="G2272" s="1403" t="s">
        <v>2764</v>
      </c>
      <c r="H2272" s="1406" t="s">
        <v>1033</v>
      </c>
    </row>
    <row r="2273" spans="1:8" x14ac:dyDescent="0.2">
      <c r="A2273" s="7"/>
      <c r="B2273" s="1407" t="str">
        <f t="shared" si="35"/>
        <v>Brendan Rodgers</v>
      </c>
      <c r="C2273" s="1402" t="s">
        <v>6704</v>
      </c>
      <c r="D2273" s="1403" t="s">
        <v>8300</v>
      </c>
      <c r="E2273" s="1404" t="s">
        <v>14773</v>
      </c>
      <c r="F2273" s="1405" t="s">
        <v>5300</v>
      </c>
      <c r="G2273" s="1403" t="s">
        <v>9598</v>
      </c>
      <c r="H2273" s="1406" t="s">
        <v>1033</v>
      </c>
    </row>
    <row r="2274" spans="1:8" x14ac:dyDescent="0.2">
      <c r="A2274" s="7"/>
      <c r="B2274" s="1407" t="str">
        <f t="shared" si="35"/>
        <v>Oisín Mac Eó</v>
      </c>
      <c r="C2274" s="1402" t="s">
        <v>14069</v>
      </c>
      <c r="D2274" s="1403" t="s">
        <v>14070</v>
      </c>
      <c r="E2274" s="1404" t="s">
        <v>14774</v>
      </c>
      <c r="F2274" s="1405" t="s">
        <v>5299</v>
      </c>
      <c r="G2274" s="1403" t="s">
        <v>9598</v>
      </c>
      <c r="H2274" s="1406" t="s">
        <v>1033</v>
      </c>
    </row>
    <row r="2275" spans="1:8" x14ac:dyDescent="0.2">
      <c r="A2275" s="7"/>
      <c r="B2275" s="1407" t="str">
        <f t="shared" si="35"/>
        <v>Andy Fitzpatrick</v>
      </c>
      <c r="C2275" s="1402" t="s">
        <v>14071</v>
      </c>
      <c r="D2275" s="1403" t="s">
        <v>3322</v>
      </c>
      <c r="E2275" s="1404" t="s">
        <v>14775</v>
      </c>
      <c r="F2275" s="1405" t="s">
        <v>5299</v>
      </c>
      <c r="G2275" s="1403" t="s">
        <v>2764</v>
      </c>
      <c r="H2275" s="1406" t="s">
        <v>1033</v>
      </c>
    </row>
    <row r="2276" spans="1:8" x14ac:dyDescent="0.2">
      <c r="A2276" s="7"/>
      <c r="B2276" s="1407" t="str">
        <f t="shared" si="35"/>
        <v>Gerry Harrington</v>
      </c>
      <c r="C2276" s="1402" t="s">
        <v>13783</v>
      </c>
      <c r="D2276" s="1403" t="s">
        <v>14072</v>
      </c>
      <c r="E2276" s="1404" t="s">
        <v>14776</v>
      </c>
      <c r="F2276" s="1405" t="s">
        <v>5300</v>
      </c>
      <c r="G2276" s="1403" t="s">
        <v>17082</v>
      </c>
      <c r="H2276" s="1406" t="s">
        <v>1033</v>
      </c>
    </row>
    <row r="2277" spans="1:8" x14ac:dyDescent="0.2">
      <c r="A2277" s="7"/>
      <c r="B2277" s="1407" t="str">
        <f t="shared" si="35"/>
        <v>Daniel Kaliszewski</v>
      </c>
      <c r="C2277" s="1402" t="s">
        <v>14777</v>
      </c>
      <c r="D2277" s="1403" t="s">
        <v>3243</v>
      </c>
      <c r="E2277" s="1404" t="s">
        <v>14778</v>
      </c>
      <c r="F2277" s="1405" t="s">
        <v>13211</v>
      </c>
      <c r="G2277" s="1403" t="s">
        <v>2764</v>
      </c>
      <c r="H2277" s="1406" t="s">
        <v>1033</v>
      </c>
    </row>
    <row r="2278" spans="1:8" x14ac:dyDescent="0.2">
      <c r="A2278" s="7"/>
      <c r="B2278" s="1407" t="str">
        <f t="shared" si="35"/>
        <v>Fiona Moore</v>
      </c>
      <c r="C2278" s="1402" t="s">
        <v>5847</v>
      </c>
      <c r="D2278" s="1403" t="s">
        <v>14779</v>
      </c>
      <c r="E2278" s="1404" t="s">
        <v>14780</v>
      </c>
      <c r="F2278" s="1405" t="s">
        <v>13211</v>
      </c>
      <c r="G2278" s="1403" t="s">
        <v>2764</v>
      </c>
      <c r="H2278" s="1406" t="s">
        <v>1033</v>
      </c>
    </row>
    <row r="2279" spans="1:8" x14ac:dyDescent="0.2">
      <c r="A2279" s="7"/>
      <c r="B2279" s="1407" t="str">
        <f t="shared" si="35"/>
        <v>Cian Moore</v>
      </c>
      <c r="C2279" s="1402" t="s">
        <v>5847</v>
      </c>
      <c r="D2279" s="1403" t="s">
        <v>14781</v>
      </c>
      <c r="E2279" s="1404" t="s">
        <v>14782</v>
      </c>
      <c r="F2279" s="1405" t="s">
        <v>13211</v>
      </c>
      <c r="G2279" s="1403" t="s">
        <v>14768</v>
      </c>
      <c r="H2279" s="1406" t="s">
        <v>1033</v>
      </c>
    </row>
    <row r="2280" spans="1:8" x14ac:dyDescent="0.2">
      <c r="A2280" s="7"/>
      <c r="B2280" s="1407" t="str">
        <f t="shared" si="35"/>
        <v>Frankie Connolly</v>
      </c>
      <c r="C2280" s="1402" t="s">
        <v>7998</v>
      </c>
      <c r="D2280" s="1403" t="s">
        <v>13465</v>
      </c>
      <c r="E2280" s="1404" t="s">
        <v>14783</v>
      </c>
      <c r="F2280" s="1405" t="s">
        <v>5299</v>
      </c>
      <c r="G2280" s="1403" t="s">
        <v>9598</v>
      </c>
      <c r="H2280" s="1406" t="s">
        <v>1033</v>
      </c>
    </row>
    <row r="2281" spans="1:8" x14ac:dyDescent="0.2">
      <c r="A2281" s="7"/>
      <c r="B2281" s="1407" t="str">
        <f t="shared" si="35"/>
        <v>Colm Gallagher</v>
      </c>
      <c r="C2281" s="1402" t="s">
        <v>14784</v>
      </c>
      <c r="D2281" s="1403" t="s">
        <v>14785</v>
      </c>
      <c r="E2281" s="1404" t="s">
        <v>14786</v>
      </c>
      <c r="F2281" s="1405" t="s">
        <v>5299</v>
      </c>
      <c r="G2281" s="1403" t="s">
        <v>14359</v>
      </c>
      <c r="H2281" s="1406" t="s">
        <v>1033</v>
      </c>
    </row>
    <row r="2282" spans="1:8" x14ac:dyDescent="0.2">
      <c r="A2282" s="7"/>
      <c r="B2282" s="1407" t="str">
        <f t="shared" si="35"/>
        <v>David Elton</v>
      </c>
      <c r="C2282" s="1402" t="s">
        <v>15510</v>
      </c>
      <c r="D2282" s="1403" t="s">
        <v>3072</v>
      </c>
      <c r="E2282" s="1404" t="s">
        <v>15511</v>
      </c>
      <c r="F2282" s="1405" t="s">
        <v>5300</v>
      </c>
      <c r="G2282" s="1403" t="s">
        <v>2764</v>
      </c>
      <c r="H2282" s="1406" t="s">
        <v>1033</v>
      </c>
    </row>
    <row r="2283" spans="1:8" x14ac:dyDescent="0.2">
      <c r="A2283" s="7"/>
      <c r="B2283" s="1407" t="str">
        <f t="shared" si="35"/>
        <v>Sean Connolly</v>
      </c>
      <c r="C2283" s="1402" t="s">
        <v>7998</v>
      </c>
      <c r="D2283" s="1403" t="s">
        <v>6945</v>
      </c>
      <c r="E2283" s="1404" t="s">
        <v>15380</v>
      </c>
      <c r="F2283" s="1405" t="s">
        <v>5299</v>
      </c>
      <c r="G2283" s="1403" t="s">
        <v>9598</v>
      </c>
      <c r="H2283" s="1406" t="s">
        <v>1033</v>
      </c>
    </row>
    <row r="2284" spans="1:8" x14ac:dyDescent="0.2">
      <c r="A2284" s="7"/>
      <c r="B2284" s="1407" t="str">
        <f t="shared" si="35"/>
        <v>Adrian Pigott</v>
      </c>
      <c r="C2284" s="1402" t="s">
        <v>16056</v>
      </c>
      <c r="D2284" s="1403" t="s">
        <v>3356</v>
      </c>
      <c r="E2284" s="1404" t="s">
        <v>16057</v>
      </c>
      <c r="F2284" s="1405" t="s">
        <v>5300</v>
      </c>
      <c r="G2284" s="1403" t="s">
        <v>2764</v>
      </c>
      <c r="H2284" s="1406" t="s">
        <v>1033</v>
      </c>
    </row>
    <row r="2285" spans="1:8" x14ac:dyDescent="0.2">
      <c r="A2285" s="7"/>
      <c r="B2285" s="1407" t="str">
        <f t="shared" si="35"/>
        <v>William Magnier</v>
      </c>
      <c r="C2285" s="1402" t="s">
        <v>14417</v>
      </c>
      <c r="D2285" s="1403" t="s">
        <v>3236</v>
      </c>
      <c r="E2285" s="1404" t="s">
        <v>15838</v>
      </c>
      <c r="F2285" s="1405" t="s">
        <v>5300</v>
      </c>
      <c r="G2285" s="1403" t="s">
        <v>14359</v>
      </c>
      <c r="H2285" s="1406" t="s">
        <v>1033</v>
      </c>
    </row>
    <row r="2286" spans="1:8" x14ac:dyDescent="0.2">
      <c r="A2286" s="7"/>
      <c r="B2286" s="1407" t="str">
        <f t="shared" si="35"/>
        <v>John Kinsella</v>
      </c>
      <c r="C2286" s="1402" t="s">
        <v>15747</v>
      </c>
      <c r="D2286" s="1403" t="s">
        <v>3250</v>
      </c>
      <c r="E2286" s="1404" t="s">
        <v>15748</v>
      </c>
      <c r="F2286" s="1405" t="s">
        <v>5300</v>
      </c>
      <c r="G2286" s="1403" t="s">
        <v>2764</v>
      </c>
      <c r="H2286" s="1406" t="s">
        <v>1033</v>
      </c>
    </row>
    <row r="2287" spans="1:8" x14ac:dyDescent="0.2">
      <c r="A2287" s="7"/>
      <c r="B2287" s="1407" t="str">
        <f t="shared" si="35"/>
        <v>Jeff Murphy</v>
      </c>
      <c r="C2287" s="1402" t="s">
        <v>15941</v>
      </c>
      <c r="D2287" s="1403" t="s">
        <v>5624</v>
      </c>
      <c r="E2287" s="1404" t="s">
        <v>15942</v>
      </c>
      <c r="F2287" s="1405" t="s">
        <v>5300</v>
      </c>
      <c r="G2287" s="1403" t="s">
        <v>14359</v>
      </c>
      <c r="H2287" s="1406" t="s">
        <v>1033</v>
      </c>
    </row>
    <row r="2288" spans="1:8" x14ac:dyDescent="0.2">
      <c r="A2288" s="7"/>
      <c r="B2288" s="1407" t="str">
        <f t="shared" si="35"/>
        <v>Elliot Fitzpatrick</v>
      </c>
      <c r="C2288" s="1402" t="s">
        <v>14071</v>
      </c>
      <c r="D2288" s="1403" t="s">
        <v>15552</v>
      </c>
      <c r="E2288" s="1404" t="s">
        <v>15553</v>
      </c>
      <c r="F2288" s="1405" t="s">
        <v>1563</v>
      </c>
      <c r="G2288" s="1403" t="s">
        <v>2764</v>
      </c>
      <c r="H2288" s="1406" t="s">
        <v>1033</v>
      </c>
    </row>
    <row r="2289" spans="1:8" x14ac:dyDescent="0.2">
      <c r="A2289" s="7"/>
      <c r="B2289" s="1407" t="str">
        <f t="shared" si="35"/>
        <v>Shaun Dunne</v>
      </c>
      <c r="C2289" s="1402" t="s">
        <v>13225</v>
      </c>
      <c r="D2289" s="1403" t="s">
        <v>3377</v>
      </c>
      <c r="E2289" s="1404" t="s">
        <v>17887</v>
      </c>
      <c r="F2289" s="1405" t="s">
        <v>5299</v>
      </c>
      <c r="G2289" s="1403" t="s">
        <v>17888</v>
      </c>
      <c r="H2289" s="1406" t="s">
        <v>1033</v>
      </c>
    </row>
    <row r="2290" spans="1:8" x14ac:dyDescent="0.2">
      <c r="A2290" s="7"/>
      <c r="B2290" s="1407" t="str">
        <f t="shared" si="35"/>
        <v>Ofir Zarduk</v>
      </c>
      <c r="C2290" s="1402" t="s">
        <v>6339</v>
      </c>
      <c r="D2290" s="1403" t="s">
        <v>6342</v>
      </c>
      <c r="E2290" s="1404" t="s">
        <v>4834</v>
      </c>
      <c r="F2290" s="1405" t="s">
        <v>5299</v>
      </c>
      <c r="G2290" s="1403" t="s">
        <v>14359</v>
      </c>
      <c r="H2290" s="1406" t="s">
        <v>1035</v>
      </c>
    </row>
    <row r="2291" spans="1:8" x14ac:dyDescent="0.2">
      <c r="A2291" s="7"/>
      <c r="B2291" s="1407" t="str">
        <f t="shared" si="35"/>
        <v>Simone Funaro</v>
      </c>
      <c r="C2291" s="1402" t="s">
        <v>6340</v>
      </c>
      <c r="D2291" s="1403" t="s">
        <v>3158</v>
      </c>
      <c r="E2291" s="1404" t="s">
        <v>8774</v>
      </c>
      <c r="F2291" s="1405" t="s">
        <v>5299</v>
      </c>
      <c r="G2291" s="1403" t="s">
        <v>11325</v>
      </c>
      <c r="H2291" s="1406" t="s">
        <v>1035</v>
      </c>
    </row>
    <row r="2292" spans="1:8" x14ac:dyDescent="0.2">
      <c r="A2292" s="7"/>
      <c r="B2292" s="1407" t="str">
        <f t="shared" si="35"/>
        <v>Ascer Funaro</v>
      </c>
      <c r="C2292" s="1402" t="s">
        <v>6340</v>
      </c>
      <c r="D2292" s="1403" t="s">
        <v>11241</v>
      </c>
      <c r="E2292" s="1404" t="s">
        <v>11270</v>
      </c>
      <c r="F2292" s="1405" t="s">
        <v>5299</v>
      </c>
      <c r="G2292" s="1403" t="s">
        <v>11325</v>
      </c>
      <c r="H2292" s="1406" t="s">
        <v>1035</v>
      </c>
    </row>
    <row r="2293" spans="1:8" x14ac:dyDescent="0.2">
      <c r="A2293" s="7"/>
      <c r="B2293" s="1407" t="str">
        <f t="shared" si="35"/>
        <v>Davide Funaro</v>
      </c>
      <c r="C2293" s="1402" t="s">
        <v>6340</v>
      </c>
      <c r="D2293" s="1403" t="s">
        <v>3329</v>
      </c>
      <c r="E2293" s="1404" t="s">
        <v>11271</v>
      </c>
      <c r="F2293" s="1405" t="s">
        <v>5299</v>
      </c>
      <c r="G2293" s="1403" t="s">
        <v>11325</v>
      </c>
      <c r="H2293" s="1406" t="s">
        <v>1035</v>
      </c>
    </row>
    <row r="2294" spans="1:8" x14ac:dyDescent="0.2">
      <c r="A2294" s="7"/>
      <c r="B2294" s="1407" t="str">
        <f t="shared" si="35"/>
        <v>Menashe Harman</v>
      </c>
      <c r="C2294" s="1402" t="s">
        <v>14673</v>
      </c>
      <c r="D2294" s="1403" t="s">
        <v>14674</v>
      </c>
      <c r="E2294" s="1404" t="s">
        <v>14675</v>
      </c>
      <c r="F2294" s="1405" t="s">
        <v>5300</v>
      </c>
      <c r="G2294" s="1403"/>
      <c r="H2294" s="1406" t="s">
        <v>1035</v>
      </c>
    </row>
    <row r="2295" spans="1:8" x14ac:dyDescent="0.2">
      <c r="A2295" s="7"/>
      <c r="B2295" s="1407" t="str">
        <f t="shared" si="35"/>
        <v>Stuart Kingston</v>
      </c>
      <c r="C2295" s="1402" t="s">
        <v>14676</v>
      </c>
      <c r="D2295" s="1403" t="s">
        <v>3316</v>
      </c>
      <c r="E2295" s="1404" t="s">
        <v>14677</v>
      </c>
      <c r="F2295" s="1405" t="s">
        <v>5300</v>
      </c>
      <c r="G2295" s="1403"/>
      <c r="H2295" s="1406" t="s">
        <v>1035</v>
      </c>
    </row>
    <row r="2296" spans="1:8" x14ac:dyDescent="0.2">
      <c r="A2296" s="7"/>
      <c r="B2296" s="1407" t="str">
        <f t="shared" si="35"/>
        <v>Carlo Alessi</v>
      </c>
      <c r="C2296" s="1402" t="s">
        <v>6344</v>
      </c>
      <c r="D2296" s="1403" t="s">
        <v>3266</v>
      </c>
      <c r="E2296" s="1404" t="s">
        <v>4835</v>
      </c>
      <c r="F2296" s="1405" t="s">
        <v>5300</v>
      </c>
      <c r="G2296" s="1403" t="s">
        <v>7867</v>
      </c>
      <c r="H2296" s="1406" t="s">
        <v>1037</v>
      </c>
    </row>
    <row r="2297" spans="1:8" x14ac:dyDescent="0.2">
      <c r="A2297" s="7"/>
      <c r="B2297" s="1407" t="str">
        <f t="shared" si="35"/>
        <v>Aaron Allison</v>
      </c>
      <c r="C2297" s="1402" t="s">
        <v>6345</v>
      </c>
      <c r="D2297" s="1403" t="s">
        <v>3314</v>
      </c>
      <c r="E2297" s="1404" t="s">
        <v>4836</v>
      </c>
      <c r="F2297" s="1405" t="s">
        <v>5299</v>
      </c>
      <c r="G2297" s="1403" t="s">
        <v>13312</v>
      </c>
      <c r="H2297" s="1406" t="s">
        <v>1037</v>
      </c>
    </row>
    <row r="2298" spans="1:8" x14ac:dyDescent="0.2">
      <c r="A2298" s="7"/>
      <c r="B2298" s="1407" t="str">
        <f t="shared" si="35"/>
        <v>Genny Ancarola</v>
      </c>
      <c r="C2298" s="1402" t="s">
        <v>6346</v>
      </c>
      <c r="D2298" s="1403" t="s">
        <v>8291</v>
      </c>
      <c r="E2298" s="1404" t="s">
        <v>4837</v>
      </c>
      <c r="F2298" s="1405" t="s">
        <v>5300</v>
      </c>
      <c r="G2298" s="1403" t="s">
        <v>13596</v>
      </c>
      <c r="H2298" s="1406" t="s">
        <v>1037</v>
      </c>
    </row>
    <row r="2299" spans="1:8" x14ac:dyDescent="0.2">
      <c r="A2299" s="7"/>
      <c r="B2299" s="1407" t="str">
        <f t="shared" si="35"/>
        <v>Andrea Anderlini</v>
      </c>
      <c r="C2299" s="1402" t="s">
        <v>6347</v>
      </c>
      <c r="D2299" s="1403" t="s">
        <v>3027</v>
      </c>
      <c r="E2299" s="1404" t="s">
        <v>4838</v>
      </c>
      <c r="F2299" s="1405" t="s">
        <v>5300</v>
      </c>
      <c r="G2299" s="1403" t="s">
        <v>7876</v>
      </c>
      <c r="H2299" s="1406" t="s">
        <v>1037</v>
      </c>
    </row>
    <row r="2300" spans="1:8" x14ac:dyDescent="0.2">
      <c r="A2300" s="7"/>
      <c r="B2300" s="1407" t="str">
        <f t="shared" si="35"/>
        <v>Alessandro Arca</v>
      </c>
      <c r="C2300" s="1402" t="s">
        <v>6348</v>
      </c>
      <c r="D2300" s="1403" t="s">
        <v>3125</v>
      </c>
      <c r="E2300" s="1404" t="s">
        <v>4839</v>
      </c>
      <c r="F2300" s="1405" t="s">
        <v>5300</v>
      </c>
      <c r="G2300" s="1403" t="s">
        <v>7867</v>
      </c>
      <c r="H2300" s="1406" t="s">
        <v>1037</v>
      </c>
    </row>
    <row r="2301" spans="1:8" x14ac:dyDescent="0.2">
      <c r="A2301" s="7"/>
      <c r="B2301" s="1407" t="str">
        <f t="shared" si="35"/>
        <v>Stefano Bacchin</v>
      </c>
      <c r="C2301" s="1402" t="s">
        <v>6349</v>
      </c>
      <c r="D2301" s="1403" t="s">
        <v>3062</v>
      </c>
      <c r="E2301" s="1404" t="s">
        <v>4840</v>
      </c>
      <c r="F2301" s="1405" t="s">
        <v>5300</v>
      </c>
      <c r="G2301" s="1403" t="s">
        <v>7867</v>
      </c>
      <c r="H2301" s="1406" t="s">
        <v>1037</v>
      </c>
    </row>
    <row r="2302" spans="1:8" x14ac:dyDescent="0.2">
      <c r="A2302" s="7"/>
      <c r="B2302" s="1407" t="str">
        <f t="shared" si="35"/>
        <v>Marco Bacci</v>
      </c>
      <c r="C2302" s="1402" t="s">
        <v>6350</v>
      </c>
      <c r="D2302" s="1403" t="s">
        <v>3109</v>
      </c>
      <c r="E2302" s="1404" t="s">
        <v>4841</v>
      </c>
      <c r="F2302" s="1405" t="s">
        <v>5300</v>
      </c>
      <c r="G2302" s="1403" t="s">
        <v>2900</v>
      </c>
      <c r="H2302" s="1406" t="s">
        <v>1037</v>
      </c>
    </row>
    <row r="2303" spans="1:8" x14ac:dyDescent="0.2">
      <c r="A2303" s="7"/>
      <c r="B2303" s="1407" t="str">
        <f t="shared" si="35"/>
        <v>Matteo Balboni</v>
      </c>
      <c r="C2303" s="1402" t="s">
        <v>6351</v>
      </c>
      <c r="D2303" s="1403" t="s">
        <v>3200</v>
      </c>
      <c r="E2303" s="1404" t="s">
        <v>4842</v>
      </c>
      <c r="F2303" s="1405" t="s">
        <v>5299</v>
      </c>
      <c r="G2303" s="1403" t="s">
        <v>7873</v>
      </c>
      <c r="H2303" s="1406" t="s">
        <v>1037</v>
      </c>
    </row>
    <row r="2304" spans="1:8" x14ac:dyDescent="0.2">
      <c r="A2304" s="7"/>
      <c r="B2304" s="1407" t="str">
        <f t="shared" si="35"/>
        <v>Armando Balestrieri</v>
      </c>
      <c r="C2304" s="1402" t="s">
        <v>6352</v>
      </c>
      <c r="D2304" s="1403" t="s">
        <v>6994</v>
      </c>
      <c r="E2304" s="1404" t="s">
        <v>4843</v>
      </c>
      <c r="F2304" s="1405" t="s">
        <v>5299</v>
      </c>
      <c r="G2304" s="1403" t="s">
        <v>7874</v>
      </c>
      <c r="H2304" s="1406" t="s">
        <v>1037</v>
      </c>
    </row>
    <row r="2305" spans="1:8" x14ac:dyDescent="0.2">
      <c r="A2305" s="7"/>
      <c r="B2305" s="1407" t="str">
        <f t="shared" si="35"/>
        <v>Flavio Balice</v>
      </c>
      <c r="C2305" s="1402" t="s">
        <v>15205</v>
      </c>
      <c r="D2305" s="1403" t="s">
        <v>3201</v>
      </c>
      <c r="E2305" s="1404" t="s">
        <v>15206</v>
      </c>
      <c r="F2305" s="1405" t="s">
        <v>5299</v>
      </c>
      <c r="G2305" s="1403" t="s">
        <v>15207</v>
      </c>
      <c r="H2305" s="1406" t="s">
        <v>1037</v>
      </c>
    </row>
    <row r="2306" spans="1:8" x14ac:dyDescent="0.2">
      <c r="A2306" s="7"/>
      <c r="B2306" s="1407" t="str">
        <f t="shared" si="35"/>
        <v>Romualdo Balzano</v>
      </c>
      <c r="C2306" s="1402" t="s">
        <v>6353</v>
      </c>
      <c r="D2306" s="1403" t="s">
        <v>3406</v>
      </c>
      <c r="E2306" s="1404" t="s">
        <v>4844</v>
      </c>
      <c r="F2306" s="1405" t="s">
        <v>5299</v>
      </c>
      <c r="G2306" s="1403" t="s">
        <v>7872</v>
      </c>
      <c r="H2306" s="1406" t="s">
        <v>1037</v>
      </c>
    </row>
    <row r="2307" spans="1:8" x14ac:dyDescent="0.2">
      <c r="A2307" s="7"/>
      <c r="B2307" s="1407" t="str">
        <f t="shared" si="35"/>
        <v>Mario Banditelli</v>
      </c>
      <c r="C2307" s="1402" t="s">
        <v>6354</v>
      </c>
      <c r="D2307" s="1403" t="s">
        <v>3079</v>
      </c>
      <c r="E2307" s="1404" t="s">
        <v>4845</v>
      </c>
      <c r="F2307" s="1405" t="s">
        <v>5300</v>
      </c>
      <c r="G2307" s="1403" t="s">
        <v>7874</v>
      </c>
      <c r="H2307" s="1406" t="s">
        <v>1037</v>
      </c>
    </row>
    <row r="2308" spans="1:8" x14ac:dyDescent="0.2">
      <c r="A2308" s="7"/>
      <c r="B2308" s="1407" t="str">
        <f t="shared" si="35"/>
        <v>Luca Baraldi</v>
      </c>
      <c r="C2308" s="1402" t="s">
        <v>6355</v>
      </c>
      <c r="D2308" s="1403" t="s">
        <v>3198</v>
      </c>
      <c r="E2308" s="1404" t="s">
        <v>4846</v>
      </c>
      <c r="F2308" s="1405" t="s">
        <v>5300</v>
      </c>
      <c r="G2308" s="1403" t="s">
        <v>7876</v>
      </c>
      <c r="H2308" s="1406" t="s">
        <v>1037</v>
      </c>
    </row>
    <row r="2309" spans="1:8" x14ac:dyDescent="0.2">
      <c r="A2309" s="7"/>
      <c r="B2309" s="1407" t="str">
        <f t="shared" si="35"/>
        <v>Gregorio Barbieri</v>
      </c>
      <c r="C2309" s="1402" t="s">
        <v>6356</v>
      </c>
      <c r="D2309" s="1403" t="s">
        <v>3430</v>
      </c>
      <c r="E2309" s="1404" t="s">
        <v>15214</v>
      </c>
      <c r="F2309" s="1405" t="s">
        <v>1563</v>
      </c>
      <c r="G2309" s="1403" t="s">
        <v>7876</v>
      </c>
      <c r="H2309" s="1406" t="s">
        <v>1037</v>
      </c>
    </row>
    <row r="2310" spans="1:8" x14ac:dyDescent="0.2">
      <c r="A2310" s="7"/>
      <c r="B2310" s="1407" t="str">
        <f t="shared" si="35"/>
        <v>Massimiliano Barbieri</v>
      </c>
      <c r="C2310" s="1402" t="s">
        <v>6356</v>
      </c>
      <c r="D2310" s="1403" t="s">
        <v>3023</v>
      </c>
      <c r="E2310" s="1404" t="s">
        <v>4847</v>
      </c>
      <c r="F2310" s="1405" t="s">
        <v>5300</v>
      </c>
      <c r="G2310" s="1403" t="s">
        <v>2780</v>
      </c>
      <c r="H2310" s="1406" t="s">
        <v>1037</v>
      </c>
    </row>
    <row r="2311" spans="1:8" x14ac:dyDescent="0.2">
      <c r="A2311" s="7"/>
      <c r="B2311" s="1407" t="str">
        <f t="shared" ref="B2311:B2374" si="36">TRIM(CONCATENATE(D2311," ",C2311))</f>
        <v>Federico Bardari</v>
      </c>
      <c r="C2311" s="1402" t="s">
        <v>6357</v>
      </c>
      <c r="D2311" s="1403" t="s">
        <v>3335</v>
      </c>
      <c r="E2311" s="1404" t="s">
        <v>4848</v>
      </c>
      <c r="F2311" s="1405" t="s">
        <v>13210</v>
      </c>
      <c r="G2311" s="1403" t="s">
        <v>7877</v>
      </c>
      <c r="H2311" s="1406" t="s">
        <v>1037</v>
      </c>
    </row>
    <row r="2312" spans="1:8" x14ac:dyDescent="0.2">
      <c r="A2312" s="7"/>
      <c r="B2312" s="1407" t="str">
        <f t="shared" si="36"/>
        <v>Saverio Bari</v>
      </c>
      <c r="C2312" s="1402" t="s">
        <v>6358</v>
      </c>
      <c r="D2312" s="1403" t="s">
        <v>3006</v>
      </c>
      <c r="E2312" s="1404" t="s">
        <v>4849</v>
      </c>
      <c r="F2312" s="1405" t="s">
        <v>5300</v>
      </c>
      <c r="G2312" s="1403" t="s">
        <v>7870</v>
      </c>
      <c r="H2312" s="1406" t="s">
        <v>1037</v>
      </c>
    </row>
    <row r="2313" spans="1:8" x14ac:dyDescent="0.2">
      <c r="A2313" s="7"/>
      <c r="B2313" s="1407" t="str">
        <f t="shared" si="36"/>
        <v>Luigi Barone</v>
      </c>
      <c r="C2313" s="1402" t="s">
        <v>6359</v>
      </c>
      <c r="D2313" s="1403" t="s">
        <v>3339</v>
      </c>
      <c r="E2313" s="1404" t="s">
        <v>4850</v>
      </c>
      <c r="F2313" s="1405" t="s">
        <v>5300</v>
      </c>
      <c r="G2313" s="1403" t="s">
        <v>10268</v>
      </c>
      <c r="H2313" s="1406" t="s">
        <v>1037</v>
      </c>
    </row>
    <row r="2314" spans="1:8" x14ac:dyDescent="0.2">
      <c r="A2314" s="7"/>
      <c r="B2314" s="1407" t="str">
        <f t="shared" si="36"/>
        <v>Paolo Bartolomeo</v>
      </c>
      <c r="C2314" s="1402" t="s">
        <v>3612</v>
      </c>
      <c r="D2314" s="1403" t="s">
        <v>3119</v>
      </c>
      <c r="E2314" s="1404" t="s">
        <v>4851</v>
      </c>
      <c r="F2314" s="1405" t="s">
        <v>5299</v>
      </c>
      <c r="G2314" s="1403" t="s">
        <v>2749</v>
      </c>
      <c r="H2314" s="1406" t="s">
        <v>1037</v>
      </c>
    </row>
    <row r="2315" spans="1:8" x14ac:dyDescent="0.2">
      <c r="A2315" s="7"/>
      <c r="B2315" s="1407" t="str">
        <f t="shared" si="36"/>
        <v>Giuseppe Battaglia</v>
      </c>
      <c r="C2315" s="1402" t="s">
        <v>6360</v>
      </c>
      <c r="D2315" s="1403" t="s">
        <v>3122</v>
      </c>
      <c r="E2315" s="1404" t="s">
        <v>4852</v>
      </c>
      <c r="F2315" s="1405" t="s">
        <v>5300</v>
      </c>
      <c r="G2315" s="1403" t="s">
        <v>10269</v>
      </c>
      <c r="H2315" s="1406" t="s">
        <v>1037</v>
      </c>
    </row>
    <row r="2316" spans="1:8" x14ac:dyDescent="0.2">
      <c r="A2316" s="7"/>
      <c r="B2316" s="1407" t="str">
        <f t="shared" si="36"/>
        <v>Luca Battista</v>
      </c>
      <c r="C2316" s="1402" t="s">
        <v>6361</v>
      </c>
      <c r="D2316" s="1403" t="s">
        <v>3198</v>
      </c>
      <c r="E2316" s="1404" t="s">
        <v>4853</v>
      </c>
      <c r="F2316" s="1405" t="s">
        <v>5299</v>
      </c>
      <c r="G2316" s="1403" t="s">
        <v>2776</v>
      </c>
      <c r="H2316" s="1406" t="s">
        <v>1037</v>
      </c>
    </row>
    <row r="2317" spans="1:8" x14ac:dyDescent="0.2">
      <c r="A2317" s="7"/>
      <c r="B2317" s="1407" t="str">
        <f t="shared" si="36"/>
        <v>Umberto Battista</v>
      </c>
      <c r="C2317" s="1402" t="s">
        <v>6361</v>
      </c>
      <c r="D2317" s="1403" t="s">
        <v>3632</v>
      </c>
      <c r="E2317" s="1404" t="s">
        <v>4854</v>
      </c>
      <c r="F2317" s="1405" t="s">
        <v>5300</v>
      </c>
      <c r="G2317" s="1403" t="s">
        <v>2776</v>
      </c>
      <c r="H2317" s="1406" t="s">
        <v>1037</v>
      </c>
    </row>
    <row r="2318" spans="1:8" x14ac:dyDescent="0.2">
      <c r="A2318" s="7"/>
      <c r="B2318" s="1407" t="str">
        <f t="shared" si="36"/>
        <v>Tiberio Becucci</v>
      </c>
      <c r="C2318" s="1402" t="s">
        <v>6362</v>
      </c>
      <c r="D2318" s="1403" t="s">
        <v>3328</v>
      </c>
      <c r="E2318" s="1404" t="s">
        <v>4855</v>
      </c>
      <c r="F2318" s="1405" t="s">
        <v>5300</v>
      </c>
      <c r="G2318" s="1403" t="s">
        <v>2784</v>
      </c>
      <c r="H2318" s="1406" t="s">
        <v>1037</v>
      </c>
    </row>
    <row r="2319" spans="1:8" x14ac:dyDescent="0.2">
      <c r="A2319" s="7"/>
      <c r="B2319" s="1407" t="str">
        <f t="shared" si="36"/>
        <v>Fabio Belloni</v>
      </c>
      <c r="C2319" s="1402" t="s">
        <v>6363</v>
      </c>
      <c r="D2319" s="1403" t="s">
        <v>3133</v>
      </c>
      <c r="E2319" s="1404" t="s">
        <v>4856</v>
      </c>
      <c r="F2319" s="1405" t="s">
        <v>5300</v>
      </c>
      <c r="G2319" s="1403" t="s">
        <v>9822</v>
      </c>
      <c r="H2319" s="1406" t="s">
        <v>1037</v>
      </c>
    </row>
    <row r="2320" spans="1:8" x14ac:dyDescent="0.2">
      <c r="A2320" s="7"/>
      <c r="B2320" s="1407" t="str">
        <f t="shared" si="36"/>
        <v>Edoardo Bellotto</v>
      </c>
      <c r="C2320" s="1402" t="s">
        <v>6364</v>
      </c>
      <c r="D2320" s="1403" t="s">
        <v>3558</v>
      </c>
      <c r="E2320" s="1404" t="s">
        <v>4857</v>
      </c>
      <c r="F2320" s="1405" t="s">
        <v>5300</v>
      </c>
      <c r="G2320" s="1403" t="s">
        <v>16843</v>
      </c>
      <c r="H2320" s="1406" t="s">
        <v>1037</v>
      </c>
    </row>
    <row r="2321" spans="1:8" x14ac:dyDescent="0.2">
      <c r="A2321" s="7"/>
      <c r="B2321" s="1407" t="str">
        <f t="shared" si="36"/>
        <v>Francesco Benedetti</v>
      </c>
      <c r="C2321" s="1402" t="s">
        <v>6365</v>
      </c>
      <c r="D2321" s="1403" t="s">
        <v>3277</v>
      </c>
      <c r="E2321" s="1404" t="s">
        <v>15233</v>
      </c>
      <c r="F2321" s="1405" t="s">
        <v>5300</v>
      </c>
      <c r="G2321" s="1403" t="s">
        <v>13324</v>
      </c>
      <c r="H2321" s="1406" t="s">
        <v>1037</v>
      </c>
    </row>
    <row r="2322" spans="1:8" x14ac:dyDescent="0.2">
      <c r="A2322" s="7"/>
      <c r="B2322" s="1407" t="str">
        <f t="shared" si="36"/>
        <v>Michele Benedetto</v>
      </c>
      <c r="C2322" s="1402" t="s">
        <v>11056</v>
      </c>
      <c r="D2322" s="1403" t="s">
        <v>3216</v>
      </c>
      <c r="E2322" s="1404" t="s">
        <v>15234</v>
      </c>
      <c r="F2322" s="1405" t="s">
        <v>5299</v>
      </c>
      <c r="G2322" s="1403" t="s">
        <v>16501</v>
      </c>
      <c r="H2322" s="1406" t="s">
        <v>1037</v>
      </c>
    </row>
    <row r="2323" spans="1:8" x14ac:dyDescent="0.2">
      <c r="A2323" s="7"/>
      <c r="B2323" s="1407" t="str">
        <f t="shared" si="36"/>
        <v>Francesco Bernardini</v>
      </c>
      <c r="C2323" s="1402" t="s">
        <v>15242</v>
      </c>
      <c r="D2323" s="1403" t="s">
        <v>3277</v>
      </c>
      <c r="E2323" s="1404" t="s">
        <v>15243</v>
      </c>
      <c r="F2323" s="1405" t="s">
        <v>5300</v>
      </c>
      <c r="G2323" s="1403" t="s">
        <v>15207</v>
      </c>
      <c r="H2323" s="1406" t="s">
        <v>1037</v>
      </c>
    </row>
    <row r="2324" spans="1:8" x14ac:dyDescent="0.2">
      <c r="A2324" s="7"/>
      <c r="B2324" s="1407" t="str">
        <f t="shared" si="36"/>
        <v>Daniele Bertelli</v>
      </c>
      <c r="C2324" s="1402" t="s">
        <v>6366</v>
      </c>
      <c r="D2324" s="1403" t="s">
        <v>3022</v>
      </c>
      <c r="E2324" s="1404" t="s">
        <v>4858</v>
      </c>
      <c r="F2324" s="1405" t="s">
        <v>5299</v>
      </c>
      <c r="G2324" s="1403" t="s">
        <v>15245</v>
      </c>
      <c r="H2324" s="1406" t="s">
        <v>1037</v>
      </c>
    </row>
    <row r="2325" spans="1:8" x14ac:dyDescent="0.2">
      <c r="A2325" s="7"/>
      <c r="B2325" s="1407" t="str">
        <f t="shared" si="36"/>
        <v>Simone Bertelli</v>
      </c>
      <c r="C2325" s="1402" t="s">
        <v>6366</v>
      </c>
      <c r="D2325" s="1403" t="s">
        <v>3158</v>
      </c>
      <c r="E2325" s="1404" t="s">
        <v>4859</v>
      </c>
      <c r="F2325" s="1405" t="s">
        <v>5299</v>
      </c>
      <c r="G2325" s="1403" t="s">
        <v>10262</v>
      </c>
      <c r="H2325" s="1406" t="s">
        <v>1037</v>
      </c>
    </row>
    <row r="2326" spans="1:8" x14ac:dyDescent="0.2">
      <c r="A2326" s="7"/>
      <c r="B2326" s="1407" t="str">
        <f t="shared" si="36"/>
        <v>Pierluigi Bianco</v>
      </c>
      <c r="C2326" s="1402" t="s">
        <v>6002</v>
      </c>
      <c r="D2326" s="1403" t="s">
        <v>3549</v>
      </c>
      <c r="E2326" s="1404" t="s">
        <v>4860</v>
      </c>
      <c r="F2326" s="1405" t="s">
        <v>5300</v>
      </c>
      <c r="G2326" s="1403" t="s">
        <v>10262</v>
      </c>
      <c r="H2326" s="1406" t="s">
        <v>1037</v>
      </c>
    </row>
    <row r="2327" spans="1:8" x14ac:dyDescent="0.2">
      <c r="A2327" s="7"/>
      <c r="B2327" s="1407" t="str">
        <f t="shared" si="36"/>
        <v>Alessandro Billi</v>
      </c>
      <c r="C2327" s="1402" t="s">
        <v>6367</v>
      </c>
      <c r="D2327" s="1403" t="s">
        <v>3125</v>
      </c>
      <c r="E2327" s="1404" t="s">
        <v>4861</v>
      </c>
      <c r="F2327" s="1405" t="s">
        <v>5300</v>
      </c>
      <c r="G2327" s="1403" t="s">
        <v>7873</v>
      </c>
      <c r="H2327" s="1406" t="s">
        <v>1037</v>
      </c>
    </row>
    <row r="2328" spans="1:8" x14ac:dyDescent="0.2">
      <c r="A2328" s="7"/>
      <c r="B2328" s="1407" t="str">
        <f t="shared" si="36"/>
        <v>Luca Bisio</v>
      </c>
      <c r="C2328" s="1402" t="s">
        <v>6368</v>
      </c>
      <c r="D2328" s="1403" t="s">
        <v>3198</v>
      </c>
      <c r="E2328" s="1404" t="s">
        <v>4862</v>
      </c>
      <c r="F2328" s="1405" t="s">
        <v>5300</v>
      </c>
      <c r="G2328" s="1403" t="s">
        <v>2765</v>
      </c>
      <c r="H2328" s="1406" t="s">
        <v>1037</v>
      </c>
    </row>
    <row r="2329" spans="1:8" x14ac:dyDescent="0.2">
      <c r="A2329" s="7"/>
      <c r="B2329" s="1407" t="str">
        <f t="shared" si="36"/>
        <v>Marcello Bodin De Chatelard</v>
      </c>
      <c r="C2329" s="1402" t="s">
        <v>6369</v>
      </c>
      <c r="D2329" s="1403" t="s">
        <v>3258</v>
      </c>
      <c r="E2329" s="1404" t="s">
        <v>4863</v>
      </c>
      <c r="F2329" s="1405" t="s">
        <v>5299</v>
      </c>
      <c r="G2329" s="1403" t="s">
        <v>11467</v>
      </c>
      <c r="H2329" s="1406" t="s">
        <v>1037</v>
      </c>
    </row>
    <row r="2330" spans="1:8" x14ac:dyDescent="0.2">
      <c r="A2330" s="7"/>
      <c r="B2330" s="1407" t="str">
        <f t="shared" si="36"/>
        <v>Massimo Bolognino</v>
      </c>
      <c r="C2330" s="1402" t="s">
        <v>6370</v>
      </c>
      <c r="D2330" s="1403" t="s">
        <v>3013</v>
      </c>
      <c r="E2330" s="1404" t="s">
        <v>4864</v>
      </c>
      <c r="F2330" s="1405" t="s">
        <v>5300</v>
      </c>
      <c r="G2330" s="1403" t="s">
        <v>2750</v>
      </c>
      <c r="H2330" s="1406" t="s">
        <v>1037</v>
      </c>
    </row>
    <row r="2331" spans="1:8" x14ac:dyDescent="0.2">
      <c r="A2331" s="7"/>
      <c r="B2331" s="1407" t="str">
        <f t="shared" si="36"/>
        <v>Marco Bonciani</v>
      </c>
      <c r="C2331" s="1402" t="s">
        <v>6371</v>
      </c>
      <c r="D2331" s="1403" t="s">
        <v>3109</v>
      </c>
      <c r="E2331" s="1404" t="s">
        <v>4865</v>
      </c>
      <c r="F2331" s="1405" t="s">
        <v>5299</v>
      </c>
      <c r="G2331" s="1403" t="s">
        <v>2784</v>
      </c>
      <c r="H2331" s="1406" t="s">
        <v>1037</v>
      </c>
    </row>
    <row r="2332" spans="1:8" x14ac:dyDescent="0.2">
      <c r="A2332" s="7"/>
      <c r="B2332" s="1407" t="str">
        <f t="shared" si="36"/>
        <v>Pietro Bonfante</v>
      </c>
      <c r="C2332" s="1402" t="s">
        <v>6061</v>
      </c>
      <c r="D2332" s="1403" t="s">
        <v>3233</v>
      </c>
      <c r="E2332" s="1404" t="s">
        <v>4866</v>
      </c>
      <c r="F2332" s="1405" t="s">
        <v>5300</v>
      </c>
      <c r="G2332" s="1403" t="s">
        <v>7867</v>
      </c>
      <c r="H2332" s="1406" t="s">
        <v>1037</v>
      </c>
    </row>
    <row r="2333" spans="1:8" x14ac:dyDescent="0.2">
      <c r="A2333" s="7"/>
      <c r="B2333" s="1407" t="str">
        <f t="shared" si="36"/>
        <v>Marco Borriello</v>
      </c>
      <c r="C2333" s="1402" t="s">
        <v>11201</v>
      </c>
      <c r="D2333" s="1403" t="s">
        <v>3109</v>
      </c>
      <c r="E2333" s="1404" t="s">
        <v>11272</v>
      </c>
      <c r="F2333" s="1405" t="s">
        <v>5300</v>
      </c>
      <c r="G2333" s="1403" t="s">
        <v>10268</v>
      </c>
      <c r="H2333" s="1406" t="s">
        <v>1037</v>
      </c>
    </row>
    <row r="2334" spans="1:8" x14ac:dyDescent="0.2">
      <c r="A2334" s="7"/>
      <c r="B2334" s="1407" t="str">
        <f t="shared" si="36"/>
        <v>Francesco Bressi</v>
      </c>
      <c r="C2334" s="1402" t="s">
        <v>6373</v>
      </c>
      <c r="D2334" s="1403" t="s">
        <v>3277</v>
      </c>
      <c r="E2334" s="1404" t="s">
        <v>4867</v>
      </c>
      <c r="F2334" s="1405" t="s">
        <v>5300</v>
      </c>
      <c r="G2334" s="1403" t="s">
        <v>10271</v>
      </c>
      <c r="H2334" s="1406" t="s">
        <v>1037</v>
      </c>
    </row>
    <row r="2335" spans="1:8" x14ac:dyDescent="0.2">
      <c r="A2335" s="7"/>
      <c r="B2335" s="1407" t="str">
        <f t="shared" si="36"/>
        <v>Maurizio Brillantino</v>
      </c>
      <c r="C2335" s="1402" t="s">
        <v>6374</v>
      </c>
      <c r="D2335" s="1403" t="s">
        <v>3148</v>
      </c>
      <c r="E2335" s="1404" t="s">
        <v>4868</v>
      </c>
      <c r="F2335" s="1405" t="s">
        <v>5300</v>
      </c>
      <c r="G2335" s="1403" t="s">
        <v>2780</v>
      </c>
      <c r="H2335" s="1406" t="s">
        <v>1037</v>
      </c>
    </row>
    <row r="2336" spans="1:8" x14ac:dyDescent="0.2">
      <c r="A2336" s="7"/>
      <c r="B2336" s="1407" t="str">
        <f t="shared" si="36"/>
        <v>Marco Brunelli</v>
      </c>
      <c r="C2336" s="1402" t="s">
        <v>6375</v>
      </c>
      <c r="D2336" s="1403" t="s">
        <v>3109</v>
      </c>
      <c r="E2336" s="1404" t="s">
        <v>4869</v>
      </c>
      <c r="F2336" s="1405" t="s">
        <v>5299</v>
      </c>
      <c r="G2336" s="1403" t="s">
        <v>15245</v>
      </c>
      <c r="H2336" s="1406" t="s">
        <v>1037</v>
      </c>
    </row>
    <row r="2337" spans="1:8" x14ac:dyDescent="0.2">
      <c r="A2337" s="7"/>
      <c r="B2337" s="1407" t="str">
        <f t="shared" si="36"/>
        <v>Antonio Buonansegna</v>
      </c>
      <c r="C2337" s="1402" t="s">
        <v>15294</v>
      </c>
      <c r="D2337" s="1403" t="s">
        <v>3341</v>
      </c>
      <c r="E2337" s="1404" t="s">
        <v>15295</v>
      </c>
      <c r="F2337" s="1405" t="s">
        <v>5299</v>
      </c>
      <c r="G2337" s="1403" t="s">
        <v>16501</v>
      </c>
      <c r="H2337" s="1406" t="s">
        <v>1037</v>
      </c>
    </row>
    <row r="2338" spans="1:8" x14ac:dyDescent="0.2">
      <c r="A2338" s="7"/>
      <c r="B2338" s="1407" t="str">
        <f t="shared" si="36"/>
        <v>Stefano Buono</v>
      </c>
      <c r="C2338" s="1402" t="s">
        <v>6376</v>
      </c>
      <c r="D2338" s="1403" t="s">
        <v>3062</v>
      </c>
      <c r="E2338" s="1404" t="s">
        <v>4870</v>
      </c>
      <c r="F2338" s="1405" t="s">
        <v>5299</v>
      </c>
      <c r="G2338" s="1403" t="s">
        <v>10270</v>
      </c>
      <c r="H2338" s="1406" t="s">
        <v>1037</v>
      </c>
    </row>
    <row r="2339" spans="1:8" x14ac:dyDescent="0.2">
      <c r="A2339" s="7"/>
      <c r="B2339" s="1407" t="str">
        <f t="shared" si="36"/>
        <v>Eleonora Buttitta</v>
      </c>
      <c r="C2339" s="1402" t="s">
        <v>6377</v>
      </c>
      <c r="D2339" s="1403" t="s">
        <v>3544</v>
      </c>
      <c r="E2339" s="1404" t="s">
        <v>4871</v>
      </c>
      <c r="F2339" s="1405" t="s">
        <v>5299</v>
      </c>
      <c r="G2339" s="1403" t="s">
        <v>10270</v>
      </c>
      <c r="H2339" s="1406" t="s">
        <v>1037</v>
      </c>
    </row>
    <row r="2340" spans="1:8" x14ac:dyDescent="0.2">
      <c r="A2340" s="7"/>
      <c r="B2340" s="1407" t="str">
        <f t="shared" si="36"/>
        <v>Stefano Buzzi</v>
      </c>
      <c r="C2340" s="1402" t="s">
        <v>6378</v>
      </c>
      <c r="D2340" s="1403" t="s">
        <v>3062</v>
      </c>
      <c r="E2340" s="1404" t="s">
        <v>4872</v>
      </c>
      <c r="F2340" s="1405" t="s">
        <v>5300</v>
      </c>
      <c r="G2340" s="1403" t="s">
        <v>2765</v>
      </c>
      <c r="H2340" s="1406" t="s">
        <v>1037</v>
      </c>
    </row>
    <row r="2341" spans="1:8" x14ac:dyDescent="0.2">
      <c r="A2341" s="7"/>
      <c r="B2341" s="1407" t="str">
        <f t="shared" si="36"/>
        <v>Francesco Cacciapuoti</v>
      </c>
      <c r="C2341" s="1402" t="s">
        <v>6379</v>
      </c>
      <c r="D2341" s="1403" t="s">
        <v>3277</v>
      </c>
      <c r="E2341" s="1404" t="s">
        <v>4873</v>
      </c>
      <c r="F2341" s="1405" t="s">
        <v>5299</v>
      </c>
      <c r="G2341" s="1403" t="s">
        <v>2750</v>
      </c>
      <c r="H2341" s="1406" t="s">
        <v>1037</v>
      </c>
    </row>
    <row r="2342" spans="1:8" x14ac:dyDescent="0.2">
      <c r="A2342" s="7"/>
      <c r="B2342" s="1407" t="str">
        <f t="shared" si="36"/>
        <v>Joseph Calò</v>
      </c>
      <c r="C2342" s="1402" t="s">
        <v>6380</v>
      </c>
      <c r="D2342" s="1403" t="s">
        <v>3045</v>
      </c>
      <c r="E2342" s="1404" t="s">
        <v>4874</v>
      </c>
      <c r="F2342" s="1405" t="s">
        <v>5299</v>
      </c>
      <c r="G2342" s="1403" t="s">
        <v>2780</v>
      </c>
      <c r="H2342" s="1406" t="s">
        <v>1037</v>
      </c>
    </row>
    <row r="2343" spans="1:8" x14ac:dyDescent="0.2">
      <c r="A2343" s="7"/>
      <c r="B2343" s="1407" t="str">
        <f t="shared" si="36"/>
        <v>Gianfranco Calonico</v>
      </c>
      <c r="C2343" s="1402" t="s">
        <v>6381</v>
      </c>
      <c r="D2343" s="1403" t="s">
        <v>3107</v>
      </c>
      <c r="E2343" s="1404" t="s">
        <v>4875</v>
      </c>
      <c r="F2343" s="1405" t="s">
        <v>5300</v>
      </c>
      <c r="G2343" s="1403" t="s">
        <v>7867</v>
      </c>
      <c r="H2343" s="1406" t="s">
        <v>1037</v>
      </c>
    </row>
    <row r="2344" spans="1:8" x14ac:dyDescent="0.2">
      <c r="A2344" s="7"/>
      <c r="B2344" s="1407" t="str">
        <f t="shared" si="36"/>
        <v>Lucio Canicchio</v>
      </c>
      <c r="C2344" s="1402" t="s">
        <v>6382</v>
      </c>
      <c r="D2344" s="1403" t="s">
        <v>3068</v>
      </c>
      <c r="E2344" s="1404" t="s">
        <v>4876</v>
      </c>
      <c r="F2344" s="1405" t="s">
        <v>5300</v>
      </c>
      <c r="G2344" s="1403" t="s">
        <v>5311</v>
      </c>
      <c r="H2344" s="1406" t="s">
        <v>1037</v>
      </c>
    </row>
    <row r="2345" spans="1:8" x14ac:dyDescent="0.2">
      <c r="A2345" s="7"/>
      <c r="B2345" s="1407" t="str">
        <f t="shared" si="36"/>
        <v>Luca Capellacci</v>
      </c>
      <c r="C2345" s="1402" t="s">
        <v>6383</v>
      </c>
      <c r="D2345" s="1403" t="s">
        <v>3198</v>
      </c>
      <c r="E2345" s="1404" t="s">
        <v>4877</v>
      </c>
      <c r="F2345" s="1405" t="s">
        <v>5299</v>
      </c>
      <c r="G2345" s="1403" t="s">
        <v>2749</v>
      </c>
      <c r="H2345" s="1406" t="s">
        <v>1037</v>
      </c>
    </row>
    <row r="2346" spans="1:8" x14ac:dyDescent="0.2">
      <c r="A2346" s="7"/>
      <c r="B2346" s="1407" t="str">
        <f t="shared" si="36"/>
        <v>Andrea Capelli</v>
      </c>
      <c r="C2346" s="1402" t="s">
        <v>6384</v>
      </c>
      <c r="D2346" s="1403" t="s">
        <v>3027</v>
      </c>
      <c r="E2346" s="1404" t="s">
        <v>4878</v>
      </c>
      <c r="F2346" s="1405" t="s">
        <v>5300</v>
      </c>
      <c r="G2346" s="1403" t="s">
        <v>10271</v>
      </c>
      <c r="H2346" s="1406" t="s">
        <v>1037</v>
      </c>
    </row>
    <row r="2347" spans="1:8" x14ac:dyDescent="0.2">
      <c r="A2347" s="7"/>
      <c r="B2347" s="1407" t="str">
        <f t="shared" si="36"/>
        <v>Stefano Capossela</v>
      </c>
      <c r="C2347" s="1402" t="s">
        <v>6385</v>
      </c>
      <c r="D2347" s="1403" t="s">
        <v>3062</v>
      </c>
      <c r="E2347" s="1404" t="s">
        <v>4879</v>
      </c>
      <c r="F2347" s="1405" t="s">
        <v>5300</v>
      </c>
      <c r="G2347" s="1403" t="s">
        <v>15245</v>
      </c>
      <c r="H2347" s="1406" t="s">
        <v>1037</v>
      </c>
    </row>
    <row r="2348" spans="1:8" x14ac:dyDescent="0.2">
      <c r="A2348" s="7"/>
      <c r="B2348" s="1407" t="str">
        <f t="shared" si="36"/>
        <v>Paolo Carravetta</v>
      </c>
      <c r="C2348" s="1402" t="s">
        <v>6386</v>
      </c>
      <c r="D2348" s="1403" t="s">
        <v>3119</v>
      </c>
      <c r="E2348" s="1404" t="s">
        <v>4880</v>
      </c>
      <c r="F2348" s="1405" t="s">
        <v>5300</v>
      </c>
      <c r="G2348" s="1403" t="s">
        <v>8865</v>
      </c>
      <c r="H2348" s="1406" t="s">
        <v>1037</v>
      </c>
    </row>
    <row r="2349" spans="1:8" x14ac:dyDescent="0.2">
      <c r="A2349" s="7"/>
      <c r="B2349" s="1407" t="str">
        <f t="shared" si="36"/>
        <v>Alessandro Casanova</v>
      </c>
      <c r="C2349" s="1402" t="s">
        <v>6387</v>
      </c>
      <c r="D2349" s="1403" t="s">
        <v>3125</v>
      </c>
      <c r="E2349" s="1404" t="s">
        <v>4881</v>
      </c>
      <c r="F2349" s="1405" t="s">
        <v>5300</v>
      </c>
      <c r="G2349" s="1403" t="s">
        <v>11325</v>
      </c>
      <c r="H2349" s="1406" t="s">
        <v>1037</v>
      </c>
    </row>
    <row r="2350" spans="1:8" x14ac:dyDescent="0.2">
      <c r="A2350" s="7"/>
      <c r="B2350" s="1407" t="str">
        <f t="shared" si="36"/>
        <v>Giuseppe Cascioli</v>
      </c>
      <c r="C2350" s="1402" t="s">
        <v>6388</v>
      </c>
      <c r="D2350" s="1403" t="s">
        <v>3122</v>
      </c>
      <c r="E2350" s="1404" t="s">
        <v>4882</v>
      </c>
      <c r="F2350" s="1405" t="s">
        <v>5300</v>
      </c>
      <c r="G2350" s="1403" t="s">
        <v>2777</v>
      </c>
      <c r="H2350" s="1406" t="s">
        <v>1037</v>
      </c>
    </row>
    <row r="2351" spans="1:8" x14ac:dyDescent="0.2">
      <c r="A2351" s="7"/>
      <c r="B2351" s="1407" t="str">
        <f t="shared" si="36"/>
        <v>Pietro Casini</v>
      </c>
      <c r="C2351" s="1402" t="s">
        <v>15334</v>
      </c>
      <c r="D2351" s="1403" t="s">
        <v>3233</v>
      </c>
      <c r="E2351" s="1404" t="s">
        <v>15335</v>
      </c>
      <c r="F2351" s="1405" t="s">
        <v>1563</v>
      </c>
      <c r="G2351" s="1403" t="s">
        <v>7876</v>
      </c>
      <c r="H2351" s="1406" t="s">
        <v>1037</v>
      </c>
    </row>
    <row r="2352" spans="1:8" x14ac:dyDescent="0.2">
      <c r="A2352" s="7"/>
      <c r="B2352" s="1407" t="str">
        <f t="shared" si="36"/>
        <v>Andrea Casentini</v>
      </c>
      <c r="C2352" s="1402" t="s">
        <v>6389</v>
      </c>
      <c r="D2352" s="1403" t="s">
        <v>3027</v>
      </c>
      <c r="E2352" s="1404" t="s">
        <v>4883</v>
      </c>
      <c r="F2352" s="1405" t="s">
        <v>5300</v>
      </c>
      <c r="G2352" s="1403" t="s">
        <v>5311</v>
      </c>
      <c r="H2352" s="1406" t="s">
        <v>1037</v>
      </c>
    </row>
    <row r="2353" spans="1:8" x14ac:dyDescent="0.2">
      <c r="A2353" s="7"/>
      <c r="B2353" s="1407" t="str">
        <f t="shared" si="36"/>
        <v>Mauro Castiglioni</v>
      </c>
      <c r="C2353" s="1402" t="s">
        <v>6390</v>
      </c>
      <c r="D2353" s="1403" t="s">
        <v>3204</v>
      </c>
      <c r="E2353" s="1404" t="s">
        <v>4884</v>
      </c>
      <c r="F2353" s="1405" t="s">
        <v>5300</v>
      </c>
      <c r="G2353" s="1403" t="s">
        <v>7878</v>
      </c>
      <c r="H2353" s="1406" t="s">
        <v>1037</v>
      </c>
    </row>
    <row r="2354" spans="1:8" x14ac:dyDescent="0.2">
      <c r="A2354" s="7"/>
      <c r="B2354" s="1407" t="str">
        <f t="shared" si="36"/>
        <v>Ezio Catalucci</v>
      </c>
      <c r="C2354" s="1402" t="s">
        <v>15339</v>
      </c>
      <c r="D2354" s="1403" t="s">
        <v>3565</v>
      </c>
      <c r="E2354" s="1404" t="s">
        <v>15340</v>
      </c>
      <c r="F2354" s="1405" t="s">
        <v>5299</v>
      </c>
      <c r="G2354" s="1403" t="s">
        <v>13324</v>
      </c>
      <c r="H2354" s="1406" t="s">
        <v>1037</v>
      </c>
    </row>
    <row r="2355" spans="1:8" x14ac:dyDescent="0.2">
      <c r="A2355" s="7"/>
      <c r="B2355" s="1407" t="str">
        <f t="shared" si="36"/>
        <v>Emanuele Cattani</v>
      </c>
      <c r="C2355" s="1402" t="s">
        <v>6391</v>
      </c>
      <c r="D2355" s="1403" t="s">
        <v>3085</v>
      </c>
      <c r="E2355" s="1404" t="s">
        <v>4885</v>
      </c>
      <c r="F2355" s="1405" t="s">
        <v>5300</v>
      </c>
      <c r="G2355" s="1403" t="s">
        <v>2784</v>
      </c>
      <c r="H2355" s="1406" t="s">
        <v>1037</v>
      </c>
    </row>
    <row r="2356" spans="1:8" x14ac:dyDescent="0.2">
      <c r="A2356" s="7"/>
      <c r="B2356" s="1407" t="str">
        <f t="shared" si="36"/>
        <v>Giuseppe Causarano</v>
      </c>
      <c r="C2356" s="1402" t="s">
        <v>15341</v>
      </c>
      <c r="D2356" s="1403" t="s">
        <v>3122</v>
      </c>
      <c r="E2356" s="1404" t="s">
        <v>15342</v>
      </c>
      <c r="F2356" s="1405" t="s">
        <v>5300</v>
      </c>
      <c r="G2356" s="1403" t="s">
        <v>10274</v>
      </c>
      <c r="H2356" s="1406" t="s">
        <v>1037</v>
      </c>
    </row>
    <row r="2357" spans="1:8" x14ac:dyDescent="0.2">
      <c r="A2357" s="7"/>
      <c r="B2357" s="1407" t="str">
        <f t="shared" si="36"/>
        <v>Micael Caviglia</v>
      </c>
      <c r="C2357" s="1402" t="s">
        <v>6392</v>
      </c>
      <c r="D2357" s="1403" t="s">
        <v>3677</v>
      </c>
      <c r="E2357" s="1404" t="s">
        <v>4886</v>
      </c>
      <c r="F2357" s="1405" t="s">
        <v>5299</v>
      </c>
      <c r="G2357" s="1403" t="s">
        <v>2777</v>
      </c>
      <c r="H2357" s="1406" t="s">
        <v>1037</v>
      </c>
    </row>
    <row r="2358" spans="1:8" x14ac:dyDescent="0.2">
      <c r="A2358" s="7"/>
      <c r="B2358" s="1407" t="str">
        <f t="shared" si="36"/>
        <v>Marino Caviglia</v>
      </c>
      <c r="C2358" s="1402" t="s">
        <v>6392</v>
      </c>
      <c r="D2358" s="1403" t="s">
        <v>6481</v>
      </c>
      <c r="E2358" s="1404" t="s">
        <v>10120</v>
      </c>
      <c r="F2358" s="1405" t="s">
        <v>5300</v>
      </c>
      <c r="G2358" s="1403" t="s">
        <v>13595</v>
      </c>
      <c r="H2358" s="1406" t="s">
        <v>1037</v>
      </c>
    </row>
    <row r="2359" spans="1:8" x14ac:dyDescent="0.2">
      <c r="A2359" s="7"/>
      <c r="B2359" s="1407" t="str">
        <f t="shared" si="36"/>
        <v>Francesco Celotto</v>
      </c>
      <c r="C2359" s="1402" t="s">
        <v>9945</v>
      </c>
      <c r="D2359" s="1403" t="s">
        <v>3277</v>
      </c>
      <c r="E2359" s="1404" t="s">
        <v>10121</v>
      </c>
      <c r="F2359" s="1405" t="s">
        <v>5300</v>
      </c>
      <c r="G2359" s="1403" t="s">
        <v>7874</v>
      </c>
      <c r="H2359" s="1406" t="s">
        <v>1037</v>
      </c>
    </row>
    <row r="2360" spans="1:8" x14ac:dyDescent="0.2">
      <c r="A2360" s="7"/>
      <c r="B2360" s="1407" t="str">
        <f t="shared" si="36"/>
        <v>Livio Cerullo</v>
      </c>
      <c r="C2360" s="1402" t="s">
        <v>6393</v>
      </c>
      <c r="D2360" s="1403" t="s">
        <v>3628</v>
      </c>
      <c r="E2360" s="1404" t="s">
        <v>4887</v>
      </c>
      <c r="F2360" s="1405" t="s">
        <v>5300</v>
      </c>
      <c r="G2360" s="1403" t="s">
        <v>11325</v>
      </c>
      <c r="H2360" s="1406" t="s">
        <v>1037</v>
      </c>
    </row>
    <row r="2361" spans="1:8" x14ac:dyDescent="0.2">
      <c r="A2361" s="7"/>
      <c r="B2361" s="1407" t="str">
        <f t="shared" si="36"/>
        <v>Sergio Chiti</v>
      </c>
      <c r="C2361" s="1402" t="s">
        <v>15363</v>
      </c>
      <c r="D2361" s="1403" t="s">
        <v>3064</v>
      </c>
      <c r="E2361" s="1404" t="s">
        <v>15364</v>
      </c>
      <c r="F2361" s="1405" t="s">
        <v>5300</v>
      </c>
      <c r="G2361" s="1403" t="s">
        <v>9699</v>
      </c>
      <c r="H2361" s="1406" t="s">
        <v>1037</v>
      </c>
    </row>
    <row r="2362" spans="1:8" x14ac:dyDescent="0.2">
      <c r="A2362" s="7"/>
      <c r="B2362" s="1407" t="str">
        <f t="shared" si="36"/>
        <v>Luca Ciabattoni</v>
      </c>
      <c r="C2362" s="1402" t="s">
        <v>6394</v>
      </c>
      <c r="D2362" s="1403" t="s">
        <v>3198</v>
      </c>
      <c r="E2362" s="1404" t="s">
        <v>4888</v>
      </c>
      <c r="F2362" s="1405" t="s">
        <v>5299</v>
      </c>
      <c r="G2362" s="1403" t="s">
        <v>2761</v>
      </c>
      <c r="H2362" s="1406" t="s">
        <v>1037</v>
      </c>
    </row>
    <row r="2363" spans="1:8" x14ac:dyDescent="0.2">
      <c r="A2363" s="7"/>
      <c r="B2363" s="1407" t="str">
        <f t="shared" si="36"/>
        <v>Massimo Ciano</v>
      </c>
      <c r="C2363" s="1402" t="s">
        <v>6395</v>
      </c>
      <c r="D2363" s="1403" t="s">
        <v>3013</v>
      </c>
      <c r="E2363" s="1404" t="s">
        <v>4889</v>
      </c>
      <c r="F2363" s="1405" t="s">
        <v>5300</v>
      </c>
      <c r="G2363" s="1403" t="s">
        <v>433</v>
      </c>
      <c r="H2363" s="1406" t="s">
        <v>1037</v>
      </c>
    </row>
    <row r="2364" spans="1:8" x14ac:dyDescent="0.2">
      <c r="A2364" s="7"/>
      <c r="B2364" s="1407" t="str">
        <f t="shared" si="36"/>
        <v>Andrea Ciccarelli</v>
      </c>
      <c r="C2364" s="1402" t="s">
        <v>6396</v>
      </c>
      <c r="D2364" s="1403" t="s">
        <v>3027</v>
      </c>
      <c r="E2364" s="1404" t="s">
        <v>4890</v>
      </c>
      <c r="F2364" s="1405" t="s">
        <v>5299</v>
      </c>
      <c r="G2364" s="1403" t="s">
        <v>2776</v>
      </c>
      <c r="H2364" s="1406" t="s">
        <v>1037</v>
      </c>
    </row>
    <row r="2365" spans="1:8" x14ac:dyDescent="0.2">
      <c r="A2365" s="7"/>
      <c r="B2365" s="1407" t="str">
        <f t="shared" si="36"/>
        <v>Matteo Ciccarelli</v>
      </c>
      <c r="C2365" s="1402" t="s">
        <v>6396</v>
      </c>
      <c r="D2365" s="1403" t="s">
        <v>3200</v>
      </c>
      <c r="E2365" s="1404" t="s">
        <v>4891</v>
      </c>
      <c r="F2365" s="1405" t="s">
        <v>5299</v>
      </c>
      <c r="G2365" s="1403" t="s">
        <v>2776</v>
      </c>
      <c r="H2365" s="1406" t="s">
        <v>1037</v>
      </c>
    </row>
    <row r="2366" spans="1:8" x14ac:dyDescent="0.2">
      <c r="A2366" s="7"/>
      <c r="B2366" s="1407" t="str">
        <f t="shared" si="36"/>
        <v>Daniele Cicognani</v>
      </c>
      <c r="C2366" s="1402" t="s">
        <v>6397</v>
      </c>
      <c r="D2366" s="1403" t="s">
        <v>3022</v>
      </c>
      <c r="E2366" s="1404" t="s">
        <v>4892</v>
      </c>
      <c r="F2366" s="1405" t="s">
        <v>5300</v>
      </c>
      <c r="G2366" s="1403" t="s">
        <v>2782</v>
      </c>
      <c r="H2366" s="1406" t="s">
        <v>1037</v>
      </c>
    </row>
    <row r="2367" spans="1:8" x14ac:dyDescent="0.2">
      <c r="A2367" s="7"/>
      <c r="B2367" s="1407" t="str">
        <f t="shared" si="36"/>
        <v>Gaetano Ciraolo</v>
      </c>
      <c r="C2367" s="1402" t="s">
        <v>6398</v>
      </c>
      <c r="D2367" s="1403" t="s">
        <v>3100</v>
      </c>
      <c r="E2367" s="1404" t="s">
        <v>4893</v>
      </c>
      <c r="F2367" s="1405" t="s">
        <v>5300</v>
      </c>
      <c r="G2367" s="1403" t="s">
        <v>7876</v>
      </c>
      <c r="H2367" s="1406" t="s">
        <v>1037</v>
      </c>
    </row>
    <row r="2368" spans="1:8" x14ac:dyDescent="0.2">
      <c r="A2368" s="7"/>
      <c r="B2368" s="1407" t="str">
        <f t="shared" si="36"/>
        <v>Stefano Cirillo</v>
      </c>
      <c r="C2368" s="1402" t="s">
        <v>6399</v>
      </c>
      <c r="D2368" s="1403" t="s">
        <v>3062</v>
      </c>
      <c r="E2368" s="1404" t="s">
        <v>4894</v>
      </c>
      <c r="F2368" s="1405" t="s">
        <v>5299</v>
      </c>
      <c r="G2368" s="1403" t="s">
        <v>7876</v>
      </c>
      <c r="H2368" s="1406" t="s">
        <v>1037</v>
      </c>
    </row>
    <row r="2369" spans="1:8" x14ac:dyDescent="0.2">
      <c r="A2369" s="7"/>
      <c r="B2369" s="1407" t="str">
        <f t="shared" si="36"/>
        <v>Diego Cogo</v>
      </c>
      <c r="C2369" s="1402" t="s">
        <v>6401</v>
      </c>
      <c r="D2369" s="1403" t="s">
        <v>3373</v>
      </c>
      <c r="E2369" s="1404" t="s">
        <v>4895</v>
      </c>
      <c r="F2369" s="1405" t="s">
        <v>5299</v>
      </c>
      <c r="G2369" s="1403" t="s">
        <v>7878</v>
      </c>
      <c r="H2369" s="1406" t="s">
        <v>1037</v>
      </c>
    </row>
    <row r="2370" spans="1:8" x14ac:dyDescent="0.2">
      <c r="A2370" s="7"/>
      <c r="B2370" s="1407" t="str">
        <f t="shared" si="36"/>
        <v>Luca Colangelo</v>
      </c>
      <c r="C2370" s="1402" t="s">
        <v>6402</v>
      </c>
      <c r="D2370" s="1403" t="s">
        <v>3198</v>
      </c>
      <c r="E2370" s="1404" t="s">
        <v>4896</v>
      </c>
      <c r="F2370" s="1405" t="s">
        <v>5299</v>
      </c>
      <c r="G2370" s="1403" t="s">
        <v>10262</v>
      </c>
      <c r="H2370" s="1406" t="s">
        <v>1037</v>
      </c>
    </row>
    <row r="2371" spans="1:8" x14ac:dyDescent="0.2">
      <c r="A2371" s="7"/>
      <c r="B2371" s="1407" t="str">
        <f t="shared" si="36"/>
        <v>Claudio Colpani</v>
      </c>
      <c r="C2371" s="1402" t="s">
        <v>6404</v>
      </c>
      <c r="D2371" s="1403" t="s">
        <v>3038</v>
      </c>
      <c r="E2371" s="1404" t="s">
        <v>4897</v>
      </c>
      <c r="F2371" s="1405" t="s">
        <v>5300</v>
      </c>
      <c r="G2371" s="1403" t="s">
        <v>9822</v>
      </c>
      <c r="H2371" s="1406" t="s">
        <v>1037</v>
      </c>
    </row>
    <row r="2372" spans="1:8" x14ac:dyDescent="0.2">
      <c r="A2372" s="7"/>
      <c r="B2372" s="1407" t="str">
        <f t="shared" si="36"/>
        <v>Mario Corradi</v>
      </c>
      <c r="C2372" s="1402" t="s">
        <v>6407</v>
      </c>
      <c r="D2372" s="1403" t="s">
        <v>3079</v>
      </c>
      <c r="E2372" s="1404" t="s">
        <v>4898</v>
      </c>
      <c r="F2372" s="1405" t="s">
        <v>5300</v>
      </c>
      <c r="G2372" s="1403" t="s">
        <v>2765</v>
      </c>
      <c r="H2372" s="1406" t="s">
        <v>1037</v>
      </c>
    </row>
    <row r="2373" spans="1:8" x14ac:dyDescent="0.2">
      <c r="A2373" s="7"/>
      <c r="B2373" s="1407" t="str">
        <f t="shared" si="36"/>
        <v>Massimiliano Croatti</v>
      </c>
      <c r="C2373" s="1402" t="s">
        <v>6410</v>
      </c>
      <c r="D2373" s="1403" t="s">
        <v>3023</v>
      </c>
      <c r="E2373" s="1404" t="s">
        <v>4899</v>
      </c>
      <c r="F2373" s="1405" t="s">
        <v>5300</v>
      </c>
      <c r="G2373" s="1403" t="s">
        <v>7867</v>
      </c>
      <c r="H2373" s="1406" t="s">
        <v>1037</v>
      </c>
    </row>
    <row r="2374" spans="1:8" x14ac:dyDescent="0.2">
      <c r="A2374" s="7"/>
      <c r="B2374" s="1407" t="str">
        <f t="shared" si="36"/>
        <v>Morgan Croce</v>
      </c>
      <c r="C2374" s="1402" t="s">
        <v>6411</v>
      </c>
      <c r="D2374" s="1403" t="s">
        <v>3543</v>
      </c>
      <c r="E2374" s="1404" t="s">
        <v>4900</v>
      </c>
      <c r="F2374" s="1405" t="s">
        <v>5300</v>
      </c>
      <c r="G2374" s="1403" t="s">
        <v>2759</v>
      </c>
      <c r="H2374" s="1406" t="s">
        <v>1037</v>
      </c>
    </row>
    <row r="2375" spans="1:8" x14ac:dyDescent="0.2">
      <c r="A2375" s="7"/>
      <c r="B2375" s="1407" t="str">
        <f t="shared" ref="B2375:B2438" si="37">TRIM(CONCATENATE(D2375," ",C2375))</f>
        <v>Filippo Cubeta</v>
      </c>
      <c r="C2375" s="1402" t="s">
        <v>6412</v>
      </c>
      <c r="D2375" s="1403" t="s">
        <v>3340</v>
      </c>
      <c r="E2375" s="1404" t="s">
        <v>4901</v>
      </c>
      <c r="F2375" s="1405" t="s">
        <v>5299</v>
      </c>
      <c r="G2375" s="1403" t="s">
        <v>14879</v>
      </c>
      <c r="H2375" s="1406" t="s">
        <v>1037</v>
      </c>
    </row>
    <row r="2376" spans="1:8" x14ac:dyDescent="0.2">
      <c r="A2376" s="7"/>
      <c r="B2376" s="1407" t="str">
        <f t="shared" si="37"/>
        <v>Andrea Cucit</v>
      </c>
      <c r="C2376" s="1402" t="s">
        <v>14687</v>
      </c>
      <c r="D2376" s="1403" t="s">
        <v>3027</v>
      </c>
      <c r="E2376" s="1404" t="s">
        <v>14688</v>
      </c>
      <c r="F2376" s="1405" t="s">
        <v>5299</v>
      </c>
      <c r="G2376" s="1403" t="s">
        <v>2773</v>
      </c>
      <c r="H2376" s="1406" t="s">
        <v>1037</v>
      </c>
    </row>
    <row r="2377" spans="1:8" x14ac:dyDescent="0.2">
      <c r="A2377" s="7"/>
      <c r="B2377" s="1407" t="str">
        <f t="shared" si="37"/>
        <v>Ettore Cuomo</v>
      </c>
      <c r="C2377" s="1402" t="s">
        <v>6413</v>
      </c>
      <c r="D2377" s="1403" t="s">
        <v>3528</v>
      </c>
      <c r="E2377" s="1404" t="s">
        <v>4902</v>
      </c>
      <c r="F2377" s="1405" t="s">
        <v>5300</v>
      </c>
      <c r="G2377" s="1403" t="s">
        <v>7877</v>
      </c>
      <c r="H2377" s="1406" t="s">
        <v>1037</v>
      </c>
    </row>
    <row r="2378" spans="1:8" x14ac:dyDescent="0.2">
      <c r="A2378" s="7"/>
      <c r="B2378" s="1407" t="str">
        <f t="shared" si="37"/>
        <v>Giulio Curato</v>
      </c>
      <c r="C2378" s="1402" t="s">
        <v>6414</v>
      </c>
      <c r="D2378" s="1403" t="s">
        <v>3583</v>
      </c>
      <c r="E2378" s="1404" t="s">
        <v>4903</v>
      </c>
      <c r="F2378" s="1405" t="s">
        <v>5300</v>
      </c>
      <c r="G2378" s="1403" t="s">
        <v>10269</v>
      </c>
      <c r="H2378" s="1406" t="s">
        <v>1037</v>
      </c>
    </row>
    <row r="2379" spans="1:8" x14ac:dyDescent="0.2">
      <c r="A2379" s="7"/>
      <c r="B2379" s="1407" t="str">
        <f t="shared" si="37"/>
        <v>Leandro Cuzzocrea</v>
      </c>
      <c r="C2379" s="1402" t="s">
        <v>6415</v>
      </c>
      <c r="D2379" s="1403" t="s">
        <v>3566</v>
      </c>
      <c r="E2379" s="1404" t="s">
        <v>4904</v>
      </c>
      <c r="F2379" s="1405" t="s">
        <v>5299</v>
      </c>
      <c r="G2379" s="1403" t="s">
        <v>8865</v>
      </c>
      <c r="H2379" s="1406" t="s">
        <v>1037</v>
      </c>
    </row>
    <row r="2380" spans="1:8" x14ac:dyDescent="0.2">
      <c r="A2380" s="7"/>
      <c r="B2380" s="1407" t="str">
        <f t="shared" si="37"/>
        <v>Maurizio Cuzzocrea</v>
      </c>
      <c r="C2380" s="1402" t="s">
        <v>6415</v>
      </c>
      <c r="D2380" s="1403" t="s">
        <v>3148</v>
      </c>
      <c r="E2380" s="1404" t="s">
        <v>4905</v>
      </c>
      <c r="F2380" s="1405" t="s">
        <v>5300</v>
      </c>
      <c r="G2380" s="1403" t="s">
        <v>8865</v>
      </c>
      <c r="H2380" s="1406" t="s">
        <v>1037</v>
      </c>
    </row>
    <row r="2381" spans="1:8" x14ac:dyDescent="0.2">
      <c r="A2381" s="7"/>
      <c r="B2381" s="1407" t="str">
        <f t="shared" si="37"/>
        <v>Giuseppe De Angelis</v>
      </c>
      <c r="C2381" s="1402" t="s">
        <v>15425</v>
      </c>
      <c r="D2381" s="1403" t="s">
        <v>3122</v>
      </c>
      <c r="E2381" s="1404" t="s">
        <v>15426</v>
      </c>
      <c r="F2381" s="1405" t="s">
        <v>5299</v>
      </c>
      <c r="G2381" s="1403" t="s">
        <v>13324</v>
      </c>
      <c r="H2381" s="1406" t="s">
        <v>1037</v>
      </c>
    </row>
    <row r="2382" spans="1:8" x14ac:dyDescent="0.2">
      <c r="A2382" s="7"/>
      <c r="B2382" s="1407" t="str">
        <f t="shared" si="37"/>
        <v>Marco De Berardinis</v>
      </c>
      <c r="C2382" s="1402" t="s">
        <v>9635</v>
      </c>
      <c r="D2382" s="1403" t="s">
        <v>3109</v>
      </c>
      <c r="E2382" s="1404" t="s">
        <v>4906</v>
      </c>
      <c r="F2382" s="1405" t="s">
        <v>5300</v>
      </c>
      <c r="G2382" s="1403" t="s">
        <v>5311</v>
      </c>
      <c r="H2382" s="1406" t="s">
        <v>1037</v>
      </c>
    </row>
    <row r="2383" spans="1:8" x14ac:dyDescent="0.2">
      <c r="A2383" s="7"/>
      <c r="B2383" s="1407" t="str">
        <f t="shared" si="37"/>
        <v>Antonio De Francesco</v>
      </c>
      <c r="C2383" s="1402" t="s">
        <v>6416</v>
      </c>
      <c r="D2383" s="1403" t="s">
        <v>3341</v>
      </c>
      <c r="E2383" s="1404" t="s">
        <v>4907</v>
      </c>
      <c r="F2383" s="1405" t="s">
        <v>5299</v>
      </c>
      <c r="G2383" s="1403" t="s">
        <v>9822</v>
      </c>
      <c r="H2383" s="1406" t="s">
        <v>1037</v>
      </c>
    </row>
    <row r="2384" spans="1:8" x14ac:dyDescent="0.2">
      <c r="A2384" s="7"/>
      <c r="B2384" s="1407" t="str">
        <f t="shared" si="37"/>
        <v>Stefano De Francesco</v>
      </c>
      <c r="C2384" s="1402" t="s">
        <v>6416</v>
      </c>
      <c r="D2384" s="1403" t="s">
        <v>3062</v>
      </c>
      <c r="E2384" s="1404" t="s">
        <v>4908</v>
      </c>
      <c r="F2384" s="1405" t="s">
        <v>5300</v>
      </c>
      <c r="G2384" s="1403" t="s">
        <v>9822</v>
      </c>
      <c r="H2384" s="1406" t="s">
        <v>1037</v>
      </c>
    </row>
    <row r="2385" spans="1:8" x14ac:dyDescent="0.2">
      <c r="A2385" s="7"/>
      <c r="B2385" s="1407" t="str">
        <f t="shared" si="37"/>
        <v>Nunzia De Rogati</v>
      </c>
      <c r="C2385" s="1402" t="s">
        <v>6418</v>
      </c>
      <c r="D2385" s="1403" t="s">
        <v>3653</v>
      </c>
      <c r="E2385" s="1404" t="s">
        <v>4909</v>
      </c>
      <c r="F2385" s="1405" t="s">
        <v>5299</v>
      </c>
      <c r="G2385" s="1403" t="s">
        <v>2750</v>
      </c>
      <c r="H2385" s="1406" t="s">
        <v>1037</v>
      </c>
    </row>
    <row r="2386" spans="1:8" x14ac:dyDescent="0.2">
      <c r="A2386" s="7"/>
      <c r="B2386" s="1407" t="str">
        <f t="shared" si="37"/>
        <v>Gianmarco Del Brocco</v>
      </c>
      <c r="C2386" s="1402" t="s">
        <v>6419</v>
      </c>
      <c r="D2386" s="1403" t="s">
        <v>3505</v>
      </c>
      <c r="E2386" s="1404" t="s">
        <v>4910</v>
      </c>
      <c r="F2386" s="1405" t="s">
        <v>5299</v>
      </c>
      <c r="G2386" s="1403" t="s">
        <v>2777</v>
      </c>
      <c r="H2386" s="1406" t="s">
        <v>1037</v>
      </c>
    </row>
    <row r="2387" spans="1:8" x14ac:dyDescent="0.2">
      <c r="A2387" s="7"/>
      <c r="B2387" s="1407" t="str">
        <f t="shared" si="37"/>
        <v>Claudio Del Cambio</v>
      </c>
      <c r="C2387" s="1402" t="s">
        <v>15450</v>
      </c>
      <c r="D2387" s="1403" t="s">
        <v>3038</v>
      </c>
      <c r="E2387" s="1404" t="s">
        <v>15451</v>
      </c>
      <c r="F2387" s="1405" t="s">
        <v>5300</v>
      </c>
      <c r="G2387" s="1403" t="s">
        <v>16501</v>
      </c>
      <c r="H2387" s="1406" t="s">
        <v>1037</v>
      </c>
    </row>
    <row r="2388" spans="1:8" x14ac:dyDescent="0.2">
      <c r="A2388" s="7"/>
      <c r="B2388" s="1407" t="str">
        <f t="shared" si="37"/>
        <v>Roberto Del Cambio</v>
      </c>
      <c r="C2388" s="1402" t="s">
        <v>15450</v>
      </c>
      <c r="D2388" s="1403" t="s">
        <v>3279</v>
      </c>
      <c r="E2388" s="1404" t="s">
        <v>15452</v>
      </c>
      <c r="F2388" s="1405" t="s">
        <v>5300</v>
      </c>
      <c r="G2388" s="1403" t="s">
        <v>16501</v>
      </c>
      <c r="H2388" s="1406" t="s">
        <v>1037</v>
      </c>
    </row>
    <row r="2389" spans="1:8" x14ac:dyDescent="0.2">
      <c r="A2389" s="7"/>
      <c r="B2389" s="1407" t="str">
        <f t="shared" si="37"/>
        <v>Daniele Della Monaca</v>
      </c>
      <c r="C2389" s="1402" t="s">
        <v>6420</v>
      </c>
      <c r="D2389" s="1403" t="s">
        <v>3022</v>
      </c>
      <c r="E2389" s="1404" t="s">
        <v>4911</v>
      </c>
      <c r="F2389" s="1405" t="s">
        <v>5299</v>
      </c>
      <c r="G2389" s="1403" t="s">
        <v>13312</v>
      </c>
      <c r="H2389" s="1406" t="s">
        <v>1037</v>
      </c>
    </row>
    <row r="2390" spans="1:8" x14ac:dyDescent="0.2">
      <c r="A2390" s="7"/>
      <c r="B2390" s="1407" t="str">
        <f t="shared" si="37"/>
        <v>Paolo Dellacha'</v>
      </c>
      <c r="C2390" s="1402" t="s">
        <v>8138</v>
      </c>
      <c r="D2390" s="1403" t="s">
        <v>3119</v>
      </c>
      <c r="E2390" s="1404" t="s">
        <v>4912</v>
      </c>
      <c r="F2390" s="1405" t="s">
        <v>5299</v>
      </c>
      <c r="G2390" s="1403" t="s">
        <v>7879</v>
      </c>
      <c r="H2390" s="1406" t="s">
        <v>1037</v>
      </c>
    </row>
    <row r="2391" spans="1:8" x14ac:dyDescent="0.2">
      <c r="A2391" s="7"/>
      <c r="B2391" s="1407" t="str">
        <f t="shared" si="37"/>
        <v>Angelo Di Gennaro</v>
      </c>
      <c r="C2391" s="1402" t="s">
        <v>6421</v>
      </c>
      <c r="D2391" s="1403" t="s">
        <v>3367</v>
      </c>
      <c r="E2391" s="1404" t="s">
        <v>4913</v>
      </c>
      <c r="F2391" s="1405" t="s">
        <v>5300</v>
      </c>
      <c r="G2391" s="1403" t="s">
        <v>7873</v>
      </c>
      <c r="H2391" s="1406" t="s">
        <v>1037</v>
      </c>
    </row>
    <row r="2392" spans="1:8" x14ac:dyDescent="0.2">
      <c r="A2392" s="7"/>
      <c r="B2392" s="1407" t="str">
        <f t="shared" si="37"/>
        <v>Nicola Di Lernia</v>
      </c>
      <c r="C2392" s="1402" t="s">
        <v>15474</v>
      </c>
      <c r="D2392" s="1403" t="s">
        <v>3191</v>
      </c>
      <c r="E2392" s="1404" t="s">
        <v>15475</v>
      </c>
      <c r="F2392" s="1405" t="s">
        <v>5300</v>
      </c>
      <c r="G2392" s="1403" t="s">
        <v>16488</v>
      </c>
      <c r="H2392" s="1406" t="s">
        <v>1037</v>
      </c>
    </row>
    <row r="2393" spans="1:8" x14ac:dyDescent="0.2">
      <c r="A2393" s="7"/>
      <c r="B2393" s="1407" t="str">
        <f t="shared" si="37"/>
        <v>Andrea Di Pierro</v>
      </c>
      <c r="C2393" s="1402" t="s">
        <v>6422</v>
      </c>
      <c r="D2393" s="1403" t="s">
        <v>3027</v>
      </c>
      <c r="E2393" s="1404" t="s">
        <v>4914</v>
      </c>
      <c r="F2393" s="1405" t="s">
        <v>5300</v>
      </c>
      <c r="G2393" s="1403" t="s">
        <v>15293</v>
      </c>
      <c r="H2393" s="1406" t="s">
        <v>1037</v>
      </c>
    </row>
    <row r="2394" spans="1:8" x14ac:dyDescent="0.2">
      <c r="A2394" s="7"/>
      <c r="B2394" s="1407" t="str">
        <f t="shared" si="37"/>
        <v>Davide Di Pierro</v>
      </c>
      <c r="C2394" s="1402" t="s">
        <v>6422</v>
      </c>
      <c r="D2394" s="1403" t="s">
        <v>3329</v>
      </c>
      <c r="E2394" s="1404" t="s">
        <v>13313</v>
      </c>
      <c r="F2394" s="1405" t="s">
        <v>13210</v>
      </c>
      <c r="G2394" s="1403" t="s">
        <v>15293</v>
      </c>
      <c r="H2394" s="1406" t="s">
        <v>1037</v>
      </c>
    </row>
    <row r="2395" spans="1:8" x14ac:dyDescent="0.2">
      <c r="A2395" s="7"/>
      <c r="B2395" s="1407" t="str">
        <f t="shared" si="37"/>
        <v>Andrea Di Vincenzo</v>
      </c>
      <c r="C2395" s="1402" t="s">
        <v>6424</v>
      </c>
      <c r="D2395" s="1403" t="s">
        <v>3027</v>
      </c>
      <c r="E2395" s="1404" t="s">
        <v>4915</v>
      </c>
      <c r="F2395" s="1405" t="s">
        <v>5300</v>
      </c>
      <c r="G2395" s="1403" t="s">
        <v>2749</v>
      </c>
      <c r="H2395" s="1406" t="s">
        <v>1037</v>
      </c>
    </row>
    <row r="2396" spans="1:8" x14ac:dyDescent="0.2">
      <c r="A2396" s="7"/>
      <c r="B2396" s="1407" t="str">
        <f t="shared" si="37"/>
        <v>Claudio Dogali</v>
      </c>
      <c r="C2396" s="1402" t="s">
        <v>6425</v>
      </c>
      <c r="D2396" s="1403" t="s">
        <v>3038</v>
      </c>
      <c r="E2396" s="1404" t="s">
        <v>4916</v>
      </c>
      <c r="F2396" s="1405" t="s">
        <v>5300</v>
      </c>
      <c r="G2396" s="1403" t="s">
        <v>7867</v>
      </c>
      <c r="H2396" s="1406" t="s">
        <v>1037</v>
      </c>
    </row>
    <row r="2397" spans="1:8" x14ac:dyDescent="0.2">
      <c r="A2397" s="7"/>
      <c r="B2397" s="1407" t="str">
        <f t="shared" si="37"/>
        <v>Vanessa Dolce</v>
      </c>
      <c r="C2397" s="1402" t="s">
        <v>15493</v>
      </c>
      <c r="D2397" s="1403" t="s">
        <v>15494</v>
      </c>
      <c r="E2397" s="1404" t="s">
        <v>15495</v>
      </c>
      <c r="F2397" s="1405" t="s">
        <v>5299</v>
      </c>
      <c r="G2397" s="1403" t="s">
        <v>7870</v>
      </c>
      <c r="H2397" s="1406" t="s">
        <v>1037</v>
      </c>
    </row>
    <row r="2398" spans="1:8" x14ac:dyDescent="0.2">
      <c r="A2398" s="7"/>
      <c r="B2398" s="1407" t="str">
        <f t="shared" si="37"/>
        <v>Pierpaolo Dore</v>
      </c>
      <c r="C2398" s="1402" t="s">
        <v>6426</v>
      </c>
      <c r="D2398" s="1403" t="s">
        <v>3518</v>
      </c>
      <c r="E2398" s="1404" t="s">
        <v>4917</v>
      </c>
      <c r="F2398" s="1405" t="s">
        <v>5300</v>
      </c>
      <c r="G2398" s="1403" t="s">
        <v>11325</v>
      </c>
      <c r="H2398" s="1406" t="s">
        <v>1037</v>
      </c>
    </row>
    <row r="2399" spans="1:8" x14ac:dyDescent="0.2">
      <c r="A2399" s="7"/>
      <c r="B2399" s="1407" t="str">
        <f t="shared" si="37"/>
        <v>Ilario Dragonetti</v>
      </c>
      <c r="C2399" s="1402" t="s">
        <v>6427</v>
      </c>
      <c r="D2399" s="1403" t="s">
        <v>5612</v>
      </c>
      <c r="E2399" s="1404" t="s">
        <v>4918</v>
      </c>
      <c r="F2399" s="1405" t="s">
        <v>5299</v>
      </c>
      <c r="G2399" s="1403" t="s">
        <v>10270</v>
      </c>
      <c r="H2399" s="1406" t="s">
        <v>1037</v>
      </c>
    </row>
    <row r="2400" spans="1:8" x14ac:dyDescent="0.2">
      <c r="A2400" s="7"/>
      <c r="B2400" s="1407" t="str">
        <f t="shared" si="37"/>
        <v>Giosuè Esposito</v>
      </c>
      <c r="C2400" s="1402" t="s">
        <v>6428</v>
      </c>
      <c r="D2400" s="1403" t="s">
        <v>3239</v>
      </c>
      <c r="E2400" s="1404" t="s">
        <v>4919</v>
      </c>
      <c r="F2400" s="1405" t="s">
        <v>5299</v>
      </c>
      <c r="G2400" s="1403" t="s">
        <v>10262</v>
      </c>
      <c r="H2400" s="1406" t="s">
        <v>1037</v>
      </c>
    </row>
    <row r="2401" spans="1:8" x14ac:dyDescent="0.2">
      <c r="A2401" s="7"/>
      <c r="B2401" s="1407" t="str">
        <f t="shared" si="37"/>
        <v>Massimo Esposito</v>
      </c>
      <c r="C2401" s="1402" t="s">
        <v>6428</v>
      </c>
      <c r="D2401" s="1403" t="s">
        <v>3013</v>
      </c>
      <c r="E2401" s="1404" t="s">
        <v>4920</v>
      </c>
      <c r="F2401" s="1405" t="s">
        <v>5299</v>
      </c>
      <c r="G2401" s="1403" t="s">
        <v>10922</v>
      </c>
      <c r="H2401" s="1406" t="s">
        <v>1037</v>
      </c>
    </row>
    <row r="2402" spans="1:8" x14ac:dyDescent="0.2">
      <c r="A2402" s="7"/>
      <c r="B2402" s="1407" t="str">
        <f t="shared" si="37"/>
        <v>Stefano Evangelisti</v>
      </c>
      <c r="C2402" s="1402" t="s">
        <v>6429</v>
      </c>
      <c r="D2402" s="1403" t="s">
        <v>3062</v>
      </c>
      <c r="E2402" s="1404" t="s">
        <v>4921</v>
      </c>
      <c r="F2402" s="1405" t="s">
        <v>5300</v>
      </c>
      <c r="G2402" s="1403" t="s">
        <v>2749</v>
      </c>
      <c r="H2402" s="1406" t="s">
        <v>1037</v>
      </c>
    </row>
    <row r="2403" spans="1:8" x14ac:dyDescent="0.2">
      <c r="A2403" s="7"/>
      <c r="B2403" s="1407" t="str">
        <f t="shared" si="37"/>
        <v>Michele Farace</v>
      </c>
      <c r="C2403" s="1402" t="s">
        <v>6430</v>
      </c>
      <c r="D2403" s="1403" t="s">
        <v>3216</v>
      </c>
      <c r="E2403" s="1404" t="s">
        <v>4922</v>
      </c>
      <c r="F2403" s="1405" t="s">
        <v>5300</v>
      </c>
      <c r="G2403" s="1403" t="s">
        <v>2786</v>
      </c>
      <c r="H2403" s="1406" t="s">
        <v>1037</v>
      </c>
    </row>
    <row r="2404" spans="1:8" x14ac:dyDescent="0.2">
      <c r="A2404" s="7"/>
      <c r="B2404" s="1407" t="str">
        <f t="shared" si="37"/>
        <v>Oreste Spagnuolo</v>
      </c>
      <c r="C2404" s="1402" t="s">
        <v>16247</v>
      </c>
      <c r="D2404" s="1403" t="s">
        <v>16248</v>
      </c>
      <c r="E2404" s="1404" t="s">
        <v>16249</v>
      </c>
      <c r="F2404" s="1405" t="s">
        <v>5299</v>
      </c>
      <c r="G2404" s="1403" t="s">
        <v>2780</v>
      </c>
      <c r="H2404" s="1406" t="s">
        <v>1037</v>
      </c>
    </row>
    <row r="2405" spans="1:8" x14ac:dyDescent="0.2">
      <c r="A2405" s="7"/>
      <c r="B2405" s="1407" t="str">
        <f t="shared" si="37"/>
        <v>Massimiliano Farnesi</v>
      </c>
      <c r="C2405" s="1402" t="s">
        <v>6431</v>
      </c>
      <c r="D2405" s="1403" t="s">
        <v>3023</v>
      </c>
      <c r="E2405" s="1404" t="s">
        <v>4923</v>
      </c>
      <c r="F2405" s="1405" t="s">
        <v>5300</v>
      </c>
      <c r="G2405" s="1403" t="s">
        <v>11328</v>
      </c>
      <c r="H2405" s="1406" t="s">
        <v>1037</v>
      </c>
    </row>
    <row r="2406" spans="1:8" x14ac:dyDescent="0.2">
      <c r="A2406" s="7"/>
      <c r="B2406" s="1407" t="str">
        <f t="shared" si="37"/>
        <v>Fabrizio Fedele</v>
      </c>
      <c r="C2406" s="1402" t="s">
        <v>6432</v>
      </c>
      <c r="D2406" s="1403" t="s">
        <v>3087</v>
      </c>
      <c r="E2406" s="1404" t="s">
        <v>4924</v>
      </c>
      <c r="F2406" s="1405" t="s">
        <v>5299</v>
      </c>
      <c r="G2406" s="1403" t="s">
        <v>2749</v>
      </c>
      <c r="H2406" s="1406" t="s">
        <v>1037</v>
      </c>
    </row>
    <row r="2407" spans="1:8" x14ac:dyDescent="0.2">
      <c r="A2407" s="7"/>
      <c r="B2407" s="1407" t="str">
        <f t="shared" si="37"/>
        <v>Luciano Feo</v>
      </c>
      <c r="C2407" s="1402" t="s">
        <v>9946</v>
      </c>
      <c r="D2407" s="1403" t="s">
        <v>5577</v>
      </c>
      <c r="E2407" s="1404" t="s">
        <v>10122</v>
      </c>
      <c r="F2407" s="1405" t="s">
        <v>5300</v>
      </c>
      <c r="G2407" s="1403" t="s">
        <v>2776</v>
      </c>
      <c r="H2407" s="1406" t="s">
        <v>1037</v>
      </c>
    </row>
    <row r="2408" spans="1:8" x14ac:dyDescent="0.2">
      <c r="A2408" s="7"/>
      <c r="B2408" s="1407" t="str">
        <f t="shared" si="37"/>
        <v>Mattia Ferrante</v>
      </c>
      <c r="C2408" s="1402" t="s">
        <v>6433</v>
      </c>
      <c r="D2408" s="1403" t="s">
        <v>3228</v>
      </c>
      <c r="E2408" s="1404" t="s">
        <v>4925</v>
      </c>
      <c r="F2408" s="1405" t="s">
        <v>13210</v>
      </c>
      <c r="G2408" s="1403" t="s">
        <v>15537</v>
      </c>
      <c r="H2408" s="1406" t="s">
        <v>1037</v>
      </c>
    </row>
    <row r="2409" spans="1:8" x14ac:dyDescent="0.2">
      <c r="A2409" s="7"/>
      <c r="B2409" s="1407" t="str">
        <f t="shared" si="37"/>
        <v>Marco Ferrucci</v>
      </c>
      <c r="C2409" s="1402" t="s">
        <v>6434</v>
      </c>
      <c r="D2409" s="1403" t="s">
        <v>3109</v>
      </c>
      <c r="E2409" s="1404" t="s">
        <v>4926</v>
      </c>
      <c r="F2409" s="1405" t="s">
        <v>13211</v>
      </c>
      <c r="G2409" s="1403" t="s">
        <v>2776</v>
      </c>
      <c r="H2409" s="1406" t="s">
        <v>1037</v>
      </c>
    </row>
    <row r="2410" spans="1:8" x14ac:dyDescent="0.2">
      <c r="A2410" s="7"/>
      <c r="B2410" s="1407" t="str">
        <f t="shared" si="37"/>
        <v>Flavio Fida</v>
      </c>
      <c r="C2410" s="1402" t="s">
        <v>15543</v>
      </c>
      <c r="D2410" s="1403" t="s">
        <v>3201</v>
      </c>
      <c r="E2410" s="1404" t="s">
        <v>15544</v>
      </c>
      <c r="F2410" s="1405" t="s">
        <v>5299</v>
      </c>
      <c r="G2410" s="1403" t="s">
        <v>10273</v>
      </c>
      <c r="H2410" s="1406" t="s">
        <v>1037</v>
      </c>
    </row>
    <row r="2411" spans="1:8" x14ac:dyDescent="0.2">
      <c r="A2411" s="7"/>
      <c r="B2411" s="1407" t="str">
        <f t="shared" si="37"/>
        <v>Gianluca Figus</v>
      </c>
      <c r="C2411" s="1402" t="s">
        <v>6435</v>
      </c>
      <c r="D2411" s="1403" t="s">
        <v>3369</v>
      </c>
      <c r="E2411" s="1404" t="s">
        <v>4927</v>
      </c>
      <c r="F2411" s="1405" t="s">
        <v>5300</v>
      </c>
      <c r="G2411" s="1403" t="s">
        <v>10292</v>
      </c>
      <c r="H2411" s="1406" t="s">
        <v>1037</v>
      </c>
    </row>
    <row r="2412" spans="1:8" x14ac:dyDescent="0.2">
      <c r="A2412" s="7"/>
      <c r="B2412" s="1407" t="str">
        <f t="shared" si="37"/>
        <v>Paolo Finardi</v>
      </c>
      <c r="C2412" s="1402" t="s">
        <v>6436</v>
      </c>
      <c r="D2412" s="1403" t="s">
        <v>3119</v>
      </c>
      <c r="E2412" s="1404" t="s">
        <v>4928</v>
      </c>
      <c r="F2412" s="1405" t="s">
        <v>5300</v>
      </c>
      <c r="G2412" s="1403" t="s">
        <v>2761</v>
      </c>
      <c r="H2412" s="1406" t="s">
        <v>1037</v>
      </c>
    </row>
    <row r="2413" spans="1:8" x14ac:dyDescent="0.2">
      <c r="A2413" s="7"/>
      <c r="B2413" s="1407" t="str">
        <f t="shared" si="37"/>
        <v>Stefano Flamini</v>
      </c>
      <c r="C2413" s="1402" t="s">
        <v>6437</v>
      </c>
      <c r="D2413" s="1403" t="s">
        <v>3062</v>
      </c>
      <c r="E2413" s="1404" t="s">
        <v>4929</v>
      </c>
      <c r="F2413" s="1405" t="s">
        <v>5300</v>
      </c>
      <c r="G2413" s="1403" t="s">
        <v>2761</v>
      </c>
      <c r="H2413" s="1406" t="s">
        <v>1037</v>
      </c>
    </row>
    <row r="2414" spans="1:8" x14ac:dyDescent="0.2">
      <c r="A2414" s="7"/>
      <c r="B2414" s="1407" t="str">
        <f t="shared" si="37"/>
        <v>Paola Forlani</v>
      </c>
      <c r="C2414" s="1402" t="s">
        <v>6438</v>
      </c>
      <c r="D2414" s="1403" t="s">
        <v>3646</v>
      </c>
      <c r="E2414" s="1404" t="s">
        <v>4930</v>
      </c>
      <c r="F2414" s="1405" t="s">
        <v>5299</v>
      </c>
      <c r="G2414" s="1403" t="s">
        <v>2765</v>
      </c>
      <c r="H2414" s="1406" t="s">
        <v>1037</v>
      </c>
    </row>
    <row r="2415" spans="1:8" x14ac:dyDescent="0.2">
      <c r="A2415" s="7"/>
      <c r="B2415" s="1407" t="str">
        <f t="shared" si="37"/>
        <v>Giuseppe Frasca</v>
      </c>
      <c r="C2415" s="1402" t="s">
        <v>6439</v>
      </c>
      <c r="D2415" s="1403" t="s">
        <v>3122</v>
      </c>
      <c r="E2415" s="1404" t="s">
        <v>4931</v>
      </c>
      <c r="F2415" s="1405" t="s">
        <v>5299</v>
      </c>
      <c r="G2415" s="1403" t="s">
        <v>13593</v>
      </c>
      <c r="H2415" s="1406" t="s">
        <v>1037</v>
      </c>
    </row>
    <row r="2416" spans="1:8" x14ac:dyDescent="0.2">
      <c r="A2416" s="7"/>
      <c r="B2416" s="1407" t="str">
        <f t="shared" si="37"/>
        <v>Alessandro Fratini</v>
      </c>
      <c r="C2416" s="1402" t="s">
        <v>15570</v>
      </c>
      <c r="D2416" s="1403" t="s">
        <v>3125</v>
      </c>
      <c r="E2416" s="1404" t="s">
        <v>15571</v>
      </c>
      <c r="F2416" s="1405" t="s">
        <v>5300</v>
      </c>
      <c r="G2416" s="1403" t="s">
        <v>15207</v>
      </c>
      <c r="H2416" s="1406" t="s">
        <v>1037</v>
      </c>
    </row>
    <row r="2417" spans="1:8" x14ac:dyDescent="0.2">
      <c r="A2417" s="7"/>
      <c r="B2417" s="1407" t="str">
        <f t="shared" si="37"/>
        <v>Davide Furini</v>
      </c>
      <c r="C2417" s="1402" t="s">
        <v>6440</v>
      </c>
      <c r="D2417" s="1403" t="s">
        <v>3329</v>
      </c>
      <c r="E2417" s="1404" t="s">
        <v>4932</v>
      </c>
      <c r="F2417" s="1405" t="s">
        <v>5299</v>
      </c>
      <c r="G2417" s="1403" t="s">
        <v>7873</v>
      </c>
      <c r="H2417" s="1406" t="s">
        <v>1037</v>
      </c>
    </row>
    <row r="2418" spans="1:8" x14ac:dyDescent="0.2">
      <c r="A2418" s="7"/>
      <c r="B2418" s="1407" t="str">
        <f t="shared" si="37"/>
        <v>Lorenzo Gaia</v>
      </c>
      <c r="C2418" s="1402" t="s">
        <v>3650</v>
      </c>
      <c r="D2418" s="1403" t="s">
        <v>3155</v>
      </c>
      <c r="E2418" s="1404" t="s">
        <v>4933</v>
      </c>
      <c r="F2418" s="1405" t="s">
        <v>5299</v>
      </c>
      <c r="G2418" s="1403" t="s">
        <v>16843</v>
      </c>
      <c r="H2418" s="1406" t="s">
        <v>1037</v>
      </c>
    </row>
    <row r="2419" spans="1:8" x14ac:dyDescent="0.2">
      <c r="A2419" s="7"/>
      <c r="B2419" s="1407" t="str">
        <f t="shared" si="37"/>
        <v>Gianluca Galeazzi</v>
      </c>
      <c r="C2419" s="1402" t="s">
        <v>6441</v>
      </c>
      <c r="D2419" s="1403" t="s">
        <v>3369</v>
      </c>
      <c r="E2419" s="1404" t="s">
        <v>4934</v>
      </c>
      <c r="F2419" s="1405" t="s">
        <v>5300</v>
      </c>
      <c r="G2419" s="1403" t="s">
        <v>2765</v>
      </c>
      <c r="H2419" s="1406" t="s">
        <v>1037</v>
      </c>
    </row>
    <row r="2420" spans="1:8" x14ac:dyDescent="0.2">
      <c r="A2420" s="7"/>
      <c r="B2420" s="1407" t="str">
        <f t="shared" si="37"/>
        <v>Mario Gallo</v>
      </c>
      <c r="C2420" s="1402" t="s">
        <v>6442</v>
      </c>
      <c r="D2420" s="1403" t="s">
        <v>3079</v>
      </c>
      <c r="E2420" s="1404" t="s">
        <v>4935</v>
      </c>
      <c r="F2420" s="1405" t="s">
        <v>5300</v>
      </c>
      <c r="G2420" s="1403" t="s">
        <v>433</v>
      </c>
      <c r="H2420" s="1406" t="s">
        <v>1037</v>
      </c>
    </row>
    <row r="2421" spans="1:8" x14ac:dyDescent="0.2">
      <c r="A2421" s="7"/>
      <c r="B2421" s="1407" t="str">
        <f t="shared" si="37"/>
        <v>Severino Gara</v>
      </c>
      <c r="C2421" s="1402" t="s">
        <v>6443</v>
      </c>
      <c r="D2421" s="1403" t="s">
        <v>3599</v>
      </c>
      <c r="E2421" s="1404" t="s">
        <v>4936</v>
      </c>
      <c r="F2421" s="1405" t="s">
        <v>5300</v>
      </c>
      <c r="G2421" s="1403" t="s">
        <v>11325</v>
      </c>
      <c r="H2421" s="1406" t="s">
        <v>1037</v>
      </c>
    </row>
    <row r="2422" spans="1:8" x14ac:dyDescent="0.2">
      <c r="A2422" s="7"/>
      <c r="B2422" s="1407" t="str">
        <f t="shared" si="37"/>
        <v>Stefania Garagnani</v>
      </c>
      <c r="C2422" s="1402" t="s">
        <v>15586</v>
      </c>
      <c r="D2422" s="1403" t="s">
        <v>15587</v>
      </c>
      <c r="E2422" s="1404" t="s">
        <v>15588</v>
      </c>
      <c r="F2422" s="1405" t="s">
        <v>5300</v>
      </c>
      <c r="G2422" s="1403" t="s">
        <v>7870</v>
      </c>
      <c r="H2422" s="1406" t="s">
        <v>1037</v>
      </c>
    </row>
    <row r="2423" spans="1:8" x14ac:dyDescent="0.2">
      <c r="A2423" s="7"/>
      <c r="B2423" s="1407" t="str">
        <f t="shared" si="37"/>
        <v>Alfonso Gargiulo</v>
      </c>
      <c r="C2423" s="1402" t="s">
        <v>6444</v>
      </c>
      <c r="D2423" s="1403" t="s">
        <v>3157</v>
      </c>
      <c r="E2423" s="1404" t="s">
        <v>4937</v>
      </c>
      <c r="F2423" s="1405" t="s">
        <v>5300</v>
      </c>
      <c r="G2423" s="1403" t="s">
        <v>7873</v>
      </c>
      <c r="H2423" s="1406" t="s">
        <v>1037</v>
      </c>
    </row>
    <row r="2424" spans="1:8" x14ac:dyDescent="0.2">
      <c r="A2424" s="7"/>
      <c r="B2424" s="1407" t="str">
        <f t="shared" si="37"/>
        <v>Catello Gargiulo</v>
      </c>
      <c r="C2424" s="1402" t="s">
        <v>6444</v>
      </c>
      <c r="D2424" s="1403" t="s">
        <v>6998</v>
      </c>
      <c r="E2424" s="1404" t="s">
        <v>4938</v>
      </c>
      <c r="F2424" s="1405" t="s">
        <v>5299</v>
      </c>
      <c r="G2424" s="1403" t="s">
        <v>7874</v>
      </c>
      <c r="H2424" s="1406" t="s">
        <v>1037</v>
      </c>
    </row>
    <row r="2425" spans="1:8" x14ac:dyDescent="0.2">
      <c r="A2425" s="7"/>
      <c r="B2425" s="1407" t="str">
        <f t="shared" si="37"/>
        <v>Giuliano Gazzoldi</v>
      </c>
      <c r="C2425" s="1402" t="s">
        <v>6446</v>
      </c>
      <c r="D2425" s="1403" t="s">
        <v>5619</v>
      </c>
      <c r="E2425" s="1404" t="s">
        <v>4939</v>
      </c>
      <c r="F2425" s="1405" t="s">
        <v>5299</v>
      </c>
      <c r="G2425" s="1403" t="s">
        <v>7873</v>
      </c>
      <c r="H2425" s="1406" t="s">
        <v>1037</v>
      </c>
    </row>
    <row r="2426" spans="1:8" x14ac:dyDescent="0.2">
      <c r="A2426" s="7"/>
      <c r="B2426" s="1407" t="str">
        <f t="shared" si="37"/>
        <v>Giovanni Genna</v>
      </c>
      <c r="C2426" s="1402" t="s">
        <v>15602</v>
      </c>
      <c r="D2426" s="1403" t="s">
        <v>3371</v>
      </c>
      <c r="E2426" s="1404" t="s">
        <v>15603</v>
      </c>
      <c r="F2426" s="1405" t="s">
        <v>5300</v>
      </c>
      <c r="G2426" s="1403" t="s">
        <v>15207</v>
      </c>
      <c r="H2426" s="1406" t="s">
        <v>1037</v>
      </c>
    </row>
    <row r="2427" spans="1:8" x14ac:dyDescent="0.2">
      <c r="A2427" s="7"/>
      <c r="B2427" s="1407" t="str">
        <f t="shared" si="37"/>
        <v>Antonio Gentile</v>
      </c>
      <c r="C2427" s="1402" t="s">
        <v>6447</v>
      </c>
      <c r="D2427" s="1403" t="s">
        <v>3341</v>
      </c>
      <c r="E2427" s="1404" t="s">
        <v>4940</v>
      </c>
      <c r="F2427" s="1405" t="s">
        <v>5300</v>
      </c>
      <c r="G2427" s="1403" t="s">
        <v>10271</v>
      </c>
      <c r="H2427" s="1406" t="s">
        <v>1037</v>
      </c>
    </row>
    <row r="2428" spans="1:8" x14ac:dyDescent="0.2">
      <c r="A2428" s="7"/>
      <c r="B2428" s="1407" t="str">
        <f t="shared" si="37"/>
        <v>Ernesto Gentile</v>
      </c>
      <c r="C2428" s="1402" t="s">
        <v>6447</v>
      </c>
      <c r="D2428" s="1403" t="s">
        <v>5464</v>
      </c>
      <c r="E2428" s="1404" t="s">
        <v>4941</v>
      </c>
      <c r="F2428" s="1405" t="s">
        <v>5299</v>
      </c>
      <c r="G2428" s="1403" t="s">
        <v>10271</v>
      </c>
      <c r="H2428" s="1406" t="s">
        <v>1037</v>
      </c>
    </row>
    <row r="2429" spans="1:8" x14ac:dyDescent="0.2">
      <c r="A2429" s="7"/>
      <c r="B2429" s="1407" t="str">
        <f t="shared" si="37"/>
        <v>Luca Gentile</v>
      </c>
      <c r="C2429" s="1402" t="s">
        <v>6447</v>
      </c>
      <c r="D2429" s="1403" t="s">
        <v>3198</v>
      </c>
      <c r="E2429" s="1404" t="s">
        <v>4942</v>
      </c>
      <c r="F2429" s="1405" t="s">
        <v>5299</v>
      </c>
      <c r="G2429" s="1403" t="s">
        <v>2776</v>
      </c>
      <c r="H2429" s="1406" t="s">
        <v>1037</v>
      </c>
    </row>
    <row r="2430" spans="1:8" x14ac:dyDescent="0.2">
      <c r="A2430" s="7"/>
      <c r="B2430" s="1407" t="str">
        <f t="shared" si="37"/>
        <v>Francesco Ghirelli</v>
      </c>
      <c r="C2430" s="1402" t="s">
        <v>6448</v>
      </c>
      <c r="D2430" s="1403" t="s">
        <v>3277</v>
      </c>
      <c r="E2430" s="1404" t="s">
        <v>4943</v>
      </c>
      <c r="F2430" s="1405" t="s">
        <v>5300</v>
      </c>
      <c r="G2430" s="1403" t="s">
        <v>7873</v>
      </c>
      <c r="H2430" s="1406" t="s">
        <v>1037</v>
      </c>
    </row>
    <row r="2431" spans="1:8" x14ac:dyDescent="0.2">
      <c r="A2431" s="7"/>
      <c r="B2431" s="1407" t="str">
        <f t="shared" si="37"/>
        <v>Enrico Giannarelli</v>
      </c>
      <c r="C2431" s="1402" t="s">
        <v>6449</v>
      </c>
      <c r="D2431" s="1403" t="s">
        <v>3132</v>
      </c>
      <c r="E2431" s="1404" t="s">
        <v>4944</v>
      </c>
      <c r="F2431" s="1405" t="s">
        <v>5300</v>
      </c>
      <c r="G2431" s="1403" t="s">
        <v>11325</v>
      </c>
      <c r="H2431" s="1406" t="s">
        <v>1037</v>
      </c>
    </row>
    <row r="2432" spans="1:8" x14ac:dyDescent="0.2">
      <c r="A2432" s="7"/>
      <c r="B2432" s="1407" t="str">
        <f t="shared" si="37"/>
        <v>Gianluca Giliberto</v>
      </c>
      <c r="C2432" s="1402" t="s">
        <v>6450</v>
      </c>
      <c r="D2432" s="1403" t="s">
        <v>3369</v>
      </c>
      <c r="E2432" s="1404" t="s">
        <v>4945</v>
      </c>
      <c r="F2432" s="1405" t="s">
        <v>5299</v>
      </c>
      <c r="G2432" s="1403" t="s">
        <v>13593</v>
      </c>
      <c r="H2432" s="1406" t="s">
        <v>1037</v>
      </c>
    </row>
    <row r="2433" spans="1:8" x14ac:dyDescent="0.2">
      <c r="A2433" s="7"/>
      <c r="B2433" s="1407" t="str">
        <f t="shared" si="37"/>
        <v>Fabio Gissara</v>
      </c>
      <c r="C2433" s="1402" t="s">
        <v>6451</v>
      </c>
      <c r="D2433" s="1403" t="s">
        <v>3133</v>
      </c>
      <c r="E2433" s="1404" t="s">
        <v>4946</v>
      </c>
      <c r="F2433" s="1405" t="s">
        <v>5299</v>
      </c>
      <c r="G2433" s="1403" t="s">
        <v>15290</v>
      </c>
      <c r="H2433" s="1406" t="s">
        <v>1037</v>
      </c>
    </row>
    <row r="2434" spans="1:8" x14ac:dyDescent="0.2">
      <c r="A2434" s="7"/>
      <c r="B2434" s="1407" t="str">
        <f t="shared" si="37"/>
        <v>Carlo Gissara</v>
      </c>
      <c r="C2434" s="1402" t="s">
        <v>6451</v>
      </c>
      <c r="D2434" s="1403" t="s">
        <v>3266</v>
      </c>
      <c r="E2434" s="1404" t="s">
        <v>4947</v>
      </c>
      <c r="F2434" s="1405" t="s">
        <v>5299</v>
      </c>
      <c r="G2434" s="1403" t="s">
        <v>15290</v>
      </c>
      <c r="H2434" s="1406" t="s">
        <v>1037</v>
      </c>
    </row>
    <row r="2435" spans="1:8" x14ac:dyDescent="0.2">
      <c r="A2435" s="7"/>
      <c r="B2435" s="1407" t="str">
        <f t="shared" si="37"/>
        <v>Alessandro Greggi</v>
      </c>
      <c r="C2435" s="1402" t="s">
        <v>15622</v>
      </c>
      <c r="D2435" s="1403" t="s">
        <v>3125</v>
      </c>
      <c r="E2435" s="1404" t="s">
        <v>15623</v>
      </c>
      <c r="F2435" s="1405" t="s">
        <v>5300</v>
      </c>
      <c r="G2435" s="1403" t="s">
        <v>15207</v>
      </c>
      <c r="H2435" s="1406" t="s">
        <v>1037</v>
      </c>
    </row>
    <row r="2436" spans="1:8" x14ac:dyDescent="0.2">
      <c r="A2436" s="7"/>
      <c r="B2436" s="1407" t="str">
        <f t="shared" si="37"/>
        <v>Alberto Grumberger</v>
      </c>
      <c r="C2436" s="1402" t="s">
        <v>17172</v>
      </c>
      <c r="D2436" s="1403" t="s">
        <v>3042</v>
      </c>
      <c r="E2436" s="1404" t="s">
        <v>17173</v>
      </c>
      <c r="F2436" s="1405" t="s">
        <v>5300</v>
      </c>
      <c r="G2436" s="1403" t="s">
        <v>2901</v>
      </c>
      <c r="H2436" s="1406" t="s">
        <v>1037</v>
      </c>
    </row>
    <row r="2437" spans="1:8" x14ac:dyDescent="0.2">
      <c r="A2437" s="7"/>
      <c r="B2437" s="1407" t="str">
        <f t="shared" si="37"/>
        <v>Pasquale Guerra</v>
      </c>
      <c r="C2437" s="1402" t="s">
        <v>5781</v>
      </c>
      <c r="D2437" s="1403" t="s">
        <v>3548</v>
      </c>
      <c r="E2437" s="1404" t="s">
        <v>4948</v>
      </c>
      <c r="F2437" s="1405" t="s">
        <v>5300</v>
      </c>
      <c r="G2437" s="1403" t="s">
        <v>7876</v>
      </c>
      <c r="H2437" s="1406" t="s">
        <v>1037</v>
      </c>
    </row>
    <row r="2438" spans="1:8" x14ac:dyDescent="0.2">
      <c r="A2438" s="7"/>
      <c r="B2438" s="1407" t="str">
        <f t="shared" si="37"/>
        <v>Alessandro Guidi</v>
      </c>
      <c r="C2438" s="1402" t="s">
        <v>6453</v>
      </c>
      <c r="D2438" s="1403" t="s">
        <v>3125</v>
      </c>
      <c r="E2438" s="1404" t="s">
        <v>10123</v>
      </c>
      <c r="F2438" s="1405" t="s">
        <v>5300</v>
      </c>
      <c r="G2438" s="1403" t="s">
        <v>2759</v>
      </c>
      <c r="H2438" s="1406" t="s">
        <v>1037</v>
      </c>
    </row>
    <row r="2439" spans="1:8" x14ac:dyDescent="0.2">
      <c r="A2439" s="7"/>
      <c r="B2439" s="1407" t="str">
        <f t="shared" ref="B2439:B2502" si="38">TRIM(CONCATENATE(D2439," ",C2439))</f>
        <v>Giuseppe Guzzetta</v>
      </c>
      <c r="C2439" s="1402" t="s">
        <v>6454</v>
      </c>
      <c r="D2439" s="1403" t="s">
        <v>3122</v>
      </c>
      <c r="E2439" s="1404" t="s">
        <v>4949</v>
      </c>
      <c r="F2439" s="1405" t="s">
        <v>5300</v>
      </c>
      <c r="G2439" s="1403" t="s">
        <v>7872</v>
      </c>
      <c r="H2439" s="1406" t="s">
        <v>1037</v>
      </c>
    </row>
    <row r="2440" spans="1:8" x14ac:dyDescent="0.2">
      <c r="A2440" s="7"/>
      <c r="B2440" s="1407" t="str">
        <f t="shared" si="38"/>
        <v>Pietro Ielapi</v>
      </c>
      <c r="C2440" s="1402" t="s">
        <v>6455</v>
      </c>
      <c r="D2440" s="1403" t="s">
        <v>3233</v>
      </c>
      <c r="E2440" s="1404" t="s">
        <v>4950</v>
      </c>
      <c r="F2440" s="1405" t="s">
        <v>5300</v>
      </c>
      <c r="G2440" s="1403" t="s">
        <v>16490</v>
      </c>
      <c r="H2440" s="1406" t="s">
        <v>1037</v>
      </c>
    </row>
    <row r="2441" spans="1:8" x14ac:dyDescent="0.2">
      <c r="A2441" s="7"/>
      <c r="B2441" s="1407" t="str">
        <f t="shared" si="38"/>
        <v>Gaetano Ielapi</v>
      </c>
      <c r="C2441" s="1402" t="s">
        <v>6455</v>
      </c>
      <c r="D2441" s="1403" t="s">
        <v>3100</v>
      </c>
      <c r="E2441" s="1404" t="s">
        <v>4951</v>
      </c>
      <c r="F2441" s="1405" t="s">
        <v>5300</v>
      </c>
      <c r="G2441" s="1403" t="s">
        <v>13593</v>
      </c>
      <c r="H2441" s="1406" t="s">
        <v>1037</v>
      </c>
    </row>
    <row r="2442" spans="1:8" x14ac:dyDescent="0.2">
      <c r="A2442" s="7"/>
      <c r="B2442" s="1407" t="str">
        <f t="shared" si="38"/>
        <v>Bernardo Impallomeni</v>
      </c>
      <c r="C2442" s="1402" t="s">
        <v>6456</v>
      </c>
      <c r="D2442" s="1403" t="s">
        <v>3529</v>
      </c>
      <c r="E2442" s="1404" t="s">
        <v>4952</v>
      </c>
      <c r="F2442" s="1405" t="s">
        <v>5300</v>
      </c>
      <c r="G2442" s="1403" t="s">
        <v>7877</v>
      </c>
      <c r="H2442" s="1406" t="s">
        <v>1037</v>
      </c>
    </row>
    <row r="2443" spans="1:8" x14ac:dyDescent="0.2">
      <c r="A2443" s="7"/>
      <c r="B2443" s="1407" t="str">
        <f t="shared" si="38"/>
        <v>Alex Incorvaia</v>
      </c>
      <c r="C2443" s="1402" t="s">
        <v>6457</v>
      </c>
      <c r="D2443" s="1403" t="s">
        <v>3130</v>
      </c>
      <c r="E2443" s="1404" t="s">
        <v>4953</v>
      </c>
      <c r="F2443" s="1405" t="s">
        <v>5299</v>
      </c>
      <c r="G2443" s="1403" t="s">
        <v>11467</v>
      </c>
      <c r="H2443" s="1406" t="s">
        <v>1037</v>
      </c>
    </row>
    <row r="2444" spans="1:8" x14ac:dyDescent="0.2">
      <c r="A2444" s="7"/>
      <c r="B2444" s="1407" t="str">
        <f t="shared" si="38"/>
        <v>Efrem Intra</v>
      </c>
      <c r="C2444" s="1402" t="s">
        <v>6458</v>
      </c>
      <c r="D2444" s="1403" t="s">
        <v>3290</v>
      </c>
      <c r="E2444" s="1404" t="s">
        <v>4954</v>
      </c>
      <c r="F2444" s="1405" t="s">
        <v>5299</v>
      </c>
      <c r="G2444" s="1403" t="s">
        <v>2765</v>
      </c>
      <c r="H2444" s="1406" t="s">
        <v>1037</v>
      </c>
    </row>
    <row r="2445" spans="1:8" x14ac:dyDescent="0.2">
      <c r="A2445" s="7"/>
      <c r="B2445" s="1407" t="str">
        <f t="shared" si="38"/>
        <v>Alessandro Ioan</v>
      </c>
      <c r="C2445" s="1402" t="s">
        <v>6459</v>
      </c>
      <c r="D2445" s="1403" t="s">
        <v>3125</v>
      </c>
      <c r="E2445" s="1404" t="s">
        <v>4955</v>
      </c>
      <c r="F2445" s="1405" t="s">
        <v>5300</v>
      </c>
      <c r="G2445" s="1403" t="s">
        <v>2773</v>
      </c>
      <c r="H2445" s="1406" t="s">
        <v>1037</v>
      </c>
    </row>
    <row r="2446" spans="1:8" x14ac:dyDescent="0.2">
      <c r="A2446" s="7"/>
      <c r="B2446" s="1407" t="str">
        <f t="shared" si="38"/>
        <v>Alex Iorio</v>
      </c>
      <c r="C2446" s="1402" t="s">
        <v>6460</v>
      </c>
      <c r="D2446" s="1403" t="s">
        <v>3130</v>
      </c>
      <c r="E2446" s="1404" t="s">
        <v>4956</v>
      </c>
      <c r="F2446" s="1405" t="s">
        <v>5299</v>
      </c>
      <c r="G2446" s="1403" t="s">
        <v>15245</v>
      </c>
      <c r="H2446" s="1406" t="s">
        <v>1037</v>
      </c>
    </row>
    <row r="2447" spans="1:8" x14ac:dyDescent="0.2">
      <c r="A2447" s="7"/>
      <c r="B2447" s="1407" t="str">
        <f t="shared" si="38"/>
        <v>Giovanni La Forgia</v>
      </c>
      <c r="C2447" s="1402" t="s">
        <v>15773</v>
      </c>
      <c r="D2447" s="1403" t="s">
        <v>3371</v>
      </c>
      <c r="E2447" s="1404" t="s">
        <v>15774</v>
      </c>
      <c r="F2447" s="1405" t="s">
        <v>5300</v>
      </c>
      <c r="G2447" s="1403" t="s">
        <v>10274</v>
      </c>
      <c r="H2447" s="1406" t="s">
        <v>1037</v>
      </c>
    </row>
    <row r="2448" spans="1:8" x14ac:dyDescent="0.2">
      <c r="A2448" s="7"/>
      <c r="B2448" s="1407" t="str">
        <f t="shared" si="38"/>
        <v>Riccardo La Rosa</v>
      </c>
      <c r="C2448" s="1402" t="s">
        <v>6461</v>
      </c>
      <c r="D2448" s="1403" t="s">
        <v>3270</v>
      </c>
      <c r="E2448" s="1404" t="s">
        <v>4957</v>
      </c>
      <c r="F2448" s="1405" t="s">
        <v>5299</v>
      </c>
      <c r="G2448" s="1403" t="s">
        <v>9700</v>
      </c>
      <c r="H2448" s="1406" t="s">
        <v>1037</v>
      </c>
    </row>
    <row r="2449" spans="1:8" x14ac:dyDescent="0.2">
      <c r="A2449" s="7"/>
      <c r="B2449" s="1407" t="str">
        <f t="shared" si="38"/>
        <v>Alberto La Rosa</v>
      </c>
      <c r="C2449" s="1402" t="s">
        <v>6461</v>
      </c>
      <c r="D2449" s="1403" t="s">
        <v>3042</v>
      </c>
      <c r="E2449" s="1404" t="s">
        <v>4958</v>
      </c>
      <c r="F2449" s="1405" t="s">
        <v>5300</v>
      </c>
      <c r="G2449" s="1403" t="s">
        <v>7878</v>
      </c>
      <c r="H2449" s="1406" t="s">
        <v>1037</v>
      </c>
    </row>
    <row r="2450" spans="1:8" x14ac:dyDescent="0.2">
      <c r="A2450" s="7"/>
      <c r="B2450" s="1407" t="str">
        <f t="shared" si="38"/>
        <v>Concetto La Torre</v>
      </c>
      <c r="C2450" s="1402" t="s">
        <v>6462</v>
      </c>
      <c r="D2450" s="1403" t="s">
        <v>5628</v>
      </c>
      <c r="E2450" s="1404" t="s">
        <v>4959</v>
      </c>
      <c r="F2450" s="1405" t="s">
        <v>5300</v>
      </c>
      <c r="G2450" s="1403" t="s">
        <v>14879</v>
      </c>
      <c r="H2450" s="1406" t="s">
        <v>1037</v>
      </c>
    </row>
    <row r="2451" spans="1:8" x14ac:dyDescent="0.2">
      <c r="A2451" s="7"/>
      <c r="B2451" s="1407" t="str">
        <f t="shared" si="38"/>
        <v>Francesco La Torre</v>
      </c>
      <c r="C2451" s="1402" t="s">
        <v>6462</v>
      </c>
      <c r="D2451" s="1403" t="s">
        <v>3277</v>
      </c>
      <c r="E2451" s="1404" t="s">
        <v>4960</v>
      </c>
      <c r="F2451" s="1405" t="s">
        <v>5299</v>
      </c>
      <c r="G2451" s="1403" t="s">
        <v>14879</v>
      </c>
      <c r="H2451" s="1406" t="s">
        <v>1037</v>
      </c>
    </row>
    <row r="2452" spans="1:8" x14ac:dyDescent="0.2">
      <c r="A2452" s="7"/>
      <c r="B2452" s="1407" t="str">
        <f t="shared" si="38"/>
        <v>Claudio La Torre</v>
      </c>
      <c r="C2452" s="1402" t="s">
        <v>6462</v>
      </c>
      <c r="D2452" s="1403" t="s">
        <v>3038</v>
      </c>
      <c r="E2452" s="1404" t="s">
        <v>4961</v>
      </c>
      <c r="F2452" s="1405" t="s">
        <v>5299</v>
      </c>
      <c r="G2452" s="1403" t="s">
        <v>14879</v>
      </c>
      <c r="H2452" s="1406" t="s">
        <v>1037</v>
      </c>
    </row>
    <row r="2453" spans="1:8" x14ac:dyDescent="0.2">
      <c r="A2453" s="7"/>
      <c r="B2453" s="1407" t="str">
        <f t="shared" si="38"/>
        <v>Marco Lamberti</v>
      </c>
      <c r="C2453" s="1402" t="s">
        <v>6463</v>
      </c>
      <c r="D2453" s="1403" t="s">
        <v>3109</v>
      </c>
      <c r="E2453" s="1404" t="s">
        <v>4962</v>
      </c>
      <c r="F2453" s="1405" t="s">
        <v>5300</v>
      </c>
      <c r="G2453" s="1403" t="s">
        <v>7870</v>
      </c>
      <c r="H2453" s="1406" t="s">
        <v>1037</v>
      </c>
    </row>
    <row r="2454" spans="1:8" x14ac:dyDescent="0.2">
      <c r="A2454" s="7"/>
      <c r="B2454" s="1407" t="str">
        <f t="shared" si="38"/>
        <v>Andrea Lampugnani</v>
      </c>
      <c r="C2454" s="1402" t="s">
        <v>6464</v>
      </c>
      <c r="D2454" s="1403" t="s">
        <v>3027</v>
      </c>
      <c r="E2454" s="1404" t="s">
        <v>4963</v>
      </c>
      <c r="F2454" s="1405" t="s">
        <v>5300</v>
      </c>
      <c r="G2454" s="1403" t="s">
        <v>13596</v>
      </c>
      <c r="H2454" s="1406" t="s">
        <v>1037</v>
      </c>
    </row>
    <row r="2455" spans="1:8" x14ac:dyDescent="0.2">
      <c r="A2455" s="7"/>
      <c r="B2455" s="1407" t="str">
        <f t="shared" si="38"/>
        <v>Marco Lauretti</v>
      </c>
      <c r="C2455" s="1402" t="s">
        <v>6465</v>
      </c>
      <c r="D2455" s="1403" t="s">
        <v>3109</v>
      </c>
      <c r="E2455" s="1404" t="s">
        <v>4964</v>
      </c>
      <c r="F2455" s="1405" t="s">
        <v>5300</v>
      </c>
      <c r="G2455" s="1403" t="s">
        <v>2749</v>
      </c>
      <c r="H2455" s="1406" t="s">
        <v>1037</v>
      </c>
    </row>
    <row r="2456" spans="1:8" x14ac:dyDescent="0.2">
      <c r="A2456" s="7"/>
      <c r="B2456" s="1407" t="str">
        <f t="shared" si="38"/>
        <v>Gianmaria Lena</v>
      </c>
      <c r="C2456" s="1402" t="s">
        <v>6467</v>
      </c>
      <c r="D2456" s="1403" t="s">
        <v>11079</v>
      </c>
      <c r="E2456" s="1404" t="s">
        <v>4965</v>
      </c>
      <c r="F2456" s="1405" t="s">
        <v>5299</v>
      </c>
      <c r="G2456" s="1403" t="s">
        <v>16490</v>
      </c>
      <c r="H2456" s="1406" t="s">
        <v>1037</v>
      </c>
    </row>
    <row r="2457" spans="1:8" x14ac:dyDescent="0.2">
      <c r="A2457" s="7"/>
      <c r="B2457" s="1407" t="str">
        <f t="shared" si="38"/>
        <v>Massimiliano Lepore</v>
      </c>
      <c r="C2457" s="1402" t="s">
        <v>6468</v>
      </c>
      <c r="D2457" s="1403" t="s">
        <v>3023</v>
      </c>
      <c r="E2457" s="1404" t="s">
        <v>4966</v>
      </c>
      <c r="F2457" s="1405" t="s">
        <v>5300</v>
      </c>
      <c r="G2457" s="1403" t="s">
        <v>2749</v>
      </c>
      <c r="H2457" s="1406" t="s">
        <v>1037</v>
      </c>
    </row>
    <row r="2458" spans="1:8" x14ac:dyDescent="0.2">
      <c r="A2458" s="7"/>
      <c r="B2458" s="1407" t="str">
        <f t="shared" si="38"/>
        <v>Maurizio Lepri</v>
      </c>
      <c r="C2458" s="1402" t="s">
        <v>6469</v>
      </c>
      <c r="D2458" s="1403" t="s">
        <v>3148</v>
      </c>
      <c r="E2458" s="1404" t="s">
        <v>4967</v>
      </c>
      <c r="F2458" s="1405" t="s">
        <v>5299</v>
      </c>
      <c r="G2458" s="1403" t="s">
        <v>5311</v>
      </c>
      <c r="H2458" s="1406" t="s">
        <v>1037</v>
      </c>
    </row>
    <row r="2459" spans="1:8" x14ac:dyDescent="0.2">
      <c r="A2459" s="7"/>
      <c r="B2459" s="1407" t="str">
        <f t="shared" si="38"/>
        <v>Pierluigi Licenziato</v>
      </c>
      <c r="C2459" s="1402" t="s">
        <v>15811</v>
      </c>
      <c r="D2459" s="1403" t="s">
        <v>3549</v>
      </c>
      <c r="E2459" s="1404" t="s">
        <v>15812</v>
      </c>
      <c r="F2459" s="1405" t="s">
        <v>5300</v>
      </c>
      <c r="G2459" s="1403" t="s">
        <v>14678</v>
      </c>
      <c r="H2459" s="1406" t="s">
        <v>1037</v>
      </c>
    </row>
    <row r="2460" spans="1:8" x14ac:dyDescent="0.2">
      <c r="A2460" s="7"/>
      <c r="B2460" s="1407" t="str">
        <f t="shared" si="38"/>
        <v>Emanuele Licheri</v>
      </c>
      <c r="C2460" s="1402" t="s">
        <v>5945</v>
      </c>
      <c r="D2460" s="1403" t="s">
        <v>3085</v>
      </c>
      <c r="E2460" s="1404" t="s">
        <v>4968</v>
      </c>
      <c r="F2460" s="1405" t="s">
        <v>5300</v>
      </c>
      <c r="G2460" s="1403" t="s">
        <v>7870</v>
      </c>
      <c r="H2460" s="1406" t="s">
        <v>1037</v>
      </c>
    </row>
    <row r="2461" spans="1:8" x14ac:dyDescent="0.2">
      <c r="A2461" s="7"/>
      <c r="B2461" s="1407" t="str">
        <f t="shared" si="38"/>
        <v>Vittorio Giuseppe Li Puma</v>
      </c>
      <c r="C2461" s="1402" t="s">
        <v>15808</v>
      </c>
      <c r="D2461" s="1403" t="s">
        <v>15809</v>
      </c>
      <c r="E2461" s="1404" t="s">
        <v>15810</v>
      </c>
      <c r="F2461" s="1405" t="s">
        <v>5299</v>
      </c>
      <c r="G2461" s="1403" t="s">
        <v>2773</v>
      </c>
      <c r="H2461" s="1406" t="s">
        <v>1037</v>
      </c>
    </row>
    <row r="2462" spans="1:8" x14ac:dyDescent="0.2">
      <c r="A2462" s="7"/>
      <c r="B2462" s="1407" t="str">
        <f t="shared" si="38"/>
        <v>Ciro Liucci</v>
      </c>
      <c r="C2462" s="1402" t="s">
        <v>6470</v>
      </c>
      <c r="D2462" s="1403" t="s">
        <v>3301</v>
      </c>
      <c r="E2462" s="1404" t="s">
        <v>4969</v>
      </c>
      <c r="F2462" s="1405" t="s">
        <v>5300</v>
      </c>
      <c r="G2462" s="1403" t="s">
        <v>2786</v>
      </c>
      <c r="H2462" s="1406" t="s">
        <v>1037</v>
      </c>
    </row>
    <row r="2463" spans="1:8" x14ac:dyDescent="0.2">
      <c r="A2463" s="7"/>
      <c r="B2463" s="1407" t="str">
        <f t="shared" si="38"/>
        <v>Giuditta Lo Cascio</v>
      </c>
      <c r="C2463" s="1402" t="s">
        <v>6471</v>
      </c>
      <c r="D2463" s="1403" t="s">
        <v>3498</v>
      </c>
      <c r="E2463" s="1404" t="s">
        <v>4970</v>
      </c>
      <c r="F2463" s="1405" t="s">
        <v>5299</v>
      </c>
      <c r="G2463" s="1403" t="s">
        <v>10270</v>
      </c>
      <c r="H2463" s="1406" t="s">
        <v>1037</v>
      </c>
    </row>
    <row r="2464" spans="1:8" x14ac:dyDescent="0.2">
      <c r="A2464" s="7"/>
      <c r="B2464" s="1407" t="str">
        <f t="shared" si="38"/>
        <v>Giuseppe Lo Cascio</v>
      </c>
      <c r="C2464" s="1402" t="s">
        <v>6471</v>
      </c>
      <c r="D2464" s="1403" t="s">
        <v>3122</v>
      </c>
      <c r="E2464" s="1404" t="s">
        <v>4971</v>
      </c>
      <c r="F2464" s="1405" t="s">
        <v>5300</v>
      </c>
      <c r="G2464" s="1403" t="s">
        <v>10270</v>
      </c>
      <c r="H2464" s="1406" t="s">
        <v>1037</v>
      </c>
    </row>
    <row r="2465" spans="1:8" x14ac:dyDescent="0.2">
      <c r="A2465" s="7"/>
      <c r="B2465" s="1407" t="str">
        <f t="shared" si="38"/>
        <v>Simone Lo Iacono</v>
      </c>
      <c r="C2465" s="1402" t="s">
        <v>6472</v>
      </c>
      <c r="D2465" s="1403" t="s">
        <v>3158</v>
      </c>
      <c r="E2465" s="1404" t="s">
        <v>4972</v>
      </c>
      <c r="F2465" s="1405" t="s">
        <v>5299</v>
      </c>
      <c r="G2465" s="1403" t="s">
        <v>2777</v>
      </c>
      <c r="H2465" s="1406" t="s">
        <v>1037</v>
      </c>
    </row>
    <row r="2466" spans="1:8" x14ac:dyDescent="0.2">
      <c r="A2466" s="7"/>
      <c r="B2466" s="1407" t="str">
        <f t="shared" si="38"/>
        <v>Francesco Lo Presti</v>
      </c>
      <c r="C2466" s="1402" t="s">
        <v>6473</v>
      </c>
      <c r="D2466" s="1403" t="s">
        <v>3277</v>
      </c>
      <c r="E2466" s="1404" t="s">
        <v>4973</v>
      </c>
      <c r="F2466" s="1405" t="s">
        <v>5299</v>
      </c>
      <c r="G2466" s="1403" t="s">
        <v>10270</v>
      </c>
      <c r="H2466" s="1406" t="s">
        <v>1037</v>
      </c>
    </row>
    <row r="2467" spans="1:8" x14ac:dyDescent="0.2">
      <c r="A2467" s="7"/>
      <c r="B2467" s="1407" t="str">
        <f t="shared" si="38"/>
        <v>Angelo Lo Presti</v>
      </c>
      <c r="C2467" s="1402" t="s">
        <v>6473</v>
      </c>
      <c r="D2467" s="1403" t="s">
        <v>3367</v>
      </c>
      <c r="E2467" s="1404" t="s">
        <v>4974</v>
      </c>
      <c r="F2467" s="1405" t="s">
        <v>5299</v>
      </c>
      <c r="G2467" s="1403" t="s">
        <v>15290</v>
      </c>
      <c r="H2467" s="1406" t="s">
        <v>1037</v>
      </c>
    </row>
    <row r="2468" spans="1:8" x14ac:dyDescent="0.2">
      <c r="A2468" s="7"/>
      <c r="B2468" s="1407" t="str">
        <f t="shared" si="38"/>
        <v>Francesco Lojacono</v>
      </c>
      <c r="C2468" s="1402" t="s">
        <v>6474</v>
      </c>
      <c r="D2468" s="1403" t="s">
        <v>3277</v>
      </c>
      <c r="E2468" s="1404" t="s">
        <v>4975</v>
      </c>
      <c r="F2468" s="1405" t="s">
        <v>5299</v>
      </c>
      <c r="G2468" s="1403" t="s">
        <v>8865</v>
      </c>
      <c r="H2468" s="1406" t="s">
        <v>1037</v>
      </c>
    </row>
    <row r="2469" spans="1:8" x14ac:dyDescent="0.2">
      <c r="A2469" s="7"/>
      <c r="B2469" s="1407" t="str">
        <f t="shared" si="38"/>
        <v>Fabrizio Maiandi</v>
      </c>
      <c r="C2469" s="1402" t="s">
        <v>11362</v>
      </c>
      <c r="D2469" s="1403" t="s">
        <v>3087</v>
      </c>
      <c r="E2469" s="1404" t="s">
        <v>11399</v>
      </c>
      <c r="F2469" s="1405" t="s">
        <v>5300</v>
      </c>
      <c r="G2469" s="1403" t="s">
        <v>14683</v>
      </c>
      <c r="H2469" s="1406" t="s">
        <v>1037</v>
      </c>
    </row>
    <row r="2470" spans="1:8" x14ac:dyDescent="0.2">
      <c r="A2470" s="7"/>
      <c r="B2470" s="1407" t="str">
        <f t="shared" si="38"/>
        <v>Fabio Malvaso</v>
      </c>
      <c r="C2470" s="1402" t="s">
        <v>6475</v>
      </c>
      <c r="D2470" s="1403" t="s">
        <v>3133</v>
      </c>
      <c r="E2470" s="1404" t="s">
        <v>4976</v>
      </c>
      <c r="F2470" s="1405" t="s">
        <v>5300</v>
      </c>
      <c r="G2470" s="1403" t="s">
        <v>15245</v>
      </c>
      <c r="H2470" s="1406" t="s">
        <v>1037</v>
      </c>
    </row>
    <row r="2471" spans="1:8" x14ac:dyDescent="0.2">
      <c r="A2471" s="7"/>
      <c r="B2471" s="1407" t="str">
        <f t="shared" si="38"/>
        <v>Ezio Mancaruso</v>
      </c>
      <c r="C2471" s="1402" t="s">
        <v>6476</v>
      </c>
      <c r="D2471" s="1403" t="s">
        <v>3565</v>
      </c>
      <c r="E2471" s="1404" t="s">
        <v>4977</v>
      </c>
      <c r="F2471" s="1405" t="s">
        <v>5300</v>
      </c>
      <c r="G2471" s="1403" t="s">
        <v>7877</v>
      </c>
      <c r="H2471" s="1406" t="s">
        <v>1037</v>
      </c>
    </row>
    <row r="2472" spans="1:8" x14ac:dyDescent="0.2">
      <c r="A2472" s="7"/>
      <c r="B2472" s="1407" t="str">
        <f t="shared" si="38"/>
        <v>Andrea Manganello</v>
      </c>
      <c r="C2472" s="1402" t="s">
        <v>6477</v>
      </c>
      <c r="D2472" s="1403" t="s">
        <v>3027</v>
      </c>
      <c r="E2472" s="1404" t="s">
        <v>4978</v>
      </c>
      <c r="F2472" s="1405" t="s">
        <v>5299</v>
      </c>
      <c r="G2472" s="1403" t="s">
        <v>9822</v>
      </c>
      <c r="H2472" s="1406" t="s">
        <v>1037</v>
      </c>
    </row>
    <row r="2473" spans="1:8" x14ac:dyDescent="0.2">
      <c r="A2473" s="7"/>
      <c r="B2473" s="1407" t="str">
        <f t="shared" si="38"/>
        <v>Mauro Manganello</v>
      </c>
      <c r="C2473" s="1402" t="s">
        <v>6477</v>
      </c>
      <c r="D2473" s="1403" t="s">
        <v>3204</v>
      </c>
      <c r="E2473" s="1404" t="s">
        <v>4979</v>
      </c>
      <c r="F2473" s="1405" t="s">
        <v>5300</v>
      </c>
      <c r="G2473" s="1403" t="s">
        <v>9822</v>
      </c>
      <c r="H2473" s="1406" t="s">
        <v>1037</v>
      </c>
    </row>
    <row r="2474" spans="1:8" x14ac:dyDescent="0.2">
      <c r="A2474" s="7"/>
      <c r="B2474" s="1407" t="str">
        <f t="shared" si="38"/>
        <v>Eugenio Mantile</v>
      </c>
      <c r="C2474" s="1402" t="s">
        <v>6478</v>
      </c>
      <c r="D2474" s="1403" t="s">
        <v>7001</v>
      </c>
      <c r="E2474" s="1404" t="s">
        <v>4980</v>
      </c>
      <c r="F2474" s="1405" t="s">
        <v>5300</v>
      </c>
      <c r="G2474" s="1403" t="s">
        <v>2776</v>
      </c>
      <c r="H2474" s="1406" t="s">
        <v>1037</v>
      </c>
    </row>
    <row r="2475" spans="1:8" x14ac:dyDescent="0.2">
      <c r="A2475" s="7"/>
      <c r="B2475" s="1407" t="str">
        <f t="shared" si="38"/>
        <v>Graziano Maresca</v>
      </c>
      <c r="C2475" s="1402" t="s">
        <v>6479</v>
      </c>
      <c r="D2475" s="1403" t="s">
        <v>3303</v>
      </c>
      <c r="E2475" s="1404" t="s">
        <v>4981</v>
      </c>
      <c r="F2475" s="1405" t="s">
        <v>5300</v>
      </c>
      <c r="G2475" s="1403" t="s">
        <v>2786</v>
      </c>
      <c r="H2475" s="1406" t="s">
        <v>1037</v>
      </c>
    </row>
    <row r="2476" spans="1:8" x14ac:dyDescent="0.2">
      <c r="A2476" s="7"/>
      <c r="B2476" s="1407" t="str">
        <f t="shared" si="38"/>
        <v>Damiano Marini</v>
      </c>
      <c r="C2476" s="1402" t="s">
        <v>6480</v>
      </c>
      <c r="D2476" s="1403" t="s">
        <v>7002</v>
      </c>
      <c r="E2476" s="1404" t="s">
        <v>4982</v>
      </c>
      <c r="F2476" s="1405" t="s">
        <v>5300</v>
      </c>
      <c r="G2476" s="1403" t="s">
        <v>2773</v>
      </c>
      <c r="H2476" s="1406" t="s">
        <v>1037</v>
      </c>
    </row>
    <row r="2477" spans="1:8" x14ac:dyDescent="0.2">
      <c r="A2477" s="7"/>
      <c r="B2477" s="1407" t="str">
        <f t="shared" si="38"/>
        <v>Davide Marini</v>
      </c>
      <c r="C2477" s="1402" t="s">
        <v>6480</v>
      </c>
      <c r="D2477" s="1403" t="s">
        <v>3329</v>
      </c>
      <c r="E2477" s="1404" t="s">
        <v>4983</v>
      </c>
      <c r="F2477" s="1405" t="s">
        <v>5299</v>
      </c>
      <c r="G2477" s="1403" t="s">
        <v>2773</v>
      </c>
      <c r="H2477" s="1406" t="s">
        <v>1037</v>
      </c>
    </row>
    <row r="2478" spans="1:8" x14ac:dyDescent="0.2">
      <c r="A2478" s="7"/>
      <c r="B2478" s="1407" t="str">
        <f t="shared" si="38"/>
        <v>Riccardo Marinucci</v>
      </c>
      <c r="C2478" s="1402" t="s">
        <v>6482</v>
      </c>
      <c r="D2478" s="1403" t="s">
        <v>3270</v>
      </c>
      <c r="E2478" s="1404" t="s">
        <v>4984</v>
      </c>
      <c r="F2478" s="1405" t="s">
        <v>5300</v>
      </c>
      <c r="G2478" s="1403" t="s">
        <v>2749</v>
      </c>
      <c r="H2478" s="1406" t="s">
        <v>1037</v>
      </c>
    </row>
    <row r="2479" spans="1:8" x14ac:dyDescent="0.2">
      <c r="A2479" s="7"/>
      <c r="B2479" s="1407" t="str">
        <f t="shared" si="38"/>
        <v>Paolo Martiner Testa</v>
      </c>
      <c r="C2479" s="1402" t="s">
        <v>6483</v>
      </c>
      <c r="D2479" s="1403" t="s">
        <v>3119</v>
      </c>
      <c r="E2479" s="1404" t="s">
        <v>4985</v>
      </c>
      <c r="F2479" s="1405" t="s">
        <v>5299</v>
      </c>
      <c r="G2479" s="1403" t="s">
        <v>7879</v>
      </c>
      <c r="H2479" s="1406" t="s">
        <v>1037</v>
      </c>
    </row>
    <row r="2480" spans="1:8" x14ac:dyDescent="0.2">
      <c r="A2480" s="7"/>
      <c r="B2480" s="1407" t="str">
        <f t="shared" si="38"/>
        <v>Vincenzo Martorano</v>
      </c>
      <c r="C2480" s="1402" t="s">
        <v>15870</v>
      </c>
      <c r="D2480" s="1403" t="s">
        <v>3163</v>
      </c>
      <c r="E2480" s="1404" t="s">
        <v>15871</v>
      </c>
      <c r="F2480" s="1405" t="s">
        <v>5299</v>
      </c>
      <c r="G2480" s="1403" t="s">
        <v>16501</v>
      </c>
      <c r="H2480" s="1406" t="s">
        <v>1037</v>
      </c>
    </row>
    <row r="2481" spans="1:8" x14ac:dyDescent="0.2">
      <c r="A2481" s="7"/>
      <c r="B2481" s="1407" t="str">
        <f t="shared" si="38"/>
        <v>Mirco Marzocchi</v>
      </c>
      <c r="C2481" s="1402" t="s">
        <v>6484</v>
      </c>
      <c r="D2481" s="1403" t="s">
        <v>3636</v>
      </c>
      <c r="E2481" s="1404" t="s">
        <v>4986</v>
      </c>
      <c r="F2481" s="1405" t="s">
        <v>5300</v>
      </c>
      <c r="G2481" s="1403" t="s">
        <v>7873</v>
      </c>
      <c r="H2481" s="1406" t="s">
        <v>1037</v>
      </c>
    </row>
    <row r="2482" spans="1:8" x14ac:dyDescent="0.2">
      <c r="A2482" s="7"/>
      <c r="B2482" s="1407" t="str">
        <f t="shared" si="38"/>
        <v>Mirko Masini</v>
      </c>
      <c r="C2482" s="1402" t="s">
        <v>6485</v>
      </c>
      <c r="D2482" s="1403" t="s">
        <v>5613</v>
      </c>
      <c r="E2482" s="1404" t="s">
        <v>4987</v>
      </c>
      <c r="F2482" s="1405" t="s">
        <v>5299</v>
      </c>
      <c r="G2482" s="1403" t="s">
        <v>2784</v>
      </c>
      <c r="H2482" s="1406" t="s">
        <v>1037</v>
      </c>
    </row>
    <row r="2483" spans="1:8" x14ac:dyDescent="0.2">
      <c r="A2483" s="7"/>
      <c r="B2483" s="1407" t="str">
        <f t="shared" si="38"/>
        <v>Gianfranco Mastrantuono</v>
      </c>
      <c r="C2483" s="1402" t="s">
        <v>6486</v>
      </c>
      <c r="D2483" s="1403" t="s">
        <v>3107</v>
      </c>
      <c r="E2483" s="1404" t="s">
        <v>4988</v>
      </c>
      <c r="F2483" s="1405" t="s">
        <v>5300</v>
      </c>
      <c r="G2483" s="1403" t="s">
        <v>7867</v>
      </c>
      <c r="H2483" s="1406" t="s">
        <v>1037</v>
      </c>
    </row>
    <row r="2484" spans="1:8" x14ac:dyDescent="0.2">
      <c r="A2484" s="7"/>
      <c r="B2484" s="1407" t="str">
        <f t="shared" si="38"/>
        <v>Manuel Mastrantuono</v>
      </c>
      <c r="C2484" s="1402" t="s">
        <v>6486</v>
      </c>
      <c r="D2484" s="1403" t="s">
        <v>3171</v>
      </c>
      <c r="E2484" s="1404" t="s">
        <v>4989</v>
      </c>
      <c r="F2484" s="1405" t="s">
        <v>5299</v>
      </c>
      <c r="G2484" s="1403" t="s">
        <v>7867</v>
      </c>
      <c r="H2484" s="1406" t="s">
        <v>1037</v>
      </c>
    </row>
    <row r="2485" spans="1:8" x14ac:dyDescent="0.2">
      <c r="A2485" s="7"/>
      <c r="B2485" s="1407" t="str">
        <f t="shared" si="38"/>
        <v>Alessandro Mastropasqua</v>
      </c>
      <c r="C2485" s="1402" t="s">
        <v>6487</v>
      </c>
      <c r="D2485" s="1403" t="s">
        <v>3125</v>
      </c>
      <c r="E2485" s="1404" t="s">
        <v>4990</v>
      </c>
      <c r="F2485" s="1405" t="s">
        <v>5300</v>
      </c>
      <c r="G2485" s="1403" t="s">
        <v>16843</v>
      </c>
      <c r="H2485" s="1406" t="s">
        <v>1037</v>
      </c>
    </row>
    <row r="2486" spans="1:8" x14ac:dyDescent="0.2">
      <c r="A2486" s="7"/>
      <c r="B2486" s="1407" t="str">
        <f t="shared" si="38"/>
        <v>Federico Mattiangeli</v>
      </c>
      <c r="C2486" s="1402" t="s">
        <v>6488</v>
      </c>
      <c r="D2486" s="1403" t="s">
        <v>3335</v>
      </c>
      <c r="E2486" s="1404" t="s">
        <v>4991</v>
      </c>
      <c r="F2486" s="1405" t="s">
        <v>5300</v>
      </c>
      <c r="G2486" s="1403" t="s">
        <v>15245</v>
      </c>
      <c r="H2486" s="1406" t="s">
        <v>1037</v>
      </c>
    </row>
    <row r="2487" spans="1:8" x14ac:dyDescent="0.2">
      <c r="A2487" s="7"/>
      <c r="B2487" s="1407" t="str">
        <f t="shared" si="38"/>
        <v>Francesco Mattiangeli</v>
      </c>
      <c r="C2487" s="1402" t="s">
        <v>6488</v>
      </c>
      <c r="D2487" s="1403" t="s">
        <v>3277</v>
      </c>
      <c r="E2487" s="1404" t="s">
        <v>4992</v>
      </c>
      <c r="F2487" s="1405" t="s">
        <v>5300</v>
      </c>
      <c r="G2487" s="1403" t="s">
        <v>2749</v>
      </c>
      <c r="H2487" s="1406" t="s">
        <v>1037</v>
      </c>
    </row>
    <row r="2488" spans="1:8" x14ac:dyDescent="0.2">
      <c r="A2488" s="7"/>
      <c r="B2488" s="1407" t="str">
        <f t="shared" si="38"/>
        <v>Bruno Mazzeo</v>
      </c>
      <c r="C2488" s="1402" t="s">
        <v>6489</v>
      </c>
      <c r="D2488" s="1403" t="s">
        <v>3168</v>
      </c>
      <c r="E2488" s="1404" t="s">
        <v>4993</v>
      </c>
      <c r="F2488" s="1405" t="s">
        <v>5299</v>
      </c>
      <c r="G2488" s="1403" t="s">
        <v>2765</v>
      </c>
      <c r="H2488" s="1406" t="s">
        <v>1037</v>
      </c>
    </row>
    <row r="2489" spans="1:8" x14ac:dyDescent="0.2">
      <c r="A2489" s="7"/>
      <c r="B2489" s="1407" t="str">
        <f t="shared" si="38"/>
        <v>Edoardo Mazzilli</v>
      </c>
      <c r="C2489" s="1402" t="s">
        <v>6490</v>
      </c>
      <c r="D2489" s="1403" t="s">
        <v>3558</v>
      </c>
      <c r="E2489" s="1404" t="s">
        <v>15882</v>
      </c>
      <c r="F2489" s="1405" t="s">
        <v>1563</v>
      </c>
      <c r="G2489" s="1403" t="s">
        <v>7876</v>
      </c>
      <c r="H2489" s="1406" t="s">
        <v>1037</v>
      </c>
    </row>
    <row r="2490" spans="1:8" x14ac:dyDescent="0.2">
      <c r="A2490" s="7"/>
      <c r="B2490" s="1407" t="str">
        <f t="shared" si="38"/>
        <v>Michelangelo Mazzilli</v>
      </c>
      <c r="C2490" s="1402" t="s">
        <v>6490</v>
      </c>
      <c r="D2490" s="1403" t="s">
        <v>3231</v>
      </c>
      <c r="E2490" s="1404" t="s">
        <v>4994</v>
      </c>
      <c r="F2490" s="1405" t="s">
        <v>5300</v>
      </c>
      <c r="G2490" s="1403" t="s">
        <v>2761</v>
      </c>
      <c r="H2490" s="1406" t="s">
        <v>1037</v>
      </c>
    </row>
    <row r="2491" spans="1:8" x14ac:dyDescent="0.2">
      <c r="A2491" s="7"/>
      <c r="B2491" s="1407" t="str">
        <f t="shared" si="38"/>
        <v>Arnaldo Mazzoni</v>
      </c>
      <c r="C2491" s="1402" t="s">
        <v>15883</v>
      </c>
      <c r="D2491" s="1403" t="s">
        <v>15884</v>
      </c>
      <c r="E2491" s="1404" t="s">
        <v>15885</v>
      </c>
      <c r="F2491" s="1405" t="s">
        <v>5299</v>
      </c>
      <c r="G2491" s="1403" t="s">
        <v>16501</v>
      </c>
      <c r="H2491" s="1406" t="s">
        <v>1037</v>
      </c>
    </row>
    <row r="2492" spans="1:8" x14ac:dyDescent="0.2">
      <c r="A2492" s="7"/>
      <c r="B2492" s="1407" t="str">
        <f t="shared" si="38"/>
        <v>Gerardo Mazzoni</v>
      </c>
      <c r="C2492" s="1402" t="s">
        <v>15883</v>
      </c>
      <c r="D2492" s="1403" t="s">
        <v>3071</v>
      </c>
      <c r="E2492" s="1404" t="s">
        <v>15886</v>
      </c>
      <c r="F2492" s="1405" t="s">
        <v>5300</v>
      </c>
      <c r="G2492" s="1403" t="s">
        <v>16501</v>
      </c>
      <c r="H2492" s="1406" t="s">
        <v>1037</v>
      </c>
    </row>
    <row r="2493" spans="1:8" x14ac:dyDescent="0.2">
      <c r="A2493" s="7"/>
      <c r="B2493" s="1407" t="str">
        <f t="shared" si="38"/>
        <v>Tommaso Mazzoni</v>
      </c>
      <c r="C2493" s="1402" t="s">
        <v>15883</v>
      </c>
      <c r="D2493" s="1403" t="s">
        <v>3534</v>
      </c>
      <c r="E2493" s="1404" t="s">
        <v>15887</v>
      </c>
      <c r="F2493" s="1405" t="s">
        <v>5300</v>
      </c>
      <c r="G2493" s="1403" t="s">
        <v>16501</v>
      </c>
      <c r="H2493" s="1406" t="s">
        <v>1037</v>
      </c>
    </row>
    <row r="2494" spans="1:8" x14ac:dyDescent="0.2">
      <c r="A2494" s="7"/>
      <c r="B2494" s="1407" t="str">
        <f t="shared" si="38"/>
        <v>Carlo Melia</v>
      </c>
      <c r="C2494" s="1402" t="s">
        <v>17174</v>
      </c>
      <c r="D2494" s="1403" t="s">
        <v>3266</v>
      </c>
      <c r="E2494" s="1404" t="s">
        <v>17175</v>
      </c>
      <c r="F2494" s="1405" t="s">
        <v>5300</v>
      </c>
      <c r="G2494" s="1403" t="s">
        <v>7867</v>
      </c>
      <c r="H2494" s="1406" t="s">
        <v>1037</v>
      </c>
    </row>
    <row r="2495" spans="1:8" x14ac:dyDescent="0.2">
      <c r="A2495" s="7"/>
      <c r="B2495" s="1407" t="str">
        <f t="shared" si="38"/>
        <v>Antonio Mettivieri</v>
      </c>
      <c r="C2495" s="1402" t="s">
        <v>6491</v>
      </c>
      <c r="D2495" s="1403" t="s">
        <v>3341</v>
      </c>
      <c r="E2495" s="1404" t="s">
        <v>4995</v>
      </c>
      <c r="F2495" s="1405" t="s">
        <v>5299</v>
      </c>
      <c r="G2495" s="1403" t="s">
        <v>2750</v>
      </c>
      <c r="H2495" s="1406" t="s">
        <v>1037</v>
      </c>
    </row>
    <row r="2496" spans="1:8" x14ac:dyDescent="0.2">
      <c r="A2496" s="7"/>
      <c r="B2496" s="1407" t="str">
        <f t="shared" si="38"/>
        <v>Stefano Montefiori</v>
      </c>
      <c r="C2496" s="1402" t="s">
        <v>6493</v>
      </c>
      <c r="D2496" s="1403" t="s">
        <v>3062</v>
      </c>
      <c r="E2496" s="1404" t="s">
        <v>4996</v>
      </c>
      <c r="F2496" s="1405" t="s">
        <v>5300</v>
      </c>
      <c r="G2496" s="1403" t="s">
        <v>2782</v>
      </c>
      <c r="H2496" s="1406" t="s">
        <v>1037</v>
      </c>
    </row>
    <row r="2497" spans="1:8" x14ac:dyDescent="0.2">
      <c r="A2497" s="7"/>
      <c r="B2497" s="1407" t="str">
        <f t="shared" si="38"/>
        <v>Leonardo Moretti</v>
      </c>
      <c r="C2497" s="1402" t="s">
        <v>6494</v>
      </c>
      <c r="D2497" s="1403" t="s">
        <v>3633</v>
      </c>
      <c r="E2497" s="1404" t="s">
        <v>4997</v>
      </c>
      <c r="F2497" s="1405" t="s">
        <v>5300</v>
      </c>
      <c r="G2497" s="1403" t="s">
        <v>10273</v>
      </c>
      <c r="H2497" s="1406" t="s">
        <v>1037</v>
      </c>
    </row>
    <row r="2498" spans="1:8" x14ac:dyDescent="0.2">
      <c r="A2498" s="7"/>
      <c r="B2498" s="1407" t="str">
        <f t="shared" si="38"/>
        <v>Carmine Napolitano</v>
      </c>
      <c r="C2498" s="1402" t="s">
        <v>6496</v>
      </c>
      <c r="D2498" s="1403" t="s">
        <v>3077</v>
      </c>
      <c r="E2498" s="1404" t="s">
        <v>4998</v>
      </c>
      <c r="F2498" s="1405" t="s">
        <v>5299</v>
      </c>
      <c r="G2498" s="1403" t="s">
        <v>10262</v>
      </c>
      <c r="H2498" s="1406" t="s">
        <v>1037</v>
      </c>
    </row>
    <row r="2499" spans="1:8" x14ac:dyDescent="0.2">
      <c r="A2499" s="7"/>
      <c r="B2499" s="1407" t="str">
        <f t="shared" si="38"/>
        <v>Vincenzo Nappa</v>
      </c>
      <c r="C2499" s="1402" t="s">
        <v>6497</v>
      </c>
      <c r="D2499" s="1403" t="s">
        <v>3163</v>
      </c>
      <c r="E2499" s="1404" t="s">
        <v>4999</v>
      </c>
      <c r="F2499" s="1405" t="s">
        <v>5300</v>
      </c>
      <c r="G2499" s="1403" t="s">
        <v>5311</v>
      </c>
      <c r="H2499" s="1406" t="s">
        <v>1037</v>
      </c>
    </row>
    <row r="2500" spans="1:8" x14ac:dyDescent="0.2">
      <c r="A2500" s="7"/>
      <c r="B2500" s="1407" t="str">
        <f t="shared" si="38"/>
        <v>Simone Nappini</v>
      </c>
      <c r="C2500" s="1402" t="s">
        <v>6498</v>
      </c>
      <c r="D2500" s="1403" t="s">
        <v>3158</v>
      </c>
      <c r="E2500" s="1404" t="s">
        <v>5000</v>
      </c>
      <c r="F2500" s="1405" t="s">
        <v>5299</v>
      </c>
      <c r="G2500" s="1403" t="s">
        <v>15245</v>
      </c>
      <c r="H2500" s="1406" t="s">
        <v>1037</v>
      </c>
    </row>
    <row r="2501" spans="1:8" x14ac:dyDescent="0.2">
      <c r="A2501" s="7"/>
      <c r="B2501" s="1407" t="str">
        <f t="shared" si="38"/>
        <v>Massimiliano Nastasi</v>
      </c>
      <c r="C2501" s="1402" t="s">
        <v>6499</v>
      </c>
      <c r="D2501" s="1403" t="s">
        <v>3023</v>
      </c>
      <c r="E2501" s="1404" t="s">
        <v>5001</v>
      </c>
      <c r="F2501" s="1405" t="s">
        <v>5300</v>
      </c>
      <c r="G2501" s="1403" t="s">
        <v>10262</v>
      </c>
      <c r="H2501" s="1406" t="s">
        <v>1037</v>
      </c>
    </row>
    <row r="2502" spans="1:8" x14ac:dyDescent="0.2">
      <c r="A2502" s="7"/>
      <c r="B2502" s="1407" t="str">
        <f t="shared" si="38"/>
        <v>Alessandro Natoli</v>
      </c>
      <c r="C2502" s="1402" t="s">
        <v>6500</v>
      </c>
      <c r="D2502" s="1403" t="s">
        <v>3125</v>
      </c>
      <c r="E2502" s="1404" t="s">
        <v>5002</v>
      </c>
      <c r="F2502" s="1405" t="s">
        <v>5299</v>
      </c>
      <c r="G2502" s="1403" t="s">
        <v>13593</v>
      </c>
      <c r="H2502" s="1406" t="s">
        <v>1037</v>
      </c>
    </row>
    <row r="2503" spans="1:8" x14ac:dyDescent="0.2">
      <c r="A2503" s="7"/>
      <c r="B2503" s="1407" t="str">
        <f t="shared" ref="B2503:B2566" si="39">TRIM(CONCATENATE(D2503," ",C2503))</f>
        <v>Cesare Natoli</v>
      </c>
      <c r="C2503" s="1402" t="s">
        <v>6500</v>
      </c>
      <c r="D2503" s="1403" t="s">
        <v>3288</v>
      </c>
      <c r="E2503" s="1404" t="s">
        <v>5003</v>
      </c>
      <c r="F2503" s="1405" t="s">
        <v>5300</v>
      </c>
      <c r="G2503" s="1403" t="s">
        <v>13593</v>
      </c>
      <c r="H2503" s="1406" t="s">
        <v>1037</v>
      </c>
    </row>
    <row r="2504" spans="1:8" x14ac:dyDescent="0.2">
      <c r="A2504" s="7"/>
      <c r="B2504" s="1407" t="str">
        <f t="shared" si="39"/>
        <v>Alessandro Neri</v>
      </c>
      <c r="C2504" s="1402" t="s">
        <v>6501</v>
      </c>
      <c r="D2504" s="1403" t="s">
        <v>3125</v>
      </c>
      <c r="E2504" s="1404" t="s">
        <v>5004</v>
      </c>
      <c r="F2504" s="1405" t="s">
        <v>5299</v>
      </c>
      <c r="G2504" s="1403" t="s">
        <v>2784</v>
      </c>
      <c r="H2504" s="1406" t="s">
        <v>1037</v>
      </c>
    </row>
    <row r="2505" spans="1:8" x14ac:dyDescent="0.2">
      <c r="A2505" s="7"/>
      <c r="B2505" s="1407" t="str">
        <f t="shared" si="39"/>
        <v>Fabrizio Neri</v>
      </c>
      <c r="C2505" s="1402" t="s">
        <v>6501</v>
      </c>
      <c r="D2505" s="1403" t="s">
        <v>3087</v>
      </c>
      <c r="E2505" s="1404" t="s">
        <v>5005</v>
      </c>
      <c r="F2505" s="1405" t="s">
        <v>5300</v>
      </c>
      <c r="G2505" s="1403" t="s">
        <v>15245</v>
      </c>
      <c r="H2505" s="1406" t="s">
        <v>1037</v>
      </c>
    </row>
    <row r="2506" spans="1:8" x14ac:dyDescent="0.2">
      <c r="A2506" s="7"/>
      <c r="B2506" s="1407" t="str">
        <f t="shared" si="39"/>
        <v>Vittorio Nicchi</v>
      </c>
      <c r="C2506" s="1402" t="s">
        <v>6502</v>
      </c>
      <c r="D2506" s="1403" t="s">
        <v>3613</v>
      </c>
      <c r="E2506" s="1404" t="s">
        <v>5006</v>
      </c>
      <c r="F2506" s="1405" t="s">
        <v>5300</v>
      </c>
      <c r="G2506" s="1403" t="s">
        <v>2782</v>
      </c>
      <c r="H2506" s="1406" t="s">
        <v>1037</v>
      </c>
    </row>
    <row r="2507" spans="1:8" x14ac:dyDescent="0.2">
      <c r="A2507" s="7"/>
      <c r="B2507" s="1407" t="str">
        <f t="shared" si="39"/>
        <v>Alessandro Ottone</v>
      </c>
      <c r="C2507" s="1402" t="s">
        <v>6505</v>
      </c>
      <c r="D2507" s="1403" t="s">
        <v>3125</v>
      </c>
      <c r="E2507" s="1404" t="s">
        <v>5007</v>
      </c>
      <c r="F2507" s="1405" t="s">
        <v>5300</v>
      </c>
      <c r="G2507" s="1403" t="s">
        <v>16490</v>
      </c>
      <c r="H2507" s="1406" t="s">
        <v>1037</v>
      </c>
    </row>
    <row r="2508" spans="1:8" x14ac:dyDescent="0.2">
      <c r="A2508" s="7"/>
      <c r="B2508" s="1407" t="str">
        <f t="shared" si="39"/>
        <v>Lionello Palmieri</v>
      </c>
      <c r="C2508" s="1402" t="s">
        <v>6506</v>
      </c>
      <c r="D2508" s="1403" t="s">
        <v>7007</v>
      </c>
      <c r="E2508" s="1404" t="s">
        <v>5008</v>
      </c>
      <c r="F2508" s="1405" t="s">
        <v>5300</v>
      </c>
      <c r="G2508" s="1403" t="s">
        <v>15293</v>
      </c>
      <c r="H2508" s="1406" t="s">
        <v>1037</v>
      </c>
    </row>
    <row r="2509" spans="1:8" x14ac:dyDescent="0.2">
      <c r="A2509" s="7"/>
      <c r="B2509" s="1407" t="str">
        <f t="shared" si="39"/>
        <v>Claudio Panebianco</v>
      </c>
      <c r="C2509" s="1402" t="s">
        <v>6507</v>
      </c>
      <c r="D2509" s="1403" t="s">
        <v>3038</v>
      </c>
      <c r="E2509" s="1404" t="s">
        <v>5009</v>
      </c>
      <c r="F2509" s="1405" t="s">
        <v>5299</v>
      </c>
      <c r="G2509" s="1403" t="s">
        <v>7872</v>
      </c>
      <c r="H2509" s="1406" t="s">
        <v>1037</v>
      </c>
    </row>
    <row r="2510" spans="1:8" x14ac:dyDescent="0.2">
      <c r="A2510" s="7"/>
      <c r="B2510" s="1407" t="str">
        <f t="shared" si="39"/>
        <v>Laura Panza - Intra</v>
      </c>
      <c r="C2510" s="1402" t="s">
        <v>6508</v>
      </c>
      <c r="D2510" s="1403" t="s">
        <v>3364</v>
      </c>
      <c r="E2510" s="1404" t="s">
        <v>5010</v>
      </c>
      <c r="F2510" s="1405" t="s">
        <v>5299</v>
      </c>
      <c r="G2510" s="1403" t="s">
        <v>2765</v>
      </c>
      <c r="H2510" s="1406" t="s">
        <v>1037</v>
      </c>
    </row>
    <row r="2511" spans="1:8" x14ac:dyDescent="0.2">
      <c r="A2511" s="7"/>
      <c r="B2511" s="1407" t="str">
        <f t="shared" si="39"/>
        <v>Massimiliano Patrono</v>
      </c>
      <c r="C2511" s="1402" t="s">
        <v>16008</v>
      </c>
      <c r="D2511" s="1403" t="s">
        <v>3023</v>
      </c>
      <c r="E2511" s="1404" t="s">
        <v>16009</v>
      </c>
      <c r="F2511" s="1405" t="s">
        <v>13210</v>
      </c>
      <c r="G2511" s="1403" t="s">
        <v>7880</v>
      </c>
      <c r="H2511" s="1406" t="s">
        <v>1037</v>
      </c>
    </row>
    <row r="2512" spans="1:8" x14ac:dyDescent="0.2">
      <c r="A2512" s="7"/>
      <c r="B2512" s="1407" t="str">
        <f t="shared" si="39"/>
        <v>Gerardo Patruno</v>
      </c>
      <c r="C2512" s="1402" t="s">
        <v>6509</v>
      </c>
      <c r="D2512" s="1403" t="s">
        <v>3071</v>
      </c>
      <c r="E2512" s="1404" t="s">
        <v>5011</v>
      </c>
      <c r="F2512" s="1405" t="s">
        <v>5300</v>
      </c>
      <c r="G2512" s="1403" t="s">
        <v>2749</v>
      </c>
      <c r="H2512" s="1406" t="s">
        <v>1037</v>
      </c>
    </row>
    <row r="2513" spans="1:8" x14ac:dyDescent="0.2">
      <c r="A2513" s="7"/>
      <c r="B2513" s="1407" t="str">
        <f t="shared" si="39"/>
        <v>Alessandro Pecchioli</v>
      </c>
      <c r="C2513" s="1402" t="s">
        <v>9947</v>
      </c>
      <c r="D2513" s="1403" t="s">
        <v>3125</v>
      </c>
      <c r="E2513" s="1404" t="s">
        <v>10124</v>
      </c>
      <c r="F2513" s="1405" t="s">
        <v>5300</v>
      </c>
      <c r="G2513" s="1403" t="s">
        <v>15288</v>
      </c>
      <c r="H2513" s="1406" t="s">
        <v>1037</v>
      </c>
    </row>
    <row r="2514" spans="1:8" x14ac:dyDescent="0.2">
      <c r="A2514" s="7"/>
      <c r="B2514" s="1407" t="str">
        <f t="shared" si="39"/>
        <v>Ciro Alessio Pecoraro</v>
      </c>
      <c r="C2514" s="1402" t="s">
        <v>16010</v>
      </c>
      <c r="D2514" s="1403" t="s">
        <v>16011</v>
      </c>
      <c r="E2514" s="1404" t="s">
        <v>16012</v>
      </c>
      <c r="F2514" s="1405" t="s">
        <v>5299</v>
      </c>
      <c r="G2514" s="1403" t="s">
        <v>7870</v>
      </c>
      <c r="H2514" s="1406" t="s">
        <v>1037</v>
      </c>
    </row>
    <row r="2515" spans="1:8" x14ac:dyDescent="0.2">
      <c r="A2515" s="7"/>
      <c r="B2515" s="1407" t="str">
        <f t="shared" si="39"/>
        <v>Andrea Pellegrino</v>
      </c>
      <c r="C2515" s="1402" t="s">
        <v>6510</v>
      </c>
      <c r="D2515" s="1403" t="s">
        <v>3027</v>
      </c>
      <c r="E2515" s="1404" t="s">
        <v>5012</v>
      </c>
      <c r="F2515" s="1405" t="s">
        <v>5299</v>
      </c>
      <c r="G2515" s="1403" t="s">
        <v>10271</v>
      </c>
      <c r="H2515" s="1406" t="s">
        <v>1037</v>
      </c>
    </row>
    <row r="2516" spans="1:8" x14ac:dyDescent="0.2">
      <c r="A2516" s="7"/>
      <c r="B2516" s="1407" t="str">
        <f t="shared" si="39"/>
        <v>Antonio Peluso</v>
      </c>
      <c r="C2516" s="1402" t="s">
        <v>6511</v>
      </c>
      <c r="D2516" s="1403" t="s">
        <v>3341</v>
      </c>
      <c r="E2516" s="1404" t="s">
        <v>5013</v>
      </c>
      <c r="F2516" s="1405" t="s">
        <v>5299</v>
      </c>
      <c r="G2516" s="1403" t="s">
        <v>2776</v>
      </c>
      <c r="H2516" s="1406" t="s">
        <v>1037</v>
      </c>
    </row>
    <row r="2517" spans="1:8" x14ac:dyDescent="0.2">
      <c r="A2517" s="7"/>
      <c r="B2517" s="1407" t="str">
        <f t="shared" si="39"/>
        <v>Marco Perazzo</v>
      </c>
      <c r="C2517" s="1402" t="s">
        <v>6512</v>
      </c>
      <c r="D2517" s="1403" t="s">
        <v>3109</v>
      </c>
      <c r="E2517" s="1404" t="s">
        <v>5014</v>
      </c>
      <c r="F2517" s="1405" t="s">
        <v>5300</v>
      </c>
      <c r="G2517" s="1403" t="s">
        <v>2761</v>
      </c>
      <c r="H2517" s="1406" t="s">
        <v>1037</v>
      </c>
    </row>
    <row r="2518" spans="1:8" x14ac:dyDescent="0.2">
      <c r="A2518" s="7"/>
      <c r="B2518" s="1407" t="str">
        <f t="shared" si="39"/>
        <v>Luca Pessini</v>
      </c>
      <c r="C2518" s="1402" t="s">
        <v>6514</v>
      </c>
      <c r="D2518" s="1403" t="s">
        <v>3198</v>
      </c>
      <c r="E2518" s="1404" t="s">
        <v>5015</v>
      </c>
      <c r="F2518" s="1405" t="s">
        <v>5300</v>
      </c>
      <c r="G2518" s="1403" t="s">
        <v>2765</v>
      </c>
      <c r="H2518" s="1406" t="s">
        <v>1037</v>
      </c>
    </row>
    <row r="2519" spans="1:8" x14ac:dyDescent="0.2">
      <c r="A2519" s="7"/>
      <c r="B2519" s="1407" t="str">
        <f t="shared" si="39"/>
        <v>Mauro Petrini</v>
      </c>
      <c r="C2519" s="1402" t="s">
        <v>6515</v>
      </c>
      <c r="D2519" s="1403" t="s">
        <v>3204</v>
      </c>
      <c r="E2519" s="1404" t="s">
        <v>5016</v>
      </c>
      <c r="F2519" s="1405" t="s">
        <v>5300</v>
      </c>
      <c r="G2519" s="1403" t="s">
        <v>13477</v>
      </c>
      <c r="H2519" s="1406" t="s">
        <v>1037</v>
      </c>
    </row>
    <row r="2520" spans="1:8" x14ac:dyDescent="0.2">
      <c r="A2520" s="7"/>
      <c r="B2520" s="1407" t="str">
        <f t="shared" si="39"/>
        <v>Marco Pinausi</v>
      </c>
      <c r="C2520" s="1402" t="s">
        <v>6517</v>
      </c>
      <c r="D2520" s="1403" t="s">
        <v>3109</v>
      </c>
      <c r="E2520" s="1404" t="s">
        <v>5017</v>
      </c>
      <c r="F2520" s="1405" t="s">
        <v>5300</v>
      </c>
      <c r="G2520" s="1403" t="s">
        <v>2773</v>
      </c>
      <c r="H2520" s="1406" t="s">
        <v>1037</v>
      </c>
    </row>
    <row r="2521" spans="1:8" x14ac:dyDescent="0.2">
      <c r="A2521" s="7"/>
      <c r="B2521" s="1407" t="str">
        <f t="shared" si="39"/>
        <v>Luca Pini</v>
      </c>
      <c r="C2521" s="1402" t="s">
        <v>6518</v>
      </c>
      <c r="D2521" s="1403" t="s">
        <v>3198</v>
      </c>
      <c r="E2521" s="1404" t="s">
        <v>5018</v>
      </c>
      <c r="F2521" s="1405" t="s">
        <v>5300</v>
      </c>
      <c r="G2521" s="1403" t="s">
        <v>2784</v>
      </c>
      <c r="H2521" s="1406" t="s">
        <v>1037</v>
      </c>
    </row>
    <row r="2522" spans="1:8" x14ac:dyDescent="0.2">
      <c r="A2522" s="7"/>
      <c r="B2522" s="1407" t="str">
        <f t="shared" si="39"/>
        <v>Fabrizio Pintore</v>
      </c>
      <c r="C2522" s="1402" t="s">
        <v>6519</v>
      </c>
      <c r="D2522" s="1403" t="s">
        <v>3087</v>
      </c>
      <c r="E2522" s="1404" t="s">
        <v>5019</v>
      </c>
      <c r="F2522" s="1405" t="s">
        <v>5300</v>
      </c>
      <c r="G2522" s="1403" t="s">
        <v>2901</v>
      </c>
      <c r="H2522" s="1406" t="s">
        <v>1037</v>
      </c>
    </row>
    <row r="2523" spans="1:8" x14ac:dyDescent="0.2">
      <c r="A2523" s="7"/>
      <c r="B2523" s="1407" t="str">
        <f t="shared" si="39"/>
        <v>Daniele Pochesci</v>
      </c>
      <c r="C2523" s="1402" t="s">
        <v>6520</v>
      </c>
      <c r="D2523" s="1403" t="s">
        <v>3022</v>
      </c>
      <c r="E2523" s="1404" t="s">
        <v>5020</v>
      </c>
      <c r="F2523" s="1405" t="s">
        <v>5299</v>
      </c>
      <c r="G2523" s="1403" t="s">
        <v>15245</v>
      </c>
      <c r="H2523" s="1406" t="s">
        <v>1037</v>
      </c>
    </row>
    <row r="2524" spans="1:8" x14ac:dyDescent="0.2">
      <c r="A2524" s="7"/>
      <c r="B2524" s="1407" t="str">
        <f t="shared" si="39"/>
        <v>Giuseppe Porcelli</v>
      </c>
      <c r="C2524" s="1402" t="s">
        <v>6521</v>
      </c>
      <c r="D2524" s="1403" t="s">
        <v>3122</v>
      </c>
      <c r="E2524" s="1404" t="s">
        <v>5021</v>
      </c>
      <c r="F2524" s="1405" t="s">
        <v>5300</v>
      </c>
      <c r="G2524" s="1403" t="s">
        <v>7877</v>
      </c>
      <c r="H2524" s="1406" t="s">
        <v>1037</v>
      </c>
    </row>
    <row r="2525" spans="1:8" x14ac:dyDescent="0.2">
      <c r="A2525" s="7"/>
      <c r="B2525" s="1407" t="str">
        <f t="shared" si="39"/>
        <v>Riccardo Porro</v>
      </c>
      <c r="C2525" s="1402" t="s">
        <v>6522</v>
      </c>
      <c r="D2525" s="1403" t="s">
        <v>3270</v>
      </c>
      <c r="E2525" s="1404" t="s">
        <v>5022</v>
      </c>
      <c r="F2525" s="1405" t="s">
        <v>5300</v>
      </c>
      <c r="G2525" s="1403" t="s">
        <v>7876</v>
      </c>
      <c r="H2525" s="1406" t="s">
        <v>1037</v>
      </c>
    </row>
    <row r="2526" spans="1:8" x14ac:dyDescent="0.2">
      <c r="A2526" s="7"/>
      <c r="B2526" s="1407" t="str">
        <f t="shared" si="39"/>
        <v>Michelangelo Porro</v>
      </c>
      <c r="C2526" s="1402" t="s">
        <v>6522</v>
      </c>
      <c r="D2526" s="1403" t="s">
        <v>3231</v>
      </c>
      <c r="E2526" s="1404" t="s">
        <v>5023</v>
      </c>
      <c r="F2526" s="1405" t="s">
        <v>5299</v>
      </c>
      <c r="G2526" s="1403" t="s">
        <v>7876</v>
      </c>
      <c r="H2526" s="1406" t="s">
        <v>1037</v>
      </c>
    </row>
    <row r="2527" spans="1:8" x14ac:dyDescent="0.2">
      <c r="A2527" s="7"/>
      <c r="B2527" s="1407" t="str">
        <f t="shared" si="39"/>
        <v>Salvatore Praino</v>
      </c>
      <c r="C2527" s="1402" t="s">
        <v>6523</v>
      </c>
      <c r="D2527" s="1403" t="s">
        <v>3265</v>
      </c>
      <c r="E2527" s="1404" t="s">
        <v>5024</v>
      </c>
      <c r="F2527" s="1405" t="s">
        <v>5300</v>
      </c>
      <c r="G2527" s="1403" t="s">
        <v>2773</v>
      </c>
      <c r="H2527" s="1406" t="s">
        <v>1037</v>
      </c>
    </row>
    <row r="2528" spans="1:8" x14ac:dyDescent="0.2">
      <c r="A2528" s="7"/>
      <c r="B2528" s="1407" t="str">
        <f t="shared" si="39"/>
        <v>Gennaro Preziuso</v>
      </c>
      <c r="C2528" s="1402" t="s">
        <v>6524</v>
      </c>
      <c r="D2528" s="1403" t="s">
        <v>3354</v>
      </c>
      <c r="E2528" s="1404" t="s">
        <v>5025</v>
      </c>
      <c r="F2528" s="1405" t="s">
        <v>5299</v>
      </c>
      <c r="G2528" s="1403" t="s">
        <v>7876</v>
      </c>
      <c r="H2528" s="1406" t="s">
        <v>1037</v>
      </c>
    </row>
    <row r="2529" spans="1:8" x14ac:dyDescent="0.2">
      <c r="A2529" s="7"/>
      <c r="B2529" s="1407" t="str">
        <f t="shared" si="39"/>
        <v>Manfredo Preziuso</v>
      </c>
      <c r="C2529" s="1402" t="s">
        <v>6524</v>
      </c>
      <c r="D2529" s="1403" t="s">
        <v>3641</v>
      </c>
      <c r="E2529" s="1404" t="s">
        <v>5026</v>
      </c>
      <c r="F2529" s="1405" t="s">
        <v>5300</v>
      </c>
      <c r="G2529" s="1403" t="s">
        <v>10922</v>
      </c>
      <c r="H2529" s="1406" t="s">
        <v>1037</v>
      </c>
    </row>
    <row r="2530" spans="1:8" x14ac:dyDescent="0.2">
      <c r="A2530" s="7"/>
      <c r="B2530" s="1407" t="str">
        <f t="shared" si="39"/>
        <v>Marco Preziuso</v>
      </c>
      <c r="C2530" s="1402" t="s">
        <v>6524</v>
      </c>
      <c r="D2530" s="1403" t="s">
        <v>3109</v>
      </c>
      <c r="E2530" s="1404" t="s">
        <v>5027</v>
      </c>
      <c r="F2530" s="1405" t="s">
        <v>5299</v>
      </c>
      <c r="G2530" s="1403" t="s">
        <v>2776</v>
      </c>
      <c r="H2530" s="1406" t="s">
        <v>1037</v>
      </c>
    </row>
    <row r="2531" spans="1:8" x14ac:dyDescent="0.2">
      <c r="A2531" s="7"/>
      <c r="B2531" s="1407" t="str">
        <f t="shared" si="39"/>
        <v>Francesco Quattrini</v>
      </c>
      <c r="C2531" s="1402" t="s">
        <v>13922</v>
      </c>
      <c r="D2531" s="1403" t="s">
        <v>3277</v>
      </c>
      <c r="E2531" s="1404" t="s">
        <v>13923</v>
      </c>
      <c r="F2531" s="1405" t="s">
        <v>5300</v>
      </c>
      <c r="G2531" s="1403" t="s">
        <v>2749</v>
      </c>
      <c r="H2531" s="1406" t="s">
        <v>1037</v>
      </c>
    </row>
    <row r="2532" spans="1:8" x14ac:dyDescent="0.2">
      <c r="A2532" s="7"/>
      <c r="B2532" s="1407" t="str">
        <f t="shared" si="39"/>
        <v>Salvatore Randielli</v>
      </c>
      <c r="C2532" s="1402" t="s">
        <v>16111</v>
      </c>
      <c r="D2532" s="1403" t="s">
        <v>3265</v>
      </c>
      <c r="E2532" s="1404" t="s">
        <v>16112</v>
      </c>
      <c r="F2532" s="1405" t="s">
        <v>5300</v>
      </c>
      <c r="G2532" s="1403" t="s">
        <v>15290</v>
      </c>
      <c r="H2532" s="1406" t="s">
        <v>1037</v>
      </c>
    </row>
    <row r="2533" spans="1:8" x14ac:dyDescent="0.2">
      <c r="A2533" s="7"/>
      <c r="B2533" s="1407" t="str">
        <f t="shared" si="39"/>
        <v>Alberto Recano</v>
      </c>
      <c r="C2533" s="1402" t="s">
        <v>6525</v>
      </c>
      <c r="D2533" s="1403" t="s">
        <v>3042</v>
      </c>
      <c r="E2533" s="1404" t="s">
        <v>5028</v>
      </c>
      <c r="F2533" s="1405" t="s">
        <v>5299</v>
      </c>
      <c r="G2533" s="1403" t="s">
        <v>2776</v>
      </c>
      <c r="H2533" s="1406" t="s">
        <v>1037</v>
      </c>
    </row>
    <row r="2534" spans="1:8" x14ac:dyDescent="0.2">
      <c r="A2534" s="7"/>
      <c r="B2534" s="1407" t="str">
        <f t="shared" si="39"/>
        <v>Matteo Resca</v>
      </c>
      <c r="C2534" s="1402" t="s">
        <v>6526</v>
      </c>
      <c r="D2534" s="1403" t="s">
        <v>3200</v>
      </c>
      <c r="E2534" s="1404" t="s">
        <v>5029</v>
      </c>
      <c r="F2534" s="1405" t="s">
        <v>5300</v>
      </c>
      <c r="G2534" s="1403" t="s">
        <v>10272</v>
      </c>
      <c r="H2534" s="1406" t="s">
        <v>1037</v>
      </c>
    </row>
    <row r="2535" spans="1:8" x14ac:dyDescent="0.2">
      <c r="A2535" s="7"/>
      <c r="B2535" s="1407" t="str">
        <f t="shared" si="39"/>
        <v>Giovanni Maria Riccardi</v>
      </c>
      <c r="C2535" s="1402" t="s">
        <v>6527</v>
      </c>
      <c r="D2535" s="1403" t="s">
        <v>3357</v>
      </c>
      <c r="E2535" s="1404" t="s">
        <v>5030</v>
      </c>
      <c r="F2535" s="1405" t="s">
        <v>5300</v>
      </c>
      <c r="G2535" s="1403" t="s">
        <v>14678</v>
      </c>
      <c r="H2535" s="1406" t="s">
        <v>1037</v>
      </c>
    </row>
    <row r="2536" spans="1:8" x14ac:dyDescent="0.2">
      <c r="A2536" s="7"/>
      <c r="B2536" s="1407" t="str">
        <f t="shared" si="39"/>
        <v>Luca Riccio</v>
      </c>
      <c r="C2536" s="1402" t="s">
        <v>6529</v>
      </c>
      <c r="D2536" s="1403" t="s">
        <v>3198</v>
      </c>
      <c r="E2536" s="1404" t="s">
        <v>5031</v>
      </c>
      <c r="F2536" s="1405" t="s">
        <v>5299</v>
      </c>
      <c r="G2536" s="1403" t="s">
        <v>433</v>
      </c>
      <c r="H2536" s="1406" t="s">
        <v>1037</v>
      </c>
    </row>
    <row r="2537" spans="1:8" x14ac:dyDescent="0.2">
      <c r="A2537" s="7"/>
      <c r="B2537" s="1407" t="str">
        <f t="shared" si="39"/>
        <v>Alessandro Riccò</v>
      </c>
      <c r="C2537" s="1402" t="s">
        <v>9636</v>
      </c>
      <c r="D2537" s="1403" t="s">
        <v>3125</v>
      </c>
      <c r="E2537" s="1404" t="s">
        <v>5032</v>
      </c>
      <c r="F2537" s="1405" t="s">
        <v>5299</v>
      </c>
      <c r="G2537" s="1403" t="s">
        <v>7870</v>
      </c>
      <c r="H2537" s="1406" t="s">
        <v>1037</v>
      </c>
    </row>
    <row r="2538" spans="1:8" x14ac:dyDescent="0.2">
      <c r="A2538" s="7"/>
      <c r="B2538" s="1407" t="str">
        <f t="shared" si="39"/>
        <v>Alberto Riccò</v>
      </c>
      <c r="C2538" s="1402" t="s">
        <v>9636</v>
      </c>
      <c r="D2538" s="1403" t="s">
        <v>3042</v>
      </c>
      <c r="E2538" s="1404" t="s">
        <v>5033</v>
      </c>
      <c r="F2538" s="1405" t="s">
        <v>5300</v>
      </c>
      <c r="G2538" s="1403" t="s">
        <v>7870</v>
      </c>
      <c r="H2538" s="1406" t="s">
        <v>1037</v>
      </c>
    </row>
    <row r="2539" spans="1:8" x14ac:dyDescent="0.2">
      <c r="A2539" s="7"/>
      <c r="B2539" s="1407" t="str">
        <f t="shared" si="39"/>
        <v>Flavio Rivabella</v>
      </c>
      <c r="C2539" s="1402" t="s">
        <v>16132</v>
      </c>
      <c r="D2539" s="1403" t="s">
        <v>3201</v>
      </c>
      <c r="E2539" s="1404" t="s">
        <v>16133</v>
      </c>
      <c r="F2539" s="1405" t="s">
        <v>5300</v>
      </c>
      <c r="G2539" s="1403" t="s">
        <v>14678</v>
      </c>
      <c r="H2539" s="1406" t="s">
        <v>1037</v>
      </c>
    </row>
    <row r="2540" spans="1:8" x14ac:dyDescent="0.2">
      <c r="A2540" s="7"/>
      <c r="B2540" s="1407" t="str">
        <f t="shared" si="39"/>
        <v>Carolina Rodi</v>
      </c>
      <c r="C2540" s="1402" t="s">
        <v>16139</v>
      </c>
      <c r="D2540" s="1403" t="s">
        <v>3506</v>
      </c>
      <c r="E2540" s="1404" t="s">
        <v>16140</v>
      </c>
      <c r="F2540" s="1405" t="s">
        <v>5299</v>
      </c>
      <c r="G2540" s="1403" t="s">
        <v>7870</v>
      </c>
      <c r="H2540" s="1406" t="s">
        <v>1037</v>
      </c>
    </row>
    <row r="2541" spans="1:8" x14ac:dyDescent="0.2">
      <c r="A2541" s="7"/>
      <c r="B2541" s="1407" t="str">
        <f t="shared" si="39"/>
        <v>Antonello Rodriquez</v>
      </c>
      <c r="C2541" s="1402" t="s">
        <v>6530</v>
      </c>
      <c r="D2541" s="1403" t="s">
        <v>3471</v>
      </c>
      <c r="E2541" s="1404" t="s">
        <v>5034</v>
      </c>
      <c r="F2541" s="1405" t="s">
        <v>5300</v>
      </c>
      <c r="G2541" s="1403" t="s">
        <v>2759</v>
      </c>
      <c r="H2541" s="1406" t="s">
        <v>1037</v>
      </c>
    </row>
    <row r="2542" spans="1:8" x14ac:dyDescent="0.2">
      <c r="A2542" s="7"/>
      <c r="B2542" s="1407" t="str">
        <f t="shared" si="39"/>
        <v>Filippo Rossi</v>
      </c>
      <c r="C2542" s="1402" t="s">
        <v>6532</v>
      </c>
      <c r="D2542" s="1403" t="s">
        <v>3340</v>
      </c>
      <c r="E2542" s="1404" t="s">
        <v>5035</v>
      </c>
      <c r="F2542" s="1405" t="s">
        <v>5299</v>
      </c>
      <c r="G2542" s="1403" t="s">
        <v>7873</v>
      </c>
      <c r="H2542" s="1406" t="s">
        <v>1037</v>
      </c>
    </row>
    <row r="2543" spans="1:8" x14ac:dyDescent="0.2">
      <c r="A2543" s="7"/>
      <c r="B2543" s="1407" t="str">
        <f t="shared" si="39"/>
        <v>Ivano Russo</v>
      </c>
      <c r="C2543" s="1402" t="s">
        <v>6533</v>
      </c>
      <c r="D2543" s="1403" t="s">
        <v>3179</v>
      </c>
      <c r="E2543" s="1404" t="s">
        <v>5036</v>
      </c>
      <c r="F2543" s="1405" t="s">
        <v>5299</v>
      </c>
      <c r="G2543" s="1403" t="s">
        <v>15290</v>
      </c>
      <c r="H2543" s="1406" t="s">
        <v>1037</v>
      </c>
    </row>
    <row r="2544" spans="1:8" x14ac:dyDescent="0.2">
      <c r="A2544" s="7"/>
      <c r="B2544" s="1407" t="str">
        <f t="shared" si="39"/>
        <v>Giacomo Saguatti</v>
      </c>
      <c r="C2544" s="1402" t="s">
        <v>16160</v>
      </c>
      <c r="D2544" s="1403" t="s">
        <v>3615</v>
      </c>
      <c r="E2544" s="1404" t="s">
        <v>16161</v>
      </c>
      <c r="F2544" s="1405" t="s">
        <v>1563</v>
      </c>
      <c r="G2544" s="1403" t="s">
        <v>7876</v>
      </c>
      <c r="H2544" s="1406" t="s">
        <v>1037</v>
      </c>
    </row>
    <row r="2545" spans="1:8" x14ac:dyDescent="0.2">
      <c r="A2545" s="7"/>
      <c r="B2545" s="1407" t="str">
        <f t="shared" si="39"/>
        <v>Luca Salvadori</v>
      </c>
      <c r="C2545" s="1402" t="s">
        <v>16165</v>
      </c>
      <c r="D2545" s="1403" t="s">
        <v>3198</v>
      </c>
      <c r="E2545" s="1404" t="s">
        <v>16167</v>
      </c>
      <c r="F2545" s="1405" t="s">
        <v>5300</v>
      </c>
      <c r="G2545" s="1403" t="s">
        <v>9696</v>
      </c>
      <c r="H2545" s="1406" t="s">
        <v>1037</v>
      </c>
    </row>
    <row r="2546" spans="1:8" x14ac:dyDescent="0.2">
      <c r="A2546" s="7"/>
      <c r="B2546" s="1407" t="str">
        <f t="shared" si="39"/>
        <v>Mauro Salvati</v>
      </c>
      <c r="C2546" s="1402" t="s">
        <v>6534</v>
      </c>
      <c r="D2546" s="1403" t="s">
        <v>3204</v>
      </c>
      <c r="E2546" s="1404" t="s">
        <v>5037</v>
      </c>
      <c r="F2546" s="1405" t="s">
        <v>5299</v>
      </c>
      <c r="G2546" s="1403" t="s">
        <v>15245</v>
      </c>
      <c r="H2546" s="1406" t="s">
        <v>1037</v>
      </c>
    </row>
    <row r="2547" spans="1:8" x14ac:dyDescent="0.2">
      <c r="A2547" s="7"/>
      <c r="B2547" s="1407" t="str">
        <f t="shared" si="39"/>
        <v>Cesare Santanicchia</v>
      </c>
      <c r="C2547" s="1402" t="s">
        <v>6535</v>
      </c>
      <c r="D2547" s="1403" t="s">
        <v>3288</v>
      </c>
      <c r="E2547" s="1404" t="s">
        <v>5038</v>
      </c>
      <c r="F2547" s="1405" t="s">
        <v>5300</v>
      </c>
      <c r="G2547" s="1403" t="s">
        <v>11325</v>
      </c>
      <c r="H2547" s="1406" t="s">
        <v>1037</v>
      </c>
    </row>
    <row r="2548" spans="1:8" x14ac:dyDescent="0.2">
      <c r="A2548" s="7"/>
      <c r="B2548" s="1407" t="str">
        <f t="shared" si="39"/>
        <v>Gaetano Sasso</v>
      </c>
      <c r="C2548" s="1402" t="s">
        <v>6536</v>
      </c>
      <c r="D2548" s="1403" t="s">
        <v>3100</v>
      </c>
      <c r="E2548" s="1404" t="s">
        <v>5039</v>
      </c>
      <c r="F2548" s="1405" t="s">
        <v>5300</v>
      </c>
      <c r="G2548" s="1403" t="s">
        <v>433</v>
      </c>
      <c r="H2548" s="1406" t="s">
        <v>1037</v>
      </c>
    </row>
    <row r="2549" spans="1:8" x14ac:dyDescent="0.2">
      <c r="A2549" s="7"/>
      <c r="B2549" s="1407" t="str">
        <f t="shared" si="39"/>
        <v>Marcello Scarduelli</v>
      </c>
      <c r="C2549" s="1402" t="s">
        <v>6537</v>
      </c>
      <c r="D2549" s="1403" t="s">
        <v>3258</v>
      </c>
      <c r="E2549" s="1404" t="s">
        <v>5040</v>
      </c>
      <c r="F2549" s="1405" t="s">
        <v>5300</v>
      </c>
      <c r="G2549" s="1403" t="s">
        <v>15293</v>
      </c>
      <c r="H2549" s="1406" t="s">
        <v>1037</v>
      </c>
    </row>
    <row r="2550" spans="1:8" x14ac:dyDescent="0.2">
      <c r="A2550" s="7"/>
      <c r="B2550" s="1407" t="str">
        <f t="shared" si="39"/>
        <v>Amerigo Scatamacchia</v>
      </c>
      <c r="C2550" s="1402" t="s">
        <v>6538</v>
      </c>
      <c r="D2550" s="1403" t="s">
        <v>3622</v>
      </c>
      <c r="E2550" s="1404" t="s">
        <v>5041</v>
      </c>
      <c r="F2550" s="1405" t="s">
        <v>5300</v>
      </c>
      <c r="G2550" s="1403" t="s">
        <v>10271</v>
      </c>
      <c r="H2550" s="1406" t="s">
        <v>1037</v>
      </c>
    </row>
    <row r="2551" spans="1:8" x14ac:dyDescent="0.2">
      <c r="A2551" s="7"/>
      <c r="B2551" s="1407" t="str">
        <f t="shared" si="39"/>
        <v>Massimiliano Schiavone</v>
      </c>
      <c r="C2551" s="1402" t="s">
        <v>6539</v>
      </c>
      <c r="D2551" s="1403" t="s">
        <v>3023</v>
      </c>
      <c r="E2551" s="1404" t="s">
        <v>5042</v>
      </c>
      <c r="F2551" s="1405" t="s">
        <v>5300</v>
      </c>
      <c r="G2551" s="1403" t="s">
        <v>10269</v>
      </c>
      <c r="H2551" s="1406" t="s">
        <v>1037</v>
      </c>
    </row>
    <row r="2552" spans="1:8" x14ac:dyDescent="0.2">
      <c r="A2552" s="7"/>
      <c r="B2552" s="1407" t="str">
        <f t="shared" si="39"/>
        <v>Riccardo Schito</v>
      </c>
      <c r="C2552" s="1402" t="s">
        <v>6540</v>
      </c>
      <c r="D2552" s="1403" t="s">
        <v>3270</v>
      </c>
      <c r="E2552" s="1404" t="s">
        <v>5043</v>
      </c>
      <c r="F2552" s="1405" t="s">
        <v>5300</v>
      </c>
      <c r="G2552" s="1403" t="s">
        <v>15245</v>
      </c>
      <c r="H2552" s="1406" t="s">
        <v>1037</v>
      </c>
    </row>
    <row r="2553" spans="1:8" x14ac:dyDescent="0.2">
      <c r="A2553" s="7"/>
      <c r="B2553" s="1407" t="str">
        <f t="shared" si="39"/>
        <v>Carmelo Sciacca</v>
      </c>
      <c r="C2553" s="1402" t="s">
        <v>6541</v>
      </c>
      <c r="D2553" s="1403" t="s">
        <v>3485</v>
      </c>
      <c r="E2553" s="1404" t="s">
        <v>5044</v>
      </c>
      <c r="F2553" s="1405" t="s">
        <v>5299</v>
      </c>
      <c r="G2553" s="1403" t="s">
        <v>14879</v>
      </c>
      <c r="H2553" s="1406" t="s">
        <v>1037</v>
      </c>
    </row>
    <row r="2554" spans="1:8" x14ac:dyDescent="0.2">
      <c r="A2554" s="7"/>
      <c r="B2554" s="1407" t="str">
        <f t="shared" si="39"/>
        <v>Filippo Sella</v>
      </c>
      <c r="C2554" s="1402" t="s">
        <v>6542</v>
      </c>
      <c r="D2554" s="1403" t="s">
        <v>3340</v>
      </c>
      <c r="E2554" s="1404" t="s">
        <v>5045</v>
      </c>
      <c r="F2554" s="1405" t="s">
        <v>5300</v>
      </c>
      <c r="G2554" s="1403" t="s">
        <v>7876</v>
      </c>
      <c r="H2554" s="1406" t="s">
        <v>1037</v>
      </c>
    </row>
    <row r="2555" spans="1:8" x14ac:dyDescent="0.2">
      <c r="A2555" s="7"/>
      <c r="B2555" s="1407" t="str">
        <f t="shared" si="39"/>
        <v>Pasquale Sepe</v>
      </c>
      <c r="C2555" s="1402" t="s">
        <v>6543</v>
      </c>
      <c r="D2555" s="1403" t="s">
        <v>3548</v>
      </c>
      <c r="E2555" s="1404" t="s">
        <v>5046</v>
      </c>
      <c r="F2555" s="1405" t="s">
        <v>5299</v>
      </c>
      <c r="G2555" s="1403" t="s">
        <v>7877</v>
      </c>
      <c r="H2555" s="1406" t="s">
        <v>1037</v>
      </c>
    </row>
    <row r="2556" spans="1:8" x14ac:dyDescent="0.2">
      <c r="A2556" s="7"/>
      <c r="B2556" s="1407" t="str">
        <f t="shared" si="39"/>
        <v>Massimo Sergio</v>
      </c>
      <c r="C2556" s="1402" t="s">
        <v>3064</v>
      </c>
      <c r="D2556" s="1403" t="s">
        <v>3013</v>
      </c>
      <c r="E2556" s="1404" t="s">
        <v>5047</v>
      </c>
      <c r="F2556" s="1405" t="s">
        <v>5300</v>
      </c>
      <c r="G2556" s="1403" t="s">
        <v>2787</v>
      </c>
      <c r="H2556" s="1406" t="s">
        <v>1037</v>
      </c>
    </row>
    <row r="2557" spans="1:8" x14ac:dyDescent="0.2">
      <c r="A2557" s="7"/>
      <c r="B2557" s="1407" t="str">
        <f t="shared" si="39"/>
        <v>Gianluca Serpico</v>
      </c>
      <c r="C2557" s="1402" t="s">
        <v>6545</v>
      </c>
      <c r="D2557" s="1403" t="s">
        <v>3369</v>
      </c>
      <c r="E2557" s="1404" t="s">
        <v>5048</v>
      </c>
      <c r="F2557" s="1405" t="s">
        <v>5300</v>
      </c>
      <c r="G2557" s="1403" t="s">
        <v>7877</v>
      </c>
      <c r="H2557" s="1406" t="s">
        <v>1037</v>
      </c>
    </row>
    <row r="2558" spans="1:8" x14ac:dyDescent="0.2">
      <c r="A2558" s="7"/>
      <c r="B2558" s="1407" t="str">
        <f t="shared" si="39"/>
        <v>Giuseppe Setale</v>
      </c>
      <c r="C2558" s="1402" t="s">
        <v>6546</v>
      </c>
      <c r="D2558" s="1403" t="s">
        <v>3122</v>
      </c>
      <c r="E2558" s="1404" t="s">
        <v>5049</v>
      </c>
      <c r="F2558" s="1405" t="s">
        <v>5300</v>
      </c>
      <c r="G2558" s="1403" t="s">
        <v>2786</v>
      </c>
      <c r="H2558" s="1406" t="s">
        <v>1037</v>
      </c>
    </row>
    <row r="2559" spans="1:8" x14ac:dyDescent="0.2">
      <c r="A2559" s="7"/>
      <c r="B2559" s="1407" t="str">
        <f t="shared" si="39"/>
        <v>Gabriele Silveri</v>
      </c>
      <c r="C2559" s="1402" t="s">
        <v>6547</v>
      </c>
      <c r="D2559" s="1403" t="s">
        <v>3127</v>
      </c>
      <c r="E2559" s="1404" t="s">
        <v>5050</v>
      </c>
      <c r="F2559" s="1405" t="s">
        <v>5299</v>
      </c>
      <c r="G2559" s="1403" t="s">
        <v>2761</v>
      </c>
      <c r="H2559" s="1406" t="s">
        <v>1037</v>
      </c>
    </row>
    <row r="2560" spans="1:8" x14ac:dyDescent="0.2">
      <c r="A2560" s="7"/>
      <c r="B2560" s="1407" t="str">
        <f t="shared" si="39"/>
        <v>Giancarlo Silvestri</v>
      </c>
      <c r="C2560" s="1402" t="s">
        <v>6548</v>
      </c>
      <c r="D2560" s="1403" t="s">
        <v>3337</v>
      </c>
      <c r="E2560" s="1404" t="s">
        <v>5051</v>
      </c>
      <c r="F2560" s="1405" t="s">
        <v>5300</v>
      </c>
      <c r="G2560" s="1403" t="s">
        <v>2761</v>
      </c>
      <c r="H2560" s="1406" t="s">
        <v>1037</v>
      </c>
    </row>
    <row r="2561" spans="1:8" x14ac:dyDescent="0.2">
      <c r="A2561" s="7"/>
      <c r="B2561" s="1407" t="str">
        <f t="shared" si="39"/>
        <v>Roberto Sirica</v>
      </c>
      <c r="C2561" s="1402" t="s">
        <v>6549</v>
      </c>
      <c r="D2561" s="1403" t="s">
        <v>3279</v>
      </c>
      <c r="E2561" s="1404" t="s">
        <v>5052</v>
      </c>
      <c r="F2561" s="1405" t="s">
        <v>5299</v>
      </c>
      <c r="G2561" s="1403" t="s">
        <v>2776</v>
      </c>
      <c r="H2561" s="1406" t="s">
        <v>1037</v>
      </c>
    </row>
    <row r="2562" spans="1:8" x14ac:dyDescent="0.2">
      <c r="A2562" s="7"/>
      <c r="B2562" s="1407" t="str">
        <f t="shared" si="39"/>
        <v>Mauro Sollazzo</v>
      </c>
      <c r="C2562" s="1402" t="s">
        <v>6550</v>
      </c>
      <c r="D2562" s="1403" t="s">
        <v>3204</v>
      </c>
      <c r="E2562" s="1404" t="s">
        <v>5053</v>
      </c>
      <c r="F2562" s="1405" t="s">
        <v>5300</v>
      </c>
      <c r="G2562" s="1403" t="s">
        <v>10269</v>
      </c>
      <c r="H2562" s="1406" t="s">
        <v>1037</v>
      </c>
    </row>
    <row r="2563" spans="1:8" x14ac:dyDescent="0.2">
      <c r="A2563" s="7"/>
      <c r="B2563" s="1407" t="str">
        <f t="shared" si="39"/>
        <v>Pietro Sommella</v>
      </c>
      <c r="C2563" s="1402" t="s">
        <v>6551</v>
      </c>
      <c r="D2563" s="1403" t="s">
        <v>3233</v>
      </c>
      <c r="E2563" s="1404" t="s">
        <v>5054</v>
      </c>
      <c r="F2563" s="1405" t="s">
        <v>5300</v>
      </c>
      <c r="G2563" s="1403" t="s">
        <v>8865</v>
      </c>
      <c r="H2563" s="1406" t="s">
        <v>1037</v>
      </c>
    </row>
    <row r="2564" spans="1:8" x14ac:dyDescent="0.2">
      <c r="A2564" s="7"/>
      <c r="B2564" s="1407" t="str">
        <f t="shared" si="39"/>
        <v>Alfredo Soria</v>
      </c>
      <c r="C2564" s="1402" t="s">
        <v>6552</v>
      </c>
      <c r="D2564" s="1403" t="s">
        <v>3587</v>
      </c>
      <c r="E2564" s="1404" t="s">
        <v>5055</v>
      </c>
      <c r="F2564" s="1405" t="s">
        <v>5300</v>
      </c>
      <c r="G2564" s="1403" t="s">
        <v>8865</v>
      </c>
      <c r="H2564" s="1406" t="s">
        <v>1037</v>
      </c>
    </row>
    <row r="2565" spans="1:8" x14ac:dyDescent="0.2">
      <c r="A2565" s="7"/>
      <c r="B2565" s="1407" t="str">
        <f t="shared" si="39"/>
        <v>Alessandro Spoto</v>
      </c>
      <c r="C2565" s="1402" t="s">
        <v>6553</v>
      </c>
      <c r="D2565" s="1403" t="s">
        <v>3125</v>
      </c>
      <c r="E2565" s="1404" t="s">
        <v>5056</v>
      </c>
      <c r="F2565" s="1405" t="s">
        <v>5300</v>
      </c>
      <c r="G2565" s="1403" t="s">
        <v>2777</v>
      </c>
      <c r="H2565" s="1406" t="s">
        <v>1037</v>
      </c>
    </row>
    <row r="2566" spans="1:8" x14ac:dyDescent="0.2">
      <c r="A2566" s="7"/>
      <c r="B2566" s="1407" t="str">
        <f t="shared" si="39"/>
        <v>Mattia Stoto</v>
      </c>
      <c r="C2566" s="1402" t="s">
        <v>6554</v>
      </c>
      <c r="D2566" s="1403" t="s">
        <v>3228</v>
      </c>
      <c r="E2566" s="1404" t="s">
        <v>5057</v>
      </c>
      <c r="F2566" s="1405" t="s">
        <v>5300</v>
      </c>
      <c r="G2566" s="1403" t="s">
        <v>10269</v>
      </c>
      <c r="H2566" s="1406" t="s">
        <v>1037</v>
      </c>
    </row>
    <row r="2567" spans="1:8" x14ac:dyDescent="0.2">
      <c r="A2567" s="7"/>
      <c r="B2567" s="1407" t="str">
        <f t="shared" ref="B2567:B2630" si="40">TRIM(CONCATENATE(D2567," ",C2567))</f>
        <v>Andrea Strazza</v>
      </c>
      <c r="C2567" s="1402" t="s">
        <v>6555</v>
      </c>
      <c r="D2567" s="1403" t="s">
        <v>3027</v>
      </c>
      <c r="E2567" s="1404" t="s">
        <v>5058</v>
      </c>
      <c r="F2567" s="1405" t="s">
        <v>5300</v>
      </c>
      <c r="G2567" s="1403" t="s">
        <v>3614</v>
      </c>
      <c r="H2567" s="1406" t="s">
        <v>1037</v>
      </c>
    </row>
    <row r="2568" spans="1:8" x14ac:dyDescent="0.2">
      <c r="A2568" s="7"/>
      <c r="B2568" s="1407" t="str">
        <f t="shared" si="40"/>
        <v>Alessandro Subazzoli</v>
      </c>
      <c r="C2568" s="1402" t="s">
        <v>6556</v>
      </c>
      <c r="D2568" s="1403" t="s">
        <v>3125</v>
      </c>
      <c r="E2568" s="1404" t="s">
        <v>5059</v>
      </c>
      <c r="F2568" s="1405" t="s">
        <v>5299</v>
      </c>
      <c r="G2568" s="1403" t="s">
        <v>7870</v>
      </c>
      <c r="H2568" s="1406" t="s">
        <v>1037</v>
      </c>
    </row>
    <row r="2569" spans="1:8" x14ac:dyDescent="0.2">
      <c r="A2569" s="7"/>
      <c r="B2569" s="1407" t="str">
        <f t="shared" si="40"/>
        <v>Matteo Suffritti</v>
      </c>
      <c r="C2569" s="1402" t="s">
        <v>6557</v>
      </c>
      <c r="D2569" s="1403" t="s">
        <v>3200</v>
      </c>
      <c r="E2569" s="1404" t="s">
        <v>5060</v>
      </c>
      <c r="F2569" s="1405" t="s">
        <v>5299</v>
      </c>
      <c r="G2569" s="1403" t="s">
        <v>2765</v>
      </c>
      <c r="H2569" s="1406" t="s">
        <v>1037</v>
      </c>
    </row>
    <row r="2570" spans="1:8" x14ac:dyDescent="0.2">
      <c r="A2570" s="7"/>
      <c r="B2570" s="1407" t="str">
        <f t="shared" si="40"/>
        <v>Stefano Tagliaferri</v>
      </c>
      <c r="C2570" s="1402" t="s">
        <v>6558</v>
      </c>
      <c r="D2570" s="1403" t="s">
        <v>3062</v>
      </c>
      <c r="E2570" s="1404" t="s">
        <v>5061</v>
      </c>
      <c r="F2570" s="1405" t="s">
        <v>5300</v>
      </c>
      <c r="G2570" s="1403" t="s">
        <v>2777</v>
      </c>
      <c r="H2570" s="1406" t="s">
        <v>1037</v>
      </c>
    </row>
    <row r="2571" spans="1:8" x14ac:dyDescent="0.2">
      <c r="A2571" s="7"/>
      <c r="B2571" s="1407" t="str">
        <f t="shared" si="40"/>
        <v>Diego Tagliaferri</v>
      </c>
      <c r="C2571" s="1402" t="s">
        <v>6558</v>
      </c>
      <c r="D2571" s="1403" t="s">
        <v>3373</v>
      </c>
      <c r="E2571" s="1404" t="s">
        <v>5062</v>
      </c>
      <c r="F2571" s="1405" t="s">
        <v>5299</v>
      </c>
      <c r="G2571" s="1403" t="s">
        <v>2777</v>
      </c>
      <c r="H2571" s="1406" t="s">
        <v>1037</v>
      </c>
    </row>
    <row r="2572" spans="1:8" x14ac:dyDescent="0.2">
      <c r="A2572" s="7"/>
      <c r="B2572" s="1407" t="str">
        <f t="shared" si="40"/>
        <v>Giuseppe Tassone</v>
      </c>
      <c r="C2572" s="1402" t="s">
        <v>8161</v>
      </c>
      <c r="D2572" s="1403" t="s">
        <v>3122</v>
      </c>
      <c r="E2572" s="1404" t="s">
        <v>16287</v>
      </c>
      <c r="F2572" s="1405" t="s">
        <v>5300</v>
      </c>
      <c r="G2572" s="1403" t="s">
        <v>15207</v>
      </c>
      <c r="H2572" s="1406" t="s">
        <v>1037</v>
      </c>
    </row>
    <row r="2573" spans="1:8" x14ac:dyDescent="0.2">
      <c r="A2573" s="7"/>
      <c r="B2573" s="1407" t="str">
        <f t="shared" si="40"/>
        <v>Enrico Testa</v>
      </c>
      <c r="C2573" s="1402" t="s">
        <v>6559</v>
      </c>
      <c r="D2573" s="1403" t="s">
        <v>3132</v>
      </c>
      <c r="E2573" s="1404" t="s">
        <v>16298</v>
      </c>
      <c r="F2573" s="1405" t="s">
        <v>5299</v>
      </c>
      <c r="G2573" s="1403" t="s">
        <v>7872</v>
      </c>
      <c r="H2573" s="1406" t="s">
        <v>1037</v>
      </c>
    </row>
    <row r="2574" spans="1:8" x14ac:dyDescent="0.2">
      <c r="A2574" s="7"/>
      <c r="B2574" s="1407" t="str">
        <f t="shared" si="40"/>
        <v>Salvatore Tinebra</v>
      </c>
      <c r="C2574" s="1402" t="s">
        <v>13314</v>
      </c>
      <c r="D2574" s="1403" t="s">
        <v>3265</v>
      </c>
      <c r="E2574" s="1404" t="s">
        <v>13315</v>
      </c>
      <c r="F2574" s="1405" t="s">
        <v>5300</v>
      </c>
      <c r="G2574" s="1403" t="s">
        <v>2787</v>
      </c>
      <c r="H2574" s="1406" t="s">
        <v>1037</v>
      </c>
    </row>
    <row r="2575" spans="1:8" x14ac:dyDescent="0.2">
      <c r="A2575" s="7"/>
      <c r="B2575" s="1407" t="str">
        <f t="shared" si="40"/>
        <v>Alessandro Toni</v>
      </c>
      <c r="C2575" s="1402" t="s">
        <v>3504</v>
      </c>
      <c r="D2575" s="1403" t="s">
        <v>3125</v>
      </c>
      <c r="E2575" s="1404" t="s">
        <v>5064</v>
      </c>
      <c r="F2575" s="1405" t="s">
        <v>5300</v>
      </c>
      <c r="G2575" s="1403" t="s">
        <v>11328</v>
      </c>
      <c r="H2575" s="1406" t="s">
        <v>1037</v>
      </c>
    </row>
    <row r="2576" spans="1:8" x14ac:dyDescent="0.2">
      <c r="A2576" s="7"/>
      <c r="B2576" s="1407" t="str">
        <f t="shared" si="40"/>
        <v>Francesco Torano</v>
      </c>
      <c r="C2576" s="1402" t="s">
        <v>6560</v>
      </c>
      <c r="D2576" s="1403" t="s">
        <v>3277</v>
      </c>
      <c r="E2576" s="1404" t="s">
        <v>5065</v>
      </c>
      <c r="F2576" s="1405" t="s">
        <v>5300</v>
      </c>
      <c r="G2576" s="1403" t="s">
        <v>7867</v>
      </c>
      <c r="H2576" s="1406" t="s">
        <v>1037</v>
      </c>
    </row>
    <row r="2577" spans="1:8" x14ac:dyDescent="0.2">
      <c r="A2577" s="7"/>
      <c r="B2577" s="1407" t="str">
        <f t="shared" si="40"/>
        <v>Pasquale Torano</v>
      </c>
      <c r="C2577" s="1402" t="s">
        <v>6560</v>
      </c>
      <c r="D2577" s="1403" t="s">
        <v>3548</v>
      </c>
      <c r="E2577" s="1404" t="s">
        <v>5066</v>
      </c>
      <c r="F2577" s="1405" t="s">
        <v>5300</v>
      </c>
      <c r="G2577" s="1403" t="s">
        <v>7873</v>
      </c>
      <c r="H2577" s="1406" t="s">
        <v>1037</v>
      </c>
    </row>
    <row r="2578" spans="1:8" x14ac:dyDescent="0.2">
      <c r="A2578" s="7"/>
      <c r="B2578" s="1407" t="str">
        <f t="shared" si="40"/>
        <v>Ruggero Torboli</v>
      </c>
      <c r="C2578" s="1402" t="s">
        <v>6561</v>
      </c>
      <c r="D2578" s="1403" t="s">
        <v>7004</v>
      </c>
      <c r="E2578" s="1404" t="s">
        <v>5067</v>
      </c>
      <c r="F2578" s="1405" t="s">
        <v>5300</v>
      </c>
      <c r="G2578" s="1403" t="s">
        <v>11325</v>
      </c>
      <c r="H2578" s="1406" t="s">
        <v>1037</v>
      </c>
    </row>
    <row r="2579" spans="1:8" x14ac:dyDescent="0.2">
      <c r="A2579" s="7"/>
      <c r="B2579" s="1407" t="str">
        <f t="shared" si="40"/>
        <v>Corrado Trenta</v>
      </c>
      <c r="C2579" s="1402" t="s">
        <v>6562</v>
      </c>
      <c r="D2579" s="1403" t="s">
        <v>3620</v>
      </c>
      <c r="E2579" s="1404" t="s">
        <v>5068</v>
      </c>
      <c r="F2579" s="1405" t="s">
        <v>5300</v>
      </c>
      <c r="G2579" s="1403" t="s">
        <v>15245</v>
      </c>
      <c r="H2579" s="1406" t="s">
        <v>1037</v>
      </c>
    </row>
    <row r="2580" spans="1:8" x14ac:dyDescent="0.2">
      <c r="A2580" s="7"/>
      <c r="B2580" s="1407" t="str">
        <f t="shared" si="40"/>
        <v>Tommaso Tricoli</v>
      </c>
      <c r="C2580" s="1402" t="s">
        <v>6563</v>
      </c>
      <c r="D2580" s="1403" t="s">
        <v>3534</v>
      </c>
      <c r="E2580" s="1404" t="s">
        <v>5069</v>
      </c>
      <c r="F2580" s="1405" t="s">
        <v>5300</v>
      </c>
      <c r="G2580" s="1403" t="s">
        <v>10271</v>
      </c>
      <c r="H2580" s="1406" t="s">
        <v>1037</v>
      </c>
    </row>
    <row r="2581" spans="1:8" x14ac:dyDescent="0.2">
      <c r="A2581" s="7"/>
      <c r="B2581" s="1407" t="str">
        <f t="shared" si="40"/>
        <v>Roberto Utzeri</v>
      </c>
      <c r="C2581" s="1402" t="s">
        <v>6565</v>
      </c>
      <c r="D2581" s="1403" t="s">
        <v>3279</v>
      </c>
      <c r="E2581" s="1404" t="s">
        <v>5070</v>
      </c>
      <c r="F2581" s="1405" t="s">
        <v>5300</v>
      </c>
      <c r="G2581" s="1403" t="s">
        <v>3614</v>
      </c>
      <c r="H2581" s="1406" t="s">
        <v>1037</v>
      </c>
    </row>
    <row r="2582" spans="1:8" x14ac:dyDescent="0.2">
      <c r="A2582" s="7"/>
      <c r="B2582" s="1407" t="str">
        <f t="shared" si="40"/>
        <v>Augusto Vagnoni</v>
      </c>
      <c r="C2582" s="1402" t="s">
        <v>6566</v>
      </c>
      <c r="D2582" s="1403" t="s">
        <v>3215</v>
      </c>
      <c r="E2582" s="1404" t="s">
        <v>5071</v>
      </c>
      <c r="F2582" s="1405" t="s">
        <v>5300</v>
      </c>
      <c r="G2582" s="1403" t="s">
        <v>2761</v>
      </c>
      <c r="H2582" s="1406" t="s">
        <v>1037</v>
      </c>
    </row>
    <row r="2583" spans="1:8" x14ac:dyDescent="0.2">
      <c r="A2583" s="7"/>
      <c r="B2583" s="1407" t="str">
        <f t="shared" si="40"/>
        <v>Vincenzo Varriale</v>
      </c>
      <c r="C2583" s="1402" t="s">
        <v>6567</v>
      </c>
      <c r="D2583" s="1403" t="s">
        <v>3163</v>
      </c>
      <c r="E2583" s="1404" t="s">
        <v>5072</v>
      </c>
      <c r="F2583" s="1405" t="s">
        <v>5300</v>
      </c>
      <c r="G2583" s="1403" t="s">
        <v>433</v>
      </c>
      <c r="H2583" s="1406" t="s">
        <v>1037</v>
      </c>
    </row>
    <row r="2584" spans="1:8" x14ac:dyDescent="0.2">
      <c r="A2584" s="7"/>
      <c r="B2584" s="1407" t="str">
        <f t="shared" si="40"/>
        <v>Roberto Vergoni</v>
      </c>
      <c r="C2584" s="1402" t="s">
        <v>6569</v>
      </c>
      <c r="D2584" s="1403" t="s">
        <v>3279</v>
      </c>
      <c r="E2584" s="1404" t="s">
        <v>5073</v>
      </c>
      <c r="F2584" s="1405" t="s">
        <v>5299</v>
      </c>
      <c r="G2584" s="1403" t="s">
        <v>2782</v>
      </c>
      <c r="H2584" s="1406" t="s">
        <v>1037</v>
      </c>
    </row>
    <row r="2585" spans="1:8" x14ac:dyDescent="0.2">
      <c r="A2585" s="7"/>
      <c r="B2585" s="1407" t="str">
        <f t="shared" si="40"/>
        <v>Maurizio Vezzo</v>
      </c>
      <c r="C2585" s="1402" t="s">
        <v>6570</v>
      </c>
      <c r="D2585" s="1403" t="s">
        <v>3148</v>
      </c>
      <c r="E2585" s="1404" t="s">
        <v>5074</v>
      </c>
      <c r="F2585" s="1405" t="s">
        <v>5299</v>
      </c>
      <c r="G2585" s="1403" t="s">
        <v>2750</v>
      </c>
      <c r="H2585" s="1406" t="s">
        <v>1037</v>
      </c>
    </row>
    <row r="2586" spans="1:8" x14ac:dyDescent="0.2">
      <c r="A2586" s="7"/>
      <c r="B2586" s="1407" t="str">
        <f t="shared" si="40"/>
        <v>Davide Visentin</v>
      </c>
      <c r="C2586" s="1402" t="s">
        <v>6571</v>
      </c>
      <c r="D2586" s="1403" t="s">
        <v>3329</v>
      </c>
      <c r="E2586" s="1404" t="s">
        <v>5075</v>
      </c>
      <c r="F2586" s="1405" t="s">
        <v>5300</v>
      </c>
      <c r="G2586" s="1403" t="s">
        <v>7873</v>
      </c>
      <c r="H2586" s="1406" t="s">
        <v>1037</v>
      </c>
    </row>
    <row r="2587" spans="1:8" x14ac:dyDescent="0.2">
      <c r="A2587" s="7"/>
      <c r="B2587" s="1407" t="str">
        <f t="shared" si="40"/>
        <v>Raimondo Vito</v>
      </c>
      <c r="C2587" s="1402" t="s">
        <v>3418</v>
      </c>
      <c r="D2587" s="1403" t="s">
        <v>16339</v>
      </c>
      <c r="E2587" s="1404" t="s">
        <v>16340</v>
      </c>
      <c r="F2587" s="1405" t="s">
        <v>5300</v>
      </c>
      <c r="G2587" s="1403" t="s">
        <v>10274</v>
      </c>
      <c r="H2587" s="1406" t="s">
        <v>1037</v>
      </c>
    </row>
    <row r="2588" spans="1:8" x14ac:dyDescent="0.2">
      <c r="A2588" s="7"/>
      <c r="B2588" s="1407" t="str">
        <f t="shared" si="40"/>
        <v>Giovanni Volpi</v>
      </c>
      <c r="C2588" s="1402" t="s">
        <v>6572</v>
      </c>
      <c r="D2588" s="1403" t="s">
        <v>3371</v>
      </c>
      <c r="E2588" s="1404" t="s">
        <v>5076</v>
      </c>
      <c r="F2588" s="1405" t="s">
        <v>5300</v>
      </c>
      <c r="G2588" s="1403" t="s">
        <v>7873</v>
      </c>
      <c r="H2588" s="1406" t="s">
        <v>1037</v>
      </c>
    </row>
    <row r="2589" spans="1:8" x14ac:dyDescent="0.2">
      <c r="A2589" s="7"/>
      <c r="B2589" s="1407" t="str">
        <f t="shared" si="40"/>
        <v>Luca Zambello</v>
      </c>
      <c r="C2589" s="1402" t="s">
        <v>6573</v>
      </c>
      <c r="D2589" s="1403" t="s">
        <v>3198</v>
      </c>
      <c r="E2589" s="1404" t="s">
        <v>5077</v>
      </c>
      <c r="F2589" s="1405" t="s">
        <v>5299</v>
      </c>
      <c r="G2589" s="1403" t="s">
        <v>7870</v>
      </c>
      <c r="H2589" s="1406" t="s">
        <v>1037</v>
      </c>
    </row>
    <row r="2590" spans="1:8" x14ac:dyDescent="0.2">
      <c r="A2590" s="7"/>
      <c r="B2590" s="1407" t="str">
        <f t="shared" si="40"/>
        <v>Paolo Zambello</v>
      </c>
      <c r="C2590" s="1402" t="s">
        <v>6573</v>
      </c>
      <c r="D2590" s="1403" t="s">
        <v>3119</v>
      </c>
      <c r="E2590" s="1404" t="s">
        <v>5078</v>
      </c>
      <c r="F2590" s="1405" t="s">
        <v>5299</v>
      </c>
      <c r="G2590" s="1403" t="s">
        <v>11467</v>
      </c>
      <c r="H2590" s="1406" t="s">
        <v>1037</v>
      </c>
    </row>
    <row r="2591" spans="1:8" x14ac:dyDescent="0.2">
      <c r="A2591" s="7"/>
      <c r="B2591" s="1407" t="str">
        <f t="shared" si="40"/>
        <v>Pier Celeste Zambello</v>
      </c>
      <c r="C2591" s="1402" t="s">
        <v>6573</v>
      </c>
      <c r="D2591" s="1403" t="s">
        <v>13924</v>
      </c>
      <c r="E2591" s="1404" t="s">
        <v>13925</v>
      </c>
      <c r="F2591" s="1405" t="s">
        <v>5300</v>
      </c>
      <c r="G2591" s="1403" t="s">
        <v>2765</v>
      </c>
      <c r="H2591" s="1406" t="s">
        <v>1037</v>
      </c>
    </row>
    <row r="2592" spans="1:8" x14ac:dyDescent="0.2">
      <c r="A2592" s="7"/>
      <c r="B2592" s="1407" t="str">
        <f t="shared" si="40"/>
        <v>Marco Midoro</v>
      </c>
      <c r="C2592" s="1402" t="s">
        <v>6575</v>
      </c>
      <c r="D2592" s="1403" t="s">
        <v>3109</v>
      </c>
      <c r="E2592" s="1404" t="s">
        <v>5079</v>
      </c>
      <c r="F2592" s="1405" t="s">
        <v>5300</v>
      </c>
      <c r="G2592" s="1403" t="s">
        <v>13596</v>
      </c>
      <c r="H2592" s="1406" t="s">
        <v>1037</v>
      </c>
    </row>
    <row r="2593" spans="1:8" x14ac:dyDescent="0.2">
      <c r="A2593" s="7"/>
      <c r="B2593" s="1407" t="str">
        <f t="shared" si="40"/>
        <v>Roberto Maina</v>
      </c>
      <c r="C2593" s="1402" t="s">
        <v>6576</v>
      </c>
      <c r="D2593" s="1403" t="s">
        <v>3279</v>
      </c>
      <c r="E2593" s="1404" t="s">
        <v>5080</v>
      </c>
      <c r="F2593" s="1405" t="s">
        <v>5300</v>
      </c>
      <c r="G2593" s="1403" t="s">
        <v>2787</v>
      </c>
      <c r="H2593" s="1406" t="s">
        <v>1037</v>
      </c>
    </row>
    <row r="2594" spans="1:8" x14ac:dyDescent="0.2">
      <c r="A2594" s="7"/>
      <c r="B2594" s="1407" t="str">
        <f t="shared" si="40"/>
        <v>Giuseppe Torre</v>
      </c>
      <c r="C2594" s="1402" t="s">
        <v>5752</v>
      </c>
      <c r="D2594" s="1403" t="s">
        <v>3122</v>
      </c>
      <c r="E2594" s="1404" t="s">
        <v>5081</v>
      </c>
      <c r="F2594" s="1405" t="s">
        <v>5299</v>
      </c>
      <c r="G2594" s="1403" t="s">
        <v>14879</v>
      </c>
      <c r="H2594" s="1406" t="s">
        <v>1037</v>
      </c>
    </row>
    <row r="2595" spans="1:8" x14ac:dyDescent="0.2">
      <c r="A2595" s="7"/>
      <c r="B2595" s="1407" t="str">
        <f t="shared" si="40"/>
        <v>Domenico Vinaccia</v>
      </c>
      <c r="C2595" s="1402" t="s">
        <v>6577</v>
      </c>
      <c r="D2595" s="1403" t="s">
        <v>3353</v>
      </c>
      <c r="E2595" s="1404" t="s">
        <v>5082</v>
      </c>
      <c r="F2595" s="1405" t="s">
        <v>5300</v>
      </c>
      <c r="G2595" s="1403" t="s">
        <v>10271</v>
      </c>
      <c r="H2595" s="1406" t="s">
        <v>1037</v>
      </c>
    </row>
    <row r="2596" spans="1:8" x14ac:dyDescent="0.2">
      <c r="A2596" s="7"/>
      <c r="B2596" s="1407" t="str">
        <f t="shared" si="40"/>
        <v>Luigi Baroni</v>
      </c>
      <c r="C2596" s="1402" t="s">
        <v>6578</v>
      </c>
      <c r="D2596" s="1403" t="s">
        <v>3339</v>
      </c>
      <c r="E2596" s="1404" t="s">
        <v>5083</v>
      </c>
      <c r="F2596" s="1405" t="s">
        <v>5300</v>
      </c>
      <c r="G2596" s="1403" t="s">
        <v>16490</v>
      </c>
      <c r="H2596" s="1406" t="s">
        <v>1037</v>
      </c>
    </row>
    <row r="2597" spans="1:8" x14ac:dyDescent="0.2">
      <c r="A2597" s="7"/>
      <c r="B2597" s="1407" t="str">
        <f t="shared" si="40"/>
        <v>Vincenzo Prestia</v>
      </c>
      <c r="C2597" s="1402" t="s">
        <v>6579</v>
      </c>
      <c r="D2597" s="1403" t="s">
        <v>3163</v>
      </c>
      <c r="E2597" s="1404" t="s">
        <v>5084</v>
      </c>
      <c r="F2597" s="1405" t="s">
        <v>5299</v>
      </c>
      <c r="G2597" s="1403" t="s">
        <v>16490</v>
      </c>
      <c r="H2597" s="1406" t="s">
        <v>1037</v>
      </c>
    </row>
    <row r="2598" spans="1:8" x14ac:dyDescent="0.2">
      <c r="A2598" s="7"/>
      <c r="B2598" s="1407" t="str">
        <f t="shared" si="40"/>
        <v>Luca Santonetti</v>
      </c>
      <c r="C2598" s="1402" t="s">
        <v>6581</v>
      </c>
      <c r="D2598" s="1403" t="s">
        <v>3198</v>
      </c>
      <c r="E2598" s="1404" t="s">
        <v>5085</v>
      </c>
      <c r="F2598" s="1405" t="s">
        <v>5299</v>
      </c>
      <c r="G2598" s="1403" t="s">
        <v>11327</v>
      </c>
      <c r="H2598" s="1406" t="s">
        <v>1037</v>
      </c>
    </row>
    <row r="2599" spans="1:8" x14ac:dyDescent="0.2">
      <c r="A2599" s="7"/>
      <c r="B2599" s="1407" t="str">
        <f t="shared" si="40"/>
        <v>Giuseppe Ogno</v>
      </c>
      <c r="C2599" s="1402" t="s">
        <v>6584</v>
      </c>
      <c r="D2599" s="1403" t="s">
        <v>3122</v>
      </c>
      <c r="E2599" s="1404" t="s">
        <v>5086</v>
      </c>
      <c r="F2599" s="1405" t="s">
        <v>5300</v>
      </c>
      <c r="G2599" s="1403" t="s">
        <v>2749</v>
      </c>
      <c r="H2599" s="1406" t="s">
        <v>1037</v>
      </c>
    </row>
    <row r="2600" spans="1:8" x14ac:dyDescent="0.2">
      <c r="A2600" s="7"/>
      <c r="B2600" s="1407" t="str">
        <f t="shared" si="40"/>
        <v>Paolo Natale</v>
      </c>
      <c r="C2600" s="1402" t="s">
        <v>6585</v>
      </c>
      <c r="D2600" s="1403" t="s">
        <v>3119</v>
      </c>
      <c r="E2600" s="1404" t="s">
        <v>5087</v>
      </c>
      <c r="F2600" s="1405" t="s">
        <v>5300</v>
      </c>
      <c r="G2600" s="1403" t="s">
        <v>16843</v>
      </c>
      <c r="H2600" s="1406" t="s">
        <v>1037</v>
      </c>
    </row>
    <row r="2601" spans="1:8" x14ac:dyDescent="0.2">
      <c r="A2601" s="7"/>
      <c r="B2601" s="1407" t="str">
        <f t="shared" si="40"/>
        <v>Andrea Dorato</v>
      </c>
      <c r="C2601" s="1402" t="s">
        <v>6586</v>
      </c>
      <c r="D2601" s="1403" t="s">
        <v>3027</v>
      </c>
      <c r="E2601" s="1404" t="s">
        <v>5088</v>
      </c>
      <c r="F2601" s="1405" t="s">
        <v>5299</v>
      </c>
      <c r="G2601" s="1403" t="s">
        <v>11467</v>
      </c>
      <c r="H2601" s="1406" t="s">
        <v>1037</v>
      </c>
    </row>
    <row r="2602" spans="1:8" x14ac:dyDescent="0.2">
      <c r="A2602" s="7"/>
      <c r="B2602" s="1407" t="str">
        <f t="shared" si="40"/>
        <v>Mauro Cionfi</v>
      </c>
      <c r="C2602" s="1402" t="s">
        <v>11202</v>
      </c>
      <c r="D2602" s="1403" t="s">
        <v>3204</v>
      </c>
      <c r="E2602" s="1404" t="s">
        <v>11273</v>
      </c>
      <c r="F2602" s="1405" t="s">
        <v>5300</v>
      </c>
      <c r="G2602" s="1403" t="s">
        <v>17176</v>
      </c>
      <c r="H2602" s="1406" t="s">
        <v>1037</v>
      </c>
    </row>
    <row r="2603" spans="1:8" x14ac:dyDescent="0.2">
      <c r="A2603" s="7"/>
      <c r="B2603" s="1407" t="str">
        <f t="shared" si="40"/>
        <v>Simone Righetto</v>
      </c>
      <c r="C2603" s="1402" t="s">
        <v>6589</v>
      </c>
      <c r="D2603" s="1403" t="s">
        <v>3158</v>
      </c>
      <c r="E2603" s="1404" t="s">
        <v>5089</v>
      </c>
      <c r="F2603" s="1405" t="s">
        <v>5299</v>
      </c>
      <c r="G2603" s="1403" t="s">
        <v>16843</v>
      </c>
      <c r="H2603" s="1406" t="s">
        <v>1037</v>
      </c>
    </row>
    <row r="2604" spans="1:8" x14ac:dyDescent="0.2">
      <c r="A2604" s="7"/>
      <c r="B2604" s="1407" t="str">
        <f t="shared" si="40"/>
        <v>Andrea Scola</v>
      </c>
      <c r="C2604" s="1402" t="s">
        <v>6590</v>
      </c>
      <c r="D2604" s="1403" t="s">
        <v>3027</v>
      </c>
      <c r="E2604" s="1404" t="s">
        <v>5090</v>
      </c>
      <c r="F2604" s="1405" t="s">
        <v>5300</v>
      </c>
      <c r="G2604" s="1403" t="s">
        <v>13312</v>
      </c>
      <c r="H2604" s="1406" t="s">
        <v>1037</v>
      </c>
    </row>
    <row r="2605" spans="1:8" x14ac:dyDescent="0.2">
      <c r="A2605" s="7"/>
      <c r="B2605" s="1407" t="str">
        <f t="shared" si="40"/>
        <v>Mauro D'arco</v>
      </c>
      <c r="C2605" s="1402" t="s">
        <v>14689</v>
      </c>
      <c r="D2605" s="1403" t="s">
        <v>3204</v>
      </c>
      <c r="E2605" s="1404" t="s">
        <v>5091</v>
      </c>
      <c r="F2605" s="1405" t="s">
        <v>5299</v>
      </c>
      <c r="G2605" s="1403" t="s">
        <v>7874</v>
      </c>
      <c r="H2605" s="1406" t="s">
        <v>1037</v>
      </c>
    </row>
    <row r="2606" spans="1:8" x14ac:dyDescent="0.2">
      <c r="A2606" s="7"/>
      <c r="B2606" s="1407" t="str">
        <f t="shared" si="40"/>
        <v>Pasquale Citrigno</v>
      </c>
      <c r="C2606" s="1402" t="s">
        <v>15370</v>
      </c>
      <c r="D2606" s="1403" t="s">
        <v>3548</v>
      </c>
      <c r="E2606" s="1404" t="s">
        <v>15371</v>
      </c>
      <c r="F2606" s="1405" t="s">
        <v>5300</v>
      </c>
      <c r="G2606" s="1403" t="s">
        <v>16490</v>
      </c>
      <c r="H2606" s="1406" t="s">
        <v>1037</v>
      </c>
    </row>
    <row r="2607" spans="1:8" x14ac:dyDescent="0.2">
      <c r="A2607" s="7"/>
      <c r="B2607" s="1407" t="str">
        <f t="shared" si="40"/>
        <v>Geremia Trinchese</v>
      </c>
      <c r="C2607" s="1402" t="s">
        <v>9949</v>
      </c>
      <c r="D2607" s="1403" t="s">
        <v>10065</v>
      </c>
      <c r="E2607" s="1404" t="s">
        <v>10125</v>
      </c>
      <c r="F2607" s="1405" t="s">
        <v>5299</v>
      </c>
      <c r="G2607" s="1403" t="s">
        <v>2749</v>
      </c>
      <c r="H2607" s="1406" t="s">
        <v>1037</v>
      </c>
    </row>
    <row r="2608" spans="1:8" x14ac:dyDescent="0.2">
      <c r="A2608" s="7"/>
      <c r="B2608" s="1407" t="str">
        <f t="shared" si="40"/>
        <v>Raffaele Di Vito</v>
      </c>
      <c r="C2608" s="1402" t="s">
        <v>6592</v>
      </c>
      <c r="D2608" s="1403" t="s">
        <v>3370</v>
      </c>
      <c r="E2608" s="1404" t="s">
        <v>5092</v>
      </c>
      <c r="F2608" s="1405" t="s">
        <v>5300</v>
      </c>
      <c r="G2608" s="1403" t="s">
        <v>2750</v>
      </c>
      <c r="H2608" s="1406" t="s">
        <v>1037</v>
      </c>
    </row>
    <row r="2609" spans="1:8" x14ac:dyDescent="0.2">
      <c r="A2609" s="7"/>
      <c r="B2609" s="1407" t="str">
        <f t="shared" si="40"/>
        <v>Luigi Di Vito</v>
      </c>
      <c r="C2609" s="1402" t="s">
        <v>6592</v>
      </c>
      <c r="D2609" s="1403" t="s">
        <v>3339</v>
      </c>
      <c r="E2609" s="1404" t="s">
        <v>5093</v>
      </c>
      <c r="F2609" s="1405" t="s">
        <v>5299</v>
      </c>
      <c r="G2609" s="1403" t="s">
        <v>2750</v>
      </c>
      <c r="H2609" s="1406" t="s">
        <v>1037</v>
      </c>
    </row>
    <row r="2610" spans="1:8" x14ac:dyDescent="0.2">
      <c r="A2610" s="7"/>
      <c r="B2610" s="1407" t="str">
        <f t="shared" si="40"/>
        <v>Marco Di Vito</v>
      </c>
      <c r="C2610" s="1402" t="s">
        <v>6592</v>
      </c>
      <c r="D2610" s="1403" t="s">
        <v>3109</v>
      </c>
      <c r="E2610" s="1404" t="s">
        <v>5094</v>
      </c>
      <c r="F2610" s="1405" t="s">
        <v>5299</v>
      </c>
      <c r="G2610" s="1403" t="s">
        <v>2750</v>
      </c>
      <c r="H2610" s="1406" t="s">
        <v>1037</v>
      </c>
    </row>
    <row r="2611" spans="1:8" x14ac:dyDescent="0.2">
      <c r="A2611" s="7"/>
      <c r="B2611" s="1407" t="str">
        <f t="shared" si="40"/>
        <v>Antonio Fucci</v>
      </c>
      <c r="C2611" s="1402" t="s">
        <v>6593</v>
      </c>
      <c r="D2611" s="1403" t="s">
        <v>3341</v>
      </c>
      <c r="E2611" s="1404" t="s">
        <v>5095</v>
      </c>
      <c r="F2611" s="1405" t="s">
        <v>5299</v>
      </c>
      <c r="G2611" s="1403" t="s">
        <v>2750</v>
      </c>
      <c r="H2611" s="1406" t="s">
        <v>1037</v>
      </c>
    </row>
    <row r="2612" spans="1:8" x14ac:dyDescent="0.2">
      <c r="A2612" s="7"/>
      <c r="B2612" s="1407" t="str">
        <f t="shared" si="40"/>
        <v>Alessandro Migliori</v>
      </c>
      <c r="C2612" s="1402" t="s">
        <v>6594</v>
      </c>
      <c r="D2612" s="1403" t="s">
        <v>3125</v>
      </c>
      <c r="E2612" s="1404" t="s">
        <v>5096</v>
      </c>
      <c r="F2612" s="1405" t="s">
        <v>5299</v>
      </c>
      <c r="G2612" s="1403" t="s">
        <v>2761</v>
      </c>
      <c r="H2612" s="1406" t="s">
        <v>1037</v>
      </c>
    </row>
    <row r="2613" spans="1:8" x14ac:dyDescent="0.2">
      <c r="A2613" s="7"/>
      <c r="B2613" s="1407" t="str">
        <f t="shared" si="40"/>
        <v>Luca Schiavi</v>
      </c>
      <c r="C2613" s="1402" t="s">
        <v>6595</v>
      </c>
      <c r="D2613" s="1403" t="s">
        <v>3198</v>
      </c>
      <c r="E2613" s="1404" t="s">
        <v>5097</v>
      </c>
      <c r="F2613" s="1405" t="s">
        <v>5299</v>
      </c>
      <c r="G2613" s="1403" t="s">
        <v>13312</v>
      </c>
      <c r="H2613" s="1406" t="s">
        <v>1037</v>
      </c>
    </row>
    <row r="2614" spans="1:8" x14ac:dyDescent="0.2">
      <c r="A2614" s="7"/>
      <c r="B2614" s="1407" t="str">
        <f t="shared" si="40"/>
        <v>Paolo Smaldone</v>
      </c>
      <c r="C2614" s="1402" t="s">
        <v>6596</v>
      </c>
      <c r="D2614" s="1403" t="s">
        <v>3119</v>
      </c>
      <c r="E2614" s="1404" t="s">
        <v>5098</v>
      </c>
      <c r="F2614" s="1405" t="s">
        <v>5300</v>
      </c>
      <c r="G2614" s="1403" t="s">
        <v>5311</v>
      </c>
      <c r="H2614" s="1406" t="s">
        <v>1037</v>
      </c>
    </row>
    <row r="2615" spans="1:8" x14ac:dyDescent="0.2">
      <c r="A2615" s="7"/>
      <c r="B2615" s="1407" t="str">
        <f t="shared" si="40"/>
        <v>Giovanni Frascarelli</v>
      </c>
      <c r="C2615" s="1402" t="s">
        <v>6597</v>
      </c>
      <c r="D2615" s="1403" t="s">
        <v>3371</v>
      </c>
      <c r="E2615" s="1404" t="s">
        <v>5099</v>
      </c>
      <c r="F2615" s="1405" t="s">
        <v>5300</v>
      </c>
      <c r="G2615" s="1403" t="s">
        <v>5311</v>
      </c>
      <c r="H2615" s="1406" t="s">
        <v>1037</v>
      </c>
    </row>
    <row r="2616" spans="1:8" x14ac:dyDescent="0.2">
      <c r="A2616" s="7"/>
      <c r="B2616" s="1407" t="str">
        <f t="shared" si="40"/>
        <v>Eduardo Erminione</v>
      </c>
      <c r="C2616" s="1402" t="s">
        <v>6599</v>
      </c>
      <c r="D2616" s="1403" t="s">
        <v>3711</v>
      </c>
      <c r="E2616" s="1404" t="s">
        <v>5100</v>
      </c>
      <c r="F2616" s="1405" t="s">
        <v>5299</v>
      </c>
      <c r="G2616" s="1403" t="s">
        <v>10271</v>
      </c>
      <c r="H2616" s="1406" t="s">
        <v>1037</v>
      </c>
    </row>
    <row r="2617" spans="1:8" x14ac:dyDescent="0.2">
      <c r="A2617" s="7"/>
      <c r="B2617" s="1407" t="str">
        <f t="shared" si="40"/>
        <v>Michele Giudice</v>
      </c>
      <c r="C2617" s="1402" t="s">
        <v>6600</v>
      </c>
      <c r="D2617" s="1403" t="s">
        <v>3216</v>
      </c>
      <c r="E2617" s="1404" t="s">
        <v>5101</v>
      </c>
      <c r="F2617" s="1405" t="s">
        <v>5300</v>
      </c>
      <c r="G2617" s="1403" t="s">
        <v>13477</v>
      </c>
      <c r="H2617" s="1406" t="s">
        <v>1037</v>
      </c>
    </row>
    <row r="2618" spans="1:8" x14ac:dyDescent="0.2">
      <c r="A2618" s="7"/>
      <c r="B2618" s="1407" t="str">
        <f t="shared" si="40"/>
        <v>Alan Bianchi</v>
      </c>
      <c r="C2618" s="1402" t="s">
        <v>6591</v>
      </c>
      <c r="D2618" s="1403" t="s">
        <v>3254</v>
      </c>
      <c r="E2618" s="1404" t="s">
        <v>5102</v>
      </c>
      <c r="F2618" s="1405" t="s">
        <v>5299</v>
      </c>
      <c r="G2618" s="1403" t="s">
        <v>2761</v>
      </c>
      <c r="H2618" s="1406" t="s">
        <v>1037</v>
      </c>
    </row>
    <row r="2619" spans="1:8" x14ac:dyDescent="0.2">
      <c r="A2619" s="7"/>
      <c r="B2619" s="1407" t="str">
        <f t="shared" si="40"/>
        <v>Alessandro Montanari</v>
      </c>
      <c r="C2619" s="1402" t="s">
        <v>6601</v>
      </c>
      <c r="D2619" s="1403" t="s">
        <v>3125</v>
      </c>
      <c r="E2619" s="1404" t="s">
        <v>5103</v>
      </c>
      <c r="F2619" s="1405" t="s">
        <v>5299</v>
      </c>
      <c r="G2619" s="1403" t="s">
        <v>15232</v>
      </c>
      <c r="H2619" s="1406" t="s">
        <v>1037</v>
      </c>
    </row>
    <row r="2620" spans="1:8" x14ac:dyDescent="0.2">
      <c r="A2620" s="7"/>
      <c r="B2620" s="1407" t="str">
        <f t="shared" si="40"/>
        <v>Pierpaolo Murabito</v>
      </c>
      <c r="C2620" s="1402" t="s">
        <v>15938</v>
      </c>
      <c r="D2620" s="1403" t="s">
        <v>3518</v>
      </c>
      <c r="E2620" s="1404" t="s">
        <v>15939</v>
      </c>
      <c r="F2620" s="1405" t="s">
        <v>5299</v>
      </c>
      <c r="G2620" s="1403" t="s">
        <v>15290</v>
      </c>
      <c r="H2620" s="1406" t="s">
        <v>1037</v>
      </c>
    </row>
    <row r="2621" spans="1:8" x14ac:dyDescent="0.2">
      <c r="A2621" s="7"/>
      <c r="B2621" s="1407" t="str">
        <f t="shared" si="40"/>
        <v>Leonardo Giudice</v>
      </c>
      <c r="C2621" s="1402" t="s">
        <v>6600</v>
      </c>
      <c r="D2621" s="1403" t="s">
        <v>3633</v>
      </c>
      <c r="E2621" s="1404" t="s">
        <v>5104</v>
      </c>
      <c r="F2621" s="1405" t="s">
        <v>5299</v>
      </c>
      <c r="G2621" s="1403" t="s">
        <v>13477</v>
      </c>
      <c r="H2621" s="1406" t="s">
        <v>1037</v>
      </c>
    </row>
    <row r="2622" spans="1:8" x14ac:dyDescent="0.2">
      <c r="A2622" s="7"/>
      <c r="B2622" s="1407" t="str">
        <f t="shared" si="40"/>
        <v>Bernardo Ricco</v>
      </c>
      <c r="C2622" s="1402" t="s">
        <v>6602</v>
      </c>
      <c r="D2622" s="1403" t="s">
        <v>3529</v>
      </c>
      <c r="E2622" s="1404" t="s">
        <v>5105</v>
      </c>
      <c r="F2622" s="1405" t="s">
        <v>5300</v>
      </c>
      <c r="G2622" s="1403" t="s">
        <v>14683</v>
      </c>
      <c r="H2622" s="1406" t="s">
        <v>1037</v>
      </c>
    </row>
    <row r="2623" spans="1:8" x14ac:dyDescent="0.2">
      <c r="A2623" s="7"/>
      <c r="B2623" s="1407" t="str">
        <f t="shared" si="40"/>
        <v>Santo Longo</v>
      </c>
      <c r="C2623" s="1402" t="s">
        <v>15821</v>
      </c>
      <c r="D2623" s="1403" t="s">
        <v>15822</v>
      </c>
      <c r="E2623" s="1404" t="s">
        <v>15823</v>
      </c>
      <c r="F2623" s="1405" t="s">
        <v>5300</v>
      </c>
      <c r="G2623" s="1403" t="s">
        <v>7872</v>
      </c>
      <c r="H2623" s="1406" t="s">
        <v>1037</v>
      </c>
    </row>
    <row r="2624" spans="1:8" x14ac:dyDescent="0.2">
      <c r="A2624" s="7"/>
      <c r="B2624" s="1407" t="str">
        <f t="shared" si="40"/>
        <v>Maurizio Seppia</v>
      </c>
      <c r="C2624" s="1402" t="s">
        <v>6603</v>
      </c>
      <c r="D2624" s="1403" t="s">
        <v>3148</v>
      </c>
      <c r="E2624" s="1404" t="s">
        <v>5106</v>
      </c>
      <c r="F2624" s="1405" t="s">
        <v>5299</v>
      </c>
      <c r="G2624" s="1403" t="s">
        <v>2900</v>
      </c>
      <c r="H2624" s="1406" t="s">
        <v>1037</v>
      </c>
    </row>
    <row r="2625" spans="1:8" x14ac:dyDescent="0.2">
      <c r="A2625" s="7"/>
      <c r="B2625" s="1407" t="str">
        <f t="shared" si="40"/>
        <v>Carlo Ciraolo</v>
      </c>
      <c r="C2625" s="1402" t="s">
        <v>6398</v>
      </c>
      <c r="D2625" s="1403" t="s">
        <v>3266</v>
      </c>
      <c r="E2625" s="1404" t="s">
        <v>5107</v>
      </c>
      <c r="F2625" s="1405" t="s">
        <v>5300</v>
      </c>
      <c r="G2625" s="1403" t="s">
        <v>2780</v>
      </c>
      <c r="H2625" s="1406" t="s">
        <v>1037</v>
      </c>
    </row>
    <row r="2626" spans="1:8" x14ac:dyDescent="0.2">
      <c r="A2626" s="7"/>
      <c r="B2626" s="1407" t="str">
        <f t="shared" si="40"/>
        <v>Giovanni Tonietti</v>
      </c>
      <c r="C2626" s="1402" t="s">
        <v>6604</v>
      </c>
      <c r="D2626" s="1403" t="s">
        <v>3371</v>
      </c>
      <c r="E2626" s="1404" t="s">
        <v>5108</v>
      </c>
      <c r="F2626" s="1405" t="s">
        <v>5300</v>
      </c>
      <c r="G2626" s="1403" t="s">
        <v>16490</v>
      </c>
      <c r="H2626" s="1406" t="s">
        <v>1037</v>
      </c>
    </row>
    <row r="2627" spans="1:8" x14ac:dyDescent="0.2">
      <c r="A2627" s="7"/>
      <c r="B2627" s="1407" t="str">
        <f t="shared" si="40"/>
        <v>Rosario Ifrigerio</v>
      </c>
      <c r="C2627" s="1402" t="s">
        <v>6605</v>
      </c>
      <c r="D2627" s="1403" t="s">
        <v>3509</v>
      </c>
      <c r="E2627" s="1404" t="s">
        <v>5109</v>
      </c>
      <c r="F2627" s="1405" t="s">
        <v>5300</v>
      </c>
      <c r="G2627" s="1403" t="s">
        <v>13593</v>
      </c>
      <c r="H2627" s="1406" t="s">
        <v>1037</v>
      </c>
    </row>
    <row r="2628" spans="1:8" x14ac:dyDescent="0.2">
      <c r="A2628" s="7"/>
      <c r="B2628" s="1407" t="str">
        <f t="shared" si="40"/>
        <v>Antonio Panizzari</v>
      </c>
      <c r="C2628" s="1402" t="s">
        <v>6606</v>
      </c>
      <c r="D2628" s="1403" t="s">
        <v>3341</v>
      </c>
      <c r="E2628" s="1404" t="s">
        <v>5110</v>
      </c>
      <c r="F2628" s="1405" t="s">
        <v>5300</v>
      </c>
      <c r="G2628" s="1403" t="s">
        <v>2787</v>
      </c>
      <c r="H2628" s="1406" t="s">
        <v>1037</v>
      </c>
    </row>
    <row r="2629" spans="1:8" x14ac:dyDescent="0.2">
      <c r="A2629" s="7"/>
      <c r="B2629" s="1407" t="str">
        <f t="shared" si="40"/>
        <v>Antonio Mastrangelo</v>
      </c>
      <c r="C2629" s="1402" t="s">
        <v>6607</v>
      </c>
      <c r="D2629" s="1403" t="s">
        <v>3341</v>
      </c>
      <c r="E2629" s="1404" t="s">
        <v>5111</v>
      </c>
      <c r="F2629" s="1405" t="s">
        <v>5300</v>
      </c>
      <c r="G2629" s="1403" t="s">
        <v>7878</v>
      </c>
      <c r="H2629" s="1406" t="s">
        <v>1037</v>
      </c>
    </row>
    <row r="2630" spans="1:8" x14ac:dyDescent="0.2">
      <c r="A2630" s="7"/>
      <c r="B2630" s="1407" t="str">
        <f t="shared" si="40"/>
        <v>Paolo Mariotto</v>
      </c>
      <c r="C2630" s="1402" t="s">
        <v>6608</v>
      </c>
      <c r="D2630" s="1403" t="s">
        <v>3119</v>
      </c>
      <c r="E2630" s="1404" t="s">
        <v>5112</v>
      </c>
      <c r="F2630" s="1405" t="s">
        <v>5300</v>
      </c>
      <c r="G2630" s="1403" t="s">
        <v>16488</v>
      </c>
      <c r="H2630" s="1406" t="s">
        <v>1037</v>
      </c>
    </row>
    <row r="2631" spans="1:8" x14ac:dyDescent="0.2">
      <c r="A2631" s="7"/>
      <c r="B2631" s="1407" t="str">
        <f t="shared" ref="B2631:B2694" si="41">TRIM(CONCATENATE(D2631," ",C2631))</f>
        <v>Antonio Crovetti</v>
      </c>
      <c r="C2631" s="1402" t="s">
        <v>6609</v>
      </c>
      <c r="D2631" s="1403" t="s">
        <v>3341</v>
      </c>
      <c r="E2631" s="1404" t="s">
        <v>5113</v>
      </c>
      <c r="F2631" s="1405" t="s">
        <v>5300</v>
      </c>
      <c r="G2631" s="1403" t="s">
        <v>2765</v>
      </c>
      <c r="H2631" s="1406" t="s">
        <v>1037</v>
      </c>
    </row>
    <row r="2632" spans="1:8" x14ac:dyDescent="0.2">
      <c r="A2632" s="7"/>
      <c r="B2632" s="1407" t="str">
        <f t="shared" si="41"/>
        <v>Pietro Troiani</v>
      </c>
      <c r="C2632" s="1402" t="s">
        <v>6610</v>
      </c>
      <c r="D2632" s="1403" t="s">
        <v>3233</v>
      </c>
      <c r="E2632" s="1404" t="s">
        <v>5114</v>
      </c>
      <c r="F2632" s="1405" t="s">
        <v>5299</v>
      </c>
      <c r="G2632" s="1403" t="s">
        <v>2761</v>
      </c>
      <c r="H2632" s="1406" t="s">
        <v>1037</v>
      </c>
    </row>
    <row r="2633" spans="1:8" x14ac:dyDescent="0.2">
      <c r="A2633" s="7"/>
      <c r="B2633" s="1407" t="str">
        <f t="shared" si="41"/>
        <v>Alessandro Amatelli</v>
      </c>
      <c r="C2633" s="1402" t="s">
        <v>6611</v>
      </c>
      <c r="D2633" s="1403" t="s">
        <v>3125</v>
      </c>
      <c r="E2633" s="1404" t="s">
        <v>5115</v>
      </c>
      <c r="F2633" s="1405" t="s">
        <v>5299</v>
      </c>
      <c r="G2633" s="1403" t="s">
        <v>11467</v>
      </c>
      <c r="H2633" s="1406" t="s">
        <v>1037</v>
      </c>
    </row>
    <row r="2634" spans="1:8" x14ac:dyDescent="0.2">
      <c r="A2634" s="7"/>
      <c r="B2634" s="1407" t="str">
        <f t="shared" si="41"/>
        <v>Alessandro Meneghetti (62)</v>
      </c>
      <c r="C2634" s="1402" t="s">
        <v>15901</v>
      </c>
      <c r="D2634" s="1403" t="s">
        <v>3125</v>
      </c>
      <c r="E2634" s="1404" t="s">
        <v>5116</v>
      </c>
      <c r="F2634" s="1405" t="s">
        <v>5300</v>
      </c>
      <c r="G2634" s="1403" t="s">
        <v>7878</v>
      </c>
      <c r="H2634" s="1406" t="s">
        <v>1037</v>
      </c>
    </row>
    <row r="2635" spans="1:8" x14ac:dyDescent="0.2">
      <c r="A2635" s="7"/>
      <c r="B2635" s="1407" t="str">
        <f t="shared" si="41"/>
        <v>Matteo Cherici</v>
      </c>
      <c r="C2635" s="1402" t="s">
        <v>8139</v>
      </c>
      <c r="D2635" s="1403" t="s">
        <v>3200</v>
      </c>
      <c r="E2635" s="1404" t="s">
        <v>5117</v>
      </c>
      <c r="F2635" s="1405" t="s">
        <v>5300</v>
      </c>
      <c r="G2635" s="1403" t="s">
        <v>2784</v>
      </c>
      <c r="H2635" s="1406" t="s">
        <v>1037</v>
      </c>
    </row>
    <row r="2636" spans="1:8" x14ac:dyDescent="0.2">
      <c r="A2636" s="7"/>
      <c r="B2636" s="1407" t="str">
        <f t="shared" si="41"/>
        <v>Michele Cortese</v>
      </c>
      <c r="C2636" s="1402" t="s">
        <v>6612</v>
      </c>
      <c r="D2636" s="1403" t="s">
        <v>3216</v>
      </c>
      <c r="E2636" s="1404" t="s">
        <v>5118</v>
      </c>
      <c r="F2636" s="1405" t="s">
        <v>5300</v>
      </c>
      <c r="G2636" s="1403" t="s">
        <v>14879</v>
      </c>
      <c r="H2636" s="1406" t="s">
        <v>1037</v>
      </c>
    </row>
    <row r="2637" spans="1:8" x14ac:dyDescent="0.2">
      <c r="A2637" s="7"/>
      <c r="B2637" s="1407" t="str">
        <f t="shared" si="41"/>
        <v>Armando Giuffrè</v>
      </c>
      <c r="C2637" s="1402" t="s">
        <v>6613</v>
      </c>
      <c r="D2637" s="1403" t="s">
        <v>6994</v>
      </c>
      <c r="E2637" s="1404" t="s">
        <v>5119</v>
      </c>
      <c r="F2637" s="1405" t="s">
        <v>5299</v>
      </c>
      <c r="G2637" s="1403" t="s">
        <v>13593</v>
      </c>
      <c r="H2637" s="1406" t="s">
        <v>1037</v>
      </c>
    </row>
    <row r="2638" spans="1:8" x14ac:dyDescent="0.2">
      <c r="A2638" s="7"/>
      <c r="B2638" s="1407" t="str">
        <f t="shared" si="41"/>
        <v>Riccardo Natoli</v>
      </c>
      <c r="C2638" s="1402" t="s">
        <v>6500</v>
      </c>
      <c r="D2638" s="1403" t="s">
        <v>3270</v>
      </c>
      <c r="E2638" s="1404" t="s">
        <v>5120</v>
      </c>
      <c r="F2638" s="1405" t="s">
        <v>5299</v>
      </c>
      <c r="G2638" s="1403" t="s">
        <v>13593</v>
      </c>
      <c r="H2638" s="1406" t="s">
        <v>1037</v>
      </c>
    </row>
    <row r="2639" spans="1:8" x14ac:dyDescent="0.2">
      <c r="A2639" s="7"/>
      <c r="B2639" s="1407" t="str">
        <f t="shared" si="41"/>
        <v>Salvatore Ghiselli</v>
      </c>
      <c r="C2639" s="1402" t="s">
        <v>6614</v>
      </c>
      <c r="D2639" s="1403" t="s">
        <v>3265</v>
      </c>
      <c r="E2639" s="1404" t="s">
        <v>5121</v>
      </c>
      <c r="F2639" s="1405" t="s">
        <v>5300</v>
      </c>
      <c r="G2639" s="1403" t="s">
        <v>2900</v>
      </c>
      <c r="H2639" s="1406" t="s">
        <v>1037</v>
      </c>
    </row>
    <row r="2640" spans="1:8" x14ac:dyDescent="0.2">
      <c r="A2640" s="7"/>
      <c r="B2640" s="1407" t="str">
        <f t="shared" si="41"/>
        <v>Cesare Friggeri</v>
      </c>
      <c r="C2640" s="1402" t="s">
        <v>17177</v>
      </c>
      <c r="D2640" s="1403" t="s">
        <v>3288</v>
      </c>
      <c r="E2640" s="1404" t="s">
        <v>17178</v>
      </c>
      <c r="F2640" s="1405" t="s">
        <v>5300</v>
      </c>
      <c r="G2640" s="1403" t="s">
        <v>2749</v>
      </c>
      <c r="H2640" s="1406" t="s">
        <v>1037</v>
      </c>
    </row>
    <row r="2641" spans="1:8" x14ac:dyDescent="0.2">
      <c r="A2641" s="7"/>
      <c r="B2641" s="1407" t="str">
        <f t="shared" si="41"/>
        <v>Vincenzo Riccio</v>
      </c>
      <c r="C2641" s="1402" t="s">
        <v>6529</v>
      </c>
      <c r="D2641" s="1403" t="s">
        <v>3163</v>
      </c>
      <c r="E2641" s="1404" t="s">
        <v>10900</v>
      </c>
      <c r="F2641" s="1405" t="s">
        <v>5300</v>
      </c>
      <c r="G2641" s="1403" t="s">
        <v>433</v>
      </c>
      <c r="H2641" s="1406" t="s">
        <v>1037</v>
      </c>
    </row>
    <row r="2642" spans="1:8" x14ac:dyDescent="0.2">
      <c r="A2642" s="7"/>
      <c r="B2642" s="1407" t="str">
        <f t="shared" si="41"/>
        <v>Stephano De Paoli</v>
      </c>
      <c r="C2642" s="1402" t="s">
        <v>13926</v>
      </c>
      <c r="D2642" s="1403" t="s">
        <v>13927</v>
      </c>
      <c r="E2642" s="1404" t="s">
        <v>13928</v>
      </c>
      <c r="F2642" s="1405" t="s">
        <v>5300</v>
      </c>
      <c r="G2642" s="1403" t="s">
        <v>5551</v>
      </c>
      <c r="H2642" s="1406" t="s">
        <v>1037</v>
      </c>
    </row>
    <row r="2643" spans="1:8" x14ac:dyDescent="0.2">
      <c r="A2643" s="7"/>
      <c r="B2643" s="1407" t="str">
        <f t="shared" si="41"/>
        <v>Luca Pezzuolo</v>
      </c>
      <c r="C2643" s="1402" t="s">
        <v>6615</v>
      </c>
      <c r="D2643" s="1403" t="s">
        <v>3198</v>
      </c>
      <c r="E2643" s="1404" t="s">
        <v>5122</v>
      </c>
      <c r="F2643" s="1405" t="s">
        <v>5300</v>
      </c>
      <c r="G2643" s="1403" t="s">
        <v>13312</v>
      </c>
      <c r="H2643" s="1406" t="s">
        <v>1037</v>
      </c>
    </row>
    <row r="2644" spans="1:8" x14ac:dyDescent="0.2">
      <c r="A2644" s="7"/>
      <c r="B2644" s="1407" t="str">
        <f t="shared" si="41"/>
        <v>Vittorio De Pascale</v>
      </c>
      <c r="C2644" s="1402" t="s">
        <v>8140</v>
      </c>
      <c r="D2644" s="1403" t="s">
        <v>3613</v>
      </c>
      <c r="E2644" s="1404" t="s">
        <v>5123</v>
      </c>
      <c r="F2644" s="1405" t="s">
        <v>5300</v>
      </c>
      <c r="G2644" s="1403" t="s">
        <v>13596</v>
      </c>
      <c r="H2644" s="1406" t="s">
        <v>1037</v>
      </c>
    </row>
    <row r="2645" spans="1:8" x14ac:dyDescent="0.2">
      <c r="A2645" s="7"/>
      <c r="B2645" s="1407" t="str">
        <f t="shared" si="41"/>
        <v>Davide Visani</v>
      </c>
      <c r="C2645" s="1402" t="s">
        <v>6616</v>
      </c>
      <c r="D2645" s="1403" t="s">
        <v>3329</v>
      </c>
      <c r="E2645" s="1404" t="s">
        <v>5124</v>
      </c>
      <c r="F2645" s="1405" t="s">
        <v>5299</v>
      </c>
      <c r="G2645" s="1403" t="s">
        <v>2784</v>
      </c>
      <c r="H2645" s="1406" t="s">
        <v>1037</v>
      </c>
    </row>
    <row r="2646" spans="1:8" x14ac:dyDescent="0.2">
      <c r="A2646" s="7"/>
      <c r="B2646" s="1407" t="str">
        <f t="shared" si="41"/>
        <v>William Dotto</v>
      </c>
      <c r="C2646" s="1402" t="s">
        <v>5970</v>
      </c>
      <c r="D2646" s="1403" t="s">
        <v>3236</v>
      </c>
      <c r="E2646" s="1404" t="s">
        <v>5125</v>
      </c>
      <c r="F2646" s="1405" t="s">
        <v>5300</v>
      </c>
      <c r="G2646" s="1403" t="s">
        <v>7870</v>
      </c>
      <c r="H2646" s="1406" t="s">
        <v>1037</v>
      </c>
    </row>
    <row r="2647" spans="1:8" x14ac:dyDescent="0.2">
      <c r="A2647" s="7"/>
      <c r="B2647" s="1407" t="str">
        <f t="shared" si="41"/>
        <v>Roberto Renaldini</v>
      </c>
      <c r="C2647" s="1402" t="s">
        <v>6617</v>
      </c>
      <c r="D2647" s="1403" t="s">
        <v>3279</v>
      </c>
      <c r="E2647" s="1404" t="s">
        <v>5126</v>
      </c>
      <c r="F2647" s="1405" t="s">
        <v>5300</v>
      </c>
      <c r="G2647" s="1403" t="s">
        <v>16843</v>
      </c>
      <c r="H2647" s="1406" t="s">
        <v>1037</v>
      </c>
    </row>
    <row r="2648" spans="1:8" x14ac:dyDescent="0.2">
      <c r="A2648" s="7"/>
      <c r="B2648" s="1407" t="str">
        <f t="shared" si="41"/>
        <v>Massimo Cotugno</v>
      </c>
      <c r="C2648" s="1402" t="s">
        <v>6619</v>
      </c>
      <c r="D2648" s="1403" t="s">
        <v>3013</v>
      </c>
      <c r="E2648" s="1404" t="s">
        <v>5127</v>
      </c>
      <c r="F2648" s="1405" t="s">
        <v>5300</v>
      </c>
      <c r="G2648" s="1403" t="s">
        <v>16897</v>
      </c>
      <c r="H2648" s="1406" t="s">
        <v>1037</v>
      </c>
    </row>
    <row r="2649" spans="1:8" x14ac:dyDescent="0.2">
      <c r="A2649" s="7"/>
      <c r="B2649" s="1407" t="str">
        <f t="shared" si="41"/>
        <v>Francesco Vezzuto</v>
      </c>
      <c r="C2649" s="1402" t="s">
        <v>6620</v>
      </c>
      <c r="D2649" s="1403" t="s">
        <v>3277</v>
      </c>
      <c r="E2649" s="1404" t="s">
        <v>5128</v>
      </c>
      <c r="F2649" s="1405" t="s">
        <v>5299</v>
      </c>
      <c r="G2649" s="1403" t="s">
        <v>2750</v>
      </c>
      <c r="H2649" s="1406" t="s">
        <v>1037</v>
      </c>
    </row>
    <row r="2650" spans="1:8" x14ac:dyDescent="0.2">
      <c r="A2650" s="7"/>
      <c r="B2650" s="1407" t="str">
        <f t="shared" si="41"/>
        <v>Pasquale Vezzuto</v>
      </c>
      <c r="C2650" s="1402" t="s">
        <v>6620</v>
      </c>
      <c r="D2650" s="1403" t="s">
        <v>3548</v>
      </c>
      <c r="E2650" s="1404" t="s">
        <v>5129</v>
      </c>
      <c r="F2650" s="1405" t="s">
        <v>5300</v>
      </c>
      <c r="G2650" s="1403" t="s">
        <v>2750</v>
      </c>
      <c r="H2650" s="1406" t="s">
        <v>1037</v>
      </c>
    </row>
    <row r="2651" spans="1:8" x14ac:dyDescent="0.2">
      <c r="A2651" s="7"/>
      <c r="B2651" s="1407" t="str">
        <f t="shared" si="41"/>
        <v>Marco Macino</v>
      </c>
      <c r="C2651" s="1402" t="s">
        <v>6621</v>
      </c>
      <c r="D2651" s="1403" t="s">
        <v>3109</v>
      </c>
      <c r="E2651" s="1404" t="s">
        <v>5130</v>
      </c>
      <c r="F2651" s="1405" t="s">
        <v>5299</v>
      </c>
      <c r="G2651" s="1403" t="s">
        <v>2773</v>
      </c>
      <c r="H2651" s="1406" t="s">
        <v>1037</v>
      </c>
    </row>
    <row r="2652" spans="1:8" x14ac:dyDescent="0.2">
      <c r="A2652" s="7"/>
      <c r="B2652" s="1407" t="str">
        <f t="shared" si="41"/>
        <v>Gianluca Buono</v>
      </c>
      <c r="C2652" s="1402" t="s">
        <v>6376</v>
      </c>
      <c r="D2652" s="1403" t="s">
        <v>3369</v>
      </c>
      <c r="E2652" s="1404" t="s">
        <v>5131</v>
      </c>
      <c r="F2652" s="1405" t="s">
        <v>5299</v>
      </c>
      <c r="G2652" s="1403" t="s">
        <v>10270</v>
      </c>
      <c r="H2652" s="1406" t="s">
        <v>1037</v>
      </c>
    </row>
    <row r="2653" spans="1:8" x14ac:dyDescent="0.2">
      <c r="A2653" s="7"/>
      <c r="B2653" s="1407" t="str">
        <f t="shared" si="41"/>
        <v>Nicola Poggiali</v>
      </c>
      <c r="C2653" s="1402" t="s">
        <v>6622</v>
      </c>
      <c r="D2653" s="1403" t="s">
        <v>3191</v>
      </c>
      <c r="E2653" s="1404" t="s">
        <v>5132</v>
      </c>
      <c r="F2653" s="1405" t="s">
        <v>5300</v>
      </c>
      <c r="G2653" s="1403" t="s">
        <v>15288</v>
      </c>
      <c r="H2653" s="1406" t="s">
        <v>1037</v>
      </c>
    </row>
    <row r="2654" spans="1:8" x14ac:dyDescent="0.2">
      <c r="A2654" s="7"/>
      <c r="B2654" s="1407" t="str">
        <f t="shared" si="41"/>
        <v>Letizia Santoni</v>
      </c>
      <c r="C2654" s="1402" t="s">
        <v>6623</v>
      </c>
      <c r="D2654" s="1403" t="s">
        <v>5724</v>
      </c>
      <c r="E2654" s="1404" t="s">
        <v>5133</v>
      </c>
      <c r="F2654" s="1405" t="s">
        <v>5300</v>
      </c>
      <c r="G2654" s="1403" t="s">
        <v>2784</v>
      </c>
      <c r="H2654" s="1406" t="s">
        <v>1037</v>
      </c>
    </row>
    <row r="2655" spans="1:8" x14ac:dyDescent="0.2">
      <c r="A2655" s="7"/>
      <c r="B2655" s="1407" t="str">
        <f t="shared" si="41"/>
        <v>Massimo Novi</v>
      </c>
      <c r="C2655" s="1402" t="s">
        <v>6624</v>
      </c>
      <c r="D2655" s="1403" t="s">
        <v>3013</v>
      </c>
      <c r="E2655" s="1404" t="s">
        <v>5134</v>
      </c>
      <c r="F2655" s="1405" t="s">
        <v>5300</v>
      </c>
      <c r="G2655" s="1403" t="s">
        <v>2750</v>
      </c>
      <c r="H2655" s="1406" t="s">
        <v>1037</v>
      </c>
    </row>
    <row r="2656" spans="1:8" x14ac:dyDescent="0.2">
      <c r="A2656" s="7"/>
      <c r="B2656" s="1407" t="str">
        <f t="shared" si="41"/>
        <v>Pietro Previti</v>
      </c>
      <c r="C2656" s="1402" t="s">
        <v>6628</v>
      </c>
      <c r="D2656" s="1403" t="s">
        <v>3233</v>
      </c>
      <c r="E2656" s="1404" t="s">
        <v>5135</v>
      </c>
      <c r="F2656" s="1405" t="s">
        <v>5300</v>
      </c>
      <c r="G2656" s="1403" t="s">
        <v>16897</v>
      </c>
      <c r="H2656" s="1406" t="s">
        <v>1037</v>
      </c>
    </row>
    <row r="2657" spans="1:8" x14ac:dyDescent="0.2">
      <c r="A2657" s="7"/>
      <c r="B2657" s="1407" t="str">
        <f t="shared" si="41"/>
        <v>Alfredo Lubrano</v>
      </c>
      <c r="C2657" s="1402" t="s">
        <v>6630</v>
      </c>
      <c r="D2657" s="1403" t="s">
        <v>3587</v>
      </c>
      <c r="E2657" s="1404" t="s">
        <v>5136</v>
      </c>
      <c r="F2657" s="1405" t="s">
        <v>5300</v>
      </c>
      <c r="G2657" s="1403" t="s">
        <v>11329</v>
      </c>
      <c r="H2657" s="1406" t="s">
        <v>1037</v>
      </c>
    </row>
    <row r="2658" spans="1:8" x14ac:dyDescent="0.2">
      <c r="A2658" s="7"/>
      <c r="B2658" s="1407" t="str">
        <f t="shared" si="41"/>
        <v>Alessandro Vegni</v>
      </c>
      <c r="C2658" s="1402" t="s">
        <v>13929</v>
      </c>
      <c r="D2658" s="1403" t="s">
        <v>3125</v>
      </c>
      <c r="E2658" s="1404" t="s">
        <v>13930</v>
      </c>
      <c r="F2658" s="1405" t="s">
        <v>5300</v>
      </c>
      <c r="G2658" s="1403" t="s">
        <v>11325</v>
      </c>
      <c r="H2658" s="1406" t="s">
        <v>1037</v>
      </c>
    </row>
    <row r="2659" spans="1:8" x14ac:dyDescent="0.2">
      <c r="A2659" s="7"/>
      <c r="B2659" s="1407" t="str">
        <f t="shared" si="41"/>
        <v>Francesco Caruso</v>
      </c>
      <c r="C2659" s="1402" t="s">
        <v>6631</v>
      </c>
      <c r="D2659" s="1403" t="s">
        <v>3277</v>
      </c>
      <c r="E2659" s="1404" t="s">
        <v>5137</v>
      </c>
      <c r="F2659" s="1405" t="s">
        <v>5299</v>
      </c>
      <c r="G2659" s="1403" t="s">
        <v>16897</v>
      </c>
      <c r="H2659" s="1406" t="s">
        <v>1037</v>
      </c>
    </row>
    <row r="2660" spans="1:8" x14ac:dyDescent="0.2">
      <c r="A2660" s="7"/>
      <c r="B2660" s="1407" t="str">
        <f t="shared" si="41"/>
        <v>Massimo Mura</v>
      </c>
      <c r="C2660" s="1402" t="s">
        <v>6627</v>
      </c>
      <c r="D2660" s="1403" t="s">
        <v>3013</v>
      </c>
      <c r="E2660" s="1404" t="s">
        <v>5138</v>
      </c>
      <c r="F2660" s="1405" t="s">
        <v>5300</v>
      </c>
      <c r="G2660" s="1403" t="s">
        <v>5551</v>
      </c>
      <c r="H2660" s="1406" t="s">
        <v>1037</v>
      </c>
    </row>
    <row r="2661" spans="1:8" x14ac:dyDescent="0.2">
      <c r="A2661" s="7"/>
      <c r="B2661" s="1407" t="str">
        <f t="shared" si="41"/>
        <v>Andrea Zanetti</v>
      </c>
      <c r="C2661" s="1402" t="s">
        <v>6587</v>
      </c>
      <c r="D2661" s="1403" t="s">
        <v>3027</v>
      </c>
      <c r="E2661" s="1404" t="s">
        <v>5139</v>
      </c>
      <c r="F2661" s="1405" t="s">
        <v>5299</v>
      </c>
      <c r="G2661" s="1403" t="s">
        <v>7870</v>
      </c>
      <c r="H2661" s="1406" t="s">
        <v>1037</v>
      </c>
    </row>
    <row r="2662" spans="1:8" x14ac:dyDescent="0.2">
      <c r="A2662" s="7"/>
      <c r="B2662" s="1407" t="str">
        <f t="shared" si="41"/>
        <v>Sebastian Di Gennaro</v>
      </c>
      <c r="C2662" s="1402" t="s">
        <v>6421</v>
      </c>
      <c r="D2662" s="1403" t="s">
        <v>3478</v>
      </c>
      <c r="E2662" s="1404" t="s">
        <v>5140</v>
      </c>
      <c r="F2662" s="1405" t="s">
        <v>5299</v>
      </c>
      <c r="G2662" s="1403" t="s">
        <v>7873</v>
      </c>
      <c r="H2662" s="1406" t="s">
        <v>1037</v>
      </c>
    </row>
    <row r="2663" spans="1:8" x14ac:dyDescent="0.2">
      <c r="A2663" s="7"/>
      <c r="B2663" s="1407" t="str">
        <f t="shared" si="41"/>
        <v>Salvatore Currò</v>
      </c>
      <c r="C2663" s="1402" t="s">
        <v>6634</v>
      </c>
      <c r="D2663" s="1403" t="s">
        <v>3265</v>
      </c>
      <c r="E2663" s="1404" t="s">
        <v>5141</v>
      </c>
      <c r="F2663" s="1405" t="s">
        <v>5300</v>
      </c>
      <c r="G2663" s="1403" t="s">
        <v>13593</v>
      </c>
      <c r="H2663" s="1406" t="s">
        <v>1037</v>
      </c>
    </row>
    <row r="2664" spans="1:8" x14ac:dyDescent="0.2">
      <c r="A2664" s="7"/>
      <c r="B2664" s="1407" t="str">
        <f t="shared" si="41"/>
        <v>Biagio Amata</v>
      </c>
      <c r="C2664" s="1402" t="s">
        <v>6635</v>
      </c>
      <c r="D2664" s="1403" t="s">
        <v>5630</v>
      </c>
      <c r="E2664" s="1404" t="s">
        <v>5142</v>
      </c>
      <c r="F2664" s="1405" t="s">
        <v>5300</v>
      </c>
      <c r="G2664" s="1403" t="s">
        <v>13593</v>
      </c>
      <c r="H2664" s="1406" t="s">
        <v>1037</v>
      </c>
    </row>
    <row r="2665" spans="1:8" x14ac:dyDescent="0.2">
      <c r="A2665" s="7"/>
      <c r="B2665" s="1407" t="str">
        <f t="shared" si="41"/>
        <v>Giovanni Maria Moro</v>
      </c>
      <c r="C2665" s="1402" t="s">
        <v>6636</v>
      </c>
      <c r="D2665" s="1403" t="s">
        <v>3357</v>
      </c>
      <c r="E2665" s="1404" t="s">
        <v>5143</v>
      </c>
      <c r="F2665" s="1405" t="s">
        <v>5300</v>
      </c>
      <c r="G2665" s="1403" t="s">
        <v>2901</v>
      </c>
      <c r="H2665" s="1406" t="s">
        <v>1037</v>
      </c>
    </row>
    <row r="2666" spans="1:8" x14ac:dyDescent="0.2">
      <c r="A2666" s="7"/>
      <c r="B2666" s="1407" t="str">
        <f t="shared" si="41"/>
        <v>Rocco Morganelli</v>
      </c>
      <c r="C2666" s="1402" t="s">
        <v>6637</v>
      </c>
      <c r="D2666" s="1403" t="s">
        <v>5640</v>
      </c>
      <c r="E2666" s="1404" t="s">
        <v>5144</v>
      </c>
      <c r="F2666" s="1405" t="s">
        <v>5299</v>
      </c>
      <c r="G2666" s="1403" t="s">
        <v>2780</v>
      </c>
      <c r="H2666" s="1406" t="s">
        <v>1037</v>
      </c>
    </row>
    <row r="2667" spans="1:8" x14ac:dyDescent="0.2">
      <c r="A2667" s="7"/>
      <c r="B2667" s="1407" t="str">
        <f t="shared" si="41"/>
        <v>Gianluigi Camerlingo</v>
      </c>
      <c r="C2667" s="1402" t="s">
        <v>6638</v>
      </c>
      <c r="D2667" s="1403" t="s">
        <v>7003</v>
      </c>
      <c r="E2667" s="1404" t="s">
        <v>5145</v>
      </c>
      <c r="F2667" s="1405" t="s">
        <v>5299</v>
      </c>
      <c r="G2667" s="1403" t="s">
        <v>2776</v>
      </c>
      <c r="H2667" s="1406" t="s">
        <v>1037</v>
      </c>
    </row>
    <row r="2668" spans="1:8" x14ac:dyDescent="0.2">
      <c r="A2668" s="7"/>
      <c r="B2668" s="1407" t="str">
        <f t="shared" si="41"/>
        <v>Antonio Corso</v>
      </c>
      <c r="C2668" s="1402" t="s">
        <v>6408</v>
      </c>
      <c r="D2668" s="1403" t="s">
        <v>3341</v>
      </c>
      <c r="E2668" s="1404" t="s">
        <v>5146</v>
      </c>
      <c r="F2668" s="1405" t="s">
        <v>5300</v>
      </c>
      <c r="G2668" s="1403" t="s">
        <v>10270</v>
      </c>
      <c r="H2668" s="1406" t="s">
        <v>1037</v>
      </c>
    </row>
    <row r="2669" spans="1:8" x14ac:dyDescent="0.2">
      <c r="A2669" s="7"/>
      <c r="B2669" s="1407" t="str">
        <f t="shared" si="41"/>
        <v>Giuseppe Ferro</v>
      </c>
      <c r="C2669" s="1402" t="s">
        <v>6639</v>
      </c>
      <c r="D2669" s="1403" t="s">
        <v>3122</v>
      </c>
      <c r="E2669" s="1404" t="s">
        <v>5147</v>
      </c>
      <c r="F2669" s="1405" t="s">
        <v>5299</v>
      </c>
      <c r="G2669" s="1403" t="s">
        <v>10268</v>
      </c>
      <c r="H2669" s="1406" t="s">
        <v>1037</v>
      </c>
    </row>
    <row r="2670" spans="1:8" x14ac:dyDescent="0.2">
      <c r="A2670" s="7"/>
      <c r="B2670" s="1407" t="str">
        <f t="shared" si="41"/>
        <v>Antonio Chieppa</v>
      </c>
      <c r="C2670" s="1402" t="s">
        <v>6640</v>
      </c>
      <c r="D2670" s="1403" t="s">
        <v>3341</v>
      </c>
      <c r="E2670" s="1404" t="s">
        <v>11400</v>
      </c>
      <c r="F2670" s="1405" t="s">
        <v>5300</v>
      </c>
      <c r="G2670" s="1403" t="s">
        <v>10272</v>
      </c>
      <c r="H2670" s="1406" t="s">
        <v>1037</v>
      </c>
    </row>
    <row r="2671" spans="1:8" x14ac:dyDescent="0.2">
      <c r="A2671" s="7"/>
      <c r="B2671" s="1407" t="str">
        <f t="shared" si="41"/>
        <v>Adriano Iobbi</v>
      </c>
      <c r="C2671" s="1402" t="s">
        <v>11363</v>
      </c>
      <c r="D2671" s="1403" t="s">
        <v>3342</v>
      </c>
      <c r="E2671" s="1404" t="s">
        <v>11401</v>
      </c>
      <c r="F2671" s="1405" t="s">
        <v>5300</v>
      </c>
      <c r="G2671" s="1403" t="s">
        <v>10272</v>
      </c>
      <c r="H2671" s="1406" t="s">
        <v>1037</v>
      </c>
    </row>
    <row r="2672" spans="1:8" x14ac:dyDescent="0.2">
      <c r="A2672" s="7"/>
      <c r="B2672" s="1407" t="str">
        <f t="shared" si="41"/>
        <v>Roberto Manzella</v>
      </c>
      <c r="C2672" s="1402" t="s">
        <v>6641</v>
      </c>
      <c r="D2672" s="1403" t="s">
        <v>3279</v>
      </c>
      <c r="E2672" s="1404" t="s">
        <v>13931</v>
      </c>
      <c r="F2672" s="1405" t="s">
        <v>5299</v>
      </c>
      <c r="G2672" s="1403" t="s">
        <v>16490</v>
      </c>
      <c r="H2672" s="1406" t="s">
        <v>1037</v>
      </c>
    </row>
    <row r="2673" spans="1:8" x14ac:dyDescent="0.2">
      <c r="A2673" s="7"/>
      <c r="B2673" s="1407" t="str">
        <f t="shared" si="41"/>
        <v>Riccardo Chieppa</v>
      </c>
      <c r="C2673" s="1402" t="s">
        <v>6640</v>
      </c>
      <c r="D2673" s="1403" t="s">
        <v>3270</v>
      </c>
      <c r="E2673" s="1404" t="s">
        <v>15360</v>
      </c>
      <c r="F2673" s="1405" t="s">
        <v>5299</v>
      </c>
      <c r="G2673" s="1403" t="s">
        <v>10272</v>
      </c>
      <c r="H2673" s="1406" t="s">
        <v>1037</v>
      </c>
    </row>
    <row r="2674" spans="1:8" x14ac:dyDescent="0.2">
      <c r="A2674" s="7"/>
      <c r="B2674" s="1407" t="str">
        <f t="shared" si="41"/>
        <v>Simone Di Pierro</v>
      </c>
      <c r="C2674" s="1402" t="s">
        <v>6422</v>
      </c>
      <c r="D2674" s="1403" t="s">
        <v>3158</v>
      </c>
      <c r="E2674" s="1404" t="s">
        <v>7112</v>
      </c>
      <c r="F2674" s="1405" t="s">
        <v>5300</v>
      </c>
      <c r="G2674" s="1403" t="s">
        <v>15293</v>
      </c>
      <c r="H2674" s="1406" t="s">
        <v>1037</v>
      </c>
    </row>
    <row r="2675" spans="1:8" x14ac:dyDescent="0.2">
      <c r="A2675" s="7"/>
      <c r="B2675" s="1407" t="str">
        <f t="shared" si="41"/>
        <v>Saverio Ferrante</v>
      </c>
      <c r="C2675" s="1402" t="s">
        <v>6433</v>
      </c>
      <c r="D2675" s="1403" t="s">
        <v>3006</v>
      </c>
      <c r="E2675" s="1404" t="s">
        <v>7113</v>
      </c>
      <c r="F2675" s="1405" t="s">
        <v>5300</v>
      </c>
      <c r="G2675" s="1403" t="s">
        <v>433</v>
      </c>
      <c r="H2675" s="1406" t="s">
        <v>1037</v>
      </c>
    </row>
    <row r="2676" spans="1:8" x14ac:dyDescent="0.2">
      <c r="A2676" s="7"/>
      <c r="B2676" s="1407" t="str">
        <f t="shared" si="41"/>
        <v>Patrizio Lazzaretti</v>
      </c>
      <c r="C2676" s="1402" t="s">
        <v>6466</v>
      </c>
      <c r="D2676" s="1403" t="s">
        <v>6995</v>
      </c>
      <c r="E2676" s="1404" t="s">
        <v>7114</v>
      </c>
      <c r="F2676" s="1405" t="s">
        <v>5300</v>
      </c>
      <c r="G2676" s="1403" t="s">
        <v>2777</v>
      </c>
      <c r="H2676" s="1406" t="s">
        <v>1037</v>
      </c>
    </row>
    <row r="2677" spans="1:8" x14ac:dyDescent="0.2">
      <c r="A2677" s="7"/>
      <c r="B2677" s="1407" t="str">
        <f t="shared" si="41"/>
        <v>Dino Gasparetto</v>
      </c>
      <c r="C2677" s="1402" t="s">
        <v>6642</v>
      </c>
      <c r="D2677" s="1403" t="s">
        <v>3713</v>
      </c>
      <c r="E2677" s="1404" t="s">
        <v>7115</v>
      </c>
      <c r="F2677" s="1405" t="s">
        <v>5299</v>
      </c>
      <c r="G2677" s="1403" t="s">
        <v>7873</v>
      </c>
      <c r="H2677" s="1406" t="s">
        <v>1037</v>
      </c>
    </row>
    <row r="2678" spans="1:8" x14ac:dyDescent="0.2">
      <c r="A2678" s="7"/>
      <c r="B2678" s="1407" t="str">
        <f t="shared" si="41"/>
        <v>Nico Landi</v>
      </c>
      <c r="C2678" s="1402" t="s">
        <v>6643</v>
      </c>
      <c r="D2678" s="1403" t="s">
        <v>3556</v>
      </c>
      <c r="E2678" s="1404" t="s">
        <v>7116</v>
      </c>
      <c r="F2678" s="1405" t="s">
        <v>5300</v>
      </c>
      <c r="G2678" s="1403" t="s">
        <v>7873</v>
      </c>
      <c r="H2678" s="1406" t="s">
        <v>1037</v>
      </c>
    </row>
    <row r="2679" spans="1:8" x14ac:dyDescent="0.2">
      <c r="A2679" s="7"/>
      <c r="B2679" s="1407" t="str">
        <f t="shared" si="41"/>
        <v>Daniele Lopresto</v>
      </c>
      <c r="C2679" s="1402" t="s">
        <v>8141</v>
      </c>
      <c r="D2679" s="1403" t="s">
        <v>3022</v>
      </c>
      <c r="E2679" s="1404" t="s">
        <v>7117</v>
      </c>
      <c r="F2679" s="1405" t="s">
        <v>5300</v>
      </c>
      <c r="G2679" s="1403" t="s">
        <v>15245</v>
      </c>
      <c r="H2679" s="1406" t="s">
        <v>1037</v>
      </c>
    </row>
    <row r="2680" spans="1:8" x14ac:dyDescent="0.2">
      <c r="A2680" s="7"/>
      <c r="B2680" s="1407" t="str">
        <f t="shared" si="41"/>
        <v>Franco Grimaldi</v>
      </c>
      <c r="C2680" s="1402" t="s">
        <v>6644</v>
      </c>
      <c r="D2680" s="1403" t="s">
        <v>5778</v>
      </c>
      <c r="E2680" s="1404" t="s">
        <v>7118</v>
      </c>
      <c r="F2680" s="1405" t="s">
        <v>5299</v>
      </c>
      <c r="G2680" s="1403" t="s">
        <v>2787</v>
      </c>
      <c r="H2680" s="1406" t="s">
        <v>1037</v>
      </c>
    </row>
    <row r="2681" spans="1:8" x14ac:dyDescent="0.2">
      <c r="A2681" s="7"/>
      <c r="B2681" s="1407" t="str">
        <f t="shared" si="41"/>
        <v>Gianfranco Iazzetta</v>
      </c>
      <c r="C2681" s="1402" t="s">
        <v>15684</v>
      </c>
      <c r="D2681" s="1403" t="s">
        <v>3107</v>
      </c>
      <c r="E2681" s="1404" t="s">
        <v>15685</v>
      </c>
      <c r="F2681" s="1405" t="s">
        <v>5300</v>
      </c>
      <c r="G2681" s="1403" t="s">
        <v>2750</v>
      </c>
      <c r="H2681" s="1406" t="s">
        <v>1037</v>
      </c>
    </row>
    <row r="2682" spans="1:8" x14ac:dyDescent="0.2">
      <c r="A2682" s="7"/>
      <c r="B2682" s="1407" t="str">
        <f t="shared" si="41"/>
        <v>Arturo Azzaro</v>
      </c>
      <c r="C2682" s="1402" t="s">
        <v>6645</v>
      </c>
      <c r="D2682" s="1403" t="s">
        <v>3253</v>
      </c>
      <c r="E2682" s="1404" t="s">
        <v>7119</v>
      </c>
      <c r="F2682" s="1405" t="s">
        <v>5300</v>
      </c>
      <c r="G2682" s="1403" t="s">
        <v>2787</v>
      </c>
      <c r="H2682" s="1406" t="s">
        <v>1037</v>
      </c>
    </row>
    <row r="2683" spans="1:8" x14ac:dyDescent="0.2">
      <c r="A2683" s="7"/>
      <c r="B2683" s="1407" t="str">
        <f t="shared" si="41"/>
        <v>Ermanno Marchetti</v>
      </c>
      <c r="C2683" s="1402" t="s">
        <v>9950</v>
      </c>
      <c r="D2683" s="1403" t="s">
        <v>7005</v>
      </c>
      <c r="E2683" s="1404" t="s">
        <v>10126</v>
      </c>
      <c r="F2683" s="1405" t="s">
        <v>5300</v>
      </c>
      <c r="G2683" s="1403" t="s">
        <v>2759</v>
      </c>
      <c r="H2683" s="1406" t="s">
        <v>1037</v>
      </c>
    </row>
    <row r="2684" spans="1:8" x14ac:dyDescent="0.2">
      <c r="A2684" s="7"/>
      <c r="B2684" s="1407" t="str">
        <f t="shared" si="41"/>
        <v>Antonio La Torre</v>
      </c>
      <c r="C2684" s="1402" t="s">
        <v>6462</v>
      </c>
      <c r="D2684" s="1403" t="s">
        <v>3341</v>
      </c>
      <c r="E2684" s="1404" t="s">
        <v>7120</v>
      </c>
      <c r="F2684" s="1405" t="s">
        <v>5299</v>
      </c>
      <c r="G2684" s="1403" t="s">
        <v>14879</v>
      </c>
      <c r="H2684" s="1406" t="s">
        <v>1037</v>
      </c>
    </row>
    <row r="2685" spans="1:8" x14ac:dyDescent="0.2">
      <c r="A2685" s="7"/>
      <c r="B2685" s="1407" t="str">
        <f t="shared" si="41"/>
        <v>Mirco Marinari</v>
      </c>
      <c r="C2685" s="1402" t="s">
        <v>6647</v>
      </c>
      <c r="D2685" s="1403" t="s">
        <v>3636</v>
      </c>
      <c r="E2685" s="1404" t="s">
        <v>7121</v>
      </c>
      <c r="F2685" s="1405" t="s">
        <v>5299</v>
      </c>
      <c r="G2685" s="1403" t="s">
        <v>11328</v>
      </c>
      <c r="H2685" s="1406" t="s">
        <v>1037</v>
      </c>
    </row>
    <row r="2686" spans="1:8" x14ac:dyDescent="0.2">
      <c r="A2686" s="7"/>
      <c r="B2686" s="1407" t="str">
        <f t="shared" si="41"/>
        <v>Stefano Corazza</v>
      </c>
      <c r="C2686" s="1402" t="s">
        <v>6406</v>
      </c>
      <c r="D2686" s="1403" t="s">
        <v>3062</v>
      </c>
      <c r="E2686" s="1404" t="s">
        <v>7122</v>
      </c>
      <c r="F2686" s="1405" t="s">
        <v>5299</v>
      </c>
      <c r="G2686" s="1403" t="s">
        <v>13312</v>
      </c>
      <c r="H2686" s="1406" t="s">
        <v>1037</v>
      </c>
    </row>
    <row r="2687" spans="1:8" x14ac:dyDescent="0.2">
      <c r="A2687" s="7"/>
      <c r="B2687" s="1407" t="str">
        <f t="shared" si="41"/>
        <v>Massimo Balestrieri</v>
      </c>
      <c r="C2687" s="1402" t="s">
        <v>6352</v>
      </c>
      <c r="D2687" s="1403" t="s">
        <v>3013</v>
      </c>
      <c r="E2687" s="1404" t="s">
        <v>7123</v>
      </c>
      <c r="F2687" s="1405" t="s">
        <v>5300</v>
      </c>
      <c r="G2687" s="1403" t="s">
        <v>17179</v>
      </c>
      <c r="H2687" s="1406" t="s">
        <v>1037</v>
      </c>
    </row>
    <row r="2688" spans="1:8" x14ac:dyDescent="0.2">
      <c r="A2688" s="7"/>
      <c r="B2688" s="1407" t="str">
        <f t="shared" si="41"/>
        <v>Andrea Bolognino</v>
      </c>
      <c r="C2688" s="1402" t="s">
        <v>6370</v>
      </c>
      <c r="D2688" s="1403" t="s">
        <v>3027</v>
      </c>
      <c r="E2688" s="1404" t="s">
        <v>7124</v>
      </c>
      <c r="F2688" s="1405" t="s">
        <v>5299</v>
      </c>
      <c r="G2688" s="1403" t="s">
        <v>2750</v>
      </c>
      <c r="H2688" s="1406" t="s">
        <v>1037</v>
      </c>
    </row>
    <row r="2689" spans="1:8" x14ac:dyDescent="0.2">
      <c r="A2689" s="7"/>
      <c r="B2689" s="1407" t="str">
        <f t="shared" si="41"/>
        <v>Alfredo Palmieri</v>
      </c>
      <c r="C2689" s="1402" t="s">
        <v>6506</v>
      </c>
      <c r="D2689" s="1403" t="s">
        <v>3587</v>
      </c>
      <c r="E2689" s="1404" t="s">
        <v>7125</v>
      </c>
      <c r="F2689" s="1405" t="s">
        <v>5300</v>
      </c>
      <c r="G2689" s="1403" t="s">
        <v>2750</v>
      </c>
      <c r="H2689" s="1406" t="s">
        <v>1037</v>
      </c>
    </row>
    <row r="2690" spans="1:8" x14ac:dyDescent="0.2">
      <c r="A2690" s="7"/>
      <c r="B2690" s="1407" t="str">
        <f t="shared" si="41"/>
        <v>Davide Disma</v>
      </c>
      <c r="C2690" s="1402" t="s">
        <v>6648</v>
      </c>
      <c r="D2690" s="1403" t="s">
        <v>3329</v>
      </c>
      <c r="E2690" s="1404" t="s">
        <v>7126</v>
      </c>
      <c r="F2690" s="1405" t="s">
        <v>5299</v>
      </c>
      <c r="G2690" s="1403" t="s">
        <v>15290</v>
      </c>
      <c r="H2690" s="1406" t="s">
        <v>1037</v>
      </c>
    </row>
    <row r="2691" spans="1:8" x14ac:dyDescent="0.2">
      <c r="A2691" s="7"/>
      <c r="B2691" s="1407" t="str">
        <f t="shared" si="41"/>
        <v>Fabrizio Guastella</v>
      </c>
      <c r="C2691" s="1402" t="s">
        <v>6649</v>
      </c>
      <c r="D2691" s="1403" t="s">
        <v>3087</v>
      </c>
      <c r="E2691" s="1404" t="s">
        <v>7127</v>
      </c>
      <c r="F2691" s="1405" t="s">
        <v>5299</v>
      </c>
      <c r="G2691" s="1403" t="s">
        <v>15290</v>
      </c>
      <c r="H2691" s="1406" t="s">
        <v>1037</v>
      </c>
    </row>
    <row r="2692" spans="1:8" x14ac:dyDescent="0.2">
      <c r="A2692" s="7"/>
      <c r="B2692" s="1407" t="str">
        <f t="shared" si="41"/>
        <v>Andrea Palazzolo</v>
      </c>
      <c r="C2692" s="1402" t="s">
        <v>6650</v>
      </c>
      <c r="D2692" s="1403" t="s">
        <v>3027</v>
      </c>
      <c r="E2692" s="1404" t="s">
        <v>7128</v>
      </c>
      <c r="F2692" s="1405" t="s">
        <v>5299</v>
      </c>
      <c r="G2692" s="1403" t="s">
        <v>5551</v>
      </c>
      <c r="H2692" s="1406" t="s">
        <v>1037</v>
      </c>
    </row>
    <row r="2693" spans="1:8" x14ac:dyDescent="0.2">
      <c r="A2693" s="7"/>
      <c r="B2693" s="1407" t="str">
        <f t="shared" si="41"/>
        <v>Luigi Romano</v>
      </c>
      <c r="C2693" s="1402" t="s">
        <v>6531</v>
      </c>
      <c r="D2693" s="1403" t="s">
        <v>3339</v>
      </c>
      <c r="E2693" s="1404" t="s">
        <v>7129</v>
      </c>
      <c r="F2693" s="1405" t="s">
        <v>5299</v>
      </c>
      <c r="G2693" s="1403" t="s">
        <v>5551</v>
      </c>
      <c r="H2693" s="1406" t="s">
        <v>1037</v>
      </c>
    </row>
    <row r="2694" spans="1:8" x14ac:dyDescent="0.2">
      <c r="A2694" s="7"/>
      <c r="B2694" s="1407" t="str">
        <f t="shared" si="41"/>
        <v>Ismaele Caurla</v>
      </c>
      <c r="C2694" s="1402" t="s">
        <v>6651</v>
      </c>
      <c r="D2694" s="1403" t="s">
        <v>5616</v>
      </c>
      <c r="E2694" s="1404" t="s">
        <v>7130</v>
      </c>
      <c r="F2694" s="1405" t="s">
        <v>5299</v>
      </c>
      <c r="G2694" s="1403" t="s">
        <v>5551</v>
      </c>
      <c r="H2694" s="1406" t="s">
        <v>1037</v>
      </c>
    </row>
    <row r="2695" spans="1:8" x14ac:dyDescent="0.2">
      <c r="A2695" s="7"/>
      <c r="B2695" s="1407" t="str">
        <f t="shared" ref="B2695:B2758" si="42">TRIM(CONCATENATE(D2695," ",C2695))</f>
        <v>Fabrizio Lay</v>
      </c>
      <c r="C2695" s="1402" t="s">
        <v>6652</v>
      </c>
      <c r="D2695" s="1403" t="s">
        <v>3087</v>
      </c>
      <c r="E2695" s="1404" t="s">
        <v>7131</v>
      </c>
      <c r="F2695" s="1405" t="s">
        <v>5300</v>
      </c>
      <c r="G2695" s="1403" t="s">
        <v>2901</v>
      </c>
      <c r="H2695" s="1406" t="s">
        <v>1037</v>
      </c>
    </row>
    <row r="2696" spans="1:8" x14ac:dyDescent="0.2">
      <c r="A2696" s="7"/>
      <c r="B2696" s="1407" t="str">
        <f t="shared" si="42"/>
        <v>Corrado Farina</v>
      </c>
      <c r="C2696" s="1402" t="s">
        <v>10857</v>
      </c>
      <c r="D2696" s="1403" t="s">
        <v>3620</v>
      </c>
      <c r="E2696" s="1404" t="s">
        <v>11128</v>
      </c>
      <c r="F2696" s="1405" t="s">
        <v>5300</v>
      </c>
      <c r="G2696" s="1403" t="s">
        <v>10292</v>
      </c>
      <c r="H2696" s="1406" t="s">
        <v>1037</v>
      </c>
    </row>
    <row r="2697" spans="1:8" x14ac:dyDescent="0.2">
      <c r="A2697" s="7"/>
      <c r="B2697" s="1407" t="str">
        <f t="shared" si="42"/>
        <v>Andrea Anselmi</v>
      </c>
      <c r="C2697" s="1402" t="s">
        <v>15165</v>
      </c>
      <c r="D2697" s="1403" t="s">
        <v>3027</v>
      </c>
      <c r="E2697" s="1404" t="s">
        <v>15166</v>
      </c>
      <c r="F2697" s="1405" t="s">
        <v>5300</v>
      </c>
      <c r="G2697" s="1403" t="s">
        <v>2761</v>
      </c>
      <c r="H2697" s="1406" t="s">
        <v>1037</v>
      </c>
    </row>
    <row r="2698" spans="1:8" x14ac:dyDescent="0.2">
      <c r="A2698" s="7"/>
      <c r="B2698" s="1407" t="str">
        <f t="shared" si="42"/>
        <v>Daniele Corti</v>
      </c>
      <c r="C2698" s="1402" t="s">
        <v>9951</v>
      </c>
      <c r="D2698" s="1403" t="s">
        <v>3022</v>
      </c>
      <c r="E2698" s="1404" t="s">
        <v>10127</v>
      </c>
      <c r="F2698" s="1405" t="s">
        <v>5300</v>
      </c>
      <c r="G2698" s="1403" t="s">
        <v>15288</v>
      </c>
      <c r="H2698" s="1406" t="s">
        <v>1037</v>
      </c>
    </row>
    <row r="2699" spans="1:8" x14ac:dyDescent="0.2">
      <c r="A2699" s="7"/>
      <c r="B2699" s="1407" t="str">
        <f t="shared" si="42"/>
        <v>Enrico Tosi</v>
      </c>
      <c r="C2699" s="1402" t="s">
        <v>9952</v>
      </c>
      <c r="D2699" s="1403" t="s">
        <v>3132</v>
      </c>
      <c r="E2699" s="1404" t="s">
        <v>10128</v>
      </c>
      <c r="F2699" s="1405" t="s">
        <v>5300</v>
      </c>
      <c r="G2699" s="1403" t="s">
        <v>11329</v>
      </c>
      <c r="H2699" s="1406" t="s">
        <v>1037</v>
      </c>
    </row>
    <row r="2700" spans="1:8" x14ac:dyDescent="0.2">
      <c r="A2700" s="7"/>
      <c r="B2700" s="1407" t="str">
        <f t="shared" si="42"/>
        <v>Giorgio Giudice</v>
      </c>
      <c r="C2700" s="1402" t="s">
        <v>6600</v>
      </c>
      <c r="D2700" s="1403" t="s">
        <v>3643</v>
      </c>
      <c r="E2700" s="1404" t="s">
        <v>7132</v>
      </c>
      <c r="F2700" s="1405" t="s">
        <v>13210</v>
      </c>
      <c r="G2700" s="1403" t="s">
        <v>13477</v>
      </c>
      <c r="H2700" s="1406" t="s">
        <v>1037</v>
      </c>
    </row>
    <row r="2701" spans="1:8" x14ac:dyDescent="0.2">
      <c r="A2701" s="7"/>
      <c r="B2701" s="1407" t="str">
        <f t="shared" si="42"/>
        <v>Marco Trevisan</v>
      </c>
      <c r="C2701" s="1402" t="s">
        <v>6653</v>
      </c>
      <c r="D2701" s="1403" t="s">
        <v>3109</v>
      </c>
      <c r="E2701" s="1404" t="s">
        <v>7133</v>
      </c>
      <c r="F2701" s="1405" t="s">
        <v>5300</v>
      </c>
      <c r="G2701" s="1403" t="s">
        <v>2784</v>
      </c>
      <c r="H2701" s="1406" t="s">
        <v>1037</v>
      </c>
    </row>
    <row r="2702" spans="1:8" x14ac:dyDescent="0.2">
      <c r="A2702" s="7"/>
      <c r="B2702" s="1407" t="str">
        <f t="shared" si="42"/>
        <v>Gianpaolo Vitulano</v>
      </c>
      <c r="C2702" s="1402" t="s">
        <v>7352</v>
      </c>
      <c r="D2702" s="1403" t="s">
        <v>5536</v>
      </c>
      <c r="E2702" s="1404" t="s">
        <v>10901</v>
      </c>
      <c r="F2702" s="1405" t="s">
        <v>5299</v>
      </c>
      <c r="G2702" s="1403" t="s">
        <v>7874</v>
      </c>
      <c r="H2702" s="1406" t="s">
        <v>1037</v>
      </c>
    </row>
    <row r="2703" spans="1:8" x14ac:dyDescent="0.2">
      <c r="A2703" s="7"/>
      <c r="B2703" s="1407" t="str">
        <f t="shared" si="42"/>
        <v>Luca Signorelli</v>
      </c>
      <c r="C2703" s="1402" t="s">
        <v>7164</v>
      </c>
      <c r="D2703" s="1403" t="s">
        <v>3198</v>
      </c>
      <c r="E2703" s="1404" t="s">
        <v>7176</v>
      </c>
      <c r="F2703" s="1405" t="s">
        <v>5300</v>
      </c>
      <c r="G2703" s="1403" t="s">
        <v>7880</v>
      </c>
      <c r="H2703" s="1406" t="s">
        <v>1037</v>
      </c>
    </row>
    <row r="2704" spans="1:8" x14ac:dyDescent="0.2">
      <c r="A2704" s="7"/>
      <c r="B2704" s="1407" t="str">
        <f t="shared" si="42"/>
        <v>Francesco Paolini</v>
      </c>
      <c r="C2704" s="1402" t="s">
        <v>7165</v>
      </c>
      <c r="D2704" s="1403" t="s">
        <v>3277</v>
      </c>
      <c r="E2704" s="1404" t="s">
        <v>7177</v>
      </c>
      <c r="F2704" s="1405" t="s">
        <v>5300</v>
      </c>
      <c r="G2704" s="1403" t="s">
        <v>10272</v>
      </c>
      <c r="H2704" s="1406" t="s">
        <v>1037</v>
      </c>
    </row>
    <row r="2705" spans="1:8" x14ac:dyDescent="0.2">
      <c r="A2705" s="7"/>
      <c r="B2705" s="1407" t="str">
        <f t="shared" si="42"/>
        <v>Aldo Gentileschi</v>
      </c>
      <c r="C2705" s="1402" t="s">
        <v>7166</v>
      </c>
      <c r="D2705" s="1403" t="s">
        <v>3642</v>
      </c>
      <c r="E2705" s="1404" t="s">
        <v>7178</v>
      </c>
      <c r="F2705" s="1405" t="s">
        <v>5300</v>
      </c>
      <c r="G2705" s="1403" t="s">
        <v>2782</v>
      </c>
      <c r="H2705" s="1406" t="s">
        <v>1037</v>
      </c>
    </row>
    <row r="2706" spans="1:8" x14ac:dyDescent="0.2">
      <c r="A2706" s="7"/>
      <c r="B2706" s="1407" t="str">
        <f t="shared" si="42"/>
        <v>Raffaele Converti</v>
      </c>
      <c r="C2706" s="1402" t="s">
        <v>7167</v>
      </c>
      <c r="D2706" s="1403" t="s">
        <v>3370</v>
      </c>
      <c r="E2706" s="1404" t="s">
        <v>7179</v>
      </c>
      <c r="F2706" s="1405" t="s">
        <v>5300</v>
      </c>
      <c r="G2706" s="1403" t="s">
        <v>2901</v>
      </c>
      <c r="H2706" s="1406" t="s">
        <v>1037</v>
      </c>
    </row>
    <row r="2707" spans="1:8" x14ac:dyDescent="0.2">
      <c r="A2707" s="7"/>
      <c r="B2707" s="1407" t="str">
        <f t="shared" si="42"/>
        <v>Giampaolo Milei</v>
      </c>
      <c r="C2707" s="1402" t="s">
        <v>7419</v>
      </c>
      <c r="D2707" s="1403" t="s">
        <v>7474</v>
      </c>
      <c r="E2707" s="1404" t="s">
        <v>7588</v>
      </c>
      <c r="F2707" s="1405" t="s">
        <v>5299</v>
      </c>
      <c r="G2707" s="1403" t="s">
        <v>11325</v>
      </c>
      <c r="H2707" s="1406" t="s">
        <v>1037</v>
      </c>
    </row>
    <row r="2708" spans="1:8" x14ac:dyDescent="0.2">
      <c r="A2708" s="7"/>
      <c r="B2708" s="1407" t="str">
        <f t="shared" si="42"/>
        <v>Pierluigi Signoretti</v>
      </c>
      <c r="C2708" s="1402" t="s">
        <v>7420</v>
      </c>
      <c r="D2708" s="1403" t="s">
        <v>3549</v>
      </c>
      <c r="E2708" s="1404" t="s">
        <v>7589</v>
      </c>
      <c r="F2708" s="1405" t="s">
        <v>5299</v>
      </c>
      <c r="G2708" s="1403" t="s">
        <v>11325</v>
      </c>
      <c r="H2708" s="1406" t="s">
        <v>1037</v>
      </c>
    </row>
    <row r="2709" spans="1:8" x14ac:dyDescent="0.2">
      <c r="A2709" s="7"/>
      <c r="B2709" s="1407" t="str">
        <f t="shared" si="42"/>
        <v>Luca Varricchio</v>
      </c>
      <c r="C2709" s="1402" t="s">
        <v>8142</v>
      </c>
      <c r="D2709" s="1403" t="s">
        <v>3198</v>
      </c>
      <c r="E2709" s="1404" t="s">
        <v>7590</v>
      </c>
      <c r="F2709" s="1405" t="s">
        <v>5300</v>
      </c>
      <c r="G2709" s="1403" t="s">
        <v>2786</v>
      </c>
      <c r="H2709" s="1406" t="s">
        <v>1037</v>
      </c>
    </row>
    <row r="2710" spans="1:8" x14ac:dyDescent="0.2">
      <c r="A2710" s="7"/>
      <c r="B2710" s="1407" t="str">
        <f t="shared" si="42"/>
        <v>Filippo Filippella</v>
      </c>
      <c r="C2710" s="1402" t="s">
        <v>7422</v>
      </c>
      <c r="D2710" s="1403" t="s">
        <v>3340</v>
      </c>
      <c r="E2710" s="1404" t="s">
        <v>7591</v>
      </c>
      <c r="F2710" s="1405" t="s">
        <v>5300</v>
      </c>
      <c r="G2710" s="1403" t="s">
        <v>14683</v>
      </c>
      <c r="H2710" s="1406" t="s">
        <v>1037</v>
      </c>
    </row>
    <row r="2711" spans="1:8" x14ac:dyDescent="0.2">
      <c r="A2711" s="7"/>
      <c r="B2711" s="1407" t="str">
        <f t="shared" si="42"/>
        <v>Gaetano Giudice</v>
      </c>
      <c r="C2711" s="1402" t="s">
        <v>6600</v>
      </c>
      <c r="D2711" s="1403" t="s">
        <v>3100</v>
      </c>
      <c r="E2711" s="1404" t="s">
        <v>7592</v>
      </c>
      <c r="F2711" s="1405" t="s">
        <v>5300</v>
      </c>
      <c r="G2711" s="1403" t="s">
        <v>13477</v>
      </c>
      <c r="H2711" s="1406" t="s">
        <v>1037</v>
      </c>
    </row>
    <row r="2712" spans="1:8" x14ac:dyDescent="0.2">
      <c r="A2712" s="7"/>
      <c r="B2712" s="1407" t="str">
        <f t="shared" si="42"/>
        <v>Francesco Tozzi</v>
      </c>
      <c r="C2712" s="1402" t="s">
        <v>7423</v>
      </c>
      <c r="D2712" s="1403" t="s">
        <v>3277</v>
      </c>
      <c r="E2712" s="1404" t="s">
        <v>7593</v>
      </c>
      <c r="F2712" s="1405" t="s">
        <v>13210</v>
      </c>
      <c r="G2712" s="1403" t="s">
        <v>13477</v>
      </c>
      <c r="H2712" s="1406" t="s">
        <v>1037</v>
      </c>
    </row>
    <row r="2713" spans="1:8" x14ac:dyDescent="0.2">
      <c r="A2713" s="7"/>
      <c r="B2713" s="1407" t="str">
        <f t="shared" si="42"/>
        <v>Alessio Colasanti</v>
      </c>
      <c r="C2713" s="1402" t="s">
        <v>7424</v>
      </c>
      <c r="D2713" s="1403" t="s">
        <v>3550</v>
      </c>
      <c r="E2713" s="1404" t="s">
        <v>7594</v>
      </c>
      <c r="F2713" s="1405" t="s">
        <v>5299</v>
      </c>
      <c r="G2713" s="1403" t="s">
        <v>15245</v>
      </c>
      <c r="H2713" s="1406" t="s">
        <v>1037</v>
      </c>
    </row>
    <row r="2714" spans="1:8" x14ac:dyDescent="0.2">
      <c r="A2714" s="7"/>
      <c r="B2714" s="1407" t="str">
        <f t="shared" si="42"/>
        <v>Luigi Grillo</v>
      </c>
      <c r="C2714" s="1402" t="s">
        <v>6626</v>
      </c>
      <c r="D2714" s="1403" t="s">
        <v>3339</v>
      </c>
      <c r="E2714" s="1404" t="s">
        <v>7595</v>
      </c>
      <c r="F2714" s="1405" t="s">
        <v>5300</v>
      </c>
      <c r="G2714" s="1403" t="s">
        <v>10271</v>
      </c>
      <c r="H2714" s="1406" t="s">
        <v>1037</v>
      </c>
    </row>
    <row r="2715" spans="1:8" x14ac:dyDescent="0.2">
      <c r="A2715" s="7"/>
      <c r="B2715" s="1407" t="str">
        <f t="shared" si="42"/>
        <v>Vittorio Cribari</v>
      </c>
      <c r="C2715" s="1402" t="s">
        <v>7425</v>
      </c>
      <c r="D2715" s="1403" t="s">
        <v>3613</v>
      </c>
      <c r="E2715" s="1404" t="s">
        <v>7596</v>
      </c>
      <c r="F2715" s="1405" t="s">
        <v>5299</v>
      </c>
      <c r="G2715" s="1403" t="s">
        <v>10271</v>
      </c>
      <c r="H2715" s="1406" t="s">
        <v>1037</v>
      </c>
    </row>
    <row r="2716" spans="1:8" x14ac:dyDescent="0.2">
      <c r="A2716" s="7"/>
      <c r="B2716" s="1407" t="str">
        <f t="shared" si="42"/>
        <v>Vincenzo Manica</v>
      </c>
      <c r="C2716" s="1402" t="s">
        <v>7426</v>
      </c>
      <c r="D2716" s="1403" t="s">
        <v>3163</v>
      </c>
      <c r="E2716" s="1404" t="s">
        <v>7597</v>
      </c>
      <c r="F2716" s="1405" t="s">
        <v>5300</v>
      </c>
      <c r="G2716" s="1403" t="s">
        <v>11326</v>
      </c>
      <c r="H2716" s="1406" t="s">
        <v>1037</v>
      </c>
    </row>
    <row r="2717" spans="1:8" x14ac:dyDescent="0.2">
      <c r="A2717" s="7"/>
      <c r="B2717" s="1407" t="str">
        <f t="shared" si="42"/>
        <v>Antonino Fontana</v>
      </c>
      <c r="C2717" s="1402" t="s">
        <v>5947</v>
      </c>
      <c r="D2717" s="1403" t="s">
        <v>6997</v>
      </c>
      <c r="E2717" s="1404" t="s">
        <v>7598</v>
      </c>
      <c r="F2717" s="1405" t="s">
        <v>5299</v>
      </c>
      <c r="G2717" s="1403" t="s">
        <v>10270</v>
      </c>
      <c r="H2717" s="1406" t="s">
        <v>1037</v>
      </c>
    </row>
    <row r="2718" spans="1:8" x14ac:dyDescent="0.2">
      <c r="A2718" s="7"/>
      <c r="B2718" s="1407" t="str">
        <f t="shared" si="42"/>
        <v>Guido Cerullo</v>
      </c>
      <c r="C2718" s="1402" t="s">
        <v>6393</v>
      </c>
      <c r="D2718" s="1403" t="s">
        <v>6996</v>
      </c>
      <c r="E2718" s="1404" t="s">
        <v>7599</v>
      </c>
      <c r="F2718" s="1405" t="s">
        <v>5299</v>
      </c>
      <c r="G2718" s="1403" t="s">
        <v>2773</v>
      </c>
      <c r="H2718" s="1406" t="s">
        <v>1037</v>
      </c>
    </row>
    <row r="2719" spans="1:8" x14ac:dyDescent="0.2">
      <c r="A2719" s="7"/>
      <c r="B2719" s="1407" t="str">
        <f t="shared" si="42"/>
        <v>Pierluigi Bevilacqua</v>
      </c>
      <c r="C2719" s="1402" t="s">
        <v>6598</v>
      </c>
      <c r="D2719" s="1403" t="s">
        <v>3549</v>
      </c>
      <c r="E2719" s="1404" t="s">
        <v>7600</v>
      </c>
      <c r="F2719" s="1405" t="s">
        <v>5300</v>
      </c>
      <c r="G2719" s="1403" t="s">
        <v>5551</v>
      </c>
      <c r="H2719" s="1406" t="s">
        <v>1037</v>
      </c>
    </row>
    <row r="2720" spans="1:8" x14ac:dyDescent="0.2">
      <c r="A2720" s="7"/>
      <c r="B2720" s="1407" t="str">
        <f t="shared" si="42"/>
        <v>Stefano Barducci</v>
      </c>
      <c r="C2720" s="1402" t="s">
        <v>7429</v>
      </c>
      <c r="D2720" s="1403" t="s">
        <v>3062</v>
      </c>
      <c r="E2720" s="1404" t="s">
        <v>7601</v>
      </c>
      <c r="F2720" s="1405" t="s">
        <v>5299</v>
      </c>
      <c r="G2720" s="1403" t="s">
        <v>2784</v>
      </c>
      <c r="H2720" s="1406" t="s">
        <v>1037</v>
      </c>
    </row>
    <row r="2721" spans="1:8" x14ac:dyDescent="0.2">
      <c r="A2721" s="7"/>
      <c r="B2721" s="1407" t="str">
        <f t="shared" si="42"/>
        <v>Salvatore Riggio</v>
      </c>
      <c r="C2721" s="1402" t="s">
        <v>7430</v>
      </c>
      <c r="D2721" s="1403" t="s">
        <v>3265</v>
      </c>
      <c r="E2721" s="1404" t="s">
        <v>7602</v>
      </c>
      <c r="F2721" s="1405" t="s">
        <v>5299</v>
      </c>
      <c r="G2721" s="1403" t="s">
        <v>13593</v>
      </c>
      <c r="H2721" s="1406" t="s">
        <v>1037</v>
      </c>
    </row>
    <row r="2722" spans="1:8" x14ac:dyDescent="0.2">
      <c r="A2722" s="7"/>
      <c r="B2722" s="1407" t="str">
        <f t="shared" si="42"/>
        <v>Enrico Mondo</v>
      </c>
      <c r="C2722" s="1402" t="s">
        <v>7431</v>
      </c>
      <c r="D2722" s="1403" t="s">
        <v>3132</v>
      </c>
      <c r="E2722" s="1404" t="s">
        <v>7603</v>
      </c>
      <c r="F2722" s="1405" t="s">
        <v>5299</v>
      </c>
      <c r="G2722" s="1403" t="s">
        <v>10269</v>
      </c>
      <c r="H2722" s="1406" t="s">
        <v>1037</v>
      </c>
    </row>
    <row r="2723" spans="1:8" x14ac:dyDescent="0.2">
      <c r="A2723" s="7"/>
      <c r="B2723" s="1407" t="str">
        <f t="shared" si="42"/>
        <v>Andrea De Giosa</v>
      </c>
      <c r="C2723" s="1402" t="s">
        <v>9953</v>
      </c>
      <c r="D2723" s="1403" t="s">
        <v>3027</v>
      </c>
      <c r="E2723" s="1404" t="s">
        <v>10129</v>
      </c>
      <c r="F2723" s="1405" t="s">
        <v>5299</v>
      </c>
      <c r="G2723" s="1403" t="s">
        <v>10274</v>
      </c>
      <c r="H2723" s="1406" t="s">
        <v>1037</v>
      </c>
    </row>
    <row r="2724" spans="1:8" x14ac:dyDescent="0.2">
      <c r="A2724" s="7"/>
      <c r="B2724" s="1407" t="str">
        <f t="shared" si="42"/>
        <v>Giuseppe Triggiani</v>
      </c>
      <c r="C2724" s="1402" t="s">
        <v>13932</v>
      </c>
      <c r="D2724" s="1403" t="s">
        <v>3122</v>
      </c>
      <c r="E2724" s="1404" t="s">
        <v>13933</v>
      </c>
      <c r="F2724" s="1405" t="s">
        <v>5300</v>
      </c>
      <c r="G2724" s="1403" t="s">
        <v>15245</v>
      </c>
      <c r="H2724" s="1406" t="s">
        <v>1037</v>
      </c>
    </row>
    <row r="2725" spans="1:8" x14ac:dyDescent="0.2">
      <c r="A2725" s="7"/>
      <c r="B2725" s="1407" t="str">
        <f t="shared" si="42"/>
        <v>Luigi Quaranta</v>
      </c>
      <c r="C2725" s="1402" t="s">
        <v>9954</v>
      </c>
      <c r="D2725" s="1403" t="s">
        <v>3339</v>
      </c>
      <c r="E2725" s="1404" t="s">
        <v>10130</v>
      </c>
      <c r="F2725" s="1405" t="s">
        <v>5300</v>
      </c>
      <c r="G2725" s="1403" t="s">
        <v>10274</v>
      </c>
      <c r="H2725" s="1406" t="s">
        <v>1037</v>
      </c>
    </row>
    <row r="2726" spans="1:8" x14ac:dyDescent="0.2">
      <c r="A2726" s="7"/>
      <c r="B2726" s="1407" t="str">
        <f t="shared" si="42"/>
        <v>Vittorio Giummo</v>
      </c>
      <c r="C2726" s="1402" t="s">
        <v>7433</v>
      </c>
      <c r="D2726" s="1403" t="s">
        <v>3613</v>
      </c>
      <c r="E2726" s="1404" t="s">
        <v>7604</v>
      </c>
      <c r="F2726" s="1405" t="s">
        <v>5300</v>
      </c>
      <c r="G2726" s="1403" t="s">
        <v>11326</v>
      </c>
      <c r="H2726" s="1406" t="s">
        <v>1037</v>
      </c>
    </row>
    <row r="2727" spans="1:8" x14ac:dyDescent="0.2">
      <c r="A2727" s="7"/>
      <c r="B2727" s="1407" t="str">
        <f t="shared" si="42"/>
        <v>Sandro Vasapollo</v>
      </c>
      <c r="C2727" s="1402" t="s">
        <v>7435</v>
      </c>
      <c r="D2727" s="1403" t="s">
        <v>6999</v>
      </c>
      <c r="E2727" s="1404" t="s">
        <v>7605</v>
      </c>
      <c r="F2727" s="1405" t="s">
        <v>5300</v>
      </c>
      <c r="G2727" s="1403" t="s">
        <v>11326</v>
      </c>
      <c r="H2727" s="1406" t="s">
        <v>1037</v>
      </c>
    </row>
    <row r="2728" spans="1:8" x14ac:dyDescent="0.2">
      <c r="A2728" s="7"/>
      <c r="B2728" s="1407" t="str">
        <f t="shared" si="42"/>
        <v>Paolo Talarico</v>
      </c>
      <c r="C2728" s="1402" t="s">
        <v>7436</v>
      </c>
      <c r="D2728" s="1403" t="s">
        <v>3119</v>
      </c>
      <c r="E2728" s="1404" t="s">
        <v>7606</v>
      </c>
      <c r="F2728" s="1405" t="s">
        <v>5300</v>
      </c>
      <c r="G2728" s="1403" t="s">
        <v>11326</v>
      </c>
      <c r="H2728" s="1406" t="s">
        <v>1037</v>
      </c>
    </row>
    <row r="2729" spans="1:8" x14ac:dyDescent="0.2">
      <c r="A2729" s="7"/>
      <c r="B2729" s="1407" t="str">
        <f t="shared" si="42"/>
        <v>Alfredo Priamo</v>
      </c>
      <c r="C2729" s="1402" t="s">
        <v>7437</v>
      </c>
      <c r="D2729" s="1403" t="s">
        <v>3587</v>
      </c>
      <c r="E2729" s="1404" t="s">
        <v>13934</v>
      </c>
      <c r="F2729" s="1405" t="s">
        <v>5300</v>
      </c>
      <c r="G2729" s="1403" t="s">
        <v>11326</v>
      </c>
      <c r="H2729" s="1406" t="s">
        <v>1037</v>
      </c>
    </row>
    <row r="2730" spans="1:8" x14ac:dyDescent="0.2">
      <c r="A2730" s="7"/>
      <c r="B2730" s="1407" t="str">
        <f t="shared" si="42"/>
        <v>Francesco Borgo</v>
      </c>
      <c r="C2730" s="1402" t="s">
        <v>6372</v>
      </c>
      <c r="D2730" s="1403" t="s">
        <v>3277</v>
      </c>
      <c r="E2730" s="1404" t="s">
        <v>7607</v>
      </c>
      <c r="F2730" s="1405" t="s">
        <v>13210</v>
      </c>
      <c r="G2730" s="1403" t="s">
        <v>11467</v>
      </c>
      <c r="H2730" s="1406" t="s">
        <v>1037</v>
      </c>
    </row>
    <row r="2731" spans="1:8" x14ac:dyDescent="0.2">
      <c r="A2731" s="7"/>
      <c r="B2731" s="1407" t="str">
        <f t="shared" si="42"/>
        <v>Christian Fricano</v>
      </c>
      <c r="C2731" s="1402" t="s">
        <v>7438</v>
      </c>
      <c r="D2731" s="1403" t="s">
        <v>3063</v>
      </c>
      <c r="E2731" s="1404" t="s">
        <v>7608</v>
      </c>
      <c r="F2731" s="1405" t="s">
        <v>13210</v>
      </c>
      <c r="G2731" s="1403" t="s">
        <v>11467</v>
      </c>
      <c r="H2731" s="1406" t="s">
        <v>1037</v>
      </c>
    </row>
    <row r="2732" spans="1:8" x14ac:dyDescent="0.2">
      <c r="A2732" s="7"/>
      <c r="B2732" s="1407" t="str">
        <f t="shared" si="42"/>
        <v>Ermanno Junior Fioretti</v>
      </c>
      <c r="C2732" s="1402" t="s">
        <v>15547</v>
      </c>
      <c r="D2732" s="1403" t="s">
        <v>15548</v>
      </c>
      <c r="E2732" s="1404" t="s">
        <v>15549</v>
      </c>
      <c r="F2732" s="1405" t="s">
        <v>5299</v>
      </c>
      <c r="G2732" s="1403" t="s">
        <v>2749</v>
      </c>
      <c r="H2732" s="1406" t="s">
        <v>1037</v>
      </c>
    </row>
    <row r="2733" spans="1:8" x14ac:dyDescent="0.2">
      <c r="A2733" s="7"/>
      <c r="B2733" s="1407" t="str">
        <f t="shared" si="42"/>
        <v>Roberto Carbonaro</v>
      </c>
      <c r="C2733" s="1402" t="s">
        <v>7439</v>
      </c>
      <c r="D2733" s="1403" t="s">
        <v>3279</v>
      </c>
      <c r="E2733" s="1404" t="s">
        <v>7609</v>
      </c>
      <c r="F2733" s="1405" t="s">
        <v>5300</v>
      </c>
      <c r="G2733" s="1403" t="s">
        <v>11330</v>
      </c>
      <c r="H2733" s="1406" t="s">
        <v>1037</v>
      </c>
    </row>
    <row r="2734" spans="1:8" x14ac:dyDescent="0.2">
      <c r="A2734" s="7"/>
      <c r="B2734" s="1407" t="str">
        <f t="shared" si="42"/>
        <v>Dario Di Muri</v>
      </c>
      <c r="C2734" s="1402" t="s">
        <v>7440</v>
      </c>
      <c r="D2734" s="1403" t="s">
        <v>3372</v>
      </c>
      <c r="E2734" s="1404" t="s">
        <v>7610</v>
      </c>
      <c r="F2734" s="1405" t="s">
        <v>5300</v>
      </c>
      <c r="G2734" s="1403" t="s">
        <v>2787</v>
      </c>
      <c r="H2734" s="1406" t="s">
        <v>1037</v>
      </c>
    </row>
    <row r="2735" spans="1:8" x14ac:dyDescent="0.2">
      <c r="A2735" s="7"/>
      <c r="B2735" s="1407" t="str">
        <f t="shared" si="42"/>
        <v>Giorgio Manfioletti</v>
      </c>
      <c r="C2735" s="1402" t="s">
        <v>7441</v>
      </c>
      <c r="D2735" s="1403" t="s">
        <v>3643</v>
      </c>
      <c r="E2735" s="1404" t="s">
        <v>7611</v>
      </c>
      <c r="F2735" s="1405" t="s">
        <v>5300</v>
      </c>
      <c r="G2735" s="1403" t="s">
        <v>5551</v>
      </c>
      <c r="H2735" s="1406" t="s">
        <v>1037</v>
      </c>
    </row>
    <row r="2736" spans="1:8" x14ac:dyDescent="0.2">
      <c r="A2736" s="7"/>
      <c r="B2736" s="1407" t="str">
        <f t="shared" si="42"/>
        <v>Giorgio Mentasti</v>
      </c>
      <c r="C2736" s="1402" t="s">
        <v>7442</v>
      </c>
      <c r="D2736" s="1403" t="s">
        <v>3643</v>
      </c>
      <c r="E2736" s="1404" t="s">
        <v>7612</v>
      </c>
      <c r="F2736" s="1405" t="s">
        <v>5300</v>
      </c>
      <c r="G2736" s="1403" t="s">
        <v>5551</v>
      </c>
      <c r="H2736" s="1406" t="s">
        <v>1037</v>
      </c>
    </row>
    <row r="2737" spans="1:8" x14ac:dyDescent="0.2">
      <c r="A2737" s="7"/>
      <c r="B2737" s="1407" t="str">
        <f t="shared" si="42"/>
        <v>Valeriano Cianchella</v>
      </c>
      <c r="C2737" s="1402" t="s">
        <v>7443</v>
      </c>
      <c r="D2737" s="1403" t="s">
        <v>7477</v>
      </c>
      <c r="E2737" s="1404" t="s">
        <v>7613</v>
      </c>
      <c r="F2737" s="1405" t="s">
        <v>5300</v>
      </c>
      <c r="G2737" s="1403" t="s">
        <v>11328</v>
      </c>
      <c r="H2737" s="1406" t="s">
        <v>1037</v>
      </c>
    </row>
    <row r="2738" spans="1:8" x14ac:dyDescent="0.2">
      <c r="A2738" s="7"/>
      <c r="B2738" s="1407" t="str">
        <f t="shared" si="42"/>
        <v>Orlando Navarra</v>
      </c>
      <c r="C2738" s="1402" t="s">
        <v>7444</v>
      </c>
      <c r="D2738" s="1403" t="s">
        <v>6504</v>
      </c>
      <c r="E2738" s="1404" t="s">
        <v>7614</v>
      </c>
      <c r="F2738" s="1405" t="s">
        <v>5300</v>
      </c>
      <c r="G2738" s="1403" t="s">
        <v>14683</v>
      </c>
      <c r="H2738" s="1406" t="s">
        <v>1037</v>
      </c>
    </row>
    <row r="2739" spans="1:8" x14ac:dyDescent="0.2">
      <c r="A2739" s="7"/>
      <c r="B2739" s="1407" t="str">
        <f t="shared" si="42"/>
        <v>Giovanni Navarra</v>
      </c>
      <c r="C2739" s="1402" t="s">
        <v>7444</v>
      </c>
      <c r="D2739" s="1403" t="s">
        <v>3371</v>
      </c>
      <c r="E2739" s="1404" t="s">
        <v>7615</v>
      </c>
      <c r="F2739" s="1405" t="s">
        <v>5300</v>
      </c>
      <c r="G2739" s="1403" t="s">
        <v>14683</v>
      </c>
      <c r="H2739" s="1406" t="s">
        <v>1037</v>
      </c>
    </row>
    <row r="2740" spans="1:8" x14ac:dyDescent="0.2">
      <c r="A2740" s="7"/>
      <c r="B2740" s="1407" t="str">
        <f t="shared" si="42"/>
        <v>Hélène Boniface</v>
      </c>
      <c r="C2740" s="1402" t="s">
        <v>7445</v>
      </c>
      <c r="D2740" s="1403" t="s">
        <v>10066</v>
      </c>
      <c r="E2740" s="1404" t="s">
        <v>7616</v>
      </c>
      <c r="F2740" s="1405" t="s">
        <v>5300</v>
      </c>
      <c r="G2740" s="1403" t="s">
        <v>14683</v>
      </c>
      <c r="H2740" s="1406" t="s">
        <v>1037</v>
      </c>
    </row>
    <row r="2741" spans="1:8" x14ac:dyDescent="0.2">
      <c r="A2741" s="7"/>
      <c r="B2741" s="1407" t="str">
        <f t="shared" si="42"/>
        <v>Stefano Luciani</v>
      </c>
      <c r="C2741" s="1402" t="s">
        <v>13317</v>
      </c>
      <c r="D2741" s="1403" t="s">
        <v>3062</v>
      </c>
      <c r="E2741" s="1404" t="s">
        <v>13318</v>
      </c>
      <c r="F2741" s="1405" t="s">
        <v>5299</v>
      </c>
      <c r="G2741" s="1403" t="s">
        <v>14347</v>
      </c>
      <c r="H2741" s="1406" t="s">
        <v>1037</v>
      </c>
    </row>
    <row r="2742" spans="1:8" x14ac:dyDescent="0.2">
      <c r="A2742" s="7"/>
      <c r="B2742" s="1407" t="str">
        <f t="shared" si="42"/>
        <v>Natan Caurla</v>
      </c>
      <c r="C2742" s="1402" t="s">
        <v>6651</v>
      </c>
      <c r="D2742" s="1403" t="s">
        <v>3476</v>
      </c>
      <c r="E2742" s="1404" t="s">
        <v>7722</v>
      </c>
      <c r="F2742" s="1405" t="s">
        <v>13211</v>
      </c>
      <c r="G2742" s="1403" t="s">
        <v>16847</v>
      </c>
      <c r="H2742" s="1406" t="s">
        <v>1037</v>
      </c>
    </row>
    <row r="2743" spans="1:8" x14ac:dyDescent="0.2">
      <c r="A2743" s="7"/>
      <c r="B2743" s="1407" t="str">
        <f t="shared" si="42"/>
        <v>Roberto Saitta</v>
      </c>
      <c r="C2743" s="1402" t="s">
        <v>7679</v>
      </c>
      <c r="D2743" s="1403" t="s">
        <v>3279</v>
      </c>
      <c r="E2743" s="1404" t="s">
        <v>7723</v>
      </c>
      <c r="F2743" s="1405" t="s">
        <v>5299</v>
      </c>
      <c r="G2743" s="1403" t="s">
        <v>10270</v>
      </c>
      <c r="H2743" s="1406" t="s">
        <v>1037</v>
      </c>
    </row>
    <row r="2744" spans="1:8" x14ac:dyDescent="0.2">
      <c r="A2744" s="7"/>
      <c r="B2744" s="1407" t="str">
        <f t="shared" si="42"/>
        <v>Stefano Pacitti</v>
      </c>
      <c r="C2744" s="1402" t="s">
        <v>7681</v>
      </c>
      <c r="D2744" s="1403" t="s">
        <v>3062</v>
      </c>
      <c r="E2744" s="1404" t="s">
        <v>7724</v>
      </c>
      <c r="F2744" s="1405" t="s">
        <v>5300</v>
      </c>
      <c r="G2744" s="1403" t="s">
        <v>11328</v>
      </c>
      <c r="H2744" s="1406" t="s">
        <v>1037</v>
      </c>
    </row>
    <row r="2745" spans="1:8" x14ac:dyDescent="0.2">
      <c r="A2745" s="7"/>
      <c r="B2745" s="1407" t="str">
        <f t="shared" si="42"/>
        <v>Vincenzo Calabrese</v>
      </c>
      <c r="C2745" s="1402" t="s">
        <v>7682</v>
      </c>
      <c r="D2745" s="1403" t="s">
        <v>3163</v>
      </c>
      <c r="E2745" s="1404" t="s">
        <v>7725</v>
      </c>
      <c r="F2745" s="1405" t="s">
        <v>5300</v>
      </c>
      <c r="G2745" s="1403" t="s">
        <v>7880</v>
      </c>
      <c r="H2745" s="1406" t="s">
        <v>1037</v>
      </c>
    </row>
    <row r="2746" spans="1:8" x14ac:dyDescent="0.2">
      <c r="A2746" s="7"/>
      <c r="B2746" s="1407" t="str">
        <f t="shared" si="42"/>
        <v>Riccardo Ferri</v>
      </c>
      <c r="C2746" s="1402" t="s">
        <v>7683</v>
      </c>
      <c r="D2746" s="1403" t="s">
        <v>3270</v>
      </c>
      <c r="E2746" s="1404" t="s">
        <v>7726</v>
      </c>
      <c r="F2746" s="1405" t="s">
        <v>5300</v>
      </c>
      <c r="G2746" s="1403" t="s">
        <v>2784</v>
      </c>
      <c r="H2746" s="1406" t="s">
        <v>1037</v>
      </c>
    </row>
    <row r="2747" spans="1:8" x14ac:dyDescent="0.2">
      <c r="A2747" s="7"/>
      <c r="B2747" s="1407" t="str">
        <f t="shared" si="42"/>
        <v>Salvatore Dore</v>
      </c>
      <c r="C2747" s="1402" t="s">
        <v>6426</v>
      </c>
      <c r="D2747" s="1403" t="s">
        <v>3265</v>
      </c>
      <c r="E2747" s="1404" t="s">
        <v>7727</v>
      </c>
      <c r="F2747" s="1405" t="s">
        <v>5300</v>
      </c>
      <c r="G2747" s="1403" t="s">
        <v>2901</v>
      </c>
      <c r="H2747" s="1406" t="s">
        <v>1037</v>
      </c>
    </row>
    <row r="2748" spans="1:8" x14ac:dyDescent="0.2">
      <c r="A2748" s="7"/>
      <c r="B2748" s="1407" t="str">
        <f t="shared" si="42"/>
        <v>Stefano Barontini</v>
      </c>
      <c r="C2748" s="1402" t="s">
        <v>7684</v>
      </c>
      <c r="D2748" s="1403" t="s">
        <v>3062</v>
      </c>
      <c r="E2748" s="1404" t="s">
        <v>7728</v>
      </c>
      <c r="F2748" s="1405" t="s">
        <v>5300</v>
      </c>
      <c r="G2748" s="1403" t="s">
        <v>11328</v>
      </c>
      <c r="H2748" s="1406" t="s">
        <v>1037</v>
      </c>
    </row>
    <row r="2749" spans="1:8" x14ac:dyDescent="0.2">
      <c r="A2749" s="7"/>
      <c r="B2749" s="1407" t="str">
        <f t="shared" si="42"/>
        <v>Emanuele Lo Cascio</v>
      </c>
      <c r="C2749" s="1402" t="s">
        <v>6471</v>
      </c>
      <c r="D2749" s="1403" t="s">
        <v>3085</v>
      </c>
      <c r="E2749" s="1404" t="s">
        <v>7729</v>
      </c>
      <c r="F2749" s="1405" t="s">
        <v>5300</v>
      </c>
      <c r="G2749" s="1403" t="s">
        <v>10268</v>
      </c>
      <c r="H2749" s="1406" t="s">
        <v>1037</v>
      </c>
    </row>
    <row r="2750" spans="1:8" x14ac:dyDescent="0.2">
      <c r="A2750" s="7"/>
      <c r="B2750" s="1407" t="str">
        <f t="shared" si="42"/>
        <v>Giovanni Micati</v>
      </c>
      <c r="C2750" s="1402" t="s">
        <v>7685</v>
      </c>
      <c r="D2750" s="1403" t="s">
        <v>3371</v>
      </c>
      <c r="E2750" s="1404" t="s">
        <v>7730</v>
      </c>
      <c r="F2750" s="1405" t="s">
        <v>5299</v>
      </c>
      <c r="G2750" s="1403" t="s">
        <v>15293</v>
      </c>
      <c r="H2750" s="1406" t="s">
        <v>1037</v>
      </c>
    </row>
    <row r="2751" spans="1:8" x14ac:dyDescent="0.2">
      <c r="A2751" s="7"/>
      <c r="B2751" s="1407" t="str">
        <f t="shared" si="42"/>
        <v>Stefano Zappacosta</v>
      </c>
      <c r="C2751" s="1402" t="s">
        <v>16377</v>
      </c>
      <c r="D2751" s="1403" t="s">
        <v>3062</v>
      </c>
      <c r="E2751" s="1404" t="s">
        <v>16378</v>
      </c>
      <c r="F2751" s="1405" t="s">
        <v>5300</v>
      </c>
      <c r="G2751" s="1403" t="s">
        <v>15293</v>
      </c>
      <c r="H2751" s="1406" t="s">
        <v>1037</v>
      </c>
    </row>
    <row r="2752" spans="1:8" x14ac:dyDescent="0.2">
      <c r="A2752" s="7"/>
      <c r="B2752" s="1407" t="str">
        <f t="shared" si="42"/>
        <v>Massimiliano Iervese</v>
      </c>
      <c r="C2752" s="1402" t="s">
        <v>7686</v>
      </c>
      <c r="D2752" s="1403" t="s">
        <v>3023</v>
      </c>
      <c r="E2752" s="1404" t="s">
        <v>7731</v>
      </c>
      <c r="F2752" s="1405" t="s">
        <v>5299</v>
      </c>
      <c r="G2752" s="1403" t="s">
        <v>11327</v>
      </c>
      <c r="H2752" s="1406" t="s">
        <v>1037</v>
      </c>
    </row>
    <row r="2753" spans="1:8" x14ac:dyDescent="0.2">
      <c r="A2753" s="7"/>
      <c r="B2753" s="1407" t="str">
        <f t="shared" si="42"/>
        <v>Matteo Esposito</v>
      </c>
      <c r="C2753" s="1402" t="s">
        <v>6428</v>
      </c>
      <c r="D2753" s="1403" t="s">
        <v>3200</v>
      </c>
      <c r="E2753" s="1404" t="s">
        <v>7837</v>
      </c>
      <c r="F2753" s="1405" t="s">
        <v>13210</v>
      </c>
      <c r="G2753" s="1403" t="s">
        <v>2776</v>
      </c>
      <c r="H2753" s="1406" t="s">
        <v>1037</v>
      </c>
    </row>
    <row r="2754" spans="1:8" x14ac:dyDescent="0.2">
      <c r="A2754" s="7"/>
      <c r="B2754" s="1407" t="str">
        <f t="shared" si="42"/>
        <v>Massimo De Paolis</v>
      </c>
      <c r="C2754" s="1402" t="s">
        <v>8144</v>
      </c>
      <c r="D2754" s="1403" t="s">
        <v>3013</v>
      </c>
      <c r="E2754" s="1404" t="s">
        <v>8498</v>
      </c>
      <c r="F2754" s="1405" t="s">
        <v>5300</v>
      </c>
      <c r="G2754" s="1403" t="s">
        <v>10268</v>
      </c>
      <c r="H2754" s="1406" t="s">
        <v>1037</v>
      </c>
    </row>
    <row r="2755" spans="1:8" x14ac:dyDescent="0.2">
      <c r="A2755" s="7"/>
      <c r="B2755" s="1407" t="str">
        <f t="shared" si="42"/>
        <v>Greta Cevolani</v>
      </c>
      <c r="C2755" s="1402" t="s">
        <v>8151</v>
      </c>
      <c r="D2755" s="1403" t="s">
        <v>8293</v>
      </c>
      <c r="E2755" s="1404" t="s">
        <v>8499</v>
      </c>
      <c r="F2755" s="1405" t="s">
        <v>5300</v>
      </c>
      <c r="G2755" s="1403" t="s">
        <v>2749</v>
      </c>
      <c r="H2755" s="1406" t="s">
        <v>1037</v>
      </c>
    </row>
    <row r="2756" spans="1:8" x14ac:dyDescent="0.2">
      <c r="A2756" s="7"/>
      <c r="B2756" s="1407" t="str">
        <f t="shared" si="42"/>
        <v>Alessandro Finelli</v>
      </c>
      <c r="C2756" s="1402" t="s">
        <v>9955</v>
      </c>
      <c r="D2756" s="1403" t="s">
        <v>3125</v>
      </c>
      <c r="E2756" s="1404" t="s">
        <v>10131</v>
      </c>
      <c r="F2756" s="1405" t="s">
        <v>5300</v>
      </c>
      <c r="G2756" s="1403" t="s">
        <v>2749</v>
      </c>
      <c r="H2756" s="1406" t="s">
        <v>1037</v>
      </c>
    </row>
    <row r="2757" spans="1:8" x14ac:dyDescent="0.2">
      <c r="A2757" s="7"/>
      <c r="B2757" s="1407" t="str">
        <f t="shared" si="42"/>
        <v>Marco Pistoni</v>
      </c>
      <c r="C2757" s="1402" t="s">
        <v>8152</v>
      </c>
      <c r="D2757" s="1403" t="s">
        <v>3109</v>
      </c>
      <c r="E2757" s="1404" t="s">
        <v>8500</v>
      </c>
      <c r="F2757" s="1405" t="s">
        <v>5300</v>
      </c>
      <c r="G2757" s="1403" t="s">
        <v>7878</v>
      </c>
      <c r="H2757" s="1406" t="s">
        <v>1037</v>
      </c>
    </row>
    <row r="2758" spans="1:8" x14ac:dyDescent="0.2">
      <c r="A2758" s="7"/>
      <c r="B2758" s="1407" t="str">
        <f t="shared" si="42"/>
        <v>Mario Lo Iacono</v>
      </c>
      <c r="C2758" s="1402" t="s">
        <v>6472</v>
      </c>
      <c r="D2758" s="1403" t="s">
        <v>3079</v>
      </c>
      <c r="E2758" s="1404" t="s">
        <v>8501</v>
      </c>
      <c r="F2758" s="1405" t="s">
        <v>5300</v>
      </c>
      <c r="G2758" s="1403" t="s">
        <v>2777</v>
      </c>
      <c r="H2758" s="1406" t="s">
        <v>1037</v>
      </c>
    </row>
    <row r="2759" spans="1:8" x14ac:dyDescent="0.2">
      <c r="A2759" s="7"/>
      <c r="B2759" s="1407" t="str">
        <f t="shared" ref="B2759:B2822" si="43">TRIM(CONCATENATE(D2759," ",C2759))</f>
        <v>Fabio Di Pietrantonio</v>
      </c>
      <c r="C2759" s="1402" t="s">
        <v>6423</v>
      </c>
      <c r="D2759" s="1403" t="s">
        <v>3133</v>
      </c>
      <c r="E2759" s="1404" t="s">
        <v>8502</v>
      </c>
      <c r="F2759" s="1405" t="s">
        <v>5299</v>
      </c>
      <c r="G2759" s="1403" t="s">
        <v>10262</v>
      </c>
      <c r="H2759" s="1406" t="s">
        <v>1037</v>
      </c>
    </row>
    <row r="2760" spans="1:8" x14ac:dyDescent="0.2">
      <c r="A2760" s="7"/>
      <c r="B2760" s="1407" t="str">
        <f t="shared" si="43"/>
        <v>Ettore Cencini</v>
      </c>
      <c r="C2760" s="1402" t="s">
        <v>8154</v>
      </c>
      <c r="D2760" s="1403" t="s">
        <v>3528</v>
      </c>
      <c r="E2760" s="1404" t="s">
        <v>8503</v>
      </c>
      <c r="F2760" s="1405" t="s">
        <v>5299</v>
      </c>
      <c r="G2760" s="1403" t="s">
        <v>2782</v>
      </c>
      <c r="H2760" s="1406" t="s">
        <v>1037</v>
      </c>
    </row>
    <row r="2761" spans="1:8" x14ac:dyDescent="0.2">
      <c r="A2761" s="7"/>
      <c r="B2761" s="1407" t="str">
        <f t="shared" si="43"/>
        <v>Alessandro Cafiero</v>
      </c>
      <c r="C2761" s="1402" t="s">
        <v>8155</v>
      </c>
      <c r="D2761" s="1403" t="s">
        <v>3125</v>
      </c>
      <c r="E2761" s="1404" t="s">
        <v>8504</v>
      </c>
      <c r="F2761" s="1405" t="s">
        <v>5299</v>
      </c>
      <c r="G2761" s="1403" t="s">
        <v>2773</v>
      </c>
      <c r="H2761" s="1406" t="s">
        <v>1037</v>
      </c>
    </row>
    <row r="2762" spans="1:8" x14ac:dyDescent="0.2">
      <c r="A2762" s="7"/>
      <c r="B2762" s="1407" t="str">
        <f t="shared" si="43"/>
        <v>Simone Trivelli</v>
      </c>
      <c r="C2762" s="1402" t="s">
        <v>6564</v>
      </c>
      <c r="D2762" s="1403" t="s">
        <v>3158</v>
      </c>
      <c r="E2762" s="1404" t="s">
        <v>8505</v>
      </c>
      <c r="F2762" s="1405" t="s">
        <v>5300</v>
      </c>
      <c r="G2762" s="1403" t="s">
        <v>2777</v>
      </c>
      <c r="H2762" s="1406" t="s">
        <v>1037</v>
      </c>
    </row>
    <row r="2763" spans="1:8" x14ac:dyDescent="0.2">
      <c r="A2763" s="7"/>
      <c r="B2763" s="1407" t="str">
        <f t="shared" si="43"/>
        <v>Luca Converti</v>
      </c>
      <c r="C2763" s="1402" t="s">
        <v>7167</v>
      </c>
      <c r="D2763" s="1403" t="s">
        <v>3198</v>
      </c>
      <c r="E2763" s="1404" t="s">
        <v>8506</v>
      </c>
      <c r="F2763" s="1405" t="s">
        <v>5300</v>
      </c>
      <c r="G2763" s="1403" t="s">
        <v>2787</v>
      </c>
      <c r="H2763" s="1406" t="s">
        <v>1037</v>
      </c>
    </row>
    <row r="2764" spans="1:8" x14ac:dyDescent="0.2">
      <c r="A2764" s="7"/>
      <c r="B2764" s="1407" t="str">
        <f t="shared" si="43"/>
        <v>Erica Guagliardi</v>
      </c>
      <c r="C2764" s="1402" t="s">
        <v>7802</v>
      </c>
      <c r="D2764" s="1403" t="s">
        <v>11242</v>
      </c>
      <c r="E2764" s="1404" t="s">
        <v>8830</v>
      </c>
      <c r="F2764" s="1405" t="s">
        <v>5299</v>
      </c>
      <c r="G2764" s="1403" t="s">
        <v>7872</v>
      </c>
      <c r="H2764" s="1406" t="s">
        <v>1037</v>
      </c>
    </row>
    <row r="2765" spans="1:8" x14ac:dyDescent="0.2">
      <c r="A2765" s="7"/>
      <c r="B2765" s="1407" t="str">
        <f t="shared" si="43"/>
        <v>Daniele Di Cè</v>
      </c>
      <c r="C2765" s="1402" t="s">
        <v>6646</v>
      </c>
      <c r="D2765" s="1403" t="s">
        <v>3022</v>
      </c>
      <c r="E2765" s="1404" t="s">
        <v>8507</v>
      </c>
      <c r="F2765" s="1405" t="s">
        <v>5300</v>
      </c>
      <c r="G2765" s="1403" t="s">
        <v>7876</v>
      </c>
      <c r="H2765" s="1406" t="s">
        <v>1037</v>
      </c>
    </row>
    <row r="2766" spans="1:8" x14ac:dyDescent="0.2">
      <c r="A2766" s="7"/>
      <c r="B2766" s="1407" t="str">
        <f t="shared" si="43"/>
        <v>Alessandro Gabbani</v>
      </c>
      <c r="C2766" s="1402" t="s">
        <v>8156</v>
      </c>
      <c r="D2766" s="1403" t="s">
        <v>3125</v>
      </c>
      <c r="E2766" s="1404" t="s">
        <v>8508</v>
      </c>
      <c r="F2766" s="1405" t="s">
        <v>5300</v>
      </c>
      <c r="G2766" s="1403" t="s">
        <v>11328</v>
      </c>
      <c r="H2766" s="1406" t="s">
        <v>1037</v>
      </c>
    </row>
    <row r="2767" spans="1:8" x14ac:dyDescent="0.2">
      <c r="A2767" s="7"/>
      <c r="B2767" s="1407" t="str">
        <f t="shared" si="43"/>
        <v>Andrea Giorgianni</v>
      </c>
      <c r="C2767" s="1402" t="s">
        <v>8157</v>
      </c>
      <c r="D2767" s="1403" t="s">
        <v>3027</v>
      </c>
      <c r="E2767" s="1404" t="s">
        <v>8509</v>
      </c>
      <c r="F2767" s="1405" t="s">
        <v>5299</v>
      </c>
      <c r="G2767" s="1403" t="s">
        <v>13593</v>
      </c>
      <c r="H2767" s="1406" t="s">
        <v>1037</v>
      </c>
    </row>
    <row r="2768" spans="1:8" x14ac:dyDescent="0.2">
      <c r="A2768" s="7"/>
      <c r="B2768" s="1407" t="str">
        <f t="shared" si="43"/>
        <v>Salvatore Mandanici</v>
      </c>
      <c r="C2768" s="1402" t="s">
        <v>6582</v>
      </c>
      <c r="D2768" s="1403" t="s">
        <v>3265</v>
      </c>
      <c r="E2768" s="1404" t="s">
        <v>8510</v>
      </c>
      <c r="F2768" s="1405" t="s">
        <v>5299</v>
      </c>
      <c r="G2768" s="1403" t="s">
        <v>14879</v>
      </c>
      <c r="H2768" s="1406" t="s">
        <v>1037</v>
      </c>
    </row>
    <row r="2769" spans="1:8" x14ac:dyDescent="0.2">
      <c r="A2769" s="7"/>
      <c r="B2769" s="1407" t="str">
        <f t="shared" si="43"/>
        <v>Antonio Berardi</v>
      </c>
      <c r="C2769" s="1402" t="s">
        <v>8158</v>
      </c>
      <c r="D2769" s="1403" t="s">
        <v>3341</v>
      </c>
      <c r="E2769" s="1404" t="s">
        <v>8511</v>
      </c>
      <c r="F2769" s="1405" t="s">
        <v>5300</v>
      </c>
      <c r="G2769" s="1403" t="s">
        <v>10271</v>
      </c>
      <c r="H2769" s="1406" t="s">
        <v>1037</v>
      </c>
    </row>
    <row r="2770" spans="1:8" x14ac:dyDescent="0.2">
      <c r="A2770" s="7"/>
      <c r="B2770" s="1407" t="str">
        <f t="shared" si="43"/>
        <v>Antonino Campagna</v>
      </c>
      <c r="C2770" s="1402" t="s">
        <v>8159</v>
      </c>
      <c r="D2770" s="1403" t="s">
        <v>6997</v>
      </c>
      <c r="E2770" s="1404" t="s">
        <v>8512</v>
      </c>
      <c r="F2770" s="1405" t="s">
        <v>5300</v>
      </c>
      <c r="G2770" s="1403" t="s">
        <v>13593</v>
      </c>
      <c r="H2770" s="1406" t="s">
        <v>1037</v>
      </c>
    </row>
    <row r="2771" spans="1:8" x14ac:dyDescent="0.2">
      <c r="A2771" s="7"/>
      <c r="B2771" s="1407" t="str">
        <f t="shared" si="43"/>
        <v>Alessandro Cova</v>
      </c>
      <c r="C2771" s="1402" t="s">
        <v>9956</v>
      </c>
      <c r="D2771" s="1403" t="s">
        <v>3125</v>
      </c>
      <c r="E2771" s="1404" t="s">
        <v>10132</v>
      </c>
      <c r="F2771" s="1405" t="s">
        <v>5300</v>
      </c>
      <c r="G2771" s="1403" t="s">
        <v>2749</v>
      </c>
      <c r="H2771" s="1406" t="s">
        <v>1037</v>
      </c>
    </row>
    <row r="2772" spans="1:8" x14ac:dyDescent="0.2">
      <c r="A2772" s="7"/>
      <c r="B2772" s="1407" t="str">
        <f t="shared" si="43"/>
        <v>Giuseppe Ragusa</v>
      </c>
      <c r="C2772" s="1402" t="s">
        <v>8160</v>
      </c>
      <c r="D2772" s="1403" t="s">
        <v>3122</v>
      </c>
      <c r="E2772" s="1404" t="s">
        <v>8513</v>
      </c>
      <c r="F2772" s="1405" t="s">
        <v>5299</v>
      </c>
      <c r="G2772" s="1403" t="s">
        <v>16847</v>
      </c>
      <c r="H2772" s="1406" t="s">
        <v>1037</v>
      </c>
    </row>
    <row r="2773" spans="1:8" x14ac:dyDescent="0.2">
      <c r="A2773" s="7"/>
      <c r="B2773" s="1407" t="str">
        <f t="shared" si="43"/>
        <v>Stefano Cafaggi</v>
      </c>
      <c r="C2773" s="1402" t="s">
        <v>8145</v>
      </c>
      <c r="D2773" s="1403" t="s">
        <v>3062</v>
      </c>
      <c r="E2773" s="1404" t="s">
        <v>8514</v>
      </c>
      <c r="F2773" s="1405" t="s">
        <v>5300</v>
      </c>
      <c r="G2773" s="1403" t="s">
        <v>13477</v>
      </c>
      <c r="H2773" s="1406" t="s">
        <v>1037</v>
      </c>
    </row>
    <row r="2774" spans="1:8" x14ac:dyDescent="0.2">
      <c r="A2774" s="7"/>
      <c r="B2774" s="1407" t="str">
        <f t="shared" si="43"/>
        <v>Francesco Ottone</v>
      </c>
      <c r="C2774" s="1402" t="s">
        <v>6505</v>
      </c>
      <c r="D2774" s="1403" t="s">
        <v>3277</v>
      </c>
      <c r="E2774" s="1404" t="s">
        <v>8831</v>
      </c>
      <c r="F2774" s="1405" t="s">
        <v>5300</v>
      </c>
      <c r="G2774" s="1403" t="s">
        <v>14683</v>
      </c>
      <c r="H2774" s="1406" t="s">
        <v>1037</v>
      </c>
    </row>
    <row r="2775" spans="1:8" x14ac:dyDescent="0.2">
      <c r="A2775" s="7"/>
      <c r="B2775" s="1407" t="str">
        <f t="shared" si="43"/>
        <v>Maria Grazia Ottone</v>
      </c>
      <c r="C2775" s="1402" t="s">
        <v>6505</v>
      </c>
      <c r="D2775" s="1403" t="s">
        <v>8294</v>
      </c>
      <c r="E2775" s="1404" t="s">
        <v>8515</v>
      </c>
      <c r="F2775" s="1405" t="s">
        <v>13211</v>
      </c>
      <c r="G2775" s="1403" t="s">
        <v>14683</v>
      </c>
      <c r="H2775" s="1406" t="s">
        <v>1037</v>
      </c>
    </row>
    <row r="2776" spans="1:8" x14ac:dyDescent="0.2">
      <c r="A2776" s="7"/>
      <c r="B2776" s="1407" t="str">
        <f t="shared" si="43"/>
        <v>Gianfranco Gallelli</v>
      </c>
      <c r="C2776" s="1402" t="s">
        <v>7432</v>
      </c>
      <c r="D2776" s="1403" t="s">
        <v>3107</v>
      </c>
      <c r="E2776" s="1404" t="s">
        <v>8516</v>
      </c>
      <c r="F2776" s="1405" t="s">
        <v>5300</v>
      </c>
      <c r="G2776" s="1403" t="s">
        <v>11326</v>
      </c>
      <c r="H2776" s="1406" t="s">
        <v>1037</v>
      </c>
    </row>
    <row r="2777" spans="1:8" x14ac:dyDescent="0.2">
      <c r="A2777" s="7"/>
      <c r="B2777" s="1407" t="str">
        <f t="shared" si="43"/>
        <v>Domenico Tassone</v>
      </c>
      <c r="C2777" s="1402" t="s">
        <v>8161</v>
      </c>
      <c r="D2777" s="1403" t="s">
        <v>3353</v>
      </c>
      <c r="E2777" s="1404" t="s">
        <v>8517</v>
      </c>
      <c r="F2777" s="1405" t="s">
        <v>5300</v>
      </c>
      <c r="G2777" s="1403" t="s">
        <v>11326</v>
      </c>
      <c r="H2777" s="1406" t="s">
        <v>1037</v>
      </c>
    </row>
    <row r="2778" spans="1:8" x14ac:dyDescent="0.2">
      <c r="A2778" s="7"/>
      <c r="B2778" s="1407" t="str">
        <f t="shared" si="43"/>
        <v>Daniele Perrino</v>
      </c>
      <c r="C2778" s="1402" t="s">
        <v>6513</v>
      </c>
      <c r="D2778" s="1403" t="s">
        <v>3022</v>
      </c>
      <c r="E2778" s="1404" t="s">
        <v>16027</v>
      </c>
      <c r="F2778" s="1405" t="s">
        <v>13211</v>
      </c>
      <c r="G2778" s="1403" t="s">
        <v>3614</v>
      </c>
      <c r="H2778" s="1406" t="s">
        <v>1037</v>
      </c>
    </row>
    <row r="2779" spans="1:8" x14ac:dyDescent="0.2">
      <c r="A2779" s="7"/>
      <c r="B2779" s="1407" t="str">
        <f t="shared" si="43"/>
        <v>Julia Filippella Nasti</v>
      </c>
      <c r="C2779" s="1402" t="s">
        <v>15545</v>
      </c>
      <c r="D2779" s="1403" t="s">
        <v>5632</v>
      </c>
      <c r="E2779" s="1404" t="s">
        <v>8518</v>
      </c>
      <c r="F2779" s="1405" t="s">
        <v>13210</v>
      </c>
      <c r="G2779" s="1403" t="s">
        <v>14683</v>
      </c>
      <c r="H2779" s="1406" t="s">
        <v>1037</v>
      </c>
    </row>
    <row r="2780" spans="1:8" x14ac:dyDescent="0.2">
      <c r="A2780" s="7"/>
      <c r="B2780" s="1407" t="str">
        <f t="shared" si="43"/>
        <v>Sean Filippella Nasti</v>
      </c>
      <c r="C2780" s="1402" t="s">
        <v>15545</v>
      </c>
      <c r="D2780" s="1403" t="s">
        <v>6945</v>
      </c>
      <c r="E2780" s="1404" t="s">
        <v>8519</v>
      </c>
      <c r="F2780" s="1405" t="s">
        <v>13210</v>
      </c>
      <c r="G2780" s="1403" t="s">
        <v>14683</v>
      </c>
      <c r="H2780" s="1406" t="s">
        <v>1037</v>
      </c>
    </row>
    <row r="2781" spans="1:8" x14ac:dyDescent="0.2">
      <c r="A2781" s="7"/>
      <c r="B2781" s="1407" t="str">
        <f t="shared" si="43"/>
        <v>Luca Cataldo</v>
      </c>
      <c r="C2781" s="1402" t="s">
        <v>7428</v>
      </c>
      <c r="D2781" s="1403" t="s">
        <v>3198</v>
      </c>
      <c r="E2781" s="1404" t="s">
        <v>8520</v>
      </c>
      <c r="F2781" s="1405" t="s">
        <v>5299</v>
      </c>
      <c r="G2781" s="1403" t="s">
        <v>16897</v>
      </c>
      <c r="H2781" s="1406" t="s">
        <v>1037</v>
      </c>
    </row>
    <row r="2782" spans="1:8" x14ac:dyDescent="0.2">
      <c r="A2782" s="7"/>
      <c r="B2782" s="1407" t="str">
        <f t="shared" si="43"/>
        <v>Antonio Ianniello</v>
      </c>
      <c r="C2782" s="1402" t="s">
        <v>8147</v>
      </c>
      <c r="D2782" s="1403" t="s">
        <v>3341</v>
      </c>
      <c r="E2782" s="1404" t="s">
        <v>8832</v>
      </c>
      <c r="F2782" s="1405" t="s">
        <v>5300</v>
      </c>
      <c r="G2782" s="1403" t="s">
        <v>7881</v>
      </c>
      <c r="H2782" s="1406" t="s">
        <v>1037</v>
      </c>
    </row>
    <row r="2783" spans="1:8" x14ac:dyDescent="0.2">
      <c r="A2783" s="7"/>
      <c r="B2783" s="1407" t="str">
        <f t="shared" si="43"/>
        <v>Vincenzo Iovino</v>
      </c>
      <c r="C2783" s="1402" t="s">
        <v>8163</v>
      </c>
      <c r="D2783" s="1403" t="s">
        <v>3163</v>
      </c>
      <c r="E2783" s="1404" t="s">
        <v>8521</v>
      </c>
      <c r="F2783" s="1405" t="s">
        <v>5299</v>
      </c>
      <c r="G2783" s="1403" t="s">
        <v>7881</v>
      </c>
      <c r="H2783" s="1406" t="s">
        <v>1037</v>
      </c>
    </row>
    <row r="2784" spans="1:8" x14ac:dyDescent="0.2">
      <c r="A2784" s="7"/>
      <c r="B2784" s="1407" t="str">
        <f t="shared" si="43"/>
        <v>Felice Meo</v>
      </c>
      <c r="C2784" s="1402" t="s">
        <v>8146</v>
      </c>
      <c r="D2784" s="1403" t="s">
        <v>3712</v>
      </c>
      <c r="E2784" s="1404" t="s">
        <v>8833</v>
      </c>
      <c r="F2784" s="1405" t="s">
        <v>5300</v>
      </c>
      <c r="G2784" s="1403" t="s">
        <v>7881</v>
      </c>
      <c r="H2784" s="1406" t="s">
        <v>1037</v>
      </c>
    </row>
    <row r="2785" spans="1:8" x14ac:dyDescent="0.2">
      <c r="A2785" s="7"/>
      <c r="B2785" s="1407" t="str">
        <f t="shared" si="43"/>
        <v>Pietro Di Pietrantonio</v>
      </c>
      <c r="C2785" s="1402" t="s">
        <v>6423</v>
      </c>
      <c r="D2785" s="1403" t="s">
        <v>3233</v>
      </c>
      <c r="E2785" s="1404" t="s">
        <v>15477</v>
      </c>
      <c r="F2785" s="1405" t="s">
        <v>5299</v>
      </c>
      <c r="G2785" s="1403" t="s">
        <v>2750</v>
      </c>
      <c r="H2785" s="1406" t="s">
        <v>1037</v>
      </c>
    </row>
    <row r="2786" spans="1:8" x14ac:dyDescent="0.2">
      <c r="A2786" s="7"/>
      <c r="B2786" s="1407" t="str">
        <f t="shared" si="43"/>
        <v>Giovanni Meo ('04)</v>
      </c>
      <c r="C2786" s="1402" t="s">
        <v>17576</v>
      </c>
      <c r="D2786" s="1403" t="s">
        <v>3371</v>
      </c>
      <c r="E2786" s="1404" t="s">
        <v>8522</v>
      </c>
      <c r="F2786" s="1405" t="s">
        <v>5299</v>
      </c>
      <c r="G2786" s="1403" t="s">
        <v>7881</v>
      </c>
      <c r="H2786" s="1406" t="s">
        <v>1037</v>
      </c>
    </row>
    <row r="2787" spans="1:8" x14ac:dyDescent="0.2">
      <c r="A2787" s="7"/>
      <c r="B2787" s="1407" t="str">
        <f t="shared" si="43"/>
        <v>Tommaso Piatti</v>
      </c>
      <c r="C2787" s="1402" t="s">
        <v>8149</v>
      </c>
      <c r="D2787" s="1403" t="s">
        <v>3534</v>
      </c>
      <c r="E2787" s="1404" t="s">
        <v>8523</v>
      </c>
      <c r="F2787" s="1405" t="s">
        <v>5299</v>
      </c>
      <c r="G2787" s="1403" t="s">
        <v>7881</v>
      </c>
      <c r="H2787" s="1406" t="s">
        <v>1037</v>
      </c>
    </row>
    <row r="2788" spans="1:8" x14ac:dyDescent="0.2">
      <c r="A2788" s="7"/>
      <c r="B2788" s="1407" t="str">
        <f t="shared" si="43"/>
        <v>Giuseppe Pizzella</v>
      </c>
      <c r="C2788" s="1402" t="s">
        <v>17180</v>
      </c>
      <c r="D2788" s="1403" t="s">
        <v>3122</v>
      </c>
      <c r="E2788" s="1404" t="s">
        <v>17181</v>
      </c>
      <c r="F2788" s="1405" t="s">
        <v>5299</v>
      </c>
      <c r="G2788" s="1403" t="s">
        <v>7881</v>
      </c>
      <c r="H2788" s="1406" t="s">
        <v>1037</v>
      </c>
    </row>
    <row r="2789" spans="1:8" x14ac:dyDescent="0.2">
      <c r="A2789" s="7"/>
      <c r="B2789" s="1407" t="str">
        <f t="shared" si="43"/>
        <v>Felice Simonetti</v>
      </c>
      <c r="C2789" s="1402" t="s">
        <v>13319</v>
      </c>
      <c r="D2789" s="1403" t="s">
        <v>3712</v>
      </c>
      <c r="E2789" s="1404" t="s">
        <v>13320</v>
      </c>
      <c r="F2789" s="1405" t="s">
        <v>5299</v>
      </c>
      <c r="G2789" s="1403" t="s">
        <v>7881</v>
      </c>
      <c r="H2789" s="1406" t="s">
        <v>1037</v>
      </c>
    </row>
    <row r="2790" spans="1:8" x14ac:dyDescent="0.2">
      <c r="A2790" s="7"/>
      <c r="B2790" s="1407" t="str">
        <f t="shared" si="43"/>
        <v>Riccardo Galieti</v>
      </c>
      <c r="C2790" s="1402" t="s">
        <v>8164</v>
      </c>
      <c r="D2790" s="1403" t="s">
        <v>3270</v>
      </c>
      <c r="E2790" s="1404" t="s">
        <v>8524</v>
      </c>
      <c r="F2790" s="1405" t="s">
        <v>5300</v>
      </c>
      <c r="G2790" s="1403" t="s">
        <v>2777</v>
      </c>
      <c r="H2790" s="1406" t="s">
        <v>1037</v>
      </c>
    </row>
    <row r="2791" spans="1:8" x14ac:dyDescent="0.2">
      <c r="A2791" s="7"/>
      <c r="B2791" s="1407" t="str">
        <f t="shared" si="43"/>
        <v>Ernesto Poncetta</v>
      </c>
      <c r="C2791" s="1402" t="s">
        <v>8165</v>
      </c>
      <c r="D2791" s="1403" t="s">
        <v>5464</v>
      </c>
      <c r="E2791" s="1404" t="s">
        <v>8525</v>
      </c>
      <c r="F2791" s="1405" t="s">
        <v>5300</v>
      </c>
      <c r="G2791" s="1403" t="s">
        <v>2777</v>
      </c>
      <c r="H2791" s="1406" t="s">
        <v>1037</v>
      </c>
    </row>
    <row r="2792" spans="1:8" x14ac:dyDescent="0.2">
      <c r="A2792" s="7"/>
      <c r="B2792" s="1407" t="str">
        <f t="shared" si="43"/>
        <v>Tiziano Ficola</v>
      </c>
      <c r="C2792" s="1402" t="s">
        <v>7803</v>
      </c>
      <c r="D2792" s="1403" t="s">
        <v>8292</v>
      </c>
      <c r="E2792" s="1404" t="s">
        <v>8526</v>
      </c>
      <c r="F2792" s="1405" t="s">
        <v>5300</v>
      </c>
      <c r="G2792" s="1403" t="s">
        <v>11325</v>
      </c>
      <c r="H2792" s="1406" t="s">
        <v>1037</v>
      </c>
    </row>
    <row r="2793" spans="1:8" x14ac:dyDescent="0.2">
      <c r="A2793" s="7"/>
      <c r="B2793" s="1407" t="str">
        <f t="shared" si="43"/>
        <v>Carmine De Luca</v>
      </c>
      <c r="C2793" s="1402" t="s">
        <v>6417</v>
      </c>
      <c r="D2793" s="1403" t="s">
        <v>3077</v>
      </c>
      <c r="E2793" s="1404" t="s">
        <v>8527</v>
      </c>
      <c r="F2793" s="1405" t="s">
        <v>5299</v>
      </c>
      <c r="G2793" s="1403" t="s">
        <v>11330</v>
      </c>
      <c r="H2793" s="1406" t="s">
        <v>1037</v>
      </c>
    </row>
    <row r="2794" spans="1:8" x14ac:dyDescent="0.2">
      <c r="A2794" s="7"/>
      <c r="B2794" s="1407" t="str">
        <f t="shared" si="43"/>
        <v>Angelo Coppolino</v>
      </c>
      <c r="C2794" s="1402" t="s">
        <v>15388</v>
      </c>
      <c r="D2794" s="1403" t="s">
        <v>3367</v>
      </c>
      <c r="E2794" s="1404" t="s">
        <v>15389</v>
      </c>
      <c r="F2794" s="1405" t="s">
        <v>5300</v>
      </c>
      <c r="G2794" s="1403" t="s">
        <v>14879</v>
      </c>
      <c r="H2794" s="1406" t="s">
        <v>1037</v>
      </c>
    </row>
    <row r="2795" spans="1:8" x14ac:dyDescent="0.2">
      <c r="A2795" s="7"/>
      <c r="B2795" s="1407" t="str">
        <f t="shared" si="43"/>
        <v>Maurizio Pugi</v>
      </c>
      <c r="C2795" s="1402" t="s">
        <v>16090</v>
      </c>
      <c r="D2795" s="1403" t="s">
        <v>3148</v>
      </c>
      <c r="E2795" s="1404" t="s">
        <v>16091</v>
      </c>
      <c r="F2795" s="1405" t="s">
        <v>5300</v>
      </c>
      <c r="G2795" s="1403" t="s">
        <v>13321</v>
      </c>
      <c r="H2795" s="1406" t="s">
        <v>1037</v>
      </c>
    </row>
    <row r="2796" spans="1:8" x14ac:dyDescent="0.2">
      <c r="A2796" s="7"/>
      <c r="B2796" s="1407" t="str">
        <f t="shared" si="43"/>
        <v>Massimo Lombardi</v>
      </c>
      <c r="C2796" s="1402" t="s">
        <v>7335</v>
      </c>
      <c r="D2796" s="1403" t="s">
        <v>3013</v>
      </c>
      <c r="E2796" s="1404" t="s">
        <v>17182</v>
      </c>
      <c r="F2796" s="1405" t="s">
        <v>5300</v>
      </c>
      <c r="G2796" s="1403" t="s">
        <v>13321</v>
      </c>
      <c r="H2796" s="1406" t="s">
        <v>1037</v>
      </c>
    </row>
    <row r="2797" spans="1:8" x14ac:dyDescent="0.2">
      <c r="A2797" s="7"/>
      <c r="B2797" s="1407" t="str">
        <f t="shared" si="43"/>
        <v>Matteo Tarabella</v>
      </c>
      <c r="C2797" s="1402" t="s">
        <v>8167</v>
      </c>
      <c r="D2797" s="1403" t="s">
        <v>3200</v>
      </c>
      <c r="E2797" s="1404" t="s">
        <v>8528</v>
      </c>
      <c r="F2797" s="1405" t="s">
        <v>5299</v>
      </c>
      <c r="G2797" s="1403" t="s">
        <v>2900</v>
      </c>
      <c r="H2797" s="1406" t="s">
        <v>1037</v>
      </c>
    </row>
    <row r="2798" spans="1:8" x14ac:dyDescent="0.2">
      <c r="A2798" s="7"/>
      <c r="B2798" s="1407" t="str">
        <f t="shared" si="43"/>
        <v>Alberto Vatteroni</v>
      </c>
      <c r="C2798" s="1402" t="s">
        <v>8168</v>
      </c>
      <c r="D2798" s="1403" t="s">
        <v>3042</v>
      </c>
      <c r="E2798" s="1404" t="s">
        <v>8529</v>
      </c>
      <c r="F2798" s="1405" t="s">
        <v>5300</v>
      </c>
      <c r="G2798" s="1403" t="s">
        <v>2782</v>
      </c>
      <c r="H2798" s="1406" t="s">
        <v>1037</v>
      </c>
    </row>
    <row r="2799" spans="1:8" x14ac:dyDescent="0.2">
      <c r="A2799" s="7"/>
      <c r="B2799" s="1407" t="str">
        <f t="shared" si="43"/>
        <v>Federico Milan</v>
      </c>
      <c r="C2799" s="1402" t="s">
        <v>7702</v>
      </c>
      <c r="D2799" s="1403" t="s">
        <v>3335</v>
      </c>
      <c r="E2799" s="1404" t="s">
        <v>10133</v>
      </c>
      <c r="F2799" s="1405" t="s">
        <v>5300</v>
      </c>
      <c r="G2799" s="1403" t="s">
        <v>8866</v>
      </c>
      <c r="H2799" s="1406" t="s">
        <v>1037</v>
      </c>
    </row>
    <row r="2800" spans="1:8" x14ac:dyDescent="0.2">
      <c r="A2800" s="7"/>
      <c r="B2800" s="1407" t="str">
        <f t="shared" si="43"/>
        <v>Riccardo Falorni</v>
      </c>
      <c r="C2800" s="1402" t="s">
        <v>8169</v>
      </c>
      <c r="D2800" s="1403" t="s">
        <v>3270</v>
      </c>
      <c r="E2800" s="1404" t="s">
        <v>8530</v>
      </c>
      <c r="F2800" s="1405" t="s">
        <v>5300</v>
      </c>
      <c r="G2800" s="1403" t="s">
        <v>11325</v>
      </c>
      <c r="H2800" s="1406" t="s">
        <v>1037</v>
      </c>
    </row>
    <row r="2801" spans="1:8" x14ac:dyDescent="0.2">
      <c r="A2801" s="7"/>
      <c r="B2801" s="1407" t="str">
        <f t="shared" si="43"/>
        <v>Sandro Sani</v>
      </c>
      <c r="C2801" s="1402" t="s">
        <v>9957</v>
      </c>
      <c r="D2801" s="1403" t="s">
        <v>6999</v>
      </c>
      <c r="E2801" s="1404" t="s">
        <v>10134</v>
      </c>
      <c r="F2801" s="1405" t="s">
        <v>5300</v>
      </c>
      <c r="G2801" s="1403" t="s">
        <v>11325</v>
      </c>
      <c r="H2801" s="1406" t="s">
        <v>1037</v>
      </c>
    </row>
    <row r="2802" spans="1:8" x14ac:dyDescent="0.2">
      <c r="A2802" s="7"/>
      <c r="B2802" s="1407" t="str">
        <f t="shared" si="43"/>
        <v>Ivan Quattrocchi</v>
      </c>
      <c r="C2802" s="1402" t="s">
        <v>8170</v>
      </c>
      <c r="D2802" s="1403" t="s">
        <v>7006</v>
      </c>
      <c r="E2802" s="1404" t="s">
        <v>8531</v>
      </c>
      <c r="F2802" s="1405" t="s">
        <v>5299</v>
      </c>
      <c r="G2802" s="1403" t="s">
        <v>7880</v>
      </c>
      <c r="H2802" s="1406" t="s">
        <v>1037</v>
      </c>
    </row>
    <row r="2803" spans="1:8" x14ac:dyDescent="0.2">
      <c r="A2803" s="7"/>
      <c r="B2803" s="1407" t="str">
        <f t="shared" si="43"/>
        <v>Angelo Solito</v>
      </c>
      <c r="C2803" s="1402" t="s">
        <v>8171</v>
      </c>
      <c r="D2803" s="1403" t="s">
        <v>3367</v>
      </c>
      <c r="E2803" s="1404" t="s">
        <v>8532</v>
      </c>
      <c r="F2803" s="1405" t="s">
        <v>5300</v>
      </c>
      <c r="G2803" s="1403" t="s">
        <v>7880</v>
      </c>
      <c r="H2803" s="1406" t="s">
        <v>1037</v>
      </c>
    </row>
    <row r="2804" spans="1:8" x14ac:dyDescent="0.2">
      <c r="A2804" s="7"/>
      <c r="B2804" s="1407" t="str">
        <f t="shared" si="43"/>
        <v>Gianluca Sostegno</v>
      </c>
      <c r="C2804" s="1402" t="s">
        <v>8172</v>
      </c>
      <c r="D2804" s="1403" t="s">
        <v>3369</v>
      </c>
      <c r="E2804" s="1404" t="s">
        <v>8533</v>
      </c>
      <c r="F2804" s="1405" t="s">
        <v>5300</v>
      </c>
      <c r="G2804" s="1403" t="s">
        <v>7880</v>
      </c>
      <c r="H2804" s="1406" t="s">
        <v>1037</v>
      </c>
    </row>
    <row r="2805" spans="1:8" x14ac:dyDescent="0.2">
      <c r="A2805" s="7"/>
      <c r="B2805" s="1407" t="str">
        <f t="shared" si="43"/>
        <v>Cristian Cecconi</v>
      </c>
      <c r="C2805" s="1402" t="s">
        <v>9958</v>
      </c>
      <c r="D2805" s="1403" t="s">
        <v>3705</v>
      </c>
      <c r="E2805" s="1404" t="s">
        <v>10135</v>
      </c>
      <c r="F2805" s="1405" t="s">
        <v>5299</v>
      </c>
      <c r="G2805" s="1403" t="s">
        <v>15288</v>
      </c>
      <c r="H2805" s="1406" t="s">
        <v>1037</v>
      </c>
    </row>
    <row r="2806" spans="1:8" x14ac:dyDescent="0.2">
      <c r="A2806" s="7"/>
      <c r="B2806" s="1407" t="str">
        <f t="shared" si="43"/>
        <v>Gabriele Casati</v>
      </c>
      <c r="C2806" s="1402" t="s">
        <v>8790</v>
      </c>
      <c r="D2806" s="1403" t="s">
        <v>3127</v>
      </c>
      <c r="E2806" s="1404" t="s">
        <v>8834</v>
      </c>
      <c r="F2806" s="1405" t="s">
        <v>5300</v>
      </c>
      <c r="G2806" s="1403" t="s">
        <v>2784</v>
      </c>
      <c r="H2806" s="1406" t="s">
        <v>1037</v>
      </c>
    </row>
    <row r="2807" spans="1:8" x14ac:dyDescent="0.2">
      <c r="A2807" s="7"/>
      <c r="B2807" s="1407" t="str">
        <f t="shared" si="43"/>
        <v>Giovanni Meo (98)</v>
      </c>
      <c r="C2807" s="1402" t="s">
        <v>15906</v>
      </c>
      <c r="D2807" s="1403" t="s">
        <v>3371</v>
      </c>
      <c r="E2807" s="1404" t="s">
        <v>9660</v>
      </c>
      <c r="F2807" s="1405" t="s">
        <v>5299</v>
      </c>
      <c r="G2807" s="1403" t="s">
        <v>7881</v>
      </c>
      <c r="H2807" s="1406" t="s">
        <v>1037</v>
      </c>
    </row>
    <row r="2808" spans="1:8" x14ac:dyDescent="0.2">
      <c r="A2808" s="7"/>
      <c r="B2808" s="1407" t="str">
        <f t="shared" si="43"/>
        <v>Lorenzo Fricano</v>
      </c>
      <c r="C2808" s="1402" t="s">
        <v>7438</v>
      </c>
      <c r="D2808" s="1403" t="s">
        <v>3155</v>
      </c>
      <c r="E2808" s="1404" t="s">
        <v>8835</v>
      </c>
      <c r="F2808" s="1405" t="s">
        <v>13211</v>
      </c>
      <c r="G2808" s="1403" t="s">
        <v>11467</v>
      </c>
      <c r="H2808" s="1406" t="s">
        <v>1037</v>
      </c>
    </row>
    <row r="2809" spans="1:8" x14ac:dyDescent="0.2">
      <c r="A2809" s="7"/>
      <c r="B2809" s="1407" t="str">
        <f t="shared" si="43"/>
        <v>Alessandro Rolle</v>
      </c>
      <c r="C2809" s="1402" t="s">
        <v>8791</v>
      </c>
      <c r="D2809" s="1403" t="s">
        <v>3125</v>
      </c>
      <c r="E2809" s="1404" t="s">
        <v>8836</v>
      </c>
      <c r="F2809" s="1405" t="s">
        <v>5300</v>
      </c>
      <c r="G2809" s="1403" t="s">
        <v>2787</v>
      </c>
      <c r="H2809" s="1406" t="s">
        <v>1037</v>
      </c>
    </row>
    <row r="2810" spans="1:8" x14ac:dyDescent="0.2">
      <c r="A2810" s="7"/>
      <c r="B2810" s="1407" t="str">
        <f t="shared" si="43"/>
        <v>Alessio Nardi</v>
      </c>
      <c r="C2810" s="1402" t="s">
        <v>7421</v>
      </c>
      <c r="D2810" s="1403" t="s">
        <v>3550</v>
      </c>
      <c r="E2810" s="1404" t="s">
        <v>13935</v>
      </c>
      <c r="F2810" s="1405" t="s">
        <v>5299</v>
      </c>
      <c r="G2810" s="1403" t="s">
        <v>13477</v>
      </c>
      <c r="H2810" s="1406" t="s">
        <v>1037</v>
      </c>
    </row>
    <row r="2811" spans="1:8" x14ac:dyDescent="0.2">
      <c r="A2811" s="7"/>
      <c r="B2811" s="1407" t="str">
        <f t="shared" si="43"/>
        <v>Alessio Tacchia</v>
      </c>
      <c r="C2811" s="1402" t="s">
        <v>8792</v>
      </c>
      <c r="D2811" s="1403" t="s">
        <v>3550</v>
      </c>
      <c r="E2811" s="1404" t="s">
        <v>8837</v>
      </c>
      <c r="F2811" s="1405" t="s">
        <v>5299</v>
      </c>
      <c r="G2811" s="1403" t="s">
        <v>16843</v>
      </c>
      <c r="H2811" s="1406" t="s">
        <v>1037</v>
      </c>
    </row>
    <row r="2812" spans="1:8" x14ac:dyDescent="0.2">
      <c r="A2812" s="7"/>
      <c r="B2812" s="1407" t="str">
        <f t="shared" si="43"/>
        <v>Ferdinando Gasparini</v>
      </c>
      <c r="C2812" s="1402" t="s">
        <v>6445</v>
      </c>
      <c r="D2812" s="1403" t="s">
        <v>3049</v>
      </c>
      <c r="E2812" s="1404" t="s">
        <v>8838</v>
      </c>
      <c r="F2812" s="1405" t="s">
        <v>5299</v>
      </c>
      <c r="G2812" s="1403" t="s">
        <v>5311</v>
      </c>
      <c r="H2812" s="1406" t="s">
        <v>1037</v>
      </c>
    </row>
    <row r="2813" spans="1:8" x14ac:dyDescent="0.2">
      <c r="A2813" s="7"/>
      <c r="B2813" s="1407" t="str">
        <f t="shared" si="43"/>
        <v>Andrea Stanislai</v>
      </c>
      <c r="C2813" s="1402" t="s">
        <v>8793</v>
      </c>
      <c r="D2813" s="1403" t="s">
        <v>3027</v>
      </c>
      <c r="E2813" s="1404" t="s">
        <v>8839</v>
      </c>
      <c r="F2813" s="1405" t="s">
        <v>5300</v>
      </c>
      <c r="G2813" s="1403" t="s">
        <v>13477</v>
      </c>
      <c r="H2813" s="1406" t="s">
        <v>1037</v>
      </c>
    </row>
    <row r="2814" spans="1:8" x14ac:dyDescent="0.2">
      <c r="A2814" s="7"/>
      <c r="B2814" s="1407" t="str">
        <f t="shared" si="43"/>
        <v>Giovanni Meo (04)</v>
      </c>
      <c r="C2814" s="1402" t="s">
        <v>14690</v>
      </c>
      <c r="D2814" s="1403" t="s">
        <v>3371</v>
      </c>
      <c r="E2814" s="1404" t="s">
        <v>8522</v>
      </c>
      <c r="F2814" s="1405" t="s">
        <v>5299</v>
      </c>
      <c r="G2814" s="1403" t="s">
        <v>7881</v>
      </c>
      <c r="H2814" s="1406" t="s">
        <v>1037</v>
      </c>
    </row>
    <row r="2815" spans="1:8" x14ac:dyDescent="0.2">
      <c r="A2815" s="7"/>
      <c r="B2815" s="1407" t="str">
        <f t="shared" si="43"/>
        <v>Antonella Furnari</v>
      </c>
      <c r="C2815" s="1402" t="s">
        <v>8794</v>
      </c>
      <c r="D2815" s="1403" t="s">
        <v>7000</v>
      </c>
      <c r="E2815" s="1404" t="s">
        <v>9661</v>
      </c>
      <c r="F2815" s="1405" t="s">
        <v>5299</v>
      </c>
      <c r="G2815" s="1403" t="s">
        <v>14879</v>
      </c>
      <c r="H2815" s="1406" t="s">
        <v>1037</v>
      </c>
    </row>
    <row r="2816" spans="1:8" x14ac:dyDescent="0.2">
      <c r="A2816" s="7"/>
      <c r="B2816" s="1407" t="str">
        <f t="shared" si="43"/>
        <v>Antonio Palumbo</v>
      </c>
      <c r="C2816" s="1402" t="s">
        <v>8795</v>
      </c>
      <c r="D2816" s="1403" t="s">
        <v>3341</v>
      </c>
      <c r="E2816" s="1404" t="s">
        <v>8840</v>
      </c>
      <c r="F2816" s="1405" t="s">
        <v>5300</v>
      </c>
      <c r="G2816" s="1403" t="s">
        <v>11328</v>
      </c>
      <c r="H2816" s="1406" t="s">
        <v>1037</v>
      </c>
    </row>
    <row r="2817" spans="1:8" x14ac:dyDescent="0.2">
      <c r="A2817" s="7"/>
      <c r="B2817" s="1407" t="str">
        <f t="shared" si="43"/>
        <v>Barbara Coriani</v>
      </c>
      <c r="C2817" s="1402" t="s">
        <v>15392</v>
      </c>
      <c r="D2817" s="1403" t="s">
        <v>15393</v>
      </c>
      <c r="E2817" s="1404" t="s">
        <v>15394</v>
      </c>
      <c r="F2817" s="1405" t="s">
        <v>5300</v>
      </c>
      <c r="G2817" s="1403" t="s">
        <v>7870</v>
      </c>
      <c r="H2817" s="1406" t="s">
        <v>1037</v>
      </c>
    </row>
    <row r="2818" spans="1:8" x14ac:dyDescent="0.2">
      <c r="A2818" s="7"/>
      <c r="B2818" s="1407" t="str">
        <f t="shared" si="43"/>
        <v>Carmelo Natale</v>
      </c>
      <c r="C2818" s="1402" t="s">
        <v>6585</v>
      </c>
      <c r="D2818" s="1403" t="s">
        <v>3485</v>
      </c>
      <c r="E2818" s="1404" t="s">
        <v>8841</v>
      </c>
      <c r="F2818" s="1405" t="s">
        <v>5299</v>
      </c>
      <c r="G2818" s="1403" t="s">
        <v>14879</v>
      </c>
      <c r="H2818" s="1406" t="s">
        <v>1037</v>
      </c>
    </row>
    <row r="2819" spans="1:8" x14ac:dyDescent="0.2">
      <c r="A2819" s="7"/>
      <c r="B2819" s="1407" t="str">
        <f t="shared" si="43"/>
        <v>Costantino Cavone</v>
      </c>
      <c r="C2819" s="1402" t="s">
        <v>9959</v>
      </c>
      <c r="D2819" s="1403" t="s">
        <v>10067</v>
      </c>
      <c r="E2819" s="1404" t="s">
        <v>10136</v>
      </c>
      <c r="F2819" s="1405" t="s">
        <v>5300</v>
      </c>
      <c r="G2819" s="1403" t="s">
        <v>2749</v>
      </c>
      <c r="H2819" s="1406" t="s">
        <v>1037</v>
      </c>
    </row>
    <row r="2820" spans="1:8" x14ac:dyDescent="0.2">
      <c r="A2820" s="7"/>
      <c r="B2820" s="1407" t="str">
        <f t="shared" si="43"/>
        <v>Cristian Giovangiacomo</v>
      </c>
      <c r="C2820" s="1402" t="s">
        <v>8796</v>
      </c>
      <c r="D2820" s="1403" t="s">
        <v>3705</v>
      </c>
      <c r="E2820" s="1404" t="s">
        <v>8842</v>
      </c>
      <c r="F2820" s="1405" t="s">
        <v>5300</v>
      </c>
      <c r="G2820" s="1403" t="s">
        <v>13477</v>
      </c>
      <c r="H2820" s="1406" t="s">
        <v>1037</v>
      </c>
    </row>
    <row r="2821" spans="1:8" x14ac:dyDescent="0.2">
      <c r="A2821" s="7"/>
      <c r="B2821" s="1407" t="str">
        <f t="shared" si="43"/>
        <v>Nico Lucchesi</v>
      </c>
      <c r="C2821" s="1402" t="s">
        <v>8143</v>
      </c>
      <c r="D2821" s="1403" t="s">
        <v>3556</v>
      </c>
      <c r="E2821" s="1404" t="s">
        <v>8843</v>
      </c>
      <c r="F2821" s="1405" t="s">
        <v>5300</v>
      </c>
      <c r="G2821" s="1403" t="s">
        <v>11325</v>
      </c>
      <c r="H2821" s="1406" t="s">
        <v>1037</v>
      </c>
    </row>
    <row r="2822" spans="1:8" x14ac:dyDescent="0.2">
      <c r="A2822" s="7"/>
      <c r="B2822" s="1407" t="str">
        <f t="shared" si="43"/>
        <v>Daniele Emiliano Bernardi</v>
      </c>
      <c r="C2822" s="1402" t="s">
        <v>6583</v>
      </c>
      <c r="D2822" s="1403" t="s">
        <v>15241</v>
      </c>
      <c r="E2822" s="1404" t="s">
        <v>8844</v>
      </c>
      <c r="F2822" s="1405" t="s">
        <v>5300</v>
      </c>
      <c r="G2822" s="1403" t="s">
        <v>16843</v>
      </c>
      <c r="H2822" s="1406" t="s">
        <v>1037</v>
      </c>
    </row>
    <row r="2823" spans="1:8" x14ac:dyDescent="0.2">
      <c r="A2823" s="7"/>
      <c r="B2823" s="1407" t="str">
        <f t="shared" ref="B2823:B2886" si="44">TRIM(CONCATENATE(D2823," ",C2823))</f>
        <v>Daniele Venturini</v>
      </c>
      <c r="C2823" s="1402" t="s">
        <v>6568</v>
      </c>
      <c r="D2823" s="1403" t="s">
        <v>3022</v>
      </c>
      <c r="E2823" s="1404" t="s">
        <v>8845</v>
      </c>
      <c r="F2823" s="1405" t="s">
        <v>5299</v>
      </c>
      <c r="G2823" s="1403" t="s">
        <v>13477</v>
      </c>
      <c r="H2823" s="1406" t="s">
        <v>1037</v>
      </c>
    </row>
    <row r="2824" spans="1:8" x14ac:dyDescent="0.2">
      <c r="A2824" s="7"/>
      <c r="B2824" s="1407" t="str">
        <f t="shared" si="44"/>
        <v>Stefano Bardari</v>
      </c>
      <c r="C2824" s="1402" t="s">
        <v>6357</v>
      </c>
      <c r="D2824" s="1403" t="s">
        <v>3062</v>
      </c>
      <c r="E2824" s="1404" t="s">
        <v>8846</v>
      </c>
      <c r="F2824" s="1405" t="s">
        <v>5299</v>
      </c>
      <c r="G2824" s="1403" t="s">
        <v>7877</v>
      </c>
      <c r="H2824" s="1406" t="s">
        <v>1037</v>
      </c>
    </row>
    <row r="2825" spans="1:8" x14ac:dyDescent="0.2">
      <c r="A2825" s="7"/>
      <c r="B2825" s="1407" t="str">
        <f t="shared" si="44"/>
        <v>Flavio Lombardi</v>
      </c>
      <c r="C2825" s="1402" t="s">
        <v>7335</v>
      </c>
      <c r="D2825" s="1403" t="s">
        <v>3201</v>
      </c>
      <c r="E2825" s="1404" t="s">
        <v>8847</v>
      </c>
      <c r="F2825" s="1405" t="s">
        <v>5300</v>
      </c>
      <c r="G2825" s="1403" t="s">
        <v>13477</v>
      </c>
      <c r="H2825" s="1406" t="s">
        <v>1037</v>
      </c>
    </row>
    <row r="2826" spans="1:8" x14ac:dyDescent="0.2">
      <c r="A2826" s="7"/>
      <c r="B2826" s="1407" t="str">
        <f t="shared" si="44"/>
        <v>Ugo Custo</v>
      </c>
      <c r="C2826" s="1402" t="s">
        <v>7434</v>
      </c>
      <c r="D2826" s="1403" t="s">
        <v>3359</v>
      </c>
      <c r="E2826" s="1404" t="s">
        <v>8848</v>
      </c>
      <c r="F2826" s="1405" t="s">
        <v>5300</v>
      </c>
      <c r="G2826" s="1403" t="s">
        <v>11326</v>
      </c>
      <c r="H2826" s="1406" t="s">
        <v>1037</v>
      </c>
    </row>
    <row r="2827" spans="1:8" x14ac:dyDescent="0.2">
      <c r="A2827" s="7"/>
      <c r="B2827" s="1407" t="str">
        <f t="shared" si="44"/>
        <v>Francesco Bombacigno</v>
      </c>
      <c r="C2827" s="1402" t="s">
        <v>7418</v>
      </c>
      <c r="D2827" s="1403" t="s">
        <v>3277</v>
      </c>
      <c r="E2827" s="1404" t="s">
        <v>9662</v>
      </c>
      <c r="F2827" s="1405" t="s">
        <v>5299</v>
      </c>
      <c r="G2827" s="1403" t="s">
        <v>3614</v>
      </c>
      <c r="H2827" s="1406" t="s">
        <v>1037</v>
      </c>
    </row>
    <row r="2828" spans="1:8" x14ac:dyDescent="0.2">
      <c r="A2828" s="7"/>
      <c r="B2828" s="1407" t="str">
        <f t="shared" si="44"/>
        <v>Gionata Benedetti</v>
      </c>
      <c r="C2828" s="1402" t="s">
        <v>6365</v>
      </c>
      <c r="D2828" s="1403" t="s">
        <v>8808</v>
      </c>
      <c r="E2828" s="1404" t="s">
        <v>8849</v>
      </c>
      <c r="F2828" s="1405" t="s">
        <v>5300</v>
      </c>
      <c r="G2828" s="1403" t="s">
        <v>13477</v>
      </c>
      <c r="H2828" s="1406" t="s">
        <v>1037</v>
      </c>
    </row>
    <row r="2829" spans="1:8" x14ac:dyDescent="0.2">
      <c r="A2829" s="7"/>
      <c r="B2829" s="1407" t="str">
        <f t="shared" si="44"/>
        <v>Giorgio Amabile</v>
      </c>
      <c r="C2829" s="1402" t="s">
        <v>8797</v>
      </c>
      <c r="D2829" s="1403" t="s">
        <v>3643</v>
      </c>
      <c r="E2829" s="1404" t="s">
        <v>8850</v>
      </c>
      <c r="F2829" s="1405" t="s">
        <v>5300</v>
      </c>
      <c r="G2829" s="1403" t="s">
        <v>11329</v>
      </c>
      <c r="H2829" s="1406" t="s">
        <v>1037</v>
      </c>
    </row>
    <row r="2830" spans="1:8" x14ac:dyDescent="0.2">
      <c r="A2830" s="7"/>
      <c r="B2830" s="1407" t="str">
        <f t="shared" si="44"/>
        <v>Giovanna Lo Cascio</v>
      </c>
      <c r="C2830" s="1402" t="s">
        <v>6471</v>
      </c>
      <c r="D2830" s="1403" t="s">
        <v>8809</v>
      </c>
      <c r="E2830" s="1404" t="s">
        <v>8851</v>
      </c>
      <c r="F2830" s="1405" t="s">
        <v>5299</v>
      </c>
      <c r="G2830" s="1403" t="s">
        <v>14879</v>
      </c>
      <c r="H2830" s="1406" t="s">
        <v>1037</v>
      </c>
    </row>
    <row r="2831" spans="1:8" x14ac:dyDescent="0.2">
      <c r="A2831" s="7"/>
      <c r="B2831" s="1407" t="str">
        <f t="shared" si="44"/>
        <v>Giovanni Crisconio</v>
      </c>
      <c r="C2831" s="1402" t="s">
        <v>8798</v>
      </c>
      <c r="D2831" s="1403" t="s">
        <v>3371</v>
      </c>
      <c r="E2831" s="1404" t="s">
        <v>10137</v>
      </c>
      <c r="F2831" s="1405" t="s">
        <v>5300</v>
      </c>
      <c r="G2831" s="1403" t="s">
        <v>15290</v>
      </c>
      <c r="H2831" s="1406" t="s">
        <v>1037</v>
      </c>
    </row>
    <row r="2832" spans="1:8" x14ac:dyDescent="0.2">
      <c r="A2832" s="7"/>
      <c r="B2832" s="1407" t="str">
        <f t="shared" si="44"/>
        <v>Guido Capobianco</v>
      </c>
      <c r="C2832" s="1402" t="s">
        <v>8799</v>
      </c>
      <c r="D2832" s="1403" t="s">
        <v>6996</v>
      </c>
      <c r="E2832" s="1404" t="s">
        <v>8852</v>
      </c>
      <c r="F2832" s="1405" t="s">
        <v>5299</v>
      </c>
      <c r="G2832" s="1403" t="s">
        <v>9700</v>
      </c>
      <c r="H2832" s="1406" t="s">
        <v>1037</v>
      </c>
    </row>
    <row r="2833" spans="1:8" x14ac:dyDescent="0.2">
      <c r="A2833" s="7"/>
      <c r="B2833" s="1407" t="str">
        <f t="shared" si="44"/>
        <v>Giuseppe Filardo</v>
      </c>
      <c r="C2833" s="1402" t="s">
        <v>8800</v>
      </c>
      <c r="D2833" s="1403" t="s">
        <v>3122</v>
      </c>
      <c r="E2833" s="1404" t="s">
        <v>8853</v>
      </c>
      <c r="F2833" s="1405" t="s">
        <v>5299</v>
      </c>
      <c r="G2833" s="1403" t="s">
        <v>16490</v>
      </c>
      <c r="H2833" s="1406" t="s">
        <v>1037</v>
      </c>
    </row>
    <row r="2834" spans="1:8" x14ac:dyDescent="0.2">
      <c r="A2834" s="7"/>
      <c r="B2834" s="1407" t="str">
        <f t="shared" si="44"/>
        <v>Lorenzo Crisconio</v>
      </c>
      <c r="C2834" s="1402" t="s">
        <v>8798</v>
      </c>
      <c r="D2834" s="1403" t="s">
        <v>3155</v>
      </c>
      <c r="E2834" s="1404" t="s">
        <v>8854</v>
      </c>
      <c r="F2834" s="1405" t="s">
        <v>13210</v>
      </c>
      <c r="G2834" s="1403" t="s">
        <v>15290</v>
      </c>
      <c r="H2834" s="1406" t="s">
        <v>1037</v>
      </c>
    </row>
    <row r="2835" spans="1:8" x14ac:dyDescent="0.2">
      <c r="A2835" s="7"/>
      <c r="B2835" s="1407" t="str">
        <f t="shared" si="44"/>
        <v>Luca Ariano</v>
      </c>
      <c r="C2835" s="1402" t="s">
        <v>8153</v>
      </c>
      <c r="D2835" s="1403" t="s">
        <v>3198</v>
      </c>
      <c r="E2835" s="1404" t="s">
        <v>8855</v>
      </c>
      <c r="F2835" s="1405" t="s">
        <v>5299</v>
      </c>
      <c r="G2835" s="1403" t="s">
        <v>10269</v>
      </c>
      <c r="H2835" s="1406" t="s">
        <v>1037</v>
      </c>
    </row>
    <row r="2836" spans="1:8" x14ac:dyDescent="0.2">
      <c r="A2836" s="7"/>
      <c r="B2836" s="1407" t="str">
        <f t="shared" si="44"/>
        <v>Luca Locci</v>
      </c>
      <c r="C2836" s="1402" t="s">
        <v>8801</v>
      </c>
      <c r="D2836" s="1403" t="s">
        <v>3198</v>
      </c>
      <c r="E2836" s="1404" t="s">
        <v>8856</v>
      </c>
      <c r="F2836" s="1405" t="s">
        <v>5299</v>
      </c>
      <c r="G2836" s="1403" t="s">
        <v>11328</v>
      </c>
      <c r="H2836" s="1406" t="s">
        <v>1037</v>
      </c>
    </row>
    <row r="2837" spans="1:8" x14ac:dyDescent="0.2">
      <c r="A2837" s="7"/>
      <c r="B2837" s="1407" t="str">
        <f t="shared" si="44"/>
        <v>Marcel Musso</v>
      </c>
      <c r="C2837" s="1402" t="s">
        <v>6495</v>
      </c>
      <c r="D2837" s="1403" t="s">
        <v>3300</v>
      </c>
      <c r="E2837" s="1404" t="s">
        <v>8857</v>
      </c>
      <c r="F2837" s="1405" t="s">
        <v>13211</v>
      </c>
      <c r="G2837" s="1403" t="s">
        <v>13594</v>
      </c>
      <c r="H2837" s="1406" t="s">
        <v>1037</v>
      </c>
    </row>
    <row r="2838" spans="1:8" x14ac:dyDescent="0.2">
      <c r="A2838" s="7"/>
      <c r="B2838" s="1407" t="str">
        <f t="shared" si="44"/>
        <v>Michele Ferrucci</v>
      </c>
      <c r="C2838" s="1402" t="s">
        <v>6434</v>
      </c>
      <c r="D2838" s="1403" t="s">
        <v>3216</v>
      </c>
      <c r="E2838" s="1404" t="s">
        <v>8858</v>
      </c>
      <c r="F2838" s="1405" t="s">
        <v>5299</v>
      </c>
      <c r="G2838" s="1403" t="s">
        <v>2776</v>
      </c>
      <c r="H2838" s="1406" t="s">
        <v>1037</v>
      </c>
    </row>
    <row r="2839" spans="1:8" x14ac:dyDescent="0.2">
      <c r="A2839" s="7"/>
      <c r="B2839" s="1407" t="str">
        <f t="shared" si="44"/>
        <v>Massimo Matteucci</v>
      </c>
      <c r="C2839" s="1402" t="s">
        <v>8802</v>
      </c>
      <c r="D2839" s="1403" t="s">
        <v>3013</v>
      </c>
      <c r="E2839" s="1404" t="s">
        <v>8859</v>
      </c>
      <c r="F2839" s="1405" t="s">
        <v>5300</v>
      </c>
      <c r="G2839" s="1403" t="s">
        <v>13477</v>
      </c>
      <c r="H2839" s="1406" t="s">
        <v>1037</v>
      </c>
    </row>
    <row r="2840" spans="1:8" x14ac:dyDescent="0.2">
      <c r="A2840" s="7"/>
      <c r="B2840" s="1407" t="str">
        <f t="shared" si="44"/>
        <v>Massimo Ubbiali</v>
      </c>
      <c r="C2840" s="1402" t="s">
        <v>8803</v>
      </c>
      <c r="D2840" s="1403" t="s">
        <v>3013</v>
      </c>
      <c r="E2840" s="1404" t="s">
        <v>8860</v>
      </c>
      <c r="F2840" s="1405" t="s">
        <v>5299</v>
      </c>
      <c r="G2840" s="1403" t="s">
        <v>8865</v>
      </c>
      <c r="H2840" s="1406" t="s">
        <v>1037</v>
      </c>
    </row>
    <row r="2841" spans="1:8" x14ac:dyDescent="0.2">
      <c r="A2841" s="7"/>
      <c r="B2841" s="1407" t="str">
        <f t="shared" si="44"/>
        <v>Mauro Cremona</v>
      </c>
      <c r="C2841" s="1402" t="s">
        <v>6675</v>
      </c>
      <c r="D2841" s="1403" t="s">
        <v>3204</v>
      </c>
      <c r="E2841" s="1404" t="s">
        <v>8861</v>
      </c>
      <c r="F2841" s="1405" t="s">
        <v>5300</v>
      </c>
      <c r="G2841" s="1403" t="s">
        <v>13477</v>
      </c>
      <c r="H2841" s="1406" t="s">
        <v>1037</v>
      </c>
    </row>
    <row r="2842" spans="1:8" x14ac:dyDescent="0.2">
      <c r="A2842" s="7"/>
      <c r="B2842" s="1407" t="str">
        <f t="shared" si="44"/>
        <v>Michele Marziani</v>
      </c>
      <c r="C2842" s="1402" t="s">
        <v>8804</v>
      </c>
      <c r="D2842" s="1403" t="s">
        <v>3216</v>
      </c>
      <c r="E2842" s="1404" t="s">
        <v>8862</v>
      </c>
      <c r="F2842" s="1405" t="s">
        <v>5300</v>
      </c>
      <c r="G2842" s="1403" t="s">
        <v>9699</v>
      </c>
      <c r="H2842" s="1406" t="s">
        <v>1037</v>
      </c>
    </row>
    <row r="2843" spans="1:8" x14ac:dyDescent="0.2">
      <c r="A2843" s="7"/>
      <c r="B2843" s="1407" t="str">
        <f t="shared" si="44"/>
        <v>Pietro Ugolini</v>
      </c>
      <c r="C2843" s="1402" t="s">
        <v>11509</v>
      </c>
      <c r="D2843" s="1403" t="s">
        <v>3233</v>
      </c>
      <c r="E2843" s="1404" t="s">
        <v>11522</v>
      </c>
      <c r="F2843" s="1405" t="s">
        <v>5300</v>
      </c>
      <c r="G2843" s="1403" t="s">
        <v>11329</v>
      </c>
      <c r="H2843" s="1406" t="s">
        <v>1037</v>
      </c>
    </row>
    <row r="2844" spans="1:8" x14ac:dyDescent="0.2">
      <c r="A2844" s="7"/>
      <c r="B2844" s="1407" t="str">
        <f t="shared" si="44"/>
        <v>Raffaele Fiorillo</v>
      </c>
      <c r="C2844" s="1402" t="s">
        <v>8805</v>
      </c>
      <c r="D2844" s="1403" t="s">
        <v>3370</v>
      </c>
      <c r="E2844" s="1404" t="s">
        <v>8863</v>
      </c>
      <c r="F2844" s="1405" t="s">
        <v>5300</v>
      </c>
      <c r="G2844" s="1403" t="s">
        <v>11328</v>
      </c>
      <c r="H2844" s="1406" t="s">
        <v>1037</v>
      </c>
    </row>
    <row r="2845" spans="1:8" x14ac:dyDescent="0.2">
      <c r="A2845" s="7"/>
      <c r="B2845" s="1407" t="str">
        <f t="shared" si="44"/>
        <v>Riccardo Rabacchin</v>
      </c>
      <c r="C2845" s="1402" t="s">
        <v>11039</v>
      </c>
      <c r="D2845" s="1403" t="s">
        <v>3270</v>
      </c>
      <c r="E2845" s="1404" t="s">
        <v>11129</v>
      </c>
      <c r="F2845" s="1405" t="s">
        <v>5300</v>
      </c>
      <c r="G2845" s="1403" t="s">
        <v>13477</v>
      </c>
      <c r="H2845" s="1406" t="s">
        <v>1037</v>
      </c>
    </row>
    <row r="2846" spans="1:8" x14ac:dyDescent="0.2">
      <c r="A2846" s="7"/>
      <c r="B2846" s="1407" t="str">
        <f t="shared" si="44"/>
        <v>Valerio Lombardo</v>
      </c>
      <c r="C2846" s="1402" t="s">
        <v>7427</v>
      </c>
      <c r="D2846" s="1403" t="s">
        <v>5652</v>
      </c>
      <c r="E2846" s="1404" t="s">
        <v>8864</v>
      </c>
      <c r="F2846" s="1405" t="s">
        <v>5300</v>
      </c>
      <c r="G2846" s="1403" t="s">
        <v>2777</v>
      </c>
      <c r="H2846" s="1406" t="s">
        <v>1037</v>
      </c>
    </row>
    <row r="2847" spans="1:8" x14ac:dyDescent="0.2">
      <c r="A2847" s="7"/>
      <c r="B2847" s="1407" t="str">
        <f t="shared" si="44"/>
        <v>Paolo Baglioni</v>
      </c>
      <c r="C2847" s="1402" t="s">
        <v>11364</v>
      </c>
      <c r="D2847" s="1403" t="s">
        <v>3119</v>
      </c>
      <c r="E2847" s="1404" t="s">
        <v>11402</v>
      </c>
      <c r="F2847" s="1405" t="s">
        <v>5300</v>
      </c>
      <c r="G2847" s="1403" t="s">
        <v>11468</v>
      </c>
      <c r="H2847" s="1406" t="s">
        <v>1037</v>
      </c>
    </row>
    <row r="2848" spans="1:8" x14ac:dyDescent="0.2">
      <c r="A2848" s="7"/>
      <c r="B2848" s="1407" t="str">
        <f t="shared" si="44"/>
        <v>Andrea De Santis</v>
      </c>
      <c r="C2848" s="1402" t="s">
        <v>8150</v>
      </c>
      <c r="D2848" s="1403" t="s">
        <v>3027</v>
      </c>
      <c r="E2848" s="1404" t="s">
        <v>9663</v>
      </c>
      <c r="F2848" s="1405" t="s">
        <v>5299</v>
      </c>
      <c r="G2848" s="1403" t="s">
        <v>11468</v>
      </c>
      <c r="H2848" s="1406" t="s">
        <v>1037</v>
      </c>
    </row>
    <row r="2849" spans="1:8" x14ac:dyDescent="0.2">
      <c r="A2849" s="7"/>
      <c r="B2849" s="1407" t="str">
        <f t="shared" si="44"/>
        <v>Lorenzo Aiani</v>
      </c>
      <c r="C2849" s="1402" t="s">
        <v>9960</v>
      </c>
      <c r="D2849" s="1403" t="s">
        <v>3155</v>
      </c>
      <c r="E2849" s="1404" t="s">
        <v>10138</v>
      </c>
      <c r="F2849" s="1405" t="s">
        <v>5300</v>
      </c>
      <c r="G2849" s="1403" t="s">
        <v>11328</v>
      </c>
      <c r="H2849" s="1406" t="s">
        <v>1037</v>
      </c>
    </row>
    <row r="2850" spans="1:8" x14ac:dyDescent="0.2">
      <c r="A2850" s="7"/>
      <c r="B2850" s="1407" t="str">
        <f t="shared" si="44"/>
        <v>Andrea Vincentini</v>
      </c>
      <c r="C2850" s="1402" t="s">
        <v>13936</v>
      </c>
      <c r="D2850" s="1403" t="s">
        <v>3027</v>
      </c>
      <c r="E2850" s="1404" t="s">
        <v>13937</v>
      </c>
      <c r="F2850" s="1405" t="s">
        <v>5300</v>
      </c>
      <c r="G2850" s="1403" t="s">
        <v>11328</v>
      </c>
      <c r="H2850" s="1406" t="s">
        <v>1037</v>
      </c>
    </row>
    <row r="2851" spans="1:8" x14ac:dyDescent="0.2">
      <c r="A2851" s="7"/>
      <c r="B2851" s="1407" t="str">
        <f t="shared" si="44"/>
        <v>Giampiero Pinto</v>
      </c>
      <c r="C2851" s="1402" t="s">
        <v>7365</v>
      </c>
      <c r="D2851" s="1403" t="s">
        <v>10068</v>
      </c>
      <c r="E2851" s="1404" t="s">
        <v>10139</v>
      </c>
      <c r="F2851" s="1405" t="s">
        <v>5300</v>
      </c>
      <c r="G2851" s="1403" t="s">
        <v>10274</v>
      </c>
      <c r="H2851" s="1406" t="s">
        <v>1037</v>
      </c>
    </row>
    <row r="2852" spans="1:8" x14ac:dyDescent="0.2">
      <c r="A2852" s="7"/>
      <c r="B2852" s="1407" t="str">
        <f t="shared" si="44"/>
        <v>Enrico Vito Perrino</v>
      </c>
      <c r="C2852" s="1402" t="s">
        <v>6513</v>
      </c>
      <c r="D2852" s="1403" t="s">
        <v>16028</v>
      </c>
      <c r="E2852" s="1404" t="s">
        <v>9664</v>
      </c>
      <c r="F2852" s="1405" t="s">
        <v>5300</v>
      </c>
      <c r="G2852" s="1403" t="s">
        <v>2749</v>
      </c>
      <c r="H2852" s="1406" t="s">
        <v>1037</v>
      </c>
    </row>
    <row r="2853" spans="1:8" x14ac:dyDescent="0.2">
      <c r="A2853" s="7"/>
      <c r="B2853" s="1407" t="str">
        <f t="shared" si="44"/>
        <v>Michelangelo Montecalvo</v>
      </c>
      <c r="C2853" s="1402" t="s">
        <v>9961</v>
      </c>
      <c r="D2853" s="1403" t="s">
        <v>3231</v>
      </c>
      <c r="E2853" s="1404" t="s">
        <v>10140</v>
      </c>
      <c r="F2853" s="1405" t="s">
        <v>5299</v>
      </c>
      <c r="G2853" s="1403" t="s">
        <v>2749</v>
      </c>
      <c r="H2853" s="1406" t="s">
        <v>1037</v>
      </c>
    </row>
    <row r="2854" spans="1:8" x14ac:dyDescent="0.2">
      <c r="A2854" s="7"/>
      <c r="B2854" s="1407" t="str">
        <f t="shared" si="44"/>
        <v>Alberto Gagliardi</v>
      </c>
      <c r="C2854" s="1402" t="s">
        <v>11040</v>
      </c>
      <c r="D2854" s="1403" t="s">
        <v>3042</v>
      </c>
      <c r="E2854" s="1404" t="s">
        <v>11130</v>
      </c>
      <c r="F2854" s="1405" t="s">
        <v>5300</v>
      </c>
      <c r="G2854" s="1403" t="s">
        <v>11326</v>
      </c>
      <c r="H2854" s="1406" t="s">
        <v>1037</v>
      </c>
    </row>
    <row r="2855" spans="1:8" x14ac:dyDescent="0.2">
      <c r="A2855" s="7"/>
      <c r="B2855" s="1407" t="str">
        <f t="shared" si="44"/>
        <v>Leonardo D'amico</v>
      </c>
      <c r="C2855" s="1402" t="s">
        <v>9637</v>
      </c>
      <c r="D2855" s="1403" t="s">
        <v>3633</v>
      </c>
      <c r="E2855" s="1404" t="s">
        <v>9665</v>
      </c>
      <c r="F2855" s="1405" t="s">
        <v>5300</v>
      </c>
      <c r="G2855" s="1403" t="s">
        <v>10275</v>
      </c>
      <c r="H2855" s="1406" t="s">
        <v>1037</v>
      </c>
    </row>
    <row r="2856" spans="1:8" x14ac:dyDescent="0.2">
      <c r="A2856" s="7"/>
      <c r="B2856" s="1407" t="str">
        <f t="shared" si="44"/>
        <v>Jury Di Tullio</v>
      </c>
      <c r="C2856" s="1402" t="s">
        <v>9638</v>
      </c>
      <c r="D2856" s="1403" t="s">
        <v>15480</v>
      </c>
      <c r="E2856" s="1404" t="s">
        <v>9666</v>
      </c>
      <c r="F2856" s="1405" t="s">
        <v>5300</v>
      </c>
      <c r="G2856" s="1403" t="s">
        <v>10275</v>
      </c>
      <c r="H2856" s="1406" t="s">
        <v>1037</v>
      </c>
    </row>
    <row r="2857" spans="1:8" x14ac:dyDescent="0.2">
      <c r="A2857" s="7"/>
      <c r="B2857" s="1407" t="str">
        <f t="shared" si="44"/>
        <v>Stefano Gambella</v>
      </c>
      <c r="C2857" s="1402" t="s">
        <v>9639</v>
      </c>
      <c r="D2857" s="1403" t="s">
        <v>3062</v>
      </c>
      <c r="E2857" s="1404" t="s">
        <v>9667</v>
      </c>
      <c r="F2857" s="1405" t="s">
        <v>5300</v>
      </c>
      <c r="G2857" s="1403" t="s">
        <v>10275</v>
      </c>
      <c r="H2857" s="1406" t="s">
        <v>1037</v>
      </c>
    </row>
    <row r="2858" spans="1:8" x14ac:dyDescent="0.2">
      <c r="A2858" s="7"/>
      <c r="B2858" s="1407" t="str">
        <f t="shared" si="44"/>
        <v>Paolo Guidara</v>
      </c>
      <c r="C2858" s="1402" t="s">
        <v>9640</v>
      </c>
      <c r="D2858" s="1403" t="s">
        <v>3119</v>
      </c>
      <c r="E2858" s="1404" t="s">
        <v>9668</v>
      </c>
      <c r="F2858" s="1405" t="s">
        <v>5300</v>
      </c>
      <c r="G2858" s="1403" t="s">
        <v>10275</v>
      </c>
      <c r="H2858" s="1406" t="s">
        <v>1037</v>
      </c>
    </row>
    <row r="2859" spans="1:8" x14ac:dyDescent="0.2">
      <c r="A2859" s="7"/>
      <c r="B2859" s="1407" t="str">
        <f t="shared" si="44"/>
        <v>Rocco Antonio Iarlori</v>
      </c>
      <c r="C2859" s="1402" t="s">
        <v>9641</v>
      </c>
      <c r="D2859" s="1403" t="s">
        <v>9655</v>
      </c>
      <c r="E2859" s="1404" t="s">
        <v>9669</v>
      </c>
      <c r="F2859" s="1405" t="s">
        <v>5299</v>
      </c>
      <c r="G2859" s="1403" t="s">
        <v>10275</v>
      </c>
      <c r="H2859" s="1406" t="s">
        <v>1037</v>
      </c>
    </row>
    <row r="2860" spans="1:8" x14ac:dyDescent="0.2">
      <c r="A2860" s="7"/>
      <c r="B2860" s="1407" t="str">
        <f t="shared" si="44"/>
        <v>Mario Marcolini</v>
      </c>
      <c r="C2860" s="1402" t="s">
        <v>9642</v>
      </c>
      <c r="D2860" s="1403" t="s">
        <v>3079</v>
      </c>
      <c r="E2860" s="1404" t="s">
        <v>9670</v>
      </c>
      <c r="F2860" s="1405" t="s">
        <v>5300</v>
      </c>
      <c r="G2860" s="1403" t="s">
        <v>10275</v>
      </c>
      <c r="H2860" s="1406" t="s">
        <v>1037</v>
      </c>
    </row>
    <row r="2861" spans="1:8" x14ac:dyDescent="0.2">
      <c r="A2861" s="7"/>
      <c r="B2861" s="1407" t="str">
        <f t="shared" si="44"/>
        <v>Andrea Senesi</v>
      </c>
      <c r="C2861" s="1402" t="s">
        <v>9643</v>
      </c>
      <c r="D2861" s="1403" t="s">
        <v>3027</v>
      </c>
      <c r="E2861" s="1404" t="s">
        <v>9671</v>
      </c>
      <c r="F2861" s="1405" t="s">
        <v>5299</v>
      </c>
      <c r="G2861" s="1403" t="s">
        <v>10275</v>
      </c>
      <c r="H2861" s="1406" t="s">
        <v>1037</v>
      </c>
    </row>
    <row r="2862" spans="1:8" x14ac:dyDescent="0.2">
      <c r="A2862" s="7"/>
      <c r="B2862" s="1407" t="str">
        <f t="shared" si="44"/>
        <v>Fabio Pasquini</v>
      </c>
      <c r="C2862" s="1402" t="s">
        <v>6629</v>
      </c>
      <c r="D2862" s="1403" t="s">
        <v>3133</v>
      </c>
      <c r="E2862" s="1404" t="s">
        <v>10141</v>
      </c>
      <c r="F2862" s="1405" t="s">
        <v>5300</v>
      </c>
      <c r="G2862" s="1403" t="s">
        <v>9698</v>
      </c>
      <c r="H2862" s="1406" t="s">
        <v>1037</v>
      </c>
    </row>
    <row r="2863" spans="1:8" x14ac:dyDescent="0.2">
      <c r="A2863" s="7"/>
      <c r="B2863" s="1407" t="str">
        <f t="shared" si="44"/>
        <v>Vincenzo Santaniello</v>
      </c>
      <c r="C2863" s="1402" t="s">
        <v>16185</v>
      </c>
      <c r="D2863" s="1403" t="s">
        <v>3163</v>
      </c>
      <c r="E2863" s="1404" t="s">
        <v>16186</v>
      </c>
      <c r="F2863" s="1405" t="s">
        <v>5299</v>
      </c>
      <c r="G2863" s="1403" t="s">
        <v>9698</v>
      </c>
      <c r="H2863" s="1406" t="s">
        <v>1037</v>
      </c>
    </row>
    <row r="2864" spans="1:8" x14ac:dyDescent="0.2">
      <c r="A2864" s="7"/>
      <c r="B2864" s="1407" t="str">
        <f t="shared" si="44"/>
        <v>Giuseppe Zaccardo</v>
      </c>
      <c r="C2864" s="1402" t="s">
        <v>9962</v>
      </c>
      <c r="D2864" s="1403" t="s">
        <v>3122</v>
      </c>
      <c r="E2864" s="1404" t="s">
        <v>10142</v>
      </c>
      <c r="F2864" s="1405" t="s">
        <v>5300</v>
      </c>
      <c r="G2864" s="1403" t="s">
        <v>9698</v>
      </c>
      <c r="H2864" s="1406" t="s">
        <v>1037</v>
      </c>
    </row>
    <row r="2865" spans="1:8" x14ac:dyDescent="0.2">
      <c r="A2865" s="7"/>
      <c r="B2865" s="1407" t="str">
        <f t="shared" si="44"/>
        <v>Nicola Dragoni</v>
      </c>
      <c r="C2865" s="1402" t="s">
        <v>9963</v>
      </c>
      <c r="D2865" s="1403" t="s">
        <v>3191</v>
      </c>
      <c r="E2865" s="1404" t="s">
        <v>10143</v>
      </c>
      <c r="F2865" s="1405" t="s">
        <v>5300</v>
      </c>
      <c r="G2865" s="1403" t="s">
        <v>9698</v>
      </c>
      <c r="H2865" s="1406" t="s">
        <v>1037</v>
      </c>
    </row>
    <row r="2866" spans="1:8" x14ac:dyDescent="0.2">
      <c r="A2866" s="7"/>
      <c r="B2866" s="1407" t="str">
        <f t="shared" si="44"/>
        <v>Paolo Bastianoni</v>
      </c>
      <c r="C2866" s="1402" t="s">
        <v>17183</v>
      </c>
      <c r="D2866" s="1403" t="s">
        <v>3119</v>
      </c>
      <c r="E2866" s="1404" t="s">
        <v>17184</v>
      </c>
      <c r="F2866" s="1405" t="s">
        <v>5300</v>
      </c>
      <c r="G2866" s="1403" t="s">
        <v>9698</v>
      </c>
      <c r="H2866" s="1406" t="s">
        <v>1037</v>
      </c>
    </row>
    <row r="2867" spans="1:8" x14ac:dyDescent="0.2">
      <c r="A2867" s="7"/>
      <c r="B2867" s="1407" t="str">
        <f t="shared" si="44"/>
        <v>Ali Nasri</v>
      </c>
      <c r="C2867" s="1402" t="s">
        <v>9644</v>
      </c>
      <c r="D2867" s="1403" t="s">
        <v>10069</v>
      </c>
      <c r="E2867" s="1404" t="s">
        <v>10144</v>
      </c>
      <c r="F2867" s="1405" t="s">
        <v>5300</v>
      </c>
      <c r="G2867" s="1403" t="s">
        <v>9698</v>
      </c>
      <c r="H2867" s="1406" t="s">
        <v>1037</v>
      </c>
    </row>
    <row r="2868" spans="1:8" x14ac:dyDescent="0.2">
      <c r="A2868" s="7"/>
      <c r="B2868" s="1407" t="str">
        <f t="shared" si="44"/>
        <v>Enea Nasri</v>
      </c>
      <c r="C2868" s="1402" t="s">
        <v>9644</v>
      </c>
      <c r="D2868" s="1403" t="s">
        <v>9656</v>
      </c>
      <c r="E2868" s="1404" t="s">
        <v>9672</v>
      </c>
      <c r="F2868" s="1405" t="s">
        <v>13210</v>
      </c>
      <c r="G2868" s="1403" t="s">
        <v>9698</v>
      </c>
      <c r="H2868" s="1406" t="s">
        <v>1037</v>
      </c>
    </row>
    <row r="2869" spans="1:8" x14ac:dyDescent="0.2">
      <c r="A2869" s="7"/>
      <c r="B2869" s="1407" t="str">
        <f t="shared" si="44"/>
        <v>Luigi Santise</v>
      </c>
      <c r="C2869" s="1402" t="s">
        <v>9645</v>
      </c>
      <c r="D2869" s="1403" t="s">
        <v>3339</v>
      </c>
      <c r="E2869" s="1404" t="s">
        <v>9673</v>
      </c>
      <c r="F2869" s="1405" t="s">
        <v>5300</v>
      </c>
      <c r="G2869" s="1403" t="s">
        <v>2787</v>
      </c>
      <c r="H2869" s="1406" t="s">
        <v>1037</v>
      </c>
    </row>
    <row r="2870" spans="1:8" x14ac:dyDescent="0.2">
      <c r="A2870" s="7"/>
      <c r="B2870" s="1407" t="str">
        <f t="shared" si="44"/>
        <v>Alessandro Dazzi</v>
      </c>
      <c r="C2870" s="1402" t="s">
        <v>9964</v>
      </c>
      <c r="D2870" s="1403" t="s">
        <v>3125</v>
      </c>
      <c r="E2870" s="1404" t="s">
        <v>10145</v>
      </c>
      <c r="F2870" s="1405" t="s">
        <v>5300</v>
      </c>
      <c r="G2870" s="1403" t="s">
        <v>13477</v>
      </c>
      <c r="H2870" s="1406" t="s">
        <v>1037</v>
      </c>
    </row>
    <row r="2871" spans="1:8" x14ac:dyDescent="0.2">
      <c r="A2871" s="7"/>
      <c r="B2871" s="1407" t="str">
        <f t="shared" si="44"/>
        <v>Giovanni Marconcini</v>
      </c>
      <c r="C2871" s="1402" t="s">
        <v>9965</v>
      </c>
      <c r="D2871" s="1403" t="s">
        <v>3371</v>
      </c>
      <c r="E2871" s="1404" t="s">
        <v>10146</v>
      </c>
      <c r="F2871" s="1405" t="s">
        <v>5300</v>
      </c>
      <c r="G2871" s="1403" t="s">
        <v>13477</v>
      </c>
      <c r="H2871" s="1406" t="s">
        <v>1037</v>
      </c>
    </row>
    <row r="2872" spans="1:8" x14ac:dyDescent="0.2">
      <c r="A2872" s="7"/>
      <c r="B2872" s="1407" t="str">
        <f t="shared" si="44"/>
        <v>Sebastiano Pireddu</v>
      </c>
      <c r="C2872" s="1402" t="s">
        <v>16058</v>
      </c>
      <c r="D2872" s="1403" t="s">
        <v>16059</v>
      </c>
      <c r="E2872" s="1404" t="s">
        <v>16060</v>
      </c>
      <c r="F2872" s="1405" t="s">
        <v>5299</v>
      </c>
      <c r="G2872" s="1403" t="s">
        <v>13477</v>
      </c>
      <c r="H2872" s="1406" t="s">
        <v>1037</v>
      </c>
    </row>
    <row r="2873" spans="1:8" x14ac:dyDescent="0.2">
      <c r="A2873" s="7"/>
      <c r="B2873" s="1407" t="str">
        <f t="shared" si="44"/>
        <v>Ilario Spagnoli</v>
      </c>
      <c r="C2873" s="1402" t="s">
        <v>9966</v>
      </c>
      <c r="D2873" s="1403" t="s">
        <v>5612</v>
      </c>
      <c r="E2873" s="1404" t="s">
        <v>10147</v>
      </c>
      <c r="F2873" s="1405" t="s">
        <v>5300</v>
      </c>
      <c r="G2873" s="1403" t="s">
        <v>13477</v>
      </c>
      <c r="H2873" s="1406" t="s">
        <v>1037</v>
      </c>
    </row>
    <row r="2874" spans="1:8" x14ac:dyDescent="0.2">
      <c r="A2874" s="7"/>
      <c r="B2874" s="1407" t="str">
        <f t="shared" si="44"/>
        <v>Roberto Mazzucchi</v>
      </c>
      <c r="C2874" s="1402" t="s">
        <v>9967</v>
      </c>
      <c r="D2874" s="1403" t="s">
        <v>3279</v>
      </c>
      <c r="E2874" s="1404" t="s">
        <v>10148</v>
      </c>
      <c r="F2874" s="1405" t="s">
        <v>5300</v>
      </c>
      <c r="G2874" s="1403" t="s">
        <v>2759</v>
      </c>
      <c r="H2874" s="1406" t="s">
        <v>1037</v>
      </c>
    </row>
    <row r="2875" spans="1:8" x14ac:dyDescent="0.2">
      <c r="A2875" s="7"/>
      <c r="B2875" s="1407" t="str">
        <f t="shared" si="44"/>
        <v>Marco Nicastro</v>
      </c>
      <c r="C2875" s="1402" t="s">
        <v>9968</v>
      </c>
      <c r="D2875" s="1403" t="s">
        <v>3109</v>
      </c>
      <c r="E2875" s="1404" t="s">
        <v>10149</v>
      </c>
      <c r="F2875" s="1405" t="s">
        <v>5300</v>
      </c>
      <c r="G2875" s="1403" t="s">
        <v>2759</v>
      </c>
      <c r="H2875" s="1406" t="s">
        <v>1037</v>
      </c>
    </row>
    <row r="2876" spans="1:8" x14ac:dyDescent="0.2">
      <c r="A2876" s="7"/>
      <c r="B2876" s="1407" t="str">
        <f t="shared" si="44"/>
        <v>Maurizio Presutti</v>
      </c>
      <c r="C2876" s="1402" t="s">
        <v>9969</v>
      </c>
      <c r="D2876" s="1403" t="s">
        <v>3148</v>
      </c>
      <c r="E2876" s="1404" t="s">
        <v>10150</v>
      </c>
      <c r="F2876" s="1405" t="s">
        <v>5300</v>
      </c>
      <c r="G2876" s="1403" t="s">
        <v>13324</v>
      </c>
      <c r="H2876" s="1406" t="s">
        <v>1037</v>
      </c>
    </row>
    <row r="2877" spans="1:8" x14ac:dyDescent="0.2">
      <c r="A2877" s="7"/>
      <c r="B2877" s="1407" t="str">
        <f t="shared" si="44"/>
        <v>Enrico Ronchetti</v>
      </c>
      <c r="C2877" s="1402" t="s">
        <v>9970</v>
      </c>
      <c r="D2877" s="1403" t="s">
        <v>3132</v>
      </c>
      <c r="E2877" s="1404" t="s">
        <v>10151</v>
      </c>
      <c r="F2877" s="1405" t="s">
        <v>5300</v>
      </c>
      <c r="G2877" s="1403" t="s">
        <v>13324</v>
      </c>
      <c r="H2877" s="1406" t="s">
        <v>1037</v>
      </c>
    </row>
    <row r="2878" spans="1:8" x14ac:dyDescent="0.2">
      <c r="A2878" s="7"/>
      <c r="B2878" s="1407" t="str">
        <f t="shared" si="44"/>
        <v>Massimiliano Painelli</v>
      </c>
      <c r="C2878" s="1402" t="s">
        <v>9971</v>
      </c>
      <c r="D2878" s="1403" t="s">
        <v>3023</v>
      </c>
      <c r="E2878" s="1404" t="s">
        <v>10152</v>
      </c>
      <c r="F2878" s="1405" t="s">
        <v>5300</v>
      </c>
      <c r="G2878" s="1403" t="s">
        <v>2759</v>
      </c>
      <c r="H2878" s="1406" t="s">
        <v>1037</v>
      </c>
    </row>
    <row r="2879" spans="1:8" x14ac:dyDescent="0.2">
      <c r="A2879" s="7"/>
      <c r="B2879" s="1407" t="str">
        <f t="shared" si="44"/>
        <v>Michele Fenucci</v>
      </c>
      <c r="C2879" s="1402" t="s">
        <v>9972</v>
      </c>
      <c r="D2879" s="1403" t="s">
        <v>3216</v>
      </c>
      <c r="E2879" s="1404" t="s">
        <v>10153</v>
      </c>
      <c r="F2879" s="1405" t="s">
        <v>5300</v>
      </c>
      <c r="G2879" s="1403" t="s">
        <v>2759</v>
      </c>
      <c r="H2879" s="1406" t="s">
        <v>1037</v>
      </c>
    </row>
    <row r="2880" spans="1:8" x14ac:dyDescent="0.2">
      <c r="A2880" s="7"/>
      <c r="B2880" s="1407" t="str">
        <f t="shared" si="44"/>
        <v>Vito Antonino Famà</v>
      </c>
      <c r="C2880" s="1402" t="s">
        <v>9973</v>
      </c>
      <c r="D2880" s="1403" t="s">
        <v>10070</v>
      </c>
      <c r="E2880" s="1404" t="s">
        <v>10154</v>
      </c>
      <c r="F2880" s="1405" t="s">
        <v>5299</v>
      </c>
      <c r="G2880" s="1403" t="s">
        <v>14879</v>
      </c>
      <c r="H2880" s="1406" t="s">
        <v>1037</v>
      </c>
    </row>
    <row r="2881" spans="1:8" x14ac:dyDescent="0.2">
      <c r="A2881" s="7"/>
      <c r="B2881" s="1407" t="str">
        <f t="shared" si="44"/>
        <v>Monica Perdichizzi</v>
      </c>
      <c r="C2881" s="1402" t="s">
        <v>9646</v>
      </c>
      <c r="D2881" s="1403" t="s">
        <v>6492</v>
      </c>
      <c r="E2881" s="1404" t="s">
        <v>9674</v>
      </c>
      <c r="F2881" s="1405" t="s">
        <v>5299</v>
      </c>
      <c r="G2881" s="1403" t="s">
        <v>14879</v>
      </c>
      <c r="H2881" s="1406" t="s">
        <v>1037</v>
      </c>
    </row>
    <row r="2882" spans="1:8" x14ac:dyDescent="0.2">
      <c r="A2882" s="7"/>
      <c r="B2882" s="1407" t="str">
        <f t="shared" si="44"/>
        <v>Paolo Ciboldi</v>
      </c>
      <c r="C2882" s="1402" t="s">
        <v>9647</v>
      </c>
      <c r="D2882" s="1403" t="s">
        <v>3119</v>
      </c>
      <c r="E2882" s="1404" t="s">
        <v>9675</v>
      </c>
      <c r="F2882" s="1405" t="s">
        <v>5300</v>
      </c>
      <c r="G2882" s="1403" t="s">
        <v>14683</v>
      </c>
      <c r="H2882" s="1406" t="s">
        <v>1037</v>
      </c>
    </row>
    <row r="2883" spans="1:8" x14ac:dyDescent="0.2">
      <c r="A2883" s="7"/>
      <c r="B2883" s="1407" t="str">
        <f t="shared" si="44"/>
        <v>Andrea Barabino</v>
      </c>
      <c r="C2883" s="1402" t="s">
        <v>9974</v>
      </c>
      <c r="D2883" s="1403" t="s">
        <v>3027</v>
      </c>
      <c r="E2883" s="1404" t="s">
        <v>10155</v>
      </c>
      <c r="F2883" s="1405" t="s">
        <v>5299</v>
      </c>
      <c r="G2883" s="1403" t="s">
        <v>13595</v>
      </c>
      <c r="H2883" s="1406" t="s">
        <v>1037</v>
      </c>
    </row>
    <row r="2884" spans="1:8" x14ac:dyDescent="0.2">
      <c r="A2884" s="7"/>
      <c r="B2884" s="1407" t="str">
        <f t="shared" si="44"/>
        <v>Andrea Di Terlizzi</v>
      </c>
      <c r="C2884" s="1402" t="s">
        <v>9975</v>
      </c>
      <c r="D2884" s="1403" t="s">
        <v>3027</v>
      </c>
      <c r="E2884" s="1404" t="s">
        <v>10156</v>
      </c>
      <c r="F2884" s="1405" t="s">
        <v>5300</v>
      </c>
      <c r="G2884" s="1403" t="s">
        <v>13595</v>
      </c>
      <c r="H2884" s="1406" t="s">
        <v>1037</v>
      </c>
    </row>
    <row r="2885" spans="1:8" x14ac:dyDescent="0.2">
      <c r="A2885" s="7"/>
      <c r="B2885" s="1407" t="str">
        <f t="shared" si="44"/>
        <v>Fabio Nardulli</v>
      </c>
      <c r="C2885" s="1402" t="s">
        <v>9976</v>
      </c>
      <c r="D2885" s="1403" t="s">
        <v>3133</v>
      </c>
      <c r="E2885" s="1404" t="s">
        <v>10157</v>
      </c>
      <c r="F2885" s="1405" t="s">
        <v>5299</v>
      </c>
      <c r="G2885" s="1403" t="s">
        <v>13595</v>
      </c>
      <c r="H2885" s="1406" t="s">
        <v>1037</v>
      </c>
    </row>
    <row r="2886" spans="1:8" x14ac:dyDescent="0.2">
      <c r="A2886" s="7"/>
      <c r="B2886" s="1407" t="str">
        <f t="shared" si="44"/>
        <v>Paolo Tolve</v>
      </c>
      <c r="C2886" s="1402" t="s">
        <v>13938</v>
      </c>
      <c r="D2886" s="1403" t="s">
        <v>3119</v>
      </c>
      <c r="E2886" s="1404" t="s">
        <v>13939</v>
      </c>
      <c r="F2886" s="1405" t="s">
        <v>5299</v>
      </c>
      <c r="G2886" s="1403" t="s">
        <v>13596</v>
      </c>
      <c r="H2886" s="1406" t="s">
        <v>1037</v>
      </c>
    </row>
    <row r="2887" spans="1:8" x14ac:dyDescent="0.2">
      <c r="A2887" s="7"/>
      <c r="B2887" s="1407" t="str">
        <f t="shared" ref="B2887:B2950" si="45">TRIM(CONCATENATE(D2887," ",C2887))</f>
        <v>Lorenzo Lazzaretti</v>
      </c>
      <c r="C2887" s="1402" t="s">
        <v>6466</v>
      </c>
      <c r="D2887" s="1403" t="s">
        <v>3155</v>
      </c>
      <c r="E2887" s="1404" t="s">
        <v>9676</v>
      </c>
      <c r="F2887" s="1405" t="s">
        <v>5299</v>
      </c>
      <c r="G2887" s="1403" t="s">
        <v>2777</v>
      </c>
      <c r="H2887" s="1406" t="s">
        <v>1037</v>
      </c>
    </row>
    <row r="2888" spans="1:8" x14ac:dyDescent="0.2">
      <c r="A2888" s="7"/>
      <c r="B2888" s="1407" t="str">
        <f t="shared" si="45"/>
        <v>Giulio Sergi</v>
      </c>
      <c r="C2888" s="1402" t="s">
        <v>6544</v>
      </c>
      <c r="D2888" s="1403" t="s">
        <v>3583</v>
      </c>
      <c r="E2888" s="1404" t="s">
        <v>9677</v>
      </c>
      <c r="F2888" s="1405" t="s">
        <v>5300</v>
      </c>
      <c r="G2888" s="1403" t="s">
        <v>16490</v>
      </c>
      <c r="H2888" s="1406" t="s">
        <v>1037</v>
      </c>
    </row>
    <row r="2889" spans="1:8" x14ac:dyDescent="0.2">
      <c r="A2889" s="7"/>
      <c r="B2889" s="1407" t="str">
        <f t="shared" si="45"/>
        <v>Christian Canessa</v>
      </c>
      <c r="C2889" s="1402" t="s">
        <v>9977</v>
      </c>
      <c r="D2889" s="1403" t="s">
        <v>3063</v>
      </c>
      <c r="E2889" s="1404" t="s">
        <v>10158</v>
      </c>
      <c r="F2889" s="1405" t="s">
        <v>5300</v>
      </c>
      <c r="G2889" s="1403" t="s">
        <v>13596</v>
      </c>
      <c r="H2889" s="1406" t="s">
        <v>1037</v>
      </c>
    </row>
    <row r="2890" spans="1:8" x14ac:dyDescent="0.2">
      <c r="A2890" s="7"/>
      <c r="B2890" s="1407" t="str">
        <f t="shared" si="45"/>
        <v>Enrico Frisone</v>
      </c>
      <c r="C2890" s="1402" t="s">
        <v>9978</v>
      </c>
      <c r="D2890" s="1403" t="s">
        <v>3132</v>
      </c>
      <c r="E2890" s="1404" t="s">
        <v>10159</v>
      </c>
      <c r="F2890" s="1405" t="s">
        <v>5300</v>
      </c>
      <c r="G2890" s="1403" t="s">
        <v>13596</v>
      </c>
      <c r="H2890" s="1406" t="s">
        <v>1037</v>
      </c>
    </row>
    <row r="2891" spans="1:8" x14ac:dyDescent="0.2">
      <c r="A2891" s="7"/>
      <c r="B2891" s="1407" t="str">
        <f t="shared" si="45"/>
        <v>Massimo Nativo</v>
      </c>
      <c r="C2891" s="1402" t="s">
        <v>9979</v>
      </c>
      <c r="D2891" s="1403" t="s">
        <v>3013</v>
      </c>
      <c r="E2891" s="1404" t="s">
        <v>10160</v>
      </c>
      <c r="F2891" s="1405" t="s">
        <v>5299</v>
      </c>
      <c r="G2891" s="1403" t="s">
        <v>13596</v>
      </c>
      <c r="H2891" s="1406" t="s">
        <v>1037</v>
      </c>
    </row>
    <row r="2892" spans="1:8" x14ac:dyDescent="0.2">
      <c r="A2892" s="7"/>
      <c r="B2892" s="1407" t="str">
        <f t="shared" si="45"/>
        <v>Eric Fasce Canessa</v>
      </c>
      <c r="C2892" s="1402" t="s">
        <v>9977</v>
      </c>
      <c r="D2892" s="1403" t="s">
        <v>10071</v>
      </c>
      <c r="E2892" s="1404" t="s">
        <v>10161</v>
      </c>
      <c r="F2892" s="1405" t="s">
        <v>5299</v>
      </c>
      <c r="G2892" s="1403" t="s">
        <v>13596</v>
      </c>
      <c r="H2892" s="1406" t="s">
        <v>1037</v>
      </c>
    </row>
    <row r="2893" spans="1:8" x14ac:dyDescent="0.2">
      <c r="A2893" s="7"/>
      <c r="B2893" s="1407" t="str">
        <f t="shared" si="45"/>
        <v>Giorgio Frisone</v>
      </c>
      <c r="C2893" s="1402" t="s">
        <v>9978</v>
      </c>
      <c r="D2893" s="1403" t="s">
        <v>3643</v>
      </c>
      <c r="E2893" s="1404" t="s">
        <v>10162</v>
      </c>
      <c r="F2893" s="1405" t="s">
        <v>5299</v>
      </c>
      <c r="G2893" s="1403" t="s">
        <v>13596</v>
      </c>
      <c r="H2893" s="1406" t="s">
        <v>1037</v>
      </c>
    </row>
    <row r="2894" spans="1:8" x14ac:dyDescent="0.2">
      <c r="A2894" s="7"/>
      <c r="B2894" s="1407" t="str">
        <f t="shared" si="45"/>
        <v>Luca Parodi</v>
      </c>
      <c r="C2894" s="1402" t="s">
        <v>9980</v>
      </c>
      <c r="D2894" s="1403" t="s">
        <v>3198</v>
      </c>
      <c r="E2894" s="1404" t="s">
        <v>10163</v>
      </c>
      <c r="F2894" s="1405" t="s">
        <v>5300</v>
      </c>
      <c r="G2894" s="1403" t="s">
        <v>13596</v>
      </c>
      <c r="H2894" s="1406" t="s">
        <v>1037</v>
      </c>
    </row>
    <row r="2895" spans="1:8" x14ac:dyDescent="0.2">
      <c r="A2895" s="7"/>
      <c r="B2895" s="1407" t="str">
        <f t="shared" si="45"/>
        <v>John Vecchiarelli</v>
      </c>
      <c r="C2895" s="1402" t="s">
        <v>9981</v>
      </c>
      <c r="D2895" s="1403" t="s">
        <v>3250</v>
      </c>
      <c r="E2895" s="1404" t="s">
        <v>10164</v>
      </c>
      <c r="F2895" s="1405" t="s">
        <v>5300</v>
      </c>
      <c r="G2895" s="1403" t="s">
        <v>9699</v>
      </c>
      <c r="H2895" s="1406" t="s">
        <v>1037</v>
      </c>
    </row>
    <row r="2896" spans="1:8" x14ac:dyDescent="0.2">
      <c r="A2896" s="7"/>
      <c r="B2896" s="1407" t="str">
        <f t="shared" si="45"/>
        <v>Marco Grassini</v>
      </c>
      <c r="C2896" s="1402" t="s">
        <v>9982</v>
      </c>
      <c r="D2896" s="1403" t="s">
        <v>3109</v>
      </c>
      <c r="E2896" s="1404" t="s">
        <v>10165</v>
      </c>
      <c r="F2896" s="1405" t="s">
        <v>5300</v>
      </c>
      <c r="G2896" s="1403" t="s">
        <v>9699</v>
      </c>
      <c r="H2896" s="1406" t="s">
        <v>1037</v>
      </c>
    </row>
    <row r="2897" spans="1:8" x14ac:dyDescent="0.2">
      <c r="A2897" s="7"/>
      <c r="B2897" s="1407" t="str">
        <f t="shared" si="45"/>
        <v>Marcello Gualerci</v>
      </c>
      <c r="C2897" s="1402" t="s">
        <v>9983</v>
      </c>
      <c r="D2897" s="1403" t="s">
        <v>3258</v>
      </c>
      <c r="E2897" s="1404" t="s">
        <v>10166</v>
      </c>
      <c r="F2897" s="1405" t="s">
        <v>5300</v>
      </c>
      <c r="G2897" s="1403" t="s">
        <v>9699</v>
      </c>
      <c r="H2897" s="1406" t="s">
        <v>1037</v>
      </c>
    </row>
    <row r="2898" spans="1:8" x14ac:dyDescent="0.2">
      <c r="A2898" s="7"/>
      <c r="B2898" s="1407" t="str">
        <f t="shared" si="45"/>
        <v>Giacomo Pozzi</v>
      </c>
      <c r="C2898" s="1402" t="s">
        <v>9984</v>
      </c>
      <c r="D2898" s="1403" t="s">
        <v>3615</v>
      </c>
      <c r="E2898" s="1404" t="s">
        <v>10167</v>
      </c>
      <c r="F2898" s="1405" t="s">
        <v>5300</v>
      </c>
      <c r="G2898" s="1403" t="s">
        <v>9699</v>
      </c>
      <c r="H2898" s="1406" t="s">
        <v>1037</v>
      </c>
    </row>
    <row r="2899" spans="1:8" x14ac:dyDescent="0.2">
      <c r="A2899" s="7"/>
      <c r="B2899" s="1407" t="str">
        <f t="shared" si="45"/>
        <v>Cristiano Craviotto</v>
      </c>
      <c r="C2899" s="1402" t="s">
        <v>9648</v>
      </c>
      <c r="D2899" s="1403" t="s">
        <v>6409</v>
      </c>
      <c r="E2899" s="1404" t="s">
        <v>9678</v>
      </c>
      <c r="F2899" s="1405" t="s">
        <v>5300</v>
      </c>
      <c r="G2899" s="1403" t="s">
        <v>13596</v>
      </c>
      <c r="H2899" s="1406" t="s">
        <v>1037</v>
      </c>
    </row>
    <row r="2900" spans="1:8" x14ac:dyDescent="0.2">
      <c r="A2900" s="7"/>
      <c r="B2900" s="1407" t="str">
        <f t="shared" si="45"/>
        <v>Ettore Molino</v>
      </c>
      <c r="C2900" s="1402" t="s">
        <v>17185</v>
      </c>
      <c r="D2900" s="1403" t="s">
        <v>3528</v>
      </c>
      <c r="E2900" s="1404" t="s">
        <v>17186</v>
      </c>
      <c r="F2900" s="1405" t="s">
        <v>5300</v>
      </c>
      <c r="G2900" s="1403" t="s">
        <v>9702</v>
      </c>
      <c r="H2900" s="1406" t="s">
        <v>1037</v>
      </c>
    </row>
    <row r="2901" spans="1:8" x14ac:dyDescent="0.2">
      <c r="A2901" s="7"/>
      <c r="B2901" s="1407" t="str">
        <f t="shared" si="45"/>
        <v>Marco Caviglia</v>
      </c>
      <c r="C2901" s="1402" t="s">
        <v>6392</v>
      </c>
      <c r="D2901" s="1403" t="s">
        <v>3109</v>
      </c>
      <c r="E2901" s="1404" t="s">
        <v>9679</v>
      </c>
      <c r="F2901" s="1405" t="s">
        <v>5300</v>
      </c>
      <c r="G2901" s="1403" t="s">
        <v>2777</v>
      </c>
      <c r="H2901" s="1406" t="s">
        <v>1037</v>
      </c>
    </row>
    <row r="2902" spans="1:8" x14ac:dyDescent="0.2">
      <c r="A2902" s="7"/>
      <c r="B2902" s="1407" t="str">
        <f t="shared" si="45"/>
        <v>Costantino Bevilacqua</v>
      </c>
      <c r="C2902" s="1402" t="s">
        <v>6598</v>
      </c>
      <c r="D2902" s="1403" t="s">
        <v>10067</v>
      </c>
      <c r="E2902" s="1404" t="s">
        <v>10168</v>
      </c>
      <c r="F2902" s="1405" t="s">
        <v>5300</v>
      </c>
      <c r="G2902" s="1403" t="s">
        <v>13596</v>
      </c>
      <c r="H2902" s="1406" t="s">
        <v>1037</v>
      </c>
    </row>
    <row r="2903" spans="1:8" x14ac:dyDescent="0.2">
      <c r="A2903" s="7"/>
      <c r="B2903" s="1407" t="str">
        <f t="shared" si="45"/>
        <v>Michele Sirica</v>
      </c>
      <c r="C2903" s="1402" t="s">
        <v>6549</v>
      </c>
      <c r="D2903" s="1403" t="s">
        <v>3216</v>
      </c>
      <c r="E2903" s="1404" t="s">
        <v>9680</v>
      </c>
      <c r="F2903" s="1405" t="s">
        <v>5299</v>
      </c>
      <c r="G2903" s="1403" t="s">
        <v>16897</v>
      </c>
      <c r="H2903" s="1406" t="s">
        <v>1037</v>
      </c>
    </row>
    <row r="2904" spans="1:8" x14ac:dyDescent="0.2">
      <c r="A2904" s="7"/>
      <c r="B2904" s="1407" t="str">
        <f t="shared" si="45"/>
        <v>Franco Forino</v>
      </c>
      <c r="C2904" s="1402" t="s">
        <v>8148</v>
      </c>
      <c r="D2904" s="1403" t="s">
        <v>5778</v>
      </c>
      <c r="E2904" s="1404" t="s">
        <v>9681</v>
      </c>
      <c r="F2904" s="1405" t="s">
        <v>5300</v>
      </c>
      <c r="G2904" s="1403" t="s">
        <v>7881</v>
      </c>
      <c r="H2904" s="1406" t="s">
        <v>1037</v>
      </c>
    </row>
    <row r="2905" spans="1:8" x14ac:dyDescent="0.2">
      <c r="A2905" s="7"/>
      <c r="B2905" s="1407" t="str">
        <f t="shared" si="45"/>
        <v>Leonardo Lista</v>
      </c>
      <c r="C2905" s="1402" t="s">
        <v>9985</v>
      </c>
      <c r="D2905" s="1403" t="s">
        <v>3633</v>
      </c>
      <c r="E2905" s="1404" t="s">
        <v>10169</v>
      </c>
      <c r="F2905" s="1405" t="s">
        <v>5300</v>
      </c>
      <c r="G2905" s="1403" t="s">
        <v>13321</v>
      </c>
      <c r="H2905" s="1406" t="s">
        <v>1037</v>
      </c>
    </row>
    <row r="2906" spans="1:8" x14ac:dyDescent="0.2">
      <c r="A2906" s="7"/>
      <c r="B2906" s="1407" t="str">
        <f t="shared" si="45"/>
        <v>Alessandro Zampieri</v>
      </c>
      <c r="C2906" s="1402" t="s">
        <v>9986</v>
      </c>
      <c r="D2906" s="1403" t="s">
        <v>3125</v>
      </c>
      <c r="E2906" s="1404" t="s">
        <v>10170</v>
      </c>
      <c r="F2906" s="1405" t="s">
        <v>5300</v>
      </c>
      <c r="G2906" s="1403" t="s">
        <v>2784</v>
      </c>
      <c r="H2906" s="1406" t="s">
        <v>1037</v>
      </c>
    </row>
    <row r="2907" spans="1:8" x14ac:dyDescent="0.2">
      <c r="A2907" s="7"/>
      <c r="B2907" s="1407" t="str">
        <f t="shared" si="45"/>
        <v>Massimo Fornaciai</v>
      </c>
      <c r="C2907" s="1402" t="s">
        <v>15563</v>
      </c>
      <c r="D2907" s="1403" t="s">
        <v>3013</v>
      </c>
      <c r="E2907" s="1404" t="s">
        <v>15564</v>
      </c>
      <c r="F2907" s="1405" t="s">
        <v>5300</v>
      </c>
      <c r="G2907" s="1403" t="s">
        <v>13321</v>
      </c>
      <c r="H2907" s="1406" t="s">
        <v>1037</v>
      </c>
    </row>
    <row r="2908" spans="1:8" x14ac:dyDescent="0.2">
      <c r="A2908" s="7"/>
      <c r="B2908" s="1407" t="str">
        <f t="shared" si="45"/>
        <v>Gerardo Morandi</v>
      </c>
      <c r="C2908" s="1402" t="s">
        <v>9987</v>
      </c>
      <c r="D2908" s="1403" t="s">
        <v>3071</v>
      </c>
      <c r="E2908" s="1404" t="s">
        <v>10171</v>
      </c>
      <c r="F2908" s="1405" t="s">
        <v>5300</v>
      </c>
      <c r="G2908" s="1403" t="s">
        <v>15288</v>
      </c>
      <c r="H2908" s="1406" t="s">
        <v>1037</v>
      </c>
    </row>
    <row r="2909" spans="1:8" x14ac:dyDescent="0.2">
      <c r="A2909" s="7"/>
      <c r="B2909" s="1407" t="str">
        <f t="shared" si="45"/>
        <v>Gianfranco Attanasio</v>
      </c>
      <c r="C2909" s="1402" t="s">
        <v>9988</v>
      </c>
      <c r="D2909" s="1403" t="s">
        <v>3107</v>
      </c>
      <c r="E2909" s="1404" t="s">
        <v>10172</v>
      </c>
      <c r="F2909" s="1405" t="s">
        <v>5300</v>
      </c>
      <c r="G2909" s="1403" t="s">
        <v>11330</v>
      </c>
      <c r="H2909" s="1406" t="s">
        <v>1037</v>
      </c>
    </row>
    <row r="2910" spans="1:8" x14ac:dyDescent="0.2">
      <c r="A2910" s="7"/>
      <c r="B2910" s="1407" t="str">
        <f t="shared" si="45"/>
        <v>Ciro Battipaglia</v>
      </c>
      <c r="C2910" s="1402" t="s">
        <v>9989</v>
      </c>
      <c r="D2910" s="1403" t="s">
        <v>3301</v>
      </c>
      <c r="E2910" s="1404" t="s">
        <v>10173</v>
      </c>
      <c r="F2910" s="1405" t="s">
        <v>5300</v>
      </c>
      <c r="G2910" s="1403" t="s">
        <v>11330</v>
      </c>
      <c r="H2910" s="1406" t="s">
        <v>1037</v>
      </c>
    </row>
    <row r="2911" spans="1:8" x14ac:dyDescent="0.2">
      <c r="A2911" s="7"/>
      <c r="B2911" s="1407" t="str">
        <f t="shared" si="45"/>
        <v>Massimo D'auria</v>
      </c>
      <c r="C2911" s="1402" t="s">
        <v>9990</v>
      </c>
      <c r="D2911" s="1403" t="s">
        <v>3013</v>
      </c>
      <c r="E2911" s="1404" t="s">
        <v>10174</v>
      </c>
      <c r="F2911" s="1405" t="s">
        <v>5299</v>
      </c>
      <c r="G2911" s="1403" t="s">
        <v>11330</v>
      </c>
      <c r="H2911" s="1406" t="s">
        <v>1037</v>
      </c>
    </row>
    <row r="2912" spans="1:8" x14ac:dyDescent="0.2">
      <c r="A2912" s="7"/>
      <c r="B2912" s="1407" t="str">
        <f t="shared" si="45"/>
        <v>Claudio Santoriello</v>
      </c>
      <c r="C2912" s="1402" t="s">
        <v>9991</v>
      </c>
      <c r="D2912" s="1403" t="s">
        <v>3038</v>
      </c>
      <c r="E2912" s="1404" t="s">
        <v>10175</v>
      </c>
      <c r="F2912" s="1405" t="s">
        <v>5300</v>
      </c>
      <c r="G2912" s="1403" t="s">
        <v>11330</v>
      </c>
      <c r="H2912" s="1406" t="s">
        <v>1037</v>
      </c>
    </row>
    <row r="2913" spans="1:8" x14ac:dyDescent="0.2">
      <c r="A2913" s="7"/>
      <c r="B2913" s="1407" t="str">
        <f t="shared" si="45"/>
        <v>Enrico Guidi</v>
      </c>
      <c r="C2913" s="1402" t="s">
        <v>6453</v>
      </c>
      <c r="D2913" s="1403" t="s">
        <v>3132</v>
      </c>
      <c r="E2913" s="1404" t="s">
        <v>9682</v>
      </c>
      <c r="F2913" s="1405" t="s">
        <v>5300</v>
      </c>
      <c r="G2913" s="1403" t="s">
        <v>11325</v>
      </c>
      <c r="H2913" s="1406" t="s">
        <v>1037</v>
      </c>
    </row>
    <row r="2914" spans="1:8" x14ac:dyDescent="0.2">
      <c r="A2914" s="7"/>
      <c r="B2914" s="1407" t="str">
        <f t="shared" si="45"/>
        <v>Alessandro Lupi</v>
      </c>
      <c r="C2914" s="1402" t="s">
        <v>13322</v>
      </c>
      <c r="D2914" s="1403" t="s">
        <v>3125</v>
      </c>
      <c r="E2914" s="1404" t="s">
        <v>13323</v>
      </c>
      <c r="F2914" s="1405" t="s">
        <v>5299</v>
      </c>
      <c r="G2914" s="1403" t="s">
        <v>15207</v>
      </c>
      <c r="H2914" s="1406" t="s">
        <v>1037</v>
      </c>
    </row>
    <row r="2915" spans="1:8" x14ac:dyDescent="0.2">
      <c r="A2915" s="7"/>
      <c r="B2915" s="1407" t="str">
        <f t="shared" si="45"/>
        <v>Maria Felice Merkouris</v>
      </c>
      <c r="C2915" s="1402" t="s">
        <v>9649</v>
      </c>
      <c r="D2915" s="1403" t="s">
        <v>9657</v>
      </c>
      <c r="E2915" s="1404" t="s">
        <v>9683</v>
      </c>
      <c r="F2915" s="1405" t="s">
        <v>5299</v>
      </c>
      <c r="G2915" s="1403" t="s">
        <v>9700</v>
      </c>
      <c r="H2915" s="1406" t="s">
        <v>1037</v>
      </c>
    </row>
    <row r="2916" spans="1:8" x14ac:dyDescent="0.2">
      <c r="A2916" s="7"/>
      <c r="B2916" s="1407" t="str">
        <f t="shared" si="45"/>
        <v>Giulio Nucci</v>
      </c>
      <c r="C2916" s="1402" t="s">
        <v>6503</v>
      </c>
      <c r="D2916" s="1403" t="s">
        <v>3583</v>
      </c>
      <c r="E2916" s="1404" t="s">
        <v>9684</v>
      </c>
      <c r="F2916" s="1405" t="s">
        <v>5299</v>
      </c>
      <c r="G2916" s="1403" t="s">
        <v>15245</v>
      </c>
      <c r="H2916" s="1406" t="s">
        <v>1037</v>
      </c>
    </row>
    <row r="2917" spans="1:8" x14ac:dyDescent="0.2">
      <c r="A2917" s="7"/>
      <c r="B2917" s="1407" t="str">
        <f t="shared" si="45"/>
        <v>Gianriccardo Colucci</v>
      </c>
      <c r="C2917" s="1402" t="s">
        <v>7680</v>
      </c>
      <c r="D2917" s="1403" t="s">
        <v>7701</v>
      </c>
      <c r="E2917" s="1404" t="s">
        <v>9685</v>
      </c>
      <c r="F2917" s="1405" t="s">
        <v>5300</v>
      </c>
      <c r="G2917" s="1403" t="s">
        <v>9700</v>
      </c>
      <c r="H2917" s="1406" t="s">
        <v>1037</v>
      </c>
    </row>
    <row r="2918" spans="1:8" x14ac:dyDescent="0.2">
      <c r="A2918" s="7"/>
      <c r="B2918" s="1407" t="str">
        <f t="shared" si="45"/>
        <v>Alessandro Foti</v>
      </c>
      <c r="C2918" s="1402" t="s">
        <v>9650</v>
      </c>
      <c r="D2918" s="1403" t="s">
        <v>3125</v>
      </c>
      <c r="E2918" s="1404" t="s">
        <v>9686</v>
      </c>
      <c r="F2918" s="1405" t="s">
        <v>5299</v>
      </c>
      <c r="G2918" s="1403" t="s">
        <v>11467</v>
      </c>
      <c r="H2918" s="1406" t="s">
        <v>1037</v>
      </c>
    </row>
    <row r="2919" spans="1:8" x14ac:dyDescent="0.2">
      <c r="A2919" s="7"/>
      <c r="B2919" s="1407" t="str">
        <f t="shared" si="45"/>
        <v>Francesco Giambelluca</v>
      </c>
      <c r="C2919" s="1402" t="s">
        <v>15608</v>
      </c>
      <c r="D2919" s="1403" t="s">
        <v>3277</v>
      </c>
      <c r="E2919" s="1404" t="s">
        <v>11403</v>
      </c>
      <c r="F2919" s="1405" t="s">
        <v>5300</v>
      </c>
      <c r="G2919" s="1403" t="s">
        <v>5311</v>
      </c>
      <c r="H2919" s="1406" t="s">
        <v>1037</v>
      </c>
    </row>
    <row r="2920" spans="1:8" x14ac:dyDescent="0.2">
      <c r="A2920" s="7"/>
      <c r="B2920" s="1407" t="str">
        <f t="shared" si="45"/>
        <v>Riccardo Nicoletti</v>
      </c>
      <c r="C2920" s="1402" t="s">
        <v>8166</v>
      </c>
      <c r="D2920" s="1403" t="s">
        <v>3270</v>
      </c>
      <c r="E2920" s="1404" t="s">
        <v>9687</v>
      </c>
      <c r="F2920" s="1405" t="s">
        <v>5300</v>
      </c>
      <c r="G2920" s="1403" t="s">
        <v>14683</v>
      </c>
      <c r="H2920" s="1406" t="s">
        <v>1037</v>
      </c>
    </row>
    <row r="2921" spans="1:8" x14ac:dyDescent="0.2">
      <c r="A2921" s="7"/>
      <c r="B2921" s="1407" t="str">
        <f t="shared" si="45"/>
        <v>Alessandro Nefi</v>
      </c>
      <c r="C2921" s="1402" t="s">
        <v>9992</v>
      </c>
      <c r="D2921" s="1403" t="s">
        <v>3125</v>
      </c>
      <c r="E2921" s="1404" t="s">
        <v>10176</v>
      </c>
      <c r="F2921" s="1405" t="s">
        <v>5300</v>
      </c>
      <c r="G2921" s="1403" t="s">
        <v>11326</v>
      </c>
      <c r="H2921" s="1406" t="s">
        <v>1037</v>
      </c>
    </row>
    <row r="2922" spans="1:8" x14ac:dyDescent="0.2">
      <c r="A2922" s="7"/>
      <c r="B2922" s="1407" t="str">
        <f t="shared" si="45"/>
        <v>Cristiano Cordone</v>
      </c>
      <c r="C2922" s="1402" t="s">
        <v>9993</v>
      </c>
      <c r="D2922" s="1403" t="s">
        <v>6409</v>
      </c>
      <c r="E2922" s="1404" t="s">
        <v>10177</v>
      </c>
      <c r="F2922" s="1405" t="s">
        <v>5299</v>
      </c>
      <c r="G2922" s="1403" t="s">
        <v>11326</v>
      </c>
      <c r="H2922" s="1406" t="s">
        <v>1037</v>
      </c>
    </row>
    <row r="2923" spans="1:8" x14ac:dyDescent="0.2">
      <c r="A2923" s="7"/>
      <c r="B2923" s="1407" t="str">
        <f t="shared" si="45"/>
        <v>Mirko Cappelli</v>
      </c>
      <c r="C2923" s="1402" t="s">
        <v>9994</v>
      </c>
      <c r="D2923" s="1403" t="s">
        <v>5613</v>
      </c>
      <c r="E2923" s="1404" t="s">
        <v>10178</v>
      </c>
      <c r="F2923" s="1405" t="s">
        <v>5299</v>
      </c>
      <c r="G2923" s="1403" t="s">
        <v>13477</v>
      </c>
      <c r="H2923" s="1406" t="s">
        <v>1037</v>
      </c>
    </row>
    <row r="2924" spans="1:8" x14ac:dyDescent="0.2">
      <c r="A2924" s="7"/>
      <c r="B2924" s="1407" t="str">
        <f t="shared" si="45"/>
        <v>Alessio Guardini</v>
      </c>
      <c r="C2924" s="1402" t="s">
        <v>13940</v>
      </c>
      <c r="D2924" s="1403" t="s">
        <v>3550</v>
      </c>
      <c r="E2924" s="1404" t="s">
        <v>13941</v>
      </c>
      <c r="F2924" s="1405" t="s">
        <v>5300</v>
      </c>
      <c r="G2924" s="1403" t="s">
        <v>11325</v>
      </c>
      <c r="H2924" s="1406" t="s">
        <v>1037</v>
      </c>
    </row>
    <row r="2925" spans="1:8" x14ac:dyDescent="0.2">
      <c r="A2925" s="7"/>
      <c r="B2925" s="1407" t="str">
        <f t="shared" si="45"/>
        <v>Stefano Scarselli</v>
      </c>
      <c r="C2925" s="1402" t="s">
        <v>9995</v>
      </c>
      <c r="D2925" s="1403" t="s">
        <v>3062</v>
      </c>
      <c r="E2925" s="1404" t="s">
        <v>10179</v>
      </c>
      <c r="F2925" s="1405" t="s">
        <v>5300</v>
      </c>
      <c r="G2925" s="1403" t="s">
        <v>9698</v>
      </c>
      <c r="H2925" s="1406" t="s">
        <v>1037</v>
      </c>
    </row>
    <row r="2926" spans="1:8" x14ac:dyDescent="0.2">
      <c r="A2926" s="7"/>
      <c r="B2926" s="1407" t="str">
        <f t="shared" si="45"/>
        <v>David Falaschi</v>
      </c>
      <c r="C2926" s="1402" t="s">
        <v>9996</v>
      </c>
      <c r="D2926" s="1403" t="s">
        <v>3072</v>
      </c>
      <c r="E2926" s="1404" t="s">
        <v>10180</v>
      </c>
      <c r="F2926" s="1405" t="s">
        <v>5299</v>
      </c>
      <c r="G2926" s="1403" t="s">
        <v>11325</v>
      </c>
      <c r="H2926" s="1406" t="s">
        <v>1037</v>
      </c>
    </row>
    <row r="2927" spans="1:8" x14ac:dyDescent="0.2">
      <c r="A2927" s="7"/>
      <c r="B2927" s="1407" t="str">
        <f t="shared" si="45"/>
        <v>Raffaele Di Nola</v>
      </c>
      <c r="C2927" s="1402" t="s">
        <v>9997</v>
      </c>
      <c r="D2927" s="1403" t="s">
        <v>3370</v>
      </c>
      <c r="E2927" s="1404" t="s">
        <v>10181</v>
      </c>
      <c r="F2927" s="1405" t="s">
        <v>5300</v>
      </c>
      <c r="G2927" s="1403" t="s">
        <v>11330</v>
      </c>
      <c r="H2927" s="1406" t="s">
        <v>1037</v>
      </c>
    </row>
    <row r="2928" spans="1:8" x14ac:dyDescent="0.2">
      <c r="A2928" s="7"/>
      <c r="B2928" s="1407" t="str">
        <f t="shared" si="45"/>
        <v>Luca Puzella</v>
      </c>
      <c r="C2928" s="1402" t="s">
        <v>9998</v>
      </c>
      <c r="D2928" s="1403" t="s">
        <v>3198</v>
      </c>
      <c r="E2928" s="1404" t="s">
        <v>10182</v>
      </c>
      <c r="F2928" s="1405" t="s">
        <v>5299</v>
      </c>
      <c r="G2928" s="1403" t="s">
        <v>11330</v>
      </c>
      <c r="H2928" s="1406" t="s">
        <v>1037</v>
      </c>
    </row>
    <row r="2929" spans="1:8" x14ac:dyDescent="0.2">
      <c r="A2929" s="7"/>
      <c r="B2929" s="1407" t="str">
        <f t="shared" si="45"/>
        <v>Vincenzo Miccolupi</v>
      </c>
      <c r="C2929" s="1402" t="s">
        <v>11554</v>
      </c>
      <c r="D2929" s="1403" t="s">
        <v>3163</v>
      </c>
      <c r="E2929" s="1404" t="s">
        <v>11561</v>
      </c>
      <c r="F2929" s="1405" t="s">
        <v>5299</v>
      </c>
      <c r="G2929" s="1403" t="s">
        <v>11330</v>
      </c>
      <c r="H2929" s="1406" t="s">
        <v>1037</v>
      </c>
    </row>
    <row r="2930" spans="1:8" x14ac:dyDescent="0.2">
      <c r="A2930" s="7"/>
      <c r="B2930" s="1407" t="str">
        <f t="shared" si="45"/>
        <v>Fabrizio Schiatti</v>
      </c>
      <c r="C2930" s="1402" t="s">
        <v>9999</v>
      </c>
      <c r="D2930" s="1403" t="s">
        <v>3087</v>
      </c>
      <c r="E2930" s="1404" t="s">
        <v>10183</v>
      </c>
      <c r="F2930" s="1405" t="s">
        <v>5300</v>
      </c>
      <c r="G2930" s="1403" t="s">
        <v>7876</v>
      </c>
      <c r="H2930" s="1406" t="s">
        <v>1037</v>
      </c>
    </row>
    <row r="2931" spans="1:8" x14ac:dyDescent="0.2">
      <c r="A2931" s="7"/>
      <c r="B2931" s="1407" t="str">
        <f t="shared" si="45"/>
        <v>Filippo Mussino</v>
      </c>
      <c r="C2931" s="1402" t="s">
        <v>10000</v>
      </c>
      <c r="D2931" s="1403" t="s">
        <v>3340</v>
      </c>
      <c r="E2931" s="1404" t="s">
        <v>10184</v>
      </c>
      <c r="F2931" s="1405" t="s">
        <v>5299</v>
      </c>
      <c r="G2931" s="1403" t="s">
        <v>2787</v>
      </c>
      <c r="H2931" s="1406" t="s">
        <v>1037</v>
      </c>
    </row>
    <row r="2932" spans="1:8" x14ac:dyDescent="0.2">
      <c r="A2932" s="7"/>
      <c r="B2932" s="1407" t="str">
        <f t="shared" si="45"/>
        <v>Christian Mascitti</v>
      </c>
      <c r="C2932" s="1402" t="s">
        <v>9651</v>
      </c>
      <c r="D2932" s="1403" t="s">
        <v>3063</v>
      </c>
      <c r="E2932" s="1404" t="s">
        <v>9688</v>
      </c>
      <c r="F2932" s="1405" t="s">
        <v>5299</v>
      </c>
      <c r="G2932" s="1403" t="s">
        <v>14683</v>
      </c>
      <c r="H2932" s="1406" t="s">
        <v>1037</v>
      </c>
    </row>
    <row r="2933" spans="1:8" x14ac:dyDescent="0.2">
      <c r="A2933" s="7"/>
      <c r="B2933" s="1407" t="str">
        <f t="shared" si="45"/>
        <v>Maurizio Silvestri</v>
      </c>
      <c r="C2933" s="1402" t="s">
        <v>6548</v>
      </c>
      <c r="D2933" s="1403" t="s">
        <v>3148</v>
      </c>
      <c r="E2933" s="1404" t="s">
        <v>10185</v>
      </c>
      <c r="F2933" s="1405" t="s">
        <v>5300</v>
      </c>
      <c r="G2933" s="1403" t="s">
        <v>11329</v>
      </c>
      <c r="H2933" s="1406" t="s">
        <v>1037</v>
      </c>
    </row>
    <row r="2934" spans="1:8" x14ac:dyDescent="0.2">
      <c r="A2934" s="7"/>
      <c r="B2934" s="1407" t="str">
        <f t="shared" si="45"/>
        <v>Silvio Nocchi</v>
      </c>
      <c r="C2934" s="1402" t="s">
        <v>11203</v>
      </c>
      <c r="D2934" s="1403" t="s">
        <v>11243</v>
      </c>
      <c r="E2934" s="1404" t="s">
        <v>11274</v>
      </c>
      <c r="F2934" s="1405" t="s">
        <v>5300</v>
      </c>
      <c r="G2934" s="1403" t="s">
        <v>11329</v>
      </c>
      <c r="H2934" s="1406" t="s">
        <v>1037</v>
      </c>
    </row>
    <row r="2935" spans="1:8" x14ac:dyDescent="0.2">
      <c r="A2935" s="7"/>
      <c r="B2935" s="1407" t="str">
        <f t="shared" si="45"/>
        <v>Andrea Oncini</v>
      </c>
      <c r="C2935" s="1402" t="s">
        <v>10001</v>
      </c>
      <c r="D2935" s="1403" t="s">
        <v>3027</v>
      </c>
      <c r="E2935" s="1404" t="s">
        <v>10186</v>
      </c>
      <c r="F2935" s="1405" t="s">
        <v>5300</v>
      </c>
      <c r="G2935" s="1403" t="s">
        <v>11329</v>
      </c>
      <c r="H2935" s="1406" t="s">
        <v>1037</v>
      </c>
    </row>
    <row r="2936" spans="1:8" x14ac:dyDescent="0.2">
      <c r="A2936" s="7"/>
      <c r="B2936" s="1407" t="str">
        <f t="shared" si="45"/>
        <v>Michele Mori</v>
      </c>
      <c r="C2936" s="1402" t="s">
        <v>10002</v>
      </c>
      <c r="D2936" s="1403" t="s">
        <v>3216</v>
      </c>
      <c r="E2936" s="1404" t="s">
        <v>10187</v>
      </c>
      <c r="F2936" s="1405" t="s">
        <v>5300</v>
      </c>
      <c r="G2936" s="1403" t="s">
        <v>11329</v>
      </c>
      <c r="H2936" s="1406" t="s">
        <v>1037</v>
      </c>
    </row>
    <row r="2937" spans="1:8" x14ac:dyDescent="0.2">
      <c r="A2937" s="7"/>
      <c r="B2937" s="1407" t="str">
        <f t="shared" si="45"/>
        <v>David Cambi</v>
      </c>
      <c r="C2937" s="1402" t="s">
        <v>10003</v>
      </c>
      <c r="D2937" s="1403" t="s">
        <v>3072</v>
      </c>
      <c r="E2937" s="1404" t="s">
        <v>10188</v>
      </c>
      <c r="F2937" s="1405" t="s">
        <v>5300</v>
      </c>
      <c r="G2937" s="1403" t="s">
        <v>11329</v>
      </c>
      <c r="H2937" s="1406" t="s">
        <v>1037</v>
      </c>
    </row>
    <row r="2938" spans="1:8" x14ac:dyDescent="0.2">
      <c r="A2938" s="7"/>
      <c r="B2938" s="1407" t="str">
        <f t="shared" si="45"/>
        <v>Filippo Becattini</v>
      </c>
      <c r="C2938" s="1402" t="s">
        <v>10004</v>
      </c>
      <c r="D2938" s="1403" t="s">
        <v>3340</v>
      </c>
      <c r="E2938" s="1404" t="s">
        <v>10189</v>
      </c>
      <c r="F2938" s="1405" t="s">
        <v>5299</v>
      </c>
      <c r="G2938" s="1403" t="s">
        <v>16893</v>
      </c>
      <c r="H2938" s="1406" t="s">
        <v>1037</v>
      </c>
    </row>
    <row r="2939" spans="1:8" x14ac:dyDescent="0.2">
      <c r="A2939" s="7"/>
      <c r="B2939" s="1407" t="str">
        <f t="shared" si="45"/>
        <v>Roberto Grigiotti</v>
      </c>
      <c r="C2939" s="1402" t="s">
        <v>10005</v>
      </c>
      <c r="D2939" s="1403" t="s">
        <v>3279</v>
      </c>
      <c r="E2939" s="1404" t="s">
        <v>10190</v>
      </c>
      <c r="F2939" s="1405" t="s">
        <v>5300</v>
      </c>
      <c r="G2939" s="1403" t="s">
        <v>16893</v>
      </c>
      <c r="H2939" s="1406" t="s">
        <v>1037</v>
      </c>
    </row>
    <row r="2940" spans="1:8" x14ac:dyDescent="0.2">
      <c r="A2940" s="7"/>
      <c r="B2940" s="1407" t="str">
        <f t="shared" si="45"/>
        <v>Filippo Nompari</v>
      </c>
      <c r="C2940" s="1402" t="s">
        <v>10006</v>
      </c>
      <c r="D2940" s="1403" t="s">
        <v>3340</v>
      </c>
      <c r="E2940" s="1404" t="s">
        <v>10191</v>
      </c>
      <c r="F2940" s="1405" t="s">
        <v>5299</v>
      </c>
      <c r="G2940" s="1403" t="s">
        <v>16893</v>
      </c>
      <c r="H2940" s="1406" t="s">
        <v>1037</v>
      </c>
    </row>
    <row r="2941" spans="1:8" x14ac:dyDescent="0.2">
      <c r="A2941" s="7"/>
      <c r="B2941" s="1407" t="str">
        <f t="shared" si="45"/>
        <v>Roberto Piccoli</v>
      </c>
      <c r="C2941" s="1402" t="s">
        <v>10007</v>
      </c>
      <c r="D2941" s="1403" t="s">
        <v>3279</v>
      </c>
      <c r="E2941" s="1404" t="s">
        <v>10192</v>
      </c>
      <c r="F2941" s="1405" t="s">
        <v>5300</v>
      </c>
      <c r="G2941" s="1403" t="s">
        <v>8866</v>
      </c>
      <c r="H2941" s="1406" t="s">
        <v>1037</v>
      </c>
    </row>
    <row r="2942" spans="1:8" x14ac:dyDescent="0.2">
      <c r="A2942" s="7"/>
      <c r="B2942" s="1407" t="str">
        <f t="shared" si="45"/>
        <v>Massimo Franchi</v>
      </c>
      <c r="C2942" s="1402" t="s">
        <v>10008</v>
      </c>
      <c r="D2942" s="1403" t="s">
        <v>3013</v>
      </c>
      <c r="E2942" s="1404" t="s">
        <v>10193</v>
      </c>
      <c r="F2942" s="1405" t="s">
        <v>5300</v>
      </c>
      <c r="G2942" s="1403" t="s">
        <v>8866</v>
      </c>
      <c r="H2942" s="1406" t="s">
        <v>1037</v>
      </c>
    </row>
    <row r="2943" spans="1:8" x14ac:dyDescent="0.2">
      <c r="A2943" s="7"/>
      <c r="B2943" s="1407" t="str">
        <f t="shared" si="45"/>
        <v>Alessandro Marani</v>
      </c>
      <c r="C2943" s="1402" t="s">
        <v>10009</v>
      </c>
      <c r="D2943" s="1403" t="s">
        <v>3125</v>
      </c>
      <c r="E2943" s="1404" t="s">
        <v>10194</v>
      </c>
      <c r="F2943" s="1405" t="s">
        <v>5300</v>
      </c>
      <c r="G2943" s="1403" t="s">
        <v>13477</v>
      </c>
      <c r="H2943" s="1406" t="s">
        <v>1037</v>
      </c>
    </row>
    <row r="2944" spans="1:8" x14ac:dyDescent="0.2">
      <c r="A2944" s="7"/>
      <c r="B2944" s="1407" t="str">
        <f t="shared" si="45"/>
        <v>Alberto Azzali</v>
      </c>
      <c r="C2944" s="1402" t="s">
        <v>10010</v>
      </c>
      <c r="D2944" s="1403" t="s">
        <v>3042</v>
      </c>
      <c r="E2944" s="1404" t="s">
        <v>10195</v>
      </c>
      <c r="F2944" s="1405" t="s">
        <v>5300</v>
      </c>
      <c r="G2944" s="1403" t="s">
        <v>8866</v>
      </c>
      <c r="H2944" s="1406" t="s">
        <v>1037</v>
      </c>
    </row>
    <row r="2945" spans="1:8" x14ac:dyDescent="0.2">
      <c r="A2945" s="7"/>
      <c r="B2945" s="1407" t="str">
        <f t="shared" si="45"/>
        <v>Luca Gorna</v>
      </c>
      <c r="C2945" s="1402" t="s">
        <v>10011</v>
      </c>
      <c r="D2945" s="1403" t="s">
        <v>3198</v>
      </c>
      <c r="E2945" s="1404" t="s">
        <v>10196</v>
      </c>
      <c r="F2945" s="1405" t="s">
        <v>5300</v>
      </c>
      <c r="G2945" s="1403" t="s">
        <v>8866</v>
      </c>
      <c r="H2945" s="1406" t="s">
        <v>1037</v>
      </c>
    </row>
    <row r="2946" spans="1:8" x14ac:dyDescent="0.2">
      <c r="A2946" s="7"/>
      <c r="B2946" s="1407" t="str">
        <f t="shared" si="45"/>
        <v>Lorenzo Rocca</v>
      </c>
      <c r="C2946" s="1402" t="s">
        <v>10012</v>
      </c>
      <c r="D2946" s="1403" t="s">
        <v>3155</v>
      </c>
      <c r="E2946" s="1404" t="s">
        <v>10197</v>
      </c>
      <c r="F2946" s="1405" t="s">
        <v>5300</v>
      </c>
      <c r="G2946" s="1403" t="s">
        <v>8866</v>
      </c>
      <c r="H2946" s="1406" t="s">
        <v>1037</v>
      </c>
    </row>
    <row r="2947" spans="1:8" x14ac:dyDescent="0.2">
      <c r="A2947" s="7"/>
      <c r="B2947" s="1407" t="str">
        <f t="shared" si="45"/>
        <v>Alessandro Girelli</v>
      </c>
      <c r="C2947" s="1402" t="s">
        <v>10013</v>
      </c>
      <c r="D2947" s="1403" t="s">
        <v>3125</v>
      </c>
      <c r="E2947" s="1404" t="s">
        <v>10198</v>
      </c>
      <c r="F2947" s="1405" t="s">
        <v>5300</v>
      </c>
      <c r="G2947" s="1403" t="s">
        <v>8866</v>
      </c>
      <c r="H2947" s="1406" t="s">
        <v>1037</v>
      </c>
    </row>
    <row r="2948" spans="1:8" x14ac:dyDescent="0.2">
      <c r="A2948" s="7"/>
      <c r="B2948" s="1407" t="str">
        <f t="shared" si="45"/>
        <v>Alessandro Marino</v>
      </c>
      <c r="C2948" s="1402" t="s">
        <v>6481</v>
      </c>
      <c r="D2948" s="1403" t="s">
        <v>3125</v>
      </c>
      <c r="E2948" s="1404" t="s">
        <v>9689</v>
      </c>
      <c r="F2948" s="1405" t="s">
        <v>5300</v>
      </c>
      <c r="G2948" s="1403" t="s">
        <v>15245</v>
      </c>
      <c r="H2948" s="1406" t="s">
        <v>1037</v>
      </c>
    </row>
    <row r="2949" spans="1:8" x14ac:dyDescent="0.2">
      <c r="A2949" s="7"/>
      <c r="B2949" s="1407" t="str">
        <f t="shared" si="45"/>
        <v>Roberto Pieroni</v>
      </c>
      <c r="C2949" s="1402" t="s">
        <v>6516</v>
      </c>
      <c r="D2949" s="1403" t="s">
        <v>3279</v>
      </c>
      <c r="E2949" s="1404" t="s">
        <v>9690</v>
      </c>
      <c r="F2949" s="1405" t="s">
        <v>5300</v>
      </c>
      <c r="G2949" s="1403" t="s">
        <v>11325</v>
      </c>
      <c r="H2949" s="1406" t="s">
        <v>1037</v>
      </c>
    </row>
    <row r="2950" spans="1:8" x14ac:dyDescent="0.2">
      <c r="A2950" s="7"/>
      <c r="B2950" s="1407" t="str">
        <f t="shared" si="45"/>
        <v>Michele Bussotti</v>
      </c>
      <c r="C2950" s="1402" t="s">
        <v>9652</v>
      </c>
      <c r="D2950" s="1403" t="s">
        <v>3216</v>
      </c>
      <c r="E2950" s="1404" t="s">
        <v>9691</v>
      </c>
      <c r="F2950" s="1405" t="s">
        <v>5300</v>
      </c>
      <c r="G2950" s="1403" t="s">
        <v>15245</v>
      </c>
      <c r="H2950" s="1406" t="s">
        <v>1037</v>
      </c>
    </row>
    <row r="2951" spans="1:8" x14ac:dyDescent="0.2">
      <c r="A2951" s="7"/>
      <c r="B2951" s="1407" t="str">
        <f t="shared" ref="B2951:B3014" si="46">TRIM(CONCATENATE(D2951," ",C2951))</f>
        <v>Michele Cerullo</v>
      </c>
      <c r="C2951" s="1402" t="s">
        <v>6393</v>
      </c>
      <c r="D2951" s="1403" t="s">
        <v>3216</v>
      </c>
      <c r="E2951" s="1404" t="s">
        <v>9692</v>
      </c>
      <c r="F2951" s="1405" t="s">
        <v>5299</v>
      </c>
      <c r="G2951" s="1403" t="s">
        <v>2773</v>
      </c>
      <c r="H2951" s="1406" t="s">
        <v>1037</v>
      </c>
    </row>
    <row r="2952" spans="1:8" x14ac:dyDescent="0.2">
      <c r="A2952" s="7"/>
      <c r="B2952" s="1407" t="str">
        <f t="shared" si="46"/>
        <v>Massimiliano Goldoni</v>
      </c>
      <c r="C2952" s="1402" t="s">
        <v>6452</v>
      </c>
      <c r="D2952" s="1403" t="s">
        <v>3023</v>
      </c>
      <c r="E2952" s="1404" t="s">
        <v>9693</v>
      </c>
      <c r="F2952" s="1405" t="s">
        <v>5300</v>
      </c>
      <c r="G2952" s="1403" t="s">
        <v>2900</v>
      </c>
      <c r="H2952" s="1406" t="s">
        <v>1037</v>
      </c>
    </row>
    <row r="2953" spans="1:8" x14ac:dyDescent="0.2">
      <c r="A2953" s="7"/>
      <c r="B2953" s="1407" t="str">
        <f t="shared" si="46"/>
        <v>Renato Parussini</v>
      </c>
      <c r="C2953" s="1402" t="s">
        <v>9653</v>
      </c>
      <c r="D2953" s="1403" t="s">
        <v>3178</v>
      </c>
      <c r="E2953" s="1404" t="s">
        <v>9694</v>
      </c>
      <c r="F2953" s="1405" t="s">
        <v>5300</v>
      </c>
      <c r="G2953" s="1403" t="s">
        <v>13312</v>
      </c>
      <c r="H2953" s="1406" t="s">
        <v>1037</v>
      </c>
    </row>
    <row r="2954" spans="1:8" x14ac:dyDescent="0.2">
      <c r="A2954" s="7"/>
      <c r="B2954" s="1407" t="str">
        <f t="shared" si="46"/>
        <v>Gabriele Liguori</v>
      </c>
      <c r="C2954" s="1402" t="s">
        <v>10855</v>
      </c>
      <c r="D2954" s="1403" t="s">
        <v>3127</v>
      </c>
      <c r="E2954" s="1404" t="s">
        <v>10902</v>
      </c>
      <c r="F2954" s="1405" t="s">
        <v>5300</v>
      </c>
      <c r="G2954" s="1403" t="s">
        <v>10922</v>
      </c>
      <c r="H2954" s="1406" t="s">
        <v>1037</v>
      </c>
    </row>
    <row r="2955" spans="1:8" x14ac:dyDescent="0.2">
      <c r="A2955" s="7"/>
      <c r="B2955" s="1407" t="str">
        <f t="shared" si="46"/>
        <v>Vito Donzelli</v>
      </c>
      <c r="C2955" s="1402" t="s">
        <v>13942</v>
      </c>
      <c r="D2955" s="1403" t="s">
        <v>3418</v>
      </c>
      <c r="E2955" s="1404" t="s">
        <v>13943</v>
      </c>
      <c r="F2955" s="1405" t="s">
        <v>5300</v>
      </c>
      <c r="G2955" s="1403" t="s">
        <v>13488</v>
      </c>
      <c r="H2955" s="1406" t="s">
        <v>1037</v>
      </c>
    </row>
    <row r="2956" spans="1:8" x14ac:dyDescent="0.2">
      <c r="A2956" s="7"/>
      <c r="B2956" s="1407" t="str">
        <f t="shared" si="46"/>
        <v>Paolo De Miranda</v>
      </c>
      <c r="C2956" s="1402" t="s">
        <v>10014</v>
      </c>
      <c r="D2956" s="1403" t="s">
        <v>3119</v>
      </c>
      <c r="E2956" s="1404" t="s">
        <v>10199</v>
      </c>
      <c r="F2956" s="1405" t="s">
        <v>5300</v>
      </c>
      <c r="G2956" s="1403" t="s">
        <v>9697</v>
      </c>
      <c r="H2956" s="1406" t="s">
        <v>1037</v>
      </c>
    </row>
    <row r="2957" spans="1:8" x14ac:dyDescent="0.2">
      <c r="A2957" s="7"/>
      <c r="B2957" s="1407" t="str">
        <f t="shared" si="46"/>
        <v>Adelchi De Miranda</v>
      </c>
      <c r="C2957" s="1402" t="s">
        <v>10014</v>
      </c>
      <c r="D2957" s="1403" t="s">
        <v>10072</v>
      </c>
      <c r="E2957" s="1404" t="s">
        <v>10200</v>
      </c>
      <c r="F2957" s="1405" t="s">
        <v>13210</v>
      </c>
      <c r="G2957" s="1403" t="s">
        <v>9697</v>
      </c>
      <c r="H2957" s="1406" t="s">
        <v>1037</v>
      </c>
    </row>
    <row r="2958" spans="1:8" x14ac:dyDescent="0.2">
      <c r="A2958" s="7"/>
      <c r="B2958" s="1407" t="str">
        <f t="shared" si="46"/>
        <v>Christian Roncagliolo</v>
      </c>
      <c r="C2958" s="1402" t="s">
        <v>10015</v>
      </c>
      <c r="D2958" s="1403" t="s">
        <v>3063</v>
      </c>
      <c r="E2958" s="1404" t="s">
        <v>10201</v>
      </c>
      <c r="F2958" s="1405" t="s">
        <v>5299</v>
      </c>
      <c r="G2958" s="1403" t="s">
        <v>9702</v>
      </c>
      <c r="H2958" s="1406" t="s">
        <v>1037</v>
      </c>
    </row>
    <row r="2959" spans="1:8" x14ac:dyDescent="0.2">
      <c r="A2959" s="7"/>
      <c r="B2959" s="1407" t="str">
        <f t="shared" si="46"/>
        <v>Stefano Pianigiani</v>
      </c>
      <c r="C2959" s="1402" t="s">
        <v>11041</v>
      </c>
      <c r="D2959" s="1403" t="s">
        <v>3062</v>
      </c>
      <c r="E2959" s="1404" t="s">
        <v>11131</v>
      </c>
      <c r="F2959" s="1405" t="s">
        <v>5300</v>
      </c>
      <c r="G2959" s="1403" t="s">
        <v>3614</v>
      </c>
      <c r="H2959" s="1406" t="s">
        <v>1037</v>
      </c>
    </row>
    <row r="2960" spans="1:8" x14ac:dyDescent="0.2">
      <c r="A2960" s="7"/>
      <c r="B2960" s="1407" t="str">
        <f t="shared" si="46"/>
        <v>Matteo Stanislai</v>
      </c>
      <c r="C2960" s="1402" t="s">
        <v>8793</v>
      </c>
      <c r="D2960" s="1403" t="s">
        <v>3200</v>
      </c>
      <c r="E2960" s="1404" t="s">
        <v>10202</v>
      </c>
      <c r="F2960" s="1405" t="s">
        <v>5299</v>
      </c>
      <c r="G2960" s="1403" t="s">
        <v>13477</v>
      </c>
      <c r="H2960" s="1406" t="s">
        <v>1037</v>
      </c>
    </row>
    <row r="2961" spans="1:8" x14ac:dyDescent="0.2">
      <c r="A2961" s="7"/>
      <c r="B2961" s="1407" t="str">
        <f t="shared" si="46"/>
        <v>Marco Perotti</v>
      </c>
      <c r="C2961" s="1402" t="s">
        <v>10016</v>
      </c>
      <c r="D2961" s="1403" t="s">
        <v>3109</v>
      </c>
      <c r="E2961" s="1404" t="s">
        <v>10203</v>
      </c>
      <c r="F2961" s="1405" t="s">
        <v>5299</v>
      </c>
      <c r="G2961" s="1403" t="s">
        <v>2777</v>
      </c>
      <c r="H2961" s="1406" t="s">
        <v>1037</v>
      </c>
    </row>
    <row r="2962" spans="1:8" x14ac:dyDescent="0.2">
      <c r="A2962" s="7"/>
      <c r="B2962" s="1407" t="str">
        <f t="shared" si="46"/>
        <v>Antonio De Masellis</v>
      </c>
      <c r="C2962" s="1402" t="s">
        <v>10017</v>
      </c>
      <c r="D2962" s="1403" t="s">
        <v>3341</v>
      </c>
      <c r="E2962" s="1404" t="s">
        <v>10204</v>
      </c>
      <c r="F2962" s="1405" t="s">
        <v>5300</v>
      </c>
      <c r="G2962" s="1403" t="s">
        <v>11330</v>
      </c>
      <c r="H2962" s="1406" t="s">
        <v>1037</v>
      </c>
    </row>
    <row r="2963" spans="1:8" x14ac:dyDescent="0.2">
      <c r="A2963" s="7"/>
      <c r="B2963" s="1407" t="str">
        <f t="shared" si="46"/>
        <v>Cristoforo Cristiano Catalanotto</v>
      </c>
      <c r="C2963" s="1402" t="s">
        <v>11204</v>
      </c>
      <c r="D2963" s="1403" t="s">
        <v>11244</v>
      </c>
      <c r="E2963" s="1404" t="s">
        <v>11275</v>
      </c>
      <c r="F2963" s="1405" t="s">
        <v>5300</v>
      </c>
      <c r="G2963" s="1403" t="s">
        <v>15288</v>
      </c>
      <c r="H2963" s="1406" t="s">
        <v>1037</v>
      </c>
    </row>
    <row r="2964" spans="1:8" x14ac:dyDescent="0.2">
      <c r="A2964" s="7"/>
      <c r="B2964" s="1407" t="str">
        <f t="shared" si="46"/>
        <v>Domenico Tacchia</v>
      </c>
      <c r="C2964" s="1402" t="s">
        <v>8792</v>
      </c>
      <c r="D2964" s="1403" t="s">
        <v>3353</v>
      </c>
      <c r="E2964" s="1404" t="s">
        <v>9695</v>
      </c>
      <c r="F2964" s="1405" t="s">
        <v>5300</v>
      </c>
      <c r="G2964" s="1403" t="s">
        <v>16843</v>
      </c>
      <c r="H2964" s="1406" t="s">
        <v>1037</v>
      </c>
    </row>
    <row r="2965" spans="1:8" x14ac:dyDescent="0.2">
      <c r="A2965" s="7"/>
      <c r="B2965" s="1407" t="str">
        <f t="shared" si="46"/>
        <v>Gaetano Di Feo</v>
      </c>
      <c r="C2965" s="1402" t="s">
        <v>10018</v>
      </c>
      <c r="D2965" s="1403" t="s">
        <v>3100</v>
      </c>
      <c r="E2965" s="1404" t="s">
        <v>10205</v>
      </c>
      <c r="F2965" s="1405" t="s">
        <v>5300</v>
      </c>
      <c r="G2965" s="1403" t="s">
        <v>11330</v>
      </c>
      <c r="H2965" s="1406" t="s">
        <v>1037</v>
      </c>
    </row>
    <row r="2966" spans="1:8" x14ac:dyDescent="0.2">
      <c r="A2966" s="7"/>
      <c r="B2966" s="1407" t="str">
        <f t="shared" si="46"/>
        <v>Roberto Torini</v>
      </c>
      <c r="C2966" s="1402" t="s">
        <v>10019</v>
      </c>
      <c r="D2966" s="1403" t="s">
        <v>3279</v>
      </c>
      <c r="E2966" s="1404" t="s">
        <v>10206</v>
      </c>
      <c r="F2966" s="1405" t="s">
        <v>5300</v>
      </c>
      <c r="G2966" s="1403" t="s">
        <v>11325</v>
      </c>
      <c r="H2966" s="1406" t="s">
        <v>1037</v>
      </c>
    </row>
    <row r="2967" spans="1:8" x14ac:dyDescent="0.2">
      <c r="A2967" s="7"/>
      <c r="B2967" s="1407" t="str">
        <f t="shared" si="46"/>
        <v>Pietro Curci</v>
      </c>
      <c r="C2967" s="1402" t="s">
        <v>10020</v>
      </c>
      <c r="D2967" s="1403" t="s">
        <v>3233</v>
      </c>
      <c r="E2967" s="1404" t="s">
        <v>10207</v>
      </c>
      <c r="F2967" s="1405" t="s">
        <v>5300</v>
      </c>
      <c r="G2967" s="1403" t="s">
        <v>13321</v>
      </c>
      <c r="H2967" s="1406" t="s">
        <v>1037</v>
      </c>
    </row>
    <row r="2968" spans="1:8" x14ac:dyDescent="0.2">
      <c r="A2968" s="7"/>
      <c r="B2968" s="1407" t="str">
        <f t="shared" si="46"/>
        <v>Gian Marco Taverna</v>
      </c>
      <c r="C2968" s="1402" t="s">
        <v>10021</v>
      </c>
      <c r="D2968" s="1403" t="s">
        <v>10073</v>
      </c>
      <c r="E2968" s="1404" t="s">
        <v>10208</v>
      </c>
      <c r="F2968" s="1405" t="s">
        <v>5299</v>
      </c>
      <c r="G2968" s="1403" t="s">
        <v>9703</v>
      </c>
      <c r="H2968" s="1406" t="s">
        <v>1037</v>
      </c>
    </row>
    <row r="2969" spans="1:8" x14ac:dyDescent="0.2">
      <c r="A2969" s="7"/>
      <c r="B2969" s="1407" t="str">
        <f t="shared" si="46"/>
        <v>Abramo Bartolini</v>
      </c>
      <c r="C2969" s="1402" t="s">
        <v>13944</v>
      </c>
      <c r="D2969" s="1403" t="s">
        <v>13945</v>
      </c>
      <c r="E2969" s="1404" t="s">
        <v>13946</v>
      </c>
      <c r="F2969" s="1405" t="s">
        <v>5300</v>
      </c>
      <c r="G2969" s="1403" t="s">
        <v>15232</v>
      </c>
      <c r="H2969" s="1406" t="s">
        <v>1037</v>
      </c>
    </row>
    <row r="2970" spans="1:8" x14ac:dyDescent="0.2">
      <c r="A2970" s="7"/>
      <c r="B2970" s="1407" t="str">
        <f t="shared" si="46"/>
        <v>Francesco Molinari</v>
      </c>
      <c r="C2970" s="1402" t="s">
        <v>10022</v>
      </c>
      <c r="D2970" s="1403" t="s">
        <v>3277</v>
      </c>
      <c r="E2970" s="1404" t="s">
        <v>10209</v>
      </c>
      <c r="F2970" s="1405" t="s">
        <v>5300</v>
      </c>
      <c r="G2970" s="1403" t="s">
        <v>15232</v>
      </c>
      <c r="H2970" s="1406" t="s">
        <v>1037</v>
      </c>
    </row>
    <row r="2971" spans="1:8" x14ac:dyDescent="0.2">
      <c r="A2971" s="7"/>
      <c r="B2971" s="1407" t="str">
        <f t="shared" si="46"/>
        <v>Alessandro Bracali</v>
      </c>
      <c r="C2971" s="1402" t="s">
        <v>10023</v>
      </c>
      <c r="D2971" s="1403" t="s">
        <v>3125</v>
      </c>
      <c r="E2971" s="1404" t="s">
        <v>10210</v>
      </c>
      <c r="F2971" s="1405" t="s">
        <v>5300</v>
      </c>
      <c r="G2971" s="1403" t="s">
        <v>13596</v>
      </c>
      <c r="H2971" s="1406" t="s">
        <v>1037</v>
      </c>
    </row>
    <row r="2972" spans="1:8" x14ac:dyDescent="0.2">
      <c r="A2972" s="7"/>
      <c r="B2972" s="1407" t="str">
        <f t="shared" si="46"/>
        <v>Francesco Zolfanelli</v>
      </c>
      <c r="C2972" s="1402" t="s">
        <v>10024</v>
      </c>
      <c r="D2972" s="1403" t="s">
        <v>3277</v>
      </c>
      <c r="E2972" s="1404" t="s">
        <v>10211</v>
      </c>
      <c r="F2972" s="1405" t="s">
        <v>5300</v>
      </c>
      <c r="G2972" s="1403" t="s">
        <v>3614</v>
      </c>
      <c r="H2972" s="1406" t="s">
        <v>1037</v>
      </c>
    </row>
    <row r="2973" spans="1:8" x14ac:dyDescent="0.2">
      <c r="A2973" s="7"/>
      <c r="B2973" s="1407" t="str">
        <f t="shared" si="46"/>
        <v>Emanuele Radicchi</v>
      </c>
      <c r="C2973" s="1402" t="s">
        <v>10025</v>
      </c>
      <c r="D2973" s="1403" t="s">
        <v>3085</v>
      </c>
      <c r="E2973" s="1404" t="s">
        <v>10212</v>
      </c>
      <c r="F2973" s="1405" t="s">
        <v>5300</v>
      </c>
      <c r="G2973" s="1403" t="s">
        <v>9822</v>
      </c>
      <c r="H2973" s="1406" t="s">
        <v>1037</v>
      </c>
    </row>
    <row r="2974" spans="1:8" x14ac:dyDescent="0.2">
      <c r="A2974" s="7"/>
      <c r="B2974" s="1407" t="str">
        <f t="shared" si="46"/>
        <v>Francesco Manfredelli</v>
      </c>
      <c r="C2974" s="1402" t="s">
        <v>9654</v>
      </c>
      <c r="D2974" s="1403" t="s">
        <v>3277</v>
      </c>
      <c r="E2974" s="1404" t="s">
        <v>9816</v>
      </c>
      <c r="F2974" s="1405" t="s">
        <v>13210</v>
      </c>
      <c r="G2974" s="1403" t="s">
        <v>2750</v>
      </c>
      <c r="H2974" s="1406" t="s">
        <v>1037</v>
      </c>
    </row>
    <row r="2975" spans="1:8" x14ac:dyDescent="0.2">
      <c r="A2975" s="7"/>
      <c r="B2975" s="1407" t="str">
        <f t="shared" si="46"/>
        <v>Mattia Trevisani</v>
      </c>
      <c r="C2975" s="1402" t="s">
        <v>9769</v>
      </c>
      <c r="D2975" s="1403" t="s">
        <v>3228</v>
      </c>
      <c r="E2975" s="1404" t="s">
        <v>9817</v>
      </c>
      <c r="F2975" s="1405" t="s">
        <v>13211</v>
      </c>
      <c r="G2975" s="1403" t="s">
        <v>7873</v>
      </c>
      <c r="H2975" s="1406" t="s">
        <v>1037</v>
      </c>
    </row>
    <row r="2976" spans="1:8" x14ac:dyDescent="0.2">
      <c r="A2976" s="7"/>
      <c r="B2976" s="1407" t="str">
        <f t="shared" si="46"/>
        <v>Francesco Romanazzi</v>
      </c>
      <c r="C2976" s="1402" t="s">
        <v>10026</v>
      </c>
      <c r="D2976" s="1403" t="s">
        <v>3277</v>
      </c>
      <c r="E2976" s="1404" t="s">
        <v>10213</v>
      </c>
      <c r="F2976" s="1405" t="s">
        <v>5299</v>
      </c>
      <c r="G2976" s="1403" t="s">
        <v>9822</v>
      </c>
      <c r="H2976" s="1406" t="s">
        <v>1037</v>
      </c>
    </row>
    <row r="2977" spans="1:8" x14ac:dyDescent="0.2">
      <c r="A2977" s="7"/>
      <c r="B2977" s="1407" t="str">
        <f t="shared" si="46"/>
        <v>Michele Guarino</v>
      </c>
      <c r="C2977" s="1402" t="s">
        <v>9770</v>
      </c>
      <c r="D2977" s="1403" t="s">
        <v>3216</v>
      </c>
      <c r="E2977" s="1404" t="s">
        <v>9818</v>
      </c>
      <c r="F2977" s="1405" t="s">
        <v>5299</v>
      </c>
      <c r="G2977" s="1403" t="s">
        <v>9700</v>
      </c>
      <c r="H2977" s="1406" t="s">
        <v>1037</v>
      </c>
    </row>
    <row r="2978" spans="1:8" x14ac:dyDescent="0.2">
      <c r="A2978" s="7"/>
      <c r="B2978" s="1407" t="str">
        <f t="shared" si="46"/>
        <v>Valentino Lombardo</v>
      </c>
      <c r="C2978" s="1402" t="s">
        <v>7427</v>
      </c>
      <c r="D2978" s="1403" t="s">
        <v>6943</v>
      </c>
      <c r="E2978" s="1404" t="s">
        <v>9819</v>
      </c>
      <c r="F2978" s="1405" t="s">
        <v>5299</v>
      </c>
      <c r="G2978" s="1403" t="s">
        <v>9700</v>
      </c>
      <c r="H2978" s="1406" t="s">
        <v>1037</v>
      </c>
    </row>
    <row r="2979" spans="1:8" x14ac:dyDescent="0.2">
      <c r="A2979" s="7"/>
      <c r="B2979" s="1407" t="str">
        <f t="shared" si="46"/>
        <v>Samuele Bonciani</v>
      </c>
      <c r="C2979" s="1402" t="s">
        <v>6371</v>
      </c>
      <c r="D2979" s="1403" t="s">
        <v>5648</v>
      </c>
      <c r="E2979" s="1404" t="s">
        <v>9850</v>
      </c>
      <c r="F2979" s="1405" t="s">
        <v>13211</v>
      </c>
      <c r="G2979" s="1403" t="s">
        <v>2784</v>
      </c>
      <c r="H2979" s="1406" t="s">
        <v>1037</v>
      </c>
    </row>
    <row r="2980" spans="1:8" x14ac:dyDescent="0.2">
      <c r="A2980" s="7"/>
      <c r="B2980" s="1407" t="str">
        <f t="shared" si="46"/>
        <v>Lanfranco Corsi</v>
      </c>
      <c r="C2980" s="1402" t="s">
        <v>15395</v>
      </c>
      <c r="D2980" s="1403" t="s">
        <v>15396</v>
      </c>
      <c r="E2980" s="1404" t="s">
        <v>15397</v>
      </c>
      <c r="F2980" s="1405" t="s">
        <v>5300</v>
      </c>
      <c r="G2980" s="1403" t="s">
        <v>13321</v>
      </c>
      <c r="H2980" s="1406" t="s">
        <v>1037</v>
      </c>
    </row>
    <row r="2981" spans="1:8" x14ac:dyDescent="0.2">
      <c r="A2981" s="7"/>
      <c r="B2981" s="1407" t="str">
        <f t="shared" si="46"/>
        <v>Luca Cirri</v>
      </c>
      <c r="C2981" s="1402" t="s">
        <v>10029</v>
      </c>
      <c r="D2981" s="1403" t="s">
        <v>3198</v>
      </c>
      <c r="E2981" s="1404" t="s">
        <v>10214</v>
      </c>
      <c r="F2981" s="1405" t="s">
        <v>5300</v>
      </c>
      <c r="G2981" s="1403" t="s">
        <v>13321</v>
      </c>
      <c r="H2981" s="1406" t="s">
        <v>1037</v>
      </c>
    </row>
    <row r="2982" spans="1:8" x14ac:dyDescent="0.2">
      <c r="A2982" s="7"/>
      <c r="B2982" s="1407" t="str">
        <f t="shared" si="46"/>
        <v>Marco Tedeschi</v>
      </c>
      <c r="C2982" s="1402" t="s">
        <v>10030</v>
      </c>
      <c r="D2982" s="1403" t="s">
        <v>3109</v>
      </c>
      <c r="E2982" s="1404" t="s">
        <v>10215</v>
      </c>
      <c r="F2982" s="1405" t="s">
        <v>5300</v>
      </c>
      <c r="G2982" s="1403" t="s">
        <v>15288</v>
      </c>
      <c r="H2982" s="1406" t="s">
        <v>1037</v>
      </c>
    </row>
    <row r="2983" spans="1:8" x14ac:dyDescent="0.2">
      <c r="A2983" s="7"/>
      <c r="B2983" s="1407" t="str">
        <f t="shared" si="46"/>
        <v>Fabrizio Gammarota</v>
      </c>
      <c r="C2983" s="1402" t="s">
        <v>10031</v>
      </c>
      <c r="D2983" s="1403" t="s">
        <v>3087</v>
      </c>
      <c r="E2983" s="1404" t="s">
        <v>10216</v>
      </c>
      <c r="F2983" s="1405" t="s">
        <v>5300</v>
      </c>
      <c r="G2983" s="1403" t="s">
        <v>11328</v>
      </c>
      <c r="H2983" s="1406" t="s">
        <v>1037</v>
      </c>
    </row>
    <row r="2984" spans="1:8" x14ac:dyDescent="0.2">
      <c r="A2984" s="7"/>
      <c r="B2984" s="1407" t="str">
        <f t="shared" si="46"/>
        <v>Massimo Barisone</v>
      </c>
      <c r="C2984" s="1402" t="s">
        <v>15217</v>
      </c>
      <c r="D2984" s="1403" t="s">
        <v>3013</v>
      </c>
      <c r="E2984" s="1404" t="s">
        <v>15218</v>
      </c>
      <c r="F2984" s="1405" t="s">
        <v>5299</v>
      </c>
      <c r="G2984" s="1403" t="s">
        <v>16477</v>
      </c>
      <c r="H2984" s="1406" t="s">
        <v>1037</v>
      </c>
    </row>
    <row r="2985" spans="1:8" x14ac:dyDescent="0.2">
      <c r="A2985" s="7"/>
      <c r="B2985" s="1407" t="str">
        <f t="shared" si="46"/>
        <v>Gianluca Venturini</v>
      </c>
      <c r="C2985" s="1402" t="s">
        <v>6568</v>
      </c>
      <c r="D2985" s="1403" t="s">
        <v>3369</v>
      </c>
      <c r="E2985" s="1404" t="s">
        <v>10217</v>
      </c>
      <c r="F2985" s="1405" t="s">
        <v>5300</v>
      </c>
      <c r="G2985" s="1403" t="s">
        <v>9701</v>
      </c>
      <c r="H2985" s="1406" t="s">
        <v>1037</v>
      </c>
    </row>
    <row r="2986" spans="1:8" x14ac:dyDescent="0.2">
      <c r="A2986" s="7"/>
      <c r="B2986" s="1407" t="str">
        <f t="shared" si="46"/>
        <v>Cristiano Sassetti</v>
      </c>
      <c r="C2986" s="1402" t="s">
        <v>10032</v>
      </c>
      <c r="D2986" s="1403" t="s">
        <v>6409</v>
      </c>
      <c r="E2986" s="1404" t="s">
        <v>10218</v>
      </c>
      <c r="F2986" s="1405" t="s">
        <v>5300</v>
      </c>
      <c r="G2986" s="1403" t="s">
        <v>11325</v>
      </c>
      <c r="H2986" s="1406" t="s">
        <v>1037</v>
      </c>
    </row>
    <row r="2987" spans="1:8" x14ac:dyDescent="0.2">
      <c r="A2987" s="7"/>
      <c r="B2987" s="1407" t="str">
        <f t="shared" si="46"/>
        <v>Alberto Borsani</v>
      </c>
      <c r="C2987" s="1402" t="s">
        <v>10033</v>
      </c>
      <c r="D2987" s="1403" t="s">
        <v>3042</v>
      </c>
      <c r="E2987" s="1404" t="s">
        <v>10219</v>
      </c>
      <c r="F2987" s="1405" t="s">
        <v>5299</v>
      </c>
      <c r="G2987" s="1403" t="s">
        <v>8865</v>
      </c>
      <c r="H2987" s="1406" t="s">
        <v>1037</v>
      </c>
    </row>
    <row r="2988" spans="1:8" x14ac:dyDescent="0.2">
      <c r="A2988" s="7"/>
      <c r="B2988" s="1407" t="str">
        <f t="shared" si="46"/>
        <v>Manlio Mochi</v>
      </c>
      <c r="C2988" s="1402" t="s">
        <v>10034</v>
      </c>
      <c r="D2988" s="1403" t="s">
        <v>10074</v>
      </c>
      <c r="E2988" s="1404" t="s">
        <v>10220</v>
      </c>
      <c r="F2988" s="1405" t="s">
        <v>5300</v>
      </c>
      <c r="G2988" s="1403" t="s">
        <v>2777</v>
      </c>
      <c r="H2988" s="1406" t="s">
        <v>1037</v>
      </c>
    </row>
    <row r="2989" spans="1:8" x14ac:dyDescent="0.2">
      <c r="A2989" s="7"/>
      <c r="B2989" s="1407" t="str">
        <f t="shared" si="46"/>
        <v>Marco Palamà</v>
      </c>
      <c r="C2989" s="1402" t="s">
        <v>10035</v>
      </c>
      <c r="D2989" s="1403" t="s">
        <v>3109</v>
      </c>
      <c r="E2989" s="1404" t="s">
        <v>10221</v>
      </c>
      <c r="F2989" s="1405" t="s">
        <v>5299</v>
      </c>
      <c r="G2989" s="1403" t="s">
        <v>16477</v>
      </c>
      <c r="H2989" s="1406" t="s">
        <v>1037</v>
      </c>
    </row>
    <row r="2990" spans="1:8" x14ac:dyDescent="0.2">
      <c r="A2990" s="7"/>
      <c r="B2990" s="1407" t="str">
        <f t="shared" si="46"/>
        <v>Piercarlo Cattellani</v>
      </c>
      <c r="C2990" s="1402" t="s">
        <v>10036</v>
      </c>
      <c r="D2990" s="1403" t="s">
        <v>10075</v>
      </c>
      <c r="E2990" s="1404" t="s">
        <v>10222</v>
      </c>
      <c r="F2990" s="1405" t="s">
        <v>5299</v>
      </c>
      <c r="G2990" s="1403" t="s">
        <v>7876</v>
      </c>
      <c r="H2990" s="1406" t="s">
        <v>1037</v>
      </c>
    </row>
    <row r="2991" spans="1:8" x14ac:dyDescent="0.2">
      <c r="A2991" s="7"/>
      <c r="B2991" s="1407" t="str">
        <f t="shared" si="46"/>
        <v>Maurizio Colella</v>
      </c>
      <c r="C2991" s="1402" t="s">
        <v>6403</v>
      </c>
      <c r="D2991" s="1403" t="s">
        <v>3148</v>
      </c>
      <c r="E2991" s="1404" t="s">
        <v>10223</v>
      </c>
      <c r="F2991" s="1405" t="s">
        <v>5300</v>
      </c>
      <c r="G2991" s="1403" t="s">
        <v>13477</v>
      </c>
      <c r="H2991" s="1406" t="s">
        <v>1037</v>
      </c>
    </row>
    <row r="2992" spans="1:8" x14ac:dyDescent="0.2">
      <c r="A2992" s="7"/>
      <c r="B2992" s="1407" t="str">
        <f t="shared" si="46"/>
        <v>Carlo Alfredo Beretta</v>
      </c>
      <c r="C2992" s="1402" t="s">
        <v>10037</v>
      </c>
      <c r="D2992" s="1403" t="s">
        <v>10076</v>
      </c>
      <c r="E2992" s="1404" t="s">
        <v>10224</v>
      </c>
      <c r="F2992" s="1405" t="s">
        <v>5300</v>
      </c>
      <c r="G2992" s="1403" t="s">
        <v>13595</v>
      </c>
      <c r="H2992" s="1406" t="s">
        <v>1037</v>
      </c>
    </row>
    <row r="2993" spans="1:8" x14ac:dyDescent="0.2">
      <c r="A2993" s="7"/>
      <c r="B2993" s="1407" t="str">
        <f t="shared" si="46"/>
        <v>Bruno Esposito</v>
      </c>
      <c r="C2993" s="1402" t="s">
        <v>6428</v>
      </c>
      <c r="D2993" s="1403" t="s">
        <v>3168</v>
      </c>
      <c r="E2993" s="1404" t="s">
        <v>10225</v>
      </c>
      <c r="F2993" s="1405" t="s">
        <v>5299</v>
      </c>
      <c r="G2993" s="1403" t="s">
        <v>9698</v>
      </c>
      <c r="H2993" s="1406" t="s">
        <v>1037</v>
      </c>
    </row>
    <row r="2994" spans="1:8" x14ac:dyDescent="0.2">
      <c r="A2994" s="7"/>
      <c r="B2994" s="1407" t="str">
        <f t="shared" si="46"/>
        <v>Davide Massone</v>
      </c>
      <c r="C2994" s="1402" t="s">
        <v>10038</v>
      </c>
      <c r="D2994" s="1403" t="s">
        <v>3329</v>
      </c>
      <c r="E2994" s="1404" t="s">
        <v>10226</v>
      </c>
      <c r="F2994" s="1405" t="s">
        <v>5300</v>
      </c>
      <c r="G2994" s="1403" t="s">
        <v>13593</v>
      </c>
      <c r="H2994" s="1406" t="s">
        <v>1037</v>
      </c>
    </row>
    <row r="2995" spans="1:8" x14ac:dyDescent="0.2">
      <c r="A2995" s="7"/>
      <c r="B2995" s="1407" t="str">
        <f t="shared" si="46"/>
        <v>Alessandro Dellepiane</v>
      </c>
      <c r="C2995" s="1402" t="s">
        <v>10039</v>
      </c>
      <c r="D2995" s="1403" t="s">
        <v>3125</v>
      </c>
      <c r="E2995" s="1404" t="s">
        <v>10227</v>
      </c>
      <c r="F2995" s="1405" t="s">
        <v>5300</v>
      </c>
      <c r="G2995" s="1403" t="s">
        <v>9702</v>
      </c>
      <c r="H2995" s="1406" t="s">
        <v>1037</v>
      </c>
    </row>
    <row r="2996" spans="1:8" x14ac:dyDescent="0.2">
      <c r="A2996" s="7"/>
      <c r="B2996" s="1407" t="str">
        <f t="shared" si="46"/>
        <v>Matteo Fumai</v>
      </c>
      <c r="C2996" s="1402" t="s">
        <v>10040</v>
      </c>
      <c r="D2996" s="1403" t="s">
        <v>3200</v>
      </c>
      <c r="E2996" s="1404" t="s">
        <v>10228</v>
      </c>
      <c r="F2996" s="1405" t="s">
        <v>5299</v>
      </c>
      <c r="G2996" s="1403" t="s">
        <v>2773</v>
      </c>
      <c r="H2996" s="1406" t="s">
        <v>1037</v>
      </c>
    </row>
    <row r="2997" spans="1:8" x14ac:dyDescent="0.2">
      <c r="A2997" s="7"/>
      <c r="B2997" s="1407" t="str">
        <f t="shared" si="46"/>
        <v>Gennaro Mancini</v>
      </c>
      <c r="C2997" s="1402" t="s">
        <v>10041</v>
      </c>
      <c r="D2997" s="1403" t="s">
        <v>3354</v>
      </c>
      <c r="E2997" s="1404" t="s">
        <v>10229</v>
      </c>
      <c r="F2997" s="1405" t="s">
        <v>5300</v>
      </c>
      <c r="G2997" s="1403" t="s">
        <v>2773</v>
      </c>
      <c r="H2997" s="1406" t="s">
        <v>1037</v>
      </c>
    </row>
    <row r="2998" spans="1:8" x14ac:dyDescent="0.2">
      <c r="A2998" s="7"/>
      <c r="B2998" s="1407" t="str">
        <f t="shared" si="46"/>
        <v>François Villette</v>
      </c>
      <c r="C2998" s="1402" t="s">
        <v>10042</v>
      </c>
      <c r="D2998" s="1403" t="s">
        <v>7465</v>
      </c>
      <c r="E2998" s="1404" t="s">
        <v>10230</v>
      </c>
      <c r="F2998" s="1405" t="s">
        <v>5299</v>
      </c>
      <c r="G2998" s="1403" t="s">
        <v>10922</v>
      </c>
      <c r="H2998" s="1406" t="s">
        <v>1037</v>
      </c>
    </row>
    <row r="2999" spans="1:8" x14ac:dyDescent="0.2">
      <c r="A2999" s="7"/>
      <c r="B2999" s="1407" t="str">
        <f t="shared" si="46"/>
        <v>Diego Lazzaroni</v>
      </c>
      <c r="C2999" s="1402" t="s">
        <v>10043</v>
      </c>
      <c r="D2999" s="1403" t="s">
        <v>3373</v>
      </c>
      <c r="E2999" s="1404" t="s">
        <v>10231</v>
      </c>
      <c r="F2999" s="1405" t="s">
        <v>5300</v>
      </c>
      <c r="G2999" s="1403" t="s">
        <v>7875</v>
      </c>
      <c r="H2999" s="1406" t="s">
        <v>1037</v>
      </c>
    </row>
    <row r="3000" spans="1:8" x14ac:dyDescent="0.2">
      <c r="A3000" s="7"/>
      <c r="B3000" s="1407" t="str">
        <f t="shared" si="46"/>
        <v>Roberto Cipro</v>
      </c>
      <c r="C3000" s="1402" t="s">
        <v>2048</v>
      </c>
      <c r="D3000" s="1403" t="s">
        <v>3279</v>
      </c>
      <c r="E3000" s="1404" t="s">
        <v>10232</v>
      </c>
      <c r="F3000" s="1405" t="s">
        <v>5300</v>
      </c>
      <c r="G3000" s="1403" t="s">
        <v>7875</v>
      </c>
      <c r="H3000" s="1406" t="s">
        <v>1037</v>
      </c>
    </row>
    <row r="3001" spans="1:8" x14ac:dyDescent="0.2">
      <c r="A3001" s="7"/>
      <c r="B3001" s="1407" t="str">
        <f t="shared" si="46"/>
        <v>Adriano Coticelli</v>
      </c>
      <c r="C3001" s="1402" t="s">
        <v>10044</v>
      </c>
      <c r="D3001" s="1403" t="s">
        <v>3342</v>
      </c>
      <c r="E3001" s="1404" t="s">
        <v>10233</v>
      </c>
      <c r="F3001" s="1405" t="s">
        <v>5299</v>
      </c>
      <c r="G3001" s="1403" t="s">
        <v>7874</v>
      </c>
      <c r="H3001" s="1406" t="s">
        <v>1037</v>
      </c>
    </row>
    <row r="3002" spans="1:8" x14ac:dyDescent="0.2">
      <c r="A3002" s="7"/>
      <c r="B3002" s="1407" t="str">
        <f t="shared" si="46"/>
        <v>Stefano Marazzotta</v>
      </c>
      <c r="C3002" s="1402" t="s">
        <v>10045</v>
      </c>
      <c r="D3002" s="1403" t="s">
        <v>3062</v>
      </c>
      <c r="E3002" s="1404" t="s">
        <v>10234</v>
      </c>
      <c r="F3002" s="1405" t="s">
        <v>5300</v>
      </c>
      <c r="G3002" s="1403" t="s">
        <v>2787</v>
      </c>
      <c r="H3002" s="1406" t="s">
        <v>1037</v>
      </c>
    </row>
    <row r="3003" spans="1:8" x14ac:dyDescent="0.2">
      <c r="A3003" s="7"/>
      <c r="B3003" s="1407" t="str">
        <f t="shared" si="46"/>
        <v>Edoardo Landi</v>
      </c>
      <c r="C3003" s="1402" t="s">
        <v>6643</v>
      </c>
      <c r="D3003" s="1403" t="s">
        <v>3558</v>
      </c>
      <c r="E3003" s="1404" t="s">
        <v>10235</v>
      </c>
      <c r="F3003" s="1405" t="s">
        <v>13211</v>
      </c>
      <c r="G3003" s="1403" t="s">
        <v>7873</v>
      </c>
      <c r="H3003" s="1406" t="s">
        <v>1037</v>
      </c>
    </row>
    <row r="3004" spans="1:8" x14ac:dyDescent="0.2">
      <c r="A3004" s="7"/>
      <c r="B3004" s="1407" t="str">
        <f t="shared" si="46"/>
        <v>Francesco D'amico</v>
      </c>
      <c r="C3004" s="1402" t="s">
        <v>9637</v>
      </c>
      <c r="D3004" s="1403" t="s">
        <v>3277</v>
      </c>
      <c r="E3004" s="1404" t="s">
        <v>10236</v>
      </c>
      <c r="F3004" s="1405" t="s">
        <v>5300</v>
      </c>
      <c r="G3004" s="1403" t="s">
        <v>3614</v>
      </c>
      <c r="H3004" s="1406" t="s">
        <v>1037</v>
      </c>
    </row>
    <row r="3005" spans="1:8" x14ac:dyDescent="0.2">
      <c r="A3005" s="7"/>
      <c r="B3005" s="1407" t="str">
        <f t="shared" si="46"/>
        <v>Laura Tava</v>
      </c>
      <c r="C3005" s="1402" t="s">
        <v>10046</v>
      </c>
      <c r="D3005" s="1403" t="s">
        <v>3364</v>
      </c>
      <c r="E3005" s="1404" t="s">
        <v>10237</v>
      </c>
      <c r="F3005" s="1405" t="s">
        <v>5300</v>
      </c>
      <c r="G3005" s="1403" t="s">
        <v>3614</v>
      </c>
      <c r="H3005" s="1406" t="s">
        <v>1037</v>
      </c>
    </row>
    <row r="3006" spans="1:8" x14ac:dyDescent="0.2">
      <c r="A3006" s="7"/>
      <c r="B3006" s="1407" t="str">
        <f t="shared" si="46"/>
        <v>Massimo Tortello</v>
      </c>
      <c r="C3006" s="1402" t="s">
        <v>10047</v>
      </c>
      <c r="D3006" s="1403" t="s">
        <v>3013</v>
      </c>
      <c r="E3006" s="1404" t="s">
        <v>10238</v>
      </c>
      <c r="F3006" s="1405" t="s">
        <v>5300</v>
      </c>
      <c r="G3006" s="1403" t="s">
        <v>13596</v>
      </c>
      <c r="H3006" s="1406" t="s">
        <v>1037</v>
      </c>
    </row>
    <row r="3007" spans="1:8" x14ac:dyDescent="0.2">
      <c r="A3007" s="7"/>
      <c r="B3007" s="1407" t="str">
        <f t="shared" si="46"/>
        <v>Giancarlo Scano</v>
      </c>
      <c r="C3007" s="1402" t="s">
        <v>10856</v>
      </c>
      <c r="D3007" s="1403" t="s">
        <v>3337</v>
      </c>
      <c r="E3007" s="1404" t="s">
        <v>10903</v>
      </c>
      <c r="F3007" s="1405" t="s">
        <v>5300</v>
      </c>
      <c r="G3007" s="1403" t="s">
        <v>10292</v>
      </c>
      <c r="H3007" s="1406" t="s">
        <v>1037</v>
      </c>
    </row>
    <row r="3008" spans="1:8" x14ac:dyDescent="0.2">
      <c r="A3008" s="7"/>
      <c r="B3008" s="1407" t="str">
        <f t="shared" si="46"/>
        <v>Efisio Garau</v>
      </c>
      <c r="C3008" s="1402" t="s">
        <v>10858</v>
      </c>
      <c r="D3008" s="1403" t="s">
        <v>10883</v>
      </c>
      <c r="E3008" s="1404" t="s">
        <v>10904</v>
      </c>
      <c r="F3008" s="1405" t="s">
        <v>5300</v>
      </c>
      <c r="G3008" s="1403" t="s">
        <v>10292</v>
      </c>
      <c r="H3008" s="1406" t="s">
        <v>1037</v>
      </c>
    </row>
    <row r="3009" spans="1:8" x14ac:dyDescent="0.2">
      <c r="A3009" s="7"/>
      <c r="B3009" s="1407" t="str">
        <f t="shared" si="46"/>
        <v>Pietro Limbardi</v>
      </c>
      <c r="C3009" s="1402" t="s">
        <v>10859</v>
      </c>
      <c r="D3009" s="1403" t="s">
        <v>3233</v>
      </c>
      <c r="E3009" s="1404" t="s">
        <v>10905</v>
      </c>
      <c r="F3009" s="1405" t="s">
        <v>5300</v>
      </c>
      <c r="G3009" s="1403" t="s">
        <v>10292</v>
      </c>
      <c r="H3009" s="1406" t="s">
        <v>1037</v>
      </c>
    </row>
    <row r="3010" spans="1:8" x14ac:dyDescent="0.2">
      <c r="A3010" s="7"/>
      <c r="B3010" s="1407" t="str">
        <f t="shared" si="46"/>
        <v>Igor Portoghese</v>
      </c>
      <c r="C3010" s="1402" t="s">
        <v>10860</v>
      </c>
      <c r="D3010" s="1403" t="s">
        <v>3144</v>
      </c>
      <c r="E3010" s="1404" t="s">
        <v>10906</v>
      </c>
      <c r="F3010" s="1405" t="s">
        <v>5299</v>
      </c>
      <c r="G3010" s="1403" t="s">
        <v>10292</v>
      </c>
      <c r="H3010" s="1406" t="s">
        <v>1037</v>
      </c>
    </row>
    <row r="3011" spans="1:8" x14ac:dyDescent="0.2">
      <c r="A3011" s="7"/>
      <c r="B3011" s="1407" t="str">
        <f t="shared" si="46"/>
        <v>Ignazio Portoghese</v>
      </c>
      <c r="C3011" s="1402" t="s">
        <v>10860</v>
      </c>
      <c r="D3011" s="1403" t="s">
        <v>5627</v>
      </c>
      <c r="E3011" s="1404" t="s">
        <v>10907</v>
      </c>
      <c r="F3011" s="1405" t="s">
        <v>5299</v>
      </c>
      <c r="G3011" s="1403" t="s">
        <v>10292</v>
      </c>
      <c r="H3011" s="1406" t="s">
        <v>1037</v>
      </c>
    </row>
    <row r="3012" spans="1:8" x14ac:dyDescent="0.2">
      <c r="A3012" s="7"/>
      <c r="B3012" s="1407" t="str">
        <f t="shared" si="46"/>
        <v>Fabrizio Scano</v>
      </c>
      <c r="C3012" s="1402" t="s">
        <v>10856</v>
      </c>
      <c r="D3012" s="1403" t="s">
        <v>3087</v>
      </c>
      <c r="E3012" s="1404" t="s">
        <v>10908</v>
      </c>
      <c r="F3012" s="1405" t="s">
        <v>5299</v>
      </c>
      <c r="G3012" s="1403" t="s">
        <v>10292</v>
      </c>
      <c r="H3012" s="1406" t="s">
        <v>1037</v>
      </c>
    </row>
    <row r="3013" spans="1:8" x14ac:dyDescent="0.2">
      <c r="A3013" s="7"/>
      <c r="B3013" s="1407" t="str">
        <f t="shared" si="46"/>
        <v>Riccardo Damasco</v>
      </c>
      <c r="C3013" s="1402" t="s">
        <v>10862</v>
      </c>
      <c r="D3013" s="1403" t="s">
        <v>3270</v>
      </c>
      <c r="E3013" s="1404" t="s">
        <v>10909</v>
      </c>
      <c r="F3013" s="1405" t="s">
        <v>5299</v>
      </c>
      <c r="G3013" s="1403" t="s">
        <v>10292</v>
      </c>
      <c r="H3013" s="1406" t="s">
        <v>1037</v>
      </c>
    </row>
    <row r="3014" spans="1:8" x14ac:dyDescent="0.2">
      <c r="A3014" s="7"/>
      <c r="B3014" s="1407" t="str">
        <f t="shared" si="46"/>
        <v>Emilio Richichi</v>
      </c>
      <c r="C3014" s="1402" t="s">
        <v>10863</v>
      </c>
      <c r="D3014" s="1403" t="s">
        <v>10884</v>
      </c>
      <c r="E3014" s="1404" t="s">
        <v>10910</v>
      </c>
      <c r="F3014" s="1405" t="s">
        <v>5300</v>
      </c>
      <c r="G3014" s="1403" t="s">
        <v>9700</v>
      </c>
      <c r="H3014" s="1406" t="s">
        <v>1037</v>
      </c>
    </row>
    <row r="3015" spans="1:8" x14ac:dyDescent="0.2">
      <c r="A3015" s="7"/>
      <c r="B3015" s="1407" t="str">
        <f t="shared" ref="B3015:B3078" si="47">TRIM(CONCATENATE(D3015," ",C3015))</f>
        <v>Gianni Belli</v>
      </c>
      <c r="C3015" s="1402" t="s">
        <v>10864</v>
      </c>
      <c r="D3015" s="1403" t="s">
        <v>7475</v>
      </c>
      <c r="E3015" s="1404" t="s">
        <v>10911</v>
      </c>
      <c r="F3015" s="1405" t="s">
        <v>5300</v>
      </c>
      <c r="G3015" s="1403" t="s">
        <v>10273</v>
      </c>
      <c r="H3015" s="1406" t="s">
        <v>1037</v>
      </c>
    </row>
    <row r="3016" spans="1:8" x14ac:dyDescent="0.2">
      <c r="A3016" s="7"/>
      <c r="B3016" s="1407" t="str">
        <f t="shared" si="47"/>
        <v>Gianpaolo De Santis</v>
      </c>
      <c r="C3016" s="1402" t="s">
        <v>8150</v>
      </c>
      <c r="D3016" s="1403" t="s">
        <v>5536</v>
      </c>
      <c r="E3016" s="1404" t="s">
        <v>10912</v>
      </c>
      <c r="F3016" s="1405" t="s">
        <v>5300</v>
      </c>
      <c r="G3016" s="1403" t="s">
        <v>10273</v>
      </c>
      <c r="H3016" s="1406" t="s">
        <v>1037</v>
      </c>
    </row>
    <row r="3017" spans="1:8" x14ac:dyDescent="0.2">
      <c r="A3017" s="7"/>
      <c r="B3017" s="1407" t="str">
        <f t="shared" si="47"/>
        <v>Pietro Magro</v>
      </c>
      <c r="C3017" s="1402" t="s">
        <v>10865</v>
      </c>
      <c r="D3017" s="1403" t="s">
        <v>3233</v>
      </c>
      <c r="E3017" s="1404" t="s">
        <v>10913</v>
      </c>
      <c r="F3017" s="1405" t="s">
        <v>5300</v>
      </c>
      <c r="G3017" s="1403" t="s">
        <v>10273</v>
      </c>
      <c r="H3017" s="1406" t="s">
        <v>1037</v>
      </c>
    </row>
    <row r="3018" spans="1:8" x14ac:dyDescent="0.2">
      <c r="A3018" s="7"/>
      <c r="B3018" s="1407" t="str">
        <f t="shared" si="47"/>
        <v>Luca Palazzoli</v>
      </c>
      <c r="C3018" s="1402" t="s">
        <v>10866</v>
      </c>
      <c r="D3018" s="1403" t="s">
        <v>3198</v>
      </c>
      <c r="E3018" s="1404" t="s">
        <v>10914</v>
      </c>
      <c r="F3018" s="1405" t="s">
        <v>5300</v>
      </c>
      <c r="G3018" s="1403" t="s">
        <v>10273</v>
      </c>
      <c r="H3018" s="1406" t="s">
        <v>1037</v>
      </c>
    </row>
    <row r="3019" spans="1:8" x14ac:dyDescent="0.2">
      <c r="A3019" s="7"/>
      <c r="B3019" s="1407" t="str">
        <f t="shared" si="47"/>
        <v>Riccardo Zecchini</v>
      </c>
      <c r="C3019" s="1402" t="s">
        <v>16379</v>
      </c>
      <c r="D3019" s="1403" t="s">
        <v>3270</v>
      </c>
      <c r="E3019" s="1404" t="s">
        <v>16380</v>
      </c>
      <c r="F3019" s="1405" t="s">
        <v>5300</v>
      </c>
      <c r="G3019" s="1403" t="s">
        <v>10273</v>
      </c>
      <c r="H3019" s="1406" t="s">
        <v>1037</v>
      </c>
    </row>
    <row r="3020" spans="1:8" x14ac:dyDescent="0.2">
      <c r="A3020" s="7"/>
      <c r="B3020" s="1407" t="str">
        <f t="shared" si="47"/>
        <v>Sergio Mazzau</v>
      </c>
      <c r="C3020" s="1402" t="s">
        <v>10867</v>
      </c>
      <c r="D3020" s="1403" t="s">
        <v>3064</v>
      </c>
      <c r="E3020" s="1404" t="s">
        <v>10915</v>
      </c>
      <c r="F3020" s="1405" t="s">
        <v>5300</v>
      </c>
      <c r="G3020" s="1403" t="s">
        <v>9699</v>
      </c>
      <c r="H3020" s="1406" t="s">
        <v>1037</v>
      </c>
    </row>
    <row r="3021" spans="1:8" x14ac:dyDescent="0.2">
      <c r="A3021" s="7"/>
      <c r="B3021" s="1407" t="str">
        <f t="shared" si="47"/>
        <v>Nicola Montefusco</v>
      </c>
      <c r="C3021" s="1402" t="s">
        <v>10028</v>
      </c>
      <c r="D3021" s="1403" t="s">
        <v>3191</v>
      </c>
      <c r="E3021" s="1404" t="s">
        <v>10916</v>
      </c>
      <c r="F3021" s="1405" t="s">
        <v>5300</v>
      </c>
      <c r="G3021" s="1403" t="s">
        <v>11325</v>
      </c>
      <c r="H3021" s="1406" t="s">
        <v>1037</v>
      </c>
    </row>
    <row r="3022" spans="1:8" x14ac:dyDescent="0.2">
      <c r="A3022" s="7"/>
      <c r="B3022" s="1407" t="str">
        <f t="shared" si="47"/>
        <v>Leonardo Carlucci</v>
      </c>
      <c r="C3022" s="1402" t="s">
        <v>10868</v>
      </c>
      <c r="D3022" s="1403" t="s">
        <v>3633</v>
      </c>
      <c r="E3022" s="1404" t="s">
        <v>10917</v>
      </c>
      <c r="F3022" s="1405" t="s">
        <v>5299</v>
      </c>
      <c r="G3022" s="1403" t="s">
        <v>9699</v>
      </c>
      <c r="H3022" s="1406" t="s">
        <v>1037</v>
      </c>
    </row>
    <row r="3023" spans="1:8" x14ac:dyDescent="0.2">
      <c r="A3023" s="7"/>
      <c r="B3023" s="1407" t="str">
        <f t="shared" si="47"/>
        <v>Domenico Cucinella</v>
      </c>
      <c r="C3023" s="1402" t="s">
        <v>10869</v>
      </c>
      <c r="D3023" s="1403" t="s">
        <v>3353</v>
      </c>
      <c r="E3023" s="1404" t="s">
        <v>10918</v>
      </c>
      <c r="F3023" s="1405" t="s">
        <v>5300</v>
      </c>
      <c r="G3023" s="1403" t="s">
        <v>10274</v>
      </c>
      <c r="H3023" s="1406" t="s">
        <v>1037</v>
      </c>
    </row>
    <row r="3024" spans="1:8" x14ac:dyDescent="0.2">
      <c r="A3024" s="7"/>
      <c r="B3024" s="1407" t="str">
        <f t="shared" si="47"/>
        <v>Gioacchino Camerini</v>
      </c>
      <c r="C3024" s="1402" t="s">
        <v>10870</v>
      </c>
      <c r="D3024" s="1403" t="s">
        <v>6872</v>
      </c>
      <c r="E3024" s="1404" t="s">
        <v>10919</v>
      </c>
      <c r="F3024" s="1405" t="s">
        <v>5300</v>
      </c>
      <c r="G3024" s="1403" t="s">
        <v>9699</v>
      </c>
      <c r="H3024" s="1406" t="s">
        <v>1037</v>
      </c>
    </row>
    <row r="3025" spans="1:8" x14ac:dyDescent="0.2">
      <c r="A3025" s="7"/>
      <c r="B3025" s="1407" t="str">
        <f t="shared" si="47"/>
        <v>Valerio Bilucaglia</v>
      </c>
      <c r="C3025" s="1402" t="s">
        <v>11042</v>
      </c>
      <c r="D3025" s="1403" t="s">
        <v>5652</v>
      </c>
      <c r="E3025" s="1404" t="s">
        <v>11132</v>
      </c>
      <c r="F3025" s="1405" t="s">
        <v>13211</v>
      </c>
      <c r="G3025" s="1403" t="s">
        <v>9701</v>
      </c>
      <c r="H3025" s="1406" t="s">
        <v>1037</v>
      </c>
    </row>
    <row r="3026" spans="1:8" x14ac:dyDescent="0.2">
      <c r="A3026" s="7"/>
      <c r="B3026" s="1407" t="str">
        <f t="shared" si="47"/>
        <v>Dario Bilucaglia</v>
      </c>
      <c r="C3026" s="1402" t="s">
        <v>11042</v>
      </c>
      <c r="D3026" s="1403" t="s">
        <v>3372</v>
      </c>
      <c r="E3026" s="1404" t="s">
        <v>11133</v>
      </c>
      <c r="F3026" s="1405" t="s">
        <v>5300</v>
      </c>
      <c r="G3026" s="1403" t="s">
        <v>9701</v>
      </c>
      <c r="H3026" s="1406" t="s">
        <v>1037</v>
      </c>
    </row>
    <row r="3027" spans="1:8" x14ac:dyDescent="0.2">
      <c r="A3027" s="7"/>
      <c r="B3027" s="1407" t="str">
        <f t="shared" si="47"/>
        <v>Cosimo Orlando</v>
      </c>
      <c r="C3027" s="1402" t="s">
        <v>6504</v>
      </c>
      <c r="D3027" s="1403" t="s">
        <v>11080</v>
      </c>
      <c r="E3027" s="1404" t="s">
        <v>15968</v>
      </c>
      <c r="F3027" s="1405" t="s">
        <v>5300</v>
      </c>
      <c r="G3027" s="1403" t="s">
        <v>7880</v>
      </c>
      <c r="H3027" s="1406" t="s">
        <v>1037</v>
      </c>
    </row>
    <row r="3028" spans="1:8" x14ac:dyDescent="0.2">
      <c r="A3028" s="7"/>
      <c r="B3028" s="1407" t="str">
        <f t="shared" si="47"/>
        <v>Fabio Rampi</v>
      </c>
      <c r="C3028" s="1402" t="s">
        <v>10027</v>
      </c>
      <c r="D3028" s="1403" t="s">
        <v>3133</v>
      </c>
      <c r="E3028" s="1404" t="s">
        <v>11134</v>
      </c>
      <c r="F3028" s="1405" t="s">
        <v>5300</v>
      </c>
      <c r="G3028" s="1403" t="s">
        <v>13321</v>
      </c>
      <c r="H3028" s="1406" t="s">
        <v>1037</v>
      </c>
    </row>
    <row r="3029" spans="1:8" x14ac:dyDescent="0.2">
      <c r="A3029" s="7"/>
      <c r="B3029" s="1407" t="str">
        <f t="shared" si="47"/>
        <v>Roberto Lavoratti</v>
      </c>
      <c r="C3029" s="1402" t="s">
        <v>11043</v>
      </c>
      <c r="D3029" s="1403" t="s">
        <v>3279</v>
      </c>
      <c r="E3029" s="1404" t="s">
        <v>11135</v>
      </c>
      <c r="F3029" s="1405" t="s">
        <v>5300</v>
      </c>
      <c r="G3029" s="1403" t="s">
        <v>9702</v>
      </c>
      <c r="H3029" s="1406" t="s">
        <v>1037</v>
      </c>
    </row>
    <row r="3030" spans="1:8" x14ac:dyDescent="0.2">
      <c r="A3030" s="7"/>
      <c r="B3030" s="1407" t="str">
        <f t="shared" si="47"/>
        <v>Giuseppe Basile</v>
      </c>
      <c r="C3030" s="1402" t="s">
        <v>6632</v>
      </c>
      <c r="D3030" s="1403" t="s">
        <v>3122</v>
      </c>
      <c r="E3030" s="1404" t="s">
        <v>11136</v>
      </c>
      <c r="F3030" s="1405" t="s">
        <v>5300</v>
      </c>
      <c r="G3030" s="1403" t="s">
        <v>13593</v>
      </c>
      <c r="H3030" s="1406" t="s">
        <v>1037</v>
      </c>
    </row>
    <row r="3031" spans="1:8" x14ac:dyDescent="0.2">
      <c r="A3031" s="7"/>
      <c r="B3031" s="1407" t="str">
        <f t="shared" si="47"/>
        <v>Carlo Gazzarri</v>
      </c>
      <c r="C3031" s="1402" t="s">
        <v>11044</v>
      </c>
      <c r="D3031" s="1403" t="s">
        <v>3266</v>
      </c>
      <c r="E3031" s="1404" t="s">
        <v>11137</v>
      </c>
      <c r="F3031" s="1405" t="s">
        <v>5300</v>
      </c>
      <c r="G3031" s="1403" t="s">
        <v>11179</v>
      </c>
      <c r="H3031" s="1406" t="s">
        <v>1037</v>
      </c>
    </row>
    <row r="3032" spans="1:8" x14ac:dyDescent="0.2">
      <c r="A3032" s="7"/>
      <c r="B3032" s="1407" t="str">
        <f t="shared" si="47"/>
        <v>Antonio Maielli</v>
      </c>
      <c r="C3032" s="1402" t="s">
        <v>11045</v>
      </c>
      <c r="D3032" s="1403" t="s">
        <v>3341</v>
      </c>
      <c r="E3032" s="1404" t="s">
        <v>11138</v>
      </c>
      <c r="F3032" s="1405" t="s">
        <v>5300</v>
      </c>
      <c r="G3032" s="1403" t="s">
        <v>11179</v>
      </c>
      <c r="H3032" s="1406" t="s">
        <v>1037</v>
      </c>
    </row>
    <row r="3033" spans="1:8" x14ac:dyDescent="0.2">
      <c r="A3033" s="7"/>
      <c r="B3033" s="1407" t="str">
        <f t="shared" si="47"/>
        <v>Duccio Passeroni</v>
      </c>
      <c r="C3033" s="1402" t="s">
        <v>11046</v>
      </c>
      <c r="D3033" s="1403" t="s">
        <v>11081</v>
      </c>
      <c r="E3033" s="1404" t="s">
        <v>11139</v>
      </c>
      <c r="F3033" s="1405" t="s">
        <v>5299</v>
      </c>
      <c r="G3033" s="1403" t="s">
        <v>2782</v>
      </c>
      <c r="H3033" s="1406" t="s">
        <v>1037</v>
      </c>
    </row>
    <row r="3034" spans="1:8" x14ac:dyDescent="0.2">
      <c r="A3034" s="7"/>
      <c r="B3034" s="1407" t="str">
        <f t="shared" si="47"/>
        <v>Roberto Cecchi</v>
      </c>
      <c r="C3034" s="1402" t="s">
        <v>11047</v>
      </c>
      <c r="D3034" s="1403" t="s">
        <v>3279</v>
      </c>
      <c r="E3034" s="1404" t="s">
        <v>11140</v>
      </c>
      <c r="F3034" s="1405" t="s">
        <v>5300</v>
      </c>
      <c r="G3034" s="1403" t="s">
        <v>11179</v>
      </c>
      <c r="H3034" s="1406" t="s">
        <v>1037</v>
      </c>
    </row>
    <row r="3035" spans="1:8" x14ac:dyDescent="0.2">
      <c r="A3035" s="7"/>
      <c r="B3035" s="1407" t="str">
        <f t="shared" si="47"/>
        <v>Massimiliano Guidi</v>
      </c>
      <c r="C3035" s="1402" t="s">
        <v>6453</v>
      </c>
      <c r="D3035" s="1403" t="s">
        <v>3023</v>
      </c>
      <c r="E3035" s="1404" t="s">
        <v>15631</v>
      </c>
      <c r="F3035" s="1405" t="s">
        <v>5299</v>
      </c>
      <c r="G3035" s="1403" t="s">
        <v>11179</v>
      </c>
      <c r="H3035" s="1406" t="s">
        <v>1037</v>
      </c>
    </row>
    <row r="3036" spans="1:8" x14ac:dyDescent="0.2">
      <c r="A3036" s="7"/>
      <c r="B3036" s="1407" t="str">
        <f t="shared" si="47"/>
        <v>Andrea Tonet</v>
      </c>
      <c r="C3036" s="1402" t="s">
        <v>11048</v>
      </c>
      <c r="D3036" s="1403" t="s">
        <v>3027</v>
      </c>
      <c r="E3036" s="1404" t="s">
        <v>11141</v>
      </c>
      <c r="F3036" s="1405" t="s">
        <v>5300</v>
      </c>
      <c r="G3036" s="1403" t="s">
        <v>13595</v>
      </c>
      <c r="H3036" s="1406" t="s">
        <v>1037</v>
      </c>
    </row>
    <row r="3037" spans="1:8" x14ac:dyDescent="0.2">
      <c r="A3037" s="7"/>
      <c r="B3037" s="1407" t="str">
        <f t="shared" si="47"/>
        <v>Roberto Rocchi</v>
      </c>
      <c r="C3037" s="1402" t="s">
        <v>16135</v>
      </c>
      <c r="D3037" s="1403" t="s">
        <v>3279</v>
      </c>
      <c r="E3037" s="1404" t="s">
        <v>16136</v>
      </c>
      <c r="F3037" s="1405" t="s">
        <v>5300</v>
      </c>
      <c r="G3037" s="1403" t="s">
        <v>2765</v>
      </c>
      <c r="H3037" s="1406" t="s">
        <v>1037</v>
      </c>
    </row>
    <row r="3038" spans="1:8" x14ac:dyDescent="0.2">
      <c r="A3038" s="7"/>
      <c r="B3038" s="1407" t="str">
        <f t="shared" si="47"/>
        <v>Angelo Bisio</v>
      </c>
      <c r="C3038" s="1402" t="s">
        <v>6368</v>
      </c>
      <c r="D3038" s="1403" t="s">
        <v>3367</v>
      </c>
      <c r="E3038" s="1404" t="s">
        <v>11142</v>
      </c>
      <c r="F3038" s="1405" t="s">
        <v>13211</v>
      </c>
      <c r="G3038" s="1403" t="s">
        <v>2765</v>
      </c>
      <c r="H3038" s="1406" t="s">
        <v>1037</v>
      </c>
    </row>
    <row r="3039" spans="1:8" x14ac:dyDescent="0.2">
      <c r="A3039" s="7"/>
      <c r="B3039" s="1407" t="str">
        <f t="shared" si="47"/>
        <v>Marco Rossitto</v>
      </c>
      <c r="C3039" s="1402" t="s">
        <v>11049</v>
      </c>
      <c r="D3039" s="1403" t="s">
        <v>3109</v>
      </c>
      <c r="E3039" s="1404" t="s">
        <v>11143</v>
      </c>
      <c r="F3039" s="1405" t="s">
        <v>5299</v>
      </c>
      <c r="G3039" s="1403" t="s">
        <v>10274</v>
      </c>
      <c r="H3039" s="1406" t="s">
        <v>1037</v>
      </c>
    </row>
    <row r="3040" spans="1:8" x14ac:dyDescent="0.2">
      <c r="A3040" s="7"/>
      <c r="B3040" s="1407" t="str">
        <f t="shared" si="47"/>
        <v>Davide Rigon</v>
      </c>
      <c r="C3040" s="1402" t="s">
        <v>9948</v>
      </c>
      <c r="D3040" s="1403" t="s">
        <v>3329</v>
      </c>
      <c r="E3040" s="1404" t="s">
        <v>11144</v>
      </c>
      <c r="F3040" s="1405" t="s">
        <v>5299</v>
      </c>
      <c r="G3040" s="1403" t="s">
        <v>7873</v>
      </c>
      <c r="H3040" s="1406" t="s">
        <v>1037</v>
      </c>
    </row>
    <row r="3041" spans="1:8" x14ac:dyDescent="0.2">
      <c r="A3041" s="7"/>
      <c r="B3041" s="1407" t="str">
        <f t="shared" si="47"/>
        <v>Alberto Spiller</v>
      </c>
      <c r="C3041" s="1402" t="s">
        <v>11050</v>
      </c>
      <c r="D3041" s="1403" t="s">
        <v>3042</v>
      </c>
      <c r="E3041" s="1404" t="s">
        <v>11145</v>
      </c>
      <c r="F3041" s="1405" t="s">
        <v>13210</v>
      </c>
      <c r="G3041" s="1403" t="s">
        <v>9701</v>
      </c>
      <c r="H3041" s="1406" t="s">
        <v>1037</v>
      </c>
    </row>
    <row r="3042" spans="1:8" x14ac:dyDescent="0.2">
      <c r="A3042" s="7"/>
      <c r="B3042" s="1407" t="str">
        <f t="shared" si="47"/>
        <v>Luca Periccioli</v>
      </c>
      <c r="C3042" s="1402" t="s">
        <v>11051</v>
      </c>
      <c r="D3042" s="1403" t="s">
        <v>3198</v>
      </c>
      <c r="E3042" s="1404" t="s">
        <v>11146</v>
      </c>
      <c r="F3042" s="1405" t="s">
        <v>13210</v>
      </c>
      <c r="G3042" s="1403" t="s">
        <v>3614</v>
      </c>
      <c r="H3042" s="1406" t="s">
        <v>1037</v>
      </c>
    </row>
    <row r="3043" spans="1:8" x14ac:dyDescent="0.2">
      <c r="A3043" s="7"/>
      <c r="B3043" s="1407" t="str">
        <f t="shared" si="47"/>
        <v>Giovanni Fina</v>
      </c>
      <c r="C3043" s="1402" t="s">
        <v>11052</v>
      </c>
      <c r="D3043" s="1403" t="s">
        <v>3371</v>
      </c>
      <c r="E3043" s="1404" t="s">
        <v>11147</v>
      </c>
      <c r="F3043" s="1405" t="s">
        <v>13210</v>
      </c>
      <c r="G3043" s="1403" t="s">
        <v>10274</v>
      </c>
      <c r="H3043" s="1406" t="s">
        <v>1037</v>
      </c>
    </row>
    <row r="3044" spans="1:8" x14ac:dyDescent="0.2">
      <c r="A3044" s="7"/>
      <c r="B3044" s="1407" t="str">
        <f t="shared" si="47"/>
        <v>Francesco Perri</v>
      </c>
      <c r="C3044" s="1402" t="s">
        <v>11053</v>
      </c>
      <c r="D3044" s="1403" t="s">
        <v>3277</v>
      </c>
      <c r="E3044" s="1404" t="s">
        <v>11148</v>
      </c>
      <c r="F3044" s="1405" t="s">
        <v>5300</v>
      </c>
      <c r="G3044" s="1403" t="s">
        <v>10271</v>
      </c>
      <c r="H3044" s="1406" t="s">
        <v>1037</v>
      </c>
    </row>
    <row r="3045" spans="1:8" x14ac:dyDescent="0.2">
      <c r="A3045" s="7"/>
      <c r="B3045" s="1407" t="str">
        <f t="shared" si="47"/>
        <v>Alessandro Spiller</v>
      </c>
      <c r="C3045" s="1402" t="s">
        <v>11050</v>
      </c>
      <c r="D3045" s="1403" t="s">
        <v>3125</v>
      </c>
      <c r="E3045" s="1404" t="s">
        <v>11149</v>
      </c>
      <c r="F3045" s="1405" t="s">
        <v>5300</v>
      </c>
      <c r="G3045" s="1403" t="s">
        <v>9701</v>
      </c>
      <c r="H3045" s="1406" t="s">
        <v>1037</v>
      </c>
    </row>
    <row r="3046" spans="1:8" x14ac:dyDescent="0.2">
      <c r="A3046" s="7"/>
      <c r="B3046" s="1407" t="str">
        <f t="shared" si="47"/>
        <v>Davide Angelo Marletta</v>
      </c>
      <c r="C3046" s="1402" t="s">
        <v>15859</v>
      </c>
      <c r="D3046" s="1403" t="s">
        <v>15860</v>
      </c>
      <c r="E3046" s="1404" t="s">
        <v>15861</v>
      </c>
      <c r="F3046" s="1405" t="s">
        <v>5300</v>
      </c>
      <c r="G3046" s="1403" t="s">
        <v>7872</v>
      </c>
      <c r="H3046" s="1406" t="s">
        <v>1037</v>
      </c>
    </row>
    <row r="3047" spans="1:8" x14ac:dyDescent="0.2">
      <c r="A3047" s="7"/>
      <c r="B3047" s="1407" t="str">
        <f t="shared" si="47"/>
        <v>Raffaele Basile</v>
      </c>
      <c r="C3047" s="1402" t="s">
        <v>6632</v>
      </c>
      <c r="D3047" s="1403" t="s">
        <v>3370</v>
      </c>
      <c r="E3047" s="1404" t="s">
        <v>11150</v>
      </c>
      <c r="F3047" s="1405" t="s">
        <v>5300</v>
      </c>
      <c r="G3047" s="1403" t="s">
        <v>10274</v>
      </c>
      <c r="H3047" s="1406" t="s">
        <v>1037</v>
      </c>
    </row>
    <row r="3048" spans="1:8" x14ac:dyDescent="0.2">
      <c r="A3048" s="7"/>
      <c r="B3048" s="1407" t="str">
        <f t="shared" si="47"/>
        <v>Giuliano Fina</v>
      </c>
      <c r="C3048" s="1402" t="s">
        <v>11052</v>
      </c>
      <c r="D3048" s="1403" t="s">
        <v>5619</v>
      </c>
      <c r="E3048" s="1404" t="s">
        <v>11151</v>
      </c>
      <c r="F3048" s="1405" t="s">
        <v>5300</v>
      </c>
      <c r="G3048" s="1403" t="s">
        <v>10274</v>
      </c>
      <c r="H3048" s="1406" t="s">
        <v>1037</v>
      </c>
    </row>
    <row r="3049" spans="1:8" x14ac:dyDescent="0.2">
      <c r="A3049" s="7"/>
      <c r="B3049" s="1407" t="str">
        <f t="shared" si="47"/>
        <v>Massimo Manfredelli</v>
      </c>
      <c r="C3049" s="1402" t="s">
        <v>9654</v>
      </c>
      <c r="D3049" s="1403" t="s">
        <v>3013</v>
      </c>
      <c r="E3049" s="1404" t="s">
        <v>11152</v>
      </c>
      <c r="F3049" s="1405" t="s">
        <v>5300</v>
      </c>
      <c r="G3049" s="1403" t="s">
        <v>2750</v>
      </c>
      <c r="H3049" s="1406" t="s">
        <v>1037</v>
      </c>
    </row>
    <row r="3050" spans="1:8" x14ac:dyDescent="0.2">
      <c r="A3050" s="7"/>
      <c r="B3050" s="1407" t="str">
        <f t="shared" si="47"/>
        <v>Emanuele Arrighetti</v>
      </c>
      <c r="C3050" s="1402" t="s">
        <v>11054</v>
      </c>
      <c r="D3050" s="1403" t="s">
        <v>3085</v>
      </c>
      <c r="E3050" s="1404" t="s">
        <v>11153</v>
      </c>
      <c r="F3050" s="1405" t="s">
        <v>5299</v>
      </c>
      <c r="G3050" s="1403" t="s">
        <v>11325</v>
      </c>
      <c r="H3050" s="1406" t="s">
        <v>1037</v>
      </c>
    </row>
    <row r="3051" spans="1:8" x14ac:dyDescent="0.2">
      <c r="A3051" s="7"/>
      <c r="B3051" s="1407" t="str">
        <f t="shared" si="47"/>
        <v>Simone Buzzo</v>
      </c>
      <c r="C3051" s="1402" t="s">
        <v>11055</v>
      </c>
      <c r="D3051" s="1403" t="s">
        <v>3158</v>
      </c>
      <c r="E3051" s="1404" t="s">
        <v>11154</v>
      </c>
      <c r="F3051" s="1405" t="s">
        <v>5299</v>
      </c>
      <c r="G3051" s="1403" t="s">
        <v>13596</v>
      </c>
      <c r="H3051" s="1406" t="s">
        <v>1037</v>
      </c>
    </row>
    <row r="3052" spans="1:8" x14ac:dyDescent="0.2">
      <c r="A3052" s="7"/>
      <c r="B3052" s="1407" t="str">
        <f t="shared" si="47"/>
        <v>Aldo Chianucci</v>
      </c>
      <c r="C3052" s="1402" t="s">
        <v>11057</v>
      </c>
      <c r="D3052" s="1403" t="s">
        <v>3642</v>
      </c>
      <c r="E3052" s="1404" t="s">
        <v>11155</v>
      </c>
      <c r="F3052" s="1405" t="s">
        <v>5300</v>
      </c>
      <c r="G3052" s="1403" t="s">
        <v>16893</v>
      </c>
      <c r="H3052" s="1406" t="s">
        <v>1037</v>
      </c>
    </row>
    <row r="3053" spans="1:8" x14ac:dyDescent="0.2">
      <c r="A3053" s="7"/>
      <c r="B3053" s="1407" t="str">
        <f t="shared" si="47"/>
        <v>Marco Bonelli</v>
      </c>
      <c r="C3053" s="1402" t="s">
        <v>11058</v>
      </c>
      <c r="D3053" s="1403" t="s">
        <v>3109</v>
      </c>
      <c r="E3053" s="1404" t="s">
        <v>11156</v>
      </c>
      <c r="F3053" s="1405" t="s">
        <v>5299</v>
      </c>
      <c r="G3053" s="1403" t="s">
        <v>16893</v>
      </c>
      <c r="H3053" s="1406" t="s">
        <v>1037</v>
      </c>
    </row>
    <row r="3054" spans="1:8" x14ac:dyDescent="0.2">
      <c r="A3054" s="7"/>
      <c r="B3054" s="1407" t="str">
        <f t="shared" si="47"/>
        <v>Leandro Guidi</v>
      </c>
      <c r="C3054" s="1402" t="s">
        <v>6453</v>
      </c>
      <c r="D3054" s="1403" t="s">
        <v>3566</v>
      </c>
      <c r="E3054" s="1404" t="s">
        <v>11157</v>
      </c>
      <c r="F3054" s="1405" t="s">
        <v>5300</v>
      </c>
      <c r="G3054" s="1403" t="s">
        <v>11328</v>
      </c>
      <c r="H3054" s="1406" t="s">
        <v>1037</v>
      </c>
    </row>
    <row r="3055" spans="1:8" x14ac:dyDescent="0.2">
      <c r="A3055" s="7"/>
      <c r="B3055" s="1407" t="str">
        <f t="shared" si="47"/>
        <v>Sacha Cacioppo</v>
      </c>
      <c r="C3055" s="1402" t="s">
        <v>11059</v>
      </c>
      <c r="D3055" s="1403" t="s">
        <v>11082</v>
      </c>
      <c r="E3055" s="1404" t="s">
        <v>11158</v>
      </c>
      <c r="F3055" s="1405" t="s">
        <v>5299</v>
      </c>
      <c r="G3055" s="1403" t="s">
        <v>11328</v>
      </c>
      <c r="H3055" s="1406" t="s">
        <v>1037</v>
      </c>
    </row>
    <row r="3056" spans="1:8" x14ac:dyDescent="0.2">
      <c r="A3056" s="7"/>
      <c r="B3056" s="1407" t="str">
        <f t="shared" si="47"/>
        <v>Davide Lussu</v>
      </c>
      <c r="C3056" s="1402" t="s">
        <v>11060</v>
      </c>
      <c r="D3056" s="1403" t="s">
        <v>3329</v>
      </c>
      <c r="E3056" s="1404" t="s">
        <v>11159</v>
      </c>
      <c r="F3056" s="1405" t="s">
        <v>5300</v>
      </c>
      <c r="G3056" s="1403" t="s">
        <v>10292</v>
      </c>
      <c r="H3056" s="1406" t="s">
        <v>1037</v>
      </c>
    </row>
    <row r="3057" spans="1:8" x14ac:dyDescent="0.2">
      <c r="A3057" s="7"/>
      <c r="B3057" s="1407" t="str">
        <f t="shared" si="47"/>
        <v>Giancarlo Riva</v>
      </c>
      <c r="C3057" s="1402" t="s">
        <v>11061</v>
      </c>
      <c r="D3057" s="1403" t="s">
        <v>3337</v>
      </c>
      <c r="E3057" s="1404" t="s">
        <v>11160</v>
      </c>
      <c r="F3057" s="1405" t="s">
        <v>5300</v>
      </c>
      <c r="G3057" s="1403" t="s">
        <v>2787</v>
      </c>
      <c r="H3057" s="1406" t="s">
        <v>1037</v>
      </c>
    </row>
    <row r="3058" spans="1:8" x14ac:dyDescent="0.2">
      <c r="A3058" s="7"/>
      <c r="B3058" s="1407" t="str">
        <f t="shared" si="47"/>
        <v>Giancarlo Russo</v>
      </c>
      <c r="C3058" s="1402" t="s">
        <v>6533</v>
      </c>
      <c r="D3058" s="1403" t="s">
        <v>3337</v>
      </c>
      <c r="E3058" s="1404" t="s">
        <v>11161</v>
      </c>
      <c r="F3058" s="1405" t="s">
        <v>5300</v>
      </c>
      <c r="G3058" s="1403" t="s">
        <v>2787</v>
      </c>
      <c r="H3058" s="1406" t="s">
        <v>1037</v>
      </c>
    </row>
    <row r="3059" spans="1:8" x14ac:dyDescent="0.2">
      <c r="A3059" s="7"/>
      <c r="B3059" s="1407" t="str">
        <f t="shared" si="47"/>
        <v>Marco Del Genovese</v>
      </c>
      <c r="C3059" s="1402" t="s">
        <v>11062</v>
      </c>
      <c r="D3059" s="1403" t="s">
        <v>3109</v>
      </c>
      <c r="E3059" s="1404" t="s">
        <v>11162</v>
      </c>
      <c r="F3059" s="1405" t="s">
        <v>5299</v>
      </c>
      <c r="G3059" s="1403" t="s">
        <v>11328</v>
      </c>
      <c r="H3059" s="1406" t="s">
        <v>1037</v>
      </c>
    </row>
    <row r="3060" spans="1:8" x14ac:dyDescent="0.2">
      <c r="A3060" s="7"/>
      <c r="B3060" s="1407" t="str">
        <f t="shared" si="47"/>
        <v>Dario Sforzini</v>
      </c>
      <c r="C3060" s="1402" t="s">
        <v>11063</v>
      </c>
      <c r="D3060" s="1403" t="s">
        <v>3372</v>
      </c>
      <c r="E3060" s="1404" t="s">
        <v>11163</v>
      </c>
      <c r="F3060" s="1405" t="s">
        <v>5300</v>
      </c>
      <c r="G3060" s="1403" t="s">
        <v>11330</v>
      </c>
      <c r="H3060" s="1406" t="s">
        <v>1037</v>
      </c>
    </row>
    <row r="3061" spans="1:8" x14ac:dyDescent="0.2">
      <c r="A3061" s="7"/>
      <c r="B3061" s="1407" t="str">
        <f t="shared" si="47"/>
        <v>Orlando De Luca</v>
      </c>
      <c r="C3061" s="1402" t="s">
        <v>6417</v>
      </c>
      <c r="D3061" s="1403" t="s">
        <v>6504</v>
      </c>
      <c r="E3061" s="1404" t="s">
        <v>15440</v>
      </c>
      <c r="F3061" s="1405" t="s">
        <v>5299</v>
      </c>
      <c r="G3061" s="1403" t="s">
        <v>15288</v>
      </c>
      <c r="H3061" s="1406" t="s">
        <v>1037</v>
      </c>
    </row>
    <row r="3062" spans="1:8" x14ac:dyDescent="0.2">
      <c r="A3062" s="7"/>
      <c r="B3062" s="1407" t="str">
        <f t="shared" si="47"/>
        <v>Lorenzo Mentasti</v>
      </c>
      <c r="C3062" s="1402" t="s">
        <v>7442</v>
      </c>
      <c r="D3062" s="1403" t="s">
        <v>3155</v>
      </c>
      <c r="E3062" s="1404" t="s">
        <v>11276</v>
      </c>
      <c r="F3062" s="1405" t="s">
        <v>5300</v>
      </c>
      <c r="G3062" s="1403" t="s">
        <v>5551</v>
      </c>
      <c r="H3062" s="1406" t="s">
        <v>1037</v>
      </c>
    </row>
    <row r="3063" spans="1:8" x14ac:dyDescent="0.2">
      <c r="A3063" s="7"/>
      <c r="B3063" s="1407" t="str">
        <f t="shared" si="47"/>
        <v>Riccardo Ciboldi</v>
      </c>
      <c r="C3063" s="1402" t="s">
        <v>9647</v>
      </c>
      <c r="D3063" s="1403" t="s">
        <v>3270</v>
      </c>
      <c r="E3063" s="1404" t="s">
        <v>11277</v>
      </c>
      <c r="F3063" s="1405" t="s">
        <v>5299</v>
      </c>
      <c r="G3063" s="1403" t="s">
        <v>14683</v>
      </c>
      <c r="H3063" s="1406" t="s">
        <v>1037</v>
      </c>
    </row>
    <row r="3064" spans="1:8" x14ac:dyDescent="0.2">
      <c r="A3064" s="7"/>
      <c r="B3064" s="1407" t="str">
        <f t="shared" si="47"/>
        <v>Gabriele Esposito</v>
      </c>
      <c r="C3064" s="1402" t="s">
        <v>6428</v>
      </c>
      <c r="D3064" s="1403" t="s">
        <v>3127</v>
      </c>
      <c r="E3064" s="1404" t="s">
        <v>11278</v>
      </c>
      <c r="F3064" s="1405" t="s">
        <v>13210</v>
      </c>
      <c r="G3064" s="1403" t="s">
        <v>9698</v>
      </c>
      <c r="H3064" s="1406" t="s">
        <v>1037</v>
      </c>
    </row>
    <row r="3065" spans="1:8" x14ac:dyDescent="0.2">
      <c r="A3065" s="7"/>
      <c r="B3065" s="1407" t="str">
        <f t="shared" si="47"/>
        <v>Davide Lupo</v>
      </c>
      <c r="C3065" s="1402" t="s">
        <v>11205</v>
      </c>
      <c r="D3065" s="1403" t="s">
        <v>3329</v>
      </c>
      <c r="E3065" s="1404" t="s">
        <v>11279</v>
      </c>
      <c r="F3065" s="1405" t="s">
        <v>5300</v>
      </c>
      <c r="G3065" s="1403" t="s">
        <v>8865</v>
      </c>
      <c r="H3065" s="1406" t="s">
        <v>1037</v>
      </c>
    </row>
    <row r="3066" spans="1:8" x14ac:dyDescent="0.2">
      <c r="A3066" s="7"/>
      <c r="B3066" s="1407" t="str">
        <f t="shared" si="47"/>
        <v>Carmelo Calvo</v>
      </c>
      <c r="C3066" s="1402" t="s">
        <v>11206</v>
      </c>
      <c r="D3066" s="1403" t="s">
        <v>3485</v>
      </c>
      <c r="E3066" s="1404" t="s">
        <v>11280</v>
      </c>
      <c r="F3066" s="1405" t="s">
        <v>5299</v>
      </c>
      <c r="G3066" s="1403" t="s">
        <v>14879</v>
      </c>
      <c r="H3066" s="1406" t="s">
        <v>1037</v>
      </c>
    </row>
    <row r="3067" spans="1:8" x14ac:dyDescent="0.2">
      <c r="A3067" s="7"/>
      <c r="B3067" s="1407" t="str">
        <f t="shared" si="47"/>
        <v>Luca Di Lullo</v>
      </c>
      <c r="C3067" s="1402" t="s">
        <v>11207</v>
      </c>
      <c r="D3067" s="1403" t="s">
        <v>3198</v>
      </c>
      <c r="E3067" s="1404" t="s">
        <v>11281</v>
      </c>
      <c r="F3067" s="1405" t="s">
        <v>5300</v>
      </c>
      <c r="G3067" s="1403" t="s">
        <v>14678</v>
      </c>
      <c r="H3067" s="1406" t="s">
        <v>1037</v>
      </c>
    </row>
    <row r="3068" spans="1:8" x14ac:dyDescent="0.2">
      <c r="A3068" s="7"/>
      <c r="B3068" s="1407" t="str">
        <f t="shared" si="47"/>
        <v>Fabrizio Giubbilini</v>
      </c>
      <c r="C3068" s="1402" t="s">
        <v>11208</v>
      </c>
      <c r="D3068" s="1403" t="s">
        <v>3087</v>
      </c>
      <c r="E3068" s="1404" t="s">
        <v>11282</v>
      </c>
      <c r="F3068" s="1405" t="s">
        <v>5300</v>
      </c>
      <c r="G3068" s="1403" t="s">
        <v>11329</v>
      </c>
      <c r="H3068" s="1406" t="s">
        <v>1037</v>
      </c>
    </row>
    <row r="3069" spans="1:8" x14ac:dyDescent="0.2">
      <c r="A3069" s="7"/>
      <c r="B3069" s="1407" t="str">
        <f t="shared" si="47"/>
        <v>Nicola Razzi</v>
      </c>
      <c r="C3069" s="1402" t="s">
        <v>11209</v>
      </c>
      <c r="D3069" s="1403" t="s">
        <v>3191</v>
      </c>
      <c r="E3069" s="1404" t="s">
        <v>11283</v>
      </c>
      <c r="F3069" s="1405" t="s">
        <v>5300</v>
      </c>
      <c r="G3069" s="1403" t="s">
        <v>11179</v>
      </c>
      <c r="H3069" s="1406" t="s">
        <v>1037</v>
      </c>
    </row>
    <row r="3070" spans="1:8" x14ac:dyDescent="0.2">
      <c r="A3070" s="7"/>
      <c r="B3070" s="1407" t="str">
        <f t="shared" si="47"/>
        <v>Corrado Toffoletti</v>
      </c>
      <c r="C3070" s="1402" t="s">
        <v>11210</v>
      </c>
      <c r="D3070" s="1403" t="s">
        <v>3620</v>
      </c>
      <c r="E3070" s="1404" t="s">
        <v>11284</v>
      </c>
      <c r="F3070" s="1405" t="s">
        <v>5300</v>
      </c>
      <c r="G3070" s="1403" t="s">
        <v>9701</v>
      </c>
      <c r="H3070" s="1406" t="s">
        <v>1037</v>
      </c>
    </row>
    <row r="3071" spans="1:8" x14ac:dyDescent="0.2">
      <c r="A3071" s="7"/>
      <c r="B3071" s="1407" t="str">
        <f t="shared" si="47"/>
        <v>Letterio Di Stefano</v>
      </c>
      <c r="C3071" s="1402" t="s">
        <v>6580</v>
      </c>
      <c r="D3071" s="1403" t="s">
        <v>11245</v>
      </c>
      <c r="E3071" s="1404" t="s">
        <v>11285</v>
      </c>
      <c r="F3071" s="1405" t="s">
        <v>5300</v>
      </c>
      <c r="G3071" s="1403" t="s">
        <v>16477</v>
      </c>
      <c r="H3071" s="1406" t="s">
        <v>1037</v>
      </c>
    </row>
    <row r="3072" spans="1:8" x14ac:dyDescent="0.2">
      <c r="A3072" s="7"/>
      <c r="B3072" s="1407" t="str">
        <f t="shared" si="47"/>
        <v>Alberto Marazzato</v>
      </c>
      <c r="C3072" s="1402" t="s">
        <v>11211</v>
      </c>
      <c r="D3072" s="1403" t="s">
        <v>3042</v>
      </c>
      <c r="E3072" s="1404" t="s">
        <v>11286</v>
      </c>
      <c r="F3072" s="1405" t="s">
        <v>5299</v>
      </c>
      <c r="G3072" s="1403" t="s">
        <v>16477</v>
      </c>
      <c r="H3072" s="1406" t="s">
        <v>1037</v>
      </c>
    </row>
    <row r="3073" spans="1:8" x14ac:dyDescent="0.2">
      <c r="A3073" s="7"/>
      <c r="B3073" s="1407" t="str">
        <f t="shared" si="47"/>
        <v>Gian Luca Mussato</v>
      </c>
      <c r="C3073" s="1402" t="s">
        <v>11212</v>
      </c>
      <c r="D3073" s="1403" t="s">
        <v>11246</v>
      </c>
      <c r="E3073" s="1404" t="s">
        <v>11287</v>
      </c>
      <c r="F3073" s="1405" t="s">
        <v>5299</v>
      </c>
      <c r="G3073" s="1403" t="s">
        <v>16477</v>
      </c>
      <c r="H3073" s="1406" t="s">
        <v>1037</v>
      </c>
    </row>
    <row r="3074" spans="1:8" x14ac:dyDescent="0.2">
      <c r="A3074" s="7"/>
      <c r="B3074" s="1407" t="str">
        <f t="shared" si="47"/>
        <v>Tullio Villa</v>
      </c>
      <c r="C3074" s="1402" t="s">
        <v>11213</v>
      </c>
      <c r="D3074" s="1403" t="s">
        <v>11247</v>
      </c>
      <c r="E3074" s="1404" t="s">
        <v>11288</v>
      </c>
      <c r="F3074" s="1405" t="s">
        <v>5300</v>
      </c>
      <c r="G3074" s="1403" t="s">
        <v>16477</v>
      </c>
      <c r="H3074" s="1406" t="s">
        <v>1037</v>
      </c>
    </row>
    <row r="3075" spans="1:8" x14ac:dyDescent="0.2">
      <c r="A3075" s="7"/>
      <c r="B3075" s="1407" t="str">
        <f t="shared" si="47"/>
        <v>Leonardo Marazzato</v>
      </c>
      <c r="C3075" s="1402" t="s">
        <v>11211</v>
      </c>
      <c r="D3075" s="1403" t="s">
        <v>3633</v>
      </c>
      <c r="E3075" s="1404" t="s">
        <v>11289</v>
      </c>
      <c r="F3075" s="1405" t="s">
        <v>13211</v>
      </c>
      <c r="G3075" s="1403" t="s">
        <v>16477</v>
      </c>
      <c r="H3075" s="1406" t="s">
        <v>1037</v>
      </c>
    </row>
    <row r="3076" spans="1:8" x14ac:dyDescent="0.2">
      <c r="A3076" s="7"/>
      <c r="B3076" s="1407" t="str">
        <f t="shared" si="47"/>
        <v>André Giovenali</v>
      </c>
      <c r="C3076" s="1402" t="s">
        <v>11214</v>
      </c>
      <c r="D3076" s="1403" t="s">
        <v>3175</v>
      </c>
      <c r="E3076" s="1404" t="s">
        <v>11290</v>
      </c>
      <c r="F3076" s="1405" t="s">
        <v>5300</v>
      </c>
      <c r="G3076" s="1403" t="s">
        <v>15245</v>
      </c>
      <c r="H3076" s="1406" t="s">
        <v>1037</v>
      </c>
    </row>
    <row r="3077" spans="1:8" x14ac:dyDescent="0.2">
      <c r="A3077" s="7"/>
      <c r="B3077" s="1407" t="str">
        <f t="shared" si="47"/>
        <v>Rossano Di Vita</v>
      </c>
      <c r="C3077" s="1402" t="s">
        <v>17187</v>
      </c>
      <c r="D3077" s="1403" t="s">
        <v>17188</v>
      </c>
      <c r="E3077" s="1404" t="s">
        <v>17189</v>
      </c>
      <c r="F3077" s="1405" t="s">
        <v>5300</v>
      </c>
      <c r="G3077" s="1403" t="s">
        <v>9702</v>
      </c>
      <c r="H3077" s="1406" t="s">
        <v>1037</v>
      </c>
    </row>
    <row r="3078" spans="1:8" x14ac:dyDescent="0.2">
      <c r="A3078" s="7"/>
      <c r="B3078" s="1407" t="str">
        <f t="shared" si="47"/>
        <v>Giovanna Ottone</v>
      </c>
      <c r="C3078" s="1402" t="s">
        <v>6505</v>
      </c>
      <c r="D3078" s="1403" t="s">
        <v>8809</v>
      </c>
      <c r="E3078" s="1404" t="s">
        <v>11291</v>
      </c>
      <c r="F3078" s="1405" t="s">
        <v>13211</v>
      </c>
      <c r="G3078" s="1403" t="s">
        <v>14683</v>
      </c>
      <c r="H3078" s="1406" t="s">
        <v>1037</v>
      </c>
    </row>
    <row r="3079" spans="1:8" x14ac:dyDescent="0.2">
      <c r="A3079" s="7"/>
      <c r="B3079" s="1407" t="str">
        <f t="shared" ref="B3079:B3142" si="48">TRIM(CONCATENATE(D3079," ",C3079))</f>
        <v>Carlo Piscopo</v>
      </c>
      <c r="C3079" s="1402" t="s">
        <v>16061</v>
      </c>
      <c r="D3079" s="1403" t="s">
        <v>3266</v>
      </c>
      <c r="E3079" s="1404" t="s">
        <v>16062</v>
      </c>
      <c r="F3079" s="1405" t="s">
        <v>5300</v>
      </c>
      <c r="G3079" s="1403" t="s">
        <v>11325</v>
      </c>
      <c r="H3079" s="1406" t="s">
        <v>1037</v>
      </c>
    </row>
    <row r="3080" spans="1:8" x14ac:dyDescent="0.2">
      <c r="A3080" s="7"/>
      <c r="B3080" s="1407" t="str">
        <f t="shared" si="48"/>
        <v>Ilario Care</v>
      </c>
      <c r="C3080" s="1402" t="s">
        <v>11215</v>
      </c>
      <c r="D3080" s="1403" t="s">
        <v>5612</v>
      </c>
      <c r="E3080" s="1404" t="s">
        <v>11292</v>
      </c>
      <c r="F3080" s="1405" t="s">
        <v>5300</v>
      </c>
      <c r="G3080" s="1403" t="s">
        <v>2749</v>
      </c>
      <c r="H3080" s="1406" t="s">
        <v>1037</v>
      </c>
    </row>
    <row r="3081" spans="1:8" x14ac:dyDescent="0.2">
      <c r="A3081" s="7"/>
      <c r="B3081" s="1407" t="str">
        <f t="shared" si="48"/>
        <v>Nunzio Ieppariello</v>
      </c>
      <c r="C3081" s="1402" t="s">
        <v>11216</v>
      </c>
      <c r="D3081" s="1403" t="s">
        <v>7043</v>
      </c>
      <c r="E3081" s="1404" t="s">
        <v>11293</v>
      </c>
      <c r="F3081" s="1405" t="s">
        <v>5300</v>
      </c>
      <c r="G3081" s="1403" t="s">
        <v>11330</v>
      </c>
      <c r="H3081" s="1406" t="s">
        <v>1037</v>
      </c>
    </row>
    <row r="3082" spans="1:8" x14ac:dyDescent="0.2">
      <c r="A3082" s="7"/>
      <c r="B3082" s="1407" t="str">
        <f t="shared" si="48"/>
        <v>Andrea Periccioli</v>
      </c>
      <c r="C3082" s="1402" t="s">
        <v>11051</v>
      </c>
      <c r="D3082" s="1403" t="s">
        <v>3027</v>
      </c>
      <c r="E3082" s="1404" t="s">
        <v>11294</v>
      </c>
      <c r="F3082" s="1405" t="s">
        <v>5300</v>
      </c>
      <c r="G3082" s="1403" t="s">
        <v>3614</v>
      </c>
      <c r="H3082" s="1406" t="s">
        <v>1037</v>
      </c>
    </row>
    <row r="3083" spans="1:8" x14ac:dyDescent="0.2">
      <c r="A3083" s="7"/>
      <c r="B3083" s="1407" t="str">
        <f t="shared" si="48"/>
        <v>Giuseppe Leotta</v>
      </c>
      <c r="C3083" s="1402" t="s">
        <v>11217</v>
      </c>
      <c r="D3083" s="1403" t="s">
        <v>3122</v>
      </c>
      <c r="E3083" s="1404" t="s">
        <v>11295</v>
      </c>
      <c r="F3083" s="1405" t="s">
        <v>5299</v>
      </c>
      <c r="G3083" s="1403" t="s">
        <v>3614</v>
      </c>
      <c r="H3083" s="1406" t="s">
        <v>1037</v>
      </c>
    </row>
    <row r="3084" spans="1:8" x14ac:dyDescent="0.2">
      <c r="A3084" s="7"/>
      <c r="B3084" s="1407" t="str">
        <f t="shared" si="48"/>
        <v>Roberto Carrara</v>
      </c>
      <c r="C3084" s="1402" t="s">
        <v>11218</v>
      </c>
      <c r="D3084" s="1403" t="s">
        <v>3279</v>
      </c>
      <c r="E3084" s="1404" t="s">
        <v>11296</v>
      </c>
      <c r="F3084" s="1405" t="s">
        <v>5300</v>
      </c>
      <c r="G3084" s="1403" t="s">
        <v>3614</v>
      </c>
      <c r="H3084" s="1406" t="s">
        <v>1037</v>
      </c>
    </row>
    <row r="3085" spans="1:8" x14ac:dyDescent="0.2">
      <c r="A3085" s="7"/>
      <c r="B3085" s="1407" t="str">
        <f t="shared" si="48"/>
        <v>Mauro Simonazzi</v>
      </c>
      <c r="C3085" s="1402" t="s">
        <v>11219</v>
      </c>
      <c r="D3085" s="1403" t="s">
        <v>3204</v>
      </c>
      <c r="E3085" s="1404" t="s">
        <v>11297</v>
      </c>
      <c r="F3085" s="1405" t="s">
        <v>5300</v>
      </c>
      <c r="G3085" s="1403" t="s">
        <v>14678</v>
      </c>
      <c r="H3085" s="1406" t="s">
        <v>1037</v>
      </c>
    </row>
    <row r="3086" spans="1:8" x14ac:dyDescent="0.2">
      <c r="A3086" s="7"/>
      <c r="B3086" s="1407" t="str">
        <f t="shared" si="48"/>
        <v>Massimo Garatti</v>
      </c>
      <c r="C3086" s="1402" t="s">
        <v>11220</v>
      </c>
      <c r="D3086" s="1403" t="s">
        <v>3013</v>
      </c>
      <c r="E3086" s="1404" t="s">
        <v>11298</v>
      </c>
      <c r="F3086" s="1405" t="s">
        <v>5300</v>
      </c>
      <c r="G3086" s="1403" t="s">
        <v>13595</v>
      </c>
      <c r="H3086" s="1406" t="s">
        <v>1037</v>
      </c>
    </row>
    <row r="3087" spans="1:8" x14ac:dyDescent="0.2">
      <c r="A3087" s="7"/>
      <c r="B3087" s="1407" t="str">
        <f t="shared" si="48"/>
        <v>Pietro Aiani</v>
      </c>
      <c r="C3087" s="1402" t="s">
        <v>9960</v>
      </c>
      <c r="D3087" s="1403" t="s">
        <v>3233</v>
      </c>
      <c r="E3087" s="1404" t="s">
        <v>11299</v>
      </c>
      <c r="F3087" s="1405" t="s">
        <v>13211</v>
      </c>
      <c r="G3087" s="1403" t="s">
        <v>11328</v>
      </c>
      <c r="H3087" s="1406" t="s">
        <v>1037</v>
      </c>
    </row>
    <row r="3088" spans="1:8" x14ac:dyDescent="0.2">
      <c r="A3088" s="7"/>
      <c r="B3088" s="1407" t="str">
        <f t="shared" si="48"/>
        <v>Ferdinando Frega</v>
      </c>
      <c r="C3088" s="1402" t="s">
        <v>11221</v>
      </c>
      <c r="D3088" s="1403" t="s">
        <v>3049</v>
      </c>
      <c r="E3088" s="1404" t="s">
        <v>11300</v>
      </c>
      <c r="F3088" s="1405" t="s">
        <v>5300</v>
      </c>
      <c r="G3088" s="1403" t="s">
        <v>10271</v>
      </c>
      <c r="H3088" s="1406" t="s">
        <v>1037</v>
      </c>
    </row>
    <row r="3089" spans="1:8" x14ac:dyDescent="0.2">
      <c r="A3089" s="7"/>
      <c r="B3089" s="1407" t="str">
        <f t="shared" si="48"/>
        <v>Donato Erbì</v>
      </c>
      <c r="C3089" s="1402" t="s">
        <v>11222</v>
      </c>
      <c r="D3089" s="1403" t="s">
        <v>11248</v>
      </c>
      <c r="E3089" s="1404" t="s">
        <v>11301</v>
      </c>
      <c r="F3089" s="1405" t="s">
        <v>5300</v>
      </c>
      <c r="G3089" s="1403" t="s">
        <v>14683</v>
      </c>
      <c r="H3089" s="1406" t="s">
        <v>1037</v>
      </c>
    </row>
    <row r="3090" spans="1:8" x14ac:dyDescent="0.2">
      <c r="A3090" s="7"/>
      <c r="B3090" s="1407" t="str">
        <f t="shared" si="48"/>
        <v>Marco De Santis</v>
      </c>
      <c r="C3090" s="1402" t="s">
        <v>8150</v>
      </c>
      <c r="D3090" s="1403" t="s">
        <v>3109</v>
      </c>
      <c r="E3090" s="1404" t="s">
        <v>11302</v>
      </c>
      <c r="F3090" s="1405" t="s">
        <v>5300</v>
      </c>
      <c r="G3090" s="1403" t="s">
        <v>10273</v>
      </c>
      <c r="H3090" s="1406" t="s">
        <v>1037</v>
      </c>
    </row>
    <row r="3091" spans="1:8" x14ac:dyDescent="0.2">
      <c r="A3091" s="7"/>
      <c r="B3091" s="1407" t="str">
        <f t="shared" si="48"/>
        <v>Francesco Giraudo</v>
      </c>
      <c r="C3091" s="1402" t="s">
        <v>11223</v>
      </c>
      <c r="D3091" s="1403" t="s">
        <v>3277</v>
      </c>
      <c r="E3091" s="1404" t="s">
        <v>11303</v>
      </c>
      <c r="F3091" s="1405" t="s">
        <v>5299</v>
      </c>
      <c r="G3091" s="1403" t="s">
        <v>10273</v>
      </c>
      <c r="H3091" s="1406" t="s">
        <v>1037</v>
      </c>
    </row>
    <row r="3092" spans="1:8" x14ac:dyDescent="0.2">
      <c r="A3092" s="7"/>
      <c r="B3092" s="1407" t="str">
        <f t="shared" si="48"/>
        <v>Giulio Giannelli</v>
      </c>
      <c r="C3092" s="1402" t="s">
        <v>11224</v>
      </c>
      <c r="D3092" s="1403" t="s">
        <v>3583</v>
      </c>
      <c r="E3092" s="1404" t="s">
        <v>11304</v>
      </c>
      <c r="F3092" s="1405" t="s">
        <v>5299</v>
      </c>
      <c r="G3092" s="1403" t="s">
        <v>10273</v>
      </c>
      <c r="H3092" s="1406" t="s">
        <v>1037</v>
      </c>
    </row>
    <row r="3093" spans="1:8" x14ac:dyDescent="0.2">
      <c r="A3093" s="7"/>
      <c r="B3093" s="1407" t="str">
        <f t="shared" si="48"/>
        <v>Flavio Tudini</v>
      </c>
      <c r="C3093" s="1402" t="s">
        <v>11225</v>
      </c>
      <c r="D3093" s="1403" t="s">
        <v>3201</v>
      </c>
      <c r="E3093" s="1404" t="s">
        <v>11305</v>
      </c>
      <c r="F3093" s="1405" t="s">
        <v>5300</v>
      </c>
      <c r="G3093" s="1403" t="s">
        <v>10273</v>
      </c>
      <c r="H3093" s="1406" t="s">
        <v>1037</v>
      </c>
    </row>
    <row r="3094" spans="1:8" x14ac:dyDescent="0.2">
      <c r="A3094" s="7"/>
      <c r="B3094" s="1407" t="str">
        <f t="shared" si="48"/>
        <v>Simone Esposito</v>
      </c>
      <c r="C3094" s="1402" t="s">
        <v>6428</v>
      </c>
      <c r="D3094" s="1403" t="s">
        <v>3158</v>
      </c>
      <c r="E3094" s="1404" t="s">
        <v>11306</v>
      </c>
      <c r="F3094" s="1405" t="s">
        <v>5299</v>
      </c>
      <c r="G3094" s="1403" t="s">
        <v>2786</v>
      </c>
      <c r="H3094" s="1406" t="s">
        <v>1037</v>
      </c>
    </row>
    <row r="3095" spans="1:8" x14ac:dyDescent="0.2">
      <c r="A3095" s="7"/>
      <c r="B3095" s="1407" t="str">
        <f t="shared" si="48"/>
        <v>Claudio Valisnieri</v>
      </c>
      <c r="C3095" s="1402" t="s">
        <v>11226</v>
      </c>
      <c r="D3095" s="1403" t="s">
        <v>3038</v>
      </c>
      <c r="E3095" s="1404" t="s">
        <v>11307</v>
      </c>
      <c r="F3095" s="1405" t="s">
        <v>5299</v>
      </c>
      <c r="G3095" s="1403" t="s">
        <v>13596</v>
      </c>
      <c r="H3095" s="1406" t="s">
        <v>1037</v>
      </c>
    </row>
    <row r="3096" spans="1:8" x14ac:dyDescent="0.2">
      <c r="A3096" s="7"/>
      <c r="B3096" s="1407" t="str">
        <f t="shared" si="48"/>
        <v>Luigi Pisu</v>
      </c>
      <c r="C3096" s="1402" t="s">
        <v>11227</v>
      </c>
      <c r="D3096" s="1403" t="s">
        <v>3339</v>
      </c>
      <c r="E3096" s="1404" t="s">
        <v>11308</v>
      </c>
      <c r="F3096" s="1405" t="s">
        <v>5299</v>
      </c>
      <c r="G3096" s="1403" t="s">
        <v>13596</v>
      </c>
      <c r="H3096" s="1406" t="s">
        <v>1037</v>
      </c>
    </row>
    <row r="3097" spans="1:8" x14ac:dyDescent="0.2">
      <c r="A3097" s="7"/>
      <c r="B3097" s="1407" t="str">
        <f t="shared" si="48"/>
        <v>Cristian Melis</v>
      </c>
      <c r="C3097" s="1402" t="s">
        <v>11228</v>
      </c>
      <c r="D3097" s="1403" t="s">
        <v>3705</v>
      </c>
      <c r="E3097" s="1404" t="s">
        <v>11309</v>
      </c>
      <c r="F3097" s="1405" t="s">
        <v>5299</v>
      </c>
      <c r="G3097" s="1403" t="s">
        <v>2901</v>
      </c>
      <c r="H3097" s="1406" t="s">
        <v>1037</v>
      </c>
    </row>
    <row r="3098" spans="1:8" x14ac:dyDescent="0.2">
      <c r="A3098" s="7"/>
      <c r="B3098" s="1407" t="str">
        <f t="shared" si="48"/>
        <v>Domenico Matalone</v>
      </c>
      <c r="C3098" s="1402" t="s">
        <v>11229</v>
      </c>
      <c r="D3098" s="1403" t="s">
        <v>3353</v>
      </c>
      <c r="E3098" s="1404" t="s">
        <v>11310</v>
      </c>
      <c r="F3098" s="1405" t="s">
        <v>5300</v>
      </c>
      <c r="G3098" s="1403" t="s">
        <v>13593</v>
      </c>
      <c r="H3098" s="1406" t="s">
        <v>1037</v>
      </c>
    </row>
    <row r="3099" spans="1:8" x14ac:dyDescent="0.2">
      <c r="A3099" s="7"/>
      <c r="B3099" s="1407" t="str">
        <f t="shared" si="48"/>
        <v>Danilo Bonanni</v>
      </c>
      <c r="C3099" s="1402" t="s">
        <v>11365</v>
      </c>
      <c r="D3099" s="1403" t="s">
        <v>5561</v>
      </c>
      <c r="E3099" s="1404" t="s">
        <v>11404</v>
      </c>
      <c r="F3099" s="1405" t="s">
        <v>5299</v>
      </c>
      <c r="G3099" s="1403" t="s">
        <v>15245</v>
      </c>
      <c r="H3099" s="1406" t="s">
        <v>1037</v>
      </c>
    </row>
    <row r="3100" spans="1:8" x14ac:dyDescent="0.2">
      <c r="A3100" s="7"/>
      <c r="B3100" s="1407" t="str">
        <f t="shared" si="48"/>
        <v>Dario Marabello</v>
      </c>
      <c r="C3100" s="1402" t="s">
        <v>11366</v>
      </c>
      <c r="D3100" s="1403" t="s">
        <v>3372</v>
      </c>
      <c r="E3100" s="1404" t="s">
        <v>11405</v>
      </c>
      <c r="F3100" s="1405" t="s">
        <v>5300</v>
      </c>
      <c r="G3100" s="1403" t="s">
        <v>13593</v>
      </c>
      <c r="H3100" s="1406" t="s">
        <v>1037</v>
      </c>
    </row>
    <row r="3101" spans="1:8" x14ac:dyDescent="0.2">
      <c r="A3101" s="7"/>
      <c r="B3101" s="1407" t="str">
        <f t="shared" si="48"/>
        <v>Enrico Cassani</v>
      </c>
      <c r="C3101" s="1402" t="s">
        <v>11367</v>
      </c>
      <c r="D3101" s="1403" t="s">
        <v>3132</v>
      </c>
      <c r="E3101" s="1404" t="s">
        <v>11406</v>
      </c>
      <c r="F3101" s="1405" t="s">
        <v>5300</v>
      </c>
      <c r="G3101" s="1403" t="s">
        <v>5551</v>
      </c>
      <c r="H3101" s="1406" t="s">
        <v>1037</v>
      </c>
    </row>
    <row r="3102" spans="1:8" x14ac:dyDescent="0.2">
      <c r="A3102" s="7"/>
      <c r="B3102" s="1407" t="str">
        <f t="shared" si="48"/>
        <v>Pasquale Pio Ianniello</v>
      </c>
      <c r="C3102" s="1402" t="s">
        <v>8147</v>
      </c>
      <c r="D3102" s="1403" t="s">
        <v>17889</v>
      </c>
      <c r="E3102" s="1404" t="s">
        <v>17890</v>
      </c>
      <c r="F3102" s="1405" t="s">
        <v>5299</v>
      </c>
      <c r="G3102" s="1403" t="s">
        <v>7881</v>
      </c>
      <c r="H3102" s="1406" t="s">
        <v>1037</v>
      </c>
    </row>
    <row r="3103" spans="1:8" x14ac:dyDescent="0.2">
      <c r="A3103" s="7"/>
      <c r="B3103" s="1407" t="str">
        <f t="shared" si="48"/>
        <v>Marco Maglio</v>
      </c>
      <c r="C3103" s="1402" t="s">
        <v>11368</v>
      </c>
      <c r="D3103" s="1403" t="s">
        <v>3109</v>
      </c>
      <c r="E3103" s="1404" t="s">
        <v>11407</v>
      </c>
      <c r="F3103" s="1405" t="s">
        <v>5299</v>
      </c>
      <c r="G3103" s="1403" t="s">
        <v>11328</v>
      </c>
      <c r="H3103" s="1406" t="s">
        <v>1037</v>
      </c>
    </row>
    <row r="3104" spans="1:8" x14ac:dyDescent="0.2">
      <c r="A3104" s="7"/>
      <c r="B3104" s="1407" t="str">
        <f t="shared" si="48"/>
        <v>Stefano Feri</v>
      </c>
      <c r="C3104" s="1402" t="s">
        <v>11510</v>
      </c>
      <c r="D3104" s="1403" t="s">
        <v>3062</v>
      </c>
      <c r="E3104" s="1404" t="s">
        <v>11523</v>
      </c>
      <c r="F3104" s="1405" t="s">
        <v>5300</v>
      </c>
      <c r="G3104" s="1403" t="s">
        <v>13477</v>
      </c>
      <c r="H3104" s="1406" t="s">
        <v>1037</v>
      </c>
    </row>
    <row r="3105" spans="1:8" x14ac:dyDescent="0.2">
      <c r="A3105" s="7"/>
      <c r="B3105" s="1407" t="str">
        <f t="shared" si="48"/>
        <v>Andrea Balestrucci</v>
      </c>
      <c r="C3105" s="1402" t="s">
        <v>11512</v>
      </c>
      <c r="D3105" s="1403" t="s">
        <v>3027</v>
      </c>
      <c r="E3105" s="1404" t="s">
        <v>11524</v>
      </c>
      <c r="F3105" s="1405" t="s">
        <v>5300</v>
      </c>
      <c r="G3105" s="1403" t="s">
        <v>13324</v>
      </c>
      <c r="H3105" s="1406" t="s">
        <v>1037</v>
      </c>
    </row>
    <row r="3106" spans="1:8" x14ac:dyDescent="0.2">
      <c r="A3106" s="7"/>
      <c r="B3106" s="1407" t="str">
        <f t="shared" si="48"/>
        <v>Andrea Bevilacqua</v>
      </c>
      <c r="C3106" s="1402" t="s">
        <v>6598</v>
      </c>
      <c r="D3106" s="1403" t="s">
        <v>3027</v>
      </c>
      <c r="E3106" s="1404" t="s">
        <v>11525</v>
      </c>
      <c r="F3106" s="1405" t="s">
        <v>5299</v>
      </c>
      <c r="G3106" s="1403" t="s">
        <v>13324</v>
      </c>
      <c r="H3106" s="1406" t="s">
        <v>1037</v>
      </c>
    </row>
    <row r="3107" spans="1:8" x14ac:dyDescent="0.2">
      <c r="A3107" s="7"/>
      <c r="B3107" s="1407" t="str">
        <f t="shared" si="48"/>
        <v>Aldo Vico</v>
      </c>
      <c r="C3107" s="1402" t="s">
        <v>11513</v>
      </c>
      <c r="D3107" s="1403" t="s">
        <v>3642</v>
      </c>
      <c r="E3107" s="1404" t="s">
        <v>11526</v>
      </c>
      <c r="F3107" s="1405" t="s">
        <v>5300</v>
      </c>
      <c r="G3107" s="1403" t="s">
        <v>13324</v>
      </c>
      <c r="H3107" s="1406" t="s">
        <v>1037</v>
      </c>
    </row>
    <row r="3108" spans="1:8" x14ac:dyDescent="0.2">
      <c r="A3108" s="7"/>
      <c r="B3108" s="1407" t="str">
        <f t="shared" si="48"/>
        <v>David De Maggi</v>
      </c>
      <c r="C3108" s="1402" t="s">
        <v>11514</v>
      </c>
      <c r="D3108" s="1403" t="s">
        <v>3072</v>
      </c>
      <c r="E3108" s="1404" t="s">
        <v>11527</v>
      </c>
      <c r="F3108" s="1405" t="s">
        <v>5300</v>
      </c>
      <c r="G3108" s="1403" t="s">
        <v>3614</v>
      </c>
      <c r="H3108" s="1406" t="s">
        <v>1037</v>
      </c>
    </row>
    <row r="3109" spans="1:8" x14ac:dyDescent="0.2">
      <c r="A3109" s="7"/>
      <c r="B3109" s="1407" t="str">
        <f t="shared" si="48"/>
        <v>Pio Giorgio Di Leo</v>
      </c>
      <c r="C3109" s="1402" t="s">
        <v>11515</v>
      </c>
      <c r="D3109" s="1403" t="s">
        <v>11519</v>
      </c>
      <c r="E3109" s="1404" t="s">
        <v>11528</v>
      </c>
      <c r="F3109" s="1405" t="s">
        <v>5300</v>
      </c>
      <c r="G3109" s="1403" t="s">
        <v>10269</v>
      </c>
      <c r="H3109" s="1406" t="s">
        <v>1037</v>
      </c>
    </row>
    <row r="3110" spans="1:8" x14ac:dyDescent="0.2">
      <c r="A3110" s="7"/>
      <c r="B3110" s="1407" t="str">
        <f t="shared" si="48"/>
        <v>Emiddio Figliolino</v>
      </c>
      <c r="C3110" s="1402" t="s">
        <v>11516</v>
      </c>
      <c r="D3110" s="1403" t="s">
        <v>11520</v>
      </c>
      <c r="E3110" s="1404" t="s">
        <v>11529</v>
      </c>
      <c r="F3110" s="1405" t="s">
        <v>5299</v>
      </c>
      <c r="G3110" s="1403" t="s">
        <v>11329</v>
      </c>
      <c r="H3110" s="1406" t="s">
        <v>1037</v>
      </c>
    </row>
    <row r="3111" spans="1:8" x14ac:dyDescent="0.2">
      <c r="A3111" s="7"/>
      <c r="B3111" s="1407" t="str">
        <f t="shared" si="48"/>
        <v>Marco Fommei</v>
      </c>
      <c r="C3111" s="1402" t="s">
        <v>11517</v>
      </c>
      <c r="D3111" s="1403" t="s">
        <v>3109</v>
      </c>
      <c r="E3111" s="1404" t="s">
        <v>11530</v>
      </c>
      <c r="F3111" s="1405" t="s">
        <v>5300</v>
      </c>
      <c r="G3111" s="1403" t="s">
        <v>10273</v>
      </c>
      <c r="H3111" s="1406" t="s">
        <v>1037</v>
      </c>
    </row>
    <row r="3112" spans="1:8" x14ac:dyDescent="0.2">
      <c r="A3112" s="7"/>
      <c r="B3112" s="1407" t="str">
        <f t="shared" si="48"/>
        <v>Francesco Di Lullo</v>
      </c>
      <c r="C3112" s="1402" t="s">
        <v>11207</v>
      </c>
      <c r="D3112" s="1403" t="s">
        <v>3277</v>
      </c>
      <c r="E3112" s="1404" t="s">
        <v>11562</v>
      </c>
      <c r="F3112" s="1405" t="s">
        <v>13211</v>
      </c>
      <c r="G3112" s="1403" t="s">
        <v>14678</v>
      </c>
      <c r="H3112" s="1406" t="s">
        <v>1037</v>
      </c>
    </row>
    <row r="3113" spans="1:8" x14ac:dyDescent="0.2">
      <c r="A3113" s="7"/>
      <c r="B3113" s="1407" t="str">
        <f t="shared" si="48"/>
        <v>Fabio Pimpinella</v>
      </c>
      <c r="C3113" s="1402" t="s">
        <v>11555</v>
      </c>
      <c r="D3113" s="1403" t="s">
        <v>3133</v>
      </c>
      <c r="E3113" s="1404" t="s">
        <v>11563</v>
      </c>
      <c r="F3113" s="1405" t="s">
        <v>5300</v>
      </c>
      <c r="G3113" s="1403" t="s">
        <v>3614</v>
      </c>
      <c r="H3113" s="1406" t="s">
        <v>1037</v>
      </c>
    </row>
    <row r="3114" spans="1:8" x14ac:dyDescent="0.2">
      <c r="A3114" s="7"/>
      <c r="B3114" s="1407" t="str">
        <f t="shared" si="48"/>
        <v>Marco Bocci</v>
      </c>
      <c r="C3114" s="1402" t="s">
        <v>11556</v>
      </c>
      <c r="D3114" s="1403" t="s">
        <v>3109</v>
      </c>
      <c r="E3114" s="1404" t="s">
        <v>11564</v>
      </c>
      <c r="F3114" s="1405" t="s">
        <v>5300</v>
      </c>
      <c r="G3114" s="1403" t="s">
        <v>10271</v>
      </c>
      <c r="H3114" s="1406" t="s">
        <v>1037</v>
      </c>
    </row>
    <row r="3115" spans="1:8" x14ac:dyDescent="0.2">
      <c r="A3115" s="7"/>
      <c r="B3115" s="1407" t="str">
        <f t="shared" si="48"/>
        <v>Fabio Rosselli</v>
      </c>
      <c r="C3115" s="1402" t="s">
        <v>11557</v>
      </c>
      <c r="D3115" s="1403" t="s">
        <v>3133</v>
      </c>
      <c r="E3115" s="1404" t="s">
        <v>11565</v>
      </c>
      <c r="F3115" s="1405" t="s">
        <v>5299</v>
      </c>
      <c r="G3115" s="1403" t="s">
        <v>10271</v>
      </c>
      <c r="H3115" s="1406" t="s">
        <v>1037</v>
      </c>
    </row>
    <row r="3116" spans="1:8" x14ac:dyDescent="0.2">
      <c r="A3116" s="7"/>
      <c r="B3116" s="1407" t="str">
        <f t="shared" si="48"/>
        <v>Carlo Siciliano</v>
      </c>
      <c r="C3116" s="1402" t="s">
        <v>11558</v>
      </c>
      <c r="D3116" s="1403" t="s">
        <v>3266</v>
      </c>
      <c r="E3116" s="1404" t="s">
        <v>11566</v>
      </c>
      <c r="F3116" s="1405" t="s">
        <v>5300</v>
      </c>
      <c r="G3116" s="1403" t="s">
        <v>10271</v>
      </c>
      <c r="H3116" s="1406" t="s">
        <v>1037</v>
      </c>
    </row>
    <row r="3117" spans="1:8" x14ac:dyDescent="0.2">
      <c r="A3117" s="7"/>
      <c r="B3117" s="1407" t="str">
        <f t="shared" si="48"/>
        <v>Giuseppe Guido</v>
      </c>
      <c r="C3117" s="1402" t="s">
        <v>6996</v>
      </c>
      <c r="D3117" s="1403" t="s">
        <v>3122</v>
      </c>
      <c r="E3117" s="1404" t="s">
        <v>15632</v>
      </c>
      <c r="F3117" s="1405" t="s">
        <v>5300</v>
      </c>
      <c r="G3117" s="1403" t="s">
        <v>10271</v>
      </c>
      <c r="H3117" s="1406" t="s">
        <v>1037</v>
      </c>
    </row>
    <row r="3118" spans="1:8" x14ac:dyDescent="0.2">
      <c r="A3118" s="7"/>
      <c r="B3118" s="1407" t="str">
        <f t="shared" si="48"/>
        <v>Vincenzo Maria Genovese</v>
      </c>
      <c r="C3118" s="1402" t="s">
        <v>11559</v>
      </c>
      <c r="D3118" s="1403" t="s">
        <v>11560</v>
      </c>
      <c r="E3118" s="1404" t="s">
        <v>11567</v>
      </c>
      <c r="F3118" s="1405" t="s">
        <v>5300</v>
      </c>
      <c r="G3118" s="1403" t="s">
        <v>11330</v>
      </c>
      <c r="H3118" s="1406" t="s">
        <v>1037</v>
      </c>
    </row>
    <row r="3119" spans="1:8" x14ac:dyDescent="0.2">
      <c r="A3119" s="7"/>
      <c r="B3119" s="1407" t="str">
        <f t="shared" si="48"/>
        <v>Enrico Bergamasco</v>
      </c>
      <c r="C3119" s="1402" t="s">
        <v>13325</v>
      </c>
      <c r="D3119" s="1403" t="s">
        <v>3132</v>
      </c>
      <c r="E3119" s="1404" t="s">
        <v>13326</v>
      </c>
      <c r="F3119" s="1405" t="s">
        <v>5299</v>
      </c>
      <c r="G3119" s="1403" t="s">
        <v>16843</v>
      </c>
      <c r="H3119" s="1406" t="s">
        <v>1037</v>
      </c>
    </row>
    <row r="3120" spans="1:8" x14ac:dyDescent="0.2">
      <c r="A3120" s="7"/>
      <c r="B3120" s="1407" t="str">
        <f t="shared" si="48"/>
        <v>Francesco Menditto</v>
      </c>
      <c r="C3120" s="1402" t="s">
        <v>13327</v>
      </c>
      <c r="D3120" s="1403" t="s">
        <v>3277</v>
      </c>
      <c r="E3120" s="1404" t="s">
        <v>13328</v>
      </c>
      <c r="F3120" s="1405" t="s">
        <v>5299</v>
      </c>
      <c r="G3120" s="1403" t="s">
        <v>7867</v>
      </c>
      <c r="H3120" s="1406" t="s">
        <v>1037</v>
      </c>
    </row>
    <row r="3121" spans="1:8" x14ac:dyDescent="0.2">
      <c r="A3121" s="7"/>
      <c r="B3121" s="1407" t="str">
        <f t="shared" si="48"/>
        <v>Claudio Rossi</v>
      </c>
      <c r="C3121" s="1402" t="s">
        <v>6532</v>
      </c>
      <c r="D3121" s="1403" t="s">
        <v>3038</v>
      </c>
      <c r="E3121" s="1404" t="s">
        <v>16144</v>
      </c>
      <c r="F3121" s="1405" t="s">
        <v>5300</v>
      </c>
      <c r="G3121" s="1403" t="s">
        <v>15288</v>
      </c>
      <c r="H3121" s="1406" t="s">
        <v>1037</v>
      </c>
    </row>
    <row r="3122" spans="1:8" x14ac:dyDescent="0.2">
      <c r="A3122" s="7"/>
      <c r="B3122" s="1407" t="str">
        <f t="shared" si="48"/>
        <v>Francesco Pon</v>
      </c>
      <c r="C3122" s="1402" t="s">
        <v>13329</v>
      </c>
      <c r="D3122" s="1403" t="s">
        <v>3277</v>
      </c>
      <c r="E3122" s="1404" t="s">
        <v>13330</v>
      </c>
      <c r="F3122" s="1405" t="s">
        <v>5300</v>
      </c>
      <c r="G3122" s="1403" t="s">
        <v>2749</v>
      </c>
      <c r="H3122" s="1406" t="s">
        <v>1037</v>
      </c>
    </row>
    <row r="3123" spans="1:8" x14ac:dyDescent="0.2">
      <c r="A3123" s="7"/>
      <c r="B3123" s="1407" t="str">
        <f t="shared" si="48"/>
        <v>Stefano Barbani</v>
      </c>
      <c r="C3123" s="1402" t="s">
        <v>13331</v>
      </c>
      <c r="D3123" s="1403" t="s">
        <v>3062</v>
      </c>
      <c r="E3123" s="1404" t="s">
        <v>13332</v>
      </c>
      <c r="F3123" s="1405" t="s">
        <v>5300</v>
      </c>
      <c r="G3123" s="1403" t="s">
        <v>2749</v>
      </c>
      <c r="H3123" s="1406" t="s">
        <v>1037</v>
      </c>
    </row>
    <row r="3124" spans="1:8" x14ac:dyDescent="0.2">
      <c r="A3124" s="7"/>
      <c r="B3124" s="1407" t="str">
        <f t="shared" si="48"/>
        <v>Gian Paolo Ghersi</v>
      </c>
      <c r="C3124" s="1402" t="s">
        <v>13333</v>
      </c>
      <c r="D3124" s="1403" t="s">
        <v>13334</v>
      </c>
      <c r="E3124" s="1404" t="s">
        <v>13335</v>
      </c>
      <c r="F3124" s="1405" t="s">
        <v>5300</v>
      </c>
      <c r="G3124" s="1403" t="s">
        <v>13595</v>
      </c>
      <c r="H3124" s="1406" t="s">
        <v>1037</v>
      </c>
    </row>
    <row r="3125" spans="1:8" x14ac:dyDescent="0.2">
      <c r="A3125" s="7"/>
      <c r="B3125" s="1407" t="str">
        <f t="shared" si="48"/>
        <v>Francesco D'ercole Cappelli</v>
      </c>
      <c r="C3125" s="1402" t="s">
        <v>13336</v>
      </c>
      <c r="D3125" s="1403" t="s">
        <v>3277</v>
      </c>
      <c r="E3125" s="1404" t="s">
        <v>13337</v>
      </c>
      <c r="F3125" s="1405" t="s">
        <v>5300</v>
      </c>
      <c r="G3125" s="1403" t="s">
        <v>13595</v>
      </c>
      <c r="H3125" s="1406" t="s">
        <v>1037</v>
      </c>
    </row>
    <row r="3126" spans="1:8" x14ac:dyDescent="0.2">
      <c r="A3126" s="7"/>
      <c r="B3126" s="1407" t="str">
        <f t="shared" si="48"/>
        <v>Guido Gambara</v>
      </c>
      <c r="C3126" s="1402" t="s">
        <v>13338</v>
      </c>
      <c r="D3126" s="1403" t="s">
        <v>6996</v>
      </c>
      <c r="E3126" s="1404" t="s">
        <v>13339</v>
      </c>
      <c r="F3126" s="1405" t="s">
        <v>5300</v>
      </c>
      <c r="G3126" s="1403" t="s">
        <v>3614</v>
      </c>
      <c r="H3126" s="1406" t="s">
        <v>1037</v>
      </c>
    </row>
    <row r="3127" spans="1:8" x14ac:dyDescent="0.2">
      <c r="A3127" s="7"/>
      <c r="B3127" s="1407" t="str">
        <f t="shared" si="48"/>
        <v>Lorenzo Malevolti</v>
      </c>
      <c r="C3127" s="1402" t="s">
        <v>13340</v>
      </c>
      <c r="D3127" s="1403" t="s">
        <v>3155</v>
      </c>
      <c r="E3127" s="1404" t="s">
        <v>13341</v>
      </c>
      <c r="F3127" s="1405" t="s">
        <v>5299</v>
      </c>
      <c r="G3127" s="1403" t="s">
        <v>11329</v>
      </c>
      <c r="H3127" s="1406" t="s">
        <v>1037</v>
      </c>
    </row>
    <row r="3128" spans="1:8" x14ac:dyDescent="0.2">
      <c r="A3128" s="7"/>
      <c r="B3128" s="1407" t="str">
        <f t="shared" si="48"/>
        <v>Paolo Di Michelangelo</v>
      </c>
      <c r="C3128" s="1402" t="s">
        <v>13342</v>
      </c>
      <c r="D3128" s="1403" t="s">
        <v>3119</v>
      </c>
      <c r="E3128" s="1404" t="s">
        <v>13343</v>
      </c>
      <c r="F3128" s="1405" t="s">
        <v>5300</v>
      </c>
      <c r="G3128" s="1403" t="s">
        <v>11327</v>
      </c>
      <c r="H3128" s="1406" t="s">
        <v>1037</v>
      </c>
    </row>
    <row r="3129" spans="1:8" x14ac:dyDescent="0.2">
      <c r="A3129" s="7"/>
      <c r="B3129" s="1407" t="str">
        <f t="shared" si="48"/>
        <v>Andrea Cardia</v>
      </c>
      <c r="C3129" s="1402" t="s">
        <v>10861</v>
      </c>
      <c r="D3129" s="1403" t="s">
        <v>3027</v>
      </c>
      <c r="E3129" s="1404" t="s">
        <v>13344</v>
      </c>
      <c r="F3129" s="1405" t="s">
        <v>5299</v>
      </c>
      <c r="G3129" s="1403" t="s">
        <v>10292</v>
      </c>
      <c r="H3129" s="1406" t="s">
        <v>1037</v>
      </c>
    </row>
    <row r="3130" spans="1:8" x14ac:dyDescent="0.2">
      <c r="A3130" s="7"/>
      <c r="B3130" s="1407" t="str">
        <f t="shared" si="48"/>
        <v>Riccardo Arrighi</v>
      </c>
      <c r="C3130" s="1402" t="s">
        <v>13345</v>
      </c>
      <c r="D3130" s="1403" t="s">
        <v>3270</v>
      </c>
      <c r="E3130" s="1404" t="s">
        <v>13346</v>
      </c>
      <c r="F3130" s="1405" t="s">
        <v>5299</v>
      </c>
      <c r="G3130" s="1403" t="s">
        <v>10273</v>
      </c>
      <c r="H3130" s="1406" t="s">
        <v>1037</v>
      </c>
    </row>
    <row r="3131" spans="1:8" x14ac:dyDescent="0.2">
      <c r="A3131" s="7"/>
      <c r="B3131" s="1407" t="str">
        <f t="shared" si="48"/>
        <v>Raffaello Milani</v>
      </c>
      <c r="C3131" s="1402" t="s">
        <v>13347</v>
      </c>
      <c r="D3131" s="1403" t="s">
        <v>13348</v>
      </c>
      <c r="E3131" s="1404" t="s">
        <v>13349</v>
      </c>
      <c r="F3131" s="1405" t="s">
        <v>5300</v>
      </c>
      <c r="G3131" s="1403" t="s">
        <v>10273</v>
      </c>
      <c r="H3131" s="1406" t="s">
        <v>1037</v>
      </c>
    </row>
    <row r="3132" spans="1:8" x14ac:dyDescent="0.2">
      <c r="A3132" s="7"/>
      <c r="B3132" s="1407" t="str">
        <f t="shared" si="48"/>
        <v>Alessandro Ragazzini Fuligni</v>
      </c>
      <c r="C3132" s="1402" t="s">
        <v>13350</v>
      </c>
      <c r="D3132" s="1403" t="s">
        <v>3125</v>
      </c>
      <c r="E3132" s="1404" t="s">
        <v>13351</v>
      </c>
      <c r="F3132" s="1405" t="s">
        <v>5300</v>
      </c>
      <c r="G3132" s="1403" t="s">
        <v>10273</v>
      </c>
      <c r="H3132" s="1406" t="s">
        <v>1037</v>
      </c>
    </row>
    <row r="3133" spans="1:8" x14ac:dyDescent="0.2">
      <c r="A3133" s="7"/>
      <c r="B3133" s="1407" t="str">
        <f t="shared" si="48"/>
        <v>Maria Bari</v>
      </c>
      <c r="C3133" s="1402" t="s">
        <v>6358</v>
      </c>
      <c r="D3133" s="1403" t="s">
        <v>3475</v>
      </c>
      <c r="E3133" s="1404" t="s">
        <v>13352</v>
      </c>
      <c r="F3133" s="1405" t="s">
        <v>5300</v>
      </c>
      <c r="G3133" s="1403" t="s">
        <v>13353</v>
      </c>
      <c r="H3133" s="1406" t="s">
        <v>1037</v>
      </c>
    </row>
    <row r="3134" spans="1:8" x14ac:dyDescent="0.2">
      <c r="A3134" s="7"/>
      <c r="B3134" s="1407" t="str">
        <f t="shared" si="48"/>
        <v>Rossella Bari</v>
      </c>
      <c r="C3134" s="1402" t="s">
        <v>6358</v>
      </c>
      <c r="D3134" s="1403" t="s">
        <v>13354</v>
      </c>
      <c r="E3134" s="1404" t="s">
        <v>13355</v>
      </c>
      <c r="F3134" s="1405" t="s">
        <v>5300</v>
      </c>
      <c r="G3134" s="1403" t="s">
        <v>13353</v>
      </c>
      <c r="H3134" s="1406" t="s">
        <v>1037</v>
      </c>
    </row>
    <row r="3135" spans="1:8" x14ac:dyDescent="0.2">
      <c r="A3135" s="7"/>
      <c r="B3135" s="1407" t="str">
        <f t="shared" si="48"/>
        <v>Maurizio Borgna</v>
      </c>
      <c r="C3135" s="1402" t="s">
        <v>13356</v>
      </c>
      <c r="D3135" s="1403" t="s">
        <v>3148</v>
      </c>
      <c r="E3135" s="1404" t="s">
        <v>13357</v>
      </c>
      <c r="F3135" s="1405" t="s">
        <v>5299</v>
      </c>
      <c r="G3135" s="1403" t="s">
        <v>2787</v>
      </c>
      <c r="H3135" s="1406" t="s">
        <v>1037</v>
      </c>
    </row>
    <row r="3136" spans="1:8" x14ac:dyDescent="0.2">
      <c r="A3136" s="7"/>
      <c r="B3136" s="1407" t="str">
        <f t="shared" si="48"/>
        <v>Lorenzo Randelli</v>
      </c>
      <c r="C3136" s="1402" t="s">
        <v>6835</v>
      </c>
      <c r="D3136" s="1403" t="s">
        <v>3155</v>
      </c>
      <c r="E3136" s="1404" t="s">
        <v>13358</v>
      </c>
      <c r="F3136" s="1405" t="s">
        <v>5300</v>
      </c>
      <c r="G3136" s="1403" t="s">
        <v>13321</v>
      </c>
      <c r="H3136" s="1406" t="s">
        <v>1037</v>
      </c>
    </row>
    <row r="3137" spans="1:8" x14ac:dyDescent="0.2">
      <c r="A3137" s="7"/>
      <c r="B3137" s="1407" t="str">
        <f t="shared" si="48"/>
        <v>Tiziano Lastrucci</v>
      </c>
      <c r="C3137" s="1402" t="s">
        <v>13359</v>
      </c>
      <c r="D3137" s="1403" t="s">
        <v>8292</v>
      </c>
      <c r="E3137" s="1404" t="s">
        <v>13360</v>
      </c>
      <c r="F3137" s="1405" t="s">
        <v>5300</v>
      </c>
      <c r="G3137" s="1403" t="s">
        <v>13321</v>
      </c>
      <c r="H3137" s="1406" t="s">
        <v>1037</v>
      </c>
    </row>
    <row r="3138" spans="1:8" x14ac:dyDescent="0.2">
      <c r="A3138" s="7"/>
      <c r="B3138" s="1407" t="str">
        <f t="shared" si="48"/>
        <v>Mattia Nanni</v>
      </c>
      <c r="C3138" s="1402" t="s">
        <v>13361</v>
      </c>
      <c r="D3138" s="1403" t="s">
        <v>3228</v>
      </c>
      <c r="E3138" s="1404" t="s">
        <v>13362</v>
      </c>
      <c r="F3138" s="1405" t="s">
        <v>5299</v>
      </c>
      <c r="G3138" s="1403" t="s">
        <v>11468</v>
      </c>
      <c r="H3138" s="1406" t="s">
        <v>1037</v>
      </c>
    </row>
    <row r="3139" spans="1:8" x14ac:dyDescent="0.2">
      <c r="A3139" s="7"/>
      <c r="B3139" s="1407" t="str">
        <f t="shared" si="48"/>
        <v>Alessandro Armelleschi</v>
      </c>
      <c r="C3139" s="1402" t="s">
        <v>13363</v>
      </c>
      <c r="D3139" s="1403" t="s">
        <v>3125</v>
      </c>
      <c r="E3139" s="1404" t="s">
        <v>13364</v>
      </c>
      <c r="F3139" s="1405" t="s">
        <v>5300</v>
      </c>
      <c r="G3139" s="1403" t="s">
        <v>13477</v>
      </c>
      <c r="H3139" s="1406" t="s">
        <v>1037</v>
      </c>
    </row>
    <row r="3140" spans="1:8" x14ac:dyDescent="0.2">
      <c r="A3140" s="7"/>
      <c r="B3140" s="1407" t="str">
        <f t="shared" si="48"/>
        <v>Giulio Centonze</v>
      </c>
      <c r="C3140" s="1402" t="s">
        <v>13365</v>
      </c>
      <c r="D3140" s="1403" t="s">
        <v>3583</v>
      </c>
      <c r="E3140" s="1404" t="s">
        <v>13366</v>
      </c>
      <c r="F3140" s="1405" t="s">
        <v>5300</v>
      </c>
      <c r="G3140" s="1403" t="s">
        <v>13477</v>
      </c>
      <c r="H3140" s="1406" t="s">
        <v>1037</v>
      </c>
    </row>
    <row r="3141" spans="1:8" x14ac:dyDescent="0.2">
      <c r="A3141" s="7"/>
      <c r="B3141" s="1407" t="str">
        <f t="shared" si="48"/>
        <v>Stefano Munafo'</v>
      </c>
      <c r="C3141" s="1402" t="s">
        <v>13367</v>
      </c>
      <c r="D3141" s="1403" t="s">
        <v>3062</v>
      </c>
      <c r="E3141" s="1404" t="s">
        <v>13368</v>
      </c>
      <c r="F3141" s="1405" t="s">
        <v>5300</v>
      </c>
      <c r="G3141" s="1403" t="s">
        <v>13477</v>
      </c>
      <c r="H3141" s="1406" t="s">
        <v>1037</v>
      </c>
    </row>
    <row r="3142" spans="1:8" x14ac:dyDescent="0.2">
      <c r="A3142" s="7"/>
      <c r="B3142" s="1407" t="str">
        <f t="shared" si="48"/>
        <v>Pierluigi Bianchi</v>
      </c>
      <c r="C3142" s="1402" t="s">
        <v>6591</v>
      </c>
      <c r="D3142" s="1403" t="s">
        <v>3549</v>
      </c>
      <c r="E3142" s="1404" t="s">
        <v>13369</v>
      </c>
      <c r="F3142" s="1405" t="s">
        <v>5300</v>
      </c>
      <c r="G3142" s="1403" t="s">
        <v>13312</v>
      </c>
      <c r="H3142" s="1406" t="s">
        <v>1037</v>
      </c>
    </row>
    <row r="3143" spans="1:8" x14ac:dyDescent="0.2">
      <c r="A3143" s="7"/>
      <c r="B3143" s="1407" t="str">
        <f t="shared" ref="B3143:B3206" si="49">TRIM(CONCATENATE(D3143," ",C3143))</f>
        <v>Federico Del Ben</v>
      </c>
      <c r="C3143" s="1402" t="s">
        <v>13370</v>
      </c>
      <c r="D3143" s="1403" t="s">
        <v>3335</v>
      </c>
      <c r="E3143" s="1404" t="s">
        <v>13371</v>
      </c>
      <c r="F3143" s="1405" t="s">
        <v>5299</v>
      </c>
      <c r="G3143" s="1403" t="s">
        <v>13312</v>
      </c>
      <c r="H3143" s="1406" t="s">
        <v>1037</v>
      </c>
    </row>
    <row r="3144" spans="1:8" x14ac:dyDescent="0.2">
      <c r="A3144" s="7"/>
      <c r="B3144" s="1407" t="str">
        <f t="shared" si="49"/>
        <v>Emanuele Cipulat</v>
      </c>
      <c r="C3144" s="1402" t="s">
        <v>13372</v>
      </c>
      <c r="D3144" s="1403" t="s">
        <v>3085</v>
      </c>
      <c r="E3144" s="1404" t="s">
        <v>13373</v>
      </c>
      <c r="F3144" s="1405" t="s">
        <v>5300</v>
      </c>
      <c r="G3144" s="1403" t="s">
        <v>13312</v>
      </c>
      <c r="H3144" s="1406" t="s">
        <v>1037</v>
      </c>
    </row>
    <row r="3145" spans="1:8" x14ac:dyDescent="0.2">
      <c r="A3145" s="7"/>
      <c r="B3145" s="1407" t="str">
        <f t="shared" si="49"/>
        <v>Davide Peghin</v>
      </c>
      <c r="C3145" s="1402" t="s">
        <v>13374</v>
      </c>
      <c r="D3145" s="1403" t="s">
        <v>3329</v>
      </c>
      <c r="E3145" s="1404" t="s">
        <v>13375</v>
      </c>
      <c r="F3145" s="1405" t="s">
        <v>5299</v>
      </c>
      <c r="G3145" s="1403" t="s">
        <v>13312</v>
      </c>
      <c r="H3145" s="1406" t="s">
        <v>1037</v>
      </c>
    </row>
    <row r="3146" spans="1:8" x14ac:dyDescent="0.2">
      <c r="A3146" s="7"/>
      <c r="B3146" s="1407" t="str">
        <f t="shared" si="49"/>
        <v>Franco Bochicchio</v>
      </c>
      <c r="C3146" s="1402" t="s">
        <v>13376</v>
      </c>
      <c r="D3146" s="1403" t="s">
        <v>5778</v>
      </c>
      <c r="E3146" s="1404" t="s">
        <v>13377</v>
      </c>
      <c r="F3146" s="1405" t="s">
        <v>5300</v>
      </c>
      <c r="G3146" s="1403" t="s">
        <v>16896</v>
      </c>
      <c r="H3146" s="1406" t="s">
        <v>1037</v>
      </c>
    </row>
    <row r="3147" spans="1:8" x14ac:dyDescent="0.2">
      <c r="A3147" s="7"/>
      <c r="B3147" s="1407" t="str">
        <f t="shared" si="49"/>
        <v>Carlo Gambaruto</v>
      </c>
      <c r="C3147" s="1402" t="s">
        <v>13378</v>
      </c>
      <c r="D3147" s="1403" t="s">
        <v>3266</v>
      </c>
      <c r="E3147" s="1404" t="s">
        <v>13379</v>
      </c>
      <c r="F3147" s="1405" t="s">
        <v>5300</v>
      </c>
      <c r="G3147" s="1403" t="s">
        <v>16896</v>
      </c>
      <c r="H3147" s="1406" t="s">
        <v>1037</v>
      </c>
    </row>
    <row r="3148" spans="1:8" x14ac:dyDescent="0.2">
      <c r="A3148" s="7"/>
      <c r="B3148" s="1407" t="str">
        <f t="shared" si="49"/>
        <v>Marco Farneti</v>
      </c>
      <c r="C3148" s="1402" t="s">
        <v>13380</v>
      </c>
      <c r="D3148" s="1403" t="s">
        <v>3109</v>
      </c>
      <c r="E3148" s="1404" t="s">
        <v>13381</v>
      </c>
      <c r="F3148" s="1405" t="s">
        <v>5299</v>
      </c>
      <c r="G3148" s="1403" t="s">
        <v>9697</v>
      </c>
      <c r="H3148" s="1406" t="s">
        <v>1037</v>
      </c>
    </row>
    <row r="3149" spans="1:8" x14ac:dyDescent="0.2">
      <c r="A3149" s="7"/>
      <c r="B3149" s="1407" t="str">
        <f t="shared" si="49"/>
        <v>Andrea Farneti</v>
      </c>
      <c r="C3149" s="1402" t="s">
        <v>13380</v>
      </c>
      <c r="D3149" s="1403" t="s">
        <v>3027</v>
      </c>
      <c r="E3149" s="1404" t="s">
        <v>13382</v>
      </c>
      <c r="F3149" s="1405" t="s">
        <v>13211</v>
      </c>
      <c r="G3149" s="1403" t="s">
        <v>9697</v>
      </c>
      <c r="H3149" s="1406" t="s">
        <v>1037</v>
      </c>
    </row>
    <row r="3150" spans="1:8" x14ac:dyDescent="0.2">
      <c r="A3150" s="7"/>
      <c r="B3150" s="1407" t="str">
        <f t="shared" si="49"/>
        <v>Massimo Morigi</v>
      </c>
      <c r="C3150" s="1402" t="s">
        <v>13383</v>
      </c>
      <c r="D3150" s="1403" t="s">
        <v>3013</v>
      </c>
      <c r="E3150" s="1404" t="s">
        <v>13384</v>
      </c>
      <c r="F3150" s="1405" t="s">
        <v>5299</v>
      </c>
      <c r="G3150" s="1403" t="s">
        <v>9697</v>
      </c>
      <c r="H3150" s="1406" t="s">
        <v>1037</v>
      </c>
    </row>
    <row r="3151" spans="1:8" x14ac:dyDescent="0.2">
      <c r="A3151" s="7"/>
      <c r="B3151" s="1407" t="str">
        <f t="shared" si="49"/>
        <v>Alessandro Fiumi</v>
      </c>
      <c r="C3151" s="1402" t="s">
        <v>13385</v>
      </c>
      <c r="D3151" s="1403" t="s">
        <v>3125</v>
      </c>
      <c r="E3151" s="1404" t="s">
        <v>13386</v>
      </c>
      <c r="F3151" s="1405" t="s">
        <v>5300</v>
      </c>
      <c r="G3151" s="1403" t="s">
        <v>7876</v>
      </c>
      <c r="H3151" s="1406" t="s">
        <v>1037</v>
      </c>
    </row>
    <row r="3152" spans="1:8" x14ac:dyDescent="0.2">
      <c r="A3152" s="7"/>
      <c r="B3152" s="1407" t="str">
        <f t="shared" si="49"/>
        <v>Davide Biasci</v>
      </c>
      <c r="C3152" s="1402" t="s">
        <v>13387</v>
      </c>
      <c r="D3152" s="1403" t="s">
        <v>3329</v>
      </c>
      <c r="E3152" s="1404" t="s">
        <v>13388</v>
      </c>
      <c r="F3152" s="1405" t="s">
        <v>5299</v>
      </c>
      <c r="G3152" s="1403" t="s">
        <v>11329</v>
      </c>
      <c r="H3152" s="1406" t="s">
        <v>1037</v>
      </c>
    </row>
    <row r="3153" spans="1:8" x14ac:dyDescent="0.2">
      <c r="A3153" s="7"/>
      <c r="B3153" s="1407" t="str">
        <f t="shared" si="49"/>
        <v>Claudio Bicchi</v>
      </c>
      <c r="C3153" s="1402" t="s">
        <v>13389</v>
      </c>
      <c r="D3153" s="1403" t="s">
        <v>3038</v>
      </c>
      <c r="E3153" s="1404" t="s">
        <v>13390</v>
      </c>
      <c r="F3153" s="1405" t="s">
        <v>5299</v>
      </c>
      <c r="G3153" s="1403" t="s">
        <v>9698</v>
      </c>
      <c r="H3153" s="1406" t="s">
        <v>1037</v>
      </c>
    </row>
    <row r="3154" spans="1:8" x14ac:dyDescent="0.2">
      <c r="A3154" s="7"/>
      <c r="B3154" s="1407" t="str">
        <f t="shared" si="49"/>
        <v>Tommaso Sani</v>
      </c>
      <c r="C3154" s="1402" t="s">
        <v>9957</v>
      </c>
      <c r="D3154" s="1403" t="s">
        <v>3534</v>
      </c>
      <c r="E3154" s="1404" t="s">
        <v>13392</v>
      </c>
      <c r="F3154" s="1405" t="s">
        <v>13211</v>
      </c>
      <c r="G3154" s="1403" t="s">
        <v>9702</v>
      </c>
      <c r="H3154" s="1406" t="s">
        <v>1037</v>
      </c>
    </row>
    <row r="3155" spans="1:8" x14ac:dyDescent="0.2">
      <c r="A3155" s="7"/>
      <c r="B3155" s="1407" t="str">
        <f t="shared" si="49"/>
        <v>Lorenzo Fazio</v>
      </c>
      <c r="C3155" s="1402" t="s">
        <v>13393</v>
      </c>
      <c r="D3155" s="1403" t="s">
        <v>3155</v>
      </c>
      <c r="E3155" s="1404" t="s">
        <v>13394</v>
      </c>
      <c r="F3155" s="1405" t="s">
        <v>13211</v>
      </c>
      <c r="G3155" s="1403" t="s">
        <v>9702</v>
      </c>
      <c r="H3155" s="1406" t="s">
        <v>1037</v>
      </c>
    </row>
    <row r="3156" spans="1:8" x14ac:dyDescent="0.2">
      <c r="A3156" s="7"/>
      <c r="B3156" s="1407" t="str">
        <f t="shared" si="49"/>
        <v>Filippo Cecchini</v>
      </c>
      <c r="C3156" s="1402" t="s">
        <v>13395</v>
      </c>
      <c r="D3156" s="1403" t="s">
        <v>3340</v>
      </c>
      <c r="E3156" s="1404" t="s">
        <v>13396</v>
      </c>
      <c r="F3156" s="1405" t="s">
        <v>1563</v>
      </c>
      <c r="G3156" s="1403" t="s">
        <v>9702</v>
      </c>
      <c r="H3156" s="1406" t="s">
        <v>1037</v>
      </c>
    </row>
    <row r="3157" spans="1:8" x14ac:dyDescent="0.2">
      <c r="A3157" s="7"/>
      <c r="B3157" s="1407" t="str">
        <f t="shared" si="49"/>
        <v>Andrea Ferretti</v>
      </c>
      <c r="C3157" s="1402" t="s">
        <v>13397</v>
      </c>
      <c r="D3157" s="1403" t="s">
        <v>3027</v>
      </c>
      <c r="E3157" s="1404" t="s">
        <v>13398</v>
      </c>
      <c r="F3157" s="1405" t="s">
        <v>13211</v>
      </c>
      <c r="G3157" s="1403" t="s">
        <v>9702</v>
      </c>
      <c r="H3157" s="1406" t="s">
        <v>1037</v>
      </c>
    </row>
    <row r="3158" spans="1:8" x14ac:dyDescent="0.2">
      <c r="A3158" s="7"/>
      <c r="B3158" s="1407" t="str">
        <f t="shared" si="49"/>
        <v>Alberto Capoferri</v>
      </c>
      <c r="C3158" s="1402" t="s">
        <v>13399</v>
      </c>
      <c r="D3158" s="1403" t="s">
        <v>3042</v>
      </c>
      <c r="E3158" s="1404" t="s">
        <v>13400</v>
      </c>
      <c r="F3158" s="1405" t="s">
        <v>13211</v>
      </c>
      <c r="G3158" s="1403" t="s">
        <v>9702</v>
      </c>
      <c r="H3158" s="1406" t="s">
        <v>1037</v>
      </c>
    </row>
    <row r="3159" spans="1:8" x14ac:dyDescent="0.2">
      <c r="A3159" s="7"/>
      <c r="B3159" s="1407" t="str">
        <f t="shared" si="49"/>
        <v>Samuele Bignardi</v>
      </c>
      <c r="C3159" s="1402" t="s">
        <v>13401</v>
      </c>
      <c r="D3159" s="1403" t="s">
        <v>5648</v>
      </c>
      <c r="E3159" s="1404" t="s">
        <v>13402</v>
      </c>
      <c r="F3159" s="1405" t="s">
        <v>13211</v>
      </c>
      <c r="G3159" s="1403" t="s">
        <v>9702</v>
      </c>
      <c r="H3159" s="1406" t="s">
        <v>1037</v>
      </c>
    </row>
    <row r="3160" spans="1:8" x14ac:dyDescent="0.2">
      <c r="A3160" s="7"/>
      <c r="B3160" s="1407" t="str">
        <f t="shared" si="49"/>
        <v>Alessandro Gandin</v>
      </c>
      <c r="C3160" s="1402" t="s">
        <v>13403</v>
      </c>
      <c r="D3160" s="1403" t="s">
        <v>3125</v>
      </c>
      <c r="E3160" s="1404" t="s">
        <v>13404</v>
      </c>
      <c r="F3160" s="1405" t="s">
        <v>13211</v>
      </c>
      <c r="G3160" s="1403" t="s">
        <v>9702</v>
      </c>
      <c r="H3160" s="1406" t="s">
        <v>1037</v>
      </c>
    </row>
    <row r="3161" spans="1:8" x14ac:dyDescent="0.2">
      <c r="A3161" s="7"/>
      <c r="B3161" s="1407" t="str">
        <f t="shared" si="49"/>
        <v>Mirco Ricci</v>
      </c>
      <c r="C3161" s="1402" t="s">
        <v>6528</v>
      </c>
      <c r="D3161" s="1403" t="s">
        <v>3636</v>
      </c>
      <c r="E3161" s="1404" t="s">
        <v>13405</v>
      </c>
      <c r="F3161" s="1405" t="s">
        <v>5300</v>
      </c>
      <c r="G3161" s="1403" t="s">
        <v>9702</v>
      </c>
      <c r="H3161" s="1406" t="s">
        <v>1037</v>
      </c>
    </row>
    <row r="3162" spans="1:8" x14ac:dyDescent="0.2">
      <c r="A3162" s="7"/>
      <c r="B3162" s="1407" t="str">
        <f t="shared" si="49"/>
        <v>Daniele Modugno</v>
      </c>
      <c r="C3162" s="1402" t="s">
        <v>13406</v>
      </c>
      <c r="D3162" s="1403" t="s">
        <v>3022</v>
      </c>
      <c r="E3162" s="1404" t="s">
        <v>13407</v>
      </c>
      <c r="F3162" s="1405" t="s">
        <v>5300</v>
      </c>
      <c r="G3162" s="1403" t="s">
        <v>9702</v>
      </c>
      <c r="H3162" s="1406" t="s">
        <v>1037</v>
      </c>
    </row>
    <row r="3163" spans="1:8" x14ac:dyDescent="0.2">
      <c r="A3163" s="7"/>
      <c r="B3163" s="1407" t="str">
        <f t="shared" si="49"/>
        <v>Luca Bignardi</v>
      </c>
      <c r="C3163" s="1402" t="s">
        <v>13401</v>
      </c>
      <c r="D3163" s="1403" t="s">
        <v>3198</v>
      </c>
      <c r="E3163" s="1404" t="s">
        <v>13408</v>
      </c>
      <c r="F3163" s="1405" t="s">
        <v>5299</v>
      </c>
      <c r="G3163" s="1403" t="s">
        <v>9702</v>
      </c>
      <c r="H3163" s="1406" t="s">
        <v>1037</v>
      </c>
    </row>
    <row r="3164" spans="1:8" x14ac:dyDescent="0.2">
      <c r="A3164" s="7"/>
      <c r="B3164" s="1407" t="str">
        <f t="shared" si="49"/>
        <v>Filippo Scorcucchi</v>
      </c>
      <c r="C3164" s="1402" t="s">
        <v>13409</v>
      </c>
      <c r="D3164" s="1403" t="s">
        <v>3340</v>
      </c>
      <c r="E3164" s="1404" t="s">
        <v>13410</v>
      </c>
      <c r="F3164" s="1405" t="s">
        <v>5300</v>
      </c>
      <c r="G3164" s="1403" t="s">
        <v>16896</v>
      </c>
      <c r="H3164" s="1406" t="s">
        <v>1037</v>
      </c>
    </row>
    <row r="3165" spans="1:8" x14ac:dyDescent="0.2">
      <c r="A3165" s="7"/>
      <c r="B3165" s="1407" t="str">
        <f t="shared" si="49"/>
        <v>Davide Balito</v>
      </c>
      <c r="C3165" s="1402" t="s">
        <v>13411</v>
      </c>
      <c r="D3165" s="1403" t="s">
        <v>3329</v>
      </c>
      <c r="E3165" s="1404" t="s">
        <v>13412</v>
      </c>
      <c r="F3165" s="1405" t="s">
        <v>1563</v>
      </c>
      <c r="G3165" s="1403" t="s">
        <v>9702</v>
      </c>
      <c r="H3165" s="1406" t="s">
        <v>1037</v>
      </c>
    </row>
    <row r="3166" spans="1:8" x14ac:dyDescent="0.2">
      <c r="A3166" s="7"/>
      <c r="B3166" s="1407" t="str">
        <f t="shared" si="49"/>
        <v>Marco Scialanga</v>
      </c>
      <c r="C3166" s="1402" t="s">
        <v>13413</v>
      </c>
      <c r="D3166" s="1403" t="s">
        <v>3109</v>
      </c>
      <c r="E3166" s="1404" t="s">
        <v>13414</v>
      </c>
      <c r="F3166" s="1405" t="s">
        <v>5300</v>
      </c>
      <c r="G3166" s="1403" t="s">
        <v>14678</v>
      </c>
      <c r="H3166" s="1406" t="s">
        <v>1037</v>
      </c>
    </row>
    <row r="3167" spans="1:8" x14ac:dyDescent="0.2">
      <c r="A3167" s="7"/>
      <c r="B3167" s="1407" t="str">
        <f t="shared" si="49"/>
        <v>Gianmarco Bacigalupo</v>
      </c>
      <c r="C3167" s="1402" t="s">
        <v>13415</v>
      </c>
      <c r="D3167" s="1403" t="s">
        <v>3505</v>
      </c>
      <c r="E3167" s="1404" t="s">
        <v>13416</v>
      </c>
      <c r="F3167" s="1405" t="s">
        <v>5300</v>
      </c>
      <c r="G3167" s="1403" t="s">
        <v>14678</v>
      </c>
      <c r="H3167" s="1406" t="s">
        <v>1037</v>
      </c>
    </row>
    <row r="3168" spans="1:8" x14ac:dyDescent="0.2">
      <c r="A3168" s="7"/>
      <c r="B3168" s="1407" t="str">
        <f t="shared" si="49"/>
        <v>Edoardo Scialanga</v>
      </c>
      <c r="C3168" s="1402" t="s">
        <v>13413</v>
      </c>
      <c r="D3168" s="1403" t="s">
        <v>3558</v>
      </c>
      <c r="E3168" s="1404" t="s">
        <v>13417</v>
      </c>
      <c r="F3168" s="1405" t="s">
        <v>5299</v>
      </c>
      <c r="G3168" s="1403" t="s">
        <v>14678</v>
      </c>
      <c r="H3168" s="1406" t="s">
        <v>1037</v>
      </c>
    </row>
    <row r="3169" spans="1:8" x14ac:dyDescent="0.2">
      <c r="A3169" s="7"/>
      <c r="B3169" s="1407" t="str">
        <f t="shared" si="49"/>
        <v>Fabio Belisario</v>
      </c>
      <c r="C3169" s="1402" t="s">
        <v>13418</v>
      </c>
      <c r="D3169" s="1403" t="s">
        <v>3133</v>
      </c>
      <c r="E3169" s="1404" t="s">
        <v>13419</v>
      </c>
      <c r="F3169" s="1405" t="s">
        <v>5300</v>
      </c>
      <c r="G3169" s="1403" t="s">
        <v>2759</v>
      </c>
      <c r="H3169" s="1406" t="s">
        <v>1037</v>
      </c>
    </row>
    <row r="3170" spans="1:8" x14ac:dyDescent="0.2">
      <c r="A3170" s="7"/>
      <c r="B3170" s="1407" t="str">
        <f t="shared" si="49"/>
        <v>Alfredo Biscardi</v>
      </c>
      <c r="C3170" s="1402" t="s">
        <v>13420</v>
      </c>
      <c r="D3170" s="1403" t="s">
        <v>3587</v>
      </c>
      <c r="E3170" s="1404" t="s">
        <v>13421</v>
      </c>
      <c r="F3170" s="1405" t="s">
        <v>5300</v>
      </c>
      <c r="G3170" s="1403" t="s">
        <v>3614</v>
      </c>
      <c r="H3170" s="1406" t="s">
        <v>1037</v>
      </c>
    </row>
    <row r="3171" spans="1:8" x14ac:dyDescent="0.2">
      <c r="A3171" s="7"/>
      <c r="B3171" s="1407" t="str">
        <f t="shared" si="49"/>
        <v>Riccardo Berioli</v>
      </c>
      <c r="C3171" s="1402" t="s">
        <v>13422</v>
      </c>
      <c r="D3171" s="1403" t="s">
        <v>3270</v>
      </c>
      <c r="E3171" s="1404" t="s">
        <v>13423</v>
      </c>
      <c r="F3171" s="1405" t="s">
        <v>13210</v>
      </c>
      <c r="G3171" s="1403" t="s">
        <v>13595</v>
      </c>
      <c r="H3171" s="1406" t="s">
        <v>1037</v>
      </c>
    </row>
    <row r="3172" spans="1:8" x14ac:dyDescent="0.2">
      <c r="A3172" s="7"/>
      <c r="B3172" s="1407" t="str">
        <f t="shared" si="49"/>
        <v>Andrea Gandin</v>
      </c>
      <c r="C3172" s="1402" t="s">
        <v>13403</v>
      </c>
      <c r="D3172" s="1403" t="s">
        <v>3027</v>
      </c>
      <c r="E3172" s="1404" t="s">
        <v>15585</v>
      </c>
      <c r="F3172" s="1405" t="s">
        <v>5299</v>
      </c>
      <c r="G3172" s="1403" t="s">
        <v>9702</v>
      </c>
      <c r="H3172" s="1406" t="s">
        <v>1037</v>
      </c>
    </row>
    <row r="3173" spans="1:8" x14ac:dyDescent="0.2">
      <c r="A3173" s="7"/>
      <c r="B3173" s="1407" t="str">
        <f t="shared" si="49"/>
        <v>Federico Da Re</v>
      </c>
      <c r="C3173" s="1402" t="s">
        <v>13424</v>
      </c>
      <c r="D3173" s="1403" t="s">
        <v>3335</v>
      </c>
      <c r="E3173" s="1404" t="s">
        <v>13425</v>
      </c>
      <c r="F3173" s="1405" t="s">
        <v>13210</v>
      </c>
      <c r="G3173" s="1403" t="s">
        <v>13312</v>
      </c>
      <c r="H3173" s="1406" t="s">
        <v>1037</v>
      </c>
    </row>
    <row r="3174" spans="1:8" x14ac:dyDescent="0.2">
      <c r="A3174" s="7"/>
      <c r="B3174" s="1407" t="str">
        <f t="shared" si="49"/>
        <v>David Del Ben</v>
      </c>
      <c r="C3174" s="1402" t="s">
        <v>13370</v>
      </c>
      <c r="D3174" s="1403" t="s">
        <v>3072</v>
      </c>
      <c r="E3174" s="1404" t="s">
        <v>13426</v>
      </c>
      <c r="F3174" s="1405" t="s">
        <v>13211</v>
      </c>
      <c r="G3174" s="1403" t="s">
        <v>13312</v>
      </c>
      <c r="H3174" s="1406" t="s">
        <v>1037</v>
      </c>
    </row>
    <row r="3175" spans="1:8" x14ac:dyDescent="0.2">
      <c r="A3175" s="7"/>
      <c r="B3175" s="1407" t="str">
        <f t="shared" si="49"/>
        <v>Alessio Corti</v>
      </c>
      <c r="C3175" s="1402" t="s">
        <v>9951</v>
      </c>
      <c r="D3175" s="1403" t="s">
        <v>3550</v>
      </c>
      <c r="E3175" s="1404" t="s">
        <v>13427</v>
      </c>
      <c r="F3175" s="1405" t="s">
        <v>13210</v>
      </c>
      <c r="G3175" s="1403" t="s">
        <v>13477</v>
      </c>
      <c r="H3175" s="1406" t="s">
        <v>1037</v>
      </c>
    </row>
    <row r="3176" spans="1:8" x14ac:dyDescent="0.2">
      <c r="A3176" s="7"/>
      <c r="B3176" s="1407" t="str">
        <f t="shared" si="49"/>
        <v>Matteo Corti</v>
      </c>
      <c r="C3176" s="1402" t="s">
        <v>9951</v>
      </c>
      <c r="D3176" s="1403" t="s">
        <v>3200</v>
      </c>
      <c r="E3176" s="1404" t="s">
        <v>13428</v>
      </c>
      <c r="F3176" s="1405" t="s">
        <v>5299</v>
      </c>
      <c r="G3176" s="1403" t="s">
        <v>13477</v>
      </c>
      <c r="H3176" s="1406" t="s">
        <v>1037</v>
      </c>
    </row>
    <row r="3177" spans="1:8" x14ac:dyDescent="0.2">
      <c r="A3177" s="7"/>
      <c r="B3177" s="1407" t="str">
        <f t="shared" si="49"/>
        <v>Luigi Berlinghieri</v>
      </c>
      <c r="C3177" s="1402" t="s">
        <v>13429</v>
      </c>
      <c r="D3177" s="1403" t="s">
        <v>3339</v>
      </c>
      <c r="E3177" s="1404" t="s">
        <v>13430</v>
      </c>
      <c r="F3177" s="1405" t="s">
        <v>5300</v>
      </c>
      <c r="G3177" s="1403" t="s">
        <v>13596</v>
      </c>
      <c r="H3177" s="1406" t="s">
        <v>1037</v>
      </c>
    </row>
    <row r="3178" spans="1:8" x14ac:dyDescent="0.2">
      <c r="A3178" s="7"/>
      <c r="B3178" s="1407" t="str">
        <f t="shared" si="49"/>
        <v>Francesco Sallese</v>
      </c>
      <c r="C3178" s="1402" t="s">
        <v>13431</v>
      </c>
      <c r="D3178" s="1403" t="s">
        <v>3277</v>
      </c>
      <c r="E3178" s="1404" t="s">
        <v>13432</v>
      </c>
      <c r="F3178" s="1405" t="s">
        <v>5300</v>
      </c>
      <c r="G3178" s="1403" t="s">
        <v>11327</v>
      </c>
      <c r="H3178" s="1406" t="s">
        <v>1037</v>
      </c>
    </row>
    <row r="3179" spans="1:8" x14ac:dyDescent="0.2">
      <c r="A3179" s="7"/>
      <c r="B3179" s="1407" t="str">
        <f t="shared" si="49"/>
        <v>Giorgio Sallese</v>
      </c>
      <c r="C3179" s="1402" t="s">
        <v>13431</v>
      </c>
      <c r="D3179" s="1403" t="s">
        <v>3643</v>
      </c>
      <c r="E3179" s="1404" t="s">
        <v>13433</v>
      </c>
      <c r="F3179" s="1405" t="s">
        <v>13211</v>
      </c>
      <c r="G3179" s="1403" t="s">
        <v>11327</v>
      </c>
      <c r="H3179" s="1406" t="s">
        <v>1037</v>
      </c>
    </row>
    <row r="3180" spans="1:8" x14ac:dyDescent="0.2">
      <c r="A3180" s="7"/>
      <c r="B3180" s="1407" t="str">
        <f t="shared" si="49"/>
        <v>Francesco Mattia Miccoli</v>
      </c>
      <c r="C3180" s="1402" t="s">
        <v>11511</v>
      </c>
      <c r="D3180" s="1403" t="s">
        <v>13434</v>
      </c>
      <c r="E3180" s="1404" t="s">
        <v>13435</v>
      </c>
      <c r="F3180" s="1405" t="s">
        <v>5299</v>
      </c>
      <c r="G3180" s="1403" t="s">
        <v>11327</v>
      </c>
      <c r="H3180" s="1406" t="s">
        <v>1037</v>
      </c>
    </row>
    <row r="3181" spans="1:8" x14ac:dyDescent="0.2">
      <c r="A3181" s="7"/>
      <c r="B3181" s="1407" t="str">
        <f t="shared" si="49"/>
        <v>Tobia Vallebona</v>
      </c>
      <c r="C3181" s="1402" t="s">
        <v>13436</v>
      </c>
      <c r="D3181" s="1403" t="s">
        <v>13437</v>
      </c>
      <c r="E3181" s="1404" t="s">
        <v>13438</v>
      </c>
      <c r="F3181" s="1405" t="s">
        <v>13210</v>
      </c>
      <c r="G3181" s="1403" t="s">
        <v>9702</v>
      </c>
      <c r="H3181" s="1406" t="s">
        <v>1037</v>
      </c>
    </row>
    <row r="3182" spans="1:8" x14ac:dyDescent="0.2">
      <c r="A3182" s="7"/>
      <c r="B3182" s="1407" t="str">
        <f t="shared" si="49"/>
        <v>Filippo Careddu</v>
      </c>
      <c r="C3182" s="1402" t="s">
        <v>13439</v>
      </c>
      <c r="D3182" s="1403" t="s">
        <v>3340</v>
      </c>
      <c r="E3182" s="1404" t="s">
        <v>13440</v>
      </c>
      <c r="F3182" s="1405" t="s">
        <v>13211</v>
      </c>
      <c r="G3182" s="1403" t="s">
        <v>9702</v>
      </c>
      <c r="H3182" s="1406" t="s">
        <v>1037</v>
      </c>
    </row>
    <row r="3183" spans="1:8" x14ac:dyDescent="0.2">
      <c r="A3183" s="7"/>
      <c r="B3183" s="1407" t="str">
        <f t="shared" si="49"/>
        <v>Andrea Alfonsi</v>
      </c>
      <c r="C3183" s="1402" t="s">
        <v>13441</v>
      </c>
      <c r="D3183" s="1403" t="s">
        <v>3027</v>
      </c>
      <c r="E3183" s="1404" t="s">
        <v>13442</v>
      </c>
      <c r="F3183" s="1405" t="s">
        <v>5300</v>
      </c>
      <c r="G3183" s="1403" t="s">
        <v>14678</v>
      </c>
      <c r="H3183" s="1406" t="s">
        <v>1037</v>
      </c>
    </row>
    <row r="3184" spans="1:8" x14ac:dyDescent="0.2">
      <c r="A3184" s="7"/>
      <c r="B3184" s="1407" t="str">
        <f t="shared" si="49"/>
        <v>Fabrizio Cavazza</v>
      </c>
      <c r="C3184" s="1402" t="s">
        <v>7449</v>
      </c>
      <c r="D3184" s="1403" t="s">
        <v>3087</v>
      </c>
      <c r="E3184" s="1404" t="s">
        <v>13443</v>
      </c>
      <c r="F3184" s="1405" t="s">
        <v>5300</v>
      </c>
      <c r="G3184" s="1403" t="s">
        <v>2773</v>
      </c>
      <c r="H3184" s="1406" t="s">
        <v>1037</v>
      </c>
    </row>
    <row r="3185" spans="1:8" x14ac:dyDescent="0.2">
      <c r="A3185" s="7"/>
      <c r="B3185" s="1407" t="str">
        <f t="shared" si="49"/>
        <v>Ennio Bacich</v>
      </c>
      <c r="C3185" s="1402" t="s">
        <v>13444</v>
      </c>
      <c r="D3185" s="1403" t="s">
        <v>13445</v>
      </c>
      <c r="E3185" s="1404" t="s">
        <v>13446</v>
      </c>
      <c r="F3185" s="1405" t="s">
        <v>5300</v>
      </c>
      <c r="G3185" s="1403" t="s">
        <v>9701</v>
      </c>
      <c r="H3185" s="1406" t="s">
        <v>1037</v>
      </c>
    </row>
    <row r="3186" spans="1:8" x14ac:dyDescent="0.2">
      <c r="A3186" s="7"/>
      <c r="B3186" s="1407" t="str">
        <f t="shared" si="49"/>
        <v>Davide Bacchini</v>
      </c>
      <c r="C3186" s="1402" t="s">
        <v>17190</v>
      </c>
      <c r="D3186" s="1403" t="s">
        <v>3329</v>
      </c>
      <c r="E3186" s="1404" t="s">
        <v>13447</v>
      </c>
      <c r="F3186" s="1405" t="s">
        <v>5299</v>
      </c>
      <c r="G3186" s="1403" t="s">
        <v>15232</v>
      </c>
      <c r="H3186" s="1406" t="s">
        <v>1037</v>
      </c>
    </row>
    <row r="3187" spans="1:8" x14ac:dyDescent="0.2">
      <c r="A3187" s="7"/>
      <c r="B3187" s="1407" t="str">
        <f t="shared" si="49"/>
        <v>Pietro Torri</v>
      </c>
      <c r="C3187" s="1402" t="s">
        <v>13448</v>
      </c>
      <c r="D3187" s="1403" t="s">
        <v>3233</v>
      </c>
      <c r="E3187" s="1404" t="s">
        <v>13449</v>
      </c>
      <c r="F3187" s="1405" t="s">
        <v>5300</v>
      </c>
      <c r="G3187" s="1403" t="s">
        <v>15232</v>
      </c>
      <c r="H3187" s="1406" t="s">
        <v>1037</v>
      </c>
    </row>
    <row r="3188" spans="1:8" x14ac:dyDescent="0.2">
      <c r="A3188" s="7"/>
      <c r="B3188" s="1407" t="str">
        <f t="shared" si="49"/>
        <v>Fabio De Pascalis</v>
      </c>
      <c r="C3188" s="1402" t="s">
        <v>15441</v>
      </c>
      <c r="D3188" s="1403" t="s">
        <v>3133</v>
      </c>
      <c r="E3188" s="1404" t="s">
        <v>15442</v>
      </c>
      <c r="F3188" s="1405" t="s">
        <v>5299</v>
      </c>
      <c r="G3188" s="1403" t="s">
        <v>7880</v>
      </c>
      <c r="H3188" s="1406" t="s">
        <v>1037</v>
      </c>
    </row>
    <row r="3189" spans="1:8" x14ac:dyDescent="0.2">
      <c r="A3189" s="7"/>
      <c r="B3189" s="1407" t="str">
        <f t="shared" si="49"/>
        <v>Martin Maioli</v>
      </c>
      <c r="C3189" s="1402" t="s">
        <v>13450</v>
      </c>
      <c r="D3189" s="1403" t="s">
        <v>3408</v>
      </c>
      <c r="E3189" s="1404" t="s">
        <v>13451</v>
      </c>
      <c r="F3189" s="1405" t="s">
        <v>13211</v>
      </c>
      <c r="G3189" s="1403" t="s">
        <v>7873</v>
      </c>
      <c r="H3189" s="1406" t="s">
        <v>1037</v>
      </c>
    </row>
    <row r="3190" spans="1:8" x14ac:dyDescent="0.2">
      <c r="A3190" s="7"/>
      <c r="B3190" s="1407" t="str">
        <f t="shared" si="49"/>
        <v>Andrea Maioli</v>
      </c>
      <c r="C3190" s="1402" t="s">
        <v>13450</v>
      </c>
      <c r="D3190" s="1403" t="s">
        <v>3027</v>
      </c>
      <c r="E3190" s="1404" t="s">
        <v>13452</v>
      </c>
      <c r="F3190" s="1405" t="s">
        <v>5300</v>
      </c>
      <c r="G3190" s="1403" t="s">
        <v>7873</v>
      </c>
      <c r="H3190" s="1406" t="s">
        <v>1037</v>
      </c>
    </row>
    <row r="3191" spans="1:8" x14ac:dyDescent="0.2">
      <c r="A3191" s="7"/>
      <c r="B3191" s="1407" t="str">
        <f t="shared" si="49"/>
        <v>Enrico Corso</v>
      </c>
      <c r="C3191" s="1402" t="s">
        <v>6408</v>
      </c>
      <c r="D3191" s="1403" t="s">
        <v>3132</v>
      </c>
      <c r="E3191" s="1404" t="s">
        <v>13947</v>
      </c>
      <c r="F3191" s="1405" t="s">
        <v>5300</v>
      </c>
      <c r="G3191" s="1403" t="s">
        <v>13488</v>
      </c>
      <c r="H3191" s="1406" t="s">
        <v>1037</v>
      </c>
    </row>
    <row r="3192" spans="1:8" x14ac:dyDescent="0.2">
      <c r="A3192" s="7"/>
      <c r="B3192" s="1407" t="str">
        <f t="shared" si="49"/>
        <v>Fabio Mangione</v>
      </c>
      <c r="C3192" s="1402" t="s">
        <v>13948</v>
      </c>
      <c r="D3192" s="1403" t="s">
        <v>3133</v>
      </c>
      <c r="E3192" s="1404" t="s">
        <v>13949</v>
      </c>
      <c r="F3192" s="1405" t="s">
        <v>5300</v>
      </c>
      <c r="G3192" s="1403" t="s">
        <v>13488</v>
      </c>
      <c r="H3192" s="1406" t="s">
        <v>1037</v>
      </c>
    </row>
    <row r="3193" spans="1:8" x14ac:dyDescent="0.2">
      <c r="A3193" s="7"/>
      <c r="B3193" s="1407" t="str">
        <f t="shared" si="49"/>
        <v>Jacopo Giampaola</v>
      </c>
      <c r="C3193" s="1402" t="s">
        <v>13950</v>
      </c>
      <c r="D3193" s="1403" t="s">
        <v>7476</v>
      </c>
      <c r="E3193" s="1404" t="s">
        <v>13951</v>
      </c>
      <c r="F3193" s="1405" t="s">
        <v>5300</v>
      </c>
      <c r="G3193" s="1403" t="s">
        <v>11327</v>
      </c>
      <c r="H3193" s="1406" t="s">
        <v>1037</v>
      </c>
    </row>
    <row r="3194" spans="1:8" x14ac:dyDescent="0.2">
      <c r="A3194" s="7"/>
      <c r="B3194" s="1407" t="str">
        <f t="shared" si="49"/>
        <v>Damiano Giampaola</v>
      </c>
      <c r="C3194" s="1402" t="s">
        <v>13950</v>
      </c>
      <c r="D3194" s="1403" t="s">
        <v>7002</v>
      </c>
      <c r="E3194" s="1404" t="s">
        <v>13952</v>
      </c>
      <c r="F3194" s="1405" t="s">
        <v>13211</v>
      </c>
      <c r="G3194" s="1403" t="s">
        <v>11327</v>
      </c>
      <c r="H3194" s="1406" t="s">
        <v>1037</v>
      </c>
    </row>
    <row r="3195" spans="1:8" x14ac:dyDescent="0.2">
      <c r="A3195" s="7"/>
      <c r="B3195" s="1407" t="str">
        <f t="shared" si="49"/>
        <v>Marco Giampaola</v>
      </c>
      <c r="C3195" s="1402" t="s">
        <v>13950</v>
      </c>
      <c r="D3195" s="1403" t="s">
        <v>3109</v>
      </c>
      <c r="E3195" s="1404" t="s">
        <v>13953</v>
      </c>
      <c r="F3195" s="1405" t="s">
        <v>5300</v>
      </c>
      <c r="G3195" s="1403" t="s">
        <v>11327</v>
      </c>
      <c r="H3195" s="1406" t="s">
        <v>1037</v>
      </c>
    </row>
    <row r="3196" spans="1:8" x14ac:dyDescent="0.2">
      <c r="A3196" s="7"/>
      <c r="B3196" s="1407" t="str">
        <f t="shared" si="49"/>
        <v>Pasquale Nunzet</v>
      </c>
      <c r="C3196" s="1402" t="s">
        <v>13954</v>
      </c>
      <c r="D3196" s="1403" t="s">
        <v>3548</v>
      </c>
      <c r="E3196" s="1404" t="s">
        <v>13955</v>
      </c>
      <c r="F3196" s="1405" t="s">
        <v>5300</v>
      </c>
      <c r="G3196" s="1403" t="s">
        <v>10271</v>
      </c>
      <c r="H3196" s="1406" t="s">
        <v>1037</v>
      </c>
    </row>
    <row r="3197" spans="1:8" x14ac:dyDescent="0.2">
      <c r="A3197" s="7"/>
      <c r="B3197" s="1407" t="str">
        <f t="shared" si="49"/>
        <v>Davide Pulito</v>
      </c>
      <c r="C3197" s="1402" t="s">
        <v>13957</v>
      </c>
      <c r="D3197" s="1403" t="s">
        <v>3329</v>
      </c>
      <c r="E3197" s="1404" t="s">
        <v>13958</v>
      </c>
      <c r="F3197" s="1405" t="s">
        <v>5300</v>
      </c>
      <c r="G3197" s="1403" t="s">
        <v>11328</v>
      </c>
      <c r="H3197" s="1406" t="s">
        <v>1037</v>
      </c>
    </row>
    <row r="3198" spans="1:8" x14ac:dyDescent="0.2">
      <c r="A3198" s="7"/>
      <c r="B3198" s="1407" t="str">
        <f t="shared" si="49"/>
        <v>Giacomo Luchetti</v>
      </c>
      <c r="C3198" s="1402" t="s">
        <v>13959</v>
      </c>
      <c r="D3198" s="1403" t="s">
        <v>3615</v>
      </c>
      <c r="E3198" s="1404" t="s">
        <v>13960</v>
      </c>
      <c r="F3198" s="1405" t="s">
        <v>5300</v>
      </c>
      <c r="G3198" s="1403" t="s">
        <v>10275</v>
      </c>
      <c r="H3198" s="1406" t="s">
        <v>1037</v>
      </c>
    </row>
    <row r="3199" spans="1:8" x14ac:dyDescent="0.2">
      <c r="A3199" s="7"/>
      <c r="B3199" s="1407" t="str">
        <f t="shared" si="49"/>
        <v>Daniele Mancinelli</v>
      </c>
      <c r="C3199" s="1402" t="s">
        <v>17191</v>
      </c>
      <c r="D3199" s="1403" t="s">
        <v>3022</v>
      </c>
      <c r="E3199" s="1404" t="s">
        <v>17192</v>
      </c>
      <c r="F3199" s="1405" t="s">
        <v>5299</v>
      </c>
      <c r="G3199" s="1403" t="s">
        <v>13324</v>
      </c>
      <c r="H3199" s="1406" t="s">
        <v>1037</v>
      </c>
    </row>
    <row r="3200" spans="1:8" x14ac:dyDescent="0.2">
      <c r="A3200" s="7"/>
      <c r="B3200" s="1407" t="str">
        <f t="shared" si="49"/>
        <v>Silvano Corleto</v>
      </c>
      <c r="C3200" s="1402" t="s">
        <v>13962</v>
      </c>
      <c r="D3200" s="1403" t="s">
        <v>13961</v>
      </c>
      <c r="E3200" s="1404" t="s">
        <v>13963</v>
      </c>
      <c r="F3200" s="1405" t="s">
        <v>5299</v>
      </c>
      <c r="G3200" s="1403" t="s">
        <v>9703</v>
      </c>
      <c r="H3200" s="1406" t="s">
        <v>1037</v>
      </c>
    </row>
    <row r="3201" spans="1:8" x14ac:dyDescent="0.2">
      <c r="A3201" s="7"/>
      <c r="B3201" s="1407" t="str">
        <f t="shared" si="49"/>
        <v>Alfredo Di Buono</v>
      </c>
      <c r="C3201" s="1402" t="s">
        <v>15468</v>
      </c>
      <c r="D3201" s="1403" t="s">
        <v>3587</v>
      </c>
      <c r="E3201" s="1404" t="s">
        <v>15469</v>
      </c>
      <c r="F3201" s="1405" t="s">
        <v>5299</v>
      </c>
      <c r="G3201" s="1403" t="s">
        <v>10271</v>
      </c>
      <c r="H3201" s="1406" t="s">
        <v>1037</v>
      </c>
    </row>
    <row r="3202" spans="1:8" x14ac:dyDescent="0.2">
      <c r="A3202" s="7"/>
      <c r="B3202" s="1407" t="str">
        <f t="shared" si="49"/>
        <v>Enrico Ghigliotti</v>
      </c>
      <c r="C3202" s="1402" t="s">
        <v>8013</v>
      </c>
      <c r="D3202" s="1403" t="s">
        <v>3132</v>
      </c>
      <c r="E3202" s="1404" t="s">
        <v>13964</v>
      </c>
      <c r="F3202" s="1405" t="s">
        <v>13210</v>
      </c>
      <c r="G3202" s="1403" t="s">
        <v>9702</v>
      </c>
      <c r="H3202" s="1406" t="s">
        <v>1037</v>
      </c>
    </row>
    <row r="3203" spans="1:8" x14ac:dyDescent="0.2">
      <c r="A3203" s="7"/>
      <c r="B3203" s="1407" t="str">
        <f t="shared" si="49"/>
        <v>Davide Ghigliotti</v>
      </c>
      <c r="C3203" s="1402" t="s">
        <v>8013</v>
      </c>
      <c r="D3203" s="1403" t="s">
        <v>3329</v>
      </c>
      <c r="E3203" s="1404" t="s">
        <v>13965</v>
      </c>
      <c r="F3203" s="1405" t="s">
        <v>13210</v>
      </c>
      <c r="G3203" s="1403" t="s">
        <v>9702</v>
      </c>
      <c r="H3203" s="1406" t="s">
        <v>1037</v>
      </c>
    </row>
    <row r="3204" spans="1:8" x14ac:dyDescent="0.2">
      <c r="A3204" s="7"/>
      <c r="B3204" s="1407" t="str">
        <f t="shared" si="49"/>
        <v>Goffredo Campagna</v>
      </c>
      <c r="C3204" s="1402" t="s">
        <v>8159</v>
      </c>
      <c r="D3204" s="1403" t="s">
        <v>13966</v>
      </c>
      <c r="E3204" s="1404" t="s">
        <v>13967</v>
      </c>
      <c r="F3204" s="1405" t="s">
        <v>5300</v>
      </c>
      <c r="G3204" s="1403" t="s">
        <v>13593</v>
      </c>
      <c r="H3204" s="1406" t="s">
        <v>1037</v>
      </c>
    </row>
    <row r="3205" spans="1:8" x14ac:dyDescent="0.2">
      <c r="A3205" s="7"/>
      <c r="B3205" s="1407" t="str">
        <f t="shared" si="49"/>
        <v>Mario Zuccarini</v>
      </c>
      <c r="C3205" s="1402" t="s">
        <v>13968</v>
      </c>
      <c r="D3205" s="1403" t="s">
        <v>3079</v>
      </c>
      <c r="E3205" s="1404" t="s">
        <v>13969</v>
      </c>
      <c r="F3205" s="1405" t="s">
        <v>5299</v>
      </c>
      <c r="G3205" s="1403" t="s">
        <v>13324</v>
      </c>
      <c r="H3205" s="1406" t="s">
        <v>1037</v>
      </c>
    </row>
    <row r="3206" spans="1:8" x14ac:dyDescent="0.2">
      <c r="A3206" s="7"/>
      <c r="B3206" s="1407" t="str">
        <f t="shared" si="49"/>
        <v>Alessandro Erbì</v>
      </c>
      <c r="C3206" s="1402" t="s">
        <v>11222</v>
      </c>
      <c r="D3206" s="1403" t="s">
        <v>3125</v>
      </c>
      <c r="E3206" s="1404" t="s">
        <v>13970</v>
      </c>
      <c r="F3206" s="1405" t="s">
        <v>13211</v>
      </c>
      <c r="G3206" s="1403" t="s">
        <v>16477</v>
      </c>
      <c r="H3206" s="1406" t="s">
        <v>1037</v>
      </c>
    </row>
    <row r="3207" spans="1:8" x14ac:dyDescent="0.2">
      <c r="A3207" s="7"/>
      <c r="B3207" s="1407" t="str">
        <f t="shared" ref="B3207:B3270" si="50">TRIM(CONCATENATE(D3207," ",C3207))</f>
        <v>Mauro Vianello</v>
      </c>
      <c r="C3207" s="1402" t="s">
        <v>13971</v>
      </c>
      <c r="D3207" s="1403" t="s">
        <v>3204</v>
      </c>
      <c r="E3207" s="1404" t="s">
        <v>13972</v>
      </c>
      <c r="F3207" s="1405" t="s">
        <v>5300</v>
      </c>
      <c r="G3207" s="1403" t="s">
        <v>13312</v>
      </c>
      <c r="H3207" s="1406" t="s">
        <v>1037</v>
      </c>
    </row>
    <row r="3208" spans="1:8" x14ac:dyDescent="0.2">
      <c r="A3208" s="7"/>
      <c r="B3208" s="1407" t="str">
        <f t="shared" si="50"/>
        <v>Edoardo Matalone</v>
      </c>
      <c r="C3208" s="1402" t="s">
        <v>11229</v>
      </c>
      <c r="D3208" s="1403" t="s">
        <v>3558</v>
      </c>
      <c r="E3208" s="1404" t="s">
        <v>13973</v>
      </c>
      <c r="F3208" s="1405" t="s">
        <v>1563</v>
      </c>
      <c r="G3208" s="1403" t="s">
        <v>13593</v>
      </c>
      <c r="H3208" s="1406" t="s">
        <v>1037</v>
      </c>
    </row>
    <row r="3209" spans="1:8" x14ac:dyDescent="0.2">
      <c r="A3209" s="7"/>
      <c r="B3209" s="1407" t="str">
        <f t="shared" si="50"/>
        <v>Michele Torri</v>
      </c>
      <c r="C3209" s="1402" t="s">
        <v>13448</v>
      </c>
      <c r="D3209" s="1403" t="s">
        <v>3216</v>
      </c>
      <c r="E3209" s="1404" t="s">
        <v>13974</v>
      </c>
      <c r="F3209" s="1405" t="s">
        <v>5300</v>
      </c>
      <c r="G3209" s="1403" t="s">
        <v>15232</v>
      </c>
      <c r="H3209" s="1406" t="s">
        <v>1037</v>
      </c>
    </row>
    <row r="3210" spans="1:8" x14ac:dyDescent="0.2">
      <c r="A3210" s="7"/>
      <c r="B3210" s="1407" t="str">
        <f t="shared" si="50"/>
        <v>Stefano Corleto</v>
      </c>
      <c r="C3210" s="1402" t="s">
        <v>13962</v>
      </c>
      <c r="D3210" s="1403" t="s">
        <v>3062</v>
      </c>
      <c r="E3210" s="1404" t="s">
        <v>13975</v>
      </c>
      <c r="F3210" s="1405" t="s">
        <v>5299</v>
      </c>
      <c r="G3210" s="1403" t="s">
        <v>9703</v>
      </c>
      <c r="H3210" s="1406" t="s">
        <v>1037</v>
      </c>
    </row>
    <row r="3211" spans="1:8" x14ac:dyDescent="0.2">
      <c r="A3211" s="7"/>
      <c r="B3211" s="1407" t="str">
        <f t="shared" si="50"/>
        <v>Roberto Ficini</v>
      </c>
      <c r="C3211" s="1402" t="s">
        <v>13976</v>
      </c>
      <c r="D3211" s="1403" t="s">
        <v>3279</v>
      </c>
      <c r="E3211" s="1404" t="s">
        <v>13977</v>
      </c>
      <c r="F3211" s="1405" t="s">
        <v>5300</v>
      </c>
      <c r="G3211" s="1403" t="s">
        <v>11328</v>
      </c>
      <c r="H3211" s="1406" t="s">
        <v>1037</v>
      </c>
    </row>
    <row r="3212" spans="1:8" x14ac:dyDescent="0.2">
      <c r="A3212" s="7"/>
      <c r="B3212" s="1407" t="str">
        <f t="shared" si="50"/>
        <v>Marco Molinaro</v>
      </c>
      <c r="C3212" s="1402" t="s">
        <v>6018</v>
      </c>
      <c r="D3212" s="1403" t="s">
        <v>3109</v>
      </c>
      <c r="E3212" s="1404" t="s">
        <v>13978</v>
      </c>
      <c r="F3212" s="1405" t="s">
        <v>5299</v>
      </c>
      <c r="G3212" s="1403" t="s">
        <v>15288</v>
      </c>
      <c r="H3212" s="1406" t="s">
        <v>1037</v>
      </c>
    </row>
    <row r="3213" spans="1:8" x14ac:dyDescent="0.2">
      <c r="A3213" s="7"/>
      <c r="B3213" s="1407" t="str">
        <f t="shared" si="50"/>
        <v>Massimo Talozzi</v>
      </c>
      <c r="C3213" s="1402" t="s">
        <v>13979</v>
      </c>
      <c r="D3213" s="1403" t="s">
        <v>3013</v>
      </c>
      <c r="E3213" s="1404" t="s">
        <v>13980</v>
      </c>
      <c r="F3213" s="1405" t="s">
        <v>5300</v>
      </c>
      <c r="G3213" s="1403" t="s">
        <v>15288</v>
      </c>
      <c r="H3213" s="1406" t="s">
        <v>1037</v>
      </c>
    </row>
    <row r="3214" spans="1:8" x14ac:dyDescent="0.2">
      <c r="A3214" s="7"/>
      <c r="B3214" s="1407" t="str">
        <f t="shared" si="50"/>
        <v>Christian Milessa</v>
      </c>
      <c r="C3214" s="1402" t="s">
        <v>13981</v>
      </c>
      <c r="D3214" s="1403" t="s">
        <v>3063</v>
      </c>
      <c r="E3214" s="1404" t="s">
        <v>13982</v>
      </c>
      <c r="F3214" s="1405" t="s">
        <v>5300</v>
      </c>
      <c r="G3214" s="1403" t="s">
        <v>9701</v>
      </c>
      <c r="H3214" s="1406" t="s">
        <v>1037</v>
      </c>
    </row>
    <row r="3215" spans="1:8" x14ac:dyDescent="0.2">
      <c r="A3215" s="7"/>
      <c r="B3215" s="1407" t="str">
        <f t="shared" si="50"/>
        <v>Pietro Zorzi</v>
      </c>
      <c r="C3215" s="1402" t="s">
        <v>13983</v>
      </c>
      <c r="D3215" s="1403" t="s">
        <v>3233</v>
      </c>
      <c r="E3215" s="1404" t="s">
        <v>13984</v>
      </c>
      <c r="F3215" s="1405" t="s">
        <v>13211</v>
      </c>
      <c r="G3215" s="1403" t="s">
        <v>9701</v>
      </c>
      <c r="H3215" s="1406" t="s">
        <v>1037</v>
      </c>
    </row>
    <row r="3216" spans="1:8" x14ac:dyDescent="0.2">
      <c r="A3216" s="7"/>
      <c r="B3216" s="1407" t="str">
        <f t="shared" si="50"/>
        <v>Gianni Ciaramella</v>
      </c>
      <c r="C3216" s="1402" t="s">
        <v>13985</v>
      </c>
      <c r="D3216" s="1403" t="s">
        <v>7475</v>
      </c>
      <c r="E3216" s="1404" t="s">
        <v>13986</v>
      </c>
      <c r="F3216" s="1405" t="s">
        <v>13211</v>
      </c>
      <c r="G3216" s="1403" t="s">
        <v>16477</v>
      </c>
      <c r="H3216" s="1406" t="s">
        <v>1037</v>
      </c>
    </row>
    <row r="3217" spans="1:8" x14ac:dyDescent="0.2">
      <c r="A3217" s="7"/>
      <c r="B3217" s="1407" t="str">
        <f t="shared" si="50"/>
        <v>Cristiano Gallo</v>
      </c>
      <c r="C3217" s="1402" t="s">
        <v>6442</v>
      </c>
      <c r="D3217" s="1403" t="s">
        <v>6409</v>
      </c>
      <c r="E3217" s="1404" t="s">
        <v>13987</v>
      </c>
      <c r="F3217" s="1405" t="s">
        <v>5300</v>
      </c>
      <c r="G3217" s="1403" t="s">
        <v>16477</v>
      </c>
      <c r="H3217" s="1406" t="s">
        <v>1037</v>
      </c>
    </row>
    <row r="3218" spans="1:8" x14ac:dyDescent="0.2">
      <c r="A3218" s="7"/>
      <c r="B3218" s="1407" t="str">
        <f t="shared" si="50"/>
        <v>Claudio Besate</v>
      </c>
      <c r="C3218" s="1402" t="s">
        <v>13988</v>
      </c>
      <c r="D3218" s="1403" t="s">
        <v>3038</v>
      </c>
      <c r="E3218" s="1404" t="s">
        <v>13989</v>
      </c>
      <c r="F3218" s="1405" t="s">
        <v>5299</v>
      </c>
      <c r="G3218" s="1403" t="s">
        <v>16477</v>
      </c>
      <c r="H3218" s="1406" t="s">
        <v>1037</v>
      </c>
    </row>
    <row r="3219" spans="1:8" x14ac:dyDescent="0.2">
      <c r="A3219" s="7"/>
      <c r="B3219" s="1407" t="str">
        <f t="shared" si="50"/>
        <v>Andrea Ciaramella</v>
      </c>
      <c r="C3219" s="1402" t="s">
        <v>13985</v>
      </c>
      <c r="D3219" s="1403" t="s">
        <v>3027</v>
      </c>
      <c r="E3219" s="1404" t="s">
        <v>13990</v>
      </c>
      <c r="F3219" s="1405" t="s">
        <v>13211</v>
      </c>
      <c r="G3219" s="1403" t="s">
        <v>16477</v>
      </c>
      <c r="H3219" s="1406" t="s">
        <v>1037</v>
      </c>
    </row>
    <row r="3220" spans="1:8" x14ac:dyDescent="0.2">
      <c r="A3220" s="7"/>
      <c r="B3220" s="1407" t="str">
        <f t="shared" si="50"/>
        <v>Enrico Malossi</v>
      </c>
      <c r="C3220" s="1402" t="s">
        <v>13991</v>
      </c>
      <c r="D3220" s="1403" t="s">
        <v>3132</v>
      </c>
      <c r="E3220" s="1404" t="s">
        <v>13992</v>
      </c>
      <c r="F3220" s="1405" t="s">
        <v>5299</v>
      </c>
      <c r="G3220" s="1403" t="s">
        <v>7873</v>
      </c>
      <c r="H3220" s="1406" t="s">
        <v>1037</v>
      </c>
    </row>
    <row r="3221" spans="1:8" x14ac:dyDescent="0.2">
      <c r="A3221" s="7"/>
      <c r="B3221" s="1407" t="str">
        <f t="shared" si="50"/>
        <v>Gian Marco Baratella</v>
      </c>
      <c r="C3221" s="1402" t="s">
        <v>13993</v>
      </c>
      <c r="D3221" s="1403" t="s">
        <v>10073</v>
      </c>
      <c r="E3221" s="1404" t="s">
        <v>13994</v>
      </c>
      <c r="F3221" s="1405" t="s">
        <v>5300</v>
      </c>
      <c r="G3221" s="1403" t="s">
        <v>2749</v>
      </c>
      <c r="H3221" s="1406" t="s">
        <v>1037</v>
      </c>
    </row>
    <row r="3222" spans="1:8" x14ac:dyDescent="0.2">
      <c r="A3222" s="7"/>
      <c r="B3222" s="1407" t="str">
        <f t="shared" si="50"/>
        <v>Francesco Colossi</v>
      </c>
      <c r="C3222" s="1402" t="s">
        <v>13995</v>
      </c>
      <c r="D3222" s="1403" t="s">
        <v>3277</v>
      </c>
      <c r="E3222" s="1404" t="s">
        <v>13996</v>
      </c>
      <c r="F3222" s="1405" t="s">
        <v>5299</v>
      </c>
      <c r="G3222" s="1403" t="s">
        <v>10274</v>
      </c>
      <c r="H3222" s="1406" t="s">
        <v>1037</v>
      </c>
    </row>
    <row r="3223" spans="1:8" x14ac:dyDescent="0.2">
      <c r="A3223" s="7"/>
      <c r="B3223" s="1407" t="str">
        <f t="shared" si="50"/>
        <v>Nicolò Colossi</v>
      </c>
      <c r="C3223" s="1402" t="s">
        <v>13995</v>
      </c>
      <c r="D3223" s="1403" t="s">
        <v>13997</v>
      </c>
      <c r="E3223" s="1404" t="s">
        <v>13998</v>
      </c>
      <c r="F3223" s="1405" t="s">
        <v>13211</v>
      </c>
      <c r="G3223" s="1403" t="s">
        <v>10274</v>
      </c>
      <c r="H3223" s="1406" t="s">
        <v>1037</v>
      </c>
    </row>
    <row r="3224" spans="1:8" x14ac:dyDescent="0.2">
      <c r="A3224" s="7"/>
      <c r="B3224" s="1407" t="str">
        <f t="shared" si="50"/>
        <v>Gianluca Indino</v>
      </c>
      <c r="C3224" s="1402" t="s">
        <v>13999</v>
      </c>
      <c r="D3224" s="1403" t="s">
        <v>3369</v>
      </c>
      <c r="E3224" s="1404" t="s">
        <v>14000</v>
      </c>
      <c r="F3224" s="1405" t="s">
        <v>5300</v>
      </c>
      <c r="G3224" s="1403" t="s">
        <v>3614</v>
      </c>
      <c r="H3224" s="1406" t="s">
        <v>1037</v>
      </c>
    </row>
    <row r="3225" spans="1:8" x14ac:dyDescent="0.2">
      <c r="A3225" s="7"/>
      <c r="B3225" s="1407" t="str">
        <f t="shared" si="50"/>
        <v>Alessandro Laurenzi</v>
      </c>
      <c r="C3225" s="1402" t="s">
        <v>13391</v>
      </c>
      <c r="D3225" s="1403" t="s">
        <v>3125</v>
      </c>
      <c r="E3225" s="1404" t="s">
        <v>14001</v>
      </c>
      <c r="F3225" s="1405" t="s">
        <v>5300</v>
      </c>
      <c r="G3225" s="1403" t="s">
        <v>3614</v>
      </c>
      <c r="H3225" s="1406" t="s">
        <v>1037</v>
      </c>
    </row>
    <row r="3226" spans="1:8" x14ac:dyDescent="0.2">
      <c r="A3226" s="7"/>
      <c r="B3226" s="1407" t="str">
        <f t="shared" si="50"/>
        <v>Mario Michele Romanazzi</v>
      </c>
      <c r="C3226" s="1402" t="s">
        <v>10026</v>
      </c>
      <c r="D3226" s="1403" t="s">
        <v>14002</v>
      </c>
      <c r="E3226" s="1404" t="s">
        <v>14003</v>
      </c>
      <c r="F3226" s="1405" t="s">
        <v>5300</v>
      </c>
      <c r="G3226" s="1403" t="s">
        <v>3614</v>
      </c>
      <c r="H3226" s="1406" t="s">
        <v>1037</v>
      </c>
    </row>
    <row r="3227" spans="1:8" x14ac:dyDescent="0.2">
      <c r="A3227" s="7"/>
      <c r="B3227" s="1407" t="str">
        <f t="shared" si="50"/>
        <v>Stefano Flaccomio</v>
      </c>
      <c r="C3227" s="1402" t="s">
        <v>14004</v>
      </c>
      <c r="D3227" s="1403" t="s">
        <v>3062</v>
      </c>
      <c r="E3227" s="1404" t="s">
        <v>14005</v>
      </c>
      <c r="F3227" s="1405" t="s">
        <v>5300</v>
      </c>
      <c r="G3227" s="1403" t="s">
        <v>3614</v>
      </c>
      <c r="H3227" s="1406" t="s">
        <v>1037</v>
      </c>
    </row>
    <row r="3228" spans="1:8" x14ac:dyDescent="0.2">
      <c r="A3228" s="7"/>
      <c r="B3228" s="1407" t="str">
        <f t="shared" si="50"/>
        <v>Marco Coletta</v>
      </c>
      <c r="C3228" s="1402" t="s">
        <v>14006</v>
      </c>
      <c r="D3228" s="1403" t="s">
        <v>3109</v>
      </c>
      <c r="E3228" s="1404" t="s">
        <v>14007</v>
      </c>
      <c r="F3228" s="1405" t="s">
        <v>5300</v>
      </c>
      <c r="G3228" s="1403" t="s">
        <v>3614</v>
      </c>
      <c r="H3228" s="1406" t="s">
        <v>1037</v>
      </c>
    </row>
    <row r="3229" spans="1:8" x14ac:dyDescent="0.2">
      <c r="A3229" s="7"/>
      <c r="B3229" s="1407" t="str">
        <f t="shared" si="50"/>
        <v>Giampaolo Beani</v>
      </c>
      <c r="C3229" s="1402" t="s">
        <v>14008</v>
      </c>
      <c r="D3229" s="1403" t="s">
        <v>7474</v>
      </c>
      <c r="E3229" s="1404" t="s">
        <v>14009</v>
      </c>
      <c r="F3229" s="1405" t="s">
        <v>5299</v>
      </c>
      <c r="G3229" s="1403" t="s">
        <v>3614</v>
      </c>
      <c r="H3229" s="1406" t="s">
        <v>1037</v>
      </c>
    </row>
    <row r="3230" spans="1:8" x14ac:dyDescent="0.2">
      <c r="A3230" s="7"/>
      <c r="B3230" s="1407" t="str">
        <f t="shared" si="50"/>
        <v>Dario Ciampoli</v>
      </c>
      <c r="C3230" s="1402" t="s">
        <v>14010</v>
      </c>
      <c r="D3230" s="1403" t="s">
        <v>3372</v>
      </c>
      <c r="E3230" s="1404" t="s">
        <v>14011</v>
      </c>
      <c r="F3230" s="1405" t="s">
        <v>5300</v>
      </c>
      <c r="G3230" s="1403" t="s">
        <v>3614</v>
      </c>
      <c r="H3230" s="1406" t="s">
        <v>1037</v>
      </c>
    </row>
    <row r="3231" spans="1:8" x14ac:dyDescent="0.2">
      <c r="A3231" s="7"/>
      <c r="B3231" s="1407" t="str">
        <f t="shared" si="50"/>
        <v>Roberto Chicco</v>
      </c>
      <c r="C3231" s="1402" t="s">
        <v>14012</v>
      </c>
      <c r="D3231" s="1403" t="s">
        <v>3279</v>
      </c>
      <c r="E3231" s="1404" t="s">
        <v>14013</v>
      </c>
      <c r="F3231" s="1405" t="s">
        <v>5300</v>
      </c>
      <c r="G3231" s="1403" t="s">
        <v>3614</v>
      </c>
      <c r="H3231" s="1406" t="s">
        <v>1037</v>
      </c>
    </row>
    <row r="3232" spans="1:8" x14ac:dyDescent="0.2">
      <c r="A3232" s="7"/>
      <c r="B3232" s="1407" t="str">
        <f t="shared" si="50"/>
        <v>Tommaso Bazzoli</v>
      </c>
      <c r="C3232" s="1402" t="s">
        <v>14014</v>
      </c>
      <c r="D3232" s="1403" t="s">
        <v>3534</v>
      </c>
      <c r="E3232" s="1404" t="s">
        <v>14015</v>
      </c>
      <c r="F3232" s="1405" t="s">
        <v>5299</v>
      </c>
      <c r="G3232" s="1403" t="s">
        <v>3614</v>
      </c>
      <c r="H3232" s="1406" t="s">
        <v>1037</v>
      </c>
    </row>
    <row r="3233" spans="1:8" x14ac:dyDescent="0.2">
      <c r="A3233" s="7"/>
      <c r="B3233" s="1407" t="str">
        <f t="shared" si="50"/>
        <v>Vincenzo Santarcangelo</v>
      </c>
      <c r="C3233" s="1402" t="s">
        <v>14016</v>
      </c>
      <c r="D3233" s="1403" t="s">
        <v>3163</v>
      </c>
      <c r="E3233" s="1404" t="s">
        <v>14017</v>
      </c>
      <c r="F3233" s="1405" t="s">
        <v>5300</v>
      </c>
      <c r="G3233" s="1403" t="s">
        <v>3614</v>
      </c>
      <c r="H3233" s="1406" t="s">
        <v>1037</v>
      </c>
    </row>
    <row r="3234" spans="1:8" x14ac:dyDescent="0.2">
      <c r="A3234" s="7"/>
      <c r="B3234" s="1407" t="str">
        <f t="shared" si="50"/>
        <v>Gianni Terenzi</v>
      </c>
      <c r="C3234" s="1402" t="s">
        <v>14019</v>
      </c>
      <c r="D3234" s="1403" t="s">
        <v>7475</v>
      </c>
      <c r="E3234" s="1404" t="s">
        <v>14020</v>
      </c>
      <c r="F3234" s="1405" t="s">
        <v>5300</v>
      </c>
      <c r="G3234" s="1403" t="s">
        <v>3614</v>
      </c>
      <c r="H3234" s="1406" t="s">
        <v>1037</v>
      </c>
    </row>
    <row r="3235" spans="1:8" x14ac:dyDescent="0.2">
      <c r="A3235" s="7"/>
      <c r="B3235" s="1407" t="str">
        <f t="shared" si="50"/>
        <v>Giuseppe Andricciola</v>
      </c>
      <c r="C3235" s="1402" t="s">
        <v>14021</v>
      </c>
      <c r="D3235" s="1403" t="s">
        <v>3122</v>
      </c>
      <c r="E3235" s="1404" t="s">
        <v>14022</v>
      </c>
      <c r="F3235" s="1405" t="s">
        <v>5299</v>
      </c>
      <c r="G3235" s="1403" t="s">
        <v>11326</v>
      </c>
      <c r="H3235" s="1406" t="s">
        <v>1037</v>
      </c>
    </row>
    <row r="3236" spans="1:8" x14ac:dyDescent="0.2">
      <c r="A3236" s="7"/>
      <c r="B3236" s="1407" t="str">
        <f t="shared" si="50"/>
        <v>Francesco Benussi</v>
      </c>
      <c r="C3236" s="1402" t="s">
        <v>14023</v>
      </c>
      <c r="D3236" s="1403" t="s">
        <v>3277</v>
      </c>
      <c r="E3236" s="1404" t="s">
        <v>14024</v>
      </c>
      <c r="F3236" s="1405" t="s">
        <v>5300</v>
      </c>
      <c r="G3236" s="1403" t="s">
        <v>11325</v>
      </c>
      <c r="H3236" s="1406" t="s">
        <v>1037</v>
      </c>
    </row>
    <row r="3237" spans="1:8" x14ac:dyDescent="0.2">
      <c r="A3237" s="7"/>
      <c r="B3237" s="1407" t="str">
        <f t="shared" si="50"/>
        <v>Francesco Vegni</v>
      </c>
      <c r="C3237" s="1402" t="s">
        <v>13929</v>
      </c>
      <c r="D3237" s="1403" t="s">
        <v>3277</v>
      </c>
      <c r="E3237" s="1404" t="s">
        <v>14025</v>
      </c>
      <c r="F3237" s="1405" t="s">
        <v>5299</v>
      </c>
      <c r="G3237" s="1403" t="s">
        <v>11325</v>
      </c>
      <c r="H3237" s="1406" t="s">
        <v>1037</v>
      </c>
    </row>
    <row r="3238" spans="1:8" x14ac:dyDescent="0.2">
      <c r="A3238" s="7"/>
      <c r="B3238" s="1407" t="str">
        <f t="shared" si="50"/>
        <v>Roberto Giunti</v>
      </c>
      <c r="C3238" s="1402" t="s">
        <v>14026</v>
      </c>
      <c r="D3238" s="1403" t="s">
        <v>3279</v>
      </c>
      <c r="E3238" s="1404" t="s">
        <v>14027</v>
      </c>
      <c r="F3238" s="1405" t="s">
        <v>5300</v>
      </c>
      <c r="G3238" s="1403" t="s">
        <v>11328</v>
      </c>
      <c r="H3238" s="1406" t="s">
        <v>1037</v>
      </c>
    </row>
    <row r="3239" spans="1:8" x14ac:dyDescent="0.2">
      <c r="A3239" s="7"/>
      <c r="B3239" s="1407" t="str">
        <f t="shared" si="50"/>
        <v>Vetere Gianluca</v>
      </c>
      <c r="C3239" s="1402" t="s">
        <v>3369</v>
      </c>
      <c r="D3239" s="1403" t="s">
        <v>14028</v>
      </c>
      <c r="E3239" s="1404" t="s">
        <v>14029</v>
      </c>
      <c r="F3239" s="1405" t="s">
        <v>5300</v>
      </c>
      <c r="G3239" s="1403" t="s">
        <v>10271</v>
      </c>
      <c r="H3239" s="1406" t="s">
        <v>1037</v>
      </c>
    </row>
    <row r="3240" spans="1:8" x14ac:dyDescent="0.2">
      <c r="A3240" s="7"/>
      <c r="B3240" s="1407" t="str">
        <f t="shared" si="50"/>
        <v>Giuseppe Costantino</v>
      </c>
      <c r="C3240" s="1402" t="s">
        <v>10067</v>
      </c>
      <c r="D3240" s="1403" t="s">
        <v>3122</v>
      </c>
      <c r="E3240" s="1404" t="s">
        <v>14030</v>
      </c>
      <c r="F3240" s="1405" t="s">
        <v>5300</v>
      </c>
      <c r="G3240" s="1403" t="s">
        <v>9700</v>
      </c>
      <c r="H3240" s="1406" t="s">
        <v>1037</v>
      </c>
    </row>
    <row r="3241" spans="1:8" x14ac:dyDescent="0.2">
      <c r="A3241" s="7"/>
      <c r="B3241" s="1407" t="str">
        <f t="shared" si="50"/>
        <v>Massimiliano Di Lorenzo</v>
      </c>
      <c r="C3241" s="1402" t="s">
        <v>14031</v>
      </c>
      <c r="D3241" s="1403" t="s">
        <v>3023</v>
      </c>
      <c r="E3241" s="1404" t="s">
        <v>14032</v>
      </c>
      <c r="F3241" s="1405" t="s">
        <v>5300</v>
      </c>
      <c r="G3241" s="1403" t="s">
        <v>9700</v>
      </c>
      <c r="H3241" s="1406" t="s">
        <v>1037</v>
      </c>
    </row>
    <row r="3242" spans="1:8" x14ac:dyDescent="0.2">
      <c r="A3242" s="7"/>
      <c r="B3242" s="1407" t="str">
        <f t="shared" si="50"/>
        <v>Emanuele Incardona</v>
      </c>
      <c r="C3242" s="1402" t="s">
        <v>14033</v>
      </c>
      <c r="D3242" s="1403" t="s">
        <v>3085</v>
      </c>
      <c r="E3242" s="1404" t="s">
        <v>14034</v>
      </c>
      <c r="F3242" s="1405" t="s">
        <v>5300</v>
      </c>
      <c r="G3242" s="1403" t="s">
        <v>13488</v>
      </c>
      <c r="H3242" s="1406" t="s">
        <v>1037</v>
      </c>
    </row>
    <row r="3243" spans="1:8" x14ac:dyDescent="0.2">
      <c r="A3243" s="7"/>
      <c r="B3243" s="1407" t="str">
        <f t="shared" si="50"/>
        <v>Diego Pellicoro</v>
      </c>
      <c r="C3243" s="1402" t="s">
        <v>16020</v>
      </c>
      <c r="D3243" s="1403" t="s">
        <v>3373</v>
      </c>
      <c r="E3243" s="1404" t="s">
        <v>16021</v>
      </c>
      <c r="F3243" s="1405" t="s">
        <v>5299</v>
      </c>
      <c r="G3243" s="1403" t="s">
        <v>7880</v>
      </c>
      <c r="H3243" s="1406" t="s">
        <v>1037</v>
      </c>
    </row>
    <row r="3244" spans="1:8" x14ac:dyDescent="0.2">
      <c r="A3244" s="7"/>
      <c r="B3244" s="1407" t="str">
        <f t="shared" si="50"/>
        <v>Giacomo Alessi</v>
      </c>
      <c r="C3244" s="1402" t="s">
        <v>6344</v>
      </c>
      <c r="D3244" s="1403" t="s">
        <v>3615</v>
      </c>
      <c r="E3244" s="1404" t="s">
        <v>15152</v>
      </c>
      <c r="F3244" s="1405" t="s">
        <v>13211</v>
      </c>
      <c r="G3244" s="1403" t="s">
        <v>9702</v>
      </c>
      <c r="H3244" s="1406" t="s">
        <v>1037</v>
      </c>
    </row>
    <row r="3245" spans="1:8" x14ac:dyDescent="0.2">
      <c r="A3245" s="7"/>
      <c r="B3245" s="1407" t="str">
        <f t="shared" si="50"/>
        <v>Davide Chiapolino</v>
      </c>
      <c r="C3245" s="1402" t="s">
        <v>14685</v>
      </c>
      <c r="D3245" s="1403" t="s">
        <v>3329</v>
      </c>
      <c r="E3245" s="1404" t="s">
        <v>14686</v>
      </c>
      <c r="F3245" s="1405" t="s">
        <v>5299</v>
      </c>
      <c r="G3245" s="1403" t="s">
        <v>13312</v>
      </c>
      <c r="H3245" s="1406" t="s">
        <v>1037</v>
      </c>
    </row>
    <row r="3246" spans="1:8" x14ac:dyDescent="0.2">
      <c r="A3246" s="7"/>
      <c r="B3246" s="1407" t="str">
        <f t="shared" si="50"/>
        <v>Nicolò Cerullo</v>
      </c>
      <c r="C3246" s="1402" t="s">
        <v>6393</v>
      </c>
      <c r="D3246" s="1403" t="s">
        <v>13997</v>
      </c>
      <c r="E3246" s="1404" t="s">
        <v>14684</v>
      </c>
      <c r="F3246" s="1405" t="s">
        <v>1563</v>
      </c>
      <c r="G3246" s="1403" t="s">
        <v>2773</v>
      </c>
      <c r="H3246" s="1406" t="s">
        <v>1037</v>
      </c>
    </row>
    <row r="3247" spans="1:8" x14ac:dyDescent="0.2">
      <c r="A3247" s="7"/>
      <c r="B3247" s="1407" t="str">
        <f t="shared" si="50"/>
        <v>Antonio Masile</v>
      </c>
      <c r="C3247" s="1402" t="s">
        <v>15872</v>
      </c>
      <c r="D3247" s="1403" t="s">
        <v>3341</v>
      </c>
      <c r="E3247" s="1404" t="s">
        <v>15873</v>
      </c>
      <c r="F3247" s="1405" t="s">
        <v>5300</v>
      </c>
      <c r="G3247" s="1403" t="s">
        <v>7876</v>
      </c>
      <c r="H3247" s="1406" t="s">
        <v>1037</v>
      </c>
    </row>
    <row r="3248" spans="1:8" x14ac:dyDescent="0.2">
      <c r="A3248" s="7"/>
      <c r="B3248" s="1407" t="str">
        <f t="shared" si="50"/>
        <v>Giorgio De Lorenzi</v>
      </c>
      <c r="C3248" s="1402" t="s">
        <v>15438</v>
      </c>
      <c r="D3248" s="1403" t="s">
        <v>3643</v>
      </c>
      <c r="E3248" s="1404" t="s">
        <v>15439</v>
      </c>
      <c r="F3248" s="1405" t="s">
        <v>5299</v>
      </c>
      <c r="G3248" s="1403" t="s">
        <v>16477</v>
      </c>
      <c r="H3248" s="1406" t="s">
        <v>1037</v>
      </c>
    </row>
    <row r="3249" spans="1:8" x14ac:dyDescent="0.2">
      <c r="A3249" s="7"/>
      <c r="B3249" s="1407" t="str">
        <f t="shared" si="50"/>
        <v>Samuele Coppolino</v>
      </c>
      <c r="C3249" s="1402" t="s">
        <v>15388</v>
      </c>
      <c r="D3249" s="1403" t="s">
        <v>5648</v>
      </c>
      <c r="E3249" s="1404" t="s">
        <v>15390</v>
      </c>
      <c r="F3249" s="1405" t="s">
        <v>1563</v>
      </c>
      <c r="G3249" s="1403" t="s">
        <v>14879</v>
      </c>
      <c r="H3249" s="1406" t="s">
        <v>1037</v>
      </c>
    </row>
    <row r="3250" spans="1:8" x14ac:dyDescent="0.2">
      <c r="A3250" s="7"/>
      <c r="B3250" s="1407" t="str">
        <f t="shared" si="50"/>
        <v>Alberto Barattucci</v>
      </c>
      <c r="C3250" s="1402" t="s">
        <v>15211</v>
      </c>
      <c r="D3250" s="1403" t="s">
        <v>3042</v>
      </c>
      <c r="E3250" s="1404" t="s">
        <v>15213</v>
      </c>
      <c r="F3250" s="1405" t="s">
        <v>1563</v>
      </c>
      <c r="G3250" s="1403" t="s">
        <v>11327</v>
      </c>
      <c r="H3250" s="1406" t="s">
        <v>1037</v>
      </c>
    </row>
    <row r="3251" spans="1:8" x14ac:dyDescent="0.2">
      <c r="A3251" s="7"/>
      <c r="B3251" s="1407" t="str">
        <f t="shared" si="50"/>
        <v>Samuele Murabito</v>
      </c>
      <c r="C3251" s="1402" t="s">
        <v>15938</v>
      </c>
      <c r="D3251" s="1403" t="s">
        <v>5648</v>
      </c>
      <c r="E3251" s="1404" t="s">
        <v>15940</v>
      </c>
      <c r="F3251" s="1405" t="s">
        <v>1563</v>
      </c>
      <c r="G3251" s="1403" t="s">
        <v>15290</v>
      </c>
      <c r="H3251" s="1406" t="s">
        <v>1037</v>
      </c>
    </row>
    <row r="3252" spans="1:8" x14ac:dyDescent="0.2">
      <c r="A3252" s="7"/>
      <c r="B3252" s="1407" t="str">
        <f t="shared" si="50"/>
        <v>Jonathan Bambagioni</v>
      </c>
      <c r="C3252" s="1402" t="s">
        <v>15209</v>
      </c>
      <c r="D3252" s="1403" t="s">
        <v>3293</v>
      </c>
      <c r="E3252" s="1404" t="s">
        <v>15210</v>
      </c>
      <c r="F3252" s="1405" t="s">
        <v>5300</v>
      </c>
      <c r="G3252" s="1403" t="s">
        <v>13321</v>
      </c>
      <c r="H3252" s="1406" t="s">
        <v>1037</v>
      </c>
    </row>
    <row r="3253" spans="1:8" x14ac:dyDescent="0.2">
      <c r="A3253" s="7"/>
      <c r="B3253" s="1407" t="str">
        <f t="shared" si="50"/>
        <v>Lorenzo Sani</v>
      </c>
      <c r="C3253" s="1402" t="s">
        <v>9957</v>
      </c>
      <c r="D3253" s="1403" t="s">
        <v>3155</v>
      </c>
      <c r="E3253" s="1404" t="s">
        <v>16178</v>
      </c>
      <c r="F3253" s="1405" t="s">
        <v>13211</v>
      </c>
      <c r="G3253" s="1403" t="s">
        <v>11325</v>
      </c>
      <c r="H3253" s="1406" t="s">
        <v>1037</v>
      </c>
    </row>
    <row r="3254" spans="1:8" x14ac:dyDescent="0.2">
      <c r="A3254" s="7"/>
      <c r="B3254" s="1407" t="str">
        <f t="shared" si="50"/>
        <v>Davide De Giosa</v>
      </c>
      <c r="C3254" s="1402" t="s">
        <v>9953</v>
      </c>
      <c r="D3254" s="1403" t="s">
        <v>3329</v>
      </c>
      <c r="E3254" s="1404" t="s">
        <v>15435</v>
      </c>
      <c r="F3254" s="1405" t="s">
        <v>13210</v>
      </c>
      <c r="G3254" s="1403" t="s">
        <v>10274</v>
      </c>
      <c r="H3254" s="1406" t="s">
        <v>1037</v>
      </c>
    </row>
    <row r="3255" spans="1:8" x14ac:dyDescent="0.2">
      <c r="A3255" s="7"/>
      <c r="B3255" s="1407" t="str">
        <f t="shared" si="50"/>
        <v>Francesco Pochetti</v>
      </c>
      <c r="C3255" s="1402" t="s">
        <v>16071</v>
      </c>
      <c r="D3255" s="1403" t="s">
        <v>3277</v>
      </c>
      <c r="E3255" s="1404" t="s">
        <v>16072</v>
      </c>
      <c r="F3255" s="1405" t="s">
        <v>5300</v>
      </c>
      <c r="G3255" s="1403" t="s">
        <v>3614</v>
      </c>
      <c r="H3255" s="1406" t="s">
        <v>1037</v>
      </c>
    </row>
    <row r="3256" spans="1:8" x14ac:dyDescent="0.2">
      <c r="A3256" s="7"/>
      <c r="B3256" s="1407" t="str">
        <f t="shared" si="50"/>
        <v>Simone Soldera</v>
      </c>
      <c r="C3256" s="1402" t="s">
        <v>16241</v>
      </c>
      <c r="D3256" s="1403" t="s">
        <v>3158</v>
      </c>
      <c r="E3256" s="1404" t="s">
        <v>16242</v>
      </c>
      <c r="F3256" s="1405" t="s">
        <v>5299</v>
      </c>
      <c r="G3256" s="1403" t="s">
        <v>13312</v>
      </c>
      <c r="H3256" s="1406" t="s">
        <v>1037</v>
      </c>
    </row>
    <row r="3257" spans="1:8" x14ac:dyDescent="0.2">
      <c r="A3257" s="7"/>
      <c r="B3257" s="1407" t="str">
        <f t="shared" si="50"/>
        <v>Fabio Abate</v>
      </c>
      <c r="C3257" s="1402" t="s">
        <v>15134</v>
      </c>
      <c r="D3257" s="1403" t="s">
        <v>3133</v>
      </c>
      <c r="E3257" s="1404" t="s">
        <v>15135</v>
      </c>
      <c r="F3257" s="1405" t="s">
        <v>5299</v>
      </c>
      <c r="G3257" s="1403" t="s">
        <v>10271</v>
      </c>
      <c r="H3257" s="1406" t="s">
        <v>1037</v>
      </c>
    </row>
    <row r="3258" spans="1:8" x14ac:dyDescent="0.2">
      <c r="A3258" s="7"/>
      <c r="B3258" s="1407" t="str">
        <f t="shared" si="50"/>
        <v>Antonio Longobardi</v>
      </c>
      <c r="C3258" s="1402" t="s">
        <v>15824</v>
      </c>
      <c r="D3258" s="1403" t="s">
        <v>3341</v>
      </c>
      <c r="E3258" s="1404" t="s">
        <v>15825</v>
      </c>
      <c r="F3258" s="1405" t="s">
        <v>5300</v>
      </c>
      <c r="G3258" s="1403" t="s">
        <v>17179</v>
      </c>
      <c r="H3258" s="1406" t="s">
        <v>1037</v>
      </c>
    </row>
    <row r="3259" spans="1:8" x14ac:dyDescent="0.2">
      <c r="A3259" s="7"/>
      <c r="B3259" s="1407" t="str">
        <f t="shared" si="50"/>
        <v>Andrea Testa</v>
      </c>
      <c r="C3259" s="1402" t="s">
        <v>6559</v>
      </c>
      <c r="D3259" s="1403" t="s">
        <v>3027</v>
      </c>
      <c r="E3259" s="1404" t="s">
        <v>5063</v>
      </c>
      <c r="F3259" s="1405" t="s">
        <v>5299</v>
      </c>
      <c r="G3259" s="1403" t="s">
        <v>7877</v>
      </c>
      <c r="H3259" s="1406" t="s">
        <v>1037</v>
      </c>
    </row>
    <row r="3260" spans="1:8" x14ac:dyDescent="0.2">
      <c r="A3260" s="7"/>
      <c r="B3260" s="1407" t="str">
        <f t="shared" si="50"/>
        <v>Simone Casale</v>
      </c>
      <c r="C3260" s="1402" t="s">
        <v>15332</v>
      </c>
      <c r="D3260" s="1403" t="s">
        <v>3158</v>
      </c>
      <c r="E3260" s="1404" t="s">
        <v>15333</v>
      </c>
      <c r="F3260" s="1405" t="s">
        <v>5299</v>
      </c>
      <c r="G3260" s="1403" t="s">
        <v>2765</v>
      </c>
      <c r="H3260" s="1406" t="s">
        <v>1037</v>
      </c>
    </row>
    <row r="3261" spans="1:8" x14ac:dyDescent="0.2">
      <c r="A3261" s="7"/>
      <c r="B3261" s="1407" t="str">
        <f t="shared" si="50"/>
        <v>Paolo Galli</v>
      </c>
      <c r="C3261" s="1402" t="s">
        <v>15583</v>
      </c>
      <c r="D3261" s="1403" t="s">
        <v>3119</v>
      </c>
      <c r="E3261" s="1404" t="s">
        <v>15584</v>
      </c>
      <c r="F3261" s="1405" t="s">
        <v>5300</v>
      </c>
      <c r="G3261" s="1403" t="s">
        <v>16483</v>
      </c>
      <c r="H3261" s="1406" t="s">
        <v>1037</v>
      </c>
    </row>
    <row r="3262" spans="1:8" x14ac:dyDescent="0.2">
      <c r="A3262" s="7"/>
      <c r="B3262" s="1407" t="str">
        <f t="shared" si="50"/>
        <v>Marco Pistorino</v>
      </c>
      <c r="C3262" s="1402" t="s">
        <v>16065</v>
      </c>
      <c r="D3262" s="1403" t="s">
        <v>3109</v>
      </c>
      <c r="E3262" s="1404" t="s">
        <v>16066</v>
      </c>
      <c r="F3262" s="1405" t="s">
        <v>5299</v>
      </c>
      <c r="G3262" s="1403" t="s">
        <v>16483</v>
      </c>
      <c r="H3262" s="1406" t="s">
        <v>1037</v>
      </c>
    </row>
    <row r="3263" spans="1:8" x14ac:dyDescent="0.2">
      <c r="A3263" s="7"/>
      <c r="B3263" s="1407" t="str">
        <f t="shared" si="50"/>
        <v>Andrea Tavani</v>
      </c>
      <c r="C3263" s="1402" t="s">
        <v>16288</v>
      </c>
      <c r="D3263" s="1403" t="s">
        <v>3027</v>
      </c>
      <c r="E3263" s="1404" t="s">
        <v>16289</v>
      </c>
      <c r="F3263" s="1405" t="s">
        <v>5300</v>
      </c>
      <c r="G3263" s="1403" t="s">
        <v>16483</v>
      </c>
      <c r="H3263" s="1406" t="s">
        <v>1037</v>
      </c>
    </row>
    <row r="3264" spans="1:8" x14ac:dyDescent="0.2">
      <c r="A3264" s="7"/>
      <c r="B3264" s="1407" t="str">
        <f t="shared" si="50"/>
        <v>Giuseppe Lorusso</v>
      </c>
      <c r="C3264" s="1402" t="s">
        <v>15828</v>
      </c>
      <c r="D3264" s="1403" t="s">
        <v>3122</v>
      </c>
      <c r="E3264" s="1404" t="s">
        <v>15829</v>
      </c>
      <c r="F3264" s="1405" t="s">
        <v>5300</v>
      </c>
      <c r="G3264" s="1403" t="s">
        <v>16483</v>
      </c>
      <c r="H3264" s="1406" t="s">
        <v>1037</v>
      </c>
    </row>
    <row r="3265" spans="1:8" x14ac:dyDescent="0.2">
      <c r="A3265" s="7"/>
      <c r="B3265" s="1407" t="str">
        <f t="shared" si="50"/>
        <v>Mauro Villa</v>
      </c>
      <c r="C3265" s="1402" t="s">
        <v>11213</v>
      </c>
      <c r="D3265" s="1403" t="s">
        <v>3204</v>
      </c>
      <c r="E3265" s="1404" t="s">
        <v>16334</v>
      </c>
      <c r="F3265" s="1405" t="s">
        <v>5300</v>
      </c>
      <c r="G3265" s="1403" t="s">
        <v>16483</v>
      </c>
      <c r="H3265" s="1406" t="s">
        <v>1037</v>
      </c>
    </row>
    <row r="3266" spans="1:8" x14ac:dyDescent="0.2">
      <c r="A3266" s="7"/>
      <c r="B3266" s="1407" t="str">
        <f t="shared" si="50"/>
        <v>Edoardo Lanci</v>
      </c>
      <c r="C3266" s="1402" t="s">
        <v>15781</v>
      </c>
      <c r="D3266" s="1403" t="s">
        <v>3558</v>
      </c>
      <c r="E3266" s="1404" t="s">
        <v>15782</v>
      </c>
      <c r="F3266" s="1405" t="s">
        <v>13211</v>
      </c>
      <c r="G3266" s="1403" t="s">
        <v>7876</v>
      </c>
      <c r="H3266" s="1406" t="s">
        <v>1037</v>
      </c>
    </row>
    <row r="3267" spans="1:8" x14ac:dyDescent="0.2">
      <c r="A3267" s="7"/>
      <c r="B3267" s="1407" t="str">
        <f t="shared" si="50"/>
        <v>Alessandro Valluzzi</v>
      </c>
      <c r="C3267" s="1402" t="s">
        <v>16313</v>
      </c>
      <c r="D3267" s="1403" t="s">
        <v>3125</v>
      </c>
      <c r="E3267" s="1404" t="s">
        <v>16314</v>
      </c>
      <c r="F3267" s="1405" t="s">
        <v>5299</v>
      </c>
      <c r="G3267" s="1403" t="s">
        <v>5551</v>
      </c>
      <c r="H3267" s="1406" t="s">
        <v>1037</v>
      </c>
    </row>
    <row r="3268" spans="1:8" x14ac:dyDescent="0.2">
      <c r="A3268" s="7"/>
      <c r="B3268" s="1407" t="str">
        <f t="shared" si="50"/>
        <v>GianMaria Montaguti</v>
      </c>
      <c r="C3268" s="1402" t="s">
        <v>15920</v>
      </c>
      <c r="D3268" s="1403" t="s">
        <v>15921</v>
      </c>
      <c r="E3268" s="1404" t="s">
        <v>15922</v>
      </c>
      <c r="F3268" s="1405" t="s">
        <v>5299</v>
      </c>
      <c r="G3268" s="1403" t="s">
        <v>7873</v>
      </c>
      <c r="H3268" s="1406" t="s">
        <v>1037</v>
      </c>
    </row>
    <row r="3269" spans="1:8" x14ac:dyDescent="0.2">
      <c r="A3269" s="7"/>
      <c r="B3269" s="1407" t="str">
        <f t="shared" si="50"/>
        <v>Roberto Pacileo</v>
      </c>
      <c r="C3269" s="1402" t="s">
        <v>15976</v>
      </c>
      <c r="D3269" s="1403" t="s">
        <v>3279</v>
      </c>
      <c r="E3269" s="1404" t="s">
        <v>15977</v>
      </c>
      <c r="F3269" s="1405" t="s">
        <v>5299</v>
      </c>
      <c r="G3269" s="1403" t="s">
        <v>17179</v>
      </c>
      <c r="H3269" s="1406" t="s">
        <v>1037</v>
      </c>
    </row>
    <row r="3270" spans="1:8" x14ac:dyDescent="0.2">
      <c r="A3270" s="7"/>
      <c r="B3270" s="1407" t="str">
        <f t="shared" si="50"/>
        <v>Ilaria Fedele</v>
      </c>
      <c r="C3270" s="1402" t="s">
        <v>6432</v>
      </c>
      <c r="D3270" s="1403" t="s">
        <v>15532</v>
      </c>
      <c r="E3270" s="1404" t="s">
        <v>15533</v>
      </c>
      <c r="F3270" s="1405" t="s">
        <v>1563</v>
      </c>
      <c r="G3270" s="1403" t="s">
        <v>11327</v>
      </c>
      <c r="H3270" s="1406" t="s">
        <v>1037</v>
      </c>
    </row>
    <row r="3271" spans="1:8" x14ac:dyDescent="0.2">
      <c r="A3271" s="7"/>
      <c r="B3271" s="1407" t="str">
        <f t="shared" ref="B3271:B3334" si="51">TRIM(CONCATENATE(D3271," ",C3271))</f>
        <v>Massimiliano Barattucci</v>
      </c>
      <c r="C3271" s="1402" t="s">
        <v>15211</v>
      </c>
      <c r="D3271" s="1403" t="s">
        <v>3023</v>
      </c>
      <c r="E3271" s="1404" t="s">
        <v>15212</v>
      </c>
      <c r="F3271" s="1405" t="s">
        <v>5299</v>
      </c>
      <c r="G3271" s="1403" t="s">
        <v>11327</v>
      </c>
      <c r="H3271" s="1406" t="s">
        <v>1037</v>
      </c>
    </row>
    <row r="3272" spans="1:8" x14ac:dyDescent="0.2">
      <c r="A3272" s="7"/>
      <c r="B3272" s="1407" t="str">
        <f t="shared" si="51"/>
        <v>Lisa De Leonardis</v>
      </c>
      <c r="C3272" s="1402" t="s">
        <v>15436</v>
      </c>
      <c r="D3272" s="1403" t="s">
        <v>14582</v>
      </c>
      <c r="E3272" s="1404" t="s">
        <v>15437</v>
      </c>
      <c r="F3272" s="1405" t="s">
        <v>5299</v>
      </c>
      <c r="G3272" s="1403" t="s">
        <v>11327</v>
      </c>
      <c r="H3272" s="1406" t="s">
        <v>1037</v>
      </c>
    </row>
    <row r="3273" spans="1:8" x14ac:dyDescent="0.2">
      <c r="A3273" s="7"/>
      <c r="B3273" s="1407" t="str">
        <f t="shared" si="51"/>
        <v>Simone Pieraccioni</v>
      </c>
      <c r="C3273" s="1402" t="s">
        <v>16050</v>
      </c>
      <c r="D3273" s="1403" t="s">
        <v>3158</v>
      </c>
      <c r="E3273" s="1404" t="s">
        <v>16051</v>
      </c>
      <c r="F3273" s="1405" t="s">
        <v>5300</v>
      </c>
      <c r="G3273" s="1403" t="s">
        <v>15288</v>
      </c>
      <c r="H3273" s="1406" t="s">
        <v>1037</v>
      </c>
    </row>
    <row r="3274" spans="1:8" x14ac:dyDescent="0.2">
      <c r="A3274" s="7"/>
      <c r="B3274" s="1407" t="str">
        <f t="shared" si="51"/>
        <v>Massimiliano Capaccioli</v>
      </c>
      <c r="C3274" s="1402" t="s">
        <v>15313</v>
      </c>
      <c r="D3274" s="1403" t="s">
        <v>3023</v>
      </c>
      <c r="E3274" s="1404" t="s">
        <v>15314</v>
      </c>
      <c r="F3274" s="1405" t="s">
        <v>5300</v>
      </c>
      <c r="G3274" s="1403" t="s">
        <v>15288</v>
      </c>
      <c r="H3274" s="1406" t="s">
        <v>1037</v>
      </c>
    </row>
    <row r="3275" spans="1:8" x14ac:dyDescent="0.2">
      <c r="A3275" s="7"/>
      <c r="B3275" s="1407" t="str">
        <f t="shared" si="51"/>
        <v>Marco Bronzetti</v>
      </c>
      <c r="C3275" s="1402" t="s">
        <v>15286</v>
      </c>
      <c r="D3275" s="1403" t="s">
        <v>3109</v>
      </c>
      <c r="E3275" s="1404" t="s">
        <v>15287</v>
      </c>
      <c r="F3275" s="1405" t="s">
        <v>5300</v>
      </c>
      <c r="G3275" s="1403" t="s">
        <v>15288</v>
      </c>
      <c r="H3275" s="1406" t="s">
        <v>1037</v>
      </c>
    </row>
    <row r="3276" spans="1:8" x14ac:dyDescent="0.2">
      <c r="A3276" s="7"/>
      <c r="B3276" s="1407" t="str">
        <f t="shared" si="51"/>
        <v>Giulia Pibiri</v>
      </c>
      <c r="C3276" s="1402" t="s">
        <v>16048</v>
      </c>
      <c r="D3276" s="1403" t="s">
        <v>14018</v>
      </c>
      <c r="E3276" s="1404" t="s">
        <v>16049</v>
      </c>
      <c r="F3276" s="1405" t="s">
        <v>5299</v>
      </c>
      <c r="G3276" s="1403" t="s">
        <v>7872</v>
      </c>
      <c r="H3276" s="1406" t="s">
        <v>1037</v>
      </c>
    </row>
    <row r="3277" spans="1:8" x14ac:dyDescent="0.2">
      <c r="A3277" s="7"/>
      <c r="B3277" s="1407" t="str">
        <f t="shared" si="51"/>
        <v>Stefano Stagno</v>
      </c>
      <c r="C3277" s="1402" t="s">
        <v>16254</v>
      </c>
      <c r="D3277" s="1403" t="s">
        <v>3062</v>
      </c>
      <c r="E3277" s="1404" t="s">
        <v>16255</v>
      </c>
      <c r="F3277" s="1405" t="s">
        <v>5299</v>
      </c>
      <c r="G3277" s="1403" t="s">
        <v>13593</v>
      </c>
      <c r="H3277" s="1406" t="s">
        <v>1037</v>
      </c>
    </row>
    <row r="3278" spans="1:8" x14ac:dyDescent="0.2">
      <c r="A3278" s="7"/>
      <c r="B3278" s="1407" t="str">
        <f t="shared" si="51"/>
        <v>Diego Fabbri</v>
      </c>
      <c r="C3278" s="1402" t="s">
        <v>15520</v>
      </c>
      <c r="D3278" s="1403" t="s">
        <v>3373</v>
      </c>
      <c r="E3278" s="1404" t="s">
        <v>15521</v>
      </c>
      <c r="F3278" s="1405" t="s">
        <v>5300</v>
      </c>
      <c r="G3278" s="1403" t="s">
        <v>16483</v>
      </c>
      <c r="H3278" s="1406" t="s">
        <v>1037</v>
      </c>
    </row>
    <row r="3279" spans="1:8" x14ac:dyDescent="0.2">
      <c r="A3279" s="7"/>
      <c r="B3279" s="1407" t="str">
        <f t="shared" si="51"/>
        <v>Roberto Milanesi</v>
      </c>
      <c r="C3279" s="1402" t="s">
        <v>16960</v>
      </c>
      <c r="D3279" s="1403" t="s">
        <v>3279</v>
      </c>
      <c r="E3279" s="1404" t="s">
        <v>16961</v>
      </c>
      <c r="F3279" s="1405" t="s">
        <v>5299</v>
      </c>
      <c r="G3279" s="1403" t="s">
        <v>16483</v>
      </c>
      <c r="H3279" s="1406" t="s">
        <v>1037</v>
      </c>
    </row>
    <row r="3280" spans="1:8" x14ac:dyDescent="0.2">
      <c r="A3280" s="7"/>
      <c r="B3280" s="1407" t="str">
        <f t="shared" si="51"/>
        <v>Massimo Francesco Mastrobuono</v>
      </c>
      <c r="C3280" s="1402" t="s">
        <v>15876</v>
      </c>
      <c r="D3280" s="1403" t="s">
        <v>15878</v>
      </c>
      <c r="E3280" s="1404" t="s">
        <v>15879</v>
      </c>
      <c r="F3280" s="1405" t="s">
        <v>5300</v>
      </c>
      <c r="G3280" s="1403" t="s">
        <v>16483</v>
      </c>
      <c r="H3280" s="1406" t="s">
        <v>1037</v>
      </c>
    </row>
    <row r="3281" spans="1:8" x14ac:dyDescent="0.2">
      <c r="A3281" s="7"/>
      <c r="B3281" s="1407" t="str">
        <f t="shared" si="51"/>
        <v>Simone Di Tullio</v>
      </c>
      <c r="C3281" s="1402" t="s">
        <v>9638</v>
      </c>
      <c r="D3281" s="1403" t="s">
        <v>3158</v>
      </c>
      <c r="E3281" s="1404" t="s">
        <v>15481</v>
      </c>
      <c r="F3281" s="1405" t="s">
        <v>5299</v>
      </c>
      <c r="G3281" s="1403" t="s">
        <v>3614</v>
      </c>
      <c r="H3281" s="1406" t="s">
        <v>1037</v>
      </c>
    </row>
    <row r="3282" spans="1:8" x14ac:dyDescent="0.2">
      <c r="A3282" s="7"/>
      <c r="B3282" s="1407" t="str">
        <f t="shared" si="51"/>
        <v>Dario Flammini</v>
      </c>
      <c r="C3282" s="1402" t="s">
        <v>15554</v>
      </c>
      <c r="D3282" s="1403" t="s">
        <v>3372</v>
      </c>
      <c r="E3282" s="1404" t="s">
        <v>15555</v>
      </c>
      <c r="F3282" s="1405" t="s">
        <v>5300</v>
      </c>
      <c r="G3282" s="1403" t="s">
        <v>3614</v>
      </c>
      <c r="H3282" s="1406" t="s">
        <v>1037</v>
      </c>
    </row>
    <row r="3283" spans="1:8" x14ac:dyDescent="0.2">
      <c r="A3283" s="7"/>
      <c r="B3283" s="1407" t="str">
        <f t="shared" si="51"/>
        <v>Daniele Marchi</v>
      </c>
      <c r="C3283" s="1402" t="s">
        <v>15855</v>
      </c>
      <c r="D3283" s="1403" t="s">
        <v>3022</v>
      </c>
      <c r="E3283" s="1404" t="s">
        <v>15856</v>
      </c>
      <c r="F3283" s="1405" t="s">
        <v>5300</v>
      </c>
      <c r="G3283" s="1403" t="s">
        <v>3614</v>
      </c>
      <c r="H3283" s="1406" t="s">
        <v>1037</v>
      </c>
    </row>
    <row r="3284" spans="1:8" x14ac:dyDescent="0.2">
      <c r="A3284" s="7"/>
      <c r="B3284" s="1407" t="str">
        <f t="shared" si="51"/>
        <v>Angelo Prettico</v>
      </c>
      <c r="C3284" s="1402" t="s">
        <v>16077</v>
      </c>
      <c r="D3284" s="1403" t="s">
        <v>3367</v>
      </c>
      <c r="E3284" s="1404" t="s">
        <v>16078</v>
      </c>
      <c r="F3284" s="1405" t="s">
        <v>5299</v>
      </c>
      <c r="G3284" s="1403" t="s">
        <v>3614</v>
      </c>
      <c r="H3284" s="1406" t="s">
        <v>1037</v>
      </c>
    </row>
    <row r="3285" spans="1:8" x14ac:dyDescent="0.2">
      <c r="A3285" s="7"/>
      <c r="B3285" s="1407" t="str">
        <f t="shared" si="51"/>
        <v>Marco Scannavini</v>
      </c>
      <c r="C3285" s="1402" t="s">
        <v>16205</v>
      </c>
      <c r="D3285" s="1403" t="s">
        <v>3109</v>
      </c>
      <c r="E3285" s="1404" t="s">
        <v>16206</v>
      </c>
      <c r="F3285" s="1405" t="s">
        <v>5300</v>
      </c>
      <c r="G3285" s="1403" t="s">
        <v>3614</v>
      </c>
      <c r="H3285" s="1406" t="s">
        <v>1037</v>
      </c>
    </row>
    <row r="3286" spans="1:8" x14ac:dyDescent="0.2">
      <c r="A3286" s="7"/>
      <c r="B3286" s="1407" t="str">
        <f t="shared" si="51"/>
        <v>Gabriele Pellicoro</v>
      </c>
      <c r="C3286" s="1402" t="s">
        <v>16020</v>
      </c>
      <c r="D3286" s="1403" t="s">
        <v>3127</v>
      </c>
      <c r="E3286" s="1404" t="s">
        <v>16022</v>
      </c>
      <c r="F3286" s="1405" t="s">
        <v>5299</v>
      </c>
      <c r="G3286" s="1403" t="s">
        <v>7880</v>
      </c>
      <c r="H3286" s="1406" t="s">
        <v>1037</v>
      </c>
    </row>
    <row r="3287" spans="1:8" x14ac:dyDescent="0.2">
      <c r="A3287" s="7"/>
      <c r="B3287" s="1407" t="str">
        <f t="shared" si="51"/>
        <v>Luigi Brandi</v>
      </c>
      <c r="C3287" s="1402" t="s">
        <v>15278</v>
      </c>
      <c r="D3287" s="1403" t="s">
        <v>3339</v>
      </c>
      <c r="E3287" s="1404" t="s">
        <v>15279</v>
      </c>
      <c r="F3287" s="1405" t="s">
        <v>5299</v>
      </c>
      <c r="G3287" s="1403" t="s">
        <v>2776</v>
      </c>
      <c r="H3287" s="1406" t="s">
        <v>1037</v>
      </c>
    </row>
    <row r="3288" spans="1:8" x14ac:dyDescent="0.2">
      <c r="A3288" s="7"/>
      <c r="B3288" s="1407" t="str">
        <f t="shared" si="51"/>
        <v>Vincenzo Brandi</v>
      </c>
      <c r="C3288" s="1402" t="s">
        <v>15278</v>
      </c>
      <c r="D3288" s="1403" t="s">
        <v>3163</v>
      </c>
      <c r="E3288" s="1404" t="s">
        <v>15280</v>
      </c>
      <c r="F3288" s="1405" t="s">
        <v>13211</v>
      </c>
      <c r="G3288" s="1403" t="s">
        <v>2776</v>
      </c>
      <c r="H3288" s="1406" t="s">
        <v>1037</v>
      </c>
    </row>
    <row r="3289" spans="1:8" x14ac:dyDescent="0.2">
      <c r="A3289" s="7"/>
      <c r="B3289" s="1407" t="str">
        <f t="shared" si="51"/>
        <v>Alessandro Giordano Caldarola</v>
      </c>
      <c r="C3289" s="1402" t="s">
        <v>15303</v>
      </c>
      <c r="D3289" s="1403" t="s">
        <v>15304</v>
      </c>
      <c r="E3289" s="1404" t="s">
        <v>15305</v>
      </c>
      <c r="F3289" s="1405" t="s">
        <v>5299</v>
      </c>
      <c r="G3289" s="1403" t="s">
        <v>2787</v>
      </c>
      <c r="H3289" s="1406" t="s">
        <v>1037</v>
      </c>
    </row>
    <row r="3290" spans="1:8" x14ac:dyDescent="0.2">
      <c r="A3290" s="7"/>
      <c r="B3290" s="1407" t="str">
        <f t="shared" si="51"/>
        <v>Stefano Ferri</v>
      </c>
      <c r="C3290" s="1402" t="s">
        <v>7683</v>
      </c>
      <c r="D3290" s="1403" t="s">
        <v>3062</v>
      </c>
      <c r="E3290" s="1404" t="s">
        <v>15541</v>
      </c>
      <c r="F3290" s="1405" t="s">
        <v>5299</v>
      </c>
      <c r="G3290" s="1403" t="s">
        <v>10274</v>
      </c>
      <c r="H3290" s="1406" t="s">
        <v>1037</v>
      </c>
    </row>
    <row r="3291" spans="1:8" x14ac:dyDescent="0.2">
      <c r="A3291" s="7"/>
      <c r="B3291" s="1407" t="str">
        <f t="shared" si="51"/>
        <v>Aleksandar Rossitto</v>
      </c>
      <c r="C3291" s="1402" t="s">
        <v>11049</v>
      </c>
      <c r="D3291" s="1403" t="s">
        <v>16146</v>
      </c>
      <c r="E3291" s="1404" t="s">
        <v>16147</v>
      </c>
      <c r="F3291" s="1405" t="s">
        <v>1563</v>
      </c>
      <c r="G3291" s="1403" t="s">
        <v>10274</v>
      </c>
      <c r="H3291" s="1406" t="s">
        <v>1037</v>
      </c>
    </row>
    <row r="3292" spans="1:8" x14ac:dyDescent="0.2">
      <c r="A3292" s="7"/>
      <c r="B3292" s="1407" t="str">
        <f t="shared" si="51"/>
        <v>Emanuele Funaro</v>
      </c>
      <c r="C3292" s="1402" t="s">
        <v>6340</v>
      </c>
      <c r="D3292" s="1403" t="s">
        <v>3085</v>
      </c>
      <c r="E3292" s="1404" t="s">
        <v>15578</v>
      </c>
      <c r="F3292" s="1405" t="s">
        <v>5300</v>
      </c>
      <c r="G3292" s="1403" t="s">
        <v>13596</v>
      </c>
      <c r="H3292" s="1406" t="s">
        <v>1037</v>
      </c>
    </row>
    <row r="3293" spans="1:8" x14ac:dyDescent="0.2">
      <c r="A3293" s="7"/>
      <c r="B3293" s="1407" t="str">
        <f t="shared" si="51"/>
        <v>Federico Iervese</v>
      </c>
      <c r="C3293" s="1402" t="s">
        <v>7686</v>
      </c>
      <c r="D3293" s="1403" t="s">
        <v>3335</v>
      </c>
      <c r="E3293" s="1404" t="s">
        <v>15690</v>
      </c>
      <c r="F3293" s="1405" t="s">
        <v>13211</v>
      </c>
      <c r="G3293" s="1403" t="s">
        <v>11327</v>
      </c>
      <c r="H3293" s="1406" t="s">
        <v>1037</v>
      </c>
    </row>
    <row r="3294" spans="1:8" x14ac:dyDescent="0.2">
      <c r="A3294" s="7"/>
      <c r="B3294" s="1407" t="str">
        <f t="shared" si="51"/>
        <v>Davide Giuseppe Sangiorgio</v>
      </c>
      <c r="C3294" s="1402" t="s">
        <v>16175</v>
      </c>
      <c r="D3294" s="1403" t="s">
        <v>16176</v>
      </c>
      <c r="E3294" s="1404" t="s">
        <v>16177</v>
      </c>
      <c r="F3294" s="1405" t="s">
        <v>5300</v>
      </c>
      <c r="G3294" s="1403" t="s">
        <v>10273</v>
      </c>
      <c r="H3294" s="1406" t="s">
        <v>1037</v>
      </c>
    </row>
    <row r="3295" spans="1:8" x14ac:dyDescent="0.2">
      <c r="A3295" s="7"/>
      <c r="B3295" s="1407" t="str">
        <f t="shared" si="51"/>
        <v>Alessandro Siciliano</v>
      </c>
      <c r="C3295" s="1402" t="s">
        <v>11558</v>
      </c>
      <c r="D3295" s="1403" t="s">
        <v>3125</v>
      </c>
      <c r="E3295" s="1404" t="s">
        <v>16226</v>
      </c>
      <c r="F3295" s="1405" t="s">
        <v>13211</v>
      </c>
      <c r="G3295" s="1403" t="s">
        <v>10271</v>
      </c>
      <c r="H3295" s="1406" t="s">
        <v>1037</v>
      </c>
    </row>
    <row r="3296" spans="1:8" x14ac:dyDescent="0.2">
      <c r="A3296" s="7"/>
      <c r="B3296" s="1407" t="str">
        <f t="shared" si="51"/>
        <v>Nicola D'Alessandro</v>
      </c>
      <c r="C3296" s="1402" t="s">
        <v>15413</v>
      </c>
      <c r="D3296" s="1403" t="s">
        <v>3191</v>
      </c>
      <c r="E3296" s="1404" t="s">
        <v>15414</v>
      </c>
      <c r="F3296" s="1405" t="s">
        <v>5300</v>
      </c>
      <c r="G3296" s="1403" t="s">
        <v>10274</v>
      </c>
      <c r="H3296" s="1406" t="s">
        <v>1037</v>
      </c>
    </row>
    <row r="3297" spans="1:8" x14ac:dyDescent="0.2">
      <c r="A3297" s="7"/>
      <c r="B3297" s="1407" t="str">
        <f t="shared" si="51"/>
        <v>Vincenzo Annese</v>
      </c>
      <c r="C3297" s="1402" t="s">
        <v>15162</v>
      </c>
      <c r="D3297" s="1403" t="s">
        <v>3163</v>
      </c>
      <c r="E3297" s="1404" t="s">
        <v>15164</v>
      </c>
      <c r="F3297" s="1405" t="s">
        <v>5300</v>
      </c>
      <c r="G3297" s="1403" t="s">
        <v>10274</v>
      </c>
      <c r="H3297" s="1406" t="s">
        <v>1037</v>
      </c>
    </row>
    <row r="3298" spans="1:8" x14ac:dyDescent="0.2">
      <c r="A3298" s="7"/>
      <c r="B3298" s="1407" t="str">
        <f t="shared" si="51"/>
        <v>Lorenzo Buono</v>
      </c>
      <c r="C3298" s="1402" t="s">
        <v>6376</v>
      </c>
      <c r="D3298" s="1403" t="s">
        <v>3155</v>
      </c>
      <c r="E3298" s="1404" t="s">
        <v>15297</v>
      </c>
      <c r="F3298" s="1405" t="s">
        <v>1563</v>
      </c>
      <c r="G3298" s="1403" t="s">
        <v>10270</v>
      </c>
      <c r="H3298" s="1406" t="s">
        <v>1037</v>
      </c>
    </row>
    <row r="3299" spans="1:8" x14ac:dyDescent="0.2">
      <c r="A3299" s="7"/>
      <c r="B3299" s="1407" t="str">
        <f t="shared" si="51"/>
        <v>Gaetano Buono</v>
      </c>
      <c r="C3299" s="1402" t="s">
        <v>6376</v>
      </c>
      <c r="D3299" s="1403" t="s">
        <v>3100</v>
      </c>
      <c r="E3299" s="1404" t="s">
        <v>15296</v>
      </c>
      <c r="F3299" s="1405" t="s">
        <v>1563</v>
      </c>
      <c r="G3299" s="1403" t="s">
        <v>10270</v>
      </c>
      <c r="H3299" s="1406" t="s">
        <v>1037</v>
      </c>
    </row>
    <row r="3300" spans="1:8" x14ac:dyDescent="0.2">
      <c r="A3300" s="7"/>
      <c r="B3300" s="1407" t="str">
        <f t="shared" si="51"/>
        <v>Fabrizio Carnino</v>
      </c>
      <c r="C3300" s="1402" t="s">
        <v>15326</v>
      </c>
      <c r="D3300" s="1403" t="s">
        <v>3087</v>
      </c>
      <c r="E3300" s="1404" t="s">
        <v>15327</v>
      </c>
      <c r="F3300" s="1405" t="s">
        <v>5300</v>
      </c>
      <c r="G3300" s="1403" t="s">
        <v>7878</v>
      </c>
      <c r="H3300" s="1406" t="s">
        <v>1037</v>
      </c>
    </row>
    <row r="3301" spans="1:8" x14ac:dyDescent="0.2">
      <c r="A3301" s="7"/>
      <c r="B3301" s="1407" t="str">
        <f t="shared" si="51"/>
        <v>Nicola Carnino</v>
      </c>
      <c r="C3301" s="1402" t="s">
        <v>15326</v>
      </c>
      <c r="D3301" s="1403" t="s">
        <v>3191</v>
      </c>
      <c r="E3301" s="1404" t="s">
        <v>15328</v>
      </c>
      <c r="F3301" s="1405" t="s">
        <v>1563</v>
      </c>
      <c r="G3301" s="1403" t="s">
        <v>7878</v>
      </c>
      <c r="H3301" s="1406" t="s">
        <v>1037</v>
      </c>
    </row>
    <row r="3302" spans="1:8" x14ac:dyDescent="0.2">
      <c r="A3302" s="7"/>
      <c r="B3302" s="1407" t="str">
        <f t="shared" si="51"/>
        <v>Stefano Raponi</v>
      </c>
      <c r="C3302" s="1402" t="s">
        <v>16115</v>
      </c>
      <c r="D3302" s="1403" t="s">
        <v>3062</v>
      </c>
      <c r="E3302" s="1404" t="s">
        <v>16116</v>
      </c>
      <c r="F3302" s="1405" t="s">
        <v>13211</v>
      </c>
      <c r="G3302" s="1403" t="s">
        <v>11327</v>
      </c>
      <c r="H3302" s="1406" t="s">
        <v>1037</v>
      </c>
    </row>
    <row r="3303" spans="1:8" x14ac:dyDescent="0.2">
      <c r="A3303" s="7"/>
      <c r="B3303" s="1407" t="str">
        <f t="shared" si="51"/>
        <v>Pierluigi Panella</v>
      </c>
      <c r="C3303" s="1402" t="s">
        <v>15984</v>
      </c>
      <c r="D3303" s="1403" t="s">
        <v>3549</v>
      </c>
      <c r="E3303" s="1404" t="s">
        <v>15986</v>
      </c>
      <c r="F3303" s="1405" t="s">
        <v>5300</v>
      </c>
      <c r="G3303" s="1403" t="s">
        <v>11327</v>
      </c>
      <c r="H3303" s="1406" t="s">
        <v>1037</v>
      </c>
    </row>
    <row r="3304" spans="1:8" x14ac:dyDescent="0.2">
      <c r="A3304" s="7"/>
      <c r="B3304" s="1407" t="str">
        <f t="shared" si="51"/>
        <v>Nicola Mariconda</v>
      </c>
      <c r="C3304" s="1402" t="s">
        <v>15857</v>
      </c>
      <c r="D3304" s="1403" t="s">
        <v>3191</v>
      </c>
      <c r="E3304" s="1404" t="s">
        <v>15858</v>
      </c>
      <c r="F3304" s="1405" t="s">
        <v>5299</v>
      </c>
      <c r="G3304" s="1403" t="s">
        <v>13312</v>
      </c>
      <c r="H3304" s="1406" t="s">
        <v>1037</v>
      </c>
    </row>
    <row r="3305" spans="1:8" x14ac:dyDescent="0.2">
      <c r="A3305" s="7"/>
      <c r="B3305" s="1407" t="str">
        <f t="shared" si="51"/>
        <v>Massimo Inverardi</v>
      </c>
      <c r="C3305" s="1402" t="s">
        <v>15698</v>
      </c>
      <c r="D3305" s="1403" t="s">
        <v>3013</v>
      </c>
      <c r="E3305" s="1404" t="s">
        <v>15699</v>
      </c>
      <c r="F3305" s="1405" t="s">
        <v>5300</v>
      </c>
      <c r="G3305" s="1403" t="s">
        <v>2780</v>
      </c>
      <c r="H3305" s="1406" t="s">
        <v>1037</v>
      </c>
    </row>
    <row r="3306" spans="1:8" x14ac:dyDescent="0.2">
      <c r="A3306" s="7"/>
      <c r="B3306" s="1407" t="str">
        <f t="shared" si="51"/>
        <v>Giuseppe Gazzaniga</v>
      </c>
      <c r="C3306" s="1402" t="s">
        <v>15597</v>
      </c>
      <c r="D3306" s="1403" t="s">
        <v>3122</v>
      </c>
      <c r="E3306" s="1404" t="s">
        <v>15599</v>
      </c>
      <c r="F3306" s="1405" t="s">
        <v>5300</v>
      </c>
      <c r="G3306" s="1403" t="s">
        <v>2780</v>
      </c>
      <c r="H3306" s="1406" t="s">
        <v>1037</v>
      </c>
    </row>
    <row r="3307" spans="1:8" x14ac:dyDescent="0.2">
      <c r="A3307" s="7"/>
      <c r="B3307" s="1407" t="str">
        <f t="shared" si="51"/>
        <v>Daniele Gazzaniga</v>
      </c>
      <c r="C3307" s="1402" t="s">
        <v>15597</v>
      </c>
      <c r="D3307" s="1403" t="s">
        <v>3022</v>
      </c>
      <c r="E3307" s="1404" t="s">
        <v>15598</v>
      </c>
      <c r="F3307" s="1405" t="s">
        <v>5300</v>
      </c>
      <c r="G3307" s="1403" t="s">
        <v>2780</v>
      </c>
      <c r="H3307" s="1406" t="s">
        <v>1037</v>
      </c>
    </row>
    <row r="3308" spans="1:8" x14ac:dyDescent="0.2">
      <c r="A3308" s="7"/>
      <c r="B3308" s="1407" t="str">
        <f t="shared" si="51"/>
        <v>Andrea Testa</v>
      </c>
      <c r="C3308" s="1402" t="s">
        <v>6559</v>
      </c>
      <c r="D3308" s="1403" t="s">
        <v>3027</v>
      </c>
      <c r="E3308" s="1404" t="s">
        <v>11408</v>
      </c>
      <c r="F3308" s="1405" t="s">
        <v>5300</v>
      </c>
      <c r="G3308" s="1403" t="s">
        <v>11328</v>
      </c>
      <c r="H3308" s="1406" t="s">
        <v>1037</v>
      </c>
    </row>
    <row r="3309" spans="1:8" x14ac:dyDescent="0.2">
      <c r="A3309" s="7"/>
      <c r="B3309" s="1407" t="str">
        <f t="shared" si="51"/>
        <v>Andrea Siculella</v>
      </c>
      <c r="C3309" s="1402" t="s">
        <v>16227</v>
      </c>
      <c r="D3309" s="1403" t="s">
        <v>3027</v>
      </c>
      <c r="E3309" s="1404" t="s">
        <v>16228</v>
      </c>
      <c r="F3309" s="1405" t="s">
        <v>5299</v>
      </c>
      <c r="G3309" s="1403" t="s">
        <v>14678</v>
      </c>
      <c r="H3309" s="1406" t="s">
        <v>1037</v>
      </c>
    </row>
    <row r="3310" spans="1:8" x14ac:dyDescent="0.2">
      <c r="A3310" s="7"/>
      <c r="B3310" s="1407" t="str">
        <f t="shared" si="51"/>
        <v>Maurizio Di Lorenzo</v>
      </c>
      <c r="C3310" s="1402" t="s">
        <v>14031</v>
      </c>
      <c r="D3310" s="1403" t="s">
        <v>3148</v>
      </c>
      <c r="E3310" s="1404" t="s">
        <v>15476</v>
      </c>
      <c r="F3310" s="1405" t="s">
        <v>5299</v>
      </c>
      <c r="G3310" s="1403" t="s">
        <v>15288</v>
      </c>
      <c r="H3310" s="1406" t="s">
        <v>1037</v>
      </c>
    </row>
    <row r="3311" spans="1:8" x14ac:dyDescent="0.2">
      <c r="A3311" s="7"/>
      <c r="B3311" s="1407" t="str">
        <f t="shared" si="51"/>
        <v>Francesco Palamara</v>
      </c>
      <c r="C3311" s="1402" t="s">
        <v>7996</v>
      </c>
      <c r="D3311" s="1403" t="s">
        <v>3277</v>
      </c>
      <c r="E3311" s="1404" t="s">
        <v>16972</v>
      </c>
      <c r="F3311" s="1405" t="s">
        <v>5300</v>
      </c>
      <c r="G3311" s="1403" t="s">
        <v>16490</v>
      </c>
      <c r="H3311" s="1406" t="s">
        <v>1037</v>
      </c>
    </row>
    <row r="3312" spans="1:8" x14ac:dyDescent="0.2">
      <c r="A3312" s="7"/>
      <c r="B3312" s="1407" t="str">
        <f t="shared" si="51"/>
        <v>Teo Peretti</v>
      </c>
      <c r="C3312" s="1402" t="s">
        <v>16025</v>
      </c>
      <c r="D3312" s="1403" t="s">
        <v>16026</v>
      </c>
      <c r="E3312" s="1404" t="s">
        <v>15981</v>
      </c>
      <c r="F3312" s="1405" t="s">
        <v>1563</v>
      </c>
      <c r="G3312" s="1403" t="s">
        <v>9702</v>
      </c>
      <c r="H3312" s="1406" t="s">
        <v>1037</v>
      </c>
    </row>
    <row r="3313" spans="1:8" x14ac:dyDescent="0.2">
      <c r="A3313" s="7"/>
      <c r="B3313" s="1407" t="str">
        <f t="shared" si="51"/>
        <v>Pasquale Naso</v>
      </c>
      <c r="C3313" s="1402" t="s">
        <v>15946</v>
      </c>
      <c r="D3313" s="1403" t="s">
        <v>3548</v>
      </c>
      <c r="E3313" s="1404" t="s">
        <v>15947</v>
      </c>
      <c r="F3313" s="1405" t="s">
        <v>5299</v>
      </c>
      <c r="G3313" s="1403" t="s">
        <v>16490</v>
      </c>
      <c r="H3313" s="1406" t="s">
        <v>1037</v>
      </c>
    </row>
    <row r="3314" spans="1:8" x14ac:dyDescent="0.2">
      <c r="A3314" s="7"/>
      <c r="B3314" s="1407" t="str">
        <f t="shared" si="51"/>
        <v>Orazio Santoro</v>
      </c>
      <c r="C3314" s="1402" t="s">
        <v>16189</v>
      </c>
      <c r="D3314" s="1403" t="s">
        <v>16190</v>
      </c>
      <c r="E3314" s="1404" t="s">
        <v>16191</v>
      </c>
      <c r="F3314" s="1405" t="s">
        <v>5299</v>
      </c>
      <c r="G3314" s="1403" t="s">
        <v>16490</v>
      </c>
      <c r="H3314" s="1406" t="s">
        <v>1037</v>
      </c>
    </row>
    <row r="3315" spans="1:8" x14ac:dyDescent="0.2">
      <c r="A3315" s="7"/>
      <c r="B3315" s="1407" t="str">
        <f t="shared" si="51"/>
        <v>Antonino Criserà</v>
      </c>
      <c r="C3315" s="1402" t="s">
        <v>15401</v>
      </c>
      <c r="D3315" s="1403" t="s">
        <v>6997</v>
      </c>
      <c r="E3315" s="1404" t="s">
        <v>15402</v>
      </c>
      <c r="F3315" s="1405" t="s">
        <v>5300</v>
      </c>
      <c r="G3315" s="1403" t="s">
        <v>16490</v>
      </c>
      <c r="H3315" s="1406" t="s">
        <v>1037</v>
      </c>
    </row>
    <row r="3316" spans="1:8" x14ac:dyDescent="0.2">
      <c r="A3316" s="7"/>
      <c r="B3316" s="1407" t="str">
        <f t="shared" si="51"/>
        <v>Massimo Averna</v>
      </c>
      <c r="C3316" s="1402" t="s">
        <v>15184</v>
      </c>
      <c r="D3316" s="1403" t="s">
        <v>3013</v>
      </c>
      <c r="E3316" s="1404" t="s">
        <v>15188</v>
      </c>
      <c r="F3316" s="1405" t="s">
        <v>5300</v>
      </c>
      <c r="G3316" s="1403" t="s">
        <v>16490</v>
      </c>
      <c r="H3316" s="1406" t="s">
        <v>1037</v>
      </c>
    </row>
    <row r="3317" spans="1:8" x14ac:dyDescent="0.2">
      <c r="A3317" s="7"/>
      <c r="B3317" s="1407" t="str">
        <f t="shared" si="51"/>
        <v>Marco Averna</v>
      </c>
      <c r="C3317" s="1402" t="s">
        <v>15184</v>
      </c>
      <c r="D3317" s="1403" t="s">
        <v>3109</v>
      </c>
      <c r="E3317" s="1404" t="s">
        <v>15187</v>
      </c>
      <c r="F3317" s="1405" t="s">
        <v>1563</v>
      </c>
      <c r="G3317" s="1403" t="s">
        <v>16490</v>
      </c>
      <c r="H3317" s="1406" t="s">
        <v>1037</v>
      </c>
    </row>
    <row r="3318" spans="1:8" x14ac:dyDescent="0.2">
      <c r="A3318" s="7"/>
      <c r="B3318" s="1407" t="str">
        <f t="shared" si="51"/>
        <v>Dafne Averna</v>
      </c>
      <c r="C3318" s="1402" t="s">
        <v>15184</v>
      </c>
      <c r="D3318" s="1403" t="s">
        <v>15185</v>
      </c>
      <c r="E3318" s="1404" t="s">
        <v>15186</v>
      </c>
      <c r="F3318" s="1405" t="s">
        <v>1563</v>
      </c>
      <c r="G3318" s="1403" t="s">
        <v>16490</v>
      </c>
      <c r="H3318" s="1406" t="s">
        <v>1037</v>
      </c>
    </row>
    <row r="3319" spans="1:8" x14ac:dyDescent="0.2">
      <c r="A3319" s="7"/>
      <c r="B3319" s="1407" t="str">
        <f t="shared" si="51"/>
        <v>Giuseppe Crupi</v>
      </c>
      <c r="C3319" s="1402" t="s">
        <v>15405</v>
      </c>
      <c r="D3319" s="1403" t="s">
        <v>3122</v>
      </c>
      <c r="E3319" s="1404" t="s">
        <v>15407</v>
      </c>
      <c r="F3319" s="1405" t="s">
        <v>5299</v>
      </c>
      <c r="G3319" s="1403" t="s">
        <v>16490</v>
      </c>
      <c r="H3319" s="1406" t="s">
        <v>1037</v>
      </c>
    </row>
    <row r="3320" spans="1:8" x14ac:dyDescent="0.2">
      <c r="A3320" s="7"/>
      <c r="B3320" s="1407" t="str">
        <f t="shared" si="51"/>
        <v>Gianluca Crupi</v>
      </c>
      <c r="C3320" s="1402" t="s">
        <v>15405</v>
      </c>
      <c r="D3320" s="1403" t="s">
        <v>3369</v>
      </c>
      <c r="E3320" s="1404" t="s">
        <v>15406</v>
      </c>
      <c r="F3320" s="1405" t="s">
        <v>5299</v>
      </c>
      <c r="G3320" s="1403" t="s">
        <v>16490</v>
      </c>
      <c r="H3320" s="1406" t="s">
        <v>1037</v>
      </c>
    </row>
    <row r="3321" spans="1:8" x14ac:dyDescent="0.2">
      <c r="A3321" s="7"/>
      <c r="B3321" s="1407" t="str">
        <f t="shared" si="51"/>
        <v>Giuseppina Grillo</v>
      </c>
      <c r="C3321" s="1402" t="s">
        <v>6626</v>
      </c>
      <c r="D3321" s="1403" t="s">
        <v>15627</v>
      </c>
      <c r="E3321" s="1404" t="s">
        <v>15628</v>
      </c>
      <c r="F3321" s="1405" t="s">
        <v>5300</v>
      </c>
      <c r="G3321" s="1403" t="s">
        <v>16490</v>
      </c>
      <c r="H3321" s="1406" t="s">
        <v>1037</v>
      </c>
    </row>
    <row r="3322" spans="1:8" x14ac:dyDescent="0.2">
      <c r="A3322" s="7"/>
      <c r="B3322" s="1407" t="str">
        <f t="shared" si="51"/>
        <v>Massimiliano Ontani</v>
      </c>
      <c r="C3322" s="1402" t="s">
        <v>15964</v>
      </c>
      <c r="D3322" s="1403" t="s">
        <v>3023</v>
      </c>
      <c r="E3322" s="1404" t="s">
        <v>15965</v>
      </c>
      <c r="F3322" s="1405" t="s">
        <v>5300</v>
      </c>
      <c r="G3322" s="1403" t="s">
        <v>9699</v>
      </c>
      <c r="H3322" s="1406" t="s">
        <v>1037</v>
      </c>
    </row>
    <row r="3323" spans="1:8" x14ac:dyDescent="0.2">
      <c r="A3323" s="7"/>
      <c r="B3323" s="1407" t="str">
        <f t="shared" si="51"/>
        <v>Nicola Annese</v>
      </c>
      <c r="C3323" s="1402" t="s">
        <v>15162</v>
      </c>
      <c r="D3323" s="1403" t="s">
        <v>3191</v>
      </c>
      <c r="E3323" s="1404" t="s">
        <v>15163</v>
      </c>
      <c r="F3323" s="1405" t="s">
        <v>13210</v>
      </c>
      <c r="G3323" s="1403" t="s">
        <v>10274</v>
      </c>
      <c r="H3323" s="1406" t="s">
        <v>1037</v>
      </c>
    </row>
    <row r="3324" spans="1:8" x14ac:dyDescent="0.2">
      <c r="A3324" s="7"/>
      <c r="B3324" s="1407" t="str">
        <f t="shared" si="51"/>
        <v>Antonio Martinelli</v>
      </c>
      <c r="C3324" s="1402" t="s">
        <v>15866</v>
      </c>
      <c r="D3324" s="1403" t="s">
        <v>3341</v>
      </c>
      <c r="E3324" s="1404" t="s">
        <v>15867</v>
      </c>
      <c r="F3324" s="1405" t="s">
        <v>1563</v>
      </c>
      <c r="G3324" s="1403" t="s">
        <v>10274</v>
      </c>
      <c r="H3324" s="1406" t="s">
        <v>1037</v>
      </c>
    </row>
    <row r="3325" spans="1:8" x14ac:dyDescent="0.2">
      <c r="A3325" s="7"/>
      <c r="B3325" s="1407" t="str">
        <f t="shared" si="51"/>
        <v>Daniele Salatino</v>
      </c>
      <c r="C3325" s="1402" t="s">
        <v>16162</v>
      </c>
      <c r="D3325" s="1403" t="s">
        <v>3022</v>
      </c>
      <c r="E3325" s="1404" t="s">
        <v>16164</v>
      </c>
      <c r="F3325" s="1405" t="s">
        <v>1563</v>
      </c>
      <c r="G3325" s="1403" t="s">
        <v>10274</v>
      </c>
      <c r="H3325" s="1406" t="s">
        <v>1037</v>
      </c>
    </row>
    <row r="3326" spans="1:8" x14ac:dyDescent="0.2">
      <c r="A3326" s="7"/>
      <c r="B3326" s="1407" t="str">
        <f t="shared" si="51"/>
        <v>Paolo Panella</v>
      </c>
      <c r="C3326" s="1402" t="s">
        <v>15984</v>
      </c>
      <c r="D3326" s="1403" t="s">
        <v>3119</v>
      </c>
      <c r="E3326" s="1404" t="s">
        <v>15985</v>
      </c>
      <c r="F3326" s="1405" t="s">
        <v>5300</v>
      </c>
      <c r="G3326" s="1403" t="s">
        <v>11327</v>
      </c>
      <c r="H3326" s="1406" t="s">
        <v>1037</v>
      </c>
    </row>
    <row r="3327" spans="1:8" x14ac:dyDescent="0.2">
      <c r="A3327" s="7"/>
      <c r="B3327" s="1407" t="str">
        <f t="shared" si="51"/>
        <v>Marco Mastrobuono</v>
      </c>
      <c r="C3327" s="1402" t="s">
        <v>15876</v>
      </c>
      <c r="D3327" s="1403" t="s">
        <v>3109</v>
      </c>
      <c r="E3327" s="1404" t="s">
        <v>15877</v>
      </c>
      <c r="F3327" s="1405" t="s">
        <v>13211</v>
      </c>
      <c r="G3327" s="1403" t="s">
        <v>2765</v>
      </c>
      <c r="H3327" s="1406" t="s">
        <v>1037</v>
      </c>
    </row>
    <row r="3328" spans="1:8" x14ac:dyDescent="0.2">
      <c r="A3328" s="7"/>
      <c r="B3328" s="1407" t="str">
        <f t="shared" si="51"/>
        <v>Elio Salvadori</v>
      </c>
      <c r="C3328" s="1402" t="s">
        <v>16165</v>
      </c>
      <c r="D3328" s="1403" t="s">
        <v>15448</v>
      </c>
      <c r="E3328" s="1404" t="s">
        <v>16166</v>
      </c>
      <c r="F3328" s="1405" t="s">
        <v>5300</v>
      </c>
      <c r="G3328" s="1403" t="s">
        <v>5551</v>
      </c>
      <c r="H3328" s="1406" t="s">
        <v>1037</v>
      </c>
    </row>
    <row r="3329" spans="1:8" x14ac:dyDescent="0.2">
      <c r="A3329" s="7"/>
      <c r="B3329" s="1407" t="str">
        <f t="shared" si="51"/>
        <v>Marcello D'adamo</v>
      </c>
      <c r="C3329" s="1402" t="s">
        <v>15409</v>
      </c>
      <c r="D3329" s="1403" t="s">
        <v>3258</v>
      </c>
      <c r="E3329" s="1404" t="s">
        <v>15410</v>
      </c>
      <c r="F3329" s="1405" t="s">
        <v>5300</v>
      </c>
      <c r="G3329" s="1403" t="s">
        <v>5551</v>
      </c>
      <c r="H3329" s="1406" t="s">
        <v>1037</v>
      </c>
    </row>
    <row r="3330" spans="1:8" x14ac:dyDescent="0.2">
      <c r="A3330" s="7"/>
      <c r="B3330" s="1407" t="str">
        <f t="shared" si="51"/>
        <v>Pierluigi Pugliano</v>
      </c>
      <c r="C3330" s="1402" t="s">
        <v>16092</v>
      </c>
      <c r="D3330" s="1403" t="s">
        <v>3549</v>
      </c>
      <c r="E3330" s="1404" t="s">
        <v>16093</v>
      </c>
      <c r="F3330" s="1405" t="s">
        <v>5300</v>
      </c>
      <c r="G3330" s="1403" t="s">
        <v>5551</v>
      </c>
      <c r="H3330" s="1406" t="s">
        <v>1037</v>
      </c>
    </row>
    <row r="3331" spans="1:8" x14ac:dyDescent="0.2">
      <c r="A3331" s="7"/>
      <c r="B3331" s="1407" t="str">
        <f t="shared" si="51"/>
        <v>Stefano Crocetti</v>
      </c>
      <c r="C3331" s="1402" t="s">
        <v>15403</v>
      </c>
      <c r="D3331" s="1403" t="s">
        <v>3062</v>
      </c>
      <c r="E3331" s="1404" t="s">
        <v>15404</v>
      </c>
      <c r="F3331" s="1405" t="s">
        <v>5300</v>
      </c>
      <c r="G3331" s="1403" t="s">
        <v>5551</v>
      </c>
      <c r="H3331" s="1406" t="s">
        <v>1037</v>
      </c>
    </row>
    <row r="3332" spans="1:8" x14ac:dyDescent="0.2">
      <c r="A3332" s="7"/>
      <c r="B3332" s="1407" t="str">
        <f t="shared" si="51"/>
        <v>Luciano Bonardi</v>
      </c>
      <c r="C3332" s="1402" t="s">
        <v>15261</v>
      </c>
      <c r="D3332" s="1403" t="s">
        <v>5577</v>
      </c>
      <c r="E3332" s="1404" t="s">
        <v>15262</v>
      </c>
      <c r="F3332" s="1405" t="s">
        <v>5300</v>
      </c>
      <c r="G3332" s="1403" t="s">
        <v>16477</v>
      </c>
      <c r="H3332" s="1406" t="s">
        <v>1037</v>
      </c>
    </row>
    <row r="3333" spans="1:8" x14ac:dyDescent="0.2">
      <c r="A3333" s="7"/>
      <c r="B3333" s="1407" t="str">
        <f t="shared" si="51"/>
        <v>Giulio Ladetto Sassetti</v>
      </c>
      <c r="C3333" s="1402" t="s">
        <v>10032</v>
      </c>
      <c r="D3333" s="1403" t="s">
        <v>16199</v>
      </c>
      <c r="E3333" s="1404" t="s">
        <v>16200</v>
      </c>
      <c r="F3333" s="1405" t="s">
        <v>1563</v>
      </c>
      <c r="G3333" s="1403" t="s">
        <v>11325</v>
      </c>
      <c r="H3333" s="1406" t="s">
        <v>1037</v>
      </c>
    </row>
    <row r="3334" spans="1:8" x14ac:dyDescent="0.2">
      <c r="A3334" s="7"/>
      <c r="B3334" s="1407" t="str">
        <f t="shared" si="51"/>
        <v>Davide Lari</v>
      </c>
      <c r="C3334" s="1402" t="s">
        <v>15785</v>
      </c>
      <c r="D3334" s="1403" t="s">
        <v>3329</v>
      </c>
      <c r="E3334" s="1404" t="s">
        <v>15786</v>
      </c>
      <c r="F3334" s="1405" t="s">
        <v>13211</v>
      </c>
      <c r="G3334" s="1403" t="s">
        <v>11325</v>
      </c>
      <c r="H3334" s="1406" t="s">
        <v>1037</v>
      </c>
    </row>
    <row r="3335" spans="1:8" x14ac:dyDescent="0.2">
      <c r="A3335" s="7"/>
      <c r="B3335" s="1407" t="str">
        <f t="shared" ref="B3335:B3398" si="52">TRIM(CONCATENATE(D3335," ",C3335))</f>
        <v>Fabio Venanzi</v>
      </c>
      <c r="C3335" s="1402" t="s">
        <v>16318</v>
      </c>
      <c r="D3335" s="1403" t="s">
        <v>3133</v>
      </c>
      <c r="E3335" s="1404" t="s">
        <v>16319</v>
      </c>
      <c r="F3335" s="1405" t="s">
        <v>5299</v>
      </c>
      <c r="G3335" s="1403" t="s">
        <v>11468</v>
      </c>
      <c r="H3335" s="1406" t="s">
        <v>1037</v>
      </c>
    </row>
    <row r="3336" spans="1:8" x14ac:dyDescent="0.2">
      <c r="A3336" s="7"/>
      <c r="B3336" s="1407" t="str">
        <f t="shared" si="52"/>
        <v>Pietro Ludovici</v>
      </c>
      <c r="C3336" s="1402" t="s">
        <v>15830</v>
      </c>
      <c r="D3336" s="1403" t="s">
        <v>3233</v>
      </c>
      <c r="E3336" s="1404" t="s">
        <v>15832</v>
      </c>
      <c r="F3336" s="1405" t="s">
        <v>13211</v>
      </c>
      <c r="G3336" s="1403" t="s">
        <v>11468</v>
      </c>
      <c r="H3336" s="1406" t="s">
        <v>1037</v>
      </c>
    </row>
    <row r="3337" spans="1:8" x14ac:dyDescent="0.2">
      <c r="A3337" s="7"/>
      <c r="B3337" s="1407" t="str">
        <f t="shared" si="52"/>
        <v>Matteo Ludovici</v>
      </c>
      <c r="C3337" s="1402" t="s">
        <v>15830</v>
      </c>
      <c r="D3337" s="1403" t="s">
        <v>3200</v>
      </c>
      <c r="E3337" s="1404" t="s">
        <v>15831</v>
      </c>
      <c r="F3337" s="1405" t="s">
        <v>13211</v>
      </c>
      <c r="G3337" s="1403" t="s">
        <v>11468</v>
      </c>
      <c r="H3337" s="1406" t="s">
        <v>1037</v>
      </c>
    </row>
    <row r="3338" spans="1:8" x14ac:dyDescent="0.2">
      <c r="A3338" s="7"/>
      <c r="B3338" s="1407" t="str">
        <f t="shared" si="52"/>
        <v>Carlo Cantalini</v>
      </c>
      <c r="C3338" s="1402" t="s">
        <v>15311</v>
      </c>
      <c r="D3338" s="1403" t="s">
        <v>3266</v>
      </c>
      <c r="E3338" s="1404" t="s">
        <v>15312</v>
      </c>
      <c r="F3338" s="1405" t="s">
        <v>1563</v>
      </c>
      <c r="G3338" s="1403" t="s">
        <v>11468</v>
      </c>
      <c r="H3338" s="1406" t="s">
        <v>1037</v>
      </c>
    </row>
    <row r="3339" spans="1:8" x14ac:dyDescent="0.2">
      <c r="A3339" s="7"/>
      <c r="B3339" s="1407" t="str">
        <f t="shared" si="52"/>
        <v>Nicolò Valentini</v>
      </c>
      <c r="C3339" s="1402" t="s">
        <v>16311</v>
      </c>
      <c r="D3339" s="1403" t="s">
        <v>13997</v>
      </c>
      <c r="E3339" s="1404" t="s">
        <v>16312</v>
      </c>
      <c r="F3339" s="1405" t="s">
        <v>13211</v>
      </c>
      <c r="G3339" s="1403" t="s">
        <v>11468</v>
      </c>
      <c r="H3339" s="1406" t="s">
        <v>1037</v>
      </c>
    </row>
    <row r="3340" spans="1:8" x14ac:dyDescent="0.2">
      <c r="A3340" s="7"/>
      <c r="B3340" s="1407" t="str">
        <f t="shared" si="52"/>
        <v>Alfredo Caprioli</v>
      </c>
      <c r="C3340" s="1402" t="s">
        <v>15316</v>
      </c>
      <c r="D3340" s="1403" t="s">
        <v>3587</v>
      </c>
      <c r="E3340" s="1404" t="s">
        <v>15317</v>
      </c>
      <c r="F3340" s="1405" t="s">
        <v>5300</v>
      </c>
      <c r="G3340" s="1403" t="s">
        <v>11330</v>
      </c>
      <c r="H3340" s="1406" t="s">
        <v>1037</v>
      </c>
    </row>
    <row r="3341" spans="1:8" x14ac:dyDescent="0.2">
      <c r="A3341" s="7"/>
      <c r="B3341" s="1407" t="str">
        <f t="shared" si="52"/>
        <v>Stefano Toschi</v>
      </c>
      <c r="C3341" s="1402" t="s">
        <v>16303</v>
      </c>
      <c r="D3341" s="1403" t="s">
        <v>3062</v>
      </c>
      <c r="E3341" s="1404" t="s">
        <v>16304</v>
      </c>
      <c r="F3341" s="1405" t="s">
        <v>5300</v>
      </c>
      <c r="G3341" s="1403" t="s">
        <v>16488</v>
      </c>
      <c r="H3341" s="1406" t="s">
        <v>1037</v>
      </c>
    </row>
    <row r="3342" spans="1:8" x14ac:dyDescent="0.2">
      <c r="A3342" s="7"/>
      <c r="B3342" s="1407" t="str">
        <f t="shared" si="52"/>
        <v>Massimo Paoletti</v>
      </c>
      <c r="C3342" s="1402" t="s">
        <v>15988</v>
      </c>
      <c r="D3342" s="1403" t="s">
        <v>3013</v>
      </c>
      <c r="E3342" s="1404" t="s">
        <v>15989</v>
      </c>
      <c r="F3342" s="1405" t="s">
        <v>5300</v>
      </c>
      <c r="G3342" s="1403" t="s">
        <v>2761</v>
      </c>
      <c r="H3342" s="1406" t="s">
        <v>1037</v>
      </c>
    </row>
    <row r="3343" spans="1:8" x14ac:dyDescent="0.2">
      <c r="A3343" s="7"/>
      <c r="B3343" s="1407" t="str">
        <f t="shared" si="52"/>
        <v>Roberto Buscicchio</v>
      </c>
      <c r="C3343" s="1402" t="s">
        <v>15298</v>
      </c>
      <c r="D3343" s="1403" t="s">
        <v>3279</v>
      </c>
      <c r="E3343" s="1404" t="s">
        <v>15299</v>
      </c>
      <c r="F3343" s="1405" t="s">
        <v>5300</v>
      </c>
      <c r="G3343" s="1403" t="s">
        <v>10274</v>
      </c>
      <c r="H3343" s="1406" t="s">
        <v>1037</v>
      </c>
    </row>
    <row r="3344" spans="1:8" x14ac:dyDescent="0.2">
      <c r="A3344" s="7"/>
      <c r="B3344" s="1407" t="str">
        <f t="shared" si="52"/>
        <v>Luigi Spezzacatene</v>
      </c>
      <c r="C3344" s="1402" t="s">
        <v>16252</v>
      </c>
      <c r="D3344" s="1403" t="s">
        <v>3339</v>
      </c>
      <c r="E3344" s="1404" t="s">
        <v>16253</v>
      </c>
      <c r="F3344" s="1405" t="s">
        <v>5300</v>
      </c>
      <c r="G3344" s="1403" t="s">
        <v>10274</v>
      </c>
      <c r="H3344" s="1406" t="s">
        <v>1037</v>
      </c>
    </row>
    <row r="3345" spans="1:8" x14ac:dyDescent="0.2">
      <c r="A3345" s="7"/>
      <c r="B3345" s="1407" t="str">
        <f t="shared" si="52"/>
        <v>Riccardo Pietrafusa</v>
      </c>
      <c r="C3345" s="1402" t="s">
        <v>16052</v>
      </c>
      <c r="D3345" s="1403" t="s">
        <v>3270</v>
      </c>
      <c r="E3345" s="1404" t="s">
        <v>16053</v>
      </c>
      <c r="F3345" s="1405" t="s">
        <v>5300</v>
      </c>
      <c r="G3345" s="1403" t="s">
        <v>10274</v>
      </c>
      <c r="H3345" s="1406" t="s">
        <v>1037</v>
      </c>
    </row>
    <row r="3346" spans="1:8" x14ac:dyDescent="0.2">
      <c r="A3346" s="7"/>
      <c r="B3346" s="1407" t="str">
        <f t="shared" si="52"/>
        <v>Mauro Frascaroli</v>
      </c>
      <c r="C3346" s="1402" t="s">
        <v>15568</v>
      </c>
      <c r="D3346" s="1403" t="s">
        <v>3204</v>
      </c>
      <c r="E3346" s="1404" t="s">
        <v>15569</v>
      </c>
      <c r="F3346" s="1405" t="s">
        <v>5300</v>
      </c>
      <c r="G3346" s="1403" t="s">
        <v>16483</v>
      </c>
      <c r="H3346" s="1406" t="s">
        <v>1037</v>
      </c>
    </row>
    <row r="3347" spans="1:8" x14ac:dyDescent="0.2">
      <c r="A3347" s="7"/>
      <c r="B3347" s="1407" t="str">
        <f t="shared" si="52"/>
        <v>Marco Podini</v>
      </c>
      <c r="C3347" s="1402" t="s">
        <v>16073</v>
      </c>
      <c r="D3347" s="1403" t="s">
        <v>3109</v>
      </c>
      <c r="E3347" s="1404" t="s">
        <v>16074</v>
      </c>
      <c r="F3347" s="1405" t="s">
        <v>5300</v>
      </c>
      <c r="G3347" s="1403" t="s">
        <v>16483</v>
      </c>
      <c r="H3347" s="1406" t="s">
        <v>1037</v>
      </c>
    </row>
    <row r="3348" spans="1:8" x14ac:dyDescent="0.2">
      <c r="A3348" s="7"/>
      <c r="B3348" s="1407" t="str">
        <f t="shared" si="52"/>
        <v>Gian Giuseppe Vigo</v>
      </c>
      <c r="C3348" s="1402" t="s">
        <v>16331</v>
      </c>
      <c r="D3348" s="1403" t="s">
        <v>16332</v>
      </c>
      <c r="E3348" s="1404" t="s">
        <v>16333</v>
      </c>
      <c r="F3348" s="1405" t="s">
        <v>5300</v>
      </c>
      <c r="G3348" s="1403" t="s">
        <v>16483</v>
      </c>
      <c r="H3348" s="1406" t="s">
        <v>1037</v>
      </c>
    </row>
    <row r="3349" spans="1:8" x14ac:dyDescent="0.2">
      <c r="A3349" s="7"/>
      <c r="B3349" s="1407" t="str">
        <f t="shared" si="52"/>
        <v>Sergio Riscardi</v>
      </c>
      <c r="C3349" s="1402" t="s">
        <v>16130</v>
      </c>
      <c r="D3349" s="1403" t="s">
        <v>3064</v>
      </c>
      <c r="E3349" s="1404" t="s">
        <v>16131</v>
      </c>
      <c r="F3349" s="1405" t="s">
        <v>5300</v>
      </c>
      <c r="G3349" s="1403" t="s">
        <v>16483</v>
      </c>
      <c r="H3349" s="1406" t="s">
        <v>1037</v>
      </c>
    </row>
    <row r="3350" spans="1:8" x14ac:dyDescent="0.2">
      <c r="A3350" s="7"/>
      <c r="B3350" s="1407" t="str">
        <f t="shared" si="52"/>
        <v>Ferdinando Nicosia</v>
      </c>
      <c r="C3350" s="1402" t="s">
        <v>15949</v>
      </c>
      <c r="D3350" s="1403" t="s">
        <v>3049</v>
      </c>
      <c r="E3350" s="1404" t="s">
        <v>15950</v>
      </c>
      <c r="F3350" s="1405" t="s">
        <v>5299</v>
      </c>
      <c r="G3350" s="1403" t="s">
        <v>16483</v>
      </c>
      <c r="H3350" s="1406" t="s">
        <v>1037</v>
      </c>
    </row>
    <row r="3351" spans="1:8" x14ac:dyDescent="0.2">
      <c r="A3351" s="7"/>
      <c r="B3351" s="1407" t="str">
        <f t="shared" si="52"/>
        <v>Gianni Pagani</v>
      </c>
      <c r="C3351" s="1402" t="s">
        <v>15979</v>
      </c>
      <c r="D3351" s="1403" t="s">
        <v>7475</v>
      </c>
      <c r="E3351" s="1404" t="s">
        <v>15980</v>
      </c>
      <c r="F3351" s="1405" t="s">
        <v>5300</v>
      </c>
      <c r="G3351" s="1403" t="s">
        <v>2780</v>
      </c>
      <c r="H3351" s="1406" t="s">
        <v>1037</v>
      </c>
    </row>
    <row r="3352" spans="1:8" x14ac:dyDescent="0.2">
      <c r="A3352" s="7"/>
      <c r="B3352" s="1407" t="str">
        <f t="shared" si="52"/>
        <v>Pietro Megna</v>
      </c>
      <c r="C3352" s="1402" t="s">
        <v>15897</v>
      </c>
      <c r="D3352" s="1403" t="s">
        <v>3233</v>
      </c>
      <c r="E3352" s="1404" t="s">
        <v>15898</v>
      </c>
      <c r="F3352" s="1405" t="s">
        <v>5300</v>
      </c>
      <c r="G3352" s="1403" t="s">
        <v>2780</v>
      </c>
      <c r="H3352" s="1406" t="s">
        <v>1037</v>
      </c>
    </row>
    <row r="3353" spans="1:8" x14ac:dyDescent="0.2">
      <c r="A3353" s="7"/>
      <c r="B3353" s="1407" t="str">
        <f t="shared" si="52"/>
        <v>Salvatore Tarantino</v>
      </c>
      <c r="C3353" s="1402" t="s">
        <v>16285</v>
      </c>
      <c r="D3353" s="1403" t="s">
        <v>3265</v>
      </c>
      <c r="E3353" s="1404" t="s">
        <v>16286</v>
      </c>
      <c r="F3353" s="1405" t="s">
        <v>5300</v>
      </c>
      <c r="G3353" s="1403" t="s">
        <v>9700</v>
      </c>
      <c r="H3353" s="1406" t="s">
        <v>1037</v>
      </c>
    </row>
    <row r="3354" spans="1:8" x14ac:dyDescent="0.2">
      <c r="A3354" s="7"/>
      <c r="B3354" s="1407" t="str">
        <f t="shared" si="52"/>
        <v>Fabrizio Guarino</v>
      </c>
      <c r="C3354" s="1402" t="s">
        <v>9770</v>
      </c>
      <c r="D3354" s="1403" t="s">
        <v>3087</v>
      </c>
      <c r="E3354" s="1404" t="s">
        <v>15630</v>
      </c>
      <c r="F3354" s="1405" t="s">
        <v>5300</v>
      </c>
      <c r="G3354" s="1403" t="s">
        <v>9700</v>
      </c>
      <c r="H3354" s="1406" t="s">
        <v>1037</v>
      </c>
    </row>
    <row r="3355" spans="1:8" x14ac:dyDescent="0.2">
      <c r="A3355" s="7"/>
      <c r="B3355" s="1407" t="str">
        <f t="shared" si="52"/>
        <v>Luciano Lupo</v>
      </c>
      <c r="C3355" s="1402" t="s">
        <v>11205</v>
      </c>
      <c r="D3355" s="1403" t="s">
        <v>5577</v>
      </c>
      <c r="E3355" s="1404" t="s">
        <v>15834</v>
      </c>
      <c r="F3355" s="1405" t="s">
        <v>5300</v>
      </c>
      <c r="G3355" s="1403" t="s">
        <v>8865</v>
      </c>
      <c r="H3355" s="1406" t="s">
        <v>1037</v>
      </c>
    </row>
    <row r="3356" spans="1:8" x14ac:dyDescent="0.2">
      <c r="A3356" s="7"/>
      <c r="B3356" s="1407" t="str">
        <f t="shared" si="52"/>
        <v>Cristian Del Genovese</v>
      </c>
      <c r="C3356" s="1402" t="s">
        <v>11062</v>
      </c>
      <c r="D3356" s="1403" t="s">
        <v>3705</v>
      </c>
      <c r="E3356" s="1404" t="s">
        <v>15453</v>
      </c>
      <c r="F3356" s="1405" t="s">
        <v>1563</v>
      </c>
      <c r="G3356" s="1403" t="s">
        <v>11325</v>
      </c>
      <c r="H3356" s="1406" t="s">
        <v>1037</v>
      </c>
    </row>
    <row r="3357" spans="1:8" x14ac:dyDescent="0.2">
      <c r="A3357" s="7"/>
      <c r="B3357" s="1407" t="str">
        <f t="shared" si="52"/>
        <v>Edoardo Parrino</v>
      </c>
      <c r="C3357" s="1402" t="s">
        <v>15997</v>
      </c>
      <c r="D3357" s="1403" t="s">
        <v>3558</v>
      </c>
      <c r="E3357" s="1404" t="s">
        <v>15998</v>
      </c>
      <c r="F3357" s="1405" t="s">
        <v>13211</v>
      </c>
      <c r="G3357" s="1403" t="s">
        <v>11325</v>
      </c>
      <c r="H3357" s="1406" t="s">
        <v>1037</v>
      </c>
    </row>
    <row r="3358" spans="1:8" x14ac:dyDescent="0.2">
      <c r="A3358" s="7"/>
      <c r="B3358" s="1407" t="str">
        <f t="shared" si="52"/>
        <v>Davide Uva</v>
      </c>
      <c r="C3358" s="1402" t="s">
        <v>16309</v>
      </c>
      <c r="D3358" s="1403" t="s">
        <v>3329</v>
      </c>
      <c r="E3358" s="1404" t="s">
        <v>16310</v>
      </c>
      <c r="F3358" s="1405" t="s">
        <v>1563</v>
      </c>
      <c r="G3358" s="1403" t="s">
        <v>9702</v>
      </c>
      <c r="H3358" s="1406" t="s">
        <v>1037</v>
      </c>
    </row>
    <row r="3359" spans="1:8" x14ac:dyDescent="0.2">
      <c r="A3359" s="7"/>
      <c r="B3359" s="1407" t="str">
        <f t="shared" si="52"/>
        <v>Simone Pennati</v>
      </c>
      <c r="C3359" s="1402" t="s">
        <v>16023</v>
      </c>
      <c r="D3359" s="1403" t="s">
        <v>3158</v>
      </c>
      <c r="E3359" s="1404" t="s">
        <v>16024</v>
      </c>
      <c r="F3359" s="1405" t="s">
        <v>1563</v>
      </c>
      <c r="G3359" s="1403" t="s">
        <v>9702</v>
      </c>
      <c r="H3359" s="1406" t="s">
        <v>1037</v>
      </c>
    </row>
    <row r="3360" spans="1:8" x14ac:dyDescent="0.2">
      <c r="A3360" s="7"/>
      <c r="B3360" s="1407" t="str">
        <f t="shared" si="52"/>
        <v>Guglielmo Masserini</v>
      </c>
      <c r="C3360" s="1402" t="s">
        <v>15874</v>
      </c>
      <c r="D3360" s="1403" t="s">
        <v>14487</v>
      </c>
      <c r="E3360" s="1404" t="s">
        <v>15875</v>
      </c>
      <c r="F3360" s="1405" t="s">
        <v>5300</v>
      </c>
      <c r="G3360" s="1403" t="s">
        <v>11327</v>
      </c>
      <c r="H3360" s="1406" t="s">
        <v>1037</v>
      </c>
    </row>
    <row r="3361" spans="1:8" x14ac:dyDescent="0.2">
      <c r="A3361" s="7"/>
      <c r="B3361" s="1407" t="str">
        <f t="shared" si="52"/>
        <v>Martin Aliou Marlia</v>
      </c>
      <c r="C3361" s="1402" t="s">
        <v>15862</v>
      </c>
      <c r="D3361" s="1403" t="s">
        <v>15863</v>
      </c>
      <c r="E3361" s="1404" t="s">
        <v>15864</v>
      </c>
      <c r="F3361" s="1405" t="s">
        <v>1563</v>
      </c>
      <c r="G3361" s="1403" t="s">
        <v>11325</v>
      </c>
      <c r="H3361" s="1406" t="s">
        <v>1037</v>
      </c>
    </row>
    <row r="3362" spans="1:8" x14ac:dyDescent="0.2">
      <c r="A3362" s="7"/>
      <c r="B3362" s="1407" t="str">
        <f t="shared" si="52"/>
        <v>Giuseppe Mallardi</v>
      </c>
      <c r="C3362" s="1402" t="s">
        <v>15844</v>
      </c>
      <c r="D3362" s="1403" t="s">
        <v>3122</v>
      </c>
      <c r="E3362" s="1404" t="s">
        <v>15845</v>
      </c>
      <c r="F3362" s="1405" t="s">
        <v>5300</v>
      </c>
      <c r="G3362" s="1403" t="s">
        <v>10922</v>
      </c>
      <c r="H3362" s="1406" t="s">
        <v>1037</v>
      </c>
    </row>
    <row r="3363" spans="1:8" x14ac:dyDescent="0.2">
      <c r="A3363" s="7"/>
      <c r="B3363" s="1407" t="str">
        <f t="shared" si="52"/>
        <v>Massimo Veronelli</v>
      </c>
      <c r="C3363" s="1402" t="s">
        <v>16324</v>
      </c>
      <c r="D3363" s="1403" t="s">
        <v>3013</v>
      </c>
      <c r="E3363" s="1404" t="s">
        <v>16325</v>
      </c>
      <c r="F3363" s="1405" t="s">
        <v>5300</v>
      </c>
      <c r="G3363" s="1403" t="s">
        <v>16483</v>
      </c>
      <c r="H3363" s="1406" t="s">
        <v>1037</v>
      </c>
    </row>
    <row r="3364" spans="1:8" x14ac:dyDescent="0.2">
      <c r="A3364" s="7"/>
      <c r="B3364" s="1407" t="str">
        <f t="shared" si="52"/>
        <v>Pietro De Gennaro</v>
      </c>
      <c r="C3364" s="1402" t="s">
        <v>15433</v>
      </c>
      <c r="D3364" s="1403" t="s">
        <v>3233</v>
      </c>
      <c r="E3364" s="1404" t="s">
        <v>15434</v>
      </c>
      <c r="F3364" s="1405" t="s">
        <v>5299</v>
      </c>
      <c r="G3364" s="1403" t="s">
        <v>15245</v>
      </c>
      <c r="H3364" s="1406" t="s">
        <v>1037</v>
      </c>
    </row>
    <row r="3365" spans="1:8" x14ac:dyDescent="0.2">
      <c r="A3365" s="7"/>
      <c r="B3365" s="1407" t="str">
        <f t="shared" si="52"/>
        <v>Andrea Florita</v>
      </c>
      <c r="C3365" s="1402" t="s">
        <v>15556</v>
      </c>
      <c r="D3365" s="1403" t="s">
        <v>3027</v>
      </c>
      <c r="E3365" s="1404" t="s">
        <v>15557</v>
      </c>
      <c r="F3365" s="1405" t="s">
        <v>5300</v>
      </c>
      <c r="G3365" s="1403" t="s">
        <v>3614</v>
      </c>
      <c r="H3365" s="1406" t="s">
        <v>1037</v>
      </c>
    </row>
    <row r="3366" spans="1:8" x14ac:dyDescent="0.2">
      <c r="A3366" s="7"/>
      <c r="B3366" s="1407" t="str">
        <f t="shared" si="52"/>
        <v>Alessio Sanfilippo</v>
      </c>
      <c r="C3366" s="1402" t="s">
        <v>16173</v>
      </c>
      <c r="D3366" s="1403" t="s">
        <v>3550</v>
      </c>
      <c r="E3366" s="1404" t="s">
        <v>16174</v>
      </c>
      <c r="F3366" s="1405" t="s">
        <v>1563</v>
      </c>
      <c r="G3366" s="1403" t="s">
        <v>15290</v>
      </c>
      <c r="H3366" s="1406" t="s">
        <v>1037</v>
      </c>
    </row>
    <row r="3367" spans="1:8" x14ac:dyDescent="0.2">
      <c r="A3367" s="7"/>
      <c r="B3367" s="1407" t="str">
        <f t="shared" si="52"/>
        <v>Filippo Sottili</v>
      </c>
      <c r="C3367" s="1402" t="s">
        <v>16245</v>
      </c>
      <c r="D3367" s="1403" t="s">
        <v>3340</v>
      </c>
      <c r="E3367" s="1404" t="s">
        <v>16246</v>
      </c>
      <c r="F3367" s="1405" t="s">
        <v>13211</v>
      </c>
      <c r="G3367" s="1403" t="s">
        <v>9702</v>
      </c>
      <c r="H3367" s="1406" t="s">
        <v>1037</v>
      </c>
    </row>
    <row r="3368" spans="1:8" x14ac:dyDescent="0.2">
      <c r="A3368" s="7"/>
      <c r="B3368" s="1407" t="str">
        <f t="shared" si="52"/>
        <v>Fulvio Miotti</v>
      </c>
      <c r="C3368" s="1402" t="s">
        <v>15909</v>
      </c>
      <c r="D3368" s="1403" t="s">
        <v>15910</v>
      </c>
      <c r="E3368" s="1404" t="s">
        <v>15911</v>
      </c>
      <c r="F3368" s="1405" t="s">
        <v>5300</v>
      </c>
      <c r="G3368" s="1403" t="s">
        <v>11328</v>
      </c>
      <c r="H3368" s="1406" t="s">
        <v>1037</v>
      </c>
    </row>
    <row r="3369" spans="1:8" x14ac:dyDescent="0.2">
      <c r="A3369" s="7"/>
      <c r="B3369" s="1407" t="str">
        <f t="shared" si="52"/>
        <v>Aldo Francesco Petea</v>
      </c>
      <c r="C3369" s="1402" t="s">
        <v>16034</v>
      </c>
      <c r="D3369" s="1403" t="s">
        <v>16035</v>
      </c>
      <c r="E3369" s="1404" t="s">
        <v>16036</v>
      </c>
      <c r="F3369" s="1405" t="s">
        <v>1563</v>
      </c>
      <c r="G3369" s="1403" t="s">
        <v>2765</v>
      </c>
      <c r="H3369" s="1406" t="s">
        <v>1037</v>
      </c>
    </row>
    <row r="3370" spans="1:8" x14ac:dyDescent="0.2">
      <c r="A3370" s="7"/>
      <c r="B3370" s="1407" t="str">
        <f t="shared" si="52"/>
        <v>Francesco Rossi</v>
      </c>
      <c r="C3370" s="1402" t="s">
        <v>6532</v>
      </c>
      <c r="D3370" s="1403" t="s">
        <v>3277</v>
      </c>
      <c r="E3370" s="1404" t="s">
        <v>16145</v>
      </c>
      <c r="F3370" s="1405" t="s">
        <v>1563</v>
      </c>
      <c r="G3370" s="1403" t="s">
        <v>2765</v>
      </c>
      <c r="H3370" s="1406" t="s">
        <v>1037</v>
      </c>
    </row>
    <row r="3371" spans="1:8" x14ac:dyDescent="0.2">
      <c r="A3371" s="7"/>
      <c r="B3371" s="1407" t="str">
        <f t="shared" si="52"/>
        <v>Alessio Bottino</v>
      </c>
      <c r="C3371" s="1402" t="s">
        <v>15272</v>
      </c>
      <c r="D3371" s="1403" t="s">
        <v>3550</v>
      </c>
      <c r="E3371" s="1404" t="s">
        <v>15273</v>
      </c>
      <c r="F3371" s="1405" t="s">
        <v>1563</v>
      </c>
      <c r="G3371" s="1403" t="s">
        <v>2765</v>
      </c>
      <c r="H3371" s="1406" t="s">
        <v>1037</v>
      </c>
    </row>
    <row r="3372" spans="1:8" x14ac:dyDescent="0.2">
      <c r="A3372" s="7"/>
      <c r="B3372" s="1407" t="str">
        <f t="shared" si="52"/>
        <v>Luigi Abbenante</v>
      </c>
      <c r="C3372" s="1402" t="s">
        <v>15136</v>
      </c>
      <c r="D3372" s="1403" t="s">
        <v>3339</v>
      </c>
      <c r="E3372" s="1404" t="s">
        <v>15137</v>
      </c>
      <c r="F3372" s="1405" t="s">
        <v>5300</v>
      </c>
      <c r="G3372" s="1403" t="s">
        <v>11330</v>
      </c>
      <c r="H3372" s="1406" t="s">
        <v>1037</v>
      </c>
    </row>
    <row r="3373" spans="1:8" x14ac:dyDescent="0.2">
      <c r="A3373" s="7"/>
      <c r="B3373" s="1407" t="str">
        <f t="shared" si="52"/>
        <v>Simone Pasquali</v>
      </c>
      <c r="C3373" s="1402" t="s">
        <v>16005</v>
      </c>
      <c r="D3373" s="1403" t="s">
        <v>3158</v>
      </c>
      <c r="E3373" s="1404" t="s">
        <v>16006</v>
      </c>
      <c r="F3373" s="1405" t="s">
        <v>5300</v>
      </c>
      <c r="G3373" s="1403" t="s">
        <v>8866</v>
      </c>
      <c r="H3373" s="1406" t="s">
        <v>1037</v>
      </c>
    </row>
    <row r="3374" spans="1:8" x14ac:dyDescent="0.2">
      <c r="A3374" s="7"/>
      <c r="B3374" s="1407" t="str">
        <f t="shared" si="52"/>
        <v>Massimiliano Franciolini</v>
      </c>
      <c r="C3374" s="1402" t="s">
        <v>15565</v>
      </c>
      <c r="D3374" s="1403" t="s">
        <v>3023</v>
      </c>
      <c r="E3374" s="1404" t="s">
        <v>15566</v>
      </c>
      <c r="F3374" s="1405" t="s">
        <v>5300</v>
      </c>
      <c r="G3374" s="1403" t="s">
        <v>15288</v>
      </c>
      <c r="H3374" s="1406" t="s">
        <v>1037</v>
      </c>
    </row>
    <row r="3375" spans="1:8" x14ac:dyDescent="0.2">
      <c r="A3375" s="7"/>
      <c r="B3375" s="1407" t="str">
        <f t="shared" si="52"/>
        <v>Roberto Rizzo</v>
      </c>
      <c r="C3375" s="1402" t="s">
        <v>16134</v>
      </c>
      <c r="D3375" s="1403" t="s">
        <v>3279</v>
      </c>
      <c r="E3375" s="1404" t="s">
        <v>16978</v>
      </c>
      <c r="F3375" s="1405" t="s">
        <v>5300</v>
      </c>
      <c r="G3375" s="1403" t="s">
        <v>9696</v>
      </c>
      <c r="H3375" s="1406" t="s">
        <v>1037</v>
      </c>
    </row>
    <row r="3376" spans="1:8" x14ac:dyDescent="0.2">
      <c r="A3376" s="7"/>
      <c r="B3376" s="1407" t="str">
        <f t="shared" si="52"/>
        <v>Vito Sante Martinelli</v>
      </c>
      <c r="C3376" s="1402" t="s">
        <v>15866</v>
      </c>
      <c r="D3376" s="1403" t="s">
        <v>15868</v>
      </c>
      <c r="E3376" s="1404" t="s">
        <v>15869</v>
      </c>
      <c r="F3376" s="1405" t="s">
        <v>5299</v>
      </c>
      <c r="G3376" s="1403" t="s">
        <v>10274</v>
      </c>
      <c r="H3376" s="1406" t="s">
        <v>1037</v>
      </c>
    </row>
    <row r="3377" spans="1:8" x14ac:dyDescent="0.2">
      <c r="A3377" s="7"/>
      <c r="B3377" s="1407" t="str">
        <f t="shared" si="52"/>
        <v>Cosimo Salatino</v>
      </c>
      <c r="C3377" s="1402" t="s">
        <v>16162</v>
      </c>
      <c r="D3377" s="1403" t="s">
        <v>11080</v>
      </c>
      <c r="E3377" s="1404" t="s">
        <v>16163</v>
      </c>
      <c r="F3377" s="1405" t="s">
        <v>5299</v>
      </c>
      <c r="G3377" s="1403" t="s">
        <v>10274</v>
      </c>
      <c r="H3377" s="1406" t="s">
        <v>1037</v>
      </c>
    </row>
    <row r="3378" spans="1:8" x14ac:dyDescent="0.2">
      <c r="A3378" s="7"/>
      <c r="B3378" s="1407" t="str">
        <f t="shared" si="52"/>
        <v>Tommaso Cuzzocrea</v>
      </c>
      <c r="C3378" s="1402" t="s">
        <v>6415</v>
      </c>
      <c r="D3378" s="1403" t="s">
        <v>3534</v>
      </c>
      <c r="E3378" s="1404" t="s">
        <v>15408</v>
      </c>
      <c r="F3378" s="1405" t="s">
        <v>1563</v>
      </c>
      <c r="G3378" s="1403" t="s">
        <v>8865</v>
      </c>
      <c r="H3378" s="1406" t="s">
        <v>1037</v>
      </c>
    </row>
    <row r="3379" spans="1:8" x14ac:dyDescent="0.2">
      <c r="A3379" s="7"/>
      <c r="B3379" s="1407" t="str">
        <f t="shared" si="52"/>
        <v>Elio Degaetano</v>
      </c>
      <c r="C3379" s="1402" t="s">
        <v>15447</v>
      </c>
      <c r="D3379" s="1403" t="s">
        <v>15448</v>
      </c>
      <c r="E3379" s="1404" t="s">
        <v>15449</v>
      </c>
      <c r="F3379" s="1405" t="s">
        <v>1563</v>
      </c>
      <c r="G3379" s="1403" t="s">
        <v>8865</v>
      </c>
      <c r="H3379" s="1406" t="s">
        <v>1037</v>
      </c>
    </row>
    <row r="3380" spans="1:8" x14ac:dyDescent="0.2">
      <c r="A3380" s="7"/>
      <c r="B3380" s="1407" t="str">
        <f t="shared" si="52"/>
        <v>Eugenio Gerardo Petrungaro</v>
      </c>
      <c r="C3380" s="1402" t="s">
        <v>16037</v>
      </c>
      <c r="D3380" s="1403" t="s">
        <v>16038</v>
      </c>
      <c r="E3380" s="1404" t="s">
        <v>16039</v>
      </c>
      <c r="F3380" s="1405" t="s">
        <v>1563</v>
      </c>
      <c r="G3380" s="1403" t="s">
        <v>8865</v>
      </c>
      <c r="H3380" s="1406" t="s">
        <v>1037</v>
      </c>
    </row>
    <row r="3381" spans="1:8" x14ac:dyDescent="0.2">
      <c r="A3381" s="7"/>
      <c r="B3381" s="1407" t="str">
        <f t="shared" si="52"/>
        <v>Costantino Francesco Cassano</v>
      </c>
      <c r="C3381" s="1402" t="s">
        <v>15336</v>
      </c>
      <c r="D3381" s="1403" t="s">
        <v>15337</v>
      </c>
      <c r="E3381" s="1404" t="s">
        <v>15338</v>
      </c>
      <c r="F3381" s="1405" t="s">
        <v>1563</v>
      </c>
      <c r="G3381" s="1403" t="s">
        <v>8865</v>
      </c>
      <c r="H3381" s="1406" t="s">
        <v>1037</v>
      </c>
    </row>
    <row r="3382" spans="1:8" x14ac:dyDescent="0.2">
      <c r="A3382" s="7"/>
      <c r="B3382" s="1407" t="str">
        <f t="shared" si="52"/>
        <v>Davide Ramazzotto</v>
      </c>
      <c r="C3382" s="1402" t="s">
        <v>16102</v>
      </c>
      <c r="D3382" s="1403" t="s">
        <v>3329</v>
      </c>
      <c r="E3382" s="1404" t="s">
        <v>16103</v>
      </c>
      <c r="F3382" s="1405" t="s">
        <v>1563</v>
      </c>
      <c r="G3382" s="1403" t="s">
        <v>9702</v>
      </c>
      <c r="H3382" s="1406" t="s">
        <v>1037</v>
      </c>
    </row>
    <row r="3383" spans="1:8" x14ac:dyDescent="0.2">
      <c r="A3383" s="7"/>
      <c r="B3383" s="1407" t="str">
        <f t="shared" si="52"/>
        <v>Antonia De Bellis</v>
      </c>
      <c r="C3383" s="1402" t="s">
        <v>15427</v>
      </c>
      <c r="D3383" s="1403" t="s">
        <v>15428</v>
      </c>
      <c r="E3383" s="1404" t="s">
        <v>15429</v>
      </c>
      <c r="F3383" s="1405" t="s">
        <v>5299</v>
      </c>
      <c r="G3383" s="1403" t="s">
        <v>2773</v>
      </c>
      <c r="H3383" s="1406" t="s">
        <v>1037</v>
      </c>
    </row>
    <row r="3384" spans="1:8" x14ac:dyDescent="0.2">
      <c r="A3384" s="7"/>
      <c r="B3384" s="1407" t="str">
        <f t="shared" si="52"/>
        <v>Amilcare D'Andria</v>
      </c>
      <c r="C3384" s="1402" t="s">
        <v>15418</v>
      </c>
      <c r="D3384" s="1403" t="s">
        <v>15419</v>
      </c>
      <c r="E3384" s="1404" t="s">
        <v>15420</v>
      </c>
      <c r="F3384" s="1405" t="s">
        <v>5300</v>
      </c>
      <c r="G3384" s="1403" t="s">
        <v>10274</v>
      </c>
      <c r="H3384" s="1406" t="s">
        <v>1037</v>
      </c>
    </row>
    <row r="3385" spans="1:8" x14ac:dyDescent="0.2">
      <c r="A3385" s="7"/>
      <c r="B3385" s="1407" t="str">
        <f t="shared" si="52"/>
        <v>Dominic Santana Tovar</v>
      </c>
      <c r="C3385" s="1402" t="s">
        <v>16179</v>
      </c>
      <c r="D3385" s="1403" t="s">
        <v>16180</v>
      </c>
      <c r="E3385" s="1404" t="s">
        <v>16181</v>
      </c>
      <c r="F3385" s="1405" t="s">
        <v>13211</v>
      </c>
      <c r="G3385" s="1403" t="s">
        <v>11325</v>
      </c>
      <c r="H3385" s="1406" t="s">
        <v>1037</v>
      </c>
    </row>
    <row r="3386" spans="1:8" x14ac:dyDescent="0.2">
      <c r="A3386" s="7"/>
      <c r="B3386" s="1407" t="str">
        <f t="shared" si="52"/>
        <v>Juan Josè Santana Vargas</v>
      </c>
      <c r="C3386" s="1402" t="s">
        <v>16182</v>
      </c>
      <c r="D3386" s="1403" t="s">
        <v>16183</v>
      </c>
      <c r="E3386" s="1404" t="s">
        <v>16184</v>
      </c>
      <c r="F3386" s="1405" t="s">
        <v>13211</v>
      </c>
      <c r="G3386" s="1403" t="s">
        <v>11325</v>
      </c>
      <c r="H3386" s="1406" t="s">
        <v>1037</v>
      </c>
    </row>
    <row r="3387" spans="1:8" x14ac:dyDescent="0.2">
      <c r="A3387" s="7"/>
      <c r="B3387" s="1407" t="str">
        <f t="shared" si="52"/>
        <v>Riccardo Generali</v>
      </c>
      <c r="C3387" s="1402" t="s">
        <v>15600</v>
      </c>
      <c r="D3387" s="1403" t="s">
        <v>3270</v>
      </c>
      <c r="E3387" s="1404" t="s">
        <v>15601</v>
      </c>
      <c r="F3387" s="1405" t="s">
        <v>5299</v>
      </c>
      <c r="G3387" s="1403" t="s">
        <v>2780</v>
      </c>
      <c r="H3387" s="1406" t="s">
        <v>1037</v>
      </c>
    </row>
    <row r="3388" spans="1:8" x14ac:dyDescent="0.2">
      <c r="A3388" s="7"/>
      <c r="B3388" s="1407" t="str">
        <f t="shared" si="52"/>
        <v>Alberto Sitia</v>
      </c>
      <c r="C3388" s="1402" t="s">
        <v>16232</v>
      </c>
      <c r="D3388" s="1403" t="s">
        <v>3042</v>
      </c>
      <c r="E3388" s="1404" t="s">
        <v>16233</v>
      </c>
      <c r="F3388" s="1405" t="s">
        <v>5300</v>
      </c>
      <c r="G3388" s="1403" t="s">
        <v>16483</v>
      </c>
      <c r="H3388" s="1406" t="s">
        <v>1037</v>
      </c>
    </row>
    <row r="3389" spans="1:8" x14ac:dyDescent="0.2">
      <c r="A3389" s="7"/>
      <c r="B3389" s="1407" t="str">
        <f t="shared" si="52"/>
        <v>Francesco Chianale</v>
      </c>
      <c r="C3389" s="1402" t="s">
        <v>15355</v>
      </c>
      <c r="D3389" s="1403" t="s">
        <v>3277</v>
      </c>
      <c r="E3389" s="1404" t="s">
        <v>15356</v>
      </c>
      <c r="F3389" s="1405" t="s">
        <v>5300</v>
      </c>
      <c r="G3389" s="1403" t="s">
        <v>16477</v>
      </c>
      <c r="H3389" s="1406" t="s">
        <v>1037</v>
      </c>
    </row>
    <row r="3390" spans="1:8" x14ac:dyDescent="0.2">
      <c r="A3390" s="7"/>
      <c r="B3390" s="1407" t="str">
        <f t="shared" si="52"/>
        <v>Mattia Ferranti</v>
      </c>
      <c r="C3390" s="1402" t="s">
        <v>15538</v>
      </c>
      <c r="D3390" s="1403" t="s">
        <v>3228</v>
      </c>
      <c r="E3390" s="1404" t="s">
        <v>15540</v>
      </c>
      <c r="F3390" s="1405" t="s">
        <v>1563</v>
      </c>
      <c r="G3390" s="1403" t="s">
        <v>7873</v>
      </c>
      <c r="H3390" s="1406" t="s">
        <v>1037</v>
      </c>
    </row>
    <row r="3391" spans="1:8" x14ac:dyDescent="0.2">
      <c r="A3391" s="7"/>
      <c r="B3391" s="1407" t="str">
        <f t="shared" si="52"/>
        <v>Francesco Ferranti</v>
      </c>
      <c r="C3391" s="1402" t="s">
        <v>15538</v>
      </c>
      <c r="D3391" s="1403" t="s">
        <v>3277</v>
      </c>
      <c r="E3391" s="1404" t="s">
        <v>15539</v>
      </c>
      <c r="F3391" s="1405" t="s">
        <v>1563</v>
      </c>
      <c r="G3391" s="1403" t="s">
        <v>7873</v>
      </c>
      <c r="H3391" s="1406" t="s">
        <v>1037</v>
      </c>
    </row>
    <row r="3392" spans="1:8" x14ac:dyDescent="0.2">
      <c r="A3392" s="7"/>
      <c r="B3392" s="1407" t="str">
        <f t="shared" si="52"/>
        <v>Alessandro Indelli</v>
      </c>
      <c r="C3392" s="1402" t="s">
        <v>15696</v>
      </c>
      <c r="D3392" s="1403" t="s">
        <v>3125</v>
      </c>
      <c r="E3392" s="1404" t="s">
        <v>15697</v>
      </c>
      <c r="F3392" s="1405" t="s">
        <v>5300</v>
      </c>
      <c r="G3392" s="1403" t="s">
        <v>14585</v>
      </c>
      <c r="H3392" s="1406" t="s">
        <v>1037</v>
      </c>
    </row>
    <row r="3393" spans="1:8" x14ac:dyDescent="0.2">
      <c r="A3393" s="7"/>
      <c r="B3393" s="1407" t="str">
        <f t="shared" si="52"/>
        <v>Fabio Alberi</v>
      </c>
      <c r="C3393" s="1402" t="s">
        <v>16890</v>
      </c>
      <c r="D3393" s="1403" t="s">
        <v>3133</v>
      </c>
      <c r="E3393" s="1404" t="s">
        <v>16891</v>
      </c>
      <c r="F3393" s="1405" t="s">
        <v>5300</v>
      </c>
      <c r="G3393" s="1403" t="s">
        <v>16477</v>
      </c>
      <c r="H3393" s="1406" t="s">
        <v>1037</v>
      </c>
    </row>
    <row r="3394" spans="1:8" x14ac:dyDescent="0.2">
      <c r="A3394" s="7"/>
      <c r="B3394" s="1407" t="str">
        <f t="shared" si="52"/>
        <v>Marco Bernardis</v>
      </c>
      <c r="C3394" s="1402" t="s">
        <v>17891</v>
      </c>
      <c r="D3394" s="1403" t="s">
        <v>3109</v>
      </c>
      <c r="E3394" s="1404" t="s">
        <v>17892</v>
      </c>
      <c r="F3394" s="1405" t="s">
        <v>5300</v>
      </c>
      <c r="G3394" s="1403" t="s">
        <v>2773</v>
      </c>
      <c r="H3394" s="1406" t="s">
        <v>1037</v>
      </c>
    </row>
    <row r="3395" spans="1:8" x14ac:dyDescent="0.2">
      <c r="A3395" s="7"/>
      <c r="B3395" s="1407" t="str">
        <f t="shared" si="52"/>
        <v>Massimiliano Berselli</v>
      </c>
      <c r="C3395" s="1402" t="s">
        <v>17193</v>
      </c>
      <c r="D3395" s="1403" t="s">
        <v>3023</v>
      </c>
      <c r="E3395" s="1404" t="s">
        <v>17194</v>
      </c>
      <c r="F3395" s="1405" t="s">
        <v>5300</v>
      </c>
      <c r="G3395" s="1403" t="s">
        <v>14585</v>
      </c>
      <c r="H3395" s="1406" t="s">
        <v>1037</v>
      </c>
    </row>
    <row r="3396" spans="1:8" x14ac:dyDescent="0.2">
      <c r="A3396" s="7"/>
      <c r="B3396" s="1407" t="str">
        <f t="shared" si="52"/>
        <v>Stefano Braschi</v>
      </c>
      <c r="C3396" s="1402" t="s">
        <v>17195</v>
      </c>
      <c r="D3396" s="1403" t="s">
        <v>3062</v>
      </c>
      <c r="E3396" s="1404" t="s">
        <v>17196</v>
      </c>
      <c r="F3396" s="1405" t="s">
        <v>5300</v>
      </c>
      <c r="G3396" s="1403" t="s">
        <v>15288</v>
      </c>
      <c r="H3396" s="1406" t="s">
        <v>1037</v>
      </c>
    </row>
    <row r="3397" spans="1:8" x14ac:dyDescent="0.2">
      <c r="A3397" s="7"/>
      <c r="B3397" s="1407" t="str">
        <f t="shared" si="52"/>
        <v>Guido Brescia</v>
      </c>
      <c r="C3397" s="1402" t="s">
        <v>15282</v>
      </c>
      <c r="D3397" s="1403" t="s">
        <v>6996</v>
      </c>
      <c r="E3397" s="1404" t="s">
        <v>15283</v>
      </c>
      <c r="F3397" s="1405" t="s">
        <v>5300</v>
      </c>
      <c r="G3397" s="1403" t="s">
        <v>16843</v>
      </c>
      <c r="H3397" s="1406" t="s">
        <v>1037</v>
      </c>
    </row>
    <row r="3398" spans="1:8" x14ac:dyDescent="0.2">
      <c r="A3398" s="7"/>
      <c r="B3398" s="1407" t="str">
        <f t="shared" si="52"/>
        <v>Leonardo Colella</v>
      </c>
      <c r="C3398" s="1402" t="s">
        <v>6403</v>
      </c>
      <c r="D3398" s="1403" t="s">
        <v>3633</v>
      </c>
      <c r="E3398" s="1404" t="s">
        <v>15376</v>
      </c>
      <c r="F3398" s="1405" t="s">
        <v>5300</v>
      </c>
      <c r="G3398" s="1403" t="s">
        <v>10271</v>
      </c>
      <c r="H3398" s="1406" t="s">
        <v>1037</v>
      </c>
    </row>
    <row r="3399" spans="1:8" x14ac:dyDescent="0.2">
      <c r="A3399" s="7"/>
      <c r="B3399" s="1407" t="str">
        <f t="shared" ref="B3399:B3462" si="53">TRIM(CONCATENATE(D3399," ",C3399))</f>
        <v>Silvestro Di Pietrantonio</v>
      </c>
      <c r="C3399" s="1402" t="s">
        <v>6423</v>
      </c>
      <c r="D3399" s="1403" t="s">
        <v>15478</v>
      </c>
      <c r="E3399" s="1404" t="s">
        <v>15479</v>
      </c>
      <c r="F3399" s="1405" t="s">
        <v>5299</v>
      </c>
      <c r="G3399" s="1403" t="s">
        <v>2759</v>
      </c>
      <c r="H3399" s="1406" t="s">
        <v>1037</v>
      </c>
    </row>
    <row r="3400" spans="1:8" x14ac:dyDescent="0.2">
      <c r="A3400" s="7"/>
      <c r="B3400" s="1407" t="str">
        <f t="shared" si="53"/>
        <v>Francesco Discepoli</v>
      </c>
      <c r="C3400" s="1402" t="s">
        <v>15490</v>
      </c>
      <c r="D3400" s="1403" t="s">
        <v>3277</v>
      </c>
      <c r="E3400" s="1404" t="s">
        <v>15491</v>
      </c>
      <c r="F3400" s="1405" t="s">
        <v>5300</v>
      </c>
      <c r="G3400" s="1403" t="s">
        <v>11325</v>
      </c>
      <c r="H3400" s="1406" t="s">
        <v>1037</v>
      </c>
    </row>
    <row r="3401" spans="1:8" x14ac:dyDescent="0.2">
      <c r="A3401" s="7"/>
      <c r="B3401" s="1407" t="str">
        <f t="shared" si="53"/>
        <v>Emanuele Dore</v>
      </c>
      <c r="C3401" s="1402" t="s">
        <v>6426</v>
      </c>
      <c r="D3401" s="1403" t="s">
        <v>3085</v>
      </c>
      <c r="E3401" s="1404" t="s">
        <v>15496</v>
      </c>
      <c r="F3401" s="1405" t="s">
        <v>5299</v>
      </c>
      <c r="G3401" s="1403" t="s">
        <v>2901</v>
      </c>
      <c r="H3401" s="1406" t="s">
        <v>1037</v>
      </c>
    </row>
    <row r="3402" spans="1:8" x14ac:dyDescent="0.2">
      <c r="A3402" s="7"/>
      <c r="B3402" s="1407" t="str">
        <f t="shared" si="53"/>
        <v>Alfredo Granato</v>
      </c>
      <c r="C3402" s="1402" t="s">
        <v>15618</v>
      </c>
      <c r="D3402" s="1403" t="s">
        <v>3587</v>
      </c>
      <c r="E3402" s="1404" t="s">
        <v>15619</v>
      </c>
      <c r="F3402" s="1405" t="s">
        <v>5300</v>
      </c>
      <c r="G3402" s="1403" t="s">
        <v>15288</v>
      </c>
      <c r="H3402" s="1406" t="s">
        <v>1037</v>
      </c>
    </row>
    <row r="3403" spans="1:8" x14ac:dyDescent="0.2">
      <c r="A3403" s="7"/>
      <c r="B3403" s="1407" t="str">
        <f t="shared" si="53"/>
        <v>Lorenzo Guio</v>
      </c>
      <c r="C3403" s="1402" t="s">
        <v>15633</v>
      </c>
      <c r="D3403" s="1403" t="s">
        <v>3155</v>
      </c>
      <c r="E3403" s="1404" t="s">
        <v>15634</v>
      </c>
      <c r="F3403" s="1405" t="s">
        <v>5300</v>
      </c>
      <c r="G3403" s="1403" t="s">
        <v>7876</v>
      </c>
      <c r="H3403" s="1406" t="s">
        <v>1037</v>
      </c>
    </row>
    <row r="3404" spans="1:8" x14ac:dyDescent="0.2">
      <c r="A3404" s="7"/>
      <c r="B3404" s="1407" t="str">
        <f t="shared" si="53"/>
        <v>Valerio Iannazzo</v>
      </c>
      <c r="C3404" s="1402" t="s">
        <v>15682</v>
      </c>
      <c r="D3404" s="1403" t="s">
        <v>5652</v>
      </c>
      <c r="E3404" s="1404" t="s">
        <v>15683</v>
      </c>
      <c r="F3404" s="1405" t="s">
        <v>5299</v>
      </c>
      <c r="G3404" s="1403" t="s">
        <v>13477</v>
      </c>
      <c r="H3404" s="1406" t="s">
        <v>1037</v>
      </c>
    </row>
    <row r="3405" spans="1:8" x14ac:dyDescent="0.2">
      <c r="A3405" s="7"/>
      <c r="B3405" s="1407" t="str">
        <f t="shared" si="53"/>
        <v>Maurizio Jon Scotta</v>
      </c>
      <c r="C3405" s="1402" t="s">
        <v>15710</v>
      </c>
      <c r="D3405" s="1403" t="s">
        <v>3148</v>
      </c>
      <c r="E3405" s="1404" t="s">
        <v>15711</v>
      </c>
      <c r="F3405" s="1405" t="s">
        <v>5299</v>
      </c>
      <c r="G3405" s="1403" t="s">
        <v>7879</v>
      </c>
      <c r="H3405" s="1406" t="s">
        <v>1037</v>
      </c>
    </row>
    <row r="3406" spans="1:8" x14ac:dyDescent="0.2">
      <c r="A3406" s="7"/>
      <c r="B3406" s="1407" t="str">
        <f t="shared" si="53"/>
        <v>Simongiorgio La Pietra</v>
      </c>
      <c r="C3406" s="1402" t="s">
        <v>15775</v>
      </c>
      <c r="D3406" s="1403" t="s">
        <v>15776</v>
      </c>
      <c r="E3406" s="1404" t="s">
        <v>15777</v>
      </c>
      <c r="F3406" s="1405" t="s">
        <v>5299</v>
      </c>
      <c r="G3406" s="1403" t="s">
        <v>13488</v>
      </c>
      <c r="H3406" s="1406" t="s">
        <v>1037</v>
      </c>
    </row>
    <row r="3407" spans="1:8" x14ac:dyDescent="0.2">
      <c r="A3407" s="7"/>
      <c r="B3407" s="1407" t="str">
        <f t="shared" si="53"/>
        <v>Fabio Peluso</v>
      </c>
      <c r="C3407" s="1402" t="s">
        <v>6511</v>
      </c>
      <c r="D3407" s="1403" t="s">
        <v>3133</v>
      </c>
      <c r="E3407" s="1404" t="s">
        <v>17197</v>
      </c>
      <c r="F3407" s="1405" t="s">
        <v>5299</v>
      </c>
      <c r="G3407" s="1403" t="s">
        <v>15288</v>
      </c>
      <c r="H3407" s="1406" t="s">
        <v>1037</v>
      </c>
    </row>
    <row r="3408" spans="1:8" x14ac:dyDescent="0.2">
      <c r="A3408" s="7"/>
      <c r="B3408" s="1407" t="str">
        <f t="shared" si="53"/>
        <v>Ferdinando Preziuso</v>
      </c>
      <c r="C3408" s="1402" t="s">
        <v>6524</v>
      </c>
      <c r="D3408" s="1403" t="s">
        <v>3049</v>
      </c>
      <c r="E3408" s="1404" t="s">
        <v>17198</v>
      </c>
      <c r="F3408" s="1405" t="s">
        <v>5300</v>
      </c>
      <c r="G3408" s="1403" t="s">
        <v>10922</v>
      </c>
      <c r="H3408" s="1406" t="s">
        <v>1037</v>
      </c>
    </row>
    <row r="3409" spans="1:8" x14ac:dyDescent="0.2">
      <c r="A3409" s="7"/>
      <c r="B3409" s="1407" t="str">
        <f t="shared" si="53"/>
        <v>Martina Preziuso</v>
      </c>
      <c r="C3409" s="1402" t="s">
        <v>6524</v>
      </c>
      <c r="D3409" s="1403" t="s">
        <v>17199</v>
      </c>
      <c r="E3409" s="1404" t="s">
        <v>17200</v>
      </c>
      <c r="F3409" s="1405" t="s">
        <v>5299</v>
      </c>
      <c r="G3409" s="1403" t="s">
        <v>10922</v>
      </c>
      <c r="H3409" s="1406" t="s">
        <v>1037</v>
      </c>
    </row>
    <row r="3410" spans="1:8" x14ac:dyDescent="0.2">
      <c r="A3410" s="7"/>
      <c r="B3410" s="1407" t="str">
        <f t="shared" si="53"/>
        <v>Federico Ronzani</v>
      </c>
      <c r="C3410" s="1402" t="s">
        <v>16142</v>
      </c>
      <c r="D3410" s="1403" t="s">
        <v>3335</v>
      </c>
      <c r="E3410" s="1404" t="s">
        <v>16143</v>
      </c>
      <c r="F3410" s="1405" t="s">
        <v>5299</v>
      </c>
      <c r="G3410" s="1403" t="s">
        <v>7879</v>
      </c>
      <c r="H3410" s="1406" t="s">
        <v>1037</v>
      </c>
    </row>
    <row r="3411" spans="1:8" x14ac:dyDescent="0.2">
      <c r="A3411" s="7"/>
      <c r="B3411" s="1407" t="str">
        <f t="shared" si="53"/>
        <v>Michele Silei</v>
      </c>
      <c r="C3411" s="1402" t="s">
        <v>16229</v>
      </c>
      <c r="D3411" s="1403" t="s">
        <v>3216</v>
      </c>
      <c r="E3411" s="1404" t="s">
        <v>16230</v>
      </c>
      <c r="F3411" s="1405" t="s">
        <v>5299</v>
      </c>
      <c r="G3411" s="1403" t="s">
        <v>15288</v>
      </c>
      <c r="H3411" s="1406" t="s">
        <v>1037</v>
      </c>
    </row>
    <row r="3412" spans="1:8" x14ac:dyDescent="0.2">
      <c r="A3412" s="7"/>
      <c r="B3412" s="1407" t="str">
        <f t="shared" si="53"/>
        <v>Fabrizio Sonnino</v>
      </c>
      <c r="C3412" s="1402" t="s">
        <v>16243</v>
      </c>
      <c r="D3412" s="1403" t="s">
        <v>3087</v>
      </c>
      <c r="E3412" s="1404" t="s">
        <v>16244</v>
      </c>
      <c r="F3412" s="1405" t="s">
        <v>5300</v>
      </c>
      <c r="G3412" s="1403" t="s">
        <v>11327</v>
      </c>
      <c r="H3412" s="1406" t="s">
        <v>1037</v>
      </c>
    </row>
    <row r="3413" spans="1:8" x14ac:dyDescent="0.2">
      <c r="A3413" s="7"/>
      <c r="B3413" s="1407" t="str">
        <f t="shared" si="53"/>
        <v>Fabio Stellato</v>
      </c>
      <c r="C3413" s="1402" t="s">
        <v>14691</v>
      </c>
      <c r="D3413" s="1403" t="s">
        <v>3133</v>
      </c>
      <c r="E3413" s="1404" t="s">
        <v>14692</v>
      </c>
      <c r="F3413" s="1405" t="s">
        <v>5300</v>
      </c>
      <c r="G3413" s="1403" t="s">
        <v>14693</v>
      </c>
      <c r="H3413" s="1406" t="s">
        <v>1037</v>
      </c>
    </row>
    <row r="3414" spans="1:8" x14ac:dyDescent="0.2">
      <c r="A3414" s="7"/>
      <c r="B3414" s="1407" t="str">
        <f t="shared" si="53"/>
        <v>Giorgio Velli</v>
      </c>
      <c r="C3414" s="1402" t="s">
        <v>16316</v>
      </c>
      <c r="D3414" s="1403" t="s">
        <v>3643</v>
      </c>
      <c r="E3414" s="1404" t="s">
        <v>16317</v>
      </c>
      <c r="F3414" s="1405" t="s">
        <v>5300</v>
      </c>
      <c r="G3414" s="1403" t="s">
        <v>16488</v>
      </c>
      <c r="H3414" s="1406" t="s">
        <v>1037</v>
      </c>
    </row>
    <row r="3415" spans="1:8" x14ac:dyDescent="0.2">
      <c r="A3415" s="7"/>
      <c r="B3415" s="1407" t="str">
        <f t="shared" si="53"/>
        <v>Francesco Venturello</v>
      </c>
      <c r="C3415" s="1402" t="s">
        <v>16322</v>
      </c>
      <c r="D3415" s="1403" t="s">
        <v>3277</v>
      </c>
      <c r="E3415" s="1404" t="s">
        <v>16323</v>
      </c>
      <c r="F3415" s="1405" t="s">
        <v>5300</v>
      </c>
      <c r="G3415" s="1403" t="s">
        <v>2761</v>
      </c>
      <c r="H3415" s="1406" t="s">
        <v>1037</v>
      </c>
    </row>
    <row r="3416" spans="1:8" x14ac:dyDescent="0.2">
      <c r="A3416" s="7"/>
      <c r="B3416" s="1407" t="str">
        <f t="shared" si="53"/>
        <v>Roberto Agirmo</v>
      </c>
      <c r="C3416" s="1402" t="s">
        <v>15144</v>
      </c>
      <c r="D3416" s="1403" t="s">
        <v>3279</v>
      </c>
      <c r="E3416" s="1404" t="s">
        <v>15145</v>
      </c>
      <c r="F3416" s="1405" t="s">
        <v>5300</v>
      </c>
      <c r="G3416" s="1403" t="s">
        <v>16843</v>
      </c>
      <c r="H3416" s="1406" t="s">
        <v>1037</v>
      </c>
    </row>
    <row r="3417" spans="1:8" x14ac:dyDescent="0.2">
      <c r="A3417" s="7"/>
      <c r="B3417" s="1407" t="str">
        <f t="shared" si="53"/>
        <v>Claudio Chiara</v>
      </c>
      <c r="C3417" s="1402" t="s">
        <v>15358</v>
      </c>
      <c r="D3417" s="1403" t="s">
        <v>3038</v>
      </c>
      <c r="E3417" s="1404" t="s">
        <v>15359</v>
      </c>
      <c r="F3417" s="1405" t="s">
        <v>5299</v>
      </c>
      <c r="G3417" s="1403" t="s">
        <v>15290</v>
      </c>
      <c r="H3417" s="1406" t="s">
        <v>1037</v>
      </c>
    </row>
    <row r="3418" spans="1:8" x14ac:dyDescent="0.2">
      <c r="A3418" s="7"/>
      <c r="B3418" s="1407" t="str">
        <f t="shared" si="53"/>
        <v>Francesco Vienna</v>
      </c>
      <c r="C3418" s="1402" t="s">
        <v>16329</v>
      </c>
      <c r="D3418" s="1403" t="s">
        <v>3277</v>
      </c>
      <c r="E3418" s="1404" t="s">
        <v>16330</v>
      </c>
      <c r="F3418" s="1405" t="s">
        <v>5300</v>
      </c>
      <c r="G3418" s="1403" t="s">
        <v>16843</v>
      </c>
      <c r="H3418" s="1406" t="s">
        <v>1037</v>
      </c>
    </row>
    <row r="3419" spans="1:8" x14ac:dyDescent="0.2">
      <c r="A3419" s="7"/>
      <c r="B3419" s="1407" t="str">
        <f t="shared" si="53"/>
        <v>Pasquale Lecce</v>
      </c>
      <c r="C3419" s="1402" t="s">
        <v>15794</v>
      </c>
      <c r="D3419" s="1403" t="s">
        <v>3548</v>
      </c>
      <c r="E3419" s="1404" t="s">
        <v>15795</v>
      </c>
      <c r="F3419" s="1405" t="s">
        <v>5299</v>
      </c>
      <c r="G3419" s="1403" t="s">
        <v>2773</v>
      </c>
      <c r="H3419" s="1406" t="s">
        <v>1037</v>
      </c>
    </row>
    <row r="3420" spans="1:8" x14ac:dyDescent="0.2">
      <c r="A3420" s="7"/>
      <c r="B3420" s="1407" t="str">
        <f t="shared" si="53"/>
        <v>Camillo Di Francesco</v>
      </c>
      <c r="C3420" s="1402" t="s">
        <v>15470</v>
      </c>
      <c r="D3420" s="1403" t="s">
        <v>15471</v>
      </c>
      <c r="E3420" s="1404" t="s">
        <v>15472</v>
      </c>
      <c r="F3420" s="1405" t="s">
        <v>5300</v>
      </c>
      <c r="G3420" s="1403" t="s">
        <v>11327</v>
      </c>
      <c r="H3420" s="1406" t="s">
        <v>1037</v>
      </c>
    </row>
    <row r="3421" spans="1:8" x14ac:dyDescent="0.2">
      <c r="A3421" s="7"/>
      <c r="B3421" s="1407" t="str">
        <f t="shared" si="53"/>
        <v>Giancarlo Cavanna Cavanna</v>
      </c>
      <c r="C3421" s="1402" t="s">
        <v>15343</v>
      </c>
      <c r="D3421" s="1403" t="s">
        <v>3337</v>
      </c>
      <c r="E3421" s="1404" t="s">
        <v>15344</v>
      </c>
      <c r="F3421" s="1405" t="s">
        <v>5300</v>
      </c>
      <c r="G3421" s="1403" t="s">
        <v>7879</v>
      </c>
      <c r="H3421" s="1406" t="s">
        <v>1037</v>
      </c>
    </row>
    <row r="3422" spans="1:8" x14ac:dyDescent="0.2">
      <c r="A3422" s="7"/>
      <c r="B3422" s="1407" t="str">
        <f t="shared" si="53"/>
        <v>Pierfrancesco Perri</v>
      </c>
      <c r="C3422" s="1402" t="s">
        <v>11053</v>
      </c>
      <c r="D3422" s="1403" t="s">
        <v>17893</v>
      </c>
      <c r="E3422" s="1404" t="s">
        <v>17894</v>
      </c>
      <c r="F3422" s="1405" t="s">
        <v>5299</v>
      </c>
      <c r="G3422" s="1403" t="s">
        <v>8865</v>
      </c>
      <c r="H3422" s="1406" t="s">
        <v>1037</v>
      </c>
    </row>
    <row r="3423" spans="1:8" x14ac:dyDescent="0.2">
      <c r="A3423" s="7"/>
      <c r="B3423" s="1407" t="str">
        <f t="shared" si="53"/>
        <v>Emanuele Di Francesco</v>
      </c>
      <c r="C3423" s="1402" t="s">
        <v>15470</v>
      </c>
      <c r="D3423" s="1403" t="s">
        <v>3085</v>
      </c>
      <c r="E3423" s="1404" t="s">
        <v>15473</v>
      </c>
      <c r="F3423" s="1405" t="s">
        <v>5299</v>
      </c>
      <c r="G3423" s="1403" t="s">
        <v>11327</v>
      </c>
      <c r="H3423" s="1406" t="s">
        <v>1037</v>
      </c>
    </row>
    <row r="3424" spans="1:8" x14ac:dyDescent="0.2">
      <c r="A3424" s="7"/>
      <c r="B3424" s="1407" t="str">
        <f t="shared" si="53"/>
        <v>Lorenzo Cavanna Cavanna</v>
      </c>
      <c r="C3424" s="1402" t="s">
        <v>15343</v>
      </c>
      <c r="D3424" s="1403" t="s">
        <v>3155</v>
      </c>
      <c r="E3424" s="1404" t="s">
        <v>17201</v>
      </c>
      <c r="F3424" s="1405" t="s">
        <v>5299</v>
      </c>
      <c r="G3424" s="1403" t="s">
        <v>7879</v>
      </c>
      <c r="H3424" s="1406" t="s">
        <v>1037</v>
      </c>
    </row>
    <row r="3425" spans="1:8" x14ac:dyDescent="0.2">
      <c r="A3425" s="7"/>
      <c r="B3425" s="1407" t="str">
        <f t="shared" si="53"/>
        <v>Domenico De Cosmo</v>
      </c>
      <c r="C3425" s="1402" t="s">
        <v>15430</v>
      </c>
      <c r="D3425" s="1403" t="s">
        <v>3353</v>
      </c>
      <c r="E3425" s="1404" t="s">
        <v>15431</v>
      </c>
      <c r="F3425" s="1405" t="s">
        <v>5300</v>
      </c>
      <c r="G3425" s="1403" t="s">
        <v>15432</v>
      </c>
      <c r="H3425" s="1406" t="s">
        <v>1037</v>
      </c>
    </row>
    <row r="3426" spans="1:8" x14ac:dyDescent="0.2">
      <c r="A3426" s="7"/>
      <c r="B3426" s="1407" t="str">
        <f t="shared" si="53"/>
        <v>Paolo Bernardini</v>
      </c>
      <c r="C3426" s="1402" t="s">
        <v>15242</v>
      </c>
      <c r="D3426" s="1403" t="s">
        <v>3119</v>
      </c>
      <c r="E3426" s="1404" t="s">
        <v>15244</v>
      </c>
      <c r="F3426" s="1405" t="s">
        <v>5300</v>
      </c>
      <c r="G3426" s="1403" t="s">
        <v>7879</v>
      </c>
      <c r="H3426" s="1406" t="s">
        <v>1037</v>
      </c>
    </row>
    <row r="3427" spans="1:8" x14ac:dyDescent="0.2">
      <c r="A3427" s="7"/>
      <c r="B3427" s="1407" t="str">
        <f t="shared" si="53"/>
        <v>Riccardo Panella</v>
      </c>
      <c r="C3427" s="1402" t="s">
        <v>15984</v>
      </c>
      <c r="D3427" s="1403" t="s">
        <v>3270</v>
      </c>
      <c r="E3427" s="1404" t="s">
        <v>15987</v>
      </c>
      <c r="F3427" s="1405" t="s">
        <v>5299</v>
      </c>
      <c r="G3427" s="1403" t="s">
        <v>5551</v>
      </c>
      <c r="H3427" s="1406" t="s">
        <v>1037</v>
      </c>
    </row>
    <row r="3428" spans="1:8" x14ac:dyDescent="0.2">
      <c r="A3428" s="7"/>
      <c r="B3428" s="1407" t="str">
        <f t="shared" si="53"/>
        <v>Paolo Belli</v>
      </c>
      <c r="C3428" s="1402" t="s">
        <v>10864</v>
      </c>
      <c r="D3428" s="1403" t="s">
        <v>3119</v>
      </c>
      <c r="E3428" s="1404" t="s">
        <v>17202</v>
      </c>
      <c r="F3428" s="1405" t="s">
        <v>5300</v>
      </c>
      <c r="G3428" s="1403" t="s">
        <v>9698</v>
      </c>
      <c r="H3428" s="1406" t="s">
        <v>1037</v>
      </c>
    </row>
    <row r="3429" spans="1:8" x14ac:dyDescent="0.2">
      <c r="A3429" s="7"/>
      <c r="B3429" s="1407" t="str">
        <f t="shared" si="53"/>
        <v>Roberto Ferro</v>
      </c>
      <c r="C3429" s="1402" t="s">
        <v>6639</v>
      </c>
      <c r="D3429" s="1403" t="s">
        <v>3279</v>
      </c>
      <c r="E3429" s="1404" t="s">
        <v>15542</v>
      </c>
      <c r="F3429" s="1405" t="s">
        <v>5300</v>
      </c>
      <c r="G3429" s="1403" t="s">
        <v>16488</v>
      </c>
      <c r="H3429" s="1406" t="s">
        <v>1037</v>
      </c>
    </row>
    <row r="3430" spans="1:8" x14ac:dyDescent="0.2">
      <c r="A3430" s="7"/>
      <c r="B3430" s="1407" t="str">
        <f t="shared" si="53"/>
        <v>Gianmarco Pedicini</v>
      </c>
      <c r="C3430" s="1402" t="s">
        <v>16015</v>
      </c>
      <c r="D3430" s="1403" t="s">
        <v>3505</v>
      </c>
      <c r="E3430" s="1404" t="s">
        <v>16016</v>
      </c>
      <c r="F3430" s="1405" t="s">
        <v>5299</v>
      </c>
      <c r="G3430" s="1403" t="s">
        <v>2787</v>
      </c>
      <c r="H3430" s="1406" t="s">
        <v>1037</v>
      </c>
    </row>
    <row r="3431" spans="1:8" x14ac:dyDescent="0.2">
      <c r="A3431" s="7"/>
      <c r="B3431" s="1407" t="str">
        <f t="shared" si="53"/>
        <v>Alessandro Zanoni</v>
      </c>
      <c r="C3431" s="1402" t="s">
        <v>16375</v>
      </c>
      <c r="D3431" s="1403" t="s">
        <v>3125</v>
      </c>
      <c r="E3431" s="1404" t="s">
        <v>16376</v>
      </c>
      <c r="F3431" s="1405" t="s">
        <v>5299</v>
      </c>
      <c r="G3431" s="1403" t="s">
        <v>2780</v>
      </c>
      <c r="H3431" s="1406" t="s">
        <v>1037</v>
      </c>
    </row>
    <row r="3432" spans="1:8" x14ac:dyDescent="0.2">
      <c r="A3432" s="7"/>
      <c r="B3432" s="1407" t="str">
        <f t="shared" si="53"/>
        <v>Giovanni Cinque</v>
      </c>
      <c r="C3432" s="1402" t="s">
        <v>15368</v>
      </c>
      <c r="D3432" s="1403" t="s">
        <v>3371</v>
      </c>
      <c r="E3432" s="1404" t="s">
        <v>15369</v>
      </c>
      <c r="F3432" s="1405" t="s">
        <v>5300</v>
      </c>
      <c r="G3432" s="1403" t="s">
        <v>11468</v>
      </c>
      <c r="H3432" s="1406" t="s">
        <v>1037</v>
      </c>
    </row>
    <row r="3433" spans="1:8" x14ac:dyDescent="0.2">
      <c r="A3433" s="7"/>
      <c r="B3433" s="1407" t="str">
        <f t="shared" si="53"/>
        <v>Francesco Veneri</v>
      </c>
      <c r="C3433" s="1402" t="s">
        <v>16320</v>
      </c>
      <c r="D3433" s="1403" t="s">
        <v>3277</v>
      </c>
      <c r="E3433" s="1404" t="s">
        <v>16321</v>
      </c>
      <c r="F3433" s="1405" t="s">
        <v>5300</v>
      </c>
      <c r="G3433" s="1403" t="s">
        <v>5551</v>
      </c>
      <c r="H3433" s="1406" t="s">
        <v>1037</v>
      </c>
    </row>
    <row r="3434" spans="1:8" x14ac:dyDescent="0.2">
      <c r="A3434" s="7"/>
      <c r="B3434" s="1407" t="str">
        <f t="shared" si="53"/>
        <v>Francesco Gori</v>
      </c>
      <c r="C3434" s="1402" t="s">
        <v>15616</v>
      </c>
      <c r="D3434" s="1403" t="s">
        <v>3277</v>
      </c>
      <c r="E3434" s="1404" t="s">
        <v>15617</v>
      </c>
      <c r="F3434" s="1405" t="s">
        <v>5299</v>
      </c>
      <c r="G3434" s="1403" t="s">
        <v>2784</v>
      </c>
      <c r="H3434" s="1406" t="s">
        <v>1037</v>
      </c>
    </row>
    <row r="3435" spans="1:8" x14ac:dyDescent="0.2">
      <c r="A3435" s="7"/>
      <c r="B3435" s="1407" t="str">
        <f t="shared" si="53"/>
        <v>Salvatore Buccheri</v>
      </c>
      <c r="C3435" s="1402" t="s">
        <v>14115</v>
      </c>
      <c r="D3435" s="1403" t="s">
        <v>3265</v>
      </c>
      <c r="E3435" s="1404" t="s">
        <v>15289</v>
      </c>
      <c r="F3435" s="1405" t="s">
        <v>5299</v>
      </c>
      <c r="G3435" s="1403" t="s">
        <v>15290</v>
      </c>
      <c r="H3435" s="1406" t="s">
        <v>1037</v>
      </c>
    </row>
    <row r="3436" spans="1:8" x14ac:dyDescent="0.2">
      <c r="A3436" s="7"/>
      <c r="B3436" s="1407" t="str">
        <f t="shared" si="53"/>
        <v>Stefano Calzeroni</v>
      </c>
      <c r="C3436" s="1402" t="s">
        <v>13956</v>
      </c>
      <c r="D3436" s="1403" t="s">
        <v>3062</v>
      </c>
      <c r="E3436" s="1404" t="s">
        <v>15308</v>
      </c>
      <c r="F3436" s="1405" t="s">
        <v>5300</v>
      </c>
      <c r="G3436" s="1403" t="s">
        <v>2782</v>
      </c>
      <c r="H3436" s="1406" t="s">
        <v>1037</v>
      </c>
    </row>
    <row r="3437" spans="1:8" x14ac:dyDescent="0.2">
      <c r="A3437" s="7"/>
      <c r="B3437" s="1407" t="str">
        <f t="shared" si="53"/>
        <v>Stefano Cruciani</v>
      </c>
      <c r="C3437" s="1402" t="s">
        <v>17895</v>
      </c>
      <c r="D3437" s="1403" t="s">
        <v>3062</v>
      </c>
      <c r="E3437" s="1404" t="s">
        <v>17896</v>
      </c>
      <c r="F3437" s="1405" t="s">
        <v>5300</v>
      </c>
      <c r="G3437" s="1403" t="s">
        <v>11325</v>
      </c>
      <c r="H3437" s="1406" t="s">
        <v>1037</v>
      </c>
    </row>
    <row r="3438" spans="1:8" x14ac:dyDescent="0.2">
      <c r="A3438" s="7"/>
      <c r="B3438" s="1407" t="str">
        <f t="shared" si="53"/>
        <v>Alessio Talarico</v>
      </c>
      <c r="C3438" s="1402" t="s">
        <v>7436</v>
      </c>
      <c r="D3438" s="1403" t="s">
        <v>3550</v>
      </c>
      <c r="E3438" s="1404" t="s">
        <v>16278</v>
      </c>
      <c r="F3438" s="1405" t="s">
        <v>5299</v>
      </c>
      <c r="G3438" s="1403" t="s">
        <v>11326</v>
      </c>
      <c r="H3438" s="1406" t="s">
        <v>1037</v>
      </c>
    </row>
    <row r="3439" spans="1:8" x14ac:dyDescent="0.2">
      <c r="A3439" s="7"/>
      <c r="B3439" s="1407" t="str">
        <f t="shared" si="53"/>
        <v>Giorgio Schilirò</v>
      </c>
      <c r="C3439" s="1402" t="s">
        <v>16217</v>
      </c>
      <c r="D3439" s="1403" t="s">
        <v>3643</v>
      </c>
      <c r="E3439" s="1404" t="s">
        <v>16218</v>
      </c>
      <c r="F3439" s="1405" t="s">
        <v>5299</v>
      </c>
      <c r="G3439" s="1403" t="s">
        <v>10270</v>
      </c>
      <c r="H3439" s="1406" t="s">
        <v>1037</v>
      </c>
    </row>
    <row r="3440" spans="1:8" x14ac:dyDescent="0.2">
      <c r="A3440" s="7"/>
      <c r="B3440" s="1407" t="str">
        <f t="shared" si="53"/>
        <v>Duccio Mulinacci</v>
      </c>
      <c r="C3440" s="1402" t="s">
        <v>17203</v>
      </c>
      <c r="D3440" s="1403" t="s">
        <v>11081</v>
      </c>
      <c r="E3440" s="1404" t="s">
        <v>17204</v>
      </c>
      <c r="F3440" s="1405" t="s">
        <v>5300</v>
      </c>
      <c r="G3440" s="1403" t="s">
        <v>9698</v>
      </c>
      <c r="H3440" s="1406" t="s">
        <v>1037</v>
      </c>
    </row>
    <row r="3441" spans="1:8" x14ac:dyDescent="0.2">
      <c r="A3441" s="7"/>
      <c r="B3441" s="1407" t="str">
        <f t="shared" si="53"/>
        <v>Cataldo De Filippis</v>
      </c>
      <c r="C3441" s="1402" t="s">
        <v>17205</v>
      </c>
      <c r="D3441" s="1403" t="s">
        <v>7428</v>
      </c>
      <c r="E3441" s="1404" t="s">
        <v>17206</v>
      </c>
      <c r="F3441" s="1405" t="s">
        <v>5299</v>
      </c>
      <c r="G3441" s="1403" t="s">
        <v>7880</v>
      </c>
      <c r="H3441" s="1406" t="s">
        <v>1037</v>
      </c>
    </row>
    <row r="3442" spans="1:8" x14ac:dyDescent="0.2">
      <c r="A3442" s="7"/>
      <c r="B3442" s="1407" t="str">
        <f t="shared" si="53"/>
        <v>Francesco Riccobene</v>
      </c>
      <c r="C3442" s="1402" t="s">
        <v>16125</v>
      </c>
      <c r="D3442" s="1403" t="s">
        <v>3277</v>
      </c>
      <c r="E3442" s="1404" t="s">
        <v>16126</v>
      </c>
      <c r="F3442" s="1405" t="s">
        <v>5300</v>
      </c>
      <c r="G3442" s="1403" t="s">
        <v>10271</v>
      </c>
      <c r="H3442" s="1406" t="s">
        <v>1037</v>
      </c>
    </row>
    <row r="3443" spans="1:8" x14ac:dyDescent="0.2">
      <c r="A3443" s="7"/>
      <c r="B3443" s="1407" t="str">
        <f t="shared" si="53"/>
        <v>Emanuele Marando</v>
      </c>
      <c r="C3443" s="1402" t="s">
        <v>15851</v>
      </c>
      <c r="D3443" s="1403" t="s">
        <v>3085</v>
      </c>
      <c r="E3443" s="1404" t="s">
        <v>15852</v>
      </c>
      <c r="F3443" s="1405" t="s">
        <v>5299</v>
      </c>
      <c r="G3443" s="1403" t="s">
        <v>10271</v>
      </c>
      <c r="H3443" s="1406" t="s">
        <v>1037</v>
      </c>
    </row>
    <row r="3444" spans="1:8" x14ac:dyDescent="0.2">
      <c r="A3444" s="7"/>
      <c r="B3444" s="1407" t="str">
        <f t="shared" si="53"/>
        <v>Carlo Morini</v>
      </c>
      <c r="C3444" s="1402" t="s">
        <v>17207</v>
      </c>
      <c r="D3444" s="1403" t="s">
        <v>3266</v>
      </c>
      <c r="E3444" s="1404" t="s">
        <v>17208</v>
      </c>
      <c r="F3444" s="1405" t="s">
        <v>5300</v>
      </c>
      <c r="G3444" s="1403" t="s">
        <v>9698</v>
      </c>
      <c r="H3444" s="1406" t="s">
        <v>1037</v>
      </c>
    </row>
    <row r="3445" spans="1:8" x14ac:dyDescent="0.2">
      <c r="A3445" s="7"/>
      <c r="B3445" s="1407" t="str">
        <f t="shared" si="53"/>
        <v>Filippo Chiovari</v>
      </c>
      <c r="C3445" s="1402" t="s">
        <v>15361</v>
      </c>
      <c r="D3445" s="1403" t="s">
        <v>3340</v>
      </c>
      <c r="E3445" s="1404" t="s">
        <v>15362</v>
      </c>
      <c r="F3445" s="1405" t="s">
        <v>5299</v>
      </c>
      <c r="G3445" s="1403" t="s">
        <v>9700</v>
      </c>
      <c r="H3445" s="1406" t="s">
        <v>1037</v>
      </c>
    </row>
    <row r="3446" spans="1:8" x14ac:dyDescent="0.2">
      <c r="A3446" s="7"/>
      <c r="B3446" s="1407" t="str">
        <f t="shared" si="53"/>
        <v>Pierluigi D'Amico</v>
      </c>
      <c r="C3446" s="1402" t="s">
        <v>17209</v>
      </c>
      <c r="D3446" s="1403" t="s">
        <v>3549</v>
      </c>
      <c r="E3446" s="1404" t="s">
        <v>17210</v>
      </c>
      <c r="F3446" s="1405" t="s">
        <v>5300</v>
      </c>
      <c r="G3446" s="1403" t="s">
        <v>15288</v>
      </c>
      <c r="H3446" s="1406" t="s">
        <v>1037</v>
      </c>
    </row>
    <row r="3447" spans="1:8" x14ac:dyDescent="0.2">
      <c r="A3447" s="7"/>
      <c r="B3447" s="1407" t="str">
        <f t="shared" si="53"/>
        <v>Bruno Bagnato</v>
      </c>
      <c r="C3447" s="1402" t="s">
        <v>15196</v>
      </c>
      <c r="D3447" s="1403" t="s">
        <v>3168</v>
      </c>
      <c r="E3447" s="1404" t="s">
        <v>15197</v>
      </c>
      <c r="F3447" s="1405" t="s">
        <v>5300</v>
      </c>
      <c r="G3447" s="1403" t="s">
        <v>7880</v>
      </c>
      <c r="H3447" s="1406" t="s">
        <v>1037</v>
      </c>
    </row>
    <row r="3448" spans="1:8" x14ac:dyDescent="0.2">
      <c r="A3448" s="7"/>
      <c r="B3448" s="1407" t="str">
        <f t="shared" si="53"/>
        <v>Massimo Santini</v>
      </c>
      <c r="C3448" s="1402" t="s">
        <v>16187</v>
      </c>
      <c r="D3448" s="1403" t="s">
        <v>3013</v>
      </c>
      <c r="E3448" s="1404" t="s">
        <v>16188</v>
      </c>
      <c r="F3448" s="1405" t="s">
        <v>5300</v>
      </c>
      <c r="G3448" s="1403" t="s">
        <v>17211</v>
      </c>
      <c r="H3448" s="1406" t="s">
        <v>1037</v>
      </c>
    </row>
    <row r="3449" spans="1:8" x14ac:dyDescent="0.2">
      <c r="A3449" s="7"/>
      <c r="B3449" s="1407" t="str">
        <f t="shared" si="53"/>
        <v>Massimo Lapucci</v>
      </c>
      <c r="C3449" s="1402" t="s">
        <v>17212</v>
      </c>
      <c r="D3449" s="1403" t="s">
        <v>3013</v>
      </c>
      <c r="E3449" s="1404" t="s">
        <v>17213</v>
      </c>
      <c r="F3449" s="1405" t="s">
        <v>5300</v>
      </c>
      <c r="G3449" s="1403" t="s">
        <v>15288</v>
      </c>
      <c r="H3449" s="1406" t="s">
        <v>1037</v>
      </c>
    </row>
    <row r="3450" spans="1:8" x14ac:dyDescent="0.2">
      <c r="A3450" s="7"/>
      <c r="B3450" s="1407" t="str">
        <f t="shared" si="53"/>
        <v>Danilo Presti</v>
      </c>
      <c r="C3450" s="1402" t="s">
        <v>16075</v>
      </c>
      <c r="D3450" s="1403" t="s">
        <v>5561</v>
      </c>
      <c r="E3450" s="1404" t="s">
        <v>16076</v>
      </c>
      <c r="F3450" s="1405" t="s">
        <v>5300</v>
      </c>
      <c r="G3450" s="1403" t="s">
        <v>10269</v>
      </c>
      <c r="H3450" s="1406" t="s">
        <v>1037</v>
      </c>
    </row>
    <row r="3451" spans="1:8" x14ac:dyDescent="0.2">
      <c r="A3451" s="7"/>
      <c r="B3451" s="1407" t="str">
        <f t="shared" si="53"/>
        <v>Stefano Pistolesi</v>
      </c>
      <c r="C3451" s="1402" t="s">
        <v>16063</v>
      </c>
      <c r="D3451" s="1403" t="s">
        <v>3062</v>
      </c>
      <c r="E3451" s="1404" t="s">
        <v>16064</v>
      </c>
      <c r="F3451" s="1405" t="s">
        <v>5299</v>
      </c>
      <c r="G3451" s="1403" t="s">
        <v>9699</v>
      </c>
      <c r="H3451" s="1406" t="s">
        <v>1037</v>
      </c>
    </row>
    <row r="3452" spans="1:8" x14ac:dyDescent="0.2">
      <c r="A3452" s="7"/>
      <c r="B3452" s="1407" t="str">
        <f t="shared" si="53"/>
        <v>Massimiliano Canale</v>
      </c>
      <c r="C3452" s="1402" t="s">
        <v>15309</v>
      </c>
      <c r="D3452" s="1403" t="s">
        <v>3023</v>
      </c>
      <c r="E3452" s="1404" t="s">
        <v>15310</v>
      </c>
      <c r="F3452" s="1405" t="s">
        <v>5300</v>
      </c>
      <c r="G3452" s="1403" t="s">
        <v>15293</v>
      </c>
      <c r="H3452" s="1406" t="s">
        <v>1037</v>
      </c>
    </row>
    <row r="3453" spans="1:8" x14ac:dyDescent="0.2">
      <c r="A3453" s="7"/>
      <c r="B3453" s="1407" t="str">
        <f t="shared" si="53"/>
        <v>Mattia Benecchi</v>
      </c>
      <c r="C3453" s="1402" t="s">
        <v>15230</v>
      </c>
      <c r="D3453" s="1403" t="s">
        <v>3228</v>
      </c>
      <c r="E3453" s="1404" t="s">
        <v>15231</v>
      </c>
      <c r="F3453" s="1405" t="s">
        <v>5299</v>
      </c>
      <c r="G3453" s="1403" t="s">
        <v>15232</v>
      </c>
      <c r="H3453" s="1406" t="s">
        <v>1037</v>
      </c>
    </row>
    <row r="3454" spans="1:8" x14ac:dyDescent="0.2">
      <c r="A3454" s="7"/>
      <c r="B3454" s="1407" t="str">
        <f t="shared" si="53"/>
        <v>Gabriele Allegria</v>
      </c>
      <c r="C3454" s="1402" t="s">
        <v>14694</v>
      </c>
      <c r="D3454" s="1403" t="s">
        <v>3127</v>
      </c>
      <c r="E3454" s="1404" t="s">
        <v>14695</v>
      </c>
      <c r="F3454" s="1405" t="s">
        <v>5300</v>
      </c>
      <c r="G3454" s="1403" t="s">
        <v>14693</v>
      </c>
      <c r="H3454" s="1406" t="s">
        <v>1037</v>
      </c>
    </row>
    <row r="3455" spans="1:8" x14ac:dyDescent="0.2">
      <c r="A3455" s="7"/>
      <c r="B3455" s="1407" t="str">
        <f t="shared" si="53"/>
        <v>Andrea Carlo Arrighini</v>
      </c>
      <c r="C3455" s="1402" t="s">
        <v>17214</v>
      </c>
      <c r="D3455" s="1403" t="s">
        <v>17215</v>
      </c>
      <c r="E3455" s="1404" t="s">
        <v>17216</v>
      </c>
      <c r="F3455" s="1405" t="s">
        <v>5300</v>
      </c>
      <c r="G3455" s="1403" t="s">
        <v>2900</v>
      </c>
      <c r="H3455" s="1406" t="s">
        <v>1037</v>
      </c>
    </row>
    <row r="3456" spans="1:8" x14ac:dyDescent="0.2">
      <c r="A3456" s="7"/>
      <c r="B3456" s="1407" t="str">
        <f t="shared" si="53"/>
        <v>Daniele Piacentini</v>
      </c>
      <c r="C3456" s="1402" t="s">
        <v>16046</v>
      </c>
      <c r="D3456" s="1403" t="s">
        <v>3022</v>
      </c>
      <c r="E3456" s="1404" t="s">
        <v>16047</v>
      </c>
      <c r="F3456" s="1405" t="s">
        <v>5300</v>
      </c>
      <c r="G3456" s="1403" t="s">
        <v>2780</v>
      </c>
      <c r="H3456" s="1406" t="s">
        <v>1037</v>
      </c>
    </row>
    <row r="3457" spans="1:8" x14ac:dyDescent="0.2">
      <c r="A3457" s="7"/>
      <c r="B3457" s="1407" t="str">
        <f t="shared" si="53"/>
        <v>Gianfranco Scaramuzzi</v>
      </c>
      <c r="C3457" s="1402" t="s">
        <v>16207</v>
      </c>
      <c r="D3457" s="1403" t="s">
        <v>3107</v>
      </c>
      <c r="E3457" s="1404" t="s">
        <v>16208</v>
      </c>
      <c r="F3457" s="1405" t="s">
        <v>5300</v>
      </c>
      <c r="G3457" s="1403" t="s">
        <v>10274</v>
      </c>
      <c r="H3457" s="1406" t="s">
        <v>1037</v>
      </c>
    </row>
    <row r="3458" spans="1:8" x14ac:dyDescent="0.2">
      <c r="A3458" s="7"/>
      <c r="B3458" s="1407" t="str">
        <f t="shared" si="53"/>
        <v>Patrizio Balice</v>
      </c>
      <c r="C3458" s="1402" t="s">
        <v>15205</v>
      </c>
      <c r="D3458" s="1403" t="s">
        <v>6995</v>
      </c>
      <c r="E3458" s="1404" t="s">
        <v>15208</v>
      </c>
      <c r="F3458" s="1405" t="s">
        <v>5299</v>
      </c>
      <c r="G3458" s="1403" t="s">
        <v>15207</v>
      </c>
      <c r="H3458" s="1406" t="s">
        <v>1037</v>
      </c>
    </row>
    <row r="3459" spans="1:8" x14ac:dyDescent="0.2">
      <c r="A3459" s="7"/>
      <c r="B3459" s="1407" t="str">
        <f t="shared" si="53"/>
        <v>Ferdinando Marino</v>
      </c>
      <c r="C3459" s="1402" t="s">
        <v>6481</v>
      </c>
      <c r="D3459" s="1403" t="s">
        <v>3049</v>
      </c>
      <c r="E3459" s="1404" t="s">
        <v>17217</v>
      </c>
      <c r="F3459" s="1405" t="s">
        <v>5300</v>
      </c>
      <c r="G3459" s="1403" t="s">
        <v>16477</v>
      </c>
      <c r="H3459" s="1406" t="s">
        <v>1037</v>
      </c>
    </row>
    <row r="3460" spans="1:8" x14ac:dyDescent="0.2">
      <c r="A3460" s="7"/>
      <c r="B3460" s="1407" t="str">
        <f t="shared" si="53"/>
        <v>Gianluca Baldanzi</v>
      </c>
      <c r="C3460" s="1402" t="s">
        <v>15203</v>
      </c>
      <c r="D3460" s="1403" t="s">
        <v>3369</v>
      </c>
      <c r="E3460" s="1404" t="s">
        <v>15204</v>
      </c>
      <c r="F3460" s="1405" t="s">
        <v>5300</v>
      </c>
      <c r="G3460" s="1403" t="s">
        <v>9699</v>
      </c>
      <c r="H3460" s="1406" t="s">
        <v>1037</v>
      </c>
    </row>
    <row r="3461" spans="1:8" x14ac:dyDescent="0.2">
      <c r="A3461" s="7"/>
      <c r="B3461" s="1407" t="str">
        <f t="shared" si="53"/>
        <v>Massimiliano Boschi</v>
      </c>
      <c r="C3461" s="1402" t="s">
        <v>15270</v>
      </c>
      <c r="D3461" s="1403" t="s">
        <v>3023</v>
      </c>
      <c r="E3461" s="1404" t="s">
        <v>15271</v>
      </c>
      <c r="F3461" s="1405" t="s">
        <v>5299</v>
      </c>
      <c r="G3461" s="1403" t="s">
        <v>11325</v>
      </c>
      <c r="H3461" s="1406" t="s">
        <v>1037</v>
      </c>
    </row>
    <row r="3462" spans="1:8" x14ac:dyDescent="0.2">
      <c r="A3462" s="7"/>
      <c r="B3462" s="1407" t="str">
        <f t="shared" si="53"/>
        <v>Fabrizio Ravazzani</v>
      </c>
      <c r="C3462" s="1402" t="s">
        <v>17218</v>
      </c>
      <c r="D3462" s="1403" t="s">
        <v>3087</v>
      </c>
      <c r="E3462" s="1404" t="s">
        <v>17219</v>
      </c>
      <c r="F3462" s="1405" t="s">
        <v>5300</v>
      </c>
      <c r="G3462" s="1403" t="s">
        <v>9702</v>
      </c>
      <c r="H3462" s="1406" t="s">
        <v>1037</v>
      </c>
    </row>
    <row r="3463" spans="1:8" x14ac:dyDescent="0.2">
      <c r="A3463" s="7"/>
      <c r="B3463" s="1407" t="str">
        <f t="shared" ref="B3463:B3526" si="54">TRIM(CONCATENATE(D3463," ",C3463))</f>
        <v>Maurizio Rubino</v>
      </c>
      <c r="C3463" s="1402" t="s">
        <v>16152</v>
      </c>
      <c r="D3463" s="1403" t="s">
        <v>3148</v>
      </c>
      <c r="E3463" s="1404" t="s">
        <v>16153</v>
      </c>
      <c r="F3463" s="1405" t="s">
        <v>5300</v>
      </c>
      <c r="G3463" s="1403" t="s">
        <v>2749</v>
      </c>
      <c r="H3463" s="1406" t="s">
        <v>1037</v>
      </c>
    </row>
    <row r="3464" spans="1:8" x14ac:dyDescent="0.2">
      <c r="A3464" s="7"/>
      <c r="B3464" s="1407" t="str">
        <f t="shared" si="54"/>
        <v>Daniele Vittorio Calcagno</v>
      </c>
      <c r="C3464" s="1402" t="s">
        <v>15300</v>
      </c>
      <c r="D3464" s="1403" t="s">
        <v>15301</v>
      </c>
      <c r="E3464" s="1404" t="s">
        <v>15302</v>
      </c>
      <c r="F3464" s="1405" t="s">
        <v>5299</v>
      </c>
      <c r="G3464" s="1403" t="s">
        <v>10271</v>
      </c>
      <c r="H3464" s="1406" t="s">
        <v>1037</v>
      </c>
    </row>
    <row r="3465" spans="1:8" x14ac:dyDescent="0.2">
      <c r="A3465" s="7"/>
      <c r="B3465" s="1407" t="str">
        <f t="shared" si="54"/>
        <v>Pasquale Virtu'</v>
      </c>
      <c r="C3465" s="1402" t="s">
        <v>16337</v>
      </c>
      <c r="D3465" s="1403" t="s">
        <v>3548</v>
      </c>
      <c r="E3465" s="1404" t="s">
        <v>16338</v>
      </c>
      <c r="F3465" s="1405" t="s">
        <v>5300</v>
      </c>
      <c r="G3465" s="1403" t="s">
        <v>7880</v>
      </c>
      <c r="H3465" s="1406" t="s">
        <v>1037</v>
      </c>
    </row>
    <row r="3466" spans="1:8" x14ac:dyDescent="0.2">
      <c r="A3466" s="7"/>
      <c r="B3466" s="1407" t="str">
        <f t="shared" si="54"/>
        <v>Pierpaolo Bucci</v>
      </c>
      <c r="C3466" s="1402" t="s">
        <v>15291</v>
      </c>
      <c r="D3466" s="1403" t="s">
        <v>3518</v>
      </c>
      <c r="E3466" s="1404" t="s">
        <v>15292</v>
      </c>
      <c r="F3466" s="1405" t="s">
        <v>5299</v>
      </c>
      <c r="G3466" s="1403" t="s">
        <v>15293</v>
      </c>
      <c r="H3466" s="1406" t="s">
        <v>1037</v>
      </c>
    </row>
    <row r="3467" spans="1:8" x14ac:dyDescent="0.2">
      <c r="A3467" s="7"/>
      <c r="B3467" s="1407" t="str">
        <f t="shared" si="54"/>
        <v>Marco Imperato</v>
      </c>
      <c r="C3467" s="1402" t="s">
        <v>15694</v>
      </c>
      <c r="D3467" s="1403" t="s">
        <v>3109</v>
      </c>
      <c r="E3467" s="1404" t="s">
        <v>15695</v>
      </c>
      <c r="F3467" s="1405" t="s">
        <v>5299</v>
      </c>
      <c r="G3467" s="1403" t="s">
        <v>10274</v>
      </c>
      <c r="H3467" s="1406" t="s">
        <v>1037</v>
      </c>
    </row>
    <row r="3468" spans="1:8" x14ac:dyDescent="0.2">
      <c r="A3468" s="7"/>
      <c r="B3468" s="1407" t="str">
        <f t="shared" si="54"/>
        <v>Marco Baj</v>
      </c>
      <c r="C3468" s="1402" t="s">
        <v>15198</v>
      </c>
      <c r="D3468" s="1403" t="s">
        <v>3109</v>
      </c>
      <c r="E3468" s="1404" t="s">
        <v>15199</v>
      </c>
      <c r="F3468" s="1405" t="s">
        <v>5300</v>
      </c>
      <c r="G3468" s="1403" t="s">
        <v>2787</v>
      </c>
      <c r="H3468" s="1406" t="s">
        <v>1037</v>
      </c>
    </row>
    <row r="3469" spans="1:8" x14ac:dyDescent="0.2">
      <c r="A3469" s="7"/>
      <c r="B3469" s="1407" t="str">
        <f t="shared" si="54"/>
        <v>Alessio Felici</v>
      </c>
      <c r="C3469" s="1402" t="s">
        <v>15534</v>
      </c>
      <c r="D3469" s="1403" t="s">
        <v>3550</v>
      </c>
      <c r="E3469" s="1404" t="s">
        <v>15535</v>
      </c>
      <c r="F3469" s="1405" t="s">
        <v>13211</v>
      </c>
      <c r="G3469" s="1403" t="s">
        <v>11328</v>
      </c>
      <c r="H3469" s="1406" t="s">
        <v>1037</v>
      </c>
    </row>
    <row r="3470" spans="1:8" x14ac:dyDescent="0.2">
      <c r="A3470" s="7"/>
      <c r="B3470" s="1407" t="str">
        <f t="shared" si="54"/>
        <v>Riccardo Danovaro</v>
      </c>
      <c r="C3470" s="1402" t="s">
        <v>15421</v>
      </c>
      <c r="D3470" s="1403" t="s">
        <v>3270</v>
      </c>
      <c r="E3470" s="1404" t="s">
        <v>15422</v>
      </c>
      <c r="F3470" s="1405" t="s">
        <v>1563</v>
      </c>
      <c r="G3470" s="1403" t="s">
        <v>9702</v>
      </c>
      <c r="H3470" s="1406" t="s">
        <v>1037</v>
      </c>
    </row>
    <row r="3471" spans="1:8" x14ac:dyDescent="0.2">
      <c r="A3471" s="7"/>
      <c r="B3471" s="1407" t="str">
        <f t="shared" si="54"/>
        <v>Giuseppe Parisi</v>
      </c>
      <c r="C3471" s="1402" t="s">
        <v>16973</v>
      </c>
      <c r="D3471" s="1403" t="s">
        <v>3122</v>
      </c>
      <c r="E3471" s="1404" t="s">
        <v>16974</v>
      </c>
      <c r="F3471" s="1405" t="s">
        <v>5299</v>
      </c>
      <c r="G3471" s="1403" t="s">
        <v>7872</v>
      </c>
      <c r="H3471" s="1406" t="s">
        <v>1037</v>
      </c>
    </row>
    <row r="3472" spans="1:8" x14ac:dyDescent="0.2">
      <c r="A3472" s="7"/>
      <c r="B3472" s="1407" t="str">
        <f t="shared" si="54"/>
        <v>Riccardo Donzellini</v>
      </c>
      <c r="C3472" s="1402" t="s">
        <v>16914</v>
      </c>
      <c r="D3472" s="1403" t="s">
        <v>3270</v>
      </c>
      <c r="E3472" s="1404" t="s">
        <v>16915</v>
      </c>
      <c r="F3472" s="1405" t="s">
        <v>5299</v>
      </c>
      <c r="G3472" s="1403" t="s">
        <v>13321</v>
      </c>
      <c r="H3472" s="1406" t="s">
        <v>1037</v>
      </c>
    </row>
    <row r="3473" spans="1:8" x14ac:dyDescent="0.2">
      <c r="A3473" s="7"/>
      <c r="B3473" s="1407" t="str">
        <f t="shared" si="54"/>
        <v>Corrado Nicholas Moscato</v>
      </c>
      <c r="C3473" s="1402" t="s">
        <v>16964</v>
      </c>
      <c r="D3473" s="1403" t="s">
        <v>16887</v>
      </c>
      <c r="E3473" s="1404" t="s">
        <v>16965</v>
      </c>
      <c r="F3473" s="1405" t="s">
        <v>1563</v>
      </c>
      <c r="G3473" s="1403" t="s">
        <v>16490</v>
      </c>
      <c r="H3473" s="1406" t="s">
        <v>1037</v>
      </c>
    </row>
    <row r="3474" spans="1:8" x14ac:dyDescent="0.2">
      <c r="A3474" s="7"/>
      <c r="B3474" s="1407" t="str">
        <f t="shared" si="54"/>
        <v>Ugo Sabadini</v>
      </c>
      <c r="C3474" s="1402" t="s">
        <v>16981</v>
      </c>
      <c r="D3474" s="1403" t="s">
        <v>3359</v>
      </c>
      <c r="E3474" s="1404" t="s">
        <v>16982</v>
      </c>
      <c r="F3474" s="1405" t="s">
        <v>5300</v>
      </c>
      <c r="G3474" s="1403" t="s">
        <v>16477</v>
      </c>
      <c r="H3474" s="1406" t="s">
        <v>1037</v>
      </c>
    </row>
    <row r="3475" spans="1:8" x14ac:dyDescent="0.2">
      <c r="A3475" s="7"/>
      <c r="B3475" s="1407" t="str">
        <f t="shared" si="54"/>
        <v>Roberto Beducci</v>
      </c>
      <c r="C3475" s="1402" t="s">
        <v>17220</v>
      </c>
      <c r="D3475" s="1403" t="s">
        <v>3279</v>
      </c>
      <c r="E3475" s="1404" t="s">
        <v>17221</v>
      </c>
      <c r="F3475" s="1405" t="s">
        <v>5300</v>
      </c>
      <c r="G3475" s="1403" t="s">
        <v>11179</v>
      </c>
      <c r="H3475" s="1406" t="s">
        <v>1037</v>
      </c>
    </row>
    <row r="3476" spans="1:8" x14ac:dyDescent="0.2">
      <c r="A3476" s="7"/>
      <c r="B3476" s="1407" t="str">
        <f t="shared" si="54"/>
        <v>Yevanhelina Viazovska</v>
      </c>
      <c r="C3476" s="1402" t="s">
        <v>16994</v>
      </c>
      <c r="D3476" s="1403" t="s">
        <v>16995</v>
      </c>
      <c r="E3476" s="1404" t="s">
        <v>16996</v>
      </c>
      <c r="F3476" s="1405" t="s">
        <v>1563</v>
      </c>
      <c r="G3476" s="1403" t="s">
        <v>13594</v>
      </c>
      <c r="H3476" s="1406" t="s">
        <v>1037</v>
      </c>
    </row>
    <row r="3477" spans="1:8" x14ac:dyDescent="0.2">
      <c r="A3477" s="7"/>
      <c r="B3477" s="1407" t="str">
        <f t="shared" si="54"/>
        <v>Ignazio Monte</v>
      </c>
      <c r="C3477" s="1402" t="s">
        <v>16962</v>
      </c>
      <c r="D3477" s="1403" t="s">
        <v>5627</v>
      </c>
      <c r="E3477" s="1404" t="s">
        <v>16963</v>
      </c>
      <c r="F3477" s="1405" t="s">
        <v>5300</v>
      </c>
      <c r="G3477" s="1403" t="s">
        <v>14454</v>
      </c>
      <c r="H3477" s="1406" t="s">
        <v>1037</v>
      </c>
    </row>
    <row r="3478" spans="1:8" x14ac:dyDescent="0.2">
      <c r="A3478" s="7"/>
      <c r="B3478" s="1407" t="str">
        <f t="shared" si="54"/>
        <v>Luca Martinelli</v>
      </c>
      <c r="C3478" s="1402" t="s">
        <v>15866</v>
      </c>
      <c r="D3478" s="1403" t="s">
        <v>3198</v>
      </c>
      <c r="E3478" s="1404" t="s">
        <v>17897</v>
      </c>
      <c r="F3478" s="1405" t="s">
        <v>5299</v>
      </c>
      <c r="G3478" s="1403" t="s">
        <v>17082</v>
      </c>
      <c r="H3478" s="1406" t="s">
        <v>1037</v>
      </c>
    </row>
    <row r="3479" spans="1:8" x14ac:dyDescent="0.2">
      <c r="A3479" s="7"/>
      <c r="B3479" s="1407" t="str">
        <f t="shared" si="54"/>
        <v>Michael De Alessandris</v>
      </c>
      <c r="C3479" s="1402" t="s">
        <v>16908</v>
      </c>
      <c r="D3479" s="1403" t="s">
        <v>3416</v>
      </c>
      <c r="E3479" s="1404" t="s">
        <v>16909</v>
      </c>
      <c r="F3479" s="1405" t="s">
        <v>5299</v>
      </c>
      <c r="G3479" s="1403" t="s">
        <v>13324</v>
      </c>
      <c r="H3479" s="1406" t="s">
        <v>1037</v>
      </c>
    </row>
    <row r="3480" spans="1:8" x14ac:dyDescent="0.2">
      <c r="A3480" s="7"/>
      <c r="B3480" s="1407" t="str">
        <f t="shared" si="54"/>
        <v>Claudio Frola</v>
      </c>
      <c r="C3480" s="1402" t="s">
        <v>17222</v>
      </c>
      <c r="D3480" s="1403" t="s">
        <v>3038</v>
      </c>
      <c r="E3480" s="1404" t="s">
        <v>17223</v>
      </c>
      <c r="F3480" s="1405" t="s">
        <v>5299</v>
      </c>
      <c r="G3480" s="1403" t="s">
        <v>2787</v>
      </c>
      <c r="H3480" s="1406" t="s">
        <v>1037</v>
      </c>
    </row>
    <row r="3481" spans="1:8" x14ac:dyDescent="0.2">
      <c r="A3481" s="7"/>
      <c r="B3481" s="1407" t="str">
        <f t="shared" si="54"/>
        <v>Giuseppe Gatti</v>
      </c>
      <c r="C3481" s="1402" t="s">
        <v>17224</v>
      </c>
      <c r="D3481" s="1403" t="s">
        <v>3122</v>
      </c>
      <c r="E3481" s="1404" t="s">
        <v>17225</v>
      </c>
      <c r="F3481" s="1405" t="s">
        <v>5300</v>
      </c>
      <c r="G3481" s="1403" t="s">
        <v>11325</v>
      </c>
      <c r="H3481" s="1406" t="s">
        <v>1037</v>
      </c>
    </row>
    <row r="3482" spans="1:8" x14ac:dyDescent="0.2">
      <c r="A3482" s="7"/>
      <c r="B3482" s="1407" t="str">
        <f t="shared" si="54"/>
        <v>Dario Giotti</v>
      </c>
      <c r="C3482" s="1402" t="s">
        <v>17226</v>
      </c>
      <c r="D3482" s="1403" t="s">
        <v>3372</v>
      </c>
      <c r="E3482" s="1404" t="s">
        <v>17227</v>
      </c>
      <c r="F3482" s="1405" t="s">
        <v>5299</v>
      </c>
      <c r="G3482" s="1403" t="s">
        <v>14585</v>
      </c>
      <c r="H3482" s="1406" t="s">
        <v>1037</v>
      </c>
    </row>
    <row r="3483" spans="1:8" x14ac:dyDescent="0.2">
      <c r="A3483" s="7"/>
      <c r="B3483" s="1407" t="str">
        <f t="shared" si="54"/>
        <v>Dario Lazzarini</v>
      </c>
      <c r="C3483" s="1402" t="s">
        <v>17228</v>
      </c>
      <c r="D3483" s="1403" t="s">
        <v>3372</v>
      </c>
      <c r="E3483" s="1404" t="s">
        <v>17229</v>
      </c>
      <c r="F3483" s="1405" t="s">
        <v>5299</v>
      </c>
      <c r="G3483" s="1403" t="s">
        <v>17179</v>
      </c>
      <c r="H3483" s="1406" t="s">
        <v>1037</v>
      </c>
    </row>
    <row r="3484" spans="1:8" x14ac:dyDescent="0.2">
      <c r="A3484" s="7"/>
      <c r="B3484" s="1407" t="str">
        <f t="shared" si="54"/>
        <v>Marco Calamari</v>
      </c>
      <c r="C3484" s="1402" t="s">
        <v>17230</v>
      </c>
      <c r="D3484" s="1403" t="s">
        <v>3109</v>
      </c>
      <c r="E3484" s="1404" t="s">
        <v>17231</v>
      </c>
      <c r="F3484" s="1405" t="s">
        <v>5300</v>
      </c>
      <c r="G3484" s="1403" t="s">
        <v>17179</v>
      </c>
      <c r="H3484" s="1406" t="s">
        <v>1037</v>
      </c>
    </row>
    <row r="3485" spans="1:8" x14ac:dyDescent="0.2">
      <c r="A3485" s="7"/>
      <c r="B3485" s="1407" t="str">
        <f t="shared" si="54"/>
        <v>Simone Preziuso</v>
      </c>
      <c r="C3485" s="1402" t="s">
        <v>6524</v>
      </c>
      <c r="D3485" s="1403" t="s">
        <v>3158</v>
      </c>
      <c r="E3485" s="1404" t="s">
        <v>17898</v>
      </c>
      <c r="F3485" s="1405" t="s">
        <v>1563</v>
      </c>
      <c r="G3485" s="1403" t="s">
        <v>7876</v>
      </c>
      <c r="H3485" s="1406" t="s">
        <v>1037</v>
      </c>
    </row>
    <row r="3486" spans="1:8" x14ac:dyDescent="0.2">
      <c r="A3486" s="7"/>
      <c r="B3486" s="1407" t="str">
        <f t="shared" si="54"/>
        <v>Andrea Furlani</v>
      </c>
      <c r="C3486" s="1402" t="s">
        <v>17899</v>
      </c>
      <c r="D3486" s="1403" t="s">
        <v>3027</v>
      </c>
      <c r="E3486" s="1404" t="s">
        <v>17900</v>
      </c>
      <c r="F3486" s="1405" t="s">
        <v>5300</v>
      </c>
      <c r="G3486" s="1403" t="s">
        <v>13312</v>
      </c>
      <c r="H3486" s="1406" t="s">
        <v>1037</v>
      </c>
    </row>
    <row r="3487" spans="1:8" x14ac:dyDescent="0.2">
      <c r="A3487" s="7"/>
      <c r="B3487" s="1407" t="str">
        <f t="shared" si="54"/>
        <v>Oscar Caselli</v>
      </c>
      <c r="C3487" s="1402" t="s">
        <v>17901</v>
      </c>
      <c r="D3487" s="1403" t="s">
        <v>17902</v>
      </c>
      <c r="E3487" s="1404" t="s">
        <v>17903</v>
      </c>
      <c r="F3487" s="1405" t="s">
        <v>5299</v>
      </c>
      <c r="G3487" s="1403" t="s">
        <v>9701</v>
      </c>
      <c r="H3487" s="1406" t="s">
        <v>1037</v>
      </c>
    </row>
    <row r="3488" spans="1:8" x14ac:dyDescent="0.2">
      <c r="A3488" s="7"/>
      <c r="B3488" s="1407" t="str">
        <f t="shared" si="54"/>
        <v>Gabriele Preziuso</v>
      </c>
      <c r="C3488" s="1402" t="s">
        <v>6524</v>
      </c>
      <c r="D3488" s="1403" t="s">
        <v>3127</v>
      </c>
      <c r="E3488" s="1404" t="s">
        <v>17904</v>
      </c>
      <c r="F3488" s="1405" t="s">
        <v>1563</v>
      </c>
      <c r="G3488" s="1403" t="s">
        <v>7876</v>
      </c>
      <c r="H3488" s="1406" t="s">
        <v>1037</v>
      </c>
    </row>
    <row r="3489" spans="1:8" x14ac:dyDescent="0.2">
      <c r="A3489" s="7"/>
      <c r="B3489" s="1407" t="str">
        <f t="shared" si="54"/>
        <v>Manuel Passini</v>
      </c>
      <c r="C3489" s="1402" t="s">
        <v>17905</v>
      </c>
      <c r="D3489" s="1403" t="s">
        <v>3171</v>
      </c>
      <c r="E3489" s="1404" t="s">
        <v>17906</v>
      </c>
      <c r="F3489" s="1405" t="s">
        <v>13211</v>
      </c>
      <c r="G3489" s="1403" t="s">
        <v>15232</v>
      </c>
      <c r="H3489" s="1406" t="s">
        <v>1037</v>
      </c>
    </row>
    <row r="3490" spans="1:8" x14ac:dyDescent="0.2">
      <c r="A3490" s="7"/>
      <c r="B3490" s="1407" t="str">
        <f t="shared" si="54"/>
        <v>Alessio Leandro</v>
      </c>
      <c r="C3490" s="1402" t="s">
        <v>3566</v>
      </c>
      <c r="D3490" s="1403" t="s">
        <v>3550</v>
      </c>
      <c r="E3490" s="1404" t="s">
        <v>17907</v>
      </c>
      <c r="F3490" s="1405" t="s">
        <v>5300</v>
      </c>
      <c r="G3490" s="1403" t="s">
        <v>16477</v>
      </c>
      <c r="H3490" s="1406" t="s">
        <v>1037</v>
      </c>
    </row>
    <row r="3491" spans="1:8" x14ac:dyDescent="0.2">
      <c r="A3491" s="7"/>
      <c r="B3491" s="1407" t="str">
        <f t="shared" si="54"/>
        <v>Ronny Rosario Aquino</v>
      </c>
      <c r="C3491" s="1402" t="s">
        <v>17908</v>
      </c>
      <c r="D3491" s="1403" t="s">
        <v>17909</v>
      </c>
      <c r="E3491" s="1404" t="s">
        <v>17910</v>
      </c>
      <c r="F3491" s="1405" t="s">
        <v>5299</v>
      </c>
      <c r="G3491" s="1403" t="s">
        <v>7878</v>
      </c>
      <c r="H3491" s="1406" t="s">
        <v>1037</v>
      </c>
    </row>
    <row r="3492" spans="1:8" x14ac:dyDescent="0.2">
      <c r="A3492" s="7"/>
      <c r="B3492" s="1407" t="str">
        <f t="shared" si="54"/>
        <v>Cristian Argentino</v>
      </c>
      <c r="C3492" s="1402" t="s">
        <v>17911</v>
      </c>
      <c r="D3492" s="1403" t="s">
        <v>3705</v>
      </c>
      <c r="E3492" s="1404" t="s">
        <v>17912</v>
      </c>
      <c r="F3492" s="1405" t="s">
        <v>1563</v>
      </c>
      <c r="G3492" s="1403" t="s">
        <v>2765</v>
      </c>
      <c r="H3492" s="1406" t="s">
        <v>1037</v>
      </c>
    </row>
    <row r="3493" spans="1:8" x14ac:dyDescent="0.2">
      <c r="A3493" s="7"/>
      <c r="B3493" s="1407" t="str">
        <f t="shared" si="54"/>
        <v>Rayan Baccali</v>
      </c>
      <c r="C3493" s="1402" t="s">
        <v>17913</v>
      </c>
      <c r="D3493" s="1403" t="s">
        <v>15840</v>
      </c>
      <c r="E3493" s="1404" t="s">
        <v>17914</v>
      </c>
      <c r="F3493" s="1405" t="s">
        <v>13211</v>
      </c>
      <c r="G3493" s="1403" t="s">
        <v>7876</v>
      </c>
      <c r="H3493" s="1406" t="s">
        <v>1037</v>
      </c>
    </row>
    <row r="3494" spans="1:8" x14ac:dyDescent="0.2">
      <c r="A3494" s="7"/>
      <c r="B3494" s="1407" t="str">
        <f t="shared" si="54"/>
        <v>Mariella Banditelli</v>
      </c>
      <c r="C3494" s="1402" t="s">
        <v>6354</v>
      </c>
      <c r="D3494" s="1403" t="s">
        <v>17915</v>
      </c>
      <c r="E3494" s="1404" t="s">
        <v>17916</v>
      </c>
      <c r="F3494" s="1405" t="s">
        <v>5300</v>
      </c>
      <c r="G3494" s="1403" t="s">
        <v>7874</v>
      </c>
      <c r="H3494" s="1406" t="s">
        <v>1037</v>
      </c>
    </row>
    <row r="3495" spans="1:8" x14ac:dyDescent="0.2">
      <c r="A3495" s="7"/>
      <c r="B3495" s="1407" t="str">
        <f t="shared" si="54"/>
        <v>Eloisa Bernava</v>
      </c>
      <c r="C3495" s="1402" t="s">
        <v>17917</v>
      </c>
      <c r="D3495" s="1403" t="s">
        <v>17918</v>
      </c>
      <c r="E3495" s="1404" t="s">
        <v>17919</v>
      </c>
      <c r="F3495" s="1405" t="s">
        <v>5300</v>
      </c>
      <c r="G3495" s="1403" t="s">
        <v>13593</v>
      </c>
      <c r="H3495" s="1406" t="s">
        <v>1037</v>
      </c>
    </row>
    <row r="3496" spans="1:8" x14ac:dyDescent="0.2">
      <c r="A3496" s="7"/>
      <c r="B3496" s="1407" t="str">
        <f t="shared" si="54"/>
        <v>Marco Bertolotti</v>
      </c>
      <c r="C3496" s="1402" t="s">
        <v>17920</v>
      </c>
      <c r="D3496" s="1403" t="s">
        <v>3109</v>
      </c>
      <c r="E3496" s="1404" t="s">
        <v>17921</v>
      </c>
      <c r="F3496" s="1405" t="s">
        <v>5300</v>
      </c>
      <c r="G3496" s="1403" t="s">
        <v>11326</v>
      </c>
      <c r="H3496" s="1406" t="s">
        <v>1037</v>
      </c>
    </row>
    <row r="3497" spans="1:8" x14ac:dyDescent="0.2">
      <c r="A3497" s="7"/>
      <c r="B3497" s="1407" t="str">
        <f t="shared" si="54"/>
        <v>Fabrizio Boffa</v>
      </c>
      <c r="C3497" s="1402" t="s">
        <v>17922</v>
      </c>
      <c r="D3497" s="1403" t="s">
        <v>3087</v>
      </c>
      <c r="E3497" s="1404" t="s">
        <v>17923</v>
      </c>
      <c r="F3497" s="1405" t="s">
        <v>5300</v>
      </c>
      <c r="G3497" s="1403" t="s">
        <v>16477</v>
      </c>
      <c r="H3497" s="1406" t="s">
        <v>1037</v>
      </c>
    </row>
    <row r="3498" spans="1:8" x14ac:dyDescent="0.2">
      <c r="A3498" s="7"/>
      <c r="B3498" s="1407" t="str">
        <f t="shared" si="54"/>
        <v>Valeriano Brozzoli</v>
      </c>
      <c r="C3498" s="1402" t="s">
        <v>17924</v>
      </c>
      <c r="D3498" s="1403" t="s">
        <v>7477</v>
      </c>
      <c r="E3498" s="1404" t="s">
        <v>17925</v>
      </c>
      <c r="F3498" s="1405" t="s">
        <v>5300</v>
      </c>
      <c r="G3498" s="1403" t="s">
        <v>13324</v>
      </c>
      <c r="H3498" s="1406" t="s">
        <v>1037</v>
      </c>
    </row>
    <row r="3499" spans="1:8" x14ac:dyDescent="0.2">
      <c r="A3499" s="7"/>
      <c r="B3499" s="1407" t="str">
        <f t="shared" si="54"/>
        <v>Vincenzo Buonansegna</v>
      </c>
      <c r="C3499" s="1402" t="s">
        <v>15294</v>
      </c>
      <c r="D3499" s="1403" t="s">
        <v>3163</v>
      </c>
      <c r="E3499" s="1404" t="s">
        <v>17926</v>
      </c>
      <c r="F3499" s="1405" t="s">
        <v>1563</v>
      </c>
      <c r="G3499" s="1403" t="s">
        <v>16501</v>
      </c>
      <c r="H3499" s="1406" t="s">
        <v>1037</v>
      </c>
    </row>
    <row r="3500" spans="1:8" x14ac:dyDescent="0.2">
      <c r="A3500" s="7"/>
      <c r="B3500" s="1407" t="str">
        <f t="shared" si="54"/>
        <v>Francesco Cappuccio</v>
      </c>
      <c r="C3500" s="1402" t="s">
        <v>17927</v>
      </c>
      <c r="D3500" s="1403" t="s">
        <v>3277</v>
      </c>
      <c r="E3500" s="1404" t="s">
        <v>17928</v>
      </c>
      <c r="F3500" s="1405" t="s">
        <v>5300</v>
      </c>
      <c r="G3500" s="1403" t="s">
        <v>13595</v>
      </c>
      <c r="H3500" s="1406" t="s">
        <v>1037</v>
      </c>
    </row>
    <row r="3501" spans="1:8" x14ac:dyDescent="0.2">
      <c r="A3501" s="7"/>
      <c r="B3501" s="1407" t="str">
        <f t="shared" si="54"/>
        <v>Edoardo Carlesso</v>
      </c>
      <c r="C3501" s="1402" t="s">
        <v>17929</v>
      </c>
      <c r="D3501" s="1403" t="s">
        <v>3558</v>
      </c>
      <c r="E3501" s="1404" t="s">
        <v>17930</v>
      </c>
      <c r="F3501" s="1405" t="s">
        <v>13211</v>
      </c>
      <c r="G3501" s="1403" t="s">
        <v>7878</v>
      </c>
      <c r="H3501" s="1406" t="s">
        <v>1037</v>
      </c>
    </row>
    <row r="3502" spans="1:8" x14ac:dyDescent="0.2">
      <c r="A3502" s="7"/>
      <c r="B3502" s="1407" t="str">
        <f t="shared" si="54"/>
        <v>Davide Caroppo</v>
      </c>
      <c r="C3502" s="1402" t="s">
        <v>17931</v>
      </c>
      <c r="D3502" s="1403" t="s">
        <v>3329</v>
      </c>
      <c r="E3502" s="1404" t="s">
        <v>17932</v>
      </c>
      <c r="F3502" s="1405" t="s">
        <v>5299</v>
      </c>
      <c r="G3502" s="1403" t="s">
        <v>7880</v>
      </c>
      <c r="H3502" s="1406" t="s">
        <v>1037</v>
      </c>
    </row>
    <row r="3503" spans="1:8" x14ac:dyDescent="0.2">
      <c r="A3503" s="7"/>
      <c r="B3503" s="1407" t="str">
        <f t="shared" si="54"/>
        <v>Giovanni Celli</v>
      </c>
      <c r="C3503" s="1402" t="s">
        <v>17933</v>
      </c>
      <c r="D3503" s="1403" t="s">
        <v>3371</v>
      </c>
      <c r="E3503" s="1404" t="s">
        <v>17934</v>
      </c>
      <c r="F3503" s="1405" t="s">
        <v>5300</v>
      </c>
      <c r="G3503" s="1403" t="s">
        <v>7873</v>
      </c>
      <c r="H3503" s="1406" t="s">
        <v>1037</v>
      </c>
    </row>
    <row r="3504" spans="1:8" x14ac:dyDescent="0.2">
      <c r="A3504" s="7"/>
      <c r="B3504" s="1407" t="str">
        <f t="shared" si="54"/>
        <v>Martino Chianale</v>
      </c>
      <c r="C3504" s="1402" t="s">
        <v>15355</v>
      </c>
      <c r="D3504" s="1403" t="s">
        <v>17935</v>
      </c>
      <c r="E3504" s="1404" t="s">
        <v>17936</v>
      </c>
      <c r="F3504" s="1405" t="s">
        <v>13211</v>
      </c>
      <c r="G3504" s="1403" t="s">
        <v>16477</v>
      </c>
      <c r="H3504" s="1406" t="s">
        <v>1037</v>
      </c>
    </row>
    <row r="3505" spans="1:8" x14ac:dyDescent="0.2">
      <c r="A3505" s="7"/>
      <c r="B3505" s="1407" t="str">
        <f t="shared" si="54"/>
        <v>Maurizio Cussotto</v>
      </c>
      <c r="C3505" s="1402" t="s">
        <v>17937</v>
      </c>
      <c r="D3505" s="1403" t="s">
        <v>3148</v>
      </c>
      <c r="E3505" s="1404" t="s">
        <v>17938</v>
      </c>
      <c r="F3505" s="1405" t="s">
        <v>5300</v>
      </c>
      <c r="G3505" s="1403" t="s">
        <v>13596</v>
      </c>
      <c r="H3505" s="1406" t="s">
        <v>1037</v>
      </c>
    </row>
    <row r="3506" spans="1:8" x14ac:dyDescent="0.2">
      <c r="A3506" s="7"/>
      <c r="B3506" s="1407" t="str">
        <f t="shared" si="54"/>
        <v>Michele D'Apollo</v>
      </c>
      <c r="C3506" s="1402" t="s">
        <v>17939</v>
      </c>
      <c r="D3506" s="1403" t="s">
        <v>3216</v>
      </c>
      <c r="E3506" s="1404" t="s">
        <v>17940</v>
      </c>
      <c r="F3506" s="1405" t="s">
        <v>5299</v>
      </c>
      <c r="G3506" s="1403" t="s">
        <v>10269</v>
      </c>
      <c r="H3506" s="1406" t="s">
        <v>1037</v>
      </c>
    </row>
    <row r="3507" spans="1:8" x14ac:dyDescent="0.2">
      <c r="A3507" s="7"/>
      <c r="B3507" s="1407" t="str">
        <f t="shared" si="54"/>
        <v>Paolo Dalia</v>
      </c>
      <c r="C3507" s="1402" t="s">
        <v>17941</v>
      </c>
      <c r="D3507" s="1403" t="s">
        <v>3119</v>
      </c>
      <c r="E3507" s="1404" t="s">
        <v>17942</v>
      </c>
      <c r="F3507" s="1405" t="s">
        <v>5300</v>
      </c>
      <c r="G3507" s="1403" t="s">
        <v>16477</v>
      </c>
      <c r="H3507" s="1406" t="s">
        <v>1037</v>
      </c>
    </row>
    <row r="3508" spans="1:8" x14ac:dyDescent="0.2">
      <c r="A3508" s="7"/>
      <c r="B3508" s="1407" t="str">
        <f t="shared" si="54"/>
        <v>Roberta De Rosa</v>
      </c>
      <c r="C3508" s="1402" t="s">
        <v>17943</v>
      </c>
      <c r="D3508" s="1403" t="s">
        <v>17944</v>
      </c>
      <c r="E3508" s="1404" t="s">
        <v>17945</v>
      </c>
      <c r="F3508" s="1405" t="s">
        <v>5299</v>
      </c>
      <c r="G3508" s="1403" t="s">
        <v>7874</v>
      </c>
      <c r="H3508" s="1406" t="s">
        <v>1037</v>
      </c>
    </row>
    <row r="3509" spans="1:8" x14ac:dyDescent="0.2">
      <c r="A3509" s="7"/>
      <c r="B3509" s="1407" t="str">
        <f t="shared" si="54"/>
        <v>Riccardo Ferrucci</v>
      </c>
      <c r="C3509" s="1402" t="s">
        <v>6434</v>
      </c>
      <c r="D3509" s="1403" t="s">
        <v>3270</v>
      </c>
      <c r="E3509" s="1404" t="s">
        <v>17946</v>
      </c>
      <c r="F3509" s="1405" t="s">
        <v>5300</v>
      </c>
      <c r="G3509" s="1403" t="s">
        <v>15232</v>
      </c>
      <c r="H3509" s="1406" t="s">
        <v>1037</v>
      </c>
    </row>
    <row r="3510" spans="1:8" x14ac:dyDescent="0.2">
      <c r="A3510" s="7"/>
      <c r="B3510" s="1407" t="str">
        <f t="shared" si="54"/>
        <v>Antonio Giacummo</v>
      </c>
      <c r="C3510" s="1402" t="s">
        <v>17947</v>
      </c>
      <c r="D3510" s="1403" t="s">
        <v>3341</v>
      </c>
      <c r="E3510" s="1404" t="s">
        <v>17948</v>
      </c>
      <c r="F3510" s="1405" t="s">
        <v>5299</v>
      </c>
      <c r="G3510" s="1403" t="s">
        <v>16501</v>
      </c>
      <c r="H3510" s="1406" t="s">
        <v>1037</v>
      </c>
    </row>
    <row r="3511" spans="1:8" x14ac:dyDescent="0.2">
      <c r="A3511" s="7"/>
      <c r="B3511" s="1407" t="str">
        <f t="shared" si="54"/>
        <v>Carlo Grandinetti</v>
      </c>
      <c r="C3511" s="1402" t="s">
        <v>17949</v>
      </c>
      <c r="D3511" s="1403" t="s">
        <v>3266</v>
      </c>
      <c r="E3511" s="1404" t="s">
        <v>17950</v>
      </c>
      <c r="F3511" s="1405" t="s">
        <v>5300</v>
      </c>
      <c r="G3511" s="1403" t="s">
        <v>8865</v>
      </c>
      <c r="H3511" s="1406" t="s">
        <v>1037</v>
      </c>
    </row>
    <row r="3512" spans="1:8" x14ac:dyDescent="0.2">
      <c r="A3512" s="7"/>
      <c r="B3512" s="1407" t="str">
        <f t="shared" si="54"/>
        <v>Luca Iaria</v>
      </c>
      <c r="C3512" s="1402" t="s">
        <v>17951</v>
      </c>
      <c r="D3512" s="1403" t="s">
        <v>3198</v>
      </c>
      <c r="E3512" s="1404" t="s">
        <v>17952</v>
      </c>
      <c r="F3512" s="1405" t="s">
        <v>5300</v>
      </c>
      <c r="G3512" s="1403" t="s">
        <v>16490</v>
      </c>
      <c r="H3512" s="1406" t="s">
        <v>1037</v>
      </c>
    </row>
    <row r="3513" spans="1:8" x14ac:dyDescent="0.2">
      <c r="A3513" s="7"/>
      <c r="B3513" s="1407" t="str">
        <f t="shared" si="54"/>
        <v>Matteo La Marca</v>
      </c>
      <c r="C3513" s="1402" t="s">
        <v>17953</v>
      </c>
      <c r="D3513" s="1403" t="s">
        <v>3200</v>
      </c>
      <c r="E3513" s="1404" t="s">
        <v>17954</v>
      </c>
      <c r="F3513" s="1405" t="s">
        <v>1563</v>
      </c>
      <c r="G3513" s="1403" t="s">
        <v>9700</v>
      </c>
      <c r="H3513" s="1406" t="s">
        <v>1037</v>
      </c>
    </row>
    <row r="3514" spans="1:8" x14ac:dyDescent="0.2">
      <c r="A3514" s="7"/>
      <c r="B3514" s="1407" t="str">
        <f t="shared" si="54"/>
        <v>Claudio Lallai</v>
      </c>
      <c r="C3514" s="1402" t="s">
        <v>17955</v>
      </c>
      <c r="D3514" s="1403" t="s">
        <v>3038</v>
      </c>
      <c r="E3514" s="1404" t="s">
        <v>17956</v>
      </c>
      <c r="F3514" s="1405" t="s">
        <v>5299</v>
      </c>
      <c r="G3514" s="1403" t="s">
        <v>10292</v>
      </c>
      <c r="H3514" s="1406" t="s">
        <v>1037</v>
      </c>
    </row>
    <row r="3515" spans="1:8" x14ac:dyDescent="0.2">
      <c r="A3515" s="7"/>
      <c r="B3515" s="1407" t="str">
        <f t="shared" si="54"/>
        <v>Riccardo Lazzi</v>
      </c>
      <c r="C3515" s="1402" t="s">
        <v>17957</v>
      </c>
      <c r="D3515" s="1403" t="s">
        <v>3270</v>
      </c>
      <c r="E3515" s="1404" t="s">
        <v>17958</v>
      </c>
      <c r="F3515" s="1405" t="s">
        <v>5299</v>
      </c>
      <c r="G3515" s="1403" t="s">
        <v>11179</v>
      </c>
      <c r="H3515" s="1406" t="s">
        <v>1037</v>
      </c>
    </row>
    <row r="3516" spans="1:8" x14ac:dyDescent="0.2">
      <c r="A3516" s="7"/>
      <c r="B3516" s="1407" t="str">
        <f t="shared" si="54"/>
        <v>Fabio Loseto</v>
      </c>
      <c r="C3516" s="1402" t="s">
        <v>17959</v>
      </c>
      <c r="D3516" s="1403" t="s">
        <v>3133</v>
      </c>
      <c r="E3516" s="1404" t="s">
        <v>17960</v>
      </c>
      <c r="F3516" s="1405" t="s">
        <v>5299</v>
      </c>
      <c r="G3516" s="1403" t="s">
        <v>10274</v>
      </c>
      <c r="H3516" s="1406" t="s">
        <v>1037</v>
      </c>
    </row>
    <row r="3517" spans="1:8" x14ac:dyDescent="0.2">
      <c r="A3517" s="7"/>
      <c r="B3517" s="1407" t="str">
        <f t="shared" si="54"/>
        <v>Marco Loseto</v>
      </c>
      <c r="C3517" s="1402" t="s">
        <v>17959</v>
      </c>
      <c r="D3517" s="1403" t="s">
        <v>3109</v>
      </c>
      <c r="E3517" s="1404" t="s">
        <v>17961</v>
      </c>
      <c r="F3517" s="1405" t="s">
        <v>13211</v>
      </c>
      <c r="G3517" s="1403" t="s">
        <v>10274</v>
      </c>
      <c r="H3517" s="1406" t="s">
        <v>1037</v>
      </c>
    </row>
    <row r="3518" spans="1:8" x14ac:dyDescent="0.2">
      <c r="A3518" s="7"/>
      <c r="B3518" s="1407" t="str">
        <f t="shared" si="54"/>
        <v>Daniele Maffei</v>
      </c>
      <c r="C3518" s="1402" t="s">
        <v>17962</v>
      </c>
      <c r="D3518" s="1403" t="s">
        <v>3022</v>
      </c>
      <c r="E3518" s="1404" t="s">
        <v>17963</v>
      </c>
      <c r="F3518" s="1405" t="s">
        <v>1563</v>
      </c>
      <c r="G3518" s="1403" t="s">
        <v>10274</v>
      </c>
      <c r="H3518" s="1406" t="s">
        <v>1037</v>
      </c>
    </row>
    <row r="3519" spans="1:8" x14ac:dyDescent="0.2">
      <c r="A3519" s="7"/>
      <c r="B3519" s="1407" t="str">
        <f t="shared" si="54"/>
        <v>Marco Manente</v>
      </c>
      <c r="C3519" s="1402" t="s">
        <v>17964</v>
      </c>
      <c r="D3519" s="1403" t="s">
        <v>3109</v>
      </c>
      <c r="E3519" s="1404" t="s">
        <v>17965</v>
      </c>
      <c r="F3519" s="1405" t="s">
        <v>5299</v>
      </c>
      <c r="G3519" s="1403" t="s">
        <v>16843</v>
      </c>
      <c r="H3519" s="1406" t="s">
        <v>1037</v>
      </c>
    </row>
    <row r="3520" spans="1:8" x14ac:dyDescent="0.2">
      <c r="A3520" s="7"/>
      <c r="B3520" s="1407" t="str">
        <f t="shared" si="54"/>
        <v>Antonio Marino</v>
      </c>
      <c r="C3520" s="1402" t="s">
        <v>6481</v>
      </c>
      <c r="D3520" s="1403" t="s">
        <v>3341</v>
      </c>
      <c r="E3520" s="1404" t="s">
        <v>17966</v>
      </c>
      <c r="F3520" s="1405" t="s">
        <v>13211</v>
      </c>
      <c r="G3520" s="1403" t="s">
        <v>16490</v>
      </c>
      <c r="H3520" s="1406" t="s">
        <v>1037</v>
      </c>
    </row>
    <row r="3521" spans="1:8" x14ac:dyDescent="0.2">
      <c r="A3521" s="7"/>
      <c r="B3521" s="1407" t="str">
        <f t="shared" si="54"/>
        <v>Giampaolo Mungo</v>
      </c>
      <c r="C3521" s="1402" t="s">
        <v>17967</v>
      </c>
      <c r="D3521" s="1403" t="s">
        <v>7474</v>
      </c>
      <c r="E3521" s="1404" t="s">
        <v>17968</v>
      </c>
      <c r="F3521" s="1405" t="s">
        <v>5300</v>
      </c>
      <c r="G3521" s="1403" t="s">
        <v>11326</v>
      </c>
      <c r="H3521" s="1406" t="s">
        <v>1037</v>
      </c>
    </row>
    <row r="3522" spans="1:8" x14ac:dyDescent="0.2">
      <c r="A3522" s="7"/>
      <c r="B3522" s="1407" t="str">
        <f t="shared" si="54"/>
        <v>Raffaele Olita</v>
      </c>
      <c r="C3522" s="1402" t="s">
        <v>17969</v>
      </c>
      <c r="D3522" s="1403" t="s">
        <v>3370</v>
      </c>
      <c r="E3522" s="1404" t="s">
        <v>17970</v>
      </c>
      <c r="F3522" s="1405" t="s">
        <v>5300</v>
      </c>
      <c r="G3522" s="1403" t="s">
        <v>17179</v>
      </c>
      <c r="H3522" s="1406" t="s">
        <v>1037</v>
      </c>
    </row>
    <row r="3523" spans="1:8" x14ac:dyDescent="0.2">
      <c r="A3523" s="7"/>
      <c r="B3523" s="1407" t="str">
        <f t="shared" si="54"/>
        <v>Marco Pacella</v>
      </c>
      <c r="C3523" s="1402" t="s">
        <v>17971</v>
      </c>
      <c r="D3523" s="1403" t="s">
        <v>3109</v>
      </c>
      <c r="E3523" s="1404" t="s">
        <v>17972</v>
      </c>
      <c r="F3523" s="1405" t="s">
        <v>5299</v>
      </c>
      <c r="G3523" s="1403" t="s">
        <v>16501</v>
      </c>
      <c r="H3523" s="1406" t="s">
        <v>1037</v>
      </c>
    </row>
    <row r="3524" spans="1:8" x14ac:dyDescent="0.2">
      <c r="A3524" s="7"/>
      <c r="B3524" s="1407" t="str">
        <f t="shared" si="54"/>
        <v>Giorgio Passardi</v>
      </c>
      <c r="C3524" s="1402" t="s">
        <v>17973</v>
      </c>
      <c r="D3524" s="1403" t="s">
        <v>3643</v>
      </c>
      <c r="E3524" s="1404" t="s">
        <v>17974</v>
      </c>
      <c r="F3524" s="1405" t="s">
        <v>5300</v>
      </c>
      <c r="G3524" s="1403" t="s">
        <v>11325</v>
      </c>
      <c r="H3524" s="1406" t="s">
        <v>1037</v>
      </c>
    </row>
    <row r="3525" spans="1:8" x14ac:dyDescent="0.2">
      <c r="A3525" s="7"/>
      <c r="B3525" s="1407" t="str">
        <f t="shared" si="54"/>
        <v>Davide Presti</v>
      </c>
      <c r="C3525" s="1402" t="s">
        <v>16075</v>
      </c>
      <c r="D3525" s="1403" t="s">
        <v>3329</v>
      </c>
      <c r="E3525" s="1404" t="s">
        <v>17975</v>
      </c>
      <c r="F3525" s="1405" t="s">
        <v>13211</v>
      </c>
      <c r="G3525" s="1403" t="s">
        <v>10269</v>
      </c>
      <c r="H3525" s="1406" t="s">
        <v>1037</v>
      </c>
    </row>
    <row r="3526" spans="1:8" x14ac:dyDescent="0.2">
      <c r="A3526" s="7"/>
      <c r="B3526" s="1407" t="str">
        <f t="shared" si="54"/>
        <v>Luca Perri</v>
      </c>
      <c r="C3526" s="1402" t="s">
        <v>11053</v>
      </c>
      <c r="D3526" s="1403" t="s">
        <v>3198</v>
      </c>
      <c r="E3526" s="1404" t="s">
        <v>17976</v>
      </c>
      <c r="F3526" s="1405" t="s">
        <v>1563</v>
      </c>
      <c r="G3526" s="1403" t="s">
        <v>8865</v>
      </c>
      <c r="H3526" s="1406" t="s">
        <v>1037</v>
      </c>
    </row>
    <row r="3527" spans="1:8" x14ac:dyDescent="0.2">
      <c r="A3527" s="7"/>
      <c r="B3527" s="1407" t="str">
        <f t="shared" ref="B3527:B3590" si="55">TRIM(CONCATENATE(D3527," ",C3527))</f>
        <v>Gianmario Pesare</v>
      </c>
      <c r="C3527" s="1402" t="s">
        <v>17977</v>
      </c>
      <c r="D3527" s="1403" t="s">
        <v>17978</v>
      </c>
      <c r="E3527" s="1404" t="s">
        <v>17979</v>
      </c>
      <c r="F3527" s="1405" t="s">
        <v>5299</v>
      </c>
      <c r="G3527" s="1403" t="s">
        <v>16477</v>
      </c>
      <c r="H3527" s="1406" t="s">
        <v>1037</v>
      </c>
    </row>
    <row r="3528" spans="1:8" x14ac:dyDescent="0.2">
      <c r="A3528" s="7"/>
      <c r="B3528" s="1407" t="str">
        <f t="shared" si="55"/>
        <v>Federico Pessina</v>
      </c>
      <c r="C3528" s="1402" t="s">
        <v>17980</v>
      </c>
      <c r="D3528" s="1403" t="s">
        <v>3335</v>
      </c>
      <c r="E3528" s="1404" t="s">
        <v>17981</v>
      </c>
      <c r="F3528" s="1405" t="s">
        <v>13211</v>
      </c>
      <c r="G3528" s="1403" t="s">
        <v>2765</v>
      </c>
      <c r="H3528" s="1406" t="s">
        <v>1037</v>
      </c>
    </row>
    <row r="3529" spans="1:8" x14ac:dyDescent="0.2">
      <c r="A3529" s="7"/>
      <c r="B3529" s="1407" t="str">
        <f t="shared" si="55"/>
        <v>Pierpaolo Raponi</v>
      </c>
      <c r="C3529" s="1402" t="s">
        <v>16115</v>
      </c>
      <c r="D3529" s="1403" t="s">
        <v>3518</v>
      </c>
      <c r="E3529" s="1404" t="s">
        <v>17982</v>
      </c>
      <c r="F3529" s="1405" t="s">
        <v>5300</v>
      </c>
      <c r="G3529" s="1403" t="s">
        <v>11327</v>
      </c>
      <c r="H3529" s="1406" t="s">
        <v>1037</v>
      </c>
    </row>
    <row r="3530" spans="1:8" x14ac:dyDescent="0.2">
      <c r="A3530" s="7"/>
      <c r="B3530" s="1407" t="str">
        <f t="shared" si="55"/>
        <v>Simone Miguel Ricco</v>
      </c>
      <c r="C3530" s="1402" t="s">
        <v>6602</v>
      </c>
      <c r="D3530" s="1403" t="s">
        <v>17983</v>
      </c>
      <c r="E3530" s="1404" t="s">
        <v>17984</v>
      </c>
      <c r="F3530" s="1405" t="s">
        <v>1563</v>
      </c>
      <c r="G3530" s="1403" t="s">
        <v>8865</v>
      </c>
      <c r="H3530" s="1406" t="s">
        <v>1037</v>
      </c>
    </row>
    <row r="3531" spans="1:8" x14ac:dyDescent="0.2">
      <c r="A3531" s="7"/>
      <c r="B3531" s="1407" t="str">
        <f t="shared" si="55"/>
        <v>Ettore Riili</v>
      </c>
      <c r="C3531" s="1402" t="s">
        <v>17985</v>
      </c>
      <c r="D3531" s="1403" t="s">
        <v>3528</v>
      </c>
      <c r="E3531" s="1404" t="s">
        <v>17986</v>
      </c>
      <c r="F3531" s="1405" t="s">
        <v>13211</v>
      </c>
      <c r="G3531" s="1403" t="s">
        <v>2765</v>
      </c>
      <c r="H3531" s="1406" t="s">
        <v>1037</v>
      </c>
    </row>
    <row r="3532" spans="1:8" x14ac:dyDescent="0.2">
      <c r="A3532" s="7"/>
      <c r="B3532" s="1407" t="str">
        <f t="shared" si="55"/>
        <v>Massimo Risso</v>
      </c>
      <c r="C3532" s="1402" t="s">
        <v>17987</v>
      </c>
      <c r="D3532" s="1403" t="s">
        <v>3013</v>
      </c>
      <c r="E3532" s="1404" t="s">
        <v>17988</v>
      </c>
      <c r="F3532" s="1405" t="s">
        <v>5300</v>
      </c>
      <c r="G3532" s="1403" t="s">
        <v>14683</v>
      </c>
      <c r="H3532" s="1406" t="s">
        <v>1037</v>
      </c>
    </row>
    <row r="3533" spans="1:8" x14ac:dyDescent="0.2">
      <c r="A3533" s="7"/>
      <c r="B3533" s="1407" t="str">
        <f t="shared" si="55"/>
        <v>Alfredo Rivela</v>
      </c>
      <c r="C3533" s="1402" t="s">
        <v>17989</v>
      </c>
      <c r="D3533" s="1403" t="s">
        <v>3587</v>
      </c>
      <c r="E3533" s="1404" t="s">
        <v>17990</v>
      </c>
      <c r="F3533" s="1405" t="s">
        <v>5300</v>
      </c>
      <c r="G3533" s="1403" t="s">
        <v>16501</v>
      </c>
      <c r="H3533" s="1406" t="s">
        <v>1037</v>
      </c>
    </row>
    <row r="3534" spans="1:8" x14ac:dyDescent="0.2">
      <c r="A3534" s="7"/>
      <c r="B3534" s="1407" t="str">
        <f t="shared" si="55"/>
        <v>Simone Roberto</v>
      </c>
      <c r="C3534" s="1402" t="s">
        <v>3279</v>
      </c>
      <c r="D3534" s="1403" t="s">
        <v>3158</v>
      </c>
      <c r="E3534" s="1404" t="s">
        <v>17991</v>
      </c>
      <c r="F3534" s="1405" t="s">
        <v>1563</v>
      </c>
      <c r="G3534" s="1403" t="s">
        <v>10274</v>
      </c>
      <c r="H3534" s="1406" t="s">
        <v>1037</v>
      </c>
    </row>
    <row r="3535" spans="1:8" x14ac:dyDescent="0.2">
      <c r="A3535" s="7"/>
      <c r="B3535" s="1407" t="str">
        <f t="shared" si="55"/>
        <v>Alessio Rossin</v>
      </c>
      <c r="C3535" s="1402" t="s">
        <v>17992</v>
      </c>
      <c r="D3535" s="1403" t="s">
        <v>3550</v>
      </c>
      <c r="E3535" s="1404" t="s">
        <v>17993</v>
      </c>
      <c r="F3535" s="1405" t="s">
        <v>5300</v>
      </c>
      <c r="G3535" s="1403" t="s">
        <v>13596</v>
      </c>
      <c r="H3535" s="1406" t="s">
        <v>1037</v>
      </c>
    </row>
    <row r="3536" spans="1:8" x14ac:dyDescent="0.2">
      <c r="A3536" s="7"/>
      <c r="B3536" s="1407" t="str">
        <f t="shared" si="55"/>
        <v>Maria Teresa Ruscitto</v>
      </c>
      <c r="C3536" s="1402" t="s">
        <v>17994</v>
      </c>
      <c r="D3536" s="1403" t="s">
        <v>17995</v>
      </c>
      <c r="E3536" s="1404" t="s">
        <v>17996</v>
      </c>
      <c r="F3536" s="1405" t="s">
        <v>5299</v>
      </c>
      <c r="G3536" s="1403" t="s">
        <v>7874</v>
      </c>
      <c r="H3536" s="1406" t="s">
        <v>1037</v>
      </c>
    </row>
    <row r="3537" spans="1:8" x14ac:dyDescent="0.2">
      <c r="A3537" s="7"/>
      <c r="B3537" s="1407" t="str">
        <f t="shared" si="55"/>
        <v>Stefano Sangiorgio</v>
      </c>
      <c r="C3537" s="1402" t="s">
        <v>16175</v>
      </c>
      <c r="D3537" s="1403" t="s">
        <v>3062</v>
      </c>
      <c r="E3537" s="1404" t="s">
        <v>17997</v>
      </c>
      <c r="F3537" s="1405" t="s">
        <v>5299</v>
      </c>
      <c r="G3537" s="1403" t="s">
        <v>16843</v>
      </c>
      <c r="H3537" s="1406" t="s">
        <v>1037</v>
      </c>
    </row>
    <row r="3538" spans="1:8" x14ac:dyDescent="0.2">
      <c r="A3538" s="7"/>
      <c r="B3538" s="1407" t="str">
        <f t="shared" si="55"/>
        <v>Matteo Sangiorgio</v>
      </c>
      <c r="C3538" s="1402" t="s">
        <v>16175</v>
      </c>
      <c r="D3538" s="1403" t="s">
        <v>3200</v>
      </c>
      <c r="E3538" s="1404" t="s">
        <v>17998</v>
      </c>
      <c r="F3538" s="1405" t="s">
        <v>1563</v>
      </c>
      <c r="G3538" s="1403" t="s">
        <v>16843</v>
      </c>
      <c r="H3538" s="1406" t="s">
        <v>1037</v>
      </c>
    </row>
    <row r="3539" spans="1:8" x14ac:dyDescent="0.2">
      <c r="A3539" s="7"/>
      <c r="B3539" s="1407" t="str">
        <f t="shared" si="55"/>
        <v>Francesco Sani</v>
      </c>
      <c r="C3539" s="1402" t="s">
        <v>9957</v>
      </c>
      <c r="D3539" s="1403" t="s">
        <v>3277</v>
      </c>
      <c r="E3539" s="1404" t="s">
        <v>17999</v>
      </c>
      <c r="F3539" s="1405" t="s">
        <v>5299</v>
      </c>
      <c r="G3539" s="1403" t="s">
        <v>11325</v>
      </c>
      <c r="H3539" s="1406" t="s">
        <v>1037</v>
      </c>
    </row>
    <row r="3540" spans="1:8" x14ac:dyDescent="0.2">
      <c r="A3540" s="7"/>
      <c r="B3540" s="1407" t="str">
        <f t="shared" si="55"/>
        <v>Lorenzo Scoponi</v>
      </c>
      <c r="C3540" s="1402" t="s">
        <v>18000</v>
      </c>
      <c r="D3540" s="1403" t="s">
        <v>3155</v>
      </c>
      <c r="E3540" s="1404" t="s">
        <v>18001</v>
      </c>
      <c r="F3540" s="1405" t="s">
        <v>5300</v>
      </c>
      <c r="G3540" s="1403" t="s">
        <v>10275</v>
      </c>
      <c r="H3540" s="1406" t="s">
        <v>1037</v>
      </c>
    </row>
    <row r="3541" spans="1:8" x14ac:dyDescent="0.2">
      <c r="A3541" s="7"/>
      <c r="B3541" s="1407" t="str">
        <f t="shared" si="55"/>
        <v>Pierfrancesco Sole</v>
      </c>
      <c r="C3541" s="1402" t="s">
        <v>18002</v>
      </c>
      <c r="D3541" s="1403" t="s">
        <v>17893</v>
      </c>
      <c r="E3541" s="1404" t="s">
        <v>18003</v>
      </c>
      <c r="F3541" s="1405" t="s">
        <v>1563</v>
      </c>
      <c r="G3541" s="1403" t="s">
        <v>8865</v>
      </c>
      <c r="H3541" s="1406" t="s">
        <v>1037</v>
      </c>
    </row>
    <row r="3542" spans="1:8" x14ac:dyDescent="0.2">
      <c r="A3542" s="7"/>
      <c r="B3542" s="1407" t="str">
        <f t="shared" si="55"/>
        <v>Gianluca Sorrentino</v>
      </c>
      <c r="C3542" s="1402" t="s">
        <v>18004</v>
      </c>
      <c r="D3542" s="1403" t="s">
        <v>3369</v>
      </c>
      <c r="E3542" s="1404" t="s">
        <v>18005</v>
      </c>
      <c r="F3542" s="1405" t="s">
        <v>5300</v>
      </c>
      <c r="G3542" s="1403" t="s">
        <v>9698</v>
      </c>
      <c r="H3542" s="1406" t="s">
        <v>1037</v>
      </c>
    </row>
    <row r="3543" spans="1:8" x14ac:dyDescent="0.2">
      <c r="A3543" s="7"/>
      <c r="B3543" s="1407" t="str">
        <f t="shared" si="55"/>
        <v>Thomas Sponticcia</v>
      </c>
      <c r="C3543" s="1402" t="s">
        <v>18006</v>
      </c>
      <c r="D3543" s="1403" t="s">
        <v>3124</v>
      </c>
      <c r="E3543" s="1404" t="s">
        <v>18007</v>
      </c>
      <c r="F3543" s="1405" t="s">
        <v>5299</v>
      </c>
      <c r="G3543" s="1403" t="s">
        <v>10292</v>
      </c>
      <c r="H3543" s="1406" t="s">
        <v>1037</v>
      </c>
    </row>
    <row r="3544" spans="1:8" x14ac:dyDescent="0.2">
      <c r="A3544" s="7"/>
      <c r="B3544" s="1407" t="str">
        <f t="shared" si="55"/>
        <v>Alessandro Terracciano</v>
      </c>
      <c r="C3544" s="1402" t="s">
        <v>18008</v>
      </c>
      <c r="D3544" s="1403" t="s">
        <v>3125</v>
      </c>
      <c r="E3544" s="1404" t="s">
        <v>18009</v>
      </c>
      <c r="F3544" s="1405" t="s">
        <v>5300</v>
      </c>
      <c r="G3544" s="1403" t="s">
        <v>15207</v>
      </c>
      <c r="H3544" s="1406" t="s">
        <v>1037</v>
      </c>
    </row>
    <row r="3545" spans="1:8" x14ac:dyDescent="0.2">
      <c r="A3545" s="7"/>
      <c r="B3545" s="1407" t="str">
        <f t="shared" si="55"/>
        <v>Walter Trivigno</v>
      </c>
      <c r="C3545" s="1402" t="s">
        <v>18010</v>
      </c>
      <c r="D3545" s="1403" t="s">
        <v>18011</v>
      </c>
      <c r="E3545" s="1404" t="s">
        <v>18012</v>
      </c>
      <c r="F3545" s="1405" t="s">
        <v>5300</v>
      </c>
      <c r="G3545" s="1403" t="s">
        <v>17179</v>
      </c>
      <c r="H3545" s="1406" t="s">
        <v>1037</v>
      </c>
    </row>
    <row r="3546" spans="1:8" x14ac:dyDescent="0.2">
      <c r="A3546" s="7"/>
      <c r="B3546" s="1407" t="str">
        <f t="shared" si="55"/>
        <v>Edoardo Vassallo</v>
      </c>
      <c r="C3546" s="1402" t="s">
        <v>18013</v>
      </c>
      <c r="D3546" s="1403" t="s">
        <v>3558</v>
      </c>
      <c r="E3546" s="1404" t="s">
        <v>18014</v>
      </c>
      <c r="F3546" s="1405" t="s">
        <v>5300</v>
      </c>
      <c r="G3546" s="1403" t="s">
        <v>13595</v>
      </c>
      <c r="H3546" s="1406" t="s">
        <v>1037</v>
      </c>
    </row>
    <row r="3547" spans="1:8" x14ac:dyDescent="0.2">
      <c r="A3547" s="7"/>
      <c r="B3547" s="1407" t="str">
        <f t="shared" si="55"/>
        <v>Kenzo Koi</v>
      </c>
      <c r="C3547" s="1402" t="s">
        <v>6654</v>
      </c>
      <c r="D3547" s="1403" t="s">
        <v>3187</v>
      </c>
      <c r="E3547" s="1404" t="s">
        <v>14696</v>
      </c>
      <c r="F3547" s="1405" t="s">
        <v>5300</v>
      </c>
      <c r="G3547" s="1403" t="s">
        <v>5508</v>
      </c>
      <c r="H3547" s="1406" t="s">
        <v>1041</v>
      </c>
    </row>
    <row r="3548" spans="1:8" x14ac:dyDescent="0.2">
      <c r="A3548" s="7"/>
      <c r="B3548" s="1407" t="str">
        <f t="shared" si="55"/>
        <v>Hideaki Wada</v>
      </c>
      <c r="C3548" s="1402" t="s">
        <v>14697</v>
      </c>
      <c r="D3548" s="1403" t="s">
        <v>14698</v>
      </c>
      <c r="E3548" s="1404" t="s">
        <v>14699</v>
      </c>
      <c r="F3548" s="1405" t="s">
        <v>5300</v>
      </c>
      <c r="G3548" s="1403" t="s">
        <v>14700</v>
      </c>
      <c r="H3548" s="1406" t="s">
        <v>1041</v>
      </c>
    </row>
    <row r="3549" spans="1:8" x14ac:dyDescent="0.2">
      <c r="A3549" s="7"/>
      <c r="B3549" s="1407" t="str">
        <f t="shared" si="55"/>
        <v>Tomoyoshi Ikeya</v>
      </c>
      <c r="C3549" s="1402" t="s">
        <v>14701</v>
      </c>
      <c r="D3549" s="1403" t="s">
        <v>14702</v>
      </c>
      <c r="E3549" s="1404" t="s">
        <v>14703</v>
      </c>
      <c r="F3549" s="1405" t="s">
        <v>5299</v>
      </c>
      <c r="G3549" s="1403" t="s">
        <v>14700</v>
      </c>
      <c r="H3549" s="1406" t="s">
        <v>1041</v>
      </c>
    </row>
    <row r="3550" spans="1:8" x14ac:dyDescent="0.2">
      <c r="A3550" s="7"/>
      <c r="B3550" s="1407" t="str">
        <f t="shared" si="55"/>
        <v>Yuko Nakahara</v>
      </c>
      <c r="C3550" s="1402" t="s">
        <v>6655</v>
      </c>
      <c r="D3550" s="1403" t="s">
        <v>7008</v>
      </c>
      <c r="E3550" s="1404" t="s">
        <v>14035</v>
      </c>
      <c r="F3550" s="1405" t="s">
        <v>5300</v>
      </c>
      <c r="G3550" s="1403" t="s">
        <v>5508</v>
      </c>
      <c r="H3550" s="1406" t="s">
        <v>1041</v>
      </c>
    </row>
    <row r="3551" spans="1:8" x14ac:dyDescent="0.2">
      <c r="A3551" s="7"/>
      <c r="B3551" s="1407" t="str">
        <f t="shared" si="55"/>
        <v>Naruhisa Horino</v>
      </c>
      <c r="C3551" s="1402" t="s">
        <v>14704</v>
      </c>
      <c r="D3551" s="1403" t="s">
        <v>14705</v>
      </c>
      <c r="E3551" s="1404" t="s">
        <v>14706</v>
      </c>
      <c r="F3551" s="1405" t="s">
        <v>5300</v>
      </c>
      <c r="G3551" s="1403" t="s">
        <v>14707</v>
      </c>
      <c r="H3551" s="1406" t="s">
        <v>1041</v>
      </c>
    </row>
    <row r="3552" spans="1:8" x14ac:dyDescent="0.2">
      <c r="A3552" s="7"/>
      <c r="B3552" s="1407" t="str">
        <f t="shared" si="55"/>
        <v>Taichi Kato</v>
      </c>
      <c r="C3552" s="1402" t="s">
        <v>6656</v>
      </c>
      <c r="D3552" s="1403" t="s">
        <v>5545</v>
      </c>
      <c r="E3552" s="1404" t="s">
        <v>14036</v>
      </c>
      <c r="F3552" s="1405" t="s">
        <v>5299</v>
      </c>
      <c r="G3552" s="1403" t="s">
        <v>5508</v>
      </c>
      <c r="H3552" s="1406" t="s">
        <v>1041</v>
      </c>
    </row>
    <row r="3553" spans="1:8" x14ac:dyDescent="0.2">
      <c r="A3553" s="7"/>
      <c r="B3553" s="1407" t="str">
        <f t="shared" si="55"/>
        <v>Makoto Miyake</v>
      </c>
      <c r="C3553" s="1402" t="s">
        <v>6657</v>
      </c>
      <c r="D3553" s="1403" t="s">
        <v>3260</v>
      </c>
      <c r="E3553" s="1404" t="s">
        <v>14037</v>
      </c>
      <c r="F3553" s="1405" t="s">
        <v>5299</v>
      </c>
      <c r="G3553" s="1403" t="s">
        <v>5508</v>
      </c>
      <c r="H3553" s="1406" t="s">
        <v>1041</v>
      </c>
    </row>
    <row r="3554" spans="1:8" x14ac:dyDescent="0.2">
      <c r="A3554" s="7"/>
      <c r="B3554" s="1407" t="str">
        <f t="shared" si="55"/>
        <v>Takafumi Tokita</v>
      </c>
      <c r="C3554" s="1402" t="s">
        <v>7902</v>
      </c>
      <c r="D3554" s="1403" t="s">
        <v>7009</v>
      </c>
      <c r="E3554" s="1404" t="s">
        <v>14038</v>
      </c>
      <c r="F3554" s="1405" t="s">
        <v>5299</v>
      </c>
      <c r="G3554" s="1403" t="s">
        <v>10276</v>
      </c>
      <c r="H3554" s="1406" t="s">
        <v>1041</v>
      </c>
    </row>
    <row r="3555" spans="1:8" x14ac:dyDescent="0.2">
      <c r="A3555" s="7"/>
      <c r="B3555" s="1407" t="str">
        <f t="shared" si="55"/>
        <v>Nanami Horino</v>
      </c>
      <c r="C3555" s="1402" t="s">
        <v>14704</v>
      </c>
      <c r="D3555" s="1403" t="s">
        <v>14708</v>
      </c>
      <c r="E3555" s="1404" t="s">
        <v>14709</v>
      </c>
      <c r="F3555" s="1405" t="s">
        <v>5299</v>
      </c>
      <c r="G3555" s="1403" t="s">
        <v>14707</v>
      </c>
      <c r="H3555" s="1406" t="s">
        <v>1041</v>
      </c>
    </row>
    <row r="3556" spans="1:8" x14ac:dyDescent="0.2">
      <c r="A3556" s="7"/>
      <c r="B3556" s="1407" t="str">
        <f t="shared" si="55"/>
        <v>Takafumi Kido</v>
      </c>
      <c r="C3556" s="1402" t="s">
        <v>7446</v>
      </c>
      <c r="D3556" s="1403" t="s">
        <v>7009</v>
      </c>
      <c r="E3556" s="1404" t="s">
        <v>14039</v>
      </c>
      <c r="F3556" s="1405" t="s">
        <v>5299</v>
      </c>
      <c r="G3556" s="1403" t="s">
        <v>5508</v>
      </c>
      <c r="H3556" s="1406" t="s">
        <v>1041</v>
      </c>
    </row>
    <row r="3557" spans="1:8" x14ac:dyDescent="0.2">
      <c r="A3557" s="7"/>
      <c r="B3557" s="1407" t="str">
        <f t="shared" si="55"/>
        <v>Katsuhiko Fukuoka</v>
      </c>
      <c r="C3557" s="1402" t="s">
        <v>15575</v>
      </c>
      <c r="D3557" s="1403" t="s">
        <v>15576</v>
      </c>
      <c r="E3557" s="1404" t="s">
        <v>15577</v>
      </c>
      <c r="F3557" s="1405" t="s">
        <v>5299</v>
      </c>
      <c r="G3557" s="1403" t="s">
        <v>14700</v>
      </c>
      <c r="H3557" s="1406" t="s">
        <v>1041</v>
      </c>
    </row>
    <row r="3558" spans="1:8" x14ac:dyDescent="0.2">
      <c r="A3558" s="7"/>
      <c r="B3558" s="1407" t="str">
        <f t="shared" si="55"/>
        <v>Yoshiyuki Okano</v>
      </c>
      <c r="C3558" s="1402" t="s">
        <v>7447</v>
      </c>
      <c r="D3558" s="1403" t="s">
        <v>7289</v>
      </c>
      <c r="E3558" s="1404" t="s">
        <v>14040</v>
      </c>
      <c r="F3558" s="1405" t="s">
        <v>5300</v>
      </c>
      <c r="G3558" s="1403" t="s">
        <v>5508</v>
      </c>
      <c r="H3558" s="1406" t="s">
        <v>1041</v>
      </c>
    </row>
    <row r="3559" spans="1:8" x14ac:dyDescent="0.2">
      <c r="A3559" s="7"/>
      <c r="B3559" s="1407" t="str">
        <f t="shared" si="55"/>
        <v>Kazuki Okano</v>
      </c>
      <c r="C3559" s="1402" t="s">
        <v>7447</v>
      </c>
      <c r="D3559" s="1403" t="s">
        <v>7292</v>
      </c>
      <c r="E3559" s="1404" t="s">
        <v>14041</v>
      </c>
      <c r="F3559" s="1405" t="s">
        <v>5299</v>
      </c>
      <c r="G3559" s="1403" t="s">
        <v>5508</v>
      </c>
      <c r="H3559" s="1406" t="s">
        <v>1041</v>
      </c>
    </row>
    <row r="3560" spans="1:8" x14ac:dyDescent="0.2">
      <c r="A3560" s="7"/>
      <c r="B3560" s="1407" t="str">
        <f t="shared" si="55"/>
        <v>Suguru Fujino</v>
      </c>
      <c r="C3560" s="1402" t="s">
        <v>7448</v>
      </c>
      <c r="D3560" s="1403" t="s">
        <v>7295</v>
      </c>
      <c r="E3560" s="1404" t="s">
        <v>14042</v>
      </c>
      <c r="F3560" s="1405" t="s">
        <v>5299</v>
      </c>
      <c r="G3560" s="1403" t="s">
        <v>14711</v>
      </c>
      <c r="H3560" s="1406" t="s">
        <v>1041</v>
      </c>
    </row>
    <row r="3561" spans="1:8" x14ac:dyDescent="0.2">
      <c r="A3561" s="7"/>
      <c r="B3561" s="1407" t="str">
        <f t="shared" si="55"/>
        <v>Yuka Kato</v>
      </c>
      <c r="C3561" s="1402" t="s">
        <v>6656</v>
      </c>
      <c r="D3561" s="1403" t="s">
        <v>15735</v>
      </c>
      <c r="E3561" s="1404" t="s">
        <v>15736</v>
      </c>
      <c r="F3561" s="1405" t="s">
        <v>5299</v>
      </c>
      <c r="G3561" s="1403" t="s">
        <v>14700</v>
      </c>
      <c r="H3561" s="1406" t="s">
        <v>1041</v>
      </c>
    </row>
    <row r="3562" spans="1:8" x14ac:dyDescent="0.2">
      <c r="A3562" s="7"/>
      <c r="B3562" s="1407" t="str">
        <f t="shared" si="55"/>
        <v>Masahiko Takayama</v>
      </c>
      <c r="C3562" s="1402" t="s">
        <v>16275</v>
      </c>
      <c r="D3562" s="1403" t="s">
        <v>16276</v>
      </c>
      <c r="E3562" s="1404" t="s">
        <v>16277</v>
      </c>
      <c r="F3562" s="1405" t="s">
        <v>5300</v>
      </c>
      <c r="G3562" s="1403" t="s">
        <v>14700</v>
      </c>
      <c r="H3562" s="1406" t="s">
        <v>1041</v>
      </c>
    </row>
    <row r="3563" spans="1:8" x14ac:dyDescent="0.2">
      <c r="A3563" s="7"/>
      <c r="B3563" s="1407" t="str">
        <f t="shared" si="55"/>
        <v>Tomoyuki Yoshimura</v>
      </c>
      <c r="C3563" s="1402" t="s">
        <v>8173</v>
      </c>
      <c r="D3563" s="1403" t="s">
        <v>8295</v>
      </c>
      <c r="E3563" s="1404" t="s">
        <v>14043</v>
      </c>
      <c r="F3563" s="1405" t="s">
        <v>5300</v>
      </c>
      <c r="G3563" s="1403" t="s">
        <v>7906</v>
      </c>
      <c r="H3563" s="1406" t="s">
        <v>1041</v>
      </c>
    </row>
    <row r="3564" spans="1:8" x14ac:dyDescent="0.2">
      <c r="A3564" s="7"/>
      <c r="B3564" s="1407" t="str">
        <f t="shared" si="55"/>
        <v>Kimi Wada</v>
      </c>
      <c r="C3564" s="1402" t="s">
        <v>14697</v>
      </c>
      <c r="D3564" s="1403" t="s">
        <v>16348</v>
      </c>
      <c r="E3564" s="1404" t="s">
        <v>16349</v>
      </c>
      <c r="F3564" s="1405" t="s">
        <v>5300</v>
      </c>
      <c r="G3564" s="1403" t="s">
        <v>14700</v>
      </c>
      <c r="H3564" s="1406" t="s">
        <v>1041</v>
      </c>
    </row>
    <row r="3565" spans="1:8" x14ac:dyDescent="0.2">
      <c r="A3565" s="7"/>
      <c r="B3565" s="1407" t="str">
        <f t="shared" si="55"/>
        <v>Cédric Garnier</v>
      </c>
      <c r="C3565" s="1402" t="s">
        <v>5985</v>
      </c>
      <c r="D3565" s="1403" t="s">
        <v>3375</v>
      </c>
      <c r="E3565" s="1404" t="s">
        <v>14044</v>
      </c>
      <c r="F3565" s="1405" t="s">
        <v>5299</v>
      </c>
      <c r="G3565" s="1403" t="s">
        <v>14711</v>
      </c>
      <c r="H3565" s="1406" t="s">
        <v>1041</v>
      </c>
    </row>
    <row r="3566" spans="1:8" x14ac:dyDescent="0.2">
      <c r="A3566" s="7"/>
      <c r="B3566" s="1407" t="str">
        <f t="shared" si="55"/>
        <v>Keiichi Konno</v>
      </c>
      <c r="C3566" s="1402" t="s">
        <v>15760</v>
      </c>
      <c r="D3566" s="1403" t="s">
        <v>15761</v>
      </c>
      <c r="E3566" s="1404" t="s">
        <v>15762</v>
      </c>
      <c r="F3566" s="1405" t="s">
        <v>5299</v>
      </c>
      <c r="G3566" s="1403" t="s">
        <v>14711</v>
      </c>
      <c r="H3566" s="1406" t="s">
        <v>1041</v>
      </c>
    </row>
    <row r="3567" spans="1:8" x14ac:dyDescent="0.2">
      <c r="A3567" s="7"/>
      <c r="B3567" s="1407" t="str">
        <f t="shared" si="55"/>
        <v>Naoto Tanaka</v>
      </c>
      <c r="C3567" s="1402" t="s">
        <v>9611</v>
      </c>
      <c r="D3567" s="1403" t="s">
        <v>16283</v>
      </c>
      <c r="E3567" s="1404" t="s">
        <v>16284</v>
      </c>
      <c r="F3567" s="1405" t="s">
        <v>5299</v>
      </c>
      <c r="G3567" s="1403" t="s">
        <v>14711</v>
      </c>
      <c r="H3567" s="1406" t="s">
        <v>1041</v>
      </c>
    </row>
    <row r="3568" spans="1:8" x14ac:dyDescent="0.2">
      <c r="A3568" s="7"/>
      <c r="B3568" s="1407" t="str">
        <f t="shared" si="55"/>
        <v>Noriyuki Suzuki</v>
      </c>
      <c r="C3568" s="1402" t="s">
        <v>5770</v>
      </c>
      <c r="D3568" s="1403" t="s">
        <v>9778</v>
      </c>
      <c r="E3568" s="1404" t="s">
        <v>14045</v>
      </c>
      <c r="F3568" s="1405" t="s">
        <v>5299</v>
      </c>
      <c r="G3568" s="1403" t="s">
        <v>14710</v>
      </c>
      <c r="H3568" s="1406" t="s">
        <v>1041</v>
      </c>
    </row>
    <row r="3569" spans="1:8" x14ac:dyDescent="0.2">
      <c r="A3569" s="7"/>
      <c r="B3569" s="1407" t="str">
        <f t="shared" si="55"/>
        <v>Kosuke Mukai</v>
      </c>
      <c r="C3569" s="1402" t="s">
        <v>10950</v>
      </c>
      <c r="D3569" s="1403" t="s">
        <v>11462</v>
      </c>
      <c r="E3569" s="1404" t="s">
        <v>14046</v>
      </c>
      <c r="F3569" s="1405" t="s">
        <v>5299</v>
      </c>
      <c r="G3569" s="1403" t="s">
        <v>14711</v>
      </c>
      <c r="H3569" s="1406" t="s">
        <v>1041</v>
      </c>
    </row>
    <row r="3570" spans="1:8" x14ac:dyDescent="0.2">
      <c r="A3570" s="7"/>
      <c r="B3570" s="1407" t="str">
        <f t="shared" si="55"/>
        <v>Bill Wright</v>
      </c>
      <c r="C3570" s="1402" t="s">
        <v>8778</v>
      </c>
      <c r="D3570" s="1403" t="s">
        <v>5534</v>
      </c>
      <c r="E3570" s="1404" t="s">
        <v>14047</v>
      </c>
      <c r="F3570" s="1405" t="s">
        <v>5300</v>
      </c>
      <c r="G3570" s="1403" t="s">
        <v>17232</v>
      </c>
      <c r="H3570" s="1406" t="s">
        <v>1041</v>
      </c>
    </row>
    <row r="3571" spans="1:8" x14ac:dyDescent="0.2">
      <c r="A3571" s="7"/>
      <c r="B3571" s="1407" t="str">
        <f t="shared" si="55"/>
        <v>Shigemi Tanaka</v>
      </c>
      <c r="C3571" s="1402" t="s">
        <v>9611</v>
      </c>
      <c r="D3571" s="1403" t="s">
        <v>11249</v>
      </c>
      <c r="E3571" s="1404" t="s">
        <v>14048</v>
      </c>
      <c r="F3571" s="1405" t="s">
        <v>5300</v>
      </c>
      <c r="G3571" s="1403" t="s">
        <v>17232</v>
      </c>
      <c r="H3571" s="1406" t="s">
        <v>1041</v>
      </c>
    </row>
    <row r="3572" spans="1:8" x14ac:dyDescent="0.2">
      <c r="A3572" s="7"/>
      <c r="B3572" s="1407" t="str">
        <f t="shared" si="55"/>
        <v>Daigo Mori</v>
      </c>
      <c r="C3572" s="1402" t="s">
        <v>10002</v>
      </c>
      <c r="D3572" s="1403" t="s">
        <v>11379</v>
      </c>
      <c r="E3572" s="1404" t="s">
        <v>14049</v>
      </c>
      <c r="F3572" s="1405" t="s">
        <v>13211</v>
      </c>
      <c r="G3572" s="1403" t="s">
        <v>10276</v>
      </c>
      <c r="H3572" s="1406" t="s">
        <v>1041</v>
      </c>
    </row>
    <row r="3573" spans="1:8" x14ac:dyDescent="0.2">
      <c r="A3573" s="7"/>
      <c r="B3573" s="1407" t="str">
        <f t="shared" si="55"/>
        <v>Isshin Mori</v>
      </c>
      <c r="C3573" s="1402" t="s">
        <v>10002</v>
      </c>
      <c r="D3573" s="1403" t="s">
        <v>11380</v>
      </c>
      <c r="E3573" s="1404" t="s">
        <v>14050</v>
      </c>
      <c r="F3573" s="1405" t="s">
        <v>13211</v>
      </c>
      <c r="G3573" s="1403" t="s">
        <v>10276</v>
      </c>
      <c r="H3573" s="1406" t="s">
        <v>1041</v>
      </c>
    </row>
    <row r="3574" spans="1:8" x14ac:dyDescent="0.2">
      <c r="A3574" s="7"/>
      <c r="B3574" s="1407" t="str">
        <f t="shared" si="55"/>
        <v>Andrew Martini</v>
      </c>
      <c r="C3574" s="1402" t="s">
        <v>14712</v>
      </c>
      <c r="D3574" s="1403" t="s">
        <v>3105</v>
      </c>
      <c r="E3574" s="1404" t="s">
        <v>14713</v>
      </c>
      <c r="F3574" s="1405" t="s">
        <v>5300</v>
      </c>
      <c r="G3574" s="1403" t="s">
        <v>14711</v>
      </c>
      <c r="H3574" s="1406" t="s">
        <v>1041</v>
      </c>
    </row>
    <row r="3575" spans="1:8" x14ac:dyDescent="0.2">
      <c r="A3575" s="7"/>
      <c r="B3575" s="1407" t="str">
        <f t="shared" si="55"/>
        <v>Tatsuki Mori</v>
      </c>
      <c r="C3575" s="1402" t="s">
        <v>10002</v>
      </c>
      <c r="D3575" s="1403" t="s">
        <v>13453</v>
      </c>
      <c r="E3575" s="1404" t="s">
        <v>14051</v>
      </c>
      <c r="F3575" s="1405" t="s">
        <v>1563</v>
      </c>
      <c r="G3575" s="1403" t="s">
        <v>10276</v>
      </c>
      <c r="H3575" s="1406" t="s">
        <v>1041</v>
      </c>
    </row>
    <row r="3576" spans="1:8" x14ac:dyDescent="0.2">
      <c r="A3576" s="7"/>
      <c r="B3576" s="1407" t="str">
        <f t="shared" si="55"/>
        <v>Caline Garnier</v>
      </c>
      <c r="C3576" s="1402" t="s">
        <v>5985</v>
      </c>
      <c r="D3576" s="1403" t="s">
        <v>14716</v>
      </c>
      <c r="E3576" s="1404" t="s">
        <v>14717</v>
      </c>
      <c r="F3576" s="1405" t="s">
        <v>1563</v>
      </c>
      <c r="G3576" s="1403" t="s">
        <v>14711</v>
      </c>
      <c r="H3576" s="1406" t="s">
        <v>1041</v>
      </c>
    </row>
    <row r="3577" spans="1:8" x14ac:dyDescent="0.2">
      <c r="A3577" s="7"/>
      <c r="B3577" s="1407" t="str">
        <f t="shared" si="55"/>
        <v>Manabu Nishi</v>
      </c>
      <c r="C3577" s="1402" t="s">
        <v>14718</v>
      </c>
      <c r="D3577" s="1403" t="s">
        <v>14719</v>
      </c>
      <c r="E3577" s="1404" t="s">
        <v>14720</v>
      </c>
      <c r="F3577" s="1405" t="s">
        <v>5300</v>
      </c>
      <c r="G3577" s="1403" t="s">
        <v>10276</v>
      </c>
      <c r="H3577" s="1406" t="s">
        <v>1041</v>
      </c>
    </row>
    <row r="3578" spans="1:8" x14ac:dyDescent="0.2">
      <c r="A3578" s="7"/>
      <c r="B3578" s="1407" t="str">
        <f t="shared" si="55"/>
        <v>Miaki Nishi</v>
      </c>
      <c r="C3578" s="1402" t="s">
        <v>14718</v>
      </c>
      <c r="D3578" s="1403" t="s">
        <v>14721</v>
      </c>
      <c r="E3578" s="1404" t="s">
        <v>14722</v>
      </c>
      <c r="F3578" s="1405" t="s">
        <v>5300</v>
      </c>
      <c r="G3578" s="1403" t="s">
        <v>10276</v>
      </c>
      <c r="H3578" s="1406" t="s">
        <v>1041</v>
      </c>
    </row>
    <row r="3579" spans="1:8" x14ac:dyDescent="0.2">
      <c r="A3579" s="7"/>
      <c r="B3579" s="1407" t="str">
        <f t="shared" si="55"/>
        <v>Yohei Gomi</v>
      </c>
      <c r="C3579" s="1402" t="s">
        <v>14723</v>
      </c>
      <c r="D3579" s="1403" t="s">
        <v>14724</v>
      </c>
      <c r="E3579" s="1404" t="s">
        <v>14725</v>
      </c>
      <c r="F3579" s="1405" t="s">
        <v>5300</v>
      </c>
      <c r="G3579" s="1403" t="s">
        <v>5508</v>
      </c>
      <c r="H3579" s="1406" t="s">
        <v>1041</v>
      </c>
    </row>
    <row r="3580" spans="1:8" x14ac:dyDescent="0.2">
      <c r="A3580" s="7"/>
      <c r="B3580" s="1407" t="str">
        <f t="shared" si="55"/>
        <v>Hiroyuki Okada</v>
      </c>
      <c r="C3580" s="1402" t="s">
        <v>14727</v>
      </c>
      <c r="D3580" s="1403" t="s">
        <v>14728</v>
      </c>
      <c r="E3580" s="1404" t="s">
        <v>14729</v>
      </c>
      <c r="F3580" s="1405" t="s">
        <v>5299</v>
      </c>
      <c r="G3580" s="1403" t="s">
        <v>5508</v>
      </c>
      <c r="H3580" s="1406" t="s">
        <v>1041</v>
      </c>
    </row>
    <row r="3581" spans="1:8" x14ac:dyDescent="0.2">
      <c r="A3581" s="7"/>
      <c r="B3581" s="1407" t="str">
        <f t="shared" si="55"/>
        <v>Hidenori Nakai</v>
      </c>
      <c r="C3581" s="1402" t="s">
        <v>14730</v>
      </c>
      <c r="D3581" s="1403" t="s">
        <v>14731</v>
      </c>
      <c r="E3581" s="1404" t="s">
        <v>14732</v>
      </c>
      <c r="F3581" s="1405" t="s">
        <v>5299</v>
      </c>
      <c r="G3581" s="1403" t="s">
        <v>5508</v>
      </c>
      <c r="H3581" s="1406" t="s">
        <v>1041</v>
      </c>
    </row>
    <row r="3582" spans="1:8" x14ac:dyDescent="0.2">
      <c r="A3582" s="7"/>
      <c r="B3582" s="1407" t="str">
        <f t="shared" si="55"/>
        <v>Ryota Amano</v>
      </c>
      <c r="C3582" s="1402" t="s">
        <v>15157</v>
      </c>
      <c r="D3582" s="1403" t="s">
        <v>15158</v>
      </c>
      <c r="E3582" s="1404" t="s">
        <v>15159</v>
      </c>
      <c r="F3582" s="1405" t="s">
        <v>5299</v>
      </c>
      <c r="G3582" s="1403" t="s">
        <v>5508</v>
      </c>
      <c r="H3582" s="1406" t="s">
        <v>1041</v>
      </c>
    </row>
    <row r="3583" spans="1:8" x14ac:dyDescent="0.2">
      <c r="A3583" s="7"/>
      <c r="B3583" s="1407" t="str">
        <f t="shared" si="55"/>
        <v>Mitsuki Mishima</v>
      </c>
      <c r="C3583" s="1402" t="s">
        <v>15912</v>
      </c>
      <c r="D3583" s="1403" t="s">
        <v>15913</v>
      </c>
      <c r="E3583" s="1404" t="s">
        <v>15914</v>
      </c>
      <c r="F3583" s="1405" t="s">
        <v>5299</v>
      </c>
      <c r="G3583" s="1403" t="s">
        <v>5508</v>
      </c>
      <c r="H3583" s="1406" t="s">
        <v>1041</v>
      </c>
    </row>
    <row r="3584" spans="1:8" x14ac:dyDescent="0.2">
      <c r="A3584" s="7"/>
      <c r="B3584" s="1407" t="str">
        <f t="shared" si="55"/>
        <v>Hina Akimoto</v>
      </c>
      <c r="C3584" s="1402" t="s">
        <v>15149</v>
      </c>
      <c r="D3584" s="1403" t="s">
        <v>15150</v>
      </c>
      <c r="E3584" s="1404" t="s">
        <v>15151</v>
      </c>
      <c r="F3584" s="1405" t="s">
        <v>5299</v>
      </c>
      <c r="G3584" s="1403" t="s">
        <v>5508</v>
      </c>
      <c r="H3584" s="1406" t="s">
        <v>1041</v>
      </c>
    </row>
    <row r="3585" spans="1:8" x14ac:dyDescent="0.2">
      <c r="A3585" s="7"/>
      <c r="B3585" s="1407" t="str">
        <f t="shared" si="55"/>
        <v>Sato Yoshifumi</v>
      </c>
      <c r="C3585" s="1402" t="s">
        <v>16371</v>
      </c>
      <c r="D3585" s="1403" t="s">
        <v>16372</v>
      </c>
      <c r="E3585" s="1404" t="s">
        <v>16373</v>
      </c>
      <c r="F3585" s="1405" t="s">
        <v>5300</v>
      </c>
      <c r="G3585" s="1403" t="s">
        <v>17233</v>
      </c>
      <c r="H3585" s="1406" t="s">
        <v>1041</v>
      </c>
    </row>
    <row r="3586" spans="1:8" x14ac:dyDescent="0.2">
      <c r="A3586" s="7"/>
      <c r="B3586" s="1407" t="str">
        <f t="shared" si="55"/>
        <v>Kazue Osa</v>
      </c>
      <c r="C3586" s="1402" t="s">
        <v>15969</v>
      </c>
      <c r="D3586" s="1403" t="s">
        <v>15970</v>
      </c>
      <c r="E3586" s="1404" t="s">
        <v>15971</v>
      </c>
      <c r="F3586" s="1405" t="s">
        <v>5300</v>
      </c>
      <c r="G3586" s="1403" t="s">
        <v>9626</v>
      </c>
      <c r="H3586" s="1406" t="s">
        <v>1041</v>
      </c>
    </row>
    <row r="3587" spans="1:8" x14ac:dyDescent="0.2">
      <c r="A3587" s="7"/>
      <c r="B3587" s="1407" t="str">
        <f t="shared" si="55"/>
        <v>Masato Tanaka</v>
      </c>
      <c r="C3587" s="1402" t="s">
        <v>9611</v>
      </c>
      <c r="D3587" s="1403" t="s">
        <v>16281</v>
      </c>
      <c r="E3587" s="1404" t="s">
        <v>16282</v>
      </c>
      <c r="F3587" s="1405" t="s">
        <v>5300</v>
      </c>
      <c r="G3587" s="1403" t="s">
        <v>17234</v>
      </c>
      <c r="H3587" s="1406" t="s">
        <v>1041</v>
      </c>
    </row>
    <row r="3588" spans="1:8" x14ac:dyDescent="0.2">
      <c r="A3588" s="7"/>
      <c r="B3588" s="1407" t="str">
        <f t="shared" si="55"/>
        <v>Mitsuaki Tachikawa</v>
      </c>
      <c r="C3588" s="1402" t="s">
        <v>16269</v>
      </c>
      <c r="D3588" s="1403" t="s">
        <v>16270</v>
      </c>
      <c r="E3588" s="1404" t="s">
        <v>16271</v>
      </c>
      <c r="F3588" s="1405" t="s">
        <v>5299</v>
      </c>
      <c r="G3588" s="1403" t="s">
        <v>9626</v>
      </c>
      <c r="H3588" s="1406" t="s">
        <v>1041</v>
      </c>
    </row>
    <row r="3589" spans="1:8" x14ac:dyDescent="0.2">
      <c r="A3589" s="7"/>
      <c r="B3589" s="1407" t="str">
        <f t="shared" si="55"/>
        <v>Aki Kanda</v>
      </c>
      <c r="C3589" s="1402" t="s">
        <v>15719</v>
      </c>
      <c r="D3589" s="1403" t="s">
        <v>15720</v>
      </c>
      <c r="E3589" s="1404" t="s">
        <v>15721</v>
      </c>
      <c r="F3589" s="1405" t="s">
        <v>5299</v>
      </c>
      <c r="G3589" s="1403" t="s">
        <v>17235</v>
      </c>
      <c r="H3589" s="1406" t="s">
        <v>1041</v>
      </c>
    </row>
    <row r="3590" spans="1:8" x14ac:dyDescent="0.2">
      <c r="A3590" s="7"/>
      <c r="B3590" s="1407" t="str">
        <f t="shared" si="55"/>
        <v>Kotetsu Kanda</v>
      </c>
      <c r="C3590" s="1402" t="s">
        <v>15719</v>
      </c>
      <c r="D3590" s="1403" t="s">
        <v>15724</v>
      </c>
      <c r="E3590" s="1404" t="s">
        <v>15725</v>
      </c>
      <c r="F3590" s="1405" t="s">
        <v>1563</v>
      </c>
      <c r="G3590" s="1403" t="s">
        <v>17235</v>
      </c>
      <c r="H3590" s="1406" t="s">
        <v>1041</v>
      </c>
    </row>
    <row r="3591" spans="1:8" x14ac:dyDescent="0.2">
      <c r="A3591" s="7"/>
      <c r="B3591" s="1407" t="str">
        <f t="shared" ref="B3591:B3654" si="56">TRIM(CONCATENATE(D3591," ",C3591))</f>
        <v>Junya Kanda</v>
      </c>
      <c r="C3591" s="1402" t="s">
        <v>15719</v>
      </c>
      <c r="D3591" s="1403" t="s">
        <v>15722</v>
      </c>
      <c r="E3591" s="1404" t="s">
        <v>15723</v>
      </c>
      <c r="F3591" s="1405" t="s">
        <v>5300</v>
      </c>
      <c r="G3591" s="1403" t="s">
        <v>17235</v>
      </c>
      <c r="H3591" s="1406" t="s">
        <v>1041</v>
      </c>
    </row>
    <row r="3592" spans="1:8" x14ac:dyDescent="0.2">
      <c r="A3592" s="7"/>
      <c r="B3592" s="1407" t="str">
        <f t="shared" si="56"/>
        <v>Shoi Sasaki</v>
      </c>
      <c r="C3592" s="1402" t="s">
        <v>16196</v>
      </c>
      <c r="D3592" s="1403" t="s">
        <v>16197</v>
      </c>
      <c r="E3592" s="1404" t="s">
        <v>16198</v>
      </c>
      <c r="F3592" s="1405" t="s">
        <v>5299</v>
      </c>
      <c r="G3592" s="1403" t="s">
        <v>17234</v>
      </c>
      <c r="H3592" s="1406" t="s">
        <v>1041</v>
      </c>
    </row>
    <row r="3593" spans="1:8" x14ac:dyDescent="0.2">
      <c r="A3593" s="7"/>
      <c r="B3593" s="1407" t="str">
        <f t="shared" si="56"/>
        <v>Nozomu Morioka</v>
      </c>
      <c r="C3593" s="1402" t="s">
        <v>15927</v>
      </c>
      <c r="D3593" s="1403" t="s">
        <v>15928</v>
      </c>
      <c r="E3593" s="1404" t="s">
        <v>15929</v>
      </c>
      <c r="F3593" s="1405" t="s">
        <v>5300</v>
      </c>
      <c r="G3593" s="1403" t="s">
        <v>5508</v>
      </c>
      <c r="H3593" s="1406" t="s">
        <v>1041</v>
      </c>
    </row>
    <row r="3594" spans="1:8" x14ac:dyDescent="0.2">
      <c r="A3594" s="7"/>
      <c r="B3594" s="1407" t="str">
        <f t="shared" si="56"/>
        <v>Masumi Ichiba</v>
      </c>
      <c r="C3594" s="1402" t="s">
        <v>15686</v>
      </c>
      <c r="D3594" s="1403" t="s">
        <v>15687</v>
      </c>
      <c r="E3594" s="1404" t="s">
        <v>15688</v>
      </c>
      <c r="F3594" s="1405" t="s">
        <v>5300</v>
      </c>
      <c r="G3594" s="1403" t="s">
        <v>5508</v>
      </c>
      <c r="H3594" s="1406" t="s">
        <v>1041</v>
      </c>
    </row>
    <row r="3595" spans="1:8" x14ac:dyDescent="0.2">
      <c r="A3595" s="7"/>
      <c r="B3595" s="1407" t="str">
        <f t="shared" si="56"/>
        <v>Kaoru Shibata</v>
      </c>
      <c r="C3595" s="1402" t="s">
        <v>16223</v>
      </c>
      <c r="D3595" s="1403" t="s">
        <v>16224</v>
      </c>
      <c r="E3595" s="1404" t="s">
        <v>16225</v>
      </c>
      <c r="F3595" s="1405" t="s">
        <v>5300</v>
      </c>
      <c r="G3595" s="1403" t="s">
        <v>9626</v>
      </c>
      <c r="H3595" s="1406" t="s">
        <v>1041</v>
      </c>
    </row>
    <row r="3596" spans="1:8" x14ac:dyDescent="0.2">
      <c r="A3596" s="7"/>
      <c r="B3596" s="1407" t="str">
        <f t="shared" si="56"/>
        <v>Miyuki Ito</v>
      </c>
      <c r="C3596" s="1402" t="s">
        <v>14715</v>
      </c>
      <c r="D3596" s="1403" t="s">
        <v>15700</v>
      </c>
      <c r="E3596" s="1404" t="s">
        <v>15701</v>
      </c>
      <c r="F3596" s="1405" t="s">
        <v>5300</v>
      </c>
      <c r="G3596" s="1403" t="s">
        <v>17234</v>
      </c>
      <c r="H3596" s="1406" t="s">
        <v>1041</v>
      </c>
    </row>
    <row r="3597" spans="1:8" x14ac:dyDescent="0.2">
      <c r="A3597" s="7"/>
      <c r="B3597" s="1407" t="str">
        <f t="shared" si="56"/>
        <v>Hideki Yoshida</v>
      </c>
      <c r="C3597" s="1402" t="s">
        <v>16369</v>
      </c>
      <c r="D3597" s="1403" t="s">
        <v>14726</v>
      </c>
      <c r="E3597" s="1404" t="s">
        <v>16370</v>
      </c>
      <c r="F3597" s="1405" t="s">
        <v>5300</v>
      </c>
      <c r="G3597" s="1403" t="s">
        <v>5508</v>
      </c>
      <c r="H3597" s="1406" t="s">
        <v>1041</v>
      </c>
    </row>
    <row r="3598" spans="1:8" x14ac:dyDescent="0.2">
      <c r="A3598" s="7"/>
      <c r="B3598" s="1407" t="str">
        <f t="shared" si="56"/>
        <v>Shusuke Takahashi</v>
      </c>
      <c r="C3598" s="1402" t="s">
        <v>16272</v>
      </c>
      <c r="D3598" s="1403" t="s">
        <v>16273</v>
      </c>
      <c r="E3598" s="1404" t="s">
        <v>16274</v>
      </c>
      <c r="F3598" s="1405" t="s">
        <v>13211</v>
      </c>
      <c r="G3598" s="1403" t="s">
        <v>17235</v>
      </c>
      <c r="H3598" s="1406" t="s">
        <v>1041</v>
      </c>
    </row>
    <row r="3599" spans="1:8" x14ac:dyDescent="0.2">
      <c r="A3599" s="7"/>
      <c r="B3599" s="1407" t="str">
        <f t="shared" si="56"/>
        <v>Masao Onitsuka</v>
      </c>
      <c r="C3599" s="1402" t="s">
        <v>15959</v>
      </c>
      <c r="D3599" s="1403" t="s">
        <v>15960</v>
      </c>
      <c r="E3599" s="1404" t="s">
        <v>15961</v>
      </c>
      <c r="F3599" s="1405" t="s">
        <v>5300</v>
      </c>
      <c r="G3599" s="1403" t="s">
        <v>5508</v>
      </c>
      <c r="H3599" s="1406" t="s">
        <v>1041</v>
      </c>
    </row>
    <row r="3600" spans="1:8" x14ac:dyDescent="0.2">
      <c r="A3600" s="7"/>
      <c r="B3600" s="1407" t="str">
        <f t="shared" si="56"/>
        <v>Tomoki Ono</v>
      </c>
      <c r="C3600" s="1402" t="s">
        <v>15962</v>
      </c>
      <c r="D3600" s="1403" t="s">
        <v>14714</v>
      </c>
      <c r="E3600" s="1404" t="s">
        <v>15963</v>
      </c>
      <c r="F3600" s="1405" t="s">
        <v>5299</v>
      </c>
      <c r="G3600" s="1403" t="s">
        <v>17236</v>
      </c>
      <c r="H3600" s="1406" t="s">
        <v>1041</v>
      </c>
    </row>
    <row r="3601" spans="1:8" x14ac:dyDescent="0.2">
      <c r="A3601" s="7"/>
      <c r="B3601" s="1407" t="str">
        <f t="shared" si="56"/>
        <v>Tomoca TK</v>
      </c>
      <c r="C3601" s="1402" t="s">
        <v>16300</v>
      </c>
      <c r="D3601" s="1403" t="s">
        <v>16301</v>
      </c>
      <c r="E3601" s="1404" t="s">
        <v>16302</v>
      </c>
      <c r="F3601" s="1405" t="s">
        <v>5299</v>
      </c>
      <c r="G3601" s="1403" t="s">
        <v>17237</v>
      </c>
      <c r="H3601" s="1406" t="s">
        <v>1041</v>
      </c>
    </row>
    <row r="3602" spans="1:8" x14ac:dyDescent="0.2">
      <c r="A3602" s="7"/>
      <c r="B3602" s="1407" t="str">
        <f t="shared" si="56"/>
        <v>Yutaka Kitamura</v>
      </c>
      <c r="C3602" s="1402" t="s">
        <v>15749</v>
      </c>
      <c r="D3602" s="1403" t="s">
        <v>15750</v>
      </c>
      <c r="E3602" s="1404" t="s">
        <v>15751</v>
      </c>
      <c r="F3602" s="1405" t="s">
        <v>5300</v>
      </c>
      <c r="G3602" s="1403" t="s">
        <v>17237</v>
      </c>
      <c r="H3602" s="1406" t="s">
        <v>1041</v>
      </c>
    </row>
    <row r="3603" spans="1:8" x14ac:dyDescent="0.2">
      <c r="A3603" s="7"/>
      <c r="B3603" s="1407" t="str">
        <f t="shared" si="56"/>
        <v>Hidekazu Tanaka</v>
      </c>
      <c r="C3603" s="1402" t="s">
        <v>9611</v>
      </c>
      <c r="D3603" s="1403" t="s">
        <v>16279</v>
      </c>
      <c r="E3603" s="1404" t="s">
        <v>16280</v>
      </c>
      <c r="F3603" s="1405" t="s">
        <v>5300</v>
      </c>
      <c r="G3603" s="1403" t="s">
        <v>9626</v>
      </c>
      <c r="H3603" s="1406" t="s">
        <v>1041</v>
      </c>
    </row>
    <row r="3604" spans="1:8" x14ac:dyDescent="0.2">
      <c r="A3604" s="7"/>
      <c r="B3604" s="1407" t="str">
        <f t="shared" si="56"/>
        <v>Yoshiharu Moritake</v>
      </c>
      <c r="C3604" s="1402" t="s">
        <v>15930</v>
      </c>
      <c r="D3604" s="1403" t="s">
        <v>15931</v>
      </c>
      <c r="E3604" s="1404" t="s">
        <v>15932</v>
      </c>
      <c r="F3604" s="1405" t="s">
        <v>5300</v>
      </c>
      <c r="G3604" s="1403" t="s">
        <v>9626</v>
      </c>
      <c r="H3604" s="1406" t="s">
        <v>1041</v>
      </c>
    </row>
    <row r="3605" spans="1:8" x14ac:dyDescent="0.2">
      <c r="A3605" s="7"/>
      <c r="B3605" s="1407" t="str">
        <f t="shared" si="56"/>
        <v>Kazuaki Ishida</v>
      </c>
      <c r="C3605" s="1402" t="s">
        <v>16942</v>
      </c>
      <c r="D3605" s="1403" t="s">
        <v>16866</v>
      </c>
      <c r="E3605" s="1404" t="s">
        <v>16943</v>
      </c>
      <c r="F3605" s="1405" t="s">
        <v>5299</v>
      </c>
      <c r="G3605" s="1403" t="s">
        <v>17236</v>
      </c>
      <c r="H3605" s="1406" t="s">
        <v>1041</v>
      </c>
    </row>
    <row r="3606" spans="1:8" x14ac:dyDescent="0.2">
      <c r="A3606" s="7"/>
      <c r="B3606" s="1407" t="str">
        <f t="shared" si="56"/>
        <v>Miwako Okamoto</v>
      </c>
      <c r="C3606" s="1402" t="s">
        <v>16968</v>
      </c>
      <c r="D3606" s="1403" t="s">
        <v>16880</v>
      </c>
      <c r="E3606" s="1404" t="s">
        <v>16969</v>
      </c>
      <c r="F3606" s="1405" t="s">
        <v>5299</v>
      </c>
      <c r="G3606" s="1403" t="s">
        <v>17234</v>
      </c>
      <c r="H3606" s="1406" t="s">
        <v>1041</v>
      </c>
    </row>
    <row r="3607" spans="1:8" x14ac:dyDescent="0.2">
      <c r="A3607" s="7"/>
      <c r="B3607" s="1407" t="str">
        <f t="shared" si="56"/>
        <v>Kazutoyo Kataoka</v>
      </c>
      <c r="C3607" s="1402" t="s">
        <v>16947</v>
      </c>
      <c r="D3607" s="1403" t="s">
        <v>16859</v>
      </c>
      <c r="E3607" s="1404" t="s">
        <v>16948</v>
      </c>
      <c r="F3607" s="1405" t="s">
        <v>5299</v>
      </c>
      <c r="G3607" s="1403" t="s">
        <v>17236</v>
      </c>
      <c r="H3607" s="1406" t="s">
        <v>1041</v>
      </c>
    </row>
    <row r="3608" spans="1:8" x14ac:dyDescent="0.2">
      <c r="A3608" s="7"/>
      <c r="B3608" s="1407" t="str">
        <f t="shared" si="56"/>
        <v>Yukina Yahagi</v>
      </c>
      <c r="C3608" s="1402" t="s">
        <v>16878</v>
      </c>
      <c r="D3608" s="1403" t="s">
        <v>17003</v>
      </c>
      <c r="E3608" s="1404" t="s">
        <v>17004</v>
      </c>
      <c r="F3608" s="1405" t="s">
        <v>5299</v>
      </c>
      <c r="G3608" s="1403" t="s">
        <v>9626</v>
      </c>
      <c r="H3608" s="1406" t="s">
        <v>1041</v>
      </c>
    </row>
    <row r="3609" spans="1:8" x14ac:dyDescent="0.2">
      <c r="A3609" s="7"/>
      <c r="B3609" s="1407" t="str">
        <f t="shared" si="56"/>
        <v>Norio Yamazoe</v>
      </c>
      <c r="C3609" s="1402" t="s">
        <v>16999</v>
      </c>
      <c r="D3609" s="1403" t="s">
        <v>16864</v>
      </c>
      <c r="E3609" s="1404" t="s">
        <v>17000</v>
      </c>
      <c r="F3609" s="1405" t="s">
        <v>5299</v>
      </c>
      <c r="G3609" s="1403" t="s">
        <v>17238</v>
      </c>
      <c r="H3609" s="1406" t="s">
        <v>1041</v>
      </c>
    </row>
    <row r="3610" spans="1:8" x14ac:dyDescent="0.2">
      <c r="A3610" s="7"/>
      <c r="B3610" s="1407" t="str">
        <f t="shared" si="56"/>
        <v>Jiro Yasuda</v>
      </c>
      <c r="C3610" s="1402" t="s">
        <v>17001</v>
      </c>
      <c r="D3610" s="1403" t="s">
        <v>16862</v>
      </c>
      <c r="E3610" s="1404" t="s">
        <v>17002</v>
      </c>
      <c r="F3610" s="1405" t="s">
        <v>5300</v>
      </c>
      <c r="G3610" s="1403" t="s">
        <v>17239</v>
      </c>
      <c r="H3610" s="1406" t="s">
        <v>1041</v>
      </c>
    </row>
    <row r="3611" spans="1:8" x14ac:dyDescent="0.2">
      <c r="A3611" s="7"/>
      <c r="B3611" s="1407" t="str">
        <f t="shared" si="56"/>
        <v>Yuri Yokoyama</v>
      </c>
      <c r="C3611" s="1402" t="s">
        <v>17240</v>
      </c>
      <c r="D3611" s="1403" t="s">
        <v>17241</v>
      </c>
      <c r="E3611" s="1404" t="s">
        <v>17242</v>
      </c>
      <c r="F3611" s="1405" t="s">
        <v>5299</v>
      </c>
      <c r="G3611" s="1403" t="s">
        <v>5508</v>
      </c>
      <c r="H3611" s="1406" t="s">
        <v>1041</v>
      </c>
    </row>
    <row r="3612" spans="1:8" x14ac:dyDescent="0.2">
      <c r="A3612" s="7"/>
      <c r="B3612" s="1407" t="str">
        <f t="shared" si="56"/>
        <v>Ryoga Mitsuogi</v>
      </c>
      <c r="C3612" s="1402" t="s">
        <v>17243</v>
      </c>
      <c r="D3612" s="1403" t="s">
        <v>17244</v>
      </c>
      <c r="E3612" s="1404" t="s">
        <v>17245</v>
      </c>
      <c r="F3612" s="1405" t="s">
        <v>5300</v>
      </c>
      <c r="G3612" s="1403" t="s">
        <v>17246</v>
      </c>
      <c r="H3612" s="1406" t="s">
        <v>1041</v>
      </c>
    </row>
    <row r="3613" spans="1:8" x14ac:dyDescent="0.2">
      <c r="A3613" s="7"/>
      <c r="B3613" s="1407" t="str">
        <f t="shared" si="56"/>
        <v>Haruka Goto</v>
      </c>
      <c r="C3613" s="1402" t="s">
        <v>17247</v>
      </c>
      <c r="D3613" s="1403" t="s">
        <v>15649</v>
      </c>
      <c r="E3613" s="1404" t="s">
        <v>17248</v>
      </c>
      <c r="F3613" s="1405" t="s">
        <v>5299</v>
      </c>
      <c r="G3613" s="1403" t="s">
        <v>17236</v>
      </c>
      <c r="H3613" s="1406" t="s">
        <v>1041</v>
      </c>
    </row>
    <row r="3614" spans="1:8" x14ac:dyDescent="0.2">
      <c r="A3614" s="7"/>
      <c r="B3614" s="1407" t="str">
        <f t="shared" si="56"/>
        <v>Kameo Tanaka</v>
      </c>
      <c r="C3614" s="1402" t="s">
        <v>9611</v>
      </c>
      <c r="D3614" s="1403" t="s">
        <v>17249</v>
      </c>
      <c r="E3614" s="1404" t="s">
        <v>17250</v>
      </c>
      <c r="F3614" s="1405" t="s">
        <v>5300</v>
      </c>
      <c r="G3614" s="1403" t="s">
        <v>17234</v>
      </c>
      <c r="H3614" s="1406" t="s">
        <v>1041</v>
      </c>
    </row>
    <row r="3615" spans="1:8" x14ac:dyDescent="0.2">
      <c r="A3615" s="7"/>
      <c r="B3615" s="1407" t="str">
        <f t="shared" si="56"/>
        <v>Mitoshi Tanaka</v>
      </c>
      <c r="C3615" s="1402" t="s">
        <v>9611</v>
      </c>
      <c r="D3615" s="1403" t="s">
        <v>17251</v>
      </c>
      <c r="E3615" s="1404" t="s">
        <v>17252</v>
      </c>
      <c r="F3615" s="1405" t="s">
        <v>5300</v>
      </c>
      <c r="G3615" s="1403" t="s">
        <v>17234</v>
      </c>
      <c r="H3615" s="1406" t="s">
        <v>1041</v>
      </c>
    </row>
    <row r="3616" spans="1:8" x14ac:dyDescent="0.2">
      <c r="A3616" s="7"/>
      <c r="B3616" s="1407" t="str">
        <f t="shared" si="56"/>
        <v>Tsuyoshi Nitta</v>
      </c>
      <c r="C3616" s="1402" t="s">
        <v>17253</v>
      </c>
      <c r="D3616" s="1403" t="s">
        <v>17254</v>
      </c>
      <c r="E3616" s="1404" t="s">
        <v>17255</v>
      </c>
      <c r="F3616" s="1405" t="s">
        <v>5300</v>
      </c>
      <c r="G3616" s="1403" t="s">
        <v>17234</v>
      </c>
      <c r="H3616" s="1406" t="s">
        <v>1041</v>
      </c>
    </row>
    <row r="3617" spans="1:8" x14ac:dyDescent="0.2">
      <c r="A3617" s="7"/>
      <c r="B3617" s="1407" t="str">
        <f t="shared" si="56"/>
        <v>Hiroyuki Nakamura</v>
      </c>
      <c r="C3617" s="1402" t="s">
        <v>17256</v>
      </c>
      <c r="D3617" s="1403" t="s">
        <v>14728</v>
      </c>
      <c r="E3617" s="1404" t="s">
        <v>17257</v>
      </c>
      <c r="F3617" s="1405" t="s">
        <v>5300</v>
      </c>
      <c r="G3617" s="1403" t="s">
        <v>17234</v>
      </c>
      <c r="H3617" s="1406" t="s">
        <v>1041</v>
      </c>
    </row>
    <row r="3618" spans="1:8" x14ac:dyDescent="0.2">
      <c r="A3618" s="7"/>
      <c r="B3618" s="1407" t="str">
        <f t="shared" si="56"/>
        <v>Masahiko Naganuma</v>
      </c>
      <c r="C3618" s="1402" t="s">
        <v>17258</v>
      </c>
      <c r="D3618" s="1403" t="s">
        <v>16276</v>
      </c>
      <c r="E3618" s="1404" t="s">
        <v>17259</v>
      </c>
      <c r="F3618" s="1405" t="s">
        <v>5300</v>
      </c>
      <c r="G3618" s="1403" t="s">
        <v>17234</v>
      </c>
      <c r="H3618" s="1406" t="s">
        <v>1041</v>
      </c>
    </row>
    <row r="3619" spans="1:8" x14ac:dyDescent="0.2">
      <c r="A3619" s="7"/>
      <c r="B3619" s="1407" t="str">
        <f t="shared" si="56"/>
        <v>Ranajit Chatterje</v>
      </c>
      <c r="C3619" s="1402" t="s">
        <v>17260</v>
      </c>
      <c r="D3619" s="1403" t="s">
        <v>17261</v>
      </c>
      <c r="E3619" s="1404" t="s">
        <v>17262</v>
      </c>
      <c r="F3619" s="1405" t="s">
        <v>5300</v>
      </c>
      <c r="G3619" s="1403" t="s">
        <v>17234</v>
      </c>
      <c r="H3619" s="1406" t="s">
        <v>1041</v>
      </c>
    </row>
    <row r="3620" spans="1:8" x14ac:dyDescent="0.2">
      <c r="A3620" s="7"/>
      <c r="B3620" s="1407" t="str">
        <f t="shared" si="56"/>
        <v>Daiki Sato</v>
      </c>
      <c r="C3620" s="1402" t="s">
        <v>16372</v>
      </c>
      <c r="D3620" s="1403" t="s">
        <v>17263</v>
      </c>
      <c r="E3620" s="1404" t="s">
        <v>17264</v>
      </c>
      <c r="F3620" s="1405" t="s">
        <v>5299</v>
      </c>
      <c r="G3620" s="1403" t="s">
        <v>17234</v>
      </c>
      <c r="H3620" s="1406" t="s">
        <v>1041</v>
      </c>
    </row>
    <row r="3621" spans="1:8" x14ac:dyDescent="0.2">
      <c r="A3621" s="7"/>
      <c r="B3621" s="1407" t="str">
        <f t="shared" si="56"/>
        <v>Yusuke Natsume</v>
      </c>
      <c r="C3621" s="1402" t="s">
        <v>17265</v>
      </c>
      <c r="D3621" s="1403" t="s">
        <v>17266</v>
      </c>
      <c r="E3621" s="1404" t="s">
        <v>17267</v>
      </c>
      <c r="F3621" s="1405" t="s">
        <v>5299</v>
      </c>
      <c r="G3621" s="1403" t="s">
        <v>17234</v>
      </c>
      <c r="H3621" s="1406" t="s">
        <v>1041</v>
      </c>
    </row>
    <row r="3622" spans="1:8" x14ac:dyDescent="0.2">
      <c r="A3622" s="7"/>
      <c r="B3622" s="1407" t="str">
        <f t="shared" si="56"/>
        <v>Tomokazu Kimura</v>
      </c>
      <c r="C3622" s="1402" t="s">
        <v>17268</v>
      </c>
      <c r="D3622" s="1403" t="s">
        <v>17269</v>
      </c>
      <c r="E3622" s="1404" t="s">
        <v>17270</v>
      </c>
      <c r="F3622" s="1405" t="s">
        <v>5300</v>
      </c>
      <c r="G3622" s="1403" t="s">
        <v>17237</v>
      </c>
      <c r="H3622" s="1406" t="s">
        <v>1041</v>
      </c>
    </row>
    <row r="3623" spans="1:8" x14ac:dyDescent="0.2">
      <c r="A3623" s="7"/>
      <c r="B3623" s="1407" t="str">
        <f t="shared" si="56"/>
        <v>Uryu Uchii</v>
      </c>
      <c r="C3623" s="1402" t="s">
        <v>17271</v>
      </c>
      <c r="D3623" s="1403" t="s">
        <v>17272</v>
      </c>
      <c r="E3623" s="1404" t="s">
        <v>17273</v>
      </c>
      <c r="F3623" s="1405" t="s">
        <v>5299</v>
      </c>
      <c r="G3623" s="1403" t="s">
        <v>17237</v>
      </c>
      <c r="H3623" s="1406" t="s">
        <v>1041</v>
      </c>
    </row>
    <row r="3624" spans="1:8" x14ac:dyDescent="0.2">
      <c r="A3624" s="7"/>
      <c r="B3624" s="1407" t="str">
        <f t="shared" si="56"/>
        <v>Keigo Matsuoka</v>
      </c>
      <c r="C3624" s="1402" t="s">
        <v>17274</v>
      </c>
      <c r="D3624" s="1403" t="s">
        <v>17275</v>
      </c>
      <c r="E3624" s="1404" t="s">
        <v>17276</v>
      </c>
      <c r="F3624" s="1405" t="s">
        <v>5299</v>
      </c>
      <c r="G3624" s="1403" t="s">
        <v>17237</v>
      </c>
      <c r="H3624" s="1406" t="s">
        <v>1041</v>
      </c>
    </row>
    <row r="3625" spans="1:8" x14ac:dyDescent="0.2">
      <c r="A3625" s="7"/>
      <c r="B3625" s="1407" t="str">
        <f t="shared" si="56"/>
        <v>Kenji Suzuki</v>
      </c>
      <c r="C3625" s="1402" t="s">
        <v>5770</v>
      </c>
      <c r="D3625" s="1403" t="s">
        <v>17277</v>
      </c>
      <c r="E3625" s="1404" t="s">
        <v>17278</v>
      </c>
      <c r="F3625" s="1405" t="s">
        <v>5299</v>
      </c>
      <c r="G3625" s="1403" t="s">
        <v>17239</v>
      </c>
      <c r="H3625" s="1406" t="s">
        <v>1041</v>
      </c>
    </row>
    <row r="3626" spans="1:8" x14ac:dyDescent="0.2">
      <c r="A3626" s="7"/>
      <c r="B3626" s="1407" t="str">
        <f t="shared" si="56"/>
        <v>Yuta Fujiwara</v>
      </c>
      <c r="C3626" s="1402" t="s">
        <v>17279</v>
      </c>
      <c r="D3626" s="1403" t="s">
        <v>17280</v>
      </c>
      <c r="E3626" s="1404" t="s">
        <v>17281</v>
      </c>
      <c r="F3626" s="1405" t="s">
        <v>5299</v>
      </c>
      <c r="G3626" s="1403" t="s">
        <v>17239</v>
      </c>
      <c r="H3626" s="1406" t="s">
        <v>1041</v>
      </c>
    </row>
    <row r="3627" spans="1:8" x14ac:dyDescent="0.2">
      <c r="A3627" s="7"/>
      <c r="B3627" s="1407" t="str">
        <f t="shared" si="56"/>
        <v>Kota Yasuda</v>
      </c>
      <c r="C3627" s="1402" t="s">
        <v>17001</v>
      </c>
      <c r="D3627" s="1403" t="s">
        <v>17282</v>
      </c>
      <c r="E3627" s="1404" t="s">
        <v>17283</v>
      </c>
      <c r="F3627" s="1405" t="s">
        <v>5299</v>
      </c>
      <c r="G3627" s="1403" t="s">
        <v>17239</v>
      </c>
      <c r="H3627" s="1406" t="s">
        <v>1041</v>
      </c>
    </row>
    <row r="3628" spans="1:8" x14ac:dyDescent="0.2">
      <c r="A3628" s="7"/>
      <c r="B3628" s="1407" t="str">
        <f t="shared" si="56"/>
        <v>Shoma Yasuda</v>
      </c>
      <c r="C3628" s="1402" t="s">
        <v>17001</v>
      </c>
      <c r="D3628" s="1403" t="s">
        <v>17284</v>
      </c>
      <c r="E3628" s="1404" t="s">
        <v>17285</v>
      </c>
      <c r="F3628" s="1405" t="s">
        <v>5299</v>
      </c>
      <c r="G3628" s="1403" t="s">
        <v>17239</v>
      </c>
      <c r="H3628" s="1406" t="s">
        <v>1041</v>
      </c>
    </row>
    <row r="3629" spans="1:8" x14ac:dyDescent="0.2">
      <c r="A3629" s="7"/>
      <c r="B3629" s="1407" t="str">
        <f t="shared" si="56"/>
        <v>Ryo Yoshida</v>
      </c>
      <c r="C3629" s="1402" t="s">
        <v>16369</v>
      </c>
      <c r="D3629" s="1403" t="s">
        <v>17286</v>
      </c>
      <c r="E3629" s="1404" t="s">
        <v>17287</v>
      </c>
      <c r="F3629" s="1405" t="s">
        <v>5299</v>
      </c>
      <c r="G3629" s="1403" t="s">
        <v>17239</v>
      </c>
      <c r="H3629" s="1406" t="s">
        <v>1041</v>
      </c>
    </row>
    <row r="3630" spans="1:8" x14ac:dyDescent="0.2">
      <c r="A3630" s="7"/>
      <c r="B3630" s="1407" t="str">
        <f t="shared" si="56"/>
        <v>Yuka Kosaka</v>
      </c>
      <c r="C3630" s="1402" t="s">
        <v>17288</v>
      </c>
      <c r="D3630" s="1403" t="s">
        <v>15735</v>
      </c>
      <c r="E3630" s="1404" t="s">
        <v>17289</v>
      </c>
      <c r="F3630" s="1405" t="s">
        <v>5299</v>
      </c>
      <c r="G3630" s="1403" t="s">
        <v>17290</v>
      </c>
      <c r="H3630" s="1406" t="s">
        <v>1041</v>
      </c>
    </row>
    <row r="3631" spans="1:8" x14ac:dyDescent="0.2">
      <c r="A3631" s="7"/>
      <c r="B3631" s="1407" t="str">
        <f t="shared" si="56"/>
        <v>Manabu Akiyama</v>
      </c>
      <c r="C3631" s="1402" t="s">
        <v>17291</v>
      </c>
      <c r="D3631" s="1403" t="s">
        <v>14719</v>
      </c>
      <c r="E3631" s="1404" t="s">
        <v>17292</v>
      </c>
      <c r="F3631" s="1405" t="s">
        <v>5299</v>
      </c>
      <c r="G3631" s="1403" t="s">
        <v>17290</v>
      </c>
      <c r="H3631" s="1406" t="s">
        <v>1041</v>
      </c>
    </row>
    <row r="3632" spans="1:8" x14ac:dyDescent="0.2">
      <c r="A3632" s="7"/>
      <c r="B3632" s="1407" t="str">
        <f t="shared" si="56"/>
        <v>Rui Akiyama</v>
      </c>
      <c r="C3632" s="1402" t="s">
        <v>17291</v>
      </c>
      <c r="D3632" s="1403" t="s">
        <v>7321</v>
      </c>
      <c r="E3632" s="1404" t="s">
        <v>17293</v>
      </c>
      <c r="F3632" s="1405" t="s">
        <v>1563</v>
      </c>
      <c r="G3632" s="1403" t="s">
        <v>17290</v>
      </c>
      <c r="H3632" s="1406" t="s">
        <v>1041</v>
      </c>
    </row>
    <row r="3633" spans="1:8" x14ac:dyDescent="0.2">
      <c r="A3633" s="7"/>
      <c r="B3633" s="1407" t="str">
        <f t="shared" si="56"/>
        <v>Yayoi Tachikawa</v>
      </c>
      <c r="C3633" s="1402" t="s">
        <v>16269</v>
      </c>
      <c r="D3633" s="1403" t="s">
        <v>17294</v>
      </c>
      <c r="E3633" s="1404" t="s">
        <v>17295</v>
      </c>
      <c r="F3633" s="1405" t="s">
        <v>5300</v>
      </c>
      <c r="G3633" s="1403" t="s">
        <v>17290</v>
      </c>
      <c r="H3633" s="1406" t="s">
        <v>1041</v>
      </c>
    </row>
    <row r="3634" spans="1:8" x14ac:dyDescent="0.2">
      <c r="A3634" s="7"/>
      <c r="B3634" s="1407" t="str">
        <f t="shared" si="56"/>
        <v>Junki Endo</v>
      </c>
      <c r="C3634" s="1402" t="s">
        <v>17296</v>
      </c>
      <c r="D3634" s="1403" t="s">
        <v>17297</v>
      </c>
      <c r="E3634" s="1404" t="s">
        <v>17298</v>
      </c>
      <c r="F3634" s="1405" t="s">
        <v>13210</v>
      </c>
      <c r="G3634" s="1403" t="s">
        <v>17290</v>
      </c>
      <c r="H3634" s="1406" t="s">
        <v>1041</v>
      </c>
    </row>
    <row r="3635" spans="1:8" x14ac:dyDescent="0.2">
      <c r="A3635" s="7"/>
      <c r="B3635" s="1407" t="str">
        <f t="shared" si="56"/>
        <v>Carlos Yamamoto</v>
      </c>
      <c r="C3635" s="1402" t="s">
        <v>17299</v>
      </c>
      <c r="D3635" s="1403" t="s">
        <v>3008</v>
      </c>
      <c r="E3635" s="1404" t="s">
        <v>17300</v>
      </c>
      <c r="F3635" s="1405" t="s">
        <v>5299</v>
      </c>
      <c r="G3635" s="1403" t="s">
        <v>17301</v>
      </c>
      <c r="H3635" s="1406" t="s">
        <v>1041</v>
      </c>
    </row>
    <row r="3636" spans="1:8" x14ac:dyDescent="0.2">
      <c r="A3636" s="7"/>
      <c r="B3636" s="1407" t="str">
        <f t="shared" si="56"/>
        <v>Taku Mima</v>
      </c>
      <c r="C3636" s="1402" t="s">
        <v>17302</v>
      </c>
      <c r="D3636" s="1403" t="s">
        <v>17303</v>
      </c>
      <c r="E3636" s="1404" t="s">
        <v>17304</v>
      </c>
      <c r="F3636" s="1405" t="s">
        <v>5299</v>
      </c>
      <c r="G3636" s="1403" t="s">
        <v>17301</v>
      </c>
      <c r="H3636" s="1406" t="s">
        <v>1041</v>
      </c>
    </row>
    <row r="3637" spans="1:8" x14ac:dyDescent="0.2">
      <c r="A3637" s="7"/>
      <c r="B3637" s="1407" t="str">
        <f t="shared" si="56"/>
        <v>Takumi Homma</v>
      </c>
      <c r="C3637" s="1402" t="s">
        <v>17305</v>
      </c>
      <c r="D3637" s="1403" t="s">
        <v>17306</v>
      </c>
      <c r="E3637" s="1404" t="s">
        <v>17307</v>
      </c>
      <c r="F3637" s="1405" t="s">
        <v>5299</v>
      </c>
      <c r="G3637" s="1403" t="s">
        <v>17301</v>
      </c>
      <c r="H3637" s="1406" t="s">
        <v>1041</v>
      </c>
    </row>
    <row r="3638" spans="1:8" x14ac:dyDescent="0.2">
      <c r="A3638" s="7"/>
      <c r="B3638" s="1407" t="str">
        <f t="shared" si="56"/>
        <v>Haru Yoshioka</v>
      </c>
      <c r="C3638" s="1402" t="s">
        <v>17308</v>
      </c>
      <c r="D3638" s="1403" t="s">
        <v>17309</v>
      </c>
      <c r="E3638" s="1404" t="s">
        <v>17310</v>
      </c>
      <c r="F3638" s="1405" t="s">
        <v>5299</v>
      </c>
      <c r="G3638" s="1403" t="s">
        <v>17301</v>
      </c>
      <c r="H3638" s="1406" t="s">
        <v>1041</v>
      </c>
    </row>
    <row r="3639" spans="1:8" x14ac:dyDescent="0.2">
      <c r="A3639" s="7"/>
      <c r="B3639" s="1407" t="str">
        <f t="shared" si="56"/>
        <v>Takahiro Maruyama</v>
      </c>
      <c r="C3639" s="1402" t="s">
        <v>17311</v>
      </c>
      <c r="D3639" s="1403" t="s">
        <v>17312</v>
      </c>
      <c r="E3639" s="1404" t="s">
        <v>17313</v>
      </c>
      <c r="F3639" s="1405" t="s">
        <v>5299</v>
      </c>
      <c r="G3639" s="1403" t="s">
        <v>17301</v>
      </c>
      <c r="H3639" s="1406" t="s">
        <v>1041</v>
      </c>
    </row>
    <row r="3640" spans="1:8" x14ac:dyDescent="0.2">
      <c r="A3640" s="7"/>
      <c r="B3640" s="1407" t="str">
        <f t="shared" si="56"/>
        <v>Shinji Yamazaki</v>
      </c>
      <c r="C3640" s="1402" t="s">
        <v>17314</v>
      </c>
      <c r="D3640" s="1403" t="s">
        <v>17315</v>
      </c>
      <c r="E3640" s="1404" t="s">
        <v>17316</v>
      </c>
      <c r="F3640" s="1405" t="s">
        <v>5300</v>
      </c>
      <c r="G3640" s="1403" t="s">
        <v>17246</v>
      </c>
      <c r="H3640" s="1406" t="s">
        <v>1041</v>
      </c>
    </row>
    <row r="3641" spans="1:8" x14ac:dyDescent="0.2">
      <c r="A3641" s="7"/>
      <c r="B3641" s="1407" t="str">
        <f t="shared" si="56"/>
        <v>Shingo Maeda</v>
      </c>
      <c r="C3641" s="1402" t="s">
        <v>17317</v>
      </c>
      <c r="D3641" s="1403" t="s">
        <v>17318</v>
      </c>
      <c r="E3641" s="1404" t="s">
        <v>17319</v>
      </c>
      <c r="F3641" s="1405" t="s">
        <v>5300</v>
      </c>
      <c r="G3641" s="1403" t="s">
        <v>17246</v>
      </c>
      <c r="H3641" s="1406" t="s">
        <v>1041</v>
      </c>
    </row>
    <row r="3642" spans="1:8" x14ac:dyDescent="0.2">
      <c r="A3642" s="7"/>
      <c r="B3642" s="1407" t="str">
        <f t="shared" si="56"/>
        <v>Toshiya Kusano</v>
      </c>
      <c r="C3642" s="1402" t="s">
        <v>17320</v>
      </c>
      <c r="D3642" s="1403" t="s">
        <v>17321</v>
      </c>
      <c r="E3642" s="1404" t="s">
        <v>17322</v>
      </c>
      <c r="F3642" s="1405" t="s">
        <v>5300</v>
      </c>
      <c r="G3642" s="1403" t="s">
        <v>17246</v>
      </c>
      <c r="H3642" s="1406" t="s">
        <v>1041</v>
      </c>
    </row>
    <row r="3643" spans="1:8" x14ac:dyDescent="0.2">
      <c r="A3643" s="7"/>
      <c r="B3643" s="1407" t="str">
        <f t="shared" si="56"/>
        <v>Shinobu Kawasaki</v>
      </c>
      <c r="C3643" s="1402" t="s">
        <v>17323</v>
      </c>
      <c r="D3643" s="1403" t="s">
        <v>17324</v>
      </c>
      <c r="E3643" s="1404" t="s">
        <v>17325</v>
      </c>
      <c r="F3643" s="1405" t="s">
        <v>5299</v>
      </c>
      <c r="G3643" s="1403" t="s">
        <v>17246</v>
      </c>
      <c r="H3643" s="1406" t="s">
        <v>1041</v>
      </c>
    </row>
    <row r="3644" spans="1:8" x14ac:dyDescent="0.2">
      <c r="A3644" s="7"/>
      <c r="B3644" s="1407" t="str">
        <f t="shared" si="56"/>
        <v>Saemi Suzuki</v>
      </c>
      <c r="C3644" s="1402" t="s">
        <v>5770</v>
      </c>
      <c r="D3644" s="1403" t="s">
        <v>17326</v>
      </c>
      <c r="E3644" s="1404" t="s">
        <v>17327</v>
      </c>
      <c r="F3644" s="1405" t="s">
        <v>5299</v>
      </c>
      <c r="G3644" s="1403" t="s">
        <v>17236</v>
      </c>
      <c r="H3644" s="1406" t="s">
        <v>1041</v>
      </c>
    </row>
    <row r="3645" spans="1:8" x14ac:dyDescent="0.2">
      <c r="A3645" s="7"/>
      <c r="B3645" s="1407" t="str">
        <f t="shared" si="56"/>
        <v>Mitsuhide Iwaki</v>
      </c>
      <c r="C3645" s="1402" t="s">
        <v>17329</v>
      </c>
      <c r="D3645" s="1403" t="s">
        <v>17328</v>
      </c>
      <c r="E3645" s="1404" t="s">
        <v>17330</v>
      </c>
      <c r="F3645" s="1405" t="s">
        <v>5300</v>
      </c>
      <c r="G3645" s="1403" t="s">
        <v>17238</v>
      </c>
      <c r="H3645" s="1406" t="s">
        <v>1041</v>
      </c>
    </row>
    <row r="3646" spans="1:8" x14ac:dyDescent="0.2">
      <c r="A3646" s="7"/>
      <c r="B3646" s="1407" t="str">
        <f t="shared" si="56"/>
        <v>Katsuhiko Ogane</v>
      </c>
      <c r="C3646" s="1402" t="s">
        <v>17331</v>
      </c>
      <c r="D3646" s="1403" t="s">
        <v>15576</v>
      </c>
      <c r="E3646" s="1404" t="s">
        <v>17332</v>
      </c>
      <c r="F3646" s="1405" t="s">
        <v>5300</v>
      </c>
      <c r="G3646" s="1403" t="s">
        <v>17238</v>
      </c>
      <c r="H3646" s="1406" t="s">
        <v>1041</v>
      </c>
    </row>
    <row r="3647" spans="1:8" x14ac:dyDescent="0.2">
      <c r="A3647" s="7"/>
      <c r="B3647" s="1407" t="str">
        <f t="shared" si="56"/>
        <v>Haruka Abe</v>
      </c>
      <c r="C3647" s="1402" t="s">
        <v>17333</v>
      </c>
      <c r="D3647" s="1403" t="s">
        <v>15649</v>
      </c>
      <c r="E3647" s="1404" t="s">
        <v>17334</v>
      </c>
      <c r="F3647" s="1405" t="s">
        <v>5299</v>
      </c>
      <c r="G3647" s="1403" t="s">
        <v>17238</v>
      </c>
      <c r="H3647" s="1406" t="s">
        <v>1041</v>
      </c>
    </row>
    <row r="3648" spans="1:8" x14ac:dyDescent="0.2">
      <c r="A3648" s="7"/>
      <c r="B3648" s="1407" t="str">
        <f t="shared" si="56"/>
        <v>Masaaki Furutate</v>
      </c>
      <c r="C3648" s="1402" t="s">
        <v>17335</v>
      </c>
      <c r="D3648" s="1403" t="s">
        <v>17336</v>
      </c>
      <c r="E3648" s="1404" t="s">
        <v>17337</v>
      </c>
      <c r="F3648" s="1405" t="s">
        <v>5299</v>
      </c>
      <c r="G3648" s="1403" t="s">
        <v>17238</v>
      </c>
      <c r="H3648" s="1406" t="s">
        <v>1041</v>
      </c>
    </row>
    <row r="3649" spans="1:8" x14ac:dyDescent="0.2">
      <c r="A3649" s="7"/>
      <c r="B3649" s="1407" t="str">
        <f t="shared" si="56"/>
        <v>Toshiki Sato</v>
      </c>
      <c r="C3649" s="1402" t="s">
        <v>16372</v>
      </c>
      <c r="D3649" s="1403" t="s">
        <v>17338</v>
      </c>
      <c r="E3649" s="1404" t="s">
        <v>17339</v>
      </c>
      <c r="F3649" s="1405" t="s">
        <v>5299</v>
      </c>
      <c r="G3649" s="1403" t="s">
        <v>17238</v>
      </c>
      <c r="H3649" s="1406" t="s">
        <v>1041</v>
      </c>
    </row>
    <row r="3650" spans="1:8" x14ac:dyDescent="0.2">
      <c r="A3650" s="7"/>
      <c r="B3650" s="1407" t="str">
        <f t="shared" si="56"/>
        <v>Kazunari Sakai</v>
      </c>
      <c r="C3650" s="1402" t="s">
        <v>17340</v>
      </c>
      <c r="D3650" s="1403" t="s">
        <v>17341</v>
      </c>
      <c r="E3650" s="1404" t="s">
        <v>17342</v>
      </c>
      <c r="F3650" s="1405" t="s">
        <v>5299</v>
      </c>
      <c r="G3650" s="1403" t="s">
        <v>17238</v>
      </c>
      <c r="H3650" s="1406" t="s">
        <v>1041</v>
      </c>
    </row>
    <row r="3651" spans="1:8" x14ac:dyDescent="0.2">
      <c r="A3651" s="7"/>
      <c r="B3651" s="1407" t="str">
        <f t="shared" si="56"/>
        <v>Kie Suzuki</v>
      </c>
      <c r="C3651" s="1402" t="s">
        <v>5770</v>
      </c>
      <c r="D3651" s="1403" t="s">
        <v>17343</v>
      </c>
      <c r="E3651" s="1404" t="s">
        <v>17344</v>
      </c>
      <c r="F3651" s="1405" t="s">
        <v>5299</v>
      </c>
      <c r="G3651" s="1403" t="s">
        <v>17238</v>
      </c>
      <c r="H3651" s="1406" t="s">
        <v>1041</v>
      </c>
    </row>
    <row r="3652" spans="1:8" x14ac:dyDescent="0.2">
      <c r="A3652" s="7"/>
      <c r="B3652" s="1407" t="str">
        <f t="shared" si="56"/>
        <v>Takashi Yoshida</v>
      </c>
      <c r="C3652" s="1402" t="s">
        <v>16369</v>
      </c>
      <c r="D3652" s="1403" t="s">
        <v>17345</v>
      </c>
      <c r="E3652" s="1404" t="s">
        <v>17346</v>
      </c>
      <c r="F3652" s="1405" t="s">
        <v>5300</v>
      </c>
      <c r="G3652" s="1403" t="s">
        <v>17238</v>
      </c>
      <c r="H3652" s="1406" t="s">
        <v>1041</v>
      </c>
    </row>
    <row r="3653" spans="1:8" x14ac:dyDescent="0.2">
      <c r="A3653" s="7"/>
      <c r="B3653" s="1407" t="str">
        <f t="shared" si="56"/>
        <v>Mai Oota</v>
      </c>
      <c r="C3653" s="1402" t="s">
        <v>17347</v>
      </c>
      <c r="D3653" s="1403" t="s">
        <v>17348</v>
      </c>
      <c r="E3653" s="1404" t="s">
        <v>17349</v>
      </c>
      <c r="F3653" s="1405" t="s">
        <v>5299</v>
      </c>
      <c r="G3653" s="1403" t="s">
        <v>17238</v>
      </c>
      <c r="H3653" s="1406" t="s">
        <v>1041</v>
      </c>
    </row>
    <row r="3654" spans="1:8" x14ac:dyDescent="0.2">
      <c r="A3654" s="7"/>
      <c r="B3654" s="1407" t="str">
        <f t="shared" si="56"/>
        <v>Sho Sugawara</v>
      </c>
      <c r="C3654" s="1402" t="s">
        <v>17350</v>
      </c>
      <c r="D3654" s="1403" t="s">
        <v>17351</v>
      </c>
      <c r="E3654" s="1404" t="s">
        <v>17352</v>
      </c>
      <c r="F3654" s="1405" t="s">
        <v>5299</v>
      </c>
      <c r="G3654" s="1403" t="s">
        <v>17238</v>
      </c>
      <c r="H3654" s="1406" t="s">
        <v>1041</v>
      </c>
    </row>
    <row r="3655" spans="1:8" x14ac:dyDescent="0.2">
      <c r="A3655" s="7"/>
      <c r="B3655" s="1407" t="str">
        <f t="shared" ref="B3655:B3718" si="57">TRIM(CONCATENATE(D3655," ",C3655))</f>
        <v>Kazuharu Takahashi</v>
      </c>
      <c r="C3655" s="1402" t="s">
        <v>16272</v>
      </c>
      <c r="D3655" s="1403" t="s">
        <v>17353</v>
      </c>
      <c r="E3655" s="1404" t="s">
        <v>17354</v>
      </c>
      <c r="F3655" s="1405" t="s">
        <v>5300</v>
      </c>
      <c r="G3655" s="1403" t="s">
        <v>17235</v>
      </c>
      <c r="H3655" s="1406" t="s">
        <v>1041</v>
      </c>
    </row>
    <row r="3656" spans="1:8" x14ac:dyDescent="0.2">
      <c r="A3656" s="7"/>
      <c r="B3656" s="1407" t="str">
        <f t="shared" si="57"/>
        <v>Kazuko Takahashi</v>
      </c>
      <c r="C3656" s="1402" t="s">
        <v>16272</v>
      </c>
      <c r="D3656" s="1403" t="s">
        <v>17355</v>
      </c>
      <c r="E3656" s="1404" t="s">
        <v>17356</v>
      </c>
      <c r="F3656" s="1405" t="s">
        <v>5300</v>
      </c>
      <c r="G3656" s="1403" t="s">
        <v>17235</v>
      </c>
      <c r="H3656" s="1406" t="s">
        <v>1041</v>
      </c>
    </row>
    <row r="3657" spans="1:8" x14ac:dyDescent="0.2">
      <c r="A3657" s="7"/>
      <c r="B3657" s="1407" t="str">
        <f t="shared" si="57"/>
        <v>Kei Kawamura</v>
      </c>
      <c r="C3657" s="1402" t="s">
        <v>17358</v>
      </c>
      <c r="D3657" s="1403" t="s">
        <v>17357</v>
      </c>
      <c r="E3657" s="1404" t="s">
        <v>17359</v>
      </c>
      <c r="F3657" s="1405" t="s">
        <v>5300</v>
      </c>
      <c r="G3657" s="1403" t="s">
        <v>17233</v>
      </c>
      <c r="H3657" s="1406" t="s">
        <v>1041</v>
      </c>
    </row>
    <row r="3658" spans="1:8" x14ac:dyDescent="0.2">
      <c r="A3658" s="7"/>
      <c r="B3658" s="1407" t="str">
        <f t="shared" si="57"/>
        <v>Yoshimasa Tamura</v>
      </c>
      <c r="C3658" s="1402" t="s">
        <v>17361</v>
      </c>
      <c r="D3658" s="1403" t="s">
        <v>17360</v>
      </c>
      <c r="E3658" s="1404" t="s">
        <v>17362</v>
      </c>
      <c r="F3658" s="1405" t="s">
        <v>5299</v>
      </c>
      <c r="G3658" s="1403" t="s">
        <v>17233</v>
      </c>
      <c r="H3658" s="1406" t="s">
        <v>1041</v>
      </c>
    </row>
    <row r="3659" spans="1:8" x14ac:dyDescent="0.2">
      <c r="A3659" s="7"/>
      <c r="B3659" s="1407" t="str">
        <f t="shared" si="57"/>
        <v>Naoto Yasuda</v>
      </c>
      <c r="C3659" s="1402" t="s">
        <v>17001</v>
      </c>
      <c r="D3659" s="1403" t="s">
        <v>16283</v>
      </c>
      <c r="E3659" s="1404" t="s">
        <v>18015</v>
      </c>
      <c r="F3659" s="1405" t="s">
        <v>5299</v>
      </c>
      <c r="G3659" s="1403" t="s">
        <v>17301</v>
      </c>
      <c r="H3659" s="1406" t="s">
        <v>1041</v>
      </c>
    </row>
    <row r="3660" spans="1:8" x14ac:dyDescent="0.2">
      <c r="A3660" s="7"/>
      <c r="B3660" s="1407" t="str">
        <f t="shared" si="57"/>
        <v>Atsushi Toda</v>
      </c>
      <c r="C3660" s="1402" t="s">
        <v>18016</v>
      </c>
      <c r="D3660" s="1403" t="s">
        <v>18017</v>
      </c>
      <c r="E3660" s="1404" t="s">
        <v>18018</v>
      </c>
      <c r="F3660" s="1405" t="s">
        <v>5299</v>
      </c>
      <c r="G3660" s="1403" t="s">
        <v>17301</v>
      </c>
      <c r="H3660" s="1406" t="s">
        <v>1041</v>
      </c>
    </row>
    <row r="3661" spans="1:8" x14ac:dyDescent="0.2">
      <c r="A3661" s="7"/>
      <c r="B3661" s="1407" t="str">
        <f t="shared" si="57"/>
        <v>Keita Jige</v>
      </c>
      <c r="C3661" s="1402" t="s">
        <v>18019</v>
      </c>
      <c r="D3661" s="1403" t="s">
        <v>18020</v>
      </c>
      <c r="E3661" s="1404" t="s">
        <v>18021</v>
      </c>
      <c r="F3661" s="1405" t="s">
        <v>5299</v>
      </c>
      <c r="G3661" s="1403" t="s">
        <v>17301</v>
      </c>
      <c r="H3661" s="1406" t="s">
        <v>1041</v>
      </c>
    </row>
    <row r="3662" spans="1:8" x14ac:dyDescent="0.2">
      <c r="A3662" s="7"/>
      <c r="B3662" s="1407" t="str">
        <f t="shared" si="57"/>
        <v>Kyohei Ishikawa</v>
      </c>
      <c r="C3662" s="1402" t="s">
        <v>18022</v>
      </c>
      <c r="D3662" s="1403" t="s">
        <v>18023</v>
      </c>
      <c r="E3662" s="1404" t="s">
        <v>18024</v>
      </c>
      <c r="F3662" s="1405" t="s">
        <v>5299</v>
      </c>
      <c r="G3662" s="1403" t="s">
        <v>17234</v>
      </c>
      <c r="H3662" s="1406" t="s">
        <v>1041</v>
      </c>
    </row>
    <row r="3663" spans="1:8" x14ac:dyDescent="0.2">
      <c r="A3663" s="7"/>
      <c r="B3663" s="1407" t="str">
        <f t="shared" si="57"/>
        <v>Masaharu Miyairi</v>
      </c>
      <c r="C3663" s="1402" t="s">
        <v>18025</v>
      </c>
      <c r="D3663" s="1403" t="s">
        <v>18026</v>
      </c>
      <c r="E3663" s="1404" t="s">
        <v>18027</v>
      </c>
      <c r="F3663" s="1405" t="s">
        <v>5300</v>
      </c>
      <c r="G3663" s="1403" t="s">
        <v>17234</v>
      </c>
      <c r="H3663" s="1406" t="s">
        <v>1041</v>
      </c>
    </row>
    <row r="3664" spans="1:8" x14ac:dyDescent="0.2">
      <c r="A3664" s="7"/>
      <c r="B3664" s="1407" t="str">
        <f t="shared" si="57"/>
        <v>Kentaro Tsuboi</v>
      </c>
      <c r="C3664" s="1402" t="s">
        <v>18028</v>
      </c>
      <c r="D3664" s="1403" t="s">
        <v>18029</v>
      </c>
      <c r="E3664" s="1404" t="s">
        <v>18030</v>
      </c>
      <c r="F3664" s="1405" t="s">
        <v>5299</v>
      </c>
      <c r="G3664" s="1403" t="s">
        <v>17234</v>
      </c>
      <c r="H3664" s="1406" t="s">
        <v>1041</v>
      </c>
    </row>
    <row r="3665" spans="1:8" x14ac:dyDescent="0.2">
      <c r="A3665" s="7"/>
      <c r="B3665" s="1407" t="str">
        <f t="shared" si="57"/>
        <v>Natsumi Sato</v>
      </c>
      <c r="C3665" s="1402" t="s">
        <v>16372</v>
      </c>
      <c r="D3665" s="1403" t="s">
        <v>18031</v>
      </c>
      <c r="E3665" s="1404" t="s">
        <v>18032</v>
      </c>
      <c r="F3665" s="1405" t="s">
        <v>5299</v>
      </c>
      <c r="G3665" s="1403" t="s">
        <v>17234</v>
      </c>
      <c r="H3665" s="1406" t="s">
        <v>1041</v>
      </c>
    </row>
    <row r="3666" spans="1:8" x14ac:dyDescent="0.2">
      <c r="A3666" s="7"/>
      <c r="B3666" s="1407" t="str">
        <f t="shared" si="57"/>
        <v>Kazuhito Yoshihiro</v>
      </c>
      <c r="C3666" s="1402" t="s">
        <v>18033</v>
      </c>
      <c r="D3666" s="1403" t="s">
        <v>18034</v>
      </c>
      <c r="E3666" s="1404" t="s">
        <v>18035</v>
      </c>
      <c r="F3666" s="1405" t="s">
        <v>5299</v>
      </c>
      <c r="G3666" s="1403" t="s">
        <v>17234</v>
      </c>
      <c r="H3666" s="1406" t="s">
        <v>1041</v>
      </c>
    </row>
    <row r="3667" spans="1:8" x14ac:dyDescent="0.2">
      <c r="A3667" s="7"/>
      <c r="B3667" s="1407" t="str">
        <f t="shared" si="57"/>
        <v>Raksmey That</v>
      </c>
      <c r="C3667" s="1402" t="s">
        <v>18036</v>
      </c>
      <c r="D3667" s="1403" t="s">
        <v>18037</v>
      </c>
      <c r="E3667" s="1404" t="s">
        <v>18038</v>
      </c>
      <c r="F3667" s="1405" t="s">
        <v>5299</v>
      </c>
      <c r="G3667" s="1403" t="s">
        <v>17238</v>
      </c>
      <c r="H3667" s="1406" t="s">
        <v>1041</v>
      </c>
    </row>
    <row r="3668" spans="1:8" x14ac:dyDescent="0.2">
      <c r="A3668" s="7"/>
      <c r="B3668" s="1407" t="str">
        <f t="shared" si="57"/>
        <v>Michael M Dent</v>
      </c>
      <c r="C3668" s="1402" t="s">
        <v>6658</v>
      </c>
      <c r="D3668" s="1403" t="s">
        <v>11381</v>
      </c>
      <c r="E3668" s="1404" t="s">
        <v>5148</v>
      </c>
      <c r="F3668" s="1405" t="s">
        <v>5300</v>
      </c>
      <c r="G3668" s="1403" t="s">
        <v>5566</v>
      </c>
      <c r="H3668" s="1406" t="s">
        <v>1047</v>
      </c>
    </row>
    <row r="3669" spans="1:8" x14ac:dyDescent="0.2">
      <c r="A3669" s="7"/>
      <c r="B3669" s="1407" t="str">
        <f t="shared" si="57"/>
        <v>Vishnu Varthana Sundram</v>
      </c>
      <c r="C3669" s="1402" t="s">
        <v>6659</v>
      </c>
      <c r="D3669" s="1403" t="s">
        <v>5605</v>
      </c>
      <c r="E3669" s="1404" t="s">
        <v>7134</v>
      </c>
      <c r="F3669" s="1405" t="s">
        <v>5299</v>
      </c>
      <c r="G3669" s="1403" t="s">
        <v>5566</v>
      </c>
      <c r="H3669" s="1406" t="s">
        <v>1047</v>
      </c>
    </row>
    <row r="3670" spans="1:8" x14ac:dyDescent="0.2">
      <c r="A3670" s="7"/>
      <c r="B3670" s="1407" t="str">
        <f t="shared" si="57"/>
        <v>Sharvind Vyas Veera</v>
      </c>
      <c r="C3670" s="1402" t="s">
        <v>6660</v>
      </c>
      <c r="D3670" s="1403" t="s">
        <v>5606</v>
      </c>
      <c r="E3670" s="1404" t="s">
        <v>7135</v>
      </c>
      <c r="F3670" s="1405" t="s">
        <v>5299</v>
      </c>
      <c r="G3670" s="1403" t="s">
        <v>5566</v>
      </c>
      <c r="H3670" s="1406" t="s">
        <v>1047</v>
      </c>
    </row>
    <row r="3671" spans="1:8" x14ac:dyDescent="0.2">
      <c r="A3671" s="7"/>
      <c r="B3671" s="1407" t="str">
        <f t="shared" si="57"/>
        <v>Muhammad Firman</v>
      </c>
      <c r="C3671" s="1402" t="s">
        <v>6661</v>
      </c>
      <c r="D3671" s="1403" t="s">
        <v>5565</v>
      </c>
      <c r="E3671" s="1404" t="s">
        <v>7136</v>
      </c>
      <c r="F3671" s="1405" t="s">
        <v>5299</v>
      </c>
      <c r="G3671" s="1403" t="s">
        <v>5566</v>
      </c>
      <c r="H3671" s="1406" t="s">
        <v>1047</v>
      </c>
    </row>
    <row r="3672" spans="1:8" x14ac:dyDescent="0.2">
      <c r="A3672" s="7"/>
      <c r="B3672" s="1407" t="str">
        <f t="shared" si="57"/>
        <v>Jamie Kong</v>
      </c>
      <c r="C3672" s="1402" t="s">
        <v>6662</v>
      </c>
      <c r="D3672" s="1403" t="s">
        <v>3368</v>
      </c>
      <c r="E3672" s="1404" t="s">
        <v>7137</v>
      </c>
      <c r="F3672" s="1405" t="s">
        <v>5300</v>
      </c>
      <c r="G3672" s="1403" t="s">
        <v>5566</v>
      </c>
      <c r="H3672" s="1406" t="s">
        <v>1047</v>
      </c>
    </row>
    <row r="3673" spans="1:8" x14ac:dyDescent="0.2">
      <c r="A3673" s="7"/>
      <c r="B3673" s="1407" t="str">
        <f t="shared" si="57"/>
        <v>Muhammad Fiesal</v>
      </c>
      <c r="C3673" s="1402" t="s">
        <v>6663</v>
      </c>
      <c r="D3673" s="1403" t="s">
        <v>5565</v>
      </c>
      <c r="E3673" s="1404" t="s">
        <v>7138</v>
      </c>
      <c r="F3673" s="1405" t="s">
        <v>5300</v>
      </c>
      <c r="G3673" s="1403" t="s">
        <v>5566</v>
      </c>
      <c r="H3673" s="1406" t="s">
        <v>1047</v>
      </c>
    </row>
    <row r="3674" spans="1:8" x14ac:dyDescent="0.2">
      <c r="A3674" s="7"/>
      <c r="B3674" s="1407" t="str">
        <f t="shared" si="57"/>
        <v>Rajakumaran Mohnish</v>
      </c>
      <c r="C3674" s="1402" t="s">
        <v>6664</v>
      </c>
      <c r="D3674" s="1403" t="s">
        <v>5637</v>
      </c>
      <c r="E3674" s="1404" t="s">
        <v>7139</v>
      </c>
      <c r="F3674" s="1405" t="s">
        <v>5299</v>
      </c>
      <c r="G3674" s="1403" t="s">
        <v>5566</v>
      </c>
      <c r="H3674" s="1406" t="s">
        <v>1047</v>
      </c>
    </row>
    <row r="3675" spans="1:8" x14ac:dyDescent="0.2">
      <c r="A3675" s="7"/>
      <c r="B3675" s="1407" t="str">
        <f t="shared" si="57"/>
        <v>Gill Thesan Nikhil</v>
      </c>
      <c r="C3675" s="1402" t="s">
        <v>6665</v>
      </c>
      <c r="D3675" s="1403" t="s">
        <v>5638</v>
      </c>
      <c r="E3675" s="1404" t="s">
        <v>7140</v>
      </c>
      <c r="F3675" s="1405" t="s">
        <v>5299</v>
      </c>
      <c r="G3675" s="1403" t="s">
        <v>5566</v>
      </c>
      <c r="H3675" s="1406" t="s">
        <v>1047</v>
      </c>
    </row>
    <row r="3676" spans="1:8" x14ac:dyDescent="0.2">
      <c r="A3676" s="7"/>
      <c r="B3676" s="1407" t="str">
        <f t="shared" si="57"/>
        <v>Muhammad Jibril</v>
      </c>
      <c r="C3676" s="1402" t="s">
        <v>6666</v>
      </c>
      <c r="D3676" s="1403" t="s">
        <v>5565</v>
      </c>
      <c r="E3676" s="1404" t="s">
        <v>7141</v>
      </c>
      <c r="F3676" s="1405" t="s">
        <v>5299</v>
      </c>
      <c r="G3676" s="1403" t="s">
        <v>5566</v>
      </c>
      <c r="H3676" s="1406" t="s">
        <v>1047</v>
      </c>
    </row>
    <row r="3677" spans="1:8" x14ac:dyDescent="0.2">
      <c r="A3677" s="7"/>
      <c r="B3677" s="1407" t="str">
        <f t="shared" si="57"/>
        <v>Hisham Azman</v>
      </c>
      <c r="C3677" s="1402" t="s">
        <v>6667</v>
      </c>
      <c r="D3677" s="1403" t="s">
        <v>5567</v>
      </c>
      <c r="E3677" s="1404" t="s">
        <v>7142</v>
      </c>
      <c r="F3677" s="1405" t="s">
        <v>5300</v>
      </c>
      <c r="G3677" s="1403" t="s">
        <v>5566</v>
      </c>
      <c r="H3677" s="1406" t="s">
        <v>1047</v>
      </c>
    </row>
    <row r="3678" spans="1:8" x14ac:dyDescent="0.2">
      <c r="A3678" s="7"/>
      <c r="B3678" s="1407" t="str">
        <f t="shared" si="57"/>
        <v>Muhammad Yazre</v>
      </c>
      <c r="C3678" s="1402" t="s">
        <v>6668</v>
      </c>
      <c r="D3678" s="1403" t="s">
        <v>5565</v>
      </c>
      <c r="E3678" s="1404" t="s">
        <v>7143</v>
      </c>
      <c r="F3678" s="1405" t="s">
        <v>5299</v>
      </c>
      <c r="G3678" s="1403" t="s">
        <v>5566</v>
      </c>
      <c r="H3678" s="1406" t="s">
        <v>1047</v>
      </c>
    </row>
    <row r="3679" spans="1:8" x14ac:dyDescent="0.2">
      <c r="A3679" s="7"/>
      <c r="B3679" s="1407" t="str">
        <f t="shared" si="57"/>
        <v>Sathia Sundram</v>
      </c>
      <c r="C3679" s="1402" t="s">
        <v>6659</v>
      </c>
      <c r="D3679" s="1403" t="s">
        <v>5568</v>
      </c>
      <c r="E3679" s="1404" t="s">
        <v>7144</v>
      </c>
      <c r="F3679" s="1405" t="s">
        <v>5299</v>
      </c>
      <c r="G3679" s="1403" t="s">
        <v>5566</v>
      </c>
      <c r="H3679" s="1406" t="s">
        <v>1047</v>
      </c>
    </row>
    <row r="3680" spans="1:8" x14ac:dyDescent="0.2">
      <c r="A3680" s="7"/>
      <c r="B3680" s="1407" t="str">
        <f t="shared" si="57"/>
        <v>Edwin Wong</v>
      </c>
      <c r="C3680" s="1402" t="s">
        <v>6669</v>
      </c>
      <c r="D3680" s="1403" t="s">
        <v>5608</v>
      </c>
      <c r="E3680" s="1404" t="s">
        <v>7145</v>
      </c>
      <c r="F3680" s="1405" t="s">
        <v>5300</v>
      </c>
      <c r="G3680" s="1403" t="s">
        <v>5566</v>
      </c>
      <c r="H3680" s="1406" t="s">
        <v>1047</v>
      </c>
    </row>
    <row r="3681" spans="1:8" x14ac:dyDescent="0.2">
      <c r="A3681" s="7"/>
      <c r="B3681" s="1407" t="str">
        <f t="shared" si="57"/>
        <v>Charles Aquilina</v>
      </c>
      <c r="C3681" s="1402" t="s">
        <v>6670</v>
      </c>
      <c r="D3681" s="1403" t="s">
        <v>3422</v>
      </c>
      <c r="E3681" s="1404" t="s">
        <v>5149</v>
      </c>
      <c r="F3681" s="1405" t="s">
        <v>5300</v>
      </c>
      <c r="G3681" s="1403" t="s">
        <v>10253</v>
      </c>
      <c r="H3681" s="1406" t="s">
        <v>1045</v>
      </c>
    </row>
    <row r="3682" spans="1:8" x14ac:dyDescent="0.2">
      <c r="A3682" s="7"/>
      <c r="B3682" s="1407" t="str">
        <f t="shared" si="57"/>
        <v>Samuel Bartolo</v>
      </c>
      <c r="C3682" s="1402" t="s">
        <v>6671</v>
      </c>
      <c r="D3682" s="1403" t="s">
        <v>3015</v>
      </c>
      <c r="E3682" s="1404" t="s">
        <v>5150</v>
      </c>
      <c r="F3682" s="1405" t="s">
        <v>5299</v>
      </c>
      <c r="G3682" s="1403" t="s">
        <v>10247</v>
      </c>
      <c r="H3682" s="1406" t="s">
        <v>1045</v>
      </c>
    </row>
    <row r="3683" spans="1:8" x14ac:dyDescent="0.2">
      <c r="A3683" s="7"/>
      <c r="B3683" s="1407" t="str">
        <f t="shared" si="57"/>
        <v>Melvin Barun</v>
      </c>
      <c r="C3683" s="1402" t="s">
        <v>6672</v>
      </c>
      <c r="D3683" s="1403" t="s">
        <v>3670</v>
      </c>
      <c r="E3683" s="1404" t="s">
        <v>5151</v>
      </c>
      <c r="F3683" s="1405" t="s">
        <v>5299</v>
      </c>
      <c r="G3683" s="1403" t="s">
        <v>15224</v>
      </c>
      <c r="H3683" s="1406" t="s">
        <v>1045</v>
      </c>
    </row>
    <row r="3684" spans="1:8" x14ac:dyDescent="0.2">
      <c r="A3684" s="7"/>
      <c r="B3684" s="1407" t="str">
        <f t="shared" si="57"/>
        <v>Adrian Bonnici</v>
      </c>
      <c r="C3684" s="1402" t="s">
        <v>6673</v>
      </c>
      <c r="D3684" s="1403" t="s">
        <v>3356</v>
      </c>
      <c r="E3684" s="1404" t="s">
        <v>5152</v>
      </c>
      <c r="F3684" s="1405" t="s">
        <v>5300</v>
      </c>
      <c r="G3684" s="1403" t="s">
        <v>5317</v>
      </c>
      <c r="H3684" s="1406" t="s">
        <v>1045</v>
      </c>
    </row>
    <row r="3685" spans="1:8" x14ac:dyDescent="0.2">
      <c r="A3685" s="7"/>
      <c r="B3685" s="1407" t="str">
        <f t="shared" si="57"/>
        <v>Angelo Borg</v>
      </c>
      <c r="C3685" s="1402" t="s">
        <v>18039</v>
      </c>
      <c r="D3685" s="1403" t="s">
        <v>3367</v>
      </c>
      <c r="E3685" s="1404" t="s">
        <v>18040</v>
      </c>
      <c r="F3685" s="1405" t="s">
        <v>5299</v>
      </c>
      <c r="G3685" s="1403" t="s">
        <v>10247</v>
      </c>
      <c r="H3685" s="1406" t="s">
        <v>1045</v>
      </c>
    </row>
    <row r="3686" spans="1:8" x14ac:dyDescent="0.2">
      <c r="A3686" s="7"/>
      <c r="B3686" s="1407" t="str">
        <f t="shared" si="57"/>
        <v>Joseph Borg Bonaci</v>
      </c>
      <c r="C3686" s="1402" t="s">
        <v>14054</v>
      </c>
      <c r="D3686" s="1403" t="s">
        <v>3045</v>
      </c>
      <c r="E3686" s="1404" t="s">
        <v>14055</v>
      </c>
      <c r="F3686" s="1405" t="s">
        <v>5299</v>
      </c>
      <c r="G3686" s="1403" t="s">
        <v>10247</v>
      </c>
      <c r="H3686" s="1406" t="s">
        <v>1045</v>
      </c>
    </row>
    <row r="3687" spans="1:8" x14ac:dyDescent="0.2">
      <c r="A3687" s="7"/>
      <c r="B3687" s="1407" t="str">
        <f t="shared" si="57"/>
        <v>Josef Camilleri</v>
      </c>
      <c r="C3687" s="1402" t="s">
        <v>6674</v>
      </c>
      <c r="D3687" s="1403" t="s">
        <v>3154</v>
      </c>
      <c r="E3687" s="1404" t="s">
        <v>5153</v>
      </c>
      <c r="F3687" s="1405" t="s">
        <v>5299</v>
      </c>
      <c r="G3687" s="1403" t="s">
        <v>10253</v>
      </c>
      <c r="H3687" s="1406" t="s">
        <v>1045</v>
      </c>
    </row>
    <row r="3688" spans="1:8" x14ac:dyDescent="0.2">
      <c r="A3688" s="7"/>
      <c r="B3688" s="1407" t="str">
        <f t="shared" si="57"/>
        <v>Mario Camilleri</v>
      </c>
      <c r="C3688" s="1402" t="s">
        <v>6674</v>
      </c>
      <c r="D3688" s="1403" t="s">
        <v>3079</v>
      </c>
      <c r="E3688" s="1404" t="s">
        <v>5154</v>
      </c>
      <c r="F3688" s="1405" t="s">
        <v>5300</v>
      </c>
      <c r="G3688" s="1403" t="s">
        <v>17363</v>
      </c>
      <c r="H3688" s="1406" t="s">
        <v>1045</v>
      </c>
    </row>
    <row r="3689" spans="1:8" x14ac:dyDescent="0.2">
      <c r="A3689" s="7"/>
      <c r="B3689" s="1407" t="str">
        <f t="shared" si="57"/>
        <v>Mauro Camilleri</v>
      </c>
      <c r="C3689" s="1402" t="s">
        <v>6674</v>
      </c>
      <c r="D3689" s="1403" t="s">
        <v>3204</v>
      </c>
      <c r="E3689" s="1404" t="s">
        <v>5155</v>
      </c>
      <c r="F3689" s="1405" t="s">
        <v>5299</v>
      </c>
      <c r="G3689" s="1403" t="s">
        <v>10253</v>
      </c>
      <c r="H3689" s="1406" t="s">
        <v>1045</v>
      </c>
    </row>
    <row r="3690" spans="1:8" x14ac:dyDescent="0.2">
      <c r="A3690" s="7"/>
      <c r="B3690" s="1407" t="str">
        <f t="shared" si="57"/>
        <v>Derek Conti</v>
      </c>
      <c r="C3690" s="1402" t="s">
        <v>6405</v>
      </c>
      <c r="D3690" s="1403" t="s">
        <v>3021</v>
      </c>
      <c r="E3690" s="1404" t="s">
        <v>5156</v>
      </c>
      <c r="F3690" s="1405" t="s">
        <v>5299</v>
      </c>
      <c r="G3690" s="1403" t="s">
        <v>10247</v>
      </c>
      <c r="H3690" s="1406" t="s">
        <v>1045</v>
      </c>
    </row>
    <row r="3691" spans="1:8" x14ac:dyDescent="0.2">
      <c r="A3691" s="7"/>
      <c r="B3691" s="1407" t="str">
        <f t="shared" si="57"/>
        <v>Massimo Cremona</v>
      </c>
      <c r="C3691" s="1402" t="s">
        <v>6675</v>
      </c>
      <c r="D3691" s="1403" t="s">
        <v>3013</v>
      </c>
      <c r="E3691" s="1404" t="s">
        <v>18041</v>
      </c>
      <c r="F3691" s="1405" t="s">
        <v>5300</v>
      </c>
      <c r="G3691" s="1403" t="s">
        <v>11331</v>
      </c>
      <c r="H3691" s="1406" t="s">
        <v>1045</v>
      </c>
    </row>
    <row r="3692" spans="1:8" x14ac:dyDescent="0.2">
      <c r="A3692" s="7"/>
      <c r="B3692" s="1407" t="str">
        <f t="shared" si="57"/>
        <v>George Ebejer</v>
      </c>
      <c r="C3692" s="1402" t="s">
        <v>6676</v>
      </c>
      <c r="D3692" s="1403" t="s">
        <v>3162</v>
      </c>
      <c r="E3692" s="1404" t="s">
        <v>5157</v>
      </c>
      <c r="F3692" s="1405" t="s">
        <v>5299</v>
      </c>
      <c r="G3692" s="1403" t="s">
        <v>10253</v>
      </c>
      <c r="H3692" s="1406" t="s">
        <v>1045</v>
      </c>
    </row>
    <row r="3693" spans="1:8" x14ac:dyDescent="0.2">
      <c r="A3693" s="7"/>
      <c r="B3693" s="1407" t="str">
        <f t="shared" si="57"/>
        <v>Tristan Fenech</v>
      </c>
      <c r="C3693" s="1402" t="s">
        <v>6677</v>
      </c>
      <c r="D3693" s="1403" t="s">
        <v>3676</v>
      </c>
      <c r="E3693" s="1404" t="s">
        <v>5158</v>
      </c>
      <c r="F3693" s="1405" t="s">
        <v>5299</v>
      </c>
      <c r="G3693" s="1403" t="s">
        <v>15202</v>
      </c>
      <c r="H3693" s="1406" t="s">
        <v>1045</v>
      </c>
    </row>
    <row r="3694" spans="1:8" x14ac:dyDescent="0.2">
      <c r="A3694" s="7"/>
      <c r="B3694" s="1407" t="str">
        <f t="shared" si="57"/>
        <v>Ismaël Fenech</v>
      </c>
      <c r="C3694" s="1402" t="s">
        <v>6677</v>
      </c>
      <c r="D3694" s="1403" t="s">
        <v>14733</v>
      </c>
      <c r="E3694" s="1404" t="s">
        <v>14059</v>
      </c>
      <c r="F3694" s="1405" t="s">
        <v>5299</v>
      </c>
      <c r="G3694" s="1403" t="s">
        <v>10253</v>
      </c>
      <c r="H3694" s="1406" t="s">
        <v>1045</v>
      </c>
    </row>
    <row r="3695" spans="1:8" x14ac:dyDescent="0.2">
      <c r="A3695" s="7"/>
      <c r="B3695" s="1407" t="str">
        <f t="shared" si="57"/>
        <v>Mark Gauci</v>
      </c>
      <c r="C3695" s="1402" t="s">
        <v>6678</v>
      </c>
      <c r="D3695" s="1403" t="s">
        <v>3017</v>
      </c>
      <c r="E3695" s="1404" t="s">
        <v>5159</v>
      </c>
      <c r="F3695" s="1405" t="s">
        <v>5299</v>
      </c>
      <c r="G3695" s="1403" t="s">
        <v>10247</v>
      </c>
      <c r="H3695" s="1406" t="s">
        <v>1045</v>
      </c>
    </row>
    <row r="3696" spans="1:8" x14ac:dyDescent="0.2">
      <c r="A3696" s="7"/>
      <c r="B3696" s="1407" t="str">
        <f t="shared" si="57"/>
        <v>Hansel Mallia</v>
      </c>
      <c r="C3696" s="1402" t="s">
        <v>6679</v>
      </c>
      <c r="D3696" s="1403" t="s">
        <v>3053</v>
      </c>
      <c r="E3696" s="1404" t="s">
        <v>5160</v>
      </c>
      <c r="F3696" s="1405" t="s">
        <v>5299</v>
      </c>
      <c r="G3696" s="1403" t="s">
        <v>10262</v>
      </c>
      <c r="H3696" s="1406" t="s">
        <v>1045</v>
      </c>
    </row>
    <row r="3697" spans="1:8" x14ac:dyDescent="0.2">
      <c r="A3697" s="7"/>
      <c r="B3697" s="1407" t="str">
        <f t="shared" si="57"/>
        <v>Joseph Mifsud</v>
      </c>
      <c r="C3697" s="1402" t="s">
        <v>6683</v>
      </c>
      <c r="D3697" s="1403" t="s">
        <v>3045</v>
      </c>
      <c r="E3697" s="1404" t="s">
        <v>5164</v>
      </c>
      <c r="F3697" s="1405" t="s">
        <v>5300</v>
      </c>
      <c r="G3697" s="1403" t="s">
        <v>10262</v>
      </c>
      <c r="H3697" s="1406" t="s">
        <v>1045</v>
      </c>
    </row>
    <row r="3698" spans="1:8" x14ac:dyDescent="0.2">
      <c r="A3698" s="7"/>
      <c r="B3698" s="1407" t="str">
        <f t="shared" si="57"/>
        <v>Vincent Mifsud</v>
      </c>
      <c r="C3698" s="1402" t="s">
        <v>6683</v>
      </c>
      <c r="D3698" s="1403" t="s">
        <v>3457</v>
      </c>
      <c r="E3698" s="1404" t="s">
        <v>14058</v>
      </c>
      <c r="F3698" s="1405" t="s">
        <v>5300</v>
      </c>
      <c r="G3698" s="1403" t="s">
        <v>11331</v>
      </c>
      <c r="H3698" s="1406" t="s">
        <v>1045</v>
      </c>
    </row>
    <row r="3699" spans="1:8" x14ac:dyDescent="0.2">
      <c r="A3699" s="7"/>
      <c r="B3699" s="1407" t="str">
        <f t="shared" si="57"/>
        <v>Patrick Pace</v>
      </c>
      <c r="C3699" s="1402" t="s">
        <v>6633</v>
      </c>
      <c r="D3699" s="1403" t="s">
        <v>3271</v>
      </c>
      <c r="E3699" s="1404" t="s">
        <v>5161</v>
      </c>
      <c r="F3699" s="1405" t="s">
        <v>5300</v>
      </c>
      <c r="G3699" s="1403" t="s">
        <v>14680</v>
      </c>
      <c r="H3699" s="1406" t="s">
        <v>1045</v>
      </c>
    </row>
    <row r="3700" spans="1:8" x14ac:dyDescent="0.2">
      <c r="A3700" s="7"/>
      <c r="B3700" s="1407" t="str">
        <f t="shared" si="57"/>
        <v>Jason Pisani</v>
      </c>
      <c r="C3700" s="1402" t="s">
        <v>6680</v>
      </c>
      <c r="D3700" s="1403" t="s">
        <v>3297</v>
      </c>
      <c r="E3700" s="1404" t="s">
        <v>5162</v>
      </c>
      <c r="F3700" s="1405" t="s">
        <v>5300</v>
      </c>
      <c r="G3700" s="1403" t="s">
        <v>10253</v>
      </c>
      <c r="H3700" s="1406" t="s">
        <v>1045</v>
      </c>
    </row>
    <row r="3701" spans="1:8" x14ac:dyDescent="0.2">
      <c r="A3701" s="7"/>
      <c r="B3701" s="1407" t="str">
        <f t="shared" si="57"/>
        <v>Jean Carl Tabone</v>
      </c>
      <c r="C3701" s="1402" t="s">
        <v>6681</v>
      </c>
      <c r="D3701" s="1403" t="s">
        <v>7266</v>
      </c>
      <c r="E3701" s="1404" t="s">
        <v>5163</v>
      </c>
      <c r="F3701" s="1405" t="s">
        <v>5299</v>
      </c>
      <c r="G3701" s="1403" t="s">
        <v>10253</v>
      </c>
      <c r="H3701" s="1406" t="s">
        <v>1045</v>
      </c>
    </row>
    <row r="3702" spans="1:8" x14ac:dyDescent="0.2">
      <c r="A3702" s="7"/>
      <c r="B3702" s="1407" t="str">
        <f t="shared" si="57"/>
        <v>Joseph Zammit Pavia</v>
      </c>
      <c r="C3702" s="1402" t="s">
        <v>14056</v>
      </c>
      <c r="D3702" s="1403" t="s">
        <v>3045</v>
      </c>
      <c r="E3702" s="1404" t="s">
        <v>14057</v>
      </c>
      <c r="F3702" s="1405" t="s">
        <v>5300</v>
      </c>
      <c r="G3702" s="1403" t="s">
        <v>5317</v>
      </c>
      <c r="H3702" s="1406" t="s">
        <v>1045</v>
      </c>
    </row>
    <row r="3703" spans="1:8" x14ac:dyDescent="0.2">
      <c r="A3703" s="7"/>
      <c r="B3703" s="1407" t="str">
        <f t="shared" si="57"/>
        <v>John Zammit</v>
      </c>
      <c r="C3703" s="1402" t="s">
        <v>6682</v>
      </c>
      <c r="D3703" s="1403" t="s">
        <v>3250</v>
      </c>
      <c r="E3703" s="1404" t="s">
        <v>5165</v>
      </c>
      <c r="F3703" s="1405" t="s">
        <v>5300</v>
      </c>
      <c r="G3703" s="1403" t="s">
        <v>10250</v>
      </c>
      <c r="H3703" s="1406" t="s">
        <v>1045</v>
      </c>
    </row>
    <row r="3704" spans="1:8" x14ac:dyDescent="0.2">
      <c r="A3704" s="7"/>
      <c r="B3704" s="1407" t="str">
        <f t="shared" si="57"/>
        <v>Thomas Ebejer</v>
      </c>
      <c r="C3704" s="1402" t="s">
        <v>6676</v>
      </c>
      <c r="D3704" s="1403" t="s">
        <v>3124</v>
      </c>
      <c r="E3704" s="1404" t="s">
        <v>5166</v>
      </c>
      <c r="F3704" s="1405" t="s">
        <v>13210</v>
      </c>
      <c r="G3704" s="1403" t="s">
        <v>10253</v>
      </c>
      <c r="H3704" s="1406" t="s">
        <v>1045</v>
      </c>
    </row>
    <row r="3705" spans="1:8" x14ac:dyDescent="0.2">
      <c r="A3705" s="7"/>
      <c r="B3705" s="1407" t="str">
        <f t="shared" si="57"/>
        <v>Jurgen Balzan</v>
      </c>
      <c r="C3705" s="1402" t="s">
        <v>6684</v>
      </c>
      <c r="D3705" s="1403" t="s">
        <v>5651</v>
      </c>
      <c r="E3705" s="1404" t="s">
        <v>5167</v>
      </c>
      <c r="F3705" s="1405" t="s">
        <v>5299</v>
      </c>
      <c r="G3705" s="1403" t="s">
        <v>10247</v>
      </c>
      <c r="H3705" s="1406" t="s">
        <v>1045</v>
      </c>
    </row>
    <row r="3706" spans="1:8" x14ac:dyDescent="0.2">
      <c r="A3706" s="7"/>
      <c r="B3706" s="1407" t="str">
        <f t="shared" si="57"/>
        <v>Jamie Bonnici</v>
      </c>
      <c r="C3706" s="1402" t="s">
        <v>6673</v>
      </c>
      <c r="D3706" s="1403" t="s">
        <v>3368</v>
      </c>
      <c r="E3706" s="1404" t="s">
        <v>7146</v>
      </c>
      <c r="F3706" s="1405" t="s">
        <v>5299</v>
      </c>
      <c r="G3706" s="1403" t="s">
        <v>14680</v>
      </c>
      <c r="H3706" s="1406" t="s">
        <v>1045</v>
      </c>
    </row>
    <row r="3707" spans="1:8" x14ac:dyDescent="0.2">
      <c r="A3707" s="7"/>
      <c r="B3707" s="1407" t="str">
        <f t="shared" si="57"/>
        <v>Jeshua Bonnici</v>
      </c>
      <c r="C3707" s="1402" t="s">
        <v>6673</v>
      </c>
      <c r="D3707" s="1403" t="s">
        <v>7903</v>
      </c>
      <c r="E3707" s="1404" t="s">
        <v>7147</v>
      </c>
      <c r="F3707" s="1405" t="s">
        <v>13210</v>
      </c>
      <c r="G3707" s="1403" t="s">
        <v>5317</v>
      </c>
      <c r="H3707" s="1406" t="s">
        <v>1045</v>
      </c>
    </row>
    <row r="3708" spans="1:8" x14ac:dyDescent="0.2">
      <c r="A3708" s="7"/>
      <c r="B3708" s="1407" t="str">
        <f t="shared" si="57"/>
        <v>Alfred Bonnici</v>
      </c>
      <c r="C3708" s="1402" t="s">
        <v>6673</v>
      </c>
      <c r="D3708" s="1403" t="s">
        <v>3511</v>
      </c>
      <c r="E3708" s="1404" t="s">
        <v>8534</v>
      </c>
      <c r="F3708" s="1405" t="s">
        <v>5299</v>
      </c>
      <c r="G3708" s="1403" t="s">
        <v>5317</v>
      </c>
      <c r="H3708" s="1406" t="s">
        <v>1045</v>
      </c>
    </row>
    <row r="3709" spans="1:8" x14ac:dyDescent="0.2">
      <c r="A3709" s="7"/>
      <c r="B3709" s="1407" t="str">
        <f t="shared" si="57"/>
        <v>Stanley Farrugia Randon</v>
      </c>
      <c r="C3709" s="1402" t="s">
        <v>10951</v>
      </c>
      <c r="D3709" s="1403" t="s">
        <v>10960</v>
      </c>
      <c r="E3709" s="1404" t="s">
        <v>10969</v>
      </c>
      <c r="F3709" s="1405" t="s">
        <v>5300</v>
      </c>
      <c r="G3709" s="1403" t="s">
        <v>11331</v>
      </c>
      <c r="H3709" s="1406" t="s">
        <v>1045</v>
      </c>
    </row>
    <row r="3710" spans="1:8" x14ac:dyDescent="0.2">
      <c r="A3710" s="7"/>
      <c r="B3710" s="1407" t="str">
        <f t="shared" si="57"/>
        <v>Frank Chetcuti Dimech</v>
      </c>
      <c r="C3710" s="1402" t="s">
        <v>9404</v>
      </c>
      <c r="D3710" s="1403" t="s">
        <v>3207</v>
      </c>
      <c r="E3710" s="1404" t="s">
        <v>9442</v>
      </c>
      <c r="F3710" s="1405" t="s">
        <v>5300</v>
      </c>
      <c r="G3710" s="1403" t="s">
        <v>5317</v>
      </c>
      <c r="H3710" s="1406" t="s">
        <v>1045</v>
      </c>
    </row>
    <row r="3711" spans="1:8" x14ac:dyDescent="0.2">
      <c r="A3711" s="7"/>
      <c r="B3711" s="1407" t="str">
        <f t="shared" si="57"/>
        <v>Emanuel Camilleri</v>
      </c>
      <c r="C3711" s="1402" t="s">
        <v>6674</v>
      </c>
      <c r="D3711" s="1403" t="s">
        <v>9554</v>
      </c>
      <c r="E3711" s="1404" t="s">
        <v>9576</v>
      </c>
      <c r="F3711" s="1405" t="s">
        <v>5300</v>
      </c>
      <c r="G3711" s="1403" t="s">
        <v>17082</v>
      </c>
      <c r="H3711" s="1406" t="s">
        <v>1045</v>
      </c>
    </row>
    <row r="3712" spans="1:8" x14ac:dyDescent="0.2">
      <c r="A3712" s="7"/>
      <c r="B3712" s="1407" t="str">
        <f t="shared" si="57"/>
        <v>Isaac Sam Camilleri</v>
      </c>
      <c r="C3712" s="1402" t="s">
        <v>6674</v>
      </c>
      <c r="D3712" s="1403" t="s">
        <v>9615</v>
      </c>
      <c r="E3712" s="1404" t="s">
        <v>9618</v>
      </c>
      <c r="F3712" s="1405" t="s">
        <v>5299</v>
      </c>
      <c r="G3712" s="1403" t="s">
        <v>17082</v>
      </c>
      <c r="H3712" s="1406" t="s">
        <v>1045</v>
      </c>
    </row>
    <row r="3713" spans="1:8" x14ac:dyDescent="0.2">
      <c r="A3713" s="7"/>
      <c r="B3713" s="1407" t="str">
        <f t="shared" si="57"/>
        <v>Jayden Bonnici</v>
      </c>
      <c r="C3713" s="1402" t="s">
        <v>6673</v>
      </c>
      <c r="D3713" s="1403" t="s">
        <v>7171</v>
      </c>
      <c r="E3713" s="1404" t="s">
        <v>10239</v>
      </c>
      <c r="F3713" s="1405" t="s">
        <v>13211</v>
      </c>
      <c r="G3713" s="1403" t="s">
        <v>18042</v>
      </c>
      <c r="H3713" s="1406" t="s">
        <v>1045</v>
      </c>
    </row>
    <row r="3714" spans="1:8" x14ac:dyDescent="0.2">
      <c r="A3714" s="7"/>
      <c r="B3714" s="1407" t="str">
        <f t="shared" si="57"/>
        <v>Walter Joseph Attard</v>
      </c>
      <c r="C3714" s="1402" t="s">
        <v>10952</v>
      </c>
      <c r="D3714" s="1403" t="s">
        <v>10961</v>
      </c>
      <c r="E3714" s="1404" t="s">
        <v>10970</v>
      </c>
      <c r="F3714" s="1405" t="s">
        <v>5300</v>
      </c>
      <c r="G3714" s="1403" t="s">
        <v>11331</v>
      </c>
      <c r="H3714" s="1406" t="s">
        <v>1045</v>
      </c>
    </row>
    <row r="3715" spans="1:8" x14ac:dyDescent="0.2">
      <c r="A3715" s="7"/>
      <c r="B3715" s="1407" t="str">
        <f t="shared" si="57"/>
        <v>Robert Farrugia Randon</v>
      </c>
      <c r="C3715" s="1402" t="s">
        <v>10951</v>
      </c>
      <c r="D3715" s="1403" t="s">
        <v>3405</v>
      </c>
      <c r="E3715" s="1404" t="s">
        <v>11164</v>
      </c>
      <c r="F3715" s="1405" t="s">
        <v>13211</v>
      </c>
      <c r="G3715" s="1403" t="s">
        <v>11331</v>
      </c>
      <c r="H3715" s="1406" t="s">
        <v>1045</v>
      </c>
    </row>
    <row r="3716" spans="1:8" x14ac:dyDescent="0.2">
      <c r="A3716" s="7"/>
      <c r="B3716" s="1407" t="str">
        <f t="shared" si="57"/>
        <v>Mario Fleri Soler</v>
      </c>
      <c r="C3716" s="1402" t="s">
        <v>11230</v>
      </c>
      <c r="D3716" s="1403" t="s">
        <v>3079</v>
      </c>
      <c r="E3716" s="1404" t="s">
        <v>11311</v>
      </c>
      <c r="F3716" s="1405" t="s">
        <v>5299</v>
      </c>
      <c r="G3716" s="1403" t="s">
        <v>11331</v>
      </c>
      <c r="H3716" s="1406" t="s">
        <v>1045</v>
      </c>
    </row>
    <row r="3717" spans="1:8" x14ac:dyDescent="0.2">
      <c r="A3717" s="7"/>
      <c r="B3717" s="1407" t="str">
        <f t="shared" si="57"/>
        <v>Spencer Conti</v>
      </c>
      <c r="C3717" s="1402" t="s">
        <v>6405</v>
      </c>
      <c r="D3717" s="1403" t="s">
        <v>11250</v>
      </c>
      <c r="E3717" s="1404" t="s">
        <v>11312</v>
      </c>
      <c r="F3717" s="1405" t="s">
        <v>5299</v>
      </c>
      <c r="G3717" s="1403" t="s">
        <v>16490</v>
      </c>
      <c r="H3717" s="1406" t="s">
        <v>1045</v>
      </c>
    </row>
    <row r="3718" spans="1:8" x14ac:dyDescent="0.2">
      <c r="A3718" s="7"/>
      <c r="B3718" s="1407" t="str">
        <f t="shared" si="57"/>
        <v>Valentino Zamara</v>
      </c>
      <c r="C3718" s="1402" t="s">
        <v>13454</v>
      </c>
      <c r="D3718" s="1403" t="s">
        <v>6943</v>
      </c>
      <c r="E3718" s="1404" t="s">
        <v>13455</v>
      </c>
      <c r="F3718" s="1405" t="s">
        <v>5300</v>
      </c>
      <c r="G3718" s="1403" t="s">
        <v>11331</v>
      </c>
      <c r="H3718" s="1406" t="s">
        <v>1045</v>
      </c>
    </row>
    <row r="3719" spans="1:8" x14ac:dyDescent="0.2">
      <c r="A3719" s="7"/>
      <c r="B3719" s="1407" t="str">
        <f t="shared" ref="B3719:B3782" si="58">TRIM(CONCATENATE(D3719," ",C3719))</f>
        <v>Larson Ebejer</v>
      </c>
      <c r="C3719" s="1402" t="s">
        <v>6676</v>
      </c>
      <c r="D3719" s="1403" t="s">
        <v>14734</v>
      </c>
      <c r="E3719" s="1404" t="s">
        <v>14735</v>
      </c>
      <c r="F3719" s="1405" t="s">
        <v>5299</v>
      </c>
      <c r="G3719" s="1403" t="s">
        <v>10253</v>
      </c>
      <c r="H3719" s="1406" t="s">
        <v>1045</v>
      </c>
    </row>
    <row r="3720" spans="1:8" x14ac:dyDescent="0.2">
      <c r="A3720" s="7"/>
      <c r="B3720" s="1407" t="str">
        <f t="shared" si="58"/>
        <v>Gabriel Ebejer</v>
      </c>
      <c r="C3720" s="1402" t="s">
        <v>6676</v>
      </c>
      <c r="D3720" s="1403" t="s">
        <v>6887</v>
      </c>
      <c r="E3720" s="1404" t="s">
        <v>14736</v>
      </c>
      <c r="F3720" s="1405" t="s">
        <v>13211</v>
      </c>
      <c r="G3720" s="1403" t="s">
        <v>10253</v>
      </c>
      <c r="H3720" s="1406" t="s">
        <v>1045</v>
      </c>
    </row>
    <row r="3721" spans="1:8" x14ac:dyDescent="0.2">
      <c r="A3721" s="7"/>
      <c r="B3721" s="1407" t="str">
        <f t="shared" si="58"/>
        <v>Steve Austin</v>
      </c>
      <c r="C3721" s="1402" t="s">
        <v>14052</v>
      </c>
      <c r="D3721" s="1403" t="s">
        <v>3088</v>
      </c>
      <c r="E3721" s="1404" t="s">
        <v>14053</v>
      </c>
      <c r="F3721" s="1405" t="s">
        <v>5300</v>
      </c>
      <c r="G3721" s="1403" t="s">
        <v>5317</v>
      </c>
      <c r="H3721" s="1406" t="s">
        <v>1045</v>
      </c>
    </row>
    <row r="3722" spans="1:8" x14ac:dyDescent="0.2">
      <c r="A3722" s="7"/>
      <c r="B3722" s="1407" t="str">
        <f t="shared" si="58"/>
        <v>Luke Joseph Xerri</v>
      </c>
      <c r="C3722" s="1402" t="s">
        <v>16366</v>
      </c>
      <c r="D3722" s="1403" t="s">
        <v>16367</v>
      </c>
      <c r="E3722" s="1404" t="s">
        <v>16368</v>
      </c>
      <c r="F3722" s="1405" t="s">
        <v>13211</v>
      </c>
      <c r="G3722" s="1403" t="s">
        <v>11331</v>
      </c>
      <c r="H3722" s="1406" t="s">
        <v>1045</v>
      </c>
    </row>
    <row r="3723" spans="1:8" x14ac:dyDescent="0.2">
      <c r="A3723" s="7"/>
      <c r="B3723" s="1407" t="str">
        <f t="shared" si="58"/>
        <v>Sherona Manicoro</v>
      </c>
      <c r="C3723" s="1402" t="s">
        <v>15848</v>
      </c>
      <c r="D3723" s="1403" t="s">
        <v>15849</v>
      </c>
      <c r="E3723" s="1404" t="s">
        <v>15850</v>
      </c>
      <c r="F3723" s="1405" t="s">
        <v>5299</v>
      </c>
      <c r="G3723" s="1403" t="s">
        <v>10253</v>
      </c>
      <c r="H3723" s="1406" t="s">
        <v>1045</v>
      </c>
    </row>
    <row r="3724" spans="1:8" x14ac:dyDescent="0.2">
      <c r="A3724" s="7"/>
      <c r="B3724" s="1407" t="str">
        <f t="shared" si="58"/>
        <v>Clarence Psaila</v>
      </c>
      <c r="C3724" s="1402" t="s">
        <v>16084</v>
      </c>
      <c r="D3724" s="1403" t="s">
        <v>16085</v>
      </c>
      <c r="E3724" s="1404" t="s">
        <v>16086</v>
      </c>
      <c r="F3724" s="1405" t="s">
        <v>5299</v>
      </c>
      <c r="G3724" s="1403" t="s">
        <v>15202</v>
      </c>
      <c r="H3724" s="1406" t="s">
        <v>1045</v>
      </c>
    </row>
    <row r="3725" spans="1:8" x14ac:dyDescent="0.2">
      <c r="A3725" s="7"/>
      <c r="B3725" s="1407" t="str">
        <f t="shared" si="58"/>
        <v>Mark Baldacchino</v>
      </c>
      <c r="C3725" s="1402" t="s">
        <v>15200</v>
      </c>
      <c r="D3725" s="1403" t="s">
        <v>3017</v>
      </c>
      <c r="E3725" s="1404" t="s">
        <v>15201</v>
      </c>
      <c r="F3725" s="1405" t="s">
        <v>5299</v>
      </c>
      <c r="G3725" s="1403" t="s">
        <v>15202</v>
      </c>
      <c r="H3725" s="1406" t="s">
        <v>1045</v>
      </c>
    </row>
    <row r="3726" spans="1:8" x14ac:dyDescent="0.2">
      <c r="A3726" s="7"/>
      <c r="B3726" s="1407" t="str">
        <f t="shared" si="58"/>
        <v>Pulis Sandrino</v>
      </c>
      <c r="C3726" s="1402" t="s">
        <v>16170</v>
      </c>
      <c r="D3726" s="1403" t="s">
        <v>16171</v>
      </c>
      <c r="E3726" s="1404" t="s">
        <v>16172</v>
      </c>
      <c r="F3726" s="1405" t="s">
        <v>5299</v>
      </c>
      <c r="G3726" s="1403" t="s">
        <v>15202</v>
      </c>
      <c r="H3726" s="1406" t="s">
        <v>1045</v>
      </c>
    </row>
    <row r="3727" spans="1:8" x14ac:dyDescent="0.2">
      <c r="A3727" s="7"/>
      <c r="B3727" s="1407" t="str">
        <f t="shared" si="58"/>
        <v>Natalino Tanti</v>
      </c>
      <c r="C3727" s="1402" t="s">
        <v>17364</v>
      </c>
      <c r="D3727" s="1403" t="s">
        <v>17365</v>
      </c>
      <c r="E3727" s="1404" t="s">
        <v>17366</v>
      </c>
      <c r="F3727" s="1405" t="s">
        <v>5300</v>
      </c>
      <c r="G3727" s="1403" t="s">
        <v>5317</v>
      </c>
      <c r="H3727" s="1406" t="s">
        <v>1045</v>
      </c>
    </row>
    <row r="3728" spans="1:8" x14ac:dyDescent="0.2">
      <c r="A3728" s="7"/>
      <c r="B3728" s="1407" t="str">
        <f t="shared" si="58"/>
        <v>Maikel De Haas</v>
      </c>
      <c r="C3728" s="1402" t="s">
        <v>6685</v>
      </c>
      <c r="D3728" s="1403" t="s">
        <v>3051</v>
      </c>
      <c r="E3728" s="1404" t="s">
        <v>5168</v>
      </c>
      <c r="F3728" s="1405" t="s">
        <v>5299</v>
      </c>
      <c r="G3728" s="1403" t="s">
        <v>7184</v>
      </c>
      <c r="H3728" s="1406" t="s">
        <v>1051</v>
      </c>
    </row>
    <row r="3729" spans="1:8" x14ac:dyDescent="0.2">
      <c r="A3729" s="7"/>
      <c r="B3729" s="1407" t="str">
        <f t="shared" si="58"/>
        <v>Dennis Landzaat</v>
      </c>
      <c r="C3729" s="1402" t="s">
        <v>6686</v>
      </c>
      <c r="D3729" s="1403" t="s">
        <v>3516</v>
      </c>
      <c r="E3729" s="1404" t="s">
        <v>5169</v>
      </c>
      <c r="F3729" s="1405" t="s">
        <v>5299</v>
      </c>
      <c r="G3729" s="1403" t="s">
        <v>7184</v>
      </c>
      <c r="H3729" s="1406" t="s">
        <v>1051</v>
      </c>
    </row>
    <row r="3730" spans="1:8" x14ac:dyDescent="0.2">
      <c r="A3730" s="7"/>
      <c r="B3730" s="1407" t="str">
        <f t="shared" si="58"/>
        <v>Marco De Bruin</v>
      </c>
      <c r="C3730" s="1402" t="s">
        <v>6687</v>
      </c>
      <c r="D3730" s="1403" t="s">
        <v>3109</v>
      </c>
      <c r="E3730" s="1404" t="s">
        <v>5170</v>
      </c>
      <c r="F3730" s="1405" t="s">
        <v>5300</v>
      </c>
      <c r="G3730" s="1403" t="s">
        <v>7184</v>
      </c>
      <c r="H3730" s="1406" t="s">
        <v>1051</v>
      </c>
    </row>
    <row r="3731" spans="1:8" x14ac:dyDescent="0.2">
      <c r="A3731" s="7"/>
      <c r="B3731" s="1407" t="str">
        <f t="shared" si="58"/>
        <v>Nico Marks</v>
      </c>
      <c r="C3731" s="1402" t="s">
        <v>6688</v>
      </c>
      <c r="D3731" s="1403" t="s">
        <v>3556</v>
      </c>
      <c r="E3731" s="1404" t="s">
        <v>5171</v>
      </c>
      <c r="F3731" s="1405" t="s">
        <v>5300</v>
      </c>
      <c r="G3731" s="1403" t="s">
        <v>7184</v>
      </c>
      <c r="H3731" s="1406" t="s">
        <v>1051</v>
      </c>
    </row>
    <row r="3732" spans="1:8" x14ac:dyDescent="0.2">
      <c r="A3732" s="7"/>
      <c r="B3732" s="1407" t="str">
        <f t="shared" si="58"/>
        <v>Jerrel Van Keimpema</v>
      </c>
      <c r="C3732" s="1402" t="s">
        <v>6689</v>
      </c>
      <c r="D3732" s="1403" t="s">
        <v>3455</v>
      </c>
      <c r="E3732" s="1404" t="s">
        <v>5172</v>
      </c>
      <c r="F3732" s="1405" t="s">
        <v>5299</v>
      </c>
      <c r="G3732" s="1403" t="s">
        <v>2763</v>
      </c>
      <c r="H3732" s="1406" t="s">
        <v>1051</v>
      </c>
    </row>
    <row r="3733" spans="1:8" x14ac:dyDescent="0.2">
      <c r="A3733" s="7"/>
      <c r="B3733" s="1407" t="str">
        <f t="shared" si="58"/>
        <v>Casey Van Os</v>
      </c>
      <c r="C3733" s="1402" t="s">
        <v>6690</v>
      </c>
      <c r="D3733" s="1403" t="s">
        <v>3256</v>
      </c>
      <c r="E3733" s="1404" t="s">
        <v>5173</v>
      </c>
      <c r="F3733" s="1405" t="s">
        <v>5299</v>
      </c>
      <c r="G3733" s="1403" t="s">
        <v>2763</v>
      </c>
      <c r="H3733" s="1406" t="s">
        <v>1051</v>
      </c>
    </row>
    <row r="3734" spans="1:8" x14ac:dyDescent="0.2">
      <c r="A3734" s="7"/>
      <c r="B3734" s="1407" t="str">
        <f t="shared" si="58"/>
        <v>Kenney Gerrets</v>
      </c>
      <c r="C3734" s="1402" t="s">
        <v>6691</v>
      </c>
      <c r="D3734" s="1403" t="s">
        <v>3664</v>
      </c>
      <c r="E3734" s="1404" t="s">
        <v>5174</v>
      </c>
      <c r="F3734" s="1405" t="s">
        <v>5299</v>
      </c>
      <c r="G3734" s="1403" t="s">
        <v>2763</v>
      </c>
      <c r="H3734" s="1406" t="s">
        <v>1051</v>
      </c>
    </row>
    <row r="3735" spans="1:8" x14ac:dyDescent="0.2">
      <c r="A3735" s="7"/>
      <c r="B3735" s="1407" t="str">
        <f t="shared" si="58"/>
        <v>René Bolte</v>
      </c>
      <c r="C3735" s="1402" t="s">
        <v>6692</v>
      </c>
      <c r="D3735" s="1403" t="s">
        <v>3564</v>
      </c>
      <c r="E3735" s="1404" t="s">
        <v>5175</v>
      </c>
      <c r="F3735" s="1405" t="s">
        <v>5300</v>
      </c>
      <c r="G3735" s="1403" t="s">
        <v>7184</v>
      </c>
      <c r="H3735" s="1406" t="s">
        <v>1051</v>
      </c>
    </row>
    <row r="3736" spans="1:8" x14ac:dyDescent="0.2">
      <c r="A3736" s="7"/>
      <c r="B3736" s="1407" t="str">
        <f t="shared" si="58"/>
        <v>Patrick De Jong</v>
      </c>
      <c r="C3736" s="1402" t="s">
        <v>6693</v>
      </c>
      <c r="D3736" s="1403" t="s">
        <v>3271</v>
      </c>
      <c r="E3736" s="1404" t="s">
        <v>5176</v>
      </c>
      <c r="F3736" s="1405" t="s">
        <v>5300</v>
      </c>
      <c r="G3736" s="1403" t="s">
        <v>7184</v>
      </c>
      <c r="H3736" s="1406" t="s">
        <v>1051</v>
      </c>
    </row>
    <row r="3737" spans="1:8" x14ac:dyDescent="0.2">
      <c r="A3737" s="7"/>
      <c r="B3737" s="1407" t="str">
        <f t="shared" si="58"/>
        <v>Peter Van Kooten</v>
      </c>
      <c r="C3737" s="1402" t="s">
        <v>6694</v>
      </c>
      <c r="D3737" s="1403" t="s">
        <v>3194</v>
      </c>
      <c r="E3737" s="1404" t="s">
        <v>5177</v>
      </c>
      <c r="F3737" s="1405" t="s">
        <v>5300</v>
      </c>
      <c r="G3737" s="1403" t="s">
        <v>7184</v>
      </c>
      <c r="H3737" s="1406" t="s">
        <v>1051</v>
      </c>
    </row>
    <row r="3738" spans="1:8" x14ac:dyDescent="0.2">
      <c r="A3738" s="7"/>
      <c r="B3738" s="1407" t="str">
        <f t="shared" si="58"/>
        <v>Jovi Willeijns</v>
      </c>
      <c r="C3738" s="1402" t="s">
        <v>6695</v>
      </c>
      <c r="D3738" s="1403" t="s">
        <v>3662</v>
      </c>
      <c r="E3738" s="1404" t="s">
        <v>5178</v>
      </c>
      <c r="F3738" s="1405" t="s">
        <v>5299</v>
      </c>
      <c r="G3738" s="1403" t="s">
        <v>2763</v>
      </c>
      <c r="H3738" s="1406" t="s">
        <v>1051</v>
      </c>
    </row>
    <row r="3739" spans="1:8" x14ac:dyDescent="0.2">
      <c r="A3739" s="7"/>
      <c r="B3739" s="1407" t="str">
        <f t="shared" si="58"/>
        <v>Quincy Gerrets</v>
      </c>
      <c r="C3739" s="1402" t="s">
        <v>6691</v>
      </c>
      <c r="D3739" s="1403" t="s">
        <v>3700</v>
      </c>
      <c r="E3739" s="1404" t="s">
        <v>5179</v>
      </c>
      <c r="F3739" s="1405" t="s">
        <v>5299</v>
      </c>
      <c r="G3739" s="1403" t="s">
        <v>2763</v>
      </c>
      <c r="H3739" s="1406" t="s">
        <v>1051</v>
      </c>
    </row>
    <row r="3740" spans="1:8" x14ac:dyDescent="0.2">
      <c r="A3740" s="7"/>
      <c r="B3740" s="1407" t="str">
        <f t="shared" si="58"/>
        <v>Chantal De Jong</v>
      </c>
      <c r="C3740" s="1402" t="s">
        <v>6693</v>
      </c>
      <c r="D3740" s="1403" t="s">
        <v>3593</v>
      </c>
      <c r="E3740" s="1404" t="s">
        <v>5180</v>
      </c>
      <c r="F3740" s="1405" t="s">
        <v>5299</v>
      </c>
      <c r="G3740" s="1403" t="s">
        <v>7184</v>
      </c>
      <c r="H3740" s="1406" t="s">
        <v>1051</v>
      </c>
    </row>
    <row r="3741" spans="1:8" x14ac:dyDescent="0.2">
      <c r="A3741" s="7"/>
      <c r="B3741" s="1407" t="str">
        <f t="shared" si="58"/>
        <v>Mirjam De Jong</v>
      </c>
      <c r="C3741" s="1402" t="s">
        <v>6693</v>
      </c>
      <c r="D3741" s="1403" t="s">
        <v>3692</v>
      </c>
      <c r="E3741" s="1404" t="s">
        <v>5181</v>
      </c>
      <c r="F3741" s="1405" t="s">
        <v>5299</v>
      </c>
      <c r="G3741" s="1403" t="s">
        <v>7184</v>
      </c>
      <c r="H3741" s="1406" t="s">
        <v>1051</v>
      </c>
    </row>
    <row r="3742" spans="1:8" x14ac:dyDescent="0.2">
      <c r="A3742" s="7"/>
      <c r="B3742" s="1407" t="str">
        <f t="shared" si="58"/>
        <v>Rinaldo Van Dijk</v>
      </c>
      <c r="C3742" s="1402" t="s">
        <v>6696</v>
      </c>
      <c r="D3742" s="1403" t="s">
        <v>3680</v>
      </c>
      <c r="E3742" s="1404" t="s">
        <v>5182</v>
      </c>
      <c r="F3742" s="1405" t="s">
        <v>5299</v>
      </c>
      <c r="G3742" s="1403" t="s">
        <v>2763</v>
      </c>
      <c r="H3742" s="1406" t="s">
        <v>1051</v>
      </c>
    </row>
    <row r="3743" spans="1:8" x14ac:dyDescent="0.2">
      <c r="A3743" s="7"/>
      <c r="B3743" s="1407" t="str">
        <f t="shared" si="58"/>
        <v>Mikey Gerrets</v>
      </c>
      <c r="C3743" s="1402" t="s">
        <v>6691</v>
      </c>
      <c r="D3743" s="1403" t="s">
        <v>3667</v>
      </c>
      <c r="E3743" s="1404" t="s">
        <v>5183</v>
      </c>
      <c r="F3743" s="1405" t="s">
        <v>5299</v>
      </c>
      <c r="G3743" s="1403" t="s">
        <v>2763</v>
      </c>
      <c r="H3743" s="1406" t="s">
        <v>1051</v>
      </c>
    </row>
    <row r="3744" spans="1:8" x14ac:dyDescent="0.2">
      <c r="A3744" s="7"/>
      <c r="B3744" s="1407" t="str">
        <f t="shared" si="58"/>
        <v>Henk Landzaat</v>
      </c>
      <c r="C3744" s="1402" t="s">
        <v>6686</v>
      </c>
      <c r="D3744" s="1403" t="s">
        <v>3218</v>
      </c>
      <c r="E3744" s="1404" t="s">
        <v>5184</v>
      </c>
      <c r="F3744" s="1405" t="s">
        <v>5300</v>
      </c>
      <c r="G3744" s="1403" t="s">
        <v>7184</v>
      </c>
      <c r="H3744" s="1406" t="s">
        <v>1051</v>
      </c>
    </row>
    <row r="3745" spans="1:8" x14ac:dyDescent="0.2">
      <c r="A3745" s="7"/>
      <c r="B3745" s="1407" t="str">
        <f t="shared" si="58"/>
        <v>Ard Lukassen</v>
      </c>
      <c r="C3745" s="1402" t="s">
        <v>6697</v>
      </c>
      <c r="D3745" s="1403" t="s">
        <v>7012</v>
      </c>
      <c r="E3745" s="1404" t="s">
        <v>5185</v>
      </c>
      <c r="F3745" s="1405" t="s">
        <v>5300</v>
      </c>
      <c r="G3745" s="1403" t="s">
        <v>2770</v>
      </c>
      <c r="H3745" s="1406" t="s">
        <v>1051</v>
      </c>
    </row>
    <row r="3746" spans="1:8" x14ac:dyDescent="0.2">
      <c r="A3746" s="7"/>
      <c r="B3746" s="1407" t="str">
        <f t="shared" si="58"/>
        <v>Jacob Bijlstra</v>
      </c>
      <c r="C3746" s="1402" t="s">
        <v>6698</v>
      </c>
      <c r="D3746" s="1403" t="s">
        <v>3635</v>
      </c>
      <c r="E3746" s="1404" t="s">
        <v>5186</v>
      </c>
      <c r="F3746" s="1405" t="s">
        <v>5300</v>
      </c>
      <c r="G3746" s="1403" t="s">
        <v>2770</v>
      </c>
      <c r="H3746" s="1406" t="s">
        <v>1051</v>
      </c>
    </row>
    <row r="3747" spans="1:8" x14ac:dyDescent="0.2">
      <c r="A3747" s="7"/>
      <c r="B3747" s="1407" t="str">
        <f t="shared" si="58"/>
        <v>Erwin Smit</v>
      </c>
      <c r="C3747" s="1402" t="s">
        <v>6699</v>
      </c>
      <c r="D3747" s="1403" t="s">
        <v>3607</v>
      </c>
      <c r="E3747" s="1404" t="s">
        <v>5187</v>
      </c>
      <c r="F3747" s="1405" t="s">
        <v>5300</v>
      </c>
      <c r="G3747" s="1403" t="s">
        <v>7184</v>
      </c>
      <c r="H3747" s="1406" t="s">
        <v>1051</v>
      </c>
    </row>
    <row r="3748" spans="1:8" x14ac:dyDescent="0.2">
      <c r="A3748" s="7"/>
      <c r="B3748" s="1407" t="str">
        <f t="shared" si="58"/>
        <v>Cailim Marks</v>
      </c>
      <c r="C3748" s="1402" t="s">
        <v>6688</v>
      </c>
      <c r="D3748" s="1403" t="s">
        <v>3704</v>
      </c>
      <c r="E3748" s="1404" t="s">
        <v>5188</v>
      </c>
      <c r="F3748" s="1405" t="s">
        <v>5299</v>
      </c>
      <c r="G3748" s="1403" t="s">
        <v>7184</v>
      </c>
      <c r="H3748" s="1406" t="s">
        <v>1051</v>
      </c>
    </row>
    <row r="3749" spans="1:8" x14ac:dyDescent="0.2">
      <c r="A3749" s="7"/>
      <c r="B3749" s="1407" t="str">
        <f t="shared" si="58"/>
        <v>Liesbeth de Jong - Huijers</v>
      </c>
      <c r="C3749" s="1402" t="s">
        <v>6700</v>
      </c>
      <c r="D3749" s="1403" t="s">
        <v>7013</v>
      </c>
      <c r="E3749" s="1404" t="s">
        <v>5189</v>
      </c>
      <c r="F3749" s="1405" t="s">
        <v>5300</v>
      </c>
      <c r="G3749" s="1403" t="s">
        <v>7184</v>
      </c>
      <c r="H3749" s="1406" t="s">
        <v>1051</v>
      </c>
    </row>
    <row r="3750" spans="1:8" x14ac:dyDescent="0.2">
      <c r="A3750" s="7"/>
      <c r="B3750" s="1407" t="str">
        <f t="shared" si="58"/>
        <v>Jarno Marks</v>
      </c>
      <c r="C3750" s="1402" t="s">
        <v>6688</v>
      </c>
      <c r="D3750" s="1403" t="s">
        <v>7172</v>
      </c>
      <c r="E3750" s="1404" t="s">
        <v>7180</v>
      </c>
      <c r="F3750" s="1405" t="s">
        <v>5299</v>
      </c>
      <c r="G3750" s="1403" t="s">
        <v>7184</v>
      </c>
      <c r="H3750" s="1406" t="s">
        <v>1051</v>
      </c>
    </row>
    <row r="3751" spans="1:8" x14ac:dyDescent="0.2">
      <c r="A3751" s="7"/>
      <c r="B3751" s="1407" t="str">
        <f t="shared" si="58"/>
        <v>Richard Oranje</v>
      </c>
      <c r="C3751" s="1402" t="s">
        <v>15966</v>
      </c>
      <c r="D3751" s="1403" t="s">
        <v>3219</v>
      </c>
      <c r="E3751" s="1404" t="s">
        <v>15967</v>
      </c>
      <c r="F3751" s="1405" t="s">
        <v>5300</v>
      </c>
      <c r="G3751" s="1403" t="s">
        <v>7184</v>
      </c>
      <c r="H3751" s="1406" t="s">
        <v>1051</v>
      </c>
    </row>
    <row r="3752" spans="1:8" x14ac:dyDescent="0.2">
      <c r="A3752" s="7"/>
      <c r="B3752" s="1407" t="str">
        <f t="shared" si="58"/>
        <v>Martijn de Jong</v>
      </c>
      <c r="C3752" s="1402" t="s">
        <v>10048</v>
      </c>
      <c r="D3752" s="1403" t="s">
        <v>3596</v>
      </c>
      <c r="E3752" s="1404" t="s">
        <v>10240</v>
      </c>
      <c r="F3752" s="1405" t="s">
        <v>5299</v>
      </c>
      <c r="G3752" s="1403" t="s">
        <v>7184</v>
      </c>
      <c r="H3752" s="1406" t="s">
        <v>1051</v>
      </c>
    </row>
    <row r="3753" spans="1:8" x14ac:dyDescent="0.2">
      <c r="A3753" s="7"/>
      <c r="B3753" s="1407" t="str">
        <f t="shared" si="58"/>
        <v>Xavier Aret</v>
      </c>
      <c r="C3753" s="1402" t="s">
        <v>10049</v>
      </c>
      <c r="D3753" s="1403" t="s">
        <v>3295</v>
      </c>
      <c r="E3753" s="1404" t="s">
        <v>10241</v>
      </c>
      <c r="F3753" s="1405" t="s">
        <v>5300</v>
      </c>
      <c r="G3753" s="1403" t="s">
        <v>7184</v>
      </c>
      <c r="H3753" s="1406" t="s">
        <v>1051</v>
      </c>
    </row>
    <row r="3754" spans="1:8" x14ac:dyDescent="0.2">
      <c r="A3754" s="7"/>
      <c r="B3754" s="1407" t="str">
        <f t="shared" si="58"/>
        <v>Fedde Aret</v>
      </c>
      <c r="C3754" s="1402" t="s">
        <v>10049</v>
      </c>
      <c r="D3754" s="1403" t="s">
        <v>10077</v>
      </c>
      <c r="E3754" s="1404" t="s">
        <v>10242</v>
      </c>
      <c r="F3754" s="1405" t="s">
        <v>13211</v>
      </c>
      <c r="G3754" s="1403" t="s">
        <v>7184</v>
      </c>
      <c r="H3754" s="1406" t="s">
        <v>1051</v>
      </c>
    </row>
    <row r="3755" spans="1:8" x14ac:dyDescent="0.2">
      <c r="A3755" s="7"/>
      <c r="B3755" s="1407" t="str">
        <f t="shared" si="58"/>
        <v>Peter Van Den Houten</v>
      </c>
      <c r="C3755" s="1402" t="s">
        <v>14060</v>
      </c>
      <c r="D3755" s="1403" t="s">
        <v>3194</v>
      </c>
      <c r="E3755" s="1404" t="s">
        <v>11165</v>
      </c>
      <c r="F3755" s="1405" t="s">
        <v>5300</v>
      </c>
      <c r="G3755" s="1403" t="s">
        <v>14347</v>
      </c>
      <c r="H3755" s="1406" t="s">
        <v>1051</v>
      </c>
    </row>
    <row r="3756" spans="1:8" x14ac:dyDescent="0.2">
      <c r="A3756" s="7"/>
      <c r="B3756" s="1407" t="str">
        <f t="shared" si="58"/>
        <v>Ronald Scheffer</v>
      </c>
      <c r="C3756" s="1402" t="s">
        <v>16211</v>
      </c>
      <c r="D3756" s="1403" t="s">
        <v>16213</v>
      </c>
      <c r="E3756" s="1404" t="s">
        <v>16214</v>
      </c>
      <c r="F3756" s="1405" t="s">
        <v>5299</v>
      </c>
      <c r="G3756" s="1403" t="s">
        <v>10254</v>
      </c>
      <c r="H3756" s="1406" t="s">
        <v>1051</v>
      </c>
    </row>
    <row r="3757" spans="1:8" x14ac:dyDescent="0.2">
      <c r="A3757" s="7"/>
      <c r="B3757" s="1407" t="str">
        <f t="shared" si="58"/>
        <v>Martin Scheffer</v>
      </c>
      <c r="C3757" s="1402" t="s">
        <v>16211</v>
      </c>
      <c r="D3757" s="1403" t="s">
        <v>3408</v>
      </c>
      <c r="E3757" s="1404" t="s">
        <v>16212</v>
      </c>
      <c r="F3757" s="1405" t="s">
        <v>5300</v>
      </c>
      <c r="G3757" s="1403" t="s">
        <v>7184</v>
      </c>
      <c r="H3757" s="1406" t="s">
        <v>1051</v>
      </c>
    </row>
    <row r="3758" spans="1:8" x14ac:dyDescent="0.2">
      <c r="A3758" s="7"/>
      <c r="B3758" s="1407" t="str">
        <f t="shared" si="58"/>
        <v>Kenneth Beggs</v>
      </c>
      <c r="C3758" s="1402" t="s">
        <v>6701</v>
      </c>
      <c r="D3758" s="1403" t="s">
        <v>7014</v>
      </c>
      <c r="E3758" s="1404" t="s">
        <v>5190</v>
      </c>
      <c r="F3758" s="1405" t="s">
        <v>5300</v>
      </c>
      <c r="G3758" s="1403" t="s">
        <v>2764</v>
      </c>
      <c r="H3758" s="1406" t="s">
        <v>1055</v>
      </c>
    </row>
    <row r="3759" spans="1:8" x14ac:dyDescent="0.2">
      <c r="A3759" s="7"/>
      <c r="B3759" s="1407" t="str">
        <f t="shared" si="58"/>
        <v>Barry Spence</v>
      </c>
      <c r="C3759" s="1402" t="s">
        <v>5952</v>
      </c>
      <c r="D3759" s="1403" t="s">
        <v>5524</v>
      </c>
      <c r="E3759" s="1404" t="s">
        <v>5191</v>
      </c>
      <c r="F3759" s="1405" t="s">
        <v>5299</v>
      </c>
      <c r="G3759" s="1403" t="s">
        <v>2764</v>
      </c>
      <c r="H3759" s="1406" t="s">
        <v>1055</v>
      </c>
    </row>
    <row r="3760" spans="1:8" x14ac:dyDescent="0.2">
      <c r="A3760" s="7"/>
      <c r="B3760" s="1407" t="str">
        <f t="shared" si="58"/>
        <v>Alistair Morrison</v>
      </c>
      <c r="C3760" s="1402" t="s">
        <v>6702</v>
      </c>
      <c r="D3760" s="1403" t="s">
        <v>7015</v>
      </c>
      <c r="E3760" s="1404" t="s">
        <v>5192</v>
      </c>
      <c r="F3760" s="1405" t="s">
        <v>5300</v>
      </c>
      <c r="G3760" s="1403" t="s">
        <v>2785</v>
      </c>
      <c r="H3760" s="1406" t="s">
        <v>1055</v>
      </c>
    </row>
    <row r="3761" spans="1:8" x14ac:dyDescent="0.2">
      <c r="A3761" s="7"/>
      <c r="B3761" s="1407" t="str">
        <f t="shared" si="58"/>
        <v>Andrew Morrison</v>
      </c>
      <c r="C3761" s="1402" t="s">
        <v>6702</v>
      </c>
      <c r="D3761" s="1403" t="s">
        <v>3105</v>
      </c>
      <c r="E3761" s="1404" t="s">
        <v>5193</v>
      </c>
      <c r="F3761" s="1405" t="s">
        <v>5299</v>
      </c>
      <c r="G3761" s="1403" t="s">
        <v>2785</v>
      </c>
      <c r="H3761" s="1406" t="s">
        <v>1055</v>
      </c>
    </row>
    <row r="3762" spans="1:8" x14ac:dyDescent="0.2">
      <c r="A3762" s="7"/>
      <c r="B3762" s="1407" t="str">
        <f t="shared" si="58"/>
        <v>Peter Morrison</v>
      </c>
      <c r="C3762" s="1402" t="s">
        <v>6702</v>
      </c>
      <c r="D3762" s="1403" t="s">
        <v>3194</v>
      </c>
      <c r="E3762" s="1404" t="s">
        <v>5194</v>
      </c>
      <c r="F3762" s="1405" t="s">
        <v>5299</v>
      </c>
      <c r="G3762" s="1403" t="s">
        <v>2785</v>
      </c>
      <c r="H3762" s="1406" t="s">
        <v>1055</v>
      </c>
    </row>
    <row r="3763" spans="1:8" x14ac:dyDescent="0.2">
      <c r="A3763" s="7"/>
      <c r="B3763" s="1407" t="str">
        <f t="shared" si="58"/>
        <v>Eoin Adams</v>
      </c>
      <c r="C3763" s="1402" t="s">
        <v>6703</v>
      </c>
      <c r="D3763" s="1403" t="s">
        <v>7016</v>
      </c>
      <c r="E3763" s="1404" t="s">
        <v>5195</v>
      </c>
      <c r="F3763" s="1405" t="s">
        <v>5300</v>
      </c>
      <c r="G3763" s="1403" t="s">
        <v>2752</v>
      </c>
      <c r="H3763" s="1406" t="s">
        <v>1055</v>
      </c>
    </row>
    <row r="3764" spans="1:8" x14ac:dyDescent="0.2">
      <c r="A3764" s="7"/>
      <c r="B3764" s="1407" t="str">
        <f t="shared" si="58"/>
        <v>Stephen Rodgers</v>
      </c>
      <c r="C3764" s="1402" t="s">
        <v>6704</v>
      </c>
      <c r="D3764" s="1403" t="s">
        <v>3280</v>
      </c>
      <c r="E3764" s="1404" t="s">
        <v>5196</v>
      </c>
      <c r="F3764" s="1405" t="s">
        <v>5300</v>
      </c>
      <c r="G3764" s="1403" t="s">
        <v>2785</v>
      </c>
      <c r="H3764" s="1406" t="s">
        <v>1055</v>
      </c>
    </row>
    <row r="3765" spans="1:8" x14ac:dyDescent="0.2">
      <c r="A3765" s="7"/>
      <c r="B3765" s="1407" t="str">
        <f t="shared" si="58"/>
        <v>John Hughes</v>
      </c>
      <c r="C3765" s="1402" t="s">
        <v>6705</v>
      </c>
      <c r="D3765" s="1403" t="s">
        <v>3250</v>
      </c>
      <c r="E3765" s="1404" t="s">
        <v>5197</v>
      </c>
      <c r="F3765" s="1405" t="s">
        <v>5299</v>
      </c>
      <c r="G3765" s="1403" t="s">
        <v>2785</v>
      </c>
      <c r="H3765" s="1406" t="s">
        <v>1055</v>
      </c>
    </row>
    <row r="3766" spans="1:8" x14ac:dyDescent="0.2">
      <c r="A3766" s="7"/>
      <c r="B3766" s="1407" t="str">
        <f t="shared" si="58"/>
        <v>David Clegg</v>
      </c>
      <c r="C3766" s="1402" t="s">
        <v>6706</v>
      </c>
      <c r="D3766" s="1403" t="s">
        <v>3072</v>
      </c>
      <c r="E3766" s="1404" t="s">
        <v>5198</v>
      </c>
      <c r="F3766" s="1405" t="s">
        <v>5300</v>
      </c>
      <c r="G3766" s="1403" t="s">
        <v>2902</v>
      </c>
      <c r="H3766" s="1406" t="s">
        <v>1055</v>
      </c>
    </row>
    <row r="3767" spans="1:8" x14ac:dyDescent="0.2">
      <c r="A3767" s="7"/>
      <c r="B3767" s="1407" t="str">
        <f t="shared" si="58"/>
        <v>Adam Scullion</v>
      </c>
      <c r="C3767" s="1402" t="s">
        <v>6707</v>
      </c>
      <c r="D3767" s="1403" t="s">
        <v>3502</v>
      </c>
      <c r="E3767" s="1404" t="s">
        <v>5199</v>
      </c>
      <c r="F3767" s="1405" t="s">
        <v>5299</v>
      </c>
      <c r="G3767" s="1403" t="s">
        <v>2785</v>
      </c>
      <c r="H3767" s="1406" t="s">
        <v>1055</v>
      </c>
    </row>
    <row r="3768" spans="1:8" x14ac:dyDescent="0.2">
      <c r="A3768" s="7"/>
      <c r="B3768" s="1407" t="str">
        <f t="shared" si="58"/>
        <v>Mark McKane</v>
      </c>
      <c r="C3768" s="1402" t="s">
        <v>14737</v>
      </c>
      <c r="D3768" s="1403" t="s">
        <v>3017</v>
      </c>
      <c r="E3768" s="1404" t="s">
        <v>5200</v>
      </c>
      <c r="F3768" s="1405" t="s">
        <v>5299</v>
      </c>
      <c r="G3768" s="1403" t="s">
        <v>2785</v>
      </c>
      <c r="H3768" s="1406" t="s">
        <v>1055</v>
      </c>
    </row>
    <row r="3769" spans="1:8" x14ac:dyDescent="0.2">
      <c r="A3769" s="7"/>
      <c r="B3769" s="1407" t="str">
        <f t="shared" si="58"/>
        <v>Stuart McIlroy</v>
      </c>
      <c r="C3769" s="1402" t="s">
        <v>14738</v>
      </c>
      <c r="D3769" s="1403" t="s">
        <v>3316</v>
      </c>
      <c r="E3769" s="1404" t="s">
        <v>5201</v>
      </c>
      <c r="F3769" s="1405" t="s">
        <v>5300</v>
      </c>
      <c r="G3769" s="1403" t="s">
        <v>2752</v>
      </c>
      <c r="H3769" s="1406" t="s">
        <v>1055</v>
      </c>
    </row>
    <row r="3770" spans="1:8" x14ac:dyDescent="0.2">
      <c r="A3770" s="7"/>
      <c r="B3770" s="1407" t="str">
        <f t="shared" si="58"/>
        <v>Matthew Armstrong</v>
      </c>
      <c r="C3770" s="1402" t="s">
        <v>6708</v>
      </c>
      <c r="D3770" s="1403" t="s">
        <v>3240</v>
      </c>
      <c r="E3770" s="1404" t="s">
        <v>5202</v>
      </c>
      <c r="F3770" s="1405" t="s">
        <v>5299</v>
      </c>
      <c r="G3770" s="1403" t="s">
        <v>2785</v>
      </c>
      <c r="H3770" s="1406" t="s">
        <v>1055</v>
      </c>
    </row>
    <row r="3771" spans="1:8" x14ac:dyDescent="0.2">
      <c r="A3771" s="7"/>
      <c r="B3771" s="1407" t="str">
        <f t="shared" si="58"/>
        <v>Ernest Bickerstaff</v>
      </c>
      <c r="C3771" s="1402" t="s">
        <v>6709</v>
      </c>
      <c r="D3771" s="1403" t="s">
        <v>7017</v>
      </c>
      <c r="E3771" s="1404" t="s">
        <v>5203</v>
      </c>
      <c r="F3771" s="1405" t="s">
        <v>5300</v>
      </c>
      <c r="G3771" s="1403" t="s">
        <v>2764</v>
      </c>
      <c r="H3771" s="1406" t="s">
        <v>1055</v>
      </c>
    </row>
    <row r="3772" spans="1:8" x14ac:dyDescent="0.2">
      <c r="A3772" s="7"/>
      <c r="B3772" s="1407" t="str">
        <f t="shared" si="58"/>
        <v>Peter Darling</v>
      </c>
      <c r="C3772" s="1402" t="s">
        <v>6710</v>
      </c>
      <c r="D3772" s="1403" t="s">
        <v>3194</v>
      </c>
      <c r="E3772" s="1404" t="s">
        <v>5204</v>
      </c>
      <c r="F3772" s="1405" t="s">
        <v>5299</v>
      </c>
      <c r="G3772" s="1403" t="s">
        <v>2785</v>
      </c>
      <c r="H3772" s="1406" t="s">
        <v>1055</v>
      </c>
    </row>
    <row r="3773" spans="1:8" x14ac:dyDescent="0.2">
      <c r="A3773" s="7"/>
      <c r="B3773" s="1407" t="str">
        <f t="shared" si="58"/>
        <v>Trevor Cummings</v>
      </c>
      <c r="C3773" s="1402" t="s">
        <v>6711</v>
      </c>
      <c r="D3773" s="1403" t="s">
        <v>5578</v>
      </c>
      <c r="E3773" s="1404" t="s">
        <v>5205</v>
      </c>
      <c r="F3773" s="1405" t="s">
        <v>5299</v>
      </c>
      <c r="G3773" s="1403" t="s">
        <v>2752</v>
      </c>
      <c r="H3773" s="1406" t="s">
        <v>1055</v>
      </c>
    </row>
    <row r="3774" spans="1:8" x14ac:dyDescent="0.2">
      <c r="A3774" s="7"/>
      <c r="B3774" s="1407" t="str">
        <f t="shared" si="58"/>
        <v>Lawrence Watson</v>
      </c>
      <c r="C3774" s="1402" t="s">
        <v>9541</v>
      </c>
      <c r="D3774" s="1403" t="s">
        <v>3152</v>
      </c>
      <c r="E3774" s="1404" t="s">
        <v>9577</v>
      </c>
      <c r="F3774" s="1405" t="s">
        <v>5299</v>
      </c>
      <c r="G3774" s="1403" t="s">
        <v>9598</v>
      </c>
      <c r="H3774" s="1406" t="s">
        <v>1055</v>
      </c>
    </row>
    <row r="3775" spans="1:8" x14ac:dyDescent="0.2">
      <c r="A3775" s="7"/>
      <c r="B3775" s="1407" t="str">
        <f t="shared" si="58"/>
        <v>Patrick McKeever</v>
      </c>
      <c r="C3775" s="1402" t="s">
        <v>9542</v>
      </c>
      <c r="D3775" s="1403" t="s">
        <v>3271</v>
      </c>
      <c r="E3775" s="1404" t="s">
        <v>9578</v>
      </c>
      <c r="F3775" s="1405" t="s">
        <v>5300</v>
      </c>
      <c r="G3775" s="1403" t="s">
        <v>9598</v>
      </c>
      <c r="H3775" s="1406" t="s">
        <v>1055</v>
      </c>
    </row>
    <row r="3776" spans="1:8" x14ac:dyDescent="0.2">
      <c r="A3776" s="7"/>
      <c r="B3776" s="1407" t="str">
        <f t="shared" si="58"/>
        <v>Mark McCrossan</v>
      </c>
      <c r="C3776" s="1402" t="s">
        <v>9543</v>
      </c>
      <c r="D3776" s="1403" t="s">
        <v>3017</v>
      </c>
      <c r="E3776" s="1404" t="s">
        <v>9579</v>
      </c>
      <c r="F3776" s="1405" t="s">
        <v>5299</v>
      </c>
      <c r="G3776" s="1403" t="s">
        <v>9598</v>
      </c>
      <c r="H3776" s="1406" t="s">
        <v>1055</v>
      </c>
    </row>
    <row r="3777" spans="1:8" x14ac:dyDescent="0.2">
      <c r="A3777" s="7"/>
      <c r="B3777" s="1407" t="str">
        <f t="shared" si="58"/>
        <v>Paul Boyle</v>
      </c>
      <c r="C3777" s="1402" t="s">
        <v>9544</v>
      </c>
      <c r="D3777" s="1403" t="s">
        <v>3259</v>
      </c>
      <c r="E3777" s="1404" t="s">
        <v>9580</v>
      </c>
      <c r="F3777" s="1405" t="s">
        <v>5300</v>
      </c>
      <c r="G3777" s="1403" t="s">
        <v>9598</v>
      </c>
      <c r="H3777" s="1406" t="s">
        <v>1055</v>
      </c>
    </row>
    <row r="3778" spans="1:8" x14ac:dyDescent="0.2">
      <c r="A3778" s="7"/>
      <c r="B3778" s="1407" t="str">
        <f t="shared" si="58"/>
        <v>Rory Morrison</v>
      </c>
      <c r="C3778" s="1402" t="s">
        <v>6702</v>
      </c>
      <c r="D3778" s="1403" t="s">
        <v>9555</v>
      </c>
      <c r="E3778" s="1404" t="s">
        <v>9581</v>
      </c>
      <c r="F3778" s="1405" t="s">
        <v>5300</v>
      </c>
      <c r="G3778" s="1403" t="s">
        <v>9598</v>
      </c>
      <c r="H3778" s="1406" t="s">
        <v>1055</v>
      </c>
    </row>
    <row r="3779" spans="1:8" x14ac:dyDescent="0.2">
      <c r="A3779" s="7"/>
      <c r="B3779" s="1407" t="str">
        <f t="shared" si="58"/>
        <v>Martinog Bradley</v>
      </c>
      <c r="C3779" s="1402" t="s">
        <v>5930</v>
      </c>
      <c r="D3779" s="1403" t="s">
        <v>9556</v>
      </c>
      <c r="E3779" s="1404" t="s">
        <v>9582</v>
      </c>
      <c r="F3779" s="1405" t="s">
        <v>5299</v>
      </c>
      <c r="G3779" s="1403" t="s">
        <v>9598</v>
      </c>
      <c r="H3779" s="1406" t="s">
        <v>1055</v>
      </c>
    </row>
    <row r="3780" spans="1:8" x14ac:dyDescent="0.2">
      <c r="A3780" s="7"/>
      <c r="B3780" s="1407" t="str">
        <f t="shared" si="58"/>
        <v>Simon Stewart</v>
      </c>
      <c r="C3780" s="1402" t="s">
        <v>11064</v>
      </c>
      <c r="D3780" s="1403" t="s">
        <v>3626</v>
      </c>
      <c r="E3780" s="1404" t="s">
        <v>11166</v>
      </c>
      <c r="F3780" s="1405" t="s">
        <v>5299</v>
      </c>
      <c r="G3780" s="1403" t="s">
        <v>11409</v>
      </c>
      <c r="H3780" s="1406" t="s">
        <v>1055</v>
      </c>
    </row>
    <row r="3781" spans="1:8" x14ac:dyDescent="0.2">
      <c r="A3781" s="7"/>
      <c r="B3781" s="1407" t="str">
        <f t="shared" si="58"/>
        <v>Craig Stewart</v>
      </c>
      <c r="C3781" s="1402" t="s">
        <v>11064</v>
      </c>
      <c r="D3781" s="1403" t="s">
        <v>3188</v>
      </c>
      <c r="E3781" s="1404" t="s">
        <v>11167</v>
      </c>
      <c r="F3781" s="1405" t="s">
        <v>5299</v>
      </c>
      <c r="G3781" s="1403" t="s">
        <v>9598</v>
      </c>
      <c r="H3781" s="1406" t="s">
        <v>1055</v>
      </c>
    </row>
    <row r="3782" spans="1:8" x14ac:dyDescent="0.2">
      <c r="A3782" s="7"/>
      <c r="B3782" s="1407" t="str">
        <f t="shared" si="58"/>
        <v>Lochlin Bradley</v>
      </c>
      <c r="C3782" s="1402" t="s">
        <v>5930</v>
      </c>
      <c r="D3782" s="1403" t="s">
        <v>15275</v>
      </c>
      <c r="E3782" s="1404" t="s">
        <v>15276</v>
      </c>
      <c r="F3782" s="1405"/>
      <c r="G3782" s="1403" t="s">
        <v>15277</v>
      </c>
      <c r="H3782" s="1406" t="s">
        <v>1055</v>
      </c>
    </row>
    <row r="3783" spans="1:8" x14ac:dyDescent="0.2">
      <c r="A3783" s="7"/>
      <c r="B3783" s="1407" t="str">
        <f t="shared" ref="B3783:B3846" si="59">TRIM(CONCATENATE(D3783," ",C3783))</f>
        <v>Jude Morrow</v>
      </c>
      <c r="C3783" s="1402" t="s">
        <v>15933</v>
      </c>
      <c r="D3783" s="1403" t="s">
        <v>15934</v>
      </c>
      <c r="E3783" s="1404" t="s">
        <v>15935</v>
      </c>
      <c r="F3783" s="1405"/>
      <c r="G3783" s="1403" t="s">
        <v>9598</v>
      </c>
      <c r="H3783" s="1406" t="s">
        <v>1055</v>
      </c>
    </row>
    <row r="3784" spans="1:8" x14ac:dyDescent="0.2">
      <c r="A3784" s="7"/>
      <c r="B3784" s="1407" t="str">
        <f t="shared" si="59"/>
        <v>Dee Jenkins</v>
      </c>
      <c r="C3784" s="1402" t="s">
        <v>14739</v>
      </c>
      <c r="D3784" s="1403" t="s">
        <v>14740</v>
      </c>
      <c r="E3784" s="1404" t="s">
        <v>14741</v>
      </c>
      <c r="F3784" s="1405" t="s">
        <v>5300</v>
      </c>
      <c r="G3784" s="1403" t="s">
        <v>9598</v>
      </c>
      <c r="H3784" s="1406" t="s">
        <v>1055</v>
      </c>
    </row>
    <row r="3785" spans="1:8" x14ac:dyDescent="0.2">
      <c r="A3785" s="7"/>
      <c r="B3785" s="1407" t="str">
        <f t="shared" si="59"/>
        <v>Donal Convery</v>
      </c>
      <c r="C3785" s="1402" t="s">
        <v>15381</v>
      </c>
      <c r="D3785" s="1403" t="s">
        <v>15382</v>
      </c>
      <c r="E3785" s="1404" t="s">
        <v>15383</v>
      </c>
      <c r="F3785" s="1405" t="s">
        <v>5300</v>
      </c>
      <c r="G3785" s="1403" t="s">
        <v>2785</v>
      </c>
      <c r="H3785" s="1406" t="s">
        <v>1055</v>
      </c>
    </row>
    <row r="3786" spans="1:8" x14ac:dyDescent="0.2">
      <c r="A3786" s="7"/>
      <c r="B3786" s="1407" t="str">
        <f t="shared" si="59"/>
        <v>Colin Perry</v>
      </c>
      <c r="C3786" s="1402" t="s">
        <v>16029</v>
      </c>
      <c r="D3786" s="1403" t="s">
        <v>3114</v>
      </c>
      <c r="E3786" s="1404" t="s">
        <v>16030</v>
      </c>
      <c r="F3786" s="1405"/>
      <c r="G3786" s="1403" t="s">
        <v>2785</v>
      </c>
      <c r="H3786" s="1406" t="s">
        <v>1055</v>
      </c>
    </row>
    <row r="3787" spans="1:8" x14ac:dyDescent="0.2">
      <c r="A3787" s="7"/>
      <c r="B3787" s="1407" t="str">
        <f t="shared" si="59"/>
        <v>Ian Greer</v>
      </c>
      <c r="C3787" s="1402" t="s">
        <v>15620</v>
      </c>
      <c r="D3787" s="1403" t="s">
        <v>3688</v>
      </c>
      <c r="E3787" s="1404" t="s">
        <v>15621</v>
      </c>
      <c r="F3787" s="1405" t="s">
        <v>5300</v>
      </c>
      <c r="G3787" s="1403" t="s">
        <v>9598</v>
      </c>
      <c r="H3787" s="1406" t="s">
        <v>1055</v>
      </c>
    </row>
    <row r="3788" spans="1:8" x14ac:dyDescent="0.2">
      <c r="A3788" s="7"/>
      <c r="B3788" s="1407" t="str">
        <f t="shared" si="59"/>
        <v>Anders Bergane</v>
      </c>
      <c r="C3788" s="1402" t="s">
        <v>6712</v>
      </c>
      <c r="D3788" s="1403" t="s">
        <v>3090</v>
      </c>
      <c r="E3788" s="1404" t="s">
        <v>5206</v>
      </c>
      <c r="F3788" s="1405" t="s">
        <v>5299</v>
      </c>
      <c r="G3788" s="1403" t="s">
        <v>2903</v>
      </c>
      <c r="H3788" s="1406" t="s">
        <v>1057</v>
      </c>
    </row>
    <row r="3789" spans="1:8" x14ac:dyDescent="0.2">
      <c r="A3789" s="7"/>
      <c r="B3789" s="1407" t="str">
        <f t="shared" si="59"/>
        <v>Anders Grorud</v>
      </c>
      <c r="C3789" s="1402" t="s">
        <v>6713</v>
      </c>
      <c r="D3789" s="1403" t="s">
        <v>3090</v>
      </c>
      <c r="E3789" s="1404" t="s">
        <v>5207</v>
      </c>
      <c r="F3789" s="1405" t="s">
        <v>5300</v>
      </c>
      <c r="G3789" s="1403" t="s">
        <v>13531</v>
      </c>
      <c r="H3789" s="1406" t="s">
        <v>1057</v>
      </c>
    </row>
    <row r="3790" spans="1:8" x14ac:dyDescent="0.2">
      <c r="A3790" s="7"/>
      <c r="B3790" s="1407" t="str">
        <f t="shared" si="59"/>
        <v>Jon Henning Bergane</v>
      </c>
      <c r="C3790" s="1402" t="s">
        <v>6712</v>
      </c>
      <c r="D3790" s="1403" t="s">
        <v>7018</v>
      </c>
      <c r="E3790" s="1404" t="s">
        <v>5208</v>
      </c>
      <c r="F3790" s="1405" t="s">
        <v>5300</v>
      </c>
      <c r="G3790" s="1403" t="s">
        <v>2752</v>
      </c>
      <c r="H3790" s="1406" t="s">
        <v>1057</v>
      </c>
    </row>
    <row r="3791" spans="1:8" x14ac:dyDescent="0.2">
      <c r="A3791" s="7"/>
      <c r="B3791" s="1407" t="str">
        <f t="shared" si="59"/>
        <v>Lars Tore Myge</v>
      </c>
      <c r="C3791" s="1402" t="s">
        <v>6714</v>
      </c>
      <c r="D3791" s="1403" t="s">
        <v>5529</v>
      </c>
      <c r="E3791" s="1404" t="s">
        <v>5209</v>
      </c>
      <c r="F3791" s="1405" t="s">
        <v>5300</v>
      </c>
      <c r="G3791" s="1403" t="s">
        <v>2753</v>
      </c>
      <c r="H3791" s="1406" t="s">
        <v>1057</v>
      </c>
    </row>
    <row r="3792" spans="1:8" x14ac:dyDescent="0.2">
      <c r="A3792" s="7"/>
      <c r="B3792" s="1407" t="str">
        <f t="shared" si="59"/>
        <v>Trond Pedersen</v>
      </c>
      <c r="C3792" s="1402" t="s">
        <v>5905</v>
      </c>
      <c r="D3792" s="1403" t="s">
        <v>7019</v>
      </c>
      <c r="E3792" s="1404" t="s">
        <v>5210</v>
      </c>
      <c r="F3792" s="1405" t="s">
        <v>5300</v>
      </c>
      <c r="G3792" s="1403" t="s">
        <v>2903</v>
      </c>
      <c r="H3792" s="1406" t="s">
        <v>1057</v>
      </c>
    </row>
    <row r="3793" spans="1:8" x14ac:dyDescent="0.2">
      <c r="A3793" s="7"/>
      <c r="B3793" s="1407" t="str">
        <f t="shared" si="59"/>
        <v>Svein Arne Brekke</v>
      </c>
      <c r="C3793" s="1402" t="s">
        <v>6715</v>
      </c>
      <c r="D3793" s="1403" t="s">
        <v>7020</v>
      </c>
      <c r="E3793" s="1404" t="s">
        <v>5211</v>
      </c>
      <c r="F3793" s="1405" t="s">
        <v>5299</v>
      </c>
      <c r="G3793" s="1403" t="s">
        <v>15281</v>
      </c>
      <c r="H3793" s="1406" t="s">
        <v>1057</v>
      </c>
    </row>
    <row r="3794" spans="1:8" x14ac:dyDescent="0.2">
      <c r="A3794" s="7"/>
      <c r="B3794" s="1407" t="str">
        <f t="shared" si="59"/>
        <v>Sondre Nordjore</v>
      </c>
      <c r="C3794" s="1402" t="s">
        <v>6716</v>
      </c>
      <c r="D3794" s="1403" t="s">
        <v>7021</v>
      </c>
      <c r="E3794" s="1404" t="s">
        <v>5212</v>
      </c>
      <c r="F3794" s="1405" t="s">
        <v>5299</v>
      </c>
      <c r="G3794" s="1403" t="s">
        <v>2903</v>
      </c>
      <c r="H3794" s="1406" t="s">
        <v>1057</v>
      </c>
    </row>
    <row r="3795" spans="1:8" x14ac:dyDescent="0.2">
      <c r="A3795" s="7"/>
      <c r="B3795" s="1407" t="str">
        <f t="shared" si="59"/>
        <v>Fredrik Rawicki</v>
      </c>
      <c r="C3795" s="1402" t="s">
        <v>6717</v>
      </c>
      <c r="D3795" s="1403" t="s">
        <v>7022</v>
      </c>
      <c r="E3795" s="1404" t="s">
        <v>5213</v>
      </c>
      <c r="F3795" s="1405" t="s">
        <v>5299</v>
      </c>
      <c r="G3795" s="1403" t="s">
        <v>2903</v>
      </c>
      <c r="H3795" s="1406" t="s">
        <v>1057</v>
      </c>
    </row>
    <row r="3796" spans="1:8" x14ac:dyDescent="0.2">
      <c r="A3796" s="7"/>
      <c r="B3796" s="1407" t="str">
        <f t="shared" si="59"/>
        <v>Christian Schulze</v>
      </c>
      <c r="C3796" s="1402" t="s">
        <v>6718</v>
      </c>
      <c r="D3796" s="1403" t="s">
        <v>3063</v>
      </c>
      <c r="E3796" s="1404" t="s">
        <v>5214</v>
      </c>
      <c r="F3796" s="1405" t="s">
        <v>5299</v>
      </c>
      <c r="G3796" s="1403" t="s">
        <v>5312</v>
      </c>
      <c r="H3796" s="1406" t="s">
        <v>1057</v>
      </c>
    </row>
    <row r="3797" spans="1:8" x14ac:dyDescent="0.2">
      <c r="A3797" s="7"/>
      <c r="B3797" s="1407" t="str">
        <f t="shared" si="59"/>
        <v>Martin Eikeland</v>
      </c>
      <c r="C3797" s="1402" t="s">
        <v>6719</v>
      </c>
      <c r="D3797" s="1403" t="s">
        <v>3408</v>
      </c>
      <c r="E3797" s="1404" t="s">
        <v>5215</v>
      </c>
      <c r="F3797" s="1405" t="s">
        <v>5300</v>
      </c>
      <c r="G3797" s="1403" t="s">
        <v>5312</v>
      </c>
      <c r="H3797" s="1406" t="s">
        <v>1057</v>
      </c>
    </row>
    <row r="3798" spans="1:8" x14ac:dyDescent="0.2">
      <c r="A3798" s="7"/>
      <c r="B3798" s="1407" t="str">
        <f t="shared" si="59"/>
        <v>Håkon Lunde</v>
      </c>
      <c r="C3798" s="1402" t="s">
        <v>6720</v>
      </c>
      <c r="D3798" s="1403" t="s">
        <v>7023</v>
      </c>
      <c r="E3798" s="1404" t="s">
        <v>5216</v>
      </c>
      <c r="F3798" s="1405" t="s">
        <v>5299</v>
      </c>
      <c r="G3798" s="1403" t="s">
        <v>5313</v>
      </c>
      <c r="H3798" s="1406" t="s">
        <v>1057</v>
      </c>
    </row>
    <row r="3799" spans="1:8" x14ac:dyDescent="0.2">
      <c r="A3799" s="7"/>
      <c r="B3799" s="1407" t="str">
        <f t="shared" si="59"/>
        <v>Mathias Kastet</v>
      </c>
      <c r="C3799" s="1402" t="s">
        <v>6721</v>
      </c>
      <c r="D3799" s="1403" t="s">
        <v>3694</v>
      </c>
      <c r="E3799" s="1404" t="s">
        <v>5217</v>
      </c>
      <c r="F3799" s="1405" t="s">
        <v>5299</v>
      </c>
      <c r="G3799" s="1403" t="s">
        <v>5313</v>
      </c>
      <c r="H3799" s="1406" t="s">
        <v>1057</v>
      </c>
    </row>
    <row r="3800" spans="1:8" x14ac:dyDescent="0.2">
      <c r="A3800" s="7"/>
      <c r="B3800" s="1407" t="str">
        <f t="shared" si="59"/>
        <v>Kjetil Fosse</v>
      </c>
      <c r="C3800" s="1402" t="s">
        <v>6722</v>
      </c>
      <c r="D3800" s="1403" t="s">
        <v>7024</v>
      </c>
      <c r="E3800" s="1404" t="s">
        <v>5218</v>
      </c>
      <c r="F3800" s="1405" t="s">
        <v>5299</v>
      </c>
      <c r="G3800" s="1403" t="s">
        <v>2903</v>
      </c>
      <c r="H3800" s="1406" t="s">
        <v>1057</v>
      </c>
    </row>
    <row r="3801" spans="1:8" x14ac:dyDescent="0.2">
      <c r="A3801" s="7"/>
      <c r="B3801" s="1407" t="str">
        <f t="shared" si="59"/>
        <v>Thomas Flaaten Fredriksen</v>
      </c>
      <c r="C3801" s="1402" t="s">
        <v>6723</v>
      </c>
      <c r="D3801" s="1403" t="s">
        <v>7025</v>
      </c>
      <c r="E3801" s="1404" t="s">
        <v>5219</v>
      </c>
      <c r="F3801" s="1405" t="s">
        <v>5299</v>
      </c>
      <c r="G3801" s="1403" t="s">
        <v>5313</v>
      </c>
      <c r="H3801" s="1406" t="s">
        <v>1057</v>
      </c>
    </row>
    <row r="3802" spans="1:8" x14ac:dyDescent="0.2">
      <c r="A3802" s="7"/>
      <c r="B3802" s="1407" t="str">
        <f t="shared" si="59"/>
        <v>Terje Ellefsen</v>
      </c>
      <c r="C3802" s="1402" t="s">
        <v>6724</v>
      </c>
      <c r="D3802" s="1403" t="s">
        <v>7026</v>
      </c>
      <c r="E3802" s="1404" t="s">
        <v>5220</v>
      </c>
      <c r="F3802" s="1405" t="s">
        <v>5299</v>
      </c>
      <c r="G3802" s="1403" t="s">
        <v>17082</v>
      </c>
      <c r="H3802" s="1406" t="s">
        <v>1057</v>
      </c>
    </row>
    <row r="3803" spans="1:8" x14ac:dyDescent="0.2">
      <c r="A3803" s="7"/>
      <c r="B3803" s="1407" t="str">
        <f t="shared" si="59"/>
        <v>Robert Ludvigsen</v>
      </c>
      <c r="C3803" s="1402" t="s">
        <v>6725</v>
      </c>
      <c r="D3803" s="1403" t="s">
        <v>3405</v>
      </c>
      <c r="E3803" s="1404" t="s">
        <v>5221</v>
      </c>
      <c r="F3803" s="1405" t="s">
        <v>5299</v>
      </c>
      <c r="G3803" s="1403" t="s">
        <v>5313</v>
      </c>
      <c r="H3803" s="1406" t="s">
        <v>1057</v>
      </c>
    </row>
    <row r="3804" spans="1:8" x14ac:dyDescent="0.2">
      <c r="A3804" s="7"/>
      <c r="B3804" s="1407" t="str">
        <f t="shared" si="59"/>
        <v>Frode Sveinungsen</v>
      </c>
      <c r="C3804" s="1402" t="s">
        <v>6726</v>
      </c>
      <c r="D3804" s="1403" t="s">
        <v>7027</v>
      </c>
      <c r="E3804" s="1404" t="s">
        <v>5222</v>
      </c>
      <c r="F3804" s="1405" t="s">
        <v>5299</v>
      </c>
      <c r="G3804" s="1403" t="s">
        <v>5313</v>
      </c>
      <c r="H3804" s="1406" t="s">
        <v>1057</v>
      </c>
    </row>
    <row r="3805" spans="1:8" x14ac:dyDescent="0.2">
      <c r="A3805" s="7"/>
      <c r="B3805" s="1407" t="str">
        <f t="shared" si="59"/>
        <v>Jan-Thomas Moen</v>
      </c>
      <c r="C3805" s="1402" t="s">
        <v>6727</v>
      </c>
      <c r="D3805" s="1403" t="s">
        <v>7028</v>
      </c>
      <c r="E3805" s="1404" t="s">
        <v>5223</v>
      </c>
      <c r="F3805" s="1405" t="s">
        <v>5299</v>
      </c>
      <c r="G3805" s="1403" t="s">
        <v>5313</v>
      </c>
      <c r="H3805" s="1406" t="s">
        <v>1057</v>
      </c>
    </row>
    <row r="3806" spans="1:8" x14ac:dyDescent="0.2">
      <c r="A3806" s="7"/>
      <c r="B3806" s="1407" t="str">
        <f t="shared" si="59"/>
        <v>Riccardo Destefanis</v>
      </c>
      <c r="C3806" s="1402" t="s">
        <v>15462</v>
      </c>
      <c r="D3806" s="1403" t="s">
        <v>3270</v>
      </c>
      <c r="E3806" s="1404" t="s">
        <v>15463</v>
      </c>
      <c r="F3806" s="1405" t="s">
        <v>5300</v>
      </c>
      <c r="G3806" s="1403" t="s">
        <v>15281</v>
      </c>
      <c r="H3806" s="1406" t="s">
        <v>1057</v>
      </c>
    </row>
    <row r="3807" spans="1:8" x14ac:dyDescent="0.2">
      <c r="A3807" s="7"/>
      <c r="B3807" s="1407" t="str">
        <f t="shared" si="59"/>
        <v>Ian Alexander Stuart</v>
      </c>
      <c r="C3807" s="1402" t="s">
        <v>3316</v>
      </c>
      <c r="D3807" s="1403" t="s">
        <v>16264</v>
      </c>
      <c r="E3807" s="1404" t="s">
        <v>16265</v>
      </c>
      <c r="F3807" s="1405" t="s">
        <v>5300</v>
      </c>
      <c r="G3807" s="1403" t="s">
        <v>15281</v>
      </c>
      <c r="H3807" s="1406" t="s">
        <v>1057</v>
      </c>
    </row>
    <row r="3808" spans="1:8" x14ac:dyDescent="0.2">
      <c r="A3808" s="7"/>
      <c r="B3808" s="1407" t="str">
        <f t="shared" si="59"/>
        <v>Alfredo Gianoglio</v>
      </c>
      <c r="C3808" s="1402" t="s">
        <v>15609</v>
      </c>
      <c r="D3808" s="1403" t="s">
        <v>3587</v>
      </c>
      <c r="E3808" s="1404" t="s">
        <v>15610</v>
      </c>
      <c r="F3808" s="1405" t="s">
        <v>5299</v>
      </c>
      <c r="G3808" s="1403" t="s">
        <v>15281</v>
      </c>
      <c r="H3808" s="1406" t="s">
        <v>1057</v>
      </c>
    </row>
    <row r="3809" spans="1:8" x14ac:dyDescent="0.2">
      <c r="A3809" s="7"/>
      <c r="B3809" s="1407" t="str">
        <f t="shared" si="59"/>
        <v>Audun Flaaten</v>
      </c>
      <c r="C3809" s="1402" t="s">
        <v>16924</v>
      </c>
      <c r="D3809" s="1403" t="s">
        <v>16925</v>
      </c>
      <c r="E3809" s="1404" t="s">
        <v>16926</v>
      </c>
      <c r="F3809" s="1405" t="s">
        <v>5300</v>
      </c>
      <c r="G3809" s="1403" t="s">
        <v>5313</v>
      </c>
      <c r="H3809" s="1406" t="s">
        <v>1057</v>
      </c>
    </row>
    <row r="3810" spans="1:8" x14ac:dyDescent="0.2">
      <c r="A3810" s="7"/>
      <c r="B3810" s="1407" t="str">
        <f t="shared" si="59"/>
        <v>Jostein Håland</v>
      </c>
      <c r="C3810" s="1402" t="s">
        <v>16932</v>
      </c>
      <c r="D3810" s="1403" t="s">
        <v>16933</v>
      </c>
      <c r="E3810" s="1404" t="s">
        <v>16934</v>
      </c>
      <c r="F3810" s="1405" t="s">
        <v>5300</v>
      </c>
      <c r="G3810" s="1403" t="s">
        <v>16935</v>
      </c>
      <c r="H3810" s="1406" t="s">
        <v>1057</v>
      </c>
    </row>
    <row r="3811" spans="1:8" x14ac:dyDescent="0.2">
      <c r="A3811" s="7"/>
      <c r="B3811" s="1407" t="str">
        <f t="shared" si="59"/>
        <v>Richard Edeson</v>
      </c>
      <c r="C3811" s="1402" t="s">
        <v>14470</v>
      </c>
      <c r="D3811" s="1403" t="s">
        <v>3219</v>
      </c>
      <c r="E3811" s="1404" t="s">
        <v>17367</v>
      </c>
      <c r="F3811" s="1405" t="s">
        <v>5300</v>
      </c>
      <c r="G3811" s="1403" t="s">
        <v>15379</v>
      </c>
      <c r="H3811" s="1406" t="s">
        <v>14471</v>
      </c>
    </row>
    <row r="3812" spans="1:8" x14ac:dyDescent="0.2">
      <c r="A3812" s="7"/>
      <c r="B3812" s="1407" t="str">
        <f t="shared" si="59"/>
        <v>Conrad Mudge</v>
      </c>
      <c r="C3812" s="1402" t="s">
        <v>15936</v>
      </c>
      <c r="D3812" s="1403" t="s">
        <v>15937</v>
      </c>
      <c r="E3812" s="1404" t="s">
        <v>17368</v>
      </c>
      <c r="F3812" s="1405" t="s">
        <v>5300</v>
      </c>
      <c r="G3812" s="1403" t="s">
        <v>15379</v>
      </c>
      <c r="H3812" s="1406" t="s">
        <v>14471</v>
      </c>
    </row>
    <row r="3813" spans="1:8" x14ac:dyDescent="0.2">
      <c r="A3813" s="7"/>
      <c r="B3813" s="1407" t="str">
        <f t="shared" si="59"/>
        <v>Andy Shearer</v>
      </c>
      <c r="C3813" s="1402" t="s">
        <v>17369</v>
      </c>
      <c r="D3813" s="1403" t="s">
        <v>3322</v>
      </c>
      <c r="E3813" s="1404" t="s">
        <v>17370</v>
      </c>
      <c r="F3813" s="1405" t="s">
        <v>5300</v>
      </c>
      <c r="G3813" s="1403" t="s">
        <v>15379</v>
      </c>
      <c r="H3813" s="1406" t="s">
        <v>14471</v>
      </c>
    </row>
    <row r="3814" spans="1:8" x14ac:dyDescent="0.2">
      <c r="A3814" s="7"/>
      <c r="B3814" s="1407" t="str">
        <f t="shared" si="59"/>
        <v>Mark Rossi</v>
      </c>
      <c r="C3814" s="1402" t="s">
        <v>6532</v>
      </c>
      <c r="D3814" s="1403" t="s">
        <v>3017</v>
      </c>
      <c r="E3814" s="1404" t="s">
        <v>17371</v>
      </c>
      <c r="F3814" s="1405" t="s">
        <v>5300</v>
      </c>
      <c r="G3814" s="1403" t="s">
        <v>15379</v>
      </c>
      <c r="H3814" s="1406" t="s">
        <v>14471</v>
      </c>
    </row>
    <row r="3815" spans="1:8" x14ac:dyDescent="0.2">
      <c r="A3815" s="7"/>
      <c r="B3815" s="1407" t="str">
        <f t="shared" si="59"/>
        <v>Craig Wright</v>
      </c>
      <c r="C3815" s="1402" t="s">
        <v>8778</v>
      </c>
      <c r="D3815" s="1403" t="s">
        <v>3188</v>
      </c>
      <c r="E3815" s="1404" t="s">
        <v>17372</v>
      </c>
      <c r="F3815" s="1405" t="s">
        <v>5300</v>
      </c>
      <c r="G3815" s="1403" t="s">
        <v>15379</v>
      </c>
      <c r="H3815" s="1406" t="s">
        <v>14471</v>
      </c>
    </row>
    <row r="3816" spans="1:8" x14ac:dyDescent="0.2">
      <c r="A3816" s="7"/>
      <c r="B3816" s="1407" t="str">
        <f t="shared" si="59"/>
        <v>Andrew Miller</v>
      </c>
      <c r="C3816" s="1402" t="s">
        <v>17373</v>
      </c>
      <c r="D3816" s="1403" t="s">
        <v>3105</v>
      </c>
      <c r="E3816" s="1404" t="s">
        <v>17374</v>
      </c>
      <c r="F3816" s="1405" t="s">
        <v>5300</v>
      </c>
      <c r="G3816" s="1403" t="s">
        <v>15379</v>
      </c>
      <c r="H3816" s="1406" t="s">
        <v>14471</v>
      </c>
    </row>
    <row r="3817" spans="1:8" x14ac:dyDescent="0.2">
      <c r="A3817" s="7"/>
      <c r="B3817" s="1407" t="str">
        <f t="shared" si="59"/>
        <v>George Miller</v>
      </c>
      <c r="C3817" s="1402" t="s">
        <v>17373</v>
      </c>
      <c r="D3817" s="1403" t="s">
        <v>3162</v>
      </c>
      <c r="E3817" s="1404" t="s">
        <v>17375</v>
      </c>
      <c r="F3817" s="1405" t="s">
        <v>5299</v>
      </c>
      <c r="G3817" s="1403" t="s">
        <v>15379</v>
      </c>
      <c r="H3817" s="1406" t="s">
        <v>14471</v>
      </c>
    </row>
    <row r="3818" spans="1:8" x14ac:dyDescent="0.2">
      <c r="A3818" s="7"/>
      <c r="B3818" s="1407" t="str">
        <f t="shared" si="59"/>
        <v>Andy Smith</v>
      </c>
      <c r="C3818" s="1402" t="s">
        <v>5936</v>
      </c>
      <c r="D3818" s="1403" t="s">
        <v>3322</v>
      </c>
      <c r="E3818" s="1404" t="s">
        <v>17376</v>
      </c>
      <c r="F3818" s="1405" t="s">
        <v>5299</v>
      </c>
      <c r="G3818" s="1403" t="s">
        <v>15379</v>
      </c>
      <c r="H3818" s="1406" t="s">
        <v>14471</v>
      </c>
    </row>
    <row r="3819" spans="1:8" x14ac:dyDescent="0.2">
      <c r="A3819" s="7"/>
      <c r="B3819" s="1407" t="str">
        <f t="shared" si="59"/>
        <v>Nick McNeil</v>
      </c>
      <c r="C3819" s="1402" t="s">
        <v>17377</v>
      </c>
      <c r="D3819" s="1403" t="s">
        <v>5540</v>
      </c>
      <c r="E3819" s="1404" t="s">
        <v>17378</v>
      </c>
      <c r="F3819" s="1405" t="s">
        <v>5299</v>
      </c>
      <c r="G3819" s="1403" t="s">
        <v>15379</v>
      </c>
      <c r="H3819" s="1406" t="s">
        <v>14471</v>
      </c>
    </row>
    <row r="3820" spans="1:8" x14ac:dyDescent="0.2">
      <c r="A3820" s="7"/>
      <c r="B3820" s="1407" t="str">
        <f t="shared" si="59"/>
        <v>Matty Schofield</v>
      </c>
      <c r="C3820" s="1402" t="s">
        <v>17379</v>
      </c>
      <c r="D3820" s="1403" t="s">
        <v>17380</v>
      </c>
      <c r="E3820" s="1404" t="s">
        <v>17381</v>
      </c>
      <c r="F3820" s="1405" t="s">
        <v>5299</v>
      </c>
      <c r="G3820" s="1403" t="s">
        <v>15379</v>
      </c>
      <c r="H3820" s="1406" t="s">
        <v>14471</v>
      </c>
    </row>
    <row r="3821" spans="1:8" x14ac:dyDescent="0.2">
      <c r="A3821" s="7"/>
      <c r="B3821" s="1407" t="str">
        <f t="shared" si="59"/>
        <v>Shane Hamerton</v>
      </c>
      <c r="C3821" s="1402" t="s">
        <v>17382</v>
      </c>
      <c r="D3821" s="1403" t="s">
        <v>3687</v>
      </c>
      <c r="E3821" s="1404" t="s">
        <v>17383</v>
      </c>
      <c r="F3821" s="1405" t="s">
        <v>5300</v>
      </c>
      <c r="G3821" s="1403" t="s">
        <v>17384</v>
      </c>
      <c r="H3821" s="1406" t="s">
        <v>14471</v>
      </c>
    </row>
    <row r="3822" spans="1:8" x14ac:dyDescent="0.2">
      <c r="A3822" s="7"/>
      <c r="B3822" s="1407" t="str">
        <f t="shared" si="59"/>
        <v>Chris Noonan</v>
      </c>
      <c r="C3822" s="1402" t="s">
        <v>17385</v>
      </c>
      <c r="D3822" s="1403" t="s">
        <v>3029</v>
      </c>
      <c r="E3822" s="1404" t="s">
        <v>17386</v>
      </c>
      <c r="F3822" s="1405" t="s">
        <v>5300</v>
      </c>
      <c r="G3822" s="1403" t="s">
        <v>14347</v>
      </c>
      <c r="H3822" s="1406" t="s">
        <v>14471</v>
      </c>
    </row>
    <row r="3823" spans="1:8" x14ac:dyDescent="0.2">
      <c r="A3823" s="7"/>
      <c r="B3823" s="1407" t="str">
        <f t="shared" si="59"/>
        <v>Jim O'Donnell</v>
      </c>
      <c r="C3823" s="1402" t="s">
        <v>17387</v>
      </c>
      <c r="D3823" s="1403" t="s">
        <v>17388</v>
      </c>
      <c r="E3823" s="1404" t="s">
        <v>17389</v>
      </c>
      <c r="F3823" s="1405" t="s">
        <v>5299</v>
      </c>
      <c r="G3823" s="1403" t="s">
        <v>17390</v>
      </c>
      <c r="H3823" s="1406" t="s">
        <v>14471</v>
      </c>
    </row>
    <row r="3824" spans="1:8" x14ac:dyDescent="0.2">
      <c r="A3824" s="7"/>
      <c r="B3824" s="1407" t="str">
        <f t="shared" si="59"/>
        <v>Terence Smith</v>
      </c>
      <c r="C3824" s="1402" t="s">
        <v>5936</v>
      </c>
      <c r="D3824" s="1403" t="s">
        <v>17391</v>
      </c>
      <c r="E3824" s="1404" t="s">
        <v>17392</v>
      </c>
      <c r="F3824" s="1405" t="s">
        <v>5299</v>
      </c>
      <c r="G3824" s="1403" t="s">
        <v>14347</v>
      </c>
      <c r="H3824" s="1406" t="s">
        <v>14471</v>
      </c>
    </row>
    <row r="3825" spans="1:8" x14ac:dyDescent="0.2">
      <c r="A3825" s="7"/>
      <c r="B3825" s="1407" t="str">
        <f t="shared" si="59"/>
        <v>Steven Cascalheira</v>
      </c>
      <c r="C3825" s="1402" t="s">
        <v>17393</v>
      </c>
      <c r="D3825" s="1403" t="s">
        <v>3199</v>
      </c>
      <c r="E3825" s="1404" t="s">
        <v>17394</v>
      </c>
      <c r="F3825" s="1405" t="s">
        <v>5299</v>
      </c>
      <c r="G3825" s="1403" t="s">
        <v>14347</v>
      </c>
      <c r="H3825" s="1406" t="s">
        <v>14471</v>
      </c>
    </row>
    <row r="3826" spans="1:8" x14ac:dyDescent="0.2">
      <c r="A3826" s="7"/>
      <c r="B3826" s="1407" t="str">
        <f t="shared" si="59"/>
        <v>John Belt</v>
      </c>
      <c r="C3826" s="1402" t="s">
        <v>17577</v>
      </c>
      <c r="D3826" s="1403" t="s">
        <v>3250</v>
      </c>
      <c r="E3826" s="1404" t="s">
        <v>17578</v>
      </c>
      <c r="F3826" s="1405" t="s">
        <v>5300</v>
      </c>
      <c r="G3826" s="1403" t="s">
        <v>14347</v>
      </c>
      <c r="H3826" s="1406" t="s">
        <v>14471</v>
      </c>
    </row>
    <row r="3827" spans="1:8" x14ac:dyDescent="0.2">
      <c r="A3827" s="7"/>
      <c r="B3827" s="1407" t="str">
        <f t="shared" si="59"/>
        <v>Kevin Hare</v>
      </c>
      <c r="C3827" s="1402" t="s">
        <v>17579</v>
      </c>
      <c r="D3827" s="1403" t="s">
        <v>3263</v>
      </c>
      <c r="E3827" s="1404" t="s">
        <v>17580</v>
      </c>
      <c r="F3827" s="1405" t="s">
        <v>5300</v>
      </c>
      <c r="G3827" s="1403" t="s">
        <v>17581</v>
      </c>
      <c r="H3827" s="1406" t="s">
        <v>14471</v>
      </c>
    </row>
    <row r="3828" spans="1:8" x14ac:dyDescent="0.2">
      <c r="A3828" s="7"/>
      <c r="B3828" s="1407" t="str">
        <f t="shared" si="59"/>
        <v>Ian Sansom</v>
      </c>
      <c r="C3828" s="1402" t="s">
        <v>18043</v>
      </c>
      <c r="D3828" s="1403" t="s">
        <v>3688</v>
      </c>
      <c r="E3828" s="1404" t="s">
        <v>18044</v>
      </c>
      <c r="F3828" s="1405" t="s">
        <v>5300</v>
      </c>
      <c r="G3828" s="1403" t="s">
        <v>14347</v>
      </c>
      <c r="H3828" s="1406" t="s">
        <v>14471</v>
      </c>
    </row>
    <row r="3829" spans="1:8" x14ac:dyDescent="0.2">
      <c r="A3829" s="7"/>
      <c r="B3829" s="1407" t="str">
        <f t="shared" si="59"/>
        <v>Graeme Fletcher</v>
      </c>
      <c r="C3829" s="1402" t="s">
        <v>13760</v>
      </c>
      <c r="D3829" s="1403" t="s">
        <v>18045</v>
      </c>
      <c r="E3829" s="1404" t="s">
        <v>18046</v>
      </c>
      <c r="F3829" s="1405" t="s">
        <v>5299</v>
      </c>
      <c r="G3829" s="1403" t="s">
        <v>18047</v>
      </c>
      <c r="H3829" s="1406" t="s">
        <v>14471</v>
      </c>
    </row>
    <row r="3830" spans="1:8" x14ac:dyDescent="0.2">
      <c r="A3830" s="7"/>
      <c r="B3830" s="1407" t="str">
        <f t="shared" si="59"/>
        <v>Rob Cooke</v>
      </c>
      <c r="C3830" s="1402" t="s">
        <v>17395</v>
      </c>
      <c r="D3830" s="1403" t="s">
        <v>3320</v>
      </c>
      <c r="E3830" s="1404" t="s">
        <v>17396</v>
      </c>
      <c r="F3830" s="1405" t="s">
        <v>5300</v>
      </c>
      <c r="G3830" s="1403" t="s">
        <v>15379</v>
      </c>
      <c r="H3830" s="1406" t="s">
        <v>14471</v>
      </c>
    </row>
    <row r="3831" spans="1:8" x14ac:dyDescent="0.2">
      <c r="A3831" s="7"/>
      <c r="B3831" s="1407" t="str">
        <f t="shared" si="59"/>
        <v>Afonso Pereira</v>
      </c>
      <c r="C3831" s="1402" t="s">
        <v>5830</v>
      </c>
      <c r="D3831" s="1403" t="s">
        <v>3274</v>
      </c>
      <c r="E3831" s="1404" t="s">
        <v>5224</v>
      </c>
      <c r="F3831" s="1405" t="s">
        <v>5299</v>
      </c>
      <c r="G3831" s="1403" t="s">
        <v>11328</v>
      </c>
      <c r="H3831" s="1406" t="s">
        <v>1061</v>
      </c>
    </row>
    <row r="3832" spans="1:8" x14ac:dyDescent="0.2">
      <c r="A3832" s="7"/>
      <c r="B3832" s="1407" t="str">
        <f t="shared" si="59"/>
        <v>Carolina Villarigues</v>
      </c>
      <c r="C3832" s="1402" t="s">
        <v>6728</v>
      </c>
      <c r="D3832" s="1403" t="s">
        <v>3506</v>
      </c>
      <c r="E3832" s="1404" t="s">
        <v>5225</v>
      </c>
      <c r="F3832" s="1405" t="s">
        <v>5299</v>
      </c>
      <c r="G3832" s="1403" t="s">
        <v>15175</v>
      </c>
      <c r="H3832" s="1406" t="s">
        <v>1061</v>
      </c>
    </row>
    <row r="3833" spans="1:8" x14ac:dyDescent="0.2">
      <c r="A3833" s="7"/>
      <c r="B3833" s="1407" t="str">
        <f t="shared" si="59"/>
        <v>José Santos</v>
      </c>
      <c r="C3833" s="1402" t="s">
        <v>6730</v>
      </c>
      <c r="D3833" s="1403" t="s">
        <v>3232</v>
      </c>
      <c r="E3833" s="1404" t="s">
        <v>5226</v>
      </c>
      <c r="F3833" s="1405" t="s">
        <v>5300</v>
      </c>
      <c r="G3833" s="1403" t="s">
        <v>15138</v>
      </c>
      <c r="H3833" s="1406" t="s">
        <v>1061</v>
      </c>
    </row>
    <row r="3834" spans="1:8" x14ac:dyDescent="0.2">
      <c r="A3834" s="7"/>
      <c r="B3834" s="1407" t="str">
        <f t="shared" si="59"/>
        <v>Miguel Castro</v>
      </c>
      <c r="C3834" s="1402" t="s">
        <v>6729</v>
      </c>
      <c r="D3834" s="1403" t="s">
        <v>3089</v>
      </c>
      <c r="E3834" s="1404" t="s">
        <v>5227</v>
      </c>
      <c r="F3834" s="1405" t="s">
        <v>5300</v>
      </c>
      <c r="G3834" s="1403" t="s">
        <v>5314</v>
      </c>
      <c r="H3834" s="1406" t="s">
        <v>1061</v>
      </c>
    </row>
    <row r="3835" spans="1:8" x14ac:dyDescent="0.2">
      <c r="A3835" s="7"/>
      <c r="B3835" s="1407" t="str">
        <f t="shared" si="59"/>
        <v>Miguel Faria</v>
      </c>
      <c r="C3835" s="1402" t="s">
        <v>6731</v>
      </c>
      <c r="D3835" s="1403" t="s">
        <v>3089</v>
      </c>
      <c r="E3835" s="1404" t="s">
        <v>5228</v>
      </c>
      <c r="F3835" s="1405" t="s">
        <v>5300</v>
      </c>
      <c r="G3835" s="1403" t="s">
        <v>11332</v>
      </c>
      <c r="H3835" s="1406" t="s">
        <v>1061</v>
      </c>
    </row>
    <row r="3836" spans="1:8" x14ac:dyDescent="0.2">
      <c r="A3836" s="7"/>
      <c r="B3836" s="1407" t="str">
        <f t="shared" si="59"/>
        <v>Norberto Miguel</v>
      </c>
      <c r="C3836" s="1402" t="s">
        <v>3089</v>
      </c>
      <c r="D3836" s="1403" t="s">
        <v>3386</v>
      </c>
      <c r="E3836" s="1404" t="s">
        <v>5229</v>
      </c>
      <c r="F3836" s="1405" t="s">
        <v>5300</v>
      </c>
      <c r="G3836" s="1403" t="s">
        <v>13477</v>
      </c>
      <c r="H3836" s="1406" t="s">
        <v>1061</v>
      </c>
    </row>
    <row r="3837" spans="1:8" x14ac:dyDescent="0.2">
      <c r="A3837" s="7"/>
      <c r="B3837" s="1407" t="str">
        <f t="shared" si="59"/>
        <v>Nuno Noronha</v>
      </c>
      <c r="C3837" s="1402" t="s">
        <v>6732</v>
      </c>
      <c r="D3837" s="1403" t="s">
        <v>3093</v>
      </c>
      <c r="E3837" s="1404" t="s">
        <v>5230</v>
      </c>
      <c r="F3837" s="1405" t="s">
        <v>5300</v>
      </c>
      <c r="G3837" s="1403" t="s">
        <v>5314</v>
      </c>
      <c r="H3837" s="1406" t="s">
        <v>1061</v>
      </c>
    </row>
    <row r="3838" spans="1:8" x14ac:dyDescent="0.2">
      <c r="A3838" s="7"/>
      <c r="B3838" s="1407" t="str">
        <f t="shared" si="59"/>
        <v>Paulo Laranjeira</v>
      </c>
      <c r="C3838" s="1402" t="s">
        <v>6733</v>
      </c>
      <c r="D3838" s="1403" t="s">
        <v>3246</v>
      </c>
      <c r="E3838" s="1404" t="s">
        <v>5231</v>
      </c>
      <c r="F3838" s="1405" t="s">
        <v>5300</v>
      </c>
      <c r="G3838" s="1403" t="s">
        <v>11332</v>
      </c>
      <c r="H3838" s="1406" t="s">
        <v>1061</v>
      </c>
    </row>
    <row r="3839" spans="1:8" x14ac:dyDescent="0.2">
      <c r="A3839" s="7"/>
      <c r="B3839" s="1407" t="str">
        <f t="shared" si="59"/>
        <v>Paulo Português</v>
      </c>
      <c r="C3839" s="1402" t="s">
        <v>6734</v>
      </c>
      <c r="D3839" s="1403" t="s">
        <v>3246</v>
      </c>
      <c r="E3839" s="1404" t="s">
        <v>14061</v>
      </c>
      <c r="F3839" s="1405" t="s">
        <v>5300</v>
      </c>
      <c r="G3839" s="1403" t="s">
        <v>14359</v>
      </c>
      <c r="H3839" s="1406" t="s">
        <v>1061</v>
      </c>
    </row>
    <row r="3840" spans="1:8" x14ac:dyDescent="0.2">
      <c r="A3840" s="7"/>
      <c r="B3840" s="1407" t="str">
        <f t="shared" si="59"/>
        <v>Paulo Sena</v>
      </c>
      <c r="C3840" s="1402" t="s">
        <v>6735</v>
      </c>
      <c r="D3840" s="1403" t="s">
        <v>3246</v>
      </c>
      <c r="E3840" s="1404" t="s">
        <v>5232</v>
      </c>
      <c r="F3840" s="1405" t="s">
        <v>5300</v>
      </c>
      <c r="G3840" s="1403" t="s">
        <v>15138</v>
      </c>
      <c r="H3840" s="1406" t="s">
        <v>1061</v>
      </c>
    </row>
    <row r="3841" spans="1:8" x14ac:dyDescent="0.2">
      <c r="A3841" s="7"/>
      <c r="B3841" s="1407" t="str">
        <f t="shared" si="59"/>
        <v>Ricardo Pavão</v>
      </c>
      <c r="C3841" s="1402" t="s">
        <v>6736</v>
      </c>
      <c r="D3841" s="1403" t="s">
        <v>3137</v>
      </c>
      <c r="E3841" s="1404" t="s">
        <v>5233</v>
      </c>
      <c r="F3841" s="1405" t="s">
        <v>5299</v>
      </c>
      <c r="G3841" s="1403" t="s">
        <v>5314</v>
      </c>
      <c r="H3841" s="1406" t="s">
        <v>1061</v>
      </c>
    </row>
    <row r="3842" spans="1:8" x14ac:dyDescent="0.2">
      <c r="A3842" s="7"/>
      <c r="B3842" s="1407" t="str">
        <f t="shared" si="59"/>
        <v>Ruben Português</v>
      </c>
      <c r="C3842" s="1402" t="s">
        <v>6734</v>
      </c>
      <c r="D3842" s="1403" t="s">
        <v>3055</v>
      </c>
      <c r="E3842" s="1404" t="s">
        <v>5234</v>
      </c>
      <c r="F3842" s="1405" t="s">
        <v>5299</v>
      </c>
      <c r="G3842" s="1403" t="s">
        <v>5314</v>
      </c>
      <c r="H3842" s="1406" t="s">
        <v>1061</v>
      </c>
    </row>
    <row r="3843" spans="1:8" x14ac:dyDescent="0.2">
      <c r="A3843" s="7"/>
      <c r="B3843" s="1407" t="str">
        <f t="shared" si="59"/>
        <v>Sérgio Ramos</v>
      </c>
      <c r="C3843" s="1402" t="s">
        <v>6737</v>
      </c>
      <c r="D3843" s="1403" t="s">
        <v>3047</v>
      </c>
      <c r="E3843" s="1404" t="s">
        <v>5235</v>
      </c>
      <c r="F3843" s="1405" t="s">
        <v>5299</v>
      </c>
      <c r="G3843" s="1403" t="s">
        <v>2749</v>
      </c>
      <c r="H3843" s="1406" t="s">
        <v>1061</v>
      </c>
    </row>
    <row r="3844" spans="1:8" x14ac:dyDescent="0.2">
      <c r="A3844" s="7"/>
      <c r="B3844" s="1407" t="str">
        <f t="shared" si="59"/>
        <v>Ricardo José</v>
      </c>
      <c r="C3844" s="1402" t="s">
        <v>3232</v>
      </c>
      <c r="D3844" s="1403" t="s">
        <v>3137</v>
      </c>
      <c r="E3844" s="1404" t="s">
        <v>5236</v>
      </c>
      <c r="F3844" s="1405" t="s">
        <v>5299</v>
      </c>
      <c r="G3844" s="1403" t="s">
        <v>2754</v>
      </c>
      <c r="H3844" s="1406" t="s">
        <v>1061</v>
      </c>
    </row>
    <row r="3845" spans="1:8" x14ac:dyDescent="0.2">
      <c r="A3845" s="7"/>
      <c r="B3845" s="1407" t="str">
        <f t="shared" si="59"/>
        <v>Luís Filipe Horta</v>
      </c>
      <c r="C3845" s="1402" t="s">
        <v>6738</v>
      </c>
      <c r="D3845" s="1403" t="s">
        <v>3535</v>
      </c>
      <c r="E3845" s="1404" t="s">
        <v>5237</v>
      </c>
      <c r="F3845" s="1405" t="s">
        <v>5300</v>
      </c>
      <c r="G3845" s="1403" t="s">
        <v>14359</v>
      </c>
      <c r="H3845" s="1406" t="s">
        <v>1061</v>
      </c>
    </row>
    <row r="3846" spans="1:8" x14ac:dyDescent="0.2">
      <c r="A3846" s="7"/>
      <c r="B3846" s="1407" t="str">
        <f t="shared" si="59"/>
        <v>José Freitas</v>
      </c>
      <c r="C3846" s="1402" t="s">
        <v>5816</v>
      </c>
      <c r="D3846" s="1403" t="s">
        <v>3232</v>
      </c>
      <c r="E3846" s="1404" t="s">
        <v>5238</v>
      </c>
      <c r="F3846" s="1405" t="s">
        <v>5300</v>
      </c>
      <c r="G3846" s="1403" t="s">
        <v>14359</v>
      </c>
      <c r="H3846" s="1406" t="s">
        <v>1061</v>
      </c>
    </row>
    <row r="3847" spans="1:8" x14ac:dyDescent="0.2">
      <c r="A3847" s="7"/>
      <c r="B3847" s="1407" t="str">
        <f t="shared" ref="B3847:B3904" si="60">TRIM(CONCATENATE(D3847," ",C3847))</f>
        <v>José Carlos Marques</v>
      </c>
      <c r="C3847" s="1402" t="s">
        <v>5776</v>
      </c>
      <c r="D3847" s="1403" t="s">
        <v>3503</v>
      </c>
      <c r="E3847" s="1404" t="s">
        <v>7617</v>
      </c>
      <c r="F3847" s="1405" t="s">
        <v>5299</v>
      </c>
      <c r="G3847" s="1403" t="s">
        <v>14359</v>
      </c>
      <c r="H3847" s="1406" t="s">
        <v>1061</v>
      </c>
    </row>
    <row r="3848" spans="1:8" x14ac:dyDescent="0.2">
      <c r="A3848" s="7"/>
      <c r="B3848" s="1407" t="str">
        <f t="shared" si="60"/>
        <v>Gil Afonso</v>
      </c>
      <c r="C3848" s="1402" t="s">
        <v>3274</v>
      </c>
      <c r="D3848" s="1403" t="s">
        <v>3383</v>
      </c>
      <c r="E3848" s="1404" t="s">
        <v>5239</v>
      </c>
      <c r="F3848" s="1405" t="s">
        <v>5299</v>
      </c>
      <c r="G3848" s="1403" t="s">
        <v>5314</v>
      </c>
      <c r="H3848" s="1406" t="s">
        <v>1061</v>
      </c>
    </row>
    <row r="3849" spans="1:8" x14ac:dyDescent="0.2">
      <c r="A3849" s="7"/>
      <c r="B3849" s="1407" t="str">
        <f t="shared" si="60"/>
        <v>Nelson Afonso</v>
      </c>
      <c r="C3849" s="1402" t="s">
        <v>3274</v>
      </c>
      <c r="D3849" s="1403" t="s">
        <v>5533</v>
      </c>
      <c r="E3849" s="1404" t="s">
        <v>5240</v>
      </c>
      <c r="F3849" s="1405" t="s">
        <v>5300</v>
      </c>
      <c r="G3849" s="1403" t="s">
        <v>14359</v>
      </c>
      <c r="H3849" s="1406" t="s">
        <v>1061</v>
      </c>
    </row>
    <row r="3850" spans="1:8" x14ac:dyDescent="0.2">
      <c r="A3850" s="7"/>
      <c r="B3850" s="1407" t="str">
        <f t="shared" si="60"/>
        <v>Ruben Monteiro</v>
      </c>
      <c r="C3850" s="1402" t="s">
        <v>8024</v>
      </c>
      <c r="D3850" s="1403" t="s">
        <v>3055</v>
      </c>
      <c r="E3850" s="1404" t="s">
        <v>10971</v>
      </c>
      <c r="F3850" s="1405" t="s">
        <v>5299</v>
      </c>
      <c r="G3850" s="1403" t="s">
        <v>5314</v>
      </c>
      <c r="H3850" s="1406" t="s">
        <v>1061</v>
      </c>
    </row>
    <row r="3851" spans="1:8" x14ac:dyDescent="0.2">
      <c r="A3851" s="7"/>
      <c r="B3851" s="1407" t="str">
        <f t="shared" si="60"/>
        <v>Manuel Santos</v>
      </c>
      <c r="C3851" s="1402" t="s">
        <v>6730</v>
      </c>
      <c r="D3851" s="1403" t="s">
        <v>3171</v>
      </c>
      <c r="E3851" s="1404" t="s">
        <v>5241</v>
      </c>
      <c r="F3851" s="1405" t="s">
        <v>5300</v>
      </c>
      <c r="G3851" s="1403" t="s">
        <v>13477</v>
      </c>
      <c r="H3851" s="1406" t="s">
        <v>1061</v>
      </c>
    </row>
    <row r="3852" spans="1:8" x14ac:dyDescent="0.2">
      <c r="A3852" s="7"/>
      <c r="B3852" s="1407" t="str">
        <f t="shared" si="60"/>
        <v>Hugo Carvalho</v>
      </c>
      <c r="C3852" s="1402" t="s">
        <v>6739</v>
      </c>
      <c r="D3852" s="1403" t="s">
        <v>3142</v>
      </c>
      <c r="E3852" s="1404" t="s">
        <v>5242</v>
      </c>
      <c r="F3852" s="1405" t="s">
        <v>5299</v>
      </c>
      <c r="G3852" s="1403" t="s">
        <v>11332</v>
      </c>
      <c r="H3852" s="1406" t="s">
        <v>1061</v>
      </c>
    </row>
    <row r="3853" spans="1:8" x14ac:dyDescent="0.2">
      <c r="A3853" s="7"/>
      <c r="B3853" s="1407" t="str">
        <f t="shared" si="60"/>
        <v>Miguel Amaro</v>
      </c>
      <c r="C3853" s="1402" t="s">
        <v>6740</v>
      </c>
      <c r="D3853" s="1403" t="s">
        <v>3089</v>
      </c>
      <c r="E3853" s="1404" t="s">
        <v>5243</v>
      </c>
      <c r="F3853" s="1405" t="s">
        <v>5300</v>
      </c>
      <c r="G3853" s="1403" t="s">
        <v>5314</v>
      </c>
      <c r="H3853" s="1406" t="s">
        <v>1061</v>
      </c>
    </row>
    <row r="3854" spans="1:8" x14ac:dyDescent="0.2">
      <c r="A3854" s="7"/>
      <c r="B3854" s="1407" t="str">
        <f t="shared" si="60"/>
        <v>Vasco Guimaraes</v>
      </c>
      <c r="C3854" s="1402" t="s">
        <v>6742</v>
      </c>
      <c r="D3854" s="1403" t="s">
        <v>3033</v>
      </c>
      <c r="E3854" s="1404" t="s">
        <v>5244</v>
      </c>
      <c r="F3854" s="1405" t="s">
        <v>5299</v>
      </c>
      <c r="G3854" s="1403" t="s">
        <v>5317</v>
      </c>
      <c r="H3854" s="1406" t="s">
        <v>1061</v>
      </c>
    </row>
    <row r="3855" spans="1:8" x14ac:dyDescent="0.2">
      <c r="A3855" s="7"/>
      <c r="B3855" s="1407" t="str">
        <f t="shared" si="60"/>
        <v>Sérgio Loureiro</v>
      </c>
      <c r="C3855" s="1402" t="s">
        <v>6743</v>
      </c>
      <c r="D3855" s="1403" t="s">
        <v>3047</v>
      </c>
      <c r="E3855" s="1404" t="s">
        <v>5245</v>
      </c>
      <c r="F3855" s="1405" t="s">
        <v>5299</v>
      </c>
      <c r="G3855" s="1403" t="s">
        <v>2776</v>
      </c>
      <c r="H3855" s="1406" t="s">
        <v>1061</v>
      </c>
    </row>
    <row r="3856" spans="1:8" x14ac:dyDescent="0.2">
      <c r="A3856" s="7"/>
      <c r="B3856" s="1407" t="str">
        <f t="shared" si="60"/>
        <v>Filipe Maia</v>
      </c>
      <c r="C3856" s="1402" t="s">
        <v>6745</v>
      </c>
      <c r="D3856" s="1403" t="s">
        <v>3380</v>
      </c>
      <c r="E3856" s="1404" t="s">
        <v>5246</v>
      </c>
      <c r="F3856" s="1405" t="s">
        <v>5300</v>
      </c>
      <c r="G3856" s="1403" t="s">
        <v>11332</v>
      </c>
      <c r="H3856" s="1406" t="s">
        <v>1061</v>
      </c>
    </row>
    <row r="3857" spans="1:8" x14ac:dyDescent="0.2">
      <c r="A3857" s="7"/>
      <c r="B3857" s="1407" t="str">
        <f t="shared" si="60"/>
        <v>João Matos Dias</v>
      </c>
      <c r="C3857" s="1402" t="s">
        <v>6747</v>
      </c>
      <c r="D3857" s="1403" t="s">
        <v>5552</v>
      </c>
      <c r="E3857" s="1404" t="s">
        <v>5247</v>
      </c>
      <c r="F3857" s="1405" t="s">
        <v>5300</v>
      </c>
      <c r="G3857" s="1403" t="s">
        <v>14359</v>
      </c>
      <c r="H3857" s="1406" t="s">
        <v>1061</v>
      </c>
    </row>
    <row r="3858" spans="1:8" x14ac:dyDescent="0.2">
      <c r="A3858" s="7"/>
      <c r="B3858" s="1407" t="str">
        <f t="shared" si="60"/>
        <v>Paulo Gouveia</v>
      </c>
      <c r="C3858" s="1402" t="s">
        <v>6748</v>
      </c>
      <c r="D3858" s="1403" t="s">
        <v>3246</v>
      </c>
      <c r="E3858" s="1404" t="s">
        <v>5248</v>
      </c>
      <c r="F3858" s="1405" t="s">
        <v>5299</v>
      </c>
      <c r="G3858" s="1403" t="s">
        <v>14359</v>
      </c>
      <c r="H3858" s="1406" t="s">
        <v>1061</v>
      </c>
    </row>
    <row r="3859" spans="1:8" x14ac:dyDescent="0.2">
      <c r="A3859" s="7"/>
      <c r="B3859" s="1407" t="str">
        <f t="shared" si="60"/>
        <v>Ricardo Campos</v>
      </c>
      <c r="C3859" s="1402" t="s">
        <v>6749</v>
      </c>
      <c r="D3859" s="1403" t="s">
        <v>3137</v>
      </c>
      <c r="E3859" s="1404" t="s">
        <v>5249</v>
      </c>
      <c r="F3859" s="1405" t="s">
        <v>5299</v>
      </c>
      <c r="G3859" s="1403" t="s">
        <v>13597</v>
      </c>
      <c r="H3859" s="1406" t="s">
        <v>1061</v>
      </c>
    </row>
    <row r="3860" spans="1:8" x14ac:dyDescent="0.2">
      <c r="A3860" s="7"/>
      <c r="B3860" s="1407" t="str">
        <f t="shared" si="60"/>
        <v>Jorge Silva</v>
      </c>
      <c r="C3860" s="1402" t="s">
        <v>6741</v>
      </c>
      <c r="D3860" s="1403" t="s">
        <v>7312</v>
      </c>
      <c r="E3860" s="1404" t="s">
        <v>7618</v>
      </c>
      <c r="F3860" s="1405" t="s">
        <v>5300</v>
      </c>
      <c r="G3860" s="1403" t="s">
        <v>15138</v>
      </c>
      <c r="H3860" s="1406" t="s">
        <v>1061</v>
      </c>
    </row>
    <row r="3861" spans="1:8" x14ac:dyDescent="0.2">
      <c r="A3861" s="7"/>
      <c r="B3861" s="1407" t="str">
        <f t="shared" si="60"/>
        <v>Abel Rosa</v>
      </c>
      <c r="C3861" s="1402" t="s">
        <v>3658</v>
      </c>
      <c r="D3861" s="1403" t="s">
        <v>3573</v>
      </c>
      <c r="E3861" s="1404" t="s">
        <v>5250</v>
      </c>
      <c r="F3861" s="1405" t="s">
        <v>5300</v>
      </c>
      <c r="G3861" s="1403" t="s">
        <v>14359</v>
      </c>
      <c r="H3861" s="1406" t="s">
        <v>1061</v>
      </c>
    </row>
    <row r="3862" spans="1:8" x14ac:dyDescent="0.2">
      <c r="A3862" s="7"/>
      <c r="B3862" s="1407" t="str">
        <f t="shared" si="60"/>
        <v>Nuno Reis</v>
      </c>
      <c r="C3862" s="1402" t="s">
        <v>6744</v>
      </c>
      <c r="D3862" s="1403" t="s">
        <v>3093</v>
      </c>
      <c r="E3862" s="1404" t="s">
        <v>5251</v>
      </c>
      <c r="F3862" s="1405" t="s">
        <v>5300</v>
      </c>
      <c r="G3862" s="1403" t="s">
        <v>14359</v>
      </c>
      <c r="H3862" s="1406" t="s">
        <v>1061</v>
      </c>
    </row>
    <row r="3863" spans="1:8" x14ac:dyDescent="0.2">
      <c r="A3863" s="7"/>
      <c r="B3863" s="1407" t="str">
        <f t="shared" si="60"/>
        <v>Diogo Pereira</v>
      </c>
      <c r="C3863" s="1402" t="s">
        <v>5830</v>
      </c>
      <c r="D3863" s="1403" t="s">
        <v>3221</v>
      </c>
      <c r="E3863" s="1404" t="s">
        <v>5252</v>
      </c>
      <c r="F3863" s="1405" t="s">
        <v>5299</v>
      </c>
      <c r="G3863" s="1403" t="s">
        <v>13597</v>
      </c>
      <c r="H3863" s="1406" t="s">
        <v>1061</v>
      </c>
    </row>
    <row r="3864" spans="1:8" x14ac:dyDescent="0.2">
      <c r="A3864" s="7"/>
      <c r="B3864" s="1407" t="str">
        <f t="shared" si="60"/>
        <v>André Fernandes</v>
      </c>
      <c r="C3864" s="1402" t="s">
        <v>6750</v>
      </c>
      <c r="D3864" s="1403" t="s">
        <v>3175</v>
      </c>
      <c r="E3864" s="1404" t="s">
        <v>7148</v>
      </c>
      <c r="F3864" s="1405" t="s">
        <v>5299</v>
      </c>
      <c r="G3864" s="1403" t="s">
        <v>15138</v>
      </c>
      <c r="H3864" s="1406" t="s">
        <v>1061</v>
      </c>
    </row>
    <row r="3865" spans="1:8" x14ac:dyDescent="0.2">
      <c r="A3865" s="7"/>
      <c r="B3865" s="1407" t="str">
        <f t="shared" si="60"/>
        <v>Nélson Leitão</v>
      </c>
      <c r="C3865" s="1402" t="s">
        <v>7168</v>
      </c>
      <c r="D3865" s="1403" t="s">
        <v>7030</v>
      </c>
      <c r="E3865" s="1404" t="s">
        <v>7149</v>
      </c>
      <c r="F3865" s="1405" t="s">
        <v>5300</v>
      </c>
      <c r="G3865" s="1403" t="s">
        <v>14359</v>
      </c>
      <c r="H3865" s="1406" t="s">
        <v>1061</v>
      </c>
    </row>
    <row r="3866" spans="1:8" x14ac:dyDescent="0.2">
      <c r="A3866" s="7"/>
      <c r="B3866" s="1407" t="str">
        <f t="shared" si="60"/>
        <v>Rúben Paleta</v>
      </c>
      <c r="C3866" s="1402" t="s">
        <v>6751</v>
      </c>
      <c r="D3866" s="1403" t="s">
        <v>7031</v>
      </c>
      <c r="E3866" s="1404" t="s">
        <v>7150</v>
      </c>
      <c r="F3866" s="1405" t="s">
        <v>13210</v>
      </c>
      <c r="G3866" s="1403" t="s">
        <v>14359</v>
      </c>
      <c r="H3866" s="1406" t="s">
        <v>1061</v>
      </c>
    </row>
    <row r="3867" spans="1:8" x14ac:dyDescent="0.2">
      <c r="A3867" s="7"/>
      <c r="B3867" s="1407" t="str">
        <f t="shared" si="60"/>
        <v>Luís Miguel Silva</v>
      </c>
      <c r="C3867" s="1402" t="s">
        <v>6741</v>
      </c>
      <c r="D3867" s="1403" t="s">
        <v>7313</v>
      </c>
      <c r="E3867" s="1404" t="s">
        <v>7151</v>
      </c>
      <c r="F3867" s="1405" t="s">
        <v>5299</v>
      </c>
      <c r="G3867" s="1403" t="s">
        <v>14359</v>
      </c>
      <c r="H3867" s="1406" t="s">
        <v>1061</v>
      </c>
    </row>
    <row r="3868" spans="1:8" x14ac:dyDescent="0.2">
      <c r="A3868" s="7"/>
      <c r="B3868" s="1407" t="str">
        <f t="shared" si="60"/>
        <v>Daniel Dias</v>
      </c>
      <c r="C3868" s="1402" t="s">
        <v>6747</v>
      </c>
      <c r="D3868" s="1403" t="s">
        <v>3243</v>
      </c>
      <c r="E3868" s="1404" t="s">
        <v>15482</v>
      </c>
      <c r="F3868" s="1405" t="s">
        <v>1563</v>
      </c>
      <c r="G3868" s="1403" t="s">
        <v>10278</v>
      </c>
      <c r="H3868" s="1406" t="s">
        <v>1061</v>
      </c>
    </row>
    <row r="3869" spans="1:8" x14ac:dyDescent="0.2">
      <c r="A3869" s="7"/>
      <c r="B3869" s="1407" t="str">
        <f t="shared" si="60"/>
        <v>Luís Abreu</v>
      </c>
      <c r="C3869" s="1402" t="s">
        <v>6752</v>
      </c>
      <c r="D3869" s="1403" t="s">
        <v>5587</v>
      </c>
      <c r="E3869" s="1404" t="s">
        <v>7152</v>
      </c>
      <c r="F3869" s="1405" t="s">
        <v>5300</v>
      </c>
      <c r="G3869" s="1403" t="s">
        <v>15138</v>
      </c>
      <c r="H3869" s="1406" t="s">
        <v>1061</v>
      </c>
    </row>
    <row r="3870" spans="1:8" x14ac:dyDescent="0.2">
      <c r="A3870" s="7"/>
      <c r="B3870" s="1407" t="str">
        <f t="shared" si="60"/>
        <v>Nuno Henriques</v>
      </c>
      <c r="C3870" s="1402" t="s">
        <v>6753</v>
      </c>
      <c r="D3870" s="1403" t="s">
        <v>3093</v>
      </c>
      <c r="E3870" s="1404" t="s">
        <v>7153</v>
      </c>
      <c r="F3870" s="1405" t="s">
        <v>5299</v>
      </c>
      <c r="G3870" s="1403" t="s">
        <v>15138</v>
      </c>
      <c r="H3870" s="1406" t="s">
        <v>1061</v>
      </c>
    </row>
    <row r="3871" spans="1:8" x14ac:dyDescent="0.2">
      <c r="A3871" s="7"/>
      <c r="B3871" s="1407" t="str">
        <f t="shared" si="60"/>
        <v>Vasco Henriques</v>
      </c>
      <c r="C3871" s="1402" t="s">
        <v>6753</v>
      </c>
      <c r="D3871" s="1403" t="s">
        <v>3033</v>
      </c>
      <c r="E3871" s="1404" t="s">
        <v>7154</v>
      </c>
      <c r="F3871" s="1405" t="s">
        <v>5299</v>
      </c>
      <c r="G3871" s="1403" t="s">
        <v>15138</v>
      </c>
      <c r="H3871" s="1406" t="s">
        <v>1061</v>
      </c>
    </row>
    <row r="3872" spans="1:8" x14ac:dyDescent="0.2">
      <c r="A3872" s="7"/>
      <c r="B3872" s="1407" t="str">
        <f t="shared" si="60"/>
        <v>António Tavares</v>
      </c>
      <c r="C3872" s="1402" t="s">
        <v>7169</v>
      </c>
      <c r="D3872" s="1403" t="s">
        <v>7173</v>
      </c>
      <c r="E3872" s="1404" t="s">
        <v>7181</v>
      </c>
      <c r="F3872" s="1405" t="s">
        <v>5299</v>
      </c>
      <c r="G3872" s="1403" t="s">
        <v>14359</v>
      </c>
      <c r="H3872" s="1406" t="s">
        <v>1061</v>
      </c>
    </row>
    <row r="3873" spans="1:8" x14ac:dyDescent="0.2">
      <c r="A3873" s="7"/>
      <c r="B3873" s="1407" t="str">
        <f t="shared" si="60"/>
        <v>Tiago Sousa</v>
      </c>
      <c r="C3873" s="1402" t="s">
        <v>7170</v>
      </c>
      <c r="D3873" s="1403" t="s">
        <v>7029</v>
      </c>
      <c r="E3873" s="1404" t="s">
        <v>7182</v>
      </c>
      <c r="F3873" s="1405" t="s">
        <v>5299</v>
      </c>
      <c r="G3873" s="1403" t="s">
        <v>11332</v>
      </c>
      <c r="H3873" s="1406" t="s">
        <v>1061</v>
      </c>
    </row>
    <row r="3874" spans="1:8" x14ac:dyDescent="0.2">
      <c r="A3874" s="7"/>
      <c r="B3874" s="1407" t="str">
        <f t="shared" si="60"/>
        <v>Luís Filipe Silva</v>
      </c>
      <c r="C3874" s="1402" t="s">
        <v>6741</v>
      </c>
      <c r="D3874" s="1403" t="s">
        <v>3535</v>
      </c>
      <c r="E3874" s="1404" t="s">
        <v>7619</v>
      </c>
      <c r="F3874" s="1405" t="s">
        <v>5300</v>
      </c>
      <c r="G3874" s="1403" t="s">
        <v>15138</v>
      </c>
      <c r="H3874" s="1406" t="s">
        <v>1061</v>
      </c>
    </row>
    <row r="3875" spans="1:8" x14ac:dyDescent="0.2">
      <c r="A3875" s="7"/>
      <c r="B3875" s="1407" t="str">
        <f t="shared" si="60"/>
        <v>João Feiteira</v>
      </c>
      <c r="C3875" s="1402" t="s">
        <v>7450</v>
      </c>
      <c r="D3875" s="1403" t="s">
        <v>3427</v>
      </c>
      <c r="E3875" s="1404" t="s">
        <v>7620</v>
      </c>
      <c r="F3875" s="1405" t="s">
        <v>5300</v>
      </c>
      <c r="G3875" s="1403" t="s">
        <v>14359</v>
      </c>
      <c r="H3875" s="1406" t="s">
        <v>1061</v>
      </c>
    </row>
    <row r="3876" spans="1:8" x14ac:dyDescent="0.2">
      <c r="A3876" s="7"/>
      <c r="B3876" s="1407" t="str">
        <f t="shared" si="60"/>
        <v>João Matias</v>
      </c>
      <c r="C3876" s="1402" t="s">
        <v>5597</v>
      </c>
      <c r="D3876" s="1403" t="s">
        <v>3427</v>
      </c>
      <c r="E3876" s="1404" t="s">
        <v>7621</v>
      </c>
      <c r="F3876" s="1405" t="s">
        <v>5299</v>
      </c>
      <c r="G3876" s="1403" t="s">
        <v>13597</v>
      </c>
      <c r="H3876" s="1406" t="s">
        <v>1061</v>
      </c>
    </row>
    <row r="3877" spans="1:8" x14ac:dyDescent="0.2">
      <c r="A3877" s="7"/>
      <c r="B3877" s="1407" t="str">
        <f t="shared" si="60"/>
        <v>Francisco Mendes</v>
      </c>
      <c r="C3877" s="1402" t="s">
        <v>7451</v>
      </c>
      <c r="D3877" s="1403" t="s">
        <v>3366</v>
      </c>
      <c r="E3877" s="1404" t="s">
        <v>7622</v>
      </c>
      <c r="F3877" s="1405" t="s">
        <v>5299</v>
      </c>
      <c r="G3877" s="1403" t="s">
        <v>14359</v>
      </c>
      <c r="H3877" s="1406" t="s">
        <v>1061</v>
      </c>
    </row>
    <row r="3878" spans="1:8" x14ac:dyDescent="0.2">
      <c r="A3878" s="7"/>
      <c r="B3878" s="1407" t="str">
        <f t="shared" si="60"/>
        <v>Rui Mendes</v>
      </c>
      <c r="C3878" s="1402" t="s">
        <v>7451</v>
      </c>
      <c r="D3878" s="1403" t="s">
        <v>7321</v>
      </c>
      <c r="E3878" s="1404" t="s">
        <v>7623</v>
      </c>
      <c r="F3878" s="1405" t="s">
        <v>5300</v>
      </c>
      <c r="G3878" s="1403" t="s">
        <v>14359</v>
      </c>
      <c r="H3878" s="1406" t="s">
        <v>1061</v>
      </c>
    </row>
    <row r="3879" spans="1:8" x14ac:dyDescent="0.2">
      <c r="A3879" s="7"/>
      <c r="B3879" s="1407" t="str">
        <f t="shared" si="60"/>
        <v>Rodrigo Eira</v>
      </c>
      <c r="C3879" s="1402" t="s">
        <v>7452</v>
      </c>
      <c r="D3879" s="1403" t="s">
        <v>5659</v>
      </c>
      <c r="E3879" s="1404" t="s">
        <v>7624</v>
      </c>
      <c r="F3879" s="1405" t="s">
        <v>5299</v>
      </c>
      <c r="G3879" s="1403" t="s">
        <v>14359</v>
      </c>
      <c r="H3879" s="1406" t="s">
        <v>1061</v>
      </c>
    </row>
    <row r="3880" spans="1:8" x14ac:dyDescent="0.2">
      <c r="A3880" s="7"/>
      <c r="B3880" s="1407" t="str">
        <f t="shared" si="60"/>
        <v>Gonçalo Vieira</v>
      </c>
      <c r="C3880" s="1402" t="s">
        <v>5809</v>
      </c>
      <c r="D3880" s="1403" t="s">
        <v>7478</v>
      </c>
      <c r="E3880" s="1404" t="s">
        <v>7625</v>
      </c>
      <c r="F3880" s="1405" t="s">
        <v>5299</v>
      </c>
      <c r="G3880" s="1403" t="s">
        <v>14359</v>
      </c>
      <c r="H3880" s="1406" t="s">
        <v>1061</v>
      </c>
    </row>
    <row r="3881" spans="1:8" x14ac:dyDescent="0.2">
      <c r="A3881" s="7"/>
      <c r="B3881" s="1407" t="str">
        <f t="shared" si="60"/>
        <v>Matilde Henriques</v>
      </c>
      <c r="C3881" s="1402" t="s">
        <v>6753</v>
      </c>
      <c r="D3881" s="1403" t="s">
        <v>7330</v>
      </c>
      <c r="E3881" s="1404" t="s">
        <v>7626</v>
      </c>
      <c r="F3881" s="1405" t="s">
        <v>13210</v>
      </c>
      <c r="G3881" s="1403" t="s">
        <v>14359</v>
      </c>
      <c r="H3881" s="1406" t="s">
        <v>1061</v>
      </c>
    </row>
    <row r="3882" spans="1:8" x14ac:dyDescent="0.2">
      <c r="A3882" s="7"/>
      <c r="B3882" s="1407" t="str">
        <f t="shared" si="60"/>
        <v>Guilherme Mendonça</v>
      </c>
      <c r="C3882" s="1402" t="s">
        <v>7453</v>
      </c>
      <c r="D3882" s="1403" t="s">
        <v>5517</v>
      </c>
      <c r="E3882" s="1404" t="s">
        <v>7627</v>
      </c>
      <c r="F3882" s="1405" t="s">
        <v>5299</v>
      </c>
      <c r="G3882" s="1403" t="s">
        <v>14359</v>
      </c>
      <c r="H3882" s="1406" t="s">
        <v>1061</v>
      </c>
    </row>
    <row r="3883" spans="1:8" x14ac:dyDescent="0.2">
      <c r="A3883" s="7"/>
      <c r="B3883" s="1407" t="str">
        <f t="shared" si="60"/>
        <v>Rui Fonseca</v>
      </c>
      <c r="C3883" s="1402" t="s">
        <v>7454</v>
      </c>
      <c r="D3883" s="1403" t="s">
        <v>7321</v>
      </c>
      <c r="E3883" s="1404" t="s">
        <v>7628</v>
      </c>
      <c r="F3883" s="1405" t="s">
        <v>5299</v>
      </c>
      <c r="G3883" s="1403" t="s">
        <v>14359</v>
      </c>
      <c r="H3883" s="1406" t="s">
        <v>1061</v>
      </c>
    </row>
    <row r="3884" spans="1:8" x14ac:dyDescent="0.2">
      <c r="A3884" s="7"/>
      <c r="B3884" s="1407" t="str">
        <f t="shared" si="60"/>
        <v>Bernardo Cardoso</v>
      </c>
      <c r="C3884" s="1402" t="s">
        <v>7455</v>
      </c>
      <c r="D3884" s="1403" t="s">
        <v>3529</v>
      </c>
      <c r="E3884" s="1404" t="s">
        <v>7629</v>
      </c>
      <c r="F3884" s="1405" t="s">
        <v>5299</v>
      </c>
      <c r="G3884" s="1403" t="s">
        <v>10278</v>
      </c>
      <c r="H3884" s="1406" t="s">
        <v>1061</v>
      </c>
    </row>
    <row r="3885" spans="1:8" x14ac:dyDescent="0.2">
      <c r="A3885" s="7"/>
      <c r="B3885" s="1407" t="str">
        <f t="shared" si="60"/>
        <v>Bruno Abreu</v>
      </c>
      <c r="C3885" s="1402" t="s">
        <v>6752</v>
      </c>
      <c r="D3885" s="1403" t="s">
        <v>3168</v>
      </c>
      <c r="E3885" s="1404" t="s">
        <v>7630</v>
      </c>
      <c r="F3885" s="1405" t="s">
        <v>5299</v>
      </c>
      <c r="G3885" s="1403" t="s">
        <v>13597</v>
      </c>
      <c r="H3885" s="1406" t="s">
        <v>1061</v>
      </c>
    </row>
    <row r="3886" spans="1:8" x14ac:dyDescent="0.2">
      <c r="A3886" s="7"/>
      <c r="B3886" s="1407" t="str">
        <f t="shared" si="60"/>
        <v>Gil Amaro</v>
      </c>
      <c r="C3886" s="1402" t="s">
        <v>6740</v>
      </c>
      <c r="D3886" s="1403" t="s">
        <v>3383</v>
      </c>
      <c r="E3886" s="1404" t="s">
        <v>7631</v>
      </c>
      <c r="F3886" s="1405" t="s">
        <v>13210</v>
      </c>
      <c r="G3886" s="1403" t="s">
        <v>14359</v>
      </c>
      <c r="H3886" s="1406" t="s">
        <v>1061</v>
      </c>
    </row>
    <row r="3887" spans="1:8" x14ac:dyDescent="0.2">
      <c r="A3887" s="7"/>
      <c r="B3887" s="1407" t="str">
        <f t="shared" si="60"/>
        <v>Pedro Amaro</v>
      </c>
      <c r="C3887" s="1402" t="s">
        <v>6740</v>
      </c>
      <c r="D3887" s="1403" t="s">
        <v>5604</v>
      </c>
      <c r="E3887" s="1404" t="s">
        <v>7632</v>
      </c>
      <c r="F3887" s="1405" t="s">
        <v>13210</v>
      </c>
      <c r="G3887" s="1403" t="s">
        <v>14742</v>
      </c>
      <c r="H3887" s="1406" t="s">
        <v>1061</v>
      </c>
    </row>
    <row r="3888" spans="1:8" x14ac:dyDescent="0.2">
      <c r="A3888" s="7"/>
      <c r="B3888" s="1407" t="str">
        <f t="shared" si="60"/>
        <v>António Pires</v>
      </c>
      <c r="C3888" s="1402" t="s">
        <v>7804</v>
      </c>
      <c r="D3888" s="1403" t="s">
        <v>7173</v>
      </c>
      <c r="E3888" s="1404" t="s">
        <v>7838</v>
      </c>
      <c r="F3888" s="1405" t="s">
        <v>5300</v>
      </c>
      <c r="G3888" s="1403" t="s">
        <v>2766</v>
      </c>
      <c r="H3888" s="1406" t="s">
        <v>1061</v>
      </c>
    </row>
    <row r="3889" spans="1:8" x14ac:dyDescent="0.2">
      <c r="A3889" s="7"/>
      <c r="B3889" s="1407" t="str">
        <f t="shared" si="60"/>
        <v>Placido Carbonaro</v>
      </c>
      <c r="C3889" s="1402" t="s">
        <v>7439</v>
      </c>
      <c r="D3889" s="1403" t="s">
        <v>8296</v>
      </c>
      <c r="E3889" s="1404" t="s">
        <v>8535</v>
      </c>
      <c r="F3889" s="1405" t="s">
        <v>5299</v>
      </c>
      <c r="G3889" s="1403" t="s">
        <v>14359</v>
      </c>
      <c r="H3889" s="1406" t="s">
        <v>1061</v>
      </c>
    </row>
    <row r="3890" spans="1:8" x14ac:dyDescent="0.2">
      <c r="A3890" s="7"/>
      <c r="B3890" s="1407" t="str">
        <f t="shared" si="60"/>
        <v>Nuno Alves</v>
      </c>
      <c r="C3890" s="1402" t="s">
        <v>8174</v>
      </c>
      <c r="D3890" s="1403" t="s">
        <v>3093</v>
      </c>
      <c r="E3890" s="1404" t="s">
        <v>8536</v>
      </c>
      <c r="F3890" s="1405" t="s">
        <v>5299</v>
      </c>
      <c r="G3890" s="1403" t="s">
        <v>13597</v>
      </c>
      <c r="H3890" s="1406" t="s">
        <v>1061</v>
      </c>
    </row>
    <row r="3891" spans="1:8" x14ac:dyDescent="0.2">
      <c r="A3891" s="7"/>
      <c r="B3891" s="1407" t="str">
        <f t="shared" si="60"/>
        <v>Pedro Sampaio</v>
      </c>
      <c r="C3891" s="1402" t="s">
        <v>8175</v>
      </c>
      <c r="D3891" s="1403" t="s">
        <v>5604</v>
      </c>
      <c r="E3891" s="1404" t="s">
        <v>8537</v>
      </c>
      <c r="F3891" s="1405" t="s">
        <v>5300</v>
      </c>
      <c r="G3891" s="1403" t="s">
        <v>14359</v>
      </c>
      <c r="H3891" s="1406" t="s">
        <v>1061</v>
      </c>
    </row>
    <row r="3892" spans="1:8" x14ac:dyDescent="0.2">
      <c r="A3892" s="7"/>
      <c r="B3892" s="1407" t="str">
        <f t="shared" si="60"/>
        <v>Carlos Oleastro</v>
      </c>
      <c r="C3892" s="1402" t="s">
        <v>8176</v>
      </c>
      <c r="D3892" s="1403" t="s">
        <v>3008</v>
      </c>
      <c r="E3892" s="1404" t="s">
        <v>8538</v>
      </c>
      <c r="F3892" s="1405" t="s">
        <v>5300</v>
      </c>
      <c r="G3892" s="1403" t="s">
        <v>13597</v>
      </c>
      <c r="H3892" s="1406" t="s">
        <v>1061</v>
      </c>
    </row>
    <row r="3893" spans="1:8" x14ac:dyDescent="0.2">
      <c r="A3893" s="7"/>
      <c r="B3893" s="1407" t="str">
        <f t="shared" si="60"/>
        <v>Nuno Silva</v>
      </c>
      <c r="C3893" s="1402" t="s">
        <v>6741</v>
      </c>
      <c r="D3893" s="1403" t="s">
        <v>3093</v>
      </c>
      <c r="E3893" s="1404" t="s">
        <v>8539</v>
      </c>
      <c r="F3893" s="1405" t="s">
        <v>5300</v>
      </c>
      <c r="G3893" s="1403" t="s">
        <v>11332</v>
      </c>
      <c r="H3893" s="1406" t="s">
        <v>1061</v>
      </c>
    </row>
    <row r="3894" spans="1:8" x14ac:dyDescent="0.2">
      <c r="A3894" s="7"/>
      <c r="B3894" s="1407" t="str">
        <f t="shared" si="60"/>
        <v>Luís Neves</v>
      </c>
      <c r="C3894" s="1402" t="s">
        <v>8177</v>
      </c>
      <c r="D3894" s="1403" t="s">
        <v>5587</v>
      </c>
      <c r="E3894" s="1404" t="s">
        <v>8540</v>
      </c>
      <c r="F3894" s="1405" t="s">
        <v>5300</v>
      </c>
      <c r="G3894" s="1403" t="s">
        <v>13597</v>
      </c>
      <c r="H3894" s="1406" t="s">
        <v>1061</v>
      </c>
    </row>
    <row r="3895" spans="1:8" x14ac:dyDescent="0.2">
      <c r="A3895" s="7"/>
      <c r="B3895" s="1407" t="str">
        <f t="shared" si="60"/>
        <v>João Pascoal</v>
      </c>
      <c r="C3895" s="1402" t="s">
        <v>8178</v>
      </c>
      <c r="D3895" s="1403" t="s">
        <v>3427</v>
      </c>
      <c r="E3895" s="1404" t="s">
        <v>8541</v>
      </c>
      <c r="F3895" s="1405" t="s">
        <v>5300</v>
      </c>
      <c r="G3895" s="1403" t="s">
        <v>10277</v>
      </c>
      <c r="H3895" s="1406" t="s">
        <v>1061</v>
      </c>
    </row>
    <row r="3896" spans="1:8" x14ac:dyDescent="0.2">
      <c r="A3896" s="7"/>
      <c r="B3896" s="1407" t="str">
        <f t="shared" si="60"/>
        <v>André Almeida</v>
      </c>
      <c r="C3896" s="1402" t="s">
        <v>8179</v>
      </c>
      <c r="D3896" s="1403" t="s">
        <v>3175</v>
      </c>
      <c r="E3896" s="1404" t="s">
        <v>8542</v>
      </c>
      <c r="F3896" s="1405" t="s">
        <v>5299</v>
      </c>
      <c r="G3896" s="1403" t="s">
        <v>14359</v>
      </c>
      <c r="H3896" s="1406" t="s">
        <v>1061</v>
      </c>
    </row>
    <row r="3897" spans="1:8" x14ac:dyDescent="0.2">
      <c r="A3897" s="7"/>
      <c r="B3897" s="1407" t="str">
        <f t="shared" si="60"/>
        <v>José Trindade</v>
      </c>
      <c r="C3897" s="1402" t="s">
        <v>14062</v>
      </c>
      <c r="D3897" s="1403" t="s">
        <v>3232</v>
      </c>
      <c r="E3897" s="1404" t="s">
        <v>14063</v>
      </c>
      <c r="F3897" s="1405" t="s">
        <v>5299</v>
      </c>
      <c r="G3897" s="1403" t="s">
        <v>13597</v>
      </c>
      <c r="H3897" s="1406" t="s">
        <v>1061</v>
      </c>
    </row>
    <row r="3898" spans="1:8" x14ac:dyDescent="0.2">
      <c r="A3898" s="7"/>
      <c r="B3898" s="1407" t="str">
        <f t="shared" si="60"/>
        <v>Rui Varela</v>
      </c>
      <c r="C3898" s="1402" t="s">
        <v>8180</v>
      </c>
      <c r="D3898" s="1403" t="s">
        <v>7321</v>
      </c>
      <c r="E3898" s="1404" t="s">
        <v>8543</v>
      </c>
      <c r="F3898" s="1405" t="s">
        <v>5300</v>
      </c>
      <c r="G3898" s="1403" t="s">
        <v>5314</v>
      </c>
      <c r="H3898" s="1406" t="s">
        <v>1061</v>
      </c>
    </row>
    <row r="3899" spans="1:8" x14ac:dyDescent="0.2">
      <c r="A3899" s="7"/>
      <c r="B3899" s="1407" t="str">
        <f t="shared" si="60"/>
        <v>Pedro Araújo</v>
      </c>
      <c r="C3899" s="1402" t="s">
        <v>8181</v>
      </c>
      <c r="D3899" s="1403" t="s">
        <v>5604</v>
      </c>
      <c r="E3899" s="1404" t="s">
        <v>8544</v>
      </c>
      <c r="F3899" s="1405" t="s">
        <v>5300</v>
      </c>
      <c r="G3899" s="1403" t="s">
        <v>15138</v>
      </c>
      <c r="H3899" s="1406" t="s">
        <v>1061</v>
      </c>
    </row>
    <row r="3900" spans="1:8" x14ac:dyDescent="0.2">
      <c r="A3900" s="7"/>
      <c r="B3900" s="1407" t="str">
        <f t="shared" si="60"/>
        <v>Mateus Santos</v>
      </c>
      <c r="C3900" s="1402" t="s">
        <v>6730</v>
      </c>
      <c r="D3900" s="1403" t="s">
        <v>16192</v>
      </c>
      <c r="E3900" s="1404" t="s">
        <v>8545</v>
      </c>
      <c r="F3900" s="1405" t="s">
        <v>1563</v>
      </c>
      <c r="G3900" s="1403" t="s">
        <v>10278</v>
      </c>
      <c r="H3900" s="1406" t="s">
        <v>1061</v>
      </c>
    </row>
    <row r="3901" spans="1:8" x14ac:dyDescent="0.2">
      <c r="A3901" s="7"/>
      <c r="B3901" s="1407" t="str">
        <f t="shared" si="60"/>
        <v>Nuno Afonso</v>
      </c>
      <c r="C3901" s="1402" t="s">
        <v>3274</v>
      </c>
      <c r="D3901" s="1403" t="s">
        <v>3093</v>
      </c>
      <c r="E3901" s="1404" t="s">
        <v>8546</v>
      </c>
      <c r="F3901" s="1405" t="s">
        <v>5300</v>
      </c>
      <c r="G3901" s="1403" t="s">
        <v>11332</v>
      </c>
      <c r="H3901" s="1406" t="s">
        <v>1061</v>
      </c>
    </row>
    <row r="3902" spans="1:8" x14ac:dyDescent="0.2">
      <c r="A3902" s="7"/>
      <c r="B3902" s="1407" t="str">
        <f t="shared" si="60"/>
        <v>Maria Joao Silva</v>
      </c>
      <c r="C3902" s="1402" t="s">
        <v>6741</v>
      </c>
      <c r="D3902" s="1403" t="s">
        <v>8874</v>
      </c>
      <c r="E3902" s="1404" t="s">
        <v>8547</v>
      </c>
      <c r="F3902" s="1405" t="s">
        <v>13210</v>
      </c>
      <c r="G3902" s="1403" t="s">
        <v>11332</v>
      </c>
      <c r="H3902" s="1406" t="s">
        <v>1061</v>
      </c>
    </row>
    <row r="3903" spans="1:8" x14ac:dyDescent="0.2">
      <c r="A3903" s="7"/>
      <c r="B3903" s="1407" t="str">
        <f t="shared" si="60"/>
        <v>André Correia</v>
      </c>
      <c r="C3903" s="1402" t="s">
        <v>8182</v>
      </c>
      <c r="D3903" s="1403" t="s">
        <v>3175</v>
      </c>
      <c r="E3903" s="1404" t="s">
        <v>8548</v>
      </c>
      <c r="F3903" s="1405" t="s">
        <v>13210</v>
      </c>
      <c r="G3903" s="1403" t="s">
        <v>14359</v>
      </c>
      <c r="H3903" s="1406" t="s">
        <v>1061</v>
      </c>
    </row>
    <row r="3904" spans="1:8" x14ac:dyDescent="0.2">
      <c r="A3904" s="7"/>
      <c r="B3904" s="1407" t="str">
        <f t="shared" si="60"/>
        <v>Santiago Pereira</v>
      </c>
      <c r="C3904" s="1402" t="s">
        <v>5830</v>
      </c>
      <c r="D3904" s="1403" t="s">
        <v>3579</v>
      </c>
      <c r="E3904" s="1404" t="s">
        <v>8549</v>
      </c>
      <c r="F3904" s="1405" t="s">
        <v>13210</v>
      </c>
      <c r="G3904" s="1403" t="s">
        <v>10278</v>
      </c>
      <c r="H3904" s="1406" t="s">
        <v>1061</v>
      </c>
    </row>
    <row r="3905" spans="1:8" x14ac:dyDescent="0.2">
      <c r="A3905" s="7"/>
      <c r="B3905" s="1407" t="str">
        <f t="shared" ref="B3905:B3919" si="61">TRIM(CONCATENATE(D3905," ",C3905))</f>
        <v>Tomás Albuquerque</v>
      </c>
      <c r="C3905" s="1402" t="s">
        <v>8183</v>
      </c>
      <c r="D3905" s="1403" t="s">
        <v>5641</v>
      </c>
      <c r="E3905" s="1404" t="s">
        <v>8550</v>
      </c>
      <c r="F3905" s="1405" t="s">
        <v>13210</v>
      </c>
      <c r="G3905" s="1403" t="s">
        <v>10278</v>
      </c>
      <c r="H3905" s="1406" t="s">
        <v>1061</v>
      </c>
    </row>
    <row r="3906" spans="1:8" x14ac:dyDescent="0.2">
      <c r="A3906" s="7"/>
      <c r="B3906" s="1407" t="str">
        <f t="shared" si="61"/>
        <v>Tomás Santos</v>
      </c>
      <c r="C3906" s="1402" t="s">
        <v>6730</v>
      </c>
      <c r="D3906" s="1403" t="s">
        <v>5641</v>
      </c>
      <c r="E3906" s="1404" t="s">
        <v>8551</v>
      </c>
      <c r="F3906" s="1405" t="s">
        <v>13210</v>
      </c>
      <c r="G3906" s="1403" t="s">
        <v>10278</v>
      </c>
      <c r="H3906" s="1406" t="s">
        <v>1061</v>
      </c>
    </row>
    <row r="3907" spans="1:8" x14ac:dyDescent="0.2">
      <c r="B3907" s="1407" t="str">
        <f t="shared" si="61"/>
        <v>Francisco Martins</v>
      </c>
      <c r="C3907" s="1402" t="s">
        <v>5825</v>
      </c>
      <c r="D3907" s="1403" t="s">
        <v>3366</v>
      </c>
      <c r="E3907" s="1404" t="s">
        <v>8552</v>
      </c>
      <c r="F3907" s="1405" t="s">
        <v>13210</v>
      </c>
      <c r="G3907" s="1403" t="s">
        <v>10278</v>
      </c>
      <c r="H3907" s="1406" t="s">
        <v>1061</v>
      </c>
    </row>
    <row r="3908" spans="1:8" x14ac:dyDescent="0.2">
      <c r="B3908" s="1407" t="str">
        <f t="shared" si="61"/>
        <v>Júlia Mendes</v>
      </c>
      <c r="C3908" s="1402" t="s">
        <v>7451</v>
      </c>
      <c r="D3908" s="1403" t="s">
        <v>8297</v>
      </c>
      <c r="E3908" s="1404" t="s">
        <v>8553</v>
      </c>
      <c r="F3908" s="1405" t="s">
        <v>13210</v>
      </c>
      <c r="G3908" s="1403" t="s">
        <v>10278</v>
      </c>
      <c r="H3908" s="1406" t="s">
        <v>1061</v>
      </c>
    </row>
    <row r="3909" spans="1:8" x14ac:dyDescent="0.2">
      <c r="B3909" s="1407" t="str">
        <f t="shared" si="61"/>
        <v>Lucas Almeida</v>
      </c>
      <c r="C3909" s="1402" t="s">
        <v>8179</v>
      </c>
      <c r="D3909" s="1403" t="s">
        <v>3684</v>
      </c>
      <c r="E3909" s="1404" t="s">
        <v>8554</v>
      </c>
      <c r="F3909" s="1405" t="s">
        <v>13210</v>
      </c>
      <c r="G3909" s="1403" t="s">
        <v>10278</v>
      </c>
      <c r="H3909" s="1406" t="s">
        <v>1061</v>
      </c>
    </row>
    <row r="3910" spans="1:8" x14ac:dyDescent="0.2">
      <c r="B3910" s="1407" t="str">
        <f t="shared" si="61"/>
        <v>Duarte Valério</v>
      </c>
      <c r="C3910" s="1402" t="s">
        <v>8184</v>
      </c>
      <c r="D3910" s="1403" t="s">
        <v>8298</v>
      </c>
      <c r="E3910" s="1404" t="s">
        <v>8555</v>
      </c>
      <c r="F3910" s="1405" t="s">
        <v>13210</v>
      </c>
      <c r="G3910" s="1403" t="s">
        <v>10278</v>
      </c>
      <c r="H3910" s="1406" t="s">
        <v>1061</v>
      </c>
    </row>
    <row r="3911" spans="1:8" x14ac:dyDescent="0.2">
      <c r="B3911" s="1407" t="str">
        <f t="shared" si="61"/>
        <v>Guilherme Dias</v>
      </c>
      <c r="C3911" s="1402" t="s">
        <v>6747</v>
      </c>
      <c r="D3911" s="1403" t="s">
        <v>5517</v>
      </c>
      <c r="E3911" s="1404" t="s">
        <v>8556</v>
      </c>
      <c r="F3911" s="1405" t="s">
        <v>13210</v>
      </c>
      <c r="G3911" s="1403" t="s">
        <v>10278</v>
      </c>
      <c r="H3911" s="1406" t="s">
        <v>1061</v>
      </c>
    </row>
    <row r="3912" spans="1:8" x14ac:dyDescent="0.2">
      <c r="B3912" s="1407" t="str">
        <f t="shared" si="61"/>
        <v>Pedro Trindade</v>
      </c>
      <c r="C3912" s="1402" t="s">
        <v>14062</v>
      </c>
      <c r="D3912" s="1403" t="s">
        <v>5604</v>
      </c>
      <c r="E3912" s="1404" t="s">
        <v>14064</v>
      </c>
      <c r="F3912" s="1405" t="s">
        <v>5299</v>
      </c>
      <c r="G3912" s="1403" t="s">
        <v>13597</v>
      </c>
      <c r="H3912" s="1406" t="s">
        <v>1061</v>
      </c>
    </row>
    <row r="3913" spans="1:8" x14ac:dyDescent="0.2">
      <c r="B3913" s="1407" t="str">
        <f t="shared" si="61"/>
        <v>Tomàs Trindade</v>
      </c>
      <c r="C3913" s="1402" t="s">
        <v>14062</v>
      </c>
      <c r="D3913" s="1403" t="s">
        <v>14065</v>
      </c>
      <c r="E3913" s="1404" t="s">
        <v>14066</v>
      </c>
      <c r="F3913" s="1405" t="s">
        <v>13210</v>
      </c>
      <c r="G3913" s="1403" t="s">
        <v>13597</v>
      </c>
      <c r="H3913" s="1406" t="s">
        <v>1061</v>
      </c>
    </row>
    <row r="3914" spans="1:8" x14ac:dyDescent="0.2">
      <c r="B3914" s="1407" t="str">
        <f t="shared" si="61"/>
        <v>Cláudio Madeira</v>
      </c>
      <c r="C3914" s="1402" t="s">
        <v>15835</v>
      </c>
      <c r="D3914" s="1403" t="s">
        <v>15836</v>
      </c>
      <c r="E3914" s="1404" t="s">
        <v>15837</v>
      </c>
      <c r="F3914" s="1405" t="s">
        <v>5299</v>
      </c>
      <c r="G3914" s="1403" t="s">
        <v>5314</v>
      </c>
      <c r="H3914" s="1406" t="s">
        <v>1061</v>
      </c>
    </row>
    <row r="3915" spans="1:8" x14ac:dyDescent="0.2">
      <c r="B3915" s="1407" t="str">
        <f t="shared" si="61"/>
        <v>Francisco Bento</v>
      </c>
      <c r="C3915" s="1402" t="s">
        <v>14755</v>
      </c>
      <c r="D3915" s="1403" t="s">
        <v>3366</v>
      </c>
      <c r="E3915" s="1404" t="s">
        <v>15237</v>
      </c>
      <c r="F3915" s="1405" t="s">
        <v>1563</v>
      </c>
      <c r="G3915" s="1403" t="s">
        <v>15138</v>
      </c>
      <c r="H3915" s="1406" t="s">
        <v>1061</v>
      </c>
    </row>
    <row r="3916" spans="1:8" x14ac:dyDescent="0.2">
      <c r="B3916" s="1407" t="str">
        <f t="shared" si="61"/>
        <v>Paulo Sobral</v>
      </c>
      <c r="C3916" s="1402" t="s">
        <v>14067</v>
      </c>
      <c r="D3916" s="1403" t="s">
        <v>3246</v>
      </c>
      <c r="E3916" s="1404" t="s">
        <v>14068</v>
      </c>
      <c r="F3916" s="1405" t="s">
        <v>5300</v>
      </c>
      <c r="G3916" s="1403" t="s">
        <v>11332</v>
      </c>
      <c r="H3916" s="1406" t="s">
        <v>1061</v>
      </c>
    </row>
    <row r="3917" spans="1:8" x14ac:dyDescent="0.2">
      <c r="B3917" s="1407" t="str">
        <f t="shared" si="61"/>
        <v>Salvador Gonçalves</v>
      </c>
      <c r="C3917" s="1402" t="s">
        <v>9467</v>
      </c>
      <c r="D3917" s="1403" t="s">
        <v>9468</v>
      </c>
      <c r="E3917" s="1404" t="s">
        <v>9619</v>
      </c>
      <c r="F3917" s="1405" t="s">
        <v>5299</v>
      </c>
      <c r="G3917" s="1403" t="s">
        <v>15138</v>
      </c>
      <c r="H3917" s="1406" t="s">
        <v>1061</v>
      </c>
    </row>
    <row r="3918" spans="1:8" x14ac:dyDescent="0.2">
      <c r="B3918" s="1407" t="str">
        <f t="shared" si="61"/>
        <v>André Jorge</v>
      </c>
      <c r="C3918" s="1402" t="s">
        <v>7312</v>
      </c>
      <c r="D3918" s="1403" t="s">
        <v>3175</v>
      </c>
      <c r="E3918" s="1404" t="s">
        <v>9620</v>
      </c>
      <c r="F3918" s="1405" t="s">
        <v>13210</v>
      </c>
      <c r="G3918" s="1403" t="s">
        <v>10278</v>
      </c>
      <c r="H3918" s="1406" t="s">
        <v>1061</v>
      </c>
    </row>
    <row r="3919" spans="1:8" x14ac:dyDescent="0.2">
      <c r="B3919" s="1407" t="str">
        <f t="shared" si="61"/>
        <v>André Schubiditze</v>
      </c>
      <c r="C3919" s="1402" t="s">
        <v>9612</v>
      </c>
      <c r="D3919" s="1403" t="s">
        <v>3175</v>
      </c>
      <c r="E3919" s="1404" t="s">
        <v>9621</v>
      </c>
      <c r="F3919" s="1405" t="s">
        <v>13210</v>
      </c>
      <c r="G3919" s="1403" t="s">
        <v>10278</v>
      </c>
      <c r="H3919" s="1406" t="s">
        <v>1061</v>
      </c>
    </row>
    <row r="3920" spans="1:8" x14ac:dyDescent="0.2">
      <c r="B3920" s="1407" t="str">
        <f t="shared" ref="B3920:B4347" si="62">TRIM(CONCATENATE(D3920," ",C3920))</f>
        <v>Cláudio Miguel Garcia</v>
      </c>
      <c r="C3920" s="1402" t="s">
        <v>5805</v>
      </c>
      <c r="D3920" s="1403" t="s">
        <v>11083</v>
      </c>
      <c r="E3920" s="1404" t="s">
        <v>9622</v>
      </c>
      <c r="F3920" s="1405" t="s">
        <v>5299</v>
      </c>
      <c r="G3920" s="1403" t="s">
        <v>11332</v>
      </c>
      <c r="H3920" s="1406" t="s">
        <v>1061</v>
      </c>
    </row>
    <row r="3921" spans="2:8" x14ac:dyDescent="0.2">
      <c r="B3921" s="1407" t="str">
        <f t="shared" si="62"/>
        <v>Carmo Costa</v>
      </c>
      <c r="C3921" s="1402" t="s">
        <v>5824</v>
      </c>
      <c r="D3921" s="1403" t="s">
        <v>9616</v>
      </c>
      <c r="E3921" s="1404" t="s">
        <v>9623</v>
      </c>
      <c r="F3921" s="1405" t="s">
        <v>13210</v>
      </c>
      <c r="G3921" s="1403" t="s">
        <v>10278</v>
      </c>
      <c r="H3921" s="1406" t="s">
        <v>1061</v>
      </c>
    </row>
    <row r="3922" spans="2:8" x14ac:dyDescent="0.2">
      <c r="B3922" s="1407" t="str">
        <f t="shared" ref="B3922:B3977" si="63">TRIM(CONCATENATE(D3922," ",C3922))</f>
        <v>Afonso Gouveia</v>
      </c>
      <c r="C3922" s="1402" t="s">
        <v>6748</v>
      </c>
      <c r="D3922" s="1403" t="s">
        <v>3274</v>
      </c>
      <c r="E3922" s="1404" t="s">
        <v>9624</v>
      </c>
      <c r="F3922" s="1405" t="s">
        <v>13210</v>
      </c>
      <c r="G3922" s="1403" t="s">
        <v>10278</v>
      </c>
      <c r="H3922" s="1406" t="s">
        <v>1061</v>
      </c>
    </row>
    <row r="3923" spans="2:8" x14ac:dyDescent="0.2">
      <c r="B3923" s="1407" t="str">
        <f t="shared" si="63"/>
        <v>Tiago Figueiredo</v>
      </c>
      <c r="C3923" s="1402" t="s">
        <v>9613</v>
      </c>
      <c r="D3923" s="1403" t="s">
        <v>7029</v>
      </c>
      <c r="E3923" s="1404" t="s">
        <v>9625</v>
      </c>
      <c r="F3923" s="1405" t="s">
        <v>13210</v>
      </c>
      <c r="G3923" s="1403" t="s">
        <v>10278</v>
      </c>
      <c r="H3923" s="1406" t="s">
        <v>1061</v>
      </c>
    </row>
    <row r="3924" spans="2:8" x14ac:dyDescent="0.2">
      <c r="B3924" s="1407" t="str">
        <f t="shared" si="63"/>
        <v>Ricardo Botas</v>
      </c>
      <c r="C3924" s="1402" t="s">
        <v>10953</v>
      </c>
      <c r="D3924" s="1403" t="s">
        <v>3137</v>
      </c>
      <c r="E3924" s="1404" t="s">
        <v>10972</v>
      </c>
      <c r="F3924" s="1405" t="s">
        <v>5299</v>
      </c>
      <c r="G3924" s="1403" t="s">
        <v>5314</v>
      </c>
      <c r="H3924" s="1406" t="s">
        <v>1061</v>
      </c>
    </row>
    <row r="3925" spans="2:8" x14ac:dyDescent="0.2">
      <c r="B3925" s="1407" t="str">
        <f t="shared" si="63"/>
        <v>Pedro M Pinto</v>
      </c>
      <c r="C3925" s="1402" t="s">
        <v>7365</v>
      </c>
      <c r="D3925" s="1403" t="s">
        <v>11084</v>
      </c>
      <c r="E3925" s="1404" t="s">
        <v>11168</v>
      </c>
      <c r="F3925" s="1405" t="s">
        <v>5300</v>
      </c>
      <c r="G3925" s="1403" t="s">
        <v>13597</v>
      </c>
      <c r="H3925" s="1406" t="s">
        <v>1061</v>
      </c>
    </row>
    <row r="3926" spans="2:8" x14ac:dyDescent="0.2">
      <c r="B3926" s="1407" t="str">
        <f t="shared" si="63"/>
        <v>Tiago Magno</v>
      </c>
      <c r="C3926" s="1402" t="s">
        <v>11065</v>
      </c>
      <c r="D3926" s="1403" t="s">
        <v>7029</v>
      </c>
      <c r="E3926" s="1404" t="s">
        <v>11169</v>
      </c>
      <c r="F3926" s="1405" t="s">
        <v>13210</v>
      </c>
      <c r="G3926" s="1403" t="s">
        <v>10278</v>
      </c>
      <c r="H3926" s="1406" t="s">
        <v>1061</v>
      </c>
    </row>
    <row r="3927" spans="2:8" x14ac:dyDescent="0.2">
      <c r="B3927" s="1407" t="str">
        <f t="shared" si="63"/>
        <v>Beatriz Oliveira</v>
      </c>
      <c r="C3927" s="1402" t="s">
        <v>5826</v>
      </c>
      <c r="D3927" s="1403" t="s">
        <v>11085</v>
      </c>
      <c r="E3927" s="1404" t="s">
        <v>11170</v>
      </c>
      <c r="F3927" s="1405" t="s">
        <v>13210</v>
      </c>
      <c r="G3927" s="1403" t="s">
        <v>10278</v>
      </c>
      <c r="H3927" s="1406" t="s">
        <v>1061</v>
      </c>
    </row>
    <row r="3928" spans="2:8" x14ac:dyDescent="0.2">
      <c r="B3928" s="1407" t="str">
        <f t="shared" si="63"/>
        <v>António Sampaio</v>
      </c>
      <c r="C3928" s="1402" t="s">
        <v>8175</v>
      </c>
      <c r="D3928" s="1403" t="s">
        <v>7173</v>
      </c>
      <c r="E3928" s="1404" t="s">
        <v>11171</v>
      </c>
      <c r="F3928" s="1405" t="s">
        <v>13210</v>
      </c>
      <c r="G3928" s="1403" t="s">
        <v>10278</v>
      </c>
      <c r="H3928" s="1406" t="s">
        <v>1061</v>
      </c>
    </row>
    <row r="3929" spans="2:8" x14ac:dyDescent="0.2">
      <c r="B3929" s="1407" t="str">
        <f t="shared" si="63"/>
        <v>Luis Garcia</v>
      </c>
      <c r="C3929" s="1402" t="s">
        <v>5805</v>
      </c>
      <c r="D3929" s="1403" t="s">
        <v>3683</v>
      </c>
      <c r="E3929" s="1404" t="s">
        <v>11172</v>
      </c>
      <c r="F3929" s="1405" t="s">
        <v>13211</v>
      </c>
      <c r="G3929" s="1403" t="s">
        <v>10278</v>
      </c>
      <c r="H3929" s="1406" t="s">
        <v>1061</v>
      </c>
    </row>
    <row r="3930" spans="2:8" x14ac:dyDescent="0.2">
      <c r="B3930" s="1407" t="str">
        <f t="shared" si="63"/>
        <v>Bruno Lima</v>
      </c>
      <c r="C3930" s="1402" t="s">
        <v>5775</v>
      </c>
      <c r="D3930" s="1403" t="s">
        <v>3168</v>
      </c>
      <c r="E3930" s="1404" t="s">
        <v>11173</v>
      </c>
      <c r="F3930" s="1405" t="s">
        <v>13210</v>
      </c>
      <c r="G3930" s="1403" t="s">
        <v>10278</v>
      </c>
      <c r="H3930" s="1406" t="s">
        <v>1061</v>
      </c>
    </row>
    <row r="3931" spans="2:8" x14ac:dyDescent="0.2">
      <c r="B3931" s="1407" t="str">
        <f t="shared" si="63"/>
        <v>Guilherme Santos</v>
      </c>
      <c r="C3931" s="1402" t="s">
        <v>6730</v>
      </c>
      <c r="D3931" s="1403" t="s">
        <v>5517</v>
      </c>
      <c r="E3931" s="1404" t="s">
        <v>11174</v>
      </c>
      <c r="F3931" s="1405" t="s">
        <v>13211</v>
      </c>
      <c r="G3931" s="1403" t="s">
        <v>15138</v>
      </c>
      <c r="H3931" s="1406" t="s">
        <v>1061</v>
      </c>
    </row>
    <row r="3932" spans="2:8" x14ac:dyDescent="0.2">
      <c r="B3932" s="1407" t="str">
        <f t="shared" si="63"/>
        <v>Luis Lobo</v>
      </c>
      <c r="C3932" s="1402" t="s">
        <v>13456</v>
      </c>
      <c r="D3932" s="1403" t="s">
        <v>3683</v>
      </c>
      <c r="E3932" s="1404" t="s">
        <v>13457</v>
      </c>
      <c r="F3932" s="1405" t="s">
        <v>5300</v>
      </c>
      <c r="G3932" s="1403" t="s">
        <v>13597</v>
      </c>
      <c r="H3932" s="1406" t="s">
        <v>1061</v>
      </c>
    </row>
    <row r="3933" spans="2:8" x14ac:dyDescent="0.2">
      <c r="B3933" s="1407" t="str">
        <f t="shared" si="63"/>
        <v>José Martin</v>
      </c>
      <c r="C3933" s="1402" t="s">
        <v>3408</v>
      </c>
      <c r="D3933" s="1403" t="s">
        <v>3232</v>
      </c>
      <c r="E3933" s="1404" t="s">
        <v>13458</v>
      </c>
      <c r="F3933" s="1405" t="s">
        <v>5300</v>
      </c>
      <c r="G3933" s="1403" t="s">
        <v>13597</v>
      </c>
      <c r="H3933" s="1406" t="s">
        <v>1061</v>
      </c>
    </row>
    <row r="3934" spans="2:8" x14ac:dyDescent="0.2">
      <c r="B3934" s="1407" t="str">
        <f t="shared" si="63"/>
        <v>Pedro Henrique</v>
      </c>
      <c r="C3934" s="1402" t="s">
        <v>13459</v>
      </c>
      <c r="D3934" s="1403" t="s">
        <v>5604</v>
      </c>
      <c r="E3934" s="1404" t="s">
        <v>13460</v>
      </c>
      <c r="F3934" s="1405" t="s">
        <v>5300</v>
      </c>
      <c r="G3934" s="1403" t="s">
        <v>13597</v>
      </c>
      <c r="H3934" s="1406" t="s">
        <v>1061</v>
      </c>
    </row>
    <row r="3935" spans="2:8" x14ac:dyDescent="0.2">
      <c r="B3935" s="1407" t="str">
        <f t="shared" si="63"/>
        <v>João Raimundo</v>
      </c>
      <c r="C3935" s="1402" t="s">
        <v>13461</v>
      </c>
      <c r="D3935" s="1403" t="s">
        <v>3427</v>
      </c>
      <c r="E3935" s="1404" t="s">
        <v>13462</v>
      </c>
      <c r="F3935" s="1405" t="s">
        <v>5300</v>
      </c>
      <c r="G3935" s="1403" t="s">
        <v>13597</v>
      </c>
      <c r="H3935" s="1406" t="s">
        <v>1061</v>
      </c>
    </row>
    <row r="3936" spans="2:8" x14ac:dyDescent="0.2">
      <c r="B3936" s="1407" t="str">
        <f t="shared" si="63"/>
        <v>Salvador Moura</v>
      </c>
      <c r="C3936" s="1402" t="s">
        <v>14743</v>
      </c>
      <c r="D3936" s="1403" t="s">
        <v>9468</v>
      </c>
      <c r="E3936" s="1404" t="s">
        <v>14744</v>
      </c>
      <c r="F3936" s="1405" t="s">
        <v>13211</v>
      </c>
      <c r="G3936" s="1403" t="s">
        <v>10278</v>
      </c>
      <c r="H3936" s="1406" t="s">
        <v>1061</v>
      </c>
    </row>
    <row r="3937" spans="2:8" x14ac:dyDescent="0.2">
      <c r="B3937" s="1407" t="str">
        <f t="shared" si="63"/>
        <v>Inês Pinho</v>
      </c>
      <c r="C3937" s="1402" t="s">
        <v>14745</v>
      </c>
      <c r="D3937" s="1403" t="s">
        <v>14746</v>
      </c>
      <c r="E3937" s="1404" t="s">
        <v>14747</v>
      </c>
      <c r="F3937" s="1405" t="s">
        <v>13211</v>
      </c>
      <c r="G3937" s="1403" t="s">
        <v>10278</v>
      </c>
      <c r="H3937" s="1406" t="s">
        <v>1061</v>
      </c>
    </row>
    <row r="3938" spans="2:8" x14ac:dyDescent="0.2">
      <c r="B3938" s="1407" t="str">
        <f t="shared" si="63"/>
        <v>Francisca Cruz</v>
      </c>
      <c r="C3938" s="1402" t="s">
        <v>14748</v>
      </c>
      <c r="D3938" s="1403" t="s">
        <v>14749</v>
      </c>
      <c r="E3938" s="1404" t="s">
        <v>14750</v>
      </c>
      <c r="F3938" s="1405" t="s">
        <v>13211</v>
      </c>
      <c r="G3938" s="1403" t="s">
        <v>10278</v>
      </c>
      <c r="H3938" s="1406" t="s">
        <v>1061</v>
      </c>
    </row>
    <row r="3939" spans="2:8" x14ac:dyDescent="0.2">
      <c r="B3939" s="1407" t="str">
        <f t="shared" si="63"/>
        <v>João Alves</v>
      </c>
      <c r="C3939" s="1402" t="s">
        <v>8174</v>
      </c>
      <c r="D3939" s="1403" t="s">
        <v>3427</v>
      </c>
      <c r="E3939" s="1404" t="s">
        <v>14751</v>
      </c>
      <c r="F3939" s="1405" t="s">
        <v>13211</v>
      </c>
      <c r="G3939" s="1403" t="s">
        <v>10278</v>
      </c>
      <c r="H3939" s="1406" t="s">
        <v>1061</v>
      </c>
    </row>
    <row r="3940" spans="2:8" x14ac:dyDescent="0.2">
      <c r="B3940" s="1407" t="str">
        <f t="shared" si="63"/>
        <v>Martim Ribeiro</v>
      </c>
      <c r="C3940" s="1402" t="s">
        <v>14752</v>
      </c>
      <c r="D3940" s="1403" t="s">
        <v>14753</v>
      </c>
      <c r="E3940" s="1404" t="s">
        <v>14754</v>
      </c>
      <c r="F3940" s="1405" t="s">
        <v>13211</v>
      </c>
      <c r="G3940" s="1403" t="s">
        <v>10278</v>
      </c>
      <c r="H3940" s="1406" t="s">
        <v>1061</v>
      </c>
    </row>
    <row r="3941" spans="2:8" x14ac:dyDescent="0.2">
      <c r="B3941" s="1407" t="str">
        <f t="shared" si="63"/>
        <v>Gabriel Bento</v>
      </c>
      <c r="C3941" s="1402" t="s">
        <v>14755</v>
      </c>
      <c r="D3941" s="1403" t="s">
        <v>6887</v>
      </c>
      <c r="E3941" s="1404" t="s">
        <v>14756</v>
      </c>
      <c r="F3941" s="1405" t="s">
        <v>13211</v>
      </c>
      <c r="G3941" s="1403" t="s">
        <v>10278</v>
      </c>
      <c r="H3941" s="1406" t="s">
        <v>1061</v>
      </c>
    </row>
    <row r="3942" spans="2:8" x14ac:dyDescent="0.2">
      <c r="B3942" s="1407" t="str">
        <f t="shared" si="63"/>
        <v>Henrique Ãcuna</v>
      </c>
      <c r="C3942" s="1402" t="s">
        <v>14757</v>
      </c>
      <c r="D3942" s="1403" t="s">
        <v>13459</v>
      </c>
      <c r="E3942" s="1404" t="s">
        <v>14758</v>
      </c>
      <c r="F3942" s="1405" t="s">
        <v>13211</v>
      </c>
      <c r="G3942" s="1403" t="s">
        <v>10278</v>
      </c>
      <c r="H3942" s="1406" t="s">
        <v>1061</v>
      </c>
    </row>
    <row r="3943" spans="2:8" x14ac:dyDescent="0.2">
      <c r="B3943" s="1407" t="str">
        <f t="shared" si="63"/>
        <v>Miguel Leitão</v>
      </c>
      <c r="C3943" s="1402" t="s">
        <v>7168</v>
      </c>
      <c r="D3943" s="1403" t="s">
        <v>3089</v>
      </c>
      <c r="E3943" s="1404" t="s">
        <v>14759</v>
      </c>
      <c r="F3943" s="1405" t="s">
        <v>13211</v>
      </c>
      <c r="G3943" s="1403" t="s">
        <v>10278</v>
      </c>
      <c r="H3943" s="1406" t="s">
        <v>1061</v>
      </c>
    </row>
    <row r="3944" spans="2:8" x14ac:dyDescent="0.2">
      <c r="B3944" s="1407" t="str">
        <f t="shared" si="63"/>
        <v>Duarte Marques</v>
      </c>
      <c r="C3944" s="1402" t="s">
        <v>5776</v>
      </c>
      <c r="D3944" s="1403" t="s">
        <v>8298</v>
      </c>
      <c r="E3944" s="1404" t="s">
        <v>14760</v>
      </c>
      <c r="F3944" s="1405" t="s">
        <v>13211</v>
      </c>
      <c r="G3944" s="1403" t="s">
        <v>10278</v>
      </c>
      <c r="H3944" s="1406" t="s">
        <v>1061</v>
      </c>
    </row>
    <row r="3945" spans="2:8" x14ac:dyDescent="0.2">
      <c r="B3945" s="1407" t="str">
        <f t="shared" si="63"/>
        <v>Alexandre Kushmyruk</v>
      </c>
      <c r="C3945" s="1402" t="s">
        <v>14761</v>
      </c>
      <c r="D3945" s="1403" t="s">
        <v>3184</v>
      </c>
      <c r="E3945" s="1404" t="s">
        <v>14762</v>
      </c>
      <c r="F3945" s="1405" t="s">
        <v>13211</v>
      </c>
      <c r="G3945" s="1403" t="s">
        <v>10278</v>
      </c>
      <c r="H3945" s="1406" t="s">
        <v>1061</v>
      </c>
    </row>
    <row r="3946" spans="2:8" x14ac:dyDescent="0.2">
      <c r="B3946" s="1407" t="str">
        <f t="shared" si="63"/>
        <v>Tomás Ribeiro</v>
      </c>
      <c r="C3946" s="1402" t="s">
        <v>14752</v>
      </c>
      <c r="D3946" s="1403" t="s">
        <v>5641</v>
      </c>
      <c r="E3946" s="1404" t="s">
        <v>14763</v>
      </c>
      <c r="F3946" s="1405" t="s">
        <v>13211</v>
      </c>
      <c r="G3946" s="1403" t="s">
        <v>10278</v>
      </c>
      <c r="H3946" s="1406" t="s">
        <v>1061</v>
      </c>
    </row>
    <row r="3947" spans="2:8" x14ac:dyDescent="0.2">
      <c r="B3947" s="1407" t="str">
        <f t="shared" si="63"/>
        <v>Gabriel Alves</v>
      </c>
      <c r="C3947" s="1402" t="s">
        <v>8174</v>
      </c>
      <c r="D3947" s="1403" t="s">
        <v>6887</v>
      </c>
      <c r="E3947" s="1404" t="s">
        <v>14764</v>
      </c>
      <c r="F3947" s="1405" t="s">
        <v>13211</v>
      </c>
      <c r="G3947" s="1403" t="s">
        <v>10278</v>
      </c>
      <c r="H3947" s="1406" t="s">
        <v>1061</v>
      </c>
    </row>
    <row r="3948" spans="2:8" x14ac:dyDescent="0.2">
      <c r="B3948" s="1407" t="str">
        <f t="shared" si="63"/>
        <v>Herculano Diogenes</v>
      </c>
      <c r="C3948" s="1402" t="s">
        <v>15486</v>
      </c>
      <c r="D3948" s="1403" t="s">
        <v>15487</v>
      </c>
      <c r="E3948" s="1404" t="s">
        <v>15488</v>
      </c>
      <c r="F3948" s="1405" t="s">
        <v>5299</v>
      </c>
      <c r="G3948" s="1403" t="s">
        <v>16515</v>
      </c>
      <c r="H3948" s="1406" t="s">
        <v>1061</v>
      </c>
    </row>
    <row r="3949" spans="2:8" x14ac:dyDescent="0.2">
      <c r="B3949" s="1407" t="str">
        <f t="shared" si="63"/>
        <v>Tomás Amaro</v>
      </c>
      <c r="C3949" s="1402" t="s">
        <v>6740</v>
      </c>
      <c r="D3949" s="1403" t="s">
        <v>5641</v>
      </c>
      <c r="E3949" s="1404" t="s">
        <v>14765</v>
      </c>
      <c r="F3949" s="1405" t="s">
        <v>13211</v>
      </c>
      <c r="G3949" s="1403" t="s">
        <v>10278</v>
      </c>
      <c r="H3949" s="1406" t="s">
        <v>1061</v>
      </c>
    </row>
    <row r="3950" spans="2:8" x14ac:dyDescent="0.2">
      <c r="B3950" s="1407" t="str">
        <f t="shared" si="63"/>
        <v>Martim Sena</v>
      </c>
      <c r="C3950" s="1402" t="s">
        <v>6735</v>
      </c>
      <c r="D3950" s="1403" t="s">
        <v>14753</v>
      </c>
      <c r="E3950" s="1404" t="s">
        <v>16220</v>
      </c>
      <c r="F3950" s="1405" t="s">
        <v>1563</v>
      </c>
      <c r="G3950" s="1403" t="s">
        <v>15138</v>
      </c>
      <c r="H3950" s="1406" t="s">
        <v>1061</v>
      </c>
    </row>
    <row r="3951" spans="2:8" x14ac:dyDescent="0.2">
      <c r="B3951" s="1407" t="str">
        <f t="shared" si="63"/>
        <v>Carlos Ricardo</v>
      </c>
      <c r="C3951" s="1402" t="s">
        <v>3137</v>
      </c>
      <c r="D3951" s="1403" t="s">
        <v>3008</v>
      </c>
      <c r="E3951" s="1404" t="s">
        <v>16124</v>
      </c>
      <c r="F3951" s="1405" t="s">
        <v>5300</v>
      </c>
      <c r="G3951" s="1403" t="s">
        <v>16515</v>
      </c>
      <c r="H3951" s="1406" t="s">
        <v>1061</v>
      </c>
    </row>
    <row r="3952" spans="2:8" x14ac:dyDescent="0.2">
      <c r="B3952" s="1407" t="str">
        <f t="shared" si="63"/>
        <v>Alexandre Fontes</v>
      </c>
      <c r="C3952" s="1402" t="s">
        <v>15561</v>
      </c>
      <c r="D3952" s="1403" t="s">
        <v>3184</v>
      </c>
      <c r="E3952" s="1404" t="s">
        <v>15562</v>
      </c>
      <c r="F3952" s="1405" t="s">
        <v>5300</v>
      </c>
      <c r="G3952" s="1403" t="s">
        <v>16515</v>
      </c>
      <c r="H3952" s="1406" t="s">
        <v>1061</v>
      </c>
    </row>
    <row r="3953" spans="2:8" x14ac:dyDescent="0.2">
      <c r="B3953" s="1407" t="str">
        <f t="shared" si="63"/>
        <v>Maria Joao Carmo</v>
      </c>
      <c r="C3953" s="1402" t="s">
        <v>9616</v>
      </c>
      <c r="D3953" s="1403" t="s">
        <v>8874</v>
      </c>
      <c r="E3953" s="1404" t="s">
        <v>15320</v>
      </c>
      <c r="F3953" s="1405" t="s">
        <v>5300</v>
      </c>
      <c r="G3953" s="1403" t="s">
        <v>15138</v>
      </c>
      <c r="H3953" s="1406" t="s">
        <v>1061</v>
      </c>
    </row>
    <row r="3954" spans="2:8" x14ac:dyDescent="0.2">
      <c r="B3954" s="1407" t="str">
        <f t="shared" si="63"/>
        <v>Max Pereira</v>
      </c>
      <c r="C3954" s="1402" t="s">
        <v>5830</v>
      </c>
      <c r="D3954" s="1403" t="s">
        <v>3710</v>
      </c>
      <c r="E3954" s="1404" t="s">
        <v>16975</v>
      </c>
      <c r="F3954" s="1405" t="s">
        <v>13211</v>
      </c>
      <c r="G3954" s="1403" t="s">
        <v>5317</v>
      </c>
      <c r="H3954" s="1406" t="s">
        <v>1061</v>
      </c>
    </row>
    <row r="3955" spans="2:8" x14ac:dyDescent="0.2">
      <c r="B3955" s="1407" t="str">
        <f t="shared" si="63"/>
        <v>Miguel Pereira</v>
      </c>
      <c r="C3955" s="1402" t="s">
        <v>5830</v>
      </c>
      <c r="D3955" s="1403" t="s">
        <v>3089</v>
      </c>
      <c r="E3955" s="1404" t="s">
        <v>17397</v>
      </c>
      <c r="F3955" s="1405" t="s">
        <v>5300</v>
      </c>
      <c r="G3955" s="1403" t="s">
        <v>5317</v>
      </c>
      <c r="H3955" s="1406" t="s">
        <v>1061</v>
      </c>
    </row>
    <row r="3956" spans="2:8" x14ac:dyDescent="0.2">
      <c r="B3956" s="1407" t="str">
        <f t="shared" si="63"/>
        <v>Kevin Ferreira</v>
      </c>
      <c r="C3956" s="1402" t="s">
        <v>5772</v>
      </c>
      <c r="D3956" s="1403" t="s">
        <v>3263</v>
      </c>
      <c r="E3956" s="1404" t="s">
        <v>18048</v>
      </c>
      <c r="F3956" s="1405" t="s">
        <v>13210</v>
      </c>
      <c r="G3956" s="1403" t="s">
        <v>14359</v>
      </c>
      <c r="H3956" s="1406" t="s">
        <v>1061</v>
      </c>
    </row>
    <row r="3957" spans="2:8" x14ac:dyDescent="0.2">
      <c r="B3957" s="1407" t="str">
        <f t="shared" si="63"/>
        <v/>
      </c>
      <c r="C3957" s="1402"/>
      <c r="D3957" s="1403"/>
      <c r="E3957" s="1404" t="s">
        <v>18049</v>
      </c>
      <c r="F3957" s="1405"/>
      <c r="G3957" s="1403"/>
      <c r="H3957" s="1406" t="s">
        <v>1061</v>
      </c>
    </row>
    <row r="3958" spans="2:8" x14ac:dyDescent="0.2">
      <c r="B3958" s="1407" t="str">
        <f t="shared" si="63"/>
        <v>João P Casaca</v>
      </c>
      <c r="C3958" s="1402" t="s">
        <v>8206</v>
      </c>
      <c r="D3958" s="1403" t="s">
        <v>17398</v>
      </c>
      <c r="E3958" s="1404" t="s">
        <v>17399</v>
      </c>
      <c r="F3958" s="1405" t="s">
        <v>5300</v>
      </c>
      <c r="G3958" s="1403" t="s">
        <v>17015</v>
      </c>
      <c r="H3958" s="1406" t="s">
        <v>1061</v>
      </c>
    </row>
    <row r="3959" spans="2:8" x14ac:dyDescent="0.2">
      <c r="B3959" s="1407" t="str">
        <f t="shared" si="63"/>
        <v>João B Casaca</v>
      </c>
      <c r="C3959" s="1402" t="s">
        <v>8206</v>
      </c>
      <c r="D3959" s="1403" t="s">
        <v>17400</v>
      </c>
      <c r="E3959" s="1404" t="s">
        <v>17401</v>
      </c>
      <c r="F3959" s="1405" t="s">
        <v>5299</v>
      </c>
      <c r="G3959" s="1403" t="s">
        <v>17015</v>
      </c>
      <c r="H3959" s="1406" t="s">
        <v>1061</v>
      </c>
    </row>
    <row r="3960" spans="2:8" x14ac:dyDescent="0.2">
      <c r="B3960" s="1407" t="str">
        <f t="shared" si="63"/>
        <v>Afonso Monge</v>
      </c>
      <c r="C3960" s="1402" t="s">
        <v>15918</v>
      </c>
      <c r="D3960" s="1403" t="s">
        <v>3274</v>
      </c>
      <c r="E3960" s="1404" t="s">
        <v>15919</v>
      </c>
      <c r="F3960" s="1405" t="s">
        <v>1563</v>
      </c>
      <c r="G3960" s="1403" t="s">
        <v>10278</v>
      </c>
      <c r="H3960" s="1406" t="s">
        <v>1061</v>
      </c>
    </row>
    <row r="3961" spans="2:8" x14ac:dyDescent="0.2">
      <c r="B3961" s="1407" t="str">
        <f t="shared" si="63"/>
        <v>Maksim Petrovich Gulyev</v>
      </c>
      <c r="C3961" s="1402" t="s">
        <v>15635</v>
      </c>
      <c r="D3961" s="1403" t="s">
        <v>15636</v>
      </c>
      <c r="E3961" s="1404" t="s">
        <v>15637</v>
      </c>
      <c r="F3961" s="1405" t="s">
        <v>5299</v>
      </c>
      <c r="G3961" s="1403" t="s">
        <v>11532</v>
      </c>
      <c r="H3961" s="1406" t="s">
        <v>1065</v>
      </c>
    </row>
    <row r="3962" spans="2:8" x14ac:dyDescent="0.2">
      <c r="B3962" s="1407" t="str">
        <f t="shared" si="63"/>
        <v>Andrey Nicolaevich Kudryashov</v>
      </c>
      <c r="C3962" s="1402" t="s">
        <v>15770</v>
      </c>
      <c r="D3962" s="1403" t="s">
        <v>15771</v>
      </c>
      <c r="E3962" s="1404" t="s">
        <v>15772</v>
      </c>
      <c r="F3962" s="1405" t="s">
        <v>5300</v>
      </c>
      <c r="G3962" s="1403" t="s">
        <v>11532</v>
      </c>
      <c r="H3962" s="1406" t="s">
        <v>1065</v>
      </c>
    </row>
    <row r="3963" spans="2:8" x14ac:dyDescent="0.2">
      <c r="B3963" s="1407" t="str">
        <f t="shared" si="63"/>
        <v>Dmitry Valeryavich Lavrentcov</v>
      </c>
      <c r="C3963" s="1402" t="s">
        <v>15789</v>
      </c>
      <c r="D3963" s="1403" t="s">
        <v>15790</v>
      </c>
      <c r="E3963" s="1404" t="s">
        <v>15791</v>
      </c>
      <c r="F3963" s="1405" t="s">
        <v>5299</v>
      </c>
      <c r="G3963" s="1403" t="s">
        <v>11532</v>
      </c>
      <c r="H3963" s="1406" t="s">
        <v>1065</v>
      </c>
    </row>
    <row r="3964" spans="2:8" x14ac:dyDescent="0.2">
      <c r="B3964" s="1407" t="str">
        <f t="shared" si="63"/>
        <v>Aton Aleksandrovich Volkov</v>
      </c>
      <c r="C3964" s="1402" t="s">
        <v>16343</v>
      </c>
      <c r="D3964" s="1403" t="s">
        <v>16344</v>
      </c>
      <c r="E3964" s="1404" t="s">
        <v>16345</v>
      </c>
      <c r="F3964" s="1405" t="s">
        <v>5299</v>
      </c>
      <c r="G3964" s="1403" t="s">
        <v>11532</v>
      </c>
      <c r="H3964" s="1406" t="s">
        <v>1065</v>
      </c>
    </row>
    <row r="3965" spans="2:8" x14ac:dyDescent="0.2">
      <c r="B3965" s="1407" t="str">
        <f t="shared" si="63"/>
        <v>Andrey Vlasov</v>
      </c>
      <c r="C3965" s="1402" t="s">
        <v>8775</v>
      </c>
      <c r="D3965" s="1403" t="s">
        <v>8869</v>
      </c>
      <c r="E3965" s="1404" t="s">
        <v>8776</v>
      </c>
      <c r="F3965" s="1405" t="s">
        <v>5300</v>
      </c>
      <c r="G3965" s="1403" t="s">
        <v>11532</v>
      </c>
      <c r="H3965" s="1406" t="s">
        <v>1065</v>
      </c>
    </row>
    <row r="3966" spans="2:8" x14ac:dyDescent="0.2">
      <c r="B3966" s="1407" t="str">
        <f t="shared" si="63"/>
        <v>Evgenii Vlasov</v>
      </c>
      <c r="C3966" s="1402" t="s">
        <v>8775</v>
      </c>
      <c r="D3966" s="1403" t="s">
        <v>9416</v>
      </c>
      <c r="E3966" s="1404" t="s">
        <v>8870</v>
      </c>
      <c r="F3966" s="1405" t="s">
        <v>5299</v>
      </c>
      <c r="G3966" s="1403" t="s">
        <v>11532</v>
      </c>
      <c r="H3966" s="1406" t="s">
        <v>1065</v>
      </c>
    </row>
    <row r="3967" spans="2:8" x14ac:dyDescent="0.2">
      <c r="B3967" s="1407" t="str">
        <f t="shared" si="63"/>
        <v>Andrea Andreoni</v>
      </c>
      <c r="C3967" s="1402" t="s">
        <v>15160</v>
      </c>
      <c r="D3967" s="1403" t="s">
        <v>3027</v>
      </c>
      <c r="E3967" s="1404" t="s">
        <v>15161</v>
      </c>
      <c r="F3967" s="1405" t="s">
        <v>5300</v>
      </c>
      <c r="G3967" s="1403" t="s">
        <v>2771</v>
      </c>
      <c r="H3967" s="1406" t="s">
        <v>1069</v>
      </c>
    </row>
    <row r="3968" spans="2:8" x14ac:dyDescent="0.2">
      <c r="B3968" s="1407" t="str">
        <f t="shared" si="63"/>
        <v>Baver Bari</v>
      </c>
      <c r="C3968" s="1402" t="s">
        <v>6358</v>
      </c>
      <c r="D3968" s="1403" t="s">
        <v>3490</v>
      </c>
      <c r="E3968" s="1404" t="s">
        <v>5264</v>
      </c>
      <c r="F3968" s="1405" t="s">
        <v>5300</v>
      </c>
      <c r="G3968" s="1403" t="s">
        <v>2771</v>
      </c>
      <c r="H3968" s="1406" t="s">
        <v>1069</v>
      </c>
    </row>
    <row r="3969" spans="2:8" x14ac:dyDescent="0.2">
      <c r="B3969" s="1407" t="str">
        <f t="shared" si="63"/>
        <v>David Baxter</v>
      </c>
      <c r="C3969" s="1402" t="s">
        <v>6754</v>
      </c>
      <c r="D3969" s="1403" t="s">
        <v>3072</v>
      </c>
      <c r="E3969" s="1404" t="s">
        <v>5265</v>
      </c>
      <c r="F3969" s="1405" t="s">
        <v>5300</v>
      </c>
      <c r="G3969" s="1403" t="s">
        <v>14787</v>
      </c>
      <c r="H3969" s="1406" t="s">
        <v>1069</v>
      </c>
    </row>
    <row r="3970" spans="2:8" x14ac:dyDescent="0.2">
      <c r="B3970" s="1407" t="str">
        <f t="shared" si="63"/>
        <v>Steve Bennett</v>
      </c>
      <c r="C3970" s="1402" t="s">
        <v>5934</v>
      </c>
      <c r="D3970" s="1403" t="s">
        <v>3088</v>
      </c>
      <c r="E3970" s="1404" t="s">
        <v>5262</v>
      </c>
      <c r="F3970" s="1405" t="s">
        <v>5300</v>
      </c>
      <c r="G3970" s="1403" t="s">
        <v>14787</v>
      </c>
      <c r="H3970" s="1406" t="s">
        <v>1069</v>
      </c>
    </row>
    <row r="3971" spans="2:8" x14ac:dyDescent="0.2">
      <c r="B3971" s="1407" t="str">
        <f t="shared" si="63"/>
        <v>Colin Berry</v>
      </c>
      <c r="C3971" s="1402" t="s">
        <v>6762</v>
      </c>
      <c r="D3971" s="1403" t="s">
        <v>3114</v>
      </c>
      <c r="E3971" s="1404" t="s">
        <v>5261</v>
      </c>
      <c r="F3971" s="1405" t="s">
        <v>5300</v>
      </c>
      <c r="G3971" s="1403" t="s">
        <v>2771</v>
      </c>
      <c r="H3971" s="1406" t="s">
        <v>1069</v>
      </c>
    </row>
    <row r="3972" spans="2:8" x14ac:dyDescent="0.2">
      <c r="B3972" s="1407" t="str">
        <f t="shared" si="63"/>
        <v>Andy Beskaby</v>
      </c>
      <c r="C3972" s="1402" t="s">
        <v>6767</v>
      </c>
      <c r="D3972" s="1403" t="s">
        <v>3322</v>
      </c>
      <c r="E3972" s="1404" t="s">
        <v>7156</v>
      </c>
      <c r="F3972" s="1405" t="s">
        <v>5300</v>
      </c>
      <c r="G3972" s="1403" t="s">
        <v>14787</v>
      </c>
      <c r="H3972" s="1406" t="s">
        <v>1069</v>
      </c>
    </row>
    <row r="3973" spans="2:8" x14ac:dyDescent="0.2">
      <c r="B3973" s="1407" t="str">
        <f t="shared" si="63"/>
        <v>Marco Bevilacqua</v>
      </c>
      <c r="C3973" s="1402" t="s">
        <v>6598</v>
      </c>
      <c r="D3973" s="1403" t="s">
        <v>3109</v>
      </c>
      <c r="E3973" s="1404" t="s">
        <v>11313</v>
      </c>
      <c r="F3973" s="1405" t="s">
        <v>5299</v>
      </c>
      <c r="G3973" s="1403" t="s">
        <v>15247</v>
      </c>
      <c r="H3973" s="1406" t="s">
        <v>1069</v>
      </c>
    </row>
    <row r="3974" spans="2:8" x14ac:dyDescent="0.2">
      <c r="B3974" s="1407" t="str">
        <f t="shared" si="63"/>
        <v>Tom Burns</v>
      </c>
      <c r="C3974" s="1402" t="s">
        <v>6755</v>
      </c>
      <c r="D3974" s="1403" t="s">
        <v>3235</v>
      </c>
      <c r="E3974" s="1404" t="s">
        <v>5259</v>
      </c>
      <c r="F3974" s="1405" t="s">
        <v>5300</v>
      </c>
      <c r="G3974" s="1403" t="s">
        <v>2771</v>
      </c>
      <c r="H3974" s="1406" t="s">
        <v>1069</v>
      </c>
    </row>
    <row r="3975" spans="2:8" x14ac:dyDescent="0.2">
      <c r="B3975" s="1407" t="str">
        <f t="shared" si="63"/>
        <v>Dave Butler</v>
      </c>
      <c r="C3975" s="1402" t="s">
        <v>5929</v>
      </c>
      <c r="D3975" s="1403" t="s">
        <v>3046</v>
      </c>
      <c r="E3975" s="1404" t="s">
        <v>5260</v>
      </c>
      <c r="F3975" s="1405" t="s">
        <v>5300</v>
      </c>
      <c r="G3975" s="1403" t="s">
        <v>2771</v>
      </c>
      <c r="H3975" s="1406" t="s">
        <v>1069</v>
      </c>
    </row>
    <row r="3976" spans="2:8" x14ac:dyDescent="0.2">
      <c r="B3976" s="1407" t="str">
        <f t="shared" si="63"/>
        <v>Martin Campbell</v>
      </c>
      <c r="C3976" s="1402" t="s">
        <v>6764</v>
      </c>
      <c r="D3976" s="1403" t="s">
        <v>3408</v>
      </c>
      <c r="E3976" s="1404" t="s">
        <v>5266</v>
      </c>
      <c r="F3976" s="1405" t="s">
        <v>5299</v>
      </c>
      <c r="G3976" s="1403" t="s">
        <v>13600</v>
      </c>
      <c r="H3976" s="1406" t="s">
        <v>1069</v>
      </c>
    </row>
    <row r="3977" spans="2:8" x14ac:dyDescent="0.2">
      <c r="B3977" s="1407" t="str">
        <f t="shared" si="63"/>
        <v>Gareth Christie</v>
      </c>
      <c r="C3977" s="1402" t="s">
        <v>6763</v>
      </c>
      <c r="D3977" s="1403" t="s">
        <v>3390</v>
      </c>
      <c r="E3977" s="1404" t="s">
        <v>5263</v>
      </c>
      <c r="F3977" s="1405" t="s">
        <v>5299</v>
      </c>
      <c r="G3977" s="1403" t="s">
        <v>15247</v>
      </c>
      <c r="H3977" s="1406" t="s">
        <v>1069</v>
      </c>
    </row>
    <row r="3978" spans="2:8" x14ac:dyDescent="0.2">
      <c r="B3978" s="1407" t="str">
        <f t="shared" ref="B3978:B4041" si="64">TRIM(CONCATENATE(D3978," ",C3978))</f>
        <v>Barry Corr</v>
      </c>
      <c r="C3978" s="1402" t="s">
        <v>6760</v>
      </c>
      <c r="D3978" s="1403" t="s">
        <v>5524</v>
      </c>
      <c r="E3978" s="1404" t="s">
        <v>5257</v>
      </c>
      <c r="F3978" s="1405" t="s">
        <v>5300</v>
      </c>
      <c r="G3978" s="1403" t="s">
        <v>2771</v>
      </c>
      <c r="H3978" s="1406" t="s">
        <v>1069</v>
      </c>
    </row>
    <row r="3979" spans="2:8" x14ac:dyDescent="0.2">
      <c r="B3979" s="1407" t="str">
        <f t="shared" si="64"/>
        <v>Scott Dalgleish</v>
      </c>
      <c r="C3979" s="1402" t="s">
        <v>14794</v>
      </c>
      <c r="D3979" s="1403" t="s">
        <v>10947</v>
      </c>
      <c r="E3979" s="1404" t="s">
        <v>14795</v>
      </c>
      <c r="F3979" s="1405" t="s">
        <v>5299</v>
      </c>
      <c r="G3979" s="1403" t="s">
        <v>13600</v>
      </c>
      <c r="H3979" s="1406" t="s">
        <v>1069</v>
      </c>
    </row>
    <row r="3980" spans="2:8" x14ac:dyDescent="0.2">
      <c r="B3980" s="1407" t="str">
        <f t="shared" si="64"/>
        <v>Colin Day</v>
      </c>
      <c r="C3980" s="1402" t="s">
        <v>6761</v>
      </c>
      <c r="D3980" s="1403" t="s">
        <v>3114</v>
      </c>
      <c r="E3980" s="1404" t="s">
        <v>5258</v>
      </c>
      <c r="F3980" s="1405" t="s">
        <v>5300</v>
      </c>
      <c r="G3980" s="1403" t="s">
        <v>2771</v>
      </c>
      <c r="H3980" s="1406" t="s">
        <v>1069</v>
      </c>
    </row>
    <row r="3981" spans="2:8" x14ac:dyDescent="0.2">
      <c r="B3981" s="1407" t="str">
        <f t="shared" si="64"/>
        <v>Stephen Donnelly</v>
      </c>
      <c r="C3981" s="1402" t="s">
        <v>16912</v>
      </c>
      <c r="D3981" s="1403" t="s">
        <v>3280</v>
      </c>
      <c r="E3981" s="1404" t="s">
        <v>16913</v>
      </c>
      <c r="F3981" s="1405" t="s">
        <v>5300</v>
      </c>
      <c r="G3981" s="1403" t="s">
        <v>14359</v>
      </c>
      <c r="H3981" s="1406" t="s">
        <v>1069</v>
      </c>
    </row>
    <row r="3982" spans="2:8" x14ac:dyDescent="0.2">
      <c r="B3982" s="1407" t="str">
        <f t="shared" si="64"/>
        <v>William Fleming</v>
      </c>
      <c r="C3982" s="1402" t="s">
        <v>6759</v>
      </c>
      <c r="D3982" s="1403" t="s">
        <v>3236</v>
      </c>
      <c r="E3982" s="1404" t="s">
        <v>5256</v>
      </c>
      <c r="F3982" s="1405" t="s">
        <v>5300</v>
      </c>
      <c r="G3982" s="1403" t="s">
        <v>2771</v>
      </c>
      <c r="H3982" s="1406" t="s">
        <v>1069</v>
      </c>
    </row>
    <row r="3983" spans="2:8" x14ac:dyDescent="0.2">
      <c r="B3983" s="1407" t="str">
        <f t="shared" si="64"/>
        <v>Scott Fleming</v>
      </c>
      <c r="C3983" s="1402" t="s">
        <v>6759</v>
      </c>
      <c r="D3983" s="1403" t="s">
        <v>10947</v>
      </c>
      <c r="E3983" s="1404" t="s">
        <v>14788</v>
      </c>
      <c r="F3983" s="1405" t="s">
        <v>5300</v>
      </c>
      <c r="G3983" s="1403" t="s">
        <v>7267</v>
      </c>
      <c r="H3983" s="1406" t="s">
        <v>1069</v>
      </c>
    </row>
    <row r="3984" spans="2:8" x14ac:dyDescent="0.2">
      <c r="B3984" s="1407" t="str">
        <f t="shared" si="64"/>
        <v>Dave Gladman</v>
      </c>
      <c r="C3984" s="1402" t="s">
        <v>6758</v>
      </c>
      <c r="D3984" s="1403" t="s">
        <v>3046</v>
      </c>
      <c r="E3984" s="1404" t="s">
        <v>5255</v>
      </c>
      <c r="F3984" s="1405" t="s">
        <v>5300</v>
      </c>
      <c r="G3984" s="1403" t="s">
        <v>2771</v>
      </c>
      <c r="H3984" s="1406" t="s">
        <v>1069</v>
      </c>
    </row>
    <row r="3985" spans="2:8" x14ac:dyDescent="0.2">
      <c r="B3985" s="1407" t="str">
        <f t="shared" si="64"/>
        <v>Danny Gregory</v>
      </c>
      <c r="C3985" s="1402" t="s">
        <v>14415</v>
      </c>
      <c r="D3985" s="1403" t="s">
        <v>3592</v>
      </c>
      <c r="E3985" s="1404" t="s">
        <v>14792</v>
      </c>
      <c r="F3985" s="1405" t="s">
        <v>5299</v>
      </c>
      <c r="G3985" s="1403" t="s">
        <v>2771</v>
      </c>
      <c r="H3985" s="1406" t="s">
        <v>1069</v>
      </c>
    </row>
    <row r="3986" spans="2:8" x14ac:dyDescent="0.2">
      <c r="B3986" s="1407" t="str">
        <f t="shared" si="64"/>
        <v>John Halpin</v>
      </c>
      <c r="C3986" s="1402" t="s">
        <v>6766</v>
      </c>
      <c r="D3986" s="1403" t="s">
        <v>3250</v>
      </c>
      <c r="E3986" s="1404" t="s">
        <v>7155</v>
      </c>
      <c r="F3986" s="1405" t="s">
        <v>5300</v>
      </c>
      <c r="G3986" s="1403" t="s">
        <v>2771</v>
      </c>
      <c r="H3986" s="1406" t="s">
        <v>1069</v>
      </c>
    </row>
    <row r="3987" spans="2:8" x14ac:dyDescent="0.2">
      <c r="B3987" s="1407" t="str">
        <f t="shared" si="64"/>
        <v>David Houston</v>
      </c>
      <c r="C3987" s="1402" t="s">
        <v>6765</v>
      </c>
      <c r="D3987" s="1403" t="s">
        <v>3072</v>
      </c>
      <c r="E3987" s="1404" t="s">
        <v>5267</v>
      </c>
      <c r="F3987" s="1405" t="s">
        <v>5300</v>
      </c>
      <c r="G3987" s="1403" t="s">
        <v>2771</v>
      </c>
      <c r="H3987" s="1406" t="s">
        <v>1069</v>
      </c>
    </row>
    <row r="3988" spans="2:8" x14ac:dyDescent="0.2">
      <c r="B3988" s="1407" t="str">
        <f t="shared" si="64"/>
        <v>David Jack</v>
      </c>
      <c r="C3988" s="1402" t="s">
        <v>13778</v>
      </c>
      <c r="D3988" s="1403" t="s">
        <v>3072</v>
      </c>
      <c r="E3988" s="1404" t="s">
        <v>14793</v>
      </c>
      <c r="F3988" s="1405" t="s">
        <v>5300</v>
      </c>
      <c r="G3988" s="1403" t="s">
        <v>2771</v>
      </c>
      <c r="H3988" s="1406" t="s">
        <v>1069</v>
      </c>
    </row>
    <row r="3989" spans="2:8" x14ac:dyDescent="0.2">
      <c r="B3989" s="1407" t="str">
        <f t="shared" si="64"/>
        <v>Andrew Kent</v>
      </c>
      <c r="C3989" s="1402" t="s">
        <v>15737</v>
      </c>
      <c r="D3989" s="1403" t="s">
        <v>3105</v>
      </c>
      <c r="E3989" s="1404" t="s">
        <v>15738</v>
      </c>
      <c r="F3989" s="1405" t="s">
        <v>5299</v>
      </c>
      <c r="G3989" s="1403" t="s">
        <v>13600</v>
      </c>
      <c r="H3989" s="1406" t="s">
        <v>1069</v>
      </c>
    </row>
    <row r="3990" spans="2:8" x14ac:dyDescent="0.2">
      <c r="B3990" s="1407" t="str">
        <f t="shared" si="64"/>
        <v>Malcolm Lees</v>
      </c>
      <c r="C3990" s="1402" t="s">
        <v>6756</v>
      </c>
      <c r="D3990" s="1403" t="s">
        <v>3463</v>
      </c>
      <c r="E3990" s="1404" t="s">
        <v>5253</v>
      </c>
      <c r="F3990" s="1405" t="s">
        <v>5300</v>
      </c>
      <c r="G3990" s="1403" t="s">
        <v>2771</v>
      </c>
      <c r="H3990" s="1406" t="s">
        <v>1069</v>
      </c>
    </row>
    <row r="3991" spans="2:8" x14ac:dyDescent="0.2">
      <c r="B3991" s="1407" t="str">
        <f t="shared" si="64"/>
        <v>Douglas Lynch</v>
      </c>
      <c r="C3991" s="1402" t="s">
        <v>14796</v>
      </c>
      <c r="D3991" s="1403" t="s">
        <v>13752</v>
      </c>
      <c r="E3991" s="1404" t="s">
        <v>14797</v>
      </c>
      <c r="F3991" s="1405" t="s">
        <v>5299</v>
      </c>
      <c r="G3991" s="1403" t="s">
        <v>13600</v>
      </c>
      <c r="H3991" s="1406" t="s">
        <v>1069</v>
      </c>
    </row>
    <row r="3992" spans="2:8" x14ac:dyDescent="0.2">
      <c r="B3992" s="1407" t="str">
        <f t="shared" si="64"/>
        <v>John Marshall</v>
      </c>
      <c r="C3992" s="1402" t="s">
        <v>14076</v>
      </c>
      <c r="D3992" s="1403" t="s">
        <v>3250</v>
      </c>
      <c r="E3992" s="1404" t="s">
        <v>14077</v>
      </c>
      <c r="F3992" s="1405" t="s">
        <v>5300</v>
      </c>
      <c r="G3992" s="1403" t="s">
        <v>13600</v>
      </c>
      <c r="H3992" s="1406" t="s">
        <v>1069</v>
      </c>
    </row>
    <row r="3993" spans="2:8" x14ac:dyDescent="0.2">
      <c r="B3993" s="1407" t="str">
        <f t="shared" si="64"/>
        <v>John Mathieson</v>
      </c>
      <c r="C3993" s="1402" t="s">
        <v>8187</v>
      </c>
      <c r="D3993" s="1403" t="s">
        <v>3250</v>
      </c>
      <c r="E3993" s="1404" t="s">
        <v>8557</v>
      </c>
      <c r="F3993" s="1405" t="s">
        <v>5299</v>
      </c>
      <c r="G3993" s="1403" t="s">
        <v>2771</v>
      </c>
      <c r="H3993" s="1406" t="s">
        <v>1069</v>
      </c>
    </row>
    <row r="3994" spans="2:8" x14ac:dyDescent="0.2">
      <c r="B3994" s="1407" t="str">
        <f t="shared" si="64"/>
        <v>Paul McFadyen</v>
      </c>
      <c r="C3994" s="1402" t="s">
        <v>14078</v>
      </c>
      <c r="D3994" s="1403" t="s">
        <v>3259</v>
      </c>
      <c r="E3994" s="1404" t="s">
        <v>14079</v>
      </c>
      <c r="F3994" s="1405" t="s">
        <v>5300</v>
      </c>
      <c r="G3994" s="1403" t="s">
        <v>13600</v>
      </c>
      <c r="H3994" s="1406" t="s">
        <v>1069</v>
      </c>
    </row>
    <row r="3995" spans="2:8" x14ac:dyDescent="0.2">
      <c r="B3995" s="1407" t="str">
        <f t="shared" si="64"/>
        <v>Ronnie McKenzie</v>
      </c>
      <c r="C3995" s="1402" t="s">
        <v>8185</v>
      </c>
      <c r="D3995" s="1403" t="s">
        <v>3275</v>
      </c>
      <c r="E3995" s="1404" t="s">
        <v>5254</v>
      </c>
      <c r="F3995" s="1405" t="s">
        <v>5300</v>
      </c>
      <c r="G3995" s="1403" t="s">
        <v>2771</v>
      </c>
      <c r="H3995" s="1406" t="s">
        <v>1069</v>
      </c>
    </row>
    <row r="3996" spans="2:8" x14ac:dyDescent="0.2">
      <c r="B3996" s="1407" t="str">
        <f t="shared" si="64"/>
        <v>Fraser McKenzie</v>
      </c>
      <c r="C3996" s="1402" t="s">
        <v>8185</v>
      </c>
      <c r="D3996" s="1403" t="s">
        <v>3499</v>
      </c>
      <c r="E3996" s="1404" t="s">
        <v>7157</v>
      </c>
      <c r="F3996" s="1405" t="s">
        <v>5299</v>
      </c>
      <c r="G3996" s="1403" t="s">
        <v>2771</v>
      </c>
      <c r="H3996" s="1406" t="s">
        <v>1069</v>
      </c>
    </row>
    <row r="3997" spans="2:8" x14ac:dyDescent="0.2">
      <c r="B3997" s="1407" t="str">
        <f t="shared" si="64"/>
        <v>Gary McKenzie</v>
      </c>
      <c r="C3997" s="1402" t="s">
        <v>8185</v>
      </c>
      <c r="D3997" s="1403" t="s">
        <v>3192</v>
      </c>
      <c r="E3997" s="1404" t="s">
        <v>14798</v>
      </c>
      <c r="F3997" s="1405" t="s">
        <v>5299</v>
      </c>
      <c r="G3997" s="1403" t="s">
        <v>2771</v>
      </c>
      <c r="H3997" s="1406" t="s">
        <v>1069</v>
      </c>
    </row>
    <row r="3998" spans="2:8" x14ac:dyDescent="0.2">
      <c r="B3998" s="1407" t="str">
        <f t="shared" si="64"/>
        <v>Scott McKenzie</v>
      </c>
      <c r="C3998" s="1402" t="s">
        <v>8185</v>
      </c>
      <c r="D3998" s="1403" t="s">
        <v>10947</v>
      </c>
      <c r="E3998" s="1404" t="s">
        <v>14799</v>
      </c>
      <c r="F3998" s="1405" t="s">
        <v>13210</v>
      </c>
      <c r="G3998" s="1403" t="s">
        <v>14800</v>
      </c>
      <c r="H3998" s="1406" t="s">
        <v>1069</v>
      </c>
    </row>
    <row r="3999" spans="2:8" x14ac:dyDescent="0.2">
      <c r="B3999" s="1407" t="str">
        <f t="shared" si="64"/>
        <v>Ryan McPhail</v>
      </c>
      <c r="C3999" s="1402" t="s">
        <v>11500</v>
      </c>
      <c r="D3999" s="1403" t="s">
        <v>3686</v>
      </c>
      <c r="E3999" s="1404" t="s">
        <v>11501</v>
      </c>
      <c r="F3999" s="1405" t="s">
        <v>5299</v>
      </c>
      <c r="G3999" s="1403" t="s">
        <v>2771</v>
      </c>
      <c r="H3999" s="1406" t="s">
        <v>1069</v>
      </c>
    </row>
    <row r="4000" spans="2:8" x14ac:dyDescent="0.2">
      <c r="B4000" s="1407" t="str">
        <f t="shared" si="64"/>
        <v>Oriano Micheletti</v>
      </c>
      <c r="C4000" s="1402" t="s">
        <v>6588</v>
      </c>
      <c r="D4000" s="1403" t="s">
        <v>3313</v>
      </c>
      <c r="E4000" s="1404" t="s">
        <v>13463</v>
      </c>
      <c r="F4000" s="1405" t="s">
        <v>5300</v>
      </c>
      <c r="G4000" s="1403" t="s">
        <v>14682</v>
      </c>
      <c r="H4000" s="1406" t="s">
        <v>1069</v>
      </c>
    </row>
    <row r="4001" spans="2:8" x14ac:dyDescent="0.2">
      <c r="B4001" s="1407" t="str">
        <f t="shared" si="64"/>
        <v>Dave Minty</v>
      </c>
      <c r="C4001" s="1402" t="s">
        <v>8188</v>
      </c>
      <c r="D4001" s="1403" t="s">
        <v>3046</v>
      </c>
      <c r="E4001" s="1404" t="s">
        <v>8558</v>
      </c>
      <c r="F4001" s="1405" t="s">
        <v>5300</v>
      </c>
      <c r="G4001" s="1403" t="s">
        <v>14787</v>
      </c>
      <c r="H4001" s="1406" t="s">
        <v>1069</v>
      </c>
    </row>
    <row r="4002" spans="2:8" x14ac:dyDescent="0.2">
      <c r="B4002" s="1407" t="str">
        <f t="shared" si="64"/>
        <v>Colin Nicol</v>
      </c>
      <c r="C4002" s="1402" t="s">
        <v>14074</v>
      </c>
      <c r="D4002" s="1403" t="s">
        <v>3114</v>
      </c>
      <c r="E4002" s="1404" t="s">
        <v>14075</v>
      </c>
      <c r="F4002" s="1405" t="s">
        <v>5300</v>
      </c>
      <c r="G4002" s="1403" t="s">
        <v>14787</v>
      </c>
      <c r="H4002" s="1406" t="s">
        <v>1069</v>
      </c>
    </row>
    <row r="4003" spans="2:8" x14ac:dyDescent="0.2">
      <c r="B4003" s="1407" t="str">
        <f t="shared" si="64"/>
        <v>Kevin Smith</v>
      </c>
      <c r="C4003" s="1402" t="s">
        <v>5936</v>
      </c>
      <c r="D4003" s="1403" t="s">
        <v>3263</v>
      </c>
      <c r="E4003" s="1404" t="s">
        <v>14791</v>
      </c>
      <c r="F4003" s="1405" t="s">
        <v>5299</v>
      </c>
      <c r="G4003" s="1403" t="s">
        <v>2771</v>
      </c>
      <c r="H4003" s="1406" t="s">
        <v>1069</v>
      </c>
    </row>
    <row r="4004" spans="2:8" x14ac:dyDescent="0.2">
      <c r="B4004" s="1407" t="str">
        <f t="shared" si="64"/>
        <v>Brian Spoors</v>
      </c>
      <c r="C4004" s="1402" t="s">
        <v>10050</v>
      </c>
      <c r="D4004" s="1403" t="s">
        <v>3195</v>
      </c>
      <c r="E4004" s="1404" t="s">
        <v>10243</v>
      </c>
      <c r="F4004" s="1405" t="s">
        <v>5300</v>
      </c>
      <c r="G4004" s="1403" t="s">
        <v>2771</v>
      </c>
      <c r="H4004" s="1406" t="s">
        <v>1069</v>
      </c>
    </row>
    <row r="4005" spans="2:8" x14ac:dyDescent="0.2">
      <c r="B4005" s="1407" t="str">
        <f t="shared" si="64"/>
        <v>Gary Stewart</v>
      </c>
      <c r="C4005" s="1402" t="s">
        <v>11064</v>
      </c>
      <c r="D4005" s="1403" t="s">
        <v>3192</v>
      </c>
      <c r="E4005" s="1404" t="s">
        <v>14073</v>
      </c>
      <c r="F4005" s="1405"/>
      <c r="G4005" s="1403" t="s">
        <v>14787</v>
      </c>
      <c r="H4005" s="1406" t="s">
        <v>1069</v>
      </c>
    </row>
    <row r="4006" spans="2:8" x14ac:dyDescent="0.2">
      <c r="B4006" s="1407" t="str">
        <f t="shared" si="64"/>
        <v>Craig Thom</v>
      </c>
      <c r="C4006" s="1402" t="s">
        <v>7456</v>
      </c>
      <c r="D4006" s="1403" t="s">
        <v>3188</v>
      </c>
      <c r="E4006" s="1404" t="s">
        <v>7633</v>
      </c>
      <c r="F4006" s="1405" t="s">
        <v>5299</v>
      </c>
      <c r="G4006" s="1403" t="s">
        <v>14787</v>
      </c>
      <c r="H4006" s="1406" t="s">
        <v>1069</v>
      </c>
    </row>
    <row r="4007" spans="2:8" x14ac:dyDescent="0.2">
      <c r="B4007" s="1407" t="str">
        <f t="shared" si="64"/>
        <v>Chad Wright</v>
      </c>
      <c r="C4007" s="1402" t="s">
        <v>8778</v>
      </c>
      <c r="D4007" s="1403" t="s">
        <v>14789</v>
      </c>
      <c r="E4007" s="1404" t="s">
        <v>14790</v>
      </c>
      <c r="F4007" s="1405" t="s">
        <v>5300</v>
      </c>
      <c r="G4007" s="1403" t="s">
        <v>2771</v>
      </c>
      <c r="H4007" s="1406" t="s">
        <v>1069</v>
      </c>
    </row>
    <row r="4008" spans="2:8" x14ac:dyDescent="0.2">
      <c r="B4008" s="1407" t="str">
        <f t="shared" si="64"/>
        <v>Bruce Henderson</v>
      </c>
      <c r="C4008" s="1402" t="s">
        <v>16940</v>
      </c>
      <c r="D4008" s="1403" t="s">
        <v>18050</v>
      </c>
      <c r="E4008" s="1404" t="s">
        <v>18051</v>
      </c>
      <c r="F4008" s="1405" t="s">
        <v>5300</v>
      </c>
      <c r="G4008" s="1403" t="s">
        <v>13600</v>
      </c>
      <c r="H4008" s="1406" t="s">
        <v>1069</v>
      </c>
    </row>
    <row r="4009" spans="2:8" x14ac:dyDescent="0.2">
      <c r="B4009" s="1407" t="str">
        <f t="shared" si="64"/>
        <v>Ric Rivas</v>
      </c>
      <c r="C4009" s="1402" t="s">
        <v>6768</v>
      </c>
      <c r="D4009" s="1403" t="s">
        <v>7032</v>
      </c>
      <c r="E4009" s="1404" t="s">
        <v>8559</v>
      </c>
      <c r="F4009" s="1405" t="s">
        <v>5300</v>
      </c>
      <c r="G4009" s="1403" t="s">
        <v>8716</v>
      </c>
      <c r="H4009" s="1406" t="s">
        <v>7916</v>
      </c>
    </row>
    <row r="4010" spans="2:8" x14ac:dyDescent="0.2">
      <c r="B4010" s="1407" t="str">
        <f t="shared" si="64"/>
        <v>Rudy Hesty Roslan</v>
      </c>
      <c r="C4010" s="1402" t="s">
        <v>6769</v>
      </c>
      <c r="D4010" s="1403" t="s">
        <v>3160</v>
      </c>
      <c r="E4010" s="1404" t="s">
        <v>8560</v>
      </c>
      <c r="F4010" s="1405" t="s">
        <v>5299</v>
      </c>
      <c r="G4010" s="1403" t="s">
        <v>7270</v>
      </c>
      <c r="H4010" s="1406" t="s">
        <v>7916</v>
      </c>
    </row>
    <row r="4011" spans="2:8" x14ac:dyDescent="0.2">
      <c r="B4011" s="1407" t="str">
        <f t="shared" si="64"/>
        <v>Amin Mohd Anis</v>
      </c>
      <c r="C4011" s="1402" t="s">
        <v>6770</v>
      </c>
      <c r="D4011" s="1403" t="s">
        <v>3521</v>
      </c>
      <c r="E4011" s="1404" t="s">
        <v>8561</v>
      </c>
      <c r="F4011" s="1405" t="s">
        <v>5299</v>
      </c>
      <c r="G4011" s="1403" t="s">
        <v>7270</v>
      </c>
      <c r="H4011" s="1406" t="s">
        <v>7916</v>
      </c>
    </row>
    <row r="4012" spans="2:8" x14ac:dyDescent="0.2">
      <c r="B4012" s="1407" t="str">
        <f t="shared" si="64"/>
        <v>Muhd Irshadullah Mohd Yusoff</v>
      </c>
      <c r="C4012" s="1402" t="s">
        <v>6771</v>
      </c>
      <c r="D4012" s="1403" t="s">
        <v>3515</v>
      </c>
      <c r="E4012" s="1404" t="s">
        <v>8562</v>
      </c>
      <c r="F4012" s="1405" t="s">
        <v>5299</v>
      </c>
      <c r="G4012" s="1403" t="s">
        <v>7270</v>
      </c>
      <c r="H4012" s="1406" t="s">
        <v>7916</v>
      </c>
    </row>
    <row r="4013" spans="2:8" x14ac:dyDescent="0.2">
      <c r="B4013" s="1407" t="str">
        <f t="shared" si="64"/>
        <v>Noor Haikal Mohd Sabah</v>
      </c>
      <c r="C4013" s="1402" t="s">
        <v>6772</v>
      </c>
      <c r="D4013" s="1403" t="s">
        <v>3470</v>
      </c>
      <c r="E4013" s="1404" t="s">
        <v>8563</v>
      </c>
      <c r="F4013" s="1405" t="s">
        <v>5299</v>
      </c>
      <c r="G4013" s="1403" t="s">
        <v>7270</v>
      </c>
      <c r="H4013" s="1406" t="s">
        <v>7916</v>
      </c>
    </row>
    <row r="4014" spans="2:8" x14ac:dyDescent="0.2">
      <c r="B4014" s="1407" t="str">
        <f t="shared" si="64"/>
        <v>Muhd Farhan Othman</v>
      </c>
      <c r="C4014" s="1402" t="s">
        <v>6773</v>
      </c>
      <c r="D4014" s="1403" t="s">
        <v>3546</v>
      </c>
      <c r="E4014" s="1404" t="s">
        <v>8564</v>
      </c>
      <c r="F4014" s="1405" t="s">
        <v>5299</v>
      </c>
      <c r="G4014" s="1403" t="s">
        <v>7270</v>
      </c>
      <c r="H4014" s="1406" t="s">
        <v>7916</v>
      </c>
    </row>
    <row r="4015" spans="2:8" x14ac:dyDescent="0.2">
      <c r="B4015" s="1407" t="str">
        <f t="shared" si="64"/>
        <v>Mohd Rizal Taib</v>
      </c>
      <c r="C4015" s="1402" t="s">
        <v>6774</v>
      </c>
      <c r="D4015" s="1403" t="s">
        <v>3481</v>
      </c>
      <c r="E4015" s="1404" t="s">
        <v>8565</v>
      </c>
      <c r="F4015" s="1405" t="s">
        <v>5300</v>
      </c>
      <c r="G4015" s="1403" t="s">
        <v>7270</v>
      </c>
      <c r="H4015" s="1406" t="s">
        <v>7916</v>
      </c>
    </row>
    <row r="4016" spans="2:8" x14ac:dyDescent="0.2">
      <c r="B4016" s="1407" t="str">
        <f t="shared" si="64"/>
        <v>Wee Lik Soh</v>
      </c>
      <c r="C4016" s="1402" t="s">
        <v>6775</v>
      </c>
      <c r="D4016" s="1403" t="s">
        <v>3251</v>
      </c>
      <c r="E4016" s="1404" t="s">
        <v>8566</v>
      </c>
      <c r="F4016" s="1405" t="s">
        <v>5300</v>
      </c>
      <c r="G4016" s="1403" t="s">
        <v>7270</v>
      </c>
      <c r="H4016" s="1406" t="s">
        <v>7916</v>
      </c>
    </row>
    <row r="4017" spans="2:8" x14ac:dyDescent="0.2">
      <c r="B4017" s="1407" t="str">
        <f t="shared" si="64"/>
        <v>Mohd Farhan Jaafar</v>
      </c>
      <c r="C4017" s="1402" t="s">
        <v>6776</v>
      </c>
      <c r="D4017" s="1403" t="s">
        <v>3578</v>
      </c>
      <c r="E4017" s="1404" t="s">
        <v>8567</v>
      </c>
      <c r="F4017" s="1405" t="s">
        <v>5299</v>
      </c>
      <c r="G4017" s="1403" t="s">
        <v>7270</v>
      </c>
      <c r="H4017" s="1406" t="s">
        <v>7916</v>
      </c>
    </row>
    <row r="4018" spans="2:8" x14ac:dyDescent="0.2">
      <c r="B4018" s="1407" t="str">
        <f t="shared" si="64"/>
        <v>Muhd Fadhly Fahmi</v>
      </c>
      <c r="C4018" s="1402" t="s">
        <v>6777</v>
      </c>
      <c r="D4018" s="1403" t="s">
        <v>3309</v>
      </c>
      <c r="E4018" s="1404" t="s">
        <v>8568</v>
      </c>
      <c r="F4018" s="1405" t="s">
        <v>5299</v>
      </c>
      <c r="G4018" s="1403" t="s">
        <v>7270</v>
      </c>
      <c r="H4018" s="1406" t="s">
        <v>7916</v>
      </c>
    </row>
    <row r="4019" spans="2:8" x14ac:dyDescent="0.2">
      <c r="B4019" s="1407" t="str">
        <f t="shared" si="64"/>
        <v>Jonathan Cheong</v>
      </c>
      <c r="C4019" s="1402" t="s">
        <v>6778</v>
      </c>
      <c r="D4019" s="1403" t="s">
        <v>3293</v>
      </c>
      <c r="E4019" s="1404" t="s">
        <v>8569</v>
      </c>
      <c r="F4019" s="1405" t="s">
        <v>5299</v>
      </c>
      <c r="G4019" s="1403" t="s">
        <v>7270</v>
      </c>
      <c r="H4019" s="1406" t="s">
        <v>7916</v>
      </c>
    </row>
    <row r="4020" spans="2:8" x14ac:dyDescent="0.2">
      <c r="B4020" s="1407" t="str">
        <f t="shared" si="64"/>
        <v>Muhammad Azhar Yusri</v>
      </c>
      <c r="C4020" s="1402" t="s">
        <v>6779</v>
      </c>
      <c r="D4020" s="1403" t="s">
        <v>3489</v>
      </c>
      <c r="E4020" s="1404" t="s">
        <v>8570</v>
      </c>
      <c r="F4020" s="1405" t="s">
        <v>5299</v>
      </c>
      <c r="G4020" s="1403" t="s">
        <v>7270</v>
      </c>
      <c r="H4020" s="1406" t="s">
        <v>7916</v>
      </c>
    </row>
    <row r="4021" spans="2:8" x14ac:dyDescent="0.2">
      <c r="B4021" s="1407" t="str">
        <f t="shared" si="64"/>
        <v>Susiayanto Sunaryo</v>
      </c>
      <c r="C4021" s="1402" t="s">
        <v>6780</v>
      </c>
      <c r="D4021" s="1403" t="s">
        <v>3585</v>
      </c>
      <c r="E4021" s="1404" t="s">
        <v>8571</v>
      </c>
      <c r="F4021" s="1405" t="s">
        <v>5299</v>
      </c>
      <c r="G4021" s="1403" t="s">
        <v>7270</v>
      </c>
      <c r="H4021" s="1406" t="s">
        <v>7916</v>
      </c>
    </row>
    <row r="4022" spans="2:8" x14ac:dyDescent="0.2">
      <c r="B4022" s="1407" t="str">
        <f t="shared" si="64"/>
        <v>Suhermanto Sunaryo</v>
      </c>
      <c r="C4022" s="1402" t="s">
        <v>6780</v>
      </c>
      <c r="D4022" s="1403" t="s">
        <v>3561</v>
      </c>
      <c r="E4022" s="1404" t="s">
        <v>8572</v>
      </c>
      <c r="F4022" s="1405" t="s">
        <v>5299</v>
      </c>
      <c r="G4022" s="1403" t="s">
        <v>7270</v>
      </c>
      <c r="H4022" s="1406" t="s">
        <v>7916</v>
      </c>
    </row>
    <row r="4023" spans="2:8" x14ac:dyDescent="0.2">
      <c r="B4023" s="1407" t="str">
        <f t="shared" si="64"/>
        <v>Siang Ping, Jeslin Tan</v>
      </c>
      <c r="C4023" s="1402" t="s">
        <v>6781</v>
      </c>
      <c r="D4023" s="1403" t="s">
        <v>3227</v>
      </c>
      <c r="E4023" s="1404" t="s">
        <v>8573</v>
      </c>
      <c r="F4023" s="1405" t="s">
        <v>5299</v>
      </c>
      <c r="G4023" s="1403" t="s">
        <v>7270</v>
      </c>
      <c r="H4023" s="1406" t="s">
        <v>7916</v>
      </c>
    </row>
    <row r="4024" spans="2:8" x14ac:dyDescent="0.2">
      <c r="B4024" s="1407" t="str">
        <f t="shared" si="64"/>
        <v>Muhd Azim Haikal Azhar</v>
      </c>
      <c r="C4024" s="1402" t="s">
        <v>6782</v>
      </c>
      <c r="D4024" s="1403" t="s">
        <v>3310</v>
      </c>
      <c r="E4024" s="1404" t="s">
        <v>8574</v>
      </c>
      <c r="F4024" s="1405" t="s">
        <v>5299</v>
      </c>
      <c r="G4024" s="1403" t="s">
        <v>7270</v>
      </c>
      <c r="H4024" s="1406" t="s">
        <v>7916</v>
      </c>
    </row>
    <row r="4025" spans="2:8" x14ac:dyDescent="0.2">
      <c r="B4025" s="1407" t="str">
        <f t="shared" si="64"/>
        <v>Nur Hazely Azman</v>
      </c>
      <c r="C4025" s="1402" t="s">
        <v>6667</v>
      </c>
      <c r="D4025" s="1403" t="s">
        <v>3672</v>
      </c>
      <c r="E4025" s="1404" t="s">
        <v>8575</v>
      </c>
      <c r="F4025" s="1405" t="s">
        <v>5299</v>
      </c>
      <c r="G4025" s="1403" t="s">
        <v>7270</v>
      </c>
      <c r="H4025" s="1406" t="s">
        <v>7916</v>
      </c>
    </row>
    <row r="4026" spans="2:8" x14ac:dyDescent="0.2">
      <c r="B4026" s="1407" t="str">
        <f t="shared" si="64"/>
        <v>Chong Leng, Eddie Yap</v>
      </c>
      <c r="C4026" s="1402" t="s">
        <v>6783</v>
      </c>
      <c r="D4026" s="1403" t="s">
        <v>3590</v>
      </c>
      <c r="E4026" s="1404" t="s">
        <v>8576</v>
      </c>
      <c r="F4026" s="1405" t="s">
        <v>5299</v>
      </c>
      <c r="G4026" s="1403" t="s">
        <v>7270</v>
      </c>
      <c r="H4026" s="1406" t="s">
        <v>7916</v>
      </c>
    </row>
    <row r="4027" spans="2:8" x14ac:dyDescent="0.2">
      <c r="B4027" s="1407" t="str">
        <f t="shared" si="64"/>
        <v>Fatin Fazura</v>
      </c>
      <c r="C4027" s="1402" t="s">
        <v>6784</v>
      </c>
      <c r="D4027" s="1403" t="s">
        <v>3659</v>
      </c>
      <c r="E4027" s="1404" t="s">
        <v>8577</v>
      </c>
      <c r="F4027" s="1405" t="s">
        <v>5299</v>
      </c>
      <c r="G4027" s="1403" t="s">
        <v>7270</v>
      </c>
      <c r="H4027" s="1406" t="s">
        <v>7916</v>
      </c>
    </row>
    <row r="4028" spans="2:8" x14ac:dyDescent="0.2">
      <c r="B4028" s="1407" t="str">
        <f t="shared" si="64"/>
        <v>Muhd Adam Ihsan Boon</v>
      </c>
      <c r="C4028" s="1402" t="s">
        <v>6785</v>
      </c>
      <c r="D4028" s="1403" t="s">
        <v>7033</v>
      </c>
      <c r="E4028" s="1404" t="s">
        <v>8578</v>
      </c>
      <c r="F4028" s="1405" t="s">
        <v>5299</v>
      </c>
      <c r="G4028" s="1403" t="s">
        <v>7270</v>
      </c>
      <c r="H4028" s="1406" t="s">
        <v>7916</v>
      </c>
    </row>
    <row r="4029" spans="2:8" x14ac:dyDescent="0.2">
      <c r="B4029" s="1407" t="str">
        <f t="shared" si="64"/>
        <v>Muhd Farhan Daud</v>
      </c>
      <c r="C4029" s="1402" t="s">
        <v>6786</v>
      </c>
      <c r="D4029" s="1403" t="s">
        <v>3546</v>
      </c>
      <c r="E4029" s="1404" t="s">
        <v>8579</v>
      </c>
      <c r="F4029" s="1405" t="s">
        <v>5299</v>
      </c>
      <c r="G4029" s="1403" t="s">
        <v>7270</v>
      </c>
      <c r="H4029" s="1406" t="s">
        <v>7916</v>
      </c>
    </row>
    <row r="4030" spans="2:8" x14ac:dyDescent="0.2">
      <c r="B4030" s="1407" t="str">
        <f t="shared" si="64"/>
        <v>Hui Lan, Cindy Yap</v>
      </c>
      <c r="C4030" s="1402" t="s">
        <v>6783</v>
      </c>
      <c r="D4030" s="1403" t="s">
        <v>3660</v>
      </c>
      <c r="E4030" s="1404" t="s">
        <v>8580</v>
      </c>
      <c r="F4030" s="1405" t="s">
        <v>5299</v>
      </c>
      <c r="G4030" s="1403" t="s">
        <v>7270</v>
      </c>
      <c r="H4030" s="1406" t="s">
        <v>7916</v>
      </c>
    </row>
    <row r="4031" spans="2:8" x14ac:dyDescent="0.2">
      <c r="B4031" s="1407" t="str">
        <f t="shared" si="64"/>
        <v>Muhd Ashraf Daud</v>
      </c>
      <c r="C4031" s="1402" t="s">
        <v>6786</v>
      </c>
      <c r="D4031" s="1403" t="s">
        <v>7034</v>
      </c>
      <c r="E4031" s="1404" t="s">
        <v>8581</v>
      </c>
      <c r="F4031" s="1405" t="s">
        <v>5299</v>
      </c>
      <c r="G4031" s="1403" t="s">
        <v>7270</v>
      </c>
      <c r="H4031" s="1406" t="s">
        <v>7916</v>
      </c>
    </row>
    <row r="4032" spans="2:8" x14ac:dyDescent="0.2">
      <c r="B4032" s="1407" t="str">
        <f t="shared" si="64"/>
        <v>Azan Asbi</v>
      </c>
      <c r="C4032" s="1402" t="s">
        <v>6787</v>
      </c>
      <c r="D4032" s="1403" t="s">
        <v>7035</v>
      </c>
      <c r="E4032" s="1404" t="s">
        <v>8582</v>
      </c>
      <c r="F4032" s="1405" t="s">
        <v>5299</v>
      </c>
      <c r="G4032" s="1403" t="s">
        <v>7270</v>
      </c>
      <c r="H4032" s="1406" t="s">
        <v>7916</v>
      </c>
    </row>
    <row r="4033" spans="2:8" x14ac:dyDescent="0.2">
      <c r="B4033" s="1407" t="str">
        <f t="shared" si="64"/>
        <v>Hasyafiq Razali</v>
      </c>
      <c r="C4033" s="1402" t="s">
        <v>6788</v>
      </c>
      <c r="D4033" s="1403" t="s">
        <v>7036</v>
      </c>
      <c r="E4033" s="1404" t="s">
        <v>8583</v>
      </c>
      <c r="F4033" s="1405" t="s">
        <v>5299</v>
      </c>
      <c r="G4033" s="1403" t="s">
        <v>7270</v>
      </c>
      <c r="H4033" s="1406" t="s">
        <v>7916</v>
      </c>
    </row>
    <row r="4034" spans="2:8" x14ac:dyDescent="0.2">
      <c r="B4034" s="1407" t="str">
        <f t="shared" si="64"/>
        <v>Sulaiman Marican Osman</v>
      </c>
      <c r="C4034" s="1402" t="s">
        <v>6789</v>
      </c>
      <c r="D4034" s="1403" t="s">
        <v>7037</v>
      </c>
      <c r="E4034" s="1404" t="s">
        <v>8584</v>
      </c>
      <c r="F4034" s="1405" t="s">
        <v>5299</v>
      </c>
      <c r="G4034" s="1403" t="s">
        <v>7270</v>
      </c>
      <c r="H4034" s="1406" t="s">
        <v>7916</v>
      </c>
    </row>
    <row r="4035" spans="2:8" x14ac:dyDescent="0.2">
      <c r="B4035" s="1407" t="str">
        <f t="shared" si="64"/>
        <v>Tiong Hian Ng</v>
      </c>
      <c r="C4035" s="1402" t="s">
        <v>6790</v>
      </c>
      <c r="D4035" s="1403" t="s">
        <v>3589</v>
      </c>
      <c r="E4035" s="1404" t="s">
        <v>8585</v>
      </c>
      <c r="F4035" s="1405" t="s">
        <v>5299</v>
      </c>
      <c r="G4035" s="1403" t="s">
        <v>7270</v>
      </c>
      <c r="H4035" s="1406" t="s">
        <v>7916</v>
      </c>
    </row>
    <row r="4036" spans="2:8" x14ac:dyDescent="0.2">
      <c r="B4036" s="1407" t="str">
        <f t="shared" si="64"/>
        <v>Xin Yu Chang</v>
      </c>
      <c r="C4036" s="1402" t="s">
        <v>6791</v>
      </c>
      <c r="D4036" s="1403" t="s">
        <v>3656</v>
      </c>
      <c r="E4036" s="1404" t="s">
        <v>8586</v>
      </c>
      <c r="F4036" s="1405" t="s">
        <v>5299</v>
      </c>
      <c r="G4036" s="1403" t="s">
        <v>7270</v>
      </c>
      <c r="H4036" s="1406" t="s">
        <v>7916</v>
      </c>
    </row>
    <row r="4037" spans="2:8" x14ac:dyDescent="0.2">
      <c r="B4037" s="1407" t="str">
        <f t="shared" si="64"/>
        <v>Celine Koh</v>
      </c>
      <c r="C4037" s="1402" t="s">
        <v>8189</v>
      </c>
      <c r="D4037" s="1403" t="s">
        <v>3657</v>
      </c>
      <c r="E4037" s="1404" t="s">
        <v>8587</v>
      </c>
      <c r="F4037" s="1405" t="s">
        <v>5299</v>
      </c>
      <c r="G4037" s="1403" t="s">
        <v>7270</v>
      </c>
      <c r="H4037" s="1406" t="s">
        <v>7916</v>
      </c>
    </row>
    <row r="4038" spans="2:8" x14ac:dyDescent="0.2">
      <c r="B4038" s="1407" t="str">
        <f t="shared" si="64"/>
        <v>Peter Ooi</v>
      </c>
      <c r="C4038" s="1402" t="s">
        <v>6792</v>
      </c>
      <c r="D4038" s="1403" t="s">
        <v>3194</v>
      </c>
      <c r="E4038" s="1404" t="s">
        <v>8588</v>
      </c>
      <c r="F4038" s="1405" t="s">
        <v>5300</v>
      </c>
      <c r="G4038" s="1403" t="s">
        <v>7270</v>
      </c>
      <c r="H4038" s="1406" t="s">
        <v>7916</v>
      </c>
    </row>
    <row r="4039" spans="2:8" x14ac:dyDescent="0.2">
      <c r="B4039" s="1407" t="str">
        <f t="shared" si="64"/>
        <v>Den Mulia Yusni</v>
      </c>
      <c r="C4039" s="1402" t="s">
        <v>6793</v>
      </c>
      <c r="D4039" s="1403" t="s">
        <v>3118</v>
      </c>
      <c r="E4039" s="1404" t="s">
        <v>8589</v>
      </c>
      <c r="F4039" s="1405" t="s">
        <v>5300</v>
      </c>
      <c r="G4039" s="1403" t="s">
        <v>8716</v>
      </c>
      <c r="H4039" s="1406" t="s">
        <v>7916</v>
      </c>
    </row>
    <row r="4040" spans="2:8" x14ac:dyDescent="0.2">
      <c r="B4040" s="1407" t="str">
        <f t="shared" si="64"/>
        <v>Ji Quan, Joel Long</v>
      </c>
      <c r="C4040" s="1402" t="s">
        <v>6794</v>
      </c>
      <c r="D4040" s="1403" t="s">
        <v>3237</v>
      </c>
      <c r="E4040" s="1404" t="s">
        <v>8590</v>
      </c>
      <c r="F4040" s="1405" t="s">
        <v>5299</v>
      </c>
      <c r="G4040" s="1403" t="s">
        <v>2762</v>
      </c>
      <c r="H4040" s="1406" t="s">
        <v>7916</v>
      </c>
    </row>
    <row r="4041" spans="2:8" x14ac:dyDescent="0.2">
      <c r="B4041" s="1407" t="str">
        <f t="shared" si="64"/>
        <v>Mursyid Mazlan</v>
      </c>
      <c r="C4041" s="1402" t="s">
        <v>6795</v>
      </c>
      <c r="D4041" s="1403" t="s">
        <v>3569</v>
      </c>
      <c r="E4041" s="1404" t="s">
        <v>8591</v>
      </c>
      <c r="F4041" s="1405" t="s">
        <v>5299</v>
      </c>
      <c r="G4041" s="1403" t="s">
        <v>2762</v>
      </c>
      <c r="H4041" s="1406" t="s">
        <v>7916</v>
      </c>
    </row>
    <row r="4042" spans="2:8" x14ac:dyDescent="0.2">
      <c r="B4042" s="1407" t="str">
        <f t="shared" ref="B4042:B4105" si="65">TRIM(CONCATENATE(D4042," ",C4042))</f>
        <v>Oliver Ong</v>
      </c>
      <c r="C4042" s="1402" t="s">
        <v>6796</v>
      </c>
      <c r="D4042" s="1403" t="s">
        <v>3298</v>
      </c>
      <c r="E4042" s="1404" t="s">
        <v>8592</v>
      </c>
      <c r="F4042" s="1405" t="s">
        <v>5300</v>
      </c>
      <c r="G4042" s="1403" t="s">
        <v>2762</v>
      </c>
      <c r="H4042" s="1406" t="s">
        <v>7916</v>
      </c>
    </row>
    <row r="4043" spans="2:8" x14ac:dyDescent="0.2">
      <c r="B4043" s="1407" t="str">
        <f t="shared" si="65"/>
        <v>Muhd Faruk Firdaus</v>
      </c>
      <c r="C4043" s="1402" t="s">
        <v>6797</v>
      </c>
      <c r="D4043" s="1403" t="s">
        <v>3488</v>
      </c>
      <c r="E4043" s="1404" t="s">
        <v>8593</v>
      </c>
      <c r="F4043" s="1405" t="s">
        <v>5299</v>
      </c>
      <c r="G4043" s="1403" t="s">
        <v>2762</v>
      </c>
      <c r="H4043" s="1406" t="s">
        <v>7916</v>
      </c>
    </row>
    <row r="4044" spans="2:8" x14ac:dyDescent="0.2">
      <c r="B4044" s="1407" t="str">
        <f t="shared" si="65"/>
        <v>Abdul Haris</v>
      </c>
      <c r="C4044" s="1402" t="s">
        <v>3547</v>
      </c>
      <c r="D4044" s="1403" t="s">
        <v>8301</v>
      </c>
      <c r="E4044" s="1404" t="s">
        <v>8594</v>
      </c>
      <c r="F4044" s="1405" t="s">
        <v>5299</v>
      </c>
      <c r="G4044" s="1403" t="s">
        <v>2762</v>
      </c>
      <c r="H4044" s="1406" t="s">
        <v>7916</v>
      </c>
    </row>
    <row r="4045" spans="2:8" x14ac:dyDescent="0.2">
      <c r="B4045" s="1407" t="str">
        <f t="shared" si="65"/>
        <v>Muhd Farhan Fahmi</v>
      </c>
      <c r="C4045" s="1402" t="s">
        <v>6777</v>
      </c>
      <c r="D4045" s="1403" t="s">
        <v>3546</v>
      </c>
      <c r="E4045" s="1404" t="s">
        <v>8595</v>
      </c>
      <c r="F4045" s="1405" t="s">
        <v>5299</v>
      </c>
      <c r="G4045" s="1403" t="s">
        <v>2762</v>
      </c>
      <c r="H4045" s="1406" t="s">
        <v>7916</v>
      </c>
    </row>
    <row r="4046" spans="2:8" x14ac:dyDescent="0.2">
      <c r="B4046" s="1407" t="str">
        <f t="shared" si="65"/>
        <v>Norizal Mohd Noor</v>
      </c>
      <c r="C4046" s="1402" t="s">
        <v>6798</v>
      </c>
      <c r="D4046" s="1403" t="s">
        <v>3588</v>
      </c>
      <c r="E4046" s="1404" t="s">
        <v>8596</v>
      </c>
      <c r="F4046" s="1405" t="s">
        <v>5299</v>
      </c>
      <c r="G4046" s="1403" t="s">
        <v>2762</v>
      </c>
      <c r="H4046" s="1406" t="s">
        <v>7916</v>
      </c>
    </row>
    <row r="4047" spans="2:8" x14ac:dyDescent="0.2">
      <c r="B4047" s="1407" t="str">
        <f t="shared" si="65"/>
        <v>Mohd Asyraaf Husain</v>
      </c>
      <c r="C4047" s="1402" t="s">
        <v>6799</v>
      </c>
      <c r="D4047" s="1403" t="s">
        <v>3671</v>
      </c>
      <c r="E4047" s="1404" t="s">
        <v>8597</v>
      </c>
      <c r="F4047" s="1405" t="s">
        <v>5299</v>
      </c>
      <c r="G4047" s="1403" t="s">
        <v>2762</v>
      </c>
      <c r="H4047" s="1406" t="s">
        <v>7916</v>
      </c>
    </row>
    <row r="4048" spans="2:8" x14ac:dyDescent="0.2">
      <c r="B4048" s="1407" t="str">
        <f t="shared" si="65"/>
        <v>Muhd Firdaus Sukaimi</v>
      </c>
      <c r="C4048" s="1402" t="s">
        <v>6800</v>
      </c>
      <c r="D4048" s="1403" t="s">
        <v>3584</v>
      </c>
      <c r="E4048" s="1404" t="s">
        <v>8598</v>
      </c>
      <c r="F4048" s="1405" t="s">
        <v>5299</v>
      </c>
      <c r="G4048" s="1403" t="s">
        <v>2762</v>
      </c>
      <c r="H4048" s="1406" t="s">
        <v>7916</v>
      </c>
    </row>
    <row r="4049" spans="2:8" x14ac:dyDescent="0.2">
      <c r="B4049" s="1407" t="str">
        <f t="shared" si="65"/>
        <v>Mohd Faruq Mohd Noor</v>
      </c>
      <c r="C4049" s="1402" t="s">
        <v>6798</v>
      </c>
      <c r="D4049" s="1403" t="s">
        <v>3333</v>
      </c>
      <c r="E4049" s="1404" t="s">
        <v>8599</v>
      </c>
      <c r="F4049" s="1405" t="s">
        <v>5299</v>
      </c>
      <c r="G4049" s="1403" t="s">
        <v>2762</v>
      </c>
      <c r="H4049" s="1406" t="s">
        <v>7916</v>
      </c>
    </row>
    <row r="4050" spans="2:8" x14ac:dyDescent="0.2">
      <c r="B4050" s="1407" t="str">
        <f t="shared" si="65"/>
        <v>Erza Aripin</v>
      </c>
      <c r="C4050" s="1402" t="s">
        <v>6801</v>
      </c>
      <c r="D4050" s="1403" t="s">
        <v>3299</v>
      </c>
      <c r="E4050" s="1404" t="s">
        <v>8600</v>
      </c>
      <c r="F4050" s="1405" t="s">
        <v>5299</v>
      </c>
      <c r="G4050" s="1403" t="s">
        <v>2778</v>
      </c>
      <c r="H4050" s="1406" t="s">
        <v>7916</v>
      </c>
    </row>
    <row r="4051" spans="2:8" x14ac:dyDescent="0.2">
      <c r="B4051" s="1407" t="str">
        <f t="shared" si="65"/>
        <v>Erfandy Kusnadi</v>
      </c>
      <c r="C4051" s="1402" t="s">
        <v>6802</v>
      </c>
      <c r="D4051" s="1403" t="s">
        <v>3474</v>
      </c>
      <c r="E4051" s="1404" t="s">
        <v>8601</v>
      </c>
      <c r="F4051" s="1405" t="s">
        <v>5299</v>
      </c>
      <c r="G4051" s="1403" t="s">
        <v>2767</v>
      </c>
      <c r="H4051" s="1406" t="s">
        <v>7916</v>
      </c>
    </row>
    <row r="4052" spans="2:8" x14ac:dyDescent="0.2">
      <c r="B4052" s="1407" t="str">
        <f t="shared" si="65"/>
        <v>Mohd Ezan Ahmad</v>
      </c>
      <c r="C4052" s="1402" t="s">
        <v>5609</v>
      </c>
      <c r="D4052" s="1403" t="s">
        <v>3143</v>
      </c>
      <c r="E4052" s="1404" t="s">
        <v>8602</v>
      </c>
      <c r="F4052" s="1405" t="s">
        <v>5299</v>
      </c>
      <c r="G4052" s="1403" t="s">
        <v>7270</v>
      </c>
      <c r="H4052" s="1406" t="s">
        <v>7916</v>
      </c>
    </row>
    <row r="4053" spans="2:8" x14ac:dyDescent="0.2">
      <c r="B4053" s="1407" t="str">
        <f t="shared" si="65"/>
        <v>Yu Xiang, Henry Peh</v>
      </c>
      <c r="C4053" s="1402" t="s">
        <v>6803</v>
      </c>
      <c r="D4053" s="1403" t="s">
        <v>3467</v>
      </c>
      <c r="E4053" s="1404" t="s">
        <v>8603</v>
      </c>
      <c r="F4053" s="1405" t="s">
        <v>5299</v>
      </c>
      <c r="G4053" s="1403" t="s">
        <v>7270</v>
      </c>
      <c r="H4053" s="1406" t="s">
        <v>7916</v>
      </c>
    </row>
    <row r="4054" spans="2:8" x14ac:dyDescent="0.2">
      <c r="B4054" s="1407" t="str">
        <f t="shared" si="65"/>
        <v>Yu Zhu, Apple Oh</v>
      </c>
      <c r="C4054" s="1402" t="s">
        <v>6804</v>
      </c>
      <c r="D4054" s="1403" t="s">
        <v>3330</v>
      </c>
      <c r="E4054" s="1404" t="s">
        <v>8604</v>
      </c>
      <c r="F4054" s="1405" t="s">
        <v>5299</v>
      </c>
      <c r="G4054" s="1403" t="s">
        <v>7270</v>
      </c>
      <c r="H4054" s="1406" t="s">
        <v>7916</v>
      </c>
    </row>
    <row r="4055" spans="2:8" x14ac:dyDescent="0.2">
      <c r="B4055" s="1407" t="str">
        <f t="shared" si="65"/>
        <v>Shiong Bock, John Ho</v>
      </c>
      <c r="C4055" s="1402" t="s">
        <v>5838</v>
      </c>
      <c r="D4055" s="1403" t="s">
        <v>3424</v>
      </c>
      <c r="E4055" s="1404" t="s">
        <v>8605</v>
      </c>
      <c r="F4055" s="1405" t="s">
        <v>5300</v>
      </c>
      <c r="G4055" s="1403" t="s">
        <v>8716</v>
      </c>
      <c r="H4055" s="1406" t="s">
        <v>7916</v>
      </c>
    </row>
    <row r="4056" spans="2:8" x14ac:dyDescent="0.2">
      <c r="B4056" s="1407" t="str">
        <f t="shared" si="65"/>
        <v>Yu Wei, Aldrich Lim</v>
      </c>
      <c r="C4056" s="1402" t="s">
        <v>6805</v>
      </c>
      <c r="D4056" s="1403" t="s">
        <v>3533</v>
      </c>
      <c r="E4056" s="1404" t="s">
        <v>8606</v>
      </c>
      <c r="F4056" s="1405" t="s">
        <v>5299</v>
      </c>
      <c r="G4056" s="1403" t="s">
        <v>2767</v>
      </c>
      <c r="H4056" s="1406" t="s">
        <v>7916</v>
      </c>
    </row>
    <row r="4057" spans="2:8" x14ac:dyDescent="0.2">
      <c r="B4057" s="1407" t="str">
        <f t="shared" si="65"/>
        <v>Kok Wee Tan</v>
      </c>
      <c r="C4057" s="1402" t="s">
        <v>6781</v>
      </c>
      <c r="D4057" s="1403" t="s">
        <v>3445</v>
      </c>
      <c r="E4057" s="1404" t="s">
        <v>8607</v>
      </c>
      <c r="F4057" s="1405" t="s">
        <v>5300</v>
      </c>
      <c r="G4057" s="1403" t="s">
        <v>8716</v>
      </c>
      <c r="H4057" s="1406" t="s">
        <v>7916</v>
      </c>
    </row>
    <row r="4058" spans="2:8" x14ac:dyDescent="0.2">
      <c r="B4058" s="1407" t="str">
        <f t="shared" si="65"/>
        <v>Mohd Faizal Abdul Rahman</v>
      </c>
      <c r="C4058" s="1402" t="s">
        <v>6806</v>
      </c>
      <c r="D4058" s="1403" t="s">
        <v>3491</v>
      </c>
      <c r="E4058" s="1404" t="s">
        <v>8608</v>
      </c>
      <c r="F4058" s="1405" t="s">
        <v>5299</v>
      </c>
      <c r="G4058" s="1403" t="s">
        <v>8716</v>
      </c>
      <c r="H4058" s="1406" t="s">
        <v>7916</v>
      </c>
    </row>
    <row r="4059" spans="2:8" x14ac:dyDescent="0.2">
      <c r="B4059" s="1407" t="str">
        <f t="shared" si="65"/>
        <v>Christopher Soh</v>
      </c>
      <c r="C4059" s="1402" t="s">
        <v>6775</v>
      </c>
      <c r="D4059" s="1403" t="s">
        <v>3262</v>
      </c>
      <c r="E4059" s="1404" t="s">
        <v>8609</v>
      </c>
      <c r="F4059" s="1405" t="s">
        <v>5300</v>
      </c>
      <c r="G4059" s="1403" t="s">
        <v>8716</v>
      </c>
      <c r="H4059" s="1406" t="s">
        <v>7916</v>
      </c>
    </row>
    <row r="4060" spans="2:8" x14ac:dyDescent="0.2">
      <c r="B4060" s="1407" t="str">
        <f t="shared" si="65"/>
        <v>Christophe Soh</v>
      </c>
      <c r="C4060" s="1402" t="s">
        <v>6775</v>
      </c>
      <c r="D4060" s="1403" t="s">
        <v>3012</v>
      </c>
      <c r="E4060" s="1404" t="s">
        <v>8610</v>
      </c>
      <c r="F4060" s="1405" t="s">
        <v>5299</v>
      </c>
      <c r="G4060" s="1403" t="s">
        <v>8716</v>
      </c>
      <c r="H4060" s="1406" t="s">
        <v>7916</v>
      </c>
    </row>
    <row r="4061" spans="2:8" x14ac:dyDescent="0.2">
      <c r="B4061" s="1407" t="str">
        <f t="shared" si="65"/>
        <v>Ahmad Zulfadhlee Razali</v>
      </c>
      <c r="C4061" s="1402" t="s">
        <v>6788</v>
      </c>
      <c r="D4061" s="1403" t="s">
        <v>7038</v>
      </c>
      <c r="E4061" s="1404" t="s">
        <v>8611</v>
      </c>
      <c r="F4061" s="1405" t="s">
        <v>5299</v>
      </c>
      <c r="G4061" s="1403" t="s">
        <v>2762</v>
      </c>
      <c r="H4061" s="1406" t="s">
        <v>7916</v>
      </c>
    </row>
    <row r="4062" spans="2:8" x14ac:dyDescent="0.2">
      <c r="B4062" s="1407" t="str">
        <f t="shared" si="65"/>
        <v>Muhd Raihan Razaki</v>
      </c>
      <c r="C4062" s="1402" t="s">
        <v>6807</v>
      </c>
      <c r="D4062" s="1403" t="s">
        <v>3581</v>
      </c>
      <c r="E4062" s="1404" t="s">
        <v>8612</v>
      </c>
      <c r="F4062" s="1405" t="s">
        <v>5299</v>
      </c>
      <c r="G4062" s="1403" t="s">
        <v>2762</v>
      </c>
      <c r="H4062" s="1406" t="s">
        <v>7916</v>
      </c>
    </row>
    <row r="4063" spans="2:8" x14ac:dyDescent="0.2">
      <c r="B4063" s="1407" t="str">
        <f t="shared" si="65"/>
        <v>Rusydi Muhd Abdullah</v>
      </c>
      <c r="C4063" s="1402" t="s">
        <v>6808</v>
      </c>
      <c r="D4063" s="1403" t="s">
        <v>7039</v>
      </c>
      <c r="E4063" s="1404" t="s">
        <v>8613</v>
      </c>
      <c r="F4063" s="1405" t="s">
        <v>5299</v>
      </c>
      <c r="G4063" s="1403" t="s">
        <v>2762</v>
      </c>
      <c r="H4063" s="1406" t="s">
        <v>7916</v>
      </c>
    </row>
    <row r="4064" spans="2:8" x14ac:dyDescent="0.2">
      <c r="B4064" s="1407" t="str">
        <f t="shared" si="65"/>
        <v>Anas Rahamat</v>
      </c>
      <c r="C4064" s="1402" t="s">
        <v>6809</v>
      </c>
      <c r="D4064" s="1403" t="s">
        <v>5520</v>
      </c>
      <c r="E4064" s="1404" t="s">
        <v>8614</v>
      </c>
      <c r="F4064" s="1405" t="s">
        <v>5299</v>
      </c>
      <c r="G4064" s="1403" t="s">
        <v>7270</v>
      </c>
      <c r="H4064" s="1406" t="s">
        <v>7916</v>
      </c>
    </row>
    <row r="4065" spans="2:8" x14ac:dyDescent="0.2">
      <c r="B4065" s="1407" t="str">
        <f t="shared" si="65"/>
        <v>Mohd Faizul Jaafar</v>
      </c>
      <c r="C4065" s="1402" t="s">
        <v>6776</v>
      </c>
      <c r="D4065" s="1403" t="s">
        <v>3586</v>
      </c>
      <c r="E4065" s="1404" t="s">
        <v>8615</v>
      </c>
      <c r="F4065" s="1405" t="s">
        <v>5299</v>
      </c>
      <c r="G4065" s="1403" t="s">
        <v>7270</v>
      </c>
      <c r="H4065" s="1406" t="s">
        <v>7916</v>
      </c>
    </row>
    <row r="4066" spans="2:8" x14ac:dyDescent="0.2">
      <c r="B4066" s="1407" t="str">
        <f t="shared" si="65"/>
        <v>Zi Rong, Galvin Ho</v>
      </c>
      <c r="C4066" s="1402" t="s">
        <v>5838</v>
      </c>
      <c r="D4066" s="1403" t="s">
        <v>3571</v>
      </c>
      <c r="E4066" s="1404" t="s">
        <v>8616</v>
      </c>
      <c r="F4066" s="1405" t="s">
        <v>5299</v>
      </c>
      <c r="G4066" s="1403" t="s">
        <v>7270</v>
      </c>
      <c r="H4066" s="1406" t="s">
        <v>7916</v>
      </c>
    </row>
    <row r="4067" spans="2:8" x14ac:dyDescent="0.2">
      <c r="B4067" s="1407" t="str">
        <f t="shared" si="65"/>
        <v>Mohd Haikel Norazam</v>
      </c>
      <c r="C4067" s="1402" t="s">
        <v>6810</v>
      </c>
      <c r="D4067" s="1403" t="s">
        <v>3374</v>
      </c>
      <c r="E4067" s="1404" t="s">
        <v>8617</v>
      </c>
      <c r="F4067" s="1405" t="s">
        <v>5299</v>
      </c>
      <c r="G4067" s="1403" t="s">
        <v>2762</v>
      </c>
      <c r="H4067" s="1406" t="s">
        <v>7916</v>
      </c>
    </row>
    <row r="4068" spans="2:8" x14ac:dyDescent="0.2">
      <c r="B4068" s="1407" t="str">
        <f t="shared" si="65"/>
        <v>Mohd Khairul Nizad Zainal</v>
      </c>
      <c r="C4068" s="1402" t="s">
        <v>6811</v>
      </c>
      <c r="D4068" s="1403" t="s">
        <v>3570</v>
      </c>
      <c r="E4068" s="1404" t="s">
        <v>8618</v>
      </c>
      <c r="F4068" s="1405" t="s">
        <v>5299</v>
      </c>
      <c r="G4068" s="1403" t="s">
        <v>2762</v>
      </c>
      <c r="H4068" s="1406" t="s">
        <v>7916</v>
      </c>
    </row>
    <row r="4069" spans="2:8" x14ac:dyDescent="0.2">
      <c r="B4069" s="1407" t="str">
        <f t="shared" si="65"/>
        <v>Chandru G Chugani</v>
      </c>
      <c r="C4069" s="1402" t="s">
        <v>6812</v>
      </c>
      <c r="D4069" s="1403" t="s">
        <v>5539</v>
      </c>
      <c r="E4069" s="1404" t="s">
        <v>8619</v>
      </c>
      <c r="F4069" s="1405" t="s">
        <v>5300</v>
      </c>
      <c r="G4069" s="1403" t="s">
        <v>8716</v>
      </c>
      <c r="H4069" s="1406" t="s">
        <v>7916</v>
      </c>
    </row>
    <row r="4070" spans="2:8" x14ac:dyDescent="0.2">
      <c r="B4070" s="1407" t="str">
        <f t="shared" si="65"/>
        <v>Vishal G Chugani</v>
      </c>
      <c r="C4070" s="1402" t="s">
        <v>6812</v>
      </c>
      <c r="D4070" s="1403" t="s">
        <v>5570</v>
      </c>
      <c r="E4070" s="1404" t="s">
        <v>8620</v>
      </c>
      <c r="F4070" s="1405" t="s">
        <v>5299</v>
      </c>
      <c r="G4070" s="1403" t="s">
        <v>8716</v>
      </c>
      <c r="H4070" s="1406" t="s">
        <v>7916</v>
      </c>
    </row>
    <row r="4071" spans="2:8" x14ac:dyDescent="0.2">
      <c r="B4071" s="1407" t="str">
        <f t="shared" si="65"/>
        <v>Raju Naraindas</v>
      </c>
      <c r="C4071" s="1402" t="s">
        <v>6813</v>
      </c>
      <c r="D4071" s="1403" t="s">
        <v>7040</v>
      </c>
      <c r="E4071" s="1404" t="s">
        <v>8621</v>
      </c>
      <c r="F4071" s="1405" t="s">
        <v>5300</v>
      </c>
      <c r="G4071" s="1403" t="s">
        <v>8716</v>
      </c>
      <c r="H4071" s="1406" t="s">
        <v>7916</v>
      </c>
    </row>
    <row r="4072" spans="2:8" x14ac:dyDescent="0.2">
      <c r="B4072" s="1407" t="str">
        <f t="shared" si="65"/>
        <v>Michael Choong</v>
      </c>
      <c r="C4072" s="1402" t="s">
        <v>6814</v>
      </c>
      <c r="D4072" s="1403" t="s">
        <v>3416</v>
      </c>
      <c r="E4072" s="1404" t="s">
        <v>8622</v>
      </c>
      <c r="F4072" s="1405" t="s">
        <v>5300</v>
      </c>
      <c r="G4072" s="1403" t="s">
        <v>10267</v>
      </c>
      <c r="H4072" s="1406" t="s">
        <v>7916</v>
      </c>
    </row>
    <row r="4073" spans="2:8" x14ac:dyDescent="0.2">
      <c r="B4073" s="1407" t="str">
        <f t="shared" si="65"/>
        <v>Giovanni Choong</v>
      </c>
      <c r="C4073" s="1402" t="s">
        <v>6814</v>
      </c>
      <c r="D4073" s="1403" t="s">
        <v>3371</v>
      </c>
      <c r="E4073" s="1404" t="s">
        <v>8623</v>
      </c>
      <c r="F4073" s="1405" t="s">
        <v>5299</v>
      </c>
      <c r="G4073" s="1403" t="s">
        <v>10267</v>
      </c>
      <c r="H4073" s="1406" t="s">
        <v>7916</v>
      </c>
    </row>
    <row r="4074" spans="2:8" x14ac:dyDescent="0.2">
      <c r="B4074" s="1407" t="str">
        <f t="shared" si="65"/>
        <v>Mohd Rizal Ahmad</v>
      </c>
      <c r="C4074" s="1402" t="s">
        <v>5609</v>
      </c>
      <c r="D4074" s="1403" t="s">
        <v>3481</v>
      </c>
      <c r="E4074" s="1404" t="s">
        <v>8624</v>
      </c>
      <c r="F4074" s="1405" t="s">
        <v>5300</v>
      </c>
      <c r="G4074" s="1403" t="s">
        <v>8717</v>
      </c>
      <c r="H4074" s="1406" t="s">
        <v>7916</v>
      </c>
    </row>
    <row r="4075" spans="2:8" x14ac:dyDescent="0.2">
      <c r="B4075" s="1407" t="str">
        <f t="shared" si="65"/>
        <v>Mohd Rizal Mohd Asyraf</v>
      </c>
      <c r="C4075" s="1402" t="s">
        <v>6815</v>
      </c>
      <c r="D4075" s="1403" t="s">
        <v>3481</v>
      </c>
      <c r="E4075" s="1404" t="s">
        <v>8625</v>
      </c>
      <c r="F4075" s="1405" t="s">
        <v>5299</v>
      </c>
      <c r="G4075" s="1403" t="s">
        <v>8717</v>
      </c>
      <c r="H4075" s="1406" t="s">
        <v>7916</v>
      </c>
    </row>
    <row r="4076" spans="2:8" x14ac:dyDescent="0.2">
      <c r="B4076" s="1407" t="str">
        <f t="shared" si="65"/>
        <v>Paulus Tan</v>
      </c>
      <c r="C4076" s="1402" t="s">
        <v>6781</v>
      </c>
      <c r="D4076" s="1403" t="s">
        <v>5620</v>
      </c>
      <c r="E4076" s="1404" t="s">
        <v>8626</v>
      </c>
      <c r="F4076" s="1405" t="s">
        <v>5300</v>
      </c>
      <c r="G4076" s="1403" t="s">
        <v>8716</v>
      </c>
      <c r="H4076" s="1406" t="s">
        <v>7916</v>
      </c>
    </row>
    <row r="4077" spans="2:8" x14ac:dyDescent="0.2">
      <c r="B4077" s="1407" t="str">
        <f t="shared" si="65"/>
        <v>Nur Hashim</v>
      </c>
      <c r="C4077" s="1402" t="s">
        <v>6816</v>
      </c>
      <c r="D4077" s="1403" t="s">
        <v>5556</v>
      </c>
      <c r="E4077" s="1404" t="s">
        <v>8627</v>
      </c>
      <c r="F4077" s="1405" t="s">
        <v>5299</v>
      </c>
      <c r="G4077" s="1403" t="s">
        <v>8716</v>
      </c>
      <c r="H4077" s="1406" t="s">
        <v>7916</v>
      </c>
    </row>
    <row r="4078" spans="2:8" x14ac:dyDescent="0.2">
      <c r="B4078" s="1407" t="str">
        <f t="shared" si="65"/>
        <v>Azlan Bin Sidek</v>
      </c>
      <c r="C4078" s="1402" t="s">
        <v>6817</v>
      </c>
      <c r="D4078" s="1403" t="s">
        <v>5600</v>
      </c>
      <c r="E4078" s="1404" t="s">
        <v>8628</v>
      </c>
      <c r="F4078" s="1405" t="s">
        <v>5300</v>
      </c>
      <c r="G4078" s="1403" t="s">
        <v>8716</v>
      </c>
      <c r="H4078" s="1406" t="s">
        <v>7916</v>
      </c>
    </row>
    <row r="4079" spans="2:8" x14ac:dyDescent="0.2">
      <c r="B4079" s="1407" t="str">
        <f t="shared" si="65"/>
        <v>Izham Bin Sidek</v>
      </c>
      <c r="C4079" s="1402" t="s">
        <v>6817</v>
      </c>
      <c r="D4079" s="1403" t="s">
        <v>5590</v>
      </c>
      <c r="E4079" s="1404" t="s">
        <v>8629</v>
      </c>
      <c r="F4079" s="1405" t="s">
        <v>5300</v>
      </c>
      <c r="G4079" s="1403" t="s">
        <v>8716</v>
      </c>
      <c r="H4079" s="1406" t="s">
        <v>7916</v>
      </c>
    </row>
    <row r="4080" spans="2:8" x14ac:dyDescent="0.2">
      <c r="B4080" s="1407" t="str">
        <f t="shared" si="65"/>
        <v>Fathul Rahman Bin Kamsani</v>
      </c>
      <c r="C4080" s="1402" t="s">
        <v>6818</v>
      </c>
      <c r="D4080" s="1403" t="s">
        <v>5571</v>
      </c>
      <c r="E4080" s="1404" t="s">
        <v>8630</v>
      </c>
      <c r="F4080" s="1405" t="s">
        <v>5300</v>
      </c>
      <c r="G4080" s="1403" t="s">
        <v>8716</v>
      </c>
      <c r="H4080" s="1406" t="s">
        <v>7916</v>
      </c>
    </row>
    <row r="4081" spans="2:8" x14ac:dyDescent="0.2">
      <c r="B4081" s="1407" t="str">
        <f t="shared" si="65"/>
        <v>Mohd Fauzi, Abdul Ghani</v>
      </c>
      <c r="C4081" s="1402" t="s">
        <v>6819</v>
      </c>
      <c r="D4081" s="1403" t="s">
        <v>7041</v>
      </c>
      <c r="E4081" s="1404" t="s">
        <v>8631</v>
      </c>
      <c r="F4081" s="1405" t="s">
        <v>5299</v>
      </c>
      <c r="G4081" s="1403" t="s">
        <v>7270</v>
      </c>
      <c r="H4081" s="1406" t="s">
        <v>7916</v>
      </c>
    </row>
    <row r="4082" spans="2:8" x14ac:dyDescent="0.2">
      <c r="B4082" s="1407" t="str">
        <f t="shared" si="65"/>
        <v>John Edwards William</v>
      </c>
      <c r="C4082" s="1402" t="s">
        <v>3236</v>
      </c>
      <c r="D4082" s="1403" t="s">
        <v>5621</v>
      </c>
      <c r="E4082" s="1404" t="s">
        <v>8632</v>
      </c>
      <c r="F4082" s="1405" t="s">
        <v>5300</v>
      </c>
      <c r="G4082" s="1403" t="s">
        <v>8716</v>
      </c>
      <c r="H4082" s="1406" t="s">
        <v>7916</v>
      </c>
    </row>
    <row r="4083" spans="2:8" x14ac:dyDescent="0.2">
      <c r="B4083" s="1407" t="str">
        <f t="shared" si="65"/>
        <v>Bernard Lim</v>
      </c>
      <c r="C4083" s="1402" t="s">
        <v>6805</v>
      </c>
      <c r="D4083" s="1403" t="s">
        <v>5518</v>
      </c>
      <c r="E4083" s="1404" t="s">
        <v>8633</v>
      </c>
      <c r="F4083" s="1405" t="s">
        <v>5300</v>
      </c>
      <c r="G4083" s="1403" t="s">
        <v>7270</v>
      </c>
      <c r="H4083" s="1406" t="s">
        <v>7916</v>
      </c>
    </row>
    <row r="4084" spans="2:8" x14ac:dyDescent="0.2">
      <c r="B4084" s="1407" t="str">
        <f t="shared" si="65"/>
        <v>Arthur Yeo</v>
      </c>
      <c r="C4084" s="1402" t="s">
        <v>6820</v>
      </c>
      <c r="D4084" s="1403" t="s">
        <v>3315</v>
      </c>
      <c r="E4084" s="1404" t="s">
        <v>8634</v>
      </c>
      <c r="F4084" s="1405" t="s">
        <v>5300</v>
      </c>
      <c r="G4084" s="1403" t="s">
        <v>7270</v>
      </c>
      <c r="H4084" s="1406" t="s">
        <v>7916</v>
      </c>
    </row>
    <row r="4085" spans="2:8" x14ac:dyDescent="0.2">
      <c r="B4085" s="1407" t="str">
        <f t="shared" si="65"/>
        <v>Nic Tan</v>
      </c>
      <c r="C4085" s="1402" t="s">
        <v>6781</v>
      </c>
      <c r="D4085" s="1403" t="s">
        <v>5538</v>
      </c>
      <c r="E4085" s="1404" t="s">
        <v>8635</v>
      </c>
      <c r="F4085" s="1405" t="s">
        <v>5299</v>
      </c>
      <c r="G4085" s="1403" t="s">
        <v>10267</v>
      </c>
      <c r="H4085" s="1406" t="s">
        <v>7916</v>
      </c>
    </row>
    <row r="4086" spans="2:8" x14ac:dyDescent="0.2">
      <c r="B4086" s="1407" t="str">
        <f t="shared" si="65"/>
        <v>Sammy Phua</v>
      </c>
      <c r="C4086" s="1402" t="s">
        <v>6821</v>
      </c>
      <c r="D4086" s="1403" t="s">
        <v>5572</v>
      </c>
      <c r="E4086" s="1404" t="s">
        <v>8636</v>
      </c>
      <c r="F4086" s="1405" t="s">
        <v>5299</v>
      </c>
      <c r="G4086" s="1403" t="s">
        <v>7270</v>
      </c>
      <c r="H4086" s="1406" t="s">
        <v>7916</v>
      </c>
    </row>
    <row r="4087" spans="2:8" x14ac:dyDescent="0.2">
      <c r="B4087" s="1407" t="str">
        <f t="shared" si="65"/>
        <v>Gary Ong</v>
      </c>
      <c r="C4087" s="1402" t="s">
        <v>6796</v>
      </c>
      <c r="D4087" s="1403" t="s">
        <v>3192</v>
      </c>
      <c r="E4087" s="1404" t="s">
        <v>8637</v>
      </c>
      <c r="F4087" s="1405" t="s">
        <v>5300</v>
      </c>
      <c r="G4087" s="1403" t="s">
        <v>8716</v>
      </c>
      <c r="H4087" s="1406" t="s">
        <v>7916</v>
      </c>
    </row>
    <row r="4088" spans="2:8" x14ac:dyDescent="0.2">
      <c r="B4088" s="1407" t="str">
        <f t="shared" si="65"/>
        <v>Syabil Marzuq Bin Sulaiman</v>
      </c>
      <c r="C4088" s="1402" t="s">
        <v>6822</v>
      </c>
      <c r="D4088" s="1403" t="s">
        <v>7042</v>
      </c>
      <c r="E4088" s="1404" t="s">
        <v>8638</v>
      </c>
      <c r="F4088" s="1405" t="s">
        <v>5299</v>
      </c>
      <c r="G4088" s="1403" t="s">
        <v>7270</v>
      </c>
      <c r="H4088" s="1406" t="s">
        <v>7916</v>
      </c>
    </row>
    <row r="4089" spans="2:8" x14ac:dyDescent="0.2">
      <c r="B4089" s="1407" t="str">
        <f t="shared" si="65"/>
        <v>Vikas K Chandiramani</v>
      </c>
      <c r="C4089" s="1402" t="s">
        <v>6823</v>
      </c>
      <c r="D4089" s="1403" t="s">
        <v>5531</v>
      </c>
      <c r="E4089" s="1404" t="s">
        <v>8639</v>
      </c>
      <c r="F4089" s="1405" t="s">
        <v>5300</v>
      </c>
      <c r="G4089" s="1403" t="s">
        <v>7270</v>
      </c>
      <c r="H4089" s="1406" t="s">
        <v>7916</v>
      </c>
    </row>
    <row r="4090" spans="2:8" x14ac:dyDescent="0.2">
      <c r="B4090" s="1407" t="str">
        <f t="shared" si="65"/>
        <v>Ahmad Zahri</v>
      </c>
      <c r="C4090" s="1402" t="s">
        <v>6824</v>
      </c>
      <c r="D4090" s="1403" t="s">
        <v>5609</v>
      </c>
      <c r="E4090" s="1404" t="s">
        <v>8640</v>
      </c>
      <c r="F4090" s="1405" t="s">
        <v>5300</v>
      </c>
      <c r="G4090" s="1403" t="s">
        <v>8716</v>
      </c>
      <c r="H4090" s="1406" t="s">
        <v>7916</v>
      </c>
    </row>
    <row r="4091" spans="2:8" x14ac:dyDescent="0.2">
      <c r="B4091" s="1407" t="str">
        <f t="shared" si="65"/>
        <v>Christopher George</v>
      </c>
      <c r="C4091" s="1402" t="s">
        <v>3162</v>
      </c>
      <c r="D4091" s="1403" t="s">
        <v>3262</v>
      </c>
      <c r="E4091" s="1404" t="s">
        <v>8641</v>
      </c>
      <c r="F4091" s="1405" t="s">
        <v>13210</v>
      </c>
      <c r="G4091" s="1403" t="s">
        <v>8716</v>
      </c>
      <c r="H4091" s="1406" t="s">
        <v>7916</v>
      </c>
    </row>
    <row r="4092" spans="2:8" x14ac:dyDescent="0.2">
      <c r="B4092" s="1407" t="str">
        <f t="shared" si="65"/>
        <v>Luke Lim</v>
      </c>
      <c r="C4092" s="1402" t="s">
        <v>6805</v>
      </c>
      <c r="D4092" s="1403" t="s">
        <v>5550</v>
      </c>
      <c r="E4092" s="1404" t="s">
        <v>8642</v>
      </c>
      <c r="F4092" s="1405" t="s">
        <v>5299</v>
      </c>
      <c r="G4092" s="1403" t="s">
        <v>8716</v>
      </c>
      <c r="H4092" s="1406" t="s">
        <v>7916</v>
      </c>
    </row>
    <row r="4093" spans="2:8" x14ac:dyDescent="0.2">
      <c r="B4093" s="1407" t="str">
        <f t="shared" si="65"/>
        <v>Isaac Lim</v>
      </c>
      <c r="C4093" s="1402" t="s">
        <v>6805</v>
      </c>
      <c r="D4093" s="1403" t="s">
        <v>3460</v>
      </c>
      <c r="E4093" s="1404" t="s">
        <v>8643</v>
      </c>
      <c r="F4093" s="1405" t="s">
        <v>13210</v>
      </c>
      <c r="G4093" s="1403" t="s">
        <v>8716</v>
      </c>
      <c r="H4093" s="1406" t="s">
        <v>7916</v>
      </c>
    </row>
    <row r="4094" spans="2:8" x14ac:dyDescent="0.2">
      <c r="B4094" s="1407" t="str">
        <f t="shared" si="65"/>
        <v>Jocelyn Goh</v>
      </c>
      <c r="C4094" s="1402" t="s">
        <v>6825</v>
      </c>
      <c r="D4094" s="1403" t="s">
        <v>5602</v>
      </c>
      <c r="E4094" s="1404" t="s">
        <v>8644</v>
      </c>
      <c r="F4094" s="1405" t="s">
        <v>5299</v>
      </c>
      <c r="G4094" s="1403" t="s">
        <v>8716</v>
      </c>
      <c r="H4094" s="1406" t="s">
        <v>7916</v>
      </c>
    </row>
    <row r="4095" spans="2:8" x14ac:dyDescent="0.2">
      <c r="B4095" s="1407" t="str">
        <f t="shared" si="65"/>
        <v>Dickson Goh</v>
      </c>
      <c r="C4095" s="1402" t="s">
        <v>6825</v>
      </c>
      <c r="D4095" s="1403" t="s">
        <v>5617</v>
      </c>
      <c r="E4095" s="1404" t="s">
        <v>8645</v>
      </c>
      <c r="F4095" s="1405" t="s">
        <v>5299</v>
      </c>
      <c r="G4095" s="1403" t="s">
        <v>8716</v>
      </c>
      <c r="H4095" s="1406" t="s">
        <v>7916</v>
      </c>
    </row>
    <row r="4096" spans="2:8" x14ac:dyDescent="0.2">
      <c r="B4096" s="1407" t="str">
        <f t="shared" si="65"/>
        <v>Darren Goh</v>
      </c>
      <c r="C4096" s="1402" t="s">
        <v>6825</v>
      </c>
      <c r="D4096" s="1403" t="s">
        <v>3150</v>
      </c>
      <c r="E4096" s="1404" t="s">
        <v>8646</v>
      </c>
      <c r="F4096" s="1405" t="s">
        <v>13210</v>
      </c>
      <c r="G4096" s="1403" t="s">
        <v>8716</v>
      </c>
      <c r="H4096" s="1406" t="s">
        <v>7916</v>
      </c>
    </row>
    <row r="4097" spans="2:8" x14ac:dyDescent="0.2">
      <c r="B4097" s="1407" t="str">
        <f t="shared" si="65"/>
        <v>Doulatram Sham</v>
      </c>
      <c r="C4097" s="1402" t="s">
        <v>5610</v>
      </c>
      <c r="D4097" s="1403" t="s">
        <v>6826</v>
      </c>
      <c r="E4097" s="1404" t="s">
        <v>8647</v>
      </c>
      <c r="F4097" s="1405" t="s">
        <v>5300</v>
      </c>
      <c r="G4097" s="1403" t="s">
        <v>8716</v>
      </c>
      <c r="H4097" s="1406" t="s">
        <v>7916</v>
      </c>
    </row>
    <row r="4098" spans="2:8" x14ac:dyDescent="0.2">
      <c r="B4098" s="1407" t="str">
        <f t="shared" si="65"/>
        <v>Bhavin Sham</v>
      </c>
      <c r="C4098" s="1402" t="s">
        <v>5610</v>
      </c>
      <c r="D4098" s="1403" t="s">
        <v>5639</v>
      </c>
      <c r="E4098" s="1404" t="s">
        <v>8648</v>
      </c>
      <c r="F4098" s="1405" t="s">
        <v>5299</v>
      </c>
      <c r="G4098" s="1403" t="s">
        <v>8716</v>
      </c>
      <c r="H4098" s="1406" t="s">
        <v>7916</v>
      </c>
    </row>
    <row r="4099" spans="2:8" x14ac:dyDescent="0.2">
      <c r="B4099" s="1407" t="str">
        <f t="shared" si="65"/>
        <v>Ruhan Sham</v>
      </c>
      <c r="C4099" s="1402" t="s">
        <v>5610</v>
      </c>
      <c r="D4099" s="1403" t="s">
        <v>5636</v>
      </c>
      <c r="E4099" s="1404" t="s">
        <v>8649</v>
      </c>
      <c r="F4099" s="1405" t="s">
        <v>13210</v>
      </c>
      <c r="G4099" s="1403" t="s">
        <v>8716</v>
      </c>
      <c r="H4099" s="1406" t="s">
        <v>7916</v>
      </c>
    </row>
    <row r="4100" spans="2:8" x14ac:dyDescent="0.2">
      <c r="B4100" s="1407" t="str">
        <f t="shared" si="65"/>
        <v>Arthur Lim</v>
      </c>
      <c r="C4100" s="1402" t="s">
        <v>6805</v>
      </c>
      <c r="D4100" s="1403" t="s">
        <v>3315</v>
      </c>
      <c r="E4100" s="1404" t="s">
        <v>8650</v>
      </c>
      <c r="F4100" s="1405" t="s">
        <v>5300</v>
      </c>
      <c r="G4100" s="1403" t="s">
        <v>8716</v>
      </c>
      <c r="H4100" s="1406" t="s">
        <v>7916</v>
      </c>
    </row>
    <row r="4101" spans="2:8" x14ac:dyDescent="0.2">
      <c r="B4101" s="1407" t="str">
        <f t="shared" si="65"/>
        <v>Wai Mun Lek</v>
      </c>
      <c r="C4101" s="1402" t="s">
        <v>6827</v>
      </c>
      <c r="D4101" s="1403" t="s">
        <v>5569</v>
      </c>
      <c r="E4101" s="1404" t="s">
        <v>8651</v>
      </c>
      <c r="F4101" s="1405" t="s">
        <v>5300</v>
      </c>
      <c r="G4101" s="1403" t="s">
        <v>8716</v>
      </c>
      <c r="H4101" s="1406" t="s">
        <v>7916</v>
      </c>
    </row>
    <row r="4102" spans="2:8" x14ac:dyDescent="0.2">
      <c r="B4102" s="1407" t="str">
        <f t="shared" si="65"/>
        <v>Eugene Lek</v>
      </c>
      <c r="C4102" s="1402" t="s">
        <v>6827</v>
      </c>
      <c r="D4102" s="1403" t="s">
        <v>3410</v>
      </c>
      <c r="E4102" s="1404" t="s">
        <v>8652</v>
      </c>
      <c r="F4102" s="1405" t="s">
        <v>5299</v>
      </c>
      <c r="G4102" s="1403" t="s">
        <v>8716</v>
      </c>
      <c r="H4102" s="1406" t="s">
        <v>7916</v>
      </c>
    </row>
    <row r="4103" spans="2:8" x14ac:dyDescent="0.2">
      <c r="B4103" s="1407" t="str">
        <f t="shared" si="65"/>
        <v>Mohamad Zaffinoor, Kassim Bin Mohd</v>
      </c>
      <c r="C4103" s="1402" t="s">
        <v>7457</v>
      </c>
      <c r="D4103" s="1403" t="s">
        <v>7479</v>
      </c>
      <c r="E4103" s="1404" t="s">
        <v>8653</v>
      </c>
      <c r="F4103" s="1405" t="s">
        <v>5299</v>
      </c>
      <c r="G4103" s="1403" t="s">
        <v>7270</v>
      </c>
      <c r="H4103" s="1406" t="s">
        <v>7916</v>
      </c>
    </row>
    <row r="4104" spans="2:8" x14ac:dyDescent="0.2">
      <c r="B4104" s="1407" t="str">
        <f t="shared" si="65"/>
        <v>Irwan Iskandar</v>
      </c>
      <c r="C4104" s="1402" t="s">
        <v>7458</v>
      </c>
      <c r="D4104" s="1403" t="s">
        <v>7311</v>
      </c>
      <c r="E4104" s="1404" t="s">
        <v>8654</v>
      </c>
      <c r="F4104" s="1405" t="s">
        <v>5299</v>
      </c>
      <c r="G4104" s="1403" t="s">
        <v>7270</v>
      </c>
      <c r="H4104" s="1406" t="s">
        <v>7916</v>
      </c>
    </row>
    <row r="4105" spans="2:8" x14ac:dyDescent="0.2">
      <c r="B4105" s="1407" t="str">
        <f t="shared" si="65"/>
        <v>Benny Ng</v>
      </c>
      <c r="C4105" s="1402" t="s">
        <v>6790</v>
      </c>
      <c r="D4105" s="1403" t="s">
        <v>7049</v>
      </c>
      <c r="E4105" s="1404" t="s">
        <v>8655</v>
      </c>
      <c r="F4105" s="1405" t="s">
        <v>5300</v>
      </c>
      <c r="G4105" s="1403" t="s">
        <v>9593</v>
      </c>
      <c r="H4105" s="1406" t="s">
        <v>7916</v>
      </c>
    </row>
    <row r="4106" spans="2:8" x14ac:dyDescent="0.2">
      <c r="B4106" s="1407" t="str">
        <f t="shared" ref="B4106:B4169" si="66">TRIM(CONCATENATE(D4106," ",C4106))</f>
        <v>Kassim Irwanshah</v>
      </c>
      <c r="C4106" s="1402" t="s">
        <v>7459</v>
      </c>
      <c r="D4106" s="1403" t="s">
        <v>7326</v>
      </c>
      <c r="E4106" s="1404" t="s">
        <v>8656</v>
      </c>
      <c r="F4106" s="1405" t="s">
        <v>5299</v>
      </c>
      <c r="G4106" s="1403" t="s">
        <v>7270</v>
      </c>
      <c r="H4106" s="1406" t="s">
        <v>7916</v>
      </c>
    </row>
    <row r="4107" spans="2:8" x14ac:dyDescent="0.2">
      <c r="B4107" s="1407" t="str">
        <f t="shared" si="66"/>
        <v>Quan Feng Lim</v>
      </c>
      <c r="C4107" s="1402" t="s">
        <v>6805</v>
      </c>
      <c r="D4107" s="1403" t="s">
        <v>7315</v>
      </c>
      <c r="E4107" s="1404" t="s">
        <v>8657</v>
      </c>
      <c r="F4107" s="1405" t="s">
        <v>5299</v>
      </c>
      <c r="G4107" s="1403" t="s">
        <v>7270</v>
      </c>
      <c r="H4107" s="1406" t="s">
        <v>7916</v>
      </c>
    </row>
    <row r="4108" spans="2:8" x14ac:dyDescent="0.2">
      <c r="B4108" s="1407" t="str">
        <f t="shared" si="66"/>
        <v>Mohd Bolkiah Musa</v>
      </c>
      <c r="C4108" s="1402" t="s">
        <v>7316</v>
      </c>
      <c r="D4108" s="1403" t="s">
        <v>8724</v>
      </c>
      <c r="E4108" s="1404" t="s">
        <v>8658</v>
      </c>
      <c r="F4108" s="1405" t="s">
        <v>5299</v>
      </c>
      <c r="G4108" s="1403" t="s">
        <v>7270</v>
      </c>
      <c r="H4108" s="1406" t="s">
        <v>7916</v>
      </c>
    </row>
    <row r="4109" spans="2:8" x14ac:dyDescent="0.2">
      <c r="B4109" s="1407" t="str">
        <f t="shared" si="66"/>
        <v>Ismail Shafiq</v>
      </c>
      <c r="C4109" s="1402" t="s">
        <v>7460</v>
      </c>
      <c r="D4109" s="1403" t="s">
        <v>7327</v>
      </c>
      <c r="E4109" s="1404" t="s">
        <v>8659</v>
      </c>
      <c r="F4109" s="1405" t="s">
        <v>5299</v>
      </c>
      <c r="G4109" s="1403" t="s">
        <v>7270</v>
      </c>
      <c r="H4109" s="1406" t="s">
        <v>7916</v>
      </c>
    </row>
    <row r="4110" spans="2:8" x14ac:dyDescent="0.2">
      <c r="B4110" s="1407" t="str">
        <f t="shared" si="66"/>
        <v>Ding Heng Lim</v>
      </c>
      <c r="C4110" s="1402" t="s">
        <v>6805</v>
      </c>
      <c r="D4110" s="1403" t="s">
        <v>7328</v>
      </c>
      <c r="E4110" s="1404" t="s">
        <v>8660</v>
      </c>
      <c r="F4110" s="1405" t="s">
        <v>13210</v>
      </c>
      <c r="G4110" s="1403" t="s">
        <v>7270</v>
      </c>
      <c r="H4110" s="1406" t="s">
        <v>7916</v>
      </c>
    </row>
    <row r="4111" spans="2:8" x14ac:dyDescent="0.2">
      <c r="B4111" s="1407" t="str">
        <f t="shared" si="66"/>
        <v>Yew Seng Lim</v>
      </c>
      <c r="C4111" s="1402" t="s">
        <v>6805</v>
      </c>
      <c r="D4111" s="1403" t="s">
        <v>7480</v>
      </c>
      <c r="E4111" s="1404" t="s">
        <v>8661</v>
      </c>
      <c r="F4111" s="1405" t="s">
        <v>5300</v>
      </c>
      <c r="G4111" s="1403" t="s">
        <v>7270</v>
      </c>
      <c r="H4111" s="1406" t="s">
        <v>7916</v>
      </c>
    </row>
    <row r="4112" spans="2:8" x14ac:dyDescent="0.2">
      <c r="B4112" s="1407" t="str">
        <f t="shared" si="66"/>
        <v>Sunil Nanwani</v>
      </c>
      <c r="C4112" s="1402" t="s">
        <v>7317</v>
      </c>
      <c r="D4112" s="1403" t="s">
        <v>7461</v>
      </c>
      <c r="E4112" s="1404" t="s">
        <v>8662</v>
      </c>
      <c r="F4112" s="1405" t="s">
        <v>5300</v>
      </c>
      <c r="G4112" s="1403" t="s">
        <v>8716</v>
      </c>
      <c r="H4112" s="1406" t="s">
        <v>7916</v>
      </c>
    </row>
    <row r="4113" spans="2:8" x14ac:dyDescent="0.2">
      <c r="B4113" s="1407" t="str">
        <f t="shared" si="66"/>
        <v>Wei Xuan Lim</v>
      </c>
      <c r="C4113" s="1402" t="s">
        <v>6805</v>
      </c>
      <c r="D4113" s="1403" t="s">
        <v>7703</v>
      </c>
      <c r="E4113" s="1404" t="s">
        <v>8663</v>
      </c>
      <c r="F4113" s="1405" t="s">
        <v>5299</v>
      </c>
      <c r="G4113" s="1403" t="s">
        <v>7270</v>
      </c>
      <c r="H4113" s="1406" t="s">
        <v>7916</v>
      </c>
    </row>
    <row r="4114" spans="2:8" x14ac:dyDescent="0.2">
      <c r="B4114" s="1407" t="str">
        <f t="shared" si="66"/>
        <v>Ilhan Daanish</v>
      </c>
      <c r="C4114" s="1402" t="s">
        <v>7687</v>
      </c>
      <c r="D4114" s="1403" t="s">
        <v>7704</v>
      </c>
      <c r="E4114" s="1404" t="s">
        <v>8664</v>
      </c>
      <c r="F4114" s="1405" t="s">
        <v>5299</v>
      </c>
      <c r="G4114" s="1403" t="s">
        <v>7270</v>
      </c>
      <c r="H4114" s="1406" t="s">
        <v>7916</v>
      </c>
    </row>
    <row r="4115" spans="2:8" x14ac:dyDescent="0.2">
      <c r="B4115" s="1407" t="str">
        <f t="shared" si="66"/>
        <v>Derek Brierley</v>
      </c>
      <c r="C4115" s="1402" t="s">
        <v>7688</v>
      </c>
      <c r="D4115" s="1403" t="s">
        <v>3021</v>
      </c>
      <c r="E4115" s="1404" t="s">
        <v>8665</v>
      </c>
      <c r="F4115" s="1405" t="s">
        <v>5300</v>
      </c>
      <c r="G4115" s="1403" t="s">
        <v>8716</v>
      </c>
      <c r="H4115" s="1406" t="s">
        <v>7916</v>
      </c>
    </row>
    <row r="4116" spans="2:8" x14ac:dyDescent="0.2">
      <c r="B4116" s="1407" t="str">
        <f t="shared" si="66"/>
        <v>Ming Liang Li</v>
      </c>
      <c r="C4116" s="1402" t="s">
        <v>8190</v>
      </c>
      <c r="D4116" s="1403" t="s">
        <v>8302</v>
      </c>
      <c r="E4116" s="1404" t="s">
        <v>8666</v>
      </c>
      <c r="F4116" s="1405" t="s">
        <v>13210</v>
      </c>
      <c r="G4116" s="1403" t="s">
        <v>7270</v>
      </c>
      <c r="H4116" s="1406" t="s">
        <v>7916</v>
      </c>
    </row>
    <row r="4117" spans="2:8" x14ac:dyDescent="0.2">
      <c r="B4117" s="1407" t="str">
        <f t="shared" si="66"/>
        <v>Khairil Zam Bin Kamaruzaman</v>
      </c>
      <c r="C4117" s="1402" t="s">
        <v>8191</v>
      </c>
      <c r="D4117" s="1403" t="s">
        <v>8303</v>
      </c>
      <c r="E4117" s="1404" t="s">
        <v>8667</v>
      </c>
      <c r="F4117" s="1405" t="s">
        <v>5299</v>
      </c>
      <c r="G4117" s="1403" t="s">
        <v>7270</v>
      </c>
      <c r="H4117" s="1406" t="s">
        <v>7916</v>
      </c>
    </row>
    <row r="4118" spans="2:8" x14ac:dyDescent="0.2">
      <c r="B4118" s="1407" t="str">
        <f t="shared" si="66"/>
        <v>Simon E Seck Peng</v>
      </c>
      <c r="C4118" s="1402" t="s">
        <v>8192</v>
      </c>
      <c r="D4118" s="1403" t="s">
        <v>8304</v>
      </c>
      <c r="E4118" s="1404" t="s">
        <v>8668</v>
      </c>
      <c r="F4118" s="1405" t="s">
        <v>5299</v>
      </c>
      <c r="G4118" s="1403" t="s">
        <v>7270</v>
      </c>
      <c r="H4118" s="1406" t="s">
        <v>7916</v>
      </c>
    </row>
    <row r="4119" spans="2:8" x14ac:dyDescent="0.2">
      <c r="B4119" s="1407" t="str">
        <f t="shared" si="66"/>
        <v>Fazlur Rahman Bun Kamsani</v>
      </c>
      <c r="C4119" s="1402" t="s">
        <v>8193</v>
      </c>
      <c r="D4119" s="1403" t="s">
        <v>8305</v>
      </c>
      <c r="E4119" s="1404" t="s">
        <v>8669</v>
      </c>
      <c r="F4119" s="1405" t="s">
        <v>5299</v>
      </c>
      <c r="G4119" s="1403" t="s">
        <v>8716</v>
      </c>
      <c r="H4119" s="1406" t="s">
        <v>7916</v>
      </c>
    </row>
    <row r="4120" spans="2:8" x14ac:dyDescent="0.2">
      <c r="B4120" s="1407" t="str">
        <f t="shared" si="66"/>
        <v>Kah Jun, Dylan Lim</v>
      </c>
      <c r="C4120" s="1402" t="s">
        <v>6805</v>
      </c>
      <c r="D4120" s="1403" t="s">
        <v>8306</v>
      </c>
      <c r="E4120" s="1404" t="s">
        <v>8670</v>
      </c>
      <c r="F4120" s="1405" t="s">
        <v>5299</v>
      </c>
      <c r="G4120" s="1403" t="s">
        <v>7270</v>
      </c>
      <c r="H4120" s="1406" t="s">
        <v>7916</v>
      </c>
    </row>
    <row r="4121" spans="2:8" x14ac:dyDescent="0.2">
      <c r="B4121" s="1407" t="str">
        <f t="shared" si="66"/>
        <v>Yi De Tan</v>
      </c>
      <c r="C4121" s="1402" t="s">
        <v>6781</v>
      </c>
      <c r="D4121" s="1403" t="s">
        <v>8307</v>
      </c>
      <c r="E4121" s="1404" t="s">
        <v>8671</v>
      </c>
      <c r="F4121" s="1405" t="s">
        <v>13210</v>
      </c>
      <c r="G4121" s="1403" t="s">
        <v>8716</v>
      </c>
      <c r="H4121" s="1406" t="s">
        <v>7916</v>
      </c>
    </row>
    <row r="4122" spans="2:8" x14ac:dyDescent="0.2">
      <c r="B4122" s="1407" t="str">
        <f t="shared" si="66"/>
        <v>Tanishq Vikas Chandiramani</v>
      </c>
      <c r="C4122" s="1402" t="s">
        <v>6823</v>
      </c>
      <c r="D4122" s="1403" t="s">
        <v>8308</v>
      </c>
      <c r="E4122" s="1404" t="s">
        <v>8672</v>
      </c>
      <c r="F4122" s="1405" t="s">
        <v>13210</v>
      </c>
      <c r="G4122" s="1403" t="s">
        <v>8716</v>
      </c>
      <c r="H4122" s="1406" t="s">
        <v>7916</v>
      </c>
    </row>
    <row r="4123" spans="2:8" x14ac:dyDescent="0.2">
      <c r="B4123" s="1407" t="str">
        <f t="shared" si="66"/>
        <v>Muhammad Salihin Bin Rosli</v>
      </c>
      <c r="C4123" s="1402" t="s">
        <v>8194</v>
      </c>
      <c r="D4123" s="1403" t="s">
        <v>8309</v>
      </c>
      <c r="E4123" s="1404" t="s">
        <v>8673</v>
      </c>
      <c r="F4123" s="1405" t="s">
        <v>5299</v>
      </c>
      <c r="G4123" s="1403" t="s">
        <v>7270</v>
      </c>
      <c r="H4123" s="1406" t="s">
        <v>7916</v>
      </c>
    </row>
    <row r="4124" spans="2:8" x14ac:dyDescent="0.2">
      <c r="B4124" s="1407" t="str">
        <f t="shared" si="66"/>
        <v>Muhd Firdaus Bahrin</v>
      </c>
      <c r="C4124" s="1402" t="s">
        <v>8195</v>
      </c>
      <c r="D4124" s="1403" t="s">
        <v>3584</v>
      </c>
      <c r="E4124" s="1404" t="s">
        <v>8674</v>
      </c>
      <c r="F4124" s="1405" t="s">
        <v>5299</v>
      </c>
      <c r="G4124" s="1403" t="s">
        <v>7270</v>
      </c>
      <c r="H4124" s="1406" t="s">
        <v>7916</v>
      </c>
    </row>
    <row r="4125" spans="2:8" x14ac:dyDescent="0.2">
      <c r="B4125" s="1407" t="str">
        <f t="shared" si="66"/>
        <v>Ashley Tan</v>
      </c>
      <c r="C4125" s="1402" t="s">
        <v>6781</v>
      </c>
      <c r="D4125" s="1403" t="s">
        <v>7980</v>
      </c>
      <c r="E4125" s="1404" t="s">
        <v>8675</v>
      </c>
      <c r="F4125" s="1405" t="s">
        <v>5300</v>
      </c>
      <c r="G4125" s="1403" t="s">
        <v>8716</v>
      </c>
      <c r="H4125" s="1406" t="s">
        <v>7916</v>
      </c>
    </row>
    <row r="4126" spans="2:8" x14ac:dyDescent="0.2">
      <c r="B4126" s="1407" t="str">
        <f t="shared" si="66"/>
        <v>Yew Loy Tan</v>
      </c>
      <c r="C4126" s="1402" t="s">
        <v>6781</v>
      </c>
      <c r="D4126" s="1403" t="s">
        <v>8310</v>
      </c>
      <c r="E4126" s="1404" t="s">
        <v>8676</v>
      </c>
      <c r="F4126" s="1405" t="s">
        <v>5300</v>
      </c>
      <c r="G4126" s="1403" t="s">
        <v>8716</v>
      </c>
      <c r="H4126" s="1406" t="s">
        <v>7916</v>
      </c>
    </row>
    <row r="4127" spans="2:8" x14ac:dyDescent="0.2">
      <c r="B4127" s="1407" t="str">
        <f t="shared" si="66"/>
        <v>Nigel Foo</v>
      </c>
      <c r="C4127" s="1402" t="s">
        <v>8196</v>
      </c>
      <c r="D4127" s="1403" t="s">
        <v>7010</v>
      </c>
      <c r="E4127" s="1404" t="s">
        <v>8677</v>
      </c>
      <c r="F4127" s="1405" t="s">
        <v>5300</v>
      </c>
      <c r="G4127" s="1403" t="s">
        <v>8717</v>
      </c>
      <c r="H4127" s="1406" t="s">
        <v>7916</v>
      </c>
    </row>
    <row r="4128" spans="2:8" x14ac:dyDescent="0.2">
      <c r="B4128" s="1407" t="str">
        <f t="shared" si="66"/>
        <v>Fanddy Bin Halil</v>
      </c>
      <c r="C4128" s="1402" t="s">
        <v>8197</v>
      </c>
      <c r="D4128" s="1403" t="s">
        <v>8311</v>
      </c>
      <c r="E4128" s="1404" t="s">
        <v>8678</v>
      </c>
      <c r="F4128" s="1405" t="s">
        <v>5299</v>
      </c>
      <c r="G4128" s="1403" t="s">
        <v>8717</v>
      </c>
      <c r="H4128" s="1406" t="s">
        <v>7916</v>
      </c>
    </row>
    <row r="4129" spans="2:8" x14ac:dyDescent="0.2">
      <c r="B4129" s="1407" t="str">
        <f t="shared" si="66"/>
        <v>Ismail Alfian</v>
      </c>
      <c r="C4129" s="1402" t="s">
        <v>8198</v>
      </c>
      <c r="D4129" s="1403" t="s">
        <v>7327</v>
      </c>
      <c r="E4129" s="1404" t="s">
        <v>8679</v>
      </c>
      <c r="F4129" s="1405" t="s">
        <v>5299</v>
      </c>
      <c r="G4129" s="1403" t="s">
        <v>8717</v>
      </c>
      <c r="H4129" s="1406" t="s">
        <v>7916</v>
      </c>
    </row>
    <row r="4130" spans="2:8" x14ac:dyDescent="0.2">
      <c r="B4130" s="1407" t="str">
        <f t="shared" si="66"/>
        <v>Rizal Mohd Amirul</v>
      </c>
      <c r="C4130" s="1402" t="s">
        <v>8199</v>
      </c>
      <c r="D4130" s="1403" t="s">
        <v>8312</v>
      </c>
      <c r="E4130" s="1404" t="s">
        <v>8680</v>
      </c>
      <c r="F4130" s="1405" t="s">
        <v>13210</v>
      </c>
      <c r="G4130" s="1403" t="s">
        <v>8717</v>
      </c>
      <c r="H4130" s="1406" t="s">
        <v>7916</v>
      </c>
    </row>
    <row r="4131" spans="2:8" x14ac:dyDescent="0.2">
      <c r="B4131" s="1407" t="str">
        <f t="shared" si="66"/>
        <v>Aiman Arjuna</v>
      </c>
      <c r="C4131" s="1402" t="s">
        <v>8760</v>
      </c>
      <c r="D4131" s="1403" t="s">
        <v>9486</v>
      </c>
      <c r="E4131" s="1404" t="s">
        <v>9488</v>
      </c>
      <c r="F4131" s="1405" t="s">
        <v>13210</v>
      </c>
      <c r="G4131" s="1403" t="s">
        <v>9596</v>
      </c>
      <c r="H4131" s="1406" t="s">
        <v>7916</v>
      </c>
    </row>
    <row r="4132" spans="2:8" x14ac:dyDescent="0.2">
      <c r="B4132" s="1407" t="str">
        <f t="shared" si="66"/>
        <v>Talib K Dohadwala</v>
      </c>
      <c r="C4132" s="1402" t="s">
        <v>9485</v>
      </c>
      <c r="D4132" s="1403" t="s">
        <v>9487</v>
      </c>
      <c r="E4132" s="1404" t="s">
        <v>9489</v>
      </c>
      <c r="F4132" s="1405" t="s">
        <v>5300</v>
      </c>
      <c r="G4132" s="1403" t="s">
        <v>8716</v>
      </c>
      <c r="H4132" s="1406" t="s">
        <v>7916</v>
      </c>
    </row>
    <row r="4133" spans="2:8" x14ac:dyDescent="0.2">
      <c r="B4133" s="1407" t="str">
        <f t="shared" si="66"/>
        <v>Nor Aniq Bin Norizal</v>
      </c>
      <c r="C4133" s="1402" t="s">
        <v>9545</v>
      </c>
      <c r="D4133" s="1403" t="s">
        <v>9557</v>
      </c>
      <c r="E4133" s="1404" t="s">
        <v>9583</v>
      </c>
      <c r="F4133" s="1405" t="s">
        <v>13210</v>
      </c>
      <c r="G4133" s="1403" t="s">
        <v>7270</v>
      </c>
      <c r="H4133" s="1406" t="s">
        <v>7916</v>
      </c>
    </row>
    <row r="4134" spans="2:8" x14ac:dyDescent="0.2">
      <c r="B4134" s="1407" t="str">
        <f t="shared" si="66"/>
        <v>Nor Afiq Bin Norizal</v>
      </c>
      <c r="C4134" s="1402" t="s">
        <v>9545</v>
      </c>
      <c r="D4134" s="1403" t="s">
        <v>9558</v>
      </c>
      <c r="E4134" s="1404" t="s">
        <v>9584</v>
      </c>
      <c r="F4134" s="1405" t="s">
        <v>13211</v>
      </c>
      <c r="G4134" s="1403" t="s">
        <v>7270</v>
      </c>
      <c r="H4134" s="1406" t="s">
        <v>7916</v>
      </c>
    </row>
    <row r="4135" spans="2:8" x14ac:dyDescent="0.2">
      <c r="B4135" s="1407" t="str">
        <f t="shared" si="66"/>
        <v>Kheng Kwang Ong</v>
      </c>
      <c r="C4135" s="1402" t="s">
        <v>6796</v>
      </c>
      <c r="D4135" s="1403" t="s">
        <v>9559</v>
      </c>
      <c r="E4135" s="1404" t="s">
        <v>9585</v>
      </c>
      <c r="F4135" s="1405" t="s">
        <v>5299</v>
      </c>
      <c r="G4135" s="1403" t="s">
        <v>8717</v>
      </c>
      <c r="H4135" s="1406" t="s">
        <v>7916</v>
      </c>
    </row>
    <row r="4136" spans="2:8" x14ac:dyDescent="0.2">
      <c r="B4136" s="1407" t="str">
        <f t="shared" si="66"/>
        <v>Lewis, Cheng Yi Ong</v>
      </c>
      <c r="C4136" s="1402" t="s">
        <v>6796</v>
      </c>
      <c r="D4136" s="1403" t="s">
        <v>9560</v>
      </c>
      <c r="E4136" s="1404" t="s">
        <v>9586</v>
      </c>
      <c r="F4136" s="1405" t="s">
        <v>13210</v>
      </c>
      <c r="G4136" s="1403" t="s">
        <v>8717</v>
      </c>
      <c r="H4136" s="1406" t="s">
        <v>7916</v>
      </c>
    </row>
    <row r="4137" spans="2:8" x14ac:dyDescent="0.2">
      <c r="B4137" s="1407" t="str">
        <f t="shared" si="66"/>
        <v>Aqhari, Bin Muhd Azhar Muhd Farish</v>
      </c>
      <c r="C4137" s="1402" t="s">
        <v>9771</v>
      </c>
      <c r="D4137" s="1403" t="s">
        <v>9779</v>
      </c>
      <c r="E4137" s="1404" t="s">
        <v>9820</v>
      </c>
      <c r="F4137" s="1405" t="s">
        <v>13210</v>
      </c>
      <c r="G4137" s="1403" t="s">
        <v>8717</v>
      </c>
      <c r="H4137" s="1406" t="s">
        <v>7916</v>
      </c>
    </row>
    <row r="4138" spans="2:8" x14ac:dyDescent="0.2">
      <c r="B4138" s="1407" t="str">
        <f t="shared" si="66"/>
        <v>Enzo Fornaro</v>
      </c>
      <c r="C4138" s="1402" t="s">
        <v>18052</v>
      </c>
      <c r="D4138" s="1403" t="s">
        <v>3287</v>
      </c>
      <c r="E4138" s="1404" t="s">
        <v>9821</v>
      </c>
      <c r="F4138" s="1405" t="s">
        <v>5299</v>
      </c>
      <c r="G4138" s="1403" t="s">
        <v>8716</v>
      </c>
      <c r="H4138" s="1406" t="s">
        <v>7916</v>
      </c>
    </row>
    <row r="4139" spans="2:8" x14ac:dyDescent="0.2">
      <c r="B4139" s="1407" t="str">
        <f t="shared" si="66"/>
        <v>Tong Leng Tan</v>
      </c>
      <c r="C4139" s="1402" t="s">
        <v>6781</v>
      </c>
      <c r="D4139" s="1403" t="s">
        <v>10962</v>
      </c>
      <c r="E4139" s="1404" t="s">
        <v>10973</v>
      </c>
      <c r="F4139" s="1405" t="s">
        <v>5299</v>
      </c>
      <c r="G4139" s="1403" t="s">
        <v>8717</v>
      </c>
      <c r="H4139" s="1406" t="s">
        <v>7916</v>
      </c>
    </row>
    <row r="4140" spans="2:8" x14ac:dyDescent="0.2">
      <c r="B4140" s="1407" t="str">
        <f t="shared" si="66"/>
        <v>Cheow Hwa Cheow Hwa</v>
      </c>
      <c r="C4140" s="1402" t="s">
        <v>10954</v>
      </c>
      <c r="D4140" s="1403" t="s">
        <v>10954</v>
      </c>
      <c r="E4140" s="1404" t="s">
        <v>10974</v>
      </c>
      <c r="F4140" s="1405" t="s">
        <v>5299</v>
      </c>
      <c r="G4140" s="1403" t="s">
        <v>8717</v>
      </c>
      <c r="H4140" s="1406" t="s">
        <v>7916</v>
      </c>
    </row>
    <row r="4141" spans="2:8" x14ac:dyDescent="0.2">
      <c r="B4141" s="1407" t="str">
        <f t="shared" si="66"/>
        <v>Adam Cheong</v>
      </c>
      <c r="C4141" s="1402" t="s">
        <v>6778</v>
      </c>
      <c r="D4141" s="1403" t="s">
        <v>3502</v>
      </c>
      <c r="E4141" s="1404" t="s">
        <v>10975</v>
      </c>
      <c r="F4141" s="1405" t="s">
        <v>5300</v>
      </c>
      <c r="G4141" s="1403" t="s">
        <v>8717</v>
      </c>
      <c r="H4141" s="1406" t="s">
        <v>7916</v>
      </c>
    </row>
    <row r="4142" spans="2:8" x14ac:dyDescent="0.2">
      <c r="B4142" s="1407" t="str">
        <f t="shared" si="66"/>
        <v>Vikkram S Kumar</v>
      </c>
      <c r="C4142" s="1402" t="s">
        <v>10955</v>
      </c>
      <c r="D4142" s="1403" t="s">
        <v>10963</v>
      </c>
      <c r="E4142" s="1404" t="s">
        <v>10976</v>
      </c>
      <c r="F4142" s="1405" t="s">
        <v>13210</v>
      </c>
      <c r="G4142" s="1403" t="s">
        <v>8717</v>
      </c>
      <c r="H4142" s="1406" t="s">
        <v>7916</v>
      </c>
    </row>
    <row r="4143" spans="2:8" x14ac:dyDescent="0.2">
      <c r="B4143" s="1407" t="str">
        <f t="shared" si="66"/>
        <v>Joshua Lew</v>
      </c>
      <c r="C4143" s="1402" t="s">
        <v>10956</v>
      </c>
      <c r="D4143" s="1403" t="s">
        <v>5657</v>
      </c>
      <c r="E4143" s="1404" t="s">
        <v>10977</v>
      </c>
      <c r="F4143" s="1405" t="s">
        <v>13211</v>
      </c>
      <c r="G4143" s="1403" t="s">
        <v>8716</v>
      </c>
      <c r="H4143" s="1406" t="s">
        <v>7916</v>
      </c>
    </row>
    <row r="4144" spans="2:8" x14ac:dyDescent="0.2">
      <c r="B4144" s="1407" t="str">
        <f t="shared" si="66"/>
        <v>Mohammed Irwan Bin Sahir</v>
      </c>
      <c r="C4144" s="1402" t="s">
        <v>11066</v>
      </c>
      <c r="D4144" s="1403" t="s">
        <v>11086</v>
      </c>
      <c r="E4144" s="1404" t="s">
        <v>11175</v>
      </c>
      <c r="F4144" s="1405" t="s">
        <v>5299</v>
      </c>
      <c r="G4144" s="1403" t="s">
        <v>8716</v>
      </c>
      <c r="H4144" s="1406" t="s">
        <v>7916</v>
      </c>
    </row>
    <row r="4145" spans="2:8" x14ac:dyDescent="0.2">
      <c r="B4145" s="1407" t="str">
        <f t="shared" si="66"/>
        <v>Lucas Seow</v>
      </c>
      <c r="C4145" s="1402" t="s">
        <v>11067</v>
      </c>
      <c r="D4145" s="1403" t="s">
        <v>3684</v>
      </c>
      <c r="E4145" s="1404" t="s">
        <v>11176</v>
      </c>
      <c r="F4145" s="1405" t="s">
        <v>13210</v>
      </c>
      <c r="G4145" s="1403" t="s">
        <v>8716</v>
      </c>
      <c r="H4145" s="1406" t="s">
        <v>7916</v>
      </c>
    </row>
    <row r="4146" spans="2:8" x14ac:dyDescent="0.2">
      <c r="B4146" s="1407" t="str">
        <f t="shared" si="66"/>
        <v>Claris Lim</v>
      </c>
      <c r="C4146" s="1402" t="s">
        <v>6805</v>
      </c>
      <c r="D4146" s="1403" t="s">
        <v>11251</v>
      </c>
      <c r="E4146" s="1404" t="s">
        <v>11314</v>
      </c>
      <c r="F4146" s="1405" t="s">
        <v>5299</v>
      </c>
      <c r="G4146" s="1403" t="s">
        <v>10267</v>
      </c>
      <c r="H4146" s="1406" t="s">
        <v>7916</v>
      </c>
    </row>
    <row r="4147" spans="2:8" x14ac:dyDescent="0.2">
      <c r="B4147" s="1407" t="str">
        <f t="shared" si="66"/>
        <v>K. S. Bavasuryan</v>
      </c>
      <c r="C4147" s="1402" t="s">
        <v>11231</v>
      </c>
      <c r="D4147" s="1403" t="s">
        <v>11252</v>
      </c>
      <c r="E4147" s="1404" t="s">
        <v>11315</v>
      </c>
      <c r="F4147" s="1405" t="s">
        <v>13210</v>
      </c>
      <c r="G4147" s="1403" t="s">
        <v>8717</v>
      </c>
      <c r="H4147" s="1406" t="s">
        <v>7916</v>
      </c>
    </row>
    <row r="4148" spans="2:8" x14ac:dyDescent="0.2">
      <c r="B4148" s="1407" t="str">
        <f t="shared" si="66"/>
        <v>Ying En, Vivian Lam</v>
      </c>
      <c r="C4148" s="1402" t="s">
        <v>11232</v>
      </c>
      <c r="D4148" s="1403" t="s">
        <v>11253</v>
      </c>
      <c r="E4148" s="1404" t="s">
        <v>11316</v>
      </c>
      <c r="F4148" s="1405" t="s">
        <v>13210</v>
      </c>
      <c r="G4148" s="1403" t="s">
        <v>8717</v>
      </c>
      <c r="H4148" s="1406" t="s">
        <v>7916</v>
      </c>
    </row>
    <row r="4149" spans="2:8" x14ac:dyDescent="0.2">
      <c r="B4149" s="1407" t="str">
        <f t="shared" si="66"/>
        <v>Azhari Bin Isnin</v>
      </c>
      <c r="C4149" s="1402" t="s">
        <v>11233</v>
      </c>
      <c r="D4149" s="1403" t="s">
        <v>11254</v>
      </c>
      <c r="E4149" s="1404" t="s">
        <v>11317</v>
      </c>
      <c r="F4149" s="1405" t="s">
        <v>5299</v>
      </c>
      <c r="G4149" s="1403" t="s">
        <v>8717</v>
      </c>
      <c r="H4149" s="1406" t="s">
        <v>7916</v>
      </c>
    </row>
    <row r="4150" spans="2:8" x14ac:dyDescent="0.2">
      <c r="B4150" s="1407" t="str">
        <f t="shared" si="66"/>
        <v>Aidil Bin Idris</v>
      </c>
      <c r="C4150" s="1402" t="s">
        <v>11234</v>
      </c>
      <c r="D4150" s="1403" t="s">
        <v>11255</v>
      </c>
      <c r="E4150" s="1404" t="s">
        <v>11318</v>
      </c>
      <c r="F4150" s="1405" t="s">
        <v>5300</v>
      </c>
      <c r="G4150" s="1403" t="s">
        <v>8717</v>
      </c>
      <c r="H4150" s="1406" t="s">
        <v>7916</v>
      </c>
    </row>
    <row r="4151" spans="2:8" x14ac:dyDescent="0.2">
      <c r="B4151" s="1407" t="str">
        <f t="shared" si="66"/>
        <v>Haziq Idraki Bin Aidil</v>
      </c>
      <c r="C4151" s="1402" t="s">
        <v>11235</v>
      </c>
      <c r="D4151" s="1403" t="s">
        <v>11256</v>
      </c>
      <c r="E4151" s="1404" t="s">
        <v>11319</v>
      </c>
      <c r="F4151" s="1405" t="s">
        <v>5299</v>
      </c>
      <c r="G4151" s="1403" t="s">
        <v>8717</v>
      </c>
      <c r="H4151" s="1406" t="s">
        <v>7916</v>
      </c>
    </row>
    <row r="4152" spans="2:8" x14ac:dyDescent="0.2">
      <c r="B4152" s="1407" t="str">
        <f t="shared" si="66"/>
        <v>Yong An, Gary Ng</v>
      </c>
      <c r="C4152" s="1402" t="s">
        <v>6790</v>
      </c>
      <c r="D4152" s="1403" t="s">
        <v>11257</v>
      </c>
      <c r="E4152" s="1404" t="s">
        <v>11320</v>
      </c>
      <c r="F4152" s="1405" t="s">
        <v>5299</v>
      </c>
      <c r="G4152" s="1403" t="s">
        <v>8717</v>
      </c>
      <c r="H4152" s="1406" t="s">
        <v>7916</v>
      </c>
    </row>
    <row r="4153" spans="2:8" x14ac:dyDescent="0.2">
      <c r="B4153" s="1407" t="str">
        <f t="shared" si="66"/>
        <v>Luca Maida</v>
      </c>
      <c r="C4153" s="1402" t="s">
        <v>11460</v>
      </c>
      <c r="D4153" s="1403" t="s">
        <v>3198</v>
      </c>
      <c r="E4153" s="1404" t="s">
        <v>11464</v>
      </c>
      <c r="F4153" s="1405" t="s">
        <v>5300</v>
      </c>
      <c r="G4153" s="1403" t="s">
        <v>7270</v>
      </c>
      <c r="H4153" s="1406" t="s">
        <v>7916</v>
      </c>
    </row>
    <row r="4154" spans="2:8" x14ac:dyDescent="0.2">
      <c r="B4154" s="1407" t="str">
        <f t="shared" si="66"/>
        <v>Melvindepal Singh</v>
      </c>
      <c r="C4154" s="1402" t="s">
        <v>14801</v>
      </c>
      <c r="D4154" s="1403" t="s">
        <v>14802</v>
      </c>
      <c r="E4154" s="1404" t="s">
        <v>14803</v>
      </c>
      <c r="F4154" s="1405" t="s">
        <v>5300</v>
      </c>
      <c r="G4154" s="1403" t="s">
        <v>8716</v>
      </c>
      <c r="H4154" s="1406" t="s">
        <v>7916</v>
      </c>
    </row>
    <row r="4155" spans="2:8" x14ac:dyDescent="0.2">
      <c r="B4155" s="1407" t="str">
        <f t="shared" si="66"/>
        <v>Rei Singh</v>
      </c>
      <c r="C4155" s="1402" t="s">
        <v>14801</v>
      </c>
      <c r="D4155" s="1403" t="s">
        <v>14804</v>
      </c>
      <c r="E4155" s="1404" t="s">
        <v>14805</v>
      </c>
      <c r="F4155" s="1405" t="s">
        <v>13210</v>
      </c>
      <c r="G4155" s="1403" t="s">
        <v>14806</v>
      </c>
      <c r="H4155" s="1406" t="s">
        <v>7916</v>
      </c>
    </row>
    <row r="4156" spans="2:8" x14ac:dyDescent="0.2">
      <c r="B4156" s="1407" t="str">
        <f t="shared" si="66"/>
        <v>Sumit Babel</v>
      </c>
      <c r="C4156" s="1402" t="s">
        <v>15189</v>
      </c>
      <c r="D4156" s="1403" t="s">
        <v>15190</v>
      </c>
      <c r="E4156" s="1404" t="s">
        <v>14807</v>
      </c>
      <c r="F4156" s="1405" t="s">
        <v>5299</v>
      </c>
      <c r="G4156" s="1403" t="s">
        <v>8716</v>
      </c>
      <c r="H4156" s="1406" t="s">
        <v>7916</v>
      </c>
    </row>
    <row r="4157" spans="2:8" x14ac:dyDescent="0.2">
      <c r="B4157" s="1407" t="str">
        <f t="shared" si="66"/>
        <v>Viaan Babel</v>
      </c>
      <c r="C4157" s="1402" t="s">
        <v>15189</v>
      </c>
      <c r="D4157" s="1403" t="s">
        <v>15191</v>
      </c>
      <c r="E4157" s="1404" t="s">
        <v>15192</v>
      </c>
      <c r="F4157" s="1405" t="s">
        <v>1563</v>
      </c>
      <c r="G4157" s="1403" t="s">
        <v>8716</v>
      </c>
      <c r="H4157" s="1406" t="s">
        <v>7916</v>
      </c>
    </row>
    <row r="4158" spans="2:8" x14ac:dyDescent="0.2">
      <c r="B4158" s="1407" t="str">
        <f t="shared" si="66"/>
        <v>Edin Reyza Rudy Hesty</v>
      </c>
      <c r="C4158" s="1402" t="s">
        <v>3160</v>
      </c>
      <c r="D4158" s="1403" t="s">
        <v>16154</v>
      </c>
      <c r="E4158" s="1404" t="s">
        <v>16155</v>
      </c>
      <c r="F4158" s="1405" t="s">
        <v>1563</v>
      </c>
      <c r="G4158" s="1403" t="s">
        <v>7270</v>
      </c>
      <c r="H4158" s="1406" t="s">
        <v>7916</v>
      </c>
    </row>
    <row r="4159" spans="2:8" x14ac:dyDescent="0.2">
      <c r="B4159" s="1407" t="str">
        <f t="shared" si="66"/>
        <v>Nagulan Arivazhagan</v>
      </c>
      <c r="C4159" s="1402" t="s">
        <v>15171</v>
      </c>
      <c r="D4159" s="1403" t="s">
        <v>15172</v>
      </c>
      <c r="E4159" s="1404" t="s">
        <v>15173</v>
      </c>
      <c r="F4159" s="1405" t="s">
        <v>1563</v>
      </c>
      <c r="G4159" s="1403" t="s">
        <v>8716</v>
      </c>
      <c r="H4159" s="1406" t="s">
        <v>7916</v>
      </c>
    </row>
    <row r="4160" spans="2:8" x14ac:dyDescent="0.2">
      <c r="B4160" s="1407" t="str">
        <f t="shared" si="66"/>
        <v>Aaryan Irfan Bin Jasmil</v>
      </c>
      <c r="C4160" s="1402" t="s">
        <v>18053</v>
      </c>
      <c r="D4160" s="1403" t="s">
        <v>18054</v>
      </c>
      <c r="E4160" s="1404" t="s">
        <v>18055</v>
      </c>
      <c r="F4160" s="1405" t="s">
        <v>1563</v>
      </c>
      <c r="G4160" s="1403" t="s">
        <v>7270</v>
      </c>
      <c r="H4160" s="1406" t="s">
        <v>7916</v>
      </c>
    </row>
    <row r="4161" spans="2:8" x14ac:dyDescent="0.2">
      <c r="B4161" s="1407" t="str">
        <f t="shared" si="66"/>
        <v>Naomi Bilqis Binte Norizal</v>
      </c>
      <c r="C4161" s="1402" t="s">
        <v>18056</v>
      </c>
      <c r="D4161" s="1403" t="s">
        <v>18057</v>
      </c>
      <c r="E4161" s="1404" t="s">
        <v>18058</v>
      </c>
      <c r="F4161" s="1405" t="s">
        <v>13211</v>
      </c>
      <c r="G4161" s="1403" t="s">
        <v>7270</v>
      </c>
      <c r="H4161" s="1406" t="s">
        <v>7916</v>
      </c>
    </row>
    <row r="4162" spans="2:8" x14ac:dyDescent="0.2">
      <c r="B4162" s="1407" t="str">
        <f t="shared" si="66"/>
        <v>Nor Ariq Bin Norizal</v>
      </c>
      <c r="C4162" s="1402" t="s">
        <v>9545</v>
      </c>
      <c r="D4162" s="1403" t="s">
        <v>18059</v>
      </c>
      <c r="E4162" s="1404" t="s">
        <v>18060</v>
      </c>
      <c r="F4162" s="1405" t="s">
        <v>1563</v>
      </c>
      <c r="G4162" s="1403" t="s">
        <v>7270</v>
      </c>
      <c r="H4162" s="1406" t="s">
        <v>7916</v>
      </c>
    </row>
    <row r="4163" spans="2:8" x14ac:dyDescent="0.2">
      <c r="B4163" s="1407" t="str">
        <f t="shared" si="66"/>
        <v>Nikola Ljubisavljevic</v>
      </c>
      <c r="C4163" s="1402" t="s">
        <v>15817</v>
      </c>
      <c r="D4163" s="1403" t="s">
        <v>15819</v>
      </c>
      <c r="E4163" s="1404" t="s">
        <v>15820</v>
      </c>
      <c r="F4163" s="1405" t="s">
        <v>5300</v>
      </c>
      <c r="G4163" s="1403"/>
      <c r="H4163" s="1406" t="s">
        <v>15643</v>
      </c>
    </row>
    <row r="4164" spans="2:8" x14ac:dyDescent="0.2">
      <c r="B4164" s="1407" t="str">
        <f t="shared" si="66"/>
        <v>Ivana Gütl</v>
      </c>
      <c r="C4164" s="1402" t="s">
        <v>15638</v>
      </c>
      <c r="D4164" s="1403" t="s">
        <v>15641</v>
      </c>
      <c r="E4164" s="1404" t="s">
        <v>15642</v>
      </c>
      <c r="F4164" s="1405" t="s">
        <v>5299</v>
      </c>
      <c r="G4164" s="1403"/>
      <c r="H4164" s="1406" t="s">
        <v>15643</v>
      </c>
    </row>
    <row r="4165" spans="2:8" x14ac:dyDescent="0.2">
      <c r="B4165" s="1407" t="str">
        <f t="shared" si="66"/>
        <v>Milan Knezevic</v>
      </c>
      <c r="C4165" s="1402" t="s">
        <v>15754</v>
      </c>
      <c r="D4165" s="1403" t="s">
        <v>7702</v>
      </c>
      <c r="E4165" s="1404" t="s">
        <v>15755</v>
      </c>
      <c r="F4165" s="1405" t="s">
        <v>5299</v>
      </c>
      <c r="G4165" s="1403" t="s">
        <v>2773</v>
      </c>
      <c r="H4165" s="1406" t="s">
        <v>15643</v>
      </c>
    </row>
    <row r="4166" spans="2:8" x14ac:dyDescent="0.2">
      <c r="B4166" s="1407" t="str">
        <f t="shared" si="66"/>
        <v>Peter Erb</v>
      </c>
      <c r="C4166" s="1402" t="s">
        <v>6828</v>
      </c>
      <c r="D4166" s="1403" t="s">
        <v>3194</v>
      </c>
      <c r="E4166" s="1404" t="s">
        <v>14808</v>
      </c>
      <c r="F4166" s="1405" t="s">
        <v>5300</v>
      </c>
      <c r="G4166" s="1403" t="s">
        <v>14809</v>
      </c>
      <c r="H4166" s="1406" t="s">
        <v>1074</v>
      </c>
    </row>
    <row r="4167" spans="2:8" x14ac:dyDescent="0.2">
      <c r="B4167" s="1407" t="str">
        <f t="shared" si="66"/>
        <v>Maxwell S Gautschi</v>
      </c>
      <c r="C4167" s="1402" t="s">
        <v>6829</v>
      </c>
      <c r="D4167" s="1403" t="s">
        <v>14810</v>
      </c>
      <c r="E4167" s="1404" t="s">
        <v>14811</v>
      </c>
      <c r="F4167" s="1405" t="s">
        <v>5300</v>
      </c>
      <c r="G4167" s="1403" t="s">
        <v>14809</v>
      </c>
      <c r="H4167" s="1406" t="s">
        <v>1074</v>
      </c>
    </row>
    <row r="4168" spans="2:8" x14ac:dyDescent="0.2">
      <c r="B4168" s="1407" t="str">
        <f t="shared" si="66"/>
        <v>Mario Marchisio</v>
      </c>
      <c r="C4168" s="1402" t="s">
        <v>6830</v>
      </c>
      <c r="D4168" s="1403" t="s">
        <v>3079</v>
      </c>
      <c r="E4168" s="1404" t="s">
        <v>14812</v>
      </c>
      <c r="F4168" s="1405" t="s">
        <v>5299</v>
      </c>
      <c r="G4168" s="1403" t="s">
        <v>14813</v>
      </c>
      <c r="H4168" s="1406" t="s">
        <v>1074</v>
      </c>
    </row>
    <row r="4169" spans="2:8" x14ac:dyDescent="0.2">
      <c r="B4169" s="1407" t="str">
        <f t="shared" si="66"/>
        <v>Paul Remund</v>
      </c>
      <c r="C4169" s="1402" t="s">
        <v>6831</v>
      </c>
      <c r="D4169" s="1403" t="s">
        <v>3259</v>
      </c>
      <c r="E4169" s="1404" t="s">
        <v>14814</v>
      </c>
      <c r="F4169" s="1405" t="s">
        <v>5300</v>
      </c>
      <c r="G4169" s="1403" t="s">
        <v>14809</v>
      </c>
      <c r="H4169" s="1406" t="s">
        <v>1074</v>
      </c>
    </row>
    <row r="4170" spans="2:8" x14ac:dyDescent="0.2">
      <c r="B4170" s="1407" t="str">
        <f t="shared" ref="B4170:B4233" si="67">TRIM(CONCATENATE(D4170," ",C4170))</f>
        <v>Martin Wiesmann</v>
      </c>
      <c r="C4170" s="1402" t="s">
        <v>6833</v>
      </c>
      <c r="D4170" s="1403" t="s">
        <v>3408</v>
      </c>
      <c r="E4170" s="1404" t="s">
        <v>14815</v>
      </c>
      <c r="F4170" s="1405" t="s">
        <v>5300</v>
      </c>
      <c r="G4170" s="1403" t="s">
        <v>14809</v>
      </c>
      <c r="H4170" s="1406" t="s">
        <v>1074</v>
      </c>
    </row>
    <row r="4171" spans="2:8" x14ac:dyDescent="0.2">
      <c r="B4171" s="1407" t="str">
        <f t="shared" si="67"/>
        <v>John Imbrogiano</v>
      </c>
      <c r="C4171" s="1402" t="s">
        <v>6834</v>
      </c>
      <c r="D4171" s="1403" t="s">
        <v>3250</v>
      </c>
      <c r="E4171" s="1404" t="s">
        <v>14816</v>
      </c>
      <c r="F4171" s="1405" t="s">
        <v>5300</v>
      </c>
      <c r="G4171" s="1403" t="s">
        <v>13312</v>
      </c>
      <c r="H4171" s="1406" t="s">
        <v>1074</v>
      </c>
    </row>
    <row r="4172" spans="2:8" x14ac:dyDescent="0.2">
      <c r="B4172" s="1407" t="str">
        <f t="shared" si="67"/>
        <v>Roman Bernhardsgrütter</v>
      </c>
      <c r="C4172" s="1402" t="s">
        <v>6836</v>
      </c>
      <c r="D4172" s="1403" t="s">
        <v>5629</v>
      </c>
      <c r="E4172" s="1404" t="s">
        <v>14817</v>
      </c>
      <c r="F4172" s="1405" t="s">
        <v>5300</v>
      </c>
      <c r="G4172" s="1403" t="s">
        <v>10279</v>
      </c>
      <c r="H4172" s="1406" t="s">
        <v>1074</v>
      </c>
    </row>
    <row r="4173" spans="2:8" x14ac:dyDescent="0.2">
      <c r="B4173" s="1407" t="str">
        <f t="shared" si="67"/>
        <v>Armando Mustacato</v>
      </c>
      <c r="C4173" s="1402" t="s">
        <v>6837</v>
      </c>
      <c r="D4173" s="1403" t="s">
        <v>6994</v>
      </c>
      <c r="E4173" s="1404" t="s">
        <v>14818</v>
      </c>
      <c r="F4173" s="1405" t="s">
        <v>5300</v>
      </c>
      <c r="G4173" s="1403" t="s">
        <v>14819</v>
      </c>
      <c r="H4173" s="1406" t="s">
        <v>1074</v>
      </c>
    </row>
    <row r="4174" spans="2:8" x14ac:dyDescent="0.2">
      <c r="B4174" s="1407" t="str">
        <f t="shared" si="67"/>
        <v>Gianluca Macri</v>
      </c>
      <c r="C4174" s="1402" t="s">
        <v>6838</v>
      </c>
      <c r="D4174" s="1403" t="s">
        <v>3369</v>
      </c>
      <c r="E4174" s="1404" t="s">
        <v>14820</v>
      </c>
      <c r="F4174" s="1405" t="s">
        <v>5299</v>
      </c>
      <c r="G4174" s="1403" t="s">
        <v>14813</v>
      </c>
      <c r="H4174" s="1406" t="s">
        <v>1074</v>
      </c>
    </row>
    <row r="4175" spans="2:8" x14ac:dyDescent="0.2">
      <c r="B4175" s="1407" t="str">
        <f t="shared" si="67"/>
        <v>Stefano Cardinale</v>
      </c>
      <c r="C4175" s="1402" t="s">
        <v>11236</v>
      </c>
      <c r="D4175" s="1403" t="s">
        <v>3062</v>
      </c>
      <c r="E4175" s="1404" t="s">
        <v>14821</v>
      </c>
      <c r="F4175" s="1405" t="s">
        <v>5300</v>
      </c>
      <c r="G4175" s="1403" t="s">
        <v>11180</v>
      </c>
      <c r="H4175" s="1406" t="s">
        <v>1074</v>
      </c>
    </row>
    <row r="4176" spans="2:8" x14ac:dyDescent="0.2">
      <c r="B4176" s="1407" t="str">
        <f t="shared" si="67"/>
        <v>Fabio Domenico</v>
      </c>
      <c r="C4176" s="1402" t="s">
        <v>3353</v>
      </c>
      <c r="D4176" s="1403" t="s">
        <v>3133</v>
      </c>
      <c r="E4176" s="1404" t="s">
        <v>14822</v>
      </c>
      <c r="F4176" s="1405" t="s">
        <v>5300</v>
      </c>
      <c r="G4176" s="1403" t="s">
        <v>14359</v>
      </c>
      <c r="H4176" s="1406" t="s">
        <v>1074</v>
      </c>
    </row>
    <row r="4177" spans="2:8" x14ac:dyDescent="0.2">
      <c r="B4177" s="1407" t="str">
        <f t="shared" si="67"/>
        <v>Robert Szendröi</v>
      </c>
      <c r="C4177" s="1402" t="s">
        <v>14080</v>
      </c>
      <c r="D4177" s="1403" t="s">
        <v>3405</v>
      </c>
      <c r="E4177" s="1404" t="s">
        <v>14823</v>
      </c>
      <c r="F4177" s="1405" t="s">
        <v>5300</v>
      </c>
      <c r="G4177" s="1403" t="s">
        <v>11180</v>
      </c>
      <c r="H4177" s="1406" t="s">
        <v>1074</v>
      </c>
    </row>
    <row r="4178" spans="2:8" x14ac:dyDescent="0.2">
      <c r="B4178" s="1407" t="str">
        <f t="shared" si="67"/>
        <v>Clinton Gähwiler</v>
      </c>
      <c r="C4178" s="1402" t="s">
        <v>15579</v>
      </c>
      <c r="D4178" s="1403" t="s">
        <v>15580</v>
      </c>
      <c r="E4178" s="1404" t="s">
        <v>15581</v>
      </c>
      <c r="F4178" s="1405" t="s">
        <v>5300</v>
      </c>
      <c r="G4178" s="1403" t="s">
        <v>15582</v>
      </c>
      <c r="H4178" s="1406" t="s">
        <v>1074</v>
      </c>
    </row>
    <row r="4179" spans="2:8" x14ac:dyDescent="0.2">
      <c r="B4179" s="1407" t="str">
        <f t="shared" si="67"/>
        <v>Daniele Giulianelli</v>
      </c>
      <c r="C4179" s="1402" t="s">
        <v>18061</v>
      </c>
      <c r="D4179" s="1403" t="s">
        <v>3022</v>
      </c>
      <c r="E4179" s="1404" t="s">
        <v>18062</v>
      </c>
      <c r="F4179" s="1405" t="s">
        <v>5299</v>
      </c>
      <c r="G4179" s="1403" t="s">
        <v>11180</v>
      </c>
      <c r="H4179" s="1406" t="s">
        <v>1074</v>
      </c>
    </row>
    <row r="4180" spans="2:8" x14ac:dyDescent="0.2">
      <c r="B4180" s="1407" t="str">
        <f t="shared" si="67"/>
        <v>Skander Farza</v>
      </c>
      <c r="C4180" s="1402" t="s">
        <v>5989</v>
      </c>
      <c r="D4180" s="1403" t="s">
        <v>5553</v>
      </c>
      <c r="E4180" s="1404" t="s">
        <v>5268</v>
      </c>
      <c r="F4180" s="1405" t="s">
        <v>5300</v>
      </c>
      <c r="G4180" s="1403" t="s">
        <v>2796</v>
      </c>
      <c r="H4180" s="1406" t="s">
        <v>1076</v>
      </c>
    </row>
    <row r="4181" spans="2:8" x14ac:dyDescent="0.2">
      <c r="B4181" s="1407" t="str">
        <f t="shared" si="67"/>
        <v>Mongi Rouis</v>
      </c>
      <c r="C4181" s="1402" t="s">
        <v>5980</v>
      </c>
      <c r="D4181" s="1403" t="s">
        <v>3382</v>
      </c>
      <c r="E4181" s="1404" t="s">
        <v>8773</v>
      </c>
      <c r="F4181" s="1405" t="s">
        <v>5300</v>
      </c>
      <c r="G4181" s="1403" t="s">
        <v>5301</v>
      </c>
      <c r="H4181" s="1406" t="s">
        <v>1076</v>
      </c>
    </row>
    <row r="4182" spans="2:8" x14ac:dyDescent="0.2">
      <c r="B4182" s="1407" t="str">
        <f t="shared" si="67"/>
        <v>Yasser Rouis</v>
      </c>
      <c r="C4182" s="1402" t="s">
        <v>5980</v>
      </c>
      <c r="D4182" s="1403" t="s">
        <v>14081</v>
      </c>
      <c r="E4182" s="1404" t="s">
        <v>14082</v>
      </c>
      <c r="F4182" s="1405" t="s">
        <v>13210</v>
      </c>
      <c r="G4182" s="1403" t="s">
        <v>14825</v>
      </c>
      <c r="H4182" s="1406" t="s">
        <v>1076</v>
      </c>
    </row>
    <row r="4183" spans="2:8" x14ac:dyDescent="0.2">
      <c r="B4183" s="1407" t="str">
        <f t="shared" si="67"/>
        <v>Yanis Farza</v>
      </c>
      <c r="C4183" s="1402" t="s">
        <v>5989</v>
      </c>
      <c r="D4183" s="1403" t="s">
        <v>14083</v>
      </c>
      <c r="E4183" s="1404" t="s">
        <v>14084</v>
      </c>
      <c r="F4183" s="1405" t="s">
        <v>5299</v>
      </c>
      <c r="G4183" s="1403" t="s">
        <v>2796</v>
      </c>
      <c r="H4183" s="1406" t="s">
        <v>1076</v>
      </c>
    </row>
    <row r="4184" spans="2:8" x14ac:dyDescent="0.2">
      <c r="B4184" s="1407" t="str">
        <f t="shared" si="67"/>
        <v>Thomas PONTÉ</v>
      </c>
      <c r="C4184" s="1402" t="s">
        <v>11423</v>
      </c>
      <c r="D4184" s="1403" t="s">
        <v>3124</v>
      </c>
      <c r="E4184" s="1404" t="s">
        <v>14826</v>
      </c>
      <c r="F4184" s="1405" t="s">
        <v>5299</v>
      </c>
      <c r="G4184" s="1403" t="s">
        <v>2796</v>
      </c>
      <c r="H4184" s="1406" t="s">
        <v>14827</v>
      </c>
    </row>
    <row r="4185" spans="2:8" x14ac:dyDescent="0.2">
      <c r="B4185" s="1407" t="str">
        <f t="shared" si="67"/>
        <v>Nicolas BÉTHENCOURT</v>
      </c>
      <c r="C4185" s="1402" t="s">
        <v>14828</v>
      </c>
      <c r="D4185" s="1403" t="s">
        <v>3666</v>
      </c>
      <c r="E4185" s="1404" t="s">
        <v>14829</v>
      </c>
      <c r="F4185" s="1405" t="s">
        <v>5299</v>
      </c>
      <c r="G4185" s="1403" t="s">
        <v>14830</v>
      </c>
      <c r="H4185" s="1406" t="s">
        <v>14827</v>
      </c>
    </row>
    <row r="4186" spans="2:8" x14ac:dyDescent="0.2">
      <c r="B4186" s="1407" t="str">
        <f t="shared" si="67"/>
        <v>Ivan POPOV</v>
      </c>
      <c r="C4186" s="1402" t="s">
        <v>14831</v>
      </c>
      <c r="D4186" s="1403" t="s">
        <v>7006</v>
      </c>
      <c r="E4186" s="1404" t="s">
        <v>14832</v>
      </c>
      <c r="F4186" s="1405" t="s">
        <v>13210</v>
      </c>
      <c r="G4186" s="1403" t="s">
        <v>14830</v>
      </c>
      <c r="H4186" s="1406" t="s">
        <v>14827</v>
      </c>
    </row>
    <row r="4187" spans="2:8" x14ac:dyDescent="0.2">
      <c r="B4187" s="1407" t="str">
        <f t="shared" si="67"/>
        <v>Miroslava TSYBENKO</v>
      </c>
      <c r="C4187" s="1402" t="s">
        <v>14833</v>
      </c>
      <c r="D4187" s="1403" t="s">
        <v>14834</v>
      </c>
      <c r="E4187" s="1404" t="s">
        <v>14835</v>
      </c>
      <c r="F4187" s="1405" t="s">
        <v>5299</v>
      </c>
      <c r="G4187" s="1403" t="s">
        <v>14830</v>
      </c>
      <c r="H4187" s="1406" t="s">
        <v>14827</v>
      </c>
    </row>
    <row r="4188" spans="2:8" x14ac:dyDescent="0.2">
      <c r="B4188" s="1407" t="str">
        <f t="shared" si="67"/>
        <v>Denys KOZAK</v>
      </c>
      <c r="C4188" s="1402" t="s">
        <v>14836</v>
      </c>
      <c r="D4188" s="1403" t="s">
        <v>14837</v>
      </c>
      <c r="E4188" s="1404" t="s">
        <v>14838</v>
      </c>
      <c r="F4188" s="1405" t="s">
        <v>5299</v>
      </c>
      <c r="G4188" s="1403" t="s">
        <v>14830</v>
      </c>
      <c r="H4188" s="1406" t="s">
        <v>14827</v>
      </c>
    </row>
    <row r="4189" spans="2:8" x14ac:dyDescent="0.2">
      <c r="B4189" s="1407" t="str">
        <f t="shared" si="67"/>
        <v>Iryna PROKHORENKO</v>
      </c>
      <c r="C4189" s="1402" t="s">
        <v>14839</v>
      </c>
      <c r="D4189" s="1403" t="s">
        <v>14840</v>
      </c>
      <c r="E4189" s="1404" t="s">
        <v>14841</v>
      </c>
      <c r="F4189" s="1405" t="s">
        <v>5299</v>
      </c>
      <c r="G4189" s="1403" t="s">
        <v>14830</v>
      </c>
      <c r="H4189" s="1406" t="s">
        <v>14827</v>
      </c>
    </row>
    <row r="4190" spans="2:8" x14ac:dyDescent="0.2">
      <c r="B4190" s="1407" t="str">
        <f t="shared" si="67"/>
        <v>Peter Alegi</v>
      </c>
      <c r="C4190" s="1402" t="s">
        <v>8203</v>
      </c>
      <c r="D4190" s="1403" t="s">
        <v>3194</v>
      </c>
      <c r="E4190" s="1404" t="s">
        <v>8684</v>
      </c>
      <c r="F4190" s="1405" t="s">
        <v>5300</v>
      </c>
      <c r="G4190" s="1403" t="s">
        <v>3614</v>
      </c>
      <c r="H4190" s="1406" t="s">
        <v>1079</v>
      </c>
    </row>
    <row r="4191" spans="2:8" x14ac:dyDescent="0.2">
      <c r="B4191" s="1407" t="str">
        <f t="shared" si="67"/>
        <v>Max Ambrosio</v>
      </c>
      <c r="C4191" s="1402" t="s">
        <v>8162</v>
      </c>
      <c r="D4191" s="1403" t="s">
        <v>3710</v>
      </c>
      <c r="E4191" s="1404" t="s">
        <v>8691</v>
      </c>
      <c r="F4191" s="1405" t="s">
        <v>5300</v>
      </c>
      <c r="G4191" s="1403" t="s">
        <v>10290</v>
      </c>
      <c r="H4191" s="1406" t="s">
        <v>1079</v>
      </c>
    </row>
    <row r="4192" spans="2:8" x14ac:dyDescent="0.2">
      <c r="B4192" s="1407" t="str">
        <f t="shared" si="67"/>
        <v>Kevin Antoszewski</v>
      </c>
      <c r="C4192" s="1402" t="s">
        <v>6851</v>
      </c>
      <c r="D4192" s="1403" t="s">
        <v>3263</v>
      </c>
      <c r="E4192" s="1404" t="s">
        <v>5283</v>
      </c>
      <c r="F4192" s="1405" t="s">
        <v>5299</v>
      </c>
      <c r="G4192" s="1403" t="s">
        <v>2905</v>
      </c>
      <c r="H4192" s="1406" t="s">
        <v>1079</v>
      </c>
    </row>
    <row r="4193" spans="2:8" x14ac:dyDescent="0.2">
      <c r="B4193" s="1407" t="str">
        <f t="shared" si="67"/>
        <v>Bryan Arnold</v>
      </c>
      <c r="C4193" s="1402" t="s">
        <v>3625</v>
      </c>
      <c r="D4193" s="1403" t="s">
        <v>3344</v>
      </c>
      <c r="E4193" s="1404" t="s">
        <v>7740</v>
      </c>
      <c r="F4193" s="1405" t="s">
        <v>5300</v>
      </c>
      <c r="G4193" s="1403" t="s">
        <v>14892</v>
      </c>
      <c r="H4193" s="1406" t="s">
        <v>1079</v>
      </c>
    </row>
    <row r="4194" spans="2:8" x14ac:dyDescent="0.2">
      <c r="B4194" s="1407" t="str">
        <f t="shared" si="67"/>
        <v>Kevin Bao</v>
      </c>
      <c r="C4194" s="1402" t="s">
        <v>6861</v>
      </c>
      <c r="D4194" s="1403" t="s">
        <v>3263</v>
      </c>
      <c r="E4194" s="1404" t="s">
        <v>5294</v>
      </c>
      <c r="F4194" s="1405" t="s">
        <v>5299</v>
      </c>
      <c r="G4194" s="1403" t="s">
        <v>10286</v>
      </c>
      <c r="H4194" s="1406" t="s">
        <v>1079</v>
      </c>
    </row>
    <row r="4195" spans="2:8" x14ac:dyDescent="0.2">
      <c r="B4195" s="1407" t="str">
        <f t="shared" si="67"/>
        <v>Chris Barron</v>
      </c>
      <c r="C4195" s="1402" t="s">
        <v>6854</v>
      </c>
      <c r="D4195" s="1403" t="s">
        <v>3029</v>
      </c>
      <c r="E4195" s="1404" t="s">
        <v>5286</v>
      </c>
      <c r="F4195" s="1405" t="s">
        <v>5300</v>
      </c>
      <c r="G4195" s="1403" t="s">
        <v>10283</v>
      </c>
      <c r="H4195" s="1406" t="s">
        <v>1079</v>
      </c>
    </row>
    <row r="4196" spans="2:8" x14ac:dyDescent="0.2">
      <c r="B4196" s="1407" t="str">
        <f t="shared" si="67"/>
        <v>Alex Batacchi</v>
      </c>
      <c r="C4196" s="1402" t="s">
        <v>6850</v>
      </c>
      <c r="D4196" s="1403" t="s">
        <v>3130</v>
      </c>
      <c r="E4196" s="1404" t="s">
        <v>5282</v>
      </c>
      <c r="F4196" s="1405" t="s">
        <v>5300</v>
      </c>
      <c r="G4196" s="1403" t="s">
        <v>10280</v>
      </c>
      <c r="H4196" s="1406" t="s">
        <v>1079</v>
      </c>
    </row>
    <row r="4197" spans="2:8" x14ac:dyDescent="0.2">
      <c r="B4197" s="1407" t="str">
        <f t="shared" si="67"/>
        <v>Isabel Batacchi</v>
      </c>
      <c r="C4197" s="1402" t="s">
        <v>6850</v>
      </c>
      <c r="D4197" s="1403" t="s">
        <v>7705</v>
      </c>
      <c r="E4197" s="1404" t="s">
        <v>7733</v>
      </c>
      <c r="F4197" s="1405" t="s">
        <v>5300</v>
      </c>
      <c r="G4197" s="1403" t="s">
        <v>10280</v>
      </c>
      <c r="H4197" s="1406" t="s">
        <v>1079</v>
      </c>
    </row>
    <row r="4198" spans="2:8" x14ac:dyDescent="0.2">
      <c r="B4198" s="1407" t="str">
        <f t="shared" si="67"/>
        <v>Mike Byrd</v>
      </c>
      <c r="C4198" s="1402" t="s">
        <v>6864</v>
      </c>
      <c r="D4198" s="1403" t="s">
        <v>3304</v>
      </c>
      <c r="E4198" s="1404" t="s">
        <v>5296</v>
      </c>
      <c r="F4198" s="1405" t="s">
        <v>5300</v>
      </c>
      <c r="G4198" s="1403" t="s">
        <v>2906</v>
      </c>
      <c r="H4198" s="1406" t="s">
        <v>1079</v>
      </c>
    </row>
    <row r="4199" spans="2:8" x14ac:dyDescent="0.2">
      <c r="B4199" s="1407" t="str">
        <f t="shared" si="67"/>
        <v>João Paulo Casaca</v>
      </c>
      <c r="C4199" s="1402" t="s">
        <v>8206</v>
      </c>
      <c r="D4199" s="1403" t="s">
        <v>8313</v>
      </c>
      <c r="E4199" s="1404" t="s">
        <v>8690</v>
      </c>
      <c r="F4199" s="1405" t="s">
        <v>5300</v>
      </c>
      <c r="G4199" s="1403" t="s">
        <v>17015</v>
      </c>
      <c r="H4199" s="1406" t="s">
        <v>1079</v>
      </c>
    </row>
    <row r="4200" spans="2:8" x14ac:dyDescent="0.2">
      <c r="B4200" s="1407" t="str">
        <f t="shared" si="67"/>
        <v>Alexander Charles</v>
      </c>
      <c r="C4200" s="1402" t="s">
        <v>3422</v>
      </c>
      <c r="D4200" s="1403" t="s">
        <v>3037</v>
      </c>
      <c r="E4200" s="1404" t="s">
        <v>14090</v>
      </c>
      <c r="F4200" s="1405" t="s">
        <v>5299</v>
      </c>
      <c r="G4200" s="1403" t="s">
        <v>13603</v>
      </c>
      <c r="H4200" s="1406" t="s">
        <v>1079</v>
      </c>
    </row>
    <row r="4201" spans="2:8" x14ac:dyDescent="0.2">
      <c r="B4201" s="1407" t="str">
        <f t="shared" si="67"/>
        <v>Sam Cohen</v>
      </c>
      <c r="C4201" s="1402" t="s">
        <v>6343</v>
      </c>
      <c r="D4201" s="1403" t="s">
        <v>5555</v>
      </c>
      <c r="E4201" s="1404" t="s">
        <v>11466</v>
      </c>
      <c r="F4201" s="1405" t="s">
        <v>5299</v>
      </c>
      <c r="G4201" s="1403" t="s">
        <v>2905</v>
      </c>
      <c r="H4201" s="1406" t="s">
        <v>1079</v>
      </c>
    </row>
    <row r="4202" spans="2:8" x14ac:dyDescent="0.2">
      <c r="B4202" s="1407" t="str">
        <f t="shared" si="67"/>
        <v>Adolfo Colindres</v>
      </c>
      <c r="C4202" s="1402" t="s">
        <v>6845</v>
      </c>
      <c r="D4202" s="1403" t="s">
        <v>7045</v>
      </c>
      <c r="E4202" s="1404" t="s">
        <v>5276</v>
      </c>
      <c r="F4202" s="1405" t="s">
        <v>5299</v>
      </c>
      <c r="G4202" s="1403" t="s">
        <v>2905</v>
      </c>
      <c r="H4202" s="1406" t="s">
        <v>1079</v>
      </c>
    </row>
    <row r="4203" spans="2:8" x14ac:dyDescent="0.2">
      <c r="B4203" s="1407" t="str">
        <f t="shared" si="67"/>
        <v>Massimo Conturso</v>
      </c>
      <c r="C4203" s="1402" t="s">
        <v>6841</v>
      </c>
      <c r="D4203" s="1403" t="s">
        <v>3013</v>
      </c>
      <c r="E4203" s="1404" t="s">
        <v>5271</v>
      </c>
      <c r="F4203" s="1405" t="s">
        <v>5300</v>
      </c>
      <c r="G4203" s="1403" t="s">
        <v>2756</v>
      </c>
      <c r="H4203" s="1406" t="s">
        <v>1079</v>
      </c>
    </row>
    <row r="4204" spans="2:8" x14ac:dyDescent="0.2">
      <c r="B4204" s="1407" t="str">
        <f t="shared" si="67"/>
        <v>Daniel Cranston</v>
      </c>
      <c r="C4204" s="1402" t="s">
        <v>6839</v>
      </c>
      <c r="D4204" s="1403" t="s">
        <v>3243</v>
      </c>
      <c r="E4204" s="1404" t="s">
        <v>5269</v>
      </c>
      <c r="F4204" s="1405" t="s">
        <v>5299</v>
      </c>
      <c r="G4204" s="1403" t="s">
        <v>17015</v>
      </c>
      <c r="H4204" s="1406" t="s">
        <v>1079</v>
      </c>
    </row>
    <row r="4205" spans="2:8" x14ac:dyDescent="0.2">
      <c r="B4205" s="1407" t="str">
        <f t="shared" si="67"/>
        <v>Eddie Davidson</v>
      </c>
      <c r="C4205" s="1402" t="s">
        <v>6855</v>
      </c>
      <c r="D4205" s="1403" t="s">
        <v>3225</v>
      </c>
      <c r="E4205" s="1404" t="s">
        <v>5287</v>
      </c>
      <c r="F4205" s="1405" t="s">
        <v>5300</v>
      </c>
      <c r="G4205" s="1403" t="s">
        <v>2756</v>
      </c>
      <c r="H4205" s="1406" t="s">
        <v>1079</v>
      </c>
    </row>
    <row r="4206" spans="2:8" x14ac:dyDescent="0.2">
      <c r="B4206" s="1407" t="str">
        <f t="shared" si="67"/>
        <v>Jeff Davidson</v>
      </c>
      <c r="C4206" s="1402" t="s">
        <v>6855</v>
      </c>
      <c r="D4206" s="1403" t="s">
        <v>5624</v>
      </c>
      <c r="E4206" s="1404" t="s">
        <v>5291</v>
      </c>
      <c r="F4206" s="1405" t="s">
        <v>5299</v>
      </c>
      <c r="G4206" s="1403" t="s">
        <v>2756</v>
      </c>
      <c r="H4206" s="1406" t="s">
        <v>1079</v>
      </c>
    </row>
    <row r="4207" spans="2:8" x14ac:dyDescent="0.2">
      <c r="B4207" s="1407" t="str">
        <f t="shared" si="67"/>
        <v>Armando De Leon</v>
      </c>
      <c r="C4207" s="1402" t="s">
        <v>14842</v>
      </c>
      <c r="D4207" s="1403" t="s">
        <v>6994</v>
      </c>
      <c r="E4207" s="1404" t="s">
        <v>14843</v>
      </c>
      <c r="F4207" s="1405" t="s">
        <v>5299</v>
      </c>
      <c r="G4207" s="1403" t="s">
        <v>9451</v>
      </c>
      <c r="H4207" s="1406" t="s">
        <v>1079</v>
      </c>
    </row>
    <row r="4208" spans="2:8" x14ac:dyDescent="0.2">
      <c r="B4208" s="1407" t="str">
        <f t="shared" si="67"/>
        <v>Gregg Deinhart</v>
      </c>
      <c r="C4208" s="1402" t="s">
        <v>6847</v>
      </c>
      <c r="D4208" s="1403" t="s">
        <v>7047</v>
      </c>
      <c r="E4208" s="1404" t="s">
        <v>5279</v>
      </c>
      <c r="F4208" s="1405" t="s">
        <v>5300</v>
      </c>
      <c r="G4208" s="1403" t="s">
        <v>2906</v>
      </c>
      <c r="H4208" s="1406" t="s">
        <v>1079</v>
      </c>
    </row>
    <row r="4209" spans="2:8" x14ac:dyDescent="0.2">
      <c r="B4209" s="1407" t="str">
        <f t="shared" si="67"/>
        <v>Collin Dohner</v>
      </c>
      <c r="C4209" s="1402" t="s">
        <v>17402</v>
      </c>
      <c r="D4209" s="1403" t="s">
        <v>17403</v>
      </c>
      <c r="E4209" s="1404" t="s">
        <v>17404</v>
      </c>
      <c r="F4209" s="1405" t="s">
        <v>5299</v>
      </c>
      <c r="G4209" s="1403" t="s">
        <v>17015</v>
      </c>
      <c r="H4209" s="1406" t="s">
        <v>1079</v>
      </c>
    </row>
    <row r="4210" spans="2:8" x14ac:dyDescent="0.2">
      <c r="B4210" s="1407" t="str">
        <f t="shared" si="67"/>
        <v>Jeff Drake</v>
      </c>
      <c r="C4210" s="1402" t="s">
        <v>14844</v>
      </c>
      <c r="D4210" s="1403" t="s">
        <v>5624</v>
      </c>
      <c r="E4210" s="1404" t="s">
        <v>14845</v>
      </c>
      <c r="F4210" s="1405" t="s">
        <v>5300</v>
      </c>
      <c r="G4210" s="1403" t="s">
        <v>14846</v>
      </c>
      <c r="H4210" s="1406" t="s">
        <v>1079</v>
      </c>
    </row>
    <row r="4211" spans="2:8" x14ac:dyDescent="0.2">
      <c r="B4211" s="1407" t="str">
        <f t="shared" si="67"/>
        <v>Tony Esteban</v>
      </c>
      <c r="C4211" s="1402" t="s">
        <v>11072</v>
      </c>
      <c r="D4211" s="1403" t="s">
        <v>3134</v>
      </c>
      <c r="E4211" s="1404" t="s">
        <v>14085</v>
      </c>
      <c r="F4211" s="1405" t="s">
        <v>5299</v>
      </c>
      <c r="G4211" s="1403" t="s">
        <v>2905</v>
      </c>
      <c r="H4211" s="1406" t="s">
        <v>1079</v>
      </c>
    </row>
    <row r="4212" spans="2:8" x14ac:dyDescent="0.2">
      <c r="B4212" s="1407" t="str">
        <f t="shared" si="67"/>
        <v>Paul Eyes</v>
      </c>
      <c r="C4212" s="1402" t="s">
        <v>6840</v>
      </c>
      <c r="D4212" s="1403" t="s">
        <v>3259</v>
      </c>
      <c r="E4212" s="1404" t="s">
        <v>5270</v>
      </c>
      <c r="F4212" s="1405" t="s">
        <v>5300</v>
      </c>
      <c r="G4212" s="1403" t="s">
        <v>17015</v>
      </c>
      <c r="H4212" s="1406" t="s">
        <v>1079</v>
      </c>
    </row>
    <row r="4213" spans="2:8" x14ac:dyDescent="0.2">
      <c r="B4213" s="1407" t="str">
        <f t="shared" si="67"/>
        <v>Christian Filippella</v>
      </c>
      <c r="C4213" s="1402" t="s">
        <v>7422</v>
      </c>
      <c r="D4213" s="1403" t="s">
        <v>3063</v>
      </c>
      <c r="E4213" s="1404" t="s">
        <v>8693</v>
      </c>
      <c r="F4213" s="1405" t="s">
        <v>5299</v>
      </c>
      <c r="G4213" s="1403" t="s">
        <v>2776</v>
      </c>
      <c r="H4213" s="1406" t="s">
        <v>1079</v>
      </c>
    </row>
    <row r="4214" spans="2:8" x14ac:dyDescent="0.2">
      <c r="B4214" s="1407" t="str">
        <f t="shared" si="67"/>
        <v>Lenny Foster</v>
      </c>
      <c r="C4214" s="1402" t="s">
        <v>6862</v>
      </c>
      <c r="D4214" s="1403" t="s">
        <v>7050</v>
      </c>
      <c r="E4214" s="1404" t="s">
        <v>5295</v>
      </c>
      <c r="F4214" s="1405" t="s">
        <v>5299</v>
      </c>
      <c r="G4214" s="1403" t="s">
        <v>17015</v>
      </c>
      <c r="H4214" s="1406" t="s">
        <v>1079</v>
      </c>
    </row>
    <row r="4215" spans="2:8" x14ac:dyDescent="0.2">
      <c r="B4215" s="1407" t="str">
        <f t="shared" si="67"/>
        <v>Alex Galarza</v>
      </c>
      <c r="C4215" s="1402" t="s">
        <v>8205</v>
      </c>
      <c r="D4215" s="1403" t="s">
        <v>3130</v>
      </c>
      <c r="E4215" s="1404" t="s">
        <v>8689</v>
      </c>
      <c r="F4215" s="1405" t="s">
        <v>5299</v>
      </c>
      <c r="G4215" s="1403" t="s">
        <v>7868</v>
      </c>
      <c r="H4215" s="1406" t="s">
        <v>1079</v>
      </c>
    </row>
    <row r="4216" spans="2:8" x14ac:dyDescent="0.2">
      <c r="B4216" s="1407" t="str">
        <f t="shared" si="67"/>
        <v>Eric Garza</v>
      </c>
      <c r="C4216" s="1402" t="s">
        <v>6856</v>
      </c>
      <c r="D4216" s="1403" t="s">
        <v>3044</v>
      </c>
      <c r="E4216" s="1404" t="s">
        <v>5288</v>
      </c>
      <c r="F4216" s="1405" t="s">
        <v>5299</v>
      </c>
      <c r="G4216" s="1403" t="s">
        <v>9451</v>
      </c>
      <c r="H4216" s="1406" t="s">
        <v>1079</v>
      </c>
    </row>
    <row r="4217" spans="2:8" x14ac:dyDescent="0.2">
      <c r="B4217" s="1407" t="str">
        <f t="shared" si="67"/>
        <v>Andrew Giffen</v>
      </c>
      <c r="C4217" s="1402" t="s">
        <v>6863</v>
      </c>
      <c r="D4217" s="1403" t="s">
        <v>3105</v>
      </c>
      <c r="E4217" s="1404" t="s">
        <v>7732</v>
      </c>
      <c r="F4217" s="1405" t="s">
        <v>5300</v>
      </c>
      <c r="G4217" s="1403" t="s">
        <v>2906</v>
      </c>
      <c r="H4217" s="1406" t="s">
        <v>1079</v>
      </c>
    </row>
    <row r="4218" spans="2:8" x14ac:dyDescent="0.2">
      <c r="B4218" s="1407" t="str">
        <f t="shared" si="67"/>
        <v>Ilias Gikas</v>
      </c>
      <c r="C4218" s="1402" t="s">
        <v>7462</v>
      </c>
      <c r="D4218" s="1403" t="s">
        <v>6978</v>
      </c>
      <c r="E4218" s="1404" t="s">
        <v>7634</v>
      </c>
      <c r="F4218" s="1405" t="s">
        <v>5300</v>
      </c>
      <c r="G4218" s="1403" t="s">
        <v>18063</v>
      </c>
      <c r="H4218" s="1406" t="s">
        <v>1079</v>
      </c>
    </row>
    <row r="4219" spans="2:8" x14ac:dyDescent="0.2">
      <c r="B4219" s="1407" t="str">
        <f t="shared" si="67"/>
        <v>Erik Haefke</v>
      </c>
      <c r="C4219" s="1402" t="s">
        <v>6858</v>
      </c>
      <c r="D4219" s="1403" t="s">
        <v>3708</v>
      </c>
      <c r="E4219" s="1404" t="s">
        <v>5290</v>
      </c>
      <c r="F4219" s="1405" t="s">
        <v>5300</v>
      </c>
      <c r="G4219" s="1403" t="s">
        <v>18063</v>
      </c>
      <c r="H4219" s="1406" t="s">
        <v>1079</v>
      </c>
    </row>
    <row r="4220" spans="2:8" x14ac:dyDescent="0.2">
      <c r="B4220" s="1407" t="str">
        <f t="shared" si="67"/>
        <v>Chad Allen Idema</v>
      </c>
      <c r="C4220" s="1402" t="s">
        <v>7697</v>
      </c>
      <c r="D4220" s="1403" t="s">
        <v>7708</v>
      </c>
      <c r="E4220" s="1404" t="s">
        <v>7744</v>
      </c>
      <c r="F4220" s="1405" t="s">
        <v>5299</v>
      </c>
      <c r="G4220" s="1403" t="s">
        <v>7868</v>
      </c>
      <c r="H4220" s="1406" t="s">
        <v>1079</v>
      </c>
    </row>
    <row r="4221" spans="2:8" x14ac:dyDescent="0.2">
      <c r="B4221" s="1407" t="str">
        <f t="shared" si="67"/>
        <v>Schoonmaker Jake</v>
      </c>
      <c r="C4221" s="1402" t="s">
        <v>8316</v>
      </c>
      <c r="D4221" s="1403" t="s">
        <v>14088</v>
      </c>
      <c r="E4221" s="1404" t="s">
        <v>14089</v>
      </c>
      <c r="F4221" s="1405" t="s">
        <v>5299</v>
      </c>
      <c r="G4221" s="1403" t="s">
        <v>17015</v>
      </c>
      <c r="H4221" s="1406" t="s">
        <v>1079</v>
      </c>
    </row>
    <row r="4222" spans="2:8" x14ac:dyDescent="0.2">
      <c r="B4222" s="1407" t="str">
        <f t="shared" si="67"/>
        <v>Wyss James</v>
      </c>
      <c r="C4222" s="1402" t="s">
        <v>3349</v>
      </c>
      <c r="D4222" s="1403" t="s">
        <v>14086</v>
      </c>
      <c r="E4222" s="1404" t="s">
        <v>14087</v>
      </c>
      <c r="F4222" s="1405" t="s">
        <v>5300</v>
      </c>
      <c r="G4222" s="1403" t="s">
        <v>14359</v>
      </c>
      <c r="H4222" s="1406" t="s">
        <v>1079</v>
      </c>
    </row>
    <row r="4223" spans="2:8" x14ac:dyDescent="0.2">
      <c r="B4223" s="1407" t="str">
        <f t="shared" si="67"/>
        <v>Jeremy Goninan</v>
      </c>
      <c r="C4223" s="1402" t="s">
        <v>14096</v>
      </c>
      <c r="D4223" s="1403" t="s">
        <v>3110</v>
      </c>
      <c r="E4223" s="1404" t="s">
        <v>14097</v>
      </c>
      <c r="F4223" s="1405" t="s">
        <v>5299</v>
      </c>
      <c r="G4223" s="1403" t="s">
        <v>17015</v>
      </c>
      <c r="H4223" s="1406" t="s">
        <v>1079</v>
      </c>
    </row>
    <row r="4224" spans="2:8" x14ac:dyDescent="0.2">
      <c r="B4224" s="1407" t="str">
        <f t="shared" si="67"/>
        <v>Tony Kees</v>
      </c>
      <c r="C4224" s="1402" t="s">
        <v>7011</v>
      </c>
      <c r="D4224" s="1403" t="s">
        <v>3134</v>
      </c>
      <c r="E4224" s="1404" t="s">
        <v>8695</v>
      </c>
      <c r="F4224" s="1405" t="s">
        <v>5300</v>
      </c>
      <c r="G4224" s="1403" t="s">
        <v>14359</v>
      </c>
      <c r="H4224" s="1406" t="s">
        <v>1079</v>
      </c>
    </row>
    <row r="4225" spans="2:8" x14ac:dyDescent="0.2">
      <c r="B4225" s="1407" t="str">
        <f t="shared" si="67"/>
        <v>Shaun Kidsley</v>
      </c>
      <c r="C4225" s="1402" t="s">
        <v>11461</v>
      </c>
      <c r="D4225" s="1403" t="s">
        <v>3377</v>
      </c>
      <c r="E4225" s="1404" t="s">
        <v>11465</v>
      </c>
      <c r="F4225" s="1405" t="s">
        <v>5299</v>
      </c>
      <c r="G4225" s="1403" t="s">
        <v>2752</v>
      </c>
      <c r="H4225" s="1406" t="s">
        <v>1079</v>
      </c>
    </row>
    <row r="4226" spans="2:8" x14ac:dyDescent="0.2">
      <c r="B4226" s="1407" t="str">
        <f t="shared" si="67"/>
        <v>Byung Kim</v>
      </c>
      <c r="C4226" s="1402" t="s">
        <v>6844</v>
      </c>
      <c r="D4226" s="1403" t="s">
        <v>7044</v>
      </c>
      <c r="E4226" s="1404" t="s">
        <v>5274</v>
      </c>
      <c r="F4226" s="1405" t="s">
        <v>5299</v>
      </c>
      <c r="G4226" s="1403" t="s">
        <v>2905</v>
      </c>
      <c r="H4226" s="1406" t="s">
        <v>1079</v>
      </c>
    </row>
    <row r="4227" spans="2:8" x14ac:dyDescent="0.2">
      <c r="B4227" s="1407" t="str">
        <f t="shared" si="67"/>
        <v>Brian King</v>
      </c>
      <c r="C4227" s="1402" t="s">
        <v>7698</v>
      </c>
      <c r="D4227" s="1403" t="s">
        <v>3195</v>
      </c>
      <c r="E4227" s="1404" t="s">
        <v>7745</v>
      </c>
      <c r="F4227" s="1405" t="s">
        <v>5300</v>
      </c>
      <c r="G4227" s="1403" t="s">
        <v>14847</v>
      </c>
      <c r="H4227" s="1406" t="s">
        <v>1079</v>
      </c>
    </row>
    <row r="4228" spans="2:8" x14ac:dyDescent="0.2">
      <c r="B4228" s="1407" t="str">
        <f t="shared" si="67"/>
        <v>Javier King</v>
      </c>
      <c r="C4228" s="1402" t="s">
        <v>7698</v>
      </c>
      <c r="D4228" s="1403" t="s">
        <v>3574</v>
      </c>
      <c r="E4228" s="1404" t="s">
        <v>7746</v>
      </c>
      <c r="F4228" s="1405" t="s">
        <v>5299</v>
      </c>
      <c r="G4228" s="1403" t="s">
        <v>14847</v>
      </c>
      <c r="H4228" s="1406" t="s">
        <v>1079</v>
      </c>
    </row>
    <row r="4229" spans="2:8" x14ac:dyDescent="0.2">
      <c r="B4229" s="1407" t="str">
        <f t="shared" si="67"/>
        <v>Todd Kleppin</v>
      </c>
      <c r="C4229" s="1402" t="s">
        <v>7693</v>
      </c>
      <c r="D4229" s="1403" t="s">
        <v>5938</v>
      </c>
      <c r="E4229" s="1404" t="s">
        <v>7738</v>
      </c>
      <c r="F4229" s="1405" t="s">
        <v>5300</v>
      </c>
      <c r="G4229" s="1403" t="s">
        <v>10286</v>
      </c>
      <c r="H4229" s="1406" t="s">
        <v>1079</v>
      </c>
    </row>
    <row r="4230" spans="2:8" x14ac:dyDescent="0.2">
      <c r="B4230" s="1407" t="str">
        <f t="shared" si="67"/>
        <v>Varant Kurkeyerian</v>
      </c>
      <c r="C4230" s="1402" t="s">
        <v>6867</v>
      </c>
      <c r="D4230" s="1403" t="s">
        <v>5599</v>
      </c>
      <c r="E4230" s="1404" t="s">
        <v>7159</v>
      </c>
      <c r="F4230" s="1405" t="s">
        <v>5300</v>
      </c>
      <c r="G4230" s="1403" t="s">
        <v>17015</v>
      </c>
      <c r="H4230" s="1406" t="s">
        <v>1079</v>
      </c>
    </row>
    <row r="4231" spans="2:8" x14ac:dyDescent="0.2">
      <c r="B4231" s="1407" t="str">
        <f t="shared" si="67"/>
        <v>Brian Lambert</v>
      </c>
      <c r="C4231" s="1402" t="s">
        <v>5729</v>
      </c>
      <c r="D4231" s="1403" t="s">
        <v>3195</v>
      </c>
      <c r="E4231" s="1404" t="s">
        <v>8686</v>
      </c>
      <c r="F4231" s="1405" t="s">
        <v>5300</v>
      </c>
      <c r="G4231" s="1403" t="s">
        <v>7868</v>
      </c>
      <c r="H4231" s="1406" t="s">
        <v>1079</v>
      </c>
    </row>
    <row r="4232" spans="2:8" x14ac:dyDescent="0.2">
      <c r="B4232" s="1407" t="str">
        <f t="shared" si="67"/>
        <v>Dewey Larochelle</v>
      </c>
      <c r="C4232" s="1402" t="s">
        <v>6849</v>
      </c>
      <c r="D4232" s="1403" t="s">
        <v>7048</v>
      </c>
      <c r="E4232" s="1404" t="s">
        <v>5281</v>
      </c>
      <c r="F4232" s="1405" t="s">
        <v>5300</v>
      </c>
      <c r="G4232" s="1403" t="s">
        <v>2906</v>
      </c>
      <c r="H4232" s="1406" t="s">
        <v>1079</v>
      </c>
    </row>
    <row r="4233" spans="2:8" x14ac:dyDescent="0.2">
      <c r="B4233" s="1407" t="str">
        <f t="shared" si="67"/>
        <v>Joe Legatz</v>
      </c>
      <c r="C4233" s="1402" t="s">
        <v>13464</v>
      </c>
      <c r="D4233" s="1403" t="s">
        <v>5662</v>
      </c>
      <c r="E4233" s="1404" t="s">
        <v>11177</v>
      </c>
      <c r="F4233" s="1405" t="s">
        <v>5300</v>
      </c>
      <c r="G4233" s="1403" t="s">
        <v>7868</v>
      </c>
      <c r="H4233" s="1406" t="s">
        <v>1079</v>
      </c>
    </row>
    <row r="4234" spans="2:8" x14ac:dyDescent="0.2">
      <c r="B4234" s="1407" t="str">
        <f t="shared" ref="B4234:B4297" si="68">TRIM(CONCATENATE(D4234," ",C4234))</f>
        <v>Grant Lilly</v>
      </c>
      <c r="C4234" s="1402" t="s">
        <v>8200</v>
      </c>
      <c r="D4234" s="1403" t="s">
        <v>7999</v>
      </c>
      <c r="E4234" s="1404" t="s">
        <v>8681</v>
      </c>
      <c r="F4234" s="1405" t="s">
        <v>5299</v>
      </c>
      <c r="G4234" s="1403" t="s">
        <v>2905</v>
      </c>
      <c r="H4234" s="1406" t="s">
        <v>1079</v>
      </c>
    </row>
    <row r="4235" spans="2:8" x14ac:dyDescent="0.2">
      <c r="B4235" s="1407" t="str">
        <f t="shared" si="68"/>
        <v>Daniel Louis</v>
      </c>
      <c r="C4235" s="1402" t="s">
        <v>5660</v>
      </c>
      <c r="D4235" s="1403" t="s">
        <v>3243</v>
      </c>
      <c r="E4235" s="1404" t="s">
        <v>8683</v>
      </c>
      <c r="F4235" s="1405" t="s">
        <v>5299</v>
      </c>
      <c r="G4235" s="1403" t="s">
        <v>17015</v>
      </c>
      <c r="H4235" s="1406" t="s">
        <v>1079</v>
      </c>
    </row>
    <row r="4236" spans="2:8" x14ac:dyDescent="0.2">
      <c r="B4236" s="1407" t="str">
        <f t="shared" si="68"/>
        <v>Miko Mann</v>
      </c>
      <c r="C4236" s="1402" t="s">
        <v>7691</v>
      </c>
      <c r="D4236" s="1403" t="s">
        <v>3296</v>
      </c>
      <c r="E4236" s="1404" t="s">
        <v>7735</v>
      </c>
      <c r="F4236" s="1405" t="s">
        <v>5299</v>
      </c>
      <c r="G4236" s="1403" t="s">
        <v>10287</v>
      </c>
      <c r="H4236" s="1406" t="s">
        <v>1079</v>
      </c>
    </row>
    <row r="4237" spans="2:8" x14ac:dyDescent="0.2">
      <c r="B4237" s="1407" t="str">
        <f t="shared" si="68"/>
        <v>Sean Mann</v>
      </c>
      <c r="C4237" s="1402" t="s">
        <v>7691</v>
      </c>
      <c r="D4237" s="1403" t="s">
        <v>6945</v>
      </c>
      <c r="E4237" s="1404" t="s">
        <v>8685</v>
      </c>
      <c r="F4237" s="1405" t="s">
        <v>5300</v>
      </c>
      <c r="G4237" s="1403" t="s">
        <v>10287</v>
      </c>
      <c r="H4237" s="1406" t="s">
        <v>1079</v>
      </c>
    </row>
    <row r="4238" spans="2:8" x14ac:dyDescent="0.2">
      <c r="B4238" s="1407" t="str">
        <f t="shared" si="68"/>
        <v>Tom Martz</v>
      </c>
      <c r="C4238" s="1402" t="s">
        <v>9405</v>
      </c>
      <c r="D4238" s="1403" t="s">
        <v>3235</v>
      </c>
      <c r="E4238" s="1404" t="s">
        <v>9443</v>
      </c>
      <c r="F4238" s="1405" t="s">
        <v>5299</v>
      </c>
      <c r="G4238" s="1403" t="s">
        <v>2905</v>
      </c>
      <c r="H4238" s="1406" t="s">
        <v>1079</v>
      </c>
    </row>
    <row r="4239" spans="2:8" x14ac:dyDescent="0.2">
      <c r="B4239" s="1407" t="str">
        <f t="shared" si="68"/>
        <v>Brandon Mata</v>
      </c>
      <c r="C4239" s="1402" t="s">
        <v>8202</v>
      </c>
      <c r="D4239" s="1403" t="s">
        <v>3576</v>
      </c>
      <c r="E4239" s="1404" t="s">
        <v>7741</v>
      </c>
      <c r="F4239" s="1405" t="s">
        <v>5299</v>
      </c>
      <c r="G4239" s="1403" t="s">
        <v>14848</v>
      </c>
      <c r="H4239" s="1406" t="s">
        <v>1079</v>
      </c>
    </row>
    <row r="4240" spans="2:8" x14ac:dyDescent="0.2">
      <c r="B4240" s="1407" t="str">
        <f t="shared" si="68"/>
        <v>Eddy Mclane</v>
      </c>
      <c r="C4240" s="1402" t="s">
        <v>7689</v>
      </c>
      <c r="D4240" s="1403" t="s">
        <v>3665</v>
      </c>
      <c r="E4240" s="1404" t="s">
        <v>7734</v>
      </c>
      <c r="F4240" s="1405" t="s">
        <v>5299</v>
      </c>
      <c r="G4240" s="1403" t="s">
        <v>9451</v>
      </c>
      <c r="H4240" s="1406" t="s">
        <v>1079</v>
      </c>
    </row>
    <row r="4241" spans="2:8" x14ac:dyDescent="0.2">
      <c r="B4241" s="1407" t="str">
        <f t="shared" si="68"/>
        <v>Richard Mellott</v>
      </c>
      <c r="C4241" s="1402" t="s">
        <v>7692</v>
      </c>
      <c r="D4241" s="1403" t="s">
        <v>3219</v>
      </c>
      <c r="E4241" s="1404" t="s">
        <v>7736</v>
      </c>
      <c r="F4241" s="1405" t="s">
        <v>5300</v>
      </c>
      <c r="G4241" s="1403" t="s">
        <v>10288</v>
      </c>
      <c r="H4241" s="1406" t="s">
        <v>1079</v>
      </c>
    </row>
    <row r="4242" spans="2:8" x14ac:dyDescent="0.2">
      <c r="B4242" s="1407" t="str">
        <f t="shared" si="68"/>
        <v>Brian Mengele</v>
      </c>
      <c r="C4242" s="1402" t="s">
        <v>15902</v>
      </c>
      <c r="D4242" s="1403" t="s">
        <v>3195</v>
      </c>
      <c r="E4242" s="1404" t="s">
        <v>15903</v>
      </c>
      <c r="F4242" s="1405" t="s">
        <v>5299</v>
      </c>
      <c r="G4242" s="1403" t="s">
        <v>2905</v>
      </c>
      <c r="H4242" s="1406" t="s">
        <v>1079</v>
      </c>
    </row>
    <row r="4243" spans="2:8" x14ac:dyDescent="0.2">
      <c r="B4243" s="1407" t="str">
        <f t="shared" si="68"/>
        <v>Jercich Mike</v>
      </c>
      <c r="C4243" s="1402" t="s">
        <v>3304</v>
      </c>
      <c r="D4243" s="1403" t="s">
        <v>14093</v>
      </c>
      <c r="E4243" s="1404" t="s">
        <v>14094</v>
      </c>
      <c r="F4243" s="1405" t="s">
        <v>5299</v>
      </c>
      <c r="G4243" s="1403" t="s">
        <v>13603</v>
      </c>
      <c r="H4243" s="1406" t="s">
        <v>1079</v>
      </c>
    </row>
    <row r="4244" spans="2:8" x14ac:dyDescent="0.2">
      <c r="B4244" s="1407" t="str">
        <f t="shared" si="68"/>
        <v>Brandon Minton</v>
      </c>
      <c r="C4244" s="1402" t="s">
        <v>7913</v>
      </c>
      <c r="D4244" s="1403" t="s">
        <v>3576</v>
      </c>
      <c r="E4244" s="1404" t="s">
        <v>8698</v>
      </c>
      <c r="F4244" s="1405" t="s">
        <v>5299</v>
      </c>
      <c r="G4244" s="1403" t="s">
        <v>10282</v>
      </c>
      <c r="H4244" s="1406" t="s">
        <v>1079</v>
      </c>
    </row>
    <row r="4245" spans="2:8" x14ac:dyDescent="0.2">
      <c r="B4245" s="1407" t="str">
        <f t="shared" si="68"/>
        <v>Frank Montabon</v>
      </c>
      <c r="C4245" s="1402" t="s">
        <v>8201</v>
      </c>
      <c r="D4245" s="1403" t="s">
        <v>3207</v>
      </c>
      <c r="E4245" s="1404" t="s">
        <v>8682</v>
      </c>
      <c r="F4245" s="1405" t="s">
        <v>5300</v>
      </c>
      <c r="G4245" s="1403" t="s">
        <v>10284</v>
      </c>
      <c r="H4245" s="1406" t="s">
        <v>1079</v>
      </c>
    </row>
    <row r="4246" spans="2:8" x14ac:dyDescent="0.2">
      <c r="B4246" s="1407" t="str">
        <f t="shared" si="68"/>
        <v>Conan Mullen</v>
      </c>
      <c r="C4246" s="1402" t="s">
        <v>6868</v>
      </c>
      <c r="D4246" s="1403" t="s">
        <v>7051</v>
      </c>
      <c r="E4246" s="1404" t="s">
        <v>7160</v>
      </c>
      <c r="F4246" s="1405" t="s">
        <v>5300</v>
      </c>
      <c r="G4246" s="1403" t="s">
        <v>10282</v>
      </c>
      <c r="H4246" s="1406" t="s">
        <v>1079</v>
      </c>
    </row>
    <row r="4247" spans="2:8" x14ac:dyDescent="0.2">
      <c r="B4247" s="1407" t="str">
        <f t="shared" si="68"/>
        <v>Benny Nuger</v>
      </c>
      <c r="C4247" s="1402" t="s">
        <v>6853</v>
      </c>
      <c r="D4247" s="1403" t="s">
        <v>7049</v>
      </c>
      <c r="E4247" s="1404" t="s">
        <v>5284</v>
      </c>
      <c r="F4247" s="1405" t="s">
        <v>5299</v>
      </c>
      <c r="G4247" s="1403" t="s">
        <v>17015</v>
      </c>
      <c r="H4247" s="1406" t="s">
        <v>1079</v>
      </c>
    </row>
    <row r="4248" spans="2:8" x14ac:dyDescent="0.2">
      <c r="B4248" s="1407" t="str">
        <f t="shared" si="68"/>
        <v>Paul Pate</v>
      </c>
      <c r="C4248" s="1402" t="s">
        <v>8204</v>
      </c>
      <c r="D4248" s="1403" t="s">
        <v>3259</v>
      </c>
      <c r="E4248" s="1404" t="s">
        <v>8687</v>
      </c>
      <c r="F4248" s="1405" t="s">
        <v>5300</v>
      </c>
      <c r="G4248" s="1403" t="s">
        <v>7868</v>
      </c>
      <c r="H4248" s="1406" t="s">
        <v>1079</v>
      </c>
    </row>
    <row r="4249" spans="2:8" x14ac:dyDescent="0.2">
      <c r="B4249" s="1407" t="str">
        <f t="shared" si="68"/>
        <v>Nathan Pate</v>
      </c>
      <c r="C4249" s="1402" t="s">
        <v>8204</v>
      </c>
      <c r="D4249" s="1403" t="s">
        <v>3183</v>
      </c>
      <c r="E4249" s="1404" t="s">
        <v>8688</v>
      </c>
      <c r="F4249" s="1405" t="s">
        <v>5299</v>
      </c>
      <c r="G4249" s="1403" t="s">
        <v>7868</v>
      </c>
      <c r="H4249" s="1406" t="s">
        <v>1079</v>
      </c>
    </row>
    <row r="4250" spans="2:8" x14ac:dyDescent="0.2">
      <c r="B4250" s="1407" t="str">
        <f t="shared" si="68"/>
        <v>Forest Pavel</v>
      </c>
      <c r="C4250" s="1402" t="s">
        <v>7696</v>
      </c>
      <c r="D4250" s="1403" t="s">
        <v>7707</v>
      </c>
      <c r="E4250" s="1404" t="s">
        <v>7743</v>
      </c>
      <c r="F4250" s="1405" t="s">
        <v>5299</v>
      </c>
      <c r="G4250" s="1403" t="s">
        <v>10287</v>
      </c>
      <c r="H4250" s="1406" t="s">
        <v>1079</v>
      </c>
    </row>
    <row r="4251" spans="2:8" x14ac:dyDescent="0.2">
      <c r="B4251" s="1407" t="str">
        <f t="shared" si="68"/>
        <v>Joey Peters</v>
      </c>
      <c r="C4251" s="1402" t="s">
        <v>8209</v>
      </c>
      <c r="D4251" s="1403" t="s">
        <v>8315</v>
      </c>
      <c r="E4251" s="1404" t="s">
        <v>8697</v>
      </c>
      <c r="F4251" s="1405" t="s">
        <v>5299</v>
      </c>
      <c r="G4251" s="1403" t="s">
        <v>2905</v>
      </c>
      <c r="H4251" s="1406" t="s">
        <v>1079</v>
      </c>
    </row>
    <row r="4252" spans="2:8" x14ac:dyDescent="0.2">
      <c r="B4252" s="1407" t="str">
        <f t="shared" si="68"/>
        <v>Sam Rice</v>
      </c>
      <c r="C4252" s="1402" t="s">
        <v>14849</v>
      </c>
      <c r="D4252" s="1403" t="s">
        <v>5555</v>
      </c>
      <c r="E4252" s="1404" t="s">
        <v>14850</v>
      </c>
      <c r="F4252" s="1405" t="s">
        <v>5299</v>
      </c>
      <c r="G4252" s="1403" t="s">
        <v>2905</v>
      </c>
      <c r="H4252" s="1406" t="s">
        <v>1079</v>
      </c>
    </row>
    <row r="4253" spans="2:8" x14ac:dyDescent="0.2">
      <c r="B4253" s="1407" t="str">
        <f t="shared" si="68"/>
        <v>Zachria Rodgers</v>
      </c>
      <c r="C4253" s="1402" t="s">
        <v>6704</v>
      </c>
      <c r="D4253" s="1403" t="s">
        <v>10078</v>
      </c>
      <c r="E4253" s="1404" t="s">
        <v>10244</v>
      </c>
      <c r="F4253" s="1405" t="s">
        <v>5299</v>
      </c>
      <c r="G4253" s="1403" t="s">
        <v>2754</v>
      </c>
      <c r="H4253" s="1406" t="s">
        <v>1079</v>
      </c>
    </row>
    <row r="4254" spans="2:8" x14ac:dyDescent="0.2">
      <c r="B4254" s="1407" t="str">
        <f t="shared" si="68"/>
        <v>Isaac Rodgers</v>
      </c>
      <c r="C4254" s="1402" t="s">
        <v>6704</v>
      </c>
      <c r="D4254" s="1403" t="s">
        <v>3460</v>
      </c>
      <c r="E4254" s="1404" t="s">
        <v>10245</v>
      </c>
      <c r="F4254" s="1405" t="s">
        <v>13210</v>
      </c>
      <c r="G4254" s="1403" t="s">
        <v>2754</v>
      </c>
      <c r="H4254" s="1406" t="s">
        <v>1079</v>
      </c>
    </row>
    <row r="4255" spans="2:8" x14ac:dyDescent="0.2">
      <c r="B4255" s="1407" t="str">
        <f t="shared" si="68"/>
        <v>Stuart Russell</v>
      </c>
      <c r="C4255" s="1402" t="s">
        <v>5939</v>
      </c>
      <c r="D4255" s="1403" t="s">
        <v>3316</v>
      </c>
      <c r="E4255" s="1404" t="s">
        <v>5275</v>
      </c>
      <c r="F4255" s="1405" t="s">
        <v>5299</v>
      </c>
      <c r="G4255" s="1403" t="s">
        <v>2905</v>
      </c>
      <c r="H4255" s="1406" t="s">
        <v>1079</v>
      </c>
    </row>
    <row r="4256" spans="2:8" x14ac:dyDescent="0.2">
      <c r="B4256" s="1407" t="str">
        <f t="shared" si="68"/>
        <v>Matt Sanders</v>
      </c>
      <c r="C4256" s="1402" t="s">
        <v>7694</v>
      </c>
      <c r="D4256" s="1403" t="s">
        <v>3059</v>
      </c>
      <c r="E4256" s="1404" t="s">
        <v>7739</v>
      </c>
      <c r="F4256" s="1405" t="s">
        <v>5299</v>
      </c>
      <c r="G4256" s="1403" t="s">
        <v>10285</v>
      </c>
      <c r="H4256" s="1406" t="s">
        <v>1079</v>
      </c>
    </row>
    <row r="4257" spans="2:8" x14ac:dyDescent="0.2">
      <c r="B4257" s="1407" t="str">
        <f t="shared" si="68"/>
        <v>Claudio Santos</v>
      </c>
      <c r="C4257" s="1402" t="s">
        <v>6730</v>
      </c>
      <c r="D4257" s="1403" t="s">
        <v>3038</v>
      </c>
      <c r="E4257" s="1404" t="s">
        <v>9445</v>
      </c>
      <c r="F4257" s="1405" t="s">
        <v>5299</v>
      </c>
      <c r="G4257" s="1403" t="s">
        <v>17015</v>
      </c>
      <c r="H4257" s="1406" t="s">
        <v>1079</v>
      </c>
    </row>
    <row r="4258" spans="2:8" x14ac:dyDescent="0.2">
      <c r="B4258" s="1407" t="str">
        <f t="shared" si="68"/>
        <v>Joe Schmidt</v>
      </c>
      <c r="C4258" s="1402" t="s">
        <v>6860</v>
      </c>
      <c r="D4258" s="1403" t="s">
        <v>5662</v>
      </c>
      <c r="E4258" s="1404" t="s">
        <v>5293</v>
      </c>
      <c r="F4258" s="1405" t="s">
        <v>5299</v>
      </c>
      <c r="G4258" s="1403" t="s">
        <v>7882</v>
      </c>
      <c r="H4258" s="1406" t="s">
        <v>1079</v>
      </c>
    </row>
    <row r="4259" spans="2:8" x14ac:dyDescent="0.2">
      <c r="B4259" s="1407" t="str">
        <f t="shared" si="68"/>
        <v>Nick Schmidt</v>
      </c>
      <c r="C4259" s="1402" t="s">
        <v>6860</v>
      </c>
      <c r="D4259" s="1403" t="s">
        <v>5540</v>
      </c>
      <c r="E4259" s="1404" t="s">
        <v>16219</v>
      </c>
      <c r="F4259" s="1405"/>
      <c r="G4259" s="1403" t="s">
        <v>7882</v>
      </c>
      <c r="H4259" s="1406" t="s">
        <v>1079</v>
      </c>
    </row>
    <row r="4260" spans="2:8" x14ac:dyDescent="0.2">
      <c r="B4260" s="1407" t="str">
        <f t="shared" si="68"/>
        <v>Scott McCaulley</v>
      </c>
      <c r="C4260" s="1402" t="s">
        <v>14851</v>
      </c>
      <c r="D4260" s="1403" t="s">
        <v>10947</v>
      </c>
      <c r="E4260" s="1404" t="s">
        <v>14095</v>
      </c>
      <c r="F4260" s="1405" t="s">
        <v>5300</v>
      </c>
      <c r="G4260" s="1403" t="s">
        <v>17015</v>
      </c>
      <c r="H4260" s="1406" t="s">
        <v>1079</v>
      </c>
    </row>
    <row r="4261" spans="2:8" x14ac:dyDescent="0.2">
      <c r="B4261" s="1407" t="str">
        <f t="shared" si="68"/>
        <v>Patrick Sheridan</v>
      </c>
      <c r="C4261" s="1402" t="s">
        <v>6843</v>
      </c>
      <c r="D4261" s="1403" t="s">
        <v>3271</v>
      </c>
      <c r="E4261" s="1404" t="s">
        <v>5273</v>
      </c>
      <c r="F4261" s="1405" t="s">
        <v>5299</v>
      </c>
      <c r="G4261" s="1403" t="s">
        <v>17015</v>
      </c>
      <c r="H4261" s="1406" t="s">
        <v>1079</v>
      </c>
    </row>
    <row r="4262" spans="2:8" x14ac:dyDescent="0.2">
      <c r="B4262" s="1407" t="str">
        <f t="shared" si="68"/>
        <v>Tom Shirley</v>
      </c>
      <c r="C4262" s="1402" t="s">
        <v>6866</v>
      </c>
      <c r="D4262" s="1403" t="s">
        <v>3235</v>
      </c>
      <c r="E4262" s="1404" t="s">
        <v>7158</v>
      </c>
      <c r="F4262" s="1405" t="s">
        <v>5300</v>
      </c>
      <c r="G4262" s="1403" t="s">
        <v>10285</v>
      </c>
      <c r="H4262" s="1406" t="s">
        <v>1079</v>
      </c>
    </row>
    <row r="4263" spans="2:8" x14ac:dyDescent="0.2">
      <c r="B4263" s="1407" t="str">
        <f t="shared" si="68"/>
        <v>Jonathan Smith</v>
      </c>
      <c r="C4263" s="1402" t="s">
        <v>5936</v>
      </c>
      <c r="D4263" s="1403" t="s">
        <v>3293</v>
      </c>
      <c r="E4263" s="1404" t="s">
        <v>8694</v>
      </c>
      <c r="F4263" s="1405" t="s">
        <v>5300</v>
      </c>
      <c r="G4263" s="1403" t="s">
        <v>9451</v>
      </c>
      <c r="H4263" s="1406" t="s">
        <v>1079</v>
      </c>
    </row>
    <row r="4264" spans="2:8" x14ac:dyDescent="0.2">
      <c r="B4264" s="1407" t="str">
        <f t="shared" si="68"/>
        <v>Kaegan Stottlemyer</v>
      </c>
      <c r="C4264" s="1402" t="s">
        <v>9406</v>
      </c>
      <c r="D4264" s="1403" t="s">
        <v>8872</v>
      </c>
      <c r="E4264" s="1404" t="s">
        <v>9444</v>
      </c>
      <c r="F4264" s="1405" t="s">
        <v>5299</v>
      </c>
      <c r="G4264" s="1403" t="s">
        <v>2905</v>
      </c>
      <c r="H4264" s="1406" t="s">
        <v>1079</v>
      </c>
    </row>
    <row r="4265" spans="2:8" x14ac:dyDescent="0.2">
      <c r="B4265" s="1407" t="str">
        <f t="shared" si="68"/>
        <v>Jeremy Stroop</v>
      </c>
      <c r="C4265" s="1402" t="s">
        <v>6859</v>
      </c>
      <c r="D4265" s="1403" t="s">
        <v>3110</v>
      </c>
      <c r="E4265" s="1404" t="s">
        <v>5292</v>
      </c>
      <c r="F4265" s="1405" t="s">
        <v>5300</v>
      </c>
      <c r="G4265" s="1403" t="s">
        <v>10283</v>
      </c>
      <c r="H4265" s="1406" t="s">
        <v>1079</v>
      </c>
    </row>
    <row r="4266" spans="2:8" x14ac:dyDescent="0.2">
      <c r="B4266" s="1407" t="str">
        <f t="shared" si="68"/>
        <v>Therron Thomas</v>
      </c>
      <c r="C4266" s="1402" t="s">
        <v>3124</v>
      </c>
      <c r="D4266" s="1403" t="s">
        <v>7706</v>
      </c>
      <c r="E4266" s="1404" t="s">
        <v>7737</v>
      </c>
      <c r="F4266" s="1405" t="s">
        <v>5300</v>
      </c>
      <c r="G4266" s="1403" t="s">
        <v>14852</v>
      </c>
      <c r="H4266" s="1406" t="s">
        <v>1079</v>
      </c>
    </row>
    <row r="4267" spans="2:8" x14ac:dyDescent="0.2">
      <c r="B4267" s="1407" t="str">
        <f t="shared" si="68"/>
        <v>CJ Thompson</v>
      </c>
      <c r="C4267" s="1402" t="s">
        <v>13797</v>
      </c>
      <c r="D4267" s="1403" t="s">
        <v>14853</v>
      </c>
      <c r="E4267" s="1404" t="s">
        <v>14854</v>
      </c>
      <c r="F4267" s="1405" t="s">
        <v>5299</v>
      </c>
      <c r="G4267" s="1403" t="s">
        <v>2905</v>
      </c>
      <c r="H4267" s="1406" t="s">
        <v>1079</v>
      </c>
    </row>
    <row r="4268" spans="2:8" x14ac:dyDescent="0.2">
      <c r="B4268" s="1407" t="str">
        <f t="shared" si="68"/>
        <v>Michael Tillman</v>
      </c>
      <c r="C4268" s="1402" t="s">
        <v>6842</v>
      </c>
      <c r="D4268" s="1403" t="s">
        <v>3416</v>
      </c>
      <c r="E4268" s="1404" t="s">
        <v>5272</v>
      </c>
      <c r="F4268" s="1405" t="s">
        <v>5299</v>
      </c>
      <c r="G4268" s="1403" t="s">
        <v>14681</v>
      </c>
      <c r="H4268" s="1406" t="s">
        <v>1079</v>
      </c>
    </row>
    <row r="4269" spans="2:8" x14ac:dyDescent="0.2">
      <c r="B4269" s="1407" t="str">
        <f t="shared" si="68"/>
        <v>Reed Tory</v>
      </c>
      <c r="C4269" s="1402" t="s">
        <v>14091</v>
      </c>
      <c r="D4269" s="1403" t="s">
        <v>7690</v>
      </c>
      <c r="E4269" s="1404" t="s">
        <v>14092</v>
      </c>
      <c r="F4269" s="1405" t="s">
        <v>5300</v>
      </c>
      <c r="G4269" s="1403" t="s">
        <v>10281</v>
      </c>
      <c r="H4269" s="1406" t="s">
        <v>1079</v>
      </c>
    </row>
    <row r="4270" spans="2:8" x14ac:dyDescent="0.2">
      <c r="B4270" s="1407" t="str">
        <f t="shared" si="68"/>
        <v>Nick Trainer</v>
      </c>
      <c r="C4270" s="1402" t="s">
        <v>6865</v>
      </c>
      <c r="D4270" s="1403" t="s">
        <v>5540</v>
      </c>
      <c r="E4270" s="1404" t="s">
        <v>5297</v>
      </c>
      <c r="F4270" s="1405" t="s">
        <v>5299</v>
      </c>
      <c r="G4270" s="1403" t="s">
        <v>9451</v>
      </c>
      <c r="H4270" s="1406" t="s">
        <v>1079</v>
      </c>
    </row>
    <row r="4271" spans="2:8" x14ac:dyDescent="0.2">
      <c r="B4271" s="1407" t="str">
        <f t="shared" si="68"/>
        <v>Cameron Tucker</v>
      </c>
      <c r="C4271" s="1402" t="s">
        <v>6852</v>
      </c>
      <c r="D4271" s="1403" t="s">
        <v>3706</v>
      </c>
      <c r="E4271" s="1404" t="s">
        <v>5285</v>
      </c>
      <c r="F4271" s="1405" t="s">
        <v>5299</v>
      </c>
      <c r="G4271" s="1403" t="s">
        <v>13603</v>
      </c>
      <c r="H4271" s="1406" t="s">
        <v>1079</v>
      </c>
    </row>
    <row r="4272" spans="2:8" x14ac:dyDescent="0.2">
      <c r="B4272" s="1407" t="str">
        <f t="shared" si="68"/>
        <v>Rob Tucker</v>
      </c>
      <c r="C4272" s="1402" t="s">
        <v>6852</v>
      </c>
      <c r="D4272" s="1403" t="s">
        <v>3320</v>
      </c>
      <c r="E4272" s="1404" t="s">
        <v>5298</v>
      </c>
      <c r="F4272" s="1405" t="s">
        <v>5300</v>
      </c>
      <c r="G4272" s="1403" t="s">
        <v>10282</v>
      </c>
      <c r="H4272" s="1406" t="s">
        <v>1079</v>
      </c>
    </row>
    <row r="4273" spans="2:8" x14ac:dyDescent="0.2">
      <c r="B4273" s="1407" t="str">
        <f t="shared" si="68"/>
        <v>Tim Tumminaro</v>
      </c>
      <c r="C4273" s="1402" t="s">
        <v>7695</v>
      </c>
      <c r="D4273" s="1403" t="s">
        <v>3689</v>
      </c>
      <c r="E4273" s="1404" t="s">
        <v>7742</v>
      </c>
      <c r="F4273" s="1405" t="s">
        <v>5300</v>
      </c>
      <c r="G4273" s="1403" t="s">
        <v>18063</v>
      </c>
      <c r="H4273" s="1406" t="s">
        <v>1079</v>
      </c>
    </row>
    <row r="4274" spans="2:8" x14ac:dyDescent="0.2">
      <c r="B4274" s="1407" t="str">
        <f t="shared" si="68"/>
        <v>Peter Vahle</v>
      </c>
      <c r="C4274" s="1402" t="s">
        <v>6869</v>
      </c>
      <c r="D4274" s="1403" t="s">
        <v>3194</v>
      </c>
      <c r="E4274" s="1404" t="s">
        <v>7161</v>
      </c>
      <c r="F4274" s="1405" t="s">
        <v>5300</v>
      </c>
      <c r="G4274" s="1403" t="s">
        <v>7882</v>
      </c>
      <c r="H4274" s="1406" t="s">
        <v>1079</v>
      </c>
    </row>
    <row r="4275" spans="2:8" x14ac:dyDescent="0.2">
      <c r="B4275" s="1407" t="str">
        <f t="shared" si="68"/>
        <v>Vincent Vidal</v>
      </c>
      <c r="C4275" s="1402" t="s">
        <v>5780</v>
      </c>
      <c r="D4275" s="1403" t="s">
        <v>3457</v>
      </c>
      <c r="E4275" s="1404" t="s">
        <v>7162</v>
      </c>
      <c r="F4275" s="1405" t="s">
        <v>5299</v>
      </c>
      <c r="G4275" s="1403" t="s">
        <v>7882</v>
      </c>
      <c r="H4275" s="1406" t="s">
        <v>1079</v>
      </c>
    </row>
    <row r="4276" spans="2:8" x14ac:dyDescent="0.2">
      <c r="B4276" s="1407" t="str">
        <f t="shared" si="68"/>
        <v>Zach Walker</v>
      </c>
      <c r="C4276" s="1402" t="s">
        <v>6832</v>
      </c>
      <c r="D4276" s="1403" t="s">
        <v>7046</v>
      </c>
      <c r="E4276" s="1404" t="s">
        <v>5278</v>
      </c>
      <c r="F4276" s="1405" t="s">
        <v>5299</v>
      </c>
      <c r="G4276" s="1403" t="s">
        <v>17015</v>
      </c>
      <c r="H4276" s="1406" t="s">
        <v>1079</v>
      </c>
    </row>
    <row r="4277" spans="2:8" x14ac:dyDescent="0.2">
      <c r="B4277" s="1407" t="str">
        <f t="shared" si="68"/>
        <v>Eric Walton</v>
      </c>
      <c r="C4277" s="1402" t="s">
        <v>6857</v>
      </c>
      <c r="D4277" s="1403" t="s">
        <v>3044</v>
      </c>
      <c r="E4277" s="1404" t="s">
        <v>5289</v>
      </c>
      <c r="F4277" s="1405" t="s">
        <v>5299</v>
      </c>
      <c r="G4277" s="1403" t="s">
        <v>7868</v>
      </c>
      <c r="H4277" s="1406" t="s">
        <v>1079</v>
      </c>
    </row>
    <row r="4278" spans="2:8" x14ac:dyDescent="0.2">
      <c r="B4278" s="1407" t="str">
        <f t="shared" si="68"/>
        <v>Corey Wiggs</v>
      </c>
      <c r="C4278" s="1402" t="s">
        <v>8208</v>
      </c>
      <c r="D4278" s="1403" t="s">
        <v>8314</v>
      </c>
      <c r="E4278" s="1404" t="s">
        <v>8696</v>
      </c>
      <c r="F4278" s="1405" t="s">
        <v>5299</v>
      </c>
      <c r="G4278" s="1403" t="s">
        <v>2905</v>
      </c>
      <c r="H4278" s="1406" t="s">
        <v>1079</v>
      </c>
    </row>
    <row r="4279" spans="2:8" x14ac:dyDescent="0.2">
      <c r="B4279" s="1407" t="str">
        <f t="shared" si="68"/>
        <v>Rick Wilcox</v>
      </c>
      <c r="C4279" s="1402" t="s">
        <v>6846</v>
      </c>
      <c r="D4279" s="1403" t="s">
        <v>3486</v>
      </c>
      <c r="E4279" s="1404" t="s">
        <v>5277</v>
      </c>
      <c r="F4279" s="1405" t="s">
        <v>5300</v>
      </c>
      <c r="G4279" s="1403" t="s">
        <v>2906</v>
      </c>
      <c r="H4279" s="1406" t="s">
        <v>1079</v>
      </c>
    </row>
    <row r="4280" spans="2:8" x14ac:dyDescent="0.2">
      <c r="B4280" s="1407" t="str">
        <f t="shared" si="68"/>
        <v>Roderick Ysaguirre</v>
      </c>
      <c r="C4280" s="1402" t="s">
        <v>8207</v>
      </c>
      <c r="D4280" s="1403" t="s">
        <v>5575</v>
      </c>
      <c r="E4280" s="1404" t="s">
        <v>8692</v>
      </c>
      <c r="F4280" s="1405" t="s">
        <v>5299</v>
      </c>
      <c r="G4280" s="1403" t="s">
        <v>14359</v>
      </c>
      <c r="H4280" s="1406" t="s">
        <v>1079</v>
      </c>
    </row>
    <row r="4281" spans="2:8" x14ac:dyDescent="0.2">
      <c r="B4281" s="1407" t="str">
        <f t="shared" si="68"/>
        <v>Andrew Zunino</v>
      </c>
      <c r="C4281" s="1402" t="s">
        <v>6848</v>
      </c>
      <c r="D4281" s="1403" t="s">
        <v>3105</v>
      </c>
      <c r="E4281" s="1404" t="s">
        <v>5280</v>
      </c>
      <c r="F4281" s="1405" t="s">
        <v>5300</v>
      </c>
      <c r="G4281" s="1403" t="s">
        <v>17015</v>
      </c>
      <c r="H4281" s="1406" t="s">
        <v>1079</v>
      </c>
    </row>
    <row r="4282" spans="2:8" x14ac:dyDescent="0.2">
      <c r="B4282" s="1407" t="str">
        <f t="shared" si="68"/>
        <v>Mason Lilly</v>
      </c>
      <c r="C4282" s="1402" t="s">
        <v>8200</v>
      </c>
      <c r="D4282" s="1403" t="s">
        <v>14098</v>
      </c>
      <c r="E4282" s="1404" t="s">
        <v>14099</v>
      </c>
      <c r="F4282" s="1405" t="s">
        <v>13210</v>
      </c>
      <c r="G4282" s="1403" t="s">
        <v>2905</v>
      </c>
      <c r="H4282" s="1406" t="s">
        <v>1079</v>
      </c>
    </row>
    <row r="4283" spans="2:8" x14ac:dyDescent="0.2">
      <c r="B4283" s="1407" t="str">
        <f t="shared" si="68"/>
        <v>Shiv Patel</v>
      </c>
      <c r="C4283" s="1402" t="s">
        <v>14101</v>
      </c>
      <c r="D4283" s="1403" t="s">
        <v>14100</v>
      </c>
      <c r="E4283" s="1404" t="s">
        <v>14102</v>
      </c>
      <c r="F4283" s="1405" t="s">
        <v>13210</v>
      </c>
      <c r="G4283" s="1403" t="s">
        <v>13606</v>
      </c>
      <c r="H4283" s="1406" t="s">
        <v>1079</v>
      </c>
    </row>
    <row r="4284" spans="2:8" x14ac:dyDescent="0.2">
      <c r="B4284" s="1407" t="str">
        <f t="shared" si="68"/>
        <v>Tyler Lui</v>
      </c>
      <c r="C4284" s="1402" t="s">
        <v>14104</v>
      </c>
      <c r="D4284" s="1403" t="s">
        <v>14103</v>
      </c>
      <c r="E4284" s="1404" t="s">
        <v>14105</v>
      </c>
      <c r="F4284" s="1405" t="s">
        <v>13211</v>
      </c>
      <c r="G4284" s="1403" t="s">
        <v>13606</v>
      </c>
      <c r="H4284" s="1406" t="s">
        <v>1079</v>
      </c>
    </row>
    <row r="4285" spans="2:8" x14ac:dyDescent="0.2">
      <c r="B4285" s="1407" t="str">
        <f t="shared" si="68"/>
        <v>Roman Wasyluszco</v>
      </c>
      <c r="C4285" s="1402" t="s">
        <v>14106</v>
      </c>
      <c r="D4285" s="1403" t="s">
        <v>5629</v>
      </c>
      <c r="E4285" s="1404" t="s">
        <v>14107</v>
      </c>
      <c r="F4285" s="1405" t="s">
        <v>13210</v>
      </c>
      <c r="G4285" s="1403" t="s">
        <v>13606</v>
      </c>
      <c r="H4285" s="1406" t="s">
        <v>1079</v>
      </c>
    </row>
    <row r="4286" spans="2:8" x14ac:dyDescent="0.2">
      <c r="B4286" s="1407" t="str">
        <f t="shared" si="68"/>
        <v>Jadin Botticelli</v>
      </c>
      <c r="C4286" s="1402" t="s">
        <v>14109</v>
      </c>
      <c r="D4286" s="1403" t="s">
        <v>14108</v>
      </c>
      <c r="E4286" s="1404" t="s">
        <v>14110</v>
      </c>
      <c r="F4286" s="1405" t="s">
        <v>13210</v>
      </c>
      <c r="G4286" s="1403" t="s">
        <v>13606</v>
      </c>
      <c r="H4286" s="1406" t="s">
        <v>1079</v>
      </c>
    </row>
    <row r="4287" spans="2:8" x14ac:dyDescent="0.2">
      <c r="B4287" s="1407" t="str">
        <f t="shared" si="68"/>
        <v>Jeremy Roberts-Kleban</v>
      </c>
      <c r="C4287" s="1402" t="s">
        <v>14111</v>
      </c>
      <c r="D4287" s="1403" t="s">
        <v>3110</v>
      </c>
      <c r="E4287" s="1404" t="s">
        <v>14112</v>
      </c>
      <c r="F4287" s="1405" t="s">
        <v>5299</v>
      </c>
      <c r="G4287" s="1403" t="s">
        <v>13606</v>
      </c>
      <c r="H4287" s="1406" t="s">
        <v>1079</v>
      </c>
    </row>
    <row r="4288" spans="2:8" x14ac:dyDescent="0.2">
      <c r="B4288" s="1407" t="str">
        <f t="shared" si="68"/>
        <v>Chris Belcher</v>
      </c>
      <c r="C4288" s="1402" t="s">
        <v>14113</v>
      </c>
      <c r="D4288" s="1403" t="s">
        <v>3029</v>
      </c>
      <c r="E4288" s="1404" t="s">
        <v>14114</v>
      </c>
      <c r="F4288" s="1405" t="s">
        <v>13210</v>
      </c>
      <c r="G4288" s="1403" t="s">
        <v>13606</v>
      </c>
      <c r="H4288" s="1406" t="s">
        <v>1079</v>
      </c>
    </row>
    <row r="4289" spans="2:8" x14ac:dyDescent="0.2">
      <c r="B4289" s="1407" t="str">
        <f t="shared" si="68"/>
        <v>Michael Buccheri</v>
      </c>
      <c r="C4289" s="1402" t="s">
        <v>14115</v>
      </c>
      <c r="D4289" s="1403" t="s">
        <v>3416</v>
      </c>
      <c r="E4289" s="1404" t="s">
        <v>14116</v>
      </c>
      <c r="F4289" s="1405" t="s">
        <v>5300</v>
      </c>
      <c r="G4289" s="1403" t="s">
        <v>2905</v>
      </c>
      <c r="H4289" s="1406" t="s">
        <v>1079</v>
      </c>
    </row>
    <row r="4290" spans="2:8" x14ac:dyDescent="0.2">
      <c r="B4290" s="1407" t="str">
        <f t="shared" si="68"/>
        <v>Alec Paul</v>
      </c>
      <c r="C4290" s="1402" t="s">
        <v>3259</v>
      </c>
      <c r="D4290" s="1403" t="s">
        <v>14117</v>
      </c>
      <c r="E4290" s="1404" t="s">
        <v>14118</v>
      </c>
      <c r="F4290" s="1405" t="s">
        <v>5299</v>
      </c>
      <c r="G4290" s="1403" t="s">
        <v>2905</v>
      </c>
      <c r="H4290" s="1406" t="s">
        <v>1079</v>
      </c>
    </row>
    <row r="4291" spans="2:8" x14ac:dyDescent="0.2">
      <c r="B4291" s="1407" t="str">
        <f t="shared" si="68"/>
        <v>Eric Foster</v>
      </c>
      <c r="C4291" s="1402" t="s">
        <v>6862</v>
      </c>
      <c r="D4291" s="1403" t="s">
        <v>3044</v>
      </c>
      <c r="E4291" s="1404" t="s">
        <v>14855</v>
      </c>
      <c r="F4291" s="1405" t="s">
        <v>13211</v>
      </c>
      <c r="G4291" s="1403" t="s">
        <v>17015</v>
      </c>
      <c r="H4291" s="1406" t="s">
        <v>1079</v>
      </c>
    </row>
    <row r="4292" spans="2:8" x14ac:dyDescent="0.2">
      <c r="B4292" s="1407" t="str">
        <f t="shared" si="68"/>
        <v>Ryan Belcher</v>
      </c>
      <c r="C4292" s="1402" t="s">
        <v>14113</v>
      </c>
      <c r="D4292" s="1403" t="s">
        <v>3686</v>
      </c>
      <c r="E4292" s="1404" t="s">
        <v>14856</v>
      </c>
      <c r="F4292" s="1405" t="s">
        <v>13211</v>
      </c>
      <c r="G4292" s="1403" t="s">
        <v>2905</v>
      </c>
      <c r="H4292" s="1406" t="s">
        <v>1079</v>
      </c>
    </row>
    <row r="4293" spans="2:8" x14ac:dyDescent="0.2">
      <c r="B4293" s="1407" t="str">
        <f t="shared" si="68"/>
        <v>Joey Scott</v>
      </c>
      <c r="C4293" s="1402" t="s">
        <v>10947</v>
      </c>
      <c r="D4293" s="1403" t="s">
        <v>8315</v>
      </c>
      <c r="E4293" s="1404" t="s">
        <v>14857</v>
      </c>
      <c r="F4293" s="1405" t="s">
        <v>5299</v>
      </c>
      <c r="G4293" s="1403" t="s">
        <v>17015</v>
      </c>
      <c r="H4293" s="1406" t="s">
        <v>1079</v>
      </c>
    </row>
    <row r="4294" spans="2:8" x14ac:dyDescent="0.2">
      <c r="B4294" s="1407" t="str">
        <f t="shared" si="68"/>
        <v>Jonathan Goninan</v>
      </c>
      <c r="C4294" s="1402" t="s">
        <v>14096</v>
      </c>
      <c r="D4294" s="1403" t="s">
        <v>3293</v>
      </c>
      <c r="E4294" s="1404" t="s">
        <v>14858</v>
      </c>
      <c r="F4294" s="1405" t="s">
        <v>5299</v>
      </c>
      <c r="G4294" s="1403" t="s">
        <v>13608</v>
      </c>
      <c r="H4294" s="1406" t="s">
        <v>1079</v>
      </c>
    </row>
    <row r="4295" spans="2:8" x14ac:dyDescent="0.2">
      <c r="B4295" s="1407" t="str">
        <f t="shared" si="68"/>
        <v>Kurtis Heithoff</v>
      </c>
      <c r="C4295" s="1402" t="s">
        <v>15664</v>
      </c>
      <c r="D4295" s="1403" t="s">
        <v>15665</v>
      </c>
      <c r="E4295" s="1404" t="s">
        <v>15666</v>
      </c>
      <c r="F4295" s="1405" t="s">
        <v>5299</v>
      </c>
      <c r="G4295" s="1403" t="s">
        <v>17015</v>
      </c>
      <c r="H4295" s="1406" t="s">
        <v>1079</v>
      </c>
    </row>
    <row r="4296" spans="2:8" x14ac:dyDescent="0.2">
      <c r="B4296" s="1407" t="str">
        <f t="shared" si="68"/>
        <v>Zachary Swope</v>
      </c>
      <c r="C4296" s="1402" t="s">
        <v>16267</v>
      </c>
      <c r="D4296" s="1403" t="s">
        <v>16109</v>
      </c>
      <c r="E4296" s="1404" t="s">
        <v>16268</v>
      </c>
      <c r="F4296" s="1405" t="s">
        <v>5299</v>
      </c>
      <c r="G4296" s="1403" t="s">
        <v>2905</v>
      </c>
      <c r="H4296" s="1406" t="s">
        <v>1079</v>
      </c>
    </row>
    <row r="4297" spans="2:8" x14ac:dyDescent="0.2">
      <c r="B4297" s="1407" t="str">
        <f t="shared" si="68"/>
        <v>Jared Bond</v>
      </c>
      <c r="C4297" s="1402" t="s">
        <v>15263</v>
      </c>
      <c r="D4297" s="1403" t="s">
        <v>15264</v>
      </c>
      <c r="E4297" s="1404" t="s">
        <v>15265</v>
      </c>
      <c r="F4297" s="1405" t="s">
        <v>5299</v>
      </c>
      <c r="G4297" s="1403" t="s">
        <v>10290</v>
      </c>
      <c r="H4297" s="1406" t="s">
        <v>1079</v>
      </c>
    </row>
    <row r="4298" spans="2:8" x14ac:dyDescent="0.2">
      <c r="B4298" s="1407" t="str">
        <f t="shared" ref="B4298:B4346" si="69">TRIM(CONCATENATE(D4298," ",C4298))</f>
        <v>Michael Jakubowski</v>
      </c>
      <c r="C4298" s="1402" t="s">
        <v>15704</v>
      </c>
      <c r="D4298" s="1403" t="s">
        <v>3416</v>
      </c>
      <c r="E4298" s="1404" t="s">
        <v>15705</v>
      </c>
      <c r="F4298" s="1405" t="s">
        <v>5299</v>
      </c>
      <c r="G4298" s="1403" t="s">
        <v>17015</v>
      </c>
      <c r="H4298" s="1406" t="s">
        <v>1079</v>
      </c>
    </row>
    <row r="4299" spans="2:8" x14ac:dyDescent="0.2">
      <c r="B4299" s="1407" t="str">
        <f t="shared" si="69"/>
        <v>Michael Kimack</v>
      </c>
      <c r="C4299" s="1402" t="s">
        <v>15745</v>
      </c>
      <c r="D4299" s="1403" t="s">
        <v>3416</v>
      </c>
      <c r="E4299" s="1404" t="s">
        <v>15746</v>
      </c>
      <c r="F4299" s="1405" t="s">
        <v>5299</v>
      </c>
      <c r="G4299" s="1403" t="s">
        <v>17015</v>
      </c>
      <c r="H4299" s="1406" t="s">
        <v>1079</v>
      </c>
    </row>
    <row r="4300" spans="2:8" x14ac:dyDescent="0.2">
      <c r="B4300" s="1407" t="str">
        <f t="shared" si="69"/>
        <v>Joshua Goninan</v>
      </c>
      <c r="C4300" s="1402" t="s">
        <v>14096</v>
      </c>
      <c r="D4300" s="1403" t="s">
        <v>5657</v>
      </c>
      <c r="E4300" s="1404" t="s">
        <v>15615</v>
      </c>
      <c r="F4300" s="1405" t="s">
        <v>5299</v>
      </c>
      <c r="G4300" s="1403" t="s">
        <v>17015</v>
      </c>
      <c r="H4300" s="1406" t="s">
        <v>1079</v>
      </c>
    </row>
    <row r="4301" spans="2:8" x14ac:dyDescent="0.2">
      <c r="B4301" s="1407" t="str">
        <f t="shared" si="69"/>
        <v>Christian Benedi</v>
      </c>
      <c r="C4301" s="1402" t="s">
        <v>15235</v>
      </c>
      <c r="D4301" s="1403" t="s">
        <v>3063</v>
      </c>
      <c r="E4301" s="1404" t="s">
        <v>15236</v>
      </c>
      <c r="F4301" s="1405" t="s">
        <v>5299</v>
      </c>
      <c r="G4301" s="1403" t="s">
        <v>17015</v>
      </c>
      <c r="H4301" s="1406" t="s">
        <v>1079</v>
      </c>
    </row>
    <row r="4302" spans="2:8" x14ac:dyDescent="0.2">
      <c r="B4302" s="1407" t="str">
        <f t="shared" si="69"/>
        <v>Jake Scarbath</v>
      </c>
      <c r="C4302" s="1402" t="s">
        <v>16209</v>
      </c>
      <c r="D4302" s="1403" t="s">
        <v>8316</v>
      </c>
      <c r="E4302" s="1404" t="s">
        <v>16210</v>
      </c>
      <c r="F4302" s="1405" t="s">
        <v>5299</v>
      </c>
      <c r="G4302" s="1403" t="s">
        <v>2905</v>
      </c>
      <c r="H4302" s="1406" t="s">
        <v>1079</v>
      </c>
    </row>
    <row r="4303" spans="2:8" x14ac:dyDescent="0.2">
      <c r="B4303" s="1407" t="str">
        <f t="shared" si="69"/>
        <v>David Leonard</v>
      </c>
      <c r="C4303" s="1402" t="s">
        <v>15803</v>
      </c>
      <c r="D4303" s="1403" t="s">
        <v>3072</v>
      </c>
      <c r="E4303" s="1404" t="s">
        <v>15804</v>
      </c>
      <c r="F4303" s="1405" t="s">
        <v>5299</v>
      </c>
      <c r="G4303" s="1403" t="s">
        <v>14359</v>
      </c>
      <c r="H4303" s="1406" t="s">
        <v>1079</v>
      </c>
    </row>
    <row r="4304" spans="2:8" x14ac:dyDescent="0.2">
      <c r="B4304" s="1407" t="str">
        <f t="shared" si="69"/>
        <v>Austin Harris</v>
      </c>
      <c r="C4304" s="1402" t="s">
        <v>6757</v>
      </c>
      <c r="D4304" s="1403" t="s">
        <v>14052</v>
      </c>
      <c r="E4304" s="1404" t="s">
        <v>17405</v>
      </c>
      <c r="F4304" s="1405" t="s">
        <v>5299</v>
      </c>
      <c r="G4304" s="1403" t="s">
        <v>17015</v>
      </c>
      <c r="H4304" s="1406" t="s">
        <v>1079</v>
      </c>
    </row>
    <row r="4305" spans="2:8" x14ac:dyDescent="0.2">
      <c r="B4305" s="1407" t="str">
        <f t="shared" si="69"/>
        <v>Justin O'Malley</v>
      </c>
      <c r="C4305" s="1402" t="s">
        <v>17406</v>
      </c>
      <c r="D4305" s="1403" t="s">
        <v>3025</v>
      </c>
      <c r="E4305" s="1404" t="s">
        <v>17407</v>
      </c>
      <c r="F4305" s="1405" t="s">
        <v>5299</v>
      </c>
      <c r="G4305" s="1403" t="s">
        <v>17015</v>
      </c>
      <c r="H4305" s="1406" t="s">
        <v>1079</v>
      </c>
    </row>
    <row r="4306" spans="2:8" x14ac:dyDescent="0.2">
      <c r="B4306" s="1407" t="str">
        <f t="shared" si="69"/>
        <v>José Jr Lopez</v>
      </c>
      <c r="C4306" s="1402" t="s">
        <v>17408</v>
      </c>
      <c r="D4306" s="1403" t="s">
        <v>17409</v>
      </c>
      <c r="E4306" s="1404" t="s">
        <v>17410</v>
      </c>
      <c r="F4306" s="1405" t="s">
        <v>5299</v>
      </c>
      <c r="G4306" s="1403" t="s">
        <v>17015</v>
      </c>
      <c r="H4306" s="1406" t="s">
        <v>1079</v>
      </c>
    </row>
    <row r="4307" spans="2:8" x14ac:dyDescent="0.2">
      <c r="B4307" s="1407" t="str">
        <f t="shared" si="69"/>
        <v>Luca Ricci</v>
      </c>
      <c r="C4307" s="1402" t="s">
        <v>6528</v>
      </c>
      <c r="D4307" s="1403" t="s">
        <v>3198</v>
      </c>
      <c r="E4307" s="1404" t="s">
        <v>17411</v>
      </c>
      <c r="F4307" s="1405" t="s">
        <v>5299</v>
      </c>
      <c r="G4307" s="1403" t="s">
        <v>17015</v>
      </c>
      <c r="H4307" s="1406" t="s">
        <v>1079</v>
      </c>
    </row>
    <row r="4308" spans="2:8" x14ac:dyDescent="0.2">
      <c r="B4308" s="1407" t="str">
        <f t="shared" si="69"/>
        <v>Joao Bruno Casaca</v>
      </c>
      <c r="C4308" s="1402" t="s">
        <v>8206</v>
      </c>
      <c r="D4308" s="1403" t="s">
        <v>17412</v>
      </c>
      <c r="E4308" s="1404" t="s">
        <v>17413</v>
      </c>
      <c r="F4308" s="1405" t="s">
        <v>5299</v>
      </c>
      <c r="G4308" s="1403" t="s">
        <v>17015</v>
      </c>
      <c r="H4308" s="1406" t="s">
        <v>1079</v>
      </c>
    </row>
    <row r="4309" spans="2:8" x14ac:dyDescent="0.2">
      <c r="B4309" s="1407" t="str">
        <f t="shared" si="69"/>
        <v>Matteo Saradini</v>
      </c>
      <c r="C4309" s="1402" t="s">
        <v>18064</v>
      </c>
      <c r="D4309" s="1403" t="s">
        <v>3200</v>
      </c>
      <c r="E4309" s="1404" t="s">
        <v>18065</v>
      </c>
      <c r="F4309" s="1405" t="s">
        <v>5299</v>
      </c>
      <c r="G4309" s="1403" t="s">
        <v>17015</v>
      </c>
      <c r="H4309" s="1406" t="s">
        <v>1079</v>
      </c>
    </row>
    <row r="4310" spans="2:8" x14ac:dyDescent="0.2">
      <c r="B4310" s="1407" t="str">
        <f t="shared" si="69"/>
        <v>Ethan Kimack</v>
      </c>
      <c r="C4310" s="1402" t="s">
        <v>15745</v>
      </c>
      <c r="D4310" s="1403" t="s">
        <v>18066</v>
      </c>
      <c r="E4310" s="1404" t="s">
        <v>18067</v>
      </c>
      <c r="F4310" s="1405" t="s">
        <v>13210</v>
      </c>
      <c r="G4310" s="1403" t="s">
        <v>2905</v>
      </c>
      <c r="H4310" s="1406" t="s">
        <v>1079</v>
      </c>
    </row>
    <row r="4311" spans="2:8" x14ac:dyDescent="0.2">
      <c r="B4311" s="1407" t="str">
        <f t="shared" si="69"/>
        <v>Brendan Ashley</v>
      </c>
      <c r="C4311" s="1402" t="s">
        <v>7980</v>
      </c>
      <c r="D4311" s="1403" t="s">
        <v>8300</v>
      </c>
      <c r="E4311" s="1404" t="s">
        <v>14119</v>
      </c>
      <c r="F4311" s="1405" t="s">
        <v>5299</v>
      </c>
      <c r="G4311" s="1403" t="s">
        <v>2752</v>
      </c>
      <c r="H4311" s="1406" t="s">
        <v>1083</v>
      </c>
    </row>
    <row r="4312" spans="2:8" x14ac:dyDescent="0.2">
      <c r="B4312" s="1407" t="str">
        <f t="shared" si="69"/>
        <v>Darren Barnes</v>
      </c>
      <c r="C4312" s="1402" t="s">
        <v>5931</v>
      </c>
      <c r="D4312" s="1403" t="s">
        <v>3150</v>
      </c>
      <c r="E4312" s="1404" t="s">
        <v>8709</v>
      </c>
      <c r="F4312" s="1405" t="s">
        <v>5300</v>
      </c>
      <c r="G4312" s="1403" t="s">
        <v>10260</v>
      </c>
      <c r="H4312" s="1406" t="s">
        <v>1083</v>
      </c>
    </row>
    <row r="4313" spans="2:8" x14ac:dyDescent="0.2">
      <c r="B4313" s="1407" t="str">
        <f t="shared" si="69"/>
        <v>Flyn Barnes</v>
      </c>
      <c r="C4313" s="1402" t="s">
        <v>5931</v>
      </c>
      <c r="D4313" s="1403" t="s">
        <v>5658</v>
      </c>
      <c r="E4313" s="1404" t="s">
        <v>8710</v>
      </c>
      <c r="F4313" s="1405" t="s">
        <v>5299</v>
      </c>
      <c r="G4313" s="1403" t="s">
        <v>10260</v>
      </c>
      <c r="H4313" s="1406" t="s">
        <v>1083</v>
      </c>
    </row>
    <row r="4314" spans="2:8" x14ac:dyDescent="0.2">
      <c r="B4314" s="1407" t="str">
        <f t="shared" si="69"/>
        <v>Chris Bedford</v>
      </c>
      <c r="C4314" s="1402" t="s">
        <v>10957</v>
      </c>
      <c r="D4314" s="1403" t="s">
        <v>3029</v>
      </c>
      <c r="E4314" s="1404" t="s">
        <v>10978</v>
      </c>
      <c r="F4314" s="1405" t="s">
        <v>5299</v>
      </c>
      <c r="G4314" s="1403" t="s">
        <v>2752</v>
      </c>
      <c r="H4314" s="1406" t="s">
        <v>1083</v>
      </c>
    </row>
    <row r="4315" spans="2:8" x14ac:dyDescent="0.2">
      <c r="B4315" s="1407" t="str">
        <f t="shared" si="69"/>
        <v>Martin Bellefontaine</v>
      </c>
      <c r="C4315" s="1402" t="s">
        <v>5933</v>
      </c>
      <c r="D4315" s="1403" t="s">
        <v>3408</v>
      </c>
      <c r="E4315" s="1404" t="s">
        <v>13466</v>
      </c>
      <c r="F4315" s="1405" t="s">
        <v>5300</v>
      </c>
      <c r="G4315" s="1403" t="s">
        <v>15227</v>
      </c>
      <c r="H4315" s="1406" t="s">
        <v>1083</v>
      </c>
    </row>
    <row r="4316" spans="2:8" x14ac:dyDescent="0.2">
      <c r="B4316" s="1407" t="str">
        <f t="shared" si="69"/>
        <v>Danny Bird</v>
      </c>
      <c r="C4316" s="1402" t="s">
        <v>9547</v>
      </c>
      <c r="D4316" s="1403" t="s">
        <v>3592</v>
      </c>
      <c r="E4316" s="1404" t="s">
        <v>9588</v>
      </c>
      <c r="F4316" s="1405" t="s">
        <v>5299</v>
      </c>
      <c r="G4316" s="1403" t="s">
        <v>14384</v>
      </c>
      <c r="H4316" s="1406" t="s">
        <v>1083</v>
      </c>
    </row>
    <row r="4317" spans="2:8" x14ac:dyDescent="0.2">
      <c r="B4317" s="1407" t="str">
        <f t="shared" si="69"/>
        <v>Tim Bowen</v>
      </c>
      <c r="C4317" s="1402" t="s">
        <v>5949</v>
      </c>
      <c r="D4317" s="1403" t="s">
        <v>3689</v>
      </c>
      <c r="E4317" s="1404" t="s">
        <v>8712</v>
      </c>
      <c r="F4317" s="1405" t="s">
        <v>5300</v>
      </c>
      <c r="G4317" s="1403" t="s">
        <v>5304</v>
      </c>
      <c r="H4317" s="1406" t="s">
        <v>1083</v>
      </c>
    </row>
    <row r="4318" spans="2:8" x14ac:dyDescent="0.2">
      <c r="B4318" s="1407" t="str">
        <f t="shared" si="69"/>
        <v>Nicolas Chappell</v>
      </c>
      <c r="C4318" s="1402" t="s">
        <v>9546</v>
      </c>
      <c r="D4318" s="1403" t="s">
        <v>3666</v>
      </c>
      <c r="E4318" s="1404" t="s">
        <v>9587</v>
      </c>
      <c r="F4318" s="1405" t="s">
        <v>5300</v>
      </c>
      <c r="G4318" s="1403" t="s">
        <v>10260</v>
      </c>
      <c r="H4318" s="1406" t="s">
        <v>1083</v>
      </c>
    </row>
    <row r="4319" spans="2:8" x14ac:dyDescent="0.2">
      <c r="B4319" s="1407" t="str">
        <f t="shared" si="69"/>
        <v>Phil Dacey</v>
      </c>
      <c r="C4319" s="1402" t="s">
        <v>8214</v>
      </c>
      <c r="D4319" s="1403" t="s">
        <v>3398</v>
      </c>
      <c r="E4319" s="1404" t="s">
        <v>8707</v>
      </c>
      <c r="F4319" s="1405" t="s">
        <v>5299</v>
      </c>
      <c r="G4319" s="1403" t="s">
        <v>10260</v>
      </c>
      <c r="H4319" s="1406" t="s">
        <v>1083</v>
      </c>
    </row>
    <row r="4320" spans="2:8" x14ac:dyDescent="0.2">
      <c r="B4320" s="1407" t="str">
        <f t="shared" si="69"/>
        <v>Kenny Evans</v>
      </c>
      <c r="C4320" s="1402" t="s">
        <v>8212</v>
      </c>
      <c r="D4320" s="1403" t="s">
        <v>3334</v>
      </c>
      <c r="E4320" s="1404" t="s">
        <v>11531</v>
      </c>
      <c r="F4320" s="1405" t="s">
        <v>5299</v>
      </c>
      <c r="G4320" s="1403" t="s">
        <v>10260</v>
      </c>
      <c r="H4320" s="1406" t="s">
        <v>1083</v>
      </c>
    </row>
    <row r="4321" spans="2:8" x14ac:dyDescent="0.2">
      <c r="B4321" s="1407" t="str">
        <f t="shared" si="69"/>
        <v>William Holliday</v>
      </c>
      <c r="C4321" s="1402" t="s">
        <v>8213</v>
      </c>
      <c r="D4321" s="1403" t="s">
        <v>3236</v>
      </c>
      <c r="E4321" s="1404" t="s">
        <v>8706</v>
      </c>
      <c r="F4321" s="1405" t="s">
        <v>5299</v>
      </c>
      <c r="G4321" s="1403" t="s">
        <v>10260</v>
      </c>
      <c r="H4321" s="1406" t="s">
        <v>1083</v>
      </c>
    </row>
    <row r="4322" spans="2:8" x14ac:dyDescent="0.2">
      <c r="B4322" s="1407" t="str">
        <f t="shared" si="69"/>
        <v>Mark Hopwood</v>
      </c>
      <c r="C4322" s="1402" t="s">
        <v>9407</v>
      </c>
      <c r="D4322" s="1403" t="s">
        <v>3017</v>
      </c>
      <c r="E4322" s="1404" t="s">
        <v>9446</v>
      </c>
      <c r="F4322" s="1405" t="s">
        <v>5300</v>
      </c>
      <c r="G4322" s="1403" t="s">
        <v>14384</v>
      </c>
      <c r="H4322" s="1406" t="s">
        <v>1083</v>
      </c>
    </row>
    <row r="4323" spans="2:8" x14ac:dyDescent="0.2">
      <c r="B4323" s="1407" t="str">
        <f t="shared" si="69"/>
        <v>Kyle Jamieson</v>
      </c>
      <c r="C4323" s="1402" t="s">
        <v>14380</v>
      </c>
      <c r="D4323" s="1403" t="s">
        <v>3577</v>
      </c>
      <c r="E4323" s="1404" t="s">
        <v>16944</v>
      </c>
      <c r="F4323" s="1405" t="s">
        <v>5299</v>
      </c>
      <c r="G4323" s="1403" t="s">
        <v>17414</v>
      </c>
      <c r="H4323" s="1406" t="s">
        <v>1083</v>
      </c>
    </row>
    <row r="4324" spans="2:8" x14ac:dyDescent="0.2">
      <c r="B4324" s="1407" t="str">
        <f t="shared" si="69"/>
        <v>David Lauder</v>
      </c>
      <c r="C4324" s="1402" t="s">
        <v>8210</v>
      </c>
      <c r="D4324" s="1403" t="s">
        <v>3072</v>
      </c>
      <c r="E4324" s="1404" t="s">
        <v>8699</v>
      </c>
      <c r="F4324" s="1405" t="s">
        <v>5299</v>
      </c>
      <c r="G4324" s="1403" t="s">
        <v>10260</v>
      </c>
      <c r="H4324" s="1406" t="s">
        <v>1083</v>
      </c>
    </row>
    <row r="4325" spans="2:8" x14ac:dyDescent="0.2">
      <c r="B4325" s="1407" t="str">
        <f t="shared" si="69"/>
        <v>John Lauder</v>
      </c>
      <c r="C4325" s="1402" t="s">
        <v>8210</v>
      </c>
      <c r="D4325" s="1403" t="s">
        <v>3250</v>
      </c>
      <c r="E4325" s="1404" t="s">
        <v>8704</v>
      </c>
      <c r="F4325" s="1405" t="s">
        <v>5300</v>
      </c>
      <c r="G4325" s="1403" t="s">
        <v>10272</v>
      </c>
      <c r="H4325" s="1406" t="s">
        <v>1083</v>
      </c>
    </row>
    <row r="4326" spans="2:8" x14ac:dyDescent="0.2">
      <c r="B4326" s="1407" t="str">
        <f t="shared" si="69"/>
        <v>Colin Lewis</v>
      </c>
      <c r="C4326" s="1402" t="s">
        <v>6870</v>
      </c>
      <c r="D4326" s="1403" t="s">
        <v>3114</v>
      </c>
      <c r="E4326" s="1404" t="s">
        <v>8700</v>
      </c>
      <c r="F4326" s="1405" t="s">
        <v>5299</v>
      </c>
      <c r="G4326" s="1403" t="s">
        <v>10260</v>
      </c>
      <c r="H4326" s="1406" t="s">
        <v>1083</v>
      </c>
    </row>
    <row r="4327" spans="2:8" x14ac:dyDescent="0.2">
      <c r="B4327" s="1407" t="str">
        <f t="shared" si="69"/>
        <v>Melissa Lineton</v>
      </c>
      <c r="C4327" s="1402" t="s">
        <v>10959</v>
      </c>
      <c r="D4327" s="1403" t="s">
        <v>10964</v>
      </c>
      <c r="E4327" s="1404" t="s">
        <v>10980</v>
      </c>
      <c r="F4327" s="1405" t="s">
        <v>5299</v>
      </c>
      <c r="G4327" s="1403" t="s">
        <v>14384</v>
      </c>
      <c r="H4327" s="1406" t="s">
        <v>1083</v>
      </c>
    </row>
    <row r="4328" spans="2:8" x14ac:dyDescent="0.2">
      <c r="B4328" s="1407" t="str">
        <f t="shared" si="69"/>
        <v>Adam Lundy</v>
      </c>
      <c r="C4328" s="1402" t="s">
        <v>8215</v>
      </c>
      <c r="D4328" s="1403" t="s">
        <v>3502</v>
      </c>
      <c r="E4328" s="1404" t="s">
        <v>8713</v>
      </c>
      <c r="F4328" s="1405" t="s">
        <v>5299</v>
      </c>
      <c r="G4328" s="1403" t="s">
        <v>15833</v>
      </c>
      <c r="H4328" s="1406" t="s">
        <v>1083</v>
      </c>
    </row>
    <row r="4329" spans="2:8" x14ac:dyDescent="0.2">
      <c r="B4329" s="1407" t="str">
        <f t="shared" si="69"/>
        <v>Yanik Merrilees-Kelly</v>
      </c>
      <c r="C4329" s="1402" t="s">
        <v>14859</v>
      </c>
      <c r="D4329" s="1403" t="s">
        <v>8317</v>
      </c>
      <c r="E4329" s="1404" t="s">
        <v>8714</v>
      </c>
      <c r="F4329" s="1405" t="s">
        <v>5299</v>
      </c>
      <c r="G4329" s="1403" t="s">
        <v>14384</v>
      </c>
      <c r="H4329" s="1406" t="s">
        <v>1083</v>
      </c>
    </row>
    <row r="4330" spans="2:8" x14ac:dyDescent="0.2">
      <c r="B4330" s="1407" t="str">
        <f t="shared" si="69"/>
        <v>David Merrilees-Kelly</v>
      </c>
      <c r="C4330" s="1402" t="s">
        <v>14859</v>
      </c>
      <c r="D4330" s="1403" t="s">
        <v>3072</v>
      </c>
      <c r="E4330" s="1404" t="s">
        <v>8715</v>
      </c>
      <c r="F4330" s="1405" t="s">
        <v>5300</v>
      </c>
      <c r="G4330" s="1403" t="s">
        <v>14384</v>
      </c>
      <c r="H4330" s="1406" t="s">
        <v>1083</v>
      </c>
    </row>
    <row r="4331" spans="2:8" x14ac:dyDescent="0.2">
      <c r="B4331" s="1407" t="str">
        <f t="shared" si="69"/>
        <v>Raoul Newton</v>
      </c>
      <c r="C4331" s="1402" t="s">
        <v>10958</v>
      </c>
      <c r="D4331" s="1403" t="s">
        <v>6883</v>
      </c>
      <c r="E4331" s="1404" t="s">
        <v>10979</v>
      </c>
      <c r="F4331" s="1405" t="s">
        <v>5300</v>
      </c>
      <c r="G4331" s="1403" t="s">
        <v>14384</v>
      </c>
      <c r="H4331" s="1406" t="s">
        <v>1083</v>
      </c>
    </row>
    <row r="4332" spans="2:8" x14ac:dyDescent="0.2">
      <c r="B4332" s="1407" t="str">
        <f t="shared" si="69"/>
        <v>Matt Parsons</v>
      </c>
      <c r="C4332" s="1402" t="s">
        <v>5950</v>
      </c>
      <c r="D4332" s="1403" t="s">
        <v>3059</v>
      </c>
      <c r="E4332" s="1404" t="s">
        <v>8708</v>
      </c>
      <c r="F4332" s="1405" t="s">
        <v>5299</v>
      </c>
      <c r="G4332" s="1403" t="s">
        <v>10260</v>
      </c>
      <c r="H4332" s="1406" t="s">
        <v>1083</v>
      </c>
    </row>
    <row r="4333" spans="2:8" x14ac:dyDescent="0.2">
      <c r="B4333" s="1407" t="str">
        <f t="shared" si="69"/>
        <v>Matthew Rowley</v>
      </c>
      <c r="C4333" s="1402" t="s">
        <v>8211</v>
      </c>
      <c r="D4333" s="1403" t="s">
        <v>3240</v>
      </c>
      <c r="E4333" s="1404" t="s">
        <v>8702</v>
      </c>
      <c r="F4333" s="1405" t="s">
        <v>5300</v>
      </c>
      <c r="G4333" s="1403" t="s">
        <v>10260</v>
      </c>
      <c r="H4333" s="1406" t="s">
        <v>1083</v>
      </c>
    </row>
    <row r="4334" spans="2:8" x14ac:dyDescent="0.2">
      <c r="B4334" s="1407" t="str">
        <f t="shared" si="69"/>
        <v>David Samuel</v>
      </c>
      <c r="C4334" s="1402" t="s">
        <v>3015</v>
      </c>
      <c r="D4334" s="1403" t="s">
        <v>3072</v>
      </c>
      <c r="E4334" s="1404" t="s">
        <v>8703</v>
      </c>
      <c r="F4334" s="1405" t="s">
        <v>5300</v>
      </c>
      <c r="G4334" s="1403" t="s">
        <v>10272</v>
      </c>
      <c r="H4334" s="1406" t="s">
        <v>1083</v>
      </c>
    </row>
    <row r="4335" spans="2:8" x14ac:dyDescent="0.2">
      <c r="B4335" s="1407" t="str">
        <f t="shared" si="69"/>
        <v>Eryl Samuel</v>
      </c>
      <c r="C4335" s="1402" t="s">
        <v>3015</v>
      </c>
      <c r="D4335" s="1403" t="s">
        <v>16168</v>
      </c>
      <c r="E4335" s="1404" t="s">
        <v>16169</v>
      </c>
      <c r="F4335" s="1405" t="s">
        <v>5300</v>
      </c>
      <c r="G4335" s="1403" t="s">
        <v>10260</v>
      </c>
      <c r="H4335" s="1406" t="s">
        <v>1083</v>
      </c>
    </row>
    <row r="4336" spans="2:8" x14ac:dyDescent="0.2">
      <c r="B4336" s="1407" t="str">
        <f t="shared" si="69"/>
        <v>Richard stock</v>
      </c>
      <c r="C4336" s="1402" t="s">
        <v>16987</v>
      </c>
      <c r="D4336" s="1403" t="s">
        <v>3219</v>
      </c>
      <c r="E4336" s="1404" t="s">
        <v>8705</v>
      </c>
      <c r="F4336" s="1405" t="s">
        <v>5300</v>
      </c>
      <c r="G4336" s="1403" t="s">
        <v>14359</v>
      </c>
      <c r="H4336" s="1406" t="s">
        <v>1083</v>
      </c>
    </row>
    <row r="4337" spans="2:8" x14ac:dyDescent="0.2">
      <c r="B4337" s="1407" t="str">
        <f t="shared" si="69"/>
        <v>Tom Taylor</v>
      </c>
      <c r="C4337" s="1402" t="s">
        <v>5937</v>
      </c>
      <c r="D4337" s="1403" t="s">
        <v>3235</v>
      </c>
      <c r="E4337" s="1404" t="s">
        <v>8701</v>
      </c>
      <c r="F4337" s="1405" t="s">
        <v>5300</v>
      </c>
      <c r="G4337" s="1403" t="s">
        <v>10260</v>
      </c>
      <c r="H4337" s="1406" t="s">
        <v>1083</v>
      </c>
    </row>
    <row r="4338" spans="2:8" x14ac:dyDescent="0.2">
      <c r="B4338" s="1407" t="str">
        <f t="shared" si="69"/>
        <v>Algy Taylor</v>
      </c>
      <c r="C4338" s="1402" t="s">
        <v>5937</v>
      </c>
      <c r="D4338" s="1403" t="s">
        <v>3496</v>
      </c>
      <c r="E4338" s="1404" t="s">
        <v>8711</v>
      </c>
      <c r="F4338" s="1405" t="s">
        <v>5299</v>
      </c>
      <c r="G4338" s="1403" t="s">
        <v>11323</v>
      </c>
      <c r="H4338" s="1406" t="s">
        <v>1083</v>
      </c>
    </row>
    <row r="4339" spans="2:8" x14ac:dyDescent="0.2">
      <c r="B4339" s="1407" t="str">
        <f t="shared" si="69"/>
        <v>Clive Medcalf</v>
      </c>
      <c r="C4339" s="1402" t="s">
        <v>18068</v>
      </c>
      <c r="D4339" s="1403" t="s">
        <v>18069</v>
      </c>
      <c r="E4339" s="1404" t="s">
        <v>8714</v>
      </c>
      <c r="F4339" s="1405" t="s">
        <v>5300</v>
      </c>
      <c r="G4339" s="1403" t="s">
        <v>18047</v>
      </c>
      <c r="H4339" s="1406" t="s">
        <v>1083</v>
      </c>
    </row>
    <row r="4340" spans="2:8" x14ac:dyDescent="0.2">
      <c r="B4340" s="1407" t="str">
        <f t="shared" si="69"/>
        <v/>
      </c>
      <c r="C4340" s="1402"/>
      <c r="D4340" s="1403"/>
      <c r="E4340" s="1404"/>
      <c r="F4340" s="1405"/>
      <c r="G4340" s="1403"/>
      <c r="H4340" s="1406"/>
    </row>
    <row r="4341" spans="2:8" x14ac:dyDescent="0.2">
      <c r="B4341" s="1407" t="str">
        <f t="shared" si="69"/>
        <v/>
      </c>
      <c r="C4341" s="1402"/>
      <c r="D4341" s="1403"/>
      <c r="E4341" s="1404"/>
      <c r="F4341" s="1405"/>
      <c r="G4341" s="1403"/>
      <c r="H4341" s="1406"/>
    </row>
    <row r="4342" spans="2:8" x14ac:dyDescent="0.2">
      <c r="B4342" s="1407" t="str">
        <f t="shared" si="69"/>
        <v/>
      </c>
      <c r="C4342" s="1402"/>
      <c r="D4342" s="1403"/>
      <c r="E4342" s="1404"/>
      <c r="F4342" s="1405"/>
      <c r="G4342" s="1403"/>
      <c r="H4342" s="1406"/>
    </row>
    <row r="4343" spans="2:8" x14ac:dyDescent="0.2">
      <c r="B4343" s="1407" t="str">
        <f t="shared" si="69"/>
        <v/>
      </c>
      <c r="C4343" s="1402"/>
      <c r="D4343" s="1403"/>
      <c r="E4343" s="1404"/>
      <c r="F4343" s="1405"/>
      <c r="G4343" s="1403"/>
      <c r="H4343" s="1406"/>
    </row>
    <row r="4344" spans="2:8" x14ac:dyDescent="0.2">
      <c r="B4344" s="1407" t="str">
        <f t="shared" si="69"/>
        <v/>
      </c>
      <c r="C4344" s="1402"/>
      <c r="D4344" s="1403"/>
      <c r="E4344" s="1404"/>
      <c r="F4344" s="1405"/>
      <c r="G4344" s="1403"/>
      <c r="H4344" s="1406"/>
    </row>
    <row r="4345" spans="2:8" x14ac:dyDescent="0.2">
      <c r="B4345" s="1407" t="str">
        <f t="shared" si="69"/>
        <v/>
      </c>
      <c r="C4345" s="1402"/>
      <c r="D4345" s="1403"/>
      <c r="E4345" s="1404"/>
      <c r="F4345" s="1405"/>
      <c r="G4345" s="1403"/>
      <c r="H4345" s="1406"/>
    </row>
    <row r="4346" spans="2:8" x14ac:dyDescent="0.2">
      <c r="B4346" s="1407" t="str">
        <f t="shared" si="69"/>
        <v/>
      </c>
      <c r="C4346" s="1402"/>
      <c r="D4346" s="1403"/>
      <c r="E4346" s="1404"/>
      <c r="F4346" s="1405"/>
      <c r="G4346" s="1403"/>
      <c r="H4346" s="1406"/>
    </row>
    <row r="4347" spans="2:8" x14ac:dyDescent="0.2">
      <c r="B4347" s="1407" t="str">
        <f t="shared" si="62"/>
        <v/>
      </c>
      <c r="C4347" s="1402"/>
      <c r="D4347" s="1403"/>
      <c r="E4347" s="1404"/>
      <c r="F4347" s="1405"/>
      <c r="G4347" s="1403"/>
      <c r="H4347" s="1406"/>
    </row>
    <row r="4348" spans="2:8" x14ac:dyDescent="0.2">
      <c r="B4348" s="7"/>
      <c r="C4348" s="7"/>
      <c r="D4348" s="7"/>
      <c r="E4348" s="1850"/>
      <c r="F4348" s="1851"/>
      <c r="G4348" s="7"/>
      <c r="H4348" s="7"/>
    </row>
  </sheetData>
  <sheetProtection sheet="1" objects="1" scenarios="1" selectLockedCells="1"/>
  <autoFilter ref="B6:H4347" xr:uid="{00000000-0009-0000-0000-000004000000}">
    <sortState xmlns:xlrd2="http://schemas.microsoft.com/office/spreadsheetml/2017/richdata2" ref="B7:H5001">
      <sortCondition ref="B6:B5001"/>
    </sortState>
  </autoFilter>
  <dataConsolidate/>
  <customSheetViews>
    <customSheetView guid="{13F24B0A-7740-483A-BEF7-5257F8522605}" showGridLines="0" fitToPage="1" showAutoFilter="1" state="hidden">
      <pane ySplit="6" topLeftCell="A7" activePane="bottomLeft" state="frozen"/>
      <selection pane="bottomLeft" activeCell="H8" sqref="H8:H4054"/>
      <pageMargins left="0.78740157480314965" right="0.78740157480314965" top="0.98425196850393704" bottom="0.98425196850393704" header="0.51181102362204722" footer="0.51181102362204722"/>
      <pageSetup paperSize="9" scale="23" fitToHeight="20" orientation="portrait" r:id="rId1"/>
      <headerFooter alignWithMargins="0"/>
      <autoFilter ref="B6:H4054" xr:uid="{9623F9D5-BAF2-460A-B3E1-9CEDF0179F9A}">
        <sortState xmlns:xlrd2="http://schemas.microsoft.com/office/spreadsheetml/2017/richdata2" ref="B7:H4691">
          <sortCondition ref="B6:B4691"/>
        </sortState>
      </autoFilter>
    </customSheetView>
  </customSheetViews>
  <mergeCells count="2">
    <mergeCell ref="B5:H5"/>
    <mergeCell ref="B1:H1"/>
  </mergeCells>
  <phoneticPr fontId="0" type="noConversion"/>
  <dataValidations disablePrompts="1" count="3">
    <dataValidation type="list" allowBlank="1" showInputMessage="1" sqref="H7:H4347" xr:uid="{00000000-0002-0000-0400-000000000000}">
      <formula1>Nationalities</formula1>
    </dataValidation>
    <dataValidation type="list" allowBlank="1" showInputMessage="1" showErrorMessage="1" sqref="G7:G4347" xr:uid="{00000000-0002-0000-0400-000001000000}">
      <formula1>Liste_Clubs</formula1>
    </dataValidation>
    <dataValidation type="list" allowBlank="1" showInputMessage="1" showErrorMessage="1" sqref="F7:F4347" xr:uid="{00000000-0002-0000-0400-000002000000}">
      <formula1>FISTF_Category_List</formula1>
    </dataValidation>
  </dataValidations>
  <pageMargins left="0.78740157480314965" right="0.78740157480314965" top="0.98425196850393704" bottom="0.98425196850393704" header="0.51181102362204722" footer="0.51181102362204722"/>
  <pageSetup paperSize="9" scale="23" fitToHeight="20" orientation="portrait" r:id="rId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_Clubs">
    <tabColor rgb="FFFFC000"/>
    <pageSetUpPr fitToPage="1"/>
  </sheetPr>
  <dimension ref="A1:E431"/>
  <sheetViews>
    <sheetView showGridLines="0" workbookViewId="0">
      <pane ySplit="6" topLeftCell="A7" activePane="bottomLeft" state="frozen"/>
      <selection activeCell="N33" sqref="N33"/>
      <selection pane="bottomLeft" activeCell="B8" sqref="B8:E374"/>
    </sheetView>
  </sheetViews>
  <sheetFormatPr baseColWidth="10" defaultColWidth="11.42578125" defaultRowHeight="12.75" x14ac:dyDescent="0.2"/>
  <cols>
    <col min="1" max="1" width="4.28515625" style="7" customWidth="1"/>
    <col min="2" max="2" width="41.28515625" style="7" customWidth="1"/>
    <col min="3" max="3" width="15.5703125" style="7" bestFit="1" customWidth="1"/>
    <col min="4" max="4" width="14.28515625" style="7" bestFit="1" customWidth="1"/>
    <col min="5" max="16380" width="11.42578125" style="7"/>
    <col min="16381" max="16384" width="4.85546875" style="7" customWidth="1"/>
  </cols>
  <sheetData>
    <row r="1" spans="1:5" ht="36" thickBot="1" x14ac:dyDescent="0.55000000000000004">
      <c r="A1" s="1841">
        <v>50</v>
      </c>
      <c r="B1" s="2259" t="str">
        <f>N_ClubsSheetTitle</f>
        <v>Base de données des clubs</v>
      </c>
      <c r="C1" s="2259"/>
      <c r="D1" s="2259"/>
    </row>
    <row r="2" spans="1:5" x14ac:dyDescent="0.2">
      <c r="B2" s="1844" t="str">
        <f>N_TotalNbClubs</f>
        <v>Nombre total de clubs</v>
      </c>
      <c r="C2" s="1842">
        <f ca="1">COUNTA(OFFSET(FullClubList,0,0,,1))</f>
        <v>368</v>
      </c>
      <c r="D2" s="2192"/>
      <c r="E2" s="1845"/>
    </row>
    <row r="3" spans="1:5" ht="15" x14ac:dyDescent="0.2">
      <c r="A3" s="1394"/>
      <c r="B3" s="1846" t="str">
        <f>N_TotalNbClubsLines</f>
        <v>Nombre total de lignes de la liste</v>
      </c>
      <c r="C3" s="1843">
        <f>ROWS(FullClubList)</f>
        <v>424</v>
      </c>
      <c r="D3" s="2193"/>
      <c r="E3" s="1847"/>
    </row>
    <row r="4" spans="1:5" ht="15" x14ac:dyDescent="0.2">
      <c r="A4" s="1394"/>
      <c r="B4" s="1848"/>
      <c r="C4" s="1849"/>
      <c r="D4" s="2193"/>
      <c r="E4" s="1847"/>
    </row>
    <row r="5" spans="1:5" ht="16.5" thickBot="1" x14ac:dyDescent="0.25">
      <c r="B5" s="2260" t="str">
        <f>N_Club_list</f>
        <v>Liste des clubs</v>
      </c>
      <c r="C5" s="2261"/>
      <c r="D5" s="2261"/>
      <c r="E5" s="2262"/>
    </row>
    <row r="6" spans="1:5" ht="13.5" thickBot="1" x14ac:dyDescent="0.25">
      <c r="B6" s="1423" t="str">
        <f>N_Club_Name</f>
        <v>Nom du Club</v>
      </c>
      <c r="C6" s="2194" t="str">
        <f>N_Abbreviation</f>
        <v>Abbréviation</v>
      </c>
      <c r="D6" s="2194" t="str">
        <f>N_Nationality</f>
        <v>Nationalité</v>
      </c>
      <c r="E6" s="2194" t="s">
        <v>13208</v>
      </c>
    </row>
    <row r="7" spans="1:5" x14ac:dyDescent="0.2">
      <c r="B7" s="1424" t="s">
        <v>2797</v>
      </c>
      <c r="C7" s="1425"/>
      <c r="D7" s="1426"/>
      <c r="E7" s="1426"/>
    </row>
    <row r="8" spans="1:5" x14ac:dyDescent="0.2">
      <c r="B8" s="1427" t="s">
        <v>9594</v>
      </c>
      <c r="C8" s="1425" t="s">
        <v>7748</v>
      </c>
      <c r="D8" s="1426" t="s">
        <v>986</v>
      </c>
      <c r="E8" s="1426" t="s">
        <v>12989</v>
      </c>
    </row>
    <row r="9" spans="1:5" x14ac:dyDescent="0.2">
      <c r="B9" s="1427" t="s">
        <v>10248</v>
      </c>
      <c r="C9" s="1425" t="s">
        <v>7749</v>
      </c>
      <c r="D9" s="1426" t="s">
        <v>986</v>
      </c>
      <c r="E9" s="1426" t="s">
        <v>12990</v>
      </c>
    </row>
    <row r="10" spans="1:5" x14ac:dyDescent="0.2">
      <c r="B10" s="1427" t="s">
        <v>9593</v>
      </c>
      <c r="C10" s="1425" t="s">
        <v>7750</v>
      </c>
      <c r="D10" s="1426" t="s">
        <v>986</v>
      </c>
      <c r="E10" s="1426" t="s">
        <v>12991</v>
      </c>
    </row>
    <row r="11" spans="1:5" x14ac:dyDescent="0.2">
      <c r="B11" s="1427" t="s">
        <v>13508</v>
      </c>
      <c r="C11" s="1425" t="s">
        <v>13509</v>
      </c>
      <c r="D11" s="1426" t="s">
        <v>986</v>
      </c>
      <c r="E11" s="1426" t="s">
        <v>13510</v>
      </c>
    </row>
    <row r="12" spans="1:5" x14ac:dyDescent="0.2">
      <c r="B12" s="1427" t="s">
        <v>16381</v>
      </c>
      <c r="C12" s="1425" t="s">
        <v>16382</v>
      </c>
      <c r="D12" s="1426" t="s">
        <v>986</v>
      </c>
      <c r="E12" s="1426" t="s">
        <v>16383</v>
      </c>
    </row>
    <row r="13" spans="1:5" x14ac:dyDescent="0.2">
      <c r="B13" s="1427" t="s">
        <v>7914</v>
      </c>
      <c r="C13" s="1425" t="s">
        <v>13511</v>
      </c>
      <c r="D13" s="1426" t="s">
        <v>986</v>
      </c>
      <c r="E13" s="1426" t="s">
        <v>13512</v>
      </c>
    </row>
    <row r="14" spans="1:5" x14ac:dyDescent="0.2">
      <c r="B14" s="1427" t="s">
        <v>13513</v>
      </c>
      <c r="C14" s="1425" t="s">
        <v>13514</v>
      </c>
      <c r="D14" s="1426" t="s">
        <v>986</v>
      </c>
      <c r="E14" s="1426" t="s">
        <v>13515</v>
      </c>
    </row>
    <row r="15" spans="1:5" x14ac:dyDescent="0.2">
      <c r="B15" s="1427" t="s">
        <v>11321</v>
      </c>
      <c r="C15" s="1425" t="s">
        <v>7917</v>
      </c>
      <c r="D15" s="1426" t="s">
        <v>986</v>
      </c>
      <c r="E15" s="1426" t="s">
        <v>12992</v>
      </c>
    </row>
    <row r="16" spans="1:5" x14ac:dyDescent="0.2">
      <c r="B16" s="1427" t="s">
        <v>9596</v>
      </c>
      <c r="C16" s="1425" t="s">
        <v>11533</v>
      </c>
      <c r="D16" s="1426" t="s">
        <v>986</v>
      </c>
      <c r="E16" s="1426" t="s">
        <v>12993</v>
      </c>
    </row>
    <row r="17" spans="2:5" x14ac:dyDescent="0.2">
      <c r="B17" s="1427" t="s">
        <v>9595</v>
      </c>
      <c r="C17" s="1425" t="s">
        <v>7933</v>
      </c>
      <c r="D17" s="1426" t="s">
        <v>986</v>
      </c>
      <c r="E17" s="1426" t="s">
        <v>12994</v>
      </c>
    </row>
    <row r="18" spans="2:5" x14ac:dyDescent="0.2">
      <c r="B18" s="1427" t="s">
        <v>9597</v>
      </c>
      <c r="C18" s="1425" t="s">
        <v>11534</v>
      </c>
      <c r="D18" s="1426" t="s">
        <v>986</v>
      </c>
      <c r="E18" s="1426" t="s">
        <v>12995</v>
      </c>
    </row>
    <row r="19" spans="2:5" x14ac:dyDescent="0.2">
      <c r="B19" s="1427" t="s">
        <v>13516</v>
      </c>
      <c r="C19" s="1425" t="s">
        <v>13517</v>
      </c>
      <c r="D19" s="1426" t="s">
        <v>986</v>
      </c>
      <c r="E19" s="1426" t="s">
        <v>13518</v>
      </c>
    </row>
    <row r="20" spans="2:5" x14ac:dyDescent="0.2">
      <c r="B20" s="1427" t="s">
        <v>11322</v>
      </c>
      <c r="C20" s="1425" t="s">
        <v>11333</v>
      </c>
      <c r="D20" s="1426" t="s">
        <v>986</v>
      </c>
      <c r="E20" s="1426" t="s">
        <v>12996</v>
      </c>
    </row>
    <row r="21" spans="2:5" x14ac:dyDescent="0.2">
      <c r="B21" s="1427" t="s">
        <v>15246</v>
      </c>
      <c r="C21" s="1425" t="s">
        <v>16384</v>
      </c>
      <c r="D21" s="1426" t="s">
        <v>986</v>
      </c>
      <c r="E21" s="1426" t="s">
        <v>16385</v>
      </c>
    </row>
    <row r="22" spans="2:5" x14ac:dyDescent="0.2">
      <c r="B22" s="1427" t="s">
        <v>2738</v>
      </c>
      <c r="C22" s="1425" t="s">
        <v>2907</v>
      </c>
      <c r="D22" s="1426" t="s">
        <v>988</v>
      </c>
      <c r="E22" s="1426" t="s">
        <v>12997</v>
      </c>
    </row>
    <row r="23" spans="2:5" x14ac:dyDescent="0.2">
      <c r="B23" s="1427" t="s">
        <v>2748</v>
      </c>
      <c r="C23" s="1425" t="s">
        <v>2908</v>
      </c>
      <c r="D23" s="1426" t="s">
        <v>988</v>
      </c>
      <c r="E23" s="1426" t="s">
        <v>12998</v>
      </c>
    </row>
    <row r="24" spans="2:5" x14ac:dyDescent="0.2">
      <c r="B24" s="1427" t="s">
        <v>8871</v>
      </c>
      <c r="C24" s="1425" t="s">
        <v>2909</v>
      </c>
      <c r="D24" s="1426" t="s">
        <v>988</v>
      </c>
      <c r="E24" s="1426" t="s">
        <v>12999</v>
      </c>
    </row>
    <row r="25" spans="2:5" x14ac:dyDescent="0.2">
      <c r="B25" s="1427" t="s">
        <v>2746</v>
      </c>
      <c r="C25" s="1425" t="s">
        <v>2910</v>
      </c>
      <c r="D25" s="1426" t="s">
        <v>990</v>
      </c>
      <c r="E25" s="1426" t="s">
        <v>13000</v>
      </c>
    </row>
    <row r="26" spans="2:5" x14ac:dyDescent="0.2">
      <c r="B26" s="1427" t="s">
        <v>5301</v>
      </c>
      <c r="C26" s="1425" t="s">
        <v>2911</v>
      </c>
      <c r="D26" s="1426" t="s">
        <v>990</v>
      </c>
      <c r="E26" s="1426" t="s">
        <v>13001</v>
      </c>
    </row>
    <row r="27" spans="2:5" x14ac:dyDescent="0.2">
      <c r="B27" s="1427" t="s">
        <v>2772</v>
      </c>
      <c r="C27" s="1425" t="s">
        <v>2912</v>
      </c>
      <c r="D27" s="1426" t="s">
        <v>990</v>
      </c>
      <c r="E27" s="1426" t="s">
        <v>13002</v>
      </c>
    </row>
    <row r="28" spans="2:5" x14ac:dyDescent="0.2">
      <c r="B28" s="1427" t="s">
        <v>13519</v>
      </c>
      <c r="C28" s="1425" t="s">
        <v>2913</v>
      </c>
      <c r="D28" s="1426" t="s">
        <v>990</v>
      </c>
      <c r="E28" s="1426" t="s">
        <v>13003</v>
      </c>
    </row>
    <row r="29" spans="2:5" x14ac:dyDescent="0.2">
      <c r="B29" s="1427" t="s">
        <v>2747</v>
      </c>
      <c r="C29" s="1425" t="s">
        <v>2914</v>
      </c>
      <c r="D29" s="1426" t="s">
        <v>990</v>
      </c>
      <c r="E29" s="1426" t="s">
        <v>13004</v>
      </c>
    </row>
    <row r="30" spans="2:5" x14ac:dyDescent="0.2">
      <c r="B30" s="1427" t="s">
        <v>10250</v>
      </c>
      <c r="C30" s="1425" t="s">
        <v>2915</v>
      </c>
      <c r="D30" s="1426" t="s">
        <v>990</v>
      </c>
      <c r="E30" s="1426" t="s">
        <v>13005</v>
      </c>
    </row>
    <row r="31" spans="2:5" x14ac:dyDescent="0.2">
      <c r="B31" s="1427" t="s">
        <v>2779</v>
      </c>
      <c r="C31" s="1425" t="s">
        <v>2916</v>
      </c>
      <c r="D31" s="1426" t="s">
        <v>990</v>
      </c>
      <c r="E31" s="1426" t="s">
        <v>13006</v>
      </c>
    </row>
    <row r="32" spans="2:5" x14ac:dyDescent="0.2">
      <c r="B32" s="1427" t="s">
        <v>2778</v>
      </c>
      <c r="C32" s="1425" t="s">
        <v>2917</v>
      </c>
      <c r="D32" s="1426" t="s">
        <v>990</v>
      </c>
      <c r="E32" s="1426" t="s">
        <v>13007</v>
      </c>
    </row>
    <row r="33" spans="2:5" x14ac:dyDescent="0.2">
      <c r="B33" s="1427" t="s">
        <v>7885</v>
      </c>
      <c r="C33" s="1425" t="s">
        <v>18070</v>
      </c>
      <c r="D33" s="1426" t="s">
        <v>990</v>
      </c>
      <c r="E33" s="1426" t="s">
        <v>18071</v>
      </c>
    </row>
    <row r="34" spans="2:5" x14ac:dyDescent="0.2">
      <c r="B34" s="1427" t="s">
        <v>10252</v>
      </c>
      <c r="C34" s="1425" t="s">
        <v>7886</v>
      </c>
      <c r="D34" s="1426" t="s">
        <v>990</v>
      </c>
      <c r="E34" s="1426" t="s">
        <v>13008</v>
      </c>
    </row>
    <row r="35" spans="2:5" x14ac:dyDescent="0.2">
      <c r="B35" s="1427" t="s">
        <v>10254</v>
      </c>
      <c r="C35" s="1425" t="s">
        <v>10293</v>
      </c>
      <c r="D35" s="1426" t="s">
        <v>990</v>
      </c>
      <c r="E35" s="1426" t="s">
        <v>13009</v>
      </c>
    </row>
    <row r="36" spans="2:5" x14ac:dyDescent="0.2">
      <c r="B36" s="1427" t="s">
        <v>15681</v>
      </c>
      <c r="C36" s="1425" t="s">
        <v>16386</v>
      </c>
      <c r="D36" s="1426" t="s">
        <v>990</v>
      </c>
      <c r="E36" s="1426" t="s">
        <v>16387</v>
      </c>
    </row>
    <row r="37" spans="2:5" x14ac:dyDescent="0.2">
      <c r="B37" s="1427" t="s">
        <v>15816</v>
      </c>
      <c r="C37" s="1425" t="s">
        <v>16388</v>
      </c>
      <c r="D37" s="1426" t="s">
        <v>990</v>
      </c>
      <c r="E37" s="1426" t="s">
        <v>16389</v>
      </c>
    </row>
    <row r="38" spans="2:5" x14ac:dyDescent="0.2">
      <c r="B38" s="1427" t="s">
        <v>2791</v>
      </c>
      <c r="C38" s="1425" t="s">
        <v>2918</v>
      </c>
      <c r="D38" s="1426" t="s">
        <v>994</v>
      </c>
      <c r="E38" s="1426" t="s">
        <v>13010</v>
      </c>
    </row>
    <row r="39" spans="2:5" x14ac:dyDescent="0.2">
      <c r="B39" s="1427" t="s">
        <v>16390</v>
      </c>
      <c r="C39" s="1425" t="s">
        <v>2919</v>
      </c>
      <c r="D39" s="1426" t="s">
        <v>994</v>
      </c>
      <c r="E39" s="1426" t="s">
        <v>13011</v>
      </c>
    </row>
    <row r="40" spans="2:5" x14ac:dyDescent="0.2">
      <c r="B40" s="1427" t="s">
        <v>18072</v>
      </c>
      <c r="C40" s="1425" t="s">
        <v>18073</v>
      </c>
      <c r="D40" s="1426" t="s">
        <v>994</v>
      </c>
      <c r="E40" s="1426" t="s">
        <v>18074</v>
      </c>
    </row>
    <row r="41" spans="2:5" x14ac:dyDescent="0.2">
      <c r="B41" s="1427" t="s">
        <v>16391</v>
      </c>
      <c r="C41" s="1425" t="s">
        <v>5318</v>
      </c>
      <c r="D41" s="1426" t="s">
        <v>994</v>
      </c>
      <c r="E41" s="1426" t="s">
        <v>13012</v>
      </c>
    </row>
    <row r="42" spans="2:5" x14ac:dyDescent="0.2">
      <c r="B42" s="1427" t="s">
        <v>18075</v>
      </c>
      <c r="C42" s="1425" t="s">
        <v>18076</v>
      </c>
      <c r="D42" s="1426" t="s">
        <v>994</v>
      </c>
      <c r="E42" s="1426" t="s">
        <v>18077</v>
      </c>
    </row>
    <row r="43" spans="2:5" x14ac:dyDescent="0.2">
      <c r="B43" s="1427" t="s">
        <v>16392</v>
      </c>
      <c r="C43" s="1425" t="s">
        <v>10294</v>
      </c>
      <c r="D43" s="1426" t="s">
        <v>994</v>
      </c>
      <c r="E43" s="1426" t="s">
        <v>13013</v>
      </c>
    </row>
    <row r="44" spans="2:5" x14ac:dyDescent="0.2">
      <c r="B44" s="1427" t="s">
        <v>13520</v>
      </c>
      <c r="C44" s="1425" t="s">
        <v>13521</v>
      </c>
      <c r="D44" s="1426" t="s">
        <v>994</v>
      </c>
      <c r="E44" s="1426" t="s">
        <v>13522</v>
      </c>
    </row>
    <row r="45" spans="2:5" x14ac:dyDescent="0.2">
      <c r="B45" s="1427" t="s">
        <v>13523</v>
      </c>
      <c r="C45" s="1425" t="s">
        <v>14860</v>
      </c>
      <c r="D45" s="1426" t="s">
        <v>994</v>
      </c>
      <c r="E45" s="1426" t="s">
        <v>13524</v>
      </c>
    </row>
    <row r="46" spans="2:5" x14ac:dyDescent="0.2">
      <c r="B46" s="1427" t="s">
        <v>13526</v>
      </c>
      <c r="C46" s="1425" t="s">
        <v>14861</v>
      </c>
      <c r="D46" s="1426" t="s">
        <v>994</v>
      </c>
      <c r="E46" s="1426" t="s">
        <v>13527</v>
      </c>
    </row>
    <row r="47" spans="2:5" x14ac:dyDescent="0.2">
      <c r="B47" s="1427" t="s">
        <v>16393</v>
      </c>
      <c r="C47" s="1425" t="s">
        <v>17582</v>
      </c>
      <c r="D47" s="1426" t="s">
        <v>994</v>
      </c>
      <c r="E47" s="1426" t="s">
        <v>16395</v>
      </c>
    </row>
    <row r="48" spans="2:5" x14ac:dyDescent="0.2">
      <c r="B48" s="1427" t="s">
        <v>13528</v>
      </c>
      <c r="C48" s="1425" t="s">
        <v>13529</v>
      </c>
      <c r="D48" s="1426" t="s">
        <v>994</v>
      </c>
      <c r="E48" s="1426" t="s">
        <v>13530</v>
      </c>
    </row>
    <row r="49" spans="2:5" x14ac:dyDescent="0.2">
      <c r="B49" s="1427" t="s">
        <v>10255</v>
      </c>
      <c r="C49" s="1425" t="s">
        <v>11410</v>
      </c>
      <c r="D49" s="1426" t="s">
        <v>884</v>
      </c>
      <c r="E49" s="1426" t="s">
        <v>13014</v>
      </c>
    </row>
    <row r="50" spans="2:5" x14ac:dyDescent="0.2">
      <c r="B50" s="1427" t="s">
        <v>5303</v>
      </c>
      <c r="C50" s="1425" t="s">
        <v>5319</v>
      </c>
      <c r="D50" s="1426" t="s">
        <v>884</v>
      </c>
      <c r="E50" s="1426" t="s">
        <v>13015</v>
      </c>
    </row>
    <row r="51" spans="2:5" x14ac:dyDescent="0.2">
      <c r="B51" s="1427" t="s">
        <v>10291</v>
      </c>
      <c r="C51" s="1425" t="s">
        <v>5320</v>
      </c>
      <c r="D51" s="1426" t="s">
        <v>884</v>
      </c>
      <c r="E51" s="1426" t="s">
        <v>13016</v>
      </c>
    </row>
    <row r="52" spans="2:5" x14ac:dyDescent="0.2">
      <c r="B52" s="1427" t="s">
        <v>10257</v>
      </c>
      <c r="C52" s="1425" t="s">
        <v>5321</v>
      </c>
      <c r="D52" s="1426" t="s">
        <v>884</v>
      </c>
      <c r="E52" s="1426" t="s">
        <v>13017</v>
      </c>
    </row>
    <row r="53" spans="2:5" x14ac:dyDescent="0.2">
      <c r="B53" s="1427" t="s">
        <v>10258</v>
      </c>
      <c r="C53" s="1425" t="s">
        <v>10295</v>
      </c>
      <c r="D53" s="1426" t="s">
        <v>884</v>
      </c>
      <c r="E53" s="1426" t="s">
        <v>13018</v>
      </c>
    </row>
    <row r="54" spans="2:5" x14ac:dyDescent="0.2">
      <c r="B54" s="1427" t="s">
        <v>10256</v>
      </c>
      <c r="C54" s="1425" t="s">
        <v>11411</v>
      </c>
      <c r="D54" s="1426" t="s">
        <v>884</v>
      </c>
      <c r="E54" s="1426" t="s">
        <v>13019</v>
      </c>
    </row>
    <row r="55" spans="2:5" x14ac:dyDescent="0.2">
      <c r="B55" s="1427" t="s">
        <v>2798</v>
      </c>
      <c r="C55" s="1425" t="s">
        <v>2920</v>
      </c>
      <c r="D55" s="1426" t="s">
        <v>1005</v>
      </c>
      <c r="E55" s="1426" t="s">
        <v>13020</v>
      </c>
    </row>
    <row r="56" spans="2:5" x14ac:dyDescent="0.2">
      <c r="B56" s="1427" t="s">
        <v>2892</v>
      </c>
      <c r="C56" s="1425" t="s">
        <v>2921</v>
      </c>
      <c r="D56" s="1426" t="s">
        <v>1005</v>
      </c>
      <c r="E56" s="1426" t="s">
        <v>13021</v>
      </c>
    </row>
    <row r="57" spans="2:5" x14ac:dyDescent="0.2">
      <c r="B57" s="1427" t="s">
        <v>7163</v>
      </c>
      <c r="C57" s="1425" t="s">
        <v>7751</v>
      </c>
      <c r="D57" s="1426" t="s">
        <v>1005</v>
      </c>
      <c r="E57" s="1426" t="s">
        <v>13022</v>
      </c>
    </row>
    <row r="58" spans="2:5" x14ac:dyDescent="0.2">
      <c r="B58" s="1427" t="s">
        <v>7272</v>
      </c>
      <c r="C58" s="1425" t="s">
        <v>7752</v>
      </c>
      <c r="D58" s="1426" t="s">
        <v>1007</v>
      </c>
      <c r="E58" s="1426" t="s">
        <v>13023</v>
      </c>
    </row>
    <row r="59" spans="2:5" x14ac:dyDescent="0.2">
      <c r="B59" s="1427" t="s">
        <v>10259</v>
      </c>
      <c r="C59" s="1425" t="s">
        <v>5322</v>
      </c>
      <c r="D59" s="1426" t="s">
        <v>1009</v>
      </c>
      <c r="E59" s="1426" t="s">
        <v>13024</v>
      </c>
    </row>
    <row r="60" spans="2:5" x14ac:dyDescent="0.2">
      <c r="B60" s="1427" t="s">
        <v>15274</v>
      </c>
      <c r="C60" s="1425" t="s">
        <v>2922</v>
      </c>
      <c r="D60" s="1426" t="s">
        <v>1013</v>
      </c>
      <c r="E60" s="1426" t="s">
        <v>13025</v>
      </c>
    </row>
    <row r="61" spans="2:5" x14ac:dyDescent="0.2">
      <c r="B61" s="1427" t="s">
        <v>5304</v>
      </c>
      <c r="C61" s="1425" t="s">
        <v>2923</v>
      </c>
      <c r="D61" s="1426" t="s">
        <v>1013</v>
      </c>
      <c r="E61" s="1426" t="s">
        <v>13026</v>
      </c>
    </row>
    <row r="62" spans="2:5" x14ac:dyDescent="0.2">
      <c r="B62" s="1427" t="s">
        <v>13531</v>
      </c>
      <c r="C62" s="1425" t="s">
        <v>2924</v>
      </c>
      <c r="D62" s="1426" t="s">
        <v>1013</v>
      </c>
      <c r="E62" s="1426" t="s">
        <v>13027</v>
      </c>
    </row>
    <row r="63" spans="2:5" x14ac:dyDescent="0.2">
      <c r="B63" s="1427" t="s">
        <v>2789</v>
      </c>
      <c r="C63" s="1425" t="s">
        <v>2925</v>
      </c>
      <c r="D63" s="1426" t="s">
        <v>1013</v>
      </c>
      <c r="E63" s="1426" t="s">
        <v>13028</v>
      </c>
    </row>
    <row r="64" spans="2:5" x14ac:dyDescent="0.2">
      <c r="B64" s="1427" t="s">
        <v>13532</v>
      </c>
      <c r="C64" s="1425" t="s">
        <v>13533</v>
      </c>
      <c r="D64" s="1426" t="s">
        <v>1013</v>
      </c>
      <c r="E64" s="1426" t="s">
        <v>13534</v>
      </c>
    </row>
    <row r="65" spans="2:5" x14ac:dyDescent="0.2">
      <c r="B65" s="1427" t="s">
        <v>2781</v>
      </c>
      <c r="C65" s="1425" t="s">
        <v>2926</v>
      </c>
      <c r="D65" s="1426" t="s">
        <v>1013</v>
      </c>
      <c r="E65" s="1426" t="s">
        <v>13029</v>
      </c>
    </row>
    <row r="66" spans="2:5" x14ac:dyDescent="0.2">
      <c r="B66" s="1427" t="s">
        <v>13535</v>
      </c>
      <c r="C66" s="1425" t="s">
        <v>13536</v>
      </c>
      <c r="D66" s="1426" t="s">
        <v>1013</v>
      </c>
      <c r="E66" s="1426" t="s">
        <v>13537</v>
      </c>
    </row>
    <row r="67" spans="2:5" x14ac:dyDescent="0.2">
      <c r="B67" s="1427" t="s">
        <v>13538</v>
      </c>
      <c r="C67" s="1425" t="s">
        <v>7937</v>
      </c>
      <c r="D67" s="1426" t="s">
        <v>1013</v>
      </c>
      <c r="E67" s="1426" t="s">
        <v>13030</v>
      </c>
    </row>
    <row r="68" spans="2:5" x14ac:dyDescent="0.2">
      <c r="B68" s="1427" t="s">
        <v>13539</v>
      </c>
      <c r="C68" s="1425" t="s">
        <v>13540</v>
      </c>
      <c r="D68" s="1426" t="s">
        <v>1013</v>
      </c>
      <c r="E68" s="1426" t="s">
        <v>13541</v>
      </c>
    </row>
    <row r="69" spans="2:5" x14ac:dyDescent="0.2">
      <c r="B69" s="1427" t="s">
        <v>5305</v>
      </c>
      <c r="C69" s="1425" t="s">
        <v>13467</v>
      </c>
      <c r="D69" s="1426" t="s">
        <v>1013</v>
      </c>
      <c r="E69" s="1426" t="s">
        <v>13468</v>
      </c>
    </row>
    <row r="70" spans="2:5" x14ac:dyDescent="0.2">
      <c r="B70" s="1427" t="s">
        <v>7904</v>
      </c>
      <c r="C70" s="1425" t="s">
        <v>7907</v>
      </c>
      <c r="D70" s="1426" t="s">
        <v>1013</v>
      </c>
      <c r="E70" s="1426" t="s">
        <v>13031</v>
      </c>
    </row>
    <row r="71" spans="2:5" x14ac:dyDescent="0.2">
      <c r="B71" s="1427" t="s">
        <v>10261</v>
      </c>
      <c r="C71" s="1425" t="s">
        <v>7908</v>
      </c>
      <c r="D71" s="1426" t="s">
        <v>1013</v>
      </c>
      <c r="E71" s="1426" t="s">
        <v>13032</v>
      </c>
    </row>
    <row r="72" spans="2:5" x14ac:dyDescent="0.2">
      <c r="B72" s="1427" t="s">
        <v>7935</v>
      </c>
      <c r="C72" s="1425" t="s">
        <v>7938</v>
      </c>
      <c r="D72" s="1426" t="s">
        <v>1013</v>
      </c>
      <c r="E72" s="1426" t="s">
        <v>13033</v>
      </c>
    </row>
    <row r="73" spans="2:5" x14ac:dyDescent="0.2">
      <c r="B73" s="1427" t="s">
        <v>10921</v>
      </c>
      <c r="C73" s="1425" t="s">
        <v>7939</v>
      </c>
      <c r="D73" s="1426" t="s">
        <v>1013</v>
      </c>
      <c r="E73" s="1426" t="s">
        <v>13034</v>
      </c>
    </row>
    <row r="74" spans="2:5" x14ac:dyDescent="0.2">
      <c r="B74" s="1427" t="s">
        <v>13542</v>
      </c>
      <c r="C74" s="1425" t="s">
        <v>10923</v>
      </c>
      <c r="D74" s="1426" t="s">
        <v>1013</v>
      </c>
      <c r="E74" s="1426" t="s">
        <v>13035</v>
      </c>
    </row>
    <row r="75" spans="2:5" x14ac:dyDescent="0.2">
      <c r="B75" s="1427" t="s">
        <v>10981</v>
      </c>
      <c r="C75" s="1425" t="s">
        <v>10982</v>
      </c>
      <c r="D75" s="1426" t="s">
        <v>1013</v>
      </c>
      <c r="E75" s="1426" t="s">
        <v>13036</v>
      </c>
    </row>
    <row r="76" spans="2:5" x14ac:dyDescent="0.2">
      <c r="B76" s="1427" t="s">
        <v>14399</v>
      </c>
      <c r="C76" s="1425" t="s">
        <v>10983</v>
      </c>
      <c r="D76" s="1426" t="s">
        <v>1013</v>
      </c>
      <c r="E76" s="1426" t="s">
        <v>13037</v>
      </c>
    </row>
    <row r="77" spans="2:5" x14ac:dyDescent="0.2">
      <c r="B77" s="1427" t="s">
        <v>13543</v>
      </c>
      <c r="C77" s="1425" t="s">
        <v>13544</v>
      </c>
      <c r="D77" s="1426" t="s">
        <v>1013</v>
      </c>
      <c r="E77" s="1426" t="s">
        <v>13545</v>
      </c>
    </row>
    <row r="78" spans="2:5" x14ac:dyDescent="0.2">
      <c r="B78" s="1427" t="s">
        <v>13469</v>
      </c>
      <c r="C78" s="1425" t="s">
        <v>17583</v>
      </c>
      <c r="D78" s="1426" t="s">
        <v>1013</v>
      </c>
      <c r="E78" s="1426" t="s">
        <v>13470</v>
      </c>
    </row>
    <row r="79" spans="2:5" x14ac:dyDescent="0.2">
      <c r="B79" s="1427" t="s">
        <v>13471</v>
      </c>
      <c r="C79" s="1425" t="s">
        <v>17584</v>
      </c>
      <c r="D79" s="1426" t="s">
        <v>1013</v>
      </c>
      <c r="E79" s="1426" t="s">
        <v>13472</v>
      </c>
    </row>
    <row r="80" spans="2:5" x14ac:dyDescent="0.2">
      <c r="B80" s="1427" t="s">
        <v>13546</v>
      </c>
      <c r="C80" s="1425" t="s">
        <v>17585</v>
      </c>
      <c r="D80" s="1426" t="s">
        <v>1013</v>
      </c>
      <c r="E80" s="1426" t="s">
        <v>13547</v>
      </c>
    </row>
    <row r="81" spans="2:5" x14ac:dyDescent="0.2">
      <c r="B81" s="1427" t="s">
        <v>13548</v>
      </c>
      <c r="C81" s="1425" t="s">
        <v>17586</v>
      </c>
      <c r="D81" s="1426" t="s">
        <v>1013</v>
      </c>
      <c r="E81" s="1426" t="s">
        <v>13549</v>
      </c>
    </row>
    <row r="82" spans="2:5" x14ac:dyDescent="0.2">
      <c r="B82" s="1427" t="s">
        <v>13550</v>
      </c>
      <c r="C82" s="1425" t="s">
        <v>17587</v>
      </c>
      <c r="D82" s="1426" t="s">
        <v>1013</v>
      </c>
      <c r="E82" s="1426" t="s">
        <v>13551</v>
      </c>
    </row>
    <row r="83" spans="2:5" x14ac:dyDescent="0.2">
      <c r="B83" s="1427" t="s">
        <v>13552</v>
      </c>
      <c r="C83" s="1425" t="s">
        <v>13553</v>
      </c>
      <c r="D83" s="1426" t="s">
        <v>1013</v>
      </c>
      <c r="E83" s="1426" t="s">
        <v>13554</v>
      </c>
    </row>
    <row r="84" spans="2:5" x14ac:dyDescent="0.2">
      <c r="B84" s="1427" t="s">
        <v>17082</v>
      </c>
      <c r="C84" s="1425" t="s">
        <v>17588</v>
      </c>
      <c r="D84" s="1426" t="s">
        <v>1013</v>
      </c>
      <c r="E84" s="1426" t="s">
        <v>13555</v>
      </c>
    </row>
    <row r="85" spans="2:5" x14ac:dyDescent="0.2">
      <c r="B85" s="1427" t="s">
        <v>13556</v>
      </c>
      <c r="C85" s="1425" t="s">
        <v>13557</v>
      </c>
      <c r="D85" s="1426" t="s">
        <v>1013</v>
      </c>
      <c r="E85" s="1426" t="s">
        <v>13558</v>
      </c>
    </row>
    <row r="86" spans="2:5" x14ac:dyDescent="0.2">
      <c r="B86" s="1427" t="s">
        <v>13559</v>
      </c>
      <c r="C86" s="1425" t="s">
        <v>13560</v>
      </c>
      <c r="D86" s="1426" t="s">
        <v>1013</v>
      </c>
      <c r="E86" s="1426" t="s">
        <v>13561</v>
      </c>
    </row>
    <row r="87" spans="2:5" x14ac:dyDescent="0.2">
      <c r="B87" s="1427" t="s">
        <v>13562</v>
      </c>
      <c r="C87" s="1425" t="s">
        <v>14862</v>
      </c>
      <c r="D87" s="1426" t="s">
        <v>1013</v>
      </c>
      <c r="E87" s="1426" t="s">
        <v>13563</v>
      </c>
    </row>
    <row r="88" spans="2:5" x14ac:dyDescent="0.2">
      <c r="B88" s="1427" t="s">
        <v>13564</v>
      </c>
      <c r="C88" s="1425" t="s">
        <v>13565</v>
      </c>
      <c r="D88" s="1426" t="s">
        <v>1013</v>
      </c>
      <c r="E88" s="1426" t="s">
        <v>13566</v>
      </c>
    </row>
    <row r="89" spans="2:5" x14ac:dyDescent="0.2">
      <c r="B89" s="1427" t="s">
        <v>13610</v>
      </c>
      <c r="C89" s="1425" t="s">
        <v>13611</v>
      </c>
      <c r="D89" s="1426" t="s">
        <v>1013</v>
      </c>
      <c r="E89" s="1426" t="s">
        <v>13612</v>
      </c>
    </row>
    <row r="90" spans="2:5" x14ac:dyDescent="0.2">
      <c r="B90" s="1427" t="s">
        <v>13613</v>
      </c>
      <c r="C90" s="1425" t="s">
        <v>13614</v>
      </c>
      <c r="D90" s="1426" t="s">
        <v>1013</v>
      </c>
      <c r="E90" s="1426" t="s">
        <v>13615</v>
      </c>
    </row>
    <row r="91" spans="2:5" x14ac:dyDescent="0.2">
      <c r="B91" s="1427" t="s">
        <v>13616</v>
      </c>
      <c r="C91" s="1425" t="s">
        <v>17589</v>
      </c>
      <c r="D91" s="1426" t="s">
        <v>1013</v>
      </c>
      <c r="E91" s="1426" t="s">
        <v>13617</v>
      </c>
    </row>
    <row r="92" spans="2:5" x14ac:dyDescent="0.2">
      <c r="B92" s="1427" t="s">
        <v>13618</v>
      </c>
      <c r="C92" s="1425" t="s">
        <v>14863</v>
      </c>
      <c r="D92" s="1426" t="s">
        <v>1013</v>
      </c>
      <c r="E92" s="1426" t="s">
        <v>13619</v>
      </c>
    </row>
    <row r="93" spans="2:5" x14ac:dyDescent="0.2">
      <c r="B93" s="1427" t="s">
        <v>14864</v>
      </c>
      <c r="C93" s="1425" t="s">
        <v>14865</v>
      </c>
      <c r="D93" s="1426" t="s">
        <v>1013</v>
      </c>
      <c r="E93" s="1426" t="s">
        <v>14866</v>
      </c>
    </row>
    <row r="94" spans="2:5" x14ac:dyDescent="0.2">
      <c r="B94" s="1427" t="s">
        <v>14867</v>
      </c>
      <c r="C94" s="1425" t="s">
        <v>14868</v>
      </c>
      <c r="D94" s="1426" t="s">
        <v>1013</v>
      </c>
      <c r="E94" s="1426" t="s">
        <v>14869</v>
      </c>
    </row>
    <row r="95" spans="2:5" x14ac:dyDescent="0.2">
      <c r="B95" s="1427" t="s">
        <v>16396</v>
      </c>
      <c r="C95" s="1425" t="s">
        <v>16397</v>
      </c>
      <c r="D95" s="1426" t="s">
        <v>1013</v>
      </c>
      <c r="E95" s="1426" t="s">
        <v>16398</v>
      </c>
    </row>
    <row r="96" spans="2:5" x14ac:dyDescent="0.2">
      <c r="B96" s="1427" t="s">
        <v>16399</v>
      </c>
      <c r="C96" s="1425" t="s">
        <v>16400</v>
      </c>
      <c r="D96" s="1426" t="s">
        <v>1013</v>
      </c>
      <c r="E96" s="1426" t="s">
        <v>16401</v>
      </c>
    </row>
    <row r="97" spans="2:5" x14ac:dyDescent="0.2">
      <c r="B97" s="1427" t="s">
        <v>15227</v>
      </c>
      <c r="C97" s="1425" t="s">
        <v>16402</v>
      </c>
      <c r="D97" s="1426" t="s">
        <v>1013</v>
      </c>
      <c r="E97" s="1426" t="s">
        <v>16403</v>
      </c>
    </row>
    <row r="98" spans="2:5" x14ac:dyDescent="0.2">
      <c r="B98" s="1427" t="s">
        <v>15518</v>
      </c>
      <c r="C98" s="1425" t="s">
        <v>16404</v>
      </c>
      <c r="D98" s="1426" t="s">
        <v>1013</v>
      </c>
      <c r="E98" s="1426" t="s">
        <v>16405</v>
      </c>
    </row>
    <row r="99" spans="2:5" x14ac:dyDescent="0.2">
      <c r="B99" s="1427" t="s">
        <v>16000</v>
      </c>
      <c r="C99" s="1425" t="s">
        <v>16406</v>
      </c>
      <c r="D99" s="1426" t="s">
        <v>1013</v>
      </c>
      <c r="E99" s="1426" t="s">
        <v>16407</v>
      </c>
    </row>
    <row r="100" spans="2:5" x14ac:dyDescent="0.2">
      <c r="B100" s="1427" t="s">
        <v>15663</v>
      </c>
      <c r="C100" s="1425" t="s">
        <v>16408</v>
      </c>
      <c r="D100" s="1426" t="s">
        <v>1013</v>
      </c>
      <c r="E100" s="1426" t="s">
        <v>16409</v>
      </c>
    </row>
    <row r="101" spans="2:5" x14ac:dyDescent="0.2">
      <c r="B101" s="1427" t="s">
        <v>15945</v>
      </c>
      <c r="C101" s="1425" t="s">
        <v>16410</v>
      </c>
      <c r="D101" s="1426" t="s">
        <v>1013</v>
      </c>
      <c r="E101" s="1426" t="s">
        <v>16411</v>
      </c>
    </row>
    <row r="102" spans="2:5" x14ac:dyDescent="0.2">
      <c r="B102" s="1427" t="s">
        <v>2783</v>
      </c>
      <c r="C102" s="1425" t="s">
        <v>9452</v>
      </c>
      <c r="D102" s="1426" t="s">
        <v>1015</v>
      </c>
      <c r="E102" s="1426" t="s">
        <v>13038</v>
      </c>
    </row>
    <row r="103" spans="2:5" x14ac:dyDescent="0.2">
      <c r="B103" s="1427" t="s">
        <v>2774</v>
      </c>
      <c r="C103" s="1425" t="s">
        <v>2927</v>
      </c>
      <c r="D103" s="1426" t="s">
        <v>1015</v>
      </c>
      <c r="E103" s="1426" t="s">
        <v>13039</v>
      </c>
    </row>
    <row r="104" spans="2:5" x14ac:dyDescent="0.2">
      <c r="B104" s="1427" t="s">
        <v>2769</v>
      </c>
      <c r="C104" s="1425" t="s">
        <v>2928</v>
      </c>
      <c r="D104" s="1426" t="s">
        <v>1015</v>
      </c>
      <c r="E104" s="1426" t="s">
        <v>13040</v>
      </c>
    </row>
    <row r="105" spans="2:5" x14ac:dyDescent="0.2">
      <c r="B105" s="1427" t="s">
        <v>7183</v>
      </c>
      <c r="C105" s="1425" t="s">
        <v>2929</v>
      </c>
      <c r="D105" s="1426" t="s">
        <v>1015</v>
      </c>
      <c r="E105" s="1426" t="s">
        <v>13041</v>
      </c>
    </row>
    <row r="106" spans="2:5" x14ac:dyDescent="0.2">
      <c r="B106" s="1427" t="s">
        <v>2755</v>
      </c>
      <c r="C106" s="1425" t="s">
        <v>2930</v>
      </c>
      <c r="D106" s="1426" t="s">
        <v>1015</v>
      </c>
      <c r="E106" s="1426" t="s">
        <v>13042</v>
      </c>
    </row>
    <row r="107" spans="2:5" x14ac:dyDescent="0.2">
      <c r="B107" s="1427" t="s">
        <v>11178</v>
      </c>
      <c r="C107" s="1425" t="s">
        <v>7754</v>
      </c>
      <c r="D107" s="1426" t="s">
        <v>1015</v>
      </c>
      <c r="E107" s="1426" t="s">
        <v>13043</v>
      </c>
    </row>
    <row r="108" spans="2:5" x14ac:dyDescent="0.2">
      <c r="B108" s="1427" t="s">
        <v>7304</v>
      </c>
      <c r="C108" s="1425" t="s">
        <v>7753</v>
      </c>
      <c r="D108" s="1426" t="s">
        <v>1015</v>
      </c>
      <c r="E108" s="1426" t="s">
        <v>13044</v>
      </c>
    </row>
    <row r="109" spans="2:5" x14ac:dyDescent="0.2">
      <c r="B109" s="1427" t="s">
        <v>15716</v>
      </c>
      <c r="C109" s="1425" t="s">
        <v>16412</v>
      </c>
      <c r="D109" s="1426" t="s">
        <v>1015</v>
      </c>
      <c r="E109" s="1426" t="s">
        <v>16413</v>
      </c>
    </row>
    <row r="110" spans="2:5" x14ac:dyDescent="0.2">
      <c r="B110" s="1427" t="s">
        <v>7871</v>
      </c>
      <c r="C110" s="1425" t="s">
        <v>7887</v>
      </c>
      <c r="D110" s="1426" t="s">
        <v>1015</v>
      </c>
      <c r="E110" s="1426" t="s">
        <v>13045</v>
      </c>
    </row>
    <row r="111" spans="2:5" x14ac:dyDescent="0.2">
      <c r="B111" s="1427" t="s">
        <v>7869</v>
      </c>
      <c r="C111" s="1425" t="s">
        <v>7888</v>
      </c>
      <c r="D111" s="1426" t="s">
        <v>1015</v>
      </c>
      <c r="E111" s="1426" t="s">
        <v>13046</v>
      </c>
    </row>
    <row r="112" spans="2:5" x14ac:dyDescent="0.2">
      <c r="B112" s="1427" t="s">
        <v>9704</v>
      </c>
      <c r="C112" s="1425" t="s">
        <v>9705</v>
      </c>
      <c r="D112" s="1426" t="s">
        <v>1015</v>
      </c>
      <c r="E112" s="1426" t="s">
        <v>13047</v>
      </c>
    </row>
    <row r="113" spans="2:5" x14ac:dyDescent="0.2">
      <c r="B113" s="1427" t="s">
        <v>13232</v>
      </c>
      <c r="C113" s="1425" t="s">
        <v>13473</v>
      </c>
      <c r="D113" s="1426" t="s">
        <v>1015</v>
      </c>
      <c r="E113" s="1426" t="s">
        <v>13474</v>
      </c>
    </row>
    <row r="114" spans="2:5" x14ac:dyDescent="0.2">
      <c r="B114" s="1427" t="s">
        <v>14454</v>
      </c>
      <c r="C114" s="1425" t="s">
        <v>14870</v>
      </c>
      <c r="D114" s="1426" t="s">
        <v>1015</v>
      </c>
      <c r="E114" s="1426" t="s">
        <v>14871</v>
      </c>
    </row>
    <row r="115" spans="2:5" x14ac:dyDescent="0.2">
      <c r="B115" s="1427" t="s">
        <v>14872</v>
      </c>
      <c r="C115" s="1425" t="s">
        <v>14873</v>
      </c>
      <c r="D115" s="1426" t="s">
        <v>1015</v>
      </c>
      <c r="E115" s="1426" t="s">
        <v>14874</v>
      </c>
    </row>
    <row r="116" spans="2:5" x14ac:dyDescent="0.2">
      <c r="B116" s="1427" t="s">
        <v>15799</v>
      </c>
      <c r="C116" s="1425" t="s">
        <v>16414</v>
      </c>
      <c r="D116" s="1426" t="s">
        <v>1019</v>
      </c>
      <c r="E116" s="1426" t="s">
        <v>16415</v>
      </c>
    </row>
    <row r="117" spans="2:5" x14ac:dyDescent="0.2">
      <c r="B117" s="1427" t="s">
        <v>2795</v>
      </c>
      <c r="C117" s="1425" t="s">
        <v>2931</v>
      </c>
      <c r="D117" s="1426" t="s">
        <v>1019</v>
      </c>
      <c r="E117" s="1426" t="s">
        <v>13048</v>
      </c>
    </row>
    <row r="118" spans="2:5" x14ac:dyDescent="0.2">
      <c r="B118" s="1427" t="s">
        <v>15183</v>
      </c>
      <c r="C118" s="1425" t="s">
        <v>2932</v>
      </c>
      <c r="D118" s="1426" t="s">
        <v>1019</v>
      </c>
      <c r="E118" s="1426" t="s">
        <v>13049</v>
      </c>
    </row>
    <row r="119" spans="2:5" x14ac:dyDescent="0.2">
      <c r="B119" s="1427" t="s">
        <v>2796</v>
      </c>
      <c r="C119" s="1425" t="s">
        <v>11412</v>
      </c>
      <c r="D119" s="1426" t="s">
        <v>1019</v>
      </c>
      <c r="E119" s="1426" t="s">
        <v>13050</v>
      </c>
    </row>
    <row r="120" spans="2:5" x14ac:dyDescent="0.2">
      <c r="B120" s="1427" t="s">
        <v>2754</v>
      </c>
      <c r="C120" s="1425" t="s">
        <v>2933</v>
      </c>
      <c r="D120" s="1426" t="s">
        <v>1019</v>
      </c>
      <c r="E120" s="1426" t="s">
        <v>13051</v>
      </c>
    </row>
    <row r="121" spans="2:5" x14ac:dyDescent="0.2">
      <c r="B121" s="1427" t="s">
        <v>2893</v>
      </c>
      <c r="C121" s="1425" t="s">
        <v>13567</v>
      </c>
      <c r="D121" s="1426" t="s">
        <v>1019</v>
      </c>
      <c r="E121" s="1426" t="s">
        <v>13568</v>
      </c>
    </row>
    <row r="122" spans="2:5" x14ac:dyDescent="0.2">
      <c r="B122" s="1427" t="s">
        <v>15239</v>
      </c>
      <c r="C122" s="1425" t="s">
        <v>9599</v>
      </c>
      <c r="D122" s="1426" t="s">
        <v>1019</v>
      </c>
      <c r="E122" s="1426" t="s">
        <v>13052</v>
      </c>
    </row>
    <row r="123" spans="2:5" x14ac:dyDescent="0.2">
      <c r="B123" s="1427" t="s">
        <v>13838</v>
      </c>
      <c r="C123" s="1425" t="s">
        <v>13569</v>
      </c>
      <c r="D123" s="1426" t="s">
        <v>1019</v>
      </c>
      <c r="E123" s="1426" t="s">
        <v>13570</v>
      </c>
    </row>
    <row r="124" spans="2:5" x14ac:dyDescent="0.2">
      <c r="B124" s="1427" t="s">
        <v>16416</v>
      </c>
      <c r="C124" s="1425" t="s">
        <v>16417</v>
      </c>
      <c r="D124" s="1426" t="s">
        <v>1019</v>
      </c>
      <c r="E124" s="1426" t="s">
        <v>13571</v>
      </c>
    </row>
    <row r="125" spans="2:5" x14ac:dyDescent="0.2">
      <c r="B125" s="1427" t="s">
        <v>16418</v>
      </c>
      <c r="C125" s="1425" t="s">
        <v>16419</v>
      </c>
      <c r="D125" s="1426" t="s">
        <v>1019</v>
      </c>
      <c r="E125" s="1426" t="s">
        <v>16420</v>
      </c>
    </row>
    <row r="126" spans="2:5" x14ac:dyDescent="0.2">
      <c r="B126" s="1427" t="s">
        <v>14485</v>
      </c>
      <c r="C126" s="1425" t="s">
        <v>14875</v>
      </c>
      <c r="D126" s="1426" t="s">
        <v>1019</v>
      </c>
      <c r="E126" s="1426" t="s">
        <v>14876</v>
      </c>
    </row>
    <row r="127" spans="2:5" x14ac:dyDescent="0.2">
      <c r="B127" s="1427" t="s">
        <v>15446</v>
      </c>
      <c r="C127" s="1425" t="s">
        <v>16421</v>
      </c>
      <c r="D127" s="1426" t="s">
        <v>1019</v>
      </c>
      <c r="E127" s="1426" t="s">
        <v>16422</v>
      </c>
    </row>
    <row r="128" spans="2:5" x14ac:dyDescent="0.2">
      <c r="B128" s="1427" t="s">
        <v>15605</v>
      </c>
      <c r="C128" s="1425" t="s">
        <v>16423</v>
      </c>
      <c r="D128" s="1426" t="s">
        <v>1019</v>
      </c>
      <c r="E128" s="1426" t="s">
        <v>16424</v>
      </c>
    </row>
    <row r="129" spans="2:5" x14ac:dyDescent="0.2">
      <c r="B129" s="1427" t="s">
        <v>15269</v>
      </c>
      <c r="C129" s="1425" t="s">
        <v>16425</v>
      </c>
      <c r="D129" s="1426" t="s">
        <v>1019</v>
      </c>
      <c r="E129" s="1426" t="s">
        <v>16426</v>
      </c>
    </row>
    <row r="130" spans="2:5" x14ac:dyDescent="0.2">
      <c r="B130" s="1427" t="s">
        <v>15842</v>
      </c>
      <c r="C130" s="1425" t="s">
        <v>16427</v>
      </c>
      <c r="D130" s="1426" t="s">
        <v>1019</v>
      </c>
      <c r="E130" s="1426" t="s">
        <v>16428</v>
      </c>
    </row>
    <row r="131" spans="2:5" x14ac:dyDescent="0.2">
      <c r="B131" s="1427" t="s">
        <v>15445</v>
      </c>
      <c r="C131" s="1425" t="s">
        <v>16429</v>
      </c>
      <c r="D131" s="1426" t="s">
        <v>1019</v>
      </c>
      <c r="E131" s="1426" t="s">
        <v>16430</v>
      </c>
    </row>
    <row r="132" spans="2:5" x14ac:dyDescent="0.2">
      <c r="B132" s="1427" t="s">
        <v>15417</v>
      </c>
      <c r="C132" s="1425" t="s">
        <v>16431</v>
      </c>
      <c r="D132" s="1426" t="s">
        <v>1019</v>
      </c>
      <c r="E132" s="1426" t="s">
        <v>16432</v>
      </c>
    </row>
    <row r="133" spans="2:5" x14ac:dyDescent="0.2">
      <c r="B133" s="1427" t="s">
        <v>15908</v>
      </c>
      <c r="C133" s="1425" t="s">
        <v>16433</v>
      </c>
      <c r="D133" s="1426" t="s">
        <v>1019</v>
      </c>
      <c r="E133" s="1426" t="s">
        <v>16434</v>
      </c>
    </row>
    <row r="134" spans="2:5" x14ac:dyDescent="0.2">
      <c r="B134" s="1427" t="s">
        <v>17841</v>
      </c>
      <c r="C134" s="1425" t="s">
        <v>16435</v>
      </c>
      <c r="D134" s="1426" t="s">
        <v>1019</v>
      </c>
      <c r="E134" s="1426" t="s">
        <v>16436</v>
      </c>
    </row>
    <row r="135" spans="2:5" x14ac:dyDescent="0.2">
      <c r="B135" s="1427" t="s">
        <v>17005</v>
      </c>
      <c r="C135" s="1425" t="s">
        <v>17590</v>
      </c>
      <c r="D135" s="1426" t="s">
        <v>1019</v>
      </c>
      <c r="E135" s="1426" t="s">
        <v>17006</v>
      </c>
    </row>
    <row r="136" spans="2:5" x14ac:dyDescent="0.2">
      <c r="B136" s="1427" t="s">
        <v>17166</v>
      </c>
      <c r="C136" s="1425" t="s">
        <v>17415</v>
      </c>
      <c r="D136" s="1426" t="s">
        <v>1019</v>
      </c>
      <c r="E136" s="1426" t="s">
        <v>17416</v>
      </c>
    </row>
    <row r="137" spans="2:5" x14ac:dyDescent="0.2">
      <c r="B137" s="1427" t="s">
        <v>17121</v>
      </c>
      <c r="C137" s="1425" t="s">
        <v>17417</v>
      </c>
      <c r="D137" s="1426" t="s">
        <v>1019</v>
      </c>
      <c r="E137" s="1426" t="s">
        <v>17418</v>
      </c>
    </row>
    <row r="138" spans="2:5" x14ac:dyDescent="0.2">
      <c r="B138" s="1427" t="s">
        <v>17591</v>
      </c>
      <c r="C138" s="1425" t="s">
        <v>17592</v>
      </c>
      <c r="D138" s="1426" t="s">
        <v>1019</v>
      </c>
      <c r="E138" s="1426" t="s">
        <v>17593</v>
      </c>
    </row>
    <row r="139" spans="2:5" x14ac:dyDescent="0.2">
      <c r="B139" s="1427" t="s">
        <v>2753</v>
      </c>
      <c r="C139" s="1425" t="s">
        <v>14877</v>
      </c>
      <c r="D139" s="1426" t="s">
        <v>1021</v>
      </c>
      <c r="E139" s="1426" t="s">
        <v>13053</v>
      </c>
    </row>
    <row r="140" spans="2:5" x14ac:dyDescent="0.2">
      <c r="B140" s="1427" t="s">
        <v>13572</v>
      </c>
      <c r="C140" s="1425" t="s">
        <v>13573</v>
      </c>
      <c r="D140" s="1426" t="s">
        <v>1021</v>
      </c>
      <c r="E140" s="1426" t="s">
        <v>13574</v>
      </c>
    </row>
    <row r="141" spans="2:5" x14ac:dyDescent="0.2">
      <c r="B141" s="1427" t="s">
        <v>13575</v>
      </c>
      <c r="C141" s="1425" t="s">
        <v>13576</v>
      </c>
      <c r="D141" s="1426" t="s">
        <v>1021</v>
      </c>
      <c r="E141" s="1426" t="s">
        <v>13577</v>
      </c>
    </row>
    <row r="142" spans="2:5" x14ac:dyDescent="0.2">
      <c r="B142" s="1427" t="s">
        <v>2794</v>
      </c>
      <c r="C142" s="1425" t="s">
        <v>2935</v>
      </c>
      <c r="D142" s="1426" t="s">
        <v>1021</v>
      </c>
      <c r="E142" s="1426" t="s">
        <v>13054</v>
      </c>
    </row>
    <row r="143" spans="2:5" x14ac:dyDescent="0.2">
      <c r="B143" s="1427" t="s">
        <v>2792</v>
      </c>
      <c r="C143" s="1425" t="s">
        <v>2936</v>
      </c>
      <c r="D143" s="1426" t="s">
        <v>1021</v>
      </c>
      <c r="E143" s="1426" t="s">
        <v>13055</v>
      </c>
    </row>
    <row r="144" spans="2:5" x14ac:dyDescent="0.2">
      <c r="B144" s="1427" t="s">
        <v>2894</v>
      </c>
      <c r="C144" s="1425" t="s">
        <v>2937</v>
      </c>
      <c r="D144" s="1426" t="s">
        <v>1021</v>
      </c>
      <c r="E144" s="1426" t="s">
        <v>13056</v>
      </c>
    </row>
    <row r="145" spans="2:5" x14ac:dyDescent="0.2">
      <c r="B145" s="1427" t="s">
        <v>5307</v>
      </c>
      <c r="C145" s="1425" t="s">
        <v>2938</v>
      </c>
      <c r="D145" s="1426" t="s">
        <v>1021</v>
      </c>
      <c r="E145" s="1426" t="s">
        <v>13057</v>
      </c>
    </row>
    <row r="146" spans="2:5" x14ac:dyDescent="0.2">
      <c r="B146" s="1427" t="s">
        <v>13578</v>
      </c>
      <c r="C146" s="1425" t="s">
        <v>13579</v>
      </c>
      <c r="D146" s="1426" t="s">
        <v>1021</v>
      </c>
      <c r="E146" s="1426" t="s">
        <v>13580</v>
      </c>
    </row>
    <row r="147" spans="2:5" x14ac:dyDescent="0.2">
      <c r="B147" s="1427" t="s">
        <v>2896</v>
      </c>
      <c r="C147" s="1425" t="s">
        <v>2939</v>
      </c>
      <c r="D147" s="1426" t="s">
        <v>1021</v>
      </c>
      <c r="E147" s="1426" t="s">
        <v>13058</v>
      </c>
    </row>
    <row r="148" spans="2:5" x14ac:dyDescent="0.2">
      <c r="B148" s="1427" t="s">
        <v>2775</v>
      </c>
      <c r="C148" s="1425" t="s">
        <v>2940</v>
      </c>
      <c r="D148" s="1426" t="s">
        <v>1021</v>
      </c>
      <c r="E148" s="1426" t="s">
        <v>13059</v>
      </c>
    </row>
    <row r="149" spans="2:5" x14ac:dyDescent="0.2">
      <c r="B149" s="1427" t="s">
        <v>2898</v>
      </c>
      <c r="C149" s="1425" t="s">
        <v>2941</v>
      </c>
      <c r="D149" s="1426" t="s">
        <v>1021</v>
      </c>
      <c r="E149" s="1426" t="s">
        <v>13060</v>
      </c>
    </row>
    <row r="150" spans="2:5" x14ac:dyDescent="0.2">
      <c r="B150" s="1427" t="s">
        <v>2751</v>
      </c>
      <c r="C150" s="1425" t="s">
        <v>2942</v>
      </c>
      <c r="D150" s="1426" t="s">
        <v>1021</v>
      </c>
      <c r="E150" s="1426" t="s">
        <v>13061</v>
      </c>
    </row>
    <row r="151" spans="2:5" x14ac:dyDescent="0.2">
      <c r="B151" s="1427" t="s">
        <v>2897</v>
      </c>
      <c r="C151" s="1425" t="s">
        <v>2943</v>
      </c>
      <c r="D151" s="1426" t="s">
        <v>1021</v>
      </c>
      <c r="E151" s="1426" t="s">
        <v>13062</v>
      </c>
    </row>
    <row r="152" spans="2:5" x14ac:dyDescent="0.2">
      <c r="B152" s="1427" t="s">
        <v>2895</v>
      </c>
      <c r="C152" s="1425" t="s">
        <v>2944</v>
      </c>
      <c r="D152" s="1426" t="s">
        <v>1021</v>
      </c>
      <c r="E152" s="1426" t="s">
        <v>13063</v>
      </c>
    </row>
    <row r="153" spans="2:5" x14ac:dyDescent="0.2">
      <c r="B153" s="1427" t="s">
        <v>2899</v>
      </c>
      <c r="C153" s="1425" t="s">
        <v>2945</v>
      </c>
      <c r="D153" s="1426" t="s">
        <v>1021</v>
      </c>
      <c r="E153" s="1426" t="s">
        <v>13064</v>
      </c>
    </row>
    <row r="154" spans="2:5" x14ac:dyDescent="0.2">
      <c r="B154" s="1427" t="s">
        <v>5308</v>
      </c>
      <c r="C154" s="1425" t="s">
        <v>5323</v>
      </c>
      <c r="D154" s="1426" t="s">
        <v>1021</v>
      </c>
      <c r="E154" s="1426" t="s">
        <v>13065</v>
      </c>
    </row>
    <row r="155" spans="2:5" x14ac:dyDescent="0.2">
      <c r="B155" s="1427" t="s">
        <v>13581</v>
      </c>
      <c r="C155" s="1425" t="s">
        <v>13582</v>
      </c>
      <c r="D155" s="1426" t="s">
        <v>1021</v>
      </c>
      <c r="E155" s="1426" t="s">
        <v>13583</v>
      </c>
    </row>
    <row r="156" spans="2:5" x14ac:dyDescent="0.2">
      <c r="B156" s="1427" t="s">
        <v>5306</v>
      </c>
      <c r="C156" s="1425" t="s">
        <v>5324</v>
      </c>
      <c r="D156" s="1426" t="s">
        <v>1021</v>
      </c>
      <c r="E156" s="1426" t="s">
        <v>13066</v>
      </c>
    </row>
    <row r="157" spans="2:5" x14ac:dyDescent="0.2">
      <c r="B157" s="1427" t="s">
        <v>5315</v>
      </c>
      <c r="C157" s="1425" t="s">
        <v>13584</v>
      </c>
      <c r="D157" s="1426" t="s">
        <v>1021</v>
      </c>
      <c r="E157" s="1426" t="s">
        <v>13585</v>
      </c>
    </row>
    <row r="158" spans="2:5" x14ac:dyDescent="0.2">
      <c r="B158" s="1427" t="s">
        <v>5316</v>
      </c>
      <c r="C158" s="1425" t="s">
        <v>13586</v>
      </c>
      <c r="D158" s="1426" t="s">
        <v>1021</v>
      </c>
      <c r="E158" s="1426" t="s">
        <v>13587</v>
      </c>
    </row>
    <row r="159" spans="2:5" x14ac:dyDescent="0.2">
      <c r="B159" s="1427" t="s">
        <v>5626</v>
      </c>
      <c r="C159" s="1425" t="s">
        <v>5663</v>
      </c>
      <c r="D159" s="1426" t="s">
        <v>1021</v>
      </c>
      <c r="E159" s="1426" t="s">
        <v>13067</v>
      </c>
    </row>
    <row r="160" spans="2:5" x14ac:dyDescent="0.2">
      <c r="B160" s="1427" t="s">
        <v>7320</v>
      </c>
      <c r="C160" s="1425" t="s">
        <v>7755</v>
      </c>
      <c r="D160" s="1426" t="s">
        <v>1021</v>
      </c>
      <c r="E160" s="1426" t="s">
        <v>13068</v>
      </c>
    </row>
    <row r="161" spans="2:5" x14ac:dyDescent="0.2">
      <c r="B161" s="1427" t="s">
        <v>14585</v>
      </c>
      <c r="C161" s="1425" t="s">
        <v>7940</v>
      </c>
      <c r="D161" s="1426" t="s">
        <v>1021</v>
      </c>
      <c r="E161" s="1426" t="s">
        <v>13069</v>
      </c>
    </row>
    <row r="162" spans="2:5" x14ac:dyDescent="0.2">
      <c r="B162" s="1427" t="s">
        <v>7915</v>
      </c>
      <c r="C162" s="1425" t="s">
        <v>7941</v>
      </c>
      <c r="D162" s="1426" t="s">
        <v>1021</v>
      </c>
      <c r="E162" s="1426" t="s">
        <v>13070</v>
      </c>
    </row>
    <row r="163" spans="2:5" x14ac:dyDescent="0.2">
      <c r="B163" s="1427" t="s">
        <v>9481</v>
      </c>
      <c r="C163" s="1425" t="s">
        <v>9453</v>
      </c>
      <c r="D163" s="1426" t="s">
        <v>1021</v>
      </c>
      <c r="E163" s="1426" t="s">
        <v>13071</v>
      </c>
    </row>
    <row r="164" spans="2:5" x14ac:dyDescent="0.2">
      <c r="B164" s="1427" t="s">
        <v>11409</v>
      </c>
      <c r="C164" s="1425" t="s">
        <v>11413</v>
      </c>
      <c r="D164" s="1426" t="s">
        <v>1021</v>
      </c>
      <c r="E164" s="1426" t="s">
        <v>13072</v>
      </c>
    </row>
    <row r="165" spans="2:5" x14ac:dyDescent="0.2">
      <c r="B165" s="1427" t="s">
        <v>13588</v>
      </c>
      <c r="C165" s="1425" t="s">
        <v>2934</v>
      </c>
      <c r="D165" s="1426" t="s">
        <v>1021</v>
      </c>
      <c r="E165" s="1426" t="s">
        <v>13589</v>
      </c>
    </row>
    <row r="166" spans="2:5" x14ac:dyDescent="0.2">
      <c r="B166" s="1427" t="s">
        <v>14584</v>
      </c>
      <c r="C166" s="1425" t="s">
        <v>16437</v>
      </c>
      <c r="D166" s="1426" t="s">
        <v>1021</v>
      </c>
      <c r="E166" s="1426" t="s">
        <v>14878</v>
      </c>
    </row>
    <row r="167" spans="2:5" x14ac:dyDescent="0.2">
      <c r="B167" s="1427" t="s">
        <v>9448</v>
      </c>
      <c r="C167" s="1425" t="s">
        <v>17594</v>
      </c>
      <c r="D167" s="1426" t="s">
        <v>1023</v>
      </c>
      <c r="E167" s="1426" t="s">
        <v>13073</v>
      </c>
    </row>
    <row r="168" spans="2:5" x14ac:dyDescent="0.2">
      <c r="B168" s="1427" t="s">
        <v>2745</v>
      </c>
      <c r="C168" s="1425" t="s">
        <v>2946</v>
      </c>
      <c r="D168" s="1426" t="s">
        <v>1025</v>
      </c>
      <c r="E168" s="1426" t="s">
        <v>13074</v>
      </c>
    </row>
    <row r="169" spans="2:5" x14ac:dyDescent="0.2">
      <c r="B169" s="1427" t="s">
        <v>3041</v>
      </c>
      <c r="C169" s="1425" t="s">
        <v>2947</v>
      </c>
      <c r="D169" s="1426" t="s">
        <v>1025</v>
      </c>
      <c r="E169" s="1426" t="s">
        <v>13075</v>
      </c>
    </row>
    <row r="170" spans="2:5" x14ac:dyDescent="0.2">
      <c r="B170" s="1427" t="s">
        <v>2758</v>
      </c>
      <c r="C170" s="1425" t="s">
        <v>2948</v>
      </c>
      <c r="D170" s="1426" t="s">
        <v>1025</v>
      </c>
      <c r="E170" s="1426" t="s">
        <v>13076</v>
      </c>
    </row>
    <row r="171" spans="2:5" x14ac:dyDescent="0.2">
      <c r="B171" s="1427" t="s">
        <v>3213</v>
      </c>
      <c r="C171" s="1425" t="s">
        <v>2949</v>
      </c>
      <c r="D171" s="1426" t="s">
        <v>1025</v>
      </c>
      <c r="E171" s="1426" t="s">
        <v>13077</v>
      </c>
    </row>
    <row r="172" spans="2:5" x14ac:dyDescent="0.2">
      <c r="B172" s="1427" t="s">
        <v>2760</v>
      </c>
      <c r="C172" s="1425" t="s">
        <v>2950</v>
      </c>
      <c r="D172" s="1426" t="s">
        <v>1025</v>
      </c>
      <c r="E172" s="1426" t="s">
        <v>13078</v>
      </c>
    </row>
    <row r="173" spans="2:5" x14ac:dyDescent="0.2">
      <c r="B173" s="1427" t="s">
        <v>2790</v>
      </c>
      <c r="C173" s="1425" t="s">
        <v>2951</v>
      </c>
      <c r="D173" s="1426" t="s">
        <v>1025</v>
      </c>
      <c r="E173" s="1426" t="s">
        <v>13079</v>
      </c>
    </row>
    <row r="174" spans="2:5" x14ac:dyDescent="0.2">
      <c r="B174" s="1427" t="s">
        <v>7905</v>
      </c>
      <c r="C174" s="1425" t="s">
        <v>2952</v>
      </c>
      <c r="D174" s="1426" t="s">
        <v>1025</v>
      </c>
      <c r="E174" s="1426" t="s">
        <v>13080</v>
      </c>
    </row>
    <row r="175" spans="2:5" x14ac:dyDescent="0.2">
      <c r="B175" s="1427" t="s">
        <v>2793</v>
      </c>
      <c r="C175" s="1425" t="s">
        <v>2953</v>
      </c>
      <c r="D175" s="1426" t="s">
        <v>1025</v>
      </c>
      <c r="E175" s="1426" t="s">
        <v>13081</v>
      </c>
    </row>
    <row r="176" spans="2:5" x14ac:dyDescent="0.2">
      <c r="B176" s="1427" t="s">
        <v>10246</v>
      </c>
      <c r="C176" s="1425" t="s">
        <v>2954</v>
      </c>
      <c r="D176" s="1426" t="s">
        <v>1025</v>
      </c>
      <c r="E176" s="1426" t="s">
        <v>13082</v>
      </c>
    </row>
    <row r="177" spans="2:5" x14ac:dyDescent="0.2">
      <c r="B177" s="1427" t="s">
        <v>11324</v>
      </c>
      <c r="C177" s="1425" t="s">
        <v>7889</v>
      </c>
      <c r="D177" s="1426" t="s">
        <v>1025</v>
      </c>
      <c r="E177" s="1426" t="s">
        <v>13083</v>
      </c>
    </row>
    <row r="178" spans="2:5" x14ac:dyDescent="0.2">
      <c r="B178" s="1427" t="s">
        <v>2768</v>
      </c>
      <c r="C178" s="1425" t="s">
        <v>2955</v>
      </c>
      <c r="D178" s="1426" t="s">
        <v>1025</v>
      </c>
      <c r="E178" s="1426" t="s">
        <v>13084</v>
      </c>
    </row>
    <row r="179" spans="2:5" x14ac:dyDescent="0.2">
      <c r="B179" s="1427" t="s">
        <v>10263</v>
      </c>
      <c r="C179" s="1425" t="s">
        <v>7756</v>
      </c>
      <c r="D179" s="1426" t="s">
        <v>1025</v>
      </c>
      <c r="E179" s="1426" t="s">
        <v>13085</v>
      </c>
    </row>
    <row r="180" spans="2:5" x14ac:dyDescent="0.2">
      <c r="B180" s="1427" t="s">
        <v>2788</v>
      </c>
      <c r="C180" s="1425" t="s">
        <v>11414</v>
      </c>
      <c r="D180" s="1426" t="s">
        <v>1025</v>
      </c>
      <c r="E180" s="1426" t="s">
        <v>13086</v>
      </c>
    </row>
    <row r="181" spans="2:5" x14ac:dyDescent="0.2">
      <c r="B181" s="1427" t="s">
        <v>5309</v>
      </c>
      <c r="C181" s="1425" t="s">
        <v>5326</v>
      </c>
      <c r="D181" s="1426" t="s">
        <v>1025</v>
      </c>
      <c r="E181" s="1426" t="s">
        <v>13087</v>
      </c>
    </row>
    <row r="182" spans="2:5" x14ac:dyDescent="0.2">
      <c r="B182" s="1427" t="s">
        <v>10251</v>
      </c>
      <c r="C182" s="1425" t="s">
        <v>5327</v>
      </c>
      <c r="D182" s="1426" t="s">
        <v>1025</v>
      </c>
      <c r="E182" s="1426" t="s">
        <v>13088</v>
      </c>
    </row>
    <row r="183" spans="2:5" x14ac:dyDescent="0.2">
      <c r="B183" s="1427" t="s">
        <v>7285</v>
      </c>
      <c r="C183" s="1425" t="s">
        <v>7757</v>
      </c>
      <c r="D183" s="1426" t="s">
        <v>1025</v>
      </c>
      <c r="E183" s="1426" t="s">
        <v>13089</v>
      </c>
    </row>
    <row r="184" spans="2:5" x14ac:dyDescent="0.2">
      <c r="B184" s="1427" t="s">
        <v>7839</v>
      </c>
      <c r="C184" s="1425" t="s">
        <v>7890</v>
      </c>
      <c r="D184" s="1426" t="s">
        <v>1025</v>
      </c>
      <c r="E184" s="1426" t="s">
        <v>13090</v>
      </c>
    </row>
    <row r="185" spans="2:5" x14ac:dyDescent="0.2">
      <c r="B185" s="1427" t="s">
        <v>10265</v>
      </c>
      <c r="C185" s="1425" t="s">
        <v>7891</v>
      </c>
      <c r="D185" s="1426" t="s">
        <v>1025</v>
      </c>
      <c r="E185" s="1426" t="s">
        <v>13091</v>
      </c>
    </row>
    <row r="186" spans="2:5" x14ac:dyDescent="0.2">
      <c r="B186" s="1427" t="s">
        <v>10266</v>
      </c>
      <c r="C186" s="1425" t="s">
        <v>7892</v>
      </c>
      <c r="D186" s="1426" t="s">
        <v>1025</v>
      </c>
      <c r="E186" s="1426" t="s">
        <v>13092</v>
      </c>
    </row>
    <row r="187" spans="2:5" x14ac:dyDescent="0.2">
      <c r="B187" s="1427" t="s">
        <v>10264</v>
      </c>
      <c r="C187" s="1425" t="s">
        <v>9455</v>
      </c>
      <c r="D187" s="1426" t="s">
        <v>1025</v>
      </c>
      <c r="E187" s="1426" t="s">
        <v>13093</v>
      </c>
    </row>
    <row r="188" spans="2:5" x14ac:dyDescent="0.2">
      <c r="B188" s="1427" t="s">
        <v>9449</v>
      </c>
      <c r="C188" s="1425" t="s">
        <v>9456</v>
      </c>
      <c r="D188" s="1426" t="s">
        <v>1025</v>
      </c>
      <c r="E188" s="1426" t="s">
        <v>13094</v>
      </c>
    </row>
    <row r="189" spans="2:5" x14ac:dyDescent="0.2">
      <c r="B189" s="1427" t="s">
        <v>14596</v>
      </c>
      <c r="C189" s="1425" t="s">
        <v>10924</v>
      </c>
      <c r="D189" s="1426" t="s">
        <v>1025</v>
      </c>
      <c r="E189" s="1426" t="s">
        <v>13095</v>
      </c>
    </row>
    <row r="190" spans="2:5" x14ac:dyDescent="0.2">
      <c r="B190" s="1427" t="s">
        <v>10920</v>
      </c>
      <c r="C190" s="1425" t="s">
        <v>10925</v>
      </c>
      <c r="D190" s="1426" t="s">
        <v>1025</v>
      </c>
      <c r="E190" s="1426" t="s">
        <v>13096</v>
      </c>
    </row>
    <row r="191" spans="2:5" x14ac:dyDescent="0.2">
      <c r="B191" s="1427" t="s">
        <v>15175</v>
      </c>
      <c r="C191" s="1425" t="s">
        <v>16438</v>
      </c>
      <c r="D191" s="1426" t="s">
        <v>1025</v>
      </c>
      <c r="E191" s="1426" t="s">
        <v>13097</v>
      </c>
    </row>
    <row r="192" spans="2:5" x14ac:dyDescent="0.2">
      <c r="B192" s="1427" t="s">
        <v>17170</v>
      </c>
      <c r="C192" s="1425" t="s">
        <v>13475</v>
      </c>
      <c r="D192" s="1426" t="s">
        <v>1025</v>
      </c>
      <c r="E192" s="1426" t="s">
        <v>13476</v>
      </c>
    </row>
    <row r="193" spans="2:5" x14ac:dyDescent="0.2">
      <c r="B193" s="1427" t="s">
        <v>13590</v>
      </c>
      <c r="C193" s="1425" t="s">
        <v>13591</v>
      </c>
      <c r="D193" s="1426" t="s">
        <v>1025</v>
      </c>
      <c r="E193" s="1426" t="s">
        <v>13592</v>
      </c>
    </row>
    <row r="194" spans="2:5" x14ac:dyDescent="0.2">
      <c r="B194" s="1427" t="s">
        <v>16439</v>
      </c>
      <c r="C194" s="1425" t="s">
        <v>16440</v>
      </c>
      <c r="D194" s="1426" t="s">
        <v>1025</v>
      </c>
      <c r="E194" s="1426" t="s">
        <v>16441</v>
      </c>
    </row>
    <row r="195" spans="2:5" x14ac:dyDescent="0.2">
      <c r="B195" s="1427" t="s">
        <v>17419</v>
      </c>
      <c r="C195" s="1425" t="s">
        <v>3000</v>
      </c>
      <c r="D195" s="1426" t="s">
        <v>1025</v>
      </c>
      <c r="E195" s="1426" t="s">
        <v>17420</v>
      </c>
    </row>
    <row r="196" spans="2:5" x14ac:dyDescent="0.2">
      <c r="B196" s="1427" t="s">
        <v>2764</v>
      </c>
      <c r="C196" s="1425" t="s">
        <v>17595</v>
      </c>
      <c r="D196" s="1426" t="s">
        <v>1033</v>
      </c>
      <c r="E196" s="1426" t="s">
        <v>14883</v>
      </c>
    </row>
    <row r="197" spans="2:5" x14ac:dyDescent="0.2">
      <c r="B197" s="1427" t="s">
        <v>16442</v>
      </c>
      <c r="C197" s="1425" t="s">
        <v>17596</v>
      </c>
      <c r="D197" s="1426" t="s">
        <v>1033</v>
      </c>
      <c r="E197" s="1426" t="s">
        <v>16443</v>
      </c>
    </row>
    <row r="198" spans="2:5" x14ac:dyDescent="0.2">
      <c r="B198" s="1427" t="s">
        <v>2749</v>
      </c>
      <c r="C198" s="1425" t="s">
        <v>2956</v>
      </c>
      <c r="D198" s="1426" t="s">
        <v>1037</v>
      </c>
      <c r="E198" s="1426" t="s">
        <v>13098</v>
      </c>
    </row>
    <row r="199" spans="2:5" x14ac:dyDescent="0.2">
      <c r="B199" s="1427" t="s">
        <v>7873</v>
      </c>
      <c r="C199" s="1425" t="s">
        <v>2957</v>
      </c>
      <c r="D199" s="1426" t="s">
        <v>1037</v>
      </c>
      <c r="E199" s="1426" t="s">
        <v>13099</v>
      </c>
    </row>
    <row r="200" spans="2:5" x14ac:dyDescent="0.2">
      <c r="B200" s="1427" t="s">
        <v>10269</v>
      </c>
      <c r="C200" s="1425" t="s">
        <v>2958</v>
      </c>
      <c r="D200" s="1426" t="s">
        <v>1037</v>
      </c>
      <c r="E200" s="1426" t="s">
        <v>13100</v>
      </c>
    </row>
    <row r="201" spans="2:5" x14ac:dyDescent="0.2">
      <c r="B201" s="1427" t="s">
        <v>2750</v>
      </c>
      <c r="C201" s="1425" t="s">
        <v>2959</v>
      </c>
      <c r="D201" s="1426" t="s">
        <v>1037</v>
      </c>
      <c r="E201" s="1426" t="s">
        <v>13101</v>
      </c>
    </row>
    <row r="202" spans="2:5" x14ac:dyDescent="0.2">
      <c r="B202" s="1427" t="s">
        <v>11467</v>
      </c>
      <c r="C202" s="1425" t="s">
        <v>2960</v>
      </c>
      <c r="D202" s="1426" t="s">
        <v>1037</v>
      </c>
      <c r="E202" s="1426" t="s">
        <v>13102</v>
      </c>
    </row>
    <row r="203" spans="2:5" x14ac:dyDescent="0.2">
      <c r="B203" s="1427" t="s">
        <v>2901</v>
      </c>
      <c r="C203" s="1425" t="s">
        <v>2961</v>
      </c>
      <c r="D203" s="1426" t="s">
        <v>1037</v>
      </c>
      <c r="E203" s="1426" t="s">
        <v>13103</v>
      </c>
    </row>
    <row r="204" spans="2:5" x14ac:dyDescent="0.2">
      <c r="B204" s="1427" t="s">
        <v>7878</v>
      </c>
      <c r="C204" s="1425" t="s">
        <v>2962</v>
      </c>
      <c r="D204" s="1426" t="s">
        <v>1037</v>
      </c>
      <c r="E204" s="1426" t="s">
        <v>13104</v>
      </c>
    </row>
    <row r="205" spans="2:5" x14ac:dyDescent="0.2">
      <c r="B205" s="1427" t="s">
        <v>15245</v>
      </c>
      <c r="C205" s="1425" t="s">
        <v>2963</v>
      </c>
      <c r="D205" s="1426" t="s">
        <v>1037</v>
      </c>
      <c r="E205" s="1426" t="s">
        <v>13105</v>
      </c>
    </row>
    <row r="206" spans="2:5" x14ac:dyDescent="0.2">
      <c r="B206" s="1427" t="s">
        <v>2784</v>
      </c>
      <c r="C206" s="1425" t="s">
        <v>2964</v>
      </c>
      <c r="D206" s="1426" t="s">
        <v>1037</v>
      </c>
      <c r="E206" s="1426" t="s">
        <v>13106</v>
      </c>
    </row>
    <row r="207" spans="2:5" x14ac:dyDescent="0.2">
      <c r="B207" s="1427" t="s">
        <v>433</v>
      </c>
      <c r="C207" s="1425" t="s">
        <v>2965</v>
      </c>
      <c r="D207" s="1426" t="s">
        <v>1037</v>
      </c>
      <c r="E207" s="1426" t="s">
        <v>13107</v>
      </c>
    </row>
    <row r="208" spans="2:5" x14ac:dyDescent="0.2">
      <c r="B208" s="1427" t="s">
        <v>10270</v>
      </c>
      <c r="C208" s="1425" t="s">
        <v>2966</v>
      </c>
      <c r="D208" s="1426" t="s">
        <v>1037</v>
      </c>
      <c r="E208" s="1426" t="s">
        <v>13108</v>
      </c>
    </row>
    <row r="209" spans="2:5" x14ac:dyDescent="0.2">
      <c r="B209" s="1427" t="s">
        <v>2759</v>
      </c>
      <c r="C209" s="1425" t="s">
        <v>2967</v>
      </c>
      <c r="D209" s="1426" t="s">
        <v>1037</v>
      </c>
      <c r="E209" s="1426" t="s">
        <v>13109</v>
      </c>
    </row>
    <row r="210" spans="2:5" x14ac:dyDescent="0.2">
      <c r="B210" s="1427" t="s">
        <v>10262</v>
      </c>
      <c r="C210" s="1425" t="s">
        <v>2968</v>
      </c>
      <c r="D210" s="1426" t="s">
        <v>1037</v>
      </c>
      <c r="E210" s="1426" t="s">
        <v>13110</v>
      </c>
    </row>
    <row r="211" spans="2:5" x14ac:dyDescent="0.2">
      <c r="B211" s="1427" t="s">
        <v>2782</v>
      </c>
      <c r="C211" s="1425" t="s">
        <v>2969</v>
      </c>
      <c r="D211" s="1426" t="s">
        <v>1037</v>
      </c>
      <c r="E211" s="1426" t="s">
        <v>13111</v>
      </c>
    </row>
    <row r="212" spans="2:5" x14ac:dyDescent="0.2">
      <c r="B212" s="1427" t="s">
        <v>2773</v>
      </c>
      <c r="C212" s="1425" t="s">
        <v>2970</v>
      </c>
      <c r="D212" s="1426" t="s">
        <v>1037</v>
      </c>
      <c r="E212" s="1426" t="s">
        <v>13112</v>
      </c>
    </row>
    <row r="213" spans="2:5" x14ac:dyDescent="0.2">
      <c r="B213" s="1427" t="s">
        <v>2777</v>
      </c>
      <c r="C213" s="1425" t="s">
        <v>2971</v>
      </c>
      <c r="D213" s="1426" t="s">
        <v>1037</v>
      </c>
      <c r="E213" s="1426" t="s">
        <v>13113</v>
      </c>
    </row>
    <row r="214" spans="2:5" x14ac:dyDescent="0.2">
      <c r="B214" s="1427" t="s">
        <v>2765</v>
      </c>
      <c r="C214" s="1425" t="s">
        <v>2972</v>
      </c>
      <c r="D214" s="1426" t="s">
        <v>1037</v>
      </c>
      <c r="E214" s="1426" t="s">
        <v>13114</v>
      </c>
    </row>
    <row r="215" spans="2:5" x14ac:dyDescent="0.2">
      <c r="B215" s="1427" t="s">
        <v>2776</v>
      </c>
      <c r="C215" s="1425" t="s">
        <v>2973</v>
      </c>
      <c r="D215" s="1426" t="s">
        <v>1037</v>
      </c>
      <c r="E215" s="1426" t="s">
        <v>13115</v>
      </c>
    </row>
    <row r="216" spans="2:5" x14ac:dyDescent="0.2">
      <c r="B216" s="1427" t="s">
        <v>2787</v>
      </c>
      <c r="C216" s="1425" t="s">
        <v>2974</v>
      </c>
      <c r="D216" s="1426" t="s">
        <v>1037</v>
      </c>
      <c r="E216" s="1426" t="s">
        <v>13116</v>
      </c>
    </row>
    <row r="217" spans="2:5" x14ac:dyDescent="0.2">
      <c r="B217" s="1427" t="s">
        <v>15232</v>
      </c>
      <c r="C217" s="1425" t="s">
        <v>2975</v>
      </c>
      <c r="D217" s="1426" t="s">
        <v>1037</v>
      </c>
      <c r="E217" s="1426" t="s">
        <v>13117</v>
      </c>
    </row>
    <row r="218" spans="2:5" x14ac:dyDescent="0.2">
      <c r="B218" s="1427" t="s">
        <v>7867</v>
      </c>
      <c r="C218" s="1425" t="s">
        <v>2976</v>
      </c>
      <c r="D218" s="1426" t="s">
        <v>1037</v>
      </c>
      <c r="E218" s="1426" t="s">
        <v>13118</v>
      </c>
    </row>
    <row r="219" spans="2:5" x14ac:dyDescent="0.2">
      <c r="B219" s="1427" t="s">
        <v>7872</v>
      </c>
      <c r="C219" s="1425" t="s">
        <v>2977</v>
      </c>
      <c r="D219" s="1426" t="s">
        <v>1037</v>
      </c>
      <c r="E219" s="1426" t="s">
        <v>13119</v>
      </c>
    </row>
    <row r="220" spans="2:5" x14ac:dyDescent="0.2">
      <c r="B220" s="1427" t="s">
        <v>7874</v>
      </c>
      <c r="C220" s="1425" t="s">
        <v>2978</v>
      </c>
      <c r="D220" s="1426" t="s">
        <v>1037</v>
      </c>
      <c r="E220" s="1426" t="s">
        <v>13120</v>
      </c>
    </row>
    <row r="221" spans="2:5" x14ac:dyDescent="0.2">
      <c r="B221" s="1427" t="s">
        <v>15290</v>
      </c>
      <c r="C221" s="1425" t="s">
        <v>2979</v>
      </c>
      <c r="D221" s="1426" t="s">
        <v>1037</v>
      </c>
      <c r="E221" s="1426" t="s">
        <v>13121</v>
      </c>
    </row>
    <row r="222" spans="2:5" x14ac:dyDescent="0.2">
      <c r="B222" s="1427" t="s">
        <v>7876</v>
      </c>
      <c r="C222" s="1425" t="s">
        <v>2980</v>
      </c>
      <c r="D222" s="1426" t="s">
        <v>1037</v>
      </c>
      <c r="E222" s="1426" t="s">
        <v>13122</v>
      </c>
    </row>
    <row r="223" spans="2:5" x14ac:dyDescent="0.2">
      <c r="B223" s="1427" t="s">
        <v>2900</v>
      </c>
      <c r="C223" s="1425" t="s">
        <v>2981</v>
      </c>
      <c r="D223" s="1426" t="s">
        <v>1037</v>
      </c>
      <c r="E223" s="1426" t="s">
        <v>13123</v>
      </c>
    </row>
    <row r="224" spans="2:5" x14ac:dyDescent="0.2">
      <c r="B224" s="1427" t="s">
        <v>5311</v>
      </c>
      <c r="C224" s="1425" t="s">
        <v>9600</v>
      </c>
      <c r="D224" s="1426" t="s">
        <v>1037</v>
      </c>
      <c r="E224" s="1426" t="s">
        <v>13124</v>
      </c>
    </row>
    <row r="225" spans="2:5" x14ac:dyDescent="0.2">
      <c r="B225" s="1427" t="s">
        <v>2761</v>
      </c>
      <c r="C225" s="1425" t="s">
        <v>2982</v>
      </c>
      <c r="D225" s="1426" t="s">
        <v>1037</v>
      </c>
      <c r="E225" s="1426" t="s">
        <v>13125</v>
      </c>
    </row>
    <row r="226" spans="2:5" x14ac:dyDescent="0.2">
      <c r="B226" s="1427" t="s">
        <v>16843</v>
      </c>
      <c r="C226" s="1425" t="s">
        <v>2983</v>
      </c>
      <c r="D226" s="1426" t="s">
        <v>1037</v>
      </c>
      <c r="E226" s="1426" t="s">
        <v>13126</v>
      </c>
    </row>
    <row r="227" spans="2:5" x14ac:dyDescent="0.2">
      <c r="B227" s="1427" t="s">
        <v>2780</v>
      </c>
      <c r="C227" s="1425" t="s">
        <v>2984</v>
      </c>
      <c r="D227" s="1426" t="s">
        <v>1037</v>
      </c>
      <c r="E227" s="1426" t="s">
        <v>13127</v>
      </c>
    </row>
    <row r="228" spans="2:5" x14ac:dyDescent="0.2">
      <c r="B228" s="1427" t="s">
        <v>7879</v>
      </c>
      <c r="C228" s="1425" t="s">
        <v>2985</v>
      </c>
      <c r="D228" s="1426" t="s">
        <v>1037</v>
      </c>
      <c r="E228" s="1426" t="s">
        <v>13128</v>
      </c>
    </row>
    <row r="229" spans="2:5" x14ac:dyDescent="0.2">
      <c r="B229" s="1427" t="s">
        <v>13593</v>
      </c>
      <c r="C229" s="1425" t="s">
        <v>2986</v>
      </c>
      <c r="D229" s="1426" t="s">
        <v>1037</v>
      </c>
      <c r="E229" s="1426" t="s">
        <v>13129</v>
      </c>
    </row>
    <row r="230" spans="2:5" x14ac:dyDescent="0.2">
      <c r="B230" s="1427" t="s">
        <v>10271</v>
      </c>
      <c r="C230" s="1425" t="s">
        <v>2987</v>
      </c>
      <c r="D230" s="1426" t="s">
        <v>1037</v>
      </c>
      <c r="E230" s="1426" t="s">
        <v>13130</v>
      </c>
    </row>
    <row r="231" spans="2:5" x14ac:dyDescent="0.2">
      <c r="B231" s="1427" t="s">
        <v>3614</v>
      </c>
      <c r="C231" s="1425" t="s">
        <v>5328</v>
      </c>
      <c r="D231" s="1426" t="s">
        <v>1037</v>
      </c>
      <c r="E231" s="1426" t="s">
        <v>13131</v>
      </c>
    </row>
    <row r="232" spans="2:5" x14ac:dyDescent="0.2">
      <c r="B232" s="1427" t="s">
        <v>16444</v>
      </c>
      <c r="C232" s="1425" t="s">
        <v>16445</v>
      </c>
      <c r="D232" s="1426" t="s">
        <v>1037</v>
      </c>
      <c r="E232" s="1426" t="s">
        <v>16446</v>
      </c>
    </row>
    <row r="233" spans="2:5" x14ac:dyDescent="0.2">
      <c r="B233" s="1427" t="s">
        <v>5551</v>
      </c>
      <c r="C233" s="1425" t="s">
        <v>5664</v>
      </c>
      <c r="D233" s="1426" t="s">
        <v>1037</v>
      </c>
      <c r="E233" s="1426" t="s">
        <v>13132</v>
      </c>
    </row>
    <row r="234" spans="2:5" x14ac:dyDescent="0.2">
      <c r="B234" s="1427" t="s">
        <v>16447</v>
      </c>
      <c r="C234" s="1425" t="s">
        <v>16448</v>
      </c>
      <c r="D234" s="1426" t="s">
        <v>1037</v>
      </c>
      <c r="E234" s="1426" t="s">
        <v>16449</v>
      </c>
    </row>
    <row r="235" spans="2:5" x14ac:dyDescent="0.2">
      <c r="B235" s="1427" t="s">
        <v>13477</v>
      </c>
      <c r="C235" s="1425" t="s">
        <v>7758</v>
      </c>
      <c r="D235" s="1426" t="s">
        <v>1037</v>
      </c>
      <c r="E235" s="1426" t="s">
        <v>13133</v>
      </c>
    </row>
    <row r="236" spans="2:5" x14ac:dyDescent="0.2">
      <c r="B236" s="1427" t="s">
        <v>11326</v>
      </c>
      <c r="C236" s="1425" t="s">
        <v>7759</v>
      </c>
      <c r="D236" s="1426" t="s">
        <v>1037</v>
      </c>
      <c r="E236" s="1426" t="s">
        <v>13134</v>
      </c>
    </row>
    <row r="237" spans="2:5" x14ac:dyDescent="0.2">
      <c r="B237" s="1427" t="s">
        <v>10274</v>
      </c>
      <c r="C237" s="1425" t="s">
        <v>7760</v>
      </c>
      <c r="D237" s="1426" t="s">
        <v>1037</v>
      </c>
      <c r="E237" s="1426" t="s">
        <v>13135</v>
      </c>
    </row>
    <row r="238" spans="2:5" x14ac:dyDescent="0.2">
      <c r="B238" s="1427" t="s">
        <v>10272</v>
      </c>
      <c r="C238" s="1425" t="s">
        <v>7761</v>
      </c>
      <c r="D238" s="1426" t="s">
        <v>1037</v>
      </c>
      <c r="E238" s="1426" t="s">
        <v>13136</v>
      </c>
    </row>
    <row r="239" spans="2:5" x14ac:dyDescent="0.2">
      <c r="B239" s="1427" t="s">
        <v>13594</v>
      </c>
      <c r="C239" s="1425" t="s">
        <v>7762</v>
      </c>
      <c r="D239" s="1426" t="s">
        <v>1037</v>
      </c>
      <c r="E239" s="1426" t="s">
        <v>13137</v>
      </c>
    </row>
    <row r="240" spans="2:5" x14ac:dyDescent="0.2">
      <c r="B240" s="1427" t="s">
        <v>7877</v>
      </c>
      <c r="C240" s="1425" t="s">
        <v>7893</v>
      </c>
      <c r="D240" s="1426" t="s">
        <v>1037</v>
      </c>
      <c r="E240" s="1426" t="s">
        <v>13138</v>
      </c>
    </row>
    <row r="241" spans="2:5" x14ac:dyDescent="0.2">
      <c r="B241" s="1427" t="s">
        <v>11325</v>
      </c>
      <c r="C241" s="1425" t="s">
        <v>7894</v>
      </c>
      <c r="D241" s="1426" t="s">
        <v>1037</v>
      </c>
      <c r="E241" s="1426" t="s">
        <v>13139</v>
      </c>
    </row>
    <row r="242" spans="2:5" x14ac:dyDescent="0.2">
      <c r="B242" s="1427" t="s">
        <v>16450</v>
      </c>
      <c r="C242" s="1425" t="s">
        <v>16451</v>
      </c>
      <c r="D242" s="1426" t="s">
        <v>1037</v>
      </c>
      <c r="E242" s="1426" t="s">
        <v>16452</v>
      </c>
    </row>
    <row r="243" spans="2:5" x14ac:dyDescent="0.2">
      <c r="B243" s="1427" t="s">
        <v>7880</v>
      </c>
      <c r="C243" s="1425" t="s">
        <v>7895</v>
      </c>
      <c r="D243" s="1426" t="s">
        <v>1037</v>
      </c>
      <c r="E243" s="1426" t="s">
        <v>13140</v>
      </c>
    </row>
    <row r="244" spans="2:5" x14ac:dyDescent="0.2">
      <c r="B244" s="1427" t="s">
        <v>7881</v>
      </c>
      <c r="C244" s="1425" t="s">
        <v>7896</v>
      </c>
      <c r="D244" s="1426" t="s">
        <v>1037</v>
      </c>
      <c r="E244" s="1426" t="s">
        <v>13141</v>
      </c>
    </row>
    <row r="245" spans="2:5" x14ac:dyDescent="0.2">
      <c r="B245" s="1427" t="s">
        <v>16453</v>
      </c>
      <c r="C245" s="1425" t="s">
        <v>16454</v>
      </c>
      <c r="D245" s="1426" t="s">
        <v>1037</v>
      </c>
      <c r="E245" s="1426" t="s">
        <v>16455</v>
      </c>
    </row>
    <row r="246" spans="2:5" x14ac:dyDescent="0.2">
      <c r="B246" s="1427" t="s">
        <v>16456</v>
      </c>
      <c r="C246" s="1425" t="s">
        <v>16457</v>
      </c>
      <c r="D246" s="1426" t="s">
        <v>1037</v>
      </c>
      <c r="E246" s="1426" t="s">
        <v>16458</v>
      </c>
    </row>
    <row r="247" spans="2:5" x14ac:dyDescent="0.2">
      <c r="B247" s="1427" t="s">
        <v>16459</v>
      </c>
      <c r="C247" s="1425" t="s">
        <v>16460</v>
      </c>
      <c r="D247" s="1426" t="s">
        <v>1037</v>
      </c>
      <c r="E247" s="1426" t="s">
        <v>16461</v>
      </c>
    </row>
    <row r="248" spans="2:5" x14ac:dyDescent="0.2">
      <c r="B248" s="1427" t="s">
        <v>9700</v>
      </c>
      <c r="C248" s="1425" t="s">
        <v>9706</v>
      </c>
      <c r="D248" s="1426" t="s">
        <v>1037</v>
      </c>
      <c r="E248" s="1426" t="s">
        <v>13142</v>
      </c>
    </row>
    <row r="249" spans="2:5" x14ac:dyDescent="0.2">
      <c r="B249" s="1427" t="s">
        <v>10268</v>
      </c>
      <c r="C249" s="1425" t="s">
        <v>9457</v>
      </c>
      <c r="D249" s="1426" t="s">
        <v>1037</v>
      </c>
      <c r="E249" s="1426" t="s">
        <v>13143</v>
      </c>
    </row>
    <row r="250" spans="2:5" x14ac:dyDescent="0.2">
      <c r="B250" s="1427" t="s">
        <v>11328</v>
      </c>
      <c r="C250" s="1425" t="s">
        <v>9459</v>
      </c>
      <c r="D250" s="1426" t="s">
        <v>1037</v>
      </c>
      <c r="E250" s="1426" t="s">
        <v>13144</v>
      </c>
    </row>
    <row r="251" spans="2:5" x14ac:dyDescent="0.2">
      <c r="B251" s="1427" t="s">
        <v>9698</v>
      </c>
      <c r="C251" s="1425" t="s">
        <v>9707</v>
      </c>
      <c r="D251" s="1426" t="s">
        <v>1037</v>
      </c>
      <c r="E251" s="1426" t="s">
        <v>13145</v>
      </c>
    </row>
    <row r="252" spans="2:5" x14ac:dyDescent="0.2">
      <c r="B252" s="1427" t="s">
        <v>8865</v>
      </c>
      <c r="C252" s="1425" t="s">
        <v>9460</v>
      </c>
      <c r="D252" s="1426" t="s">
        <v>1037</v>
      </c>
      <c r="E252" s="1426" t="s">
        <v>13146</v>
      </c>
    </row>
    <row r="253" spans="2:5" x14ac:dyDescent="0.2">
      <c r="B253" s="1427" t="s">
        <v>14879</v>
      </c>
      <c r="C253" s="1425" t="s">
        <v>7909</v>
      </c>
      <c r="D253" s="1426" t="s">
        <v>1037</v>
      </c>
      <c r="E253" s="1426" t="s">
        <v>13147</v>
      </c>
    </row>
    <row r="254" spans="2:5" x14ac:dyDescent="0.2">
      <c r="B254" s="1427" t="s">
        <v>8866</v>
      </c>
      <c r="C254" s="1425" t="s">
        <v>9461</v>
      </c>
      <c r="D254" s="1426" t="s">
        <v>1037</v>
      </c>
      <c r="E254" s="1426" t="s">
        <v>13148</v>
      </c>
    </row>
    <row r="255" spans="2:5" x14ac:dyDescent="0.2">
      <c r="B255" s="1427" t="s">
        <v>11329</v>
      </c>
      <c r="C255" s="1425" t="s">
        <v>9708</v>
      </c>
      <c r="D255" s="1426" t="s">
        <v>1037</v>
      </c>
      <c r="E255" s="1426" t="s">
        <v>13149</v>
      </c>
    </row>
    <row r="256" spans="2:5" x14ac:dyDescent="0.2">
      <c r="B256" s="1427" t="s">
        <v>13595</v>
      </c>
      <c r="C256" s="1425" t="s">
        <v>9710</v>
      </c>
      <c r="D256" s="1426" t="s">
        <v>1037</v>
      </c>
      <c r="E256" s="1426" t="s">
        <v>13150</v>
      </c>
    </row>
    <row r="257" spans="2:5" x14ac:dyDescent="0.2">
      <c r="B257" s="1427" t="s">
        <v>9699</v>
      </c>
      <c r="C257" s="1425" t="s">
        <v>9711</v>
      </c>
      <c r="D257" s="1426" t="s">
        <v>1037</v>
      </c>
      <c r="E257" s="1426" t="s">
        <v>13151</v>
      </c>
    </row>
    <row r="258" spans="2:5" x14ac:dyDescent="0.2">
      <c r="B258" s="1427" t="s">
        <v>9696</v>
      </c>
      <c r="C258" s="1425" t="s">
        <v>9712</v>
      </c>
      <c r="D258" s="1426" t="s">
        <v>1037</v>
      </c>
      <c r="E258" s="1426" t="s">
        <v>13152</v>
      </c>
    </row>
    <row r="259" spans="2:5" x14ac:dyDescent="0.2">
      <c r="B259" s="1427" t="s">
        <v>13596</v>
      </c>
      <c r="C259" s="1425" t="s">
        <v>9713</v>
      </c>
      <c r="D259" s="1426" t="s">
        <v>1037</v>
      </c>
      <c r="E259" s="1426" t="s">
        <v>13153</v>
      </c>
    </row>
    <row r="260" spans="2:5" x14ac:dyDescent="0.2">
      <c r="B260" s="1427" t="s">
        <v>11330</v>
      </c>
      <c r="C260" s="1425" t="s">
        <v>9714</v>
      </c>
      <c r="D260" s="1426" t="s">
        <v>1037</v>
      </c>
      <c r="E260" s="1426" t="s">
        <v>13154</v>
      </c>
    </row>
    <row r="261" spans="2:5" x14ac:dyDescent="0.2">
      <c r="B261" s="1427" t="s">
        <v>9701</v>
      </c>
      <c r="C261" s="1425" t="s">
        <v>9715</v>
      </c>
      <c r="D261" s="1426" t="s">
        <v>1037</v>
      </c>
      <c r="E261" s="1426" t="s">
        <v>13155</v>
      </c>
    </row>
    <row r="262" spans="2:5" x14ac:dyDescent="0.2">
      <c r="B262" s="1427" t="s">
        <v>11327</v>
      </c>
      <c r="C262" s="1425" t="s">
        <v>9716</v>
      </c>
      <c r="D262" s="1426" t="s">
        <v>1037</v>
      </c>
      <c r="E262" s="1426" t="s">
        <v>13156</v>
      </c>
    </row>
    <row r="263" spans="2:5" x14ac:dyDescent="0.2">
      <c r="B263" s="1427" t="s">
        <v>9703</v>
      </c>
      <c r="C263" s="1425" t="s">
        <v>9717</v>
      </c>
      <c r="D263" s="1426" t="s">
        <v>1037</v>
      </c>
      <c r="E263" s="1426" t="s">
        <v>13157</v>
      </c>
    </row>
    <row r="264" spans="2:5" x14ac:dyDescent="0.2">
      <c r="B264" s="1427" t="s">
        <v>16462</v>
      </c>
      <c r="C264" s="1425" t="s">
        <v>16463</v>
      </c>
      <c r="D264" s="1426" t="s">
        <v>1037</v>
      </c>
      <c r="E264" s="1426" t="s">
        <v>16464</v>
      </c>
    </row>
    <row r="265" spans="2:5" x14ac:dyDescent="0.2">
      <c r="B265" s="1427" t="s">
        <v>9702</v>
      </c>
      <c r="C265" s="1425" t="s">
        <v>9718</v>
      </c>
      <c r="D265" s="1426" t="s">
        <v>1037</v>
      </c>
      <c r="E265" s="1426" t="s">
        <v>13158</v>
      </c>
    </row>
    <row r="266" spans="2:5" x14ac:dyDescent="0.2">
      <c r="B266" s="1427" t="s">
        <v>9822</v>
      </c>
      <c r="C266" s="1425" t="s">
        <v>9823</v>
      </c>
      <c r="D266" s="1426" t="s">
        <v>1037</v>
      </c>
      <c r="E266" s="1426" t="s">
        <v>13159</v>
      </c>
    </row>
    <row r="267" spans="2:5" x14ac:dyDescent="0.2">
      <c r="B267" s="1427" t="s">
        <v>10275</v>
      </c>
      <c r="C267" s="1425" t="s">
        <v>10296</v>
      </c>
      <c r="D267" s="1426" t="s">
        <v>1037</v>
      </c>
      <c r="E267" s="1426" t="s">
        <v>13160</v>
      </c>
    </row>
    <row r="268" spans="2:5" x14ac:dyDescent="0.2">
      <c r="B268" s="1427" t="s">
        <v>10273</v>
      </c>
      <c r="C268" s="1425" t="s">
        <v>5329</v>
      </c>
      <c r="D268" s="1426" t="s">
        <v>1037</v>
      </c>
      <c r="E268" s="1426" t="s">
        <v>13161</v>
      </c>
    </row>
    <row r="269" spans="2:5" x14ac:dyDescent="0.2">
      <c r="B269" s="1427" t="s">
        <v>10292</v>
      </c>
      <c r="C269" s="1425" t="s">
        <v>10297</v>
      </c>
      <c r="D269" s="1426" t="s">
        <v>1037</v>
      </c>
      <c r="E269" s="1426" t="s">
        <v>13162</v>
      </c>
    </row>
    <row r="270" spans="2:5" x14ac:dyDescent="0.2">
      <c r="B270" s="1427" t="s">
        <v>16465</v>
      </c>
      <c r="C270" s="1425" t="s">
        <v>16466</v>
      </c>
      <c r="D270" s="1426" t="s">
        <v>1037</v>
      </c>
      <c r="E270" s="1426" t="s">
        <v>16467</v>
      </c>
    </row>
    <row r="271" spans="2:5" x14ac:dyDescent="0.2">
      <c r="B271" s="1427" t="s">
        <v>16468</v>
      </c>
      <c r="C271" s="1425" t="s">
        <v>16469</v>
      </c>
      <c r="D271" s="1426" t="s">
        <v>1037</v>
      </c>
      <c r="E271" s="1426" t="s">
        <v>16470</v>
      </c>
    </row>
    <row r="272" spans="2:5" x14ac:dyDescent="0.2">
      <c r="B272" s="1427" t="s">
        <v>16471</v>
      </c>
      <c r="C272" s="1425" t="s">
        <v>16472</v>
      </c>
      <c r="D272" s="1426" t="s">
        <v>1037</v>
      </c>
      <c r="E272" s="1426" t="s">
        <v>16473</v>
      </c>
    </row>
    <row r="273" spans="2:5" x14ac:dyDescent="0.2">
      <c r="B273" s="1427" t="s">
        <v>10922</v>
      </c>
      <c r="C273" s="1425" t="s">
        <v>10926</v>
      </c>
      <c r="D273" s="1426" t="s">
        <v>1037</v>
      </c>
      <c r="E273" s="1426" t="s">
        <v>13163</v>
      </c>
    </row>
    <row r="274" spans="2:5" x14ac:dyDescent="0.2">
      <c r="B274" s="1427" t="s">
        <v>11179</v>
      </c>
      <c r="C274" s="1425" t="s">
        <v>5325</v>
      </c>
      <c r="D274" s="1426" t="s">
        <v>1037</v>
      </c>
      <c r="E274" s="1426" t="s">
        <v>13164</v>
      </c>
    </row>
    <row r="275" spans="2:5" x14ac:dyDescent="0.2">
      <c r="B275" s="1427" t="s">
        <v>16474</v>
      </c>
      <c r="C275" s="1425" t="s">
        <v>16475</v>
      </c>
      <c r="D275" s="1426" t="s">
        <v>1037</v>
      </c>
      <c r="E275" s="1426" t="s">
        <v>16476</v>
      </c>
    </row>
    <row r="276" spans="2:5" x14ac:dyDescent="0.2">
      <c r="B276" s="1427" t="s">
        <v>11468</v>
      </c>
      <c r="C276" s="1425" t="s">
        <v>11469</v>
      </c>
      <c r="D276" s="1426" t="s">
        <v>1037</v>
      </c>
      <c r="E276" s="1426" t="s">
        <v>13165</v>
      </c>
    </row>
    <row r="277" spans="2:5" x14ac:dyDescent="0.2">
      <c r="B277" s="1427" t="s">
        <v>13312</v>
      </c>
      <c r="C277" s="1425" t="s">
        <v>13478</v>
      </c>
      <c r="D277" s="1426" t="s">
        <v>1037</v>
      </c>
      <c r="E277" s="1426" t="s">
        <v>13479</v>
      </c>
    </row>
    <row r="278" spans="2:5" x14ac:dyDescent="0.2">
      <c r="B278" s="1427" t="s">
        <v>13324</v>
      </c>
      <c r="C278" s="1425" t="s">
        <v>13480</v>
      </c>
      <c r="D278" s="1426" t="s">
        <v>1037</v>
      </c>
      <c r="E278" s="1426" t="s">
        <v>13481</v>
      </c>
    </row>
    <row r="279" spans="2:5" x14ac:dyDescent="0.2">
      <c r="B279" s="1427" t="s">
        <v>13353</v>
      </c>
      <c r="C279" s="1425" t="s">
        <v>13482</v>
      </c>
      <c r="D279" s="1426" t="s">
        <v>1037</v>
      </c>
      <c r="E279" s="1426" t="s">
        <v>13483</v>
      </c>
    </row>
    <row r="280" spans="2:5" x14ac:dyDescent="0.2">
      <c r="B280" s="1427" t="s">
        <v>13321</v>
      </c>
      <c r="C280" s="1425" t="s">
        <v>13484</v>
      </c>
      <c r="D280" s="1426" t="s">
        <v>1037</v>
      </c>
      <c r="E280" s="1426" t="s">
        <v>13485</v>
      </c>
    </row>
    <row r="281" spans="2:5" x14ac:dyDescent="0.2">
      <c r="B281" s="1427" t="s">
        <v>13316</v>
      </c>
      <c r="C281" s="1425" t="s">
        <v>13486</v>
      </c>
      <c r="D281" s="1426" t="s">
        <v>1037</v>
      </c>
      <c r="E281" s="1426" t="s">
        <v>13487</v>
      </c>
    </row>
    <row r="282" spans="2:5" x14ac:dyDescent="0.2">
      <c r="B282" s="1427" t="s">
        <v>13488</v>
      </c>
      <c r="C282" s="1425" t="s">
        <v>13489</v>
      </c>
      <c r="D282" s="1426" t="s">
        <v>1037</v>
      </c>
      <c r="E282" s="1426" t="s">
        <v>13490</v>
      </c>
    </row>
    <row r="283" spans="2:5" x14ac:dyDescent="0.2">
      <c r="B283" s="1427" t="s">
        <v>16477</v>
      </c>
      <c r="C283" s="1425" t="s">
        <v>16478</v>
      </c>
      <c r="D283" s="1426" t="s">
        <v>1037</v>
      </c>
      <c r="E283" s="1426" t="s">
        <v>16479</v>
      </c>
    </row>
    <row r="284" spans="2:5" x14ac:dyDescent="0.2">
      <c r="B284" s="1427" t="s">
        <v>16480</v>
      </c>
      <c r="C284" s="1425" t="s">
        <v>16481</v>
      </c>
      <c r="D284" s="1426" t="s">
        <v>1037</v>
      </c>
      <c r="E284" s="1426" t="s">
        <v>16482</v>
      </c>
    </row>
    <row r="285" spans="2:5" x14ac:dyDescent="0.2">
      <c r="B285" s="1427" t="s">
        <v>16483</v>
      </c>
      <c r="C285" s="1425" t="s">
        <v>16484</v>
      </c>
      <c r="D285" s="1426" t="s">
        <v>1037</v>
      </c>
      <c r="E285" s="1426" t="s">
        <v>16485</v>
      </c>
    </row>
    <row r="286" spans="2:5" x14ac:dyDescent="0.2">
      <c r="B286" s="1427" t="s">
        <v>15293</v>
      </c>
      <c r="C286" s="1425" t="s">
        <v>16486</v>
      </c>
      <c r="D286" s="1426" t="s">
        <v>1037</v>
      </c>
      <c r="E286" s="1426" t="s">
        <v>16487</v>
      </c>
    </row>
    <row r="287" spans="2:5" x14ac:dyDescent="0.2">
      <c r="B287" s="1427" t="s">
        <v>16488</v>
      </c>
      <c r="C287" s="1425" t="s">
        <v>17597</v>
      </c>
      <c r="D287" s="1426" t="s">
        <v>1037</v>
      </c>
      <c r="E287" s="1426" t="s">
        <v>16489</v>
      </c>
    </row>
    <row r="288" spans="2:5" x14ac:dyDescent="0.2">
      <c r="B288" s="1427" t="s">
        <v>16490</v>
      </c>
      <c r="C288" s="1425" t="s">
        <v>16394</v>
      </c>
      <c r="D288" s="1426" t="s">
        <v>1037</v>
      </c>
      <c r="E288" s="1426" t="s">
        <v>16491</v>
      </c>
    </row>
    <row r="289" spans="2:5" x14ac:dyDescent="0.2">
      <c r="B289" s="1427" t="s">
        <v>15288</v>
      </c>
      <c r="C289" s="1425" t="s">
        <v>16492</v>
      </c>
      <c r="D289" s="1426" t="s">
        <v>1037</v>
      </c>
      <c r="E289" s="1426" t="s">
        <v>16493</v>
      </c>
    </row>
    <row r="290" spans="2:5" x14ac:dyDescent="0.2">
      <c r="B290" s="1427" t="s">
        <v>16494</v>
      </c>
      <c r="C290" s="1425" t="s">
        <v>16495</v>
      </c>
      <c r="D290" s="1426" t="s">
        <v>1037</v>
      </c>
      <c r="E290" s="1426" t="s">
        <v>16496</v>
      </c>
    </row>
    <row r="291" spans="2:5" x14ac:dyDescent="0.2">
      <c r="B291" s="1427" t="s">
        <v>16497</v>
      </c>
      <c r="C291" s="1425" t="s">
        <v>9458</v>
      </c>
      <c r="D291" s="1426" t="s">
        <v>1037</v>
      </c>
      <c r="E291" s="1426" t="s">
        <v>16498</v>
      </c>
    </row>
    <row r="292" spans="2:5" x14ac:dyDescent="0.2">
      <c r="B292" s="1427" t="s">
        <v>15207</v>
      </c>
      <c r="C292" s="1425" t="s">
        <v>16499</v>
      </c>
      <c r="D292" s="1426" t="s">
        <v>1037</v>
      </c>
      <c r="E292" s="1426" t="s">
        <v>16500</v>
      </c>
    </row>
    <row r="293" spans="2:5" x14ac:dyDescent="0.2">
      <c r="B293" s="1427" t="s">
        <v>16501</v>
      </c>
      <c r="C293" s="1425" t="s">
        <v>16502</v>
      </c>
      <c r="D293" s="1426" t="s">
        <v>1037</v>
      </c>
      <c r="E293" s="1426" t="s">
        <v>16503</v>
      </c>
    </row>
    <row r="294" spans="2:5" x14ac:dyDescent="0.2">
      <c r="B294" s="1427" t="s">
        <v>17179</v>
      </c>
      <c r="C294" s="1425" t="s">
        <v>17421</v>
      </c>
      <c r="D294" s="1426" t="s">
        <v>1037</v>
      </c>
      <c r="E294" s="1426" t="s">
        <v>17422</v>
      </c>
    </row>
    <row r="295" spans="2:5" x14ac:dyDescent="0.2">
      <c r="B295" s="1427" t="s">
        <v>17423</v>
      </c>
      <c r="C295" s="1425" t="s">
        <v>14884</v>
      </c>
      <c r="D295" s="1426" t="s">
        <v>1037</v>
      </c>
      <c r="E295" s="1426" t="s">
        <v>17424</v>
      </c>
    </row>
    <row r="296" spans="2:5" x14ac:dyDescent="0.2">
      <c r="B296" s="1427" t="s">
        <v>5508</v>
      </c>
      <c r="C296" s="1425" t="s">
        <v>2988</v>
      </c>
      <c r="D296" s="1426" t="s">
        <v>1041</v>
      </c>
      <c r="E296" s="1426" t="s">
        <v>13166</v>
      </c>
    </row>
    <row r="297" spans="2:5" x14ac:dyDescent="0.2">
      <c r="B297" s="1427" t="s">
        <v>14707</v>
      </c>
      <c r="C297" s="1425" t="s">
        <v>14881</v>
      </c>
      <c r="D297" s="1426" t="s">
        <v>1041</v>
      </c>
      <c r="E297" s="1426" t="s">
        <v>16504</v>
      </c>
    </row>
    <row r="298" spans="2:5" x14ac:dyDescent="0.2">
      <c r="B298" s="1427" t="s">
        <v>14700</v>
      </c>
      <c r="C298" s="1425" t="s">
        <v>14882</v>
      </c>
      <c r="D298" s="1426" t="s">
        <v>1041</v>
      </c>
      <c r="E298" s="1426" t="s">
        <v>16505</v>
      </c>
    </row>
    <row r="299" spans="2:5" x14ac:dyDescent="0.2">
      <c r="B299" s="1427" t="s">
        <v>7906</v>
      </c>
      <c r="C299" s="1425" t="s">
        <v>7910</v>
      </c>
      <c r="D299" s="1426" t="s">
        <v>1041</v>
      </c>
      <c r="E299" s="1426" t="s">
        <v>13167</v>
      </c>
    </row>
    <row r="300" spans="2:5" x14ac:dyDescent="0.2">
      <c r="B300" s="1427" t="s">
        <v>9626</v>
      </c>
      <c r="C300" s="1425" t="s">
        <v>9627</v>
      </c>
      <c r="D300" s="1426" t="s">
        <v>1041</v>
      </c>
      <c r="E300" s="1426" t="s">
        <v>13168</v>
      </c>
    </row>
    <row r="301" spans="2:5" x14ac:dyDescent="0.2">
      <c r="B301" s="1427" t="s">
        <v>10276</v>
      </c>
      <c r="C301" s="1425" t="s">
        <v>10298</v>
      </c>
      <c r="D301" s="1426" t="s">
        <v>1041</v>
      </c>
      <c r="E301" s="1426" t="s">
        <v>13169</v>
      </c>
    </row>
    <row r="302" spans="2:5" x14ac:dyDescent="0.2">
      <c r="B302" s="1427" t="s">
        <v>14711</v>
      </c>
      <c r="C302" s="1425" t="s">
        <v>14880</v>
      </c>
      <c r="D302" s="1426" t="s">
        <v>1041</v>
      </c>
      <c r="E302" s="1426" t="s">
        <v>13170</v>
      </c>
    </row>
    <row r="303" spans="2:5" x14ac:dyDescent="0.2">
      <c r="B303" s="1427" t="s">
        <v>17232</v>
      </c>
      <c r="C303" s="1425" t="s">
        <v>11334</v>
      </c>
      <c r="D303" s="1426" t="s">
        <v>1041</v>
      </c>
      <c r="E303" s="1426" t="s">
        <v>13171</v>
      </c>
    </row>
    <row r="304" spans="2:5" x14ac:dyDescent="0.2">
      <c r="B304" s="1427" t="s">
        <v>17237</v>
      </c>
      <c r="C304" s="1425" t="s">
        <v>17425</v>
      </c>
      <c r="D304" s="1426" t="s">
        <v>1041</v>
      </c>
      <c r="E304" s="1426" t="s">
        <v>17426</v>
      </c>
    </row>
    <row r="305" spans="2:5" x14ac:dyDescent="0.2">
      <c r="B305" s="1427" t="s">
        <v>17234</v>
      </c>
      <c r="C305" s="1425" t="s">
        <v>17427</v>
      </c>
      <c r="D305" s="1426" t="s">
        <v>1041</v>
      </c>
      <c r="E305" s="1426" t="s">
        <v>17428</v>
      </c>
    </row>
    <row r="306" spans="2:5" x14ac:dyDescent="0.2">
      <c r="B306" s="1427" t="s">
        <v>17246</v>
      </c>
      <c r="C306" s="1425" t="s">
        <v>17429</v>
      </c>
      <c r="D306" s="1426" t="s">
        <v>1041</v>
      </c>
      <c r="E306" s="1426" t="s">
        <v>17430</v>
      </c>
    </row>
    <row r="307" spans="2:5" x14ac:dyDescent="0.2">
      <c r="B307" s="1427" t="s">
        <v>17239</v>
      </c>
      <c r="C307" s="1425" t="s">
        <v>17431</v>
      </c>
      <c r="D307" s="1426" t="s">
        <v>1041</v>
      </c>
      <c r="E307" s="1426" t="s">
        <v>17432</v>
      </c>
    </row>
    <row r="308" spans="2:5" x14ac:dyDescent="0.2">
      <c r="B308" s="1427" t="s">
        <v>17235</v>
      </c>
      <c r="C308" s="1425" t="s">
        <v>17433</v>
      </c>
      <c r="D308" s="1426" t="s">
        <v>1041</v>
      </c>
      <c r="E308" s="1426" t="s">
        <v>17434</v>
      </c>
    </row>
    <row r="309" spans="2:5" x14ac:dyDescent="0.2">
      <c r="B309" s="1427" t="s">
        <v>17301</v>
      </c>
      <c r="C309" s="1425" t="s">
        <v>17435</v>
      </c>
      <c r="D309" s="1426" t="s">
        <v>1041</v>
      </c>
      <c r="E309" s="1426" t="s">
        <v>17436</v>
      </c>
    </row>
    <row r="310" spans="2:5" x14ac:dyDescent="0.2">
      <c r="B310" s="1427" t="s">
        <v>17290</v>
      </c>
      <c r="C310" s="1425" t="s">
        <v>17437</v>
      </c>
      <c r="D310" s="1426" t="s">
        <v>1041</v>
      </c>
      <c r="E310" s="1426" t="s">
        <v>17438</v>
      </c>
    </row>
    <row r="311" spans="2:5" x14ac:dyDescent="0.2">
      <c r="B311" s="1427" t="s">
        <v>17236</v>
      </c>
      <c r="C311" s="1425" t="s">
        <v>17598</v>
      </c>
      <c r="D311" s="1426" t="s">
        <v>1041</v>
      </c>
      <c r="E311" s="1426" t="s">
        <v>17439</v>
      </c>
    </row>
    <row r="312" spans="2:5" x14ac:dyDescent="0.2">
      <c r="B312" s="1427" t="s">
        <v>17238</v>
      </c>
      <c r="C312" s="1425" t="s">
        <v>17440</v>
      </c>
      <c r="D312" s="1426" t="s">
        <v>1041</v>
      </c>
      <c r="E312" s="1426" t="s">
        <v>17441</v>
      </c>
    </row>
    <row r="313" spans="2:5" x14ac:dyDescent="0.2">
      <c r="B313" s="1427" t="s">
        <v>17233</v>
      </c>
      <c r="C313" s="1425" t="s">
        <v>17442</v>
      </c>
      <c r="D313" s="1426" t="s">
        <v>1041</v>
      </c>
      <c r="E313" s="1426" t="s">
        <v>17443</v>
      </c>
    </row>
    <row r="314" spans="2:5" x14ac:dyDescent="0.2">
      <c r="B314" s="1427" t="s">
        <v>10247</v>
      </c>
      <c r="C314" s="1425" t="s">
        <v>2989</v>
      </c>
      <c r="D314" s="1426" t="s">
        <v>1045</v>
      </c>
      <c r="E314" s="1426" t="s">
        <v>13172</v>
      </c>
    </row>
    <row r="315" spans="2:5" x14ac:dyDescent="0.2">
      <c r="B315" s="1427" t="s">
        <v>11331</v>
      </c>
      <c r="C315" s="1425" t="s">
        <v>10984</v>
      </c>
      <c r="D315" s="1426" t="s">
        <v>1045</v>
      </c>
      <c r="E315" s="1426" t="s">
        <v>13173</v>
      </c>
    </row>
    <row r="316" spans="2:5" x14ac:dyDescent="0.2">
      <c r="B316" s="1427" t="s">
        <v>10253</v>
      </c>
      <c r="C316" s="1425" t="s">
        <v>2990</v>
      </c>
      <c r="D316" s="1426" t="s">
        <v>1045</v>
      </c>
      <c r="E316" s="1426" t="s">
        <v>13174</v>
      </c>
    </row>
    <row r="317" spans="2:5" x14ac:dyDescent="0.2">
      <c r="B317" s="1427" t="s">
        <v>5317</v>
      </c>
      <c r="C317" s="1425" t="s">
        <v>5330</v>
      </c>
      <c r="D317" s="1426" t="s">
        <v>1045</v>
      </c>
      <c r="E317" s="1426" t="s">
        <v>13175</v>
      </c>
    </row>
    <row r="318" spans="2:5" x14ac:dyDescent="0.2">
      <c r="B318" s="1427" t="s">
        <v>2763</v>
      </c>
      <c r="C318" s="1425" t="s">
        <v>2991</v>
      </c>
      <c r="D318" s="1426" t="s">
        <v>1051</v>
      </c>
      <c r="E318" s="1426" t="s">
        <v>13176</v>
      </c>
    </row>
    <row r="319" spans="2:5" x14ac:dyDescent="0.2">
      <c r="B319" s="1427" t="s">
        <v>2770</v>
      </c>
      <c r="C319" s="1425" t="s">
        <v>2992</v>
      </c>
      <c r="D319" s="1426" t="s">
        <v>1051</v>
      </c>
      <c r="E319" s="1426" t="s">
        <v>13177</v>
      </c>
    </row>
    <row r="320" spans="2:5" x14ac:dyDescent="0.2">
      <c r="B320" s="1427" t="s">
        <v>7184</v>
      </c>
      <c r="C320" s="1425" t="s">
        <v>7185</v>
      </c>
      <c r="D320" s="1426" t="s">
        <v>1051</v>
      </c>
      <c r="E320" s="1426" t="s">
        <v>13178</v>
      </c>
    </row>
    <row r="321" spans="2:5" x14ac:dyDescent="0.2">
      <c r="B321" s="1427" t="s">
        <v>2785</v>
      </c>
      <c r="C321" s="1425" t="s">
        <v>16506</v>
      </c>
      <c r="D321" s="1426" t="s">
        <v>1055</v>
      </c>
      <c r="E321" s="1426" t="s">
        <v>16507</v>
      </c>
    </row>
    <row r="322" spans="2:5" x14ac:dyDescent="0.2">
      <c r="B322" s="1427" t="s">
        <v>9598</v>
      </c>
      <c r="C322" s="1425" t="s">
        <v>9601</v>
      </c>
      <c r="D322" s="1426" t="s">
        <v>1055</v>
      </c>
      <c r="E322" s="1426" t="s">
        <v>13179</v>
      </c>
    </row>
    <row r="323" spans="2:5" x14ac:dyDescent="0.2">
      <c r="B323" s="1427" t="s">
        <v>2903</v>
      </c>
      <c r="C323" s="1425" t="s">
        <v>16508</v>
      </c>
      <c r="D323" s="1426" t="s">
        <v>1057</v>
      </c>
      <c r="E323" s="1426" t="s">
        <v>16509</v>
      </c>
    </row>
    <row r="324" spans="2:5" x14ac:dyDescent="0.2">
      <c r="B324" s="1427" t="s">
        <v>5312</v>
      </c>
      <c r="C324" s="1425" t="s">
        <v>16510</v>
      </c>
      <c r="D324" s="1426" t="s">
        <v>1057</v>
      </c>
      <c r="E324" s="1426" t="s">
        <v>16511</v>
      </c>
    </row>
    <row r="325" spans="2:5" x14ac:dyDescent="0.2">
      <c r="B325" s="1427" t="s">
        <v>15281</v>
      </c>
      <c r="C325" s="1425" t="s">
        <v>16512</v>
      </c>
      <c r="D325" s="1426" t="s">
        <v>1057</v>
      </c>
      <c r="E325" s="1426" t="s">
        <v>16513</v>
      </c>
    </row>
    <row r="326" spans="2:5" x14ac:dyDescent="0.2">
      <c r="B326" s="1427" t="s">
        <v>10277</v>
      </c>
      <c r="C326" s="1425" t="s">
        <v>2993</v>
      </c>
      <c r="D326" s="1426" t="s">
        <v>17007</v>
      </c>
      <c r="E326" s="1426" t="s">
        <v>13180</v>
      </c>
    </row>
    <row r="327" spans="2:5" x14ac:dyDescent="0.2">
      <c r="B327" s="1427" t="s">
        <v>5314</v>
      </c>
      <c r="C327" s="1425" t="s">
        <v>5331</v>
      </c>
      <c r="D327" s="1426" t="s">
        <v>17007</v>
      </c>
      <c r="E327" s="1426" t="s">
        <v>13181</v>
      </c>
    </row>
    <row r="328" spans="2:5" x14ac:dyDescent="0.2">
      <c r="B328" s="1427" t="s">
        <v>15138</v>
      </c>
      <c r="C328" s="1425" t="s">
        <v>16514</v>
      </c>
      <c r="D328" s="1426" t="s">
        <v>17007</v>
      </c>
      <c r="E328" s="1426" t="s">
        <v>13182</v>
      </c>
    </row>
    <row r="329" spans="2:5" x14ac:dyDescent="0.2">
      <c r="B329" s="1427" t="s">
        <v>7936</v>
      </c>
      <c r="C329" s="1425" t="s">
        <v>7942</v>
      </c>
      <c r="D329" s="1426" t="s">
        <v>17007</v>
      </c>
      <c r="E329" s="1426" t="s">
        <v>13183</v>
      </c>
    </row>
    <row r="330" spans="2:5" x14ac:dyDescent="0.2">
      <c r="B330" s="1427" t="s">
        <v>10278</v>
      </c>
      <c r="C330" s="1425" t="s">
        <v>7943</v>
      </c>
      <c r="D330" s="1426" t="s">
        <v>17007</v>
      </c>
      <c r="E330" s="1426" t="s">
        <v>13184</v>
      </c>
    </row>
    <row r="331" spans="2:5" x14ac:dyDescent="0.2">
      <c r="B331" s="1427" t="s">
        <v>11332</v>
      </c>
      <c r="C331" s="1425" t="s">
        <v>9469</v>
      </c>
      <c r="D331" s="1426" t="s">
        <v>17007</v>
      </c>
      <c r="E331" s="1426" t="s">
        <v>13185</v>
      </c>
    </row>
    <row r="332" spans="2:5" x14ac:dyDescent="0.2">
      <c r="B332" s="1427" t="s">
        <v>13597</v>
      </c>
      <c r="C332" s="1425" t="s">
        <v>13598</v>
      </c>
      <c r="D332" s="1426" t="s">
        <v>17007</v>
      </c>
      <c r="E332" s="1426" t="s">
        <v>13599</v>
      </c>
    </row>
    <row r="333" spans="2:5" x14ac:dyDescent="0.2">
      <c r="B333" s="1427" t="s">
        <v>16515</v>
      </c>
      <c r="C333" s="1425" t="s">
        <v>16516</v>
      </c>
      <c r="D333" s="1426" t="s">
        <v>17007</v>
      </c>
      <c r="E333" s="1426" t="s">
        <v>16517</v>
      </c>
    </row>
    <row r="334" spans="2:5" x14ac:dyDescent="0.2">
      <c r="B334" s="1427" t="s">
        <v>17008</v>
      </c>
      <c r="C334" s="1425" t="s">
        <v>17599</v>
      </c>
      <c r="D334" s="1426" t="s">
        <v>17009</v>
      </c>
      <c r="E334" s="1426" t="s">
        <v>17010</v>
      </c>
    </row>
    <row r="335" spans="2:5" x14ac:dyDescent="0.2">
      <c r="B335" s="1427" t="s">
        <v>15582</v>
      </c>
      <c r="C335" s="1425" t="s">
        <v>17011</v>
      </c>
      <c r="D335" s="1426" t="s">
        <v>17009</v>
      </c>
      <c r="E335" s="1426" t="s">
        <v>17012</v>
      </c>
    </row>
    <row r="336" spans="2:5" x14ac:dyDescent="0.2">
      <c r="B336" s="1427" t="s">
        <v>17013</v>
      </c>
      <c r="C336" s="1425" t="s">
        <v>9454</v>
      </c>
      <c r="D336" s="1426" t="s">
        <v>17009</v>
      </c>
      <c r="E336" s="1426" t="s">
        <v>17014</v>
      </c>
    </row>
    <row r="337" spans="2:5" x14ac:dyDescent="0.2">
      <c r="B337" s="1427" t="s">
        <v>11532</v>
      </c>
      <c r="C337" s="1425" t="s">
        <v>11535</v>
      </c>
      <c r="D337" s="1426" t="s">
        <v>1065</v>
      </c>
      <c r="E337" s="1426" t="s">
        <v>13186</v>
      </c>
    </row>
    <row r="338" spans="2:5" x14ac:dyDescent="0.2">
      <c r="B338" s="1427" t="s">
        <v>11323</v>
      </c>
      <c r="C338" s="1425" t="s">
        <v>11335</v>
      </c>
      <c r="D338" s="1426" t="s">
        <v>1069</v>
      </c>
      <c r="E338" s="1426" t="s">
        <v>13187</v>
      </c>
    </row>
    <row r="339" spans="2:5" x14ac:dyDescent="0.2">
      <c r="B339" s="1427" t="s">
        <v>2771</v>
      </c>
      <c r="C339" s="1425" t="s">
        <v>2994</v>
      </c>
      <c r="D339" s="1426" t="s">
        <v>1069</v>
      </c>
      <c r="E339" s="1426" t="s">
        <v>13188</v>
      </c>
    </row>
    <row r="340" spans="2:5" x14ac:dyDescent="0.2">
      <c r="B340" s="1427" t="s">
        <v>7267</v>
      </c>
      <c r="C340" s="1425" t="s">
        <v>7763</v>
      </c>
      <c r="D340" s="1426" t="s">
        <v>1069</v>
      </c>
      <c r="E340" s="1426" t="s">
        <v>13189</v>
      </c>
    </row>
    <row r="341" spans="2:5" x14ac:dyDescent="0.2">
      <c r="B341" s="1427" t="s">
        <v>13600</v>
      </c>
      <c r="C341" s="1425" t="s">
        <v>13601</v>
      </c>
      <c r="D341" s="1426" t="s">
        <v>1069</v>
      </c>
      <c r="E341" s="1426" t="s">
        <v>13602</v>
      </c>
    </row>
    <row r="342" spans="2:5" x14ac:dyDescent="0.2">
      <c r="B342" s="1427" t="s">
        <v>7270</v>
      </c>
      <c r="C342" s="1425" t="s">
        <v>16518</v>
      </c>
      <c r="D342" s="1426" t="s">
        <v>7916</v>
      </c>
      <c r="E342" s="1426" t="s">
        <v>16519</v>
      </c>
    </row>
    <row r="343" spans="2:5" x14ac:dyDescent="0.2">
      <c r="B343" s="1427" t="s">
        <v>2762</v>
      </c>
      <c r="C343" s="1425" t="s">
        <v>16520</v>
      </c>
      <c r="D343" s="1426" t="s">
        <v>7916</v>
      </c>
      <c r="E343" s="1426" t="s">
        <v>16521</v>
      </c>
    </row>
    <row r="344" spans="2:5" x14ac:dyDescent="0.2">
      <c r="B344" s="1427" t="s">
        <v>8716</v>
      </c>
      <c r="C344" s="1425" t="s">
        <v>16522</v>
      </c>
      <c r="D344" s="1426" t="s">
        <v>7916</v>
      </c>
      <c r="E344" s="1426" t="s">
        <v>16523</v>
      </c>
    </row>
    <row r="345" spans="2:5" x14ac:dyDescent="0.2">
      <c r="B345" s="1427" t="s">
        <v>2767</v>
      </c>
      <c r="C345" s="1425" t="s">
        <v>16524</v>
      </c>
      <c r="D345" s="1426" t="s">
        <v>7916</v>
      </c>
      <c r="E345" s="1426" t="s">
        <v>16525</v>
      </c>
    </row>
    <row r="346" spans="2:5" x14ac:dyDescent="0.2">
      <c r="B346" s="1427" t="s">
        <v>8717</v>
      </c>
      <c r="C346" s="1425" t="s">
        <v>16526</v>
      </c>
      <c r="D346" s="1426" t="s">
        <v>7916</v>
      </c>
      <c r="E346" s="1426" t="s">
        <v>16527</v>
      </c>
    </row>
    <row r="347" spans="2:5" x14ac:dyDescent="0.2">
      <c r="B347" s="1427" t="s">
        <v>2904</v>
      </c>
      <c r="C347" s="1425" t="s">
        <v>2995</v>
      </c>
      <c r="D347" s="1426" t="s">
        <v>1074</v>
      </c>
      <c r="E347" s="1426" t="s">
        <v>13190</v>
      </c>
    </row>
    <row r="348" spans="2:5" x14ac:dyDescent="0.2">
      <c r="B348" s="1427" t="s">
        <v>10279</v>
      </c>
      <c r="C348" s="1425" t="s">
        <v>5665</v>
      </c>
      <c r="D348" s="1426" t="s">
        <v>1074</v>
      </c>
      <c r="E348" s="1426" t="s">
        <v>13191</v>
      </c>
    </row>
    <row r="349" spans="2:5" x14ac:dyDescent="0.2">
      <c r="B349" s="1427" t="s">
        <v>11180</v>
      </c>
      <c r="C349" s="1425" t="s">
        <v>11336</v>
      </c>
      <c r="D349" s="1426" t="s">
        <v>1074</v>
      </c>
      <c r="E349" s="1426" t="s">
        <v>13192</v>
      </c>
    </row>
    <row r="350" spans="2:5" x14ac:dyDescent="0.2">
      <c r="B350" s="1427" t="s">
        <v>14830</v>
      </c>
      <c r="C350" s="1425" t="s">
        <v>17600</v>
      </c>
      <c r="D350" s="1426" t="s">
        <v>14827</v>
      </c>
      <c r="E350" s="1426" t="s">
        <v>14885</v>
      </c>
    </row>
    <row r="351" spans="2:5" x14ac:dyDescent="0.2">
      <c r="B351" s="1427" t="s">
        <v>2756</v>
      </c>
      <c r="C351" s="1425" t="s">
        <v>2996</v>
      </c>
      <c r="D351" s="1426" t="s">
        <v>1079</v>
      </c>
      <c r="E351" s="1426" t="s">
        <v>13193</v>
      </c>
    </row>
    <row r="352" spans="2:5" x14ac:dyDescent="0.2">
      <c r="B352" s="1427" t="s">
        <v>10280</v>
      </c>
      <c r="C352" s="1425" t="s">
        <v>2997</v>
      </c>
      <c r="D352" s="1426" t="s">
        <v>1079</v>
      </c>
      <c r="E352" s="1426" t="s">
        <v>13194</v>
      </c>
    </row>
    <row r="353" spans="2:5" x14ac:dyDescent="0.2">
      <c r="B353" s="1427" t="s">
        <v>9451</v>
      </c>
      <c r="C353" s="1425" t="s">
        <v>2998</v>
      </c>
      <c r="D353" s="1426" t="s">
        <v>1079</v>
      </c>
      <c r="E353" s="1426" t="s">
        <v>13195</v>
      </c>
    </row>
    <row r="354" spans="2:5" x14ac:dyDescent="0.2">
      <c r="B354" s="1427" t="s">
        <v>2905</v>
      </c>
      <c r="C354" s="1425" t="s">
        <v>2999</v>
      </c>
      <c r="D354" s="1426" t="s">
        <v>1079</v>
      </c>
      <c r="E354" s="1426" t="s">
        <v>13196</v>
      </c>
    </row>
    <row r="355" spans="2:5" x14ac:dyDescent="0.2">
      <c r="B355" s="1427" t="s">
        <v>10285</v>
      </c>
      <c r="C355" s="1425" t="s">
        <v>17601</v>
      </c>
      <c r="D355" s="1426" t="s">
        <v>1079</v>
      </c>
      <c r="E355" s="1426" t="s">
        <v>13197</v>
      </c>
    </row>
    <row r="356" spans="2:5" x14ac:dyDescent="0.2">
      <c r="B356" s="1427" t="s">
        <v>10283</v>
      </c>
      <c r="C356" s="1425" t="s">
        <v>3001</v>
      </c>
      <c r="D356" s="1426" t="s">
        <v>1079</v>
      </c>
      <c r="E356" s="1426" t="s">
        <v>13198</v>
      </c>
    </row>
    <row r="357" spans="2:5" x14ac:dyDescent="0.2">
      <c r="B357" s="1427" t="s">
        <v>2906</v>
      </c>
      <c r="C357" s="1425" t="s">
        <v>3002</v>
      </c>
      <c r="D357" s="1426" t="s">
        <v>1079</v>
      </c>
      <c r="E357" s="1426" t="s">
        <v>13199</v>
      </c>
    </row>
    <row r="358" spans="2:5" x14ac:dyDescent="0.2">
      <c r="B358" s="1427" t="s">
        <v>18063</v>
      </c>
      <c r="C358" s="1425" t="s">
        <v>18078</v>
      </c>
      <c r="D358" s="1426" t="s">
        <v>1079</v>
      </c>
      <c r="E358" s="1426" t="s">
        <v>13200</v>
      </c>
    </row>
    <row r="359" spans="2:5" x14ac:dyDescent="0.2">
      <c r="B359" s="1427" t="s">
        <v>7868</v>
      </c>
      <c r="C359" s="1425" t="s">
        <v>7186</v>
      </c>
      <c r="D359" s="1426" t="s">
        <v>1079</v>
      </c>
      <c r="E359" s="1426" t="s">
        <v>13201</v>
      </c>
    </row>
    <row r="360" spans="2:5" x14ac:dyDescent="0.2">
      <c r="B360" s="1427" t="s">
        <v>10281</v>
      </c>
      <c r="C360" s="1425" t="s">
        <v>10299</v>
      </c>
      <c r="D360" s="1426" t="s">
        <v>1079</v>
      </c>
      <c r="E360" s="1426" t="s">
        <v>13202</v>
      </c>
    </row>
    <row r="361" spans="2:5" x14ac:dyDescent="0.2">
      <c r="B361" s="1427" t="s">
        <v>10289</v>
      </c>
      <c r="C361" s="1425" t="s">
        <v>7918</v>
      </c>
      <c r="D361" s="1426" t="s">
        <v>1079</v>
      </c>
      <c r="E361" s="1426" t="s">
        <v>13203</v>
      </c>
    </row>
    <row r="362" spans="2:5" x14ac:dyDescent="0.2">
      <c r="B362" s="1427" t="s">
        <v>7882</v>
      </c>
      <c r="C362" s="1425" t="s">
        <v>7897</v>
      </c>
      <c r="D362" s="1426" t="s">
        <v>1079</v>
      </c>
      <c r="E362" s="1426" t="s">
        <v>13204</v>
      </c>
    </row>
    <row r="363" spans="2:5" x14ac:dyDescent="0.2">
      <c r="B363" s="1427" t="s">
        <v>7747</v>
      </c>
      <c r="C363" s="1425" t="s">
        <v>7898</v>
      </c>
      <c r="D363" s="1426" t="s">
        <v>1079</v>
      </c>
      <c r="E363" s="1426" t="s">
        <v>13205</v>
      </c>
    </row>
    <row r="364" spans="2:5" x14ac:dyDescent="0.2">
      <c r="B364" s="1427" t="s">
        <v>10290</v>
      </c>
      <c r="C364" s="1425" t="s">
        <v>7899</v>
      </c>
      <c r="D364" s="1426" t="s">
        <v>1079</v>
      </c>
      <c r="E364" s="1426" t="s">
        <v>13206</v>
      </c>
    </row>
    <row r="365" spans="2:5" x14ac:dyDescent="0.2">
      <c r="B365" s="1427" t="s">
        <v>10286</v>
      </c>
      <c r="C365" s="1425" t="s">
        <v>7900</v>
      </c>
      <c r="D365" s="1426" t="s">
        <v>1079</v>
      </c>
      <c r="E365" s="1426" t="s">
        <v>13207</v>
      </c>
    </row>
    <row r="366" spans="2:5" x14ac:dyDescent="0.2">
      <c r="B366" s="1427" t="s">
        <v>10282</v>
      </c>
      <c r="C366" s="1425" t="s">
        <v>13491</v>
      </c>
      <c r="D366" s="1426" t="s">
        <v>1079</v>
      </c>
      <c r="E366" s="1426" t="s">
        <v>13492</v>
      </c>
    </row>
    <row r="367" spans="2:5" x14ac:dyDescent="0.2">
      <c r="B367" s="1427" t="s">
        <v>13603</v>
      </c>
      <c r="C367" s="1425" t="s">
        <v>13604</v>
      </c>
      <c r="D367" s="1426" t="s">
        <v>1079</v>
      </c>
      <c r="E367" s="1426" t="s">
        <v>13605</v>
      </c>
    </row>
    <row r="368" spans="2:5" x14ac:dyDescent="0.2">
      <c r="B368" s="1427" t="s">
        <v>13606</v>
      </c>
      <c r="C368" s="1425" t="s">
        <v>14886</v>
      </c>
      <c r="D368" s="1426" t="s">
        <v>1079</v>
      </c>
      <c r="E368" s="1426" t="s">
        <v>13607</v>
      </c>
    </row>
    <row r="369" spans="2:5" x14ac:dyDescent="0.2">
      <c r="B369" s="1427" t="s">
        <v>13608</v>
      </c>
      <c r="C369" s="1425" t="s">
        <v>17602</v>
      </c>
      <c r="D369" s="1426" t="s">
        <v>1079</v>
      </c>
      <c r="E369" s="1426" t="s">
        <v>13609</v>
      </c>
    </row>
    <row r="370" spans="2:5" x14ac:dyDescent="0.2">
      <c r="B370" s="1427" t="s">
        <v>17015</v>
      </c>
      <c r="C370" s="1425" t="s">
        <v>17603</v>
      </c>
      <c r="D370" s="1426" t="s">
        <v>1079</v>
      </c>
      <c r="E370" s="1426" t="s">
        <v>17016</v>
      </c>
    </row>
    <row r="371" spans="2:5" x14ac:dyDescent="0.2">
      <c r="B371" s="1427" t="s">
        <v>10260</v>
      </c>
      <c r="C371" s="1425" t="s">
        <v>16528</v>
      </c>
      <c r="D371" s="1426" t="s">
        <v>1083</v>
      </c>
      <c r="E371" s="1426" t="s">
        <v>16529</v>
      </c>
    </row>
    <row r="372" spans="2:5" x14ac:dyDescent="0.2">
      <c r="B372" s="1427" t="s">
        <v>16530</v>
      </c>
      <c r="C372" s="1425" t="s">
        <v>16531</v>
      </c>
      <c r="D372" s="1426" t="s">
        <v>1083</v>
      </c>
      <c r="E372" s="1426" t="s">
        <v>16532</v>
      </c>
    </row>
    <row r="373" spans="2:5" x14ac:dyDescent="0.2">
      <c r="B373" s="1427" t="s">
        <v>16533</v>
      </c>
      <c r="C373" s="1425" t="s">
        <v>16534</v>
      </c>
      <c r="D373" s="1426" t="s">
        <v>1083</v>
      </c>
      <c r="E373" s="1426" t="s">
        <v>16535</v>
      </c>
    </row>
    <row r="374" spans="2:5" x14ac:dyDescent="0.2">
      <c r="B374" s="1427" t="s">
        <v>16536</v>
      </c>
      <c r="C374" s="1425" t="s">
        <v>16537</v>
      </c>
      <c r="D374" s="1426" t="s">
        <v>1083</v>
      </c>
      <c r="E374" s="1426" t="s">
        <v>16538</v>
      </c>
    </row>
    <row r="375" spans="2:5" x14ac:dyDescent="0.2">
      <c r="B375" s="1427"/>
      <c r="C375" s="1425"/>
      <c r="D375" s="1426"/>
      <c r="E375" s="1426"/>
    </row>
    <row r="376" spans="2:5" x14ac:dyDescent="0.2">
      <c r="B376" s="1427"/>
      <c r="C376" s="1425"/>
      <c r="D376" s="1426"/>
      <c r="E376" s="1426"/>
    </row>
    <row r="377" spans="2:5" x14ac:dyDescent="0.2">
      <c r="B377" s="1427"/>
      <c r="C377" s="1425"/>
      <c r="D377" s="1426"/>
      <c r="E377" s="1426"/>
    </row>
    <row r="378" spans="2:5" x14ac:dyDescent="0.2">
      <c r="B378" s="1427"/>
      <c r="C378" s="1425"/>
      <c r="D378" s="1426"/>
      <c r="E378" s="1426"/>
    </row>
    <row r="379" spans="2:5" x14ac:dyDescent="0.2">
      <c r="B379" s="1427"/>
      <c r="C379" s="1425"/>
      <c r="D379" s="1426"/>
      <c r="E379" s="1426"/>
    </row>
    <row r="380" spans="2:5" x14ac:dyDescent="0.2">
      <c r="B380" s="1427"/>
      <c r="C380" s="1425"/>
      <c r="D380" s="1426"/>
      <c r="E380" s="1426"/>
    </row>
    <row r="381" spans="2:5" x14ac:dyDescent="0.2">
      <c r="B381" s="1427"/>
      <c r="C381" s="1425"/>
      <c r="D381" s="1426"/>
      <c r="E381" s="1426"/>
    </row>
    <row r="382" spans="2:5" x14ac:dyDescent="0.2">
      <c r="B382" s="1427"/>
      <c r="C382" s="1425"/>
      <c r="D382" s="1426"/>
      <c r="E382" s="1426"/>
    </row>
    <row r="383" spans="2:5" x14ac:dyDescent="0.2">
      <c r="B383" s="1427"/>
      <c r="C383" s="1425"/>
      <c r="D383" s="1426"/>
      <c r="E383" s="1426"/>
    </row>
    <row r="384" spans="2:5" x14ac:dyDescent="0.2">
      <c r="B384" s="1427"/>
      <c r="C384" s="1425"/>
      <c r="D384" s="1426"/>
      <c r="E384" s="1426"/>
    </row>
    <row r="385" spans="2:5" x14ac:dyDescent="0.2">
      <c r="B385" s="1427"/>
      <c r="C385" s="1425"/>
      <c r="D385" s="1426"/>
      <c r="E385" s="1426"/>
    </row>
    <row r="386" spans="2:5" x14ac:dyDescent="0.2">
      <c r="B386" s="1427"/>
      <c r="C386" s="1425"/>
      <c r="D386" s="1426"/>
      <c r="E386" s="1426"/>
    </row>
    <row r="387" spans="2:5" x14ac:dyDescent="0.2">
      <c r="B387" s="1427"/>
      <c r="C387" s="1425"/>
      <c r="D387" s="1426"/>
      <c r="E387" s="1426"/>
    </row>
    <row r="388" spans="2:5" x14ac:dyDescent="0.2">
      <c r="B388" s="1427"/>
      <c r="C388" s="1425"/>
      <c r="D388" s="1426"/>
      <c r="E388" s="1426"/>
    </row>
    <row r="389" spans="2:5" x14ac:dyDescent="0.2">
      <c r="B389" s="1427"/>
      <c r="C389" s="1425"/>
      <c r="D389" s="1426"/>
      <c r="E389" s="1426"/>
    </row>
    <row r="390" spans="2:5" x14ac:dyDescent="0.2">
      <c r="B390" s="1427"/>
      <c r="C390" s="1425"/>
      <c r="D390" s="1426"/>
      <c r="E390" s="1426"/>
    </row>
    <row r="391" spans="2:5" x14ac:dyDescent="0.2">
      <c r="B391" s="1427"/>
      <c r="C391" s="1425"/>
      <c r="D391" s="1426"/>
      <c r="E391" s="1426"/>
    </row>
    <row r="392" spans="2:5" x14ac:dyDescent="0.2">
      <c r="B392" s="1427"/>
      <c r="C392" s="1425"/>
      <c r="D392" s="1426"/>
      <c r="E392" s="1426"/>
    </row>
    <row r="393" spans="2:5" x14ac:dyDescent="0.2">
      <c r="B393" s="1427"/>
      <c r="C393" s="1425"/>
      <c r="D393" s="1426"/>
      <c r="E393" s="1426"/>
    </row>
    <row r="394" spans="2:5" x14ac:dyDescent="0.2">
      <c r="B394" s="1427"/>
      <c r="C394" s="1425"/>
      <c r="D394" s="1426"/>
      <c r="E394" s="1426"/>
    </row>
    <row r="395" spans="2:5" x14ac:dyDescent="0.2">
      <c r="B395" s="1427"/>
      <c r="C395" s="1425"/>
      <c r="D395" s="1426"/>
      <c r="E395" s="1426"/>
    </row>
    <row r="396" spans="2:5" x14ac:dyDescent="0.2">
      <c r="B396" s="1427"/>
      <c r="C396" s="1425"/>
      <c r="D396" s="1426"/>
      <c r="E396" s="1426"/>
    </row>
    <row r="397" spans="2:5" x14ac:dyDescent="0.2">
      <c r="B397" s="1427"/>
      <c r="C397" s="1425"/>
      <c r="D397" s="1426"/>
      <c r="E397" s="1426"/>
    </row>
    <row r="398" spans="2:5" x14ac:dyDescent="0.2">
      <c r="B398" s="1427"/>
      <c r="C398" s="1425"/>
      <c r="D398" s="1426"/>
      <c r="E398" s="1426"/>
    </row>
    <row r="399" spans="2:5" x14ac:dyDescent="0.2">
      <c r="B399" s="1427"/>
      <c r="C399" s="1425"/>
      <c r="D399" s="1426"/>
      <c r="E399" s="1426"/>
    </row>
    <row r="400" spans="2:5" x14ac:dyDescent="0.2">
      <c r="B400" s="1427"/>
      <c r="C400" s="1425"/>
      <c r="D400" s="1426"/>
      <c r="E400" s="1426"/>
    </row>
    <row r="401" spans="2:5" x14ac:dyDescent="0.2">
      <c r="B401" s="1427"/>
      <c r="C401" s="1425"/>
      <c r="D401" s="1426"/>
      <c r="E401" s="1426"/>
    </row>
    <row r="402" spans="2:5" x14ac:dyDescent="0.2">
      <c r="B402" s="1427"/>
      <c r="C402" s="1425"/>
      <c r="D402" s="1426"/>
      <c r="E402" s="1426"/>
    </row>
    <row r="403" spans="2:5" x14ac:dyDescent="0.2">
      <c r="B403" s="1427"/>
      <c r="C403" s="1425"/>
      <c r="D403" s="1426"/>
      <c r="E403" s="1426"/>
    </row>
    <row r="404" spans="2:5" x14ac:dyDescent="0.2">
      <c r="B404" s="1427"/>
      <c r="C404" s="1425"/>
      <c r="D404" s="1426"/>
      <c r="E404" s="1426"/>
    </row>
    <row r="405" spans="2:5" x14ac:dyDescent="0.2">
      <c r="B405" s="1427"/>
      <c r="C405" s="1425"/>
      <c r="D405" s="1426"/>
      <c r="E405" s="1426"/>
    </row>
    <row r="406" spans="2:5" x14ac:dyDescent="0.2">
      <c r="B406" s="1427"/>
      <c r="C406" s="1425"/>
      <c r="D406" s="1426"/>
      <c r="E406" s="1426"/>
    </row>
    <row r="407" spans="2:5" x14ac:dyDescent="0.2">
      <c r="B407" s="1427"/>
      <c r="C407" s="1425"/>
      <c r="D407" s="1426"/>
      <c r="E407" s="1426"/>
    </row>
    <row r="408" spans="2:5" x14ac:dyDescent="0.2">
      <c r="B408" s="1427"/>
      <c r="C408" s="1425"/>
      <c r="D408" s="1426"/>
      <c r="E408" s="1426"/>
    </row>
    <row r="409" spans="2:5" x14ac:dyDescent="0.2">
      <c r="B409" s="1427"/>
      <c r="C409" s="1425"/>
      <c r="D409" s="1426"/>
      <c r="E409" s="1426"/>
    </row>
    <row r="410" spans="2:5" x14ac:dyDescent="0.2">
      <c r="B410" s="1427"/>
      <c r="C410" s="1425"/>
      <c r="D410" s="1426"/>
      <c r="E410" s="1426"/>
    </row>
    <row r="411" spans="2:5" x14ac:dyDescent="0.2">
      <c r="B411" s="1427"/>
      <c r="C411" s="1425"/>
      <c r="D411" s="1426"/>
      <c r="E411" s="1426"/>
    </row>
    <row r="412" spans="2:5" x14ac:dyDescent="0.2">
      <c r="B412" s="1427"/>
      <c r="C412" s="1425"/>
      <c r="D412" s="1426"/>
      <c r="E412" s="1426"/>
    </row>
    <row r="413" spans="2:5" x14ac:dyDescent="0.2">
      <c r="B413" s="1427"/>
      <c r="C413" s="1425"/>
      <c r="D413" s="1426"/>
      <c r="E413" s="1426"/>
    </row>
    <row r="414" spans="2:5" x14ac:dyDescent="0.2">
      <c r="B414" s="1427"/>
      <c r="C414" s="1425"/>
      <c r="D414" s="1426"/>
      <c r="E414" s="1426"/>
    </row>
    <row r="415" spans="2:5" x14ac:dyDescent="0.2">
      <c r="B415" s="1427"/>
      <c r="C415" s="1425"/>
      <c r="D415" s="1426"/>
      <c r="E415" s="1426"/>
    </row>
    <row r="416" spans="2:5" x14ac:dyDescent="0.2">
      <c r="B416" s="1427"/>
      <c r="C416" s="1425"/>
      <c r="D416" s="1426"/>
      <c r="E416" s="1426"/>
    </row>
    <row r="417" spans="2:5" x14ac:dyDescent="0.2">
      <c r="B417" s="1427"/>
      <c r="C417" s="1425"/>
      <c r="D417" s="1426"/>
      <c r="E417" s="1426"/>
    </row>
    <row r="418" spans="2:5" x14ac:dyDescent="0.2">
      <c r="B418" s="1427"/>
      <c r="C418" s="1425"/>
      <c r="D418" s="1426"/>
      <c r="E418" s="1426"/>
    </row>
    <row r="419" spans="2:5" x14ac:dyDescent="0.2">
      <c r="B419" s="1427"/>
      <c r="C419" s="1425"/>
      <c r="D419" s="1426"/>
      <c r="E419" s="1426"/>
    </row>
    <row r="420" spans="2:5" x14ac:dyDescent="0.2">
      <c r="B420" s="1427"/>
      <c r="C420" s="1425"/>
      <c r="D420" s="1426"/>
      <c r="E420" s="1426"/>
    </row>
    <row r="421" spans="2:5" x14ac:dyDescent="0.2">
      <c r="B421" s="1427"/>
      <c r="C421" s="1425"/>
      <c r="D421" s="1426"/>
      <c r="E421" s="1426"/>
    </row>
    <row r="422" spans="2:5" x14ac:dyDescent="0.2">
      <c r="B422" s="1427"/>
      <c r="C422" s="1425"/>
      <c r="D422" s="1426"/>
      <c r="E422" s="1426"/>
    </row>
    <row r="423" spans="2:5" x14ac:dyDescent="0.2">
      <c r="B423" s="1427"/>
      <c r="C423" s="1425"/>
      <c r="D423" s="1426"/>
      <c r="E423" s="1426"/>
    </row>
    <row r="424" spans="2:5" x14ac:dyDescent="0.2">
      <c r="B424" s="1427"/>
      <c r="C424" s="1425"/>
      <c r="D424" s="1426"/>
      <c r="E424" s="1426"/>
    </row>
    <row r="425" spans="2:5" x14ac:dyDescent="0.2">
      <c r="B425" s="1427"/>
      <c r="C425" s="1425"/>
      <c r="D425" s="1426"/>
      <c r="E425" s="1426"/>
    </row>
    <row r="426" spans="2:5" x14ac:dyDescent="0.2">
      <c r="B426" s="1427"/>
      <c r="C426" s="1425"/>
      <c r="D426" s="1426"/>
      <c r="E426" s="1426"/>
    </row>
    <row r="427" spans="2:5" x14ac:dyDescent="0.2">
      <c r="B427" s="1427"/>
      <c r="C427" s="1425"/>
      <c r="D427" s="1426"/>
      <c r="E427" s="1426"/>
    </row>
    <row r="428" spans="2:5" x14ac:dyDescent="0.2">
      <c r="B428" s="1427"/>
      <c r="C428" s="1425"/>
      <c r="D428" s="1426"/>
      <c r="E428" s="1426"/>
    </row>
    <row r="429" spans="2:5" x14ac:dyDescent="0.2">
      <c r="B429" s="1427"/>
      <c r="C429" s="1425"/>
      <c r="D429" s="1426"/>
      <c r="E429" s="1426"/>
    </row>
    <row r="430" spans="2:5" x14ac:dyDescent="0.2">
      <c r="B430" s="1427"/>
      <c r="C430" s="1425"/>
      <c r="D430" s="1426"/>
      <c r="E430" s="1426"/>
    </row>
    <row r="431" spans="2:5" x14ac:dyDescent="0.2">
      <c r="C431" s="1840"/>
      <c r="D431" s="1840"/>
    </row>
  </sheetData>
  <sheetProtection sheet="1" objects="1" scenarios="1" selectLockedCells="1"/>
  <autoFilter ref="B6:E6" xr:uid="{00000000-0009-0000-0000-000005000000}"/>
  <dataConsolidate/>
  <customSheetViews>
    <customSheetView guid="{13F24B0A-7740-483A-BEF7-5257F8522605}" showGridLines="0" fitToPage="1" showAutoFilter="1" state="hidden">
      <pane ySplit="6" topLeftCell="A7" activePane="bottomLeft" state="frozen"/>
      <selection pane="bottomLeft" activeCell="D8" sqref="D8:D327"/>
      <pageMargins left="0.78740157480314965" right="0.78740157480314965" top="0.98425196850393704" bottom="0.98425196850393704" header="0.51181102362204722" footer="0.51181102362204722"/>
      <printOptions horizontalCentered="1"/>
      <pageSetup paperSize="9" fitToHeight="20" orientation="portrait" r:id="rId1"/>
      <headerFooter alignWithMargins="0"/>
      <autoFilter ref="B6:D348" xr:uid="{0E22DC17-D8EE-4A41-8370-51B1E357A28D}">
        <sortState xmlns:xlrd2="http://schemas.microsoft.com/office/spreadsheetml/2017/richdata2" ref="B7:D295">
          <sortCondition ref="B6:B295"/>
        </sortState>
      </autoFilter>
    </customSheetView>
  </customSheetViews>
  <mergeCells count="2">
    <mergeCell ref="B1:D1"/>
    <mergeCell ref="B5:E5"/>
  </mergeCells>
  <phoneticPr fontId="61" type="noConversion"/>
  <dataValidations count="1">
    <dataValidation type="list" allowBlank="1" showInputMessage="1" showErrorMessage="1" sqref="D7:D430" xr:uid="{00000000-0002-0000-0500-000000000000}">
      <formula1>Nationalities</formula1>
    </dataValidation>
  </dataValidations>
  <printOptions horizontalCentered="1"/>
  <pageMargins left="0.78740157480314965" right="0.78740157480314965" top="0.98425196850393704" bottom="0.98425196850393704" header="0.51181102362204722" footer="0.51181102362204722"/>
  <pageSetup paperSize="9" fitToHeight="20" orientation="portrait"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_Nationalities">
    <tabColor theme="9" tint="0.39997558519241921"/>
  </sheetPr>
  <dimension ref="A1:M59"/>
  <sheetViews>
    <sheetView showGridLines="0" showZeros="0" workbookViewId="0">
      <pane xSplit="2" ySplit="4" topLeftCell="C32" activePane="bottomRight" state="frozen"/>
      <selection activeCell="N33" sqref="N33"/>
      <selection pane="topRight" activeCell="N33" sqref="N33"/>
      <selection pane="bottomLeft" activeCell="N33" sqref="N33"/>
      <selection pane="bottomRight" activeCell="B1" sqref="B1:L1"/>
    </sheetView>
  </sheetViews>
  <sheetFormatPr baseColWidth="10" defaultColWidth="11.42578125" defaultRowHeight="12.75" x14ac:dyDescent="0.2"/>
  <cols>
    <col min="1" max="1" width="3.140625" style="1396" customWidth="1"/>
    <col min="2" max="2" width="21" style="1396" bestFit="1" customWidth="1"/>
    <col min="3" max="3" width="11.42578125" style="1396" customWidth="1"/>
    <col min="4" max="4" width="17.85546875" style="1396" bestFit="1" customWidth="1"/>
    <col min="5" max="5" width="14" style="1396" bestFit="1" customWidth="1"/>
    <col min="6" max="6" width="15" style="1396" bestFit="1" customWidth="1"/>
    <col min="7" max="7" width="14.7109375" style="1396" bestFit="1" customWidth="1"/>
    <col min="8" max="8" width="8" style="1396" bestFit="1" customWidth="1"/>
    <col min="9" max="12" width="7.5703125" style="1396" customWidth="1"/>
    <col min="13" max="13" width="2.28515625" style="1396" customWidth="1"/>
    <col min="14" max="16383" width="11.42578125" style="1396"/>
    <col min="16384" max="16384" width="3.42578125" style="1396" customWidth="1"/>
  </cols>
  <sheetData>
    <row r="1" spans="1:13" s="1397" customFormat="1" ht="35.25" x14ac:dyDescent="0.5">
      <c r="A1" s="1852"/>
      <c r="B1" s="2266" t="str">
        <f>N_NationalityCodes</f>
        <v>Codes de nationalité FISTF</v>
      </c>
      <c r="C1" s="2266"/>
      <c r="D1" s="2266"/>
      <c r="E1" s="2266"/>
      <c r="F1" s="2266"/>
      <c r="G1" s="2266"/>
      <c r="H1" s="2266"/>
      <c r="I1" s="2266"/>
      <c r="J1" s="2266"/>
      <c r="K1" s="2266"/>
      <c r="L1" s="2266"/>
      <c r="M1" s="7"/>
    </row>
    <row r="2" spans="1:13" ht="13.5" thickBot="1" x14ac:dyDescent="0.25">
      <c r="A2"/>
      <c r="B2"/>
      <c r="C2" s="1"/>
      <c r="D2"/>
      <c r="E2"/>
      <c r="F2"/>
      <c r="G2"/>
      <c r="H2"/>
      <c r="I2"/>
      <c r="J2"/>
      <c r="K2"/>
      <c r="L2"/>
      <c r="M2"/>
    </row>
    <row r="3" spans="1:13" ht="15.75" x14ac:dyDescent="0.25">
      <c r="A3"/>
      <c r="B3"/>
      <c r="C3" s="1"/>
      <c r="D3" s="2263" t="str">
        <f>N_Language</f>
        <v>Langue</v>
      </c>
      <c r="E3" s="2264"/>
      <c r="F3" s="2264"/>
      <c r="G3" s="2264"/>
      <c r="H3" s="2264"/>
      <c r="I3" s="2264"/>
      <c r="J3" s="2264"/>
      <c r="K3" s="2264"/>
      <c r="L3" s="2265"/>
      <c r="M3"/>
    </row>
    <row r="4" spans="1:13" ht="13.5" thickBot="1" x14ac:dyDescent="0.25">
      <c r="A4"/>
      <c r="B4"/>
      <c r="C4" s="1"/>
      <c r="D4" s="364" t="str">
        <f>language!D2</f>
        <v>FR</v>
      </c>
      <c r="E4" s="364" t="str">
        <f>language!E2</f>
        <v>EN</v>
      </c>
      <c r="F4" s="364" t="str">
        <f>language!F2</f>
        <v>IT</v>
      </c>
      <c r="G4" s="364" t="str">
        <f>language!G2</f>
        <v>SP</v>
      </c>
      <c r="H4" s="364" t="str">
        <f>language!H2</f>
        <v>CAT</v>
      </c>
      <c r="I4" s="364">
        <f>language!I2</f>
        <v>0</v>
      </c>
      <c r="J4" s="364">
        <f>language!J2</f>
        <v>0</v>
      </c>
      <c r="K4" s="364">
        <f>language!K2</f>
        <v>0</v>
      </c>
      <c r="L4" s="364">
        <f>language!L2</f>
        <v>0</v>
      </c>
      <c r="M4"/>
    </row>
    <row r="5" spans="1:13" x14ac:dyDescent="0.2">
      <c r="A5"/>
      <c r="B5" s="365" t="str">
        <f t="shared" ref="B5:B36" si="0">HLOOKUP(Language,D$4:L$59,ROW()-3,FALSE)</f>
        <v>Albanie</v>
      </c>
      <c r="C5" s="366" t="s">
        <v>982</v>
      </c>
      <c r="D5" s="367" t="s">
        <v>1086</v>
      </c>
      <c r="E5" s="368" t="s">
        <v>981</v>
      </c>
      <c r="F5" s="369" t="s">
        <v>2032</v>
      </c>
      <c r="G5" s="369" t="s">
        <v>2033</v>
      </c>
      <c r="H5" s="369" t="s">
        <v>1553</v>
      </c>
      <c r="I5" s="369" t="s">
        <v>1553</v>
      </c>
      <c r="J5" s="369" t="s">
        <v>1553</v>
      </c>
      <c r="K5" s="369" t="s">
        <v>1553</v>
      </c>
      <c r="L5" s="370" t="s">
        <v>1553</v>
      </c>
      <c r="M5"/>
    </row>
    <row r="6" spans="1:13" x14ac:dyDescent="0.2">
      <c r="A6"/>
      <c r="B6" s="371" t="str">
        <f t="shared" si="0"/>
        <v>Argentine</v>
      </c>
      <c r="C6" s="372" t="s">
        <v>984</v>
      </c>
      <c r="D6" s="373" t="s">
        <v>1087</v>
      </c>
      <c r="E6" s="363" t="s">
        <v>983</v>
      </c>
      <c r="F6" s="363" t="s">
        <v>983</v>
      </c>
      <c r="G6" s="363" t="s">
        <v>983</v>
      </c>
      <c r="H6" s="362" t="s">
        <v>1553</v>
      </c>
      <c r="I6" s="362" t="s">
        <v>1553</v>
      </c>
      <c r="J6" s="362" t="s">
        <v>1553</v>
      </c>
      <c r="K6" s="362" t="s">
        <v>1553</v>
      </c>
      <c r="L6" s="374" t="s">
        <v>1553</v>
      </c>
      <c r="M6"/>
    </row>
    <row r="7" spans="1:13" x14ac:dyDescent="0.2">
      <c r="A7"/>
      <c r="B7" s="371" t="str">
        <f t="shared" si="0"/>
        <v>Australie</v>
      </c>
      <c r="C7" s="372" t="s">
        <v>986</v>
      </c>
      <c r="D7" s="373" t="s">
        <v>1088</v>
      </c>
      <c r="E7" s="363" t="s">
        <v>985</v>
      </c>
      <c r="F7" s="363" t="s">
        <v>985</v>
      </c>
      <c r="G7" s="363" t="s">
        <v>985</v>
      </c>
      <c r="H7" s="362" t="s">
        <v>1553</v>
      </c>
      <c r="I7" s="362" t="s">
        <v>1553</v>
      </c>
      <c r="J7" s="362" t="s">
        <v>1553</v>
      </c>
      <c r="K7" s="362" t="s">
        <v>1553</v>
      </c>
      <c r="L7" s="374" t="s">
        <v>1553</v>
      </c>
      <c r="M7"/>
    </row>
    <row r="8" spans="1:13" x14ac:dyDescent="0.2">
      <c r="A8"/>
      <c r="B8" s="371" t="str">
        <f t="shared" si="0"/>
        <v>Autriche</v>
      </c>
      <c r="C8" s="372" t="s">
        <v>988</v>
      </c>
      <c r="D8" s="373" t="s">
        <v>1089</v>
      </c>
      <c r="E8" s="363" t="s">
        <v>987</v>
      </c>
      <c r="F8" s="362" t="s">
        <v>987</v>
      </c>
      <c r="G8" s="362" t="s">
        <v>987</v>
      </c>
      <c r="H8" s="362" t="s">
        <v>1553</v>
      </c>
      <c r="I8" s="362" t="s">
        <v>1553</v>
      </c>
      <c r="J8" s="362" t="s">
        <v>1553</v>
      </c>
      <c r="K8" s="362" t="s">
        <v>1553</v>
      </c>
      <c r="L8" s="374" t="s">
        <v>1553</v>
      </c>
      <c r="M8"/>
    </row>
    <row r="9" spans="1:13" x14ac:dyDescent="0.2">
      <c r="A9"/>
      <c r="B9" s="371" t="str">
        <f t="shared" si="0"/>
        <v>Belgique</v>
      </c>
      <c r="C9" s="372" t="s">
        <v>990</v>
      </c>
      <c r="D9" s="373" t="s">
        <v>1090</v>
      </c>
      <c r="E9" s="363" t="s">
        <v>989</v>
      </c>
      <c r="F9" s="362" t="s">
        <v>2035</v>
      </c>
      <c r="G9" s="362" t="s">
        <v>2034</v>
      </c>
      <c r="H9" s="362" t="s">
        <v>1553</v>
      </c>
      <c r="I9" s="362" t="s">
        <v>1553</v>
      </c>
      <c r="J9" s="362" t="s">
        <v>1553</v>
      </c>
      <c r="K9" s="362" t="s">
        <v>1553</v>
      </c>
      <c r="L9" s="374" t="s">
        <v>1553</v>
      </c>
      <c r="M9"/>
    </row>
    <row r="10" spans="1:13" x14ac:dyDescent="0.2">
      <c r="A10"/>
      <c r="B10" s="371" t="str">
        <f t="shared" si="0"/>
        <v>Bosnie</v>
      </c>
      <c r="C10" s="372" t="s">
        <v>992</v>
      </c>
      <c r="D10" s="373" t="s">
        <v>1091</v>
      </c>
      <c r="E10" s="363" t="s">
        <v>991</v>
      </c>
      <c r="F10" s="362" t="s">
        <v>991</v>
      </c>
      <c r="G10" s="362" t="s">
        <v>991</v>
      </c>
      <c r="H10" s="362" t="s">
        <v>1553</v>
      </c>
      <c r="I10" s="362" t="s">
        <v>1553</v>
      </c>
      <c r="J10" s="362" t="s">
        <v>1553</v>
      </c>
      <c r="K10" s="362" t="s">
        <v>1553</v>
      </c>
      <c r="L10" s="374" t="s">
        <v>1553</v>
      </c>
      <c r="M10"/>
    </row>
    <row r="11" spans="1:13" x14ac:dyDescent="0.2">
      <c r="A11"/>
      <c r="B11" s="371" t="str">
        <f t="shared" si="0"/>
        <v>Brésil</v>
      </c>
      <c r="C11" s="372" t="s">
        <v>994</v>
      </c>
      <c r="D11" s="373" t="s">
        <v>1092</v>
      </c>
      <c r="E11" s="363" t="s">
        <v>993</v>
      </c>
      <c r="F11" s="362" t="s">
        <v>2037</v>
      </c>
      <c r="G11" s="362" t="s">
        <v>2038</v>
      </c>
      <c r="H11" s="362" t="s">
        <v>1553</v>
      </c>
      <c r="I11" s="362" t="s">
        <v>1553</v>
      </c>
      <c r="J11" s="362" t="s">
        <v>1553</v>
      </c>
      <c r="K11" s="362" t="s">
        <v>1553</v>
      </c>
      <c r="L11" s="374" t="s">
        <v>1553</v>
      </c>
      <c r="M11"/>
    </row>
    <row r="12" spans="1:13" x14ac:dyDescent="0.2">
      <c r="A12"/>
      <c r="B12" s="371" t="str">
        <f t="shared" si="0"/>
        <v>Canada</v>
      </c>
      <c r="C12" s="372" t="s">
        <v>884</v>
      </c>
      <c r="D12" s="373" t="s">
        <v>995</v>
      </c>
      <c r="E12" s="363" t="s">
        <v>995</v>
      </c>
      <c r="F12" s="362" t="s">
        <v>2036</v>
      </c>
      <c r="G12" s="362" t="s">
        <v>995</v>
      </c>
      <c r="H12" s="362" t="s">
        <v>1553</v>
      </c>
      <c r="I12" s="362" t="s">
        <v>1553</v>
      </c>
      <c r="J12" s="362" t="s">
        <v>1553</v>
      </c>
      <c r="K12" s="362" t="s">
        <v>1553</v>
      </c>
      <c r="L12" s="374" t="s">
        <v>1553</v>
      </c>
      <c r="M12"/>
    </row>
    <row r="13" spans="1:13" x14ac:dyDescent="0.2">
      <c r="A13"/>
      <c r="B13" s="371" t="str">
        <f t="shared" si="0"/>
        <v>Chili</v>
      </c>
      <c r="C13" s="372" t="s">
        <v>997</v>
      </c>
      <c r="D13" s="373" t="s">
        <v>1093</v>
      </c>
      <c r="E13" s="363" t="s">
        <v>996</v>
      </c>
      <c r="F13" s="363" t="s">
        <v>996</v>
      </c>
      <c r="G13" s="362" t="s">
        <v>2046</v>
      </c>
      <c r="H13" s="362" t="s">
        <v>1553</v>
      </c>
      <c r="I13" s="362" t="s">
        <v>1553</v>
      </c>
      <c r="J13" s="362" t="s">
        <v>1553</v>
      </c>
      <c r="K13" s="362" t="s">
        <v>1553</v>
      </c>
      <c r="L13" s="374" t="s">
        <v>1553</v>
      </c>
      <c r="M13"/>
    </row>
    <row r="14" spans="1:13" x14ac:dyDescent="0.2">
      <c r="A14"/>
      <c r="B14" s="371" t="str">
        <f t="shared" si="0"/>
        <v>Chine</v>
      </c>
      <c r="C14" s="372" t="s">
        <v>999</v>
      </c>
      <c r="D14" s="373" t="s">
        <v>1094</v>
      </c>
      <c r="E14" s="363" t="s">
        <v>998</v>
      </c>
      <c r="F14" s="363" t="s">
        <v>998</v>
      </c>
      <c r="G14" s="362" t="s">
        <v>2045</v>
      </c>
      <c r="H14" s="362" t="s">
        <v>1553</v>
      </c>
      <c r="I14" s="362" t="s">
        <v>1553</v>
      </c>
      <c r="J14" s="362" t="s">
        <v>1553</v>
      </c>
      <c r="K14" s="362" t="s">
        <v>1553</v>
      </c>
      <c r="L14" s="374" t="s">
        <v>1553</v>
      </c>
      <c r="M14"/>
    </row>
    <row r="15" spans="1:13" x14ac:dyDescent="0.2">
      <c r="A15"/>
      <c r="B15" s="371" t="str">
        <f t="shared" si="0"/>
        <v>Colombie</v>
      </c>
      <c r="C15" s="372" t="s">
        <v>1001</v>
      </c>
      <c r="D15" s="373" t="s">
        <v>1095</v>
      </c>
      <c r="E15" s="363" t="s">
        <v>1000</v>
      </c>
      <c r="F15" s="363" t="s">
        <v>1000</v>
      </c>
      <c r="G15" s="363" t="s">
        <v>1000</v>
      </c>
      <c r="H15" s="362" t="s">
        <v>1553</v>
      </c>
      <c r="I15" s="362" t="s">
        <v>1553</v>
      </c>
      <c r="J15" s="362" t="s">
        <v>1553</v>
      </c>
      <c r="K15" s="362" t="s">
        <v>1553</v>
      </c>
      <c r="L15" s="374" t="s">
        <v>1553</v>
      </c>
      <c r="M15"/>
    </row>
    <row r="16" spans="1:13" x14ac:dyDescent="0.2">
      <c r="A16"/>
      <c r="B16" s="371" t="str">
        <f t="shared" si="0"/>
        <v>Croatie</v>
      </c>
      <c r="C16" s="372" t="s">
        <v>1003</v>
      </c>
      <c r="D16" s="373" t="s">
        <v>1096</v>
      </c>
      <c r="E16" s="363" t="s">
        <v>1002</v>
      </c>
      <c r="F16" s="363" t="s">
        <v>2039</v>
      </c>
      <c r="G16" s="362" t="s">
        <v>2047</v>
      </c>
      <c r="H16" s="362" t="s">
        <v>1553</v>
      </c>
      <c r="I16" s="362" t="s">
        <v>1553</v>
      </c>
      <c r="J16" s="362" t="s">
        <v>1553</v>
      </c>
      <c r="K16" s="362" t="s">
        <v>1553</v>
      </c>
      <c r="L16" s="374" t="s">
        <v>1553</v>
      </c>
      <c r="M16"/>
    </row>
    <row r="17" spans="1:13" x14ac:dyDescent="0.2">
      <c r="A17"/>
      <c r="B17" s="371" t="str">
        <f t="shared" si="0"/>
        <v>Chypre</v>
      </c>
      <c r="C17" s="372" t="s">
        <v>1005</v>
      </c>
      <c r="D17" s="373" t="s">
        <v>1097</v>
      </c>
      <c r="E17" s="363" t="s">
        <v>1004</v>
      </c>
      <c r="F17" s="362" t="s">
        <v>2040</v>
      </c>
      <c r="G17" s="362" t="s">
        <v>2048</v>
      </c>
      <c r="H17" s="362" t="s">
        <v>1553</v>
      </c>
      <c r="I17" s="362" t="s">
        <v>1553</v>
      </c>
      <c r="J17" s="362" t="s">
        <v>1553</v>
      </c>
      <c r="K17" s="362" t="s">
        <v>1553</v>
      </c>
      <c r="L17" s="374" t="s">
        <v>1553</v>
      </c>
      <c r="M17"/>
    </row>
    <row r="18" spans="1:13" x14ac:dyDescent="0.2">
      <c r="A18"/>
      <c r="B18" s="371" t="str">
        <f t="shared" si="0"/>
        <v>République Tchèque</v>
      </c>
      <c r="C18" s="372" t="s">
        <v>1007</v>
      </c>
      <c r="D18" s="373" t="s">
        <v>1098</v>
      </c>
      <c r="E18" s="363" t="s">
        <v>1006</v>
      </c>
      <c r="F18" s="362" t="s">
        <v>2041</v>
      </c>
      <c r="G18" s="362" t="s">
        <v>2042</v>
      </c>
      <c r="H18" s="362" t="s">
        <v>1553</v>
      </c>
      <c r="I18" s="362" t="s">
        <v>1553</v>
      </c>
      <c r="J18" s="362" t="s">
        <v>1553</v>
      </c>
      <c r="K18" s="362" t="s">
        <v>1553</v>
      </c>
      <c r="L18" s="374" t="s">
        <v>1553</v>
      </c>
      <c r="M18"/>
    </row>
    <row r="19" spans="1:13" x14ac:dyDescent="0.2">
      <c r="A19"/>
      <c r="B19" s="371" t="str">
        <f t="shared" si="0"/>
        <v>Danemark</v>
      </c>
      <c r="C19" s="372" t="s">
        <v>1009</v>
      </c>
      <c r="D19" s="373" t="s">
        <v>1099</v>
      </c>
      <c r="E19" s="363" t="s">
        <v>1008</v>
      </c>
      <c r="F19" s="362" t="s">
        <v>2043</v>
      </c>
      <c r="G19" s="362" t="s">
        <v>2044</v>
      </c>
      <c r="H19" s="362" t="s">
        <v>1553</v>
      </c>
      <c r="I19" s="362" t="s">
        <v>1553</v>
      </c>
      <c r="J19" s="362" t="s">
        <v>1553</v>
      </c>
      <c r="K19" s="362" t="s">
        <v>1553</v>
      </c>
      <c r="L19" s="374" t="s">
        <v>1553</v>
      </c>
      <c r="M19"/>
    </row>
    <row r="20" spans="1:13" x14ac:dyDescent="0.2">
      <c r="A20"/>
      <c r="B20" s="371" t="str">
        <f t="shared" si="0"/>
        <v>Equateur</v>
      </c>
      <c r="C20" s="372" t="s">
        <v>1011</v>
      </c>
      <c r="D20" s="373" t="s">
        <v>1100</v>
      </c>
      <c r="E20" s="363" t="s">
        <v>1010</v>
      </c>
      <c r="F20" s="362" t="s">
        <v>1010</v>
      </c>
      <c r="G20" s="362" t="s">
        <v>1010</v>
      </c>
      <c r="H20" s="362" t="s">
        <v>1553</v>
      </c>
      <c r="I20" s="362" t="s">
        <v>1553</v>
      </c>
      <c r="J20" s="362" t="s">
        <v>1553</v>
      </c>
      <c r="K20" s="362" t="s">
        <v>1553</v>
      </c>
      <c r="L20" s="374" t="s">
        <v>1553</v>
      </c>
      <c r="M20"/>
    </row>
    <row r="21" spans="1:13" x14ac:dyDescent="0.2">
      <c r="A21"/>
      <c r="B21" s="371" t="str">
        <f t="shared" si="0"/>
        <v>Angleterre</v>
      </c>
      <c r="C21" s="372" t="s">
        <v>1013</v>
      </c>
      <c r="D21" s="373" t="s">
        <v>1101</v>
      </c>
      <c r="E21" s="363" t="s">
        <v>1012</v>
      </c>
      <c r="F21" s="362" t="s">
        <v>2049</v>
      </c>
      <c r="G21" s="362" t="s">
        <v>2050</v>
      </c>
      <c r="H21" s="362" t="s">
        <v>1553</v>
      </c>
      <c r="I21" s="362" t="s">
        <v>1553</v>
      </c>
      <c r="J21" s="362" t="s">
        <v>1553</v>
      </c>
      <c r="K21" s="362" t="s">
        <v>1553</v>
      </c>
      <c r="L21" s="374" t="s">
        <v>1553</v>
      </c>
      <c r="M21"/>
    </row>
    <row r="22" spans="1:13" x14ac:dyDescent="0.2">
      <c r="A22"/>
      <c r="B22" s="371" t="str">
        <f t="shared" si="0"/>
        <v>Finlande</v>
      </c>
      <c r="C22" s="372" t="s">
        <v>1017</v>
      </c>
      <c r="D22" s="373" t="s">
        <v>1103</v>
      </c>
      <c r="E22" s="363" t="s">
        <v>1016</v>
      </c>
      <c r="F22" s="362" t="s">
        <v>1153</v>
      </c>
      <c r="G22" s="362" t="s">
        <v>1153</v>
      </c>
      <c r="H22" s="362" t="s">
        <v>1553</v>
      </c>
      <c r="I22" s="362" t="s">
        <v>1553</v>
      </c>
      <c r="J22" s="362" t="s">
        <v>1553</v>
      </c>
      <c r="K22" s="362" t="s">
        <v>1553</v>
      </c>
      <c r="L22" s="374" t="s">
        <v>1553</v>
      </c>
      <c r="M22"/>
    </row>
    <row r="23" spans="1:13" x14ac:dyDescent="0.2">
      <c r="A23"/>
      <c r="B23" s="371" t="str">
        <f t="shared" si="0"/>
        <v>France</v>
      </c>
      <c r="C23" s="372" t="s">
        <v>1019</v>
      </c>
      <c r="D23" s="373" t="s">
        <v>1018</v>
      </c>
      <c r="E23" s="363" t="s">
        <v>1018</v>
      </c>
      <c r="F23" s="362" t="s">
        <v>1154</v>
      </c>
      <c r="G23" s="362" t="s">
        <v>1154</v>
      </c>
      <c r="H23" s="362" t="s">
        <v>1553</v>
      </c>
      <c r="I23" s="362" t="s">
        <v>1553</v>
      </c>
      <c r="J23" s="362" t="s">
        <v>1553</v>
      </c>
      <c r="K23" s="362" t="s">
        <v>1553</v>
      </c>
      <c r="L23" s="374" t="s">
        <v>1553</v>
      </c>
      <c r="M23"/>
    </row>
    <row r="24" spans="1:13" x14ac:dyDescent="0.2">
      <c r="A24"/>
      <c r="B24" s="371" t="str">
        <f t="shared" si="0"/>
        <v>Allemagne</v>
      </c>
      <c r="C24" s="372" t="s">
        <v>1021</v>
      </c>
      <c r="D24" s="373" t="s">
        <v>1104</v>
      </c>
      <c r="E24" s="363" t="s">
        <v>1020</v>
      </c>
      <c r="F24" s="362" t="s">
        <v>1155</v>
      </c>
      <c r="G24" s="362" t="s">
        <v>1156</v>
      </c>
      <c r="H24" s="362" t="s">
        <v>1553</v>
      </c>
      <c r="I24" s="362" t="s">
        <v>1553</v>
      </c>
      <c r="J24" s="362" t="s">
        <v>1553</v>
      </c>
      <c r="K24" s="362" t="s">
        <v>1553</v>
      </c>
      <c r="L24" s="374" t="s">
        <v>1553</v>
      </c>
      <c r="M24"/>
    </row>
    <row r="25" spans="1:13" x14ac:dyDescent="0.2">
      <c r="A25"/>
      <c r="B25" s="371" t="str">
        <f t="shared" si="0"/>
        <v>Gibraltar</v>
      </c>
      <c r="C25" s="372" t="s">
        <v>1023</v>
      </c>
      <c r="D25" s="373" t="s">
        <v>1022</v>
      </c>
      <c r="E25" s="363" t="s">
        <v>1022</v>
      </c>
      <c r="F25" s="363" t="s">
        <v>1022</v>
      </c>
      <c r="G25" s="362" t="s">
        <v>1157</v>
      </c>
      <c r="H25" s="362" t="s">
        <v>1553</v>
      </c>
      <c r="I25" s="362" t="s">
        <v>1553</v>
      </c>
      <c r="J25" s="362" t="s">
        <v>1553</v>
      </c>
      <c r="K25" s="362" t="s">
        <v>1553</v>
      </c>
      <c r="L25" s="374" t="s">
        <v>1553</v>
      </c>
      <c r="M25"/>
    </row>
    <row r="26" spans="1:13" x14ac:dyDescent="0.2">
      <c r="A26"/>
      <c r="B26" s="371" t="str">
        <f t="shared" si="0"/>
        <v>Grèce</v>
      </c>
      <c r="C26" s="372" t="s">
        <v>1025</v>
      </c>
      <c r="D26" s="373" t="s">
        <v>1105</v>
      </c>
      <c r="E26" s="363" t="s">
        <v>1024</v>
      </c>
      <c r="F26" s="362" t="s">
        <v>1158</v>
      </c>
      <c r="G26" s="362" t="s">
        <v>1158</v>
      </c>
      <c r="H26" s="362" t="s">
        <v>1553</v>
      </c>
      <c r="I26" s="362" t="s">
        <v>1553</v>
      </c>
      <c r="J26" s="362" t="s">
        <v>1553</v>
      </c>
      <c r="K26" s="362" t="s">
        <v>1553</v>
      </c>
      <c r="L26" s="374" t="s">
        <v>1553</v>
      </c>
      <c r="M26"/>
    </row>
    <row r="27" spans="1:13" x14ac:dyDescent="0.2">
      <c r="A27"/>
      <c r="B27" s="371" t="str">
        <f t="shared" si="0"/>
        <v>Hong Kong</v>
      </c>
      <c r="C27" s="372" t="s">
        <v>1027</v>
      </c>
      <c r="D27" s="373" t="s">
        <v>1026</v>
      </c>
      <c r="E27" s="363" t="s">
        <v>1026</v>
      </c>
      <c r="F27" s="363" t="s">
        <v>1026</v>
      </c>
      <c r="G27" s="363" t="s">
        <v>1026</v>
      </c>
      <c r="H27" s="362" t="s">
        <v>1553</v>
      </c>
      <c r="I27" s="362" t="s">
        <v>1553</v>
      </c>
      <c r="J27" s="362" t="s">
        <v>1553</v>
      </c>
      <c r="K27" s="362" t="s">
        <v>1553</v>
      </c>
      <c r="L27" s="374" t="s">
        <v>1553</v>
      </c>
      <c r="M27"/>
    </row>
    <row r="28" spans="1:13" x14ac:dyDescent="0.2">
      <c r="A28"/>
      <c r="B28" s="371" t="str">
        <f t="shared" si="0"/>
        <v>Hongrie</v>
      </c>
      <c r="C28" s="372" t="s">
        <v>1029</v>
      </c>
      <c r="D28" s="373" t="s">
        <v>1106</v>
      </c>
      <c r="E28" s="363" t="s">
        <v>1028</v>
      </c>
      <c r="F28" s="362" t="s">
        <v>1159</v>
      </c>
      <c r="G28" s="362" t="s">
        <v>1160</v>
      </c>
      <c r="H28" s="362" t="s">
        <v>1553</v>
      </c>
      <c r="I28" s="362" t="s">
        <v>1553</v>
      </c>
      <c r="J28" s="362" t="s">
        <v>1553</v>
      </c>
      <c r="K28" s="362" t="s">
        <v>1553</v>
      </c>
      <c r="L28" s="374" t="s">
        <v>1553</v>
      </c>
      <c r="M28"/>
    </row>
    <row r="29" spans="1:13" x14ac:dyDescent="0.2">
      <c r="A29"/>
      <c r="B29" s="371" t="str">
        <f t="shared" si="0"/>
        <v>Inde</v>
      </c>
      <c r="C29" s="372" t="s">
        <v>1031</v>
      </c>
      <c r="D29" s="373" t="s">
        <v>1107</v>
      </c>
      <c r="E29" s="363" t="s">
        <v>1030</v>
      </c>
      <c r="F29" s="362" t="s">
        <v>1161</v>
      </c>
      <c r="G29" s="363" t="s">
        <v>1030</v>
      </c>
      <c r="H29" s="362" t="s">
        <v>1553</v>
      </c>
      <c r="I29" s="362" t="s">
        <v>1553</v>
      </c>
      <c r="J29" s="362" t="s">
        <v>1553</v>
      </c>
      <c r="K29" s="362" t="s">
        <v>1553</v>
      </c>
      <c r="L29" s="374" t="s">
        <v>1553</v>
      </c>
      <c r="M29"/>
    </row>
    <row r="30" spans="1:13" x14ac:dyDescent="0.2">
      <c r="A30"/>
      <c r="B30" s="371" t="str">
        <f t="shared" si="0"/>
        <v>Irlande</v>
      </c>
      <c r="C30" s="372" t="s">
        <v>1033</v>
      </c>
      <c r="D30" s="373" t="s">
        <v>1108</v>
      </c>
      <c r="E30" s="363" t="s">
        <v>1032</v>
      </c>
      <c r="F30" s="362" t="s">
        <v>1162</v>
      </c>
      <c r="G30" s="362" t="s">
        <v>1162</v>
      </c>
      <c r="H30" s="362" t="s">
        <v>1553</v>
      </c>
      <c r="I30" s="362" t="s">
        <v>1553</v>
      </c>
      <c r="J30" s="362" t="s">
        <v>1553</v>
      </c>
      <c r="K30" s="362" t="s">
        <v>1553</v>
      </c>
      <c r="L30" s="374" t="s">
        <v>1553</v>
      </c>
      <c r="M30"/>
    </row>
    <row r="31" spans="1:13" x14ac:dyDescent="0.2">
      <c r="A31"/>
      <c r="B31" s="371" t="str">
        <f t="shared" si="0"/>
        <v>Israël</v>
      </c>
      <c r="C31" s="372" t="s">
        <v>1035</v>
      </c>
      <c r="D31" s="373" t="s">
        <v>1109</v>
      </c>
      <c r="E31" s="363" t="s">
        <v>1034</v>
      </c>
      <c r="F31" s="362" t="s">
        <v>1034</v>
      </c>
      <c r="G31" s="362" t="s">
        <v>1163</v>
      </c>
      <c r="H31" s="362" t="s">
        <v>1553</v>
      </c>
      <c r="I31" s="362" t="s">
        <v>1553</v>
      </c>
      <c r="J31" s="362" t="s">
        <v>1553</v>
      </c>
      <c r="K31" s="362" t="s">
        <v>1553</v>
      </c>
      <c r="L31" s="374" t="s">
        <v>1553</v>
      </c>
      <c r="M31"/>
    </row>
    <row r="32" spans="1:13" x14ac:dyDescent="0.2">
      <c r="A32"/>
      <c r="B32" s="371" t="str">
        <f t="shared" si="0"/>
        <v>Italie</v>
      </c>
      <c r="C32" s="372" t="s">
        <v>1037</v>
      </c>
      <c r="D32" s="373" t="s">
        <v>1110</v>
      </c>
      <c r="E32" s="363" t="s">
        <v>1036</v>
      </c>
      <c r="F32" s="362" t="s">
        <v>1164</v>
      </c>
      <c r="G32" s="362" t="s">
        <v>1164</v>
      </c>
      <c r="H32" s="362" t="s">
        <v>1553</v>
      </c>
      <c r="I32" s="362" t="s">
        <v>1553</v>
      </c>
      <c r="J32" s="362" t="s">
        <v>1553</v>
      </c>
      <c r="K32" s="362" t="s">
        <v>1553</v>
      </c>
      <c r="L32" s="374" t="s">
        <v>1553</v>
      </c>
      <c r="M32"/>
    </row>
    <row r="33" spans="1:13" x14ac:dyDescent="0.2">
      <c r="A33"/>
      <c r="B33" s="371" t="str">
        <f t="shared" si="0"/>
        <v>Jamaïque</v>
      </c>
      <c r="C33" s="372" t="s">
        <v>1039</v>
      </c>
      <c r="D33" s="373" t="s">
        <v>1111</v>
      </c>
      <c r="E33" s="363" t="s">
        <v>1038</v>
      </c>
      <c r="F33" s="362" t="s">
        <v>1038</v>
      </c>
      <c r="G33" s="362" t="s">
        <v>1165</v>
      </c>
      <c r="H33" s="362" t="s">
        <v>1553</v>
      </c>
      <c r="I33" s="362" t="s">
        <v>1553</v>
      </c>
      <c r="J33" s="362" t="s">
        <v>1553</v>
      </c>
      <c r="K33" s="362" t="s">
        <v>1553</v>
      </c>
      <c r="L33" s="374" t="s">
        <v>1553</v>
      </c>
      <c r="M33"/>
    </row>
    <row r="34" spans="1:13" x14ac:dyDescent="0.2">
      <c r="A34"/>
      <c r="B34" s="371" t="str">
        <f t="shared" si="0"/>
        <v>Japon</v>
      </c>
      <c r="C34" s="372" t="s">
        <v>1041</v>
      </c>
      <c r="D34" s="373" t="s">
        <v>1112</v>
      </c>
      <c r="E34" s="363" t="s">
        <v>1040</v>
      </c>
      <c r="F34" s="362" t="s">
        <v>1166</v>
      </c>
      <c r="G34" s="362" t="s">
        <v>1167</v>
      </c>
      <c r="H34" s="362" t="s">
        <v>1553</v>
      </c>
      <c r="I34" s="362" t="s">
        <v>1553</v>
      </c>
      <c r="J34" s="362" t="s">
        <v>1553</v>
      </c>
      <c r="K34" s="362" t="s">
        <v>1553</v>
      </c>
      <c r="L34" s="374" t="s">
        <v>1553</v>
      </c>
      <c r="M34"/>
    </row>
    <row r="35" spans="1:13" x14ac:dyDescent="0.2">
      <c r="A35"/>
      <c r="B35" s="371" t="str">
        <f t="shared" si="0"/>
        <v>Malte</v>
      </c>
      <c r="C35" s="372" t="s">
        <v>1045</v>
      </c>
      <c r="D35" s="373" t="s">
        <v>1115</v>
      </c>
      <c r="E35" s="363" t="s">
        <v>1044</v>
      </c>
      <c r="F35" s="362" t="s">
        <v>1044</v>
      </c>
      <c r="G35" s="362" t="s">
        <v>1044</v>
      </c>
      <c r="H35" s="362" t="s">
        <v>1553</v>
      </c>
      <c r="I35" s="362" t="s">
        <v>1553</v>
      </c>
      <c r="J35" s="362" t="s">
        <v>1553</v>
      </c>
      <c r="K35" s="362" t="s">
        <v>1553</v>
      </c>
      <c r="L35" s="374" t="s">
        <v>1553</v>
      </c>
      <c r="M35"/>
    </row>
    <row r="36" spans="1:13" x14ac:dyDescent="0.2">
      <c r="A36"/>
      <c r="B36" s="371" t="str">
        <f t="shared" si="0"/>
        <v>Mexique</v>
      </c>
      <c r="C36" s="372" t="s">
        <v>1043</v>
      </c>
      <c r="D36" s="373" t="s">
        <v>1114</v>
      </c>
      <c r="E36" s="363" t="s">
        <v>1042</v>
      </c>
      <c r="F36" s="362" t="s">
        <v>1168</v>
      </c>
      <c r="G36" s="362" t="s">
        <v>1169</v>
      </c>
      <c r="H36" s="362" t="s">
        <v>1553</v>
      </c>
      <c r="I36" s="362" t="s">
        <v>1553</v>
      </c>
      <c r="J36" s="362" t="s">
        <v>1553</v>
      </c>
      <c r="K36" s="362" t="s">
        <v>1553</v>
      </c>
      <c r="L36" s="374" t="s">
        <v>1553</v>
      </c>
      <c r="M36"/>
    </row>
    <row r="37" spans="1:13" x14ac:dyDescent="0.2">
      <c r="A37"/>
      <c r="B37" s="371" t="str">
        <f t="shared" ref="B37:B58" si="1">HLOOKUP(Language,D$4:L$59,ROW()-3,FALSE)</f>
        <v>Malaysie</v>
      </c>
      <c r="C37" s="372" t="s">
        <v>1047</v>
      </c>
      <c r="D37" s="373" t="s">
        <v>1113</v>
      </c>
      <c r="E37" s="363" t="s">
        <v>1046</v>
      </c>
      <c r="F37" s="362" t="s">
        <v>1170</v>
      </c>
      <c r="G37" s="362" t="s">
        <v>1171</v>
      </c>
      <c r="H37" s="362" t="s">
        <v>1553</v>
      </c>
      <c r="I37" s="362" t="s">
        <v>1553</v>
      </c>
      <c r="J37" s="362" t="s">
        <v>1553</v>
      </c>
      <c r="K37" s="362" t="s">
        <v>1553</v>
      </c>
      <c r="L37" s="374" t="s">
        <v>1553</v>
      </c>
      <c r="M37"/>
    </row>
    <row r="38" spans="1:13" x14ac:dyDescent="0.2">
      <c r="A38"/>
      <c r="B38" s="371" t="str">
        <f t="shared" si="1"/>
        <v>Monaco</v>
      </c>
      <c r="C38" s="372" t="s">
        <v>1049</v>
      </c>
      <c r="D38" s="373" t="s">
        <v>1048</v>
      </c>
      <c r="E38" s="363" t="s">
        <v>1048</v>
      </c>
      <c r="F38" s="362" t="s">
        <v>1172</v>
      </c>
      <c r="G38" s="363" t="s">
        <v>1048</v>
      </c>
      <c r="H38" s="362" t="s">
        <v>1553</v>
      </c>
      <c r="I38" s="362" t="s">
        <v>1553</v>
      </c>
      <c r="J38" s="362" t="s">
        <v>1553</v>
      </c>
      <c r="K38" s="362" t="s">
        <v>1553</v>
      </c>
      <c r="L38" s="374" t="s">
        <v>1553</v>
      </c>
      <c r="M38"/>
    </row>
    <row r="39" spans="1:13" x14ac:dyDescent="0.2">
      <c r="A39"/>
      <c r="B39" s="371" t="str">
        <f t="shared" si="1"/>
        <v>Pays-Bas</v>
      </c>
      <c r="C39" s="372" t="s">
        <v>1051</v>
      </c>
      <c r="D39" s="373" t="s">
        <v>1116</v>
      </c>
      <c r="E39" s="363" t="s">
        <v>1050</v>
      </c>
      <c r="F39" s="362" t="s">
        <v>1173</v>
      </c>
      <c r="G39" s="362" t="s">
        <v>1174</v>
      </c>
      <c r="H39" s="362" t="s">
        <v>1553</v>
      </c>
      <c r="I39" s="362" t="s">
        <v>1553</v>
      </c>
      <c r="J39" s="362" t="s">
        <v>1553</v>
      </c>
      <c r="K39" s="362" t="s">
        <v>1553</v>
      </c>
      <c r="L39" s="374" t="s">
        <v>1553</v>
      </c>
      <c r="M39"/>
    </row>
    <row r="40" spans="1:13" x14ac:dyDescent="0.2">
      <c r="A40"/>
      <c r="B40" s="371" t="str">
        <f t="shared" si="1"/>
        <v>Nigéria</v>
      </c>
      <c r="C40" s="372" t="s">
        <v>1053</v>
      </c>
      <c r="D40" s="373" t="s">
        <v>1117</v>
      </c>
      <c r="E40" s="363" t="s">
        <v>1052</v>
      </c>
      <c r="F40" s="362" t="s">
        <v>1052</v>
      </c>
      <c r="G40" s="362" t="s">
        <v>1052</v>
      </c>
      <c r="H40" s="362" t="s">
        <v>1553</v>
      </c>
      <c r="I40" s="362" t="s">
        <v>1553</v>
      </c>
      <c r="J40" s="362" t="s">
        <v>1553</v>
      </c>
      <c r="K40" s="362" t="s">
        <v>1553</v>
      </c>
      <c r="L40" s="374" t="s">
        <v>1553</v>
      </c>
      <c r="M40"/>
    </row>
    <row r="41" spans="1:13" x14ac:dyDescent="0.2">
      <c r="A41"/>
      <c r="B41" s="371" t="str">
        <f t="shared" si="1"/>
        <v>Irlande du Nord</v>
      </c>
      <c r="C41" s="372" t="s">
        <v>1055</v>
      </c>
      <c r="D41" s="373" t="s">
        <v>1118</v>
      </c>
      <c r="E41" s="363" t="s">
        <v>1054</v>
      </c>
      <c r="F41" s="362" t="s">
        <v>1175</v>
      </c>
      <c r="G41" s="362" t="s">
        <v>1176</v>
      </c>
      <c r="H41" s="362" t="s">
        <v>1553</v>
      </c>
      <c r="I41" s="362" t="s">
        <v>1553</v>
      </c>
      <c r="J41" s="362" t="s">
        <v>1553</v>
      </c>
      <c r="K41" s="362" t="s">
        <v>1553</v>
      </c>
      <c r="L41" s="374" t="s">
        <v>1553</v>
      </c>
      <c r="M41"/>
    </row>
    <row r="42" spans="1:13" x14ac:dyDescent="0.2">
      <c r="A42"/>
      <c r="B42" s="371" t="str">
        <f t="shared" si="1"/>
        <v>Norvège</v>
      </c>
      <c r="C42" s="372" t="s">
        <v>1057</v>
      </c>
      <c r="D42" s="373" t="s">
        <v>1119</v>
      </c>
      <c r="E42" s="363" t="s">
        <v>1056</v>
      </c>
      <c r="F42" s="362" t="s">
        <v>1177</v>
      </c>
      <c r="G42" s="362" t="s">
        <v>1178</v>
      </c>
      <c r="H42" s="362" t="s">
        <v>1553</v>
      </c>
      <c r="I42" s="362" t="s">
        <v>1553</v>
      </c>
      <c r="J42" s="362" t="s">
        <v>1553</v>
      </c>
      <c r="K42" s="362" t="s">
        <v>1553</v>
      </c>
      <c r="L42" s="374" t="s">
        <v>1553</v>
      </c>
      <c r="M42"/>
    </row>
    <row r="43" spans="1:13" x14ac:dyDescent="0.2">
      <c r="A43"/>
      <c r="B43" s="371" t="str">
        <f t="shared" si="1"/>
        <v>Pologne</v>
      </c>
      <c r="C43" s="372" t="s">
        <v>1059</v>
      </c>
      <c r="D43" s="373" t="s">
        <v>1120</v>
      </c>
      <c r="E43" s="363" t="s">
        <v>1058</v>
      </c>
      <c r="F43" s="362" t="s">
        <v>1179</v>
      </c>
      <c r="G43" s="362" t="s">
        <v>1179</v>
      </c>
      <c r="H43" s="362" t="s">
        <v>1553</v>
      </c>
      <c r="I43" s="362" t="s">
        <v>1553</v>
      </c>
      <c r="J43" s="362" t="s">
        <v>1553</v>
      </c>
      <c r="K43" s="362" t="s">
        <v>1553</v>
      </c>
      <c r="L43" s="374" t="s">
        <v>1553</v>
      </c>
      <c r="M43"/>
    </row>
    <row r="44" spans="1:13" x14ac:dyDescent="0.2">
      <c r="A44"/>
      <c r="B44" s="371" t="str">
        <f t="shared" si="1"/>
        <v>Portugal</v>
      </c>
      <c r="C44" s="372" t="s">
        <v>1061</v>
      </c>
      <c r="D44" s="373" t="s">
        <v>1060</v>
      </c>
      <c r="E44" s="363" t="s">
        <v>1060</v>
      </c>
      <c r="F44" s="362" t="s">
        <v>1060</v>
      </c>
      <c r="G44" s="362" t="s">
        <v>1180</v>
      </c>
      <c r="H44" s="362" t="s">
        <v>1553</v>
      </c>
      <c r="I44" s="362" t="s">
        <v>1553</v>
      </c>
      <c r="J44" s="362" t="s">
        <v>1553</v>
      </c>
      <c r="K44" s="362" t="s">
        <v>1553</v>
      </c>
      <c r="L44" s="374" t="s">
        <v>1553</v>
      </c>
      <c r="M44"/>
    </row>
    <row r="45" spans="1:13" x14ac:dyDescent="0.2">
      <c r="A45"/>
      <c r="B45" s="371" t="str">
        <f t="shared" si="1"/>
        <v>Roumanie</v>
      </c>
      <c r="C45" s="372" t="s">
        <v>1063</v>
      </c>
      <c r="D45" s="373" t="s">
        <v>1121</v>
      </c>
      <c r="E45" s="363" t="s">
        <v>1062</v>
      </c>
      <c r="F45" s="362" t="s">
        <v>1181</v>
      </c>
      <c r="G45" s="362" t="s">
        <v>1062</v>
      </c>
      <c r="H45" s="362" t="s">
        <v>1553</v>
      </c>
      <c r="I45" s="362" t="s">
        <v>1553</v>
      </c>
      <c r="J45" s="362" t="s">
        <v>1553</v>
      </c>
      <c r="K45" s="362" t="s">
        <v>1553</v>
      </c>
      <c r="L45" s="374" t="s">
        <v>1553</v>
      </c>
      <c r="M45"/>
    </row>
    <row r="46" spans="1:13" x14ac:dyDescent="0.2">
      <c r="A46"/>
      <c r="B46" s="371" t="str">
        <f t="shared" si="1"/>
        <v>Russie</v>
      </c>
      <c r="C46" s="372" t="s">
        <v>1065</v>
      </c>
      <c r="D46" s="373" t="s">
        <v>1122</v>
      </c>
      <c r="E46" s="363" t="s">
        <v>1064</v>
      </c>
      <c r="F46" s="362" t="s">
        <v>1182</v>
      </c>
      <c r="G46" s="363" t="s">
        <v>1064</v>
      </c>
      <c r="H46" s="362" t="s">
        <v>1553</v>
      </c>
      <c r="I46" s="362" t="s">
        <v>1553</v>
      </c>
      <c r="J46" s="362" t="s">
        <v>1553</v>
      </c>
      <c r="K46" s="362" t="s">
        <v>1553</v>
      </c>
      <c r="L46" s="374" t="s">
        <v>1553</v>
      </c>
      <c r="M46"/>
    </row>
    <row r="47" spans="1:13" x14ac:dyDescent="0.2">
      <c r="A47"/>
      <c r="B47" s="371" t="str">
        <f t="shared" si="1"/>
        <v>Ecosse</v>
      </c>
      <c r="C47" s="372" t="s">
        <v>1069</v>
      </c>
      <c r="D47" s="373" t="s">
        <v>1124</v>
      </c>
      <c r="E47" s="363" t="s">
        <v>1068</v>
      </c>
      <c r="F47" s="362" t="s">
        <v>1184</v>
      </c>
      <c r="G47" s="362" t="s">
        <v>1183</v>
      </c>
      <c r="H47" s="362" t="s">
        <v>1553</v>
      </c>
      <c r="I47" s="362" t="s">
        <v>1553</v>
      </c>
      <c r="J47" s="362" t="s">
        <v>1553</v>
      </c>
      <c r="K47" s="362" t="s">
        <v>1553</v>
      </c>
      <c r="L47" s="374" t="s">
        <v>1553</v>
      </c>
      <c r="M47"/>
    </row>
    <row r="48" spans="1:13" x14ac:dyDescent="0.2">
      <c r="A48"/>
      <c r="B48" s="371" t="str">
        <f t="shared" si="1"/>
        <v>Singapour</v>
      </c>
      <c r="C48" s="372" t="s">
        <v>1071</v>
      </c>
      <c r="D48" s="373" t="s">
        <v>1125</v>
      </c>
      <c r="E48" s="363" t="s">
        <v>1070</v>
      </c>
      <c r="F48" s="362" t="s">
        <v>1185</v>
      </c>
      <c r="G48" s="362" t="s">
        <v>1070</v>
      </c>
      <c r="H48" s="362" t="s">
        <v>1553</v>
      </c>
      <c r="I48" s="362" t="s">
        <v>1553</v>
      </c>
      <c r="J48" s="362" t="s">
        <v>1553</v>
      </c>
      <c r="K48" s="362" t="s">
        <v>1553</v>
      </c>
      <c r="L48" s="374" t="s">
        <v>1553</v>
      </c>
      <c r="M48"/>
    </row>
    <row r="49" spans="1:13" x14ac:dyDescent="0.2">
      <c r="A49"/>
      <c r="B49" s="371" t="str">
        <f t="shared" si="1"/>
        <v>Suisse</v>
      </c>
      <c r="C49" s="372" t="s">
        <v>1074</v>
      </c>
      <c r="D49" s="373" t="s">
        <v>1126</v>
      </c>
      <c r="E49" s="363" t="s">
        <v>1073</v>
      </c>
      <c r="F49" s="362" t="s">
        <v>1186</v>
      </c>
      <c r="G49" s="362" t="s">
        <v>1187</v>
      </c>
      <c r="H49" s="362" t="s">
        <v>1553</v>
      </c>
      <c r="I49" s="362" t="s">
        <v>1553</v>
      </c>
      <c r="J49" s="362" t="s">
        <v>1553</v>
      </c>
      <c r="K49" s="362" t="s">
        <v>1553</v>
      </c>
      <c r="L49" s="374" t="s">
        <v>1553</v>
      </c>
      <c r="M49"/>
    </row>
    <row r="50" spans="1:13" x14ac:dyDescent="0.2">
      <c r="A50"/>
      <c r="B50" s="371" t="str">
        <f t="shared" si="1"/>
        <v>Afrique du Sud</v>
      </c>
      <c r="C50" s="372" t="s">
        <v>1067</v>
      </c>
      <c r="D50" s="373" t="s">
        <v>1123</v>
      </c>
      <c r="E50" s="363" t="s">
        <v>1066</v>
      </c>
      <c r="F50" s="362" t="s">
        <v>1188</v>
      </c>
      <c r="G50" s="362" t="s">
        <v>1189</v>
      </c>
      <c r="H50" s="362" t="s">
        <v>1553</v>
      </c>
      <c r="I50" s="362" t="s">
        <v>1553</v>
      </c>
      <c r="J50" s="362" t="s">
        <v>1553</v>
      </c>
      <c r="K50" s="362" t="s">
        <v>1553</v>
      </c>
      <c r="L50" s="374" t="s">
        <v>1553</v>
      </c>
      <c r="M50"/>
    </row>
    <row r="51" spans="1:13" x14ac:dyDescent="0.2">
      <c r="A51"/>
      <c r="B51" s="371" t="str">
        <f t="shared" si="1"/>
        <v>Espagne</v>
      </c>
      <c r="C51" s="372" t="s">
        <v>1015</v>
      </c>
      <c r="D51" s="373" t="s">
        <v>1102</v>
      </c>
      <c r="E51" s="363" t="s">
        <v>1014</v>
      </c>
      <c r="F51" s="362" t="s">
        <v>1190</v>
      </c>
      <c r="G51" s="362" t="s">
        <v>1191</v>
      </c>
      <c r="H51" s="362" t="s">
        <v>1553</v>
      </c>
      <c r="I51" s="362" t="s">
        <v>1553</v>
      </c>
      <c r="J51" s="362" t="s">
        <v>1553</v>
      </c>
      <c r="K51" s="362" t="s">
        <v>1553</v>
      </c>
      <c r="L51" s="374" t="s">
        <v>1553</v>
      </c>
      <c r="M51"/>
    </row>
    <row r="52" spans="1:13" x14ac:dyDescent="0.2">
      <c r="A52"/>
      <c r="B52" s="371" t="str">
        <f t="shared" si="1"/>
        <v>Slovaquie</v>
      </c>
      <c r="C52" s="372" t="s">
        <v>1074</v>
      </c>
      <c r="D52" s="373" t="s">
        <v>1127</v>
      </c>
      <c r="E52" s="363" t="s">
        <v>1072</v>
      </c>
      <c r="F52" s="362" t="s">
        <v>1192</v>
      </c>
      <c r="G52" s="362" t="s">
        <v>1193</v>
      </c>
      <c r="H52" s="362" t="s">
        <v>1553</v>
      </c>
      <c r="I52" s="362" t="s">
        <v>1553</v>
      </c>
      <c r="J52" s="362" t="s">
        <v>1553</v>
      </c>
      <c r="K52" s="362" t="s">
        <v>1553</v>
      </c>
      <c r="L52" s="374" t="s">
        <v>1553</v>
      </c>
      <c r="M52"/>
    </row>
    <row r="53" spans="1:13" x14ac:dyDescent="0.2">
      <c r="A53"/>
      <c r="B53" s="371" t="str">
        <f t="shared" si="1"/>
        <v>Tunisie</v>
      </c>
      <c r="C53" s="372" t="s">
        <v>1076</v>
      </c>
      <c r="D53" s="373" t="s">
        <v>1128</v>
      </c>
      <c r="E53" s="363" t="s">
        <v>1075</v>
      </c>
      <c r="F53" s="362" t="s">
        <v>1194</v>
      </c>
      <c r="G53" s="362" t="s">
        <v>1075</v>
      </c>
      <c r="H53" s="362" t="s">
        <v>1553</v>
      </c>
      <c r="I53" s="362" t="s">
        <v>1553</v>
      </c>
      <c r="J53" s="362" t="s">
        <v>1553</v>
      </c>
      <c r="K53" s="362" t="s">
        <v>1553</v>
      </c>
      <c r="L53" s="374" t="s">
        <v>1553</v>
      </c>
      <c r="M53"/>
    </row>
    <row r="54" spans="1:13" x14ac:dyDescent="0.2">
      <c r="A54"/>
      <c r="B54" s="371" t="str">
        <f t="shared" si="1"/>
        <v>Turquie</v>
      </c>
      <c r="C54" s="372" t="s">
        <v>1078</v>
      </c>
      <c r="D54" s="373" t="s">
        <v>1129</v>
      </c>
      <c r="E54" s="363" t="s">
        <v>1077</v>
      </c>
      <c r="F54" s="362" t="s">
        <v>1195</v>
      </c>
      <c r="G54" s="362" t="s">
        <v>1196</v>
      </c>
      <c r="H54" s="362" t="s">
        <v>1553</v>
      </c>
      <c r="I54" s="362" t="s">
        <v>1553</v>
      </c>
      <c r="J54" s="362" t="s">
        <v>1553</v>
      </c>
      <c r="K54" s="362" t="s">
        <v>1553</v>
      </c>
      <c r="L54" s="374" t="s">
        <v>1553</v>
      </c>
      <c r="M54"/>
    </row>
    <row r="55" spans="1:13" x14ac:dyDescent="0.2">
      <c r="A55"/>
      <c r="B55" s="371" t="str">
        <f t="shared" si="1"/>
        <v>Etats-Unis</v>
      </c>
      <c r="C55" s="372" t="s">
        <v>1079</v>
      </c>
      <c r="D55" s="373" t="s">
        <v>1130</v>
      </c>
      <c r="E55" s="363" t="s">
        <v>1079</v>
      </c>
      <c r="F55" s="362" t="s">
        <v>1197</v>
      </c>
      <c r="G55" s="362" t="s">
        <v>1198</v>
      </c>
      <c r="H55" s="362" t="s">
        <v>1553</v>
      </c>
      <c r="I55" s="362" t="s">
        <v>1553</v>
      </c>
      <c r="J55" s="362" t="s">
        <v>1553</v>
      </c>
      <c r="K55" s="362" t="s">
        <v>1553</v>
      </c>
      <c r="L55" s="374" t="s">
        <v>1553</v>
      </c>
      <c r="M55"/>
    </row>
    <row r="56" spans="1:13" x14ac:dyDescent="0.2">
      <c r="A56"/>
      <c r="B56" s="371" t="str">
        <f t="shared" si="1"/>
        <v>Vietnam</v>
      </c>
      <c r="C56" s="372" t="s">
        <v>1081</v>
      </c>
      <c r="D56" s="373" t="s">
        <v>1080</v>
      </c>
      <c r="E56" s="363" t="s">
        <v>1080</v>
      </c>
      <c r="F56" s="362" t="s">
        <v>1080</v>
      </c>
      <c r="G56" s="362" t="s">
        <v>1080</v>
      </c>
      <c r="H56" s="362" t="s">
        <v>1553</v>
      </c>
      <c r="I56" s="362" t="s">
        <v>1553</v>
      </c>
      <c r="J56" s="362" t="s">
        <v>1553</v>
      </c>
      <c r="K56" s="362" t="s">
        <v>1553</v>
      </c>
      <c r="L56" s="374" t="s">
        <v>1553</v>
      </c>
      <c r="M56"/>
    </row>
    <row r="57" spans="1:13" x14ac:dyDescent="0.2">
      <c r="A57"/>
      <c r="B57" s="371" t="str">
        <f t="shared" si="1"/>
        <v>Pays de Galles</v>
      </c>
      <c r="C57" s="372" t="s">
        <v>1083</v>
      </c>
      <c r="D57" s="373" t="s">
        <v>1131</v>
      </c>
      <c r="E57" s="363" t="s">
        <v>1082</v>
      </c>
      <c r="F57" s="362" t="s">
        <v>1199</v>
      </c>
      <c r="G57" s="362" t="s">
        <v>1200</v>
      </c>
      <c r="H57" s="362" t="s">
        <v>1553</v>
      </c>
      <c r="I57" s="362" t="s">
        <v>1553</v>
      </c>
      <c r="J57" s="362" t="s">
        <v>1553</v>
      </c>
      <c r="K57" s="362" t="s">
        <v>1553</v>
      </c>
      <c r="L57" s="374" t="s">
        <v>1553</v>
      </c>
      <c r="M57"/>
    </row>
    <row r="58" spans="1:13" ht="13.5" thickBot="1" x14ac:dyDescent="0.25">
      <c r="A58"/>
      <c r="B58" s="375" t="str">
        <f t="shared" si="1"/>
        <v>Zimbabwé</v>
      </c>
      <c r="C58" s="376" t="s">
        <v>1085</v>
      </c>
      <c r="D58" s="377" t="s">
        <v>1132</v>
      </c>
      <c r="E58" s="378" t="s">
        <v>1084</v>
      </c>
      <c r="F58" s="379" t="s">
        <v>1201</v>
      </c>
      <c r="G58" s="379" t="s">
        <v>1084</v>
      </c>
      <c r="H58" s="379" t="s">
        <v>1553</v>
      </c>
      <c r="I58" s="379" t="s">
        <v>1553</v>
      </c>
      <c r="J58" s="379" t="s">
        <v>1553</v>
      </c>
      <c r="K58" s="379" t="s">
        <v>1553</v>
      </c>
      <c r="L58" s="380" t="s">
        <v>1553</v>
      </c>
      <c r="M58"/>
    </row>
    <row r="59" spans="1:13" x14ac:dyDescent="0.2">
      <c r="A59"/>
      <c r="B59"/>
      <c r="C59" s="1"/>
      <c r="D59"/>
      <c r="E59"/>
      <c r="F59"/>
      <c r="G59"/>
      <c r="H59"/>
      <c r="I59"/>
      <c r="J59"/>
      <c r="K59"/>
      <c r="L59"/>
      <c r="M59"/>
    </row>
  </sheetData>
  <sheetProtection sheet="1" objects="1" scenarios="1" formatColumns="0" formatRows="0" sort="0" autoFilter="0"/>
  <autoFilter ref="B4:L4" xr:uid="{00000000-0009-0000-0000-000006000000}">
    <sortState xmlns:xlrd2="http://schemas.microsoft.com/office/spreadsheetml/2017/richdata2" ref="B5:L58">
      <sortCondition ref="E4"/>
    </sortState>
  </autoFilter>
  <dataConsolidate/>
  <customSheetViews>
    <customSheetView guid="{13F24B0A-7740-483A-BEF7-5257F8522605}" showGridLines="0" zeroValues="0" showAutoFilter="1" state="hidden">
      <pane xSplit="2" ySplit="4" topLeftCell="C5" activePane="bottomRight" state="frozen"/>
      <selection pane="bottomRight" activeCell="B1" sqref="B1:L1"/>
      <pageMargins left="0.7" right="0.7" top="0.75" bottom="0.75" header="0.3" footer="0.3"/>
      <pageSetup paperSize="9" orientation="portrait" r:id="rId1"/>
      <autoFilter ref="B4:L4" xr:uid="{4D83AF2E-3FB6-4F8A-9D0B-964F41DD87F6}">
        <sortState xmlns:xlrd2="http://schemas.microsoft.com/office/spreadsheetml/2017/richdata2" ref="B5:L58">
          <sortCondition ref="E4"/>
        </sortState>
      </autoFilter>
    </customSheetView>
  </customSheetViews>
  <mergeCells count="2">
    <mergeCell ref="D3:L3"/>
    <mergeCell ref="B1:L1"/>
  </mergeCells>
  <phoneticPr fontId="61" type="noConversion"/>
  <conditionalFormatting sqref="B5:B58">
    <cfRule type="expression" dxfId="105" priority="3" stopIfTrue="1">
      <formula>TRUE</formula>
    </cfRule>
  </conditionalFormatting>
  <conditionalFormatting sqref="D3:L4">
    <cfRule type="expression" dxfId="104" priority="2" stopIfTrue="1">
      <formula>TRUE</formula>
    </cfRule>
  </conditionalFormatting>
  <conditionalFormatting sqref="C5:L58">
    <cfRule type="expression" dxfId="103" priority="1" stopIfTrue="1">
      <formula>TRUE</formula>
    </cfRule>
  </conditionalFormatting>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_Ranking">
    <tabColor rgb="FFFFC000"/>
    <pageSetUpPr fitToPage="1"/>
  </sheetPr>
  <dimension ref="A1:J3019"/>
  <sheetViews>
    <sheetView showGridLines="0" workbookViewId="0">
      <pane ySplit="6" topLeftCell="A220" activePane="bottomLeft" state="frozen"/>
      <selection activeCell="N33" sqref="N33"/>
      <selection pane="bottomLeft"/>
    </sheetView>
  </sheetViews>
  <sheetFormatPr baseColWidth="10" defaultColWidth="3.5703125" defaultRowHeight="12.75" zeroHeight="1" x14ac:dyDescent="0.2"/>
  <cols>
    <col min="1" max="1" width="5.7109375" style="7" customWidth="1"/>
    <col min="2" max="2" width="20.7109375" style="7" customWidth="1"/>
    <col min="3" max="3" width="30.140625" style="7" bestFit="1" customWidth="1"/>
    <col min="4" max="4" width="10.7109375" style="7" bestFit="1" customWidth="1"/>
    <col min="5" max="5" width="5.5703125" style="7" bestFit="1" customWidth="1"/>
    <col min="6" max="6" width="28.28515625" style="7" bestFit="1" customWidth="1"/>
    <col min="7" max="7" width="18.140625" style="7" bestFit="1" customWidth="1"/>
    <col min="8" max="8" width="37.28515625" style="7" bestFit="1" customWidth="1"/>
    <col min="9" max="9" width="12" style="7" bestFit="1" customWidth="1"/>
    <col min="10" max="10" width="11" style="7" bestFit="1" customWidth="1"/>
    <col min="11" max="11" width="3.5703125" style="7"/>
    <col min="12" max="12" width="26.28515625" style="7" customWidth="1"/>
    <col min="13" max="16384" width="3.5703125" style="7"/>
  </cols>
  <sheetData>
    <row r="1" spans="1:10" ht="36" thickBot="1" x14ac:dyDescent="0.55000000000000004">
      <c r="A1" s="1853">
        <v>100</v>
      </c>
      <c r="B1" s="1852"/>
      <c r="C1" s="2259" t="str">
        <f>N_RankingSheetTitle</f>
        <v>Classement des joueurs</v>
      </c>
      <c r="D1" s="2259"/>
      <c r="E1" s="2259"/>
      <c r="F1" s="2259"/>
      <c r="G1" s="2259"/>
      <c r="H1" s="2259"/>
      <c r="I1" s="2259"/>
      <c r="J1" s="2259"/>
    </row>
    <row r="2" spans="1:10" x14ac:dyDescent="0.2">
      <c r="B2" s="388"/>
      <c r="C2" s="1440"/>
      <c r="D2" s="1440"/>
      <c r="E2" s="1440"/>
      <c r="F2" s="1438" t="str">
        <f>N_TotalNbRankedPlayers</f>
        <v>Nombre total de joueurs classés</v>
      </c>
      <c r="G2" s="1414">
        <f ca="1">COUNTA(OFFSET(FullPlayersRankingList,0,2,,1))</f>
        <v>1926</v>
      </c>
      <c r="H2" s="1440"/>
      <c r="I2" s="1440"/>
      <c r="J2" s="1439"/>
    </row>
    <row r="3" spans="1:10" ht="15" x14ac:dyDescent="0.2">
      <c r="A3" s="1394"/>
      <c r="B3" s="389"/>
      <c r="C3" s="1435"/>
      <c r="D3" s="1435"/>
      <c r="E3" s="1436"/>
      <c r="F3" s="1422" t="str">
        <f>N_TotalNbRankingLines</f>
        <v>Nombre total de lignes de classement</v>
      </c>
      <c r="G3" s="1411">
        <f ca="1">COUNTA(OFFSET(FullPlayersRankingList,0,0,,1))</f>
        <v>2249</v>
      </c>
      <c r="H3" s="1422"/>
      <c r="I3" s="1435"/>
      <c r="J3" s="1437"/>
    </row>
    <row r="4" spans="1:10" ht="15" x14ac:dyDescent="0.2">
      <c r="A4" s="1394"/>
      <c r="B4" s="391"/>
      <c r="C4" s="1435"/>
      <c r="D4" s="1435"/>
      <c r="E4" s="1436"/>
      <c r="F4" s="1410"/>
      <c r="G4" s="1410"/>
      <c r="H4" s="1422"/>
      <c r="I4" s="1411"/>
      <c r="J4" s="1437"/>
    </row>
    <row r="5" spans="1:10" ht="13.5" customHeight="1" thickBot="1" x14ac:dyDescent="0.3">
      <c r="B5" s="361"/>
      <c r="C5" s="2257" t="str">
        <f>N_RankedPlayers_list</f>
        <v>Liste des joueurs classés</v>
      </c>
      <c r="D5" s="2257"/>
      <c r="E5" s="2257"/>
      <c r="F5" s="2257"/>
      <c r="G5" s="2257"/>
      <c r="H5" s="2257"/>
      <c r="I5" s="2257"/>
      <c r="J5" s="2258"/>
    </row>
    <row r="6" spans="1:10" ht="13.5" thickBot="1" x14ac:dyDescent="0.25">
      <c r="B6" s="392"/>
      <c r="C6" s="1432"/>
      <c r="D6" s="1432" t="str">
        <f>N_Category</f>
        <v>Catégorie</v>
      </c>
      <c r="E6" s="1432" t="str">
        <f>N_Rank</f>
        <v>Clas.</v>
      </c>
      <c r="F6" s="1433" t="str">
        <f>N_Family_Name</f>
        <v>Nom</v>
      </c>
      <c r="G6" s="1433" t="str">
        <f>N_1st_Name</f>
        <v>Prénom</v>
      </c>
      <c r="H6" s="1433" t="str">
        <f>N_Club</f>
        <v>Club</v>
      </c>
      <c r="I6" s="1432" t="str">
        <f>N_Nationality</f>
        <v>Nationalité</v>
      </c>
      <c r="J6" s="1434" t="str">
        <f>N_Points</f>
        <v>Points</v>
      </c>
    </row>
    <row r="7" spans="1:10" ht="13.5" thickBot="1" x14ac:dyDescent="0.25">
      <c r="B7" s="392" t="str">
        <f t="shared" ref="B7:B70" si="0">CONCATENATE(D7," - ",C7)</f>
        <v>Open - FLORES Carlos</v>
      </c>
      <c r="C7" s="1441" t="str">
        <f>CONCATENATE(UPPER(F7)," ",G7)</f>
        <v>FLORES Carlos</v>
      </c>
      <c r="D7" s="1428" t="s">
        <v>889</v>
      </c>
      <c r="E7" s="1429">
        <v>1</v>
      </c>
      <c r="F7" s="2197" t="s">
        <v>3007</v>
      </c>
      <c r="G7" s="2198" t="s">
        <v>3008</v>
      </c>
      <c r="H7" s="2197" t="s">
        <v>7870</v>
      </c>
      <c r="I7" s="2199" t="s">
        <v>1015</v>
      </c>
      <c r="J7" s="2196">
        <v>4087.5</v>
      </c>
    </row>
    <row r="8" spans="1:10" ht="13.5" thickBot="1" x14ac:dyDescent="0.25">
      <c r="B8" s="392" t="str">
        <f t="shared" si="0"/>
        <v>Open - GOLGER Bessim</v>
      </c>
      <c r="C8" s="1441" t="str">
        <f t="shared" ref="C8:C70" si="1">CONCATENATE(UPPER(F8)," ",G8)</f>
        <v>GOLGER Bessim</v>
      </c>
      <c r="D8" s="1428" t="s">
        <v>889</v>
      </c>
      <c r="E8" s="1429">
        <v>2</v>
      </c>
      <c r="F8" s="2197" t="s">
        <v>3018</v>
      </c>
      <c r="G8" s="2198" t="s">
        <v>3019</v>
      </c>
      <c r="H8" s="2197" t="s">
        <v>10253</v>
      </c>
      <c r="I8" s="2199" t="s">
        <v>990</v>
      </c>
      <c r="J8" s="2196">
        <v>3079.5</v>
      </c>
    </row>
    <row r="9" spans="1:10" ht="13.5" thickBot="1" x14ac:dyDescent="0.25">
      <c r="B9" s="392" t="str">
        <f t="shared" si="0"/>
        <v>Open - DHEUR Christophe</v>
      </c>
      <c r="C9" s="1441" t="str">
        <f t="shared" si="1"/>
        <v>DHEUR Christophe</v>
      </c>
      <c r="D9" s="1428" t="s">
        <v>889</v>
      </c>
      <c r="E9" s="1429">
        <v>3</v>
      </c>
      <c r="F9" s="2197" t="s">
        <v>3011</v>
      </c>
      <c r="G9" s="2198" t="s">
        <v>3012</v>
      </c>
      <c r="H9" s="2197" t="s">
        <v>2750</v>
      </c>
      <c r="I9" s="2199" t="s">
        <v>990</v>
      </c>
      <c r="J9" s="2196">
        <v>2896</v>
      </c>
    </row>
    <row r="10" spans="1:10" ht="13.5" thickBot="1" x14ac:dyDescent="0.25">
      <c r="B10" s="392" t="str">
        <f t="shared" si="0"/>
        <v>Open - DIMOPOULOS Dimitrios</v>
      </c>
      <c r="C10" s="1441" t="str">
        <f t="shared" si="1"/>
        <v>DIMOPOULOS Dimitrios</v>
      </c>
      <c r="D10" s="1428" t="s">
        <v>889</v>
      </c>
      <c r="E10" s="1429">
        <v>4</v>
      </c>
      <c r="F10" s="2197" t="s">
        <v>3166</v>
      </c>
      <c r="G10" s="2198" t="s">
        <v>5644</v>
      </c>
      <c r="H10" s="2197" t="s">
        <v>10262</v>
      </c>
      <c r="I10" s="2199" t="s">
        <v>1025</v>
      </c>
      <c r="J10" s="2196">
        <v>2463.5</v>
      </c>
    </row>
    <row r="11" spans="1:10" ht="13.5" thickBot="1" x14ac:dyDescent="0.25">
      <c r="B11" s="392" t="str">
        <f t="shared" si="0"/>
        <v>Open - HAAS Wolfgang</v>
      </c>
      <c r="C11" s="1441" t="str">
        <f t="shared" si="1"/>
        <v>HAAS Wolfgang</v>
      </c>
      <c r="D11" s="1428" t="s">
        <v>889</v>
      </c>
      <c r="E11" s="1429">
        <v>5</v>
      </c>
      <c r="F11" s="2197" t="s">
        <v>3030</v>
      </c>
      <c r="G11" s="2198" t="s">
        <v>3010</v>
      </c>
      <c r="H11" s="2197" t="s">
        <v>10253</v>
      </c>
      <c r="I11" s="2199" t="s">
        <v>988</v>
      </c>
      <c r="J11" s="2196">
        <v>2380</v>
      </c>
    </row>
    <row r="12" spans="1:10" ht="13.5" thickBot="1" x14ac:dyDescent="0.25">
      <c r="B12" s="392" t="str">
        <f t="shared" si="0"/>
        <v>Open - BARTOLO Samuel</v>
      </c>
      <c r="C12" s="1441" t="str">
        <f t="shared" si="1"/>
        <v>BARTOLO Samuel</v>
      </c>
      <c r="D12" s="1428" t="s">
        <v>889</v>
      </c>
      <c r="E12" s="1429">
        <v>6</v>
      </c>
      <c r="F12" s="2197" t="s">
        <v>3014</v>
      </c>
      <c r="G12" s="2198" t="s">
        <v>3015</v>
      </c>
      <c r="H12" s="2197" t="s">
        <v>10247</v>
      </c>
      <c r="I12" s="2199" t="s">
        <v>1045</v>
      </c>
      <c r="J12" s="2196">
        <v>2354.5</v>
      </c>
    </row>
    <row r="13" spans="1:10" ht="13.5" thickBot="1" x14ac:dyDescent="0.25">
      <c r="B13" s="392" t="str">
        <f t="shared" si="0"/>
        <v>Open - BARI Saverio</v>
      </c>
      <c r="C13" s="1441" t="str">
        <f t="shared" si="1"/>
        <v>BARI Saverio</v>
      </c>
      <c r="D13" s="1428" t="s">
        <v>889</v>
      </c>
      <c r="E13" s="1429">
        <v>7</v>
      </c>
      <c r="F13" s="2197" t="s">
        <v>3005</v>
      </c>
      <c r="G13" s="2198" t="s">
        <v>3006</v>
      </c>
      <c r="H13" s="2197" t="s">
        <v>7870</v>
      </c>
      <c r="I13" s="2199" t="s">
        <v>1037</v>
      </c>
      <c r="J13" s="2196">
        <v>2110</v>
      </c>
    </row>
    <row r="14" spans="1:10" ht="13.5" thickBot="1" x14ac:dyDescent="0.25">
      <c r="B14" s="392" t="str">
        <f t="shared" si="0"/>
        <v>Open - DI MAGGIO Alberto</v>
      </c>
      <c r="C14" s="1441" t="str">
        <f t="shared" si="1"/>
        <v>DI MAGGIO Alberto</v>
      </c>
      <c r="D14" s="1428" t="s">
        <v>889</v>
      </c>
      <c r="E14" s="1429">
        <v>8</v>
      </c>
      <c r="F14" s="2197" t="s">
        <v>7302</v>
      </c>
      <c r="G14" s="2198" t="s">
        <v>3042</v>
      </c>
      <c r="H14" s="2197" t="s">
        <v>2749</v>
      </c>
      <c r="I14" s="2199" t="s">
        <v>1025</v>
      </c>
      <c r="J14" s="2196">
        <v>1552.5</v>
      </c>
    </row>
    <row r="15" spans="1:10" ht="13.5" thickBot="1" x14ac:dyDescent="0.25">
      <c r="B15" s="392" t="str">
        <f t="shared" si="0"/>
        <v>Open - GAUCI Mark</v>
      </c>
      <c r="C15" s="1441" t="str">
        <f t="shared" si="1"/>
        <v>GAUCI Mark</v>
      </c>
      <c r="D15" s="1428" t="s">
        <v>889</v>
      </c>
      <c r="E15" s="1429">
        <v>9</v>
      </c>
      <c r="F15" s="2197" t="s">
        <v>3016</v>
      </c>
      <c r="G15" s="2198" t="s">
        <v>3017</v>
      </c>
      <c r="H15" s="2197" t="s">
        <v>10247</v>
      </c>
      <c r="I15" s="2199" t="s">
        <v>1045</v>
      </c>
      <c r="J15" s="2196">
        <v>1342.5</v>
      </c>
    </row>
    <row r="16" spans="1:10" ht="13.5" thickBot="1" x14ac:dyDescent="0.25">
      <c r="B16" s="392" t="str">
        <f t="shared" si="0"/>
        <v>Open - CICCARELLI Matteo</v>
      </c>
      <c r="C16" s="1441" t="str">
        <f t="shared" si="1"/>
        <v>CICCARELLI Matteo</v>
      </c>
      <c r="D16" s="1428" t="s">
        <v>889</v>
      </c>
      <c r="E16" s="1429">
        <v>10</v>
      </c>
      <c r="F16" s="2197" t="s">
        <v>3663</v>
      </c>
      <c r="G16" s="2198" t="s">
        <v>3200</v>
      </c>
      <c r="H16" s="2197" t="s">
        <v>2776</v>
      </c>
      <c r="I16" s="2199" t="s">
        <v>1037</v>
      </c>
      <c r="J16" s="2196">
        <v>1314</v>
      </c>
    </row>
    <row r="17" spans="2:10" ht="13.5" thickBot="1" x14ac:dyDescent="0.25">
      <c r="B17" s="392" t="str">
        <f t="shared" si="0"/>
        <v>Open - SCHEEN Sébastien</v>
      </c>
      <c r="C17" s="1441" t="str">
        <f t="shared" si="1"/>
        <v>SCHEEN Sébastien</v>
      </c>
      <c r="D17" s="1428" t="s">
        <v>889</v>
      </c>
      <c r="E17" s="1429">
        <v>11</v>
      </c>
      <c r="F17" s="2197" t="s">
        <v>3034</v>
      </c>
      <c r="G17" s="2198" t="s">
        <v>3043</v>
      </c>
      <c r="H17" s="2197" t="s">
        <v>5311</v>
      </c>
      <c r="I17" s="2199" t="s">
        <v>990</v>
      </c>
      <c r="J17" s="2196">
        <v>1304.5</v>
      </c>
    </row>
    <row r="18" spans="2:10" ht="13.5" thickBot="1" x14ac:dyDescent="0.25">
      <c r="B18" s="392" t="str">
        <f t="shared" si="0"/>
        <v>Open - CHARATSIS Nikolaos</v>
      </c>
      <c r="C18" s="1441" t="str">
        <f t="shared" si="1"/>
        <v>CHARATSIS Nikolaos</v>
      </c>
      <c r="D18" s="1428" t="s">
        <v>889</v>
      </c>
      <c r="E18" s="1429">
        <v>12</v>
      </c>
      <c r="F18" s="2197" t="s">
        <v>10300</v>
      </c>
      <c r="G18" s="2198" t="s">
        <v>5554</v>
      </c>
      <c r="H18" s="2197" t="s">
        <v>5309</v>
      </c>
      <c r="I18" s="2199" t="s">
        <v>1025</v>
      </c>
      <c r="J18" s="2196">
        <v>1288</v>
      </c>
    </row>
    <row r="19" spans="2:10" ht="13.5" thickBot="1" x14ac:dyDescent="0.25">
      <c r="B19" s="392" t="str">
        <f t="shared" si="0"/>
        <v>Open - BALZAN Jurgen</v>
      </c>
      <c r="C19" s="1441" t="str">
        <f t="shared" si="1"/>
        <v>BALZAN Jurgen</v>
      </c>
      <c r="D19" s="1428" t="s">
        <v>889</v>
      </c>
      <c r="E19" s="1429">
        <v>13</v>
      </c>
      <c r="F19" s="2197" t="s">
        <v>5650</v>
      </c>
      <c r="G19" s="2198" t="s">
        <v>5651</v>
      </c>
      <c r="H19" s="2197" t="s">
        <v>10247</v>
      </c>
      <c r="I19" s="2199" t="s">
        <v>1045</v>
      </c>
      <c r="J19" s="2196">
        <v>1196.5</v>
      </c>
    </row>
    <row r="20" spans="2:10" ht="13.5" thickBot="1" x14ac:dyDescent="0.25">
      <c r="B20" s="392" t="str">
        <f t="shared" si="0"/>
        <v>Open - NASTASI Massimiliano</v>
      </c>
      <c r="C20" s="1441" t="str">
        <f t="shared" si="1"/>
        <v>NASTASI Massimiliano</v>
      </c>
      <c r="D20" s="1428" t="s">
        <v>889</v>
      </c>
      <c r="E20" s="1429">
        <v>14</v>
      </c>
      <c r="F20" s="2197" t="s">
        <v>14143</v>
      </c>
      <c r="G20" s="2198" t="s">
        <v>3023</v>
      </c>
      <c r="H20" s="2197" t="s">
        <v>10262</v>
      </c>
      <c r="I20" s="2199" t="s">
        <v>1037</v>
      </c>
      <c r="J20" s="2196">
        <v>1098</v>
      </c>
    </row>
    <row r="21" spans="2:10" ht="13.5" thickBot="1" x14ac:dyDescent="0.25">
      <c r="B21" s="392" t="str">
        <f t="shared" si="0"/>
        <v>Open - GONZÁLEZ David</v>
      </c>
      <c r="C21" s="1441" t="str">
        <f t="shared" si="1"/>
        <v>GONZÁLEZ David</v>
      </c>
      <c r="D21" s="1428" t="s">
        <v>889</v>
      </c>
      <c r="E21" s="1429">
        <v>15</v>
      </c>
      <c r="F21" s="2197" t="s">
        <v>3428</v>
      </c>
      <c r="G21" s="2198" t="s">
        <v>3072</v>
      </c>
      <c r="H21" s="2197" t="s">
        <v>2749</v>
      </c>
      <c r="I21" s="2199" t="s">
        <v>1015</v>
      </c>
      <c r="J21" s="2196">
        <v>1035.5</v>
      </c>
    </row>
    <row r="22" spans="2:10" ht="13.5" thickBot="1" x14ac:dyDescent="0.25">
      <c r="B22" s="392" t="str">
        <f t="shared" si="0"/>
        <v>Open - COLANGELO Luca</v>
      </c>
      <c r="C22" s="1441" t="str">
        <f t="shared" si="1"/>
        <v>COLANGELO Luca</v>
      </c>
      <c r="D22" s="1428" t="s">
        <v>889</v>
      </c>
      <c r="E22" s="1429">
        <v>16</v>
      </c>
      <c r="F22" s="2197" t="s">
        <v>3449</v>
      </c>
      <c r="G22" s="2198" t="s">
        <v>3198</v>
      </c>
      <c r="H22" s="2197" t="s">
        <v>10262</v>
      </c>
      <c r="I22" s="2199" t="s">
        <v>1037</v>
      </c>
      <c r="J22" s="2196">
        <v>1026</v>
      </c>
    </row>
    <row r="23" spans="2:10" ht="13.5" thickBot="1" x14ac:dyDescent="0.25">
      <c r="B23" s="392" t="str">
        <f t="shared" si="0"/>
        <v>Open - SCHEEN Pascal</v>
      </c>
      <c r="C23" s="1441" t="str">
        <f t="shared" si="1"/>
        <v>SCHEEN Pascal</v>
      </c>
      <c r="D23" s="1428" t="s">
        <v>889</v>
      </c>
      <c r="E23" s="1429">
        <v>17</v>
      </c>
      <c r="F23" s="2197" t="s">
        <v>3034</v>
      </c>
      <c r="G23" s="2198" t="s">
        <v>3035</v>
      </c>
      <c r="H23" s="2197" t="s">
        <v>10250</v>
      </c>
      <c r="I23" s="2199" t="s">
        <v>990</v>
      </c>
      <c r="J23" s="2196">
        <v>1015.5</v>
      </c>
    </row>
    <row r="24" spans="2:10" ht="13.5" thickBot="1" x14ac:dyDescent="0.25">
      <c r="B24" s="392" t="str">
        <f t="shared" si="0"/>
        <v>Open - HAAS Christian</v>
      </c>
      <c r="C24" s="1441" t="str">
        <f t="shared" si="1"/>
        <v>HAAS Christian</v>
      </c>
      <c r="D24" s="1428" t="s">
        <v>889</v>
      </c>
      <c r="E24" s="1429">
        <v>18</v>
      </c>
      <c r="F24" s="2197" t="s">
        <v>3030</v>
      </c>
      <c r="G24" s="2198" t="s">
        <v>3063</v>
      </c>
      <c r="H24" s="2197" t="s">
        <v>10253</v>
      </c>
      <c r="I24" s="2199" t="s">
        <v>988</v>
      </c>
      <c r="J24" s="2196">
        <v>959</v>
      </c>
    </row>
    <row r="25" spans="2:10" ht="13.5" thickBot="1" x14ac:dyDescent="0.25">
      <c r="B25" s="392" t="str">
        <f t="shared" si="0"/>
        <v>Open - BELLEFONTAINE Elliott</v>
      </c>
      <c r="C25" s="1441" t="str">
        <f t="shared" si="1"/>
        <v>BELLEFONTAINE Elliott</v>
      </c>
      <c r="D25" s="1428" t="s">
        <v>889</v>
      </c>
      <c r="E25" s="1429">
        <v>19</v>
      </c>
      <c r="F25" s="2197" t="s">
        <v>3447</v>
      </c>
      <c r="G25" s="2198" t="s">
        <v>3448</v>
      </c>
      <c r="H25" s="2197" t="s">
        <v>13593</v>
      </c>
      <c r="I25" s="2199" t="s">
        <v>1013</v>
      </c>
      <c r="J25" s="2196">
        <v>942.5</v>
      </c>
    </row>
    <row r="26" spans="2:10" ht="13.5" thickBot="1" x14ac:dyDescent="0.25">
      <c r="B26" s="392" t="str">
        <f t="shared" si="0"/>
        <v>Open - BATTISTA Luca</v>
      </c>
      <c r="C26" s="1441" t="str">
        <f t="shared" si="1"/>
        <v>BATTISTA Luca</v>
      </c>
      <c r="D26" s="1428" t="s">
        <v>889</v>
      </c>
      <c r="E26" s="1429">
        <v>20</v>
      </c>
      <c r="F26" s="2197" t="s">
        <v>3631</v>
      </c>
      <c r="G26" s="2198" t="s">
        <v>3198</v>
      </c>
      <c r="H26" s="2197" t="s">
        <v>2776</v>
      </c>
      <c r="I26" s="2199" t="s">
        <v>1037</v>
      </c>
      <c r="J26" s="2196">
        <v>896</v>
      </c>
    </row>
    <row r="27" spans="2:10" ht="13.5" thickBot="1" x14ac:dyDescent="0.25">
      <c r="B27" s="392" t="str">
        <f t="shared" si="0"/>
        <v>Open - EBEJER George</v>
      </c>
      <c r="C27" s="1441" t="str">
        <f t="shared" si="1"/>
        <v>EBEJER George</v>
      </c>
      <c r="D27" s="1428" t="s">
        <v>889</v>
      </c>
      <c r="E27" s="1429">
        <v>21</v>
      </c>
      <c r="F27" s="2197" t="s">
        <v>3161</v>
      </c>
      <c r="G27" s="2198" t="s">
        <v>3162</v>
      </c>
      <c r="H27" s="2197" t="s">
        <v>10253</v>
      </c>
      <c r="I27" s="2199" t="s">
        <v>1045</v>
      </c>
      <c r="J27" s="2196">
        <v>871</v>
      </c>
    </row>
    <row r="28" spans="2:10" ht="13.5" thickBot="1" x14ac:dyDescent="0.25">
      <c r="B28" s="392" t="str">
        <f t="shared" si="0"/>
        <v>Open - LEROY Justin</v>
      </c>
      <c r="C28" s="1441" t="str">
        <f t="shared" si="1"/>
        <v>LEROY Justin</v>
      </c>
      <c r="D28" s="1428" t="s">
        <v>889</v>
      </c>
      <c r="E28" s="1429">
        <v>22</v>
      </c>
      <c r="F28" s="2197" t="s">
        <v>3024</v>
      </c>
      <c r="G28" s="2198" t="s">
        <v>3025</v>
      </c>
      <c r="H28" s="2197" t="s">
        <v>2893</v>
      </c>
      <c r="I28" s="2199" t="s">
        <v>990</v>
      </c>
      <c r="J28" s="2196">
        <v>839.5</v>
      </c>
    </row>
    <row r="29" spans="2:10" ht="13.5" thickBot="1" x14ac:dyDescent="0.25">
      <c r="B29" s="392" t="str">
        <f t="shared" si="0"/>
        <v>Open - ROSLAN Rudy Hesty</v>
      </c>
      <c r="C29" s="1441" t="str">
        <f t="shared" si="1"/>
        <v>ROSLAN Rudy Hesty</v>
      </c>
      <c r="D29" s="1428" t="s">
        <v>889</v>
      </c>
      <c r="E29" s="1429">
        <v>23</v>
      </c>
      <c r="F29" s="2197" t="s">
        <v>3159</v>
      </c>
      <c r="G29" s="2198" t="s">
        <v>3160</v>
      </c>
      <c r="H29" s="2197" t="s">
        <v>7270</v>
      </c>
      <c r="I29" s="2199" t="s">
        <v>7916</v>
      </c>
      <c r="J29" s="2196">
        <v>821.5</v>
      </c>
    </row>
    <row r="30" spans="2:10" ht="13.5" thickBot="1" x14ac:dyDescent="0.25">
      <c r="B30" s="392" t="str">
        <f t="shared" si="0"/>
        <v>Open - SORET Rémi</v>
      </c>
      <c r="C30" s="1441" t="str">
        <f t="shared" si="1"/>
        <v>SORET Rémi</v>
      </c>
      <c r="D30" s="1428" t="s">
        <v>889</v>
      </c>
      <c r="E30" s="1429">
        <v>23</v>
      </c>
      <c r="F30" s="2197" t="s">
        <v>3519</v>
      </c>
      <c r="G30" s="2198" t="s">
        <v>3520</v>
      </c>
      <c r="H30" s="2197" t="s">
        <v>13519</v>
      </c>
      <c r="I30" s="2199" t="s">
        <v>1019</v>
      </c>
      <c r="J30" s="2196">
        <v>821.5</v>
      </c>
    </row>
    <row r="31" spans="2:10" ht="13.5" thickBot="1" x14ac:dyDescent="0.25">
      <c r="B31" s="392" t="str">
        <f t="shared" si="0"/>
        <v>Open - DOTTO William</v>
      </c>
      <c r="C31" s="1441" t="str">
        <f t="shared" si="1"/>
        <v>DOTTO William</v>
      </c>
      <c r="D31" s="1428" t="s">
        <v>889</v>
      </c>
      <c r="E31" s="1429">
        <v>25</v>
      </c>
      <c r="F31" s="2197" t="s">
        <v>3530</v>
      </c>
      <c r="G31" s="2198" t="s">
        <v>3236</v>
      </c>
      <c r="H31" s="2197" t="s">
        <v>7870</v>
      </c>
      <c r="I31" s="2199" t="s">
        <v>1037</v>
      </c>
      <c r="J31" s="2196">
        <v>820.5</v>
      </c>
    </row>
    <row r="32" spans="2:10" ht="13.5" thickBot="1" x14ac:dyDescent="0.25">
      <c r="B32" s="392" t="str">
        <f t="shared" si="0"/>
        <v>Open - MODESTE Théo</v>
      </c>
      <c r="C32" s="1441" t="str">
        <f t="shared" si="1"/>
        <v>MODESTE Théo</v>
      </c>
      <c r="D32" s="1428" t="s">
        <v>889</v>
      </c>
      <c r="E32" s="1429">
        <v>26</v>
      </c>
      <c r="F32" s="2197" t="s">
        <v>3459</v>
      </c>
      <c r="G32" s="2198" t="s">
        <v>3678</v>
      </c>
      <c r="H32" s="2197" t="s">
        <v>2754</v>
      </c>
      <c r="I32" s="2199" t="s">
        <v>1019</v>
      </c>
      <c r="J32" s="2196">
        <v>803.5</v>
      </c>
    </row>
    <row r="33" spans="2:10" ht="13.5" thickBot="1" x14ac:dyDescent="0.25">
      <c r="B33" s="392" t="str">
        <f t="shared" si="0"/>
        <v>Open - RAMOS Sérgio</v>
      </c>
      <c r="C33" s="1441" t="str">
        <f t="shared" si="1"/>
        <v>RAMOS Sérgio</v>
      </c>
      <c r="D33" s="1428" t="s">
        <v>889</v>
      </c>
      <c r="E33" s="1429">
        <v>27</v>
      </c>
      <c r="F33" s="2197" t="s">
        <v>3384</v>
      </c>
      <c r="G33" s="2198" t="s">
        <v>3047</v>
      </c>
      <c r="H33" s="2197" t="s">
        <v>2749</v>
      </c>
      <c r="I33" s="2199" t="s">
        <v>1061</v>
      </c>
      <c r="J33" s="2196">
        <v>777.5</v>
      </c>
    </row>
    <row r="34" spans="2:10" ht="13.5" thickBot="1" x14ac:dyDescent="0.25">
      <c r="B34" s="392" t="str">
        <f t="shared" si="0"/>
        <v>Open - LEITNER Wolfgang</v>
      </c>
      <c r="C34" s="1441" t="str">
        <f t="shared" si="1"/>
        <v>LEITNER Wolfgang</v>
      </c>
      <c r="D34" s="1428" t="s">
        <v>889</v>
      </c>
      <c r="E34" s="1429">
        <v>28</v>
      </c>
      <c r="F34" s="2197" t="s">
        <v>3009</v>
      </c>
      <c r="G34" s="2198" t="s">
        <v>3010</v>
      </c>
      <c r="H34" s="2197" t="s">
        <v>2748</v>
      </c>
      <c r="I34" s="2199" t="s">
        <v>988</v>
      </c>
      <c r="J34" s="2196">
        <v>739</v>
      </c>
    </row>
    <row r="35" spans="2:10" ht="13.5" thickBot="1" x14ac:dyDescent="0.25">
      <c r="B35" s="392" t="str">
        <f t="shared" si="0"/>
        <v>Open - GIAUX Florian</v>
      </c>
      <c r="C35" s="1441" t="str">
        <f t="shared" si="1"/>
        <v>GIAUX Florian</v>
      </c>
      <c r="D35" s="1428" t="s">
        <v>889</v>
      </c>
      <c r="E35" s="1429">
        <v>29</v>
      </c>
      <c r="F35" s="2197" t="s">
        <v>14121</v>
      </c>
      <c r="G35" s="2198" t="s">
        <v>3358</v>
      </c>
      <c r="H35" s="2197" t="s">
        <v>2893</v>
      </c>
      <c r="I35" s="2199" t="s">
        <v>990</v>
      </c>
      <c r="J35" s="2196">
        <v>732</v>
      </c>
    </row>
    <row r="36" spans="2:10" ht="13.5" thickBot="1" x14ac:dyDescent="0.25">
      <c r="B36" s="392" t="str">
        <f t="shared" si="0"/>
        <v>Open - AMATELLI Alessandro</v>
      </c>
      <c r="C36" s="1441" t="str">
        <f t="shared" si="1"/>
        <v>AMATELLI Alessandro</v>
      </c>
      <c r="D36" s="1428" t="s">
        <v>889</v>
      </c>
      <c r="E36" s="1429">
        <v>30</v>
      </c>
      <c r="F36" s="2197" t="s">
        <v>3699</v>
      </c>
      <c r="G36" s="2198" t="s">
        <v>3125</v>
      </c>
      <c r="H36" s="2197" t="s">
        <v>11467</v>
      </c>
      <c r="I36" s="2199" t="s">
        <v>1037</v>
      </c>
      <c r="J36" s="2196">
        <v>728</v>
      </c>
    </row>
    <row r="37" spans="2:10" ht="13.5" thickBot="1" x14ac:dyDescent="0.25">
      <c r="B37" s="392" t="str">
        <f t="shared" si="0"/>
        <v>Open - JOSÉ Ricardo</v>
      </c>
      <c r="C37" s="1441" t="str">
        <f t="shared" si="1"/>
        <v>JOSÉ Ricardo</v>
      </c>
      <c r="D37" s="1428" t="s">
        <v>889</v>
      </c>
      <c r="E37" s="1429">
        <v>31</v>
      </c>
      <c r="F37" s="2197" t="s">
        <v>14165</v>
      </c>
      <c r="G37" s="2198" t="s">
        <v>3137</v>
      </c>
      <c r="H37" s="2197" t="s">
        <v>2754</v>
      </c>
      <c r="I37" s="2199" t="s">
        <v>1061</v>
      </c>
      <c r="J37" s="2196">
        <v>727</v>
      </c>
    </row>
    <row r="38" spans="2:10" ht="13.5" thickBot="1" x14ac:dyDescent="0.25">
      <c r="B38" s="392" t="str">
        <f t="shared" si="0"/>
        <v>Open - SESES Konstantinos</v>
      </c>
      <c r="C38" s="1441" t="str">
        <f t="shared" si="1"/>
        <v>SESES Konstantinos</v>
      </c>
      <c r="D38" s="1428" t="s">
        <v>889</v>
      </c>
      <c r="E38" s="1429">
        <v>32</v>
      </c>
      <c r="F38" s="2197" t="s">
        <v>3396</v>
      </c>
      <c r="G38" s="2198" t="s">
        <v>6986</v>
      </c>
      <c r="H38" s="2197" t="s">
        <v>10246</v>
      </c>
      <c r="I38" s="2199" t="s">
        <v>1025</v>
      </c>
      <c r="J38" s="2196">
        <v>688</v>
      </c>
    </row>
    <row r="39" spans="2:10" ht="13.5" thickBot="1" x14ac:dyDescent="0.25">
      <c r="B39" s="392" t="str">
        <f t="shared" si="0"/>
        <v>Open - DESPRETZ Steffen</v>
      </c>
      <c r="C39" s="1441" t="str">
        <f t="shared" si="1"/>
        <v>DESPRETZ Steffen</v>
      </c>
      <c r="D39" s="1428" t="s">
        <v>889</v>
      </c>
      <c r="E39" s="1429">
        <v>33</v>
      </c>
      <c r="F39" s="2197" t="s">
        <v>3261</v>
      </c>
      <c r="G39" s="2198" t="s">
        <v>3306</v>
      </c>
      <c r="H39" s="2197" t="s">
        <v>13519</v>
      </c>
      <c r="I39" s="2199" t="s">
        <v>990</v>
      </c>
      <c r="J39" s="2196">
        <v>684</v>
      </c>
    </row>
    <row r="40" spans="2:10" ht="13.5" thickBot="1" x14ac:dyDescent="0.25">
      <c r="B40" s="392" t="str">
        <f t="shared" si="0"/>
        <v>Open - HAAS Alexander</v>
      </c>
      <c r="C40" s="1441" t="str">
        <f t="shared" si="1"/>
        <v>HAAS Alexander</v>
      </c>
      <c r="D40" s="1428" t="s">
        <v>889</v>
      </c>
      <c r="E40" s="1429">
        <v>34</v>
      </c>
      <c r="F40" s="2197" t="s">
        <v>3030</v>
      </c>
      <c r="G40" s="2198" t="s">
        <v>3037</v>
      </c>
      <c r="H40" s="2197" t="s">
        <v>2748</v>
      </c>
      <c r="I40" s="2199" t="s">
        <v>988</v>
      </c>
      <c r="J40" s="2196">
        <v>681</v>
      </c>
    </row>
    <row r="41" spans="2:10" ht="13.5" thickBot="1" x14ac:dyDescent="0.25">
      <c r="B41" s="392" t="str">
        <f t="shared" si="0"/>
        <v>Open - LOUREIRO Sérgio</v>
      </c>
      <c r="C41" s="1441" t="str">
        <f t="shared" si="1"/>
        <v>LOUREIRO Sérgio</v>
      </c>
      <c r="D41" s="1428" t="s">
        <v>889</v>
      </c>
      <c r="E41" s="1429">
        <v>35</v>
      </c>
      <c r="F41" s="2197" t="s">
        <v>16539</v>
      </c>
      <c r="G41" s="2198" t="s">
        <v>3047</v>
      </c>
      <c r="H41" s="2197" t="s">
        <v>2776</v>
      </c>
      <c r="I41" s="2199" t="s">
        <v>1061</v>
      </c>
      <c r="J41" s="2196">
        <v>666</v>
      </c>
    </row>
    <row r="42" spans="2:10" ht="13.5" thickBot="1" x14ac:dyDescent="0.25">
      <c r="B42" s="392" t="str">
        <f t="shared" si="0"/>
        <v>Open - VALVERDE Ángel</v>
      </c>
      <c r="C42" s="1441" t="str">
        <f t="shared" si="1"/>
        <v>VALVERDE Ángel</v>
      </c>
      <c r="D42" s="1428" t="s">
        <v>889</v>
      </c>
      <c r="E42" s="1429">
        <v>36</v>
      </c>
      <c r="F42" s="2197" t="s">
        <v>9463</v>
      </c>
      <c r="G42" s="2198" t="s">
        <v>3054</v>
      </c>
      <c r="H42" s="2197" t="s">
        <v>7183</v>
      </c>
      <c r="I42" s="2199" t="s">
        <v>1015</v>
      </c>
      <c r="J42" s="2196">
        <v>654</v>
      </c>
    </row>
    <row r="43" spans="2:10" ht="13.5" thickBot="1" x14ac:dyDescent="0.25">
      <c r="B43" s="392" t="str">
        <f t="shared" si="0"/>
        <v>Open - CAMILLERI Josef</v>
      </c>
      <c r="C43" s="1441" t="str">
        <f t="shared" si="1"/>
        <v>CAMILLERI Josef</v>
      </c>
      <c r="D43" s="1428" t="s">
        <v>889</v>
      </c>
      <c r="E43" s="1429">
        <v>37</v>
      </c>
      <c r="F43" s="2197" t="s">
        <v>3153</v>
      </c>
      <c r="G43" s="2198" t="s">
        <v>3154</v>
      </c>
      <c r="H43" s="2197" t="s">
        <v>10253</v>
      </c>
      <c r="I43" s="2199" t="s">
        <v>1045</v>
      </c>
      <c r="J43" s="2196">
        <v>644</v>
      </c>
    </row>
    <row r="44" spans="2:10" ht="13.5" thickBot="1" x14ac:dyDescent="0.25">
      <c r="B44" s="392" t="str">
        <f t="shared" si="0"/>
        <v>Open - POMMIER Raphaël</v>
      </c>
      <c r="C44" s="1441" t="str">
        <f t="shared" si="1"/>
        <v>POMMIER Raphaël</v>
      </c>
      <c r="D44" s="1428" t="s">
        <v>889</v>
      </c>
      <c r="E44" s="1429">
        <v>38</v>
      </c>
      <c r="F44" s="2197" t="s">
        <v>3623</v>
      </c>
      <c r="G44" s="2198" t="s">
        <v>3541</v>
      </c>
      <c r="H44" s="2197" t="s">
        <v>2893</v>
      </c>
      <c r="I44" s="2199" t="s">
        <v>1019</v>
      </c>
      <c r="J44" s="2196">
        <v>630</v>
      </c>
    </row>
    <row r="45" spans="2:10" ht="13.5" thickBot="1" x14ac:dyDescent="0.25">
      <c r="B45" s="392" t="str">
        <f t="shared" si="0"/>
        <v>Open - RAIROUX Maxime</v>
      </c>
      <c r="C45" s="1441" t="str">
        <f t="shared" si="1"/>
        <v>RAIROUX Maxime</v>
      </c>
      <c r="D45" s="1428" t="s">
        <v>889</v>
      </c>
      <c r="E45" s="1429">
        <v>39</v>
      </c>
      <c r="F45" s="2197" t="s">
        <v>17604</v>
      </c>
      <c r="G45" s="2198" t="s">
        <v>17518</v>
      </c>
      <c r="H45" s="2197" t="s">
        <v>5301</v>
      </c>
      <c r="I45" s="2199" t="s">
        <v>990</v>
      </c>
      <c r="J45" s="2196">
        <v>582</v>
      </c>
    </row>
    <row r="46" spans="2:10" ht="13.5" thickBot="1" x14ac:dyDescent="0.25">
      <c r="B46" s="392" t="str">
        <f t="shared" si="0"/>
        <v>Open - THOMAS Chris</v>
      </c>
      <c r="C46" s="1441" t="str">
        <f t="shared" si="1"/>
        <v>THOMAS Chris</v>
      </c>
      <c r="D46" s="1428" t="s">
        <v>889</v>
      </c>
      <c r="E46" s="1429">
        <v>40</v>
      </c>
      <c r="F46" s="2197" t="s">
        <v>3028</v>
      </c>
      <c r="G46" s="2198" t="s">
        <v>3029</v>
      </c>
      <c r="H46" s="2197" t="s">
        <v>15227</v>
      </c>
      <c r="I46" s="2199" t="s">
        <v>1013</v>
      </c>
      <c r="J46" s="2196">
        <v>573</v>
      </c>
    </row>
    <row r="47" spans="2:10" ht="13.5" thickBot="1" x14ac:dyDescent="0.25">
      <c r="B47" s="392" t="str">
        <f t="shared" si="0"/>
        <v>Open - LIM Bernard</v>
      </c>
      <c r="C47" s="1441" t="str">
        <f t="shared" si="1"/>
        <v>LIM Bernard</v>
      </c>
      <c r="D47" s="1428" t="s">
        <v>889</v>
      </c>
      <c r="E47" s="1429">
        <v>41</v>
      </c>
      <c r="F47" s="2197" t="s">
        <v>3532</v>
      </c>
      <c r="G47" s="2198" t="s">
        <v>5518</v>
      </c>
      <c r="H47" s="2197" t="s">
        <v>7270</v>
      </c>
      <c r="I47" s="2199" t="s">
        <v>7916</v>
      </c>
      <c r="J47" s="2196">
        <v>569.5</v>
      </c>
    </row>
    <row r="48" spans="2:10" ht="13.5" thickBot="1" x14ac:dyDescent="0.25">
      <c r="B48" s="392" t="str">
        <f t="shared" si="0"/>
        <v>Open - THOMAS Peter</v>
      </c>
      <c r="C48" s="1441" t="str">
        <f t="shared" si="1"/>
        <v>THOMAS Peter</v>
      </c>
      <c r="D48" s="1428" t="s">
        <v>889</v>
      </c>
      <c r="E48" s="1429">
        <v>42</v>
      </c>
      <c r="F48" s="2197" t="s">
        <v>3028</v>
      </c>
      <c r="G48" s="2198" t="s">
        <v>3194</v>
      </c>
      <c r="H48" s="2197" t="s">
        <v>9594</v>
      </c>
      <c r="I48" s="2199" t="s">
        <v>986</v>
      </c>
      <c r="J48" s="2196">
        <v>561</v>
      </c>
    </row>
    <row r="49" spans="2:10" ht="13.5" thickBot="1" x14ac:dyDescent="0.25">
      <c r="B49" s="392" t="str">
        <f t="shared" si="0"/>
        <v>Open - VAN DEN HOUTE William</v>
      </c>
      <c r="C49" s="1441" t="str">
        <f t="shared" si="1"/>
        <v>VAN DEN HOUTE William</v>
      </c>
      <c r="D49" s="1428" t="s">
        <v>889</v>
      </c>
      <c r="E49" s="1429">
        <v>43</v>
      </c>
      <c r="F49" s="2197" t="s">
        <v>18079</v>
      </c>
      <c r="G49" s="2198" t="s">
        <v>3236</v>
      </c>
      <c r="H49" s="2197" t="s">
        <v>10253</v>
      </c>
      <c r="I49" s="2199" t="s">
        <v>990</v>
      </c>
      <c r="J49" s="2196">
        <v>538</v>
      </c>
    </row>
    <row r="50" spans="2:10" ht="13.5" thickBot="1" x14ac:dyDescent="0.25">
      <c r="B50" s="392" t="str">
        <f t="shared" si="0"/>
        <v>Open - MARAIN Geoffrey</v>
      </c>
      <c r="C50" s="1441" t="str">
        <f t="shared" si="1"/>
        <v>MARAIN Geoffrey</v>
      </c>
      <c r="D50" s="1428" t="s">
        <v>889</v>
      </c>
      <c r="E50" s="1429">
        <v>44</v>
      </c>
      <c r="F50" s="2197" t="s">
        <v>3229</v>
      </c>
      <c r="G50" s="2198" t="s">
        <v>3230</v>
      </c>
      <c r="H50" s="2197" t="s">
        <v>13519</v>
      </c>
      <c r="I50" s="2199" t="s">
        <v>990</v>
      </c>
      <c r="J50" s="2196">
        <v>535</v>
      </c>
    </row>
    <row r="51" spans="2:10" ht="13.5" thickBot="1" x14ac:dyDescent="0.25">
      <c r="B51" s="392" t="str">
        <f t="shared" si="0"/>
        <v>Open - LA TORRE Claudio</v>
      </c>
      <c r="C51" s="1441" t="str">
        <f t="shared" si="1"/>
        <v>LA TORRE Claudio</v>
      </c>
      <c r="D51" s="1428" t="s">
        <v>889</v>
      </c>
      <c r="E51" s="1429">
        <v>45</v>
      </c>
      <c r="F51" s="2197" t="s">
        <v>3345</v>
      </c>
      <c r="G51" s="2198" t="s">
        <v>3038</v>
      </c>
      <c r="H51" s="2197" t="s">
        <v>14879</v>
      </c>
      <c r="I51" s="2199" t="s">
        <v>1037</v>
      </c>
      <c r="J51" s="2196">
        <v>524</v>
      </c>
    </row>
    <row r="52" spans="2:10" ht="13.5" thickBot="1" x14ac:dyDescent="0.25">
      <c r="B52" s="392" t="str">
        <f t="shared" si="0"/>
        <v>Open - ZAMBELLO Luca</v>
      </c>
      <c r="C52" s="1441" t="str">
        <f t="shared" si="1"/>
        <v>ZAMBELLO Luca</v>
      </c>
      <c r="D52" s="1428" t="s">
        <v>889</v>
      </c>
      <c r="E52" s="1429">
        <v>46</v>
      </c>
      <c r="F52" s="2197" t="s">
        <v>3661</v>
      </c>
      <c r="G52" s="2198" t="s">
        <v>3198</v>
      </c>
      <c r="H52" s="2197" t="s">
        <v>7870</v>
      </c>
      <c r="I52" s="2199" t="s">
        <v>1037</v>
      </c>
      <c r="J52" s="2196">
        <v>504</v>
      </c>
    </row>
    <row r="53" spans="2:10" ht="13.5" thickBot="1" x14ac:dyDescent="0.25">
      <c r="B53" s="392" t="str">
        <f t="shared" si="0"/>
        <v>Open - HUYNH Rémy</v>
      </c>
      <c r="C53" s="1441" t="str">
        <f t="shared" si="1"/>
        <v>HUYNH Rémy</v>
      </c>
      <c r="D53" s="1428" t="s">
        <v>889</v>
      </c>
      <c r="E53" s="1429">
        <v>47</v>
      </c>
      <c r="F53" s="2197" t="s">
        <v>3393</v>
      </c>
      <c r="G53" s="2198" t="s">
        <v>3394</v>
      </c>
      <c r="H53" s="2197" t="s">
        <v>7870</v>
      </c>
      <c r="I53" s="2199" t="s">
        <v>990</v>
      </c>
      <c r="J53" s="2196">
        <v>501</v>
      </c>
    </row>
    <row r="54" spans="2:10" ht="13.5" thickBot="1" x14ac:dyDescent="0.25">
      <c r="B54" s="392" t="str">
        <f t="shared" si="0"/>
        <v>Open - NIKOLAIDIS Giannis</v>
      </c>
      <c r="C54" s="1441" t="str">
        <f t="shared" si="1"/>
        <v>NIKOLAIDIS Giannis</v>
      </c>
      <c r="D54" s="1428" t="s">
        <v>889</v>
      </c>
      <c r="E54" s="1429">
        <v>47</v>
      </c>
      <c r="F54" s="2197" t="s">
        <v>13494</v>
      </c>
      <c r="G54" s="2198" t="s">
        <v>3083</v>
      </c>
      <c r="H54" s="2197" t="s">
        <v>2745</v>
      </c>
      <c r="I54" s="2199" t="s">
        <v>1025</v>
      </c>
      <c r="J54" s="2196">
        <v>501</v>
      </c>
    </row>
    <row r="55" spans="2:10" ht="13.5" thickBot="1" x14ac:dyDescent="0.25">
      <c r="B55" s="392" t="str">
        <f t="shared" si="0"/>
        <v>Open - PAPIDAKIS Sarantis</v>
      </c>
      <c r="C55" s="1441" t="str">
        <f t="shared" si="1"/>
        <v>PAPIDAKIS Sarantis</v>
      </c>
      <c r="D55" s="1428" t="s">
        <v>889</v>
      </c>
      <c r="E55" s="1429">
        <v>49</v>
      </c>
      <c r="F55" s="2197" t="s">
        <v>7279</v>
      </c>
      <c r="G55" s="2198" t="s">
        <v>7280</v>
      </c>
      <c r="H55" s="2197" t="s">
        <v>5309</v>
      </c>
      <c r="I55" s="2199" t="s">
        <v>1025</v>
      </c>
      <c r="J55" s="2196">
        <v>491.5</v>
      </c>
    </row>
    <row r="56" spans="2:10" ht="13.5" thickBot="1" x14ac:dyDescent="0.25">
      <c r="B56" s="392" t="str">
        <f t="shared" si="0"/>
        <v>Open - BOLOGNINO Massimo</v>
      </c>
      <c r="C56" s="1441" t="str">
        <f t="shared" si="1"/>
        <v>BOLOGNINO Massimo</v>
      </c>
      <c r="D56" s="1428" t="s">
        <v>889</v>
      </c>
      <c r="E56" s="1429">
        <v>50</v>
      </c>
      <c r="F56" s="2197" t="s">
        <v>3048</v>
      </c>
      <c r="G56" s="2198" t="s">
        <v>3013</v>
      </c>
      <c r="H56" s="2197" t="s">
        <v>2750</v>
      </c>
      <c r="I56" s="2199" t="s">
        <v>1037</v>
      </c>
      <c r="J56" s="2196">
        <v>485.5</v>
      </c>
    </row>
    <row r="57" spans="2:10" ht="13.5" thickBot="1" x14ac:dyDescent="0.25">
      <c r="B57" s="392" t="str">
        <f t="shared" si="0"/>
        <v>Open - SHORT Christian</v>
      </c>
      <c r="C57" s="1441" t="str">
        <f t="shared" si="1"/>
        <v>SHORT Christian</v>
      </c>
      <c r="D57" s="1428" t="s">
        <v>889</v>
      </c>
      <c r="E57" s="1429">
        <v>51</v>
      </c>
      <c r="F57" s="2197" t="s">
        <v>14128</v>
      </c>
      <c r="G57" s="2198" t="s">
        <v>3063</v>
      </c>
      <c r="H57" s="2197" t="s">
        <v>2754</v>
      </c>
      <c r="I57" s="2199" t="s">
        <v>1013</v>
      </c>
      <c r="J57" s="2196">
        <v>474.5</v>
      </c>
    </row>
    <row r="58" spans="2:10" ht="13.5" thickBot="1" x14ac:dyDescent="0.25">
      <c r="B58" s="392" t="str">
        <f t="shared" si="0"/>
        <v>Open - SILVERI Gabriele</v>
      </c>
      <c r="C58" s="1441" t="str">
        <f t="shared" si="1"/>
        <v>SILVERI Gabriele</v>
      </c>
      <c r="D58" s="1428" t="s">
        <v>889</v>
      </c>
      <c r="E58" s="1429">
        <v>52</v>
      </c>
      <c r="F58" s="2197" t="s">
        <v>3126</v>
      </c>
      <c r="G58" s="2198" t="s">
        <v>3127</v>
      </c>
      <c r="H58" s="2197" t="s">
        <v>2761</v>
      </c>
      <c r="I58" s="2199" t="s">
        <v>1037</v>
      </c>
      <c r="J58" s="2196">
        <v>461</v>
      </c>
    </row>
    <row r="59" spans="2:10" ht="13.5" thickBot="1" x14ac:dyDescent="0.25">
      <c r="B59" s="392" t="str">
        <f t="shared" si="0"/>
        <v>Open - TABONE Jean Carl</v>
      </c>
      <c r="C59" s="1441" t="str">
        <f t="shared" si="1"/>
        <v>TABONE Jean Carl</v>
      </c>
      <c r="D59" s="1428" t="s">
        <v>889</v>
      </c>
      <c r="E59" s="1429">
        <v>53</v>
      </c>
      <c r="F59" s="2197" t="s">
        <v>3415</v>
      </c>
      <c r="G59" s="2198" t="s">
        <v>7266</v>
      </c>
      <c r="H59" s="2197" t="s">
        <v>10253</v>
      </c>
      <c r="I59" s="2199" t="s">
        <v>1045</v>
      </c>
      <c r="J59" s="2196">
        <v>453</v>
      </c>
    </row>
    <row r="60" spans="2:10" ht="13.5" thickBot="1" x14ac:dyDescent="0.25">
      <c r="B60" s="392" t="str">
        <f t="shared" si="0"/>
        <v>Open - GASPARINI Ferdinando</v>
      </c>
      <c r="C60" s="1441" t="str">
        <f t="shared" si="1"/>
        <v>GASPARINI Ferdinando</v>
      </c>
      <c r="D60" s="1428" t="s">
        <v>889</v>
      </c>
      <c r="E60" s="1429">
        <v>54</v>
      </c>
      <c r="F60" s="2197" t="s">
        <v>14122</v>
      </c>
      <c r="G60" s="2198" t="s">
        <v>3049</v>
      </c>
      <c r="H60" s="2197" t="s">
        <v>5311</v>
      </c>
      <c r="I60" s="2199" t="s">
        <v>1037</v>
      </c>
      <c r="J60" s="2196">
        <v>444.5</v>
      </c>
    </row>
    <row r="61" spans="2:10" ht="13.5" thickBot="1" x14ac:dyDescent="0.25">
      <c r="B61" s="392" t="str">
        <f t="shared" si="0"/>
        <v>Open - KIDO Takafumi</v>
      </c>
      <c r="C61" s="1441" t="str">
        <f t="shared" si="1"/>
        <v>KIDO Takafumi</v>
      </c>
      <c r="D61" s="1428" t="s">
        <v>889</v>
      </c>
      <c r="E61" s="1429">
        <v>55</v>
      </c>
      <c r="F61" s="2197" t="s">
        <v>7274</v>
      </c>
      <c r="G61" s="2198" t="s">
        <v>7009</v>
      </c>
      <c r="H61" s="2197" t="s">
        <v>5508</v>
      </c>
      <c r="I61" s="2199" t="s">
        <v>1041</v>
      </c>
      <c r="J61" s="2196">
        <v>432</v>
      </c>
    </row>
    <row r="62" spans="2:10" ht="13.5" thickBot="1" x14ac:dyDescent="0.25">
      <c r="B62" s="392" t="str">
        <f t="shared" si="0"/>
        <v>Open - CASÍN Antonio Jesús</v>
      </c>
      <c r="C62" s="1441" t="str">
        <f t="shared" si="1"/>
        <v>CASÍN Antonio Jesús</v>
      </c>
      <c r="D62" s="1428" t="s">
        <v>889</v>
      </c>
      <c r="E62" s="1429">
        <v>56</v>
      </c>
      <c r="F62" s="2197" t="s">
        <v>3553</v>
      </c>
      <c r="G62" s="2198" t="s">
        <v>3554</v>
      </c>
      <c r="H62" s="2197" t="s">
        <v>7870</v>
      </c>
      <c r="I62" s="2199" t="s">
        <v>1015</v>
      </c>
      <c r="J62" s="2196">
        <v>428.5</v>
      </c>
    </row>
    <row r="63" spans="2:10" ht="13.5" thickBot="1" x14ac:dyDescent="0.25">
      <c r="B63" s="392" t="str">
        <f t="shared" si="0"/>
        <v>Open - VLASSOPOULOS Ioannis</v>
      </c>
      <c r="C63" s="1441" t="str">
        <f t="shared" si="1"/>
        <v>VLASSOPOULOS Ioannis</v>
      </c>
      <c r="D63" s="1428" t="s">
        <v>889</v>
      </c>
      <c r="E63" s="1429">
        <v>57</v>
      </c>
      <c r="F63" s="2197" t="s">
        <v>3446</v>
      </c>
      <c r="G63" s="2198" t="s">
        <v>3350</v>
      </c>
      <c r="H63" s="2197" t="s">
        <v>10263</v>
      </c>
      <c r="I63" s="2199" t="s">
        <v>1025</v>
      </c>
      <c r="J63" s="2196">
        <v>426.5</v>
      </c>
    </row>
    <row r="64" spans="2:10" ht="13.5" thickBot="1" x14ac:dyDescent="0.25">
      <c r="B64" s="392" t="str">
        <f t="shared" si="0"/>
        <v>Open - DI VINCENZO Andrea</v>
      </c>
      <c r="C64" s="1441" t="str">
        <f t="shared" si="1"/>
        <v>DI VINCENZO Andrea</v>
      </c>
      <c r="D64" s="1428" t="s">
        <v>889</v>
      </c>
      <c r="E64" s="1429">
        <v>58</v>
      </c>
      <c r="F64" s="2197" t="s">
        <v>3026</v>
      </c>
      <c r="G64" s="2198" t="s">
        <v>3027</v>
      </c>
      <c r="H64" s="2197" t="s">
        <v>2749</v>
      </c>
      <c r="I64" s="2199" t="s">
        <v>1037</v>
      </c>
      <c r="J64" s="2196">
        <v>425</v>
      </c>
    </row>
    <row r="65" spans="2:10" ht="13.5" thickBot="1" x14ac:dyDescent="0.25">
      <c r="B65" s="392" t="str">
        <f t="shared" si="0"/>
        <v>Open - PAPIDAKIS Philippos</v>
      </c>
      <c r="C65" s="1441" t="str">
        <f t="shared" si="1"/>
        <v>PAPIDAKIS Philippos</v>
      </c>
      <c r="D65" s="1428" t="s">
        <v>889</v>
      </c>
      <c r="E65" s="1429">
        <v>59</v>
      </c>
      <c r="F65" s="2197" t="s">
        <v>7279</v>
      </c>
      <c r="G65" s="2198" t="s">
        <v>7470</v>
      </c>
      <c r="H65" s="2197" t="s">
        <v>5309</v>
      </c>
      <c r="I65" s="2199" t="s">
        <v>1025</v>
      </c>
      <c r="J65" s="2196">
        <v>412.5</v>
      </c>
    </row>
    <row r="66" spans="2:10" ht="13.5" thickBot="1" x14ac:dyDescent="0.25">
      <c r="B66" s="392" t="str">
        <f t="shared" si="0"/>
        <v>Open - METTIVIERI Antonio</v>
      </c>
      <c r="C66" s="1441" t="str">
        <f t="shared" si="1"/>
        <v>METTIVIERI Antonio</v>
      </c>
      <c r="D66" s="1428" t="s">
        <v>889</v>
      </c>
      <c r="E66" s="1429">
        <v>59</v>
      </c>
      <c r="F66" s="2197" t="s">
        <v>3433</v>
      </c>
      <c r="G66" s="2198" t="s">
        <v>3341</v>
      </c>
      <c r="H66" s="2197" t="s">
        <v>2750</v>
      </c>
      <c r="I66" s="2199" t="s">
        <v>1037</v>
      </c>
      <c r="J66" s="2196">
        <v>412.5</v>
      </c>
    </row>
    <row r="67" spans="2:10" ht="13.5" thickBot="1" x14ac:dyDescent="0.25">
      <c r="B67" s="392" t="str">
        <f t="shared" si="0"/>
        <v>Open - SCIACCA Carmelo</v>
      </c>
      <c r="C67" s="1441" t="str">
        <f t="shared" si="1"/>
        <v>SCIACCA Carmelo</v>
      </c>
      <c r="D67" s="1428" t="s">
        <v>889</v>
      </c>
      <c r="E67" s="1429">
        <v>61</v>
      </c>
      <c r="F67" s="2197" t="s">
        <v>9602</v>
      </c>
      <c r="G67" s="2198" t="s">
        <v>3485</v>
      </c>
      <c r="H67" s="2197" t="s">
        <v>14879</v>
      </c>
      <c r="I67" s="2199" t="s">
        <v>1037</v>
      </c>
      <c r="J67" s="2196">
        <v>405</v>
      </c>
    </row>
    <row r="68" spans="2:10" ht="13.5" thickBot="1" x14ac:dyDescent="0.25">
      <c r="B68" s="392" t="str">
        <f t="shared" si="0"/>
        <v>Open - CUBETA Filippo</v>
      </c>
      <c r="C68" s="1441" t="str">
        <f t="shared" si="1"/>
        <v>CUBETA Filippo</v>
      </c>
      <c r="D68" s="1428" t="s">
        <v>889</v>
      </c>
      <c r="E68" s="1429">
        <v>62</v>
      </c>
      <c r="F68" s="2197" t="s">
        <v>10985</v>
      </c>
      <c r="G68" s="2198" t="s">
        <v>3340</v>
      </c>
      <c r="H68" s="2197" t="s">
        <v>14879</v>
      </c>
      <c r="I68" s="2199" t="s">
        <v>1037</v>
      </c>
      <c r="J68" s="2196">
        <v>397</v>
      </c>
    </row>
    <row r="69" spans="2:10" ht="13.5" thickBot="1" x14ac:dyDescent="0.25">
      <c r="B69" s="392" t="str">
        <f t="shared" si="0"/>
        <v>Open - ROUIS Mongi</v>
      </c>
      <c r="C69" s="1441" t="str">
        <f t="shared" si="1"/>
        <v>ROUIS Mongi</v>
      </c>
      <c r="D69" s="1428" t="s">
        <v>889</v>
      </c>
      <c r="E69" s="1429">
        <v>63</v>
      </c>
      <c r="F69" s="2197" t="s">
        <v>11428</v>
      </c>
      <c r="G69" s="2198" t="s">
        <v>3382</v>
      </c>
      <c r="H69" s="2197" t="s">
        <v>5301</v>
      </c>
      <c r="I69" s="2199" t="s">
        <v>1076</v>
      </c>
      <c r="J69" s="2196">
        <v>394.5</v>
      </c>
    </row>
    <row r="70" spans="2:10" ht="13.5" thickBot="1" x14ac:dyDescent="0.25">
      <c r="B70" s="392" t="str">
        <f t="shared" si="0"/>
        <v>Open - CHANTZARAS Spyridon</v>
      </c>
      <c r="C70" s="1441" t="str">
        <f t="shared" si="1"/>
        <v>CHANTZARAS Spyridon</v>
      </c>
      <c r="D70" s="1428" t="s">
        <v>889</v>
      </c>
      <c r="E70" s="1429">
        <v>64</v>
      </c>
      <c r="F70" s="2197" t="s">
        <v>8718</v>
      </c>
      <c r="G70" s="2198" t="s">
        <v>7806</v>
      </c>
      <c r="H70" s="2197" t="s">
        <v>3041</v>
      </c>
      <c r="I70" s="2199" t="s">
        <v>1025</v>
      </c>
      <c r="J70" s="2196">
        <v>382.5</v>
      </c>
    </row>
    <row r="71" spans="2:10" ht="13.5" thickBot="1" x14ac:dyDescent="0.25">
      <c r="B71" s="392" t="str">
        <f t="shared" ref="B71:B134" si="2">CONCATENATE(D71," - ",C71)</f>
        <v>Open - AVERLANT Matthias</v>
      </c>
      <c r="C71" s="1441" t="str">
        <f t="shared" ref="C71:C134" si="3">CONCATENATE(UPPER(F71)," ",G71)</f>
        <v>AVERLANT Matthias</v>
      </c>
      <c r="D71" s="1428" t="s">
        <v>889</v>
      </c>
      <c r="E71" s="1429">
        <v>65</v>
      </c>
      <c r="F71" s="2197" t="s">
        <v>9605</v>
      </c>
      <c r="G71" s="2198" t="s">
        <v>3172</v>
      </c>
      <c r="H71" s="2197" t="s">
        <v>13519</v>
      </c>
      <c r="I71" s="2199" t="s">
        <v>990</v>
      </c>
      <c r="J71" s="2196">
        <v>374.5</v>
      </c>
    </row>
    <row r="72" spans="2:10" ht="13.5" thickBot="1" x14ac:dyDescent="0.25">
      <c r="B72" s="392" t="str">
        <f t="shared" si="2"/>
        <v>Open - PATRINOS Spyridon</v>
      </c>
      <c r="C72" s="1441" t="str">
        <f t="shared" si="3"/>
        <v>PATRINOS Spyridon</v>
      </c>
      <c r="D72" s="1428" t="s">
        <v>889</v>
      </c>
      <c r="E72" s="1429">
        <v>66</v>
      </c>
      <c r="F72" s="2197" t="s">
        <v>3182</v>
      </c>
      <c r="G72" s="2198" t="s">
        <v>7806</v>
      </c>
      <c r="H72" s="2197" t="s">
        <v>10246</v>
      </c>
      <c r="I72" s="2199" t="s">
        <v>1025</v>
      </c>
      <c r="J72" s="2196">
        <v>363.5</v>
      </c>
    </row>
    <row r="73" spans="2:10" ht="13.5" thickBot="1" x14ac:dyDescent="0.25">
      <c r="B73" s="392" t="str">
        <f t="shared" si="2"/>
        <v>Open - PAVÃO Ricardo</v>
      </c>
      <c r="C73" s="1441" t="str">
        <f t="shared" si="3"/>
        <v>PAVÃO Ricardo</v>
      </c>
      <c r="D73" s="1428" t="s">
        <v>889</v>
      </c>
      <c r="E73" s="1429">
        <v>67</v>
      </c>
      <c r="F73" s="2197" t="s">
        <v>3136</v>
      </c>
      <c r="G73" s="2198" t="s">
        <v>3137</v>
      </c>
      <c r="H73" s="2197" t="s">
        <v>5314</v>
      </c>
      <c r="I73" s="2199" t="s">
        <v>1061</v>
      </c>
      <c r="J73" s="2196">
        <v>361</v>
      </c>
    </row>
    <row r="74" spans="2:10" ht="13.5" thickBot="1" x14ac:dyDescent="0.25">
      <c r="B74" s="392" t="str">
        <f t="shared" si="2"/>
        <v>Open - DONVAL Axel</v>
      </c>
      <c r="C74" s="1441" t="str">
        <f t="shared" si="3"/>
        <v>DONVAL Axel</v>
      </c>
      <c r="D74" s="1428" t="s">
        <v>889</v>
      </c>
      <c r="E74" s="1429">
        <v>68</v>
      </c>
      <c r="F74" s="2197" t="s">
        <v>3074</v>
      </c>
      <c r="G74" s="2198" t="s">
        <v>3075</v>
      </c>
      <c r="H74" s="2197" t="s">
        <v>2754</v>
      </c>
      <c r="I74" s="2199" t="s">
        <v>1019</v>
      </c>
      <c r="J74" s="2196">
        <v>359.5</v>
      </c>
    </row>
    <row r="75" spans="2:10" ht="13.5" thickBot="1" x14ac:dyDescent="0.25">
      <c r="B75" s="392" t="str">
        <f t="shared" si="2"/>
        <v>Open - DE LEEUW Pierre</v>
      </c>
      <c r="C75" s="1441" t="str">
        <f t="shared" si="3"/>
        <v>DE LEEUW Pierre</v>
      </c>
      <c r="D75" s="1428" t="s">
        <v>889</v>
      </c>
      <c r="E75" s="1429">
        <v>69</v>
      </c>
      <c r="F75" s="2197" t="s">
        <v>3060</v>
      </c>
      <c r="G75" s="2198" t="s">
        <v>3061</v>
      </c>
      <c r="H75" s="2197" t="s">
        <v>11331</v>
      </c>
      <c r="I75" s="2199" t="s">
        <v>990</v>
      </c>
      <c r="J75" s="2196">
        <v>354.5</v>
      </c>
    </row>
    <row r="76" spans="2:10" ht="13.5" thickBot="1" x14ac:dyDescent="0.25">
      <c r="B76" s="392" t="str">
        <f t="shared" si="2"/>
        <v>Open - SKINNER Aaron</v>
      </c>
      <c r="C76" s="1441" t="str">
        <f t="shared" si="3"/>
        <v>SKINNER Aaron</v>
      </c>
      <c r="D76" s="1428" t="s">
        <v>889</v>
      </c>
      <c r="E76" s="1429">
        <v>69</v>
      </c>
      <c r="F76" s="2197" t="s">
        <v>14153</v>
      </c>
      <c r="G76" s="2198" t="s">
        <v>3314</v>
      </c>
      <c r="H76" s="2197" t="s">
        <v>17082</v>
      </c>
      <c r="I76" s="2199" t="s">
        <v>1013</v>
      </c>
      <c r="J76" s="2196">
        <v>354.5</v>
      </c>
    </row>
    <row r="77" spans="2:10" ht="13.5" thickBot="1" x14ac:dyDescent="0.25">
      <c r="B77" s="392" t="str">
        <f t="shared" si="2"/>
        <v>Open - SANTOS Manuel</v>
      </c>
      <c r="C77" s="1441" t="str">
        <f t="shared" si="3"/>
        <v>SANTOS Manuel</v>
      </c>
      <c r="D77" s="1428" t="s">
        <v>889</v>
      </c>
      <c r="E77" s="1429">
        <v>71</v>
      </c>
      <c r="F77" s="2197" t="s">
        <v>3170</v>
      </c>
      <c r="G77" s="2198" t="s">
        <v>3171</v>
      </c>
      <c r="H77" s="2197" t="s">
        <v>13477</v>
      </c>
      <c r="I77" s="2199" t="s">
        <v>1061</v>
      </c>
      <c r="J77" s="2196">
        <v>344</v>
      </c>
    </row>
    <row r="78" spans="2:10" ht="13.5" thickBot="1" x14ac:dyDescent="0.25">
      <c r="B78" s="392" t="str">
        <f t="shared" si="2"/>
        <v>Open - LÓPEZ Miguel Ángel</v>
      </c>
      <c r="C78" s="1441" t="str">
        <f t="shared" si="3"/>
        <v>LÓPEZ Miguel Ángel</v>
      </c>
      <c r="D78" s="1428" t="s">
        <v>889</v>
      </c>
      <c r="E78" s="1429">
        <v>72</v>
      </c>
      <c r="F78" s="2197" t="s">
        <v>7278</v>
      </c>
      <c r="G78" s="2198" t="s">
        <v>3247</v>
      </c>
      <c r="H78" s="2197" t="s">
        <v>2774</v>
      </c>
      <c r="I78" s="2199" t="s">
        <v>1015</v>
      </c>
      <c r="J78" s="2196">
        <v>343.5</v>
      </c>
    </row>
    <row r="79" spans="2:10" ht="13.5" thickBot="1" x14ac:dyDescent="0.25">
      <c r="B79" s="392" t="str">
        <f t="shared" si="2"/>
        <v>Open - LEPRI Maurizio</v>
      </c>
      <c r="C79" s="1441" t="str">
        <f t="shared" si="3"/>
        <v>LEPRI Maurizio</v>
      </c>
      <c r="D79" s="1428" t="s">
        <v>889</v>
      </c>
      <c r="E79" s="1429">
        <v>73</v>
      </c>
      <c r="F79" s="2197" t="s">
        <v>3147</v>
      </c>
      <c r="G79" s="2198" t="s">
        <v>3148</v>
      </c>
      <c r="H79" s="2197" t="s">
        <v>5311</v>
      </c>
      <c r="I79" s="2199" t="s">
        <v>1037</v>
      </c>
      <c r="J79" s="2196">
        <v>336.5</v>
      </c>
    </row>
    <row r="80" spans="2:10" ht="13.5" thickBot="1" x14ac:dyDescent="0.25">
      <c r="B80" s="392" t="str">
        <f t="shared" si="2"/>
        <v>Open - GIUDICE Leonardo</v>
      </c>
      <c r="C80" s="1441" t="str">
        <f t="shared" si="3"/>
        <v>GIUDICE Leonardo</v>
      </c>
      <c r="D80" s="1428" t="s">
        <v>889</v>
      </c>
      <c r="E80" s="1429">
        <v>74</v>
      </c>
      <c r="F80" s="2197" t="s">
        <v>3327</v>
      </c>
      <c r="G80" s="2198" t="s">
        <v>3633</v>
      </c>
      <c r="H80" s="2197" t="s">
        <v>13477</v>
      </c>
      <c r="I80" s="2199" t="s">
        <v>1037</v>
      </c>
      <c r="J80" s="2196">
        <v>333</v>
      </c>
    </row>
    <row r="81" spans="2:10" ht="13.5" thickBot="1" x14ac:dyDescent="0.25">
      <c r="B81" s="392" t="str">
        <f t="shared" si="2"/>
        <v>Open - TSANGOURIS Stylianos</v>
      </c>
      <c r="C81" s="1441" t="str">
        <f t="shared" si="3"/>
        <v>TSANGOURIS Stylianos</v>
      </c>
      <c r="D81" s="1428" t="s">
        <v>889</v>
      </c>
      <c r="E81" s="1429">
        <v>75</v>
      </c>
      <c r="F81" s="2197" t="s">
        <v>3131</v>
      </c>
      <c r="G81" s="2198" t="s">
        <v>8284</v>
      </c>
      <c r="H81" s="2197" t="s">
        <v>2745</v>
      </c>
      <c r="I81" s="2199" t="s">
        <v>1025</v>
      </c>
      <c r="J81" s="2196">
        <v>323.5</v>
      </c>
    </row>
    <row r="82" spans="2:10" ht="13.5" thickBot="1" x14ac:dyDescent="0.25">
      <c r="B82" s="392" t="str">
        <f t="shared" si="2"/>
        <v>Open - LEE Alan</v>
      </c>
      <c r="C82" s="1441" t="str">
        <f t="shared" si="3"/>
        <v>LEE Alan</v>
      </c>
      <c r="D82" s="1428" t="s">
        <v>889</v>
      </c>
      <c r="E82" s="1429">
        <v>76</v>
      </c>
      <c r="F82" s="2197" t="s">
        <v>11504</v>
      </c>
      <c r="G82" s="2198" t="s">
        <v>3254</v>
      </c>
      <c r="H82" s="2197" t="s">
        <v>17082</v>
      </c>
      <c r="I82" s="2199" t="s">
        <v>1013</v>
      </c>
      <c r="J82" s="2196">
        <v>317.5</v>
      </c>
    </row>
    <row r="83" spans="2:10" ht="13.5" thickBot="1" x14ac:dyDescent="0.25">
      <c r="B83" s="392" t="str">
        <f t="shared" si="2"/>
        <v>Open - SABETTA Christopher</v>
      </c>
      <c r="C83" s="1441" t="str">
        <f t="shared" si="3"/>
        <v>SABETTA Christopher</v>
      </c>
      <c r="D83" s="1428" t="s">
        <v>889</v>
      </c>
      <c r="E83" s="1429">
        <v>77</v>
      </c>
      <c r="F83" s="2197" t="s">
        <v>18080</v>
      </c>
      <c r="G83" s="2198" t="s">
        <v>3262</v>
      </c>
      <c r="H83" s="2197" t="s">
        <v>10250</v>
      </c>
      <c r="I83" s="2199" t="s">
        <v>990</v>
      </c>
      <c r="J83" s="2196">
        <v>313</v>
      </c>
    </row>
    <row r="84" spans="2:10" ht="13.5" thickBot="1" x14ac:dyDescent="0.25">
      <c r="B84" s="392" t="str">
        <f t="shared" si="2"/>
        <v>Open - CAMILLERI Mauro</v>
      </c>
      <c r="C84" s="1441" t="str">
        <f t="shared" si="3"/>
        <v>CAMILLERI Mauro</v>
      </c>
      <c r="D84" s="1428" t="s">
        <v>889</v>
      </c>
      <c r="E84" s="1429">
        <v>78</v>
      </c>
      <c r="F84" s="2197" t="s">
        <v>3153</v>
      </c>
      <c r="G84" s="2198" t="s">
        <v>3204</v>
      </c>
      <c r="H84" s="2197" t="s">
        <v>10253</v>
      </c>
      <c r="I84" s="2199" t="s">
        <v>1045</v>
      </c>
      <c r="J84" s="2196">
        <v>301</v>
      </c>
    </row>
    <row r="85" spans="2:10" ht="13.5" thickBot="1" x14ac:dyDescent="0.25">
      <c r="B85" s="392" t="str">
        <f t="shared" si="2"/>
        <v>Open - KOI Kenzo</v>
      </c>
      <c r="C85" s="1441" t="str">
        <f t="shared" si="3"/>
        <v>KOI Kenzo</v>
      </c>
      <c r="D85" s="1428" t="s">
        <v>889</v>
      </c>
      <c r="E85" s="1429">
        <v>79</v>
      </c>
      <c r="F85" s="2197" t="s">
        <v>3186</v>
      </c>
      <c r="G85" s="2198" t="s">
        <v>3187</v>
      </c>
      <c r="H85" s="2197" t="s">
        <v>5508</v>
      </c>
      <c r="I85" s="2199" t="s">
        <v>1041</v>
      </c>
      <c r="J85" s="2196">
        <v>298.5</v>
      </c>
    </row>
    <row r="86" spans="2:10" ht="13.5" thickBot="1" x14ac:dyDescent="0.25">
      <c r="B86" s="392" t="str">
        <f t="shared" si="2"/>
        <v>Open - ROUIS Fayçal</v>
      </c>
      <c r="C86" s="1441" t="str">
        <f t="shared" si="3"/>
        <v>ROUIS Fayçal</v>
      </c>
      <c r="D86" s="1428" t="s">
        <v>889</v>
      </c>
      <c r="E86" s="1429">
        <v>80</v>
      </c>
      <c r="F86" s="2197" t="s">
        <v>11428</v>
      </c>
      <c r="G86" s="2198" t="s">
        <v>3426</v>
      </c>
      <c r="H86" s="2197" t="s">
        <v>2893</v>
      </c>
      <c r="I86" s="2199" t="s">
        <v>1019</v>
      </c>
      <c r="J86" s="2196">
        <v>297.5</v>
      </c>
    </row>
    <row r="87" spans="2:10" ht="13.5" thickBot="1" x14ac:dyDescent="0.25">
      <c r="B87" s="392" t="str">
        <f t="shared" si="2"/>
        <v>Open - CRANSTON Daniel</v>
      </c>
      <c r="C87" s="1441" t="str">
        <f t="shared" si="3"/>
        <v>CRANSTON Daniel</v>
      </c>
      <c r="D87" s="1428" t="s">
        <v>889</v>
      </c>
      <c r="E87" s="1429">
        <v>81</v>
      </c>
      <c r="F87" s="2197" t="s">
        <v>7187</v>
      </c>
      <c r="G87" s="2198" t="s">
        <v>3243</v>
      </c>
      <c r="H87" s="2197" t="s">
        <v>17015</v>
      </c>
      <c r="I87" s="2199" t="s">
        <v>1079</v>
      </c>
      <c r="J87" s="2196">
        <v>297</v>
      </c>
    </row>
    <row r="88" spans="2:10" ht="13.5" thickBot="1" x14ac:dyDescent="0.25">
      <c r="B88" s="392" t="str">
        <f t="shared" si="2"/>
        <v>Open - HAMMONDS Mick</v>
      </c>
      <c r="C88" s="1441" t="str">
        <f t="shared" si="3"/>
        <v>HAMMONDS Mick</v>
      </c>
      <c r="D88" s="1428" t="s">
        <v>889</v>
      </c>
      <c r="E88" s="1429">
        <v>82</v>
      </c>
      <c r="F88" s="2197" t="s">
        <v>10986</v>
      </c>
      <c r="G88" s="2198" t="s">
        <v>6918</v>
      </c>
      <c r="H88" s="2197" t="s">
        <v>14399</v>
      </c>
      <c r="I88" s="2199" t="s">
        <v>1013</v>
      </c>
      <c r="J88" s="2196">
        <v>291.5</v>
      </c>
    </row>
    <row r="89" spans="2:10" ht="13.5" thickBot="1" x14ac:dyDescent="0.25">
      <c r="B89" s="392" t="str">
        <f t="shared" si="2"/>
        <v>Open - JANSSENS Noah</v>
      </c>
      <c r="C89" s="1441" t="str">
        <f t="shared" si="3"/>
        <v>JANSSENS Noah</v>
      </c>
      <c r="D89" s="1428" t="s">
        <v>889</v>
      </c>
      <c r="E89" s="1429">
        <v>83</v>
      </c>
      <c r="F89" s="2197" t="s">
        <v>14232</v>
      </c>
      <c r="G89" s="2198" t="s">
        <v>7329</v>
      </c>
      <c r="H89" s="2197" t="s">
        <v>10250</v>
      </c>
      <c r="I89" s="2199" t="s">
        <v>990</v>
      </c>
      <c r="J89" s="2196">
        <v>287</v>
      </c>
    </row>
    <row r="90" spans="2:10" ht="13.5" thickBot="1" x14ac:dyDescent="0.25">
      <c r="B90" s="392" t="str">
        <f t="shared" si="2"/>
        <v>Open - KENNEDY Eliot</v>
      </c>
      <c r="C90" s="1441" t="str">
        <f t="shared" si="3"/>
        <v>KENNEDY Eliot</v>
      </c>
      <c r="D90" s="1428" t="s">
        <v>889</v>
      </c>
      <c r="E90" s="1429">
        <v>84</v>
      </c>
      <c r="F90" s="2197" t="s">
        <v>7268</v>
      </c>
      <c r="G90" s="2198" t="s">
        <v>7269</v>
      </c>
      <c r="H90" s="2197" t="s">
        <v>9593</v>
      </c>
      <c r="I90" s="2199" t="s">
        <v>986</v>
      </c>
      <c r="J90" s="2196">
        <v>285</v>
      </c>
    </row>
    <row r="91" spans="2:10" ht="13.5" thickBot="1" x14ac:dyDescent="0.25">
      <c r="B91" s="392" t="str">
        <f t="shared" si="2"/>
        <v>Open - CORDELL Kevin</v>
      </c>
      <c r="C91" s="1441" t="str">
        <f t="shared" si="3"/>
        <v>CORDELL Kevin</v>
      </c>
      <c r="D91" s="1428" t="s">
        <v>889</v>
      </c>
      <c r="E91" s="1429">
        <v>85</v>
      </c>
      <c r="F91" s="2197" t="s">
        <v>13498</v>
      </c>
      <c r="G91" s="2198" t="s">
        <v>3263</v>
      </c>
      <c r="H91" s="2197" t="s">
        <v>17082</v>
      </c>
      <c r="I91" s="2199" t="s">
        <v>1013</v>
      </c>
      <c r="J91" s="2196">
        <v>284</v>
      </c>
    </row>
    <row r="92" spans="2:10" ht="13.5" thickBot="1" x14ac:dyDescent="0.25">
      <c r="B92" s="392" t="str">
        <f t="shared" si="2"/>
        <v>Open - HEYVAERT Jérôme</v>
      </c>
      <c r="C92" s="1441" t="str">
        <f t="shared" si="3"/>
        <v>HEYVAERT Jérôme</v>
      </c>
      <c r="D92" s="1428" t="s">
        <v>889</v>
      </c>
      <c r="E92" s="1429">
        <v>86</v>
      </c>
      <c r="F92" s="2197" t="s">
        <v>3120</v>
      </c>
      <c r="G92" s="2198" t="s">
        <v>3121</v>
      </c>
      <c r="H92" s="2197" t="s">
        <v>7867</v>
      </c>
      <c r="I92" s="2199" t="s">
        <v>990</v>
      </c>
      <c r="J92" s="2196">
        <v>280</v>
      </c>
    </row>
    <row r="93" spans="2:10" ht="13.5" thickBot="1" x14ac:dyDescent="0.25">
      <c r="B93" s="392" t="str">
        <f t="shared" si="2"/>
        <v>Open - YUSNI Den Mulia</v>
      </c>
      <c r="C93" s="1441" t="str">
        <f t="shared" si="3"/>
        <v>YUSNI Den Mulia</v>
      </c>
      <c r="D93" s="1428" t="s">
        <v>889</v>
      </c>
      <c r="E93" s="1429">
        <v>87</v>
      </c>
      <c r="F93" s="2197" t="s">
        <v>3117</v>
      </c>
      <c r="G93" s="2198" t="s">
        <v>3118</v>
      </c>
      <c r="H93" s="2197" t="s">
        <v>8716</v>
      </c>
      <c r="I93" s="2199" t="s">
        <v>7916</v>
      </c>
      <c r="J93" s="2196">
        <v>279.5</v>
      </c>
    </row>
    <row r="94" spans="2:10" ht="13.5" thickBot="1" x14ac:dyDescent="0.25">
      <c r="B94" s="392" t="str">
        <f t="shared" si="2"/>
        <v>Open - LOURS Rémy</v>
      </c>
      <c r="C94" s="1441" t="str">
        <f t="shared" si="3"/>
        <v>LOURS Rémy</v>
      </c>
      <c r="D94" s="1428" t="s">
        <v>889</v>
      </c>
      <c r="E94" s="1429">
        <v>88</v>
      </c>
      <c r="F94" s="2197" t="s">
        <v>7306</v>
      </c>
      <c r="G94" s="2198" t="s">
        <v>3394</v>
      </c>
      <c r="H94" s="2197" t="s">
        <v>2893</v>
      </c>
      <c r="I94" s="2199" t="s">
        <v>1019</v>
      </c>
      <c r="J94" s="2196">
        <v>277.5</v>
      </c>
    </row>
    <row r="95" spans="2:10" ht="13.5" thickBot="1" x14ac:dyDescent="0.25">
      <c r="B95" s="392" t="str">
        <f t="shared" si="2"/>
        <v>Open - VARNEY Bob</v>
      </c>
      <c r="C95" s="1441" t="str">
        <f t="shared" si="3"/>
        <v>VARNEY Bob</v>
      </c>
      <c r="D95" s="1428" t="s">
        <v>889</v>
      </c>
      <c r="E95" s="1429">
        <v>89</v>
      </c>
      <c r="F95" s="2197" t="s">
        <v>11439</v>
      </c>
      <c r="G95" s="2198" t="s">
        <v>3637</v>
      </c>
      <c r="H95" s="2197" t="s">
        <v>7183</v>
      </c>
      <c r="I95" s="2199" t="s">
        <v>1013</v>
      </c>
      <c r="J95" s="2196">
        <v>274.5</v>
      </c>
    </row>
    <row r="96" spans="2:10" ht="13.5" thickBot="1" x14ac:dyDescent="0.25">
      <c r="B96" s="392" t="str">
        <f t="shared" si="2"/>
        <v>Open - TAN Ashley</v>
      </c>
      <c r="C96" s="1441" t="str">
        <f t="shared" si="3"/>
        <v>TAN Ashley</v>
      </c>
      <c r="D96" s="1428" t="s">
        <v>889</v>
      </c>
      <c r="E96" s="1429">
        <v>90</v>
      </c>
      <c r="F96" s="2197" t="s">
        <v>3226</v>
      </c>
      <c r="G96" s="2198" t="s">
        <v>7980</v>
      </c>
      <c r="H96" s="2197" t="s">
        <v>8716</v>
      </c>
      <c r="I96" s="2199" t="s">
        <v>7916</v>
      </c>
      <c r="J96" s="2196">
        <v>273</v>
      </c>
    </row>
    <row r="97" spans="2:10" ht="13.5" thickBot="1" x14ac:dyDescent="0.25">
      <c r="B97" s="392" t="str">
        <f t="shared" si="2"/>
        <v>Open - BEDFORD Chris</v>
      </c>
      <c r="C97" s="1441" t="str">
        <f t="shared" si="3"/>
        <v>BEDFORD Chris</v>
      </c>
      <c r="D97" s="1428" t="s">
        <v>889</v>
      </c>
      <c r="E97" s="1429">
        <v>91</v>
      </c>
      <c r="F97" s="2197" t="s">
        <v>14130</v>
      </c>
      <c r="G97" s="2198" t="s">
        <v>3029</v>
      </c>
      <c r="H97" s="2197" t="s">
        <v>2752</v>
      </c>
      <c r="I97" s="2199" t="s">
        <v>1083</v>
      </c>
      <c r="J97" s="2196">
        <v>272.5</v>
      </c>
    </row>
    <row r="98" spans="2:10" ht="13.5" thickBot="1" x14ac:dyDescent="0.25">
      <c r="B98" s="392" t="str">
        <f t="shared" si="2"/>
        <v>Open - DI VITO Marco</v>
      </c>
      <c r="C98" s="1441" t="str">
        <f t="shared" si="3"/>
        <v>DI VITO Marco</v>
      </c>
      <c r="D98" s="1428" t="s">
        <v>889</v>
      </c>
      <c r="E98" s="1429">
        <v>92</v>
      </c>
      <c r="F98" s="2197" t="s">
        <v>3567</v>
      </c>
      <c r="G98" s="2198" t="s">
        <v>3109</v>
      </c>
      <c r="H98" s="2197" t="s">
        <v>2750</v>
      </c>
      <c r="I98" s="2199" t="s">
        <v>1037</v>
      </c>
      <c r="J98" s="2196">
        <v>271</v>
      </c>
    </row>
    <row r="99" spans="2:10" ht="13.5" thickBot="1" x14ac:dyDescent="0.25">
      <c r="B99" s="392" t="str">
        <f t="shared" si="2"/>
        <v>Open - VILLARIGUES Carolina</v>
      </c>
      <c r="C99" s="1441" t="str">
        <f t="shared" si="3"/>
        <v>VILLARIGUES Carolina</v>
      </c>
      <c r="D99" s="1428" t="s">
        <v>889</v>
      </c>
      <c r="E99" s="1429">
        <v>93</v>
      </c>
      <c r="F99" s="2197" t="s">
        <v>14140</v>
      </c>
      <c r="G99" s="2198" t="s">
        <v>3506</v>
      </c>
      <c r="H99" s="2197" t="s">
        <v>15175</v>
      </c>
      <c r="I99" s="2199" t="s">
        <v>1061</v>
      </c>
      <c r="J99" s="2196">
        <v>266</v>
      </c>
    </row>
    <row r="100" spans="2:10" ht="13.5" thickBot="1" x14ac:dyDescent="0.25">
      <c r="B100" s="392" t="str">
        <f t="shared" si="2"/>
        <v>Open - BOUCHEZ Corentin</v>
      </c>
      <c r="C100" s="1441" t="str">
        <f t="shared" si="3"/>
        <v>BOUCHEZ Corentin</v>
      </c>
      <c r="D100" s="1428" t="s">
        <v>889</v>
      </c>
      <c r="E100" s="1429">
        <v>94</v>
      </c>
      <c r="F100" s="2197" t="s">
        <v>17606</v>
      </c>
      <c r="G100" s="2198" t="s">
        <v>3673</v>
      </c>
      <c r="H100" s="2197" t="s">
        <v>5301</v>
      </c>
      <c r="I100" s="2199" t="s">
        <v>990</v>
      </c>
      <c r="J100" s="2196">
        <v>262</v>
      </c>
    </row>
    <row r="101" spans="2:10" ht="13.5" thickBot="1" x14ac:dyDescent="0.25">
      <c r="B101" s="392" t="str">
        <f t="shared" si="2"/>
        <v>Open - MANFREDELLI Francesco</v>
      </c>
      <c r="C101" s="1441" t="str">
        <f t="shared" si="3"/>
        <v>MANFREDELLI Francesco</v>
      </c>
      <c r="D101" s="1428" t="s">
        <v>889</v>
      </c>
      <c r="E101" s="1429">
        <v>95</v>
      </c>
      <c r="F101" s="2197" t="s">
        <v>10308</v>
      </c>
      <c r="G101" s="2198" t="s">
        <v>3277</v>
      </c>
      <c r="H101" s="2197" t="s">
        <v>2750</v>
      </c>
      <c r="I101" s="2199" t="s">
        <v>1037</v>
      </c>
      <c r="J101" s="2196">
        <v>260</v>
      </c>
    </row>
    <row r="102" spans="2:10" ht="13.5" thickBot="1" x14ac:dyDescent="0.25">
      <c r="B102" s="392" t="str">
        <f t="shared" si="2"/>
        <v>Open - FUJINO Suguru</v>
      </c>
      <c r="C102" s="1441" t="str">
        <f t="shared" si="3"/>
        <v>FUJINO Suguru</v>
      </c>
      <c r="D102" s="1428" t="s">
        <v>889</v>
      </c>
      <c r="E102" s="1429">
        <v>96</v>
      </c>
      <c r="F102" s="2197" t="s">
        <v>7294</v>
      </c>
      <c r="G102" s="2198" t="s">
        <v>7295</v>
      </c>
      <c r="H102" s="2197" t="s">
        <v>14711</v>
      </c>
      <c r="I102" s="2199" t="s">
        <v>1041</v>
      </c>
      <c r="J102" s="2196">
        <v>250</v>
      </c>
    </row>
    <row r="103" spans="2:10" ht="13.5" thickBot="1" x14ac:dyDescent="0.25">
      <c r="B103" s="392" t="str">
        <f t="shared" si="2"/>
        <v>Open - LAURENT Joffray</v>
      </c>
      <c r="C103" s="1441" t="str">
        <f t="shared" si="3"/>
        <v>LAURENT Joffray</v>
      </c>
      <c r="D103" s="1428" t="s">
        <v>889</v>
      </c>
      <c r="E103" s="1429">
        <v>97</v>
      </c>
      <c r="F103" s="2197" t="s">
        <v>14132</v>
      </c>
      <c r="G103" s="2198" t="s">
        <v>3465</v>
      </c>
      <c r="H103" s="2197" t="s">
        <v>2745</v>
      </c>
      <c r="I103" s="2199" t="s">
        <v>990</v>
      </c>
      <c r="J103" s="2196">
        <v>247</v>
      </c>
    </row>
    <row r="104" spans="2:10" ht="13.5" thickBot="1" x14ac:dyDescent="0.25">
      <c r="B104" s="392" t="str">
        <f t="shared" si="2"/>
        <v>Open - BONNICI Jamie</v>
      </c>
      <c r="C104" s="1441" t="str">
        <f t="shared" si="3"/>
        <v>BONNICI Jamie</v>
      </c>
      <c r="D104" s="1428" t="s">
        <v>889</v>
      </c>
      <c r="E104" s="1429">
        <v>97</v>
      </c>
      <c r="F104" s="2197" t="s">
        <v>3355</v>
      </c>
      <c r="G104" s="2198" t="s">
        <v>3368</v>
      </c>
      <c r="H104" s="2197" t="s">
        <v>14680</v>
      </c>
      <c r="I104" s="2199" t="s">
        <v>1045</v>
      </c>
      <c r="J104" s="2196">
        <v>247</v>
      </c>
    </row>
    <row r="105" spans="2:10" ht="13.5" thickBot="1" x14ac:dyDescent="0.25">
      <c r="B105" s="392" t="str">
        <f t="shared" si="2"/>
        <v>Open - MPOUGIOURIS Ioannis</v>
      </c>
      <c r="C105" s="1441" t="str">
        <f t="shared" si="3"/>
        <v>MPOUGIOURIS Ioannis</v>
      </c>
      <c r="D105" s="1428" t="s">
        <v>889</v>
      </c>
      <c r="E105" s="1429">
        <v>99</v>
      </c>
      <c r="F105" s="2197" t="s">
        <v>8729</v>
      </c>
      <c r="G105" s="2198" t="s">
        <v>3350</v>
      </c>
      <c r="H105" s="2197" t="s">
        <v>13590</v>
      </c>
      <c r="I105" s="2199" t="s">
        <v>1025</v>
      </c>
      <c r="J105" s="2196">
        <v>244.5</v>
      </c>
    </row>
    <row r="106" spans="2:10" ht="13.5" thickBot="1" x14ac:dyDescent="0.25">
      <c r="B106" s="392" t="str">
        <f t="shared" si="2"/>
        <v>Open - RADZIMINSKI Luke</v>
      </c>
      <c r="C106" s="1441" t="str">
        <f t="shared" si="3"/>
        <v>RADZIMINSKI Luke</v>
      </c>
      <c r="D106" s="1428" t="s">
        <v>889</v>
      </c>
      <c r="E106" s="1429">
        <v>100</v>
      </c>
      <c r="F106" s="2197" t="s">
        <v>7284</v>
      </c>
      <c r="G106" s="2198" t="s">
        <v>5550</v>
      </c>
      <c r="H106" s="2197" t="s">
        <v>9594</v>
      </c>
      <c r="I106" s="2199" t="s">
        <v>986</v>
      </c>
      <c r="J106" s="2196">
        <v>240</v>
      </c>
    </row>
    <row r="107" spans="2:10" ht="13.5" thickBot="1" x14ac:dyDescent="0.25">
      <c r="B107" s="392" t="str">
        <f t="shared" si="2"/>
        <v>Open - CONTI Spencer</v>
      </c>
      <c r="C107" s="1441" t="str">
        <f t="shared" si="3"/>
        <v>CONTI Spencer</v>
      </c>
      <c r="D107" s="1428" t="s">
        <v>889</v>
      </c>
      <c r="E107" s="1429">
        <v>101</v>
      </c>
      <c r="F107" s="2197" t="s">
        <v>3020</v>
      </c>
      <c r="G107" s="2198" t="s">
        <v>11250</v>
      </c>
      <c r="H107" s="2197" t="s">
        <v>16490</v>
      </c>
      <c r="I107" s="2199" t="s">
        <v>1045</v>
      </c>
      <c r="J107" s="2196">
        <v>239.5</v>
      </c>
    </row>
    <row r="108" spans="2:10" ht="13.5" thickBot="1" x14ac:dyDescent="0.25">
      <c r="B108" s="392" t="str">
        <f t="shared" si="2"/>
        <v>Open - CAVIGLIA Micael</v>
      </c>
      <c r="C108" s="1441" t="str">
        <f t="shared" si="3"/>
        <v>CAVIGLIA Micael</v>
      </c>
      <c r="D108" s="1428" t="s">
        <v>889</v>
      </c>
      <c r="E108" s="1429">
        <v>102</v>
      </c>
      <c r="F108" s="2197" t="s">
        <v>10993</v>
      </c>
      <c r="G108" s="2198" t="s">
        <v>3677</v>
      </c>
      <c r="H108" s="2197" t="s">
        <v>2777</v>
      </c>
      <c r="I108" s="2199" t="s">
        <v>1037</v>
      </c>
      <c r="J108" s="2196">
        <v>235</v>
      </c>
    </row>
    <row r="109" spans="2:10" ht="13.5" thickBot="1" x14ac:dyDescent="0.25">
      <c r="B109" s="392" t="str">
        <f t="shared" si="2"/>
        <v>Open - BRUNELLI Marco</v>
      </c>
      <c r="C109" s="1441" t="str">
        <f t="shared" si="3"/>
        <v>BRUNELLI Marco</v>
      </c>
      <c r="D109" s="1428" t="s">
        <v>889</v>
      </c>
      <c r="E109" s="1429">
        <v>103</v>
      </c>
      <c r="F109" s="2197" t="s">
        <v>8754</v>
      </c>
      <c r="G109" s="2198" t="s">
        <v>3109</v>
      </c>
      <c r="H109" s="2197" t="s">
        <v>15245</v>
      </c>
      <c r="I109" s="2199" t="s">
        <v>1037</v>
      </c>
      <c r="J109" s="2196">
        <v>234</v>
      </c>
    </row>
    <row r="110" spans="2:10" ht="13.5" thickBot="1" x14ac:dyDescent="0.25">
      <c r="B110" s="392" t="str">
        <f t="shared" si="2"/>
        <v>Open - PREZIUSO Marco</v>
      </c>
      <c r="C110" s="1441" t="str">
        <f t="shared" si="3"/>
        <v>PREZIUSO Marco</v>
      </c>
      <c r="D110" s="1428" t="s">
        <v>889</v>
      </c>
      <c r="E110" s="1429">
        <v>103</v>
      </c>
      <c r="F110" s="2197" t="s">
        <v>14180</v>
      </c>
      <c r="G110" s="2198" t="s">
        <v>3109</v>
      </c>
      <c r="H110" s="2197" t="s">
        <v>2776</v>
      </c>
      <c r="I110" s="2199" t="s">
        <v>1037</v>
      </c>
      <c r="J110" s="2196">
        <v>234</v>
      </c>
    </row>
    <row r="111" spans="2:10" ht="13.5" thickBot="1" x14ac:dyDescent="0.25">
      <c r="B111" s="392" t="str">
        <f t="shared" si="2"/>
        <v>Open - KATO Taichi</v>
      </c>
      <c r="C111" s="1441" t="str">
        <f t="shared" si="3"/>
        <v>KATO Taichi</v>
      </c>
      <c r="D111" s="1428" t="s">
        <v>889</v>
      </c>
      <c r="E111" s="1429">
        <v>105</v>
      </c>
      <c r="F111" s="2197" t="s">
        <v>5544</v>
      </c>
      <c r="G111" s="2198" t="s">
        <v>5545</v>
      </c>
      <c r="H111" s="2197" t="s">
        <v>5508</v>
      </c>
      <c r="I111" s="2199" t="s">
        <v>1041</v>
      </c>
      <c r="J111" s="2196">
        <v>228.5</v>
      </c>
    </row>
    <row r="112" spans="2:10" ht="13.5" thickBot="1" x14ac:dyDescent="0.25">
      <c r="B112" s="392" t="str">
        <f t="shared" si="2"/>
        <v>Open - PERE Lucas</v>
      </c>
      <c r="C112" s="1441" t="str">
        <f t="shared" si="3"/>
        <v>PERE Lucas</v>
      </c>
      <c r="D112" s="1428" t="s">
        <v>889</v>
      </c>
      <c r="E112" s="1429">
        <v>106</v>
      </c>
      <c r="F112" s="2197" t="s">
        <v>3420</v>
      </c>
      <c r="G112" s="2198" t="s">
        <v>3684</v>
      </c>
      <c r="H112" s="2197" t="s">
        <v>13519</v>
      </c>
      <c r="I112" s="2199" t="s">
        <v>990</v>
      </c>
      <c r="J112" s="2196">
        <v>228</v>
      </c>
    </row>
    <row r="113" spans="2:10" ht="13.5" thickBot="1" x14ac:dyDescent="0.25">
      <c r="B113" s="392" t="str">
        <f t="shared" si="2"/>
        <v>Open - TIMPANO Bruno</v>
      </c>
      <c r="C113" s="1441" t="str">
        <f t="shared" si="3"/>
        <v>TIMPANO Bruno</v>
      </c>
      <c r="D113" s="1428" t="s">
        <v>889</v>
      </c>
      <c r="E113" s="1429">
        <v>107</v>
      </c>
      <c r="F113" s="2197" t="s">
        <v>8741</v>
      </c>
      <c r="G113" s="2198" t="s">
        <v>3168</v>
      </c>
      <c r="H113" s="2197" t="s">
        <v>11331</v>
      </c>
      <c r="I113" s="2199" t="s">
        <v>990</v>
      </c>
      <c r="J113" s="2196">
        <v>227.5</v>
      </c>
    </row>
    <row r="114" spans="2:10" ht="13.5" thickBot="1" x14ac:dyDescent="0.25">
      <c r="B114" s="392" t="str">
        <f t="shared" si="2"/>
        <v>Open - GREEN Robert</v>
      </c>
      <c r="C114" s="1441" t="str">
        <f t="shared" si="3"/>
        <v>GREEN Robert</v>
      </c>
      <c r="D114" s="1428" t="s">
        <v>889</v>
      </c>
      <c r="E114" s="1429">
        <v>108</v>
      </c>
      <c r="F114" s="2197" t="s">
        <v>5594</v>
      </c>
      <c r="G114" s="2198" t="s">
        <v>3405</v>
      </c>
      <c r="H114" s="2197" t="s">
        <v>9593</v>
      </c>
      <c r="I114" s="2199" t="s">
        <v>986</v>
      </c>
      <c r="J114" s="2196">
        <v>225</v>
      </c>
    </row>
    <row r="115" spans="2:10" ht="13.5" thickBot="1" x14ac:dyDescent="0.25">
      <c r="B115" s="392" t="str">
        <f t="shared" si="2"/>
        <v>Open - KNUF Rudi</v>
      </c>
      <c r="C115" s="1441" t="str">
        <f t="shared" si="3"/>
        <v>KNUF Rudi</v>
      </c>
      <c r="D115" s="1428" t="s">
        <v>889</v>
      </c>
      <c r="E115" s="1429">
        <v>109</v>
      </c>
      <c r="F115" s="2197" t="s">
        <v>11417</v>
      </c>
      <c r="G115" s="2198" t="s">
        <v>3365</v>
      </c>
      <c r="H115" s="2197" t="s">
        <v>2745</v>
      </c>
      <c r="I115" s="2199" t="s">
        <v>1021</v>
      </c>
      <c r="J115" s="2196">
        <v>223.5</v>
      </c>
    </row>
    <row r="116" spans="2:10" ht="13.5" thickBot="1" x14ac:dyDescent="0.25">
      <c r="B116" s="392" t="str">
        <f t="shared" si="2"/>
        <v>Open - FIELD John</v>
      </c>
      <c r="C116" s="1441" t="str">
        <f t="shared" si="3"/>
        <v>FIELD John</v>
      </c>
      <c r="D116" s="1428" t="s">
        <v>889</v>
      </c>
      <c r="E116" s="1429">
        <v>110</v>
      </c>
      <c r="F116" s="2197" t="s">
        <v>3402</v>
      </c>
      <c r="G116" s="2198" t="s">
        <v>3250</v>
      </c>
      <c r="H116" s="2197" t="s">
        <v>2755</v>
      </c>
      <c r="I116" s="2199" t="s">
        <v>1023</v>
      </c>
      <c r="J116" s="2196">
        <v>219</v>
      </c>
    </row>
    <row r="117" spans="2:10" ht="13.5" thickBot="1" x14ac:dyDescent="0.25">
      <c r="B117" s="392" t="str">
        <f t="shared" si="2"/>
        <v>Open - PAPPAS Nikolaos</v>
      </c>
      <c r="C117" s="1441" t="str">
        <f t="shared" si="3"/>
        <v>PAPPAS Nikolaos</v>
      </c>
      <c r="D117" s="1428" t="s">
        <v>889</v>
      </c>
      <c r="E117" s="1429">
        <v>111</v>
      </c>
      <c r="F117" s="2197" t="s">
        <v>3086</v>
      </c>
      <c r="G117" s="2198" t="s">
        <v>5554</v>
      </c>
      <c r="H117" s="2197" t="s">
        <v>10246</v>
      </c>
      <c r="I117" s="2199" t="s">
        <v>1025</v>
      </c>
      <c r="J117" s="2196">
        <v>217.5</v>
      </c>
    </row>
    <row r="118" spans="2:10" ht="13.5" thickBot="1" x14ac:dyDescent="0.25">
      <c r="B118" s="392" t="str">
        <f t="shared" si="2"/>
        <v>Open - LAMBERT Stéphane</v>
      </c>
      <c r="C118" s="1441" t="str">
        <f t="shared" si="3"/>
        <v>LAMBERT Stéphane</v>
      </c>
      <c r="D118" s="1428" t="s">
        <v>889</v>
      </c>
      <c r="E118" s="1429">
        <v>112</v>
      </c>
      <c r="F118" s="2197" t="s">
        <v>5512</v>
      </c>
      <c r="G118" s="2198" t="s">
        <v>3624</v>
      </c>
      <c r="H118" s="2197" t="s">
        <v>5508</v>
      </c>
      <c r="I118" s="2199" t="s">
        <v>990</v>
      </c>
      <c r="J118" s="2196">
        <v>214.5</v>
      </c>
    </row>
    <row r="119" spans="2:10" ht="13.5" thickBot="1" x14ac:dyDescent="0.25">
      <c r="B119" s="392" t="str">
        <f t="shared" si="2"/>
        <v>Open - STAMOKOSTAS Konstantinos</v>
      </c>
      <c r="C119" s="1441" t="str">
        <f t="shared" si="3"/>
        <v>STAMOKOSTAS Konstantinos</v>
      </c>
      <c r="D119" s="1428" t="s">
        <v>889</v>
      </c>
      <c r="E119" s="1429">
        <v>113</v>
      </c>
      <c r="F119" s="2197" t="s">
        <v>3097</v>
      </c>
      <c r="G119" s="2198" t="s">
        <v>6986</v>
      </c>
      <c r="H119" s="2197" t="s">
        <v>2745</v>
      </c>
      <c r="I119" s="2199" t="s">
        <v>1025</v>
      </c>
      <c r="J119" s="2196">
        <v>212</v>
      </c>
    </row>
    <row r="120" spans="2:10" ht="13.5" thickBot="1" x14ac:dyDescent="0.25">
      <c r="B120" s="392" t="str">
        <f t="shared" si="2"/>
        <v>Open - CHOONG Michael</v>
      </c>
      <c r="C120" s="1441" t="str">
        <f t="shared" si="3"/>
        <v>CHOONG Michael</v>
      </c>
      <c r="D120" s="1428" t="s">
        <v>889</v>
      </c>
      <c r="E120" s="1429">
        <v>114</v>
      </c>
      <c r="F120" s="2197" t="s">
        <v>5509</v>
      </c>
      <c r="G120" s="2198" t="s">
        <v>3416</v>
      </c>
      <c r="H120" s="2197" t="s">
        <v>10267</v>
      </c>
      <c r="I120" s="2199" t="s">
        <v>7916</v>
      </c>
      <c r="J120" s="2196">
        <v>211.5</v>
      </c>
    </row>
    <row r="121" spans="2:10" ht="13.5" thickBot="1" x14ac:dyDescent="0.25">
      <c r="B121" s="392" t="str">
        <f t="shared" si="2"/>
        <v>Open - RAHAMAT Anas</v>
      </c>
      <c r="C121" s="1441" t="str">
        <f t="shared" si="3"/>
        <v>RAHAMAT Anas</v>
      </c>
      <c r="D121" s="1428" t="s">
        <v>889</v>
      </c>
      <c r="E121" s="1429">
        <v>115</v>
      </c>
      <c r="F121" s="2197" t="s">
        <v>5519</v>
      </c>
      <c r="G121" s="2198" t="s">
        <v>5520</v>
      </c>
      <c r="H121" s="2197" t="s">
        <v>7270</v>
      </c>
      <c r="I121" s="2199" t="s">
        <v>7916</v>
      </c>
      <c r="J121" s="2196">
        <v>208.5</v>
      </c>
    </row>
    <row r="122" spans="2:10" ht="13.5" thickBot="1" x14ac:dyDescent="0.25">
      <c r="B122" s="392" t="str">
        <f t="shared" si="2"/>
        <v>Open - PATRUNO Gerardo</v>
      </c>
      <c r="C122" s="1441" t="str">
        <f t="shared" si="3"/>
        <v>PATRUNO Gerardo</v>
      </c>
      <c r="D122" s="1428" t="s">
        <v>889</v>
      </c>
      <c r="E122" s="1429">
        <v>116</v>
      </c>
      <c r="F122" s="2197" t="s">
        <v>3070</v>
      </c>
      <c r="G122" s="2198" t="s">
        <v>3071</v>
      </c>
      <c r="H122" s="2197" t="s">
        <v>2749</v>
      </c>
      <c r="I122" s="2199" t="s">
        <v>1037</v>
      </c>
      <c r="J122" s="2196">
        <v>204</v>
      </c>
    </row>
    <row r="123" spans="2:10" ht="13.5" thickBot="1" x14ac:dyDescent="0.25">
      <c r="B123" s="392" t="str">
        <f t="shared" si="2"/>
        <v>Open - PELUSO Antonio</v>
      </c>
      <c r="C123" s="1441" t="str">
        <f t="shared" si="3"/>
        <v>PELUSO Antonio</v>
      </c>
      <c r="D123" s="1428" t="s">
        <v>889</v>
      </c>
      <c r="E123" s="1429">
        <v>117</v>
      </c>
      <c r="F123" s="2197" t="s">
        <v>14185</v>
      </c>
      <c r="G123" s="2198" t="s">
        <v>3341</v>
      </c>
      <c r="H123" s="2197" t="s">
        <v>2776</v>
      </c>
      <c r="I123" s="2199" t="s">
        <v>1037</v>
      </c>
      <c r="J123" s="2196">
        <v>203.5</v>
      </c>
    </row>
    <row r="124" spans="2:10" ht="13.5" thickBot="1" x14ac:dyDescent="0.25">
      <c r="B124" s="392" t="str">
        <f t="shared" si="2"/>
        <v>Open - PONTHIEUX Ludovic</v>
      </c>
      <c r="C124" s="1441" t="str">
        <f t="shared" si="3"/>
        <v>PONTHIEUX Ludovic</v>
      </c>
      <c r="D124" s="1428" t="s">
        <v>889</v>
      </c>
      <c r="E124" s="1429">
        <v>118</v>
      </c>
      <c r="F124" s="2197" t="s">
        <v>14137</v>
      </c>
      <c r="G124" s="2198" t="s">
        <v>3190</v>
      </c>
      <c r="H124" s="2197" t="s">
        <v>10250</v>
      </c>
      <c r="I124" s="2199" t="s">
        <v>990</v>
      </c>
      <c r="J124" s="2196">
        <v>203</v>
      </c>
    </row>
    <row r="125" spans="2:10" ht="13.5" thickBot="1" x14ac:dyDescent="0.25">
      <c r="B125" s="392" t="str">
        <f t="shared" si="2"/>
        <v>Open - GREGOIRE Ralf</v>
      </c>
      <c r="C125" s="1441" t="str">
        <f t="shared" si="3"/>
        <v>GREGOIRE Ralf</v>
      </c>
      <c r="D125" s="1428" t="s">
        <v>889</v>
      </c>
      <c r="E125" s="1429">
        <v>119</v>
      </c>
      <c r="F125" s="2197" t="s">
        <v>14138</v>
      </c>
      <c r="G125" s="2198" t="s">
        <v>3205</v>
      </c>
      <c r="H125" s="2197" t="s">
        <v>10254</v>
      </c>
      <c r="I125" s="2199" t="s">
        <v>990</v>
      </c>
      <c r="J125" s="2196">
        <v>201</v>
      </c>
    </row>
    <row r="126" spans="2:10" ht="13.5" thickBot="1" x14ac:dyDescent="0.25">
      <c r="B126" s="392" t="str">
        <f t="shared" si="2"/>
        <v>Open - MATEOS Luis</v>
      </c>
      <c r="C126" s="1441" t="str">
        <f t="shared" si="3"/>
        <v>MATEOS Luis</v>
      </c>
      <c r="D126" s="1428" t="s">
        <v>889</v>
      </c>
      <c r="E126" s="1429">
        <v>120</v>
      </c>
      <c r="F126" s="2197" t="s">
        <v>7264</v>
      </c>
      <c r="G126" s="2198" t="s">
        <v>3683</v>
      </c>
      <c r="H126" s="2197" t="s">
        <v>2774</v>
      </c>
      <c r="I126" s="2199" t="s">
        <v>1015</v>
      </c>
      <c r="J126" s="2196">
        <v>199</v>
      </c>
    </row>
    <row r="127" spans="2:10" ht="13.5" thickBot="1" x14ac:dyDescent="0.25">
      <c r="B127" s="392" t="str">
        <f t="shared" si="2"/>
        <v>Open - CERULLO Guido</v>
      </c>
      <c r="C127" s="1441" t="str">
        <f t="shared" si="3"/>
        <v>CERULLO Guido</v>
      </c>
      <c r="D127" s="1428" t="s">
        <v>889</v>
      </c>
      <c r="E127" s="1429">
        <v>120</v>
      </c>
      <c r="F127" s="2197" t="s">
        <v>3627</v>
      </c>
      <c r="G127" s="2198" t="s">
        <v>6996</v>
      </c>
      <c r="H127" s="2197" t="s">
        <v>2773</v>
      </c>
      <c r="I127" s="2199" t="s">
        <v>1037</v>
      </c>
      <c r="J127" s="2196">
        <v>199</v>
      </c>
    </row>
    <row r="128" spans="2:10" ht="13.5" thickBot="1" x14ac:dyDescent="0.25">
      <c r="B128" s="392" t="str">
        <f t="shared" si="2"/>
        <v>Open - PETERSCHINIGG Rudi</v>
      </c>
      <c r="C128" s="1441" t="str">
        <f t="shared" si="3"/>
        <v>PETERSCHINIGG Rudi</v>
      </c>
      <c r="D128" s="1428" t="s">
        <v>889</v>
      </c>
      <c r="E128" s="1429">
        <v>122</v>
      </c>
      <c r="F128" s="2197" t="s">
        <v>5589</v>
      </c>
      <c r="G128" s="2198" t="s">
        <v>3365</v>
      </c>
      <c r="H128" s="2197" t="s">
        <v>17082</v>
      </c>
      <c r="I128" s="2199" t="s">
        <v>1013</v>
      </c>
      <c r="J128" s="2196">
        <v>198.5</v>
      </c>
    </row>
    <row r="129" spans="2:10" ht="13.5" thickBot="1" x14ac:dyDescent="0.25">
      <c r="B129" s="392" t="str">
        <f t="shared" si="2"/>
        <v>Open - PLYTAS Evgenios</v>
      </c>
      <c r="C129" s="1441" t="str">
        <f t="shared" si="3"/>
        <v>PLYTAS Evgenios</v>
      </c>
      <c r="D129" s="1428" t="s">
        <v>889</v>
      </c>
      <c r="E129" s="1429">
        <v>122</v>
      </c>
      <c r="F129" s="2197" t="s">
        <v>3409</v>
      </c>
      <c r="G129" s="2198" t="s">
        <v>8244</v>
      </c>
      <c r="H129" s="2197" t="s">
        <v>10268</v>
      </c>
      <c r="I129" s="2199" t="s">
        <v>1025</v>
      </c>
      <c r="J129" s="2196">
        <v>198.5</v>
      </c>
    </row>
    <row r="130" spans="2:10" ht="13.5" thickBot="1" x14ac:dyDescent="0.25">
      <c r="B130" s="392" t="str">
        <f t="shared" si="2"/>
        <v>Open - SEGERS Jann</v>
      </c>
      <c r="C130" s="1441" t="str">
        <f t="shared" si="3"/>
        <v>SEGERS Jann</v>
      </c>
      <c r="D130" s="1428" t="s">
        <v>889</v>
      </c>
      <c r="E130" s="1429">
        <v>124</v>
      </c>
      <c r="F130" s="2197" t="s">
        <v>14127</v>
      </c>
      <c r="G130" s="2198" t="s">
        <v>5656</v>
      </c>
      <c r="H130" s="2197" t="s">
        <v>13519</v>
      </c>
      <c r="I130" s="2199" t="s">
        <v>990</v>
      </c>
      <c r="J130" s="2196">
        <v>197</v>
      </c>
    </row>
    <row r="131" spans="2:10" ht="13.5" thickBot="1" x14ac:dyDescent="0.25">
      <c r="B131" s="392" t="str">
        <f t="shared" si="2"/>
        <v>Open - CHANDIRAMANI Vikas K</v>
      </c>
      <c r="C131" s="1441" t="str">
        <f t="shared" si="3"/>
        <v>CHANDIRAMANI Vikas K</v>
      </c>
      <c r="D131" s="1428" t="s">
        <v>889</v>
      </c>
      <c r="E131" s="1429">
        <v>125</v>
      </c>
      <c r="F131" s="2197" t="s">
        <v>5530</v>
      </c>
      <c r="G131" s="2198" t="s">
        <v>5531</v>
      </c>
      <c r="H131" s="2197" t="s">
        <v>7270</v>
      </c>
      <c r="I131" s="2199" t="s">
        <v>7916</v>
      </c>
      <c r="J131" s="2196">
        <v>196.5</v>
      </c>
    </row>
    <row r="132" spans="2:10" ht="13.5" thickBot="1" x14ac:dyDescent="0.25">
      <c r="B132" s="392" t="str">
        <f t="shared" si="2"/>
        <v>Open - ZAMMIT John</v>
      </c>
      <c r="C132" s="1441" t="str">
        <f t="shared" si="3"/>
        <v>ZAMMIT John</v>
      </c>
      <c r="D132" s="1428" t="s">
        <v>889</v>
      </c>
      <c r="E132" s="1429">
        <v>125</v>
      </c>
      <c r="F132" s="2197" t="s">
        <v>3545</v>
      </c>
      <c r="G132" s="2198" t="s">
        <v>3250</v>
      </c>
      <c r="H132" s="2197" t="s">
        <v>10250</v>
      </c>
      <c r="I132" s="2199" t="s">
        <v>1045</v>
      </c>
      <c r="J132" s="2196">
        <v>196.5</v>
      </c>
    </row>
    <row r="133" spans="2:10" ht="13.5" thickBot="1" x14ac:dyDescent="0.25">
      <c r="B133" s="392" t="str">
        <f t="shared" si="2"/>
        <v>Open - NOGUERA Juan</v>
      </c>
      <c r="C133" s="1441" t="str">
        <f t="shared" si="3"/>
        <v>NOGUERA Juan</v>
      </c>
      <c r="D133" s="1428" t="s">
        <v>889</v>
      </c>
      <c r="E133" s="1429">
        <v>127</v>
      </c>
      <c r="F133" s="2197" t="s">
        <v>16541</v>
      </c>
      <c r="G133" s="2198" t="s">
        <v>15956</v>
      </c>
      <c r="H133" s="2197" t="s">
        <v>10262</v>
      </c>
      <c r="I133" s="2199" t="s">
        <v>1015</v>
      </c>
      <c r="J133" s="2196">
        <v>192</v>
      </c>
    </row>
    <row r="134" spans="2:10" ht="13.5" thickBot="1" x14ac:dyDescent="0.25">
      <c r="B134" s="392" t="str">
        <f t="shared" si="2"/>
        <v>Open - DI PIETRANTONIO Pietro</v>
      </c>
      <c r="C134" s="1441" t="str">
        <f t="shared" si="3"/>
        <v>DI PIETRANTONIO Pietro</v>
      </c>
      <c r="D134" s="1428" t="s">
        <v>889</v>
      </c>
      <c r="E134" s="1429">
        <v>128</v>
      </c>
      <c r="F134" s="2197" t="s">
        <v>16543</v>
      </c>
      <c r="G134" s="2198" t="s">
        <v>3233</v>
      </c>
      <c r="H134" s="2197" t="s">
        <v>2750</v>
      </c>
      <c r="I134" s="2199" t="s">
        <v>1037</v>
      </c>
      <c r="J134" s="2196">
        <v>191</v>
      </c>
    </row>
    <row r="135" spans="2:10" ht="13.5" thickBot="1" x14ac:dyDescent="0.25">
      <c r="B135" s="392" t="str">
        <f t="shared" ref="B135:B198" si="4">CONCATENATE(D135," - ",C135)</f>
        <v>Open - DI VITO Luigi</v>
      </c>
      <c r="C135" s="1441" t="str">
        <f t="shared" ref="C135:C198" si="5">CONCATENATE(UPPER(F135)," ",G135)</f>
        <v>DI VITO Luigi</v>
      </c>
      <c r="D135" s="1428" t="s">
        <v>889</v>
      </c>
      <c r="E135" s="1429">
        <v>129</v>
      </c>
      <c r="F135" s="2197" t="s">
        <v>3567</v>
      </c>
      <c r="G135" s="2198" t="s">
        <v>3339</v>
      </c>
      <c r="H135" s="2197" t="s">
        <v>2750</v>
      </c>
      <c r="I135" s="2199" t="s">
        <v>1037</v>
      </c>
      <c r="J135" s="2196">
        <v>190</v>
      </c>
    </row>
    <row r="136" spans="2:10" ht="13.5" thickBot="1" x14ac:dyDescent="0.25">
      <c r="B136" s="392" t="str">
        <f t="shared" si="4"/>
        <v>Open - NUGER Benny</v>
      </c>
      <c r="C136" s="1441" t="str">
        <f t="shared" si="5"/>
        <v>NUGER Benny</v>
      </c>
      <c r="D136" s="1428" t="s">
        <v>889</v>
      </c>
      <c r="E136" s="1429">
        <v>130</v>
      </c>
      <c r="F136" s="2197" t="s">
        <v>11187</v>
      </c>
      <c r="G136" s="2198" t="s">
        <v>7049</v>
      </c>
      <c r="H136" s="2197" t="s">
        <v>17015</v>
      </c>
      <c r="I136" s="2199" t="s">
        <v>1079</v>
      </c>
      <c r="J136" s="2196">
        <v>189</v>
      </c>
    </row>
    <row r="137" spans="2:10" ht="13.5" thickBot="1" x14ac:dyDescent="0.25">
      <c r="B137" s="392" t="str">
        <f t="shared" si="4"/>
        <v>Open - MONTEIRO Christophe</v>
      </c>
      <c r="C137" s="1441" t="str">
        <f t="shared" si="5"/>
        <v>MONTEIRO Christophe</v>
      </c>
      <c r="D137" s="1428" t="s">
        <v>889</v>
      </c>
      <c r="E137" s="1429">
        <v>131</v>
      </c>
      <c r="F137" s="2197" t="s">
        <v>8748</v>
      </c>
      <c r="G137" s="2198" t="s">
        <v>3012</v>
      </c>
      <c r="H137" s="2197" t="s">
        <v>2754</v>
      </c>
      <c r="I137" s="2199" t="s">
        <v>1019</v>
      </c>
      <c r="J137" s="2196">
        <v>188.5</v>
      </c>
    </row>
    <row r="138" spans="2:10" ht="13.5" thickBot="1" x14ac:dyDescent="0.25">
      <c r="B138" s="392" t="str">
        <f t="shared" si="4"/>
        <v>Open - ABREU Luís</v>
      </c>
      <c r="C138" s="1441" t="str">
        <f t="shared" si="5"/>
        <v>ABREU Luís</v>
      </c>
      <c r="D138" s="1428" t="s">
        <v>889</v>
      </c>
      <c r="E138" s="1429">
        <v>132</v>
      </c>
      <c r="F138" s="2197" t="s">
        <v>3379</v>
      </c>
      <c r="G138" s="2198" t="s">
        <v>5587</v>
      </c>
      <c r="H138" s="2197" t="s">
        <v>15138</v>
      </c>
      <c r="I138" s="2199" t="s">
        <v>1061</v>
      </c>
      <c r="J138" s="2196">
        <v>187.5</v>
      </c>
    </row>
    <row r="139" spans="2:10" ht="13.5" thickBot="1" x14ac:dyDescent="0.25">
      <c r="B139" s="392" t="str">
        <f t="shared" si="4"/>
        <v>Open - PEREIRA Miguel</v>
      </c>
      <c r="C139" s="1441" t="str">
        <f t="shared" si="5"/>
        <v>PEREIRA Miguel</v>
      </c>
      <c r="D139" s="1428" t="s">
        <v>889</v>
      </c>
      <c r="E139" s="1429">
        <v>133</v>
      </c>
      <c r="F139" s="2197" t="s">
        <v>14314</v>
      </c>
      <c r="G139" s="2198" t="s">
        <v>3089</v>
      </c>
      <c r="H139" s="2197" t="s">
        <v>5317</v>
      </c>
      <c r="I139" s="2199" t="s">
        <v>1061</v>
      </c>
      <c r="J139" s="2196">
        <v>184.5</v>
      </c>
    </row>
    <row r="140" spans="2:10" ht="13.5" thickBot="1" x14ac:dyDescent="0.25">
      <c r="B140" s="392" t="str">
        <f t="shared" si="4"/>
        <v>Open - SHAM Doulatram</v>
      </c>
      <c r="C140" s="1441" t="str">
        <f t="shared" si="5"/>
        <v>SHAM Doulatram</v>
      </c>
      <c r="D140" s="1428" t="s">
        <v>889</v>
      </c>
      <c r="E140" s="1429">
        <v>134</v>
      </c>
      <c r="F140" s="2197" t="s">
        <v>16542</v>
      </c>
      <c r="G140" s="2198" t="s">
        <v>6826</v>
      </c>
      <c r="H140" s="2197" t="s">
        <v>8716</v>
      </c>
      <c r="I140" s="2199" t="s">
        <v>7916</v>
      </c>
      <c r="J140" s="2196">
        <v>184</v>
      </c>
    </row>
    <row r="141" spans="2:10" ht="13.5" thickBot="1" x14ac:dyDescent="0.25">
      <c r="B141" s="392" t="str">
        <f t="shared" si="4"/>
        <v>Open - QUATTRINI Francesco</v>
      </c>
      <c r="C141" s="1441" t="str">
        <f t="shared" si="5"/>
        <v>QUATTRINI Francesco</v>
      </c>
      <c r="D141" s="1428" t="s">
        <v>889</v>
      </c>
      <c r="E141" s="1429">
        <v>135</v>
      </c>
      <c r="F141" s="2197" t="s">
        <v>14988</v>
      </c>
      <c r="G141" s="2198" t="s">
        <v>3277</v>
      </c>
      <c r="H141" s="2197" t="s">
        <v>2749</v>
      </c>
      <c r="I141" s="2199" t="s">
        <v>1037</v>
      </c>
      <c r="J141" s="2196">
        <v>182.5</v>
      </c>
    </row>
    <row r="142" spans="2:10" ht="13.5" thickBot="1" x14ac:dyDescent="0.25">
      <c r="B142" s="392" t="str">
        <f t="shared" si="4"/>
        <v>Open - ROS José</v>
      </c>
      <c r="C142" s="1441" t="str">
        <f t="shared" si="5"/>
        <v>ROS José</v>
      </c>
      <c r="D142" s="1428" t="s">
        <v>889</v>
      </c>
      <c r="E142" s="1429">
        <v>136</v>
      </c>
      <c r="F142" s="2197" t="s">
        <v>16540</v>
      </c>
      <c r="G142" s="2198" t="s">
        <v>3232</v>
      </c>
      <c r="H142" s="2197" t="s">
        <v>7183</v>
      </c>
      <c r="I142" s="2199" t="s">
        <v>1015</v>
      </c>
      <c r="J142" s="2196">
        <v>180.5</v>
      </c>
    </row>
    <row r="143" spans="2:10" ht="13.5" thickBot="1" x14ac:dyDescent="0.25">
      <c r="B143" s="392" t="str">
        <f t="shared" si="4"/>
        <v>Open - CONTI Derek</v>
      </c>
      <c r="C143" s="1441" t="str">
        <f t="shared" si="5"/>
        <v>CONTI Derek</v>
      </c>
      <c r="D143" s="1428" t="s">
        <v>889</v>
      </c>
      <c r="E143" s="1429">
        <v>137</v>
      </c>
      <c r="F143" s="2197" t="s">
        <v>3020</v>
      </c>
      <c r="G143" s="2198" t="s">
        <v>3021</v>
      </c>
      <c r="H143" s="2197" t="s">
        <v>10247</v>
      </c>
      <c r="I143" s="2199" t="s">
        <v>1045</v>
      </c>
      <c r="J143" s="2196">
        <v>180</v>
      </c>
    </row>
    <row r="144" spans="2:10" ht="13.5" thickBot="1" x14ac:dyDescent="0.25">
      <c r="B144" s="392" t="str">
        <f t="shared" si="4"/>
        <v>Open - BATTEN Benji</v>
      </c>
      <c r="C144" s="1441" t="str">
        <f t="shared" si="5"/>
        <v>BATTEN Benji</v>
      </c>
      <c r="D144" s="1428" t="s">
        <v>889</v>
      </c>
      <c r="E144" s="1429">
        <v>138</v>
      </c>
      <c r="F144" s="2197" t="s">
        <v>11416</v>
      </c>
      <c r="G144" s="2198" t="s">
        <v>7303</v>
      </c>
      <c r="H144" s="2197" t="s">
        <v>9594</v>
      </c>
      <c r="I144" s="2199" t="s">
        <v>986</v>
      </c>
      <c r="J144" s="2196">
        <v>177</v>
      </c>
    </row>
    <row r="145" spans="2:10" ht="13.5" thickBot="1" x14ac:dyDescent="0.25">
      <c r="B145" s="392" t="str">
        <f t="shared" si="4"/>
        <v>Open - WITTMANN Thomas</v>
      </c>
      <c r="C145" s="1441" t="str">
        <f t="shared" si="5"/>
        <v>WITTMANN Thomas</v>
      </c>
      <c r="D145" s="1428" t="s">
        <v>889</v>
      </c>
      <c r="E145" s="1429">
        <v>139</v>
      </c>
      <c r="F145" s="2197" t="s">
        <v>3399</v>
      </c>
      <c r="G145" s="2198" t="s">
        <v>3124</v>
      </c>
      <c r="H145" s="2197" t="s">
        <v>2748</v>
      </c>
      <c r="I145" s="2199" t="s">
        <v>988</v>
      </c>
      <c r="J145" s="2196">
        <v>173.5</v>
      </c>
    </row>
    <row r="146" spans="2:10" ht="13.5" thickBot="1" x14ac:dyDescent="0.25">
      <c r="B146" s="392" t="str">
        <f t="shared" si="4"/>
        <v>Open - AMBERNY Jean-Marie</v>
      </c>
      <c r="C146" s="1441" t="str">
        <f t="shared" si="5"/>
        <v>AMBERNY Jean-Marie</v>
      </c>
      <c r="D146" s="1428" t="s">
        <v>889</v>
      </c>
      <c r="E146" s="1429">
        <v>140</v>
      </c>
      <c r="F146" s="2197" t="s">
        <v>3081</v>
      </c>
      <c r="G146" s="2198" t="s">
        <v>3082</v>
      </c>
      <c r="H146" s="2197" t="s">
        <v>2754</v>
      </c>
      <c r="I146" s="2199" t="s">
        <v>1019</v>
      </c>
      <c r="J146" s="2196">
        <v>173</v>
      </c>
    </row>
    <row r="147" spans="2:10" ht="13.5" thickBot="1" x14ac:dyDescent="0.25">
      <c r="B147" s="392" t="str">
        <f t="shared" si="4"/>
        <v>Open - PISANI Jason</v>
      </c>
      <c r="C147" s="1441" t="str">
        <f t="shared" si="5"/>
        <v>PISANI Jason</v>
      </c>
      <c r="D147" s="1428" t="s">
        <v>889</v>
      </c>
      <c r="E147" s="1429">
        <v>141</v>
      </c>
      <c r="F147" s="2197" t="s">
        <v>3517</v>
      </c>
      <c r="G147" s="2198" t="s">
        <v>3297</v>
      </c>
      <c r="H147" s="2197" t="s">
        <v>10253</v>
      </c>
      <c r="I147" s="2199" t="s">
        <v>1045</v>
      </c>
      <c r="J147" s="2196">
        <v>171</v>
      </c>
    </row>
    <row r="148" spans="2:10" ht="13.5" thickBot="1" x14ac:dyDescent="0.25">
      <c r="B148" s="392" t="str">
        <f t="shared" si="4"/>
        <v>Open - FERNÁNDEZ Antonio</v>
      </c>
      <c r="C148" s="1441" t="str">
        <f t="shared" si="5"/>
        <v>FERNÁNDEZ Antonio</v>
      </c>
      <c r="D148" s="1428" t="s">
        <v>889</v>
      </c>
      <c r="E148" s="1429">
        <v>142</v>
      </c>
      <c r="F148" s="2197" t="s">
        <v>5643</v>
      </c>
      <c r="G148" s="2198" t="s">
        <v>3341</v>
      </c>
      <c r="H148" s="2197" t="s">
        <v>2755</v>
      </c>
      <c r="I148" s="2199" t="s">
        <v>1015</v>
      </c>
      <c r="J148" s="2196">
        <v>168</v>
      </c>
    </row>
    <row r="149" spans="2:10" ht="13.5" thickBot="1" x14ac:dyDescent="0.25">
      <c r="B149" s="392" t="str">
        <f t="shared" si="4"/>
        <v>Open - MARTINI Andrew</v>
      </c>
      <c r="C149" s="1441" t="str">
        <f t="shared" si="5"/>
        <v>MARTINI Andrew</v>
      </c>
      <c r="D149" s="1428" t="s">
        <v>889</v>
      </c>
      <c r="E149" s="1429">
        <v>143</v>
      </c>
      <c r="F149" s="2197" t="s">
        <v>14902</v>
      </c>
      <c r="G149" s="2198" t="s">
        <v>3105</v>
      </c>
      <c r="H149" s="2197" t="s">
        <v>14711</v>
      </c>
      <c r="I149" s="2199" t="s">
        <v>1041</v>
      </c>
      <c r="J149" s="2196">
        <v>162.5</v>
      </c>
    </row>
    <row r="150" spans="2:10" ht="13.5" thickBot="1" x14ac:dyDescent="0.25">
      <c r="B150" s="392" t="str">
        <f t="shared" si="4"/>
        <v>Open - DE SCHUYTENEER Kenny</v>
      </c>
      <c r="C150" s="1441" t="str">
        <f t="shared" si="5"/>
        <v>DE SCHUYTENEER Kenny</v>
      </c>
      <c r="D150" s="1428" t="s">
        <v>889</v>
      </c>
      <c r="E150" s="1429">
        <v>144</v>
      </c>
      <c r="F150" s="2197" t="s">
        <v>14901</v>
      </c>
      <c r="G150" s="2198" t="s">
        <v>3334</v>
      </c>
      <c r="H150" s="2197" t="s">
        <v>5301</v>
      </c>
      <c r="I150" s="2199" t="s">
        <v>990</v>
      </c>
      <c r="J150" s="2196">
        <v>161</v>
      </c>
    </row>
    <row r="151" spans="2:10" ht="13.5" thickBot="1" x14ac:dyDescent="0.25">
      <c r="B151" s="392" t="str">
        <f t="shared" si="4"/>
        <v>Open - FERNANDES André</v>
      </c>
      <c r="C151" s="1441" t="str">
        <f t="shared" si="5"/>
        <v>FERNANDES André</v>
      </c>
      <c r="D151" s="1428" t="s">
        <v>889</v>
      </c>
      <c r="E151" s="1429">
        <v>145</v>
      </c>
      <c r="F151" s="2197" t="s">
        <v>14242</v>
      </c>
      <c r="G151" s="2198" t="s">
        <v>3175</v>
      </c>
      <c r="H151" s="2197" t="s">
        <v>15138</v>
      </c>
      <c r="I151" s="2199" t="s">
        <v>1061</v>
      </c>
      <c r="J151" s="2196">
        <v>160.5</v>
      </c>
    </row>
    <row r="152" spans="2:10" ht="13.5" thickBot="1" x14ac:dyDescent="0.25">
      <c r="B152" s="392" t="str">
        <f t="shared" si="4"/>
        <v>Open - BARTZIS Ektoras</v>
      </c>
      <c r="C152" s="1441" t="str">
        <f t="shared" si="5"/>
        <v>BARTZIS Ektoras</v>
      </c>
      <c r="D152" s="1428" t="s">
        <v>889</v>
      </c>
      <c r="E152" s="1429">
        <v>146</v>
      </c>
      <c r="F152" s="2197" t="s">
        <v>14150</v>
      </c>
      <c r="G152" s="2198" t="s">
        <v>6993</v>
      </c>
      <c r="H152" s="2197" t="s">
        <v>9449</v>
      </c>
      <c r="I152" s="2199" t="s">
        <v>1025</v>
      </c>
      <c r="J152" s="2196">
        <v>158.5</v>
      </c>
    </row>
    <row r="153" spans="2:10" ht="13.5" thickBot="1" x14ac:dyDescent="0.25">
      <c r="B153" s="392" t="str">
        <f t="shared" si="4"/>
        <v>Open - DIEUDONNE Delphine</v>
      </c>
      <c r="C153" s="1441" t="str">
        <f t="shared" si="5"/>
        <v>DIEUDONNE Delphine</v>
      </c>
      <c r="D153" s="1428" t="s">
        <v>889</v>
      </c>
      <c r="E153" s="1429">
        <v>147</v>
      </c>
      <c r="F153" s="2197" t="s">
        <v>14170</v>
      </c>
      <c r="G153" s="2198" t="s">
        <v>3244</v>
      </c>
      <c r="H153" s="2197" t="s">
        <v>13519</v>
      </c>
      <c r="I153" s="2199" t="s">
        <v>990</v>
      </c>
      <c r="J153" s="2196">
        <v>157</v>
      </c>
    </row>
    <row r="154" spans="2:10" ht="13.5" thickBot="1" x14ac:dyDescent="0.25">
      <c r="B154" s="392" t="str">
        <f t="shared" si="4"/>
        <v>Open - FARRELL Mark</v>
      </c>
      <c r="C154" s="1441" t="str">
        <f t="shared" si="5"/>
        <v>FARRELL Mark</v>
      </c>
      <c r="D154" s="1428" t="s">
        <v>889</v>
      </c>
      <c r="E154" s="1429">
        <v>148</v>
      </c>
      <c r="F154" s="2197" t="s">
        <v>11419</v>
      </c>
      <c r="G154" s="2198" t="s">
        <v>3017</v>
      </c>
      <c r="H154" s="2197" t="s">
        <v>2752</v>
      </c>
      <c r="I154" s="2199" t="s">
        <v>1033</v>
      </c>
      <c r="J154" s="2196">
        <v>155.5</v>
      </c>
    </row>
    <row r="155" spans="2:10" ht="13.5" thickBot="1" x14ac:dyDescent="0.25">
      <c r="B155" s="392" t="str">
        <f t="shared" si="4"/>
        <v>Open - ELESBAO Fred</v>
      </c>
      <c r="C155" s="1441" t="str">
        <f t="shared" si="5"/>
        <v>ELESBAO Fred</v>
      </c>
      <c r="D155" s="1428" t="s">
        <v>889</v>
      </c>
      <c r="E155" s="1429">
        <v>149</v>
      </c>
      <c r="F155" s="2197" t="s">
        <v>11425</v>
      </c>
      <c r="G155" s="2198" t="s">
        <v>3317</v>
      </c>
      <c r="H155" s="2197" t="s">
        <v>11409</v>
      </c>
      <c r="I155" s="2199" t="s">
        <v>994</v>
      </c>
      <c r="J155" s="2196">
        <v>154.5</v>
      </c>
    </row>
    <row r="156" spans="2:10" ht="13.5" thickBot="1" x14ac:dyDescent="0.25">
      <c r="B156" s="392" t="str">
        <f t="shared" si="4"/>
        <v>Open - MIFSUD Joseph</v>
      </c>
      <c r="C156" s="1441" t="str">
        <f t="shared" si="5"/>
        <v>MIFSUD Joseph</v>
      </c>
      <c r="D156" s="1428" t="s">
        <v>889</v>
      </c>
      <c r="E156" s="1429">
        <v>150</v>
      </c>
      <c r="F156" s="2197" t="s">
        <v>3458</v>
      </c>
      <c r="G156" s="2198" t="s">
        <v>3045</v>
      </c>
      <c r="H156" s="2197" t="s">
        <v>10262</v>
      </c>
      <c r="I156" s="2199" t="s">
        <v>1045</v>
      </c>
      <c r="J156" s="2196">
        <v>154</v>
      </c>
    </row>
    <row r="157" spans="2:10" ht="13.5" thickBot="1" x14ac:dyDescent="0.25">
      <c r="B157" s="392" t="str">
        <f t="shared" si="4"/>
        <v>Open - KARAVAS Giorgos</v>
      </c>
      <c r="C157" s="1441" t="str">
        <f t="shared" si="5"/>
        <v>KARAVAS Giorgos</v>
      </c>
      <c r="D157" s="1428" t="s">
        <v>889</v>
      </c>
      <c r="E157" s="1429">
        <v>150</v>
      </c>
      <c r="F157" s="2197" t="s">
        <v>8750</v>
      </c>
      <c r="G157" s="2198" t="s">
        <v>3040</v>
      </c>
      <c r="H157" s="2197" t="s">
        <v>5309</v>
      </c>
      <c r="I157" s="2199" t="s">
        <v>1025</v>
      </c>
      <c r="J157" s="2196">
        <v>154</v>
      </c>
    </row>
    <row r="158" spans="2:10" ht="13.5" thickBot="1" x14ac:dyDescent="0.25">
      <c r="B158" s="392" t="str">
        <f t="shared" si="4"/>
        <v>Open - BRILL Nick</v>
      </c>
      <c r="C158" s="1441" t="str">
        <f t="shared" si="5"/>
        <v>BRILL Nick</v>
      </c>
      <c r="D158" s="1428" t="s">
        <v>889</v>
      </c>
      <c r="E158" s="1429">
        <v>152</v>
      </c>
      <c r="F158" s="2197" t="s">
        <v>14260</v>
      </c>
      <c r="G158" s="2198" t="s">
        <v>5540</v>
      </c>
      <c r="H158" s="2197" t="s">
        <v>17660</v>
      </c>
      <c r="I158" s="2199" t="s">
        <v>986</v>
      </c>
      <c r="J158" s="2196">
        <v>153</v>
      </c>
    </row>
    <row r="159" spans="2:10" ht="13.5" thickBot="1" x14ac:dyDescent="0.25">
      <c r="B159" s="392" t="str">
        <f t="shared" si="4"/>
        <v>Open - MUSSINO Filippo</v>
      </c>
      <c r="C159" s="1441" t="str">
        <f t="shared" si="5"/>
        <v>MUSSINO Filippo</v>
      </c>
      <c r="D159" s="1428" t="s">
        <v>889</v>
      </c>
      <c r="E159" s="1429">
        <v>153</v>
      </c>
      <c r="F159" s="2197" t="s">
        <v>14148</v>
      </c>
      <c r="G159" s="2198" t="s">
        <v>3340</v>
      </c>
      <c r="H159" s="2197" t="s">
        <v>2787</v>
      </c>
      <c r="I159" s="2199" t="s">
        <v>1037</v>
      </c>
      <c r="J159" s="2196">
        <v>149.5</v>
      </c>
    </row>
    <row r="160" spans="2:10" ht="13.5" thickBot="1" x14ac:dyDescent="0.25">
      <c r="B160" s="392" t="str">
        <f t="shared" si="4"/>
        <v>Open - ARNOLD Kye</v>
      </c>
      <c r="C160" s="1441" t="str">
        <f t="shared" si="5"/>
        <v>ARNOLD Kye</v>
      </c>
      <c r="D160" s="1428" t="s">
        <v>889</v>
      </c>
      <c r="E160" s="1429">
        <v>154</v>
      </c>
      <c r="F160" s="2197" t="s">
        <v>3294</v>
      </c>
      <c r="G160" s="2198" t="s">
        <v>3690</v>
      </c>
      <c r="H160" s="2197" t="s">
        <v>17082</v>
      </c>
      <c r="I160" s="2199" t="s">
        <v>1013</v>
      </c>
      <c r="J160" s="2196">
        <v>149</v>
      </c>
    </row>
    <row r="161" spans="2:10" ht="13.5" thickBot="1" x14ac:dyDescent="0.25">
      <c r="B161" s="392" t="str">
        <f t="shared" si="4"/>
        <v>Open - GENITSAROPOULOS Georgios</v>
      </c>
      <c r="C161" s="1441" t="str">
        <f t="shared" si="5"/>
        <v>GENITSAROPOULOS Georgios</v>
      </c>
      <c r="D161" s="1428" t="s">
        <v>889</v>
      </c>
      <c r="E161" s="1429">
        <v>155</v>
      </c>
      <c r="F161" s="2197" t="s">
        <v>5573</v>
      </c>
      <c r="G161" s="2198" t="s">
        <v>3324</v>
      </c>
      <c r="H161" s="2197" t="s">
        <v>5311</v>
      </c>
      <c r="I161" s="2199" t="s">
        <v>1025</v>
      </c>
      <c r="J161" s="2196">
        <v>148</v>
      </c>
    </row>
    <row r="162" spans="2:10" ht="13.5" thickBot="1" x14ac:dyDescent="0.25">
      <c r="B162" s="392" t="str">
        <f t="shared" si="4"/>
        <v>Open - GÓMEZ Fernando</v>
      </c>
      <c r="C162" s="1441" t="str">
        <f t="shared" si="5"/>
        <v>GÓMEZ Fernando</v>
      </c>
      <c r="D162" s="1428" t="s">
        <v>889</v>
      </c>
      <c r="E162" s="1429">
        <v>156</v>
      </c>
      <c r="F162" s="2197" t="s">
        <v>7765</v>
      </c>
      <c r="G162" s="2198" t="s">
        <v>3292</v>
      </c>
      <c r="H162" s="2197" t="s">
        <v>7869</v>
      </c>
      <c r="I162" s="2199" t="s">
        <v>1015</v>
      </c>
      <c r="J162" s="2196">
        <v>142</v>
      </c>
    </row>
    <row r="163" spans="2:10" ht="13.5" thickBot="1" x14ac:dyDescent="0.25">
      <c r="B163" s="392" t="str">
        <f t="shared" si="4"/>
        <v>Open - CICCARELLI Andrea</v>
      </c>
      <c r="C163" s="1441" t="str">
        <f t="shared" si="5"/>
        <v>CICCARELLI Andrea</v>
      </c>
      <c r="D163" s="1428" t="s">
        <v>889</v>
      </c>
      <c r="E163" s="1429">
        <v>157</v>
      </c>
      <c r="F163" s="2197" t="s">
        <v>3663</v>
      </c>
      <c r="G163" s="2198" t="s">
        <v>3027</v>
      </c>
      <c r="H163" s="2197" t="s">
        <v>2776</v>
      </c>
      <c r="I163" s="2199" t="s">
        <v>1037</v>
      </c>
      <c r="J163" s="2196">
        <v>141.5</v>
      </c>
    </row>
    <row r="164" spans="2:10" ht="13.5" thickBot="1" x14ac:dyDescent="0.25">
      <c r="B164" s="392" t="str">
        <f t="shared" si="4"/>
        <v>Open - WOUTERS David</v>
      </c>
      <c r="C164" s="1441" t="str">
        <f t="shared" si="5"/>
        <v>WOUTERS David</v>
      </c>
      <c r="D164" s="1428" t="s">
        <v>889</v>
      </c>
      <c r="E164" s="1429">
        <v>158</v>
      </c>
      <c r="F164" s="2197" t="s">
        <v>11345</v>
      </c>
      <c r="G164" s="2198" t="s">
        <v>3072</v>
      </c>
      <c r="H164" s="2197" t="s">
        <v>2772</v>
      </c>
      <c r="I164" s="2199" t="s">
        <v>990</v>
      </c>
      <c r="J164" s="2196">
        <v>141</v>
      </c>
    </row>
    <row r="165" spans="2:10" ht="13.5" thickBot="1" x14ac:dyDescent="0.25">
      <c r="B165" s="392" t="str">
        <f t="shared" si="4"/>
        <v>Open - FEDELE Fabrizio</v>
      </c>
      <c r="C165" s="1441" t="str">
        <f t="shared" si="5"/>
        <v>FEDELE Fabrizio</v>
      </c>
      <c r="D165" s="1428" t="s">
        <v>889</v>
      </c>
      <c r="E165" s="1429">
        <v>158</v>
      </c>
      <c r="F165" s="2197" t="s">
        <v>14206</v>
      </c>
      <c r="G165" s="2198" t="s">
        <v>3087</v>
      </c>
      <c r="H165" s="2197" t="s">
        <v>2749</v>
      </c>
      <c r="I165" s="2199" t="s">
        <v>1037</v>
      </c>
      <c r="J165" s="2196">
        <v>141</v>
      </c>
    </row>
    <row r="166" spans="2:10" ht="13.5" thickBot="1" x14ac:dyDescent="0.25">
      <c r="B166" s="392" t="str">
        <f t="shared" si="4"/>
        <v>Open - DUPRET Michaël</v>
      </c>
      <c r="C166" s="1441" t="str">
        <f t="shared" si="5"/>
        <v>DUPRET Michaël</v>
      </c>
      <c r="D166" s="1428" t="s">
        <v>889</v>
      </c>
      <c r="E166" s="1429">
        <v>160</v>
      </c>
      <c r="F166" s="2197" t="s">
        <v>16545</v>
      </c>
      <c r="G166" s="2198" t="s">
        <v>3095</v>
      </c>
      <c r="H166" s="2197" t="s">
        <v>7885</v>
      </c>
      <c r="I166" s="2199" t="s">
        <v>990</v>
      </c>
      <c r="J166" s="2196">
        <v>140</v>
      </c>
    </row>
    <row r="167" spans="2:10" ht="13.5" thickBot="1" x14ac:dyDescent="0.25">
      <c r="B167" s="392" t="str">
        <f t="shared" si="4"/>
        <v>Open - STROMMER Marios</v>
      </c>
      <c r="C167" s="1441" t="str">
        <f t="shared" si="5"/>
        <v>STROMMER Marios</v>
      </c>
      <c r="D167" s="1428" t="s">
        <v>889</v>
      </c>
      <c r="E167" s="1429">
        <v>161</v>
      </c>
      <c r="F167" s="2197" t="s">
        <v>3510</v>
      </c>
      <c r="G167" s="2198" t="s">
        <v>3557</v>
      </c>
      <c r="H167" s="2197" t="s">
        <v>8871</v>
      </c>
      <c r="I167" s="2199" t="s">
        <v>988</v>
      </c>
      <c r="J167" s="2196">
        <v>139.5</v>
      </c>
    </row>
    <row r="168" spans="2:10" ht="13.5" thickBot="1" x14ac:dyDescent="0.25">
      <c r="B168" s="392" t="str">
        <f t="shared" si="4"/>
        <v>Open - PSOMIADIS Nikolas (07)</v>
      </c>
      <c r="C168" s="1441" t="str">
        <f t="shared" si="5"/>
        <v>PSOMIADIS Nikolas (07)</v>
      </c>
      <c r="D168" s="1428" t="s">
        <v>889</v>
      </c>
      <c r="E168" s="1429">
        <v>162</v>
      </c>
      <c r="F168" s="2197" t="s">
        <v>8732</v>
      </c>
      <c r="G168" s="2198" t="s">
        <v>16087</v>
      </c>
      <c r="H168" s="2197" t="s">
        <v>13590</v>
      </c>
      <c r="I168" s="2199" t="s">
        <v>1025</v>
      </c>
      <c r="J168" s="2196">
        <v>138</v>
      </c>
    </row>
    <row r="169" spans="2:10" ht="13.5" thickBot="1" x14ac:dyDescent="0.25">
      <c r="B169" s="392" t="str">
        <f t="shared" si="4"/>
        <v>Open - SOURLAS Leandros</v>
      </c>
      <c r="C169" s="1441" t="str">
        <f t="shared" si="5"/>
        <v>SOURLAS Leandros</v>
      </c>
      <c r="D169" s="1428" t="s">
        <v>889</v>
      </c>
      <c r="E169" s="1429">
        <v>162</v>
      </c>
      <c r="F169" s="2197" t="s">
        <v>5646</v>
      </c>
      <c r="G169" s="2198" t="s">
        <v>5647</v>
      </c>
      <c r="H169" s="2197" t="s">
        <v>5309</v>
      </c>
      <c r="I169" s="2199" t="s">
        <v>1025</v>
      </c>
      <c r="J169" s="2196">
        <v>138</v>
      </c>
    </row>
    <row r="170" spans="2:10" ht="13.5" thickBot="1" x14ac:dyDescent="0.25">
      <c r="B170" s="392" t="str">
        <f t="shared" si="4"/>
        <v>Open - MANDANICI Salvatore</v>
      </c>
      <c r="C170" s="1441" t="str">
        <f t="shared" si="5"/>
        <v>MANDANICI Salvatore</v>
      </c>
      <c r="D170" s="1428" t="s">
        <v>889</v>
      </c>
      <c r="E170" s="1429">
        <v>164</v>
      </c>
      <c r="F170" s="2197" t="s">
        <v>3551</v>
      </c>
      <c r="G170" s="2198" t="s">
        <v>3265</v>
      </c>
      <c r="H170" s="2197" t="s">
        <v>14879</v>
      </c>
      <c r="I170" s="2199" t="s">
        <v>1037</v>
      </c>
      <c r="J170" s="2196">
        <v>135</v>
      </c>
    </row>
    <row r="171" spans="2:10" ht="13.5" thickBot="1" x14ac:dyDescent="0.25">
      <c r="B171" s="392" t="str">
        <f t="shared" si="4"/>
        <v>Open - NATOLI Riccardo</v>
      </c>
      <c r="C171" s="1441" t="str">
        <f t="shared" si="5"/>
        <v>NATOLI Riccardo</v>
      </c>
      <c r="D171" s="1428" t="s">
        <v>889</v>
      </c>
      <c r="E171" s="1429">
        <v>165</v>
      </c>
      <c r="F171" s="2197" t="s">
        <v>3318</v>
      </c>
      <c r="G171" s="2198" t="s">
        <v>3270</v>
      </c>
      <c r="H171" s="2197" t="s">
        <v>13593</v>
      </c>
      <c r="I171" s="2199" t="s">
        <v>1037</v>
      </c>
      <c r="J171" s="2196">
        <v>134.5</v>
      </c>
    </row>
    <row r="172" spans="2:10" ht="13.5" thickBot="1" x14ac:dyDescent="0.25">
      <c r="B172" s="392" t="str">
        <f t="shared" si="4"/>
        <v>Open - VLACHOPOULOS Antonis</v>
      </c>
      <c r="C172" s="1441" t="str">
        <f t="shared" si="5"/>
        <v>VLACHOPOULOS Antonis</v>
      </c>
      <c r="D172" s="1428" t="s">
        <v>889</v>
      </c>
      <c r="E172" s="1429">
        <v>166</v>
      </c>
      <c r="F172" s="2197" t="s">
        <v>8723</v>
      </c>
      <c r="G172" s="2198" t="s">
        <v>3164</v>
      </c>
      <c r="H172" s="2197" t="s">
        <v>10251</v>
      </c>
      <c r="I172" s="2199" t="s">
        <v>1025</v>
      </c>
      <c r="J172" s="2196">
        <v>132.5</v>
      </c>
    </row>
    <row r="173" spans="2:10" ht="13.5" thickBot="1" x14ac:dyDescent="0.25">
      <c r="B173" s="392" t="str">
        <f t="shared" si="4"/>
        <v>Open - ELLEFSEN Terje</v>
      </c>
      <c r="C173" s="1441" t="str">
        <f t="shared" si="5"/>
        <v>ELLEFSEN Terje</v>
      </c>
      <c r="D173" s="1428" t="s">
        <v>889</v>
      </c>
      <c r="E173" s="1429">
        <v>167</v>
      </c>
      <c r="F173" s="2197" t="s">
        <v>14265</v>
      </c>
      <c r="G173" s="2198" t="s">
        <v>7026</v>
      </c>
      <c r="H173" s="2197" t="s">
        <v>17082</v>
      </c>
      <c r="I173" s="2199" t="s">
        <v>1057</v>
      </c>
      <c r="J173" s="2196">
        <v>132</v>
      </c>
    </row>
    <row r="174" spans="2:10" ht="13.5" thickBot="1" x14ac:dyDescent="0.25">
      <c r="B174" s="392" t="str">
        <f t="shared" si="4"/>
        <v>Open - BERTELLI Daniele</v>
      </c>
      <c r="C174" s="1441" t="str">
        <f t="shared" si="5"/>
        <v>BERTELLI Daniele</v>
      </c>
      <c r="D174" s="1428" t="s">
        <v>889</v>
      </c>
      <c r="E174" s="1429">
        <v>167</v>
      </c>
      <c r="F174" s="2197" t="s">
        <v>14173</v>
      </c>
      <c r="G174" s="2198" t="s">
        <v>3022</v>
      </c>
      <c r="H174" s="2197" t="s">
        <v>15245</v>
      </c>
      <c r="I174" s="2199" t="s">
        <v>1037</v>
      </c>
      <c r="J174" s="2196">
        <v>132</v>
      </c>
    </row>
    <row r="175" spans="2:10" ht="13.5" thickBot="1" x14ac:dyDescent="0.25">
      <c r="B175" s="392" t="str">
        <f t="shared" si="4"/>
        <v>Open - SCHEEN Daniel</v>
      </c>
      <c r="C175" s="1441" t="str">
        <f t="shared" si="5"/>
        <v>SCHEEN Daniel</v>
      </c>
      <c r="D175" s="1428" t="s">
        <v>889</v>
      </c>
      <c r="E175" s="1429">
        <v>167</v>
      </c>
      <c r="F175" s="2197" t="s">
        <v>3034</v>
      </c>
      <c r="G175" s="2198" t="s">
        <v>3243</v>
      </c>
      <c r="H175" s="2197" t="s">
        <v>2755</v>
      </c>
      <c r="I175" s="2199" t="s">
        <v>990</v>
      </c>
      <c r="J175" s="2196">
        <v>132</v>
      </c>
    </row>
    <row r="176" spans="2:10" ht="13.5" thickBot="1" x14ac:dyDescent="0.25">
      <c r="B176" s="392" t="str">
        <f t="shared" si="4"/>
        <v>Open - MIDOUX Ludovic</v>
      </c>
      <c r="C176" s="1441" t="str">
        <f t="shared" si="5"/>
        <v>MIDOUX Ludovic</v>
      </c>
      <c r="D176" s="1428" t="s">
        <v>889</v>
      </c>
      <c r="E176" s="1429">
        <v>170</v>
      </c>
      <c r="F176" s="2197" t="s">
        <v>3189</v>
      </c>
      <c r="G176" s="2198" t="s">
        <v>3190</v>
      </c>
      <c r="H176" s="2197" t="s">
        <v>13519</v>
      </c>
      <c r="I176" s="2199" t="s">
        <v>1019</v>
      </c>
      <c r="J176" s="2196">
        <v>131</v>
      </c>
    </row>
    <row r="177" spans="2:10" ht="13.5" thickBot="1" x14ac:dyDescent="0.25">
      <c r="B177" s="392" t="str">
        <f t="shared" si="4"/>
        <v>Open - FINCH Justin</v>
      </c>
      <c r="C177" s="1441" t="str">
        <f t="shared" si="5"/>
        <v>FINCH Justin</v>
      </c>
      <c r="D177" s="1428" t="s">
        <v>889</v>
      </c>
      <c r="E177" s="1429">
        <v>170</v>
      </c>
      <c r="F177" s="2197" t="s">
        <v>3255</v>
      </c>
      <c r="G177" s="2198" t="s">
        <v>3025</v>
      </c>
      <c r="H177" s="2197" t="s">
        <v>2772</v>
      </c>
      <c r="I177" s="2199" t="s">
        <v>1013</v>
      </c>
      <c r="J177" s="2196">
        <v>131</v>
      </c>
    </row>
    <row r="178" spans="2:10" ht="13.5" thickBot="1" x14ac:dyDescent="0.25">
      <c r="B178" s="392" t="str">
        <f t="shared" si="4"/>
        <v>Open - TIMPANO Antonio</v>
      </c>
      <c r="C178" s="1441" t="str">
        <f t="shared" si="5"/>
        <v>TIMPANO Antonio</v>
      </c>
      <c r="D178" s="1428" t="s">
        <v>889</v>
      </c>
      <c r="E178" s="1429">
        <v>172</v>
      </c>
      <c r="F178" s="2197" t="s">
        <v>8741</v>
      </c>
      <c r="G178" s="2198" t="s">
        <v>3341</v>
      </c>
      <c r="H178" s="2197" t="s">
        <v>10252</v>
      </c>
      <c r="I178" s="2199" t="s">
        <v>990</v>
      </c>
      <c r="J178" s="2196">
        <v>129.5</v>
      </c>
    </row>
    <row r="179" spans="2:10" ht="13.5" thickBot="1" x14ac:dyDescent="0.25">
      <c r="B179" s="392" t="str">
        <f t="shared" si="4"/>
        <v>Open - BUONO Stefano</v>
      </c>
      <c r="C179" s="1441" t="str">
        <f t="shared" si="5"/>
        <v>BUONO Stefano</v>
      </c>
      <c r="D179" s="1428" t="s">
        <v>889</v>
      </c>
      <c r="E179" s="1429">
        <v>173</v>
      </c>
      <c r="F179" s="2197" t="s">
        <v>8739</v>
      </c>
      <c r="G179" s="2198" t="s">
        <v>3062</v>
      </c>
      <c r="H179" s="2197" t="s">
        <v>10270</v>
      </c>
      <c r="I179" s="2199" t="s">
        <v>1037</v>
      </c>
      <c r="J179" s="2196">
        <v>129</v>
      </c>
    </row>
    <row r="180" spans="2:10" ht="13.5" thickBot="1" x14ac:dyDescent="0.25">
      <c r="B180" s="392" t="str">
        <f t="shared" si="4"/>
        <v>Open - GÓMEZ Alberto</v>
      </c>
      <c r="C180" s="1441" t="str">
        <f t="shared" si="5"/>
        <v>GÓMEZ Alberto</v>
      </c>
      <c r="D180" s="1428" t="s">
        <v>889</v>
      </c>
      <c r="E180" s="1429">
        <v>174</v>
      </c>
      <c r="F180" s="2197" t="s">
        <v>7765</v>
      </c>
      <c r="G180" s="2198" t="s">
        <v>3042</v>
      </c>
      <c r="H180" s="2197" t="s">
        <v>14454</v>
      </c>
      <c r="I180" s="2199" t="s">
        <v>1015</v>
      </c>
      <c r="J180" s="2196">
        <v>128</v>
      </c>
    </row>
    <row r="181" spans="2:10" ht="13.5" thickBot="1" x14ac:dyDescent="0.25">
      <c r="B181" s="392" t="str">
        <f t="shared" si="4"/>
        <v>Open - KARNTHALER Thomas</v>
      </c>
      <c r="C181" s="1441" t="str">
        <f t="shared" si="5"/>
        <v>KARNTHALER Thomas</v>
      </c>
      <c r="D181" s="1428" t="s">
        <v>889</v>
      </c>
      <c r="E181" s="1429">
        <v>175</v>
      </c>
      <c r="F181" s="2197" t="s">
        <v>14134</v>
      </c>
      <c r="G181" s="2198" t="s">
        <v>3124</v>
      </c>
      <c r="H181" s="2197" t="s">
        <v>8871</v>
      </c>
      <c r="I181" s="2199" t="s">
        <v>988</v>
      </c>
      <c r="J181" s="2196">
        <v>126</v>
      </c>
    </row>
    <row r="182" spans="2:10" ht="13.5" thickBot="1" x14ac:dyDescent="0.25">
      <c r="B182" s="392" t="str">
        <f t="shared" si="4"/>
        <v>Open - CURTIS Samuel</v>
      </c>
      <c r="C182" s="1441" t="str">
        <f t="shared" si="5"/>
        <v>CURTIS Samuel</v>
      </c>
      <c r="D182" s="1428" t="s">
        <v>889</v>
      </c>
      <c r="E182" s="1429">
        <v>176</v>
      </c>
      <c r="F182" s="2197" t="s">
        <v>14946</v>
      </c>
      <c r="G182" s="2198" t="s">
        <v>3015</v>
      </c>
      <c r="H182" s="2197" t="s">
        <v>15274</v>
      </c>
      <c r="I182" s="2199" t="s">
        <v>1013</v>
      </c>
      <c r="J182" s="2196">
        <v>125.5</v>
      </c>
    </row>
    <row r="183" spans="2:10" ht="13.5" thickBot="1" x14ac:dyDescent="0.25">
      <c r="B183" s="392" t="str">
        <f t="shared" si="4"/>
        <v>Open - LENZ Robert</v>
      </c>
      <c r="C183" s="1441" t="str">
        <f t="shared" si="5"/>
        <v>LENZ Robert</v>
      </c>
      <c r="D183" s="1428" t="s">
        <v>889</v>
      </c>
      <c r="E183" s="1429">
        <v>177</v>
      </c>
      <c r="F183" s="2197" t="s">
        <v>3404</v>
      </c>
      <c r="G183" s="2198" t="s">
        <v>3405</v>
      </c>
      <c r="H183" s="2197" t="s">
        <v>2748</v>
      </c>
      <c r="I183" s="2199" t="s">
        <v>988</v>
      </c>
      <c r="J183" s="2196">
        <v>125</v>
      </c>
    </row>
    <row r="184" spans="2:10" ht="13.5" thickBot="1" x14ac:dyDescent="0.25">
      <c r="B184" s="392" t="str">
        <f t="shared" si="4"/>
        <v>Open - MODESTE Axel</v>
      </c>
      <c r="C184" s="1441" t="str">
        <f t="shared" si="5"/>
        <v>MODESTE Axel</v>
      </c>
      <c r="D184" s="1428" t="s">
        <v>889</v>
      </c>
      <c r="E184" s="1429">
        <v>177</v>
      </c>
      <c r="F184" s="2197" t="s">
        <v>3459</v>
      </c>
      <c r="G184" s="2198" t="s">
        <v>3075</v>
      </c>
      <c r="H184" s="2197" t="s">
        <v>2754</v>
      </c>
      <c r="I184" s="2199" t="s">
        <v>1019</v>
      </c>
      <c r="J184" s="2196">
        <v>125</v>
      </c>
    </row>
    <row r="185" spans="2:10" ht="13.5" thickBot="1" x14ac:dyDescent="0.25">
      <c r="B185" s="392" t="str">
        <f t="shared" si="4"/>
        <v>Open - VLASSOPOULOS Georgios</v>
      </c>
      <c r="C185" s="1441" t="str">
        <f t="shared" si="5"/>
        <v>VLASSOPOULOS Georgios</v>
      </c>
      <c r="D185" s="1428" t="s">
        <v>889</v>
      </c>
      <c r="E185" s="1429">
        <v>179</v>
      </c>
      <c r="F185" s="2197" t="s">
        <v>3446</v>
      </c>
      <c r="G185" s="2198" t="s">
        <v>3324</v>
      </c>
      <c r="H185" s="2197" t="s">
        <v>10263</v>
      </c>
      <c r="I185" s="2199" t="s">
        <v>1025</v>
      </c>
      <c r="J185" s="2196">
        <v>122.5</v>
      </c>
    </row>
    <row r="186" spans="2:10" ht="13.5" thickBot="1" x14ac:dyDescent="0.25">
      <c r="B186" s="392" t="str">
        <f t="shared" si="4"/>
        <v>Open - GIUFFRÈ Armando</v>
      </c>
      <c r="C186" s="1441" t="str">
        <f t="shared" si="5"/>
        <v>GIUFFRÈ Armando</v>
      </c>
      <c r="D186" s="1428" t="s">
        <v>889</v>
      </c>
      <c r="E186" s="1429">
        <v>180</v>
      </c>
      <c r="F186" s="2197" t="s">
        <v>14217</v>
      </c>
      <c r="G186" s="2198" t="s">
        <v>6994</v>
      </c>
      <c r="H186" s="2197" t="s">
        <v>13593</v>
      </c>
      <c r="I186" s="2199" t="s">
        <v>1037</v>
      </c>
      <c r="J186" s="2196">
        <v>122</v>
      </c>
    </row>
    <row r="187" spans="2:10" ht="13.5" thickBot="1" x14ac:dyDescent="0.25">
      <c r="B187" s="392" t="str">
        <f t="shared" si="4"/>
        <v>Open - VISCONTI Salvatore</v>
      </c>
      <c r="C187" s="1441" t="str">
        <f t="shared" si="5"/>
        <v>VISCONTI Salvatore</v>
      </c>
      <c r="D187" s="1428" t="s">
        <v>889</v>
      </c>
      <c r="E187" s="1429">
        <v>181</v>
      </c>
      <c r="F187" s="2197" t="s">
        <v>7944</v>
      </c>
      <c r="G187" s="2198" t="s">
        <v>3265</v>
      </c>
      <c r="H187" s="2197" t="s">
        <v>2755</v>
      </c>
      <c r="I187" s="2199" t="s">
        <v>990</v>
      </c>
      <c r="J187" s="2196">
        <v>121</v>
      </c>
    </row>
    <row r="188" spans="2:10" ht="13.5" thickBot="1" x14ac:dyDescent="0.25">
      <c r="B188" s="392" t="str">
        <f t="shared" si="4"/>
        <v>Open - BARUN Melvin</v>
      </c>
      <c r="C188" s="1441" t="str">
        <f t="shared" si="5"/>
        <v>BARUN Melvin</v>
      </c>
      <c r="D188" s="1428" t="s">
        <v>889</v>
      </c>
      <c r="E188" s="1429">
        <v>182</v>
      </c>
      <c r="F188" s="2197" t="s">
        <v>3669</v>
      </c>
      <c r="G188" s="2198" t="s">
        <v>3670</v>
      </c>
      <c r="H188" s="2197" t="s">
        <v>15224</v>
      </c>
      <c r="I188" s="2199" t="s">
        <v>1045</v>
      </c>
      <c r="J188" s="2196">
        <v>120.5</v>
      </c>
    </row>
    <row r="189" spans="2:10" ht="13.5" thickBot="1" x14ac:dyDescent="0.25">
      <c r="B189" s="392" t="str">
        <f t="shared" si="4"/>
        <v>Open - CHRISTIE Gareth</v>
      </c>
      <c r="C189" s="1441" t="str">
        <f t="shared" si="5"/>
        <v>CHRISTIE Gareth</v>
      </c>
      <c r="D189" s="1428" t="s">
        <v>889</v>
      </c>
      <c r="E189" s="1429">
        <v>183</v>
      </c>
      <c r="F189" s="2197" t="s">
        <v>3389</v>
      </c>
      <c r="G189" s="2198" t="s">
        <v>3390</v>
      </c>
      <c r="H189" s="2197" t="s">
        <v>15247</v>
      </c>
      <c r="I189" s="2199" t="s">
        <v>1069</v>
      </c>
      <c r="J189" s="2196">
        <v>120</v>
      </c>
    </row>
    <row r="190" spans="2:10" ht="13.5" thickBot="1" x14ac:dyDescent="0.25">
      <c r="B190" s="392" t="str">
        <f t="shared" si="4"/>
        <v>Open - MATTHEWS Ruby</v>
      </c>
      <c r="C190" s="1441" t="str">
        <f t="shared" si="5"/>
        <v>MATTHEWS Ruby</v>
      </c>
      <c r="D190" s="1428" t="s">
        <v>889</v>
      </c>
      <c r="E190" s="1429">
        <v>184</v>
      </c>
      <c r="F190" s="2197" t="s">
        <v>11420</v>
      </c>
      <c r="G190" s="2198" t="s">
        <v>8232</v>
      </c>
      <c r="H190" s="2197" t="s">
        <v>13519</v>
      </c>
      <c r="I190" s="2199" t="s">
        <v>1013</v>
      </c>
      <c r="J190" s="2196">
        <v>117.5</v>
      </c>
    </row>
    <row r="191" spans="2:10" ht="13.5" thickBot="1" x14ac:dyDescent="0.25">
      <c r="B191" s="392" t="str">
        <f t="shared" si="4"/>
        <v>Open - TÜNGER Murat</v>
      </c>
      <c r="C191" s="1441" t="str">
        <f t="shared" si="5"/>
        <v>TÜNGER Murat</v>
      </c>
      <c r="D191" s="1428" t="s">
        <v>889</v>
      </c>
      <c r="E191" s="1429">
        <v>185</v>
      </c>
      <c r="F191" s="2197" t="s">
        <v>14133</v>
      </c>
      <c r="G191" s="2198" t="s">
        <v>3104</v>
      </c>
      <c r="H191" s="2197" t="s">
        <v>2748</v>
      </c>
      <c r="I191" s="2199" t="s">
        <v>988</v>
      </c>
      <c r="J191" s="2196">
        <v>117</v>
      </c>
    </row>
    <row r="192" spans="2:10" ht="13.5" thickBot="1" x14ac:dyDescent="0.25">
      <c r="B192" s="392" t="str">
        <f t="shared" si="4"/>
        <v>Open - CAVAZZA Fabrizio</v>
      </c>
      <c r="C192" s="1441" t="str">
        <f t="shared" si="5"/>
        <v>CAVAZZA Fabrizio</v>
      </c>
      <c r="D192" s="1428" t="s">
        <v>889</v>
      </c>
      <c r="E192" s="1429">
        <v>185</v>
      </c>
      <c r="F192" s="2197" t="s">
        <v>7291</v>
      </c>
      <c r="G192" s="2198" t="s">
        <v>3087</v>
      </c>
      <c r="H192" s="2197" t="s">
        <v>2773</v>
      </c>
      <c r="I192" s="2199" t="s">
        <v>1037</v>
      </c>
      <c r="J192" s="2196">
        <v>117</v>
      </c>
    </row>
    <row r="193" spans="2:10" ht="13.5" thickBot="1" x14ac:dyDescent="0.25">
      <c r="B193" s="392" t="str">
        <f t="shared" si="4"/>
        <v>Open - TAN Nic</v>
      </c>
      <c r="C193" s="1441" t="str">
        <f t="shared" si="5"/>
        <v>TAN Nic</v>
      </c>
      <c r="D193" s="1428" t="s">
        <v>889</v>
      </c>
      <c r="E193" s="1429">
        <v>187</v>
      </c>
      <c r="F193" s="2197" t="s">
        <v>3226</v>
      </c>
      <c r="G193" s="2198" t="s">
        <v>5538</v>
      </c>
      <c r="H193" s="2197" t="s">
        <v>10267</v>
      </c>
      <c r="I193" s="2199" t="s">
        <v>7916</v>
      </c>
      <c r="J193" s="2196">
        <v>116.5</v>
      </c>
    </row>
    <row r="194" spans="2:10" ht="13.5" thickBot="1" x14ac:dyDescent="0.25">
      <c r="B194" s="392" t="str">
        <f t="shared" si="4"/>
        <v>Open - LAMPITT Matt</v>
      </c>
      <c r="C194" s="1441" t="str">
        <f t="shared" si="5"/>
        <v>LAMPITT Matt</v>
      </c>
      <c r="D194" s="1428" t="s">
        <v>889</v>
      </c>
      <c r="E194" s="1429">
        <v>188</v>
      </c>
      <c r="F194" s="2197" t="s">
        <v>14897</v>
      </c>
      <c r="G194" s="2198" t="s">
        <v>3059</v>
      </c>
      <c r="H194" s="2197" t="s">
        <v>15227</v>
      </c>
      <c r="I194" s="2199" t="s">
        <v>1013</v>
      </c>
      <c r="J194" s="2196">
        <v>116</v>
      </c>
    </row>
    <row r="195" spans="2:10" ht="13.5" thickBot="1" x14ac:dyDescent="0.25">
      <c r="B195" s="392" t="str">
        <f t="shared" si="4"/>
        <v>Open - APATZIS Alexandros</v>
      </c>
      <c r="C195" s="1441" t="str">
        <f t="shared" si="5"/>
        <v>APATZIS Alexandros</v>
      </c>
      <c r="D195" s="1428" t="s">
        <v>889</v>
      </c>
      <c r="E195" s="1429">
        <v>189</v>
      </c>
      <c r="F195" s="2197" t="s">
        <v>8749</v>
      </c>
      <c r="G195" s="2198" t="s">
        <v>3582</v>
      </c>
      <c r="H195" s="2197" t="s">
        <v>13590</v>
      </c>
      <c r="I195" s="2199" t="s">
        <v>1025</v>
      </c>
      <c r="J195" s="2196">
        <v>115</v>
      </c>
    </row>
    <row r="196" spans="2:10" ht="13.5" thickBot="1" x14ac:dyDescent="0.25">
      <c r="B196" s="392" t="str">
        <f t="shared" si="4"/>
        <v>Open - MATABUENA Miguel Ángel</v>
      </c>
      <c r="C196" s="1441" t="str">
        <f t="shared" si="5"/>
        <v>MATABUENA Miguel Ángel</v>
      </c>
      <c r="D196" s="1428" t="s">
        <v>889</v>
      </c>
      <c r="E196" s="1429">
        <v>190</v>
      </c>
      <c r="F196" s="2197" t="s">
        <v>8746</v>
      </c>
      <c r="G196" s="2198" t="s">
        <v>3247</v>
      </c>
      <c r="H196" s="2197" t="s">
        <v>7871</v>
      </c>
      <c r="I196" s="2199" t="s">
        <v>1015</v>
      </c>
      <c r="J196" s="2196">
        <v>109.5</v>
      </c>
    </row>
    <row r="197" spans="2:10" ht="13.5" thickBot="1" x14ac:dyDescent="0.25">
      <c r="B197" s="392" t="str">
        <f t="shared" si="4"/>
        <v>Open - CAYUELA Francisco</v>
      </c>
      <c r="C197" s="1441" t="str">
        <f t="shared" si="5"/>
        <v>CAYUELA Francisco</v>
      </c>
      <c r="D197" s="1428" t="s">
        <v>889</v>
      </c>
      <c r="E197" s="1429">
        <v>190</v>
      </c>
      <c r="F197" s="2197" t="s">
        <v>14155</v>
      </c>
      <c r="G197" s="2198" t="s">
        <v>3366</v>
      </c>
      <c r="H197" s="2197" t="s">
        <v>7183</v>
      </c>
      <c r="I197" s="2199" t="s">
        <v>1015</v>
      </c>
      <c r="J197" s="2196">
        <v>109.5</v>
      </c>
    </row>
    <row r="198" spans="2:10" ht="13.5" thickBot="1" x14ac:dyDescent="0.25">
      <c r="B198" s="392" t="str">
        <f t="shared" si="4"/>
        <v>Open - KARATARAKIS Georgios</v>
      </c>
      <c r="C198" s="1441" t="str">
        <f t="shared" si="5"/>
        <v>KARATARAKIS Georgios</v>
      </c>
      <c r="D198" s="1428" t="s">
        <v>889</v>
      </c>
      <c r="E198" s="1429">
        <v>190</v>
      </c>
      <c r="F198" s="2197" t="s">
        <v>10989</v>
      </c>
      <c r="G198" s="2198" t="s">
        <v>3324</v>
      </c>
      <c r="H198" s="2197" t="s">
        <v>10263</v>
      </c>
      <c r="I198" s="2199" t="s">
        <v>1025</v>
      </c>
      <c r="J198" s="2196">
        <v>109.5</v>
      </c>
    </row>
    <row r="199" spans="2:10" ht="13.5" thickBot="1" x14ac:dyDescent="0.25">
      <c r="B199" s="392" t="str">
        <f t="shared" ref="B199:B262" si="6">CONCATENATE(D199," - ",C199)</f>
        <v>Open - NORONHA Nuno</v>
      </c>
      <c r="C199" s="1441" t="str">
        <f t="shared" ref="C199:C262" si="7">CONCATENATE(UPPER(F199)," ",G199)</f>
        <v>NORONHA Nuno</v>
      </c>
      <c r="D199" s="1428" t="s">
        <v>889</v>
      </c>
      <c r="E199" s="1429">
        <v>193</v>
      </c>
      <c r="F199" s="2197" t="s">
        <v>3092</v>
      </c>
      <c r="G199" s="2198" t="s">
        <v>3093</v>
      </c>
      <c r="H199" s="2197" t="s">
        <v>5314</v>
      </c>
      <c r="I199" s="2199" t="s">
        <v>1061</v>
      </c>
      <c r="J199" s="2196">
        <v>109</v>
      </c>
    </row>
    <row r="200" spans="2:10" ht="13.5" thickBot="1" x14ac:dyDescent="0.25">
      <c r="B200" s="392" t="str">
        <f t="shared" si="6"/>
        <v>Open - WADA Hideaki</v>
      </c>
      <c r="C200" s="1441" t="str">
        <f t="shared" si="7"/>
        <v>WADA Hideaki</v>
      </c>
      <c r="D200" s="1428" t="s">
        <v>889</v>
      </c>
      <c r="E200" s="1429">
        <v>193</v>
      </c>
      <c r="F200" s="2197" t="s">
        <v>14895</v>
      </c>
      <c r="G200" s="2198" t="s">
        <v>14698</v>
      </c>
      <c r="H200" s="2197" t="s">
        <v>14700</v>
      </c>
      <c r="I200" s="2199" t="s">
        <v>1041</v>
      </c>
      <c r="J200" s="2196">
        <v>109</v>
      </c>
    </row>
    <row r="201" spans="2:10" ht="13.5" thickBot="1" x14ac:dyDescent="0.25">
      <c r="B201" s="392" t="str">
        <f t="shared" si="6"/>
        <v>Open - CAMILLERI Mario</v>
      </c>
      <c r="C201" s="1441" t="str">
        <f t="shared" si="7"/>
        <v>CAMILLERI Mario</v>
      </c>
      <c r="D201" s="1428" t="s">
        <v>889</v>
      </c>
      <c r="E201" s="1429">
        <v>193</v>
      </c>
      <c r="F201" s="2197" t="s">
        <v>3153</v>
      </c>
      <c r="G201" s="2198" t="s">
        <v>3079</v>
      </c>
      <c r="H201" s="2197" t="s">
        <v>17363</v>
      </c>
      <c r="I201" s="2199" t="s">
        <v>1045</v>
      </c>
      <c r="J201" s="2196">
        <v>109</v>
      </c>
    </row>
    <row r="202" spans="2:10" ht="13.5" thickBot="1" x14ac:dyDescent="0.25">
      <c r="B202" s="392" t="str">
        <f t="shared" si="6"/>
        <v>Open - BISIO Angelo</v>
      </c>
      <c r="C202" s="1441" t="str">
        <f t="shared" si="7"/>
        <v>BISIO Angelo</v>
      </c>
      <c r="D202" s="1428" t="s">
        <v>889</v>
      </c>
      <c r="E202" s="1429">
        <v>196</v>
      </c>
      <c r="F202" s="2197" t="s">
        <v>5623</v>
      </c>
      <c r="G202" s="2198" t="s">
        <v>3367</v>
      </c>
      <c r="H202" s="2197" t="s">
        <v>2765</v>
      </c>
      <c r="I202" s="2199" t="s">
        <v>1037</v>
      </c>
      <c r="J202" s="2196">
        <v>108</v>
      </c>
    </row>
    <row r="203" spans="2:10" ht="13.5" thickBot="1" x14ac:dyDescent="0.25">
      <c r="B203" s="392" t="str">
        <f t="shared" si="6"/>
        <v>Open - GRANADOS Juan Carlos</v>
      </c>
      <c r="C203" s="1441" t="str">
        <f t="shared" si="7"/>
        <v>GRANADOS Juan Carlos</v>
      </c>
      <c r="D203" s="1428" t="s">
        <v>889</v>
      </c>
      <c r="E203" s="1429">
        <v>196</v>
      </c>
      <c r="F203" s="2197" t="s">
        <v>7298</v>
      </c>
      <c r="G203" s="2198" t="s">
        <v>3091</v>
      </c>
      <c r="H203" s="2197" t="s">
        <v>7183</v>
      </c>
      <c r="I203" s="2199" t="s">
        <v>1015</v>
      </c>
      <c r="J203" s="2196">
        <v>108</v>
      </c>
    </row>
    <row r="204" spans="2:10" ht="13.5" thickBot="1" x14ac:dyDescent="0.25">
      <c r="B204" s="392" t="str">
        <f t="shared" si="6"/>
        <v>Open - ESPOSITO Matteo</v>
      </c>
      <c r="C204" s="1441" t="str">
        <f t="shared" si="7"/>
        <v>ESPOSITO Matteo</v>
      </c>
      <c r="D204" s="1428" t="s">
        <v>889</v>
      </c>
      <c r="E204" s="1429">
        <v>198</v>
      </c>
      <c r="F204" s="2197" t="s">
        <v>3238</v>
      </c>
      <c r="G204" s="2198" t="s">
        <v>3200</v>
      </c>
      <c r="H204" s="2197" t="s">
        <v>2776</v>
      </c>
      <c r="I204" s="2199" t="s">
        <v>1037</v>
      </c>
      <c r="J204" s="2196">
        <v>106</v>
      </c>
    </row>
    <row r="205" spans="2:10" ht="13.5" thickBot="1" x14ac:dyDescent="0.25">
      <c r="B205" s="392" t="str">
        <f t="shared" si="6"/>
        <v>Open - MIGUEL Norberto</v>
      </c>
      <c r="C205" s="1441" t="str">
        <f t="shared" si="7"/>
        <v>MIGUEL Norberto</v>
      </c>
      <c r="D205" s="1428" t="s">
        <v>889</v>
      </c>
      <c r="E205" s="1429">
        <v>199</v>
      </c>
      <c r="F205" s="2197" t="s">
        <v>14261</v>
      </c>
      <c r="G205" s="2198" t="s">
        <v>3386</v>
      </c>
      <c r="H205" s="2197" t="s">
        <v>13477</v>
      </c>
      <c r="I205" s="2199" t="s">
        <v>1061</v>
      </c>
      <c r="J205" s="2196">
        <v>105.5</v>
      </c>
    </row>
    <row r="206" spans="2:10" ht="13.5" thickBot="1" x14ac:dyDescent="0.25">
      <c r="B206" s="392" t="str">
        <f t="shared" si="6"/>
        <v>Open - VAN GLABEKE Quentin</v>
      </c>
      <c r="C206" s="1441" t="str">
        <f t="shared" si="7"/>
        <v>VAN GLABEKE Quentin</v>
      </c>
      <c r="D206" s="1428" t="s">
        <v>889</v>
      </c>
      <c r="E206" s="1429">
        <v>200</v>
      </c>
      <c r="F206" s="2197" t="s">
        <v>8737</v>
      </c>
      <c r="G206" s="2198" t="s">
        <v>3681</v>
      </c>
      <c r="H206" s="2197" t="s">
        <v>10250</v>
      </c>
      <c r="I206" s="2199" t="s">
        <v>990</v>
      </c>
      <c r="J206" s="2196">
        <v>104.5</v>
      </c>
    </row>
    <row r="207" spans="2:10" ht="13.5" thickBot="1" x14ac:dyDescent="0.25">
      <c r="B207" s="392" t="str">
        <f t="shared" si="6"/>
        <v>Open - GIANNARELLI Enrico</v>
      </c>
      <c r="C207" s="1441" t="str">
        <f t="shared" si="7"/>
        <v>GIANNARELLI Enrico</v>
      </c>
      <c r="D207" s="1428" t="s">
        <v>889</v>
      </c>
      <c r="E207" s="1429">
        <v>200</v>
      </c>
      <c r="F207" s="2197" t="s">
        <v>3308</v>
      </c>
      <c r="G207" s="2198" t="s">
        <v>3132</v>
      </c>
      <c r="H207" s="2197" t="s">
        <v>11325</v>
      </c>
      <c r="I207" s="2199" t="s">
        <v>1037</v>
      </c>
      <c r="J207" s="2196">
        <v>104.5</v>
      </c>
    </row>
    <row r="208" spans="2:10" ht="13.5" thickBot="1" x14ac:dyDescent="0.25">
      <c r="B208" s="392" t="str">
        <f t="shared" si="6"/>
        <v>Open - BILLI Alessandro</v>
      </c>
      <c r="C208" s="1441" t="str">
        <f t="shared" si="7"/>
        <v>BILLI Alessandro</v>
      </c>
      <c r="D208" s="1428" t="s">
        <v>889</v>
      </c>
      <c r="E208" s="1429">
        <v>200</v>
      </c>
      <c r="F208" s="2197" t="s">
        <v>11188</v>
      </c>
      <c r="G208" s="2198" t="s">
        <v>3125</v>
      </c>
      <c r="H208" s="2197" t="s">
        <v>7873</v>
      </c>
      <c r="I208" s="2199" t="s">
        <v>1037</v>
      </c>
      <c r="J208" s="2196">
        <v>104.5</v>
      </c>
    </row>
    <row r="209" spans="2:10" ht="13.5" thickBot="1" x14ac:dyDescent="0.25">
      <c r="B209" s="392" t="str">
        <f t="shared" si="6"/>
        <v>Open - STOLZENBERG Michael</v>
      </c>
      <c r="C209" s="1441" t="str">
        <f t="shared" si="7"/>
        <v>STOLZENBERG Michael</v>
      </c>
      <c r="D209" s="1428" t="s">
        <v>889</v>
      </c>
      <c r="E209" s="1429">
        <v>203</v>
      </c>
      <c r="F209" s="2197" t="s">
        <v>14142</v>
      </c>
      <c r="G209" s="2198" t="s">
        <v>3416</v>
      </c>
      <c r="H209" s="2197" t="s">
        <v>17169</v>
      </c>
      <c r="I209" s="2199" t="s">
        <v>1021</v>
      </c>
      <c r="J209" s="2196">
        <v>102.5</v>
      </c>
    </row>
    <row r="210" spans="2:10" ht="13.5" thickBot="1" x14ac:dyDescent="0.25">
      <c r="B210" s="392" t="str">
        <f t="shared" si="6"/>
        <v>Open - FILIPPELLA Christian</v>
      </c>
      <c r="C210" s="1441" t="str">
        <f t="shared" si="7"/>
        <v>FILIPPELLA Christian</v>
      </c>
      <c r="D210" s="1428" t="s">
        <v>889</v>
      </c>
      <c r="E210" s="1429">
        <v>204</v>
      </c>
      <c r="F210" s="2197" t="s">
        <v>7283</v>
      </c>
      <c r="G210" s="2198" t="s">
        <v>3063</v>
      </c>
      <c r="H210" s="2197" t="s">
        <v>2776</v>
      </c>
      <c r="I210" s="2199" t="s">
        <v>1079</v>
      </c>
      <c r="J210" s="2196">
        <v>102</v>
      </c>
    </row>
    <row r="211" spans="2:10" ht="13.5" thickBot="1" x14ac:dyDescent="0.25">
      <c r="B211" s="392" t="str">
        <f t="shared" si="6"/>
        <v>Open - CONNOLLY Adrian</v>
      </c>
      <c r="C211" s="1441" t="str">
        <f t="shared" si="7"/>
        <v>CONNOLLY Adrian</v>
      </c>
      <c r="D211" s="1428" t="s">
        <v>889</v>
      </c>
      <c r="E211" s="1429">
        <v>204</v>
      </c>
      <c r="F211" s="2197" t="s">
        <v>8734</v>
      </c>
      <c r="G211" s="2198" t="s">
        <v>3356</v>
      </c>
      <c r="H211" s="2197" t="s">
        <v>15379</v>
      </c>
      <c r="I211" s="2199" t="s">
        <v>986</v>
      </c>
      <c r="J211" s="2196">
        <v>102</v>
      </c>
    </row>
    <row r="212" spans="2:10" ht="13.5" thickBot="1" x14ac:dyDescent="0.25">
      <c r="B212" s="392" t="str">
        <f t="shared" si="6"/>
        <v>Open - NASZALYI Eric</v>
      </c>
      <c r="C212" s="1441" t="str">
        <f t="shared" si="7"/>
        <v>NASZALYI Eric</v>
      </c>
      <c r="D212" s="1428" t="s">
        <v>889</v>
      </c>
      <c r="E212" s="1429">
        <v>204</v>
      </c>
      <c r="F212" s="2197" t="s">
        <v>3436</v>
      </c>
      <c r="G212" s="2198" t="s">
        <v>3044</v>
      </c>
      <c r="H212" s="2197" t="s">
        <v>2754</v>
      </c>
      <c r="I212" s="2199" t="s">
        <v>1019</v>
      </c>
      <c r="J212" s="2196">
        <v>102</v>
      </c>
    </row>
    <row r="213" spans="2:10" ht="13.5" thickBot="1" x14ac:dyDescent="0.25">
      <c r="B213" s="392" t="str">
        <f t="shared" si="6"/>
        <v>Open - MATEOS Alberto</v>
      </c>
      <c r="C213" s="1441" t="str">
        <f t="shared" si="7"/>
        <v>MATEOS Alberto</v>
      </c>
      <c r="D213" s="1428" t="s">
        <v>889</v>
      </c>
      <c r="E213" s="1429">
        <v>207</v>
      </c>
      <c r="F213" s="2197" t="s">
        <v>7264</v>
      </c>
      <c r="G213" s="2198" t="s">
        <v>3042</v>
      </c>
      <c r="H213" s="2197" t="s">
        <v>10262</v>
      </c>
      <c r="I213" s="2199" t="s">
        <v>1015</v>
      </c>
      <c r="J213" s="2196">
        <v>101.5</v>
      </c>
    </row>
    <row r="214" spans="2:10" ht="13.5" thickBot="1" x14ac:dyDescent="0.25">
      <c r="B214" s="392" t="str">
        <f t="shared" si="6"/>
        <v>Open - NATOLI Alessandro</v>
      </c>
      <c r="C214" s="1441" t="str">
        <f t="shared" si="7"/>
        <v>NATOLI Alessandro</v>
      </c>
      <c r="D214" s="1428" t="s">
        <v>889</v>
      </c>
      <c r="E214" s="1429">
        <v>208</v>
      </c>
      <c r="F214" s="2197" t="s">
        <v>3318</v>
      </c>
      <c r="G214" s="2198" t="s">
        <v>3125</v>
      </c>
      <c r="H214" s="2197" t="s">
        <v>13593</v>
      </c>
      <c r="I214" s="2199" t="s">
        <v>1037</v>
      </c>
      <c r="J214" s="2196">
        <v>99.5</v>
      </c>
    </row>
    <row r="215" spans="2:10" ht="13.5" thickBot="1" x14ac:dyDescent="0.25">
      <c r="B215" s="392" t="str">
        <f t="shared" si="6"/>
        <v>Open - GKIOCHALAS Miltiadis</v>
      </c>
      <c r="C215" s="1441" t="str">
        <f t="shared" si="7"/>
        <v>GKIOCHALAS Miltiadis</v>
      </c>
      <c r="D215" s="1428" t="s">
        <v>889</v>
      </c>
      <c r="E215" s="1429">
        <v>209</v>
      </c>
      <c r="F215" s="2197" t="s">
        <v>8740</v>
      </c>
      <c r="G215" s="2198" t="s">
        <v>3113</v>
      </c>
      <c r="H215" s="2197" t="s">
        <v>13488</v>
      </c>
      <c r="I215" s="2199" t="s">
        <v>1025</v>
      </c>
      <c r="J215" s="2196">
        <v>99</v>
      </c>
    </row>
    <row r="216" spans="2:10" ht="13.5" thickBot="1" x14ac:dyDescent="0.25">
      <c r="B216" s="392" t="str">
        <f t="shared" si="6"/>
        <v>Open - ANTÚNEZ Cristian</v>
      </c>
      <c r="C216" s="1441" t="str">
        <f t="shared" si="7"/>
        <v>ANTÚNEZ Cristian</v>
      </c>
      <c r="D216" s="1428" t="s">
        <v>889</v>
      </c>
      <c r="E216" s="1429">
        <v>209</v>
      </c>
      <c r="F216" s="2197" t="s">
        <v>14247</v>
      </c>
      <c r="G216" s="2198" t="s">
        <v>3705</v>
      </c>
      <c r="H216" s="2197" t="s">
        <v>2755</v>
      </c>
      <c r="I216" s="2199" t="s">
        <v>1015</v>
      </c>
      <c r="J216" s="2196">
        <v>99</v>
      </c>
    </row>
    <row r="217" spans="2:10" ht="13.5" thickBot="1" x14ac:dyDescent="0.25">
      <c r="B217" s="392" t="str">
        <f t="shared" si="6"/>
        <v>Open - KOLLIAS Georgios</v>
      </c>
      <c r="C217" s="1441" t="str">
        <f t="shared" si="7"/>
        <v>KOLLIAS Georgios</v>
      </c>
      <c r="D217" s="1428" t="s">
        <v>889</v>
      </c>
      <c r="E217" s="1429">
        <v>209</v>
      </c>
      <c r="F217" s="2197" t="s">
        <v>10302</v>
      </c>
      <c r="G217" s="2198" t="s">
        <v>3324</v>
      </c>
      <c r="H217" s="2197" t="s">
        <v>9449</v>
      </c>
      <c r="I217" s="2199" t="s">
        <v>1025</v>
      </c>
      <c r="J217" s="2196">
        <v>99</v>
      </c>
    </row>
    <row r="218" spans="2:10" ht="13.5" thickBot="1" x14ac:dyDescent="0.25">
      <c r="B218" s="392" t="str">
        <f t="shared" si="6"/>
        <v>Open - ANGELOPOULOS Vasileios</v>
      </c>
      <c r="C218" s="1441" t="str">
        <f t="shared" si="7"/>
        <v>ANGELOPOULOS Vasileios</v>
      </c>
      <c r="D218" s="1428" t="s">
        <v>889</v>
      </c>
      <c r="E218" s="1429">
        <v>212</v>
      </c>
      <c r="F218" s="2197" t="s">
        <v>5510</v>
      </c>
      <c r="G218" s="2198" t="s">
        <v>5548</v>
      </c>
      <c r="H218" s="2197" t="s">
        <v>10246</v>
      </c>
      <c r="I218" s="2199" t="s">
        <v>1025</v>
      </c>
      <c r="J218" s="2196">
        <v>98.5</v>
      </c>
    </row>
    <row r="219" spans="2:10" ht="13.5" thickBot="1" x14ac:dyDescent="0.25">
      <c r="B219" s="392" t="str">
        <f t="shared" si="6"/>
        <v>Open - MORI Daigo</v>
      </c>
      <c r="C219" s="1441" t="str">
        <f t="shared" si="7"/>
        <v>MORI Daigo</v>
      </c>
      <c r="D219" s="1428" t="s">
        <v>889</v>
      </c>
      <c r="E219" s="1429">
        <v>213</v>
      </c>
      <c r="F219" s="2197" t="s">
        <v>11440</v>
      </c>
      <c r="G219" s="2198" t="s">
        <v>11379</v>
      </c>
      <c r="H219" s="2197" t="s">
        <v>10276</v>
      </c>
      <c r="I219" s="2199" t="s">
        <v>1041</v>
      </c>
      <c r="J219" s="2196">
        <v>97</v>
      </c>
    </row>
    <row r="220" spans="2:10" ht="13.5" thickBot="1" x14ac:dyDescent="0.25">
      <c r="B220" s="392" t="str">
        <f t="shared" si="6"/>
        <v>Open - POCHESCI Daniele</v>
      </c>
      <c r="C220" s="1441" t="str">
        <f t="shared" si="7"/>
        <v>POCHESCI Daniele</v>
      </c>
      <c r="D220" s="1428" t="s">
        <v>889</v>
      </c>
      <c r="E220" s="1429">
        <v>214</v>
      </c>
      <c r="F220" s="2197" t="s">
        <v>9628</v>
      </c>
      <c r="G220" s="2198" t="s">
        <v>3022</v>
      </c>
      <c r="H220" s="2197" t="s">
        <v>15245</v>
      </c>
      <c r="I220" s="2199" t="s">
        <v>1037</v>
      </c>
      <c r="J220" s="2196">
        <v>96.5</v>
      </c>
    </row>
    <row r="221" spans="2:10" ht="13.5" thickBot="1" x14ac:dyDescent="0.25">
      <c r="B221" s="392" t="str">
        <f t="shared" si="6"/>
        <v>Open - CAPOSSELA Stefano</v>
      </c>
      <c r="C221" s="1441" t="str">
        <f t="shared" si="7"/>
        <v>CAPOSSELA Stefano</v>
      </c>
      <c r="D221" s="1428" t="s">
        <v>889</v>
      </c>
      <c r="E221" s="1429">
        <v>215</v>
      </c>
      <c r="F221" s="2197" t="s">
        <v>14268</v>
      </c>
      <c r="G221" s="2198" t="s">
        <v>3062</v>
      </c>
      <c r="H221" s="2197" t="s">
        <v>15245</v>
      </c>
      <c r="I221" s="2199" t="s">
        <v>1037</v>
      </c>
      <c r="J221" s="2196">
        <v>95.5</v>
      </c>
    </row>
    <row r="222" spans="2:10" ht="13.5" thickBot="1" x14ac:dyDescent="0.25">
      <c r="B222" s="392" t="str">
        <f t="shared" si="6"/>
        <v>Open - LEROY David</v>
      </c>
      <c r="C222" s="1441" t="str">
        <f t="shared" si="7"/>
        <v>LEROY David</v>
      </c>
      <c r="D222" s="1428" t="s">
        <v>889</v>
      </c>
      <c r="E222" s="1429">
        <v>216</v>
      </c>
      <c r="F222" s="2197" t="s">
        <v>3024</v>
      </c>
      <c r="G222" s="2198" t="s">
        <v>3072</v>
      </c>
      <c r="H222" s="2197" t="s">
        <v>2795</v>
      </c>
      <c r="I222" s="2199" t="s">
        <v>1019</v>
      </c>
      <c r="J222" s="2196">
        <v>95</v>
      </c>
    </row>
    <row r="223" spans="2:10" ht="13.5" thickBot="1" x14ac:dyDescent="0.25">
      <c r="B223" s="392" t="str">
        <f t="shared" si="6"/>
        <v>Open - BOLTZ Corentin</v>
      </c>
      <c r="C223" s="1441" t="str">
        <f t="shared" si="7"/>
        <v>BOLTZ Corentin</v>
      </c>
      <c r="D223" s="1428" t="s">
        <v>889</v>
      </c>
      <c r="E223" s="1429">
        <v>216</v>
      </c>
      <c r="F223" s="2197" t="s">
        <v>5622</v>
      </c>
      <c r="G223" s="2198" t="s">
        <v>3673</v>
      </c>
      <c r="H223" s="2197" t="s">
        <v>13519</v>
      </c>
      <c r="I223" s="2199" t="s">
        <v>990</v>
      </c>
      <c r="J223" s="2196">
        <v>95</v>
      </c>
    </row>
    <row r="224" spans="2:10" ht="13.5" thickBot="1" x14ac:dyDescent="0.25">
      <c r="B224" s="392" t="str">
        <f t="shared" si="6"/>
        <v>Open - BALZANO Romualdo</v>
      </c>
      <c r="C224" s="1441" t="str">
        <f t="shared" si="7"/>
        <v>BALZANO Romualdo</v>
      </c>
      <c r="D224" s="1428" t="s">
        <v>889</v>
      </c>
      <c r="E224" s="1429">
        <v>218</v>
      </c>
      <c r="F224" s="2197" t="s">
        <v>16547</v>
      </c>
      <c r="G224" s="2198" t="s">
        <v>3406</v>
      </c>
      <c r="H224" s="2197" t="s">
        <v>7872</v>
      </c>
      <c r="I224" s="2199" t="s">
        <v>1037</v>
      </c>
      <c r="J224" s="2196">
        <v>93</v>
      </c>
    </row>
    <row r="225" spans="2:10" ht="13.5" thickBot="1" x14ac:dyDescent="0.25">
      <c r="B225" s="392" t="str">
        <f t="shared" si="6"/>
        <v>Open - MOHD SABAH Noor Haikal</v>
      </c>
      <c r="C225" s="1441" t="str">
        <f t="shared" si="7"/>
        <v>MOHD SABAH Noor Haikal</v>
      </c>
      <c r="D225" s="1428" t="s">
        <v>889</v>
      </c>
      <c r="E225" s="1429">
        <v>219</v>
      </c>
      <c r="F225" s="2197" t="s">
        <v>3469</v>
      </c>
      <c r="G225" s="2198" t="s">
        <v>3470</v>
      </c>
      <c r="H225" s="2197" t="s">
        <v>7270</v>
      </c>
      <c r="I225" s="2199" t="s">
        <v>7916</v>
      </c>
      <c r="J225" s="2196">
        <v>92.5</v>
      </c>
    </row>
    <row r="226" spans="2:10" ht="13.5" thickBot="1" x14ac:dyDescent="0.25">
      <c r="B226" s="392" t="str">
        <f t="shared" si="6"/>
        <v>Open - BENNETT Kaspar</v>
      </c>
      <c r="C226" s="1441" t="str">
        <f t="shared" si="7"/>
        <v>BENNETT Kaspar</v>
      </c>
      <c r="D226" s="1428" t="s">
        <v>889</v>
      </c>
      <c r="E226" s="1429">
        <v>219</v>
      </c>
      <c r="F226" s="2197" t="s">
        <v>3036</v>
      </c>
      <c r="G226" s="2198" t="s">
        <v>14374</v>
      </c>
      <c r="H226" s="2197" t="s">
        <v>2745</v>
      </c>
      <c r="I226" s="2199" t="s">
        <v>1013</v>
      </c>
      <c r="J226" s="2196">
        <v>92.5</v>
      </c>
    </row>
    <row r="227" spans="2:10" ht="13.5" thickBot="1" x14ac:dyDescent="0.25">
      <c r="B227" s="392" t="str">
        <f t="shared" si="6"/>
        <v>Open - ARVANITAKIS Thomas</v>
      </c>
      <c r="C227" s="1441" t="str">
        <f t="shared" si="7"/>
        <v>ARVANITAKIS Thomas</v>
      </c>
      <c r="D227" s="1428" t="s">
        <v>889</v>
      </c>
      <c r="E227" s="1429">
        <v>221</v>
      </c>
      <c r="F227" s="2197" t="s">
        <v>16548</v>
      </c>
      <c r="G227" s="2198" t="s">
        <v>3124</v>
      </c>
      <c r="H227" s="2197" t="s">
        <v>15175</v>
      </c>
      <c r="I227" s="2199" t="s">
        <v>1025</v>
      </c>
      <c r="J227" s="2196">
        <v>91.5</v>
      </c>
    </row>
    <row r="228" spans="2:10" ht="13.5" thickBot="1" x14ac:dyDescent="0.25">
      <c r="B228" s="392" t="str">
        <f t="shared" si="6"/>
        <v>Open - BENNETT Steve</v>
      </c>
      <c r="C228" s="1441" t="str">
        <f t="shared" si="7"/>
        <v>BENNETT Steve</v>
      </c>
      <c r="D228" s="1428" t="s">
        <v>889</v>
      </c>
      <c r="E228" s="1429">
        <v>221</v>
      </c>
      <c r="F228" s="2197" t="s">
        <v>3036</v>
      </c>
      <c r="G228" s="2198" t="s">
        <v>3088</v>
      </c>
      <c r="H228" s="2197" t="s">
        <v>14787</v>
      </c>
      <c r="I228" s="2199" t="s">
        <v>1069</v>
      </c>
      <c r="J228" s="2196">
        <v>91.5</v>
      </c>
    </row>
    <row r="229" spans="2:10" ht="13.5" thickBot="1" x14ac:dyDescent="0.25">
      <c r="B229" s="392" t="str">
        <f t="shared" si="6"/>
        <v>Open - LICHERI Emanuele</v>
      </c>
      <c r="C229" s="1441" t="str">
        <f t="shared" si="7"/>
        <v>LICHERI Emanuele</v>
      </c>
      <c r="D229" s="1428" t="s">
        <v>889</v>
      </c>
      <c r="E229" s="1429">
        <v>221</v>
      </c>
      <c r="F229" s="2197" t="s">
        <v>3084</v>
      </c>
      <c r="G229" s="2198" t="s">
        <v>3085</v>
      </c>
      <c r="H229" s="2197" t="s">
        <v>7870</v>
      </c>
      <c r="I229" s="2199" t="s">
        <v>1037</v>
      </c>
      <c r="J229" s="2196">
        <v>91.5</v>
      </c>
    </row>
    <row r="230" spans="2:10" ht="13.5" thickBot="1" x14ac:dyDescent="0.25">
      <c r="B230" s="392" t="str">
        <f t="shared" si="6"/>
        <v>Open - BEGGS Kenneth</v>
      </c>
      <c r="C230" s="1441" t="str">
        <f t="shared" si="7"/>
        <v>BEGGS Kenneth</v>
      </c>
      <c r="D230" s="1428" t="s">
        <v>889</v>
      </c>
      <c r="E230" s="1429">
        <v>224</v>
      </c>
      <c r="F230" s="2197" t="s">
        <v>14893</v>
      </c>
      <c r="G230" s="2198" t="s">
        <v>7014</v>
      </c>
      <c r="H230" s="2197" t="s">
        <v>2764</v>
      </c>
      <c r="I230" s="2199" t="s">
        <v>1055</v>
      </c>
      <c r="J230" s="2196">
        <v>90.5</v>
      </c>
    </row>
    <row r="231" spans="2:10" ht="13.5" thickBot="1" x14ac:dyDescent="0.25">
      <c r="B231" s="392" t="str">
        <f t="shared" si="6"/>
        <v>Open - POTHITOS Dimitrios</v>
      </c>
      <c r="C231" s="1441" t="str">
        <f t="shared" si="7"/>
        <v>POTHITOS Dimitrios</v>
      </c>
      <c r="D231" s="1428" t="s">
        <v>889</v>
      </c>
      <c r="E231" s="1429">
        <v>224</v>
      </c>
      <c r="F231" s="2197" t="s">
        <v>8742</v>
      </c>
      <c r="G231" s="2198" t="s">
        <v>5644</v>
      </c>
      <c r="H231" s="2197" t="s">
        <v>15175</v>
      </c>
      <c r="I231" s="2199" t="s">
        <v>1025</v>
      </c>
      <c r="J231" s="2196">
        <v>90.5</v>
      </c>
    </row>
    <row r="232" spans="2:10" ht="13.5" thickBot="1" x14ac:dyDescent="0.25">
      <c r="B232" s="392" t="str">
        <f t="shared" si="6"/>
        <v>Open - FILIPPOU Giorgos</v>
      </c>
      <c r="C232" s="1441" t="str">
        <f t="shared" si="7"/>
        <v>FILIPPOU Giorgos</v>
      </c>
      <c r="D232" s="1428" t="s">
        <v>889</v>
      </c>
      <c r="E232" s="1429">
        <v>226</v>
      </c>
      <c r="F232" s="2197" t="s">
        <v>9462</v>
      </c>
      <c r="G232" s="2198" t="s">
        <v>3040</v>
      </c>
      <c r="H232" s="2197" t="s">
        <v>15175</v>
      </c>
      <c r="I232" s="2199" t="s">
        <v>1025</v>
      </c>
      <c r="J232" s="2196">
        <v>90</v>
      </c>
    </row>
    <row r="233" spans="2:10" ht="13.5" thickBot="1" x14ac:dyDescent="0.25">
      <c r="B233" s="392" t="str">
        <f t="shared" si="6"/>
        <v>Open - HERBAUT Audrey</v>
      </c>
      <c r="C233" s="1441" t="str">
        <f t="shared" si="7"/>
        <v>HERBAUT Audrey</v>
      </c>
      <c r="D233" s="1428" t="s">
        <v>889</v>
      </c>
      <c r="E233" s="1429">
        <v>227</v>
      </c>
      <c r="F233" s="2197" t="s">
        <v>7322</v>
      </c>
      <c r="G233" s="2198" t="s">
        <v>3649</v>
      </c>
      <c r="H233" s="2197" t="s">
        <v>15183</v>
      </c>
      <c r="I233" s="2199" t="s">
        <v>1019</v>
      </c>
      <c r="J233" s="2196">
        <v>89</v>
      </c>
    </row>
    <row r="234" spans="2:10" ht="13.5" thickBot="1" x14ac:dyDescent="0.25">
      <c r="B234" s="392" t="str">
        <f t="shared" si="6"/>
        <v>Open - BADGER Richard</v>
      </c>
      <c r="C234" s="1441" t="str">
        <f t="shared" si="7"/>
        <v>BADGER Richard</v>
      </c>
      <c r="D234" s="1428" t="s">
        <v>889</v>
      </c>
      <c r="E234" s="1429">
        <v>228</v>
      </c>
      <c r="F234" s="2197" t="s">
        <v>10988</v>
      </c>
      <c r="G234" s="2198" t="s">
        <v>3219</v>
      </c>
      <c r="H234" s="2197" t="s">
        <v>14399</v>
      </c>
      <c r="I234" s="2199" t="s">
        <v>1013</v>
      </c>
      <c r="J234" s="2196">
        <v>88</v>
      </c>
    </row>
    <row r="235" spans="2:10" ht="13.5" thickBot="1" x14ac:dyDescent="0.25">
      <c r="B235" s="392" t="str">
        <f t="shared" si="6"/>
        <v>Open - POLIZOS Spyros</v>
      </c>
      <c r="C235" s="1441" t="str">
        <f t="shared" si="7"/>
        <v>POLIZOS Spyros</v>
      </c>
      <c r="D235" s="1428" t="s">
        <v>889</v>
      </c>
      <c r="E235" s="1429">
        <v>229</v>
      </c>
      <c r="F235" s="2197" t="s">
        <v>16546</v>
      </c>
      <c r="G235" s="2198" t="s">
        <v>3050</v>
      </c>
      <c r="H235" s="2197" t="s">
        <v>3041</v>
      </c>
      <c r="I235" s="2199" t="s">
        <v>1025</v>
      </c>
      <c r="J235" s="2196">
        <v>86</v>
      </c>
    </row>
    <row r="236" spans="2:10" ht="13.5" thickBot="1" x14ac:dyDescent="0.25">
      <c r="B236" s="392" t="str">
        <f t="shared" si="6"/>
        <v>Open - CAMILLERI Isaac Sam</v>
      </c>
      <c r="C236" s="1441" t="str">
        <f t="shared" si="7"/>
        <v>CAMILLERI Isaac Sam</v>
      </c>
      <c r="D236" s="1428" t="s">
        <v>889</v>
      </c>
      <c r="E236" s="1429">
        <v>229</v>
      </c>
      <c r="F236" s="2197" t="s">
        <v>3153</v>
      </c>
      <c r="G236" s="2198" t="s">
        <v>9615</v>
      </c>
      <c r="H236" s="2197" t="s">
        <v>17082</v>
      </c>
      <c r="I236" s="2199" t="s">
        <v>1045</v>
      </c>
      <c r="J236" s="2196">
        <v>86</v>
      </c>
    </row>
    <row r="237" spans="2:10" ht="13.5" thickBot="1" x14ac:dyDescent="0.25">
      <c r="B237" s="392" t="str">
        <f t="shared" si="6"/>
        <v>Open - AUSSET Quentin</v>
      </c>
      <c r="C237" s="1441" t="str">
        <f t="shared" si="7"/>
        <v>AUSSET Quentin</v>
      </c>
      <c r="D237" s="1428" t="s">
        <v>889</v>
      </c>
      <c r="E237" s="1429">
        <v>231</v>
      </c>
      <c r="F237" s="2197" t="s">
        <v>14978</v>
      </c>
      <c r="G237" s="2198" t="s">
        <v>3681</v>
      </c>
      <c r="H237" s="2197" t="s">
        <v>15183</v>
      </c>
      <c r="I237" s="2199" t="s">
        <v>1019</v>
      </c>
      <c r="J237" s="2196">
        <v>84.5</v>
      </c>
    </row>
    <row r="238" spans="2:10" ht="13.5" thickBot="1" x14ac:dyDescent="0.25">
      <c r="B238" s="392" t="str">
        <f t="shared" si="6"/>
        <v>Open - PRATS Vicenç</v>
      </c>
      <c r="C238" s="1441" t="str">
        <f t="shared" si="7"/>
        <v>PRATS Vicenç</v>
      </c>
      <c r="D238" s="1428" t="s">
        <v>889</v>
      </c>
      <c r="E238" s="1429">
        <v>232</v>
      </c>
      <c r="F238" s="2197" t="s">
        <v>7300</v>
      </c>
      <c r="G238" s="2198" t="s">
        <v>3057</v>
      </c>
      <c r="H238" s="2197" t="s">
        <v>2755</v>
      </c>
      <c r="I238" s="2199" t="s">
        <v>1015</v>
      </c>
      <c r="J238" s="2196">
        <v>84</v>
      </c>
    </row>
    <row r="239" spans="2:10" ht="13.5" thickBot="1" x14ac:dyDescent="0.25">
      <c r="B239" s="392" t="str">
        <f t="shared" si="6"/>
        <v>Open - PACE Patrick</v>
      </c>
      <c r="C239" s="1441" t="str">
        <f t="shared" si="7"/>
        <v>PACE Patrick</v>
      </c>
      <c r="D239" s="1428" t="s">
        <v>889</v>
      </c>
      <c r="E239" s="1429">
        <v>232</v>
      </c>
      <c r="F239" s="2197" t="s">
        <v>13500</v>
      </c>
      <c r="G239" s="2198" t="s">
        <v>3271</v>
      </c>
      <c r="H239" s="2197" t="s">
        <v>14680</v>
      </c>
      <c r="I239" s="2199" t="s">
        <v>1045</v>
      </c>
      <c r="J239" s="2196">
        <v>84</v>
      </c>
    </row>
    <row r="240" spans="2:10" ht="13.5" thickBot="1" x14ac:dyDescent="0.25">
      <c r="B240" s="392" t="str">
        <f t="shared" si="6"/>
        <v>Open - DUBREUIL Franck</v>
      </c>
      <c r="C240" s="1441" t="str">
        <f t="shared" si="7"/>
        <v>DUBREUIL Franck</v>
      </c>
      <c r="D240" s="1428" t="s">
        <v>889</v>
      </c>
      <c r="E240" s="1429">
        <v>232</v>
      </c>
      <c r="F240" s="2197" t="s">
        <v>11538</v>
      </c>
      <c r="G240" s="2198" t="s">
        <v>5558</v>
      </c>
      <c r="H240" s="2197" t="s">
        <v>15183</v>
      </c>
      <c r="I240" s="2199" t="s">
        <v>1019</v>
      </c>
      <c r="J240" s="2196">
        <v>84</v>
      </c>
    </row>
    <row r="241" spans="2:10" ht="13.5" thickBot="1" x14ac:dyDescent="0.25">
      <c r="B241" s="392" t="str">
        <f t="shared" si="6"/>
        <v>Open - CREDENTINO Antonio</v>
      </c>
      <c r="C241" s="1441" t="str">
        <f t="shared" si="7"/>
        <v>CREDENTINO Antonio</v>
      </c>
      <c r="D241" s="1428" t="s">
        <v>889</v>
      </c>
      <c r="E241" s="1429">
        <v>232</v>
      </c>
      <c r="F241" s="2197" t="s">
        <v>8730</v>
      </c>
      <c r="G241" s="2198" t="s">
        <v>3341</v>
      </c>
      <c r="H241" s="2197" t="s">
        <v>9595</v>
      </c>
      <c r="I241" s="2199" t="s">
        <v>986</v>
      </c>
      <c r="J241" s="2196">
        <v>84</v>
      </c>
    </row>
    <row r="242" spans="2:10" ht="13.5" thickBot="1" x14ac:dyDescent="0.25">
      <c r="B242" s="392" t="str">
        <f t="shared" si="6"/>
        <v>Open - KWIATKOWSKI Marcel</v>
      </c>
      <c r="C242" s="1441" t="str">
        <f t="shared" si="7"/>
        <v>KWIATKOWSKI Marcel</v>
      </c>
      <c r="D242" s="1428" t="s">
        <v>889</v>
      </c>
      <c r="E242" s="1429">
        <v>236</v>
      </c>
      <c r="F242" s="2197" t="s">
        <v>16550</v>
      </c>
      <c r="G242" s="2198" t="s">
        <v>3300</v>
      </c>
      <c r="H242" s="2197" t="s">
        <v>2753</v>
      </c>
      <c r="I242" s="2199" t="s">
        <v>1021</v>
      </c>
      <c r="J242" s="2196">
        <v>83</v>
      </c>
    </row>
    <row r="243" spans="2:10" ht="13.5" thickBot="1" x14ac:dyDescent="0.25">
      <c r="B243" s="392" t="str">
        <f t="shared" si="6"/>
        <v>Open - GOOR Laurent</v>
      </c>
      <c r="C243" s="1441" t="str">
        <f t="shared" si="7"/>
        <v>GOOR Laurent</v>
      </c>
      <c r="D243" s="1428" t="s">
        <v>889</v>
      </c>
      <c r="E243" s="1429">
        <v>237</v>
      </c>
      <c r="F243" s="2197" t="s">
        <v>14123</v>
      </c>
      <c r="G243" s="2198" t="s">
        <v>3123</v>
      </c>
      <c r="H243" s="2197" t="s">
        <v>13519</v>
      </c>
      <c r="I243" s="2199" t="s">
        <v>990</v>
      </c>
      <c r="J243" s="2196">
        <v>82</v>
      </c>
    </row>
    <row r="244" spans="2:10" ht="13.5" thickBot="1" x14ac:dyDescent="0.25">
      <c r="B244" s="392" t="str">
        <f t="shared" si="6"/>
        <v>Open - DARMONT Sébastien</v>
      </c>
      <c r="C244" s="1441" t="str">
        <f t="shared" si="7"/>
        <v>DARMONT Sébastien</v>
      </c>
      <c r="D244" s="1428" t="s">
        <v>889</v>
      </c>
      <c r="E244" s="1429">
        <v>238</v>
      </c>
      <c r="F244" s="2197" t="s">
        <v>14144</v>
      </c>
      <c r="G244" s="2198" t="s">
        <v>3043</v>
      </c>
      <c r="H244" s="2197" t="s">
        <v>10254</v>
      </c>
      <c r="I244" s="2199" t="s">
        <v>990</v>
      </c>
      <c r="J244" s="2196">
        <v>81</v>
      </c>
    </row>
    <row r="245" spans="2:10" ht="13.5" thickBot="1" x14ac:dyDescent="0.25">
      <c r="B245" s="392" t="str">
        <f t="shared" si="6"/>
        <v>Open - COQUILLON Fanch</v>
      </c>
      <c r="C245" s="1441" t="str">
        <f t="shared" si="7"/>
        <v>COQUILLON Fanch</v>
      </c>
      <c r="D245" s="1428" t="s">
        <v>889</v>
      </c>
      <c r="E245" s="1429">
        <v>239</v>
      </c>
      <c r="F245" s="2197" t="s">
        <v>14313</v>
      </c>
      <c r="G245" s="2198" t="s">
        <v>11375</v>
      </c>
      <c r="H245" s="2197" t="s">
        <v>2796</v>
      </c>
      <c r="I245" s="2199" t="s">
        <v>1019</v>
      </c>
      <c r="J245" s="2196">
        <v>79.5</v>
      </c>
    </row>
    <row r="246" spans="2:10" ht="13.5" thickBot="1" x14ac:dyDescent="0.25">
      <c r="B246" s="392" t="str">
        <f t="shared" si="6"/>
        <v>Open - HODDS Martin</v>
      </c>
      <c r="C246" s="1441" t="str">
        <f t="shared" si="7"/>
        <v>HODDS Martin</v>
      </c>
      <c r="D246" s="1428" t="s">
        <v>889</v>
      </c>
      <c r="E246" s="1429">
        <v>239</v>
      </c>
      <c r="F246" s="2197" t="s">
        <v>3407</v>
      </c>
      <c r="G246" s="2198" t="s">
        <v>3408</v>
      </c>
      <c r="H246" s="2197" t="s">
        <v>15274</v>
      </c>
      <c r="I246" s="2199" t="s">
        <v>1013</v>
      </c>
      <c r="J246" s="2196">
        <v>79.5</v>
      </c>
    </row>
    <row r="247" spans="2:10" ht="13.5" thickBot="1" x14ac:dyDescent="0.25">
      <c r="B247" s="392" t="str">
        <f t="shared" si="6"/>
        <v>Open - SCOTT Justin</v>
      </c>
      <c r="C247" s="1441" t="str">
        <f t="shared" si="7"/>
        <v>SCOTT Justin</v>
      </c>
      <c r="D247" s="1428" t="s">
        <v>889</v>
      </c>
      <c r="E247" s="1429">
        <v>241</v>
      </c>
      <c r="F247" s="2197" t="s">
        <v>10987</v>
      </c>
      <c r="G247" s="2198" t="s">
        <v>3025</v>
      </c>
      <c r="H247" s="2197" t="s">
        <v>14399</v>
      </c>
      <c r="I247" s="2199" t="s">
        <v>1013</v>
      </c>
      <c r="J247" s="2196">
        <v>79</v>
      </c>
    </row>
    <row r="248" spans="2:10" ht="13.5" thickBot="1" x14ac:dyDescent="0.25">
      <c r="B248" s="392" t="str">
        <f t="shared" si="6"/>
        <v>Open - BIZAS Georgios</v>
      </c>
      <c r="C248" s="1441" t="str">
        <f t="shared" si="7"/>
        <v>BIZAS Georgios</v>
      </c>
      <c r="D248" s="1428" t="s">
        <v>889</v>
      </c>
      <c r="E248" s="1429">
        <v>241</v>
      </c>
      <c r="F248" s="2197" t="s">
        <v>3395</v>
      </c>
      <c r="G248" s="2198" t="s">
        <v>3324</v>
      </c>
      <c r="H248" s="2197" t="s">
        <v>10263</v>
      </c>
      <c r="I248" s="2199" t="s">
        <v>1025</v>
      </c>
      <c r="J248" s="2196">
        <v>79</v>
      </c>
    </row>
    <row r="249" spans="2:10" ht="13.5" thickBot="1" x14ac:dyDescent="0.25">
      <c r="B249" s="392" t="str">
        <f t="shared" si="6"/>
        <v>Open - SANTOS José</v>
      </c>
      <c r="C249" s="1441" t="str">
        <f t="shared" si="7"/>
        <v>SANTOS José</v>
      </c>
      <c r="D249" s="1428" t="s">
        <v>889</v>
      </c>
      <c r="E249" s="1429">
        <v>243</v>
      </c>
      <c r="F249" s="2197" t="s">
        <v>3170</v>
      </c>
      <c r="G249" s="2198" t="s">
        <v>3232</v>
      </c>
      <c r="H249" s="2197" t="s">
        <v>15138</v>
      </c>
      <c r="I249" s="2199" t="s">
        <v>1061</v>
      </c>
      <c r="J249" s="2196">
        <v>78.5</v>
      </c>
    </row>
    <row r="250" spans="2:10" ht="13.5" thickBot="1" x14ac:dyDescent="0.25">
      <c r="B250" s="392" t="str">
        <f t="shared" si="6"/>
        <v>Open - MASO Xavi</v>
      </c>
      <c r="C250" s="1441" t="str">
        <f t="shared" si="7"/>
        <v>MASO Xavi</v>
      </c>
      <c r="D250" s="1428" t="s">
        <v>889</v>
      </c>
      <c r="E250" s="1429">
        <v>244</v>
      </c>
      <c r="F250" s="2197" t="s">
        <v>14216</v>
      </c>
      <c r="G250" s="2198" t="s">
        <v>13819</v>
      </c>
      <c r="H250" s="2197" t="s">
        <v>14451</v>
      </c>
      <c r="I250" s="2199" t="s">
        <v>1015</v>
      </c>
      <c r="J250" s="2196">
        <v>78</v>
      </c>
    </row>
    <row r="251" spans="2:10" ht="13.5" thickBot="1" x14ac:dyDescent="0.25">
      <c r="B251" s="392" t="str">
        <f t="shared" si="6"/>
        <v>Open - MONDO Enrico</v>
      </c>
      <c r="C251" s="1441" t="str">
        <f t="shared" si="7"/>
        <v>MONDO Enrico</v>
      </c>
      <c r="D251" s="1428" t="s">
        <v>889</v>
      </c>
      <c r="E251" s="1429">
        <v>244</v>
      </c>
      <c r="F251" s="2197" t="s">
        <v>14906</v>
      </c>
      <c r="G251" s="2198" t="s">
        <v>3132</v>
      </c>
      <c r="H251" s="2197" t="s">
        <v>10269</v>
      </c>
      <c r="I251" s="2199" t="s">
        <v>1037</v>
      </c>
      <c r="J251" s="2196">
        <v>78</v>
      </c>
    </row>
    <row r="252" spans="2:10" ht="13.5" thickBot="1" x14ac:dyDescent="0.25">
      <c r="B252" s="392" t="str">
        <f t="shared" si="6"/>
        <v>Open - SANCHEZ Jose Luis</v>
      </c>
      <c r="C252" s="1441" t="str">
        <f t="shared" si="7"/>
        <v>SANCHEZ Jose Luis</v>
      </c>
      <c r="D252" s="1428" t="s">
        <v>889</v>
      </c>
      <c r="E252" s="1429">
        <v>246</v>
      </c>
      <c r="F252" s="2197" t="s">
        <v>8743</v>
      </c>
      <c r="G252" s="2198" t="s">
        <v>3146</v>
      </c>
      <c r="H252" s="2197" t="s">
        <v>9448</v>
      </c>
      <c r="I252" s="2199" t="s">
        <v>1023</v>
      </c>
      <c r="J252" s="2196">
        <v>76.5</v>
      </c>
    </row>
    <row r="253" spans="2:10" ht="13.5" thickBot="1" x14ac:dyDescent="0.25">
      <c r="B253" s="392" t="str">
        <f t="shared" si="6"/>
        <v>Open - MURABITO Pierpaolo</v>
      </c>
      <c r="C253" s="1441" t="str">
        <f t="shared" si="7"/>
        <v>MURABITO Pierpaolo</v>
      </c>
      <c r="D253" s="1428" t="s">
        <v>889</v>
      </c>
      <c r="E253" s="1429">
        <v>247</v>
      </c>
      <c r="F253" s="2197" t="s">
        <v>16558</v>
      </c>
      <c r="G253" s="2198" t="s">
        <v>3518</v>
      </c>
      <c r="H253" s="2197" t="s">
        <v>15290</v>
      </c>
      <c r="I253" s="2199" t="s">
        <v>1037</v>
      </c>
      <c r="J253" s="2196">
        <v>75.5</v>
      </c>
    </row>
    <row r="254" spans="2:10" ht="13.5" thickBot="1" x14ac:dyDescent="0.25">
      <c r="B254" s="392" t="str">
        <f t="shared" si="6"/>
        <v>Open - HO Shiong Bock, John</v>
      </c>
      <c r="C254" s="1441" t="str">
        <f t="shared" si="7"/>
        <v>HO Shiong Bock, John</v>
      </c>
      <c r="D254" s="1428" t="s">
        <v>889</v>
      </c>
      <c r="E254" s="1429">
        <v>247</v>
      </c>
      <c r="F254" s="2197" t="s">
        <v>3423</v>
      </c>
      <c r="G254" s="2198" t="s">
        <v>3424</v>
      </c>
      <c r="H254" s="2197" t="s">
        <v>8716</v>
      </c>
      <c r="I254" s="2199" t="s">
        <v>7916</v>
      </c>
      <c r="J254" s="2196">
        <v>75.5</v>
      </c>
    </row>
    <row r="255" spans="2:10" ht="13.5" thickBot="1" x14ac:dyDescent="0.25">
      <c r="B255" s="392" t="str">
        <f t="shared" si="6"/>
        <v>Open - MONTAÑO Antonio</v>
      </c>
      <c r="C255" s="1441" t="str">
        <f t="shared" si="7"/>
        <v>MONTAÑO Antonio</v>
      </c>
      <c r="D255" s="1428" t="s">
        <v>889</v>
      </c>
      <c r="E255" s="1429">
        <v>247</v>
      </c>
      <c r="F255" s="2197" t="s">
        <v>3156</v>
      </c>
      <c r="G255" s="2198" t="s">
        <v>3341</v>
      </c>
      <c r="H255" s="2197" t="s">
        <v>2755</v>
      </c>
      <c r="I255" s="2199" t="s">
        <v>1015</v>
      </c>
      <c r="J255" s="2196">
        <v>75.5</v>
      </c>
    </row>
    <row r="256" spans="2:10" ht="13.5" thickBot="1" x14ac:dyDescent="0.25">
      <c r="B256" s="392" t="str">
        <f t="shared" si="6"/>
        <v>Open - LA TORRE Antonio</v>
      </c>
      <c r="C256" s="1441" t="str">
        <f t="shared" si="7"/>
        <v>LA TORRE Antonio</v>
      </c>
      <c r="D256" s="1428" t="s">
        <v>889</v>
      </c>
      <c r="E256" s="1429">
        <v>250</v>
      </c>
      <c r="F256" s="2197" t="s">
        <v>3345</v>
      </c>
      <c r="G256" s="2198" t="s">
        <v>3341</v>
      </c>
      <c r="H256" s="2197" t="s">
        <v>14879</v>
      </c>
      <c r="I256" s="2199" t="s">
        <v>1037</v>
      </c>
      <c r="J256" s="2196">
        <v>75</v>
      </c>
    </row>
    <row r="257" spans="2:10" ht="13.5" thickBot="1" x14ac:dyDescent="0.25">
      <c r="B257" s="392" t="str">
        <f t="shared" si="6"/>
        <v>Open - BELLOTTO Edoardo</v>
      </c>
      <c r="C257" s="1441" t="str">
        <f t="shared" si="7"/>
        <v>BELLOTTO Edoardo</v>
      </c>
      <c r="D257" s="1428" t="s">
        <v>889</v>
      </c>
      <c r="E257" s="1429">
        <v>251</v>
      </c>
      <c r="F257" s="2197" t="s">
        <v>3634</v>
      </c>
      <c r="G257" s="2198" t="s">
        <v>3558</v>
      </c>
      <c r="H257" s="2197" t="s">
        <v>16843</v>
      </c>
      <c r="I257" s="2199" t="s">
        <v>1037</v>
      </c>
      <c r="J257" s="2196">
        <v>74</v>
      </c>
    </row>
    <row r="258" spans="2:10" ht="13.5" thickBot="1" x14ac:dyDescent="0.25">
      <c r="B258" s="392" t="str">
        <f t="shared" si="6"/>
        <v>Open - GHIGLIOTTI Marco</v>
      </c>
      <c r="C258" s="1441" t="str">
        <f t="shared" si="7"/>
        <v>GHIGLIOTTI Marco</v>
      </c>
      <c r="D258" s="1428" t="s">
        <v>889</v>
      </c>
      <c r="E258" s="1429">
        <v>252</v>
      </c>
      <c r="F258" s="2197" t="s">
        <v>8752</v>
      </c>
      <c r="G258" s="2198" t="s">
        <v>3109</v>
      </c>
      <c r="H258" s="2197" t="s">
        <v>17082</v>
      </c>
      <c r="I258" s="2199" t="s">
        <v>1013</v>
      </c>
      <c r="J258" s="2196">
        <v>73</v>
      </c>
    </row>
    <row r="259" spans="2:10" ht="13.5" thickBot="1" x14ac:dyDescent="0.25">
      <c r="B259" s="392" t="str">
        <f t="shared" si="6"/>
        <v>Open - OKANO Kazuki</v>
      </c>
      <c r="C259" s="1441" t="str">
        <f t="shared" si="7"/>
        <v>OKANO Kazuki</v>
      </c>
      <c r="D259" s="1428" t="s">
        <v>889</v>
      </c>
      <c r="E259" s="1429">
        <v>253</v>
      </c>
      <c r="F259" s="2197" t="s">
        <v>7288</v>
      </c>
      <c r="G259" s="2198" t="s">
        <v>7292</v>
      </c>
      <c r="H259" s="2197" t="s">
        <v>5508</v>
      </c>
      <c r="I259" s="2199" t="s">
        <v>1041</v>
      </c>
      <c r="J259" s="2196">
        <v>72.5</v>
      </c>
    </row>
    <row r="260" spans="2:10" ht="13.5" thickBot="1" x14ac:dyDescent="0.25">
      <c r="B260" s="392" t="str">
        <f t="shared" si="6"/>
        <v>Open - TANAKA Masato</v>
      </c>
      <c r="C260" s="1441" t="str">
        <f t="shared" si="7"/>
        <v>TANAKA Masato</v>
      </c>
      <c r="D260" s="1428" t="s">
        <v>889</v>
      </c>
      <c r="E260" s="1429">
        <v>254</v>
      </c>
      <c r="F260" s="2197" t="s">
        <v>16593</v>
      </c>
      <c r="G260" s="2198" t="s">
        <v>16281</v>
      </c>
      <c r="H260" s="2197" t="s">
        <v>17234</v>
      </c>
      <c r="I260" s="2199" t="s">
        <v>1041</v>
      </c>
      <c r="J260" s="2196">
        <v>72</v>
      </c>
    </row>
    <row r="261" spans="2:10" ht="13.5" thickBot="1" x14ac:dyDescent="0.25">
      <c r="B261" s="392" t="str">
        <f t="shared" si="6"/>
        <v>Open - LOMBARD Daniel</v>
      </c>
      <c r="C261" s="1441" t="str">
        <f t="shared" si="7"/>
        <v>LOMBARD Daniel</v>
      </c>
      <c r="D261" s="1428" t="s">
        <v>889</v>
      </c>
      <c r="E261" s="1429">
        <v>254</v>
      </c>
      <c r="F261" s="2197" t="s">
        <v>16566</v>
      </c>
      <c r="G261" s="2198" t="s">
        <v>3243</v>
      </c>
      <c r="H261" s="2197" t="s">
        <v>9595</v>
      </c>
      <c r="I261" s="2199" t="s">
        <v>986</v>
      </c>
      <c r="J261" s="2196">
        <v>72</v>
      </c>
    </row>
    <row r="262" spans="2:10" ht="13.5" thickBot="1" x14ac:dyDescent="0.25">
      <c r="B262" s="392" t="str">
        <f t="shared" si="6"/>
        <v>Open - VAN OS Casey</v>
      </c>
      <c r="C262" s="1441" t="str">
        <f t="shared" si="7"/>
        <v>VAN OS Casey</v>
      </c>
      <c r="D262" s="1428" t="s">
        <v>889</v>
      </c>
      <c r="E262" s="1429">
        <v>254</v>
      </c>
      <c r="F262" s="2197" t="s">
        <v>17444</v>
      </c>
      <c r="G262" s="2198" t="s">
        <v>3256</v>
      </c>
      <c r="H262" s="2197" t="s">
        <v>2763</v>
      </c>
      <c r="I262" s="2199" t="s">
        <v>1051</v>
      </c>
      <c r="J262" s="2196">
        <v>72</v>
      </c>
    </row>
    <row r="263" spans="2:10" ht="13.5" thickBot="1" x14ac:dyDescent="0.25">
      <c r="B263" s="392" t="str">
        <f t="shared" ref="B263:B326" si="8">CONCATENATE(D263," - ",C263)</f>
        <v>Open - IFRIGERIO Rosario</v>
      </c>
      <c r="C263" s="1441" t="str">
        <f t="shared" ref="C263:C326" si="9">CONCATENATE(UPPER(F263)," ",G263)</f>
        <v>IFRIGERIO Rosario</v>
      </c>
      <c r="D263" s="1428" t="s">
        <v>889</v>
      </c>
      <c r="E263" s="1429">
        <v>254</v>
      </c>
      <c r="F263" s="2197" t="s">
        <v>3338</v>
      </c>
      <c r="G263" s="2198" t="s">
        <v>3509</v>
      </c>
      <c r="H263" s="2197" t="s">
        <v>13593</v>
      </c>
      <c r="I263" s="2199" t="s">
        <v>1037</v>
      </c>
      <c r="J263" s="2196">
        <v>72</v>
      </c>
    </row>
    <row r="264" spans="2:10" ht="13.5" thickBot="1" x14ac:dyDescent="0.25">
      <c r="B264" s="392" t="str">
        <f t="shared" si="8"/>
        <v>Open - DOGALI Claudio</v>
      </c>
      <c r="C264" s="1441" t="str">
        <f t="shared" si="9"/>
        <v>DOGALI Claudio</v>
      </c>
      <c r="D264" s="1428" t="s">
        <v>889</v>
      </c>
      <c r="E264" s="1429">
        <v>254</v>
      </c>
      <c r="F264" s="2197" t="s">
        <v>3595</v>
      </c>
      <c r="G264" s="2198" t="s">
        <v>3038</v>
      </c>
      <c r="H264" s="2197" t="s">
        <v>7867</v>
      </c>
      <c r="I264" s="2199" t="s">
        <v>1037</v>
      </c>
      <c r="J264" s="2196">
        <v>72</v>
      </c>
    </row>
    <row r="265" spans="2:10" ht="13.5" thickBot="1" x14ac:dyDescent="0.25">
      <c r="B265" s="392" t="str">
        <f t="shared" si="8"/>
        <v>Open - OUTTERS Xavier</v>
      </c>
      <c r="C265" s="1441" t="str">
        <f t="shared" si="9"/>
        <v>OUTTERS Xavier</v>
      </c>
      <c r="D265" s="1428" t="s">
        <v>889</v>
      </c>
      <c r="E265" s="1429">
        <v>259</v>
      </c>
      <c r="F265" s="2197" t="s">
        <v>18081</v>
      </c>
      <c r="G265" s="2198" t="s">
        <v>3295</v>
      </c>
      <c r="H265" s="2197" t="s">
        <v>5301</v>
      </c>
      <c r="I265" s="2199" t="s">
        <v>990</v>
      </c>
      <c r="J265" s="2196">
        <v>71.5</v>
      </c>
    </row>
    <row r="266" spans="2:10" ht="13.5" thickBot="1" x14ac:dyDescent="0.25">
      <c r="B266" s="392" t="str">
        <f t="shared" si="8"/>
        <v>Open - NISHI Manabu</v>
      </c>
      <c r="C266" s="1441" t="str">
        <f t="shared" si="9"/>
        <v>NISHI Manabu</v>
      </c>
      <c r="D266" s="1428" t="s">
        <v>889</v>
      </c>
      <c r="E266" s="1429">
        <v>259</v>
      </c>
      <c r="F266" s="2197" t="s">
        <v>14952</v>
      </c>
      <c r="G266" s="2198" t="s">
        <v>14719</v>
      </c>
      <c r="H266" s="2197" t="s">
        <v>10276</v>
      </c>
      <c r="I266" s="2199" t="s">
        <v>1041</v>
      </c>
      <c r="J266" s="2196">
        <v>71.5</v>
      </c>
    </row>
    <row r="267" spans="2:10" ht="13.5" thickBot="1" x14ac:dyDescent="0.25">
      <c r="B267" s="392" t="str">
        <f t="shared" si="8"/>
        <v>Open - VIVRON Thierry</v>
      </c>
      <c r="C267" s="1441" t="str">
        <f t="shared" si="9"/>
        <v>VIVRON Thierry</v>
      </c>
      <c r="D267" s="1428" t="s">
        <v>889</v>
      </c>
      <c r="E267" s="1429">
        <v>261</v>
      </c>
      <c r="F267" s="2197" t="s">
        <v>3331</v>
      </c>
      <c r="G267" s="2198" t="s">
        <v>3332</v>
      </c>
      <c r="H267" s="2197" t="s">
        <v>2754</v>
      </c>
      <c r="I267" s="2199" t="s">
        <v>1019</v>
      </c>
      <c r="J267" s="2196">
        <v>71</v>
      </c>
    </row>
    <row r="268" spans="2:10" ht="13.5" thickBot="1" x14ac:dyDescent="0.25">
      <c r="B268" s="392" t="str">
        <f t="shared" si="8"/>
        <v>Open - FITZPATRICK Andy</v>
      </c>
      <c r="C268" s="1441" t="str">
        <f t="shared" si="9"/>
        <v>FITZPATRICK Andy</v>
      </c>
      <c r="D268" s="1428" t="s">
        <v>889</v>
      </c>
      <c r="E268" s="1429">
        <v>261</v>
      </c>
      <c r="F268" s="2197" t="s">
        <v>14899</v>
      </c>
      <c r="G268" s="2198" t="s">
        <v>3322</v>
      </c>
      <c r="H268" s="2197" t="s">
        <v>2764</v>
      </c>
      <c r="I268" s="2199" t="s">
        <v>1033</v>
      </c>
      <c r="J268" s="2196">
        <v>71</v>
      </c>
    </row>
    <row r="269" spans="2:10" ht="13.5" thickBot="1" x14ac:dyDescent="0.25">
      <c r="B269" s="392" t="str">
        <f t="shared" si="8"/>
        <v>Open - LAGNEAU Benoit</v>
      </c>
      <c r="C269" s="1441" t="str">
        <f t="shared" si="9"/>
        <v>LAGNEAU Benoit</v>
      </c>
      <c r="D269" s="1428" t="s">
        <v>889</v>
      </c>
      <c r="E269" s="1429">
        <v>263</v>
      </c>
      <c r="F269" s="2197" t="s">
        <v>5591</v>
      </c>
      <c r="G269" s="2198" t="s">
        <v>5592</v>
      </c>
      <c r="H269" s="2197" t="s">
        <v>13519</v>
      </c>
      <c r="I269" s="2199" t="s">
        <v>990</v>
      </c>
      <c r="J269" s="2196">
        <v>70.5</v>
      </c>
    </row>
    <row r="270" spans="2:10" ht="13.5" thickBot="1" x14ac:dyDescent="0.25">
      <c r="B270" s="392" t="str">
        <f t="shared" si="8"/>
        <v>Open - CERULLO Michele</v>
      </c>
      <c r="C270" s="1441" t="str">
        <f t="shared" si="9"/>
        <v>CERULLO Michele</v>
      </c>
      <c r="D270" s="1428" t="s">
        <v>889</v>
      </c>
      <c r="E270" s="1429">
        <v>263</v>
      </c>
      <c r="F270" s="2197" t="s">
        <v>3627</v>
      </c>
      <c r="G270" s="2198" t="s">
        <v>3216</v>
      </c>
      <c r="H270" s="2197" t="s">
        <v>2773</v>
      </c>
      <c r="I270" s="2199" t="s">
        <v>1037</v>
      </c>
      <c r="J270" s="2196">
        <v>70.5</v>
      </c>
    </row>
    <row r="271" spans="2:10" ht="13.5" thickBot="1" x14ac:dyDescent="0.25">
      <c r="B271" s="392" t="str">
        <f t="shared" si="8"/>
        <v>Open - MATTHEWS Cayne</v>
      </c>
      <c r="C271" s="1441" t="str">
        <f t="shared" si="9"/>
        <v>MATTHEWS Cayne</v>
      </c>
      <c r="D271" s="1428" t="s">
        <v>889</v>
      </c>
      <c r="E271" s="1429">
        <v>263</v>
      </c>
      <c r="F271" s="2197" t="s">
        <v>11420</v>
      </c>
      <c r="G271" s="2198" t="s">
        <v>8231</v>
      </c>
      <c r="H271" s="2197" t="s">
        <v>15274</v>
      </c>
      <c r="I271" s="2199" t="s">
        <v>1013</v>
      </c>
      <c r="J271" s="2196">
        <v>70.5</v>
      </c>
    </row>
    <row r="272" spans="2:10" ht="13.5" thickBot="1" x14ac:dyDescent="0.25">
      <c r="B272" s="392" t="str">
        <f t="shared" si="8"/>
        <v>Open - VANTASSEL David</v>
      </c>
      <c r="C272" s="1441" t="str">
        <f t="shared" si="9"/>
        <v>VANTASSEL David</v>
      </c>
      <c r="D272" s="1428" t="s">
        <v>889</v>
      </c>
      <c r="E272" s="1429">
        <v>263</v>
      </c>
      <c r="F272" s="2197" t="s">
        <v>3442</v>
      </c>
      <c r="G272" s="2198" t="s">
        <v>3072</v>
      </c>
      <c r="H272" s="2197" t="s">
        <v>13519</v>
      </c>
      <c r="I272" s="2199" t="s">
        <v>990</v>
      </c>
      <c r="J272" s="2196">
        <v>70.5</v>
      </c>
    </row>
    <row r="273" spans="2:10" ht="13.5" thickBot="1" x14ac:dyDescent="0.25">
      <c r="B273" s="392" t="str">
        <f t="shared" si="8"/>
        <v>Open - TILGNER Marcus</v>
      </c>
      <c r="C273" s="1441" t="str">
        <f t="shared" si="9"/>
        <v>TILGNER Marcus</v>
      </c>
      <c r="D273" s="1428" t="s">
        <v>889</v>
      </c>
      <c r="E273" s="1429">
        <v>267</v>
      </c>
      <c r="F273" s="2197" t="s">
        <v>11429</v>
      </c>
      <c r="G273" s="2198" t="s">
        <v>3056</v>
      </c>
      <c r="H273" s="2197" t="s">
        <v>2753</v>
      </c>
      <c r="I273" s="2199" t="s">
        <v>1021</v>
      </c>
      <c r="J273" s="2196">
        <v>69.5</v>
      </c>
    </row>
    <row r="274" spans="2:10" ht="13.5" thickBot="1" x14ac:dyDescent="0.25">
      <c r="B274" s="392" t="str">
        <f t="shared" si="8"/>
        <v>Open - CREMONA Massimo</v>
      </c>
      <c r="C274" s="1441" t="str">
        <f t="shared" si="9"/>
        <v>CREMONA Massimo</v>
      </c>
      <c r="D274" s="1428" t="s">
        <v>889</v>
      </c>
      <c r="E274" s="1429">
        <v>267</v>
      </c>
      <c r="F274" s="2197" t="s">
        <v>18082</v>
      </c>
      <c r="G274" s="2198" t="s">
        <v>3013</v>
      </c>
      <c r="H274" s="2197" t="s">
        <v>11331</v>
      </c>
      <c r="I274" s="2199" t="s">
        <v>1045</v>
      </c>
      <c r="J274" s="2196">
        <v>69.5</v>
      </c>
    </row>
    <row r="275" spans="2:10" ht="13.5" thickBot="1" x14ac:dyDescent="0.25">
      <c r="B275" s="392" t="str">
        <f t="shared" si="8"/>
        <v>Open - ANDREAS Paul</v>
      </c>
      <c r="C275" s="1441" t="str">
        <f t="shared" si="9"/>
        <v>ANDREAS Paul</v>
      </c>
      <c r="D275" s="1428" t="s">
        <v>889</v>
      </c>
      <c r="E275" s="1429">
        <v>269</v>
      </c>
      <c r="F275" s="2197" t="s">
        <v>16561</v>
      </c>
      <c r="G275" s="2198" t="s">
        <v>3259</v>
      </c>
      <c r="H275" s="2197" t="s">
        <v>17082</v>
      </c>
      <c r="I275" s="2199" t="s">
        <v>1005</v>
      </c>
      <c r="J275" s="2196">
        <v>69</v>
      </c>
    </row>
    <row r="276" spans="2:10" ht="13.5" thickBot="1" x14ac:dyDescent="0.25">
      <c r="B276" s="392" t="str">
        <f t="shared" si="8"/>
        <v>Open - DETTRE Steve</v>
      </c>
      <c r="C276" s="1441" t="str">
        <f t="shared" si="9"/>
        <v>DETTRE Steve</v>
      </c>
      <c r="D276" s="1428" t="s">
        <v>889</v>
      </c>
      <c r="E276" s="1429">
        <v>270</v>
      </c>
      <c r="F276" s="2197" t="s">
        <v>7271</v>
      </c>
      <c r="G276" s="2198" t="s">
        <v>3088</v>
      </c>
      <c r="H276" s="2197" t="s">
        <v>9593</v>
      </c>
      <c r="I276" s="2199" t="s">
        <v>986</v>
      </c>
      <c r="J276" s="2196">
        <v>68</v>
      </c>
    </row>
    <row r="277" spans="2:10" ht="13.5" thickBot="1" x14ac:dyDescent="0.25">
      <c r="B277" s="392" t="str">
        <f t="shared" si="8"/>
        <v>Open - YOSHIDA Hideki</v>
      </c>
      <c r="C277" s="1441" t="str">
        <f t="shared" si="9"/>
        <v>YOSHIDA Hideki</v>
      </c>
      <c r="D277" s="1428" t="s">
        <v>889</v>
      </c>
      <c r="E277" s="1429">
        <v>270</v>
      </c>
      <c r="F277" s="2197" t="s">
        <v>16639</v>
      </c>
      <c r="G277" s="2198" t="s">
        <v>14726</v>
      </c>
      <c r="H277" s="2197" t="s">
        <v>5508</v>
      </c>
      <c r="I277" s="2199" t="s">
        <v>1041</v>
      </c>
      <c r="J277" s="2196">
        <v>68</v>
      </c>
    </row>
    <row r="278" spans="2:10" ht="13.5" thickBot="1" x14ac:dyDescent="0.25">
      <c r="B278" s="392" t="str">
        <f t="shared" si="8"/>
        <v>Open - BENITA Rubén</v>
      </c>
      <c r="C278" s="1441" t="str">
        <f t="shared" si="9"/>
        <v>BENITA Rubén</v>
      </c>
      <c r="D278" s="1428" t="s">
        <v>889</v>
      </c>
      <c r="E278" s="1429">
        <v>270</v>
      </c>
      <c r="F278" s="2197" t="s">
        <v>14166</v>
      </c>
      <c r="G278" s="2198" t="s">
        <v>9409</v>
      </c>
      <c r="H278" s="2197" t="s">
        <v>7869</v>
      </c>
      <c r="I278" s="2199" t="s">
        <v>1015</v>
      </c>
      <c r="J278" s="2196">
        <v>68</v>
      </c>
    </row>
    <row r="279" spans="2:10" ht="13.5" thickBot="1" x14ac:dyDescent="0.25">
      <c r="B279" s="392" t="str">
        <f t="shared" si="8"/>
        <v>Open - LÓPEZ Luis</v>
      </c>
      <c r="C279" s="1441" t="str">
        <f t="shared" si="9"/>
        <v>LÓPEZ Luis</v>
      </c>
      <c r="D279" s="1428" t="s">
        <v>889</v>
      </c>
      <c r="E279" s="1429">
        <v>270</v>
      </c>
      <c r="F279" s="2197" t="s">
        <v>7278</v>
      </c>
      <c r="G279" s="2198" t="s">
        <v>3683</v>
      </c>
      <c r="H279" s="2197" t="s">
        <v>2755</v>
      </c>
      <c r="I279" s="2199" t="s">
        <v>1015</v>
      </c>
      <c r="J279" s="2196">
        <v>68</v>
      </c>
    </row>
    <row r="280" spans="2:10" ht="13.5" thickBot="1" x14ac:dyDescent="0.25">
      <c r="B280" s="392" t="str">
        <f t="shared" si="8"/>
        <v>Open - GIAUX Louison</v>
      </c>
      <c r="C280" s="1441" t="str">
        <f t="shared" si="9"/>
        <v>GIAUX Louison</v>
      </c>
      <c r="D280" s="1428" t="s">
        <v>889</v>
      </c>
      <c r="E280" s="1429">
        <v>270</v>
      </c>
      <c r="F280" s="2197" t="s">
        <v>14121</v>
      </c>
      <c r="G280" s="2198" t="s">
        <v>17673</v>
      </c>
      <c r="H280" s="2197" t="s">
        <v>2893</v>
      </c>
      <c r="I280" s="2199" t="s">
        <v>990</v>
      </c>
      <c r="J280" s="2196">
        <v>68</v>
      </c>
    </row>
    <row r="281" spans="2:10" ht="13.5" thickBot="1" x14ac:dyDescent="0.25">
      <c r="B281" s="392" t="str">
        <f t="shared" si="8"/>
        <v>Open - COCO Fabrizio</v>
      </c>
      <c r="C281" s="1441" t="str">
        <f t="shared" si="9"/>
        <v>COCO Fabrizio</v>
      </c>
      <c r="D281" s="1428" t="s">
        <v>889</v>
      </c>
      <c r="E281" s="1429">
        <v>270</v>
      </c>
      <c r="F281" s="2197" t="s">
        <v>8720</v>
      </c>
      <c r="G281" s="2198" t="s">
        <v>3087</v>
      </c>
      <c r="H281" s="2197" t="s">
        <v>9595</v>
      </c>
      <c r="I281" s="2199" t="s">
        <v>986</v>
      </c>
      <c r="J281" s="2196">
        <v>68</v>
      </c>
    </row>
    <row r="282" spans="2:10" ht="13.5" thickBot="1" x14ac:dyDescent="0.25">
      <c r="B282" s="392" t="str">
        <f t="shared" si="8"/>
        <v>Open - HINKELMANN Erich</v>
      </c>
      <c r="C282" s="1441" t="str">
        <f t="shared" si="9"/>
        <v>HINKELMANN Erich</v>
      </c>
      <c r="D282" s="1428" t="s">
        <v>889</v>
      </c>
      <c r="E282" s="1429">
        <v>270</v>
      </c>
      <c r="F282" s="2197" t="s">
        <v>3139</v>
      </c>
      <c r="G282" s="2198" t="s">
        <v>3140</v>
      </c>
      <c r="H282" s="2197" t="s">
        <v>8871</v>
      </c>
      <c r="I282" s="2199" t="s">
        <v>988</v>
      </c>
      <c r="J282" s="2196">
        <v>68</v>
      </c>
    </row>
    <row r="283" spans="2:10" ht="13.5" thickBot="1" x14ac:dyDescent="0.25">
      <c r="B283" s="392" t="str">
        <f t="shared" si="8"/>
        <v>Open - LAFONTAINE Romain</v>
      </c>
      <c r="C283" s="1441" t="str">
        <f t="shared" si="9"/>
        <v>LAFONTAINE Romain</v>
      </c>
      <c r="D283" s="1428" t="s">
        <v>889</v>
      </c>
      <c r="E283" s="1429">
        <v>277</v>
      </c>
      <c r="F283" s="2197" t="s">
        <v>11427</v>
      </c>
      <c r="G283" s="2198" t="s">
        <v>3242</v>
      </c>
      <c r="H283" s="2197" t="s">
        <v>2893</v>
      </c>
      <c r="I283" s="2199" t="s">
        <v>1019</v>
      </c>
      <c r="J283" s="2196">
        <v>67.5</v>
      </c>
    </row>
    <row r="284" spans="2:10" ht="13.5" thickBot="1" x14ac:dyDescent="0.25">
      <c r="B284" s="392" t="str">
        <f t="shared" si="8"/>
        <v>Open - DEAN Patrick</v>
      </c>
      <c r="C284" s="1441" t="str">
        <f t="shared" si="9"/>
        <v>DEAN Patrick</v>
      </c>
      <c r="D284" s="1428" t="s">
        <v>889</v>
      </c>
      <c r="E284" s="1429">
        <v>277</v>
      </c>
      <c r="F284" s="2197" t="s">
        <v>5542</v>
      </c>
      <c r="G284" s="2198" t="s">
        <v>3271</v>
      </c>
      <c r="H284" s="2197" t="s">
        <v>9448</v>
      </c>
      <c r="I284" s="2199" t="s">
        <v>1023</v>
      </c>
      <c r="J284" s="2196">
        <v>67.5</v>
      </c>
    </row>
    <row r="285" spans="2:10" ht="13.5" thickBot="1" x14ac:dyDescent="0.25">
      <c r="B285" s="392" t="str">
        <f t="shared" si="8"/>
        <v>Open - CHRISTOPHER Jason</v>
      </c>
      <c r="C285" s="1441" t="str">
        <f t="shared" si="9"/>
        <v>CHRISTOPHER Jason</v>
      </c>
      <c r="D285" s="1428" t="s">
        <v>889</v>
      </c>
      <c r="E285" s="1429">
        <v>277</v>
      </c>
      <c r="F285" s="2197" t="s">
        <v>11536</v>
      </c>
      <c r="G285" s="2198" t="s">
        <v>3297</v>
      </c>
      <c r="H285" s="2197" t="s">
        <v>14399</v>
      </c>
      <c r="I285" s="2199" t="s">
        <v>1013</v>
      </c>
      <c r="J285" s="2196">
        <v>67.5</v>
      </c>
    </row>
    <row r="286" spans="2:10" ht="13.5" thickBot="1" x14ac:dyDescent="0.25">
      <c r="B286" s="392" t="str">
        <f t="shared" si="8"/>
        <v>Open - NASKOS Nikolaos</v>
      </c>
      <c r="C286" s="1441" t="str">
        <f t="shared" si="9"/>
        <v>NASKOS Nikolaos</v>
      </c>
      <c r="D286" s="1428" t="s">
        <v>889</v>
      </c>
      <c r="E286" s="1429">
        <v>280</v>
      </c>
      <c r="F286" s="2197" t="s">
        <v>14894</v>
      </c>
      <c r="G286" s="2198" t="s">
        <v>5554</v>
      </c>
      <c r="H286" s="2197" t="s">
        <v>10251</v>
      </c>
      <c r="I286" s="2199" t="s">
        <v>1025</v>
      </c>
      <c r="J286" s="2196">
        <v>67</v>
      </c>
    </row>
    <row r="287" spans="2:10" ht="13.5" thickBot="1" x14ac:dyDescent="0.25">
      <c r="B287" s="392" t="str">
        <f t="shared" si="8"/>
        <v>Open - FERRANTE Mattia</v>
      </c>
      <c r="C287" s="1441" t="str">
        <f t="shared" si="9"/>
        <v>FERRANTE Mattia</v>
      </c>
      <c r="D287" s="1428" t="s">
        <v>889</v>
      </c>
      <c r="E287" s="1429">
        <v>280</v>
      </c>
      <c r="F287" s="2197" t="s">
        <v>3223</v>
      </c>
      <c r="G287" s="2198" t="s">
        <v>3228</v>
      </c>
      <c r="H287" s="2197" t="s">
        <v>15537</v>
      </c>
      <c r="I287" s="2199" t="s">
        <v>1037</v>
      </c>
      <c r="J287" s="2196">
        <v>67</v>
      </c>
    </row>
    <row r="288" spans="2:10" ht="13.5" thickBot="1" x14ac:dyDescent="0.25">
      <c r="B288" s="392" t="str">
        <f t="shared" si="8"/>
        <v>Open - CLARK Darren</v>
      </c>
      <c r="C288" s="1441" t="str">
        <f t="shared" si="9"/>
        <v>CLARK Darren</v>
      </c>
      <c r="D288" s="1428" t="s">
        <v>889</v>
      </c>
      <c r="E288" s="1429">
        <v>280</v>
      </c>
      <c r="F288" s="2197" t="s">
        <v>14162</v>
      </c>
      <c r="G288" s="2198" t="s">
        <v>3150</v>
      </c>
      <c r="H288" s="2197" t="s">
        <v>7183</v>
      </c>
      <c r="I288" s="2199" t="s">
        <v>1013</v>
      </c>
      <c r="J288" s="2196">
        <v>67</v>
      </c>
    </row>
    <row r="289" spans="2:10" ht="13.5" thickBot="1" x14ac:dyDescent="0.25">
      <c r="B289" s="392" t="str">
        <f t="shared" si="8"/>
        <v>Open - EDER Heinz</v>
      </c>
      <c r="C289" s="1441" t="str">
        <f t="shared" si="9"/>
        <v>EDER Heinz</v>
      </c>
      <c r="D289" s="1428" t="s">
        <v>889</v>
      </c>
      <c r="E289" s="1429">
        <v>283</v>
      </c>
      <c r="F289" s="2197" t="s">
        <v>3102</v>
      </c>
      <c r="G289" s="2198" t="s">
        <v>3103</v>
      </c>
      <c r="H289" s="2197" t="s">
        <v>2748</v>
      </c>
      <c r="I289" s="2199" t="s">
        <v>988</v>
      </c>
      <c r="J289" s="2196">
        <v>66.5</v>
      </c>
    </row>
    <row r="290" spans="2:10" ht="13.5" thickBot="1" x14ac:dyDescent="0.25">
      <c r="B290" s="392" t="str">
        <f t="shared" si="8"/>
        <v>Open - BORG BONACI Joseph</v>
      </c>
      <c r="C290" s="1441" t="str">
        <f t="shared" si="9"/>
        <v>BORG BONACI Joseph</v>
      </c>
      <c r="D290" s="1428" t="s">
        <v>889</v>
      </c>
      <c r="E290" s="1429">
        <v>284</v>
      </c>
      <c r="F290" s="2197" t="s">
        <v>14126</v>
      </c>
      <c r="G290" s="2198" t="s">
        <v>3045</v>
      </c>
      <c r="H290" s="2197" t="s">
        <v>10247</v>
      </c>
      <c r="I290" s="2199" t="s">
        <v>1045</v>
      </c>
      <c r="J290" s="2196">
        <v>66</v>
      </c>
    </row>
    <row r="291" spans="2:10" ht="13.5" thickBot="1" x14ac:dyDescent="0.25">
      <c r="B291" s="392" t="str">
        <f t="shared" si="8"/>
        <v>Open - ELMER Adrian</v>
      </c>
      <c r="C291" s="1441" t="str">
        <f t="shared" si="9"/>
        <v>ELMER Adrian</v>
      </c>
      <c r="D291" s="1428" t="s">
        <v>889</v>
      </c>
      <c r="E291" s="1429">
        <v>284</v>
      </c>
      <c r="F291" s="2197" t="s">
        <v>14224</v>
      </c>
      <c r="G291" s="2198" t="s">
        <v>3356</v>
      </c>
      <c r="H291" s="2197" t="s">
        <v>17660</v>
      </c>
      <c r="I291" s="2199" t="s">
        <v>986</v>
      </c>
      <c r="J291" s="2196">
        <v>66</v>
      </c>
    </row>
    <row r="292" spans="2:10" ht="13.5" thickBot="1" x14ac:dyDescent="0.25">
      <c r="B292" s="392" t="str">
        <f t="shared" si="8"/>
        <v>Open - PONTÉ Thomas</v>
      </c>
      <c r="C292" s="1441" t="str">
        <f t="shared" si="9"/>
        <v>PONTÉ Thomas</v>
      </c>
      <c r="D292" s="1428" t="s">
        <v>889</v>
      </c>
      <c r="E292" s="1429">
        <v>286</v>
      </c>
      <c r="F292" s="2197" t="s">
        <v>11423</v>
      </c>
      <c r="G292" s="2198" t="s">
        <v>3124</v>
      </c>
      <c r="H292" s="2197" t="s">
        <v>2796</v>
      </c>
      <c r="I292" s="2199" t="s">
        <v>14827</v>
      </c>
      <c r="J292" s="2196">
        <v>65.5</v>
      </c>
    </row>
    <row r="293" spans="2:10" ht="13.5" thickBot="1" x14ac:dyDescent="0.25">
      <c r="B293" s="392" t="str">
        <f t="shared" si="8"/>
        <v>Open - BALESTRIERI Massimo</v>
      </c>
      <c r="C293" s="1441" t="str">
        <f t="shared" si="9"/>
        <v>BALESTRIERI Massimo</v>
      </c>
      <c r="D293" s="1428" t="s">
        <v>889</v>
      </c>
      <c r="E293" s="1429">
        <v>287</v>
      </c>
      <c r="F293" s="2197" t="s">
        <v>13499</v>
      </c>
      <c r="G293" s="2198" t="s">
        <v>3013</v>
      </c>
      <c r="H293" s="2197" t="s">
        <v>17179</v>
      </c>
      <c r="I293" s="2199" t="s">
        <v>1037</v>
      </c>
      <c r="J293" s="2196">
        <v>65</v>
      </c>
    </row>
    <row r="294" spans="2:10" ht="13.5" thickBot="1" x14ac:dyDescent="0.25">
      <c r="B294" s="392" t="str">
        <f t="shared" si="8"/>
        <v>Open - DENNE Noah</v>
      </c>
      <c r="C294" s="1441" t="str">
        <f t="shared" si="9"/>
        <v>DENNE Noah</v>
      </c>
      <c r="D294" s="1428" t="s">
        <v>889</v>
      </c>
      <c r="E294" s="1429">
        <v>288</v>
      </c>
      <c r="F294" s="2197" t="s">
        <v>14222</v>
      </c>
      <c r="G294" s="2198" t="s">
        <v>7329</v>
      </c>
      <c r="H294" s="2197" t="s">
        <v>5301</v>
      </c>
      <c r="I294" s="2199" t="s">
        <v>990</v>
      </c>
      <c r="J294" s="2196">
        <v>64.5</v>
      </c>
    </row>
    <row r="295" spans="2:10" ht="13.5" thickBot="1" x14ac:dyDescent="0.25">
      <c r="B295" s="392" t="str">
        <f t="shared" si="8"/>
        <v>Open - KORDATOS Konstantinos</v>
      </c>
      <c r="C295" s="1441" t="str">
        <f t="shared" si="9"/>
        <v>KORDATOS Konstantinos</v>
      </c>
      <c r="D295" s="1428" t="s">
        <v>889</v>
      </c>
      <c r="E295" s="1429">
        <v>288</v>
      </c>
      <c r="F295" s="2197" t="s">
        <v>3464</v>
      </c>
      <c r="G295" s="2198" t="s">
        <v>6986</v>
      </c>
      <c r="H295" s="2197" t="s">
        <v>10246</v>
      </c>
      <c r="I295" s="2199" t="s">
        <v>1025</v>
      </c>
      <c r="J295" s="2196">
        <v>64.5</v>
      </c>
    </row>
    <row r="296" spans="2:10" ht="13.5" thickBot="1" x14ac:dyDescent="0.25">
      <c r="B296" s="392" t="str">
        <f t="shared" si="8"/>
        <v>Open - EDESON Richard</v>
      </c>
      <c r="C296" s="1441" t="str">
        <f t="shared" si="9"/>
        <v>EDESON Richard</v>
      </c>
      <c r="D296" s="1428" t="s">
        <v>889</v>
      </c>
      <c r="E296" s="1429">
        <v>290</v>
      </c>
      <c r="F296" s="2197" t="s">
        <v>14921</v>
      </c>
      <c r="G296" s="2198" t="s">
        <v>3219</v>
      </c>
      <c r="H296" s="2197" t="s">
        <v>15379</v>
      </c>
      <c r="I296" s="2199" t="s">
        <v>14471</v>
      </c>
      <c r="J296" s="2196">
        <v>64</v>
      </c>
    </row>
    <row r="297" spans="2:10" ht="13.5" thickBot="1" x14ac:dyDescent="0.25">
      <c r="B297" s="392" t="str">
        <f t="shared" si="8"/>
        <v>Open - BONNICI Alfred</v>
      </c>
      <c r="C297" s="1441" t="str">
        <f t="shared" si="9"/>
        <v>BONNICI Alfred</v>
      </c>
      <c r="D297" s="1428" t="s">
        <v>889</v>
      </c>
      <c r="E297" s="1429">
        <v>290</v>
      </c>
      <c r="F297" s="2197" t="s">
        <v>3355</v>
      </c>
      <c r="G297" s="2198" t="s">
        <v>3511</v>
      </c>
      <c r="H297" s="2197" t="s">
        <v>5317</v>
      </c>
      <c r="I297" s="2199" t="s">
        <v>1045</v>
      </c>
      <c r="J297" s="2196">
        <v>64</v>
      </c>
    </row>
    <row r="298" spans="2:10" ht="13.5" thickBot="1" x14ac:dyDescent="0.25">
      <c r="B298" s="392" t="str">
        <f t="shared" si="8"/>
        <v>Open - CRASSET Mathieu</v>
      </c>
      <c r="C298" s="1441" t="str">
        <f t="shared" si="9"/>
        <v>CRASSET Mathieu</v>
      </c>
      <c r="D298" s="1428" t="s">
        <v>889</v>
      </c>
      <c r="E298" s="1429">
        <v>290</v>
      </c>
      <c r="F298" s="2197" t="s">
        <v>14903</v>
      </c>
      <c r="G298" s="2198" t="s">
        <v>13656</v>
      </c>
      <c r="H298" s="2197" t="s">
        <v>7867</v>
      </c>
      <c r="I298" s="2199" t="s">
        <v>990</v>
      </c>
      <c r="J298" s="2196">
        <v>64</v>
      </c>
    </row>
    <row r="299" spans="2:10" ht="13.5" thickBot="1" x14ac:dyDescent="0.25">
      <c r="B299" s="392" t="str">
        <f t="shared" si="8"/>
        <v>Open - GORGETTE Emmanuel</v>
      </c>
      <c r="C299" s="1441" t="str">
        <f t="shared" si="9"/>
        <v>GORGETTE Emmanuel</v>
      </c>
      <c r="D299" s="1428" t="s">
        <v>889</v>
      </c>
      <c r="E299" s="1429">
        <v>293</v>
      </c>
      <c r="F299" s="2197" t="s">
        <v>3391</v>
      </c>
      <c r="G299" s="2198" t="s">
        <v>3392</v>
      </c>
      <c r="H299" s="2197" t="s">
        <v>2754</v>
      </c>
      <c r="I299" s="2199" t="s">
        <v>1019</v>
      </c>
      <c r="J299" s="2196">
        <v>63.5</v>
      </c>
    </row>
    <row r="300" spans="2:10" ht="13.5" thickBot="1" x14ac:dyDescent="0.25">
      <c r="B300" s="392" t="str">
        <f t="shared" si="8"/>
        <v>Open - VAN DIJK Rinaldo</v>
      </c>
      <c r="C300" s="1441" t="str">
        <f t="shared" si="9"/>
        <v>VAN DIJK Rinaldo</v>
      </c>
      <c r="D300" s="1428" t="s">
        <v>889</v>
      </c>
      <c r="E300" s="1429">
        <v>294</v>
      </c>
      <c r="F300" s="2197" t="s">
        <v>14160</v>
      </c>
      <c r="G300" s="2198" t="s">
        <v>3680</v>
      </c>
      <c r="H300" s="2197" t="s">
        <v>2763</v>
      </c>
      <c r="I300" s="2199" t="s">
        <v>1051</v>
      </c>
      <c r="J300" s="2196">
        <v>63</v>
      </c>
    </row>
    <row r="301" spans="2:10" ht="13.5" thickBot="1" x14ac:dyDescent="0.25">
      <c r="B301" s="392" t="str">
        <f t="shared" si="8"/>
        <v>Open - URBANIAK Nathan</v>
      </c>
      <c r="C301" s="1441" t="str">
        <f t="shared" si="9"/>
        <v>URBANIAK Nathan</v>
      </c>
      <c r="D301" s="1428" t="s">
        <v>889</v>
      </c>
      <c r="E301" s="1429">
        <v>294</v>
      </c>
      <c r="F301" s="2197" t="s">
        <v>14176</v>
      </c>
      <c r="G301" s="2198" t="s">
        <v>3183</v>
      </c>
      <c r="H301" s="2197" t="s">
        <v>9594</v>
      </c>
      <c r="I301" s="2199" t="s">
        <v>986</v>
      </c>
      <c r="J301" s="2196">
        <v>63</v>
      </c>
    </row>
    <row r="302" spans="2:10" ht="13.5" thickBot="1" x14ac:dyDescent="0.25">
      <c r="B302" s="392" t="str">
        <f t="shared" si="8"/>
        <v>Open - OFFMANN Paul</v>
      </c>
      <c r="C302" s="1441" t="str">
        <f t="shared" si="9"/>
        <v>OFFMANN Paul</v>
      </c>
      <c r="D302" s="1428" t="s">
        <v>889</v>
      </c>
      <c r="E302" s="1429">
        <v>294</v>
      </c>
      <c r="F302" s="2197" t="s">
        <v>14896</v>
      </c>
      <c r="G302" s="2198" t="s">
        <v>3259</v>
      </c>
      <c r="H302" s="2197" t="s">
        <v>17082</v>
      </c>
      <c r="I302" s="2199" t="s">
        <v>1019</v>
      </c>
      <c r="J302" s="2196">
        <v>63</v>
      </c>
    </row>
    <row r="303" spans="2:10" ht="13.5" thickBot="1" x14ac:dyDescent="0.25">
      <c r="B303" s="392" t="str">
        <f t="shared" si="8"/>
        <v>Open - LAVRAKIS Panagiotis</v>
      </c>
      <c r="C303" s="1441" t="str">
        <f t="shared" si="9"/>
        <v>LAVRAKIS Panagiotis</v>
      </c>
      <c r="D303" s="1428" t="s">
        <v>889</v>
      </c>
      <c r="E303" s="1429">
        <v>294</v>
      </c>
      <c r="F303" s="2197" t="s">
        <v>14189</v>
      </c>
      <c r="G303" s="2198" t="s">
        <v>3249</v>
      </c>
      <c r="H303" s="2197" t="s">
        <v>9449</v>
      </c>
      <c r="I303" s="2199" t="s">
        <v>1025</v>
      </c>
      <c r="J303" s="2196">
        <v>63</v>
      </c>
    </row>
    <row r="304" spans="2:10" ht="13.5" thickBot="1" x14ac:dyDescent="0.25">
      <c r="B304" s="392" t="str">
        <f t="shared" si="8"/>
        <v>Open - ASHLEY Brendan</v>
      </c>
      <c r="C304" s="1441" t="str">
        <f t="shared" si="9"/>
        <v>ASHLEY Brendan</v>
      </c>
      <c r="D304" s="1428" t="s">
        <v>889</v>
      </c>
      <c r="E304" s="1429">
        <v>294</v>
      </c>
      <c r="F304" s="2197" t="s">
        <v>14227</v>
      </c>
      <c r="G304" s="2198" t="s">
        <v>8300</v>
      </c>
      <c r="H304" s="2197" t="s">
        <v>2752</v>
      </c>
      <c r="I304" s="2199" t="s">
        <v>1083</v>
      </c>
      <c r="J304" s="2196">
        <v>63</v>
      </c>
    </row>
    <row r="305" spans="2:10" ht="13.5" thickBot="1" x14ac:dyDescent="0.25">
      <c r="B305" s="392" t="str">
        <f t="shared" si="8"/>
        <v>Open - KOUTIS Georgios</v>
      </c>
      <c r="C305" s="1441" t="str">
        <f t="shared" si="9"/>
        <v>KOUTIS Georgios</v>
      </c>
      <c r="D305" s="1428" t="s">
        <v>889</v>
      </c>
      <c r="E305" s="1429">
        <v>294</v>
      </c>
      <c r="F305" s="2197" t="s">
        <v>3039</v>
      </c>
      <c r="G305" s="2198" t="s">
        <v>3324</v>
      </c>
      <c r="H305" s="2197" t="s">
        <v>3041</v>
      </c>
      <c r="I305" s="2199" t="s">
        <v>1025</v>
      </c>
      <c r="J305" s="2196">
        <v>63</v>
      </c>
    </row>
    <row r="306" spans="2:10" ht="13.5" thickBot="1" x14ac:dyDescent="0.25">
      <c r="B306" s="392" t="str">
        <f t="shared" si="8"/>
        <v>Open - LINQUERCQ-RIVIÈRE Irène</v>
      </c>
      <c r="C306" s="1441" t="str">
        <f t="shared" si="9"/>
        <v>LINQUERCQ-RIVIÈRE Irène</v>
      </c>
      <c r="D306" s="1428" t="s">
        <v>889</v>
      </c>
      <c r="E306" s="1429">
        <v>300</v>
      </c>
      <c r="F306" s="2197" t="s">
        <v>14889</v>
      </c>
      <c r="G306" s="2198" t="s">
        <v>8807</v>
      </c>
      <c r="H306" s="2197" t="s">
        <v>2754</v>
      </c>
      <c r="I306" s="2199" t="s">
        <v>1019</v>
      </c>
      <c r="J306" s="2196">
        <v>62.5</v>
      </c>
    </row>
    <row r="307" spans="2:10" ht="13.5" thickBot="1" x14ac:dyDescent="0.25">
      <c r="B307" s="392" t="str">
        <f t="shared" si="8"/>
        <v>Open - SALAMOURIS Ioannis</v>
      </c>
      <c r="C307" s="1441" t="str">
        <f t="shared" si="9"/>
        <v>SALAMOURIS Ioannis</v>
      </c>
      <c r="D307" s="1428" t="s">
        <v>889</v>
      </c>
      <c r="E307" s="1429">
        <v>301</v>
      </c>
      <c r="F307" s="2197" t="s">
        <v>11341</v>
      </c>
      <c r="G307" s="2198" t="s">
        <v>3350</v>
      </c>
      <c r="H307" s="2197" t="s">
        <v>3041</v>
      </c>
      <c r="I307" s="2199" t="s">
        <v>1025</v>
      </c>
      <c r="J307" s="2196">
        <v>62</v>
      </c>
    </row>
    <row r="308" spans="2:10" ht="13.5" thickBot="1" x14ac:dyDescent="0.25">
      <c r="B308" s="392" t="str">
        <f t="shared" si="8"/>
        <v>Open - GASPARETTO Dino</v>
      </c>
      <c r="C308" s="1441" t="str">
        <f t="shared" si="9"/>
        <v>GASPARETTO Dino</v>
      </c>
      <c r="D308" s="1428" t="s">
        <v>889</v>
      </c>
      <c r="E308" s="1429">
        <v>302</v>
      </c>
      <c r="F308" s="2197" t="s">
        <v>11339</v>
      </c>
      <c r="G308" s="2198" t="s">
        <v>3713</v>
      </c>
      <c r="H308" s="2197" t="s">
        <v>7873</v>
      </c>
      <c r="I308" s="2199" t="s">
        <v>1037</v>
      </c>
      <c r="J308" s="2196">
        <v>61.5</v>
      </c>
    </row>
    <row r="309" spans="2:10" ht="13.5" thickBot="1" x14ac:dyDescent="0.25">
      <c r="B309" s="392" t="str">
        <f t="shared" si="8"/>
        <v>Open - KADINOPOULOS Grigorios</v>
      </c>
      <c r="C309" s="1441" t="str">
        <f t="shared" si="9"/>
        <v>KADINOPOULOS Grigorios</v>
      </c>
      <c r="D309" s="1428" t="s">
        <v>889</v>
      </c>
      <c r="E309" s="1429">
        <v>302</v>
      </c>
      <c r="F309" s="2197" t="s">
        <v>5532</v>
      </c>
      <c r="G309" s="2198" t="s">
        <v>8270</v>
      </c>
      <c r="H309" s="2197" t="s">
        <v>9449</v>
      </c>
      <c r="I309" s="2199" t="s">
        <v>1025</v>
      </c>
      <c r="J309" s="2196">
        <v>61.5</v>
      </c>
    </row>
    <row r="310" spans="2:10" ht="13.5" thickBot="1" x14ac:dyDescent="0.25">
      <c r="B310" s="392" t="str">
        <f t="shared" si="8"/>
        <v>Open - TOKITA Takafumi</v>
      </c>
      <c r="C310" s="1441" t="str">
        <f t="shared" si="9"/>
        <v>TOKITA Takafumi</v>
      </c>
      <c r="D310" s="1428" t="s">
        <v>889</v>
      </c>
      <c r="E310" s="1429">
        <v>304</v>
      </c>
      <c r="F310" s="2197" t="s">
        <v>8733</v>
      </c>
      <c r="G310" s="2198" t="s">
        <v>7009</v>
      </c>
      <c r="H310" s="2197" t="s">
        <v>10276</v>
      </c>
      <c r="I310" s="2199" t="s">
        <v>1041</v>
      </c>
      <c r="J310" s="2196">
        <v>61</v>
      </c>
    </row>
    <row r="311" spans="2:10" ht="13.5" thickBot="1" x14ac:dyDescent="0.25">
      <c r="B311" s="392" t="str">
        <f t="shared" si="8"/>
        <v>Open - AFONSO Gil</v>
      </c>
      <c r="C311" s="1441" t="str">
        <f t="shared" si="9"/>
        <v>AFONSO Gil</v>
      </c>
      <c r="D311" s="1428" t="s">
        <v>889</v>
      </c>
      <c r="E311" s="1429">
        <v>304</v>
      </c>
      <c r="F311" s="2197" t="s">
        <v>14298</v>
      </c>
      <c r="G311" s="2198" t="s">
        <v>3383</v>
      </c>
      <c r="H311" s="2197" t="s">
        <v>5314</v>
      </c>
      <c r="I311" s="2199" t="s">
        <v>1061</v>
      </c>
      <c r="J311" s="2196">
        <v>61</v>
      </c>
    </row>
    <row r="312" spans="2:10" ht="13.5" thickBot="1" x14ac:dyDescent="0.25">
      <c r="B312" s="392" t="str">
        <f t="shared" si="8"/>
        <v>Open - CUENCA Jean Michel</v>
      </c>
      <c r="C312" s="1441" t="str">
        <f t="shared" si="9"/>
        <v>CUENCA Jean Michel</v>
      </c>
      <c r="D312" s="1428" t="s">
        <v>889</v>
      </c>
      <c r="E312" s="1429">
        <v>304</v>
      </c>
      <c r="F312" s="2197" t="s">
        <v>16747</v>
      </c>
      <c r="G312" s="2198" t="s">
        <v>14459</v>
      </c>
      <c r="H312" s="2197" t="s">
        <v>2755</v>
      </c>
      <c r="I312" s="2199" t="s">
        <v>1015</v>
      </c>
      <c r="J312" s="2196">
        <v>61</v>
      </c>
    </row>
    <row r="313" spans="2:10" ht="13.5" thickBot="1" x14ac:dyDescent="0.25">
      <c r="B313" s="392" t="str">
        <f t="shared" si="8"/>
        <v>Open - ZAMBELLO Paolo</v>
      </c>
      <c r="C313" s="1441" t="str">
        <f t="shared" si="9"/>
        <v>ZAMBELLO Paolo</v>
      </c>
      <c r="D313" s="1428" t="s">
        <v>889</v>
      </c>
      <c r="E313" s="1429">
        <v>307</v>
      </c>
      <c r="F313" s="2197" t="s">
        <v>3661</v>
      </c>
      <c r="G313" s="2198" t="s">
        <v>3119</v>
      </c>
      <c r="H313" s="2197" t="s">
        <v>11467</v>
      </c>
      <c r="I313" s="2199" t="s">
        <v>1037</v>
      </c>
      <c r="J313" s="2196">
        <v>60</v>
      </c>
    </row>
    <row r="314" spans="2:10" ht="13.5" thickBot="1" x14ac:dyDescent="0.25">
      <c r="B314" s="392" t="str">
        <f t="shared" si="8"/>
        <v>Open - COLPANI Claudio</v>
      </c>
      <c r="C314" s="1441" t="str">
        <f t="shared" si="9"/>
        <v>COLPANI Claudio</v>
      </c>
      <c r="D314" s="1428" t="s">
        <v>889</v>
      </c>
      <c r="E314" s="1429">
        <v>307</v>
      </c>
      <c r="F314" s="2197" t="s">
        <v>16844</v>
      </c>
      <c r="G314" s="2198" t="s">
        <v>3038</v>
      </c>
      <c r="H314" s="2197" t="s">
        <v>9822</v>
      </c>
      <c r="I314" s="2199" t="s">
        <v>1037</v>
      </c>
      <c r="J314" s="2196">
        <v>60</v>
      </c>
    </row>
    <row r="315" spans="2:10" ht="13.5" thickBot="1" x14ac:dyDescent="0.25">
      <c r="B315" s="392" t="str">
        <f t="shared" si="8"/>
        <v>Open - BRACH Christophe</v>
      </c>
      <c r="C315" s="1441" t="str">
        <f t="shared" si="9"/>
        <v>BRACH Christophe</v>
      </c>
      <c r="D315" s="1428" t="s">
        <v>889</v>
      </c>
      <c r="E315" s="1429">
        <v>307</v>
      </c>
      <c r="F315" s="2197" t="s">
        <v>17610</v>
      </c>
      <c r="G315" s="2198" t="s">
        <v>3012</v>
      </c>
      <c r="H315" s="2197" t="s">
        <v>2746</v>
      </c>
      <c r="I315" s="2199" t="s">
        <v>990</v>
      </c>
      <c r="J315" s="2196">
        <v>60</v>
      </c>
    </row>
    <row r="316" spans="2:10" ht="13.5" thickBot="1" x14ac:dyDescent="0.25">
      <c r="B316" s="392" t="str">
        <f t="shared" si="8"/>
        <v>Open - KOROLOGOS Sotiris</v>
      </c>
      <c r="C316" s="1441" t="str">
        <f t="shared" si="9"/>
        <v>KOROLOGOS Sotiris</v>
      </c>
      <c r="D316" s="1428" t="s">
        <v>889</v>
      </c>
      <c r="E316" s="1429">
        <v>310</v>
      </c>
      <c r="F316" s="2197" t="s">
        <v>5559</v>
      </c>
      <c r="G316" s="2198" t="s">
        <v>5560</v>
      </c>
      <c r="H316" s="2197" t="s">
        <v>9449</v>
      </c>
      <c r="I316" s="2199" t="s">
        <v>1025</v>
      </c>
      <c r="J316" s="2196">
        <v>59</v>
      </c>
    </row>
    <row r="317" spans="2:10" ht="13.5" thickBot="1" x14ac:dyDescent="0.25">
      <c r="B317" s="392" t="str">
        <f t="shared" si="8"/>
        <v>Open - ROUIS Abdelmaneum</v>
      </c>
      <c r="C317" s="1441" t="str">
        <f t="shared" si="9"/>
        <v>ROUIS Abdelmaneum</v>
      </c>
      <c r="D317" s="1428" t="s">
        <v>889</v>
      </c>
      <c r="E317" s="1429">
        <v>310</v>
      </c>
      <c r="F317" s="2197" t="s">
        <v>11428</v>
      </c>
      <c r="G317" s="2198" t="s">
        <v>14824</v>
      </c>
      <c r="H317" s="2197" t="s">
        <v>2893</v>
      </c>
      <c r="I317" s="2199" t="s">
        <v>1019</v>
      </c>
      <c r="J317" s="2196">
        <v>59</v>
      </c>
    </row>
    <row r="318" spans="2:10" ht="13.5" thickBot="1" x14ac:dyDescent="0.25">
      <c r="B318" s="392" t="str">
        <f t="shared" si="8"/>
        <v>Open - FRICANO Christian</v>
      </c>
      <c r="C318" s="1441" t="str">
        <f t="shared" si="9"/>
        <v>FRICANO Christian</v>
      </c>
      <c r="D318" s="1428" t="s">
        <v>889</v>
      </c>
      <c r="E318" s="1429">
        <v>310</v>
      </c>
      <c r="F318" s="2197" t="s">
        <v>9494</v>
      </c>
      <c r="G318" s="2198" t="s">
        <v>3063</v>
      </c>
      <c r="H318" s="2197" t="s">
        <v>11467</v>
      </c>
      <c r="I318" s="2199" t="s">
        <v>1037</v>
      </c>
      <c r="J318" s="2196">
        <v>59</v>
      </c>
    </row>
    <row r="319" spans="2:10" ht="13.5" thickBot="1" x14ac:dyDescent="0.25">
      <c r="B319" s="392" t="str">
        <f t="shared" si="8"/>
        <v>Open - SOMOZA José David</v>
      </c>
      <c r="C319" s="1441" t="str">
        <f t="shared" si="9"/>
        <v>SOMOZA José David</v>
      </c>
      <c r="D319" s="1428" t="s">
        <v>889</v>
      </c>
      <c r="E319" s="1429">
        <v>310</v>
      </c>
      <c r="F319" s="2197" t="s">
        <v>3450</v>
      </c>
      <c r="G319" s="2198" t="s">
        <v>3451</v>
      </c>
      <c r="H319" s="2197" t="s">
        <v>7183</v>
      </c>
      <c r="I319" s="2199" t="s">
        <v>1015</v>
      </c>
      <c r="J319" s="2196">
        <v>59</v>
      </c>
    </row>
    <row r="320" spans="2:10" ht="13.5" thickBot="1" x14ac:dyDescent="0.25">
      <c r="B320" s="392" t="str">
        <f t="shared" si="8"/>
        <v>Open - BEVILACQUA Marco</v>
      </c>
      <c r="C320" s="1441" t="str">
        <f t="shared" si="9"/>
        <v>BEVILACQUA Marco</v>
      </c>
      <c r="D320" s="1428" t="s">
        <v>889</v>
      </c>
      <c r="E320" s="1429">
        <v>314</v>
      </c>
      <c r="F320" s="2197" t="s">
        <v>11503</v>
      </c>
      <c r="G320" s="2198" t="s">
        <v>3109</v>
      </c>
      <c r="H320" s="2197" t="s">
        <v>15247</v>
      </c>
      <c r="I320" s="2199" t="s">
        <v>1069</v>
      </c>
      <c r="J320" s="2196">
        <v>58.5</v>
      </c>
    </row>
    <row r="321" spans="2:10" ht="13.5" thickBot="1" x14ac:dyDescent="0.25">
      <c r="B321" s="392" t="str">
        <f t="shared" si="8"/>
        <v>Open - GROSDENT Jean</v>
      </c>
      <c r="C321" s="1441" t="str">
        <f t="shared" si="9"/>
        <v>GROSDENT Jean</v>
      </c>
      <c r="D321" s="1428" t="s">
        <v>889</v>
      </c>
      <c r="E321" s="1429">
        <v>314</v>
      </c>
      <c r="F321" s="2197" t="s">
        <v>8735</v>
      </c>
      <c r="G321" s="2198" t="s">
        <v>3559</v>
      </c>
      <c r="H321" s="2197" t="s">
        <v>10252</v>
      </c>
      <c r="I321" s="2199" t="s">
        <v>990</v>
      </c>
      <c r="J321" s="2196">
        <v>58.5</v>
      </c>
    </row>
    <row r="322" spans="2:10" ht="13.5" thickBot="1" x14ac:dyDescent="0.25">
      <c r="B322" s="392" t="str">
        <f t="shared" si="8"/>
        <v>Open - ILIEV Álex</v>
      </c>
      <c r="C322" s="1441" t="str">
        <f t="shared" si="9"/>
        <v>ILIEV Álex</v>
      </c>
      <c r="D322" s="1428" t="s">
        <v>889</v>
      </c>
      <c r="E322" s="1429">
        <v>316</v>
      </c>
      <c r="F322" s="2197" t="s">
        <v>16679</v>
      </c>
      <c r="G322" s="2198" t="s">
        <v>10057</v>
      </c>
      <c r="H322" s="2197" t="s">
        <v>7869</v>
      </c>
      <c r="I322" s="2199" t="s">
        <v>1015</v>
      </c>
      <c r="J322" s="2196">
        <v>58</v>
      </c>
    </row>
    <row r="323" spans="2:10" ht="13.5" thickBot="1" x14ac:dyDescent="0.25">
      <c r="B323" s="392" t="str">
        <f t="shared" si="8"/>
        <v>Open - HARO Juan Manuel</v>
      </c>
      <c r="C323" s="1441" t="str">
        <f t="shared" si="9"/>
        <v>HARO Juan Manuel</v>
      </c>
      <c r="D323" s="1428" t="s">
        <v>889</v>
      </c>
      <c r="E323" s="1429">
        <v>317</v>
      </c>
      <c r="F323" s="2197" t="s">
        <v>14209</v>
      </c>
      <c r="G323" s="2198" t="s">
        <v>3065</v>
      </c>
      <c r="H323" s="2197" t="s">
        <v>7871</v>
      </c>
      <c r="I323" s="2199" t="s">
        <v>1015</v>
      </c>
      <c r="J323" s="2196">
        <v>57.5</v>
      </c>
    </row>
    <row r="324" spans="2:10" ht="13.5" thickBot="1" x14ac:dyDescent="0.25">
      <c r="B324" s="392" t="str">
        <f t="shared" si="8"/>
        <v>Open - EYES Paul</v>
      </c>
      <c r="C324" s="1441" t="str">
        <f t="shared" si="9"/>
        <v>EYES Paul</v>
      </c>
      <c r="D324" s="1428" t="s">
        <v>889</v>
      </c>
      <c r="E324" s="1429">
        <v>318</v>
      </c>
      <c r="F324" s="2197" t="s">
        <v>11470</v>
      </c>
      <c r="G324" s="2198" t="s">
        <v>3259</v>
      </c>
      <c r="H324" s="2197" t="s">
        <v>17015</v>
      </c>
      <c r="I324" s="2199" t="s">
        <v>1079</v>
      </c>
      <c r="J324" s="2196">
        <v>57</v>
      </c>
    </row>
    <row r="325" spans="2:10" ht="13.5" thickBot="1" x14ac:dyDescent="0.25">
      <c r="B325" s="392" t="str">
        <f t="shared" si="8"/>
        <v>Open - PEREMANS Yves</v>
      </c>
      <c r="C325" s="1441" t="str">
        <f t="shared" si="9"/>
        <v>PEREMANS Yves</v>
      </c>
      <c r="D325" s="1428" t="s">
        <v>889</v>
      </c>
      <c r="E325" s="1429">
        <v>318</v>
      </c>
      <c r="F325" s="2197" t="s">
        <v>8762</v>
      </c>
      <c r="G325" s="2198" t="s">
        <v>8228</v>
      </c>
      <c r="H325" s="2197" t="s">
        <v>2772</v>
      </c>
      <c r="I325" s="2199" t="s">
        <v>990</v>
      </c>
      <c r="J325" s="2196">
        <v>57</v>
      </c>
    </row>
    <row r="326" spans="2:10" ht="13.5" thickBot="1" x14ac:dyDescent="0.25">
      <c r="B326" s="392" t="str">
        <f t="shared" si="8"/>
        <v>Open - AQUILINA Charles</v>
      </c>
      <c r="C326" s="1441" t="str">
        <f t="shared" si="9"/>
        <v>AQUILINA Charles</v>
      </c>
      <c r="D326" s="1428" t="s">
        <v>889</v>
      </c>
      <c r="E326" s="1429">
        <v>318</v>
      </c>
      <c r="F326" s="2197" t="s">
        <v>3421</v>
      </c>
      <c r="G326" s="2198" t="s">
        <v>3422</v>
      </c>
      <c r="H326" s="2197" t="s">
        <v>10253</v>
      </c>
      <c r="I326" s="2199" t="s">
        <v>1045</v>
      </c>
      <c r="J326" s="2196">
        <v>57</v>
      </c>
    </row>
    <row r="327" spans="2:10" ht="13.5" thickBot="1" x14ac:dyDescent="0.25">
      <c r="B327" s="392" t="str">
        <f t="shared" ref="B327:B390" si="10">CONCATENATE(D327," - ",C327)</f>
        <v>Open - COLL Ferran</v>
      </c>
      <c r="C327" s="1441" t="str">
        <f t="shared" ref="C327:C390" si="11">CONCATENATE(UPPER(F327)," ",G327)</f>
        <v>COLL Ferran</v>
      </c>
      <c r="D327" s="1428" t="s">
        <v>889</v>
      </c>
      <c r="E327" s="1429">
        <v>321</v>
      </c>
      <c r="F327" s="2197" t="s">
        <v>3387</v>
      </c>
      <c r="G327" s="2198" t="s">
        <v>7299</v>
      </c>
      <c r="H327" s="2197" t="s">
        <v>2755</v>
      </c>
      <c r="I327" s="2199" t="s">
        <v>1015</v>
      </c>
      <c r="J327" s="2196">
        <v>56</v>
      </c>
    </row>
    <row r="328" spans="2:10" ht="13.5" thickBot="1" x14ac:dyDescent="0.25">
      <c r="B328" s="392" t="str">
        <f t="shared" si="10"/>
        <v>Open - KAOUANE Luc</v>
      </c>
      <c r="C328" s="1441" t="str">
        <f t="shared" si="11"/>
        <v>KAOUANE Luc</v>
      </c>
      <c r="D328" s="1428" t="s">
        <v>889</v>
      </c>
      <c r="E328" s="1429">
        <v>321</v>
      </c>
      <c r="F328" s="2197" t="s">
        <v>14152</v>
      </c>
      <c r="G328" s="2198" t="s">
        <v>9408</v>
      </c>
      <c r="H328" s="2197" t="s">
        <v>11409</v>
      </c>
      <c r="I328" s="2199" t="s">
        <v>1021</v>
      </c>
      <c r="J328" s="2196">
        <v>56</v>
      </c>
    </row>
    <row r="329" spans="2:10" ht="13.5" thickBot="1" x14ac:dyDescent="0.25">
      <c r="B329" s="392" t="str">
        <f t="shared" si="10"/>
        <v>Open - BONAVIA Jose Luis</v>
      </c>
      <c r="C329" s="1441" t="str">
        <f t="shared" si="11"/>
        <v>BONAVIA Jose Luis</v>
      </c>
      <c r="D329" s="1428" t="s">
        <v>889</v>
      </c>
      <c r="E329" s="1429">
        <v>321</v>
      </c>
      <c r="F329" s="2197" t="s">
        <v>3145</v>
      </c>
      <c r="G329" s="2198" t="s">
        <v>3146</v>
      </c>
      <c r="H329" s="2197" t="s">
        <v>2755</v>
      </c>
      <c r="I329" s="2199" t="s">
        <v>1023</v>
      </c>
      <c r="J329" s="2196">
        <v>56</v>
      </c>
    </row>
    <row r="330" spans="2:10" ht="13.5" thickBot="1" x14ac:dyDescent="0.25">
      <c r="B330" s="392" t="str">
        <f t="shared" si="10"/>
        <v>Open - SIGNORETTI Pierluigi</v>
      </c>
      <c r="C330" s="1441" t="str">
        <f t="shared" si="11"/>
        <v>SIGNORETTI Pierluigi</v>
      </c>
      <c r="D330" s="1428" t="s">
        <v>889</v>
      </c>
      <c r="E330" s="1429">
        <v>324</v>
      </c>
      <c r="F330" s="2197" t="s">
        <v>14125</v>
      </c>
      <c r="G330" s="2198" t="s">
        <v>3549</v>
      </c>
      <c r="H330" s="2197" t="s">
        <v>11325</v>
      </c>
      <c r="I330" s="2199" t="s">
        <v>1037</v>
      </c>
      <c r="J330" s="2196">
        <v>55.5</v>
      </c>
    </row>
    <row r="331" spans="2:10" ht="13.5" thickBot="1" x14ac:dyDescent="0.25">
      <c r="B331" s="392" t="str">
        <f t="shared" si="10"/>
        <v>Open - RAKOWSKI Hervé</v>
      </c>
      <c r="C331" s="1441" t="str">
        <f t="shared" si="11"/>
        <v>RAKOWSKI Hervé</v>
      </c>
      <c r="D331" s="1428" t="s">
        <v>889</v>
      </c>
      <c r="E331" s="1429">
        <v>325</v>
      </c>
      <c r="F331" s="2197" t="s">
        <v>16576</v>
      </c>
      <c r="G331" s="2198" t="s">
        <v>8237</v>
      </c>
      <c r="H331" s="2197" t="s">
        <v>15446</v>
      </c>
      <c r="I331" s="2199" t="s">
        <v>1019</v>
      </c>
      <c r="J331" s="2196">
        <v>55</v>
      </c>
    </row>
    <row r="332" spans="2:10" ht="13.5" thickBot="1" x14ac:dyDescent="0.25">
      <c r="B332" s="392" t="str">
        <f t="shared" si="10"/>
        <v>Open - DELCROIX Emeric</v>
      </c>
      <c r="C332" s="1441" t="str">
        <f t="shared" si="11"/>
        <v>DELCROIX Emeric</v>
      </c>
      <c r="D332" s="1428" t="s">
        <v>889</v>
      </c>
      <c r="E332" s="1429">
        <v>325</v>
      </c>
      <c r="F332" s="2197" t="s">
        <v>16554</v>
      </c>
      <c r="G332" s="2198" t="s">
        <v>14345</v>
      </c>
      <c r="H332" s="2197" t="s">
        <v>13519</v>
      </c>
      <c r="I332" s="2199" t="s">
        <v>990</v>
      </c>
      <c r="J332" s="2196">
        <v>55</v>
      </c>
    </row>
    <row r="333" spans="2:10" ht="13.5" thickBot="1" x14ac:dyDescent="0.25">
      <c r="B333" s="392" t="str">
        <f t="shared" si="10"/>
        <v>Open - LAZZARETTI Patrizio</v>
      </c>
      <c r="C333" s="1441" t="str">
        <f t="shared" si="11"/>
        <v>LAZZARETTI Patrizio</v>
      </c>
      <c r="D333" s="1428" t="s">
        <v>889</v>
      </c>
      <c r="E333" s="1429">
        <v>327</v>
      </c>
      <c r="F333" s="2197" t="s">
        <v>8763</v>
      </c>
      <c r="G333" s="2198" t="s">
        <v>6995</v>
      </c>
      <c r="H333" s="2197" t="s">
        <v>2777</v>
      </c>
      <c r="I333" s="2199" t="s">
        <v>1037</v>
      </c>
      <c r="J333" s="2196">
        <v>54</v>
      </c>
    </row>
    <row r="334" spans="2:10" ht="13.5" thickBot="1" x14ac:dyDescent="0.25">
      <c r="B334" s="392" t="str">
        <f t="shared" si="10"/>
        <v>Open - NAPOLITANO Carmine</v>
      </c>
      <c r="C334" s="1441" t="str">
        <f t="shared" si="11"/>
        <v>NAPOLITANO Carmine</v>
      </c>
      <c r="D334" s="1428" t="s">
        <v>889</v>
      </c>
      <c r="E334" s="1429">
        <v>327</v>
      </c>
      <c r="F334" s="2197" t="s">
        <v>3076</v>
      </c>
      <c r="G334" s="2198" t="s">
        <v>3077</v>
      </c>
      <c r="H334" s="2197" t="s">
        <v>10262</v>
      </c>
      <c r="I334" s="2199" t="s">
        <v>1037</v>
      </c>
      <c r="J334" s="2196">
        <v>54</v>
      </c>
    </row>
    <row r="335" spans="2:10" ht="13.5" thickBot="1" x14ac:dyDescent="0.25">
      <c r="B335" s="392" t="str">
        <f t="shared" si="10"/>
        <v>Open - SCHULZ Marcel</v>
      </c>
      <c r="C335" s="1441" t="str">
        <f t="shared" si="11"/>
        <v>SCHULZ Marcel</v>
      </c>
      <c r="D335" s="1428" t="s">
        <v>889</v>
      </c>
      <c r="E335" s="1429">
        <v>327</v>
      </c>
      <c r="F335" s="2197" t="s">
        <v>11430</v>
      </c>
      <c r="G335" s="2198" t="s">
        <v>3300</v>
      </c>
      <c r="H335" s="2197" t="s">
        <v>2775</v>
      </c>
      <c r="I335" s="2199" t="s">
        <v>1021</v>
      </c>
      <c r="J335" s="2196">
        <v>54</v>
      </c>
    </row>
    <row r="336" spans="2:10" ht="13.5" thickBot="1" x14ac:dyDescent="0.25">
      <c r="B336" s="392" t="str">
        <f t="shared" si="10"/>
        <v>Open - BOGDANIDIS Achilleas</v>
      </c>
      <c r="C336" s="1441" t="str">
        <f t="shared" si="11"/>
        <v>BOGDANIDIS Achilleas</v>
      </c>
      <c r="D336" s="1428" t="s">
        <v>889</v>
      </c>
      <c r="E336" s="1429">
        <v>330</v>
      </c>
      <c r="F336" s="2197" t="s">
        <v>14183</v>
      </c>
      <c r="G336" s="2198" t="s">
        <v>8245</v>
      </c>
      <c r="H336" s="2197" t="s">
        <v>17170</v>
      </c>
      <c r="I336" s="2199" t="s">
        <v>1025</v>
      </c>
      <c r="J336" s="2196">
        <v>53.5</v>
      </c>
    </row>
    <row r="337" spans="2:10" ht="13.5" thickBot="1" x14ac:dyDescent="0.25">
      <c r="B337" s="392" t="str">
        <f t="shared" si="10"/>
        <v>Open - MATSOPOULOS Stilianos</v>
      </c>
      <c r="C337" s="1441" t="str">
        <f t="shared" si="11"/>
        <v>MATSOPOULOS Stilianos</v>
      </c>
      <c r="D337" s="1428" t="s">
        <v>889</v>
      </c>
      <c r="E337" s="1429">
        <v>331</v>
      </c>
      <c r="F337" s="2197" t="s">
        <v>3209</v>
      </c>
      <c r="G337" s="2198" t="s">
        <v>8262</v>
      </c>
      <c r="H337" s="2197" t="s">
        <v>17171</v>
      </c>
      <c r="I337" s="2199" t="s">
        <v>1025</v>
      </c>
      <c r="J337" s="2196">
        <v>53</v>
      </c>
    </row>
    <row r="338" spans="2:10" ht="13.5" thickBot="1" x14ac:dyDescent="0.25">
      <c r="B338" s="392" t="str">
        <f t="shared" si="10"/>
        <v>Open - PERE Olivier</v>
      </c>
      <c r="C338" s="1441" t="str">
        <f t="shared" si="11"/>
        <v>PERE Olivier</v>
      </c>
      <c r="D338" s="1428" t="s">
        <v>889</v>
      </c>
      <c r="E338" s="1429">
        <v>331</v>
      </c>
      <c r="F338" s="2197" t="s">
        <v>3420</v>
      </c>
      <c r="G338" s="2198" t="s">
        <v>3193</v>
      </c>
      <c r="H338" s="2197" t="s">
        <v>13519</v>
      </c>
      <c r="I338" s="2199" t="s">
        <v>990</v>
      </c>
      <c r="J338" s="2196">
        <v>53</v>
      </c>
    </row>
    <row r="339" spans="2:10" ht="13.5" thickBot="1" x14ac:dyDescent="0.25">
      <c r="B339" s="392" t="str">
        <f t="shared" si="10"/>
        <v>Open - SALVATI Mauro</v>
      </c>
      <c r="C339" s="1441" t="str">
        <f t="shared" si="11"/>
        <v>SALVATI Mauro</v>
      </c>
      <c r="D339" s="1428" t="s">
        <v>889</v>
      </c>
      <c r="E339" s="1429">
        <v>333</v>
      </c>
      <c r="F339" s="2197" t="s">
        <v>3203</v>
      </c>
      <c r="G339" s="2198" t="s">
        <v>3204</v>
      </c>
      <c r="H339" s="2197" t="s">
        <v>15245</v>
      </c>
      <c r="I339" s="2199" t="s">
        <v>1037</v>
      </c>
      <c r="J339" s="2196">
        <v>52.5</v>
      </c>
    </row>
    <row r="340" spans="2:10" ht="13.5" thickBot="1" x14ac:dyDescent="0.25">
      <c r="B340" s="392" t="str">
        <f t="shared" si="10"/>
        <v>Open - SCHEFFER Ronald</v>
      </c>
      <c r="C340" s="1441" t="str">
        <f t="shared" si="11"/>
        <v>SCHEFFER Ronald</v>
      </c>
      <c r="D340" s="1428" t="s">
        <v>889</v>
      </c>
      <c r="E340" s="1429">
        <v>334</v>
      </c>
      <c r="F340" s="2197" t="s">
        <v>16551</v>
      </c>
      <c r="G340" s="2198" t="s">
        <v>16213</v>
      </c>
      <c r="H340" s="2197" t="s">
        <v>10254</v>
      </c>
      <c r="I340" s="2199" t="s">
        <v>1051</v>
      </c>
      <c r="J340" s="2196">
        <v>52</v>
      </c>
    </row>
    <row r="341" spans="2:10" ht="13.5" thickBot="1" x14ac:dyDescent="0.25">
      <c r="B341" s="392" t="str">
        <f t="shared" si="10"/>
        <v>Open - KIMACK Michael</v>
      </c>
      <c r="C341" s="1441" t="str">
        <f t="shared" si="11"/>
        <v>KIMACK Michael</v>
      </c>
      <c r="D341" s="1428" t="s">
        <v>889</v>
      </c>
      <c r="E341" s="1429">
        <v>334</v>
      </c>
      <c r="F341" s="2197" t="s">
        <v>16656</v>
      </c>
      <c r="G341" s="2198" t="s">
        <v>3416</v>
      </c>
      <c r="H341" s="2197" t="s">
        <v>17015</v>
      </c>
      <c r="I341" s="2199" t="s">
        <v>1079</v>
      </c>
      <c r="J341" s="2196">
        <v>52</v>
      </c>
    </row>
    <row r="342" spans="2:10" ht="13.5" thickBot="1" x14ac:dyDescent="0.25">
      <c r="B342" s="392" t="str">
        <f t="shared" si="10"/>
        <v>Open - KONSTANTAKOS Panagiotis</v>
      </c>
      <c r="C342" s="1441" t="str">
        <f t="shared" si="11"/>
        <v>KONSTANTAKOS Panagiotis</v>
      </c>
      <c r="D342" s="1428" t="s">
        <v>889</v>
      </c>
      <c r="E342" s="1429">
        <v>334</v>
      </c>
      <c r="F342" s="2197" t="s">
        <v>9824</v>
      </c>
      <c r="G342" s="2198" t="s">
        <v>3249</v>
      </c>
      <c r="H342" s="2197" t="s">
        <v>9449</v>
      </c>
      <c r="I342" s="2199" t="s">
        <v>1025</v>
      </c>
      <c r="J342" s="2196">
        <v>52</v>
      </c>
    </row>
    <row r="343" spans="2:10" ht="13.5" thickBot="1" x14ac:dyDescent="0.25">
      <c r="B343" s="392" t="str">
        <f t="shared" si="10"/>
        <v>Open - CHIAPOLINO Davide</v>
      </c>
      <c r="C343" s="1441" t="str">
        <f t="shared" si="11"/>
        <v>CHIAPOLINO Davide</v>
      </c>
      <c r="D343" s="1428" t="s">
        <v>889</v>
      </c>
      <c r="E343" s="1429">
        <v>334</v>
      </c>
      <c r="F343" s="2197" t="s">
        <v>14928</v>
      </c>
      <c r="G343" s="2198" t="s">
        <v>3329</v>
      </c>
      <c r="H343" s="2197" t="s">
        <v>13312</v>
      </c>
      <c r="I343" s="2199" t="s">
        <v>1037</v>
      </c>
      <c r="J343" s="2196">
        <v>52</v>
      </c>
    </row>
    <row r="344" spans="2:10" ht="13.5" thickBot="1" x14ac:dyDescent="0.25">
      <c r="B344" s="392" t="str">
        <f t="shared" si="10"/>
        <v>Open - LA ROSA Riccardo</v>
      </c>
      <c r="C344" s="1441" t="str">
        <f t="shared" si="11"/>
        <v>LA ROSA Riccardo</v>
      </c>
      <c r="D344" s="1428" t="s">
        <v>889</v>
      </c>
      <c r="E344" s="1429">
        <v>338</v>
      </c>
      <c r="F344" s="2197" t="s">
        <v>14234</v>
      </c>
      <c r="G344" s="2198" t="s">
        <v>3270</v>
      </c>
      <c r="H344" s="2197" t="s">
        <v>9700</v>
      </c>
      <c r="I344" s="2199" t="s">
        <v>1037</v>
      </c>
      <c r="J344" s="2196">
        <v>51.5</v>
      </c>
    </row>
    <row r="345" spans="2:10" ht="13.5" thickBot="1" x14ac:dyDescent="0.25">
      <c r="B345" s="392" t="str">
        <f t="shared" si="10"/>
        <v>Open - MURAILLE Maxime</v>
      </c>
      <c r="C345" s="1441" t="str">
        <f t="shared" si="11"/>
        <v>MURAILLE Maxime</v>
      </c>
      <c r="D345" s="1428" t="s">
        <v>889</v>
      </c>
      <c r="E345" s="1429">
        <v>338</v>
      </c>
      <c r="F345" s="2197" t="s">
        <v>18083</v>
      </c>
      <c r="G345" s="2198" t="s">
        <v>17518</v>
      </c>
      <c r="H345" s="2197" t="s">
        <v>2747</v>
      </c>
      <c r="I345" s="2199" t="s">
        <v>990</v>
      </c>
      <c r="J345" s="2196">
        <v>51.5</v>
      </c>
    </row>
    <row r="346" spans="2:10" ht="13.5" thickBot="1" x14ac:dyDescent="0.25">
      <c r="B346" s="392" t="str">
        <f t="shared" si="10"/>
        <v>Open - FARRUGIA RANDON Robert</v>
      </c>
      <c r="C346" s="1441" t="str">
        <f t="shared" si="11"/>
        <v>FARRUGIA RANDON Robert</v>
      </c>
      <c r="D346" s="1428" t="s">
        <v>889</v>
      </c>
      <c r="E346" s="1429">
        <v>340</v>
      </c>
      <c r="F346" s="2197" t="s">
        <v>14241</v>
      </c>
      <c r="G346" s="2198" t="s">
        <v>3405</v>
      </c>
      <c r="H346" s="2197" t="s">
        <v>11331</v>
      </c>
      <c r="I346" s="2199" t="s">
        <v>1045</v>
      </c>
      <c r="J346" s="2196">
        <v>51</v>
      </c>
    </row>
    <row r="347" spans="2:10" ht="13.5" thickBot="1" x14ac:dyDescent="0.25">
      <c r="B347" s="392" t="str">
        <f t="shared" si="10"/>
        <v>Open - FENECH Tristan</v>
      </c>
      <c r="C347" s="1441" t="str">
        <f t="shared" si="11"/>
        <v>FENECH Tristan</v>
      </c>
      <c r="D347" s="1428" t="s">
        <v>889</v>
      </c>
      <c r="E347" s="1429">
        <v>340</v>
      </c>
      <c r="F347" s="2197" t="s">
        <v>3319</v>
      </c>
      <c r="G347" s="2198" t="s">
        <v>3676</v>
      </c>
      <c r="H347" s="2197" t="s">
        <v>15202</v>
      </c>
      <c r="I347" s="2199" t="s">
        <v>1045</v>
      </c>
      <c r="J347" s="2196">
        <v>51</v>
      </c>
    </row>
    <row r="348" spans="2:10" ht="13.5" thickBot="1" x14ac:dyDescent="0.25">
      <c r="B348" s="392" t="str">
        <f t="shared" si="10"/>
        <v>Open - LARANJEIRA Paulo</v>
      </c>
      <c r="C348" s="1441" t="str">
        <f t="shared" si="11"/>
        <v>LARANJEIRA Paulo</v>
      </c>
      <c r="D348" s="1428" t="s">
        <v>889</v>
      </c>
      <c r="E348" s="1429">
        <v>342</v>
      </c>
      <c r="F348" s="2197" t="s">
        <v>14300</v>
      </c>
      <c r="G348" s="2198" t="s">
        <v>3246</v>
      </c>
      <c r="H348" s="2197" t="s">
        <v>11332</v>
      </c>
      <c r="I348" s="2199" t="s">
        <v>1061</v>
      </c>
      <c r="J348" s="2196">
        <v>50</v>
      </c>
    </row>
    <row r="349" spans="2:10" ht="13.5" thickBot="1" x14ac:dyDescent="0.25">
      <c r="B349" s="392" t="str">
        <f t="shared" si="10"/>
        <v>Open - BARBARIS Kostas</v>
      </c>
      <c r="C349" s="1441" t="str">
        <f t="shared" si="11"/>
        <v>BARBARIS Kostas</v>
      </c>
      <c r="D349" s="1428" t="s">
        <v>889</v>
      </c>
      <c r="E349" s="1429">
        <v>342</v>
      </c>
      <c r="F349" s="2197" t="s">
        <v>8756</v>
      </c>
      <c r="G349" s="2198" t="s">
        <v>3073</v>
      </c>
      <c r="H349" s="2197" t="s">
        <v>9595</v>
      </c>
      <c r="I349" s="2199" t="s">
        <v>986</v>
      </c>
      <c r="J349" s="2196">
        <v>50</v>
      </c>
    </row>
    <row r="350" spans="2:10" ht="13.5" thickBot="1" x14ac:dyDescent="0.25">
      <c r="B350" s="392" t="str">
        <f t="shared" si="10"/>
        <v>Open - KARVOUNIS John</v>
      </c>
      <c r="C350" s="1441" t="str">
        <f t="shared" si="11"/>
        <v>KARVOUNIS John</v>
      </c>
      <c r="D350" s="1428" t="s">
        <v>889</v>
      </c>
      <c r="E350" s="1429">
        <v>342</v>
      </c>
      <c r="F350" s="2197" t="s">
        <v>14171</v>
      </c>
      <c r="G350" s="2198" t="s">
        <v>3250</v>
      </c>
      <c r="H350" s="2197" t="s">
        <v>5309</v>
      </c>
      <c r="I350" s="2199" t="s">
        <v>1025</v>
      </c>
      <c r="J350" s="2196">
        <v>50</v>
      </c>
    </row>
    <row r="351" spans="2:10" ht="13.5" thickBot="1" x14ac:dyDescent="0.25">
      <c r="B351" s="392" t="str">
        <f t="shared" si="10"/>
        <v>Open - DEL BROCCO Gianmarco</v>
      </c>
      <c r="C351" s="1441" t="str">
        <f t="shared" si="11"/>
        <v>DEL BROCCO Gianmarco</v>
      </c>
      <c r="D351" s="1428" t="s">
        <v>889</v>
      </c>
      <c r="E351" s="1429">
        <v>342</v>
      </c>
      <c r="F351" s="2197" t="s">
        <v>11338</v>
      </c>
      <c r="G351" s="2198" t="s">
        <v>3505</v>
      </c>
      <c r="H351" s="2197" t="s">
        <v>2777</v>
      </c>
      <c r="I351" s="2199" t="s">
        <v>1037</v>
      </c>
      <c r="J351" s="2196">
        <v>50</v>
      </c>
    </row>
    <row r="352" spans="2:10" ht="13.5" thickBot="1" x14ac:dyDescent="0.25">
      <c r="B352" s="392" t="str">
        <f t="shared" si="10"/>
        <v>Open - DUNNE Shaun</v>
      </c>
      <c r="C352" s="1441" t="str">
        <f t="shared" si="11"/>
        <v>DUNNE Shaun</v>
      </c>
      <c r="D352" s="1428" t="s">
        <v>889</v>
      </c>
      <c r="E352" s="1429">
        <v>346</v>
      </c>
      <c r="F352" s="2197" t="s">
        <v>14198</v>
      </c>
      <c r="G352" s="2198" t="s">
        <v>3377</v>
      </c>
      <c r="H352" s="2197" t="s">
        <v>17888</v>
      </c>
      <c r="I352" s="2199" t="s">
        <v>1033</v>
      </c>
      <c r="J352" s="2196">
        <v>49</v>
      </c>
    </row>
    <row r="353" spans="2:10" ht="13.5" thickBot="1" x14ac:dyDescent="0.25">
      <c r="B353" s="392" t="str">
        <f t="shared" si="10"/>
        <v>Open - GARCÍA Isaac</v>
      </c>
      <c r="C353" s="1441" t="str">
        <f t="shared" si="11"/>
        <v>GARCÍA Isaac</v>
      </c>
      <c r="D353" s="1428" t="s">
        <v>889</v>
      </c>
      <c r="E353" s="1429">
        <v>346</v>
      </c>
      <c r="F353" s="2197" t="s">
        <v>10990</v>
      </c>
      <c r="G353" s="2198" t="s">
        <v>3460</v>
      </c>
      <c r="H353" s="2197" t="s">
        <v>7183</v>
      </c>
      <c r="I353" s="2199" t="s">
        <v>1015</v>
      </c>
      <c r="J353" s="2196">
        <v>49</v>
      </c>
    </row>
    <row r="354" spans="2:10" ht="13.5" thickBot="1" x14ac:dyDescent="0.25">
      <c r="B354" s="392" t="str">
        <f t="shared" si="10"/>
        <v>Open - GARGIULO Alfonso</v>
      </c>
      <c r="C354" s="1441" t="str">
        <f t="shared" si="11"/>
        <v>GARGIULO Alfonso</v>
      </c>
      <c r="D354" s="1428" t="s">
        <v>889</v>
      </c>
      <c r="E354" s="1429">
        <v>348</v>
      </c>
      <c r="F354" s="2197" t="s">
        <v>3479</v>
      </c>
      <c r="G354" s="2198" t="s">
        <v>3157</v>
      </c>
      <c r="H354" s="2197" t="s">
        <v>7873</v>
      </c>
      <c r="I354" s="2199" t="s">
        <v>1037</v>
      </c>
      <c r="J354" s="2196">
        <v>48.5</v>
      </c>
    </row>
    <row r="355" spans="2:10" ht="13.5" thickBot="1" x14ac:dyDescent="0.25">
      <c r="B355" s="392" t="str">
        <f t="shared" si="10"/>
        <v>Open - NASZALYI Paul</v>
      </c>
      <c r="C355" s="1441" t="str">
        <f t="shared" si="11"/>
        <v>NASZALYI Paul</v>
      </c>
      <c r="D355" s="1428" t="s">
        <v>889</v>
      </c>
      <c r="E355" s="1429">
        <v>349</v>
      </c>
      <c r="F355" s="2197" t="s">
        <v>3436</v>
      </c>
      <c r="G355" s="2198" t="s">
        <v>3259</v>
      </c>
      <c r="H355" s="2197" t="s">
        <v>2754</v>
      </c>
      <c r="I355" s="2199" t="s">
        <v>1019</v>
      </c>
      <c r="J355" s="2196">
        <v>48</v>
      </c>
    </row>
    <row r="356" spans="2:10" ht="13.5" thickBot="1" x14ac:dyDescent="0.25">
      <c r="B356" s="392" t="str">
        <f t="shared" si="10"/>
        <v>Open - ALIADIS Panagiotis</v>
      </c>
      <c r="C356" s="1441" t="str">
        <f t="shared" si="11"/>
        <v>ALIADIS Panagiotis</v>
      </c>
      <c r="D356" s="1428" t="s">
        <v>889</v>
      </c>
      <c r="E356" s="1429">
        <v>349</v>
      </c>
      <c r="F356" s="2197" t="s">
        <v>3429</v>
      </c>
      <c r="G356" s="2198" t="s">
        <v>3249</v>
      </c>
      <c r="H356" s="2197" t="s">
        <v>10251</v>
      </c>
      <c r="I356" s="2199" t="s">
        <v>1025</v>
      </c>
      <c r="J356" s="2196">
        <v>48</v>
      </c>
    </row>
    <row r="357" spans="2:10" ht="13.5" thickBot="1" x14ac:dyDescent="0.25">
      <c r="B357" s="392" t="str">
        <f t="shared" si="10"/>
        <v>Open - FRAIKIN David</v>
      </c>
      <c r="C357" s="1441" t="str">
        <f t="shared" si="11"/>
        <v>FRAIKIN David</v>
      </c>
      <c r="D357" s="1428" t="s">
        <v>889</v>
      </c>
      <c r="E357" s="1429">
        <v>349</v>
      </c>
      <c r="F357" s="2197" t="s">
        <v>17605</v>
      </c>
      <c r="G357" s="2198" t="s">
        <v>3072</v>
      </c>
      <c r="H357" s="2197" t="s">
        <v>2746</v>
      </c>
      <c r="I357" s="2199" t="s">
        <v>990</v>
      </c>
      <c r="J357" s="2196">
        <v>48</v>
      </c>
    </row>
    <row r="358" spans="2:10" ht="13.5" thickBot="1" x14ac:dyDescent="0.25">
      <c r="B358" s="392" t="str">
        <f t="shared" si="10"/>
        <v>Open - PITSARIS Christos</v>
      </c>
      <c r="C358" s="1441" t="str">
        <f t="shared" si="11"/>
        <v>PITSARIS Christos</v>
      </c>
      <c r="D358" s="1428" t="s">
        <v>889</v>
      </c>
      <c r="E358" s="1429">
        <v>349</v>
      </c>
      <c r="F358" s="2197" t="s">
        <v>16552</v>
      </c>
      <c r="G358" s="2198" t="s">
        <v>3135</v>
      </c>
      <c r="H358" s="2197" t="s">
        <v>15175</v>
      </c>
      <c r="I358" s="2199" t="s">
        <v>1025</v>
      </c>
      <c r="J358" s="2196">
        <v>48</v>
      </c>
    </row>
    <row r="359" spans="2:10" ht="13.5" thickBot="1" x14ac:dyDescent="0.25">
      <c r="B359" s="392" t="str">
        <f t="shared" si="10"/>
        <v>Open - DA RE Federico</v>
      </c>
      <c r="C359" s="1441" t="str">
        <f t="shared" si="11"/>
        <v>DA RE Federico</v>
      </c>
      <c r="D359" s="1428" t="s">
        <v>889</v>
      </c>
      <c r="E359" s="1429">
        <v>349</v>
      </c>
      <c r="F359" s="2197" t="s">
        <v>14976</v>
      </c>
      <c r="G359" s="2198" t="s">
        <v>3335</v>
      </c>
      <c r="H359" s="2197" t="s">
        <v>13312</v>
      </c>
      <c r="I359" s="2199" t="s">
        <v>1037</v>
      </c>
      <c r="J359" s="2196">
        <v>48</v>
      </c>
    </row>
    <row r="360" spans="2:10" ht="13.5" thickBot="1" x14ac:dyDescent="0.25">
      <c r="B360" s="392" t="str">
        <f t="shared" si="10"/>
        <v>Open - TILLMAN Michael</v>
      </c>
      <c r="C360" s="1441" t="str">
        <f t="shared" si="11"/>
        <v>TILLMAN Michael</v>
      </c>
      <c r="D360" s="1428" t="s">
        <v>889</v>
      </c>
      <c r="E360" s="1429">
        <v>354</v>
      </c>
      <c r="F360" s="2197" t="s">
        <v>16544</v>
      </c>
      <c r="G360" s="2198" t="s">
        <v>3416</v>
      </c>
      <c r="H360" s="2197" t="s">
        <v>14681</v>
      </c>
      <c r="I360" s="2199" t="s">
        <v>1079</v>
      </c>
      <c r="J360" s="2196">
        <v>47.5</v>
      </c>
    </row>
    <row r="361" spans="2:10" ht="13.5" thickBot="1" x14ac:dyDescent="0.25">
      <c r="B361" s="392" t="str">
        <f t="shared" si="10"/>
        <v>Open - GIANTAIS Vaggelis</v>
      </c>
      <c r="C361" s="1441" t="str">
        <f t="shared" si="11"/>
        <v>GIANTAIS Vaggelis</v>
      </c>
      <c r="D361" s="1428" t="s">
        <v>889</v>
      </c>
      <c r="E361" s="1429">
        <v>355</v>
      </c>
      <c r="F361" s="2197" t="s">
        <v>8758</v>
      </c>
      <c r="G361" s="2198" t="s">
        <v>3542</v>
      </c>
      <c r="H361" s="2197" t="s">
        <v>10246</v>
      </c>
      <c r="I361" s="2199" t="s">
        <v>1025</v>
      </c>
      <c r="J361" s="2196">
        <v>47</v>
      </c>
    </row>
    <row r="362" spans="2:10" ht="13.5" thickBot="1" x14ac:dyDescent="0.25">
      <c r="B362" s="392" t="str">
        <f t="shared" si="10"/>
        <v>Open - AGGETT Ian</v>
      </c>
      <c r="C362" s="1441" t="str">
        <f t="shared" si="11"/>
        <v>AGGETT Ian</v>
      </c>
      <c r="D362" s="1428" t="s">
        <v>889</v>
      </c>
      <c r="E362" s="1429">
        <v>355</v>
      </c>
      <c r="F362" s="2197" t="s">
        <v>16645</v>
      </c>
      <c r="G362" s="2198" t="s">
        <v>3688</v>
      </c>
      <c r="H362" s="2197" t="s">
        <v>15274</v>
      </c>
      <c r="I362" s="2199" t="s">
        <v>1013</v>
      </c>
      <c r="J362" s="2196">
        <v>47</v>
      </c>
    </row>
    <row r="363" spans="2:10" ht="13.5" thickBot="1" x14ac:dyDescent="0.25">
      <c r="B363" s="392" t="str">
        <f t="shared" si="10"/>
        <v>Open - BARTZIS Athanasios</v>
      </c>
      <c r="C363" s="1441" t="str">
        <f t="shared" si="11"/>
        <v>BARTZIS Athanasios</v>
      </c>
      <c r="D363" s="1428" t="s">
        <v>889</v>
      </c>
      <c r="E363" s="1429">
        <v>355</v>
      </c>
      <c r="F363" s="2197" t="s">
        <v>14150</v>
      </c>
      <c r="G363" s="2198" t="s">
        <v>3472</v>
      </c>
      <c r="H363" s="2197" t="s">
        <v>9449</v>
      </c>
      <c r="I363" s="2199" t="s">
        <v>1025</v>
      </c>
      <c r="J363" s="2196">
        <v>47</v>
      </c>
    </row>
    <row r="364" spans="2:10" ht="13.5" thickBot="1" x14ac:dyDescent="0.25">
      <c r="B364" s="392" t="str">
        <f t="shared" si="10"/>
        <v>Open - TARDIOTA Giuseppe</v>
      </c>
      <c r="C364" s="1441" t="str">
        <f t="shared" si="11"/>
        <v>TARDIOTA Giuseppe</v>
      </c>
      <c r="D364" s="1428" t="s">
        <v>889</v>
      </c>
      <c r="E364" s="1429">
        <v>358</v>
      </c>
      <c r="F364" s="2197" t="s">
        <v>7287</v>
      </c>
      <c r="G364" s="2198" t="s">
        <v>3122</v>
      </c>
      <c r="H364" s="2197" t="s">
        <v>13508</v>
      </c>
      <c r="I364" s="2199" t="s">
        <v>986</v>
      </c>
      <c r="J364" s="2196">
        <v>46.5</v>
      </c>
    </row>
    <row r="365" spans="2:10" ht="13.5" thickBot="1" x14ac:dyDescent="0.25">
      <c r="B365" s="392" t="str">
        <f t="shared" si="10"/>
        <v>Open - LESNE Thibault</v>
      </c>
      <c r="C365" s="1441" t="str">
        <f t="shared" si="11"/>
        <v>LESNE Thibault</v>
      </c>
      <c r="D365" s="1428" t="s">
        <v>889</v>
      </c>
      <c r="E365" s="1429">
        <v>359</v>
      </c>
      <c r="F365" s="2197" t="s">
        <v>14538</v>
      </c>
      <c r="G365" s="2198" t="s">
        <v>14539</v>
      </c>
      <c r="H365" s="2197" t="s">
        <v>13838</v>
      </c>
      <c r="I365" s="2199" t="s">
        <v>1019</v>
      </c>
      <c r="J365" s="2196">
        <v>46</v>
      </c>
    </row>
    <row r="366" spans="2:10" ht="13.5" thickBot="1" x14ac:dyDescent="0.25">
      <c r="B366" s="392" t="str">
        <f t="shared" si="10"/>
        <v>Open - BARONE Massimo</v>
      </c>
      <c r="C366" s="1441" t="str">
        <f t="shared" si="11"/>
        <v>BARONE Massimo</v>
      </c>
      <c r="D366" s="1428" t="s">
        <v>889</v>
      </c>
      <c r="E366" s="1429">
        <v>359</v>
      </c>
      <c r="F366" s="2197" t="s">
        <v>16597</v>
      </c>
      <c r="G366" s="2198" t="s">
        <v>3013</v>
      </c>
      <c r="H366" s="2197" t="s">
        <v>14454</v>
      </c>
      <c r="I366" s="2199" t="s">
        <v>1015</v>
      </c>
      <c r="J366" s="2196">
        <v>46</v>
      </c>
    </row>
    <row r="367" spans="2:10" ht="13.5" thickBot="1" x14ac:dyDescent="0.25">
      <c r="B367" s="392" t="str">
        <f t="shared" si="10"/>
        <v>Open - COZZARIN Francis</v>
      </c>
      <c r="C367" s="1441" t="str">
        <f t="shared" si="11"/>
        <v>COZZARIN Francis</v>
      </c>
      <c r="D367" s="1428" t="s">
        <v>889</v>
      </c>
      <c r="E367" s="1429">
        <v>359</v>
      </c>
      <c r="F367" s="2197" t="s">
        <v>14229</v>
      </c>
      <c r="G367" s="2198" t="s">
        <v>3376</v>
      </c>
      <c r="H367" s="2197" t="s">
        <v>17660</v>
      </c>
      <c r="I367" s="2199" t="s">
        <v>986</v>
      </c>
      <c r="J367" s="2196">
        <v>46</v>
      </c>
    </row>
    <row r="368" spans="2:10" ht="13.5" thickBot="1" x14ac:dyDescent="0.25">
      <c r="B368" s="392" t="str">
        <f t="shared" si="10"/>
        <v>Open - SANDNER Stefan</v>
      </c>
      <c r="C368" s="1441" t="str">
        <f t="shared" si="11"/>
        <v>SANDNER Stefan</v>
      </c>
      <c r="D368" s="1428" t="s">
        <v>889</v>
      </c>
      <c r="E368" s="1429">
        <v>362</v>
      </c>
      <c r="F368" s="2197" t="s">
        <v>14267</v>
      </c>
      <c r="G368" s="2198" t="s">
        <v>3385</v>
      </c>
      <c r="H368" s="2197" t="s">
        <v>2748</v>
      </c>
      <c r="I368" s="2199" t="s">
        <v>988</v>
      </c>
      <c r="J368" s="2196">
        <v>45</v>
      </c>
    </row>
    <row r="369" spans="2:10" ht="13.5" thickBot="1" x14ac:dyDescent="0.25">
      <c r="B369" s="392" t="str">
        <f t="shared" si="10"/>
        <v>Open - GÓMEZ Rafael</v>
      </c>
      <c r="C369" s="1441" t="str">
        <f t="shared" si="11"/>
        <v>GÓMEZ Rafael</v>
      </c>
      <c r="D369" s="1428" t="s">
        <v>889</v>
      </c>
      <c r="E369" s="1429">
        <v>362</v>
      </c>
      <c r="F369" s="2197" t="s">
        <v>7765</v>
      </c>
      <c r="G369" s="2198" t="s">
        <v>9410</v>
      </c>
      <c r="H369" s="2197" t="s">
        <v>7869</v>
      </c>
      <c r="I369" s="2199" t="s">
        <v>1015</v>
      </c>
      <c r="J369" s="2196">
        <v>45</v>
      </c>
    </row>
    <row r="370" spans="2:10" ht="13.5" thickBot="1" x14ac:dyDescent="0.25">
      <c r="B370" s="392" t="str">
        <f t="shared" si="10"/>
        <v>Open - RUSSELL Stuart</v>
      </c>
      <c r="C370" s="1441" t="str">
        <f t="shared" si="11"/>
        <v>RUSSELL Stuart</v>
      </c>
      <c r="D370" s="1428" t="s">
        <v>889</v>
      </c>
      <c r="E370" s="1429">
        <v>362</v>
      </c>
      <c r="F370" s="2197" t="s">
        <v>18084</v>
      </c>
      <c r="G370" s="2198" t="s">
        <v>3316</v>
      </c>
      <c r="H370" s="2197" t="s">
        <v>2905</v>
      </c>
      <c r="I370" s="2199" t="s">
        <v>1079</v>
      </c>
      <c r="J370" s="2196">
        <v>45</v>
      </c>
    </row>
    <row r="371" spans="2:10" ht="13.5" thickBot="1" x14ac:dyDescent="0.25">
      <c r="B371" s="392" t="str">
        <f t="shared" si="10"/>
        <v>Open - DUBOIS Xavier</v>
      </c>
      <c r="C371" s="1441" t="str">
        <f t="shared" si="11"/>
        <v>DUBOIS Xavier</v>
      </c>
      <c r="D371" s="1428" t="s">
        <v>889</v>
      </c>
      <c r="E371" s="1429">
        <v>362</v>
      </c>
      <c r="F371" s="2197" t="s">
        <v>3604</v>
      </c>
      <c r="G371" s="2198" t="s">
        <v>3295</v>
      </c>
      <c r="H371" s="2197" t="s">
        <v>2893</v>
      </c>
      <c r="I371" s="2199" t="s">
        <v>1019</v>
      </c>
      <c r="J371" s="2196">
        <v>45</v>
      </c>
    </row>
    <row r="372" spans="2:10" ht="13.5" thickBot="1" x14ac:dyDescent="0.25">
      <c r="B372" s="392" t="str">
        <f t="shared" si="10"/>
        <v>Open - CARVALHO Hugo</v>
      </c>
      <c r="C372" s="1441" t="str">
        <f t="shared" si="11"/>
        <v>CARVALHO Hugo</v>
      </c>
      <c r="D372" s="1428" t="s">
        <v>889</v>
      </c>
      <c r="E372" s="1429">
        <v>362</v>
      </c>
      <c r="F372" s="2197" t="s">
        <v>14145</v>
      </c>
      <c r="G372" s="2198" t="s">
        <v>3142</v>
      </c>
      <c r="H372" s="2197" t="s">
        <v>11332</v>
      </c>
      <c r="I372" s="2199" t="s">
        <v>1061</v>
      </c>
      <c r="J372" s="2196">
        <v>45</v>
      </c>
    </row>
    <row r="373" spans="2:10" ht="13.5" thickBot="1" x14ac:dyDescent="0.25">
      <c r="B373" s="392" t="str">
        <f t="shared" si="10"/>
        <v>Open - PALMER Guy</v>
      </c>
      <c r="C373" s="1441" t="str">
        <f t="shared" si="11"/>
        <v>PALMER Guy</v>
      </c>
      <c r="D373" s="1428" t="s">
        <v>889</v>
      </c>
      <c r="E373" s="1429">
        <v>362</v>
      </c>
      <c r="F373" s="2197" t="s">
        <v>14294</v>
      </c>
      <c r="G373" s="2198" t="s">
        <v>3454</v>
      </c>
      <c r="H373" s="2197" t="s">
        <v>15983</v>
      </c>
      <c r="I373" s="2199" t="s">
        <v>1023</v>
      </c>
      <c r="J373" s="2196">
        <v>45</v>
      </c>
    </row>
    <row r="374" spans="2:10" ht="13.5" thickBot="1" x14ac:dyDescent="0.25">
      <c r="B374" s="392" t="str">
        <f t="shared" si="10"/>
        <v>Open - PÉREZ Álvaro</v>
      </c>
      <c r="C374" s="1441" t="str">
        <f t="shared" si="11"/>
        <v>PÉREZ Álvaro</v>
      </c>
      <c r="D374" s="1428" t="s">
        <v>889</v>
      </c>
      <c r="E374" s="1429">
        <v>362</v>
      </c>
      <c r="F374" s="2197" t="s">
        <v>16560</v>
      </c>
      <c r="G374" s="2198" t="s">
        <v>3538</v>
      </c>
      <c r="H374" s="2197" t="s">
        <v>2755</v>
      </c>
      <c r="I374" s="2199" t="s">
        <v>1015</v>
      </c>
      <c r="J374" s="2196">
        <v>45</v>
      </c>
    </row>
    <row r="375" spans="2:10" ht="13.5" thickBot="1" x14ac:dyDescent="0.25">
      <c r="B375" s="392" t="str">
        <f t="shared" si="10"/>
        <v>Open - BALAGUER Guillem</v>
      </c>
      <c r="C375" s="1441" t="str">
        <f t="shared" si="11"/>
        <v>BALAGUER Guillem</v>
      </c>
      <c r="D375" s="1428" t="s">
        <v>889</v>
      </c>
      <c r="E375" s="1429">
        <v>369</v>
      </c>
      <c r="F375" s="2197" t="s">
        <v>16574</v>
      </c>
      <c r="G375" s="2198" t="s">
        <v>8234</v>
      </c>
      <c r="H375" s="2197" t="s">
        <v>7183</v>
      </c>
      <c r="I375" s="2199" t="s">
        <v>1015</v>
      </c>
      <c r="J375" s="2196">
        <v>44.5</v>
      </c>
    </row>
    <row r="376" spans="2:10" ht="13.5" thickBot="1" x14ac:dyDescent="0.25">
      <c r="B376" s="392" t="str">
        <f t="shared" si="10"/>
        <v>Open - DALEY Brian</v>
      </c>
      <c r="C376" s="1441" t="str">
        <f t="shared" si="11"/>
        <v>DALEY Brian</v>
      </c>
      <c r="D376" s="1428" t="s">
        <v>889</v>
      </c>
      <c r="E376" s="1429">
        <v>369</v>
      </c>
      <c r="F376" s="2197" t="s">
        <v>3603</v>
      </c>
      <c r="G376" s="2198" t="s">
        <v>3195</v>
      </c>
      <c r="H376" s="2197" t="s">
        <v>15274</v>
      </c>
      <c r="I376" s="2199" t="s">
        <v>1013</v>
      </c>
      <c r="J376" s="2196">
        <v>44.5</v>
      </c>
    </row>
    <row r="377" spans="2:10" ht="13.5" thickBot="1" x14ac:dyDescent="0.25">
      <c r="B377" s="392" t="str">
        <f t="shared" si="10"/>
        <v>Open - ZAKI David</v>
      </c>
      <c r="C377" s="1441" t="str">
        <f t="shared" si="11"/>
        <v>ZAKI David</v>
      </c>
      <c r="D377" s="1428" t="s">
        <v>889</v>
      </c>
      <c r="E377" s="1429">
        <v>369</v>
      </c>
      <c r="F377" s="2197" t="s">
        <v>3452</v>
      </c>
      <c r="G377" s="2198" t="s">
        <v>3072</v>
      </c>
      <c r="H377" s="2197" t="s">
        <v>2754</v>
      </c>
      <c r="I377" s="2199" t="s">
        <v>1019</v>
      </c>
      <c r="J377" s="2196">
        <v>44.5</v>
      </c>
    </row>
    <row r="378" spans="2:10" ht="13.5" thickBot="1" x14ac:dyDescent="0.25">
      <c r="B378" s="392" t="str">
        <f t="shared" si="10"/>
        <v>Open - GARCÍA Juan Antonio</v>
      </c>
      <c r="C378" s="1441" t="str">
        <f t="shared" si="11"/>
        <v>GARCÍA Juan Antonio</v>
      </c>
      <c r="D378" s="1428" t="s">
        <v>889</v>
      </c>
      <c r="E378" s="1429">
        <v>372</v>
      </c>
      <c r="F378" s="2197" t="s">
        <v>10990</v>
      </c>
      <c r="G378" s="2198" t="s">
        <v>5595</v>
      </c>
      <c r="H378" s="2197" t="s">
        <v>14454</v>
      </c>
      <c r="I378" s="2199" t="s">
        <v>1015</v>
      </c>
      <c r="J378" s="2196">
        <v>44</v>
      </c>
    </row>
    <row r="379" spans="2:10" ht="13.5" thickBot="1" x14ac:dyDescent="0.25">
      <c r="B379" s="392" t="str">
        <f t="shared" si="10"/>
        <v>Open - LACEY Thomas</v>
      </c>
      <c r="C379" s="1441" t="str">
        <f t="shared" si="11"/>
        <v>LACEY Thomas</v>
      </c>
      <c r="D379" s="1428" t="s">
        <v>889</v>
      </c>
      <c r="E379" s="1429">
        <v>373</v>
      </c>
      <c r="F379" s="2197" t="s">
        <v>16564</v>
      </c>
      <c r="G379" s="2198" t="s">
        <v>3124</v>
      </c>
      <c r="H379" s="2197" t="s">
        <v>17082</v>
      </c>
      <c r="I379" s="2199" t="s">
        <v>1013</v>
      </c>
      <c r="J379" s="2196">
        <v>43.5</v>
      </c>
    </row>
    <row r="380" spans="2:10" ht="13.5" thickBot="1" x14ac:dyDescent="0.25">
      <c r="B380" s="392" t="str">
        <f t="shared" si="10"/>
        <v>Open - ONO Tomoki</v>
      </c>
      <c r="C380" s="1441" t="str">
        <f t="shared" si="11"/>
        <v>ONO Tomoki</v>
      </c>
      <c r="D380" s="1428" t="s">
        <v>889</v>
      </c>
      <c r="E380" s="1429">
        <v>373</v>
      </c>
      <c r="F380" s="2197" t="s">
        <v>16694</v>
      </c>
      <c r="G380" s="2198" t="s">
        <v>14714</v>
      </c>
      <c r="H380" s="2197" t="s">
        <v>17236</v>
      </c>
      <c r="I380" s="2199" t="s">
        <v>1041</v>
      </c>
      <c r="J380" s="2196">
        <v>43.5</v>
      </c>
    </row>
    <row r="381" spans="2:10" ht="13.5" thickBot="1" x14ac:dyDescent="0.25">
      <c r="B381" s="392" t="str">
        <f t="shared" si="10"/>
        <v>Open - TACCHIA Alessio</v>
      </c>
      <c r="C381" s="1441" t="str">
        <f t="shared" si="11"/>
        <v>TACCHIA Alessio</v>
      </c>
      <c r="D381" s="1428" t="s">
        <v>889</v>
      </c>
      <c r="E381" s="1429">
        <v>373</v>
      </c>
      <c r="F381" s="2197" t="s">
        <v>9492</v>
      </c>
      <c r="G381" s="2198" t="s">
        <v>3550</v>
      </c>
      <c r="H381" s="2197" t="s">
        <v>16843</v>
      </c>
      <c r="I381" s="2199" t="s">
        <v>1037</v>
      </c>
      <c r="J381" s="2196">
        <v>43.5</v>
      </c>
    </row>
    <row r="382" spans="2:10" ht="13.5" thickBot="1" x14ac:dyDescent="0.25">
      <c r="B382" s="392" t="str">
        <f t="shared" si="10"/>
        <v>Open - ALVAREZ Lawrence</v>
      </c>
      <c r="C382" s="1441" t="str">
        <f t="shared" si="11"/>
        <v>ALVAREZ Lawrence</v>
      </c>
      <c r="D382" s="1428" t="s">
        <v>889</v>
      </c>
      <c r="E382" s="1429">
        <v>376</v>
      </c>
      <c r="F382" s="2197" t="s">
        <v>3151</v>
      </c>
      <c r="G382" s="2198" t="s">
        <v>3152</v>
      </c>
      <c r="H382" s="2197" t="s">
        <v>9448</v>
      </c>
      <c r="I382" s="2199" t="s">
        <v>1023</v>
      </c>
      <c r="J382" s="2196">
        <v>43</v>
      </c>
    </row>
    <row r="383" spans="2:10" ht="13.5" thickBot="1" x14ac:dyDescent="0.25">
      <c r="B383" s="392" t="str">
        <f t="shared" si="10"/>
        <v>Open - FARRUGIA RANDON Stanley</v>
      </c>
      <c r="C383" s="1441" t="str">
        <f t="shared" si="11"/>
        <v>FARRUGIA RANDON Stanley</v>
      </c>
      <c r="D383" s="1428" t="s">
        <v>889</v>
      </c>
      <c r="E383" s="1429">
        <v>377</v>
      </c>
      <c r="F383" s="2197" t="s">
        <v>14241</v>
      </c>
      <c r="G383" s="2198" t="s">
        <v>10960</v>
      </c>
      <c r="H383" s="2197" t="s">
        <v>11331</v>
      </c>
      <c r="I383" s="2199" t="s">
        <v>1045</v>
      </c>
      <c r="J383" s="2196">
        <v>42.5</v>
      </c>
    </row>
    <row r="384" spans="2:10" ht="13.5" thickBot="1" x14ac:dyDescent="0.25">
      <c r="B384" s="392" t="str">
        <f t="shared" si="10"/>
        <v>Open - EVANGELOU Georgios</v>
      </c>
      <c r="C384" s="1441" t="str">
        <f t="shared" si="11"/>
        <v>EVANGELOU Georgios</v>
      </c>
      <c r="D384" s="1428" t="s">
        <v>889</v>
      </c>
      <c r="E384" s="1429">
        <v>377</v>
      </c>
      <c r="F384" s="2197" t="s">
        <v>13493</v>
      </c>
      <c r="G384" s="2198" t="s">
        <v>3324</v>
      </c>
      <c r="H384" s="2197" t="s">
        <v>13590</v>
      </c>
      <c r="I384" s="2199" t="s">
        <v>1025</v>
      </c>
      <c r="J384" s="2196">
        <v>42.5</v>
      </c>
    </row>
    <row r="385" spans="2:10" ht="13.5" thickBot="1" x14ac:dyDescent="0.25">
      <c r="B385" s="392" t="str">
        <f t="shared" si="10"/>
        <v>Open - STRATOUDAKIS Spyridon</v>
      </c>
      <c r="C385" s="1441" t="str">
        <f t="shared" si="11"/>
        <v>STRATOUDAKIS Spyridon</v>
      </c>
      <c r="D385" s="1428" t="s">
        <v>889</v>
      </c>
      <c r="E385" s="1429">
        <v>379</v>
      </c>
      <c r="F385" s="2197" t="s">
        <v>7286</v>
      </c>
      <c r="G385" s="2198" t="s">
        <v>7806</v>
      </c>
      <c r="H385" s="2197" t="s">
        <v>2758</v>
      </c>
      <c r="I385" s="2199" t="s">
        <v>1025</v>
      </c>
      <c r="J385" s="2196">
        <v>42</v>
      </c>
    </row>
    <row r="386" spans="2:10" ht="13.5" thickBot="1" x14ac:dyDescent="0.25">
      <c r="B386" s="392" t="str">
        <f t="shared" si="10"/>
        <v>Open - APATZIS Nikitas</v>
      </c>
      <c r="C386" s="1441" t="str">
        <f t="shared" si="11"/>
        <v>APATZIS Nikitas</v>
      </c>
      <c r="D386" s="1428" t="s">
        <v>889</v>
      </c>
      <c r="E386" s="1429">
        <v>379</v>
      </c>
      <c r="F386" s="2197" t="s">
        <v>8749</v>
      </c>
      <c r="G386" s="2198" t="s">
        <v>6925</v>
      </c>
      <c r="H386" s="2197" t="s">
        <v>13590</v>
      </c>
      <c r="I386" s="2199" t="s">
        <v>1025</v>
      </c>
      <c r="J386" s="2196">
        <v>42</v>
      </c>
    </row>
    <row r="387" spans="2:10" ht="13.5" thickBot="1" x14ac:dyDescent="0.25">
      <c r="B387" s="392" t="str">
        <f t="shared" si="10"/>
        <v>Open - ABECASSIS Lionel</v>
      </c>
      <c r="C387" s="1441" t="str">
        <f t="shared" si="11"/>
        <v>ABECASSIS Lionel</v>
      </c>
      <c r="D387" s="1428" t="s">
        <v>889</v>
      </c>
      <c r="E387" s="1429">
        <v>379</v>
      </c>
      <c r="F387" s="2197" t="s">
        <v>18085</v>
      </c>
      <c r="G387" s="2198" t="s">
        <v>17574</v>
      </c>
      <c r="H387" s="2197" t="s">
        <v>14359</v>
      </c>
      <c r="I387" s="2199" t="s">
        <v>1019</v>
      </c>
      <c r="J387" s="2196">
        <v>42</v>
      </c>
    </row>
    <row r="388" spans="2:10" ht="13.5" thickBot="1" x14ac:dyDescent="0.25">
      <c r="B388" s="392" t="str">
        <f t="shared" si="10"/>
        <v>Open - LIGOS Marc</v>
      </c>
      <c r="C388" s="1441" t="str">
        <f t="shared" si="11"/>
        <v>LIGOS Marc</v>
      </c>
      <c r="D388" s="1428" t="s">
        <v>889</v>
      </c>
      <c r="E388" s="1429">
        <v>379</v>
      </c>
      <c r="F388" s="2197" t="s">
        <v>16557</v>
      </c>
      <c r="G388" s="2198" t="s">
        <v>3208</v>
      </c>
      <c r="H388" s="2197" t="s">
        <v>14451</v>
      </c>
      <c r="I388" s="2199" t="s">
        <v>1015</v>
      </c>
      <c r="J388" s="2196">
        <v>42</v>
      </c>
    </row>
    <row r="389" spans="2:10" ht="13.5" thickBot="1" x14ac:dyDescent="0.25">
      <c r="B389" s="392" t="str">
        <f t="shared" si="10"/>
        <v>Open - ICHIBA Masumi</v>
      </c>
      <c r="C389" s="1441" t="str">
        <f t="shared" si="11"/>
        <v>ICHIBA Masumi</v>
      </c>
      <c r="D389" s="1428" t="s">
        <v>889</v>
      </c>
      <c r="E389" s="1429">
        <v>379</v>
      </c>
      <c r="F389" s="2197" t="s">
        <v>16553</v>
      </c>
      <c r="G389" s="2198" t="s">
        <v>15687</v>
      </c>
      <c r="H389" s="2197" t="s">
        <v>5508</v>
      </c>
      <c r="I389" s="2199" t="s">
        <v>1041</v>
      </c>
      <c r="J389" s="2196">
        <v>42</v>
      </c>
    </row>
    <row r="390" spans="2:10" ht="13.5" thickBot="1" x14ac:dyDescent="0.25">
      <c r="B390" s="392" t="str">
        <f t="shared" si="10"/>
        <v>Open - PANDOLFI Cédric</v>
      </c>
      <c r="C390" s="1441" t="str">
        <f t="shared" si="11"/>
        <v>PANDOLFI Cédric</v>
      </c>
      <c r="D390" s="1428" t="s">
        <v>889</v>
      </c>
      <c r="E390" s="1429">
        <v>379</v>
      </c>
      <c r="F390" s="2197" t="s">
        <v>16634</v>
      </c>
      <c r="G390" s="2198" t="s">
        <v>3375</v>
      </c>
      <c r="H390" s="2197" t="s">
        <v>15239</v>
      </c>
      <c r="I390" s="2199" t="s">
        <v>1019</v>
      </c>
      <c r="J390" s="2196">
        <v>42</v>
      </c>
    </row>
    <row r="391" spans="2:10" ht="13.5" thickBot="1" x14ac:dyDescent="0.25">
      <c r="B391" s="392" t="str">
        <f t="shared" ref="B391:B454" si="12">CONCATENATE(D391," - ",C391)</f>
        <v>Open - KORDANTONOPOULOS Athanasios</v>
      </c>
      <c r="C391" s="1441" t="str">
        <f t="shared" ref="C391:C454" si="13">CONCATENATE(UPPER(F391)," ",G391)</f>
        <v>KORDANTONOPOULOS Athanasios</v>
      </c>
      <c r="D391" s="1428" t="s">
        <v>889</v>
      </c>
      <c r="E391" s="1429">
        <v>385</v>
      </c>
      <c r="F391" s="2197" t="s">
        <v>3343</v>
      </c>
      <c r="G391" s="2198" t="s">
        <v>3472</v>
      </c>
      <c r="H391" s="2197" t="s">
        <v>3213</v>
      </c>
      <c r="I391" s="2199" t="s">
        <v>1025</v>
      </c>
      <c r="J391" s="2196">
        <v>41.5</v>
      </c>
    </row>
    <row r="392" spans="2:10" ht="13.5" thickBot="1" x14ac:dyDescent="0.25">
      <c r="B392" s="392" t="str">
        <f t="shared" si="12"/>
        <v>Open - TARGUI Sami</v>
      </c>
      <c r="C392" s="1441" t="str">
        <f t="shared" si="13"/>
        <v>TARGUI Sami</v>
      </c>
      <c r="D392" s="1428" t="s">
        <v>889</v>
      </c>
      <c r="E392" s="1429">
        <v>386</v>
      </c>
      <c r="F392" s="2197" t="s">
        <v>14146</v>
      </c>
      <c r="G392" s="2198" t="s">
        <v>3031</v>
      </c>
      <c r="H392" s="2197" t="s">
        <v>2746</v>
      </c>
      <c r="I392" s="2199" t="s">
        <v>990</v>
      </c>
      <c r="J392" s="2196">
        <v>41</v>
      </c>
    </row>
    <row r="393" spans="2:10" ht="13.5" thickBot="1" x14ac:dyDescent="0.25">
      <c r="B393" s="392" t="str">
        <f t="shared" si="12"/>
        <v>Open - VARELA Rui</v>
      </c>
      <c r="C393" s="1441" t="str">
        <f t="shared" si="13"/>
        <v>VARELA Rui</v>
      </c>
      <c r="D393" s="1428" t="s">
        <v>889</v>
      </c>
      <c r="E393" s="1429">
        <v>386</v>
      </c>
      <c r="F393" s="2197" t="s">
        <v>14264</v>
      </c>
      <c r="G393" s="2198" t="s">
        <v>7321</v>
      </c>
      <c r="H393" s="2197" t="s">
        <v>5314</v>
      </c>
      <c r="I393" s="2199" t="s">
        <v>1061</v>
      </c>
      <c r="J393" s="2196">
        <v>41</v>
      </c>
    </row>
    <row r="394" spans="2:10" ht="13.5" thickBot="1" x14ac:dyDescent="0.25">
      <c r="B394" s="392" t="str">
        <f t="shared" si="12"/>
        <v>Open - ARNOLD Bryan</v>
      </c>
      <c r="C394" s="1441" t="str">
        <f t="shared" si="13"/>
        <v>ARNOLD Bryan</v>
      </c>
      <c r="D394" s="1428" t="s">
        <v>889</v>
      </c>
      <c r="E394" s="1429">
        <v>386</v>
      </c>
      <c r="F394" s="2197" t="s">
        <v>3294</v>
      </c>
      <c r="G394" s="2198" t="s">
        <v>3344</v>
      </c>
      <c r="H394" s="2197" t="s">
        <v>14892</v>
      </c>
      <c r="I394" s="2199" t="s">
        <v>1079</v>
      </c>
      <c r="J394" s="2196">
        <v>41</v>
      </c>
    </row>
    <row r="395" spans="2:10" ht="13.5" thickBot="1" x14ac:dyDescent="0.25">
      <c r="B395" s="392" t="str">
        <f t="shared" si="12"/>
        <v>Open - MUÑOZ Manuel</v>
      </c>
      <c r="C395" s="1441" t="str">
        <f t="shared" si="13"/>
        <v>MUÑOZ Manuel</v>
      </c>
      <c r="D395" s="1428" t="s">
        <v>889</v>
      </c>
      <c r="E395" s="1429">
        <v>386</v>
      </c>
      <c r="F395" s="2197" t="s">
        <v>10306</v>
      </c>
      <c r="G395" s="2198" t="s">
        <v>3171</v>
      </c>
      <c r="H395" s="2197" t="s">
        <v>14454</v>
      </c>
      <c r="I395" s="2199" t="s">
        <v>1015</v>
      </c>
      <c r="J395" s="2196">
        <v>41</v>
      </c>
    </row>
    <row r="396" spans="2:10" ht="13.5" thickBot="1" x14ac:dyDescent="0.25">
      <c r="B396" s="392" t="str">
        <f t="shared" si="12"/>
        <v>Open - HENRIQUES Nuno</v>
      </c>
      <c r="C396" s="1441" t="str">
        <f t="shared" si="13"/>
        <v>HENRIQUES Nuno</v>
      </c>
      <c r="D396" s="1428" t="s">
        <v>889</v>
      </c>
      <c r="E396" s="1429">
        <v>390</v>
      </c>
      <c r="F396" s="2197" t="s">
        <v>14213</v>
      </c>
      <c r="G396" s="2198" t="s">
        <v>3093</v>
      </c>
      <c r="H396" s="2197" t="s">
        <v>15138</v>
      </c>
      <c r="I396" s="2199" t="s">
        <v>1061</v>
      </c>
      <c r="J396" s="2196">
        <v>40.5</v>
      </c>
    </row>
    <row r="397" spans="2:10" ht="13.5" thickBot="1" x14ac:dyDescent="0.25">
      <c r="B397" s="392" t="str">
        <f t="shared" si="12"/>
        <v>Open - ALFARO Isaac</v>
      </c>
      <c r="C397" s="1441" t="str">
        <f t="shared" si="13"/>
        <v>ALFARO Isaac</v>
      </c>
      <c r="D397" s="1428" t="s">
        <v>889</v>
      </c>
      <c r="E397" s="1429">
        <v>390</v>
      </c>
      <c r="F397" s="2197" t="s">
        <v>16559</v>
      </c>
      <c r="G397" s="2198" t="s">
        <v>3460</v>
      </c>
      <c r="H397" s="2197" t="s">
        <v>2755</v>
      </c>
      <c r="I397" s="2199" t="s">
        <v>1015</v>
      </c>
      <c r="J397" s="2196">
        <v>40.5</v>
      </c>
    </row>
    <row r="398" spans="2:10" ht="13.5" thickBot="1" x14ac:dyDescent="0.25">
      <c r="B398" s="392" t="str">
        <f t="shared" si="12"/>
        <v>Open - TARRY Colin</v>
      </c>
      <c r="C398" s="1441" t="str">
        <f t="shared" si="13"/>
        <v>TARRY Colin</v>
      </c>
      <c r="D398" s="1428" t="s">
        <v>889</v>
      </c>
      <c r="E398" s="1429">
        <v>392</v>
      </c>
      <c r="F398" s="2197" t="s">
        <v>14936</v>
      </c>
      <c r="G398" s="2198" t="s">
        <v>3114</v>
      </c>
      <c r="H398" s="2197" t="s">
        <v>15274</v>
      </c>
      <c r="I398" s="2199" t="s">
        <v>1013</v>
      </c>
      <c r="J398" s="2196">
        <v>40</v>
      </c>
    </row>
    <row r="399" spans="2:10" ht="13.5" thickBot="1" x14ac:dyDescent="0.25">
      <c r="B399" s="392" t="str">
        <f t="shared" si="12"/>
        <v>Open - BLANC Mickaël</v>
      </c>
      <c r="C399" s="1441" t="str">
        <f t="shared" si="13"/>
        <v>BLANC Mickaël</v>
      </c>
      <c r="D399" s="1428" t="s">
        <v>889</v>
      </c>
      <c r="E399" s="1429">
        <v>393</v>
      </c>
      <c r="F399" s="2197" t="s">
        <v>10303</v>
      </c>
      <c r="G399" s="2198" t="s">
        <v>9772</v>
      </c>
      <c r="H399" s="2197" t="s">
        <v>15239</v>
      </c>
      <c r="I399" s="2199" t="s">
        <v>1019</v>
      </c>
      <c r="J399" s="2196">
        <v>39.5</v>
      </c>
    </row>
    <row r="400" spans="2:10" ht="13.5" thickBot="1" x14ac:dyDescent="0.25">
      <c r="B400" s="392" t="str">
        <f t="shared" si="12"/>
        <v>Open - SKOUROS Panagiotis</v>
      </c>
      <c r="C400" s="1441" t="str">
        <f t="shared" si="13"/>
        <v>SKOUROS Panagiotis</v>
      </c>
      <c r="D400" s="1428" t="s">
        <v>889</v>
      </c>
      <c r="E400" s="1429">
        <v>393</v>
      </c>
      <c r="F400" s="2197" t="s">
        <v>8767</v>
      </c>
      <c r="G400" s="2198" t="s">
        <v>3249</v>
      </c>
      <c r="H400" s="2197" t="s">
        <v>3213</v>
      </c>
      <c r="I400" s="2199" t="s">
        <v>1025</v>
      </c>
      <c r="J400" s="2196">
        <v>39.5</v>
      </c>
    </row>
    <row r="401" spans="2:10" ht="13.5" thickBot="1" x14ac:dyDescent="0.25">
      <c r="B401" s="392" t="str">
        <f t="shared" si="12"/>
        <v>Open - MÉNDEZ Luis Felipe</v>
      </c>
      <c r="C401" s="1441" t="str">
        <f t="shared" si="13"/>
        <v>MÉNDEZ Luis Felipe</v>
      </c>
      <c r="D401" s="1428" t="s">
        <v>889</v>
      </c>
      <c r="E401" s="1429">
        <v>393</v>
      </c>
      <c r="F401" s="2197" t="s">
        <v>7301</v>
      </c>
      <c r="G401" s="2198" t="s">
        <v>3417</v>
      </c>
      <c r="H401" s="2197" t="s">
        <v>2755</v>
      </c>
      <c r="I401" s="2199" t="s">
        <v>1015</v>
      </c>
      <c r="J401" s="2196">
        <v>39.5</v>
      </c>
    </row>
    <row r="402" spans="2:10" ht="13.5" thickBot="1" x14ac:dyDescent="0.25">
      <c r="B402" s="392" t="str">
        <f t="shared" si="12"/>
        <v>Open - VOLPI Giovanni</v>
      </c>
      <c r="C402" s="1441" t="str">
        <f t="shared" si="13"/>
        <v>VOLPI Giovanni</v>
      </c>
      <c r="D402" s="1428" t="s">
        <v>889</v>
      </c>
      <c r="E402" s="1429">
        <v>393</v>
      </c>
      <c r="F402" s="2197" t="s">
        <v>14290</v>
      </c>
      <c r="G402" s="2198" t="s">
        <v>3371</v>
      </c>
      <c r="H402" s="2197" t="s">
        <v>7873</v>
      </c>
      <c r="I402" s="2199" t="s">
        <v>1037</v>
      </c>
      <c r="J402" s="2196">
        <v>39.5</v>
      </c>
    </row>
    <row r="403" spans="2:10" ht="13.5" thickBot="1" x14ac:dyDescent="0.25">
      <c r="B403" s="392" t="str">
        <f t="shared" si="12"/>
        <v>Open - WATSON Lawrence</v>
      </c>
      <c r="C403" s="1441" t="str">
        <f t="shared" si="13"/>
        <v>WATSON Lawrence</v>
      </c>
      <c r="D403" s="1428" t="s">
        <v>889</v>
      </c>
      <c r="E403" s="1429">
        <v>393</v>
      </c>
      <c r="F403" s="2197" t="s">
        <v>14900</v>
      </c>
      <c r="G403" s="2198" t="s">
        <v>3152</v>
      </c>
      <c r="H403" s="2197" t="s">
        <v>9598</v>
      </c>
      <c r="I403" s="2199" t="s">
        <v>1055</v>
      </c>
      <c r="J403" s="2196">
        <v>39.5</v>
      </c>
    </row>
    <row r="404" spans="2:10" ht="13.5" thickBot="1" x14ac:dyDescent="0.25">
      <c r="B404" s="392" t="str">
        <f t="shared" si="12"/>
        <v>Open - EBEJER Thomas</v>
      </c>
      <c r="C404" s="1441" t="str">
        <f t="shared" si="13"/>
        <v>EBEJER Thomas</v>
      </c>
      <c r="D404" s="1428" t="s">
        <v>889</v>
      </c>
      <c r="E404" s="1429">
        <v>398</v>
      </c>
      <c r="F404" s="2197" t="s">
        <v>3161</v>
      </c>
      <c r="G404" s="2198" t="s">
        <v>3124</v>
      </c>
      <c r="H404" s="2197" t="s">
        <v>10253</v>
      </c>
      <c r="I404" s="2199" t="s">
        <v>1045</v>
      </c>
      <c r="J404" s="2196">
        <v>39</v>
      </c>
    </row>
    <row r="405" spans="2:10" ht="13.5" thickBot="1" x14ac:dyDescent="0.25">
      <c r="B405" s="392" t="str">
        <f t="shared" si="12"/>
        <v>Open - IORIO Alex</v>
      </c>
      <c r="C405" s="1441" t="str">
        <f t="shared" si="13"/>
        <v>IORIO Alex</v>
      </c>
      <c r="D405" s="1428" t="s">
        <v>889</v>
      </c>
      <c r="E405" s="1429">
        <v>398</v>
      </c>
      <c r="F405" s="2197" t="s">
        <v>3129</v>
      </c>
      <c r="G405" s="2198" t="s">
        <v>3130</v>
      </c>
      <c r="H405" s="2197" t="s">
        <v>15245</v>
      </c>
      <c r="I405" s="2199" t="s">
        <v>1037</v>
      </c>
      <c r="J405" s="2196">
        <v>39</v>
      </c>
    </row>
    <row r="406" spans="2:10" ht="13.5" thickBot="1" x14ac:dyDescent="0.25">
      <c r="B406" s="392" t="str">
        <f t="shared" si="12"/>
        <v>Open - SKORDAS Nikolaos</v>
      </c>
      <c r="C406" s="1441" t="str">
        <f t="shared" si="13"/>
        <v>SKORDAS Nikolaos</v>
      </c>
      <c r="D406" s="1428" t="s">
        <v>889</v>
      </c>
      <c r="E406" s="1429">
        <v>400</v>
      </c>
      <c r="F406" s="2197" t="s">
        <v>8725</v>
      </c>
      <c r="G406" s="2198" t="s">
        <v>5554</v>
      </c>
      <c r="H406" s="2197" t="s">
        <v>15175</v>
      </c>
      <c r="I406" s="2199" t="s">
        <v>1025</v>
      </c>
      <c r="J406" s="2196">
        <v>38.5</v>
      </c>
    </row>
    <row r="407" spans="2:10" ht="13.5" thickBot="1" x14ac:dyDescent="0.25">
      <c r="B407" s="392" t="str">
        <f t="shared" si="12"/>
        <v>Open - CHARATSIS Panagiotis</v>
      </c>
      <c r="C407" s="1441" t="str">
        <f t="shared" si="13"/>
        <v>CHARATSIS Panagiotis</v>
      </c>
      <c r="D407" s="1428" t="s">
        <v>889</v>
      </c>
      <c r="E407" s="1429">
        <v>400</v>
      </c>
      <c r="F407" s="2197" t="s">
        <v>10300</v>
      </c>
      <c r="G407" s="2198" t="s">
        <v>3249</v>
      </c>
      <c r="H407" s="2197" t="s">
        <v>5309</v>
      </c>
      <c r="I407" s="2199" t="s">
        <v>1025</v>
      </c>
      <c r="J407" s="2196">
        <v>38.5</v>
      </c>
    </row>
    <row r="408" spans="2:10" ht="13.5" thickBot="1" x14ac:dyDescent="0.25">
      <c r="B408" s="392" t="str">
        <f t="shared" si="12"/>
        <v>Open - THIEL Frédéric</v>
      </c>
      <c r="C408" s="1441" t="str">
        <f t="shared" si="13"/>
        <v>THIEL Frédéric</v>
      </c>
      <c r="D408" s="1428" t="s">
        <v>889</v>
      </c>
      <c r="E408" s="1429">
        <v>400</v>
      </c>
      <c r="F408" s="2197" t="s">
        <v>17608</v>
      </c>
      <c r="G408" s="2198" t="s">
        <v>3286</v>
      </c>
      <c r="H408" s="2197" t="s">
        <v>5301</v>
      </c>
      <c r="I408" s="2199" t="s">
        <v>990</v>
      </c>
      <c r="J408" s="2196">
        <v>38.5</v>
      </c>
    </row>
    <row r="409" spans="2:10" ht="13.5" thickBot="1" x14ac:dyDescent="0.25">
      <c r="B409" s="392" t="str">
        <f t="shared" si="12"/>
        <v>Open - LELUBRE Kevin</v>
      </c>
      <c r="C409" s="1441" t="str">
        <f t="shared" si="13"/>
        <v>LELUBRE Kevin</v>
      </c>
      <c r="D409" s="1428" t="s">
        <v>889</v>
      </c>
      <c r="E409" s="1429">
        <v>400</v>
      </c>
      <c r="F409" s="2197" t="s">
        <v>17609</v>
      </c>
      <c r="G409" s="2198" t="s">
        <v>3263</v>
      </c>
      <c r="H409" s="2197" t="s">
        <v>5301</v>
      </c>
      <c r="I409" s="2199" t="s">
        <v>990</v>
      </c>
      <c r="J409" s="2196">
        <v>38.5</v>
      </c>
    </row>
    <row r="410" spans="2:10" ht="13.5" thickBot="1" x14ac:dyDescent="0.25">
      <c r="B410" s="392" t="str">
        <f t="shared" si="12"/>
        <v>Open - RIGGIO Salvatore</v>
      </c>
      <c r="C410" s="1441" t="str">
        <f t="shared" si="13"/>
        <v>RIGGIO Salvatore</v>
      </c>
      <c r="D410" s="1428" t="s">
        <v>889</v>
      </c>
      <c r="E410" s="1429">
        <v>404</v>
      </c>
      <c r="F410" s="2197" t="s">
        <v>14197</v>
      </c>
      <c r="G410" s="2198" t="s">
        <v>3265</v>
      </c>
      <c r="H410" s="2197" t="s">
        <v>13593</v>
      </c>
      <c r="I410" s="2199" t="s">
        <v>1037</v>
      </c>
      <c r="J410" s="2196">
        <v>38</v>
      </c>
    </row>
    <row r="411" spans="2:10" ht="13.5" thickBot="1" x14ac:dyDescent="0.25">
      <c r="B411" s="392" t="str">
        <f t="shared" si="12"/>
        <v>Open - BEST Hugh</v>
      </c>
      <c r="C411" s="1441" t="str">
        <f t="shared" si="13"/>
        <v>BEST Hugh</v>
      </c>
      <c r="D411" s="1428" t="s">
        <v>889</v>
      </c>
      <c r="E411" s="1429">
        <v>404</v>
      </c>
      <c r="F411" s="2197" t="s">
        <v>16605</v>
      </c>
      <c r="G411" s="2198" t="s">
        <v>8226</v>
      </c>
      <c r="H411" s="2197" t="s">
        <v>15246</v>
      </c>
      <c r="I411" s="2199" t="s">
        <v>986</v>
      </c>
      <c r="J411" s="2196">
        <v>38</v>
      </c>
    </row>
    <row r="412" spans="2:10" ht="13.5" thickBot="1" x14ac:dyDescent="0.25">
      <c r="B412" s="392" t="str">
        <f t="shared" si="12"/>
        <v>Open - CASTRO Miguel</v>
      </c>
      <c r="C412" s="1441" t="str">
        <f t="shared" si="13"/>
        <v>CASTRO Miguel</v>
      </c>
      <c r="D412" s="1428" t="s">
        <v>889</v>
      </c>
      <c r="E412" s="1429">
        <v>406</v>
      </c>
      <c r="F412" s="2197" t="s">
        <v>14296</v>
      </c>
      <c r="G412" s="2198" t="s">
        <v>3089</v>
      </c>
      <c r="H412" s="2197" t="s">
        <v>5314</v>
      </c>
      <c r="I412" s="2199" t="s">
        <v>1061</v>
      </c>
      <c r="J412" s="2196">
        <v>37.5</v>
      </c>
    </row>
    <row r="413" spans="2:10" ht="13.5" thickBot="1" x14ac:dyDescent="0.25">
      <c r="B413" s="392" t="str">
        <f t="shared" si="12"/>
        <v>Open - DOUGLAS Adam</v>
      </c>
      <c r="C413" s="1441" t="str">
        <f t="shared" si="13"/>
        <v>DOUGLAS Adam</v>
      </c>
      <c r="D413" s="1428" t="s">
        <v>889</v>
      </c>
      <c r="E413" s="1429">
        <v>406</v>
      </c>
      <c r="F413" s="2197" t="s">
        <v>14204</v>
      </c>
      <c r="G413" s="2198" t="s">
        <v>3502</v>
      </c>
      <c r="H413" s="2197" t="s">
        <v>17082</v>
      </c>
      <c r="I413" s="2199" t="s">
        <v>1013</v>
      </c>
      <c r="J413" s="2196">
        <v>37.5</v>
      </c>
    </row>
    <row r="414" spans="2:10" ht="13.5" thickBot="1" x14ac:dyDescent="0.25">
      <c r="B414" s="392" t="str">
        <f t="shared" si="12"/>
        <v>Open - MIDOUX Rafaël</v>
      </c>
      <c r="C414" s="1441" t="str">
        <f t="shared" si="13"/>
        <v>MIDOUX Rafaël</v>
      </c>
      <c r="D414" s="1428" t="s">
        <v>889</v>
      </c>
      <c r="E414" s="1429">
        <v>408</v>
      </c>
      <c r="F414" s="2197" t="s">
        <v>3189</v>
      </c>
      <c r="G414" s="2198" t="s">
        <v>8238</v>
      </c>
      <c r="H414" s="2197" t="s">
        <v>13519</v>
      </c>
      <c r="I414" s="2199" t="s">
        <v>1019</v>
      </c>
      <c r="J414" s="2196">
        <v>37</v>
      </c>
    </row>
    <row r="415" spans="2:10" ht="13.5" thickBot="1" x14ac:dyDescent="0.25">
      <c r="B415" s="392" t="str">
        <f t="shared" si="12"/>
        <v>Open - JONES Victor</v>
      </c>
      <c r="C415" s="1441" t="str">
        <f t="shared" si="13"/>
        <v>JONES Victor</v>
      </c>
      <c r="D415" s="1428" t="s">
        <v>889</v>
      </c>
      <c r="E415" s="1429">
        <v>408</v>
      </c>
      <c r="F415" s="2197" t="s">
        <v>14168</v>
      </c>
      <c r="G415" s="2198" t="s">
        <v>3141</v>
      </c>
      <c r="H415" s="2197" t="s">
        <v>17082</v>
      </c>
      <c r="I415" s="2199" t="s">
        <v>1013</v>
      </c>
      <c r="J415" s="2196">
        <v>37</v>
      </c>
    </row>
    <row r="416" spans="2:10" ht="13.5" thickBot="1" x14ac:dyDescent="0.25">
      <c r="B416" s="392" t="str">
        <f t="shared" si="12"/>
        <v>Open - CASANOVA Alessandro</v>
      </c>
      <c r="C416" s="1441" t="str">
        <f t="shared" si="13"/>
        <v>CASANOVA Alessandro</v>
      </c>
      <c r="D416" s="1428" t="s">
        <v>889</v>
      </c>
      <c r="E416" s="1429">
        <v>408</v>
      </c>
      <c r="F416" s="2197" t="s">
        <v>9720</v>
      </c>
      <c r="G416" s="2198" t="s">
        <v>3125</v>
      </c>
      <c r="H416" s="2197" t="s">
        <v>11325</v>
      </c>
      <c r="I416" s="2199" t="s">
        <v>1037</v>
      </c>
      <c r="J416" s="2196">
        <v>37</v>
      </c>
    </row>
    <row r="417" spans="2:10" ht="13.5" thickBot="1" x14ac:dyDescent="0.25">
      <c r="B417" s="392" t="str">
        <f t="shared" si="12"/>
        <v>Open - BADGER Gage</v>
      </c>
      <c r="C417" s="1441" t="str">
        <f t="shared" si="13"/>
        <v>BADGER Gage</v>
      </c>
      <c r="D417" s="1428" t="s">
        <v>889</v>
      </c>
      <c r="E417" s="1429">
        <v>408</v>
      </c>
      <c r="F417" s="2197" t="s">
        <v>10988</v>
      </c>
      <c r="G417" s="2198" t="s">
        <v>14397</v>
      </c>
      <c r="H417" s="2197" t="s">
        <v>14399</v>
      </c>
      <c r="I417" s="2199" t="s">
        <v>1013</v>
      </c>
      <c r="J417" s="2196">
        <v>37</v>
      </c>
    </row>
    <row r="418" spans="2:10" ht="13.5" thickBot="1" x14ac:dyDescent="0.25">
      <c r="B418" s="392" t="str">
        <f t="shared" si="12"/>
        <v>Open - MULASMAJIC Edin</v>
      </c>
      <c r="C418" s="1441" t="str">
        <f t="shared" si="13"/>
        <v>MULASMAJIC Edin</v>
      </c>
      <c r="D418" s="1428" t="s">
        <v>889</v>
      </c>
      <c r="E418" s="1429">
        <v>408</v>
      </c>
      <c r="F418" s="2197" t="s">
        <v>11438</v>
      </c>
      <c r="G418" s="2198" t="s">
        <v>6959</v>
      </c>
      <c r="H418" s="2197" t="s">
        <v>11409</v>
      </c>
      <c r="I418" s="2199" t="s">
        <v>1021</v>
      </c>
      <c r="J418" s="2196">
        <v>37</v>
      </c>
    </row>
    <row r="419" spans="2:10" ht="13.5" thickBot="1" x14ac:dyDescent="0.25">
      <c r="B419" s="392" t="str">
        <f t="shared" si="12"/>
        <v>Open - CARLES PRAT Ricard</v>
      </c>
      <c r="C419" s="1441" t="str">
        <f t="shared" si="13"/>
        <v>CARLES PRAT Ricard</v>
      </c>
      <c r="D419" s="1428" t="s">
        <v>889</v>
      </c>
      <c r="E419" s="1429">
        <v>413</v>
      </c>
      <c r="F419" s="2197" t="s">
        <v>16556</v>
      </c>
      <c r="G419" s="2198" t="s">
        <v>15319</v>
      </c>
      <c r="H419" s="2197" t="s">
        <v>2783</v>
      </c>
      <c r="I419" s="2199" t="s">
        <v>1015</v>
      </c>
      <c r="J419" s="2196">
        <v>36.5</v>
      </c>
    </row>
    <row r="420" spans="2:10" ht="13.5" thickBot="1" x14ac:dyDescent="0.25">
      <c r="B420" s="392" t="str">
        <f t="shared" si="12"/>
        <v>Open - MALINDRETOS Pavlos</v>
      </c>
      <c r="C420" s="1441" t="str">
        <f t="shared" si="13"/>
        <v>MALINDRETOS Pavlos</v>
      </c>
      <c r="D420" s="1428" t="s">
        <v>889</v>
      </c>
      <c r="E420" s="1429">
        <v>413</v>
      </c>
      <c r="F420" s="2197" t="s">
        <v>8765</v>
      </c>
      <c r="G420" s="2198" t="s">
        <v>5654</v>
      </c>
      <c r="H420" s="2197" t="s">
        <v>3213</v>
      </c>
      <c r="I420" s="2199" t="s">
        <v>1025</v>
      </c>
      <c r="J420" s="2196">
        <v>36.5</v>
      </c>
    </row>
    <row r="421" spans="2:10" ht="13.5" thickBot="1" x14ac:dyDescent="0.25">
      <c r="B421" s="392" t="str">
        <f t="shared" si="12"/>
        <v>Open - MOTTET Bruno</v>
      </c>
      <c r="C421" s="1441" t="str">
        <f t="shared" si="13"/>
        <v>MOTTET Bruno</v>
      </c>
      <c r="D421" s="1428" t="s">
        <v>889</v>
      </c>
      <c r="E421" s="1429">
        <v>413</v>
      </c>
      <c r="F421" s="2197" t="s">
        <v>9603</v>
      </c>
      <c r="G421" s="2198" t="s">
        <v>3168</v>
      </c>
      <c r="H421" s="2197" t="s">
        <v>2779</v>
      </c>
      <c r="I421" s="2199" t="s">
        <v>990</v>
      </c>
      <c r="J421" s="2196">
        <v>36.5</v>
      </c>
    </row>
    <row r="422" spans="2:10" ht="13.5" thickBot="1" x14ac:dyDescent="0.25">
      <c r="B422" s="392" t="str">
        <f t="shared" si="12"/>
        <v>Open - TELLEZ Kyle</v>
      </c>
      <c r="C422" s="1441" t="str">
        <f t="shared" si="13"/>
        <v>TELLEZ Kyle</v>
      </c>
      <c r="D422" s="1428" t="s">
        <v>889</v>
      </c>
      <c r="E422" s="1429">
        <v>416</v>
      </c>
      <c r="F422" s="2197" t="s">
        <v>16549</v>
      </c>
      <c r="G422" s="2198" t="s">
        <v>3577</v>
      </c>
      <c r="H422" s="2197" t="s">
        <v>9448</v>
      </c>
      <c r="I422" s="2199" t="s">
        <v>1023</v>
      </c>
      <c r="J422" s="2196">
        <v>36</v>
      </c>
    </row>
    <row r="423" spans="2:10" ht="13.5" thickBot="1" x14ac:dyDescent="0.25">
      <c r="B423" s="392" t="str">
        <f t="shared" si="12"/>
        <v>Open - TORANO Pasquale</v>
      </c>
      <c r="C423" s="1441" t="str">
        <f t="shared" si="13"/>
        <v>TORANO Pasquale</v>
      </c>
      <c r="D423" s="1428" t="s">
        <v>889</v>
      </c>
      <c r="E423" s="1429">
        <v>416</v>
      </c>
      <c r="F423" s="2197" t="s">
        <v>3401</v>
      </c>
      <c r="G423" s="2198" t="s">
        <v>3548</v>
      </c>
      <c r="H423" s="2197" t="s">
        <v>7873</v>
      </c>
      <c r="I423" s="2199" t="s">
        <v>1037</v>
      </c>
      <c r="J423" s="2196">
        <v>36</v>
      </c>
    </row>
    <row r="424" spans="2:10" ht="13.5" thickBot="1" x14ac:dyDescent="0.25">
      <c r="B424" s="392" t="str">
        <f t="shared" si="12"/>
        <v>Open - BODIN DE CHATELARD Marcello</v>
      </c>
      <c r="C424" s="1441" t="str">
        <f t="shared" si="13"/>
        <v>BODIN DE CHATELARD Marcello</v>
      </c>
      <c r="D424" s="1428" t="s">
        <v>889</v>
      </c>
      <c r="E424" s="1429">
        <v>416</v>
      </c>
      <c r="F424" s="2197" t="s">
        <v>3257</v>
      </c>
      <c r="G424" s="2198" t="s">
        <v>3258</v>
      </c>
      <c r="H424" s="2197" t="s">
        <v>11467</v>
      </c>
      <c r="I424" s="2199" t="s">
        <v>1037</v>
      </c>
      <c r="J424" s="2196">
        <v>36</v>
      </c>
    </row>
    <row r="425" spans="2:10" ht="13.5" thickBot="1" x14ac:dyDescent="0.25">
      <c r="B425" s="392" t="str">
        <f t="shared" si="12"/>
        <v>Open - CANDELAS Julio</v>
      </c>
      <c r="C425" s="1441" t="str">
        <f t="shared" si="13"/>
        <v>CANDELAS Julio</v>
      </c>
      <c r="D425" s="1428" t="s">
        <v>889</v>
      </c>
      <c r="E425" s="1429">
        <v>416</v>
      </c>
      <c r="F425" s="2197" t="s">
        <v>7305</v>
      </c>
      <c r="G425" s="2198" t="s">
        <v>3181</v>
      </c>
      <c r="H425" s="2197" t="s">
        <v>14370</v>
      </c>
      <c r="I425" s="2199" t="s">
        <v>1015</v>
      </c>
      <c r="J425" s="2196">
        <v>36</v>
      </c>
    </row>
    <row r="426" spans="2:10" ht="13.5" thickBot="1" x14ac:dyDescent="0.25">
      <c r="B426" s="392" t="str">
        <f t="shared" si="12"/>
        <v>Open - ESPOSITO Giosuè</v>
      </c>
      <c r="C426" s="1441" t="str">
        <f t="shared" si="13"/>
        <v>ESPOSITO Giosuè</v>
      </c>
      <c r="D426" s="1428" t="s">
        <v>889</v>
      </c>
      <c r="E426" s="1429">
        <v>416</v>
      </c>
      <c r="F426" s="2197" t="s">
        <v>3238</v>
      </c>
      <c r="G426" s="2198" t="s">
        <v>3239</v>
      </c>
      <c r="H426" s="2197" t="s">
        <v>10262</v>
      </c>
      <c r="I426" s="2199" t="s">
        <v>1037</v>
      </c>
      <c r="J426" s="2196">
        <v>36</v>
      </c>
    </row>
    <row r="427" spans="2:10" ht="13.5" thickBot="1" x14ac:dyDescent="0.25">
      <c r="B427" s="392" t="str">
        <f t="shared" si="12"/>
        <v>Open - BAROSS Gábor</v>
      </c>
      <c r="C427" s="1441" t="str">
        <f t="shared" si="13"/>
        <v>BAROSS Gábor</v>
      </c>
      <c r="D427" s="1428" t="s">
        <v>889</v>
      </c>
      <c r="E427" s="1429">
        <v>416</v>
      </c>
      <c r="F427" s="2197" t="s">
        <v>14187</v>
      </c>
      <c r="G427" s="2198" t="s">
        <v>8721</v>
      </c>
      <c r="H427" s="2197" t="s">
        <v>8871</v>
      </c>
      <c r="I427" s="2199" t="s">
        <v>1029</v>
      </c>
      <c r="J427" s="2196">
        <v>36</v>
      </c>
    </row>
    <row r="428" spans="2:10" ht="13.5" thickBot="1" x14ac:dyDescent="0.25">
      <c r="B428" s="392" t="str">
        <f t="shared" si="12"/>
        <v>Open - MARTINEZ Manuel</v>
      </c>
      <c r="C428" s="1441" t="str">
        <f t="shared" si="13"/>
        <v>MARTINEZ Manuel</v>
      </c>
      <c r="D428" s="1428" t="s">
        <v>889</v>
      </c>
      <c r="E428" s="1429">
        <v>422</v>
      </c>
      <c r="F428" s="2197" t="s">
        <v>3477</v>
      </c>
      <c r="G428" s="2198" t="s">
        <v>3171</v>
      </c>
      <c r="H428" s="2197" t="s">
        <v>9448</v>
      </c>
      <c r="I428" s="2199" t="s">
        <v>1023</v>
      </c>
      <c r="J428" s="2196">
        <v>35.5</v>
      </c>
    </row>
    <row r="429" spans="2:10" ht="13.5" thickBot="1" x14ac:dyDescent="0.25">
      <c r="B429" s="392" t="str">
        <f t="shared" si="12"/>
        <v>Open - SHEARER Andy</v>
      </c>
      <c r="C429" s="1441" t="str">
        <f t="shared" si="13"/>
        <v>SHEARER Andy</v>
      </c>
      <c r="D429" s="1428" t="s">
        <v>889</v>
      </c>
      <c r="E429" s="1429">
        <v>423</v>
      </c>
      <c r="F429" s="2197" t="s">
        <v>18086</v>
      </c>
      <c r="G429" s="2198" t="s">
        <v>3322</v>
      </c>
      <c r="H429" s="2197" t="s">
        <v>15379</v>
      </c>
      <c r="I429" s="2199" t="s">
        <v>14471</v>
      </c>
      <c r="J429" s="2196">
        <v>35</v>
      </c>
    </row>
    <row r="430" spans="2:10" ht="13.5" thickBot="1" x14ac:dyDescent="0.25">
      <c r="B430" s="392" t="str">
        <f t="shared" si="12"/>
        <v>Open - DIRICK Noah</v>
      </c>
      <c r="C430" s="1441" t="str">
        <f t="shared" si="13"/>
        <v>DIRICK Noah</v>
      </c>
      <c r="D430" s="1428" t="s">
        <v>889</v>
      </c>
      <c r="E430" s="1429">
        <v>423</v>
      </c>
      <c r="F430" s="2197" t="s">
        <v>14240</v>
      </c>
      <c r="G430" s="2198" t="s">
        <v>7329</v>
      </c>
      <c r="H430" s="2197" t="s">
        <v>10252</v>
      </c>
      <c r="I430" s="2199" t="s">
        <v>990</v>
      </c>
      <c r="J430" s="2196">
        <v>35</v>
      </c>
    </row>
    <row r="431" spans="2:10" ht="13.5" thickBot="1" x14ac:dyDescent="0.25">
      <c r="B431" s="392" t="str">
        <f t="shared" si="12"/>
        <v>Open - DRAZINAKIS Giorgos</v>
      </c>
      <c r="C431" s="1441" t="str">
        <f t="shared" si="13"/>
        <v>DRAZINAKIS Giorgos</v>
      </c>
      <c r="D431" s="1428" t="s">
        <v>889</v>
      </c>
      <c r="E431" s="1429">
        <v>423</v>
      </c>
      <c r="F431" s="2197" t="s">
        <v>3568</v>
      </c>
      <c r="G431" s="2198" t="s">
        <v>3040</v>
      </c>
      <c r="H431" s="2197" t="s">
        <v>5309</v>
      </c>
      <c r="I431" s="2199" t="s">
        <v>1025</v>
      </c>
      <c r="J431" s="2196">
        <v>35</v>
      </c>
    </row>
    <row r="432" spans="2:10" ht="13.5" thickBot="1" x14ac:dyDescent="0.25">
      <c r="B432" s="392" t="str">
        <f t="shared" si="12"/>
        <v>Open - BONNICI Jayden</v>
      </c>
      <c r="C432" s="1441" t="str">
        <f t="shared" si="13"/>
        <v>BONNICI Jayden</v>
      </c>
      <c r="D432" s="1428" t="s">
        <v>889</v>
      </c>
      <c r="E432" s="1429">
        <v>423</v>
      </c>
      <c r="F432" s="2197" t="s">
        <v>3355</v>
      </c>
      <c r="G432" s="2198" t="s">
        <v>7171</v>
      </c>
      <c r="H432" s="2197" t="s">
        <v>18042</v>
      </c>
      <c r="I432" s="2199" t="s">
        <v>1045</v>
      </c>
      <c r="J432" s="2196">
        <v>35</v>
      </c>
    </row>
    <row r="433" spans="2:10" ht="13.5" thickBot="1" x14ac:dyDescent="0.25">
      <c r="B433" s="392" t="str">
        <f t="shared" si="12"/>
        <v>Open - KATSOULAS Spyridon</v>
      </c>
      <c r="C433" s="1441" t="str">
        <f t="shared" si="13"/>
        <v>KATSOULAS Spyridon</v>
      </c>
      <c r="D433" s="1428" t="s">
        <v>889</v>
      </c>
      <c r="E433" s="1429">
        <v>427</v>
      </c>
      <c r="F433" s="2197" t="s">
        <v>5585</v>
      </c>
      <c r="G433" s="2198" t="s">
        <v>7806</v>
      </c>
      <c r="H433" s="2197" t="s">
        <v>2758</v>
      </c>
      <c r="I433" s="2199" t="s">
        <v>1025</v>
      </c>
      <c r="J433" s="2196">
        <v>34.5</v>
      </c>
    </row>
    <row r="434" spans="2:10" ht="13.5" thickBot="1" x14ac:dyDescent="0.25">
      <c r="B434" s="392" t="str">
        <f t="shared" si="12"/>
        <v>Open - MAC EÓ Oisín</v>
      </c>
      <c r="C434" s="1441" t="str">
        <f t="shared" si="13"/>
        <v>MAC EÓ Oisín</v>
      </c>
      <c r="D434" s="1428" t="s">
        <v>889</v>
      </c>
      <c r="E434" s="1429">
        <v>427</v>
      </c>
      <c r="F434" s="2197" t="s">
        <v>14904</v>
      </c>
      <c r="G434" s="2198" t="s">
        <v>14070</v>
      </c>
      <c r="H434" s="2197" t="s">
        <v>9598</v>
      </c>
      <c r="I434" s="2199" t="s">
        <v>1033</v>
      </c>
      <c r="J434" s="2196">
        <v>34.5</v>
      </c>
    </row>
    <row r="435" spans="2:10" ht="13.5" thickBot="1" x14ac:dyDescent="0.25">
      <c r="B435" s="392" t="str">
        <f t="shared" si="12"/>
        <v>Open - MARTÍNEZ Arturo</v>
      </c>
      <c r="C435" s="1441" t="str">
        <f t="shared" si="13"/>
        <v>MARTÍNEZ Arturo</v>
      </c>
      <c r="D435" s="1428" t="s">
        <v>889</v>
      </c>
      <c r="E435" s="1429">
        <v>427</v>
      </c>
      <c r="F435" s="2197" t="s">
        <v>3252</v>
      </c>
      <c r="G435" s="2198" t="s">
        <v>3253</v>
      </c>
      <c r="H435" s="2197" t="s">
        <v>14448</v>
      </c>
      <c r="I435" s="2199" t="s">
        <v>1015</v>
      </c>
      <c r="J435" s="2196">
        <v>34.5</v>
      </c>
    </row>
    <row r="436" spans="2:10" ht="13.5" thickBot="1" x14ac:dyDescent="0.25">
      <c r="B436" s="392" t="str">
        <f t="shared" si="12"/>
        <v>Open - WEAVER Mark</v>
      </c>
      <c r="C436" s="1441" t="str">
        <f t="shared" si="13"/>
        <v>WEAVER Mark</v>
      </c>
      <c r="D436" s="1428" t="s">
        <v>889</v>
      </c>
      <c r="E436" s="1429">
        <v>430</v>
      </c>
      <c r="F436" s="2197" t="s">
        <v>16582</v>
      </c>
      <c r="G436" s="2198" t="s">
        <v>3017</v>
      </c>
      <c r="H436" s="2197" t="s">
        <v>15274</v>
      </c>
      <c r="I436" s="2199" t="s">
        <v>1013</v>
      </c>
      <c r="J436" s="2196">
        <v>34</v>
      </c>
    </row>
    <row r="437" spans="2:10" ht="13.5" thickBot="1" x14ac:dyDescent="0.25">
      <c r="B437" s="392" t="str">
        <f t="shared" si="12"/>
        <v>Open - KADINOPOULOS Vasileios</v>
      </c>
      <c r="C437" s="1441" t="str">
        <f t="shared" si="13"/>
        <v>KADINOPOULOS Vasileios</v>
      </c>
      <c r="D437" s="1428" t="s">
        <v>889</v>
      </c>
      <c r="E437" s="1429">
        <v>430</v>
      </c>
      <c r="F437" s="2197" t="s">
        <v>5532</v>
      </c>
      <c r="G437" s="2198" t="s">
        <v>5548</v>
      </c>
      <c r="H437" s="2197" t="s">
        <v>9449</v>
      </c>
      <c r="I437" s="2199" t="s">
        <v>1025</v>
      </c>
      <c r="J437" s="2196">
        <v>34</v>
      </c>
    </row>
    <row r="438" spans="2:10" ht="13.5" thickBot="1" x14ac:dyDescent="0.25">
      <c r="B438" s="392" t="str">
        <f t="shared" si="12"/>
        <v>Open - KOTROTSOS Christos</v>
      </c>
      <c r="C438" s="1441" t="str">
        <f t="shared" si="13"/>
        <v>KOTROTSOS Christos</v>
      </c>
      <c r="D438" s="1428" t="s">
        <v>889</v>
      </c>
      <c r="E438" s="1429">
        <v>430</v>
      </c>
      <c r="F438" s="2197" t="s">
        <v>5562</v>
      </c>
      <c r="G438" s="2198" t="s">
        <v>3135</v>
      </c>
      <c r="H438" s="2197" t="s">
        <v>3213</v>
      </c>
      <c r="I438" s="2199" t="s">
        <v>1025</v>
      </c>
      <c r="J438" s="2196">
        <v>34</v>
      </c>
    </row>
    <row r="439" spans="2:10" ht="13.5" thickBot="1" x14ac:dyDescent="0.25">
      <c r="B439" s="392" t="str">
        <f t="shared" si="12"/>
        <v>Open - SERWY Pol</v>
      </c>
      <c r="C439" s="1441" t="str">
        <f t="shared" si="13"/>
        <v>SERWY Pol</v>
      </c>
      <c r="D439" s="1428" t="s">
        <v>889</v>
      </c>
      <c r="E439" s="1429">
        <v>433</v>
      </c>
      <c r="F439" s="2197" t="s">
        <v>3494</v>
      </c>
      <c r="G439" s="2198" t="s">
        <v>3495</v>
      </c>
      <c r="H439" s="2197" t="s">
        <v>10254</v>
      </c>
      <c r="I439" s="2199" t="s">
        <v>990</v>
      </c>
      <c r="J439" s="2196">
        <v>33.5</v>
      </c>
    </row>
    <row r="440" spans="2:10" ht="13.5" thickBot="1" x14ac:dyDescent="0.25">
      <c r="B440" s="392" t="str">
        <f t="shared" si="12"/>
        <v>Open - TAIB Mohd Rizal</v>
      </c>
      <c r="C440" s="1441" t="str">
        <f t="shared" si="13"/>
        <v>TAIB Mohd Rizal</v>
      </c>
      <c r="D440" s="1428" t="s">
        <v>889</v>
      </c>
      <c r="E440" s="1429">
        <v>433</v>
      </c>
      <c r="F440" s="2197" t="s">
        <v>3480</v>
      </c>
      <c r="G440" s="2198" t="s">
        <v>3481</v>
      </c>
      <c r="H440" s="2197" t="s">
        <v>7270</v>
      </c>
      <c r="I440" s="2199" t="s">
        <v>7916</v>
      </c>
      <c r="J440" s="2196">
        <v>33.5</v>
      </c>
    </row>
    <row r="441" spans="2:10" ht="13.5" thickBot="1" x14ac:dyDescent="0.25">
      <c r="B441" s="392" t="str">
        <f t="shared" si="12"/>
        <v>Open - LO PRESTI Angelo</v>
      </c>
      <c r="C441" s="1441" t="str">
        <f t="shared" si="13"/>
        <v>LO PRESTI Angelo</v>
      </c>
      <c r="D441" s="1428" t="s">
        <v>889</v>
      </c>
      <c r="E441" s="1429">
        <v>433</v>
      </c>
      <c r="F441" s="2197" t="s">
        <v>3552</v>
      </c>
      <c r="G441" s="2198" t="s">
        <v>3367</v>
      </c>
      <c r="H441" s="2197" t="s">
        <v>15290</v>
      </c>
      <c r="I441" s="2199" t="s">
        <v>1037</v>
      </c>
      <c r="J441" s="2196">
        <v>33.5</v>
      </c>
    </row>
    <row r="442" spans="2:10" ht="13.5" thickBot="1" x14ac:dyDescent="0.25">
      <c r="B442" s="392" t="str">
        <f t="shared" si="12"/>
        <v>Open - FENECH Ismaël</v>
      </c>
      <c r="C442" s="1441" t="str">
        <f t="shared" si="13"/>
        <v>FENECH Ismaël</v>
      </c>
      <c r="D442" s="1428" t="s">
        <v>889</v>
      </c>
      <c r="E442" s="1429">
        <v>436</v>
      </c>
      <c r="F442" s="2197" t="s">
        <v>3319</v>
      </c>
      <c r="G442" s="2198" t="s">
        <v>14733</v>
      </c>
      <c r="H442" s="2197" t="s">
        <v>10253</v>
      </c>
      <c r="I442" s="2199" t="s">
        <v>1045</v>
      </c>
      <c r="J442" s="2196">
        <v>33</v>
      </c>
    </row>
    <row r="443" spans="2:10" ht="13.5" thickBot="1" x14ac:dyDescent="0.25">
      <c r="B443" s="392" t="str">
        <f t="shared" si="12"/>
        <v>Open - JAMIESON Kyle</v>
      </c>
      <c r="C443" s="1441" t="str">
        <f t="shared" si="13"/>
        <v>JAMIESON Kyle</v>
      </c>
      <c r="D443" s="1428" t="s">
        <v>889</v>
      </c>
      <c r="E443" s="1429">
        <v>436</v>
      </c>
      <c r="F443" s="2197" t="s">
        <v>14956</v>
      </c>
      <c r="G443" s="2198" t="s">
        <v>3577</v>
      </c>
      <c r="H443" s="2197" t="s">
        <v>17414</v>
      </c>
      <c r="I443" s="2199" t="s">
        <v>1083</v>
      </c>
      <c r="J443" s="2196">
        <v>33</v>
      </c>
    </row>
    <row r="444" spans="2:10" ht="13.5" thickBot="1" x14ac:dyDescent="0.25">
      <c r="B444" s="392" t="str">
        <f t="shared" si="12"/>
        <v>Open - FUKUOKA Katsuhiko</v>
      </c>
      <c r="C444" s="1441" t="str">
        <f t="shared" si="13"/>
        <v>FUKUOKA Katsuhiko</v>
      </c>
      <c r="D444" s="1428" t="s">
        <v>889</v>
      </c>
      <c r="E444" s="1429">
        <v>436</v>
      </c>
      <c r="F444" s="2197" t="s">
        <v>16650</v>
      </c>
      <c r="G444" s="2198" t="s">
        <v>15576</v>
      </c>
      <c r="H444" s="2197" t="s">
        <v>14700</v>
      </c>
      <c r="I444" s="2199" t="s">
        <v>1041</v>
      </c>
      <c r="J444" s="2196">
        <v>33</v>
      </c>
    </row>
    <row r="445" spans="2:10" ht="13.5" thickBot="1" x14ac:dyDescent="0.25">
      <c r="B445" s="392" t="str">
        <f t="shared" si="12"/>
        <v>Open - LEYS Geert</v>
      </c>
      <c r="C445" s="1441" t="str">
        <f t="shared" si="13"/>
        <v>LEYS Geert</v>
      </c>
      <c r="D445" s="1428" t="s">
        <v>889</v>
      </c>
      <c r="E445" s="1429">
        <v>439</v>
      </c>
      <c r="F445" s="2197" t="s">
        <v>17607</v>
      </c>
      <c r="G445" s="2198" t="s">
        <v>17513</v>
      </c>
      <c r="H445" s="2197" t="s">
        <v>2772</v>
      </c>
      <c r="I445" s="2199" t="s">
        <v>990</v>
      </c>
      <c r="J445" s="2196">
        <v>32.5</v>
      </c>
    </row>
    <row r="446" spans="2:10" ht="13.5" thickBot="1" x14ac:dyDescent="0.25">
      <c r="B446" s="392" t="str">
        <f t="shared" si="12"/>
        <v>Open - GALLART David</v>
      </c>
      <c r="C446" s="1441" t="str">
        <f t="shared" si="13"/>
        <v>GALLART David</v>
      </c>
      <c r="D446" s="1428" t="s">
        <v>889</v>
      </c>
      <c r="E446" s="1429">
        <v>439</v>
      </c>
      <c r="F446" s="2197" t="s">
        <v>14141</v>
      </c>
      <c r="G446" s="2198" t="s">
        <v>3072</v>
      </c>
      <c r="H446" s="2197" t="s">
        <v>14454</v>
      </c>
      <c r="I446" s="2199" t="s">
        <v>1015</v>
      </c>
      <c r="J446" s="2196">
        <v>32.5</v>
      </c>
    </row>
    <row r="447" spans="2:10" ht="13.5" thickBot="1" x14ac:dyDescent="0.25">
      <c r="B447" s="392" t="str">
        <f t="shared" si="12"/>
        <v>Open - PEREIRA Afonso</v>
      </c>
      <c r="C447" s="1441" t="str">
        <f t="shared" si="13"/>
        <v>PEREIRA Afonso</v>
      </c>
      <c r="D447" s="1428" t="s">
        <v>889</v>
      </c>
      <c r="E447" s="1429">
        <v>441</v>
      </c>
      <c r="F447" s="2197" t="s">
        <v>14314</v>
      </c>
      <c r="G447" s="2198" t="s">
        <v>3274</v>
      </c>
      <c r="H447" s="2197" t="s">
        <v>11328</v>
      </c>
      <c r="I447" s="2199" t="s">
        <v>1061</v>
      </c>
      <c r="J447" s="2196">
        <v>32</v>
      </c>
    </row>
    <row r="448" spans="2:10" ht="13.5" thickBot="1" x14ac:dyDescent="0.25">
      <c r="B448" s="392" t="str">
        <f t="shared" si="12"/>
        <v>Open - NATALE Paolo</v>
      </c>
      <c r="C448" s="1441" t="str">
        <f t="shared" si="13"/>
        <v>NATALE Paolo</v>
      </c>
      <c r="D448" s="1428" t="s">
        <v>889</v>
      </c>
      <c r="E448" s="1429">
        <v>441</v>
      </c>
      <c r="F448" s="2197" t="s">
        <v>3508</v>
      </c>
      <c r="G448" s="2198" t="s">
        <v>3119</v>
      </c>
      <c r="H448" s="2197" t="s">
        <v>16843</v>
      </c>
      <c r="I448" s="2199" t="s">
        <v>1037</v>
      </c>
      <c r="J448" s="2196">
        <v>32</v>
      </c>
    </row>
    <row r="449" spans="2:10" ht="13.5" thickBot="1" x14ac:dyDescent="0.25">
      <c r="B449" s="392" t="str">
        <f t="shared" si="12"/>
        <v>Open - LEROY Serge</v>
      </c>
      <c r="C449" s="1441" t="str">
        <f t="shared" si="13"/>
        <v>LEROY Serge</v>
      </c>
      <c r="D449" s="1428" t="s">
        <v>889</v>
      </c>
      <c r="E449" s="1429">
        <v>441</v>
      </c>
      <c r="F449" s="2197" t="s">
        <v>3024</v>
      </c>
      <c r="G449" s="2198" t="s">
        <v>11074</v>
      </c>
      <c r="H449" s="2197" t="s">
        <v>2795</v>
      </c>
      <c r="I449" s="2199" t="s">
        <v>1019</v>
      </c>
      <c r="J449" s="2196">
        <v>32</v>
      </c>
    </row>
    <row r="450" spans="2:10" ht="13.5" thickBot="1" x14ac:dyDescent="0.25">
      <c r="B450" s="392" t="str">
        <f t="shared" si="12"/>
        <v>Open - HERMAN Xavier</v>
      </c>
      <c r="C450" s="1441" t="str">
        <f t="shared" si="13"/>
        <v>HERMAN Xavier</v>
      </c>
      <c r="D450" s="1428" t="s">
        <v>889</v>
      </c>
      <c r="E450" s="1429">
        <v>441</v>
      </c>
      <c r="F450" s="2197" t="s">
        <v>18087</v>
      </c>
      <c r="G450" s="2198" t="s">
        <v>3295</v>
      </c>
      <c r="H450" s="2197" t="s">
        <v>14347</v>
      </c>
      <c r="I450" s="2199" t="s">
        <v>990</v>
      </c>
      <c r="J450" s="2196">
        <v>32</v>
      </c>
    </row>
    <row r="451" spans="2:10" ht="13.5" thickBot="1" x14ac:dyDescent="0.25">
      <c r="B451" s="392" t="str">
        <f t="shared" si="12"/>
        <v>Open - FUCCI Antonio</v>
      </c>
      <c r="C451" s="1441" t="str">
        <f t="shared" si="13"/>
        <v>FUCCI Antonio</v>
      </c>
      <c r="D451" s="1428" t="s">
        <v>889</v>
      </c>
      <c r="E451" s="1429">
        <v>441</v>
      </c>
      <c r="F451" s="2197" t="s">
        <v>16581</v>
      </c>
      <c r="G451" s="2198" t="s">
        <v>3341</v>
      </c>
      <c r="H451" s="2197" t="s">
        <v>2750</v>
      </c>
      <c r="I451" s="2199" t="s">
        <v>1037</v>
      </c>
      <c r="J451" s="2196">
        <v>32</v>
      </c>
    </row>
    <row r="452" spans="2:10" ht="13.5" thickBot="1" x14ac:dyDescent="0.25">
      <c r="B452" s="392" t="str">
        <f t="shared" si="12"/>
        <v>Open - TORRE Giuseppe</v>
      </c>
      <c r="C452" s="1441" t="str">
        <f t="shared" si="13"/>
        <v>TORRE Giuseppe</v>
      </c>
      <c r="D452" s="1428" t="s">
        <v>889</v>
      </c>
      <c r="E452" s="1429">
        <v>441</v>
      </c>
      <c r="F452" s="2197" t="s">
        <v>16568</v>
      </c>
      <c r="G452" s="2198" t="s">
        <v>3122</v>
      </c>
      <c r="H452" s="2197" t="s">
        <v>14879</v>
      </c>
      <c r="I452" s="2199" t="s">
        <v>1037</v>
      </c>
      <c r="J452" s="2196">
        <v>32</v>
      </c>
    </row>
    <row r="453" spans="2:10" ht="13.5" thickBot="1" x14ac:dyDescent="0.25">
      <c r="B453" s="392" t="str">
        <f t="shared" si="12"/>
        <v>Open - MALLIA Hansel</v>
      </c>
      <c r="C453" s="1441" t="str">
        <f t="shared" si="13"/>
        <v>MALLIA Hansel</v>
      </c>
      <c r="D453" s="1428" t="s">
        <v>889</v>
      </c>
      <c r="E453" s="1429">
        <v>441</v>
      </c>
      <c r="F453" s="2197" t="s">
        <v>3052</v>
      </c>
      <c r="G453" s="2198" t="s">
        <v>3053</v>
      </c>
      <c r="H453" s="2197" t="s">
        <v>10262</v>
      </c>
      <c r="I453" s="2199" t="s">
        <v>1045</v>
      </c>
      <c r="J453" s="2196">
        <v>32</v>
      </c>
    </row>
    <row r="454" spans="2:10" ht="13.5" thickBot="1" x14ac:dyDescent="0.25">
      <c r="B454" s="392" t="str">
        <f t="shared" si="12"/>
        <v>Open - LAVENDER Brandon</v>
      </c>
      <c r="C454" s="1441" t="str">
        <f t="shared" si="13"/>
        <v>LAVENDER Brandon</v>
      </c>
      <c r="D454" s="1428" t="s">
        <v>889</v>
      </c>
      <c r="E454" s="1429">
        <v>448</v>
      </c>
      <c r="F454" s="2197" t="s">
        <v>11471</v>
      </c>
      <c r="G454" s="2198" t="s">
        <v>3576</v>
      </c>
      <c r="H454" s="2197" t="s">
        <v>2773</v>
      </c>
      <c r="I454" s="2199" t="s">
        <v>1013</v>
      </c>
      <c r="J454" s="2196">
        <v>31.5</v>
      </c>
    </row>
    <row r="455" spans="2:10" ht="13.5" thickBot="1" x14ac:dyDescent="0.25">
      <c r="B455" s="392" t="str">
        <f t="shared" ref="B455:B518" si="14">CONCATENATE(D455," - ",C455)</f>
        <v>Open - TAKAHASHI Shusuke</v>
      </c>
      <c r="C455" s="1441" t="str">
        <f t="shared" ref="C455:C518" si="15">CONCATENATE(UPPER(F455)," ",G455)</f>
        <v>TAKAHASHI Shusuke</v>
      </c>
      <c r="D455" s="1428" t="s">
        <v>889</v>
      </c>
      <c r="E455" s="1429">
        <v>449</v>
      </c>
      <c r="F455" s="2197" t="s">
        <v>16658</v>
      </c>
      <c r="G455" s="2198" t="s">
        <v>16273</v>
      </c>
      <c r="H455" s="2197" t="s">
        <v>17235</v>
      </c>
      <c r="I455" s="2199" t="s">
        <v>1041</v>
      </c>
      <c r="J455" s="2196">
        <v>31</v>
      </c>
    </row>
    <row r="456" spans="2:10" ht="13.5" thickBot="1" x14ac:dyDescent="0.25">
      <c r="B456" s="392" t="str">
        <f t="shared" si="14"/>
        <v>Open - NISHI Miaki</v>
      </c>
      <c r="C456" s="1441" t="str">
        <f t="shared" si="15"/>
        <v>NISHI Miaki</v>
      </c>
      <c r="D456" s="1428" t="s">
        <v>889</v>
      </c>
      <c r="E456" s="1429">
        <v>449</v>
      </c>
      <c r="F456" s="2197" t="s">
        <v>14952</v>
      </c>
      <c r="G456" s="2198" t="s">
        <v>14721</v>
      </c>
      <c r="H456" s="2197" t="s">
        <v>10276</v>
      </c>
      <c r="I456" s="2199" t="s">
        <v>1041</v>
      </c>
      <c r="J456" s="2196">
        <v>31</v>
      </c>
    </row>
    <row r="457" spans="2:10" ht="13.5" thickBot="1" x14ac:dyDescent="0.25">
      <c r="B457" s="392" t="str">
        <f t="shared" si="14"/>
        <v>Open - SORET Louis</v>
      </c>
      <c r="C457" s="1441" t="str">
        <f t="shared" si="15"/>
        <v>SORET Louis</v>
      </c>
      <c r="D457" s="1428" t="s">
        <v>889</v>
      </c>
      <c r="E457" s="1429">
        <v>449</v>
      </c>
      <c r="F457" s="2197" t="s">
        <v>3519</v>
      </c>
      <c r="G457" s="2198" t="s">
        <v>5660</v>
      </c>
      <c r="H457" s="2197" t="s">
        <v>13519</v>
      </c>
      <c r="I457" s="2199" t="s">
        <v>1019</v>
      </c>
      <c r="J457" s="2196">
        <v>31</v>
      </c>
    </row>
    <row r="458" spans="2:10" ht="13.5" thickBot="1" x14ac:dyDescent="0.25">
      <c r="B458" s="392" t="str">
        <f t="shared" si="14"/>
        <v>Open - RICCIO Luca</v>
      </c>
      <c r="C458" s="1441" t="str">
        <f t="shared" si="15"/>
        <v>RICCIO Luca</v>
      </c>
      <c r="D458" s="1428" t="s">
        <v>889</v>
      </c>
      <c r="E458" s="1429">
        <v>449</v>
      </c>
      <c r="F458" s="2197" t="s">
        <v>16569</v>
      </c>
      <c r="G458" s="2198" t="s">
        <v>3198</v>
      </c>
      <c r="H458" s="2197" t="s">
        <v>433</v>
      </c>
      <c r="I458" s="2199" t="s">
        <v>1037</v>
      </c>
      <c r="J458" s="2196">
        <v>31</v>
      </c>
    </row>
    <row r="459" spans="2:10" ht="13.5" thickBot="1" x14ac:dyDescent="0.25">
      <c r="B459" s="392" t="str">
        <f t="shared" si="14"/>
        <v>Open - DACEY Phil</v>
      </c>
      <c r="C459" s="1441" t="str">
        <f t="shared" si="15"/>
        <v>DACEY Phil</v>
      </c>
      <c r="D459" s="1428" t="s">
        <v>889</v>
      </c>
      <c r="E459" s="1429">
        <v>453</v>
      </c>
      <c r="F459" s="2197" t="s">
        <v>17611</v>
      </c>
      <c r="G459" s="2198" t="s">
        <v>3398</v>
      </c>
      <c r="H459" s="2197" t="s">
        <v>10260</v>
      </c>
      <c r="I459" s="2199" t="s">
        <v>1083</v>
      </c>
      <c r="J459" s="2196">
        <v>30</v>
      </c>
    </row>
    <row r="460" spans="2:10" ht="13.5" thickBot="1" x14ac:dyDescent="0.25">
      <c r="B460" s="392" t="str">
        <f t="shared" si="14"/>
        <v>Open - DE SCHUYTENEER Bryan</v>
      </c>
      <c r="C460" s="1441" t="str">
        <f t="shared" si="15"/>
        <v>DE SCHUYTENEER Bryan</v>
      </c>
      <c r="D460" s="1428" t="s">
        <v>889</v>
      </c>
      <c r="E460" s="1429">
        <v>453</v>
      </c>
      <c r="F460" s="2197" t="s">
        <v>14901</v>
      </c>
      <c r="G460" s="2198" t="s">
        <v>3344</v>
      </c>
      <c r="H460" s="2197" t="s">
        <v>15816</v>
      </c>
      <c r="I460" s="2199" t="s">
        <v>990</v>
      </c>
      <c r="J460" s="2196">
        <v>30</v>
      </c>
    </row>
    <row r="461" spans="2:10" ht="13.5" thickBot="1" x14ac:dyDescent="0.25">
      <c r="B461" s="392" t="str">
        <f t="shared" si="14"/>
        <v>Open - MONTANARI Alessandro</v>
      </c>
      <c r="C461" s="1441" t="str">
        <f t="shared" si="15"/>
        <v>MONTANARI Alessandro</v>
      </c>
      <c r="D461" s="1428" t="s">
        <v>889</v>
      </c>
      <c r="E461" s="1429">
        <v>453</v>
      </c>
      <c r="F461" s="2197" t="s">
        <v>18088</v>
      </c>
      <c r="G461" s="2198" t="s">
        <v>3125</v>
      </c>
      <c r="H461" s="2197" t="s">
        <v>15232</v>
      </c>
      <c r="I461" s="2199" t="s">
        <v>1037</v>
      </c>
      <c r="J461" s="2196">
        <v>30</v>
      </c>
    </row>
    <row r="462" spans="2:10" ht="13.5" thickBot="1" x14ac:dyDescent="0.25">
      <c r="B462" s="392" t="str">
        <f t="shared" si="14"/>
        <v>Open - SHARP Ian</v>
      </c>
      <c r="C462" s="1441" t="str">
        <f t="shared" si="15"/>
        <v>SHARP Ian</v>
      </c>
      <c r="D462" s="1428" t="s">
        <v>889</v>
      </c>
      <c r="E462" s="1429">
        <v>453</v>
      </c>
      <c r="F462" s="2197" t="s">
        <v>16577</v>
      </c>
      <c r="G462" s="2198" t="s">
        <v>3688</v>
      </c>
      <c r="H462" s="2197" t="s">
        <v>15274</v>
      </c>
      <c r="I462" s="2199" t="s">
        <v>1013</v>
      </c>
      <c r="J462" s="2196">
        <v>30</v>
      </c>
    </row>
    <row r="463" spans="2:10" ht="13.5" thickBot="1" x14ac:dyDescent="0.25">
      <c r="B463" s="392" t="str">
        <f t="shared" si="14"/>
        <v>Open - VOGIATZIS Panagiotis</v>
      </c>
      <c r="C463" s="1441" t="str">
        <f t="shared" si="15"/>
        <v>VOGIATZIS Panagiotis</v>
      </c>
      <c r="D463" s="1428" t="s">
        <v>889</v>
      </c>
      <c r="E463" s="1429">
        <v>453</v>
      </c>
      <c r="F463" s="2197" t="s">
        <v>17445</v>
      </c>
      <c r="G463" s="2198" t="s">
        <v>3249</v>
      </c>
      <c r="H463" s="2197" t="s">
        <v>14359</v>
      </c>
      <c r="I463" s="2199" t="s">
        <v>1025</v>
      </c>
      <c r="J463" s="2196">
        <v>30</v>
      </c>
    </row>
    <row r="464" spans="2:10" ht="13.5" thickBot="1" x14ac:dyDescent="0.25">
      <c r="B464" s="392" t="str">
        <f t="shared" si="14"/>
        <v>Open - FARIA Miguel</v>
      </c>
      <c r="C464" s="1441" t="str">
        <f t="shared" si="15"/>
        <v>FARIA Miguel</v>
      </c>
      <c r="D464" s="1428" t="s">
        <v>889</v>
      </c>
      <c r="E464" s="1429">
        <v>453</v>
      </c>
      <c r="F464" s="2197" t="s">
        <v>14297</v>
      </c>
      <c r="G464" s="2198" t="s">
        <v>3089</v>
      </c>
      <c r="H464" s="2197" t="s">
        <v>11332</v>
      </c>
      <c r="I464" s="2199" t="s">
        <v>1061</v>
      </c>
      <c r="J464" s="2196">
        <v>30</v>
      </c>
    </row>
    <row r="465" spans="2:10" ht="13.5" thickBot="1" x14ac:dyDescent="0.25">
      <c r="B465" s="392" t="str">
        <f t="shared" si="14"/>
        <v>Open - MASILE Antonio</v>
      </c>
      <c r="C465" s="1441" t="str">
        <f t="shared" si="15"/>
        <v>MASILE Antonio</v>
      </c>
      <c r="D465" s="1428" t="s">
        <v>889</v>
      </c>
      <c r="E465" s="1429">
        <v>453</v>
      </c>
      <c r="F465" s="2197" t="s">
        <v>16626</v>
      </c>
      <c r="G465" s="2198" t="s">
        <v>3341</v>
      </c>
      <c r="H465" s="2197" t="s">
        <v>7876</v>
      </c>
      <c r="I465" s="2199" t="s">
        <v>1037</v>
      </c>
      <c r="J465" s="2196">
        <v>30</v>
      </c>
    </row>
    <row r="466" spans="2:10" ht="13.5" thickBot="1" x14ac:dyDescent="0.25">
      <c r="B466" s="392" t="str">
        <f t="shared" si="14"/>
        <v>Open - GONINAN Joshua</v>
      </c>
      <c r="C466" s="1441" t="str">
        <f t="shared" si="15"/>
        <v>GONINAN Joshua</v>
      </c>
      <c r="D466" s="1428" t="s">
        <v>889</v>
      </c>
      <c r="E466" s="1429">
        <v>453</v>
      </c>
      <c r="F466" s="2197" t="s">
        <v>14953</v>
      </c>
      <c r="G466" s="2198" t="s">
        <v>5657</v>
      </c>
      <c r="H466" s="2197" t="s">
        <v>17015</v>
      </c>
      <c r="I466" s="2199" t="s">
        <v>1079</v>
      </c>
      <c r="J466" s="2196">
        <v>30</v>
      </c>
    </row>
    <row r="467" spans="2:10" ht="13.5" thickBot="1" x14ac:dyDescent="0.25">
      <c r="B467" s="392" t="str">
        <f t="shared" si="14"/>
        <v>Open - LIAKOPOULOS Nikolaos</v>
      </c>
      <c r="C467" s="1441" t="str">
        <f t="shared" si="15"/>
        <v>LIAKOPOULOS Nikolaos</v>
      </c>
      <c r="D467" s="1428" t="s">
        <v>889</v>
      </c>
      <c r="E467" s="1429">
        <v>453</v>
      </c>
      <c r="F467" s="2197" t="s">
        <v>8731</v>
      </c>
      <c r="G467" s="2198" t="s">
        <v>5554</v>
      </c>
      <c r="H467" s="2197" t="s">
        <v>10246</v>
      </c>
      <c r="I467" s="2199" t="s">
        <v>1025</v>
      </c>
      <c r="J467" s="2196">
        <v>30</v>
      </c>
    </row>
    <row r="468" spans="2:10" ht="13.5" thickBot="1" x14ac:dyDescent="0.25">
      <c r="B468" s="392" t="str">
        <f t="shared" si="14"/>
        <v>Open - BOUCHEZ Denis</v>
      </c>
      <c r="C468" s="1441" t="str">
        <f t="shared" si="15"/>
        <v>BOUCHEZ Denis</v>
      </c>
      <c r="D468" s="1428" t="s">
        <v>889</v>
      </c>
      <c r="E468" s="1429">
        <v>453</v>
      </c>
      <c r="F468" s="2197" t="s">
        <v>17606</v>
      </c>
      <c r="G468" s="2198" t="s">
        <v>3272</v>
      </c>
      <c r="H468" s="2197" t="s">
        <v>5301</v>
      </c>
      <c r="I468" s="2199" t="s">
        <v>990</v>
      </c>
      <c r="J468" s="2196">
        <v>30</v>
      </c>
    </row>
    <row r="469" spans="2:10" ht="13.5" thickBot="1" x14ac:dyDescent="0.25">
      <c r="B469" s="392" t="str">
        <f t="shared" si="14"/>
        <v>Open - BORGO Francesco</v>
      </c>
      <c r="C469" s="1441" t="str">
        <f t="shared" si="15"/>
        <v>BORGO Francesco</v>
      </c>
      <c r="D469" s="1428" t="s">
        <v>889</v>
      </c>
      <c r="E469" s="1429">
        <v>453</v>
      </c>
      <c r="F469" s="2197" t="s">
        <v>3697</v>
      </c>
      <c r="G469" s="2198" t="s">
        <v>3277</v>
      </c>
      <c r="H469" s="2197" t="s">
        <v>11467</v>
      </c>
      <c r="I469" s="2199" t="s">
        <v>1037</v>
      </c>
      <c r="J469" s="2196">
        <v>30</v>
      </c>
    </row>
    <row r="470" spans="2:10" ht="13.5" thickBot="1" x14ac:dyDescent="0.25">
      <c r="B470" s="392" t="str">
        <f t="shared" si="14"/>
        <v>Open - COHEN Sam</v>
      </c>
      <c r="C470" s="1441" t="str">
        <f t="shared" si="15"/>
        <v>COHEN Sam</v>
      </c>
      <c r="D470" s="1428" t="s">
        <v>889</v>
      </c>
      <c r="E470" s="1429">
        <v>464</v>
      </c>
      <c r="F470" s="2197" t="s">
        <v>13497</v>
      </c>
      <c r="G470" s="2198" t="s">
        <v>5555</v>
      </c>
      <c r="H470" s="2197" t="s">
        <v>2905</v>
      </c>
      <c r="I470" s="2199" t="s">
        <v>1079</v>
      </c>
      <c r="J470" s="2196">
        <v>29.5</v>
      </c>
    </row>
    <row r="471" spans="2:10" ht="13.5" thickBot="1" x14ac:dyDescent="0.25">
      <c r="B471" s="392" t="str">
        <f t="shared" si="14"/>
        <v>Open - VRANOVITZ Daniel</v>
      </c>
      <c r="C471" s="1441" t="str">
        <f t="shared" si="15"/>
        <v>VRANOVITZ Daniel</v>
      </c>
      <c r="D471" s="1428" t="s">
        <v>889</v>
      </c>
      <c r="E471" s="1429">
        <v>464</v>
      </c>
      <c r="F471" s="2197" t="s">
        <v>3701</v>
      </c>
      <c r="G471" s="2198" t="s">
        <v>3243</v>
      </c>
      <c r="H471" s="2197" t="s">
        <v>2748</v>
      </c>
      <c r="I471" s="2199" t="s">
        <v>988</v>
      </c>
      <c r="J471" s="2196">
        <v>29.5</v>
      </c>
    </row>
    <row r="472" spans="2:10" ht="13.5" thickBot="1" x14ac:dyDescent="0.25">
      <c r="B472" s="392" t="str">
        <f t="shared" si="14"/>
        <v>Open - COLINDRES Adolfo</v>
      </c>
      <c r="C472" s="1441" t="str">
        <f t="shared" si="15"/>
        <v>COLINDRES Adolfo</v>
      </c>
      <c r="D472" s="1428" t="s">
        <v>889</v>
      </c>
      <c r="E472" s="1429">
        <v>464</v>
      </c>
      <c r="F472" s="2197" t="s">
        <v>11473</v>
      </c>
      <c r="G472" s="2198" t="s">
        <v>7045</v>
      </c>
      <c r="H472" s="2197" t="s">
        <v>2905</v>
      </c>
      <c r="I472" s="2199" t="s">
        <v>1079</v>
      </c>
      <c r="J472" s="2196">
        <v>29.5</v>
      </c>
    </row>
    <row r="473" spans="2:10" ht="13.5" thickBot="1" x14ac:dyDescent="0.25">
      <c r="B473" s="392" t="str">
        <f t="shared" si="14"/>
        <v>Open - FLERI SOLER Mario</v>
      </c>
      <c r="C473" s="1441" t="str">
        <f t="shared" si="15"/>
        <v>FLERI SOLER Mario</v>
      </c>
      <c r="D473" s="1428" t="s">
        <v>889</v>
      </c>
      <c r="E473" s="1429">
        <v>464</v>
      </c>
      <c r="F473" s="2197" t="s">
        <v>11343</v>
      </c>
      <c r="G473" s="2198" t="s">
        <v>3079</v>
      </c>
      <c r="H473" s="2197" t="s">
        <v>11331</v>
      </c>
      <c r="I473" s="2199" t="s">
        <v>1045</v>
      </c>
      <c r="J473" s="2196">
        <v>29.5</v>
      </c>
    </row>
    <row r="474" spans="2:10" ht="13.5" thickBot="1" x14ac:dyDescent="0.25">
      <c r="B474" s="392" t="str">
        <f t="shared" si="14"/>
        <v>Open - BERLIAQUE Richard</v>
      </c>
      <c r="C474" s="1441" t="str">
        <f t="shared" si="15"/>
        <v>BERLIAQUE Richard</v>
      </c>
      <c r="D474" s="1428" t="s">
        <v>889</v>
      </c>
      <c r="E474" s="1429">
        <v>468</v>
      </c>
      <c r="F474" s="2197" t="s">
        <v>8751</v>
      </c>
      <c r="G474" s="2198" t="s">
        <v>3219</v>
      </c>
      <c r="H474" s="2197" t="s">
        <v>9448</v>
      </c>
      <c r="I474" s="2199" t="s">
        <v>1023</v>
      </c>
      <c r="J474" s="2196">
        <v>28.5</v>
      </c>
    </row>
    <row r="475" spans="2:10" ht="13.5" thickBot="1" x14ac:dyDescent="0.25">
      <c r="B475" s="392" t="str">
        <f t="shared" si="14"/>
        <v>Open - ALLISON Aaron</v>
      </c>
      <c r="C475" s="1441" t="str">
        <f t="shared" si="15"/>
        <v>ALLISON Aaron</v>
      </c>
      <c r="D475" s="1428" t="s">
        <v>889</v>
      </c>
      <c r="E475" s="1429">
        <v>468</v>
      </c>
      <c r="F475" s="2197" t="s">
        <v>14182</v>
      </c>
      <c r="G475" s="2198" t="s">
        <v>3314</v>
      </c>
      <c r="H475" s="2197" t="s">
        <v>13312</v>
      </c>
      <c r="I475" s="2199" t="s">
        <v>1037</v>
      </c>
      <c r="J475" s="2196">
        <v>28.5</v>
      </c>
    </row>
    <row r="476" spans="2:10" ht="13.5" thickBot="1" x14ac:dyDescent="0.25">
      <c r="B476" s="392" t="str">
        <f t="shared" si="14"/>
        <v>Open - NICHOLLS Dan</v>
      </c>
      <c r="C476" s="1441" t="str">
        <f t="shared" si="15"/>
        <v>NICHOLLS Dan</v>
      </c>
      <c r="D476" s="1428" t="s">
        <v>889</v>
      </c>
      <c r="E476" s="1429">
        <v>468</v>
      </c>
      <c r="F476" s="2197" t="s">
        <v>14249</v>
      </c>
      <c r="G476" s="2198" t="s">
        <v>6919</v>
      </c>
      <c r="H476" s="2197" t="s">
        <v>17082</v>
      </c>
      <c r="I476" s="2199" t="s">
        <v>1013</v>
      </c>
      <c r="J476" s="2196">
        <v>28.5</v>
      </c>
    </row>
    <row r="477" spans="2:10" ht="13.5" thickBot="1" x14ac:dyDescent="0.25">
      <c r="B477" s="392" t="str">
        <f t="shared" si="14"/>
        <v>Open - JAMIESON Malcolm</v>
      </c>
      <c r="C477" s="1441" t="str">
        <f t="shared" si="15"/>
        <v>JAMIESON Malcolm</v>
      </c>
      <c r="D477" s="1428" t="s">
        <v>889</v>
      </c>
      <c r="E477" s="1429">
        <v>468</v>
      </c>
      <c r="F477" s="2197" t="s">
        <v>14956</v>
      </c>
      <c r="G477" s="2198" t="s">
        <v>3463</v>
      </c>
      <c r="H477" s="2197" t="s">
        <v>17082</v>
      </c>
      <c r="I477" s="2199" t="s">
        <v>1013</v>
      </c>
      <c r="J477" s="2196">
        <v>28.5</v>
      </c>
    </row>
    <row r="478" spans="2:10" ht="13.5" thickBot="1" x14ac:dyDescent="0.25">
      <c r="B478" s="392" t="str">
        <f t="shared" si="14"/>
        <v>Open - KOTROTSOS Evangelos</v>
      </c>
      <c r="C478" s="1441" t="str">
        <f t="shared" si="15"/>
        <v>KOTROTSOS Evangelos</v>
      </c>
      <c r="D478" s="1428" t="s">
        <v>889</v>
      </c>
      <c r="E478" s="1429">
        <v>468</v>
      </c>
      <c r="F478" s="2197" t="s">
        <v>5562</v>
      </c>
      <c r="G478" s="2198" t="s">
        <v>3709</v>
      </c>
      <c r="H478" s="2197" t="s">
        <v>3213</v>
      </c>
      <c r="I478" s="2199" t="s">
        <v>1025</v>
      </c>
      <c r="J478" s="2196">
        <v>28.5</v>
      </c>
    </row>
    <row r="479" spans="2:10" ht="13.5" thickBot="1" x14ac:dyDescent="0.25">
      <c r="B479" s="392" t="str">
        <f t="shared" si="14"/>
        <v>Open - ARAUJO Álex</v>
      </c>
      <c r="C479" s="1441" t="str">
        <f t="shared" si="15"/>
        <v>ARAUJO Álex</v>
      </c>
      <c r="D479" s="1428" t="s">
        <v>889</v>
      </c>
      <c r="E479" s="1429">
        <v>468</v>
      </c>
      <c r="F479" s="2197" t="s">
        <v>11441</v>
      </c>
      <c r="G479" s="2198" t="s">
        <v>10057</v>
      </c>
      <c r="H479" s="2197" t="s">
        <v>14451</v>
      </c>
      <c r="I479" s="2199" t="s">
        <v>1015</v>
      </c>
      <c r="J479" s="2196">
        <v>28.5</v>
      </c>
    </row>
    <row r="480" spans="2:10" ht="13.5" thickBot="1" x14ac:dyDescent="0.25">
      <c r="B480" s="392" t="str">
        <f t="shared" si="14"/>
        <v>Open - BUTTERWORTH Brian</v>
      </c>
      <c r="C480" s="1441" t="str">
        <f t="shared" si="15"/>
        <v>BUTTERWORTH Brian</v>
      </c>
      <c r="D480" s="1428" t="s">
        <v>889</v>
      </c>
      <c r="E480" s="1429">
        <v>468</v>
      </c>
      <c r="F480" s="2197" t="s">
        <v>14192</v>
      </c>
      <c r="G480" s="2198" t="s">
        <v>3195</v>
      </c>
      <c r="H480" s="2197" t="s">
        <v>2772</v>
      </c>
      <c r="I480" s="2199" t="s">
        <v>1013</v>
      </c>
      <c r="J480" s="2196">
        <v>28.5</v>
      </c>
    </row>
    <row r="481" spans="2:10" ht="13.5" thickBot="1" x14ac:dyDescent="0.25">
      <c r="B481" s="392" t="str">
        <f t="shared" si="14"/>
        <v>Open - FIORETTI Ermanno Junior</v>
      </c>
      <c r="C481" s="1441" t="str">
        <f t="shared" si="15"/>
        <v>FIORETTI Ermanno Junior</v>
      </c>
      <c r="D481" s="1428" t="s">
        <v>889</v>
      </c>
      <c r="E481" s="1429">
        <v>475</v>
      </c>
      <c r="F481" s="2197" t="s">
        <v>16563</v>
      </c>
      <c r="G481" s="2198" t="s">
        <v>15548</v>
      </c>
      <c r="H481" s="2197" t="s">
        <v>2749</v>
      </c>
      <c r="I481" s="2199" t="s">
        <v>1037</v>
      </c>
      <c r="J481" s="2196">
        <v>28</v>
      </c>
    </row>
    <row r="482" spans="2:10" ht="13.5" thickBot="1" x14ac:dyDescent="0.25">
      <c r="B482" s="392" t="str">
        <f t="shared" si="14"/>
        <v>Open - KONTOS Serafeim</v>
      </c>
      <c r="C482" s="1441" t="str">
        <f t="shared" si="15"/>
        <v>KONTOS Serafeim</v>
      </c>
      <c r="D482" s="1428" t="s">
        <v>889</v>
      </c>
      <c r="E482" s="1429">
        <v>475</v>
      </c>
      <c r="F482" s="2197" t="s">
        <v>3487</v>
      </c>
      <c r="G482" s="2198" t="s">
        <v>8246</v>
      </c>
      <c r="H482" s="2197" t="s">
        <v>2893</v>
      </c>
      <c r="I482" s="2199" t="s">
        <v>1025</v>
      </c>
      <c r="J482" s="2196">
        <v>28</v>
      </c>
    </row>
    <row r="483" spans="2:10" ht="13.5" thickBot="1" x14ac:dyDescent="0.25">
      <c r="B483" s="392" t="str">
        <f t="shared" si="14"/>
        <v>Open - MARAIN Benjamin</v>
      </c>
      <c r="C483" s="1441" t="str">
        <f t="shared" si="15"/>
        <v>MARAIN Benjamin</v>
      </c>
      <c r="D483" s="1428" t="s">
        <v>889</v>
      </c>
      <c r="E483" s="1429">
        <v>475</v>
      </c>
      <c r="F483" s="2197" t="s">
        <v>3229</v>
      </c>
      <c r="G483" s="2198" t="s">
        <v>3362</v>
      </c>
      <c r="H483" s="2197" t="s">
        <v>13519</v>
      </c>
      <c r="I483" s="2199" t="s">
        <v>990</v>
      </c>
      <c r="J483" s="2196">
        <v>28</v>
      </c>
    </row>
    <row r="484" spans="2:10" ht="13.5" thickBot="1" x14ac:dyDescent="0.25">
      <c r="B484" s="392" t="str">
        <f t="shared" si="14"/>
        <v>Open - RUSSO Giancarlo</v>
      </c>
      <c r="C484" s="1441" t="str">
        <f t="shared" si="15"/>
        <v>RUSSO Giancarlo</v>
      </c>
      <c r="D484" s="1428" t="s">
        <v>889</v>
      </c>
      <c r="E484" s="1429">
        <v>475</v>
      </c>
      <c r="F484" s="2197" t="s">
        <v>7840</v>
      </c>
      <c r="G484" s="2198" t="s">
        <v>3337</v>
      </c>
      <c r="H484" s="2197" t="s">
        <v>2787</v>
      </c>
      <c r="I484" s="2199" t="s">
        <v>1037</v>
      </c>
      <c r="J484" s="2196">
        <v>28</v>
      </c>
    </row>
    <row r="485" spans="2:10" ht="13.5" thickBot="1" x14ac:dyDescent="0.25">
      <c r="B485" s="392" t="str">
        <f t="shared" si="14"/>
        <v>Open - PELLEGRINO Andrea</v>
      </c>
      <c r="C485" s="1441" t="str">
        <f t="shared" si="15"/>
        <v>PELLEGRINO Andrea</v>
      </c>
      <c r="D485" s="1428" t="s">
        <v>889</v>
      </c>
      <c r="E485" s="1429">
        <v>475</v>
      </c>
      <c r="F485" s="2197" t="s">
        <v>11185</v>
      </c>
      <c r="G485" s="2198" t="s">
        <v>3027</v>
      </c>
      <c r="H485" s="2197" t="s">
        <v>10271</v>
      </c>
      <c r="I485" s="2199" t="s">
        <v>1037</v>
      </c>
      <c r="J485" s="2196">
        <v>28</v>
      </c>
    </row>
    <row r="486" spans="2:10" ht="13.5" thickBot="1" x14ac:dyDescent="0.25">
      <c r="B486" s="392" t="str">
        <f t="shared" si="14"/>
        <v>Open - SOURLAS Konstantinos</v>
      </c>
      <c r="C486" s="1441" t="str">
        <f t="shared" si="15"/>
        <v>SOURLAS Konstantinos</v>
      </c>
      <c r="D486" s="1428" t="s">
        <v>889</v>
      </c>
      <c r="E486" s="1429">
        <v>475</v>
      </c>
      <c r="F486" s="2197" t="s">
        <v>5646</v>
      </c>
      <c r="G486" s="2198" t="s">
        <v>6986</v>
      </c>
      <c r="H486" s="2197" t="s">
        <v>11324</v>
      </c>
      <c r="I486" s="2199" t="s">
        <v>1025</v>
      </c>
      <c r="J486" s="2196">
        <v>28</v>
      </c>
    </row>
    <row r="487" spans="2:10" ht="13.5" thickBot="1" x14ac:dyDescent="0.25">
      <c r="B487" s="392" t="str">
        <f t="shared" si="14"/>
        <v>Open - LUCCHESI Nico</v>
      </c>
      <c r="C487" s="1441" t="str">
        <f t="shared" si="15"/>
        <v>LUCCHESI Nico</v>
      </c>
      <c r="D487" s="1428" t="s">
        <v>889</v>
      </c>
      <c r="E487" s="1429">
        <v>481</v>
      </c>
      <c r="F487" s="2197" t="s">
        <v>16555</v>
      </c>
      <c r="G487" s="2198" t="s">
        <v>3556</v>
      </c>
      <c r="H487" s="2197" t="s">
        <v>11325</v>
      </c>
      <c r="I487" s="2199" t="s">
        <v>1037</v>
      </c>
      <c r="J487" s="2196">
        <v>27.5</v>
      </c>
    </row>
    <row r="488" spans="2:10" ht="13.5" thickBot="1" x14ac:dyDescent="0.25">
      <c r="B488" s="392" t="str">
        <f t="shared" si="14"/>
        <v>Open - BRADLEY Martinog</v>
      </c>
      <c r="C488" s="1441" t="str">
        <f t="shared" si="15"/>
        <v>BRADLEY Martinog</v>
      </c>
      <c r="D488" s="1428" t="s">
        <v>889</v>
      </c>
      <c r="E488" s="1429">
        <v>481</v>
      </c>
      <c r="F488" s="2197" t="s">
        <v>14255</v>
      </c>
      <c r="G488" s="2198" t="s">
        <v>9556</v>
      </c>
      <c r="H488" s="2197" t="s">
        <v>9598</v>
      </c>
      <c r="I488" s="2199" t="s">
        <v>1055</v>
      </c>
      <c r="J488" s="2196">
        <v>27.5</v>
      </c>
    </row>
    <row r="489" spans="2:10" ht="13.5" thickBot="1" x14ac:dyDescent="0.25">
      <c r="B489" s="392" t="str">
        <f t="shared" si="14"/>
        <v>Open - REITZ Marc</v>
      </c>
      <c r="C489" s="1441" t="str">
        <f t="shared" si="15"/>
        <v>REITZ Marc</v>
      </c>
      <c r="D489" s="1428" t="s">
        <v>889</v>
      </c>
      <c r="E489" s="1429">
        <v>481</v>
      </c>
      <c r="F489" s="2197" t="s">
        <v>11431</v>
      </c>
      <c r="G489" s="2198" t="s">
        <v>3208</v>
      </c>
      <c r="H489" s="2197" t="s">
        <v>2775</v>
      </c>
      <c r="I489" s="2199" t="s">
        <v>1021</v>
      </c>
      <c r="J489" s="2196">
        <v>27.5</v>
      </c>
    </row>
    <row r="490" spans="2:10" ht="13.5" thickBot="1" x14ac:dyDescent="0.25">
      <c r="B490" s="392" t="str">
        <f t="shared" si="14"/>
        <v>Open - PEARSON Nick</v>
      </c>
      <c r="C490" s="1441" t="str">
        <f t="shared" si="15"/>
        <v>PEARSON Nick</v>
      </c>
      <c r="D490" s="1428" t="s">
        <v>889</v>
      </c>
      <c r="E490" s="1429">
        <v>484</v>
      </c>
      <c r="F490" s="2197" t="s">
        <v>11540</v>
      </c>
      <c r="G490" s="2198" t="s">
        <v>5540</v>
      </c>
      <c r="H490" s="2197" t="s">
        <v>17082</v>
      </c>
      <c r="I490" s="2199" t="s">
        <v>1013</v>
      </c>
      <c r="J490" s="2196">
        <v>27</v>
      </c>
    </row>
    <row r="491" spans="2:10" ht="13.5" thickBot="1" x14ac:dyDescent="0.25">
      <c r="B491" s="392" t="str">
        <f t="shared" si="14"/>
        <v>Open - BERNARDI Daniele Emiliano</v>
      </c>
      <c r="C491" s="1441" t="str">
        <f t="shared" si="15"/>
        <v>BERNARDI Daniele Emiliano</v>
      </c>
      <c r="D491" s="1428" t="s">
        <v>889</v>
      </c>
      <c r="E491" s="1429">
        <v>484</v>
      </c>
      <c r="F491" s="2197" t="s">
        <v>16627</v>
      </c>
      <c r="G491" s="2198" t="s">
        <v>15241</v>
      </c>
      <c r="H491" s="2197" t="s">
        <v>16843</v>
      </c>
      <c r="I491" s="2199" t="s">
        <v>1037</v>
      </c>
      <c r="J491" s="2196">
        <v>27</v>
      </c>
    </row>
    <row r="492" spans="2:10" ht="13.5" thickBot="1" x14ac:dyDescent="0.25">
      <c r="B492" s="392" t="str">
        <f t="shared" si="14"/>
        <v>Open - POUFFET Kévin</v>
      </c>
      <c r="C492" s="1441" t="str">
        <f t="shared" si="15"/>
        <v>POUFFET Kévin</v>
      </c>
      <c r="D492" s="1428" t="s">
        <v>889</v>
      </c>
      <c r="E492" s="1429">
        <v>484</v>
      </c>
      <c r="F492" s="2197" t="s">
        <v>14910</v>
      </c>
      <c r="G492" s="2198" t="s">
        <v>13220</v>
      </c>
      <c r="H492" s="2197" t="s">
        <v>2795</v>
      </c>
      <c r="I492" s="2199" t="s">
        <v>1019</v>
      </c>
      <c r="J492" s="2196">
        <v>27</v>
      </c>
    </row>
    <row r="493" spans="2:10" ht="13.5" thickBot="1" x14ac:dyDescent="0.25">
      <c r="B493" s="392" t="str">
        <f t="shared" si="14"/>
        <v>Open - HARWOOD Graham</v>
      </c>
      <c r="C493" s="1441" t="str">
        <f t="shared" si="15"/>
        <v>HARWOOD Graham</v>
      </c>
      <c r="D493" s="1428" t="s">
        <v>889</v>
      </c>
      <c r="E493" s="1429">
        <v>484</v>
      </c>
      <c r="F493" s="2197" t="s">
        <v>16579</v>
      </c>
      <c r="G493" s="2198" t="s">
        <v>14442</v>
      </c>
      <c r="H493" s="2197" t="s">
        <v>14399</v>
      </c>
      <c r="I493" s="2199" t="s">
        <v>1013</v>
      </c>
      <c r="J493" s="2196">
        <v>27</v>
      </c>
    </row>
    <row r="494" spans="2:10" ht="13.5" thickBot="1" x14ac:dyDescent="0.25">
      <c r="B494" s="392" t="str">
        <f t="shared" si="14"/>
        <v>Open - AFONSO Nuno</v>
      </c>
      <c r="C494" s="1441" t="str">
        <f t="shared" si="15"/>
        <v>AFONSO Nuno</v>
      </c>
      <c r="D494" s="1428" t="s">
        <v>889</v>
      </c>
      <c r="E494" s="1429">
        <v>484</v>
      </c>
      <c r="F494" s="2197" t="s">
        <v>14298</v>
      </c>
      <c r="G494" s="2198" t="s">
        <v>3093</v>
      </c>
      <c r="H494" s="2197" t="s">
        <v>11332</v>
      </c>
      <c r="I494" s="2199" t="s">
        <v>1061</v>
      </c>
      <c r="J494" s="2196">
        <v>27</v>
      </c>
    </row>
    <row r="495" spans="2:10" ht="13.5" thickBot="1" x14ac:dyDescent="0.25">
      <c r="B495" s="392" t="str">
        <f t="shared" si="14"/>
        <v>Open - TORRICO Emilio Tomás</v>
      </c>
      <c r="C495" s="1441" t="str">
        <f t="shared" si="15"/>
        <v>TORRICO Emilio Tomás</v>
      </c>
      <c r="D495" s="1428" t="s">
        <v>889</v>
      </c>
      <c r="E495" s="1429">
        <v>484</v>
      </c>
      <c r="F495" s="2197" t="s">
        <v>17446</v>
      </c>
      <c r="G495" s="2198" t="s">
        <v>17090</v>
      </c>
      <c r="H495" s="2197" t="s">
        <v>17092</v>
      </c>
      <c r="I495" s="2199" t="s">
        <v>1015</v>
      </c>
      <c r="J495" s="2196">
        <v>27</v>
      </c>
    </row>
    <row r="496" spans="2:10" ht="13.5" thickBot="1" x14ac:dyDescent="0.25">
      <c r="B496" s="392" t="str">
        <f t="shared" si="14"/>
        <v>Open - BENAVENT Pedro</v>
      </c>
      <c r="C496" s="1441" t="str">
        <f t="shared" si="15"/>
        <v>BENAVENT Pedro</v>
      </c>
      <c r="D496" s="1428" t="s">
        <v>889</v>
      </c>
      <c r="E496" s="1429">
        <v>484</v>
      </c>
      <c r="F496" s="2197" t="s">
        <v>8757</v>
      </c>
      <c r="G496" s="2198" t="s">
        <v>5604</v>
      </c>
      <c r="H496" s="2197" t="s">
        <v>14872</v>
      </c>
      <c r="I496" s="2199" t="s">
        <v>1015</v>
      </c>
      <c r="J496" s="2196">
        <v>27</v>
      </c>
    </row>
    <row r="497" spans="2:10" ht="13.5" thickBot="1" x14ac:dyDescent="0.25">
      <c r="B497" s="392" t="str">
        <f t="shared" si="14"/>
        <v>Open - MARKS Cailim</v>
      </c>
      <c r="C497" s="1441" t="str">
        <f t="shared" si="15"/>
        <v>MARKS Cailim</v>
      </c>
      <c r="D497" s="1428" t="s">
        <v>889</v>
      </c>
      <c r="E497" s="1429">
        <v>484</v>
      </c>
      <c r="F497" s="2197" t="s">
        <v>16575</v>
      </c>
      <c r="G497" s="2198" t="s">
        <v>3704</v>
      </c>
      <c r="H497" s="2197" t="s">
        <v>7184</v>
      </c>
      <c r="I497" s="2199" t="s">
        <v>1051</v>
      </c>
      <c r="J497" s="2196">
        <v>27</v>
      </c>
    </row>
    <row r="498" spans="2:10" ht="13.5" thickBot="1" x14ac:dyDescent="0.25">
      <c r="B498" s="392" t="str">
        <f t="shared" si="14"/>
        <v>Open - BUTTITTA Eleonora</v>
      </c>
      <c r="C498" s="1441" t="str">
        <f t="shared" si="15"/>
        <v>BUTTITTA Eleonora</v>
      </c>
      <c r="D498" s="1428" t="s">
        <v>889</v>
      </c>
      <c r="E498" s="1429">
        <v>484</v>
      </c>
      <c r="F498" s="2197" t="s">
        <v>7297</v>
      </c>
      <c r="G498" s="2198" t="s">
        <v>3544</v>
      </c>
      <c r="H498" s="2197" t="s">
        <v>10270</v>
      </c>
      <c r="I498" s="2199" t="s">
        <v>1037</v>
      </c>
      <c r="J498" s="2196">
        <v>27</v>
      </c>
    </row>
    <row r="499" spans="2:10" ht="13.5" thickBot="1" x14ac:dyDescent="0.25">
      <c r="B499" s="392" t="str">
        <f t="shared" si="14"/>
        <v>Open - FEYE Aurélien</v>
      </c>
      <c r="C499" s="1441" t="str">
        <f t="shared" si="15"/>
        <v>FEYE Aurélien</v>
      </c>
      <c r="D499" s="1428" t="s">
        <v>889</v>
      </c>
      <c r="E499" s="1429">
        <v>484</v>
      </c>
      <c r="F499" s="2197" t="s">
        <v>16637</v>
      </c>
      <c r="G499" s="2198" t="s">
        <v>14354</v>
      </c>
      <c r="H499" s="2197" t="s">
        <v>10250</v>
      </c>
      <c r="I499" s="2199" t="s">
        <v>990</v>
      </c>
      <c r="J499" s="2196">
        <v>27</v>
      </c>
    </row>
    <row r="500" spans="2:10" ht="13.5" thickBot="1" x14ac:dyDescent="0.25">
      <c r="B500" s="392" t="str">
        <f t="shared" si="14"/>
        <v>Open - LAUDER David</v>
      </c>
      <c r="C500" s="1441" t="str">
        <f t="shared" si="15"/>
        <v>LAUDER David</v>
      </c>
      <c r="D500" s="1428" t="s">
        <v>889</v>
      </c>
      <c r="E500" s="1429">
        <v>484</v>
      </c>
      <c r="F500" s="2197" t="s">
        <v>14147</v>
      </c>
      <c r="G500" s="2198" t="s">
        <v>3072</v>
      </c>
      <c r="H500" s="2197" t="s">
        <v>10260</v>
      </c>
      <c r="I500" s="2199" t="s">
        <v>1083</v>
      </c>
      <c r="J500" s="2196">
        <v>27</v>
      </c>
    </row>
    <row r="501" spans="2:10" ht="13.5" thickBot="1" x14ac:dyDescent="0.25">
      <c r="B501" s="392" t="str">
        <f t="shared" si="14"/>
        <v>Open - MARKS Jarno</v>
      </c>
      <c r="C501" s="1441" t="str">
        <f t="shared" si="15"/>
        <v>MARKS Jarno</v>
      </c>
      <c r="D501" s="1428" t="s">
        <v>889</v>
      </c>
      <c r="E501" s="1429">
        <v>484</v>
      </c>
      <c r="F501" s="2197" t="s">
        <v>16575</v>
      </c>
      <c r="G501" s="2198" t="s">
        <v>7172</v>
      </c>
      <c r="H501" s="2197" t="s">
        <v>7184</v>
      </c>
      <c r="I501" s="2199" t="s">
        <v>1051</v>
      </c>
      <c r="J501" s="2196">
        <v>27</v>
      </c>
    </row>
    <row r="502" spans="2:10" ht="13.5" thickBot="1" x14ac:dyDescent="0.25">
      <c r="B502" s="392" t="str">
        <f t="shared" si="14"/>
        <v>Open - WERNER Greg</v>
      </c>
      <c r="C502" s="1441" t="str">
        <f t="shared" si="15"/>
        <v>WERNER Greg</v>
      </c>
      <c r="D502" s="1428" t="s">
        <v>889</v>
      </c>
      <c r="E502" s="1429">
        <v>484</v>
      </c>
      <c r="F502" s="2197" t="s">
        <v>14963</v>
      </c>
      <c r="G502" s="2198" t="s">
        <v>5516</v>
      </c>
      <c r="H502" s="2197" t="s">
        <v>13513</v>
      </c>
      <c r="I502" s="2199" t="s">
        <v>986</v>
      </c>
      <c r="J502" s="2196">
        <v>27</v>
      </c>
    </row>
    <row r="503" spans="2:10" ht="13.5" thickBot="1" x14ac:dyDescent="0.25">
      <c r="B503" s="392" t="str">
        <f t="shared" si="14"/>
        <v>Open - ADAMS Eoin</v>
      </c>
      <c r="C503" s="1441" t="str">
        <f t="shared" si="15"/>
        <v>ADAMS Eoin</v>
      </c>
      <c r="D503" s="1428" t="s">
        <v>889</v>
      </c>
      <c r="E503" s="1429">
        <v>484</v>
      </c>
      <c r="F503" s="2197" t="s">
        <v>14983</v>
      </c>
      <c r="G503" s="2198" t="s">
        <v>7016</v>
      </c>
      <c r="H503" s="2197" t="s">
        <v>2752</v>
      </c>
      <c r="I503" s="2199" t="s">
        <v>1055</v>
      </c>
      <c r="J503" s="2196">
        <v>27</v>
      </c>
    </row>
    <row r="504" spans="2:10" ht="13.5" thickBot="1" x14ac:dyDescent="0.25">
      <c r="B504" s="392" t="str">
        <f t="shared" si="14"/>
        <v>Open - CARMO Maria Joao</v>
      </c>
      <c r="C504" s="1441" t="str">
        <f t="shared" si="15"/>
        <v>CARMO Maria Joao</v>
      </c>
      <c r="D504" s="1428" t="s">
        <v>889</v>
      </c>
      <c r="E504" s="1429">
        <v>498</v>
      </c>
      <c r="F504" s="2197" t="s">
        <v>16562</v>
      </c>
      <c r="G504" s="2198" t="s">
        <v>8874</v>
      </c>
      <c r="H504" s="2197" t="s">
        <v>15138</v>
      </c>
      <c r="I504" s="2199" t="s">
        <v>1061</v>
      </c>
      <c r="J504" s="2196">
        <v>26.5</v>
      </c>
    </row>
    <row r="505" spans="2:10" ht="13.5" thickBot="1" x14ac:dyDescent="0.25">
      <c r="B505" s="392" t="str">
        <f t="shared" si="14"/>
        <v>Open - ROSA Toni</v>
      </c>
      <c r="C505" s="1441" t="str">
        <f t="shared" si="15"/>
        <v>ROSA Toni</v>
      </c>
      <c r="D505" s="1428" t="s">
        <v>889</v>
      </c>
      <c r="E505" s="1429">
        <v>498</v>
      </c>
      <c r="F505" s="2197" t="s">
        <v>14167</v>
      </c>
      <c r="G505" s="2198" t="s">
        <v>3504</v>
      </c>
      <c r="H505" s="2197" t="s">
        <v>14451</v>
      </c>
      <c r="I505" s="2199" t="s">
        <v>1015</v>
      </c>
      <c r="J505" s="2196">
        <v>26.5</v>
      </c>
    </row>
    <row r="506" spans="2:10" ht="13.5" thickBot="1" x14ac:dyDescent="0.25">
      <c r="B506" s="392" t="str">
        <f t="shared" si="14"/>
        <v>Open - GONINAN Jeremy</v>
      </c>
      <c r="C506" s="1441" t="str">
        <f t="shared" si="15"/>
        <v>GONINAN Jeremy</v>
      </c>
      <c r="D506" s="1428" t="s">
        <v>889</v>
      </c>
      <c r="E506" s="1429">
        <v>498</v>
      </c>
      <c r="F506" s="2197" t="s">
        <v>14953</v>
      </c>
      <c r="G506" s="2198" t="s">
        <v>3110</v>
      </c>
      <c r="H506" s="2197" t="s">
        <v>17015</v>
      </c>
      <c r="I506" s="2199" t="s">
        <v>1079</v>
      </c>
      <c r="J506" s="2196">
        <v>26.5</v>
      </c>
    </row>
    <row r="507" spans="2:10" ht="13.5" thickBot="1" x14ac:dyDescent="0.25">
      <c r="B507" s="392" t="str">
        <f t="shared" si="14"/>
        <v>Open - STEMITSIOTIS Panos</v>
      </c>
      <c r="C507" s="1441" t="str">
        <f t="shared" si="15"/>
        <v>STEMITSIOTIS Panos</v>
      </c>
      <c r="D507" s="1428" t="s">
        <v>889</v>
      </c>
      <c r="E507" s="1429">
        <v>501</v>
      </c>
      <c r="F507" s="2197" t="s">
        <v>16571</v>
      </c>
      <c r="G507" s="2198" t="s">
        <v>16260</v>
      </c>
      <c r="H507" s="2197" t="s">
        <v>17082</v>
      </c>
      <c r="I507" s="2199" t="s">
        <v>1013</v>
      </c>
      <c r="J507" s="2196">
        <v>26</v>
      </c>
    </row>
    <row r="508" spans="2:10" ht="13.5" thickBot="1" x14ac:dyDescent="0.25">
      <c r="B508" s="392" t="str">
        <f t="shared" si="14"/>
        <v>Open - CACIOPPO Sacha</v>
      </c>
      <c r="C508" s="1441" t="str">
        <f t="shared" si="15"/>
        <v>CACIOPPO Sacha</v>
      </c>
      <c r="D508" s="1428" t="s">
        <v>889</v>
      </c>
      <c r="E508" s="1429">
        <v>501</v>
      </c>
      <c r="F508" s="2197" t="s">
        <v>16565</v>
      </c>
      <c r="G508" s="2198" t="s">
        <v>11082</v>
      </c>
      <c r="H508" s="2197" t="s">
        <v>11328</v>
      </c>
      <c r="I508" s="2199" t="s">
        <v>1037</v>
      </c>
      <c r="J508" s="2196">
        <v>26</v>
      </c>
    </row>
    <row r="509" spans="2:10" ht="13.5" thickBot="1" x14ac:dyDescent="0.25">
      <c r="B509" s="392" t="str">
        <f t="shared" si="14"/>
        <v>Open - RIGON Davide</v>
      </c>
      <c r="C509" s="1441" t="str">
        <f t="shared" si="15"/>
        <v>RIGON Davide</v>
      </c>
      <c r="D509" s="1428" t="s">
        <v>889</v>
      </c>
      <c r="E509" s="1429">
        <v>501</v>
      </c>
      <c r="F509" s="2197" t="s">
        <v>16622</v>
      </c>
      <c r="G509" s="2198" t="s">
        <v>3329</v>
      </c>
      <c r="H509" s="2197" t="s">
        <v>7873</v>
      </c>
      <c r="I509" s="2199" t="s">
        <v>1037</v>
      </c>
      <c r="J509" s="2196">
        <v>26</v>
      </c>
    </row>
    <row r="510" spans="2:10" ht="13.5" thickBot="1" x14ac:dyDescent="0.25">
      <c r="B510" s="392" t="str">
        <f t="shared" si="14"/>
        <v>Open - BOSCHI Massimiliano</v>
      </c>
      <c r="C510" s="1441" t="str">
        <f t="shared" si="15"/>
        <v>BOSCHI Massimiliano</v>
      </c>
      <c r="D510" s="1428" t="s">
        <v>889</v>
      </c>
      <c r="E510" s="1429">
        <v>501</v>
      </c>
      <c r="F510" s="2197" t="s">
        <v>16572</v>
      </c>
      <c r="G510" s="2198" t="s">
        <v>3023</v>
      </c>
      <c r="H510" s="2197" t="s">
        <v>11325</v>
      </c>
      <c r="I510" s="2199" t="s">
        <v>1037</v>
      </c>
      <c r="J510" s="2196">
        <v>26</v>
      </c>
    </row>
    <row r="511" spans="2:10" ht="13.5" thickBot="1" x14ac:dyDescent="0.25">
      <c r="B511" s="392" t="str">
        <f t="shared" si="14"/>
        <v>Open - BRIFFETT Stuart</v>
      </c>
      <c r="C511" s="1441" t="str">
        <f t="shared" si="15"/>
        <v>BRIFFETT Stuart</v>
      </c>
      <c r="D511" s="1428" t="s">
        <v>889</v>
      </c>
      <c r="E511" s="1429">
        <v>501</v>
      </c>
      <c r="F511" s="2197" t="s">
        <v>16584</v>
      </c>
      <c r="G511" s="2198" t="s">
        <v>3316</v>
      </c>
      <c r="H511" s="2197" t="s">
        <v>17082</v>
      </c>
      <c r="I511" s="2199" t="s">
        <v>1013</v>
      </c>
      <c r="J511" s="2196">
        <v>26</v>
      </c>
    </row>
    <row r="512" spans="2:10" ht="13.5" thickBot="1" x14ac:dyDescent="0.25">
      <c r="B512" s="392" t="str">
        <f t="shared" si="14"/>
        <v>Open - DESPRETZ Léa</v>
      </c>
      <c r="C512" s="1441" t="str">
        <f t="shared" si="15"/>
        <v>DESPRETZ Léa</v>
      </c>
      <c r="D512" s="1428" t="s">
        <v>889</v>
      </c>
      <c r="E512" s="1429">
        <v>501</v>
      </c>
      <c r="F512" s="2197" t="s">
        <v>3261</v>
      </c>
      <c r="G512" s="2198" t="s">
        <v>6880</v>
      </c>
      <c r="H512" s="2197" t="s">
        <v>13519</v>
      </c>
      <c r="I512" s="2199" t="s">
        <v>990</v>
      </c>
      <c r="J512" s="2196">
        <v>26</v>
      </c>
    </row>
    <row r="513" spans="2:10" ht="13.5" thickBot="1" x14ac:dyDescent="0.25">
      <c r="B513" s="392" t="str">
        <f t="shared" si="14"/>
        <v>Open - ROSA Martí</v>
      </c>
      <c r="C513" s="1441" t="str">
        <f t="shared" si="15"/>
        <v>ROSA Martí</v>
      </c>
      <c r="D513" s="1428" t="s">
        <v>889</v>
      </c>
      <c r="E513" s="1429">
        <v>501</v>
      </c>
      <c r="F513" s="2197" t="s">
        <v>14167</v>
      </c>
      <c r="G513" s="2198" t="s">
        <v>13233</v>
      </c>
      <c r="H513" s="2197" t="s">
        <v>14451</v>
      </c>
      <c r="I513" s="2199" t="s">
        <v>1015</v>
      </c>
      <c r="J513" s="2196">
        <v>26</v>
      </c>
    </row>
    <row r="514" spans="2:10" ht="13.5" thickBot="1" x14ac:dyDescent="0.25">
      <c r="B514" s="392" t="str">
        <f t="shared" si="14"/>
        <v>Open - CHIAPPETTA Giovanni</v>
      </c>
      <c r="C514" s="1441" t="str">
        <f t="shared" si="15"/>
        <v>CHIAPPETTA Giovanni</v>
      </c>
      <c r="D514" s="1428" t="s">
        <v>889</v>
      </c>
      <c r="E514" s="1429">
        <v>508</v>
      </c>
      <c r="F514" s="2197" t="s">
        <v>14496</v>
      </c>
      <c r="G514" s="2198" t="s">
        <v>3371</v>
      </c>
      <c r="H514" s="2197" t="s">
        <v>15269</v>
      </c>
      <c r="I514" s="2199" t="s">
        <v>1019</v>
      </c>
      <c r="J514" s="2196">
        <v>25.5</v>
      </c>
    </row>
    <row r="515" spans="2:10" ht="13.5" thickBot="1" x14ac:dyDescent="0.25">
      <c r="B515" s="392" t="str">
        <f t="shared" si="14"/>
        <v>Open - BONTE Jordan</v>
      </c>
      <c r="C515" s="1441" t="str">
        <f t="shared" si="15"/>
        <v>BONTE Jordan</v>
      </c>
      <c r="D515" s="1428" t="s">
        <v>889</v>
      </c>
      <c r="E515" s="1429">
        <v>508</v>
      </c>
      <c r="F515" s="2197" t="s">
        <v>18089</v>
      </c>
      <c r="G515" s="2198" t="s">
        <v>17665</v>
      </c>
      <c r="H515" s="2197" t="s">
        <v>16416</v>
      </c>
      <c r="I515" s="2199" t="s">
        <v>990</v>
      </c>
      <c r="J515" s="2196">
        <v>25.5</v>
      </c>
    </row>
    <row r="516" spans="2:10" ht="13.5" thickBot="1" x14ac:dyDescent="0.25">
      <c r="B516" s="392" t="str">
        <f t="shared" si="14"/>
        <v>Open - LEES Malcolm</v>
      </c>
      <c r="C516" s="1441" t="str">
        <f t="shared" si="15"/>
        <v>LEES Malcolm</v>
      </c>
      <c r="D516" s="1428" t="s">
        <v>889</v>
      </c>
      <c r="E516" s="1429">
        <v>508</v>
      </c>
      <c r="F516" s="2197" t="s">
        <v>3462</v>
      </c>
      <c r="G516" s="2198" t="s">
        <v>3463</v>
      </c>
      <c r="H516" s="2197" t="s">
        <v>2771</v>
      </c>
      <c r="I516" s="2199" t="s">
        <v>1069</v>
      </c>
      <c r="J516" s="2196">
        <v>25.5</v>
      </c>
    </row>
    <row r="517" spans="2:10" ht="13.5" thickBot="1" x14ac:dyDescent="0.25">
      <c r="B517" s="392" t="str">
        <f t="shared" si="14"/>
        <v>Open - MCMURRAY Simon</v>
      </c>
      <c r="C517" s="1441" t="str">
        <f t="shared" si="15"/>
        <v>MCMURRAY Simon</v>
      </c>
      <c r="D517" s="1428" t="s">
        <v>889</v>
      </c>
      <c r="E517" s="1429">
        <v>511</v>
      </c>
      <c r="F517" s="2197" t="s">
        <v>16586</v>
      </c>
      <c r="G517" s="2198" t="s">
        <v>3626</v>
      </c>
      <c r="H517" s="2197" t="s">
        <v>14399</v>
      </c>
      <c r="I517" s="2199" t="s">
        <v>1013</v>
      </c>
      <c r="J517" s="2196">
        <v>25</v>
      </c>
    </row>
    <row r="518" spans="2:10" ht="13.5" thickBot="1" x14ac:dyDescent="0.25">
      <c r="B518" s="392" t="str">
        <f t="shared" si="14"/>
        <v>Open - MANOLOULIS Vasileios</v>
      </c>
      <c r="C518" s="1441" t="str">
        <f t="shared" si="15"/>
        <v>MANOLOULIS Vasileios</v>
      </c>
      <c r="D518" s="1428" t="s">
        <v>889</v>
      </c>
      <c r="E518" s="1429">
        <v>511</v>
      </c>
      <c r="F518" s="2197" t="s">
        <v>3425</v>
      </c>
      <c r="G518" s="2198" t="s">
        <v>5548</v>
      </c>
      <c r="H518" s="2197" t="s">
        <v>2760</v>
      </c>
      <c r="I518" s="2199" t="s">
        <v>1025</v>
      </c>
      <c r="J518" s="2196">
        <v>25</v>
      </c>
    </row>
    <row r="519" spans="2:10" ht="13.5" thickBot="1" x14ac:dyDescent="0.25">
      <c r="B519" s="392" t="str">
        <f t="shared" ref="B519:B582" si="16">CONCATENATE(D519," - ",C519)</f>
        <v>Open - KANETIS Eleftherios</v>
      </c>
      <c r="C519" s="1441" t="str">
        <f t="shared" ref="C519:C582" si="17">CONCATENATE(UPPER(F519)," ",G519)</f>
        <v>KANETIS Eleftherios</v>
      </c>
      <c r="D519" s="1428" t="s">
        <v>889</v>
      </c>
      <c r="E519" s="1429">
        <v>511</v>
      </c>
      <c r="F519" s="2197" t="s">
        <v>14186</v>
      </c>
      <c r="G519" s="2198" t="s">
        <v>7808</v>
      </c>
      <c r="H519" s="2197" t="s">
        <v>9449</v>
      </c>
      <c r="I519" s="2199" t="s">
        <v>1025</v>
      </c>
      <c r="J519" s="2196">
        <v>25</v>
      </c>
    </row>
    <row r="520" spans="2:10" ht="13.5" thickBot="1" x14ac:dyDescent="0.25">
      <c r="B520" s="392" t="str">
        <f t="shared" si="16"/>
        <v>Open - MIDORO Marco</v>
      </c>
      <c r="C520" s="1441" t="str">
        <f t="shared" si="17"/>
        <v>MIDORO Marco</v>
      </c>
      <c r="D520" s="1428" t="s">
        <v>889</v>
      </c>
      <c r="E520" s="1429">
        <v>511</v>
      </c>
      <c r="F520" s="2197" t="s">
        <v>3108</v>
      </c>
      <c r="G520" s="2198" t="s">
        <v>3109</v>
      </c>
      <c r="H520" s="2197" t="s">
        <v>13596</v>
      </c>
      <c r="I520" s="2199" t="s">
        <v>1037</v>
      </c>
      <c r="J520" s="2196">
        <v>25</v>
      </c>
    </row>
    <row r="521" spans="2:10" ht="13.5" thickBot="1" x14ac:dyDescent="0.25">
      <c r="B521" s="392" t="str">
        <f t="shared" si="16"/>
        <v>Open - FOSTER Lenny</v>
      </c>
      <c r="C521" s="1441" t="str">
        <f t="shared" si="17"/>
        <v>FOSTER Lenny</v>
      </c>
      <c r="D521" s="1428" t="s">
        <v>889</v>
      </c>
      <c r="E521" s="1429">
        <v>511</v>
      </c>
      <c r="F521" s="2197" t="s">
        <v>11479</v>
      </c>
      <c r="G521" s="2198" t="s">
        <v>7050</v>
      </c>
      <c r="H521" s="2197" t="s">
        <v>17015</v>
      </c>
      <c r="I521" s="2199" t="s">
        <v>1079</v>
      </c>
      <c r="J521" s="2196">
        <v>25</v>
      </c>
    </row>
    <row r="522" spans="2:10" ht="13.5" thickBot="1" x14ac:dyDescent="0.25">
      <c r="B522" s="392" t="str">
        <f t="shared" si="16"/>
        <v>Open - ROMERO Manuel</v>
      </c>
      <c r="C522" s="1441" t="str">
        <f t="shared" si="17"/>
        <v>ROMERO Manuel</v>
      </c>
      <c r="D522" s="1428" t="s">
        <v>889</v>
      </c>
      <c r="E522" s="1429">
        <v>511</v>
      </c>
      <c r="F522" s="2197" t="s">
        <v>5596</v>
      </c>
      <c r="G522" s="2198" t="s">
        <v>3171</v>
      </c>
      <c r="H522" s="2197" t="s">
        <v>7183</v>
      </c>
      <c r="I522" s="2199" t="s">
        <v>1015</v>
      </c>
      <c r="J522" s="2196">
        <v>25</v>
      </c>
    </row>
    <row r="523" spans="2:10" ht="13.5" thickBot="1" x14ac:dyDescent="0.25">
      <c r="B523" s="392" t="str">
        <f t="shared" si="16"/>
        <v>Open - BATACCHI Alex</v>
      </c>
      <c r="C523" s="1441" t="str">
        <f t="shared" si="17"/>
        <v>BATACCHI Alex</v>
      </c>
      <c r="D523" s="1428" t="s">
        <v>889</v>
      </c>
      <c r="E523" s="1429">
        <v>517</v>
      </c>
      <c r="F523" s="2197" t="s">
        <v>16567</v>
      </c>
      <c r="G523" s="2198" t="s">
        <v>3130</v>
      </c>
      <c r="H523" s="2197" t="s">
        <v>10280</v>
      </c>
      <c r="I523" s="2199" t="s">
        <v>1079</v>
      </c>
      <c r="J523" s="2196">
        <v>24.5</v>
      </c>
    </row>
    <row r="524" spans="2:10" ht="13.5" thickBot="1" x14ac:dyDescent="0.25">
      <c r="B524" s="392" t="str">
        <f t="shared" si="16"/>
        <v>Open - KRIKELIS Stefanos</v>
      </c>
      <c r="C524" s="1441" t="str">
        <f t="shared" si="17"/>
        <v>KRIKELIS Stefanos</v>
      </c>
      <c r="D524" s="1428" t="s">
        <v>889</v>
      </c>
      <c r="E524" s="1429">
        <v>517</v>
      </c>
      <c r="F524" s="2197" t="s">
        <v>3500</v>
      </c>
      <c r="G524" s="2198" t="s">
        <v>3501</v>
      </c>
      <c r="H524" s="2197" t="s">
        <v>17171</v>
      </c>
      <c r="I524" s="2199" t="s">
        <v>1025</v>
      </c>
      <c r="J524" s="2196">
        <v>24.5</v>
      </c>
    </row>
    <row r="525" spans="2:10" ht="13.5" thickBot="1" x14ac:dyDescent="0.25">
      <c r="B525" s="392" t="str">
        <f t="shared" si="16"/>
        <v>Open - MERCER Paul</v>
      </c>
      <c r="C525" s="1441" t="str">
        <f t="shared" si="17"/>
        <v>MERCER Paul</v>
      </c>
      <c r="D525" s="1428" t="s">
        <v>889</v>
      </c>
      <c r="E525" s="1429">
        <v>519</v>
      </c>
      <c r="F525" s="2197" t="s">
        <v>7290</v>
      </c>
      <c r="G525" s="2198" t="s">
        <v>3259</v>
      </c>
      <c r="H525" s="2197" t="s">
        <v>9597</v>
      </c>
      <c r="I525" s="2199" t="s">
        <v>986</v>
      </c>
      <c r="J525" s="2196">
        <v>24</v>
      </c>
    </row>
    <row r="526" spans="2:10" ht="13.5" thickBot="1" x14ac:dyDescent="0.25">
      <c r="B526" s="392" t="str">
        <f t="shared" si="16"/>
        <v>Open - PRESTI Danilo</v>
      </c>
      <c r="C526" s="1441" t="str">
        <f t="shared" si="17"/>
        <v>PRESTI Danilo</v>
      </c>
      <c r="D526" s="1428" t="s">
        <v>889</v>
      </c>
      <c r="E526" s="1429">
        <v>519</v>
      </c>
      <c r="F526" s="2197" t="s">
        <v>16573</v>
      </c>
      <c r="G526" s="2198" t="s">
        <v>5561</v>
      </c>
      <c r="H526" s="2197" t="s">
        <v>10269</v>
      </c>
      <c r="I526" s="2199" t="s">
        <v>1037</v>
      </c>
      <c r="J526" s="2196">
        <v>24</v>
      </c>
    </row>
    <row r="527" spans="2:10" ht="13.5" thickBot="1" x14ac:dyDescent="0.25">
      <c r="B527" s="392" t="str">
        <f t="shared" si="16"/>
        <v>Open - MILLER Andrew</v>
      </c>
      <c r="C527" s="1441" t="str">
        <f t="shared" si="17"/>
        <v>MILLER Andrew</v>
      </c>
      <c r="D527" s="1428" t="s">
        <v>889</v>
      </c>
      <c r="E527" s="1429">
        <v>519</v>
      </c>
      <c r="F527" s="2197" t="s">
        <v>18090</v>
      </c>
      <c r="G527" s="2198" t="s">
        <v>3105</v>
      </c>
      <c r="H527" s="2197" t="s">
        <v>15379</v>
      </c>
      <c r="I527" s="2199" t="s">
        <v>14471</v>
      </c>
      <c r="J527" s="2196">
        <v>24</v>
      </c>
    </row>
    <row r="528" spans="2:10" ht="13.5" thickBot="1" x14ac:dyDescent="0.25">
      <c r="B528" s="392" t="str">
        <f t="shared" si="16"/>
        <v>Open - BIGNARDI Luca</v>
      </c>
      <c r="C528" s="1441" t="str">
        <f t="shared" si="17"/>
        <v>BIGNARDI Luca</v>
      </c>
      <c r="D528" s="1428" t="s">
        <v>889</v>
      </c>
      <c r="E528" s="1429">
        <v>519</v>
      </c>
      <c r="F528" s="2197" t="s">
        <v>14309</v>
      </c>
      <c r="G528" s="2198" t="s">
        <v>3198</v>
      </c>
      <c r="H528" s="2197" t="s">
        <v>9702</v>
      </c>
      <c r="I528" s="2199" t="s">
        <v>1037</v>
      </c>
      <c r="J528" s="2196">
        <v>24</v>
      </c>
    </row>
    <row r="529" spans="2:10" ht="13.5" thickBot="1" x14ac:dyDescent="0.25">
      <c r="B529" s="392" t="str">
        <f t="shared" si="16"/>
        <v>Open - HENRIOUL Jody</v>
      </c>
      <c r="C529" s="1441" t="str">
        <f t="shared" si="17"/>
        <v>HENRIOUL Jody</v>
      </c>
      <c r="D529" s="1428" t="s">
        <v>889</v>
      </c>
      <c r="E529" s="1429">
        <v>519</v>
      </c>
      <c r="F529" s="2197" t="s">
        <v>17615</v>
      </c>
      <c r="G529" s="2198" t="s">
        <v>17508</v>
      </c>
      <c r="H529" s="2197" t="s">
        <v>5301</v>
      </c>
      <c r="I529" s="2199" t="s">
        <v>990</v>
      </c>
      <c r="J529" s="2196">
        <v>24</v>
      </c>
    </row>
    <row r="530" spans="2:10" ht="13.5" thickBot="1" x14ac:dyDescent="0.25">
      <c r="B530" s="392" t="str">
        <f t="shared" si="16"/>
        <v>Open - ARNOLD Terry</v>
      </c>
      <c r="C530" s="1441" t="str">
        <f t="shared" si="17"/>
        <v>ARNOLD Terry</v>
      </c>
      <c r="D530" s="1428" t="s">
        <v>889</v>
      </c>
      <c r="E530" s="1429">
        <v>519</v>
      </c>
      <c r="F530" s="2197" t="s">
        <v>3294</v>
      </c>
      <c r="G530" s="2198" t="s">
        <v>13633</v>
      </c>
      <c r="H530" s="2197" t="s">
        <v>17082</v>
      </c>
      <c r="I530" s="2199" t="s">
        <v>1013</v>
      </c>
      <c r="J530" s="2196">
        <v>24</v>
      </c>
    </row>
    <row r="531" spans="2:10" ht="13.5" thickBot="1" x14ac:dyDescent="0.25">
      <c r="B531" s="392" t="str">
        <f t="shared" si="16"/>
        <v>Open - DELLA MONACA Daniele</v>
      </c>
      <c r="C531" s="1441" t="str">
        <f t="shared" si="17"/>
        <v>DELLA MONACA Daniele</v>
      </c>
      <c r="D531" s="1428" t="s">
        <v>889</v>
      </c>
      <c r="E531" s="1429">
        <v>519</v>
      </c>
      <c r="F531" s="2197" t="s">
        <v>11344</v>
      </c>
      <c r="G531" s="2198" t="s">
        <v>3022</v>
      </c>
      <c r="H531" s="2197" t="s">
        <v>13312</v>
      </c>
      <c r="I531" s="2199" t="s">
        <v>1037</v>
      </c>
      <c r="J531" s="2196">
        <v>24</v>
      </c>
    </row>
    <row r="532" spans="2:10" ht="13.5" thickBot="1" x14ac:dyDescent="0.25">
      <c r="B532" s="392" t="str">
        <f t="shared" si="16"/>
        <v>Open - BORG Angelo</v>
      </c>
      <c r="C532" s="1441" t="str">
        <f t="shared" si="17"/>
        <v>BORG Angelo</v>
      </c>
      <c r="D532" s="1428" t="s">
        <v>889</v>
      </c>
      <c r="E532" s="1429">
        <v>519</v>
      </c>
      <c r="F532" s="2197" t="s">
        <v>18091</v>
      </c>
      <c r="G532" s="2198" t="s">
        <v>3367</v>
      </c>
      <c r="H532" s="2197" t="s">
        <v>10247</v>
      </c>
      <c r="I532" s="2199" t="s">
        <v>1045</v>
      </c>
      <c r="J532" s="2196">
        <v>24</v>
      </c>
    </row>
    <row r="533" spans="2:10" ht="13.5" thickBot="1" x14ac:dyDescent="0.25">
      <c r="B533" s="392" t="str">
        <f t="shared" si="16"/>
        <v>Open - BONNET Cyprien</v>
      </c>
      <c r="C533" s="1441" t="str">
        <f t="shared" si="17"/>
        <v>BONNET Cyprien</v>
      </c>
      <c r="D533" s="1428" t="s">
        <v>889</v>
      </c>
      <c r="E533" s="1429">
        <v>519</v>
      </c>
      <c r="F533" s="2197" t="s">
        <v>14248</v>
      </c>
      <c r="G533" s="2198" t="s">
        <v>9731</v>
      </c>
      <c r="H533" s="2197" t="s">
        <v>15239</v>
      </c>
      <c r="I533" s="2199" t="s">
        <v>1019</v>
      </c>
      <c r="J533" s="2196">
        <v>24</v>
      </c>
    </row>
    <row r="534" spans="2:10" ht="13.5" thickBot="1" x14ac:dyDescent="0.25">
      <c r="B534" s="392" t="str">
        <f t="shared" si="16"/>
        <v>Open - PERAZZO Marco</v>
      </c>
      <c r="C534" s="1441" t="str">
        <f t="shared" si="17"/>
        <v>PERAZZO Marco</v>
      </c>
      <c r="D534" s="1428" t="s">
        <v>889</v>
      </c>
      <c r="E534" s="1429">
        <v>519</v>
      </c>
      <c r="F534" s="2197" t="s">
        <v>3419</v>
      </c>
      <c r="G534" s="2198" t="s">
        <v>3109</v>
      </c>
      <c r="H534" s="2197" t="s">
        <v>2761</v>
      </c>
      <c r="I534" s="2199" t="s">
        <v>1037</v>
      </c>
      <c r="J534" s="2196">
        <v>24</v>
      </c>
    </row>
    <row r="535" spans="2:10" ht="13.5" thickBot="1" x14ac:dyDescent="0.25">
      <c r="B535" s="392" t="str">
        <f t="shared" si="16"/>
        <v>Open - MANGANELLO Andrea</v>
      </c>
      <c r="C535" s="1441" t="str">
        <f t="shared" si="17"/>
        <v>MANGANELLO Andrea</v>
      </c>
      <c r="D535" s="1428" t="s">
        <v>889</v>
      </c>
      <c r="E535" s="1429">
        <v>519</v>
      </c>
      <c r="F535" s="2197" t="s">
        <v>3594</v>
      </c>
      <c r="G535" s="2198" t="s">
        <v>3027</v>
      </c>
      <c r="H535" s="2197" t="s">
        <v>9822</v>
      </c>
      <c r="I535" s="2199" t="s">
        <v>1037</v>
      </c>
      <c r="J535" s="2196">
        <v>24</v>
      </c>
    </row>
    <row r="536" spans="2:10" ht="13.5" thickBot="1" x14ac:dyDescent="0.25">
      <c r="B536" s="392" t="str">
        <f t="shared" si="16"/>
        <v>Open - HAGENKÖTTER Kai</v>
      </c>
      <c r="C536" s="1441" t="str">
        <f t="shared" si="17"/>
        <v>HAGENKÖTTER Kai</v>
      </c>
      <c r="D536" s="1428" t="s">
        <v>889</v>
      </c>
      <c r="E536" s="1429">
        <v>519</v>
      </c>
      <c r="F536" s="2197" t="s">
        <v>18092</v>
      </c>
      <c r="G536" s="2198" t="s">
        <v>3202</v>
      </c>
      <c r="H536" s="2197" t="s">
        <v>7872</v>
      </c>
      <c r="I536" s="2199" t="s">
        <v>1021</v>
      </c>
      <c r="J536" s="2196">
        <v>24</v>
      </c>
    </row>
    <row r="537" spans="2:10" ht="13.5" thickBot="1" x14ac:dyDescent="0.25">
      <c r="B537" s="392" t="str">
        <f t="shared" si="16"/>
        <v>Open - IKEYA Tomoyoshi</v>
      </c>
      <c r="C537" s="1441" t="str">
        <f t="shared" si="17"/>
        <v>IKEYA Tomoyoshi</v>
      </c>
      <c r="D537" s="1428" t="s">
        <v>889</v>
      </c>
      <c r="E537" s="1429">
        <v>531</v>
      </c>
      <c r="F537" s="2197" t="s">
        <v>14964</v>
      </c>
      <c r="G537" s="2198" t="s">
        <v>14702</v>
      </c>
      <c r="H537" s="2197" t="s">
        <v>14700</v>
      </c>
      <c r="I537" s="2199" t="s">
        <v>1041</v>
      </c>
      <c r="J537" s="2196">
        <v>23.5</v>
      </c>
    </row>
    <row r="538" spans="2:10" ht="13.5" thickBot="1" x14ac:dyDescent="0.25">
      <c r="B538" s="392" t="str">
        <f t="shared" si="16"/>
        <v>Open - VLASSOPOULOS Athanasios</v>
      </c>
      <c r="C538" s="1441" t="str">
        <f t="shared" si="17"/>
        <v>VLASSOPOULOS Athanasios</v>
      </c>
      <c r="D538" s="1428" t="s">
        <v>889</v>
      </c>
      <c r="E538" s="1429">
        <v>531</v>
      </c>
      <c r="F538" s="2197" t="s">
        <v>3446</v>
      </c>
      <c r="G538" s="2198" t="s">
        <v>3472</v>
      </c>
      <c r="H538" s="2197" t="s">
        <v>10263</v>
      </c>
      <c r="I538" s="2199" t="s">
        <v>1025</v>
      </c>
      <c r="J538" s="2196">
        <v>23.5</v>
      </c>
    </row>
    <row r="539" spans="2:10" ht="13.5" thickBot="1" x14ac:dyDescent="0.25">
      <c r="B539" s="392" t="str">
        <f t="shared" si="16"/>
        <v>Open - BELCHER Chris</v>
      </c>
      <c r="C539" s="1441" t="str">
        <f t="shared" si="17"/>
        <v>BELCHER Chris</v>
      </c>
      <c r="D539" s="1428" t="s">
        <v>889</v>
      </c>
      <c r="E539" s="1429">
        <v>531</v>
      </c>
      <c r="F539" s="2197" t="s">
        <v>14908</v>
      </c>
      <c r="G539" s="2198" t="s">
        <v>3029</v>
      </c>
      <c r="H539" s="2197" t="s">
        <v>13606</v>
      </c>
      <c r="I539" s="2199" t="s">
        <v>1079</v>
      </c>
      <c r="J539" s="2196">
        <v>23.5</v>
      </c>
    </row>
    <row r="540" spans="2:10" ht="13.5" thickBot="1" x14ac:dyDescent="0.25">
      <c r="B540" s="392" t="str">
        <f t="shared" si="16"/>
        <v>Open - BESKABY Andy</v>
      </c>
      <c r="C540" s="1441" t="str">
        <f t="shared" si="17"/>
        <v>BESKABY Andy</v>
      </c>
      <c r="D540" s="1428" t="s">
        <v>889</v>
      </c>
      <c r="E540" s="1429">
        <v>531</v>
      </c>
      <c r="F540" s="2197" t="s">
        <v>5547</v>
      </c>
      <c r="G540" s="2198" t="s">
        <v>3322</v>
      </c>
      <c r="H540" s="2197" t="s">
        <v>14787</v>
      </c>
      <c r="I540" s="2199" t="s">
        <v>1069</v>
      </c>
      <c r="J540" s="2196">
        <v>23.5</v>
      </c>
    </row>
    <row r="541" spans="2:10" ht="13.5" thickBot="1" x14ac:dyDescent="0.25">
      <c r="B541" s="392" t="str">
        <f t="shared" si="16"/>
        <v>Open - MAIRELES Paula</v>
      </c>
      <c r="C541" s="1441" t="str">
        <f t="shared" si="17"/>
        <v>MAIRELES Paula</v>
      </c>
      <c r="D541" s="1428" t="s">
        <v>889</v>
      </c>
      <c r="E541" s="1429">
        <v>535</v>
      </c>
      <c r="F541" s="2197" t="s">
        <v>7766</v>
      </c>
      <c r="G541" s="2198" t="s">
        <v>6946</v>
      </c>
      <c r="H541" s="2197" t="s">
        <v>7304</v>
      </c>
      <c r="I541" s="2199" t="s">
        <v>1015</v>
      </c>
      <c r="J541" s="2196">
        <v>23</v>
      </c>
    </row>
    <row r="542" spans="2:10" ht="13.5" thickBot="1" x14ac:dyDescent="0.25">
      <c r="B542" s="392" t="str">
        <f t="shared" si="16"/>
        <v>Open - CHRISTOPOULOS Orestis</v>
      </c>
      <c r="C542" s="1441" t="str">
        <f t="shared" si="17"/>
        <v>CHRISTOPOULOS Orestis</v>
      </c>
      <c r="D542" s="1428" t="s">
        <v>889</v>
      </c>
      <c r="E542" s="1429">
        <v>535</v>
      </c>
      <c r="F542" s="2197" t="s">
        <v>3695</v>
      </c>
      <c r="G542" s="2198" t="s">
        <v>3696</v>
      </c>
      <c r="H542" s="2197" t="s">
        <v>10251</v>
      </c>
      <c r="I542" s="2199" t="s">
        <v>1025</v>
      </c>
      <c r="J542" s="2196">
        <v>23</v>
      </c>
    </row>
    <row r="543" spans="2:10" ht="13.5" thickBot="1" x14ac:dyDescent="0.25">
      <c r="B543" s="392" t="str">
        <f t="shared" si="16"/>
        <v>Open - KIMACK Ethan</v>
      </c>
      <c r="C543" s="1441" t="str">
        <f t="shared" si="17"/>
        <v>KIMACK Ethan</v>
      </c>
      <c r="D543" s="1428" t="s">
        <v>889</v>
      </c>
      <c r="E543" s="1429">
        <v>535</v>
      </c>
      <c r="F543" s="2197" t="s">
        <v>16656</v>
      </c>
      <c r="G543" s="2198" t="s">
        <v>18066</v>
      </c>
      <c r="H543" s="2197" t="s">
        <v>2905</v>
      </c>
      <c r="I543" s="2199" t="s">
        <v>1079</v>
      </c>
      <c r="J543" s="2196">
        <v>23</v>
      </c>
    </row>
    <row r="544" spans="2:10" ht="13.5" thickBot="1" x14ac:dyDescent="0.25">
      <c r="B544" s="392" t="str">
        <f t="shared" si="16"/>
        <v>Open - TORBOLI Ruggero</v>
      </c>
      <c r="C544" s="1441" t="str">
        <f t="shared" si="17"/>
        <v>TORBOLI Ruggero</v>
      </c>
      <c r="D544" s="1428" t="s">
        <v>889</v>
      </c>
      <c r="E544" s="1429">
        <v>535</v>
      </c>
      <c r="F544" s="2197" t="s">
        <v>9721</v>
      </c>
      <c r="G544" s="2198" t="s">
        <v>7004</v>
      </c>
      <c r="H544" s="2197" t="s">
        <v>11325</v>
      </c>
      <c r="I544" s="2199" t="s">
        <v>1037</v>
      </c>
      <c r="J544" s="2196">
        <v>23</v>
      </c>
    </row>
    <row r="545" spans="2:10" ht="13.5" thickBot="1" x14ac:dyDescent="0.25">
      <c r="B545" s="392" t="str">
        <f t="shared" si="16"/>
        <v>Open - PAWLICA Manfred</v>
      </c>
      <c r="C545" s="1441" t="str">
        <f t="shared" si="17"/>
        <v>PAWLICA Manfred</v>
      </c>
      <c r="D545" s="1428" t="s">
        <v>889</v>
      </c>
      <c r="E545" s="1429">
        <v>535</v>
      </c>
      <c r="F545" s="2197" t="s">
        <v>3411</v>
      </c>
      <c r="G545" s="2198" t="s">
        <v>3412</v>
      </c>
      <c r="H545" s="2197" t="s">
        <v>8871</v>
      </c>
      <c r="I545" s="2199" t="s">
        <v>988</v>
      </c>
      <c r="J545" s="2196">
        <v>23</v>
      </c>
    </row>
    <row r="546" spans="2:10" ht="13.5" thickBot="1" x14ac:dyDescent="0.25">
      <c r="B546" s="392" t="str">
        <f t="shared" si="16"/>
        <v>Open - HAUSMANN Christian</v>
      </c>
      <c r="C546" s="1441" t="str">
        <f t="shared" si="17"/>
        <v>HAUSMANN Christian</v>
      </c>
      <c r="D546" s="1428" t="s">
        <v>889</v>
      </c>
      <c r="E546" s="1429">
        <v>535</v>
      </c>
      <c r="F546" s="2197" t="s">
        <v>16585</v>
      </c>
      <c r="G546" s="2198" t="s">
        <v>3063</v>
      </c>
      <c r="H546" s="2197" t="s">
        <v>2748</v>
      </c>
      <c r="I546" s="2199" t="s">
        <v>988</v>
      </c>
      <c r="J546" s="2196">
        <v>23</v>
      </c>
    </row>
    <row r="547" spans="2:10" ht="13.5" thickBot="1" x14ac:dyDescent="0.25">
      <c r="B547" s="392" t="str">
        <f t="shared" si="16"/>
        <v>Open - WILLIAM John Edwards</v>
      </c>
      <c r="C547" s="1441" t="str">
        <f t="shared" si="17"/>
        <v>WILLIAM John Edwards</v>
      </c>
      <c r="D547" s="1428" t="s">
        <v>889</v>
      </c>
      <c r="E547" s="1429">
        <v>535</v>
      </c>
      <c r="F547" s="2197" t="s">
        <v>16578</v>
      </c>
      <c r="G547" s="2198" t="s">
        <v>5621</v>
      </c>
      <c r="H547" s="2197" t="s">
        <v>8716</v>
      </c>
      <c r="I547" s="2199" t="s">
        <v>7916</v>
      </c>
      <c r="J547" s="2196">
        <v>23</v>
      </c>
    </row>
    <row r="548" spans="2:10" ht="13.5" thickBot="1" x14ac:dyDescent="0.25">
      <c r="B548" s="392" t="str">
        <f t="shared" si="16"/>
        <v>Open - OTTONE Alessandro</v>
      </c>
      <c r="C548" s="1441" t="str">
        <f t="shared" si="17"/>
        <v>OTTONE Alessandro</v>
      </c>
      <c r="D548" s="1428" t="s">
        <v>889</v>
      </c>
      <c r="E548" s="1429">
        <v>542</v>
      </c>
      <c r="F548" s="2197" t="s">
        <v>16602</v>
      </c>
      <c r="G548" s="2198" t="s">
        <v>3125</v>
      </c>
      <c r="H548" s="2197" t="s">
        <v>16490</v>
      </c>
      <c r="I548" s="2199" t="s">
        <v>1037</v>
      </c>
      <c r="J548" s="2196">
        <v>22.5</v>
      </c>
    </row>
    <row r="549" spans="2:10" ht="13.5" thickBot="1" x14ac:dyDescent="0.25">
      <c r="B549" s="392" t="str">
        <f t="shared" si="16"/>
        <v>Open - CANO Luis</v>
      </c>
      <c r="C549" s="1441" t="str">
        <f t="shared" si="17"/>
        <v>CANO Luis</v>
      </c>
      <c r="D549" s="1428" t="s">
        <v>889</v>
      </c>
      <c r="E549" s="1429">
        <v>542</v>
      </c>
      <c r="F549" s="2197" t="s">
        <v>3492</v>
      </c>
      <c r="G549" s="2198" t="s">
        <v>3683</v>
      </c>
      <c r="H549" s="2197" t="s">
        <v>14872</v>
      </c>
      <c r="I549" s="2199" t="s">
        <v>1015</v>
      </c>
      <c r="J549" s="2196">
        <v>22.5</v>
      </c>
    </row>
    <row r="550" spans="2:10" ht="13.5" thickBot="1" x14ac:dyDescent="0.25">
      <c r="B550" s="392" t="str">
        <f t="shared" si="16"/>
        <v>Open - HARRINGTON Josef</v>
      </c>
      <c r="C550" s="1441" t="str">
        <f t="shared" si="17"/>
        <v>HARRINGTON Josef</v>
      </c>
      <c r="D550" s="1428" t="s">
        <v>889</v>
      </c>
      <c r="E550" s="1429">
        <v>542</v>
      </c>
      <c r="F550" s="2197" t="s">
        <v>14156</v>
      </c>
      <c r="G550" s="2198" t="s">
        <v>3154</v>
      </c>
      <c r="H550" s="2197" t="s">
        <v>17082</v>
      </c>
      <c r="I550" s="2199" t="s">
        <v>1013</v>
      </c>
      <c r="J550" s="2196">
        <v>22.5</v>
      </c>
    </row>
    <row r="551" spans="2:10" ht="13.5" thickBot="1" x14ac:dyDescent="0.25">
      <c r="B551" s="392" t="str">
        <f t="shared" si="16"/>
        <v>Open - HARRINGTON Gerry</v>
      </c>
      <c r="C551" s="1441" t="str">
        <f t="shared" si="17"/>
        <v>HARRINGTON Gerry</v>
      </c>
      <c r="D551" s="1428" t="s">
        <v>889</v>
      </c>
      <c r="E551" s="1429">
        <v>542</v>
      </c>
      <c r="F551" s="2197" t="s">
        <v>14156</v>
      </c>
      <c r="G551" s="2198" t="s">
        <v>14072</v>
      </c>
      <c r="H551" s="2197" t="s">
        <v>17082</v>
      </c>
      <c r="I551" s="2199" t="s">
        <v>1033</v>
      </c>
      <c r="J551" s="2196">
        <v>22.5</v>
      </c>
    </row>
    <row r="552" spans="2:10" ht="13.5" thickBot="1" x14ac:dyDescent="0.25">
      <c r="B552" s="392" t="str">
        <f t="shared" si="16"/>
        <v>Open - STERGIOPOULOS Ioannis</v>
      </c>
      <c r="C552" s="1441" t="str">
        <f t="shared" si="17"/>
        <v>STERGIOPOULOS Ioannis</v>
      </c>
      <c r="D552" s="1428" t="s">
        <v>889</v>
      </c>
      <c r="E552" s="1429">
        <v>546</v>
      </c>
      <c r="F552" s="2197" t="s">
        <v>16619</v>
      </c>
      <c r="G552" s="2198" t="s">
        <v>3350</v>
      </c>
      <c r="H552" s="2197" t="s">
        <v>13590</v>
      </c>
      <c r="I552" s="2199" t="s">
        <v>1025</v>
      </c>
      <c r="J552" s="2196">
        <v>22</v>
      </c>
    </row>
    <row r="553" spans="2:10" ht="13.5" thickBot="1" x14ac:dyDescent="0.25">
      <c r="B553" s="392" t="str">
        <f t="shared" si="16"/>
        <v>Open - SEPE Pasquale</v>
      </c>
      <c r="C553" s="1441" t="str">
        <f t="shared" si="17"/>
        <v>SEPE Pasquale</v>
      </c>
      <c r="D553" s="1428" t="s">
        <v>889</v>
      </c>
      <c r="E553" s="1429">
        <v>546</v>
      </c>
      <c r="F553" s="2197" t="s">
        <v>14905</v>
      </c>
      <c r="G553" s="2198" t="s">
        <v>3548</v>
      </c>
      <c r="H553" s="2197" t="s">
        <v>7877</v>
      </c>
      <c r="I553" s="2199" t="s">
        <v>1037</v>
      </c>
      <c r="J553" s="2196">
        <v>22</v>
      </c>
    </row>
    <row r="554" spans="2:10" ht="13.5" thickBot="1" x14ac:dyDescent="0.25">
      <c r="B554" s="392" t="str">
        <f t="shared" si="16"/>
        <v>Open - LAWRENSON Paul</v>
      </c>
      <c r="C554" s="1441" t="str">
        <f t="shared" si="17"/>
        <v>LAWRENSON Paul</v>
      </c>
      <c r="D554" s="1428" t="s">
        <v>889</v>
      </c>
      <c r="E554" s="1429">
        <v>546</v>
      </c>
      <c r="F554" s="2197" t="s">
        <v>16583</v>
      </c>
      <c r="G554" s="2198" t="s">
        <v>3259</v>
      </c>
      <c r="H554" s="2197" t="s">
        <v>15274</v>
      </c>
      <c r="I554" s="2199" t="s">
        <v>1013</v>
      </c>
      <c r="J554" s="2196">
        <v>22</v>
      </c>
    </row>
    <row r="555" spans="2:10" ht="13.5" thickBot="1" x14ac:dyDescent="0.25">
      <c r="B555" s="392" t="str">
        <f t="shared" si="16"/>
        <v>Open - BURNS Tom</v>
      </c>
      <c r="C555" s="1441" t="str">
        <f t="shared" si="17"/>
        <v>BURNS Tom</v>
      </c>
      <c r="D555" s="1428" t="s">
        <v>889</v>
      </c>
      <c r="E555" s="1429">
        <v>546</v>
      </c>
      <c r="F555" s="2197" t="s">
        <v>3234</v>
      </c>
      <c r="G555" s="2198" t="s">
        <v>3235</v>
      </c>
      <c r="H555" s="2197" t="s">
        <v>2771</v>
      </c>
      <c r="I555" s="2199" t="s">
        <v>1069</v>
      </c>
      <c r="J555" s="2196">
        <v>22</v>
      </c>
    </row>
    <row r="556" spans="2:10" ht="13.5" thickBot="1" x14ac:dyDescent="0.25">
      <c r="B556" s="392" t="str">
        <f t="shared" si="16"/>
        <v>Open - LEÓN MORENO José</v>
      </c>
      <c r="C556" s="1441" t="str">
        <f t="shared" si="17"/>
        <v>LEÓN MORENO José</v>
      </c>
      <c r="D556" s="1428" t="s">
        <v>889</v>
      </c>
      <c r="E556" s="1429">
        <v>546</v>
      </c>
      <c r="F556" s="2197" t="s">
        <v>16608</v>
      </c>
      <c r="G556" s="2198" t="s">
        <v>3232</v>
      </c>
      <c r="H556" s="2197" t="s">
        <v>7869</v>
      </c>
      <c r="I556" s="2199" t="s">
        <v>1015</v>
      </c>
      <c r="J556" s="2196">
        <v>22</v>
      </c>
    </row>
    <row r="557" spans="2:10" ht="13.5" thickBot="1" x14ac:dyDescent="0.25">
      <c r="B557" s="392" t="str">
        <f t="shared" si="16"/>
        <v>Open - SCARAMUZZI Gianfranco</v>
      </c>
      <c r="C557" s="1441" t="str">
        <f t="shared" si="17"/>
        <v>SCARAMUZZI Gianfranco</v>
      </c>
      <c r="D557" s="1428" t="s">
        <v>889</v>
      </c>
      <c r="E557" s="1429">
        <v>546</v>
      </c>
      <c r="F557" s="2197" t="s">
        <v>16596</v>
      </c>
      <c r="G557" s="2198" t="s">
        <v>3107</v>
      </c>
      <c r="H557" s="2197" t="s">
        <v>10274</v>
      </c>
      <c r="I557" s="2199" t="s">
        <v>1037</v>
      </c>
      <c r="J557" s="2196">
        <v>22</v>
      </c>
    </row>
    <row r="558" spans="2:10" ht="13.5" thickBot="1" x14ac:dyDescent="0.25">
      <c r="B558" s="392" t="str">
        <f t="shared" si="16"/>
        <v>Open - BERTHOLET Elodie</v>
      </c>
      <c r="C558" s="1441" t="str">
        <f t="shared" si="17"/>
        <v>BERTHOLET Elodie</v>
      </c>
      <c r="D558" s="1428" t="s">
        <v>889</v>
      </c>
      <c r="E558" s="1429">
        <v>546</v>
      </c>
      <c r="F558" s="2197" t="s">
        <v>3282</v>
      </c>
      <c r="G558" s="2198" t="s">
        <v>3283</v>
      </c>
      <c r="H558" s="2197" t="s">
        <v>13519</v>
      </c>
      <c r="I558" s="2199" t="s">
        <v>990</v>
      </c>
      <c r="J558" s="2196">
        <v>22</v>
      </c>
    </row>
    <row r="559" spans="2:10" ht="13.5" thickBot="1" x14ac:dyDescent="0.25">
      <c r="B559" s="392" t="str">
        <f t="shared" si="16"/>
        <v>Open - NUCCI Giulio</v>
      </c>
      <c r="C559" s="1441" t="str">
        <f t="shared" si="17"/>
        <v>NUCCI Giulio</v>
      </c>
      <c r="D559" s="1428" t="s">
        <v>889</v>
      </c>
      <c r="E559" s="1429">
        <v>546</v>
      </c>
      <c r="F559" s="2197" t="s">
        <v>14178</v>
      </c>
      <c r="G559" s="2198" t="s">
        <v>3583</v>
      </c>
      <c r="H559" s="2197" t="s">
        <v>15245</v>
      </c>
      <c r="I559" s="2199" t="s">
        <v>1037</v>
      </c>
      <c r="J559" s="2196">
        <v>22</v>
      </c>
    </row>
    <row r="560" spans="2:10" ht="13.5" thickBot="1" x14ac:dyDescent="0.25">
      <c r="B560" s="392" t="str">
        <f t="shared" si="16"/>
        <v>Open - BOOTHMAN Jeremy</v>
      </c>
      <c r="C560" s="1441" t="str">
        <f t="shared" si="17"/>
        <v>BOOTHMAN Jeremy</v>
      </c>
      <c r="D560" s="1428" t="s">
        <v>889</v>
      </c>
      <c r="E560" s="1429">
        <v>546</v>
      </c>
      <c r="F560" s="2197" t="s">
        <v>14195</v>
      </c>
      <c r="G560" s="2198" t="s">
        <v>3110</v>
      </c>
      <c r="H560" s="2197" t="s">
        <v>13531</v>
      </c>
      <c r="I560" s="2199" t="s">
        <v>1013</v>
      </c>
      <c r="J560" s="2196">
        <v>22</v>
      </c>
    </row>
    <row r="561" spans="2:10" ht="13.5" thickBot="1" x14ac:dyDescent="0.25">
      <c r="B561" s="392" t="str">
        <f t="shared" si="16"/>
        <v>Open - VILLETTE François</v>
      </c>
      <c r="C561" s="1441" t="str">
        <f t="shared" si="17"/>
        <v>VILLETTE François</v>
      </c>
      <c r="D561" s="1428" t="s">
        <v>889</v>
      </c>
      <c r="E561" s="1429">
        <v>546</v>
      </c>
      <c r="F561" s="2197" t="s">
        <v>16601</v>
      </c>
      <c r="G561" s="2198" t="s">
        <v>7465</v>
      </c>
      <c r="H561" s="2197" t="s">
        <v>10922</v>
      </c>
      <c r="I561" s="2199" t="s">
        <v>1037</v>
      </c>
      <c r="J561" s="2196">
        <v>22</v>
      </c>
    </row>
    <row r="562" spans="2:10" ht="13.5" thickBot="1" x14ac:dyDescent="0.25">
      <c r="B562" s="392" t="str">
        <f t="shared" si="16"/>
        <v>Open - RAISON Lucas</v>
      </c>
      <c r="C562" s="1441" t="str">
        <f t="shared" si="17"/>
        <v>RAISON Lucas</v>
      </c>
      <c r="D562" s="1428" t="s">
        <v>889</v>
      </c>
      <c r="E562" s="1429">
        <v>546</v>
      </c>
      <c r="F562" s="2197" t="s">
        <v>14158</v>
      </c>
      <c r="G562" s="2198" t="s">
        <v>3684</v>
      </c>
      <c r="H562" s="2197" t="s">
        <v>5301</v>
      </c>
      <c r="I562" s="2199" t="s">
        <v>990</v>
      </c>
      <c r="J562" s="2196">
        <v>22</v>
      </c>
    </row>
    <row r="563" spans="2:10" ht="13.5" thickBot="1" x14ac:dyDescent="0.25">
      <c r="B563" s="392" t="str">
        <f t="shared" si="16"/>
        <v>Open - HERNÁNDEZ Antonio Manuel</v>
      </c>
      <c r="C563" s="1441" t="str">
        <f t="shared" si="17"/>
        <v>HERNÁNDEZ Antonio Manuel</v>
      </c>
      <c r="D563" s="1428" t="s">
        <v>889</v>
      </c>
      <c r="E563" s="1429">
        <v>557</v>
      </c>
      <c r="F563" s="2197" t="s">
        <v>13501</v>
      </c>
      <c r="G563" s="2198" t="s">
        <v>11073</v>
      </c>
      <c r="H563" s="2197" t="s">
        <v>2783</v>
      </c>
      <c r="I563" s="2199" t="s">
        <v>1015</v>
      </c>
      <c r="J563" s="2196">
        <v>21.5</v>
      </c>
    </row>
    <row r="564" spans="2:10" ht="13.5" thickBot="1" x14ac:dyDescent="0.25">
      <c r="B564" s="392" t="str">
        <f t="shared" si="16"/>
        <v>Open - BRADLEY Jeremy</v>
      </c>
      <c r="C564" s="1441" t="str">
        <f t="shared" si="17"/>
        <v>BRADLEY Jeremy</v>
      </c>
      <c r="D564" s="1428" t="s">
        <v>889</v>
      </c>
      <c r="E564" s="1429">
        <v>557</v>
      </c>
      <c r="F564" s="2197" t="s">
        <v>14255</v>
      </c>
      <c r="G564" s="2198" t="s">
        <v>3110</v>
      </c>
      <c r="H564" s="2197" t="s">
        <v>13531</v>
      </c>
      <c r="I564" s="2199" t="s">
        <v>1013</v>
      </c>
      <c r="J564" s="2196">
        <v>21.5</v>
      </c>
    </row>
    <row r="565" spans="2:10" ht="13.5" thickBot="1" x14ac:dyDescent="0.25">
      <c r="B565" s="392" t="str">
        <f t="shared" si="16"/>
        <v>Open - ABATE Fabio</v>
      </c>
      <c r="C565" s="1441" t="str">
        <f t="shared" si="17"/>
        <v>ABATE Fabio</v>
      </c>
      <c r="D565" s="1428" t="s">
        <v>889</v>
      </c>
      <c r="E565" s="1429">
        <v>559</v>
      </c>
      <c r="F565" s="2197" t="s">
        <v>16591</v>
      </c>
      <c r="G565" s="2198" t="s">
        <v>3133</v>
      </c>
      <c r="H565" s="2197" t="s">
        <v>10271</v>
      </c>
      <c r="I565" s="2199" t="s">
        <v>1037</v>
      </c>
      <c r="J565" s="2196">
        <v>21</v>
      </c>
    </row>
    <row r="566" spans="2:10" ht="13.5" thickBot="1" x14ac:dyDescent="0.25">
      <c r="B566" s="392" t="str">
        <f t="shared" si="16"/>
        <v>Open - PIROVA Stefka</v>
      </c>
      <c r="C566" s="1441" t="str">
        <f t="shared" si="17"/>
        <v>PIROVA Stefka</v>
      </c>
      <c r="D566" s="1428" t="s">
        <v>889</v>
      </c>
      <c r="E566" s="1429">
        <v>559</v>
      </c>
      <c r="F566" s="2197" t="s">
        <v>8764</v>
      </c>
      <c r="G566" s="2198" t="s">
        <v>8236</v>
      </c>
      <c r="H566" s="2197" t="s">
        <v>7869</v>
      </c>
      <c r="I566" s="2199" t="s">
        <v>1015</v>
      </c>
      <c r="J566" s="2196">
        <v>21</v>
      </c>
    </row>
    <row r="567" spans="2:10" ht="13.5" thickBot="1" x14ac:dyDescent="0.25">
      <c r="B567" s="392" t="str">
        <f t="shared" si="16"/>
        <v>Open - CALCAGNO Daniele Vittorio</v>
      </c>
      <c r="C567" s="1441" t="str">
        <f t="shared" si="17"/>
        <v>CALCAGNO Daniele Vittorio</v>
      </c>
      <c r="D567" s="1428" t="s">
        <v>889</v>
      </c>
      <c r="E567" s="1429">
        <v>559</v>
      </c>
      <c r="F567" s="2197" t="s">
        <v>16618</v>
      </c>
      <c r="G567" s="2198" t="s">
        <v>15301</v>
      </c>
      <c r="H567" s="2197" t="s">
        <v>10271</v>
      </c>
      <c r="I567" s="2199" t="s">
        <v>1037</v>
      </c>
      <c r="J567" s="2196">
        <v>21</v>
      </c>
    </row>
    <row r="568" spans="2:10" ht="13.5" thickBot="1" x14ac:dyDescent="0.25">
      <c r="B568" s="392" t="str">
        <f t="shared" si="16"/>
        <v>Open - RAIROUX Christophe</v>
      </c>
      <c r="C568" s="1441" t="str">
        <f t="shared" si="17"/>
        <v>RAIROUX Christophe</v>
      </c>
      <c r="D568" s="1428" t="s">
        <v>889</v>
      </c>
      <c r="E568" s="1429">
        <v>559</v>
      </c>
      <c r="F568" s="2197" t="s">
        <v>17604</v>
      </c>
      <c r="G568" s="2198" t="s">
        <v>3012</v>
      </c>
      <c r="H568" s="2197" t="s">
        <v>5301</v>
      </c>
      <c r="I568" s="2199" t="s">
        <v>990</v>
      </c>
      <c r="J568" s="2196">
        <v>21</v>
      </c>
    </row>
    <row r="569" spans="2:10" ht="13.5" thickBot="1" x14ac:dyDescent="0.25">
      <c r="B569" s="392" t="str">
        <f t="shared" si="16"/>
        <v>Open - BUTLER Dave</v>
      </c>
      <c r="C569" s="1441" t="str">
        <f t="shared" si="17"/>
        <v>BUTLER Dave</v>
      </c>
      <c r="D569" s="1428" t="s">
        <v>889</v>
      </c>
      <c r="E569" s="1429">
        <v>559</v>
      </c>
      <c r="F569" s="2197" t="s">
        <v>14163</v>
      </c>
      <c r="G569" s="2198" t="s">
        <v>3046</v>
      </c>
      <c r="H569" s="2197" t="s">
        <v>2771</v>
      </c>
      <c r="I569" s="2199" t="s">
        <v>1069</v>
      </c>
      <c r="J569" s="2196">
        <v>21</v>
      </c>
    </row>
    <row r="570" spans="2:10" ht="13.5" thickBot="1" x14ac:dyDescent="0.25">
      <c r="B570" s="392" t="str">
        <f t="shared" si="16"/>
        <v>Open - KNEZEVIC Milan</v>
      </c>
      <c r="C570" s="1441" t="str">
        <f t="shared" si="17"/>
        <v>KNEZEVIC Milan</v>
      </c>
      <c r="D570" s="1428" t="s">
        <v>889</v>
      </c>
      <c r="E570" s="1429">
        <v>564</v>
      </c>
      <c r="F570" s="2197" t="s">
        <v>16638</v>
      </c>
      <c r="G570" s="2198" t="s">
        <v>7702</v>
      </c>
      <c r="H570" s="2197" t="s">
        <v>2773</v>
      </c>
      <c r="I570" s="2199" t="s">
        <v>15643</v>
      </c>
      <c r="J570" s="2196">
        <v>20.5</v>
      </c>
    </row>
    <row r="571" spans="2:10" ht="13.5" thickBot="1" x14ac:dyDescent="0.25">
      <c r="B571" s="392" t="str">
        <f t="shared" si="16"/>
        <v>Open - LEFÈBVRE Nicolas</v>
      </c>
      <c r="C571" s="1441" t="str">
        <f t="shared" si="17"/>
        <v>LEFÈBVRE Nicolas</v>
      </c>
      <c r="D571" s="1428" t="s">
        <v>889</v>
      </c>
      <c r="E571" s="1429">
        <v>564</v>
      </c>
      <c r="F571" s="2197" t="s">
        <v>16846</v>
      </c>
      <c r="G571" s="2198" t="s">
        <v>3666</v>
      </c>
      <c r="H571" s="2197" t="s">
        <v>2893</v>
      </c>
      <c r="I571" s="2199" t="s">
        <v>1019</v>
      </c>
      <c r="J571" s="2196">
        <v>20.5</v>
      </c>
    </row>
    <row r="572" spans="2:10" ht="13.5" thickBot="1" x14ac:dyDescent="0.25">
      <c r="B572" s="392" t="str">
        <f t="shared" si="16"/>
        <v>Open - DOHERTY Neil</v>
      </c>
      <c r="C572" s="1441" t="str">
        <f t="shared" si="17"/>
        <v>DOHERTY Neil</v>
      </c>
      <c r="D572" s="1428" t="s">
        <v>889</v>
      </c>
      <c r="E572" s="1429">
        <v>564</v>
      </c>
      <c r="F572" s="2197" t="s">
        <v>14945</v>
      </c>
      <c r="G572" s="2198" t="s">
        <v>3440</v>
      </c>
      <c r="H572" s="2197" t="s">
        <v>17082</v>
      </c>
      <c r="I572" s="2199" t="s">
        <v>1013</v>
      </c>
      <c r="J572" s="2196">
        <v>20.5</v>
      </c>
    </row>
    <row r="573" spans="2:10" ht="13.5" thickBot="1" x14ac:dyDescent="0.25">
      <c r="B573" s="392" t="str">
        <f t="shared" si="16"/>
        <v>Open - MUDGE Conrad</v>
      </c>
      <c r="C573" s="1441" t="str">
        <f t="shared" si="17"/>
        <v>MUDGE Conrad</v>
      </c>
      <c r="D573" s="1428" t="s">
        <v>889</v>
      </c>
      <c r="E573" s="1429">
        <v>567</v>
      </c>
      <c r="F573" s="2197" t="s">
        <v>16666</v>
      </c>
      <c r="G573" s="2198" t="s">
        <v>15937</v>
      </c>
      <c r="H573" s="2197" t="s">
        <v>15379</v>
      </c>
      <c r="I573" s="2199" t="s">
        <v>14471</v>
      </c>
      <c r="J573" s="2196">
        <v>20</v>
      </c>
    </row>
    <row r="574" spans="2:10" ht="13.5" thickBot="1" x14ac:dyDescent="0.25">
      <c r="B574" s="392" t="str">
        <f t="shared" si="16"/>
        <v>Open - KARAGIANNIOTIS Theofilos</v>
      </c>
      <c r="C574" s="1441" t="str">
        <f t="shared" si="17"/>
        <v>KARAGIANNIOTIS Theofilos</v>
      </c>
      <c r="D574" s="1428" t="s">
        <v>889</v>
      </c>
      <c r="E574" s="1429">
        <v>567</v>
      </c>
      <c r="F574" s="2197" t="s">
        <v>14223</v>
      </c>
      <c r="G574" s="2198" t="s">
        <v>5535</v>
      </c>
      <c r="H574" s="2197" t="s">
        <v>3213</v>
      </c>
      <c r="I574" s="2199" t="s">
        <v>1025</v>
      </c>
      <c r="J574" s="2196">
        <v>20</v>
      </c>
    </row>
    <row r="575" spans="2:10" ht="13.5" thickBot="1" x14ac:dyDescent="0.25">
      <c r="B575" s="392" t="str">
        <f t="shared" si="16"/>
        <v>Open - JANSSENS Thomas</v>
      </c>
      <c r="C575" s="1441" t="str">
        <f t="shared" si="17"/>
        <v>JANSSENS Thomas</v>
      </c>
      <c r="D575" s="1428" t="s">
        <v>889</v>
      </c>
      <c r="E575" s="1429">
        <v>567</v>
      </c>
      <c r="F575" s="2197" t="s">
        <v>14232</v>
      </c>
      <c r="G575" s="2198" t="s">
        <v>3124</v>
      </c>
      <c r="H575" s="2197" t="s">
        <v>10252</v>
      </c>
      <c r="I575" s="2199" t="s">
        <v>990</v>
      </c>
      <c r="J575" s="2196">
        <v>20</v>
      </c>
    </row>
    <row r="576" spans="2:10" ht="13.5" thickBot="1" x14ac:dyDescent="0.25">
      <c r="B576" s="392" t="str">
        <f t="shared" si="16"/>
        <v>Open - FARZA Yanis</v>
      </c>
      <c r="C576" s="1441" t="str">
        <f t="shared" si="17"/>
        <v>FARZA Yanis</v>
      </c>
      <c r="D576" s="1428" t="s">
        <v>889</v>
      </c>
      <c r="E576" s="1429">
        <v>567</v>
      </c>
      <c r="F576" s="2197" t="s">
        <v>11437</v>
      </c>
      <c r="G576" s="2198" t="s">
        <v>14083</v>
      </c>
      <c r="H576" s="2197" t="s">
        <v>2796</v>
      </c>
      <c r="I576" s="2199" t="s">
        <v>1076</v>
      </c>
      <c r="J576" s="2196">
        <v>20</v>
      </c>
    </row>
    <row r="577" spans="2:10" ht="13.5" thickBot="1" x14ac:dyDescent="0.25">
      <c r="B577" s="392" t="str">
        <f t="shared" si="16"/>
        <v>Open - DOMENICO Fabio</v>
      </c>
      <c r="C577" s="1441" t="str">
        <f t="shared" si="17"/>
        <v>DOMENICO Fabio</v>
      </c>
      <c r="D577" s="1428" t="s">
        <v>889</v>
      </c>
      <c r="E577" s="1429">
        <v>567</v>
      </c>
      <c r="F577" s="2197" t="s">
        <v>17612</v>
      </c>
      <c r="G577" s="2198" t="s">
        <v>3133</v>
      </c>
      <c r="H577" s="2197" t="s">
        <v>14359</v>
      </c>
      <c r="I577" s="2199" t="s">
        <v>1074</v>
      </c>
      <c r="J577" s="2196">
        <v>20</v>
      </c>
    </row>
    <row r="578" spans="2:10" ht="13.5" thickBot="1" x14ac:dyDescent="0.25">
      <c r="B578" s="392" t="str">
        <f t="shared" si="16"/>
        <v>Open - BODILY Simon</v>
      </c>
      <c r="C578" s="1441" t="str">
        <f t="shared" si="17"/>
        <v>BODILY Simon</v>
      </c>
      <c r="D578" s="1428" t="s">
        <v>889</v>
      </c>
      <c r="E578" s="1429">
        <v>567</v>
      </c>
      <c r="F578" s="2197" t="s">
        <v>16580</v>
      </c>
      <c r="G578" s="2198" t="s">
        <v>3626</v>
      </c>
      <c r="H578" s="2197" t="s">
        <v>14399</v>
      </c>
      <c r="I578" s="2199" t="s">
        <v>1013</v>
      </c>
      <c r="J578" s="2196">
        <v>20</v>
      </c>
    </row>
    <row r="579" spans="2:10" ht="13.5" thickBot="1" x14ac:dyDescent="0.25">
      <c r="B579" s="392" t="str">
        <f t="shared" si="16"/>
        <v>Open - STRATOUDAKIS Antonios</v>
      </c>
      <c r="C579" s="1441" t="str">
        <f t="shared" si="17"/>
        <v>STRATOUDAKIS Antonios</v>
      </c>
      <c r="D579" s="1428" t="s">
        <v>889</v>
      </c>
      <c r="E579" s="1429">
        <v>567</v>
      </c>
      <c r="F579" s="2197" t="s">
        <v>7286</v>
      </c>
      <c r="G579" s="2198" t="s">
        <v>8256</v>
      </c>
      <c r="H579" s="2197" t="s">
        <v>2758</v>
      </c>
      <c r="I579" s="2199" t="s">
        <v>1025</v>
      </c>
      <c r="J579" s="2196">
        <v>20</v>
      </c>
    </row>
    <row r="580" spans="2:10" ht="13.5" thickBot="1" x14ac:dyDescent="0.25">
      <c r="B580" s="392" t="str">
        <f t="shared" si="16"/>
        <v>Open - BRISKOLAS Georgios</v>
      </c>
      <c r="C580" s="1441" t="str">
        <f t="shared" si="17"/>
        <v>BRISKOLAS Georgios</v>
      </c>
      <c r="D580" s="1428" t="s">
        <v>889</v>
      </c>
      <c r="E580" s="1429">
        <v>567</v>
      </c>
      <c r="F580" s="2197" t="s">
        <v>16845</v>
      </c>
      <c r="G580" s="2198" t="s">
        <v>3324</v>
      </c>
      <c r="H580" s="2197" t="s">
        <v>10246</v>
      </c>
      <c r="I580" s="2199" t="s">
        <v>1025</v>
      </c>
      <c r="J580" s="2196">
        <v>20</v>
      </c>
    </row>
    <row r="581" spans="2:10" ht="13.5" thickBot="1" x14ac:dyDescent="0.25">
      <c r="B581" s="392" t="str">
        <f t="shared" si="16"/>
        <v>Open - WIESMANN Martin</v>
      </c>
      <c r="C581" s="1441" t="str">
        <f t="shared" si="17"/>
        <v>WIESMANN Martin</v>
      </c>
      <c r="D581" s="1428" t="s">
        <v>889</v>
      </c>
      <c r="E581" s="1429">
        <v>567</v>
      </c>
      <c r="F581" s="2197" t="s">
        <v>16782</v>
      </c>
      <c r="G581" s="2198" t="s">
        <v>3408</v>
      </c>
      <c r="H581" s="2197" t="s">
        <v>14809</v>
      </c>
      <c r="I581" s="2199" t="s">
        <v>1074</v>
      </c>
      <c r="J581" s="2196">
        <v>20</v>
      </c>
    </row>
    <row r="582" spans="2:10" ht="13.5" thickBot="1" x14ac:dyDescent="0.25">
      <c r="B582" s="392" t="str">
        <f t="shared" si="16"/>
        <v>Open - SCHEEN Mélina</v>
      </c>
      <c r="C582" s="1441" t="str">
        <f t="shared" si="17"/>
        <v>SCHEEN Mélina</v>
      </c>
      <c r="D582" s="1428" t="s">
        <v>889</v>
      </c>
      <c r="E582" s="1429">
        <v>567</v>
      </c>
      <c r="F582" s="2197" t="s">
        <v>3034</v>
      </c>
      <c r="G582" s="2198" t="s">
        <v>13654</v>
      </c>
      <c r="H582" s="2197" t="s">
        <v>10250</v>
      </c>
      <c r="I582" s="2199" t="s">
        <v>990</v>
      </c>
      <c r="J582" s="2196">
        <v>20</v>
      </c>
    </row>
    <row r="583" spans="2:10" ht="13.5" thickBot="1" x14ac:dyDescent="0.25">
      <c r="B583" s="392" t="str">
        <f t="shared" ref="B583:B646" si="18">CONCATENATE(D583," - ",C583)</f>
        <v>Open - PEZZUOLO Luca</v>
      </c>
      <c r="C583" s="1441" t="str">
        <f t="shared" ref="C583:C646" si="19">CONCATENATE(UPPER(F583)," ",G583)</f>
        <v>PEZZUOLO Luca</v>
      </c>
      <c r="D583" s="1428" t="s">
        <v>889</v>
      </c>
      <c r="E583" s="1429">
        <v>567</v>
      </c>
      <c r="F583" s="2197" t="s">
        <v>16589</v>
      </c>
      <c r="G583" s="2198" t="s">
        <v>3198</v>
      </c>
      <c r="H583" s="2197" t="s">
        <v>13312</v>
      </c>
      <c r="I583" s="2199" t="s">
        <v>1037</v>
      </c>
      <c r="J583" s="2196">
        <v>20</v>
      </c>
    </row>
    <row r="584" spans="2:10" ht="13.5" thickBot="1" x14ac:dyDescent="0.25">
      <c r="B584" s="392" t="str">
        <f t="shared" si="18"/>
        <v>Open - TAN Kok Wee</v>
      </c>
      <c r="C584" s="1441" t="str">
        <f t="shared" si="19"/>
        <v>TAN Kok Wee</v>
      </c>
      <c r="D584" s="1428" t="s">
        <v>889</v>
      </c>
      <c r="E584" s="1429">
        <v>578</v>
      </c>
      <c r="F584" s="2197" t="s">
        <v>3226</v>
      </c>
      <c r="G584" s="2198" t="s">
        <v>3445</v>
      </c>
      <c r="H584" s="2197" t="s">
        <v>8716</v>
      </c>
      <c r="I584" s="2199" t="s">
        <v>7916</v>
      </c>
      <c r="J584" s="2196">
        <v>19.5</v>
      </c>
    </row>
    <row r="585" spans="2:10" ht="13.5" thickBot="1" x14ac:dyDescent="0.25">
      <c r="B585" s="392" t="str">
        <f t="shared" si="18"/>
        <v>Open - SAITTA Roberto</v>
      </c>
      <c r="C585" s="1441" t="str">
        <f t="shared" si="19"/>
        <v>SAITTA Roberto</v>
      </c>
      <c r="D585" s="1428" t="s">
        <v>889</v>
      </c>
      <c r="E585" s="1429">
        <v>579</v>
      </c>
      <c r="F585" s="2197" t="s">
        <v>14235</v>
      </c>
      <c r="G585" s="2198" t="s">
        <v>3279</v>
      </c>
      <c r="H585" s="2197" t="s">
        <v>10270</v>
      </c>
      <c r="I585" s="2199" t="s">
        <v>1037</v>
      </c>
      <c r="J585" s="2196">
        <v>19</v>
      </c>
    </row>
    <row r="586" spans="2:10" ht="13.5" thickBot="1" x14ac:dyDescent="0.25">
      <c r="B586" s="392" t="str">
        <f t="shared" si="18"/>
        <v>Open - BONNICI Jeshua</v>
      </c>
      <c r="C586" s="1441" t="str">
        <f t="shared" si="19"/>
        <v>BONNICI Jeshua</v>
      </c>
      <c r="D586" s="1428" t="s">
        <v>889</v>
      </c>
      <c r="E586" s="1429">
        <v>579</v>
      </c>
      <c r="F586" s="2197" t="s">
        <v>3355</v>
      </c>
      <c r="G586" s="2198" t="s">
        <v>7903</v>
      </c>
      <c r="H586" s="2197" t="s">
        <v>5317</v>
      </c>
      <c r="I586" s="2199" t="s">
        <v>1045</v>
      </c>
      <c r="J586" s="2196">
        <v>19</v>
      </c>
    </row>
    <row r="587" spans="2:10" ht="13.5" thickBot="1" x14ac:dyDescent="0.25">
      <c r="B587" s="392" t="str">
        <f t="shared" si="18"/>
        <v>Open - KOUTSOGIANNIS Efthimios</v>
      </c>
      <c r="C587" s="1441" t="str">
        <f t="shared" si="19"/>
        <v>KOUTSOGIANNIS Efthimios</v>
      </c>
      <c r="D587" s="1428" t="s">
        <v>889</v>
      </c>
      <c r="E587" s="1429">
        <v>579</v>
      </c>
      <c r="F587" s="2197" t="s">
        <v>16590</v>
      </c>
      <c r="G587" s="2198" t="s">
        <v>6961</v>
      </c>
      <c r="H587" s="2197" t="s">
        <v>15175</v>
      </c>
      <c r="I587" s="2199" t="s">
        <v>1025</v>
      </c>
      <c r="J587" s="2196">
        <v>19</v>
      </c>
    </row>
    <row r="588" spans="2:10" ht="13.5" thickBot="1" x14ac:dyDescent="0.25">
      <c r="B588" s="392" t="str">
        <f t="shared" si="18"/>
        <v>Open - LJUBISAVLJEVIC Igor</v>
      </c>
      <c r="C588" s="1441" t="str">
        <f t="shared" si="19"/>
        <v>LJUBISAVLJEVIC Igor</v>
      </c>
      <c r="D588" s="1428" t="s">
        <v>889</v>
      </c>
      <c r="E588" s="1429">
        <v>579</v>
      </c>
      <c r="F588" s="2197" t="s">
        <v>16588</v>
      </c>
      <c r="G588" s="2198" t="s">
        <v>3144</v>
      </c>
      <c r="H588" s="2197" t="s">
        <v>8871</v>
      </c>
      <c r="I588" s="2199" t="s">
        <v>988</v>
      </c>
      <c r="J588" s="2196">
        <v>19</v>
      </c>
    </row>
    <row r="589" spans="2:10" ht="13.5" thickBot="1" x14ac:dyDescent="0.25">
      <c r="B589" s="392" t="str">
        <f t="shared" si="18"/>
        <v>Open - MADEIRA Cláudio</v>
      </c>
      <c r="C589" s="1441" t="str">
        <f t="shared" si="19"/>
        <v>MADEIRA Cláudio</v>
      </c>
      <c r="D589" s="1428" t="s">
        <v>889</v>
      </c>
      <c r="E589" s="1429">
        <v>583</v>
      </c>
      <c r="F589" s="2197" t="s">
        <v>16587</v>
      </c>
      <c r="G589" s="2198" t="s">
        <v>15836</v>
      </c>
      <c r="H589" s="2197" t="s">
        <v>5314</v>
      </c>
      <c r="I589" s="2199" t="s">
        <v>1061</v>
      </c>
      <c r="J589" s="2196">
        <v>18.5</v>
      </c>
    </row>
    <row r="590" spans="2:10" ht="13.5" thickBot="1" x14ac:dyDescent="0.25">
      <c r="B590" s="392" t="str">
        <f t="shared" si="18"/>
        <v>Open - MASTROIANNI Fabio</v>
      </c>
      <c r="C590" s="1441" t="str">
        <f t="shared" si="19"/>
        <v>MASTROIANNI Fabio</v>
      </c>
      <c r="D590" s="1428" t="s">
        <v>889</v>
      </c>
      <c r="E590" s="1429">
        <v>583</v>
      </c>
      <c r="F590" s="2197" t="s">
        <v>14139</v>
      </c>
      <c r="G590" s="2198" t="s">
        <v>3133</v>
      </c>
      <c r="H590" s="2197" t="s">
        <v>14359</v>
      </c>
      <c r="I590" s="2199" t="s">
        <v>1015</v>
      </c>
      <c r="J590" s="2196">
        <v>18.5</v>
      </c>
    </row>
    <row r="591" spans="2:10" ht="13.5" thickBot="1" x14ac:dyDescent="0.25">
      <c r="B591" s="392" t="str">
        <f t="shared" si="18"/>
        <v>Open - BAENA Manuel</v>
      </c>
      <c r="C591" s="1441" t="str">
        <f t="shared" si="19"/>
        <v>BAENA Manuel</v>
      </c>
      <c r="D591" s="1428" t="s">
        <v>889</v>
      </c>
      <c r="E591" s="1429">
        <v>583</v>
      </c>
      <c r="F591" s="2197" t="s">
        <v>14308</v>
      </c>
      <c r="G591" s="2198" t="s">
        <v>3171</v>
      </c>
      <c r="H591" s="2197" t="s">
        <v>7304</v>
      </c>
      <c r="I591" s="2199" t="s">
        <v>1015</v>
      </c>
      <c r="J591" s="2196">
        <v>18.5</v>
      </c>
    </row>
    <row r="592" spans="2:10" ht="13.5" thickBot="1" x14ac:dyDescent="0.25">
      <c r="B592" s="392" t="str">
        <f t="shared" si="18"/>
        <v>Open - GKOGKOS Athanasios</v>
      </c>
      <c r="C592" s="1441" t="str">
        <f t="shared" si="19"/>
        <v>GKOGKOS Athanasios</v>
      </c>
      <c r="D592" s="1428" t="s">
        <v>889</v>
      </c>
      <c r="E592" s="1429">
        <v>583</v>
      </c>
      <c r="F592" s="2197" t="s">
        <v>11421</v>
      </c>
      <c r="G592" s="2198" t="s">
        <v>3472</v>
      </c>
      <c r="H592" s="2197" t="s">
        <v>10246</v>
      </c>
      <c r="I592" s="2199" t="s">
        <v>1025</v>
      </c>
      <c r="J592" s="2196">
        <v>18.5</v>
      </c>
    </row>
    <row r="593" spans="2:10" ht="13.5" thickBot="1" x14ac:dyDescent="0.25">
      <c r="B593" s="392" t="str">
        <f t="shared" si="18"/>
        <v>Open - MONTAÑO Alfonso</v>
      </c>
      <c r="C593" s="1441" t="str">
        <f t="shared" si="19"/>
        <v>MONTAÑO Alfonso</v>
      </c>
      <c r="D593" s="1428" t="s">
        <v>889</v>
      </c>
      <c r="E593" s="1429">
        <v>583</v>
      </c>
      <c r="F593" s="2197" t="s">
        <v>3156</v>
      </c>
      <c r="G593" s="2198" t="s">
        <v>3157</v>
      </c>
      <c r="H593" s="2197" t="s">
        <v>2755</v>
      </c>
      <c r="I593" s="2199" t="s">
        <v>1015</v>
      </c>
      <c r="J593" s="2196">
        <v>18.5</v>
      </c>
    </row>
    <row r="594" spans="2:10" ht="13.5" thickBot="1" x14ac:dyDescent="0.25">
      <c r="B594" s="392" t="str">
        <f t="shared" si="18"/>
        <v>Open - FINO Herve</v>
      </c>
      <c r="C594" s="1441" t="str">
        <f t="shared" si="19"/>
        <v>FINO Herve</v>
      </c>
      <c r="D594" s="1428" t="s">
        <v>889</v>
      </c>
      <c r="E594" s="1429">
        <v>588</v>
      </c>
      <c r="F594" s="2197" t="s">
        <v>18093</v>
      </c>
      <c r="G594" s="2198" t="s">
        <v>17114</v>
      </c>
      <c r="H594" s="2197" t="s">
        <v>15446</v>
      </c>
      <c r="I594" s="2199" t="s">
        <v>1019</v>
      </c>
      <c r="J594" s="2196">
        <v>18</v>
      </c>
    </row>
    <row r="595" spans="2:10" ht="13.5" thickBot="1" x14ac:dyDescent="0.25">
      <c r="B595" s="392" t="str">
        <f t="shared" si="18"/>
        <v>Open - TANAKA Naoto</v>
      </c>
      <c r="C595" s="1441" t="str">
        <f t="shared" si="19"/>
        <v>TANAKA Naoto</v>
      </c>
      <c r="D595" s="1428" t="s">
        <v>889</v>
      </c>
      <c r="E595" s="1429">
        <v>588</v>
      </c>
      <c r="F595" s="2197" t="s">
        <v>16593</v>
      </c>
      <c r="G595" s="2198" t="s">
        <v>16283</v>
      </c>
      <c r="H595" s="2197" t="s">
        <v>14711</v>
      </c>
      <c r="I595" s="2199" t="s">
        <v>1041</v>
      </c>
      <c r="J595" s="2196">
        <v>18</v>
      </c>
    </row>
    <row r="596" spans="2:10" ht="13.5" thickBot="1" x14ac:dyDescent="0.25">
      <c r="B596" s="392" t="str">
        <f t="shared" si="18"/>
        <v>Open - DEAN Niall</v>
      </c>
      <c r="C596" s="1441" t="str">
        <f t="shared" si="19"/>
        <v>DEAN Niall</v>
      </c>
      <c r="D596" s="1428" t="s">
        <v>889</v>
      </c>
      <c r="E596" s="1429">
        <v>588</v>
      </c>
      <c r="F596" s="2197" t="s">
        <v>5542</v>
      </c>
      <c r="G596" s="2198" t="s">
        <v>5543</v>
      </c>
      <c r="H596" s="2197" t="s">
        <v>9448</v>
      </c>
      <c r="I596" s="2199" t="s">
        <v>1023</v>
      </c>
      <c r="J596" s="2196">
        <v>18</v>
      </c>
    </row>
    <row r="597" spans="2:10" ht="13.5" thickBot="1" x14ac:dyDescent="0.25">
      <c r="B597" s="392" t="str">
        <f t="shared" si="18"/>
        <v>Open - SPENCE Barry</v>
      </c>
      <c r="C597" s="1441" t="str">
        <f t="shared" si="19"/>
        <v>SPENCE Barry</v>
      </c>
      <c r="D597" s="1428" t="s">
        <v>889</v>
      </c>
      <c r="E597" s="1429">
        <v>588</v>
      </c>
      <c r="F597" s="2197" t="s">
        <v>16610</v>
      </c>
      <c r="G597" s="2198" t="s">
        <v>5524</v>
      </c>
      <c r="H597" s="2197" t="s">
        <v>2764</v>
      </c>
      <c r="I597" s="2199" t="s">
        <v>1055</v>
      </c>
      <c r="J597" s="2196">
        <v>18</v>
      </c>
    </row>
    <row r="598" spans="2:10" ht="13.5" thickBot="1" x14ac:dyDescent="0.25">
      <c r="B598" s="392" t="str">
        <f t="shared" si="18"/>
        <v>Open - GENTILE Ernesto</v>
      </c>
      <c r="C598" s="1441" t="str">
        <f t="shared" si="19"/>
        <v>GENTILE Ernesto</v>
      </c>
      <c r="D598" s="1428" t="s">
        <v>889</v>
      </c>
      <c r="E598" s="1429">
        <v>588</v>
      </c>
      <c r="F598" s="2197" t="s">
        <v>16592</v>
      </c>
      <c r="G598" s="2198" t="s">
        <v>5464</v>
      </c>
      <c r="H598" s="2197" t="s">
        <v>10271</v>
      </c>
      <c r="I598" s="2199" t="s">
        <v>1037</v>
      </c>
      <c r="J598" s="2196">
        <v>18</v>
      </c>
    </row>
    <row r="599" spans="2:10" ht="13.5" thickBot="1" x14ac:dyDescent="0.25">
      <c r="B599" s="392" t="str">
        <f t="shared" si="18"/>
        <v>Open - GREGORY Connor</v>
      </c>
      <c r="C599" s="1441" t="str">
        <f t="shared" si="19"/>
        <v>GREGORY Connor</v>
      </c>
      <c r="D599" s="1428" t="s">
        <v>889</v>
      </c>
      <c r="E599" s="1429">
        <v>588</v>
      </c>
      <c r="F599" s="2197" t="s">
        <v>14937</v>
      </c>
      <c r="G599" s="2198" t="s">
        <v>14414</v>
      </c>
      <c r="H599" s="2197" t="s">
        <v>17082</v>
      </c>
      <c r="I599" s="2199" t="s">
        <v>1013</v>
      </c>
      <c r="J599" s="2196">
        <v>18</v>
      </c>
    </row>
    <row r="600" spans="2:10" ht="13.5" thickBot="1" x14ac:dyDescent="0.25">
      <c r="B600" s="392" t="str">
        <f t="shared" si="18"/>
        <v>Open - BASTIN Olivier</v>
      </c>
      <c r="C600" s="1441" t="str">
        <f t="shared" si="19"/>
        <v>BASTIN Olivier</v>
      </c>
      <c r="D600" s="1428" t="s">
        <v>889</v>
      </c>
      <c r="E600" s="1429">
        <v>588</v>
      </c>
      <c r="F600" s="2197" t="s">
        <v>14914</v>
      </c>
      <c r="G600" s="2198" t="s">
        <v>3193</v>
      </c>
      <c r="H600" s="2197" t="s">
        <v>2795</v>
      </c>
      <c r="I600" s="2199" t="s">
        <v>1019</v>
      </c>
      <c r="J600" s="2196">
        <v>18</v>
      </c>
    </row>
    <row r="601" spans="2:10" ht="13.5" thickBot="1" x14ac:dyDescent="0.25">
      <c r="B601" s="392" t="str">
        <f t="shared" si="18"/>
        <v>Open - GALICHET Stephane</v>
      </c>
      <c r="C601" s="1441" t="str">
        <f t="shared" si="19"/>
        <v>GALICHET Stephane</v>
      </c>
      <c r="D601" s="1428" t="s">
        <v>889</v>
      </c>
      <c r="E601" s="1429">
        <v>588</v>
      </c>
      <c r="F601" s="2197" t="s">
        <v>18094</v>
      </c>
      <c r="G601" s="2198" t="s">
        <v>17850</v>
      </c>
      <c r="H601" s="2197" t="s">
        <v>14359</v>
      </c>
      <c r="I601" s="2199" t="s">
        <v>1019</v>
      </c>
      <c r="J601" s="2196">
        <v>18</v>
      </c>
    </row>
    <row r="602" spans="2:10" ht="13.5" thickBot="1" x14ac:dyDescent="0.25">
      <c r="B602" s="392" t="str">
        <f t="shared" si="18"/>
        <v>Open - DESPRETZ Emilie</v>
      </c>
      <c r="C602" s="1441" t="str">
        <f t="shared" si="19"/>
        <v>DESPRETZ Emilie</v>
      </c>
      <c r="D602" s="1428" t="s">
        <v>889</v>
      </c>
      <c r="E602" s="1429">
        <v>588</v>
      </c>
      <c r="F602" s="2197" t="s">
        <v>3261</v>
      </c>
      <c r="G602" s="2198" t="s">
        <v>15460</v>
      </c>
      <c r="H602" s="2197" t="s">
        <v>13519</v>
      </c>
      <c r="I602" s="2199" t="s">
        <v>990</v>
      </c>
      <c r="J602" s="2196">
        <v>18</v>
      </c>
    </row>
    <row r="603" spans="2:10" ht="13.5" thickBot="1" x14ac:dyDescent="0.25">
      <c r="B603" s="392" t="str">
        <f t="shared" si="18"/>
        <v>Open - GROSDENT Maxim</v>
      </c>
      <c r="C603" s="1441" t="str">
        <f t="shared" si="19"/>
        <v>GROSDENT Maxim</v>
      </c>
      <c r="D603" s="1428" t="s">
        <v>889</v>
      </c>
      <c r="E603" s="1429">
        <v>588</v>
      </c>
      <c r="F603" s="2197" t="s">
        <v>8735</v>
      </c>
      <c r="G603" s="2198" t="s">
        <v>9551</v>
      </c>
      <c r="H603" s="2197" t="s">
        <v>10252</v>
      </c>
      <c r="I603" s="2199" t="s">
        <v>990</v>
      </c>
      <c r="J603" s="2196">
        <v>18</v>
      </c>
    </row>
    <row r="604" spans="2:10" ht="13.5" thickBot="1" x14ac:dyDescent="0.25">
      <c r="B604" s="392" t="str">
        <f t="shared" si="18"/>
        <v>Open - MAZZILLI Michelangelo</v>
      </c>
      <c r="C604" s="1441" t="str">
        <f t="shared" si="19"/>
        <v>MAZZILLI Michelangelo</v>
      </c>
      <c r="D604" s="1428" t="s">
        <v>889</v>
      </c>
      <c r="E604" s="1429">
        <v>588</v>
      </c>
      <c r="F604" s="2197" t="s">
        <v>16594</v>
      </c>
      <c r="G604" s="2198" t="s">
        <v>3231</v>
      </c>
      <c r="H604" s="2197" t="s">
        <v>2761</v>
      </c>
      <c r="I604" s="2199" t="s">
        <v>1037</v>
      </c>
      <c r="J604" s="2196">
        <v>18</v>
      </c>
    </row>
    <row r="605" spans="2:10" ht="13.5" thickBot="1" x14ac:dyDescent="0.25">
      <c r="B605" s="392" t="str">
        <f t="shared" si="18"/>
        <v>Open - MCCANN Tony</v>
      </c>
      <c r="C605" s="1441" t="str">
        <f t="shared" si="19"/>
        <v>MCCANN Tony</v>
      </c>
      <c r="D605" s="1428" t="s">
        <v>889</v>
      </c>
      <c r="E605" s="1429">
        <v>599</v>
      </c>
      <c r="F605" s="2197" t="s">
        <v>14942</v>
      </c>
      <c r="G605" s="2198" t="s">
        <v>3134</v>
      </c>
      <c r="H605" s="2197" t="s">
        <v>15274</v>
      </c>
      <c r="I605" s="2199" t="s">
        <v>1013</v>
      </c>
      <c r="J605" s="2196">
        <v>17.5</v>
      </c>
    </row>
    <row r="606" spans="2:10" ht="13.5" thickBot="1" x14ac:dyDescent="0.25">
      <c r="B606" s="392" t="str">
        <f t="shared" si="18"/>
        <v>Open - RECANO Alberto</v>
      </c>
      <c r="C606" s="1441" t="str">
        <f t="shared" si="19"/>
        <v>RECANO Alberto</v>
      </c>
      <c r="D606" s="1428" t="s">
        <v>889</v>
      </c>
      <c r="E606" s="1429">
        <v>599</v>
      </c>
      <c r="F606" s="2197" t="s">
        <v>14131</v>
      </c>
      <c r="G606" s="2198" t="s">
        <v>3042</v>
      </c>
      <c r="H606" s="2197" t="s">
        <v>2776</v>
      </c>
      <c r="I606" s="2199" t="s">
        <v>1037</v>
      </c>
      <c r="J606" s="2196">
        <v>17.5</v>
      </c>
    </row>
    <row r="607" spans="2:10" ht="13.5" thickBot="1" x14ac:dyDescent="0.25">
      <c r="B607" s="392" t="str">
        <f t="shared" si="18"/>
        <v>Open - GUASTELLA Fabrizio</v>
      </c>
      <c r="C607" s="1441" t="str">
        <f t="shared" si="19"/>
        <v>GUASTELLA Fabrizio</v>
      </c>
      <c r="D607" s="1428" t="s">
        <v>889</v>
      </c>
      <c r="E607" s="1429">
        <v>599</v>
      </c>
      <c r="F607" s="2197" t="s">
        <v>14926</v>
      </c>
      <c r="G607" s="2198" t="s">
        <v>3087</v>
      </c>
      <c r="H607" s="2197" t="s">
        <v>15290</v>
      </c>
      <c r="I607" s="2199" t="s">
        <v>1037</v>
      </c>
      <c r="J607" s="2196">
        <v>17.5</v>
      </c>
    </row>
    <row r="608" spans="2:10" ht="13.5" thickBot="1" x14ac:dyDescent="0.25">
      <c r="B608" s="392" t="str">
        <f t="shared" si="18"/>
        <v>Open - KAZANTZOGLOU Charalampos</v>
      </c>
      <c r="C608" s="1441" t="str">
        <f t="shared" si="19"/>
        <v>KAZANTZOGLOU Charalampos</v>
      </c>
      <c r="D608" s="1428" t="s">
        <v>889</v>
      </c>
      <c r="E608" s="1429">
        <v>602</v>
      </c>
      <c r="F608" s="2197" t="s">
        <v>16653</v>
      </c>
      <c r="G608" s="2198" t="s">
        <v>8247</v>
      </c>
      <c r="H608" s="2197" t="s">
        <v>13590</v>
      </c>
      <c r="I608" s="2199" t="s">
        <v>1025</v>
      </c>
      <c r="J608" s="2196">
        <v>17</v>
      </c>
    </row>
    <row r="609" spans="2:10" ht="13.5" thickBot="1" x14ac:dyDescent="0.25">
      <c r="B609" s="392" t="str">
        <f t="shared" si="18"/>
        <v>Open - GIAMBELLUCA Francesco</v>
      </c>
      <c r="C609" s="1441" t="str">
        <f t="shared" si="19"/>
        <v>GIAMBELLUCA Francesco</v>
      </c>
      <c r="D609" s="1428" t="s">
        <v>889</v>
      </c>
      <c r="E609" s="1429">
        <v>602</v>
      </c>
      <c r="F609" s="2197" t="s">
        <v>14915</v>
      </c>
      <c r="G609" s="2198" t="s">
        <v>3277</v>
      </c>
      <c r="H609" s="2197" t="s">
        <v>5311</v>
      </c>
      <c r="I609" s="2199" t="s">
        <v>1037</v>
      </c>
      <c r="J609" s="2196">
        <v>17</v>
      </c>
    </row>
    <row r="610" spans="2:10" ht="13.5" thickBot="1" x14ac:dyDescent="0.25">
      <c r="B610" s="392" t="str">
        <f t="shared" si="18"/>
        <v>Open - KROMMYDAS Panagiotis</v>
      </c>
      <c r="C610" s="1441" t="str">
        <f t="shared" si="19"/>
        <v>KROMMYDAS Panagiotis</v>
      </c>
      <c r="D610" s="1428" t="s">
        <v>889</v>
      </c>
      <c r="E610" s="1429">
        <v>602</v>
      </c>
      <c r="F610" s="2197" t="s">
        <v>11434</v>
      </c>
      <c r="G610" s="2198" t="s">
        <v>3249</v>
      </c>
      <c r="H610" s="2197" t="s">
        <v>14585</v>
      </c>
      <c r="I610" s="2199" t="s">
        <v>1021</v>
      </c>
      <c r="J610" s="2196">
        <v>17</v>
      </c>
    </row>
    <row r="611" spans="2:10" ht="13.5" thickBot="1" x14ac:dyDescent="0.25">
      <c r="B611" s="392" t="str">
        <f t="shared" si="18"/>
        <v>Open - HALPIN John</v>
      </c>
      <c r="C611" s="1441" t="str">
        <f t="shared" si="19"/>
        <v>HALPIN John</v>
      </c>
      <c r="D611" s="1428" t="s">
        <v>889</v>
      </c>
      <c r="E611" s="1429">
        <v>602</v>
      </c>
      <c r="F611" s="2197" t="s">
        <v>5546</v>
      </c>
      <c r="G611" s="2198" t="s">
        <v>3250</v>
      </c>
      <c r="H611" s="2197" t="s">
        <v>2771</v>
      </c>
      <c r="I611" s="2199" t="s">
        <v>1069</v>
      </c>
      <c r="J611" s="2196">
        <v>17</v>
      </c>
    </row>
    <row r="612" spans="2:10" ht="13.5" thickBot="1" x14ac:dyDescent="0.25">
      <c r="B612" s="392" t="str">
        <f t="shared" si="18"/>
        <v>Open - VEZZUTO Francesco</v>
      </c>
      <c r="C612" s="1441" t="str">
        <f t="shared" si="19"/>
        <v>VEZZUTO Francesco</v>
      </c>
      <c r="D612" s="1428" t="s">
        <v>889</v>
      </c>
      <c r="E612" s="1429">
        <v>602</v>
      </c>
      <c r="F612" s="2197" t="s">
        <v>14299</v>
      </c>
      <c r="G612" s="2198" t="s">
        <v>3277</v>
      </c>
      <c r="H612" s="2197" t="s">
        <v>2750</v>
      </c>
      <c r="I612" s="2199" t="s">
        <v>1037</v>
      </c>
      <c r="J612" s="2196">
        <v>17</v>
      </c>
    </row>
    <row r="613" spans="2:10" ht="13.5" thickBot="1" x14ac:dyDescent="0.25">
      <c r="B613" s="392" t="str">
        <f t="shared" si="18"/>
        <v>Open - FRASCA Giuseppe</v>
      </c>
      <c r="C613" s="1441" t="str">
        <f t="shared" si="19"/>
        <v>FRASCA Giuseppe</v>
      </c>
      <c r="D613" s="1428" t="s">
        <v>889</v>
      </c>
      <c r="E613" s="1429">
        <v>602</v>
      </c>
      <c r="F613" s="2197" t="s">
        <v>10991</v>
      </c>
      <c r="G613" s="2198" t="s">
        <v>3122</v>
      </c>
      <c r="H613" s="2197" t="s">
        <v>13593</v>
      </c>
      <c r="I613" s="2199" t="s">
        <v>1037</v>
      </c>
      <c r="J613" s="2196">
        <v>17</v>
      </c>
    </row>
    <row r="614" spans="2:10" ht="13.5" thickBot="1" x14ac:dyDescent="0.25">
      <c r="B614" s="392" t="str">
        <f t="shared" si="18"/>
        <v>Open - BOLUSSET Cyril</v>
      </c>
      <c r="C614" s="1441" t="str">
        <f t="shared" si="19"/>
        <v>BOLUSSET Cyril</v>
      </c>
      <c r="D614" s="1428" t="s">
        <v>889</v>
      </c>
      <c r="E614" s="1429">
        <v>602</v>
      </c>
      <c r="F614" s="2197" t="s">
        <v>11539</v>
      </c>
      <c r="G614" s="2198" t="s">
        <v>8229</v>
      </c>
      <c r="H614" s="2197" t="s">
        <v>15239</v>
      </c>
      <c r="I614" s="2199" t="s">
        <v>1019</v>
      </c>
      <c r="J614" s="2196">
        <v>17</v>
      </c>
    </row>
    <row r="615" spans="2:10" ht="13.5" thickBot="1" x14ac:dyDescent="0.25">
      <c r="B615" s="392" t="str">
        <f t="shared" si="18"/>
        <v>Open - FRAGKAKIS Velissarios</v>
      </c>
      <c r="C615" s="1441" t="str">
        <f t="shared" si="19"/>
        <v>FRAGKAKIS Velissarios</v>
      </c>
      <c r="D615" s="1428" t="s">
        <v>889</v>
      </c>
      <c r="E615" s="1429">
        <v>609</v>
      </c>
      <c r="F615" s="2197" t="s">
        <v>8719</v>
      </c>
      <c r="G615" s="2198" t="s">
        <v>3431</v>
      </c>
      <c r="H615" s="2197" t="s">
        <v>3041</v>
      </c>
      <c r="I615" s="2199" t="s">
        <v>1025</v>
      </c>
      <c r="J615" s="2196">
        <v>16.5</v>
      </c>
    </row>
    <row r="616" spans="2:10" ht="13.5" thickBot="1" x14ac:dyDescent="0.25">
      <c r="B616" s="392" t="str">
        <f t="shared" si="18"/>
        <v>Open - KANDA Kotetsu</v>
      </c>
      <c r="C616" s="1441" t="str">
        <f t="shared" si="19"/>
        <v>KANDA Kotetsu</v>
      </c>
      <c r="D616" s="1428" t="s">
        <v>889</v>
      </c>
      <c r="E616" s="1429">
        <v>609</v>
      </c>
      <c r="F616" s="2197" t="s">
        <v>16646</v>
      </c>
      <c r="G616" s="2198" t="s">
        <v>15724</v>
      </c>
      <c r="H616" s="2197" t="s">
        <v>17235</v>
      </c>
      <c r="I616" s="2199" t="s">
        <v>1041</v>
      </c>
      <c r="J616" s="2196">
        <v>16.5</v>
      </c>
    </row>
    <row r="617" spans="2:10" ht="13.5" thickBot="1" x14ac:dyDescent="0.25">
      <c r="B617" s="392" t="str">
        <f t="shared" si="18"/>
        <v>Open - HENRIQUES Vasco</v>
      </c>
      <c r="C617" s="1441" t="str">
        <f t="shared" si="19"/>
        <v>HENRIQUES Vasco</v>
      </c>
      <c r="D617" s="1428" t="s">
        <v>889</v>
      </c>
      <c r="E617" s="1429">
        <v>609</v>
      </c>
      <c r="F617" s="2197" t="s">
        <v>14213</v>
      </c>
      <c r="G617" s="2198" t="s">
        <v>3033</v>
      </c>
      <c r="H617" s="2197" t="s">
        <v>15138</v>
      </c>
      <c r="I617" s="2199" t="s">
        <v>1061</v>
      </c>
      <c r="J617" s="2196">
        <v>16.5</v>
      </c>
    </row>
    <row r="618" spans="2:10" ht="13.5" thickBot="1" x14ac:dyDescent="0.25">
      <c r="B618" s="392" t="str">
        <f t="shared" si="18"/>
        <v>Open - GERRETS Kenney</v>
      </c>
      <c r="C618" s="1441" t="str">
        <f t="shared" si="19"/>
        <v>GERRETS Kenney</v>
      </c>
      <c r="D618" s="1428" t="s">
        <v>889</v>
      </c>
      <c r="E618" s="1429">
        <v>609</v>
      </c>
      <c r="F618" s="2197" t="s">
        <v>14196</v>
      </c>
      <c r="G618" s="2198" t="s">
        <v>3664</v>
      </c>
      <c r="H618" s="2197" t="s">
        <v>2763</v>
      </c>
      <c r="I618" s="2199" t="s">
        <v>1051</v>
      </c>
      <c r="J618" s="2196">
        <v>16.5</v>
      </c>
    </row>
    <row r="619" spans="2:10" ht="13.5" thickBot="1" x14ac:dyDescent="0.25">
      <c r="B619" s="392" t="str">
        <f t="shared" si="18"/>
        <v>Open - JACKSON Adam</v>
      </c>
      <c r="C619" s="1441" t="str">
        <f t="shared" si="19"/>
        <v>JACKSON Adam</v>
      </c>
      <c r="D619" s="1428" t="s">
        <v>889</v>
      </c>
      <c r="E619" s="1429">
        <v>613</v>
      </c>
      <c r="F619" s="2197" t="s">
        <v>16649</v>
      </c>
      <c r="G619" s="2198" t="s">
        <v>3502</v>
      </c>
      <c r="H619" s="2197" t="s">
        <v>14864</v>
      </c>
      <c r="I619" s="2199" t="s">
        <v>1013</v>
      </c>
      <c r="J619" s="2196">
        <v>16</v>
      </c>
    </row>
    <row r="620" spans="2:10" ht="13.5" thickBot="1" x14ac:dyDescent="0.25">
      <c r="B620" s="392" t="str">
        <f t="shared" si="18"/>
        <v>Open - OKAMOTO Miwako</v>
      </c>
      <c r="C620" s="1441" t="str">
        <f t="shared" si="19"/>
        <v>OKAMOTO Miwako</v>
      </c>
      <c r="D620" s="1428" t="s">
        <v>889</v>
      </c>
      <c r="E620" s="1429">
        <v>613</v>
      </c>
      <c r="F620" s="2197" t="s">
        <v>16879</v>
      </c>
      <c r="G620" s="2198" t="s">
        <v>16880</v>
      </c>
      <c r="H620" s="2197" t="s">
        <v>17234</v>
      </c>
      <c r="I620" s="2199" t="s">
        <v>1041</v>
      </c>
      <c r="J620" s="2196">
        <v>16</v>
      </c>
    </row>
    <row r="621" spans="2:10" ht="13.5" thickBot="1" x14ac:dyDescent="0.25">
      <c r="B621" s="392" t="str">
        <f t="shared" si="18"/>
        <v>Open - BOLTE René</v>
      </c>
      <c r="C621" s="1441" t="str">
        <f t="shared" si="19"/>
        <v>BOLTE René</v>
      </c>
      <c r="D621" s="1428" t="s">
        <v>889</v>
      </c>
      <c r="E621" s="1429">
        <v>613</v>
      </c>
      <c r="F621" s="2197" t="s">
        <v>16599</v>
      </c>
      <c r="G621" s="2198" t="s">
        <v>3564</v>
      </c>
      <c r="H621" s="2197" t="s">
        <v>7184</v>
      </c>
      <c r="I621" s="2199" t="s">
        <v>1051</v>
      </c>
      <c r="J621" s="2196">
        <v>16</v>
      </c>
    </row>
    <row r="622" spans="2:10" ht="13.5" thickBot="1" x14ac:dyDescent="0.25">
      <c r="B622" s="392" t="str">
        <f t="shared" si="18"/>
        <v>Open - TSOUTSAS Theodoros</v>
      </c>
      <c r="C622" s="1441" t="str">
        <f t="shared" si="19"/>
        <v>TSOUTSAS Theodoros</v>
      </c>
      <c r="D622" s="1428" t="s">
        <v>889</v>
      </c>
      <c r="E622" s="1429">
        <v>613</v>
      </c>
      <c r="F622" s="2197" t="s">
        <v>3222</v>
      </c>
      <c r="G622" s="2198" t="s">
        <v>5579</v>
      </c>
      <c r="H622" s="2197" t="s">
        <v>15175</v>
      </c>
      <c r="I622" s="2199" t="s">
        <v>1025</v>
      </c>
      <c r="J622" s="2196">
        <v>16</v>
      </c>
    </row>
    <row r="623" spans="2:10" ht="13.5" thickBot="1" x14ac:dyDescent="0.25">
      <c r="B623" s="392" t="str">
        <f t="shared" si="18"/>
        <v>Open - ROUIS Yasser</v>
      </c>
      <c r="C623" s="1441" t="str">
        <f t="shared" si="19"/>
        <v>ROUIS Yasser</v>
      </c>
      <c r="D623" s="1428" t="s">
        <v>889</v>
      </c>
      <c r="E623" s="1429">
        <v>613</v>
      </c>
      <c r="F623" s="2197" t="s">
        <v>11428</v>
      </c>
      <c r="G623" s="2198" t="s">
        <v>14081</v>
      </c>
      <c r="H623" s="2197" t="s">
        <v>14825</v>
      </c>
      <c r="I623" s="2199" t="s">
        <v>1076</v>
      </c>
      <c r="J623" s="2196">
        <v>16</v>
      </c>
    </row>
    <row r="624" spans="2:10" ht="13.5" thickBot="1" x14ac:dyDescent="0.25">
      <c r="B624" s="392" t="str">
        <f t="shared" si="18"/>
        <v>Open - RANDIELLI Salvatore</v>
      </c>
      <c r="C624" s="1441" t="str">
        <f t="shared" si="19"/>
        <v>RANDIELLI Salvatore</v>
      </c>
      <c r="D624" s="1428" t="s">
        <v>889</v>
      </c>
      <c r="E624" s="1429">
        <v>613</v>
      </c>
      <c r="F624" s="2197" t="s">
        <v>16705</v>
      </c>
      <c r="G624" s="2198" t="s">
        <v>3265</v>
      </c>
      <c r="H624" s="2197" t="s">
        <v>15290</v>
      </c>
      <c r="I624" s="2199" t="s">
        <v>1037</v>
      </c>
      <c r="J624" s="2196">
        <v>16</v>
      </c>
    </row>
    <row r="625" spans="2:10" ht="13.5" thickBot="1" x14ac:dyDescent="0.25">
      <c r="B625" s="392" t="str">
        <f t="shared" si="18"/>
        <v>Open - GILIBERTO Gianluca</v>
      </c>
      <c r="C625" s="1441" t="str">
        <f t="shared" si="19"/>
        <v>GILIBERTO Gianluca</v>
      </c>
      <c r="D625" s="1428" t="s">
        <v>889</v>
      </c>
      <c r="E625" s="1429">
        <v>613</v>
      </c>
      <c r="F625" s="2197" t="s">
        <v>16641</v>
      </c>
      <c r="G625" s="2198" t="s">
        <v>3369</v>
      </c>
      <c r="H625" s="2197" t="s">
        <v>13593</v>
      </c>
      <c r="I625" s="2199" t="s">
        <v>1037</v>
      </c>
      <c r="J625" s="2196">
        <v>16</v>
      </c>
    </row>
    <row r="626" spans="2:10" ht="13.5" thickBot="1" x14ac:dyDescent="0.25">
      <c r="B626" s="392" t="str">
        <f t="shared" si="18"/>
        <v>Open - MORIER Nicolas</v>
      </c>
      <c r="C626" s="1441" t="str">
        <f t="shared" si="19"/>
        <v>MORIER Nicolas</v>
      </c>
      <c r="D626" s="1428" t="s">
        <v>889</v>
      </c>
      <c r="E626" s="1429">
        <v>613</v>
      </c>
      <c r="F626" s="2197" t="s">
        <v>16598</v>
      </c>
      <c r="G626" s="2198" t="s">
        <v>3666</v>
      </c>
      <c r="H626" s="2197" t="s">
        <v>13838</v>
      </c>
      <c r="I626" s="2199" t="s">
        <v>1019</v>
      </c>
      <c r="J626" s="2196">
        <v>16</v>
      </c>
    </row>
    <row r="627" spans="2:10" ht="13.5" thickBot="1" x14ac:dyDescent="0.25">
      <c r="B627" s="392" t="str">
        <f t="shared" si="18"/>
        <v>Open - SKOURTSOS Emmanouil</v>
      </c>
      <c r="C627" s="1441" t="str">
        <f t="shared" si="19"/>
        <v>SKOURTSOS Emmanouil</v>
      </c>
      <c r="D627" s="1428" t="s">
        <v>889</v>
      </c>
      <c r="E627" s="1429">
        <v>613</v>
      </c>
      <c r="F627" s="2197" t="s">
        <v>14913</v>
      </c>
      <c r="G627" s="2198" t="s">
        <v>6991</v>
      </c>
      <c r="H627" s="2197" t="s">
        <v>2760</v>
      </c>
      <c r="I627" s="2199" t="s">
        <v>1025</v>
      </c>
      <c r="J627" s="2196">
        <v>16</v>
      </c>
    </row>
    <row r="628" spans="2:10" ht="13.5" thickBot="1" x14ac:dyDescent="0.25">
      <c r="B628" s="392" t="str">
        <f t="shared" si="18"/>
        <v>Open - LOMBARDO Valentino</v>
      </c>
      <c r="C628" s="1441" t="str">
        <f t="shared" si="19"/>
        <v>LOMBARDO Valentino</v>
      </c>
      <c r="D628" s="1428" t="s">
        <v>889</v>
      </c>
      <c r="E628" s="1429">
        <v>613</v>
      </c>
      <c r="F628" s="2197" t="s">
        <v>14236</v>
      </c>
      <c r="G628" s="2198" t="s">
        <v>6943</v>
      </c>
      <c r="H628" s="2197" t="s">
        <v>9700</v>
      </c>
      <c r="I628" s="2199" t="s">
        <v>1037</v>
      </c>
      <c r="J628" s="2196">
        <v>16</v>
      </c>
    </row>
    <row r="629" spans="2:10" ht="13.5" thickBot="1" x14ac:dyDescent="0.25">
      <c r="B629" s="392" t="str">
        <f t="shared" si="18"/>
        <v>Open - STROMMER Alfred</v>
      </c>
      <c r="C629" s="1441" t="str">
        <f t="shared" si="19"/>
        <v>STROMMER Alfred</v>
      </c>
      <c r="D629" s="1428" t="s">
        <v>889</v>
      </c>
      <c r="E629" s="1429">
        <v>613</v>
      </c>
      <c r="F629" s="2197" t="s">
        <v>3510</v>
      </c>
      <c r="G629" s="2198" t="s">
        <v>3511</v>
      </c>
      <c r="H629" s="2197" t="s">
        <v>8871</v>
      </c>
      <c r="I629" s="2199" t="s">
        <v>988</v>
      </c>
      <c r="J629" s="2196">
        <v>16</v>
      </c>
    </row>
    <row r="630" spans="2:10" ht="13.5" thickBot="1" x14ac:dyDescent="0.25">
      <c r="B630" s="392" t="str">
        <f t="shared" si="18"/>
        <v>Open - GALANOPOULOS Ilias</v>
      </c>
      <c r="C630" s="1441" t="str">
        <f t="shared" si="19"/>
        <v>GALANOPOULOS Ilias</v>
      </c>
      <c r="D630" s="1428" t="s">
        <v>889</v>
      </c>
      <c r="E630" s="1429">
        <v>613</v>
      </c>
      <c r="F630" s="2197" t="s">
        <v>11190</v>
      </c>
      <c r="G630" s="2198" t="s">
        <v>6978</v>
      </c>
      <c r="H630" s="2197" t="s">
        <v>15175</v>
      </c>
      <c r="I630" s="2199" t="s">
        <v>1025</v>
      </c>
      <c r="J630" s="2196">
        <v>16</v>
      </c>
    </row>
    <row r="631" spans="2:10" ht="13.5" thickBot="1" x14ac:dyDescent="0.25">
      <c r="B631" s="392" t="str">
        <f t="shared" si="18"/>
        <v>Open - CYGANEK Jérôme</v>
      </c>
      <c r="C631" s="1441" t="str">
        <f t="shared" si="19"/>
        <v>CYGANEK Jérôme</v>
      </c>
      <c r="D631" s="1428" t="s">
        <v>889</v>
      </c>
      <c r="E631" s="1429">
        <v>613</v>
      </c>
      <c r="F631" s="2197" t="s">
        <v>8766</v>
      </c>
      <c r="G631" s="2198" t="s">
        <v>3121</v>
      </c>
      <c r="H631" s="2197" t="s">
        <v>13519</v>
      </c>
      <c r="I631" s="2199" t="s">
        <v>990</v>
      </c>
      <c r="J631" s="2196">
        <v>16</v>
      </c>
    </row>
    <row r="632" spans="2:10" ht="13.5" thickBot="1" x14ac:dyDescent="0.25">
      <c r="B632" s="392" t="str">
        <f t="shared" si="18"/>
        <v>Open - ANDERLINI Andrea</v>
      </c>
      <c r="C632" s="1441" t="str">
        <f t="shared" si="19"/>
        <v>ANDERLINI Andrea</v>
      </c>
      <c r="D632" s="1428" t="s">
        <v>889</v>
      </c>
      <c r="E632" s="1429">
        <v>613</v>
      </c>
      <c r="F632" s="2197" t="s">
        <v>7842</v>
      </c>
      <c r="G632" s="2198" t="s">
        <v>3027</v>
      </c>
      <c r="H632" s="2197" t="s">
        <v>7876</v>
      </c>
      <c r="I632" s="2199" t="s">
        <v>1037</v>
      </c>
      <c r="J632" s="2196">
        <v>16</v>
      </c>
    </row>
    <row r="633" spans="2:10" ht="13.5" thickBot="1" x14ac:dyDescent="0.25">
      <c r="B633" s="392" t="str">
        <f t="shared" si="18"/>
        <v>Open - WILLIAMS Mike</v>
      </c>
      <c r="C633" s="1441" t="str">
        <f t="shared" si="19"/>
        <v>WILLIAMS Mike</v>
      </c>
      <c r="D633" s="1428" t="s">
        <v>889</v>
      </c>
      <c r="E633" s="1429">
        <v>627</v>
      </c>
      <c r="F633" s="2197" t="s">
        <v>14212</v>
      </c>
      <c r="G633" s="2198" t="s">
        <v>3304</v>
      </c>
      <c r="H633" s="2197" t="s">
        <v>17082</v>
      </c>
      <c r="I633" s="2199" t="s">
        <v>1013</v>
      </c>
      <c r="J633" s="2196">
        <v>15.5</v>
      </c>
    </row>
    <row r="634" spans="2:10" ht="13.5" thickBot="1" x14ac:dyDescent="0.25">
      <c r="B634" s="392" t="str">
        <f t="shared" si="18"/>
        <v>Open - AMARO Pedro</v>
      </c>
      <c r="C634" s="1441" t="str">
        <f t="shared" si="19"/>
        <v>AMARO Pedro</v>
      </c>
      <c r="D634" s="1428" t="s">
        <v>889</v>
      </c>
      <c r="E634" s="1429">
        <v>627</v>
      </c>
      <c r="F634" s="2197" t="s">
        <v>14938</v>
      </c>
      <c r="G634" s="2198" t="s">
        <v>5604</v>
      </c>
      <c r="H634" s="2197" t="s">
        <v>14742</v>
      </c>
      <c r="I634" s="2199" t="s">
        <v>1061</v>
      </c>
      <c r="J634" s="2196">
        <v>15.5</v>
      </c>
    </row>
    <row r="635" spans="2:10" ht="13.5" thickBot="1" x14ac:dyDescent="0.25">
      <c r="B635" s="392" t="str">
        <f t="shared" si="18"/>
        <v>Open - MAIRELES ALFARO Jesús</v>
      </c>
      <c r="C635" s="1441" t="str">
        <f t="shared" si="19"/>
        <v>MAIRELES ALFARO Jesús</v>
      </c>
      <c r="D635" s="1428" t="s">
        <v>889</v>
      </c>
      <c r="E635" s="1429">
        <v>627</v>
      </c>
      <c r="F635" s="2197" t="s">
        <v>16719</v>
      </c>
      <c r="G635" s="2198" t="s">
        <v>3575</v>
      </c>
      <c r="H635" s="2197" t="s">
        <v>7304</v>
      </c>
      <c r="I635" s="2199" t="s">
        <v>1015</v>
      </c>
      <c r="J635" s="2196">
        <v>15.5</v>
      </c>
    </row>
    <row r="636" spans="2:10" ht="13.5" thickBot="1" x14ac:dyDescent="0.25">
      <c r="B636" s="392" t="str">
        <f t="shared" si="18"/>
        <v>Open - DI GENNARO Sebastian</v>
      </c>
      <c r="C636" s="1441" t="str">
        <f t="shared" si="19"/>
        <v>DI GENNARO Sebastian</v>
      </c>
      <c r="D636" s="1428" t="s">
        <v>889</v>
      </c>
      <c r="E636" s="1429">
        <v>630</v>
      </c>
      <c r="F636" s="2197" t="s">
        <v>16600</v>
      </c>
      <c r="G636" s="2198" t="s">
        <v>3478</v>
      </c>
      <c r="H636" s="2197" t="s">
        <v>7873</v>
      </c>
      <c r="I636" s="2199" t="s">
        <v>1037</v>
      </c>
      <c r="J636" s="2196">
        <v>15</v>
      </c>
    </row>
    <row r="637" spans="2:10" ht="13.5" thickBot="1" x14ac:dyDescent="0.25">
      <c r="B637" s="392" t="str">
        <f t="shared" si="18"/>
        <v>Open - PINHEIRO BARTHEZ Renato</v>
      </c>
      <c r="C637" s="1441" t="str">
        <f t="shared" si="19"/>
        <v>PINHEIRO BARTHEZ Renato</v>
      </c>
      <c r="D637" s="1428" t="s">
        <v>889</v>
      </c>
      <c r="E637" s="1429">
        <v>630</v>
      </c>
      <c r="F637" s="2197" t="s">
        <v>14154</v>
      </c>
      <c r="G637" s="2198" t="s">
        <v>3178</v>
      </c>
      <c r="H637" s="2197" t="s">
        <v>7265</v>
      </c>
      <c r="I637" s="2199" t="s">
        <v>994</v>
      </c>
      <c r="J637" s="2196">
        <v>15</v>
      </c>
    </row>
    <row r="638" spans="2:10" ht="13.5" thickBot="1" x14ac:dyDescent="0.25">
      <c r="B638" s="392" t="str">
        <f t="shared" si="18"/>
        <v>Open - VARRIALE Vincenzo</v>
      </c>
      <c r="C638" s="1441" t="str">
        <f t="shared" si="19"/>
        <v>VARRIALE Vincenzo</v>
      </c>
      <c r="D638" s="1428" t="s">
        <v>889</v>
      </c>
      <c r="E638" s="1429">
        <v>630</v>
      </c>
      <c r="F638" s="2197" t="s">
        <v>10927</v>
      </c>
      <c r="G638" s="2198" t="s">
        <v>3163</v>
      </c>
      <c r="H638" s="2197" t="s">
        <v>433</v>
      </c>
      <c r="I638" s="2199" t="s">
        <v>1037</v>
      </c>
      <c r="J638" s="2196">
        <v>15</v>
      </c>
    </row>
    <row r="639" spans="2:10" ht="13.5" thickBot="1" x14ac:dyDescent="0.25">
      <c r="B639" s="392" t="str">
        <f t="shared" si="18"/>
        <v>Open - WILLOT Valéry</v>
      </c>
      <c r="C639" s="1441" t="str">
        <f t="shared" si="19"/>
        <v>WILLOT Valéry</v>
      </c>
      <c r="D639" s="1428" t="s">
        <v>889</v>
      </c>
      <c r="E639" s="1429">
        <v>630</v>
      </c>
      <c r="F639" s="2197" t="s">
        <v>17618</v>
      </c>
      <c r="G639" s="2198" t="s">
        <v>17534</v>
      </c>
      <c r="H639" s="2197" t="s">
        <v>10250</v>
      </c>
      <c r="I639" s="2199" t="s">
        <v>990</v>
      </c>
      <c r="J639" s="2196">
        <v>15</v>
      </c>
    </row>
    <row r="640" spans="2:10" ht="13.5" thickBot="1" x14ac:dyDescent="0.25">
      <c r="B640" s="392" t="str">
        <f t="shared" si="18"/>
        <v>Open - O’BRIEN Mick</v>
      </c>
      <c r="C640" s="1441" t="str">
        <f t="shared" si="19"/>
        <v>O’BRIEN Mick</v>
      </c>
      <c r="D640" s="1428" t="s">
        <v>889</v>
      </c>
      <c r="E640" s="1429">
        <v>630</v>
      </c>
      <c r="F640" s="2197" t="s">
        <v>14961</v>
      </c>
      <c r="G640" s="2198" t="s">
        <v>6918</v>
      </c>
      <c r="H640" s="2197" t="s">
        <v>2764</v>
      </c>
      <c r="I640" s="2199" t="s">
        <v>1033</v>
      </c>
      <c r="J640" s="2196">
        <v>15</v>
      </c>
    </row>
    <row r="641" spans="2:10" ht="13.5" thickBot="1" x14ac:dyDescent="0.25">
      <c r="B641" s="392" t="str">
        <f t="shared" si="18"/>
        <v>Open - YOSHIMURA Tomoyuki</v>
      </c>
      <c r="C641" s="1441" t="str">
        <f t="shared" si="19"/>
        <v>YOSHIMURA Tomoyuki</v>
      </c>
      <c r="D641" s="1428" t="s">
        <v>889</v>
      </c>
      <c r="E641" s="1429">
        <v>630</v>
      </c>
      <c r="F641" s="2197" t="s">
        <v>8744</v>
      </c>
      <c r="G641" s="2198" t="s">
        <v>8295</v>
      </c>
      <c r="H641" s="2197" t="s">
        <v>7906</v>
      </c>
      <c r="I641" s="2199" t="s">
        <v>1041</v>
      </c>
      <c r="J641" s="2196">
        <v>15</v>
      </c>
    </row>
    <row r="642" spans="2:10" ht="13.5" thickBot="1" x14ac:dyDescent="0.25">
      <c r="B642" s="392" t="str">
        <f t="shared" si="18"/>
        <v>Open - CHANOS Konstantinos</v>
      </c>
      <c r="C642" s="1441" t="str">
        <f t="shared" si="19"/>
        <v>CHANOS Konstantinos</v>
      </c>
      <c r="D642" s="1428" t="s">
        <v>889</v>
      </c>
      <c r="E642" s="1429">
        <v>630</v>
      </c>
      <c r="F642" s="2197" t="s">
        <v>11184</v>
      </c>
      <c r="G642" s="2198" t="s">
        <v>6986</v>
      </c>
      <c r="H642" s="2197" t="s">
        <v>14596</v>
      </c>
      <c r="I642" s="2199" t="s">
        <v>1025</v>
      </c>
      <c r="J642" s="2196">
        <v>15</v>
      </c>
    </row>
    <row r="643" spans="2:10" ht="13.5" thickBot="1" x14ac:dyDescent="0.25">
      <c r="B643" s="392" t="str">
        <f t="shared" si="18"/>
        <v>Open - DE MATOS Daniel</v>
      </c>
      <c r="C643" s="1441" t="str">
        <f t="shared" si="19"/>
        <v>DE MATOS Daniel</v>
      </c>
      <c r="D643" s="1428" t="s">
        <v>889</v>
      </c>
      <c r="E643" s="1429">
        <v>630</v>
      </c>
      <c r="F643" s="2197" t="s">
        <v>14135</v>
      </c>
      <c r="G643" s="2198" t="s">
        <v>3243</v>
      </c>
      <c r="H643" s="2197" t="s">
        <v>7265</v>
      </c>
      <c r="I643" s="2199" t="s">
        <v>994</v>
      </c>
      <c r="J643" s="2196">
        <v>15</v>
      </c>
    </row>
    <row r="644" spans="2:10" ht="13.5" thickBot="1" x14ac:dyDescent="0.25">
      <c r="B644" s="392" t="str">
        <f t="shared" si="18"/>
        <v>Open - BELLEFONTAINE Martin</v>
      </c>
      <c r="C644" s="1441" t="str">
        <f t="shared" si="19"/>
        <v>BELLEFONTAINE Martin</v>
      </c>
      <c r="D644" s="1428" t="s">
        <v>889</v>
      </c>
      <c r="E644" s="1429">
        <v>630</v>
      </c>
      <c r="F644" s="2197" t="s">
        <v>3447</v>
      </c>
      <c r="G644" s="2198" t="s">
        <v>3408</v>
      </c>
      <c r="H644" s="2197" t="s">
        <v>15227</v>
      </c>
      <c r="I644" s="2199" t="s">
        <v>1083</v>
      </c>
      <c r="J644" s="2196">
        <v>15</v>
      </c>
    </row>
    <row r="645" spans="2:10" ht="13.5" thickBot="1" x14ac:dyDescent="0.25">
      <c r="B645" s="392" t="str">
        <f t="shared" si="18"/>
        <v>Open - SAGIT Olivier</v>
      </c>
      <c r="C645" s="1441" t="str">
        <f t="shared" si="19"/>
        <v>SAGIT Olivier</v>
      </c>
      <c r="D645" s="1428" t="s">
        <v>889</v>
      </c>
      <c r="E645" s="1429">
        <v>639</v>
      </c>
      <c r="F645" s="2197" t="s">
        <v>14262</v>
      </c>
      <c r="G645" s="2198" t="s">
        <v>3193</v>
      </c>
      <c r="H645" s="2197" t="s">
        <v>2893</v>
      </c>
      <c r="I645" s="2199" t="s">
        <v>1019</v>
      </c>
      <c r="J645" s="2196">
        <v>14.5</v>
      </c>
    </row>
    <row r="646" spans="2:10" ht="13.5" thickBot="1" x14ac:dyDescent="0.25">
      <c r="B646" s="392" t="str">
        <f t="shared" si="18"/>
        <v>Open - SCHÖBERL Reinhard</v>
      </c>
      <c r="C646" s="1441" t="str">
        <f t="shared" si="19"/>
        <v>SCHÖBERL Reinhard</v>
      </c>
      <c r="D646" s="1428" t="s">
        <v>889</v>
      </c>
      <c r="E646" s="1429">
        <v>639</v>
      </c>
      <c r="F646" s="2197" t="s">
        <v>14190</v>
      </c>
      <c r="G646" s="2198" t="s">
        <v>3176</v>
      </c>
      <c r="H646" s="2197" t="s">
        <v>2748</v>
      </c>
      <c r="I646" s="2199" t="s">
        <v>988</v>
      </c>
      <c r="J646" s="2196">
        <v>14.5</v>
      </c>
    </row>
    <row r="647" spans="2:10" ht="13.5" thickBot="1" x14ac:dyDescent="0.25">
      <c r="B647" s="392" t="str">
        <f t="shared" ref="B647:B710" si="20">CONCATENATE(D647," - ",C647)</f>
        <v>Open - CARLES PRAT Albert</v>
      </c>
      <c r="C647" s="1441" t="str">
        <f t="shared" ref="C647:C710" si="21">CONCATENATE(UPPER(F647)," ",G647)</f>
        <v>CARLES PRAT Albert</v>
      </c>
      <c r="D647" s="1428" t="s">
        <v>889</v>
      </c>
      <c r="E647" s="1429">
        <v>639</v>
      </c>
      <c r="F647" s="2197" t="s">
        <v>16556</v>
      </c>
      <c r="G647" s="2198" t="s">
        <v>17546</v>
      </c>
      <c r="H647" s="2197" t="s">
        <v>2783</v>
      </c>
      <c r="I647" s="2199" t="s">
        <v>1015</v>
      </c>
      <c r="J647" s="2196">
        <v>14.5</v>
      </c>
    </row>
    <row r="648" spans="2:10" ht="13.5" thickBot="1" x14ac:dyDescent="0.25">
      <c r="B648" s="392" t="str">
        <f t="shared" si="20"/>
        <v>Open - SPOORS Brian</v>
      </c>
      <c r="C648" s="1441" t="str">
        <f t="shared" si="21"/>
        <v>SPOORS Brian</v>
      </c>
      <c r="D648" s="1428" t="s">
        <v>889</v>
      </c>
      <c r="E648" s="1429">
        <v>639</v>
      </c>
      <c r="F648" s="2197" t="s">
        <v>10930</v>
      </c>
      <c r="G648" s="2198" t="s">
        <v>3195</v>
      </c>
      <c r="H648" s="2197" t="s">
        <v>2771</v>
      </c>
      <c r="I648" s="2199" t="s">
        <v>1069</v>
      </c>
      <c r="J648" s="2196">
        <v>14.5</v>
      </c>
    </row>
    <row r="649" spans="2:10" ht="13.5" thickBot="1" x14ac:dyDescent="0.25">
      <c r="B649" s="392" t="str">
        <f t="shared" si="20"/>
        <v>Open - MONTEFIORI Stefano</v>
      </c>
      <c r="C649" s="1441" t="str">
        <f t="shared" si="21"/>
        <v>MONTEFIORI Stefano</v>
      </c>
      <c r="D649" s="1428" t="s">
        <v>889</v>
      </c>
      <c r="E649" s="1429">
        <v>643</v>
      </c>
      <c r="F649" s="2197" t="s">
        <v>3531</v>
      </c>
      <c r="G649" s="2198" t="s">
        <v>3062</v>
      </c>
      <c r="H649" s="2197" t="s">
        <v>2782</v>
      </c>
      <c r="I649" s="2199" t="s">
        <v>1037</v>
      </c>
      <c r="J649" s="2196">
        <v>14</v>
      </c>
    </row>
    <row r="650" spans="2:10" ht="13.5" thickBot="1" x14ac:dyDescent="0.25">
      <c r="B650" s="392" t="str">
        <f t="shared" si="20"/>
        <v>Open - GAGAS Thrasyvoulos</v>
      </c>
      <c r="C650" s="1441" t="str">
        <f t="shared" si="21"/>
        <v>GAGAS Thrasyvoulos</v>
      </c>
      <c r="D650" s="1428" t="s">
        <v>889</v>
      </c>
      <c r="E650" s="1429">
        <v>643</v>
      </c>
      <c r="F650" s="2197" t="s">
        <v>3539</v>
      </c>
      <c r="G650" s="2198" t="s">
        <v>3540</v>
      </c>
      <c r="H650" s="2197" t="s">
        <v>15175</v>
      </c>
      <c r="I650" s="2199" t="s">
        <v>1025</v>
      </c>
      <c r="J650" s="2196">
        <v>14</v>
      </c>
    </row>
    <row r="651" spans="2:10" ht="13.5" thickBot="1" x14ac:dyDescent="0.25">
      <c r="B651" s="392" t="str">
        <f t="shared" si="20"/>
        <v>Open - RICARDO Carlos</v>
      </c>
      <c r="C651" s="1441" t="str">
        <f t="shared" si="21"/>
        <v>RICARDO Carlos</v>
      </c>
      <c r="D651" s="1428" t="s">
        <v>889</v>
      </c>
      <c r="E651" s="1429">
        <v>643</v>
      </c>
      <c r="F651" s="2197" t="s">
        <v>16604</v>
      </c>
      <c r="G651" s="2198" t="s">
        <v>3008</v>
      </c>
      <c r="H651" s="2197" t="s">
        <v>16515</v>
      </c>
      <c r="I651" s="2199" t="s">
        <v>1061</v>
      </c>
      <c r="J651" s="2196">
        <v>14</v>
      </c>
    </row>
    <row r="652" spans="2:10" ht="13.5" thickBot="1" x14ac:dyDescent="0.25">
      <c r="B652" s="392" t="str">
        <f t="shared" si="20"/>
        <v>Open - TORINI Roberto</v>
      </c>
      <c r="C652" s="1441" t="str">
        <f t="shared" si="21"/>
        <v>TORINI Roberto</v>
      </c>
      <c r="D652" s="1428" t="s">
        <v>889</v>
      </c>
      <c r="E652" s="1429">
        <v>643</v>
      </c>
      <c r="F652" s="2197" t="s">
        <v>14916</v>
      </c>
      <c r="G652" s="2198" t="s">
        <v>3279</v>
      </c>
      <c r="H652" s="2197" t="s">
        <v>11325</v>
      </c>
      <c r="I652" s="2199" t="s">
        <v>1037</v>
      </c>
      <c r="J652" s="2196">
        <v>14</v>
      </c>
    </row>
    <row r="653" spans="2:10" ht="13.5" thickBot="1" x14ac:dyDescent="0.25">
      <c r="B653" s="392" t="str">
        <f t="shared" si="20"/>
        <v>Open - KANDA Junya</v>
      </c>
      <c r="C653" s="1441" t="str">
        <f t="shared" si="21"/>
        <v>KANDA Junya</v>
      </c>
      <c r="D653" s="1428" t="s">
        <v>889</v>
      </c>
      <c r="E653" s="1429">
        <v>643</v>
      </c>
      <c r="F653" s="2197" t="s">
        <v>16646</v>
      </c>
      <c r="G653" s="2198" t="s">
        <v>15722</v>
      </c>
      <c r="H653" s="2197" t="s">
        <v>17235</v>
      </c>
      <c r="I653" s="2199" t="s">
        <v>1041</v>
      </c>
      <c r="J653" s="2196">
        <v>14</v>
      </c>
    </row>
    <row r="654" spans="2:10" ht="13.5" thickBot="1" x14ac:dyDescent="0.25">
      <c r="B654" s="392" t="str">
        <f t="shared" si="20"/>
        <v>Open - REGUERA DELGADO Manuel</v>
      </c>
      <c r="C654" s="1441" t="str">
        <f t="shared" si="21"/>
        <v>REGUERA DELGADO Manuel</v>
      </c>
      <c r="D654" s="1428" t="s">
        <v>889</v>
      </c>
      <c r="E654" s="1429">
        <v>643</v>
      </c>
      <c r="F654" s="2197" t="s">
        <v>16617</v>
      </c>
      <c r="G654" s="2198" t="s">
        <v>3171</v>
      </c>
      <c r="H654" s="2197" t="s">
        <v>7871</v>
      </c>
      <c r="I654" s="2199" t="s">
        <v>1015</v>
      </c>
      <c r="J654" s="2196">
        <v>14</v>
      </c>
    </row>
    <row r="655" spans="2:10" ht="13.5" thickBot="1" x14ac:dyDescent="0.25">
      <c r="B655" s="392" t="str">
        <f t="shared" si="20"/>
        <v>Open - GOODMAN Simon</v>
      </c>
      <c r="C655" s="1441" t="str">
        <f t="shared" si="21"/>
        <v>GOODMAN Simon</v>
      </c>
      <c r="D655" s="1428" t="s">
        <v>889</v>
      </c>
      <c r="E655" s="1429">
        <v>643</v>
      </c>
      <c r="F655" s="2197" t="s">
        <v>14293</v>
      </c>
      <c r="G655" s="2198" t="s">
        <v>3626</v>
      </c>
      <c r="H655" s="2197" t="s">
        <v>17082</v>
      </c>
      <c r="I655" s="2199" t="s">
        <v>1013</v>
      </c>
      <c r="J655" s="2196">
        <v>14</v>
      </c>
    </row>
    <row r="656" spans="2:10" ht="13.5" thickBot="1" x14ac:dyDescent="0.25">
      <c r="B656" s="392" t="str">
        <f t="shared" si="20"/>
        <v>Open - STEWART Simon</v>
      </c>
      <c r="C656" s="1441" t="str">
        <f t="shared" si="21"/>
        <v>STEWART Simon</v>
      </c>
      <c r="D656" s="1428" t="s">
        <v>889</v>
      </c>
      <c r="E656" s="1429">
        <v>643</v>
      </c>
      <c r="F656" s="2197" t="s">
        <v>11426</v>
      </c>
      <c r="G656" s="2198" t="s">
        <v>3626</v>
      </c>
      <c r="H656" s="2197" t="s">
        <v>11409</v>
      </c>
      <c r="I656" s="2199" t="s">
        <v>1055</v>
      </c>
      <c r="J656" s="2196">
        <v>14</v>
      </c>
    </row>
    <row r="657" spans="2:10" ht="13.5" thickBot="1" x14ac:dyDescent="0.25">
      <c r="B657" s="392" t="str">
        <f t="shared" si="20"/>
        <v>Open - PRESTIA Vincenzo</v>
      </c>
      <c r="C657" s="1441" t="str">
        <f t="shared" si="21"/>
        <v>PRESTIA Vincenzo</v>
      </c>
      <c r="D657" s="1428" t="s">
        <v>889</v>
      </c>
      <c r="E657" s="1429">
        <v>643</v>
      </c>
      <c r="F657" s="2197" t="s">
        <v>16848</v>
      </c>
      <c r="G657" s="2198" t="s">
        <v>3163</v>
      </c>
      <c r="H657" s="2197" t="s">
        <v>16490</v>
      </c>
      <c r="I657" s="2199" t="s">
        <v>1037</v>
      </c>
      <c r="J657" s="2196">
        <v>14</v>
      </c>
    </row>
    <row r="658" spans="2:10" ht="13.5" thickBot="1" x14ac:dyDescent="0.25">
      <c r="B658" s="392" t="str">
        <f t="shared" si="20"/>
        <v>Open - POUFFET Aymeric</v>
      </c>
      <c r="C658" s="1441" t="str">
        <f t="shared" si="21"/>
        <v>POUFFET Aymeric</v>
      </c>
      <c r="D658" s="1428" t="s">
        <v>889</v>
      </c>
      <c r="E658" s="1429">
        <v>643</v>
      </c>
      <c r="F658" s="2197" t="s">
        <v>14910</v>
      </c>
      <c r="G658" s="2198" t="s">
        <v>14560</v>
      </c>
      <c r="H658" s="2197" t="s">
        <v>13838</v>
      </c>
      <c r="I658" s="2199" t="s">
        <v>1019</v>
      </c>
      <c r="J658" s="2196">
        <v>14</v>
      </c>
    </row>
    <row r="659" spans="2:10" ht="13.5" thickBot="1" x14ac:dyDescent="0.25">
      <c r="B659" s="392" t="str">
        <f t="shared" si="20"/>
        <v>Open - AGGELOU Dimitris</v>
      </c>
      <c r="C659" s="1441" t="str">
        <f t="shared" si="21"/>
        <v>AGGELOU Dimitris</v>
      </c>
      <c r="D659" s="1428" t="s">
        <v>889</v>
      </c>
      <c r="E659" s="1429">
        <v>643</v>
      </c>
      <c r="F659" s="2197" t="s">
        <v>11183</v>
      </c>
      <c r="G659" s="2198" t="s">
        <v>3099</v>
      </c>
      <c r="H659" s="2197" t="s">
        <v>2760</v>
      </c>
      <c r="I659" s="2199" t="s">
        <v>1025</v>
      </c>
      <c r="J659" s="2196">
        <v>14</v>
      </c>
    </row>
    <row r="660" spans="2:10" ht="13.5" thickBot="1" x14ac:dyDescent="0.25">
      <c r="B660" s="392" t="str">
        <f t="shared" si="20"/>
        <v>Open - GAIA Lorenzo</v>
      </c>
      <c r="C660" s="1441" t="str">
        <f t="shared" si="21"/>
        <v>GAIA Lorenzo</v>
      </c>
      <c r="D660" s="1428" t="s">
        <v>889</v>
      </c>
      <c r="E660" s="1429">
        <v>643</v>
      </c>
      <c r="F660" s="2197" t="s">
        <v>14175</v>
      </c>
      <c r="G660" s="2198" t="s">
        <v>3155</v>
      </c>
      <c r="H660" s="2197" t="s">
        <v>16843</v>
      </c>
      <c r="I660" s="2199" t="s">
        <v>1037</v>
      </c>
      <c r="J660" s="2196">
        <v>14</v>
      </c>
    </row>
    <row r="661" spans="2:10" ht="13.5" thickBot="1" x14ac:dyDescent="0.25">
      <c r="B661" s="392" t="str">
        <f t="shared" si="20"/>
        <v>Open - SILVA Jorge</v>
      </c>
      <c r="C661" s="1441" t="str">
        <f t="shared" si="21"/>
        <v>SILVA Jorge</v>
      </c>
      <c r="D661" s="1428" t="s">
        <v>889</v>
      </c>
      <c r="E661" s="1429">
        <v>643</v>
      </c>
      <c r="F661" s="2197" t="s">
        <v>14208</v>
      </c>
      <c r="G661" s="2198" t="s">
        <v>7312</v>
      </c>
      <c r="H661" s="2197" t="s">
        <v>15138</v>
      </c>
      <c r="I661" s="2199" t="s">
        <v>1061</v>
      </c>
      <c r="J661" s="2196">
        <v>14</v>
      </c>
    </row>
    <row r="662" spans="2:10" ht="13.5" thickBot="1" x14ac:dyDescent="0.25">
      <c r="B662" s="392" t="str">
        <f t="shared" si="20"/>
        <v>Open - ROSSITTO Marco</v>
      </c>
      <c r="C662" s="1441" t="str">
        <f t="shared" si="21"/>
        <v>ROSSITTO Marco</v>
      </c>
      <c r="D662" s="1428" t="s">
        <v>889</v>
      </c>
      <c r="E662" s="1429">
        <v>643</v>
      </c>
      <c r="F662" s="2197" t="s">
        <v>13495</v>
      </c>
      <c r="G662" s="2198" t="s">
        <v>3109</v>
      </c>
      <c r="H662" s="2197" t="s">
        <v>10274</v>
      </c>
      <c r="I662" s="2199" t="s">
        <v>1037</v>
      </c>
      <c r="J662" s="2196">
        <v>14</v>
      </c>
    </row>
    <row r="663" spans="2:10" ht="13.5" thickBot="1" x14ac:dyDescent="0.25">
      <c r="B663" s="392" t="str">
        <f t="shared" si="20"/>
        <v>Open - EVELEIGH Beth</v>
      </c>
      <c r="C663" s="1441" t="str">
        <f t="shared" si="21"/>
        <v>EVELEIGH Beth</v>
      </c>
      <c r="D663" s="1428" t="s">
        <v>889</v>
      </c>
      <c r="E663" s="1429">
        <v>643</v>
      </c>
      <c r="F663" s="2197" t="s">
        <v>8727</v>
      </c>
      <c r="G663" s="2198" t="s">
        <v>8225</v>
      </c>
      <c r="H663" s="2197" t="s">
        <v>9597</v>
      </c>
      <c r="I663" s="2199" t="s">
        <v>986</v>
      </c>
      <c r="J663" s="2196">
        <v>14</v>
      </c>
    </row>
    <row r="664" spans="2:10" ht="13.5" thickBot="1" x14ac:dyDescent="0.25">
      <c r="B664" s="392" t="str">
        <f t="shared" si="20"/>
        <v>Open - DI GENNARO Angelo</v>
      </c>
      <c r="C664" s="1441" t="str">
        <f t="shared" si="21"/>
        <v>DI GENNARO Angelo</v>
      </c>
      <c r="D664" s="1428" t="s">
        <v>889</v>
      </c>
      <c r="E664" s="1429">
        <v>643</v>
      </c>
      <c r="F664" s="2197" t="s">
        <v>16600</v>
      </c>
      <c r="G664" s="2198" t="s">
        <v>3367</v>
      </c>
      <c r="H664" s="2197" t="s">
        <v>7873</v>
      </c>
      <c r="I664" s="2199" t="s">
        <v>1037</v>
      </c>
      <c r="J664" s="2196">
        <v>14</v>
      </c>
    </row>
    <row r="665" spans="2:10" ht="13.5" thickBot="1" x14ac:dyDescent="0.25">
      <c r="B665" s="392" t="str">
        <f t="shared" si="20"/>
        <v>Open - TESTA Enrico</v>
      </c>
      <c r="C665" s="1441" t="str">
        <f t="shared" si="21"/>
        <v>TESTA Enrico</v>
      </c>
      <c r="D665" s="1428" t="s">
        <v>889</v>
      </c>
      <c r="E665" s="1429">
        <v>643</v>
      </c>
      <c r="F665" s="2197" t="s">
        <v>16711</v>
      </c>
      <c r="G665" s="2198" t="s">
        <v>3132</v>
      </c>
      <c r="H665" s="2197" t="s">
        <v>7872</v>
      </c>
      <c r="I665" s="2199" t="s">
        <v>1037</v>
      </c>
      <c r="J665" s="2196">
        <v>14</v>
      </c>
    </row>
    <row r="666" spans="2:10" ht="13.5" thickBot="1" x14ac:dyDescent="0.25">
      <c r="B666" s="392" t="str">
        <f t="shared" si="20"/>
        <v>Open - SHERIDAN Patrick</v>
      </c>
      <c r="C666" s="1441" t="str">
        <f t="shared" si="21"/>
        <v>SHERIDAN Patrick</v>
      </c>
      <c r="D666" s="1428" t="s">
        <v>889</v>
      </c>
      <c r="E666" s="1429">
        <v>660</v>
      </c>
      <c r="F666" s="2197" t="s">
        <v>11478</v>
      </c>
      <c r="G666" s="2198" t="s">
        <v>3271</v>
      </c>
      <c r="H666" s="2197" t="s">
        <v>17015</v>
      </c>
      <c r="I666" s="2199" t="s">
        <v>1079</v>
      </c>
      <c r="J666" s="2196">
        <v>13.5</v>
      </c>
    </row>
    <row r="667" spans="2:10" ht="13.5" thickBot="1" x14ac:dyDescent="0.25">
      <c r="B667" s="392" t="str">
        <f t="shared" si="20"/>
        <v>Open - DEINHART Gregg</v>
      </c>
      <c r="C667" s="1441" t="str">
        <f t="shared" si="21"/>
        <v>DEINHART Gregg</v>
      </c>
      <c r="D667" s="1428" t="s">
        <v>889</v>
      </c>
      <c r="E667" s="1429">
        <v>660</v>
      </c>
      <c r="F667" s="2197" t="s">
        <v>16570</v>
      </c>
      <c r="G667" s="2198" t="s">
        <v>7047</v>
      </c>
      <c r="H667" s="2197" t="s">
        <v>2906</v>
      </c>
      <c r="I667" s="2199" t="s">
        <v>1079</v>
      </c>
      <c r="J667" s="2196">
        <v>13.5</v>
      </c>
    </row>
    <row r="668" spans="2:10" ht="13.5" thickBot="1" x14ac:dyDescent="0.25">
      <c r="B668" s="392" t="str">
        <f t="shared" si="20"/>
        <v>Open - KORDANTONOPOULOS Ioannis</v>
      </c>
      <c r="C668" s="1441" t="str">
        <f t="shared" si="21"/>
        <v>KORDANTONOPOULOS Ioannis</v>
      </c>
      <c r="D668" s="1428" t="s">
        <v>889</v>
      </c>
      <c r="E668" s="1429">
        <v>660</v>
      </c>
      <c r="F668" s="2197" t="s">
        <v>3343</v>
      </c>
      <c r="G668" s="2198" t="s">
        <v>3350</v>
      </c>
      <c r="H668" s="2197" t="s">
        <v>9449</v>
      </c>
      <c r="I668" s="2199" t="s">
        <v>1025</v>
      </c>
      <c r="J668" s="2196">
        <v>13.5</v>
      </c>
    </row>
    <row r="669" spans="2:10" ht="13.5" thickBot="1" x14ac:dyDescent="0.25">
      <c r="B669" s="392" t="str">
        <f t="shared" si="20"/>
        <v>Open - FERRUCCI Michele</v>
      </c>
      <c r="C669" s="1441" t="str">
        <f t="shared" si="21"/>
        <v>FERRUCCI Michele</v>
      </c>
      <c r="D669" s="1428" t="s">
        <v>889</v>
      </c>
      <c r="E669" s="1429">
        <v>660</v>
      </c>
      <c r="F669" s="2197" t="s">
        <v>14258</v>
      </c>
      <c r="G669" s="2198" t="s">
        <v>3216</v>
      </c>
      <c r="H669" s="2197" t="s">
        <v>2776</v>
      </c>
      <c r="I669" s="2199" t="s">
        <v>1037</v>
      </c>
      <c r="J669" s="2196">
        <v>13.5</v>
      </c>
    </row>
    <row r="670" spans="2:10" ht="13.5" thickBot="1" x14ac:dyDescent="0.25">
      <c r="B670" s="392" t="str">
        <f t="shared" si="20"/>
        <v>Open - LYTRAS Ioannis</v>
      </c>
      <c r="C670" s="1441" t="str">
        <f t="shared" si="21"/>
        <v>LYTRAS Ioannis</v>
      </c>
      <c r="D670" s="1428" t="s">
        <v>889</v>
      </c>
      <c r="E670" s="1429">
        <v>660</v>
      </c>
      <c r="F670" s="2197" t="s">
        <v>14919</v>
      </c>
      <c r="G670" s="2198" t="s">
        <v>3350</v>
      </c>
      <c r="H670" s="2197" t="s">
        <v>15175</v>
      </c>
      <c r="I670" s="2199" t="s">
        <v>1025</v>
      </c>
      <c r="J670" s="2196">
        <v>13.5</v>
      </c>
    </row>
    <row r="671" spans="2:10" ht="13.5" thickBot="1" x14ac:dyDescent="0.25">
      <c r="B671" s="392" t="str">
        <f t="shared" si="20"/>
        <v>Open - DOTTO Jonathan</v>
      </c>
      <c r="C671" s="1441" t="str">
        <f t="shared" si="21"/>
        <v>DOTTO Jonathan</v>
      </c>
      <c r="D671" s="1428" t="s">
        <v>889</v>
      </c>
      <c r="E671" s="1429">
        <v>660</v>
      </c>
      <c r="F671" s="2197" t="s">
        <v>3530</v>
      </c>
      <c r="G671" s="2198" t="s">
        <v>3293</v>
      </c>
      <c r="H671" s="2197" t="s">
        <v>9448</v>
      </c>
      <c r="I671" s="2199" t="s">
        <v>1023</v>
      </c>
      <c r="J671" s="2196">
        <v>13.5</v>
      </c>
    </row>
    <row r="672" spans="2:10" ht="13.5" thickBot="1" x14ac:dyDescent="0.25">
      <c r="B672" s="392" t="str">
        <f t="shared" si="20"/>
        <v>Open - FUNARO Emanuele</v>
      </c>
      <c r="C672" s="1441" t="str">
        <f t="shared" si="21"/>
        <v>FUNARO Emanuele</v>
      </c>
      <c r="D672" s="1428" t="s">
        <v>889</v>
      </c>
      <c r="E672" s="1429">
        <v>660</v>
      </c>
      <c r="F672" s="2197" t="s">
        <v>11480</v>
      </c>
      <c r="G672" s="2198" t="s">
        <v>3085</v>
      </c>
      <c r="H672" s="2197" t="s">
        <v>13596</v>
      </c>
      <c r="I672" s="2199" t="s">
        <v>1037</v>
      </c>
      <c r="J672" s="2196">
        <v>13.5</v>
      </c>
    </row>
    <row r="673" spans="2:10" ht="13.5" thickBot="1" x14ac:dyDescent="0.25">
      <c r="B673" s="392" t="str">
        <f t="shared" si="20"/>
        <v>Open - DISMA Davide</v>
      </c>
      <c r="C673" s="1441" t="str">
        <f t="shared" si="21"/>
        <v>DISMA Davide</v>
      </c>
      <c r="D673" s="1428" t="s">
        <v>889</v>
      </c>
      <c r="E673" s="1429">
        <v>660</v>
      </c>
      <c r="F673" s="2197" t="s">
        <v>16636</v>
      </c>
      <c r="G673" s="2198" t="s">
        <v>3329</v>
      </c>
      <c r="H673" s="2197" t="s">
        <v>15290</v>
      </c>
      <c r="I673" s="2199" t="s">
        <v>1037</v>
      </c>
      <c r="J673" s="2196">
        <v>13.5</v>
      </c>
    </row>
    <row r="674" spans="2:10" ht="13.5" thickBot="1" x14ac:dyDescent="0.25">
      <c r="B674" s="392" t="str">
        <f t="shared" si="20"/>
        <v>Open - CORAZZA Stefano</v>
      </c>
      <c r="C674" s="1441" t="str">
        <f t="shared" si="21"/>
        <v>CORAZZA Stefano</v>
      </c>
      <c r="D674" s="1428" t="s">
        <v>889</v>
      </c>
      <c r="E674" s="1429">
        <v>668</v>
      </c>
      <c r="F674" s="2197" t="s">
        <v>16611</v>
      </c>
      <c r="G674" s="2198" t="s">
        <v>3062</v>
      </c>
      <c r="H674" s="2197" t="s">
        <v>13312</v>
      </c>
      <c r="I674" s="2199" t="s">
        <v>1037</v>
      </c>
      <c r="J674" s="2196">
        <v>13</v>
      </c>
    </row>
    <row r="675" spans="2:10" ht="13.5" thickBot="1" x14ac:dyDescent="0.25">
      <c r="B675" s="392" t="str">
        <f t="shared" si="20"/>
        <v>Open - FONTES Alexandre</v>
      </c>
      <c r="C675" s="1441" t="str">
        <f t="shared" si="21"/>
        <v>FONTES Alexandre</v>
      </c>
      <c r="D675" s="1428" t="s">
        <v>889</v>
      </c>
      <c r="E675" s="1429">
        <v>668</v>
      </c>
      <c r="F675" s="2197" t="s">
        <v>16613</v>
      </c>
      <c r="G675" s="2198" t="s">
        <v>3184</v>
      </c>
      <c r="H675" s="2197" t="s">
        <v>16515</v>
      </c>
      <c r="I675" s="2199" t="s">
        <v>1061</v>
      </c>
      <c r="J675" s="2196">
        <v>13</v>
      </c>
    </row>
    <row r="676" spans="2:10" ht="13.5" thickBot="1" x14ac:dyDescent="0.25">
      <c r="B676" s="392" t="str">
        <f t="shared" si="20"/>
        <v>Open - BIANCHI Pierluigi</v>
      </c>
      <c r="C676" s="1441" t="str">
        <f t="shared" si="21"/>
        <v>BIANCHI Pierluigi</v>
      </c>
      <c r="D676" s="1428" t="s">
        <v>889</v>
      </c>
      <c r="E676" s="1429">
        <v>668</v>
      </c>
      <c r="F676" s="2197" t="s">
        <v>14281</v>
      </c>
      <c r="G676" s="2198" t="s">
        <v>3549</v>
      </c>
      <c r="H676" s="2197" t="s">
        <v>13312</v>
      </c>
      <c r="I676" s="2199" t="s">
        <v>1037</v>
      </c>
      <c r="J676" s="2196">
        <v>13</v>
      </c>
    </row>
    <row r="677" spans="2:10" ht="13.5" thickBot="1" x14ac:dyDescent="0.25">
      <c r="B677" s="392" t="str">
        <f t="shared" si="20"/>
        <v>Open - GKIOTLIS Nikolaos</v>
      </c>
      <c r="C677" s="1441" t="str">
        <f t="shared" si="21"/>
        <v>GKIOTLIS Nikolaos</v>
      </c>
      <c r="D677" s="1428" t="s">
        <v>889</v>
      </c>
      <c r="E677" s="1429">
        <v>668</v>
      </c>
      <c r="F677" s="2197" t="s">
        <v>8728</v>
      </c>
      <c r="G677" s="2198" t="s">
        <v>5554</v>
      </c>
      <c r="H677" s="2197" t="s">
        <v>10265</v>
      </c>
      <c r="I677" s="2199" t="s">
        <v>1025</v>
      </c>
      <c r="J677" s="2196">
        <v>13</v>
      </c>
    </row>
    <row r="678" spans="2:10" ht="13.5" thickBot="1" x14ac:dyDescent="0.25">
      <c r="B678" s="392" t="str">
        <f t="shared" si="20"/>
        <v>Open - MERKOURIS Maria Felice</v>
      </c>
      <c r="C678" s="1441" t="str">
        <f t="shared" si="21"/>
        <v>MERKOURIS Maria Felice</v>
      </c>
      <c r="D678" s="1428" t="s">
        <v>889</v>
      </c>
      <c r="E678" s="1429">
        <v>668</v>
      </c>
      <c r="F678" s="2197" t="s">
        <v>14302</v>
      </c>
      <c r="G678" s="2198" t="s">
        <v>9657</v>
      </c>
      <c r="H678" s="2197" t="s">
        <v>9700</v>
      </c>
      <c r="I678" s="2199" t="s">
        <v>1037</v>
      </c>
      <c r="J678" s="2196">
        <v>13</v>
      </c>
    </row>
    <row r="679" spans="2:10" ht="13.5" thickBot="1" x14ac:dyDescent="0.25">
      <c r="B679" s="392" t="str">
        <f t="shared" si="20"/>
        <v>Open - TRICHOT Jean-Jacques</v>
      </c>
      <c r="C679" s="1441" t="str">
        <f t="shared" si="21"/>
        <v>TRICHOT Jean-Jacques</v>
      </c>
      <c r="D679" s="1428" t="s">
        <v>889</v>
      </c>
      <c r="E679" s="1429">
        <v>668</v>
      </c>
      <c r="F679" s="2197" t="s">
        <v>14984</v>
      </c>
      <c r="G679" s="2198" t="s">
        <v>14577</v>
      </c>
      <c r="H679" s="2197" t="s">
        <v>15842</v>
      </c>
      <c r="I679" s="2199" t="s">
        <v>1019</v>
      </c>
      <c r="J679" s="2196">
        <v>13</v>
      </c>
    </row>
    <row r="680" spans="2:10" ht="13.5" thickBot="1" x14ac:dyDescent="0.25">
      <c r="B680" s="392" t="str">
        <f t="shared" si="20"/>
        <v>Open - LEDIEU Johnny</v>
      </c>
      <c r="C680" s="1441" t="str">
        <f t="shared" si="21"/>
        <v>LEDIEU Johnny</v>
      </c>
      <c r="D680" s="1428" t="s">
        <v>889</v>
      </c>
      <c r="E680" s="1429">
        <v>668</v>
      </c>
      <c r="F680" s="2197" t="s">
        <v>16744</v>
      </c>
      <c r="G680" s="2198" t="s">
        <v>6878</v>
      </c>
      <c r="H680" s="2197" t="s">
        <v>15183</v>
      </c>
      <c r="I680" s="2199" t="s">
        <v>1019</v>
      </c>
      <c r="J680" s="2196">
        <v>13</v>
      </c>
    </row>
    <row r="681" spans="2:10" ht="13.5" thickBot="1" x14ac:dyDescent="0.25">
      <c r="B681" s="392" t="str">
        <f t="shared" si="20"/>
        <v>Open - BAXTER David</v>
      </c>
      <c r="C681" s="1441" t="str">
        <f t="shared" si="21"/>
        <v>BAXTER David</v>
      </c>
      <c r="D681" s="1428" t="s">
        <v>889</v>
      </c>
      <c r="E681" s="1429">
        <v>668</v>
      </c>
      <c r="F681" s="2197" t="s">
        <v>3456</v>
      </c>
      <c r="G681" s="2198" t="s">
        <v>3072</v>
      </c>
      <c r="H681" s="2197" t="s">
        <v>14787</v>
      </c>
      <c r="I681" s="2199" t="s">
        <v>1069</v>
      </c>
      <c r="J681" s="2196">
        <v>13</v>
      </c>
    </row>
    <row r="682" spans="2:10" ht="13.5" thickBot="1" x14ac:dyDescent="0.25">
      <c r="B682" s="392" t="str">
        <f t="shared" si="20"/>
        <v>Open - CONVERTI Luca</v>
      </c>
      <c r="C682" s="1441" t="str">
        <f t="shared" si="21"/>
        <v>CONVERTI Luca</v>
      </c>
      <c r="D682" s="1428" t="s">
        <v>889</v>
      </c>
      <c r="E682" s="1429">
        <v>668</v>
      </c>
      <c r="F682" s="2197" t="s">
        <v>11502</v>
      </c>
      <c r="G682" s="2198" t="s">
        <v>3198</v>
      </c>
      <c r="H682" s="2197" t="s">
        <v>2787</v>
      </c>
      <c r="I682" s="2199" t="s">
        <v>1037</v>
      </c>
      <c r="J682" s="2196">
        <v>13</v>
      </c>
    </row>
    <row r="683" spans="2:10" ht="13.5" thickBot="1" x14ac:dyDescent="0.25">
      <c r="B683" s="392" t="str">
        <f t="shared" si="20"/>
        <v>Open - GERONÈS Jordi</v>
      </c>
      <c r="C683" s="1441" t="str">
        <f t="shared" si="21"/>
        <v>GERONÈS Jordi</v>
      </c>
      <c r="D683" s="1428" t="s">
        <v>889</v>
      </c>
      <c r="E683" s="1429">
        <v>668</v>
      </c>
      <c r="F683" s="2197" t="s">
        <v>17614</v>
      </c>
      <c r="G683" s="2198" t="s">
        <v>17544</v>
      </c>
      <c r="H683" s="2197" t="s">
        <v>2783</v>
      </c>
      <c r="I683" s="2199" t="s">
        <v>1015</v>
      </c>
      <c r="J683" s="2196">
        <v>13</v>
      </c>
    </row>
    <row r="684" spans="2:10" ht="13.5" thickBot="1" x14ac:dyDescent="0.25">
      <c r="B684" s="392" t="str">
        <f t="shared" si="20"/>
        <v>Open - CAPELLACCI Luca</v>
      </c>
      <c r="C684" s="1441" t="str">
        <f t="shared" si="21"/>
        <v>CAPELLACCI Luca</v>
      </c>
      <c r="D684" s="1428" t="s">
        <v>889</v>
      </c>
      <c r="E684" s="1429">
        <v>668</v>
      </c>
      <c r="F684" s="2197" t="s">
        <v>14172</v>
      </c>
      <c r="G684" s="2198" t="s">
        <v>3198</v>
      </c>
      <c r="H684" s="2197" t="s">
        <v>2749</v>
      </c>
      <c r="I684" s="2199" t="s">
        <v>1037</v>
      </c>
      <c r="J684" s="2196">
        <v>13</v>
      </c>
    </row>
    <row r="685" spans="2:10" ht="13.5" thickBot="1" x14ac:dyDescent="0.25">
      <c r="B685" s="392" t="str">
        <f t="shared" si="20"/>
        <v>Open - CEULEMANS Jos</v>
      </c>
      <c r="C685" s="1441" t="str">
        <f t="shared" si="21"/>
        <v>CEULEMANS Jos</v>
      </c>
      <c r="D685" s="1428" t="s">
        <v>889</v>
      </c>
      <c r="E685" s="1429">
        <v>668</v>
      </c>
      <c r="F685" s="2197" t="s">
        <v>17613</v>
      </c>
      <c r="G685" s="2198" t="s">
        <v>17489</v>
      </c>
      <c r="H685" s="2197" t="s">
        <v>2772</v>
      </c>
      <c r="I685" s="2199" t="s">
        <v>990</v>
      </c>
      <c r="J685" s="2196">
        <v>13</v>
      </c>
    </row>
    <row r="686" spans="2:10" ht="13.5" thickBot="1" x14ac:dyDescent="0.25">
      <c r="B686" s="392" t="str">
        <f t="shared" si="20"/>
        <v>Open - LILLY Mason</v>
      </c>
      <c r="C686" s="1441" t="str">
        <f t="shared" si="21"/>
        <v>LILLY Mason</v>
      </c>
      <c r="D686" s="1428" t="s">
        <v>889</v>
      </c>
      <c r="E686" s="1429">
        <v>668</v>
      </c>
      <c r="F686" s="2197" t="s">
        <v>16707</v>
      </c>
      <c r="G686" s="2198" t="s">
        <v>14098</v>
      </c>
      <c r="H686" s="2197" t="s">
        <v>2905</v>
      </c>
      <c r="I686" s="2199" t="s">
        <v>1079</v>
      </c>
      <c r="J686" s="2196">
        <v>13</v>
      </c>
    </row>
    <row r="687" spans="2:10" ht="13.5" thickBot="1" x14ac:dyDescent="0.25">
      <c r="B687" s="392" t="str">
        <f t="shared" si="20"/>
        <v>Open - SIRMAI Geoff</v>
      </c>
      <c r="C687" s="1441" t="str">
        <f t="shared" si="21"/>
        <v>SIRMAI Geoff</v>
      </c>
      <c r="D687" s="1428" t="s">
        <v>889</v>
      </c>
      <c r="E687" s="1429">
        <v>668</v>
      </c>
      <c r="F687" s="2197" t="s">
        <v>14220</v>
      </c>
      <c r="G687" s="2198" t="s">
        <v>13628</v>
      </c>
      <c r="H687" s="2197" t="s">
        <v>13513</v>
      </c>
      <c r="I687" s="2199" t="s">
        <v>986</v>
      </c>
      <c r="J687" s="2196">
        <v>13</v>
      </c>
    </row>
    <row r="688" spans="2:10" ht="13.5" thickBot="1" x14ac:dyDescent="0.25">
      <c r="B688" s="392" t="str">
        <f t="shared" si="20"/>
        <v>Open - TRAINER Nick</v>
      </c>
      <c r="C688" s="1441" t="str">
        <f t="shared" si="21"/>
        <v>TRAINER Nick</v>
      </c>
      <c r="D688" s="1428" t="s">
        <v>889</v>
      </c>
      <c r="E688" s="1429">
        <v>682</v>
      </c>
      <c r="F688" s="2197" t="s">
        <v>11475</v>
      </c>
      <c r="G688" s="2198" t="s">
        <v>5540</v>
      </c>
      <c r="H688" s="2197" t="s">
        <v>9451</v>
      </c>
      <c r="I688" s="2199" t="s">
        <v>1079</v>
      </c>
      <c r="J688" s="2196">
        <v>12.5</v>
      </c>
    </row>
    <row r="689" spans="2:10" ht="13.5" thickBot="1" x14ac:dyDescent="0.25">
      <c r="B689" s="392" t="str">
        <f t="shared" si="20"/>
        <v>Open - FORNARO Enzo</v>
      </c>
      <c r="C689" s="1441" t="str">
        <f t="shared" si="21"/>
        <v>FORNARO Enzo</v>
      </c>
      <c r="D689" s="1428" t="s">
        <v>889</v>
      </c>
      <c r="E689" s="1429">
        <v>682</v>
      </c>
      <c r="F689" s="2197" t="s">
        <v>18095</v>
      </c>
      <c r="G689" s="2198" t="s">
        <v>3287</v>
      </c>
      <c r="H689" s="2197" t="s">
        <v>8716</v>
      </c>
      <c r="I689" s="2199" t="s">
        <v>7916</v>
      </c>
      <c r="J689" s="2196">
        <v>12.5</v>
      </c>
    </row>
    <row r="690" spans="2:10" ht="13.5" thickBot="1" x14ac:dyDescent="0.25">
      <c r="B690" s="392" t="str">
        <f t="shared" si="20"/>
        <v>Open - DE GENNARO Pietro</v>
      </c>
      <c r="C690" s="1441" t="str">
        <f t="shared" si="21"/>
        <v>DE GENNARO Pietro</v>
      </c>
      <c r="D690" s="1428" t="s">
        <v>889</v>
      </c>
      <c r="E690" s="1429">
        <v>684</v>
      </c>
      <c r="F690" s="2197" t="s">
        <v>16632</v>
      </c>
      <c r="G690" s="2198" t="s">
        <v>3233</v>
      </c>
      <c r="H690" s="2197" t="s">
        <v>15245</v>
      </c>
      <c r="I690" s="2199" t="s">
        <v>1037</v>
      </c>
      <c r="J690" s="2196">
        <v>12</v>
      </c>
    </row>
    <row r="691" spans="2:10" ht="13.5" thickBot="1" x14ac:dyDescent="0.25">
      <c r="B691" s="392" t="str">
        <f t="shared" si="20"/>
        <v>Open - FARZA Skander</v>
      </c>
      <c r="C691" s="1441" t="str">
        <f t="shared" si="21"/>
        <v>FARZA Skander</v>
      </c>
      <c r="D691" s="1428" t="s">
        <v>889</v>
      </c>
      <c r="E691" s="1429">
        <v>684</v>
      </c>
      <c r="F691" s="2197" t="s">
        <v>11437</v>
      </c>
      <c r="G691" s="2198" t="s">
        <v>5553</v>
      </c>
      <c r="H691" s="2197" t="s">
        <v>2796</v>
      </c>
      <c r="I691" s="2199" t="s">
        <v>1076</v>
      </c>
      <c r="J691" s="2196">
        <v>12</v>
      </c>
    </row>
    <row r="692" spans="2:10" ht="13.5" thickBot="1" x14ac:dyDescent="0.25">
      <c r="B692" s="392" t="str">
        <f t="shared" si="20"/>
        <v>Open - ZANGYLOS Giorgos</v>
      </c>
      <c r="C692" s="1441" t="str">
        <f t="shared" si="21"/>
        <v>ZANGYLOS Giorgos</v>
      </c>
      <c r="D692" s="1428" t="s">
        <v>889</v>
      </c>
      <c r="E692" s="1429">
        <v>684</v>
      </c>
      <c r="F692" s="2197" t="s">
        <v>17448</v>
      </c>
      <c r="G692" s="2198" t="s">
        <v>3040</v>
      </c>
      <c r="H692" s="2197" t="s">
        <v>2798</v>
      </c>
      <c r="I692" s="2199" t="s">
        <v>1005</v>
      </c>
      <c r="J692" s="2196">
        <v>12</v>
      </c>
    </row>
    <row r="693" spans="2:10" ht="13.5" thickBot="1" x14ac:dyDescent="0.25">
      <c r="B693" s="392" t="str">
        <f t="shared" si="20"/>
        <v>Open - DI PIETRANTONIO Silvestro</v>
      </c>
      <c r="C693" s="1441" t="str">
        <f t="shared" si="21"/>
        <v>DI PIETRANTONIO Silvestro</v>
      </c>
      <c r="D693" s="1428" t="s">
        <v>889</v>
      </c>
      <c r="E693" s="1429">
        <v>684</v>
      </c>
      <c r="F693" s="2197" t="s">
        <v>16543</v>
      </c>
      <c r="G693" s="2198" t="s">
        <v>15478</v>
      </c>
      <c r="H693" s="2197" t="s">
        <v>2759</v>
      </c>
      <c r="I693" s="2199" t="s">
        <v>1037</v>
      </c>
      <c r="J693" s="2196">
        <v>12</v>
      </c>
    </row>
    <row r="694" spans="2:10" ht="13.5" thickBot="1" x14ac:dyDescent="0.25">
      <c r="B694" s="392" t="str">
        <f t="shared" si="20"/>
        <v>Open - CUCIT Andrea</v>
      </c>
      <c r="C694" s="1441" t="str">
        <f t="shared" si="21"/>
        <v>CUCIT Andrea</v>
      </c>
      <c r="D694" s="1428" t="s">
        <v>889</v>
      </c>
      <c r="E694" s="1429">
        <v>684</v>
      </c>
      <c r="F694" s="2197" t="s">
        <v>18096</v>
      </c>
      <c r="G694" s="2198" t="s">
        <v>3027</v>
      </c>
      <c r="H694" s="2197" t="s">
        <v>2773</v>
      </c>
      <c r="I694" s="2199" t="s">
        <v>1037</v>
      </c>
      <c r="J694" s="2196">
        <v>12</v>
      </c>
    </row>
    <row r="695" spans="2:10" ht="13.5" thickBot="1" x14ac:dyDescent="0.25">
      <c r="B695" s="392" t="str">
        <f t="shared" si="20"/>
        <v>Open - LENA Gianmaria</v>
      </c>
      <c r="C695" s="1441" t="str">
        <f t="shared" si="21"/>
        <v>LENA Gianmaria</v>
      </c>
      <c r="D695" s="1428" t="s">
        <v>889</v>
      </c>
      <c r="E695" s="1429">
        <v>684</v>
      </c>
      <c r="F695" s="2197" t="s">
        <v>16625</v>
      </c>
      <c r="G695" s="2198" t="s">
        <v>11079</v>
      </c>
      <c r="H695" s="2197" t="s">
        <v>16490</v>
      </c>
      <c r="I695" s="2199" t="s">
        <v>1037</v>
      </c>
      <c r="J695" s="2196">
        <v>12</v>
      </c>
    </row>
    <row r="696" spans="2:10" ht="13.5" thickBot="1" x14ac:dyDescent="0.25">
      <c r="B696" s="392" t="str">
        <f t="shared" si="20"/>
        <v>Open - GUARINO Michele</v>
      </c>
      <c r="C696" s="1441" t="str">
        <f t="shared" si="21"/>
        <v>GUARINO Michele</v>
      </c>
      <c r="D696" s="1428" t="s">
        <v>889</v>
      </c>
      <c r="E696" s="1429">
        <v>684</v>
      </c>
      <c r="F696" s="2197" t="s">
        <v>14943</v>
      </c>
      <c r="G696" s="2198" t="s">
        <v>3216</v>
      </c>
      <c r="H696" s="2197" t="s">
        <v>9700</v>
      </c>
      <c r="I696" s="2199" t="s">
        <v>1037</v>
      </c>
      <c r="J696" s="2196">
        <v>12</v>
      </c>
    </row>
    <row r="697" spans="2:10" ht="13.5" thickBot="1" x14ac:dyDescent="0.25">
      <c r="B697" s="392" t="str">
        <f t="shared" si="20"/>
        <v>Open - LECERF Sébastien</v>
      </c>
      <c r="C697" s="1441" t="str">
        <f t="shared" si="21"/>
        <v>LECERF Sébastien</v>
      </c>
      <c r="D697" s="1428" t="s">
        <v>889</v>
      </c>
      <c r="E697" s="1429">
        <v>684</v>
      </c>
      <c r="F697" s="2197" t="s">
        <v>18097</v>
      </c>
      <c r="G697" s="2198" t="s">
        <v>3043</v>
      </c>
      <c r="H697" s="2197" t="s">
        <v>15799</v>
      </c>
      <c r="I697" s="2199" t="s">
        <v>1019</v>
      </c>
      <c r="J697" s="2196">
        <v>12</v>
      </c>
    </row>
    <row r="698" spans="2:10" ht="13.5" thickBot="1" x14ac:dyDescent="0.25">
      <c r="B698" s="392" t="str">
        <f t="shared" si="20"/>
        <v>Open - KOSMAS Petros</v>
      </c>
      <c r="C698" s="1441" t="str">
        <f t="shared" si="21"/>
        <v>KOSMAS Petros</v>
      </c>
      <c r="D698" s="1428" t="s">
        <v>889</v>
      </c>
      <c r="E698" s="1429">
        <v>684</v>
      </c>
      <c r="F698" s="2197" t="s">
        <v>17447</v>
      </c>
      <c r="G698" s="2198" t="s">
        <v>5635</v>
      </c>
      <c r="H698" s="2197" t="s">
        <v>14359</v>
      </c>
      <c r="I698" s="2199" t="s">
        <v>1025</v>
      </c>
      <c r="J698" s="2196">
        <v>12</v>
      </c>
    </row>
    <row r="699" spans="2:10" ht="13.5" thickBot="1" x14ac:dyDescent="0.25">
      <c r="B699" s="392" t="str">
        <f t="shared" si="20"/>
        <v>Open - COLOSSI Francesco</v>
      </c>
      <c r="C699" s="1441" t="str">
        <f t="shared" si="21"/>
        <v>COLOSSI Francesco</v>
      </c>
      <c r="D699" s="1428" t="s">
        <v>889</v>
      </c>
      <c r="E699" s="1429">
        <v>684</v>
      </c>
      <c r="F699" s="2197" t="s">
        <v>14980</v>
      </c>
      <c r="G699" s="2198" t="s">
        <v>3277</v>
      </c>
      <c r="H699" s="2197" t="s">
        <v>10274</v>
      </c>
      <c r="I699" s="2199" t="s">
        <v>1037</v>
      </c>
      <c r="J699" s="2196">
        <v>12</v>
      </c>
    </row>
    <row r="700" spans="2:10" ht="13.5" thickBot="1" x14ac:dyDescent="0.25">
      <c r="B700" s="392" t="str">
        <f t="shared" si="20"/>
        <v>Open - VOURAKIS Andreas</v>
      </c>
      <c r="C700" s="1441" t="str">
        <f t="shared" si="21"/>
        <v>VOURAKIS Andreas</v>
      </c>
      <c r="D700" s="1428" t="s">
        <v>889</v>
      </c>
      <c r="E700" s="1429">
        <v>684</v>
      </c>
      <c r="F700" s="2197" t="s">
        <v>16623</v>
      </c>
      <c r="G700" s="2198" t="s">
        <v>3351</v>
      </c>
      <c r="H700" s="2197" t="s">
        <v>10251</v>
      </c>
      <c r="I700" s="2199" t="s">
        <v>1025</v>
      </c>
      <c r="J700" s="2196">
        <v>12</v>
      </c>
    </row>
    <row r="701" spans="2:10" ht="13.5" thickBot="1" x14ac:dyDescent="0.25">
      <c r="B701" s="392" t="str">
        <f t="shared" si="20"/>
        <v>Open - MAIRELES REYES Jesús</v>
      </c>
      <c r="C701" s="1441" t="str">
        <f t="shared" si="21"/>
        <v>MAIRELES REYES Jesús</v>
      </c>
      <c r="D701" s="1428" t="s">
        <v>889</v>
      </c>
      <c r="E701" s="1429">
        <v>684</v>
      </c>
      <c r="F701" s="2197" t="s">
        <v>16603</v>
      </c>
      <c r="G701" s="2198" t="s">
        <v>3575</v>
      </c>
      <c r="H701" s="2197" t="s">
        <v>7304</v>
      </c>
      <c r="I701" s="2199" t="s">
        <v>1015</v>
      </c>
      <c r="J701" s="2196">
        <v>12</v>
      </c>
    </row>
    <row r="702" spans="2:10" ht="13.5" thickBot="1" x14ac:dyDescent="0.25">
      <c r="B702" s="392" t="str">
        <f t="shared" si="20"/>
        <v>Open - DEL GENOVESE Marco</v>
      </c>
      <c r="C702" s="1441" t="str">
        <f t="shared" si="21"/>
        <v>DEL GENOVESE Marco</v>
      </c>
      <c r="D702" s="1428" t="s">
        <v>889</v>
      </c>
      <c r="E702" s="1429">
        <v>684</v>
      </c>
      <c r="F702" s="2197" t="s">
        <v>16629</v>
      </c>
      <c r="G702" s="2198" t="s">
        <v>3109</v>
      </c>
      <c r="H702" s="2197" t="s">
        <v>11328</v>
      </c>
      <c r="I702" s="2199" t="s">
        <v>1037</v>
      </c>
      <c r="J702" s="2196">
        <v>12</v>
      </c>
    </row>
    <row r="703" spans="2:10" ht="13.5" thickBot="1" x14ac:dyDescent="0.25">
      <c r="B703" s="392" t="str">
        <f t="shared" si="20"/>
        <v>Open - WONNACOTT Stephen</v>
      </c>
      <c r="C703" s="1441" t="str">
        <f t="shared" si="21"/>
        <v>WONNACOTT Stephen</v>
      </c>
      <c r="D703" s="1428" t="s">
        <v>889</v>
      </c>
      <c r="E703" s="1429">
        <v>684</v>
      </c>
      <c r="F703" s="2197" t="s">
        <v>16640</v>
      </c>
      <c r="G703" s="2198" t="s">
        <v>3280</v>
      </c>
      <c r="H703" s="2197" t="s">
        <v>17082</v>
      </c>
      <c r="I703" s="2199" t="s">
        <v>1013</v>
      </c>
      <c r="J703" s="2196">
        <v>12</v>
      </c>
    </row>
    <row r="704" spans="2:10" ht="13.5" thickBot="1" x14ac:dyDescent="0.25">
      <c r="B704" s="392" t="str">
        <f t="shared" si="20"/>
        <v>Open - CONNOLLY Frankie</v>
      </c>
      <c r="C704" s="1441" t="str">
        <f t="shared" si="21"/>
        <v>CONNOLLY Frankie</v>
      </c>
      <c r="D704" s="1428" t="s">
        <v>889</v>
      </c>
      <c r="E704" s="1429">
        <v>684</v>
      </c>
      <c r="F704" s="2197" t="s">
        <v>8734</v>
      </c>
      <c r="G704" s="2198" t="s">
        <v>13465</v>
      </c>
      <c r="H704" s="2197" t="s">
        <v>9598</v>
      </c>
      <c r="I704" s="2199" t="s">
        <v>1033</v>
      </c>
      <c r="J704" s="2196">
        <v>12</v>
      </c>
    </row>
    <row r="705" spans="2:10" ht="13.5" thickBot="1" x14ac:dyDescent="0.25">
      <c r="B705" s="392" t="str">
        <f t="shared" si="20"/>
        <v>Open - PEGHIN Davide</v>
      </c>
      <c r="C705" s="1441" t="str">
        <f t="shared" si="21"/>
        <v>PEGHIN Davide</v>
      </c>
      <c r="D705" s="1428" t="s">
        <v>889</v>
      </c>
      <c r="E705" s="1429">
        <v>684</v>
      </c>
      <c r="F705" s="2197" t="s">
        <v>16633</v>
      </c>
      <c r="G705" s="2198" t="s">
        <v>3329</v>
      </c>
      <c r="H705" s="2197" t="s">
        <v>13312</v>
      </c>
      <c r="I705" s="2199" t="s">
        <v>1037</v>
      </c>
      <c r="J705" s="2196">
        <v>12</v>
      </c>
    </row>
    <row r="706" spans="2:10" ht="13.5" thickBot="1" x14ac:dyDescent="0.25">
      <c r="B706" s="392" t="str">
        <f t="shared" si="20"/>
        <v>Open - MIOTTI Fulvio</v>
      </c>
      <c r="C706" s="1441" t="str">
        <f t="shared" si="21"/>
        <v>MIOTTI Fulvio</v>
      </c>
      <c r="D706" s="1428" t="s">
        <v>889</v>
      </c>
      <c r="E706" s="1429">
        <v>684</v>
      </c>
      <c r="F706" s="2197" t="s">
        <v>16621</v>
      </c>
      <c r="G706" s="2198" t="s">
        <v>15910</v>
      </c>
      <c r="H706" s="2197" t="s">
        <v>11328</v>
      </c>
      <c r="I706" s="2199" t="s">
        <v>1037</v>
      </c>
      <c r="J706" s="2196">
        <v>12</v>
      </c>
    </row>
    <row r="707" spans="2:10" ht="13.5" thickBot="1" x14ac:dyDescent="0.25">
      <c r="B707" s="392" t="str">
        <f t="shared" si="20"/>
        <v>Open - GEROSA CISNEROS Bruno</v>
      </c>
      <c r="C707" s="1441" t="str">
        <f t="shared" si="21"/>
        <v>GEROSA CISNEROS Bruno</v>
      </c>
      <c r="D707" s="1428" t="s">
        <v>889</v>
      </c>
      <c r="E707" s="1429">
        <v>684</v>
      </c>
      <c r="F707" s="2197" t="s">
        <v>18098</v>
      </c>
      <c r="G707" s="2198" t="s">
        <v>3168</v>
      </c>
      <c r="H707" s="2197" t="s">
        <v>2774</v>
      </c>
      <c r="I707" s="2199" t="s">
        <v>1015</v>
      </c>
      <c r="J707" s="2196">
        <v>12</v>
      </c>
    </row>
    <row r="708" spans="2:10" ht="13.5" thickBot="1" x14ac:dyDescent="0.25">
      <c r="B708" s="392" t="str">
        <f t="shared" si="20"/>
        <v>Open - HEWARD Craig</v>
      </c>
      <c r="C708" s="1441" t="str">
        <f t="shared" si="21"/>
        <v>HEWARD Craig</v>
      </c>
      <c r="D708" s="1428" t="s">
        <v>889</v>
      </c>
      <c r="E708" s="1429">
        <v>684</v>
      </c>
      <c r="F708" s="2197" t="s">
        <v>16659</v>
      </c>
      <c r="G708" s="2198" t="s">
        <v>3188</v>
      </c>
      <c r="H708" s="2197" t="s">
        <v>15274</v>
      </c>
      <c r="I708" s="2199" t="s">
        <v>1013</v>
      </c>
      <c r="J708" s="2196">
        <v>12</v>
      </c>
    </row>
    <row r="709" spans="2:10" ht="13.5" thickBot="1" x14ac:dyDescent="0.25">
      <c r="B709" s="392" t="str">
        <f t="shared" si="20"/>
        <v>Open - GAZZOLDI Giuliano</v>
      </c>
      <c r="C709" s="1441" t="str">
        <f t="shared" si="21"/>
        <v>GAZZOLDI Giuliano</v>
      </c>
      <c r="D709" s="1428" t="s">
        <v>889</v>
      </c>
      <c r="E709" s="1429">
        <v>684</v>
      </c>
      <c r="F709" s="2197" t="s">
        <v>14898</v>
      </c>
      <c r="G709" s="2198" t="s">
        <v>5619</v>
      </c>
      <c r="H709" s="2197" t="s">
        <v>7873</v>
      </c>
      <c r="I709" s="2199" t="s">
        <v>1037</v>
      </c>
      <c r="J709" s="2196">
        <v>12</v>
      </c>
    </row>
    <row r="710" spans="2:10" ht="13.5" thickBot="1" x14ac:dyDescent="0.25">
      <c r="B710" s="392" t="str">
        <f t="shared" si="20"/>
        <v>Open - LAUDER John</v>
      </c>
      <c r="C710" s="1441" t="str">
        <f t="shared" si="21"/>
        <v>LAUDER John</v>
      </c>
      <c r="D710" s="1428" t="s">
        <v>889</v>
      </c>
      <c r="E710" s="1429">
        <v>684</v>
      </c>
      <c r="F710" s="2197" t="s">
        <v>14147</v>
      </c>
      <c r="G710" s="2198" t="s">
        <v>3250</v>
      </c>
      <c r="H710" s="2197" t="s">
        <v>10272</v>
      </c>
      <c r="I710" s="2199" t="s">
        <v>1083</v>
      </c>
      <c r="J710" s="2196">
        <v>12</v>
      </c>
    </row>
    <row r="711" spans="2:10" ht="13.5" thickBot="1" x14ac:dyDescent="0.25">
      <c r="B711" s="392" t="str">
        <f t="shared" ref="B711:B774" si="22">CONCATENATE(D711," - ",C711)</f>
        <v>Open - GABBANI Alessandro</v>
      </c>
      <c r="C711" s="1441" t="str">
        <f t="shared" ref="C711:C774" si="23">CONCATENATE(UPPER(F711)," ",G711)</f>
        <v>GABBANI Alessandro</v>
      </c>
      <c r="D711" s="1428" t="s">
        <v>889</v>
      </c>
      <c r="E711" s="1429">
        <v>684</v>
      </c>
      <c r="F711" s="2197" t="s">
        <v>16635</v>
      </c>
      <c r="G711" s="2198" t="s">
        <v>3125</v>
      </c>
      <c r="H711" s="2197" t="s">
        <v>11328</v>
      </c>
      <c r="I711" s="2199" t="s">
        <v>1037</v>
      </c>
      <c r="J711" s="2196">
        <v>12</v>
      </c>
    </row>
    <row r="712" spans="2:10" ht="13.5" thickBot="1" x14ac:dyDescent="0.25">
      <c r="B712" s="392" t="str">
        <f t="shared" si="22"/>
        <v>Open - CASCIANO Michaël</v>
      </c>
      <c r="C712" s="1441" t="str">
        <f t="shared" si="23"/>
        <v>CASCIANO Michaël</v>
      </c>
      <c r="D712" s="1428" t="s">
        <v>889</v>
      </c>
      <c r="E712" s="1429">
        <v>684</v>
      </c>
      <c r="F712" s="2197" t="s">
        <v>17616</v>
      </c>
      <c r="G712" s="2198" t="s">
        <v>3095</v>
      </c>
      <c r="H712" s="2197" t="s">
        <v>2746</v>
      </c>
      <c r="I712" s="2199" t="s">
        <v>990</v>
      </c>
      <c r="J712" s="2196">
        <v>12</v>
      </c>
    </row>
    <row r="713" spans="2:10" ht="13.5" thickBot="1" x14ac:dyDescent="0.25">
      <c r="B713" s="392" t="str">
        <f t="shared" si="22"/>
        <v>Open - UCHA Francisco</v>
      </c>
      <c r="C713" s="1441" t="str">
        <f t="shared" si="23"/>
        <v>UCHA Francisco</v>
      </c>
      <c r="D713" s="1428" t="s">
        <v>889</v>
      </c>
      <c r="E713" s="1429">
        <v>707</v>
      </c>
      <c r="F713" s="2197" t="s">
        <v>14934</v>
      </c>
      <c r="G713" s="2198" t="s">
        <v>3366</v>
      </c>
      <c r="H713" s="2197" t="s">
        <v>14451</v>
      </c>
      <c r="I713" s="2199" t="s">
        <v>1015</v>
      </c>
      <c r="J713" s="2196">
        <v>11.5</v>
      </c>
    </row>
    <row r="714" spans="2:10" ht="13.5" thickBot="1" x14ac:dyDescent="0.25">
      <c r="B714" s="392" t="str">
        <f t="shared" si="22"/>
        <v>Open - BURFORD Chris</v>
      </c>
      <c r="C714" s="1441" t="str">
        <f t="shared" si="23"/>
        <v>BURFORD Chris</v>
      </c>
      <c r="D714" s="1428" t="s">
        <v>889</v>
      </c>
      <c r="E714" s="1429">
        <v>707</v>
      </c>
      <c r="F714" s="2197" t="s">
        <v>14958</v>
      </c>
      <c r="G714" s="2198" t="s">
        <v>3029</v>
      </c>
      <c r="H714" s="2197" t="s">
        <v>17082</v>
      </c>
      <c r="I714" s="2199" t="s">
        <v>1013</v>
      </c>
      <c r="J714" s="2196">
        <v>11.5</v>
      </c>
    </row>
    <row r="715" spans="2:10" ht="13.5" thickBot="1" x14ac:dyDescent="0.25">
      <c r="B715" s="392" t="str">
        <f t="shared" si="22"/>
        <v>Open - BOULANGER David</v>
      </c>
      <c r="C715" s="1441" t="str">
        <f t="shared" si="23"/>
        <v>BOULANGER David</v>
      </c>
      <c r="D715" s="1428" t="s">
        <v>889</v>
      </c>
      <c r="E715" s="1429">
        <v>707</v>
      </c>
      <c r="F715" s="2197" t="s">
        <v>3348</v>
      </c>
      <c r="G715" s="2198" t="s">
        <v>3072</v>
      </c>
      <c r="H715" s="2197" t="s">
        <v>10252</v>
      </c>
      <c r="I715" s="2199" t="s">
        <v>990</v>
      </c>
      <c r="J715" s="2196">
        <v>11.5</v>
      </c>
    </row>
    <row r="716" spans="2:10" ht="13.5" thickBot="1" x14ac:dyDescent="0.25">
      <c r="B716" s="392" t="str">
        <f t="shared" si="22"/>
        <v>Open - BLÜMEL Christian</v>
      </c>
      <c r="C716" s="1441" t="str">
        <f t="shared" si="23"/>
        <v>BLÜMEL Christian</v>
      </c>
      <c r="D716" s="1428" t="s">
        <v>889</v>
      </c>
      <c r="E716" s="1429">
        <v>707</v>
      </c>
      <c r="F716" s="2197" t="s">
        <v>3080</v>
      </c>
      <c r="G716" s="2198" t="s">
        <v>3063</v>
      </c>
      <c r="H716" s="2197" t="s">
        <v>8871</v>
      </c>
      <c r="I716" s="2199" t="s">
        <v>988</v>
      </c>
      <c r="J716" s="2196">
        <v>11.5</v>
      </c>
    </row>
    <row r="717" spans="2:10" ht="13.5" thickBot="1" x14ac:dyDescent="0.25">
      <c r="B717" s="392" t="str">
        <f t="shared" si="22"/>
        <v>Open - AVELLANO Francis</v>
      </c>
      <c r="C717" s="1441" t="str">
        <f t="shared" si="23"/>
        <v>AVELLANO Francis</v>
      </c>
      <c r="D717" s="1428" t="s">
        <v>889</v>
      </c>
      <c r="E717" s="1429">
        <v>707</v>
      </c>
      <c r="F717" s="2197" t="s">
        <v>16615</v>
      </c>
      <c r="G717" s="2198" t="s">
        <v>3376</v>
      </c>
      <c r="H717" s="2197" t="s">
        <v>9448</v>
      </c>
      <c r="I717" s="2199" t="s">
        <v>1023</v>
      </c>
      <c r="J717" s="2196">
        <v>11.5</v>
      </c>
    </row>
    <row r="718" spans="2:10" ht="13.5" thickBot="1" x14ac:dyDescent="0.25">
      <c r="B718" s="392" t="str">
        <f t="shared" si="22"/>
        <v>Open - LIZAR Jürgen</v>
      </c>
      <c r="C718" s="1441" t="str">
        <f t="shared" si="23"/>
        <v>LIZAR Jürgen</v>
      </c>
      <c r="D718" s="1428" t="s">
        <v>889</v>
      </c>
      <c r="E718" s="1429">
        <v>707</v>
      </c>
      <c r="F718" s="2197" t="s">
        <v>14159</v>
      </c>
      <c r="G718" s="2198" t="s">
        <v>3443</v>
      </c>
      <c r="H718" s="2197" t="s">
        <v>8871</v>
      </c>
      <c r="I718" s="2199" t="s">
        <v>988</v>
      </c>
      <c r="J718" s="2196">
        <v>11.5</v>
      </c>
    </row>
    <row r="719" spans="2:10" ht="13.5" thickBot="1" x14ac:dyDescent="0.25">
      <c r="B719" s="392" t="str">
        <f t="shared" si="22"/>
        <v>Open - SANTOS Claudio</v>
      </c>
      <c r="C719" s="1441" t="str">
        <f t="shared" si="23"/>
        <v>SANTOS Claudio</v>
      </c>
      <c r="D719" s="1428" t="s">
        <v>889</v>
      </c>
      <c r="E719" s="1429">
        <v>707</v>
      </c>
      <c r="F719" s="2197" t="s">
        <v>3170</v>
      </c>
      <c r="G719" s="2198" t="s">
        <v>3038</v>
      </c>
      <c r="H719" s="2197" t="s">
        <v>17015</v>
      </c>
      <c r="I719" s="2199" t="s">
        <v>1079</v>
      </c>
      <c r="J719" s="2196">
        <v>11.5</v>
      </c>
    </row>
    <row r="720" spans="2:10" ht="13.5" thickBot="1" x14ac:dyDescent="0.25">
      <c r="B720" s="392" t="str">
        <f t="shared" si="22"/>
        <v>Open - LEVY Samantha</v>
      </c>
      <c r="C720" s="1441" t="str">
        <f t="shared" si="23"/>
        <v>LEVY Samantha</v>
      </c>
      <c r="D720" s="1428" t="s">
        <v>889</v>
      </c>
      <c r="E720" s="1429">
        <v>714</v>
      </c>
      <c r="F720" s="2197" t="s">
        <v>16642</v>
      </c>
      <c r="G720" s="2198" t="s">
        <v>14430</v>
      </c>
      <c r="H720" s="2197" t="s">
        <v>14864</v>
      </c>
      <c r="I720" s="2199" t="s">
        <v>1013</v>
      </c>
      <c r="J720" s="2196">
        <v>11</v>
      </c>
    </row>
    <row r="721" spans="2:10" ht="13.5" thickBot="1" x14ac:dyDescent="0.25">
      <c r="B721" s="392" t="str">
        <f t="shared" si="22"/>
        <v>Open - PEREIRA Max</v>
      </c>
      <c r="C721" s="1441" t="str">
        <f t="shared" si="23"/>
        <v>PEREIRA Max</v>
      </c>
      <c r="D721" s="1428" t="s">
        <v>889</v>
      </c>
      <c r="E721" s="1429">
        <v>714</v>
      </c>
      <c r="F721" s="2197" t="s">
        <v>14314</v>
      </c>
      <c r="G721" s="2198" t="s">
        <v>3710</v>
      </c>
      <c r="H721" s="2197" t="s">
        <v>5317</v>
      </c>
      <c r="I721" s="2199" t="s">
        <v>1061</v>
      </c>
      <c r="J721" s="2196">
        <v>11</v>
      </c>
    </row>
    <row r="722" spans="2:10" ht="13.5" thickBot="1" x14ac:dyDescent="0.25">
      <c r="B722" s="392" t="str">
        <f t="shared" si="22"/>
        <v>Open - GLADMAN Dave</v>
      </c>
      <c r="C722" s="1441" t="str">
        <f t="shared" si="23"/>
        <v>GLADMAN Dave</v>
      </c>
      <c r="D722" s="1428" t="s">
        <v>889</v>
      </c>
      <c r="E722" s="1429">
        <v>714</v>
      </c>
      <c r="F722" s="2197" t="s">
        <v>14917</v>
      </c>
      <c r="G722" s="2198" t="s">
        <v>3046</v>
      </c>
      <c r="H722" s="2197" t="s">
        <v>2771</v>
      </c>
      <c r="I722" s="2199" t="s">
        <v>1069</v>
      </c>
      <c r="J722" s="2196">
        <v>11</v>
      </c>
    </row>
    <row r="723" spans="2:10" ht="13.5" thickBot="1" x14ac:dyDescent="0.25">
      <c r="B723" s="392" t="str">
        <f t="shared" si="22"/>
        <v>Open - YASUDA Jiro</v>
      </c>
      <c r="C723" s="1441" t="str">
        <f t="shared" si="23"/>
        <v>YASUDA Jiro</v>
      </c>
      <c r="D723" s="1428" t="s">
        <v>889</v>
      </c>
      <c r="E723" s="1429">
        <v>714</v>
      </c>
      <c r="F723" s="2197" t="s">
        <v>16861</v>
      </c>
      <c r="G723" s="2198" t="s">
        <v>16862</v>
      </c>
      <c r="H723" s="2197" t="s">
        <v>17239</v>
      </c>
      <c r="I723" s="2199" t="s">
        <v>1041</v>
      </c>
      <c r="J723" s="2196">
        <v>11</v>
      </c>
    </row>
    <row r="724" spans="2:10" ht="13.5" thickBot="1" x14ac:dyDescent="0.25">
      <c r="B724" s="392" t="str">
        <f t="shared" si="22"/>
        <v>Open - ACUÑA Iván</v>
      </c>
      <c r="C724" s="1441" t="str">
        <f t="shared" si="23"/>
        <v>ACUÑA Iván</v>
      </c>
      <c r="D724" s="1428" t="s">
        <v>889</v>
      </c>
      <c r="E724" s="1429">
        <v>714</v>
      </c>
      <c r="F724" s="2197" t="s">
        <v>16644</v>
      </c>
      <c r="G724" s="2198" t="s">
        <v>8235</v>
      </c>
      <c r="H724" s="2197" t="s">
        <v>2783</v>
      </c>
      <c r="I724" s="2199" t="s">
        <v>1015</v>
      </c>
      <c r="J724" s="2196">
        <v>11</v>
      </c>
    </row>
    <row r="725" spans="2:10" ht="13.5" thickBot="1" x14ac:dyDescent="0.25">
      <c r="B725" s="392" t="str">
        <f t="shared" si="22"/>
        <v>Open - BREKKE Svein Arne</v>
      </c>
      <c r="C725" s="1441" t="str">
        <f t="shared" si="23"/>
        <v>BREKKE Svein Arne</v>
      </c>
      <c r="D725" s="1428" t="s">
        <v>889</v>
      </c>
      <c r="E725" s="1429">
        <v>714</v>
      </c>
      <c r="F725" s="2197" t="s">
        <v>16851</v>
      </c>
      <c r="G725" s="2198" t="s">
        <v>7020</v>
      </c>
      <c r="H725" s="2197" t="s">
        <v>15281</v>
      </c>
      <c r="I725" s="2199" t="s">
        <v>1057</v>
      </c>
      <c r="J725" s="2196">
        <v>11</v>
      </c>
    </row>
    <row r="726" spans="2:10" ht="13.5" thickBot="1" x14ac:dyDescent="0.25">
      <c r="B726" s="392" t="str">
        <f t="shared" si="22"/>
        <v>Open - RUDY HESTY Edin Reyza</v>
      </c>
      <c r="C726" s="1441" t="str">
        <f t="shared" si="23"/>
        <v>RUDY HESTY Edin Reyza</v>
      </c>
      <c r="D726" s="1428" t="s">
        <v>889</v>
      </c>
      <c r="E726" s="1429">
        <v>714</v>
      </c>
      <c r="F726" s="2197" t="s">
        <v>16657</v>
      </c>
      <c r="G726" s="2198" t="s">
        <v>16154</v>
      </c>
      <c r="H726" s="2197" t="s">
        <v>7270</v>
      </c>
      <c r="I726" s="2199" t="s">
        <v>7916</v>
      </c>
      <c r="J726" s="2196">
        <v>11</v>
      </c>
    </row>
    <row r="727" spans="2:10" ht="13.5" thickBot="1" x14ac:dyDescent="0.25">
      <c r="B727" s="392" t="str">
        <f t="shared" si="22"/>
        <v>Open - LA TORRE Francesco</v>
      </c>
      <c r="C727" s="1441" t="str">
        <f t="shared" si="23"/>
        <v>LA TORRE Francesco</v>
      </c>
      <c r="D727" s="1428" t="s">
        <v>889</v>
      </c>
      <c r="E727" s="1429">
        <v>714</v>
      </c>
      <c r="F727" s="2197" t="s">
        <v>3345</v>
      </c>
      <c r="G727" s="2198" t="s">
        <v>3277</v>
      </c>
      <c r="H727" s="2197" t="s">
        <v>14879</v>
      </c>
      <c r="I727" s="2199" t="s">
        <v>1037</v>
      </c>
      <c r="J727" s="2196">
        <v>11</v>
      </c>
    </row>
    <row r="728" spans="2:10" ht="13.5" thickBot="1" x14ac:dyDescent="0.25">
      <c r="B728" s="392" t="str">
        <f t="shared" si="22"/>
        <v>Open - DE PAOLIS Massimo</v>
      </c>
      <c r="C728" s="1441" t="str">
        <f t="shared" si="23"/>
        <v>DE PAOLIS Massimo</v>
      </c>
      <c r="D728" s="1428" t="s">
        <v>889</v>
      </c>
      <c r="E728" s="1429">
        <v>714</v>
      </c>
      <c r="F728" s="2197" t="s">
        <v>10305</v>
      </c>
      <c r="G728" s="2198" t="s">
        <v>3013</v>
      </c>
      <c r="H728" s="2197" t="s">
        <v>10268</v>
      </c>
      <c r="I728" s="2199" t="s">
        <v>1037</v>
      </c>
      <c r="J728" s="2196">
        <v>11</v>
      </c>
    </row>
    <row r="729" spans="2:10" ht="13.5" thickBot="1" x14ac:dyDescent="0.25">
      <c r="B729" s="392" t="str">
        <f t="shared" si="22"/>
        <v>Open - ROMANO Luigi</v>
      </c>
      <c r="C729" s="1441" t="str">
        <f t="shared" si="23"/>
        <v>ROMANO Luigi</v>
      </c>
      <c r="D729" s="1428" t="s">
        <v>889</v>
      </c>
      <c r="E729" s="1429">
        <v>714</v>
      </c>
      <c r="F729" s="2197" t="s">
        <v>10301</v>
      </c>
      <c r="G729" s="2198" t="s">
        <v>3339</v>
      </c>
      <c r="H729" s="2197" t="s">
        <v>5551</v>
      </c>
      <c r="I729" s="2199" t="s">
        <v>1037</v>
      </c>
      <c r="J729" s="2196">
        <v>11</v>
      </c>
    </row>
    <row r="730" spans="2:10" ht="13.5" thickBot="1" x14ac:dyDescent="0.25">
      <c r="B730" s="392" t="str">
        <f t="shared" si="22"/>
        <v>Open - PANEBIANCO Claudio</v>
      </c>
      <c r="C730" s="1441" t="str">
        <f t="shared" si="23"/>
        <v>PANEBIANCO Claudio</v>
      </c>
      <c r="D730" s="1428" t="s">
        <v>889</v>
      </c>
      <c r="E730" s="1429">
        <v>714</v>
      </c>
      <c r="F730" s="2197" t="s">
        <v>14246</v>
      </c>
      <c r="G730" s="2198" t="s">
        <v>3038</v>
      </c>
      <c r="H730" s="2197" t="s">
        <v>7872</v>
      </c>
      <c r="I730" s="2199" t="s">
        <v>1037</v>
      </c>
      <c r="J730" s="2196">
        <v>11</v>
      </c>
    </row>
    <row r="731" spans="2:10" ht="13.5" thickBot="1" x14ac:dyDescent="0.25">
      <c r="B731" s="392" t="str">
        <f t="shared" si="22"/>
        <v>Open - GIUDICE Michele</v>
      </c>
      <c r="C731" s="1441" t="str">
        <f t="shared" si="23"/>
        <v>GIUDICE Michele</v>
      </c>
      <c r="D731" s="1428" t="s">
        <v>889</v>
      </c>
      <c r="E731" s="1429">
        <v>714</v>
      </c>
      <c r="F731" s="2197" t="s">
        <v>3327</v>
      </c>
      <c r="G731" s="2198" t="s">
        <v>3216</v>
      </c>
      <c r="H731" s="2197" t="s">
        <v>13477</v>
      </c>
      <c r="I731" s="2199" t="s">
        <v>1037</v>
      </c>
      <c r="J731" s="2196">
        <v>11</v>
      </c>
    </row>
    <row r="732" spans="2:10" ht="13.5" thickBot="1" x14ac:dyDescent="0.25">
      <c r="B732" s="392" t="str">
        <f t="shared" si="22"/>
        <v>Open - VASILOPOULOS Panagiotis</v>
      </c>
      <c r="C732" s="1441" t="str">
        <f t="shared" si="23"/>
        <v>VASILOPOULOS Panagiotis</v>
      </c>
      <c r="D732" s="1428" t="s">
        <v>889</v>
      </c>
      <c r="E732" s="1429">
        <v>726</v>
      </c>
      <c r="F732" s="2197" t="s">
        <v>14151</v>
      </c>
      <c r="G732" s="2198" t="s">
        <v>3249</v>
      </c>
      <c r="H732" s="2197" t="s">
        <v>10251</v>
      </c>
      <c r="I732" s="2199" t="s">
        <v>1025</v>
      </c>
      <c r="J732" s="2196">
        <v>10.5</v>
      </c>
    </row>
    <row r="733" spans="2:10" ht="13.5" thickBot="1" x14ac:dyDescent="0.25">
      <c r="B733" s="392" t="str">
        <f t="shared" si="22"/>
        <v>Open - TAYLOR Paul</v>
      </c>
      <c r="C733" s="1441" t="str">
        <f t="shared" si="23"/>
        <v>TAYLOR Paul</v>
      </c>
      <c r="D733" s="1428" t="s">
        <v>889</v>
      </c>
      <c r="E733" s="1429">
        <v>726</v>
      </c>
      <c r="F733" s="2197" t="s">
        <v>14944</v>
      </c>
      <c r="G733" s="2198" t="s">
        <v>3259</v>
      </c>
      <c r="H733" s="2197" t="s">
        <v>14359</v>
      </c>
      <c r="I733" s="2199" t="s">
        <v>1013</v>
      </c>
      <c r="J733" s="2196">
        <v>10.5</v>
      </c>
    </row>
    <row r="734" spans="2:10" ht="13.5" thickBot="1" x14ac:dyDescent="0.25">
      <c r="B734" s="392" t="str">
        <f t="shared" si="22"/>
        <v>Open - WILSON Richard</v>
      </c>
      <c r="C734" s="1441" t="str">
        <f t="shared" si="23"/>
        <v>WILSON Richard</v>
      </c>
      <c r="D734" s="1428" t="s">
        <v>889</v>
      </c>
      <c r="E734" s="1429">
        <v>726</v>
      </c>
      <c r="F734" s="2197" t="s">
        <v>14924</v>
      </c>
      <c r="G734" s="2198" t="s">
        <v>3219</v>
      </c>
      <c r="H734" s="2197" t="s">
        <v>17660</v>
      </c>
      <c r="I734" s="2199" t="s">
        <v>986</v>
      </c>
      <c r="J734" s="2196">
        <v>10.5</v>
      </c>
    </row>
    <row r="735" spans="2:10" ht="13.5" thickBot="1" x14ac:dyDescent="0.25">
      <c r="B735" s="392" t="str">
        <f t="shared" si="22"/>
        <v>Open - BELCHER Ryan</v>
      </c>
      <c r="C735" s="1441" t="str">
        <f t="shared" si="23"/>
        <v>BELCHER Ryan</v>
      </c>
      <c r="D735" s="1428" t="s">
        <v>889</v>
      </c>
      <c r="E735" s="1429">
        <v>726</v>
      </c>
      <c r="F735" s="2197" t="s">
        <v>14908</v>
      </c>
      <c r="G735" s="2198" t="s">
        <v>3686</v>
      </c>
      <c r="H735" s="2197" t="s">
        <v>2905</v>
      </c>
      <c r="I735" s="2199" t="s">
        <v>1079</v>
      </c>
      <c r="J735" s="2196">
        <v>10.5</v>
      </c>
    </row>
    <row r="736" spans="2:10" ht="13.5" thickBot="1" x14ac:dyDescent="0.25">
      <c r="B736" s="392" t="str">
        <f t="shared" si="22"/>
        <v>Open - ATTARD Walter Joseph</v>
      </c>
      <c r="C736" s="1441" t="str">
        <f t="shared" si="23"/>
        <v>ATTARD Walter Joseph</v>
      </c>
      <c r="D736" s="1428" t="s">
        <v>889</v>
      </c>
      <c r="E736" s="1429">
        <v>726</v>
      </c>
      <c r="F736" s="2197" t="s">
        <v>11194</v>
      </c>
      <c r="G736" s="2198" t="s">
        <v>10961</v>
      </c>
      <c r="H736" s="2197" t="s">
        <v>11331</v>
      </c>
      <c r="I736" s="2199" t="s">
        <v>1045</v>
      </c>
      <c r="J736" s="2196">
        <v>10.5</v>
      </c>
    </row>
    <row r="737" spans="2:10" ht="13.5" thickBot="1" x14ac:dyDescent="0.25">
      <c r="B737" s="392" t="str">
        <f t="shared" si="22"/>
        <v>Open - FENTON Lee</v>
      </c>
      <c r="C737" s="1441" t="str">
        <f t="shared" si="23"/>
        <v>FENTON Lee</v>
      </c>
      <c r="D737" s="1428" t="s">
        <v>889</v>
      </c>
      <c r="E737" s="1429">
        <v>726</v>
      </c>
      <c r="F737" s="2197" t="s">
        <v>14252</v>
      </c>
      <c r="G737" s="2198" t="s">
        <v>6944</v>
      </c>
      <c r="H737" s="2197" t="s">
        <v>17082</v>
      </c>
      <c r="I737" s="2199" t="s">
        <v>1013</v>
      </c>
      <c r="J737" s="2196">
        <v>10.5</v>
      </c>
    </row>
    <row r="738" spans="2:10" ht="13.5" thickBot="1" x14ac:dyDescent="0.25">
      <c r="B738" s="392" t="str">
        <f t="shared" si="22"/>
        <v>Open - SCOTT Joey</v>
      </c>
      <c r="C738" s="1441" t="str">
        <f t="shared" si="23"/>
        <v>SCOTT Joey</v>
      </c>
      <c r="D738" s="1428" t="s">
        <v>889</v>
      </c>
      <c r="E738" s="1429">
        <v>726</v>
      </c>
      <c r="F738" s="2197" t="s">
        <v>10987</v>
      </c>
      <c r="G738" s="2198" t="s">
        <v>8315</v>
      </c>
      <c r="H738" s="2197" t="s">
        <v>17015</v>
      </c>
      <c r="I738" s="2199" t="s">
        <v>1079</v>
      </c>
      <c r="J738" s="2196">
        <v>10.5</v>
      </c>
    </row>
    <row r="739" spans="2:10" ht="13.5" thickBot="1" x14ac:dyDescent="0.25">
      <c r="B739" s="392" t="str">
        <f t="shared" si="22"/>
        <v>Open - SMITH Kevin</v>
      </c>
      <c r="C739" s="1441" t="str">
        <f t="shared" si="23"/>
        <v>SMITH Kevin</v>
      </c>
      <c r="D739" s="1428" t="s">
        <v>889</v>
      </c>
      <c r="E739" s="1429">
        <v>733</v>
      </c>
      <c r="F739" s="2197" t="s">
        <v>11476</v>
      </c>
      <c r="G739" s="2198" t="s">
        <v>3263</v>
      </c>
      <c r="H739" s="2197" t="s">
        <v>2771</v>
      </c>
      <c r="I739" s="2199" t="s">
        <v>1069</v>
      </c>
      <c r="J739" s="2196">
        <v>10</v>
      </c>
    </row>
    <row r="740" spans="2:10" ht="13.5" thickBot="1" x14ac:dyDescent="0.25">
      <c r="B740" s="392" t="str">
        <f t="shared" si="22"/>
        <v>Open - BRENER Jonty</v>
      </c>
      <c r="C740" s="1441" t="str">
        <f t="shared" si="23"/>
        <v>BRENER Jonty</v>
      </c>
      <c r="D740" s="1428" t="s">
        <v>889</v>
      </c>
      <c r="E740" s="1429">
        <v>733</v>
      </c>
      <c r="F740" s="2197" t="s">
        <v>14231</v>
      </c>
      <c r="G740" s="2198" t="s">
        <v>13625</v>
      </c>
      <c r="H740" s="2197" t="s">
        <v>9593</v>
      </c>
      <c r="I740" s="2199" t="s">
        <v>986</v>
      </c>
      <c r="J740" s="2196">
        <v>10</v>
      </c>
    </row>
    <row r="741" spans="2:10" ht="13.5" thickBot="1" x14ac:dyDescent="0.25">
      <c r="B741" s="392" t="str">
        <f t="shared" si="22"/>
        <v>Open - MORIOKA Nozomu</v>
      </c>
      <c r="C741" s="1441" t="str">
        <f t="shared" si="23"/>
        <v>MORIOKA Nozomu</v>
      </c>
      <c r="D741" s="1428" t="s">
        <v>889</v>
      </c>
      <c r="E741" s="1429">
        <v>733</v>
      </c>
      <c r="F741" s="2197" t="s">
        <v>16643</v>
      </c>
      <c r="G741" s="2198" t="s">
        <v>15928</v>
      </c>
      <c r="H741" s="2197" t="s">
        <v>5508</v>
      </c>
      <c r="I741" s="2199" t="s">
        <v>1041</v>
      </c>
      <c r="J741" s="2196">
        <v>10</v>
      </c>
    </row>
    <row r="742" spans="2:10" ht="13.5" thickBot="1" x14ac:dyDescent="0.25">
      <c r="B742" s="392" t="str">
        <f t="shared" si="22"/>
        <v>Open - KATAOKA Kazutoyo</v>
      </c>
      <c r="C742" s="1441" t="str">
        <f t="shared" si="23"/>
        <v>KATAOKA Kazutoyo</v>
      </c>
      <c r="D742" s="1428" t="s">
        <v>889</v>
      </c>
      <c r="E742" s="1429">
        <v>733</v>
      </c>
      <c r="F742" s="2197" t="s">
        <v>16858</v>
      </c>
      <c r="G742" s="2198" t="s">
        <v>16859</v>
      </c>
      <c r="H742" s="2197" t="s">
        <v>17236</v>
      </c>
      <c r="I742" s="2199" t="s">
        <v>1041</v>
      </c>
      <c r="J742" s="2196">
        <v>10</v>
      </c>
    </row>
    <row r="743" spans="2:10" ht="13.5" thickBot="1" x14ac:dyDescent="0.25">
      <c r="B743" s="392" t="str">
        <f t="shared" si="22"/>
        <v>Open - MALINDRETOS Michail</v>
      </c>
      <c r="C743" s="1441" t="str">
        <f t="shared" si="23"/>
        <v>MALINDRETOS Michail</v>
      </c>
      <c r="D743" s="1428" t="s">
        <v>889</v>
      </c>
      <c r="E743" s="1429">
        <v>733</v>
      </c>
      <c r="F743" s="2197" t="s">
        <v>8765</v>
      </c>
      <c r="G743" s="2198" t="s">
        <v>8248</v>
      </c>
      <c r="H743" s="2197" t="s">
        <v>3213</v>
      </c>
      <c r="I743" s="2199" t="s">
        <v>1025</v>
      </c>
      <c r="J743" s="2196">
        <v>10</v>
      </c>
    </row>
    <row r="744" spans="2:10" ht="13.5" thickBot="1" x14ac:dyDescent="0.25">
      <c r="B744" s="392" t="str">
        <f t="shared" si="22"/>
        <v>Open - DROSSOPOULOS Lampros</v>
      </c>
      <c r="C744" s="1441" t="str">
        <f t="shared" si="23"/>
        <v>DROSSOPOULOS Lampros</v>
      </c>
      <c r="D744" s="1428" t="s">
        <v>889</v>
      </c>
      <c r="E744" s="1429">
        <v>733</v>
      </c>
      <c r="F744" s="2197" t="s">
        <v>16609</v>
      </c>
      <c r="G744" s="2198" t="s">
        <v>8258</v>
      </c>
      <c r="H744" s="2197" t="s">
        <v>10251</v>
      </c>
      <c r="I744" s="2199" t="s">
        <v>1025</v>
      </c>
      <c r="J744" s="2196">
        <v>10</v>
      </c>
    </row>
    <row r="745" spans="2:10" ht="13.5" thickBot="1" x14ac:dyDescent="0.25">
      <c r="B745" s="392" t="str">
        <f t="shared" si="22"/>
        <v>Open - STAGNO Stefano</v>
      </c>
      <c r="C745" s="1441" t="str">
        <f t="shared" si="23"/>
        <v>STAGNO Stefano</v>
      </c>
      <c r="D745" s="1428" t="s">
        <v>889</v>
      </c>
      <c r="E745" s="1429">
        <v>733</v>
      </c>
      <c r="F745" s="2197" t="s">
        <v>16672</v>
      </c>
      <c r="G745" s="2198" t="s">
        <v>3062</v>
      </c>
      <c r="H745" s="2197" t="s">
        <v>13593</v>
      </c>
      <c r="I745" s="2199" t="s">
        <v>1037</v>
      </c>
      <c r="J745" s="2196">
        <v>10</v>
      </c>
    </row>
    <row r="746" spans="2:10" ht="13.5" thickBot="1" x14ac:dyDescent="0.25">
      <c r="B746" s="392" t="str">
        <f t="shared" si="22"/>
        <v>Open - ESPADA Carlos</v>
      </c>
      <c r="C746" s="1441" t="str">
        <f t="shared" si="23"/>
        <v>ESPADA Carlos</v>
      </c>
      <c r="D746" s="1428" t="s">
        <v>889</v>
      </c>
      <c r="E746" s="1429">
        <v>733</v>
      </c>
      <c r="F746" s="2197" t="s">
        <v>16703</v>
      </c>
      <c r="G746" s="2198" t="s">
        <v>3008</v>
      </c>
      <c r="H746" s="2197" t="s">
        <v>7869</v>
      </c>
      <c r="I746" s="2199" t="s">
        <v>1015</v>
      </c>
      <c r="J746" s="2196">
        <v>10</v>
      </c>
    </row>
    <row r="747" spans="2:10" ht="13.5" thickBot="1" x14ac:dyDescent="0.25">
      <c r="B747" s="392" t="str">
        <f t="shared" si="22"/>
        <v>Open - MESSONISANAKIS Stavros</v>
      </c>
      <c r="C747" s="1441" t="str">
        <f t="shared" si="23"/>
        <v>MESSONISANAKIS Stavros</v>
      </c>
      <c r="D747" s="1428" t="s">
        <v>889</v>
      </c>
      <c r="E747" s="1429">
        <v>733</v>
      </c>
      <c r="F747" s="2197" t="s">
        <v>14203</v>
      </c>
      <c r="G747" s="2198" t="s">
        <v>3336</v>
      </c>
      <c r="H747" s="2197" t="s">
        <v>3213</v>
      </c>
      <c r="I747" s="2199" t="s">
        <v>1025</v>
      </c>
      <c r="J747" s="2196">
        <v>10</v>
      </c>
    </row>
    <row r="748" spans="2:10" ht="13.5" thickBot="1" x14ac:dyDescent="0.25">
      <c r="B748" s="392" t="str">
        <f t="shared" si="22"/>
        <v>Open - OLLNOW Oliver</v>
      </c>
      <c r="C748" s="1441" t="str">
        <f t="shared" si="23"/>
        <v>OLLNOW Oliver</v>
      </c>
      <c r="D748" s="1428" t="s">
        <v>889</v>
      </c>
      <c r="E748" s="1429">
        <v>733</v>
      </c>
      <c r="F748" s="2197" t="s">
        <v>16849</v>
      </c>
      <c r="G748" s="2198" t="s">
        <v>3298</v>
      </c>
      <c r="H748" s="2197" t="s">
        <v>13588</v>
      </c>
      <c r="I748" s="2199" t="s">
        <v>986</v>
      </c>
      <c r="J748" s="2196">
        <v>10</v>
      </c>
    </row>
    <row r="749" spans="2:10" ht="13.5" thickBot="1" x14ac:dyDescent="0.25">
      <c r="B749" s="392" t="str">
        <f t="shared" si="22"/>
        <v>Open - VERSTREPEN Xavier</v>
      </c>
      <c r="C749" s="1441" t="str">
        <f t="shared" si="23"/>
        <v>VERSTREPEN Xavier</v>
      </c>
      <c r="D749" s="1428" t="s">
        <v>889</v>
      </c>
      <c r="E749" s="1429">
        <v>733</v>
      </c>
      <c r="F749" s="2197" t="s">
        <v>18099</v>
      </c>
      <c r="G749" s="2198" t="s">
        <v>3295</v>
      </c>
      <c r="H749" s="2197" t="s">
        <v>11409</v>
      </c>
      <c r="I749" s="2199" t="s">
        <v>990</v>
      </c>
      <c r="J749" s="2196">
        <v>10</v>
      </c>
    </row>
    <row r="750" spans="2:10" ht="13.5" thickBot="1" x14ac:dyDescent="0.25">
      <c r="B750" s="392" t="str">
        <f t="shared" si="22"/>
        <v>Open - CHYTAS Christos</v>
      </c>
      <c r="C750" s="1441" t="str">
        <f t="shared" si="23"/>
        <v>CHYTAS Christos</v>
      </c>
      <c r="D750" s="1428" t="s">
        <v>889</v>
      </c>
      <c r="E750" s="1429">
        <v>733</v>
      </c>
      <c r="F750" s="2197" t="s">
        <v>16647</v>
      </c>
      <c r="G750" s="2198" t="s">
        <v>3135</v>
      </c>
      <c r="H750" s="2197" t="s">
        <v>3041</v>
      </c>
      <c r="I750" s="2199" t="s">
        <v>1025</v>
      </c>
      <c r="J750" s="2196">
        <v>10</v>
      </c>
    </row>
    <row r="751" spans="2:10" ht="13.5" thickBot="1" x14ac:dyDescent="0.25">
      <c r="B751" s="392" t="str">
        <f t="shared" si="22"/>
        <v>Open - LOUIS Daniel</v>
      </c>
      <c r="C751" s="1441" t="str">
        <f t="shared" si="23"/>
        <v>LOUIS Daniel</v>
      </c>
      <c r="D751" s="1428" t="s">
        <v>889</v>
      </c>
      <c r="E751" s="1429">
        <v>733</v>
      </c>
      <c r="F751" s="2197" t="s">
        <v>16606</v>
      </c>
      <c r="G751" s="2198" t="s">
        <v>3243</v>
      </c>
      <c r="H751" s="2197" t="s">
        <v>17015</v>
      </c>
      <c r="I751" s="2199" t="s">
        <v>1079</v>
      </c>
      <c r="J751" s="2196">
        <v>10</v>
      </c>
    </row>
    <row r="752" spans="2:10" ht="13.5" thickBot="1" x14ac:dyDescent="0.25">
      <c r="B752" s="392" t="str">
        <f t="shared" si="22"/>
        <v>Open - GENTILE Luca</v>
      </c>
      <c r="C752" s="1441" t="str">
        <f t="shared" si="23"/>
        <v>GENTILE Luca</v>
      </c>
      <c r="D752" s="1428" t="s">
        <v>889</v>
      </c>
      <c r="E752" s="1429">
        <v>733</v>
      </c>
      <c r="F752" s="2197" t="s">
        <v>16592</v>
      </c>
      <c r="G752" s="2198" t="s">
        <v>3198</v>
      </c>
      <c r="H752" s="2197" t="s">
        <v>2776</v>
      </c>
      <c r="I752" s="2199" t="s">
        <v>1037</v>
      </c>
      <c r="J752" s="2196">
        <v>10</v>
      </c>
    </row>
    <row r="753" spans="2:10" ht="13.5" thickBot="1" x14ac:dyDescent="0.25">
      <c r="B753" s="392" t="str">
        <f t="shared" si="22"/>
        <v>Open - TESTA Andrea</v>
      </c>
      <c r="C753" s="1441" t="str">
        <f t="shared" si="23"/>
        <v>TESTA Andrea</v>
      </c>
      <c r="D753" s="1428" t="s">
        <v>889</v>
      </c>
      <c r="E753" s="1429">
        <v>733</v>
      </c>
      <c r="F753" s="2197" t="s">
        <v>16711</v>
      </c>
      <c r="G753" s="2198" t="s">
        <v>3027</v>
      </c>
      <c r="H753" s="2197" t="s">
        <v>7877</v>
      </c>
      <c r="I753" s="2199" t="s">
        <v>1037</v>
      </c>
      <c r="J753" s="2196">
        <v>10</v>
      </c>
    </row>
    <row r="754" spans="2:10" ht="13.5" thickBot="1" x14ac:dyDescent="0.25">
      <c r="B754" s="392" t="str">
        <f t="shared" si="22"/>
        <v>Open - SCHERBANTIN David</v>
      </c>
      <c r="C754" s="1441" t="str">
        <f t="shared" si="23"/>
        <v>SCHERBANTIN David</v>
      </c>
      <c r="D754" s="1428" t="s">
        <v>889</v>
      </c>
      <c r="E754" s="1429">
        <v>733</v>
      </c>
      <c r="F754" s="2197" t="s">
        <v>16651</v>
      </c>
      <c r="G754" s="2198" t="s">
        <v>3072</v>
      </c>
      <c r="H754" s="2197" t="s">
        <v>2748</v>
      </c>
      <c r="I754" s="2199" t="s">
        <v>988</v>
      </c>
      <c r="J754" s="2196">
        <v>10</v>
      </c>
    </row>
    <row r="755" spans="2:10" ht="13.5" thickBot="1" x14ac:dyDescent="0.25">
      <c r="B755" s="392" t="str">
        <f t="shared" si="22"/>
        <v>Open - SILVA Luís Filipe</v>
      </c>
      <c r="C755" s="1441" t="str">
        <f t="shared" si="23"/>
        <v>SILVA Luís Filipe</v>
      </c>
      <c r="D755" s="1428" t="s">
        <v>889</v>
      </c>
      <c r="E755" s="1429">
        <v>733</v>
      </c>
      <c r="F755" s="2197" t="s">
        <v>14208</v>
      </c>
      <c r="G755" s="2198" t="s">
        <v>3535</v>
      </c>
      <c r="H755" s="2197" t="s">
        <v>15138</v>
      </c>
      <c r="I755" s="2199" t="s">
        <v>1061</v>
      </c>
      <c r="J755" s="2196">
        <v>10</v>
      </c>
    </row>
    <row r="756" spans="2:10" ht="13.5" thickBot="1" x14ac:dyDescent="0.25">
      <c r="B756" s="392" t="str">
        <f t="shared" si="22"/>
        <v>Open - LANZANI Luca</v>
      </c>
      <c r="C756" s="1441" t="str">
        <f t="shared" si="23"/>
        <v>LANZANI Luca</v>
      </c>
      <c r="D756" s="1428" t="s">
        <v>889</v>
      </c>
      <c r="E756" s="1429">
        <v>733</v>
      </c>
      <c r="F756" s="2197" t="s">
        <v>14933</v>
      </c>
      <c r="G756" s="2198" t="s">
        <v>3198</v>
      </c>
      <c r="H756" s="2197" t="s">
        <v>13562</v>
      </c>
      <c r="I756" s="2199" t="s">
        <v>1013</v>
      </c>
      <c r="J756" s="2196">
        <v>10</v>
      </c>
    </row>
    <row r="757" spans="2:10" ht="13.5" thickBot="1" x14ac:dyDescent="0.25">
      <c r="B757" s="392" t="str">
        <f t="shared" si="22"/>
        <v>Open - VATTERONI Alberto</v>
      </c>
      <c r="C757" s="1441" t="str">
        <f t="shared" si="23"/>
        <v>VATTERONI Alberto</v>
      </c>
      <c r="D757" s="1428" t="s">
        <v>889</v>
      </c>
      <c r="E757" s="1429">
        <v>733</v>
      </c>
      <c r="F757" s="2197" t="s">
        <v>9604</v>
      </c>
      <c r="G757" s="2198" t="s">
        <v>3042</v>
      </c>
      <c r="H757" s="2197" t="s">
        <v>2782</v>
      </c>
      <c r="I757" s="2199" t="s">
        <v>1037</v>
      </c>
      <c r="J757" s="2196">
        <v>10</v>
      </c>
    </row>
    <row r="758" spans="2:10" ht="13.5" thickBot="1" x14ac:dyDescent="0.25">
      <c r="B758" s="392" t="str">
        <f t="shared" si="22"/>
        <v>Open - MELEAS Konstantinos</v>
      </c>
      <c r="C758" s="1441" t="str">
        <f t="shared" si="23"/>
        <v>MELEAS Konstantinos</v>
      </c>
      <c r="D758" s="1428" t="s">
        <v>889</v>
      </c>
      <c r="E758" s="1429">
        <v>733</v>
      </c>
      <c r="F758" s="2197" t="s">
        <v>14251</v>
      </c>
      <c r="G758" s="2198" t="s">
        <v>6986</v>
      </c>
      <c r="H758" s="2197" t="s">
        <v>13590</v>
      </c>
      <c r="I758" s="2199" t="s">
        <v>1025</v>
      </c>
      <c r="J758" s="2196">
        <v>10</v>
      </c>
    </row>
    <row r="759" spans="2:10" ht="13.5" thickBot="1" x14ac:dyDescent="0.25">
      <c r="B759" s="392" t="str">
        <f t="shared" si="22"/>
        <v>Open - MÁRQUEZ José Luis</v>
      </c>
      <c r="C759" s="1441" t="str">
        <f t="shared" si="23"/>
        <v>MÁRQUEZ José Luis</v>
      </c>
      <c r="D759" s="1428" t="s">
        <v>889</v>
      </c>
      <c r="E759" s="1429">
        <v>753</v>
      </c>
      <c r="F759" s="2197" t="s">
        <v>3267</v>
      </c>
      <c r="G759" s="2198" t="s">
        <v>3268</v>
      </c>
      <c r="H759" s="2197" t="s">
        <v>2783</v>
      </c>
      <c r="I759" s="2199" t="s">
        <v>1015</v>
      </c>
      <c r="J759" s="2196">
        <v>9.5</v>
      </c>
    </row>
    <row r="760" spans="2:10" ht="13.5" thickBot="1" x14ac:dyDescent="0.25">
      <c r="B760" s="392" t="str">
        <f t="shared" si="22"/>
        <v>Open - LIM Ding Heng</v>
      </c>
      <c r="C760" s="1441" t="str">
        <f t="shared" si="23"/>
        <v>LIM Ding Heng</v>
      </c>
      <c r="D760" s="1428" t="s">
        <v>889</v>
      </c>
      <c r="E760" s="1429">
        <v>753</v>
      </c>
      <c r="F760" s="2197" t="s">
        <v>3532</v>
      </c>
      <c r="G760" s="2198" t="s">
        <v>7328</v>
      </c>
      <c r="H760" s="2197" t="s">
        <v>7270</v>
      </c>
      <c r="I760" s="2199" t="s">
        <v>7916</v>
      </c>
      <c r="J760" s="2196">
        <v>9.5</v>
      </c>
    </row>
    <row r="761" spans="2:10" ht="13.5" thickBot="1" x14ac:dyDescent="0.25">
      <c r="B761" s="392" t="str">
        <f t="shared" si="22"/>
        <v>Open - KOURIDAKIS Christos</v>
      </c>
      <c r="C761" s="1441" t="str">
        <f t="shared" si="23"/>
        <v>KOURIDAKIS Christos</v>
      </c>
      <c r="D761" s="1428" t="s">
        <v>889</v>
      </c>
      <c r="E761" s="1429">
        <v>753</v>
      </c>
      <c r="F761" s="2197" t="s">
        <v>5537</v>
      </c>
      <c r="G761" s="2198" t="s">
        <v>3135</v>
      </c>
      <c r="H761" s="2197" t="s">
        <v>2760</v>
      </c>
      <c r="I761" s="2199" t="s">
        <v>1025</v>
      </c>
      <c r="J761" s="2196">
        <v>9.5</v>
      </c>
    </row>
    <row r="762" spans="2:10" ht="13.5" thickBot="1" x14ac:dyDescent="0.25">
      <c r="B762" s="392" t="str">
        <f t="shared" si="22"/>
        <v>Open - BOIGEOL Alban</v>
      </c>
      <c r="C762" s="1441" t="str">
        <f t="shared" si="23"/>
        <v>BOIGEOL Alban</v>
      </c>
      <c r="D762" s="1428" t="s">
        <v>889</v>
      </c>
      <c r="E762" s="1429">
        <v>756</v>
      </c>
      <c r="F762" s="2197" t="s">
        <v>16652</v>
      </c>
      <c r="G762" s="2198" t="s">
        <v>15259</v>
      </c>
      <c r="H762" s="2197" t="s">
        <v>13838</v>
      </c>
      <c r="I762" s="2199" t="s">
        <v>1019</v>
      </c>
      <c r="J762" s="2196">
        <v>9</v>
      </c>
    </row>
    <row r="763" spans="2:10" ht="13.5" thickBot="1" x14ac:dyDescent="0.25">
      <c r="B763" s="392" t="str">
        <f t="shared" si="22"/>
        <v>Open - TEIXIDO-REGNIER Maël</v>
      </c>
      <c r="C763" s="1441" t="str">
        <f t="shared" si="23"/>
        <v>TEIXIDO-REGNIER Maël</v>
      </c>
      <c r="D763" s="1428" t="s">
        <v>889</v>
      </c>
      <c r="E763" s="1429">
        <v>756</v>
      </c>
      <c r="F763" s="2197" t="s">
        <v>16723</v>
      </c>
      <c r="G763" s="2198" t="s">
        <v>16293</v>
      </c>
      <c r="H763" s="2197" t="s">
        <v>2795</v>
      </c>
      <c r="I763" s="2199" t="s">
        <v>1019</v>
      </c>
      <c r="J763" s="2196">
        <v>9</v>
      </c>
    </row>
    <row r="764" spans="2:10" ht="13.5" thickBot="1" x14ac:dyDescent="0.25">
      <c r="B764" s="392" t="str">
        <f t="shared" si="22"/>
        <v>Open - BENEDETTO Michele</v>
      </c>
      <c r="C764" s="1441" t="str">
        <f t="shared" si="23"/>
        <v>BENEDETTO Michele</v>
      </c>
      <c r="D764" s="1428" t="s">
        <v>889</v>
      </c>
      <c r="E764" s="1429">
        <v>756</v>
      </c>
      <c r="F764" s="2197" t="s">
        <v>16852</v>
      </c>
      <c r="G764" s="2198" t="s">
        <v>3216</v>
      </c>
      <c r="H764" s="2197" t="s">
        <v>16501</v>
      </c>
      <c r="I764" s="2199" t="s">
        <v>1037</v>
      </c>
      <c r="J764" s="2196">
        <v>9</v>
      </c>
    </row>
    <row r="765" spans="2:10" ht="13.5" thickBot="1" x14ac:dyDescent="0.25">
      <c r="B765" s="392" t="str">
        <f t="shared" si="22"/>
        <v>Open - VERGONI Roberto</v>
      </c>
      <c r="C765" s="1441" t="str">
        <f t="shared" si="23"/>
        <v>VERGONI Roberto</v>
      </c>
      <c r="D765" s="1428" t="s">
        <v>889</v>
      </c>
      <c r="E765" s="1429">
        <v>756</v>
      </c>
      <c r="F765" s="2197" t="s">
        <v>3278</v>
      </c>
      <c r="G765" s="2198" t="s">
        <v>3279</v>
      </c>
      <c r="H765" s="2197" t="s">
        <v>2782</v>
      </c>
      <c r="I765" s="2199" t="s">
        <v>1037</v>
      </c>
      <c r="J765" s="2196">
        <v>9</v>
      </c>
    </row>
    <row r="766" spans="2:10" ht="13.5" thickBot="1" x14ac:dyDescent="0.25">
      <c r="B766" s="392" t="str">
        <f t="shared" si="22"/>
        <v>Open - SICILIANO Alessandro</v>
      </c>
      <c r="C766" s="1441" t="str">
        <f t="shared" si="23"/>
        <v>SICILIANO Alessandro</v>
      </c>
      <c r="D766" s="1428" t="s">
        <v>889</v>
      </c>
      <c r="E766" s="1429">
        <v>756</v>
      </c>
      <c r="F766" s="2197" t="s">
        <v>14283</v>
      </c>
      <c r="G766" s="2198" t="s">
        <v>3125</v>
      </c>
      <c r="H766" s="2197" t="s">
        <v>10271</v>
      </c>
      <c r="I766" s="2199" t="s">
        <v>1037</v>
      </c>
      <c r="J766" s="2196">
        <v>9</v>
      </c>
    </row>
    <row r="767" spans="2:10" ht="13.5" thickBot="1" x14ac:dyDescent="0.25">
      <c r="B767" s="392" t="str">
        <f t="shared" si="22"/>
        <v>Open - ROCHEZ Sébastien</v>
      </c>
      <c r="C767" s="1441" t="str">
        <f t="shared" si="23"/>
        <v>ROCHEZ Sébastien</v>
      </c>
      <c r="D767" s="1428" t="s">
        <v>889</v>
      </c>
      <c r="E767" s="1429">
        <v>756</v>
      </c>
      <c r="F767" s="2197" t="s">
        <v>16869</v>
      </c>
      <c r="G767" s="2198" t="s">
        <v>3043</v>
      </c>
      <c r="H767" s="2197" t="s">
        <v>10250</v>
      </c>
      <c r="I767" s="2199" t="s">
        <v>990</v>
      </c>
      <c r="J767" s="2196">
        <v>9</v>
      </c>
    </row>
    <row r="768" spans="2:10" ht="13.5" thickBot="1" x14ac:dyDescent="0.25">
      <c r="B768" s="392" t="str">
        <f t="shared" si="22"/>
        <v>Open - IMBROGIANO John</v>
      </c>
      <c r="C768" s="1441" t="str">
        <f t="shared" si="23"/>
        <v>IMBROGIANO John</v>
      </c>
      <c r="D768" s="1428" t="s">
        <v>889</v>
      </c>
      <c r="E768" s="1429">
        <v>756</v>
      </c>
      <c r="F768" s="2197" t="s">
        <v>18100</v>
      </c>
      <c r="G768" s="2198" t="s">
        <v>3250</v>
      </c>
      <c r="H768" s="2197" t="s">
        <v>13312</v>
      </c>
      <c r="I768" s="2199" t="s">
        <v>1074</v>
      </c>
      <c r="J768" s="2196">
        <v>9</v>
      </c>
    </row>
    <row r="769" spans="2:10" ht="13.5" thickBot="1" x14ac:dyDescent="0.25">
      <c r="B769" s="392" t="str">
        <f t="shared" si="22"/>
        <v>Open - LIENHARDT Eric</v>
      </c>
      <c r="C769" s="1441" t="str">
        <f t="shared" si="23"/>
        <v>LIENHARDT Eric</v>
      </c>
      <c r="D769" s="1428" t="s">
        <v>889</v>
      </c>
      <c r="E769" s="1429">
        <v>756</v>
      </c>
      <c r="F769" s="2197" t="s">
        <v>3441</v>
      </c>
      <c r="G769" s="2198" t="s">
        <v>3044</v>
      </c>
      <c r="H769" s="2197" t="s">
        <v>15446</v>
      </c>
      <c r="I769" s="2199" t="s">
        <v>1019</v>
      </c>
      <c r="J769" s="2196">
        <v>9</v>
      </c>
    </row>
    <row r="770" spans="2:10" ht="13.5" thickBot="1" x14ac:dyDescent="0.25">
      <c r="B770" s="392" t="str">
        <f t="shared" si="22"/>
        <v>Open - DE LORENZI Giorgio</v>
      </c>
      <c r="C770" s="1441" t="str">
        <f t="shared" si="23"/>
        <v>DE LORENZI Giorgio</v>
      </c>
      <c r="D770" s="1428" t="s">
        <v>889</v>
      </c>
      <c r="E770" s="1429">
        <v>756</v>
      </c>
      <c r="F770" s="2197" t="s">
        <v>16595</v>
      </c>
      <c r="G770" s="2198" t="s">
        <v>3643</v>
      </c>
      <c r="H770" s="2197" t="s">
        <v>16477</v>
      </c>
      <c r="I770" s="2199" t="s">
        <v>1037</v>
      </c>
      <c r="J770" s="2196">
        <v>9</v>
      </c>
    </row>
    <row r="771" spans="2:10" ht="13.5" thickBot="1" x14ac:dyDescent="0.25">
      <c r="B771" s="392" t="str">
        <f t="shared" si="22"/>
        <v>Open - SCOTT Alexander</v>
      </c>
      <c r="C771" s="1441" t="str">
        <f t="shared" si="23"/>
        <v>SCOTT Alexander</v>
      </c>
      <c r="D771" s="1428" t="s">
        <v>889</v>
      </c>
      <c r="E771" s="1429">
        <v>756</v>
      </c>
      <c r="F771" s="2197" t="s">
        <v>10987</v>
      </c>
      <c r="G771" s="2198" t="s">
        <v>3037</v>
      </c>
      <c r="H771" s="2197" t="s">
        <v>14399</v>
      </c>
      <c r="I771" s="2199" t="s">
        <v>1013</v>
      </c>
      <c r="J771" s="2196">
        <v>9</v>
      </c>
    </row>
    <row r="772" spans="2:10" ht="13.5" thickBot="1" x14ac:dyDescent="0.25">
      <c r="B772" s="392" t="str">
        <f t="shared" si="22"/>
        <v>Open - LO PRETI Lorenzo</v>
      </c>
      <c r="C772" s="1441" t="str">
        <f t="shared" si="23"/>
        <v>LO PRETI Lorenzo</v>
      </c>
      <c r="D772" s="1428" t="s">
        <v>889</v>
      </c>
      <c r="E772" s="1429">
        <v>756</v>
      </c>
      <c r="F772" s="2197" t="s">
        <v>18101</v>
      </c>
      <c r="G772" s="2198" t="s">
        <v>3155</v>
      </c>
      <c r="H772" s="2197" t="s">
        <v>15446</v>
      </c>
      <c r="I772" s="2199" t="s">
        <v>1019</v>
      </c>
      <c r="J772" s="2196">
        <v>9</v>
      </c>
    </row>
    <row r="773" spans="2:10" ht="13.5" thickBot="1" x14ac:dyDescent="0.25">
      <c r="B773" s="392" t="str">
        <f t="shared" si="22"/>
        <v>Open - INCORVAIA Alex</v>
      </c>
      <c r="C773" s="1441" t="str">
        <f t="shared" si="23"/>
        <v>INCORVAIA Alex</v>
      </c>
      <c r="D773" s="1428" t="s">
        <v>889</v>
      </c>
      <c r="E773" s="1429">
        <v>767</v>
      </c>
      <c r="F773" s="2197" t="s">
        <v>9491</v>
      </c>
      <c r="G773" s="2198" t="s">
        <v>3130</v>
      </c>
      <c r="H773" s="2197" t="s">
        <v>11467</v>
      </c>
      <c r="I773" s="2199" t="s">
        <v>1037</v>
      </c>
      <c r="J773" s="2196">
        <v>8.5</v>
      </c>
    </row>
    <row r="774" spans="2:10" ht="13.5" thickBot="1" x14ac:dyDescent="0.25">
      <c r="B774" s="392" t="str">
        <f t="shared" si="22"/>
        <v>Open - SOCHORITIS Konstantinos</v>
      </c>
      <c r="C774" s="1441" t="str">
        <f t="shared" si="23"/>
        <v>SOCHORITIS Konstantinos</v>
      </c>
      <c r="D774" s="1428" t="s">
        <v>889</v>
      </c>
      <c r="E774" s="1429">
        <v>767</v>
      </c>
      <c r="F774" s="2197" t="s">
        <v>14188</v>
      </c>
      <c r="G774" s="2198" t="s">
        <v>6986</v>
      </c>
      <c r="H774" s="2197" t="s">
        <v>2745</v>
      </c>
      <c r="I774" s="2199" t="s">
        <v>1025</v>
      </c>
      <c r="J774" s="2196">
        <v>8.5</v>
      </c>
    </row>
    <row r="775" spans="2:10" ht="13.5" thickBot="1" x14ac:dyDescent="0.25">
      <c r="B775" s="392" t="str">
        <f t="shared" ref="B775:B838" si="24">CONCATENATE(D775," - ",C775)</f>
        <v>Open - GONZÁLEZ José Pedro</v>
      </c>
      <c r="C775" s="1441" t="str">
        <f t="shared" ref="C775:C838" si="25">CONCATENATE(UPPER(F775)," ",G775)</f>
        <v>GONZÁLEZ José Pedro</v>
      </c>
      <c r="D775" s="1428" t="s">
        <v>889</v>
      </c>
      <c r="E775" s="1429">
        <v>767</v>
      </c>
      <c r="F775" s="2197" t="s">
        <v>3428</v>
      </c>
      <c r="G775" s="2198" t="s">
        <v>7466</v>
      </c>
      <c r="H775" s="2197" t="s">
        <v>7871</v>
      </c>
      <c r="I775" s="2199" t="s">
        <v>1015</v>
      </c>
      <c r="J775" s="2196">
        <v>8.5</v>
      </c>
    </row>
    <row r="776" spans="2:10" ht="13.5" thickBot="1" x14ac:dyDescent="0.25">
      <c r="B776" s="392" t="str">
        <f t="shared" si="24"/>
        <v>Open - SKLAVOUNOS Georgios</v>
      </c>
      <c r="C776" s="1441" t="str">
        <f t="shared" si="25"/>
        <v>SKLAVOUNOS Georgios</v>
      </c>
      <c r="D776" s="1428" t="s">
        <v>889</v>
      </c>
      <c r="E776" s="1429">
        <v>767</v>
      </c>
      <c r="F776" s="2197" t="s">
        <v>3437</v>
      </c>
      <c r="G776" s="2198" t="s">
        <v>3324</v>
      </c>
      <c r="H776" s="2197" t="s">
        <v>14596</v>
      </c>
      <c r="I776" s="2199" t="s">
        <v>1025</v>
      </c>
      <c r="J776" s="2196">
        <v>8.5</v>
      </c>
    </row>
    <row r="777" spans="2:10" ht="13.5" thickBot="1" x14ac:dyDescent="0.25">
      <c r="B777" s="392" t="str">
        <f t="shared" si="24"/>
        <v>Open - SAKAI Kazunari</v>
      </c>
      <c r="C777" s="1441" t="str">
        <f t="shared" si="25"/>
        <v>SAKAI Kazunari</v>
      </c>
      <c r="D777" s="1428" t="s">
        <v>889</v>
      </c>
      <c r="E777" s="1429">
        <v>771</v>
      </c>
      <c r="F777" s="2197" t="s">
        <v>18102</v>
      </c>
      <c r="G777" s="2198" t="s">
        <v>17341</v>
      </c>
      <c r="H777" s="2197" t="s">
        <v>17238</v>
      </c>
      <c r="I777" s="2199" t="s">
        <v>1041</v>
      </c>
      <c r="J777" s="2196">
        <v>8</v>
      </c>
    </row>
    <row r="778" spans="2:10" ht="13.5" thickBot="1" x14ac:dyDescent="0.25">
      <c r="B778" s="392" t="str">
        <f t="shared" si="24"/>
        <v>Open - MAZZONI Tommaso</v>
      </c>
      <c r="C778" s="1441" t="str">
        <f t="shared" si="25"/>
        <v>MAZZONI Tommaso</v>
      </c>
      <c r="D778" s="1428" t="s">
        <v>889</v>
      </c>
      <c r="E778" s="1429">
        <v>771</v>
      </c>
      <c r="F778" s="2197" t="s">
        <v>18103</v>
      </c>
      <c r="G778" s="2198" t="s">
        <v>3534</v>
      </c>
      <c r="H778" s="2197" t="s">
        <v>16501</v>
      </c>
      <c r="I778" s="2199" t="s">
        <v>1037</v>
      </c>
      <c r="J778" s="2196">
        <v>8</v>
      </c>
    </row>
    <row r="779" spans="2:10" ht="13.5" thickBot="1" x14ac:dyDescent="0.25">
      <c r="B779" s="392" t="str">
        <f t="shared" si="24"/>
        <v>Open - SUTTON Paul</v>
      </c>
      <c r="C779" s="1441" t="str">
        <f t="shared" si="25"/>
        <v>SUTTON Paul</v>
      </c>
      <c r="D779" s="1428" t="s">
        <v>889</v>
      </c>
      <c r="E779" s="1429">
        <v>771</v>
      </c>
      <c r="F779" s="2197" t="s">
        <v>18104</v>
      </c>
      <c r="G779" s="2198" t="s">
        <v>3259</v>
      </c>
      <c r="H779" s="2197" t="s">
        <v>17082</v>
      </c>
      <c r="I779" s="2199" t="s">
        <v>1013</v>
      </c>
      <c r="J779" s="2196">
        <v>8</v>
      </c>
    </row>
    <row r="780" spans="2:10" ht="13.5" thickBot="1" x14ac:dyDescent="0.25">
      <c r="B780" s="392" t="str">
        <f t="shared" si="24"/>
        <v>Open - WRIGHT Chad</v>
      </c>
      <c r="C780" s="1441" t="str">
        <f t="shared" si="25"/>
        <v>WRIGHT Chad</v>
      </c>
      <c r="D780" s="1428" t="s">
        <v>889</v>
      </c>
      <c r="E780" s="1429">
        <v>771</v>
      </c>
      <c r="F780" s="2197" t="s">
        <v>8759</v>
      </c>
      <c r="G780" s="2198" t="s">
        <v>14789</v>
      </c>
      <c r="H780" s="2197" t="s">
        <v>2771</v>
      </c>
      <c r="I780" s="2199" t="s">
        <v>1069</v>
      </c>
      <c r="J780" s="2196">
        <v>8</v>
      </c>
    </row>
    <row r="781" spans="2:10" ht="13.5" thickBot="1" x14ac:dyDescent="0.25">
      <c r="B781" s="392" t="str">
        <f t="shared" si="24"/>
        <v>Open - KARNEZIS Ioannis</v>
      </c>
      <c r="C781" s="1441" t="str">
        <f t="shared" si="25"/>
        <v>KARNEZIS Ioannis</v>
      </c>
      <c r="D781" s="1428" t="s">
        <v>889</v>
      </c>
      <c r="E781" s="1429">
        <v>771</v>
      </c>
      <c r="F781" s="2197" t="s">
        <v>16648</v>
      </c>
      <c r="G781" s="2198" t="s">
        <v>3350</v>
      </c>
      <c r="H781" s="2197" t="s">
        <v>3213</v>
      </c>
      <c r="I781" s="2199" t="s">
        <v>1025</v>
      </c>
      <c r="J781" s="2196">
        <v>8</v>
      </c>
    </row>
    <row r="782" spans="2:10" ht="13.5" thickBot="1" x14ac:dyDescent="0.25">
      <c r="B782" s="392" t="str">
        <f t="shared" si="24"/>
        <v>Open - CHALIOTIS Athanasios</v>
      </c>
      <c r="C782" s="1441" t="str">
        <f t="shared" si="25"/>
        <v>CHALIOTIS Athanasios</v>
      </c>
      <c r="D782" s="1428" t="s">
        <v>889</v>
      </c>
      <c r="E782" s="1429">
        <v>771</v>
      </c>
      <c r="F782" s="2197" t="s">
        <v>14931</v>
      </c>
      <c r="G782" s="2198" t="s">
        <v>3472</v>
      </c>
      <c r="H782" s="2197" t="s">
        <v>2745</v>
      </c>
      <c r="I782" s="2199" t="s">
        <v>1025</v>
      </c>
      <c r="J782" s="2196">
        <v>8</v>
      </c>
    </row>
    <row r="783" spans="2:10" ht="13.5" thickBot="1" x14ac:dyDescent="0.25">
      <c r="B783" s="392" t="str">
        <f t="shared" si="24"/>
        <v>Open - SATO Toshiki</v>
      </c>
      <c r="C783" s="1441" t="str">
        <f t="shared" si="25"/>
        <v>SATO Toshiki</v>
      </c>
      <c r="D783" s="1428" t="s">
        <v>889</v>
      </c>
      <c r="E783" s="1429">
        <v>771</v>
      </c>
      <c r="F783" s="2197" t="s">
        <v>18105</v>
      </c>
      <c r="G783" s="2198" t="s">
        <v>17338</v>
      </c>
      <c r="H783" s="2197" t="s">
        <v>17238</v>
      </c>
      <c r="I783" s="2199" t="s">
        <v>1041</v>
      </c>
      <c r="J783" s="2196">
        <v>8</v>
      </c>
    </row>
    <row r="784" spans="2:10" ht="13.5" thickBot="1" x14ac:dyDescent="0.25">
      <c r="B784" s="392" t="str">
        <f t="shared" si="24"/>
        <v>Open - JENKINS Dee</v>
      </c>
      <c r="C784" s="1441" t="str">
        <f t="shared" si="25"/>
        <v>JENKINS Dee</v>
      </c>
      <c r="D784" s="1428" t="s">
        <v>889</v>
      </c>
      <c r="E784" s="1429">
        <v>771</v>
      </c>
      <c r="F784" s="2197" t="s">
        <v>16685</v>
      </c>
      <c r="G784" s="2198" t="s">
        <v>14740</v>
      </c>
      <c r="H784" s="2197" t="s">
        <v>9598</v>
      </c>
      <c r="I784" s="2199" t="s">
        <v>1055</v>
      </c>
      <c r="J784" s="2196">
        <v>8</v>
      </c>
    </row>
    <row r="785" spans="2:10" ht="13.5" thickBot="1" x14ac:dyDescent="0.25">
      <c r="B785" s="392" t="str">
        <f t="shared" si="24"/>
        <v>Open - VEZZO Maurizio</v>
      </c>
      <c r="C785" s="1441" t="str">
        <f t="shared" si="25"/>
        <v>VEZZO Maurizio</v>
      </c>
      <c r="D785" s="1428" t="s">
        <v>889</v>
      </c>
      <c r="E785" s="1429">
        <v>771</v>
      </c>
      <c r="F785" s="2197" t="s">
        <v>18106</v>
      </c>
      <c r="G785" s="2198" t="s">
        <v>3148</v>
      </c>
      <c r="H785" s="2197" t="s">
        <v>2750</v>
      </c>
      <c r="I785" s="2199" t="s">
        <v>1037</v>
      </c>
      <c r="J785" s="2196">
        <v>8</v>
      </c>
    </row>
    <row r="786" spans="2:10" ht="13.5" thickBot="1" x14ac:dyDescent="0.25">
      <c r="B786" s="392" t="str">
        <f t="shared" si="24"/>
        <v>Open - THAT Raksmey</v>
      </c>
      <c r="C786" s="1441" t="str">
        <f t="shared" si="25"/>
        <v>THAT Raksmey</v>
      </c>
      <c r="D786" s="1428" t="s">
        <v>889</v>
      </c>
      <c r="E786" s="1429">
        <v>771</v>
      </c>
      <c r="F786" s="2197" t="s">
        <v>18107</v>
      </c>
      <c r="G786" s="2198" t="s">
        <v>18037</v>
      </c>
      <c r="H786" s="2197" t="s">
        <v>17238</v>
      </c>
      <c r="I786" s="2199" t="s">
        <v>1041</v>
      </c>
      <c r="J786" s="2196">
        <v>8</v>
      </c>
    </row>
    <row r="787" spans="2:10" ht="13.5" thickBot="1" x14ac:dyDescent="0.25">
      <c r="B787" s="392" t="str">
        <f t="shared" si="24"/>
        <v>Open - MARTINELLI Vito Sante</v>
      </c>
      <c r="C787" s="1441" t="str">
        <f t="shared" si="25"/>
        <v>MARTINELLI Vito Sante</v>
      </c>
      <c r="D787" s="1428" t="s">
        <v>889</v>
      </c>
      <c r="E787" s="1429">
        <v>771</v>
      </c>
      <c r="F787" s="2197" t="s">
        <v>16813</v>
      </c>
      <c r="G787" s="2198" t="s">
        <v>15868</v>
      </c>
      <c r="H787" s="2197" t="s">
        <v>10274</v>
      </c>
      <c r="I787" s="2199" t="s">
        <v>1037</v>
      </c>
      <c r="J787" s="2196">
        <v>8</v>
      </c>
    </row>
    <row r="788" spans="2:10" ht="13.5" thickBot="1" x14ac:dyDescent="0.25">
      <c r="B788" s="392" t="str">
        <f t="shared" si="24"/>
        <v>Open - GREGORY Danny</v>
      </c>
      <c r="C788" s="1441" t="str">
        <f t="shared" si="25"/>
        <v>GREGORY Danny</v>
      </c>
      <c r="D788" s="1428" t="s">
        <v>889</v>
      </c>
      <c r="E788" s="1429">
        <v>771</v>
      </c>
      <c r="F788" s="2197" t="s">
        <v>14937</v>
      </c>
      <c r="G788" s="2198" t="s">
        <v>3592</v>
      </c>
      <c r="H788" s="2197" t="s">
        <v>2771</v>
      </c>
      <c r="I788" s="2199" t="s">
        <v>1069</v>
      </c>
      <c r="J788" s="2196">
        <v>8</v>
      </c>
    </row>
    <row r="789" spans="2:10" ht="13.5" thickBot="1" x14ac:dyDescent="0.25">
      <c r="B789" s="392" t="str">
        <f t="shared" si="24"/>
        <v>Open - ARIVAZHAGAN Nagulan</v>
      </c>
      <c r="C789" s="1441" t="str">
        <f t="shared" si="25"/>
        <v>ARIVAZHAGAN Nagulan</v>
      </c>
      <c r="D789" s="1428" t="s">
        <v>889</v>
      </c>
      <c r="E789" s="1429">
        <v>771</v>
      </c>
      <c r="F789" s="2197" t="s">
        <v>16668</v>
      </c>
      <c r="G789" s="2198" t="s">
        <v>15172</v>
      </c>
      <c r="H789" s="2197" t="s">
        <v>8716</v>
      </c>
      <c r="I789" s="2199" t="s">
        <v>7916</v>
      </c>
      <c r="J789" s="2196">
        <v>8</v>
      </c>
    </row>
    <row r="790" spans="2:10" ht="13.5" thickBot="1" x14ac:dyDescent="0.25">
      <c r="B790" s="392" t="str">
        <f t="shared" si="24"/>
        <v>Open - THOM Craig</v>
      </c>
      <c r="C790" s="1441" t="str">
        <f t="shared" si="25"/>
        <v>THOM Craig</v>
      </c>
      <c r="D790" s="1428" t="s">
        <v>889</v>
      </c>
      <c r="E790" s="1429">
        <v>771</v>
      </c>
      <c r="F790" s="2197" t="s">
        <v>7314</v>
      </c>
      <c r="G790" s="2198" t="s">
        <v>3188</v>
      </c>
      <c r="H790" s="2197" t="s">
        <v>14787</v>
      </c>
      <c r="I790" s="2199" t="s">
        <v>1069</v>
      </c>
      <c r="J790" s="2196">
        <v>8</v>
      </c>
    </row>
    <row r="791" spans="2:10" ht="13.5" thickBot="1" x14ac:dyDescent="0.25">
      <c r="B791" s="392" t="str">
        <f t="shared" si="24"/>
        <v>Open - GARAGOUNIS Christos</v>
      </c>
      <c r="C791" s="1441" t="str">
        <f t="shared" si="25"/>
        <v>GARAGOUNIS Christos</v>
      </c>
      <c r="D791" s="1428" t="s">
        <v>889</v>
      </c>
      <c r="E791" s="1429">
        <v>771</v>
      </c>
      <c r="F791" s="2197" t="s">
        <v>14199</v>
      </c>
      <c r="G791" s="2198" t="s">
        <v>3135</v>
      </c>
      <c r="H791" s="2197" t="s">
        <v>9597</v>
      </c>
      <c r="I791" s="2199" t="s">
        <v>986</v>
      </c>
      <c r="J791" s="2196">
        <v>8</v>
      </c>
    </row>
    <row r="792" spans="2:10" ht="13.5" thickBot="1" x14ac:dyDescent="0.25">
      <c r="B792" s="392" t="str">
        <f t="shared" si="24"/>
        <v>Open - KALISZEWSKI Daniel</v>
      </c>
      <c r="C792" s="1441" t="str">
        <f t="shared" si="25"/>
        <v>KALISZEWSKI Daniel</v>
      </c>
      <c r="D792" s="1428" t="s">
        <v>889</v>
      </c>
      <c r="E792" s="1429">
        <v>771</v>
      </c>
      <c r="F792" s="2197" t="s">
        <v>14941</v>
      </c>
      <c r="G792" s="2198" t="s">
        <v>3243</v>
      </c>
      <c r="H792" s="2197" t="s">
        <v>2764</v>
      </c>
      <c r="I792" s="2199" t="s">
        <v>1033</v>
      </c>
      <c r="J792" s="2196">
        <v>8</v>
      </c>
    </row>
    <row r="793" spans="2:10" ht="13.5" thickBot="1" x14ac:dyDescent="0.25">
      <c r="B793" s="392" t="str">
        <f t="shared" si="24"/>
        <v>Open - CAMERLINGO Gianluigi</v>
      </c>
      <c r="C793" s="1441" t="str">
        <f t="shared" si="25"/>
        <v>CAMERLINGO Gianluigi</v>
      </c>
      <c r="D793" s="1428" t="s">
        <v>889</v>
      </c>
      <c r="E793" s="1429">
        <v>771</v>
      </c>
      <c r="F793" s="2197" t="s">
        <v>18108</v>
      </c>
      <c r="G793" s="2198" t="s">
        <v>7003</v>
      </c>
      <c r="H793" s="2197" t="s">
        <v>2776</v>
      </c>
      <c r="I793" s="2199" t="s">
        <v>1037</v>
      </c>
      <c r="J793" s="2196">
        <v>8</v>
      </c>
    </row>
    <row r="794" spans="2:10" ht="13.5" thickBot="1" x14ac:dyDescent="0.25">
      <c r="B794" s="392" t="str">
        <f t="shared" si="24"/>
        <v>Open - MANZELLA Roberto</v>
      </c>
      <c r="C794" s="1441" t="str">
        <f t="shared" si="25"/>
        <v>MANZELLA Roberto</v>
      </c>
      <c r="D794" s="1428" t="s">
        <v>889</v>
      </c>
      <c r="E794" s="1429">
        <v>788</v>
      </c>
      <c r="F794" s="2197" t="s">
        <v>14191</v>
      </c>
      <c r="G794" s="2198" t="s">
        <v>3279</v>
      </c>
      <c r="H794" s="2197" t="s">
        <v>16490</v>
      </c>
      <c r="I794" s="2199" t="s">
        <v>1037</v>
      </c>
      <c r="J794" s="2196">
        <v>7.5</v>
      </c>
    </row>
    <row r="795" spans="2:10" ht="13.5" thickBot="1" x14ac:dyDescent="0.25">
      <c r="B795" s="392" t="str">
        <f t="shared" si="24"/>
        <v>Open - MORGAN Nigel</v>
      </c>
      <c r="C795" s="1441" t="str">
        <f t="shared" si="25"/>
        <v>MORGAN Nigel</v>
      </c>
      <c r="D795" s="1428" t="s">
        <v>889</v>
      </c>
      <c r="E795" s="1429">
        <v>788</v>
      </c>
      <c r="F795" s="2197" t="s">
        <v>14950</v>
      </c>
      <c r="G795" s="2198" t="s">
        <v>7010</v>
      </c>
      <c r="H795" s="2197" t="s">
        <v>14399</v>
      </c>
      <c r="I795" s="2199" t="s">
        <v>1013</v>
      </c>
      <c r="J795" s="2196">
        <v>7.5</v>
      </c>
    </row>
    <row r="796" spans="2:10" ht="13.5" thickBot="1" x14ac:dyDescent="0.25">
      <c r="B796" s="392" t="str">
        <f t="shared" si="24"/>
        <v>Open - JALBERT Thierry</v>
      </c>
      <c r="C796" s="1441" t="str">
        <f t="shared" si="25"/>
        <v>JALBERT Thierry</v>
      </c>
      <c r="D796" s="1428" t="s">
        <v>889</v>
      </c>
      <c r="E796" s="1429">
        <v>788</v>
      </c>
      <c r="F796" s="2197" t="s">
        <v>14982</v>
      </c>
      <c r="G796" s="2198" t="s">
        <v>3332</v>
      </c>
      <c r="H796" s="2197" t="s">
        <v>15183</v>
      </c>
      <c r="I796" s="2199" t="s">
        <v>1019</v>
      </c>
      <c r="J796" s="2196">
        <v>7.5</v>
      </c>
    </row>
    <row r="797" spans="2:10" ht="13.5" thickBot="1" x14ac:dyDescent="0.25">
      <c r="B797" s="392" t="str">
        <f t="shared" si="24"/>
        <v>Open - CAFIERO Alessandro</v>
      </c>
      <c r="C797" s="1441" t="str">
        <f t="shared" si="25"/>
        <v>CAFIERO Alessandro</v>
      </c>
      <c r="D797" s="1428" t="s">
        <v>889</v>
      </c>
      <c r="E797" s="1429">
        <v>788</v>
      </c>
      <c r="F797" s="2197" t="s">
        <v>14184</v>
      </c>
      <c r="G797" s="2198" t="s">
        <v>3125</v>
      </c>
      <c r="H797" s="2197" t="s">
        <v>2773</v>
      </c>
      <c r="I797" s="2199" t="s">
        <v>1037</v>
      </c>
      <c r="J797" s="2196">
        <v>7.5</v>
      </c>
    </row>
    <row r="798" spans="2:10" ht="13.5" thickBot="1" x14ac:dyDescent="0.25">
      <c r="B798" s="392" t="str">
        <f t="shared" si="24"/>
        <v>Open - STEWART Craig</v>
      </c>
      <c r="C798" s="1441" t="str">
        <f t="shared" si="25"/>
        <v>STEWART Craig</v>
      </c>
      <c r="D798" s="1428" t="s">
        <v>889</v>
      </c>
      <c r="E798" s="1429">
        <v>788</v>
      </c>
      <c r="F798" s="2197" t="s">
        <v>11426</v>
      </c>
      <c r="G798" s="2198" t="s">
        <v>3188</v>
      </c>
      <c r="H798" s="2197" t="s">
        <v>9598</v>
      </c>
      <c r="I798" s="2199" t="s">
        <v>1055</v>
      </c>
      <c r="J798" s="2196">
        <v>7.5</v>
      </c>
    </row>
    <row r="799" spans="2:10" ht="13.5" thickBot="1" x14ac:dyDescent="0.25">
      <c r="B799" s="392" t="str">
        <f t="shared" si="24"/>
        <v>Open - FEYJOO José María</v>
      </c>
      <c r="C799" s="1441" t="str">
        <f t="shared" si="25"/>
        <v>FEYJOO José María</v>
      </c>
      <c r="D799" s="1428" t="s">
        <v>889</v>
      </c>
      <c r="E799" s="1429">
        <v>788</v>
      </c>
      <c r="F799" s="2197" t="s">
        <v>11192</v>
      </c>
      <c r="G799" s="2198" t="s">
        <v>8233</v>
      </c>
      <c r="H799" s="2197" t="s">
        <v>14370</v>
      </c>
      <c r="I799" s="2199" t="s">
        <v>1015</v>
      </c>
      <c r="J799" s="2196">
        <v>7.5</v>
      </c>
    </row>
    <row r="800" spans="2:10" ht="13.5" thickBot="1" x14ac:dyDescent="0.25">
      <c r="B800" s="392" t="str">
        <f t="shared" si="24"/>
        <v>Open - GERSIE Janus</v>
      </c>
      <c r="C800" s="1441" t="str">
        <f t="shared" si="25"/>
        <v>GERSIE Janus</v>
      </c>
      <c r="D800" s="1428" t="s">
        <v>889</v>
      </c>
      <c r="E800" s="1429">
        <v>788</v>
      </c>
      <c r="F800" s="2197" t="s">
        <v>11422</v>
      </c>
      <c r="G800" s="2198" t="s">
        <v>3245</v>
      </c>
      <c r="H800" s="2197" t="s">
        <v>2775</v>
      </c>
      <c r="I800" s="2199" t="s">
        <v>1021</v>
      </c>
      <c r="J800" s="2196">
        <v>7.5</v>
      </c>
    </row>
    <row r="801" spans="2:10" ht="13.5" thickBot="1" x14ac:dyDescent="0.25">
      <c r="B801" s="392" t="str">
        <f t="shared" si="24"/>
        <v>Open - EXARCHOU Menelaos</v>
      </c>
      <c r="C801" s="1441" t="str">
        <f t="shared" si="25"/>
        <v>EXARCHOU Menelaos</v>
      </c>
      <c r="D801" s="1428" t="s">
        <v>889</v>
      </c>
      <c r="E801" s="1429">
        <v>788</v>
      </c>
      <c r="F801" s="2197" t="s">
        <v>14918</v>
      </c>
      <c r="G801" s="2198" t="s">
        <v>6971</v>
      </c>
      <c r="H801" s="2197" t="s">
        <v>15175</v>
      </c>
      <c r="I801" s="2199" t="s">
        <v>1025</v>
      </c>
      <c r="J801" s="2196">
        <v>7.5</v>
      </c>
    </row>
    <row r="802" spans="2:10" ht="13.5" thickBot="1" x14ac:dyDescent="0.25">
      <c r="B802" s="392" t="str">
        <f t="shared" si="24"/>
        <v>Open - BOCK Carsten</v>
      </c>
      <c r="C802" s="1441" t="str">
        <f t="shared" si="25"/>
        <v>BOCK Carsten</v>
      </c>
      <c r="D802" s="1428" t="s">
        <v>889</v>
      </c>
      <c r="E802" s="1429">
        <v>788</v>
      </c>
      <c r="F802" s="2197" t="s">
        <v>14193</v>
      </c>
      <c r="G802" s="2198" t="s">
        <v>13892</v>
      </c>
      <c r="H802" s="2197" t="s">
        <v>13588</v>
      </c>
      <c r="I802" s="2199" t="s">
        <v>1021</v>
      </c>
      <c r="J802" s="2196">
        <v>7.5</v>
      </c>
    </row>
    <row r="803" spans="2:10" ht="13.5" thickBot="1" x14ac:dyDescent="0.25">
      <c r="B803" s="392" t="str">
        <f t="shared" si="24"/>
        <v>Open - POTHITOS Ioannis</v>
      </c>
      <c r="C803" s="1441" t="str">
        <f t="shared" si="25"/>
        <v>POTHITOS Ioannis</v>
      </c>
      <c r="D803" s="1428" t="s">
        <v>889</v>
      </c>
      <c r="E803" s="1429">
        <v>788</v>
      </c>
      <c r="F803" s="2197" t="s">
        <v>8742</v>
      </c>
      <c r="G803" s="2198" t="s">
        <v>3350</v>
      </c>
      <c r="H803" s="2197" t="s">
        <v>15175</v>
      </c>
      <c r="I803" s="2199" t="s">
        <v>1025</v>
      </c>
      <c r="J803" s="2196">
        <v>7.5</v>
      </c>
    </row>
    <row r="804" spans="2:10" ht="13.5" thickBot="1" x14ac:dyDescent="0.25">
      <c r="B804" s="392" t="str">
        <f t="shared" si="24"/>
        <v>Open - NOËL Jean-Maurice</v>
      </c>
      <c r="C804" s="1441" t="str">
        <f t="shared" si="25"/>
        <v>NOËL Jean-Maurice</v>
      </c>
      <c r="D804" s="1428" t="s">
        <v>889</v>
      </c>
      <c r="E804" s="1429">
        <v>798</v>
      </c>
      <c r="F804" s="2197" t="s">
        <v>16867</v>
      </c>
      <c r="G804" s="2198" t="s">
        <v>15953</v>
      </c>
      <c r="H804" s="2197" t="s">
        <v>15842</v>
      </c>
      <c r="I804" s="2199" t="s">
        <v>1019</v>
      </c>
      <c r="J804" s="2196">
        <v>7</v>
      </c>
    </row>
    <row r="805" spans="2:10" ht="13.5" thickBot="1" x14ac:dyDescent="0.25">
      <c r="B805" s="392" t="str">
        <f t="shared" si="24"/>
        <v>Open - DERY Véronique</v>
      </c>
      <c r="C805" s="1441" t="str">
        <f t="shared" si="25"/>
        <v>DERY Véronique</v>
      </c>
      <c r="D805" s="1428" t="s">
        <v>889</v>
      </c>
      <c r="E805" s="1429">
        <v>798</v>
      </c>
      <c r="F805" s="2197" t="s">
        <v>17620</v>
      </c>
      <c r="G805" s="2198" t="s">
        <v>16916</v>
      </c>
      <c r="H805" s="2197" t="s">
        <v>15816</v>
      </c>
      <c r="I805" s="2199" t="s">
        <v>990</v>
      </c>
      <c r="J805" s="2196">
        <v>7</v>
      </c>
    </row>
    <row r="806" spans="2:10" ht="13.5" thickBot="1" x14ac:dyDescent="0.25">
      <c r="B806" s="392" t="str">
        <f t="shared" si="24"/>
        <v>Open - BOND Jared</v>
      </c>
      <c r="C806" s="1441" t="str">
        <f t="shared" si="25"/>
        <v>BOND Jared</v>
      </c>
      <c r="D806" s="1428" t="s">
        <v>889</v>
      </c>
      <c r="E806" s="1429">
        <v>798</v>
      </c>
      <c r="F806" s="2197" t="s">
        <v>16607</v>
      </c>
      <c r="G806" s="2198" t="s">
        <v>15264</v>
      </c>
      <c r="H806" s="2197" t="s">
        <v>10290</v>
      </c>
      <c r="I806" s="2199" t="s">
        <v>1079</v>
      </c>
      <c r="J806" s="2196">
        <v>7</v>
      </c>
    </row>
    <row r="807" spans="2:10" ht="13.5" thickBot="1" x14ac:dyDescent="0.25">
      <c r="B807" s="392" t="str">
        <f t="shared" si="24"/>
        <v>Open - PACITTI Stefano</v>
      </c>
      <c r="C807" s="1441" t="str">
        <f t="shared" si="25"/>
        <v>PACITTI Stefano</v>
      </c>
      <c r="D807" s="1428" t="s">
        <v>889</v>
      </c>
      <c r="E807" s="1429">
        <v>798</v>
      </c>
      <c r="F807" s="2197" t="s">
        <v>14161</v>
      </c>
      <c r="G807" s="2198" t="s">
        <v>3062</v>
      </c>
      <c r="H807" s="2197" t="s">
        <v>11328</v>
      </c>
      <c r="I807" s="2199" t="s">
        <v>1037</v>
      </c>
      <c r="J807" s="2196">
        <v>7</v>
      </c>
    </row>
    <row r="808" spans="2:10" ht="13.5" thickBot="1" x14ac:dyDescent="0.25">
      <c r="B808" s="392" t="str">
        <f t="shared" si="24"/>
        <v>Open - JONES Robert</v>
      </c>
      <c r="C808" s="1441" t="str">
        <f t="shared" si="25"/>
        <v>JONES Robert</v>
      </c>
      <c r="D808" s="1428" t="s">
        <v>889</v>
      </c>
      <c r="E808" s="1429">
        <v>798</v>
      </c>
      <c r="F808" s="2197" t="s">
        <v>14168</v>
      </c>
      <c r="G808" s="2198" t="s">
        <v>3405</v>
      </c>
      <c r="H808" s="2197" t="s">
        <v>14359</v>
      </c>
      <c r="I808" s="2199" t="s">
        <v>1013</v>
      </c>
      <c r="J808" s="2196">
        <v>7</v>
      </c>
    </row>
    <row r="809" spans="2:10" ht="13.5" thickBot="1" x14ac:dyDescent="0.25">
      <c r="B809" s="392" t="str">
        <f t="shared" si="24"/>
        <v>Open - PIBIRI Giulia</v>
      </c>
      <c r="C809" s="1441" t="str">
        <f t="shared" si="25"/>
        <v>PIBIRI Giulia</v>
      </c>
      <c r="D809" s="1428" t="s">
        <v>889</v>
      </c>
      <c r="E809" s="1429">
        <v>798</v>
      </c>
      <c r="F809" s="2197" t="s">
        <v>16654</v>
      </c>
      <c r="G809" s="2198" t="s">
        <v>14018</v>
      </c>
      <c r="H809" s="2197" t="s">
        <v>7872</v>
      </c>
      <c r="I809" s="2199" t="s">
        <v>1037</v>
      </c>
      <c r="J809" s="2196">
        <v>7</v>
      </c>
    </row>
    <row r="810" spans="2:10" ht="13.5" thickBot="1" x14ac:dyDescent="0.25">
      <c r="B810" s="392" t="str">
        <f t="shared" si="24"/>
        <v>Open - FUERTES César</v>
      </c>
      <c r="C810" s="1441" t="str">
        <f t="shared" si="25"/>
        <v>FUERTES César</v>
      </c>
      <c r="D810" s="1428" t="s">
        <v>889</v>
      </c>
      <c r="E810" s="1429">
        <v>798</v>
      </c>
      <c r="F810" s="2197" t="s">
        <v>16662</v>
      </c>
      <c r="G810" s="2198" t="s">
        <v>13229</v>
      </c>
      <c r="H810" s="2197" t="s">
        <v>7869</v>
      </c>
      <c r="I810" s="2199" t="s">
        <v>1015</v>
      </c>
      <c r="J810" s="2196">
        <v>7</v>
      </c>
    </row>
    <row r="811" spans="2:10" ht="13.5" thickBot="1" x14ac:dyDescent="0.25">
      <c r="B811" s="392" t="str">
        <f t="shared" si="24"/>
        <v>Open - EBEJER Gabriel</v>
      </c>
      <c r="C811" s="1441" t="str">
        <f t="shared" si="25"/>
        <v>EBEJER Gabriel</v>
      </c>
      <c r="D811" s="1428" t="s">
        <v>889</v>
      </c>
      <c r="E811" s="1429">
        <v>798</v>
      </c>
      <c r="F811" s="2197" t="s">
        <v>3161</v>
      </c>
      <c r="G811" s="2198" t="s">
        <v>6887</v>
      </c>
      <c r="H811" s="2197" t="s">
        <v>10253</v>
      </c>
      <c r="I811" s="2199" t="s">
        <v>1045</v>
      </c>
      <c r="J811" s="2196">
        <v>7</v>
      </c>
    </row>
    <row r="812" spans="2:10" ht="13.5" thickBot="1" x14ac:dyDescent="0.25">
      <c r="B812" s="392" t="str">
        <f t="shared" si="24"/>
        <v>Open - PARÍS Javier</v>
      </c>
      <c r="C812" s="1441" t="str">
        <f t="shared" si="25"/>
        <v>PARÍS Javier</v>
      </c>
      <c r="D812" s="1428" t="s">
        <v>889</v>
      </c>
      <c r="E812" s="1429">
        <v>798</v>
      </c>
      <c r="F812" s="2197" t="s">
        <v>16661</v>
      </c>
      <c r="G812" s="2198" t="s">
        <v>3574</v>
      </c>
      <c r="H812" s="2197" t="s">
        <v>7869</v>
      </c>
      <c r="I812" s="2199" t="s">
        <v>1015</v>
      </c>
      <c r="J812" s="2196">
        <v>7</v>
      </c>
    </row>
    <row r="813" spans="2:10" ht="13.5" thickBot="1" x14ac:dyDescent="0.25">
      <c r="B813" s="392" t="str">
        <f t="shared" si="24"/>
        <v>Open - RUÍZ Bonifacio</v>
      </c>
      <c r="C813" s="1441" t="str">
        <f t="shared" si="25"/>
        <v>RUÍZ Bonifacio</v>
      </c>
      <c r="D813" s="1428" t="s">
        <v>889</v>
      </c>
      <c r="E813" s="1429">
        <v>798</v>
      </c>
      <c r="F813" s="2197" t="s">
        <v>16655</v>
      </c>
      <c r="G813" s="2198" t="s">
        <v>16157</v>
      </c>
      <c r="H813" s="2197" t="s">
        <v>2774</v>
      </c>
      <c r="I813" s="2199" t="s">
        <v>1015</v>
      </c>
      <c r="J813" s="2196">
        <v>7</v>
      </c>
    </row>
    <row r="814" spans="2:10" ht="13.5" thickBot="1" x14ac:dyDescent="0.25">
      <c r="B814" s="392" t="str">
        <f t="shared" si="24"/>
        <v>Open - GERRETS Quincy</v>
      </c>
      <c r="C814" s="1441" t="str">
        <f t="shared" si="25"/>
        <v>GERRETS Quincy</v>
      </c>
      <c r="D814" s="1428" t="s">
        <v>889</v>
      </c>
      <c r="E814" s="1429">
        <v>798</v>
      </c>
      <c r="F814" s="2197" t="s">
        <v>14196</v>
      </c>
      <c r="G814" s="2198" t="s">
        <v>3700</v>
      </c>
      <c r="H814" s="2197" t="s">
        <v>2763</v>
      </c>
      <c r="I814" s="2199" t="s">
        <v>1051</v>
      </c>
      <c r="J814" s="2196">
        <v>7</v>
      </c>
    </row>
    <row r="815" spans="2:10" ht="13.5" thickBot="1" x14ac:dyDescent="0.25">
      <c r="B815" s="392" t="str">
        <f t="shared" si="24"/>
        <v>Open - RAGUSA Giuseppe</v>
      </c>
      <c r="C815" s="1441" t="str">
        <f t="shared" si="25"/>
        <v>RAGUSA Giuseppe</v>
      </c>
      <c r="D815" s="1428" t="s">
        <v>889</v>
      </c>
      <c r="E815" s="1429">
        <v>798</v>
      </c>
      <c r="F815" s="2197" t="s">
        <v>14194</v>
      </c>
      <c r="G815" s="2198" t="s">
        <v>3122</v>
      </c>
      <c r="H815" s="2197" t="s">
        <v>16847</v>
      </c>
      <c r="I815" s="2199" t="s">
        <v>1037</v>
      </c>
      <c r="J815" s="2196">
        <v>7</v>
      </c>
    </row>
    <row r="816" spans="2:10" ht="13.5" thickBot="1" x14ac:dyDescent="0.25">
      <c r="B816" s="392" t="str">
        <f t="shared" si="24"/>
        <v>Open - GRANT Kevin</v>
      </c>
      <c r="C816" s="1441" t="str">
        <f t="shared" si="25"/>
        <v>GRANT Kevin</v>
      </c>
      <c r="D816" s="1428" t="s">
        <v>889</v>
      </c>
      <c r="E816" s="1429">
        <v>798</v>
      </c>
      <c r="F816" s="2197" t="s">
        <v>8753</v>
      </c>
      <c r="G816" s="2198" t="s">
        <v>3263</v>
      </c>
      <c r="H816" s="2197" t="s">
        <v>11322</v>
      </c>
      <c r="I816" s="2199" t="s">
        <v>986</v>
      </c>
      <c r="J816" s="2196">
        <v>7</v>
      </c>
    </row>
    <row r="817" spans="2:10" ht="13.5" thickBot="1" x14ac:dyDescent="0.25">
      <c r="B817" s="392" t="str">
        <f t="shared" si="24"/>
        <v>Open - VAGNONI Augusto</v>
      </c>
      <c r="C817" s="1441" t="str">
        <f t="shared" si="25"/>
        <v>VAGNONI Augusto</v>
      </c>
      <c r="D817" s="1428" t="s">
        <v>889</v>
      </c>
      <c r="E817" s="1429">
        <v>798</v>
      </c>
      <c r="F817" s="2197" t="s">
        <v>3214</v>
      </c>
      <c r="G817" s="2198" t="s">
        <v>3215</v>
      </c>
      <c r="H817" s="2197" t="s">
        <v>2761</v>
      </c>
      <c r="I817" s="2199" t="s">
        <v>1037</v>
      </c>
      <c r="J817" s="2196">
        <v>7</v>
      </c>
    </row>
    <row r="818" spans="2:10" ht="13.5" thickBot="1" x14ac:dyDescent="0.25">
      <c r="B818" s="392" t="str">
        <f t="shared" si="24"/>
        <v>Open - LAZZARETTI Lorenzo</v>
      </c>
      <c r="C818" s="1441" t="str">
        <f t="shared" si="25"/>
        <v>LAZZARETTI Lorenzo</v>
      </c>
      <c r="D818" s="1428" t="s">
        <v>889</v>
      </c>
      <c r="E818" s="1429">
        <v>798</v>
      </c>
      <c r="F818" s="2197" t="s">
        <v>8763</v>
      </c>
      <c r="G818" s="2198" t="s">
        <v>3155</v>
      </c>
      <c r="H818" s="2197" t="s">
        <v>2777</v>
      </c>
      <c r="I818" s="2199" t="s">
        <v>1037</v>
      </c>
      <c r="J818" s="2196">
        <v>7</v>
      </c>
    </row>
    <row r="819" spans="2:10" ht="13.5" thickBot="1" x14ac:dyDescent="0.25">
      <c r="B819" s="392" t="str">
        <f t="shared" si="24"/>
        <v>Open - RUIZ Ernesto</v>
      </c>
      <c r="C819" s="1441" t="str">
        <f t="shared" si="25"/>
        <v>RUIZ Ernesto</v>
      </c>
      <c r="D819" s="1428" t="s">
        <v>889</v>
      </c>
      <c r="E819" s="1429">
        <v>798</v>
      </c>
      <c r="F819" s="2197" t="s">
        <v>9470</v>
      </c>
      <c r="G819" s="2198" t="s">
        <v>5464</v>
      </c>
      <c r="H819" s="2197" t="s">
        <v>7871</v>
      </c>
      <c r="I819" s="2199" t="s">
        <v>1015</v>
      </c>
      <c r="J819" s="2196">
        <v>7</v>
      </c>
    </row>
    <row r="820" spans="2:10" ht="13.5" thickBot="1" x14ac:dyDescent="0.25">
      <c r="B820" s="392" t="str">
        <f t="shared" si="24"/>
        <v>Open - CORR Barry</v>
      </c>
      <c r="C820" s="1441" t="str">
        <f t="shared" si="25"/>
        <v>CORR Barry</v>
      </c>
      <c r="D820" s="1428" t="s">
        <v>889</v>
      </c>
      <c r="E820" s="1429">
        <v>798</v>
      </c>
      <c r="F820" s="2197" t="s">
        <v>5523</v>
      </c>
      <c r="G820" s="2198" t="s">
        <v>5524</v>
      </c>
      <c r="H820" s="2197" t="s">
        <v>2771</v>
      </c>
      <c r="I820" s="2199" t="s">
        <v>1069</v>
      </c>
      <c r="J820" s="2196">
        <v>7</v>
      </c>
    </row>
    <row r="821" spans="2:10" ht="13.5" thickBot="1" x14ac:dyDescent="0.25">
      <c r="B821" s="392" t="str">
        <f t="shared" si="24"/>
        <v>Open - PARISI Giuseppe</v>
      </c>
      <c r="C821" s="1441" t="str">
        <f t="shared" si="25"/>
        <v>PARISI Giuseppe</v>
      </c>
      <c r="D821" s="1428" t="s">
        <v>889</v>
      </c>
      <c r="E821" s="1429">
        <v>798</v>
      </c>
      <c r="F821" s="2197" t="s">
        <v>16850</v>
      </c>
      <c r="G821" s="2198" t="s">
        <v>3122</v>
      </c>
      <c r="H821" s="2197" t="s">
        <v>7872</v>
      </c>
      <c r="I821" s="2199" t="s">
        <v>1037</v>
      </c>
      <c r="J821" s="2196">
        <v>7</v>
      </c>
    </row>
    <row r="822" spans="2:10" ht="13.5" thickBot="1" x14ac:dyDescent="0.25">
      <c r="B822" s="392" t="str">
        <f t="shared" si="24"/>
        <v>Open - CHONDROUDAKIS Fotis</v>
      </c>
      <c r="C822" s="1441" t="str">
        <f t="shared" si="25"/>
        <v>CHONDROUDAKIS Fotis</v>
      </c>
      <c r="D822" s="1428" t="s">
        <v>889</v>
      </c>
      <c r="E822" s="1429">
        <v>798</v>
      </c>
      <c r="F822" s="2197" t="s">
        <v>10931</v>
      </c>
      <c r="G822" s="2198" t="s">
        <v>3363</v>
      </c>
      <c r="H822" s="2197" t="s">
        <v>10251</v>
      </c>
      <c r="I822" s="2199" t="s">
        <v>1025</v>
      </c>
      <c r="J822" s="2196">
        <v>7</v>
      </c>
    </row>
    <row r="823" spans="2:10" ht="13.5" thickBot="1" x14ac:dyDescent="0.25">
      <c r="B823" s="392" t="str">
        <f t="shared" si="24"/>
        <v>Open - NIAVIS Giorgos</v>
      </c>
      <c r="C823" s="1441" t="str">
        <f t="shared" si="25"/>
        <v>NIAVIS Giorgos</v>
      </c>
      <c r="D823" s="1428" t="s">
        <v>889</v>
      </c>
      <c r="E823" s="1429">
        <v>798</v>
      </c>
      <c r="F823" s="2197" t="s">
        <v>3307</v>
      </c>
      <c r="G823" s="2198" t="s">
        <v>3040</v>
      </c>
      <c r="H823" s="2197" t="s">
        <v>15175</v>
      </c>
      <c r="I823" s="2199" t="s">
        <v>1025</v>
      </c>
      <c r="J823" s="2196">
        <v>7</v>
      </c>
    </row>
    <row r="824" spans="2:10" ht="13.5" thickBot="1" x14ac:dyDescent="0.25">
      <c r="B824" s="392" t="str">
        <f t="shared" si="24"/>
        <v>Open - PRANTSOUDIS Evripidis</v>
      </c>
      <c r="C824" s="1441" t="str">
        <f t="shared" si="25"/>
        <v>PRANTSOUDIS Evripidis</v>
      </c>
      <c r="D824" s="1428" t="s">
        <v>889</v>
      </c>
      <c r="E824" s="1429">
        <v>798</v>
      </c>
      <c r="F824" s="2197" t="s">
        <v>11337</v>
      </c>
      <c r="G824" s="2198" t="s">
        <v>3058</v>
      </c>
      <c r="H824" s="2197" t="s">
        <v>10263</v>
      </c>
      <c r="I824" s="2199" t="s">
        <v>1025</v>
      </c>
      <c r="J824" s="2196">
        <v>7</v>
      </c>
    </row>
    <row r="825" spans="2:10" ht="13.5" thickBot="1" x14ac:dyDescent="0.25">
      <c r="B825" s="392" t="str">
        <f t="shared" si="24"/>
        <v>Open - SPILLER Alberto</v>
      </c>
      <c r="C825" s="1441" t="str">
        <f t="shared" si="25"/>
        <v>SPILLER Alberto</v>
      </c>
      <c r="D825" s="1428" t="s">
        <v>889</v>
      </c>
      <c r="E825" s="1429">
        <v>798</v>
      </c>
      <c r="F825" s="2197" t="s">
        <v>11186</v>
      </c>
      <c r="G825" s="2198" t="s">
        <v>3042</v>
      </c>
      <c r="H825" s="2197" t="s">
        <v>9701</v>
      </c>
      <c r="I825" s="2199" t="s">
        <v>1037</v>
      </c>
      <c r="J825" s="2196">
        <v>7</v>
      </c>
    </row>
    <row r="826" spans="2:10" ht="13.5" thickBot="1" x14ac:dyDescent="0.25">
      <c r="B826" s="392" t="str">
        <f t="shared" si="24"/>
        <v>Open - GARCÍA FERRI José</v>
      </c>
      <c r="C826" s="1441" t="str">
        <f t="shared" si="25"/>
        <v>GARCÍA FERRI José</v>
      </c>
      <c r="D826" s="1428" t="s">
        <v>889</v>
      </c>
      <c r="E826" s="1429">
        <v>820</v>
      </c>
      <c r="F826" s="2197" t="s">
        <v>16718</v>
      </c>
      <c r="G826" s="2198" t="s">
        <v>3232</v>
      </c>
      <c r="H826" s="2197" t="s">
        <v>14872</v>
      </c>
      <c r="I826" s="2199" t="s">
        <v>1015</v>
      </c>
      <c r="J826" s="2196">
        <v>6.5</v>
      </c>
    </row>
    <row r="827" spans="2:10" ht="13.5" thickBot="1" x14ac:dyDescent="0.25">
      <c r="B827" s="392" t="str">
        <f t="shared" si="24"/>
        <v>Open - MCCAULLEY Scott</v>
      </c>
      <c r="C827" s="1441" t="str">
        <f t="shared" si="25"/>
        <v>MCCAULLEY Scott</v>
      </c>
      <c r="D827" s="1428" t="s">
        <v>889</v>
      </c>
      <c r="E827" s="1429">
        <v>820</v>
      </c>
      <c r="F827" s="2197" t="s">
        <v>16660</v>
      </c>
      <c r="G827" s="2198" t="s">
        <v>10947</v>
      </c>
      <c r="H827" s="2197" t="s">
        <v>17015</v>
      </c>
      <c r="I827" s="2199" t="s">
        <v>1079</v>
      </c>
      <c r="J827" s="2196">
        <v>6.5</v>
      </c>
    </row>
    <row r="828" spans="2:10" ht="13.5" thickBot="1" x14ac:dyDescent="0.25">
      <c r="B828" s="392" t="str">
        <f t="shared" si="24"/>
        <v>Open - SANTOS Tom</v>
      </c>
      <c r="C828" s="1441" t="str">
        <f t="shared" si="25"/>
        <v>SANTOS Tom</v>
      </c>
      <c r="D828" s="1428" t="s">
        <v>889</v>
      </c>
      <c r="E828" s="1429">
        <v>820</v>
      </c>
      <c r="F828" s="2197" t="s">
        <v>3170</v>
      </c>
      <c r="G828" s="2198" t="s">
        <v>3235</v>
      </c>
      <c r="H828" s="2197" t="s">
        <v>14359</v>
      </c>
      <c r="I828" s="2199" t="s">
        <v>1023</v>
      </c>
      <c r="J828" s="2196">
        <v>6.5</v>
      </c>
    </row>
    <row r="829" spans="2:10" ht="13.5" thickBot="1" x14ac:dyDescent="0.25">
      <c r="B829" s="392" t="str">
        <f t="shared" si="24"/>
        <v>Open - PRETZEL Nico</v>
      </c>
      <c r="C829" s="1441" t="str">
        <f t="shared" si="25"/>
        <v>PRETZEL Nico</v>
      </c>
      <c r="D829" s="1428" t="s">
        <v>889</v>
      </c>
      <c r="E829" s="1429">
        <v>820</v>
      </c>
      <c r="F829" s="2197" t="s">
        <v>16614</v>
      </c>
      <c r="G829" s="2198" t="s">
        <v>3556</v>
      </c>
      <c r="H829" s="2197" t="s">
        <v>2753</v>
      </c>
      <c r="I829" s="2199" t="s">
        <v>1021</v>
      </c>
      <c r="J829" s="2196">
        <v>6.5</v>
      </c>
    </row>
    <row r="830" spans="2:10" ht="13.5" thickBot="1" x14ac:dyDescent="0.25">
      <c r="B830" s="392" t="str">
        <f t="shared" si="24"/>
        <v>Open - MARLAIR Mathieu</v>
      </c>
      <c r="C830" s="1441" t="str">
        <f t="shared" si="25"/>
        <v>MARLAIR Mathieu</v>
      </c>
      <c r="D830" s="1428" t="s">
        <v>889</v>
      </c>
      <c r="E830" s="1429">
        <v>820</v>
      </c>
      <c r="F830" s="2197" t="s">
        <v>18109</v>
      </c>
      <c r="G830" s="2198" t="s">
        <v>13656</v>
      </c>
      <c r="H830" s="2197" t="s">
        <v>2747</v>
      </c>
      <c r="I830" s="2199" t="s">
        <v>990</v>
      </c>
      <c r="J830" s="2196">
        <v>6.5</v>
      </c>
    </row>
    <row r="831" spans="2:10" ht="13.5" thickBot="1" x14ac:dyDescent="0.25">
      <c r="B831" s="392" t="str">
        <f t="shared" si="24"/>
        <v>Open - MADIONA Anthony</v>
      </c>
      <c r="C831" s="1441" t="str">
        <f t="shared" si="25"/>
        <v>MADIONA Anthony</v>
      </c>
      <c r="D831" s="1428" t="s">
        <v>889</v>
      </c>
      <c r="E831" s="1429">
        <v>820</v>
      </c>
      <c r="F831" s="2197" t="s">
        <v>11433</v>
      </c>
      <c r="G831" s="2198" t="s">
        <v>3305</v>
      </c>
      <c r="H831" s="2197" t="s">
        <v>9597</v>
      </c>
      <c r="I831" s="2199" t="s">
        <v>986</v>
      </c>
      <c r="J831" s="2196">
        <v>6.5</v>
      </c>
    </row>
    <row r="832" spans="2:10" ht="13.5" thickBot="1" x14ac:dyDescent="0.25">
      <c r="B832" s="392" t="str">
        <f t="shared" si="24"/>
        <v>Open - BUCCHERI Michael</v>
      </c>
      <c r="C832" s="1441" t="str">
        <f t="shared" si="25"/>
        <v>BUCCHERI Michael</v>
      </c>
      <c r="D832" s="1428" t="s">
        <v>889</v>
      </c>
      <c r="E832" s="1429">
        <v>820</v>
      </c>
      <c r="F832" s="2197" t="s">
        <v>14954</v>
      </c>
      <c r="G832" s="2198" t="s">
        <v>3416</v>
      </c>
      <c r="H832" s="2197" t="s">
        <v>2905</v>
      </c>
      <c r="I832" s="2199" t="s">
        <v>1079</v>
      </c>
      <c r="J832" s="2196">
        <v>6.5</v>
      </c>
    </row>
    <row r="833" spans="2:10" ht="13.5" thickBot="1" x14ac:dyDescent="0.25">
      <c r="B833" s="392" t="str">
        <f t="shared" si="24"/>
        <v>Open - MINTY Dave</v>
      </c>
      <c r="C833" s="1441" t="str">
        <f t="shared" si="25"/>
        <v>MINTY Dave</v>
      </c>
      <c r="D833" s="1428" t="s">
        <v>889</v>
      </c>
      <c r="E833" s="1429">
        <v>820</v>
      </c>
      <c r="F833" s="2197" t="s">
        <v>16616</v>
      </c>
      <c r="G833" s="2198" t="s">
        <v>3046</v>
      </c>
      <c r="H833" s="2197" t="s">
        <v>14787</v>
      </c>
      <c r="I833" s="2199" t="s">
        <v>1069</v>
      </c>
      <c r="J833" s="2196">
        <v>6.5</v>
      </c>
    </row>
    <row r="834" spans="2:10" ht="13.5" thickBot="1" x14ac:dyDescent="0.25">
      <c r="B834" s="392" t="str">
        <f t="shared" si="24"/>
        <v>Open - MICATI Giovanni</v>
      </c>
      <c r="C834" s="1441" t="str">
        <f t="shared" si="25"/>
        <v>MICATI Giovanni</v>
      </c>
      <c r="D834" s="1428" t="s">
        <v>889</v>
      </c>
      <c r="E834" s="1429">
        <v>828</v>
      </c>
      <c r="F834" s="2197" t="s">
        <v>16665</v>
      </c>
      <c r="G834" s="2198" t="s">
        <v>3371</v>
      </c>
      <c r="H834" s="2197" t="s">
        <v>15293</v>
      </c>
      <c r="I834" s="2199" t="s">
        <v>1037</v>
      </c>
      <c r="J834" s="2196">
        <v>6</v>
      </c>
    </row>
    <row r="835" spans="2:10" ht="13.5" thickBot="1" x14ac:dyDescent="0.25">
      <c r="B835" s="392" t="str">
        <f t="shared" si="24"/>
        <v>Open - SARDI DE LETTO David</v>
      </c>
      <c r="C835" s="1441" t="str">
        <f t="shared" si="25"/>
        <v>SARDI DE LETTO David</v>
      </c>
      <c r="D835" s="1428" t="s">
        <v>889</v>
      </c>
      <c r="E835" s="1429">
        <v>828</v>
      </c>
      <c r="F835" s="2197" t="s">
        <v>17621</v>
      </c>
      <c r="G835" s="2198" t="s">
        <v>3072</v>
      </c>
      <c r="H835" s="2197" t="s">
        <v>16195</v>
      </c>
      <c r="I835" s="2199" t="s">
        <v>1019</v>
      </c>
      <c r="J835" s="2196">
        <v>6</v>
      </c>
    </row>
    <row r="836" spans="2:10" ht="13.5" thickBot="1" x14ac:dyDescent="0.25">
      <c r="B836" s="392" t="str">
        <f t="shared" si="24"/>
        <v>Open - KALOPSIDIOTIS Marcos</v>
      </c>
      <c r="C836" s="1441" t="str">
        <f t="shared" si="25"/>
        <v>KALOPSIDIOTIS Marcos</v>
      </c>
      <c r="D836" s="1428" t="s">
        <v>889</v>
      </c>
      <c r="E836" s="1429">
        <v>828</v>
      </c>
      <c r="F836" s="2197" t="s">
        <v>17450</v>
      </c>
      <c r="G836" s="2198" t="s">
        <v>3112</v>
      </c>
      <c r="H836" s="2197" t="s">
        <v>2798</v>
      </c>
      <c r="I836" s="2199" t="s">
        <v>1005</v>
      </c>
      <c r="J836" s="2196">
        <v>6</v>
      </c>
    </row>
    <row r="837" spans="2:10" ht="13.5" thickBot="1" x14ac:dyDescent="0.25">
      <c r="B837" s="392" t="str">
        <f t="shared" si="24"/>
        <v>Open - NOUSIOS Vasilis</v>
      </c>
      <c r="C837" s="1441" t="str">
        <f t="shared" si="25"/>
        <v>NOUSIOS Vasilis</v>
      </c>
      <c r="D837" s="1428" t="s">
        <v>889</v>
      </c>
      <c r="E837" s="1429">
        <v>828</v>
      </c>
      <c r="F837" s="2197" t="s">
        <v>16663</v>
      </c>
      <c r="G837" s="2198" t="s">
        <v>3630</v>
      </c>
      <c r="H837" s="2197" t="s">
        <v>15175</v>
      </c>
      <c r="I837" s="2199" t="s">
        <v>1025</v>
      </c>
      <c r="J837" s="2196">
        <v>6</v>
      </c>
    </row>
    <row r="838" spans="2:10" ht="13.5" thickBot="1" x14ac:dyDescent="0.25">
      <c r="B838" s="392" t="str">
        <f t="shared" si="24"/>
        <v>Open - ROPER Richard</v>
      </c>
      <c r="C838" s="1441" t="str">
        <f t="shared" si="25"/>
        <v>ROPER Richard</v>
      </c>
      <c r="D838" s="1428" t="s">
        <v>889</v>
      </c>
      <c r="E838" s="1429">
        <v>828</v>
      </c>
      <c r="F838" s="2197" t="s">
        <v>14215</v>
      </c>
      <c r="G838" s="2198" t="s">
        <v>3219</v>
      </c>
      <c r="H838" s="2197" t="s">
        <v>14399</v>
      </c>
      <c r="I838" s="2199" t="s">
        <v>1013</v>
      </c>
      <c r="J838" s="2196">
        <v>6</v>
      </c>
    </row>
    <row r="839" spans="2:10" ht="13.5" thickBot="1" x14ac:dyDescent="0.25">
      <c r="B839" s="392" t="str">
        <f t="shared" ref="B839:B902" si="26">CONCATENATE(D839," - ",C839)</f>
        <v>Open - LOAREC Yann</v>
      </c>
      <c r="C839" s="1441" t="str">
        <f t="shared" ref="C839:C902" si="27">CONCATENATE(UPPER(F839)," ",G839)</f>
        <v>LOAREC Yann</v>
      </c>
      <c r="D839" s="1428" t="s">
        <v>889</v>
      </c>
      <c r="E839" s="1429">
        <v>828</v>
      </c>
      <c r="F839" s="2197" t="s">
        <v>14991</v>
      </c>
      <c r="G839" s="2198" t="s">
        <v>13830</v>
      </c>
      <c r="H839" s="2197" t="s">
        <v>2796</v>
      </c>
      <c r="I839" s="2199" t="s">
        <v>1019</v>
      </c>
      <c r="J839" s="2196">
        <v>6</v>
      </c>
    </row>
    <row r="840" spans="2:10" ht="13.5" thickBot="1" x14ac:dyDescent="0.25">
      <c r="B840" s="392" t="str">
        <f t="shared" si="26"/>
        <v>Open - GERRETS Mikey</v>
      </c>
      <c r="C840" s="1441" t="str">
        <f t="shared" si="27"/>
        <v>GERRETS Mikey</v>
      </c>
      <c r="D840" s="1428" t="s">
        <v>889</v>
      </c>
      <c r="E840" s="1429">
        <v>828</v>
      </c>
      <c r="F840" s="2197" t="s">
        <v>14196</v>
      </c>
      <c r="G840" s="2198" t="s">
        <v>3667</v>
      </c>
      <c r="H840" s="2197" t="s">
        <v>2763</v>
      </c>
      <c r="I840" s="2199" t="s">
        <v>1051</v>
      </c>
      <c r="J840" s="2196">
        <v>6</v>
      </c>
    </row>
    <row r="841" spans="2:10" ht="13.5" thickBot="1" x14ac:dyDescent="0.25">
      <c r="B841" s="392" t="str">
        <f t="shared" si="26"/>
        <v>Open - CASALE Simone</v>
      </c>
      <c r="C841" s="1441" t="str">
        <f t="shared" si="27"/>
        <v>CASALE Simone</v>
      </c>
      <c r="D841" s="1428" t="s">
        <v>889</v>
      </c>
      <c r="E841" s="1429">
        <v>828</v>
      </c>
      <c r="F841" s="2197" t="s">
        <v>16628</v>
      </c>
      <c r="G841" s="2198" t="s">
        <v>3158</v>
      </c>
      <c r="H841" s="2197" t="s">
        <v>2765</v>
      </c>
      <c r="I841" s="2199" t="s">
        <v>1037</v>
      </c>
      <c r="J841" s="2196">
        <v>6</v>
      </c>
    </row>
    <row r="842" spans="2:10" ht="13.5" thickBot="1" x14ac:dyDescent="0.25">
      <c r="B842" s="392" t="str">
        <f t="shared" si="26"/>
        <v>Open - STYLIANOU Kyriacos</v>
      </c>
      <c r="C842" s="1441" t="str">
        <f t="shared" si="27"/>
        <v>STYLIANOU Kyriacos</v>
      </c>
      <c r="D842" s="1428" t="s">
        <v>889</v>
      </c>
      <c r="E842" s="1429">
        <v>828</v>
      </c>
      <c r="F842" s="2197" t="s">
        <v>17452</v>
      </c>
      <c r="G842" s="2198" t="s">
        <v>6922</v>
      </c>
      <c r="H842" s="2197" t="s">
        <v>2798</v>
      </c>
      <c r="I842" s="2199" t="s">
        <v>1005</v>
      </c>
      <c r="J842" s="2196">
        <v>6</v>
      </c>
    </row>
    <row r="843" spans="2:10" ht="13.5" thickBot="1" x14ac:dyDescent="0.25">
      <c r="B843" s="392" t="str">
        <f t="shared" si="26"/>
        <v>Open - COLASANTI Alessio</v>
      </c>
      <c r="C843" s="1441" t="str">
        <f t="shared" si="27"/>
        <v>COLASANTI Alessio</v>
      </c>
      <c r="D843" s="1428" t="s">
        <v>889</v>
      </c>
      <c r="E843" s="1429">
        <v>828</v>
      </c>
      <c r="F843" s="2197" t="s">
        <v>16630</v>
      </c>
      <c r="G843" s="2198" t="s">
        <v>3550</v>
      </c>
      <c r="H843" s="2197" t="s">
        <v>15245</v>
      </c>
      <c r="I843" s="2199" t="s">
        <v>1037</v>
      </c>
      <c r="J843" s="2196">
        <v>6</v>
      </c>
    </row>
    <row r="844" spans="2:10" ht="13.5" thickBot="1" x14ac:dyDescent="0.25">
      <c r="B844" s="392" t="str">
        <f t="shared" si="26"/>
        <v>Open - PETRINI Mauro</v>
      </c>
      <c r="C844" s="1441" t="str">
        <f t="shared" si="27"/>
        <v>PETRINI Mauro</v>
      </c>
      <c r="D844" s="1428" t="s">
        <v>889</v>
      </c>
      <c r="E844" s="1429">
        <v>828</v>
      </c>
      <c r="F844" s="2197" t="s">
        <v>18110</v>
      </c>
      <c r="G844" s="2198" t="s">
        <v>3204</v>
      </c>
      <c r="H844" s="2197" t="s">
        <v>13477</v>
      </c>
      <c r="I844" s="2199" t="s">
        <v>1037</v>
      </c>
      <c r="J844" s="2196">
        <v>6</v>
      </c>
    </row>
    <row r="845" spans="2:10" ht="13.5" thickBot="1" x14ac:dyDescent="0.25">
      <c r="B845" s="392" t="str">
        <f t="shared" si="26"/>
        <v>Open - MARVILLE Thibaut</v>
      </c>
      <c r="C845" s="1441" t="str">
        <f t="shared" si="27"/>
        <v>MARVILLE Thibaut</v>
      </c>
      <c r="D845" s="1428" t="s">
        <v>889</v>
      </c>
      <c r="E845" s="1429">
        <v>828</v>
      </c>
      <c r="F845" s="2197" t="s">
        <v>18111</v>
      </c>
      <c r="G845" s="2198" t="s">
        <v>17146</v>
      </c>
      <c r="H845" s="2197" t="s">
        <v>16416</v>
      </c>
      <c r="I845" s="2199" t="s">
        <v>1019</v>
      </c>
      <c r="J845" s="2196">
        <v>6</v>
      </c>
    </row>
    <row r="846" spans="2:10" ht="13.5" thickBot="1" x14ac:dyDescent="0.25">
      <c r="B846" s="392" t="str">
        <f t="shared" si="26"/>
        <v>Open - IERVESE Massimiliano</v>
      </c>
      <c r="C846" s="1441" t="str">
        <f t="shared" si="27"/>
        <v>IERVESE Massimiliano</v>
      </c>
      <c r="D846" s="1428" t="s">
        <v>889</v>
      </c>
      <c r="E846" s="1429">
        <v>828</v>
      </c>
      <c r="F846" s="2197" t="s">
        <v>18112</v>
      </c>
      <c r="G846" s="2198" t="s">
        <v>3023</v>
      </c>
      <c r="H846" s="2197" t="s">
        <v>11327</v>
      </c>
      <c r="I846" s="2199" t="s">
        <v>1037</v>
      </c>
      <c r="J846" s="2196">
        <v>6</v>
      </c>
    </row>
    <row r="847" spans="2:10" ht="13.5" thickBot="1" x14ac:dyDescent="0.25">
      <c r="B847" s="392" t="str">
        <f t="shared" si="26"/>
        <v>Open - YAMAZOE Norio</v>
      </c>
      <c r="C847" s="1441" t="str">
        <f t="shared" si="27"/>
        <v>YAMAZOE Norio</v>
      </c>
      <c r="D847" s="1428" t="s">
        <v>889</v>
      </c>
      <c r="E847" s="1429">
        <v>828</v>
      </c>
      <c r="F847" s="2197" t="s">
        <v>16863</v>
      </c>
      <c r="G847" s="2198" t="s">
        <v>16864</v>
      </c>
      <c r="H847" s="2197" t="s">
        <v>17238</v>
      </c>
      <c r="I847" s="2199" t="s">
        <v>1041</v>
      </c>
      <c r="J847" s="2196">
        <v>6</v>
      </c>
    </row>
    <row r="848" spans="2:10" ht="13.5" thickBot="1" x14ac:dyDescent="0.25">
      <c r="B848" s="392" t="str">
        <f t="shared" si="26"/>
        <v>Open - BARROT Michel</v>
      </c>
      <c r="C848" s="1441" t="str">
        <f t="shared" si="27"/>
        <v>BARROT Michel</v>
      </c>
      <c r="D848" s="1428" t="s">
        <v>889</v>
      </c>
      <c r="E848" s="1429">
        <v>828</v>
      </c>
      <c r="F848" s="2197" t="s">
        <v>17617</v>
      </c>
      <c r="G848" s="2198" t="s">
        <v>3555</v>
      </c>
      <c r="H848" s="2197" t="s">
        <v>14359</v>
      </c>
      <c r="I848" s="2199" t="s">
        <v>1019</v>
      </c>
      <c r="J848" s="2196">
        <v>6</v>
      </c>
    </row>
    <row r="849" spans="2:10" ht="13.5" thickBot="1" x14ac:dyDescent="0.25">
      <c r="B849" s="392" t="str">
        <f t="shared" si="26"/>
        <v>Open - ROCCHI Roberto</v>
      </c>
      <c r="C849" s="1441" t="str">
        <f t="shared" si="27"/>
        <v>ROCCHI Roberto</v>
      </c>
      <c r="D849" s="1428" t="s">
        <v>889</v>
      </c>
      <c r="E849" s="1429">
        <v>828</v>
      </c>
      <c r="F849" s="2197" t="s">
        <v>16631</v>
      </c>
      <c r="G849" s="2198" t="s">
        <v>3279</v>
      </c>
      <c r="H849" s="2197" t="s">
        <v>2765</v>
      </c>
      <c r="I849" s="2199" t="s">
        <v>1037</v>
      </c>
      <c r="J849" s="2196">
        <v>6</v>
      </c>
    </row>
    <row r="850" spans="2:10" ht="13.5" thickBot="1" x14ac:dyDescent="0.25">
      <c r="B850" s="392" t="str">
        <f t="shared" si="26"/>
        <v>Open - ISHIDA Kazuaki</v>
      </c>
      <c r="C850" s="1441" t="str">
        <f t="shared" si="27"/>
        <v>ISHIDA Kazuaki</v>
      </c>
      <c r="D850" s="1428" t="s">
        <v>889</v>
      </c>
      <c r="E850" s="1429">
        <v>828</v>
      </c>
      <c r="F850" s="2197" t="s">
        <v>16865</v>
      </c>
      <c r="G850" s="2198" t="s">
        <v>16866</v>
      </c>
      <c r="H850" s="2197" t="s">
        <v>17236</v>
      </c>
      <c r="I850" s="2199" t="s">
        <v>1041</v>
      </c>
      <c r="J850" s="2196">
        <v>6</v>
      </c>
    </row>
    <row r="851" spans="2:10" ht="13.5" thickBot="1" x14ac:dyDescent="0.25">
      <c r="B851" s="392" t="str">
        <f t="shared" si="26"/>
        <v>Open - BRESCIA Guido</v>
      </c>
      <c r="C851" s="1441" t="str">
        <f t="shared" si="27"/>
        <v>BRESCIA Guido</v>
      </c>
      <c r="D851" s="1428" t="s">
        <v>889</v>
      </c>
      <c r="E851" s="1429">
        <v>828</v>
      </c>
      <c r="F851" s="2197" t="s">
        <v>16624</v>
      </c>
      <c r="G851" s="2198" t="s">
        <v>6996</v>
      </c>
      <c r="H851" s="2197" t="s">
        <v>16843</v>
      </c>
      <c r="I851" s="2199" t="s">
        <v>1037</v>
      </c>
      <c r="J851" s="2196">
        <v>6</v>
      </c>
    </row>
    <row r="852" spans="2:10" ht="13.5" thickBot="1" x14ac:dyDescent="0.25">
      <c r="B852" s="392" t="str">
        <f t="shared" si="26"/>
        <v>Open - LAFONTAINE Emmanuel</v>
      </c>
      <c r="C852" s="1441" t="str">
        <f t="shared" si="27"/>
        <v>LAFONTAINE Emmanuel</v>
      </c>
      <c r="D852" s="1428" t="s">
        <v>889</v>
      </c>
      <c r="E852" s="1429">
        <v>828</v>
      </c>
      <c r="F852" s="2197" t="s">
        <v>11427</v>
      </c>
      <c r="G852" s="2198" t="s">
        <v>3392</v>
      </c>
      <c r="H852" s="2197" t="s">
        <v>2893</v>
      </c>
      <c r="I852" s="2199" t="s">
        <v>1019</v>
      </c>
      <c r="J852" s="2196">
        <v>6</v>
      </c>
    </row>
    <row r="853" spans="2:10" ht="13.5" thickBot="1" x14ac:dyDescent="0.25">
      <c r="B853" s="392" t="str">
        <f t="shared" si="26"/>
        <v>Open - MAZZEO Bruno</v>
      </c>
      <c r="C853" s="1441" t="str">
        <f t="shared" si="27"/>
        <v>MAZZEO Bruno</v>
      </c>
      <c r="D853" s="1428" t="s">
        <v>889</v>
      </c>
      <c r="E853" s="1429">
        <v>828</v>
      </c>
      <c r="F853" s="2197" t="s">
        <v>16620</v>
      </c>
      <c r="G853" s="2198" t="s">
        <v>3168</v>
      </c>
      <c r="H853" s="2197" t="s">
        <v>2765</v>
      </c>
      <c r="I853" s="2199" t="s">
        <v>1037</v>
      </c>
      <c r="J853" s="2196">
        <v>6</v>
      </c>
    </row>
    <row r="854" spans="2:10" ht="13.5" thickBot="1" x14ac:dyDescent="0.25">
      <c r="B854" s="392" t="str">
        <f t="shared" si="26"/>
        <v>Open - COLOSSI Nicolò</v>
      </c>
      <c r="C854" s="1441" t="str">
        <f t="shared" si="27"/>
        <v>COLOSSI Nicolò</v>
      </c>
      <c r="D854" s="1428" t="s">
        <v>889</v>
      </c>
      <c r="E854" s="1429">
        <v>828</v>
      </c>
      <c r="F854" s="2197" t="s">
        <v>14980</v>
      </c>
      <c r="G854" s="2198" t="s">
        <v>13997</v>
      </c>
      <c r="H854" s="2197" t="s">
        <v>10274</v>
      </c>
      <c r="I854" s="2199" t="s">
        <v>1037</v>
      </c>
      <c r="J854" s="2196">
        <v>6</v>
      </c>
    </row>
    <row r="855" spans="2:10" ht="13.5" thickBot="1" x14ac:dyDescent="0.25">
      <c r="B855" s="392" t="str">
        <f t="shared" si="26"/>
        <v>Open - BONDI Frédéric</v>
      </c>
      <c r="C855" s="1441" t="str">
        <f t="shared" si="27"/>
        <v>BONDI Frédéric</v>
      </c>
      <c r="D855" s="1428" t="s">
        <v>889</v>
      </c>
      <c r="E855" s="1429">
        <v>828</v>
      </c>
      <c r="F855" s="2197" t="s">
        <v>14482</v>
      </c>
      <c r="G855" s="2198" t="s">
        <v>3286</v>
      </c>
      <c r="H855" s="2197" t="s">
        <v>14485</v>
      </c>
      <c r="I855" s="2199" t="s">
        <v>1019</v>
      </c>
      <c r="J855" s="2196">
        <v>6</v>
      </c>
    </row>
    <row r="856" spans="2:10" ht="13.5" thickBot="1" x14ac:dyDescent="0.25">
      <c r="B856" s="392" t="str">
        <f t="shared" si="26"/>
        <v>Open - PARPERIS Dimitris</v>
      </c>
      <c r="C856" s="1441" t="str">
        <f t="shared" si="27"/>
        <v>PARPERIS Dimitris</v>
      </c>
      <c r="D856" s="1428" t="s">
        <v>889</v>
      </c>
      <c r="E856" s="1429">
        <v>828</v>
      </c>
      <c r="F856" s="2197" t="s">
        <v>17449</v>
      </c>
      <c r="G856" s="2198" t="s">
        <v>3099</v>
      </c>
      <c r="H856" s="2197" t="s">
        <v>2892</v>
      </c>
      <c r="I856" s="2199" t="s">
        <v>1005</v>
      </c>
      <c r="J856" s="2196">
        <v>6</v>
      </c>
    </row>
    <row r="857" spans="2:10" ht="13.5" thickBot="1" x14ac:dyDescent="0.25">
      <c r="B857" s="392" t="str">
        <f t="shared" si="26"/>
        <v>Open - BALARD Jean-François</v>
      </c>
      <c r="C857" s="1441" t="str">
        <f t="shared" si="27"/>
        <v>BALARD Jean-François</v>
      </c>
      <c r="D857" s="1428" t="s">
        <v>889</v>
      </c>
      <c r="E857" s="1429">
        <v>828</v>
      </c>
      <c r="F857" s="2197" t="s">
        <v>14912</v>
      </c>
      <c r="G857" s="2198" t="s">
        <v>3360</v>
      </c>
      <c r="H857" s="2197" t="s">
        <v>2795</v>
      </c>
      <c r="I857" s="2199" t="s">
        <v>1019</v>
      </c>
      <c r="J857" s="2196">
        <v>6</v>
      </c>
    </row>
    <row r="858" spans="2:10" ht="13.5" thickBot="1" x14ac:dyDescent="0.25">
      <c r="B858" s="392" t="str">
        <f t="shared" si="26"/>
        <v>Open - PANARETOS Panayiotis</v>
      </c>
      <c r="C858" s="1441" t="str">
        <f t="shared" si="27"/>
        <v>PANARETOS Panayiotis</v>
      </c>
      <c r="D858" s="1428" t="s">
        <v>889</v>
      </c>
      <c r="E858" s="1429">
        <v>828</v>
      </c>
      <c r="F858" s="2197" t="s">
        <v>17451</v>
      </c>
      <c r="G858" s="2198" t="s">
        <v>17076</v>
      </c>
      <c r="H858" s="2197" t="s">
        <v>2798</v>
      </c>
      <c r="I858" s="2199" t="s">
        <v>1005</v>
      </c>
      <c r="J858" s="2196">
        <v>6</v>
      </c>
    </row>
    <row r="859" spans="2:10" ht="13.5" thickBot="1" x14ac:dyDescent="0.25">
      <c r="B859" s="392" t="str">
        <f t="shared" si="26"/>
        <v>Open - TSELEPIDIS Nikolaos</v>
      </c>
      <c r="C859" s="1441" t="str">
        <f t="shared" si="27"/>
        <v>TSELEPIDIS Nikolaos</v>
      </c>
      <c r="D859" s="1428" t="s">
        <v>889</v>
      </c>
      <c r="E859" s="1429">
        <v>828</v>
      </c>
      <c r="F859" s="2197" t="s">
        <v>3326</v>
      </c>
      <c r="G859" s="2198" t="s">
        <v>5554</v>
      </c>
      <c r="H859" s="2197" t="s">
        <v>5309</v>
      </c>
      <c r="I859" s="2199" t="s">
        <v>1025</v>
      </c>
      <c r="J859" s="2196">
        <v>6</v>
      </c>
    </row>
    <row r="860" spans="2:10" ht="13.5" thickBot="1" x14ac:dyDescent="0.25">
      <c r="B860" s="392" t="str">
        <f t="shared" si="26"/>
        <v>Open - POMMIER Stéphane</v>
      </c>
      <c r="C860" s="1441" t="str">
        <f t="shared" si="27"/>
        <v>POMMIER Stéphane</v>
      </c>
      <c r="D860" s="1428" t="s">
        <v>889</v>
      </c>
      <c r="E860" s="1429">
        <v>828</v>
      </c>
      <c r="F860" s="2197" t="s">
        <v>3623</v>
      </c>
      <c r="G860" s="2198" t="s">
        <v>3624</v>
      </c>
      <c r="H860" s="2197" t="s">
        <v>2893</v>
      </c>
      <c r="I860" s="2199" t="s">
        <v>1019</v>
      </c>
      <c r="J860" s="2196">
        <v>6</v>
      </c>
    </row>
    <row r="861" spans="2:10" ht="13.5" thickBot="1" x14ac:dyDescent="0.25">
      <c r="B861" s="392" t="str">
        <f t="shared" si="26"/>
        <v>Open - CHIAPPETTA Gabriel</v>
      </c>
      <c r="C861" s="1441" t="str">
        <f t="shared" si="27"/>
        <v>CHIAPPETTA Gabriel</v>
      </c>
      <c r="D861" s="1428" t="s">
        <v>889</v>
      </c>
      <c r="E861" s="1429">
        <v>828</v>
      </c>
      <c r="F861" s="2197" t="s">
        <v>14496</v>
      </c>
      <c r="G861" s="2198" t="s">
        <v>6887</v>
      </c>
      <c r="H861" s="2197" t="s">
        <v>15269</v>
      </c>
      <c r="I861" s="2199" t="s">
        <v>1019</v>
      </c>
      <c r="J861" s="2196">
        <v>6</v>
      </c>
    </row>
    <row r="862" spans="2:10" ht="13.5" thickBot="1" x14ac:dyDescent="0.25">
      <c r="B862" s="392" t="str">
        <f t="shared" si="26"/>
        <v>Open - HUNTER David</v>
      </c>
      <c r="C862" s="1441" t="str">
        <f t="shared" si="27"/>
        <v>HUNTER David</v>
      </c>
      <c r="D862" s="1428" t="s">
        <v>889</v>
      </c>
      <c r="E862" s="1429">
        <v>828</v>
      </c>
      <c r="F862" s="2197" t="s">
        <v>16740</v>
      </c>
      <c r="G862" s="2198" t="s">
        <v>3072</v>
      </c>
      <c r="H862" s="2197" t="s">
        <v>14399</v>
      </c>
      <c r="I862" s="2199" t="s">
        <v>1013</v>
      </c>
      <c r="J862" s="2196">
        <v>6</v>
      </c>
    </row>
    <row r="863" spans="2:10" ht="13.5" thickBot="1" x14ac:dyDescent="0.25">
      <c r="B863" s="392" t="str">
        <f t="shared" si="26"/>
        <v>Open - DHONDT Raphaël</v>
      </c>
      <c r="C863" s="1441" t="str">
        <f t="shared" si="27"/>
        <v>DHONDT Raphaël</v>
      </c>
      <c r="D863" s="1428" t="s">
        <v>889</v>
      </c>
      <c r="E863" s="1429">
        <v>828</v>
      </c>
      <c r="F863" s="2197" t="s">
        <v>18113</v>
      </c>
      <c r="G863" s="2198" t="s">
        <v>3541</v>
      </c>
      <c r="H863" s="2197" t="s">
        <v>2778</v>
      </c>
      <c r="I863" s="2199" t="s">
        <v>990</v>
      </c>
      <c r="J863" s="2196">
        <v>6</v>
      </c>
    </row>
    <row r="864" spans="2:10" ht="13.5" thickBot="1" x14ac:dyDescent="0.25">
      <c r="B864" s="392" t="str">
        <f t="shared" si="26"/>
        <v>Open - BORBONES Ferran</v>
      </c>
      <c r="C864" s="1441" t="str">
        <f t="shared" si="27"/>
        <v>BORBONES Ferran</v>
      </c>
      <c r="D864" s="1428" t="s">
        <v>889</v>
      </c>
      <c r="E864" s="1429">
        <v>828</v>
      </c>
      <c r="F864" s="2197" t="s">
        <v>14968</v>
      </c>
      <c r="G864" s="2198" t="s">
        <v>7299</v>
      </c>
      <c r="H864" s="2197" t="s">
        <v>2783</v>
      </c>
      <c r="I864" s="2199" t="s">
        <v>1015</v>
      </c>
      <c r="J864" s="2196">
        <v>6</v>
      </c>
    </row>
    <row r="865" spans="2:10" ht="13.5" thickBot="1" x14ac:dyDescent="0.25">
      <c r="B865" s="392" t="str">
        <f t="shared" si="26"/>
        <v>Open - SCHIAVI Luca</v>
      </c>
      <c r="C865" s="1441" t="str">
        <f t="shared" si="27"/>
        <v>SCHIAVI Luca</v>
      </c>
      <c r="D865" s="1428" t="s">
        <v>889</v>
      </c>
      <c r="E865" s="1429">
        <v>828</v>
      </c>
      <c r="F865" s="2197" t="s">
        <v>14237</v>
      </c>
      <c r="G865" s="2198" t="s">
        <v>3198</v>
      </c>
      <c r="H865" s="2197" t="s">
        <v>13312</v>
      </c>
      <c r="I865" s="2199" t="s">
        <v>1037</v>
      </c>
      <c r="J865" s="2196">
        <v>6</v>
      </c>
    </row>
    <row r="866" spans="2:10" ht="13.5" thickBot="1" x14ac:dyDescent="0.25">
      <c r="B866" s="392" t="str">
        <f t="shared" si="26"/>
        <v>Open - FLEMER Marian</v>
      </c>
      <c r="C866" s="1441" t="str">
        <f t="shared" si="27"/>
        <v>FLEMER Marian</v>
      </c>
      <c r="D866" s="1428" t="s">
        <v>889</v>
      </c>
      <c r="E866" s="1429">
        <v>828</v>
      </c>
      <c r="F866" s="2197" t="s">
        <v>11435</v>
      </c>
      <c r="G866" s="2198" t="s">
        <v>9476</v>
      </c>
      <c r="H866" s="2197" t="s">
        <v>2753</v>
      </c>
      <c r="I866" s="2199" t="s">
        <v>1021</v>
      </c>
      <c r="J866" s="2196">
        <v>6</v>
      </c>
    </row>
    <row r="867" spans="2:10" ht="13.5" thickBot="1" x14ac:dyDescent="0.25">
      <c r="B867" s="392" t="str">
        <f t="shared" si="26"/>
        <v>Open - FITOS Kostas</v>
      </c>
      <c r="C867" s="1441" t="str">
        <f t="shared" si="27"/>
        <v>FITOS Kostas</v>
      </c>
      <c r="D867" s="1428" t="s">
        <v>889</v>
      </c>
      <c r="E867" s="1429">
        <v>828</v>
      </c>
      <c r="F867" s="2197" t="s">
        <v>11342</v>
      </c>
      <c r="G867" s="2198" t="s">
        <v>3073</v>
      </c>
      <c r="H867" s="2197" t="s">
        <v>14596</v>
      </c>
      <c r="I867" s="2199" t="s">
        <v>1025</v>
      </c>
      <c r="J867" s="2196">
        <v>6</v>
      </c>
    </row>
    <row r="868" spans="2:10" ht="13.5" thickBot="1" x14ac:dyDescent="0.25">
      <c r="B868" s="392" t="str">
        <f t="shared" si="26"/>
        <v>Open - MENDITTO Francesco</v>
      </c>
      <c r="C868" s="1441" t="str">
        <f t="shared" si="27"/>
        <v>MENDITTO Francesco</v>
      </c>
      <c r="D868" s="1428" t="s">
        <v>889</v>
      </c>
      <c r="E868" s="1429">
        <v>828</v>
      </c>
      <c r="F868" s="2197" t="s">
        <v>14164</v>
      </c>
      <c r="G868" s="2198" t="s">
        <v>3277</v>
      </c>
      <c r="H868" s="2197" t="s">
        <v>7867</v>
      </c>
      <c r="I868" s="2199" t="s">
        <v>1037</v>
      </c>
      <c r="J868" s="2196">
        <v>6</v>
      </c>
    </row>
    <row r="869" spans="2:10" ht="13.5" thickBot="1" x14ac:dyDescent="0.25">
      <c r="B869" s="392" t="str">
        <f t="shared" si="26"/>
        <v>Open - CAURLA Ismaele</v>
      </c>
      <c r="C869" s="1441" t="str">
        <f t="shared" si="27"/>
        <v>CAURLA Ismaele</v>
      </c>
      <c r="D869" s="1428" t="s">
        <v>889</v>
      </c>
      <c r="E869" s="1429">
        <v>828</v>
      </c>
      <c r="F869" s="2197" t="s">
        <v>5615</v>
      </c>
      <c r="G869" s="2198" t="s">
        <v>5616</v>
      </c>
      <c r="H869" s="2197" t="s">
        <v>5551</v>
      </c>
      <c r="I869" s="2199" t="s">
        <v>1037</v>
      </c>
      <c r="J869" s="2196">
        <v>6</v>
      </c>
    </row>
    <row r="870" spans="2:10" ht="13.5" thickBot="1" x14ac:dyDescent="0.25">
      <c r="B870" s="392" t="str">
        <f t="shared" si="26"/>
        <v>Open - ZAVOS Giorgos</v>
      </c>
      <c r="C870" s="1441" t="str">
        <f t="shared" si="27"/>
        <v>ZAVOS Giorgos</v>
      </c>
      <c r="D870" s="1428" t="s">
        <v>889</v>
      </c>
      <c r="E870" s="1429">
        <v>828</v>
      </c>
      <c r="F870" s="2197" t="s">
        <v>5625</v>
      </c>
      <c r="G870" s="2198" t="s">
        <v>3040</v>
      </c>
      <c r="H870" s="2197" t="s">
        <v>5309</v>
      </c>
      <c r="I870" s="2199" t="s">
        <v>1025</v>
      </c>
      <c r="J870" s="2196">
        <v>6</v>
      </c>
    </row>
    <row r="871" spans="2:10" ht="13.5" thickBot="1" x14ac:dyDescent="0.25">
      <c r="B871" s="392" t="str">
        <f t="shared" si="26"/>
        <v>Open - AZZARO Arturo</v>
      </c>
      <c r="C871" s="1441" t="str">
        <f t="shared" si="27"/>
        <v>AZZARO Arturo</v>
      </c>
      <c r="D871" s="1428" t="s">
        <v>889</v>
      </c>
      <c r="E871" s="1429">
        <v>828</v>
      </c>
      <c r="F871" s="2197" t="s">
        <v>14989</v>
      </c>
      <c r="G871" s="2198" t="s">
        <v>3253</v>
      </c>
      <c r="H871" s="2197" t="s">
        <v>2787</v>
      </c>
      <c r="I871" s="2199" t="s">
        <v>1037</v>
      </c>
      <c r="J871" s="2196">
        <v>6</v>
      </c>
    </row>
    <row r="872" spans="2:10" ht="13.5" thickBot="1" x14ac:dyDescent="0.25">
      <c r="B872" s="392" t="str">
        <f t="shared" si="26"/>
        <v>Open - FERRUCCI Marco</v>
      </c>
      <c r="C872" s="1441" t="str">
        <f t="shared" si="27"/>
        <v>FERRUCCI Marco</v>
      </c>
      <c r="D872" s="1428" t="s">
        <v>889</v>
      </c>
      <c r="E872" s="1429">
        <v>828</v>
      </c>
      <c r="F872" s="2197" t="s">
        <v>14258</v>
      </c>
      <c r="G872" s="2198" t="s">
        <v>3109</v>
      </c>
      <c r="H872" s="2197" t="s">
        <v>2776</v>
      </c>
      <c r="I872" s="2199" t="s">
        <v>1037</v>
      </c>
      <c r="J872" s="2196">
        <v>6</v>
      </c>
    </row>
    <row r="873" spans="2:10" ht="13.5" thickBot="1" x14ac:dyDescent="0.25">
      <c r="B873" s="392" t="str">
        <f t="shared" si="26"/>
        <v>Open - BALL Jonny</v>
      </c>
      <c r="C873" s="1441" t="str">
        <f t="shared" si="27"/>
        <v>BALL Jonny</v>
      </c>
      <c r="D873" s="1428" t="s">
        <v>889</v>
      </c>
      <c r="E873" s="1429">
        <v>828</v>
      </c>
      <c r="F873" s="2197" t="s">
        <v>14149</v>
      </c>
      <c r="G873" s="2198" t="s">
        <v>11068</v>
      </c>
      <c r="H873" s="2197" t="s">
        <v>9593</v>
      </c>
      <c r="I873" s="2199" t="s">
        <v>986</v>
      </c>
      <c r="J873" s="2196">
        <v>6</v>
      </c>
    </row>
    <row r="874" spans="2:10" ht="13.5" thickBot="1" x14ac:dyDescent="0.25">
      <c r="B874" s="392" t="str">
        <f t="shared" si="26"/>
        <v>Open - MURA Massimo</v>
      </c>
      <c r="C874" s="1441" t="str">
        <f t="shared" si="27"/>
        <v>MURA Massimo</v>
      </c>
      <c r="D874" s="1428" t="s">
        <v>889</v>
      </c>
      <c r="E874" s="1429">
        <v>828</v>
      </c>
      <c r="F874" s="2197" t="s">
        <v>14987</v>
      </c>
      <c r="G874" s="2198" t="s">
        <v>3013</v>
      </c>
      <c r="H874" s="2197" t="s">
        <v>5551</v>
      </c>
      <c r="I874" s="2199" t="s">
        <v>1037</v>
      </c>
      <c r="J874" s="2196">
        <v>6</v>
      </c>
    </row>
    <row r="875" spans="2:10" ht="13.5" thickBot="1" x14ac:dyDescent="0.25">
      <c r="B875" s="392" t="str">
        <f t="shared" si="26"/>
        <v>Open - PATRINOS Dimitrios</v>
      </c>
      <c r="C875" s="1441" t="str">
        <f t="shared" si="27"/>
        <v>PATRINOS Dimitrios</v>
      </c>
      <c r="D875" s="1428" t="s">
        <v>889</v>
      </c>
      <c r="E875" s="1429">
        <v>828</v>
      </c>
      <c r="F875" s="2197" t="s">
        <v>3182</v>
      </c>
      <c r="G875" s="2198" t="s">
        <v>5644</v>
      </c>
      <c r="H875" s="2197" t="s">
        <v>10246</v>
      </c>
      <c r="I875" s="2199" t="s">
        <v>1025</v>
      </c>
      <c r="J875" s="2196">
        <v>6</v>
      </c>
    </row>
    <row r="876" spans="2:10" ht="13.5" thickBot="1" x14ac:dyDescent="0.25">
      <c r="B876" s="392" t="str">
        <f t="shared" si="26"/>
        <v>Open - KASTELLANOS Antonios</v>
      </c>
      <c r="C876" s="1441" t="str">
        <f t="shared" si="27"/>
        <v>KASTELLANOS Antonios</v>
      </c>
      <c r="D876" s="1428" t="s">
        <v>889</v>
      </c>
      <c r="E876" s="1429">
        <v>828</v>
      </c>
      <c r="F876" s="2197" t="s">
        <v>8738</v>
      </c>
      <c r="G876" s="2198" t="s">
        <v>8256</v>
      </c>
      <c r="H876" s="2197" t="s">
        <v>10246</v>
      </c>
      <c r="I876" s="2199" t="s">
        <v>1025</v>
      </c>
      <c r="J876" s="2196">
        <v>6</v>
      </c>
    </row>
    <row r="877" spans="2:10" ht="13.5" thickBot="1" x14ac:dyDescent="0.25">
      <c r="B877" s="392" t="str">
        <f t="shared" si="26"/>
        <v>Open - HEREDIA Miguel Ángel</v>
      </c>
      <c r="C877" s="1441" t="str">
        <f t="shared" si="27"/>
        <v>HEREDIA Miguel Ángel</v>
      </c>
      <c r="D877" s="1428" t="s">
        <v>889</v>
      </c>
      <c r="E877" s="1429">
        <v>871</v>
      </c>
      <c r="F877" s="2197" t="s">
        <v>14907</v>
      </c>
      <c r="G877" s="2198" t="s">
        <v>3247</v>
      </c>
      <c r="H877" s="2197" t="s">
        <v>7183</v>
      </c>
      <c r="I877" s="2199" t="s">
        <v>1015</v>
      </c>
      <c r="J877" s="2196">
        <v>5.5</v>
      </c>
    </row>
    <row r="878" spans="2:10" ht="13.5" thickBot="1" x14ac:dyDescent="0.25">
      <c r="B878" s="392" t="str">
        <f t="shared" si="26"/>
        <v>Open - CREDENTINO Paolo</v>
      </c>
      <c r="C878" s="1441" t="str">
        <f t="shared" si="27"/>
        <v>CREDENTINO Paolo</v>
      </c>
      <c r="D878" s="1428" t="s">
        <v>889</v>
      </c>
      <c r="E878" s="1429">
        <v>871</v>
      </c>
      <c r="F878" s="2197" t="s">
        <v>8730</v>
      </c>
      <c r="G878" s="2198" t="s">
        <v>3119</v>
      </c>
      <c r="H878" s="2197" t="s">
        <v>9595</v>
      </c>
      <c r="I878" s="2199" t="s">
        <v>986</v>
      </c>
      <c r="J878" s="2196">
        <v>5.5</v>
      </c>
    </row>
    <row r="879" spans="2:10" ht="13.5" thickBot="1" x14ac:dyDescent="0.25">
      <c r="B879" s="392" t="str">
        <f t="shared" si="26"/>
        <v>Open - SKINNER Finley</v>
      </c>
      <c r="C879" s="1441" t="str">
        <f t="shared" si="27"/>
        <v>SKINNER Finley</v>
      </c>
      <c r="D879" s="1428" t="s">
        <v>889</v>
      </c>
      <c r="E879" s="1429">
        <v>871</v>
      </c>
      <c r="F879" s="2197" t="s">
        <v>14153</v>
      </c>
      <c r="G879" s="2198" t="s">
        <v>13795</v>
      </c>
      <c r="H879" s="2197" t="s">
        <v>17082</v>
      </c>
      <c r="I879" s="2199" t="s">
        <v>1013</v>
      </c>
      <c r="J879" s="2196">
        <v>5.5</v>
      </c>
    </row>
    <row r="880" spans="2:10" ht="13.5" thickBot="1" x14ac:dyDescent="0.25">
      <c r="B880" s="392" t="str">
        <f t="shared" si="26"/>
        <v>Open - BARI Baver</v>
      </c>
      <c r="C880" s="1441" t="str">
        <f t="shared" si="27"/>
        <v>BARI Baver</v>
      </c>
      <c r="D880" s="1428" t="s">
        <v>889</v>
      </c>
      <c r="E880" s="1429">
        <v>871</v>
      </c>
      <c r="F880" s="2197" t="s">
        <v>3005</v>
      </c>
      <c r="G880" s="2198" t="s">
        <v>3490</v>
      </c>
      <c r="H880" s="2197" t="s">
        <v>2771</v>
      </c>
      <c r="I880" s="2199" t="s">
        <v>1069</v>
      </c>
      <c r="J880" s="2196">
        <v>5.5</v>
      </c>
    </row>
    <row r="881" spans="2:10" ht="13.5" thickBot="1" x14ac:dyDescent="0.25">
      <c r="B881" s="392" t="str">
        <f t="shared" si="26"/>
        <v>Open - WELBY Ian</v>
      </c>
      <c r="C881" s="1441" t="str">
        <f t="shared" si="27"/>
        <v>WELBY Ian</v>
      </c>
      <c r="D881" s="1428" t="s">
        <v>889</v>
      </c>
      <c r="E881" s="1429">
        <v>871</v>
      </c>
      <c r="F881" s="2197" t="s">
        <v>14957</v>
      </c>
      <c r="G881" s="2198" t="s">
        <v>3688</v>
      </c>
      <c r="H881" s="2197" t="s">
        <v>13469</v>
      </c>
      <c r="I881" s="2199" t="s">
        <v>1013</v>
      </c>
      <c r="J881" s="2196">
        <v>5.5</v>
      </c>
    </row>
    <row r="882" spans="2:10" ht="13.5" thickBot="1" x14ac:dyDescent="0.25">
      <c r="B882" s="392" t="str">
        <f t="shared" si="26"/>
        <v>Open - RODGERS Brendan</v>
      </c>
      <c r="C882" s="1441" t="str">
        <f t="shared" si="27"/>
        <v>RODGERS Brendan</v>
      </c>
      <c r="D882" s="1428" t="s">
        <v>889</v>
      </c>
      <c r="E882" s="1429">
        <v>871</v>
      </c>
      <c r="F882" s="2197" t="s">
        <v>14959</v>
      </c>
      <c r="G882" s="2198" t="s">
        <v>8300</v>
      </c>
      <c r="H882" s="2197" t="s">
        <v>9598</v>
      </c>
      <c r="I882" s="2199" t="s">
        <v>1033</v>
      </c>
      <c r="J882" s="2196">
        <v>5.5</v>
      </c>
    </row>
    <row r="883" spans="2:10" ht="13.5" thickBot="1" x14ac:dyDescent="0.25">
      <c r="B883" s="392" t="str">
        <f t="shared" si="26"/>
        <v>Open - FENTON Alex</v>
      </c>
      <c r="C883" s="1441" t="str">
        <f t="shared" si="27"/>
        <v>FENTON Alex</v>
      </c>
      <c r="D883" s="1428" t="s">
        <v>889</v>
      </c>
      <c r="E883" s="1429">
        <v>877</v>
      </c>
      <c r="F883" s="2197" t="s">
        <v>14252</v>
      </c>
      <c r="G883" s="2198" t="s">
        <v>3130</v>
      </c>
      <c r="H883" s="2197" t="s">
        <v>17082</v>
      </c>
      <c r="I883" s="2199" t="s">
        <v>1013</v>
      </c>
      <c r="J883" s="2196">
        <v>5</v>
      </c>
    </row>
    <row r="884" spans="2:10" ht="13.5" thickBot="1" x14ac:dyDescent="0.25">
      <c r="B884" s="392" t="str">
        <f t="shared" si="26"/>
        <v>Open - SORIA GARCÍA Alfredo</v>
      </c>
      <c r="C884" s="1441" t="str">
        <f t="shared" si="27"/>
        <v>SORIA GARCÍA Alfredo</v>
      </c>
      <c r="D884" s="1428" t="s">
        <v>889</v>
      </c>
      <c r="E884" s="1429">
        <v>877</v>
      </c>
      <c r="F884" s="2197" t="s">
        <v>18114</v>
      </c>
      <c r="G884" s="2198" t="s">
        <v>3587</v>
      </c>
      <c r="H884" s="2197" t="s">
        <v>7304</v>
      </c>
      <c r="I884" s="2199" t="s">
        <v>1015</v>
      </c>
      <c r="J884" s="2196">
        <v>5</v>
      </c>
    </row>
    <row r="885" spans="2:10" ht="13.5" thickBot="1" x14ac:dyDescent="0.25">
      <c r="B885" s="392" t="str">
        <f t="shared" si="26"/>
        <v>Open - MIMA Taku</v>
      </c>
      <c r="C885" s="1441" t="str">
        <f t="shared" si="27"/>
        <v>MIMA Taku</v>
      </c>
      <c r="D885" s="1428" t="s">
        <v>889</v>
      </c>
      <c r="E885" s="1429">
        <v>877</v>
      </c>
      <c r="F885" s="2197" t="s">
        <v>18115</v>
      </c>
      <c r="G885" s="2198" t="s">
        <v>17303</v>
      </c>
      <c r="H885" s="2197" t="s">
        <v>17301</v>
      </c>
      <c r="I885" s="2199" t="s">
        <v>1041</v>
      </c>
      <c r="J885" s="2196">
        <v>5</v>
      </c>
    </row>
    <row r="886" spans="2:10" ht="13.5" thickBot="1" x14ac:dyDescent="0.25">
      <c r="B886" s="392" t="str">
        <f t="shared" si="26"/>
        <v>Open - EBEJER Larson</v>
      </c>
      <c r="C886" s="1441" t="str">
        <f t="shared" si="27"/>
        <v>EBEJER Larson</v>
      </c>
      <c r="D886" s="1428" t="s">
        <v>889</v>
      </c>
      <c r="E886" s="1429">
        <v>877</v>
      </c>
      <c r="F886" s="2197" t="s">
        <v>3161</v>
      </c>
      <c r="G886" s="2198" t="s">
        <v>14734</v>
      </c>
      <c r="H886" s="2197" t="s">
        <v>10253</v>
      </c>
      <c r="I886" s="2199" t="s">
        <v>1045</v>
      </c>
      <c r="J886" s="2196">
        <v>5</v>
      </c>
    </row>
    <row r="887" spans="2:10" ht="13.5" thickBot="1" x14ac:dyDescent="0.25">
      <c r="B887" s="392" t="str">
        <f t="shared" si="26"/>
        <v>Open - PHOKOS Timothy</v>
      </c>
      <c r="C887" s="1441" t="str">
        <f t="shared" si="27"/>
        <v>PHOKOS Timothy</v>
      </c>
      <c r="D887" s="1428" t="s">
        <v>889</v>
      </c>
      <c r="E887" s="1429">
        <v>877</v>
      </c>
      <c r="F887" s="2197" t="s">
        <v>17455</v>
      </c>
      <c r="G887" s="2198" t="s">
        <v>16044</v>
      </c>
      <c r="H887" s="2197" t="s">
        <v>17660</v>
      </c>
      <c r="I887" s="2199" t="s">
        <v>986</v>
      </c>
      <c r="J887" s="2196">
        <v>5</v>
      </c>
    </row>
    <row r="888" spans="2:10" ht="13.5" thickBot="1" x14ac:dyDescent="0.25">
      <c r="B888" s="392" t="str">
        <f t="shared" si="26"/>
        <v>Open - MAGEE Paul</v>
      </c>
      <c r="C888" s="1441" t="str">
        <f t="shared" si="27"/>
        <v>MAGEE Paul</v>
      </c>
      <c r="D888" s="1428" t="s">
        <v>889</v>
      </c>
      <c r="E888" s="1429">
        <v>877</v>
      </c>
      <c r="F888" s="2197" t="s">
        <v>14233</v>
      </c>
      <c r="G888" s="2198" t="s">
        <v>3259</v>
      </c>
      <c r="H888" s="2197" t="s">
        <v>17660</v>
      </c>
      <c r="I888" s="2199" t="s">
        <v>986</v>
      </c>
      <c r="J888" s="2196">
        <v>5</v>
      </c>
    </row>
    <row r="889" spans="2:10" ht="13.5" thickBot="1" x14ac:dyDescent="0.25">
      <c r="B889" s="392" t="str">
        <f t="shared" si="26"/>
        <v>Open - ROMERA Raúl</v>
      </c>
      <c r="C889" s="1441" t="str">
        <f t="shared" si="27"/>
        <v>ROMERA Raúl</v>
      </c>
      <c r="D889" s="1428" t="s">
        <v>889</v>
      </c>
      <c r="E889" s="1429">
        <v>877</v>
      </c>
      <c r="F889" s="2197" t="s">
        <v>18116</v>
      </c>
      <c r="G889" s="2198" t="s">
        <v>3497</v>
      </c>
      <c r="H889" s="2197" t="s">
        <v>14872</v>
      </c>
      <c r="I889" s="2199" t="s">
        <v>1015</v>
      </c>
      <c r="J889" s="2196">
        <v>5</v>
      </c>
    </row>
    <row r="890" spans="2:10" ht="13.5" thickBot="1" x14ac:dyDescent="0.25">
      <c r="B890" s="392" t="str">
        <f t="shared" si="26"/>
        <v>Open - BENEDI Christian</v>
      </c>
      <c r="C890" s="1441" t="str">
        <f t="shared" si="27"/>
        <v>BENEDI Christian</v>
      </c>
      <c r="D890" s="1428" t="s">
        <v>889</v>
      </c>
      <c r="E890" s="1429">
        <v>877</v>
      </c>
      <c r="F890" s="2197" t="s">
        <v>16698</v>
      </c>
      <c r="G890" s="2198" t="s">
        <v>3063</v>
      </c>
      <c r="H890" s="2197" t="s">
        <v>17015</v>
      </c>
      <c r="I890" s="2199" t="s">
        <v>1079</v>
      </c>
      <c r="J890" s="2196">
        <v>5</v>
      </c>
    </row>
    <row r="891" spans="2:10" ht="13.5" thickBot="1" x14ac:dyDescent="0.25">
      <c r="B891" s="392" t="str">
        <f t="shared" si="26"/>
        <v>Open - YOSHIOKA Haru</v>
      </c>
      <c r="C891" s="1441" t="str">
        <f t="shared" si="27"/>
        <v>YOSHIOKA Haru</v>
      </c>
      <c r="D891" s="1428" t="s">
        <v>889</v>
      </c>
      <c r="E891" s="1429">
        <v>877</v>
      </c>
      <c r="F891" s="2197" t="s">
        <v>18117</v>
      </c>
      <c r="G891" s="2198" t="s">
        <v>17309</v>
      </c>
      <c r="H891" s="2197" t="s">
        <v>17301</v>
      </c>
      <c r="I891" s="2199" t="s">
        <v>1041</v>
      </c>
      <c r="J891" s="2196">
        <v>5</v>
      </c>
    </row>
    <row r="892" spans="2:10" ht="13.5" thickBot="1" x14ac:dyDescent="0.25">
      <c r="B892" s="392" t="str">
        <f t="shared" si="26"/>
        <v>Open - MARICONDA Nicola</v>
      </c>
      <c r="C892" s="1441" t="str">
        <f t="shared" si="27"/>
        <v>MARICONDA Nicola</v>
      </c>
      <c r="D892" s="1428" t="s">
        <v>889</v>
      </c>
      <c r="E892" s="1429">
        <v>877</v>
      </c>
      <c r="F892" s="2197" t="s">
        <v>16854</v>
      </c>
      <c r="G892" s="2198" t="s">
        <v>3191</v>
      </c>
      <c r="H892" s="2197" t="s">
        <v>13312</v>
      </c>
      <c r="I892" s="2199" t="s">
        <v>1037</v>
      </c>
      <c r="J892" s="2196">
        <v>5</v>
      </c>
    </row>
    <row r="893" spans="2:10" ht="13.5" thickBot="1" x14ac:dyDescent="0.25">
      <c r="B893" s="392" t="str">
        <f t="shared" si="26"/>
        <v>Open - TROESTLER Pierre</v>
      </c>
      <c r="C893" s="1441" t="str">
        <f t="shared" si="27"/>
        <v>TROESTLER Pierre</v>
      </c>
      <c r="D893" s="1428" t="s">
        <v>889</v>
      </c>
      <c r="E893" s="1429">
        <v>877</v>
      </c>
      <c r="F893" s="2197" t="s">
        <v>18118</v>
      </c>
      <c r="G893" s="2198" t="s">
        <v>3061</v>
      </c>
      <c r="H893" s="2197" t="s">
        <v>17841</v>
      </c>
      <c r="I893" s="2199" t="s">
        <v>1019</v>
      </c>
      <c r="J893" s="2196">
        <v>5</v>
      </c>
    </row>
    <row r="894" spans="2:10" ht="13.5" thickBot="1" x14ac:dyDescent="0.25">
      <c r="B894" s="392" t="str">
        <f t="shared" si="26"/>
        <v>Open - MARTINELLI Luca</v>
      </c>
      <c r="C894" s="1441" t="str">
        <f t="shared" si="27"/>
        <v>MARTINELLI Luca</v>
      </c>
      <c r="D894" s="1428" t="s">
        <v>889</v>
      </c>
      <c r="E894" s="1429">
        <v>877</v>
      </c>
      <c r="F894" s="2197" t="s">
        <v>16813</v>
      </c>
      <c r="G894" s="2198" t="s">
        <v>3198</v>
      </c>
      <c r="H894" s="2197" t="s">
        <v>17082</v>
      </c>
      <c r="I894" s="2199" t="s">
        <v>1037</v>
      </c>
      <c r="J894" s="2196">
        <v>5</v>
      </c>
    </row>
    <row r="895" spans="2:10" ht="13.5" thickBot="1" x14ac:dyDescent="0.25">
      <c r="B895" s="392" t="str">
        <f t="shared" si="26"/>
        <v>Open - GÄHWILER Clinton</v>
      </c>
      <c r="C895" s="1441" t="str">
        <f t="shared" si="27"/>
        <v>GÄHWILER Clinton</v>
      </c>
      <c r="D895" s="1428" t="s">
        <v>889</v>
      </c>
      <c r="E895" s="1429">
        <v>877</v>
      </c>
      <c r="F895" s="2197" t="s">
        <v>17454</v>
      </c>
      <c r="G895" s="2198" t="s">
        <v>15580</v>
      </c>
      <c r="H895" s="2197" t="s">
        <v>15582</v>
      </c>
      <c r="I895" s="2199" t="s">
        <v>1074</v>
      </c>
      <c r="J895" s="2196">
        <v>5</v>
      </c>
    </row>
    <row r="896" spans="2:10" ht="13.5" thickBot="1" x14ac:dyDescent="0.25">
      <c r="B896" s="392" t="str">
        <f t="shared" si="26"/>
        <v>Open - ARAÚJO Pedro</v>
      </c>
      <c r="C896" s="1441" t="str">
        <f t="shared" si="27"/>
        <v>ARAÚJO Pedro</v>
      </c>
      <c r="D896" s="1428" t="s">
        <v>889</v>
      </c>
      <c r="E896" s="1429">
        <v>877</v>
      </c>
      <c r="F896" s="2197" t="s">
        <v>16675</v>
      </c>
      <c r="G896" s="2198" t="s">
        <v>5604</v>
      </c>
      <c r="H896" s="2197" t="s">
        <v>15138</v>
      </c>
      <c r="I896" s="2199" t="s">
        <v>1061</v>
      </c>
      <c r="J896" s="2196">
        <v>5</v>
      </c>
    </row>
    <row r="897" spans="2:10" ht="13.5" thickBot="1" x14ac:dyDescent="0.25">
      <c r="B897" s="392" t="str">
        <f t="shared" si="26"/>
        <v>Open - POUPART Lea</v>
      </c>
      <c r="C897" s="1441" t="str">
        <f t="shared" si="27"/>
        <v>POUPART Lea</v>
      </c>
      <c r="D897" s="1428" t="s">
        <v>889</v>
      </c>
      <c r="E897" s="1429">
        <v>877</v>
      </c>
      <c r="F897" s="2197" t="s">
        <v>14562</v>
      </c>
      <c r="G897" s="2198" t="s">
        <v>17120</v>
      </c>
      <c r="H897" s="2197" t="s">
        <v>2796</v>
      </c>
      <c r="I897" s="2199" t="s">
        <v>1019</v>
      </c>
      <c r="J897" s="2196">
        <v>5</v>
      </c>
    </row>
    <row r="898" spans="2:10" ht="13.5" thickBot="1" x14ac:dyDescent="0.25">
      <c r="B898" s="392" t="str">
        <f t="shared" si="26"/>
        <v>Open - RIDGER Michael</v>
      </c>
      <c r="C898" s="1441" t="str">
        <f t="shared" si="27"/>
        <v>RIDGER Michael</v>
      </c>
      <c r="D898" s="1428" t="s">
        <v>889</v>
      </c>
      <c r="E898" s="1429">
        <v>877</v>
      </c>
      <c r="F898" s="2197" t="s">
        <v>16674</v>
      </c>
      <c r="G898" s="2198" t="s">
        <v>3416</v>
      </c>
      <c r="H898" s="2197" t="s">
        <v>17660</v>
      </c>
      <c r="I898" s="2199" t="s">
        <v>986</v>
      </c>
      <c r="J898" s="2196">
        <v>5</v>
      </c>
    </row>
    <row r="899" spans="2:10" ht="13.5" thickBot="1" x14ac:dyDescent="0.25">
      <c r="B899" s="392" t="str">
        <f t="shared" si="26"/>
        <v>Open - SILVA Nuno</v>
      </c>
      <c r="C899" s="1441" t="str">
        <f t="shared" si="27"/>
        <v>SILVA Nuno</v>
      </c>
      <c r="D899" s="1428" t="s">
        <v>889</v>
      </c>
      <c r="E899" s="1429">
        <v>877</v>
      </c>
      <c r="F899" s="2197" t="s">
        <v>14208</v>
      </c>
      <c r="G899" s="2198" t="s">
        <v>3093</v>
      </c>
      <c r="H899" s="2197" t="s">
        <v>11332</v>
      </c>
      <c r="I899" s="2199" t="s">
        <v>1061</v>
      </c>
      <c r="J899" s="2196">
        <v>5</v>
      </c>
    </row>
    <row r="900" spans="2:10" ht="13.5" thickBot="1" x14ac:dyDescent="0.25">
      <c r="B900" s="392" t="str">
        <f t="shared" si="26"/>
        <v>Open - MITSUOGI Ryoga</v>
      </c>
      <c r="C900" s="1441" t="str">
        <f t="shared" si="27"/>
        <v>MITSUOGI Ryoga</v>
      </c>
      <c r="D900" s="1428" t="s">
        <v>889</v>
      </c>
      <c r="E900" s="1429">
        <v>877</v>
      </c>
      <c r="F900" s="2197" t="s">
        <v>17453</v>
      </c>
      <c r="G900" s="2198" t="s">
        <v>17244</v>
      </c>
      <c r="H900" s="2197" t="s">
        <v>17246</v>
      </c>
      <c r="I900" s="2199" t="s">
        <v>1041</v>
      </c>
      <c r="J900" s="2196">
        <v>5</v>
      </c>
    </row>
    <row r="901" spans="2:10" ht="13.5" thickBot="1" x14ac:dyDescent="0.25">
      <c r="B901" s="392" t="str">
        <f t="shared" si="26"/>
        <v>Open - ALCOLEA MARTÍNEZ Juan Carlos</v>
      </c>
      <c r="C901" s="1441" t="str">
        <f t="shared" si="27"/>
        <v>ALCOLEA MARTÍNEZ Juan Carlos</v>
      </c>
      <c r="D901" s="1428" t="s">
        <v>889</v>
      </c>
      <c r="E901" s="1429">
        <v>877</v>
      </c>
      <c r="F901" s="2197" t="s">
        <v>18119</v>
      </c>
      <c r="G901" s="2198" t="s">
        <v>3091</v>
      </c>
      <c r="H901" s="2197" t="s">
        <v>7183</v>
      </c>
      <c r="I901" s="2199" t="s">
        <v>1015</v>
      </c>
      <c r="J901" s="2196">
        <v>5</v>
      </c>
    </row>
    <row r="902" spans="2:10" ht="13.5" thickBot="1" x14ac:dyDescent="0.25">
      <c r="B902" s="392" t="str">
        <f t="shared" si="26"/>
        <v>Open - WRIGHT David</v>
      </c>
      <c r="C902" s="1441" t="str">
        <f t="shared" si="27"/>
        <v>WRIGHT David</v>
      </c>
      <c r="D902" s="1428" t="s">
        <v>889</v>
      </c>
      <c r="E902" s="1429">
        <v>877</v>
      </c>
      <c r="F902" s="2197" t="s">
        <v>8759</v>
      </c>
      <c r="G902" s="2198" t="s">
        <v>3072</v>
      </c>
      <c r="H902" s="2197" t="s">
        <v>17660</v>
      </c>
      <c r="I902" s="2199" t="s">
        <v>986</v>
      </c>
      <c r="J902" s="2196">
        <v>5</v>
      </c>
    </row>
    <row r="903" spans="2:10" ht="13.5" thickBot="1" x14ac:dyDescent="0.25">
      <c r="B903" s="392" t="str">
        <f t="shared" ref="B903:B966" si="28">CONCATENATE(D903," - ",C903)</f>
        <v>Open - GARCÍA LUQUE Rafael</v>
      </c>
      <c r="C903" s="1441" t="str">
        <f t="shared" ref="C903:C966" si="29">CONCATENATE(UPPER(F903)," ",G903)</f>
        <v>GARCÍA LUQUE Rafael</v>
      </c>
      <c r="D903" s="1428" t="s">
        <v>889</v>
      </c>
      <c r="E903" s="1429">
        <v>877</v>
      </c>
      <c r="F903" s="2197" t="s">
        <v>18120</v>
      </c>
      <c r="G903" s="2198" t="s">
        <v>9410</v>
      </c>
      <c r="H903" s="2197" t="s">
        <v>7304</v>
      </c>
      <c r="I903" s="2199" t="s">
        <v>1015</v>
      </c>
      <c r="J903" s="2196">
        <v>5</v>
      </c>
    </row>
    <row r="904" spans="2:10" ht="13.5" thickBot="1" x14ac:dyDescent="0.25">
      <c r="B904" s="392" t="str">
        <f t="shared" si="28"/>
        <v>Open - SWOPE Zachary</v>
      </c>
      <c r="C904" s="1441" t="str">
        <f t="shared" si="29"/>
        <v>SWOPE Zachary</v>
      </c>
      <c r="D904" s="1428" t="s">
        <v>889</v>
      </c>
      <c r="E904" s="1429">
        <v>877</v>
      </c>
      <c r="F904" s="2197" t="s">
        <v>16684</v>
      </c>
      <c r="G904" s="2198" t="s">
        <v>16109</v>
      </c>
      <c r="H904" s="2197" t="s">
        <v>2905</v>
      </c>
      <c r="I904" s="2199" t="s">
        <v>1079</v>
      </c>
      <c r="J904" s="2196">
        <v>5</v>
      </c>
    </row>
    <row r="905" spans="2:10" ht="13.5" thickBot="1" x14ac:dyDescent="0.25">
      <c r="B905" s="392" t="str">
        <f t="shared" si="28"/>
        <v>Open - YASUDA Naoto</v>
      </c>
      <c r="C905" s="1441" t="str">
        <f t="shared" si="29"/>
        <v>YASUDA Naoto</v>
      </c>
      <c r="D905" s="1428" t="s">
        <v>889</v>
      </c>
      <c r="E905" s="1429">
        <v>877</v>
      </c>
      <c r="F905" s="2197" t="s">
        <v>16861</v>
      </c>
      <c r="G905" s="2198" t="s">
        <v>16283</v>
      </c>
      <c r="H905" s="2197" t="s">
        <v>17301</v>
      </c>
      <c r="I905" s="2199" t="s">
        <v>1041</v>
      </c>
      <c r="J905" s="2196">
        <v>5</v>
      </c>
    </row>
    <row r="906" spans="2:10" ht="13.5" thickBot="1" x14ac:dyDescent="0.25">
      <c r="B906" s="392" t="str">
        <f t="shared" si="28"/>
        <v>Open - LONGO Santo</v>
      </c>
      <c r="C906" s="1441" t="str">
        <f t="shared" si="29"/>
        <v>LONGO Santo</v>
      </c>
      <c r="D906" s="1428" t="s">
        <v>889</v>
      </c>
      <c r="E906" s="1429">
        <v>877</v>
      </c>
      <c r="F906" s="2197" t="s">
        <v>16749</v>
      </c>
      <c r="G906" s="2198" t="s">
        <v>15822</v>
      </c>
      <c r="H906" s="2197" t="s">
        <v>7872</v>
      </c>
      <c r="I906" s="2199" t="s">
        <v>1037</v>
      </c>
      <c r="J906" s="2196">
        <v>5</v>
      </c>
    </row>
    <row r="907" spans="2:10" ht="13.5" thickBot="1" x14ac:dyDescent="0.25">
      <c r="B907" s="392" t="str">
        <f t="shared" si="28"/>
        <v>Open - DREYER Cedric</v>
      </c>
      <c r="C907" s="1441" t="str">
        <f t="shared" si="29"/>
        <v>DREYER Cedric</v>
      </c>
      <c r="D907" s="1428" t="s">
        <v>889</v>
      </c>
      <c r="E907" s="1429">
        <v>877</v>
      </c>
      <c r="F907" s="2197" t="s">
        <v>18121</v>
      </c>
      <c r="G907" s="2198" t="s">
        <v>17566</v>
      </c>
      <c r="H907" s="2197" t="s">
        <v>15446</v>
      </c>
      <c r="I907" s="2199" t="s">
        <v>1019</v>
      </c>
      <c r="J907" s="2196">
        <v>5</v>
      </c>
    </row>
    <row r="908" spans="2:10" ht="13.5" thickBot="1" x14ac:dyDescent="0.25">
      <c r="B908" s="392" t="str">
        <f t="shared" si="28"/>
        <v>Open - MIGUEL ANGEL GAYA No Licence</v>
      </c>
      <c r="C908" s="1441" t="str">
        <f t="shared" si="29"/>
        <v>MIGUEL ANGEL GAYA No Licence</v>
      </c>
      <c r="D908" s="1428" t="s">
        <v>889</v>
      </c>
      <c r="E908" s="1429">
        <v>877</v>
      </c>
      <c r="F908" s="2197" t="s">
        <v>16669</v>
      </c>
      <c r="G908" s="2198" t="s">
        <v>16670</v>
      </c>
      <c r="H908" s="2197" t="s">
        <v>16671</v>
      </c>
      <c r="I908" s="2199"/>
      <c r="J908" s="2196">
        <v>5</v>
      </c>
    </row>
    <row r="909" spans="2:10" ht="13.5" thickBot="1" x14ac:dyDescent="0.25">
      <c r="B909" s="392" t="str">
        <f t="shared" si="28"/>
        <v>Open - GROSDENT Luc</v>
      </c>
      <c r="C909" s="1441" t="str">
        <f t="shared" si="29"/>
        <v>GROSDENT Luc</v>
      </c>
      <c r="D909" s="1428" t="s">
        <v>889</v>
      </c>
      <c r="E909" s="1429">
        <v>877</v>
      </c>
      <c r="F909" s="2197" t="s">
        <v>8735</v>
      </c>
      <c r="G909" s="2198" t="s">
        <v>9408</v>
      </c>
      <c r="H909" s="2197" t="s">
        <v>10252</v>
      </c>
      <c r="I909" s="2199" t="s">
        <v>990</v>
      </c>
      <c r="J909" s="2196">
        <v>5</v>
      </c>
    </row>
    <row r="910" spans="2:10" ht="13.5" thickBot="1" x14ac:dyDescent="0.25">
      <c r="B910" s="392" t="str">
        <f t="shared" si="28"/>
        <v>Open - MENGELE Brian</v>
      </c>
      <c r="C910" s="1441" t="str">
        <f t="shared" si="29"/>
        <v>MENGELE Brian</v>
      </c>
      <c r="D910" s="1428" t="s">
        <v>889</v>
      </c>
      <c r="E910" s="1429">
        <v>877</v>
      </c>
      <c r="F910" s="2197" t="s">
        <v>16704</v>
      </c>
      <c r="G910" s="2198" t="s">
        <v>3195</v>
      </c>
      <c r="H910" s="2197" t="s">
        <v>2905</v>
      </c>
      <c r="I910" s="2199" t="s">
        <v>1079</v>
      </c>
      <c r="J910" s="2196">
        <v>5</v>
      </c>
    </row>
    <row r="911" spans="2:10" ht="13.5" thickBot="1" x14ac:dyDescent="0.25">
      <c r="B911" s="392" t="str">
        <f t="shared" si="28"/>
        <v>Open - SANTORO Orazio</v>
      </c>
      <c r="C911" s="1441" t="str">
        <f t="shared" si="29"/>
        <v>SANTORO Orazio</v>
      </c>
      <c r="D911" s="1428" t="s">
        <v>889</v>
      </c>
      <c r="E911" s="1429">
        <v>877</v>
      </c>
      <c r="F911" s="2197" t="s">
        <v>16853</v>
      </c>
      <c r="G911" s="2198" t="s">
        <v>16190</v>
      </c>
      <c r="H911" s="2197" t="s">
        <v>16490</v>
      </c>
      <c r="I911" s="2199" t="s">
        <v>1037</v>
      </c>
      <c r="J911" s="2196">
        <v>5</v>
      </c>
    </row>
    <row r="912" spans="2:10" ht="13.5" thickBot="1" x14ac:dyDescent="0.25">
      <c r="B912" s="392" t="str">
        <f t="shared" si="28"/>
        <v>Open - ANTÚNEZ Antonio</v>
      </c>
      <c r="C912" s="1441" t="str">
        <f t="shared" si="29"/>
        <v>ANTÚNEZ Antonio</v>
      </c>
      <c r="D912" s="1428" t="s">
        <v>889</v>
      </c>
      <c r="E912" s="1429">
        <v>877</v>
      </c>
      <c r="F912" s="2197" t="s">
        <v>14247</v>
      </c>
      <c r="G912" s="2198" t="s">
        <v>3341</v>
      </c>
      <c r="H912" s="2197" t="s">
        <v>7304</v>
      </c>
      <c r="I912" s="2199" t="s">
        <v>1015</v>
      </c>
      <c r="J912" s="2196">
        <v>5</v>
      </c>
    </row>
    <row r="913" spans="2:10" ht="13.5" thickBot="1" x14ac:dyDescent="0.25">
      <c r="B913" s="392" t="str">
        <f t="shared" si="28"/>
        <v>Open - FITCH Robert</v>
      </c>
      <c r="C913" s="1441" t="str">
        <f t="shared" si="29"/>
        <v>FITCH Robert</v>
      </c>
      <c r="D913" s="1428" t="s">
        <v>889</v>
      </c>
      <c r="E913" s="1429">
        <v>877</v>
      </c>
      <c r="F913" s="2197" t="s">
        <v>16857</v>
      </c>
      <c r="G913" s="2198" t="s">
        <v>3405</v>
      </c>
      <c r="H913" s="2197" t="s">
        <v>17082</v>
      </c>
      <c r="I913" s="2199" t="s">
        <v>1013</v>
      </c>
      <c r="J913" s="2196">
        <v>5</v>
      </c>
    </row>
    <row r="914" spans="2:10" ht="13.5" thickBot="1" x14ac:dyDescent="0.25">
      <c r="B914" s="392" t="str">
        <f t="shared" si="28"/>
        <v>Open - GEORGANOUDIS Nikolaos</v>
      </c>
      <c r="C914" s="1441" t="str">
        <f t="shared" si="29"/>
        <v>GEORGANOUDIS Nikolaos</v>
      </c>
      <c r="D914" s="1428" t="s">
        <v>889</v>
      </c>
      <c r="E914" s="1429">
        <v>877</v>
      </c>
      <c r="F914" s="2197" t="s">
        <v>16673</v>
      </c>
      <c r="G914" s="2198" t="s">
        <v>5554</v>
      </c>
      <c r="H914" s="2197" t="s">
        <v>5309</v>
      </c>
      <c r="I914" s="2199" t="s">
        <v>1025</v>
      </c>
      <c r="J914" s="2196">
        <v>5</v>
      </c>
    </row>
    <row r="915" spans="2:10" ht="13.5" thickBot="1" x14ac:dyDescent="0.25">
      <c r="B915" s="392" t="str">
        <f t="shared" si="28"/>
        <v>Open - NATOLI Cesare</v>
      </c>
      <c r="C915" s="1441" t="str">
        <f t="shared" si="29"/>
        <v>NATOLI Cesare</v>
      </c>
      <c r="D915" s="1428" t="s">
        <v>889</v>
      </c>
      <c r="E915" s="1429">
        <v>877</v>
      </c>
      <c r="F915" s="2197" t="s">
        <v>3318</v>
      </c>
      <c r="G915" s="2198" t="s">
        <v>3288</v>
      </c>
      <c r="H915" s="2197" t="s">
        <v>13593</v>
      </c>
      <c r="I915" s="2199" t="s">
        <v>1037</v>
      </c>
      <c r="J915" s="2196">
        <v>5</v>
      </c>
    </row>
    <row r="916" spans="2:10" ht="13.5" thickBot="1" x14ac:dyDescent="0.25">
      <c r="B916" s="392" t="str">
        <f t="shared" si="28"/>
        <v>Open - LEGALL Eliott</v>
      </c>
      <c r="C916" s="1441" t="str">
        <f t="shared" si="29"/>
        <v>LEGALL Eliott</v>
      </c>
      <c r="D916" s="1428" t="s">
        <v>889</v>
      </c>
      <c r="E916" s="1429">
        <v>877</v>
      </c>
      <c r="F916" s="2197" t="s">
        <v>14911</v>
      </c>
      <c r="G916" s="2198" t="s">
        <v>14535</v>
      </c>
      <c r="H916" s="2197" t="s">
        <v>2796</v>
      </c>
      <c r="I916" s="2199" t="s">
        <v>1019</v>
      </c>
      <c r="J916" s="2196">
        <v>5</v>
      </c>
    </row>
    <row r="917" spans="2:10" ht="13.5" thickBot="1" x14ac:dyDescent="0.25">
      <c r="B917" s="392" t="str">
        <f t="shared" si="28"/>
        <v>Open - PINTO Juan Carlos</v>
      </c>
      <c r="C917" s="1441" t="str">
        <f t="shared" si="29"/>
        <v>PINTO Juan Carlos</v>
      </c>
      <c r="D917" s="1428" t="s">
        <v>889</v>
      </c>
      <c r="E917" s="1429">
        <v>877</v>
      </c>
      <c r="F917" s="2197" t="s">
        <v>8726</v>
      </c>
      <c r="G917" s="2198" t="s">
        <v>3091</v>
      </c>
      <c r="H917" s="2197" t="s">
        <v>14370</v>
      </c>
      <c r="I917" s="2199" t="s">
        <v>1015</v>
      </c>
      <c r="J917" s="2196">
        <v>5</v>
      </c>
    </row>
    <row r="918" spans="2:10" ht="13.5" thickBot="1" x14ac:dyDescent="0.25">
      <c r="B918" s="392" t="str">
        <f t="shared" si="28"/>
        <v>Open - AVELLANO Leon</v>
      </c>
      <c r="C918" s="1441" t="str">
        <f t="shared" si="29"/>
        <v>AVELLANO Leon</v>
      </c>
      <c r="D918" s="1428" t="s">
        <v>889</v>
      </c>
      <c r="E918" s="1429">
        <v>877</v>
      </c>
      <c r="F918" s="2197" t="s">
        <v>16615</v>
      </c>
      <c r="G918" s="2198" t="s">
        <v>5655</v>
      </c>
      <c r="H918" s="2197" t="s">
        <v>9448</v>
      </c>
      <c r="I918" s="2199" t="s">
        <v>1023</v>
      </c>
      <c r="J918" s="2196">
        <v>5</v>
      </c>
    </row>
    <row r="919" spans="2:10" ht="13.5" thickBot="1" x14ac:dyDescent="0.25">
      <c r="B919" s="392" t="str">
        <f t="shared" si="28"/>
        <v>Open - FLETCHER Colin</v>
      </c>
      <c r="C919" s="1441" t="str">
        <f t="shared" si="29"/>
        <v>FLETCHER Colin</v>
      </c>
      <c r="D919" s="1428" t="s">
        <v>889</v>
      </c>
      <c r="E919" s="1429">
        <v>877</v>
      </c>
      <c r="F919" s="2197" t="s">
        <v>14205</v>
      </c>
      <c r="G919" s="2198" t="s">
        <v>3114</v>
      </c>
      <c r="H919" s="2197" t="s">
        <v>13531</v>
      </c>
      <c r="I919" s="2199" t="s">
        <v>1013</v>
      </c>
      <c r="J919" s="2196">
        <v>5</v>
      </c>
    </row>
    <row r="920" spans="2:10" ht="13.5" thickBot="1" x14ac:dyDescent="0.25">
      <c r="B920" s="392" t="str">
        <f t="shared" si="28"/>
        <v>Open - GENART Alex</v>
      </c>
      <c r="C920" s="1441" t="str">
        <f t="shared" si="29"/>
        <v>GENART Alex</v>
      </c>
      <c r="D920" s="1428" t="s">
        <v>889</v>
      </c>
      <c r="E920" s="1429">
        <v>877</v>
      </c>
      <c r="F920" s="2197" t="s">
        <v>7945</v>
      </c>
      <c r="G920" s="2198" t="s">
        <v>3130</v>
      </c>
      <c r="H920" s="2197" t="s">
        <v>5301</v>
      </c>
      <c r="I920" s="2199" t="s">
        <v>990</v>
      </c>
      <c r="J920" s="2196">
        <v>5</v>
      </c>
    </row>
    <row r="921" spans="2:10" ht="13.5" thickBot="1" x14ac:dyDescent="0.25">
      <c r="B921" s="392" t="str">
        <f t="shared" si="28"/>
        <v>Open - CHUGANI Chandru G</v>
      </c>
      <c r="C921" s="1441" t="str">
        <f t="shared" si="29"/>
        <v>CHUGANI Chandru G</v>
      </c>
      <c r="D921" s="1428" t="s">
        <v>889</v>
      </c>
      <c r="E921" s="1429">
        <v>877</v>
      </c>
      <c r="F921" s="2197" t="s">
        <v>16677</v>
      </c>
      <c r="G921" s="2198" t="s">
        <v>5539</v>
      </c>
      <c r="H921" s="2197" t="s">
        <v>8716</v>
      </c>
      <c r="I921" s="2199" t="s">
        <v>7916</v>
      </c>
      <c r="J921" s="2196">
        <v>5</v>
      </c>
    </row>
    <row r="922" spans="2:10" ht="13.5" thickBot="1" x14ac:dyDescent="0.25">
      <c r="B922" s="392" t="str">
        <f t="shared" si="28"/>
        <v>Open - ELMER Imojjen</v>
      </c>
      <c r="C922" s="1441" t="str">
        <f t="shared" si="29"/>
        <v>ELMER Imojjen</v>
      </c>
      <c r="D922" s="1428" t="s">
        <v>889</v>
      </c>
      <c r="E922" s="1429">
        <v>877</v>
      </c>
      <c r="F922" s="2197" t="s">
        <v>14224</v>
      </c>
      <c r="G922" s="2198" t="s">
        <v>7463</v>
      </c>
      <c r="H922" s="2197" t="s">
        <v>17660</v>
      </c>
      <c r="I922" s="2199" t="s">
        <v>986</v>
      </c>
      <c r="J922" s="2196">
        <v>5</v>
      </c>
    </row>
    <row r="923" spans="2:10" ht="13.5" thickBot="1" x14ac:dyDescent="0.25">
      <c r="B923" s="392" t="str">
        <f t="shared" si="28"/>
        <v>Open - GRUNBACH Adrian</v>
      </c>
      <c r="C923" s="1441" t="str">
        <f t="shared" si="29"/>
        <v>GRUNBACH Adrian</v>
      </c>
      <c r="D923" s="1428" t="s">
        <v>889</v>
      </c>
      <c r="E923" s="1429">
        <v>877</v>
      </c>
      <c r="F923" s="2197" t="s">
        <v>14129</v>
      </c>
      <c r="G923" s="2198" t="s">
        <v>3356</v>
      </c>
      <c r="H923" s="2197" t="s">
        <v>9593</v>
      </c>
      <c r="I923" s="2199" t="s">
        <v>986</v>
      </c>
      <c r="J923" s="2196">
        <v>5</v>
      </c>
    </row>
    <row r="924" spans="2:10" ht="13.5" thickBot="1" x14ac:dyDescent="0.25">
      <c r="B924" s="392" t="str">
        <f t="shared" si="28"/>
        <v>Open - KOUTZAS Billy</v>
      </c>
      <c r="C924" s="1441" t="str">
        <f t="shared" si="29"/>
        <v>KOUTZAS Billy</v>
      </c>
      <c r="D924" s="1428" t="s">
        <v>889</v>
      </c>
      <c r="E924" s="1429">
        <v>877</v>
      </c>
      <c r="F924" s="2197" t="s">
        <v>14226</v>
      </c>
      <c r="G924" s="2198" t="s">
        <v>8227</v>
      </c>
      <c r="H924" s="2197" t="s">
        <v>9595</v>
      </c>
      <c r="I924" s="2199" t="s">
        <v>986</v>
      </c>
      <c r="J924" s="2196">
        <v>5</v>
      </c>
    </row>
    <row r="925" spans="2:10" ht="13.5" thickBot="1" x14ac:dyDescent="0.25">
      <c r="B925" s="392" t="str">
        <f t="shared" si="28"/>
        <v>Open - DI MAGGIO Maximos</v>
      </c>
      <c r="C925" s="1441" t="str">
        <f t="shared" si="29"/>
        <v>DI MAGGIO Maximos</v>
      </c>
      <c r="D925" s="1428" t="s">
        <v>889</v>
      </c>
      <c r="E925" s="1429">
        <v>877</v>
      </c>
      <c r="F925" s="2197" t="s">
        <v>7302</v>
      </c>
      <c r="G925" s="2198" t="s">
        <v>7309</v>
      </c>
      <c r="H925" s="2197" t="s">
        <v>9449</v>
      </c>
      <c r="I925" s="2199" t="s">
        <v>1025</v>
      </c>
      <c r="J925" s="2196">
        <v>5</v>
      </c>
    </row>
    <row r="926" spans="2:10" ht="13.5" thickBot="1" x14ac:dyDescent="0.25">
      <c r="B926" s="392" t="str">
        <f t="shared" si="28"/>
        <v>Open - NATALE Carmelo</v>
      </c>
      <c r="C926" s="1441" t="str">
        <f t="shared" si="29"/>
        <v>NATALE Carmelo</v>
      </c>
      <c r="D926" s="1428" t="s">
        <v>889</v>
      </c>
      <c r="E926" s="1429">
        <v>877</v>
      </c>
      <c r="F926" s="2197" t="s">
        <v>3508</v>
      </c>
      <c r="G926" s="2198" t="s">
        <v>3485</v>
      </c>
      <c r="H926" s="2197" t="s">
        <v>14879</v>
      </c>
      <c r="I926" s="2199" t="s">
        <v>1037</v>
      </c>
      <c r="J926" s="2196">
        <v>5</v>
      </c>
    </row>
    <row r="927" spans="2:10" ht="13.5" thickBot="1" x14ac:dyDescent="0.25">
      <c r="B927" s="392" t="str">
        <f t="shared" si="28"/>
        <v>Open - VLASOV Evgenii</v>
      </c>
      <c r="C927" s="1441" t="str">
        <f t="shared" si="29"/>
        <v>VLASOV Evgenii</v>
      </c>
      <c r="D927" s="1428" t="s">
        <v>889</v>
      </c>
      <c r="E927" s="1429">
        <v>877</v>
      </c>
      <c r="F927" s="2197" t="s">
        <v>14243</v>
      </c>
      <c r="G927" s="2198" t="s">
        <v>9416</v>
      </c>
      <c r="H927" s="2197" t="s">
        <v>11532</v>
      </c>
      <c r="I927" s="2199" t="s">
        <v>1065</v>
      </c>
      <c r="J927" s="2196">
        <v>5</v>
      </c>
    </row>
    <row r="928" spans="2:10" ht="13.5" thickBot="1" x14ac:dyDescent="0.25">
      <c r="B928" s="392" t="str">
        <f t="shared" si="28"/>
        <v>Open - GOUTZIOULIS Georgios</v>
      </c>
      <c r="C928" s="1441" t="str">
        <f t="shared" si="29"/>
        <v>GOUTZIOULIS Georgios</v>
      </c>
      <c r="D928" s="1428" t="s">
        <v>889</v>
      </c>
      <c r="E928" s="1429">
        <v>877</v>
      </c>
      <c r="F928" s="2197" t="s">
        <v>14909</v>
      </c>
      <c r="G928" s="2198" t="s">
        <v>3324</v>
      </c>
      <c r="H928" s="2197" t="s">
        <v>10251</v>
      </c>
      <c r="I928" s="2199" t="s">
        <v>1025</v>
      </c>
      <c r="J928" s="2196">
        <v>5</v>
      </c>
    </row>
    <row r="929" spans="2:10" ht="13.5" thickBot="1" x14ac:dyDescent="0.25">
      <c r="B929" s="392" t="str">
        <f t="shared" si="28"/>
        <v>Open - GÜTL Herbert</v>
      </c>
      <c r="C929" s="1441" t="str">
        <f t="shared" si="29"/>
        <v>GÜTL Herbert</v>
      </c>
      <c r="D929" s="1428" t="s">
        <v>889</v>
      </c>
      <c r="E929" s="1429">
        <v>877</v>
      </c>
      <c r="F929" s="2197" t="s">
        <v>16676</v>
      </c>
      <c r="G929" s="2198" t="s">
        <v>15639</v>
      </c>
      <c r="H929" s="2197" t="s">
        <v>2748</v>
      </c>
      <c r="I929" s="2199" t="s">
        <v>988</v>
      </c>
      <c r="J929" s="2196">
        <v>5</v>
      </c>
    </row>
    <row r="930" spans="2:10" ht="13.5" thickBot="1" x14ac:dyDescent="0.25">
      <c r="B930" s="392" t="str">
        <f t="shared" si="28"/>
        <v>Open - TSIAKALOS Panagiotis</v>
      </c>
      <c r="C930" s="1441" t="str">
        <f t="shared" si="29"/>
        <v>TSIAKALOS Panagiotis</v>
      </c>
      <c r="D930" s="1428" t="s">
        <v>889</v>
      </c>
      <c r="E930" s="1429">
        <v>924</v>
      </c>
      <c r="F930" s="2197" t="s">
        <v>14201</v>
      </c>
      <c r="G930" s="2198" t="s">
        <v>3249</v>
      </c>
      <c r="H930" s="2197" t="s">
        <v>2760</v>
      </c>
      <c r="I930" s="2199" t="s">
        <v>1025</v>
      </c>
      <c r="J930" s="2196">
        <v>4.5</v>
      </c>
    </row>
    <row r="931" spans="2:10" ht="13.5" thickBot="1" x14ac:dyDescent="0.25">
      <c r="B931" s="392" t="str">
        <f t="shared" si="28"/>
        <v>Open - AHMAD Mohd Ezan</v>
      </c>
      <c r="C931" s="1441" t="str">
        <f t="shared" si="29"/>
        <v>AHMAD Mohd Ezan</v>
      </c>
      <c r="D931" s="1428" t="s">
        <v>889</v>
      </c>
      <c r="E931" s="1429">
        <v>924</v>
      </c>
      <c r="F931" s="2197" t="s">
        <v>14259</v>
      </c>
      <c r="G931" s="2198" t="s">
        <v>3143</v>
      </c>
      <c r="H931" s="2197" t="s">
        <v>7270</v>
      </c>
      <c r="I931" s="2199" t="s">
        <v>7916</v>
      </c>
      <c r="J931" s="2196">
        <v>4.5</v>
      </c>
    </row>
    <row r="932" spans="2:10" ht="13.5" thickBot="1" x14ac:dyDescent="0.25">
      <c r="B932" s="392" t="str">
        <f t="shared" si="28"/>
        <v>Open - BOULANGER Richard</v>
      </c>
      <c r="C932" s="1441" t="str">
        <f t="shared" si="29"/>
        <v>BOULANGER Richard</v>
      </c>
      <c r="D932" s="1428" t="s">
        <v>889</v>
      </c>
      <c r="E932" s="1429">
        <v>924</v>
      </c>
      <c r="F932" s="2197" t="s">
        <v>3348</v>
      </c>
      <c r="G932" s="2198" t="s">
        <v>3219</v>
      </c>
      <c r="H932" s="2197" t="s">
        <v>10252</v>
      </c>
      <c r="I932" s="2199" t="s">
        <v>990</v>
      </c>
      <c r="J932" s="2196">
        <v>4.5</v>
      </c>
    </row>
    <row r="933" spans="2:10" ht="13.5" thickBot="1" x14ac:dyDescent="0.25">
      <c r="B933" s="392" t="str">
        <f t="shared" si="28"/>
        <v>Open - SINGH Melvindepal</v>
      </c>
      <c r="C933" s="1441" t="str">
        <f t="shared" si="29"/>
        <v>SINGH Melvindepal</v>
      </c>
      <c r="D933" s="1428" t="s">
        <v>889</v>
      </c>
      <c r="E933" s="1429">
        <v>924</v>
      </c>
      <c r="F933" s="2197" t="s">
        <v>14947</v>
      </c>
      <c r="G933" s="2198" t="s">
        <v>14802</v>
      </c>
      <c r="H933" s="2197" t="s">
        <v>8716</v>
      </c>
      <c r="I933" s="2199" t="s">
        <v>7916</v>
      </c>
      <c r="J933" s="2196">
        <v>4.5</v>
      </c>
    </row>
    <row r="934" spans="2:10" ht="13.5" thickBot="1" x14ac:dyDescent="0.25">
      <c r="B934" s="392" t="str">
        <f t="shared" si="28"/>
        <v>Open - CHANOS Michail I</v>
      </c>
      <c r="C934" s="1441" t="str">
        <f t="shared" si="29"/>
        <v>CHANOS Michail I</v>
      </c>
      <c r="D934" s="1428" t="s">
        <v>889</v>
      </c>
      <c r="E934" s="1429">
        <v>924</v>
      </c>
      <c r="F934" s="2197" t="s">
        <v>11184</v>
      </c>
      <c r="G934" s="2198" t="s">
        <v>10061</v>
      </c>
      <c r="H934" s="2197" t="s">
        <v>14596</v>
      </c>
      <c r="I934" s="2199" t="s">
        <v>1025</v>
      </c>
      <c r="J934" s="2196">
        <v>4.5</v>
      </c>
    </row>
    <row r="935" spans="2:10" ht="13.5" thickBot="1" x14ac:dyDescent="0.25">
      <c r="B935" s="392" t="str">
        <f t="shared" si="28"/>
        <v>Open - GONINAN Jonathan</v>
      </c>
      <c r="C935" s="1441" t="str">
        <f t="shared" si="29"/>
        <v>GONINAN Jonathan</v>
      </c>
      <c r="D935" s="1428" t="s">
        <v>889</v>
      </c>
      <c r="E935" s="1429">
        <v>924</v>
      </c>
      <c r="F935" s="2197" t="s">
        <v>14953</v>
      </c>
      <c r="G935" s="2198" t="s">
        <v>3293</v>
      </c>
      <c r="H935" s="2197" t="s">
        <v>13608</v>
      </c>
      <c r="I935" s="2199" t="s">
        <v>1079</v>
      </c>
      <c r="J935" s="2196">
        <v>4.5</v>
      </c>
    </row>
    <row r="936" spans="2:10" ht="13.5" thickBot="1" x14ac:dyDescent="0.25">
      <c r="B936" s="392" t="str">
        <f t="shared" si="28"/>
        <v>Open - ZUNINO Andrew</v>
      </c>
      <c r="C936" s="1441" t="str">
        <f t="shared" si="29"/>
        <v>ZUNINO Andrew</v>
      </c>
      <c r="D936" s="1428" t="s">
        <v>889</v>
      </c>
      <c r="E936" s="1429">
        <v>924</v>
      </c>
      <c r="F936" s="2197" t="s">
        <v>11474</v>
      </c>
      <c r="G936" s="2198" t="s">
        <v>3105</v>
      </c>
      <c r="H936" s="2197" t="s">
        <v>17015</v>
      </c>
      <c r="I936" s="2199" t="s">
        <v>1079</v>
      </c>
      <c r="J936" s="2196">
        <v>4.5</v>
      </c>
    </row>
    <row r="937" spans="2:10" ht="13.5" thickBot="1" x14ac:dyDescent="0.25">
      <c r="B937" s="392" t="str">
        <f t="shared" si="28"/>
        <v>Open - LECCE Pasquale</v>
      </c>
      <c r="C937" s="1441" t="str">
        <f t="shared" si="29"/>
        <v>LECCE Pasquale</v>
      </c>
      <c r="D937" s="1428" t="s">
        <v>889</v>
      </c>
      <c r="E937" s="1429">
        <v>931</v>
      </c>
      <c r="F937" s="2197" t="s">
        <v>18122</v>
      </c>
      <c r="G937" s="2198" t="s">
        <v>3548</v>
      </c>
      <c r="H937" s="2197" t="s">
        <v>2773</v>
      </c>
      <c r="I937" s="2199" t="s">
        <v>1037</v>
      </c>
      <c r="J937" s="2196">
        <v>4</v>
      </c>
    </row>
    <row r="938" spans="2:10" ht="13.5" thickBot="1" x14ac:dyDescent="0.25">
      <c r="B938" s="392" t="str">
        <f t="shared" si="28"/>
        <v>Open - WALSH Stuart</v>
      </c>
      <c r="C938" s="1441" t="str">
        <f t="shared" si="29"/>
        <v>WALSH Stuart</v>
      </c>
      <c r="D938" s="1428" t="s">
        <v>889</v>
      </c>
      <c r="E938" s="1429">
        <v>931</v>
      </c>
      <c r="F938" s="2197" t="s">
        <v>16706</v>
      </c>
      <c r="G938" s="2198" t="s">
        <v>3316</v>
      </c>
      <c r="H938" s="2197" t="s">
        <v>15274</v>
      </c>
      <c r="I938" s="2199" t="s">
        <v>1013</v>
      </c>
      <c r="J938" s="2196">
        <v>4</v>
      </c>
    </row>
    <row r="939" spans="2:10" ht="13.5" thickBot="1" x14ac:dyDescent="0.25">
      <c r="B939" s="392" t="str">
        <f t="shared" si="28"/>
        <v>Open - JIGE Keita</v>
      </c>
      <c r="C939" s="1441" t="str">
        <f t="shared" si="29"/>
        <v>JIGE Keita</v>
      </c>
      <c r="D939" s="1428" t="s">
        <v>889</v>
      </c>
      <c r="E939" s="1429">
        <v>931</v>
      </c>
      <c r="F939" s="2197" t="s">
        <v>18123</v>
      </c>
      <c r="G939" s="2198" t="s">
        <v>18020</v>
      </c>
      <c r="H939" s="2197" t="s">
        <v>17301</v>
      </c>
      <c r="I939" s="2199" t="s">
        <v>1041</v>
      </c>
      <c r="J939" s="2196">
        <v>4</v>
      </c>
    </row>
    <row r="940" spans="2:10" ht="13.5" thickBot="1" x14ac:dyDescent="0.25">
      <c r="B940" s="392" t="str">
        <f t="shared" si="28"/>
        <v>Open - COLWELL Martin</v>
      </c>
      <c r="C940" s="1441" t="str">
        <f t="shared" si="29"/>
        <v>COLWELL Martin</v>
      </c>
      <c r="D940" s="1428" t="s">
        <v>889</v>
      </c>
      <c r="E940" s="1429">
        <v>931</v>
      </c>
      <c r="F940" s="2197" t="s">
        <v>16761</v>
      </c>
      <c r="G940" s="2198" t="s">
        <v>3408</v>
      </c>
      <c r="H940" s="2197" t="s">
        <v>17082</v>
      </c>
      <c r="I940" s="2199" t="s">
        <v>1013</v>
      </c>
      <c r="J940" s="2196">
        <v>4</v>
      </c>
    </row>
    <row r="941" spans="2:10" ht="13.5" thickBot="1" x14ac:dyDescent="0.25">
      <c r="B941" s="392" t="str">
        <f t="shared" si="28"/>
        <v>Open - GARNIER Stéphanie</v>
      </c>
      <c r="C941" s="1441" t="str">
        <f t="shared" si="29"/>
        <v>GARNIER Stéphanie</v>
      </c>
      <c r="D941" s="1428" t="s">
        <v>889</v>
      </c>
      <c r="E941" s="1429">
        <v>931</v>
      </c>
      <c r="F941" s="2197" t="s">
        <v>3361</v>
      </c>
      <c r="G941" s="2198" t="s">
        <v>8777</v>
      </c>
      <c r="H941" s="2197" t="s">
        <v>2755</v>
      </c>
      <c r="I941" s="2199" t="s">
        <v>1019</v>
      </c>
      <c r="J941" s="2196">
        <v>4</v>
      </c>
    </row>
    <row r="942" spans="2:10" ht="13.5" thickBot="1" x14ac:dyDescent="0.25">
      <c r="B942" s="392" t="str">
        <f t="shared" si="28"/>
        <v>Open - WULFF Noah</v>
      </c>
      <c r="C942" s="1441" t="str">
        <f t="shared" si="29"/>
        <v>WULFF Noah</v>
      </c>
      <c r="D942" s="1428" t="s">
        <v>889</v>
      </c>
      <c r="E942" s="1429">
        <v>931</v>
      </c>
      <c r="F942" s="2197" t="s">
        <v>16688</v>
      </c>
      <c r="G942" s="2198" t="s">
        <v>7329</v>
      </c>
      <c r="H942" s="2197" t="s">
        <v>11409</v>
      </c>
      <c r="I942" s="2199" t="s">
        <v>1021</v>
      </c>
      <c r="J942" s="2196">
        <v>4</v>
      </c>
    </row>
    <row r="943" spans="2:10" ht="13.5" thickBot="1" x14ac:dyDescent="0.25">
      <c r="B943" s="392" t="str">
        <f t="shared" si="28"/>
        <v>Open - MIFSUD Vincent</v>
      </c>
      <c r="C943" s="1441" t="str">
        <f t="shared" si="29"/>
        <v>MIFSUD Vincent</v>
      </c>
      <c r="D943" s="1428" t="s">
        <v>889</v>
      </c>
      <c r="E943" s="1429">
        <v>931</v>
      </c>
      <c r="F943" s="2197" t="s">
        <v>3458</v>
      </c>
      <c r="G943" s="2198" t="s">
        <v>3457</v>
      </c>
      <c r="H943" s="2197" t="s">
        <v>11331</v>
      </c>
      <c r="I943" s="2199" t="s">
        <v>1045</v>
      </c>
      <c r="J943" s="2196">
        <v>4</v>
      </c>
    </row>
    <row r="944" spans="2:10" ht="13.5" thickBot="1" x14ac:dyDescent="0.25">
      <c r="B944" s="392" t="str">
        <f t="shared" si="28"/>
        <v>Open - IZARD Paul</v>
      </c>
      <c r="C944" s="1441" t="str">
        <f t="shared" si="29"/>
        <v>IZARD Paul</v>
      </c>
      <c r="D944" s="1428" t="s">
        <v>889</v>
      </c>
      <c r="E944" s="1429">
        <v>931</v>
      </c>
      <c r="F944" s="2197" t="s">
        <v>16856</v>
      </c>
      <c r="G944" s="2198" t="s">
        <v>3259</v>
      </c>
      <c r="H944" s="2197" t="s">
        <v>17082</v>
      </c>
      <c r="I944" s="2199" t="s">
        <v>1013</v>
      </c>
      <c r="J944" s="2196">
        <v>4</v>
      </c>
    </row>
    <row r="945" spans="2:10" ht="13.5" thickBot="1" x14ac:dyDescent="0.25">
      <c r="B945" s="392" t="str">
        <f t="shared" si="28"/>
        <v>Open - MELLIOS Stavros</v>
      </c>
      <c r="C945" s="1441" t="str">
        <f t="shared" si="29"/>
        <v>MELLIOS Stavros</v>
      </c>
      <c r="D945" s="1428" t="s">
        <v>889</v>
      </c>
      <c r="E945" s="1429">
        <v>931</v>
      </c>
      <c r="F945" s="2197" t="s">
        <v>16709</v>
      </c>
      <c r="G945" s="2198" t="s">
        <v>3336</v>
      </c>
      <c r="H945" s="2197" t="s">
        <v>15175</v>
      </c>
      <c r="I945" s="2199" t="s">
        <v>1025</v>
      </c>
      <c r="J945" s="2196">
        <v>4</v>
      </c>
    </row>
    <row r="946" spans="2:10" ht="13.5" thickBot="1" x14ac:dyDescent="0.25">
      <c r="B946" s="392" t="str">
        <f t="shared" si="28"/>
        <v>Open - MICHELETTI Oriano</v>
      </c>
      <c r="C946" s="1441" t="str">
        <f t="shared" si="29"/>
        <v>MICHELETTI Oriano</v>
      </c>
      <c r="D946" s="1428" t="s">
        <v>889</v>
      </c>
      <c r="E946" s="1429">
        <v>931</v>
      </c>
      <c r="F946" s="2197" t="s">
        <v>14935</v>
      </c>
      <c r="G946" s="2198" t="s">
        <v>3313</v>
      </c>
      <c r="H946" s="2197" t="s">
        <v>14682</v>
      </c>
      <c r="I946" s="2199" t="s">
        <v>1069</v>
      </c>
      <c r="J946" s="2196">
        <v>4</v>
      </c>
    </row>
    <row r="947" spans="2:10" ht="13.5" thickBot="1" x14ac:dyDescent="0.25">
      <c r="B947" s="392" t="str">
        <f t="shared" si="28"/>
        <v>Open - COOKE Rob</v>
      </c>
      <c r="C947" s="1441" t="str">
        <f t="shared" si="29"/>
        <v>COOKE Rob</v>
      </c>
      <c r="D947" s="1428" t="s">
        <v>889</v>
      </c>
      <c r="E947" s="1429">
        <v>931</v>
      </c>
      <c r="F947" s="2197" t="s">
        <v>18124</v>
      </c>
      <c r="G947" s="2198" t="s">
        <v>3320</v>
      </c>
      <c r="H947" s="2197" t="s">
        <v>15379</v>
      </c>
      <c r="I947" s="2199" t="s">
        <v>14471</v>
      </c>
      <c r="J947" s="2196">
        <v>4</v>
      </c>
    </row>
    <row r="948" spans="2:10" ht="13.5" thickBot="1" x14ac:dyDescent="0.25">
      <c r="B948" s="392" t="str">
        <f t="shared" si="28"/>
        <v>Open - ERMINIONE Eduardo</v>
      </c>
      <c r="C948" s="1441" t="str">
        <f t="shared" si="29"/>
        <v>ERMINIONE Eduardo</v>
      </c>
      <c r="D948" s="1428" t="s">
        <v>889</v>
      </c>
      <c r="E948" s="1429">
        <v>931</v>
      </c>
      <c r="F948" s="2197" t="s">
        <v>18125</v>
      </c>
      <c r="G948" s="2198" t="s">
        <v>3711</v>
      </c>
      <c r="H948" s="2197" t="s">
        <v>10271</v>
      </c>
      <c r="I948" s="2199" t="s">
        <v>1037</v>
      </c>
      <c r="J948" s="2196">
        <v>4</v>
      </c>
    </row>
    <row r="949" spans="2:10" ht="13.5" thickBot="1" x14ac:dyDescent="0.25">
      <c r="B949" s="392" t="str">
        <f t="shared" si="28"/>
        <v>Open - FUMAI Matteo</v>
      </c>
      <c r="C949" s="1441" t="str">
        <f t="shared" si="29"/>
        <v>FUMAI Matteo</v>
      </c>
      <c r="D949" s="1428" t="s">
        <v>889</v>
      </c>
      <c r="E949" s="1429">
        <v>931</v>
      </c>
      <c r="F949" s="2197" t="s">
        <v>18126</v>
      </c>
      <c r="G949" s="2198" t="s">
        <v>3200</v>
      </c>
      <c r="H949" s="2197" t="s">
        <v>2773</v>
      </c>
      <c r="I949" s="2199" t="s">
        <v>1037</v>
      </c>
      <c r="J949" s="2196">
        <v>4</v>
      </c>
    </row>
    <row r="950" spans="2:10" ht="13.5" thickBot="1" x14ac:dyDescent="0.25">
      <c r="B950" s="392" t="str">
        <f t="shared" si="28"/>
        <v>Open - MARTINELLI Antonio</v>
      </c>
      <c r="C950" s="1441" t="str">
        <f t="shared" si="29"/>
        <v>MARTINELLI Antonio</v>
      </c>
      <c r="D950" s="1428" t="s">
        <v>889</v>
      </c>
      <c r="E950" s="1429">
        <v>931</v>
      </c>
      <c r="F950" s="2197" t="s">
        <v>16813</v>
      </c>
      <c r="G950" s="2198" t="s">
        <v>3341</v>
      </c>
      <c r="H950" s="2197" t="s">
        <v>10274</v>
      </c>
      <c r="I950" s="2199" t="s">
        <v>1037</v>
      </c>
      <c r="J950" s="2196">
        <v>4</v>
      </c>
    </row>
    <row r="951" spans="2:10" ht="13.5" thickBot="1" x14ac:dyDescent="0.25">
      <c r="B951" s="392" t="str">
        <f t="shared" si="28"/>
        <v>Open - GREER Ian</v>
      </c>
      <c r="C951" s="1441" t="str">
        <f t="shared" si="29"/>
        <v>GREER Ian</v>
      </c>
      <c r="D951" s="1428" t="s">
        <v>889</v>
      </c>
      <c r="E951" s="1429">
        <v>931</v>
      </c>
      <c r="F951" s="2197" t="s">
        <v>16686</v>
      </c>
      <c r="G951" s="2198" t="s">
        <v>3688</v>
      </c>
      <c r="H951" s="2197" t="s">
        <v>9598</v>
      </c>
      <c r="I951" s="2199" t="s">
        <v>1055</v>
      </c>
      <c r="J951" s="2196">
        <v>4</v>
      </c>
    </row>
    <row r="952" spans="2:10" ht="13.5" thickBot="1" x14ac:dyDescent="0.25">
      <c r="B952" s="392" t="str">
        <f t="shared" si="28"/>
        <v>Open - SALATINO Daniele</v>
      </c>
      <c r="C952" s="1441" t="str">
        <f t="shared" si="29"/>
        <v>SALATINO Daniele</v>
      </c>
      <c r="D952" s="1428" t="s">
        <v>889</v>
      </c>
      <c r="E952" s="1429">
        <v>931</v>
      </c>
      <c r="F952" s="2197" t="s">
        <v>16806</v>
      </c>
      <c r="G952" s="2198" t="s">
        <v>3022</v>
      </c>
      <c r="H952" s="2197" t="s">
        <v>10274</v>
      </c>
      <c r="I952" s="2199" t="s">
        <v>1037</v>
      </c>
      <c r="J952" s="2196">
        <v>4</v>
      </c>
    </row>
    <row r="953" spans="2:10" ht="13.5" thickBot="1" x14ac:dyDescent="0.25">
      <c r="B953" s="392" t="str">
        <f t="shared" si="28"/>
        <v>Open - GARCÍA CORREDERA Rafael</v>
      </c>
      <c r="C953" s="1441" t="str">
        <f t="shared" si="29"/>
        <v>GARCÍA CORREDERA Rafael</v>
      </c>
      <c r="D953" s="1428" t="s">
        <v>889</v>
      </c>
      <c r="E953" s="1429">
        <v>931</v>
      </c>
      <c r="F953" s="2197" t="s">
        <v>16822</v>
      </c>
      <c r="G953" s="2198" t="s">
        <v>9410</v>
      </c>
      <c r="H953" s="2197" t="s">
        <v>7304</v>
      </c>
      <c r="I953" s="2199" t="s">
        <v>1015</v>
      </c>
      <c r="J953" s="2196">
        <v>4</v>
      </c>
    </row>
    <row r="954" spans="2:10" ht="13.5" thickBot="1" x14ac:dyDescent="0.25">
      <c r="B954" s="392" t="str">
        <f t="shared" si="28"/>
        <v>Open - BIGNARDI Samuele</v>
      </c>
      <c r="C954" s="1441" t="str">
        <f t="shared" si="29"/>
        <v>BIGNARDI Samuele</v>
      </c>
      <c r="D954" s="1428" t="s">
        <v>889</v>
      </c>
      <c r="E954" s="1429">
        <v>931</v>
      </c>
      <c r="F954" s="2197" t="s">
        <v>14309</v>
      </c>
      <c r="G954" s="2198" t="s">
        <v>5648</v>
      </c>
      <c r="H954" s="2197" t="s">
        <v>9702</v>
      </c>
      <c r="I954" s="2199" t="s">
        <v>1037</v>
      </c>
      <c r="J954" s="2196">
        <v>4</v>
      </c>
    </row>
    <row r="955" spans="2:10" ht="13.5" thickBot="1" x14ac:dyDescent="0.25">
      <c r="B955" s="392" t="str">
        <f t="shared" si="28"/>
        <v>Open - MARUYAMA Takahiro</v>
      </c>
      <c r="C955" s="1441" t="str">
        <f t="shared" si="29"/>
        <v>MARUYAMA Takahiro</v>
      </c>
      <c r="D955" s="1428" t="s">
        <v>889</v>
      </c>
      <c r="E955" s="1429">
        <v>931</v>
      </c>
      <c r="F955" s="2197" t="s">
        <v>18127</v>
      </c>
      <c r="G955" s="2198" t="s">
        <v>17312</v>
      </c>
      <c r="H955" s="2197" t="s">
        <v>17301</v>
      </c>
      <c r="I955" s="2199" t="s">
        <v>1041</v>
      </c>
      <c r="J955" s="2196">
        <v>4</v>
      </c>
    </row>
    <row r="956" spans="2:10" ht="13.5" thickBot="1" x14ac:dyDescent="0.25">
      <c r="B956" s="392" t="str">
        <f t="shared" si="28"/>
        <v>Open - HARKER Russ</v>
      </c>
      <c r="C956" s="1441" t="str">
        <f t="shared" si="29"/>
        <v>HARKER Russ</v>
      </c>
      <c r="D956" s="1428" t="s">
        <v>889</v>
      </c>
      <c r="E956" s="1429">
        <v>931</v>
      </c>
      <c r="F956" s="2197" t="s">
        <v>16708</v>
      </c>
      <c r="G956" s="2198" t="s">
        <v>15651</v>
      </c>
      <c r="H956" s="2197" t="s">
        <v>15274</v>
      </c>
      <c r="I956" s="2199" t="s">
        <v>1013</v>
      </c>
      <c r="J956" s="2196">
        <v>4</v>
      </c>
    </row>
    <row r="957" spans="2:10" ht="13.5" thickBot="1" x14ac:dyDescent="0.25">
      <c r="B957" s="392" t="str">
        <f t="shared" si="28"/>
        <v>Open - HAWCROFT Adrian</v>
      </c>
      <c r="C957" s="1441" t="str">
        <f t="shared" si="29"/>
        <v>HAWCROFT Adrian</v>
      </c>
      <c r="D957" s="1428" t="s">
        <v>889</v>
      </c>
      <c r="E957" s="1429">
        <v>931</v>
      </c>
      <c r="F957" s="2197" t="s">
        <v>18128</v>
      </c>
      <c r="G957" s="2198" t="s">
        <v>3356</v>
      </c>
      <c r="H957" s="2197" t="s">
        <v>15274</v>
      </c>
      <c r="I957" s="2199" t="s">
        <v>1013</v>
      </c>
      <c r="J957" s="2196">
        <v>4</v>
      </c>
    </row>
    <row r="958" spans="2:10" ht="13.5" thickBot="1" x14ac:dyDescent="0.25">
      <c r="B958" s="392" t="str">
        <f t="shared" si="28"/>
        <v>Open - ZAMARA Valentino</v>
      </c>
      <c r="C958" s="1441" t="str">
        <f t="shared" si="29"/>
        <v>ZAMARA Valentino</v>
      </c>
      <c r="D958" s="1428" t="s">
        <v>889</v>
      </c>
      <c r="E958" s="1429">
        <v>931</v>
      </c>
      <c r="F958" s="2197" t="s">
        <v>14181</v>
      </c>
      <c r="G958" s="2198" t="s">
        <v>6943</v>
      </c>
      <c r="H958" s="2197" t="s">
        <v>11331</v>
      </c>
      <c r="I958" s="2199" t="s">
        <v>1045</v>
      </c>
      <c r="J958" s="2196">
        <v>4</v>
      </c>
    </row>
    <row r="959" spans="2:10" ht="13.5" thickBot="1" x14ac:dyDescent="0.25">
      <c r="B959" s="392" t="str">
        <f t="shared" si="28"/>
        <v>Open - PACELLA Marco</v>
      </c>
      <c r="C959" s="1441" t="str">
        <f t="shared" si="29"/>
        <v>PACELLA Marco</v>
      </c>
      <c r="D959" s="1428" t="s">
        <v>889</v>
      </c>
      <c r="E959" s="1429">
        <v>931</v>
      </c>
      <c r="F959" s="2197" t="s">
        <v>18129</v>
      </c>
      <c r="G959" s="2198" t="s">
        <v>3109</v>
      </c>
      <c r="H959" s="2197" t="s">
        <v>16501</v>
      </c>
      <c r="I959" s="2199" t="s">
        <v>1037</v>
      </c>
      <c r="J959" s="2196">
        <v>4</v>
      </c>
    </row>
    <row r="960" spans="2:10" ht="13.5" thickBot="1" x14ac:dyDescent="0.25">
      <c r="B960" s="392" t="str">
        <f t="shared" si="28"/>
        <v>Open - CASAS José</v>
      </c>
      <c r="C960" s="1441" t="str">
        <f t="shared" si="29"/>
        <v>CASAS José</v>
      </c>
      <c r="D960" s="1428" t="s">
        <v>889</v>
      </c>
      <c r="E960" s="1429">
        <v>931</v>
      </c>
      <c r="F960" s="2197" t="s">
        <v>16689</v>
      </c>
      <c r="G960" s="2198" t="s">
        <v>3232</v>
      </c>
      <c r="H960" s="2197" t="s">
        <v>7869</v>
      </c>
      <c r="I960" s="2199" t="s">
        <v>1015</v>
      </c>
      <c r="J960" s="2196">
        <v>4</v>
      </c>
    </row>
    <row r="961" spans="2:10" ht="13.5" thickBot="1" x14ac:dyDescent="0.25">
      <c r="B961" s="392" t="str">
        <f t="shared" si="28"/>
        <v>Open - MCNEIL Nick</v>
      </c>
      <c r="C961" s="1441" t="str">
        <f t="shared" si="29"/>
        <v>MCNEIL Nick</v>
      </c>
      <c r="D961" s="1428" t="s">
        <v>889</v>
      </c>
      <c r="E961" s="1429">
        <v>931</v>
      </c>
      <c r="F961" s="2197" t="s">
        <v>18130</v>
      </c>
      <c r="G961" s="2198" t="s">
        <v>5540</v>
      </c>
      <c r="H961" s="2197" t="s">
        <v>15379</v>
      </c>
      <c r="I961" s="2199" t="s">
        <v>14471</v>
      </c>
      <c r="J961" s="2196">
        <v>4</v>
      </c>
    </row>
    <row r="962" spans="2:10" ht="13.5" thickBot="1" x14ac:dyDescent="0.25">
      <c r="B962" s="392" t="str">
        <f t="shared" si="28"/>
        <v>Open - LAPORTA Alfred</v>
      </c>
      <c r="C962" s="1441" t="str">
        <f t="shared" si="29"/>
        <v>LAPORTA Alfred</v>
      </c>
      <c r="D962" s="1428" t="s">
        <v>889</v>
      </c>
      <c r="E962" s="1429">
        <v>931</v>
      </c>
      <c r="F962" s="2197" t="s">
        <v>16855</v>
      </c>
      <c r="G962" s="2198" t="s">
        <v>3511</v>
      </c>
      <c r="H962" s="2197" t="s">
        <v>14359</v>
      </c>
      <c r="I962" s="2199" t="s">
        <v>1015</v>
      </c>
      <c r="J962" s="2196">
        <v>4</v>
      </c>
    </row>
    <row r="963" spans="2:10" ht="13.5" thickBot="1" x14ac:dyDescent="0.25">
      <c r="B963" s="392" t="str">
        <f t="shared" si="28"/>
        <v>Open - WRIGHT Craig</v>
      </c>
      <c r="C963" s="1441" t="str">
        <f t="shared" si="29"/>
        <v>WRIGHT Craig</v>
      </c>
      <c r="D963" s="1428" t="s">
        <v>889</v>
      </c>
      <c r="E963" s="1429">
        <v>931</v>
      </c>
      <c r="F963" s="2197" t="s">
        <v>8759</v>
      </c>
      <c r="G963" s="2198" t="s">
        <v>3188</v>
      </c>
      <c r="H963" s="2197" t="s">
        <v>15379</v>
      </c>
      <c r="I963" s="2199" t="s">
        <v>14471</v>
      </c>
      <c r="J963" s="2196">
        <v>4</v>
      </c>
    </row>
    <row r="964" spans="2:10" ht="13.5" thickBot="1" x14ac:dyDescent="0.25">
      <c r="B964" s="392" t="str">
        <f t="shared" si="28"/>
        <v>Open - RAMOS Moisés</v>
      </c>
      <c r="C964" s="1441" t="str">
        <f t="shared" si="29"/>
        <v>RAMOS Moisés</v>
      </c>
      <c r="D964" s="1428" t="s">
        <v>889</v>
      </c>
      <c r="E964" s="1429">
        <v>931</v>
      </c>
      <c r="F964" s="2197" t="s">
        <v>3384</v>
      </c>
      <c r="G964" s="2198" t="s">
        <v>9552</v>
      </c>
      <c r="H964" s="2197" t="s">
        <v>9704</v>
      </c>
      <c r="I964" s="2199" t="s">
        <v>1015</v>
      </c>
      <c r="J964" s="2196">
        <v>4</v>
      </c>
    </row>
    <row r="965" spans="2:10" ht="13.5" thickBot="1" x14ac:dyDescent="0.25">
      <c r="B965" s="392" t="str">
        <f t="shared" si="28"/>
        <v>Open - GUIO Lorenzo</v>
      </c>
      <c r="C965" s="1441" t="str">
        <f t="shared" si="29"/>
        <v>GUIO Lorenzo</v>
      </c>
      <c r="D965" s="1428" t="s">
        <v>889</v>
      </c>
      <c r="E965" s="1429">
        <v>931</v>
      </c>
      <c r="F965" s="2197" t="s">
        <v>18131</v>
      </c>
      <c r="G965" s="2198" t="s">
        <v>3155</v>
      </c>
      <c r="H965" s="2197" t="s">
        <v>7876</v>
      </c>
      <c r="I965" s="2199" t="s">
        <v>1037</v>
      </c>
      <c r="J965" s="2196">
        <v>4</v>
      </c>
    </row>
    <row r="966" spans="2:10" ht="13.5" thickBot="1" x14ac:dyDescent="0.25">
      <c r="B966" s="392" t="str">
        <f t="shared" si="28"/>
        <v>Open - KARAVASILIS Nikolaos</v>
      </c>
      <c r="C966" s="1441" t="str">
        <f t="shared" si="29"/>
        <v>KARAVASILIS Nikolaos</v>
      </c>
      <c r="D966" s="1428" t="s">
        <v>889</v>
      </c>
      <c r="E966" s="1429">
        <v>931</v>
      </c>
      <c r="F966" s="2197" t="s">
        <v>16710</v>
      </c>
      <c r="G966" s="2198" t="s">
        <v>5554</v>
      </c>
      <c r="H966" s="2197" t="s">
        <v>15175</v>
      </c>
      <c r="I966" s="2199" t="s">
        <v>1025</v>
      </c>
      <c r="J966" s="2196">
        <v>4</v>
      </c>
    </row>
    <row r="967" spans="2:10" ht="13.5" thickBot="1" x14ac:dyDescent="0.25">
      <c r="B967" s="392" t="str">
        <f t="shared" ref="B967:B1030" si="30">CONCATENATE(D967," - ",C967)</f>
        <v>Open - TOSIOUDIS Nikolaos</v>
      </c>
      <c r="C967" s="1441" t="str">
        <f t="shared" ref="C967:C1030" si="31">CONCATENATE(UPPER(F967)," ",G967)</f>
        <v>TOSIOUDIS Nikolaos</v>
      </c>
      <c r="D967" s="1428" t="s">
        <v>889</v>
      </c>
      <c r="E967" s="1429">
        <v>931</v>
      </c>
      <c r="F967" s="2197" t="s">
        <v>16691</v>
      </c>
      <c r="G967" s="2198" t="s">
        <v>5554</v>
      </c>
      <c r="H967" s="2197" t="s">
        <v>11324</v>
      </c>
      <c r="I967" s="2199" t="s">
        <v>1025</v>
      </c>
      <c r="J967" s="2196">
        <v>4</v>
      </c>
    </row>
    <row r="968" spans="2:10" ht="13.5" thickBot="1" x14ac:dyDescent="0.25">
      <c r="B968" s="392" t="str">
        <f t="shared" si="30"/>
        <v>Open - ELTON David</v>
      </c>
      <c r="C968" s="1441" t="str">
        <f t="shared" si="31"/>
        <v>ELTON David</v>
      </c>
      <c r="D968" s="1428" t="s">
        <v>889</v>
      </c>
      <c r="E968" s="1429">
        <v>931</v>
      </c>
      <c r="F968" s="2197" t="s">
        <v>16680</v>
      </c>
      <c r="G968" s="2198" t="s">
        <v>3072</v>
      </c>
      <c r="H968" s="2197" t="s">
        <v>2764</v>
      </c>
      <c r="I968" s="2199" t="s">
        <v>1033</v>
      </c>
      <c r="J968" s="2196">
        <v>4</v>
      </c>
    </row>
    <row r="969" spans="2:10" ht="13.5" thickBot="1" x14ac:dyDescent="0.25">
      <c r="B969" s="392" t="str">
        <f t="shared" si="30"/>
        <v>Open - SANI Lorenzo</v>
      </c>
      <c r="C969" s="1441" t="str">
        <f t="shared" si="31"/>
        <v>SANI Lorenzo</v>
      </c>
      <c r="D969" s="1428" t="s">
        <v>889</v>
      </c>
      <c r="E969" s="1429">
        <v>931</v>
      </c>
      <c r="F969" s="2197" t="s">
        <v>14310</v>
      </c>
      <c r="G969" s="2198" t="s">
        <v>3155</v>
      </c>
      <c r="H969" s="2197" t="s">
        <v>11325</v>
      </c>
      <c r="I969" s="2199" t="s">
        <v>1037</v>
      </c>
      <c r="J969" s="2196">
        <v>4</v>
      </c>
    </row>
    <row r="970" spans="2:10" ht="13.5" thickBot="1" x14ac:dyDescent="0.25">
      <c r="B970" s="392" t="str">
        <f t="shared" si="30"/>
        <v>Open - SMALLEY Ian</v>
      </c>
      <c r="C970" s="1441" t="str">
        <f t="shared" si="31"/>
        <v>SMALLEY Ian</v>
      </c>
      <c r="D970" s="1428" t="s">
        <v>889</v>
      </c>
      <c r="E970" s="1429">
        <v>931</v>
      </c>
      <c r="F970" s="2197" t="s">
        <v>16702</v>
      </c>
      <c r="G970" s="2198" t="s">
        <v>3688</v>
      </c>
      <c r="H970" s="2197" t="s">
        <v>15274</v>
      </c>
      <c r="I970" s="2199" t="s">
        <v>1013</v>
      </c>
      <c r="J970" s="2196">
        <v>4</v>
      </c>
    </row>
    <row r="971" spans="2:10" ht="13.5" thickBot="1" x14ac:dyDescent="0.25">
      <c r="B971" s="392" t="str">
        <f t="shared" si="30"/>
        <v>Open - DIOGENES Herculano</v>
      </c>
      <c r="C971" s="1441" t="str">
        <f t="shared" si="31"/>
        <v>DIOGENES Herculano</v>
      </c>
      <c r="D971" s="1428" t="s">
        <v>889</v>
      </c>
      <c r="E971" s="1429">
        <v>931</v>
      </c>
      <c r="F971" s="2197" t="s">
        <v>16667</v>
      </c>
      <c r="G971" s="2198" t="s">
        <v>15487</v>
      </c>
      <c r="H971" s="2197" t="s">
        <v>16515</v>
      </c>
      <c r="I971" s="2199" t="s">
        <v>1061</v>
      </c>
      <c r="J971" s="2196">
        <v>4</v>
      </c>
    </row>
    <row r="972" spans="2:10" ht="13.5" thickBot="1" x14ac:dyDescent="0.25">
      <c r="B972" s="392" t="str">
        <f t="shared" si="30"/>
        <v>Open - COOPER John</v>
      </c>
      <c r="C972" s="1441" t="str">
        <f t="shared" si="31"/>
        <v>COOPER John</v>
      </c>
      <c r="D972" s="1428" t="s">
        <v>889</v>
      </c>
      <c r="E972" s="1429">
        <v>931</v>
      </c>
      <c r="F972" s="2197" t="s">
        <v>16692</v>
      </c>
      <c r="G972" s="2198" t="s">
        <v>3250</v>
      </c>
      <c r="H972" s="2197" t="s">
        <v>13531</v>
      </c>
      <c r="I972" s="2199" t="s">
        <v>1013</v>
      </c>
      <c r="J972" s="2196">
        <v>4</v>
      </c>
    </row>
    <row r="973" spans="2:10" ht="13.5" thickBot="1" x14ac:dyDescent="0.25">
      <c r="B973" s="392" t="str">
        <f t="shared" si="30"/>
        <v>Open - YOSHIDA Takashi</v>
      </c>
      <c r="C973" s="1441" t="str">
        <f t="shared" si="31"/>
        <v>YOSHIDA Takashi</v>
      </c>
      <c r="D973" s="1428" t="s">
        <v>889</v>
      </c>
      <c r="E973" s="1429">
        <v>931</v>
      </c>
      <c r="F973" s="2197" t="s">
        <v>16639</v>
      </c>
      <c r="G973" s="2198" t="s">
        <v>17345</v>
      </c>
      <c r="H973" s="2197" t="s">
        <v>17238</v>
      </c>
      <c r="I973" s="2199" t="s">
        <v>1041</v>
      </c>
      <c r="J973" s="2196">
        <v>4</v>
      </c>
    </row>
    <row r="974" spans="2:10" ht="13.5" thickBot="1" x14ac:dyDescent="0.25">
      <c r="B974" s="392" t="str">
        <f t="shared" si="30"/>
        <v>Open - GRANT Stewart</v>
      </c>
      <c r="C974" s="1441" t="str">
        <f t="shared" si="31"/>
        <v>GRANT Stewart</v>
      </c>
      <c r="D974" s="1428" t="s">
        <v>889</v>
      </c>
      <c r="E974" s="1429">
        <v>931</v>
      </c>
      <c r="F974" s="2197" t="s">
        <v>8753</v>
      </c>
      <c r="G974" s="2198" t="s">
        <v>11064</v>
      </c>
      <c r="H974" s="2197" t="s">
        <v>13550</v>
      </c>
      <c r="I974" s="2199" t="s">
        <v>1013</v>
      </c>
      <c r="J974" s="2196">
        <v>4</v>
      </c>
    </row>
    <row r="975" spans="2:10" ht="13.5" thickBot="1" x14ac:dyDescent="0.25">
      <c r="B975" s="392" t="str">
        <f t="shared" si="30"/>
        <v>Open - ISHIKAWA Kyohei</v>
      </c>
      <c r="C975" s="1441" t="str">
        <f t="shared" si="31"/>
        <v>ISHIKAWA Kyohei</v>
      </c>
      <c r="D975" s="1428" t="s">
        <v>889</v>
      </c>
      <c r="E975" s="1429">
        <v>931</v>
      </c>
      <c r="F975" s="2197" t="s">
        <v>18132</v>
      </c>
      <c r="G975" s="2198" t="s">
        <v>18023</v>
      </c>
      <c r="H975" s="2197" t="s">
        <v>17234</v>
      </c>
      <c r="I975" s="2199" t="s">
        <v>1041</v>
      </c>
      <c r="J975" s="2196">
        <v>4</v>
      </c>
    </row>
    <row r="976" spans="2:10" ht="13.5" thickBot="1" x14ac:dyDescent="0.25">
      <c r="B976" s="392" t="str">
        <f t="shared" si="30"/>
        <v>Open - TOLIAS Dimitrios</v>
      </c>
      <c r="C976" s="1441" t="str">
        <f t="shared" si="31"/>
        <v>TOLIAS Dimitrios</v>
      </c>
      <c r="D976" s="1428" t="s">
        <v>889</v>
      </c>
      <c r="E976" s="1429">
        <v>931</v>
      </c>
      <c r="F976" s="2197" t="s">
        <v>16683</v>
      </c>
      <c r="G976" s="2198" t="s">
        <v>5644</v>
      </c>
      <c r="H976" s="2197" t="s">
        <v>11409</v>
      </c>
      <c r="I976" s="2199" t="s">
        <v>1021</v>
      </c>
      <c r="J976" s="2196">
        <v>4</v>
      </c>
    </row>
    <row r="977" spans="2:10" ht="13.5" thickBot="1" x14ac:dyDescent="0.25">
      <c r="B977" s="392" t="str">
        <f t="shared" si="30"/>
        <v>Open - MIYAIRI Masaharu</v>
      </c>
      <c r="C977" s="1441" t="str">
        <f t="shared" si="31"/>
        <v>MIYAIRI Masaharu</v>
      </c>
      <c r="D977" s="1428" t="s">
        <v>889</v>
      </c>
      <c r="E977" s="1429">
        <v>931</v>
      </c>
      <c r="F977" s="2197" t="s">
        <v>18133</v>
      </c>
      <c r="G977" s="2198" t="s">
        <v>18026</v>
      </c>
      <c r="H977" s="2197" t="s">
        <v>17234</v>
      </c>
      <c r="I977" s="2199" t="s">
        <v>1041</v>
      </c>
      <c r="J977" s="2196">
        <v>4</v>
      </c>
    </row>
    <row r="978" spans="2:10" ht="13.5" thickBot="1" x14ac:dyDescent="0.25">
      <c r="B978" s="392" t="str">
        <f t="shared" si="30"/>
        <v>Open - MCCARTNEY David</v>
      </c>
      <c r="C978" s="1441" t="str">
        <f t="shared" si="31"/>
        <v>MCCARTNEY David</v>
      </c>
      <c r="D978" s="1428" t="s">
        <v>889</v>
      </c>
      <c r="E978" s="1429">
        <v>931</v>
      </c>
      <c r="F978" s="2197" t="s">
        <v>16701</v>
      </c>
      <c r="G978" s="2198" t="s">
        <v>3072</v>
      </c>
      <c r="H978" s="2197" t="s">
        <v>14864</v>
      </c>
      <c r="I978" s="2199" t="s">
        <v>1013</v>
      </c>
      <c r="J978" s="2196">
        <v>4</v>
      </c>
    </row>
    <row r="979" spans="2:10" ht="13.5" thickBot="1" x14ac:dyDescent="0.25">
      <c r="B979" s="392" t="str">
        <f t="shared" si="30"/>
        <v>Open - CAULFIELD Paul</v>
      </c>
      <c r="C979" s="1441" t="str">
        <f t="shared" si="31"/>
        <v>CAULFIELD Paul</v>
      </c>
      <c r="D979" s="1428" t="s">
        <v>889</v>
      </c>
      <c r="E979" s="1429">
        <v>931</v>
      </c>
      <c r="F979" s="2197" t="s">
        <v>18134</v>
      </c>
      <c r="G979" s="2198" t="s">
        <v>3259</v>
      </c>
      <c r="H979" s="2197" t="s">
        <v>15274</v>
      </c>
      <c r="I979" s="2199" t="s">
        <v>1013</v>
      </c>
      <c r="J979" s="2196">
        <v>4</v>
      </c>
    </row>
    <row r="980" spans="2:10" ht="13.5" thickBot="1" x14ac:dyDescent="0.25">
      <c r="B980" s="392" t="str">
        <f t="shared" si="30"/>
        <v>Open - ANDREONI Andrea</v>
      </c>
      <c r="C980" s="1441" t="str">
        <f t="shared" si="31"/>
        <v>ANDREONI Andrea</v>
      </c>
      <c r="D980" s="1428" t="s">
        <v>889</v>
      </c>
      <c r="E980" s="1429">
        <v>931</v>
      </c>
      <c r="F980" s="2197" t="s">
        <v>16678</v>
      </c>
      <c r="G980" s="2198" t="s">
        <v>3027</v>
      </c>
      <c r="H980" s="2197" t="s">
        <v>2771</v>
      </c>
      <c r="I980" s="2199" t="s">
        <v>1069</v>
      </c>
      <c r="J980" s="2196">
        <v>4</v>
      </c>
    </row>
    <row r="981" spans="2:10" ht="13.5" thickBot="1" x14ac:dyDescent="0.25">
      <c r="B981" s="392" t="str">
        <f t="shared" si="30"/>
        <v>Open - PARSONS Jeff</v>
      </c>
      <c r="C981" s="1441" t="str">
        <f t="shared" si="31"/>
        <v>PARSONS Jeff</v>
      </c>
      <c r="D981" s="1428" t="s">
        <v>889</v>
      </c>
      <c r="E981" s="1429">
        <v>931</v>
      </c>
      <c r="F981" s="2197" t="s">
        <v>18135</v>
      </c>
      <c r="G981" s="2198" t="s">
        <v>5624</v>
      </c>
      <c r="H981" s="2197" t="s">
        <v>14359</v>
      </c>
      <c r="I981" s="2199" t="s">
        <v>1013</v>
      </c>
      <c r="J981" s="2196">
        <v>4</v>
      </c>
    </row>
    <row r="982" spans="2:10" ht="13.5" thickBot="1" x14ac:dyDescent="0.25">
      <c r="B982" s="392" t="str">
        <f t="shared" si="30"/>
        <v>Open - MCKENZIE Ronnie</v>
      </c>
      <c r="C982" s="1441" t="str">
        <f t="shared" si="31"/>
        <v>MCKENZIE Ronnie</v>
      </c>
      <c r="D982" s="1428" t="s">
        <v>889</v>
      </c>
      <c r="E982" s="1429">
        <v>931</v>
      </c>
      <c r="F982" s="2197" t="s">
        <v>14939</v>
      </c>
      <c r="G982" s="2198" t="s">
        <v>3275</v>
      </c>
      <c r="H982" s="2197" t="s">
        <v>2771</v>
      </c>
      <c r="I982" s="2199" t="s">
        <v>1069</v>
      </c>
      <c r="J982" s="2196">
        <v>4</v>
      </c>
    </row>
    <row r="983" spans="2:10" ht="13.5" thickBot="1" x14ac:dyDescent="0.25">
      <c r="B983" s="392" t="str">
        <f t="shared" si="30"/>
        <v>Open - BARATTUCCI Alberto</v>
      </c>
      <c r="C983" s="1441" t="str">
        <f t="shared" si="31"/>
        <v>BARATTUCCI Alberto</v>
      </c>
      <c r="D983" s="1428" t="s">
        <v>889</v>
      </c>
      <c r="E983" s="1429">
        <v>931</v>
      </c>
      <c r="F983" s="2197" t="s">
        <v>18136</v>
      </c>
      <c r="G983" s="2198" t="s">
        <v>3042</v>
      </c>
      <c r="H983" s="2197" t="s">
        <v>11327</v>
      </c>
      <c r="I983" s="2199" t="s">
        <v>1037</v>
      </c>
      <c r="J983" s="2196">
        <v>4</v>
      </c>
    </row>
    <row r="984" spans="2:10" ht="13.5" thickBot="1" x14ac:dyDescent="0.25">
      <c r="B984" s="392" t="str">
        <f t="shared" si="30"/>
        <v>Open - BARQUEIRO Marco</v>
      </c>
      <c r="C984" s="1441" t="str">
        <f t="shared" si="31"/>
        <v>BARQUEIRO Marco</v>
      </c>
      <c r="D984" s="1428" t="s">
        <v>889</v>
      </c>
      <c r="E984" s="1429">
        <v>931</v>
      </c>
      <c r="F984" s="2197" t="s">
        <v>16693</v>
      </c>
      <c r="G984" s="2198" t="s">
        <v>3109</v>
      </c>
      <c r="H984" s="2197" t="s">
        <v>17082</v>
      </c>
      <c r="I984" s="2199" t="s">
        <v>1013</v>
      </c>
      <c r="J984" s="2196">
        <v>4</v>
      </c>
    </row>
    <row r="985" spans="2:10" ht="13.5" thickBot="1" x14ac:dyDescent="0.25">
      <c r="B985" s="392" t="str">
        <f t="shared" si="30"/>
        <v>Open - MCKENZIE Fraser</v>
      </c>
      <c r="C985" s="1441" t="str">
        <f t="shared" si="31"/>
        <v>MCKENZIE Fraser</v>
      </c>
      <c r="D985" s="1428" t="s">
        <v>889</v>
      </c>
      <c r="E985" s="1429">
        <v>931</v>
      </c>
      <c r="F985" s="2197" t="s">
        <v>14939</v>
      </c>
      <c r="G985" s="2198" t="s">
        <v>3499</v>
      </c>
      <c r="H985" s="2197" t="s">
        <v>2771</v>
      </c>
      <c r="I985" s="2199" t="s">
        <v>1069</v>
      </c>
      <c r="J985" s="2196">
        <v>4</v>
      </c>
    </row>
    <row r="986" spans="2:10" ht="13.5" thickBot="1" x14ac:dyDescent="0.25">
      <c r="B986" s="392" t="str">
        <f t="shared" si="30"/>
        <v>Open - CASCALHEIRA Steven</v>
      </c>
      <c r="C986" s="1441" t="str">
        <f t="shared" si="31"/>
        <v>CASCALHEIRA Steven</v>
      </c>
      <c r="D986" s="1428" t="s">
        <v>889</v>
      </c>
      <c r="E986" s="1429">
        <v>931</v>
      </c>
      <c r="F986" s="2197" t="s">
        <v>18137</v>
      </c>
      <c r="G986" s="2198" t="s">
        <v>3199</v>
      </c>
      <c r="H986" s="2197" t="s">
        <v>14347</v>
      </c>
      <c r="I986" s="2199" t="s">
        <v>14471</v>
      </c>
      <c r="J986" s="2196">
        <v>4</v>
      </c>
    </row>
    <row r="987" spans="2:10" ht="13.5" thickBot="1" x14ac:dyDescent="0.25">
      <c r="B987" s="392" t="str">
        <f t="shared" si="30"/>
        <v>Open - NG Benny</v>
      </c>
      <c r="C987" s="1441" t="str">
        <f t="shared" si="31"/>
        <v>NG Benny</v>
      </c>
      <c r="D987" s="1428" t="s">
        <v>889</v>
      </c>
      <c r="E987" s="1429">
        <v>931</v>
      </c>
      <c r="F987" s="2197" t="s">
        <v>18138</v>
      </c>
      <c r="G987" s="2198" t="s">
        <v>7049</v>
      </c>
      <c r="H987" s="2197" t="s">
        <v>9593</v>
      </c>
      <c r="I987" s="2199" t="s">
        <v>7916</v>
      </c>
      <c r="J987" s="2196">
        <v>4</v>
      </c>
    </row>
    <row r="988" spans="2:10" ht="13.5" thickBot="1" x14ac:dyDescent="0.25">
      <c r="B988" s="392" t="str">
        <f t="shared" si="30"/>
        <v>Open - MARTÍN Eduardo</v>
      </c>
      <c r="C988" s="1441" t="str">
        <f t="shared" si="31"/>
        <v>MARTÍN Eduardo</v>
      </c>
      <c r="D988" s="1428" t="s">
        <v>889</v>
      </c>
      <c r="E988" s="1429">
        <v>931</v>
      </c>
      <c r="F988" s="2197" t="s">
        <v>16712</v>
      </c>
      <c r="G988" s="2198" t="s">
        <v>3711</v>
      </c>
      <c r="H988" s="2197" t="s">
        <v>9704</v>
      </c>
      <c r="I988" s="2199" t="s">
        <v>1015</v>
      </c>
      <c r="J988" s="2196">
        <v>4</v>
      </c>
    </row>
    <row r="989" spans="2:10" ht="13.5" thickBot="1" x14ac:dyDescent="0.25">
      <c r="B989" s="392" t="str">
        <f t="shared" si="30"/>
        <v>Open - PAPANIKOLAOU Eleftheria</v>
      </c>
      <c r="C989" s="1441" t="str">
        <f t="shared" si="31"/>
        <v>PAPANIKOLAOU Eleftheria</v>
      </c>
      <c r="D989" s="1428" t="s">
        <v>889</v>
      </c>
      <c r="E989" s="1429">
        <v>931</v>
      </c>
      <c r="F989" s="2197" t="s">
        <v>3640</v>
      </c>
      <c r="G989" s="2198" t="s">
        <v>5631</v>
      </c>
      <c r="H989" s="2197" t="s">
        <v>2760</v>
      </c>
      <c r="I989" s="2199" t="s">
        <v>1025</v>
      </c>
      <c r="J989" s="2196">
        <v>4</v>
      </c>
    </row>
    <row r="990" spans="2:10" ht="13.5" thickBot="1" x14ac:dyDescent="0.25">
      <c r="B990" s="392" t="str">
        <f t="shared" si="30"/>
        <v>Open - PINAUSI Marco</v>
      </c>
      <c r="C990" s="1441" t="str">
        <f t="shared" si="31"/>
        <v>PINAUSI Marco</v>
      </c>
      <c r="D990" s="1428" t="s">
        <v>889</v>
      </c>
      <c r="E990" s="1429">
        <v>931</v>
      </c>
      <c r="F990" s="2197" t="s">
        <v>3602</v>
      </c>
      <c r="G990" s="2198" t="s">
        <v>3109</v>
      </c>
      <c r="H990" s="2197" t="s">
        <v>2773</v>
      </c>
      <c r="I990" s="2199" t="s">
        <v>1037</v>
      </c>
      <c r="J990" s="2196">
        <v>4</v>
      </c>
    </row>
    <row r="991" spans="2:10" ht="13.5" thickBot="1" x14ac:dyDescent="0.25">
      <c r="B991" s="392" t="str">
        <f t="shared" si="30"/>
        <v>Open - MIYAKE Makoto</v>
      </c>
      <c r="C991" s="1441" t="str">
        <f t="shared" si="31"/>
        <v>MIYAKE Makoto</v>
      </c>
      <c r="D991" s="1428" t="s">
        <v>889</v>
      </c>
      <c r="E991" s="1429">
        <v>931</v>
      </c>
      <c r="F991" s="2197" t="s">
        <v>14253</v>
      </c>
      <c r="G991" s="2198" t="s">
        <v>3260</v>
      </c>
      <c r="H991" s="2197" t="s">
        <v>5508</v>
      </c>
      <c r="I991" s="2199" t="s">
        <v>1041</v>
      </c>
      <c r="J991" s="2196">
        <v>4</v>
      </c>
    </row>
    <row r="992" spans="2:10" ht="13.5" thickBot="1" x14ac:dyDescent="0.25">
      <c r="B992" s="392" t="str">
        <f t="shared" si="30"/>
        <v>Open - MUKAI Kosuke</v>
      </c>
      <c r="C992" s="1441" t="str">
        <f t="shared" si="31"/>
        <v>MUKAI Kosuke</v>
      </c>
      <c r="D992" s="1428" t="s">
        <v>889</v>
      </c>
      <c r="E992" s="1429">
        <v>931</v>
      </c>
      <c r="F992" s="2197" t="s">
        <v>10994</v>
      </c>
      <c r="G992" s="2198" t="s">
        <v>11462</v>
      </c>
      <c r="H992" s="2197" t="s">
        <v>14711</v>
      </c>
      <c r="I992" s="2199" t="s">
        <v>1041</v>
      </c>
      <c r="J992" s="2196">
        <v>4</v>
      </c>
    </row>
    <row r="993" spans="2:10" ht="13.5" thickBot="1" x14ac:dyDescent="0.25">
      <c r="B993" s="392" t="str">
        <f t="shared" si="30"/>
        <v>Open - CAPOFERRI Alberto</v>
      </c>
      <c r="C993" s="1441" t="str">
        <f t="shared" si="31"/>
        <v>CAPOFERRI Alberto</v>
      </c>
      <c r="D993" s="1428" t="s">
        <v>889</v>
      </c>
      <c r="E993" s="1429">
        <v>931</v>
      </c>
      <c r="F993" s="2197" t="s">
        <v>18139</v>
      </c>
      <c r="G993" s="2198" t="s">
        <v>3042</v>
      </c>
      <c r="H993" s="2197" t="s">
        <v>9702</v>
      </c>
      <c r="I993" s="2199" t="s">
        <v>1037</v>
      </c>
      <c r="J993" s="2196">
        <v>4</v>
      </c>
    </row>
    <row r="994" spans="2:10" ht="13.5" thickBot="1" x14ac:dyDescent="0.25">
      <c r="B994" s="392" t="str">
        <f t="shared" si="30"/>
        <v>Open - PÉREZ Héctor</v>
      </c>
      <c r="C994" s="1441" t="str">
        <f t="shared" si="31"/>
        <v>PÉREZ Héctor</v>
      </c>
      <c r="D994" s="1428" t="s">
        <v>889</v>
      </c>
      <c r="E994" s="1429">
        <v>931</v>
      </c>
      <c r="F994" s="2197" t="s">
        <v>16560</v>
      </c>
      <c r="G994" s="2198" t="s">
        <v>9411</v>
      </c>
      <c r="H994" s="2197" t="s">
        <v>14454</v>
      </c>
      <c r="I994" s="2199" t="s">
        <v>1015</v>
      </c>
      <c r="J994" s="2196">
        <v>4</v>
      </c>
    </row>
    <row r="995" spans="2:10" ht="13.5" thickBot="1" x14ac:dyDescent="0.25">
      <c r="B995" s="392" t="str">
        <f t="shared" si="30"/>
        <v>Open - SPILLER Alessandro</v>
      </c>
      <c r="C995" s="1441" t="str">
        <f t="shared" si="31"/>
        <v>SPILLER Alessandro</v>
      </c>
      <c r="D995" s="1428" t="s">
        <v>889</v>
      </c>
      <c r="E995" s="1429">
        <v>931</v>
      </c>
      <c r="F995" s="2197" t="s">
        <v>11186</v>
      </c>
      <c r="G995" s="2198" t="s">
        <v>3125</v>
      </c>
      <c r="H995" s="2197" t="s">
        <v>9701</v>
      </c>
      <c r="I995" s="2199" t="s">
        <v>1037</v>
      </c>
      <c r="J995" s="2196">
        <v>4</v>
      </c>
    </row>
    <row r="996" spans="2:10" ht="13.5" thickBot="1" x14ac:dyDescent="0.25">
      <c r="B996" s="392" t="str">
        <f t="shared" si="30"/>
        <v>Open - MOORE Gary</v>
      </c>
      <c r="C996" s="1441" t="str">
        <f t="shared" si="31"/>
        <v>MOORE Gary</v>
      </c>
      <c r="D996" s="1428" t="s">
        <v>889</v>
      </c>
      <c r="E996" s="1429">
        <v>931</v>
      </c>
      <c r="F996" s="2197" t="s">
        <v>14273</v>
      </c>
      <c r="G996" s="2198" t="s">
        <v>3192</v>
      </c>
      <c r="H996" s="2197" t="s">
        <v>2764</v>
      </c>
      <c r="I996" s="2199" t="s">
        <v>1033</v>
      </c>
      <c r="J996" s="2196">
        <v>4</v>
      </c>
    </row>
    <row r="997" spans="2:10" ht="13.5" thickBot="1" x14ac:dyDescent="0.25">
      <c r="B997" s="392" t="str">
        <f t="shared" si="30"/>
        <v>Open - FOUTRAKIS Aggelos</v>
      </c>
      <c r="C997" s="1441" t="str">
        <f t="shared" si="31"/>
        <v>FOUTRAKIS Aggelos</v>
      </c>
      <c r="D997" s="1428" t="s">
        <v>889</v>
      </c>
      <c r="E997" s="1429">
        <v>931</v>
      </c>
      <c r="F997" s="2197" t="s">
        <v>14169</v>
      </c>
      <c r="G997" s="2198" t="s">
        <v>3644</v>
      </c>
      <c r="H997" s="2197" t="s">
        <v>10265</v>
      </c>
      <c r="I997" s="2199" t="s">
        <v>1025</v>
      </c>
      <c r="J997" s="2196">
        <v>4</v>
      </c>
    </row>
    <row r="998" spans="2:10" ht="13.5" thickBot="1" x14ac:dyDescent="0.25">
      <c r="B998" s="392" t="str">
        <f t="shared" si="30"/>
        <v>Open - PAPADAKIS Manolis</v>
      </c>
      <c r="C998" s="1441" t="str">
        <f t="shared" si="31"/>
        <v>PAPADAKIS Manolis</v>
      </c>
      <c r="D998" s="1428" t="s">
        <v>889</v>
      </c>
      <c r="E998" s="1429">
        <v>931</v>
      </c>
      <c r="F998" s="2197" t="s">
        <v>3466</v>
      </c>
      <c r="G998" s="2198" t="s">
        <v>3591</v>
      </c>
      <c r="H998" s="2197" t="s">
        <v>2745</v>
      </c>
      <c r="I998" s="2199" t="s">
        <v>1025</v>
      </c>
      <c r="J998" s="2196">
        <v>4</v>
      </c>
    </row>
    <row r="999" spans="2:10" ht="13.5" thickBot="1" x14ac:dyDescent="0.25">
      <c r="B999" s="392" t="str">
        <f t="shared" si="30"/>
        <v>Open - DE JONG Martijn</v>
      </c>
      <c r="C999" s="1441" t="str">
        <f t="shared" si="31"/>
        <v>DE JONG Martijn</v>
      </c>
      <c r="D999" s="1428" t="s">
        <v>889</v>
      </c>
      <c r="E999" s="1429">
        <v>931</v>
      </c>
      <c r="F999" s="2197" t="s">
        <v>14979</v>
      </c>
      <c r="G999" s="2198" t="s">
        <v>3596</v>
      </c>
      <c r="H999" s="2197" t="s">
        <v>7184</v>
      </c>
      <c r="I999" s="2199" t="s">
        <v>1051</v>
      </c>
      <c r="J999" s="2196">
        <v>4</v>
      </c>
    </row>
    <row r="1000" spans="2:10" ht="13.5" thickBot="1" x14ac:dyDescent="0.25">
      <c r="B1000" s="392" t="str">
        <f t="shared" si="30"/>
        <v>Open - BORGNA Maurizio</v>
      </c>
      <c r="C1000" s="1441" t="str">
        <f t="shared" si="31"/>
        <v>BORGNA Maurizio</v>
      </c>
      <c r="D1000" s="1428" t="s">
        <v>889</v>
      </c>
      <c r="E1000" s="1429">
        <v>931</v>
      </c>
      <c r="F1000" s="2197" t="s">
        <v>14211</v>
      </c>
      <c r="G1000" s="2198" t="s">
        <v>3148</v>
      </c>
      <c r="H1000" s="2197" t="s">
        <v>2787</v>
      </c>
      <c r="I1000" s="2199" t="s">
        <v>1037</v>
      </c>
      <c r="J1000" s="2196">
        <v>4</v>
      </c>
    </row>
    <row r="1001" spans="2:10" ht="13.5" thickBot="1" x14ac:dyDescent="0.25">
      <c r="B1001" s="392" t="str">
        <f t="shared" si="30"/>
        <v>Open - SALAZAR José Antonio</v>
      </c>
      <c r="C1001" s="1441" t="str">
        <f t="shared" si="31"/>
        <v>SALAZAR José Antonio</v>
      </c>
      <c r="D1001" s="1428" t="s">
        <v>889</v>
      </c>
      <c r="E1001" s="1429">
        <v>931</v>
      </c>
      <c r="F1001" s="2197" t="s">
        <v>11182</v>
      </c>
      <c r="G1001" s="2198" t="s">
        <v>9553</v>
      </c>
      <c r="H1001" s="2197" t="s">
        <v>9704</v>
      </c>
      <c r="I1001" s="2199" t="s">
        <v>1015</v>
      </c>
      <c r="J1001" s="2196">
        <v>4</v>
      </c>
    </row>
    <row r="1002" spans="2:10" ht="13.5" thickBot="1" x14ac:dyDescent="0.25">
      <c r="B1002" s="392" t="str">
        <f t="shared" si="30"/>
        <v>Open - BOLOGNINO Andrea</v>
      </c>
      <c r="C1002" s="1441" t="str">
        <f t="shared" si="31"/>
        <v>BOLOGNINO Andrea</v>
      </c>
      <c r="D1002" s="1428" t="s">
        <v>889</v>
      </c>
      <c r="E1002" s="1429">
        <v>931</v>
      </c>
      <c r="F1002" s="2197" t="s">
        <v>3048</v>
      </c>
      <c r="G1002" s="2198" t="s">
        <v>3027</v>
      </c>
      <c r="H1002" s="2197" t="s">
        <v>2750</v>
      </c>
      <c r="I1002" s="2199" t="s">
        <v>1037</v>
      </c>
      <c r="J1002" s="2196">
        <v>4</v>
      </c>
    </row>
    <row r="1003" spans="2:10" ht="13.5" thickBot="1" x14ac:dyDescent="0.25">
      <c r="B1003" s="392" t="str">
        <f t="shared" si="30"/>
        <v>Open - LANNOY Frank</v>
      </c>
      <c r="C1003" s="1441" t="str">
        <f t="shared" si="31"/>
        <v>LANNOY Frank</v>
      </c>
      <c r="D1003" s="1428" t="s">
        <v>889</v>
      </c>
      <c r="E1003" s="1429">
        <v>931</v>
      </c>
      <c r="F1003" s="2197" t="s">
        <v>3206</v>
      </c>
      <c r="G1003" s="2198" t="s">
        <v>3207</v>
      </c>
      <c r="H1003" s="2197" t="s">
        <v>2779</v>
      </c>
      <c r="I1003" s="2199" t="s">
        <v>990</v>
      </c>
      <c r="J1003" s="2196">
        <v>4</v>
      </c>
    </row>
    <row r="1004" spans="2:10" ht="13.5" thickBot="1" x14ac:dyDescent="0.25">
      <c r="B1004" s="392" t="str">
        <f t="shared" si="30"/>
        <v>Open - PAPPA Chrysoula</v>
      </c>
      <c r="C1004" s="1441" t="str">
        <f t="shared" si="31"/>
        <v>PAPPA Chrysoula</v>
      </c>
      <c r="D1004" s="1428" t="s">
        <v>889</v>
      </c>
      <c r="E1004" s="1429">
        <v>931</v>
      </c>
      <c r="F1004" s="2197" t="s">
        <v>14301</v>
      </c>
      <c r="G1004" s="2198" t="s">
        <v>13902</v>
      </c>
      <c r="H1004" s="2197" t="s">
        <v>2745</v>
      </c>
      <c r="I1004" s="2199" t="s">
        <v>1025</v>
      </c>
      <c r="J1004" s="2196">
        <v>4</v>
      </c>
    </row>
    <row r="1005" spans="2:10" ht="13.5" thickBot="1" x14ac:dyDescent="0.25">
      <c r="B1005" s="392" t="str">
        <f t="shared" si="30"/>
        <v>Open - ESTEBAN Tony</v>
      </c>
      <c r="C1005" s="1441" t="str">
        <f t="shared" si="31"/>
        <v>ESTEBAN Tony</v>
      </c>
      <c r="D1005" s="1428" t="s">
        <v>889</v>
      </c>
      <c r="E1005" s="1429">
        <v>999</v>
      </c>
      <c r="F1005" s="2197" t="s">
        <v>14266</v>
      </c>
      <c r="G1005" s="2198" t="s">
        <v>3134</v>
      </c>
      <c r="H1005" s="2197" t="s">
        <v>2905</v>
      </c>
      <c r="I1005" s="2199" t="s">
        <v>1079</v>
      </c>
      <c r="J1005" s="2196">
        <v>3.5</v>
      </c>
    </row>
    <row r="1006" spans="2:10" ht="13.5" thickBot="1" x14ac:dyDescent="0.25">
      <c r="B1006" s="392" t="str">
        <f t="shared" si="30"/>
        <v>Open - STEFANIS Konstantinos</v>
      </c>
      <c r="C1006" s="1441" t="str">
        <f t="shared" si="31"/>
        <v>STEFANIS Konstantinos</v>
      </c>
      <c r="D1006" s="1428" t="s">
        <v>889</v>
      </c>
      <c r="E1006" s="1429">
        <v>999</v>
      </c>
      <c r="F1006" s="2197" t="s">
        <v>11189</v>
      </c>
      <c r="G1006" s="2198" t="s">
        <v>6986</v>
      </c>
      <c r="H1006" s="2197" t="s">
        <v>3213</v>
      </c>
      <c r="I1006" s="2199" t="s">
        <v>1025</v>
      </c>
      <c r="J1006" s="2196">
        <v>3.5</v>
      </c>
    </row>
    <row r="1007" spans="2:10" ht="13.5" thickBot="1" x14ac:dyDescent="0.25">
      <c r="B1007" s="392" t="str">
        <f t="shared" si="30"/>
        <v>Open - FOSTER Eric</v>
      </c>
      <c r="C1007" s="1441" t="str">
        <f t="shared" si="31"/>
        <v>FOSTER Eric</v>
      </c>
      <c r="D1007" s="1428" t="s">
        <v>889</v>
      </c>
      <c r="E1007" s="1429">
        <v>999</v>
      </c>
      <c r="F1007" s="2197" t="s">
        <v>11479</v>
      </c>
      <c r="G1007" s="2198" t="s">
        <v>3044</v>
      </c>
      <c r="H1007" s="2197" t="s">
        <v>17015</v>
      </c>
      <c r="I1007" s="2199" t="s">
        <v>1079</v>
      </c>
      <c r="J1007" s="2196">
        <v>3.5</v>
      </c>
    </row>
    <row r="1008" spans="2:10" ht="13.5" thickBot="1" x14ac:dyDescent="0.25">
      <c r="B1008" s="392" t="str">
        <f t="shared" si="30"/>
        <v>Open - BIN SIDEK Izham</v>
      </c>
      <c r="C1008" s="1441" t="str">
        <f t="shared" si="31"/>
        <v>BIN SIDEK Izham</v>
      </c>
      <c r="D1008" s="1428" t="s">
        <v>889</v>
      </c>
      <c r="E1008" s="1429">
        <v>1002</v>
      </c>
      <c r="F1008" s="2197" t="s">
        <v>16714</v>
      </c>
      <c r="G1008" s="2198" t="s">
        <v>5590</v>
      </c>
      <c r="H1008" s="2197" t="s">
        <v>8716</v>
      </c>
      <c r="I1008" s="2199" t="s">
        <v>7916</v>
      </c>
      <c r="J1008" s="2196">
        <v>3</v>
      </c>
    </row>
    <row r="1009" spans="2:10" ht="13.5" thickBot="1" x14ac:dyDescent="0.25">
      <c r="B1009" s="392" t="str">
        <f t="shared" si="30"/>
        <v>Open - ROSSI Mark</v>
      </c>
      <c r="C1009" s="1441" t="str">
        <f t="shared" si="31"/>
        <v>ROSSI Mark</v>
      </c>
      <c r="D1009" s="1428" t="s">
        <v>889</v>
      </c>
      <c r="E1009" s="1429">
        <v>1002</v>
      </c>
      <c r="F1009" s="2197" t="s">
        <v>16817</v>
      </c>
      <c r="G1009" s="2198" t="s">
        <v>3017</v>
      </c>
      <c r="H1009" s="2197" t="s">
        <v>15379</v>
      </c>
      <c r="I1009" s="2199" t="s">
        <v>14471</v>
      </c>
      <c r="J1009" s="2196">
        <v>3</v>
      </c>
    </row>
    <row r="1010" spans="2:10" ht="13.5" thickBot="1" x14ac:dyDescent="0.25">
      <c r="B1010" s="392" t="str">
        <f t="shared" si="30"/>
        <v>Open - LO IACONO Simone</v>
      </c>
      <c r="C1010" s="1441" t="str">
        <f t="shared" si="31"/>
        <v>LO IACONO Simone</v>
      </c>
      <c r="D1010" s="1428" t="s">
        <v>889</v>
      </c>
      <c r="E1010" s="1429">
        <v>1002</v>
      </c>
      <c r="F1010" s="2197" t="s">
        <v>14922</v>
      </c>
      <c r="G1010" s="2198" t="s">
        <v>3158</v>
      </c>
      <c r="H1010" s="2197" t="s">
        <v>2777</v>
      </c>
      <c r="I1010" s="2199" t="s">
        <v>1037</v>
      </c>
      <c r="J1010" s="2196">
        <v>3</v>
      </c>
    </row>
    <row r="1011" spans="2:10" ht="13.5" thickBot="1" x14ac:dyDescent="0.25">
      <c r="B1011" s="392" t="str">
        <f t="shared" si="30"/>
        <v>Open - DIZIER Nathan</v>
      </c>
      <c r="C1011" s="1441" t="str">
        <f t="shared" si="31"/>
        <v>DIZIER Nathan</v>
      </c>
      <c r="D1011" s="1428" t="s">
        <v>889</v>
      </c>
      <c r="E1011" s="1429">
        <v>1002</v>
      </c>
      <c r="F1011" s="2197" t="s">
        <v>18140</v>
      </c>
      <c r="G1011" s="2198" t="s">
        <v>3183</v>
      </c>
      <c r="H1011" s="2197" t="s">
        <v>2747</v>
      </c>
      <c r="I1011" s="2199" t="s">
        <v>990</v>
      </c>
      <c r="J1011" s="2196">
        <v>3</v>
      </c>
    </row>
    <row r="1012" spans="2:10" ht="13.5" thickBot="1" x14ac:dyDescent="0.25">
      <c r="B1012" s="392" t="str">
        <f t="shared" si="30"/>
        <v>Open - HOLMES Phil</v>
      </c>
      <c r="C1012" s="1441" t="str">
        <f t="shared" si="31"/>
        <v>HOLMES Phil</v>
      </c>
      <c r="D1012" s="1428" t="s">
        <v>889</v>
      </c>
      <c r="E1012" s="1429">
        <v>1002</v>
      </c>
      <c r="F1012" s="2197" t="s">
        <v>14214</v>
      </c>
      <c r="G1012" s="2198" t="s">
        <v>3398</v>
      </c>
      <c r="H1012" s="2197" t="s">
        <v>13531</v>
      </c>
      <c r="I1012" s="2199" t="s">
        <v>1013</v>
      </c>
      <c r="J1012" s="2196">
        <v>3</v>
      </c>
    </row>
    <row r="1013" spans="2:10" ht="13.5" thickBot="1" x14ac:dyDescent="0.25">
      <c r="B1013" s="392" t="str">
        <f t="shared" si="30"/>
        <v>Open - BIN NORIZAL Nor Afiq</v>
      </c>
      <c r="C1013" s="1441" t="str">
        <f t="shared" si="31"/>
        <v>BIN NORIZAL Nor Afiq</v>
      </c>
      <c r="D1013" s="1428" t="s">
        <v>889</v>
      </c>
      <c r="E1013" s="1429">
        <v>1002</v>
      </c>
      <c r="F1013" s="2197" t="s">
        <v>18141</v>
      </c>
      <c r="G1013" s="2198" t="s">
        <v>9558</v>
      </c>
      <c r="H1013" s="2197" t="s">
        <v>7270</v>
      </c>
      <c r="I1013" s="2199" t="s">
        <v>7916</v>
      </c>
      <c r="J1013" s="2196">
        <v>3</v>
      </c>
    </row>
    <row r="1014" spans="2:10" ht="13.5" thickBot="1" x14ac:dyDescent="0.25">
      <c r="B1014" s="392" t="str">
        <f t="shared" si="30"/>
        <v>Open - DOHNER Collin</v>
      </c>
      <c r="C1014" s="1441" t="str">
        <f t="shared" si="31"/>
        <v>DOHNER Collin</v>
      </c>
      <c r="D1014" s="1428" t="s">
        <v>889</v>
      </c>
      <c r="E1014" s="1429">
        <v>1002</v>
      </c>
      <c r="F1014" s="2197" t="s">
        <v>18142</v>
      </c>
      <c r="G1014" s="2198" t="s">
        <v>17403</v>
      </c>
      <c r="H1014" s="2197" t="s">
        <v>17015</v>
      </c>
      <c r="I1014" s="2199" t="s">
        <v>1079</v>
      </c>
      <c r="J1014" s="2196">
        <v>3</v>
      </c>
    </row>
    <row r="1015" spans="2:10" ht="13.5" thickBot="1" x14ac:dyDescent="0.25">
      <c r="B1015" s="392" t="str">
        <f t="shared" si="30"/>
        <v>Open - GOMI Yohei</v>
      </c>
      <c r="C1015" s="1441" t="str">
        <f t="shared" si="31"/>
        <v>GOMI Yohei</v>
      </c>
      <c r="D1015" s="1428" t="s">
        <v>889</v>
      </c>
      <c r="E1015" s="1429">
        <v>1002</v>
      </c>
      <c r="F1015" s="2197" t="s">
        <v>14960</v>
      </c>
      <c r="G1015" s="2198" t="s">
        <v>14724</v>
      </c>
      <c r="H1015" s="2197" t="s">
        <v>5508</v>
      </c>
      <c r="I1015" s="2199" t="s">
        <v>1041</v>
      </c>
      <c r="J1015" s="2196">
        <v>3</v>
      </c>
    </row>
    <row r="1016" spans="2:10" ht="13.5" thickBot="1" x14ac:dyDescent="0.25">
      <c r="B1016" s="392" t="str">
        <f t="shared" si="30"/>
        <v>Open - KUMAR Vikkram S</v>
      </c>
      <c r="C1016" s="1441" t="str">
        <f t="shared" si="31"/>
        <v>KUMAR Vikkram S</v>
      </c>
      <c r="D1016" s="1428" t="s">
        <v>889</v>
      </c>
      <c r="E1016" s="1429">
        <v>1002</v>
      </c>
      <c r="F1016" s="2197" t="s">
        <v>16720</v>
      </c>
      <c r="G1016" s="2198" t="s">
        <v>10963</v>
      </c>
      <c r="H1016" s="2197" t="s">
        <v>8717</v>
      </c>
      <c r="I1016" s="2199" t="s">
        <v>7916</v>
      </c>
      <c r="J1016" s="2196">
        <v>3</v>
      </c>
    </row>
    <row r="1017" spans="2:10" ht="13.5" thickBot="1" x14ac:dyDescent="0.25">
      <c r="B1017" s="392" t="str">
        <f t="shared" si="30"/>
        <v>Open - SCHITO Riccardo</v>
      </c>
      <c r="C1017" s="1441" t="str">
        <f t="shared" si="31"/>
        <v>SCHITO Riccardo</v>
      </c>
      <c r="D1017" s="1428" t="s">
        <v>889</v>
      </c>
      <c r="E1017" s="1429">
        <v>1002</v>
      </c>
      <c r="F1017" s="2197" t="s">
        <v>3269</v>
      </c>
      <c r="G1017" s="2198" t="s">
        <v>3270</v>
      </c>
      <c r="H1017" s="2197" t="s">
        <v>15245</v>
      </c>
      <c r="I1017" s="2199" t="s">
        <v>1037</v>
      </c>
      <c r="J1017" s="2196">
        <v>3</v>
      </c>
    </row>
    <row r="1018" spans="2:10" ht="13.5" thickBot="1" x14ac:dyDescent="0.25">
      <c r="B1018" s="392" t="str">
        <f t="shared" si="30"/>
        <v>Open - LUNDY Adam</v>
      </c>
      <c r="C1018" s="1441" t="str">
        <f t="shared" si="31"/>
        <v>LUNDY Adam</v>
      </c>
      <c r="D1018" s="1428" t="s">
        <v>889</v>
      </c>
      <c r="E1018" s="1429">
        <v>1002</v>
      </c>
      <c r="F1018" s="2197" t="s">
        <v>16664</v>
      </c>
      <c r="G1018" s="2198" t="s">
        <v>3502</v>
      </c>
      <c r="H1018" s="2197" t="s">
        <v>15833</v>
      </c>
      <c r="I1018" s="2199" t="s">
        <v>1083</v>
      </c>
      <c r="J1018" s="2196">
        <v>3</v>
      </c>
    </row>
    <row r="1019" spans="2:10" ht="13.5" thickBot="1" x14ac:dyDescent="0.25">
      <c r="B1019" s="392" t="str">
        <f t="shared" si="30"/>
        <v>Open - BELT John</v>
      </c>
      <c r="C1019" s="1441" t="str">
        <f t="shared" si="31"/>
        <v>BELT John</v>
      </c>
      <c r="D1019" s="1428" t="s">
        <v>889</v>
      </c>
      <c r="E1019" s="1429">
        <v>1002</v>
      </c>
      <c r="F1019" s="2197" t="s">
        <v>18143</v>
      </c>
      <c r="G1019" s="2198" t="s">
        <v>3250</v>
      </c>
      <c r="H1019" s="2197" t="s">
        <v>14347</v>
      </c>
      <c r="I1019" s="2199" t="s">
        <v>14471</v>
      </c>
      <c r="J1019" s="2196">
        <v>3</v>
      </c>
    </row>
    <row r="1020" spans="2:10" ht="13.5" thickBot="1" x14ac:dyDescent="0.25">
      <c r="B1020" s="392" t="str">
        <f t="shared" si="30"/>
        <v>Open - ARGYROPOULOS Vasilios</v>
      </c>
      <c r="C1020" s="1441" t="str">
        <f t="shared" si="31"/>
        <v>ARGYROPOULOS Vasilios</v>
      </c>
      <c r="D1020" s="1428" t="s">
        <v>889</v>
      </c>
      <c r="E1020" s="1429">
        <v>1002</v>
      </c>
      <c r="F1020" s="2197" t="s">
        <v>9482</v>
      </c>
      <c r="G1020" s="2198" t="s">
        <v>5511</v>
      </c>
      <c r="H1020" s="2197" t="s">
        <v>2760</v>
      </c>
      <c r="I1020" s="2199" t="s">
        <v>1025</v>
      </c>
      <c r="J1020" s="2196">
        <v>3</v>
      </c>
    </row>
    <row r="1021" spans="2:10" ht="13.5" thickBot="1" x14ac:dyDescent="0.25">
      <c r="B1021" s="392" t="str">
        <f t="shared" si="30"/>
        <v>Open - BINTE NORIZAL Naomi Bilqis</v>
      </c>
      <c r="C1021" s="1441" t="str">
        <f t="shared" si="31"/>
        <v>BINTE NORIZAL Naomi Bilqis</v>
      </c>
      <c r="D1021" s="1428" t="s">
        <v>889</v>
      </c>
      <c r="E1021" s="1429">
        <v>1002</v>
      </c>
      <c r="F1021" s="2197" t="s">
        <v>18144</v>
      </c>
      <c r="G1021" s="2198" t="s">
        <v>18057</v>
      </c>
      <c r="H1021" s="2197" t="s">
        <v>7270</v>
      </c>
      <c r="I1021" s="2199" t="s">
        <v>7916</v>
      </c>
      <c r="J1021" s="2196">
        <v>3</v>
      </c>
    </row>
    <row r="1022" spans="2:10" ht="13.5" thickBot="1" x14ac:dyDescent="0.25">
      <c r="B1022" s="392" t="str">
        <f t="shared" si="30"/>
        <v>Open - QUER Oriol</v>
      </c>
      <c r="C1022" s="1441" t="str">
        <f t="shared" si="31"/>
        <v>QUER Oriol</v>
      </c>
      <c r="D1022" s="1428" t="s">
        <v>889</v>
      </c>
      <c r="E1022" s="1429">
        <v>1002</v>
      </c>
      <c r="F1022" s="2197" t="s">
        <v>14965</v>
      </c>
      <c r="G1022" s="2198" t="s">
        <v>14461</v>
      </c>
      <c r="H1022" s="2197" t="s">
        <v>14451</v>
      </c>
      <c r="I1022" s="2199" t="s">
        <v>1015</v>
      </c>
      <c r="J1022" s="2196">
        <v>3</v>
      </c>
    </row>
    <row r="1023" spans="2:10" ht="13.5" thickBot="1" x14ac:dyDescent="0.25">
      <c r="B1023" s="392" t="str">
        <f t="shared" si="30"/>
        <v>Open - BIN NORIZAL Nor Aniq</v>
      </c>
      <c r="C1023" s="1441" t="str">
        <f t="shared" si="31"/>
        <v>BIN NORIZAL Nor Aniq</v>
      </c>
      <c r="D1023" s="1428" t="s">
        <v>889</v>
      </c>
      <c r="E1023" s="1429">
        <v>1002</v>
      </c>
      <c r="F1023" s="2197" t="s">
        <v>18141</v>
      </c>
      <c r="G1023" s="2198" t="s">
        <v>9557</v>
      </c>
      <c r="H1023" s="2197" t="s">
        <v>7270</v>
      </c>
      <c r="I1023" s="2199" t="s">
        <v>7916</v>
      </c>
      <c r="J1023" s="2196">
        <v>3</v>
      </c>
    </row>
    <row r="1024" spans="2:10" ht="13.5" thickBot="1" x14ac:dyDescent="0.25">
      <c r="B1024" s="392" t="str">
        <f t="shared" si="30"/>
        <v>Open - EVANGELISTI Stefano</v>
      </c>
      <c r="C1024" s="1441" t="str">
        <f t="shared" si="31"/>
        <v>EVANGELISTI Stefano</v>
      </c>
      <c r="D1024" s="1428" t="s">
        <v>889</v>
      </c>
      <c r="E1024" s="1429">
        <v>1002</v>
      </c>
      <c r="F1024" s="2197" t="s">
        <v>14920</v>
      </c>
      <c r="G1024" s="2198" t="s">
        <v>3062</v>
      </c>
      <c r="H1024" s="2197" t="s">
        <v>2749</v>
      </c>
      <c r="I1024" s="2199" t="s">
        <v>1037</v>
      </c>
      <c r="J1024" s="2196">
        <v>3</v>
      </c>
    </row>
    <row r="1025" spans="2:10" ht="13.5" thickBot="1" x14ac:dyDescent="0.25">
      <c r="B1025" s="392" t="str">
        <f t="shared" si="30"/>
        <v>Open - BARDUCCI Stefano</v>
      </c>
      <c r="C1025" s="1441" t="str">
        <f t="shared" si="31"/>
        <v>BARDUCCI Stefano</v>
      </c>
      <c r="D1025" s="1428" t="s">
        <v>889</v>
      </c>
      <c r="E1025" s="1429">
        <v>1002</v>
      </c>
      <c r="F1025" s="2197" t="s">
        <v>10304</v>
      </c>
      <c r="G1025" s="2198" t="s">
        <v>3062</v>
      </c>
      <c r="H1025" s="2197" t="s">
        <v>2784</v>
      </c>
      <c r="I1025" s="2199" t="s">
        <v>1037</v>
      </c>
      <c r="J1025" s="2196">
        <v>3</v>
      </c>
    </row>
    <row r="1026" spans="2:10" ht="13.5" thickBot="1" x14ac:dyDescent="0.25">
      <c r="B1026" s="392" t="str">
        <f t="shared" si="30"/>
        <v>Open - BAVASURYAN K. S.</v>
      </c>
      <c r="C1026" s="1441" t="str">
        <f t="shared" si="31"/>
        <v>BAVASURYAN K. S.</v>
      </c>
      <c r="D1026" s="1428" t="s">
        <v>889</v>
      </c>
      <c r="E1026" s="1429">
        <v>1002</v>
      </c>
      <c r="F1026" s="2197" t="s">
        <v>16715</v>
      </c>
      <c r="G1026" s="2198" t="s">
        <v>11252</v>
      </c>
      <c r="H1026" s="2197" t="s">
        <v>8717</v>
      </c>
      <c r="I1026" s="2199" t="s">
        <v>7916</v>
      </c>
      <c r="J1026" s="2196">
        <v>3</v>
      </c>
    </row>
    <row r="1027" spans="2:10" ht="13.5" thickBot="1" x14ac:dyDescent="0.25">
      <c r="B1027" s="392" t="str">
        <f t="shared" si="30"/>
        <v>Open - LO CASCIO Emanuele</v>
      </c>
      <c r="C1027" s="1441" t="str">
        <f t="shared" si="31"/>
        <v>LO CASCIO Emanuele</v>
      </c>
      <c r="D1027" s="1428" t="s">
        <v>889</v>
      </c>
      <c r="E1027" s="1429">
        <v>1002</v>
      </c>
      <c r="F1027" s="2197" t="s">
        <v>14250</v>
      </c>
      <c r="G1027" s="2198" t="s">
        <v>3085</v>
      </c>
      <c r="H1027" s="2197" t="s">
        <v>10268</v>
      </c>
      <c r="I1027" s="2199" t="s">
        <v>1037</v>
      </c>
      <c r="J1027" s="2196">
        <v>3</v>
      </c>
    </row>
    <row r="1028" spans="2:10" ht="13.5" thickBot="1" x14ac:dyDescent="0.25">
      <c r="B1028" s="392" t="str">
        <f t="shared" si="30"/>
        <v>Open - ERBÌ Donato</v>
      </c>
      <c r="C1028" s="1441" t="str">
        <f t="shared" si="31"/>
        <v>ERBÌ Donato</v>
      </c>
      <c r="D1028" s="1428" t="s">
        <v>889</v>
      </c>
      <c r="E1028" s="1429">
        <v>1002</v>
      </c>
      <c r="F1028" s="2197" t="s">
        <v>11472</v>
      </c>
      <c r="G1028" s="2198" t="s">
        <v>11248</v>
      </c>
      <c r="H1028" s="2197" t="s">
        <v>14683</v>
      </c>
      <c r="I1028" s="2199" t="s">
        <v>1037</v>
      </c>
      <c r="J1028" s="2196">
        <v>3</v>
      </c>
    </row>
    <row r="1029" spans="2:10" ht="13.5" thickBot="1" x14ac:dyDescent="0.25">
      <c r="B1029" s="392" t="str">
        <f t="shared" si="30"/>
        <v>Open - BIN ISNIN Azhari</v>
      </c>
      <c r="C1029" s="1441" t="str">
        <f t="shared" si="31"/>
        <v>BIN ISNIN Azhari</v>
      </c>
      <c r="D1029" s="1428" t="s">
        <v>889</v>
      </c>
      <c r="E1029" s="1429">
        <v>1002</v>
      </c>
      <c r="F1029" s="2197" t="s">
        <v>18145</v>
      </c>
      <c r="G1029" s="2198" t="s">
        <v>11254</v>
      </c>
      <c r="H1029" s="2197" t="s">
        <v>8717</v>
      </c>
      <c r="I1029" s="2199" t="s">
        <v>7916</v>
      </c>
      <c r="J1029" s="2196">
        <v>3</v>
      </c>
    </row>
    <row r="1030" spans="2:10" ht="13.5" thickBot="1" x14ac:dyDescent="0.25">
      <c r="B1030" s="392" t="str">
        <f t="shared" si="30"/>
        <v>Open - BERGAMASCO Enrico</v>
      </c>
      <c r="C1030" s="1441" t="str">
        <f t="shared" si="31"/>
        <v>BERGAMASCO Enrico</v>
      </c>
      <c r="D1030" s="1428" t="s">
        <v>889</v>
      </c>
      <c r="E1030" s="1429">
        <v>1002</v>
      </c>
      <c r="F1030" s="2197" t="s">
        <v>14927</v>
      </c>
      <c r="G1030" s="2198" t="s">
        <v>3132</v>
      </c>
      <c r="H1030" s="2197" t="s">
        <v>16843</v>
      </c>
      <c r="I1030" s="2199" t="s">
        <v>1037</v>
      </c>
      <c r="J1030" s="2196">
        <v>3</v>
      </c>
    </row>
    <row r="1031" spans="2:10" ht="13.5" thickBot="1" x14ac:dyDescent="0.25">
      <c r="B1031" s="392" t="str">
        <f t="shared" ref="B1031:B1094" si="32">CONCATENATE(D1031," - ",C1031)</f>
        <v>Open - FONTANA Antonino</v>
      </c>
      <c r="C1031" s="1441" t="str">
        <f t="shared" ref="C1031:C1094" si="33">CONCATENATE(UPPER(F1031)," ",G1031)</f>
        <v>FONTANA Antonino</v>
      </c>
      <c r="D1031" s="1428" t="s">
        <v>889</v>
      </c>
      <c r="E1031" s="1429">
        <v>1002</v>
      </c>
      <c r="F1031" s="2197" t="s">
        <v>14930</v>
      </c>
      <c r="G1031" s="2198" t="s">
        <v>6997</v>
      </c>
      <c r="H1031" s="2197" t="s">
        <v>10270</v>
      </c>
      <c r="I1031" s="2199" t="s">
        <v>1037</v>
      </c>
      <c r="J1031" s="2196">
        <v>3</v>
      </c>
    </row>
    <row r="1032" spans="2:10" ht="13.5" thickBot="1" x14ac:dyDescent="0.25">
      <c r="B1032" s="392" t="str">
        <f t="shared" si="32"/>
        <v>Open - PSYCHOPOULOS Ioannis</v>
      </c>
      <c r="C1032" s="1441" t="str">
        <f t="shared" si="33"/>
        <v>PSYCHOPOULOS Ioannis</v>
      </c>
      <c r="D1032" s="1428" t="s">
        <v>889</v>
      </c>
      <c r="E1032" s="1429">
        <v>1002</v>
      </c>
      <c r="F1032" s="2197" t="s">
        <v>14177</v>
      </c>
      <c r="G1032" s="2198" t="s">
        <v>3350</v>
      </c>
      <c r="H1032" s="2197" t="s">
        <v>10265</v>
      </c>
      <c r="I1032" s="2199" t="s">
        <v>1025</v>
      </c>
      <c r="J1032" s="2196">
        <v>3</v>
      </c>
    </row>
    <row r="1033" spans="2:10" ht="13.5" thickBot="1" x14ac:dyDescent="0.25">
      <c r="B1033" s="392" t="str">
        <f t="shared" si="32"/>
        <v>Open - LEPORE Massimiliano</v>
      </c>
      <c r="C1033" s="1441" t="str">
        <f t="shared" si="33"/>
        <v>LEPORE Massimiliano</v>
      </c>
      <c r="D1033" s="1428" t="s">
        <v>889</v>
      </c>
      <c r="E1033" s="1429">
        <v>1002</v>
      </c>
      <c r="F1033" s="2197" t="s">
        <v>13496</v>
      </c>
      <c r="G1033" s="2198" t="s">
        <v>3023</v>
      </c>
      <c r="H1033" s="2197" t="s">
        <v>2749</v>
      </c>
      <c r="I1033" s="2199" t="s">
        <v>1037</v>
      </c>
      <c r="J1033" s="2196">
        <v>3</v>
      </c>
    </row>
    <row r="1034" spans="2:10" ht="13.5" thickBot="1" x14ac:dyDescent="0.25">
      <c r="B1034" s="392" t="str">
        <f t="shared" si="32"/>
        <v>Open - VISENTIN Davide</v>
      </c>
      <c r="C1034" s="1441" t="str">
        <f t="shared" si="33"/>
        <v>VISENTIN Davide</v>
      </c>
      <c r="D1034" s="1428" t="s">
        <v>889</v>
      </c>
      <c r="E1034" s="1429">
        <v>1002</v>
      </c>
      <c r="F1034" s="2197" t="s">
        <v>9719</v>
      </c>
      <c r="G1034" s="2198" t="s">
        <v>3329</v>
      </c>
      <c r="H1034" s="2197" t="s">
        <v>7873</v>
      </c>
      <c r="I1034" s="2199" t="s">
        <v>1037</v>
      </c>
      <c r="J1034" s="2196">
        <v>3</v>
      </c>
    </row>
    <row r="1035" spans="2:10" ht="13.5" thickBot="1" x14ac:dyDescent="0.25">
      <c r="B1035" s="392" t="str">
        <f t="shared" si="32"/>
        <v>Open - SUFFRITTI Matteo</v>
      </c>
      <c r="C1035" s="1441" t="str">
        <f t="shared" si="33"/>
        <v>SUFFRITTI Matteo</v>
      </c>
      <c r="D1035" s="1428" t="s">
        <v>889</v>
      </c>
      <c r="E1035" s="1429">
        <v>1002</v>
      </c>
      <c r="F1035" s="2197" t="s">
        <v>9490</v>
      </c>
      <c r="G1035" s="2198" t="s">
        <v>3200</v>
      </c>
      <c r="H1035" s="2197" t="s">
        <v>2765</v>
      </c>
      <c r="I1035" s="2199" t="s">
        <v>1037</v>
      </c>
      <c r="J1035" s="2196">
        <v>3</v>
      </c>
    </row>
    <row r="1036" spans="2:10" ht="13.5" thickBot="1" x14ac:dyDescent="0.25">
      <c r="B1036" s="392" t="str">
        <f t="shared" si="32"/>
        <v>Open - FURINI Davide</v>
      </c>
      <c r="C1036" s="1441" t="str">
        <f t="shared" si="33"/>
        <v>FURINI Davide</v>
      </c>
      <c r="D1036" s="1428" t="s">
        <v>889</v>
      </c>
      <c r="E1036" s="1429">
        <v>1002</v>
      </c>
      <c r="F1036" s="2197" t="s">
        <v>8736</v>
      </c>
      <c r="G1036" s="2198" t="s">
        <v>3329</v>
      </c>
      <c r="H1036" s="2197" t="s">
        <v>7873</v>
      </c>
      <c r="I1036" s="2199" t="s">
        <v>1037</v>
      </c>
      <c r="J1036" s="2196">
        <v>3</v>
      </c>
    </row>
    <row r="1037" spans="2:10" ht="13.5" thickBot="1" x14ac:dyDescent="0.25">
      <c r="B1037" s="392" t="str">
        <f t="shared" si="32"/>
        <v>Open - MAIANDI Fabrizio</v>
      </c>
      <c r="C1037" s="1441" t="str">
        <f t="shared" si="33"/>
        <v>MAIANDI Fabrizio</v>
      </c>
      <c r="D1037" s="1428" t="s">
        <v>889</v>
      </c>
      <c r="E1037" s="1429">
        <v>1002</v>
      </c>
      <c r="F1037" s="2197" t="s">
        <v>14925</v>
      </c>
      <c r="G1037" s="2198" t="s">
        <v>3087</v>
      </c>
      <c r="H1037" s="2197" t="s">
        <v>14683</v>
      </c>
      <c r="I1037" s="2199" t="s">
        <v>1037</v>
      </c>
      <c r="J1037" s="2196">
        <v>3</v>
      </c>
    </row>
    <row r="1038" spans="2:10" ht="13.5" thickBot="1" x14ac:dyDescent="0.25">
      <c r="B1038" s="392" t="str">
        <f t="shared" si="32"/>
        <v>Open - VISANI Davide</v>
      </c>
      <c r="C1038" s="1441" t="str">
        <f t="shared" si="33"/>
        <v>VISANI Davide</v>
      </c>
      <c r="D1038" s="1428" t="s">
        <v>889</v>
      </c>
      <c r="E1038" s="1429">
        <v>1002</v>
      </c>
      <c r="F1038" s="2197" t="s">
        <v>14929</v>
      </c>
      <c r="G1038" s="2198" t="s">
        <v>3329</v>
      </c>
      <c r="H1038" s="2197" t="s">
        <v>2784</v>
      </c>
      <c r="I1038" s="2199" t="s">
        <v>1037</v>
      </c>
      <c r="J1038" s="2196">
        <v>3</v>
      </c>
    </row>
    <row r="1039" spans="2:10" ht="13.5" thickBot="1" x14ac:dyDescent="0.25">
      <c r="B1039" s="392" t="str">
        <f t="shared" si="32"/>
        <v>Open - BUSSOTTI Michele</v>
      </c>
      <c r="C1039" s="1441" t="str">
        <f t="shared" si="33"/>
        <v>BUSSOTTI Michele</v>
      </c>
      <c r="D1039" s="1428" t="s">
        <v>889</v>
      </c>
      <c r="E1039" s="1429">
        <v>1002</v>
      </c>
      <c r="F1039" s="2197" t="s">
        <v>14923</v>
      </c>
      <c r="G1039" s="2198" t="s">
        <v>3216</v>
      </c>
      <c r="H1039" s="2197" t="s">
        <v>15245</v>
      </c>
      <c r="I1039" s="2199" t="s">
        <v>1037</v>
      </c>
      <c r="J1039" s="2196">
        <v>3</v>
      </c>
    </row>
    <row r="1040" spans="2:10" ht="13.5" thickBot="1" x14ac:dyDescent="0.25">
      <c r="B1040" s="392" t="str">
        <f t="shared" si="32"/>
        <v>Open - GRÜNBERG Daniela</v>
      </c>
      <c r="C1040" s="1441" t="str">
        <f t="shared" si="33"/>
        <v>GRÜNBERG Daniela</v>
      </c>
      <c r="D1040" s="1428" t="s">
        <v>889</v>
      </c>
      <c r="E1040" s="1429">
        <v>1002</v>
      </c>
      <c r="F1040" s="2197" t="s">
        <v>11418</v>
      </c>
      <c r="G1040" s="2198" t="s">
        <v>8240</v>
      </c>
      <c r="H1040" s="2197" t="s">
        <v>2775</v>
      </c>
      <c r="I1040" s="2199" t="s">
        <v>1021</v>
      </c>
      <c r="J1040" s="2196">
        <v>3</v>
      </c>
    </row>
    <row r="1041" spans="2:10" ht="13.5" thickBot="1" x14ac:dyDescent="0.25">
      <c r="B1041" s="392" t="str">
        <f t="shared" si="32"/>
        <v>Open - CAMPOS Ricardo</v>
      </c>
      <c r="C1041" s="1441" t="str">
        <f t="shared" si="33"/>
        <v>CAMPOS Ricardo</v>
      </c>
      <c r="D1041" s="1428" t="s">
        <v>889</v>
      </c>
      <c r="E1041" s="1429">
        <v>1035</v>
      </c>
      <c r="F1041" s="2197" t="s">
        <v>14263</v>
      </c>
      <c r="G1041" s="2198" t="s">
        <v>3137</v>
      </c>
      <c r="H1041" s="2197" t="s">
        <v>13597</v>
      </c>
      <c r="I1041" s="2199" t="s">
        <v>1061</v>
      </c>
      <c r="J1041" s="2196">
        <v>2.5</v>
      </c>
    </row>
    <row r="1042" spans="2:10" ht="13.5" thickBot="1" x14ac:dyDescent="0.25">
      <c r="B1042" s="392" t="str">
        <f t="shared" si="32"/>
        <v>Open - ALSINA Guillem</v>
      </c>
      <c r="C1042" s="1441" t="str">
        <f t="shared" si="33"/>
        <v>ALSINA Guillem</v>
      </c>
      <c r="D1042" s="1428" t="s">
        <v>889</v>
      </c>
      <c r="E1042" s="1429">
        <v>1035</v>
      </c>
      <c r="F1042" s="2197" t="s">
        <v>16727</v>
      </c>
      <c r="G1042" s="2198" t="s">
        <v>8234</v>
      </c>
      <c r="H1042" s="2197" t="s">
        <v>2783</v>
      </c>
      <c r="I1042" s="2199" t="s">
        <v>1015</v>
      </c>
      <c r="J1042" s="2196">
        <v>2.5</v>
      </c>
    </row>
    <row r="1043" spans="2:10" ht="13.5" thickBot="1" x14ac:dyDescent="0.25">
      <c r="B1043" s="392" t="str">
        <f t="shared" si="32"/>
        <v>Open - MARTÍNEZ Teresa</v>
      </c>
      <c r="C1043" s="1441" t="str">
        <f t="shared" si="33"/>
        <v>MARTÍNEZ Teresa</v>
      </c>
      <c r="D1043" s="1428" t="s">
        <v>889</v>
      </c>
      <c r="E1043" s="1429">
        <v>1035</v>
      </c>
      <c r="F1043" s="2197" t="s">
        <v>3252</v>
      </c>
      <c r="G1043" s="2198" t="s">
        <v>17786</v>
      </c>
      <c r="H1043" s="2197" t="s">
        <v>7304</v>
      </c>
      <c r="I1043" s="2199" t="s">
        <v>1015</v>
      </c>
      <c r="J1043" s="2196">
        <v>2.5</v>
      </c>
    </row>
    <row r="1044" spans="2:10" ht="13.5" thickBot="1" x14ac:dyDescent="0.25">
      <c r="B1044" s="392" t="str">
        <f t="shared" si="32"/>
        <v>Open - LAMPIS Diamantis</v>
      </c>
      <c r="C1044" s="1441" t="str">
        <f t="shared" si="33"/>
        <v>LAMPIS Diamantis</v>
      </c>
      <c r="D1044" s="1428" t="s">
        <v>889</v>
      </c>
      <c r="E1044" s="1429">
        <v>1035</v>
      </c>
      <c r="F1044" s="2197" t="s">
        <v>10928</v>
      </c>
      <c r="G1044" s="2198" t="s">
        <v>6871</v>
      </c>
      <c r="H1044" s="2197" t="s">
        <v>14359</v>
      </c>
      <c r="I1044" s="2199" t="s">
        <v>1025</v>
      </c>
      <c r="J1044" s="2196">
        <v>2.5</v>
      </c>
    </row>
    <row r="1045" spans="2:10" ht="13.5" thickBot="1" x14ac:dyDescent="0.25">
      <c r="B1045" s="392" t="str">
        <f t="shared" si="32"/>
        <v>Open - OCENASEK Katharina</v>
      </c>
      <c r="C1045" s="1441" t="str">
        <f t="shared" si="33"/>
        <v>OCENASEK Katharina</v>
      </c>
      <c r="D1045" s="1428" t="s">
        <v>889</v>
      </c>
      <c r="E1045" s="1429">
        <v>1035</v>
      </c>
      <c r="F1045" s="2197" t="s">
        <v>9629</v>
      </c>
      <c r="G1045" s="2198" t="s">
        <v>9614</v>
      </c>
      <c r="H1045" s="2197" t="s">
        <v>2748</v>
      </c>
      <c r="I1045" s="2199" t="s">
        <v>988</v>
      </c>
      <c r="J1045" s="2196">
        <v>2.5</v>
      </c>
    </row>
    <row r="1046" spans="2:10" ht="13.5" thickBot="1" x14ac:dyDescent="0.25">
      <c r="B1046" s="392" t="str">
        <f t="shared" si="32"/>
        <v>Open - TASTSOGLOU Michail</v>
      </c>
      <c r="C1046" s="1441" t="str">
        <f t="shared" si="33"/>
        <v>TASTSOGLOU Michail</v>
      </c>
      <c r="D1046" s="1428" t="s">
        <v>889</v>
      </c>
      <c r="E1046" s="1429">
        <v>1035</v>
      </c>
      <c r="F1046" s="2197" t="s">
        <v>14257</v>
      </c>
      <c r="G1046" s="2198" t="s">
        <v>8248</v>
      </c>
      <c r="H1046" s="2197" t="s">
        <v>13590</v>
      </c>
      <c r="I1046" s="2199" t="s">
        <v>1025</v>
      </c>
      <c r="J1046" s="2196">
        <v>2.5</v>
      </c>
    </row>
    <row r="1047" spans="2:10" ht="13.5" thickBot="1" x14ac:dyDescent="0.25">
      <c r="B1047" s="392" t="str">
        <f t="shared" si="32"/>
        <v>Open - LAMPIS Fotis</v>
      </c>
      <c r="C1047" s="1441" t="str">
        <f t="shared" si="33"/>
        <v>LAMPIS Fotis</v>
      </c>
      <c r="D1047" s="1428" t="s">
        <v>889</v>
      </c>
      <c r="E1047" s="1429">
        <v>1035</v>
      </c>
      <c r="F1047" s="2197" t="s">
        <v>10928</v>
      </c>
      <c r="G1047" s="2198" t="s">
        <v>3363</v>
      </c>
      <c r="H1047" s="2197" t="s">
        <v>14359</v>
      </c>
      <c r="I1047" s="2199" t="s">
        <v>1025</v>
      </c>
      <c r="J1047" s="2196">
        <v>2.5</v>
      </c>
    </row>
    <row r="1048" spans="2:10" ht="13.5" thickBot="1" x14ac:dyDescent="0.25">
      <c r="B1048" s="392" t="str">
        <f t="shared" si="32"/>
        <v>Open - KAROUZOS Christos</v>
      </c>
      <c r="C1048" s="1441" t="str">
        <f t="shared" si="33"/>
        <v>KAROUZOS Christos</v>
      </c>
      <c r="D1048" s="1428" t="s">
        <v>889</v>
      </c>
      <c r="E1048" s="1429">
        <v>1035</v>
      </c>
      <c r="F1048" s="2197" t="s">
        <v>14245</v>
      </c>
      <c r="G1048" s="2198" t="s">
        <v>3135</v>
      </c>
      <c r="H1048" s="2197" t="s">
        <v>10251</v>
      </c>
      <c r="I1048" s="2199" t="s">
        <v>1025</v>
      </c>
      <c r="J1048" s="2196">
        <v>2.5</v>
      </c>
    </row>
    <row r="1049" spans="2:10" ht="13.5" thickBot="1" x14ac:dyDescent="0.25">
      <c r="B1049" s="392" t="str">
        <f t="shared" si="32"/>
        <v>Open - TEKOS Lambros</v>
      </c>
      <c r="C1049" s="1441" t="str">
        <f t="shared" si="33"/>
        <v>TEKOS Lambros</v>
      </c>
      <c r="D1049" s="1428" t="s">
        <v>889</v>
      </c>
      <c r="E1049" s="1429">
        <v>1035</v>
      </c>
      <c r="F1049" s="2197" t="s">
        <v>11193</v>
      </c>
      <c r="G1049" s="2198" t="s">
        <v>3096</v>
      </c>
      <c r="H1049" s="2197" t="s">
        <v>15175</v>
      </c>
      <c r="I1049" s="2199" t="s">
        <v>1025</v>
      </c>
      <c r="J1049" s="2196">
        <v>2.5</v>
      </c>
    </row>
    <row r="1050" spans="2:10" ht="13.5" thickBot="1" x14ac:dyDescent="0.25">
      <c r="B1050" s="392" t="str">
        <f t="shared" si="32"/>
        <v>Open - PEREIRA Diogo</v>
      </c>
      <c r="C1050" s="1441" t="str">
        <f t="shared" si="33"/>
        <v>PEREIRA Diogo</v>
      </c>
      <c r="D1050" s="1428" t="s">
        <v>889</v>
      </c>
      <c r="E1050" s="1429">
        <v>1035</v>
      </c>
      <c r="F1050" s="2197" t="s">
        <v>14314</v>
      </c>
      <c r="G1050" s="2198" t="s">
        <v>3221</v>
      </c>
      <c r="H1050" s="2197" t="s">
        <v>13597</v>
      </c>
      <c r="I1050" s="2199" t="s">
        <v>1061</v>
      </c>
      <c r="J1050" s="2196">
        <v>2.5</v>
      </c>
    </row>
    <row r="1051" spans="2:10" ht="13.5" thickBot="1" x14ac:dyDescent="0.25">
      <c r="B1051" s="392" t="str">
        <f t="shared" si="32"/>
        <v>Open - AMANO Ryota</v>
      </c>
      <c r="C1051" s="1441" t="str">
        <f t="shared" si="33"/>
        <v>AMANO Ryota</v>
      </c>
      <c r="D1051" s="1428" t="s">
        <v>889</v>
      </c>
      <c r="E1051" s="1429">
        <v>1045</v>
      </c>
      <c r="F1051" s="2197" t="s">
        <v>16725</v>
      </c>
      <c r="G1051" s="2198" t="s">
        <v>15158</v>
      </c>
      <c r="H1051" s="2197" t="s">
        <v>5508</v>
      </c>
      <c r="I1051" s="2199" t="s">
        <v>1041</v>
      </c>
      <c r="J1051" s="2196">
        <v>2</v>
      </c>
    </row>
    <row r="1052" spans="2:10" ht="13.5" thickBot="1" x14ac:dyDescent="0.25">
      <c r="B1052" s="392" t="str">
        <f t="shared" si="32"/>
        <v>Open - VILLARD Eric</v>
      </c>
      <c r="C1052" s="1441" t="str">
        <f t="shared" si="33"/>
        <v>VILLARD Eric</v>
      </c>
      <c r="D1052" s="1428" t="s">
        <v>889</v>
      </c>
      <c r="E1052" s="1429">
        <v>1045</v>
      </c>
      <c r="F1052" s="2197" t="s">
        <v>16722</v>
      </c>
      <c r="G1052" s="2198" t="s">
        <v>3044</v>
      </c>
      <c r="H1052" s="2197" t="s">
        <v>15842</v>
      </c>
      <c r="I1052" s="2199" t="s">
        <v>1019</v>
      </c>
      <c r="J1052" s="2196">
        <v>2</v>
      </c>
    </row>
    <row r="1053" spans="2:10" ht="13.5" thickBot="1" x14ac:dyDescent="0.25">
      <c r="B1053" s="392" t="str">
        <f t="shared" si="32"/>
        <v>Open - MISHIMA Mitsuki</v>
      </c>
      <c r="C1053" s="1441" t="str">
        <f t="shared" si="33"/>
        <v>MISHIMA Mitsuki</v>
      </c>
      <c r="D1053" s="1428" t="s">
        <v>889</v>
      </c>
      <c r="E1053" s="1429">
        <v>1045</v>
      </c>
      <c r="F1053" s="2197" t="s">
        <v>16724</v>
      </c>
      <c r="G1053" s="2198" t="s">
        <v>15913</v>
      </c>
      <c r="H1053" s="2197" t="s">
        <v>5508</v>
      </c>
      <c r="I1053" s="2199" t="s">
        <v>1041</v>
      </c>
      <c r="J1053" s="2196">
        <v>2</v>
      </c>
    </row>
    <row r="1054" spans="2:10" ht="13.5" thickBot="1" x14ac:dyDescent="0.25">
      <c r="B1054" s="392" t="str">
        <f t="shared" si="32"/>
        <v>Open - COPE David</v>
      </c>
      <c r="C1054" s="1441" t="str">
        <f t="shared" si="33"/>
        <v>COPE David</v>
      </c>
      <c r="D1054" s="1428" t="s">
        <v>889</v>
      </c>
      <c r="E1054" s="1429">
        <v>1045</v>
      </c>
      <c r="F1054" s="2197" t="s">
        <v>16729</v>
      </c>
      <c r="G1054" s="2198" t="s">
        <v>3072</v>
      </c>
      <c r="H1054" s="2197" t="s">
        <v>2789</v>
      </c>
      <c r="I1054" s="2199" t="s">
        <v>1013</v>
      </c>
      <c r="J1054" s="2196">
        <v>2</v>
      </c>
    </row>
    <row r="1055" spans="2:10" ht="13.5" thickBot="1" x14ac:dyDescent="0.25">
      <c r="B1055" s="392" t="str">
        <f t="shared" si="32"/>
        <v>Open - BRANDI Luigi</v>
      </c>
      <c r="C1055" s="1441" t="str">
        <f t="shared" si="33"/>
        <v>BRANDI Luigi</v>
      </c>
      <c r="D1055" s="1428" t="s">
        <v>889</v>
      </c>
      <c r="E1055" s="1429">
        <v>1045</v>
      </c>
      <c r="F1055" s="2197" t="s">
        <v>16697</v>
      </c>
      <c r="G1055" s="2198" t="s">
        <v>3339</v>
      </c>
      <c r="H1055" s="2197" t="s">
        <v>2776</v>
      </c>
      <c r="I1055" s="2199" t="s">
        <v>1037</v>
      </c>
      <c r="J1055" s="2196">
        <v>2</v>
      </c>
    </row>
    <row r="1056" spans="2:10" ht="13.5" thickBot="1" x14ac:dyDescent="0.25">
      <c r="B1056" s="392" t="str">
        <f t="shared" si="32"/>
        <v>Open - DE GIOSA Davide</v>
      </c>
      <c r="C1056" s="1441" t="str">
        <f t="shared" si="33"/>
        <v>DE GIOSA Davide</v>
      </c>
      <c r="D1056" s="1428" t="s">
        <v>889</v>
      </c>
      <c r="E1056" s="1429">
        <v>1045</v>
      </c>
      <c r="F1056" s="2197" t="s">
        <v>16690</v>
      </c>
      <c r="G1056" s="2198" t="s">
        <v>3329</v>
      </c>
      <c r="H1056" s="2197" t="s">
        <v>10274</v>
      </c>
      <c r="I1056" s="2199" t="s">
        <v>1037</v>
      </c>
      <c r="J1056" s="2196">
        <v>2</v>
      </c>
    </row>
    <row r="1057" spans="2:10" ht="13.5" thickBot="1" x14ac:dyDescent="0.25">
      <c r="B1057" s="392" t="str">
        <f t="shared" si="32"/>
        <v>Open - KARASAVVAS Konstantinos</v>
      </c>
      <c r="C1057" s="1441" t="str">
        <f t="shared" si="33"/>
        <v>KARASAVVAS Konstantinos</v>
      </c>
      <c r="D1057" s="1428" t="s">
        <v>889</v>
      </c>
      <c r="E1057" s="1429">
        <v>1045</v>
      </c>
      <c r="F1057" s="2197" t="s">
        <v>14932</v>
      </c>
      <c r="G1057" s="2198" t="s">
        <v>6986</v>
      </c>
      <c r="H1057" s="2197" t="s">
        <v>10251</v>
      </c>
      <c r="I1057" s="2199" t="s">
        <v>1025</v>
      </c>
      <c r="J1057" s="2196">
        <v>2</v>
      </c>
    </row>
    <row r="1058" spans="2:10" ht="13.5" thickBot="1" x14ac:dyDescent="0.25">
      <c r="B1058" s="392" t="str">
        <f t="shared" si="32"/>
        <v>Open - PORCELLI Giuseppe</v>
      </c>
      <c r="C1058" s="1441" t="str">
        <f t="shared" si="33"/>
        <v>PORCELLI Giuseppe</v>
      </c>
      <c r="D1058" s="1428" t="s">
        <v>889</v>
      </c>
      <c r="E1058" s="1429">
        <v>1045</v>
      </c>
      <c r="F1058" s="2197" t="s">
        <v>16681</v>
      </c>
      <c r="G1058" s="2198" t="s">
        <v>3122</v>
      </c>
      <c r="H1058" s="2197" t="s">
        <v>7877</v>
      </c>
      <c r="I1058" s="2199" t="s">
        <v>1037</v>
      </c>
      <c r="J1058" s="2196">
        <v>2</v>
      </c>
    </row>
    <row r="1059" spans="2:10" ht="13.5" thickBot="1" x14ac:dyDescent="0.25">
      <c r="B1059" s="392" t="str">
        <f t="shared" si="32"/>
        <v>Open - PEFANIS Konstantinos</v>
      </c>
      <c r="C1059" s="1441" t="str">
        <f t="shared" si="33"/>
        <v>PEFANIS Konstantinos</v>
      </c>
      <c r="D1059" s="1428" t="s">
        <v>889</v>
      </c>
      <c r="E1059" s="1429">
        <v>1045</v>
      </c>
      <c r="F1059" s="2197" t="s">
        <v>16682</v>
      </c>
      <c r="G1059" s="2198" t="s">
        <v>6986</v>
      </c>
      <c r="H1059" s="2197" t="s">
        <v>17171</v>
      </c>
      <c r="I1059" s="2199" t="s">
        <v>1025</v>
      </c>
      <c r="J1059" s="2196">
        <v>2</v>
      </c>
    </row>
    <row r="1060" spans="2:10" ht="13.5" thickBot="1" x14ac:dyDescent="0.25">
      <c r="B1060" s="392" t="str">
        <f t="shared" si="32"/>
        <v>Open - WIGHTMAN Harry</v>
      </c>
      <c r="C1060" s="1441" t="str">
        <f t="shared" si="33"/>
        <v>WIGHTMAN Harry</v>
      </c>
      <c r="D1060" s="1428" t="s">
        <v>889</v>
      </c>
      <c r="E1060" s="1429">
        <v>1045</v>
      </c>
      <c r="F1060" s="2197" t="s">
        <v>18146</v>
      </c>
      <c r="G1060" s="2198" t="s">
        <v>16001</v>
      </c>
      <c r="H1060" s="2197" t="s">
        <v>9594</v>
      </c>
      <c r="I1060" s="2199" t="s">
        <v>986</v>
      </c>
      <c r="J1060" s="2196">
        <v>2</v>
      </c>
    </row>
    <row r="1061" spans="2:10" ht="13.5" thickBot="1" x14ac:dyDescent="0.25">
      <c r="B1061" s="392" t="str">
        <f t="shared" si="32"/>
        <v>Open - ELEFTHERIOU Andreas</v>
      </c>
      <c r="C1061" s="1441" t="str">
        <f t="shared" si="33"/>
        <v>ELEFTHERIOU Andreas</v>
      </c>
      <c r="D1061" s="1428" t="s">
        <v>889</v>
      </c>
      <c r="E1061" s="1429">
        <v>1045</v>
      </c>
      <c r="F1061" s="2197" t="s">
        <v>16700</v>
      </c>
      <c r="G1061" s="2198" t="s">
        <v>3351</v>
      </c>
      <c r="H1061" s="2197" t="s">
        <v>2758</v>
      </c>
      <c r="I1061" s="2199" t="s">
        <v>1025</v>
      </c>
      <c r="J1061" s="2196">
        <v>2</v>
      </c>
    </row>
    <row r="1062" spans="2:10" ht="13.5" thickBot="1" x14ac:dyDescent="0.25">
      <c r="B1062" s="392" t="str">
        <f t="shared" si="32"/>
        <v>Open - JAKUBOWSKI Michael</v>
      </c>
      <c r="C1062" s="1441" t="str">
        <f t="shared" si="33"/>
        <v>JAKUBOWSKI Michael</v>
      </c>
      <c r="D1062" s="1428" t="s">
        <v>889</v>
      </c>
      <c r="E1062" s="1429">
        <v>1045</v>
      </c>
      <c r="F1062" s="2197" t="s">
        <v>16696</v>
      </c>
      <c r="G1062" s="2198" t="s">
        <v>3416</v>
      </c>
      <c r="H1062" s="2197" t="s">
        <v>17015</v>
      </c>
      <c r="I1062" s="2199" t="s">
        <v>1079</v>
      </c>
      <c r="J1062" s="2196">
        <v>2</v>
      </c>
    </row>
    <row r="1063" spans="2:10" ht="13.5" thickBot="1" x14ac:dyDescent="0.25">
      <c r="B1063" s="392" t="str">
        <f t="shared" si="32"/>
        <v>Open - GAMMAROTA Fabrizio</v>
      </c>
      <c r="C1063" s="1441" t="str">
        <f t="shared" si="33"/>
        <v>GAMMAROTA Fabrizio</v>
      </c>
      <c r="D1063" s="1428" t="s">
        <v>889</v>
      </c>
      <c r="E1063" s="1429">
        <v>1045</v>
      </c>
      <c r="F1063" s="2197" t="s">
        <v>16695</v>
      </c>
      <c r="G1063" s="2198" t="s">
        <v>3087</v>
      </c>
      <c r="H1063" s="2197" t="s">
        <v>11328</v>
      </c>
      <c r="I1063" s="2199" t="s">
        <v>1037</v>
      </c>
      <c r="J1063" s="2196">
        <v>2</v>
      </c>
    </row>
    <row r="1064" spans="2:10" ht="13.5" thickBot="1" x14ac:dyDescent="0.25">
      <c r="B1064" s="392" t="str">
        <f t="shared" si="32"/>
        <v>Open - SCARBATH Jake</v>
      </c>
      <c r="C1064" s="1441" t="str">
        <f t="shared" si="33"/>
        <v>SCARBATH Jake</v>
      </c>
      <c r="D1064" s="1428" t="s">
        <v>889</v>
      </c>
      <c r="E1064" s="1429">
        <v>1045</v>
      </c>
      <c r="F1064" s="2197" t="s">
        <v>16699</v>
      </c>
      <c r="G1064" s="2198" t="s">
        <v>8316</v>
      </c>
      <c r="H1064" s="2197" t="s">
        <v>2905</v>
      </c>
      <c r="I1064" s="2199" t="s">
        <v>1079</v>
      </c>
      <c r="J1064" s="2196">
        <v>2</v>
      </c>
    </row>
    <row r="1065" spans="2:10" ht="13.5" thickBot="1" x14ac:dyDescent="0.25">
      <c r="B1065" s="392" t="str">
        <f t="shared" si="32"/>
        <v>Open - BLASCO Rafael</v>
      </c>
      <c r="C1065" s="1441" t="str">
        <f t="shared" si="33"/>
        <v>BLASCO Rafael</v>
      </c>
      <c r="D1065" s="1428" t="s">
        <v>889</v>
      </c>
      <c r="E1065" s="1429">
        <v>1045</v>
      </c>
      <c r="F1065" s="2197" t="s">
        <v>16860</v>
      </c>
      <c r="G1065" s="2198" t="s">
        <v>9410</v>
      </c>
      <c r="H1065" s="2197" t="s">
        <v>14359</v>
      </c>
      <c r="I1065" s="2199" t="s">
        <v>1015</v>
      </c>
      <c r="J1065" s="2196">
        <v>2</v>
      </c>
    </row>
    <row r="1066" spans="2:10" ht="13.5" thickBot="1" x14ac:dyDescent="0.25">
      <c r="B1066" s="392" t="str">
        <f t="shared" si="32"/>
        <v>Open - OSBORNE Richard</v>
      </c>
      <c r="C1066" s="1441" t="str">
        <f t="shared" si="33"/>
        <v>OSBORNE Richard</v>
      </c>
      <c r="D1066" s="1428" t="s">
        <v>889</v>
      </c>
      <c r="E1066" s="1429">
        <v>1045</v>
      </c>
      <c r="F1066" s="2197" t="s">
        <v>16726</v>
      </c>
      <c r="G1066" s="2198" t="s">
        <v>3219</v>
      </c>
      <c r="H1066" s="2197" t="s">
        <v>15974</v>
      </c>
      <c r="I1066" s="2199" t="s">
        <v>1023</v>
      </c>
      <c r="J1066" s="2196">
        <v>2</v>
      </c>
    </row>
    <row r="1067" spans="2:10" ht="13.5" thickBot="1" x14ac:dyDescent="0.25">
      <c r="B1067" s="392" t="str">
        <f t="shared" si="32"/>
        <v>Open - HESLOP Thomas</v>
      </c>
      <c r="C1067" s="1441" t="str">
        <f t="shared" si="33"/>
        <v>HESLOP Thomas</v>
      </c>
      <c r="D1067" s="1428" t="s">
        <v>889</v>
      </c>
      <c r="E1067" s="1429">
        <v>1045</v>
      </c>
      <c r="F1067" s="2197" t="s">
        <v>14962</v>
      </c>
      <c r="G1067" s="2198" t="s">
        <v>3124</v>
      </c>
      <c r="H1067" s="2197" t="s">
        <v>7935</v>
      </c>
      <c r="I1067" s="2199" t="s">
        <v>1013</v>
      </c>
      <c r="J1067" s="2196">
        <v>2</v>
      </c>
    </row>
    <row r="1068" spans="2:10" ht="13.5" thickBot="1" x14ac:dyDescent="0.25">
      <c r="B1068" s="392" t="str">
        <f t="shared" si="32"/>
        <v>Open - SCHILIRÒ Giorgio</v>
      </c>
      <c r="C1068" s="1441" t="str">
        <f t="shared" si="33"/>
        <v>SCHILIRÒ Giorgio</v>
      </c>
      <c r="D1068" s="1428" t="s">
        <v>889</v>
      </c>
      <c r="E1068" s="1429">
        <v>1045</v>
      </c>
      <c r="F1068" s="2197" t="s">
        <v>16687</v>
      </c>
      <c r="G1068" s="2198" t="s">
        <v>3643</v>
      </c>
      <c r="H1068" s="2197" t="s">
        <v>10270</v>
      </c>
      <c r="I1068" s="2199" t="s">
        <v>1037</v>
      </c>
      <c r="J1068" s="2196">
        <v>2</v>
      </c>
    </row>
    <row r="1069" spans="2:10" ht="13.5" thickBot="1" x14ac:dyDescent="0.25">
      <c r="B1069" s="392" t="str">
        <f t="shared" si="32"/>
        <v>Open - KOUTROUMANOS Leonidas</v>
      </c>
      <c r="C1069" s="1441" t="str">
        <f t="shared" si="33"/>
        <v>KOUTROUMANOS Leonidas</v>
      </c>
      <c r="D1069" s="1428" t="s">
        <v>889</v>
      </c>
      <c r="E1069" s="1429">
        <v>1045</v>
      </c>
      <c r="F1069" s="2197" t="s">
        <v>8755</v>
      </c>
      <c r="G1069" s="2198" t="s">
        <v>3211</v>
      </c>
      <c r="H1069" s="2197" t="s">
        <v>2758</v>
      </c>
      <c r="I1069" s="2199" t="s">
        <v>1025</v>
      </c>
      <c r="J1069" s="2196">
        <v>2</v>
      </c>
    </row>
    <row r="1070" spans="2:10" ht="13.5" thickBot="1" x14ac:dyDescent="0.25">
      <c r="B1070" s="392" t="str">
        <f t="shared" si="32"/>
        <v>Open - LO PRESTI Francesco</v>
      </c>
      <c r="C1070" s="1441" t="str">
        <f t="shared" si="33"/>
        <v>LO PRESTI Francesco</v>
      </c>
      <c r="D1070" s="1428" t="s">
        <v>889</v>
      </c>
      <c r="E1070" s="1429">
        <v>1045</v>
      </c>
      <c r="F1070" s="2197" t="s">
        <v>3552</v>
      </c>
      <c r="G1070" s="2198" t="s">
        <v>3277</v>
      </c>
      <c r="H1070" s="2197" t="s">
        <v>10270</v>
      </c>
      <c r="I1070" s="2199" t="s">
        <v>1037</v>
      </c>
      <c r="J1070" s="2196">
        <v>2</v>
      </c>
    </row>
    <row r="1071" spans="2:10" ht="13.5" thickBot="1" x14ac:dyDescent="0.25">
      <c r="B1071" s="392" t="str">
        <f t="shared" si="32"/>
        <v>Open - ARGIRIS Konstantinos</v>
      </c>
      <c r="C1071" s="1441" t="str">
        <f t="shared" si="33"/>
        <v>ARGIRIS Konstantinos</v>
      </c>
      <c r="D1071" s="1428" t="s">
        <v>889</v>
      </c>
      <c r="E1071" s="1429">
        <v>1045</v>
      </c>
      <c r="F1071" s="2197" t="s">
        <v>14179</v>
      </c>
      <c r="G1071" s="2198" t="s">
        <v>6986</v>
      </c>
      <c r="H1071" s="2197" t="s">
        <v>10265</v>
      </c>
      <c r="I1071" s="2199" t="s">
        <v>1025</v>
      </c>
      <c r="J1071" s="2196">
        <v>2</v>
      </c>
    </row>
    <row r="1072" spans="2:10" ht="13.5" thickBot="1" x14ac:dyDescent="0.25">
      <c r="B1072" s="392" t="str">
        <f t="shared" si="32"/>
        <v>Open - CIABATTONI Luca</v>
      </c>
      <c r="C1072" s="1441" t="str">
        <f t="shared" si="33"/>
        <v>CIABATTONI Luca</v>
      </c>
      <c r="D1072" s="1428" t="s">
        <v>889</v>
      </c>
      <c r="E1072" s="1429">
        <v>1045</v>
      </c>
      <c r="F1072" s="2197" t="s">
        <v>3220</v>
      </c>
      <c r="G1072" s="2198" t="s">
        <v>3198</v>
      </c>
      <c r="H1072" s="2197" t="s">
        <v>2761</v>
      </c>
      <c r="I1072" s="2199" t="s">
        <v>1037</v>
      </c>
      <c r="J1072" s="2196">
        <v>2</v>
      </c>
    </row>
    <row r="1073" spans="2:10" ht="13.5" thickBot="1" x14ac:dyDescent="0.25">
      <c r="B1073" s="392" t="str">
        <f t="shared" si="32"/>
        <v>Open - VANWISSEN Benoît</v>
      </c>
      <c r="C1073" s="1441" t="str">
        <f t="shared" si="33"/>
        <v>VANWISSEN Benoît</v>
      </c>
      <c r="D1073" s="1428" t="s">
        <v>889</v>
      </c>
      <c r="E1073" s="1429">
        <v>1045</v>
      </c>
      <c r="F1073" s="2197" t="s">
        <v>11505</v>
      </c>
      <c r="G1073" s="2198" t="s">
        <v>3285</v>
      </c>
      <c r="H1073" s="2197" t="s">
        <v>2779</v>
      </c>
      <c r="I1073" s="2199" t="s">
        <v>990</v>
      </c>
      <c r="J1073" s="2196">
        <v>2</v>
      </c>
    </row>
    <row r="1074" spans="2:10" ht="13.5" thickBot="1" x14ac:dyDescent="0.25">
      <c r="B1074" s="392" t="str">
        <f t="shared" si="32"/>
        <v>Open - LEONARD David</v>
      </c>
      <c r="C1074" s="1441" t="str">
        <f t="shared" si="33"/>
        <v>LEONARD David</v>
      </c>
      <c r="D1074" s="1428" t="s">
        <v>889</v>
      </c>
      <c r="E1074" s="1429">
        <v>1045</v>
      </c>
      <c r="F1074" s="2197" t="s">
        <v>16713</v>
      </c>
      <c r="G1074" s="2198" t="s">
        <v>3072</v>
      </c>
      <c r="H1074" s="2197" t="s">
        <v>14359</v>
      </c>
      <c r="I1074" s="2199" t="s">
        <v>1079</v>
      </c>
      <c r="J1074" s="2196">
        <v>2</v>
      </c>
    </row>
    <row r="1075" spans="2:10" ht="13.5" thickBot="1" x14ac:dyDescent="0.25">
      <c r="B1075" s="392" t="str">
        <f t="shared" si="32"/>
        <v>Open - GUAGLIARDI Erica</v>
      </c>
      <c r="C1075" s="1441" t="str">
        <f t="shared" si="33"/>
        <v>GUAGLIARDI Erica</v>
      </c>
      <c r="D1075" s="1428" t="s">
        <v>889</v>
      </c>
      <c r="E1075" s="1429">
        <v>1045</v>
      </c>
      <c r="F1075" s="2197" t="s">
        <v>14887</v>
      </c>
      <c r="G1075" s="2198" t="s">
        <v>11242</v>
      </c>
      <c r="H1075" s="2197" t="s">
        <v>7872</v>
      </c>
      <c r="I1075" s="2199" t="s">
        <v>1037</v>
      </c>
      <c r="J1075" s="2196">
        <v>2</v>
      </c>
    </row>
    <row r="1076" spans="2:10" ht="13.5" thickBot="1" x14ac:dyDescent="0.25">
      <c r="B1076" s="392" t="str">
        <f t="shared" si="32"/>
        <v>Open - TRENTA Corrado</v>
      </c>
      <c r="C1076" s="1441" t="str">
        <f t="shared" si="33"/>
        <v>TRENTA Corrado</v>
      </c>
      <c r="D1076" s="1428" t="s">
        <v>889</v>
      </c>
      <c r="E1076" s="1429">
        <v>1045</v>
      </c>
      <c r="F1076" s="2197" t="s">
        <v>3619</v>
      </c>
      <c r="G1076" s="2198" t="s">
        <v>3620</v>
      </c>
      <c r="H1076" s="2197" t="s">
        <v>15245</v>
      </c>
      <c r="I1076" s="2199" t="s">
        <v>1037</v>
      </c>
      <c r="J1076" s="2196">
        <v>2</v>
      </c>
    </row>
    <row r="1077" spans="2:10" ht="13.5" thickBot="1" x14ac:dyDescent="0.25">
      <c r="B1077" s="392" t="str">
        <f t="shared" si="32"/>
        <v>Open - CANICCHIO Lucio</v>
      </c>
      <c r="C1077" s="1441" t="str">
        <f t="shared" si="33"/>
        <v>CANICCHIO Lucio</v>
      </c>
      <c r="D1077" s="1428" t="s">
        <v>889</v>
      </c>
      <c r="E1077" s="1429">
        <v>1045</v>
      </c>
      <c r="F1077" s="2197" t="s">
        <v>3067</v>
      </c>
      <c r="G1077" s="2198" t="s">
        <v>3068</v>
      </c>
      <c r="H1077" s="2197" t="s">
        <v>5311</v>
      </c>
      <c r="I1077" s="2199" t="s">
        <v>1037</v>
      </c>
      <c r="J1077" s="2196">
        <v>2</v>
      </c>
    </row>
    <row r="1078" spans="2:10" ht="13.5" thickBot="1" x14ac:dyDescent="0.25">
      <c r="B1078" s="392" t="str">
        <f t="shared" si="32"/>
        <v>Open - VITULANO Gianpaolo</v>
      </c>
      <c r="C1078" s="1441" t="str">
        <f t="shared" si="33"/>
        <v>VITULANO Gianpaolo</v>
      </c>
      <c r="D1078" s="1428" t="s">
        <v>889</v>
      </c>
      <c r="E1078" s="1429">
        <v>1045</v>
      </c>
      <c r="F1078" s="2197" t="s">
        <v>11477</v>
      </c>
      <c r="G1078" s="2198" t="s">
        <v>5536</v>
      </c>
      <c r="H1078" s="2197" t="s">
        <v>7874</v>
      </c>
      <c r="I1078" s="2199" t="s">
        <v>1037</v>
      </c>
      <c r="J1078" s="2196">
        <v>2</v>
      </c>
    </row>
    <row r="1079" spans="2:10" ht="13.5" thickBot="1" x14ac:dyDescent="0.25">
      <c r="B1079" s="392" t="str">
        <f t="shared" si="32"/>
        <v>Open - BLANCHARD Martin</v>
      </c>
      <c r="C1079" s="1441" t="str">
        <f t="shared" si="33"/>
        <v>BLANCHARD Martin</v>
      </c>
      <c r="D1079" s="1428" t="s">
        <v>889</v>
      </c>
      <c r="E1079" s="1429">
        <v>1045</v>
      </c>
      <c r="F1079" s="2197" t="s">
        <v>14157</v>
      </c>
      <c r="G1079" s="2198" t="s">
        <v>3408</v>
      </c>
      <c r="H1079" s="2197" t="s">
        <v>14359</v>
      </c>
      <c r="I1079" s="2199" t="s">
        <v>1013</v>
      </c>
      <c r="J1079" s="2196">
        <v>2</v>
      </c>
    </row>
    <row r="1080" spans="2:10" ht="13.5" thickBot="1" x14ac:dyDescent="0.25">
      <c r="B1080" s="392" t="str">
        <f t="shared" si="32"/>
        <v>Open - NANNI Mattia</v>
      </c>
      <c r="C1080" s="1441" t="str">
        <f t="shared" si="33"/>
        <v>NANNI Mattia</v>
      </c>
      <c r="D1080" s="1428" t="s">
        <v>889</v>
      </c>
      <c r="E1080" s="1429">
        <v>1045</v>
      </c>
      <c r="F1080" s="2197" t="s">
        <v>14940</v>
      </c>
      <c r="G1080" s="2198" t="s">
        <v>3228</v>
      </c>
      <c r="H1080" s="2197" t="s">
        <v>11468</v>
      </c>
      <c r="I1080" s="2199" t="s">
        <v>1037</v>
      </c>
      <c r="J1080" s="2196">
        <v>2</v>
      </c>
    </row>
    <row r="1081" spans="2:10" ht="13.5" thickBot="1" x14ac:dyDescent="0.25">
      <c r="B1081" s="392" t="str">
        <f t="shared" si="32"/>
        <v>Open - PEROTTI Marco</v>
      </c>
      <c r="C1081" s="1441" t="str">
        <f t="shared" si="33"/>
        <v>PEROTTI Marco</v>
      </c>
      <c r="D1081" s="1428" t="s">
        <v>889</v>
      </c>
      <c r="E1081" s="1429">
        <v>1045</v>
      </c>
      <c r="F1081" s="2197" t="s">
        <v>14254</v>
      </c>
      <c r="G1081" s="2198" t="s">
        <v>3109</v>
      </c>
      <c r="H1081" s="2197" t="s">
        <v>2777</v>
      </c>
      <c r="I1081" s="2199" t="s">
        <v>1037</v>
      </c>
      <c r="J1081" s="2196">
        <v>2</v>
      </c>
    </row>
    <row r="1082" spans="2:10" ht="13.5" thickBot="1" x14ac:dyDescent="0.25">
      <c r="B1082" s="392" t="str">
        <f t="shared" si="32"/>
        <v>Open - GIORGIANNI Andrea</v>
      </c>
      <c r="C1082" s="1441" t="str">
        <f t="shared" si="33"/>
        <v>GIORGIANNI Andrea</v>
      </c>
      <c r="D1082" s="1428" t="s">
        <v>889</v>
      </c>
      <c r="E1082" s="1429">
        <v>1045</v>
      </c>
      <c r="F1082" s="2197" t="s">
        <v>14225</v>
      </c>
      <c r="G1082" s="2198" t="s">
        <v>3027</v>
      </c>
      <c r="H1082" s="2197" t="s">
        <v>13593</v>
      </c>
      <c r="I1082" s="2199" t="s">
        <v>1037</v>
      </c>
      <c r="J1082" s="2196">
        <v>2</v>
      </c>
    </row>
    <row r="1083" spans="2:10" ht="13.5" thickBot="1" x14ac:dyDescent="0.25">
      <c r="B1083" s="392" t="str">
        <f t="shared" si="32"/>
        <v>Open - FRICANO Lorenzo</v>
      </c>
      <c r="C1083" s="1441" t="str">
        <f t="shared" si="33"/>
        <v>FRICANO Lorenzo</v>
      </c>
      <c r="D1083" s="1428" t="s">
        <v>889</v>
      </c>
      <c r="E1083" s="1429">
        <v>1045</v>
      </c>
      <c r="F1083" s="2197" t="s">
        <v>9494</v>
      </c>
      <c r="G1083" s="2198" t="s">
        <v>3155</v>
      </c>
      <c r="H1083" s="2197" t="s">
        <v>11467</v>
      </c>
      <c r="I1083" s="2199" t="s">
        <v>1037</v>
      </c>
      <c r="J1083" s="2196">
        <v>2</v>
      </c>
    </row>
    <row r="1084" spans="2:10" ht="13.5" thickBot="1" x14ac:dyDescent="0.25">
      <c r="B1084" s="392" t="str">
        <f t="shared" si="32"/>
        <v>Open - PERICCIOLI Luca</v>
      </c>
      <c r="C1084" s="1441" t="str">
        <f t="shared" si="33"/>
        <v>PERICCIOLI Luca</v>
      </c>
      <c r="D1084" s="1428" t="s">
        <v>889</v>
      </c>
      <c r="E1084" s="1429">
        <v>1045</v>
      </c>
      <c r="F1084" s="2197" t="s">
        <v>11482</v>
      </c>
      <c r="G1084" s="2198" t="s">
        <v>3198</v>
      </c>
      <c r="H1084" s="2197" t="s">
        <v>3614</v>
      </c>
      <c r="I1084" s="2199" t="s">
        <v>1037</v>
      </c>
      <c r="J1084" s="2196">
        <v>2</v>
      </c>
    </row>
    <row r="1085" spans="2:10" ht="13.5" thickBot="1" x14ac:dyDescent="0.25">
      <c r="B1085" s="392" t="str">
        <f t="shared" si="32"/>
        <v>Open - SMITH Jonathan</v>
      </c>
      <c r="C1085" s="1441" t="str">
        <f t="shared" si="33"/>
        <v>SMITH Jonathan</v>
      </c>
      <c r="D1085" s="1428" t="s">
        <v>889</v>
      </c>
      <c r="E1085" s="1429">
        <v>1045</v>
      </c>
      <c r="F1085" s="2197" t="s">
        <v>11476</v>
      </c>
      <c r="G1085" s="2198" t="s">
        <v>3293</v>
      </c>
      <c r="H1085" s="2197" t="s">
        <v>9451</v>
      </c>
      <c r="I1085" s="2199" t="s">
        <v>1079</v>
      </c>
      <c r="J1085" s="2196">
        <v>2</v>
      </c>
    </row>
    <row r="1086" spans="2:10" ht="13.5" thickBot="1" x14ac:dyDescent="0.25">
      <c r="B1086" s="392" t="str">
        <f t="shared" si="32"/>
        <v>Open - ARIANO Luca</v>
      </c>
      <c r="C1086" s="1441" t="str">
        <f t="shared" si="33"/>
        <v>ARIANO Luca</v>
      </c>
      <c r="D1086" s="1428" t="s">
        <v>889</v>
      </c>
      <c r="E1086" s="1429">
        <v>1045</v>
      </c>
      <c r="F1086" s="2197" t="s">
        <v>14210</v>
      </c>
      <c r="G1086" s="2198" t="s">
        <v>3198</v>
      </c>
      <c r="H1086" s="2197" t="s">
        <v>10269</v>
      </c>
      <c r="I1086" s="2199" t="s">
        <v>1037</v>
      </c>
      <c r="J1086" s="2196">
        <v>2</v>
      </c>
    </row>
    <row r="1087" spans="2:10" ht="13.5" thickBot="1" x14ac:dyDescent="0.25">
      <c r="B1087" s="392" t="str">
        <f t="shared" si="32"/>
        <v>Open - KALOGERAKOS Rafail</v>
      </c>
      <c r="C1087" s="1441" t="str">
        <f t="shared" si="33"/>
        <v>KALOGERAKOS Rafail</v>
      </c>
      <c r="D1087" s="1428" t="s">
        <v>889</v>
      </c>
      <c r="E1087" s="1429">
        <v>1081</v>
      </c>
      <c r="F1087" s="2197" t="s">
        <v>8745</v>
      </c>
      <c r="G1087" s="2198" t="s">
        <v>8264</v>
      </c>
      <c r="H1087" s="2197" t="s">
        <v>3213</v>
      </c>
      <c r="I1087" s="2199" t="s">
        <v>1025</v>
      </c>
      <c r="J1087" s="2196">
        <v>1.5</v>
      </c>
    </row>
    <row r="1088" spans="2:10" ht="13.5" thickBot="1" x14ac:dyDescent="0.25">
      <c r="B1088" s="392" t="str">
        <f t="shared" si="32"/>
        <v>Open - RICE Sam</v>
      </c>
      <c r="C1088" s="1441" t="str">
        <f t="shared" si="33"/>
        <v>RICE Sam</v>
      </c>
      <c r="D1088" s="1428" t="s">
        <v>889</v>
      </c>
      <c r="E1088" s="1429">
        <v>1081</v>
      </c>
      <c r="F1088" s="2197" t="s">
        <v>14948</v>
      </c>
      <c r="G1088" s="2198" t="s">
        <v>5555</v>
      </c>
      <c r="H1088" s="2197" t="s">
        <v>2905</v>
      </c>
      <c r="I1088" s="2199" t="s">
        <v>1079</v>
      </c>
      <c r="J1088" s="2196">
        <v>1.5</v>
      </c>
    </row>
    <row r="1089" spans="2:10" ht="13.5" thickBot="1" x14ac:dyDescent="0.25">
      <c r="B1089" s="392" t="str">
        <f t="shared" si="32"/>
        <v>Open - BAROSS Zoltán</v>
      </c>
      <c r="C1089" s="1441" t="str">
        <f t="shared" si="33"/>
        <v>BAROSS Zoltán</v>
      </c>
      <c r="D1089" s="1428" t="s">
        <v>889</v>
      </c>
      <c r="E1089" s="1429">
        <v>1081</v>
      </c>
      <c r="F1089" s="2197" t="s">
        <v>14187</v>
      </c>
      <c r="G1089" s="2198" t="s">
        <v>5580</v>
      </c>
      <c r="H1089" s="2197" t="s">
        <v>5310</v>
      </c>
      <c r="I1089" s="2199" t="s">
        <v>1029</v>
      </c>
      <c r="J1089" s="2196">
        <v>1.5</v>
      </c>
    </row>
    <row r="1090" spans="2:10" ht="13.5" thickBot="1" x14ac:dyDescent="0.25">
      <c r="B1090" s="392" t="str">
        <f t="shared" si="32"/>
        <v>Open - CHIARA Claudio</v>
      </c>
      <c r="C1090" s="1441" t="str">
        <f t="shared" si="33"/>
        <v>CHIARA Claudio</v>
      </c>
      <c r="D1090" s="1428" t="s">
        <v>889</v>
      </c>
      <c r="E1090" s="1429">
        <v>1081</v>
      </c>
      <c r="F1090" s="2197" t="s">
        <v>16717</v>
      </c>
      <c r="G1090" s="2198" t="s">
        <v>3038</v>
      </c>
      <c r="H1090" s="2197" t="s">
        <v>15290</v>
      </c>
      <c r="I1090" s="2199" t="s">
        <v>1037</v>
      </c>
      <c r="J1090" s="2196">
        <v>1.5</v>
      </c>
    </row>
    <row r="1091" spans="2:10" ht="13.5" thickBot="1" x14ac:dyDescent="0.25">
      <c r="B1091" s="392" t="str">
        <f t="shared" si="32"/>
        <v>Open - LUI Tyler</v>
      </c>
      <c r="C1091" s="1441" t="str">
        <f t="shared" si="33"/>
        <v>LUI Tyler</v>
      </c>
      <c r="D1091" s="1428" t="s">
        <v>889</v>
      </c>
      <c r="E1091" s="1429">
        <v>1081</v>
      </c>
      <c r="F1091" s="2197" t="s">
        <v>14949</v>
      </c>
      <c r="G1091" s="2198" t="s">
        <v>14103</v>
      </c>
      <c r="H1091" s="2197" t="s">
        <v>13606</v>
      </c>
      <c r="I1091" s="2199" t="s">
        <v>1079</v>
      </c>
      <c r="J1091" s="2196">
        <v>1.5</v>
      </c>
    </row>
    <row r="1092" spans="2:10" ht="13.5" thickBot="1" x14ac:dyDescent="0.25">
      <c r="B1092" s="392" t="str">
        <f t="shared" si="32"/>
        <v>Open - PÉREZ MONTERO José</v>
      </c>
      <c r="C1092" s="1441" t="str">
        <f t="shared" si="33"/>
        <v>PÉREZ MONTERO José</v>
      </c>
      <c r="D1092" s="1428" t="s">
        <v>889</v>
      </c>
      <c r="E1092" s="1429">
        <v>1081</v>
      </c>
      <c r="F1092" s="2197" t="s">
        <v>18147</v>
      </c>
      <c r="G1092" s="2198" t="s">
        <v>3232</v>
      </c>
      <c r="H1092" s="2197" t="s">
        <v>14872</v>
      </c>
      <c r="I1092" s="2199" t="s">
        <v>1015</v>
      </c>
      <c r="J1092" s="2196">
        <v>1.5</v>
      </c>
    </row>
    <row r="1093" spans="2:10" ht="13.5" thickBot="1" x14ac:dyDescent="0.25">
      <c r="B1093" s="392" t="str">
        <f t="shared" si="32"/>
        <v>Open - SINGH Rei</v>
      </c>
      <c r="C1093" s="1441" t="str">
        <f t="shared" si="33"/>
        <v>SINGH Rei</v>
      </c>
      <c r="D1093" s="1428" t="s">
        <v>889</v>
      </c>
      <c r="E1093" s="1429">
        <v>1081</v>
      </c>
      <c r="F1093" s="2197" t="s">
        <v>14947</v>
      </c>
      <c r="G1093" s="2198" t="s">
        <v>14804</v>
      </c>
      <c r="H1093" s="2197" t="s">
        <v>14806</v>
      </c>
      <c r="I1093" s="2199" t="s">
        <v>7916</v>
      </c>
      <c r="J1093" s="2196">
        <v>1.5</v>
      </c>
    </row>
    <row r="1094" spans="2:10" ht="13.5" thickBot="1" x14ac:dyDescent="0.25">
      <c r="B1094" s="392" t="str">
        <f t="shared" si="32"/>
        <v>Open - ONITSUKA Masao</v>
      </c>
      <c r="C1094" s="1441" t="str">
        <f t="shared" si="33"/>
        <v>ONITSUKA Masao</v>
      </c>
      <c r="D1094" s="1428" t="s">
        <v>889</v>
      </c>
      <c r="E1094" s="1429">
        <v>1081</v>
      </c>
      <c r="F1094" s="2197" t="s">
        <v>16716</v>
      </c>
      <c r="G1094" s="2198" t="s">
        <v>15960</v>
      </c>
      <c r="H1094" s="2197" t="s">
        <v>5508</v>
      </c>
      <c r="I1094" s="2199" t="s">
        <v>1041</v>
      </c>
      <c r="J1094" s="2196">
        <v>1.5</v>
      </c>
    </row>
    <row r="1095" spans="2:10" ht="13.5" thickBot="1" x14ac:dyDescent="0.25">
      <c r="B1095" s="392" t="str">
        <f t="shared" ref="B1095:B1158" si="34">CONCATENATE(D1095," - ",C1095)</f>
        <v>Open - HOLMES Peter</v>
      </c>
      <c r="C1095" s="1441" t="str">
        <f t="shared" ref="C1095:C1158" si="35">CONCATENATE(UPPER(F1095)," ",G1095)</f>
        <v>HOLMES Peter</v>
      </c>
      <c r="D1095" s="1428" t="s">
        <v>889</v>
      </c>
      <c r="E1095" s="1429">
        <v>1081</v>
      </c>
      <c r="F1095" s="2197" t="s">
        <v>14214</v>
      </c>
      <c r="G1095" s="2198" t="s">
        <v>3194</v>
      </c>
      <c r="H1095" s="2197" t="s">
        <v>17082</v>
      </c>
      <c r="I1095" s="2199" t="s">
        <v>1013</v>
      </c>
      <c r="J1095" s="2196">
        <v>1.5</v>
      </c>
    </row>
    <row r="1096" spans="2:10" ht="13.5" thickBot="1" x14ac:dyDescent="0.25">
      <c r="B1096" s="392" t="str">
        <f t="shared" si="34"/>
        <v>Open - LEDOIT Cyril</v>
      </c>
      <c r="C1096" s="1441" t="str">
        <f t="shared" si="35"/>
        <v>LEDOIT Cyril</v>
      </c>
      <c r="D1096" s="1428" t="s">
        <v>889</v>
      </c>
      <c r="E1096" s="1429">
        <v>1081</v>
      </c>
      <c r="F1096" s="2197" t="s">
        <v>14531</v>
      </c>
      <c r="G1096" s="2198" t="s">
        <v>8229</v>
      </c>
      <c r="H1096" s="2197" t="s">
        <v>15269</v>
      </c>
      <c r="I1096" s="2199" t="s">
        <v>1019</v>
      </c>
      <c r="J1096" s="2196">
        <v>1.5</v>
      </c>
    </row>
    <row r="1097" spans="2:10" ht="13.5" thickBot="1" x14ac:dyDescent="0.25">
      <c r="B1097" s="392" t="str">
        <f t="shared" si="34"/>
        <v>Open - PATEL Shiv</v>
      </c>
      <c r="C1097" s="1441" t="str">
        <f t="shared" si="35"/>
        <v>PATEL Shiv</v>
      </c>
      <c r="D1097" s="1428" t="s">
        <v>889</v>
      </c>
      <c r="E1097" s="1429">
        <v>1081</v>
      </c>
      <c r="F1097" s="2197" t="s">
        <v>16721</v>
      </c>
      <c r="G1097" s="2198" t="s">
        <v>14100</v>
      </c>
      <c r="H1097" s="2197" t="s">
        <v>13606</v>
      </c>
      <c r="I1097" s="2199" t="s">
        <v>1079</v>
      </c>
      <c r="J1097" s="2196">
        <v>1.5</v>
      </c>
    </row>
    <row r="1098" spans="2:10" ht="13.5" thickBot="1" x14ac:dyDescent="0.25">
      <c r="B1098" s="392" t="str">
        <f t="shared" si="34"/>
        <v>Open - CHANOS Michail K</v>
      </c>
      <c r="C1098" s="1441" t="str">
        <f t="shared" si="35"/>
        <v>CHANOS Michail K</v>
      </c>
      <c r="D1098" s="1428" t="s">
        <v>889</v>
      </c>
      <c r="E1098" s="1429">
        <v>1081</v>
      </c>
      <c r="F1098" s="2197" t="s">
        <v>11184</v>
      </c>
      <c r="G1098" s="2198" t="s">
        <v>10062</v>
      </c>
      <c r="H1098" s="2197" t="s">
        <v>14596</v>
      </c>
      <c r="I1098" s="2199" t="s">
        <v>1025</v>
      </c>
      <c r="J1098" s="2196">
        <v>1.5</v>
      </c>
    </row>
    <row r="1099" spans="2:10" ht="13.5" thickBot="1" x14ac:dyDescent="0.25">
      <c r="B1099" s="392" t="str">
        <f t="shared" si="34"/>
        <v>Open - STEWART Gary</v>
      </c>
      <c r="C1099" s="1441" t="str">
        <f t="shared" si="35"/>
        <v>STEWART Gary</v>
      </c>
      <c r="D1099" s="1428" t="s">
        <v>889</v>
      </c>
      <c r="E1099" s="1429">
        <v>1081</v>
      </c>
      <c r="F1099" s="2197" t="s">
        <v>11426</v>
      </c>
      <c r="G1099" s="2198" t="s">
        <v>3192</v>
      </c>
      <c r="H1099" s="2197" t="s">
        <v>14787</v>
      </c>
      <c r="I1099" s="2199" t="s">
        <v>1069</v>
      </c>
      <c r="J1099" s="2196">
        <v>1.5</v>
      </c>
    </row>
    <row r="1100" spans="2:10" ht="13.5" thickBot="1" x14ac:dyDescent="0.25">
      <c r="B1100" s="392" t="str">
        <f t="shared" si="34"/>
        <v>Open - CAMPBELL Martin</v>
      </c>
      <c r="C1100" s="1441" t="str">
        <f t="shared" si="35"/>
        <v>CAMPBELL Martin</v>
      </c>
      <c r="D1100" s="1428" t="s">
        <v>889</v>
      </c>
      <c r="E1100" s="1429">
        <v>1081</v>
      </c>
      <c r="F1100" s="2197" t="s">
        <v>14230</v>
      </c>
      <c r="G1100" s="2198" t="s">
        <v>3408</v>
      </c>
      <c r="H1100" s="2197" t="s">
        <v>13600</v>
      </c>
      <c r="I1100" s="2199" t="s">
        <v>1069</v>
      </c>
      <c r="J1100" s="2196">
        <v>1.5</v>
      </c>
    </row>
    <row r="1101" spans="2:10" ht="13.5" thickBot="1" x14ac:dyDescent="0.25">
      <c r="B1101" s="392" t="str">
        <f t="shared" si="34"/>
        <v>Open - KAKAVAS Ioannis</v>
      </c>
      <c r="C1101" s="1441" t="str">
        <f t="shared" si="35"/>
        <v>KAKAVAS Ioannis</v>
      </c>
      <c r="D1101" s="1428" t="s">
        <v>889</v>
      </c>
      <c r="E1101" s="1429">
        <v>1081</v>
      </c>
      <c r="F1101" s="2197" t="s">
        <v>14174</v>
      </c>
      <c r="G1101" s="2198" t="s">
        <v>3350</v>
      </c>
      <c r="H1101" s="2197" t="s">
        <v>10251</v>
      </c>
      <c r="I1101" s="2199" t="s">
        <v>1025</v>
      </c>
      <c r="J1101" s="2196">
        <v>1.5</v>
      </c>
    </row>
    <row r="1102" spans="2:10" ht="13.5" thickBot="1" x14ac:dyDescent="0.25">
      <c r="B1102" s="392" t="str">
        <f t="shared" si="34"/>
        <v>Open - GRÜNBERG Gerhard</v>
      </c>
      <c r="C1102" s="1441" t="str">
        <f t="shared" si="35"/>
        <v>GRÜNBERG Gerhard</v>
      </c>
      <c r="D1102" s="1428" t="s">
        <v>889</v>
      </c>
      <c r="E1102" s="1429">
        <v>1081</v>
      </c>
      <c r="F1102" s="2197" t="s">
        <v>11418</v>
      </c>
      <c r="G1102" s="2198" t="s">
        <v>3609</v>
      </c>
      <c r="H1102" s="2197" t="s">
        <v>14585</v>
      </c>
      <c r="I1102" s="2199" t="s">
        <v>1021</v>
      </c>
      <c r="J1102" s="2196">
        <v>1.5</v>
      </c>
    </row>
    <row r="1103" spans="2:10" ht="13.5" thickBot="1" x14ac:dyDescent="0.25">
      <c r="B1103" s="392" t="str">
        <f t="shared" si="34"/>
        <v>Open - KALOGERAKOS Michail</v>
      </c>
      <c r="C1103" s="1441" t="str">
        <f t="shared" si="35"/>
        <v>KALOGERAKOS Michail</v>
      </c>
      <c r="D1103" s="1428" t="s">
        <v>889</v>
      </c>
      <c r="E1103" s="1429">
        <v>1081</v>
      </c>
      <c r="F1103" s="2197" t="s">
        <v>8745</v>
      </c>
      <c r="G1103" s="2198" t="s">
        <v>8248</v>
      </c>
      <c r="H1103" s="2197" t="s">
        <v>2760</v>
      </c>
      <c r="I1103" s="2199" t="s">
        <v>1025</v>
      </c>
      <c r="J1103" s="2196">
        <v>1.5</v>
      </c>
    </row>
    <row r="1104" spans="2:10" ht="13.5" thickBot="1" x14ac:dyDescent="0.25">
      <c r="B1104" s="392" t="str">
        <f t="shared" si="34"/>
        <v>Open - MENEGHETTI (62) Alessandro</v>
      </c>
      <c r="C1104" s="1441" t="str">
        <f t="shared" si="35"/>
        <v>MENEGHETTI (62) Alessandro</v>
      </c>
      <c r="D1104" s="1428" t="s">
        <v>889</v>
      </c>
      <c r="E1104" s="1429">
        <v>1098</v>
      </c>
      <c r="F1104" s="2197" t="s">
        <v>16769</v>
      </c>
      <c r="G1104" s="2198" t="s">
        <v>3125</v>
      </c>
      <c r="H1104" s="2197" t="s">
        <v>7878</v>
      </c>
      <c r="I1104" s="2199" t="s">
        <v>1037</v>
      </c>
      <c r="J1104" s="2196">
        <v>1</v>
      </c>
    </row>
    <row r="1105" spans="2:10" ht="13.5" thickBot="1" x14ac:dyDescent="0.25">
      <c r="B1105" s="392" t="str">
        <f t="shared" si="34"/>
        <v>Open - LIMPENS Fabian</v>
      </c>
      <c r="C1105" s="1441" t="str">
        <f t="shared" si="35"/>
        <v>LIMPENS Fabian</v>
      </c>
      <c r="D1105" s="1428" t="s">
        <v>889</v>
      </c>
      <c r="E1105" s="1429">
        <v>1098</v>
      </c>
      <c r="F1105" s="2197" t="s">
        <v>16765</v>
      </c>
      <c r="G1105" s="2198" t="s">
        <v>11518</v>
      </c>
      <c r="H1105" s="2197" t="s">
        <v>15816</v>
      </c>
      <c r="I1105" s="2199" t="s">
        <v>990</v>
      </c>
      <c r="J1105" s="2196">
        <v>1</v>
      </c>
    </row>
    <row r="1106" spans="2:10" ht="13.5" thickBot="1" x14ac:dyDescent="0.25">
      <c r="B1106" s="392" t="str">
        <f t="shared" si="34"/>
        <v>Open - IDOUX Jérémy</v>
      </c>
      <c r="C1106" s="1441" t="str">
        <f t="shared" si="35"/>
        <v>IDOUX Jérémy</v>
      </c>
      <c r="D1106" s="1428" t="s">
        <v>889</v>
      </c>
      <c r="E1106" s="1429">
        <v>1098</v>
      </c>
      <c r="F1106" s="2197" t="s">
        <v>18148</v>
      </c>
      <c r="G1106" s="2198" t="s">
        <v>3311</v>
      </c>
      <c r="H1106" s="2197" t="s">
        <v>15605</v>
      </c>
      <c r="I1106" s="2199" t="s">
        <v>1019</v>
      </c>
      <c r="J1106" s="2196">
        <v>1</v>
      </c>
    </row>
    <row r="1107" spans="2:10" ht="13.5" thickBot="1" x14ac:dyDescent="0.25">
      <c r="B1107" s="392" t="str">
        <f t="shared" si="34"/>
        <v>Open - ELEFTHERIOU Stefanos</v>
      </c>
      <c r="C1107" s="1441" t="str">
        <f t="shared" si="35"/>
        <v>ELEFTHERIOU Stefanos</v>
      </c>
      <c r="D1107" s="1428" t="s">
        <v>889</v>
      </c>
      <c r="E1107" s="1429">
        <v>1098</v>
      </c>
      <c r="F1107" s="2197" t="s">
        <v>16700</v>
      </c>
      <c r="G1107" s="2198" t="s">
        <v>3501</v>
      </c>
      <c r="H1107" s="2197" t="s">
        <v>2798</v>
      </c>
      <c r="I1107" s="2199" t="s">
        <v>1005</v>
      </c>
      <c r="J1107" s="2196">
        <v>1</v>
      </c>
    </row>
    <row r="1108" spans="2:10" ht="13.5" thickBot="1" x14ac:dyDescent="0.25">
      <c r="B1108" s="392" t="str">
        <f t="shared" si="34"/>
        <v>Open - YOSHIHIRO Kazuhito</v>
      </c>
      <c r="C1108" s="1441" t="str">
        <f t="shared" si="35"/>
        <v>YOSHIHIRO Kazuhito</v>
      </c>
      <c r="D1108" s="1428" t="s">
        <v>889</v>
      </c>
      <c r="E1108" s="1429">
        <v>1098</v>
      </c>
      <c r="F1108" s="2197" t="s">
        <v>18149</v>
      </c>
      <c r="G1108" s="2198" t="s">
        <v>18034</v>
      </c>
      <c r="H1108" s="2197" t="s">
        <v>17234</v>
      </c>
      <c r="I1108" s="2199" t="s">
        <v>1041</v>
      </c>
      <c r="J1108" s="2196">
        <v>1</v>
      </c>
    </row>
    <row r="1109" spans="2:10" ht="13.5" thickBot="1" x14ac:dyDescent="0.25">
      <c r="B1109" s="392" t="str">
        <f t="shared" si="34"/>
        <v>Open - HUET Olivia</v>
      </c>
      <c r="C1109" s="1441" t="str">
        <f t="shared" si="35"/>
        <v>HUET Olivia</v>
      </c>
      <c r="D1109" s="1428" t="s">
        <v>889</v>
      </c>
      <c r="E1109" s="1429">
        <v>1098</v>
      </c>
      <c r="F1109" s="2197" t="s">
        <v>16793</v>
      </c>
      <c r="G1109" s="2198" t="s">
        <v>15679</v>
      </c>
      <c r="H1109" s="2197" t="s">
        <v>15681</v>
      </c>
      <c r="I1109" s="2199" t="s">
        <v>990</v>
      </c>
      <c r="J1109" s="2196">
        <v>1</v>
      </c>
    </row>
    <row r="1110" spans="2:10" ht="13.5" thickBot="1" x14ac:dyDescent="0.25">
      <c r="B1110" s="392" t="str">
        <f t="shared" si="34"/>
        <v>Open - HLUPIC Jean-Michel</v>
      </c>
      <c r="C1110" s="1441" t="str">
        <f t="shared" si="35"/>
        <v>HLUPIC Jean-Michel</v>
      </c>
      <c r="D1110" s="1428" t="s">
        <v>889</v>
      </c>
      <c r="E1110" s="1429">
        <v>1098</v>
      </c>
      <c r="F1110" s="2197" t="s">
        <v>18150</v>
      </c>
      <c r="G1110" s="2198" t="s">
        <v>17560</v>
      </c>
      <c r="H1110" s="2197" t="s">
        <v>15605</v>
      </c>
      <c r="I1110" s="2199" t="s">
        <v>1019</v>
      </c>
      <c r="J1110" s="2196">
        <v>1</v>
      </c>
    </row>
    <row r="1111" spans="2:10" ht="13.5" thickBot="1" x14ac:dyDescent="0.25">
      <c r="B1111" s="392" t="str">
        <f t="shared" si="34"/>
        <v>Open - KOUMAS Maximos</v>
      </c>
      <c r="C1111" s="1441" t="str">
        <f t="shared" si="35"/>
        <v>KOUMAS Maximos</v>
      </c>
      <c r="D1111" s="1428" t="s">
        <v>889</v>
      </c>
      <c r="E1111" s="1429">
        <v>1098</v>
      </c>
      <c r="F1111" s="2197" t="s">
        <v>17457</v>
      </c>
      <c r="G1111" s="2198" t="s">
        <v>7309</v>
      </c>
      <c r="H1111" s="2197" t="s">
        <v>2798</v>
      </c>
      <c r="I1111" s="2199" t="s">
        <v>1005</v>
      </c>
      <c r="J1111" s="2196">
        <v>1</v>
      </c>
    </row>
    <row r="1112" spans="2:10" ht="13.5" thickBot="1" x14ac:dyDescent="0.25">
      <c r="B1112" s="392" t="str">
        <f t="shared" si="34"/>
        <v>Open - GIULIANELLI Daniele</v>
      </c>
      <c r="C1112" s="1441" t="str">
        <f t="shared" si="35"/>
        <v>GIULIANELLI Daniele</v>
      </c>
      <c r="D1112" s="1428" t="s">
        <v>889</v>
      </c>
      <c r="E1112" s="1429">
        <v>1098</v>
      </c>
      <c r="F1112" s="2197" t="s">
        <v>18151</v>
      </c>
      <c r="G1112" s="2198" t="s">
        <v>3022</v>
      </c>
      <c r="H1112" s="2197" t="s">
        <v>11180</v>
      </c>
      <c r="I1112" s="2199" t="s">
        <v>1074</v>
      </c>
      <c r="J1112" s="2196">
        <v>1</v>
      </c>
    </row>
    <row r="1113" spans="2:10" ht="13.5" thickBot="1" x14ac:dyDescent="0.25">
      <c r="B1113" s="392" t="str">
        <f t="shared" si="34"/>
        <v>Open - DIRICK Vincent</v>
      </c>
      <c r="C1113" s="1441" t="str">
        <f t="shared" si="35"/>
        <v>DIRICK Vincent</v>
      </c>
      <c r="D1113" s="1428" t="s">
        <v>889</v>
      </c>
      <c r="E1113" s="1429">
        <v>1098</v>
      </c>
      <c r="F1113" s="2197" t="s">
        <v>14240</v>
      </c>
      <c r="G1113" s="2198" t="s">
        <v>3457</v>
      </c>
      <c r="H1113" s="2197" t="s">
        <v>15681</v>
      </c>
      <c r="I1113" s="2199" t="s">
        <v>990</v>
      </c>
      <c r="J1113" s="2196">
        <v>1</v>
      </c>
    </row>
    <row r="1114" spans="2:10" ht="13.5" thickBot="1" x14ac:dyDescent="0.25">
      <c r="B1114" s="392" t="str">
        <f t="shared" si="34"/>
        <v>Open - NIKOLAU Marios</v>
      </c>
      <c r="C1114" s="1441" t="str">
        <f t="shared" si="35"/>
        <v>NIKOLAU Marios</v>
      </c>
      <c r="D1114" s="1428" t="s">
        <v>889</v>
      </c>
      <c r="E1114" s="1429">
        <v>1098</v>
      </c>
      <c r="F1114" s="2197" t="s">
        <v>17458</v>
      </c>
      <c r="G1114" s="2198" t="s">
        <v>3557</v>
      </c>
      <c r="H1114" s="2197" t="s">
        <v>2798</v>
      </c>
      <c r="I1114" s="2199" t="s">
        <v>1005</v>
      </c>
      <c r="J1114" s="2196">
        <v>1</v>
      </c>
    </row>
    <row r="1115" spans="2:10" ht="13.5" thickBot="1" x14ac:dyDescent="0.25">
      <c r="B1115" s="392" t="str">
        <f t="shared" si="34"/>
        <v>Open - CLAYDON Michele</v>
      </c>
      <c r="C1115" s="1441" t="str">
        <f t="shared" si="35"/>
        <v>CLAYDON Michele</v>
      </c>
      <c r="D1115" s="1428" t="s">
        <v>889</v>
      </c>
      <c r="E1115" s="1429">
        <v>1098</v>
      </c>
      <c r="F1115" s="2197" t="s">
        <v>17628</v>
      </c>
      <c r="G1115" s="2198" t="s">
        <v>3216</v>
      </c>
      <c r="H1115" s="2197" t="s">
        <v>14864</v>
      </c>
      <c r="I1115" s="2199" t="s">
        <v>1013</v>
      </c>
      <c r="J1115" s="2196">
        <v>1</v>
      </c>
    </row>
    <row r="1116" spans="2:10" ht="13.5" thickBot="1" x14ac:dyDescent="0.25">
      <c r="B1116" s="392" t="str">
        <f t="shared" si="34"/>
        <v>Open - FORSTER-FAKE Andrew</v>
      </c>
      <c r="C1116" s="1441" t="str">
        <f t="shared" si="35"/>
        <v>FORSTER-FAKE Andrew</v>
      </c>
      <c r="D1116" s="1428" t="s">
        <v>889</v>
      </c>
      <c r="E1116" s="1429">
        <v>1098</v>
      </c>
      <c r="F1116" s="2197" t="s">
        <v>16735</v>
      </c>
      <c r="G1116" s="2198" t="s">
        <v>3105</v>
      </c>
      <c r="H1116" s="2197" t="s">
        <v>14867</v>
      </c>
      <c r="I1116" s="2199" t="s">
        <v>1013</v>
      </c>
      <c r="J1116" s="2196">
        <v>1</v>
      </c>
    </row>
    <row r="1117" spans="2:10" ht="13.5" thickBot="1" x14ac:dyDescent="0.25">
      <c r="B1117" s="392" t="str">
        <f t="shared" si="34"/>
        <v>Open - TROESTLER Charlotte</v>
      </c>
      <c r="C1117" s="1441" t="str">
        <f t="shared" si="35"/>
        <v>TROESTLER Charlotte</v>
      </c>
      <c r="D1117" s="1428" t="s">
        <v>889</v>
      </c>
      <c r="E1117" s="1429">
        <v>1098</v>
      </c>
      <c r="F1117" s="2197" t="s">
        <v>18118</v>
      </c>
      <c r="G1117" s="2198" t="s">
        <v>5661</v>
      </c>
      <c r="H1117" s="2197" t="s">
        <v>17841</v>
      </c>
      <c r="I1117" s="2199" t="s">
        <v>1019</v>
      </c>
      <c r="J1117" s="2196">
        <v>1</v>
      </c>
    </row>
    <row r="1118" spans="2:10" ht="13.5" thickBot="1" x14ac:dyDescent="0.25">
      <c r="B1118" s="392" t="str">
        <f t="shared" si="34"/>
        <v>Open - GENVO Stéphane</v>
      </c>
      <c r="C1118" s="1441" t="str">
        <f t="shared" si="35"/>
        <v>GENVO Stéphane</v>
      </c>
      <c r="D1118" s="1428" t="s">
        <v>889</v>
      </c>
      <c r="E1118" s="1429">
        <v>1098</v>
      </c>
      <c r="F1118" s="2197" t="s">
        <v>18152</v>
      </c>
      <c r="G1118" s="2198" t="s">
        <v>3624</v>
      </c>
      <c r="H1118" s="2197" t="s">
        <v>15605</v>
      </c>
      <c r="I1118" s="2199" t="s">
        <v>1019</v>
      </c>
      <c r="J1118" s="2196">
        <v>1</v>
      </c>
    </row>
    <row r="1119" spans="2:10" ht="13.5" thickBot="1" x14ac:dyDescent="0.25">
      <c r="B1119" s="392" t="str">
        <f t="shared" si="34"/>
        <v>Open - WENLOCK Sean</v>
      </c>
      <c r="C1119" s="1441" t="str">
        <f t="shared" si="35"/>
        <v>WENLOCK Sean</v>
      </c>
      <c r="D1119" s="1428" t="s">
        <v>889</v>
      </c>
      <c r="E1119" s="1429">
        <v>1098</v>
      </c>
      <c r="F1119" s="2197" t="s">
        <v>16736</v>
      </c>
      <c r="G1119" s="2198" t="s">
        <v>6945</v>
      </c>
      <c r="H1119" s="2197" t="s">
        <v>13613</v>
      </c>
      <c r="I1119" s="2199" t="s">
        <v>1013</v>
      </c>
      <c r="J1119" s="2196">
        <v>1</v>
      </c>
    </row>
    <row r="1120" spans="2:10" ht="13.5" thickBot="1" x14ac:dyDescent="0.25">
      <c r="B1120" s="392" t="str">
        <f t="shared" si="34"/>
        <v>Open - PEDETTI Aldo</v>
      </c>
      <c r="C1120" s="1441" t="str">
        <f t="shared" si="35"/>
        <v>PEDETTI Aldo</v>
      </c>
      <c r="D1120" s="1428" t="s">
        <v>889</v>
      </c>
      <c r="E1120" s="1429">
        <v>1098</v>
      </c>
      <c r="F1120" s="2197" t="s">
        <v>18153</v>
      </c>
      <c r="G1120" s="2198" t="s">
        <v>3642</v>
      </c>
      <c r="H1120" s="2197" t="s">
        <v>15446</v>
      </c>
      <c r="I1120" s="2199" t="s">
        <v>1019</v>
      </c>
      <c r="J1120" s="2196">
        <v>1</v>
      </c>
    </row>
    <row r="1121" spans="2:10" ht="13.5" thickBot="1" x14ac:dyDescent="0.25">
      <c r="B1121" s="392" t="str">
        <f t="shared" si="34"/>
        <v>Open - MOORE Nicky</v>
      </c>
      <c r="C1121" s="1441" t="str">
        <f t="shared" si="35"/>
        <v>MOORE Nicky</v>
      </c>
      <c r="D1121" s="1428" t="s">
        <v>889</v>
      </c>
      <c r="E1121" s="1429">
        <v>1098</v>
      </c>
      <c r="F1121" s="2197" t="s">
        <v>14273</v>
      </c>
      <c r="G1121" s="2198" t="s">
        <v>3069</v>
      </c>
      <c r="H1121" s="2197" t="s">
        <v>2764</v>
      </c>
      <c r="I1121" s="2199" t="s">
        <v>1033</v>
      </c>
      <c r="J1121" s="2196">
        <v>1</v>
      </c>
    </row>
    <row r="1122" spans="2:10" ht="13.5" thickBot="1" x14ac:dyDescent="0.25">
      <c r="B1122" s="392" t="str">
        <f t="shared" si="34"/>
        <v>Open - LUNARD Thierry</v>
      </c>
      <c r="C1122" s="1441" t="str">
        <f t="shared" si="35"/>
        <v>LUNARD Thierry</v>
      </c>
      <c r="D1122" s="1428" t="s">
        <v>889</v>
      </c>
      <c r="E1122" s="1429">
        <v>1098</v>
      </c>
      <c r="F1122" s="2197" t="s">
        <v>18154</v>
      </c>
      <c r="G1122" s="2198" t="s">
        <v>3332</v>
      </c>
      <c r="H1122" s="2197" t="s">
        <v>17121</v>
      </c>
      <c r="I1122" s="2199" t="s">
        <v>1019</v>
      </c>
      <c r="J1122" s="2196">
        <v>1</v>
      </c>
    </row>
    <row r="1123" spans="2:10" ht="13.5" thickBot="1" x14ac:dyDescent="0.25">
      <c r="B1123" s="392" t="str">
        <f t="shared" si="34"/>
        <v>Open - DUCKWORTH Riley</v>
      </c>
      <c r="C1123" s="1441" t="str">
        <f t="shared" si="35"/>
        <v>DUCKWORTH Riley</v>
      </c>
      <c r="D1123" s="1428" t="s">
        <v>889</v>
      </c>
      <c r="E1123" s="1429">
        <v>1098</v>
      </c>
      <c r="F1123" s="2197" t="s">
        <v>16738</v>
      </c>
      <c r="G1123" s="2198" t="s">
        <v>15497</v>
      </c>
      <c r="H1123" s="2197" t="s">
        <v>14359</v>
      </c>
      <c r="I1123" s="2199" t="s">
        <v>1013</v>
      </c>
      <c r="J1123" s="2196">
        <v>1</v>
      </c>
    </row>
    <row r="1124" spans="2:10" ht="13.5" thickBot="1" x14ac:dyDescent="0.25">
      <c r="B1124" s="392" t="str">
        <f t="shared" si="34"/>
        <v>Open - ARNAUDIN Thierry</v>
      </c>
      <c r="C1124" s="1441" t="str">
        <f t="shared" si="35"/>
        <v>ARNAUDIN Thierry</v>
      </c>
      <c r="D1124" s="1428" t="s">
        <v>889</v>
      </c>
      <c r="E1124" s="1429">
        <v>1098</v>
      </c>
      <c r="F1124" s="2197" t="s">
        <v>16734</v>
      </c>
      <c r="G1124" s="2198" t="s">
        <v>3332</v>
      </c>
      <c r="H1124" s="2197" t="s">
        <v>13838</v>
      </c>
      <c r="I1124" s="2199" t="s">
        <v>1019</v>
      </c>
      <c r="J1124" s="2196">
        <v>1</v>
      </c>
    </row>
    <row r="1125" spans="2:10" ht="13.5" thickBot="1" x14ac:dyDescent="0.25">
      <c r="B1125" s="392" t="str">
        <f t="shared" si="34"/>
        <v>Open - RAHMAN Max</v>
      </c>
      <c r="C1125" s="1441" t="str">
        <f t="shared" si="35"/>
        <v>RAHMAN Max</v>
      </c>
      <c r="D1125" s="1428" t="s">
        <v>889</v>
      </c>
      <c r="E1125" s="1429">
        <v>1098</v>
      </c>
      <c r="F1125" s="2197" t="s">
        <v>16732</v>
      </c>
      <c r="G1125" s="2198" t="s">
        <v>3710</v>
      </c>
      <c r="H1125" s="2197" t="s">
        <v>17082</v>
      </c>
      <c r="I1125" s="2199" t="s">
        <v>1013</v>
      </c>
      <c r="J1125" s="2196">
        <v>1</v>
      </c>
    </row>
    <row r="1126" spans="2:10" ht="13.5" thickBot="1" x14ac:dyDescent="0.25">
      <c r="B1126" s="392" t="str">
        <f t="shared" si="34"/>
        <v>Open - REGNIER Marc</v>
      </c>
      <c r="C1126" s="1441" t="str">
        <f t="shared" si="35"/>
        <v>REGNIER Marc</v>
      </c>
      <c r="D1126" s="1428" t="s">
        <v>889</v>
      </c>
      <c r="E1126" s="1429">
        <v>1098</v>
      </c>
      <c r="F1126" s="2197" t="s">
        <v>16739</v>
      </c>
      <c r="G1126" s="2198" t="s">
        <v>3208</v>
      </c>
      <c r="H1126" s="2197" t="s">
        <v>2795</v>
      </c>
      <c r="I1126" s="2199" t="s">
        <v>1019</v>
      </c>
      <c r="J1126" s="2196">
        <v>1</v>
      </c>
    </row>
    <row r="1127" spans="2:10" ht="13.5" thickBot="1" x14ac:dyDescent="0.25">
      <c r="B1127" s="392" t="str">
        <f t="shared" si="34"/>
        <v>Open - SATO Natsumi</v>
      </c>
      <c r="C1127" s="1441" t="str">
        <f t="shared" si="35"/>
        <v>SATO Natsumi</v>
      </c>
      <c r="D1127" s="1428" t="s">
        <v>889</v>
      </c>
      <c r="E1127" s="1429">
        <v>1098</v>
      </c>
      <c r="F1127" s="2197" t="s">
        <v>18105</v>
      </c>
      <c r="G1127" s="2198" t="s">
        <v>18031</v>
      </c>
      <c r="H1127" s="2197" t="s">
        <v>17234</v>
      </c>
      <c r="I1127" s="2199" t="s">
        <v>1041</v>
      </c>
      <c r="J1127" s="2196">
        <v>1</v>
      </c>
    </row>
    <row r="1128" spans="2:10" ht="13.5" thickBot="1" x14ac:dyDescent="0.25">
      <c r="B1128" s="392" t="str">
        <f t="shared" si="34"/>
        <v>Open - SATO Daiki</v>
      </c>
      <c r="C1128" s="1441" t="str">
        <f t="shared" si="35"/>
        <v>SATO Daiki</v>
      </c>
      <c r="D1128" s="1428" t="s">
        <v>889</v>
      </c>
      <c r="E1128" s="1429">
        <v>1098</v>
      </c>
      <c r="F1128" s="2197" t="s">
        <v>18105</v>
      </c>
      <c r="G1128" s="2198" t="s">
        <v>17263</v>
      </c>
      <c r="H1128" s="2197" t="s">
        <v>17234</v>
      </c>
      <c r="I1128" s="2199" t="s">
        <v>1041</v>
      </c>
      <c r="J1128" s="2196">
        <v>1</v>
      </c>
    </row>
    <row r="1129" spans="2:10" ht="13.5" thickBot="1" x14ac:dyDescent="0.25">
      <c r="B1129" s="392" t="str">
        <f t="shared" si="34"/>
        <v>Open - OGANE Katsuhiko</v>
      </c>
      <c r="C1129" s="1441" t="str">
        <f t="shared" si="35"/>
        <v>OGANE Katsuhiko</v>
      </c>
      <c r="D1129" s="1428" t="s">
        <v>889</v>
      </c>
      <c r="E1129" s="1429">
        <v>1098</v>
      </c>
      <c r="F1129" s="2197" t="s">
        <v>18155</v>
      </c>
      <c r="G1129" s="2198" t="s">
        <v>15576</v>
      </c>
      <c r="H1129" s="2197" t="s">
        <v>17238</v>
      </c>
      <c r="I1129" s="2199" t="s">
        <v>1041</v>
      </c>
      <c r="J1129" s="2196">
        <v>1</v>
      </c>
    </row>
    <row r="1130" spans="2:10" ht="13.5" thickBot="1" x14ac:dyDescent="0.25">
      <c r="B1130" s="392" t="str">
        <f t="shared" si="34"/>
        <v>Open - ROUFOSSE Philippe</v>
      </c>
      <c r="C1130" s="1441" t="str">
        <f t="shared" si="35"/>
        <v>ROUFOSSE Philippe</v>
      </c>
      <c r="D1130" s="1428" t="s">
        <v>889</v>
      </c>
      <c r="E1130" s="1429">
        <v>1098</v>
      </c>
      <c r="F1130" s="2197" t="s">
        <v>11507</v>
      </c>
      <c r="G1130" s="2198" t="s">
        <v>3312</v>
      </c>
      <c r="H1130" s="2197" t="s">
        <v>2779</v>
      </c>
      <c r="I1130" s="2199" t="s">
        <v>990</v>
      </c>
      <c r="J1130" s="2196">
        <v>1</v>
      </c>
    </row>
    <row r="1131" spans="2:10" ht="13.5" thickBot="1" x14ac:dyDescent="0.25">
      <c r="B1131" s="392" t="str">
        <f t="shared" si="34"/>
        <v>Open - SUGAWARA Sho</v>
      </c>
      <c r="C1131" s="1441" t="str">
        <f t="shared" si="35"/>
        <v>SUGAWARA Sho</v>
      </c>
      <c r="D1131" s="1428" t="s">
        <v>889</v>
      </c>
      <c r="E1131" s="1429">
        <v>1098</v>
      </c>
      <c r="F1131" s="2197" t="s">
        <v>18156</v>
      </c>
      <c r="G1131" s="2198" t="s">
        <v>17351</v>
      </c>
      <c r="H1131" s="2197" t="s">
        <v>17238</v>
      </c>
      <c r="I1131" s="2199" t="s">
        <v>1041</v>
      </c>
      <c r="J1131" s="2196">
        <v>1</v>
      </c>
    </row>
    <row r="1132" spans="2:10" ht="13.5" thickBot="1" x14ac:dyDescent="0.25">
      <c r="B1132" s="392" t="str">
        <f t="shared" si="34"/>
        <v>Open - ORR Gordon</v>
      </c>
      <c r="C1132" s="1441" t="str">
        <f t="shared" si="35"/>
        <v>ORR Gordon</v>
      </c>
      <c r="D1132" s="1428" t="s">
        <v>889</v>
      </c>
      <c r="E1132" s="1429">
        <v>1098</v>
      </c>
      <c r="F1132" s="2197" t="s">
        <v>17459</v>
      </c>
      <c r="G1132" s="2198" t="s">
        <v>17066</v>
      </c>
      <c r="H1132" s="2197" t="s">
        <v>13508</v>
      </c>
      <c r="I1132" s="2199" t="s">
        <v>986</v>
      </c>
      <c r="J1132" s="2196">
        <v>1</v>
      </c>
    </row>
    <row r="1133" spans="2:10" ht="13.5" thickBot="1" x14ac:dyDescent="0.25">
      <c r="B1133" s="392" t="str">
        <f t="shared" si="34"/>
        <v>Open - MCCORMICK James</v>
      </c>
      <c r="C1133" s="1441" t="str">
        <f t="shared" si="35"/>
        <v>MCCORMICK James</v>
      </c>
      <c r="D1133" s="1428" t="s">
        <v>889</v>
      </c>
      <c r="E1133" s="1429">
        <v>1098</v>
      </c>
      <c r="F1133" s="2197" t="s">
        <v>16728</v>
      </c>
      <c r="G1133" s="2198" t="s">
        <v>3349</v>
      </c>
      <c r="H1133" s="2197" t="s">
        <v>5304</v>
      </c>
      <c r="I1133" s="2199" t="s">
        <v>1013</v>
      </c>
      <c r="J1133" s="2196">
        <v>1</v>
      </c>
    </row>
    <row r="1134" spans="2:10" ht="13.5" thickBot="1" x14ac:dyDescent="0.25">
      <c r="B1134" s="392" t="str">
        <f t="shared" si="34"/>
        <v>Open - FOECHTERLE Martial</v>
      </c>
      <c r="C1134" s="1441" t="str">
        <f t="shared" si="35"/>
        <v>FOECHTERLE Martial</v>
      </c>
      <c r="D1134" s="1428" t="s">
        <v>889</v>
      </c>
      <c r="E1134" s="1429">
        <v>1098</v>
      </c>
      <c r="F1134" s="2197" t="s">
        <v>18157</v>
      </c>
      <c r="G1134" s="2198" t="s">
        <v>15559</v>
      </c>
      <c r="H1134" s="2197" t="s">
        <v>15446</v>
      </c>
      <c r="I1134" s="2199" t="s">
        <v>1019</v>
      </c>
      <c r="J1134" s="2196">
        <v>1</v>
      </c>
    </row>
    <row r="1135" spans="2:10" ht="13.5" thickBot="1" x14ac:dyDescent="0.25">
      <c r="B1135" s="392" t="str">
        <f t="shared" si="34"/>
        <v>Open - CASELLI Oscar</v>
      </c>
      <c r="C1135" s="1441" t="str">
        <f t="shared" si="35"/>
        <v>CASELLI Oscar</v>
      </c>
      <c r="D1135" s="1428" t="s">
        <v>889</v>
      </c>
      <c r="E1135" s="1429">
        <v>1098</v>
      </c>
      <c r="F1135" s="2197" t="s">
        <v>18158</v>
      </c>
      <c r="G1135" s="2198" t="s">
        <v>17902</v>
      </c>
      <c r="H1135" s="2197" t="s">
        <v>9701</v>
      </c>
      <c r="I1135" s="2199" t="s">
        <v>1037</v>
      </c>
      <c r="J1135" s="2196">
        <v>1</v>
      </c>
    </row>
    <row r="1136" spans="2:10" ht="13.5" thickBot="1" x14ac:dyDescent="0.25">
      <c r="B1136" s="392" t="str">
        <f t="shared" si="34"/>
        <v>Open - CALLOT Francis</v>
      </c>
      <c r="C1136" s="1441" t="str">
        <f t="shared" si="35"/>
        <v>CALLOT Francis</v>
      </c>
      <c r="D1136" s="1428" t="s">
        <v>889</v>
      </c>
      <c r="E1136" s="1429">
        <v>1098</v>
      </c>
      <c r="F1136" s="2197" t="s">
        <v>18159</v>
      </c>
      <c r="G1136" s="2198" t="s">
        <v>3376</v>
      </c>
      <c r="H1136" s="2197" t="s">
        <v>15446</v>
      </c>
      <c r="I1136" s="2199" t="s">
        <v>1019</v>
      </c>
      <c r="J1136" s="2196">
        <v>1</v>
      </c>
    </row>
    <row r="1137" spans="2:10" ht="13.5" thickBot="1" x14ac:dyDescent="0.25">
      <c r="B1137" s="392" t="str">
        <f t="shared" si="34"/>
        <v>Open - FURLANI Andrea</v>
      </c>
      <c r="C1137" s="1441" t="str">
        <f t="shared" si="35"/>
        <v>FURLANI Andrea</v>
      </c>
      <c r="D1137" s="1428" t="s">
        <v>889</v>
      </c>
      <c r="E1137" s="1429">
        <v>1098</v>
      </c>
      <c r="F1137" s="2197" t="s">
        <v>18160</v>
      </c>
      <c r="G1137" s="2198" t="s">
        <v>3027</v>
      </c>
      <c r="H1137" s="2197" t="s">
        <v>13312</v>
      </c>
      <c r="I1137" s="2199" t="s">
        <v>1037</v>
      </c>
      <c r="J1137" s="2196">
        <v>1</v>
      </c>
    </row>
    <row r="1138" spans="2:10" ht="13.5" thickBot="1" x14ac:dyDescent="0.25">
      <c r="B1138" s="392" t="str">
        <f t="shared" si="34"/>
        <v>Open - DUJARDIN Eric</v>
      </c>
      <c r="C1138" s="1441" t="str">
        <f t="shared" si="35"/>
        <v>DUJARDIN Eric</v>
      </c>
      <c r="D1138" s="1428" t="s">
        <v>889</v>
      </c>
      <c r="E1138" s="1429">
        <v>1098</v>
      </c>
      <c r="F1138" s="2197" t="s">
        <v>18161</v>
      </c>
      <c r="G1138" s="2198" t="s">
        <v>3044</v>
      </c>
      <c r="H1138" s="2197" t="s">
        <v>17121</v>
      </c>
      <c r="I1138" s="2199" t="s">
        <v>1019</v>
      </c>
      <c r="J1138" s="2196">
        <v>1</v>
      </c>
    </row>
    <row r="1139" spans="2:10" ht="13.5" thickBot="1" x14ac:dyDescent="0.25">
      <c r="B1139" s="392" t="str">
        <f t="shared" si="34"/>
        <v>Open - LI PUMA Vittorio Giuseppe</v>
      </c>
      <c r="C1139" s="1441" t="str">
        <f t="shared" si="35"/>
        <v>LI PUMA Vittorio Giuseppe</v>
      </c>
      <c r="D1139" s="1428" t="s">
        <v>889</v>
      </c>
      <c r="E1139" s="1429">
        <v>1098</v>
      </c>
      <c r="F1139" s="2197" t="s">
        <v>18162</v>
      </c>
      <c r="G1139" s="2198" t="s">
        <v>15809</v>
      </c>
      <c r="H1139" s="2197" t="s">
        <v>2773</v>
      </c>
      <c r="I1139" s="2199" t="s">
        <v>1037</v>
      </c>
      <c r="J1139" s="2196">
        <v>1</v>
      </c>
    </row>
    <row r="1140" spans="2:10" ht="13.5" thickBot="1" x14ac:dyDescent="0.25">
      <c r="B1140" s="392" t="str">
        <f t="shared" si="34"/>
        <v>Open - PARMENTIER Fabrice</v>
      </c>
      <c r="C1140" s="1441" t="str">
        <f t="shared" si="35"/>
        <v>PARMENTIER Fabrice</v>
      </c>
      <c r="D1140" s="1428" t="s">
        <v>889</v>
      </c>
      <c r="E1140" s="1429">
        <v>1098</v>
      </c>
      <c r="F1140" s="2197" t="s">
        <v>18163</v>
      </c>
      <c r="G1140" s="2198" t="s">
        <v>14356</v>
      </c>
      <c r="H1140" s="2197" t="s">
        <v>15446</v>
      </c>
      <c r="I1140" s="2199" t="s">
        <v>1019</v>
      </c>
      <c r="J1140" s="2196">
        <v>1</v>
      </c>
    </row>
    <row r="1141" spans="2:10" ht="13.5" thickBot="1" x14ac:dyDescent="0.25">
      <c r="B1141" s="392" t="str">
        <f t="shared" si="34"/>
        <v>Open - ROSSI Filippo</v>
      </c>
      <c r="C1141" s="1441" t="str">
        <f t="shared" si="35"/>
        <v>ROSSI Filippo</v>
      </c>
      <c r="D1141" s="1428" t="s">
        <v>889</v>
      </c>
      <c r="E1141" s="1429">
        <v>1098</v>
      </c>
      <c r="F1141" s="2197" t="s">
        <v>16817</v>
      </c>
      <c r="G1141" s="2198" t="s">
        <v>3340</v>
      </c>
      <c r="H1141" s="2197" t="s">
        <v>7873</v>
      </c>
      <c r="I1141" s="2199" t="s">
        <v>1037</v>
      </c>
      <c r="J1141" s="2196">
        <v>1</v>
      </c>
    </row>
    <row r="1142" spans="2:10" ht="13.5" thickBot="1" x14ac:dyDescent="0.25">
      <c r="B1142" s="392" t="str">
        <f t="shared" si="34"/>
        <v>Open - LAURENT Francis</v>
      </c>
      <c r="C1142" s="1441" t="str">
        <f t="shared" si="35"/>
        <v>LAURENT Francis</v>
      </c>
      <c r="D1142" s="1428" t="s">
        <v>889</v>
      </c>
      <c r="E1142" s="1429">
        <v>1098</v>
      </c>
      <c r="F1142" s="2197" t="s">
        <v>14132</v>
      </c>
      <c r="G1142" s="2198" t="s">
        <v>3376</v>
      </c>
      <c r="H1142" s="2197" t="s">
        <v>15605</v>
      </c>
      <c r="I1142" s="2199" t="s">
        <v>1019</v>
      </c>
      <c r="J1142" s="2196">
        <v>1</v>
      </c>
    </row>
    <row r="1143" spans="2:10" ht="13.5" thickBot="1" x14ac:dyDescent="0.25">
      <c r="B1143" s="392" t="str">
        <f t="shared" si="34"/>
        <v>Open - HOMMA Takumi</v>
      </c>
      <c r="C1143" s="1441" t="str">
        <f t="shared" si="35"/>
        <v>HOMMA Takumi</v>
      </c>
      <c r="D1143" s="1428" t="s">
        <v>889</v>
      </c>
      <c r="E1143" s="1429">
        <v>1098</v>
      </c>
      <c r="F1143" s="2197" t="s">
        <v>18164</v>
      </c>
      <c r="G1143" s="2198" t="s">
        <v>17306</v>
      </c>
      <c r="H1143" s="2197" t="s">
        <v>17301</v>
      </c>
      <c r="I1143" s="2199" t="s">
        <v>1041</v>
      </c>
      <c r="J1143" s="2196">
        <v>1</v>
      </c>
    </row>
    <row r="1144" spans="2:10" ht="13.5" thickBot="1" x14ac:dyDescent="0.25">
      <c r="B1144" s="392" t="str">
        <f t="shared" si="34"/>
        <v>Open - GENVO Florian</v>
      </c>
      <c r="C1144" s="1441" t="str">
        <f t="shared" si="35"/>
        <v>GENVO Florian</v>
      </c>
      <c r="D1144" s="1428" t="s">
        <v>889</v>
      </c>
      <c r="E1144" s="1429">
        <v>1098</v>
      </c>
      <c r="F1144" s="2197" t="s">
        <v>18152</v>
      </c>
      <c r="G1144" s="2198" t="s">
        <v>3358</v>
      </c>
      <c r="H1144" s="2197" t="s">
        <v>15605</v>
      </c>
      <c r="I1144" s="2199" t="s">
        <v>1019</v>
      </c>
      <c r="J1144" s="2196">
        <v>1</v>
      </c>
    </row>
    <row r="1145" spans="2:10" ht="13.5" thickBot="1" x14ac:dyDescent="0.25">
      <c r="B1145" s="392" t="str">
        <f t="shared" si="34"/>
        <v>Open - TODA Atsushi</v>
      </c>
      <c r="C1145" s="1441" t="str">
        <f t="shared" si="35"/>
        <v>TODA Atsushi</v>
      </c>
      <c r="D1145" s="1428" t="s">
        <v>889</v>
      </c>
      <c r="E1145" s="1429">
        <v>1098</v>
      </c>
      <c r="F1145" s="2197" t="s">
        <v>18165</v>
      </c>
      <c r="G1145" s="2198" t="s">
        <v>18017</v>
      </c>
      <c r="H1145" s="2197" t="s">
        <v>17301</v>
      </c>
      <c r="I1145" s="2199" t="s">
        <v>1041</v>
      </c>
      <c r="J1145" s="2196">
        <v>1</v>
      </c>
    </row>
    <row r="1146" spans="2:10" ht="13.5" thickBot="1" x14ac:dyDescent="0.25">
      <c r="B1146" s="392" t="str">
        <f t="shared" si="34"/>
        <v>Open - CIPULAT Emanuele</v>
      </c>
      <c r="C1146" s="1441" t="str">
        <f t="shared" si="35"/>
        <v>CIPULAT Emanuele</v>
      </c>
      <c r="D1146" s="1428" t="s">
        <v>889</v>
      </c>
      <c r="E1146" s="1429">
        <v>1098</v>
      </c>
      <c r="F1146" s="2197" t="s">
        <v>16763</v>
      </c>
      <c r="G1146" s="2198" t="s">
        <v>3085</v>
      </c>
      <c r="H1146" s="2197" t="s">
        <v>13312</v>
      </c>
      <c r="I1146" s="2199" t="s">
        <v>1037</v>
      </c>
      <c r="J1146" s="2196">
        <v>1</v>
      </c>
    </row>
    <row r="1147" spans="2:10" ht="13.5" thickBot="1" x14ac:dyDescent="0.25">
      <c r="B1147" s="392" t="str">
        <f t="shared" si="34"/>
        <v>Open - LEDOIT Augustin</v>
      </c>
      <c r="C1147" s="1441" t="str">
        <f t="shared" si="35"/>
        <v>LEDOIT Augustin</v>
      </c>
      <c r="D1147" s="1428" t="s">
        <v>889</v>
      </c>
      <c r="E1147" s="1429">
        <v>1098</v>
      </c>
      <c r="F1147" s="2197" t="s">
        <v>14531</v>
      </c>
      <c r="G1147" s="2198" t="s">
        <v>15613</v>
      </c>
      <c r="H1147" s="2197" t="s">
        <v>15269</v>
      </c>
      <c r="I1147" s="2199" t="s">
        <v>1019</v>
      </c>
      <c r="J1147" s="2196">
        <v>1</v>
      </c>
    </row>
    <row r="1148" spans="2:10" ht="13.5" thickBot="1" x14ac:dyDescent="0.25">
      <c r="B1148" s="392" t="str">
        <f t="shared" si="34"/>
        <v>Open - LIM Arthur</v>
      </c>
      <c r="C1148" s="1441" t="str">
        <f t="shared" si="35"/>
        <v>LIM Arthur</v>
      </c>
      <c r="D1148" s="1428" t="s">
        <v>889</v>
      </c>
      <c r="E1148" s="1429">
        <v>1098</v>
      </c>
      <c r="F1148" s="2197" t="s">
        <v>3532</v>
      </c>
      <c r="G1148" s="2198" t="s">
        <v>3315</v>
      </c>
      <c r="H1148" s="2197" t="s">
        <v>8716</v>
      </c>
      <c r="I1148" s="2199" t="s">
        <v>7916</v>
      </c>
      <c r="J1148" s="2196">
        <v>1</v>
      </c>
    </row>
    <row r="1149" spans="2:10" ht="13.5" thickBot="1" x14ac:dyDescent="0.25">
      <c r="B1149" s="392" t="str">
        <f t="shared" si="34"/>
        <v>Open - WHALLEY Gareth</v>
      </c>
      <c r="C1149" s="1441" t="str">
        <f t="shared" si="35"/>
        <v>WHALLEY Gareth</v>
      </c>
      <c r="D1149" s="1428" t="s">
        <v>889</v>
      </c>
      <c r="E1149" s="1429">
        <v>1098</v>
      </c>
      <c r="F1149" s="2197" t="s">
        <v>17456</v>
      </c>
      <c r="G1149" s="2198" t="s">
        <v>3390</v>
      </c>
      <c r="H1149" s="2197" t="s">
        <v>13508</v>
      </c>
      <c r="I1149" s="2199" t="s">
        <v>986</v>
      </c>
      <c r="J1149" s="2196">
        <v>1</v>
      </c>
    </row>
    <row r="1150" spans="2:10" ht="13.5" thickBot="1" x14ac:dyDescent="0.25">
      <c r="B1150" s="392" t="str">
        <f t="shared" si="34"/>
        <v>Open - ERB Peter</v>
      </c>
      <c r="C1150" s="1441" t="str">
        <f t="shared" si="35"/>
        <v>ERB Peter</v>
      </c>
      <c r="D1150" s="1428" t="s">
        <v>889</v>
      </c>
      <c r="E1150" s="1429">
        <v>1098</v>
      </c>
      <c r="F1150" s="2197" t="s">
        <v>14274</v>
      </c>
      <c r="G1150" s="2198" t="s">
        <v>3194</v>
      </c>
      <c r="H1150" s="2197" t="s">
        <v>14809</v>
      </c>
      <c r="I1150" s="2199" t="s">
        <v>1074</v>
      </c>
      <c r="J1150" s="2196">
        <v>1</v>
      </c>
    </row>
    <row r="1151" spans="2:10" ht="13.5" thickBot="1" x14ac:dyDescent="0.25">
      <c r="B1151" s="392" t="str">
        <f t="shared" si="34"/>
        <v>Open - BANKS Tony</v>
      </c>
      <c r="C1151" s="1441" t="str">
        <f t="shared" si="35"/>
        <v>BANKS Tony</v>
      </c>
      <c r="D1151" s="1428" t="s">
        <v>889</v>
      </c>
      <c r="E1151" s="1429">
        <v>1098</v>
      </c>
      <c r="F1151" s="2197" t="s">
        <v>18166</v>
      </c>
      <c r="G1151" s="2198" t="s">
        <v>3134</v>
      </c>
      <c r="H1151" s="2197" t="s">
        <v>13618</v>
      </c>
      <c r="I1151" s="2199" t="s">
        <v>1013</v>
      </c>
      <c r="J1151" s="2196">
        <v>1</v>
      </c>
    </row>
    <row r="1152" spans="2:10" ht="13.5" thickBot="1" x14ac:dyDescent="0.25">
      <c r="B1152" s="392" t="str">
        <f t="shared" si="34"/>
        <v>Open - DE PAOLI Stephano</v>
      </c>
      <c r="C1152" s="1441" t="str">
        <f t="shared" si="35"/>
        <v>DE PAOLI Stephano</v>
      </c>
      <c r="D1152" s="1428" t="s">
        <v>889</v>
      </c>
      <c r="E1152" s="1429">
        <v>1098</v>
      </c>
      <c r="F1152" s="2197" t="s">
        <v>16775</v>
      </c>
      <c r="G1152" s="2198" t="s">
        <v>13927</v>
      </c>
      <c r="H1152" s="2197" t="s">
        <v>5551</v>
      </c>
      <c r="I1152" s="2199" t="s">
        <v>1037</v>
      </c>
      <c r="J1152" s="2196">
        <v>1</v>
      </c>
    </row>
    <row r="1153" spans="2:10" ht="13.5" thickBot="1" x14ac:dyDescent="0.25">
      <c r="B1153" s="392" t="str">
        <f t="shared" si="34"/>
        <v>Open - MYERS Richard</v>
      </c>
      <c r="C1153" s="1441" t="str">
        <f t="shared" si="35"/>
        <v>MYERS Richard</v>
      </c>
      <c r="D1153" s="1428" t="s">
        <v>889</v>
      </c>
      <c r="E1153" s="1429">
        <v>1098</v>
      </c>
      <c r="F1153" s="2197" t="s">
        <v>18167</v>
      </c>
      <c r="G1153" s="2198" t="s">
        <v>3219</v>
      </c>
      <c r="H1153" s="2197" t="s">
        <v>15945</v>
      </c>
      <c r="I1153" s="2199" t="s">
        <v>1013</v>
      </c>
      <c r="J1153" s="2196">
        <v>1</v>
      </c>
    </row>
    <row r="1154" spans="2:10" ht="13.5" thickBot="1" x14ac:dyDescent="0.25">
      <c r="B1154" s="392" t="str">
        <f t="shared" si="34"/>
        <v>Open - CHAPMAN Hadley</v>
      </c>
      <c r="C1154" s="1441" t="str">
        <f t="shared" si="35"/>
        <v>CHAPMAN Hadley</v>
      </c>
      <c r="D1154" s="1428" t="s">
        <v>889</v>
      </c>
      <c r="E1154" s="1429">
        <v>1098</v>
      </c>
      <c r="F1154" s="2197" t="s">
        <v>16730</v>
      </c>
      <c r="G1154" s="2198" t="s">
        <v>15352</v>
      </c>
      <c r="H1154" s="2197" t="s">
        <v>17082</v>
      </c>
      <c r="I1154" s="2199" t="s">
        <v>1013</v>
      </c>
      <c r="J1154" s="2196">
        <v>1</v>
      </c>
    </row>
    <row r="1155" spans="2:10" ht="13.5" thickBot="1" x14ac:dyDescent="0.25">
      <c r="B1155" s="392" t="str">
        <f t="shared" si="34"/>
        <v>Open - WEST Mark</v>
      </c>
      <c r="C1155" s="1441" t="str">
        <f t="shared" si="35"/>
        <v>WEST Mark</v>
      </c>
      <c r="D1155" s="1428" t="s">
        <v>889</v>
      </c>
      <c r="E1155" s="1429">
        <v>1098</v>
      </c>
      <c r="F1155" s="2197" t="s">
        <v>18168</v>
      </c>
      <c r="G1155" s="2198" t="s">
        <v>3017</v>
      </c>
      <c r="H1155" s="2197" t="s">
        <v>14864</v>
      </c>
      <c r="I1155" s="2199" t="s">
        <v>1013</v>
      </c>
      <c r="J1155" s="2196">
        <v>1</v>
      </c>
    </row>
    <row r="1156" spans="2:10" ht="13.5" thickBot="1" x14ac:dyDescent="0.25">
      <c r="B1156" s="392" t="str">
        <f t="shared" si="34"/>
        <v>Open - TSUBOI Kentaro</v>
      </c>
      <c r="C1156" s="1441" t="str">
        <f t="shared" si="35"/>
        <v>TSUBOI Kentaro</v>
      </c>
      <c r="D1156" s="1428" t="s">
        <v>889</v>
      </c>
      <c r="E1156" s="1429">
        <v>1098</v>
      </c>
      <c r="F1156" s="2197" t="s">
        <v>18169</v>
      </c>
      <c r="G1156" s="2198" t="s">
        <v>18029</v>
      </c>
      <c r="H1156" s="2197" t="s">
        <v>17234</v>
      </c>
      <c r="I1156" s="2199" t="s">
        <v>1041</v>
      </c>
      <c r="J1156" s="2196">
        <v>1</v>
      </c>
    </row>
    <row r="1157" spans="2:10" ht="13.5" thickBot="1" x14ac:dyDescent="0.25">
      <c r="B1157" s="392" t="str">
        <f t="shared" si="34"/>
        <v>Open - GLADWELL Gary</v>
      </c>
      <c r="C1157" s="1441" t="str">
        <f t="shared" si="35"/>
        <v>GLADWELL Gary</v>
      </c>
      <c r="D1157" s="1428" t="s">
        <v>889</v>
      </c>
      <c r="E1157" s="1429">
        <v>1098</v>
      </c>
      <c r="F1157" s="2197" t="s">
        <v>18170</v>
      </c>
      <c r="G1157" s="2198" t="s">
        <v>3192</v>
      </c>
      <c r="H1157" s="2197" t="s">
        <v>14864</v>
      </c>
      <c r="I1157" s="2199" t="s">
        <v>1013</v>
      </c>
      <c r="J1157" s="2196">
        <v>1</v>
      </c>
    </row>
    <row r="1158" spans="2:10" ht="13.5" thickBot="1" x14ac:dyDescent="0.25">
      <c r="B1158" s="392" t="str">
        <f t="shared" si="34"/>
        <v>Open - ELEFTHERIOU Demetris</v>
      </c>
      <c r="C1158" s="1441" t="str">
        <f t="shared" si="35"/>
        <v>ELEFTHERIOU Demetris</v>
      </c>
      <c r="D1158" s="1428" t="s">
        <v>889</v>
      </c>
      <c r="E1158" s="1429">
        <v>1098</v>
      </c>
      <c r="F1158" s="2197" t="s">
        <v>16700</v>
      </c>
      <c r="G1158" s="2198" t="s">
        <v>17070</v>
      </c>
      <c r="H1158" s="2197" t="s">
        <v>2798</v>
      </c>
      <c r="I1158" s="2199" t="s">
        <v>1005</v>
      </c>
      <c r="J1158" s="2196">
        <v>1</v>
      </c>
    </row>
    <row r="1159" spans="2:10" ht="13.5" thickBot="1" x14ac:dyDescent="0.25">
      <c r="B1159" s="392" t="str">
        <f t="shared" ref="B1159:B1222" si="36">CONCATENATE(D1159," - ",C1159)</f>
        <v>Open - MILLAR Wayne</v>
      </c>
      <c r="C1159" s="1441" t="str">
        <f t="shared" ref="C1159:C1222" si="37">CONCATENATE(UPPER(F1159)," ",G1159)</f>
        <v>MILLAR Wayne</v>
      </c>
      <c r="D1159" s="1428" t="s">
        <v>889</v>
      </c>
      <c r="E1159" s="1429">
        <v>1098</v>
      </c>
      <c r="F1159" s="2197" t="s">
        <v>17460</v>
      </c>
      <c r="G1159" s="2198" t="s">
        <v>17063</v>
      </c>
      <c r="H1159" s="2197" t="s">
        <v>13508</v>
      </c>
      <c r="I1159" s="2199" t="s">
        <v>986</v>
      </c>
      <c r="J1159" s="2196">
        <v>1</v>
      </c>
    </row>
    <row r="1160" spans="2:10" ht="13.5" thickBot="1" x14ac:dyDescent="0.25">
      <c r="B1160" s="392" t="str">
        <f t="shared" si="36"/>
        <v>Open - EDWARDS Nigel</v>
      </c>
      <c r="C1160" s="1441" t="str">
        <f t="shared" si="37"/>
        <v>EDWARDS Nigel</v>
      </c>
      <c r="D1160" s="1428" t="s">
        <v>889</v>
      </c>
      <c r="E1160" s="1429">
        <v>1098</v>
      </c>
      <c r="F1160" s="2197" t="s">
        <v>16731</v>
      </c>
      <c r="G1160" s="2198" t="s">
        <v>7010</v>
      </c>
      <c r="H1160" s="2197" t="s">
        <v>13613</v>
      </c>
      <c r="I1160" s="2199" t="s">
        <v>1013</v>
      </c>
      <c r="J1160" s="2196">
        <v>1</v>
      </c>
    </row>
    <row r="1161" spans="2:10" ht="13.5" thickBot="1" x14ac:dyDescent="0.25">
      <c r="B1161" s="392" t="str">
        <f t="shared" si="36"/>
        <v>Open - MILLER George</v>
      </c>
      <c r="C1161" s="1441" t="str">
        <f t="shared" si="37"/>
        <v>MILLER George</v>
      </c>
      <c r="D1161" s="1428" t="s">
        <v>889</v>
      </c>
      <c r="E1161" s="1429">
        <v>1098</v>
      </c>
      <c r="F1161" s="2197" t="s">
        <v>18090</v>
      </c>
      <c r="G1161" s="2198" t="s">
        <v>3162</v>
      </c>
      <c r="H1161" s="2197" t="s">
        <v>15379</v>
      </c>
      <c r="I1161" s="2199" t="s">
        <v>14471</v>
      </c>
      <c r="J1161" s="2196">
        <v>1</v>
      </c>
    </row>
    <row r="1162" spans="2:10" ht="13.5" thickBot="1" x14ac:dyDescent="0.25">
      <c r="B1162" s="392" t="str">
        <f t="shared" si="36"/>
        <v>Open - SMITH Andy</v>
      </c>
      <c r="C1162" s="1441" t="str">
        <f t="shared" si="37"/>
        <v>SMITH Andy</v>
      </c>
      <c r="D1162" s="1428" t="s">
        <v>889</v>
      </c>
      <c r="E1162" s="1429">
        <v>1098</v>
      </c>
      <c r="F1162" s="2197" t="s">
        <v>11476</v>
      </c>
      <c r="G1162" s="2198" t="s">
        <v>3322</v>
      </c>
      <c r="H1162" s="2197" t="s">
        <v>15379</v>
      </c>
      <c r="I1162" s="2199" t="s">
        <v>14471</v>
      </c>
      <c r="J1162" s="2196">
        <v>1</v>
      </c>
    </row>
    <row r="1163" spans="2:10" ht="13.5" thickBot="1" x14ac:dyDescent="0.25">
      <c r="B1163" s="392" t="str">
        <f t="shared" si="36"/>
        <v>Open - ALLEN Trevor</v>
      </c>
      <c r="C1163" s="1441" t="str">
        <f t="shared" si="37"/>
        <v>ALLEN Trevor</v>
      </c>
      <c r="D1163" s="1428" t="s">
        <v>889</v>
      </c>
      <c r="E1163" s="1429">
        <v>1098</v>
      </c>
      <c r="F1163" s="2197" t="s">
        <v>16733</v>
      </c>
      <c r="G1163" s="2198" t="s">
        <v>5578</v>
      </c>
      <c r="H1163" s="2197" t="s">
        <v>14867</v>
      </c>
      <c r="I1163" s="2199" t="s">
        <v>1013</v>
      </c>
      <c r="J1163" s="2196">
        <v>1</v>
      </c>
    </row>
    <row r="1164" spans="2:10" ht="13.5" thickBot="1" x14ac:dyDescent="0.25">
      <c r="B1164" s="392" t="str">
        <f t="shared" si="36"/>
        <v>Open - MATIAS João</v>
      </c>
      <c r="C1164" s="1441" t="str">
        <f t="shared" si="37"/>
        <v>MATIAS João</v>
      </c>
      <c r="D1164" s="1428" t="s">
        <v>889</v>
      </c>
      <c r="E1164" s="1429">
        <v>1098</v>
      </c>
      <c r="F1164" s="2197" t="s">
        <v>14955</v>
      </c>
      <c r="G1164" s="2198" t="s">
        <v>3427</v>
      </c>
      <c r="H1164" s="2197" t="s">
        <v>13597</v>
      </c>
      <c r="I1164" s="2199" t="s">
        <v>1061</v>
      </c>
      <c r="J1164" s="2196">
        <v>1</v>
      </c>
    </row>
    <row r="1165" spans="2:10" ht="13.5" thickBot="1" x14ac:dyDescent="0.25">
      <c r="B1165" s="392" t="str">
        <f t="shared" si="36"/>
        <v>Open - MOORE John</v>
      </c>
      <c r="C1165" s="1441" t="str">
        <f t="shared" si="37"/>
        <v>MOORE John</v>
      </c>
      <c r="D1165" s="1428" t="s">
        <v>889</v>
      </c>
      <c r="E1165" s="1429">
        <v>1098</v>
      </c>
      <c r="F1165" s="2197" t="s">
        <v>14273</v>
      </c>
      <c r="G1165" s="2198" t="s">
        <v>3250</v>
      </c>
      <c r="H1165" s="2197" t="s">
        <v>2764</v>
      </c>
      <c r="I1165" s="2199" t="s">
        <v>1033</v>
      </c>
      <c r="J1165" s="2196">
        <v>1</v>
      </c>
    </row>
    <row r="1166" spans="2:10" ht="13.5" thickBot="1" x14ac:dyDescent="0.25">
      <c r="B1166" s="392" t="str">
        <f t="shared" si="36"/>
        <v>Open - REGUERA MUÑOZ Manuel</v>
      </c>
      <c r="C1166" s="1441" t="str">
        <f t="shared" si="37"/>
        <v>REGUERA MUÑOZ Manuel</v>
      </c>
      <c r="D1166" s="1428" t="s">
        <v>889</v>
      </c>
      <c r="E1166" s="1429">
        <v>1098</v>
      </c>
      <c r="F1166" s="2197" t="s">
        <v>16745</v>
      </c>
      <c r="G1166" s="2198" t="s">
        <v>3171</v>
      </c>
      <c r="H1166" s="2197" t="s">
        <v>7871</v>
      </c>
      <c r="I1166" s="2199" t="s">
        <v>1015</v>
      </c>
      <c r="J1166" s="2196">
        <v>1</v>
      </c>
    </row>
    <row r="1167" spans="2:10" ht="13.5" thickBot="1" x14ac:dyDescent="0.25">
      <c r="B1167" s="392" t="str">
        <f t="shared" si="36"/>
        <v>Open - KINRADE Brian</v>
      </c>
      <c r="C1167" s="1441" t="str">
        <f t="shared" si="37"/>
        <v>KINRADE Brian</v>
      </c>
      <c r="D1167" s="1428" t="s">
        <v>889</v>
      </c>
      <c r="E1167" s="1429">
        <v>1098</v>
      </c>
      <c r="F1167" s="2197" t="s">
        <v>3523</v>
      </c>
      <c r="G1167" s="2198" t="s">
        <v>3195</v>
      </c>
      <c r="H1167" s="2197" t="s">
        <v>2769</v>
      </c>
      <c r="I1167" s="2199" t="s">
        <v>1013</v>
      </c>
      <c r="J1167" s="2196">
        <v>1</v>
      </c>
    </row>
    <row r="1168" spans="2:10" ht="13.5" thickBot="1" x14ac:dyDescent="0.25">
      <c r="B1168" s="392" t="str">
        <f t="shared" si="36"/>
        <v>Open - CAMILLERI Emanuel</v>
      </c>
      <c r="C1168" s="1441" t="str">
        <f t="shared" si="37"/>
        <v>CAMILLERI Emanuel</v>
      </c>
      <c r="D1168" s="1428" t="s">
        <v>889</v>
      </c>
      <c r="E1168" s="1429">
        <v>1098</v>
      </c>
      <c r="F1168" s="2197" t="s">
        <v>3153</v>
      </c>
      <c r="G1168" s="2198" t="s">
        <v>9554</v>
      </c>
      <c r="H1168" s="2197" t="s">
        <v>17082</v>
      </c>
      <c r="I1168" s="2199" t="s">
        <v>1045</v>
      </c>
      <c r="J1168" s="2196">
        <v>1</v>
      </c>
    </row>
    <row r="1169" spans="2:10" ht="13.5" thickBot="1" x14ac:dyDescent="0.25">
      <c r="B1169" s="392" t="str">
        <f t="shared" si="36"/>
        <v>Open - MOREIRA Erick</v>
      </c>
      <c r="C1169" s="1441" t="str">
        <f t="shared" si="37"/>
        <v>MOREIRA Erick</v>
      </c>
      <c r="D1169" s="1428" t="s">
        <v>889</v>
      </c>
      <c r="E1169" s="1429">
        <v>1098</v>
      </c>
      <c r="F1169" s="2197" t="s">
        <v>14311</v>
      </c>
      <c r="G1169" s="2198" t="s">
        <v>13235</v>
      </c>
      <c r="H1169" s="2197" t="s">
        <v>14370</v>
      </c>
      <c r="I1169" s="2199" t="s">
        <v>1015</v>
      </c>
      <c r="J1169" s="2196">
        <v>1</v>
      </c>
    </row>
    <row r="1170" spans="2:10" ht="13.5" thickBot="1" x14ac:dyDescent="0.25">
      <c r="B1170" s="392" t="str">
        <f t="shared" si="36"/>
        <v>Open - DESPRETZ Chloé</v>
      </c>
      <c r="C1170" s="1441" t="str">
        <f t="shared" si="37"/>
        <v>DESPRETZ Chloé</v>
      </c>
      <c r="D1170" s="1428" t="s">
        <v>889</v>
      </c>
      <c r="E1170" s="1429">
        <v>1098</v>
      </c>
      <c r="F1170" s="2197" t="s">
        <v>3261</v>
      </c>
      <c r="G1170" s="2198" t="s">
        <v>15458</v>
      </c>
      <c r="H1170" s="2197" t="s">
        <v>13519</v>
      </c>
      <c r="I1170" s="2199" t="s">
        <v>990</v>
      </c>
      <c r="J1170" s="2196">
        <v>1</v>
      </c>
    </row>
    <row r="1171" spans="2:10" ht="13.5" thickBot="1" x14ac:dyDescent="0.25">
      <c r="B1171" s="392" t="str">
        <f t="shared" si="36"/>
        <v>Open - OLEASTRO Carlos</v>
      </c>
      <c r="C1171" s="1441" t="str">
        <f t="shared" si="37"/>
        <v>OLEASTRO Carlos</v>
      </c>
      <c r="D1171" s="1428" t="s">
        <v>889</v>
      </c>
      <c r="E1171" s="1429">
        <v>1098</v>
      </c>
      <c r="F1171" s="2197" t="s">
        <v>14970</v>
      </c>
      <c r="G1171" s="2198" t="s">
        <v>3008</v>
      </c>
      <c r="H1171" s="2197" t="s">
        <v>13597</v>
      </c>
      <c r="I1171" s="2199" t="s">
        <v>1061</v>
      </c>
      <c r="J1171" s="2196">
        <v>1</v>
      </c>
    </row>
    <row r="1172" spans="2:10" ht="13.5" thickBot="1" x14ac:dyDescent="0.25">
      <c r="B1172" s="392" t="str">
        <f t="shared" si="36"/>
        <v>Open - DENNE Mael</v>
      </c>
      <c r="C1172" s="1441" t="str">
        <f t="shared" si="37"/>
        <v>DENNE Mael</v>
      </c>
      <c r="D1172" s="1428" t="s">
        <v>889</v>
      </c>
      <c r="E1172" s="1429">
        <v>1098</v>
      </c>
      <c r="F1172" s="2197" t="s">
        <v>14222</v>
      </c>
      <c r="G1172" s="2198" t="s">
        <v>13658</v>
      </c>
      <c r="H1172" s="2197" t="s">
        <v>5301</v>
      </c>
      <c r="I1172" s="2199" t="s">
        <v>990</v>
      </c>
      <c r="J1172" s="2196">
        <v>1</v>
      </c>
    </row>
    <row r="1173" spans="2:10" ht="13.5" thickBot="1" x14ac:dyDescent="0.25">
      <c r="B1173" s="392" t="str">
        <f t="shared" si="36"/>
        <v>Open - IOAN Alessandro</v>
      </c>
      <c r="C1173" s="1441" t="str">
        <f t="shared" si="37"/>
        <v>IOAN Alessandro</v>
      </c>
      <c r="D1173" s="1428" t="s">
        <v>889</v>
      </c>
      <c r="E1173" s="1429">
        <v>1098</v>
      </c>
      <c r="F1173" s="2197" t="s">
        <v>14271</v>
      </c>
      <c r="G1173" s="2198" t="s">
        <v>3125</v>
      </c>
      <c r="H1173" s="2197" t="s">
        <v>2773</v>
      </c>
      <c r="I1173" s="2199" t="s">
        <v>1037</v>
      </c>
      <c r="J1173" s="2196">
        <v>1</v>
      </c>
    </row>
    <row r="1174" spans="2:10" ht="13.5" thickBot="1" x14ac:dyDescent="0.25">
      <c r="B1174" s="392" t="str">
        <f t="shared" si="36"/>
        <v>Open - PARRILLA Daniel</v>
      </c>
      <c r="C1174" s="1441" t="str">
        <f t="shared" si="37"/>
        <v>PARRILLA Daniel</v>
      </c>
      <c r="D1174" s="1428" t="s">
        <v>889</v>
      </c>
      <c r="E1174" s="1429">
        <v>1098</v>
      </c>
      <c r="F1174" s="2197" t="s">
        <v>18171</v>
      </c>
      <c r="G1174" s="2198" t="s">
        <v>3243</v>
      </c>
      <c r="H1174" s="2197" t="s">
        <v>14454</v>
      </c>
      <c r="I1174" s="2199" t="s">
        <v>1015</v>
      </c>
      <c r="J1174" s="2196">
        <v>1</v>
      </c>
    </row>
    <row r="1175" spans="2:10" ht="13.5" thickBot="1" x14ac:dyDescent="0.25">
      <c r="B1175" s="392" t="str">
        <f t="shared" si="36"/>
        <v>Open - GARCIA Cláudio Miguel</v>
      </c>
      <c r="C1175" s="1441" t="str">
        <f t="shared" si="37"/>
        <v>GARCIA Cláudio Miguel</v>
      </c>
      <c r="D1175" s="1428" t="s">
        <v>889</v>
      </c>
      <c r="E1175" s="1429">
        <v>1098</v>
      </c>
      <c r="F1175" s="2197" t="s">
        <v>14218</v>
      </c>
      <c r="G1175" s="2198" t="s">
        <v>11083</v>
      </c>
      <c r="H1175" s="2197" t="s">
        <v>11332</v>
      </c>
      <c r="I1175" s="2199" t="s">
        <v>1061</v>
      </c>
      <c r="J1175" s="2196">
        <v>1</v>
      </c>
    </row>
    <row r="1176" spans="2:10" ht="13.5" thickBot="1" x14ac:dyDescent="0.25">
      <c r="B1176" s="392" t="str">
        <f t="shared" si="36"/>
        <v>Open - TURPIN John</v>
      </c>
      <c r="C1176" s="1441" t="str">
        <f t="shared" si="37"/>
        <v>TURPIN John</v>
      </c>
      <c r="D1176" s="1428" t="s">
        <v>889</v>
      </c>
      <c r="E1176" s="1429">
        <v>1098</v>
      </c>
      <c r="F1176" s="2197" t="s">
        <v>14207</v>
      </c>
      <c r="G1176" s="2198" t="s">
        <v>3250</v>
      </c>
      <c r="H1176" s="2197" t="s">
        <v>13531</v>
      </c>
      <c r="I1176" s="2199" t="s">
        <v>1013</v>
      </c>
      <c r="J1176" s="2196">
        <v>1</v>
      </c>
    </row>
    <row r="1177" spans="2:10" ht="13.5" thickBot="1" x14ac:dyDescent="0.25">
      <c r="B1177" s="392" t="str">
        <f t="shared" si="36"/>
        <v>Open - AUSSET Laurent</v>
      </c>
      <c r="C1177" s="1441" t="str">
        <f t="shared" si="37"/>
        <v>AUSSET Laurent</v>
      </c>
      <c r="D1177" s="1428" t="s">
        <v>889</v>
      </c>
      <c r="E1177" s="1429">
        <v>1098</v>
      </c>
      <c r="F1177" s="2197" t="s">
        <v>14978</v>
      </c>
      <c r="G1177" s="2198" t="s">
        <v>3123</v>
      </c>
      <c r="H1177" s="2197" t="s">
        <v>15183</v>
      </c>
      <c r="I1177" s="2199" t="s">
        <v>1019</v>
      </c>
      <c r="J1177" s="2196">
        <v>1</v>
      </c>
    </row>
    <row r="1178" spans="2:10" ht="13.5" thickBot="1" x14ac:dyDescent="0.25">
      <c r="B1178" s="392" t="str">
        <f t="shared" si="36"/>
        <v>Open - PSAILA Clarence</v>
      </c>
      <c r="C1178" s="1441" t="str">
        <f t="shared" si="37"/>
        <v>PSAILA Clarence</v>
      </c>
      <c r="D1178" s="1428" t="s">
        <v>889</v>
      </c>
      <c r="E1178" s="1429">
        <v>1172</v>
      </c>
      <c r="F1178" s="2197" t="s">
        <v>16742</v>
      </c>
      <c r="G1178" s="2198" t="s">
        <v>16085</v>
      </c>
      <c r="H1178" s="2197" t="s">
        <v>15202</v>
      </c>
      <c r="I1178" s="2199" t="s">
        <v>1045</v>
      </c>
      <c r="J1178" s="2196">
        <v>0.5</v>
      </c>
    </row>
    <row r="1179" spans="2:10" ht="13.5" thickBot="1" x14ac:dyDescent="0.25">
      <c r="B1179" s="392" t="str">
        <f t="shared" si="36"/>
        <v>Open - XERRI Luke Joseph</v>
      </c>
      <c r="C1179" s="1441" t="str">
        <f t="shared" si="37"/>
        <v>XERRI Luke Joseph</v>
      </c>
      <c r="D1179" s="1428" t="s">
        <v>889</v>
      </c>
      <c r="E1179" s="1429">
        <v>1172</v>
      </c>
      <c r="F1179" s="2197" t="s">
        <v>16741</v>
      </c>
      <c r="G1179" s="2198" t="s">
        <v>16367</v>
      </c>
      <c r="H1179" s="2197" t="s">
        <v>11331</v>
      </c>
      <c r="I1179" s="2199" t="s">
        <v>1045</v>
      </c>
      <c r="J1179" s="2196">
        <v>0.5</v>
      </c>
    </row>
    <row r="1180" spans="2:10" ht="13.5" thickBot="1" x14ac:dyDescent="0.25">
      <c r="B1180" s="392" t="str">
        <f t="shared" si="36"/>
        <v>Open - DETTRE Louie</v>
      </c>
      <c r="C1180" s="1441" t="str">
        <f t="shared" si="37"/>
        <v>DETTRE Louie</v>
      </c>
      <c r="D1180" s="1428" t="s">
        <v>889</v>
      </c>
      <c r="E1180" s="1429">
        <v>1172</v>
      </c>
      <c r="F1180" s="2197" t="s">
        <v>7271</v>
      </c>
      <c r="G1180" s="2198" t="s">
        <v>15464</v>
      </c>
      <c r="H1180" s="2197" t="s">
        <v>9593</v>
      </c>
      <c r="I1180" s="2199" t="s">
        <v>986</v>
      </c>
      <c r="J1180" s="2196">
        <v>0.5</v>
      </c>
    </row>
    <row r="1181" spans="2:10" ht="13.5" thickBot="1" x14ac:dyDescent="0.25">
      <c r="B1181" s="392" t="str">
        <f t="shared" si="36"/>
        <v>Open - DIÉGUEZ José Mª</v>
      </c>
      <c r="C1181" s="1441" t="str">
        <f t="shared" si="37"/>
        <v>DIÉGUEZ José Mª</v>
      </c>
      <c r="D1181" s="1428" t="s">
        <v>889</v>
      </c>
      <c r="E1181" s="1429">
        <v>1172</v>
      </c>
      <c r="F1181" s="2197" t="s">
        <v>16737</v>
      </c>
      <c r="G1181" s="2198" t="s">
        <v>15484</v>
      </c>
      <c r="H1181" s="2197" t="s">
        <v>2783</v>
      </c>
      <c r="I1181" s="2199" t="s">
        <v>1015</v>
      </c>
      <c r="J1181" s="2196">
        <v>0.5</v>
      </c>
    </row>
    <row r="1182" spans="2:10" ht="13.5" thickBot="1" x14ac:dyDescent="0.25">
      <c r="B1182" s="392" t="str">
        <f t="shared" si="36"/>
        <v>Open - AKIMOTO Hina</v>
      </c>
      <c r="C1182" s="1441" t="str">
        <f t="shared" si="37"/>
        <v>AKIMOTO Hina</v>
      </c>
      <c r="D1182" s="1428" t="s">
        <v>889</v>
      </c>
      <c r="E1182" s="1429">
        <v>1172</v>
      </c>
      <c r="F1182" s="2197" t="s">
        <v>16743</v>
      </c>
      <c r="G1182" s="2198" t="s">
        <v>15150</v>
      </c>
      <c r="H1182" s="2197" t="s">
        <v>5508</v>
      </c>
      <c r="I1182" s="2199" t="s">
        <v>1041</v>
      </c>
      <c r="J1182" s="2196">
        <v>0.5</v>
      </c>
    </row>
    <row r="1183" spans="2:10" ht="13.5" thickBot="1" x14ac:dyDescent="0.25">
      <c r="B1183" s="392" t="str">
        <f t="shared" si="36"/>
        <v>Open - PUERTAS Carles</v>
      </c>
      <c r="C1183" s="1441" t="str">
        <f t="shared" si="37"/>
        <v>PUERTAS Carles</v>
      </c>
      <c r="D1183" s="1428" t="s">
        <v>889</v>
      </c>
      <c r="E1183" s="1429">
        <v>1172</v>
      </c>
      <c r="F1183" s="2197" t="s">
        <v>14969</v>
      </c>
      <c r="G1183" s="2198" t="s">
        <v>13822</v>
      </c>
      <c r="H1183" s="2197" t="s">
        <v>14451</v>
      </c>
      <c r="I1183" s="2199" t="s">
        <v>1015</v>
      </c>
      <c r="J1183" s="2196">
        <v>0.5</v>
      </c>
    </row>
    <row r="1184" spans="2:10" ht="13.5" thickBot="1" x14ac:dyDescent="0.25">
      <c r="B1184" s="392" t="str">
        <f t="shared" si="36"/>
        <v>Open - NAKAI Hidenori</v>
      </c>
      <c r="C1184" s="1441" t="str">
        <f t="shared" si="37"/>
        <v>NAKAI Hidenori</v>
      </c>
      <c r="D1184" s="1428" t="s">
        <v>889</v>
      </c>
      <c r="E1184" s="1429">
        <v>1172</v>
      </c>
      <c r="F1184" s="2197" t="s">
        <v>14967</v>
      </c>
      <c r="G1184" s="2198" t="s">
        <v>14731</v>
      </c>
      <c r="H1184" s="2197" t="s">
        <v>5508</v>
      </c>
      <c r="I1184" s="2199" t="s">
        <v>1041</v>
      </c>
      <c r="J1184" s="2196">
        <v>0.5</v>
      </c>
    </row>
    <row r="1185" spans="2:10" ht="13.5" thickBot="1" x14ac:dyDescent="0.25">
      <c r="B1185" s="392" t="str">
        <f t="shared" si="36"/>
        <v>Open - OKADA Hiroyuki</v>
      </c>
      <c r="C1185" s="1441" t="str">
        <f t="shared" si="37"/>
        <v>OKADA Hiroyuki</v>
      </c>
      <c r="D1185" s="1428" t="s">
        <v>889</v>
      </c>
      <c r="E1185" s="1429">
        <v>1172</v>
      </c>
      <c r="F1185" s="2197" t="s">
        <v>14966</v>
      </c>
      <c r="G1185" s="2198" t="s">
        <v>14728</v>
      </c>
      <c r="H1185" s="2197" t="s">
        <v>5508</v>
      </c>
      <c r="I1185" s="2199" t="s">
        <v>1041</v>
      </c>
      <c r="J1185" s="2196">
        <v>0.5</v>
      </c>
    </row>
    <row r="1186" spans="2:10" ht="13.5" thickBot="1" x14ac:dyDescent="0.25">
      <c r="B1186" s="392" t="str">
        <f t="shared" si="36"/>
        <v>Veterans - CALONICO Gianfranco</v>
      </c>
      <c r="C1186" s="1441" t="str">
        <f t="shared" si="37"/>
        <v>CALONICO Gianfranco</v>
      </c>
      <c r="D1186" s="1428" t="s">
        <v>9734</v>
      </c>
      <c r="E1186" s="1429">
        <v>1</v>
      </c>
      <c r="F1186" s="2197" t="s">
        <v>3106</v>
      </c>
      <c r="G1186" s="2198" t="s">
        <v>3107</v>
      </c>
      <c r="H1186" s="2197" t="s">
        <v>7867</v>
      </c>
      <c r="I1186" s="2199" t="s">
        <v>1037</v>
      </c>
      <c r="J1186" s="2196">
        <v>4132.5</v>
      </c>
    </row>
    <row r="1187" spans="2:10" ht="13.5" thickBot="1" x14ac:dyDescent="0.25">
      <c r="B1187" s="392" t="str">
        <f t="shared" si="36"/>
        <v>Veterans - PISANI Jason</v>
      </c>
      <c r="C1187" s="1441" t="str">
        <f t="shared" si="37"/>
        <v>PISANI Jason</v>
      </c>
      <c r="D1187" s="1428" t="s">
        <v>9734</v>
      </c>
      <c r="E1187" s="1429">
        <v>2</v>
      </c>
      <c r="F1187" s="2197" t="s">
        <v>3517</v>
      </c>
      <c r="G1187" s="2198" t="s">
        <v>3297</v>
      </c>
      <c r="H1187" s="2197" t="s">
        <v>10253</v>
      </c>
      <c r="I1187" s="2199" t="s">
        <v>1045</v>
      </c>
      <c r="J1187" s="2196">
        <v>2930.5</v>
      </c>
    </row>
    <row r="1188" spans="2:10" ht="13.5" thickBot="1" x14ac:dyDescent="0.25">
      <c r="B1188" s="392" t="str">
        <f t="shared" si="36"/>
        <v>Veterans - SCHEEN Daniel</v>
      </c>
      <c r="C1188" s="1441" t="str">
        <f t="shared" si="37"/>
        <v>SCHEEN Daniel</v>
      </c>
      <c r="D1188" s="1428" t="s">
        <v>9734</v>
      </c>
      <c r="E1188" s="1429">
        <v>3</v>
      </c>
      <c r="F1188" s="2197" t="s">
        <v>3034</v>
      </c>
      <c r="G1188" s="2198" t="s">
        <v>3243</v>
      </c>
      <c r="H1188" s="2197" t="s">
        <v>2755</v>
      </c>
      <c r="I1188" s="2199" t="s">
        <v>990</v>
      </c>
      <c r="J1188" s="2196">
        <v>2890</v>
      </c>
    </row>
    <row r="1189" spans="2:10" ht="13.5" thickBot="1" x14ac:dyDescent="0.25">
      <c r="B1189" s="392" t="str">
        <f t="shared" si="36"/>
        <v>Veterans - TORANO Pasquale</v>
      </c>
      <c r="C1189" s="1441" t="str">
        <f t="shared" si="37"/>
        <v>TORANO Pasquale</v>
      </c>
      <c r="D1189" s="1428" t="s">
        <v>9734</v>
      </c>
      <c r="E1189" s="1429">
        <v>4</v>
      </c>
      <c r="F1189" s="2197" t="s">
        <v>3401</v>
      </c>
      <c r="G1189" s="2198" t="s">
        <v>3548</v>
      </c>
      <c r="H1189" s="2197" t="s">
        <v>7873</v>
      </c>
      <c r="I1189" s="2199" t="s">
        <v>1037</v>
      </c>
      <c r="J1189" s="2196">
        <v>2382.5</v>
      </c>
    </row>
    <row r="1190" spans="2:10" ht="13.5" thickBot="1" x14ac:dyDescent="0.25">
      <c r="B1190" s="392" t="str">
        <f t="shared" si="36"/>
        <v>Veterans - AQUILINA Charles</v>
      </c>
      <c r="C1190" s="1441" t="str">
        <f t="shared" si="37"/>
        <v>AQUILINA Charles</v>
      </c>
      <c r="D1190" s="1428" t="s">
        <v>9734</v>
      </c>
      <c r="E1190" s="1429">
        <v>5</v>
      </c>
      <c r="F1190" s="2197" t="s">
        <v>3421</v>
      </c>
      <c r="G1190" s="2198" t="s">
        <v>3422</v>
      </c>
      <c r="H1190" s="2197" t="s">
        <v>10253</v>
      </c>
      <c r="I1190" s="2199" t="s">
        <v>1045</v>
      </c>
      <c r="J1190" s="2196">
        <v>2371.5</v>
      </c>
    </row>
    <row r="1191" spans="2:10" ht="13.5" thickBot="1" x14ac:dyDescent="0.25">
      <c r="B1191" s="392" t="str">
        <f t="shared" si="36"/>
        <v>Veterans - FIELD John</v>
      </c>
      <c r="C1191" s="1441" t="str">
        <f t="shared" si="37"/>
        <v>FIELD John</v>
      </c>
      <c r="D1191" s="1428" t="s">
        <v>9734</v>
      </c>
      <c r="E1191" s="1429">
        <v>6</v>
      </c>
      <c r="F1191" s="2197" t="s">
        <v>3402</v>
      </c>
      <c r="G1191" s="2198" t="s">
        <v>3250</v>
      </c>
      <c r="H1191" s="2197" t="s">
        <v>2755</v>
      </c>
      <c r="I1191" s="2199" t="s">
        <v>1023</v>
      </c>
      <c r="J1191" s="2196">
        <v>2021</v>
      </c>
    </row>
    <row r="1192" spans="2:10" ht="13.5" thickBot="1" x14ac:dyDescent="0.25">
      <c r="B1192" s="392" t="str">
        <f t="shared" si="36"/>
        <v>Veterans - MONTAÑO Antonio</v>
      </c>
      <c r="C1192" s="1441" t="str">
        <f t="shared" si="37"/>
        <v>MONTAÑO Antonio</v>
      </c>
      <c r="D1192" s="1428" t="s">
        <v>9734</v>
      </c>
      <c r="E1192" s="1429">
        <v>7</v>
      </c>
      <c r="F1192" s="2197" t="s">
        <v>3156</v>
      </c>
      <c r="G1192" s="2198" t="s">
        <v>3341</v>
      </c>
      <c r="H1192" s="2197" t="s">
        <v>2755</v>
      </c>
      <c r="I1192" s="2199" t="s">
        <v>1015</v>
      </c>
      <c r="J1192" s="2196">
        <v>1685.5</v>
      </c>
    </row>
    <row r="1193" spans="2:10" ht="13.5" thickBot="1" x14ac:dyDescent="0.25">
      <c r="B1193" s="392" t="str">
        <f t="shared" si="36"/>
        <v>Veterans - PAPAKONSTANTINOU Lazaros</v>
      </c>
      <c r="C1193" s="1441" t="str">
        <f t="shared" si="37"/>
        <v>PAPAKONSTANTINOU Lazaros</v>
      </c>
      <c r="D1193" s="1428" t="s">
        <v>9734</v>
      </c>
      <c r="E1193" s="1429">
        <v>8</v>
      </c>
      <c r="F1193" s="2197" t="s">
        <v>18172</v>
      </c>
      <c r="G1193" s="2198" t="s">
        <v>17884</v>
      </c>
      <c r="H1193" s="2197" t="s">
        <v>2745</v>
      </c>
      <c r="I1193" s="2199" t="s">
        <v>1025</v>
      </c>
      <c r="J1193" s="2196">
        <v>1502</v>
      </c>
    </row>
    <row r="1194" spans="2:10" ht="13.5" thickBot="1" x14ac:dyDescent="0.25">
      <c r="B1194" s="392" t="str">
        <f t="shared" si="36"/>
        <v>Veterans - SCHEEN Pascal</v>
      </c>
      <c r="C1194" s="1441" t="str">
        <f t="shared" si="37"/>
        <v>SCHEEN Pascal</v>
      </c>
      <c r="D1194" s="1428" t="s">
        <v>9734</v>
      </c>
      <c r="E1194" s="1429">
        <v>9</v>
      </c>
      <c r="F1194" s="2197" t="s">
        <v>3034</v>
      </c>
      <c r="G1194" s="2198" t="s">
        <v>3035</v>
      </c>
      <c r="H1194" s="2197" t="s">
        <v>10250</v>
      </c>
      <c r="I1194" s="2199" t="s">
        <v>990</v>
      </c>
      <c r="J1194" s="2196">
        <v>1462.5</v>
      </c>
    </row>
    <row r="1195" spans="2:10" ht="13.5" thickBot="1" x14ac:dyDescent="0.25">
      <c r="B1195" s="392" t="str">
        <f t="shared" si="36"/>
        <v>Veterans - MATTIANGELI Francesco</v>
      </c>
      <c r="C1195" s="1441" t="str">
        <f t="shared" si="37"/>
        <v>MATTIANGELI Francesco</v>
      </c>
      <c r="D1195" s="1428" t="s">
        <v>9734</v>
      </c>
      <c r="E1195" s="1429">
        <v>10</v>
      </c>
      <c r="F1195" s="2197" t="s">
        <v>3453</v>
      </c>
      <c r="G1195" s="2198" t="s">
        <v>3277</v>
      </c>
      <c r="H1195" s="2197" t="s">
        <v>2749</v>
      </c>
      <c r="I1195" s="2199" t="s">
        <v>1037</v>
      </c>
      <c r="J1195" s="2196">
        <v>1412.5</v>
      </c>
    </row>
    <row r="1196" spans="2:10" ht="13.5" thickBot="1" x14ac:dyDescent="0.25">
      <c r="B1196" s="392" t="str">
        <f t="shared" si="36"/>
        <v>Veterans - PATRUNO Gerardo</v>
      </c>
      <c r="C1196" s="1441" t="str">
        <f t="shared" si="37"/>
        <v>PATRUNO Gerardo</v>
      </c>
      <c r="D1196" s="1428" t="s">
        <v>9734</v>
      </c>
      <c r="E1196" s="1429">
        <v>11</v>
      </c>
      <c r="F1196" s="2197" t="s">
        <v>3070</v>
      </c>
      <c r="G1196" s="2198" t="s">
        <v>3071</v>
      </c>
      <c r="H1196" s="2197" t="s">
        <v>2749</v>
      </c>
      <c r="I1196" s="2199" t="s">
        <v>1037</v>
      </c>
      <c r="J1196" s="2196">
        <v>1340</v>
      </c>
    </row>
    <row r="1197" spans="2:10" ht="13.5" thickBot="1" x14ac:dyDescent="0.25">
      <c r="B1197" s="392" t="str">
        <f t="shared" si="36"/>
        <v>Veterans - DIMOPOULOS Periklis</v>
      </c>
      <c r="C1197" s="1441" t="str">
        <f t="shared" si="37"/>
        <v>DIMOPOULOS Periklis</v>
      </c>
      <c r="D1197" s="1428" t="s">
        <v>9734</v>
      </c>
      <c r="E1197" s="1429">
        <v>12</v>
      </c>
      <c r="F1197" s="2197" t="s">
        <v>3166</v>
      </c>
      <c r="G1197" s="2198" t="s">
        <v>3167</v>
      </c>
      <c r="H1197" s="2197" t="s">
        <v>9822</v>
      </c>
      <c r="I1197" s="2199" t="s">
        <v>1025</v>
      </c>
      <c r="J1197" s="2196">
        <v>1301</v>
      </c>
    </row>
    <row r="1198" spans="2:10" ht="13.5" thickBot="1" x14ac:dyDescent="0.25">
      <c r="B1198" s="392" t="str">
        <f t="shared" si="36"/>
        <v>Veterans - PRATS Vicenç</v>
      </c>
      <c r="C1198" s="1441" t="str">
        <f t="shared" si="37"/>
        <v>PRATS Vicenç</v>
      </c>
      <c r="D1198" s="1428" t="s">
        <v>9734</v>
      </c>
      <c r="E1198" s="1429">
        <v>13</v>
      </c>
      <c r="F1198" s="2197" t="s">
        <v>7300</v>
      </c>
      <c r="G1198" s="2198" t="s">
        <v>3057</v>
      </c>
      <c r="H1198" s="2197" t="s">
        <v>2755</v>
      </c>
      <c r="I1198" s="2199" t="s">
        <v>1015</v>
      </c>
      <c r="J1198" s="2196">
        <v>1293.5</v>
      </c>
    </row>
    <row r="1199" spans="2:10" ht="13.5" thickBot="1" x14ac:dyDescent="0.25">
      <c r="B1199" s="392" t="str">
        <f t="shared" si="36"/>
        <v>Veterans - BUSCH David</v>
      </c>
      <c r="C1199" s="1441" t="str">
        <f t="shared" si="37"/>
        <v>BUSCH David</v>
      </c>
      <c r="D1199" s="1428" t="s">
        <v>9734</v>
      </c>
      <c r="E1199" s="1429">
        <v>14</v>
      </c>
      <c r="F1199" s="2197" t="s">
        <v>3346</v>
      </c>
      <c r="G1199" s="2198" t="s">
        <v>3072</v>
      </c>
      <c r="H1199" s="2197" t="s">
        <v>10253</v>
      </c>
      <c r="I1199" s="2199" t="s">
        <v>988</v>
      </c>
      <c r="J1199" s="2196">
        <v>1145</v>
      </c>
    </row>
    <row r="1200" spans="2:10" ht="13.5" thickBot="1" x14ac:dyDescent="0.25">
      <c r="B1200" s="392" t="str">
        <f t="shared" si="36"/>
        <v>Veterans - KASTELLANOS Antonios</v>
      </c>
      <c r="C1200" s="1441" t="str">
        <f t="shared" si="37"/>
        <v>KASTELLANOS Antonios</v>
      </c>
      <c r="D1200" s="1428" t="s">
        <v>9734</v>
      </c>
      <c r="E1200" s="1429">
        <v>15</v>
      </c>
      <c r="F1200" s="2197" t="s">
        <v>8738</v>
      </c>
      <c r="G1200" s="2198" t="s">
        <v>8256</v>
      </c>
      <c r="H1200" s="2197" t="s">
        <v>10246</v>
      </c>
      <c r="I1200" s="2199" t="s">
        <v>1025</v>
      </c>
      <c r="J1200" s="2196">
        <v>1111.5</v>
      </c>
    </row>
    <row r="1201" spans="2:10" ht="13.5" thickBot="1" x14ac:dyDescent="0.25">
      <c r="B1201" s="392" t="str">
        <f t="shared" si="36"/>
        <v>Veterans - CAMILLERI Mario</v>
      </c>
      <c r="C1201" s="1441" t="str">
        <f t="shared" si="37"/>
        <v>CAMILLERI Mario</v>
      </c>
      <c r="D1201" s="1428" t="s">
        <v>9734</v>
      </c>
      <c r="E1201" s="1429">
        <v>16</v>
      </c>
      <c r="F1201" s="2197" t="s">
        <v>3153</v>
      </c>
      <c r="G1201" s="2198" t="s">
        <v>3079</v>
      </c>
      <c r="H1201" s="2197" t="s">
        <v>17363</v>
      </c>
      <c r="I1201" s="2199" t="s">
        <v>1045</v>
      </c>
      <c r="J1201" s="2196">
        <v>1087.5</v>
      </c>
    </row>
    <row r="1202" spans="2:10" ht="13.5" thickBot="1" x14ac:dyDescent="0.25">
      <c r="B1202" s="392" t="str">
        <f t="shared" si="36"/>
        <v>Veterans - LAZZARETTI Patrizio</v>
      </c>
      <c r="C1202" s="1441" t="str">
        <f t="shared" si="37"/>
        <v>LAZZARETTI Patrizio</v>
      </c>
      <c r="D1202" s="1428" t="s">
        <v>9734</v>
      </c>
      <c r="E1202" s="1429">
        <v>17</v>
      </c>
      <c r="F1202" s="2197" t="s">
        <v>8763</v>
      </c>
      <c r="G1202" s="2198" t="s">
        <v>6995</v>
      </c>
      <c r="H1202" s="2197" t="s">
        <v>2777</v>
      </c>
      <c r="I1202" s="2199" t="s">
        <v>1037</v>
      </c>
      <c r="J1202" s="2196">
        <v>1085</v>
      </c>
    </row>
    <row r="1203" spans="2:10" ht="13.5" thickBot="1" x14ac:dyDescent="0.25">
      <c r="B1203" s="392" t="str">
        <f t="shared" si="36"/>
        <v>Veterans - DOGALI Claudio</v>
      </c>
      <c r="C1203" s="1441" t="str">
        <f t="shared" si="37"/>
        <v>DOGALI Claudio</v>
      </c>
      <c r="D1203" s="1428" t="s">
        <v>9734</v>
      </c>
      <c r="E1203" s="1429">
        <v>18</v>
      </c>
      <c r="F1203" s="2197" t="s">
        <v>3595</v>
      </c>
      <c r="G1203" s="2198" t="s">
        <v>3038</v>
      </c>
      <c r="H1203" s="2197" t="s">
        <v>7867</v>
      </c>
      <c r="I1203" s="2199" t="s">
        <v>1037</v>
      </c>
      <c r="J1203" s="2196">
        <v>1044.5</v>
      </c>
    </row>
    <row r="1204" spans="2:10" ht="13.5" thickBot="1" x14ac:dyDescent="0.25">
      <c r="B1204" s="392" t="str">
        <f t="shared" si="36"/>
        <v>Veterans - CREMONA Massimo</v>
      </c>
      <c r="C1204" s="1441" t="str">
        <f t="shared" si="37"/>
        <v>CREMONA Massimo</v>
      </c>
      <c r="D1204" s="1428" t="s">
        <v>9734</v>
      </c>
      <c r="E1204" s="1429">
        <v>19</v>
      </c>
      <c r="F1204" s="2197" t="s">
        <v>18082</v>
      </c>
      <c r="G1204" s="2198" t="s">
        <v>3013</v>
      </c>
      <c r="H1204" s="2197" t="s">
        <v>11331</v>
      </c>
      <c r="I1204" s="2199" t="s">
        <v>1045</v>
      </c>
      <c r="J1204" s="2196">
        <v>1036</v>
      </c>
    </row>
    <row r="1205" spans="2:10" ht="13.5" thickBot="1" x14ac:dyDescent="0.25">
      <c r="B1205" s="392" t="str">
        <f t="shared" si="36"/>
        <v>Veterans - PERE Olivier</v>
      </c>
      <c r="C1205" s="1441" t="str">
        <f t="shared" si="37"/>
        <v>PERE Olivier</v>
      </c>
      <c r="D1205" s="1428" t="s">
        <v>9734</v>
      </c>
      <c r="E1205" s="1429">
        <v>20</v>
      </c>
      <c r="F1205" s="2197" t="s">
        <v>3420</v>
      </c>
      <c r="G1205" s="2198" t="s">
        <v>3193</v>
      </c>
      <c r="H1205" s="2197" t="s">
        <v>13519</v>
      </c>
      <c r="I1205" s="2199" t="s">
        <v>990</v>
      </c>
      <c r="J1205" s="2196">
        <v>990.5</v>
      </c>
    </row>
    <row r="1206" spans="2:10" ht="13.5" thickBot="1" x14ac:dyDescent="0.25">
      <c r="B1206" s="392" t="str">
        <f t="shared" si="36"/>
        <v>Veterans - ZAMMIT John</v>
      </c>
      <c r="C1206" s="1441" t="str">
        <f t="shared" si="37"/>
        <v>ZAMMIT John</v>
      </c>
      <c r="D1206" s="1428" t="s">
        <v>9734</v>
      </c>
      <c r="E1206" s="1429">
        <v>21</v>
      </c>
      <c r="F1206" s="2197" t="s">
        <v>3545</v>
      </c>
      <c r="G1206" s="2198" t="s">
        <v>3250</v>
      </c>
      <c r="H1206" s="2197" t="s">
        <v>10250</v>
      </c>
      <c r="I1206" s="2199" t="s">
        <v>1045</v>
      </c>
      <c r="J1206" s="2196">
        <v>905</v>
      </c>
    </row>
    <row r="1207" spans="2:10" ht="13.5" thickBot="1" x14ac:dyDescent="0.25">
      <c r="B1207" s="392" t="str">
        <f t="shared" si="36"/>
        <v>Veterans - TORANO Francesco</v>
      </c>
      <c r="C1207" s="1441" t="str">
        <f t="shared" si="37"/>
        <v>TORANO Francesco</v>
      </c>
      <c r="D1207" s="1428" t="s">
        <v>9734</v>
      </c>
      <c r="E1207" s="1429">
        <v>22</v>
      </c>
      <c r="F1207" s="2197" t="s">
        <v>3401</v>
      </c>
      <c r="G1207" s="2198" t="s">
        <v>3277</v>
      </c>
      <c r="H1207" s="2197" t="s">
        <v>7867</v>
      </c>
      <c r="I1207" s="2199" t="s">
        <v>1037</v>
      </c>
      <c r="J1207" s="2196">
        <v>843.5</v>
      </c>
    </row>
    <row r="1208" spans="2:10" ht="13.5" thickBot="1" x14ac:dyDescent="0.25">
      <c r="B1208" s="392" t="str">
        <f t="shared" si="36"/>
        <v>Veterans - ALESSI Carlo</v>
      </c>
      <c r="C1208" s="1441" t="str">
        <f t="shared" si="37"/>
        <v>ALESSI Carlo</v>
      </c>
      <c r="D1208" s="1428" t="s">
        <v>9734</v>
      </c>
      <c r="E1208" s="1429">
        <v>23</v>
      </c>
      <c r="F1208" s="2197" t="s">
        <v>3597</v>
      </c>
      <c r="G1208" s="2198" t="s">
        <v>3266</v>
      </c>
      <c r="H1208" s="2197" t="s">
        <v>7867</v>
      </c>
      <c r="I1208" s="2199" t="s">
        <v>1037</v>
      </c>
      <c r="J1208" s="2196">
        <v>841</v>
      </c>
    </row>
    <row r="1209" spans="2:10" ht="13.5" thickBot="1" x14ac:dyDescent="0.25">
      <c r="B1209" s="392" t="str">
        <f t="shared" si="36"/>
        <v>Veterans - CROATTI Massimiliano</v>
      </c>
      <c r="C1209" s="1441" t="str">
        <f t="shared" si="37"/>
        <v>CROATTI Massimiliano</v>
      </c>
      <c r="D1209" s="1428" t="s">
        <v>9734</v>
      </c>
      <c r="E1209" s="1429">
        <v>24</v>
      </c>
      <c r="F1209" s="2197" t="s">
        <v>3185</v>
      </c>
      <c r="G1209" s="2198" t="s">
        <v>3023</v>
      </c>
      <c r="H1209" s="2197" t="s">
        <v>7867</v>
      </c>
      <c r="I1209" s="2199" t="s">
        <v>1037</v>
      </c>
      <c r="J1209" s="2196">
        <v>828.5</v>
      </c>
    </row>
    <row r="1210" spans="2:10" ht="13.5" thickBot="1" x14ac:dyDescent="0.25">
      <c r="B1210" s="392" t="str">
        <f t="shared" si="36"/>
        <v>Veterans - VARNEY Bob</v>
      </c>
      <c r="C1210" s="1441" t="str">
        <f t="shared" si="37"/>
        <v>VARNEY Bob</v>
      </c>
      <c r="D1210" s="1428" t="s">
        <v>9734</v>
      </c>
      <c r="E1210" s="1429">
        <v>25</v>
      </c>
      <c r="F1210" s="2197" t="s">
        <v>11439</v>
      </c>
      <c r="G1210" s="2198" t="s">
        <v>3637</v>
      </c>
      <c r="H1210" s="2197" t="s">
        <v>7183</v>
      </c>
      <c r="I1210" s="2199" t="s">
        <v>1013</v>
      </c>
      <c r="J1210" s="2196">
        <v>810</v>
      </c>
    </row>
    <row r="1211" spans="2:10" ht="13.5" thickBot="1" x14ac:dyDescent="0.25">
      <c r="B1211" s="392" t="str">
        <f t="shared" si="36"/>
        <v>Veterans - CLARK Darren</v>
      </c>
      <c r="C1211" s="1441" t="str">
        <f t="shared" si="37"/>
        <v>CLARK Darren</v>
      </c>
      <c r="D1211" s="1428" t="s">
        <v>9734</v>
      </c>
      <c r="E1211" s="1429">
        <v>26</v>
      </c>
      <c r="F1211" s="2197" t="s">
        <v>14162</v>
      </c>
      <c r="G1211" s="2198" t="s">
        <v>3150</v>
      </c>
      <c r="H1211" s="2197" t="s">
        <v>7183</v>
      </c>
      <c r="I1211" s="2199" t="s">
        <v>1013</v>
      </c>
      <c r="J1211" s="2196">
        <v>781.5</v>
      </c>
    </row>
    <row r="1212" spans="2:10" ht="13.5" thickBot="1" x14ac:dyDescent="0.25">
      <c r="B1212" s="392" t="str">
        <f t="shared" si="36"/>
        <v>Veterans - ANGELINAS Christos</v>
      </c>
      <c r="C1212" s="1441" t="str">
        <f t="shared" si="37"/>
        <v>ANGELINAS Christos</v>
      </c>
      <c r="D1212" s="1428" t="s">
        <v>9734</v>
      </c>
      <c r="E1212" s="1429">
        <v>27</v>
      </c>
      <c r="F1212" s="2197" t="s">
        <v>8722</v>
      </c>
      <c r="G1212" s="2198" t="s">
        <v>3135</v>
      </c>
      <c r="H1212" s="2197" t="s">
        <v>13519</v>
      </c>
      <c r="I1212" s="2199" t="s">
        <v>1025</v>
      </c>
      <c r="J1212" s="2196">
        <v>716.5</v>
      </c>
    </row>
    <row r="1213" spans="2:10" ht="13.5" thickBot="1" x14ac:dyDescent="0.25">
      <c r="B1213" s="392" t="str">
        <f t="shared" si="36"/>
        <v>Veterans - MASSART Benoît</v>
      </c>
      <c r="C1213" s="1441" t="str">
        <f t="shared" si="37"/>
        <v>MASSART Benoît</v>
      </c>
      <c r="D1213" s="1428" t="s">
        <v>9734</v>
      </c>
      <c r="E1213" s="1429">
        <v>28</v>
      </c>
      <c r="F1213" s="2197" t="s">
        <v>3598</v>
      </c>
      <c r="G1213" s="2198" t="s">
        <v>3285</v>
      </c>
      <c r="H1213" s="2197" t="s">
        <v>2779</v>
      </c>
      <c r="I1213" s="2199" t="s">
        <v>990</v>
      </c>
      <c r="J1213" s="2196">
        <v>694.5</v>
      </c>
    </row>
    <row r="1214" spans="2:10" ht="13.5" thickBot="1" x14ac:dyDescent="0.25">
      <c r="B1214" s="392" t="str">
        <f t="shared" si="36"/>
        <v>Veterans - SALAMOURIS Ioannis</v>
      </c>
      <c r="C1214" s="1441" t="str">
        <f t="shared" si="37"/>
        <v>SALAMOURIS Ioannis</v>
      </c>
      <c r="D1214" s="1428" t="s">
        <v>9734</v>
      </c>
      <c r="E1214" s="1429">
        <v>29</v>
      </c>
      <c r="F1214" s="2197" t="s">
        <v>11341</v>
      </c>
      <c r="G1214" s="2198" t="s">
        <v>3350</v>
      </c>
      <c r="H1214" s="2197" t="s">
        <v>3041</v>
      </c>
      <c r="I1214" s="2199" t="s">
        <v>1025</v>
      </c>
      <c r="J1214" s="2196">
        <v>669.5</v>
      </c>
    </row>
    <row r="1215" spans="2:10" ht="13.5" thickBot="1" x14ac:dyDescent="0.25">
      <c r="B1215" s="392" t="str">
        <f t="shared" si="36"/>
        <v>Veterans - BENITA Raúl</v>
      </c>
      <c r="C1215" s="1441" t="str">
        <f t="shared" si="37"/>
        <v>BENITA Raúl</v>
      </c>
      <c r="D1215" s="1428" t="s">
        <v>9734</v>
      </c>
      <c r="E1215" s="1429">
        <v>30</v>
      </c>
      <c r="F1215" s="2197" t="s">
        <v>14166</v>
      </c>
      <c r="G1215" s="2198" t="s">
        <v>3497</v>
      </c>
      <c r="H1215" s="2197" t="s">
        <v>7869</v>
      </c>
      <c r="I1215" s="2199" t="s">
        <v>1015</v>
      </c>
      <c r="J1215" s="2196">
        <v>624</v>
      </c>
    </row>
    <row r="1216" spans="2:10" ht="13.5" thickBot="1" x14ac:dyDescent="0.25">
      <c r="B1216" s="392" t="str">
        <f t="shared" si="36"/>
        <v>Veterans - STILLER Frank</v>
      </c>
      <c r="C1216" s="1441" t="str">
        <f t="shared" si="37"/>
        <v>STILLER Frank</v>
      </c>
      <c r="D1216" s="1428" t="s">
        <v>9734</v>
      </c>
      <c r="E1216" s="1429">
        <v>31</v>
      </c>
      <c r="F1216" s="2197" t="s">
        <v>11415</v>
      </c>
      <c r="G1216" s="2198" t="s">
        <v>3207</v>
      </c>
      <c r="H1216" s="2197" t="s">
        <v>7867</v>
      </c>
      <c r="I1216" s="2199" t="s">
        <v>1021</v>
      </c>
      <c r="J1216" s="2196">
        <v>603.5</v>
      </c>
    </row>
    <row r="1217" spans="2:10" ht="13.5" thickBot="1" x14ac:dyDescent="0.25">
      <c r="B1217" s="392" t="str">
        <f t="shared" si="36"/>
        <v>Veterans - CANICCHIO Lucio</v>
      </c>
      <c r="C1217" s="1441" t="str">
        <f t="shared" si="37"/>
        <v>CANICCHIO Lucio</v>
      </c>
      <c r="D1217" s="1428" t="s">
        <v>9734</v>
      </c>
      <c r="E1217" s="1429">
        <v>32</v>
      </c>
      <c r="F1217" s="2197" t="s">
        <v>3067</v>
      </c>
      <c r="G1217" s="2198" t="s">
        <v>3068</v>
      </c>
      <c r="H1217" s="2197" t="s">
        <v>5311</v>
      </c>
      <c r="I1217" s="2199" t="s">
        <v>1037</v>
      </c>
      <c r="J1217" s="2196">
        <v>575</v>
      </c>
    </row>
    <row r="1218" spans="2:10" ht="13.5" thickBot="1" x14ac:dyDescent="0.25">
      <c r="B1218" s="392" t="str">
        <f t="shared" si="36"/>
        <v>Veterans - CORRADI Mario</v>
      </c>
      <c r="C1218" s="1441" t="str">
        <f t="shared" si="37"/>
        <v>CORRADI Mario</v>
      </c>
      <c r="D1218" s="1428" t="s">
        <v>9734</v>
      </c>
      <c r="E1218" s="1429">
        <v>33</v>
      </c>
      <c r="F1218" s="2197" t="s">
        <v>3289</v>
      </c>
      <c r="G1218" s="2198" t="s">
        <v>3079</v>
      </c>
      <c r="H1218" s="2197" t="s">
        <v>2765</v>
      </c>
      <c r="I1218" s="2199" t="s">
        <v>1037</v>
      </c>
      <c r="J1218" s="2196">
        <v>536.5</v>
      </c>
    </row>
    <row r="1219" spans="2:10" ht="13.5" thickBot="1" x14ac:dyDescent="0.25">
      <c r="B1219" s="392" t="str">
        <f t="shared" si="36"/>
        <v>Veterans - SANTANICCHIA Cesare</v>
      </c>
      <c r="C1219" s="1441" t="str">
        <f t="shared" si="37"/>
        <v>SANTANICCHIA Cesare</v>
      </c>
      <c r="D1219" s="1428" t="s">
        <v>9734</v>
      </c>
      <c r="E1219" s="1429">
        <v>34</v>
      </c>
      <c r="F1219" s="2197" t="s">
        <v>14244</v>
      </c>
      <c r="G1219" s="2198" t="s">
        <v>3288</v>
      </c>
      <c r="H1219" s="2197" t="s">
        <v>11325</v>
      </c>
      <c r="I1219" s="2199" t="s">
        <v>1037</v>
      </c>
      <c r="J1219" s="2196">
        <v>508</v>
      </c>
    </row>
    <row r="1220" spans="2:10" ht="13.5" thickBot="1" x14ac:dyDescent="0.25">
      <c r="B1220" s="392" t="str">
        <f t="shared" si="36"/>
        <v>Veterans - COLL Ferran</v>
      </c>
      <c r="C1220" s="1441" t="str">
        <f t="shared" si="37"/>
        <v>COLL Ferran</v>
      </c>
      <c r="D1220" s="1428" t="s">
        <v>9734</v>
      </c>
      <c r="E1220" s="1429">
        <v>35</v>
      </c>
      <c r="F1220" s="2197" t="s">
        <v>3387</v>
      </c>
      <c r="G1220" s="2198" t="s">
        <v>7299</v>
      </c>
      <c r="H1220" s="2197" t="s">
        <v>2755</v>
      </c>
      <c r="I1220" s="2199" t="s">
        <v>1015</v>
      </c>
      <c r="J1220" s="2196">
        <v>493</v>
      </c>
    </row>
    <row r="1221" spans="2:10" ht="13.5" thickBot="1" x14ac:dyDescent="0.25">
      <c r="B1221" s="392" t="str">
        <f t="shared" si="36"/>
        <v>Veterans - CHARATSIS Panagiotis</v>
      </c>
      <c r="C1221" s="1441" t="str">
        <f t="shared" si="37"/>
        <v>CHARATSIS Panagiotis</v>
      </c>
      <c r="D1221" s="1428" t="s">
        <v>9734</v>
      </c>
      <c r="E1221" s="1429">
        <v>36</v>
      </c>
      <c r="F1221" s="2197" t="s">
        <v>10300</v>
      </c>
      <c r="G1221" s="2198" t="s">
        <v>3249</v>
      </c>
      <c r="H1221" s="2197" t="s">
        <v>5309</v>
      </c>
      <c r="I1221" s="2199" t="s">
        <v>1025</v>
      </c>
      <c r="J1221" s="2196">
        <v>471.5</v>
      </c>
    </row>
    <row r="1222" spans="2:10" ht="13.5" thickBot="1" x14ac:dyDescent="0.25">
      <c r="B1222" s="392" t="str">
        <f t="shared" si="36"/>
        <v>Veterans - QUATTRINI Francesco</v>
      </c>
      <c r="C1222" s="1441" t="str">
        <f t="shared" si="37"/>
        <v>QUATTRINI Francesco</v>
      </c>
      <c r="D1222" s="1428" t="s">
        <v>9734</v>
      </c>
      <c r="E1222" s="1429">
        <v>37</v>
      </c>
      <c r="F1222" s="2197" t="s">
        <v>14988</v>
      </c>
      <c r="G1222" s="2198" t="s">
        <v>3277</v>
      </c>
      <c r="H1222" s="2197" t="s">
        <v>2749</v>
      </c>
      <c r="I1222" s="2199" t="s">
        <v>1037</v>
      </c>
      <c r="J1222" s="2196">
        <v>470</v>
      </c>
    </row>
    <row r="1223" spans="2:10" ht="13.5" thickBot="1" x14ac:dyDescent="0.25">
      <c r="B1223" s="392" t="str">
        <f t="shared" ref="B1223:B1286" si="38">CONCATENATE(D1223," - ",C1223)</f>
        <v>Veterans - SANDNER Stefan</v>
      </c>
      <c r="C1223" s="1441" t="str">
        <f t="shared" ref="C1223:C1286" si="39">CONCATENATE(UPPER(F1223)," ",G1223)</f>
        <v>SANDNER Stefan</v>
      </c>
      <c r="D1223" s="1428" t="s">
        <v>9734</v>
      </c>
      <c r="E1223" s="1429">
        <v>38</v>
      </c>
      <c r="F1223" s="2197" t="s">
        <v>14267</v>
      </c>
      <c r="G1223" s="2198" t="s">
        <v>3385</v>
      </c>
      <c r="H1223" s="2197" t="s">
        <v>2748</v>
      </c>
      <c r="I1223" s="2199" t="s">
        <v>988</v>
      </c>
      <c r="J1223" s="2196">
        <v>469</v>
      </c>
    </row>
    <row r="1224" spans="2:10" ht="13.5" thickBot="1" x14ac:dyDescent="0.25">
      <c r="B1224" s="392" t="str">
        <f t="shared" si="38"/>
        <v>Veterans - SANTOS Manuel</v>
      </c>
      <c r="C1224" s="1441" t="str">
        <f t="shared" si="39"/>
        <v>SANTOS Manuel</v>
      </c>
      <c r="D1224" s="1428" t="s">
        <v>9734</v>
      </c>
      <c r="E1224" s="1429">
        <v>39</v>
      </c>
      <c r="F1224" s="2197" t="s">
        <v>3170</v>
      </c>
      <c r="G1224" s="2198" t="s">
        <v>3171</v>
      </c>
      <c r="H1224" s="2197" t="s">
        <v>13477</v>
      </c>
      <c r="I1224" s="2199" t="s">
        <v>1061</v>
      </c>
      <c r="J1224" s="2196">
        <v>449</v>
      </c>
    </row>
    <row r="1225" spans="2:10" ht="13.5" thickBot="1" x14ac:dyDescent="0.25">
      <c r="B1225" s="392" t="str">
        <f t="shared" si="38"/>
        <v>Veterans - DERVIS Adrianos</v>
      </c>
      <c r="C1225" s="1441" t="str">
        <f t="shared" si="39"/>
        <v>DERVIS Adrianos</v>
      </c>
      <c r="D1225" s="1428" t="s">
        <v>9734</v>
      </c>
      <c r="E1225" s="1429">
        <v>40</v>
      </c>
      <c r="F1225" s="2197" t="s">
        <v>3115</v>
      </c>
      <c r="G1225" s="2198" t="s">
        <v>8243</v>
      </c>
      <c r="H1225" s="2197" t="s">
        <v>10263</v>
      </c>
      <c r="I1225" s="2199" t="s">
        <v>1025</v>
      </c>
      <c r="J1225" s="2196">
        <v>446.5</v>
      </c>
    </row>
    <row r="1226" spans="2:10" ht="13.5" thickBot="1" x14ac:dyDescent="0.25">
      <c r="B1226" s="392" t="str">
        <f t="shared" si="38"/>
        <v>Veterans - HINKELMANN Erich</v>
      </c>
      <c r="C1226" s="1441" t="str">
        <f t="shared" si="39"/>
        <v>HINKELMANN Erich</v>
      </c>
      <c r="D1226" s="1428" t="s">
        <v>9734</v>
      </c>
      <c r="E1226" s="1429">
        <v>41</v>
      </c>
      <c r="F1226" s="2197" t="s">
        <v>3139</v>
      </c>
      <c r="G1226" s="2198" t="s">
        <v>3140</v>
      </c>
      <c r="H1226" s="2197" t="s">
        <v>8871</v>
      </c>
      <c r="I1226" s="2199" t="s">
        <v>988</v>
      </c>
      <c r="J1226" s="2196">
        <v>416.5</v>
      </c>
    </row>
    <row r="1227" spans="2:10" ht="13.5" thickBot="1" x14ac:dyDescent="0.25">
      <c r="B1227" s="392" t="str">
        <f t="shared" si="38"/>
        <v>Veterans - SANTOS José</v>
      </c>
      <c r="C1227" s="1441" t="str">
        <f t="shared" si="39"/>
        <v>SANTOS José</v>
      </c>
      <c r="D1227" s="1428" t="s">
        <v>9734</v>
      </c>
      <c r="E1227" s="1429">
        <v>42</v>
      </c>
      <c r="F1227" s="2197" t="s">
        <v>3170</v>
      </c>
      <c r="G1227" s="2198" t="s">
        <v>3232</v>
      </c>
      <c r="H1227" s="2197" t="s">
        <v>15138</v>
      </c>
      <c r="I1227" s="2199" t="s">
        <v>1061</v>
      </c>
      <c r="J1227" s="2196">
        <v>409</v>
      </c>
    </row>
    <row r="1228" spans="2:10" ht="13.5" thickBot="1" x14ac:dyDescent="0.25">
      <c r="B1228" s="392" t="str">
        <f t="shared" si="38"/>
        <v>Veterans - BELLONI Fabio</v>
      </c>
      <c r="C1228" s="1441" t="str">
        <f t="shared" si="39"/>
        <v>BELLONI Fabio</v>
      </c>
      <c r="D1228" s="1428" t="s">
        <v>9734</v>
      </c>
      <c r="E1228" s="1429">
        <v>43</v>
      </c>
      <c r="F1228" s="2197" t="s">
        <v>16746</v>
      </c>
      <c r="G1228" s="2198" t="s">
        <v>3133</v>
      </c>
      <c r="H1228" s="2197" t="s">
        <v>9822</v>
      </c>
      <c r="I1228" s="2199" t="s">
        <v>1037</v>
      </c>
      <c r="J1228" s="2196">
        <v>400</v>
      </c>
    </row>
    <row r="1229" spans="2:10" ht="13.5" thickBot="1" x14ac:dyDescent="0.25">
      <c r="B1229" s="392" t="str">
        <f t="shared" si="38"/>
        <v>Veterans - THREIS Eric</v>
      </c>
      <c r="C1229" s="1441" t="str">
        <f t="shared" si="39"/>
        <v>THREIS Eric</v>
      </c>
      <c r="D1229" s="1428" t="s">
        <v>9734</v>
      </c>
      <c r="E1229" s="1429">
        <v>44</v>
      </c>
      <c r="F1229" s="2197" t="s">
        <v>3241</v>
      </c>
      <c r="G1229" s="2198" t="s">
        <v>3044</v>
      </c>
      <c r="H1229" s="2197" t="s">
        <v>10250</v>
      </c>
      <c r="I1229" s="2199" t="s">
        <v>990</v>
      </c>
      <c r="J1229" s="2196">
        <v>380.5</v>
      </c>
    </row>
    <row r="1230" spans="2:10" ht="13.5" thickBot="1" x14ac:dyDescent="0.25">
      <c r="B1230" s="392" t="str">
        <f t="shared" si="38"/>
        <v>Veterans - CUENCA Jean Michel</v>
      </c>
      <c r="C1230" s="1441" t="str">
        <f t="shared" si="39"/>
        <v>CUENCA Jean Michel</v>
      </c>
      <c r="D1230" s="1428" t="s">
        <v>9734</v>
      </c>
      <c r="E1230" s="1429">
        <v>45</v>
      </c>
      <c r="F1230" s="2197" t="s">
        <v>16747</v>
      </c>
      <c r="G1230" s="2198" t="s">
        <v>14459</v>
      </c>
      <c r="H1230" s="2197" t="s">
        <v>2755</v>
      </c>
      <c r="I1230" s="2199" t="s">
        <v>1015</v>
      </c>
      <c r="J1230" s="2196">
        <v>368</v>
      </c>
    </row>
    <row r="1231" spans="2:10" ht="13.5" thickBot="1" x14ac:dyDescent="0.25">
      <c r="B1231" s="392" t="str">
        <f t="shared" si="38"/>
        <v>Veterans - GRANADOS Juan Carlos</v>
      </c>
      <c r="C1231" s="1441" t="str">
        <f t="shared" si="39"/>
        <v>GRANADOS Juan Carlos</v>
      </c>
      <c r="D1231" s="1428" t="s">
        <v>9734</v>
      </c>
      <c r="E1231" s="1429">
        <v>46</v>
      </c>
      <c r="F1231" s="2197" t="s">
        <v>7298</v>
      </c>
      <c r="G1231" s="2198" t="s">
        <v>3091</v>
      </c>
      <c r="H1231" s="2197" t="s">
        <v>7183</v>
      </c>
      <c r="I1231" s="2199" t="s">
        <v>1015</v>
      </c>
      <c r="J1231" s="2196">
        <v>358</v>
      </c>
    </row>
    <row r="1232" spans="2:10" ht="13.5" thickBot="1" x14ac:dyDescent="0.25">
      <c r="B1232" s="392" t="str">
        <f t="shared" si="38"/>
        <v>Veterans - LÓPEZ Luis</v>
      </c>
      <c r="C1232" s="1441" t="str">
        <f t="shared" si="39"/>
        <v>LÓPEZ Luis</v>
      </c>
      <c r="D1232" s="1428" t="s">
        <v>9734</v>
      </c>
      <c r="E1232" s="1429">
        <v>47</v>
      </c>
      <c r="F1232" s="2197" t="s">
        <v>7278</v>
      </c>
      <c r="G1232" s="2198" t="s">
        <v>3683</v>
      </c>
      <c r="H1232" s="2197" t="s">
        <v>2755</v>
      </c>
      <c r="I1232" s="2199" t="s">
        <v>1015</v>
      </c>
      <c r="J1232" s="2196">
        <v>338</v>
      </c>
    </row>
    <row r="1233" spans="2:10" ht="13.5" thickBot="1" x14ac:dyDescent="0.25">
      <c r="B1233" s="392" t="str">
        <f t="shared" si="38"/>
        <v>Veterans - NORONHA Nuno</v>
      </c>
      <c r="C1233" s="1441" t="str">
        <f t="shared" si="39"/>
        <v>NORONHA Nuno</v>
      </c>
      <c r="D1233" s="1428" t="s">
        <v>9734</v>
      </c>
      <c r="E1233" s="1429">
        <v>48</v>
      </c>
      <c r="F1233" s="2197" t="s">
        <v>3092</v>
      </c>
      <c r="G1233" s="2198" t="s">
        <v>3093</v>
      </c>
      <c r="H1233" s="2197" t="s">
        <v>5314</v>
      </c>
      <c r="I1233" s="2199" t="s">
        <v>1061</v>
      </c>
      <c r="J1233" s="2196">
        <v>324</v>
      </c>
    </row>
    <row r="1234" spans="2:10" ht="13.5" thickBot="1" x14ac:dyDescent="0.25">
      <c r="B1234" s="392" t="str">
        <f t="shared" si="38"/>
        <v>Veterans - BAMBERZKY Günther</v>
      </c>
      <c r="C1234" s="1441" t="str">
        <f t="shared" si="39"/>
        <v>BAMBERZKY Günther</v>
      </c>
      <c r="D1234" s="1428" t="s">
        <v>9734</v>
      </c>
      <c r="E1234" s="1429">
        <v>49</v>
      </c>
      <c r="F1234" s="2197" t="s">
        <v>3438</v>
      </c>
      <c r="G1234" s="2198" t="s">
        <v>3439</v>
      </c>
      <c r="H1234" s="2197" t="s">
        <v>15175</v>
      </c>
      <c r="I1234" s="2199" t="s">
        <v>988</v>
      </c>
      <c r="J1234" s="2196">
        <v>307.5</v>
      </c>
    </row>
    <row r="1235" spans="2:10" ht="13.5" thickBot="1" x14ac:dyDescent="0.25">
      <c r="B1235" s="392" t="str">
        <f t="shared" si="38"/>
        <v>Veterans - KROMMYDAS Panagiotis</v>
      </c>
      <c r="C1235" s="1441" t="str">
        <f t="shared" si="39"/>
        <v>KROMMYDAS Panagiotis</v>
      </c>
      <c r="D1235" s="1428" t="s">
        <v>9734</v>
      </c>
      <c r="E1235" s="1429">
        <v>50</v>
      </c>
      <c r="F1235" s="2197" t="s">
        <v>11434</v>
      </c>
      <c r="G1235" s="2198" t="s">
        <v>3249</v>
      </c>
      <c r="H1235" s="2197" t="s">
        <v>14585</v>
      </c>
      <c r="I1235" s="2199" t="s">
        <v>1021</v>
      </c>
      <c r="J1235" s="2196">
        <v>292</v>
      </c>
    </row>
    <row r="1236" spans="2:10" ht="13.5" thickBot="1" x14ac:dyDescent="0.25">
      <c r="B1236" s="392" t="str">
        <f t="shared" si="38"/>
        <v>Veterans - GÓMEZ Alberto</v>
      </c>
      <c r="C1236" s="1441" t="str">
        <f t="shared" si="39"/>
        <v>GÓMEZ Alberto</v>
      </c>
      <c r="D1236" s="1428" t="s">
        <v>9734</v>
      </c>
      <c r="E1236" s="1429">
        <v>51</v>
      </c>
      <c r="F1236" s="2197" t="s">
        <v>7765</v>
      </c>
      <c r="G1236" s="2198" t="s">
        <v>3042</v>
      </c>
      <c r="H1236" s="2197" t="s">
        <v>14454</v>
      </c>
      <c r="I1236" s="2199" t="s">
        <v>1015</v>
      </c>
      <c r="J1236" s="2196">
        <v>286</v>
      </c>
    </row>
    <row r="1237" spans="2:10" ht="13.5" thickBot="1" x14ac:dyDescent="0.25">
      <c r="B1237" s="392" t="str">
        <f t="shared" si="38"/>
        <v>Veterans - KOURABAS Dimitris</v>
      </c>
      <c r="C1237" s="1441" t="str">
        <f t="shared" si="39"/>
        <v>KOURABAS Dimitris</v>
      </c>
      <c r="D1237" s="1428" t="s">
        <v>9734</v>
      </c>
      <c r="E1237" s="1429">
        <v>52</v>
      </c>
      <c r="F1237" s="2197" t="s">
        <v>3098</v>
      </c>
      <c r="G1237" s="2198" t="s">
        <v>3099</v>
      </c>
      <c r="H1237" s="2197" t="s">
        <v>13590</v>
      </c>
      <c r="I1237" s="2199" t="s">
        <v>1025</v>
      </c>
      <c r="J1237" s="2196">
        <v>274</v>
      </c>
    </row>
    <row r="1238" spans="2:10" ht="13.5" thickBot="1" x14ac:dyDescent="0.25">
      <c r="B1238" s="392" t="str">
        <f t="shared" si="38"/>
        <v>Veterans - APATZIS Alexandros</v>
      </c>
      <c r="C1238" s="1441" t="str">
        <f t="shared" si="39"/>
        <v>APATZIS Alexandros</v>
      </c>
      <c r="D1238" s="1428" t="s">
        <v>9734</v>
      </c>
      <c r="E1238" s="1429">
        <v>53</v>
      </c>
      <c r="F1238" s="2197" t="s">
        <v>8749</v>
      </c>
      <c r="G1238" s="2198" t="s">
        <v>3582</v>
      </c>
      <c r="H1238" s="2197" t="s">
        <v>13590</v>
      </c>
      <c r="I1238" s="2199" t="s">
        <v>1025</v>
      </c>
      <c r="J1238" s="2196">
        <v>268</v>
      </c>
    </row>
    <row r="1239" spans="2:10" ht="13.5" thickBot="1" x14ac:dyDescent="0.25">
      <c r="B1239" s="392" t="str">
        <f t="shared" si="38"/>
        <v>Veterans - DUBOIS Xavier</v>
      </c>
      <c r="C1239" s="1441" t="str">
        <f t="shared" si="39"/>
        <v>DUBOIS Xavier</v>
      </c>
      <c r="D1239" s="1428" t="s">
        <v>9734</v>
      </c>
      <c r="E1239" s="1429">
        <v>54</v>
      </c>
      <c r="F1239" s="2197" t="s">
        <v>3604</v>
      </c>
      <c r="G1239" s="2198" t="s">
        <v>3295</v>
      </c>
      <c r="H1239" s="2197" t="s">
        <v>2893</v>
      </c>
      <c r="I1239" s="2199" t="s">
        <v>1019</v>
      </c>
      <c r="J1239" s="2196">
        <v>263.5</v>
      </c>
    </row>
    <row r="1240" spans="2:10" ht="13.5" thickBot="1" x14ac:dyDescent="0.25">
      <c r="B1240" s="392" t="str">
        <f t="shared" si="38"/>
        <v>Veterans - VIVRON Thierry</v>
      </c>
      <c r="C1240" s="1441" t="str">
        <f t="shared" si="39"/>
        <v>VIVRON Thierry</v>
      </c>
      <c r="D1240" s="1428" t="s">
        <v>9734</v>
      </c>
      <c r="E1240" s="1429">
        <v>55</v>
      </c>
      <c r="F1240" s="2197" t="s">
        <v>3331</v>
      </c>
      <c r="G1240" s="2198" t="s">
        <v>3332</v>
      </c>
      <c r="H1240" s="2197" t="s">
        <v>2754</v>
      </c>
      <c r="I1240" s="2199" t="s">
        <v>1019</v>
      </c>
      <c r="J1240" s="2196">
        <v>257</v>
      </c>
    </row>
    <row r="1241" spans="2:10" ht="13.5" thickBot="1" x14ac:dyDescent="0.25">
      <c r="B1241" s="392" t="str">
        <f t="shared" si="38"/>
        <v>Veterans - ROCHEZ Sébastien</v>
      </c>
      <c r="C1241" s="1441" t="str">
        <f t="shared" si="39"/>
        <v>ROCHEZ Sébastien</v>
      </c>
      <c r="D1241" s="1428" t="s">
        <v>9734</v>
      </c>
      <c r="E1241" s="1429">
        <v>55</v>
      </c>
      <c r="F1241" s="2197" t="s">
        <v>16869</v>
      </c>
      <c r="G1241" s="2198" t="s">
        <v>3043</v>
      </c>
      <c r="H1241" s="2197" t="s">
        <v>10250</v>
      </c>
      <c r="I1241" s="2199" t="s">
        <v>990</v>
      </c>
      <c r="J1241" s="2196">
        <v>257</v>
      </c>
    </row>
    <row r="1242" spans="2:10" ht="13.5" thickBot="1" x14ac:dyDescent="0.25">
      <c r="B1242" s="392" t="str">
        <f t="shared" si="38"/>
        <v>Veterans - MULASMAJIC Edin</v>
      </c>
      <c r="C1242" s="1441" t="str">
        <f t="shared" si="39"/>
        <v>MULASMAJIC Edin</v>
      </c>
      <c r="D1242" s="1428" t="s">
        <v>9734</v>
      </c>
      <c r="E1242" s="1429">
        <v>57</v>
      </c>
      <c r="F1242" s="2197" t="s">
        <v>11438</v>
      </c>
      <c r="G1242" s="2198" t="s">
        <v>6959</v>
      </c>
      <c r="H1242" s="2197" t="s">
        <v>11409</v>
      </c>
      <c r="I1242" s="2199" t="s">
        <v>1021</v>
      </c>
      <c r="J1242" s="2196">
        <v>255.5</v>
      </c>
    </row>
    <row r="1243" spans="2:10" ht="13.5" thickBot="1" x14ac:dyDescent="0.25">
      <c r="B1243" s="392" t="str">
        <f t="shared" si="38"/>
        <v>Veterans - LIM Bernard</v>
      </c>
      <c r="C1243" s="1441" t="str">
        <f t="shared" si="39"/>
        <v>LIM Bernard</v>
      </c>
      <c r="D1243" s="1428" t="s">
        <v>9734</v>
      </c>
      <c r="E1243" s="1429">
        <v>58</v>
      </c>
      <c r="F1243" s="2197" t="s">
        <v>3532</v>
      </c>
      <c r="G1243" s="2198" t="s">
        <v>5518</v>
      </c>
      <c r="H1243" s="2197" t="s">
        <v>7270</v>
      </c>
      <c r="I1243" s="2199" t="s">
        <v>7916</v>
      </c>
      <c r="J1243" s="2196">
        <v>252</v>
      </c>
    </row>
    <row r="1244" spans="2:10" ht="13.5" thickBot="1" x14ac:dyDescent="0.25">
      <c r="B1244" s="392" t="str">
        <f t="shared" si="38"/>
        <v>Veterans - ZAVOS Giorgos</v>
      </c>
      <c r="C1244" s="1441" t="str">
        <f t="shared" si="39"/>
        <v>ZAVOS Giorgos</v>
      </c>
      <c r="D1244" s="1428" t="s">
        <v>9734</v>
      </c>
      <c r="E1244" s="1429">
        <v>59</v>
      </c>
      <c r="F1244" s="2197" t="s">
        <v>5625</v>
      </c>
      <c r="G1244" s="2198" t="s">
        <v>3040</v>
      </c>
      <c r="H1244" s="2197" t="s">
        <v>5309</v>
      </c>
      <c r="I1244" s="2199" t="s">
        <v>1025</v>
      </c>
      <c r="J1244" s="2196">
        <v>251</v>
      </c>
    </row>
    <row r="1245" spans="2:10" ht="13.5" thickBot="1" x14ac:dyDescent="0.25">
      <c r="B1245" s="392" t="str">
        <f t="shared" si="38"/>
        <v>Veterans - NASZALYI Eric</v>
      </c>
      <c r="C1245" s="1441" t="str">
        <f t="shared" si="39"/>
        <v>NASZALYI Eric</v>
      </c>
      <c r="D1245" s="1428" t="s">
        <v>9734</v>
      </c>
      <c r="E1245" s="1429">
        <v>60</v>
      </c>
      <c r="F1245" s="2197" t="s">
        <v>3436</v>
      </c>
      <c r="G1245" s="2198" t="s">
        <v>3044</v>
      </c>
      <c r="H1245" s="2197" t="s">
        <v>2754</v>
      </c>
      <c r="I1245" s="2199" t="s">
        <v>1019</v>
      </c>
      <c r="J1245" s="2196">
        <v>235</v>
      </c>
    </row>
    <row r="1246" spans="2:10" ht="13.5" thickBot="1" x14ac:dyDescent="0.25">
      <c r="B1246" s="392" t="str">
        <f t="shared" si="38"/>
        <v>Veterans - BELLOTTO Edoardo</v>
      </c>
      <c r="C1246" s="1441" t="str">
        <f t="shared" si="39"/>
        <v>BELLOTTO Edoardo</v>
      </c>
      <c r="D1246" s="1428" t="s">
        <v>9734</v>
      </c>
      <c r="E1246" s="1429">
        <v>61</v>
      </c>
      <c r="F1246" s="2197" t="s">
        <v>3634</v>
      </c>
      <c r="G1246" s="2198" t="s">
        <v>3558</v>
      </c>
      <c r="H1246" s="2197" t="s">
        <v>16843</v>
      </c>
      <c r="I1246" s="2199" t="s">
        <v>1037</v>
      </c>
      <c r="J1246" s="2196">
        <v>226</v>
      </c>
    </row>
    <row r="1247" spans="2:10" ht="13.5" thickBot="1" x14ac:dyDescent="0.25">
      <c r="B1247" s="392" t="str">
        <f t="shared" si="38"/>
        <v>Veterans - BACCHIN Stefano</v>
      </c>
      <c r="C1247" s="1441" t="str">
        <f t="shared" si="39"/>
        <v>BACCHIN Stefano</v>
      </c>
      <c r="D1247" s="1428" t="s">
        <v>9734</v>
      </c>
      <c r="E1247" s="1429">
        <v>62</v>
      </c>
      <c r="F1247" s="2197" t="s">
        <v>9483</v>
      </c>
      <c r="G1247" s="2198" t="s">
        <v>3062</v>
      </c>
      <c r="H1247" s="2197" t="s">
        <v>7867</v>
      </c>
      <c r="I1247" s="2199" t="s">
        <v>1037</v>
      </c>
      <c r="J1247" s="2196">
        <v>223.5</v>
      </c>
    </row>
    <row r="1248" spans="2:10" ht="13.5" thickBot="1" x14ac:dyDescent="0.25">
      <c r="B1248" s="392" t="str">
        <f t="shared" si="38"/>
        <v>Veterans - PEREMANS Yves</v>
      </c>
      <c r="C1248" s="1441" t="str">
        <f t="shared" si="39"/>
        <v>PEREMANS Yves</v>
      </c>
      <c r="D1248" s="1428" t="s">
        <v>9734</v>
      </c>
      <c r="E1248" s="1429">
        <v>63</v>
      </c>
      <c r="F1248" s="2197" t="s">
        <v>8762</v>
      </c>
      <c r="G1248" s="2198" t="s">
        <v>8228</v>
      </c>
      <c r="H1248" s="2197" t="s">
        <v>2772</v>
      </c>
      <c r="I1248" s="2199" t="s">
        <v>990</v>
      </c>
      <c r="J1248" s="2196">
        <v>223</v>
      </c>
    </row>
    <row r="1249" spans="2:10" ht="13.5" thickBot="1" x14ac:dyDescent="0.25">
      <c r="B1249" s="392" t="str">
        <f t="shared" si="38"/>
        <v>Veterans - ABREU Luís</v>
      </c>
      <c r="C1249" s="1441" t="str">
        <f t="shared" si="39"/>
        <v>ABREU Luís</v>
      </c>
      <c r="D1249" s="1428" t="s">
        <v>9734</v>
      </c>
      <c r="E1249" s="1429">
        <v>64</v>
      </c>
      <c r="F1249" s="2197" t="s">
        <v>3379</v>
      </c>
      <c r="G1249" s="2198" t="s">
        <v>5587</v>
      </c>
      <c r="H1249" s="2197" t="s">
        <v>15138</v>
      </c>
      <c r="I1249" s="2199" t="s">
        <v>1061</v>
      </c>
      <c r="J1249" s="2196">
        <v>221.5</v>
      </c>
    </row>
    <row r="1250" spans="2:10" ht="13.5" thickBot="1" x14ac:dyDescent="0.25">
      <c r="B1250" s="392" t="str">
        <f t="shared" si="38"/>
        <v>Veterans - DI CÈ Daniele</v>
      </c>
      <c r="C1250" s="1441" t="str">
        <f t="shared" si="39"/>
        <v>DI CÈ Daniele</v>
      </c>
      <c r="D1250" s="1428" t="s">
        <v>9734</v>
      </c>
      <c r="E1250" s="1429">
        <v>65</v>
      </c>
      <c r="F1250" s="2197" t="s">
        <v>5614</v>
      </c>
      <c r="G1250" s="2198" t="s">
        <v>3022</v>
      </c>
      <c r="H1250" s="2197" t="s">
        <v>7876</v>
      </c>
      <c r="I1250" s="2199" t="s">
        <v>1037</v>
      </c>
      <c r="J1250" s="2196">
        <v>208.5</v>
      </c>
    </row>
    <row r="1251" spans="2:10" ht="13.5" thickBot="1" x14ac:dyDescent="0.25">
      <c r="B1251" s="392" t="str">
        <f t="shared" si="38"/>
        <v>Veterans - LEE Alan</v>
      </c>
      <c r="C1251" s="1441" t="str">
        <f t="shared" si="39"/>
        <v>LEE Alan</v>
      </c>
      <c r="D1251" s="1428" t="s">
        <v>9734</v>
      </c>
      <c r="E1251" s="1429">
        <v>66</v>
      </c>
      <c r="F1251" s="2197" t="s">
        <v>11504</v>
      </c>
      <c r="G1251" s="2198" t="s">
        <v>3254</v>
      </c>
      <c r="H1251" s="2197" t="s">
        <v>17082</v>
      </c>
      <c r="I1251" s="2199" t="s">
        <v>1013</v>
      </c>
      <c r="J1251" s="2196">
        <v>207</v>
      </c>
    </row>
    <row r="1252" spans="2:10" ht="13.5" thickBot="1" x14ac:dyDescent="0.25">
      <c r="B1252" s="392" t="str">
        <f t="shared" si="38"/>
        <v>Veterans - ROUFOSSE Philippe</v>
      </c>
      <c r="C1252" s="1441" t="str">
        <f t="shared" si="39"/>
        <v>ROUFOSSE Philippe</v>
      </c>
      <c r="D1252" s="1428" t="s">
        <v>9734</v>
      </c>
      <c r="E1252" s="1429">
        <v>67</v>
      </c>
      <c r="F1252" s="2197" t="s">
        <v>11507</v>
      </c>
      <c r="G1252" s="2198" t="s">
        <v>3312</v>
      </c>
      <c r="H1252" s="2197" t="s">
        <v>2779</v>
      </c>
      <c r="I1252" s="2199" t="s">
        <v>990</v>
      </c>
      <c r="J1252" s="2196">
        <v>203</v>
      </c>
    </row>
    <row r="1253" spans="2:10" ht="13.5" thickBot="1" x14ac:dyDescent="0.25">
      <c r="B1253" s="392" t="str">
        <f t="shared" si="38"/>
        <v>Veterans - MARINUCCI Riccardo</v>
      </c>
      <c r="C1253" s="1441" t="str">
        <f t="shared" si="39"/>
        <v>MARINUCCI Riccardo</v>
      </c>
      <c r="D1253" s="1428" t="s">
        <v>9734</v>
      </c>
      <c r="E1253" s="1429">
        <v>68</v>
      </c>
      <c r="F1253" s="2197" t="s">
        <v>3618</v>
      </c>
      <c r="G1253" s="2198" t="s">
        <v>3270</v>
      </c>
      <c r="H1253" s="2197" t="s">
        <v>2749</v>
      </c>
      <c r="I1253" s="2199" t="s">
        <v>1037</v>
      </c>
      <c r="J1253" s="2196">
        <v>190</v>
      </c>
    </row>
    <row r="1254" spans="2:10" ht="13.5" thickBot="1" x14ac:dyDescent="0.25">
      <c r="B1254" s="392" t="str">
        <f t="shared" si="38"/>
        <v>Veterans - FINCH Justin</v>
      </c>
      <c r="C1254" s="1441" t="str">
        <f t="shared" si="39"/>
        <v>FINCH Justin</v>
      </c>
      <c r="D1254" s="1428" t="s">
        <v>9734</v>
      </c>
      <c r="E1254" s="1429">
        <v>69</v>
      </c>
      <c r="F1254" s="2197" t="s">
        <v>3255</v>
      </c>
      <c r="G1254" s="2198" t="s">
        <v>3025</v>
      </c>
      <c r="H1254" s="2197" t="s">
        <v>2772</v>
      </c>
      <c r="I1254" s="2199" t="s">
        <v>1013</v>
      </c>
      <c r="J1254" s="2196">
        <v>187.5</v>
      </c>
    </row>
    <row r="1255" spans="2:10" ht="13.5" thickBot="1" x14ac:dyDescent="0.25">
      <c r="B1255" s="392" t="str">
        <f t="shared" si="38"/>
        <v>Veterans - AMBERNY Jean-Marie</v>
      </c>
      <c r="C1255" s="1441" t="str">
        <f t="shared" si="39"/>
        <v>AMBERNY Jean-Marie</v>
      </c>
      <c r="D1255" s="1428" t="s">
        <v>9734</v>
      </c>
      <c r="E1255" s="1429">
        <v>70</v>
      </c>
      <c r="F1255" s="2197" t="s">
        <v>3081</v>
      </c>
      <c r="G1255" s="2198" t="s">
        <v>3082</v>
      </c>
      <c r="H1255" s="2197" t="s">
        <v>2754</v>
      </c>
      <c r="I1255" s="2199" t="s">
        <v>1019</v>
      </c>
      <c r="J1255" s="2196">
        <v>185.5</v>
      </c>
    </row>
    <row r="1256" spans="2:10" ht="13.5" thickBot="1" x14ac:dyDescent="0.25">
      <c r="B1256" s="392" t="str">
        <f t="shared" si="38"/>
        <v>Veterans - SCATAMACCHIA Amerigo</v>
      </c>
      <c r="C1256" s="1441" t="str">
        <f t="shared" si="39"/>
        <v>SCATAMACCHIA Amerigo</v>
      </c>
      <c r="D1256" s="1428" t="s">
        <v>9734</v>
      </c>
      <c r="E1256" s="1429">
        <v>71</v>
      </c>
      <c r="F1256" s="2197" t="s">
        <v>14269</v>
      </c>
      <c r="G1256" s="2198" t="s">
        <v>3622</v>
      </c>
      <c r="H1256" s="2197" t="s">
        <v>10271</v>
      </c>
      <c r="I1256" s="2199" t="s">
        <v>1037</v>
      </c>
      <c r="J1256" s="2196">
        <v>184.5</v>
      </c>
    </row>
    <row r="1257" spans="2:10" ht="13.5" thickBot="1" x14ac:dyDescent="0.25">
      <c r="B1257" s="392" t="str">
        <f t="shared" si="38"/>
        <v>Veterans - TRIANTAFILLOU Konstantinos</v>
      </c>
      <c r="C1257" s="1441" t="str">
        <f t="shared" si="39"/>
        <v>TRIANTAFILLOU Konstantinos</v>
      </c>
      <c r="D1257" s="1428" t="s">
        <v>9734</v>
      </c>
      <c r="E1257" s="1429">
        <v>72</v>
      </c>
      <c r="F1257" s="2197" t="s">
        <v>16748</v>
      </c>
      <c r="G1257" s="2198" t="s">
        <v>6986</v>
      </c>
      <c r="H1257" s="2197" t="s">
        <v>3041</v>
      </c>
      <c r="I1257" s="2199" t="s">
        <v>1025</v>
      </c>
      <c r="J1257" s="2196">
        <v>184</v>
      </c>
    </row>
    <row r="1258" spans="2:10" ht="13.5" thickBot="1" x14ac:dyDescent="0.25">
      <c r="B1258" s="392" t="str">
        <f t="shared" si="38"/>
        <v>Veterans - SANCHEZ Jose Luis</v>
      </c>
      <c r="C1258" s="1441" t="str">
        <f t="shared" si="39"/>
        <v>SANCHEZ Jose Luis</v>
      </c>
      <c r="D1258" s="1428" t="s">
        <v>9734</v>
      </c>
      <c r="E1258" s="1429">
        <v>73</v>
      </c>
      <c r="F1258" s="2197" t="s">
        <v>8743</v>
      </c>
      <c r="G1258" s="2198" t="s">
        <v>3146</v>
      </c>
      <c r="H1258" s="2197" t="s">
        <v>9448</v>
      </c>
      <c r="I1258" s="2199" t="s">
        <v>1023</v>
      </c>
      <c r="J1258" s="2196">
        <v>182.5</v>
      </c>
    </row>
    <row r="1259" spans="2:10" ht="13.5" thickBot="1" x14ac:dyDescent="0.25">
      <c r="B1259" s="392" t="str">
        <f t="shared" si="38"/>
        <v>Veterans - DUBOIS Olivier</v>
      </c>
      <c r="C1259" s="1441" t="str">
        <f t="shared" si="39"/>
        <v>DUBOIS Olivier</v>
      </c>
      <c r="D1259" s="1428" t="s">
        <v>9734</v>
      </c>
      <c r="E1259" s="1429">
        <v>74</v>
      </c>
      <c r="F1259" s="2197" t="s">
        <v>3604</v>
      </c>
      <c r="G1259" s="2198" t="s">
        <v>3193</v>
      </c>
      <c r="H1259" s="2197" t="s">
        <v>2779</v>
      </c>
      <c r="I1259" s="2199" t="s">
        <v>990</v>
      </c>
      <c r="J1259" s="2196">
        <v>177.5</v>
      </c>
    </row>
    <row r="1260" spans="2:10" ht="13.5" thickBot="1" x14ac:dyDescent="0.25">
      <c r="B1260" s="392" t="str">
        <f t="shared" si="38"/>
        <v>Veterans - PSOMIADIS Nikos</v>
      </c>
      <c r="C1260" s="1441" t="str">
        <f t="shared" si="39"/>
        <v>PSOMIADIS Nikos</v>
      </c>
      <c r="D1260" s="1428" t="s">
        <v>9734</v>
      </c>
      <c r="E1260" s="1429">
        <v>74</v>
      </c>
      <c r="F1260" s="2197" t="s">
        <v>8732</v>
      </c>
      <c r="G1260" s="2198" t="s">
        <v>13294</v>
      </c>
      <c r="H1260" s="2197" t="s">
        <v>13590</v>
      </c>
      <c r="I1260" s="2199" t="s">
        <v>1025</v>
      </c>
      <c r="J1260" s="2196">
        <v>177.5</v>
      </c>
    </row>
    <row r="1261" spans="2:10" ht="13.5" thickBot="1" x14ac:dyDescent="0.25">
      <c r="B1261" s="392" t="str">
        <f t="shared" si="38"/>
        <v>Veterans - KAPSABELIS Marcos</v>
      </c>
      <c r="C1261" s="1441" t="str">
        <f t="shared" si="39"/>
        <v>KAPSABELIS Marcos</v>
      </c>
      <c r="D1261" s="1428" t="s">
        <v>9734</v>
      </c>
      <c r="E1261" s="1429">
        <v>76</v>
      </c>
      <c r="F1261" s="2197" t="s">
        <v>3111</v>
      </c>
      <c r="G1261" s="2198" t="s">
        <v>3112</v>
      </c>
      <c r="H1261" s="2197" t="s">
        <v>10269</v>
      </c>
      <c r="I1261" s="2199" t="s">
        <v>1025</v>
      </c>
      <c r="J1261" s="2196">
        <v>177</v>
      </c>
    </row>
    <row r="1262" spans="2:10" ht="13.5" thickBot="1" x14ac:dyDescent="0.25">
      <c r="B1262" s="392" t="str">
        <f t="shared" si="38"/>
        <v>Veterans - MODESTE Axel</v>
      </c>
      <c r="C1262" s="1441" t="str">
        <f t="shared" si="39"/>
        <v>MODESTE Axel</v>
      </c>
      <c r="D1262" s="1428" t="s">
        <v>9734</v>
      </c>
      <c r="E1262" s="1429">
        <v>77</v>
      </c>
      <c r="F1262" s="1430" t="s">
        <v>3459</v>
      </c>
      <c r="G1262" s="1431" t="s">
        <v>3075</v>
      </c>
      <c r="H1262" s="1430" t="s">
        <v>2754</v>
      </c>
      <c r="I1262" s="1429" t="s">
        <v>1019</v>
      </c>
      <c r="J1262" s="2196">
        <v>176.5</v>
      </c>
    </row>
    <row r="1263" spans="2:10" ht="13.5" thickBot="1" x14ac:dyDescent="0.25">
      <c r="B1263" s="392" t="str">
        <f t="shared" si="38"/>
        <v>Veterans - WOUTERS David</v>
      </c>
      <c r="C1263" s="1441" t="str">
        <f t="shared" si="39"/>
        <v>WOUTERS David</v>
      </c>
      <c r="D1263" s="1428" t="s">
        <v>9734</v>
      </c>
      <c r="E1263" s="1429">
        <v>78</v>
      </c>
      <c r="F1263" s="1430" t="s">
        <v>11345</v>
      </c>
      <c r="G1263" s="1431" t="s">
        <v>3072</v>
      </c>
      <c r="H1263" s="1430" t="s">
        <v>2772</v>
      </c>
      <c r="I1263" s="1429" t="s">
        <v>990</v>
      </c>
      <c r="J1263" s="2196">
        <v>174.5</v>
      </c>
    </row>
    <row r="1264" spans="2:10" ht="13.5" thickBot="1" x14ac:dyDescent="0.25">
      <c r="B1264" s="392" t="str">
        <f t="shared" si="38"/>
        <v>Veterans - BONAVIA Jose Luis</v>
      </c>
      <c r="C1264" s="1441" t="str">
        <f t="shared" si="39"/>
        <v>BONAVIA Jose Luis</v>
      </c>
      <c r="D1264" s="1428" t="s">
        <v>9734</v>
      </c>
      <c r="E1264" s="1429">
        <v>79</v>
      </c>
      <c r="F1264" s="1430" t="s">
        <v>3145</v>
      </c>
      <c r="G1264" s="1431" t="s">
        <v>3146</v>
      </c>
      <c r="H1264" s="1430" t="s">
        <v>2755</v>
      </c>
      <c r="I1264" s="1429" t="s">
        <v>1023</v>
      </c>
      <c r="J1264" s="2196">
        <v>167</v>
      </c>
    </row>
    <row r="1265" spans="2:10" ht="13.5" thickBot="1" x14ac:dyDescent="0.25">
      <c r="B1265" s="392" t="str">
        <f t="shared" si="38"/>
        <v>Veterans - CASTELLANO José M.</v>
      </c>
      <c r="C1265" s="1441" t="str">
        <f t="shared" si="39"/>
        <v>CASTELLANO José M.</v>
      </c>
      <c r="D1265" s="1428" t="s">
        <v>9734</v>
      </c>
      <c r="E1265" s="1429">
        <v>80</v>
      </c>
      <c r="F1265" s="1430" t="s">
        <v>7275</v>
      </c>
      <c r="G1265" s="1431" t="s">
        <v>7276</v>
      </c>
      <c r="H1265" s="1430" t="s">
        <v>2774</v>
      </c>
      <c r="I1265" s="1429" t="s">
        <v>1015</v>
      </c>
      <c r="J1265" s="2196">
        <v>164.5</v>
      </c>
    </row>
    <row r="1266" spans="2:10" ht="13.5" thickBot="1" x14ac:dyDescent="0.25">
      <c r="B1266" s="392" t="str">
        <f t="shared" si="38"/>
        <v>Veterans - PAWLICA Manfred</v>
      </c>
      <c r="C1266" s="1441" t="str">
        <f t="shared" si="39"/>
        <v>PAWLICA Manfred</v>
      </c>
      <c r="D1266" s="1428" t="s">
        <v>9734</v>
      </c>
      <c r="E1266" s="1429">
        <v>81</v>
      </c>
      <c r="F1266" s="1430" t="s">
        <v>3411</v>
      </c>
      <c r="G1266" s="1431" t="s">
        <v>3412</v>
      </c>
      <c r="H1266" s="1430" t="s">
        <v>8871</v>
      </c>
      <c r="I1266" s="1429" t="s">
        <v>988</v>
      </c>
      <c r="J1266" s="2196">
        <v>162</v>
      </c>
    </row>
    <row r="1267" spans="2:10" ht="13.5" thickBot="1" x14ac:dyDescent="0.25">
      <c r="B1267" s="392" t="str">
        <f t="shared" si="38"/>
        <v>Veterans - LANDZAAT Henk</v>
      </c>
      <c r="C1267" s="1441" t="str">
        <f t="shared" si="39"/>
        <v>LANDZAAT Henk</v>
      </c>
      <c r="D1267" s="1428" t="s">
        <v>9734</v>
      </c>
      <c r="E1267" s="1429">
        <v>82</v>
      </c>
      <c r="F1267" s="1430" t="s">
        <v>3217</v>
      </c>
      <c r="G1267" s="1431" t="s">
        <v>3218</v>
      </c>
      <c r="H1267" s="1430" t="s">
        <v>7184</v>
      </c>
      <c r="I1267" s="1429" t="s">
        <v>1051</v>
      </c>
      <c r="J1267" s="2196">
        <v>148</v>
      </c>
    </row>
    <row r="1268" spans="2:10" ht="13.5" thickBot="1" x14ac:dyDescent="0.25">
      <c r="B1268" s="392" t="str">
        <f t="shared" si="38"/>
        <v>Veterans - DEAN Patrick</v>
      </c>
      <c r="C1268" s="1441" t="str">
        <f t="shared" si="39"/>
        <v>DEAN Patrick</v>
      </c>
      <c r="D1268" s="1428" t="s">
        <v>9734</v>
      </c>
      <c r="E1268" s="1429">
        <v>83</v>
      </c>
      <c r="F1268" s="1430" t="s">
        <v>5542</v>
      </c>
      <c r="G1268" s="1431" t="s">
        <v>3271</v>
      </c>
      <c r="H1268" s="1430" t="s">
        <v>9448</v>
      </c>
      <c r="I1268" s="1429" t="s">
        <v>1023</v>
      </c>
      <c r="J1268" s="2196">
        <v>147.5</v>
      </c>
    </row>
    <row r="1269" spans="2:10" ht="13.5" thickBot="1" x14ac:dyDescent="0.25">
      <c r="B1269" s="392" t="str">
        <f t="shared" si="38"/>
        <v>Veterans - DROSSOPOULOS Lampros</v>
      </c>
      <c r="C1269" s="1441" t="str">
        <f t="shared" si="39"/>
        <v>DROSSOPOULOS Lampros</v>
      </c>
      <c r="D1269" s="1428" t="s">
        <v>9734</v>
      </c>
      <c r="E1269" s="1429">
        <v>84</v>
      </c>
      <c r="F1269" s="1430" t="s">
        <v>16609</v>
      </c>
      <c r="G1269" s="1431" t="s">
        <v>8258</v>
      </c>
      <c r="H1269" s="1430" t="s">
        <v>10251</v>
      </c>
      <c r="I1269" s="1429" t="s">
        <v>1025</v>
      </c>
      <c r="J1269" s="2196">
        <v>147</v>
      </c>
    </row>
    <row r="1270" spans="2:10" ht="13.5" thickBot="1" x14ac:dyDescent="0.25">
      <c r="B1270" s="392" t="str">
        <f t="shared" si="38"/>
        <v>Veterans - MASTRANTUONO Gianfranco</v>
      </c>
      <c r="C1270" s="1441" t="str">
        <f t="shared" si="39"/>
        <v>MASTRANTUONO Gianfranco</v>
      </c>
      <c r="D1270" s="1428" t="s">
        <v>9734</v>
      </c>
      <c r="E1270" s="1429">
        <v>85</v>
      </c>
      <c r="F1270" s="1430" t="s">
        <v>3616</v>
      </c>
      <c r="G1270" s="1431" t="s">
        <v>3107</v>
      </c>
      <c r="H1270" s="1430" t="s">
        <v>7867</v>
      </c>
      <c r="I1270" s="1429" t="s">
        <v>1037</v>
      </c>
      <c r="J1270" s="2196">
        <v>145</v>
      </c>
    </row>
    <row r="1271" spans="2:10" ht="13.5" thickBot="1" x14ac:dyDescent="0.25">
      <c r="B1271" s="392" t="str">
        <f t="shared" si="38"/>
        <v>Veterans - PETERSCHINIGG Rudi</v>
      </c>
      <c r="C1271" s="1441" t="str">
        <f t="shared" si="39"/>
        <v>PETERSCHINIGG Rudi</v>
      </c>
      <c r="D1271" s="1428" t="s">
        <v>9734</v>
      </c>
      <c r="E1271" s="1429">
        <v>86</v>
      </c>
      <c r="F1271" s="1430" t="s">
        <v>5589</v>
      </c>
      <c r="G1271" s="1431" t="s">
        <v>3365</v>
      </c>
      <c r="H1271" s="1430" t="s">
        <v>17082</v>
      </c>
      <c r="I1271" s="1429" t="s">
        <v>1013</v>
      </c>
      <c r="J1271" s="2196">
        <v>144.5</v>
      </c>
    </row>
    <row r="1272" spans="2:10" ht="13.5" thickBot="1" x14ac:dyDescent="0.25">
      <c r="B1272" s="392" t="str">
        <f t="shared" si="38"/>
        <v>Veterans - KECHRIS Konstantinos</v>
      </c>
      <c r="C1272" s="1441" t="str">
        <f t="shared" si="39"/>
        <v>KECHRIS Konstantinos</v>
      </c>
      <c r="D1272" s="1428" t="s">
        <v>9734</v>
      </c>
      <c r="E1272" s="1429">
        <v>87</v>
      </c>
      <c r="F1272" s="1430" t="s">
        <v>18173</v>
      </c>
      <c r="G1272" s="1431" t="s">
        <v>6986</v>
      </c>
      <c r="H1272" s="1430" t="s">
        <v>10268</v>
      </c>
      <c r="I1272" s="1429" t="s">
        <v>1025</v>
      </c>
      <c r="J1272" s="2196">
        <v>144</v>
      </c>
    </row>
    <row r="1273" spans="2:10" ht="13.5" thickBot="1" x14ac:dyDescent="0.25">
      <c r="B1273" s="392" t="str">
        <f t="shared" si="38"/>
        <v>Veterans - KONSTANTAKOS Panagiotis</v>
      </c>
      <c r="C1273" s="1441" t="str">
        <f t="shared" si="39"/>
        <v>KONSTANTAKOS Panagiotis</v>
      </c>
      <c r="D1273" s="1428" t="s">
        <v>9734</v>
      </c>
      <c r="E1273" s="1429">
        <v>88</v>
      </c>
      <c r="F1273" s="1430" t="s">
        <v>9824</v>
      </c>
      <c r="G1273" s="1431" t="s">
        <v>3249</v>
      </c>
      <c r="H1273" s="1430" t="s">
        <v>9449</v>
      </c>
      <c r="I1273" s="1429" t="s">
        <v>1025</v>
      </c>
      <c r="J1273" s="2196">
        <v>137.5</v>
      </c>
    </row>
    <row r="1274" spans="2:10" ht="13.5" thickBot="1" x14ac:dyDescent="0.25">
      <c r="B1274" s="392" t="str">
        <f t="shared" si="38"/>
        <v>Veterans - LO CASCIO Emanuele</v>
      </c>
      <c r="C1274" s="1441" t="str">
        <f t="shared" si="39"/>
        <v>LO CASCIO Emanuele</v>
      </c>
      <c r="D1274" s="1428" t="s">
        <v>9734</v>
      </c>
      <c r="E1274" s="1429">
        <v>89</v>
      </c>
      <c r="F1274" s="1430" t="s">
        <v>14250</v>
      </c>
      <c r="G1274" s="1431" t="s">
        <v>3085</v>
      </c>
      <c r="H1274" s="1430" t="s">
        <v>10268</v>
      </c>
      <c r="I1274" s="1429" t="s">
        <v>1037</v>
      </c>
      <c r="J1274" s="2196">
        <v>133.5</v>
      </c>
    </row>
    <row r="1275" spans="2:10" ht="13.5" thickBot="1" x14ac:dyDescent="0.25">
      <c r="B1275" s="392" t="str">
        <f t="shared" si="38"/>
        <v>Veterans - LAMBERTI Marco</v>
      </c>
      <c r="C1275" s="1441" t="str">
        <f t="shared" si="39"/>
        <v>LAMBERTI Marco</v>
      </c>
      <c r="D1275" s="1428" t="s">
        <v>9734</v>
      </c>
      <c r="E1275" s="1429">
        <v>89</v>
      </c>
      <c r="F1275" s="1430" t="s">
        <v>14239</v>
      </c>
      <c r="G1275" s="1431" t="s">
        <v>3109</v>
      </c>
      <c r="H1275" s="1430" t="s">
        <v>7870</v>
      </c>
      <c r="I1275" s="1429" t="s">
        <v>1037</v>
      </c>
      <c r="J1275" s="2196">
        <v>133.5</v>
      </c>
    </row>
    <row r="1276" spans="2:10" ht="13.5" thickBot="1" x14ac:dyDescent="0.25">
      <c r="B1276" s="392" t="str">
        <f t="shared" si="38"/>
        <v>Veterans - DE PAOLIS Massimo</v>
      </c>
      <c r="C1276" s="1441" t="str">
        <f t="shared" si="39"/>
        <v>DE PAOLIS Massimo</v>
      </c>
      <c r="D1276" s="1428" t="s">
        <v>9734</v>
      </c>
      <c r="E1276" s="1429">
        <v>91</v>
      </c>
      <c r="F1276" s="1430" t="s">
        <v>10305</v>
      </c>
      <c r="G1276" s="1431" t="s">
        <v>3013</v>
      </c>
      <c r="H1276" s="1430" t="s">
        <v>10268</v>
      </c>
      <c r="I1276" s="1429" t="s">
        <v>1037</v>
      </c>
      <c r="J1276" s="2196">
        <v>130.5</v>
      </c>
    </row>
    <row r="1277" spans="2:10" ht="13.5" thickBot="1" x14ac:dyDescent="0.25">
      <c r="B1277" s="392" t="str">
        <f t="shared" si="38"/>
        <v>Veterans - MIFSUD Joseph</v>
      </c>
      <c r="C1277" s="1441" t="str">
        <f t="shared" si="39"/>
        <v>MIFSUD Joseph</v>
      </c>
      <c r="D1277" s="1428" t="s">
        <v>9734</v>
      </c>
      <c r="E1277" s="1429">
        <v>92</v>
      </c>
      <c r="F1277" s="1430" t="s">
        <v>3458</v>
      </c>
      <c r="G1277" s="1431" t="s">
        <v>3045</v>
      </c>
      <c r="H1277" s="1430" t="s">
        <v>10262</v>
      </c>
      <c r="I1277" s="1429" t="s">
        <v>1045</v>
      </c>
      <c r="J1277" s="2196">
        <v>128</v>
      </c>
    </row>
    <row r="1278" spans="2:10" ht="13.5" thickBot="1" x14ac:dyDescent="0.25">
      <c r="B1278" s="392" t="str">
        <f t="shared" si="38"/>
        <v>Veterans - BRADLEY Jeremy</v>
      </c>
      <c r="C1278" s="1441" t="str">
        <f t="shared" si="39"/>
        <v>BRADLEY Jeremy</v>
      </c>
      <c r="D1278" s="1428" t="s">
        <v>9734</v>
      </c>
      <c r="E1278" s="1429">
        <v>93</v>
      </c>
      <c r="F1278" s="1430" t="s">
        <v>14255</v>
      </c>
      <c r="G1278" s="1431" t="s">
        <v>3110</v>
      </c>
      <c r="H1278" s="1430" t="s">
        <v>13531</v>
      </c>
      <c r="I1278" s="1429" t="s">
        <v>1013</v>
      </c>
      <c r="J1278" s="2196">
        <v>126.5</v>
      </c>
    </row>
    <row r="1279" spans="2:10" ht="13.5" thickBot="1" x14ac:dyDescent="0.25">
      <c r="B1279" s="392" t="str">
        <f t="shared" si="38"/>
        <v>Veterans - CHETCUTI DIMECH Frank</v>
      </c>
      <c r="C1279" s="1441" t="str">
        <f t="shared" si="39"/>
        <v>CHETCUTI DIMECH Frank</v>
      </c>
      <c r="D1279" s="1428" t="s">
        <v>9734</v>
      </c>
      <c r="E1279" s="1429">
        <v>93</v>
      </c>
      <c r="F1279" s="1430" t="s">
        <v>14136</v>
      </c>
      <c r="G1279" s="1431" t="s">
        <v>3207</v>
      </c>
      <c r="H1279" s="1430" t="s">
        <v>5317</v>
      </c>
      <c r="I1279" s="1429" t="s">
        <v>1045</v>
      </c>
      <c r="J1279" s="2196">
        <v>126.5</v>
      </c>
    </row>
    <row r="1280" spans="2:10" ht="13.5" thickBot="1" x14ac:dyDescent="0.25">
      <c r="B1280" s="392" t="str">
        <f t="shared" si="38"/>
        <v>Veterans - VASILOPOULOS Panagiotis</v>
      </c>
      <c r="C1280" s="1441" t="str">
        <f t="shared" si="39"/>
        <v>VASILOPOULOS Panagiotis</v>
      </c>
      <c r="D1280" s="1428" t="s">
        <v>9734</v>
      </c>
      <c r="E1280" s="1429">
        <v>95</v>
      </c>
      <c r="F1280" s="1430" t="s">
        <v>14151</v>
      </c>
      <c r="G1280" s="1431" t="s">
        <v>3249</v>
      </c>
      <c r="H1280" s="1430" t="s">
        <v>10251</v>
      </c>
      <c r="I1280" s="1429" t="s">
        <v>1025</v>
      </c>
      <c r="J1280" s="2196">
        <v>124</v>
      </c>
    </row>
    <row r="1281" spans="2:10" ht="13.5" thickBot="1" x14ac:dyDescent="0.25">
      <c r="B1281" s="392" t="str">
        <f t="shared" si="38"/>
        <v>Veterans - VARELA Rui</v>
      </c>
      <c r="C1281" s="1441" t="str">
        <f t="shared" si="39"/>
        <v>VARELA Rui</v>
      </c>
      <c r="D1281" s="1428" t="s">
        <v>9734</v>
      </c>
      <c r="E1281" s="1429">
        <v>96</v>
      </c>
      <c r="F1281" s="1430" t="s">
        <v>14264</v>
      </c>
      <c r="G1281" s="1431" t="s">
        <v>7321</v>
      </c>
      <c r="H1281" s="1430" t="s">
        <v>5314</v>
      </c>
      <c r="I1281" s="1429" t="s">
        <v>1061</v>
      </c>
      <c r="J1281" s="2196">
        <v>123</v>
      </c>
    </row>
    <row r="1282" spans="2:10" ht="13.5" thickBot="1" x14ac:dyDescent="0.25">
      <c r="B1282" s="392" t="str">
        <f t="shared" si="38"/>
        <v>Veterans - DIMAKEAS Georgios</v>
      </c>
      <c r="C1282" s="1441" t="str">
        <f t="shared" si="39"/>
        <v>DIMAKEAS Georgios</v>
      </c>
      <c r="D1282" s="1428" t="s">
        <v>9734</v>
      </c>
      <c r="E1282" s="1429">
        <v>97</v>
      </c>
      <c r="F1282" s="1430" t="s">
        <v>3444</v>
      </c>
      <c r="G1282" s="1431" t="s">
        <v>3324</v>
      </c>
      <c r="H1282" s="1430" t="s">
        <v>3213</v>
      </c>
      <c r="I1282" s="1429" t="s">
        <v>1025</v>
      </c>
      <c r="J1282" s="2196">
        <v>122</v>
      </c>
    </row>
    <row r="1283" spans="2:10" ht="13.5" thickBot="1" x14ac:dyDescent="0.25">
      <c r="B1283" s="392" t="str">
        <f t="shared" si="38"/>
        <v>Veterans - LEYS Geert</v>
      </c>
      <c r="C1283" s="1441" t="str">
        <f t="shared" si="39"/>
        <v>LEYS Geert</v>
      </c>
      <c r="D1283" s="1428" t="s">
        <v>9734</v>
      </c>
      <c r="E1283" s="1429">
        <v>98</v>
      </c>
      <c r="F1283" s="1430" t="s">
        <v>17607</v>
      </c>
      <c r="G1283" s="1431" t="s">
        <v>17513</v>
      </c>
      <c r="H1283" s="1430" t="s">
        <v>2772</v>
      </c>
      <c r="I1283" s="1429" t="s">
        <v>990</v>
      </c>
      <c r="J1283" s="2196">
        <v>121.5</v>
      </c>
    </row>
    <row r="1284" spans="2:10" ht="13.5" thickBot="1" x14ac:dyDescent="0.25">
      <c r="B1284" s="392" t="str">
        <f t="shared" si="38"/>
        <v>Veterans - TRENTA Corrado</v>
      </c>
      <c r="C1284" s="1441" t="str">
        <f t="shared" si="39"/>
        <v>TRENTA Corrado</v>
      </c>
      <c r="D1284" s="1428" t="s">
        <v>9734</v>
      </c>
      <c r="E1284" s="1429">
        <v>99</v>
      </c>
      <c r="F1284" s="1430" t="s">
        <v>3619</v>
      </c>
      <c r="G1284" s="1431" t="s">
        <v>3620</v>
      </c>
      <c r="H1284" s="1430" t="s">
        <v>15245</v>
      </c>
      <c r="I1284" s="1429" t="s">
        <v>1037</v>
      </c>
      <c r="J1284" s="2196">
        <v>120.5</v>
      </c>
    </row>
    <row r="1285" spans="2:10" ht="13.5" thickBot="1" x14ac:dyDescent="0.25">
      <c r="B1285" s="392" t="str">
        <f t="shared" si="38"/>
        <v>Veterans - BONNICI Adrian</v>
      </c>
      <c r="C1285" s="1441" t="str">
        <f t="shared" si="39"/>
        <v>BONNICI Adrian</v>
      </c>
      <c r="D1285" s="1428" t="s">
        <v>9734</v>
      </c>
      <c r="E1285" s="1429">
        <v>100</v>
      </c>
      <c r="F1285" s="1430" t="s">
        <v>3355</v>
      </c>
      <c r="G1285" s="1431" t="s">
        <v>3356</v>
      </c>
      <c r="H1285" s="1430" t="s">
        <v>5317</v>
      </c>
      <c r="I1285" s="1429" t="s">
        <v>1045</v>
      </c>
      <c r="J1285" s="2196">
        <v>120</v>
      </c>
    </row>
    <row r="1286" spans="2:10" ht="13.5" thickBot="1" x14ac:dyDescent="0.25">
      <c r="B1286" s="392" t="str">
        <f t="shared" si="38"/>
        <v>Veterans - TAN Ashley</v>
      </c>
      <c r="C1286" s="1441" t="str">
        <f t="shared" si="39"/>
        <v>TAN Ashley</v>
      </c>
      <c r="D1286" s="1428" t="s">
        <v>9734</v>
      </c>
      <c r="E1286" s="1429">
        <v>100</v>
      </c>
      <c r="F1286" s="1430" t="s">
        <v>3226</v>
      </c>
      <c r="G1286" s="1431" t="s">
        <v>7980</v>
      </c>
      <c r="H1286" s="1430" t="s">
        <v>8716</v>
      </c>
      <c r="I1286" s="1429" t="s">
        <v>7916</v>
      </c>
      <c r="J1286" s="2196">
        <v>120</v>
      </c>
    </row>
    <row r="1287" spans="2:10" ht="13.5" thickBot="1" x14ac:dyDescent="0.25">
      <c r="B1287" s="392" t="str">
        <f t="shared" ref="B1287:B1350" si="40">CONCATENATE(D1287," - ",C1287)</f>
        <v>Veterans - ARCA Alessandro</v>
      </c>
      <c r="C1287" s="1441" t="str">
        <f t="shared" ref="C1287:C1350" si="41">CONCATENATE(UPPER(F1287)," ",G1287)</f>
        <v>ARCA Alessandro</v>
      </c>
      <c r="D1287" s="1428" t="s">
        <v>9734</v>
      </c>
      <c r="E1287" s="1429">
        <v>102</v>
      </c>
      <c r="F1287" s="1430" t="s">
        <v>3621</v>
      </c>
      <c r="G1287" s="1431" t="s">
        <v>3125</v>
      </c>
      <c r="H1287" s="1430" t="s">
        <v>7867</v>
      </c>
      <c r="I1287" s="1429" t="s">
        <v>1037</v>
      </c>
      <c r="J1287" s="2196">
        <v>118.5</v>
      </c>
    </row>
    <row r="1288" spans="2:10" ht="13.5" thickBot="1" x14ac:dyDescent="0.25">
      <c r="B1288" s="392" t="str">
        <f t="shared" si="40"/>
        <v>Veterans - BOLOGNINO Massimo</v>
      </c>
      <c r="C1288" s="1441" t="str">
        <f t="shared" si="41"/>
        <v>BOLOGNINO Massimo</v>
      </c>
      <c r="D1288" s="1428" t="s">
        <v>9734</v>
      </c>
      <c r="E1288" s="1429">
        <v>103</v>
      </c>
      <c r="F1288" s="1430" t="s">
        <v>3048</v>
      </c>
      <c r="G1288" s="1431" t="s">
        <v>3013</v>
      </c>
      <c r="H1288" s="1430" t="s">
        <v>2750</v>
      </c>
      <c r="I1288" s="1429" t="s">
        <v>1037</v>
      </c>
      <c r="J1288" s="2196">
        <v>118</v>
      </c>
    </row>
    <row r="1289" spans="2:10" ht="13.5" thickBot="1" x14ac:dyDescent="0.25">
      <c r="B1289" s="392" t="str">
        <f t="shared" si="40"/>
        <v>Veterans - BOUCHEZ Denis</v>
      </c>
      <c r="C1289" s="1441" t="str">
        <f t="shared" si="41"/>
        <v>BOUCHEZ Denis</v>
      </c>
      <c r="D1289" s="1428" t="s">
        <v>9734</v>
      </c>
      <c r="E1289" s="1429">
        <v>104</v>
      </c>
      <c r="F1289" s="1430" t="s">
        <v>17606</v>
      </c>
      <c r="G1289" s="1431" t="s">
        <v>3272</v>
      </c>
      <c r="H1289" s="1430" t="s">
        <v>5301</v>
      </c>
      <c r="I1289" s="1429" t="s">
        <v>990</v>
      </c>
      <c r="J1289" s="2196">
        <v>117.5</v>
      </c>
    </row>
    <row r="1290" spans="2:10" ht="13.5" thickBot="1" x14ac:dyDescent="0.25">
      <c r="B1290" s="392" t="str">
        <f t="shared" si="40"/>
        <v>Veterans - LIENHARDT Eric</v>
      </c>
      <c r="C1290" s="1441" t="str">
        <f t="shared" si="41"/>
        <v>LIENHARDT Eric</v>
      </c>
      <c r="D1290" s="1428" t="s">
        <v>9734</v>
      </c>
      <c r="E1290" s="1429">
        <v>104</v>
      </c>
      <c r="F1290" s="1430" t="s">
        <v>3441</v>
      </c>
      <c r="G1290" s="1431" t="s">
        <v>3044</v>
      </c>
      <c r="H1290" s="1430" t="s">
        <v>15446</v>
      </c>
      <c r="I1290" s="1429" t="s">
        <v>1019</v>
      </c>
      <c r="J1290" s="2196">
        <v>117.5</v>
      </c>
    </row>
    <row r="1291" spans="2:10" ht="13.5" thickBot="1" x14ac:dyDescent="0.25">
      <c r="B1291" s="392" t="str">
        <f t="shared" si="40"/>
        <v>Veterans - SKINNER Aaron</v>
      </c>
      <c r="C1291" s="1441" t="str">
        <f t="shared" si="41"/>
        <v>SKINNER Aaron</v>
      </c>
      <c r="D1291" s="1428" t="s">
        <v>9734</v>
      </c>
      <c r="E1291" s="1429">
        <v>106</v>
      </c>
      <c r="F1291" s="1430" t="s">
        <v>14153</v>
      </c>
      <c r="G1291" s="1431" t="s">
        <v>3314</v>
      </c>
      <c r="H1291" s="1430" t="s">
        <v>17082</v>
      </c>
      <c r="I1291" s="1429" t="s">
        <v>1013</v>
      </c>
      <c r="J1291" s="2196">
        <v>116</v>
      </c>
    </row>
    <row r="1292" spans="2:10" ht="13.5" thickBot="1" x14ac:dyDescent="0.25">
      <c r="B1292" s="392" t="str">
        <f t="shared" si="40"/>
        <v>Veterans - DE JONG Patrick</v>
      </c>
      <c r="C1292" s="1441" t="str">
        <f t="shared" si="41"/>
        <v>DE JONG Patrick</v>
      </c>
      <c r="D1292" s="1428" t="s">
        <v>9734</v>
      </c>
      <c r="E1292" s="1429">
        <v>107</v>
      </c>
      <c r="F1292" s="1430" t="s">
        <v>14979</v>
      </c>
      <c r="G1292" s="1431" t="s">
        <v>3271</v>
      </c>
      <c r="H1292" s="1430" t="s">
        <v>7184</v>
      </c>
      <c r="I1292" s="1429" t="s">
        <v>1051</v>
      </c>
      <c r="J1292" s="2196">
        <v>114</v>
      </c>
    </row>
    <row r="1293" spans="2:10" ht="13.5" thickBot="1" x14ac:dyDescent="0.25">
      <c r="B1293" s="392" t="str">
        <f t="shared" si="40"/>
        <v>Veterans - CANDELAS Julio</v>
      </c>
      <c r="C1293" s="1441" t="str">
        <f t="shared" si="41"/>
        <v>CANDELAS Julio</v>
      </c>
      <c r="D1293" s="1428" t="s">
        <v>9734</v>
      </c>
      <c r="E1293" s="1429">
        <v>108</v>
      </c>
      <c r="F1293" s="1430" t="s">
        <v>7305</v>
      </c>
      <c r="G1293" s="1431" t="s">
        <v>3181</v>
      </c>
      <c r="H1293" s="1430" t="s">
        <v>14370</v>
      </c>
      <c r="I1293" s="1429" t="s">
        <v>1015</v>
      </c>
      <c r="J1293" s="2196">
        <v>113.5</v>
      </c>
    </row>
    <row r="1294" spans="2:10" ht="13.5" thickBot="1" x14ac:dyDescent="0.25">
      <c r="B1294" s="392" t="str">
        <f t="shared" si="40"/>
        <v>Veterans - ANGELINAS Georgios</v>
      </c>
      <c r="C1294" s="1441" t="str">
        <f t="shared" si="41"/>
        <v>ANGELINAS Georgios</v>
      </c>
      <c r="D1294" s="1428" t="s">
        <v>9734</v>
      </c>
      <c r="E1294" s="1429">
        <v>109</v>
      </c>
      <c r="F1294" s="1430" t="s">
        <v>8722</v>
      </c>
      <c r="G1294" s="1431" t="s">
        <v>3324</v>
      </c>
      <c r="H1294" s="1430" t="s">
        <v>2758</v>
      </c>
      <c r="I1294" s="1429" t="s">
        <v>1025</v>
      </c>
      <c r="J1294" s="2196">
        <v>110.5</v>
      </c>
    </row>
    <row r="1295" spans="2:10" ht="13.5" thickBot="1" x14ac:dyDescent="0.25">
      <c r="B1295" s="392" t="str">
        <f t="shared" si="40"/>
        <v>Veterans - BAGNATO Bruno</v>
      </c>
      <c r="C1295" s="1441" t="str">
        <f t="shared" si="41"/>
        <v>BAGNATO Bruno</v>
      </c>
      <c r="D1295" s="1428" t="s">
        <v>9734</v>
      </c>
      <c r="E1295" s="1429">
        <v>110</v>
      </c>
      <c r="F1295" s="1430" t="s">
        <v>16751</v>
      </c>
      <c r="G1295" s="1431" t="s">
        <v>3168</v>
      </c>
      <c r="H1295" s="1430" t="s">
        <v>7880</v>
      </c>
      <c r="I1295" s="1429" t="s">
        <v>1037</v>
      </c>
      <c r="J1295" s="2196">
        <v>108</v>
      </c>
    </row>
    <row r="1296" spans="2:10" ht="13.5" thickBot="1" x14ac:dyDescent="0.25">
      <c r="B1296" s="392" t="str">
        <f t="shared" si="40"/>
        <v>Veterans - FINARDI Paolo</v>
      </c>
      <c r="C1296" s="1441" t="str">
        <f t="shared" si="41"/>
        <v>FINARDI Paolo</v>
      </c>
      <c r="D1296" s="1428" t="s">
        <v>9734</v>
      </c>
      <c r="E1296" s="1429">
        <v>111</v>
      </c>
      <c r="F1296" s="1430" t="s">
        <v>3461</v>
      </c>
      <c r="G1296" s="1431" t="s">
        <v>3119</v>
      </c>
      <c r="H1296" s="1430" t="s">
        <v>2761</v>
      </c>
      <c r="I1296" s="1429" t="s">
        <v>1037</v>
      </c>
      <c r="J1296" s="2196">
        <v>106</v>
      </c>
    </row>
    <row r="1297" spans="2:10" ht="13.5" thickBot="1" x14ac:dyDescent="0.25">
      <c r="B1297" s="392" t="str">
        <f t="shared" si="40"/>
        <v>Veterans - GUIDI Enrico</v>
      </c>
      <c r="C1297" s="1441" t="str">
        <f t="shared" si="41"/>
        <v>GUIDI Enrico</v>
      </c>
      <c r="D1297" s="1428" t="s">
        <v>9734</v>
      </c>
      <c r="E1297" s="1429">
        <v>112</v>
      </c>
      <c r="F1297" s="1430" t="s">
        <v>18174</v>
      </c>
      <c r="G1297" s="1431" t="s">
        <v>3132</v>
      </c>
      <c r="H1297" s="1430" t="s">
        <v>11325</v>
      </c>
      <c r="I1297" s="1429" t="s">
        <v>1037</v>
      </c>
      <c r="J1297" s="2196">
        <v>105</v>
      </c>
    </row>
    <row r="1298" spans="2:10" ht="13.5" thickBot="1" x14ac:dyDescent="0.25">
      <c r="B1298" s="392" t="str">
        <f t="shared" si="40"/>
        <v>Veterans - ALVAREZ Lawrence</v>
      </c>
      <c r="C1298" s="1441" t="str">
        <f t="shared" si="41"/>
        <v>ALVAREZ Lawrence</v>
      </c>
      <c r="D1298" s="1428" t="s">
        <v>9734</v>
      </c>
      <c r="E1298" s="1429">
        <v>113</v>
      </c>
      <c r="F1298" s="1430" t="s">
        <v>3151</v>
      </c>
      <c r="G1298" s="1431" t="s">
        <v>3152</v>
      </c>
      <c r="H1298" s="1430" t="s">
        <v>9448</v>
      </c>
      <c r="I1298" s="1429" t="s">
        <v>1023</v>
      </c>
      <c r="J1298" s="2196">
        <v>100.5</v>
      </c>
    </row>
    <row r="1299" spans="2:10" ht="13.5" thickBot="1" x14ac:dyDescent="0.25">
      <c r="B1299" s="392" t="str">
        <f t="shared" si="40"/>
        <v>Veterans - LIMPENS Fabian</v>
      </c>
      <c r="C1299" s="1441" t="str">
        <f t="shared" si="41"/>
        <v>LIMPENS Fabian</v>
      </c>
      <c r="D1299" s="1428" t="s">
        <v>9734</v>
      </c>
      <c r="E1299" s="1429">
        <v>114</v>
      </c>
      <c r="F1299" s="1430" t="s">
        <v>16765</v>
      </c>
      <c r="G1299" s="1431" t="s">
        <v>11518</v>
      </c>
      <c r="H1299" s="1430" t="s">
        <v>15816</v>
      </c>
      <c r="I1299" s="1429" t="s">
        <v>990</v>
      </c>
      <c r="J1299" s="2196">
        <v>99</v>
      </c>
    </row>
    <row r="1300" spans="2:10" ht="13.5" thickBot="1" x14ac:dyDescent="0.25">
      <c r="B1300" s="392" t="str">
        <f t="shared" si="40"/>
        <v>Veterans - ANGELOPOULOS Vasileios</v>
      </c>
      <c r="C1300" s="1441" t="str">
        <f t="shared" si="41"/>
        <v>ANGELOPOULOS Vasileios</v>
      </c>
      <c r="D1300" s="1428" t="s">
        <v>9734</v>
      </c>
      <c r="E1300" s="1429">
        <v>115</v>
      </c>
      <c r="F1300" s="1430" t="s">
        <v>5510</v>
      </c>
      <c r="G1300" s="1431" t="s">
        <v>5548</v>
      </c>
      <c r="H1300" s="1430" t="s">
        <v>10246</v>
      </c>
      <c r="I1300" s="1429" t="s">
        <v>1025</v>
      </c>
      <c r="J1300" s="2196">
        <v>98</v>
      </c>
    </row>
    <row r="1301" spans="2:10" ht="13.5" thickBot="1" x14ac:dyDescent="0.25">
      <c r="B1301" s="392" t="str">
        <f t="shared" si="40"/>
        <v>Veterans - SILVA Jorge</v>
      </c>
      <c r="C1301" s="1441" t="str">
        <f t="shared" si="41"/>
        <v>SILVA Jorge</v>
      </c>
      <c r="D1301" s="1428" t="s">
        <v>9734</v>
      </c>
      <c r="E1301" s="1429">
        <v>116</v>
      </c>
      <c r="F1301" s="1430" t="s">
        <v>14208</v>
      </c>
      <c r="G1301" s="1431" t="s">
        <v>7312</v>
      </c>
      <c r="H1301" s="1430" t="s">
        <v>15138</v>
      </c>
      <c r="I1301" s="1429" t="s">
        <v>1061</v>
      </c>
      <c r="J1301" s="2196">
        <v>96.5</v>
      </c>
    </row>
    <row r="1302" spans="2:10" ht="13.5" thickBot="1" x14ac:dyDescent="0.25">
      <c r="B1302" s="392" t="str">
        <f t="shared" si="40"/>
        <v>Veterans - FRASCARELLI Giovanni</v>
      </c>
      <c r="C1302" s="1441" t="str">
        <f t="shared" si="41"/>
        <v>FRASCARELLI Giovanni</v>
      </c>
      <c r="D1302" s="1428" t="s">
        <v>9734</v>
      </c>
      <c r="E1302" s="1429">
        <v>116</v>
      </c>
      <c r="F1302" s="1430" t="s">
        <v>11191</v>
      </c>
      <c r="G1302" s="1431" t="s">
        <v>3371</v>
      </c>
      <c r="H1302" s="1430" t="s">
        <v>5311</v>
      </c>
      <c r="I1302" s="1429" t="s">
        <v>1037</v>
      </c>
      <c r="J1302" s="2196">
        <v>96.5</v>
      </c>
    </row>
    <row r="1303" spans="2:10" ht="13.5" thickBot="1" x14ac:dyDescent="0.25">
      <c r="B1303" s="392" t="str">
        <f t="shared" si="40"/>
        <v>Veterans - GREEN Robert</v>
      </c>
      <c r="C1303" s="1441" t="str">
        <f t="shared" si="41"/>
        <v>GREEN Robert</v>
      </c>
      <c r="D1303" s="1428" t="s">
        <v>9734</v>
      </c>
      <c r="E1303" s="1429">
        <v>118</v>
      </c>
      <c r="F1303" s="1430" t="s">
        <v>5594</v>
      </c>
      <c r="G1303" s="1431" t="s">
        <v>3405</v>
      </c>
      <c r="H1303" s="1430" t="s">
        <v>9593</v>
      </c>
      <c r="I1303" s="1429" t="s">
        <v>986</v>
      </c>
      <c r="J1303" s="2196">
        <v>95</v>
      </c>
    </row>
    <row r="1304" spans="2:10" ht="13.5" thickBot="1" x14ac:dyDescent="0.25">
      <c r="B1304" s="392" t="str">
        <f t="shared" si="40"/>
        <v>Veterans - CITRIGNO Pasquale</v>
      </c>
      <c r="C1304" s="1441" t="str">
        <f t="shared" si="41"/>
        <v>CITRIGNO Pasquale</v>
      </c>
      <c r="D1304" s="1428" t="s">
        <v>9734</v>
      </c>
      <c r="E1304" s="1429">
        <v>119</v>
      </c>
      <c r="F1304" s="1430" t="s">
        <v>16753</v>
      </c>
      <c r="G1304" s="1431" t="s">
        <v>3548</v>
      </c>
      <c r="H1304" s="1430" t="s">
        <v>16490</v>
      </c>
      <c r="I1304" s="1429" t="s">
        <v>1037</v>
      </c>
      <c r="J1304" s="2196">
        <v>94</v>
      </c>
    </row>
    <row r="1305" spans="2:10" ht="13.5" thickBot="1" x14ac:dyDescent="0.25">
      <c r="B1305" s="392" t="str">
        <f t="shared" si="40"/>
        <v>Veterans - IMPALLOMENI Bernardo</v>
      </c>
      <c r="C1305" s="1441" t="str">
        <f t="shared" si="41"/>
        <v>IMPALLOMENI Bernardo</v>
      </c>
      <c r="D1305" s="1428" t="s">
        <v>9734</v>
      </c>
      <c r="E1305" s="1429">
        <v>120</v>
      </c>
      <c r="F1305" s="1430" t="s">
        <v>16750</v>
      </c>
      <c r="G1305" s="1431" t="s">
        <v>3529</v>
      </c>
      <c r="H1305" s="1430" t="s">
        <v>7877</v>
      </c>
      <c r="I1305" s="1429" t="s">
        <v>1037</v>
      </c>
      <c r="J1305" s="2196">
        <v>90</v>
      </c>
    </row>
    <row r="1306" spans="2:10" ht="13.5" thickBot="1" x14ac:dyDescent="0.25">
      <c r="B1306" s="392" t="str">
        <f t="shared" si="40"/>
        <v>Veterans - KOI Kenzo</v>
      </c>
      <c r="C1306" s="1441" t="str">
        <f t="shared" si="41"/>
        <v>KOI Kenzo</v>
      </c>
      <c r="D1306" s="1428" t="s">
        <v>9734</v>
      </c>
      <c r="E1306" s="1429">
        <v>120</v>
      </c>
      <c r="F1306" s="1430" t="s">
        <v>3186</v>
      </c>
      <c r="G1306" s="1431" t="s">
        <v>3187</v>
      </c>
      <c r="H1306" s="1430" t="s">
        <v>5508</v>
      </c>
      <c r="I1306" s="1429" t="s">
        <v>1041</v>
      </c>
      <c r="J1306" s="2196">
        <v>90</v>
      </c>
    </row>
    <row r="1307" spans="2:10" ht="13.5" thickBot="1" x14ac:dyDescent="0.25">
      <c r="B1307" s="392" t="str">
        <f t="shared" si="40"/>
        <v>Veterans - YUSNI Den Mulia</v>
      </c>
      <c r="C1307" s="1441" t="str">
        <f t="shared" si="41"/>
        <v>YUSNI Den Mulia</v>
      </c>
      <c r="D1307" s="1428" t="s">
        <v>9734</v>
      </c>
      <c r="E1307" s="1429">
        <v>120</v>
      </c>
      <c r="F1307" s="1430" t="s">
        <v>3117</v>
      </c>
      <c r="G1307" s="1431" t="s">
        <v>3118</v>
      </c>
      <c r="H1307" s="1430" t="s">
        <v>8716</v>
      </c>
      <c r="I1307" s="1429" t="s">
        <v>7916</v>
      </c>
      <c r="J1307" s="2196">
        <v>90</v>
      </c>
    </row>
    <row r="1308" spans="2:10" ht="13.5" thickBot="1" x14ac:dyDescent="0.25">
      <c r="B1308" s="392" t="str">
        <f t="shared" si="40"/>
        <v>Veterans - PAPADOPOULOS Georgios</v>
      </c>
      <c r="C1308" s="1441" t="str">
        <f t="shared" si="41"/>
        <v>PAPADOPOULOS Georgios</v>
      </c>
      <c r="D1308" s="1428" t="s">
        <v>9734</v>
      </c>
      <c r="E1308" s="1429">
        <v>123</v>
      </c>
      <c r="F1308" s="1430" t="s">
        <v>3094</v>
      </c>
      <c r="G1308" s="1431" t="s">
        <v>3324</v>
      </c>
      <c r="H1308" s="1430" t="s">
        <v>2745</v>
      </c>
      <c r="I1308" s="1429" t="s">
        <v>1025</v>
      </c>
      <c r="J1308" s="2196">
        <v>87</v>
      </c>
    </row>
    <row r="1309" spans="2:10" ht="13.5" thickBot="1" x14ac:dyDescent="0.25">
      <c r="B1309" s="392" t="str">
        <f t="shared" si="40"/>
        <v>Veterans - AUSTIN Steve</v>
      </c>
      <c r="C1309" s="1441" t="str">
        <f t="shared" si="41"/>
        <v>AUSTIN Steve</v>
      </c>
      <c r="D1309" s="1428" t="s">
        <v>9734</v>
      </c>
      <c r="E1309" s="1429">
        <v>124</v>
      </c>
      <c r="F1309" s="1430" t="s">
        <v>14997</v>
      </c>
      <c r="G1309" s="1431" t="s">
        <v>3088</v>
      </c>
      <c r="H1309" s="1430" t="s">
        <v>5317</v>
      </c>
      <c r="I1309" s="1429" t="s">
        <v>1045</v>
      </c>
      <c r="J1309" s="2196">
        <v>86</v>
      </c>
    </row>
    <row r="1310" spans="2:10" ht="13.5" thickBot="1" x14ac:dyDescent="0.25">
      <c r="B1310" s="392" t="str">
        <f t="shared" si="40"/>
        <v>Veterans - FARZA Skander</v>
      </c>
      <c r="C1310" s="1441" t="str">
        <f t="shared" si="41"/>
        <v>FARZA Skander</v>
      </c>
      <c r="D1310" s="1428" t="s">
        <v>9734</v>
      </c>
      <c r="E1310" s="1429">
        <v>125</v>
      </c>
      <c r="F1310" s="1430" t="s">
        <v>11437</v>
      </c>
      <c r="G1310" s="1431" t="s">
        <v>5553</v>
      </c>
      <c r="H1310" s="1430" t="s">
        <v>2796</v>
      </c>
      <c r="I1310" s="1429" t="s">
        <v>1076</v>
      </c>
      <c r="J1310" s="2196">
        <v>83.5</v>
      </c>
    </row>
    <row r="1311" spans="2:10" ht="13.5" thickBot="1" x14ac:dyDescent="0.25">
      <c r="B1311" s="392" t="str">
        <f t="shared" si="40"/>
        <v>Veterans - MÉNDEZ Luis Felipe</v>
      </c>
      <c r="C1311" s="1441" t="str">
        <f t="shared" si="41"/>
        <v>MÉNDEZ Luis Felipe</v>
      </c>
      <c r="D1311" s="1428" t="s">
        <v>9734</v>
      </c>
      <c r="E1311" s="1429">
        <v>126</v>
      </c>
      <c r="F1311" s="1430" t="s">
        <v>7301</v>
      </c>
      <c r="G1311" s="1431" t="s">
        <v>3417</v>
      </c>
      <c r="H1311" s="1430" t="s">
        <v>2755</v>
      </c>
      <c r="I1311" s="1429" t="s">
        <v>1015</v>
      </c>
      <c r="J1311" s="2196">
        <v>82.5</v>
      </c>
    </row>
    <row r="1312" spans="2:10" ht="13.5" thickBot="1" x14ac:dyDescent="0.25">
      <c r="B1312" s="392" t="str">
        <f t="shared" si="40"/>
        <v>Veterans - MELEAS Konstantinos</v>
      </c>
      <c r="C1312" s="1441" t="str">
        <f t="shared" si="41"/>
        <v>MELEAS Konstantinos</v>
      </c>
      <c r="D1312" s="1428" t="s">
        <v>9734</v>
      </c>
      <c r="E1312" s="1429">
        <v>127</v>
      </c>
      <c r="F1312" s="1430" t="s">
        <v>14251</v>
      </c>
      <c r="G1312" s="1431" t="s">
        <v>6986</v>
      </c>
      <c r="H1312" s="1430" t="s">
        <v>13590</v>
      </c>
      <c r="I1312" s="1429" t="s">
        <v>1025</v>
      </c>
      <c r="J1312" s="2196">
        <v>82</v>
      </c>
    </row>
    <row r="1313" spans="2:10" ht="13.5" thickBot="1" x14ac:dyDescent="0.25">
      <c r="B1313" s="392" t="str">
        <f t="shared" si="40"/>
        <v>Veterans - CAMILLERI Emanuel</v>
      </c>
      <c r="C1313" s="1441" t="str">
        <f t="shared" si="41"/>
        <v>CAMILLERI Emanuel</v>
      </c>
      <c r="D1313" s="1428" t="s">
        <v>9734</v>
      </c>
      <c r="E1313" s="1429">
        <v>127</v>
      </c>
      <c r="F1313" s="1430" t="s">
        <v>3153</v>
      </c>
      <c r="G1313" s="1431" t="s">
        <v>9554</v>
      </c>
      <c r="H1313" s="1430" t="s">
        <v>17082</v>
      </c>
      <c r="I1313" s="1429" t="s">
        <v>1045</v>
      </c>
      <c r="J1313" s="2196">
        <v>82</v>
      </c>
    </row>
    <row r="1314" spans="2:10" ht="13.5" thickBot="1" x14ac:dyDescent="0.25">
      <c r="B1314" s="392" t="str">
        <f t="shared" si="40"/>
        <v>Veterans - PACE Patrick</v>
      </c>
      <c r="C1314" s="1441" t="str">
        <f t="shared" si="41"/>
        <v>PACE Patrick</v>
      </c>
      <c r="D1314" s="1428" t="s">
        <v>9734</v>
      </c>
      <c r="E1314" s="1429">
        <v>129</v>
      </c>
      <c r="F1314" s="1430" t="s">
        <v>13500</v>
      </c>
      <c r="G1314" s="1431" t="s">
        <v>3271</v>
      </c>
      <c r="H1314" s="1430" t="s">
        <v>14680</v>
      </c>
      <c r="I1314" s="1429" t="s">
        <v>1045</v>
      </c>
      <c r="J1314" s="2196">
        <v>81.5</v>
      </c>
    </row>
    <row r="1315" spans="2:10" ht="13.5" thickBot="1" x14ac:dyDescent="0.25">
      <c r="B1315" s="392" t="str">
        <f t="shared" si="40"/>
        <v>Veterans - CEULEMANS Jos</v>
      </c>
      <c r="C1315" s="1441" t="str">
        <f t="shared" si="41"/>
        <v>CEULEMANS Jos</v>
      </c>
      <c r="D1315" s="1428" t="s">
        <v>9734</v>
      </c>
      <c r="E1315" s="1429">
        <v>129</v>
      </c>
      <c r="F1315" s="1430" t="s">
        <v>17613</v>
      </c>
      <c r="G1315" s="1431" t="s">
        <v>17489</v>
      </c>
      <c r="H1315" s="1430" t="s">
        <v>2772</v>
      </c>
      <c r="I1315" s="1429" t="s">
        <v>990</v>
      </c>
      <c r="J1315" s="2196">
        <v>81.5</v>
      </c>
    </row>
    <row r="1316" spans="2:10" ht="13.5" thickBot="1" x14ac:dyDescent="0.25">
      <c r="B1316" s="392" t="str">
        <f t="shared" si="40"/>
        <v>Veterans - CHOONG Michael</v>
      </c>
      <c r="C1316" s="1441" t="str">
        <f t="shared" si="41"/>
        <v>CHOONG Michael</v>
      </c>
      <c r="D1316" s="1428" t="s">
        <v>9734</v>
      </c>
      <c r="E1316" s="1429">
        <v>131</v>
      </c>
      <c r="F1316" s="1430" t="s">
        <v>5509</v>
      </c>
      <c r="G1316" s="1431" t="s">
        <v>3416</v>
      </c>
      <c r="H1316" s="1430" t="s">
        <v>10267</v>
      </c>
      <c r="I1316" s="1429" t="s">
        <v>7916</v>
      </c>
      <c r="J1316" s="2196">
        <v>81</v>
      </c>
    </row>
    <row r="1317" spans="2:10" ht="13.5" thickBot="1" x14ac:dyDescent="0.25">
      <c r="B1317" s="392" t="str">
        <f t="shared" si="40"/>
        <v>Veterans - MATTHEWS Cayne</v>
      </c>
      <c r="C1317" s="1441" t="str">
        <f t="shared" si="41"/>
        <v>MATTHEWS Cayne</v>
      </c>
      <c r="D1317" s="1428" t="s">
        <v>9734</v>
      </c>
      <c r="E1317" s="1429">
        <v>131</v>
      </c>
      <c r="F1317" s="1430" t="s">
        <v>11420</v>
      </c>
      <c r="G1317" s="1431" t="s">
        <v>8231</v>
      </c>
      <c r="H1317" s="1430" t="s">
        <v>15274</v>
      </c>
      <c r="I1317" s="1429" t="s">
        <v>1013</v>
      </c>
      <c r="J1317" s="2196">
        <v>81</v>
      </c>
    </row>
    <row r="1318" spans="2:10" ht="13.5" thickBot="1" x14ac:dyDescent="0.25">
      <c r="B1318" s="392" t="str">
        <f t="shared" si="40"/>
        <v>Veterans - PAPADAKIS Manolis</v>
      </c>
      <c r="C1318" s="1441" t="str">
        <f t="shared" si="41"/>
        <v>PAPADAKIS Manolis</v>
      </c>
      <c r="D1318" s="1428" t="s">
        <v>9734</v>
      </c>
      <c r="E1318" s="1429">
        <v>133</v>
      </c>
      <c r="F1318" s="1430" t="s">
        <v>3466</v>
      </c>
      <c r="G1318" s="1431" t="s">
        <v>3591</v>
      </c>
      <c r="H1318" s="1430" t="s">
        <v>2745</v>
      </c>
      <c r="I1318" s="1429" t="s">
        <v>1025</v>
      </c>
      <c r="J1318" s="2196">
        <v>80.5</v>
      </c>
    </row>
    <row r="1319" spans="2:10" ht="13.5" thickBot="1" x14ac:dyDescent="0.25">
      <c r="B1319" s="392" t="str">
        <f t="shared" si="40"/>
        <v>Veterans - GIUDICE Michele</v>
      </c>
      <c r="C1319" s="1441" t="str">
        <f t="shared" si="41"/>
        <v>GIUDICE Michele</v>
      </c>
      <c r="D1319" s="1428" t="s">
        <v>9734</v>
      </c>
      <c r="E1319" s="1429">
        <v>134</v>
      </c>
      <c r="F1319" s="1430" t="s">
        <v>3327</v>
      </c>
      <c r="G1319" s="1431" t="s">
        <v>3216</v>
      </c>
      <c r="H1319" s="1430" t="s">
        <v>13477</v>
      </c>
      <c r="I1319" s="1429" t="s">
        <v>1037</v>
      </c>
      <c r="J1319" s="2196">
        <v>80</v>
      </c>
    </row>
    <row r="1320" spans="2:10" ht="13.5" thickBot="1" x14ac:dyDescent="0.25">
      <c r="B1320" s="392" t="str">
        <f t="shared" si="40"/>
        <v>Veterans - POMMIER Stéphane</v>
      </c>
      <c r="C1320" s="1441" t="str">
        <f t="shared" si="41"/>
        <v>POMMIER Stéphane</v>
      </c>
      <c r="D1320" s="1428" t="s">
        <v>9734</v>
      </c>
      <c r="E1320" s="1429">
        <v>135</v>
      </c>
      <c r="F1320" s="1430" t="s">
        <v>3623</v>
      </c>
      <c r="G1320" s="1431" t="s">
        <v>3624</v>
      </c>
      <c r="H1320" s="1430" t="s">
        <v>2893</v>
      </c>
      <c r="I1320" s="1429" t="s">
        <v>1019</v>
      </c>
      <c r="J1320" s="2196">
        <v>79</v>
      </c>
    </row>
    <row r="1321" spans="2:10" ht="13.5" thickBot="1" x14ac:dyDescent="0.25">
      <c r="B1321" s="392" t="str">
        <f t="shared" si="40"/>
        <v>Veterans - DI VITO Raffaele</v>
      </c>
      <c r="C1321" s="1441" t="str">
        <f t="shared" si="41"/>
        <v>DI VITO Raffaele</v>
      </c>
      <c r="D1321" s="1428" t="s">
        <v>9734</v>
      </c>
      <c r="E1321" s="1429">
        <v>136</v>
      </c>
      <c r="F1321" s="1430" t="s">
        <v>3567</v>
      </c>
      <c r="G1321" s="1431" t="s">
        <v>3370</v>
      </c>
      <c r="H1321" s="1430" t="s">
        <v>2750</v>
      </c>
      <c r="I1321" s="1429" t="s">
        <v>1037</v>
      </c>
      <c r="J1321" s="2196">
        <v>77</v>
      </c>
    </row>
    <row r="1322" spans="2:10" ht="13.5" thickBot="1" x14ac:dyDescent="0.25">
      <c r="B1322" s="392" t="str">
        <f t="shared" si="40"/>
        <v>Veterans - STROMMER Alfred</v>
      </c>
      <c r="C1322" s="1441" t="str">
        <f t="shared" si="41"/>
        <v>STROMMER Alfred</v>
      </c>
      <c r="D1322" s="1428" t="s">
        <v>9734</v>
      </c>
      <c r="E1322" s="1429">
        <v>137</v>
      </c>
      <c r="F1322" s="1430" t="s">
        <v>3510</v>
      </c>
      <c r="G1322" s="1431" t="s">
        <v>3511</v>
      </c>
      <c r="H1322" s="1430" t="s">
        <v>8871</v>
      </c>
      <c r="I1322" s="1429" t="s">
        <v>988</v>
      </c>
      <c r="J1322" s="2196">
        <v>76.5</v>
      </c>
    </row>
    <row r="1323" spans="2:10" ht="13.5" thickBot="1" x14ac:dyDescent="0.25">
      <c r="B1323" s="392" t="str">
        <f t="shared" si="40"/>
        <v>Veterans - MARTÍNEZ Arturo</v>
      </c>
      <c r="C1323" s="1441" t="str">
        <f t="shared" si="41"/>
        <v>MARTÍNEZ Arturo</v>
      </c>
      <c r="D1323" s="1428" t="s">
        <v>9734</v>
      </c>
      <c r="E1323" s="1429">
        <v>138</v>
      </c>
      <c r="F1323" s="1430" t="s">
        <v>3252</v>
      </c>
      <c r="G1323" s="1431" t="s">
        <v>3253</v>
      </c>
      <c r="H1323" s="1430" t="s">
        <v>14448</v>
      </c>
      <c r="I1323" s="1429" t="s">
        <v>1015</v>
      </c>
      <c r="J1323" s="2196">
        <v>75.5</v>
      </c>
    </row>
    <row r="1324" spans="2:10" ht="13.5" thickBot="1" x14ac:dyDescent="0.25">
      <c r="B1324" s="392" t="str">
        <f t="shared" si="40"/>
        <v>Veterans - IELAPI Pietro</v>
      </c>
      <c r="C1324" s="1441" t="str">
        <f t="shared" si="41"/>
        <v>IELAPI Pietro</v>
      </c>
      <c r="D1324" s="1428" t="s">
        <v>9734</v>
      </c>
      <c r="E1324" s="1429">
        <v>139</v>
      </c>
      <c r="F1324" s="1430" t="s">
        <v>14276</v>
      </c>
      <c r="G1324" s="1431" t="s">
        <v>3233</v>
      </c>
      <c r="H1324" s="1430" t="s">
        <v>16490</v>
      </c>
      <c r="I1324" s="1429" t="s">
        <v>1037</v>
      </c>
      <c r="J1324" s="2196">
        <v>74.5</v>
      </c>
    </row>
    <row r="1325" spans="2:10" ht="13.5" thickBot="1" x14ac:dyDescent="0.25">
      <c r="B1325" s="392" t="str">
        <f t="shared" si="40"/>
        <v>Veterans - SILVA Nuno</v>
      </c>
      <c r="C1325" s="1441" t="str">
        <f t="shared" si="41"/>
        <v>SILVA Nuno</v>
      </c>
      <c r="D1325" s="1428" t="s">
        <v>9734</v>
      </c>
      <c r="E1325" s="1429">
        <v>139</v>
      </c>
      <c r="F1325" s="1430" t="s">
        <v>14208</v>
      </c>
      <c r="G1325" s="1431" t="s">
        <v>3093</v>
      </c>
      <c r="H1325" s="1430" t="s">
        <v>11332</v>
      </c>
      <c r="I1325" s="1429" t="s">
        <v>1061</v>
      </c>
      <c r="J1325" s="2196">
        <v>74.5</v>
      </c>
    </row>
    <row r="1326" spans="2:10" ht="13.5" thickBot="1" x14ac:dyDescent="0.25">
      <c r="B1326" s="392" t="str">
        <f t="shared" si="40"/>
        <v>Veterans - MARTINI Andrew</v>
      </c>
      <c r="C1326" s="1441" t="str">
        <f t="shared" si="41"/>
        <v>MARTINI Andrew</v>
      </c>
      <c r="D1326" s="1428" t="s">
        <v>9734</v>
      </c>
      <c r="E1326" s="1429">
        <v>141</v>
      </c>
      <c r="F1326" s="1430" t="s">
        <v>14902</v>
      </c>
      <c r="G1326" s="1431" t="s">
        <v>3105</v>
      </c>
      <c r="H1326" s="1430" t="s">
        <v>14711</v>
      </c>
      <c r="I1326" s="1429" t="s">
        <v>1041</v>
      </c>
      <c r="J1326" s="2196">
        <v>72</v>
      </c>
    </row>
    <row r="1327" spans="2:10" ht="13.5" thickBot="1" x14ac:dyDescent="0.25">
      <c r="B1327" s="392" t="str">
        <f t="shared" si="40"/>
        <v>Veterans - GIAMBELLUCA Francesco</v>
      </c>
      <c r="C1327" s="1441" t="str">
        <f t="shared" si="41"/>
        <v>GIAMBELLUCA Francesco</v>
      </c>
      <c r="D1327" s="1428" t="s">
        <v>9734</v>
      </c>
      <c r="E1327" s="1429">
        <v>142</v>
      </c>
      <c r="F1327" s="1430" t="s">
        <v>14915</v>
      </c>
      <c r="G1327" s="1431" t="s">
        <v>3277</v>
      </c>
      <c r="H1327" s="1430" t="s">
        <v>5311</v>
      </c>
      <c r="I1327" s="1429" t="s">
        <v>1037</v>
      </c>
      <c r="J1327" s="2196">
        <v>71</v>
      </c>
    </row>
    <row r="1328" spans="2:10" ht="13.5" thickBot="1" x14ac:dyDescent="0.25">
      <c r="B1328" s="392" t="str">
        <f t="shared" si="40"/>
        <v>Veterans - PROMPONAS Nikolaos</v>
      </c>
      <c r="C1328" s="1441" t="str">
        <f t="shared" si="41"/>
        <v>PROMPONAS Nikolaos</v>
      </c>
      <c r="D1328" s="1428" t="s">
        <v>9734</v>
      </c>
      <c r="E1328" s="1429">
        <v>143</v>
      </c>
      <c r="F1328" s="1430" t="s">
        <v>14275</v>
      </c>
      <c r="G1328" s="1431" t="s">
        <v>5554</v>
      </c>
      <c r="H1328" s="1430" t="s">
        <v>9449</v>
      </c>
      <c r="I1328" s="1429" t="s">
        <v>1025</v>
      </c>
      <c r="J1328" s="2196">
        <v>68.5</v>
      </c>
    </row>
    <row r="1329" spans="2:10" ht="13.5" thickBot="1" x14ac:dyDescent="0.25">
      <c r="B1329" s="392" t="str">
        <f t="shared" si="40"/>
        <v>Veterans - BARONI Luigi</v>
      </c>
      <c r="C1329" s="1441" t="str">
        <f t="shared" si="41"/>
        <v>BARONI Luigi</v>
      </c>
      <c r="D1329" s="1428" t="s">
        <v>9734</v>
      </c>
      <c r="E1329" s="1429">
        <v>143</v>
      </c>
      <c r="F1329" s="1430" t="s">
        <v>14278</v>
      </c>
      <c r="G1329" s="1431" t="s">
        <v>3339</v>
      </c>
      <c r="H1329" s="1430" t="s">
        <v>16490</v>
      </c>
      <c r="I1329" s="1429" t="s">
        <v>1037</v>
      </c>
      <c r="J1329" s="2196">
        <v>68.5</v>
      </c>
    </row>
    <row r="1330" spans="2:10" ht="13.5" thickBot="1" x14ac:dyDescent="0.25">
      <c r="B1330" s="392" t="str">
        <f t="shared" si="40"/>
        <v>Veterans - KOROLOGOS Sotiris</v>
      </c>
      <c r="C1330" s="1441" t="str">
        <f t="shared" si="41"/>
        <v>KOROLOGOS Sotiris</v>
      </c>
      <c r="D1330" s="1428" t="s">
        <v>9734</v>
      </c>
      <c r="E1330" s="1429">
        <v>145</v>
      </c>
      <c r="F1330" s="1430" t="s">
        <v>5559</v>
      </c>
      <c r="G1330" s="1431" t="s">
        <v>5560</v>
      </c>
      <c r="H1330" s="1430" t="s">
        <v>9449</v>
      </c>
      <c r="I1330" s="1429" t="s">
        <v>1025</v>
      </c>
      <c r="J1330" s="2196">
        <v>68</v>
      </c>
    </row>
    <row r="1331" spans="2:10" ht="13.5" thickBot="1" x14ac:dyDescent="0.25">
      <c r="B1331" s="392" t="str">
        <f t="shared" si="40"/>
        <v>Veterans - FERRANTE Saverio</v>
      </c>
      <c r="C1331" s="1441" t="str">
        <f t="shared" si="41"/>
        <v>FERRANTE Saverio</v>
      </c>
      <c r="D1331" s="1428" t="s">
        <v>9734</v>
      </c>
      <c r="E1331" s="1429">
        <v>146</v>
      </c>
      <c r="F1331" s="1430" t="s">
        <v>3223</v>
      </c>
      <c r="G1331" s="1431" t="s">
        <v>3006</v>
      </c>
      <c r="H1331" s="1430" t="s">
        <v>433</v>
      </c>
      <c r="I1331" s="1429" t="s">
        <v>1037</v>
      </c>
      <c r="J1331" s="2196">
        <v>67</v>
      </c>
    </row>
    <row r="1332" spans="2:10" ht="13.5" thickBot="1" x14ac:dyDescent="0.25">
      <c r="B1332" s="392" t="str">
        <f t="shared" si="40"/>
        <v>Veterans - FOUETILLOU Jean-Marie</v>
      </c>
      <c r="C1332" s="1441" t="str">
        <f t="shared" si="41"/>
        <v>FOUETILLOU Jean-Marie</v>
      </c>
      <c r="D1332" s="1428" t="s">
        <v>9734</v>
      </c>
      <c r="E1332" s="1429">
        <v>146</v>
      </c>
      <c r="F1332" s="1430" t="s">
        <v>11436</v>
      </c>
      <c r="G1332" s="1431" t="s">
        <v>3082</v>
      </c>
      <c r="H1332" s="1430" t="s">
        <v>2893</v>
      </c>
      <c r="I1332" s="1429" t="s">
        <v>1019</v>
      </c>
      <c r="J1332" s="2196">
        <v>67</v>
      </c>
    </row>
    <row r="1333" spans="2:10" ht="13.5" thickBot="1" x14ac:dyDescent="0.25">
      <c r="B1333" s="392" t="str">
        <f t="shared" si="40"/>
        <v>Veterans - DRAZINAKIS Giorgos</v>
      </c>
      <c r="C1333" s="1441" t="str">
        <f t="shared" si="41"/>
        <v>DRAZINAKIS Giorgos</v>
      </c>
      <c r="D1333" s="1428" t="s">
        <v>9734</v>
      </c>
      <c r="E1333" s="1429">
        <v>148</v>
      </c>
      <c r="F1333" s="1430" t="s">
        <v>3568</v>
      </c>
      <c r="G1333" s="1431" t="s">
        <v>3040</v>
      </c>
      <c r="H1333" s="1430" t="s">
        <v>5309</v>
      </c>
      <c r="I1333" s="1429" t="s">
        <v>1025</v>
      </c>
      <c r="J1333" s="2196">
        <v>66</v>
      </c>
    </row>
    <row r="1334" spans="2:10" ht="13.5" thickBot="1" x14ac:dyDescent="0.25">
      <c r="B1334" s="392" t="str">
        <f t="shared" si="40"/>
        <v>Veterans - FARIA Miguel</v>
      </c>
      <c r="C1334" s="1441" t="str">
        <f t="shared" si="41"/>
        <v>FARIA Miguel</v>
      </c>
      <c r="D1334" s="1428" t="s">
        <v>9734</v>
      </c>
      <c r="E1334" s="1429">
        <v>149</v>
      </c>
      <c r="F1334" s="1430" t="s">
        <v>14297</v>
      </c>
      <c r="G1334" s="1431" t="s">
        <v>3089</v>
      </c>
      <c r="H1334" s="1430" t="s">
        <v>11332</v>
      </c>
      <c r="I1334" s="1429" t="s">
        <v>1061</v>
      </c>
      <c r="J1334" s="2196">
        <v>62.5</v>
      </c>
    </row>
    <row r="1335" spans="2:10" ht="13.5" thickBot="1" x14ac:dyDescent="0.25">
      <c r="B1335" s="392" t="str">
        <f t="shared" si="40"/>
        <v>Veterans - COLELLA Maurizio</v>
      </c>
      <c r="C1335" s="1441" t="str">
        <f t="shared" si="41"/>
        <v>COLELLA Maurizio</v>
      </c>
      <c r="D1335" s="1428" t="s">
        <v>9734</v>
      </c>
      <c r="E1335" s="1429">
        <v>150</v>
      </c>
      <c r="F1335" s="1430" t="s">
        <v>14280</v>
      </c>
      <c r="G1335" s="1431" t="s">
        <v>3148</v>
      </c>
      <c r="H1335" s="1430" t="s">
        <v>13477</v>
      </c>
      <c r="I1335" s="1429" t="s">
        <v>1037</v>
      </c>
      <c r="J1335" s="2196">
        <v>62</v>
      </c>
    </row>
    <row r="1336" spans="2:10" ht="13.5" thickBot="1" x14ac:dyDescent="0.25">
      <c r="B1336" s="392" t="str">
        <f t="shared" si="40"/>
        <v>Veterans - LANNOY Frank</v>
      </c>
      <c r="C1336" s="1441" t="str">
        <f t="shared" si="41"/>
        <v>LANNOY Frank</v>
      </c>
      <c r="D1336" s="1428" t="s">
        <v>9734</v>
      </c>
      <c r="E1336" s="1429">
        <v>151</v>
      </c>
      <c r="F1336" s="1430" t="s">
        <v>3206</v>
      </c>
      <c r="G1336" s="1431" t="s">
        <v>3207</v>
      </c>
      <c r="H1336" s="1430" t="s">
        <v>2779</v>
      </c>
      <c r="I1336" s="1429" t="s">
        <v>990</v>
      </c>
      <c r="J1336" s="2196">
        <v>61.5</v>
      </c>
    </row>
    <row r="1337" spans="2:10" ht="13.5" thickBot="1" x14ac:dyDescent="0.25">
      <c r="B1337" s="392" t="str">
        <f t="shared" si="40"/>
        <v>Veterans - MANFREDELLI Massimo</v>
      </c>
      <c r="C1337" s="1441" t="str">
        <f t="shared" si="41"/>
        <v>MANFREDELLI Massimo</v>
      </c>
      <c r="D1337" s="1428" t="s">
        <v>9734</v>
      </c>
      <c r="E1337" s="1429">
        <v>152</v>
      </c>
      <c r="F1337" s="1430" t="s">
        <v>10308</v>
      </c>
      <c r="G1337" s="1431" t="s">
        <v>3013</v>
      </c>
      <c r="H1337" s="1430" t="s">
        <v>2750</v>
      </c>
      <c r="I1337" s="1429" t="s">
        <v>1037</v>
      </c>
      <c r="J1337" s="2196">
        <v>60</v>
      </c>
    </row>
    <row r="1338" spans="2:10" ht="13.5" thickBot="1" x14ac:dyDescent="0.25">
      <c r="B1338" s="392" t="str">
        <f t="shared" si="40"/>
        <v>Veterans - IFRIGERIO Rosario</v>
      </c>
      <c r="C1338" s="1441" t="str">
        <f t="shared" si="41"/>
        <v>IFRIGERIO Rosario</v>
      </c>
      <c r="D1338" s="1428" t="s">
        <v>9734</v>
      </c>
      <c r="E1338" s="1429">
        <v>153</v>
      </c>
      <c r="F1338" s="1430" t="s">
        <v>3338</v>
      </c>
      <c r="G1338" s="1431" t="s">
        <v>3509</v>
      </c>
      <c r="H1338" s="1430" t="s">
        <v>13593</v>
      </c>
      <c r="I1338" s="1429" t="s">
        <v>1037</v>
      </c>
      <c r="J1338" s="2196">
        <v>59</v>
      </c>
    </row>
    <row r="1339" spans="2:10" ht="13.5" thickBot="1" x14ac:dyDescent="0.25">
      <c r="B1339" s="392" t="str">
        <f t="shared" si="40"/>
        <v>Veterans - GUYOT Daniel</v>
      </c>
      <c r="C1339" s="1441" t="str">
        <f t="shared" si="41"/>
        <v>GUYOT Daniel</v>
      </c>
      <c r="D1339" s="1428" t="s">
        <v>9734</v>
      </c>
      <c r="E1339" s="1429">
        <v>153</v>
      </c>
      <c r="F1339" s="1430" t="s">
        <v>3524</v>
      </c>
      <c r="G1339" s="1431" t="s">
        <v>3243</v>
      </c>
      <c r="H1339" s="1430" t="s">
        <v>15239</v>
      </c>
      <c r="I1339" s="1429" t="s">
        <v>1019</v>
      </c>
      <c r="J1339" s="2196">
        <v>59</v>
      </c>
    </row>
    <row r="1340" spans="2:10" ht="13.5" thickBot="1" x14ac:dyDescent="0.25">
      <c r="B1340" s="392" t="str">
        <f t="shared" si="40"/>
        <v>Veterans - SMALDONE Paolo</v>
      </c>
      <c r="C1340" s="1441" t="str">
        <f t="shared" si="41"/>
        <v>SMALDONE Paolo</v>
      </c>
      <c r="D1340" s="1428" t="s">
        <v>9734</v>
      </c>
      <c r="E1340" s="1429">
        <v>155</v>
      </c>
      <c r="F1340" s="1430" t="s">
        <v>14993</v>
      </c>
      <c r="G1340" s="1431" t="s">
        <v>3119</v>
      </c>
      <c r="H1340" s="1430" t="s">
        <v>5311</v>
      </c>
      <c r="I1340" s="1429" t="s">
        <v>1037</v>
      </c>
      <c r="J1340" s="2196">
        <v>57.5</v>
      </c>
    </row>
    <row r="1341" spans="2:10" ht="13.5" thickBot="1" x14ac:dyDescent="0.25">
      <c r="B1341" s="392" t="str">
        <f t="shared" si="40"/>
        <v>Veterans - DOTTO William</v>
      </c>
      <c r="C1341" s="1441" t="str">
        <f t="shared" si="41"/>
        <v>DOTTO William</v>
      </c>
      <c r="D1341" s="1428" t="s">
        <v>9734</v>
      </c>
      <c r="E1341" s="1429">
        <v>156</v>
      </c>
      <c r="F1341" s="1430" t="s">
        <v>3530</v>
      </c>
      <c r="G1341" s="1431" t="s">
        <v>3236</v>
      </c>
      <c r="H1341" s="1430" t="s">
        <v>7870</v>
      </c>
      <c r="I1341" s="1429" t="s">
        <v>1037</v>
      </c>
      <c r="J1341" s="2196">
        <v>56.5</v>
      </c>
    </row>
    <row r="1342" spans="2:10" ht="13.5" thickBot="1" x14ac:dyDescent="0.25">
      <c r="B1342" s="392" t="str">
        <f t="shared" si="40"/>
        <v>Veterans - LARANJEIRA Paulo</v>
      </c>
      <c r="C1342" s="1441" t="str">
        <f t="shared" si="41"/>
        <v>LARANJEIRA Paulo</v>
      </c>
      <c r="D1342" s="1428" t="s">
        <v>9734</v>
      </c>
      <c r="E1342" s="1429">
        <v>156</v>
      </c>
      <c r="F1342" s="1430" t="s">
        <v>14300</v>
      </c>
      <c r="G1342" s="1431" t="s">
        <v>3246</v>
      </c>
      <c r="H1342" s="1430" t="s">
        <v>11332</v>
      </c>
      <c r="I1342" s="1429" t="s">
        <v>1061</v>
      </c>
      <c r="J1342" s="2196">
        <v>56.5</v>
      </c>
    </row>
    <row r="1343" spans="2:10" ht="13.5" thickBot="1" x14ac:dyDescent="0.25">
      <c r="B1343" s="392" t="str">
        <f t="shared" si="40"/>
        <v>Veterans - BISIO Luca</v>
      </c>
      <c r="C1343" s="1441" t="str">
        <f t="shared" si="41"/>
        <v>BISIO Luca</v>
      </c>
      <c r="D1343" s="1428" t="s">
        <v>9734</v>
      </c>
      <c r="E1343" s="1429">
        <v>158</v>
      </c>
      <c r="F1343" s="1430" t="s">
        <v>5623</v>
      </c>
      <c r="G1343" s="1431" t="s">
        <v>3198</v>
      </c>
      <c r="H1343" s="1430" t="s">
        <v>2765</v>
      </c>
      <c r="I1343" s="1429" t="s">
        <v>1037</v>
      </c>
      <c r="J1343" s="2196">
        <v>55.5</v>
      </c>
    </row>
    <row r="1344" spans="2:10" ht="13.5" thickBot="1" x14ac:dyDescent="0.25">
      <c r="B1344" s="392" t="str">
        <f t="shared" si="40"/>
        <v>Veterans - AFONSO Nuno</v>
      </c>
      <c r="C1344" s="1441" t="str">
        <f t="shared" si="41"/>
        <v>AFONSO Nuno</v>
      </c>
      <c r="D1344" s="1428" t="s">
        <v>9734</v>
      </c>
      <c r="E1344" s="1429">
        <v>159</v>
      </c>
      <c r="F1344" s="1430" t="s">
        <v>14298</v>
      </c>
      <c r="G1344" s="1431" t="s">
        <v>3093</v>
      </c>
      <c r="H1344" s="1430" t="s">
        <v>11332</v>
      </c>
      <c r="I1344" s="1429" t="s">
        <v>1061</v>
      </c>
      <c r="J1344" s="2196">
        <v>55</v>
      </c>
    </row>
    <row r="1345" spans="2:10" ht="13.5" thickBot="1" x14ac:dyDescent="0.25">
      <c r="B1345" s="392" t="str">
        <f t="shared" si="40"/>
        <v>Veterans - MARKS Nico</v>
      </c>
      <c r="C1345" s="1441" t="str">
        <f t="shared" si="41"/>
        <v>MARKS Nico</v>
      </c>
      <c r="D1345" s="1428" t="s">
        <v>9734</v>
      </c>
      <c r="E1345" s="1429">
        <v>160</v>
      </c>
      <c r="F1345" s="1430" t="s">
        <v>16575</v>
      </c>
      <c r="G1345" s="1431" t="s">
        <v>3556</v>
      </c>
      <c r="H1345" s="1430" t="s">
        <v>7184</v>
      </c>
      <c r="I1345" s="1429" t="s">
        <v>1051</v>
      </c>
      <c r="J1345" s="2196">
        <v>54</v>
      </c>
    </row>
    <row r="1346" spans="2:10" ht="13.5" thickBot="1" x14ac:dyDescent="0.25">
      <c r="B1346" s="392" t="str">
        <f t="shared" si="40"/>
        <v>Veterans - SÁNCHEZ José Manuel</v>
      </c>
      <c r="C1346" s="1441" t="str">
        <f t="shared" si="41"/>
        <v>SÁNCHEZ José Manuel</v>
      </c>
      <c r="D1346" s="1428" t="s">
        <v>9734</v>
      </c>
      <c r="E1346" s="1429">
        <v>161</v>
      </c>
      <c r="F1346" s="1430" t="s">
        <v>3512</v>
      </c>
      <c r="G1346" s="1431" t="s">
        <v>3513</v>
      </c>
      <c r="H1346" s="1430" t="s">
        <v>2774</v>
      </c>
      <c r="I1346" s="1429" t="s">
        <v>1015</v>
      </c>
      <c r="J1346" s="2196">
        <v>52</v>
      </c>
    </row>
    <row r="1347" spans="2:10" ht="13.5" thickBot="1" x14ac:dyDescent="0.25">
      <c r="B1347" s="392" t="str">
        <f t="shared" si="40"/>
        <v>Veterans - MATTIANGELI Federico</v>
      </c>
      <c r="C1347" s="1441" t="str">
        <f t="shared" si="41"/>
        <v>MATTIANGELI Federico</v>
      </c>
      <c r="D1347" s="1428" t="s">
        <v>9734</v>
      </c>
      <c r="E1347" s="1429">
        <v>162</v>
      </c>
      <c r="F1347" s="1430" t="s">
        <v>3453</v>
      </c>
      <c r="G1347" s="1431" t="s">
        <v>3335</v>
      </c>
      <c r="H1347" s="1430" t="s">
        <v>15245</v>
      </c>
      <c r="I1347" s="1429" t="s">
        <v>1037</v>
      </c>
      <c r="J1347" s="2196">
        <v>51</v>
      </c>
    </row>
    <row r="1348" spans="2:10" ht="13.5" thickBot="1" x14ac:dyDescent="0.25">
      <c r="B1348" s="392" t="str">
        <f t="shared" si="40"/>
        <v>Veterans - DE BRUIN Marco</v>
      </c>
      <c r="C1348" s="1441" t="str">
        <f t="shared" si="41"/>
        <v>DE BRUIN Marco</v>
      </c>
      <c r="D1348" s="1428" t="s">
        <v>9734</v>
      </c>
      <c r="E1348" s="1429">
        <v>163</v>
      </c>
      <c r="F1348" s="1430" t="s">
        <v>16757</v>
      </c>
      <c r="G1348" s="1431" t="s">
        <v>3109</v>
      </c>
      <c r="H1348" s="1430" t="s">
        <v>7184</v>
      </c>
      <c r="I1348" s="1429" t="s">
        <v>1051</v>
      </c>
      <c r="J1348" s="2196">
        <v>50</v>
      </c>
    </row>
    <row r="1349" spans="2:10" ht="13.5" thickBot="1" x14ac:dyDescent="0.25">
      <c r="B1349" s="392" t="str">
        <f t="shared" si="40"/>
        <v>Veterans - ANDREAS Paul</v>
      </c>
      <c r="C1349" s="1441" t="str">
        <f t="shared" si="41"/>
        <v>ANDREAS Paul</v>
      </c>
      <c r="D1349" s="1428" t="s">
        <v>9734</v>
      </c>
      <c r="E1349" s="1429">
        <v>164</v>
      </c>
      <c r="F1349" s="1430" t="s">
        <v>16561</v>
      </c>
      <c r="G1349" s="1431" t="s">
        <v>3259</v>
      </c>
      <c r="H1349" s="1430" t="s">
        <v>17082</v>
      </c>
      <c r="I1349" s="1429" t="s">
        <v>1005</v>
      </c>
      <c r="J1349" s="2196">
        <v>49.5</v>
      </c>
    </row>
    <row r="1350" spans="2:10" ht="13.5" thickBot="1" x14ac:dyDescent="0.25">
      <c r="B1350" s="392" t="str">
        <f t="shared" si="40"/>
        <v>Veterans - TRIVELLI Simone</v>
      </c>
      <c r="C1350" s="1441" t="str">
        <f t="shared" si="41"/>
        <v>TRIVELLI Simone</v>
      </c>
      <c r="D1350" s="1428" t="s">
        <v>9734</v>
      </c>
      <c r="E1350" s="1429">
        <v>164</v>
      </c>
      <c r="F1350" s="1430" t="s">
        <v>3629</v>
      </c>
      <c r="G1350" s="1431" t="s">
        <v>3158</v>
      </c>
      <c r="H1350" s="1430" t="s">
        <v>2777</v>
      </c>
      <c r="I1350" s="1429" t="s">
        <v>1037</v>
      </c>
      <c r="J1350" s="2196">
        <v>49.5</v>
      </c>
    </row>
    <row r="1351" spans="2:10" ht="13.5" thickBot="1" x14ac:dyDescent="0.25">
      <c r="B1351" s="392" t="str">
        <f t="shared" ref="B1351:B1414" si="42">CONCATENATE(D1351," - ",C1351)</f>
        <v>Veterans - LONGO Santo</v>
      </c>
      <c r="C1351" s="1441" t="str">
        <f t="shared" ref="C1351:C1414" si="43">CONCATENATE(UPPER(F1351)," ",G1351)</f>
        <v>LONGO Santo</v>
      </c>
      <c r="D1351" s="1428" t="s">
        <v>9734</v>
      </c>
      <c r="E1351" s="1429">
        <v>166</v>
      </c>
      <c r="F1351" s="1430" t="s">
        <v>16749</v>
      </c>
      <c r="G1351" s="1431" t="s">
        <v>15822</v>
      </c>
      <c r="H1351" s="1430" t="s">
        <v>7872</v>
      </c>
      <c r="I1351" s="1429" t="s">
        <v>1037</v>
      </c>
      <c r="J1351" s="2196">
        <v>49</v>
      </c>
    </row>
    <row r="1352" spans="2:10" ht="13.5" thickBot="1" x14ac:dyDescent="0.25">
      <c r="B1352" s="392" t="str">
        <f t="shared" si="42"/>
        <v>Veterans - ARNOLD Terry</v>
      </c>
      <c r="C1352" s="1441" t="str">
        <f t="shared" si="43"/>
        <v>ARNOLD Terry</v>
      </c>
      <c r="D1352" s="1428" t="s">
        <v>9734</v>
      </c>
      <c r="E1352" s="1429">
        <v>167</v>
      </c>
      <c r="F1352" s="1430" t="s">
        <v>3294</v>
      </c>
      <c r="G1352" s="1431" t="s">
        <v>13633</v>
      </c>
      <c r="H1352" s="1430" t="s">
        <v>17082</v>
      </c>
      <c r="I1352" s="1429" t="s">
        <v>1013</v>
      </c>
      <c r="J1352" s="2196">
        <v>48.5</v>
      </c>
    </row>
    <row r="1353" spans="2:10" ht="13.5" thickBot="1" x14ac:dyDescent="0.25">
      <c r="B1353" s="392" t="str">
        <f t="shared" si="42"/>
        <v>Veterans - PARUSSINI Renato</v>
      </c>
      <c r="C1353" s="1441" t="str">
        <f t="shared" si="43"/>
        <v>PARUSSINI Renato</v>
      </c>
      <c r="D1353" s="1428" t="s">
        <v>9734</v>
      </c>
      <c r="E1353" s="1429">
        <v>167</v>
      </c>
      <c r="F1353" s="1430" t="s">
        <v>10929</v>
      </c>
      <c r="G1353" s="1431" t="s">
        <v>3178</v>
      </c>
      <c r="H1353" s="1430" t="s">
        <v>13312</v>
      </c>
      <c r="I1353" s="1429" t="s">
        <v>1037</v>
      </c>
      <c r="J1353" s="2196">
        <v>48.5</v>
      </c>
    </row>
    <row r="1354" spans="2:10" ht="13.5" thickBot="1" x14ac:dyDescent="0.25">
      <c r="B1354" s="392" t="str">
        <f t="shared" si="42"/>
        <v>Veterans - RUSSO Giancarlo</v>
      </c>
      <c r="C1354" s="1441" t="str">
        <f t="shared" si="43"/>
        <v>RUSSO Giancarlo</v>
      </c>
      <c r="D1354" s="1428" t="s">
        <v>9734</v>
      </c>
      <c r="E1354" s="1429">
        <v>169</v>
      </c>
      <c r="F1354" s="1430" t="s">
        <v>7840</v>
      </c>
      <c r="G1354" s="1431" t="s">
        <v>3337</v>
      </c>
      <c r="H1354" s="1430" t="s">
        <v>2787</v>
      </c>
      <c r="I1354" s="1429" t="s">
        <v>1037</v>
      </c>
      <c r="J1354" s="2196">
        <v>48</v>
      </c>
    </row>
    <row r="1355" spans="2:10" ht="13.5" thickBot="1" x14ac:dyDescent="0.25">
      <c r="B1355" s="392" t="str">
        <f t="shared" si="42"/>
        <v>Veterans - TRICHOT Jean-Jacques</v>
      </c>
      <c r="C1355" s="1441" t="str">
        <f t="shared" si="43"/>
        <v>TRICHOT Jean-Jacques</v>
      </c>
      <c r="D1355" s="1428" t="s">
        <v>9734</v>
      </c>
      <c r="E1355" s="1429">
        <v>170</v>
      </c>
      <c r="F1355" s="1430" t="s">
        <v>14984</v>
      </c>
      <c r="G1355" s="1431" t="s">
        <v>14577</v>
      </c>
      <c r="H1355" s="1430" t="s">
        <v>15842</v>
      </c>
      <c r="I1355" s="1429" t="s">
        <v>1019</v>
      </c>
      <c r="J1355" s="2196">
        <v>47</v>
      </c>
    </row>
    <row r="1356" spans="2:10" ht="13.5" thickBot="1" x14ac:dyDescent="0.25">
      <c r="B1356" s="392" t="str">
        <f t="shared" si="42"/>
        <v>Veterans - GOSET Bruno</v>
      </c>
      <c r="C1356" s="1441" t="str">
        <f t="shared" si="43"/>
        <v>GOSET Bruno</v>
      </c>
      <c r="D1356" s="1428" t="s">
        <v>9734</v>
      </c>
      <c r="E1356" s="1429">
        <v>171</v>
      </c>
      <c r="F1356" s="1430" t="s">
        <v>3600</v>
      </c>
      <c r="G1356" s="1431" t="s">
        <v>3168</v>
      </c>
      <c r="H1356" s="1430" t="s">
        <v>10250</v>
      </c>
      <c r="I1356" s="1429" t="s">
        <v>990</v>
      </c>
      <c r="J1356" s="2196">
        <v>46.5</v>
      </c>
    </row>
    <row r="1357" spans="2:10" ht="13.5" thickBot="1" x14ac:dyDescent="0.25">
      <c r="B1357" s="392" t="str">
        <f t="shared" si="42"/>
        <v>Veterans - ALEGI Peter</v>
      </c>
      <c r="C1357" s="1441" t="str">
        <f t="shared" si="43"/>
        <v>ALEGI Peter</v>
      </c>
      <c r="D1357" s="1428" t="s">
        <v>9734</v>
      </c>
      <c r="E1357" s="1429">
        <v>172</v>
      </c>
      <c r="F1357" s="1430" t="s">
        <v>7764</v>
      </c>
      <c r="G1357" s="1431" t="s">
        <v>3194</v>
      </c>
      <c r="H1357" s="1430" t="s">
        <v>3614</v>
      </c>
      <c r="I1357" s="1429" t="s">
        <v>1079</v>
      </c>
      <c r="J1357" s="2196">
        <v>46</v>
      </c>
    </row>
    <row r="1358" spans="2:10" ht="13.5" thickBot="1" x14ac:dyDescent="0.25">
      <c r="B1358" s="392" t="str">
        <f t="shared" si="42"/>
        <v>Veterans - HOLMES Phil</v>
      </c>
      <c r="C1358" s="1441" t="str">
        <f t="shared" si="43"/>
        <v>HOLMES Phil</v>
      </c>
      <c r="D1358" s="1428" t="s">
        <v>9734</v>
      </c>
      <c r="E1358" s="1429">
        <v>173</v>
      </c>
      <c r="F1358" s="1430" t="s">
        <v>14214</v>
      </c>
      <c r="G1358" s="1431" t="s">
        <v>3398</v>
      </c>
      <c r="H1358" s="1430" t="s">
        <v>13531</v>
      </c>
      <c r="I1358" s="1429" t="s">
        <v>1013</v>
      </c>
      <c r="J1358" s="2196">
        <v>45</v>
      </c>
    </row>
    <row r="1359" spans="2:10" ht="13.5" thickBot="1" x14ac:dyDescent="0.25">
      <c r="B1359" s="392" t="str">
        <f t="shared" si="42"/>
        <v>Veterans - CHANOS Michail I</v>
      </c>
      <c r="C1359" s="1441" t="str">
        <f t="shared" si="43"/>
        <v>CHANOS Michail I</v>
      </c>
      <c r="D1359" s="1428" t="s">
        <v>9734</v>
      </c>
      <c r="E1359" s="1429">
        <v>173</v>
      </c>
      <c r="F1359" s="1430" t="s">
        <v>11184</v>
      </c>
      <c r="G1359" s="1431" t="s">
        <v>10061</v>
      </c>
      <c r="H1359" s="1430" t="s">
        <v>14596</v>
      </c>
      <c r="I1359" s="1429" t="s">
        <v>1025</v>
      </c>
      <c r="J1359" s="2196">
        <v>45</v>
      </c>
    </row>
    <row r="1360" spans="2:10" ht="13.5" thickBot="1" x14ac:dyDescent="0.25">
      <c r="B1360" s="392" t="str">
        <f t="shared" si="42"/>
        <v>Veterans - SERWY Pol</v>
      </c>
      <c r="C1360" s="1441" t="str">
        <f t="shared" si="43"/>
        <v>SERWY Pol</v>
      </c>
      <c r="D1360" s="1428" t="s">
        <v>9734</v>
      </c>
      <c r="E1360" s="1429">
        <v>173</v>
      </c>
      <c r="F1360" s="1430" t="s">
        <v>3494</v>
      </c>
      <c r="G1360" s="1431" t="s">
        <v>3495</v>
      </c>
      <c r="H1360" s="1430" t="s">
        <v>10254</v>
      </c>
      <c r="I1360" s="1429" t="s">
        <v>990</v>
      </c>
      <c r="J1360" s="2196">
        <v>45</v>
      </c>
    </row>
    <row r="1361" spans="2:10" ht="13.5" thickBot="1" x14ac:dyDescent="0.25">
      <c r="B1361" s="392" t="str">
        <f t="shared" si="42"/>
        <v>Veterans - KAKILTAKIS Minas</v>
      </c>
      <c r="C1361" s="1441" t="str">
        <f t="shared" si="43"/>
        <v>KAKILTAKIS Minas</v>
      </c>
      <c r="D1361" s="1428" t="s">
        <v>9734</v>
      </c>
      <c r="E1361" s="1429">
        <v>176</v>
      </c>
      <c r="F1361" s="1430" t="s">
        <v>14282</v>
      </c>
      <c r="G1361" s="1431" t="s">
        <v>13289</v>
      </c>
      <c r="H1361" s="1430" t="s">
        <v>13590</v>
      </c>
      <c r="I1361" s="1429" t="s">
        <v>1025</v>
      </c>
      <c r="J1361" s="2196">
        <v>44.5</v>
      </c>
    </row>
    <row r="1362" spans="2:10" ht="13.5" thickBot="1" x14ac:dyDescent="0.25">
      <c r="B1362" s="392" t="str">
        <f t="shared" si="42"/>
        <v>Veterans - BENNETT Steve</v>
      </c>
      <c r="C1362" s="1441" t="str">
        <f t="shared" si="43"/>
        <v>BENNETT Steve</v>
      </c>
      <c r="D1362" s="1428" t="s">
        <v>9734</v>
      </c>
      <c r="E1362" s="1429">
        <v>177</v>
      </c>
      <c r="F1362" s="1430" t="s">
        <v>3036</v>
      </c>
      <c r="G1362" s="1431" t="s">
        <v>3088</v>
      </c>
      <c r="H1362" s="1430" t="s">
        <v>14787</v>
      </c>
      <c r="I1362" s="1429" t="s">
        <v>1069</v>
      </c>
      <c r="J1362" s="2196">
        <v>42.5</v>
      </c>
    </row>
    <row r="1363" spans="2:10" ht="13.5" thickBot="1" x14ac:dyDescent="0.25">
      <c r="B1363" s="392" t="str">
        <f t="shared" si="42"/>
        <v>Veterans - SICILIANO Carlo</v>
      </c>
      <c r="C1363" s="1441" t="str">
        <f t="shared" si="43"/>
        <v>SICILIANO Carlo</v>
      </c>
      <c r="D1363" s="1428" t="s">
        <v>9734</v>
      </c>
      <c r="E1363" s="1429">
        <v>178</v>
      </c>
      <c r="F1363" s="1430" t="s">
        <v>14283</v>
      </c>
      <c r="G1363" s="1431" t="s">
        <v>3266</v>
      </c>
      <c r="H1363" s="1430" t="s">
        <v>10271</v>
      </c>
      <c r="I1363" s="1429" t="s">
        <v>1037</v>
      </c>
      <c r="J1363" s="2196">
        <v>42</v>
      </c>
    </row>
    <row r="1364" spans="2:10" ht="13.5" thickBot="1" x14ac:dyDescent="0.25">
      <c r="B1364" s="392" t="str">
        <f t="shared" si="42"/>
        <v>Veterans - DI MURI Dario</v>
      </c>
      <c r="C1364" s="1441" t="str">
        <f t="shared" si="43"/>
        <v>DI MURI Dario</v>
      </c>
      <c r="D1364" s="1428" t="s">
        <v>9734</v>
      </c>
      <c r="E1364" s="1429">
        <v>178</v>
      </c>
      <c r="F1364" s="1430" t="s">
        <v>16752</v>
      </c>
      <c r="G1364" s="1431" t="s">
        <v>3372</v>
      </c>
      <c r="H1364" s="1430" t="s">
        <v>2787</v>
      </c>
      <c r="I1364" s="1429" t="s">
        <v>1037</v>
      </c>
      <c r="J1364" s="2196">
        <v>42</v>
      </c>
    </row>
    <row r="1365" spans="2:10" ht="13.5" thickBot="1" x14ac:dyDescent="0.25">
      <c r="B1365" s="392" t="str">
        <f t="shared" si="42"/>
        <v>Veterans - GENART Jean-Pierre</v>
      </c>
      <c r="C1365" s="1441" t="str">
        <f t="shared" si="43"/>
        <v>GENART Jean-Pierre</v>
      </c>
      <c r="D1365" s="1428" t="s">
        <v>9734</v>
      </c>
      <c r="E1365" s="1429">
        <v>178</v>
      </c>
      <c r="F1365" s="1430" t="s">
        <v>7945</v>
      </c>
      <c r="G1365" s="1431" t="s">
        <v>11495</v>
      </c>
      <c r="H1365" s="1430" t="s">
        <v>2779</v>
      </c>
      <c r="I1365" s="1429" t="s">
        <v>990</v>
      </c>
      <c r="J1365" s="2196">
        <v>42</v>
      </c>
    </row>
    <row r="1366" spans="2:10" ht="13.5" thickBot="1" x14ac:dyDescent="0.25">
      <c r="B1366" s="392" t="str">
        <f t="shared" si="42"/>
        <v>Veterans - KATSOULAS Spyridon</v>
      </c>
      <c r="C1366" s="1441" t="str">
        <f t="shared" si="43"/>
        <v>KATSOULAS Spyridon</v>
      </c>
      <c r="D1366" s="1428" t="s">
        <v>9734</v>
      </c>
      <c r="E1366" s="1429">
        <v>181</v>
      </c>
      <c r="F1366" s="1430" t="s">
        <v>5585</v>
      </c>
      <c r="G1366" s="1431" t="s">
        <v>7806</v>
      </c>
      <c r="H1366" s="1430" t="s">
        <v>2758</v>
      </c>
      <c r="I1366" s="1429" t="s">
        <v>1025</v>
      </c>
      <c r="J1366" s="2196">
        <v>41</v>
      </c>
    </row>
    <row r="1367" spans="2:10" ht="13.5" thickBot="1" x14ac:dyDescent="0.25">
      <c r="B1367" s="392" t="str">
        <f t="shared" si="42"/>
        <v>Veterans - VAN GLABEKE Olivier</v>
      </c>
      <c r="C1367" s="1441" t="str">
        <f t="shared" si="43"/>
        <v>VAN GLABEKE Olivier</v>
      </c>
      <c r="D1367" s="1428" t="s">
        <v>9734</v>
      </c>
      <c r="E1367" s="1429">
        <v>182</v>
      </c>
      <c r="F1367" s="1430" t="s">
        <v>8737</v>
      </c>
      <c r="G1367" s="1431" t="s">
        <v>3193</v>
      </c>
      <c r="H1367" s="1430" t="s">
        <v>5301</v>
      </c>
      <c r="I1367" s="1429" t="s">
        <v>990</v>
      </c>
      <c r="J1367" s="2196">
        <v>40.5</v>
      </c>
    </row>
    <row r="1368" spans="2:10" ht="13.5" thickBot="1" x14ac:dyDescent="0.25">
      <c r="B1368" s="392" t="str">
        <f t="shared" si="42"/>
        <v>Veterans - CHALIOTIS Athanasios</v>
      </c>
      <c r="C1368" s="1441" t="str">
        <f t="shared" si="43"/>
        <v>CHALIOTIS Athanasios</v>
      </c>
      <c r="D1368" s="1428" t="s">
        <v>9734</v>
      </c>
      <c r="E1368" s="1429">
        <v>182</v>
      </c>
      <c r="F1368" s="1430" t="s">
        <v>14931</v>
      </c>
      <c r="G1368" s="1431" t="s">
        <v>3472</v>
      </c>
      <c r="H1368" s="1430" t="s">
        <v>2745</v>
      </c>
      <c r="I1368" s="1429" t="s">
        <v>1025</v>
      </c>
      <c r="J1368" s="2196">
        <v>40.5</v>
      </c>
    </row>
    <row r="1369" spans="2:10" ht="13.5" thickBot="1" x14ac:dyDescent="0.25">
      <c r="B1369" s="392" t="str">
        <f t="shared" si="42"/>
        <v>Veterans - ORANJE Richard</v>
      </c>
      <c r="C1369" s="1441" t="str">
        <f t="shared" si="43"/>
        <v>ORANJE Richard</v>
      </c>
      <c r="D1369" s="1428" t="s">
        <v>9734</v>
      </c>
      <c r="E1369" s="1429">
        <v>184</v>
      </c>
      <c r="F1369" s="1430" t="s">
        <v>16760</v>
      </c>
      <c r="G1369" s="1431" t="s">
        <v>3219</v>
      </c>
      <c r="H1369" s="1430" t="s">
        <v>7184</v>
      </c>
      <c r="I1369" s="1429" t="s">
        <v>1051</v>
      </c>
      <c r="J1369" s="2196">
        <v>40</v>
      </c>
    </row>
    <row r="1370" spans="2:10" ht="13.5" thickBot="1" x14ac:dyDescent="0.25">
      <c r="B1370" s="392" t="str">
        <f t="shared" si="42"/>
        <v>Veterans - DI RUGGIERO Vito</v>
      </c>
      <c r="C1370" s="1441" t="str">
        <f t="shared" si="43"/>
        <v>DI RUGGIERO Vito</v>
      </c>
      <c r="D1370" s="1428" t="s">
        <v>9734</v>
      </c>
      <c r="E1370" s="1429">
        <v>184</v>
      </c>
      <c r="F1370" s="1430" t="s">
        <v>17622</v>
      </c>
      <c r="G1370" s="1431" t="s">
        <v>3418</v>
      </c>
      <c r="H1370" s="1430" t="s">
        <v>2746</v>
      </c>
      <c r="I1370" s="1429" t="s">
        <v>990</v>
      </c>
      <c r="J1370" s="2196">
        <v>40</v>
      </c>
    </row>
    <row r="1371" spans="2:10" ht="13.5" thickBot="1" x14ac:dyDescent="0.25">
      <c r="B1371" s="392" t="str">
        <f t="shared" si="42"/>
        <v>Veterans - CIRAOLO Gaetano</v>
      </c>
      <c r="C1371" s="1441" t="str">
        <f t="shared" si="43"/>
        <v>CIRAOLO Gaetano</v>
      </c>
      <c r="D1371" s="1428" t="s">
        <v>9734</v>
      </c>
      <c r="E1371" s="1429">
        <v>184</v>
      </c>
      <c r="F1371" s="1430" t="s">
        <v>14200</v>
      </c>
      <c r="G1371" s="1431" t="s">
        <v>3100</v>
      </c>
      <c r="H1371" s="1430" t="s">
        <v>7876</v>
      </c>
      <c r="I1371" s="1429" t="s">
        <v>1037</v>
      </c>
      <c r="J1371" s="2196">
        <v>40</v>
      </c>
    </row>
    <row r="1372" spans="2:10" ht="13.5" thickBot="1" x14ac:dyDescent="0.25">
      <c r="B1372" s="392" t="str">
        <f t="shared" si="42"/>
        <v>Veterans - LAMBERT Stéphane</v>
      </c>
      <c r="C1372" s="1441" t="str">
        <f t="shared" si="43"/>
        <v>LAMBERT Stéphane</v>
      </c>
      <c r="D1372" s="1428" t="s">
        <v>9734</v>
      </c>
      <c r="E1372" s="1429">
        <v>187</v>
      </c>
      <c r="F1372" s="1430" t="s">
        <v>5512</v>
      </c>
      <c r="G1372" s="1431" t="s">
        <v>3624</v>
      </c>
      <c r="H1372" s="1430" t="s">
        <v>5508</v>
      </c>
      <c r="I1372" s="1429" t="s">
        <v>990</v>
      </c>
      <c r="J1372" s="2196">
        <v>39</v>
      </c>
    </row>
    <row r="1373" spans="2:10" ht="13.5" thickBot="1" x14ac:dyDescent="0.25">
      <c r="B1373" s="392" t="str">
        <f t="shared" si="42"/>
        <v>Veterans - VAN IMPE Maxime</v>
      </c>
      <c r="C1373" s="1441" t="str">
        <f t="shared" si="43"/>
        <v>VAN IMPE Maxime</v>
      </c>
      <c r="D1373" s="1428" t="s">
        <v>9734</v>
      </c>
      <c r="E1373" s="1429">
        <v>187</v>
      </c>
      <c r="F1373" s="1430" t="s">
        <v>17619</v>
      </c>
      <c r="G1373" s="1431" t="s">
        <v>17518</v>
      </c>
      <c r="H1373" s="1430" t="s">
        <v>2746</v>
      </c>
      <c r="I1373" s="1429" t="s">
        <v>990</v>
      </c>
      <c r="J1373" s="2196">
        <v>39</v>
      </c>
    </row>
    <row r="1374" spans="2:10" ht="13.5" thickBot="1" x14ac:dyDescent="0.25">
      <c r="B1374" s="392" t="str">
        <f t="shared" si="42"/>
        <v>Veterans - RENALDINI Roberto</v>
      </c>
      <c r="C1374" s="1441" t="str">
        <f t="shared" si="43"/>
        <v>RENALDINI Roberto</v>
      </c>
      <c r="D1374" s="1428" t="s">
        <v>9734</v>
      </c>
      <c r="E1374" s="1429">
        <v>187</v>
      </c>
      <c r="F1374" s="1430" t="s">
        <v>3606</v>
      </c>
      <c r="G1374" s="1431" t="s">
        <v>3279</v>
      </c>
      <c r="H1374" s="1430" t="s">
        <v>16843</v>
      </c>
      <c r="I1374" s="1429" t="s">
        <v>1037</v>
      </c>
      <c r="J1374" s="2196">
        <v>39</v>
      </c>
    </row>
    <row r="1375" spans="2:10" ht="13.5" thickBot="1" x14ac:dyDescent="0.25">
      <c r="B1375" s="392" t="str">
        <f t="shared" si="42"/>
        <v>Veterans - BARNES Darren</v>
      </c>
      <c r="C1375" s="1441" t="str">
        <f t="shared" si="43"/>
        <v>BARNES Darren</v>
      </c>
      <c r="D1375" s="1428" t="s">
        <v>9734</v>
      </c>
      <c r="E1375" s="1429">
        <v>187</v>
      </c>
      <c r="F1375" s="1430" t="s">
        <v>14228</v>
      </c>
      <c r="G1375" s="1431" t="s">
        <v>3150</v>
      </c>
      <c r="H1375" s="1430" t="s">
        <v>10260</v>
      </c>
      <c r="I1375" s="1429" t="s">
        <v>1083</v>
      </c>
      <c r="J1375" s="2196">
        <v>39</v>
      </c>
    </row>
    <row r="1376" spans="2:10" ht="13.5" thickBot="1" x14ac:dyDescent="0.25">
      <c r="B1376" s="392" t="str">
        <f t="shared" si="42"/>
        <v>Veterans - KOUTROUMANOS Leonidas</v>
      </c>
      <c r="C1376" s="1441" t="str">
        <f t="shared" si="43"/>
        <v>KOUTROUMANOS Leonidas</v>
      </c>
      <c r="D1376" s="1428" t="s">
        <v>9734</v>
      </c>
      <c r="E1376" s="1429">
        <v>187</v>
      </c>
      <c r="F1376" s="1430" t="s">
        <v>8755</v>
      </c>
      <c r="G1376" s="1431" t="s">
        <v>3211</v>
      </c>
      <c r="H1376" s="1430" t="s">
        <v>2758</v>
      </c>
      <c r="I1376" s="1429" t="s">
        <v>1025</v>
      </c>
      <c r="J1376" s="2196">
        <v>39</v>
      </c>
    </row>
    <row r="1377" spans="2:10" ht="13.5" thickBot="1" x14ac:dyDescent="0.25">
      <c r="B1377" s="392" t="str">
        <f t="shared" si="42"/>
        <v>Veterans - BERLIAQUE Richard</v>
      </c>
      <c r="C1377" s="1441" t="str">
        <f t="shared" si="43"/>
        <v>BERLIAQUE Richard</v>
      </c>
      <c r="D1377" s="1428" t="s">
        <v>9734</v>
      </c>
      <c r="E1377" s="1429">
        <v>192</v>
      </c>
      <c r="F1377" s="1430" t="s">
        <v>8751</v>
      </c>
      <c r="G1377" s="1431" t="s">
        <v>3219</v>
      </c>
      <c r="H1377" s="1430" t="s">
        <v>9448</v>
      </c>
      <c r="I1377" s="1429" t="s">
        <v>1023</v>
      </c>
      <c r="J1377" s="2196">
        <v>37.5</v>
      </c>
    </row>
    <row r="1378" spans="2:10" ht="13.5" thickBot="1" x14ac:dyDescent="0.25">
      <c r="B1378" s="392" t="str">
        <f t="shared" si="42"/>
        <v>Veterans - MONTEIRO Christophe</v>
      </c>
      <c r="C1378" s="1441" t="str">
        <f t="shared" si="43"/>
        <v>MONTEIRO Christophe</v>
      </c>
      <c r="D1378" s="1428" t="s">
        <v>9734</v>
      </c>
      <c r="E1378" s="1429">
        <v>192</v>
      </c>
      <c r="F1378" s="1430" t="s">
        <v>8748</v>
      </c>
      <c r="G1378" s="1431" t="s">
        <v>3012</v>
      </c>
      <c r="H1378" s="1430" t="s">
        <v>2754</v>
      </c>
      <c r="I1378" s="1429" t="s">
        <v>1019</v>
      </c>
      <c r="J1378" s="2196">
        <v>37.5</v>
      </c>
    </row>
    <row r="1379" spans="2:10" ht="13.5" thickBot="1" x14ac:dyDescent="0.25">
      <c r="B1379" s="392" t="str">
        <f t="shared" si="42"/>
        <v>Veterans - AVERNA Massimo</v>
      </c>
      <c r="C1379" s="1441" t="str">
        <f t="shared" si="43"/>
        <v>AVERNA Massimo</v>
      </c>
      <c r="D1379" s="1428" t="s">
        <v>9734</v>
      </c>
      <c r="E1379" s="1429">
        <v>194</v>
      </c>
      <c r="F1379" s="1430" t="s">
        <v>16768</v>
      </c>
      <c r="G1379" s="1431" t="s">
        <v>3013</v>
      </c>
      <c r="H1379" s="1430" t="s">
        <v>16490</v>
      </c>
      <c r="I1379" s="1429" t="s">
        <v>1037</v>
      </c>
      <c r="J1379" s="2196">
        <v>37</v>
      </c>
    </row>
    <row r="1380" spans="2:10" ht="13.5" thickBot="1" x14ac:dyDescent="0.25">
      <c r="B1380" s="392" t="str">
        <f t="shared" si="42"/>
        <v>Veterans - KRUSE Hermann</v>
      </c>
      <c r="C1380" s="1441" t="str">
        <f t="shared" si="43"/>
        <v>KRUSE Hermann</v>
      </c>
      <c r="D1380" s="1428" t="s">
        <v>9734</v>
      </c>
      <c r="E1380" s="1429">
        <v>194</v>
      </c>
      <c r="F1380" s="1430" t="s">
        <v>16870</v>
      </c>
      <c r="G1380" s="1431" t="s">
        <v>16871</v>
      </c>
      <c r="H1380" s="1430" t="s">
        <v>13588</v>
      </c>
      <c r="I1380" s="1429" t="s">
        <v>986</v>
      </c>
      <c r="J1380" s="2196">
        <v>37</v>
      </c>
    </row>
    <row r="1381" spans="2:10" ht="13.5" thickBot="1" x14ac:dyDescent="0.25">
      <c r="B1381" s="392" t="str">
        <f t="shared" si="42"/>
        <v>Veterans - SPOTO Alessandro</v>
      </c>
      <c r="C1381" s="1441" t="str">
        <f t="shared" si="43"/>
        <v>SPOTO Alessandro</v>
      </c>
      <c r="D1381" s="1428" t="s">
        <v>9734</v>
      </c>
      <c r="E1381" s="1429">
        <v>194</v>
      </c>
      <c r="F1381" s="1430" t="s">
        <v>9493</v>
      </c>
      <c r="G1381" s="1431" t="s">
        <v>3125</v>
      </c>
      <c r="H1381" s="1430" t="s">
        <v>2777</v>
      </c>
      <c r="I1381" s="1429" t="s">
        <v>1037</v>
      </c>
      <c r="J1381" s="2196">
        <v>37</v>
      </c>
    </row>
    <row r="1382" spans="2:10" ht="13.5" thickBot="1" x14ac:dyDescent="0.25">
      <c r="B1382" s="392" t="str">
        <f t="shared" si="42"/>
        <v>Veterans - ROUIS Mongi</v>
      </c>
      <c r="C1382" s="1441" t="str">
        <f t="shared" si="43"/>
        <v>ROUIS Mongi</v>
      </c>
      <c r="D1382" s="1428" t="s">
        <v>9734</v>
      </c>
      <c r="E1382" s="1429">
        <v>197</v>
      </c>
      <c r="F1382" s="1430" t="s">
        <v>11428</v>
      </c>
      <c r="G1382" s="1431" t="s">
        <v>3382</v>
      </c>
      <c r="H1382" s="1430" t="s">
        <v>5301</v>
      </c>
      <c r="I1382" s="1429" t="s">
        <v>1076</v>
      </c>
      <c r="J1382" s="2196">
        <v>36</v>
      </c>
    </row>
    <row r="1383" spans="2:10" ht="13.5" thickBot="1" x14ac:dyDescent="0.25">
      <c r="B1383" s="392" t="str">
        <f t="shared" si="42"/>
        <v>Veterans - CHANDIRAMANI Vikas K</v>
      </c>
      <c r="C1383" s="1441" t="str">
        <f t="shared" si="43"/>
        <v>CHANDIRAMANI Vikas K</v>
      </c>
      <c r="D1383" s="1428" t="s">
        <v>9734</v>
      </c>
      <c r="E1383" s="1429">
        <v>197</v>
      </c>
      <c r="F1383" s="1430" t="s">
        <v>5530</v>
      </c>
      <c r="G1383" s="1431" t="s">
        <v>5531</v>
      </c>
      <c r="H1383" s="1430" t="s">
        <v>7270</v>
      </c>
      <c r="I1383" s="1429" t="s">
        <v>7916</v>
      </c>
      <c r="J1383" s="2196">
        <v>36</v>
      </c>
    </row>
    <row r="1384" spans="2:10" ht="13.5" thickBot="1" x14ac:dyDescent="0.25">
      <c r="B1384" s="392" t="str">
        <f t="shared" si="42"/>
        <v>Veterans - MANGANELLO Mauro</v>
      </c>
      <c r="C1384" s="1441" t="str">
        <f t="shared" si="43"/>
        <v>MANGANELLO Mauro</v>
      </c>
      <c r="D1384" s="1428" t="s">
        <v>9734</v>
      </c>
      <c r="E1384" s="1429">
        <v>197</v>
      </c>
      <c r="F1384" s="1430" t="s">
        <v>3594</v>
      </c>
      <c r="G1384" s="1431" t="s">
        <v>3204</v>
      </c>
      <c r="H1384" s="1430" t="s">
        <v>9822</v>
      </c>
      <c r="I1384" s="1429" t="s">
        <v>1037</v>
      </c>
      <c r="J1384" s="2196">
        <v>36</v>
      </c>
    </row>
    <row r="1385" spans="2:10" ht="13.5" thickBot="1" x14ac:dyDescent="0.25">
      <c r="B1385" s="392" t="str">
        <f t="shared" si="42"/>
        <v>Veterans - STAMATOPOULOS Dimitrios</v>
      </c>
      <c r="C1385" s="1441" t="str">
        <f t="shared" si="43"/>
        <v>STAMATOPOULOS Dimitrios</v>
      </c>
      <c r="D1385" s="1428" t="s">
        <v>9734</v>
      </c>
      <c r="E1385" s="1429">
        <v>197</v>
      </c>
      <c r="F1385" s="1430" t="s">
        <v>16868</v>
      </c>
      <c r="G1385" s="1431" t="s">
        <v>5644</v>
      </c>
      <c r="H1385" s="1430" t="s">
        <v>2758</v>
      </c>
      <c r="I1385" s="1429" t="s">
        <v>1025</v>
      </c>
      <c r="J1385" s="2196">
        <v>36</v>
      </c>
    </row>
    <row r="1386" spans="2:10" ht="13.5" thickBot="1" x14ac:dyDescent="0.25">
      <c r="B1386" s="392" t="str">
        <f t="shared" si="42"/>
        <v>Veterans - KAKAVAS Ioannis</v>
      </c>
      <c r="C1386" s="1441" t="str">
        <f t="shared" si="43"/>
        <v>KAKAVAS Ioannis</v>
      </c>
      <c r="D1386" s="1428" t="s">
        <v>9734</v>
      </c>
      <c r="E1386" s="1429">
        <v>197</v>
      </c>
      <c r="F1386" s="1430" t="s">
        <v>14174</v>
      </c>
      <c r="G1386" s="1431" t="s">
        <v>3350</v>
      </c>
      <c r="H1386" s="1430" t="s">
        <v>10251</v>
      </c>
      <c r="I1386" s="1429" t="s">
        <v>1025</v>
      </c>
      <c r="J1386" s="2196">
        <v>36</v>
      </c>
    </row>
    <row r="1387" spans="2:10" ht="13.5" thickBot="1" x14ac:dyDescent="0.25">
      <c r="B1387" s="392" t="str">
        <f t="shared" si="42"/>
        <v>Veterans - MOORE John</v>
      </c>
      <c r="C1387" s="1441" t="str">
        <f t="shared" si="43"/>
        <v>MOORE John</v>
      </c>
      <c r="D1387" s="1428" t="s">
        <v>9734</v>
      </c>
      <c r="E1387" s="1429">
        <v>197</v>
      </c>
      <c r="F1387" s="1430" t="s">
        <v>14273</v>
      </c>
      <c r="G1387" s="1431" t="s">
        <v>3250</v>
      </c>
      <c r="H1387" s="1430" t="s">
        <v>2764</v>
      </c>
      <c r="I1387" s="1429" t="s">
        <v>1033</v>
      </c>
      <c r="J1387" s="2196">
        <v>36</v>
      </c>
    </row>
    <row r="1388" spans="2:10" ht="13.5" thickBot="1" x14ac:dyDescent="0.25">
      <c r="B1388" s="392" t="str">
        <f t="shared" si="42"/>
        <v>Veterans - GKOGKOS Athanasios</v>
      </c>
      <c r="C1388" s="1441" t="str">
        <f t="shared" si="43"/>
        <v>GKOGKOS Athanasios</v>
      </c>
      <c r="D1388" s="1428" t="s">
        <v>9734</v>
      </c>
      <c r="E1388" s="1429">
        <v>197</v>
      </c>
      <c r="F1388" s="1430" t="s">
        <v>11421</v>
      </c>
      <c r="G1388" s="1431" t="s">
        <v>3472</v>
      </c>
      <c r="H1388" s="1430" t="s">
        <v>10246</v>
      </c>
      <c r="I1388" s="1429" t="s">
        <v>1025</v>
      </c>
      <c r="J1388" s="2196">
        <v>36</v>
      </c>
    </row>
    <row r="1389" spans="2:10" ht="13.5" thickBot="1" x14ac:dyDescent="0.25">
      <c r="B1389" s="392" t="str">
        <f t="shared" si="42"/>
        <v>Veterans - SOMOZA José David</v>
      </c>
      <c r="C1389" s="1441" t="str">
        <f t="shared" si="43"/>
        <v>SOMOZA José David</v>
      </c>
      <c r="D1389" s="1428" t="s">
        <v>9734</v>
      </c>
      <c r="E1389" s="1429">
        <v>204</v>
      </c>
      <c r="F1389" s="1430" t="s">
        <v>3450</v>
      </c>
      <c r="G1389" s="1431" t="s">
        <v>3451</v>
      </c>
      <c r="H1389" s="1430" t="s">
        <v>7183</v>
      </c>
      <c r="I1389" s="1429" t="s">
        <v>1015</v>
      </c>
      <c r="J1389" s="2196">
        <v>35.5</v>
      </c>
    </row>
    <row r="1390" spans="2:10" ht="13.5" thickBot="1" x14ac:dyDescent="0.25">
      <c r="B1390" s="392" t="str">
        <f t="shared" si="42"/>
        <v>Veterans - GHIGLIOTTI Marco</v>
      </c>
      <c r="C1390" s="1441" t="str">
        <f t="shared" si="43"/>
        <v>GHIGLIOTTI Marco</v>
      </c>
      <c r="D1390" s="1428" t="s">
        <v>9734</v>
      </c>
      <c r="E1390" s="1429">
        <v>204</v>
      </c>
      <c r="F1390" s="1430" t="s">
        <v>8752</v>
      </c>
      <c r="G1390" s="1431" t="s">
        <v>3109</v>
      </c>
      <c r="H1390" s="1430" t="s">
        <v>17082</v>
      </c>
      <c r="I1390" s="1429" t="s">
        <v>1013</v>
      </c>
      <c r="J1390" s="2196">
        <v>35.5</v>
      </c>
    </row>
    <row r="1391" spans="2:10" ht="13.5" thickBot="1" x14ac:dyDescent="0.25">
      <c r="B1391" s="392" t="str">
        <f t="shared" si="42"/>
        <v>Veterans - CAZALA Eric</v>
      </c>
      <c r="C1391" s="1441" t="str">
        <f t="shared" si="43"/>
        <v>CAZALA Eric</v>
      </c>
      <c r="D1391" s="1428" t="s">
        <v>9734</v>
      </c>
      <c r="E1391" s="1429">
        <v>206</v>
      </c>
      <c r="F1391" s="1430" t="s">
        <v>14985</v>
      </c>
      <c r="G1391" s="1431" t="s">
        <v>3044</v>
      </c>
      <c r="H1391" s="1430" t="s">
        <v>2754</v>
      </c>
      <c r="I1391" s="1429" t="s">
        <v>1019</v>
      </c>
      <c r="J1391" s="2196">
        <v>35</v>
      </c>
    </row>
    <row r="1392" spans="2:10" ht="13.5" thickBot="1" x14ac:dyDescent="0.25">
      <c r="B1392" s="392" t="str">
        <f t="shared" si="42"/>
        <v>Veterans - SCHIATTI Fabrizio</v>
      </c>
      <c r="C1392" s="1441" t="str">
        <f t="shared" si="43"/>
        <v>SCHIATTI Fabrizio</v>
      </c>
      <c r="D1392" s="1428" t="s">
        <v>9734</v>
      </c>
      <c r="E1392" s="1429">
        <v>207</v>
      </c>
      <c r="F1392" s="1430" t="s">
        <v>16759</v>
      </c>
      <c r="G1392" s="1431" t="s">
        <v>3087</v>
      </c>
      <c r="H1392" s="1430" t="s">
        <v>7876</v>
      </c>
      <c r="I1392" s="1429" t="s">
        <v>1037</v>
      </c>
      <c r="J1392" s="2196">
        <v>34</v>
      </c>
    </row>
    <row r="1393" spans="2:10" ht="13.5" thickBot="1" x14ac:dyDescent="0.25">
      <c r="B1393" s="392" t="str">
        <f t="shared" si="42"/>
        <v>Veterans - BOLTE René</v>
      </c>
      <c r="C1393" s="1441" t="str">
        <f t="shared" si="43"/>
        <v>BOLTE René</v>
      </c>
      <c r="D1393" s="1428" t="s">
        <v>9734</v>
      </c>
      <c r="E1393" s="1429">
        <v>208</v>
      </c>
      <c r="F1393" s="1430" t="s">
        <v>16599</v>
      </c>
      <c r="G1393" s="1431" t="s">
        <v>3564</v>
      </c>
      <c r="H1393" s="1430" t="s">
        <v>7184</v>
      </c>
      <c r="I1393" s="1429" t="s">
        <v>1051</v>
      </c>
      <c r="J1393" s="2196">
        <v>33</v>
      </c>
    </row>
    <row r="1394" spans="2:10" ht="13.5" thickBot="1" x14ac:dyDescent="0.25">
      <c r="B1394" s="392" t="str">
        <f t="shared" si="42"/>
        <v>Veterans - ZOLFANELLI Francesco</v>
      </c>
      <c r="C1394" s="1441" t="str">
        <f t="shared" si="43"/>
        <v>ZOLFANELLI Francesco</v>
      </c>
      <c r="D1394" s="1428" t="s">
        <v>9734</v>
      </c>
      <c r="E1394" s="1429">
        <v>208</v>
      </c>
      <c r="F1394" s="1430" t="s">
        <v>14990</v>
      </c>
      <c r="G1394" s="1431" t="s">
        <v>3277</v>
      </c>
      <c r="H1394" s="1430" t="s">
        <v>3614</v>
      </c>
      <c r="I1394" s="1429" t="s">
        <v>1037</v>
      </c>
      <c r="J1394" s="2196">
        <v>33</v>
      </c>
    </row>
    <row r="1395" spans="2:10" ht="13.5" thickBot="1" x14ac:dyDescent="0.25">
      <c r="B1395" s="392" t="str">
        <f t="shared" si="42"/>
        <v>Veterans - CURATO Giulio</v>
      </c>
      <c r="C1395" s="1441" t="str">
        <f t="shared" si="43"/>
        <v>CURATO Giulio</v>
      </c>
      <c r="D1395" s="1428" t="s">
        <v>9734</v>
      </c>
      <c r="E1395" s="1429">
        <v>210</v>
      </c>
      <c r="F1395" s="1430" t="s">
        <v>3610</v>
      </c>
      <c r="G1395" s="1431" t="s">
        <v>3583</v>
      </c>
      <c r="H1395" s="1430" t="s">
        <v>10269</v>
      </c>
      <c r="I1395" s="1429" t="s">
        <v>1037</v>
      </c>
      <c r="J1395" s="2196">
        <v>32.5</v>
      </c>
    </row>
    <row r="1396" spans="2:10" ht="13.5" thickBot="1" x14ac:dyDescent="0.25">
      <c r="B1396" s="392" t="str">
        <f t="shared" si="42"/>
        <v>Veterans - KURKEYERIAN Varant</v>
      </c>
      <c r="C1396" s="1441" t="str">
        <f t="shared" si="43"/>
        <v>KURKEYERIAN Varant</v>
      </c>
      <c r="D1396" s="1428" t="s">
        <v>9734</v>
      </c>
      <c r="E1396" s="1429">
        <v>211</v>
      </c>
      <c r="F1396" s="1430" t="s">
        <v>5598</v>
      </c>
      <c r="G1396" s="1431" t="s">
        <v>5599</v>
      </c>
      <c r="H1396" s="1430" t="s">
        <v>17015</v>
      </c>
      <c r="I1396" s="1429" t="s">
        <v>1079</v>
      </c>
      <c r="J1396" s="2196">
        <v>32</v>
      </c>
    </row>
    <row r="1397" spans="2:10" ht="13.5" thickBot="1" x14ac:dyDescent="0.25">
      <c r="B1397" s="392" t="str">
        <f t="shared" si="42"/>
        <v>Veterans - ERB Peter</v>
      </c>
      <c r="C1397" s="1441" t="str">
        <f t="shared" si="43"/>
        <v>ERB Peter</v>
      </c>
      <c r="D1397" s="1428" t="s">
        <v>9734</v>
      </c>
      <c r="E1397" s="1429">
        <v>212</v>
      </c>
      <c r="F1397" s="1430" t="s">
        <v>14274</v>
      </c>
      <c r="G1397" s="1431" t="s">
        <v>3194</v>
      </c>
      <c r="H1397" s="1430" t="s">
        <v>14809</v>
      </c>
      <c r="I1397" s="1429" t="s">
        <v>1074</v>
      </c>
      <c r="J1397" s="2196">
        <v>30.5</v>
      </c>
    </row>
    <row r="1398" spans="2:10" ht="13.5" thickBot="1" x14ac:dyDescent="0.25">
      <c r="B1398" s="392" t="str">
        <f t="shared" si="42"/>
        <v>Veterans - PIGOTT Adrian</v>
      </c>
      <c r="C1398" s="1441" t="str">
        <f t="shared" si="43"/>
        <v>PIGOTT Adrian</v>
      </c>
      <c r="D1398" s="1428" t="s">
        <v>9734</v>
      </c>
      <c r="E1398" s="1429">
        <v>213</v>
      </c>
      <c r="F1398" s="1430" t="s">
        <v>16766</v>
      </c>
      <c r="G1398" s="1431" t="s">
        <v>3356</v>
      </c>
      <c r="H1398" s="1430" t="s">
        <v>2764</v>
      </c>
      <c r="I1398" s="1429" t="s">
        <v>1033</v>
      </c>
      <c r="J1398" s="2196">
        <v>30</v>
      </c>
    </row>
    <row r="1399" spans="2:10" ht="13.5" thickBot="1" x14ac:dyDescent="0.25">
      <c r="B1399" s="392" t="str">
        <f t="shared" si="42"/>
        <v>Veterans - RICCIO Vincenzo</v>
      </c>
      <c r="C1399" s="1441" t="str">
        <f t="shared" si="43"/>
        <v>RICCIO Vincenzo</v>
      </c>
      <c r="D1399" s="1428" t="s">
        <v>9734</v>
      </c>
      <c r="E1399" s="1429">
        <v>213</v>
      </c>
      <c r="F1399" s="1430" t="s">
        <v>16569</v>
      </c>
      <c r="G1399" s="1431" t="s">
        <v>3163</v>
      </c>
      <c r="H1399" s="1430" t="s">
        <v>433</v>
      </c>
      <c r="I1399" s="1429" t="s">
        <v>1037</v>
      </c>
      <c r="J1399" s="2196">
        <v>30</v>
      </c>
    </row>
    <row r="1400" spans="2:10" ht="13.5" thickBot="1" x14ac:dyDescent="0.25">
      <c r="B1400" s="392" t="str">
        <f t="shared" si="42"/>
        <v>Veterans - PINAUSI Marco</v>
      </c>
      <c r="C1400" s="1441" t="str">
        <f t="shared" si="43"/>
        <v>PINAUSI Marco</v>
      </c>
      <c r="D1400" s="1428" t="s">
        <v>9734</v>
      </c>
      <c r="E1400" s="1429">
        <v>215</v>
      </c>
      <c r="F1400" s="1430" t="s">
        <v>3602</v>
      </c>
      <c r="G1400" s="1431" t="s">
        <v>3109</v>
      </c>
      <c r="H1400" s="1430" t="s">
        <v>2773</v>
      </c>
      <c r="I1400" s="1429" t="s">
        <v>1037</v>
      </c>
      <c r="J1400" s="2196">
        <v>29.5</v>
      </c>
    </row>
    <row r="1401" spans="2:10" ht="13.5" thickBot="1" x14ac:dyDescent="0.25">
      <c r="B1401" s="392" t="str">
        <f t="shared" si="42"/>
        <v>Veterans - LOAREC Yann</v>
      </c>
      <c r="C1401" s="1441" t="str">
        <f t="shared" si="43"/>
        <v>LOAREC Yann</v>
      </c>
      <c r="D1401" s="1428" t="s">
        <v>9734</v>
      </c>
      <c r="E1401" s="1429">
        <v>216</v>
      </c>
      <c r="F1401" s="1430" t="s">
        <v>14991</v>
      </c>
      <c r="G1401" s="1431" t="s">
        <v>13830</v>
      </c>
      <c r="H1401" s="1430" t="s">
        <v>2796</v>
      </c>
      <c r="I1401" s="1429" t="s">
        <v>1019</v>
      </c>
      <c r="J1401" s="2196">
        <v>29</v>
      </c>
    </row>
    <row r="1402" spans="2:10" ht="13.5" thickBot="1" x14ac:dyDescent="0.25">
      <c r="B1402" s="392" t="str">
        <f t="shared" si="42"/>
        <v>Veterans - NATOLI Cesare</v>
      </c>
      <c r="C1402" s="1441" t="str">
        <f t="shared" si="43"/>
        <v>NATOLI Cesare</v>
      </c>
      <c r="D1402" s="1428" t="s">
        <v>9734</v>
      </c>
      <c r="E1402" s="1429">
        <v>216</v>
      </c>
      <c r="F1402" s="1430" t="s">
        <v>3318</v>
      </c>
      <c r="G1402" s="1431" t="s">
        <v>3288</v>
      </c>
      <c r="H1402" s="1430" t="s">
        <v>13593</v>
      </c>
      <c r="I1402" s="1429" t="s">
        <v>1037</v>
      </c>
      <c r="J1402" s="2196">
        <v>29</v>
      </c>
    </row>
    <row r="1403" spans="2:10" ht="13.5" thickBot="1" x14ac:dyDescent="0.25">
      <c r="B1403" s="392" t="str">
        <f t="shared" si="42"/>
        <v>Veterans - MIGUEL Norberto</v>
      </c>
      <c r="C1403" s="1441" t="str">
        <f t="shared" si="43"/>
        <v>MIGUEL Norberto</v>
      </c>
      <c r="D1403" s="1428" t="s">
        <v>9734</v>
      </c>
      <c r="E1403" s="1429">
        <v>218</v>
      </c>
      <c r="F1403" s="1430" t="s">
        <v>14261</v>
      </c>
      <c r="G1403" s="1431" t="s">
        <v>3386</v>
      </c>
      <c r="H1403" s="1430" t="s">
        <v>13477</v>
      </c>
      <c r="I1403" s="1429" t="s">
        <v>1061</v>
      </c>
      <c r="J1403" s="2196">
        <v>27</v>
      </c>
    </row>
    <row r="1404" spans="2:10" ht="13.5" thickBot="1" x14ac:dyDescent="0.25">
      <c r="B1404" s="392" t="str">
        <f t="shared" si="42"/>
        <v>Veterans - ADAMS Eoin</v>
      </c>
      <c r="C1404" s="1441" t="str">
        <f t="shared" si="43"/>
        <v>ADAMS Eoin</v>
      </c>
      <c r="D1404" s="1428" t="s">
        <v>9734</v>
      </c>
      <c r="E1404" s="1429">
        <v>218</v>
      </c>
      <c r="F1404" s="1430" t="s">
        <v>14983</v>
      </c>
      <c r="G1404" s="1431" t="s">
        <v>7016</v>
      </c>
      <c r="H1404" s="1430" t="s">
        <v>2752</v>
      </c>
      <c r="I1404" s="1429" t="s">
        <v>1055</v>
      </c>
      <c r="J1404" s="2196">
        <v>27</v>
      </c>
    </row>
    <row r="1405" spans="2:10" ht="13.5" thickBot="1" x14ac:dyDescent="0.25">
      <c r="B1405" s="392" t="str">
        <f t="shared" si="42"/>
        <v>Veterans - ZUCCHI Marco</v>
      </c>
      <c r="C1405" s="1441" t="str">
        <f t="shared" si="43"/>
        <v>ZUCCHI Marco</v>
      </c>
      <c r="D1405" s="1428" t="s">
        <v>9734</v>
      </c>
      <c r="E1405" s="1429">
        <v>218</v>
      </c>
      <c r="F1405" s="1430" t="s">
        <v>16755</v>
      </c>
      <c r="G1405" s="1431" t="s">
        <v>3109</v>
      </c>
      <c r="H1405" s="1430" t="s">
        <v>17081</v>
      </c>
      <c r="I1405" s="1429" t="s">
        <v>1007</v>
      </c>
      <c r="J1405" s="2196">
        <v>27</v>
      </c>
    </row>
    <row r="1406" spans="2:10" ht="13.5" thickBot="1" x14ac:dyDescent="0.25">
      <c r="B1406" s="392" t="str">
        <f t="shared" si="42"/>
        <v>Veterans - KENNEDY Eliot</v>
      </c>
      <c r="C1406" s="1441" t="str">
        <f t="shared" si="43"/>
        <v>KENNEDY Eliot</v>
      </c>
      <c r="D1406" s="1428" t="s">
        <v>9734</v>
      </c>
      <c r="E1406" s="1429">
        <v>218</v>
      </c>
      <c r="F1406" s="1430" t="s">
        <v>7268</v>
      </c>
      <c r="G1406" s="1431" t="s">
        <v>7269</v>
      </c>
      <c r="H1406" s="1430" t="s">
        <v>9593</v>
      </c>
      <c r="I1406" s="1429" t="s">
        <v>986</v>
      </c>
      <c r="J1406" s="2196">
        <v>27</v>
      </c>
    </row>
    <row r="1407" spans="2:10" ht="13.5" thickBot="1" x14ac:dyDescent="0.25">
      <c r="B1407" s="392" t="str">
        <f t="shared" si="42"/>
        <v>Veterans - TSELEPIDIS Nikolaos</v>
      </c>
      <c r="C1407" s="1441" t="str">
        <f t="shared" si="43"/>
        <v>TSELEPIDIS Nikolaos</v>
      </c>
      <c r="D1407" s="1428" t="s">
        <v>9734</v>
      </c>
      <c r="E1407" s="1429">
        <v>222</v>
      </c>
      <c r="F1407" s="1430" t="s">
        <v>3326</v>
      </c>
      <c r="G1407" s="1431" t="s">
        <v>5554</v>
      </c>
      <c r="H1407" s="1430" t="s">
        <v>5309</v>
      </c>
      <c r="I1407" s="1429" t="s">
        <v>1025</v>
      </c>
      <c r="J1407" s="2196">
        <v>26.5</v>
      </c>
    </row>
    <row r="1408" spans="2:10" ht="13.5" thickBot="1" x14ac:dyDescent="0.25">
      <c r="B1408" s="392" t="str">
        <f t="shared" si="42"/>
        <v>Veterans - POLSINELLI Denis</v>
      </c>
      <c r="C1408" s="1441" t="str">
        <f t="shared" si="43"/>
        <v>POLSINELLI Denis</v>
      </c>
      <c r="D1408" s="1428" t="s">
        <v>9734</v>
      </c>
      <c r="E1408" s="1429">
        <v>222</v>
      </c>
      <c r="F1408" s="1430" t="s">
        <v>10992</v>
      </c>
      <c r="G1408" s="1431" t="s">
        <v>3272</v>
      </c>
      <c r="H1408" s="1430" t="s">
        <v>15239</v>
      </c>
      <c r="I1408" s="1429" t="s">
        <v>1019</v>
      </c>
      <c r="J1408" s="2196">
        <v>26.5</v>
      </c>
    </row>
    <row r="1409" spans="2:10" ht="13.5" thickBot="1" x14ac:dyDescent="0.25">
      <c r="B1409" s="392" t="str">
        <f t="shared" si="42"/>
        <v>Veterans - PITIHOUTIS Georgios</v>
      </c>
      <c r="C1409" s="1441" t="str">
        <f t="shared" si="43"/>
        <v>PITIHOUTIS Georgios</v>
      </c>
      <c r="D1409" s="1428" t="s">
        <v>9734</v>
      </c>
      <c r="E1409" s="1429">
        <v>224</v>
      </c>
      <c r="F1409" s="1430" t="s">
        <v>7293</v>
      </c>
      <c r="G1409" s="1431" t="s">
        <v>3324</v>
      </c>
      <c r="H1409" s="1430" t="s">
        <v>13590</v>
      </c>
      <c r="I1409" s="1429" t="s">
        <v>1025</v>
      </c>
      <c r="J1409" s="2196">
        <v>26</v>
      </c>
    </row>
    <row r="1410" spans="2:10" ht="13.5" thickBot="1" x14ac:dyDescent="0.25">
      <c r="B1410" s="392" t="str">
        <f t="shared" si="42"/>
        <v>Veterans - VEZZUTO Pasquale</v>
      </c>
      <c r="C1410" s="1441" t="str">
        <f t="shared" si="43"/>
        <v>VEZZUTO Pasquale</v>
      </c>
      <c r="D1410" s="1428" t="s">
        <v>9734</v>
      </c>
      <c r="E1410" s="1429">
        <v>225</v>
      </c>
      <c r="F1410" s="1430" t="s">
        <v>14299</v>
      </c>
      <c r="G1410" s="1431" t="s">
        <v>3548</v>
      </c>
      <c r="H1410" s="1430" t="s">
        <v>2750</v>
      </c>
      <c r="I1410" s="1429" t="s">
        <v>1037</v>
      </c>
      <c r="J1410" s="2196">
        <v>24.5</v>
      </c>
    </row>
    <row r="1411" spans="2:10" ht="13.5" thickBot="1" x14ac:dyDescent="0.25">
      <c r="B1411" s="392" t="str">
        <f t="shared" si="42"/>
        <v>Veterans - PELTIER Patrick</v>
      </c>
      <c r="C1411" s="1441" t="str">
        <f t="shared" si="43"/>
        <v>PELTIER Patrick</v>
      </c>
      <c r="D1411" s="1428" t="s">
        <v>9734</v>
      </c>
      <c r="E1411" s="1429">
        <v>225</v>
      </c>
      <c r="F1411" s="1430" t="s">
        <v>3522</v>
      </c>
      <c r="G1411" s="1431" t="s">
        <v>3271</v>
      </c>
      <c r="H1411" s="1430" t="s">
        <v>13519</v>
      </c>
      <c r="I1411" s="1429" t="s">
        <v>990</v>
      </c>
      <c r="J1411" s="2196">
        <v>24.5</v>
      </c>
    </row>
    <row r="1412" spans="2:10" ht="13.5" thickBot="1" x14ac:dyDescent="0.25">
      <c r="B1412" s="392" t="str">
        <f t="shared" si="42"/>
        <v>Veterans - ROWLEY Matthew</v>
      </c>
      <c r="C1412" s="1441" t="str">
        <f t="shared" si="43"/>
        <v>ROWLEY Matthew</v>
      </c>
      <c r="D1412" s="1428" t="s">
        <v>9734</v>
      </c>
      <c r="E1412" s="1429">
        <v>225</v>
      </c>
      <c r="F1412" s="1430" t="s">
        <v>11481</v>
      </c>
      <c r="G1412" s="1431" t="s">
        <v>3240</v>
      </c>
      <c r="H1412" s="1430" t="s">
        <v>10260</v>
      </c>
      <c r="I1412" s="1429" t="s">
        <v>1083</v>
      </c>
      <c r="J1412" s="2196">
        <v>24.5</v>
      </c>
    </row>
    <row r="1413" spans="2:10" ht="13.5" thickBot="1" x14ac:dyDescent="0.25">
      <c r="B1413" s="392" t="str">
        <f t="shared" si="42"/>
        <v>Veterans - MASTROBUONO Massimo Francesco</v>
      </c>
      <c r="C1413" s="1441" t="str">
        <f t="shared" si="43"/>
        <v>MASTROBUONO Massimo Francesco</v>
      </c>
      <c r="D1413" s="1428" t="s">
        <v>9734</v>
      </c>
      <c r="E1413" s="1429">
        <v>228</v>
      </c>
      <c r="F1413" s="1430" t="s">
        <v>16762</v>
      </c>
      <c r="G1413" s="1431" t="s">
        <v>15878</v>
      </c>
      <c r="H1413" s="1430" t="s">
        <v>16483</v>
      </c>
      <c r="I1413" s="1429" t="s">
        <v>1037</v>
      </c>
      <c r="J1413" s="2196">
        <v>24</v>
      </c>
    </row>
    <row r="1414" spans="2:10" ht="13.5" thickBot="1" x14ac:dyDescent="0.25">
      <c r="B1414" s="392" t="str">
        <f t="shared" si="42"/>
        <v>Veterans - DAXBÖCK Florian</v>
      </c>
      <c r="C1414" s="1441" t="str">
        <f t="shared" si="43"/>
        <v>DAXBÖCK Florian</v>
      </c>
      <c r="D1414" s="1428" t="s">
        <v>9734</v>
      </c>
      <c r="E1414" s="1429">
        <v>228</v>
      </c>
      <c r="F1414" s="1430" t="s">
        <v>16758</v>
      </c>
      <c r="G1414" s="1431" t="s">
        <v>3358</v>
      </c>
      <c r="H1414" s="1430" t="s">
        <v>8871</v>
      </c>
      <c r="I1414" s="1429" t="s">
        <v>988</v>
      </c>
      <c r="J1414" s="2196">
        <v>24</v>
      </c>
    </row>
    <row r="1415" spans="2:10" ht="13.5" thickBot="1" x14ac:dyDescent="0.25">
      <c r="B1415" s="392" t="str">
        <f t="shared" ref="B1415:B1478" si="44">CONCATENATE(D1415," - ",C1415)</f>
        <v>Veterans - CASTRO Miguel</v>
      </c>
      <c r="C1415" s="1441" t="str">
        <f t="shared" ref="C1415:C1478" si="45">CONCATENATE(UPPER(F1415)," ",G1415)</f>
        <v>CASTRO Miguel</v>
      </c>
      <c r="D1415" s="1428" t="s">
        <v>9734</v>
      </c>
      <c r="E1415" s="1429">
        <v>228</v>
      </c>
      <c r="F1415" s="1430" t="s">
        <v>14296</v>
      </c>
      <c r="G1415" s="1431" t="s">
        <v>3089</v>
      </c>
      <c r="H1415" s="1430" t="s">
        <v>5314</v>
      </c>
      <c r="I1415" s="1429" t="s">
        <v>1061</v>
      </c>
      <c r="J1415" s="2196">
        <v>24</v>
      </c>
    </row>
    <row r="1416" spans="2:10" ht="13.5" thickBot="1" x14ac:dyDescent="0.25">
      <c r="B1416" s="392" t="str">
        <f t="shared" si="44"/>
        <v>Veterans - JAMIESON Malcolm</v>
      </c>
      <c r="C1416" s="1441" t="str">
        <f t="shared" si="45"/>
        <v>JAMIESON Malcolm</v>
      </c>
      <c r="D1416" s="1428" t="s">
        <v>9734</v>
      </c>
      <c r="E1416" s="1429">
        <v>231</v>
      </c>
      <c r="F1416" s="1430" t="s">
        <v>14956</v>
      </c>
      <c r="G1416" s="1431" t="s">
        <v>3463</v>
      </c>
      <c r="H1416" s="1430" t="s">
        <v>17082</v>
      </c>
      <c r="I1416" s="1429" t="s">
        <v>1013</v>
      </c>
      <c r="J1416" s="2196">
        <v>23.5</v>
      </c>
    </row>
    <row r="1417" spans="2:10" ht="13.5" thickBot="1" x14ac:dyDescent="0.25">
      <c r="B1417" s="392" t="str">
        <f t="shared" si="44"/>
        <v>Veterans - JALBERT Thierry</v>
      </c>
      <c r="C1417" s="1441" t="str">
        <f t="shared" si="45"/>
        <v>JALBERT Thierry</v>
      </c>
      <c r="D1417" s="1428" t="s">
        <v>9734</v>
      </c>
      <c r="E1417" s="1429">
        <v>232</v>
      </c>
      <c r="F1417" s="1430" t="s">
        <v>14982</v>
      </c>
      <c r="G1417" s="1431" t="s">
        <v>3332</v>
      </c>
      <c r="H1417" s="1430" t="s">
        <v>15183</v>
      </c>
      <c r="I1417" s="1429" t="s">
        <v>1019</v>
      </c>
      <c r="J1417" s="2196">
        <v>23</v>
      </c>
    </row>
    <row r="1418" spans="2:10" ht="13.5" thickBot="1" x14ac:dyDescent="0.25">
      <c r="B1418" s="392" t="str">
        <f t="shared" si="44"/>
        <v>Veterans - ZAMARA Valentino</v>
      </c>
      <c r="C1418" s="1441" t="str">
        <f t="shared" si="45"/>
        <v>ZAMARA Valentino</v>
      </c>
      <c r="D1418" s="1428" t="s">
        <v>9734</v>
      </c>
      <c r="E1418" s="1429">
        <v>232</v>
      </c>
      <c r="F1418" s="1430" t="s">
        <v>14181</v>
      </c>
      <c r="G1418" s="1431" t="s">
        <v>6943</v>
      </c>
      <c r="H1418" s="1430" t="s">
        <v>11331</v>
      </c>
      <c r="I1418" s="1429" t="s">
        <v>1045</v>
      </c>
      <c r="J1418" s="2196">
        <v>23</v>
      </c>
    </row>
    <row r="1419" spans="2:10" ht="13.5" thickBot="1" x14ac:dyDescent="0.25">
      <c r="B1419" s="392" t="str">
        <f t="shared" si="44"/>
        <v>Veterans - AUSSET Laurent</v>
      </c>
      <c r="C1419" s="1441" t="str">
        <f t="shared" si="45"/>
        <v>AUSSET Laurent</v>
      </c>
      <c r="D1419" s="1428" t="s">
        <v>9734</v>
      </c>
      <c r="E1419" s="1429">
        <v>232</v>
      </c>
      <c r="F1419" s="1430" t="s">
        <v>14978</v>
      </c>
      <c r="G1419" s="1431" t="s">
        <v>3123</v>
      </c>
      <c r="H1419" s="1430" t="s">
        <v>15183</v>
      </c>
      <c r="I1419" s="1429" t="s">
        <v>1019</v>
      </c>
      <c r="J1419" s="2196">
        <v>23</v>
      </c>
    </row>
    <row r="1420" spans="2:10" ht="13.5" thickBot="1" x14ac:dyDescent="0.25">
      <c r="B1420" s="392" t="str">
        <f t="shared" si="44"/>
        <v>Veterans - POPP Roland</v>
      </c>
      <c r="C1420" s="1441" t="str">
        <f t="shared" si="45"/>
        <v>POPP Roland</v>
      </c>
      <c r="D1420" s="1428" t="s">
        <v>9734</v>
      </c>
      <c r="E1420" s="1429">
        <v>235</v>
      </c>
      <c r="F1420" s="1430" t="s">
        <v>11432</v>
      </c>
      <c r="G1420" s="1431" t="s">
        <v>3563</v>
      </c>
      <c r="H1420" s="1430" t="s">
        <v>2775</v>
      </c>
      <c r="I1420" s="1429" t="s">
        <v>1021</v>
      </c>
      <c r="J1420" s="2196">
        <v>22.5</v>
      </c>
    </row>
    <row r="1421" spans="2:10" ht="13.5" thickBot="1" x14ac:dyDescent="0.25">
      <c r="B1421" s="392" t="str">
        <f t="shared" si="44"/>
        <v>Veterans - PAPIDAKIS Sarantis</v>
      </c>
      <c r="C1421" s="1441" t="str">
        <f t="shared" si="45"/>
        <v>PAPIDAKIS Sarantis</v>
      </c>
      <c r="D1421" s="1428" t="s">
        <v>9734</v>
      </c>
      <c r="E1421" s="1429">
        <v>235</v>
      </c>
      <c r="F1421" s="1430" t="s">
        <v>7279</v>
      </c>
      <c r="G1421" s="1431" t="s">
        <v>7280</v>
      </c>
      <c r="H1421" s="1430" t="s">
        <v>5309</v>
      </c>
      <c r="I1421" s="1429" t="s">
        <v>1025</v>
      </c>
      <c r="J1421" s="2196">
        <v>22.5</v>
      </c>
    </row>
    <row r="1422" spans="2:10" ht="13.5" thickBot="1" x14ac:dyDescent="0.25">
      <c r="B1422" s="392" t="str">
        <f t="shared" si="44"/>
        <v>Veterans - FARRUGIA RANDON Stanley</v>
      </c>
      <c r="C1422" s="1441" t="str">
        <f t="shared" si="45"/>
        <v>FARRUGIA RANDON Stanley</v>
      </c>
      <c r="D1422" s="1428" t="s">
        <v>9734</v>
      </c>
      <c r="E1422" s="1429">
        <v>237</v>
      </c>
      <c r="F1422" s="1430" t="s">
        <v>14241</v>
      </c>
      <c r="G1422" s="1431" t="s">
        <v>10960</v>
      </c>
      <c r="H1422" s="1430" t="s">
        <v>11331</v>
      </c>
      <c r="I1422" s="1429" t="s">
        <v>1045</v>
      </c>
      <c r="J1422" s="2196">
        <v>22</v>
      </c>
    </row>
    <row r="1423" spans="2:10" ht="13.5" thickBot="1" x14ac:dyDescent="0.25">
      <c r="B1423" s="392" t="str">
        <f t="shared" si="44"/>
        <v>Veterans - PAPAMICHAIL Leonidas</v>
      </c>
      <c r="C1423" s="1441" t="str">
        <f t="shared" si="45"/>
        <v>PAPAMICHAIL Leonidas</v>
      </c>
      <c r="D1423" s="1428" t="s">
        <v>9734</v>
      </c>
      <c r="E1423" s="1429">
        <v>237</v>
      </c>
      <c r="F1423" s="1430" t="s">
        <v>16771</v>
      </c>
      <c r="G1423" s="1431" t="s">
        <v>3211</v>
      </c>
      <c r="H1423" s="1430" t="s">
        <v>9449</v>
      </c>
      <c r="I1423" s="1429" t="s">
        <v>1025</v>
      </c>
      <c r="J1423" s="2196">
        <v>22</v>
      </c>
    </row>
    <row r="1424" spans="2:10" ht="13.5" thickBot="1" x14ac:dyDescent="0.25">
      <c r="B1424" s="392" t="str">
        <f t="shared" si="44"/>
        <v>Veterans - NISHI Manabu</v>
      </c>
      <c r="C1424" s="1441" t="str">
        <f t="shared" si="45"/>
        <v>NISHI Manabu</v>
      </c>
      <c r="D1424" s="1428" t="s">
        <v>9734</v>
      </c>
      <c r="E1424" s="1429">
        <v>237</v>
      </c>
      <c r="F1424" s="1430" t="s">
        <v>14952</v>
      </c>
      <c r="G1424" s="1431" t="s">
        <v>14719</v>
      </c>
      <c r="H1424" s="1430" t="s">
        <v>10276</v>
      </c>
      <c r="I1424" s="1429" t="s">
        <v>1041</v>
      </c>
      <c r="J1424" s="2196">
        <v>22</v>
      </c>
    </row>
    <row r="1425" spans="2:10" ht="13.5" thickBot="1" x14ac:dyDescent="0.25">
      <c r="B1425" s="392" t="str">
        <f t="shared" si="44"/>
        <v>Veterans - RICCOBENE Francesco</v>
      </c>
      <c r="C1425" s="1441" t="str">
        <f t="shared" si="45"/>
        <v>RICCOBENE Francesco</v>
      </c>
      <c r="D1425" s="1428" t="s">
        <v>9734</v>
      </c>
      <c r="E1425" s="1429">
        <v>237</v>
      </c>
      <c r="F1425" s="1430" t="s">
        <v>16767</v>
      </c>
      <c r="G1425" s="1431" t="s">
        <v>3277</v>
      </c>
      <c r="H1425" s="1430" t="s">
        <v>10271</v>
      </c>
      <c r="I1425" s="1429" t="s">
        <v>1037</v>
      </c>
      <c r="J1425" s="2196">
        <v>22</v>
      </c>
    </row>
    <row r="1426" spans="2:10" ht="13.5" thickBot="1" x14ac:dyDescent="0.25">
      <c r="B1426" s="392" t="str">
        <f t="shared" si="44"/>
        <v>Veterans - BEGGS Kenneth</v>
      </c>
      <c r="C1426" s="1441" t="str">
        <f t="shared" si="45"/>
        <v>BEGGS Kenneth</v>
      </c>
      <c r="D1426" s="1428" t="s">
        <v>9734</v>
      </c>
      <c r="E1426" s="1429">
        <v>237</v>
      </c>
      <c r="F1426" s="1430" t="s">
        <v>14893</v>
      </c>
      <c r="G1426" s="1431" t="s">
        <v>7014</v>
      </c>
      <c r="H1426" s="1430" t="s">
        <v>2764</v>
      </c>
      <c r="I1426" s="1429" t="s">
        <v>1055</v>
      </c>
      <c r="J1426" s="2196">
        <v>22</v>
      </c>
    </row>
    <row r="1427" spans="2:10" ht="13.5" thickBot="1" x14ac:dyDescent="0.25">
      <c r="B1427" s="392" t="str">
        <f t="shared" si="44"/>
        <v>Veterans - GKIOTLIS Nikolaos</v>
      </c>
      <c r="C1427" s="1441" t="str">
        <f t="shared" si="45"/>
        <v>GKIOTLIS Nikolaos</v>
      </c>
      <c r="D1427" s="1428" t="s">
        <v>9734</v>
      </c>
      <c r="E1427" s="1429">
        <v>242</v>
      </c>
      <c r="F1427" s="1430" t="s">
        <v>8728</v>
      </c>
      <c r="G1427" s="1431" t="s">
        <v>5554</v>
      </c>
      <c r="H1427" s="1430" t="s">
        <v>10265</v>
      </c>
      <c r="I1427" s="1429" t="s">
        <v>1025</v>
      </c>
      <c r="J1427" s="2196">
        <v>20.5</v>
      </c>
    </row>
    <row r="1428" spans="2:10" ht="13.5" thickBot="1" x14ac:dyDescent="0.25">
      <c r="B1428" s="392" t="str">
        <f t="shared" si="44"/>
        <v>Veterans - HARRINGTON Gerry</v>
      </c>
      <c r="C1428" s="1441" t="str">
        <f t="shared" si="45"/>
        <v>HARRINGTON Gerry</v>
      </c>
      <c r="D1428" s="1428" t="s">
        <v>9734</v>
      </c>
      <c r="E1428" s="1429">
        <v>242</v>
      </c>
      <c r="F1428" s="1430" t="s">
        <v>14156</v>
      </c>
      <c r="G1428" s="1431" t="s">
        <v>14072</v>
      </c>
      <c r="H1428" s="1430" t="s">
        <v>17082</v>
      </c>
      <c r="I1428" s="1429" t="s">
        <v>1033</v>
      </c>
      <c r="J1428" s="2196">
        <v>20.5</v>
      </c>
    </row>
    <row r="1429" spans="2:10" ht="13.5" thickBot="1" x14ac:dyDescent="0.25">
      <c r="B1429" s="392" t="str">
        <f t="shared" si="44"/>
        <v>Veterans - DESTEFANIS Riccardo</v>
      </c>
      <c r="C1429" s="1441" t="str">
        <f t="shared" si="45"/>
        <v>DESTEFANIS Riccardo</v>
      </c>
      <c r="D1429" s="1428" t="s">
        <v>9734</v>
      </c>
      <c r="E1429" s="1429">
        <v>244</v>
      </c>
      <c r="F1429" s="1430" t="s">
        <v>16770</v>
      </c>
      <c r="G1429" s="1431" t="s">
        <v>3270</v>
      </c>
      <c r="H1429" s="1430" t="s">
        <v>15281</v>
      </c>
      <c r="I1429" s="1429" t="s">
        <v>1057</v>
      </c>
      <c r="J1429" s="2196">
        <v>20</v>
      </c>
    </row>
    <row r="1430" spans="2:10" ht="13.5" thickBot="1" x14ac:dyDescent="0.25">
      <c r="B1430" s="392" t="str">
        <f t="shared" si="44"/>
        <v>Veterans - ANCAROLA Genny</v>
      </c>
      <c r="C1430" s="1441" t="str">
        <f t="shared" si="45"/>
        <v>ANCAROLA Genny</v>
      </c>
      <c r="D1430" s="1428" t="s">
        <v>9734</v>
      </c>
      <c r="E1430" s="1429">
        <v>244</v>
      </c>
      <c r="F1430" s="1430" t="s">
        <v>16875</v>
      </c>
      <c r="G1430" s="1431" t="s">
        <v>8291</v>
      </c>
      <c r="H1430" s="1430" t="s">
        <v>13596</v>
      </c>
      <c r="I1430" s="1429" t="s">
        <v>1037</v>
      </c>
      <c r="J1430" s="2196">
        <v>20</v>
      </c>
    </row>
    <row r="1431" spans="2:10" ht="13.5" thickBot="1" x14ac:dyDescent="0.25">
      <c r="B1431" s="392" t="str">
        <f t="shared" si="44"/>
        <v>Veterans - COLWELL Martin</v>
      </c>
      <c r="C1431" s="1441" t="str">
        <f t="shared" si="45"/>
        <v>COLWELL Martin</v>
      </c>
      <c r="D1431" s="1428" t="s">
        <v>9734</v>
      </c>
      <c r="E1431" s="1429">
        <v>246</v>
      </c>
      <c r="F1431" s="1430" t="s">
        <v>16761</v>
      </c>
      <c r="G1431" s="1431" t="s">
        <v>3408</v>
      </c>
      <c r="H1431" s="1430" t="s">
        <v>17082</v>
      </c>
      <c r="I1431" s="1429" t="s">
        <v>1013</v>
      </c>
      <c r="J1431" s="2196">
        <v>19.5</v>
      </c>
    </row>
    <row r="1432" spans="2:10" ht="13.5" thickBot="1" x14ac:dyDescent="0.25">
      <c r="B1432" s="392" t="str">
        <f t="shared" si="44"/>
        <v>Veterans - TRIGGIANI Giuseppe</v>
      </c>
      <c r="C1432" s="1441" t="str">
        <f t="shared" si="45"/>
        <v>TRIGGIANI Giuseppe</v>
      </c>
      <c r="D1432" s="1428" t="s">
        <v>9734</v>
      </c>
      <c r="E1432" s="1429">
        <v>247</v>
      </c>
      <c r="F1432" s="1430" t="s">
        <v>17623</v>
      </c>
      <c r="G1432" s="1431" t="s">
        <v>3122</v>
      </c>
      <c r="H1432" s="1430" t="s">
        <v>15245</v>
      </c>
      <c r="I1432" s="1429" t="s">
        <v>1037</v>
      </c>
      <c r="J1432" s="2196">
        <v>19</v>
      </c>
    </row>
    <row r="1433" spans="2:10" ht="13.5" thickBot="1" x14ac:dyDescent="0.25">
      <c r="B1433" s="392" t="str">
        <f t="shared" si="44"/>
        <v>Veterans - GREER Ian</v>
      </c>
      <c r="C1433" s="1441" t="str">
        <f t="shared" si="45"/>
        <v>GREER Ian</v>
      </c>
      <c r="D1433" s="1428" t="s">
        <v>9734</v>
      </c>
      <c r="E1433" s="1429">
        <v>248</v>
      </c>
      <c r="F1433" s="1430" t="s">
        <v>16686</v>
      </c>
      <c r="G1433" s="1431" t="s">
        <v>3688</v>
      </c>
      <c r="H1433" s="1430" t="s">
        <v>9598</v>
      </c>
      <c r="I1433" s="1429" t="s">
        <v>1055</v>
      </c>
      <c r="J1433" s="2196">
        <v>18</v>
      </c>
    </row>
    <row r="1434" spans="2:10" ht="13.5" thickBot="1" x14ac:dyDescent="0.25">
      <c r="B1434" s="392" t="str">
        <f t="shared" si="44"/>
        <v>Veterans - BURNS Tom</v>
      </c>
      <c r="C1434" s="1441" t="str">
        <f t="shared" si="45"/>
        <v>BURNS Tom</v>
      </c>
      <c r="D1434" s="1428" t="s">
        <v>9734</v>
      </c>
      <c r="E1434" s="1429">
        <v>248</v>
      </c>
      <c r="F1434" s="1430" t="s">
        <v>3234</v>
      </c>
      <c r="G1434" s="1431" t="s">
        <v>3235</v>
      </c>
      <c r="H1434" s="1430" t="s">
        <v>2771</v>
      </c>
      <c r="I1434" s="1429" t="s">
        <v>1069</v>
      </c>
      <c r="J1434" s="2196">
        <v>18</v>
      </c>
    </row>
    <row r="1435" spans="2:10" ht="13.5" thickBot="1" x14ac:dyDescent="0.25">
      <c r="B1435" s="392" t="str">
        <f t="shared" si="44"/>
        <v>Veterans - GÄHWILER Clinton</v>
      </c>
      <c r="C1435" s="1441" t="str">
        <f t="shared" si="45"/>
        <v>GÄHWILER Clinton</v>
      </c>
      <c r="D1435" s="1428" t="s">
        <v>9734</v>
      </c>
      <c r="E1435" s="1429">
        <v>248</v>
      </c>
      <c r="F1435" s="1430" t="s">
        <v>17454</v>
      </c>
      <c r="G1435" s="1431" t="s">
        <v>15580</v>
      </c>
      <c r="H1435" s="1430" t="s">
        <v>15582</v>
      </c>
      <c r="I1435" s="1429" t="s">
        <v>1074</v>
      </c>
      <c r="J1435" s="2196">
        <v>18</v>
      </c>
    </row>
    <row r="1436" spans="2:10" ht="13.5" thickBot="1" x14ac:dyDescent="0.25">
      <c r="B1436" s="392" t="str">
        <f t="shared" si="44"/>
        <v>Veterans - REMUND Paul</v>
      </c>
      <c r="C1436" s="1441" t="str">
        <f t="shared" si="45"/>
        <v>REMUND Paul</v>
      </c>
      <c r="D1436" s="1428" t="s">
        <v>9734</v>
      </c>
      <c r="E1436" s="1429">
        <v>248</v>
      </c>
      <c r="F1436" s="1430" t="s">
        <v>17624</v>
      </c>
      <c r="G1436" s="1431" t="s">
        <v>3259</v>
      </c>
      <c r="H1436" s="1430" t="s">
        <v>14809</v>
      </c>
      <c r="I1436" s="1429" t="s">
        <v>1074</v>
      </c>
      <c r="J1436" s="2196">
        <v>18</v>
      </c>
    </row>
    <row r="1437" spans="2:10" ht="13.5" thickBot="1" x14ac:dyDescent="0.25">
      <c r="B1437" s="392" t="str">
        <f t="shared" si="44"/>
        <v>Veterans - CAPOSSELA Stefano</v>
      </c>
      <c r="C1437" s="1441" t="str">
        <f t="shared" si="45"/>
        <v>CAPOSSELA Stefano</v>
      </c>
      <c r="D1437" s="1428" t="s">
        <v>9734</v>
      </c>
      <c r="E1437" s="1429">
        <v>248</v>
      </c>
      <c r="F1437" s="1430" t="s">
        <v>14268</v>
      </c>
      <c r="G1437" s="1431" t="s">
        <v>3062</v>
      </c>
      <c r="H1437" s="1430" t="s">
        <v>15245</v>
      </c>
      <c r="I1437" s="1429" t="s">
        <v>1037</v>
      </c>
      <c r="J1437" s="2196">
        <v>18</v>
      </c>
    </row>
    <row r="1438" spans="2:10" ht="13.5" thickBot="1" x14ac:dyDescent="0.25">
      <c r="B1438" s="392" t="str">
        <f t="shared" si="44"/>
        <v>Veterans - LEES Malcolm</v>
      </c>
      <c r="C1438" s="1441" t="str">
        <f t="shared" si="45"/>
        <v>LEES Malcolm</v>
      </c>
      <c r="D1438" s="1428" t="s">
        <v>9734</v>
      </c>
      <c r="E1438" s="1429">
        <v>248</v>
      </c>
      <c r="F1438" s="1430" t="s">
        <v>3462</v>
      </c>
      <c r="G1438" s="1431" t="s">
        <v>3463</v>
      </c>
      <c r="H1438" s="1430" t="s">
        <v>2771</v>
      </c>
      <c r="I1438" s="1429" t="s">
        <v>1069</v>
      </c>
      <c r="J1438" s="2196">
        <v>18</v>
      </c>
    </row>
    <row r="1439" spans="2:10" ht="13.5" thickBot="1" x14ac:dyDescent="0.25">
      <c r="B1439" s="392" t="str">
        <f t="shared" si="44"/>
        <v>Veterans - STEVENOT Didier</v>
      </c>
      <c r="C1439" s="1441" t="str">
        <f t="shared" si="45"/>
        <v>STEVENOT Didier</v>
      </c>
      <c r="D1439" s="1428" t="s">
        <v>9734</v>
      </c>
      <c r="E1439" s="1429">
        <v>248</v>
      </c>
      <c r="F1439" s="1430" t="s">
        <v>18175</v>
      </c>
      <c r="G1439" s="1431" t="s">
        <v>3281</v>
      </c>
      <c r="H1439" s="1430" t="s">
        <v>2747</v>
      </c>
      <c r="I1439" s="1429" t="s">
        <v>990</v>
      </c>
      <c r="J1439" s="2196">
        <v>18</v>
      </c>
    </row>
    <row r="1440" spans="2:10" ht="13.5" thickBot="1" x14ac:dyDescent="0.25">
      <c r="B1440" s="392" t="str">
        <f t="shared" si="44"/>
        <v>Veterans - RAMALHETE Marcelo Lages</v>
      </c>
      <c r="C1440" s="1441" t="str">
        <f t="shared" si="45"/>
        <v>RAMALHETE Marcelo Lages</v>
      </c>
      <c r="D1440" s="1428" t="s">
        <v>9734</v>
      </c>
      <c r="E1440" s="1429">
        <v>248</v>
      </c>
      <c r="F1440" s="1430" t="s">
        <v>14124</v>
      </c>
      <c r="G1440" s="1431" t="s">
        <v>3413</v>
      </c>
      <c r="H1440" s="1430" t="s">
        <v>7265</v>
      </c>
      <c r="I1440" s="1429" t="s">
        <v>994</v>
      </c>
      <c r="J1440" s="2196">
        <v>18</v>
      </c>
    </row>
    <row r="1441" spans="2:10" ht="13.5" thickBot="1" x14ac:dyDescent="0.25">
      <c r="B1441" s="392" t="str">
        <f t="shared" si="44"/>
        <v>Veterans - SHAM Doulatram</v>
      </c>
      <c r="C1441" s="1441" t="str">
        <f t="shared" si="45"/>
        <v>SHAM Doulatram</v>
      </c>
      <c r="D1441" s="1428" t="s">
        <v>9734</v>
      </c>
      <c r="E1441" s="1429">
        <v>248</v>
      </c>
      <c r="F1441" s="1430" t="s">
        <v>16542</v>
      </c>
      <c r="G1441" s="1431" t="s">
        <v>6826</v>
      </c>
      <c r="H1441" s="1430" t="s">
        <v>8716</v>
      </c>
      <c r="I1441" s="1429" t="s">
        <v>7916</v>
      </c>
      <c r="J1441" s="2196">
        <v>18</v>
      </c>
    </row>
    <row r="1442" spans="2:10" ht="13.5" thickBot="1" x14ac:dyDescent="0.25">
      <c r="B1442" s="392" t="str">
        <f t="shared" si="44"/>
        <v>Veterans - PESSINI Luca</v>
      </c>
      <c r="C1442" s="1441" t="str">
        <f t="shared" si="45"/>
        <v>PESSINI Luca</v>
      </c>
      <c r="D1442" s="1428" t="s">
        <v>9734</v>
      </c>
      <c r="E1442" s="1429">
        <v>248</v>
      </c>
      <c r="F1442" s="1430" t="s">
        <v>3507</v>
      </c>
      <c r="G1442" s="1431" t="s">
        <v>3198</v>
      </c>
      <c r="H1442" s="1430" t="s">
        <v>2765</v>
      </c>
      <c r="I1442" s="1429" t="s">
        <v>1037</v>
      </c>
      <c r="J1442" s="2196">
        <v>18</v>
      </c>
    </row>
    <row r="1443" spans="2:10" ht="13.5" thickBot="1" x14ac:dyDescent="0.25">
      <c r="B1443" s="392" t="str">
        <f t="shared" si="44"/>
        <v>Veterans - BENAVENT Pedro</v>
      </c>
      <c r="C1443" s="1441" t="str">
        <f t="shared" si="45"/>
        <v>BENAVENT Pedro</v>
      </c>
      <c r="D1443" s="1428" t="s">
        <v>9734</v>
      </c>
      <c r="E1443" s="1429">
        <v>258</v>
      </c>
      <c r="F1443" s="1430" t="s">
        <v>8757</v>
      </c>
      <c r="G1443" s="1431" t="s">
        <v>5604</v>
      </c>
      <c r="H1443" s="1430" t="s">
        <v>14872</v>
      </c>
      <c r="I1443" s="1429" t="s">
        <v>1015</v>
      </c>
      <c r="J1443" s="2196">
        <v>17.5</v>
      </c>
    </row>
    <row r="1444" spans="2:10" ht="13.5" thickBot="1" x14ac:dyDescent="0.25">
      <c r="B1444" s="392" t="str">
        <f t="shared" si="44"/>
        <v>Veterans - SCERAERT Marc</v>
      </c>
      <c r="C1444" s="1441" t="str">
        <f t="shared" si="45"/>
        <v>SCERAERT Marc</v>
      </c>
      <c r="D1444" s="1428" t="s">
        <v>9734</v>
      </c>
      <c r="E1444" s="1429">
        <v>259</v>
      </c>
      <c r="F1444" s="1430" t="s">
        <v>17625</v>
      </c>
      <c r="G1444" s="1431" t="s">
        <v>3208</v>
      </c>
      <c r="H1444" s="1430" t="s">
        <v>5301</v>
      </c>
      <c r="I1444" s="1429" t="s">
        <v>990</v>
      </c>
      <c r="J1444" s="2196">
        <v>17</v>
      </c>
    </row>
    <row r="1445" spans="2:10" ht="13.5" thickBot="1" x14ac:dyDescent="0.25">
      <c r="B1445" s="392" t="str">
        <f t="shared" si="44"/>
        <v>Veterans - PEARSON Nick</v>
      </c>
      <c r="C1445" s="1441" t="str">
        <f t="shared" si="45"/>
        <v>PEARSON Nick</v>
      </c>
      <c r="D1445" s="1428" t="s">
        <v>9734</v>
      </c>
      <c r="E1445" s="1429">
        <v>260</v>
      </c>
      <c r="F1445" s="1430" t="s">
        <v>11540</v>
      </c>
      <c r="G1445" s="1431" t="s">
        <v>5540</v>
      </c>
      <c r="H1445" s="1430" t="s">
        <v>17082</v>
      </c>
      <c r="I1445" s="1429" t="s">
        <v>1013</v>
      </c>
      <c r="J1445" s="2196">
        <v>16.5</v>
      </c>
    </row>
    <row r="1446" spans="2:10" ht="13.5" thickBot="1" x14ac:dyDescent="0.25">
      <c r="B1446" s="392" t="str">
        <f t="shared" si="44"/>
        <v>Veterans - TEKOS Lambros</v>
      </c>
      <c r="C1446" s="1441" t="str">
        <f t="shared" si="45"/>
        <v>TEKOS Lambros</v>
      </c>
      <c r="D1446" s="1428" t="s">
        <v>9734</v>
      </c>
      <c r="E1446" s="1429">
        <v>260</v>
      </c>
      <c r="F1446" s="1430" t="s">
        <v>11193</v>
      </c>
      <c r="G1446" s="1431" t="s">
        <v>3096</v>
      </c>
      <c r="H1446" s="1430" t="s">
        <v>15175</v>
      </c>
      <c r="I1446" s="1429" t="s">
        <v>1025</v>
      </c>
      <c r="J1446" s="2196">
        <v>16.5</v>
      </c>
    </row>
    <row r="1447" spans="2:10" ht="13.5" thickBot="1" x14ac:dyDescent="0.25">
      <c r="B1447" s="392" t="str">
        <f t="shared" si="44"/>
        <v>Veterans - FLÉMAL André</v>
      </c>
      <c r="C1447" s="1441" t="str">
        <f t="shared" si="45"/>
        <v>FLÉMAL André</v>
      </c>
      <c r="D1447" s="1428" t="s">
        <v>9734</v>
      </c>
      <c r="E1447" s="1429">
        <v>262</v>
      </c>
      <c r="F1447" s="1430" t="s">
        <v>18176</v>
      </c>
      <c r="G1447" s="1431" t="s">
        <v>3175</v>
      </c>
      <c r="H1447" s="1430" t="s">
        <v>15816</v>
      </c>
      <c r="I1447" s="1429" t="s">
        <v>990</v>
      </c>
      <c r="J1447" s="2196">
        <v>16</v>
      </c>
    </row>
    <row r="1448" spans="2:10" ht="13.5" thickBot="1" x14ac:dyDescent="0.25">
      <c r="B1448" s="392" t="str">
        <f t="shared" si="44"/>
        <v>Veterans - MARABELLO Dario</v>
      </c>
      <c r="C1448" s="1441" t="str">
        <f t="shared" si="45"/>
        <v>MARABELLO Dario</v>
      </c>
      <c r="D1448" s="1428" t="s">
        <v>9734</v>
      </c>
      <c r="E1448" s="1429">
        <v>262</v>
      </c>
      <c r="F1448" s="1430" t="s">
        <v>14998</v>
      </c>
      <c r="G1448" s="1431" t="s">
        <v>3372</v>
      </c>
      <c r="H1448" s="1430" t="s">
        <v>13593</v>
      </c>
      <c r="I1448" s="1429" t="s">
        <v>1037</v>
      </c>
      <c r="J1448" s="2196">
        <v>16</v>
      </c>
    </row>
    <row r="1449" spans="2:10" ht="13.5" thickBot="1" x14ac:dyDescent="0.25">
      <c r="B1449" s="392" t="str">
        <f t="shared" si="44"/>
        <v>Veterans - JAILLET Laurent</v>
      </c>
      <c r="C1449" s="1441" t="str">
        <f t="shared" si="45"/>
        <v>JAILLET Laurent</v>
      </c>
      <c r="D1449" s="1428" t="s">
        <v>9734</v>
      </c>
      <c r="E1449" s="1429">
        <v>262</v>
      </c>
      <c r="F1449" s="1430" t="s">
        <v>11541</v>
      </c>
      <c r="G1449" s="1431" t="s">
        <v>3123</v>
      </c>
      <c r="H1449" s="1430" t="s">
        <v>15183</v>
      </c>
      <c r="I1449" s="1429" t="s">
        <v>1019</v>
      </c>
      <c r="J1449" s="2196">
        <v>16</v>
      </c>
    </row>
    <row r="1450" spans="2:10" ht="13.5" thickBot="1" x14ac:dyDescent="0.25">
      <c r="B1450" s="392" t="str">
        <f t="shared" si="44"/>
        <v>Veterans - AZZARO Arturo</v>
      </c>
      <c r="C1450" s="1441" t="str">
        <f t="shared" si="45"/>
        <v>AZZARO Arturo</v>
      </c>
      <c r="D1450" s="1428" t="s">
        <v>9734</v>
      </c>
      <c r="E1450" s="1429">
        <v>262</v>
      </c>
      <c r="F1450" s="1430" t="s">
        <v>14989</v>
      </c>
      <c r="G1450" s="1431" t="s">
        <v>3253</v>
      </c>
      <c r="H1450" s="1430" t="s">
        <v>2787</v>
      </c>
      <c r="I1450" s="1429" t="s">
        <v>1037</v>
      </c>
      <c r="J1450" s="2196">
        <v>16</v>
      </c>
    </row>
    <row r="1451" spans="2:10" ht="13.5" thickBot="1" x14ac:dyDescent="0.25">
      <c r="B1451" s="392" t="str">
        <f t="shared" si="44"/>
        <v>Veterans - SAUERWEIN Dieter</v>
      </c>
      <c r="C1451" s="1441" t="str">
        <f t="shared" si="45"/>
        <v>SAUERWEIN Dieter</v>
      </c>
      <c r="D1451" s="1428" t="s">
        <v>9734</v>
      </c>
      <c r="E1451" s="1429">
        <v>266</v>
      </c>
      <c r="F1451" s="1430" t="s">
        <v>14272</v>
      </c>
      <c r="G1451" s="1431" t="s">
        <v>3638</v>
      </c>
      <c r="H1451" s="1430" t="s">
        <v>9481</v>
      </c>
      <c r="I1451" s="1429" t="s">
        <v>1021</v>
      </c>
      <c r="J1451" s="2196">
        <v>15.5</v>
      </c>
    </row>
    <row r="1452" spans="2:10" ht="13.5" thickBot="1" x14ac:dyDescent="0.25">
      <c r="B1452" s="392" t="str">
        <f t="shared" si="44"/>
        <v>Veterans - MARTINEZ Manuel</v>
      </c>
      <c r="C1452" s="1441" t="str">
        <f t="shared" si="45"/>
        <v>MARTINEZ Manuel</v>
      </c>
      <c r="D1452" s="1428" t="s">
        <v>9734</v>
      </c>
      <c r="E1452" s="1429">
        <v>266</v>
      </c>
      <c r="F1452" s="1430" t="s">
        <v>3477</v>
      </c>
      <c r="G1452" s="1431" t="s">
        <v>3171</v>
      </c>
      <c r="H1452" s="1430" t="s">
        <v>9448</v>
      </c>
      <c r="I1452" s="1429" t="s">
        <v>1023</v>
      </c>
      <c r="J1452" s="2196">
        <v>15.5</v>
      </c>
    </row>
    <row r="1453" spans="2:10" ht="13.5" thickBot="1" x14ac:dyDescent="0.25">
      <c r="B1453" s="392" t="str">
        <f t="shared" si="44"/>
        <v>Veterans - BRESCIA Guido</v>
      </c>
      <c r="C1453" s="1441" t="str">
        <f t="shared" si="45"/>
        <v>BRESCIA Guido</v>
      </c>
      <c r="D1453" s="1428" t="s">
        <v>9734</v>
      </c>
      <c r="E1453" s="1429">
        <v>268</v>
      </c>
      <c r="F1453" s="1430" t="s">
        <v>16624</v>
      </c>
      <c r="G1453" s="1431" t="s">
        <v>6996</v>
      </c>
      <c r="H1453" s="1430" t="s">
        <v>16843</v>
      </c>
      <c r="I1453" s="1429" t="s">
        <v>1037</v>
      </c>
      <c r="J1453" s="2196">
        <v>15</v>
      </c>
    </row>
    <row r="1454" spans="2:10" ht="13.5" thickBot="1" x14ac:dyDescent="0.25">
      <c r="B1454" s="392" t="str">
        <f t="shared" si="44"/>
        <v>Veterans - GOSET Charles</v>
      </c>
      <c r="C1454" s="1441" t="str">
        <f t="shared" si="45"/>
        <v>GOSET Charles</v>
      </c>
      <c r="D1454" s="1428" t="s">
        <v>9734</v>
      </c>
      <c r="E1454" s="1429">
        <v>268</v>
      </c>
      <c r="F1454" s="1430" t="s">
        <v>3600</v>
      </c>
      <c r="G1454" s="1431" t="s">
        <v>3422</v>
      </c>
      <c r="H1454" s="1430" t="s">
        <v>10250</v>
      </c>
      <c r="I1454" s="1429" t="s">
        <v>990</v>
      </c>
      <c r="J1454" s="2196">
        <v>15</v>
      </c>
    </row>
    <row r="1455" spans="2:10" ht="13.5" thickBot="1" x14ac:dyDescent="0.25">
      <c r="B1455" s="392" t="str">
        <f t="shared" si="44"/>
        <v>Veterans - PACITTI Stefano</v>
      </c>
      <c r="C1455" s="1441" t="str">
        <f t="shared" si="45"/>
        <v>PACITTI Stefano</v>
      </c>
      <c r="D1455" s="1428" t="s">
        <v>9734</v>
      </c>
      <c r="E1455" s="1429">
        <v>268</v>
      </c>
      <c r="F1455" s="1430" t="s">
        <v>14161</v>
      </c>
      <c r="G1455" s="1431" t="s">
        <v>3062</v>
      </c>
      <c r="H1455" s="1430" t="s">
        <v>11328</v>
      </c>
      <c r="I1455" s="1429" t="s">
        <v>1037</v>
      </c>
      <c r="J1455" s="2196">
        <v>15</v>
      </c>
    </row>
    <row r="1456" spans="2:10" ht="13.5" thickBot="1" x14ac:dyDescent="0.25">
      <c r="B1456" s="392" t="str">
        <f t="shared" si="44"/>
        <v>Veterans - KAZANTZOGLOU Charalampos</v>
      </c>
      <c r="C1456" s="1441" t="str">
        <f t="shared" si="45"/>
        <v>KAZANTZOGLOU Charalampos</v>
      </c>
      <c r="D1456" s="1428" t="s">
        <v>9734</v>
      </c>
      <c r="E1456" s="1429">
        <v>268</v>
      </c>
      <c r="F1456" s="1430" t="s">
        <v>16653</v>
      </c>
      <c r="G1456" s="1431" t="s">
        <v>8247</v>
      </c>
      <c r="H1456" s="1430" t="s">
        <v>13590</v>
      </c>
      <c r="I1456" s="1429" t="s">
        <v>1025</v>
      </c>
      <c r="J1456" s="2196">
        <v>15</v>
      </c>
    </row>
    <row r="1457" spans="2:10" ht="13.5" thickBot="1" x14ac:dyDescent="0.25">
      <c r="B1457" s="392" t="str">
        <f t="shared" si="44"/>
        <v>Veterans - BOULANGER Richard</v>
      </c>
      <c r="C1457" s="1441" t="str">
        <f t="shared" si="45"/>
        <v>BOULANGER Richard</v>
      </c>
      <c r="D1457" s="1428" t="s">
        <v>9734</v>
      </c>
      <c r="E1457" s="1429">
        <v>268</v>
      </c>
      <c r="F1457" s="1430" t="s">
        <v>3348</v>
      </c>
      <c r="G1457" s="1431" t="s">
        <v>3219</v>
      </c>
      <c r="H1457" s="1430" t="s">
        <v>10252</v>
      </c>
      <c r="I1457" s="1429" t="s">
        <v>990</v>
      </c>
      <c r="J1457" s="2196">
        <v>15</v>
      </c>
    </row>
    <row r="1458" spans="2:10" ht="13.5" thickBot="1" x14ac:dyDescent="0.25">
      <c r="B1458" s="392" t="str">
        <f t="shared" si="44"/>
        <v>Veterans - STOTO Mattia</v>
      </c>
      <c r="C1458" s="1441" t="str">
        <f t="shared" si="45"/>
        <v>STOTO Mattia</v>
      </c>
      <c r="D1458" s="1428" t="s">
        <v>9734</v>
      </c>
      <c r="E1458" s="1429">
        <v>268</v>
      </c>
      <c r="F1458" s="1430" t="s">
        <v>16754</v>
      </c>
      <c r="G1458" s="1431" t="s">
        <v>3228</v>
      </c>
      <c r="H1458" s="1430" t="s">
        <v>10269</v>
      </c>
      <c r="I1458" s="1429" t="s">
        <v>1037</v>
      </c>
      <c r="J1458" s="2196">
        <v>15</v>
      </c>
    </row>
    <row r="1459" spans="2:10" ht="13.5" thickBot="1" x14ac:dyDescent="0.25">
      <c r="B1459" s="392" t="str">
        <f t="shared" si="44"/>
        <v>Veterans - STAMOULIS Vasilios</v>
      </c>
      <c r="C1459" s="1441" t="str">
        <f t="shared" si="45"/>
        <v>STAMOULIS Vasilios</v>
      </c>
      <c r="D1459" s="1428" t="s">
        <v>9734</v>
      </c>
      <c r="E1459" s="1429">
        <v>268</v>
      </c>
      <c r="F1459" s="1430" t="s">
        <v>14992</v>
      </c>
      <c r="G1459" s="1431" t="s">
        <v>5511</v>
      </c>
      <c r="H1459" s="1430" t="s">
        <v>3213</v>
      </c>
      <c r="I1459" s="1429" t="s">
        <v>1025</v>
      </c>
      <c r="J1459" s="2196">
        <v>15</v>
      </c>
    </row>
    <row r="1460" spans="2:10" ht="13.5" thickBot="1" x14ac:dyDescent="0.25">
      <c r="B1460" s="392" t="str">
        <f t="shared" si="44"/>
        <v>Veterans - IANNIELLO Antonio</v>
      </c>
      <c r="C1460" s="1441" t="str">
        <f t="shared" si="45"/>
        <v>IANNIELLO Antonio</v>
      </c>
      <c r="D1460" s="1428" t="s">
        <v>9734</v>
      </c>
      <c r="E1460" s="1429">
        <v>268</v>
      </c>
      <c r="F1460" s="1430" t="s">
        <v>18177</v>
      </c>
      <c r="G1460" s="1431" t="s">
        <v>3341</v>
      </c>
      <c r="H1460" s="1430" t="s">
        <v>7881</v>
      </c>
      <c r="I1460" s="1429" t="s">
        <v>1037</v>
      </c>
      <c r="J1460" s="2196">
        <v>15</v>
      </c>
    </row>
    <row r="1461" spans="2:10" ht="13.5" thickBot="1" x14ac:dyDescent="0.25">
      <c r="B1461" s="392" t="str">
        <f t="shared" si="44"/>
        <v>Veterans - MEO Felice</v>
      </c>
      <c r="C1461" s="1441" t="str">
        <f t="shared" si="45"/>
        <v>MEO Felice</v>
      </c>
      <c r="D1461" s="1428" t="s">
        <v>9734</v>
      </c>
      <c r="E1461" s="1429">
        <v>268</v>
      </c>
      <c r="F1461" s="1430" t="s">
        <v>18178</v>
      </c>
      <c r="G1461" s="1431" t="s">
        <v>3712</v>
      </c>
      <c r="H1461" s="1430" t="s">
        <v>7881</v>
      </c>
      <c r="I1461" s="1429" t="s">
        <v>1037</v>
      </c>
      <c r="J1461" s="2196">
        <v>15</v>
      </c>
    </row>
    <row r="1462" spans="2:10" ht="13.5" thickBot="1" x14ac:dyDescent="0.25">
      <c r="B1462" s="392" t="str">
        <f t="shared" si="44"/>
        <v>Veterans - VRANOVITZ Karl</v>
      </c>
      <c r="C1462" s="1441" t="str">
        <f t="shared" si="45"/>
        <v>VRANOVITZ Karl</v>
      </c>
      <c r="D1462" s="1428" t="s">
        <v>9734</v>
      </c>
      <c r="E1462" s="1429">
        <v>268</v>
      </c>
      <c r="F1462" s="1430" t="s">
        <v>3701</v>
      </c>
      <c r="G1462" s="1431" t="s">
        <v>3685</v>
      </c>
      <c r="H1462" s="1430" t="s">
        <v>2748</v>
      </c>
      <c r="I1462" s="1429" t="s">
        <v>988</v>
      </c>
      <c r="J1462" s="2196">
        <v>15</v>
      </c>
    </row>
    <row r="1463" spans="2:10" ht="13.5" thickBot="1" x14ac:dyDescent="0.25">
      <c r="B1463" s="392" t="str">
        <f t="shared" si="44"/>
        <v>Veterans - BIANCHI Pierluigi</v>
      </c>
      <c r="C1463" s="1441" t="str">
        <f t="shared" si="45"/>
        <v>BIANCHI Pierluigi</v>
      </c>
      <c r="D1463" s="1428" t="s">
        <v>9734</v>
      </c>
      <c r="E1463" s="1429">
        <v>278</v>
      </c>
      <c r="F1463" s="1430" t="s">
        <v>14281</v>
      </c>
      <c r="G1463" s="1431" t="s">
        <v>3549</v>
      </c>
      <c r="H1463" s="1430" t="s">
        <v>13312</v>
      </c>
      <c r="I1463" s="1429" t="s">
        <v>1037</v>
      </c>
      <c r="J1463" s="2196">
        <v>14.5</v>
      </c>
    </row>
    <row r="1464" spans="2:10" ht="13.5" thickBot="1" x14ac:dyDescent="0.25">
      <c r="B1464" s="392" t="str">
        <f t="shared" si="44"/>
        <v>Veterans - CHRISTOPHER Jason</v>
      </c>
      <c r="C1464" s="1441" t="str">
        <f t="shared" si="45"/>
        <v>CHRISTOPHER Jason</v>
      </c>
      <c r="D1464" s="1428" t="s">
        <v>9734</v>
      </c>
      <c r="E1464" s="1429">
        <v>278</v>
      </c>
      <c r="F1464" s="1430" t="s">
        <v>11536</v>
      </c>
      <c r="G1464" s="1431" t="s">
        <v>3297</v>
      </c>
      <c r="H1464" s="1430" t="s">
        <v>14399</v>
      </c>
      <c r="I1464" s="1429" t="s">
        <v>1013</v>
      </c>
      <c r="J1464" s="2196">
        <v>14.5</v>
      </c>
    </row>
    <row r="1465" spans="2:10" ht="13.5" thickBot="1" x14ac:dyDescent="0.25">
      <c r="B1465" s="392" t="str">
        <f t="shared" si="44"/>
        <v>Veterans - MASILE Antonio</v>
      </c>
      <c r="C1465" s="1441" t="str">
        <f t="shared" si="45"/>
        <v>MASILE Antonio</v>
      </c>
      <c r="D1465" s="1428" t="s">
        <v>9734</v>
      </c>
      <c r="E1465" s="1429">
        <v>280</v>
      </c>
      <c r="F1465" s="1430" t="s">
        <v>16626</v>
      </c>
      <c r="G1465" s="1431" t="s">
        <v>3341</v>
      </c>
      <c r="H1465" s="1430" t="s">
        <v>7876</v>
      </c>
      <c r="I1465" s="1429" t="s">
        <v>1037</v>
      </c>
      <c r="J1465" s="2196">
        <v>14</v>
      </c>
    </row>
    <row r="1466" spans="2:10" ht="13.5" thickBot="1" x14ac:dyDescent="0.25">
      <c r="B1466" s="392" t="str">
        <f t="shared" si="44"/>
        <v>Veterans - VLASOV Andrey</v>
      </c>
      <c r="C1466" s="1441" t="str">
        <f t="shared" si="45"/>
        <v>VLASOV Andrey</v>
      </c>
      <c r="D1466" s="1428" t="s">
        <v>9734</v>
      </c>
      <c r="E1466" s="1429">
        <v>280</v>
      </c>
      <c r="F1466" s="1430" t="s">
        <v>14243</v>
      </c>
      <c r="G1466" s="1431" t="s">
        <v>8869</v>
      </c>
      <c r="H1466" s="1430" t="s">
        <v>11532</v>
      </c>
      <c r="I1466" s="1429" t="s">
        <v>1065</v>
      </c>
      <c r="J1466" s="2196">
        <v>14</v>
      </c>
    </row>
    <row r="1467" spans="2:10" ht="13.5" thickBot="1" x14ac:dyDescent="0.25">
      <c r="B1467" s="392" t="str">
        <f t="shared" si="44"/>
        <v>Veterans - PERAZZO Marco</v>
      </c>
      <c r="C1467" s="1441" t="str">
        <f t="shared" si="45"/>
        <v>PERAZZO Marco</v>
      </c>
      <c r="D1467" s="1428" t="s">
        <v>9734</v>
      </c>
      <c r="E1467" s="1429">
        <v>280</v>
      </c>
      <c r="F1467" s="1430" t="s">
        <v>3419</v>
      </c>
      <c r="G1467" s="1431" t="s">
        <v>3109</v>
      </c>
      <c r="H1467" s="1430" t="s">
        <v>2761</v>
      </c>
      <c r="I1467" s="1429" t="s">
        <v>1037</v>
      </c>
      <c r="J1467" s="2196">
        <v>14</v>
      </c>
    </row>
    <row r="1468" spans="2:10" ht="13.5" thickBot="1" x14ac:dyDescent="0.25">
      <c r="B1468" s="392" t="str">
        <f t="shared" si="44"/>
        <v>Veterans - SILVA Luís Filipe</v>
      </c>
      <c r="C1468" s="1441" t="str">
        <f t="shared" si="45"/>
        <v>SILVA Luís Filipe</v>
      </c>
      <c r="D1468" s="1428" t="s">
        <v>9734</v>
      </c>
      <c r="E1468" s="1429">
        <v>280</v>
      </c>
      <c r="F1468" s="1430" t="s">
        <v>14208</v>
      </c>
      <c r="G1468" s="1431" t="s">
        <v>3535</v>
      </c>
      <c r="H1468" s="1430" t="s">
        <v>15138</v>
      </c>
      <c r="I1468" s="1429" t="s">
        <v>1061</v>
      </c>
      <c r="J1468" s="2196">
        <v>14</v>
      </c>
    </row>
    <row r="1469" spans="2:10" ht="13.5" thickBot="1" x14ac:dyDescent="0.25">
      <c r="B1469" s="392" t="str">
        <f t="shared" si="44"/>
        <v>Veterans - GEORGE Steve</v>
      </c>
      <c r="C1469" s="1441" t="str">
        <f t="shared" si="45"/>
        <v>GEORGE Steve</v>
      </c>
      <c r="D1469" s="1428" t="s">
        <v>9734</v>
      </c>
      <c r="E1469" s="1429">
        <v>284</v>
      </c>
      <c r="F1469" s="1430" t="s">
        <v>16756</v>
      </c>
      <c r="G1469" s="1431" t="s">
        <v>3088</v>
      </c>
      <c r="H1469" s="1430" t="s">
        <v>17082</v>
      </c>
      <c r="I1469" s="1429" t="s">
        <v>1013</v>
      </c>
      <c r="J1469" s="2196">
        <v>13.5</v>
      </c>
    </row>
    <row r="1470" spans="2:10" ht="13.5" thickBot="1" x14ac:dyDescent="0.25">
      <c r="B1470" s="392" t="str">
        <f t="shared" si="44"/>
        <v>Veterans - VOLPI Giovanni</v>
      </c>
      <c r="C1470" s="1441" t="str">
        <f t="shared" si="45"/>
        <v>VOLPI Giovanni</v>
      </c>
      <c r="D1470" s="1428" t="s">
        <v>9734</v>
      </c>
      <c r="E1470" s="1429">
        <v>284</v>
      </c>
      <c r="F1470" s="1430" t="s">
        <v>14290</v>
      </c>
      <c r="G1470" s="1431" t="s">
        <v>3371</v>
      </c>
      <c r="H1470" s="1430" t="s">
        <v>7873</v>
      </c>
      <c r="I1470" s="1429" t="s">
        <v>1037</v>
      </c>
      <c r="J1470" s="2196">
        <v>13.5</v>
      </c>
    </row>
    <row r="1471" spans="2:10" ht="13.5" thickBot="1" x14ac:dyDescent="0.25">
      <c r="B1471" s="392" t="str">
        <f t="shared" si="44"/>
        <v>Veterans - HODDS Martin</v>
      </c>
      <c r="C1471" s="1441" t="str">
        <f t="shared" si="45"/>
        <v>HODDS Martin</v>
      </c>
      <c r="D1471" s="1428" t="s">
        <v>9734</v>
      </c>
      <c r="E1471" s="1429">
        <v>284</v>
      </c>
      <c r="F1471" s="1430" t="s">
        <v>3407</v>
      </c>
      <c r="G1471" s="1431" t="s">
        <v>3408</v>
      </c>
      <c r="H1471" s="1430" t="s">
        <v>15274</v>
      </c>
      <c r="I1471" s="1429" t="s">
        <v>1013</v>
      </c>
      <c r="J1471" s="2196">
        <v>13.5</v>
      </c>
    </row>
    <row r="1472" spans="2:10" ht="13.5" thickBot="1" x14ac:dyDescent="0.25">
      <c r="B1472" s="392" t="str">
        <f t="shared" si="44"/>
        <v>Veterans - HAMBROUCK Marc</v>
      </c>
      <c r="C1472" s="1441" t="str">
        <f t="shared" si="45"/>
        <v>HAMBROUCK Marc</v>
      </c>
      <c r="D1472" s="1428" t="s">
        <v>9734</v>
      </c>
      <c r="E1472" s="1429">
        <v>287</v>
      </c>
      <c r="F1472" s="1430" t="s">
        <v>18179</v>
      </c>
      <c r="G1472" s="1431" t="s">
        <v>3208</v>
      </c>
      <c r="H1472" s="1430" t="s">
        <v>15816</v>
      </c>
      <c r="I1472" s="1429" t="s">
        <v>990</v>
      </c>
      <c r="J1472" s="2196">
        <v>12</v>
      </c>
    </row>
    <row r="1473" spans="2:10" ht="13.5" thickBot="1" x14ac:dyDescent="0.25">
      <c r="B1473" s="392" t="str">
        <f t="shared" si="44"/>
        <v>Veterans - GALEAZZI Gianluca</v>
      </c>
      <c r="C1473" s="1441" t="str">
        <f t="shared" si="45"/>
        <v>GALEAZZI Gianluca</v>
      </c>
      <c r="D1473" s="1428" t="s">
        <v>9734</v>
      </c>
      <c r="E1473" s="1429">
        <v>287</v>
      </c>
      <c r="F1473" s="1430" t="s">
        <v>16872</v>
      </c>
      <c r="G1473" s="1431" t="s">
        <v>3369</v>
      </c>
      <c r="H1473" s="1430" t="s">
        <v>2765</v>
      </c>
      <c r="I1473" s="1429" t="s">
        <v>1037</v>
      </c>
      <c r="J1473" s="2196">
        <v>12</v>
      </c>
    </row>
    <row r="1474" spans="2:10" ht="13.5" thickBot="1" x14ac:dyDescent="0.25">
      <c r="B1474" s="392" t="str">
        <f t="shared" si="44"/>
        <v>Veterans - BOIGEOL Alban</v>
      </c>
      <c r="C1474" s="1441" t="str">
        <f t="shared" si="45"/>
        <v>BOIGEOL Alban</v>
      </c>
      <c r="D1474" s="1428" t="s">
        <v>9734</v>
      </c>
      <c r="E1474" s="1429">
        <v>287</v>
      </c>
      <c r="F1474" s="1430" t="s">
        <v>16652</v>
      </c>
      <c r="G1474" s="1431" t="s">
        <v>15259</v>
      </c>
      <c r="H1474" s="1430" t="s">
        <v>13838</v>
      </c>
      <c r="I1474" s="1429" t="s">
        <v>1019</v>
      </c>
      <c r="J1474" s="2196">
        <v>12</v>
      </c>
    </row>
    <row r="1475" spans="2:10" ht="13.5" thickBot="1" x14ac:dyDescent="0.25">
      <c r="B1475" s="392" t="str">
        <f t="shared" si="44"/>
        <v>Veterans - ATTARD Walter Joseph</v>
      </c>
      <c r="C1475" s="1441" t="str">
        <f t="shared" si="45"/>
        <v>ATTARD Walter Joseph</v>
      </c>
      <c r="D1475" s="1428" t="s">
        <v>9734</v>
      </c>
      <c r="E1475" s="1429">
        <v>287</v>
      </c>
      <c r="F1475" s="1430" t="s">
        <v>11194</v>
      </c>
      <c r="G1475" s="1431" t="s">
        <v>10961</v>
      </c>
      <c r="H1475" s="1430" t="s">
        <v>11331</v>
      </c>
      <c r="I1475" s="1429" t="s">
        <v>1045</v>
      </c>
      <c r="J1475" s="2196">
        <v>12</v>
      </c>
    </row>
    <row r="1476" spans="2:10" ht="13.5" thickBot="1" x14ac:dyDescent="0.25">
      <c r="B1476" s="392" t="str">
        <f t="shared" si="44"/>
        <v>Veterans - MANDARAKAS Nikos</v>
      </c>
      <c r="C1476" s="1441" t="str">
        <f t="shared" si="45"/>
        <v>MANDARAKAS Nikos</v>
      </c>
      <c r="D1476" s="1428" t="s">
        <v>9734</v>
      </c>
      <c r="E1476" s="1429">
        <v>287</v>
      </c>
      <c r="F1476" s="1430" t="s">
        <v>18180</v>
      </c>
      <c r="G1476" s="1431" t="s">
        <v>13294</v>
      </c>
      <c r="H1476" s="1430" t="s">
        <v>14600</v>
      </c>
      <c r="I1476" s="1429" t="s">
        <v>1025</v>
      </c>
      <c r="J1476" s="2196">
        <v>12</v>
      </c>
    </row>
    <row r="1477" spans="2:10" ht="13.5" thickBot="1" x14ac:dyDescent="0.25">
      <c r="B1477" s="392" t="str">
        <f t="shared" si="44"/>
        <v>Veterans - CURRÒ Salvatore</v>
      </c>
      <c r="C1477" s="1441" t="str">
        <f t="shared" si="45"/>
        <v>CURRÒ Salvatore</v>
      </c>
      <c r="D1477" s="1428" t="s">
        <v>9734</v>
      </c>
      <c r="E1477" s="1429">
        <v>287</v>
      </c>
      <c r="F1477" s="1430" t="s">
        <v>14289</v>
      </c>
      <c r="G1477" s="1431" t="s">
        <v>3265</v>
      </c>
      <c r="H1477" s="1430" t="s">
        <v>13593</v>
      </c>
      <c r="I1477" s="1429" t="s">
        <v>1037</v>
      </c>
      <c r="J1477" s="2196">
        <v>12</v>
      </c>
    </row>
    <row r="1478" spans="2:10" ht="13.5" thickBot="1" x14ac:dyDescent="0.25">
      <c r="B1478" s="392" t="str">
        <f t="shared" si="44"/>
        <v>Veterans - DE PASCALE Vittorio</v>
      </c>
      <c r="C1478" s="1441" t="str">
        <f t="shared" si="45"/>
        <v>DE PASCALE Vittorio</v>
      </c>
      <c r="D1478" s="1428" t="s">
        <v>9734</v>
      </c>
      <c r="E1478" s="1429">
        <v>287</v>
      </c>
      <c r="F1478" s="1430" t="s">
        <v>16873</v>
      </c>
      <c r="G1478" s="1431" t="s">
        <v>3613</v>
      </c>
      <c r="H1478" s="1430" t="s">
        <v>13596</v>
      </c>
      <c r="I1478" s="1429" t="s">
        <v>1037</v>
      </c>
      <c r="J1478" s="2196">
        <v>12</v>
      </c>
    </row>
    <row r="1479" spans="2:10" ht="13.5" thickBot="1" x14ac:dyDescent="0.25">
      <c r="B1479" s="392" t="str">
        <f t="shared" ref="B1479:B1542" si="46">CONCATENATE(D1479," - ",C1479)</f>
        <v>Veterans - WONNACOTT Stephen</v>
      </c>
      <c r="C1479" s="1441" t="str">
        <f t="shared" ref="C1479:C1542" si="47">CONCATENATE(UPPER(F1479)," ",G1479)</f>
        <v>WONNACOTT Stephen</v>
      </c>
      <c r="D1479" s="1428" t="s">
        <v>9734</v>
      </c>
      <c r="E1479" s="1429">
        <v>287</v>
      </c>
      <c r="F1479" s="1430" t="s">
        <v>16640</v>
      </c>
      <c r="G1479" s="1431" t="s">
        <v>3280</v>
      </c>
      <c r="H1479" s="1430" t="s">
        <v>17082</v>
      </c>
      <c r="I1479" s="1429" t="s">
        <v>1013</v>
      </c>
      <c r="J1479" s="2196">
        <v>12</v>
      </c>
    </row>
    <row r="1480" spans="2:10" ht="13.5" thickBot="1" x14ac:dyDescent="0.25">
      <c r="B1480" s="392" t="str">
        <f t="shared" si="46"/>
        <v>Veterans - BONFANTE Pietro</v>
      </c>
      <c r="C1480" s="1441" t="str">
        <f t="shared" si="47"/>
        <v>BONFANTE Pietro</v>
      </c>
      <c r="D1480" s="1428" t="s">
        <v>9734</v>
      </c>
      <c r="E1480" s="1429">
        <v>287</v>
      </c>
      <c r="F1480" s="1430" t="s">
        <v>3273</v>
      </c>
      <c r="G1480" s="1431" t="s">
        <v>3233</v>
      </c>
      <c r="H1480" s="1430" t="s">
        <v>7867</v>
      </c>
      <c r="I1480" s="1429" t="s">
        <v>1037</v>
      </c>
      <c r="J1480" s="2196">
        <v>12</v>
      </c>
    </row>
    <row r="1481" spans="2:10" ht="13.5" thickBot="1" x14ac:dyDescent="0.25">
      <c r="B1481" s="392" t="str">
        <f t="shared" si="46"/>
        <v>Veterans - GENTILE Antonio</v>
      </c>
      <c r="C1481" s="1441" t="str">
        <f t="shared" si="47"/>
        <v>GENTILE Antonio</v>
      </c>
      <c r="D1481" s="1428" t="s">
        <v>9734</v>
      </c>
      <c r="E1481" s="1429">
        <v>287</v>
      </c>
      <c r="F1481" s="1430" t="s">
        <v>16592</v>
      </c>
      <c r="G1481" s="1431" t="s">
        <v>3341</v>
      </c>
      <c r="H1481" s="1430" t="s">
        <v>10271</v>
      </c>
      <c r="I1481" s="1429" t="s">
        <v>1037</v>
      </c>
      <c r="J1481" s="2196">
        <v>12</v>
      </c>
    </row>
    <row r="1482" spans="2:10" ht="13.5" thickBot="1" x14ac:dyDescent="0.25">
      <c r="B1482" s="392" t="str">
        <f t="shared" si="46"/>
        <v>Veterans - ARET Xavier</v>
      </c>
      <c r="C1482" s="1441" t="str">
        <f t="shared" si="47"/>
        <v>ARET Xavier</v>
      </c>
      <c r="D1482" s="1428" t="s">
        <v>9734</v>
      </c>
      <c r="E1482" s="1429">
        <v>287</v>
      </c>
      <c r="F1482" s="1430" t="s">
        <v>16764</v>
      </c>
      <c r="G1482" s="1431" t="s">
        <v>3295</v>
      </c>
      <c r="H1482" s="1430" t="s">
        <v>7184</v>
      </c>
      <c r="I1482" s="1429" t="s">
        <v>1051</v>
      </c>
      <c r="J1482" s="2196">
        <v>12</v>
      </c>
    </row>
    <row r="1483" spans="2:10" ht="13.5" thickBot="1" x14ac:dyDescent="0.25">
      <c r="B1483" s="392" t="str">
        <f t="shared" si="46"/>
        <v>Veterans - RISCARDI Sergio</v>
      </c>
      <c r="C1483" s="1441" t="str">
        <f t="shared" si="47"/>
        <v>RISCARDI Sergio</v>
      </c>
      <c r="D1483" s="1428" t="s">
        <v>9734</v>
      </c>
      <c r="E1483" s="1429">
        <v>287</v>
      </c>
      <c r="F1483" s="1430" t="s">
        <v>16874</v>
      </c>
      <c r="G1483" s="1431" t="s">
        <v>3064</v>
      </c>
      <c r="H1483" s="1430" t="s">
        <v>16483</v>
      </c>
      <c r="I1483" s="1429" t="s">
        <v>1037</v>
      </c>
      <c r="J1483" s="2196">
        <v>12</v>
      </c>
    </row>
    <row r="1484" spans="2:10" ht="13.5" thickBot="1" x14ac:dyDescent="0.25">
      <c r="B1484" s="392" t="str">
        <f t="shared" si="46"/>
        <v>Veterans - CIPULAT Emanuele</v>
      </c>
      <c r="C1484" s="1441" t="str">
        <f t="shared" si="47"/>
        <v>CIPULAT Emanuele</v>
      </c>
      <c r="D1484" s="1428" t="s">
        <v>9734</v>
      </c>
      <c r="E1484" s="1429">
        <v>287</v>
      </c>
      <c r="F1484" s="1430" t="s">
        <v>16763</v>
      </c>
      <c r="G1484" s="1431" t="s">
        <v>3085</v>
      </c>
      <c r="H1484" s="1430" t="s">
        <v>13312</v>
      </c>
      <c r="I1484" s="1429" t="s">
        <v>1037</v>
      </c>
      <c r="J1484" s="2196">
        <v>12</v>
      </c>
    </row>
    <row r="1485" spans="2:10" ht="13.5" thickBot="1" x14ac:dyDescent="0.25">
      <c r="B1485" s="392" t="str">
        <f t="shared" si="46"/>
        <v>Veterans - EVANGELISTI Stefano</v>
      </c>
      <c r="C1485" s="1441" t="str">
        <f t="shared" si="47"/>
        <v>EVANGELISTI Stefano</v>
      </c>
      <c r="D1485" s="1428" t="s">
        <v>9734</v>
      </c>
      <c r="E1485" s="1429">
        <v>287</v>
      </c>
      <c r="F1485" s="1430" t="s">
        <v>14920</v>
      </c>
      <c r="G1485" s="1431" t="s">
        <v>3062</v>
      </c>
      <c r="H1485" s="1430" t="s">
        <v>2749</v>
      </c>
      <c r="I1485" s="1429" t="s">
        <v>1037</v>
      </c>
      <c r="J1485" s="2196">
        <v>12</v>
      </c>
    </row>
    <row r="1486" spans="2:10" ht="13.5" thickBot="1" x14ac:dyDescent="0.25">
      <c r="B1486" s="392" t="str">
        <f t="shared" si="46"/>
        <v>Veterans - MONTEFIORI Stefano</v>
      </c>
      <c r="C1486" s="1441" t="str">
        <f t="shared" si="47"/>
        <v>MONTEFIORI Stefano</v>
      </c>
      <c r="D1486" s="1428" t="s">
        <v>9734</v>
      </c>
      <c r="E1486" s="1429">
        <v>287</v>
      </c>
      <c r="F1486" s="1430" t="s">
        <v>3531</v>
      </c>
      <c r="G1486" s="1431" t="s">
        <v>3062</v>
      </c>
      <c r="H1486" s="1430" t="s">
        <v>2782</v>
      </c>
      <c r="I1486" s="1429" t="s">
        <v>1037</v>
      </c>
      <c r="J1486" s="2196">
        <v>12</v>
      </c>
    </row>
    <row r="1487" spans="2:10" ht="13.5" thickBot="1" x14ac:dyDescent="0.25">
      <c r="B1487" s="392" t="str">
        <f t="shared" si="46"/>
        <v>Veterans - DALEY Brian</v>
      </c>
      <c r="C1487" s="1441" t="str">
        <f t="shared" si="47"/>
        <v>DALEY Brian</v>
      </c>
      <c r="D1487" s="1428" t="s">
        <v>9734</v>
      </c>
      <c r="E1487" s="1429">
        <v>287</v>
      </c>
      <c r="F1487" s="1430" t="s">
        <v>3603</v>
      </c>
      <c r="G1487" s="1431" t="s">
        <v>3195</v>
      </c>
      <c r="H1487" s="1430" t="s">
        <v>15274</v>
      </c>
      <c r="I1487" s="1429" t="s">
        <v>1013</v>
      </c>
      <c r="J1487" s="2196">
        <v>12</v>
      </c>
    </row>
    <row r="1488" spans="2:10" ht="13.5" thickBot="1" x14ac:dyDescent="0.25">
      <c r="B1488" s="392" t="str">
        <f t="shared" si="46"/>
        <v>Veterans - HANOTIAUX Alain</v>
      </c>
      <c r="C1488" s="1441" t="str">
        <f t="shared" si="47"/>
        <v>HANOTIAUX Alain</v>
      </c>
      <c r="D1488" s="1428" t="s">
        <v>9734</v>
      </c>
      <c r="E1488" s="1429">
        <v>287</v>
      </c>
      <c r="F1488" s="1430" t="s">
        <v>17626</v>
      </c>
      <c r="G1488" s="1431" t="s">
        <v>17505</v>
      </c>
      <c r="H1488" s="1430" t="s">
        <v>2746</v>
      </c>
      <c r="I1488" s="1429" t="s">
        <v>990</v>
      </c>
      <c r="J1488" s="2196">
        <v>12</v>
      </c>
    </row>
    <row r="1489" spans="2:10" ht="13.5" thickBot="1" x14ac:dyDescent="0.25">
      <c r="B1489" s="392" t="str">
        <f t="shared" si="46"/>
        <v>Veterans - SERGI Giulio</v>
      </c>
      <c r="C1489" s="1441" t="str">
        <f t="shared" si="47"/>
        <v>SERGI Giulio</v>
      </c>
      <c r="D1489" s="1428" t="s">
        <v>9734</v>
      </c>
      <c r="E1489" s="1429">
        <v>287</v>
      </c>
      <c r="F1489" s="1430" t="s">
        <v>14287</v>
      </c>
      <c r="G1489" s="1431" t="s">
        <v>3583</v>
      </c>
      <c r="H1489" s="1430" t="s">
        <v>16490</v>
      </c>
      <c r="I1489" s="1429" t="s">
        <v>1037</v>
      </c>
      <c r="J1489" s="2196">
        <v>12</v>
      </c>
    </row>
    <row r="1490" spans="2:10" ht="13.5" thickBot="1" x14ac:dyDescent="0.25">
      <c r="B1490" s="392" t="str">
        <f t="shared" si="46"/>
        <v>Veterans - FUSEAU Christophe</v>
      </c>
      <c r="C1490" s="1441" t="str">
        <f t="shared" si="47"/>
        <v>FUSEAU Christophe</v>
      </c>
      <c r="D1490" s="1428" t="s">
        <v>9734</v>
      </c>
      <c r="E1490" s="1429">
        <v>287</v>
      </c>
      <c r="F1490" s="1430" t="s">
        <v>18181</v>
      </c>
      <c r="G1490" s="1431" t="s">
        <v>3012</v>
      </c>
      <c r="H1490" s="1430" t="s">
        <v>2796</v>
      </c>
      <c r="I1490" s="1429" t="s">
        <v>1019</v>
      </c>
      <c r="J1490" s="2196">
        <v>12</v>
      </c>
    </row>
    <row r="1491" spans="2:10" ht="13.5" thickBot="1" x14ac:dyDescent="0.25">
      <c r="B1491" s="392" t="str">
        <f t="shared" si="46"/>
        <v>Veterans - BASILE Giuseppe</v>
      </c>
      <c r="C1491" s="1441" t="str">
        <f t="shared" si="47"/>
        <v>BASILE Giuseppe</v>
      </c>
      <c r="D1491" s="1428" t="s">
        <v>9734</v>
      </c>
      <c r="E1491" s="1429">
        <v>287</v>
      </c>
      <c r="F1491" s="1430" t="s">
        <v>14288</v>
      </c>
      <c r="G1491" s="1431" t="s">
        <v>3122</v>
      </c>
      <c r="H1491" s="1430" t="s">
        <v>13593</v>
      </c>
      <c r="I1491" s="1429" t="s">
        <v>1037</v>
      </c>
      <c r="J1491" s="2196">
        <v>12</v>
      </c>
    </row>
    <row r="1492" spans="2:10" ht="13.5" thickBot="1" x14ac:dyDescent="0.25">
      <c r="B1492" s="392" t="str">
        <f t="shared" si="46"/>
        <v>Veterans - GUZZETTA Giuseppe</v>
      </c>
      <c r="C1492" s="1441" t="str">
        <f t="shared" si="47"/>
        <v>GUZZETTA Giuseppe</v>
      </c>
      <c r="D1492" s="1428" t="s">
        <v>9734</v>
      </c>
      <c r="E1492" s="1429">
        <v>287</v>
      </c>
      <c r="F1492" s="1430" t="s">
        <v>18182</v>
      </c>
      <c r="G1492" s="1431" t="s">
        <v>3122</v>
      </c>
      <c r="H1492" s="1430" t="s">
        <v>7872</v>
      </c>
      <c r="I1492" s="1429" t="s">
        <v>1037</v>
      </c>
      <c r="J1492" s="2196">
        <v>12</v>
      </c>
    </row>
    <row r="1493" spans="2:10" ht="13.5" thickBot="1" x14ac:dyDescent="0.25">
      <c r="B1493" s="392" t="str">
        <f t="shared" si="46"/>
        <v>Veterans - BENAND Eric</v>
      </c>
      <c r="C1493" s="1441" t="str">
        <f t="shared" si="47"/>
        <v>BENAND Eric</v>
      </c>
      <c r="D1493" s="1428" t="s">
        <v>9734</v>
      </c>
      <c r="E1493" s="1429">
        <v>308</v>
      </c>
      <c r="F1493" s="1430" t="s">
        <v>17461</v>
      </c>
      <c r="G1493" s="1431" t="s">
        <v>3044</v>
      </c>
      <c r="H1493" s="1430" t="s">
        <v>2754</v>
      </c>
      <c r="I1493" s="1429" t="s">
        <v>1019</v>
      </c>
      <c r="J1493" s="2196">
        <v>11</v>
      </c>
    </row>
    <row r="1494" spans="2:10" ht="13.5" thickBot="1" x14ac:dyDescent="0.25">
      <c r="B1494" s="392" t="str">
        <f t="shared" si="46"/>
        <v>Veterans - LUPO Davide</v>
      </c>
      <c r="C1494" s="1441" t="str">
        <f t="shared" si="47"/>
        <v>LUPO Davide</v>
      </c>
      <c r="D1494" s="1428" t="s">
        <v>9734</v>
      </c>
      <c r="E1494" s="1429">
        <v>308</v>
      </c>
      <c r="F1494" s="1430" t="s">
        <v>14544</v>
      </c>
      <c r="G1494" s="1431" t="s">
        <v>3329</v>
      </c>
      <c r="H1494" s="1430" t="s">
        <v>8865</v>
      </c>
      <c r="I1494" s="1429" t="s">
        <v>1037</v>
      </c>
      <c r="J1494" s="2196">
        <v>11</v>
      </c>
    </row>
    <row r="1495" spans="2:10" ht="13.5" thickBot="1" x14ac:dyDescent="0.25">
      <c r="B1495" s="392" t="str">
        <f t="shared" si="46"/>
        <v>Veterans - SORGE Sébastien</v>
      </c>
      <c r="C1495" s="1441" t="str">
        <f t="shared" si="47"/>
        <v>SORGE Sébastien</v>
      </c>
      <c r="D1495" s="1428" t="s">
        <v>9734</v>
      </c>
      <c r="E1495" s="1429">
        <v>308</v>
      </c>
      <c r="F1495" s="1430" t="s">
        <v>17627</v>
      </c>
      <c r="G1495" s="1431" t="s">
        <v>3043</v>
      </c>
      <c r="H1495" s="1430" t="s">
        <v>16416</v>
      </c>
      <c r="I1495" s="1429" t="s">
        <v>1019</v>
      </c>
      <c r="J1495" s="2196">
        <v>11</v>
      </c>
    </row>
    <row r="1496" spans="2:10" ht="13.5" thickBot="1" x14ac:dyDescent="0.25">
      <c r="B1496" s="392" t="str">
        <f t="shared" si="46"/>
        <v>Veterans - CHATZISTAVRAKIS Manousos</v>
      </c>
      <c r="C1496" s="1441" t="str">
        <f t="shared" si="47"/>
        <v>CHATZISTAVRAKIS Manousos</v>
      </c>
      <c r="D1496" s="1428" t="s">
        <v>9734</v>
      </c>
      <c r="E1496" s="1429">
        <v>311</v>
      </c>
      <c r="F1496" s="1430" t="s">
        <v>14219</v>
      </c>
      <c r="G1496" s="1431" t="s">
        <v>8251</v>
      </c>
      <c r="H1496" s="1430" t="s">
        <v>3213</v>
      </c>
      <c r="I1496" s="1429" t="s">
        <v>1025</v>
      </c>
      <c r="J1496" s="2196">
        <v>10</v>
      </c>
    </row>
    <row r="1497" spans="2:10" ht="13.5" thickBot="1" x14ac:dyDescent="0.25">
      <c r="B1497" s="392" t="str">
        <f t="shared" si="46"/>
        <v>Veterans - DI MICHELANGELO Paolo</v>
      </c>
      <c r="C1497" s="1441" t="str">
        <f t="shared" si="47"/>
        <v>DI MICHELANGELO Paolo</v>
      </c>
      <c r="D1497" s="1428" t="s">
        <v>9734</v>
      </c>
      <c r="E1497" s="1429">
        <v>311</v>
      </c>
      <c r="F1497" s="1430" t="s">
        <v>14285</v>
      </c>
      <c r="G1497" s="1431" t="s">
        <v>3119</v>
      </c>
      <c r="H1497" s="1430" t="s">
        <v>11327</v>
      </c>
      <c r="I1497" s="1429" t="s">
        <v>1037</v>
      </c>
      <c r="J1497" s="2196">
        <v>10</v>
      </c>
    </row>
    <row r="1498" spans="2:10" ht="13.5" thickBot="1" x14ac:dyDescent="0.25">
      <c r="B1498" s="392" t="str">
        <f t="shared" si="46"/>
        <v>Veterans - MALINDRETOS Michail</v>
      </c>
      <c r="C1498" s="1441" t="str">
        <f t="shared" si="47"/>
        <v>MALINDRETOS Michail</v>
      </c>
      <c r="D1498" s="1428" t="s">
        <v>9734</v>
      </c>
      <c r="E1498" s="1429">
        <v>311</v>
      </c>
      <c r="F1498" s="1430" t="s">
        <v>8765</v>
      </c>
      <c r="G1498" s="1431" t="s">
        <v>8248</v>
      </c>
      <c r="H1498" s="1430" t="s">
        <v>3213</v>
      </c>
      <c r="I1498" s="1429" t="s">
        <v>1025</v>
      </c>
      <c r="J1498" s="2196">
        <v>10</v>
      </c>
    </row>
    <row r="1499" spans="2:10" ht="13.5" thickBot="1" x14ac:dyDescent="0.25">
      <c r="B1499" s="392" t="str">
        <f t="shared" si="46"/>
        <v>Veterans - KONIDARIS Panagiotis</v>
      </c>
      <c r="C1499" s="1441" t="str">
        <f t="shared" si="47"/>
        <v>KONIDARIS Panagiotis</v>
      </c>
      <c r="D1499" s="1428" t="s">
        <v>9734</v>
      </c>
      <c r="E1499" s="1429">
        <v>311</v>
      </c>
      <c r="F1499" s="1430" t="s">
        <v>14974</v>
      </c>
      <c r="G1499" s="1431" t="s">
        <v>3249</v>
      </c>
      <c r="H1499" s="1430" t="s">
        <v>3213</v>
      </c>
      <c r="I1499" s="1429" t="s">
        <v>1025</v>
      </c>
      <c r="J1499" s="2196">
        <v>10</v>
      </c>
    </row>
    <row r="1500" spans="2:10" ht="13.5" thickBot="1" x14ac:dyDescent="0.25">
      <c r="B1500" s="392" t="str">
        <f t="shared" si="46"/>
        <v>Veterans - MENEGHETTI (62) Alessandro</v>
      </c>
      <c r="C1500" s="1441" t="str">
        <f t="shared" si="47"/>
        <v>MENEGHETTI (62) Alessandro</v>
      </c>
      <c r="D1500" s="1428" t="s">
        <v>9734</v>
      </c>
      <c r="E1500" s="1429">
        <v>311</v>
      </c>
      <c r="F1500" s="1430" t="s">
        <v>16769</v>
      </c>
      <c r="G1500" s="1431" t="s">
        <v>3125</v>
      </c>
      <c r="H1500" s="1430" t="s">
        <v>7878</v>
      </c>
      <c r="I1500" s="1429" t="s">
        <v>1037</v>
      </c>
      <c r="J1500" s="2196">
        <v>10</v>
      </c>
    </row>
    <row r="1501" spans="2:10" ht="13.5" thickBot="1" x14ac:dyDescent="0.25">
      <c r="B1501" s="392" t="str">
        <f t="shared" si="46"/>
        <v>Veterans - WIESMANN Martin</v>
      </c>
      <c r="C1501" s="1441" t="str">
        <f t="shared" si="47"/>
        <v>WIESMANN Martin</v>
      </c>
      <c r="D1501" s="1428" t="s">
        <v>9734</v>
      </c>
      <c r="E1501" s="1429">
        <v>311</v>
      </c>
      <c r="F1501" s="1430" t="s">
        <v>16782</v>
      </c>
      <c r="G1501" s="1431" t="s">
        <v>3408</v>
      </c>
      <c r="H1501" s="1430" t="s">
        <v>14809</v>
      </c>
      <c r="I1501" s="1429" t="s">
        <v>1074</v>
      </c>
      <c r="J1501" s="2196">
        <v>10</v>
      </c>
    </row>
    <row r="1502" spans="2:10" ht="13.5" thickBot="1" x14ac:dyDescent="0.25">
      <c r="B1502" s="392" t="str">
        <f t="shared" si="46"/>
        <v>Veterans - STECHERN Matthias</v>
      </c>
      <c r="C1502" s="1441" t="str">
        <f t="shared" si="47"/>
        <v>STECHERN Matthias</v>
      </c>
      <c r="D1502" s="1428" t="s">
        <v>9734</v>
      </c>
      <c r="E1502" s="1429">
        <v>317</v>
      </c>
      <c r="F1502" s="1430" t="s">
        <v>11424</v>
      </c>
      <c r="G1502" s="1431" t="s">
        <v>3172</v>
      </c>
      <c r="H1502" s="1430" t="s">
        <v>14679</v>
      </c>
      <c r="I1502" s="1429" t="s">
        <v>1021</v>
      </c>
      <c r="J1502" s="2196">
        <v>9.5</v>
      </c>
    </row>
    <row r="1503" spans="2:10" ht="13.5" thickBot="1" x14ac:dyDescent="0.25">
      <c r="B1503" s="392" t="str">
        <f t="shared" si="46"/>
        <v>Veterans - PALMER Guy</v>
      </c>
      <c r="C1503" s="1441" t="str">
        <f t="shared" si="47"/>
        <v>PALMER Guy</v>
      </c>
      <c r="D1503" s="1428" t="s">
        <v>9734</v>
      </c>
      <c r="E1503" s="1429">
        <v>317</v>
      </c>
      <c r="F1503" s="1430" t="s">
        <v>14294</v>
      </c>
      <c r="G1503" s="1431" t="s">
        <v>3454</v>
      </c>
      <c r="H1503" s="1430" t="s">
        <v>15983</v>
      </c>
      <c r="I1503" s="1429" t="s">
        <v>1023</v>
      </c>
      <c r="J1503" s="2196">
        <v>9.5</v>
      </c>
    </row>
    <row r="1504" spans="2:10" ht="13.5" thickBot="1" x14ac:dyDescent="0.25">
      <c r="B1504" s="392" t="str">
        <f t="shared" si="46"/>
        <v>Veterans - DE SCHUYTENEER Michel</v>
      </c>
      <c r="C1504" s="1441" t="str">
        <f t="shared" si="47"/>
        <v>DE SCHUYTENEER Michel</v>
      </c>
      <c r="D1504" s="1428" t="s">
        <v>9734</v>
      </c>
      <c r="E1504" s="1429">
        <v>319</v>
      </c>
      <c r="F1504" s="1430" t="s">
        <v>14901</v>
      </c>
      <c r="G1504" s="1431" t="s">
        <v>3555</v>
      </c>
      <c r="H1504" s="1430" t="s">
        <v>15816</v>
      </c>
      <c r="I1504" s="1429" t="s">
        <v>990</v>
      </c>
      <c r="J1504" s="2196">
        <v>9</v>
      </c>
    </row>
    <row r="1505" spans="2:10" ht="13.5" thickBot="1" x14ac:dyDescent="0.25">
      <c r="B1505" s="392" t="str">
        <f t="shared" si="46"/>
        <v>Veterans - CRISERÀ Antonino</v>
      </c>
      <c r="C1505" s="1441" t="str">
        <f t="shared" si="47"/>
        <v>CRISERÀ Antonino</v>
      </c>
      <c r="D1505" s="1428" t="s">
        <v>9734</v>
      </c>
      <c r="E1505" s="1429">
        <v>319</v>
      </c>
      <c r="F1505" s="1430" t="s">
        <v>16773</v>
      </c>
      <c r="G1505" s="1431" t="s">
        <v>6997</v>
      </c>
      <c r="H1505" s="1430" t="s">
        <v>16490</v>
      </c>
      <c r="I1505" s="1429" t="s">
        <v>1037</v>
      </c>
      <c r="J1505" s="2196">
        <v>9</v>
      </c>
    </row>
    <row r="1506" spans="2:10" ht="13.5" thickBot="1" x14ac:dyDescent="0.25">
      <c r="B1506" s="392" t="str">
        <f t="shared" si="46"/>
        <v>Veterans - MICHELETTI Oriano</v>
      </c>
      <c r="C1506" s="1441" t="str">
        <f t="shared" si="47"/>
        <v>MICHELETTI Oriano</v>
      </c>
      <c r="D1506" s="1428" t="s">
        <v>9734</v>
      </c>
      <c r="E1506" s="1429">
        <v>319</v>
      </c>
      <c r="F1506" s="1430" t="s">
        <v>14935</v>
      </c>
      <c r="G1506" s="1431" t="s">
        <v>3313</v>
      </c>
      <c r="H1506" s="1430" t="s">
        <v>14682</v>
      </c>
      <c r="I1506" s="1429" t="s">
        <v>1069</v>
      </c>
      <c r="J1506" s="2196">
        <v>9</v>
      </c>
    </row>
    <row r="1507" spans="2:10" ht="13.5" thickBot="1" x14ac:dyDescent="0.25">
      <c r="B1507" s="392" t="str">
        <f t="shared" si="46"/>
        <v>Veterans - MURA Massimo</v>
      </c>
      <c r="C1507" s="1441" t="str">
        <f t="shared" si="47"/>
        <v>MURA Massimo</v>
      </c>
      <c r="D1507" s="1428" t="s">
        <v>9734</v>
      </c>
      <c r="E1507" s="1429">
        <v>319</v>
      </c>
      <c r="F1507" s="1430" t="s">
        <v>14987</v>
      </c>
      <c r="G1507" s="1431" t="s">
        <v>3013</v>
      </c>
      <c r="H1507" s="1430" t="s">
        <v>5551</v>
      </c>
      <c r="I1507" s="1429" t="s">
        <v>1037</v>
      </c>
      <c r="J1507" s="2196">
        <v>9</v>
      </c>
    </row>
    <row r="1508" spans="2:10" ht="13.5" thickBot="1" x14ac:dyDescent="0.25">
      <c r="B1508" s="392" t="str">
        <f t="shared" si="46"/>
        <v>Veterans - MÁRQUEZ José Luis</v>
      </c>
      <c r="C1508" s="1441" t="str">
        <f t="shared" si="47"/>
        <v>MÁRQUEZ José Luis</v>
      </c>
      <c r="D1508" s="1428" t="s">
        <v>9734</v>
      </c>
      <c r="E1508" s="1429">
        <v>319</v>
      </c>
      <c r="F1508" s="1430" t="s">
        <v>3267</v>
      </c>
      <c r="G1508" s="1431" t="s">
        <v>3268</v>
      </c>
      <c r="H1508" s="1430" t="s">
        <v>2783</v>
      </c>
      <c r="I1508" s="1429" t="s">
        <v>1015</v>
      </c>
      <c r="J1508" s="2196">
        <v>9</v>
      </c>
    </row>
    <row r="1509" spans="2:10" ht="13.5" thickBot="1" x14ac:dyDescent="0.25">
      <c r="B1509" s="392" t="str">
        <f t="shared" si="46"/>
        <v>Veterans - ARNOLD Bryan</v>
      </c>
      <c r="C1509" s="1441" t="str">
        <f t="shared" si="47"/>
        <v>ARNOLD Bryan</v>
      </c>
      <c r="D1509" s="1428" t="s">
        <v>9734</v>
      </c>
      <c r="E1509" s="1429">
        <v>319</v>
      </c>
      <c r="F1509" s="1430" t="s">
        <v>3294</v>
      </c>
      <c r="G1509" s="1431" t="s">
        <v>3344</v>
      </c>
      <c r="H1509" s="1430" t="s">
        <v>14892</v>
      </c>
      <c r="I1509" s="1429" t="s">
        <v>1079</v>
      </c>
      <c r="J1509" s="2196">
        <v>9</v>
      </c>
    </row>
    <row r="1510" spans="2:10" ht="13.5" thickBot="1" x14ac:dyDescent="0.25">
      <c r="B1510" s="392" t="str">
        <f t="shared" si="46"/>
        <v>Veterans - MARSHALL John</v>
      </c>
      <c r="C1510" s="1441" t="str">
        <f t="shared" si="47"/>
        <v>MARSHALL John</v>
      </c>
      <c r="D1510" s="1428" t="s">
        <v>9734</v>
      </c>
      <c r="E1510" s="1429">
        <v>319</v>
      </c>
      <c r="F1510" s="1430" t="s">
        <v>14986</v>
      </c>
      <c r="G1510" s="1431" t="s">
        <v>3250</v>
      </c>
      <c r="H1510" s="1430" t="s">
        <v>13600</v>
      </c>
      <c r="I1510" s="1429" t="s">
        <v>1069</v>
      </c>
      <c r="J1510" s="2196">
        <v>9</v>
      </c>
    </row>
    <row r="1511" spans="2:10" ht="13.5" thickBot="1" x14ac:dyDescent="0.25">
      <c r="B1511" s="392" t="str">
        <f t="shared" si="46"/>
        <v>Veterans - RODGERS Brendan</v>
      </c>
      <c r="C1511" s="1441" t="str">
        <f t="shared" si="47"/>
        <v>RODGERS Brendan</v>
      </c>
      <c r="D1511" s="1428" t="s">
        <v>9734</v>
      </c>
      <c r="E1511" s="1429">
        <v>319</v>
      </c>
      <c r="F1511" s="1430" t="s">
        <v>14959</v>
      </c>
      <c r="G1511" s="1431" t="s">
        <v>8300</v>
      </c>
      <c r="H1511" s="1430" t="s">
        <v>9598</v>
      </c>
      <c r="I1511" s="1429" t="s">
        <v>1033</v>
      </c>
      <c r="J1511" s="2196">
        <v>9</v>
      </c>
    </row>
    <row r="1512" spans="2:10" ht="13.5" thickBot="1" x14ac:dyDescent="0.25">
      <c r="B1512" s="392" t="str">
        <f t="shared" si="46"/>
        <v>Veterans - TELLEZ Eddie</v>
      </c>
      <c r="C1512" s="1441" t="str">
        <f t="shared" si="47"/>
        <v>TELLEZ Eddie</v>
      </c>
      <c r="D1512" s="1428" t="s">
        <v>9734</v>
      </c>
      <c r="E1512" s="1429">
        <v>327</v>
      </c>
      <c r="F1512" s="1430" t="s">
        <v>16549</v>
      </c>
      <c r="G1512" s="1431" t="s">
        <v>3225</v>
      </c>
      <c r="H1512" s="1430" t="s">
        <v>9448</v>
      </c>
      <c r="I1512" s="1429" t="s">
        <v>1023</v>
      </c>
      <c r="J1512" s="2196">
        <v>8.5</v>
      </c>
    </row>
    <row r="1513" spans="2:10" ht="13.5" thickBot="1" x14ac:dyDescent="0.25">
      <c r="B1513" s="392" t="str">
        <f t="shared" si="46"/>
        <v>Veterans - SASSO Gaetano</v>
      </c>
      <c r="C1513" s="1441" t="str">
        <f t="shared" si="47"/>
        <v>SASSO Gaetano</v>
      </c>
      <c r="D1513" s="1428" t="s">
        <v>9734</v>
      </c>
      <c r="E1513" s="1429">
        <v>328</v>
      </c>
      <c r="F1513" s="1430" t="s">
        <v>18183</v>
      </c>
      <c r="G1513" s="1431" t="s">
        <v>3100</v>
      </c>
      <c r="H1513" s="1430" t="s">
        <v>433</v>
      </c>
      <c r="I1513" s="1429" t="s">
        <v>1037</v>
      </c>
      <c r="J1513" s="2196">
        <v>8</v>
      </c>
    </row>
    <row r="1514" spans="2:10" ht="13.5" thickBot="1" x14ac:dyDescent="0.25">
      <c r="B1514" s="392" t="str">
        <f t="shared" si="46"/>
        <v>Veterans - MATABUENA Miguel Ángel</v>
      </c>
      <c r="C1514" s="1441" t="str">
        <f t="shared" si="47"/>
        <v>MATABUENA Miguel Ángel</v>
      </c>
      <c r="D1514" s="1428" t="s">
        <v>9734</v>
      </c>
      <c r="E1514" s="1429">
        <v>328</v>
      </c>
      <c r="F1514" s="1430" t="s">
        <v>8746</v>
      </c>
      <c r="G1514" s="1431" t="s">
        <v>3247</v>
      </c>
      <c r="H1514" s="1430" t="s">
        <v>7871</v>
      </c>
      <c r="I1514" s="1429" t="s">
        <v>1015</v>
      </c>
      <c r="J1514" s="2196">
        <v>8</v>
      </c>
    </row>
    <row r="1515" spans="2:10" ht="13.5" thickBot="1" x14ac:dyDescent="0.25">
      <c r="B1515" s="392" t="str">
        <f t="shared" si="46"/>
        <v>Veterans - ARAÚJO Pedro</v>
      </c>
      <c r="C1515" s="1441" t="str">
        <f t="shared" si="47"/>
        <v>ARAÚJO Pedro</v>
      </c>
      <c r="D1515" s="1428" t="s">
        <v>9734</v>
      </c>
      <c r="E1515" s="1429">
        <v>328</v>
      </c>
      <c r="F1515" s="1430" t="s">
        <v>16675</v>
      </c>
      <c r="G1515" s="1431" t="s">
        <v>5604</v>
      </c>
      <c r="H1515" s="1430" t="s">
        <v>15138</v>
      </c>
      <c r="I1515" s="1429" t="s">
        <v>1061</v>
      </c>
      <c r="J1515" s="2196">
        <v>8</v>
      </c>
    </row>
    <row r="1516" spans="2:10" ht="13.5" thickBot="1" x14ac:dyDescent="0.25">
      <c r="B1516" s="392" t="str">
        <f t="shared" si="46"/>
        <v>Veterans - RICARDO Carlos</v>
      </c>
      <c r="C1516" s="1441" t="str">
        <f t="shared" si="47"/>
        <v>RICARDO Carlos</v>
      </c>
      <c r="D1516" s="1428" t="s">
        <v>9734</v>
      </c>
      <c r="E1516" s="1429">
        <v>328</v>
      </c>
      <c r="F1516" s="1430" t="s">
        <v>16604</v>
      </c>
      <c r="G1516" s="1431" t="s">
        <v>3008</v>
      </c>
      <c r="H1516" s="1430" t="s">
        <v>16515</v>
      </c>
      <c r="I1516" s="1429" t="s">
        <v>1061</v>
      </c>
      <c r="J1516" s="2196">
        <v>8</v>
      </c>
    </row>
    <row r="1517" spans="2:10" ht="13.5" thickBot="1" x14ac:dyDescent="0.25">
      <c r="B1517" s="392" t="str">
        <f t="shared" si="46"/>
        <v>Veterans - GARA Severino</v>
      </c>
      <c r="C1517" s="1441" t="str">
        <f t="shared" si="47"/>
        <v>GARA Severino</v>
      </c>
      <c r="D1517" s="1428" t="s">
        <v>9734</v>
      </c>
      <c r="E1517" s="1429">
        <v>328</v>
      </c>
      <c r="F1517" s="1430" t="s">
        <v>18184</v>
      </c>
      <c r="G1517" s="1431" t="s">
        <v>3599</v>
      </c>
      <c r="H1517" s="1430" t="s">
        <v>11325</v>
      </c>
      <c r="I1517" s="1429" t="s">
        <v>1037</v>
      </c>
      <c r="J1517" s="2196">
        <v>8</v>
      </c>
    </row>
    <row r="1518" spans="2:10" ht="13.5" thickBot="1" x14ac:dyDescent="0.25">
      <c r="B1518" s="392" t="str">
        <f t="shared" si="46"/>
        <v>Veterans - MENTASTI Giorgio</v>
      </c>
      <c r="C1518" s="1441" t="str">
        <f t="shared" si="47"/>
        <v>MENTASTI Giorgio</v>
      </c>
      <c r="D1518" s="1428" t="s">
        <v>9734</v>
      </c>
      <c r="E1518" s="1429">
        <v>328</v>
      </c>
      <c r="F1518" s="1430" t="s">
        <v>10307</v>
      </c>
      <c r="G1518" s="1431" t="s">
        <v>3643</v>
      </c>
      <c r="H1518" s="1430" t="s">
        <v>5551</v>
      </c>
      <c r="I1518" s="1429" t="s">
        <v>1037</v>
      </c>
      <c r="J1518" s="2196">
        <v>8</v>
      </c>
    </row>
    <row r="1519" spans="2:10" ht="13.5" thickBot="1" x14ac:dyDescent="0.25">
      <c r="B1519" s="392" t="str">
        <f t="shared" si="46"/>
        <v>Veterans - GARCÍA Isaac</v>
      </c>
      <c r="C1519" s="1441" t="str">
        <f t="shared" si="47"/>
        <v>GARCÍA Isaac</v>
      </c>
      <c r="D1519" s="1428" t="s">
        <v>9734</v>
      </c>
      <c r="E1519" s="1429">
        <v>334</v>
      </c>
      <c r="F1519" s="1430" t="s">
        <v>10990</v>
      </c>
      <c r="G1519" s="1431" t="s">
        <v>3460</v>
      </c>
      <c r="H1519" s="1430" t="s">
        <v>7183</v>
      </c>
      <c r="I1519" s="1429" t="s">
        <v>1015</v>
      </c>
      <c r="J1519" s="2196">
        <v>7.5</v>
      </c>
    </row>
    <row r="1520" spans="2:10" ht="13.5" thickBot="1" x14ac:dyDescent="0.25">
      <c r="B1520" s="392" t="str">
        <f t="shared" si="46"/>
        <v>Veterans - FLAMINI Stefano</v>
      </c>
      <c r="C1520" s="1441" t="str">
        <f t="shared" si="47"/>
        <v>FLAMINI Stefano</v>
      </c>
      <c r="D1520" s="1428" t="s">
        <v>9734</v>
      </c>
      <c r="E1520" s="1429">
        <v>335</v>
      </c>
      <c r="F1520" s="1430" t="s">
        <v>3180</v>
      </c>
      <c r="G1520" s="1431" t="s">
        <v>3062</v>
      </c>
      <c r="H1520" s="1430" t="s">
        <v>2761</v>
      </c>
      <c r="I1520" s="1429" t="s">
        <v>1037</v>
      </c>
      <c r="J1520" s="2196">
        <v>7</v>
      </c>
    </row>
    <row r="1521" spans="2:10" ht="13.5" thickBot="1" x14ac:dyDescent="0.25">
      <c r="B1521" s="392" t="str">
        <f t="shared" si="46"/>
        <v>Veterans - AMATA Biagio</v>
      </c>
      <c r="C1521" s="1441" t="str">
        <f t="shared" si="47"/>
        <v>AMATA Biagio</v>
      </c>
      <c r="D1521" s="1428" t="s">
        <v>9734</v>
      </c>
      <c r="E1521" s="1429">
        <v>335</v>
      </c>
      <c r="F1521" s="1430" t="s">
        <v>14286</v>
      </c>
      <c r="G1521" s="1431" t="s">
        <v>5630</v>
      </c>
      <c r="H1521" s="1430" t="s">
        <v>13593</v>
      </c>
      <c r="I1521" s="1429" t="s">
        <v>1037</v>
      </c>
      <c r="J1521" s="2196">
        <v>7</v>
      </c>
    </row>
    <row r="1522" spans="2:10" ht="13.5" thickBot="1" x14ac:dyDescent="0.25">
      <c r="B1522" s="392" t="str">
        <f t="shared" si="46"/>
        <v>Veterans - ZAMMIT PAVIA Joseph</v>
      </c>
      <c r="C1522" s="1441" t="str">
        <f t="shared" si="47"/>
        <v>ZAMMIT PAVIA Joseph</v>
      </c>
      <c r="D1522" s="1428" t="s">
        <v>9734</v>
      </c>
      <c r="E1522" s="1429">
        <v>335</v>
      </c>
      <c r="F1522" s="1430" t="s">
        <v>14995</v>
      </c>
      <c r="G1522" s="1431" t="s">
        <v>3045</v>
      </c>
      <c r="H1522" s="1430" t="s">
        <v>5317</v>
      </c>
      <c r="I1522" s="1429" t="s">
        <v>1045</v>
      </c>
      <c r="J1522" s="2196">
        <v>7</v>
      </c>
    </row>
    <row r="1523" spans="2:10" ht="13.5" thickBot="1" x14ac:dyDescent="0.25">
      <c r="B1523" s="392" t="str">
        <f t="shared" si="46"/>
        <v>Veterans - HAMMONDS Mick</v>
      </c>
      <c r="C1523" s="1441" t="str">
        <f t="shared" si="47"/>
        <v>HAMMONDS Mick</v>
      </c>
      <c r="D1523" s="1428" t="s">
        <v>9734</v>
      </c>
      <c r="E1523" s="1429">
        <v>338</v>
      </c>
      <c r="F1523" s="1430" t="s">
        <v>10986</v>
      </c>
      <c r="G1523" s="1431" t="s">
        <v>6918</v>
      </c>
      <c r="H1523" s="1430" t="s">
        <v>14399</v>
      </c>
      <c r="I1523" s="1429" t="s">
        <v>1013</v>
      </c>
      <c r="J1523" s="2196">
        <v>6.5</v>
      </c>
    </row>
    <row r="1524" spans="2:10" ht="13.5" thickBot="1" x14ac:dyDescent="0.25">
      <c r="B1524" s="392" t="str">
        <f t="shared" si="46"/>
        <v>Veterans - MORENO VICO Antonio</v>
      </c>
      <c r="C1524" s="1441" t="str">
        <f t="shared" si="47"/>
        <v>MORENO VICO Antonio</v>
      </c>
      <c r="D1524" s="1428" t="s">
        <v>9734</v>
      </c>
      <c r="E1524" s="1429">
        <v>338</v>
      </c>
      <c r="F1524" s="1430" t="s">
        <v>16789</v>
      </c>
      <c r="G1524" s="1431" t="s">
        <v>3341</v>
      </c>
      <c r="H1524" s="1430" t="s">
        <v>14872</v>
      </c>
      <c r="I1524" s="1429" t="s">
        <v>1015</v>
      </c>
      <c r="J1524" s="2196">
        <v>6.5</v>
      </c>
    </row>
    <row r="1525" spans="2:10" ht="13.5" thickBot="1" x14ac:dyDescent="0.25">
      <c r="B1525" s="392" t="str">
        <f t="shared" si="46"/>
        <v>Veterans - BADGER Richard</v>
      </c>
      <c r="C1525" s="1441" t="str">
        <f t="shared" si="47"/>
        <v>BADGER Richard</v>
      </c>
      <c r="D1525" s="1428" t="s">
        <v>9734</v>
      </c>
      <c r="E1525" s="1429">
        <v>338</v>
      </c>
      <c r="F1525" s="1430" t="s">
        <v>10988</v>
      </c>
      <c r="G1525" s="1431" t="s">
        <v>3219</v>
      </c>
      <c r="H1525" s="1430" t="s">
        <v>14399</v>
      </c>
      <c r="I1525" s="1429" t="s">
        <v>1013</v>
      </c>
      <c r="J1525" s="2196">
        <v>6.5</v>
      </c>
    </row>
    <row r="1526" spans="2:10" ht="13.5" thickBot="1" x14ac:dyDescent="0.25">
      <c r="B1526" s="392" t="str">
        <f t="shared" si="46"/>
        <v>Veterans - SPILLER Alessandro</v>
      </c>
      <c r="C1526" s="1441" t="str">
        <f t="shared" si="47"/>
        <v>SPILLER Alessandro</v>
      </c>
      <c r="D1526" s="1428" t="s">
        <v>9734</v>
      </c>
      <c r="E1526" s="1429">
        <v>338</v>
      </c>
      <c r="F1526" s="1430" t="s">
        <v>11186</v>
      </c>
      <c r="G1526" s="1431" t="s">
        <v>3125</v>
      </c>
      <c r="H1526" s="1430" t="s">
        <v>9701</v>
      </c>
      <c r="I1526" s="1429" t="s">
        <v>1037</v>
      </c>
      <c r="J1526" s="2196">
        <v>6.5</v>
      </c>
    </row>
    <row r="1527" spans="2:10" ht="13.5" thickBot="1" x14ac:dyDescent="0.25">
      <c r="B1527" s="392" t="str">
        <f t="shared" si="46"/>
        <v>Veterans - BAXTER David</v>
      </c>
      <c r="C1527" s="1441" t="str">
        <f t="shared" si="47"/>
        <v>BAXTER David</v>
      </c>
      <c r="D1527" s="1428" t="s">
        <v>9734</v>
      </c>
      <c r="E1527" s="1429">
        <v>338</v>
      </c>
      <c r="F1527" s="1430" t="s">
        <v>3456</v>
      </c>
      <c r="G1527" s="1431" t="s">
        <v>3072</v>
      </c>
      <c r="H1527" s="1430" t="s">
        <v>14787</v>
      </c>
      <c r="I1527" s="1429" t="s">
        <v>1069</v>
      </c>
      <c r="J1527" s="2196">
        <v>6.5</v>
      </c>
    </row>
    <row r="1528" spans="2:10" ht="13.5" thickBot="1" x14ac:dyDescent="0.25">
      <c r="B1528" s="392" t="str">
        <f t="shared" si="46"/>
        <v>Veterans - SCHEFFER Martin</v>
      </c>
      <c r="C1528" s="1441" t="str">
        <f t="shared" si="47"/>
        <v>SCHEFFER Martin</v>
      </c>
      <c r="D1528" s="1428" t="s">
        <v>9734</v>
      </c>
      <c r="E1528" s="1429">
        <v>343</v>
      </c>
      <c r="F1528" s="1430" t="s">
        <v>16551</v>
      </c>
      <c r="G1528" s="1431" t="s">
        <v>3408</v>
      </c>
      <c r="H1528" s="1430" t="s">
        <v>7184</v>
      </c>
      <c r="I1528" s="1429" t="s">
        <v>1051</v>
      </c>
      <c r="J1528" s="2196">
        <v>6</v>
      </c>
    </row>
    <row r="1529" spans="2:10" ht="13.5" thickBot="1" x14ac:dyDescent="0.25">
      <c r="B1529" s="392" t="str">
        <f t="shared" si="46"/>
        <v>Veterans - NUNZET Pasquale</v>
      </c>
      <c r="C1529" s="1441" t="str">
        <f t="shared" si="47"/>
        <v>NUNZET Pasquale</v>
      </c>
      <c r="D1529" s="1428" t="s">
        <v>9734</v>
      </c>
      <c r="E1529" s="1429">
        <v>343</v>
      </c>
      <c r="F1529" s="1430" t="s">
        <v>16784</v>
      </c>
      <c r="G1529" s="1431" t="s">
        <v>3548</v>
      </c>
      <c r="H1529" s="1430" t="s">
        <v>10271</v>
      </c>
      <c r="I1529" s="1429" t="s">
        <v>1037</v>
      </c>
      <c r="J1529" s="2196">
        <v>6</v>
      </c>
    </row>
    <row r="1530" spans="2:10" ht="13.5" thickBot="1" x14ac:dyDescent="0.25">
      <c r="B1530" s="392" t="str">
        <f t="shared" si="46"/>
        <v>Veterans - NOVI Massimo</v>
      </c>
      <c r="C1530" s="1441" t="str">
        <f t="shared" si="47"/>
        <v>NOVI Massimo</v>
      </c>
      <c r="D1530" s="1428" t="s">
        <v>9734</v>
      </c>
      <c r="E1530" s="1429">
        <v>343</v>
      </c>
      <c r="F1530" s="1430" t="s">
        <v>16785</v>
      </c>
      <c r="G1530" s="1431" t="s">
        <v>3013</v>
      </c>
      <c r="H1530" s="1430" t="s">
        <v>2750</v>
      </c>
      <c r="I1530" s="1429" t="s">
        <v>1037</v>
      </c>
      <c r="J1530" s="2196">
        <v>6</v>
      </c>
    </row>
    <row r="1531" spans="2:10" ht="13.5" thickBot="1" x14ac:dyDescent="0.25">
      <c r="B1531" s="392" t="str">
        <f t="shared" si="46"/>
        <v>Veterans - LANDI Nico</v>
      </c>
      <c r="C1531" s="1441" t="str">
        <f t="shared" si="47"/>
        <v>LANDI Nico</v>
      </c>
      <c r="D1531" s="1428" t="s">
        <v>9734</v>
      </c>
      <c r="E1531" s="1429">
        <v>343</v>
      </c>
      <c r="F1531" s="1430" t="s">
        <v>14221</v>
      </c>
      <c r="G1531" s="1431" t="s">
        <v>3556</v>
      </c>
      <c r="H1531" s="1430" t="s">
        <v>7873</v>
      </c>
      <c r="I1531" s="1429" t="s">
        <v>1037</v>
      </c>
      <c r="J1531" s="2196">
        <v>6</v>
      </c>
    </row>
    <row r="1532" spans="2:10" ht="13.5" thickBot="1" x14ac:dyDescent="0.25">
      <c r="B1532" s="392" t="str">
        <f t="shared" si="46"/>
        <v>Veterans - MAGERMANS Thierry</v>
      </c>
      <c r="C1532" s="1441" t="str">
        <f t="shared" si="47"/>
        <v>MAGERMANS Thierry</v>
      </c>
      <c r="D1532" s="1428" t="s">
        <v>9734</v>
      </c>
      <c r="E1532" s="1429">
        <v>343</v>
      </c>
      <c r="F1532" s="1430" t="s">
        <v>8761</v>
      </c>
      <c r="G1532" s="1431" t="s">
        <v>3332</v>
      </c>
      <c r="H1532" s="1430" t="s">
        <v>2779</v>
      </c>
      <c r="I1532" s="1429" t="s">
        <v>990</v>
      </c>
      <c r="J1532" s="2196">
        <v>6</v>
      </c>
    </row>
    <row r="1533" spans="2:10" ht="13.5" thickBot="1" x14ac:dyDescent="0.25">
      <c r="B1533" s="392" t="str">
        <f t="shared" si="46"/>
        <v>Veterans - MANCARUSO Ezio</v>
      </c>
      <c r="C1533" s="1441" t="str">
        <f t="shared" si="47"/>
        <v>MANCARUSO Ezio</v>
      </c>
      <c r="D1533" s="1428" t="s">
        <v>9734</v>
      </c>
      <c r="E1533" s="1429">
        <v>343</v>
      </c>
      <c r="F1533" s="1430" t="s">
        <v>16786</v>
      </c>
      <c r="G1533" s="1431" t="s">
        <v>3565</v>
      </c>
      <c r="H1533" s="1430" t="s">
        <v>7877</v>
      </c>
      <c r="I1533" s="1429" t="s">
        <v>1037</v>
      </c>
      <c r="J1533" s="2196">
        <v>6</v>
      </c>
    </row>
    <row r="1534" spans="2:10" ht="13.5" thickBot="1" x14ac:dyDescent="0.25">
      <c r="B1534" s="392" t="str">
        <f t="shared" si="46"/>
        <v>Veterans - CASANOVA Alessandro</v>
      </c>
      <c r="C1534" s="1441" t="str">
        <f t="shared" si="47"/>
        <v>CASANOVA Alessandro</v>
      </c>
      <c r="D1534" s="1428" t="s">
        <v>9734</v>
      </c>
      <c r="E1534" s="1429">
        <v>343</v>
      </c>
      <c r="F1534" s="1430" t="s">
        <v>9720</v>
      </c>
      <c r="G1534" s="1431" t="s">
        <v>3125</v>
      </c>
      <c r="H1534" s="1430" t="s">
        <v>11325</v>
      </c>
      <c r="I1534" s="1429" t="s">
        <v>1037</v>
      </c>
      <c r="J1534" s="2196">
        <v>6</v>
      </c>
    </row>
    <row r="1535" spans="2:10" ht="13.5" thickBot="1" x14ac:dyDescent="0.25">
      <c r="B1535" s="392" t="str">
        <f t="shared" si="46"/>
        <v>Veterans - CASATI Gabriele</v>
      </c>
      <c r="C1535" s="1441" t="str">
        <f t="shared" si="47"/>
        <v>CASATI Gabriele</v>
      </c>
      <c r="D1535" s="1428" t="s">
        <v>9734</v>
      </c>
      <c r="E1535" s="1429">
        <v>343</v>
      </c>
      <c r="F1535" s="1430" t="s">
        <v>14279</v>
      </c>
      <c r="G1535" s="1431" t="s">
        <v>3127</v>
      </c>
      <c r="H1535" s="1430" t="s">
        <v>2784</v>
      </c>
      <c r="I1535" s="1429" t="s">
        <v>1037</v>
      </c>
      <c r="J1535" s="2196">
        <v>6</v>
      </c>
    </row>
    <row r="1536" spans="2:10" ht="13.5" thickBot="1" x14ac:dyDescent="0.25">
      <c r="B1536" s="392" t="str">
        <f t="shared" si="46"/>
        <v>Veterans - MANFIOLETTI Giorgio</v>
      </c>
      <c r="C1536" s="1441" t="str">
        <f t="shared" si="47"/>
        <v>MANFIOLETTI Giorgio</v>
      </c>
      <c r="D1536" s="1428" t="s">
        <v>9734</v>
      </c>
      <c r="E1536" s="1429">
        <v>343</v>
      </c>
      <c r="F1536" s="1430" t="s">
        <v>11506</v>
      </c>
      <c r="G1536" s="1431" t="s">
        <v>3643</v>
      </c>
      <c r="H1536" s="1430" t="s">
        <v>5551</v>
      </c>
      <c r="I1536" s="1429" t="s">
        <v>1037</v>
      </c>
      <c r="J1536" s="2196">
        <v>6</v>
      </c>
    </row>
    <row r="1537" spans="2:10" ht="13.5" thickBot="1" x14ac:dyDescent="0.25">
      <c r="B1537" s="392" t="str">
        <f t="shared" si="46"/>
        <v>Veterans - KOULOSOUSAS Serafeim</v>
      </c>
      <c r="C1537" s="1441" t="str">
        <f t="shared" si="47"/>
        <v>KOULOSOUSAS Serafeim</v>
      </c>
      <c r="D1537" s="1428" t="s">
        <v>9734</v>
      </c>
      <c r="E1537" s="1429">
        <v>352</v>
      </c>
      <c r="F1537" s="1430" t="s">
        <v>3434</v>
      </c>
      <c r="G1537" s="1431" t="s">
        <v>8246</v>
      </c>
      <c r="H1537" s="1430" t="s">
        <v>10263</v>
      </c>
      <c r="I1537" s="1429" t="s">
        <v>1025</v>
      </c>
      <c r="J1537" s="2196">
        <v>5.5</v>
      </c>
    </row>
    <row r="1538" spans="2:10" ht="13.5" thickBot="1" x14ac:dyDescent="0.25">
      <c r="B1538" s="392" t="str">
        <f t="shared" si="46"/>
        <v>Veterans - PEREIRA Miguel</v>
      </c>
      <c r="C1538" s="1441" t="str">
        <f t="shared" si="47"/>
        <v>PEREIRA Miguel</v>
      </c>
      <c r="D1538" s="1428" t="s">
        <v>9734</v>
      </c>
      <c r="E1538" s="1429">
        <v>353</v>
      </c>
      <c r="F1538" s="1430" t="s">
        <v>14314</v>
      </c>
      <c r="G1538" s="1431" t="s">
        <v>3089</v>
      </c>
      <c r="H1538" s="1430" t="s">
        <v>5317</v>
      </c>
      <c r="I1538" s="1429" t="s">
        <v>1061</v>
      </c>
      <c r="J1538" s="2196">
        <v>5</v>
      </c>
    </row>
    <row r="1539" spans="2:10" ht="13.5" thickBot="1" x14ac:dyDescent="0.25">
      <c r="B1539" s="392" t="str">
        <f t="shared" si="46"/>
        <v>Veterans - DE PAOLI Stephano</v>
      </c>
      <c r="C1539" s="1441" t="str">
        <f t="shared" si="47"/>
        <v>DE PAOLI Stephano</v>
      </c>
      <c r="D1539" s="1428" t="s">
        <v>9734</v>
      </c>
      <c r="E1539" s="1429">
        <v>353</v>
      </c>
      <c r="F1539" s="1430" t="s">
        <v>16775</v>
      </c>
      <c r="G1539" s="1431" t="s">
        <v>13927</v>
      </c>
      <c r="H1539" s="1430" t="s">
        <v>5551</v>
      </c>
      <c r="I1539" s="1429" t="s">
        <v>1037</v>
      </c>
      <c r="J1539" s="2196">
        <v>5</v>
      </c>
    </row>
    <row r="1540" spans="2:10" ht="13.5" thickBot="1" x14ac:dyDescent="0.25">
      <c r="B1540" s="392" t="str">
        <f t="shared" si="46"/>
        <v>Veterans - SORIA Alfredo</v>
      </c>
      <c r="C1540" s="1441" t="str">
        <f t="shared" si="47"/>
        <v>SORIA Alfredo</v>
      </c>
      <c r="D1540" s="1428" t="s">
        <v>9734</v>
      </c>
      <c r="E1540" s="1429">
        <v>353</v>
      </c>
      <c r="F1540" s="1430" t="s">
        <v>16876</v>
      </c>
      <c r="G1540" s="1431" t="s">
        <v>3587</v>
      </c>
      <c r="H1540" s="1430" t="s">
        <v>8865</v>
      </c>
      <c r="I1540" s="1429" t="s">
        <v>1037</v>
      </c>
      <c r="J1540" s="2196">
        <v>5</v>
      </c>
    </row>
    <row r="1541" spans="2:10" ht="13.5" thickBot="1" x14ac:dyDescent="0.25">
      <c r="B1541" s="392" t="str">
        <f t="shared" si="46"/>
        <v>Veterans - COPPOLINO Angelo</v>
      </c>
      <c r="C1541" s="1441" t="str">
        <f t="shared" si="47"/>
        <v>COPPOLINO Angelo</v>
      </c>
      <c r="D1541" s="1428" t="s">
        <v>9734</v>
      </c>
      <c r="E1541" s="1429">
        <v>353</v>
      </c>
      <c r="F1541" s="1430" t="s">
        <v>16808</v>
      </c>
      <c r="G1541" s="1431" t="s">
        <v>3367</v>
      </c>
      <c r="H1541" s="1430" t="s">
        <v>14879</v>
      </c>
      <c r="I1541" s="1429" t="s">
        <v>1037</v>
      </c>
      <c r="J1541" s="2196">
        <v>5</v>
      </c>
    </row>
    <row r="1542" spans="2:10" ht="13.5" thickBot="1" x14ac:dyDescent="0.25">
      <c r="B1542" s="392" t="str">
        <f t="shared" si="46"/>
        <v>Veterans - VANDAMME Vincent</v>
      </c>
      <c r="C1542" s="1441" t="str">
        <f t="shared" si="47"/>
        <v>VANDAMME Vincent</v>
      </c>
      <c r="D1542" s="1428" t="s">
        <v>9734</v>
      </c>
      <c r="E1542" s="1429">
        <v>353</v>
      </c>
      <c r="F1542" s="1430" t="s">
        <v>18185</v>
      </c>
      <c r="G1542" s="1431" t="s">
        <v>3457</v>
      </c>
      <c r="H1542" s="1430" t="s">
        <v>15183</v>
      </c>
      <c r="I1542" s="1429" t="s">
        <v>1019</v>
      </c>
      <c r="J1542" s="2196">
        <v>5</v>
      </c>
    </row>
    <row r="1543" spans="2:10" ht="13.5" thickBot="1" x14ac:dyDescent="0.25">
      <c r="B1543" s="392" t="str">
        <f t="shared" ref="B1543:B1606" si="48">CONCATENATE(D1543," - ",C1543)</f>
        <v>Veterans - PORRO Riccardo</v>
      </c>
      <c r="C1543" s="1441" t="str">
        <f t="shared" ref="C1543:C1606" si="49">CONCATENATE(UPPER(F1543)," ",G1543)</f>
        <v>PORRO Riccardo</v>
      </c>
      <c r="D1543" s="1428" t="s">
        <v>9734</v>
      </c>
      <c r="E1543" s="1429">
        <v>353</v>
      </c>
      <c r="F1543" s="1430" t="s">
        <v>18186</v>
      </c>
      <c r="G1543" s="1431" t="s">
        <v>3270</v>
      </c>
      <c r="H1543" s="1430" t="s">
        <v>7876</v>
      </c>
      <c r="I1543" s="1429" t="s">
        <v>1037</v>
      </c>
      <c r="J1543" s="2196">
        <v>5</v>
      </c>
    </row>
    <row r="1544" spans="2:10" ht="13.5" thickBot="1" x14ac:dyDescent="0.25">
      <c r="B1544" s="392" t="str">
        <f t="shared" si="48"/>
        <v>Veterans - VIDAL Toni</v>
      </c>
      <c r="C1544" s="1441" t="str">
        <f t="shared" si="49"/>
        <v>VIDAL Toni</v>
      </c>
      <c r="D1544" s="1428" t="s">
        <v>9734</v>
      </c>
      <c r="E1544" s="1429">
        <v>353</v>
      </c>
      <c r="F1544" s="1430" t="s">
        <v>16778</v>
      </c>
      <c r="G1544" s="1431" t="s">
        <v>3504</v>
      </c>
      <c r="H1544" s="1430" t="s">
        <v>2774</v>
      </c>
      <c r="I1544" s="1429" t="s">
        <v>1015</v>
      </c>
      <c r="J1544" s="2196">
        <v>5</v>
      </c>
    </row>
    <row r="1545" spans="2:10" ht="13.5" thickBot="1" x14ac:dyDescent="0.25">
      <c r="B1545" s="392" t="str">
        <f t="shared" si="48"/>
        <v>Veterans - CAMPAGNA Goffredo</v>
      </c>
      <c r="C1545" s="1441" t="str">
        <f t="shared" si="49"/>
        <v>CAMPAGNA Goffredo</v>
      </c>
      <c r="D1545" s="1428" t="s">
        <v>9734</v>
      </c>
      <c r="E1545" s="1429">
        <v>353</v>
      </c>
      <c r="F1545" s="1430" t="s">
        <v>16777</v>
      </c>
      <c r="G1545" s="1431" t="s">
        <v>13966</v>
      </c>
      <c r="H1545" s="1430" t="s">
        <v>13593</v>
      </c>
      <c r="I1545" s="1429" t="s">
        <v>1037</v>
      </c>
      <c r="J1545" s="2196">
        <v>5</v>
      </c>
    </row>
    <row r="1546" spans="2:10" ht="13.5" thickBot="1" x14ac:dyDescent="0.25">
      <c r="B1546" s="392" t="str">
        <f t="shared" si="48"/>
        <v>Veterans - INDELLI Alessandro</v>
      </c>
      <c r="C1546" s="1441" t="str">
        <f t="shared" si="49"/>
        <v>INDELLI Alessandro</v>
      </c>
      <c r="D1546" s="1428" t="s">
        <v>9734</v>
      </c>
      <c r="E1546" s="1429">
        <v>353</v>
      </c>
      <c r="F1546" s="1430" t="s">
        <v>16877</v>
      </c>
      <c r="G1546" s="1431" t="s">
        <v>3125</v>
      </c>
      <c r="H1546" s="1430" t="s">
        <v>14585</v>
      </c>
      <c r="I1546" s="1429" t="s">
        <v>1037</v>
      </c>
      <c r="J1546" s="2196">
        <v>5</v>
      </c>
    </row>
    <row r="1547" spans="2:10" ht="13.5" thickBot="1" x14ac:dyDescent="0.25">
      <c r="B1547" s="392" t="str">
        <f t="shared" si="48"/>
        <v>Veterans - SARDI DE LETTO David</v>
      </c>
      <c r="C1547" s="1441" t="str">
        <f t="shared" si="49"/>
        <v>SARDI DE LETTO David</v>
      </c>
      <c r="D1547" s="1428" t="s">
        <v>9734</v>
      </c>
      <c r="E1547" s="1429">
        <v>353</v>
      </c>
      <c r="F1547" s="1430" t="s">
        <v>17621</v>
      </c>
      <c r="G1547" s="1431" t="s">
        <v>3072</v>
      </c>
      <c r="H1547" s="1430" t="s">
        <v>16195</v>
      </c>
      <c r="I1547" s="1429" t="s">
        <v>1019</v>
      </c>
      <c r="J1547" s="2196">
        <v>5</v>
      </c>
    </row>
    <row r="1548" spans="2:10" ht="13.5" thickBot="1" x14ac:dyDescent="0.25">
      <c r="B1548" s="392" t="str">
        <f t="shared" si="48"/>
        <v>Veterans - RETHORE Jean Marc</v>
      </c>
      <c r="C1548" s="1441" t="str">
        <f t="shared" si="49"/>
        <v>RETHORE Jean Marc</v>
      </c>
      <c r="D1548" s="1428" t="s">
        <v>9734</v>
      </c>
      <c r="E1548" s="1429">
        <v>353</v>
      </c>
      <c r="F1548" s="1430" t="s">
        <v>18187</v>
      </c>
      <c r="G1548" s="1431" t="s">
        <v>17156</v>
      </c>
      <c r="H1548" s="1430" t="s">
        <v>2796</v>
      </c>
      <c r="I1548" s="1429" t="s">
        <v>1019</v>
      </c>
      <c r="J1548" s="2196">
        <v>5</v>
      </c>
    </row>
    <row r="1549" spans="2:10" ht="13.5" thickBot="1" x14ac:dyDescent="0.25">
      <c r="B1549" s="392" t="str">
        <f t="shared" si="48"/>
        <v>Veterans - SALLE Laurent</v>
      </c>
      <c r="C1549" s="1441" t="str">
        <f t="shared" si="49"/>
        <v>SALLE Laurent</v>
      </c>
      <c r="D1549" s="1428" t="s">
        <v>9734</v>
      </c>
      <c r="E1549" s="1429">
        <v>353</v>
      </c>
      <c r="F1549" s="1430" t="s">
        <v>18188</v>
      </c>
      <c r="G1549" s="1431" t="s">
        <v>3123</v>
      </c>
      <c r="H1549" s="1430" t="s">
        <v>2796</v>
      </c>
      <c r="I1549" s="1429" t="s">
        <v>1019</v>
      </c>
      <c r="J1549" s="2196">
        <v>5</v>
      </c>
    </row>
    <row r="1550" spans="2:10" ht="13.5" thickBot="1" x14ac:dyDescent="0.25">
      <c r="B1550" s="392" t="str">
        <f t="shared" si="48"/>
        <v>Veterans - ELTON David</v>
      </c>
      <c r="C1550" s="1441" t="str">
        <f t="shared" si="49"/>
        <v>ELTON David</v>
      </c>
      <c r="D1550" s="1428" t="s">
        <v>9734</v>
      </c>
      <c r="E1550" s="1429">
        <v>353</v>
      </c>
      <c r="F1550" s="1430" t="s">
        <v>16680</v>
      </c>
      <c r="G1550" s="1431" t="s">
        <v>3072</v>
      </c>
      <c r="H1550" s="1430" t="s">
        <v>2764</v>
      </c>
      <c r="I1550" s="1429" t="s">
        <v>1033</v>
      </c>
      <c r="J1550" s="2196">
        <v>5</v>
      </c>
    </row>
    <row r="1551" spans="2:10" ht="13.5" thickBot="1" x14ac:dyDescent="0.25">
      <c r="B1551" s="392" t="str">
        <f t="shared" si="48"/>
        <v>Veterans - VAN RENTERGHEM Didier</v>
      </c>
      <c r="C1551" s="1441" t="str">
        <f t="shared" si="49"/>
        <v>VAN RENTERGHEM Didier</v>
      </c>
      <c r="D1551" s="1428" t="s">
        <v>9734</v>
      </c>
      <c r="E1551" s="1429">
        <v>353</v>
      </c>
      <c r="F1551" s="1430" t="s">
        <v>18189</v>
      </c>
      <c r="G1551" s="1431" t="s">
        <v>3281</v>
      </c>
      <c r="H1551" s="1430" t="s">
        <v>15816</v>
      </c>
      <c r="I1551" s="1429" t="s">
        <v>990</v>
      </c>
      <c r="J1551" s="2196">
        <v>5</v>
      </c>
    </row>
    <row r="1552" spans="2:10" ht="13.5" thickBot="1" x14ac:dyDescent="0.25">
      <c r="B1552" s="392" t="str">
        <f t="shared" si="48"/>
        <v>Veterans - EYES Paul</v>
      </c>
      <c r="C1552" s="1441" t="str">
        <f t="shared" si="49"/>
        <v>EYES Paul</v>
      </c>
      <c r="D1552" s="1428" t="s">
        <v>9734</v>
      </c>
      <c r="E1552" s="1429">
        <v>353</v>
      </c>
      <c r="F1552" s="1430" t="s">
        <v>11470</v>
      </c>
      <c r="G1552" s="1431" t="s">
        <v>3259</v>
      </c>
      <c r="H1552" s="1430" t="s">
        <v>17015</v>
      </c>
      <c r="I1552" s="1429" t="s">
        <v>1079</v>
      </c>
      <c r="J1552" s="2196">
        <v>5</v>
      </c>
    </row>
    <row r="1553" spans="2:10" ht="13.5" thickBot="1" x14ac:dyDescent="0.25">
      <c r="B1553" s="392" t="str">
        <f t="shared" si="48"/>
        <v>Veterans - KADINOPOULOS Vasileios</v>
      </c>
      <c r="C1553" s="1441" t="str">
        <f t="shared" si="49"/>
        <v>KADINOPOULOS Vasileios</v>
      </c>
      <c r="D1553" s="1428" t="s">
        <v>9734</v>
      </c>
      <c r="E1553" s="1429">
        <v>353</v>
      </c>
      <c r="F1553" s="1430" t="s">
        <v>5532</v>
      </c>
      <c r="G1553" s="1431" t="s">
        <v>5548</v>
      </c>
      <c r="H1553" s="1430" t="s">
        <v>9449</v>
      </c>
      <c r="I1553" s="1429" t="s">
        <v>1025</v>
      </c>
      <c r="J1553" s="2196">
        <v>5</v>
      </c>
    </row>
    <row r="1554" spans="2:10" ht="13.5" thickBot="1" x14ac:dyDescent="0.25">
      <c r="B1554" s="392" t="str">
        <f t="shared" si="48"/>
        <v>Veterans - GERSIE Janus</v>
      </c>
      <c r="C1554" s="1441" t="str">
        <f t="shared" si="49"/>
        <v>GERSIE Janus</v>
      </c>
      <c r="D1554" s="1428" t="s">
        <v>9734</v>
      </c>
      <c r="E1554" s="1429">
        <v>353</v>
      </c>
      <c r="F1554" s="1430" t="s">
        <v>11422</v>
      </c>
      <c r="G1554" s="1431" t="s">
        <v>3245</v>
      </c>
      <c r="H1554" s="1430" t="s">
        <v>2775</v>
      </c>
      <c r="I1554" s="1429" t="s">
        <v>1021</v>
      </c>
      <c r="J1554" s="2196">
        <v>5</v>
      </c>
    </row>
    <row r="1555" spans="2:10" ht="13.5" thickBot="1" x14ac:dyDescent="0.25">
      <c r="B1555" s="392" t="str">
        <f t="shared" si="48"/>
        <v>Veterans - TONIETTI Giovanni</v>
      </c>
      <c r="C1555" s="1441" t="str">
        <f t="shared" si="49"/>
        <v>TONIETTI Giovanni</v>
      </c>
      <c r="D1555" s="1428" t="s">
        <v>9734</v>
      </c>
      <c r="E1555" s="1429">
        <v>353</v>
      </c>
      <c r="F1555" s="1430" t="s">
        <v>16776</v>
      </c>
      <c r="G1555" s="1431" t="s">
        <v>3371</v>
      </c>
      <c r="H1555" s="1430" t="s">
        <v>16490</v>
      </c>
      <c r="I1555" s="1429" t="s">
        <v>1037</v>
      </c>
      <c r="J1555" s="2196">
        <v>5</v>
      </c>
    </row>
    <row r="1556" spans="2:10" ht="13.5" thickBot="1" x14ac:dyDescent="0.25">
      <c r="B1556" s="392" t="str">
        <f t="shared" si="48"/>
        <v>Veterans - MANCINI Gennaro</v>
      </c>
      <c r="C1556" s="1441" t="str">
        <f t="shared" si="49"/>
        <v>MANCINI Gennaro</v>
      </c>
      <c r="D1556" s="1428" t="s">
        <v>9734</v>
      </c>
      <c r="E1556" s="1429">
        <v>353</v>
      </c>
      <c r="F1556" s="1430" t="s">
        <v>16781</v>
      </c>
      <c r="G1556" s="1431" t="s">
        <v>3354</v>
      </c>
      <c r="H1556" s="1430" t="s">
        <v>2773</v>
      </c>
      <c r="I1556" s="1429" t="s">
        <v>1037</v>
      </c>
      <c r="J1556" s="2196">
        <v>5</v>
      </c>
    </row>
    <row r="1557" spans="2:10" ht="13.5" thickBot="1" x14ac:dyDescent="0.25">
      <c r="B1557" s="392" t="str">
        <f t="shared" si="48"/>
        <v>Veterans - CAMPAGNA Antonino</v>
      </c>
      <c r="C1557" s="1441" t="str">
        <f t="shared" si="49"/>
        <v>CAMPAGNA Antonino</v>
      </c>
      <c r="D1557" s="1428" t="s">
        <v>9734</v>
      </c>
      <c r="E1557" s="1429">
        <v>353</v>
      </c>
      <c r="F1557" s="1430" t="s">
        <v>16777</v>
      </c>
      <c r="G1557" s="1431" t="s">
        <v>6997</v>
      </c>
      <c r="H1557" s="1430" t="s">
        <v>13593</v>
      </c>
      <c r="I1557" s="1429" t="s">
        <v>1037</v>
      </c>
      <c r="J1557" s="2196">
        <v>5</v>
      </c>
    </row>
    <row r="1558" spans="2:10" ht="13.5" thickBot="1" x14ac:dyDescent="0.25">
      <c r="B1558" s="392" t="str">
        <f t="shared" si="48"/>
        <v>Veterans - GARAU Efisio</v>
      </c>
      <c r="C1558" s="1441" t="str">
        <f t="shared" si="49"/>
        <v>GARAU Efisio</v>
      </c>
      <c r="D1558" s="1428" t="s">
        <v>9734</v>
      </c>
      <c r="E1558" s="1429">
        <v>353</v>
      </c>
      <c r="F1558" s="1430" t="s">
        <v>14270</v>
      </c>
      <c r="G1558" s="1431" t="s">
        <v>10883</v>
      </c>
      <c r="H1558" s="1430" t="s">
        <v>10292</v>
      </c>
      <c r="I1558" s="1429" t="s">
        <v>1037</v>
      </c>
      <c r="J1558" s="2196">
        <v>5</v>
      </c>
    </row>
    <row r="1559" spans="2:10" ht="13.5" thickBot="1" x14ac:dyDescent="0.25">
      <c r="B1559" s="392" t="str">
        <f t="shared" si="48"/>
        <v>Veterans - GUYOT Françoise</v>
      </c>
      <c r="C1559" s="1441" t="str">
        <f t="shared" si="49"/>
        <v>GUYOT Françoise</v>
      </c>
      <c r="D1559" s="1428" t="s">
        <v>9734</v>
      </c>
      <c r="E1559" s="1429">
        <v>353</v>
      </c>
      <c r="F1559" s="1430" t="s">
        <v>3524</v>
      </c>
      <c r="G1559" s="1431" t="s">
        <v>3525</v>
      </c>
      <c r="H1559" s="1430" t="s">
        <v>15183</v>
      </c>
      <c r="I1559" s="1429" t="s">
        <v>1019</v>
      </c>
      <c r="J1559" s="2196">
        <v>5</v>
      </c>
    </row>
    <row r="1560" spans="2:10" ht="13.5" thickBot="1" x14ac:dyDescent="0.25">
      <c r="B1560" s="392" t="str">
        <f t="shared" si="48"/>
        <v>Veterans - BALESTRIERI Massimo</v>
      </c>
      <c r="C1560" s="1441" t="str">
        <f t="shared" si="49"/>
        <v>BALESTRIERI Massimo</v>
      </c>
      <c r="D1560" s="1428" t="s">
        <v>9734</v>
      </c>
      <c r="E1560" s="1429">
        <v>375</v>
      </c>
      <c r="F1560" s="1430" t="s">
        <v>13499</v>
      </c>
      <c r="G1560" s="1431" t="s">
        <v>3013</v>
      </c>
      <c r="H1560" s="1430" t="s">
        <v>17179</v>
      </c>
      <c r="I1560" s="1429" t="s">
        <v>1037</v>
      </c>
      <c r="J1560" s="2196">
        <v>4.5</v>
      </c>
    </row>
    <row r="1561" spans="2:10" ht="13.5" thickBot="1" x14ac:dyDescent="0.25">
      <c r="B1561" s="392" t="str">
        <f t="shared" si="48"/>
        <v>Veterans - GRANDINETTI Carlo</v>
      </c>
      <c r="C1561" s="1441" t="str">
        <f t="shared" si="49"/>
        <v>GRANDINETTI Carlo</v>
      </c>
      <c r="D1561" s="1428" t="s">
        <v>9734</v>
      </c>
      <c r="E1561" s="1429">
        <v>376</v>
      </c>
      <c r="F1561" s="1430" t="s">
        <v>18190</v>
      </c>
      <c r="G1561" s="1431" t="s">
        <v>3266</v>
      </c>
      <c r="H1561" s="1430" t="s">
        <v>8865</v>
      </c>
      <c r="I1561" s="1429" t="s">
        <v>1037</v>
      </c>
      <c r="J1561" s="2196">
        <v>4</v>
      </c>
    </row>
    <row r="1562" spans="2:10" ht="13.5" thickBot="1" x14ac:dyDescent="0.25">
      <c r="B1562" s="392" t="str">
        <f t="shared" si="48"/>
        <v>Veterans - GIANLUCA Vetere</v>
      </c>
      <c r="C1562" s="1441" t="str">
        <f t="shared" si="49"/>
        <v>GIANLUCA Vetere</v>
      </c>
      <c r="D1562" s="1428" t="s">
        <v>9734</v>
      </c>
      <c r="E1562" s="1429">
        <v>376</v>
      </c>
      <c r="F1562" s="1430" t="s">
        <v>18191</v>
      </c>
      <c r="G1562" s="1431" t="s">
        <v>14028</v>
      </c>
      <c r="H1562" s="1430" t="s">
        <v>10271</v>
      </c>
      <c r="I1562" s="1429" t="s">
        <v>1037</v>
      </c>
      <c r="J1562" s="2196">
        <v>4</v>
      </c>
    </row>
    <row r="1563" spans="2:10" ht="13.5" thickBot="1" x14ac:dyDescent="0.25">
      <c r="B1563" s="392" t="str">
        <f t="shared" si="48"/>
        <v>Veterans - PISCOPO Carlo</v>
      </c>
      <c r="C1563" s="1441" t="str">
        <f t="shared" si="49"/>
        <v>PISCOPO Carlo</v>
      </c>
      <c r="D1563" s="1428" t="s">
        <v>9734</v>
      </c>
      <c r="E1563" s="1429">
        <v>376</v>
      </c>
      <c r="F1563" s="1430" t="s">
        <v>18192</v>
      </c>
      <c r="G1563" s="1431" t="s">
        <v>3266</v>
      </c>
      <c r="H1563" s="1430" t="s">
        <v>11325</v>
      </c>
      <c r="I1563" s="1429" t="s">
        <v>1037</v>
      </c>
      <c r="J1563" s="2196">
        <v>4</v>
      </c>
    </row>
    <row r="1564" spans="2:10" ht="13.5" thickBot="1" x14ac:dyDescent="0.25">
      <c r="B1564" s="392" t="str">
        <f t="shared" si="48"/>
        <v>Veterans - GUYAUX Fabrice</v>
      </c>
      <c r="C1564" s="1441" t="str">
        <f t="shared" si="49"/>
        <v>GUYAUX Fabrice</v>
      </c>
      <c r="D1564" s="1428" t="s">
        <v>9734</v>
      </c>
      <c r="E1564" s="1429">
        <v>376</v>
      </c>
      <c r="F1564" s="1430" t="s">
        <v>18193</v>
      </c>
      <c r="G1564" s="1431" t="s">
        <v>14356</v>
      </c>
      <c r="H1564" s="1430" t="s">
        <v>10254</v>
      </c>
      <c r="I1564" s="1429" t="s">
        <v>990</v>
      </c>
      <c r="J1564" s="2196">
        <v>4</v>
      </c>
    </row>
    <row r="1565" spans="2:10" ht="13.5" thickBot="1" x14ac:dyDescent="0.25">
      <c r="B1565" s="392" t="str">
        <f t="shared" si="48"/>
        <v>Veterans - CERULLO Livio</v>
      </c>
      <c r="C1565" s="1441" t="str">
        <f t="shared" si="49"/>
        <v>CERULLO Livio</v>
      </c>
      <c r="D1565" s="1428" t="s">
        <v>9734</v>
      </c>
      <c r="E1565" s="1429">
        <v>376</v>
      </c>
      <c r="F1565" s="1430" t="s">
        <v>3627</v>
      </c>
      <c r="G1565" s="1431" t="s">
        <v>3628</v>
      </c>
      <c r="H1565" s="1430" t="s">
        <v>11325</v>
      </c>
      <c r="I1565" s="1429" t="s">
        <v>1037</v>
      </c>
      <c r="J1565" s="2196">
        <v>4</v>
      </c>
    </row>
    <row r="1566" spans="2:10" ht="13.5" thickBot="1" x14ac:dyDescent="0.25">
      <c r="B1566" s="392" t="str">
        <f t="shared" si="48"/>
        <v>Veterans - FLÉMAL Pascal</v>
      </c>
      <c r="C1566" s="1441" t="str">
        <f t="shared" si="49"/>
        <v>FLÉMAL Pascal</v>
      </c>
      <c r="D1566" s="1428" t="s">
        <v>9734</v>
      </c>
      <c r="E1566" s="1429">
        <v>376</v>
      </c>
      <c r="F1566" s="1430" t="s">
        <v>18176</v>
      </c>
      <c r="G1566" s="1431" t="s">
        <v>3035</v>
      </c>
      <c r="H1566" s="1430" t="s">
        <v>15816</v>
      </c>
      <c r="I1566" s="1429" t="s">
        <v>990</v>
      </c>
      <c r="J1566" s="2196">
        <v>4</v>
      </c>
    </row>
    <row r="1567" spans="2:10" ht="13.5" thickBot="1" x14ac:dyDescent="0.25">
      <c r="B1567" s="392" t="str">
        <f t="shared" si="48"/>
        <v>Veterans - NOËL Jean-Maurice</v>
      </c>
      <c r="C1567" s="1441" t="str">
        <f t="shared" si="49"/>
        <v>NOËL Jean-Maurice</v>
      </c>
      <c r="D1567" s="1428" t="s">
        <v>9734</v>
      </c>
      <c r="E1567" s="1429">
        <v>376</v>
      </c>
      <c r="F1567" s="1430" t="s">
        <v>16867</v>
      </c>
      <c r="G1567" s="1431" t="s">
        <v>15953</v>
      </c>
      <c r="H1567" s="1430" t="s">
        <v>15842</v>
      </c>
      <c r="I1567" s="1429" t="s">
        <v>1019</v>
      </c>
      <c r="J1567" s="2196">
        <v>4</v>
      </c>
    </row>
    <row r="1568" spans="2:10" ht="13.5" thickBot="1" x14ac:dyDescent="0.25">
      <c r="B1568" s="392" t="str">
        <f t="shared" si="48"/>
        <v>Veterans - LUPO Luciano</v>
      </c>
      <c r="C1568" s="1441" t="str">
        <f t="shared" si="49"/>
        <v>LUPO Luciano</v>
      </c>
      <c r="D1568" s="1428" t="s">
        <v>9734</v>
      </c>
      <c r="E1568" s="1429">
        <v>376</v>
      </c>
      <c r="F1568" s="1430" t="s">
        <v>14544</v>
      </c>
      <c r="G1568" s="1431" t="s">
        <v>5577</v>
      </c>
      <c r="H1568" s="1430" t="s">
        <v>8865</v>
      </c>
      <c r="I1568" s="1429" t="s">
        <v>1037</v>
      </c>
      <c r="J1568" s="2196">
        <v>4</v>
      </c>
    </row>
    <row r="1569" spans="2:10" ht="13.5" thickBot="1" x14ac:dyDescent="0.25">
      <c r="B1569" s="392" t="str">
        <f t="shared" si="48"/>
        <v>Veterans - VINACCIA Domenico</v>
      </c>
      <c r="C1569" s="1441" t="str">
        <f t="shared" si="49"/>
        <v>VINACCIA Domenico</v>
      </c>
      <c r="D1569" s="1428" t="s">
        <v>9734</v>
      </c>
      <c r="E1569" s="1429">
        <v>376</v>
      </c>
      <c r="F1569" s="1430" t="s">
        <v>16772</v>
      </c>
      <c r="G1569" s="1431" t="s">
        <v>3353</v>
      </c>
      <c r="H1569" s="1430" t="s">
        <v>10271</v>
      </c>
      <c r="I1569" s="1429" t="s">
        <v>1037</v>
      </c>
      <c r="J1569" s="2196">
        <v>4</v>
      </c>
    </row>
    <row r="1570" spans="2:10" ht="13.5" thickBot="1" x14ac:dyDescent="0.25">
      <c r="B1570" s="392" t="str">
        <f t="shared" si="48"/>
        <v>Veterans - PREVITI Pietro</v>
      </c>
      <c r="C1570" s="1441" t="str">
        <f t="shared" si="49"/>
        <v>PREVITI Pietro</v>
      </c>
      <c r="D1570" s="1428" t="s">
        <v>9734</v>
      </c>
      <c r="E1570" s="1429">
        <v>376</v>
      </c>
      <c r="F1570" s="1430" t="s">
        <v>18194</v>
      </c>
      <c r="G1570" s="1431" t="s">
        <v>3233</v>
      </c>
      <c r="H1570" s="1430" t="s">
        <v>16897</v>
      </c>
      <c r="I1570" s="1429" t="s">
        <v>1037</v>
      </c>
      <c r="J1570" s="2196">
        <v>4</v>
      </c>
    </row>
    <row r="1571" spans="2:10" ht="13.5" thickBot="1" x14ac:dyDescent="0.25">
      <c r="B1571" s="392" t="str">
        <f t="shared" si="48"/>
        <v>Veterans - BIGNARDI Luca</v>
      </c>
      <c r="C1571" s="1441" t="str">
        <f t="shared" si="49"/>
        <v>BIGNARDI Luca</v>
      </c>
      <c r="D1571" s="1428" t="s">
        <v>9734</v>
      </c>
      <c r="E1571" s="1429">
        <v>376</v>
      </c>
      <c r="F1571" s="1430" t="s">
        <v>14309</v>
      </c>
      <c r="G1571" s="1431" t="s">
        <v>3198</v>
      </c>
      <c r="H1571" s="1430" t="s">
        <v>9702</v>
      </c>
      <c r="I1571" s="1429" t="s">
        <v>1037</v>
      </c>
      <c r="J1571" s="2196">
        <v>4</v>
      </c>
    </row>
    <row r="1572" spans="2:10" ht="13.5" thickBot="1" x14ac:dyDescent="0.25">
      <c r="B1572" s="392" t="str">
        <f t="shared" si="48"/>
        <v>Veterans - YOSHIDA Hideki</v>
      </c>
      <c r="C1572" s="1441" t="str">
        <f t="shared" si="49"/>
        <v>YOSHIDA Hideki</v>
      </c>
      <c r="D1572" s="1428" t="s">
        <v>9734</v>
      </c>
      <c r="E1572" s="1429">
        <v>376</v>
      </c>
      <c r="F1572" s="1430" t="s">
        <v>16639</v>
      </c>
      <c r="G1572" s="1431" t="s">
        <v>14726</v>
      </c>
      <c r="H1572" s="1430" t="s">
        <v>5508</v>
      </c>
      <c r="I1572" s="1429" t="s">
        <v>1041</v>
      </c>
      <c r="J1572" s="2196">
        <v>4</v>
      </c>
    </row>
    <row r="1573" spans="2:10" ht="13.5" thickBot="1" x14ac:dyDescent="0.25">
      <c r="B1573" s="392" t="str">
        <f t="shared" si="48"/>
        <v>Veterans - GRILLO Luigi</v>
      </c>
      <c r="C1573" s="1441" t="str">
        <f t="shared" si="49"/>
        <v>GRILLO Luigi</v>
      </c>
      <c r="D1573" s="1428" t="s">
        <v>9734</v>
      </c>
      <c r="E1573" s="1429">
        <v>376</v>
      </c>
      <c r="F1573" s="1430" t="s">
        <v>14284</v>
      </c>
      <c r="G1573" s="1431" t="s">
        <v>3339</v>
      </c>
      <c r="H1573" s="1430" t="s">
        <v>10271</v>
      </c>
      <c r="I1573" s="1429" t="s">
        <v>1037</v>
      </c>
      <c r="J1573" s="2196">
        <v>4</v>
      </c>
    </row>
    <row r="1574" spans="2:10" ht="13.5" thickBot="1" x14ac:dyDescent="0.25">
      <c r="B1574" s="392" t="str">
        <f t="shared" si="48"/>
        <v>Veterans - PALMIERI Lionello</v>
      </c>
      <c r="C1574" s="1441" t="str">
        <f t="shared" si="49"/>
        <v>PALMIERI Lionello</v>
      </c>
      <c r="D1574" s="1428" t="s">
        <v>9734</v>
      </c>
      <c r="E1574" s="1429">
        <v>376</v>
      </c>
      <c r="F1574" s="1430" t="s">
        <v>14277</v>
      </c>
      <c r="G1574" s="1431" t="s">
        <v>7007</v>
      </c>
      <c r="H1574" s="1430" t="s">
        <v>15293</v>
      </c>
      <c r="I1574" s="1429" t="s">
        <v>1037</v>
      </c>
      <c r="J1574" s="2196">
        <v>4</v>
      </c>
    </row>
    <row r="1575" spans="2:10" ht="13.5" thickBot="1" x14ac:dyDescent="0.25">
      <c r="B1575" s="392" t="str">
        <f t="shared" si="48"/>
        <v>Veterans - TILGNER Marcus</v>
      </c>
      <c r="C1575" s="1441" t="str">
        <f t="shared" si="49"/>
        <v>TILGNER Marcus</v>
      </c>
      <c r="D1575" s="1428" t="s">
        <v>9734</v>
      </c>
      <c r="E1575" s="1429">
        <v>376</v>
      </c>
      <c r="F1575" s="1430" t="s">
        <v>11429</v>
      </c>
      <c r="G1575" s="1431" t="s">
        <v>3056</v>
      </c>
      <c r="H1575" s="1430" t="s">
        <v>2753</v>
      </c>
      <c r="I1575" s="1429" t="s">
        <v>1021</v>
      </c>
      <c r="J1575" s="2196">
        <v>4</v>
      </c>
    </row>
    <row r="1576" spans="2:10" ht="13.5" thickBot="1" x14ac:dyDescent="0.25">
      <c r="B1576" s="392" t="str">
        <f t="shared" si="48"/>
        <v>Veterans - SYRMOS Stamatios</v>
      </c>
      <c r="C1576" s="1441" t="str">
        <f t="shared" si="49"/>
        <v>SYRMOS Stamatios</v>
      </c>
      <c r="D1576" s="1428" t="s">
        <v>9734</v>
      </c>
      <c r="E1576" s="1429">
        <v>391</v>
      </c>
      <c r="F1576" s="1430" t="s">
        <v>14202</v>
      </c>
      <c r="G1576" s="1431" t="s">
        <v>8275</v>
      </c>
      <c r="H1576" s="1430" t="s">
        <v>15175</v>
      </c>
      <c r="I1576" s="1429" t="s">
        <v>1025</v>
      </c>
      <c r="J1576" s="2196">
        <v>3.5</v>
      </c>
    </row>
    <row r="1577" spans="2:10" ht="13.5" thickBot="1" x14ac:dyDescent="0.25">
      <c r="B1577" s="392" t="str">
        <f t="shared" si="48"/>
        <v>Veterans - GOODMAN Simon</v>
      </c>
      <c r="C1577" s="1441" t="str">
        <f t="shared" si="49"/>
        <v>GOODMAN Simon</v>
      </c>
      <c r="D1577" s="1428" t="s">
        <v>9734</v>
      </c>
      <c r="E1577" s="1429">
        <v>391</v>
      </c>
      <c r="F1577" s="1430" t="s">
        <v>14293</v>
      </c>
      <c r="G1577" s="1431" t="s">
        <v>3626</v>
      </c>
      <c r="H1577" s="1430" t="s">
        <v>17082</v>
      </c>
      <c r="I1577" s="1429" t="s">
        <v>1013</v>
      </c>
      <c r="J1577" s="2196">
        <v>3.5</v>
      </c>
    </row>
    <row r="1578" spans="2:10" ht="13.5" thickBot="1" x14ac:dyDescent="0.25">
      <c r="B1578" s="392" t="str">
        <f t="shared" si="48"/>
        <v>Veterans - PRIFTIS Anastasios</v>
      </c>
      <c r="C1578" s="1441" t="str">
        <f t="shared" si="49"/>
        <v>PRIFTIS Anastasios</v>
      </c>
      <c r="D1578" s="1428" t="s">
        <v>9734</v>
      </c>
      <c r="E1578" s="1429">
        <v>391</v>
      </c>
      <c r="F1578" s="1430" t="s">
        <v>11346</v>
      </c>
      <c r="G1578" s="1431" t="s">
        <v>3611</v>
      </c>
      <c r="H1578" s="1430" t="s">
        <v>3213</v>
      </c>
      <c r="I1578" s="1429" t="s">
        <v>1025</v>
      </c>
      <c r="J1578" s="2196">
        <v>3.5</v>
      </c>
    </row>
    <row r="1579" spans="2:10" ht="13.5" thickBot="1" x14ac:dyDescent="0.25">
      <c r="B1579" s="392" t="str">
        <f t="shared" si="48"/>
        <v>Veterans - OSBORNE Richard</v>
      </c>
      <c r="C1579" s="1441" t="str">
        <f t="shared" si="49"/>
        <v>OSBORNE Richard</v>
      </c>
      <c r="D1579" s="1428" t="s">
        <v>9734</v>
      </c>
      <c r="E1579" s="1429">
        <v>394</v>
      </c>
      <c r="F1579" s="1430" t="s">
        <v>16726</v>
      </c>
      <c r="G1579" s="1431" t="s">
        <v>3219</v>
      </c>
      <c r="H1579" s="1430" t="s">
        <v>15974</v>
      </c>
      <c r="I1579" s="1429" t="s">
        <v>1023</v>
      </c>
      <c r="J1579" s="2196">
        <v>3</v>
      </c>
    </row>
    <row r="1580" spans="2:10" ht="13.5" thickBot="1" x14ac:dyDescent="0.25">
      <c r="B1580" s="392" t="str">
        <f t="shared" si="48"/>
        <v>Veterans - HEREDIA Miguel Ángel</v>
      </c>
      <c r="C1580" s="1441" t="str">
        <f t="shared" si="49"/>
        <v>HEREDIA Miguel Ángel</v>
      </c>
      <c r="D1580" s="1428" t="s">
        <v>9734</v>
      </c>
      <c r="E1580" s="1429">
        <v>394</v>
      </c>
      <c r="F1580" s="1430" t="s">
        <v>14907</v>
      </c>
      <c r="G1580" s="1431" t="s">
        <v>3247</v>
      </c>
      <c r="H1580" s="1430" t="s">
        <v>7183</v>
      </c>
      <c r="I1580" s="1429" t="s">
        <v>1015</v>
      </c>
      <c r="J1580" s="2196">
        <v>3</v>
      </c>
    </row>
    <row r="1581" spans="2:10" ht="13.5" thickBot="1" x14ac:dyDescent="0.25">
      <c r="B1581" s="392" t="str">
        <f t="shared" si="48"/>
        <v>Veterans - COOPER John</v>
      </c>
      <c r="C1581" s="1441" t="str">
        <f t="shared" si="49"/>
        <v>COOPER John</v>
      </c>
      <c r="D1581" s="1428" t="s">
        <v>9734</v>
      </c>
      <c r="E1581" s="1429">
        <v>394</v>
      </c>
      <c r="F1581" s="1430" t="s">
        <v>16692</v>
      </c>
      <c r="G1581" s="1431" t="s">
        <v>3250</v>
      </c>
      <c r="H1581" s="1430" t="s">
        <v>13531</v>
      </c>
      <c r="I1581" s="1429" t="s">
        <v>1013</v>
      </c>
      <c r="J1581" s="2196">
        <v>3</v>
      </c>
    </row>
    <row r="1582" spans="2:10" ht="13.5" thickBot="1" x14ac:dyDescent="0.25">
      <c r="B1582" s="392" t="str">
        <f t="shared" si="48"/>
        <v>Veterans - CLEMARES Manuel</v>
      </c>
      <c r="C1582" s="1441" t="str">
        <f t="shared" si="49"/>
        <v>CLEMARES Manuel</v>
      </c>
      <c r="D1582" s="1428" t="s">
        <v>9734</v>
      </c>
      <c r="E1582" s="1429">
        <v>394</v>
      </c>
      <c r="F1582" s="1430" t="s">
        <v>11181</v>
      </c>
      <c r="G1582" s="1431" t="s">
        <v>3171</v>
      </c>
      <c r="H1582" s="1430" t="s">
        <v>7869</v>
      </c>
      <c r="I1582" s="1429" t="s">
        <v>1015</v>
      </c>
      <c r="J1582" s="2196">
        <v>3</v>
      </c>
    </row>
    <row r="1583" spans="2:10" ht="13.5" thickBot="1" x14ac:dyDescent="0.25">
      <c r="B1583" s="392" t="str">
        <f t="shared" si="48"/>
        <v>Veterans - SPOORS Brian</v>
      </c>
      <c r="C1583" s="1441" t="str">
        <f t="shared" si="49"/>
        <v>SPOORS Brian</v>
      </c>
      <c r="D1583" s="1428" t="s">
        <v>9734</v>
      </c>
      <c r="E1583" s="1429">
        <v>394</v>
      </c>
      <c r="F1583" s="1430" t="s">
        <v>10930</v>
      </c>
      <c r="G1583" s="1431" t="s">
        <v>3195</v>
      </c>
      <c r="H1583" s="1430" t="s">
        <v>2771</v>
      </c>
      <c r="I1583" s="1429" t="s">
        <v>1069</v>
      </c>
      <c r="J1583" s="2196">
        <v>3</v>
      </c>
    </row>
    <row r="1584" spans="2:10" ht="13.5" thickBot="1" x14ac:dyDescent="0.25">
      <c r="B1584" s="392" t="str">
        <f t="shared" si="48"/>
        <v>Veterans - GARGIULO Alfonso</v>
      </c>
      <c r="C1584" s="1441" t="str">
        <f t="shared" si="49"/>
        <v>GARGIULO Alfonso</v>
      </c>
      <c r="D1584" s="1428" t="s">
        <v>9734</v>
      </c>
      <c r="E1584" s="1429">
        <v>394</v>
      </c>
      <c r="F1584" s="1430" t="s">
        <v>3479</v>
      </c>
      <c r="G1584" s="1431" t="s">
        <v>3157</v>
      </c>
      <c r="H1584" s="1430" t="s">
        <v>7873</v>
      </c>
      <c r="I1584" s="1429" t="s">
        <v>1037</v>
      </c>
      <c r="J1584" s="2196">
        <v>3</v>
      </c>
    </row>
    <row r="1585" spans="2:10" ht="13.5" thickBot="1" x14ac:dyDescent="0.25">
      <c r="B1585" s="392" t="str">
        <f t="shared" si="48"/>
        <v>Veterans - BORBONES Ferran</v>
      </c>
      <c r="C1585" s="1441" t="str">
        <f t="shared" si="49"/>
        <v>BORBONES Ferran</v>
      </c>
      <c r="D1585" s="1428" t="s">
        <v>9734</v>
      </c>
      <c r="E1585" s="1429">
        <v>394</v>
      </c>
      <c r="F1585" s="1430" t="s">
        <v>14968</v>
      </c>
      <c r="G1585" s="1431" t="s">
        <v>7299</v>
      </c>
      <c r="H1585" s="1430" t="s">
        <v>2783</v>
      </c>
      <c r="I1585" s="1429" t="s">
        <v>1015</v>
      </c>
      <c r="J1585" s="2196">
        <v>3</v>
      </c>
    </row>
    <row r="1586" spans="2:10" ht="13.5" thickBot="1" x14ac:dyDescent="0.25">
      <c r="B1586" s="392" t="str">
        <f t="shared" si="48"/>
        <v>Veterans - MIFSUD Vincent</v>
      </c>
      <c r="C1586" s="1441" t="str">
        <f t="shared" si="49"/>
        <v>MIFSUD Vincent</v>
      </c>
      <c r="D1586" s="1428" t="s">
        <v>9734</v>
      </c>
      <c r="E1586" s="1429">
        <v>401</v>
      </c>
      <c r="F1586" s="1430" t="s">
        <v>3458</v>
      </c>
      <c r="G1586" s="1431" t="s">
        <v>3457</v>
      </c>
      <c r="H1586" s="1430" t="s">
        <v>11331</v>
      </c>
      <c r="I1586" s="1429" t="s">
        <v>1045</v>
      </c>
      <c r="J1586" s="2196">
        <v>2.5</v>
      </c>
    </row>
    <row r="1587" spans="2:10" ht="13.5" thickBot="1" x14ac:dyDescent="0.25">
      <c r="B1587" s="392" t="str">
        <f t="shared" si="48"/>
        <v>Veterans - HILL Martin</v>
      </c>
      <c r="C1587" s="1441" t="str">
        <f t="shared" si="49"/>
        <v>HILL Martin</v>
      </c>
      <c r="D1587" s="1428" t="s">
        <v>9734</v>
      </c>
      <c r="E1587" s="1429">
        <v>401</v>
      </c>
      <c r="F1587" s="1430" t="s">
        <v>16779</v>
      </c>
      <c r="G1587" s="1431" t="s">
        <v>3408</v>
      </c>
      <c r="H1587" s="1430" t="s">
        <v>15518</v>
      </c>
      <c r="I1587" s="1429" t="s">
        <v>1013</v>
      </c>
      <c r="J1587" s="2196">
        <v>2.5</v>
      </c>
    </row>
    <row r="1588" spans="2:10" ht="13.5" thickBot="1" x14ac:dyDescent="0.25">
      <c r="B1588" s="392" t="str">
        <f t="shared" si="48"/>
        <v>Veterans - HOLMES Martin</v>
      </c>
      <c r="C1588" s="1441" t="str">
        <f t="shared" si="49"/>
        <v>HOLMES Martin</v>
      </c>
      <c r="D1588" s="1428" t="s">
        <v>9734</v>
      </c>
      <c r="E1588" s="1429">
        <v>401</v>
      </c>
      <c r="F1588" s="1430" t="s">
        <v>14214</v>
      </c>
      <c r="G1588" s="1431" t="s">
        <v>3408</v>
      </c>
      <c r="H1588" s="1430" t="s">
        <v>15518</v>
      </c>
      <c r="I1588" s="1429" t="s">
        <v>1013</v>
      </c>
      <c r="J1588" s="2196">
        <v>2.5</v>
      </c>
    </row>
    <row r="1589" spans="2:10" ht="13.5" thickBot="1" x14ac:dyDescent="0.25">
      <c r="B1589" s="392" t="str">
        <f t="shared" si="48"/>
        <v>Veterans - ROPER Richard</v>
      </c>
      <c r="C1589" s="1441" t="str">
        <f t="shared" si="49"/>
        <v>ROPER Richard</v>
      </c>
      <c r="D1589" s="1428" t="s">
        <v>9734</v>
      </c>
      <c r="E1589" s="1429">
        <v>401</v>
      </c>
      <c r="F1589" s="1430" t="s">
        <v>14215</v>
      </c>
      <c r="G1589" s="1431" t="s">
        <v>3219</v>
      </c>
      <c r="H1589" s="1430" t="s">
        <v>14399</v>
      </c>
      <c r="I1589" s="1429" t="s">
        <v>1013</v>
      </c>
      <c r="J1589" s="2196">
        <v>2.5</v>
      </c>
    </row>
    <row r="1590" spans="2:10" ht="13.5" thickBot="1" x14ac:dyDescent="0.25">
      <c r="B1590" s="392" t="str">
        <f t="shared" si="48"/>
        <v>Veterans - EVERITT David</v>
      </c>
      <c r="C1590" s="1441" t="str">
        <f t="shared" si="49"/>
        <v>EVERITT David</v>
      </c>
      <c r="D1590" s="1428" t="s">
        <v>9734</v>
      </c>
      <c r="E1590" s="1429">
        <v>401</v>
      </c>
      <c r="F1590" s="1430" t="s">
        <v>16780</v>
      </c>
      <c r="G1590" s="1431" t="s">
        <v>3072</v>
      </c>
      <c r="H1590" s="1430" t="s">
        <v>15518</v>
      </c>
      <c r="I1590" s="1429" t="s">
        <v>1013</v>
      </c>
      <c r="J1590" s="2196">
        <v>2.5</v>
      </c>
    </row>
    <row r="1591" spans="2:10" ht="13.5" thickBot="1" x14ac:dyDescent="0.25">
      <c r="B1591" s="392" t="str">
        <f t="shared" si="48"/>
        <v>Veterans - MCCANN Tony</v>
      </c>
      <c r="C1591" s="1441" t="str">
        <f t="shared" si="49"/>
        <v>MCCANN Tony</v>
      </c>
      <c r="D1591" s="1428" t="s">
        <v>9734</v>
      </c>
      <c r="E1591" s="1429">
        <v>401</v>
      </c>
      <c r="F1591" s="1430" t="s">
        <v>14942</v>
      </c>
      <c r="G1591" s="1431" t="s">
        <v>3134</v>
      </c>
      <c r="H1591" s="1430" t="s">
        <v>15274</v>
      </c>
      <c r="I1591" s="1429" t="s">
        <v>1013</v>
      </c>
      <c r="J1591" s="2196">
        <v>2.5</v>
      </c>
    </row>
    <row r="1592" spans="2:10" ht="13.5" thickBot="1" x14ac:dyDescent="0.25">
      <c r="B1592" s="392" t="str">
        <f t="shared" si="48"/>
        <v>Veterans - LEWIS Vicky</v>
      </c>
      <c r="C1592" s="1441" t="str">
        <f t="shared" si="49"/>
        <v>LEWIS Vicky</v>
      </c>
      <c r="D1592" s="1428" t="s">
        <v>9734</v>
      </c>
      <c r="E1592" s="1429">
        <v>401</v>
      </c>
      <c r="F1592" s="1430" t="s">
        <v>16774</v>
      </c>
      <c r="G1592" s="1431" t="s">
        <v>15806</v>
      </c>
      <c r="H1592" s="1430" t="s">
        <v>17082</v>
      </c>
      <c r="I1592" s="1429" t="s">
        <v>1013</v>
      </c>
      <c r="J1592" s="2196">
        <v>2.5</v>
      </c>
    </row>
    <row r="1593" spans="2:10" ht="13.5" thickBot="1" x14ac:dyDescent="0.25">
      <c r="B1593" s="392" t="str">
        <f t="shared" si="48"/>
        <v>Veterans - DOHERTY Neil</v>
      </c>
      <c r="C1593" s="1441" t="str">
        <f t="shared" si="49"/>
        <v>DOHERTY Neil</v>
      </c>
      <c r="D1593" s="1428" t="s">
        <v>9734</v>
      </c>
      <c r="E1593" s="1429">
        <v>401</v>
      </c>
      <c r="F1593" s="1430" t="s">
        <v>14945</v>
      </c>
      <c r="G1593" s="1431" t="s">
        <v>3440</v>
      </c>
      <c r="H1593" s="1430" t="s">
        <v>17082</v>
      </c>
      <c r="I1593" s="1429" t="s">
        <v>1013</v>
      </c>
      <c r="J1593" s="2196">
        <v>2.5</v>
      </c>
    </row>
    <row r="1594" spans="2:10" ht="13.5" thickBot="1" x14ac:dyDescent="0.25">
      <c r="B1594" s="392" t="str">
        <f t="shared" si="48"/>
        <v>Veterans - PONTIKOPOULOS Georgios</v>
      </c>
      <c r="C1594" s="1441" t="str">
        <f t="shared" si="49"/>
        <v>PONTIKOPOULOS Georgios</v>
      </c>
      <c r="D1594" s="1428" t="s">
        <v>9734</v>
      </c>
      <c r="E1594" s="1429">
        <v>401</v>
      </c>
      <c r="F1594" s="1430" t="s">
        <v>14996</v>
      </c>
      <c r="G1594" s="1431" t="s">
        <v>3324</v>
      </c>
      <c r="H1594" s="1430" t="s">
        <v>3041</v>
      </c>
      <c r="I1594" s="1429" t="s">
        <v>1025</v>
      </c>
      <c r="J1594" s="2196">
        <v>2.5</v>
      </c>
    </row>
    <row r="1595" spans="2:10" ht="13.5" thickBot="1" x14ac:dyDescent="0.25">
      <c r="B1595" s="392" t="str">
        <f t="shared" si="48"/>
        <v>Veterans - TURPIN John</v>
      </c>
      <c r="C1595" s="1441" t="str">
        <f t="shared" si="49"/>
        <v>TURPIN John</v>
      </c>
      <c r="D1595" s="1428" t="s">
        <v>9734</v>
      </c>
      <c r="E1595" s="1429">
        <v>401</v>
      </c>
      <c r="F1595" s="1430" t="s">
        <v>14207</v>
      </c>
      <c r="G1595" s="1431" t="s">
        <v>3250</v>
      </c>
      <c r="H1595" s="1430" t="s">
        <v>13531</v>
      </c>
      <c r="I1595" s="1429" t="s">
        <v>1013</v>
      </c>
      <c r="J1595" s="2196">
        <v>2.5</v>
      </c>
    </row>
    <row r="1596" spans="2:10" ht="13.5" thickBot="1" x14ac:dyDescent="0.25">
      <c r="B1596" s="392" t="str">
        <f t="shared" si="48"/>
        <v>Veterans - FREITAS José</v>
      </c>
      <c r="C1596" s="1441" t="str">
        <f t="shared" si="49"/>
        <v>FREITAS José</v>
      </c>
      <c r="D1596" s="1428" t="s">
        <v>9734</v>
      </c>
      <c r="E1596" s="1429">
        <v>401</v>
      </c>
      <c r="F1596" s="1430" t="s">
        <v>14295</v>
      </c>
      <c r="G1596" s="1431" t="s">
        <v>3232</v>
      </c>
      <c r="H1596" s="1430" t="s">
        <v>14359</v>
      </c>
      <c r="I1596" s="1429" t="s">
        <v>1061</v>
      </c>
      <c r="J1596" s="2196">
        <v>2.5</v>
      </c>
    </row>
    <row r="1597" spans="2:10" ht="13.5" thickBot="1" x14ac:dyDescent="0.25">
      <c r="B1597" s="392" t="str">
        <f t="shared" si="48"/>
        <v>Veterans - KARAMANIS Athanasios</v>
      </c>
      <c r="C1597" s="1441" t="str">
        <f t="shared" si="49"/>
        <v>KARAMANIS Athanasios</v>
      </c>
      <c r="D1597" s="1428" t="s">
        <v>9734</v>
      </c>
      <c r="E1597" s="1429">
        <v>401</v>
      </c>
      <c r="F1597" s="1430" t="s">
        <v>3224</v>
      </c>
      <c r="G1597" s="1431" t="s">
        <v>3472</v>
      </c>
      <c r="H1597" s="1430" t="s">
        <v>3213</v>
      </c>
      <c r="I1597" s="1429" t="s">
        <v>1025</v>
      </c>
      <c r="J1597" s="2196">
        <v>2.5</v>
      </c>
    </row>
    <row r="1598" spans="2:10" ht="13.5" thickBot="1" x14ac:dyDescent="0.25">
      <c r="B1598" s="392" t="str">
        <f t="shared" si="48"/>
        <v>Veterans - BOOTHMAN Jeremy</v>
      </c>
      <c r="C1598" s="1441" t="str">
        <f t="shared" si="49"/>
        <v>BOOTHMAN Jeremy</v>
      </c>
      <c r="D1598" s="1428" t="s">
        <v>9734</v>
      </c>
      <c r="E1598" s="1429">
        <v>401</v>
      </c>
      <c r="F1598" s="1430" t="s">
        <v>14195</v>
      </c>
      <c r="G1598" s="1431" t="s">
        <v>3110</v>
      </c>
      <c r="H1598" s="1430" t="s">
        <v>13531</v>
      </c>
      <c r="I1598" s="1429" t="s">
        <v>1013</v>
      </c>
      <c r="J1598" s="2196">
        <v>2.5</v>
      </c>
    </row>
    <row r="1599" spans="2:10" ht="13.5" thickBot="1" x14ac:dyDescent="0.25">
      <c r="B1599" s="392" t="str">
        <f t="shared" si="48"/>
        <v>Veterans - IOAN Alessandro</v>
      </c>
      <c r="C1599" s="1441" t="str">
        <f t="shared" si="49"/>
        <v>IOAN Alessandro</v>
      </c>
      <c r="D1599" s="1428" t="s">
        <v>9734</v>
      </c>
      <c r="E1599" s="1429">
        <v>401</v>
      </c>
      <c r="F1599" s="1430" t="s">
        <v>14271</v>
      </c>
      <c r="G1599" s="1431" t="s">
        <v>3125</v>
      </c>
      <c r="H1599" s="1430" t="s">
        <v>2773</v>
      </c>
      <c r="I1599" s="1429" t="s">
        <v>1037</v>
      </c>
      <c r="J1599" s="2196">
        <v>2.5</v>
      </c>
    </row>
    <row r="1600" spans="2:10" ht="13.5" thickBot="1" x14ac:dyDescent="0.25">
      <c r="B1600" s="392" t="str">
        <f t="shared" si="48"/>
        <v>Veterans - SINGH Melvindepal</v>
      </c>
      <c r="C1600" s="1441" t="str">
        <f t="shared" si="49"/>
        <v>SINGH Melvindepal</v>
      </c>
      <c r="D1600" s="1428" t="s">
        <v>9734</v>
      </c>
      <c r="E1600" s="1429">
        <v>415</v>
      </c>
      <c r="F1600" s="1430" t="s">
        <v>14947</v>
      </c>
      <c r="G1600" s="1431" t="s">
        <v>14802</v>
      </c>
      <c r="H1600" s="1430" t="s">
        <v>8716</v>
      </c>
      <c r="I1600" s="1429" t="s">
        <v>7916</v>
      </c>
      <c r="J1600" s="2196">
        <v>2</v>
      </c>
    </row>
    <row r="1601" spans="2:10" ht="13.5" thickBot="1" x14ac:dyDescent="0.25">
      <c r="B1601" s="392" t="str">
        <f t="shared" si="48"/>
        <v>Veterans - COTUGNO Massimo</v>
      </c>
      <c r="C1601" s="1441" t="str">
        <f t="shared" si="49"/>
        <v>COTUGNO Massimo</v>
      </c>
      <c r="D1601" s="1428" t="s">
        <v>9734</v>
      </c>
      <c r="E1601" s="1429">
        <v>415</v>
      </c>
      <c r="F1601" s="1430" t="s">
        <v>16783</v>
      </c>
      <c r="G1601" s="1431" t="s">
        <v>3013</v>
      </c>
      <c r="H1601" s="1430" t="s">
        <v>16897</v>
      </c>
      <c r="I1601" s="1429" t="s">
        <v>1037</v>
      </c>
      <c r="J1601" s="2196">
        <v>2</v>
      </c>
    </row>
    <row r="1602" spans="2:10" ht="13.5" thickBot="1" x14ac:dyDescent="0.25">
      <c r="B1602" s="392" t="str">
        <f t="shared" si="48"/>
        <v>Veterans - TAIB Mohd Rizal</v>
      </c>
      <c r="C1602" s="1441" t="str">
        <f t="shared" si="49"/>
        <v>TAIB Mohd Rizal</v>
      </c>
      <c r="D1602" s="1428" t="s">
        <v>9734</v>
      </c>
      <c r="E1602" s="1429">
        <v>415</v>
      </c>
      <c r="F1602" s="1430" t="s">
        <v>3480</v>
      </c>
      <c r="G1602" s="1431" t="s">
        <v>3481</v>
      </c>
      <c r="H1602" s="1430" t="s">
        <v>7270</v>
      </c>
      <c r="I1602" s="1429" t="s">
        <v>7916</v>
      </c>
      <c r="J1602" s="2196">
        <v>2</v>
      </c>
    </row>
    <row r="1603" spans="2:10" ht="13.5" thickBot="1" x14ac:dyDescent="0.25">
      <c r="B1603" s="392" t="str">
        <f t="shared" si="48"/>
        <v>Veterans - BATTIPAGLIA Ciro</v>
      </c>
      <c r="C1603" s="1441" t="str">
        <f t="shared" si="49"/>
        <v>BATTIPAGLIA Ciro</v>
      </c>
      <c r="D1603" s="1428" t="s">
        <v>9734</v>
      </c>
      <c r="E1603" s="1429">
        <v>415</v>
      </c>
      <c r="F1603" s="1430" t="s">
        <v>16787</v>
      </c>
      <c r="G1603" s="1431" t="s">
        <v>3301</v>
      </c>
      <c r="H1603" s="1430" t="s">
        <v>11330</v>
      </c>
      <c r="I1603" s="1429" t="s">
        <v>1037</v>
      </c>
      <c r="J1603" s="2196">
        <v>2</v>
      </c>
    </row>
    <row r="1604" spans="2:10" ht="13.5" thickBot="1" x14ac:dyDescent="0.25">
      <c r="B1604" s="392" t="str">
        <f t="shared" si="48"/>
        <v>Veterans - CUOMO Ettore</v>
      </c>
      <c r="C1604" s="1441" t="str">
        <f t="shared" si="49"/>
        <v>CUOMO Ettore</v>
      </c>
      <c r="D1604" s="1428" t="s">
        <v>9734</v>
      </c>
      <c r="E1604" s="1429">
        <v>415</v>
      </c>
      <c r="F1604" s="1430" t="s">
        <v>16788</v>
      </c>
      <c r="G1604" s="1431" t="s">
        <v>3528</v>
      </c>
      <c r="H1604" s="1430" t="s">
        <v>7877</v>
      </c>
      <c r="I1604" s="1429" t="s">
        <v>1037</v>
      </c>
      <c r="J1604" s="2196">
        <v>2</v>
      </c>
    </row>
    <row r="1605" spans="2:10" ht="13.5" thickBot="1" x14ac:dyDescent="0.25">
      <c r="B1605" s="392" t="str">
        <f t="shared" si="48"/>
        <v>Veterans - COSTANTINO Giuseppe</v>
      </c>
      <c r="C1605" s="1441" t="str">
        <f t="shared" si="49"/>
        <v>COSTANTINO Giuseppe</v>
      </c>
      <c r="D1605" s="1428" t="s">
        <v>9734</v>
      </c>
      <c r="E1605" s="1429">
        <v>415</v>
      </c>
      <c r="F1605" s="1430" t="s">
        <v>14994</v>
      </c>
      <c r="G1605" s="1431" t="s">
        <v>3122</v>
      </c>
      <c r="H1605" s="1430" t="s">
        <v>9700</v>
      </c>
      <c r="I1605" s="1429" t="s">
        <v>1037</v>
      </c>
      <c r="J1605" s="2196">
        <v>2</v>
      </c>
    </row>
    <row r="1606" spans="2:10" ht="13.5" thickBot="1" x14ac:dyDescent="0.25">
      <c r="B1606" s="392" t="str">
        <f t="shared" si="48"/>
        <v>Veterans - TACCHIA Domenico</v>
      </c>
      <c r="C1606" s="1441" t="str">
        <f t="shared" si="49"/>
        <v>TACCHIA Domenico</v>
      </c>
      <c r="D1606" s="1428" t="s">
        <v>9734</v>
      </c>
      <c r="E1606" s="1429">
        <v>415</v>
      </c>
      <c r="F1606" s="1430" t="s">
        <v>9492</v>
      </c>
      <c r="G1606" s="1431" t="s">
        <v>3353</v>
      </c>
      <c r="H1606" s="1430" t="s">
        <v>16843</v>
      </c>
      <c r="I1606" s="1429" t="s">
        <v>1037</v>
      </c>
      <c r="J1606" s="2196">
        <v>2</v>
      </c>
    </row>
    <row r="1607" spans="2:10" ht="13.5" thickBot="1" x14ac:dyDescent="0.25">
      <c r="B1607" s="392" t="str">
        <f t="shared" ref="B1607:B1670" si="50">CONCATENATE(D1607," - ",C1607)</f>
        <v>Veterans - PERICCIOLI Andrea</v>
      </c>
      <c r="C1607" s="1441" t="str">
        <f t="shared" ref="C1607:C1670" si="51">CONCATENATE(UPPER(F1607)," ",G1607)</f>
        <v>PERICCIOLI Andrea</v>
      </c>
      <c r="D1607" s="1428" t="s">
        <v>9734</v>
      </c>
      <c r="E1607" s="1429">
        <v>415</v>
      </c>
      <c r="F1607" s="1430" t="s">
        <v>11482</v>
      </c>
      <c r="G1607" s="1431" t="s">
        <v>3027</v>
      </c>
      <c r="H1607" s="1430" t="s">
        <v>3614</v>
      </c>
      <c r="I1607" s="1429" t="s">
        <v>1037</v>
      </c>
      <c r="J1607" s="2196">
        <v>2</v>
      </c>
    </row>
    <row r="1608" spans="2:10" ht="13.5" thickBot="1" x14ac:dyDescent="0.25">
      <c r="B1608" s="392" t="str">
        <f t="shared" si="50"/>
        <v>Veterans - PIERONI Roberto</v>
      </c>
      <c r="C1608" s="1441" t="str">
        <f t="shared" si="51"/>
        <v>PIERONI Roberto</v>
      </c>
      <c r="D1608" s="1428" t="s">
        <v>9734</v>
      </c>
      <c r="E1608" s="1429">
        <v>423</v>
      </c>
      <c r="F1608" s="1430" t="s">
        <v>14292</v>
      </c>
      <c r="G1608" s="1431" t="s">
        <v>3279</v>
      </c>
      <c r="H1608" s="1430" t="s">
        <v>11325</v>
      </c>
      <c r="I1608" s="1429" t="s">
        <v>1037</v>
      </c>
      <c r="J1608" s="2196">
        <v>1.5</v>
      </c>
    </row>
    <row r="1609" spans="2:10" ht="13.5" thickBot="1" x14ac:dyDescent="0.25">
      <c r="B1609" s="392" t="str">
        <f t="shared" si="50"/>
        <v>Veterans - KOTROTSOS Christos</v>
      </c>
      <c r="C1609" s="1441" t="str">
        <f t="shared" si="51"/>
        <v>KOTROTSOS Christos</v>
      </c>
      <c r="D1609" s="1428" t="s">
        <v>9734</v>
      </c>
      <c r="E1609" s="1429">
        <v>423</v>
      </c>
      <c r="F1609" s="1430" t="s">
        <v>5562</v>
      </c>
      <c r="G1609" s="1431" t="s">
        <v>3135</v>
      </c>
      <c r="H1609" s="1430" t="s">
        <v>3213</v>
      </c>
      <c r="I1609" s="1429" t="s">
        <v>1025</v>
      </c>
      <c r="J1609" s="2196">
        <v>1.5</v>
      </c>
    </row>
    <row r="1610" spans="2:10" ht="13.5" thickBot="1" x14ac:dyDescent="0.25">
      <c r="B1610" s="392" t="str">
        <f t="shared" si="50"/>
        <v>Veterans - RUIZ Ernesto</v>
      </c>
      <c r="C1610" s="1441" t="str">
        <f t="shared" si="51"/>
        <v>RUIZ Ernesto</v>
      </c>
      <c r="D1610" s="1428" t="s">
        <v>9734</v>
      </c>
      <c r="E1610" s="1429">
        <v>423</v>
      </c>
      <c r="F1610" s="1430" t="s">
        <v>9470</v>
      </c>
      <c r="G1610" s="1431" t="s">
        <v>5464</v>
      </c>
      <c r="H1610" s="1430" t="s">
        <v>7871</v>
      </c>
      <c r="I1610" s="1429" t="s">
        <v>1015</v>
      </c>
      <c r="J1610" s="2196">
        <v>1.5</v>
      </c>
    </row>
    <row r="1611" spans="2:10" ht="13.5" thickBot="1" x14ac:dyDescent="0.25">
      <c r="B1611" s="392" t="str">
        <f t="shared" si="50"/>
        <v>Veterans - SKLAVOUNOS Georgios</v>
      </c>
      <c r="C1611" s="1441" t="str">
        <f t="shared" si="51"/>
        <v>SKLAVOUNOS Georgios</v>
      </c>
      <c r="D1611" s="1428" t="s">
        <v>9734</v>
      </c>
      <c r="E1611" s="1429">
        <v>423</v>
      </c>
      <c r="F1611" s="1430" t="s">
        <v>3437</v>
      </c>
      <c r="G1611" s="1431" t="s">
        <v>3324</v>
      </c>
      <c r="H1611" s="1430" t="s">
        <v>14596</v>
      </c>
      <c r="I1611" s="1429" t="s">
        <v>1025</v>
      </c>
      <c r="J1611" s="2196">
        <v>1.5</v>
      </c>
    </row>
    <row r="1612" spans="2:10" ht="13.5" thickBot="1" x14ac:dyDescent="0.25">
      <c r="B1612" s="392" t="str">
        <f t="shared" si="50"/>
        <v>Veterans - HARO Juan Manuel</v>
      </c>
      <c r="C1612" s="1441" t="str">
        <f t="shared" si="51"/>
        <v>HARO Juan Manuel</v>
      </c>
      <c r="D1612" s="1428" t="s">
        <v>9734</v>
      </c>
      <c r="E1612" s="1429">
        <v>423</v>
      </c>
      <c r="F1612" s="1430" t="s">
        <v>14209</v>
      </c>
      <c r="G1612" s="1431" t="s">
        <v>3065</v>
      </c>
      <c r="H1612" s="1430" t="s">
        <v>7871</v>
      </c>
      <c r="I1612" s="1429" t="s">
        <v>1015</v>
      </c>
      <c r="J1612" s="2196">
        <v>1.5</v>
      </c>
    </row>
    <row r="1613" spans="2:10" ht="13.5" thickBot="1" x14ac:dyDescent="0.25">
      <c r="B1613" s="392" t="str">
        <f t="shared" si="50"/>
        <v>Veterans - CEVOLANI Greta</v>
      </c>
      <c r="C1613" s="1441" t="str">
        <f t="shared" si="51"/>
        <v>CEVOLANI Greta</v>
      </c>
      <c r="D1613" s="1428" t="s">
        <v>9734</v>
      </c>
      <c r="E1613" s="1429">
        <v>423</v>
      </c>
      <c r="F1613" s="1430" t="s">
        <v>14291</v>
      </c>
      <c r="G1613" s="1431" t="s">
        <v>8293</v>
      </c>
      <c r="H1613" s="1430" t="s">
        <v>2749</v>
      </c>
      <c r="I1613" s="1429" t="s">
        <v>1037</v>
      </c>
      <c r="J1613" s="2196">
        <v>1.5</v>
      </c>
    </row>
    <row r="1614" spans="2:10" ht="13.5" thickBot="1" x14ac:dyDescent="0.25">
      <c r="B1614" s="392" t="str">
        <f t="shared" si="50"/>
        <v>Veterans - CAVAZZA Fabrizio</v>
      </c>
      <c r="C1614" s="1441" t="str">
        <f t="shared" si="51"/>
        <v>CAVAZZA Fabrizio</v>
      </c>
      <c r="D1614" s="1428" t="s">
        <v>9734</v>
      </c>
      <c r="E1614" s="1429">
        <v>429</v>
      </c>
      <c r="F1614" s="1430" t="s">
        <v>7291</v>
      </c>
      <c r="G1614" s="1431" t="s">
        <v>3087</v>
      </c>
      <c r="H1614" s="1430" t="s">
        <v>2773</v>
      </c>
      <c r="I1614" s="1429" t="s">
        <v>1037</v>
      </c>
      <c r="J1614" s="2196">
        <v>1</v>
      </c>
    </row>
    <row r="1615" spans="2:10" ht="13.5" thickBot="1" x14ac:dyDescent="0.25">
      <c r="B1615" s="392" t="str">
        <f t="shared" si="50"/>
        <v>Women - DESPRETZ Léa</v>
      </c>
      <c r="C1615" s="1441" t="str">
        <f t="shared" si="51"/>
        <v>DESPRETZ Léa</v>
      </c>
      <c r="D1615" s="1428" t="s">
        <v>16795</v>
      </c>
      <c r="E1615" s="1429">
        <v>1</v>
      </c>
      <c r="F1615" s="1430" t="s">
        <v>3261</v>
      </c>
      <c r="G1615" s="1431" t="s">
        <v>6880</v>
      </c>
      <c r="H1615" s="1430" t="s">
        <v>13519</v>
      </c>
      <c r="I1615" s="1429" t="s">
        <v>990</v>
      </c>
      <c r="J1615" s="2196">
        <v>2833.5</v>
      </c>
    </row>
    <row r="1616" spans="2:10" ht="13.5" thickBot="1" x14ac:dyDescent="0.25">
      <c r="B1616" s="392" t="str">
        <f t="shared" si="50"/>
        <v>Women - HERBAUT Audrey</v>
      </c>
      <c r="C1616" s="1441" t="str">
        <f t="shared" si="51"/>
        <v>HERBAUT Audrey</v>
      </c>
      <c r="D1616" s="1428" t="s">
        <v>16795</v>
      </c>
      <c r="E1616" s="1429">
        <v>2</v>
      </c>
      <c r="F1616" s="1430" t="s">
        <v>7322</v>
      </c>
      <c r="G1616" s="1431" t="s">
        <v>3649</v>
      </c>
      <c r="H1616" s="1430" t="s">
        <v>15183</v>
      </c>
      <c r="I1616" s="1429" t="s">
        <v>1019</v>
      </c>
      <c r="J1616" s="2196">
        <v>2733</v>
      </c>
    </row>
    <row r="1617" spans="2:10" ht="13.5" thickBot="1" x14ac:dyDescent="0.25">
      <c r="B1617" s="392" t="str">
        <f t="shared" si="50"/>
        <v>Women - VILLARIGUES Carolina</v>
      </c>
      <c r="C1617" s="1441" t="str">
        <f t="shared" si="51"/>
        <v>VILLARIGUES Carolina</v>
      </c>
      <c r="D1617" s="1428" t="s">
        <v>16795</v>
      </c>
      <c r="E1617" s="1429">
        <v>3</v>
      </c>
      <c r="F1617" s="1430" t="s">
        <v>14140</v>
      </c>
      <c r="G1617" s="1431" t="s">
        <v>3506</v>
      </c>
      <c r="H1617" s="1430" t="s">
        <v>15175</v>
      </c>
      <c r="I1617" s="1429" t="s">
        <v>1061</v>
      </c>
      <c r="J1617" s="2196">
        <v>2544.5</v>
      </c>
    </row>
    <row r="1618" spans="2:10" ht="13.5" thickBot="1" x14ac:dyDescent="0.25">
      <c r="B1618" s="392" t="str">
        <f t="shared" si="50"/>
        <v>Women - SCHEEN Mélina</v>
      </c>
      <c r="C1618" s="1441" t="str">
        <f t="shared" si="51"/>
        <v>SCHEEN Mélina</v>
      </c>
      <c r="D1618" s="1428" t="s">
        <v>16795</v>
      </c>
      <c r="E1618" s="1429">
        <v>4</v>
      </c>
      <c r="F1618" s="1430" t="s">
        <v>3034</v>
      </c>
      <c r="G1618" s="1431" t="s">
        <v>13654</v>
      </c>
      <c r="H1618" s="1430" t="s">
        <v>10250</v>
      </c>
      <c r="I1618" s="1429" t="s">
        <v>990</v>
      </c>
      <c r="J1618" s="2196">
        <v>2451.5</v>
      </c>
    </row>
    <row r="1619" spans="2:10" ht="13.5" thickBot="1" x14ac:dyDescent="0.25">
      <c r="B1619" s="392" t="str">
        <f t="shared" si="50"/>
        <v>Women - BUTTITTA Eleonora</v>
      </c>
      <c r="C1619" s="1441" t="str">
        <f t="shared" si="51"/>
        <v>BUTTITTA Eleonora</v>
      </c>
      <c r="D1619" s="1428" t="s">
        <v>16795</v>
      </c>
      <c r="E1619" s="1429">
        <v>5</v>
      </c>
      <c r="F1619" s="1430" t="s">
        <v>7297</v>
      </c>
      <c r="G1619" s="1431" t="s">
        <v>3544</v>
      </c>
      <c r="H1619" s="1430" t="s">
        <v>10270</v>
      </c>
      <c r="I1619" s="1429" t="s">
        <v>1037</v>
      </c>
      <c r="J1619" s="2196">
        <v>1582.5</v>
      </c>
    </row>
    <row r="1620" spans="2:10" ht="13.5" thickBot="1" x14ac:dyDescent="0.25">
      <c r="B1620" s="392" t="str">
        <f t="shared" si="50"/>
        <v>Women - PAPANIKOLAOU Eleftheria</v>
      </c>
      <c r="C1620" s="1441" t="str">
        <f t="shared" si="51"/>
        <v>PAPANIKOLAOU Eleftheria</v>
      </c>
      <c r="D1620" s="1428" t="s">
        <v>16795</v>
      </c>
      <c r="E1620" s="1429">
        <v>6</v>
      </c>
      <c r="F1620" s="1430" t="s">
        <v>3640</v>
      </c>
      <c r="G1620" s="1431" t="s">
        <v>5631</v>
      </c>
      <c r="H1620" s="1430" t="s">
        <v>2760</v>
      </c>
      <c r="I1620" s="1429" t="s">
        <v>1025</v>
      </c>
      <c r="J1620" s="2196">
        <v>1516.5</v>
      </c>
    </row>
    <row r="1621" spans="2:10" ht="13.5" thickBot="1" x14ac:dyDescent="0.25">
      <c r="B1621" s="392" t="str">
        <f t="shared" si="50"/>
        <v>Women - WALDORF-BUSCH Katharina</v>
      </c>
      <c r="C1621" s="1441" t="str">
        <f t="shared" si="51"/>
        <v>WALDORF-BUSCH Katharina</v>
      </c>
      <c r="D1621" s="1428" t="s">
        <v>16795</v>
      </c>
      <c r="E1621" s="1429">
        <v>7</v>
      </c>
      <c r="F1621" s="1430" t="s">
        <v>13502</v>
      </c>
      <c r="G1621" s="1431" t="s">
        <v>9614</v>
      </c>
      <c r="H1621" s="1430" t="s">
        <v>10253</v>
      </c>
      <c r="I1621" s="1429" t="s">
        <v>988</v>
      </c>
      <c r="J1621" s="2196">
        <v>1245</v>
      </c>
    </row>
    <row r="1622" spans="2:10" ht="13.5" thickBot="1" x14ac:dyDescent="0.25">
      <c r="B1622" s="392" t="str">
        <f t="shared" si="50"/>
        <v>Women - BERTHOLET Elodie</v>
      </c>
      <c r="C1622" s="1441" t="str">
        <f t="shared" si="51"/>
        <v>BERTHOLET Elodie</v>
      </c>
      <c r="D1622" s="1428" t="s">
        <v>16795</v>
      </c>
      <c r="E1622" s="1429">
        <v>8</v>
      </c>
      <c r="F1622" s="1430" t="s">
        <v>3282</v>
      </c>
      <c r="G1622" s="1431" t="s">
        <v>3283</v>
      </c>
      <c r="H1622" s="1430" t="s">
        <v>13519</v>
      </c>
      <c r="I1622" s="1429" t="s">
        <v>990</v>
      </c>
      <c r="J1622" s="2196">
        <v>1137</v>
      </c>
    </row>
    <row r="1623" spans="2:10" ht="13.5" thickBot="1" x14ac:dyDescent="0.25">
      <c r="B1623" s="392" t="str">
        <f t="shared" si="50"/>
        <v>Women - GUYOT Françoise</v>
      </c>
      <c r="C1623" s="1441" t="str">
        <f t="shared" si="51"/>
        <v>GUYOT Françoise</v>
      </c>
      <c r="D1623" s="1428" t="s">
        <v>16795</v>
      </c>
      <c r="E1623" s="1429">
        <v>9</v>
      </c>
      <c r="F1623" s="1430" t="s">
        <v>3524</v>
      </c>
      <c r="G1623" s="1431" t="s">
        <v>3525</v>
      </c>
      <c r="H1623" s="1430" t="s">
        <v>15183</v>
      </c>
      <c r="I1623" s="1429" t="s">
        <v>1019</v>
      </c>
      <c r="J1623" s="2196">
        <v>1128</v>
      </c>
    </row>
    <row r="1624" spans="2:10" ht="13.5" thickBot="1" x14ac:dyDescent="0.25">
      <c r="B1624" s="392" t="str">
        <f t="shared" si="50"/>
        <v>Women - PAPPA Chrysoula</v>
      </c>
      <c r="C1624" s="1441" t="str">
        <f t="shared" si="51"/>
        <v>PAPPA Chrysoula</v>
      </c>
      <c r="D1624" s="1428" t="s">
        <v>16795</v>
      </c>
      <c r="E1624" s="1429">
        <v>10</v>
      </c>
      <c r="F1624" s="1430" t="s">
        <v>14301</v>
      </c>
      <c r="G1624" s="1431" t="s">
        <v>13902</v>
      </c>
      <c r="H1624" s="1430" t="s">
        <v>2745</v>
      </c>
      <c r="I1624" s="1429" t="s">
        <v>1025</v>
      </c>
      <c r="J1624" s="2196">
        <v>1064.5</v>
      </c>
    </row>
    <row r="1625" spans="2:10" ht="13.5" thickBot="1" x14ac:dyDescent="0.25">
      <c r="B1625" s="392" t="str">
        <f t="shared" si="50"/>
        <v>Women - GARNIER Stéphanie</v>
      </c>
      <c r="C1625" s="1441" t="str">
        <f t="shared" si="51"/>
        <v>GARNIER Stéphanie</v>
      </c>
      <c r="D1625" s="1428" t="s">
        <v>16795</v>
      </c>
      <c r="E1625" s="1429">
        <v>11</v>
      </c>
      <c r="F1625" s="1430" t="s">
        <v>3361</v>
      </c>
      <c r="G1625" s="1431" t="s">
        <v>8777</v>
      </c>
      <c r="H1625" s="1430" t="s">
        <v>2755</v>
      </c>
      <c r="I1625" s="1429" t="s">
        <v>1019</v>
      </c>
      <c r="J1625" s="2196">
        <v>868</v>
      </c>
    </row>
    <row r="1626" spans="2:10" ht="13.5" thickBot="1" x14ac:dyDescent="0.25">
      <c r="B1626" s="392" t="str">
        <f t="shared" si="50"/>
        <v>Women - DESPRETZ Emilie</v>
      </c>
      <c r="C1626" s="1441" t="str">
        <f t="shared" si="51"/>
        <v>DESPRETZ Emilie</v>
      </c>
      <c r="D1626" s="1428" t="s">
        <v>16795</v>
      </c>
      <c r="E1626" s="1429">
        <v>12</v>
      </c>
      <c r="F1626" s="1430" t="s">
        <v>3261</v>
      </c>
      <c r="G1626" s="1431" t="s">
        <v>15460</v>
      </c>
      <c r="H1626" s="1430" t="s">
        <v>13519</v>
      </c>
      <c r="I1626" s="1429" t="s">
        <v>990</v>
      </c>
      <c r="J1626" s="2196">
        <v>682</v>
      </c>
    </row>
    <row r="1627" spans="2:10" ht="13.5" thickBot="1" x14ac:dyDescent="0.25">
      <c r="B1627" s="392" t="str">
        <f t="shared" si="50"/>
        <v>Women - DIEUDONNE Delphine</v>
      </c>
      <c r="C1627" s="1441" t="str">
        <f t="shared" si="51"/>
        <v>DIEUDONNE Delphine</v>
      </c>
      <c r="D1627" s="1428" t="s">
        <v>16795</v>
      </c>
      <c r="E1627" s="1429">
        <v>13</v>
      </c>
      <c r="F1627" s="1430" t="s">
        <v>14170</v>
      </c>
      <c r="G1627" s="1431" t="s">
        <v>3244</v>
      </c>
      <c r="H1627" s="1430" t="s">
        <v>13519</v>
      </c>
      <c r="I1627" s="1429" t="s">
        <v>990</v>
      </c>
      <c r="J1627" s="2196">
        <v>655</v>
      </c>
    </row>
    <row r="1628" spans="2:10" ht="13.5" thickBot="1" x14ac:dyDescent="0.25">
      <c r="B1628" s="392" t="str">
        <f t="shared" si="50"/>
        <v>Women - LINQUERCQ-RIVIÈRE Irène</v>
      </c>
      <c r="C1628" s="1441" t="str">
        <f t="shared" si="51"/>
        <v>LINQUERCQ-RIVIÈRE Irène</v>
      </c>
      <c r="D1628" s="1428" t="s">
        <v>16795</v>
      </c>
      <c r="E1628" s="1429">
        <v>14</v>
      </c>
      <c r="F1628" s="1430" t="s">
        <v>14889</v>
      </c>
      <c r="G1628" s="1431" t="s">
        <v>8807</v>
      </c>
      <c r="H1628" s="1430" t="s">
        <v>2754</v>
      </c>
      <c r="I1628" s="1429" t="s">
        <v>1019</v>
      </c>
      <c r="J1628" s="2196">
        <v>556.5</v>
      </c>
    </row>
    <row r="1629" spans="2:10" ht="13.5" thickBot="1" x14ac:dyDescent="0.25">
      <c r="B1629" s="392" t="str">
        <f t="shared" si="50"/>
        <v>Women - MALINDRETOU Marianna</v>
      </c>
      <c r="C1629" s="1441" t="str">
        <f t="shared" si="51"/>
        <v>MALINDRETOU Marianna</v>
      </c>
      <c r="D1629" s="1428" t="s">
        <v>16795</v>
      </c>
      <c r="E1629" s="1429">
        <v>15</v>
      </c>
      <c r="F1629" s="1430" t="s">
        <v>9826</v>
      </c>
      <c r="G1629" s="1431" t="s">
        <v>6990</v>
      </c>
      <c r="H1629" s="1430" t="s">
        <v>3213</v>
      </c>
      <c r="I1629" s="1429" t="s">
        <v>1025</v>
      </c>
      <c r="J1629" s="2196">
        <v>538.5</v>
      </c>
    </row>
    <row r="1630" spans="2:10" ht="13.5" thickBot="1" x14ac:dyDescent="0.25">
      <c r="B1630" s="392" t="str">
        <f t="shared" si="50"/>
        <v>Women - KATO Yuka</v>
      </c>
      <c r="C1630" s="1441" t="str">
        <f t="shared" si="51"/>
        <v>KATO Yuka</v>
      </c>
      <c r="D1630" s="1428" t="s">
        <v>16795</v>
      </c>
      <c r="E1630" s="1429">
        <v>16</v>
      </c>
      <c r="F1630" s="1430" t="s">
        <v>5544</v>
      </c>
      <c r="G1630" s="1431" t="s">
        <v>15735</v>
      </c>
      <c r="H1630" s="1430" t="s">
        <v>14700</v>
      </c>
      <c r="I1630" s="1429" t="s">
        <v>1041</v>
      </c>
      <c r="J1630" s="2196">
        <v>513</v>
      </c>
    </row>
    <row r="1631" spans="2:10" ht="13.5" thickBot="1" x14ac:dyDescent="0.25">
      <c r="B1631" s="392" t="str">
        <f t="shared" si="50"/>
        <v>Women - NISHI Miaki</v>
      </c>
      <c r="C1631" s="1441" t="str">
        <f t="shared" si="51"/>
        <v>NISHI Miaki</v>
      </c>
      <c r="D1631" s="1428" t="s">
        <v>16795</v>
      </c>
      <c r="E1631" s="1429">
        <v>17</v>
      </c>
      <c r="F1631" s="1430" t="s">
        <v>14952</v>
      </c>
      <c r="G1631" s="1431" t="s">
        <v>14721</v>
      </c>
      <c r="H1631" s="1430" t="s">
        <v>10276</v>
      </c>
      <c r="I1631" s="1429" t="s">
        <v>1041</v>
      </c>
      <c r="J1631" s="2196">
        <v>475</v>
      </c>
    </row>
    <row r="1632" spans="2:10" ht="13.5" thickBot="1" x14ac:dyDescent="0.25">
      <c r="B1632" s="392" t="str">
        <f t="shared" si="50"/>
        <v>Women - BOUZID Marianna</v>
      </c>
      <c r="C1632" s="1441" t="str">
        <f t="shared" si="51"/>
        <v>BOUZID Marianna</v>
      </c>
      <c r="D1632" s="1428" t="s">
        <v>16795</v>
      </c>
      <c r="E1632" s="1429">
        <v>18</v>
      </c>
      <c r="F1632" s="1430" t="s">
        <v>14890</v>
      </c>
      <c r="G1632" s="1431" t="s">
        <v>6990</v>
      </c>
      <c r="H1632" s="1430" t="s">
        <v>5309</v>
      </c>
      <c r="I1632" s="1429" t="s">
        <v>1025</v>
      </c>
      <c r="J1632" s="2196">
        <v>458.5</v>
      </c>
    </row>
    <row r="1633" spans="2:10" ht="13.5" thickBot="1" x14ac:dyDescent="0.25">
      <c r="B1633" s="392" t="str">
        <f t="shared" si="50"/>
        <v>Women - MATTHEWS Ruby</v>
      </c>
      <c r="C1633" s="1441" t="str">
        <f t="shared" si="51"/>
        <v>MATTHEWS Ruby</v>
      </c>
      <c r="D1633" s="1428" t="s">
        <v>16795</v>
      </c>
      <c r="E1633" s="1429">
        <v>19</v>
      </c>
      <c r="F1633" s="1430" t="s">
        <v>11420</v>
      </c>
      <c r="G1633" s="1431" t="s">
        <v>8232</v>
      </c>
      <c r="H1633" s="1430" t="s">
        <v>13519</v>
      </c>
      <c r="I1633" s="1429" t="s">
        <v>1013</v>
      </c>
      <c r="J1633" s="2196">
        <v>450.5</v>
      </c>
    </row>
    <row r="1634" spans="2:10" ht="13.5" thickBot="1" x14ac:dyDescent="0.25">
      <c r="B1634" s="392" t="str">
        <f t="shared" si="50"/>
        <v>Women - ICHIBA Masumi</v>
      </c>
      <c r="C1634" s="1441" t="str">
        <f t="shared" si="51"/>
        <v>ICHIBA Masumi</v>
      </c>
      <c r="D1634" s="1428" t="s">
        <v>16795</v>
      </c>
      <c r="E1634" s="1429">
        <v>20</v>
      </c>
      <c r="F1634" s="1430" t="s">
        <v>16553</v>
      </c>
      <c r="G1634" s="1431" t="s">
        <v>15687</v>
      </c>
      <c r="H1634" s="1430" t="s">
        <v>5508</v>
      </c>
      <c r="I1634" s="1429" t="s">
        <v>1041</v>
      </c>
      <c r="J1634" s="2196">
        <v>425.5</v>
      </c>
    </row>
    <row r="1635" spans="2:10" ht="13.5" thickBot="1" x14ac:dyDescent="0.25">
      <c r="B1635" s="392" t="str">
        <f t="shared" si="50"/>
        <v>Women - BÜSING Victoria</v>
      </c>
      <c r="C1635" s="1441" t="str">
        <f t="shared" si="51"/>
        <v>BÜSING Victoria</v>
      </c>
      <c r="D1635" s="1428" t="s">
        <v>16795</v>
      </c>
      <c r="E1635" s="1429">
        <v>21</v>
      </c>
      <c r="F1635" s="1430" t="s">
        <v>16792</v>
      </c>
      <c r="G1635" s="1431" t="s">
        <v>3645</v>
      </c>
      <c r="H1635" s="1430" t="s">
        <v>9481</v>
      </c>
      <c r="I1635" s="1429" t="s">
        <v>1021</v>
      </c>
      <c r="J1635" s="2196">
        <v>422</v>
      </c>
    </row>
    <row r="1636" spans="2:10" ht="13.5" thickBot="1" x14ac:dyDescent="0.25">
      <c r="B1636" s="392" t="str">
        <f t="shared" si="50"/>
        <v>Women - MAIRELES Paula</v>
      </c>
      <c r="C1636" s="1441" t="str">
        <f t="shared" si="51"/>
        <v>MAIRELES Paula</v>
      </c>
      <c r="D1636" s="1428" t="s">
        <v>16795</v>
      </c>
      <c r="E1636" s="1429">
        <v>22</v>
      </c>
      <c r="F1636" s="1430" t="s">
        <v>7766</v>
      </c>
      <c r="G1636" s="1431" t="s">
        <v>6946</v>
      </c>
      <c r="H1636" s="1430" t="s">
        <v>7304</v>
      </c>
      <c r="I1636" s="1429" t="s">
        <v>1015</v>
      </c>
      <c r="J1636" s="2196">
        <v>374.5</v>
      </c>
    </row>
    <row r="1637" spans="2:10" ht="13.5" thickBot="1" x14ac:dyDescent="0.25">
      <c r="B1637" s="392" t="str">
        <f t="shared" si="50"/>
        <v>Women - PATRIKIOU Eirini</v>
      </c>
      <c r="C1637" s="1441" t="str">
        <f t="shared" si="51"/>
        <v>PATRIKIOU Eirini</v>
      </c>
      <c r="D1637" s="1428" t="s">
        <v>16795</v>
      </c>
      <c r="E1637" s="1429">
        <v>23</v>
      </c>
      <c r="F1637" s="1430" t="s">
        <v>3651</v>
      </c>
      <c r="G1637" s="1431" t="s">
        <v>3652</v>
      </c>
      <c r="H1637" s="1430" t="s">
        <v>10263</v>
      </c>
      <c r="I1637" s="1429" t="s">
        <v>1025</v>
      </c>
      <c r="J1637" s="2196">
        <v>369.5</v>
      </c>
    </row>
    <row r="1638" spans="2:10" ht="13.5" thickBot="1" x14ac:dyDescent="0.25">
      <c r="B1638" s="392" t="str">
        <f t="shared" si="50"/>
        <v>Women - POUPART Lea</v>
      </c>
      <c r="C1638" s="1441" t="str">
        <f t="shared" si="51"/>
        <v>POUPART Lea</v>
      </c>
      <c r="D1638" s="1428" t="s">
        <v>16795</v>
      </c>
      <c r="E1638" s="1429">
        <v>24</v>
      </c>
      <c r="F1638" s="1430" t="s">
        <v>14562</v>
      </c>
      <c r="G1638" s="1431" t="s">
        <v>17120</v>
      </c>
      <c r="H1638" s="1430" t="s">
        <v>2796</v>
      </c>
      <c r="I1638" s="1429" t="s">
        <v>1019</v>
      </c>
      <c r="J1638" s="2196">
        <v>336</v>
      </c>
    </row>
    <row r="1639" spans="2:10" ht="13.5" thickBot="1" x14ac:dyDescent="0.25">
      <c r="B1639" s="392" t="str">
        <f t="shared" si="50"/>
        <v>Women - WADA Kimi</v>
      </c>
      <c r="C1639" s="1441" t="str">
        <f t="shared" si="51"/>
        <v>WADA Kimi</v>
      </c>
      <c r="D1639" s="1428" t="s">
        <v>16795</v>
      </c>
      <c r="E1639" s="1429">
        <v>25</v>
      </c>
      <c r="F1639" s="1430" t="s">
        <v>14895</v>
      </c>
      <c r="G1639" s="1431" t="s">
        <v>16348</v>
      </c>
      <c r="H1639" s="1430" t="s">
        <v>14700</v>
      </c>
      <c r="I1639" s="1429" t="s">
        <v>1041</v>
      </c>
      <c r="J1639" s="2196">
        <v>319</v>
      </c>
    </row>
    <row r="1640" spans="2:10" ht="13.5" thickBot="1" x14ac:dyDescent="0.25">
      <c r="B1640" s="392" t="str">
        <f t="shared" si="50"/>
        <v>Women - EVELEIGH Beth</v>
      </c>
      <c r="C1640" s="1441" t="str">
        <f t="shared" si="51"/>
        <v>EVELEIGH Beth</v>
      </c>
      <c r="D1640" s="1428" t="s">
        <v>16795</v>
      </c>
      <c r="E1640" s="1429">
        <v>26</v>
      </c>
      <c r="F1640" s="1430" t="s">
        <v>8727</v>
      </c>
      <c r="G1640" s="1431" t="s">
        <v>8225</v>
      </c>
      <c r="H1640" s="1430" t="s">
        <v>9597</v>
      </c>
      <c r="I1640" s="1429" t="s">
        <v>986</v>
      </c>
      <c r="J1640" s="2196">
        <v>297</v>
      </c>
    </row>
    <row r="1641" spans="2:10" ht="13.5" thickBot="1" x14ac:dyDescent="0.25">
      <c r="B1641" s="392" t="str">
        <f t="shared" si="50"/>
        <v>Women - OKAMOTO Miwako</v>
      </c>
      <c r="C1641" s="1441" t="str">
        <f t="shared" si="51"/>
        <v>OKAMOTO Miwako</v>
      </c>
      <c r="D1641" s="1428" t="s">
        <v>16795</v>
      </c>
      <c r="E1641" s="1429">
        <v>27</v>
      </c>
      <c r="F1641" s="1430" t="s">
        <v>16879</v>
      </c>
      <c r="G1641" s="1431" t="s">
        <v>16880</v>
      </c>
      <c r="H1641" s="1430" t="s">
        <v>17234</v>
      </c>
      <c r="I1641" s="1429" t="s">
        <v>1041</v>
      </c>
      <c r="J1641" s="2196">
        <v>284</v>
      </c>
    </row>
    <row r="1642" spans="2:10" ht="13.5" thickBot="1" x14ac:dyDescent="0.25">
      <c r="B1642" s="392" t="str">
        <f t="shared" si="50"/>
        <v>Women - MERKOURIS Maria Felice</v>
      </c>
      <c r="C1642" s="1441" t="str">
        <f t="shared" si="51"/>
        <v>MERKOURIS Maria Felice</v>
      </c>
      <c r="D1642" s="1428" t="s">
        <v>16795</v>
      </c>
      <c r="E1642" s="1429">
        <v>28</v>
      </c>
      <c r="F1642" s="1430" t="s">
        <v>14302</v>
      </c>
      <c r="G1642" s="1431" t="s">
        <v>9657</v>
      </c>
      <c r="H1642" s="1430" t="s">
        <v>9700</v>
      </c>
      <c r="I1642" s="1429" t="s">
        <v>1037</v>
      </c>
      <c r="J1642" s="2196">
        <v>265.5</v>
      </c>
    </row>
    <row r="1643" spans="2:10" ht="13.5" thickBot="1" x14ac:dyDescent="0.25">
      <c r="B1643" s="392" t="str">
        <f t="shared" si="50"/>
        <v>Women - VERHOEVEN Lulani</v>
      </c>
      <c r="C1643" s="1441" t="str">
        <f t="shared" si="51"/>
        <v>VERHOEVEN Lulani</v>
      </c>
      <c r="D1643" s="1428" t="s">
        <v>16795</v>
      </c>
      <c r="E1643" s="1429">
        <v>29</v>
      </c>
      <c r="F1643" s="1430" t="s">
        <v>14238</v>
      </c>
      <c r="G1643" s="1431" t="s">
        <v>11237</v>
      </c>
      <c r="H1643" s="1430" t="s">
        <v>10252</v>
      </c>
      <c r="I1643" s="1429" t="s">
        <v>990</v>
      </c>
      <c r="J1643" s="2196">
        <v>264</v>
      </c>
    </row>
    <row r="1644" spans="2:10" ht="13.5" thickBot="1" x14ac:dyDescent="0.25">
      <c r="B1644" s="392" t="str">
        <f t="shared" si="50"/>
        <v>Women - SKOUROU Ourania</v>
      </c>
      <c r="C1644" s="1441" t="str">
        <f t="shared" si="51"/>
        <v>SKOUROU Ourania</v>
      </c>
      <c r="D1644" s="1428" t="s">
        <v>16795</v>
      </c>
      <c r="E1644" s="1429">
        <v>30</v>
      </c>
      <c r="F1644" s="1430" t="s">
        <v>16790</v>
      </c>
      <c r="G1644" s="1431" t="s">
        <v>16235</v>
      </c>
      <c r="H1644" s="1430" t="s">
        <v>3213</v>
      </c>
      <c r="I1644" s="1429" t="s">
        <v>1025</v>
      </c>
      <c r="J1644" s="2196">
        <v>259</v>
      </c>
    </row>
    <row r="1645" spans="2:10" ht="13.5" thickBot="1" x14ac:dyDescent="0.25">
      <c r="B1645" s="392" t="str">
        <f t="shared" si="50"/>
        <v>Women - DESPRETZ Chloé</v>
      </c>
      <c r="C1645" s="1441" t="str">
        <f t="shared" si="51"/>
        <v>DESPRETZ Chloé</v>
      </c>
      <c r="D1645" s="1428" t="s">
        <v>16795</v>
      </c>
      <c r="E1645" s="1429">
        <v>31</v>
      </c>
      <c r="F1645" s="1430" t="s">
        <v>3261</v>
      </c>
      <c r="G1645" s="1431" t="s">
        <v>15458</v>
      </c>
      <c r="H1645" s="1430" t="s">
        <v>13519</v>
      </c>
      <c r="I1645" s="1429" t="s">
        <v>990</v>
      </c>
      <c r="J1645" s="2196">
        <v>211</v>
      </c>
    </row>
    <row r="1646" spans="2:10" ht="13.5" thickBot="1" x14ac:dyDescent="0.25">
      <c r="B1646" s="392" t="str">
        <f t="shared" si="50"/>
        <v>Women - DI MAGGIO Agapi</v>
      </c>
      <c r="C1646" s="1441" t="str">
        <f t="shared" si="51"/>
        <v>DI MAGGIO Agapi</v>
      </c>
      <c r="D1646" s="1428" t="s">
        <v>16795</v>
      </c>
      <c r="E1646" s="1429">
        <v>32</v>
      </c>
      <c r="F1646" s="1430" t="s">
        <v>7302</v>
      </c>
      <c r="G1646" s="1431" t="s">
        <v>9412</v>
      </c>
      <c r="H1646" s="1430" t="s">
        <v>9449</v>
      </c>
      <c r="I1646" s="1429" t="s">
        <v>1025</v>
      </c>
      <c r="J1646" s="2196">
        <v>192.5</v>
      </c>
    </row>
    <row r="1647" spans="2:10" ht="13.5" thickBot="1" x14ac:dyDescent="0.25">
      <c r="B1647" s="392" t="str">
        <f t="shared" si="50"/>
        <v>Women - ELMER Imojjen</v>
      </c>
      <c r="C1647" s="1441" t="str">
        <f t="shared" si="51"/>
        <v>ELMER Imojjen</v>
      </c>
      <c r="D1647" s="1428" t="s">
        <v>16795</v>
      </c>
      <c r="E1647" s="1429">
        <v>33</v>
      </c>
      <c r="F1647" s="1430" t="s">
        <v>14224</v>
      </c>
      <c r="G1647" s="1431" t="s">
        <v>7463</v>
      </c>
      <c r="H1647" s="1430" t="s">
        <v>17660</v>
      </c>
      <c r="I1647" s="1429" t="s">
        <v>986</v>
      </c>
      <c r="J1647" s="2196">
        <v>150</v>
      </c>
    </row>
    <row r="1648" spans="2:10" ht="13.5" thickBot="1" x14ac:dyDescent="0.25">
      <c r="B1648" s="392" t="str">
        <f t="shared" si="50"/>
        <v>Women - TILGNER Daria</v>
      </c>
      <c r="C1648" s="1441" t="str">
        <f t="shared" si="51"/>
        <v>TILGNER Daria</v>
      </c>
      <c r="D1648" s="1428" t="s">
        <v>16795</v>
      </c>
      <c r="E1648" s="1429">
        <v>34</v>
      </c>
      <c r="F1648" s="1430" t="s">
        <v>11429</v>
      </c>
      <c r="G1648" s="1431" t="s">
        <v>7323</v>
      </c>
      <c r="H1648" s="1430" t="s">
        <v>2753</v>
      </c>
      <c r="I1648" s="1429" t="s">
        <v>1021</v>
      </c>
      <c r="J1648" s="2196">
        <v>144.5</v>
      </c>
    </row>
    <row r="1649" spans="2:10" ht="13.5" thickBot="1" x14ac:dyDescent="0.25">
      <c r="B1649" s="392" t="str">
        <f t="shared" si="50"/>
        <v>Women - GUAGLIARDI Erica</v>
      </c>
      <c r="C1649" s="1441" t="str">
        <f t="shared" si="51"/>
        <v>GUAGLIARDI Erica</v>
      </c>
      <c r="D1649" s="1428" t="s">
        <v>16795</v>
      </c>
      <c r="E1649" s="1429">
        <v>35</v>
      </c>
      <c r="F1649" s="1430" t="s">
        <v>14887</v>
      </c>
      <c r="G1649" s="1431" t="s">
        <v>11242</v>
      </c>
      <c r="H1649" s="1430" t="s">
        <v>7872</v>
      </c>
      <c r="I1649" s="1429" t="s">
        <v>1037</v>
      </c>
      <c r="J1649" s="2196">
        <v>142.5</v>
      </c>
    </row>
    <row r="1650" spans="2:10" ht="13.5" thickBot="1" x14ac:dyDescent="0.25">
      <c r="B1650" s="392" t="str">
        <f t="shared" si="50"/>
        <v>Women - GRÜNBERG Daniela</v>
      </c>
      <c r="C1650" s="1441" t="str">
        <f t="shared" si="51"/>
        <v>GRÜNBERG Daniela</v>
      </c>
      <c r="D1650" s="1428" t="s">
        <v>16795</v>
      </c>
      <c r="E1650" s="1429">
        <v>36</v>
      </c>
      <c r="F1650" s="1430" t="s">
        <v>11418</v>
      </c>
      <c r="G1650" s="1431" t="s">
        <v>8240</v>
      </c>
      <c r="H1650" s="1430" t="s">
        <v>2775</v>
      </c>
      <c r="I1650" s="1429" t="s">
        <v>1021</v>
      </c>
      <c r="J1650" s="2196">
        <v>129</v>
      </c>
    </row>
    <row r="1651" spans="2:10" ht="13.5" thickBot="1" x14ac:dyDescent="0.25">
      <c r="B1651" s="392" t="str">
        <f t="shared" si="50"/>
        <v>Women - PIBIRI Giulia</v>
      </c>
      <c r="C1651" s="1441" t="str">
        <f t="shared" si="51"/>
        <v>PIBIRI Giulia</v>
      </c>
      <c r="D1651" s="1428" t="s">
        <v>16795</v>
      </c>
      <c r="E1651" s="1429">
        <v>37</v>
      </c>
      <c r="F1651" s="1430" t="s">
        <v>16654</v>
      </c>
      <c r="G1651" s="1431" t="s">
        <v>14018</v>
      </c>
      <c r="H1651" s="1430" t="s">
        <v>7872</v>
      </c>
      <c r="I1651" s="1429" t="s">
        <v>1037</v>
      </c>
      <c r="J1651" s="2196">
        <v>112</v>
      </c>
    </row>
    <row r="1652" spans="2:10" ht="13.5" thickBot="1" x14ac:dyDescent="0.25">
      <c r="B1652" s="392" t="str">
        <f t="shared" si="50"/>
        <v>Women - LO CASCIO Giuditta</v>
      </c>
      <c r="C1652" s="1441" t="str">
        <f t="shared" si="51"/>
        <v>LO CASCIO Giuditta</v>
      </c>
      <c r="D1652" s="1428" t="s">
        <v>16795</v>
      </c>
      <c r="E1652" s="1429">
        <v>38</v>
      </c>
      <c r="F1652" s="1430" t="s">
        <v>14250</v>
      </c>
      <c r="G1652" s="1431" t="s">
        <v>3498</v>
      </c>
      <c r="H1652" s="1430" t="s">
        <v>10270</v>
      </c>
      <c r="I1652" s="1429" t="s">
        <v>1037</v>
      </c>
      <c r="J1652" s="2196">
        <v>81</v>
      </c>
    </row>
    <row r="1653" spans="2:10" ht="13.5" thickBot="1" x14ac:dyDescent="0.25">
      <c r="B1653" s="392" t="str">
        <f t="shared" si="50"/>
        <v>Women - FILIPPELLA NASTI Julia</v>
      </c>
      <c r="C1653" s="1441" t="str">
        <f t="shared" si="51"/>
        <v>FILIPPELLA NASTI Julia</v>
      </c>
      <c r="D1653" s="1428" t="s">
        <v>16795</v>
      </c>
      <c r="E1653" s="1429">
        <v>39</v>
      </c>
      <c r="F1653" s="1430" t="s">
        <v>16791</v>
      </c>
      <c r="G1653" s="1431" t="s">
        <v>5632</v>
      </c>
      <c r="H1653" s="1430" t="s">
        <v>14683</v>
      </c>
      <c r="I1653" s="1429" t="s">
        <v>1037</v>
      </c>
      <c r="J1653" s="2196">
        <v>78.5</v>
      </c>
    </row>
    <row r="1654" spans="2:10" ht="13.5" thickBot="1" x14ac:dyDescent="0.25">
      <c r="B1654" s="392" t="str">
        <f t="shared" si="50"/>
        <v>Women - CEVOLANI Greta</v>
      </c>
      <c r="C1654" s="1441" t="str">
        <f t="shared" si="51"/>
        <v>CEVOLANI Greta</v>
      </c>
      <c r="D1654" s="1428" t="s">
        <v>16795</v>
      </c>
      <c r="E1654" s="1429">
        <v>40</v>
      </c>
      <c r="F1654" s="1430" t="s">
        <v>14291</v>
      </c>
      <c r="G1654" s="1431" t="s">
        <v>8293</v>
      </c>
      <c r="H1654" s="1430" t="s">
        <v>2749</v>
      </c>
      <c r="I1654" s="1429" t="s">
        <v>1037</v>
      </c>
      <c r="J1654" s="2196">
        <v>66</v>
      </c>
    </row>
    <row r="1655" spans="2:10" ht="13.5" thickBot="1" x14ac:dyDescent="0.25">
      <c r="B1655" s="392" t="str">
        <f t="shared" si="50"/>
        <v>Women - LEVY Samantha</v>
      </c>
      <c r="C1655" s="1441" t="str">
        <f t="shared" si="51"/>
        <v>LEVY Samantha</v>
      </c>
      <c r="D1655" s="1428" t="s">
        <v>16795</v>
      </c>
      <c r="E1655" s="1429">
        <v>41</v>
      </c>
      <c r="F1655" s="1430" t="s">
        <v>16642</v>
      </c>
      <c r="G1655" s="1431" t="s">
        <v>14430</v>
      </c>
      <c r="H1655" s="1430" t="s">
        <v>14864</v>
      </c>
      <c r="I1655" s="1429" t="s">
        <v>1013</v>
      </c>
      <c r="J1655" s="2196">
        <v>63</v>
      </c>
    </row>
    <row r="1656" spans="2:10" ht="13.5" thickBot="1" x14ac:dyDescent="0.25">
      <c r="B1656" s="392" t="str">
        <f t="shared" si="50"/>
        <v>Women - DERY Véronique</v>
      </c>
      <c r="C1656" s="1441" t="str">
        <f t="shared" si="51"/>
        <v>DERY Véronique</v>
      </c>
      <c r="D1656" s="1428" t="s">
        <v>16795</v>
      </c>
      <c r="E1656" s="1429">
        <v>42</v>
      </c>
      <c r="F1656" s="1430" t="s">
        <v>17620</v>
      </c>
      <c r="G1656" s="1431" t="s">
        <v>16916</v>
      </c>
      <c r="H1656" s="1430" t="s">
        <v>15816</v>
      </c>
      <c r="I1656" s="1429" t="s">
        <v>990</v>
      </c>
      <c r="J1656" s="2196">
        <v>62</v>
      </c>
    </row>
    <row r="1657" spans="2:10" ht="13.5" thickBot="1" x14ac:dyDescent="0.25">
      <c r="B1657" s="392" t="str">
        <f t="shared" si="50"/>
        <v>Women - KONSTANTAKOU Danai</v>
      </c>
      <c r="C1657" s="1441" t="str">
        <f t="shared" si="51"/>
        <v>KONSTANTAKOU Danai</v>
      </c>
      <c r="D1657" s="1428" t="s">
        <v>16795</v>
      </c>
      <c r="E1657" s="1429">
        <v>43</v>
      </c>
      <c r="F1657" s="1430" t="s">
        <v>9825</v>
      </c>
      <c r="G1657" s="1431" t="s">
        <v>9774</v>
      </c>
      <c r="H1657" s="1430" t="s">
        <v>9449</v>
      </c>
      <c r="I1657" s="1429" t="s">
        <v>1025</v>
      </c>
      <c r="J1657" s="2196">
        <v>58.5</v>
      </c>
    </row>
    <row r="1658" spans="2:10" ht="13.5" thickBot="1" x14ac:dyDescent="0.25">
      <c r="B1658" s="392" t="str">
        <f t="shared" si="50"/>
        <v>Women - KRONMÜLLER Melanie</v>
      </c>
      <c r="C1658" s="1441" t="str">
        <f t="shared" si="51"/>
        <v>KRONMÜLLER Melanie</v>
      </c>
      <c r="D1658" s="1428" t="s">
        <v>16795</v>
      </c>
      <c r="E1658" s="1429">
        <v>44</v>
      </c>
      <c r="F1658" s="1430" t="s">
        <v>14256</v>
      </c>
      <c r="G1658" s="1431" t="s">
        <v>7983</v>
      </c>
      <c r="H1658" s="1430" t="s">
        <v>14585</v>
      </c>
      <c r="I1658" s="1429" t="s">
        <v>1021</v>
      </c>
      <c r="J1658" s="2196">
        <v>54</v>
      </c>
    </row>
    <row r="1659" spans="2:10" ht="13.5" thickBot="1" x14ac:dyDescent="0.25">
      <c r="B1659" s="392" t="str">
        <f t="shared" si="50"/>
        <v>Women - LEWIS Vicky</v>
      </c>
      <c r="C1659" s="1441" t="str">
        <f t="shared" si="51"/>
        <v>LEWIS Vicky</v>
      </c>
      <c r="D1659" s="1428" t="s">
        <v>16795</v>
      </c>
      <c r="E1659" s="1429">
        <v>45</v>
      </c>
      <c r="F1659" s="1430" t="s">
        <v>16774</v>
      </c>
      <c r="G1659" s="1431" t="s">
        <v>15806</v>
      </c>
      <c r="H1659" s="1430" t="s">
        <v>17082</v>
      </c>
      <c r="I1659" s="1429" t="s">
        <v>1013</v>
      </c>
      <c r="J1659" s="2196">
        <v>45</v>
      </c>
    </row>
    <row r="1660" spans="2:10" ht="13.5" thickBot="1" x14ac:dyDescent="0.25">
      <c r="B1660" s="392" t="str">
        <f t="shared" si="50"/>
        <v>Women - DE JONG - HUIJERS Liesbeth</v>
      </c>
      <c r="C1660" s="1441" t="str">
        <f t="shared" si="51"/>
        <v>DE JONG - HUIJERS Liesbeth</v>
      </c>
      <c r="D1660" s="1428" t="s">
        <v>16795</v>
      </c>
      <c r="E1660" s="1429">
        <v>45</v>
      </c>
      <c r="F1660" s="1430" t="s">
        <v>14888</v>
      </c>
      <c r="G1660" s="1431" t="s">
        <v>7013</v>
      </c>
      <c r="H1660" s="1430" t="s">
        <v>7184</v>
      </c>
      <c r="I1660" s="1429" t="s">
        <v>1051</v>
      </c>
      <c r="J1660" s="2196">
        <v>45</v>
      </c>
    </row>
    <row r="1661" spans="2:10" ht="13.5" thickBot="1" x14ac:dyDescent="0.25">
      <c r="B1661" s="392" t="str">
        <f t="shared" si="50"/>
        <v>Women - GALLEZ Chantal</v>
      </c>
      <c r="C1661" s="1441" t="str">
        <f t="shared" si="51"/>
        <v>GALLEZ Chantal</v>
      </c>
      <c r="D1661" s="1428" t="s">
        <v>16795</v>
      </c>
      <c r="E1661" s="1429">
        <v>47</v>
      </c>
      <c r="F1661" s="1430" t="s">
        <v>14891</v>
      </c>
      <c r="G1661" s="1431" t="s">
        <v>3593</v>
      </c>
      <c r="H1661" s="1430" t="s">
        <v>13519</v>
      </c>
      <c r="I1661" s="1429" t="s">
        <v>990</v>
      </c>
      <c r="J1661" s="2196">
        <v>34</v>
      </c>
    </row>
    <row r="1662" spans="2:10" ht="13.5" thickBot="1" x14ac:dyDescent="0.25">
      <c r="B1662" s="392" t="str">
        <f t="shared" si="50"/>
        <v>Women - HUET Olivia</v>
      </c>
      <c r="C1662" s="1441" t="str">
        <f t="shared" si="51"/>
        <v>HUET Olivia</v>
      </c>
      <c r="D1662" s="1428" t="s">
        <v>16795</v>
      </c>
      <c r="E1662" s="1429">
        <v>48</v>
      </c>
      <c r="F1662" s="1430" t="s">
        <v>16793</v>
      </c>
      <c r="G1662" s="1431" t="s">
        <v>15679</v>
      </c>
      <c r="H1662" s="1430" t="s">
        <v>15681</v>
      </c>
      <c r="I1662" s="1429" t="s">
        <v>990</v>
      </c>
      <c r="J1662" s="2196">
        <v>24.5</v>
      </c>
    </row>
    <row r="1663" spans="2:10" ht="13.5" thickBot="1" x14ac:dyDescent="0.25">
      <c r="B1663" s="392" t="str">
        <f t="shared" si="50"/>
        <v>Women - PIROVA Stefka</v>
      </c>
      <c r="C1663" s="1441" t="str">
        <f t="shared" si="51"/>
        <v>PIROVA Stefka</v>
      </c>
      <c r="D1663" s="1428" t="s">
        <v>16795</v>
      </c>
      <c r="E1663" s="1429">
        <v>49</v>
      </c>
      <c r="F1663" s="1430" t="s">
        <v>8764</v>
      </c>
      <c r="G1663" s="1431" t="s">
        <v>8236</v>
      </c>
      <c r="H1663" s="1430" t="s">
        <v>7869</v>
      </c>
      <c r="I1663" s="1429" t="s">
        <v>1015</v>
      </c>
      <c r="J1663" s="2196">
        <v>20</v>
      </c>
    </row>
    <row r="1664" spans="2:10" ht="13.5" thickBot="1" x14ac:dyDescent="0.25">
      <c r="B1664" s="392" t="str">
        <f t="shared" si="50"/>
        <v>Women - CLAYDON Michele</v>
      </c>
      <c r="C1664" s="1441" t="str">
        <f t="shared" si="51"/>
        <v>CLAYDON Michele</v>
      </c>
      <c r="D1664" s="1428" t="s">
        <v>16795</v>
      </c>
      <c r="E1664" s="1429">
        <v>50</v>
      </c>
      <c r="F1664" s="1430" t="s">
        <v>17628</v>
      </c>
      <c r="G1664" s="1431" t="s">
        <v>3216</v>
      </c>
      <c r="H1664" s="1430" t="s">
        <v>14864</v>
      </c>
      <c r="I1664" s="1429" t="s">
        <v>1013</v>
      </c>
      <c r="J1664" s="2196">
        <v>18</v>
      </c>
    </row>
    <row r="1665" spans="2:10" ht="13.5" thickBot="1" x14ac:dyDescent="0.25">
      <c r="B1665" s="392" t="str">
        <f t="shared" si="50"/>
        <v>Women - HORNCASTLE Amy</v>
      </c>
      <c r="C1665" s="1441" t="str">
        <f t="shared" si="51"/>
        <v>HORNCASTLE Amy</v>
      </c>
      <c r="D1665" s="1428" t="s">
        <v>16795</v>
      </c>
      <c r="E1665" s="1429">
        <v>50</v>
      </c>
      <c r="F1665" s="1430" t="s">
        <v>17629</v>
      </c>
      <c r="G1665" s="1431" t="s">
        <v>15674</v>
      </c>
      <c r="H1665" s="1430" t="s">
        <v>13550</v>
      </c>
      <c r="I1665" s="1429" t="s">
        <v>1013</v>
      </c>
      <c r="J1665" s="2196">
        <v>18</v>
      </c>
    </row>
    <row r="1666" spans="2:10" ht="13.5" thickBot="1" x14ac:dyDescent="0.25">
      <c r="B1666" s="392" t="str">
        <f t="shared" si="50"/>
        <v>Women - BELLEFONTAINE Francesca</v>
      </c>
      <c r="C1666" s="1441" t="str">
        <f t="shared" si="51"/>
        <v>BELLEFONTAINE Francesca</v>
      </c>
      <c r="D1666" s="1428" t="s">
        <v>16795</v>
      </c>
      <c r="E1666" s="1429">
        <v>50</v>
      </c>
      <c r="F1666" s="1430" t="s">
        <v>3447</v>
      </c>
      <c r="G1666" s="1431" t="s">
        <v>15228</v>
      </c>
      <c r="H1666" s="1430" t="s">
        <v>15227</v>
      </c>
      <c r="I1666" s="1429" t="s">
        <v>1013</v>
      </c>
      <c r="J1666" s="2196">
        <v>18</v>
      </c>
    </row>
    <row r="1667" spans="2:10" ht="13.5" thickBot="1" x14ac:dyDescent="0.25">
      <c r="B1667" s="392" t="str">
        <f t="shared" si="50"/>
        <v>Women - KADINOPOULOS Maria Christina</v>
      </c>
      <c r="C1667" s="1441" t="str">
        <f t="shared" si="51"/>
        <v>KADINOPOULOS Maria Christina</v>
      </c>
      <c r="D1667" s="1428" t="s">
        <v>16795</v>
      </c>
      <c r="E1667" s="1429">
        <v>50</v>
      </c>
      <c r="F1667" s="1430" t="s">
        <v>5532</v>
      </c>
      <c r="G1667" s="1431" t="s">
        <v>9414</v>
      </c>
      <c r="H1667" s="1430" t="s">
        <v>9449</v>
      </c>
      <c r="I1667" s="1429" t="s">
        <v>1025</v>
      </c>
      <c r="J1667" s="2196">
        <v>18</v>
      </c>
    </row>
    <row r="1668" spans="2:10" ht="13.5" thickBot="1" x14ac:dyDescent="0.25">
      <c r="B1668" s="392" t="str">
        <f t="shared" si="50"/>
        <v>Women - GROSDENT Sophia</v>
      </c>
      <c r="C1668" s="1441" t="str">
        <f t="shared" si="51"/>
        <v>GROSDENT Sophia</v>
      </c>
      <c r="D1668" s="1428" t="s">
        <v>16795</v>
      </c>
      <c r="E1668" s="1429">
        <v>54</v>
      </c>
      <c r="F1668" s="1430" t="s">
        <v>8735</v>
      </c>
      <c r="G1668" s="1431" t="s">
        <v>13660</v>
      </c>
      <c r="H1668" s="1430" t="s">
        <v>10252</v>
      </c>
      <c r="I1668" s="1429" t="s">
        <v>990</v>
      </c>
      <c r="J1668" s="2196">
        <v>16</v>
      </c>
    </row>
    <row r="1669" spans="2:10" ht="13.5" thickBot="1" x14ac:dyDescent="0.25">
      <c r="B1669" s="392" t="str">
        <f t="shared" si="50"/>
        <v>Women - MARTÍNEZ Teresa</v>
      </c>
      <c r="C1669" s="1441" t="str">
        <f t="shared" si="51"/>
        <v>MARTÍNEZ Teresa</v>
      </c>
      <c r="D1669" s="1428" t="s">
        <v>16795</v>
      </c>
      <c r="E1669" s="1429">
        <v>55</v>
      </c>
      <c r="F1669" s="1430" t="s">
        <v>3252</v>
      </c>
      <c r="G1669" s="1431" t="s">
        <v>17786</v>
      </c>
      <c r="H1669" s="1430" t="s">
        <v>7304</v>
      </c>
      <c r="I1669" s="1429" t="s">
        <v>1015</v>
      </c>
      <c r="J1669" s="2196">
        <v>15</v>
      </c>
    </row>
    <row r="1670" spans="2:10" ht="13.5" thickBot="1" x14ac:dyDescent="0.25">
      <c r="B1670" s="392" t="str">
        <f t="shared" si="50"/>
        <v>Women - AKIMOTO Hina</v>
      </c>
      <c r="C1670" s="1441" t="str">
        <f t="shared" si="51"/>
        <v>AKIMOTO Hina</v>
      </c>
      <c r="D1670" s="1428" t="s">
        <v>16795</v>
      </c>
      <c r="E1670" s="1429">
        <v>56</v>
      </c>
      <c r="F1670" s="1430" t="s">
        <v>16743</v>
      </c>
      <c r="G1670" s="1431" t="s">
        <v>15150</v>
      </c>
      <c r="H1670" s="1430" t="s">
        <v>5508</v>
      </c>
      <c r="I1670" s="1429" t="s">
        <v>1041</v>
      </c>
      <c r="J1670" s="2196">
        <v>11</v>
      </c>
    </row>
    <row r="1671" spans="2:10" ht="13.5" thickBot="1" x14ac:dyDescent="0.25">
      <c r="B1671" s="392" t="str">
        <f t="shared" ref="B1671:B1734" si="52">CONCATENATE(D1671," - ",C1671)</f>
        <v>Women - OCENASEK Katharina</v>
      </c>
      <c r="C1671" s="1441" t="str">
        <f t="shared" ref="C1671:C1734" si="53">CONCATENATE(UPPER(F1671)," ",G1671)</f>
        <v>OCENASEK Katharina</v>
      </c>
      <c r="D1671" s="1428" t="s">
        <v>16795</v>
      </c>
      <c r="E1671" s="1429">
        <v>57</v>
      </c>
      <c r="F1671" s="1430" t="s">
        <v>9629</v>
      </c>
      <c r="G1671" s="1431" t="s">
        <v>9614</v>
      </c>
      <c r="H1671" s="1430" t="s">
        <v>2748</v>
      </c>
      <c r="I1671" s="1429" t="s">
        <v>988</v>
      </c>
      <c r="J1671" s="2196">
        <v>10</v>
      </c>
    </row>
    <row r="1672" spans="2:10" ht="13.5" thickBot="1" x14ac:dyDescent="0.25">
      <c r="B1672" s="392" t="str">
        <f t="shared" si="52"/>
        <v>Women - SHIBATA Kaoru</v>
      </c>
      <c r="C1672" s="1441" t="str">
        <f t="shared" si="53"/>
        <v>SHIBATA Kaoru</v>
      </c>
      <c r="D1672" s="1428" t="s">
        <v>16795</v>
      </c>
      <c r="E1672" s="1429">
        <v>57</v>
      </c>
      <c r="F1672" s="1430" t="s">
        <v>16794</v>
      </c>
      <c r="G1672" s="1431" t="s">
        <v>16224</v>
      </c>
      <c r="H1672" s="1430" t="s">
        <v>9626</v>
      </c>
      <c r="I1672" s="1429" t="s">
        <v>1041</v>
      </c>
      <c r="J1672" s="2196">
        <v>10</v>
      </c>
    </row>
    <row r="1673" spans="2:10" ht="13.5" thickBot="1" x14ac:dyDescent="0.25">
      <c r="B1673" s="392" t="str">
        <f t="shared" si="52"/>
        <v>Women - ITO Miyuki</v>
      </c>
      <c r="C1673" s="1441" t="str">
        <f t="shared" si="53"/>
        <v>ITO Miyuki</v>
      </c>
      <c r="D1673" s="1428" t="s">
        <v>16795</v>
      </c>
      <c r="E1673" s="1429">
        <v>57</v>
      </c>
      <c r="F1673" s="1430" t="s">
        <v>14951</v>
      </c>
      <c r="G1673" s="1431" t="s">
        <v>15700</v>
      </c>
      <c r="H1673" s="1430" t="s">
        <v>17234</v>
      </c>
      <c r="I1673" s="1429" t="s">
        <v>1041</v>
      </c>
      <c r="J1673" s="2196">
        <v>10</v>
      </c>
    </row>
    <row r="1674" spans="2:10" ht="13.5" thickBot="1" x14ac:dyDescent="0.25">
      <c r="B1674" s="392" t="str">
        <f t="shared" si="52"/>
        <v>Women - PAPADAKI Adrianna</v>
      </c>
      <c r="C1674" s="1441" t="str">
        <f t="shared" si="53"/>
        <v>PAPADAKI Adrianna</v>
      </c>
      <c r="D1674" s="1428" t="s">
        <v>16795</v>
      </c>
      <c r="E1674" s="1429">
        <v>60</v>
      </c>
      <c r="F1674" s="1430" t="s">
        <v>14303</v>
      </c>
      <c r="G1674" s="1431" t="s">
        <v>9776</v>
      </c>
      <c r="H1674" s="1430" t="s">
        <v>9449</v>
      </c>
      <c r="I1674" s="1429" t="s">
        <v>1025</v>
      </c>
      <c r="J1674" s="2196">
        <v>6</v>
      </c>
    </row>
    <row r="1675" spans="2:10" ht="13.5" thickBot="1" x14ac:dyDescent="0.25">
      <c r="B1675" s="392" t="str">
        <f t="shared" si="52"/>
        <v>Women - YOKOYAMA Yuri</v>
      </c>
      <c r="C1675" s="1441" t="str">
        <f t="shared" si="53"/>
        <v>YOKOYAMA Yuri</v>
      </c>
      <c r="D1675" s="1428" t="s">
        <v>16795</v>
      </c>
      <c r="E1675" s="1429">
        <v>61</v>
      </c>
      <c r="F1675" s="1430" t="s">
        <v>17463</v>
      </c>
      <c r="G1675" s="1431" t="s">
        <v>17241</v>
      </c>
      <c r="H1675" s="1430" t="s">
        <v>5508</v>
      </c>
      <c r="I1675" s="1429" t="s">
        <v>1041</v>
      </c>
      <c r="J1675" s="2196">
        <v>5</v>
      </c>
    </row>
    <row r="1676" spans="2:10" ht="13.5" thickBot="1" x14ac:dyDescent="0.25">
      <c r="B1676" s="392" t="str">
        <f t="shared" si="52"/>
        <v>Women - DE JONG Chantal</v>
      </c>
      <c r="C1676" s="1441" t="str">
        <f t="shared" si="53"/>
        <v>DE JONG Chantal</v>
      </c>
      <c r="D1676" s="1428" t="s">
        <v>16795</v>
      </c>
      <c r="E1676" s="1429">
        <v>61</v>
      </c>
      <c r="F1676" s="1430" t="s">
        <v>14979</v>
      </c>
      <c r="G1676" s="1431" t="s">
        <v>3593</v>
      </c>
      <c r="H1676" s="1430" t="s">
        <v>7184</v>
      </c>
      <c r="I1676" s="1429" t="s">
        <v>1051</v>
      </c>
      <c r="J1676" s="2196">
        <v>5</v>
      </c>
    </row>
    <row r="1677" spans="2:10" ht="13.5" thickBot="1" x14ac:dyDescent="0.25">
      <c r="B1677" s="392" t="str">
        <f t="shared" si="52"/>
        <v>Women - GOTO Haruka</v>
      </c>
      <c r="C1677" s="1441" t="str">
        <f t="shared" si="53"/>
        <v>GOTO Haruka</v>
      </c>
      <c r="D1677" s="1428" t="s">
        <v>16795</v>
      </c>
      <c r="E1677" s="1429">
        <v>61</v>
      </c>
      <c r="F1677" s="1430" t="s">
        <v>17462</v>
      </c>
      <c r="G1677" s="1431" t="s">
        <v>15649</v>
      </c>
      <c r="H1677" s="1430" t="s">
        <v>17236</v>
      </c>
      <c r="I1677" s="1429" t="s">
        <v>1041</v>
      </c>
      <c r="J1677" s="2196">
        <v>5</v>
      </c>
    </row>
    <row r="1678" spans="2:10" ht="13.5" thickBot="1" x14ac:dyDescent="0.25">
      <c r="B1678" s="392" t="str">
        <f t="shared" si="52"/>
        <v>Women - BOUCHEZ Charlotte</v>
      </c>
      <c r="C1678" s="1441" t="str">
        <f t="shared" si="53"/>
        <v>BOUCHEZ Charlotte</v>
      </c>
      <c r="D1678" s="1428" t="s">
        <v>16795</v>
      </c>
      <c r="E1678" s="1429">
        <v>61</v>
      </c>
      <c r="F1678" s="1430" t="s">
        <v>17606</v>
      </c>
      <c r="G1678" s="1431" t="s">
        <v>5661</v>
      </c>
      <c r="H1678" s="1430" t="s">
        <v>5301</v>
      </c>
      <c r="I1678" s="1429" t="s">
        <v>990</v>
      </c>
      <c r="J1678" s="2196">
        <v>5</v>
      </c>
    </row>
    <row r="1679" spans="2:10" ht="13.5" thickBot="1" x14ac:dyDescent="0.25">
      <c r="B1679" s="392" t="str">
        <f t="shared" si="52"/>
        <v>Women - GRUNBACH Katelyn</v>
      </c>
      <c r="C1679" s="1441" t="str">
        <f t="shared" si="53"/>
        <v>GRUNBACH Katelyn</v>
      </c>
      <c r="D1679" s="1428" t="s">
        <v>16795</v>
      </c>
      <c r="E1679" s="1429">
        <v>61</v>
      </c>
      <c r="F1679" s="1430" t="s">
        <v>14129</v>
      </c>
      <c r="G1679" s="1431" t="s">
        <v>13639</v>
      </c>
      <c r="H1679" s="1430" t="s">
        <v>9593</v>
      </c>
      <c r="I1679" s="1429" t="s">
        <v>986</v>
      </c>
      <c r="J1679" s="2196">
        <v>5</v>
      </c>
    </row>
    <row r="1680" spans="2:10" ht="13.5" thickBot="1" x14ac:dyDescent="0.25">
      <c r="B1680" s="392" t="str">
        <f t="shared" si="52"/>
        <v>Women - ELLINA Maria</v>
      </c>
      <c r="C1680" s="1441" t="str">
        <f t="shared" si="53"/>
        <v>ELLINA Maria</v>
      </c>
      <c r="D1680" s="1428" t="s">
        <v>16795</v>
      </c>
      <c r="E1680" s="1429">
        <v>66</v>
      </c>
      <c r="F1680" s="1430" t="s">
        <v>14975</v>
      </c>
      <c r="G1680" s="1431" t="s">
        <v>3475</v>
      </c>
      <c r="H1680" s="1430" t="s">
        <v>14359</v>
      </c>
      <c r="I1680" s="1429" t="s">
        <v>1025</v>
      </c>
      <c r="J1680" s="2196">
        <v>3</v>
      </c>
    </row>
    <row r="1681" spans="2:10" ht="13.5" thickBot="1" x14ac:dyDescent="0.25">
      <c r="B1681" s="392" t="str">
        <f t="shared" si="52"/>
        <v>Women - YAHAGI Yukina</v>
      </c>
      <c r="C1681" s="1441" t="str">
        <f t="shared" si="53"/>
        <v>YAHAGI Yukina</v>
      </c>
      <c r="D1681" s="1428" t="s">
        <v>16795</v>
      </c>
      <c r="E1681" s="1429">
        <v>66</v>
      </c>
      <c r="F1681" s="1430" t="s">
        <v>18195</v>
      </c>
      <c r="G1681" s="1431" t="s">
        <v>17003</v>
      </c>
      <c r="H1681" s="1430" t="s">
        <v>9626</v>
      </c>
      <c r="I1681" s="1429" t="s">
        <v>1041</v>
      </c>
      <c r="J1681" s="2196">
        <v>3</v>
      </c>
    </row>
    <row r="1682" spans="2:10" ht="13.5" thickBot="1" x14ac:dyDescent="0.25">
      <c r="B1682" s="392" t="str">
        <f t="shared" si="52"/>
        <v>U20 - SEGERS Jann</v>
      </c>
      <c r="C1682" s="1441" t="str">
        <f t="shared" si="53"/>
        <v>SEGERS Jann</v>
      </c>
      <c r="D1682" s="1428" t="s">
        <v>13210</v>
      </c>
      <c r="E1682" s="1429">
        <v>1</v>
      </c>
      <c r="F1682" s="1430" t="s">
        <v>14127</v>
      </c>
      <c r="G1682" s="1431" t="s">
        <v>5656</v>
      </c>
      <c r="H1682" s="1430" t="s">
        <v>13519</v>
      </c>
      <c r="I1682" s="1429" t="s">
        <v>990</v>
      </c>
      <c r="J1682" s="2196">
        <v>1827.5</v>
      </c>
    </row>
    <row r="1683" spans="2:10" ht="13.5" thickBot="1" x14ac:dyDescent="0.25">
      <c r="B1683" s="392" t="str">
        <f t="shared" si="52"/>
        <v>U20 - JANSSENS Noah</v>
      </c>
      <c r="C1683" s="1441" t="str">
        <f t="shared" si="53"/>
        <v>JANSSENS Noah</v>
      </c>
      <c r="D1683" s="1428" t="s">
        <v>13210</v>
      </c>
      <c r="E1683" s="1429">
        <v>2</v>
      </c>
      <c r="F1683" s="1430" t="s">
        <v>14232</v>
      </c>
      <c r="G1683" s="1431" t="s">
        <v>7329</v>
      </c>
      <c r="H1683" s="1430" t="s">
        <v>10250</v>
      </c>
      <c r="I1683" s="1429" t="s">
        <v>990</v>
      </c>
      <c r="J1683" s="2196">
        <v>1822.5</v>
      </c>
    </row>
    <row r="1684" spans="2:10" ht="13.5" thickBot="1" x14ac:dyDescent="0.25">
      <c r="B1684" s="392" t="str">
        <f t="shared" si="52"/>
        <v>U20 - FERRANTE Mattia</v>
      </c>
      <c r="C1684" s="1441" t="str">
        <f t="shared" si="53"/>
        <v>FERRANTE Mattia</v>
      </c>
      <c r="D1684" s="1428" t="s">
        <v>13210</v>
      </c>
      <c r="E1684" s="1429">
        <v>3</v>
      </c>
      <c r="F1684" s="1430" t="s">
        <v>3223</v>
      </c>
      <c r="G1684" s="1431" t="s">
        <v>3228</v>
      </c>
      <c r="H1684" s="1430" t="s">
        <v>15537</v>
      </c>
      <c r="I1684" s="1429" t="s">
        <v>1037</v>
      </c>
      <c r="J1684" s="2196">
        <v>1764.5</v>
      </c>
    </row>
    <row r="1685" spans="2:10" ht="13.5" thickBot="1" x14ac:dyDescent="0.25">
      <c r="B1685" s="392" t="str">
        <f t="shared" si="52"/>
        <v>U20 - DENNE Noah</v>
      </c>
      <c r="C1685" s="1441" t="str">
        <f t="shared" si="53"/>
        <v>DENNE Noah</v>
      </c>
      <c r="D1685" s="1428" t="s">
        <v>13210</v>
      </c>
      <c r="E1685" s="1429">
        <v>4</v>
      </c>
      <c r="F1685" s="1430" t="s">
        <v>14222</v>
      </c>
      <c r="G1685" s="1431" t="s">
        <v>7329</v>
      </c>
      <c r="H1685" s="1430" t="s">
        <v>5301</v>
      </c>
      <c r="I1685" s="1429" t="s">
        <v>990</v>
      </c>
      <c r="J1685" s="2196">
        <v>1641</v>
      </c>
    </row>
    <row r="1686" spans="2:10" ht="13.5" thickBot="1" x14ac:dyDescent="0.25">
      <c r="B1686" s="392" t="str">
        <f t="shared" si="52"/>
        <v>U20 - MANFREDELLI Francesco</v>
      </c>
      <c r="C1686" s="1441" t="str">
        <f t="shared" si="53"/>
        <v>MANFREDELLI Francesco</v>
      </c>
      <c r="D1686" s="1428" t="s">
        <v>13210</v>
      </c>
      <c r="E1686" s="1429">
        <v>5</v>
      </c>
      <c r="F1686" s="1430" t="s">
        <v>10308</v>
      </c>
      <c r="G1686" s="1431" t="s">
        <v>3277</v>
      </c>
      <c r="H1686" s="1430" t="s">
        <v>2750</v>
      </c>
      <c r="I1686" s="1429" t="s">
        <v>1037</v>
      </c>
      <c r="J1686" s="2196">
        <v>1416</v>
      </c>
    </row>
    <row r="1687" spans="2:10" ht="13.5" thickBot="1" x14ac:dyDescent="0.25">
      <c r="B1687" s="392" t="str">
        <f t="shared" si="52"/>
        <v>U20 - AUSSET Quentin</v>
      </c>
      <c r="C1687" s="1441" t="str">
        <f t="shared" si="53"/>
        <v>AUSSET Quentin</v>
      </c>
      <c r="D1687" s="1428" t="s">
        <v>13210</v>
      </c>
      <c r="E1687" s="1429">
        <v>6</v>
      </c>
      <c r="F1687" s="1430" t="s">
        <v>14978</v>
      </c>
      <c r="G1687" s="1431" t="s">
        <v>3681</v>
      </c>
      <c r="H1687" s="1430" t="s">
        <v>15183</v>
      </c>
      <c r="I1687" s="1429" t="s">
        <v>1019</v>
      </c>
      <c r="J1687" s="2196">
        <v>1178</v>
      </c>
    </row>
    <row r="1688" spans="2:10" ht="13.5" thickBot="1" x14ac:dyDescent="0.25">
      <c r="B1688" s="392" t="str">
        <f t="shared" si="52"/>
        <v>U20 - ESPOSITO Matteo</v>
      </c>
      <c r="C1688" s="1441" t="str">
        <f t="shared" si="53"/>
        <v>ESPOSITO Matteo</v>
      </c>
      <c r="D1688" s="1428" t="s">
        <v>13210</v>
      </c>
      <c r="E1688" s="1429">
        <v>7</v>
      </c>
      <c r="F1688" s="1430" t="s">
        <v>3238</v>
      </c>
      <c r="G1688" s="1431" t="s">
        <v>3200</v>
      </c>
      <c r="H1688" s="1430" t="s">
        <v>2776</v>
      </c>
      <c r="I1688" s="1429" t="s">
        <v>1037</v>
      </c>
      <c r="J1688" s="2196">
        <v>1010.5</v>
      </c>
    </row>
    <row r="1689" spans="2:10" ht="13.5" thickBot="1" x14ac:dyDescent="0.25">
      <c r="B1689" s="392" t="str">
        <f t="shared" si="52"/>
        <v>U20 - DESPRETZ Léa</v>
      </c>
      <c r="C1689" s="1441" t="str">
        <f t="shared" si="53"/>
        <v>DESPRETZ Léa</v>
      </c>
      <c r="D1689" s="1428" t="s">
        <v>13210</v>
      </c>
      <c r="E1689" s="1429">
        <v>8</v>
      </c>
      <c r="F1689" s="1430" t="s">
        <v>3261</v>
      </c>
      <c r="G1689" s="1431" t="s">
        <v>6880</v>
      </c>
      <c r="H1689" s="1430" t="s">
        <v>13519</v>
      </c>
      <c r="I1689" s="1429" t="s">
        <v>990</v>
      </c>
      <c r="J1689" s="2196">
        <v>759</v>
      </c>
    </row>
    <row r="1690" spans="2:10" ht="13.5" thickBot="1" x14ac:dyDescent="0.25">
      <c r="B1690" s="392" t="str">
        <f t="shared" si="52"/>
        <v>U20 - ANTÚNEZ Cristian</v>
      </c>
      <c r="C1690" s="1441" t="str">
        <f t="shared" si="53"/>
        <v>ANTÚNEZ Cristian</v>
      </c>
      <c r="D1690" s="1428" t="s">
        <v>13210</v>
      </c>
      <c r="E1690" s="1429">
        <v>9</v>
      </c>
      <c r="F1690" s="1430" t="s">
        <v>14247</v>
      </c>
      <c r="G1690" s="1431" t="s">
        <v>3705</v>
      </c>
      <c r="H1690" s="1430" t="s">
        <v>2755</v>
      </c>
      <c r="I1690" s="1429" t="s">
        <v>1015</v>
      </c>
      <c r="J1690" s="2196">
        <v>746</v>
      </c>
    </row>
    <row r="1691" spans="2:10" ht="13.5" thickBot="1" x14ac:dyDescent="0.25">
      <c r="B1691" s="392" t="str">
        <f t="shared" si="52"/>
        <v>U20 - COQUILLON Fanch</v>
      </c>
      <c r="C1691" s="1441" t="str">
        <f t="shared" si="53"/>
        <v>COQUILLON Fanch</v>
      </c>
      <c r="D1691" s="1428" t="s">
        <v>13210</v>
      </c>
      <c r="E1691" s="1429">
        <v>10</v>
      </c>
      <c r="F1691" s="1430" t="s">
        <v>14313</v>
      </c>
      <c r="G1691" s="1431" t="s">
        <v>11375</v>
      </c>
      <c r="H1691" s="1430" t="s">
        <v>2796</v>
      </c>
      <c r="I1691" s="1429" t="s">
        <v>1019</v>
      </c>
      <c r="J1691" s="2196">
        <v>616.5</v>
      </c>
    </row>
    <row r="1692" spans="2:10" ht="13.5" thickBot="1" x14ac:dyDescent="0.25">
      <c r="B1692" s="392" t="str">
        <f t="shared" si="52"/>
        <v>U20 - FRICANO Christian</v>
      </c>
      <c r="C1692" s="1441" t="str">
        <f t="shared" si="53"/>
        <v>FRICANO Christian</v>
      </c>
      <c r="D1692" s="1428" t="s">
        <v>13210</v>
      </c>
      <c r="E1692" s="1429">
        <v>11</v>
      </c>
      <c r="F1692" s="1430" t="s">
        <v>9494</v>
      </c>
      <c r="G1692" s="1431" t="s">
        <v>3063</v>
      </c>
      <c r="H1692" s="1430" t="s">
        <v>11467</v>
      </c>
      <c r="I1692" s="1429" t="s">
        <v>1037</v>
      </c>
      <c r="J1692" s="2196">
        <v>521.5</v>
      </c>
    </row>
    <row r="1693" spans="2:10" ht="13.5" thickBot="1" x14ac:dyDescent="0.25">
      <c r="B1693" s="392" t="str">
        <f t="shared" si="52"/>
        <v>U20 - ALFARO Isaac</v>
      </c>
      <c r="C1693" s="1441" t="str">
        <f t="shared" si="53"/>
        <v>ALFARO Isaac</v>
      </c>
      <c r="D1693" s="1428" t="s">
        <v>13210</v>
      </c>
      <c r="E1693" s="1429">
        <v>12</v>
      </c>
      <c r="F1693" s="1430" t="s">
        <v>16559</v>
      </c>
      <c r="G1693" s="1431" t="s">
        <v>3460</v>
      </c>
      <c r="H1693" s="1430" t="s">
        <v>2755</v>
      </c>
      <c r="I1693" s="1429" t="s">
        <v>1015</v>
      </c>
      <c r="J1693" s="2196">
        <v>511</v>
      </c>
    </row>
    <row r="1694" spans="2:10" ht="13.5" thickBot="1" x14ac:dyDescent="0.25">
      <c r="B1694" s="392" t="str">
        <f t="shared" si="52"/>
        <v>U20 - EBEJER Thomas</v>
      </c>
      <c r="C1694" s="1441" t="str">
        <f t="shared" si="53"/>
        <v>EBEJER Thomas</v>
      </c>
      <c r="D1694" s="1428" t="s">
        <v>13210</v>
      </c>
      <c r="E1694" s="1429">
        <v>13</v>
      </c>
      <c r="F1694" s="1430" t="s">
        <v>3161</v>
      </c>
      <c r="G1694" s="1431" t="s">
        <v>3124</v>
      </c>
      <c r="H1694" s="1430" t="s">
        <v>10253</v>
      </c>
      <c r="I1694" s="1429" t="s">
        <v>1045</v>
      </c>
      <c r="J1694" s="2196">
        <v>481</v>
      </c>
    </row>
    <row r="1695" spans="2:10" ht="13.5" thickBot="1" x14ac:dyDescent="0.25">
      <c r="B1695" s="392" t="str">
        <f t="shared" si="52"/>
        <v>U20 - MATTHEWS Ruby</v>
      </c>
      <c r="C1695" s="1441" t="str">
        <f t="shared" si="53"/>
        <v>MATTHEWS Ruby</v>
      </c>
      <c r="D1695" s="1428" t="s">
        <v>13210</v>
      </c>
      <c r="E1695" s="1429">
        <v>14</v>
      </c>
      <c r="F1695" s="1430" t="s">
        <v>11420</v>
      </c>
      <c r="G1695" s="1431" t="s">
        <v>8232</v>
      </c>
      <c r="H1695" s="1430" t="s">
        <v>13519</v>
      </c>
      <c r="I1695" s="1429" t="s">
        <v>1013</v>
      </c>
      <c r="J1695" s="2196">
        <v>455</v>
      </c>
    </row>
    <row r="1696" spans="2:10" ht="13.5" thickBot="1" x14ac:dyDescent="0.25">
      <c r="B1696" s="392" t="str">
        <f t="shared" si="52"/>
        <v>U20 - MIDOUX Rafaël</v>
      </c>
      <c r="C1696" s="1441" t="str">
        <f t="shared" si="53"/>
        <v>MIDOUX Rafaël</v>
      </c>
      <c r="D1696" s="1428" t="s">
        <v>13210</v>
      </c>
      <c r="E1696" s="1429">
        <v>15</v>
      </c>
      <c r="F1696" s="1430" t="s">
        <v>3189</v>
      </c>
      <c r="G1696" s="1431" t="s">
        <v>8238</v>
      </c>
      <c r="H1696" s="1430" t="s">
        <v>13519</v>
      </c>
      <c r="I1696" s="1429" t="s">
        <v>1019</v>
      </c>
      <c r="J1696" s="2196">
        <v>370</v>
      </c>
    </row>
    <row r="1697" spans="2:10" ht="13.5" thickBot="1" x14ac:dyDescent="0.25">
      <c r="B1697" s="392" t="str">
        <f t="shared" si="52"/>
        <v>U20 - FEYE Aurélien</v>
      </c>
      <c r="C1697" s="1441" t="str">
        <f t="shared" si="53"/>
        <v>FEYE Aurélien</v>
      </c>
      <c r="D1697" s="1428" t="s">
        <v>13210</v>
      </c>
      <c r="E1697" s="1429">
        <v>16</v>
      </c>
      <c r="F1697" s="1430" t="s">
        <v>16637</v>
      </c>
      <c r="G1697" s="1431" t="s">
        <v>14354</v>
      </c>
      <c r="H1697" s="1430" t="s">
        <v>10250</v>
      </c>
      <c r="I1697" s="1429" t="s">
        <v>990</v>
      </c>
      <c r="J1697" s="2196">
        <v>348</v>
      </c>
    </row>
    <row r="1698" spans="2:10" ht="13.5" thickBot="1" x14ac:dyDescent="0.25">
      <c r="B1698" s="392" t="str">
        <f t="shared" si="52"/>
        <v>U20 - PÉREZ Álvaro</v>
      </c>
      <c r="C1698" s="1441" t="str">
        <f t="shared" si="53"/>
        <v>PÉREZ Álvaro</v>
      </c>
      <c r="D1698" s="1428" t="s">
        <v>13210</v>
      </c>
      <c r="E1698" s="1429">
        <v>17</v>
      </c>
      <c r="F1698" s="1430" t="s">
        <v>16560</v>
      </c>
      <c r="G1698" s="1431" t="s">
        <v>3538</v>
      </c>
      <c r="H1698" s="1430" t="s">
        <v>2755</v>
      </c>
      <c r="I1698" s="1429" t="s">
        <v>1015</v>
      </c>
      <c r="J1698" s="2196">
        <v>282.5</v>
      </c>
    </row>
    <row r="1699" spans="2:10" ht="13.5" thickBot="1" x14ac:dyDescent="0.25">
      <c r="B1699" s="392" t="str">
        <f t="shared" si="52"/>
        <v>U20 - CYGANEK Jérôme</v>
      </c>
      <c r="C1699" s="1441" t="str">
        <f t="shared" si="53"/>
        <v>CYGANEK Jérôme</v>
      </c>
      <c r="D1699" s="1428" t="s">
        <v>13210</v>
      </c>
      <c r="E1699" s="1429">
        <v>18</v>
      </c>
      <c r="F1699" s="1430" t="s">
        <v>8766</v>
      </c>
      <c r="G1699" s="1431" t="s">
        <v>3121</v>
      </c>
      <c r="H1699" s="1430" t="s">
        <v>13519</v>
      </c>
      <c r="I1699" s="1429" t="s">
        <v>990</v>
      </c>
      <c r="J1699" s="2196">
        <v>272</v>
      </c>
    </row>
    <row r="1700" spans="2:10" ht="13.5" thickBot="1" x14ac:dyDescent="0.25">
      <c r="B1700" s="392" t="str">
        <f t="shared" si="52"/>
        <v>U20 - MAIRELES ALFARO Jesús</v>
      </c>
      <c r="C1700" s="1441" t="str">
        <f t="shared" si="53"/>
        <v>MAIRELES ALFARO Jesús</v>
      </c>
      <c r="D1700" s="1428" t="s">
        <v>13210</v>
      </c>
      <c r="E1700" s="1429">
        <v>19</v>
      </c>
      <c r="F1700" s="1430" t="s">
        <v>16719</v>
      </c>
      <c r="G1700" s="1431" t="s">
        <v>3575</v>
      </c>
      <c r="H1700" s="1430" t="s">
        <v>7304</v>
      </c>
      <c r="I1700" s="1429" t="s">
        <v>1015</v>
      </c>
      <c r="J1700" s="2196">
        <v>239</v>
      </c>
    </row>
    <row r="1701" spans="2:10" ht="13.5" thickBot="1" x14ac:dyDescent="0.25">
      <c r="B1701" s="392" t="str">
        <f t="shared" si="52"/>
        <v>U20 - BENITA Rubén</v>
      </c>
      <c r="C1701" s="1441" t="str">
        <f t="shared" si="53"/>
        <v>BENITA Rubén</v>
      </c>
      <c r="D1701" s="1428" t="s">
        <v>13210</v>
      </c>
      <c r="E1701" s="1429">
        <v>20</v>
      </c>
      <c r="F1701" s="1430" t="s">
        <v>14166</v>
      </c>
      <c r="G1701" s="1431" t="s">
        <v>9409</v>
      </c>
      <c r="H1701" s="1430" t="s">
        <v>7869</v>
      </c>
      <c r="I1701" s="1429" t="s">
        <v>1015</v>
      </c>
      <c r="J1701" s="2196">
        <v>232.5</v>
      </c>
    </row>
    <row r="1702" spans="2:10" ht="13.5" thickBot="1" x14ac:dyDescent="0.25">
      <c r="B1702" s="392" t="str">
        <f t="shared" si="52"/>
        <v>U20 - DA RE Federico</v>
      </c>
      <c r="C1702" s="1441" t="str">
        <f t="shared" si="53"/>
        <v>DA RE Federico</v>
      </c>
      <c r="D1702" s="1428" t="s">
        <v>13210</v>
      </c>
      <c r="E1702" s="1429">
        <v>21</v>
      </c>
      <c r="F1702" s="1430" t="s">
        <v>14976</v>
      </c>
      <c r="G1702" s="1431" t="s">
        <v>3335</v>
      </c>
      <c r="H1702" s="1430" t="s">
        <v>13312</v>
      </c>
      <c r="I1702" s="1429" t="s">
        <v>1037</v>
      </c>
      <c r="J1702" s="2196">
        <v>228</v>
      </c>
    </row>
    <row r="1703" spans="2:10" ht="13.5" thickBot="1" x14ac:dyDescent="0.25">
      <c r="B1703" s="392" t="str">
        <f t="shared" si="52"/>
        <v>U20 - BONNICI Jayden</v>
      </c>
      <c r="C1703" s="1441" t="str">
        <f t="shared" si="53"/>
        <v>BONNICI Jayden</v>
      </c>
      <c r="D1703" s="1428" t="s">
        <v>13210</v>
      </c>
      <c r="E1703" s="1429">
        <v>22</v>
      </c>
      <c r="F1703" s="1430" t="s">
        <v>3355</v>
      </c>
      <c r="G1703" s="1431" t="s">
        <v>7171</v>
      </c>
      <c r="H1703" s="1430" t="s">
        <v>18042</v>
      </c>
      <c r="I1703" s="1429" t="s">
        <v>1045</v>
      </c>
      <c r="J1703" s="2196">
        <v>227.5</v>
      </c>
    </row>
    <row r="1704" spans="2:10" ht="13.5" thickBot="1" x14ac:dyDescent="0.25">
      <c r="B1704" s="392" t="str">
        <f t="shared" si="52"/>
        <v>U20 - MARAIN Benjamin</v>
      </c>
      <c r="C1704" s="1441" t="str">
        <f t="shared" si="53"/>
        <v>MARAIN Benjamin</v>
      </c>
      <c r="D1704" s="1428" t="s">
        <v>13210</v>
      </c>
      <c r="E1704" s="1429">
        <v>23</v>
      </c>
      <c r="F1704" s="1430" t="s">
        <v>3229</v>
      </c>
      <c r="G1704" s="1431" t="s">
        <v>3362</v>
      </c>
      <c r="H1704" s="1430" t="s">
        <v>13519</v>
      </c>
      <c r="I1704" s="1429" t="s">
        <v>990</v>
      </c>
      <c r="J1704" s="2196">
        <v>222.5</v>
      </c>
    </row>
    <row r="1705" spans="2:10" ht="13.5" thickBot="1" x14ac:dyDescent="0.25">
      <c r="B1705" s="392" t="str">
        <f t="shared" si="52"/>
        <v>U20 - SORET Louis</v>
      </c>
      <c r="C1705" s="1441" t="str">
        <f t="shared" si="53"/>
        <v>SORET Louis</v>
      </c>
      <c r="D1705" s="1428" t="s">
        <v>13210</v>
      </c>
      <c r="E1705" s="1429">
        <v>24</v>
      </c>
      <c r="F1705" s="1430" t="s">
        <v>3519</v>
      </c>
      <c r="G1705" s="1431" t="s">
        <v>5660</v>
      </c>
      <c r="H1705" s="1430" t="s">
        <v>13519</v>
      </c>
      <c r="I1705" s="1429" t="s">
        <v>1019</v>
      </c>
      <c r="J1705" s="2196">
        <v>220</v>
      </c>
    </row>
    <row r="1706" spans="2:10" ht="13.5" thickBot="1" x14ac:dyDescent="0.25">
      <c r="B1706" s="392" t="str">
        <f t="shared" si="52"/>
        <v>U20 - PAPIDAKIS Philippos</v>
      </c>
      <c r="C1706" s="1441" t="str">
        <f t="shared" si="53"/>
        <v>PAPIDAKIS Philippos</v>
      </c>
      <c r="D1706" s="1428" t="s">
        <v>13210</v>
      </c>
      <c r="E1706" s="1429">
        <v>25</v>
      </c>
      <c r="F1706" s="1430" t="s">
        <v>7279</v>
      </c>
      <c r="G1706" s="1431" t="s">
        <v>7470</v>
      </c>
      <c r="H1706" s="1430" t="s">
        <v>5309</v>
      </c>
      <c r="I1706" s="1429" t="s">
        <v>1025</v>
      </c>
      <c r="J1706" s="2196">
        <v>150</v>
      </c>
    </row>
    <row r="1707" spans="2:10" ht="13.5" thickBot="1" x14ac:dyDescent="0.25">
      <c r="B1707" s="392" t="str">
        <f t="shared" si="52"/>
        <v>U20 - BORGO Francesco</v>
      </c>
      <c r="C1707" s="1441" t="str">
        <f t="shared" si="53"/>
        <v>BORGO Francesco</v>
      </c>
      <c r="D1707" s="1428" t="s">
        <v>13210</v>
      </c>
      <c r="E1707" s="1429">
        <v>26</v>
      </c>
      <c r="F1707" s="1430" t="s">
        <v>3697</v>
      </c>
      <c r="G1707" s="1431" t="s">
        <v>3277</v>
      </c>
      <c r="H1707" s="1430" t="s">
        <v>11467</v>
      </c>
      <c r="I1707" s="1429" t="s">
        <v>1037</v>
      </c>
      <c r="J1707" s="2196">
        <v>120</v>
      </c>
    </row>
    <row r="1708" spans="2:10" ht="13.5" thickBot="1" x14ac:dyDescent="0.25">
      <c r="B1708" s="392" t="str">
        <f t="shared" si="52"/>
        <v>U20 - PEREIRA Max</v>
      </c>
      <c r="C1708" s="1441" t="str">
        <f t="shared" si="53"/>
        <v>PEREIRA Max</v>
      </c>
      <c r="D1708" s="1428" t="s">
        <v>13210</v>
      </c>
      <c r="E1708" s="1429">
        <v>27</v>
      </c>
      <c r="F1708" s="1430" t="s">
        <v>14314</v>
      </c>
      <c r="G1708" s="1431" t="s">
        <v>3710</v>
      </c>
      <c r="H1708" s="1430" t="s">
        <v>5317</v>
      </c>
      <c r="I1708" s="1429" t="s">
        <v>1061</v>
      </c>
      <c r="J1708" s="2196">
        <v>111</v>
      </c>
    </row>
    <row r="1709" spans="2:10" ht="13.5" thickBot="1" x14ac:dyDescent="0.25">
      <c r="B1709" s="392" t="str">
        <f t="shared" si="52"/>
        <v>U20 - OLLNOW Oliver</v>
      </c>
      <c r="C1709" s="1441" t="str">
        <f t="shared" si="53"/>
        <v>OLLNOW Oliver</v>
      </c>
      <c r="D1709" s="1428" t="s">
        <v>13210</v>
      </c>
      <c r="E1709" s="1429">
        <v>28</v>
      </c>
      <c r="F1709" s="1430" t="s">
        <v>16849</v>
      </c>
      <c r="G1709" s="1431" t="s">
        <v>3298</v>
      </c>
      <c r="H1709" s="1430" t="s">
        <v>13588</v>
      </c>
      <c r="I1709" s="1429" t="s">
        <v>986</v>
      </c>
      <c r="J1709" s="2196">
        <v>102.5</v>
      </c>
    </row>
    <row r="1710" spans="2:10" ht="13.5" thickBot="1" x14ac:dyDescent="0.25">
      <c r="B1710" s="392" t="str">
        <f t="shared" si="52"/>
        <v>U20 - BISIO Angelo</v>
      </c>
      <c r="C1710" s="1441" t="str">
        <f t="shared" si="53"/>
        <v>BISIO Angelo</v>
      </c>
      <c r="D1710" s="1428" t="s">
        <v>13210</v>
      </c>
      <c r="E1710" s="1429">
        <v>29</v>
      </c>
      <c r="F1710" s="1430" t="s">
        <v>5623</v>
      </c>
      <c r="G1710" s="1431" t="s">
        <v>3367</v>
      </c>
      <c r="H1710" s="1430" t="s">
        <v>2765</v>
      </c>
      <c r="I1710" s="1429" t="s">
        <v>1037</v>
      </c>
      <c r="J1710" s="2196">
        <v>99.5</v>
      </c>
    </row>
    <row r="1711" spans="2:10" ht="13.5" thickBot="1" x14ac:dyDescent="0.25">
      <c r="B1711" s="392" t="str">
        <f t="shared" si="52"/>
        <v>U20 - FARRUGIA RANDON Robert</v>
      </c>
      <c r="C1711" s="1441" t="str">
        <f t="shared" si="53"/>
        <v>FARRUGIA RANDON Robert</v>
      </c>
      <c r="D1711" s="1428" t="s">
        <v>13210</v>
      </c>
      <c r="E1711" s="1429">
        <v>30</v>
      </c>
      <c r="F1711" s="1430" t="s">
        <v>14241</v>
      </c>
      <c r="G1711" s="1431" t="s">
        <v>3405</v>
      </c>
      <c r="H1711" s="1430" t="s">
        <v>11331</v>
      </c>
      <c r="I1711" s="1429" t="s">
        <v>1045</v>
      </c>
      <c r="J1711" s="2196">
        <v>96.5</v>
      </c>
    </row>
    <row r="1712" spans="2:10" ht="13.5" thickBot="1" x14ac:dyDescent="0.25">
      <c r="B1712" s="392" t="str">
        <f t="shared" si="52"/>
        <v>U20 - BONNICI Jeshua</v>
      </c>
      <c r="C1712" s="1441" t="str">
        <f t="shared" si="53"/>
        <v>BONNICI Jeshua</v>
      </c>
      <c r="D1712" s="1428" t="s">
        <v>13210</v>
      </c>
      <c r="E1712" s="1429">
        <v>31</v>
      </c>
      <c r="F1712" s="1430" t="s">
        <v>3355</v>
      </c>
      <c r="G1712" s="1431" t="s">
        <v>7903</v>
      </c>
      <c r="H1712" s="1430" t="s">
        <v>5317</v>
      </c>
      <c r="I1712" s="1429" t="s">
        <v>1045</v>
      </c>
      <c r="J1712" s="2196">
        <v>94</v>
      </c>
    </row>
    <row r="1713" spans="2:10" ht="13.5" thickBot="1" x14ac:dyDescent="0.25">
      <c r="B1713" s="392" t="str">
        <f t="shared" si="52"/>
        <v>U20 - REGUERA MUÑOZ Manuel</v>
      </c>
      <c r="C1713" s="1441" t="str">
        <f t="shared" si="53"/>
        <v>REGUERA MUÑOZ Manuel</v>
      </c>
      <c r="D1713" s="1428" t="s">
        <v>13210</v>
      </c>
      <c r="E1713" s="1429">
        <v>32</v>
      </c>
      <c r="F1713" s="1430" t="s">
        <v>16745</v>
      </c>
      <c r="G1713" s="1431" t="s">
        <v>3171</v>
      </c>
      <c r="H1713" s="1430" t="s">
        <v>7871</v>
      </c>
      <c r="I1713" s="1429" t="s">
        <v>1015</v>
      </c>
      <c r="J1713" s="2196">
        <v>80</v>
      </c>
    </row>
    <row r="1714" spans="2:10" ht="13.5" thickBot="1" x14ac:dyDescent="0.25">
      <c r="B1714" s="392" t="str">
        <f t="shared" si="52"/>
        <v>U20 - BOUCHEZ Charlotte</v>
      </c>
      <c r="C1714" s="1441" t="str">
        <f t="shared" si="53"/>
        <v>BOUCHEZ Charlotte</v>
      </c>
      <c r="D1714" s="1428" t="s">
        <v>13210</v>
      </c>
      <c r="E1714" s="1429">
        <v>33</v>
      </c>
      <c r="F1714" s="1430" t="s">
        <v>17606</v>
      </c>
      <c r="G1714" s="1431" t="s">
        <v>5661</v>
      </c>
      <c r="H1714" s="1430" t="s">
        <v>5301</v>
      </c>
      <c r="I1714" s="1429" t="s">
        <v>990</v>
      </c>
      <c r="J1714" s="2196">
        <v>78.5</v>
      </c>
    </row>
    <row r="1715" spans="2:10" ht="13.5" thickBot="1" x14ac:dyDescent="0.25">
      <c r="B1715" s="392" t="str">
        <f t="shared" si="52"/>
        <v>U20 - DIRICK Noah</v>
      </c>
      <c r="C1715" s="1441" t="str">
        <f t="shared" si="53"/>
        <v>DIRICK Noah</v>
      </c>
      <c r="D1715" s="1428" t="s">
        <v>13210</v>
      </c>
      <c r="E1715" s="1429">
        <v>34</v>
      </c>
      <c r="F1715" s="1430" t="s">
        <v>14240</v>
      </c>
      <c r="G1715" s="1431" t="s">
        <v>7329</v>
      </c>
      <c r="H1715" s="1430" t="s">
        <v>10252</v>
      </c>
      <c r="I1715" s="1429" t="s">
        <v>990</v>
      </c>
      <c r="J1715" s="2196">
        <v>78</v>
      </c>
    </row>
    <row r="1716" spans="2:10" ht="13.5" thickBot="1" x14ac:dyDescent="0.25">
      <c r="B1716" s="392" t="str">
        <f t="shared" si="52"/>
        <v>U20 - ROUIS Yasser</v>
      </c>
      <c r="C1716" s="1441" t="str">
        <f t="shared" si="53"/>
        <v>ROUIS Yasser</v>
      </c>
      <c r="D1716" s="1428" t="s">
        <v>13210</v>
      </c>
      <c r="E1716" s="1429">
        <v>35</v>
      </c>
      <c r="F1716" s="1430" t="s">
        <v>11428</v>
      </c>
      <c r="G1716" s="1431" t="s">
        <v>14081</v>
      </c>
      <c r="H1716" s="1430" t="s">
        <v>14825</v>
      </c>
      <c r="I1716" s="1429" t="s">
        <v>1076</v>
      </c>
      <c r="J1716" s="2196">
        <v>77</v>
      </c>
    </row>
    <row r="1717" spans="2:10" ht="13.5" thickBot="1" x14ac:dyDescent="0.25">
      <c r="B1717" s="392" t="str">
        <f t="shared" si="52"/>
        <v>U20 - SCOTT Alexander</v>
      </c>
      <c r="C1717" s="1441" t="str">
        <f t="shared" si="53"/>
        <v>SCOTT Alexander</v>
      </c>
      <c r="D1717" s="1428" t="s">
        <v>13210</v>
      </c>
      <c r="E1717" s="1429">
        <v>36</v>
      </c>
      <c r="F1717" s="1430" t="s">
        <v>10987</v>
      </c>
      <c r="G1717" s="1431" t="s">
        <v>3037</v>
      </c>
      <c r="H1717" s="1430" t="s">
        <v>14399</v>
      </c>
      <c r="I1717" s="1429" t="s">
        <v>1013</v>
      </c>
      <c r="J1717" s="2196">
        <v>60.5</v>
      </c>
    </row>
    <row r="1718" spans="2:10" ht="13.5" thickBot="1" x14ac:dyDescent="0.25">
      <c r="B1718" s="392" t="str">
        <f t="shared" si="52"/>
        <v>U20 - GREGORY Connor</v>
      </c>
      <c r="C1718" s="1441" t="str">
        <f t="shared" si="53"/>
        <v>GREGORY Connor</v>
      </c>
      <c r="D1718" s="1428" t="s">
        <v>13210</v>
      </c>
      <c r="E1718" s="1429">
        <v>37</v>
      </c>
      <c r="F1718" s="1430" t="s">
        <v>14937</v>
      </c>
      <c r="G1718" s="1431" t="s">
        <v>14414</v>
      </c>
      <c r="H1718" s="1430" t="s">
        <v>17082</v>
      </c>
      <c r="I1718" s="1429" t="s">
        <v>1013</v>
      </c>
      <c r="J1718" s="2196">
        <v>60</v>
      </c>
    </row>
    <row r="1719" spans="2:10" ht="13.5" thickBot="1" x14ac:dyDescent="0.25">
      <c r="B1719" s="392" t="str">
        <f t="shared" si="52"/>
        <v>U20 - RAISON Lucas</v>
      </c>
      <c r="C1719" s="1441" t="str">
        <f t="shared" si="53"/>
        <v>RAISON Lucas</v>
      </c>
      <c r="D1719" s="1428" t="s">
        <v>13210</v>
      </c>
      <c r="E1719" s="1429">
        <v>38</v>
      </c>
      <c r="F1719" s="1430" t="s">
        <v>14158</v>
      </c>
      <c r="G1719" s="1431" t="s">
        <v>3684</v>
      </c>
      <c r="H1719" s="1430" t="s">
        <v>5301</v>
      </c>
      <c r="I1719" s="1429" t="s">
        <v>990</v>
      </c>
      <c r="J1719" s="2196">
        <v>58</v>
      </c>
    </row>
    <row r="1720" spans="2:10" ht="13.5" thickBot="1" x14ac:dyDescent="0.25">
      <c r="B1720" s="392" t="str">
        <f t="shared" si="52"/>
        <v>U20 - KOTROTSOS Evangelos</v>
      </c>
      <c r="C1720" s="1441" t="str">
        <f t="shared" si="53"/>
        <v>KOTROTSOS Evangelos</v>
      </c>
      <c r="D1720" s="1428" t="s">
        <v>13210</v>
      </c>
      <c r="E1720" s="1429">
        <v>39</v>
      </c>
      <c r="F1720" s="1430" t="s">
        <v>5562</v>
      </c>
      <c r="G1720" s="1431" t="s">
        <v>3709</v>
      </c>
      <c r="H1720" s="1430" t="s">
        <v>3213</v>
      </c>
      <c r="I1720" s="1429" t="s">
        <v>1025</v>
      </c>
      <c r="J1720" s="2196">
        <v>57.5</v>
      </c>
    </row>
    <row r="1721" spans="2:10" ht="13.5" thickBot="1" x14ac:dyDescent="0.25">
      <c r="B1721" s="392" t="str">
        <f t="shared" si="52"/>
        <v>U20 - BELCHER Chris</v>
      </c>
      <c r="C1721" s="1441" t="str">
        <f t="shared" si="53"/>
        <v>BELCHER Chris</v>
      </c>
      <c r="D1721" s="1428" t="s">
        <v>13210</v>
      </c>
      <c r="E1721" s="1429">
        <v>40</v>
      </c>
      <c r="F1721" s="1430" t="s">
        <v>14908</v>
      </c>
      <c r="G1721" s="1431" t="s">
        <v>3029</v>
      </c>
      <c r="H1721" s="1430" t="s">
        <v>13606</v>
      </c>
      <c r="I1721" s="1429" t="s">
        <v>1079</v>
      </c>
      <c r="J1721" s="2196">
        <v>56.5</v>
      </c>
    </row>
    <row r="1722" spans="2:10" ht="13.5" thickBot="1" x14ac:dyDescent="0.25">
      <c r="B1722" s="392" t="str">
        <f t="shared" si="52"/>
        <v>U20 - ROSA Julià</v>
      </c>
      <c r="C1722" s="1441" t="str">
        <f t="shared" si="53"/>
        <v>ROSA Julià</v>
      </c>
      <c r="D1722" s="1428" t="s">
        <v>13210</v>
      </c>
      <c r="E1722" s="1429">
        <v>41</v>
      </c>
      <c r="F1722" s="1430" t="s">
        <v>14167</v>
      </c>
      <c r="G1722" s="1431" t="s">
        <v>13824</v>
      </c>
      <c r="H1722" s="1430" t="s">
        <v>14451</v>
      </c>
      <c r="I1722" s="1429" t="s">
        <v>1015</v>
      </c>
      <c r="J1722" s="2196">
        <v>54</v>
      </c>
    </row>
    <row r="1723" spans="2:10" ht="13.5" thickBot="1" x14ac:dyDescent="0.25">
      <c r="B1723" s="392" t="str">
        <f t="shared" si="52"/>
        <v>U20 - BAENA Manuel</v>
      </c>
      <c r="C1723" s="1441" t="str">
        <f t="shared" si="53"/>
        <v>BAENA Manuel</v>
      </c>
      <c r="D1723" s="1428" t="s">
        <v>13210</v>
      </c>
      <c r="E1723" s="1429">
        <v>42</v>
      </c>
      <c r="F1723" s="1430" t="s">
        <v>14308</v>
      </c>
      <c r="G1723" s="1431" t="s">
        <v>3171</v>
      </c>
      <c r="H1723" s="1430" t="s">
        <v>7304</v>
      </c>
      <c r="I1723" s="1429" t="s">
        <v>1015</v>
      </c>
      <c r="J1723" s="2196">
        <v>53</v>
      </c>
    </row>
    <row r="1724" spans="2:10" ht="13.5" thickBot="1" x14ac:dyDescent="0.25">
      <c r="B1724" s="392" t="str">
        <f t="shared" si="52"/>
        <v>U20 - GIUDICE Giorgio</v>
      </c>
      <c r="C1724" s="1441" t="str">
        <f t="shared" si="53"/>
        <v>GIUDICE Giorgio</v>
      </c>
      <c r="D1724" s="1428" t="s">
        <v>13210</v>
      </c>
      <c r="E1724" s="1429">
        <v>43</v>
      </c>
      <c r="F1724" s="1430" t="s">
        <v>3327</v>
      </c>
      <c r="G1724" s="1431" t="s">
        <v>3643</v>
      </c>
      <c r="H1724" s="1430" t="s">
        <v>13477</v>
      </c>
      <c r="I1724" s="1429" t="s">
        <v>1037</v>
      </c>
      <c r="J1724" s="2196">
        <v>50</v>
      </c>
    </row>
    <row r="1725" spans="2:10" ht="13.5" thickBot="1" x14ac:dyDescent="0.25">
      <c r="B1725" s="392" t="str">
        <f t="shared" si="52"/>
        <v>U20 - BENITA Álvaro</v>
      </c>
      <c r="C1725" s="1441" t="str">
        <f t="shared" si="53"/>
        <v>BENITA Álvaro</v>
      </c>
      <c r="D1725" s="1428" t="s">
        <v>13210</v>
      </c>
      <c r="E1725" s="1429">
        <v>44</v>
      </c>
      <c r="F1725" s="1430" t="s">
        <v>14166</v>
      </c>
      <c r="G1725" s="1431" t="s">
        <v>3538</v>
      </c>
      <c r="H1725" s="1430" t="s">
        <v>7869</v>
      </c>
      <c r="I1725" s="1429" t="s">
        <v>1015</v>
      </c>
      <c r="J1725" s="2196">
        <v>48</v>
      </c>
    </row>
    <row r="1726" spans="2:10" ht="13.5" thickBot="1" x14ac:dyDescent="0.25">
      <c r="B1726" s="392" t="str">
        <f t="shared" si="52"/>
        <v>U20 - BADGER Gage</v>
      </c>
      <c r="C1726" s="1441" t="str">
        <f t="shared" si="53"/>
        <v>BADGER Gage</v>
      </c>
      <c r="D1726" s="1428" t="s">
        <v>13210</v>
      </c>
      <c r="E1726" s="1429">
        <v>45</v>
      </c>
      <c r="F1726" s="1430" t="s">
        <v>10988</v>
      </c>
      <c r="G1726" s="1431" t="s">
        <v>14397</v>
      </c>
      <c r="H1726" s="1430" t="s">
        <v>14399</v>
      </c>
      <c r="I1726" s="1429" t="s">
        <v>1013</v>
      </c>
      <c r="J1726" s="2196">
        <v>41</v>
      </c>
    </row>
    <row r="1727" spans="2:10" ht="13.5" thickBot="1" x14ac:dyDescent="0.25">
      <c r="B1727" s="392" t="str">
        <f t="shared" si="52"/>
        <v>U20 - BELCHER Ryan</v>
      </c>
      <c r="C1727" s="1441" t="str">
        <f t="shared" si="53"/>
        <v>BELCHER Ryan</v>
      </c>
      <c r="D1727" s="1428" t="s">
        <v>13210</v>
      </c>
      <c r="E1727" s="1429">
        <v>46</v>
      </c>
      <c r="F1727" s="1430" t="s">
        <v>14908</v>
      </c>
      <c r="G1727" s="1431" t="s">
        <v>3686</v>
      </c>
      <c r="H1727" s="1430" t="s">
        <v>2905</v>
      </c>
      <c r="I1727" s="1429" t="s">
        <v>1079</v>
      </c>
      <c r="J1727" s="2196">
        <v>39.5</v>
      </c>
    </row>
    <row r="1728" spans="2:10" ht="13.5" thickBot="1" x14ac:dyDescent="0.25">
      <c r="B1728" s="392" t="str">
        <f t="shared" si="52"/>
        <v>U20 - VERHOEVEN Lulani</v>
      </c>
      <c r="C1728" s="1441" t="str">
        <f t="shared" si="53"/>
        <v>VERHOEVEN Lulani</v>
      </c>
      <c r="D1728" s="1428" t="s">
        <v>13210</v>
      </c>
      <c r="E1728" s="1429">
        <v>47</v>
      </c>
      <c r="F1728" s="1430" t="s">
        <v>14238</v>
      </c>
      <c r="G1728" s="1431" t="s">
        <v>11237</v>
      </c>
      <c r="H1728" s="1430" t="s">
        <v>10252</v>
      </c>
      <c r="I1728" s="1429" t="s">
        <v>990</v>
      </c>
      <c r="J1728" s="2196">
        <v>38</v>
      </c>
    </row>
    <row r="1729" spans="2:10" ht="13.5" thickBot="1" x14ac:dyDescent="0.25">
      <c r="B1729" s="392" t="str">
        <f t="shared" si="52"/>
        <v>U20 - LIM Ding Heng</v>
      </c>
      <c r="C1729" s="1441" t="str">
        <f t="shared" si="53"/>
        <v>LIM Ding Heng</v>
      </c>
      <c r="D1729" s="1428" t="s">
        <v>13210</v>
      </c>
      <c r="E1729" s="1429">
        <v>48</v>
      </c>
      <c r="F1729" s="1430" t="s">
        <v>3532</v>
      </c>
      <c r="G1729" s="1431" t="s">
        <v>7328</v>
      </c>
      <c r="H1729" s="1430" t="s">
        <v>7270</v>
      </c>
      <c r="I1729" s="1429" t="s">
        <v>7916</v>
      </c>
      <c r="J1729" s="2196">
        <v>30</v>
      </c>
    </row>
    <row r="1730" spans="2:10" ht="13.5" thickBot="1" x14ac:dyDescent="0.25">
      <c r="B1730" s="392" t="str">
        <f t="shared" si="52"/>
        <v>U20 - KALISZEWSKI Daniel</v>
      </c>
      <c r="C1730" s="1441" t="str">
        <f t="shared" si="53"/>
        <v>KALISZEWSKI Daniel</v>
      </c>
      <c r="D1730" s="1428" t="s">
        <v>13210</v>
      </c>
      <c r="E1730" s="1429">
        <v>48</v>
      </c>
      <c r="F1730" s="1430" t="s">
        <v>14941</v>
      </c>
      <c r="G1730" s="1431" t="s">
        <v>3243</v>
      </c>
      <c r="H1730" s="1430" t="s">
        <v>2764</v>
      </c>
      <c r="I1730" s="1429" t="s">
        <v>1033</v>
      </c>
      <c r="J1730" s="2196">
        <v>30</v>
      </c>
    </row>
    <row r="1731" spans="2:10" ht="13.5" thickBot="1" x14ac:dyDescent="0.25">
      <c r="B1731" s="392" t="str">
        <f t="shared" si="52"/>
        <v>U20 - EBEJER Gabriel</v>
      </c>
      <c r="C1731" s="1441" t="str">
        <f t="shared" si="53"/>
        <v>EBEJER Gabriel</v>
      </c>
      <c r="D1731" s="1428" t="s">
        <v>13210</v>
      </c>
      <c r="E1731" s="1429">
        <v>50</v>
      </c>
      <c r="F1731" s="1430" t="s">
        <v>3161</v>
      </c>
      <c r="G1731" s="1431" t="s">
        <v>6887</v>
      </c>
      <c r="H1731" s="1430" t="s">
        <v>10253</v>
      </c>
      <c r="I1731" s="1429" t="s">
        <v>1045</v>
      </c>
      <c r="J1731" s="2196">
        <v>27</v>
      </c>
    </row>
    <row r="1732" spans="2:10" ht="13.5" thickBot="1" x14ac:dyDescent="0.25">
      <c r="B1732" s="392" t="str">
        <f t="shared" si="52"/>
        <v>U20 - MAIOLI Martin</v>
      </c>
      <c r="C1732" s="1441" t="str">
        <f t="shared" si="53"/>
        <v>MAIOLI Martin</v>
      </c>
      <c r="D1732" s="1428" t="s">
        <v>13210</v>
      </c>
      <c r="E1732" s="1429">
        <v>51</v>
      </c>
      <c r="F1732" s="1430" t="s">
        <v>14304</v>
      </c>
      <c r="G1732" s="1431" t="s">
        <v>3408</v>
      </c>
      <c r="H1732" s="1430" t="s">
        <v>7873</v>
      </c>
      <c r="I1732" s="1429" t="s">
        <v>1037</v>
      </c>
      <c r="J1732" s="2196">
        <v>26.5</v>
      </c>
    </row>
    <row r="1733" spans="2:10" ht="13.5" thickBot="1" x14ac:dyDescent="0.25">
      <c r="B1733" s="392" t="str">
        <f t="shared" si="52"/>
        <v>U20 - SPILLER Alberto</v>
      </c>
      <c r="C1733" s="1441" t="str">
        <f t="shared" si="53"/>
        <v>SPILLER Alberto</v>
      </c>
      <c r="D1733" s="1428" t="s">
        <v>13210</v>
      </c>
      <c r="E1733" s="1429">
        <v>51</v>
      </c>
      <c r="F1733" s="1430" t="s">
        <v>11186</v>
      </c>
      <c r="G1733" s="1431" t="s">
        <v>3042</v>
      </c>
      <c r="H1733" s="1430" t="s">
        <v>9701</v>
      </c>
      <c r="I1733" s="1429" t="s">
        <v>1037</v>
      </c>
      <c r="J1733" s="2196">
        <v>26.5</v>
      </c>
    </row>
    <row r="1734" spans="2:10" ht="13.5" thickBot="1" x14ac:dyDescent="0.25">
      <c r="B1734" s="392" t="str">
        <f t="shared" si="52"/>
        <v>U20 - JUNQUERA MIÑAMBRES Javier</v>
      </c>
      <c r="C1734" s="1441" t="str">
        <f t="shared" si="53"/>
        <v>JUNQUERA MIÑAMBRES Javier</v>
      </c>
      <c r="D1734" s="1428" t="s">
        <v>13210</v>
      </c>
      <c r="E1734" s="1429">
        <v>53</v>
      </c>
      <c r="F1734" s="1430" t="s">
        <v>11340</v>
      </c>
      <c r="G1734" s="1431" t="s">
        <v>3574</v>
      </c>
      <c r="H1734" s="1430" t="s">
        <v>15716</v>
      </c>
      <c r="I1734" s="1429" t="s">
        <v>1015</v>
      </c>
      <c r="J1734" s="2196">
        <v>21.5</v>
      </c>
    </row>
    <row r="1735" spans="2:10" ht="13.5" thickBot="1" x14ac:dyDescent="0.25">
      <c r="B1735" s="392" t="str">
        <f t="shared" ref="B1735:B1798" si="54">CONCATENATE(D1735," - ",C1735)</f>
        <v>U20 - CHAPMAN Hadley</v>
      </c>
      <c r="C1735" s="1441" t="str">
        <f t="shared" ref="C1735:C2255" si="55">CONCATENATE(UPPER(F1735)," ",G1735)</f>
        <v>CHAPMAN Hadley</v>
      </c>
      <c r="D1735" s="1428" t="s">
        <v>13210</v>
      </c>
      <c r="E1735" s="1429">
        <v>54</v>
      </c>
      <c r="F1735" s="1430" t="s">
        <v>16730</v>
      </c>
      <c r="G1735" s="1431" t="s">
        <v>15352</v>
      </c>
      <c r="H1735" s="1430" t="s">
        <v>17082</v>
      </c>
      <c r="I1735" s="1429" t="s">
        <v>1013</v>
      </c>
      <c r="J1735" s="2196">
        <v>21</v>
      </c>
    </row>
    <row r="1736" spans="2:10" ht="13.5" thickBot="1" x14ac:dyDescent="0.25">
      <c r="B1736" s="392" t="str">
        <f t="shared" si="54"/>
        <v>U20 - ARIVAZHAGAN Nagulan</v>
      </c>
      <c r="C1736" s="1441" t="str">
        <f t="shared" si="55"/>
        <v>ARIVAZHAGAN Nagulan</v>
      </c>
      <c r="D1736" s="1428" t="s">
        <v>13210</v>
      </c>
      <c r="E1736" s="1429">
        <v>55</v>
      </c>
      <c r="F1736" s="1430" t="s">
        <v>16668</v>
      </c>
      <c r="G1736" s="1431" t="s">
        <v>15172</v>
      </c>
      <c r="H1736" s="1430" t="s">
        <v>8716</v>
      </c>
      <c r="I1736" s="1429" t="s">
        <v>7916</v>
      </c>
      <c r="J1736" s="2196">
        <v>20</v>
      </c>
    </row>
    <row r="1737" spans="2:10" ht="13.5" thickBot="1" x14ac:dyDescent="0.25">
      <c r="B1737" s="392" t="str">
        <f t="shared" si="54"/>
        <v>U20 - DUCKWORTH Riley</v>
      </c>
      <c r="C1737" s="1441" t="str">
        <f t="shared" si="55"/>
        <v>DUCKWORTH Riley</v>
      </c>
      <c r="D1737" s="1428" t="s">
        <v>13210</v>
      </c>
      <c r="E1737" s="1429">
        <v>56</v>
      </c>
      <c r="F1737" s="1430" t="s">
        <v>16738</v>
      </c>
      <c r="G1737" s="1431" t="s">
        <v>15497</v>
      </c>
      <c r="H1737" s="1430" t="s">
        <v>14359</v>
      </c>
      <c r="I1737" s="1429" t="s">
        <v>1013</v>
      </c>
      <c r="J1737" s="2196">
        <v>16</v>
      </c>
    </row>
    <row r="1738" spans="2:10" ht="13.5" thickBot="1" x14ac:dyDescent="0.25">
      <c r="B1738" s="392" t="str">
        <f t="shared" si="54"/>
        <v>U20 - VENSYK Daniel</v>
      </c>
      <c r="C1738" s="1441" t="str">
        <f t="shared" si="55"/>
        <v>VENSYK Daniel</v>
      </c>
      <c r="D1738" s="1428" t="s">
        <v>13210</v>
      </c>
      <c r="E1738" s="1429">
        <v>57</v>
      </c>
      <c r="F1738" s="1430" t="s">
        <v>17630</v>
      </c>
      <c r="G1738" s="1431" t="s">
        <v>3243</v>
      </c>
      <c r="H1738" s="1430" t="s">
        <v>14359</v>
      </c>
      <c r="I1738" s="1429" t="s">
        <v>1013</v>
      </c>
      <c r="J1738" s="2196">
        <v>15</v>
      </c>
    </row>
    <row r="1739" spans="2:10" ht="13.5" thickBot="1" x14ac:dyDescent="0.25">
      <c r="B1739" s="392" t="str">
        <f t="shared" si="54"/>
        <v>U20 - FENTON Alex</v>
      </c>
      <c r="C1739" s="1441" t="str">
        <f t="shared" si="55"/>
        <v>FENTON Alex</v>
      </c>
      <c r="D1739" s="1428" t="s">
        <v>13210</v>
      </c>
      <c r="E1739" s="1429">
        <v>57</v>
      </c>
      <c r="F1739" s="1430" t="s">
        <v>14252</v>
      </c>
      <c r="G1739" s="1431" t="s">
        <v>3130</v>
      </c>
      <c r="H1739" s="1430" t="s">
        <v>17082</v>
      </c>
      <c r="I1739" s="1429" t="s">
        <v>1013</v>
      </c>
      <c r="J1739" s="2196">
        <v>15</v>
      </c>
    </row>
    <row r="1740" spans="2:10" ht="13.5" thickBot="1" x14ac:dyDescent="0.25">
      <c r="B1740" s="392" t="str">
        <f t="shared" si="54"/>
        <v>U20 - ILIEV Álex</v>
      </c>
      <c r="C1740" s="1441" t="str">
        <f t="shared" si="55"/>
        <v>ILIEV Álex</v>
      </c>
      <c r="D1740" s="1428" t="s">
        <v>13210</v>
      </c>
      <c r="E1740" s="1429">
        <v>59</v>
      </c>
      <c r="F1740" s="1430" t="s">
        <v>16679</v>
      </c>
      <c r="G1740" s="1431" t="s">
        <v>10057</v>
      </c>
      <c r="H1740" s="1430" t="s">
        <v>7869</v>
      </c>
      <c r="I1740" s="1429" t="s">
        <v>1015</v>
      </c>
      <c r="J1740" s="2196">
        <v>14</v>
      </c>
    </row>
    <row r="1741" spans="2:10" ht="13.5" thickBot="1" x14ac:dyDescent="0.25">
      <c r="B1741" s="392" t="str">
        <f t="shared" si="54"/>
        <v>U20 - POUPART Lea</v>
      </c>
      <c r="C1741" s="1441" t="str">
        <f t="shared" si="55"/>
        <v>POUPART Lea</v>
      </c>
      <c r="D1741" s="1428" t="s">
        <v>13210</v>
      </c>
      <c r="E1741" s="1429">
        <v>60</v>
      </c>
      <c r="F1741" s="1430" t="s">
        <v>14562</v>
      </c>
      <c r="G1741" s="1431" t="s">
        <v>17120</v>
      </c>
      <c r="H1741" s="1430" t="s">
        <v>2796</v>
      </c>
      <c r="I1741" s="1429" t="s">
        <v>1019</v>
      </c>
      <c r="J1741" s="2196">
        <v>10</v>
      </c>
    </row>
    <row r="1742" spans="2:10" ht="13.5" thickBot="1" x14ac:dyDescent="0.25">
      <c r="B1742" s="392" t="str">
        <f t="shared" si="54"/>
        <v>U20 - BOLUSSET Noé</v>
      </c>
      <c r="C1742" s="1441" t="str">
        <f t="shared" si="55"/>
        <v>BOLUSSET Noé</v>
      </c>
      <c r="D1742" s="1428" t="s">
        <v>13210</v>
      </c>
      <c r="E1742" s="1429">
        <v>61</v>
      </c>
      <c r="F1742" s="1430" t="s">
        <v>11539</v>
      </c>
      <c r="G1742" s="1431" t="s">
        <v>3668</v>
      </c>
      <c r="H1742" s="1430" t="s">
        <v>15239</v>
      </c>
      <c r="I1742" s="1429" t="s">
        <v>1019</v>
      </c>
      <c r="J1742" s="2196">
        <v>7.5</v>
      </c>
    </row>
    <row r="1743" spans="2:10" ht="13.5" thickBot="1" x14ac:dyDescent="0.25">
      <c r="B1743" s="392" t="str">
        <f t="shared" si="54"/>
        <v>U20 - MARTÍNEZ Teresa</v>
      </c>
      <c r="C1743" s="1441" t="str">
        <f t="shared" si="55"/>
        <v>MARTÍNEZ Teresa</v>
      </c>
      <c r="D1743" s="1428" t="s">
        <v>13210</v>
      </c>
      <c r="E1743" s="1429">
        <v>62</v>
      </c>
      <c r="F1743" s="1430" t="s">
        <v>3252</v>
      </c>
      <c r="G1743" s="1431" t="s">
        <v>17786</v>
      </c>
      <c r="H1743" s="1430" t="s">
        <v>7304</v>
      </c>
      <c r="I1743" s="1429" t="s">
        <v>1015</v>
      </c>
      <c r="J1743" s="2196">
        <v>6.5</v>
      </c>
    </row>
    <row r="1744" spans="2:10" ht="13.5" thickBot="1" x14ac:dyDescent="0.25">
      <c r="B1744" s="392" t="str">
        <f t="shared" si="54"/>
        <v>U20 - GROSDENT Maxim</v>
      </c>
      <c r="C1744" s="1441" t="str">
        <f t="shared" si="55"/>
        <v>GROSDENT Maxim</v>
      </c>
      <c r="D1744" s="1428" t="s">
        <v>13210</v>
      </c>
      <c r="E1744" s="1429">
        <v>63</v>
      </c>
      <c r="F1744" s="1430" t="s">
        <v>8735</v>
      </c>
      <c r="G1744" s="1431" t="s">
        <v>9551</v>
      </c>
      <c r="H1744" s="1430" t="s">
        <v>10252</v>
      </c>
      <c r="I1744" s="1429" t="s">
        <v>990</v>
      </c>
      <c r="J1744" s="2196">
        <v>5</v>
      </c>
    </row>
    <row r="1745" spans="2:10" ht="13.5" thickBot="1" x14ac:dyDescent="0.25">
      <c r="B1745" s="392" t="str">
        <f t="shared" si="54"/>
        <v>U20 - REGUERA MUÑOZ Gonzalo</v>
      </c>
      <c r="C1745" s="1441" t="str">
        <f t="shared" si="55"/>
        <v>REGUERA MUÑOZ Gonzalo</v>
      </c>
      <c r="D1745" s="1428" t="s">
        <v>13210</v>
      </c>
      <c r="E1745" s="1429">
        <v>63</v>
      </c>
      <c r="F1745" s="1430" t="s">
        <v>16745</v>
      </c>
      <c r="G1745" s="1431" t="s">
        <v>3403</v>
      </c>
      <c r="H1745" s="1430" t="s">
        <v>7871</v>
      </c>
      <c r="I1745" s="1429" t="s">
        <v>1015</v>
      </c>
      <c r="J1745" s="2196">
        <v>5</v>
      </c>
    </row>
    <row r="1746" spans="2:10" ht="13.5" thickBot="1" x14ac:dyDescent="0.25">
      <c r="B1746" s="392" t="str">
        <f t="shared" si="54"/>
        <v>U20 - BERIOLI Riccardo</v>
      </c>
      <c r="C1746" s="1441" t="str">
        <f t="shared" si="55"/>
        <v>BERIOLI Riccardo</v>
      </c>
      <c r="D1746" s="1428" t="s">
        <v>13210</v>
      </c>
      <c r="E1746" s="1429">
        <v>65</v>
      </c>
      <c r="F1746" s="1430" t="s">
        <v>14307</v>
      </c>
      <c r="G1746" s="1431" t="s">
        <v>3270</v>
      </c>
      <c r="H1746" s="1430" t="s">
        <v>13595</v>
      </c>
      <c r="I1746" s="1429" t="s">
        <v>1037</v>
      </c>
      <c r="J1746" s="2196">
        <v>4</v>
      </c>
    </row>
    <row r="1747" spans="2:10" ht="13.5" thickBot="1" x14ac:dyDescent="0.25">
      <c r="B1747" s="392" t="str">
        <f t="shared" si="54"/>
        <v>U20 - COLOSSI Nicolò</v>
      </c>
      <c r="C1747" s="1441" t="str">
        <f t="shared" si="55"/>
        <v>COLOSSI Nicolò</v>
      </c>
      <c r="D1747" s="1428" t="s">
        <v>13210</v>
      </c>
      <c r="E1747" s="1429">
        <v>65</v>
      </c>
      <c r="F1747" s="1430" t="s">
        <v>14980</v>
      </c>
      <c r="G1747" s="1431" t="s">
        <v>13997</v>
      </c>
      <c r="H1747" s="1430" t="s">
        <v>10274</v>
      </c>
      <c r="I1747" s="1429" t="s">
        <v>1037</v>
      </c>
      <c r="J1747" s="2196">
        <v>4</v>
      </c>
    </row>
    <row r="1748" spans="2:10" ht="13.5" thickBot="1" x14ac:dyDescent="0.25">
      <c r="B1748" s="392" t="str">
        <f t="shared" si="54"/>
        <v>U20 - SKINNER Finley</v>
      </c>
      <c r="C1748" s="1441" t="str">
        <f t="shared" si="55"/>
        <v>SKINNER Finley</v>
      </c>
      <c r="D1748" s="1428" t="s">
        <v>13210</v>
      </c>
      <c r="E1748" s="1429">
        <v>67</v>
      </c>
      <c r="F1748" s="1430" t="s">
        <v>14153</v>
      </c>
      <c r="G1748" s="1431" t="s">
        <v>13795</v>
      </c>
      <c r="H1748" s="1430" t="s">
        <v>17082</v>
      </c>
      <c r="I1748" s="1429" t="s">
        <v>1013</v>
      </c>
      <c r="J1748" s="2196">
        <v>3</v>
      </c>
    </row>
    <row r="1749" spans="2:10" ht="13.5" thickBot="1" x14ac:dyDescent="0.25">
      <c r="B1749" s="392" t="str">
        <f t="shared" si="54"/>
        <v>U20 - SCHNEIDER Leon</v>
      </c>
      <c r="C1749" s="1441" t="str">
        <f t="shared" si="55"/>
        <v>SCHNEIDER Leon</v>
      </c>
      <c r="D1749" s="1428" t="s">
        <v>13210</v>
      </c>
      <c r="E1749" s="1429">
        <v>68</v>
      </c>
      <c r="F1749" s="1430" t="s">
        <v>14305</v>
      </c>
      <c r="G1749" s="1431" t="s">
        <v>5655</v>
      </c>
      <c r="H1749" s="1430" t="s">
        <v>13588</v>
      </c>
      <c r="I1749" s="1429" t="s">
        <v>1021</v>
      </c>
      <c r="J1749" s="2196">
        <v>2.5</v>
      </c>
    </row>
    <row r="1750" spans="2:10" ht="13.5" thickBot="1" x14ac:dyDescent="0.25">
      <c r="B1750" s="392" t="str">
        <f t="shared" si="54"/>
        <v>U20 - PERICCIOLI Luca</v>
      </c>
      <c r="C1750" s="1441" t="str">
        <f t="shared" si="55"/>
        <v>PERICCIOLI Luca</v>
      </c>
      <c r="D1750" s="1428" t="s">
        <v>13210</v>
      </c>
      <c r="E1750" s="1429">
        <v>69</v>
      </c>
      <c r="F1750" s="1430" t="s">
        <v>11482</v>
      </c>
      <c r="G1750" s="1431" t="s">
        <v>3198</v>
      </c>
      <c r="H1750" s="1430" t="s">
        <v>3614</v>
      </c>
      <c r="I1750" s="1429" t="s">
        <v>1037</v>
      </c>
      <c r="J1750" s="2196">
        <v>2</v>
      </c>
    </row>
    <row r="1751" spans="2:10" ht="13.5" thickBot="1" x14ac:dyDescent="0.25">
      <c r="B1751" s="392" t="str">
        <f t="shared" si="54"/>
        <v>U20 - LUI Tyler</v>
      </c>
      <c r="C1751" s="1441" t="str">
        <f t="shared" si="55"/>
        <v>LUI Tyler</v>
      </c>
      <c r="D1751" s="1428" t="s">
        <v>13210</v>
      </c>
      <c r="E1751" s="1429">
        <v>70</v>
      </c>
      <c r="F1751" s="1430" t="s">
        <v>14949</v>
      </c>
      <c r="G1751" s="1431" t="s">
        <v>14103</v>
      </c>
      <c r="H1751" s="1430" t="s">
        <v>13606</v>
      </c>
      <c r="I1751" s="1429" t="s">
        <v>1079</v>
      </c>
      <c r="J1751" s="2196">
        <v>1.5</v>
      </c>
    </row>
    <row r="1752" spans="2:10" ht="13.5" thickBot="1" x14ac:dyDescent="0.25">
      <c r="B1752" s="392" t="str">
        <f t="shared" si="54"/>
        <v>U20 - DE GIOSA Davide</v>
      </c>
      <c r="C1752" s="1441" t="str">
        <f t="shared" si="55"/>
        <v>DE GIOSA Davide</v>
      </c>
      <c r="D1752" s="1428" t="s">
        <v>13210</v>
      </c>
      <c r="E1752" s="1429">
        <v>70</v>
      </c>
      <c r="F1752" s="1430" t="s">
        <v>16690</v>
      </c>
      <c r="G1752" s="1431" t="s">
        <v>3329</v>
      </c>
      <c r="H1752" s="1430" t="s">
        <v>10274</v>
      </c>
      <c r="I1752" s="1429" t="s">
        <v>1037</v>
      </c>
      <c r="J1752" s="2196">
        <v>1.5</v>
      </c>
    </row>
    <row r="1753" spans="2:10" ht="13.5" thickBot="1" x14ac:dyDescent="0.25">
      <c r="B1753" s="392" t="str">
        <f t="shared" si="54"/>
        <v>U20 - FOSTER Eric</v>
      </c>
      <c r="C1753" s="1441" t="str">
        <f t="shared" si="55"/>
        <v>FOSTER Eric</v>
      </c>
      <c r="D1753" s="1428" t="s">
        <v>13210</v>
      </c>
      <c r="E1753" s="1429">
        <v>70</v>
      </c>
      <c r="F1753" s="1430" t="s">
        <v>11479</v>
      </c>
      <c r="G1753" s="1431" t="s">
        <v>3044</v>
      </c>
      <c r="H1753" s="1430" t="s">
        <v>17015</v>
      </c>
      <c r="I1753" s="1429" t="s">
        <v>1079</v>
      </c>
      <c r="J1753" s="2196">
        <v>1.5</v>
      </c>
    </row>
    <row r="1754" spans="2:10" ht="13.5" thickBot="1" x14ac:dyDescent="0.25">
      <c r="B1754" s="392" t="str">
        <f t="shared" si="54"/>
        <v>U20 - PATEL Shiv</v>
      </c>
      <c r="C1754" s="1441" t="str">
        <f t="shared" si="55"/>
        <v>PATEL Shiv</v>
      </c>
      <c r="D1754" s="1428" t="s">
        <v>13210</v>
      </c>
      <c r="E1754" s="1429">
        <v>70</v>
      </c>
      <c r="F1754" s="1430" t="s">
        <v>16721</v>
      </c>
      <c r="G1754" s="1431" t="s">
        <v>14100</v>
      </c>
      <c r="H1754" s="1430" t="s">
        <v>13606</v>
      </c>
      <c r="I1754" s="1429" t="s">
        <v>1079</v>
      </c>
      <c r="J1754" s="2196">
        <v>1.5</v>
      </c>
    </row>
    <row r="1755" spans="2:10" ht="13.5" thickBot="1" x14ac:dyDescent="0.25">
      <c r="B1755" s="392" t="str">
        <f t="shared" si="54"/>
        <v>U20 - VALLEBONA Tobia</v>
      </c>
      <c r="C1755" s="1441" t="str">
        <f t="shared" ref="C1755:C1818" si="56">CONCATENATE(UPPER(F1755)," ",G1755)</f>
        <v>VALLEBONA Tobia</v>
      </c>
      <c r="D1755" s="1428" t="s">
        <v>13210</v>
      </c>
      <c r="E1755" s="1429">
        <v>70</v>
      </c>
      <c r="F1755" s="1430" t="s">
        <v>14306</v>
      </c>
      <c r="G1755" s="1431" t="s">
        <v>13437</v>
      </c>
      <c r="H1755" s="1430" t="s">
        <v>9702</v>
      </c>
      <c r="I1755" s="1429" t="s">
        <v>1037</v>
      </c>
      <c r="J1755" s="2196">
        <v>1.5</v>
      </c>
    </row>
    <row r="1756" spans="2:10" ht="13.5" thickBot="1" x14ac:dyDescent="0.25">
      <c r="B1756" s="392" t="str">
        <f t="shared" si="54"/>
        <v>U20 - BOTTICELLI Jadin</v>
      </c>
      <c r="C1756" s="1441" t="str">
        <f t="shared" si="56"/>
        <v>BOTTICELLI Jadin</v>
      </c>
      <c r="D1756" s="1428" t="s">
        <v>13210</v>
      </c>
      <c r="E1756" s="1429">
        <v>70</v>
      </c>
      <c r="F1756" s="1430" t="s">
        <v>14981</v>
      </c>
      <c r="G1756" s="1431" t="s">
        <v>14108</v>
      </c>
      <c r="H1756" s="1430" t="s">
        <v>13606</v>
      </c>
      <c r="I1756" s="1429" t="s">
        <v>1079</v>
      </c>
      <c r="J1756" s="2196">
        <v>1.5</v>
      </c>
    </row>
    <row r="1757" spans="2:10" ht="13.5" thickBot="1" x14ac:dyDescent="0.25">
      <c r="B1757" s="392" t="str">
        <f t="shared" si="54"/>
        <v>U20 - RAHMAN Max</v>
      </c>
      <c r="C1757" s="1441" t="str">
        <f t="shared" si="56"/>
        <v>RAHMAN Max</v>
      </c>
      <c r="D1757" s="1428" t="s">
        <v>13210</v>
      </c>
      <c r="E1757" s="1429">
        <v>76</v>
      </c>
      <c r="F1757" s="1430" t="s">
        <v>16732</v>
      </c>
      <c r="G1757" s="1431" t="s">
        <v>3710</v>
      </c>
      <c r="H1757" s="1430" t="s">
        <v>17082</v>
      </c>
      <c r="I1757" s="1429" t="s">
        <v>1013</v>
      </c>
      <c r="J1757" s="2196">
        <v>1</v>
      </c>
    </row>
    <row r="1758" spans="2:10" ht="13.5" thickBot="1" x14ac:dyDescent="0.25">
      <c r="B1758" s="392" t="str">
        <f t="shared" si="54"/>
        <v>U20 - RUDY HESTY Edin Reyza</v>
      </c>
      <c r="C1758" s="1441" t="str">
        <f t="shared" si="56"/>
        <v>RUDY HESTY Edin Reyza</v>
      </c>
      <c r="D1758" s="1428" t="s">
        <v>13210</v>
      </c>
      <c r="E1758" s="1429">
        <v>76</v>
      </c>
      <c r="F1758" s="1430" t="s">
        <v>16657</v>
      </c>
      <c r="G1758" s="1431" t="s">
        <v>16154</v>
      </c>
      <c r="H1758" s="1430" t="s">
        <v>7270</v>
      </c>
      <c r="I1758" s="1429" t="s">
        <v>7916</v>
      </c>
      <c r="J1758" s="2196">
        <v>1</v>
      </c>
    </row>
    <row r="1759" spans="2:10" ht="13.5" thickBot="1" x14ac:dyDescent="0.25">
      <c r="B1759" s="392" t="str">
        <f t="shared" si="54"/>
        <v>U16 - SORET Louis</v>
      </c>
      <c r="C1759" s="1441" t="str">
        <f t="shared" si="56"/>
        <v>SORET Louis</v>
      </c>
      <c r="D1759" s="1428" t="s">
        <v>13211</v>
      </c>
      <c r="E1759" s="1429">
        <v>1</v>
      </c>
      <c r="F1759" s="1430" t="s">
        <v>3519</v>
      </c>
      <c r="G1759" s="1431" t="s">
        <v>5660</v>
      </c>
      <c r="H1759" s="1430" t="s">
        <v>13519</v>
      </c>
      <c r="I1759" s="1429" t="s">
        <v>1019</v>
      </c>
      <c r="J1759" s="2196">
        <v>2802.5</v>
      </c>
    </row>
    <row r="1760" spans="2:10" ht="13.5" thickBot="1" x14ac:dyDescent="0.25">
      <c r="B1760" s="392" t="str">
        <f t="shared" si="54"/>
        <v>U16 - MATTHEWS Ruby</v>
      </c>
      <c r="C1760" s="1441" t="str">
        <f t="shared" si="56"/>
        <v>MATTHEWS Ruby</v>
      </c>
      <c r="D1760" s="1428" t="s">
        <v>13211</v>
      </c>
      <c r="E1760" s="1429">
        <v>2</v>
      </c>
      <c r="F1760" s="1430" t="s">
        <v>11420</v>
      </c>
      <c r="G1760" s="1431" t="s">
        <v>8232</v>
      </c>
      <c r="H1760" s="1430" t="s">
        <v>13519</v>
      </c>
      <c r="I1760" s="1429" t="s">
        <v>1013</v>
      </c>
      <c r="J1760" s="2196">
        <v>1695.5</v>
      </c>
    </row>
    <row r="1761" spans="2:10" ht="13.5" thickBot="1" x14ac:dyDescent="0.25">
      <c r="B1761" s="392" t="str">
        <f t="shared" si="54"/>
        <v>U16 - BISIO Angelo</v>
      </c>
      <c r="C1761" s="1441" t="str">
        <f t="shared" si="56"/>
        <v>BISIO Angelo</v>
      </c>
      <c r="D1761" s="1428" t="s">
        <v>13211</v>
      </c>
      <c r="E1761" s="1429">
        <v>3</v>
      </c>
      <c r="F1761" s="1430" t="s">
        <v>5623</v>
      </c>
      <c r="G1761" s="1431" t="s">
        <v>3367</v>
      </c>
      <c r="H1761" s="1430" t="s">
        <v>2765</v>
      </c>
      <c r="I1761" s="1429" t="s">
        <v>1037</v>
      </c>
      <c r="J1761" s="2196">
        <v>1158</v>
      </c>
    </row>
    <row r="1762" spans="2:10" ht="13.5" thickBot="1" x14ac:dyDescent="0.25">
      <c r="B1762" s="392" t="str">
        <f t="shared" si="54"/>
        <v>U16 - SKOUROS Panagiotis</v>
      </c>
      <c r="C1762" s="1441" t="str">
        <f t="shared" si="56"/>
        <v>SKOUROS Panagiotis</v>
      </c>
      <c r="D1762" s="1428" t="s">
        <v>13211</v>
      </c>
      <c r="E1762" s="1429">
        <v>4</v>
      </c>
      <c r="F1762" s="1430" t="s">
        <v>8767</v>
      </c>
      <c r="G1762" s="1431" t="s">
        <v>3249</v>
      </c>
      <c r="H1762" s="1430" t="s">
        <v>3213</v>
      </c>
      <c r="I1762" s="1429" t="s">
        <v>1025</v>
      </c>
      <c r="J1762" s="2196">
        <v>1126</v>
      </c>
    </row>
    <row r="1763" spans="2:10" ht="13.5" thickBot="1" x14ac:dyDescent="0.25">
      <c r="B1763" s="392" t="str">
        <f t="shared" si="54"/>
        <v>U16 - FRICANO Lorenzo</v>
      </c>
      <c r="C1763" s="1441" t="str">
        <f t="shared" si="56"/>
        <v>FRICANO Lorenzo</v>
      </c>
      <c r="D1763" s="1428" t="s">
        <v>13211</v>
      </c>
      <c r="E1763" s="1429">
        <v>5</v>
      </c>
      <c r="F1763" s="1430" t="s">
        <v>9494</v>
      </c>
      <c r="G1763" s="1431" t="s">
        <v>3155</v>
      </c>
      <c r="H1763" s="1430" t="s">
        <v>11467</v>
      </c>
      <c r="I1763" s="1429" t="s">
        <v>1037</v>
      </c>
      <c r="J1763" s="2196">
        <v>1068</v>
      </c>
    </row>
    <row r="1764" spans="2:10" ht="13.5" thickBot="1" x14ac:dyDescent="0.25">
      <c r="B1764" s="392" t="str">
        <f t="shared" si="54"/>
        <v>U16 - COLOSSI Nicolò</v>
      </c>
      <c r="C1764" s="1441" t="str">
        <f t="shared" si="56"/>
        <v>COLOSSI Nicolò</v>
      </c>
      <c r="D1764" s="1428" t="s">
        <v>13211</v>
      </c>
      <c r="E1764" s="1429">
        <v>6</v>
      </c>
      <c r="F1764" s="1430" t="s">
        <v>14980</v>
      </c>
      <c r="G1764" s="1431" t="s">
        <v>13997</v>
      </c>
      <c r="H1764" s="1430" t="s">
        <v>10274</v>
      </c>
      <c r="I1764" s="1429" t="s">
        <v>1037</v>
      </c>
      <c r="J1764" s="2196">
        <v>1035.5</v>
      </c>
    </row>
    <row r="1765" spans="2:10" ht="13.5" thickBot="1" x14ac:dyDescent="0.25">
      <c r="B1765" s="392" t="str">
        <f t="shared" si="54"/>
        <v>U16 - FARRUGIA RANDON Robert</v>
      </c>
      <c r="C1765" s="1441" t="str">
        <f t="shared" si="56"/>
        <v>FARRUGIA RANDON Robert</v>
      </c>
      <c r="D1765" s="1428" t="s">
        <v>13211</v>
      </c>
      <c r="E1765" s="1429">
        <v>7</v>
      </c>
      <c r="F1765" s="1430" t="s">
        <v>14241</v>
      </c>
      <c r="G1765" s="1431" t="s">
        <v>3405</v>
      </c>
      <c r="H1765" s="1430" t="s">
        <v>11331</v>
      </c>
      <c r="I1765" s="1429" t="s">
        <v>1045</v>
      </c>
      <c r="J1765" s="2196">
        <v>905.5</v>
      </c>
    </row>
    <row r="1766" spans="2:10" ht="13.5" thickBot="1" x14ac:dyDescent="0.25">
      <c r="B1766" s="392" t="str">
        <f t="shared" si="54"/>
        <v>U16 - TSANGOURIS Konstandinos</v>
      </c>
      <c r="C1766" s="1441" t="str">
        <f t="shared" si="56"/>
        <v>TSANGOURIS Konstandinos</v>
      </c>
      <c r="D1766" s="1428" t="s">
        <v>13211</v>
      </c>
      <c r="E1766" s="1429">
        <v>8</v>
      </c>
      <c r="F1766" s="1430" t="s">
        <v>3131</v>
      </c>
      <c r="G1766" s="1431" t="s">
        <v>7307</v>
      </c>
      <c r="H1766" s="1430" t="s">
        <v>5301</v>
      </c>
      <c r="I1766" s="1429" t="s">
        <v>990</v>
      </c>
      <c r="J1766" s="2196">
        <v>587</v>
      </c>
    </row>
    <row r="1767" spans="2:10" ht="13.5" thickBot="1" x14ac:dyDescent="0.25">
      <c r="B1767" s="392" t="str">
        <f t="shared" si="54"/>
        <v>U16 - GROSDENT Maxim</v>
      </c>
      <c r="C1767" s="1441" t="str">
        <f t="shared" si="56"/>
        <v>GROSDENT Maxim</v>
      </c>
      <c r="D1767" s="1428" t="s">
        <v>13211</v>
      </c>
      <c r="E1767" s="1429">
        <v>9</v>
      </c>
      <c r="F1767" s="1430" t="s">
        <v>8735</v>
      </c>
      <c r="G1767" s="1431" t="s">
        <v>9551</v>
      </c>
      <c r="H1767" s="1430" t="s">
        <v>10252</v>
      </c>
      <c r="I1767" s="1429" t="s">
        <v>990</v>
      </c>
      <c r="J1767" s="2196">
        <v>581.5</v>
      </c>
    </row>
    <row r="1768" spans="2:10" ht="13.5" thickBot="1" x14ac:dyDescent="0.25">
      <c r="B1768" s="392" t="str">
        <f t="shared" si="54"/>
        <v>U16 - BAENA Manuel</v>
      </c>
      <c r="C1768" s="1441" t="str">
        <f t="shared" si="56"/>
        <v>BAENA Manuel</v>
      </c>
      <c r="D1768" s="1428" t="s">
        <v>13211</v>
      </c>
      <c r="E1768" s="1429">
        <v>10</v>
      </c>
      <c r="F1768" s="1430" t="s">
        <v>14308</v>
      </c>
      <c r="G1768" s="1431" t="s">
        <v>3171</v>
      </c>
      <c r="H1768" s="1430" t="s">
        <v>7304</v>
      </c>
      <c r="I1768" s="1429" t="s">
        <v>1015</v>
      </c>
      <c r="J1768" s="2196">
        <v>377</v>
      </c>
    </row>
    <row r="1769" spans="2:10" ht="13.5" thickBot="1" x14ac:dyDescent="0.25">
      <c r="B1769" s="392" t="str">
        <f t="shared" si="54"/>
        <v>U16 - PEREIRA Max</v>
      </c>
      <c r="C1769" s="1441" t="str">
        <f t="shared" si="56"/>
        <v>PEREIRA Max</v>
      </c>
      <c r="D1769" s="1428" t="s">
        <v>13211</v>
      </c>
      <c r="E1769" s="1429">
        <v>11</v>
      </c>
      <c r="F1769" s="1430" t="s">
        <v>14314</v>
      </c>
      <c r="G1769" s="1431" t="s">
        <v>3710</v>
      </c>
      <c r="H1769" s="1430" t="s">
        <v>5317</v>
      </c>
      <c r="I1769" s="1429" t="s">
        <v>1061</v>
      </c>
      <c r="J1769" s="2196">
        <v>359.5</v>
      </c>
    </row>
    <row r="1770" spans="2:10" ht="13.5" thickBot="1" x14ac:dyDescent="0.25">
      <c r="B1770" s="392" t="str">
        <f t="shared" si="54"/>
        <v>U16 - BIGNARDI Samuele</v>
      </c>
      <c r="C1770" s="1441" t="str">
        <f t="shared" si="56"/>
        <v>BIGNARDI Samuele</v>
      </c>
      <c r="D1770" s="1428" t="s">
        <v>13211</v>
      </c>
      <c r="E1770" s="1429">
        <v>12</v>
      </c>
      <c r="F1770" s="1430" t="s">
        <v>14309</v>
      </c>
      <c r="G1770" s="1431" t="s">
        <v>5648</v>
      </c>
      <c r="H1770" s="1430" t="s">
        <v>9702</v>
      </c>
      <c r="I1770" s="1429" t="s">
        <v>1037</v>
      </c>
      <c r="J1770" s="2196">
        <v>326</v>
      </c>
    </row>
    <row r="1771" spans="2:10" ht="13.5" thickBot="1" x14ac:dyDescent="0.25">
      <c r="B1771" s="392" t="str">
        <f t="shared" si="54"/>
        <v>U16 - SANI Lorenzo</v>
      </c>
      <c r="C1771" s="1441" t="str">
        <f t="shared" si="56"/>
        <v>SANI Lorenzo</v>
      </c>
      <c r="D1771" s="1428" t="s">
        <v>13211</v>
      </c>
      <c r="E1771" s="1429">
        <v>13</v>
      </c>
      <c r="F1771" s="1430" t="s">
        <v>14310</v>
      </c>
      <c r="G1771" s="1431" t="s">
        <v>3155</v>
      </c>
      <c r="H1771" s="1430" t="s">
        <v>11325</v>
      </c>
      <c r="I1771" s="1429" t="s">
        <v>1037</v>
      </c>
      <c r="J1771" s="2196">
        <v>289</v>
      </c>
    </row>
    <row r="1772" spans="2:10" ht="13.5" thickBot="1" x14ac:dyDescent="0.25">
      <c r="B1772" s="392" t="str">
        <f t="shared" si="54"/>
        <v>U16 - MASTROBUONO Marco</v>
      </c>
      <c r="C1772" s="1441" t="str">
        <f t="shared" si="56"/>
        <v>MASTROBUONO Marco</v>
      </c>
      <c r="D1772" s="1428" t="s">
        <v>13211</v>
      </c>
      <c r="E1772" s="1429">
        <v>14</v>
      </c>
      <c r="F1772" s="1430" t="s">
        <v>16762</v>
      </c>
      <c r="G1772" s="1431" t="s">
        <v>3109</v>
      </c>
      <c r="H1772" s="1430" t="s">
        <v>2765</v>
      </c>
      <c r="I1772" s="1429" t="s">
        <v>1037</v>
      </c>
      <c r="J1772" s="2196">
        <v>288</v>
      </c>
    </row>
    <row r="1773" spans="2:10" ht="13.5" thickBot="1" x14ac:dyDescent="0.25">
      <c r="B1773" s="392" t="str">
        <f t="shared" si="54"/>
        <v>U16 - GKOGKOS Dimitrios</v>
      </c>
      <c r="C1773" s="1441" t="str">
        <f t="shared" si="56"/>
        <v>GKOGKOS Dimitrios</v>
      </c>
      <c r="D1773" s="1428" t="s">
        <v>13211</v>
      </c>
      <c r="E1773" s="1429">
        <v>15</v>
      </c>
      <c r="F1773" s="1430" t="s">
        <v>11421</v>
      </c>
      <c r="G1773" s="1431" t="s">
        <v>5644</v>
      </c>
      <c r="H1773" s="1430" t="s">
        <v>10246</v>
      </c>
      <c r="I1773" s="1429" t="s">
        <v>1025</v>
      </c>
      <c r="J1773" s="2196">
        <v>270</v>
      </c>
    </row>
    <row r="1774" spans="2:10" ht="13.5" thickBot="1" x14ac:dyDescent="0.25">
      <c r="B1774" s="392" t="str">
        <f t="shared" si="54"/>
        <v>U16 - DI MAGGIO Maximos</v>
      </c>
      <c r="C1774" s="1441" t="str">
        <f t="shared" si="56"/>
        <v>DI MAGGIO Maximos</v>
      </c>
      <c r="D1774" s="1428" t="s">
        <v>13211</v>
      </c>
      <c r="E1774" s="1429">
        <v>16</v>
      </c>
      <c r="F1774" s="1430" t="s">
        <v>7302</v>
      </c>
      <c r="G1774" s="1431" t="s">
        <v>7309</v>
      </c>
      <c r="H1774" s="1430" t="s">
        <v>9449</v>
      </c>
      <c r="I1774" s="1429" t="s">
        <v>1025</v>
      </c>
      <c r="J1774" s="2196">
        <v>246.5</v>
      </c>
    </row>
    <row r="1775" spans="2:10" ht="13.5" thickBot="1" x14ac:dyDescent="0.25">
      <c r="B1775" s="392" t="str">
        <f t="shared" si="54"/>
        <v>U16 - REGUERA MUÑOZ Manuel</v>
      </c>
      <c r="C1775" s="1441" t="str">
        <f t="shared" si="56"/>
        <v>REGUERA MUÑOZ Manuel</v>
      </c>
      <c r="D1775" s="1428" t="s">
        <v>13211</v>
      </c>
      <c r="E1775" s="1429">
        <v>17</v>
      </c>
      <c r="F1775" s="1430" t="s">
        <v>16745</v>
      </c>
      <c r="G1775" s="1431" t="s">
        <v>3171</v>
      </c>
      <c r="H1775" s="1430" t="s">
        <v>7871</v>
      </c>
      <c r="I1775" s="1429" t="s">
        <v>1015</v>
      </c>
      <c r="J1775" s="2196">
        <v>211.5</v>
      </c>
    </row>
    <row r="1776" spans="2:10" ht="13.5" thickBot="1" x14ac:dyDescent="0.25">
      <c r="B1776" s="392" t="str">
        <f t="shared" si="54"/>
        <v>U16 - ROSA Martí</v>
      </c>
      <c r="C1776" s="1441" t="str">
        <f t="shared" si="56"/>
        <v>ROSA Martí</v>
      </c>
      <c r="D1776" s="1428" t="s">
        <v>13211</v>
      </c>
      <c r="E1776" s="1429">
        <v>18</v>
      </c>
      <c r="F1776" s="1430" t="s">
        <v>14167</v>
      </c>
      <c r="G1776" s="1431" t="s">
        <v>13233</v>
      </c>
      <c r="H1776" s="1430" t="s">
        <v>14451</v>
      </c>
      <c r="I1776" s="1429" t="s">
        <v>1015</v>
      </c>
      <c r="J1776" s="2196">
        <v>202</v>
      </c>
    </row>
    <row r="1777" spans="2:10" ht="13.5" thickBot="1" x14ac:dyDescent="0.25">
      <c r="B1777" s="392" t="str">
        <f t="shared" si="54"/>
        <v>U16 - JORIS Romain</v>
      </c>
      <c r="C1777" s="1441" t="str">
        <f t="shared" si="56"/>
        <v>JORIS Romain</v>
      </c>
      <c r="D1777" s="1428" t="s">
        <v>13211</v>
      </c>
      <c r="E1777" s="1429">
        <v>19</v>
      </c>
      <c r="F1777" s="1430" t="s">
        <v>16812</v>
      </c>
      <c r="G1777" s="1431" t="s">
        <v>3242</v>
      </c>
      <c r="H1777" s="1430" t="s">
        <v>15681</v>
      </c>
      <c r="I1777" s="1429" t="s">
        <v>990</v>
      </c>
      <c r="J1777" s="2196">
        <v>144</v>
      </c>
    </row>
    <row r="1778" spans="2:10" ht="13.5" thickBot="1" x14ac:dyDescent="0.25">
      <c r="B1778" s="392" t="str">
        <f t="shared" si="54"/>
        <v>U16 - WULFF Noah</v>
      </c>
      <c r="C1778" s="1441" t="str">
        <f t="shared" si="56"/>
        <v>WULFF Noah</v>
      </c>
      <c r="D1778" s="1428" t="s">
        <v>13211</v>
      </c>
      <c r="E1778" s="1429">
        <v>20</v>
      </c>
      <c r="F1778" s="1430" t="s">
        <v>16688</v>
      </c>
      <c r="G1778" s="1431" t="s">
        <v>7329</v>
      </c>
      <c r="H1778" s="1430" t="s">
        <v>11409</v>
      </c>
      <c r="I1778" s="1429" t="s">
        <v>1021</v>
      </c>
      <c r="J1778" s="2196">
        <v>143.5</v>
      </c>
    </row>
    <row r="1779" spans="2:10" ht="13.5" thickBot="1" x14ac:dyDescent="0.25">
      <c r="B1779" s="392" t="str">
        <f t="shared" si="54"/>
        <v>U16 - GREGORY Connor</v>
      </c>
      <c r="C1779" s="1441" t="str">
        <f t="shared" si="56"/>
        <v>GREGORY Connor</v>
      </c>
      <c r="D1779" s="1428" t="s">
        <v>13211</v>
      </c>
      <c r="E1779" s="1429">
        <v>21</v>
      </c>
      <c r="F1779" s="1430" t="s">
        <v>14937</v>
      </c>
      <c r="G1779" s="1431" t="s">
        <v>14414</v>
      </c>
      <c r="H1779" s="1430" t="s">
        <v>17082</v>
      </c>
      <c r="I1779" s="1429" t="s">
        <v>1013</v>
      </c>
      <c r="J1779" s="2196">
        <v>142</v>
      </c>
    </row>
    <row r="1780" spans="2:10" ht="13.5" thickBot="1" x14ac:dyDescent="0.25">
      <c r="B1780" s="392" t="str">
        <f t="shared" si="54"/>
        <v>U16 - FERRUCCI Marco</v>
      </c>
      <c r="C1780" s="1441" t="str">
        <f t="shared" si="56"/>
        <v>FERRUCCI Marco</v>
      </c>
      <c r="D1780" s="1428" t="s">
        <v>13211</v>
      </c>
      <c r="E1780" s="1429">
        <v>22</v>
      </c>
      <c r="F1780" s="1430" t="s">
        <v>14258</v>
      </c>
      <c r="G1780" s="1431" t="s">
        <v>3109</v>
      </c>
      <c r="H1780" s="1430" t="s">
        <v>2776</v>
      </c>
      <c r="I1780" s="1429" t="s">
        <v>1037</v>
      </c>
      <c r="J1780" s="2196">
        <v>141.5</v>
      </c>
    </row>
    <row r="1781" spans="2:10" ht="13.5" thickBot="1" x14ac:dyDescent="0.25">
      <c r="B1781" s="392" t="str">
        <f t="shared" si="54"/>
        <v>U16 - BONNICI Jayden</v>
      </c>
      <c r="C1781" s="1441" t="str">
        <f t="shared" si="56"/>
        <v>BONNICI Jayden</v>
      </c>
      <c r="D1781" s="1428" t="s">
        <v>13211</v>
      </c>
      <c r="E1781" s="1429">
        <v>23</v>
      </c>
      <c r="F1781" s="1430" t="s">
        <v>3355</v>
      </c>
      <c r="G1781" s="1431" t="s">
        <v>7171</v>
      </c>
      <c r="H1781" s="1430" t="s">
        <v>18042</v>
      </c>
      <c r="I1781" s="1429" t="s">
        <v>1045</v>
      </c>
      <c r="J1781" s="2196">
        <v>136</v>
      </c>
    </row>
    <row r="1782" spans="2:10" ht="13.5" thickBot="1" x14ac:dyDescent="0.25">
      <c r="B1782" s="392" t="str">
        <f t="shared" si="54"/>
        <v>U16 - SICILIANO Alessandro</v>
      </c>
      <c r="C1782" s="1441" t="str">
        <f t="shared" si="56"/>
        <v>SICILIANO Alessandro</v>
      </c>
      <c r="D1782" s="1428" t="s">
        <v>13211</v>
      </c>
      <c r="E1782" s="1429">
        <v>24</v>
      </c>
      <c r="F1782" s="1430" t="s">
        <v>14283</v>
      </c>
      <c r="G1782" s="1431" t="s">
        <v>3125</v>
      </c>
      <c r="H1782" s="1430" t="s">
        <v>10271</v>
      </c>
      <c r="I1782" s="1429" t="s">
        <v>1037</v>
      </c>
      <c r="J1782" s="2196">
        <v>126</v>
      </c>
    </row>
    <row r="1783" spans="2:10" ht="13.5" thickBot="1" x14ac:dyDescent="0.25">
      <c r="B1783" s="392" t="str">
        <f t="shared" si="54"/>
        <v>U16 - RUDY HESTY Edin Reyza</v>
      </c>
      <c r="C1783" s="1441" t="str">
        <f t="shared" si="56"/>
        <v>RUDY HESTY Edin Reyza</v>
      </c>
      <c r="D1783" s="1428" t="s">
        <v>13211</v>
      </c>
      <c r="E1783" s="1429">
        <v>25</v>
      </c>
      <c r="F1783" s="1430" t="s">
        <v>16657</v>
      </c>
      <c r="G1783" s="1431" t="s">
        <v>16154</v>
      </c>
      <c r="H1783" s="1430" t="s">
        <v>7270</v>
      </c>
      <c r="I1783" s="1429" t="s">
        <v>7916</v>
      </c>
      <c r="J1783" s="2196">
        <v>113</v>
      </c>
    </row>
    <row r="1784" spans="2:10" ht="13.5" thickBot="1" x14ac:dyDescent="0.25">
      <c r="B1784" s="392" t="str">
        <f t="shared" si="54"/>
        <v>U16 - PUERTO Andrés</v>
      </c>
      <c r="C1784" s="1441" t="str">
        <f t="shared" si="56"/>
        <v>PUERTO Andrés</v>
      </c>
      <c r="D1784" s="1428" t="s">
        <v>13211</v>
      </c>
      <c r="E1784" s="1429">
        <v>26</v>
      </c>
      <c r="F1784" s="1430" t="s">
        <v>18196</v>
      </c>
      <c r="G1784" s="1431" t="s">
        <v>7467</v>
      </c>
      <c r="H1784" s="1430" t="s">
        <v>7304</v>
      </c>
      <c r="I1784" s="1429" t="s">
        <v>1015</v>
      </c>
      <c r="J1784" s="2196">
        <v>90</v>
      </c>
    </row>
    <row r="1785" spans="2:10" ht="13.5" thickBot="1" x14ac:dyDescent="0.25">
      <c r="B1785" s="392" t="str">
        <f t="shared" si="54"/>
        <v>U16 - HARILLO Joaquín</v>
      </c>
      <c r="C1785" s="1441" t="str">
        <f t="shared" si="56"/>
        <v>HARILLO Joaquín</v>
      </c>
      <c r="D1785" s="1428" t="s">
        <v>13211</v>
      </c>
      <c r="E1785" s="1429">
        <v>26</v>
      </c>
      <c r="F1785" s="1430" t="s">
        <v>18197</v>
      </c>
      <c r="G1785" s="1431" t="s">
        <v>8220</v>
      </c>
      <c r="H1785" s="1430" t="s">
        <v>7304</v>
      </c>
      <c r="I1785" s="1429" t="s">
        <v>1015</v>
      </c>
      <c r="J1785" s="2196">
        <v>90</v>
      </c>
    </row>
    <row r="1786" spans="2:10" ht="13.5" thickBot="1" x14ac:dyDescent="0.25">
      <c r="B1786" s="392" t="str">
        <f t="shared" si="54"/>
        <v>U16 - ARIVAZHAGAN Nagulan</v>
      </c>
      <c r="C1786" s="1441" t="str">
        <f t="shared" si="56"/>
        <v>ARIVAZHAGAN Nagulan</v>
      </c>
      <c r="D1786" s="1428" t="s">
        <v>13211</v>
      </c>
      <c r="E1786" s="1429">
        <v>28</v>
      </c>
      <c r="F1786" s="1430" t="s">
        <v>16668</v>
      </c>
      <c r="G1786" s="1431" t="s">
        <v>15172</v>
      </c>
      <c r="H1786" s="1430" t="s">
        <v>8716</v>
      </c>
      <c r="I1786" s="1429" t="s">
        <v>7916</v>
      </c>
      <c r="J1786" s="2196">
        <v>79</v>
      </c>
    </row>
    <row r="1787" spans="2:10" ht="13.5" thickBot="1" x14ac:dyDescent="0.25">
      <c r="B1787" s="392" t="str">
        <f t="shared" si="54"/>
        <v>U16 - KALISZEWSKI Daniel</v>
      </c>
      <c r="C1787" s="1441" t="str">
        <f t="shared" si="56"/>
        <v>KALISZEWSKI Daniel</v>
      </c>
      <c r="D1787" s="1428" t="s">
        <v>13211</v>
      </c>
      <c r="E1787" s="1429">
        <v>29</v>
      </c>
      <c r="F1787" s="1430" t="s">
        <v>14941</v>
      </c>
      <c r="G1787" s="1431" t="s">
        <v>3243</v>
      </c>
      <c r="H1787" s="1430" t="s">
        <v>2764</v>
      </c>
      <c r="I1787" s="1429" t="s">
        <v>1033</v>
      </c>
      <c r="J1787" s="2196">
        <v>72.5</v>
      </c>
    </row>
    <row r="1788" spans="2:10" ht="13.5" thickBot="1" x14ac:dyDescent="0.25">
      <c r="B1788" s="392" t="str">
        <f t="shared" si="54"/>
        <v>U16 - MOREIRA Erick</v>
      </c>
      <c r="C1788" s="1441" t="str">
        <f t="shared" si="56"/>
        <v>MOREIRA Erick</v>
      </c>
      <c r="D1788" s="1428" t="s">
        <v>13211</v>
      </c>
      <c r="E1788" s="1429">
        <v>30</v>
      </c>
      <c r="F1788" s="1430" t="s">
        <v>14311</v>
      </c>
      <c r="G1788" s="1431" t="s">
        <v>13235</v>
      </c>
      <c r="H1788" s="1430" t="s">
        <v>14370</v>
      </c>
      <c r="I1788" s="1429" t="s">
        <v>1015</v>
      </c>
      <c r="J1788" s="2196">
        <v>64</v>
      </c>
    </row>
    <row r="1789" spans="2:10" ht="13.5" thickBot="1" x14ac:dyDescent="0.25">
      <c r="B1789" s="392" t="str">
        <f t="shared" si="54"/>
        <v>U16 - ROSA Julià</v>
      </c>
      <c r="C1789" s="1441" t="str">
        <f t="shared" si="56"/>
        <v>ROSA Julià</v>
      </c>
      <c r="D1789" s="1428" t="s">
        <v>13211</v>
      </c>
      <c r="E1789" s="1429">
        <v>31</v>
      </c>
      <c r="F1789" s="1430" t="s">
        <v>14167</v>
      </c>
      <c r="G1789" s="1431" t="s">
        <v>13824</v>
      </c>
      <c r="H1789" s="1430" t="s">
        <v>14451</v>
      </c>
      <c r="I1789" s="1429" t="s">
        <v>1015</v>
      </c>
      <c r="J1789" s="2196">
        <v>57</v>
      </c>
    </row>
    <row r="1790" spans="2:10" ht="13.5" thickBot="1" x14ac:dyDescent="0.25">
      <c r="B1790" s="392" t="str">
        <f t="shared" si="54"/>
        <v>U16 - MARTINELLI Antonio</v>
      </c>
      <c r="C1790" s="1441" t="str">
        <f t="shared" si="56"/>
        <v>MARTINELLI Antonio</v>
      </c>
      <c r="D1790" s="1428" t="s">
        <v>13211</v>
      </c>
      <c r="E1790" s="1429">
        <v>32</v>
      </c>
      <c r="F1790" s="1430" t="s">
        <v>16813</v>
      </c>
      <c r="G1790" s="1431" t="s">
        <v>3341</v>
      </c>
      <c r="H1790" s="1430" t="s">
        <v>10274</v>
      </c>
      <c r="I1790" s="1429" t="s">
        <v>1037</v>
      </c>
      <c r="J1790" s="2196">
        <v>54</v>
      </c>
    </row>
    <row r="1791" spans="2:10" ht="13.5" thickBot="1" x14ac:dyDescent="0.25">
      <c r="B1791" s="392" t="str">
        <f t="shared" si="54"/>
        <v>U16 - VILLAO Enrique</v>
      </c>
      <c r="C1791" s="1441" t="str">
        <f t="shared" si="56"/>
        <v>VILLAO Enrique</v>
      </c>
      <c r="D1791" s="1428" t="s">
        <v>13211</v>
      </c>
      <c r="E1791" s="1429">
        <v>33</v>
      </c>
      <c r="F1791" s="1430" t="s">
        <v>11537</v>
      </c>
      <c r="G1791" s="1431" t="s">
        <v>11374</v>
      </c>
      <c r="H1791" s="1430" t="s">
        <v>14370</v>
      </c>
      <c r="I1791" s="1429" t="s">
        <v>1015</v>
      </c>
      <c r="J1791" s="2196">
        <v>46.5</v>
      </c>
    </row>
    <row r="1792" spans="2:10" ht="13.5" thickBot="1" x14ac:dyDescent="0.25">
      <c r="B1792" s="392" t="str">
        <f t="shared" si="54"/>
        <v>U16 - MORI Daigo</v>
      </c>
      <c r="C1792" s="1441" t="str">
        <f t="shared" si="56"/>
        <v>MORI Daigo</v>
      </c>
      <c r="D1792" s="1428" t="s">
        <v>13211</v>
      </c>
      <c r="E1792" s="1429">
        <v>34</v>
      </c>
      <c r="F1792" s="1430" t="s">
        <v>11440</v>
      </c>
      <c r="G1792" s="1431" t="s">
        <v>11379</v>
      </c>
      <c r="H1792" s="1430" t="s">
        <v>10276</v>
      </c>
      <c r="I1792" s="1429" t="s">
        <v>1041</v>
      </c>
      <c r="J1792" s="2196">
        <v>45</v>
      </c>
    </row>
    <row r="1793" spans="2:10" ht="13.5" thickBot="1" x14ac:dyDescent="0.25">
      <c r="B1793" s="392" t="str">
        <f t="shared" si="54"/>
        <v>U16 - BIN NORIZAL Nor Afiq</v>
      </c>
      <c r="C1793" s="1441" t="str">
        <f t="shared" si="56"/>
        <v>BIN NORIZAL Nor Afiq</v>
      </c>
      <c r="D1793" s="1428" t="s">
        <v>13211</v>
      </c>
      <c r="E1793" s="1429">
        <v>34</v>
      </c>
      <c r="F1793" s="1430" t="s">
        <v>18141</v>
      </c>
      <c r="G1793" s="1431" t="s">
        <v>9558</v>
      </c>
      <c r="H1793" s="1430" t="s">
        <v>7270</v>
      </c>
      <c r="I1793" s="1429" t="s">
        <v>7916</v>
      </c>
      <c r="J1793" s="2196">
        <v>45</v>
      </c>
    </row>
    <row r="1794" spans="2:10" ht="13.5" thickBot="1" x14ac:dyDescent="0.25">
      <c r="B1794" s="392" t="str">
        <f t="shared" si="54"/>
        <v>U16 - BIN NORIZAL Nor Ariq</v>
      </c>
      <c r="C1794" s="1441" t="str">
        <f t="shared" si="56"/>
        <v>BIN NORIZAL Nor Ariq</v>
      </c>
      <c r="D1794" s="1428" t="s">
        <v>13211</v>
      </c>
      <c r="E1794" s="1429">
        <v>34</v>
      </c>
      <c r="F1794" s="1430" t="s">
        <v>18141</v>
      </c>
      <c r="G1794" s="1431" t="s">
        <v>18059</v>
      </c>
      <c r="H1794" s="1430" t="s">
        <v>7270</v>
      </c>
      <c r="I1794" s="1429" t="s">
        <v>7916</v>
      </c>
      <c r="J1794" s="2196">
        <v>45</v>
      </c>
    </row>
    <row r="1795" spans="2:10" ht="13.5" thickBot="1" x14ac:dyDescent="0.25">
      <c r="B1795" s="392" t="str">
        <f t="shared" si="54"/>
        <v>U16 - MAIOLI Martin</v>
      </c>
      <c r="C1795" s="1441" t="str">
        <f t="shared" si="56"/>
        <v>MAIOLI Martin</v>
      </c>
      <c r="D1795" s="1428" t="s">
        <v>13211</v>
      </c>
      <c r="E1795" s="1429">
        <v>37</v>
      </c>
      <c r="F1795" s="1430" t="s">
        <v>14304</v>
      </c>
      <c r="G1795" s="1431" t="s">
        <v>3408</v>
      </c>
      <c r="H1795" s="1430" t="s">
        <v>7873</v>
      </c>
      <c r="I1795" s="1429" t="s">
        <v>1037</v>
      </c>
      <c r="J1795" s="2196">
        <v>39.5</v>
      </c>
    </row>
    <row r="1796" spans="2:10" ht="13.5" thickBot="1" x14ac:dyDescent="0.25">
      <c r="B1796" s="392" t="str">
        <f t="shared" si="54"/>
        <v>U16 - TAKAHASHI Shusuke</v>
      </c>
      <c r="C1796" s="1441" t="str">
        <f t="shared" si="56"/>
        <v>TAKAHASHI Shusuke</v>
      </c>
      <c r="D1796" s="1428" t="s">
        <v>13211</v>
      </c>
      <c r="E1796" s="1429">
        <v>38</v>
      </c>
      <c r="F1796" s="1430" t="s">
        <v>16658</v>
      </c>
      <c r="G1796" s="1431" t="s">
        <v>16273</v>
      </c>
      <c r="H1796" s="1430" t="s">
        <v>17235</v>
      </c>
      <c r="I1796" s="1429" t="s">
        <v>1041</v>
      </c>
      <c r="J1796" s="2196">
        <v>35</v>
      </c>
    </row>
    <row r="1797" spans="2:10" ht="13.5" thickBot="1" x14ac:dyDescent="0.25">
      <c r="B1797" s="392" t="str">
        <f t="shared" si="54"/>
        <v>U16 - BARNOLA Arç</v>
      </c>
      <c r="C1797" s="1441" t="str">
        <f t="shared" si="56"/>
        <v>BARNOLA Arç</v>
      </c>
      <c r="D1797" s="1428" t="s">
        <v>13211</v>
      </c>
      <c r="E1797" s="1429">
        <v>39</v>
      </c>
      <c r="F1797" s="1430" t="s">
        <v>14977</v>
      </c>
      <c r="G1797" s="1431" t="s">
        <v>13827</v>
      </c>
      <c r="H1797" s="1430" t="s">
        <v>14451</v>
      </c>
      <c r="I1797" s="1429" t="s">
        <v>1015</v>
      </c>
      <c r="J1797" s="2196">
        <v>32.5</v>
      </c>
    </row>
    <row r="1798" spans="2:10" ht="13.5" thickBot="1" x14ac:dyDescent="0.25">
      <c r="B1798" s="392" t="str">
        <f t="shared" si="54"/>
        <v>U16 - CARMONA Simon</v>
      </c>
      <c r="C1798" s="1441" t="str">
        <f t="shared" si="56"/>
        <v>CARMONA Simon</v>
      </c>
      <c r="D1798" s="1428" t="s">
        <v>13211</v>
      </c>
      <c r="E1798" s="1429">
        <v>40</v>
      </c>
      <c r="F1798" s="1430" t="s">
        <v>16801</v>
      </c>
      <c r="G1798" s="1431" t="s">
        <v>3626</v>
      </c>
      <c r="H1798" s="1430" t="s">
        <v>15239</v>
      </c>
      <c r="I1798" s="1429" t="s">
        <v>1019</v>
      </c>
      <c r="J1798" s="2196">
        <v>32</v>
      </c>
    </row>
    <row r="1799" spans="2:10" ht="13.5" thickBot="1" x14ac:dyDescent="0.25">
      <c r="B1799" s="392" t="str">
        <f t="shared" ref="B1799:B1862" si="57">CONCATENATE(D1799," - ",C1799)</f>
        <v>U16 - KUSHMYRUK Alexandre</v>
      </c>
      <c r="C1799" s="1441" t="str">
        <f t="shared" si="56"/>
        <v>KUSHMYRUK Alexandre</v>
      </c>
      <c r="D1799" s="1428" t="s">
        <v>13211</v>
      </c>
      <c r="E1799" s="1429">
        <v>41</v>
      </c>
      <c r="F1799" s="1430" t="s">
        <v>16796</v>
      </c>
      <c r="G1799" s="1431" t="s">
        <v>3184</v>
      </c>
      <c r="H1799" s="1430" t="s">
        <v>10278</v>
      </c>
      <c r="I1799" s="1429" t="s">
        <v>1061</v>
      </c>
      <c r="J1799" s="2196">
        <v>31.5</v>
      </c>
    </row>
    <row r="1800" spans="2:10" ht="13.5" thickBot="1" x14ac:dyDescent="0.25">
      <c r="B1800" s="392" t="str">
        <f t="shared" si="57"/>
        <v>U16 - GRUNBACH Katelyn</v>
      </c>
      <c r="C1800" s="1441" t="str">
        <f t="shared" si="56"/>
        <v>GRUNBACH Katelyn</v>
      </c>
      <c r="D1800" s="1428" t="s">
        <v>13211</v>
      </c>
      <c r="E1800" s="1429">
        <v>42</v>
      </c>
      <c r="F1800" s="1430" t="s">
        <v>14129</v>
      </c>
      <c r="G1800" s="1431" t="s">
        <v>13639</v>
      </c>
      <c r="H1800" s="1430" t="s">
        <v>9593</v>
      </c>
      <c r="I1800" s="1429" t="s">
        <v>986</v>
      </c>
      <c r="J1800" s="2196">
        <v>30</v>
      </c>
    </row>
    <row r="1801" spans="2:10" ht="13.5" thickBot="1" x14ac:dyDescent="0.25">
      <c r="B1801" s="392" t="str">
        <f t="shared" si="57"/>
        <v>U16 - LANCI Edoardo</v>
      </c>
      <c r="C1801" s="1441" t="str">
        <f t="shared" si="56"/>
        <v>LANCI Edoardo</v>
      </c>
      <c r="D1801" s="1428" t="s">
        <v>13211</v>
      </c>
      <c r="E1801" s="1429">
        <v>43</v>
      </c>
      <c r="F1801" s="1430" t="s">
        <v>16797</v>
      </c>
      <c r="G1801" s="1431" t="s">
        <v>3558</v>
      </c>
      <c r="H1801" s="1430" t="s">
        <v>7876</v>
      </c>
      <c r="I1801" s="1429" t="s">
        <v>1037</v>
      </c>
      <c r="J1801" s="2196">
        <v>27</v>
      </c>
    </row>
    <row r="1802" spans="2:10" ht="13.5" thickBot="1" x14ac:dyDescent="0.25">
      <c r="B1802" s="392" t="str">
        <f t="shared" si="57"/>
        <v>U16 - TEIXIDO-REGNIER Maël</v>
      </c>
      <c r="C1802" s="1441" t="str">
        <f t="shared" si="56"/>
        <v>TEIXIDO-REGNIER Maël</v>
      </c>
      <c r="D1802" s="1428" t="s">
        <v>13211</v>
      </c>
      <c r="E1802" s="1429">
        <v>44</v>
      </c>
      <c r="F1802" s="1430" t="s">
        <v>16723</v>
      </c>
      <c r="G1802" s="1431" t="s">
        <v>16293</v>
      </c>
      <c r="H1802" s="1430" t="s">
        <v>2795</v>
      </c>
      <c r="I1802" s="1429" t="s">
        <v>1019</v>
      </c>
      <c r="J1802" s="2196">
        <v>26.5</v>
      </c>
    </row>
    <row r="1803" spans="2:10" ht="13.5" thickBot="1" x14ac:dyDescent="0.25">
      <c r="B1803" s="392" t="str">
        <f t="shared" si="57"/>
        <v>U16 - BENITA Álvaro</v>
      </c>
      <c r="C1803" s="1441" t="str">
        <f t="shared" si="56"/>
        <v>BENITA Álvaro</v>
      </c>
      <c r="D1803" s="1428" t="s">
        <v>13211</v>
      </c>
      <c r="E1803" s="1429">
        <v>45</v>
      </c>
      <c r="F1803" s="1430" t="s">
        <v>14166</v>
      </c>
      <c r="G1803" s="1431" t="s">
        <v>3538</v>
      </c>
      <c r="H1803" s="1430" t="s">
        <v>7869</v>
      </c>
      <c r="I1803" s="1429" t="s">
        <v>1015</v>
      </c>
      <c r="J1803" s="2196">
        <v>25.5</v>
      </c>
    </row>
    <row r="1804" spans="2:10" ht="13.5" thickBot="1" x14ac:dyDescent="0.25">
      <c r="B1804" s="392" t="str">
        <f t="shared" si="57"/>
        <v>U16 - SANI Tommaso</v>
      </c>
      <c r="C1804" s="1441" t="str">
        <f t="shared" si="56"/>
        <v>SANI Tommaso</v>
      </c>
      <c r="D1804" s="1428" t="s">
        <v>13211</v>
      </c>
      <c r="E1804" s="1429">
        <v>46</v>
      </c>
      <c r="F1804" s="1430" t="s">
        <v>14310</v>
      </c>
      <c r="G1804" s="1431" t="s">
        <v>3534</v>
      </c>
      <c r="H1804" s="1430" t="s">
        <v>9702</v>
      </c>
      <c r="I1804" s="1429" t="s">
        <v>1037</v>
      </c>
      <c r="J1804" s="2196">
        <v>25</v>
      </c>
    </row>
    <row r="1805" spans="2:10" ht="13.5" thickBot="1" x14ac:dyDescent="0.25">
      <c r="B1805" s="392" t="str">
        <f t="shared" si="57"/>
        <v>U16 - DESPRETZ Chloé</v>
      </c>
      <c r="C1805" s="1441" t="str">
        <f t="shared" si="56"/>
        <v>DESPRETZ Chloé</v>
      </c>
      <c r="D1805" s="1428" t="s">
        <v>13211</v>
      </c>
      <c r="E1805" s="1429">
        <v>47</v>
      </c>
      <c r="F1805" s="1430" t="s">
        <v>3261</v>
      </c>
      <c r="G1805" s="1431" t="s">
        <v>15458</v>
      </c>
      <c r="H1805" s="1430" t="s">
        <v>13519</v>
      </c>
      <c r="I1805" s="1429" t="s">
        <v>990</v>
      </c>
      <c r="J1805" s="2196">
        <v>23</v>
      </c>
    </row>
    <row r="1806" spans="2:10" ht="13.5" thickBot="1" x14ac:dyDescent="0.25">
      <c r="B1806" s="392" t="str">
        <f t="shared" si="57"/>
        <v>U16 - AVERNA Marco</v>
      </c>
      <c r="C1806" s="1441" t="str">
        <f t="shared" si="56"/>
        <v>AVERNA Marco</v>
      </c>
      <c r="D1806" s="1428" t="s">
        <v>13211</v>
      </c>
      <c r="E1806" s="1429">
        <v>48</v>
      </c>
      <c r="F1806" s="1430" t="s">
        <v>16768</v>
      </c>
      <c r="G1806" s="1431" t="s">
        <v>3109</v>
      </c>
      <c r="H1806" s="1430" t="s">
        <v>16490</v>
      </c>
      <c r="I1806" s="1429" t="s">
        <v>1037</v>
      </c>
      <c r="J1806" s="2196">
        <v>20</v>
      </c>
    </row>
    <row r="1807" spans="2:10" ht="13.5" thickBot="1" x14ac:dyDescent="0.25">
      <c r="B1807" s="392" t="str">
        <f t="shared" si="57"/>
        <v>U16 - MÁRQUEZ GALISTEO Owen</v>
      </c>
      <c r="C1807" s="1441" t="str">
        <f t="shared" si="56"/>
        <v>MÁRQUEZ GALISTEO Owen</v>
      </c>
      <c r="D1807" s="1428" t="s">
        <v>13211</v>
      </c>
      <c r="E1807" s="1429">
        <v>49</v>
      </c>
      <c r="F1807" s="1430" t="s">
        <v>16804</v>
      </c>
      <c r="G1807" s="1431" t="s">
        <v>3321</v>
      </c>
      <c r="H1807" s="1430" t="s">
        <v>14451</v>
      </c>
      <c r="I1807" s="1429" t="s">
        <v>1015</v>
      </c>
      <c r="J1807" s="2196">
        <v>18.5</v>
      </c>
    </row>
    <row r="1808" spans="2:10" ht="13.5" thickBot="1" x14ac:dyDescent="0.25">
      <c r="B1808" s="392" t="str">
        <f t="shared" si="57"/>
        <v>U16 - ÃCUNA Henrique</v>
      </c>
      <c r="C1808" s="1441" t="str">
        <f t="shared" si="56"/>
        <v>ÃCUNA Henrique</v>
      </c>
      <c r="D1808" s="1428" t="s">
        <v>13211</v>
      </c>
      <c r="E1808" s="1429">
        <v>49</v>
      </c>
      <c r="F1808" s="1430" t="s">
        <v>16807</v>
      </c>
      <c r="G1808" s="1431" t="s">
        <v>13459</v>
      </c>
      <c r="H1808" s="1430" t="s">
        <v>10278</v>
      </c>
      <c r="I1808" s="1429" t="s">
        <v>1061</v>
      </c>
      <c r="J1808" s="2196">
        <v>18.5</v>
      </c>
    </row>
    <row r="1809" spans="2:10" ht="13.5" thickBot="1" x14ac:dyDescent="0.25">
      <c r="B1809" s="392" t="str">
        <f t="shared" si="57"/>
        <v>U16 - GUYOT Jade</v>
      </c>
      <c r="C1809" s="1441" t="str">
        <f t="shared" si="56"/>
        <v>GUYOT Jade</v>
      </c>
      <c r="D1809" s="1428" t="s">
        <v>13211</v>
      </c>
      <c r="E1809" s="1429">
        <v>51</v>
      </c>
      <c r="F1809" s="1430" t="s">
        <v>3524</v>
      </c>
      <c r="G1809" s="1431" t="s">
        <v>14517</v>
      </c>
      <c r="H1809" s="1430" t="s">
        <v>15239</v>
      </c>
      <c r="I1809" s="1429" t="s">
        <v>1019</v>
      </c>
      <c r="J1809" s="2196">
        <v>17</v>
      </c>
    </row>
    <row r="1810" spans="2:10" ht="13.5" thickBot="1" x14ac:dyDescent="0.25">
      <c r="B1810" s="392" t="str">
        <f t="shared" si="57"/>
        <v>U16 - VIDAL TORNER Cesc</v>
      </c>
      <c r="C1810" s="1441" t="str">
        <f t="shared" si="56"/>
        <v>VIDAL TORNER Cesc</v>
      </c>
      <c r="D1810" s="1428" t="s">
        <v>13211</v>
      </c>
      <c r="E1810" s="1429">
        <v>52</v>
      </c>
      <c r="F1810" s="1430" t="s">
        <v>18198</v>
      </c>
      <c r="G1810" s="1431" t="s">
        <v>17791</v>
      </c>
      <c r="H1810" s="1430" t="s">
        <v>14451</v>
      </c>
      <c r="I1810" s="1429" t="s">
        <v>1015</v>
      </c>
      <c r="J1810" s="2196">
        <v>15.5</v>
      </c>
    </row>
    <row r="1811" spans="2:10" ht="13.5" thickBot="1" x14ac:dyDescent="0.25">
      <c r="B1811" s="392" t="str">
        <f t="shared" si="57"/>
        <v>U16 - WARREN Jamie</v>
      </c>
      <c r="C1811" s="1441" t="str">
        <f t="shared" si="56"/>
        <v>WARREN Jamie</v>
      </c>
      <c r="D1811" s="1428" t="s">
        <v>13211</v>
      </c>
      <c r="E1811" s="1429">
        <v>53</v>
      </c>
      <c r="F1811" s="1430" t="s">
        <v>17631</v>
      </c>
      <c r="G1811" s="1431" t="s">
        <v>3368</v>
      </c>
      <c r="H1811" s="1430" t="s">
        <v>17082</v>
      </c>
      <c r="I1811" s="1429" t="s">
        <v>1013</v>
      </c>
      <c r="J1811" s="2196">
        <v>15</v>
      </c>
    </row>
    <row r="1812" spans="2:10" ht="13.5" thickBot="1" x14ac:dyDescent="0.25">
      <c r="B1812" s="392" t="str">
        <f t="shared" si="57"/>
        <v>U16 - DHYNE Nathanaël</v>
      </c>
      <c r="C1812" s="1441" t="str">
        <f t="shared" si="56"/>
        <v>DHYNE Nathanaël</v>
      </c>
      <c r="D1812" s="1428" t="s">
        <v>13211</v>
      </c>
      <c r="E1812" s="1429">
        <v>54</v>
      </c>
      <c r="F1812" s="1430" t="s">
        <v>16800</v>
      </c>
      <c r="G1812" s="1431" t="s">
        <v>15466</v>
      </c>
      <c r="H1812" s="1430" t="s">
        <v>2779</v>
      </c>
      <c r="I1812" s="1429" t="s">
        <v>990</v>
      </c>
      <c r="J1812" s="2196">
        <v>14</v>
      </c>
    </row>
    <row r="1813" spans="2:10" ht="13.5" thickBot="1" x14ac:dyDescent="0.25">
      <c r="B1813" s="392" t="str">
        <f t="shared" si="57"/>
        <v>U16 - LUPO Liam</v>
      </c>
      <c r="C1813" s="1441" t="str">
        <f t="shared" si="56"/>
        <v>LUPO Liam</v>
      </c>
      <c r="D1813" s="1428" t="s">
        <v>13211</v>
      </c>
      <c r="E1813" s="1429">
        <v>55</v>
      </c>
      <c r="F1813" s="1430" t="s">
        <v>14544</v>
      </c>
      <c r="G1813" s="1431" t="s">
        <v>3378</v>
      </c>
      <c r="H1813" s="1430" t="s">
        <v>17591</v>
      </c>
      <c r="I1813" s="1429" t="s">
        <v>1019</v>
      </c>
      <c r="J1813" s="2196">
        <v>12</v>
      </c>
    </row>
    <row r="1814" spans="2:10" ht="13.5" thickBot="1" x14ac:dyDescent="0.25">
      <c r="B1814" s="392" t="str">
        <f t="shared" si="57"/>
        <v>U16 - DIMAKEAS Apollon</v>
      </c>
      <c r="C1814" s="1441" t="str">
        <f t="shared" si="56"/>
        <v>DIMAKEAS Apollon</v>
      </c>
      <c r="D1814" s="1428" t="s">
        <v>13211</v>
      </c>
      <c r="E1814" s="1429">
        <v>56</v>
      </c>
      <c r="F1814" s="1430" t="s">
        <v>3444</v>
      </c>
      <c r="G1814" s="1431" t="s">
        <v>8768</v>
      </c>
      <c r="H1814" s="1430" t="s">
        <v>3213</v>
      </c>
      <c r="I1814" s="1429" t="s">
        <v>1025</v>
      </c>
      <c r="J1814" s="2196">
        <v>11.5</v>
      </c>
    </row>
    <row r="1815" spans="2:10" ht="13.5" thickBot="1" x14ac:dyDescent="0.25">
      <c r="B1815" s="392" t="str">
        <f t="shared" si="57"/>
        <v>U16 - FAZIO Lorenzo</v>
      </c>
      <c r="C1815" s="1441" t="str">
        <f t="shared" si="56"/>
        <v>FAZIO Lorenzo</v>
      </c>
      <c r="D1815" s="1428" t="s">
        <v>13211</v>
      </c>
      <c r="E1815" s="1429">
        <v>57</v>
      </c>
      <c r="F1815" s="1430" t="s">
        <v>14312</v>
      </c>
      <c r="G1815" s="1431" t="s">
        <v>3155</v>
      </c>
      <c r="H1815" s="1430" t="s">
        <v>9702</v>
      </c>
      <c r="I1815" s="1429" t="s">
        <v>1037</v>
      </c>
      <c r="J1815" s="2196">
        <v>11</v>
      </c>
    </row>
    <row r="1816" spans="2:10" ht="13.5" thickBot="1" x14ac:dyDescent="0.25">
      <c r="B1816" s="392" t="str">
        <f t="shared" si="57"/>
        <v>U16 - FERRETTI Andrea</v>
      </c>
      <c r="C1816" s="1441" t="str">
        <f t="shared" si="56"/>
        <v>FERRETTI Andrea</v>
      </c>
      <c r="D1816" s="1428" t="s">
        <v>13211</v>
      </c>
      <c r="E1816" s="1429">
        <v>57</v>
      </c>
      <c r="F1816" s="1430" t="s">
        <v>14315</v>
      </c>
      <c r="G1816" s="1431" t="s">
        <v>3027</v>
      </c>
      <c r="H1816" s="1430" t="s">
        <v>9702</v>
      </c>
      <c r="I1816" s="1429" t="s">
        <v>1037</v>
      </c>
      <c r="J1816" s="2196">
        <v>11</v>
      </c>
    </row>
    <row r="1817" spans="2:10" ht="13.5" thickBot="1" x14ac:dyDescent="0.25">
      <c r="B1817" s="392" t="str">
        <f t="shared" si="57"/>
        <v>U16 - GROSDENT Sophia</v>
      </c>
      <c r="C1817" s="1441" t="str">
        <f t="shared" si="56"/>
        <v>GROSDENT Sophia</v>
      </c>
      <c r="D1817" s="1428" t="s">
        <v>13211</v>
      </c>
      <c r="E1817" s="1429">
        <v>59</v>
      </c>
      <c r="F1817" s="1430" t="s">
        <v>8735</v>
      </c>
      <c r="G1817" s="1431" t="s">
        <v>13660</v>
      </c>
      <c r="H1817" s="1430" t="s">
        <v>10252</v>
      </c>
      <c r="I1817" s="1429" t="s">
        <v>990</v>
      </c>
      <c r="J1817" s="2196">
        <v>10</v>
      </c>
    </row>
    <row r="1818" spans="2:10" ht="13.5" thickBot="1" x14ac:dyDescent="0.25">
      <c r="B1818" s="392" t="str">
        <f t="shared" si="57"/>
        <v>U16 - DEL BEN David</v>
      </c>
      <c r="C1818" s="1441" t="str">
        <f t="shared" si="56"/>
        <v>DEL BEN David</v>
      </c>
      <c r="D1818" s="1428" t="s">
        <v>13211</v>
      </c>
      <c r="E1818" s="1429">
        <v>60</v>
      </c>
      <c r="F1818" s="1430" t="s">
        <v>14973</v>
      </c>
      <c r="G1818" s="1431" t="s">
        <v>3072</v>
      </c>
      <c r="H1818" s="1430" t="s">
        <v>13312</v>
      </c>
      <c r="I1818" s="1429" t="s">
        <v>1037</v>
      </c>
      <c r="J1818" s="2196">
        <v>9</v>
      </c>
    </row>
    <row r="1819" spans="2:10" ht="13.5" thickBot="1" x14ac:dyDescent="0.25">
      <c r="B1819" s="392" t="str">
        <f t="shared" si="57"/>
        <v>U16 - BERNARD Lena</v>
      </c>
      <c r="C1819" s="1441" t="str">
        <f t="shared" ref="C1819:C1882" si="58">CONCATENATE(UPPER(F1819)," ",G1819)</f>
        <v>BERNARD Lena</v>
      </c>
      <c r="D1819" s="1428" t="s">
        <v>13211</v>
      </c>
      <c r="E1819" s="1429">
        <v>60</v>
      </c>
      <c r="F1819" s="1430" t="s">
        <v>16798</v>
      </c>
      <c r="G1819" s="1431" t="s">
        <v>6467</v>
      </c>
      <c r="H1819" s="1430" t="s">
        <v>15239</v>
      </c>
      <c r="I1819" s="1429" t="s">
        <v>1019</v>
      </c>
      <c r="J1819" s="2196">
        <v>9</v>
      </c>
    </row>
    <row r="1820" spans="2:10" ht="13.5" thickBot="1" x14ac:dyDescent="0.25">
      <c r="B1820" s="392" t="str">
        <f t="shared" si="57"/>
        <v>U16 - RAPONI Stefano</v>
      </c>
      <c r="C1820" s="1441" t="str">
        <f t="shared" si="58"/>
        <v>RAPONI Stefano</v>
      </c>
      <c r="D1820" s="1428" t="s">
        <v>13211</v>
      </c>
      <c r="E1820" s="1429">
        <v>60</v>
      </c>
      <c r="F1820" s="1430" t="s">
        <v>16802</v>
      </c>
      <c r="G1820" s="1431" t="s">
        <v>3062</v>
      </c>
      <c r="H1820" s="1430" t="s">
        <v>11327</v>
      </c>
      <c r="I1820" s="1429" t="s">
        <v>1037</v>
      </c>
      <c r="J1820" s="2196">
        <v>9</v>
      </c>
    </row>
    <row r="1821" spans="2:10" ht="13.5" thickBot="1" x14ac:dyDescent="0.25">
      <c r="B1821" s="392" t="str">
        <f t="shared" si="57"/>
        <v>U16 - DENNE Mael</v>
      </c>
      <c r="C1821" s="1441" t="str">
        <f t="shared" si="58"/>
        <v>DENNE Mael</v>
      </c>
      <c r="D1821" s="1428" t="s">
        <v>13211</v>
      </c>
      <c r="E1821" s="1429">
        <v>60</v>
      </c>
      <c r="F1821" s="1430" t="s">
        <v>14222</v>
      </c>
      <c r="G1821" s="1431" t="s">
        <v>13658</v>
      </c>
      <c r="H1821" s="1430" t="s">
        <v>5301</v>
      </c>
      <c r="I1821" s="1429" t="s">
        <v>990</v>
      </c>
      <c r="J1821" s="2196">
        <v>9</v>
      </c>
    </row>
    <row r="1822" spans="2:10" ht="13.5" thickBot="1" x14ac:dyDescent="0.25">
      <c r="B1822" s="392" t="str">
        <f t="shared" si="57"/>
        <v>U16 - CAPOFERRI Alberto</v>
      </c>
      <c r="C1822" s="1441" t="str">
        <f t="shared" si="58"/>
        <v>CAPOFERRI Alberto</v>
      </c>
      <c r="D1822" s="1428" t="s">
        <v>13211</v>
      </c>
      <c r="E1822" s="1429">
        <v>60</v>
      </c>
      <c r="F1822" s="1430" t="s">
        <v>18139</v>
      </c>
      <c r="G1822" s="1431" t="s">
        <v>3042</v>
      </c>
      <c r="H1822" s="1430" t="s">
        <v>9702</v>
      </c>
      <c r="I1822" s="1429" t="s">
        <v>1037</v>
      </c>
      <c r="J1822" s="2196">
        <v>9</v>
      </c>
    </row>
    <row r="1823" spans="2:10" ht="13.5" thickBot="1" x14ac:dyDescent="0.25">
      <c r="B1823" s="392" t="str">
        <f t="shared" si="57"/>
        <v>U16 - VERPLAETSE Robin</v>
      </c>
      <c r="C1823" s="1441" t="str">
        <f t="shared" si="58"/>
        <v>VERPLAETSE Robin</v>
      </c>
      <c r="D1823" s="1428" t="s">
        <v>13211</v>
      </c>
      <c r="E1823" s="1429">
        <v>60</v>
      </c>
      <c r="F1823" s="1430" t="s">
        <v>16799</v>
      </c>
      <c r="G1823" s="1431" t="s">
        <v>6879</v>
      </c>
      <c r="H1823" s="1430" t="s">
        <v>15681</v>
      </c>
      <c r="I1823" s="1429" t="s">
        <v>990</v>
      </c>
      <c r="J1823" s="2196">
        <v>9</v>
      </c>
    </row>
    <row r="1824" spans="2:10" ht="13.5" thickBot="1" x14ac:dyDescent="0.25">
      <c r="B1824" s="392" t="str">
        <f t="shared" si="57"/>
        <v>U16 - BONCIANI Samuele</v>
      </c>
      <c r="C1824" s="1441" t="str">
        <f t="shared" si="58"/>
        <v>BONCIANI Samuele</v>
      </c>
      <c r="D1824" s="1428" t="s">
        <v>13211</v>
      </c>
      <c r="E1824" s="1429">
        <v>66</v>
      </c>
      <c r="F1824" s="1430" t="s">
        <v>7841</v>
      </c>
      <c r="G1824" s="1431" t="s">
        <v>5648</v>
      </c>
      <c r="H1824" s="1430" t="s">
        <v>2784</v>
      </c>
      <c r="I1824" s="1429" t="s">
        <v>1037</v>
      </c>
      <c r="J1824" s="2196">
        <v>8</v>
      </c>
    </row>
    <row r="1825" spans="2:10" ht="13.5" thickBot="1" x14ac:dyDescent="0.25">
      <c r="B1825" s="392" t="str">
        <f t="shared" si="57"/>
        <v>U16 - FROMWEILER Théo</v>
      </c>
      <c r="C1825" s="1441" t="str">
        <f t="shared" si="58"/>
        <v>FROMWEILER Théo</v>
      </c>
      <c r="D1825" s="1428" t="s">
        <v>13211</v>
      </c>
      <c r="E1825" s="1429">
        <v>66</v>
      </c>
      <c r="F1825" s="1430" t="s">
        <v>18199</v>
      </c>
      <c r="G1825" s="1431" t="s">
        <v>3678</v>
      </c>
      <c r="H1825" s="1430" t="s">
        <v>15239</v>
      </c>
      <c r="I1825" s="1429" t="s">
        <v>1019</v>
      </c>
      <c r="J1825" s="2196">
        <v>8</v>
      </c>
    </row>
    <row r="1826" spans="2:10" ht="13.5" thickBot="1" x14ac:dyDescent="0.25">
      <c r="B1826" s="392" t="str">
        <f t="shared" si="57"/>
        <v>U16 - GARCÍA Alejandro</v>
      </c>
      <c r="C1826" s="1441" t="str">
        <f t="shared" si="58"/>
        <v>GARCÍA Alejandro</v>
      </c>
      <c r="D1826" s="1428" t="s">
        <v>13211</v>
      </c>
      <c r="E1826" s="1429">
        <v>68</v>
      </c>
      <c r="F1826" s="1430" t="s">
        <v>10990</v>
      </c>
      <c r="G1826" s="1431" t="s">
        <v>15589</v>
      </c>
      <c r="H1826" s="1430" t="s">
        <v>7304</v>
      </c>
      <c r="I1826" s="1429" t="s">
        <v>1015</v>
      </c>
      <c r="J1826" s="2196">
        <v>6.5</v>
      </c>
    </row>
    <row r="1827" spans="2:10" ht="13.5" thickBot="1" x14ac:dyDescent="0.25">
      <c r="B1827" s="392" t="str">
        <f t="shared" si="57"/>
        <v>U16 - VLASTARAKOS Evangelos</v>
      </c>
      <c r="C1827" s="1441" t="str">
        <f t="shared" si="58"/>
        <v>VLASTARAKOS Evangelos</v>
      </c>
      <c r="D1827" s="1428" t="s">
        <v>13211</v>
      </c>
      <c r="E1827" s="1429">
        <v>69</v>
      </c>
      <c r="F1827" s="1430" t="s">
        <v>16803</v>
      </c>
      <c r="G1827" s="1431" t="s">
        <v>3709</v>
      </c>
      <c r="H1827" s="1430" t="s">
        <v>3213</v>
      </c>
      <c r="I1827" s="1429" t="s">
        <v>1025</v>
      </c>
      <c r="J1827" s="2196">
        <v>6</v>
      </c>
    </row>
    <row r="1828" spans="2:10" ht="13.5" thickBot="1" x14ac:dyDescent="0.25">
      <c r="B1828" s="392" t="str">
        <f t="shared" si="57"/>
        <v>U16 - FITZPATRICK Elliot</v>
      </c>
      <c r="C1828" s="1441" t="str">
        <f t="shared" si="58"/>
        <v>FITZPATRICK Elliot</v>
      </c>
      <c r="D1828" s="1428" t="s">
        <v>13211</v>
      </c>
      <c r="E1828" s="1429">
        <v>70</v>
      </c>
      <c r="F1828" s="1430" t="s">
        <v>14899</v>
      </c>
      <c r="G1828" s="1431" t="s">
        <v>15552</v>
      </c>
      <c r="H1828" s="1430" t="s">
        <v>2764</v>
      </c>
      <c r="I1828" s="1429" t="s">
        <v>1033</v>
      </c>
      <c r="J1828" s="2196">
        <v>5</v>
      </c>
    </row>
    <row r="1829" spans="2:10" ht="13.5" thickBot="1" x14ac:dyDescent="0.25">
      <c r="B1829" s="392" t="str">
        <f t="shared" si="57"/>
        <v>U16 - GANDIN Alessandro</v>
      </c>
      <c r="C1829" s="1441" t="str">
        <f t="shared" si="58"/>
        <v>GANDIN Alessandro</v>
      </c>
      <c r="D1829" s="1428" t="s">
        <v>13211</v>
      </c>
      <c r="E1829" s="1429">
        <v>70</v>
      </c>
      <c r="F1829" s="1430" t="s">
        <v>18200</v>
      </c>
      <c r="G1829" s="1431" t="s">
        <v>3125</v>
      </c>
      <c r="H1829" s="1430" t="s">
        <v>9702</v>
      </c>
      <c r="I1829" s="1429" t="s">
        <v>1037</v>
      </c>
      <c r="J1829" s="2196">
        <v>5</v>
      </c>
    </row>
    <row r="1830" spans="2:10" ht="13.5" thickBot="1" x14ac:dyDescent="0.25">
      <c r="B1830" s="392" t="str">
        <f t="shared" si="57"/>
        <v>U16 - MARTÍN Curro</v>
      </c>
      <c r="C1830" s="1441" t="str">
        <f t="shared" si="58"/>
        <v>MARTÍN Curro</v>
      </c>
      <c r="D1830" s="1428" t="s">
        <v>13211</v>
      </c>
      <c r="E1830" s="1429">
        <v>70</v>
      </c>
      <c r="F1830" s="1430" t="s">
        <v>16712</v>
      </c>
      <c r="G1830" s="1431" t="s">
        <v>17548</v>
      </c>
      <c r="H1830" s="1430" t="s">
        <v>7304</v>
      </c>
      <c r="I1830" s="1429" t="s">
        <v>1015</v>
      </c>
      <c r="J1830" s="2196">
        <v>5</v>
      </c>
    </row>
    <row r="1831" spans="2:10" ht="13.5" thickBot="1" x14ac:dyDescent="0.25">
      <c r="B1831" s="392" t="str">
        <f t="shared" si="57"/>
        <v>U16 - GEORGANOUDIS Nikolaos</v>
      </c>
      <c r="C1831" s="1441" t="str">
        <f t="shared" si="58"/>
        <v>GEORGANOUDIS Nikolaos</v>
      </c>
      <c r="D1831" s="1428" t="s">
        <v>13211</v>
      </c>
      <c r="E1831" s="1429">
        <v>70</v>
      </c>
      <c r="F1831" s="1430" t="s">
        <v>16673</v>
      </c>
      <c r="G1831" s="1431" t="s">
        <v>5554</v>
      </c>
      <c r="H1831" s="1430" t="s">
        <v>5309</v>
      </c>
      <c r="I1831" s="1429" t="s">
        <v>1025</v>
      </c>
      <c r="J1831" s="2196">
        <v>5</v>
      </c>
    </row>
    <row r="1832" spans="2:10" ht="13.5" thickBot="1" x14ac:dyDescent="0.25">
      <c r="B1832" s="392" t="str">
        <f t="shared" si="57"/>
        <v>U16 - HAAS Louis</v>
      </c>
      <c r="C1832" s="1441" t="str">
        <f t="shared" si="58"/>
        <v>HAAS Louis</v>
      </c>
      <c r="D1832" s="1428" t="s">
        <v>13211</v>
      </c>
      <c r="E1832" s="1429">
        <v>70</v>
      </c>
      <c r="F1832" s="1430" t="s">
        <v>3030</v>
      </c>
      <c r="G1832" s="1431" t="s">
        <v>5660</v>
      </c>
      <c r="H1832" s="1430" t="s">
        <v>2748</v>
      </c>
      <c r="I1832" s="1429" t="s">
        <v>988</v>
      </c>
      <c r="J1832" s="2196">
        <v>5</v>
      </c>
    </row>
    <row r="1833" spans="2:10" ht="13.5" thickBot="1" x14ac:dyDescent="0.25">
      <c r="B1833" s="392" t="str">
        <f t="shared" si="57"/>
        <v>U16 - BLANCO Jesús</v>
      </c>
      <c r="C1833" s="1441" t="str">
        <f t="shared" si="58"/>
        <v>BLANCO Jesús</v>
      </c>
      <c r="D1833" s="1428" t="s">
        <v>13211</v>
      </c>
      <c r="E1833" s="1429">
        <v>70</v>
      </c>
      <c r="F1833" s="1430" t="s">
        <v>18201</v>
      </c>
      <c r="G1833" s="1431" t="s">
        <v>3575</v>
      </c>
      <c r="H1833" s="1430" t="s">
        <v>7304</v>
      </c>
      <c r="I1833" s="1429" t="s">
        <v>1015</v>
      </c>
      <c r="J1833" s="2196">
        <v>5</v>
      </c>
    </row>
    <row r="1834" spans="2:10" ht="13.5" thickBot="1" x14ac:dyDescent="0.25">
      <c r="B1834" s="392" t="str">
        <f t="shared" si="57"/>
        <v>U16 - BARONE SÁNCHEZ Diego</v>
      </c>
      <c r="C1834" s="1441" t="str">
        <f t="shared" si="58"/>
        <v>BARONE SÁNCHEZ Diego</v>
      </c>
      <c r="D1834" s="1428" t="s">
        <v>13211</v>
      </c>
      <c r="E1834" s="1429">
        <v>70</v>
      </c>
      <c r="F1834" s="1430" t="s">
        <v>16881</v>
      </c>
      <c r="G1834" s="1431" t="s">
        <v>3373</v>
      </c>
      <c r="H1834" s="1430" t="s">
        <v>14454</v>
      </c>
      <c r="I1834" s="1429" t="s">
        <v>1015</v>
      </c>
      <c r="J1834" s="2196">
        <v>5</v>
      </c>
    </row>
    <row r="1835" spans="2:10" ht="13.5" thickBot="1" x14ac:dyDescent="0.25">
      <c r="B1835" s="392" t="str">
        <f t="shared" si="57"/>
        <v>U16 - PASSINI Manuel</v>
      </c>
      <c r="C1835" s="1441" t="str">
        <f t="shared" si="58"/>
        <v>PASSINI Manuel</v>
      </c>
      <c r="D1835" s="1428" t="s">
        <v>13211</v>
      </c>
      <c r="E1835" s="1429">
        <v>70</v>
      </c>
      <c r="F1835" s="1430" t="s">
        <v>18202</v>
      </c>
      <c r="G1835" s="1431" t="s">
        <v>3171</v>
      </c>
      <c r="H1835" s="1430" t="s">
        <v>15232</v>
      </c>
      <c r="I1835" s="1429" t="s">
        <v>1037</v>
      </c>
      <c r="J1835" s="2196">
        <v>5</v>
      </c>
    </row>
    <row r="1836" spans="2:10" ht="13.5" thickBot="1" x14ac:dyDescent="0.25">
      <c r="B1836" s="392" t="str">
        <f t="shared" si="57"/>
        <v>U16 - HAAS Johannes</v>
      </c>
      <c r="C1836" s="1441" t="str">
        <f t="shared" si="58"/>
        <v>HAAS Johannes</v>
      </c>
      <c r="D1836" s="1428" t="s">
        <v>13211</v>
      </c>
      <c r="E1836" s="1429">
        <v>70</v>
      </c>
      <c r="F1836" s="1430" t="s">
        <v>3030</v>
      </c>
      <c r="G1836" s="1431" t="s">
        <v>15646</v>
      </c>
      <c r="H1836" s="1430" t="s">
        <v>14359</v>
      </c>
      <c r="I1836" s="1429" t="s">
        <v>988</v>
      </c>
      <c r="J1836" s="2196">
        <v>5</v>
      </c>
    </row>
    <row r="1837" spans="2:10" ht="13.5" thickBot="1" x14ac:dyDescent="0.25">
      <c r="B1837" s="392" t="str">
        <f t="shared" si="57"/>
        <v>U16 - SALATINO Daniele</v>
      </c>
      <c r="C1837" s="1441" t="str">
        <f t="shared" si="58"/>
        <v>SALATINO Daniele</v>
      </c>
      <c r="D1837" s="1428" t="s">
        <v>13211</v>
      </c>
      <c r="E1837" s="1429">
        <v>79</v>
      </c>
      <c r="F1837" s="1430" t="s">
        <v>16806</v>
      </c>
      <c r="G1837" s="1431" t="s">
        <v>3022</v>
      </c>
      <c r="H1837" s="1430" t="s">
        <v>10274</v>
      </c>
      <c r="I1837" s="1429" t="s">
        <v>1037</v>
      </c>
      <c r="J1837" s="2196">
        <v>4</v>
      </c>
    </row>
    <row r="1838" spans="2:10" ht="13.5" thickBot="1" x14ac:dyDescent="0.25">
      <c r="B1838" s="392" t="str">
        <f t="shared" si="57"/>
        <v>U16 - CHANOS Michail K</v>
      </c>
      <c r="C1838" s="1441" t="str">
        <f t="shared" si="58"/>
        <v>CHANOS Michail K</v>
      </c>
      <c r="D1838" s="1428" t="s">
        <v>13211</v>
      </c>
      <c r="E1838" s="1429">
        <v>79</v>
      </c>
      <c r="F1838" s="1430" t="s">
        <v>11184</v>
      </c>
      <c r="G1838" s="1431" t="s">
        <v>10062</v>
      </c>
      <c r="H1838" s="1430" t="s">
        <v>14596</v>
      </c>
      <c r="I1838" s="1429" t="s">
        <v>1025</v>
      </c>
      <c r="J1838" s="2196">
        <v>4</v>
      </c>
    </row>
    <row r="1839" spans="2:10" ht="13.5" thickBot="1" x14ac:dyDescent="0.25">
      <c r="B1839" s="392" t="str">
        <f t="shared" si="57"/>
        <v>U16 - GUYAUX Adam</v>
      </c>
      <c r="C1839" s="1441" t="str">
        <f t="shared" si="58"/>
        <v>GUYAUX Adam</v>
      </c>
      <c r="D1839" s="1428" t="s">
        <v>13211</v>
      </c>
      <c r="E1839" s="1429">
        <v>79</v>
      </c>
      <c r="F1839" s="1430" t="s">
        <v>18193</v>
      </c>
      <c r="G1839" s="1431" t="s">
        <v>3502</v>
      </c>
      <c r="H1839" s="1430" t="s">
        <v>10254</v>
      </c>
      <c r="I1839" s="1429" t="s">
        <v>990</v>
      </c>
      <c r="J1839" s="2196">
        <v>4</v>
      </c>
    </row>
    <row r="1840" spans="2:10" ht="13.5" thickBot="1" x14ac:dyDescent="0.25">
      <c r="B1840" s="392" t="str">
        <f t="shared" si="57"/>
        <v>U16 - BARATTUCCI Alberto</v>
      </c>
      <c r="C1840" s="1441" t="str">
        <f t="shared" si="58"/>
        <v>BARATTUCCI Alberto</v>
      </c>
      <c r="D1840" s="1428" t="s">
        <v>13211</v>
      </c>
      <c r="E1840" s="1429">
        <v>79</v>
      </c>
      <c r="F1840" s="1430" t="s">
        <v>18136</v>
      </c>
      <c r="G1840" s="1431" t="s">
        <v>3042</v>
      </c>
      <c r="H1840" s="1430" t="s">
        <v>11327</v>
      </c>
      <c r="I1840" s="1429" t="s">
        <v>1037</v>
      </c>
      <c r="J1840" s="2196">
        <v>4</v>
      </c>
    </row>
    <row r="1841" spans="2:10" ht="13.5" thickBot="1" x14ac:dyDescent="0.25">
      <c r="B1841" s="392" t="str">
        <f t="shared" si="57"/>
        <v>U16 - BINTE NORIZAL Naomi Bilqis</v>
      </c>
      <c r="C1841" s="1441" t="str">
        <f t="shared" si="58"/>
        <v>BINTE NORIZAL Naomi Bilqis</v>
      </c>
      <c r="D1841" s="1428" t="s">
        <v>13211</v>
      </c>
      <c r="E1841" s="1429">
        <v>83</v>
      </c>
      <c r="F1841" s="1430" t="s">
        <v>18144</v>
      </c>
      <c r="G1841" s="1431" t="s">
        <v>18057</v>
      </c>
      <c r="H1841" s="1430" t="s">
        <v>7270</v>
      </c>
      <c r="I1841" s="1429" t="s">
        <v>7916</v>
      </c>
      <c r="J1841" s="2196">
        <v>3</v>
      </c>
    </row>
    <row r="1842" spans="2:10" ht="13.5" thickBot="1" x14ac:dyDescent="0.25">
      <c r="B1842" s="392" t="str">
        <f t="shared" si="57"/>
        <v>U16 - RAHMAN Max</v>
      </c>
      <c r="C1842" s="1441" t="str">
        <f t="shared" si="58"/>
        <v>RAHMAN Max</v>
      </c>
      <c r="D1842" s="1428" t="s">
        <v>13211</v>
      </c>
      <c r="E1842" s="1429">
        <v>83</v>
      </c>
      <c r="F1842" s="1430" t="s">
        <v>16732</v>
      </c>
      <c r="G1842" s="1431" t="s">
        <v>3710</v>
      </c>
      <c r="H1842" s="1430" t="s">
        <v>17082</v>
      </c>
      <c r="I1842" s="1429" t="s">
        <v>1013</v>
      </c>
      <c r="J1842" s="2196">
        <v>3</v>
      </c>
    </row>
    <row r="1843" spans="2:10" ht="13.5" thickBot="1" x14ac:dyDescent="0.25">
      <c r="B1843" s="392" t="str">
        <f t="shared" si="57"/>
        <v>U16 - CHAPMAN Hadley</v>
      </c>
      <c r="C1843" s="1441" t="str">
        <f t="shared" si="58"/>
        <v>CHAPMAN Hadley</v>
      </c>
      <c r="D1843" s="1428" t="s">
        <v>13211</v>
      </c>
      <c r="E1843" s="1429">
        <v>83</v>
      </c>
      <c r="F1843" s="1430" t="s">
        <v>16730</v>
      </c>
      <c r="G1843" s="1431" t="s">
        <v>15352</v>
      </c>
      <c r="H1843" s="1430" t="s">
        <v>17082</v>
      </c>
      <c r="I1843" s="1429" t="s">
        <v>1013</v>
      </c>
      <c r="J1843" s="2196">
        <v>3</v>
      </c>
    </row>
    <row r="1844" spans="2:10" ht="13.5" thickBot="1" x14ac:dyDescent="0.25">
      <c r="B1844" s="392" t="str">
        <f t="shared" si="57"/>
        <v>U16 - BIN JASMIL Aaryan Irfan</v>
      </c>
      <c r="C1844" s="1441" t="str">
        <f t="shared" si="58"/>
        <v>BIN JASMIL Aaryan Irfan</v>
      </c>
      <c r="D1844" s="1428" t="s">
        <v>13211</v>
      </c>
      <c r="E1844" s="1429">
        <v>83</v>
      </c>
      <c r="F1844" s="1430" t="s">
        <v>18203</v>
      </c>
      <c r="G1844" s="1431" t="s">
        <v>18054</v>
      </c>
      <c r="H1844" s="1430" t="s">
        <v>7270</v>
      </c>
      <c r="I1844" s="1429" t="s">
        <v>7916</v>
      </c>
      <c r="J1844" s="2196">
        <v>3</v>
      </c>
    </row>
    <row r="1845" spans="2:10" ht="13.5" thickBot="1" x14ac:dyDescent="0.25">
      <c r="B1845" s="392" t="str">
        <f t="shared" si="57"/>
        <v>U16 - BOGDANIDIS Dimitris</v>
      </c>
      <c r="C1845" s="1441" t="str">
        <f t="shared" si="58"/>
        <v>BOGDANIDIS Dimitris</v>
      </c>
      <c r="D1845" s="1428" t="s">
        <v>13211</v>
      </c>
      <c r="E1845" s="1429">
        <v>87</v>
      </c>
      <c r="F1845" s="1430" t="s">
        <v>14183</v>
      </c>
      <c r="G1845" s="1431" t="s">
        <v>3099</v>
      </c>
      <c r="H1845" s="1430" t="s">
        <v>17170</v>
      </c>
      <c r="I1845" s="1429" t="s">
        <v>1025</v>
      </c>
      <c r="J1845" s="2196">
        <v>1</v>
      </c>
    </row>
    <row r="1846" spans="2:10" ht="13.5" thickBot="1" x14ac:dyDescent="0.25">
      <c r="B1846" s="392" t="str">
        <f t="shared" si="57"/>
        <v>U16 - RIDGER Samuel</v>
      </c>
      <c r="C1846" s="1441" t="str">
        <f t="shared" si="58"/>
        <v>RIDGER Samuel</v>
      </c>
      <c r="D1846" s="1428" t="s">
        <v>13211</v>
      </c>
      <c r="E1846" s="1429">
        <v>87</v>
      </c>
      <c r="F1846" s="1430" t="s">
        <v>16674</v>
      </c>
      <c r="G1846" s="1431" t="s">
        <v>3015</v>
      </c>
      <c r="H1846" s="1430" t="s">
        <v>17660</v>
      </c>
      <c r="I1846" s="1429" t="s">
        <v>986</v>
      </c>
      <c r="J1846" s="2196">
        <v>1</v>
      </c>
    </row>
    <row r="1847" spans="2:10" ht="13.5" thickBot="1" x14ac:dyDescent="0.25">
      <c r="B1847" s="392" t="str">
        <f t="shared" si="57"/>
        <v>U16 - ACUÑA PADILLA Martí</v>
      </c>
      <c r="C1847" s="1441" t="str">
        <f t="shared" si="58"/>
        <v>ACUÑA PADILLA Martí</v>
      </c>
      <c r="D1847" s="1428" t="s">
        <v>13211</v>
      </c>
      <c r="E1847" s="1429">
        <v>87</v>
      </c>
      <c r="F1847" s="1430" t="s">
        <v>16882</v>
      </c>
      <c r="G1847" s="1431" t="s">
        <v>13233</v>
      </c>
      <c r="H1847" s="1430" t="s">
        <v>2783</v>
      </c>
      <c r="I1847" s="1429" t="s">
        <v>1015</v>
      </c>
      <c r="J1847" s="2196">
        <v>1</v>
      </c>
    </row>
    <row r="1848" spans="2:10" ht="13.5" thickBot="1" x14ac:dyDescent="0.25">
      <c r="B1848" s="392" t="str">
        <f t="shared" si="57"/>
        <v>U16 - SANTOS Guilherme</v>
      </c>
      <c r="C1848" s="1441" t="str">
        <f t="shared" si="58"/>
        <v>SANTOS Guilherme</v>
      </c>
      <c r="D1848" s="1428" t="s">
        <v>13211</v>
      </c>
      <c r="E1848" s="1429">
        <v>87</v>
      </c>
      <c r="F1848" s="1430" t="s">
        <v>3170</v>
      </c>
      <c r="G1848" s="1431" t="s">
        <v>5517</v>
      </c>
      <c r="H1848" s="1430" t="s">
        <v>15138</v>
      </c>
      <c r="I1848" s="1429" t="s">
        <v>1061</v>
      </c>
      <c r="J1848" s="2196">
        <v>1</v>
      </c>
    </row>
    <row r="1849" spans="2:10" ht="13.5" thickBot="1" x14ac:dyDescent="0.25">
      <c r="B1849" s="392" t="str">
        <f t="shared" si="57"/>
        <v>U16 - PHOKOS Gabriel</v>
      </c>
      <c r="C1849" s="1441" t="str">
        <f t="shared" si="58"/>
        <v>PHOKOS Gabriel</v>
      </c>
      <c r="D1849" s="1428" t="s">
        <v>13211</v>
      </c>
      <c r="E1849" s="1429">
        <v>87</v>
      </c>
      <c r="F1849" s="1430" t="s">
        <v>17455</v>
      </c>
      <c r="G1849" s="1431" t="s">
        <v>6887</v>
      </c>
      <c r="H1849" s="1430" t="s">
        <v>17660</v>
      </c>
      <c r="I1849" s="1429" t="s">
        <v>986</v>
      </c>
      <c r="J1849" s="2196">
        <v>1</v>
      </c>
    </row>
    <row r="1850" spans="2:10" ht="13.5" thickBot="1" x14ac:dyDescent="0.25">
      <c r="B1850" s="392" t="str">
        <f t="shared" si="57"/>
        <v>U16 - EBEJER Gabriel</v>
      </c>
      <c r="C1850" s="1441" t="str">
        <f t="shared" si="58"/>
        <v>EBEJER Gabriel</v>
      </c>
      <c r="D1850" s="1428" t="s">
        <v>13211</v>
      </c>
      <c r="E1850" s="1429">
        <v>87</v>
      </c>
      <c r="F1850" s="1430" t="s">
        <v>3161</v>
      </c>
      <c r="G1850" s="1431" t="s">
        <v>6887</v>
      </c>
      <c r="H1850" s="1430" t="s">
        <v>10253</v>
      </c>
      <c r="I1850" s="1429" t="s">
        <v>1045</v>
      </c>
      <c r="J1850" s="2196">
        <v>1</v>
      </c>
    </row>
    <row r="1851" spans="2:10" ht="13.5" thickBot="1" x14ac:dyDescent="0.25">
      <c r="B1851" s="392" t="str">
        <f t="shared" si="57"/>
        <v>U16 - KOTROTSOS Athanasios</v>
      </c>
      <c r="C1851" s="1441" t="str">
        <f t="shared" si="58"/>
        <v>KOTROTSOS Athanasios</v>
      </c>
      <c r="D1851" s="1428" t="s">
        <v>13211</v>
      </c>
      <c r="E1851" s="1429">
        <v>87</v>
      </c>
      <c r="F1851" s="1430" t="s">
        <v>5562</v>
      </c>
      <c r="G1851" s="1431" t="s">
        <v>3472</v>
      </c>
      <c r="H1851" s="1430" t="s">
        <v>3213</v>
      </c>
      <c r="I1851" s="1429" t="s">
        <v>1025</v>
      </c>
      <c r="J1851" s="2196">
        <v>1</v>
      </c>
    </row>
    <row r="1852" spans="2:10" ht="13.5" thickBot="1" x14ac:dyDescent="0.25">
      <c r="B1852" s="392" t="str">
        <f t="shared" si="57"/>
        <v>U16 - KANDA Kotetsu</v>
      </c>
      <c r="C1852" s="1441" t="str">
        <f t="shared" si="58"/>
        <v>KANDA Kotetsu</v>
      </c>
      <c r="D1852" s="1428" t="s">
        <v>13211</v>
      </c>
      <c r="E1852" s="1429">
        <v>87</v>
      </c>
      <c r="F1852" s="1430" t="s">
        <v>16646</v>
      </c>
      <c r="G1852" s="1431" t="s">
        <v>15724</v>
      </c>
      <c r="H1852" s="1430" t="s">
        <v>17235</v>
      </c>
      <c r="I1852" s="1429" t="s">
        <v>1041</v>
      </c>
      <c r="J1852" s="2196">
        <v>1</v>
      </c>
    </row>
    <row r="1853" spans="2:10" ht="13.5" thickBot="1" x14ac:dyDescent="0.25">
      <c r="B1853" s="392" t="str">
        <f t="shared" si="57"/>
        <v>U16 - ACUÑA PADILLA Adrià</v>
      </c>
      <c r="C1853" s="1441" t="str">
        <f t="shared" si="58"/>
        <v>ACUÑA PADILLA Adrià</v>
      </c>
      <c r="D1853" s="1428" t="s">
        <v>13211</v>
      </c>
      <c r="E1853" s="1429">
        <v>87</v>
      </c>
      <c r="F1853" s="1430" t="s">
        <v>16882</v>
      </c>
      <c r="G1853" s="1431" t="s">
        <v>16883</v>
      </c>
      <c r="H1853" s="1430" t="s">
        <v>2783</v>
      </c>
      <c r="I1853" s="1429" t="s">
        <v>1015</v>
      </c>
      <c r="J1853" s="2196">
        <v>1</v>
      </c>
    </row>
    <row r="1854" spans="2:10" ht="13.5" thickBot="1" x14ac:dyDescent="0.25">
      <c r="B1854" s="392" t="str">
        <f t="shared" si="57"/>
        <v>U12 - BALITO Davide</v>
      </c>
      <c r="C1854" s="1441" t="str">
        <f t="shared" si="58"/>
        <v>BALITO Davide</v>
      </c>
      <c r="D1854" s="1428" t="s">
        <v>1563</v>
      </c>
      <c r="E1854" s="1429">
        <v>1</v>
      </c>
      <c r="F1854" s="1430" t="s">
        <v>14316</v>
      </c>
      <c r="G1854" s="1431" t="s">
        <v>3329</v>
      </c>
      <c r="H1854" s="1430" t="s">
        <v>9702</v>
      </c>
      <c r="I1854" s="1429" t="s">
        <v>1037</v>
      </c>
      <c r="J1854" s="2196">
        <v>692.5</v>
      </c>
    </row>
    <row r="1855" spans="2:10" ht="13.5" thickBot="1" x14ac:dyDescent="0.25">
      <c r="B1855" s="392" t="str">
        <f t="shared" si="57"/>
        <v>U12 - BOGDANIDIS Dimitris</v>
      </c>
      <c r="C1855" s="1441" t="str">
        <f t="shared" si="58"/>
        <v>BOGDANIDIS Dimitris</v>
      </c>
      <c r="D1855" s="1428" t="s">
        <v>1563</v>
      </c>
      <c r="E1855" s="1429">
        <v>2</v>
      </c>
      <c r="F1855" s="1430" t="s">
        <v>14183</v>
      </c>
      <c r="G1855" s="1431" t="s">
        <v>3099</v>
      </c>
      <c r="H1855" s="1430" t="s">
        <v>17170</v>
      </c>
      <c r="I1855" s="1429" t="s">
        <v>1025</v>
      </c>
      <c r="J1855" s="2196">
        <v>624</v>
      </c>
    </row>
    <row r="1856" spans="2:10" ht="13.5" thickBot="1" x14ac:dyDescent="0.25">
      <c r="B1856" s="392" t="str">
        <f t="shared" si="57"/>
        <v>U12 - DIMAKEAS Apollon</v>
      </c>
      <c r="C1856" s="1441" t="str">
        <f t="shared" si="58"/>
        <v>DIMAKEAS Apollon</v>
      </c>
      <c r="D1856" s="1428" t="s">
        <v>1563</v>
      </c>
      <c r="E1856" s="1429">
        <v>3</v>
      </c>
      <c r="F1856" s="1430" t="s">
        <v>3444</v>
      </c>
      <c r="G1856" s="1431" t="s">
        <v>8768</v>
      </c>
      <c r="H1856" s="1430" t="s">
        <v>3213</v>
      </c>
      <c r="I1856" s="1429" t="s">
        <v>1025</v>
      </c>
      <c r="J1856" s="2196">
        <v>623.5</v>
      </c>
    </row>
    <row r="1857" spans="2:10" ht="13.5" thickBot="1" x14ac:dyDescent="0.25">
      <c r="B1857" s="392" t="str">
        <f t="shared" si="57"/>
        <v>U12 - LEDOIT Augustin</v>
      </c>
      <c r="C1857" s="1441" t="str">
        <f t="shared" si="58"/>
        <v>LEDOIT Augustin</v>
      </c>
      <c r="D1857" s="1428" t="s">
        <v>1563</v>
      </c>
      <c r="E1857" s="1429">
        <v>4</v>
      </c>
      <c r="F1857" s="1430" t="s">
        <v>14531</v>
      </c>
      <c r="G1857" s="1431" t="s">
        <v>15613</v>
      </c>
      <c r="H1857" s="1430" t="s">
        <v>15269</v>
      </c>
      <c r="I1857" s="1429" t="s">
        <v>1019</v>
      </c>
      <c r="J1857" s="2196">
        <v>594.5</v>
      </c>
    </row>
    <row r="1858" spans="2:10" ht="13.5" thickBot="1" x14ac:dyDescent="0.25">
      <c r="B1858" s="392" t="str">
        <f t="shared" si="57"/>
        <v>U12 - CHIAPPETTA Gabriel</v>
      </c>
      <c r="C1858" s="1441" t="str">
        <f t="shared" si="58"/>
        <v>CHIAPPETTA Gabriel</v>
      </c>
      <c r="D1858" s="1428" t="s">
        <v>1563</v>
      </c>
      <c r="E1858" s="1429">
        <v>5</v>
      </c>
      <c r="F1858" s="1430" t="s">
        <v>14496</v>
      </c>
      <c r="G1858" s="1431" t="s">
        <v>6887</v>
      </c>
      <c r="H1858" s="1430" t="s">
        <v>15269</v>
      </c>
      <c r="I1858" s="1429" t="s">
        <v>1019</v>
      </c>
      <c r="J1858" s="2196">
        <v>589</v>
      </c>
    </row>
    <row r="1859" spans="2:10" ht="13.5" thickBot="1" x14ac:dyDescent="0.25">
      <c r="B1859" s="392" t="str">
        <f t="shared" si="57"/>
        <v>U12 - JORIS Martin</v>
      </c>
      <c r="C1859" s="1441" t="str">
        <f t="shared" si="58"/>
        <v>JORIS Martin</v>
      </c>
      <c r="D1859" s="1428" t="s">
        <v>1563</v>
      </c>
      <c r="E1859" s="1429">
        <v>6</v>
      </c>
      <c r="F1859" s="1430" t="s">
        <v>16812</v>
      </c>
      <c r="G1859" s="1431" t="s">
        <v>3408</v>
      </c>
      <c r="H1859" s="1430" t="s">
        <v>15681</v>
      </c>
      <c r="I1859" s="1429" t="s">
        <v>990</v>
      </c>
      <c r="J1859" s="2196">
        <v>490</v>
      </c>
    </row>
    <row r="1860" spans="2:10" ht="13.5" thickBot="1" x14ac:dyDescent="0.25">
      <c r="B1860" s="392" t="str">
        <f t="shared" si="57"/>
        <v>U12 - ROSA Julià</v>
      </c>
      <c r="C1860" s="1441" t="str">
        <f t="shared" si="58"/>
        <v>ROSA Julià</v>
      </c>
      <c r="D1860" s="1428" t="s">
        <v>1563</v>
      </c>
      <c r="E1860" s="1429">
        <v>7</v>
      </c>
      <c r="F1860" s="1430" t="s">
        <v>14167</v>
      </c>
      <c r="G1860" s="1431" t="s">
        <v>13824</v>
      </c>
      <c r="H1860" s="1430" t="s">
        <v>14451</v>
      </c>
      <c r="I1860" s="1429" t="s">
        <v>1015</v>
      </c>
      <c r="J1860" s="2196">
        <v>462</v>
      </c>
    </row>
    <row r="1861" spans="2:10" ht="13.5" thickBot="1" x14ac:dyDescent="0.25">
      <c r="B1861" s="392" t="str">
        <f t="shared" si="57"/>
        <v>U12 - SALATINO Daniele</v>
      </c>
      <c r="C1861" s="1441" t="str">
        <f t="shared" si="58"/>
        <v>SALATINO Daniele</v>
      </c>
      <c r="D1861" s="1428" t="s">
        <v>1563</v>
      </c>
      <c r="E1861" s="1429">
        <v>8</v>
      </c>
      <c r="F1861" s="1430" t="s">
        <v>16806</v>
      </c>
      <c r="G1861" s="1431" t="s">
        <v>3022</v>
      </c>
      <c r="H1861" s="1430" t="s">
        <v>10274</v>
      </c>
      <c r="I1861" s="1429" t="s">
        <v>1037</v>
      </c>
      <c r="J1861" s="2196">
        <v>415.5</v>
      </c>
    </row>
    <row r="1862" spans="2:10" ht="13.5" thickBot="1" x14ac:dyDescent="0.25">
      <c r="B1862" s="392" t="str">
        <f t="shared" si="57"/>
        <v>U12 - DENNE Mael</v>
      </c>
      <c r="C1862" s="1441" t="str">
        <f t="shared" si="58"/>
        <v>DENNE Mael</v>
      </c>
      <c r="D1862" s="1428" t="s">
        <v>1563</v>
      </c>
      <c r="E1862" s="1429">
        <v>9</v>
      </c>
      <c r="F1862" s="1430" t="s">
        <v>14222</v>
      </c>
      <c r="G1862" s="1431" t="s">
        <v>13658</v>
      </c>
      <c r="H1862" s="1430" t="s">
        <v>5301</v>
      </c>
      <c r="I1862" s="1429" t="s">
        <v>990</v>
      </c>
      <c r="J1862" s="2196">
        <v>398.5</v>
      </c>
    </row>
    <row r="1863" spans="2:10" ht="13.5" thickBot="1" x14ac:dyDescent="0.25">
      <c r="B1863" s="392" t="str">
        <f t="shared" ref="B1863:B1926" si="59">CONCATENATE(D1863," - ",C1863)</f>
        <v>U12 - HAAS Johannes</v>
      </c>
      <c r="C1863" s="1441" t="str">
        <f t="shared" si="58"/>
        <v>HAAS Johannes</v>
      </c>
      <c r="D1863" s="1428" t="s">
        <v>1563</v>
      </c>
      <c r="E1863" s="1429">
        <v>10</v>
      </c>
      <c r="F1863" s="1430" t="s">
        <v>3030</v>
      </c>
      <c r="G1863" s="1431" t="s">
        <v>15646</v>
      </c>
      <c r="H1863" s="1430" t="s">
        <v>14359</v>
      </c>
      <c r="I1863" s="1429" t="s">
        <v>988</v>
      </c>
      <c r="J1863" s="2196">
        <v>380.5</v>
      </c>
    </row>
    <row r="1864" spans="2:10" ht="13.5" thickBot="1" x14ac:dyDescent="0.25">
      <c r="B1864" s="392" t="str">
        <f t="shared" si="59"/>
        <v>U12 - KONIDARIS Konstantinos</v>
      </c>
      <c r="C1864" s="1441" t="str">
        <f t="shared" si="58"/>
        <v>KONIDARIS Konstantinos</v>
      </c>
      <c r="D1864" s="1428" t="s">
        <v>1563</v>
      </c>
      <c r="E1864" s="1429">
        <v>11</v>
      </c>
      <c r="F1864" s="1430" t="s">
        <v>14974</v>
      </c>
      <c r="G1864" s="1431" t="s">
        <v>6986</v>
      </c>
      <c r="H1864" s="1430" t="s">
        <v>3213</v>
      </c>
      <c r="I1864" s="1429" t="s">
        <v>1025</v>
      </c>
      <c r="J1864" s="2196">
        <v>328.5</v>
      </c>
    </row>
    <row r="1865" spans="2:10" ht="13.5" thickBot="1" x14ac:dyDescent="0.25">
      <c r="B1865" s="392" t="str">
        <f t="shared" si="59"/>
        <v>U12 - KANDA Kotetsu</v>
      </c>
      <c r="C1865" s="1441" t="str">
        <f t="shared" si="58"/>
        <v>KANDA Kotetsu</v>
      </c>
      <c r="D1865" s="1428" t="s">
        <v>1563</v>
      </c>
      <c r="E1865" s="1429">
        <v>12</v>
      </c>
      <c r="F1865" s="1430" t="s">
        <v>16646</v>
      </c>
      <c r="G1865" s="1431" t="s">
        <v>15724</v>
      </c>
      <c r="H1865" s="1430" t="s">
        <v>17235</v>
      </c>
      <c r="I1865" s="1429" t="s">
        <v>1041</v>
      </c>
      <c r="J1865" s="2196">
        <v>318</v>
      </c>
    </row>
    <row r="1866" spans="2:10" ht="13.5" thickBot="1" x14ac:dyDescent="0.25">
      <c r="B1866" s="392" t="str">
        <f t="shared" si="59"/>
        <v>U12 - BONDI Clément</v>
      </c>
      <c r="C1866" s="1441" t="str">
        <f t="shared" si="58"/>
        <v>BONDI Clément</v>
      </c>
      <c r="D1866" s="1428" t="s">
        <v>1563</v>
      </c>
      <c r="E1866" s="1429">
        <v>13</v>
      </c>
      <c r="F1866" s="1430" t="s">
        <v>14482</v>
      </c>
      <c r="G1866" s="1431" t="s">
        <v>14483</v>
      </c>
      <c r="H1866" s="1430" t="s">
        <v>14485</v>
      </c>
      <c r="I1866" s="1429" t="s">
        <v>1019</v>
      </c>
      <c r="J1866" s="2196">
        <v>307</v>
      </c>
    </row>
    <row r="1867" spans="2:10" ht="13.5" thickBot="1" x14ac:dyDescent="0.25">
      <c r="B1867" s="392" t="str">
        <f t="shared" si="59"/>
        <v>U12 - REGUERA MUÑOZ Gonzalo</v>
      </c>
      <c r="C1867" s="1441" t="str">
        <f t="shared" si="58"/>
        <v>REGUERA MUÑOZ Gonzalo</v>
      </c>
      <c r="D1867" s="1428" t="s">
        <v>1563</v>
      </c>
      <c r="E1867" s="1429">
        <v>14</v>
      </c>
      <c r="F1867" s="1430" t="s">
        <v>16745</v>
      </c>
      <c r="G1867" s="1431" t="s">
        <v>3403</v>
      </c>
      <c r="H1867" s="1430" t="s">
        <v>7871</v>
      </c>
      <c r="I1867" s="1429" t="s">
        <v>1015</v>
      </c>
      <c r="J1867" s="2196">
        <v>276.5</v>
      </c>
    </row>
    <row r="1868" spans="2:10" ht="13.5" thickBot="1" x14ac:dyDescent="0.25">
      <c r="B1868" s="392" t="str">
        <f t="shared" si="59"/>
        <v>U12 - GOFFIN Mathis</v>
      </c>
      <c r="C1868" s="1441" t="str">
        <f t="shared" si="58"/>
        <v>GOFFIN Mathis</v>
      </c>
      <c r="D1868" s="1428" t="s">
        <v>1563</v>
      </c>
      <c r="E1868" s="1429">
        <v>15</v>
      </c>
      <c r="F1868" s="1430" t="s">
        <v>17632</v>
      </c>
      <c r="G1868" s="1431" t="s">
        <v>15614</v>
      </c>
      <c r="H1868" s="1430" t="s">
        <v>5301</v>
      </c>
      <c r="I1868" s="1429" t="s">
        <v>990</v>
      </c>
      <c r="J1868" s="2196">
        <v>273</v>
      </c>
    </row>
    <row r="1869" spans="2:10" ht="13.5" thickBot="1" x14ac:dyDescent="0.25">
      <c r="B1869" s="392" t="str">
        <f t="shared" si="59"/>
        <v>U12 - MURABITO Samuele</v>
      </c>
      <c r="C1869" s="1441" t="str">
        <f t="shared" si="58"/>
        <v>MURABITO Samuele</v>
      </c>
      <c r="D1869" s="1428" t="s">
        <v>1563</v>
      </c>
      <c r="E1869" s="1429">
        <v>16</v>
      </c>
      <c r="F1869" s="1430" t="s">
        <v>16558</v>
      </c>
      <c r="G1869" s="1431" t="s">
        <v>5648</v>
      </c>
      <c r="H1869" s="1430" t="s">
        <v>15290</v>
      </c>
      <c r="I1869" s="1429" t="s">
        <v>1037</v>
      </c>
      <c r="J1869" s="2196">
        <v>240</v>
      </c>
    </row>
    <row r="1870" spans="2:10" ht="13.5" thickBot="1" x14ac:dyDescent="0.25">
      <c r="B1870" s="392" t="str">
        <f t="shared" si="59"/>
        <v>U12 - COPPOLINO Samuele</v>
      </c>
      <c r="C1870" s="1441" t="str">
        <f t="shared" si="58"/>
        <v>COPPOLINO Samuele</v>
      </c>
      <c r="D1870" s="1428" t="s">
        <v>1563</v>
      </c>
      <c r="E1870" s="1429">
        <v>17</v>
      </c>
      <c r="F1870" s="1430" t="s">
        <v>16808</v>
      </c>
      <c r="G1870" s="1431" t="s">
        <v>5648</v>
      </c>
      <c r="H1870" s="1430" t="s">
        <v>14879</v>
      </c>
      <c r="I1870" s="1429" t="s">
        <v>1037</v>
      </c>
      <c r="J1870" s="2196">
        <v>225</v>
      </c>
    </row>
    <row r="1871" spans="2:10" ht="13.5" thickBot="1" x14ac:dyDescent="0.25">
      <c r="B1871" s="392" t="str">
        <f t="shared" si="59"/>
        <v>U12 - SANFILIPPO Alessio</v>
      </c>
      <c r="C1871" s="1441" t="str">
        <f t="shared" si="58"/>
        <v>SANFILIPPO Alessio</v>
      </c>
      <c r="D1871" s="1428" t="s">
        <v>1563</v>
      </c>
      <c r="E1871" s="1429">
        <v>17</v>
      </c>
      <c r="F1871" s="1430" t="s">
        <v>16884</v>
      </c>
      <c r="G1871" s="1431" t="s">
        <v>3550</v>
      </c>
      <c r="H1871" s="1430" t="s">
        <v>15290</v>
      </c>
      <c r="I1871" s="1429" t="s">
        <v>1037</v>
      </c>
      <c r="J1871" s="2196">
        <v>225</v>
      </c>
    </row>
    <row r="1872" spans="2:10" ht="13.5" thickBot="1" x14ac:dyDescent="0.25">
      <c r="B1872" s="392" t="str">
        <f t="shared" si="59"/>
        <v>U12 - MAZZILLI Edoardo</v>
      </c>
      <c r="C1872" s="1441" t="str">
        <f t="shared" si="58"/>
        <v>MAZZILLI Edoardo</v>
      </c>
      <c r="D1872" s="1428" t="s">
        <v>1563</v>
      </c>
      <c r="E1872" s="1429">
        <v>17</v>
      </c>
      <c r="F1872" s="1430" t="s">
        <v>16594</v>
      </c>
      <c r="G1872" s="1431" t="s">
        <v>3558</v>
      </c>
      <c r="H1872" s="1430" t="s">
        <v>7876</v>
      </c>
      <c r="I1872" s="1429" t="s">
        <v>1037</v>
      </c>
      <c r="J1872" s="2196">
        <v>225</v>
      </c>
    </row>
    <row r="1873" spans="2:10" ht="13.5" thickBot="1" x14ac:dyDescent="0.25">
      <c r="B1873" s="392" t="str">
        <f t="shared" si="59"/>
        <v>U12 - ANTÚNEZ Antonio</v>
      </c>
      <c r="C1873" s="1441" t="str">
        <f t="shared" si="58"/>
        <v>ANTÚNEZ Antonio</v>
      </c>
      <c r="D1873" s="1428" t="s">
        <v>1563</v>
      </c>
      <c r="E1873" s="1429">
        <v>20</v>
      </c>
      <c r="F1873" s="1430" t="s">
        <v>14247</v>
      </c>
      <c r="G1873" s="1431" t="s">
        <v>3341</v>
      </c>
      <c r="H1873" s="1430" t="s">
        <v>7304</v>
      </c>
      <c r="I1873" s="1429" t="s">
        <v>1015</v>
      </c>
      <c r="J1873" s="2196">
        <v>215</v>
      </c>
    </row>
    <row r="1874" spans="2:10" ht="13.5" thickBot="1" x14ac:dyDescent="0.25">
      <c r="B1874" s="392" t="str">
        <f t="shared" si="59"/>
        <v>U12 - LAVRAKIS Marios</v>
      </c>
      <c r="C1874" s="1441" t="str">
        <f t="shared" si="58"/>
        <v>LAVRAKIS Marios</v>
      </c>
      <c r="D1874" s="1428" t="s">
        <v>1563</v>
      </c>
      <c r="E1874" s="1429">
        <v>21</v>
      </c>
      <c r="F1874" s="1430" t="s">
        <v>14189</v>
      </c>
      <c r="G1874" s="1431" t="s">
        <v>3557</v>
      </c>
      <c r="H1874" s="1430" t="s">
        <v>9449</v>
      </c>
      <c r="I1874" s="1429" t="s">
        <v>1025</v>
      </c>
      <c r="J1874" s="2196">
        <v>210.5</v>
      </c>
    </row>
    <row r="1875" spans="2:10" ht="13.5" thickBot="1" x14ac:dyDescent="0.25">
      <c r="B1875" s="392" t="str">
        <f t="shared" si="59"/>
        <v>U12 - MARTINELLI Antonio</v>
      </c>
      <c r="C1875" s="1441" t="str">
        <f t="shared" si="58"/>
        <v>MARTINELLI Antonio</v>
      </c>
      <c r="D1875" s="1428" t="s">
        <v>1563</v>
      </c>
      <c r="E1875" s="1429">
        <v>22</v>
      </c>
      <c r="F1875" s="1430" t="s">
        <v>16813</v>
      </c>
      <c r="G1875" s="1431" t="s">
        <v>3341</v>
      </c>
      <c r="H1875" s="1430" t="s">
        <v>10274</v>
      </c>
      <c r="I1875" s="1429" t="s">
        <v>1037</v>
      </c>
      <c r="J1875" s="2196">
        <v>183.5</v>
      </c>
    </row>
    <row r="1876" spans="2:10" ht="13.5" thickBot="1" x14ac:dyDescent="0.25">
      <c r="B1876" s="392" t="str">
        <f t="shared" si="59"/>
        <v>U12 - MARCHÁN Alberto</v>
      </c>
      <c r="C1876" s="1441" t="str">
        <f t="shared" si="58"/>
        <v>MARCHÁN Alberto</v>
      </c>
      <c r="D1876" s="1428" t="s">
        <v>1563</v>
      </c>
      <c r="E1876" s="1429">
        <v>23</v>
      </c>
      <c r="F1876" s="1430" t="s">
        <v>16810</v>
      </c>
      <c r="G1876" s="1431" t="s">
        <v>3042</v>
      </c>
      <c r="H1876" s="1430" t="s">
        <v>7304</v>
      </c>
      <c r="I1876" s="1429" t="s">
        <v>1015</v>
      </c>
      <c r="J1876" s="2196">
        <v>175</v>
      </c>
    </row>
    <row r="1877" spans="2:10" ht="13.5" thickBot="1" x14ac:dyDescent="0.25">
      <c r="B1877" s="392" t="str">
        <f t="shared" si="59"/>
        <v>U12 - ZERDILAS Charalambos</v>
      </c>
      <c r="C1877" s="1441" t="str">
        <f t="shared" si="58"/>
        <v>ZERDILAS Charalambos</v>
      </c>
      <c r="D1877" s="1428" t="s">
        <v>1563</v>
      </c>
      <c r="E1877" s="1429">
        <v>24</v>
      </c>
      <c r="F1877" s="1430" t="s">
        <v>16809</v>
      </c>
      <c r="G1877" s="1431" t="s">
        <v>3493</v>
      </c>
      <c r="H1877" s="1430" t="s">
        <v>3213</v>
      </c>
      <c r="I1877" s="1429" t="s">
        <v>1025</v>
      </c>
      <c r="J1877" s="2196">
        <v>162</v>
      </c>
    </row>
    <row r="1878" spans="2:10" ht="13.5" thickBot="1" x14ac:dyDescent="0.25">
      <c r="B1878" s="392" t="str">
        <f t="shared" si="59"/>
        <v>U12 - AVERNA Marco</v>
      </c>
      <c r="C1878" s="1441" t="str">
        <f t="shared" si="58"/>
        <v>AVERNA Marco</v>
      </c>
      <c r="D1878" s="1428" t="s">
        <v>1563</v>
      </c>
      <c r="E1878" s="1429">
        <v>25</v>
      </c>
      <c r="F1878" s="1430" t="s">
        <v>16768</v>
      </c>
      <c r="G1878" s="1431" t="s">
        <v>3109</v>
      </c>
      <c r="H1878" s="1430" t="s">
        <v>16490</v>
      </c>
      <c r="I1878" s="1429" t="s">
        <v>1037</v>
      </c>
      <c r="J1878" s="2196">
        <v>150</v>
      </c>
    </row>
    <row r="1879" spans="2:10" ht="13.5" thickBot="1" x14ac:dyDescent="0.25">
      <c r="B1879" s="392" t="str">
        <f t="shared" si="59"/>
        <v>U12 - BRIGNON-KIEGL Isaac</v>
      </c>
      <c r="C1879" s="1441" t="str">
        <f t="shared" si="58"/>
        <v>BRIGNON-KIEGL Isaac</v>
      </c>
      <c r="D1879" s="1428" t="s">
        <v>1563</v>
      </c>
      <c r="E1879" s="1429">
        <v>26</v>
      </c>
      <c r="F1879" s="1430" t="s">
        <v>16811</v>
      </c>
      <c r="G1879" s="1431" t="s">
        <v>3460</v>
      </c>
      <c r="H1879" s="1430" t="s">
        <v>15269</v>
      </c>
      <c r="I1879" s="1429" t="s">
        <v>1019</v>
      </c>
      <c r="J1879" s="2196">
        <v>121.5</v>
      </c>
    </row>
    <row r="1880" spans="2:10" ht="13.5" thickBot="1" x14ac:dyDescent="0.25">
      <c r="B1880" s="392" t="str">
        <f t="shared" si="59"/>
        <v>U12 - KORDANTONOPOULOS Phillipos</v>
      </c>
      <c r="C1880" s="1441" t="str">
        <f t="shared" si="58"/>
        <v>KORDANTONOPOULOS Phillipos</v>
      </c>
      <c r="D1880" s="1428" t="s">
        <v>1563</v>
      </c>
      <c r="E1880" s="1429">
        <v>27</v>
      </c>
      <c r="F1880" s="1430" t="s">
        <v>3343</v>
      </c>
      <c r="G1880" s="1431" t="s">
        <v>15765</v>
      </c>
      <c r="H1880" s="1430" t="s">
        <v>3213</v>
      </c>
      <c r="I1880" s="1429" t="s">
        <v>1025</v>
      </c>
      <c r="J1880" s="2196">
        <v>114</v>
      </c>
    </row>
    <row r="1881" spans="2:10" ht="13.5" thickBot="1" x14ac:dyDescent="0.25">
      <c r="B1881" s="392" t="str">
        <f t="shared" si="59"/>
        <v>U12 - MÁRQUEZ GALISTEO Owen</v>
      </c>
      <c r="C1881" s="1441" t="str">
        <f t="shared" si="58"/>
        <v>MÁRQUEZ GALISTEO Owen</v>
      </c>
      <c r="D1881" s="1428" t="s">
        <v>1563</v>
      </c>
      <c r="E1881" s="1429">
        <v>28</v>
      </c>
      <c r="F1881" s="1430" t="s">
        <v>16804</v>
      </c>
      <c r="G1881" s="1431" t="s">
        <v>3321</v>
      </c>
      <c r="H1881" s="1430" t="s">
        <v>14451</v>
      </c>
      <c r="I1881" s="1429" t="s">
        <v>1015</v>
      </c>
      <c r="J1881" s="2196">
        <v>108</v>
      </c>
    </row>
    <row r="1882" spans="2:10" ht="13.5" thickBot="1" x14ac:dyDescent="0.25">
      <c r="B1882" s="392" t="str">
        <f t="shared" si="59"/>
        <v>U12 - VERA PALACIOS Miguel</v>
      </c>
      <c r="C1882" s="1441" t="str">
        <f t="shared" si="58"/>
        <v>VERA PALACIOS Miguel</v>
      </c>
      <c r="D1882" s="1428" t="s">
        <v>1563</v>
      </c>
      <c r="E1882" s="1429">
        <v>28</v>
      </c>
      <c r="F1882" s="1430" t="s">
        <v>18204</v>
      </c>
      <c r="G1882" s="1431" t="s">
        <v>3089</v>
      </c>
      <c r="H1882" s="1430" t="s">
        <v>7304</v>
      </c>
      <c r="I1882" s="1429" t="s">
        <v>1015</v>
      </c>
      <c r="J1882" s="2196">
        <v>108</v>
      </c>
    </row>
    <row r="1883" spans="2:10" ht="13.5" thickBot="1" x14ac:dyDescent="0.25">
      <c r="B1883" s="392" t="str">
        <f t="shared" si="59"/>
        <v>U12 - ROSSITTO Aleksandar</v>
      </c>
      <c r="C1883" s="1441" t="str">
        <f t="shared" ref="C1883:C1946" si="60">CONCATENATE(UPPER(F1883)," ",G1883)</f>
        <v>ROSSITTO Aleksandar</v>
      </c>
      <c r="D1883" s="1428" t="s">
        <v>1563</v>
      </c>
      <c r="E1883" s="1429">
        <v>30</v>
      </c>
      <c r="F1883" s="1430" t="s">
        <v>13495</v>
      </c>
      <c r="G1883" s="1431" t="s">
        <v>16146</v>
      </c>
      <c r="H1883" s="1430" t="s">
        <v>10274</v>
      </c>
      <c r="I1883" s="1429" t="s">
        <v>1037</v>
      </c>
      <c r="J1883" s="2196">
        <v>105.5</v>
      </c>
    </row>
    <row r="1884" spans="2:10" ht="13.5" thickBot="1" x14ac:dyDescent="0.25">
      <c r="B1884" s="392" t="str">
        <f t="shared" si="59"/>
        <v>U12 - CHAPMAN Hadley</v>
      </c>
      <c r="C1884" s="1441" t="str">
        <f t="shared" si="60"/>
        <v>CHAPMAN Hadley</v>
      </c>
      <c r="D1884" s="1428" t="s">
        <v>1563</v>
      </c>
      <c r="E1884" s="1429">
        <v>31</v>
      </c>
      <c r="F1884" s="1430" t="s">
        <v>16730</v>
      </c>
      <c r="G1884" s="1431" t="s">
        <v>15352</v>
      </c>
      <c r="H1884" s="1430" t="s">
        <v>17082</v>
      </c>
      <c r="I1884" s="1429" t="s">
        <v>1013</v>
      </c>
      <c r="J1884" s="2196">
        <v>101</v>
      </c>
    </row>
    <row r="1885" spans="2:10" ht="13.5" thickBot="1" x14ac:dyDescent="0.25">
      <c r="B1885" s="392" t="str">
        <f t="shared" si="59"/>
        <v>U12 - PENNATI Simone</v>
      </c>
      <c r="C1885" s="1441" t="str">
        <f t="shared" si="60"/>
        <v>PENNATI Simone</v>
      </c>
      <c r="D1885" s="1428" t="s">
        <v>1563</v>
      </c>
      <c r="E1885" s="1429">
        <v>32</v>
      </c>
      <c r="F1885" s="1430" t="s">
        <v>16816</v>
      </c>
      <c r="G1885" s="1431" t="s">
        <v>3158</v>
      </c>
      <c r="H1885" s="1430" t="s">
        <v>9702</v>
      </c>
      <c r="I1885" s="1429" t="s">
        <v>1037</v>
      </c>
      <c r="J1885" s="2196">
        <v>100</v>
      </c>
    </row>
    <row r="1886" spans="2:10" ht="13.5" thickBot="1" x14ac:dyDescent="0.25">
      <c r="B1886" s="392" t="str">
        <f t="shared" si="59"/>
        <v>U12 - LAFONTAINE Ninon</v>
      </c>
      <c r="C1886" s="1441" t="str">
        <f t="shared" si="60"/>
        <v>LAFONTAINE Ninon</v>
      </c>
      <c r="D1886" s="1428" t="s">
        <v>1563</v>
      </c>
      <c r="E1886" s="1429">
        <v>33</v>
      </c>
      <c r="F1886" s="1430" t="s">
        <v>11427</v>
      </c>
      <c r="G1886" s="1431" t="s">
        <v>17859</v>
      </c>
      <c r="H1886" s="1430" t="s">
        <v>2893</v>
      </c>
      <c r="I1886" s="1429" t="s">
        <v>1019</v>
      </c>
      <c r="J1886" s="2196">
        <v>90</v>
      </c>
    </row>
    <row r="1887" spans="2:10" ht="13.5" thickBot="1" x14ac:dyDescent="0.25">
      <c r="B1887" s="392" t="str">
        <f t="shared" si="59"/>
        <v>U12 - CHERONNET Gaston</v>
      </c>
      <c r="C1887" s="1441" t="str">
        <f t="shared" si="60"/>
        <v>CHERONNET Gaston</v>
      </c>
      <c r="D1887" s="1428" t="s">
        <v>1563</v>
      </c>
      <c r="E1887" s="1429">
        <v>33</v>
      </c>
      <c r="F1887" s="1430" t="s">
        <v>18205</v>
      </c>
      <c r="G1887" s="1431" t="s">
        <v>17700</v>
      </c>
      <c r="H1887" s="1430" t="s">
        <v>15816</v>
      </c>
      <c r="I1887" s="1429" t="s">
        <v>990</v>
      </c>
      <c r="J1887" s="2196">
        <v>90</v>
      </c>
    </row>
    <row r="1888" spans="2:10" ht="13.5" thickBot="1" x14ac:dyDescent="0.25">
      <c r="B1888" s="392" t="str">
        <f t="shared" si="59"/>
        <v>U12 - PREZIUSO Gabriele</v>
      </c>
      <c r="C1888" s="1441" t="str">
        <f t="shared" si="60"/>
        <v>PREZIUSO Gabriele</v>
      </c>
      <c r="D1888" s="1428" t="s">
        <v>1563</v>
      </c>
      <c r="E1888" s="1429">
        <v>33</v>
      </c>
      <c r="F1888" s="1430" t="s">
        <v>14180</v>
      </c>
      <c r="G1888" s="1431" t="s">
        <v>3127</v>
      </c>
      <c r="H1888" s="1430" t="s">
        <v>7876</v>
      </c>
      <c r="I1888" s="1429" t="s">
        <v>1037</v>
      </c>
      <c r="J1888" s="2196">
        <v>90</v>
      </c>
    </row>
    <row r="1889" spans="2:10" ht="13.5" thickBot="1" x14ac:dyDescent="0.25">
      <c r="B1889" s="392" t="str">
        <f t="shared" si="59"/>
        <v>U12 - BONNEFEMME Jules</v>
      </c>
      <c r="C1889" s="1441" t="str">
        <f t="shared" si="60"/>
        <v>BONNEFEMME Jules</v>
      </c>
      <c r="D1889" s="1428" t="s">
        <v>1563</v>
      </c>
      <c r="E1889" s="1429">
        <v>33</v>
      </c>
      <c r="F1889" s="1430" t="s">
        <v>18206</v>
      </c>
      <c r="G1889" s="1431" t="s">
        <v>13663</v>
      </c>
      <c r="H1889" s="1430" t="s">
        <v>2893</v>
      </c>
      <c r="I1889" s="1429" t="s">
        <v>1019</v>
      </c>
      <c r="J1889" s="2196">
        <v>90</v>
      </c>
    </row>
    <row r="1890" spans="2:10" ht="13.5" thickBot="1" x14ac:dyDescent="0.25">
      <c r="B1890" s="392" t="str">
        <f t="shared" si="59"/>
        <v>U12 - MARLIA Martin Aliou</v>
      </c>
      <c r="C1890" s="1441" t="str">
        <f t="shared" si="60"/>
        <v>MARLIA Martin Aliou</v>
      </c>
      <c r="D1890" s="1428" t="s">
        <v>1563</v>
      </c>
      <c r="E1890" s="1429">
        <v>37</v>
      </c>
      <c r="F1890" s="1430" t="s">
        <v>16805</v>
      </c>
      <c r="G1890" s="1431" t="s">
        <v>15863</v>
      </c>
      <c r="H1890" s="1430" t="s">
        <v>11325</v>
      </c>
      <c r="I1890" s="1429" t="s">
        <v>1037</v>
      </c>
      <c r="J1890" s="2196">
        <v>80</v>
      </c>
    </row>
    <row r="1891" spans="2:10" ht="13.5" thickBot="1" x14ac:dyDescent="0.25">
      <c r="B1891" s="392" t="str">
        <f t="shared" si="59"/>
        <v>U12 - SPYROPOULOS Giorgos Aggelos</v>
      </c>
      <c r="C1891" s="1441" t="str">
        <f t="shared" si="60"/>
        <v>SPYROPOULOS Giorgos Aggelos</v>
      </c>
      <c r="D1891" s="1428" t="s">
        <v>1563</v>
      </c>
      <c r="E1891" s="1429">
        <v>38</v>
      </c>
      <c r="F1891" s="1430" t="s">
        <v>14972</v>
      </c>
      <c r="G1891" s="1431" t="s">
        <v>11078</v>
      </c>
      <c r="H1891" s="1430" t="s">
        <v>7285</v>
      </c>
      <c r="I1891" s="1429" t="s">
        <v>1025</v>
      </c>
      <c r="J1891" s="2196">
        <v>79</v>
      </c>
    </row>
    <row r="1892" spans="2:10" ht="13.5" thickBot="1" x14ac:dyDescent="0.25">
      <c r="B1892" s="392" t="str">
        <f t="shared" si="59"/>
        <v>U12 - BARNOLA Arç</v>
      </c>
      <c r="C1892" s="1441" t="str">
        <f t="shared" si="60"/>
        <v>BARNOLA Arç</v>
      </c>
      <c r="D1892" s="1428" t="s">
        <v>1563</v>
      </c>
      <c r="E1892" s="1429">
        <v>39</v>
      </c>
      <c r="F1892" s="1430" t="s">
        <v>14977</v>
      </c>
      <c r="G1892" s="1431" t="s">
        <v>13827</v>
      </c>
      <c r="H1892" s="1430" t="s">
        <v>14451</v>
      </c>
      <c r="I1892" s="1429" t="s">
        <v>1015</v>
      </c>
      <c r="J1892" s="2196">
        <v>60</v>
      </c>
    </row>
    <row r="1893" spans="2:10" ht="13.5" thickBot="1" x14ac:dyDescent="0.25">
      <c r="B1893" s="392" t="str">
        <f t="shared" si="59"/>
        <v>U12 - PITSARI Alexandra</v>
      </c>
      <c r="C1893" s="1441" t="str">
        <f t="shared" si="60"/>
        <v>PITSARI Alexandra</v>
      </c>
      <c r="D1893" s="1428" t="s">
        <v>1563</v>
      </c>
      <c r="E1893" s="1429">
        <v>40</v>
      </c>
      <c r="F1893" s="1430" t="s">
        <v>16814</v>
      </c>
      <c r="G1893" s="1431" t="s">
        <v>16068</v>
      </c>
      <c r="H1893" s="1430" t="s">
        <v>15175</v>
      </c>
      <c r="I1893" s="1429" t="s">
        <v>1025</v>
      </c>
      <c r="J1893" s="2196">
        <v>45</v>
      </c>
    </row>
    <row r="1894" spans="2:10" ht="13.5" thickBot="1" x14ac:dyDescent="0.25">
      <c r="B1894" s="392" t="str">
        <f t="shared" si="59"/>
        <v>U12 - RUDY HESTY Edin Reyza</v>
      </c>
      <c r="C1894" s="1441" t="str">
        <f t="shared" si="60"/>
        <v>RUDY HESTY Edin Reyza</v>
      </c>
      <c r="D1894" s="1428" t="s">
        <v>1563</v>
      </c>
      <c r="E1894" s="1429">
        <v>41</v>
      </c>
      <c r="F1894" s="1430" t="s">
        <v>16657</v>
      </c>
      <c r="G1894" s="1431" t="s">
        <v>16154</v>
      </c>
      <c r="H1894" s="1430" t="s">
        <v>7270</v>
      </c>
      <c r="I1894" s="1429" t="s">
        <v>7916</v>
      </c>
      <c r="J1894" s="2196">
        <v>36</v>
      </c>
    </row>
    <row r="1895" spans="2:10" ht="13.5" thickBot="1" x14ac:dyDescent="0.25">
      <c r="B1895" s="392" t="str">
        <f t="shared" si="59"/>
        <v>U12 - HAAS Louis</v>
      </c>
      <c r="C1895" s="1441" t="str">
        <f t="shared" si="60"/>
        <v>HAAS Louis</v>
      </c>
      <c r="D1895" s="1428" t="s">
        <v>1563</v>
      </c>
      <c r="E1895" s="1429">
        <v>42</v>
      </c>
      <c r="F1895" s="1430" t="s">
        <v>3030</v>
      </c>
      <c r="G1895" s="1431" t="s">
        <v>5660</v>
      </c>
      <c r="H1895" s="1430" t="s">
        <v>2748</v>
      </c>
      <c r="I1895" s="1429" t="s">
        <v>988</v>
      </c>
      <c r="J1895" s="2196">
        <v>28.5</v>
      </c>
    </row>
    <row r="1896" spans="2:10" ht="13.5" thickBot="1" x14ac:dyDescent="0.25">
      <c r="B1896" s="392" t="str">
        <f t="shared" si="59"/>
        <v>U12 - GIANTAIS Emilios</v>
      </c>
      <c r="C1896" s="1441" t="str">
        <f t="shared" si="60"/>
        <v>GIANTAIS Emilios</v>
      </c>
      <c r="D1896" s="1428" t="s">
        <v>1563</v>
      </c>
      <c r="E1896" s="1429">
        <v>43</v>
      </c>
      <c r="F1896" s="1430" t="s">
        <v>8758</v>
      </c>
      <c r="G1896" s="1431" t="s">
        <v>9775</v>
      </c>
      <c r="H1896" s="1430" t="s">
        <v>7285</v>
      </c>
      <c r="I1896" s="1429" t="s">
        <v>1025</v>
      </c>
      <c r="J1896" s="2196">
        <v>27</v>
      </c>
    </row>
    <row r="1897" spans="2:10" ht="13.5" thickBot="1" x14ac:dyDescent="0.25">
      <c r="B1897" s="392" t="str">
        <f t="shared" si="59"/>
        <v>U12 - BENTO Francisco</v>
      </c>
      <c r="C1897" s="1441" t="str">
        <f t="shared" si="60"/>
        <v>BENTO Francisco</v>
      </c>
      <c r="D1897" s="1428" t="s">
        <v>1563</v>
      </c>
      <c r="E1897" s="1429">
        <v>44</v>
      </c>
      <c r="F1897" s="1430" t="s">
        <v>14971</v>
      </c>
      <c r="G1897" s="1431" t="s">
        <v>3366</v>
      </c>
      <c r="H1897" s="1430" t="s">
        <v>15138</v>
      </c>
      <c r="I1897" s="1429" t="s">
        <v>1061</v>
      </c>
      <c r="J1897" s="2196">
        <v>26</v>
      </c>
    </row>
    <row r="1898" spans="2:10" ht="13.5" thickBot="1" x14ac:dyDescent="0.25">
      <c r="B1898" s="392" t="str">
        <f t="shared" si="59"/>
        <v>U12 - MONGE Afonso</v>
      </c>
      <c r="C1898" s="1441" t="str">
        <f t="shared" si="60"/>
        <v>MONGE Afonso</v>
      </c>
      <c r="D1898" s="1428" t="s">
        <v>1563</v>
      </c>
      <c r="E1898" s="1429">
        <v>44</v>
      </c>
      <c r="F1898" s="1430" t="s">
        <v>16820</v>
      </c>
      <c r="G1898" s="1431" t="s">
        <v>3274</v>
      </c>
      <c r="H1898" s="1430" t="s">
        <v>10278</v>
      </c>
      <c r="I1898" s="1429" t="s">
        <v>1061</v>
      </c>
      <c r="J1898" s="2196">
        <v>26</v>
      </c>
    </row>
    <row r="1899" spans="2:10" ht="13.5" thickBot="1" x14ac:dyDescent="0.25">
      <c r="B1899" s="392" t="str">
        <f t="shared" si="59"/>
        <v>U12 - DIAS Daniel</v>
      </c>
      <c r="C1899" s="1441" t="str">
        <f t="shared" si="60"/>
        <v>DIAS Daniel</v>
      </c>
      <c r="D1899" s="1428" t="s">
        <v>1563</v>
      </c>
      <c r="E1899" s="1429">
        <v>44</v>
      </c>
      <c r="F1899" s="1430" t="s">
        <v>16819</v>
      </c>
      <c r="G1899" s="1431" t="s">
        <v>3243</v>
      </c>
      <c r="H1899" s="1430" t="s">
        <v>10278</v>
      </c>
      <c r="I1899" s="1429" t="s">
        <v>1061</v>
      </c>
      <c r="J1899" s="2196">
        <v>26</v>
      </c>
    </row>
    <row r="1900" spans="2:10" ht="13.5" thickBot="1" x14ac:dyDescent="0.25">
      <c r="B1900" s="392" t="str">
        <f t="shared" si="59"/>
        <v>U12 - ROSSI Francesco</v>
      </c>
      <c r="C1900" s="1441" t="str">
        <f t="shared" si="60"/>
        <v>ROSSI Francesco</v>
      </c>
      <c r="D1900" s="1428" t="s">
        <v>1563</v>
      </c>
      <c r="E1900" s="1429">
        <v>47</v>
      </c>
      <c r="F1900" s="1430" t="s">
        <v>16817</v>
      </c>
      <c r="G1900" s="1431" t="s">
        <v>3277</v>
      </c>
      <c r="H1900" s="1430" t="s">
        <v>2765</v>
      </c>
      <c r="I1900" s="1429" t="s">
        <v>1037</v>
      </c>
      <c r="J1900" s="2196">
        <v>19</v>
      </c>
    </row>
    <row r="1901" spans="2:10" ht="13.5" thickBot="1" x14ac:dyDescent="0.25">
      <c r="B1901" s="392" t="str">
        <f t="shared" si="59"/>
        <v>U12 - RAHMAN Max</v>
      </c>
      <c r="C1901" s="1441" t="str">
        <f t="shared" si="60"/>
        <v>RAHMAN Max</v>
      </c>
      <c r="D1901" s="1428" t="s">
        <v>1563</v>
      </c>
      <c r="E1901" s="1429">
        <v>48</v>
      </c>
      <c r="F1901" s="1430" t="s">
        <v>16732</v>
      </c>
      <c r="G1901" s="1431" t="s">
        <v>3710</v>
      </c>
      <c r="H1901" s="1430" t="s">
        <v>17082</v>
      </c>
      <c r="I1901" s="1429" t="s">
        <v>1013</v>
      </c>
      <c r="J1901" s="2196">
        <v>18</v>
      </c>
    </row>
    <row r="1902" spans="2:10" ht="13.5" thickBot="1" x14ac:dyDescent="0.25">
      <c r="B1902" s="392" t="str">
        <f t="shared" si="59"/>
        <v>U12 - CRAMER Reggie</v>
      </c>
      <c r="C1902" s="1441" t="str">
        <f t="shared" si="60"/>
        <v>CRAMER Reggie</v>
      </c>
      <c r="D1902" s="1428" t="s">
        <v>1563</v>
      </c>
      <c r="E1902" s="1429">
        <v>48</v>
      </c>
      <c r="F1902" s="1430" t="s">
        <v>17634</v>
      </c>
      <c r="G1902" s="1431" t="s">
        <v>16904</v>
      </c>
      <c r="H1902" s="1430" t="s">
        <v>14359</v>
      </c>
      <c r="I1902" s="1429" t="s">
        <v>1013</v>
      </c>
      <c r="J1902" s="2196">
        <v>18</v>
      </c>
    </row>
    <row r="1903" spans="2:10" ht="13.5" thickBot="1" x14ac:dyDescent="0.25">
      <c r="B1903" s="392" t="str">
        <f t="shared" si="59"/>
        <v>U12 - LEBUTTE Martin</v>
      </c>
      <c r="C1903" s="1441" t="str">
        <f t="shared" si="60"/>
        <v>LEBUTTE Martin</v>
      </c>
      <c r="D1903" s="1428" t="s">
        <v>1563</v>
      </c>
      <c r="E1903" s="1429">
        <v>48</v>
      </c>
      <c r="F1903" s="1430" t="s">
        <v>17633</v>
      </c>
      <c r="G1903" s="1431" t="s">
        <v>3408</v>
      </c>
      <c r="H1903" s="1430" t="s">
        <v>15681</v>
      </c>
      <c r="I1903" s="1429" t="s">
        <v>990</v>
      </c>
      <c r="J1903" s="2196">
        <v>18</v>
      </c>
    </row>
    <row r="1904" spans="2:10" ht="13.5" thickBot="1" x14ac:dyDescent="0.25">
      <c r="B1904" s="392" t="str">
        <f t="shared" si="59"/>
        <v>U12 - FITZPATRICK Elliot</v>
      </c>
      <c r="C1904" s="1441" t="str">
        <f t="shared" si="60"/>
        <v>FITZPATRICK Elliot</v>
      </c>
      <c r="D1904" s="1428" t="s">
        <v>1563</v>
      </c>
      <c r="E1904" s="1429">
        <v>48</v>
      </c>
      <c r="F1904" s="1430" t="s">
        <v>14899</v>
      </c>
      <c r="G1904" s="1431" t="s">
        <v>15552</v>
      </c>
      <c r="H1904" s="1430" t="s">
        <v>2764</v>
      </c>
      <c r="I1904" s="1429" t="s">
        <v>1033</v>
      </c>
      <c r="J1904" s="2196">
        <v>18</v>
      </c>
    </row>
    <row r="1905" spans="2:10" ht="13.5" thickBot="1" x14ac:dyDescent="0.25">
      <c r="B1905" s="392" t="str">
        <f t="shared" si="59"/>
        <v>U12 - CHATZISTAVRAKIS Emmanouil</v>
      </c>
      <c r="C1905" s="1441" t="str">
        <f t="shared" si="60"/>
        <v>CHATZISTAVRAKIS Emmanouil</v>
      </c>
      <c r="D1905" s="1428" t="s">
        <v>1563</v>
      </c>
      <c r="E1905" s="1429">
        <v>52</v>
      </c>
      <c r="F1905" s="1430" t="s">
        <v>14219</v>
      </c>
      <c r="G1905" s="1431" t="s">
        <v>6991</v>
      </c>
      <c r="H1905" s="1430" t="s">
        <v>3213</v>
      </c>
      <c r="I1905" s="1429" t="s">
        <v>1025</v>
      </c>
      <c r="J1905" s="2196">
        <v>14</v>
      </c>
    </row>
    <row r="1906" spans="2:10" ht="13.5" thickBot="1" x14ac:dyDescent="0.25">
      <c r="B1906" s="392" t="str">
        <f t="shared" si="59"/>
        <v>U12 - PERETTI Teo</v>
      </c>
      <c r="C1906" s="1441" t="str">
        <f t="shared" si="60"/>
        <v>PERETTI Teo</v>
      </c>
      <c r="D1906" s="1428" t="s">
        <v>1563</v>
      </c>
      <c r="E1906" s="1429">
        <v>53</v>
      </c>
      <c r="F1906" s="1430" t="s">
        <v>16818</v>
      </c>
      <c r="G1906" s="1431" t="s">
        <v>16026</v>
      </c>
      <c r="H1906" s="1430" t="s">
        <v>9702</v>
      </c>
      <c r="I1906" s="1429" t="s">
        <v>1037</v>
      </c>
      <c r="J1906" s="2196">
        <v>10</v>
      </c>
    </row>
    <row r="1907" spans="2:10" ht="13.5" thickBot="1" x14ac:dyDescent="0.25">
      <c r="B1907" s="392" t="str">
        <f t="shared" si="59"/>
        <v>U12 - PETEA Aldo Francesco</v>
      </c>
      <c r="C1907" s="1441" t="str">
        <f t="shared" si="60"/>
        <v>PETEA Aldo Francesco</v>
      </c>
      <c r="D1907" s="1428" t="s">
        <v>1563</v>
      </c>
      <c r="E1907" s="1429">
        <v>53</v>
      </c>
      <c r="F1907" s="1430" t="s">
        <v>16815</v>
      </c>
      <c r="G1907" s="1431" t="s">
        <v>16035</v>
      </c>
      <c r="H1907" s="1430" t="s">
        <v>2765</v>
      </c>
      <c r="I1907" s="1429" t="s">
        <v>1037</v>
      </c>
      <c r="J1907" s="2196">
        <v>10</v>
      </c>
    </row>
    <row r="1908" spans="2:10" ht="13.5" thickBot="1" x14ac:dyDescent="0.25">
      <c r="B1908" s="392" t="str">
        <f t="shared" si="59"/>
        <v>U12 - GARCÍA CORREDERA Rafael</v>
      </c>
      <c r="C1908" s="1441" t="str">
        <f t="shared" si="60"/>
        <v>GARCÍA CORREDERA Rafael</v>
      </c>
      <c r="D1908" s="1428" t="s">
        <v>1563</v>
      </c>
      <c r="E1908" s="1429">
        <v>53</v>
      </c>
      <c r="F1908" s="1430" t="s">
        <v>16822</v>
      </c>
      <c r="G1908" s="1431" t="s">
        <v>9410</v>
      </c>
      <c r="H1908" s="1430" t="s">
        <v>7304</v>
      </c>
      <c r="I1908" s="1429" t="s">
        <v>1015</v>
      </c>
      <c r="J1908" s="2196">
        <v>10</v>
      </c>
    </row>
    <row r="1909" spans="2:10" ht="13.5" thickBot="1" x14ac:dyDescent="0.25">
      <c r="B1909" s="392" t="str">
        <f t="shared" si="59"/>
        <v>U12 - DEL GENOVESE Cristian</v>
      </c>
      <c r="C1909" s="1441" t="str">
        <f t="shared" si="60"/>
        <v>DEL GENOVESE Cristian</v>
      </c>
      <c r="D1909" s="1428" t="s">
        <v>1563</v>
      </c>
      <c r="E1909" s="1429">
        <v>53</v>
      </c>
      <c r="F1909" s="1430" t="s">
        <v>16629</v>
      </c>
      <c r="G1909" s="1431" t="s">
        <v>3705</v>
      </c>
      <c r="H1909" s="1430" t="s">
        <v>11325</v>
      </c>
      <c r="I1909" s="1429" t="s">
        <v>1037</v>
      </c>
      <c r="J1909" s="2196">
        <v>10</v>
      </c>
    </row>
    <row r="1910" spans="2:10" ht="13.5" thickBot="1" x14ac:dyDescent="0.25">
      <c r="B1910" s="392" t="str">
        <f t="shared" si="59"/>
        <v>U12 - BOTTINO Alessio</v>
      </c>
      <c r="C1910" s="1441" t="str">
        <f t="shared" si="60"/>
        <v>BOTTINO Alessio</v>
      </c>
      <c r="D1910" s="1428" t="s">
        <v>1563</v>
      </c>
      <c r="E1910" s="1429">
        <v>57</v>
      </c>
      <c r="F1910" s="1430" t="s">
        <v>16885</v>
      </c>
      <c r="G1910" s="1431" t="s">
        <v>3550</v>
      </c>
      <c r="H1910" s="1430" t="s">
        <v>2765</v>
      </c>
      <c r="I1910" s="1429" t="s">
        <v>1037</v>
      </c>
      <c r="J1910" s="2196">
        <v>9</v>
      </c>
    </row>
    <row r="1911" spans="2:10" ht="13.5" thickBot="1" x14ac:dyDescent="0.25">
      <c r="B1911" s="392" t="str">
        <f t="shared" si="59"/>
        <v>U12 - HAJA MAIDEEN Hanif</v>
      </c>
      <c r="C1911" s="1441" t="str">
        <f t="shared" si="60"/>
        <v>HAJA MAIDEEN Hanif</v>
      </c>
      <c r="D1911" s="1428" t="s">
        <v>1563</v>
      </c>
      <c r="E1911" s="1429">
        <v>58</v>
      </c>
      <c r="F1911" s="1430" t="s">
        <v>18207</v>
      </c>
      <c r="G1911" s="1431" t="s">
        <v>17857</v>
      </c>
      <c r="H1911" s="1430" t="s">
        <v>15269</v>
      </c>
      <c r="I1911" s="1429" t="s">
        <v>1019</v>
      </c>
      <c r="J1911" s="2196">
        <v>8</v>
      </c>
    </row>
    <row r="1912" spans="2:10" ht="13.5" thickBot="1" x14ac:dyDescent="0.25">
      <c r="B1912" s="392" t="str">
        <f t="shared" si="59"/>
        <v>U12 - HAJA MAIDEEN Hisham</v>
      </c>
      <c r="C1912" s="1441" t="str">
        <f t="shared" si="60"/>
        <v>HAJA MAIDEEN Hisham</v>
      </c>
      <c r="D1912" s="1428" t="s">
        <v>1563</v>
      </c>
      <c r="E1912" s="1429">
        <v>58</v>
      </c>
      <c r="F1912" s="1430" t="s">
        <v>18207</v>
      </c>
      <c r="G1912" s="1431" t="s">
        <v>5567</v>
      </c>
      <c r="H1912" s="1430" t="s">
        <v>15269</v>
      </c>
      <c r="I1912" s="1429" t="s">
        <v>1019</v>
      </c>
      <c r="J1912" s="2196">
        <v>8</v>
      </c>
    </row>
    <row r="1913" spans="2:10" ht="13.5" thickBot="1" x14ac:dyDescent="0.25">
      <c r="B1913" s="392" t="str">
        <f t="shared" si="59"/>
        <v>U12 - BOROLI Guglielmo</v>
      </c>
      <c r="C1913" s="1441" t="str">
        <f t="shared" si="60"/>
        <v>BOROLI Guglielmo</v>
      </c>
      <c r="D1913" s="1428" t="s">
        <v>1563</v>
      </c>
      <c r="E1913" s="1429">
        <v>60</v>
      </c>
      <c r="F1913" s="1430" t="s">
        <v>14488</v>
      </c>
      <c r="G1913" s="1431" t="s">
        <v>14487</v>
      </c>
      <c r="H1913" s="1430" t="s">
        <v>15269</v>
      </c>
      <c r="I1913" s="1429" t="s">
        <v>1019</v>
      </c>
      <c r="J1913" s="2196">
        <v>6</v>
      </c>
    </row>
    <row r="1914" spans="2:10" ht="13.5" thickBot="1" x14ac:dyDescent="0.25">
      <c r="B1914" s="392" t="str">
        <f t="shared" si="59"/>
        <v>U12 - ELLINAS Efthimis</v>
      </c>
      <c r="C1914" s="1441" t="str">
        <f t="shared" si="60"/>
        <v>ELLINAS Efthimis</v>
      </c>
      <c r="D1914" s="1428" t="s">
        <v>1563</v>
      </c>
      <c r="E1914" s="1429">
        <v>61</v>
      </c>
      <c r="F1914" s="1430" t="s">
        <v>16821</v>
      </c>
      <c r="G1914" s="1431" t="s">
        <v>14669</v>
      </c>
      <c r="H1914" s="1430" t="s">
        <v>14359</v>
      </c>
      <c r="I1914" s="1429" t="s">
        <v>1025</v>
      </c>
      <c r="J1914" s="2196">
        <v>5</v>
      </c>
    </row>
    <row r="1915" spans="2:10" ht="13.5" thickBot="1" x14ac:dyDescent="0.25">
      <c r="B1915" s="392" t="str">
        <f t="shared" si="59"/>
        <v>U12 - ARCHERRAY Mael</v>
      </c>
      <c r="C1915" s="1441" t="str">
        <f t="shared" si="60"/>
        <v>ARCHERRAY Mael</v>
      </c>
      <c r="D1915" s="1428" t="s">
        <v>1563</v>
      </c>
      <c r="E1915" s="1429">
        <v>61</v>
      </c>
      <c r="F1915" s="1430" t="s">
        <v>18208</v>
      </c>
      <c r="G1915" s="1431" t="s">
        <v>13658</v>
      </c>
      <c r="H1915" s="1430" t="s">
        <v>2893</v>
      </c>
      <c r="I1915" s="1429" t="s">
        <v>1019</v>
      </c>
      <c r="J1915" s="2196">
        <v>5</v>
      </c>
    </row>
    <row r="1916" spans="2:10" ht="13.5" thickBot="1" x14ac:dyDescent="0.25">
      <c r="B1916" s="392" t="str">
        <f t="shared" si="59"/>
        <v>U12 - MONTAÑO Juan Antonio</v>
      </c>
      <c r="C1916" s="1441" t="str">
        <f t="shared" si="60"/>
        <v>MONTAÑO Juan Antonio</v>
      </c>
      <c r="D1916" s="1428" t="s">
        <v>1563</v>
      </c>
      <c r="E1916" s="1429">
        <v>61</v>
      </c>
      <c r="F1916" s="1430" t="s">
        <v>3156</v>
      </c>
      <c r="G1916" s="1431" t="s">
        <v>5595</v>
      </c>
      <c r="H1916" s="1430" t="s">
        <v>7304</v>
      </c>
      <c r="I1916" s="1429" t="s">
        <v>1015</v>
      </c>
      <c r="J1916" s="2196">
        <v>5</v>
      </c>
    </row>
    <row r="1917" spans="2:10" ht="13.5" thickBot="1" x14ac:dyDescent="0.25">
      <c r="B1917" s="392" t="str">
        <f t="shared" si="59"/>
        <v>U12 - FRÉBUTTE Giulian</v>
      </c>
      <c r="C1917" s="1441" t="str">
        <f t="shared" si="60"/>
        <v>FRÉBUTTE Giulian</v>
      </c>
      <c r="D1917" s="1428" t="s">
        <v>1563</v>
      </c>
      <c r="E1917" s="1429">
        <v>61</v>
      </c>
      <c r="F1917" s="1430" t="s">
        <v>18209</v>
      </c>
      <c r="G1917" s="1431" t="s">
        <v>17707</v>
      </c>
      <c r="H1917" s="1430" t="s">
        <v>17709</v>
      </c>
      <c r="I1917" s="1429" t="s">
        <v>990</v>
      </c>
      <c r="J1917" s="2196">
        <v>5</v>
      </c>
    </row>
    <row r="1918" spans="2:10" ht="13.5" thickBot="1" x14ac:dyDescent="0.25">
      <c r="B1918" s="392" t="str">
        <f t="shared" si="59"/>
        <v>U12 - BARONE SÁNCHEZ Diego</v>
      </c>
      <c r="C1918" s="1441" t="str">
        <f t="shared" si="60"/>
        <v>BARONE SÁNCHEZ Diego</v>
      </c>
      <c r="D1918" s="1428" t="s">
        <v>1563</v>
      </c>
      <c r="E1918" s="1429">
        <v>61</v>
      </c>
      <c r="F1918" s="1430" t="s">
        <v>16881</v>
      </c>
      <c r="G1918" s="1431" t="s">
        <v>3373</v>
      </c>
      <c r="H1918" s="1430" t="s">
        <v>14454</v>
      </c>
      <c r="I1918" s="1429" t="s">
        <v>1015</v>
      </c>
      <c r="J1918" s="2196">
        <v>5</v>
      </c>
    </row>
    <row r="1919" spans="2:10" ht="13.5" thickBot="1" x14ac:dyDescent="0.25">
      <c r="B1919" s="392" t="str">
        <f t="shared" si="59"/>
        <v>U12 - MOSCATO Corrado Nicholas</v>
      </c>
      <c r="C1919" s="1441" t="str">
        <f t="shared" si="60"/>
        <v>MOSCATO Corrado Nicholas</v>
      </c>
      <c r="D1919" s="1428" t="s">
        <v>1563</v>
      </c>
      <c r="E1919" s="1429">
        <v>61</v>
      </c>
      <c r="F1919" s="1430" t="s">
        <v>16886</v>
      </c>
      <c r="G1919" s="1431" t="s">
        <v>16887</v>
      </c>
      <c r="H1919" s="1430" t="s">
        <v>16490</v>
      </c>
      <c r="I1919" s="1429" t="s">
        <v>1037</v>
      </c>
      <c r="J1919" s="2196">
        <v>5</v>
      </c>
    </row>
    <row r="1920" spans="2:10" ht="13.5" thickBot="1" x14ac:dyDescent="0.25">
      <c r="B1920" s="392" t="str">
        <f t="shared" si="59"/>
        <v>U12 - CRUZ GALLARDO Luis</v>
      </c>
      <c r="C1920" s="1441" t="str">
        <f t="shared" si="60"/>
        <v>CRUZ GALLARDO Luis</v>
      </c>
      <c r="D1920" s="1428" t="s">
        <v>1563</v>
      </c>
      <c r="E1920" s="1429">
        <v>61</v>
      </c>
      <c r="F1920" s="1430" t="s">
        <v>18210</v>
      </c>
      <c r="G1920" s="1431" t="s">
        <v>3683</v>
      </c>
      <c r="H1920" s="1430" t="s">
        <v>7304</v>
      </c>
      <c r="I1920" s="1429" t="s">
        <v>1015</v>
      </c>
      <c r="J1920" s="2196">
        <v>5</v>
      </c>
    </row>
    <row r="1921" spans="2:10" ht="13.5" thickBot="1" x14ac:dyDescent="0.25">
      <c r="B1921" s="392" t="str">
        <f t="shared" si="59"/>
        <v>U12 - AYALA RAMÍREZ José</v>
      </c>
      <c r="C1921" s="1441" t="str">
        <f t="shared" si="60"/>
        <v>AYALA RAMÍREZ José</v>
      </c>
      <c r="D1921" s="1428" t="s">
        <v>1563</v>
      </c>
      <c r="E1921" s="1429">
        <v>61</v>
      </c>
      <c r="F1921" s="1430" t="s">
        <v>18211</v>
      </c>
      <c r="G1921" s="1431" t="s">
        <v>3232</v>
      </c>
      <c r="H1921" s="1430" t="s">
        <v>7304</v>
      </c>
      <c r="I1921" s="1429" t="s">
        <v>1015</v>
      </c>
      <c r="J1921" s="2196">
        <v>5</v>
      </c>
    </row>
    <row r="1922" spans="2:10" ht="13.5" thickBot="1" x14ac:dyDescent="0.25">
      <c r="B1922" s="392" t="str">
        <f t="shared" si="59"/>
        <v>U12 - SAGUATTI Giacomo</v>
      </c>
      <c r="C1922" s="1441" t="str">
        <f t="shared" si="60"/>
        <v>SAGUATTI Giacomo</v>
      </c>
      <c r="D1922" s="1428" t="s">
        <v>1563</v>
      </c>
      <c r="E1922" s="1429">
        <v>61</v>
      </c>
      <c r="F1922" s="1430" t="s">
        <v>18212</v>
      </c>
      <c r="G1922" s="1431" t="s">
        <v>3615</v>
      </c>
      <c r="H1922" s="1430" t="s">
        <v>7876</v>
      </c>
      <c r="I1922" s="1429" t="s">
        <v>1037</v>
      </c>
      <c r="J1922" s="2196">
        <v>5</v>
      </c>
    </row>
    <row r="1923" spans="2:10" ht="13.5" thickBot="1" x14ac:dyDescent="0.25">
      <c r="B1923" s="392" t="str">
        <f t="shared" si="59"/>
        <v>U12 - LEFEBVRE Adrien</v>
      </c>
      <c r="C1923" s="1441" t="str">
        <f t="shared" si="60"/>
        <v>LEFEBVRE Adrien</v>
      </c>
      <c r="D1923" s="1428" t="s">
        <v>1563</v>
      </c>
      <c r="E1923" s="1429">
        <v>61</v>
      </c>
      <c r="F1923" s="1430" t="s">
        <v>18213</v>
      </c>
      <c r="G1923" s="1431" t="s">
        <v>17864</v>
      </c>
      <c r="H1923" s="1430" t="s">
        <v>2893</v>
      </c>
      <c r="I1923" s="1429" t="s">
        <v>1019</v>
      </c>
      <c r="J1923" s="2196">
        <v>5</v>
      </c>
    </row>
    <row r="1924" spans="2:10" ht="13.5" thickBot="1" x14ac:dyDescent="0.25">
      <c r="B1924" s="392" t="str">
        <f t="shared" si="59"/>
        <v>U12 - DHONDT Ursule</v>
      </c>
      <c r="C1924" s="1441" t="str">
        <f t="shared" si="60"/>
        <v>DHONDT Ursule</v>
      </c>
      <c r="D1924" s="1428" t="s">
        <v>1563</v>
      </c>
      <c r="E1924" s="1429">
        <v>61</v>
      </c>
      <c r="F1924" s="1430" t="s">
        <v>18113</v>
      </c>
      <c r="G1924" s="1431" t="s">
        <v>17719</v>
      </c>
      <c r="H1924" s="1430" t="s">
        <v>2778</v>
      </c>
      <c r="I1924" s="1429" t="s">
        <v>990</v>
      </c>
      <c r="J1924" s="2196">
        <v>5</v>
      </c>
    </row>
    <row r="1925" spans="2:10" ht="13.5" thickBot="1" x14ac:dyDescent="0.25">
      <c r="B1925" s="392" t="str">
        <f t="shared" si="59"/>
        <v>U12 - RUELLE Marius</v>
      </c>
      <c r="C1925" s="1441" t="str">
        <f t="shared" si="60"/>
        <v>RUELLE Marius</v>
      </c>
      <c r="D1925" s="1428" t="s">
        <v>1563</v>
      </c>
      <c r="E1925" s="1429">
        <v>61</v>
      </c>
      <c r="F1925" s="1430" t="s">
        <v>18214</v>
      </c>
      <c r="G1925" s="1431" t="s">
        <v>17521</v>
      </c>
      <c r="H1925" s="1430" t="s">
        <v>5301</v>
      </c>
      <c r="I1925" s="1429" t="s">
        <v>990</v>
      </c>
      <c r="J1925" s="2196">
        <v>5</v>
      </c>
    </row>
    <row r="1926" spans="2:10" ht="13.5" thickBot="1" x14ac:dyDescent="0.25">
      <c r="B1926" s="392" t="str">
        <f t="shared" si="59"/>
        <v>U12 - PREZIUSO Simone</v>
      </c>
      <c r="C1926" s="1441" t="str">
        <f t="shared" si="60"/>
        <v>PREZIUSO Simone</v>
      </c>
      <c r="D1926" s="1428" t="s">
        <v>1563</v>
      </c>
      <c r="E1926" s="1429">
        <v>61</v>
      </c>
      <c r="F1926" s="1430" t="s">
        <v>14180</v>
      </c>
      <c r="G1926" s="1431" t="s">
        <v>3158</v>
      </c>
      <c r="H1926" s="1430" t="s">
        <v>7876</v>
      </c>
      <c r="I1926" s="1429" t="s">
        <v>1037</v>
      </c>
      <c r="J1926" s="2196">
        <v>5</v>
      </c>
    </row>
    <row r="1927" spans="2:10" ht="13.5" thickBot="1" x14ac:dyDescent="0.25">
      <c r="B1927" s="392" t="str">
        <f t="shared" ref="B1927:B1990" si="61">CONCATENATE(D1927," - ",C1927)</f>
        <v>U12 - PITSARIS Georgios</v>
      </c>
      <c r="C1927" s="1441" t="str">
        <f t="shared" si="60"/>
        <v>PITSARIS Georgios</v>
      </c>
      <c r="D1927" s="1428" t="s">
        <v>1563</v>
      </c>
      <c r="E1927" s="1429">
        <v>74</v>
      </c>
      <c r="F1927" s="1430" t="s">
        <v>16552</v>
      </c>
      <c r="G1927" s="1431" t="s">
        <v>3324</v>
      </c>
      <c r="H1927" s="1430" t="s">
        <v>15175</v>
      </c>
      <c r="I1927" s="1429" t="s">
        <v>1025</v>
      </c>
      <c r="J1927" s="2196">
        <v>3</v>
      </c>
    </row>
    <row r="1928" spans="2:10" ht="13.5" thickBot="1" x14ac:dyDescent="0.25">
      <c r="B1928" s="392" t="str">
        <f t="shared" si="61"/>
        <v>U12 - SANTOS Mateus</v>
      </c>
      <c r="C1928" s="1441" t="str">
        <f t="shared" si="60"/>
        <v>SANTOS Mateus</v>
      </c>
      <c r="D1928" s="1428" t="s">
        <v>1563</v>
      </c>
      <c r="E1928" s="1429">
        <v>74</v>
      </c>
      <c r="F1928" s="1430" t="s">
        <v>3170</v>
      </c>
      <c r="G1928" s="1431" t="s">
        <v>16192</v>
      </c>
      <c r="H1928" s="1430" t="s">
        <v>10278</v>
      </c>
      <c r="I1928" s="1429" t="s">
        <v>1061</v>
      </c>
      <c r="J1928" s="2196">
        <v>3</v>
      </c>
    </row>
    <row r="1929" spans="2:10" ht="13.5" thickBot="1" x14ac:dyDescent="0.25">
      <c r="B1929" s="392" t="str">
        <f t="shared" si="61"/>
        <v>U12 - JANSSENS Gabriel</v>
      </c>
      <c r="C1929" s="1441" t="str">
        <f t="shared" si="60"/>
        <v>JANSSENS Gabriel</v>
      </c>
      <c r="D1929" s="1428" t="s">
        <v>1563</v>
      </c>
      <c r="E1929" s="1429">
        <v>74</v>
      </c>
      <c r="F1929" s="1430" t="s">
        <v>14232</v>
      </c>
      <c r="G1929" s="1431" t="s">
        <v>6887</v>
      </c>
      <c r="H1929" s="1430" t="s">
        <v>10252</v>
      </c>
      <c r="I1929" s="1429" t="s">
        <v>990</v>
      </c>
      <c r="J1929" s="2196">
        <v>3</v>
      </c>
    </row>
    <row r="1930" spans="2:10" ht="13.5" thickBot="1" x14ac:dyDescent="0.25">
      <c r="B1930" s="392" t="str">
        <f t="shared" si="61"/>
        <v>U12 - EXARCHOU Athanasios</v>
      </c>
      <c r="C1930" s="1441" t="str">
        <f t="shared" si="60"/>
        <v>EXARCHOU Athanasios</v>
      </c>
      <c r="D1930" s="1428" t="s">
        <v>1563</v>
      </c>
      <c r="E1930" s="1429">
        <v>77</v>
      </c>
      <c r="F1930" s="1430" t="s">
        <v>14918</v>
      </c>
      <c r="G1930" s="1431" t="s">
        <v>3472</v>
      </c>
      <c r="H1930" s="1430" t="s">
        <v>15175</v>
      </c>
      <c r="I1930" s="1429" t="s">
        <v>1025</v>
      </c>
      <c r="J1930" s="2196">
        <v>2</v>
      </c>
    </row>
    <row r="1931" spans="2:10" ht="13.5" thickBot="1" x14ac:dyDescent="0.25">
      <c r="B1931" s="392" t="str">
        <f t="shared" si="61"/>
        <v>U12 - ELLINA Maria</v>
      </c>
      <c r="C1931" s="1441" t="str">
        <f t="shared" si="60"/>
        <v>ELLINA Maria</v>
      </c>
      <c r="D1931" s="1428" t="s">
        <v>1563</v>
      </c>
      <c r="E1931" s="1429">
        <v>77</v>
      </c>
      <c r="F1931" s="1430" t="s">
        <v>14975</v>
      </c>
      <c r="G1931" s="1431" t="s">
        <v>3475</v>
      </c>
      <c r="H1931" s="1430" t="s">
        <v>14359</v>
      </c>
      <c r="I1931" s="1429" t="s">
        <v>1025</v>
      </c>
      <c r="J1931" s="2196">
        <v>2</v>
      </c>
    </row>
    <row r="1932" spans="2:10" ht="13.5" thickBot="1" x14ac:dyDescent="0.25">
      <c r="B1932" s="392" t="str">
        <f t="shared" si="61"/>
        <v>U12 - RUBBI Valentino</v>
      </c>
      <c r="C1932" s="1441" t="str">
        <f t="shared" si="60"/>
        <v>RUBBI Valentino</v>
      </c>
      <c r="D1932" s="1428" t="s">
        <v>1563</v>
      </c>
      <c r="E1932" s="1429">
        <v>79</v>
      </c>
      <c r="F1932" s="1430" t="s">
        <v>16823</v>
      </c>
      <c r="G1932" s="1431" t="s">
        <v>6943</v>
      </c>
      <c r="H1932" s="1430" t="s">
        <v>15269</v>
      </c>
      <c r="I1932" s="1429" t="s">
        <v>1019</v>
      </c>
      <c r="J1932" s="2196">
        <v>1</v>
      </c>
    </row>
    <row r="1933" spans="2:10" ht="13.5" thickBot="1" x14ac:dyDescent="0.25">
      <c r="B1933" s="392" t="str">
        <f t="shared" si="61"/>
        <v xml:space="preserve"> -  </v>
      </c>
      <c r="C1933" s="1441" t="str">
        <f t="shared" si="60"/>
        <v xml:space="preserve"> </v>
      </c>
      <c r="D1933" s="1428"/>
      <c r="E1933" s="1429"/>
      <c r="F1933" s="1430"/>
      <c r="G1933" s="1431"/>
      <c r="H1933" s="1430"/>
      <c r="I1933" s="1429"/>
      <c r="J1933" s="2196"/>
    </row>
    <row r="1934" spans="2:10" ht="13.5" thickBot="1" x14ac:dyDescent="0.25">
      <c r="B1934" s="392" t="str">
        <f t="shared" si="61"/>
        <v xml:space="preserve"> -  </v>
      </c>
      <c r="C1934" s="1441" t="str">
        <f t="shared" si="60"/>
        <v xml:space="preserve"> </v>
      </c>
      <c r="D1934" s="1428"/>
      <c r="E1934" s="1429"/>
      <c r="F1934" s="1430"/>
      <c r="G1934" s="1431"/>
      <c r="H1934" s="1430"/>
      <c r="I1934" s="1429"/>
      <c r="J1934" s="2196"/>
    </row>
    <row r="1935" spans="2:10" ht="13.5" thickBot="1" x14ac:dyDescent="0.25">
      <c r="B1935" s="392" t="str">
        <f t="shared" si="61"/>
        <v xml:space="preserve"> -  </v>
      </c>
      <c r="C1935" s="1441" t="str">
        <f t="shared" si="60"/>
        <v xml:space="preserve"> </v>
      </c>
      <c r="D1935" s="1428"/>
      <c r="E1935" s="1429"/>
      <c r="F1935" s="1430"/>
      <c r="G1935" s="1431"/>
      <c r="H1935" s="1430"/>
      <c r="I1935" s="1429"/>
      <c r="J1935" s="2196"/>
    </row>
    <row r="1936" spans="2:10" ht="13.5" thickBot="1" x14ac:dyDescent="0.25">
      <c r="B1936" s="392" t="str">
        <f t="shared" si="61"/>
        <v xml:space="preserve"> -  </v>
      </c>
      <c r="C1936" s="1441" t="str">
        <f t="shared" si="60"/>
        <v xml:space="preserve"> </v>
      </c>
      <c r="D1936" s="1428"/>
      <c r="E1936" s="1429"/>
      <c r="F1936" s="1430"/>
      <c r="G1936" s="1431"/>
      <c r="H1936" s="1430"/>
      <c r="I1936" s="1429"/>
      <c r="J1936" s="2196"/>
    </row>
    <row r="1937" spans="2:10" ht="13.5" thickBot="1" x14ac:dyDescent="0.25">
      <c r="B1937" s="392" t="str">
        <f t="shared" si="61"/>
        <v xml:space="preserve"> -  </v>
      </c>
      <c r="C1937" s="1441" t="str">
        <f t="shared" si="60"/>
        <v xml:space="preserve"> </v>
      </c>
      <c r="D1937" s="1428"/>
      <c r="E1937" s="1429"/>
      <c r="F1937" s="1430"/>
      <c r="G1937" s="1431"/>
      <c r="H1937" s="1430"/>
      <c r="I1937" s="1429"/>
      <c r="J1937" s="2196"/>
    </row>
    <row r="1938" spans="2:10" ht="13.5" thickBot="1" x14ac:dyDescent="0.25">
      <c r="B1938" s="392" t="str">
        <f t="shared" si="61"/>
        <v xml:space="preserve"> -  </v>
      </c>
      <c r="C1938" s="1441" t="str">
        <f t="shared" si="60"/>
        <v xml:space="preserve"> </v>
      </c>
      <c r="D1938" s="1428"/>
      <c r="E1938" s="1429"/>
      <c r="F1938" s="1430"/>
      <c r="G1938" s="1431"/>
      <c r="H1938" s="1430"/>
      <c r="I1938" s="1429"/>
      <c r="J1938" s="2196"/>
    </row>
    <row r="1939" spans="2:10" ht="13.5" thickBot="1" x14ac:dyDescent="0.25">
      <c r="B1939" s="392" t="str">
        <f t="shared" si="61"/>
        <v xml:space="preserve"> -  </v>
      </c>
      <c r="C1939" s="1441" t="str">
        <f t="shared" si="60"/>
        <v xml:space="preserve"> </v>
      </c>
      <c r="D1939" s="1428"/>
      <c r="E1939" s="1429"/>
      <c r="F1939" s="1430"/>
      <c r="G1939" s="1431"/>
      <c r="H1939" s="1430"/>
      <c r="I1939" s="1429"/>
      <c r="J1939" s="2196"/>
    </row>
    <row r="1940" spans="2:10" ht="13.5" thickBot="1" x14ac:dyDescent="0.25">
      <c r="B1940" s="392" t="str">
        <f t="shared" si="61"/>
        <v xml:space="preserve"> -  </v>
      </c>
      <c r="C1940" s="1441" t="str">
        <f t="shared" si="60"/>
        <v xml:space="preserve"> </v>
      </c>
      <c r="D1940" s="1428"/>
      <c r="E1940" s="1429"/>
      <c r="F1940" s="1430"/>
      <c r="G1940" s="1431"/>
      <c r="H1940" s="1430"/>
      <c r="I1940" s="1429"/>
      <c r="J1940" s="2196"/>
    </row>
    <row r="1941" spans="2:10" ht="13.5" thickBot="1" x14ac:dyDescent="0.25">
      <c r="B1941" s="392" t="str">
        <f t="shared" si="61"/>
        <v xml:space="preserve"> -  </v>
      </c>
      <c r="C1941" s="1441" t="str">
        <f t="shared" si="60"/>
        <v xml:space="preserve"> </v>
      </c>
      <c r="D1941" s="1428"/>
      <c r="E1941" s="1429"/>
      <c r="F1941" s="1430"/>
      <c r="G1941" s="1431"/>
      <c r="H1941" s="1430"/>
      <c r="I1941" s="1429"/>
      <c r="J1941" s="2196"/>
    </row>
    <row r="1942" spans="2:10" ht="13.5" thickBot="1" x14ac:dyDescent="0.25">
      <c r="B1942" s="392" t="str">
        <f t="shared" si="61"/>
        <v xml:space="preserve"> -  </v>
      </c>
      <c r="C1942" s="1441" t="str">
        <f t="shared" si="60"/>
        <v xml:space="preserve"> </v>
      </c>
      <c r="D1942" s="1428"/>
      <c r="E1942" s="1429"/>
      <c r="F1942" s="1430"/>
      <c r="G1942" s="1431"/>
      <c r="H1942" s="1430"/>
      <c r="I1942" s="1429"/>
      <c r="J1942" s="2196"/>
    </row>
    <row r="1943" spans="2:10" ht="13.5" thickBot="1" x14ac:dyDescent="0.25">
      <c r="B1943" s="392" t="str">
        <f t="shared" si="61"/>
        <v xml:space="preserve"> -  </v>
      </c>
      <c r="C1943" s="1441" t="str">
        <f t="shared" si="60"/>
        <v xml:space="preserve"> </v>
      </c>
      <c r="D1943" s="1428"/>
      <c r="E1943" s="1429"/>
      <c r="F1943" s="1430"/>
      <c r="G1943" s="1431"/>
      <c r="H1943" s="1430"/>
      <c r="I1943" s="1429"/>
      <c r="J1943" s="2196"/>
    </row>
    <row r="1944" spans="2:10" ht="13.5" thickBot="1" x14ac:dyDescent="0.25">
      <c r="B1944" s="392" t="str">
        <f t="shared" si="61"/>
        <v xml:space="preserve"> -  </v>
      </c>
      <c r="C1944" s="1441" t="str">
        <f t="shared" si="60"/>
        <v xml:space="preserve"> </v>
      </c>
      <c r="D1944" s="1428"/>
      <c r="E1944" s="1429"/>
      <c r="F1944" s="1430"/>
      <c r="G1944" s="1431"/>
      <c r="H1944" s="1430"/>
      <c r="I1944" s="1429"/>
      <c r="J1944" s="2196"/>
    </row>
    <row r="1945" spans="2:10" ht="13.5" thickBot="1" x14ac:dyDescent="0.25">
      <c r="B1945" s="392" t="str">
        <f t="shared" si="61"/>
        <v xml:space="preserve"> -  </v>
      </c>
      <c r="C1945" s="1441" t="str">
        <f t="shared" si="60"/>
        <v xml:space="preserve"> </v>
      </c>
      <c r="D1945" s="1428"/>
      <c r="E1945" s="1429"/>
      <c r="F1945" s="1430"/>
      <c r="G1945" s="1431"/>
      <c r="H1945" s="1430"/>
      <c r="I1945" s="1429"/>
      <c r="J1945" s="2196"/>
    </row>
    <row r="1946" spans="2:10" ht="13.5" thickBot="1" x14ac:dyDescent="0.25">
      <c r="B1946" s="392" t="str">
        <f t="shared" si="61"/>
        <v xml:space="preserve"> -  </v>
      </c>
      <c r="C1946" s="1441" t="str">
        <f t="shared" si="60"/>
        <v xml:space="preserve"> </v>
      </c>
      <c r="D1946" s="1428"/>
      <c r="E1946" s="1429"/>
      <c r="F1946" s="1430"/>
      <c r="G1946" s="1431"/>
      <c r="H1946" s="1430"/>
      <c r="I1946" s="1429"/>
      <c r="J1946" s="2196"/>
    </row>
    <row r="1947" spans="2:10" ht="13.5" thickBot="1" x14ac:dyDescent="0.25">
      <c r="B1947" s="392" t="str">
        <f t="shared" si="61"/>
        <v xml:space="preserve"> -  </v>
      </c>
      <c r="C1947" s="1441" t="str">
        <f t="shared" ref="C1947:C2010" si="62">CONCATENATE(UPPER(F1947)," ",G1947)</f>
        <v xml:space="preserve"> </v>
      </c>
      <c r="D1947" s="1428"/>
      <c r="E1947" s="1429"/>
      <c r="F1947" s="1430"/>
      <c r="G1947" s="1431"/>
      <c r="H1947" s="1430"/>
      <c r="I1947" s="1429"/>
      <c r="J1947" s="2196"/>
    </row>
    <row r="1948" spans="2:10" ht="13.5" thickBot="1" x14ac:dyDescent="0.25">
      <c r="B1948" s="392" t="str">
        <f t="shared" si="61"/>
        <v xml:space="preserve"> -  </v>
      </c>
      <c r="C1948" s="1441" t="str">
        <f t="shared" si="62"/>
        <v xml:space="preserve"> </v>
      </c>
      <c r="D1948" s="1428"/>
      <c r="E1948" s="1429"/>
      <c r="F1948" s="1430"/>
      <c r="G1948" s="1431"/>
      <c r="H1948" s="1430"/>
      <c r="I1948" s="1429"/>
      <c r="J1948" s="2196"/>
    </row>
    <row r="1949" spans="2:10" ht="13.5" thickBot="1" x14ac:dyDescent="0.25">
      <c r="B1949" s="392" t="str">
        <f t="shared" si="61"/>
        <v xml:space="preserve"> -  </v>
      </c>
      <c r="C1949" s="1441" t="str">
        <f t="shared" si="62"/>
        <v xml:space="preserve"> </v>
      </c>
      <c r="D1949" s="1428"/>
      <c r="E1949" s="1429"/>
      <c r="F1949" s="1430"/>
      <c r="G1949" s="1431"/>
      <c r="H1949" s="1430"/>
      <c r="I1949" s="1429"/>
      <c r="J1949" s="2196"/>
    </row>
    <row r="1950" spans="2:10" ht="13.5" thickBot="1" x14ac:dyDescent="0.25">
      <c r="B1950" s="392" t="str">
        <f t="shared" si="61"/>
        <v xml:space="preserve"> -  </v>
      </c>
      <c r="C1950" s="1441" t="str">
        <f t="shared" si="62"/>
        <v xml:space="preserve"> </v>
      </c>
      <c r="D1950" s="1428"/>
      <c r="E1950" s="1429"/>
      <c r="F1950" s="1430"/>
      <c r="G1950" s="1431"/>
      <c r="H1950" s="1430"/>
      <c r="I1950" s="1429"/>
      <c r="J1950" s="2196"/>
    </row>
    <row r="1951" spans="2:10" ht="13.5" thickBot="1" x14ac:dyDescent="0.25">
      <c r="B1951" s="392" t="str">
        <f t="shared" si="61"/>
        <v xml:space="preserve"> -  </v>
      </c>
      <c r="C1951" s="1441" t="str">
        <f t="shared" si="62"/>
        <v xml:space="preserve"> </v>
      </c>
      <c r="D1951" s="1428"/>
      <c r="E1951" s="1429"/>
      <c r="F1951" s="1430"/>
      <c r="G1951" s="1431"/>
      <c r="H1951" s="1430"/>
      <c r="I1951" s="1429"/>
      <c r="J1951" s="2196"/>
    </row>
    <row r="1952" spans="2:10" ht="13.5" thickBot="1" x14ac:dyDescent="0.25">
      <c r="B1952" s="392" t="str">
        <f t="shared" si="61"/>
        <v xml:space="preserve"> -  </v>
      </c>
      <c r="C1952" s="1441" t="str">
        <f t="shared" si="62"/>
        <v xml:space="preserve"> </v>
      </c>
      <c r="D1952" s="1428"/>
      <c r="E1952" s="1429"/>
      <c r="F1952" s="1430"/>
      <c r="G1952" s="1431"/>
      <c r="H1952" s="1430"/>
      <c r="I1952" s="1429"/>
      <c r="J1952" s="2196"/>
    </row>
    <row r="1953" spans="2:10" ht="13.5" thickBot="1" x14ac:dyDescent="0.25">
      <c r="B1953" s="392" t="str">
        <f t="shared" si="61"/>
        <v xml:space="preserve"> -  </v>
      </c>
      <c r="C1953" s="1441" t="str">
        <f t="shared" si="62"/>
        <v xml:space="preserve"> </v>
      </c>
      <c r="D1953" s="1428"/>
      <c r="E1953" s="1429"/>
      <c r="F1953" s="1430"/>
      <c r="G1953" s="1431"/>
      <c r="H1953" s="1430"/>
      <c r="I1953" s="1429"/>
      <c r="J1953" s="2196"/>
    </row>
    <row r="1954" spans="2:10" ht="13.5" thickBot="1" x14ac:dyDescent="0.25">
      <c r="B1954" s="392" t="str">
        <f t="shared" si="61"/>
        <v xml:space="preserve"> -  </v>
      </c>
      <c r="C1954" s="1441" t="str">
        <f t="shared" si="62"/>
        <v xml:space="preserve"> </v>
      </c>
      <c r="D1954" s="1428"/>
      <c r="E1954" s="1429"/>
      <c r="F1954" s="1430"/>
      <c r="G1954" s="1431"/>
      <c r="H1954" s="1430"/>
      <c r="I1954" s="1429"/>
      <c r="J1954" s="2196"/>
    </row>
    <row r="1955" spans="2:10" ht="13.5" thickBot="1" x14ac:dyDescent="0.25">
      <c r="B1955" s="392" t="str">
        <f t="shared" si="61"/>
        <v xml:space="preserve"> -  </v>
      </c>
      <c r="C1955" s="1441" t="str">
        <f t="shared" si="62"/>
        <v xml:space="preserve"> </v>
      </c>
      <c r="D1955" s="1428"/>
      <c r="E1955" s="1429"/>
      <c r="F1955" s="1430"/>
      <c r="G1955" s="1431"/>
      <c r="H1955" s="1430"/>
      <c r="I1955" s="1429"/>
      <c r="J1955" s="2196"/>
    </row>
    <row r="1956" spans="2:10" ht="13.5" thickBot="1" x14ac:dyDescent="0.25">
      <c r="B1956" s="392" t="str">
        <f t="shared" si="61"/>
        <v xml:space="preserve"> -  </v>
      </c>
      <c r="C1956" s="1441" t="str">
        <f t="shared" si="62"/>
        <v xml:space="preserve"> </v>
      </c>
      <c r="D1956" s="1428"/>
      <c r="E1956" s="1429"/>
      <c r="F1956" s="1430"/>
      <c r="G1956" s="1431"/>
      <c r="H1956" s="1430"/>
      <c r="I1956" s="1429"/>
      <c r="J1956" s="2196"/>
    </row>
    <row r="1957" spans="2:10" ht="13.5" thickBot="1" x14ac:dyDescent="0.25">
      <c r="B1957" s="392" t="str">
        <f t="shared" si="61"/>
        <v xml:space="preserve"> -  </v>
      </c>
      <c r="C1957" s="1441" t="str">
        <f t="shared" si="62"/>
        <v xml:space="preserve"> </v>
      </c>
      <c r="D1957" s="1428"/>
      <c r="E1957" s="1429"/>
      <c r="F1957" s="1430"/>
      <c r="G1957" s="1431"/>
      <c r="H1957" s="1430"/>
      <c r="I1957" s="1429"/>
      <c r="J1957" s="2196"/>
    </row>
    <row r="1958" spans="2:10" ht="13.5" thickBot="1" x14ac:dyDescent="0.25">
      <c r="B1958" s="392" t="str">
        <f t="shared" si="61"/>
        <v xml:space="preserve"> -  </v>
      </c>
      <c r="C1958" s="1441" t="str">
        <f t="shared" si="62"/>
        <v xml:space="preserve"> </v>
      </c>
      <c r="D1958" s="1428"/>
      <c r="E1958" s="1429"/>
      <c r="F1958" s="1430"/>
      <c r="G1958" s="1431"/>
      <c r="H1958" s="1430"/>
      <c r="I1958" s="1429"/>
      <c r="J1958" s="2196"/>
    </row>
    <row r="1959" spans="2:10" ht="13.5" thickBot="1" x14ac:dyDescent="0.25">
      <c r="B1959" s="392" t="str">
        <f t="shared" si="61"/>
        <v xml:space="preserve"> -  </v>
      </c>
      <c r="C1959" s="1441" t="str">
        <f t="shared" si="62"/>
        <v xml:space="preserve"> </v>
      </c>
      <c r="D1959" s="1428"/>
      <c r="E1959" s="1429"/>
      <c r="F1959" s="1430"/>
      <c r="G1959" s="1431"/>
      <c r="H1959" s="1430"/>
      <c r="I1959" s="1429"/>
      <c r="J1959" s="2196"/>
    </row>
    <row r="1960" spans="2:10" ht="13.5" thickBot="1" x14ac:dyDescent="0.25">
      <c r="B1960" s="392" t="str">
        <f t="shared" si="61"/>
        <v xml:space="preserve"> -  </v>
      </c>
      <c r="C1960" s="1441" t="str">
        <f t="shared" si="62"/>
        <v xml:space="preserve"> </v>
      </c>
      <c r="D1960" s="1428"/>
      <c r="E1960" s="1429"/>
      <c r="F1960" s="1430"/>
      <c r="G1960" s="1431"/>
      <c r="H1960" s="1430"/>
      <c r="I1960" s="1429"/>
      <c r="J1960" s="2196"/>
    </row>
    <row r="1961" spans="2:10" ht="13.5" thickBot="1" x14ac:dyDescent="0.25">
      <c r="B1961" s="392" t="str">
        <f t="shared" si="61"/>
        <v xml:space="preserve"> -  </v>
      </c>
      <c r="C1961" s="1441" t="str">
        <f t="shared" si="62"/>
        <v xml:space="preserve"> </v>
      </c>
      <c r="D1961" s="1428"/>
      <c r="E1961" s="1429"/>
      <c r="F1961" s="1430"/>
      <c r="G1961" s="1431"/>
      <c r="H1961" s="1430"/>
      <c r="I1961" s="1429"/>
      <c r="J1961" s="2196"/>
    </row>
    <row r="1962" spans="2:10" ht="13.5" thickBot="1" x14ac:dyDescent="0.25">
      <c r="B1962" s="392" t="str">
        <f t="shared" si="61"/>
        <v xml:space="preserve"> -  </v>
      </c>
      <c r="C1962" s="1441" t="str">
        <f t="shared" si="62"/>
        <v xml:space="preserve"> </v>
      </c>
      <c r="D1962" s="1428"/>
      <c r="E1962" s="1429"/>
      <c r="F1962" s="1430"/>
      <c r="G1962" s="1431"/>
      <c r="H1962" s="1430"/>
      <c r="I1962" s="1429"/>
      <c r="J1962" s="2196"/>
    </row>
    <row r="1963" spans="2:10" ht="13.5" thickBot="1" x14ac:dyDescent="0.25">
      <c r="B1963" s="392" t="str">
        <f t="shared" si="61"/>
        <v xml:space="preserve"> -  </v>
      </c>
      <c r="C1963" s="1441" t="str">
        <f t="shared" si="62"/>
        <v xml:space="preserve"> </v>
      </c>
      <c r="D1963" s="1428"/>
      <c r="E1963" s="1429"/>
      <c r="F1963" s="1430"/>
      <c r="G1963" s="1431"/>
      <c r="H1963" s="1430"/>
      <c r="I1963" s="1429"/>
      <c r="J1963" s="2196"/>
    </row>
    <row r="1964" spans="2:10" ht="13.5" thickBot="1" x14ac:dyDescent="0.25">
      <c r="B1964" s="392" t="str">
        <f t="shared" si="61"/>
        <v xml:space="preserve"> -  </v>
      </c>
      <c r="C1964" s="1441" t="str">
        <f t="shared" si="62"/>
        <v xml:space="preserve"> </v>
      </c>
      <c r="D1964" s="1428"/>
      <c r="E1964" s="1429"/>
      <c r="F1964" s="1430"/>
      <c r="G1964" s="1431"/>
      <c r="H1964" s="1430"/>
      <c r="I1964" s="1429"/>
      <c r="J1964" s="2196"/>
    </row>
    <row r="1965" spans="2:10" ht="13.5" thickBot="1" x14ac:dyDescent="0.25">
      <c r="B1965" s="392" t="str">
        <f t="shared" si="61"/>
        <v xml:space="preserve"> -  </v>
      </c>
      <c r="C1965" s="1441" t="str">
        <f t="shared" si="62"/>
        <v xml:space="preserve"> </v>
      </c>
      <c r="D1965" s="1428"/>
      <c r="E1965" s="1429"/>
      <c r="F1965" s="1430"/>
      <c r="G1965" s="1431"/>
      <c r="H1965" s="1430"/>
      <c r="I1965" s="1429"/>
      <c r="J1965" s="2196"/>
    </row>
    <row r="1966" spans="2:10" ht="13.5" thickBot="1" x14ac:dyDescent="0.25">
      <c r="B1966" s="392" t="str">
        <f t="shared" si="61"/>
        <v xml:space="preserve"> -  </v>
      </c>
      <c r="C1966" s="1441" t="str">
        <f t="shared" si="62"/>
        <v xml:space="preserve"> </v>
      </c>
      <c r="D1966" s="1428"/>
      <c r="E1966" s="1429"/>
      <c r="F1966" s="1430"/>
      <c r="G1966" s="1431"/>
      <c r="H1966" s="1430"/>
      <c r="I1966" s="1429"/>
      <c r="J1966" s="2196"/>
    </row>
    <row r="1967" spans="2:10" ht="13.5" thickBot="1" x14ac:dyDescent="0.25">
      <c r="B1967" s="392" t="str">
        <f t="shared" si="61"/>
        <v xml:space="preserve"> -  </v>
      </c>
      <c r="C1967" s="1441" t="str">
        <f t="shared" si="62"/>
        <v xml:space="preserve"> </v>
      </c>
      <c r="D1967" s="1428"/>
      <c r="E1967" s="1429"/>
      <c r="F1967" s="1430"/>
      <c r="G1967" s="1431"/>
      <c r="H1967" s="1430"/>
      <c r="I1967" s="1429"/>
      <c r="J1967" s="2196"/>
    </row>
    <row r="1968" spans="2:10" ht="13.5" thickBot="1" x14ac:dyDescent="0.25">
      <c r="B1968" s="392" t="str">
        <f t="shared" si="61"/>
        <v xml:space="preserve"> -  </v>
      </c>
      <c r="C1968" s="1441" t="str">
        <f t="shared" si="62"/>
        <v xml:space="preserve"> </v>
      </c>
      <c r="D1968" s="1428"/>
      <c r="E1968" s="1429"/>
      <c r="F1968" s="1430"/>
      <c r="G1968" s="1431"/>
      <c r="H1968" s="1430"/>
      <c r="I1968" s="1429"/>
      <c r="J1968" s="2196"/>
    </row>
    <row r="1969" spans="2:10" ht="13.5" thickBot="1" x14ac:dyDescent="0.25">
      <c r="B1969" s="392" t="str">
        <f t="shared" si="61"/>
        <v xml:space="preserve"> -  </v>
      </c>
      <c r="C1969" s="1441" t="str">
        <f t="shared" si="62"/>
        <v xml:space="preserve"> </v>
      </c>
      <c r="D1969" s="1428"/>
      <c r="E1969" s="1429"/>
      <c r="F1969" s="1430"/>
      <c r="G1969" s="1431"/>
      <c r="H1969" s="1430"/>
      <c r="I1969" s="1429"/>
      <c r="J1969" s="2196"/>
    </row>
    <row r="1970" spans="2:10" ht="13.5" thickBot="1" x14ac:dyDescent="0.25">
      <c r="B1970" s="392" t="str">
        <f t="shared" si="61"/>
        <v xml:space="preserve"> -  </v>
      </c>
      <c r="C1970" s="1441" t="str">
        <f t="shared" si="62"/>
        <v xml:space="preserve"> </v>
      </c>
      <c r="D1970" s="1428"/>
      <c r="E1970" s="1429"/>
      <c r="F1970" s="1430"/>
      <c r="G1970" s="1431"/>
      <c r="H1970" s="1430"/>
      <c r="I1970" s="1429"/>
      <c r="J1970" s="2196"/>
    </row>
    <row r="1971" spans="2:10" ht="13.5" thickBot="1" x14ac:dyDescent="0.25">
      <c r="B1971" s="392" t="str">
        <f t="shared" si="61"/>
        <v xml:space="preserve"> -  </v>
      </c>
      <c r="C1971" s="1441" t="str">
        <f t="shared" si="62"/>
        <v xml:space="preserve"> </v>
      </c>
      <c r="D1971" s="1428"/>
      <c r="E1971" s="1429"/>
      <c r="F1971" s="1430"/>
      <c r="G1971" s="1431"/>
      <c r="H1971" s="1430"/>
      <c r="I1971" s="1429"/>
      <c r="J1971" s="2196"/>
    </row>
    <row r="1972" spans="2:10" ht="13.5" thickBot="1" x14ac:dyDescent="0.25">
      <c r="B1972" s="392" t="str">
        <f t="shared" si="61"/>
        <v xml:space="preserve"> -  </v>
      </c>
      <c r="C1972" s="1441" t="str">
        <f t="shared" si="62"/>
        <v xml:space="preserve"> </v>
      </c>
      <c r="D1972" s="1428"/>
      <c r="E1972" s="1429"/>
      <c r="F1972" s="1430"/>
      <c r="G1972" s="1431"/>
      <c r="H1972" s="1430"/>
      <c r="I1972" s="1429"/>
      <c r="J1972" s="2196"/>
    </row>
    <row r="1973" spans="2:10" ht="13.5" thickBot="1" x14ac:dyDescent="0.25">
      <c r="B1973" s="392" t="str">
        <f t="shared" si="61"/>
        <v xml:space="preserve"> -  </v>
      </c>
      <c r="C1973" s="1441" t="str">
        <f t="shared" si="62"/>
        <v xml:space="preserve"> </v>
      </c>
      <c r="D1973" s="1428"/>
      <c r="E1973" s="1429"/>
      <c r="F1973" s="1430"/>
      <c r="G1973" s="1431"/>
      <c r="H1973" s="1430"/>
      <c r="I1973" s="1429"/>
      <c r="J1973" s="2196"/>
    </row>
    <row r="1974" spans="2:10" ht="13.5" thickBot="1" x14ac:dyDescent="0.25">
      <c r="B1974" s="392" t="str">
        <f t="shared" si="61"/>
        <v xml:space="preserve"> -  </v>
      </c>
      <c r="C1974" s="1441" t="str">
        <f t="shared" si="62"/>
        <v xml:space="preserve"> </v>
      </c>
      <c r="D1974" s="1428"/>
      <c r="E1974" s="1429"/>
      <c r="F1974" s="1430"/>
      <c r="G1974" s="1431"/>
      <c r="H1974" s="1430"/>
      <c r="I1974" s="1429"/>
      <c r="J1974" s="2196"/>
    </row>
    <row r="1975" spans="2:10" ht="13.5" thickBot="1" x14ac:dyDescent="0.25">
      <c r="B1975" s="392" t="str">
        <f t="shared" si="61"/>
        <v xml:space="preserve"> -  </v>
      </c>
      <c r="C1975" s="1441" t="str">
        <f t="shared" si="62"/>
        <v xml:space="preserve"> </v>
      </c>
      <c r="D1975" s="1428"/>
      <c r="E1975" s="1429"/>
      <c r="F1975" s="1430"/>
      <c r="G1975" s="1431"/>
      <c r="H1975" s="1430"/>
      <c r="I1975" s="1429"/>
      <c r="J1975" s="2196"/>
    </row>
    <row r="1976" spans="2:10" ht="13.5" thickBot="1" x14ac:dyDescent="0.25">
      <c r="B1976" s="392" t="str">
        <f t="shared" si="61"/>
        <v xml:space="preserve"> -  </v>
      </c>
      <c r="C1976" s="1441" t="str">
        <f t="shared" si="62"/>
        <v xml:space="preserve"> </v>
      </c>
      <c r="D1976" s="1428"/>
      <c r="E1976" s="1429"/>
      <c r="F1976" s="1430"/>
      <c r="G1976" s="1431"/>
      <c r="H1976" s="1430"/>
      <c r="I1976" s="1429"/>
      <c r="J1976" s="2196"/>
    </row>
    <row r="1977" spans="2:10" ht="13.5" thickBot="1" x14ac:dyDescent="0.25">
      <c r="B1977" s="392" t="str">
        <f t="shared" si="61"/>
        <v xml:space="preserve"> -  </v>
      </c>
      <c r="C1977" s="1441" t="str">
        <f t="shared" si="62"/>
        <v xml:space="preserve"> </v>
      </c>
      <c r="D1977" s="1428"/>
      <c r="E1977" s="1429"/>
      <c r="F1977" s="1430"/>
      <c r="G1977" s="1431"/>
      <c r="H1977" s="1430"/>
      <c r="I1977" s="1429"/>
      <c r="J1977" s="2196"/>
    </row>
    <row r="1978" spans="2:10" ht="13.5" thickBot="1" x14ac:dyDescent="0.25">
      <c r="B1978" s="392" t="str">
        <f t="shared" si="61"/>
        <v xml:space="preserve"> -  </v>
      </c>
      <c r="C1978" s="1441" t="str">
        <f t="shared" si="62"/>
        <v xml:space="preserve"> </v>
      </c>
      <c r="D1978" s="1428"/>
      <c r="E1978" s="1429"/>
      <c r="F1978" s="1430"/>
      <c r="G1978" s="1431"/>
      <c r="H1978" s="1430"/>
      <c r="I1978" s="1429"/>
      <c r="J1978" s="2196"/>
    </row>
    <row r="1979" spans="2:10" ht="13.5" thickBot="1" x14ac:dyDescent="0.25">
      <c r="B1979" s="392" t="str">
        <f t="shared" si="61"/>
        <v xml:space="preserve"> -  </v>
      </c>
      <c r="C1979" s="1441" t="str">
        <f t="shared" si="62"/>
        <v xml:space="preserve"> </v>
      </c>
      <c r="D1979" s="1428"/>
      <c r="E1979" s="1429"/>
      <c r="F1979" s="1430"/>
      <c r="G1979" s="1431"/>
      <c r="H1979" s="1430"/>
      <c r="I1979" s="1429"/>
      <c r="J1979" s="2196"/>
    </row>
    <row r="1980" spans="2:10" ht="13.5" thickBot="1" x14ac:dyDescent="0.25">
      <c r="B1980" s="392" t="str">
        <f t="shared" si="61"/>
        <v xml:space="preserve"> -  </v>
      </c>
      <c r="C1980" s="1441" t="str">
        <f t="shared" si="62"/>
        <v xml:space="preserve"> </v>
      </c>
      <c r="D1980" s="1428"/>
      <c r="E1980" s="1429"/>
      <c r="F1980" s="1430"/>
      <c r="G1980" s="1431"/>
      <c r="H1980" s="1430"/>
      <c r="I1980" s="1429"/>
      <c r="J1980" s="2196"/>
    </row>
    <row r="1981" spans="2:10" ht="13.5" thickBot="1" x14ac:dyDescent="0.25">
      <c r="B1981" s="392" t="str">
        <f t="shared" si="61"/>
        <v xml:space="preserve"> -  </v>
      </c>
      <c r="C1981" s="1441" t="str">
        <f t="shared" si="62"/>
        <v xml:space="preserve"> </v>
      </c>
      <c r="D1981" s="1428"/>
      <c r="E1981" s="1429"/>
      <c r="F1981" s="1430"/>
      <c r="G1981" s="1431"/>
      <c r="H1981" s="1430"/>
      <c r="I1981" s="1429"/>
      <c r="J1981" s="2196"/>
    </row>
    <row r="1982" spans="2:10" ht="13.5" thickBot="1" x14ac:dyDescent="0.25">
      <c r="B1982" s="392" t="str">
        <f t="shared" si="61"/>
        <v xml:space="preserve"> -  </v>
      </c>
      <c r="C1982" s="1441" t="str">
        <f t="shared" si="62"/>
        <v xml:space="preserve"> </v>
      </c>
      <c r="D1982" s="1428"/>
      <c r="E1982" s="1429"/>
      <c r="F1982" s="1430"/>
      <c r="G1982" s="1431"/>
      <c r="H1982" s="1430"/>
      <c r="I1982" s="1429"/>
      <c r="J1982" s="2196"/>
    </row>
    <row r="1983" spans="2:10" ht="13.5" thickBot="1" x14ac:dyDescent="0.25">
      <c r="B1983" s="392" t="str">
        <f t="shared" si="61"/>
        <v xml:space="preserve"> -  </v>
      </c>
      <c r="C1983" s="1441" t="str">
        <f t="shared" si="62"/>
        <v xml:space="preserve"> </v>
      </c>
      <c r="D1983" s="1428"/>
      <c r="E1983" s="1429"/>
      <c r="F1983" s="1430"/>
      <c r="G1983" s="1431"/>
      <c r="H1983" s="1430"/>
      <c r="I1983" s="1429"/>
      <c r="J1983" s="2196"/>
    </row>
    <row r="1984" spans="2:10" ht="13.5" thickBot="1" x14ac:dyDescent="0.25">
      <c r="B1984" s="392" t="str">
        <f t="shared" si="61"/>
        <v xml:space="preserve"> -  </v>
      </c>
      <c r="C1984" s="1441" t="str">
        <f t="shared" si="62"/>
        <v xml:space="preserve"> </v>
      </c>
      <c r="D1984" s="1428"/>
      <c r="E1984" s="1429"/>
      <c r="F1984" s="1430"/>
      <c r="G1984" s="1431"/>
      <c r="H1984" s="1430"/>
      <c r="I1984" s="1429"/>
      <c r="J1984" s="2196"/>
    </row>
    <row r="1985" spans="2:10" ht="13.5" thickBot="1" x14ac:dyDescent="0.25">
      <c r="B1985" s="392" t="str">
        <f t="shared" si="61"/>
        <v xml:space="preserve"> -  </v>
      </c>
      <c r="C1985" s="1441" t="str">
        <f t="shared" si="62"/>
        <v xml:space="preserve"> </v>
      </c>
      <c r="D1985" s="1428"/>
      <c r="E1985" s="1429"/>
      <c r="F1985" s="1430"/>
      <c r="G1985" s="1431"/>
      <c r="H1985" s="1430"/>
      <c r="I1985" s="1429"/>
      <c r="J1985" s="2196"/>
    </row>
    <row r="1986" spans="2:10" ht="13.5" thickBot="1" x14ac:dyDescent="0.25">
      <c r="B1986" s="392" t="str">
        <f t="shared" si="61"/>
        <v xml:space="preserve"> -  </v>
      </c>
      <c r="C1986" s="1441" t="str">
        <f t="shared" si="62"/>
        <v xml:space="preserve"> </v>
      </c>
      <c r="D1986" s="1428"/>
      <c r="E1986" s="1429"/>
      <c r="F1986" s="1430"/>
      <c r="G1986" s="1431"/>
      <c r="H1986" s="1430"/>
      <c r="I1986" s="1429"/>
      <c r="J1986" s="2196"/>
    </row>
    <row r="1987" spans="2:10" ht="13.5" thickBot="1" x14ac:dyDescent="0.25">
      <c r="B1987" s="392" t="str">
        <f t="shared" si="61"/>
        <v xml:space="preserve"> -  </v>
      </c>
      <c r="C1987" s="1441" t="str">
        <f t="shared" si="62"/>
        <v xml:space="preserve"> </v>
      </c>
      <c r="D1987" s="1428"/>
      <c r="E1987" s="1429"/>
      <c r="F1987" s="1430"/>
      <c r="G1987" s="1431"/>
      <c r="H1987" s="1430"/>
      <c r="I1987" s="1429"/>
      <c r="J1987" s="2196"/>
    </row>
    <row r="1988" spans="2:10" ht="13.5" thickBot="1" x14ac:dyDescent="0.25">
      <c r="B1988" s="392" t="str">
        <f t="shared" si="61"/>
        <v xml:space="preserve"> -  </v>
      </c>
      <c r="C1988" s="1441" t="str">
        <f t="shared" si="62"/>
        <v xml:space="preserve"> </v>
      </c>
      <c r="D1988" s="1428"/>
      <c r="E1988" s="1429"/>
      <c r="F1988" s="1430"/>
      <c r="G1988" s="1431"/>
      <c r="H1988" s="1430"/>
      <c r="I1988" s="1429"/>
      <c r="J1988" s="2196"/>
    </row>
    <row r="1989" spans="2:10" ht="13.5" thickBot="1" x14ac:dyDescent="0.25">
      <c r="B1989" s="392" t="str">
        <f t="shared" si="61"/>
        <v xml:space="preserve"> -  </v>
      </c>
      <c r="C1989" s="1441" t="str">
        <f t="shared" si="62"/>
        <v xml:space="preserve"> </v>
      </c>
      <c r="D1989" s="1428"/>
      <c r="E1989" s="1429"/>
      <c r="F1989" s="1430"/>
      <c r="G1989" s="1431"/>
      <c r="H1989" s="1430"/>
      <c r="I1989" s="1429"/>
      <c r="J1989" s="2196"/>
    </row>
    <row r="1990" spans="2:10" ht="13.5" thickBot="1" x14ac:dyDescent="0.25">
      <c r="B1990" s="392" t="str">
        <f t="shared" si="61"/>
        <v xml:space="preserve"> -  </v>
      </c>
      <c r="C1990" s="1441" t="str">
        <f t="shared" si="62"/>
        <v xml:space="preserve"> </v>
      </c>
      <c r="D1990" s="1428"/>
      <c r="E1990" s="1429"/>
      <c r="F1990" s="1430"/>
      <c r="G1990" s="1431"/>
      <c r="H1990" s="1430"/>
      <c r="I1990" s="1429"/>
      <c r="J1990" s="2196"/>
    </row>
    <row r="1991" spans="2:10" ht="13.5" thickBot="1" x14ac:dyDescent="0.25">
      <c r="B1991" s="392" t="str">
        <f t="shared" ref="B1991:B2054" si="63">CONCATENATE(D1991," - ",C1991)</f>
        <v xml:space="preserve"> -  </v>
      </c>
      <c r="C1991" s="1441" t="str">
        <f t="shared" si="62"/>
        <v xml:space="preserve"> </v>
      </c>
      <c r="D1991" s="1428"/>
      <c r="E1991" s="1429"/>
      <c r="F1991" s="1430"/>
      <c r="G1991" s="1431"/>
      <c r="H1991" s="1430"/>
      <c r="I1991" s="1429"/>
      <c r="J1991" s="2196"/>
    </row>
    <row r="1992" spans="2:10" ht="13.5" thickBot="1" x14ac:dyDescent="0.25">
      <c r="B1992" s="392" t="str">
        <f t="shared" si="63"/>
        <v xml:space="preserve"> -  </v>
      </c>
      <c r="C1992" s="1441" t="str">
        <f t="shared" si="62"/>
        <v xml:space="preserve"> </v>
      </c>
      <c r="D1992" s="1428"/>
      <c r="E1992" s="1429"/>
      <c r="F1992" s="1430"/>
      <c r="G1992" s="1431"/>
      <c r="H1992" s="1430"/>
      <c r="I1992" s="1429"/>
      <c r="J1992" s="2196"/>
    </row>
    <row r="1993" spans="2:10" ht="13.5" thickBot="1" x14ac:dyDescent="0.25">
      <c r="B1993" s="392" t="str">
        <f t="shared" si="63"/>
        <v xml:space="preserve"> -  </v>
      </c>
      <c r="C1993" s="1441" t="str">
        <f t="shared" si="62"/>
        <v xml:space="preserve"> </v>
      </c>
      <c r="D1993" s="1428"/>
      <c r="E1993" s="1429"/>
      <c r="F1993" s="1430"/>
      <c r="G1993" s="1431"/>
      <c r="H1993" s="1430"/>
      <c r="I1993" s="1429"/>
      <c r="J1993" s="2196"/>
    </row>
    <row r="1994" spans="2:10" ht="13.5" thickBot="1" x14ac:dyDescent="0.25">
      <c r="B1994" s="392" t="str">
        <f t="shared" si="63"/>
        <v xml:space="preserve"> -  </v>
      </c>
      <c r="C1994" s="1441" t="str">
        <f t="shared" si="62"/>
        <v xml:space="preserve"> </v>
      </c>
      <c r="D1994" s="1428"/>
      <c r="E1994" s="1429"/>
      <c r="F1994" s="1430"/>
      <c r="G1994" s="1431"/>
      <c r="H1994" s="1430"/>
      <c r="I1994" s="1429"/>
      <c r="J1994" s="2196"/>
    </row>
    <row r="1995" spans="2:10" ht="13.5" thickBot="1" x14ac:dyDescent="0.25">
      <c r="B1995" s="392" t="str">
        <f t="shared" si="63"/>
        <v xml:space="preserve"> -  </v>
      </c>
      <c r="C1995" s="1441" t="str">
        <f t="shared" si="62"/>
        <v xml:space="preserve"> </v>
      </c>
      <c r="D1995" s="1428"/>
      <c r="E1995" s="1429"/>
      <c r="F1995" s="1430"/>
      <c r="G1995" s="1431"/>
      <c r="H1995" s="1430"/>
      <c r="I1995" s="1429"/>
      <c r="J1995" s="2196"/>
    </row>
    <row r="1996" spans="2:10" ht="13.5" thickBot="1" x14ac:dyDescent="0.25">
      <c r="B1996" s="392" t="str">
        <f t="shared" si="63"/>
        <v xml:space="preserve"> -  </v>
      </c>
      <c r="C1996" s="1441" t="str">
        <f t="shared" si="62"/>
        <v xml:space="preserve"> </v>
      </c>
      <c r="D1996" s="1428"/>
      <c r="E1996" s="1429"/>
      <c r="F1996" s="1430"/>
      <c r="G1996" s="1431"/>
      <c r="H1996" s="1430"/>
      <c r="I1996" s="1429"/>
      <c r="J1996" s="2196"/>
    </row>
    <row r="1997" spans="2:10" ht="13.5" thickBot="1" x14ac:dyDescent="0.25">
      <c r="B1997" s="392" t="str">
        <f t="shared" si="63"/>
        <v xml:space="preserve"> -  </v>
      </c>
      <c r="C1997" s="1441" t="str">
        <f t="shared" si="62"/>
        <v xml:space="preserve"> </v>
      </c>
      <c r="D1997" s="1428"/>
      <c r="E1997" s="1429"/>
      <c r="F1997" s="1430"/>
      <c r="G1997" s="1431"/>
      <c r="H1997" s="1430"/>
      <c r="I1997" s="1429"/>
      <c r="J1997" s="2196"/>
    </row>
    <row r="1998" spans="2:10" ht="13.5" thickBot="1" x14ac:dyDescent="0.25">
      <c r="B1998" s="392" t="str">
        <f t="shared" si="63"/>
        <v xml:space="preserve"> -  </v>
      </c>
      <c r="C1998" s="1441" t="str">
        <f t="shared" si="62"/>
        <v xml:space="preserve"> </v>
      </c>
      <c r="D1998" s="1428"/>
      <c r="E1998" s="1429"/>
      <c r="F1998" s="1430"/>
      <c r="G1998" s="1431"/>
      <c r="H1998" s="1430"/>
      <c r="I1998" s="1429"/>
      <c r="J1998" s="2196"/>
    </row>
    <row r="1999" spans="2:10" ht="13.5" thickBot="1" x14ac:dyDescent="0.25">
      <c r="B1999" s="392" t="str">
        <f t="shared" si="63"/>
        <v xml:space="preserve"> -  </v>
      </c>
      <c r="C1999" s="1441" t="str">
        <f t="shared" si="62"/>
        <v xml:space="preserve"> </v>
      </c>
      <c r="D1999" s="1428"/>
      <c r="E1999" s="1429"/>
      <c r="F1999" s="1430"/>
      <c r="G1999" s="1431"/>
      <c r="H1999" s="1430"/>
      <c r="I1999" s="1429"/>
      <c r="J1999" s="2196"/>
    </row>
    <row r="2000" spans="2:10" ht="13.5" thickBot="1" x14ac:dyDescent="0.25">
      <c r="B2000" s="392" t="str">
        <f t="shared" si="63"/>
        <v xml:space="preserve"> -  </v>
      </c>
      <c r="C2000" s="1441" t="str">
        <f t="shared" si="62"/>
        <v xml:space="preserve"> </v>
      </c>
      <c r="D2000" s="1428"/>
      <c r="E2000" s="1429"/>
      <c r="F2000" s="1430"/>
      <c r="G2000" s="1431"/>
      <c r="H2000" s="1430"/>
      <c r="I2000" s="1429"/>
      <c r="J2000" s="2196"/>
    </row>
    <row r="2001" spans="2:10" ht="13.5" thickBot="1" x14ac:dyDescent="0.25">
      <c r="B2001" s="392" t="str">
        <f t="shared" si="63"/>
        <v xml:space="preserve"> -  </v>
      </c>
      <c r="C2001" s="1441" t="str">
        <f t="shared" si="62"/>
        <v xml:space="preserve"> </v>
      </c>
      <c r="D2001" s="1428"/>
      <c r="E2001" s="1429"/>
      <c r="F2001" s="1430"/>
      <c r="G2001" s="1431"/>
      <c r="H2001" s="1430"/>
      <c r="I2001" s="1429"/>
      <c r="J2001" s="2196"/>
    </row>
    <row r="2002" spans="2:10" ht="13.5" thickBot="1" x14ac:dyDescent="0.25">
      <c r="B2002" s="392" t="str">
        <f t="shared" si="63"/>
        <v xml:space="preserve"> -  </v>
      </c>
      <c r="C2002" s="1441" t="str">
        <f t="shared" si="62"/>
        <v xml:space="preserve"> </v>
      </c>
      <c r="D2002" s="1428"/>
      <c r="E2002" s="1429"/>
      <c r="F2002" s="1430"/>
      <c r="G2002" s="1431"/>
      <c r="H2002" s="1430"/>
      <c r="I2002" s="1429"/>
      <c r="J2002" s="2196"/>
    </row>
    <row r="2003" spans="2:10" ht="13.5" thickBot="1" x14ac:dyDescent="0.25">
      <c r="B2003" s="392" t="str">
        <f t="shared" si="63"/>
        <v xml:space="preserve"> -  </v>
      </c>
      <c r="C2003" s="1441" t="str">
        <f t="shared" si="62"/>
        <v xml:space="preserve"> </v>
      </c>
      <c r="D2003" s="1428"/>
      <c r="E2003" s="1429"/>
      <c r="F2003" s="1430"/>
      <c r="G2003" s="1431"/>
      <c r="H2003" s="1430"/>
      <c r="I2003" s="1429"/>
      <c r="J2003" s="2196"/>
    </row>
    <row r="2004" spans="2:10" ht="13.5" thickBot="1" x14ac:dyDescent="0.25">
      <c r="B2004" s="392" t="str">
        <f t="shared" si="63"/>
        <v xml:space="preserve"> -  </v>
      </c>
      <c r="C2004" s="1441" t="str">
        <f t="shared" si="62"/>
        <v xml:space="preserve"> </v>
      </c>
      <c r="D2004" s="1428"/>
      <c r="E2004" s="1429"/>
      <c r="F2004" s="1430"/>
      <c r="G2004" s="1431"/>
      <c r="H2004" s="1430"/>
      <c r="I2004" s="1429"/>
      <c r="J2004" s="2196"/>
    </row>
    <row r="2005" spans="2:10" ht="13.5" thickBot="1" x14ac:dyDescent="0.25">
      <c r="B2005" s="392" t="str">
        <f t="shared" si="63"/>
        <v xml:space="preserve"> -  </v>
      </c>
      <c r="C2005" s="1441" t="str">
        <f t="shared" si="62"/>
        <v xml:space="preserve"> </v>
      </c>
      <c r="D2005" s="1428"/>
      <c r="E2005" s="1429"/>
      <c r="F2005" s="1430"/>
      <c r="G2005" s="1431"/>
      <c r="H2005" s="1430"/>
      <c r="I2005" s="1429"/>
      <c r="J2005" s="2196"/>
    </row>
    <row r="2006" spans="2:10" ht="13.5" thickBot="1" x14ac:dyDescent="0.25">
      <c r="B2006" s="392" t="str">
        <f t="shared" si="63"/>
        <v xml:space="preserve"> -  </v>
      </c>
      <c r="C2006" s="1441" t="str">
        <f t="shared" si="62"/>
        <v xml:space="preserve"> </v>
      </c>
      <c r="D2006" s="1428"/>
      <c r="E2006" s="1429"/>
      <c r="F2006" s="1430"/>
      <c r="G2006" s="1431"/>
      <c r="H2006" s="1430"/>
      <c r="I2006" s="1429"/>
      <c r="J2006" s="2196"/>
    </row>
    <row r="2007" spans="2:10" ht="13.5" thickBot="1" x14ac:dyDescent="0.25">
      <c r="B2007" s="392" t="str">
        <f t="shared" si="63"/>
        <v xml:space="preserve"> -  </v>
      </c>
      <c r="C2007" s="1441" t="str">
        <f t="shared" si="62"/>
        <v xml:space="preserve"> </v>
      </c>
      <c r="D2007" s="1428"/>
      <c r="E2007" s="1429"/>
      <c r="F2007" s="1430"/>
      <c r="G2007" s="1431"/>
      <c r="H2007" s="1430"/>
      <c r="I2007" s="1429"/>
      <c r="J2007" s="2196"/>
    </row>
    <row r="2008" spans="2:10" ht="13.5" thickBot="1" x14ac:dyDescent="0.25">
      <c r="B2008" s="392" t="str">
        <f t="shared" si="63"/>
        <v xml:space="preserve"> -  </v>
      </c>
      <c r="C2008" s="1441" t="str">
        <f t="shared" si="62"/>
        <v xml:space="preserve"> </v>
      </c>
      <c r="D2008" s="1428"/>
      <c r="E2008" s="1429"/>
      <c r="F2008" s="1430"/>
      <c r="G2008" s="1431"/>
      <c r="H2008" s="1430"/>
      <c r="I2008" s="1429"/>
      <c r="J2008" s="2196"/>
    </row>
    <row r="2009" spans="2:10" ht="13.5" thickBot="1" x14ac:dyDescent="0.25">
      <c r="B2009" s="392" t="str">
        <f t="shared" si="63"/>
        <v xml:space="preserve"> -  </v>
      </c>
      <c r="C2009" s="1441" t="str">
        <f t="shared" si="62"/>
        <v xml:space="preserve"> </v>
      </c>
      <c r="D2009" s="1428"/>
      <c r="E2009" s="1429"/>
      <c r="F2009" s="1430"/>
      <c r="G2009" s="1431"/>
      <c r="H2009" s="1430"/>
      <c r="I2009" s="1429"/>
      <c r="J2009" s="2196"/>
    </row>
    <row r="2010" spans="2:10" ht="13.5" thickBot="1" x14ac:dyDescent="0.25">
      <c r="B2010" s="392" t="str">
        <f t="shared" si="63"/>
        <v xml:space="preserve"> -  </v>
      </c>
      <c r="C2010" s="1441" t="str">
        <f t="shared" si="62"/>
        <v xml:space="preserve"> </v>
      </c>
      <c r="D2010" s="1428"/>
      <c r="E2010" s="1429"/>
      <c r="F2010" s="1430"/>
      <c r="G2010" s="1431"/>
      <c r="H2010" s="1430"/>
      <c r="I2010" s="1429"/>
      <c r="J2010" s="2196"/>
    </row>
    <row r="2011" spans="2:10" ht="13.5" thickBot="1" x14ac:dyDescent="0.25">
      <c r="B2011" s="392" t="str">
        <f t="shared" si="63"/>
        <v xml:space="preserve"> -  </v>
      </c>
      <c r="C2011" s="1441" t="str">
        <f t="shared" ref="C2011:C2074" si="64">CONCATENATE(UPPER(F2011)," ",G2011)</f>
        <v xml:space="preserve"> </v>
      </c>
      <c r="D2011" s="1428"/>
      <c r="E2011" s="1429"/>
      <c r="F2011" s="1430"/>
      <c r="G2011" s="1431"/>
      <c r="H2011" s="1430"/>
      <c r="I2011" s="1429"/>
      <c r="J2011" s="2196"/>
    </row>
    <row r="2012" spans="2:10" ht="13.5" thickBot="1" x14ac:dyDescent="0.25">
      <c r="B2012" s="392" t="str">
        <f t="shared" si="63"/>
        <v xml:space="preserve"> -  </v>
      </c>
      <c r="C2012" s="1441" t="str">
        <f t="shared" si="64"/>
        <v xml:space="preserve"> </v>
      </c>
      <c r="D2012" s="1428"/>
      <c r="E2012" s="1429"/>
      <c r="F2012" s="1430"/>
      <c r="G2012" s="1431"/>
      <c r="H2012" s="1430"/>
      <c r="I2012" s="1429"/>
      <c r="J2012" s="2196"/>
    </row>
    <row r="2013" spans="2:10" ht="13.5" thickBot="1" x14ac:dyDescent="0.25">
      <c r="B2013" s="392" t="str">
        <f t="shared" si="63"/>
        <v xml:space="preserve"> -  </v>
      </c>
      <c r="C2013" s="1441" t="str">
        <f t="shared" si="64"/>
        <v xml:space="preserve"> </v>
      </c>
      <c r="D2013" s="1428"/>
      <c r="E2013" s="1429"/>
      <c r="F2013" s="1430"/>
      <c r="G2013" s="1431"/>
      <c r="H2013" s="1430"/>
      <c r="I2013" s="1429"/>
      <c r="J2013" s="2196"/>
    </row>
    <row r="2014" spans="2:10" ht="13.5" thickBot="1" x14ac:dyDescent="0.25">
      <c r="B2014" s="392" t="str">
        <f t="shared" si="63"/>
        <v xml:space="preserve"> -  </v>
      </c>
      <c r="C2014" s="1441" t="str">
        <f t="shared" si="64"/>
        <v xml:space="preserve"> </v>
      </c>
      <c r="D2014" s="1428"/>
      <c r="E2014" s="1429"/>
      <c r="F2014" s="1430"/>
      <c r="G2014" s="1431"/>
      <c r="H2014" s="1430"/>
      <c r="I2014" s="1429"/>
      <c r="J2014" s="2196"/>
    </row>
    <row r="2015" spans="2:10" ht="13.5" thickBot="1" x14ac:dyDescent="0.25">
      <c r="B2015" s="392" t="str">
        <f t="shared" si="63"/>
        <v xml:space="preserve"> -  </v>
      </c>
      <c r="C2015" s="1441" t="str">
        <f t="shared" si="64"/>
        <v xml:space="preserve"> </v>
      </c>
      <c r="D2015" s="1428"/>
      <c r="E2015" s="1429"/>
      <c r="F2015" s="1430"/>
      <c r="G2015" s="1431"/>
      <c r="H2015" s="1430"/>
      <c r="I2015" s="1429"/>
      <c r="J2015" s="2196"/>
    </row>
    <row r="2016" spans="2:10" ht="13.5" thickBot="1" x14ac:dyDescent="0.25">
      <c r="B2016" s="392" t="str">
        <f t="shared" si="63"/>
        <v xml:space="preserve"> -  </v>
      </c>
      <c r="C2016" s="1441" t="str">
        <f t="shared" si="64"/>
        <v xml:space="preserve"> </v>
      </c>
      <c r="D2016" s="1428"/>
      <c r="E2016" s="1429"/>
      <c r="F2016" s="1430"/>
      <c r="G2016" s="1431"/>
      <c r="H2016" s="1430"/>
      <c r="I2016" s="1429"/>
      <c r="J2016" s="2196"/>
    </row>
    <row r="2017" spans="2:10" ht="13.5" thickBot="1" x14ac:dyDescent="0.25">
      <c r="B2017" s="392" t="str">
        <f t="shared" si="63"/>
        <v xml:space="preserve"> -  </v>
      </c>
      <c r="C2017" s="1441" t="str">
        <f t="shared" si="64"/>
        <v xml:space="preserve"> </v>
      </c>
      <c r="D2017" s="1428"/>
      <c r="E2017" s="1429"/>
      <c r="F2017" s="1430"/>
      <c r="G2017" s="1431"/>
      <c r="H2017" s="1430"/>
      <c r="I2017" s="1429"/>
      <c r="J2017" s="2196"/>
    </row>
    <row r="2018" spans="2:10" ht="13.5" thickBot="1" x14ac:dyDescent="0.25">
      <c r="B2018" s="392" t="str">
        <f t="shared" si="63"/>
        <v xml:space="preserve"> -  </v>
      </c>
      <c r="C2018" s="1441" t="str">
        <f t="shared" si="64"/>
        <v xml:space="preserve"> </v>
      </c>
      <c r="D2018" s="1428"/>
      <c r="E2018" s="1429"/>
      <c r="F2018" s="1430"/>
      <c r="G2018" s="1431"/>
      <c r="H2018" s="1430"/>
      <c r="I2018" s="1429"/>
      <c r="J2018" s="2196"/>
    </row>
    <row r="2019" spans="2:10" ht="13.5" thickBot="1" x14ac:dyDescent="0.25">
      <c r="B2019" s="392" t="str">
        <f t="shared" si="63"/>
        <v xml:space="preserve"> -  </v>
      </c>
      <c r="C2019" s="1441" t="str">
        <f t="shared" si="64"/>
        <v xml:space="preserve"> </v>
      </c>
      <c r="D2019" s="1428"/>
      <c r="E2019" s="1429"/>
      <c r="F2019" s="1430"/>
      <c r="G2019" s="1431"/>
      <c r="H2019" s="1430"/>
      <c r="I2019" s="1429"/>
      <c r="J2019" s="2196"/>
    </row>
    <row r="2020" spans="2:10" ht="13.5" thickBot="1" x14ac:dyDescent="0.25">
      <c r="B2020" s="392" t="str">
        <f t="shared" si="63"/>
        <v xml:space="preserve"> -  </v>
      </c>
      <c r="C2020" s="1441" t="str">
        <f t="shared" si="64"/>
        <v xml:space="preserve"> </v>
      </c>
      <c r="D2020" s="1428"/>
      <c r="E2020" s="1429"/>
      <c r="F2020" s="1430"/>
      <c r="G2020" s="1431"/>
      <c r="H2020" s="1430"/>
      <c r="I2020" s="1429"/>
      <c r="J2020" s="2196"/>
    </row>
    <row r="2021" spans="2:10" ht="13.5" thickBot="1" x14ac:dyDescent="0.25">
      <c r="B2021" s="392" t="str">
        <f t="shared" si="63"/>
        <v xml:space="preserve"> -  </v>
      </c>
      <c r="C2021" s="1441" t="str">
        <f t="shared" si="64"/>
        <v xml:space="preserve"> </v>
      </c>
      <c r="D2021" s="1428"/>
      <c r="E2021" s="1429"/>
      <c r="F2021" s="1430"/>
      <c r="G2021" s="1431"/>
      <c r="H2021" s="1430"/>
      <c r="I2021" s="1429"/>
      <c r="J2021" s="2196"/>
    </row>
    <row r="2022" spans="2:10" ht="13.5" thickBot="1" x14ac:dyDescent="0.25">
      <c r="B2022" s="392" t="str">
        <f t="shared" si="63"/>
        <v xml:space="preserve"> -  </v>
      </c>
      <c r="C2022" s="1441" t="str">
        <f t="shared" si="64"/>
        <v xml:space="preserve"> </v>
      </c>
      <c r="D2022" s="1428"/>
      <c r="E2022" s="1429"/>
      <c r="F2022" s="1430"/>
      <c r="G2022" s="1431"/>
      <c r="H2022" s="1430"/>
      <c r="I2022" s="1429"/>
      <c r="J2022" s="2196"/>
    </row>
    <row r="2023" spans="2:10" ht="13.5" thickBot="1" x14ac:dyDescent="0.25">
      <c r="B2023" s="392" t="str">
        <f t="shared" si="63"/>
        <v xml:space="preserve"> -  </v>
      </c>
      <c r="C2023" s="1441" t="str">
        <f t="shared" si="64"/>
        <v xml:space="preserve"> </v>
      </c>
      <c r="D2023" s="1428"/>
      <c r="E2023" s="1429"/>
      <c r="F2023" s="1430"/>
      <c r="G2023" s="1431"/>
      <c r="H2023" s="1430"/>
      <c r="I2023" s="1429"/>
      <c r="J2023" s="2196"/>
    </row>
    <row r="2024" spans="2:10" ht="13.5" thickBot="1" x14ac:dyDescent="0.25">
      <c r="B2024" s="392" t="str">
        <f t="shared" si="63"/>
        <v xml:space="preserve"> -  </v>
      </c>
      <c r="C2024" s="1441" t="str">
        <f t="shared" si="64"/>
        <v xml:space="preserve"> </v>
      </c>
      <c r="D2024" s="1428"/>
      <c r="E2024" s="1429"/>
      <c r="F2024" s="1430"/>
      <c r="G2024" s="1431"/>
      <c r="H2024" s="1430"/>
      <c r="I2024" s="1429"/>
      <c r="J2024" s="2196"/>
    </row>
    <row r="2025" spans="2:10" ht="13.5" thickBot="1" x14ac:dyDescent="0.25">
      <c r="B2025" s="392" t="str">
        <f t="shared" si="63"/>
        <v xml:space="preserve"> -  </v>
      </c>
      <c r="C2025" s="1441" t="str">
        <f t="shared" si="64"/>
        <v xml:space="preserve"> </v>
      </c>
      <c r="D2025" s="1428"/>
      <c r="E2025" s="1429"/>
      <c r="F2025" s="1430"/>
      <c r="G2025" s="1431"/>
      <c r="H2025" s="1430"/>
      <c r="I2025" s="1429"/>
      <c r="J2025" s="2196"/>
    </row>
    <row r="2026" spans="2:10" ht="13.5" thickBot="1" x14ac:dyDescent="0.25">
      <c r="B2026" s="392" t="str">
        <f t="shared" si="63"/>
        <v xml:space="preserve"> -  </v>
      </c>
      <c r="C2026" s="1441" t="str">
        <f t="shared" si="64"/>
        <v xml:space="preserve"> </v>
      </c>
      <c r="D2026" s="1428"/>
      <c r="E2026" s="1429"/>
      <c r="F2026" s="1430"/>
      <c r="G2026" s="1431"/>
      <c r="H2026" s="1430"/>
      <c r="I2026" s="1429"/>
      <c r="J2026" s="2196"/>
    </row>
    <row r="2027" spans="2:10" ht="13.5" thickBot="1" x14ac:dyDescent="0.25">
      <c r="B2027" s="392" t="str">
        <f t="shared" si="63"/>
        <v xml:space="preserve"> -  </v>
      </c>
      <c r="C2027" s="1441" t="str">
        <f t="shared" si="64"/>
        <v xml:space="preserve"> </v>
      </c>
      <c r="D2027" s="1428"/>
      <c r="E2027" s="1429"/>
      <c r="F2027" s="1430"/>
      <c r="G2027" s="1431"/>
      <c r="H2027" s="1430"/>
      <c r="I2027" s="1429"/>
      <c r="J2027" s="2196"/>
    </row>
    <row r="2028" spans="2:10" ht="13.5" thickBot="1" x14ac:dyDescent="0.25">
      <c r="B2028" s="392" t="str">
        <f t="shared" si="63"/>
        <v xml:space="preserve"> -  </v>
      </c>
      <c r="C2028" s="1441" t="str">
        <f t="shared" si="64"/>
        <v xml:space="preserve"> </v>
      </c>
      <c r="D2028" s="1428"/>
      <c r="E2028" s="1429"/>
      <c r="F2028" s="1430"/>
      <c r="G2028" s="1431"/>
      <c r="H2028" s="1430"/>
      <c r="I2028" s="1429"/>
      <c r="J2028" s="2196"/>
    </row>
    <row r="2029" spans="2:10" ht="13.5" thickBot="1" x14ac:dyDescent="0.25">
      <c r="B2029" s="392" t="str">
        <f t="shared" si="63"/>
        <v xml:space="preserve"> -  </v>
      </c>
      <c r="C2029" s="1441" t="str">
        <f t="shared" si="64"/>
        <v xml:space="preserve"> </v>
      </c>
      <c r="D2029" s="1428"/>
      <c r="E2029" s="1429"/>
      <c r="F2029" s="1430"/>
      <c r="G2029" s="1431"/>
      <c r="H2029" s="1430"/>
      <c r="I2029" s="1429"/>
      <c r="J2029" s="2196"/>
    </row>
    <row r="2030" spans="2:10" ht="13.5" thickBot="1" x14ac:dyDescent="0.25">
      <c r="B2030" s="392" t="str">
        <f t="shared" si="63"/>
        <v xml:space="preserve"> -  </v>
      </c>
      <c r="C2030" s="1441" t="str">
        <f t="shared" si="64"/>
        <v xml:space="preserve"> </v>
      </c>
      <c r="D2030" s="1428"/>
      <c r="E2030" s="1429"/>
      <c r="F2030" s="1430"/>
      <c r="G2030" s="1431"/>
      <c r="H2030" s="1430"/>
      <c r="I2030" s="1429"/>
      <c r="J2030" s="2196"/>
    </row>
    <row r="2031" spans="2:10" ht="13.5" thickBot="1" x14ac:dyDescent="0.25">
      <c r="B2031" s="392" t="str">
        <f t="shared" si="63"/>
        <v xml:space="preserve"> -  </v>
      </c>
      <c r="C2031" s="1441" t="str">
        <f t="shared" si="64"/>
        <v xml:space="preserve"> </v>
      </c>
      <c r="D2031" s="1428"/>
      <c r="E2031" s="1429"/>
      <c r="F2031" s="1430"/>
      <c r="G2031" s="1431"/>
      <c r="H2031" s="1430"/>
      <c r="I2031" s="1429"/>
      <c r="J2031" s="2196"/>
    </row>
    <row r="2032" spans="2:10" ht="13.5" thickBot="1" x14ac:dyDescent="0.25">
      <c r="B2032" s="392" t="str">
        <f t="shared" si="63"/>
        <v xml:space="preserve"> -  </v>
      </c>
      <c r="C2032" s="1441" t="str">
        <f t="shared" si="64"/>
        <v xml:space="preserve"> </v>
      </c>
      <c r="D2032" s="1428"/>
      <c r="E2032" s="1429"/>
      <c r="F2032" s="1430"/>
      <c r="G2032" s="1431"/>
      <c r="H2032" s="1430"/>
      <c r="I2032" s="1429"/>
      <c r="J2032" s="2196"/>
    </row>
    <row r="2033" spans="2:10" ht="13.5" thickBot="1" x14ac:dyDescent="0.25">
      <c r="B2033" s="392" t="str">
        <f t="shared" si="63"/>
        <v xml:space="preserve"> -  </v>
      </c>
      <c r="C2033" s="1441" t="str">
        <f t="shared" si="64"/>
        <v xml:space="preserve"> </v>
      </c>
      <c r="D2033" s="1428"/>
      <c r="E2033" s="1429"/>
      <c r="F2033" s="1430"/>
      <c r="G2033" s="1431"/>
      <c r="H2033" s="1430"/>
      <c r="I2033" s="1429"/>
      <c r="J2033" s="2196"/>
    </row>
    <row r="2034" spans="2:10" ht="13.5" thickBot="1" x14ac:dyDescent="0.25">
      <c r="B2034" s="392" t="str">
        <f t="shared" si="63"/>
        <v xml:space="preserve"> -  </v>
      </c>
      <c r="C2034" s="1441" t="str">
        <f t="shared" si="64"/>
        <v xml:space="preserve"> </v>
      </c>
      <c r="D2034" s="1428"/>
      <c r="E2034" s="1429"/>
      <c r="F2034" s="1430"/>
      <c r="G2034" s="1431"/>
      <c r="H2034" s="1430"/>
      <c r="I2034" s="1429"/>
      <c r="J2034" s="2196"/>
    </row>
    <row r="2035" spans="2:10" ht="13.5" thickBot="1" x14ac:dyDescent="0.25">
      <c r="B2035" s="392" t="str">
        <f t="shared" si="63"/>
        <v xml:space="preserve"> -  </v>
      </c>
      <c r="C2035" s="1441" t="str">
        <f t="shared" si="64"/>
        <v xml:space="preserve"> </v>
      </c>
      <c r="D2035" s="1428"/>
      <c r="E2035" s="1429"/>
      <c r="F2035" s="1430"/>
      <c r="G2035" s="1431"/>
      <c r="H2035" s="1430"/>
      <c r="I2035" s="1429"/>
      <c r="J2035" s="2196"/>
    </row>
    <row r="2036" spans="2:10" ht="13.5" thickBot="1" x14ac:dyDescent="0.25">
      <c r="B2036" s="392" t="str">
        <f t="shared" si="63"/>
        <v xml:space="preserve"> -  </v>
      </c>
      <c r="C2036" s="1441" t="str">
        <f t="shared" si="64"/>
        <v xml:space="preserve"> </v>
      </c>
      <c r="D2036" s="1428"/>
      <c r="E2036" s="1429"/>
      <c r="F2036" s="1430"/>
      <c r="G2036" s="1431"/>
      <c r="H2036" s="1430"/>
      <c r="I2036" s="1429"/>
      <c r="J2036" s="2196"/>
    </row>
    <row r="2037" spans="2:10" ht="13.5" thickBot="1" x14ac:dyDescent="0.25">
      <c r="B2037" s="392" t="str">
        <f t="shared" si="63"/>
        <v xml:space="preserve"> -  </v>
      </c>
      <c r="C2037" s="1441" t="str">
        <f t="shared" si="64"/>
        <v xml:space="preserve"> </v>
      </c>
      <c r="D2037" s="1428"/>
      <c r="E2037" s="1429"/>
      <c r="F2037" s="1430"/>
      <c r="G2037" s="1431"/>
      <c r="H2037" s="1430"/>
      <c r="I2037" s="1429"/>
      <c r="J2037" s="2196"/>
    </row>
    <row r="2038" spans="2:10" ht="13.5" thickBot="1" x14ac:dyDescent="0.25">
      <c r="B2038" s="392" t="str">
        <f t="shared" si="63"/>
        <v xml:space="preserve"> -  </v>
      </c>
      <c r="C2038" s="1441" t="str">
        <f t="shared" si="64"/>
        <v xml:space="preserve"> </v>
      </c>
      <c r="D2038" s="1428"/>
      <c r="E2038" s="1429"/>
      <c r="F2038" s="1430"/>
      <c r="G2038" s="1431"/>
      <c r="H2038" s="1430"/>
      <c r="I2038" s="1429"/>
      <c r="J2038" s="2196"/>
    </row>
    <row r="2039" spans="2:10" ht="13.5" thickBot="1" x14ac:dyDescent="0.25">
      <c r="B2039" s="392" t="str">
        <f t="shared" si="63"/>
        <v xml:space="preserve"> -  </v>
      </c>
      <c r="C2039" s="1441" t="str">
        <f t="shared" si="64"/>
        <v xml:space="preserve"> </v>
      </c>
      <c r="D2039" s="1428"/>
      <c r="E2039" s="1429"/>
      <c r="F2039" s="1430"/>
      <c r="G2039" s="1431"/>
      <c r="H2039" s="1430"/>
      <c r="I2039" s="1429"/>
      <c r="J2039" s="2196"/>
    </row>
    <row r="2040" spans="2:10" ht="13.5" thickBot="1" x14ac:dyDescent="0.25">
      <c r="B2040" s="392" t="str">
        <f t="shared" si="63"/>
        <v xml:space="preserve"> -  </v>
      </c>
      <c r="C2040" s="1441" t="str">
        <f t="shared" si="64"/>
        <v xml:space="preserve"> </v>
      </c>
      <c r="D2040" s="1428"/>
      <c r="E2040" s="1429"/>
      <c r="F2040" s="1430"/>
      <c r="G2040" s="1431"/>
      <c r="H2040" s="1430"/>
      <c r="I2040" s="1429"/>
      <c r="J2040" s="2196"/>
    </row>
    <row r="2041" spans="2:10" ht="13.5" thickBot="1" x14ac:dyDescent="0.25">
      <c r="B2041" s="392" t="str">
        <f t="shared" si="63"/>
        <v xml:space="preserve"> -  </v>
      </c>
      <c r="C2041" s="1441" t="str">
        <f t="shared" si="64"/>
        <v xml:space="preserve"> </v>
      </c>
      <c r="D2041" s="1428"/>
      <c r="E2041" s="1429"/>
      <c r="F2041" s="1430"/>
      <c r="G2041" s="1431"/>
      <c r="H2041" s="1430"/>
      <c r="I2041" s="1429"/>
      <c r="J2041" s="2196"/>
    </row>
    <row r="2042" spans="2:10" ht="13.5" thickBot="1" x14ac:dyDescent="0.25">
      <c r="B2042" s="392" t="str">
        <f t="shared" si="63"/>
        <v xml:space="preserve"> -  </v>
      </c>
      <c r="C2042" s="1441" t="str">
        <f t="shared" si="64"/>
        <v xml:space="preserve"> </v>
      </c>
      <c r="D2042" s="1428"/>
      <c r="E2042" s="1429"/>
      <c r="F2042" s="1430"/>
      <c r="G2042" s="1431"/>
      <c r="H2042" s="1430"/>
      <c r="I2042" s="1429"/>
      <c r="J2042" s="2196"/>
    </row>
    <row r="2043" spans="2:10" ht="13.5" thickBot="1" x14ac:dyDescent="0.25">
      <c r="B2043" s="392" t="str">
        <f t="shared" si="63"/>
        <v xml:space="preserve"> -  </v>
      </c>
      <c r="C2043" s="1441" t="str">
        <f t="shared" si="64"/>
        <v xml:space="preserve"> </v>
      </c>
      <c r="D2043" s="1428"/>
      <c r="E2043" s="1429"/>
      <c r="F2043" s="1430"/>
      <c r="G2043" s="1431"/>
      <c r="H2043" s="1430"/>
      <c r="I2043" s="1429"/>
      <c r="J2043" s="2196"/>
    </row>
    <row r="2044" spans="2:10" ht="13.5" thickBot="1" x14ac:dyDescent="0.25">
      <c r="B2044" s="392" t="str">
        <f t="shared" si="63"/>
        <v xml:space="preserve"> -  </v>
      </c>
      <c r="C2044" s="1441" t="str">
        <f t="shared" si="64"/>
        <v xml:space="preserve"> </v>
      </c>
      <c r="D2044" s="1428"/>
      <c r="E2044" s="1429"/>
      <c r="F2044" s="1430"/>
      <c r="G2044" s="1431"/>
      <c r="H2044" s="1430"/>
      <c r="I2044" s="1429"/>
      <c r="J2044" s="2196"/>
    </row>
    <row r="2045" spans="2:10" ht="13.5" thickBot="1" x14ac:dyDescent="0.25">
      <c r="B2045" s="392" t="str">
        <f t="shared" si="63"/>
        <v xml:space="preserve"> -  </v>
      </c>
      <c r="C2045" s="1441" t="str">
        <f t="shared" si="64"/>
        <v xml:space="preserve"> </v>
      </c>
      <c r="D2045" s="1428"/>
      <c r="E2045" s="1429"/>
      <c r="F2045" s="1430"/>
      <c r="G2045" s="1431"/>
      <c r="H2045" s="1430"/>
      <c r="I2045" s="1429"/>
      <c r="J2045" s="2196"/>
    </row>
    <row r="2046" spans="2:10" ht="13.5" thickBot="1" x14ac:dyDescent="0.25">
      <c r="B2046" s="392" t="str">
        <f t="shared" si="63"/>
        <v xml:space="preserve"> -  </v>
      </c>
      <c r="C2046" s="1441" t="str">
        <f t="shared" si="64"/>
        <v xml:space="preserve"> </v>
      </c>
      <c r="D2046" s="1428"/>
      <c r="E2046" s="1429"/>
      <c r="F2046" s="1430"/>
      <c r="G2046" s="1431"/>
      <c r="H2046" s="1430"/>
      <c r="I2046" s="1429"/>
      <c r="J2046" s="2196"/>
    </row>
    <row r="2047" spans="2:10" ht="13.5" thickBot="1" x14ac:dyDescent="0.25">
      <c r="B2047" s="392" t="str">
        <f t="shared" si="63"/>
        <v xml:space="preserve"> -  </v>
      </c>
      <c r="C2047" s="1441" t="str">
        <f t="shared" si="64"/>
        <v xml:space="preserve"> </v>
      </c>
      <c r="D2047" s="1428"/>
      <c r="E2047" s="1429"/>
      <c r="F2047" s="1430"/>
      <c r="G2047" s="1431"/>
      <c r="H2047" s="1430"/>
      <c r="I2047" s="1429"/>
      <c r="J2047" s="2196"/>
    </row>
    <row r="2048" spans="2:10" ht="13.5" thickBot="1" x14ac:dyDescent="0.25">
      <c r="B2048" s="392" t="str">
        <f t="shared" si="63"/>
        <v xml:space="preserve"> -  </v>
      </c>
      <c r="C2048" s="1441" t="str">
        <f t="shared" si="64"/>
        <v xml:space="preserve"> </v>
      </c>
      <c r="D2048" s="1428"/>
      <c r="E2048" s="1429"/>
      <c r="F2048" s="1430"/>
      <c r="G2048" s="1431"/>
      <c r="H2048" s="1430"/>
      <c r="I2048" s="1429"/>
      <c r="J2048" s="2196"/>
    </row>
    <row r="2049" spans="2:10" ht="13.5" thickBot="1" x14ac:dyDescent="0.25">
      <c r="B2049" s="392" t="str">
        <f t="shared" si="63"/>
        <v xml:space="preserve"> -  </v>
      </c>
      <c r="C2049" s="1441" t="str">
        <f t="shared" si="64"/>
        <v xml:space="preserve"> </v>
      </c>
      <c r="D2049" s="1428"/>
      <c r="E2049" s="1429"/>
      <c r="F2049" s="1430"/>
      <c r="G2049" s="1431"/>
      <c r="H2049" s="1430"/>
      <c r="I2049" s="1429"/>
      <c r="J2049" s="2196"/>
    </row>
    <row r="2050" spans="2:10" ht="13.5" thickBot="1" x14ac:dyDescent="0.25">
      <c r="B2050" s="392" t="str">
        <f t="shared" si="63"/>
        <v xml:space="preserve"> -  </v>
      </c>
      <c r="C2050" s="1441" t="str">
        <f t="shared" si="64"/>
        <v xml:space="preserve"> </v>
      </c>
      <c r="D2050" s="1428"/>
      <c r="E2050" s="1429"/>
      <c r="F2050" s="1430"/>
      <c r="G2050" s="1431"/>
      <c r="H2050" s="1430"/>
      <c r="I2050" s="1429"/>
      <c r="J2050" s="2196"/>
    </row>
    <row r="2051" spans="2:10" ht="13.5" thickBot="1" x14ac:dyDescent="0.25">
      <c r="B2051" s="392" t="str">
        <f t="shared" si="63"/>
        <v xml:space="preserve"> -  </v>
      </c>
      <c r="C2051" s="1441" t="str">
        <f t="shared" si="64"/>
        <v xml:space="preserve"> </v>
      </c>
      <c r="D2051" s="1428"/>
      <c r="E2051" s="1429"/>
      <c r="F2051" s="1430"/>
      <c r="G2051" s="1431"/>
      <c r="H2051" s="1430"/>
      <c r="I2051" s="1429"/>
      <c r="J2051" s="2196"/>
    </row>
    <row r="2052" spans="2:10" ht="13.5" thickBot="1" x14ac:dyDescent="0.25">
      <c r="B2052" s="392" t="str">
        <f t="shared" si="63"/>
        <v xml:space="preserve"> -  </v>
      </c>
      <c r="C2052" s="1441" t="str">
        <f t="shared" si="64"/>
        <v xml:space="preserve"> </v>
      </c>
      <c r="D2052" s="1428"/>
      <c r="E2052" s="1429"/>
      <c r="F2052" s="1430"/>
      <c r="G2052" s="1431"/>
      <c r="H2052" s="1430"/>
      <c r="I2052" s="1429"/>
      <c r="J2052" s="2196"/>
    </row>
    <row r="2053" spans="2:10" ht="13.5" thickBot="1" x14ac:dyDescent="0.25">
      <c r="B2053" s="392" t="str">
        <f t="shared" si="63"/>
        <v xml:space="preserve"> -  </v>
      </c>
      <c r="C2053" s="1441" t="str">
        <f t="shared" si="64"/>
        <v xml:space="preserve"> </v>
      </c>
      <c r="D2053" s="1428"/>
      <c r="E2053" s="1429"/>
      <c r="F2053" s="1430"/>
      <c r="G2053" s="1431"/>
      <c r="H2053" s="1430"/>
      <c r="I2053" s="1429"/>
      <c r="J2053" s="2196"/>
    </row>
    <row r="2054" spans="2:10" ht="13.5" thickBot="1" x14ac:dyDescent="0.25">
      <c r="B2054" s="392" t="str">
        <f t="shared" si="63"/>
        <v xml:space="preserve"> -  </v>
      </c>
      <c r="C2054" s="1441" t="str">
        <f t="shared" si="64"/>
        <v xml:space="preserve"> </v>
      </c>
      <c r="D2054" s="1428"/>
      <c r="E2054" s="1429"/>
      <c r="F2054" s="1430"/>
      <c r="G2054" s="1431"/>
      <c r="H2054" s="1430"/>
      <c r="I2054" s="1429"/>
      <c r="J2054" s="2196"/>
    </row>
    <row r="2055" spans="2:10" ht="13.5" thickBot="1" x14ac:dyDescent="0.25">
      <c r="B2055" s="392" t="str">
        <f t="shared" ref="B2055:B2118" si="65">CONCATENATE(D2055," - ",C2055)</f>
        <v xml:space="preserve"> -  </v>
      </c>
      <c r="C2055" s="1441" t="str">
        <f t="shared" si="64"/>
        <v xml:space="preserve"> </v>
      </c>
      <c r="D2055" s="1428"/>
      <c r="E2055" s="1429"/>
      <c r="F2055" s="1430"/>
      <c r="G2055" s="1431"/>
      <c r="H2055" s="1430"/>
      <c r="I2055" s="1429"/>
      <c r="J2055" s="2196"/>
    </row>
    <row r="2056" spans="2:10" ht="13.5" thickBot="1" x14ac:dyDescent="0.25">
      <c r="B2056" s="392" t="str">
        <f t="shared" si="65"/>
        <v xml:space="preserve"> -  </v>
      </c>
      <c r="C2056" s="1441" t="str">
        <f t="shared" si="64"/>
        <v xml:space="preserve"> </v>
      </c>
      <c r="D2056" s="1428"/>
      <c r="E2056" s="1429"/>
      <c r="F2056" s="1430"/>
      <c r="G2056" s="1431"/>
      <c r="H2056" s="1430"/>
      <c r="I2056" s="1429"/>
      <c r="J2056" s="2196"/>
    </row>
    <row r="2057" spans="2:10" ht="13.5" thickBot="1" x14ac:dyDescent="0.25">
      <c r="B2057" s="392" t="str">
        <f t="shared" si="65"/>
        <v xml:space="preserve"> -  </v>
      </c>
      <c r="C2057" s="1441" t="str">
        <f t="shared" si="64"/>
        <v xml:space="preserve"> </v>
      </c>
      <c r="D2057" s="1428"/>
      <c r="E2057" s="1429"/>
      <c r="F2057" s="1430"/>
      <c r="G2057" s="1431"/>
      <c r="H2057" s="1430"/>
      <c r="I2057" s="1429"/>
      <c r="J2057" s="2196"/>
    </row>
    <row r="2058" spans="2:10" ht="13.5" thickBot="1" x14ac:dyDescent="0.25">
      <c r="B2058" s="392" t="str">
        <f t="shared" si="65"/>
        <v xml:space="preserve"> -  </v>
      </c>
      <c r="C2058" s="1441" t="str">
        <f t="shared" si="64"/>
        <v xml:space="preserve"> </v>
      </c>
      <c r="D2058" s="1428"/>
      <c r="E2058" s="1429"/>
      <c r="F2058" s="1430"/>
      <c r="G2058" s="1431"/>
      <c r="H2058" s="1430"/>
      <c r="I2058" s="1429"/>
      <c r="J2058" s="2196"/>
    </row>
    <row r="2059" spans="2:10" ht="13.5" thickBot="1" x14ac:dyDescent="0.25">
      <c r="B2059" s="392" t="str">
        <f t="shared" si="65"/>
        <v xml:space="preserve"> -  </v>
      </c>
      <c r="C2059" s="1441" t="str">
        <f t="shared" si="64"/>
        <v xml:space="preserve"> </v>
      </c>
      <c r="D2059" s="1428"/>
      <c r="E2059" s="1429"/>
      <c r="F2059" s="1430"/>
      <c r="G2059" s="1431"/>
      <c r="H2059" s="1430"/>
      <c r="I2059" s="1429"/>
      <c r="J2059" s="2196"/>
    </row>
    <row r="2060" spans="2:10" ht="13.5" thickBot="1" x14ac:dyDescent="0.25">
      <c r="B2060" s="392" t="str">
        <f t="shared" si="65"/>
        <v xml:space="preserve"> -  </v>
      </c>
      <c r="C2060" s="1441" t="str">
        <f t="shared" si="64"/>
        <v xml:space="preserve"> </v>
      </c>
      <c r="D2060" s="1428"/>
      <c r="E2060" s="1429"/>
      <c r="F2060" s="1430"/>
      <c r="G2060" s="1431"/>
      <c r="H2060" s="1430"/>
      <c r="I2060" s="1429"/>
      <c r="J2060" s="2196"/>
    </row>
    <row r="2061" spans="2:10" ht="13.5" thickBot="1" x14ac:dyDescent="0.25">
      <c r="B2061" s="392" t="str">
        <f t="shared" si="65"/>
        <v xml:space="preserve"> -  </v>
      </c>
      <c r="C2061" s="1441" t="str">
        <f t="shared" si="64"/>
        <v xml:space="preserve"> </v>
      </c>
      <c r="D2061" s="1428"/>
      <c r="E2061" s="1429"/>
      <c r="F2061" s="1430"/>
      <c r="G2061" s="1431"/>
      <c r="H2061" s="1430"/>
      <c r="I2061" s="1429"/>
      <c r="J2061" s="2196"/>
    </row>
    <row r="2062" spans="2:10" ht="13.5" thickBot="1" x14ac:dyDescent="0.25">
      <c r="B2062" s="392" t="str">
        <f t="shared" si="65"/>
        <v xml:space="preserve"> -  </v>
      </c>
      <c r="C2062" s="1441" t="str">
        <f t="shared" si="64"/>
        <v xml:space="preserve"> </v>
      </c>
      <c r="D2062" s="1428"/>
      <c r="E2062" s="1429"/>
      <c r="F2062" s="1430"/>
      <c r="G2062" s="1431"/>
      <c r="H2062" s="1430"/>
      <c r="I2062" s="1429"/>
      <c r="J2062" s="2196"/>
    </row>
    <row r="2063" spans="2:10" ht="13.5" thickBot="1" x14ac:dyDescent="0.25">
      <c r="B2063" s="392" t="str">
        <f t="shared" si="65"/>
        <v xml:space="preserve"> -  </v>
      </c>
      <c r="C2063" s="1441" t="str">
        <f t="shared" si="64"/>
        <v xml:space="preserve"> </v>
      </c>
      <c r="D2063" s="1428"/>
      <c r="E2063" s="1429"/>
      <c r="F2063" s="1430"/>
      <c r="G2063" s="1431"/>
      <c r="H2063" s="1430"/>
      <c r="I2063" s="1429"/>
      <c r="J2063" s="2196"/>
    </row>
    <row r="2064" spans="2:10" ht="13.5" thickBot="1" x14ac:dyDescent="0.25">
      <c r="B2064" s="392" t="str">
        <f t="shared" si="65"/>
        <v xml:space="preserve"> -  </v>
      </c>
      <c r="C2064" s="1441" t="str">
        <f t="shared" si="64"/>
        <v xml:space="preserve"> </v>
      </c>
      <c r="D2064" s="1428"/>
      <c r="E2064" s="1429"/>
      <c r="F2064" s="1430"/>
      <c r="G2064" s="1431"/>
      <c r="H2064" s="1430"/>
      <c r="I2064" s="1429"/>
      <c r="J2064" s="2196"/>
    </row>
    <row r="2065" spans="2:10" ht="13.5" thickBot="1" x14ac:dyDescent="0.25">
      <c r="B2065" s="392" t="str">
        <f t="shared" si="65"/>
        <v xml:space="preserve"> -  </v>
      </c>
      <c r="C2065" s="1441" t="str">
        <f t="shared" si="64"/>
        <v xml:space="preserve"> </v>
      </c>
      <c r="D2065" s="1428"/>
      <c r="E2065" s="1429"/>
      <c r="F2065" s="1430"/>
      <c r="G2065" s="1431"/>
      <c r="H2065" s="1430"/>
      <c r="I2065" s="1429"/>
      <c r="J2065" s="2196"/>
    </row>
    <row r="2066" spans="2:10" ht="13.5" thickBot="1" x14ac:dyDescent="0.25">
      <c r="B2066" s="392" t="str">
        <f t="shared" si="65"/>
        <v xml:space="preserve"> -  </v>
      </c>
      <c r="C2066" s="1441" t="str">
        <f t="shared" si="64"/>
        <v xml:space="preserve"> </v>
      </c>
      <c r="D2066" s="1428"/>
      <c r="E2066" s="1429"/>
      <c r="F2066" s="1430"/>
      <c r="G2066" s="1431"/>
      <c r="H2066" s="1430"/>
      <c r="I2066" s="1429"/>
      <c r="J2066" s="2196"/>
    </row>
    <row r="2067" spans="2:10" ht="13.5" thickBot="1" x14ac:dyDescent="0.25">
      <c r="B2067" s="392" t="str">
        <f t="shared" si="65"/>
        <v xml:space="preserve"> -  </v>
      </c>
      <c r="C2067" s="1441" t="str">
        <f t="shared" si="64"/>
        <v xml:space="preserve"> </v>
      </c>
      <c r="D2067" s="1428"/>
      <c r="E2067" s="1429"/>
      <c r="F2067" s="1430"/>
      <c r="G2067" s="1431"/>
      <c r="H2067" s="1430"/>
      <c r="I2067" s="1429"/>
      <c r="J2067" s="2196"/>
    </row>
    <row r="2068" spans="2:10" ht="13.5" thickBot="1" x14ac:dyDescent="0.25">
      <c r="B2068" s="392" t="str">
        <f t="shared" si="65"/>
        <v xml:space="preserve"> -  </v>
      </c>
      <c r="C2068" s="1441" t="str">
        <f t="shared" si="64"/>
        <v xml:space="preserve"> </v>
      </c>
      <c r="D2068" s="1428"/>
      <c r="E2068" s="1429"/>
      <c r="F2068" s="1430"/>
      <c r="G2068" s="1431"/>
      <c r="H2068" s="1430"/>
      <c r="I2068" s="1429"/>
      <c r="J2068" s="2196"/>
    </row>
    <row r="2069" spans="2:10" ht="13.5" thickBot="1" x14ac:dyDescent="0.25">
      <c r="B2069" s="392" t="str">
        <f t="shared" si="65"/>
        <v xml:space="preserve"> -  </v>
      </c>
      <c r="C2069" s="1441" t="str">
        <f t="shared" si="64"/>
        <v xml:space="preserve"> </v>
      </c>
      <c r="D2069" s="1428"/>
      <c r="E2069" s="1429"/>
      <c r="F2069" s="1430"/>
      <c r="G2069" s="1431"/>
      <c r="H2069" s="1430"/>
      <c r="I2069" s="1429"/>
      <c r="J2069" s="2196"/>
    </row>
    <row r="2070" spans="2:10" ht="13.5" thickBot="1" x14ac:dyDescent="0.25">
      <c r="B2070" s="392" t="str">
        <f t="shared" si="65"/>
        <v xml:space="preserve"> -  </v>
      </c>
      <c r="C2070" s="1441" t="str">
        <f t="shared" si="64"/>
        <v xml:space="preserve"> </v>
      </c>
      <c r="D2070" s="1428"/>
      <c r="E2070" s="1429"/>
      <c r="F2070" s="1430"/>
      <c r="G2070" s="1431"/>
      <c r="H2070" s="1430"/>
      <c r="I2070" s="1429"/>
      <c r="J2070" s="2196"/>
    </row>
    <row r="2071" spans="2:10" ht="13.5" thickBot="1" x14ac:dyDescent="0.25">
      <c r="B2071" s="392" t="str">
        <f t="shared" si="65"/>
        <v xml:space="preserve"> -  </v>
      </c>
      <c r="C2071" s="1441" t="str">
        <f t="shared" si="64"/>
        <v xml:space="preserve"> </v>
      </c>
      <c r="D2071" s="1428"/>
      <c r="E2071" s="1429"/>
      <c r="F2071" s="1430"/>
      <c r="G2071" s="1431"/>
      <c r="H2071" s="1430"/>
      <c r="I2071" s="1429"/>
      <c r="J2071" s="2196"/>
    </row>
    <row r="2072" spans="2:10" ht="13.5" thickBot="1" x14ac:dyDescent="0.25">
      <c r="B2072" s="392" t="str">
        <f t="shared" si="65"/>
        <v xml:space="preserve"> -  </v>
      </c>
      <c r="C2072" s="1441" t="str">
        <f t="shared" si="64"/>
        <v xml:space="preserve"> </v>
      </c>
      <c r="D2072" s="1428"/>
      <c r="E2072" s="1429"/>
      <c r="F2072" s="1430"/>
      <c r="G2072" s="1431"/>
      <c r="H2072" s="1430"/>
      <c r="I2072" s="1429"/>
      <c r="J2072" s="2196"/>
    </row>
    <row r="2073" spans="2:10" ht="13.5" thickBot="1" x14ac:dyDescent="0.25">
      <c r="B2073" s="392" t="str">
        <f t="shared" si="65"/>
        <v xml:space="preserve"> -  </v>
      </c>
      <c r="C2073" s="1441" t="str">
        <f t="shared" si="64"/>
        <v xml:space="preserve"> </v>
      </c>
      <c r="D2073" s="1428"/>
      <c r="E2073" s="1429"/>
      <c r="F2073" s="1430"/>
      <c r="G2073" s="1431"/>
      <c r="H2073" s="1430"/>
      <c r="I2073" s="1429"/>
      <c r="J2073" s="2196"/>
    </row>
    <row r="2074" spans="2:10" ht="13.5" thickBot="1" x14ac:dyDescent="0.25">
      <c r="B2074" s="392" t="str">
        <f t="shared" si="65"/>
        <v xml:space="preserve"> -  </v>
      </c>
      <c r="C2074" s="1441" t="str">
        <f t="shared" si="64"/>
        <v xml:space="preserve"> </v>
      </c>
      <c r="D2074" s="1428"/>
      <c r="E2074" s="1429"/>
      <c r="F2074" s="1430"/>
      <c r="G2074" s="1431"/>
      <c r="H2074" s="1430"/>
      <c r="I2074" s="1429"/>
      <c r="J2074" s="2196"/>
    </row>
    <row r="2075" spans="2:10" ht="13.5" thickBot="1" x14ac:dyDescent="0.25">
      <c r="B2075" s="392" t="str">
        <f t="shared" si="65"/>
        <v xml:space="preserve"> -  </v>
      </c>
      <c r="C2075" s="1441" t="str">
        <f t="shared" ref="C2075:C2138" si="66">CONCATENATE(UPPER(F2075)," ",G2075)</f>
        <v xml:space="preserve"> </v>
      </c>
      <c r="D2075" s="1428"/>
      <c r="E2075" s="1429"/>
      <c r="F2075" s="1430"/>
      <c r="G2075" s="1431"/>
      <c r="H2075" s="1430"/>
      <c r="I2075" s="1429"/>
      <c r="J2075" s="2196"/>
    </row>
    <row r="2076" spans="2:10" ht="13.5" thickBot="1" x14ac:dyDescent="0.25">
      <c r="B2076" s="392" t="str">
        <f t="shared" si="65"/>
        <v xml:space="preserve"> -  </v>
      </c>
      <c r="C2076" s="1441" t="str">
        <f t="shared" si="66"/>
        <v xml:space="preserve"> </v>
      </c>
      <c r="D2076" s="1428"/>
      <c r="E2076" s="1429"/>
      <c r="F2076" s="1430"/>
      <c r="G2076" s="1431"/>
      <c r="H2076" s="1430"/>
      <c r="I2076" s="1429"/>
      <c r="J2076" s="2196"/>
    </row>
    <row r="2077" spans="2:10" ht="13.5" thickBot="1" x14ac:dyDescent="0.25">
      <c r="B2077" s="392" t="str">
        <f t="shared" si="65"/>
        <v xml:space="preserve"> -  </v>
      </c>
      <c r="C2077" s="1441" t="str">
        <f t="shared" si="66"/>
        <v xml:space="preserve"> </v>
      </c>
      <c r="D2077" s="1428"/>
      <c r="E2077" s="1429"/>
      <c r="F2077" s="1430"/>
      <c r="G2077" s="1431"/>
      <c r="H2077" s="1430"/>
      <c r="I2077" s="1429"/>
      <c r="J2077" s="2196"/>
    </row>
    <row r="2078" spans="2:10" ht="13.5" thickBot="1" x14ac:dyDescent="0.25">
      <c r="B2078" s="392" t="str">
        <f t="shared" si="65"/>
        <v xml:space="preserve"> -  </v>
      </c>
      <c r="C2078" s="1441" t="str">
        <f t="shared" si="66"/>
        <v xml:space="preserve"> </v>
      </c>
      <c r="D2078" s="1428"/>
      <c r="E2078" s="1429"/>
      <c r="F2078" s="1430"/>
      <c r="G2078" s="1431"/>
      <c r="H2078" s="1430"/>
      <c r="I2078" s="1429"/>
      <c r="J2078" s="2196"/>
    </row>
    <row r="2079" spans="2:10" ht="13.5" thickBot="1" x14ac:dyDescent="0.25">
      <c r="B2079" s="392" t="str">
        <f t="shared" si="65"/>
        <v xml:space="preserve"> -  </v>
      </c>
      <c r="C2079" s="1441" t="str">
        <f t="shared" si="66"/>
        <v xml:space="preserve"> </v>
      </c>
      <c r="D2079" s="1428"/>
      <c r="E2079" s="1429"/>
      <c r="F2079" s="1430"/>
      <c r="G2079" s="1431"/>
      <c r="H2079" s="1430"/>
      <c r="I2079" s="1429"/>
      <c r="J2079" s="2196"/>
    </row>
    <row r="2080" spans="2:10" ht="13.5" thickBot="1" x14ac:dyDescent="0.25">
      <c r="B2080" s="392" t="str">
        <f t="shared" si="65"/>
        <v xml:space="preserve"> -  </v>
      </c>
      <c r="C2080" s="1441" t="str">
        <f t="shared" si="66"/>
        <v xml:space="preserve"> </v>
      </c>
      <c r="D2080" s="1428"/>
      <c r="E2080" s="1429"/>
      <c r="F2080" s="1430"/>
      <c r="G2080" s="1431"/>
      <c r="H2080" s="1430"/>
      <c r="I2080" s="1429"/>
      <c r="J2080" s="2196"/>
    </row>
    <row r="2081" spans="2:10" ht="13.5" thickBot="1" x14ac:dyDescent="0.25">
      <c r="B2081" s="392" t="str">
        <f t="shared" si="65"/>
        <v xml:space="preserve"> -  </v>
      </c>
      <c r="C2081" s="1441" t="str">
        <f t="shared" si="66"/>
        <v xml:space="preserve"> </v>
      </c>
      <c r="D2081" s="1428"/>
      <c r="E2081" s="1429"/>
      <c r="F2081" s="1430"/>
      <c r="G2081" s="1431"/>
      <c r="H2081" s="1430"/>
      <c r="I2081" s="1429"/>
      <c r="J2081" s="2196"/>
    </row>
    <row r="2082" spans="2:10" ht="13.5" thickBot="1" x14ac:dyDescent="0.25">
      <c r="B2082" s="392" t="str">
        <f t="shared" si="65"/>
        <v xml:space="preserve"> -  </v>
      </c>
      <c r="C2082" s="1441" t="str">
        <f t="shared" si="66"/>
        <v xml:space="preserve"> </v>
      </c>
      <c r="D2082" s="1428"/>
      <c r="E2082" s="1429"/>
      <c r="F2082" s="1430"/>
      <c r="G2082" s="1431"/>
      <c r="H2082" s="1430"/>
      <c r="I2082" s="1429"/>
      <c r="J2082" s="2196"/>
    </row>
    <row r="2083" spans="2:10" ht="13.5" thickBot="1" x14ac:dyDescent="0.25">
      <c r="B2083" s="392" t="str">
        <f t="shared" si="65"/>
        <v xml:space="preserve"> -  </v>
      </c>
      <c r="C2083" s="1441" t="str">
        <f t="shared" si="66"/>
        <v xml:space="preserve"> </v>
      </c>
      <c r="D2083" s="1428"/>
      <c r="E2083" s="1429"/>
      <c r="F2083" s="1430"/>
      <c r="G2083" s="1431"/>
      <c r="H2083" s="1430"/>
      <c r="I2083" s="1429"/>
      <c r="J2083" s="2196"/>
    </row>
    <row r="2084" spans="2:10" ht="13.5" thickBot="1" x14ac:dyDescent="0.25">
      <c r="B2084" s="392" t="str">
        <f t="shared" si="65"/>
        <v xml:space="preserve"> -  </v>
      </c>
      <c r="C2084" s="1441" t="str">
        <f t="shared" si="66"/>
        <v xml:space="preserve"> </v>
      </c>
      <c r="D2084" s="1428"/>
      <c r="E2084" s="1429"/>
      <c r="F2084" s="1430"/>
      <c r="G2084" s="1431"/>
      <c r="H2084" s="1430"/>
      <c r="I2084" s="1429"/>
      <c r="J2084" s="2196"/>
    </row>
    <row r="2085" spans="2:10" ht="13.5" thickBot="1" x14ac:dyDescent="0.25">
      <c r="B2085" s="392" t="str">
        <f t="shared" si="65"/>
        <v xml:space="preserve"> -  </v>
      </c>
      <c r="C2085" s="1441" t="str">
        <f t="shared" si="66"/>
        <v xml:space="preserve"> </v>
      </c>
      <c r="D2085" s="1428"/>
      <c r="E2085" s="1429"/>
      <c r="F2085" s="1430"/>
      <c r="G2085" s="1431"/>
      <c r="H2085" s="1430"/>
      <c r="I2085" s="1429"/>
      <c r="J2085" s="2196"/>
    </row>
    <row r="2086" spans="2:10" ht="13.5" thickBot="1" x14ac:dyDescent="0.25">
      <c r="B2086" s="392" t="str">
        <f t="shared" si="65"/>
        <v xml:space="preserve"> -  </v>
      </c>
      <c r="C2086" s="1441" t="str">
        <f t="shared" si="66"/>
        <v xml:space="preserve"> </v>
      </c>
      <c r="D2086" s="1428"/>
      <c r="E2086" s="1429"/>
      <c r="F2086" s="1430"/>
      <c r="G2086" s="1431"/>
      <c r="H2086" s="1430"/>
      <c r="I2086" s="1429"/>
      <c r="J2086" s="2196"/>
    </row>
    <row r="2087" spans="2:10" ht="13.5" thickBot="1" x14ac:dyDescent="0.25">
      <c r="B2087" s="392" t="str">
        <f t="shared" si="65"/>
        <v xml:space="preserve"> -  </v>
      </c>
      <c r="C2087" s="1441" t="str">
        <f t="shared" si="66"/>
        <v xml:space="preserve"> </v>
      </c>
      <c r="D2087" s="1428"/>
      <c r="E2087" s="1429"/>
      <c r="F2087" s="1430"/>
      <c r="G2087" s="1431"/>
      <c r="H2087" s="1430"/>
      <c r="I2087" s="1429"/>
      <c r="J2087" s="2196"/>
    </row>
    <row r="2088" spans="2:10" ht="13.5" thickBot="1" x14ac:dyDescent="0.25">
      <c r="B2088" s="392" t="str">
        <f t="shared" si="65"/>
        <v xml:space="preserve"> -  </v>
      </c>
      <c r="C2088" s="1441" t="str">
        <f t="shared" si="66"/>
        <v xml:space="preserve"> </v>
      </c>
      <c r="D2088" s="1428"/>
      <c r="E2088" s="1429"/>
      <c r="F2088" s="1430"/>
      <c r="G2088" s="1431"/>
      <c r="H2088" s="1430"/>
      <c r="I2088" s="1429"/>
      <c r="J2088" s="2196"/>
    </row>
    <row r="2089" spans="2:10" ht="13.5" thickBot="1" x14ac:dyDescent="0.25">
      <c r="B2089" s="392" t="str">
        <f t="shared" si="65"/>
        <v xml:space="preserve"> -  </v>
      </c>
      <c r="C2089" s="1441" t="str">
        <f t="shared" si="66"/>
        <v xml:space="preserve"> </v>
      </c>
      <c r="D2089" s="1428"/>
      <c r="E2089" s="1429"/>
      <c r="F2089" s="1430"/>
      <c r="G2089" s="1431"/>
      <c r="H2089" s="1430"/>
      <c r="I2089" s="1429"/>
      <c r="J2089" s="2196"/>
    </row>
    <row r="2090" spans="2:10" ht="13.5" thickBot="1" x14ac:dyDescent="0.25">
      <c r="B2090" s="392" t="str">
        <f t="shared" si="65"/>
        <v xml:space="preserve"> -  </v>
      </c>
      <c r="C2090" s="1441" t="str">
        <f t="shared" si="66"/>
        <v xml:space="preserve"> </v>
      </c>
      <c r="D2090" s="1428"/>
      <c r="E2090" s="1429"/>
      <c r="F2090" s="1430"/>
      <c r="G2090" s="1431"/>
      <c r="H2090" s="1430"/>
      <c r="I2090" s="1429"/>
      <c r="J2090" s="2196"/>
    </row>
    <row r="2091" spans="2:10" ht="13.5" thickBot="1" x14ac:dyDescent="0.25">
      <c r="B2091" s="392" t="str">
        <f t="shared" si="65"/>
        <v xml:space="preserve"> -  </v>
      </c>
      <c r="C2091" s="1441" t="str">
        <f t="shared" si="66"/>
        <v xml:space="preserve"> </v>
      </c>
      <c r="D2091" s="1428"/>
      <c r="E2091" s="1429"/>
      <c r="F2091" s="1430"/>
      <c r="G2091" s="1431"/>
      <c r="H2091" s="1430"/>
      <c r="I2091" s="1429"/>
      <c r="J2091" s="2196"/>
    </row>
    <row r="2092" spans="2:10" ht="13.5" thickBot="1" x14ac:dyDescent="0.25">
      <c r="B2092" s="392" t="str">
        <f t="shared" si="65"/>
        <v xml:space="preserve"> -  </v>
      </c>
      <c r="C2092" s="1441" t="str">
        <f t="shared" si="66"/>
        <v xml:space="preserve"> </v>
      </c>
      <c r="D2092" s="1428"/>
      <c r="E2092" s="1429"/>
      <c r="F2092" s="1430"/>
      <c r="G2092" s="1431"/>
      <c r="H2092" s="1430"/>
      <c r="I2092" s="1429"/>
      <c r="J2092" s="2196"/>
    </row>
    <row r="2093" spans="2:10" ht="13.5" thickBot="1" x14ac:dyDescent="0.25">
      <c r="B2093" s="392" t="str">
        <f t="shared" si="65"/>
        <v xml:space="preserve"> -  </v>
      </c>
      <c r="C2093" s="1441" t="str">
        <f t="shared" si="66"/>
        <v xml:space="preserve"> </v>
      </c>
      <c r="D2093" s="1428"/>
      <c r="E2093" s="1429"/>
      <c r="F2093" s="1430"/>
      <c r="G2093" s="1431"/>
      <c r="H2093" s="1430"/>
      <c r="I2093" s="1429"/>
      <c r="J2093" s="2196"/>
    </row>
    <row r="2094" spans="2:10" ht="13.5" thickBot="1" x14ac:dyDescent="0.25">
      <c r="B2094" s="392" t="str">
        <f t="shared" si="65"/>
        <v xml:space="preserve"> -  </v>
      </c>
      <c r="C2094" s="1441" t="str">
        <f t="shared" si="66"/>
        <v xml:space="preserve"> </v>
      </c>
      <c r="D2094" s="1428"/>
      <c r="E2094" s="1429"/>
      <c r="F2094" s="1430"/>
      <c r="G2094" s="1431"/>
      <c r="H2094" s="1430"/>
      <c r="I2094" s="1429"/>
      <c r="J2094" s="2196"/>
    </row>
    <row r="2095" spans="2:10" ht="13.5" thickBot="1" x14ac:dyDescent="0.25">
      <c r="B2095" s="392" t="str">
        <f t="shared" si="65"/>
        <v xml:space="preserve"> -  </v>
      </c>
      <c r="C2095" s="1441" t="str">
        <f t="shared" si="66"/>
        <v xml:space="preserve"> </v>
      </c>
      <c r="D2095" s="1428"/>
      <c r="E2095" s="1429"/>
      <c r="F2095" s="1430"/>
      <c r="G2095" s="1431"/>
      <c r="H2095" s="1430"/>
      <c r="I2095" s="1429"/>
      <c r="J2095" s="2196"/>
    </row>
    <row r="2096" spans="2:10" ht="13.5" thickBot="1" x14ac:dyDescent="0.25">
      <c r="B2096" s="392" t="str">
        <f t="shared" si="65"/>
        <v xml:space="preserve"> -  </v>
      </c>
      <c r="C2096" s="1441" t="str">
        <f t="shared" si="66"/>
        <v xml:space="preserve"> </v>
      </c>
      <c r="D2096" s="1428"/>
      <c r="E2096" s="1429"/>
      <c r="F2096" s="1430"/>
      <c r="G2096" s="1431"/>
      <c r="H2096" s="1430"/>
      <c r="I2096" s="1429"/>
      <c r="J2096" s="2196"/>
    </row>
    <row r="2097" spans="2:10" ht="13.5" thickBot="1" x14ac:dyDescent="0.25">
      <c r="B2097" s="392" t="str">
        <f t="shared" si="65"/>
        <v xml:space="preserve"> -  </v>
      </c>
      <c r="C2097" s="1441" t="str">
        <f t="shared" si="66"/>
        <v xml:space="preserve"> </v>
      </c>
      <c r="D2097" s="1428"/>
      <c r="E2097" s="1429"/>
      <c r="F2097" s="1430"/>
      <c r="G2097" s="1431"/>
      <c r="H2097" s="1430"/>
      <c r="I2097" s="1429"/>
      <c r="J2097" s="2196"/>
    </row>
    <row r="2098" spans="2:10" ht="13.5" thickBot="1" x14ac:dyDescent="0.25">
      <c r="B2098" s="392" t="str">
        <f t="shared" si="65"/>
        <v xml:space="preserve"> -  </v>
      </c>
      <c r="C2098" s="1441" t="str">
        <f t="shared" si="66"/>
        <v xml:space="preserve"> </v>
      </c>
      <c r="D2098" s="1428"/>
      <c r="E2098" s="1429"/>
      <c r="F2098" s="1430"/>
      <c r="G2098" s="1431"/>
      <c r="H2098" s="1430"/>
      <c r="I2098" s="1429"/>
      <c r="J2098" s="2196"/>
    </row>
    <row r="2099" spans="2:10" ht="13.5" thickBot="1" x14ac:dyDescent="0.25">
      <c r="B2099" s="392" t="str">
        <f t="shared" si="65"/>
        <v xml:space="preserve"> -  </v>
      </c>
      <c r="C2099" s="1441" t="str">
        <f t="shared" si="66"/>
        <v xml:space="preserve"> </v>
      </c>
      <c r="D2099" s="1428"/>
      <c r="E2099" s="1429"/>
      <c r="F2099" s="1430"/>
      <c r="G2099" s="1431"/>
      <c r="H2099" s="1430"/>
      <c r="I2099" s="1429"/>
      <c r="J2099" s="2196"/>
    </row>
    <row r="2100" spans="2:10" ht="13.5" thickBot="1" x14ac:dyDescent="0.25">
      <c r="B2100" s="392" t="str">
        <f t="shared" si="65"/>
        <v xml:space="preserve"> -  </v>
      </c>
      <c r="C2100" s="1441" t="str">
        <f t="shared" si="66"/>
        <v xml:space="preserve"> </v>
      </c>
      <c r="D2100" s="1428"/>
      <c r="E2100" s="1429"/>
      <c r="F2100" s="1430"/>
      <c r="G2100" s="1431"/>
      <c r="H2100" s="1430"/>
      <c r="I2100" s="1429"/>
      <c r="J2100" s="2196"/>
    </row>
    <row r="2101" spans="2:10" ht="13.5" thickBot="1" x14ac:dyDescent="0.25">
      <c r="B2101" s="392" t="str">
        <f t="shared" si="65"/>
        <v xml:space="preserve"> -  </v>
      </c>
      <c r="C2101" s="1441" t="str">
        <f t="shared" si="66"/>
        <v xml:space="preserve"> </v>
      </c>
      <c r="D2101" s="1428"/>
      <c r="E2101" s="1429"/>
      <c r="F2101" s="1430"/>
      <c r="G2101" s="1431"/>
      <c r="H2101" s="1430"/>
      <c r="I2101" s="1429"/>
      <c r="J2101" s="2196"/>
    </row>
    <row r="2102" spans="2:10" ht="13.5" thickBot="1" x14ac:dyDescent="0.25">
      <c r="B2102" s="392" t="str">
        <f t="shared" si="65"/>
        <v xml:space="preserve"> -  </v>
      </c>
      <c r="C2102" s="1441" t="str">
        <f t="shared" si="66"/>
        <v xml:space="preserve"> </v>
      </c>
      <c r="D2102" s="1428"/>
      <c r="E2102" s="1429"/>
      <c r="F2102" s="1430"/>
      <c r="G2102" s="1431"/>
      <c r="H2102" s="1430"/>
      <c r="I2102" s="1429"/>
      <c r="J2102" s="2196"/>
    </row>
    <row r="2103" spans="2:10" ht="13.5" thickBot="1" x14ac:dyDescent="0.25">
      <c r="B2103" s="392" t="str">
        <f t="shared" si="65"/>
        <v xml:space="preserve"> -  </v>
      </c>
      <c r="C2103" s="1441" t="str">
        <f t="shared" si="66"/>
        <v xml:space="preserve"> </v>
      </c>
      <c r="D2103" s="1428"/>
      <c r="E2103" s="1429"/>
      <c r="F2103" s="1430"/>
      <c r="G2103" s="1431"/>
      <c r="H2103" s="1430"/>
      <c r="I2103" s="1429"/>
      <c r="J2103" s="2196"/>
    </row>
    <row r="2104" spans="2:10" ht="13.5" thickBot="1" x14ac:dyDescent="0.25">
      <c r="B2104" s="392" t="str">
        <f t="shared" si="65"/>
        <v xml:space="preserve"> -  </v>
      </c>
      <c r="C2104" s="1441" t="str">
        <f t="shared" si="66"/>
        <v xml:space="preserve"> </v>
      </c>
      <c r="D2104" s="1428"/>
      <c r="E2104" s="1429"/>
      <c r="F2104" s="1430"/>
      <c r="G2104" s="1431"/>
      <c r="H2104" s="1430"/>
      <c r="I2104" s="1429"/>
      <c r="J2104" s="2196"/>
    </row>
    <row r="2105" spans="2:10" ht="13.5" thickBot="1" x14ac:dyDescent="0.25">
      <c r="B2105" s="392" t="str">
        <f t="shared" si="65"/>
        <v xml:space="preserve"> -  </v>
      </c>
      <c r="C2105" s="1441" t="str">
        <f t="shared" si="66"/>
        <v xml:space="preserve"> </v>
      </c>
      <c r="D2105" s="1428"/>
      <c r="E2105" s="1429"/>
      <c r="F2105" s="1430"/>
      <c r="G2105" s="1431"/>
      <c r="H2105" s="1430"/>
      <c r="I2105" s="1429"/>
      <c r="J2105" s="2196"/>
    </row>
    <row r="2106" spans="2:10" ht="13.5" thickBot="1" x14ac:dyDescent="0.25">
      <c r="B2106" s="392" t="str">
        <f t="shared" si="65"/>
        <v xml:space="preserve"> -  </v>
      </c>
      <c r="C2106" s="1441" t="str">
        <f t="shared" si="66"/>
        <v xml:space="preserve"> </v>
      </c>
      <c r="D2106" s="1428"/>
      <c r="E2106" s="1429"/>
      <c r="F2106" s="1430"/>
      <c r="G2106" s="1431"/>
      <c r="H2106" s="1430"/>
      <c r="I2106" s="1429"/>
      <c r="J2106" s="2196"/>
    </row>
    <row r="2107" spans="2:10" ht="13.5" thickBot="1" x14ac:dyDescent="0.25">
      <c r="B2107" s="392" t="str">
        <f t="shared" si="65"/>
        <v xml:space="preserve"> -  </v>
      </c>
      <c r="C2107" s="1441" t="str">
        <f t="shared" si="66"/>
        <v xml:space="preserve"> </v>
      </c>
      <c r="D2107" s="1428"/>
      <c r="E2107" s="1429"/>
      <c r="F2107" s="1430"/>
      <c r="G2107" s="1431"/>
      <c r="H2107" s="1430"/>
      <c r="I2107" s="1429"/>
      <c r="J2107" s="2196"/>
    </row>
    <row r="2108" spans="2:10" ht="13.5" thickBot="1" x14ac:dyDescent="0.25">
      <c r="B2108" s="392" t="str">
        <f t="shared" si="65"/>
        <v xml:space="preserve"> -  </v>
      </c>
      <c r="C2108" s="1441" t="str">
        <f t="shared" si="66"/>
        <v xml:space="preserve"> </v>
      </c>
      <c r="D2108" s="1428"/>
      <c r="E2108" s="1429"/>
      <c r="F2108" s="1430"/>
      <c r="G2108" s="1431"/>
      <c r="H2108" s="1430"/>
      <c r="I2108" s="1429"/>
      <c r="J2108" s="2196"/>
    </row>
    <row r="2109" spans="2:10" ht="13.5" thickBot="1" x14ac:dyDescent="0.25">
      <c r="B2109" s="392" t="str">
        <f t="shared" si="65"/>
        <v xml:space="preserve"> -  </v>
      </c>
      <c r="C2109" s="1441" t="str">
        <f t="shared" si="66"/>
        <v xml:space="preserve"> </v>
      </c>
      <c r="D2109" s="1428"/>
      <c r="E2109" s="1429"/>
      <c r="F2109" s="1430"/>
      <c r="G2109" s="1431"/>
      <c r="H2109" s="1430"/>
      <c r="I2109" s="1429"/>
      <c r="J2109" s="2196"/>
    </row>
    <row r="2110" spans="2:10" ht="13.5" thickBot="1" x14ac:dyDescent="0.25">
      <c r="B2110" s="392" t="str">
        <f t="shared" si="65"/>
        <v xml:space="preserve"> -  </v>
      </c>
      <c r="C2110" s="1441" t="str">
        <f t="shared" si="66"/>
        <v xml:space="preserve"> </v>
      </c>
      <c r="D2110" s="1428"/>
      <c r="E2110" s="1429"/>
      <c r="F2110" s="1430"/>
      <c r="G2110" s="1431"/>
      <c r="H2110" s="1430"/>
      <c r="I2110" s="1429"/>
      <c r="J2110" s="2196"/>
    </row>
    <row r="2111" spans="2:10" ht="13.5" thickBot="1" x14ac:dyDescent="0.25">
      <c r="B2111" s="392" t="str">
        <f t="shared" si="65"/>
        <v xml:space="preserve"> -  </v>
      </c>
      <c r="C2111" s="1441" t="str">
        <f t="shared" si="66"/>
        <v xml:space="preserve"> </v>
      </c>
      <c r="D2111" s="1428"/>
      <c r="E2111" s="1429"/>
      <c r="F2111" s="1430"/>
      <c r="G2111" s="1431"/>
      <c r="H2111" s="1430"/>
      <c r="I2111" s="1429"/>
      <c r="J2111" s="2196"/>
    </row>
    <row r="2112" spans="2:10" ht="13.5" thickBot="1" x14ac:dyDescent="0.25">
      <c r="B2112" s="392" t="str">
        <f t="shared" si="65"/>
        <v xml:space="preserve"> -  </v>
      </c>
      <c r="C2112" s="1441" t="str">
        <f t="shared" si="66"/>
        <v xml:space="preserve"> </v>
      </c>
      <c r="D2112" s="1428"/>
      <c r="E2112" s="1429"/>
      <c r="F2112" s="1430"/>
      <c r="G2112" s="1431"/>
      <c r="H2112" s="1430"/>
      <c r="I2112" s="1429"/>
      <c r="J2112" s="2196"/>
    </row>
    <row r="2113" spans="2:10" ht="13.5" thickBot="1" x14ac:dyDescent="0.25">
      <c r="B2113" s="392" t="str">
        <f t="shared" si="65"/>
        <v xml:space="preserve"> -  </v>
      </c>
      <c r="C2113" s="1441" t="str">
        <f t="shared" si="66"/>
        <v xml:space="preserve"> </v>
      </c>
      <c r="D2113" s="1428"/>
      <c r="E2113" s="1429"/>
      <c r="F2113" s="1430"/>
      <c r="G2113" s="1431"/>
      <c r="H2113" s="1430"/>
      <c r="I2113" s="1429"/>
      <c r="J2113" s="2196"/>
    </row>
    <row r="2114" spans="2:10" ht="13.5" thickBot="1" x14ac:dyDescent="0.25">
      <c r="B2114" s="392" t="str">
        <f t="shared" si="65"/>
        <v xml:space="preserve"> -  </v>
      </c>
      <c r="C2114" s="1441" t="str">
        <f t="shared" si="66"/>
        <v xml:space="preserve"> </v>
      </c>
      <c r="D2114" s="1428"/>
      <c r="E2114" s="1429"/>
      <c r="F2114" s="1430"/>
      <c r="G2114" s="1431"/>
      <c r="H2114" s="1430"/>
      <c r="I2114" s="1429"/>
      <c r="J2114" s="2196"/>
    </row>
    <row r="2115" spans="2:10" ht="13.5" thickBot="1" x14ac:dyDescent="0.25">
      <c r="B2115" s="392" t="str">
        <f t="shared" si="65"/>
        <v xml:space="preserve"> -  </v>
      </c>
      <c r="C2115" s="1441" t="str">
        <f t="shared" si="66"/>
        <v xml:space="preserve"> </v>
      </c>
      <c r="D2115" s="1428"/>
      <c r="E2115" s="1429"/>
      <c r="F2115" s="1430"/>
      <c r="G2115" s="1431"/>
      <c r="H2115" s="1430"/>
      <c r="I2115" s="1429"/>
      <c r="J2115" s="2196"/>
    </row>
    <row r="2116" spans="2:10" ht="13.5" thickBot="1" x14ac:dyDescent="0.25">
      <c r="B2116" s="392" t="str">
        <f t="shared" si="65"/>
        <v xml:space="preserve"> -  </v>
      </c>
      <c r="C2116" s="1441" t="str">
        <f t="shared" si="66"/>
        <v xml:space="preserve"> </v>
      </c>
      <c r="D2116" s="1428"/>
      <c r="E2116" s="1429"/>
      <c r="F2116" s="1430"/>
      <c r="G2116" s="1431"/>
      <c r="H2116" s="1430"/>
      <c r="I2116" s="1429"/>
      <c r="J2116" s="2196"/>
    </row>
    <row r="2117" spans="2:10" ht="13.5" thickBot="1" x14ac:dyDescent="0.25">
      <c r="B2117" s="392" t="str">
        <f t="shared" si="65"/>
        <v xml:space="preserve"> -  </v>
      </c>
      <c r="C2117" s="1441" t="str">
        <f t="shared" si="66"/>
        <v xml:space="preserve"> </v>
      </c>
      <c r="D2117" s="1428"/>
      <c r="E2117" s="1429"/>
      <c r="F2117" s="1430"/>
      <c r="G2117" s="1431"/>
      <c r="H2117" s="1430"/>
      <c r="I2117" s="1429"/>
      <c r="J2117" s="2196"/>
    </row>
    <row r="2118" spans="2:10" ht="13.5" thickBot="1" x14ac:dyDescent="0.25">
      <c r="B2118" s="392" t="str">
        <f t="shared" si="65"/>
        <v xml:space="preserve"> -  </v>
      </c>
      <c r="C2118" s="1441" t="str">
        <f t="shared" si="66"/>
        <v xml:space="preserve"> </v>
      </c>
      <c r="D2118" s="1428"/>
      <c r="E2118" s="1429"/>
      <c r="F2118" s="1430"/>
      <c r="G2118" s="1431"/>
      <c r="H2118" s="1430"/>
      <c r="I2118" s="1429"/>
      <c r="J2118" s="2196"/>
    </row>
    <row r="2119" spans="2:10" ht="13.5" thickBot="1" x14ac:dyDescent="0.25">
      <c r="B2119" s="392" t="str">
        <f t="shared" ref="B2119:B2182" si="67">CONCATENATE(D2119," - ",C2119)</f>
        <v xml:space="preserve"> -  </v>
      </c>
      <c r="C2119" s="1441" t="str">
        <f t="shared" si="66"/>
        <v xml:space="preserve"> </v>
      </c>
      <c r="D2119" s="1428"/>
      <c r="E2119" s="1429"/>
      <c r="F2119" s="1430"/>
      <c r="G2119" s="1431"/>
      <c r="H2119" s="1430"/>
      <c r="I2119" s="1429"/>
      <c r="J2119" s="2196"/>
    </row>
    <row r="2120" spans="2:10" ht="13.5" thickBot="1" x14ac:dyDescent="0.25">
      <c r="B2120" s="392" t="str">
        <f t="shared" si="67"/>
        <v xml:space="preserve"> -  </v>
      </c>
      <c r="C2120" s="1441" t="str">
        <f t="shared" si="66"/>
        <v xml:space="preserve"> </v>
      </c>
      <c r="D2120" s="1428"/>
      <c r="E2120" s="1429"/>
      <c r="F2120" s="1430"/>
      <c r="G2120" s="1431"/>
      <c r="H2120" s="1430"/>
      <c r="I2120" s="1429"/>
      <c r="J2120" s="2196"/>
    </row>
    <row r="2121" spans="2:10" ht="13.5" thickBot="1" x14ac:dyDescent="0.25">
      <c r="B2121" s="392" t="str">
        <f t="shared" si="67"/>
        <v xml:space="preserve"> -  </v>
      </c>
      <c r="C2121" s="1441" t="str">
        <f t="shared" si="66"/>
        <v xml:space="preserve"> </v>
      </c>
      <c r="D2121" s="1428"/>
      <c r="E2121" s="1429"/>
      <c r="F2121" s="1430"/>
      <c r="G2121" s="1431"/>
      <c r="H2121" s="1430"/>
      <c r="I2121" s="1429"/>
      <c r="J2121" s="2196"/>
    </row>
    <row r="2122" spans="2:10" ht="13.5" thickBot="1" x14ac:dyDescent="0.25">
      <c r="B2122" s="392" t="str">
        <f t="shared" si="67"/>
        <v xml:space="preserve"> -  </v>
      </c>
      <c r="C2122" s="1441" t="str">
        <f t="shared" si="66"/>
        <v xml:space="preserve"> </v>
      </c>
      <c r="D2122" s="1428"/>
      <c r="E2122" s="1429"/>
      <c r="F2122" s="1430"/>
      <c r="G2122" s="1431"/>
      <c r="H2122" s="1430"/>
      <c r="I2122" s="1429"/>
      <c r="J2122" s="2196"/>
    </row>
    <row r="2123" spans="2:10" ht="13.5" thickBot="1" x14ac:dyDescent="0.25">
      <c r="B2123" s="392" t="str">
        <f t="shared" si="67"/>
        <v xml:space="preserve"> -  </v>
      </c>
      <c r="C2123" s="1441" t="str">
        <f t="shared" si="66"/>
        <v xml:space="preserve"> </v>
      </c>
      <c r="D2123" s="1428"/>
      <c r="E2123" s="1429"/>
      <c r="F2123" s="1430"/>
      <c r="G2123" s="1431"/>
      <c r="H2123" s="1430"/>
      <c r="I2123" s="1429"/>
      <c r="J2123" s="2196"/>
    </row>
    <row r="2124" spans="2:10" ht="13.5" thickBot="1" x14ac:dyDescent="0.25">
      <c r="B2124" s="392" t="str">
        <f t="shared" si="67"/>
        <v xml:space="preserve"> -  </v>
      </c>
      <c r="C2124" s="1441" t="str">
        <f t="shared" si="66"/>
        <v xml:space="preserve"> </v>
      </c>
      <c r="D2124" s="1428"/>
      <c r="E2124" s="1429"/>
      <c r="F2124" s="1430"/>
      <c r="G2124" s="1431"/>
      <c r="H2124" s="1430"/>
      <c r="I2124" s="1429"/>
      <c r="J2124" s="2196"/>
    </row>
    <row r="2125" spans="2:10" ht="13.5" thickBot="1" x14ac:dyDescent="0.25">
      <c r="B2125" s="392" t="str">
        <f t="shared" si="67"/>
        <v xml:space="preserve"> -  </v>
      </c>
      <c r="C2125" s="1441" t="str">
        <f t="shared" si="66"/>
        <v xml:space="preserve"> </v>
      </c>
      <c r="D2125" s="1428"/>
      <c r="E2125" s="1429"/>
      <c r="F2125" s="1430"/>
      <c r="G2125" s="1431"/>
      <c r="H2125" s="1430"/>
      <c r="I2125" s="1429"/>
      <c r="J2125" s="2196"/>
    </row>
    <row r="2126" spans="2:10" ht="13.5" thickBot="1" x14ac:dyDescent="0.25">
      <c r="B2126" s="392" t="str">
        <f t="shared" si="67"/>
        <v xml:space="preserve"> -  </v>
      </c>
      <c r="C2126" s="1441" t="str">
        <f t="shared" si="66"/>
        <v xml:space="preserve"> </v>
      </c>
      <c r="D2126" s="1428"/>
      <c r="E2126" s="1429"/>
      <c r="F2126" s="1430"/>
      <c r="G2126" s="1431"/>
      <c r="H2126" s="1430"/>
      <c r="I2126" s="1429"/>
      <c r="J2126" s="2196"/>
    </row>
    <row r="2127" spans="2:10" ht="13.5" thickBot="1" x14ac:dyDescent="0.25">
      <c r="B2127" s="392" t="str">
        <f t="shared" si="67"/>
        <v xml:space="preserve"> -  </v>
      </c>
      <c r="C2127" s="1441" t="str">
        <f t="shared" si="66"/>
        <v xml:space="preserve"> </v>
      </c>
      <c r="D2127" s="1428"/>
      <c r="E2127" s="1429"/>
      <c r="F2127" s="1430"/>
      <c r="G2127" s="1431"/>
      <c r="H2127" s="1430"/>
      <c r="I2127" s="1429"/>
      <c r="J2127" s="2196"/>
    </row>
    <row r="2128" spans="2:10" ht="13.5" thickBot="1" x14ac:dyDescent="0.25">
      <c r="B2128" s="392" t="str">
        <f t="shared" si="67"/>
        <v xml:space="preserve"> -  </v>
      </c>
      <c r="C2128" s="1441" t="str">
        <f t="shared" si="66"/>
        <v xml:space="preserve"> </v>
      </c>
      <c r="D2128" s="1428"/>
      <c r="E2128" s="1429"/>
      <c r="F2128" s="1430"/>
      <c r="G2128" s="1431"/>
      <c r="H2128" s="1430"/>
      <c r="I2128" s="1429"/>
      <c r="J2128" s="2196"/>
    </row>
    <row r="2129" spans="2:10" ht="13.5" thickBot="1" x14ac:dyDescent="0.25">
      <c r="B2129" s="392" t="str">
        <f t="shared" si="67"/>
        <v xml:space="preserve"> -  </v>
      </c>
      <c r="C2129" s="1441" t="str">
        <f t="shared" si="66"/>
        <v xml:space="preserve"> </v>
      </c>
      <c r="D2129" s="1428"/>
      <c r="E2129" s="1429"/>
      <c r="F2129" s="1430"/>
      <c r="G2129" s="1431"/>
      <c r="H2129" s="1430"/>
      <c r="I2129" s="1429"/>
      <c r="J2129" s="2196"/>
    </row>
    <row r="2130" spans="2:10" ht="13.5" thickBot="1" x14ac:dyDescent="0.25">
      <c r="B2130" s="392" t="str">
        <f t="shared" si="67"/>
        <v xml:space="preserve"> -  </v>
      </c>
      <c r="C2130" s="1441" t="str">
        <f t="shared" si="66"/>
        <v xml:space="preserve"> </v>
      </c>
      <c r="D2130" s="1428"/>
      <c r="E2130" s="1429"/>
      <c r="F2130" s="1430"/>
      <c r="G2130" s="1431"/>
      <c r="H2130" s="1430"/>
      <c r="I2130" s="1429"/>
      <c r="J2130" s="2196"/>
    </row>
    <row r="2131" spans="2:10" ht="13.5" thickBot="1" x14ac:dyDescent="0.25">
      <c r="B2131" s="392" t="str">
        <f t="shared" si="67"/>
        <v xml:space="preserve"> -  </v>
      </c>
      <c r="C2131" s="1441" t="str">
        <f t="shared" si="66"/>
        <v xml:space="preserve"> </v>
      </c>
      <c r="D2131" s="1428"/>
      <c r="E2131" s="1429"/>
      <c r="F2131" s="1430"/>
      <c r="G2131" s="1431"/>
      <c r="H2131" s="1430"/>
      <c r="I2131" s="1429"/>
      <c r="J2131" s="2196"/>
    </row>
    <row r="2132" spans="2:10" ht="13.5" thickBot="1" x14ac:dyDescent="0.25">
      <c r="B2132" s="392" t="str">
        <f t="shared" si="67"/>
        <v xml:space="preserve"> -  </v>
      </c>
      <c r="C2132" s="1441" t="str">
        <f t="shared" si="66"/>
        <v xml:space="preserve"> </v>
      </c>
      <c r="D2132" s="1428"/>
      <c r="E2132" s="1429"/>
      <c r="F2132" s="1430"/>
      <c r="G2132" s="1431"/>
      <c r="H2132" s="1430"/>
      <c r="I2132" s="1429"/>
      <c r="J2132" s="2196"/>
    </row>
    <row r="2133" spans="2:10" ht="13.5" thickBot="1" x14ac:dyDescent="0.25">
      <c r="B2133" s="392" t="str">
        <f t="shared" si="67"/>
        <v xml:space="preserve"> -  </v>
      </c>
      <c r="C2133" s="1441" t="str">
        <f t="shared" si="66"/>
        <v xml:space="preserve"> </v>
      </c>
      <c r="D2133" s="1428"/>
      <c r="E2133" s="1429"/>
      <c r="F2133" s="1430"/>
      <c r="G2133" s="1431"/>
      <c r="H2133" s="1430"/>
      <c r="I2133" s="1429"/>
      <c r="J2133" s="2196"/>
    </row>
    <row r="2134" spans="2:10" ht="13.5" thickBot="1" x14ac:dyDescent="0.25">
      <c r="B2134" s="392" t="str">
        <f t="shared" si="67"/>
        <v xml:space="preserve"> -  </v>
      </c>
      <c r="C2134" s="1441" t="str">
        <f t="shared" si="66"/>
        <v xml:space="preserve"> </v>
      </c>
      <c r="D2134" s="1428"/>
      <c r="E2134" s="1429"/>
      <c r="F2134" s="1430"/>
      <c r="G2134" s="1431"/>
      <c r="H2134" s="1430"/>
      <c r="I2134" s="1429"/>
      <c r="J2134" s="2196"/>
    </row>
    <row r="2135" spans="2:10" ht="13.5" thickBot="1" x14ac:dyDescent="0.25">
      <c r="B2135" s="392" t="str">
        <f t="shared" si="67"/>
        <v xml:space="preserve"> -  </v>
      </c>
      <c r="C2135" s="1441" t="str">
        <f t="shared" si="66"/>
        <v xml:space="preserve"> </v>
      </c>
      <c r="D2135" s="1428"/>
      <c r="E2135" s="1429"/>
      <c r="F2135" s="1430"/>
      <c r="G2135" s="1431"/>
      <c r="H2135" s="1430"/>
      <c r="I2135" s="1429"/>
      <c r="J2135" s="2196"/>
    </row>
    <row r="2136" spans="2:10" ht="13.5" thickBot="1" x14ac:dyDescent="0.25">
      <c r="B2136" s="392" t="str">
        <f t="shared" si="67"/>
        <v xml:space="preserve"> -  </v>
      </c>
      <c r="C2136" s="1441" t="str">
        <f t="shared" si="66"/>
        <v xml:space="preserve"> </v>
      </c>
      <c r="D2136" s="1428"/>
      <c r="E2136" s="1429"/>
      <c r="F2136" s="1430"/>
      <c r="G2136" s="1431"/>
      <c r="H2136" s="1430"/>
      <c r="I2136" s="1429"/>
      <c r="J2136" s="2196"/>
    </row>
    <row r="2137" spans="2:10" ht="13.5" thickBot="1" x14ac:dyDescent="0.25">
      <c r="B2137" s="392" t="str">
        <f t="shared" si="67"/>
        <v xml:space="preserve"> -  </v>
      </c>
      <c r="C2137" s="1441" t="str">
        <f t="shared" si="66"/>
        <v xml:space="preserve"> </v>
      </c>
      <c r="D2137" s="1428"/>
      <c r="E2137" s="1429"/>
      <c r="F2137" s="1430"/>
      <c r="G2137" s="1431"/>
      <c r="H2137" s="1430"/>
      <c r="I2137" s="1429"/>
      <c r="J2137" s="2196"/>
    </row>
    <row r="2138" spans="2:10" ht="13.5" thickBot="1" x14ac:dyDescent="0.25">
      <c r="B2138" s="392" t="str">
        <f t="shared" si="67"/>
        <v xml:space="preserve"> -  </v>
      </c>
      <c r="C2138" s="1441" t="str">
        <f t="shared" si="66"/>
        <v xml:space="preserve"> </v>
      </c>
      <c r="D2138" s="1428"/>
      <c r="E2138" s="1429"/>
      <c r="F2138" s="1430"/>
      <c r="G2138" s="1431"/>
      <c r="H2138" s="1430"/>
      <c r="I2138" s="1429"/>
      <c r="J2138" s="2196"/>
    </row>
    <row r="2139" spans="2:10" ht="13.5" thickBot="1" x14ac:dyDescent="0.25">
      <c r="B2139" s="392" t="str">
        <f t="shared" si="67"/>
        <v xml:space="preserve"> -  </v>
      </c>
      <c r="C2139" s="1441" t="str">
        <f t="shared" ref="C2139:C2202" si="68">CONCATENATE(UPPER(F2139)," ",G2139)</f>
        <v xml:space="preserve"> </v>
      </c>
      <c r="D2139" s="1428"/>
      <c r="E2139" s="1429"/>
      <c r="F2139" s="1430"/>
      <c r="G2139" s="1431"/>
      <c r="H2139" s="1430"/>
      <c r="I2139" s="1429"/>
      <c r="J2139" s="2196"/>
    </row>
    <row r="2140" spans="2:10" ht="13.5" thickBot="1" x14ac:dyDescent="0.25">
      <c r="B2140" s="392" t="str">
        <f t="shared" si="67"/>
        <v xml:space="preserve"> -  </v>
      </c>
      <c r="C2140" s="1441" t="str">
        <f t="shared" si="68"/>
        <v xml:space="preserve"> </v>
      </c>
      <c r="D2140" s="1428"/>
      <c r="E2140" s="1429"/>
      <c r="F2140" s="1430"/>
      <c r="G2140" s="1431"/>
      <c r="H2140" s="1430"/>
      <c r="I2140" s="1429"/>
      <c r="J2140" s="2196"/>
    </row>
    <row r="2141" spans="2:10" ht="13.5" thickBot="1" x14ac:dyDescent="0.25">
      <c r="B2141" s="392" t="str">
        <f t="shared" si="67"/>
        <v xml:space="preserve"> -  </v>
      </c>
      <c r="C2141" s="1441" t="str">
        <f t="shared" si="68"/>
        <v xml:space="preserve"> </v>
      </c>
      <c r="D2141" s="1428"/>
      <c r="E2141" s="1429"/>
      <c r="F2141" s="1430"/>
      <c r="G2141" s="1431"/>
      <c r="H2141" s="1430"/>
      <c r="I2141" s="1429"/>
      <c r="J2141" s="2196"/>
    </row>
    <row r="2142" spans="2:10" ht="13.5" thickBot="1" x14ac:dyDescent="0.25">
      <c r="B2142" s="392" t="str">
        <f t="shared" si="67"/>
        <v xml:space="preserve"> -  </v>
      </c>
      <c r="C2142" s="1441" t="str">
        <f t="shared" si="68"/>
        <v xml:space="preserve"> </v>
      </c>
      <c r="D2142" s="1428"/>
      <c r="E2142" s="1429"/>
      <c r="F2142" s="1430"/>
      <c r="G2142" s="1431"/>
      <c r="H2142" s="1430"/>
      <c r="I2142" s="1429"/>
      <c r="J2142" s="2196"/>
    </row>
    <row r="2143" spans="2:10" ht="13.5" thickBot="1" x14ac:dyDescent="0.25">
      <c r="B2143" s="392" t="str">
        <f t="shared" si="67"/>
        <v xml:space="preserve"> -  </v>
      </c>
      <c r="C2143" s="1441" t="str">
        <f t="shared" si="68"/>
        <v xml:space="preserve"> </v>
      </c>
      <c r="D2143" s="1428"/>
      <c r="E2143" s="1429"/>
      <c r="F2143" s="1430"/>
      <c r="G2143" s="1431"/>
      <c r="H2143" s="1430"/>
      <c r="I2143" s="1429"/>
      <c r="J2143" s="2196"/>
    </row>
    <row r="2144" spans="2:10" ht="13.5" thickBot="1" x14ac:dyDescent="0.25">
      <c r="B2144" s="392" t="str">
        <f t="shared" si="67"/>
        <v xml:space="preserve"> -  </v>
      </c>
      <c r="C2144" s="1441" t="str">
        <f t="shared" si="68"/>
        <v xml:space="preserve"> </v>
      </c>
      <c r="D2144" s="1428"/>
      <c r="E2144" s="1429"/>
      <c r="F2144" s="1430"/>
      <c r="G2144" s="1431"/>
      <c r="H2144" s="1430"/>
      <c r="I2144" s="1429"/>
      <c r="J2144" s="2196"/>
    </row>
    <row r="2145" spans="2:10" ht="13.5" thickBot="1" x14ac:dyDescent="0.25">
      <c r="B2145" s="392" t="str">
        <f t="shared" si="67"/>
        <v xml:space="preserve"> -  </v>
      </c>
      <c r="C2145" s="1441" t="str">
        <f t="shared" si="68"/>
        <v xml:space="preserve"> </v>
      </c>
      <c r="D2145" s="1428"/>
      <c r="E2145" s="1429"/>
      <c r="F2145" s="1430"/>
      <c r="G2145" s="1431"/>
      <c r="H2145" s="1430"/>
      <c r="I2145" s="1429"/>
      <c r="J2145" s="2196"/>
    </row>
    <row r="2146" spans="2:10" ht="13.5" thickBot="1" x14ac:dyDescent="0.25">
      <c r="B2146" s="392" t="str">
        <f t="shared" si="67"/>
        <v xml:space="preserve"> -  </v>
      </c>
      <c r="C2146" s="1441" t="str">
        <f t="shared" si="68"/>
        <v xml:space="preserve"> </v>
      </c>
      <c r="D2146" s="1428"/>
      <c r="E2146" s="1429"/>
      <c r="F2146" s="1430"/>
      <c r="G2146" s="1431"/>
      <c r="H2146" s="1430"/>
      <c r="I2146" s="1429"/>
      <c r="J2146" s="2196"/>
    </row>
    <row r="2147" spans="2:10" ht="13.5" thickBot="1" x14ac:dyDescent="0.25">
      <c r="B2147" s="392" t="str">
        <f t="shared" si="67"/>
        <v xml:space="preserve"> -  </v>
      </c>
      <c r="C2147" s="1441" t="str">
        <f t="shared" si="68"/>
        <v xml:space="preserve"> </v>
      </c>
      <c r="D2147" s="1428"/>
      <c r="E2147" s="1429"/>
      <c r="F2147" s="1430"/>
      <c r="G2147" s="1431"/>
      <c r="H2147" s="1430"/>
      <c r="I2147" s="1429"/>
      <c r="J2147" s="2196"/>
    </row>
    <row r="2148" spans="2:10" ht="13.5" thickBot="1" x14ac:dyDescent="0.25">
      <c r="B2148" s="392" t="str">
        <f t="shared" si="67"/>
        <v xml:space="preserve"> -  </v>
      </c>
      <c r="C2148" s="1441" t="str">
        <f t="shared" si="68"/>
        <v xml:space="preserve"> </v>
      </c>
      <c r="D2148" s="1428"/>
      <c r="E2148" s="1429"/>
      <c r="F2148" s="1430"/>
      <c r="G2148" s="1431"/>
      <c r="H2148" s="1430"/>
      <c r="I2148" s="1429"/>
      <c r="J2148" s="2196"/>
    </row>
    <row r="2149" spans="2:10" ht="13.5" thickBot="1" x14ac:dyDescent="0.25">
      <c r="B2149" s="392" t="str">
        <f t="shared" si="67"/>
        <v xml:space="preserve"> -  </v>
      </c>
      <c r="C2149" s="1441" t="str">
        <f t="shared" si="68"/>
        <v xml:space="preserve"> </v>
      </c>
      <c r="D2149" s="1428"/>
      <c r="E2149" s="1429"/>
      <c r="F2149" s="1430"/>
      <c r="G2149" s="1431"/>
      <c r="H2149" s="1430"/>
      <c r="I2149" s="1429"/>
      <c r="J2149" s="2196"/>
    </row>
    <row r="2150" spans="2:10" ht="13.5" thickBot="1" x14ac:dyDescent="0.25">
      <c r="B2150" s="392" t="str">
        <f t="shared" si="67"/>
        <v xml:space="preserve"> -  </v>
      </c>
      <c r="C2150" s="1441" t="str">
        <f t="shared" si="68"/>
        <v xml:space="preserve"> </v>
      </c>
      <c r="D2150" s="1428"/>
      <c r="E2150" s="1429"/>
      <c r="F2150" s="1430"/>
      <c r="G2150" s="1431"/>
      <c r="H2150" s="1430"/>
      <c r="I2150" s="1429"/>
      <c r="J2150" s="2196"/>
    </row>
    <row r="2151" spans="2:10" ht="13.5" thickBot="1" x14ac:dyDescent="0.25">
      <c r="B2151" s="392" t="str">
        <f t="shared" si="67"/>
        <v xml:space="preserve"> -  </v>
      </c>
      <c r="C2151" s="1441" t="str">
        <f t="shared" si="68"/>
        <v xml:space="preserve"> </v>
      </c>
      <c r="D2151" s="1428"/>
      <c r="E2151" s="1429"/>
      <c r="F2151" s="1430"/>
      <c r="G2151" s="1431"/>
      <c r="H2151" s="1430"/>
      <c r="I2151" s="1429"/>
      <c r="J2151" s="2196"/>
    </row>
    <row r="2152" spans="2:10" ht="13.5" thickBot="1" x14ac:dyDescent="0.25">
      <c r="B2152" s="392" t="str">
        <f t="shared" si="67"/>
        <v xml:space="preserve"> -  </v>
      </c>
      <c r="C2152" s="1441" t="str">
        <f t="shared" si="68"/>
        <v xml:space="preserve"> </v>
      </c>
      <c r="D2152" s="1428"/>
      <c r="E2152" s="1429"/>
      <c r="F2152" s="1430"/>
      <c r="G2152" s="1431"/>
      <c r="H2152" s="1430"/>
      <c r="I2152" s="1429"/>
      <c r="J2152" s="2196"/>
    </row>
    <row r="2153" spans="2:10" ht="13.5" thickBot="1" x14ac:dyDescent="0.25">
      <c r="B2153" s="392" t="str">
        <f t="shared" si="67"/>
        <v xml:space="preserve"> -  </v>
      </c>
      <c r="C2153" s="1441" t="str">
        <f t="shared" si="68"/>
        <v xml:space="preserve"> </v>
      </c>
      <c r="D2153" s="1428"/>
      <c r="E2153" s="1429"/>
      <c r="F2153" s="1430"/>
      <c r="G2153" s="1431"/>
      <c r="H2153" s="1430"/>
      <c r="I2153" s="1429"/>
      <c r="J2153" s="2196"/>
    </row>
    <row r="2154" spans="2:10" ht="13.5" thickBot="1" x14ac:dyDescent="0.25">
      <c r="B2154" s="392" t="str">
        <f t="shared" si="67"/>
        <v xml:space="preserve"> -  </v>
      </c>
      <c r="C2154" s="1441" t="str">
        <f t="shared" si="68"/>
        <v xml:space="preserve"> </v>
      </c>
      <c r="D2154" s="1428"/>
      <c r="E2154" s="1429"/>
      <c r="F2154" s="1430"/>
      <c r="G2154" s="1431"/>
      <c r="H2154" s="1430"/>
      <c r="I2154" s="1429"/>
      <c r="J2154" s="2196"/>
    </row>
    <row r="2155" spans="2:10" ht="13.5" thickBot="1" x14ac:dyDescent="0.25">
      <c r="B2155" s="392" t="str">
        <f t="shared" si="67"/>
        <v xml:space="preserve"> -  </v>
      </c>
      <c r="C2155" s="1441" t="str">
        <f t="shared" si="68"/>
        <v xml:space="preserve"> </v>
      </c>
      <c r="D2155" s="1428"/>
      <c r="E2155" s="1429"/>
      <c r="F2155" s="1430"/>
      <c r="G2155" s="1431"/>
      <c r="H2155" s="1430"/>
      <c r="I2155" s="1429"/>
      <c r="J2155" s="2196"/>
    </row>
    <row r="2156" spans="2:10" ht="13.5" thickBot="1" x14ac:dyDescent="0.25">
      <c r="B2156" s="392" t="str">
        <f t="shared" si="67"/>
        <v xml:space="preserve"> -  </v>
      </c>
      <c r="C2156" s="1441" t="str">
        <f t="shared" si="68"/>
        <v xml:space="preserve"> </v>
      </c>
      <c r="D2156" s="1428"/>
      <c r="E2156" s="1429"/>
      <c r="F2156" s="1430"/>
      <c r="G2156" s="1431"/>
      <c r="H2156" s="1430"/>
      <c r="I2156" s="1429"/>
      <c r="J2156" s="2196"/>
    </row>
    <row r="2157" spans="2:10" ht="13.5" thickBot="1" x14ac:dyDescent="0.25">
      <c r="B2157" s="392" t="str">
        <f t="shared" si="67"/>
        <v xml:space="preserve"> -  </v>
      </c>
      <c r="C2157" s="1441" t="str">
        <f t="shared" si="68"/>
        <v xml:space="preserve"> </v>
      </c>
      <c r="D2157" s="1428"/>
      <c r="E2157" s="1429"/>
      <c r="F2157" s="1430"/>
      <c r="G2157" s="1431"/>
      <c r="H2157" s="1430"/>
      <c r="I2157" s="1429"/>
      <c r="J2157" s="2196"/>
    </row>
    <row r="2158" spans="2:10" ht="13.5" thickBot="1" x14ac:dyDescent="0.25">
      <c r="B2158" s="392" t="str">
        <f t="shared" si="67"/>
        <v xml:space="preserve"> -  </v>
      </c>
      <c r="C2158" s="1441" t="str">
        <f t="shared" si="68"/>
        <v xml:space="preserve"> </v>
      </c>
      <c r="D2158" s="1428"/>
      <c r="E2158" s="1429"/>
      <c r="F2158" s="1430"/>
      <c r="G2158" s="1431"/>
      <c r="H2158" s="1430"/>
      <c r="I2158" s="1429"/>
      <c r="J2158" s="2196"/>
    </row>
    <row r="2159" spans="2:10" ht="13.5" thickBot="1" x14ac:dyDescent="0.25">
      <c r="B2159" s="392" t="str">
        <f t="shared" si="67"/>
        <v xml:space="preserve"> -  </v>
      </c>
      <c r="C2159" s="1441" t="str">
        <f t="shared" si="68"/>
        <v xml:space="preserve"> </v>
      </c>
      <c r="D2159" s="1428"/>
      <c r="E2159" s="1429"/>
      <c r="F2159" s="1430"/>
      <c r="G2159" s="1431"/>
      <c r="H2159" s="1430"/>
      <c r="I2159" s="1429"/>
      <c r="J2159" s="2196"/>
    </row>
    <row r="2160" spans="2:10" ht="13.5" thickBot="1" x14ac:dyDescent="0.25">
      <c r="B2160" s="392" t="str">
        <f t="shared" si="67"/>
        <v xml:space="preserve"> -  </v>
      </c>
      <c r="C2160" s="1441" t="str">
        <f t="shared" si="68"/>
        <v xml:space="preserve"> </v>
      </c>
      <c r="D2160" s="1428"/>
      <c r="E2160" s="1429"/>
      <c r="F2160" s="1430"/>
      <c r="G2160" s="1431"/>
      <c r="H2160" s="1430"/>
      <c r="I2160" s="1429"/>
      <c r="J2160" s="2196"/>
    </row>
    <row r="2161" spans="2:10" ht="13.5" thickBot="1" x14ac:dyDescent="0.25">
      <c r="B2161" s="392" t="str">
        <f t="shared" si="67"/>
        <v xml:space="preserve"> -  </v>
      </c>
      <c r="C2161" s="1441" t="str">
        <f t="shared" si="68"/>
        <v xml:space="preserve"> </v>
      </c>
      <c r="D2161" s="1428"/>
      <c r="E2161" s="1429"/>
      <c r="F2161" s="1430"/>
      <c r="G2161" s="1431"/>
      <c r="H2161" s="1430"/>
      <c r="I2161" s="1429"/>
      <c r="J2161" s="2196"/>
    </row>
    <row r="2162" spans="2:10" ht="13.5" thickBot="1" x14ac:dyDescent="0.25">
      <c r="B2162" s="392" t="str">
        <f t="shared" si="67"/>
        <v xml:space="preserve"> -  </v>
      </c>
      <c r="C2162" s="1441" t="str">
        <f t="shared" si="68"/>
        <v xml:space="preserve"> </v>
      </c>
      <c r="D2162" s="1428"/>
      <c r="E2162" s="1429"/>
      <c r="F2162" s="1430"/>
      <c r="G2162" s="1431"/>
      <c r="H2162" s="1430"/>
      <c r="I2162" s="1429"/>
      <c r="J2162" s="2196"/>
    </row>
    <row r="2163" spans="2:10" ht="13.5" thickBot="1" x14ac:dyDescent="0.25">
      <c r="B2163" s="392" t="str">
        <f t="shared" si="67"/>
        <v xml:space="preserve"> -  </v>
      </c>
      <c r="C2163" s="1441" t="str">
        <f t="shared" si="68"/>
        <v xml:space="preserve"> </v>
      </c>
      <c r="D2163" s="1428"/>
      <c r="E2163" s="1429"/>
      <c r="F2163" s="1430"/>
      <c r="G2163" s="1431"/>
      <c r="H2163" s="1430"/>
      <c r="I2163" s="1429"/>
      <c r="J2163" s="2196"/>
    </row>
    <row r="2164" spans="2:10" ht="13.5" thickBot="1" x14ac:dyDescent="0.25">
      <c r="B2164" s="392" t="str">
        <f t="shared" si="67"/>
        <v xml:space="preserve"> -  </v>
      </c>
      <c r="C2164" s="1441" t="str">
        <f t="shared" si="68"/>
        <v xml:space="preserve"> </v>
      </c>
      <c r="D2164" s="1428"/>
      <c r="E2164" s="1429"/>
      <c r="F2164" s="1430"/>
      <c r="G2164" s="1431"/>
      <c r="H2164" s="1430"/>
      <c r="I2164" s="1429"/>
      <c r="J2164" s="2196"/>
    </row>
    <row r="2165" spans="2:10" ht="13.5" thickBot="1" x14ac:dyDescent="0.25">
      <c r="B2165" s="392" t="str">
        <f t="shared" si="67"/>
        <v xml:space="preserve"> -  </v>
      </c>
      <c r="C2165" s="1441" t="str">
        <f t="shared" si="68"/>
        <v xml:space="preserve"> </v>
      </c>
      <c r="D2165" s="1428"/>
      <c r="E2165" s="1429"/>
      <c r="F2165" s="1430"/>
      <c r="G2165" s="1431"/>
      <c r="H2165" s="1430"/>
      <c r="I2165" s="1429"/>
      <c r="J2165" s="2196"/>
    </row>
    <row r="2166" spans="2:10" ht="13.5" thickBot="1" x14ac:dyDescent="0.25">
      <c r="B2166" s="392" t="str">
        <f t="shared" si="67"/>
        <v xml:space="preserve"> -  </v>
      </c>
      <c r="C2166" s="1441" t="str">
        <f t="shared" si="68"/>
        <v xml:space="preserve"> </v>
      </c>
      <c r="D2166" s="1428"/>
      <c r="E2166" s="1429"/>
      <c r="F2166" s="1430"/>
      <c r="G2166" s="1431"/>
      <c r="H2166" s="1430"/>
      <c r="I2166" s="1429"/>
      <c r="J2166" s="2196"/>
    </row>
    <row r="2167" spans="2:10" ht="13.5" thickBot="1" x14ac:dyDescent="0.25">
      <c r="B2167" s="392" t="str">
        <f t="shared" si="67"/>
        <v xml:space="preserve"> -  </v>
      </c>
      <c r="C2167" s="1441" t="str">
        <f t="shared" si="68"/>
        <v xml:space="preserve"> </v>
      </c>
      <c r="D2167" s="1428"/>
      <c r="E2167" s="1429"/>
      <c r="F2167" s="1430"/>
      <c r="G2167" s="1431"/>
      <c r="H2167" s="1430"/>
      <c r="I2167" s="1429"/>
      <c r="J2167" s="2196"/>
    </row>
    <row r="2168" spans="2:10" ht="13.5" thickBot="1" x14ac:dyDescent="0.25">
      <c r="B2168" s="392" t="str">
        <f t="shared" si="67"/>
        <v xml:space="preserve"> -  </v>
      </c>
      <c r="C2168" s="1441" t="str">
        <f t="shared" si="68"/>
        <v xml:space="preserve"> </v>
      </c>
      <c r="D2168" s="1428"/>
      <c r="E2168" s="1429"/>
      <c r="F2168" s="1430"/>
      <c r="G2168" s="1431"/>
      <c r="H2168" s="1430"/>
      <c r="I2168" s="1429"/>
      <c r="J2168" s="2196"/>
    </row>
    <row r="2169" spans="2:10" ht="13.5" thickBot="1" x14ac:dyDescent="0.25">
      <c r="B2169" s="392" t="str">
        <f t="shared" si="67"/>
        <v xml:space="preserve"> -  </v>
      </c>
      <c r="C2169" s="1441" t="str">
        <f t="shared" si="68"/>
        <v xml:space="preserve"> </v>
      </c>
      <c r="D2169" s="1428"/>
      <c r="E2169" s="1429"/>
      <c r="F2169" s="1430"/>
      <c r="G2169" s="1431"/>
      <c r="H2169" s="1430"/>
      <c r="I2169" s="1429"/>
      <c r="J2169" s="2196"/>
    </row>
    <row r="2170" spans="2:10" ht="13.5" thickBot="1" x14ac:dyDescent="0.25">
      <c r="B2170" s="392" t="str">
        <f t="shared" si="67"/>
        <v xml:space="preserve"> -  </v>
      </c>
      <c r="C2170" s="1441" t="str">
        <f t="shared" si="68"/>
        <v xml:space="preserve"> </v>
      </c>
      <c r="D2170" s="1428"/>
      <c r="E2170" s="1429"/>
      <c r="F2170" s="1430"/>
      <c r="G2170" s="1431"/>
      <c r="H2170" s="1430"/>
      <c r="I2170" s="1429"/>
      <c r="J2170" s="2196"/>
    </row>
    <row r="2171" spans="2:10" ht="13.5" thickBot="1" x14ac:dyDescent="0.25">
      <c r="B2171" s="392" t="str">
        <f t="shared" si="67"/>
        <v xml:space="preserve"> -  </v>
      </c>
      <c r="C2171" s="1441" t="str">
        <f t="shared" si="68"/>
        <v xml:space="preserve"> </v>
      </c>
      <c r="D2171" s="1428"/>
      <c r="E2171" s="1429"/>
      <c r="F2171" s="1430"/>
      <c r="G2171" s="1431"/>
      <c r="H2171" s="1430"/>
      <c r="I2171" s="1429"/>
      <c r="J2171" s="2196"/>
    </row>
    <row r="2172" spans="2:10" ht="13.5" thickBot="1" x14ac:dyDescent="0.25">
      <c r="B2172" s="392" t="str">
        <f t="shared" si="67"/>
        <v xml:space="preserve"> -  </v>
      </c>
      <c r="C2172" s="1441" t="str">
        <f t="shared" si="68"/>
        <v xml:space="preserve"> </v>
      </c>
      <c r="D2172" s="1428"/>
      <c r="E2172" s="1429"/>
      <c r="F2172" s="1430"/>
      <c r="G2172" s="1431"/>
      <c r="H2172" s="1430"/>
      <c r="I2172" s="1429"/>
      <c r="J2172" s="2196"/>
    </row>
    <row r="2173" spans="2:10" ht="13.5" thickBot="1" x14ac:dyDescent="0.25">
      <c r="B2173" s="392" t="str">
        <f t="shared" si="67"/>
        <v xml:space="preserve"> -  </v>
      </c>
      <c r="C2173" s="1441" t="str">
        <f t="shared" si="68"/>
        <v xml:space="preserve"> </v>
      </c>
      <c r="D2173" s="1428"/>
      <c r="E2173" s="1429"/>
      <c r="F2173" s="1430"/>
      <c r="G2173" s="1431"/>
      <c r="H2173" s="1430"/>
      <c r="I2173" s="1429"/>
      <c r="J2173" s="2196"/>
    </row>
    <row r="2174" spans="2:10" ht="13.5" thickBot="1" x14ac:dyDescent="0.25">
      <c r="B2174" s="392" t="str">
        <f t="shared" si="67"/>
        <v xml:space="preserve"> -  </v>
      </c>
      <c r="C2174" s="1441" t="str">
        <f t="shared" si="68"/>
        <v xml:space="preserve"> </v>
      </c>
      <c r="D2174" s="1428"/>
      <c r="E2174" s="1429"/>
      <c r="F2174" s="1430"/>
      <c r="G2174" s="1431"/>
      <c r="H2174" s="1430"/>
      <c r="I2174" s="1429"/>
      <c r="J2174" s="2196"/>
    </row>
    <row r="2175" spans="2:10" ht="13.5" thickBot="1" x14ac:dyDescent="0.25">
      <c r="B2175" s="392" t="str">
        <f t="shared" si="67"/>
        <v xml:space="preserve"> -  </v>
      </c>
      <c r="C2175" s="1441" t="str">
        <f t="shared" si="68"/>
        <v xml:space="preserve"> </v>
      </c>
      <c r="D2175" s="1428"/>
      <c r="E2175" s="1429"/>
      <c r="F2175" s="1430"/>
      <c r="G2175" s="1431"/>
      <c r="H2175" s="1430"/>
      <c r="I2175" s="1429"/>
      <c r="J2175" s="2196"/>
    </row>
    <row r="2176" spans="2:10" ht="13.5" thickBot="1" x14ac:dyDescent="0.25">
      <c r="B2176" s="392" t="str">
        <f t="shared" si="67"/>
        <v xml:space="preserve"> -  </v>
      </c>
      <c r="C2176" s="1441" t="str">
        <f t="shared" si="68"/>
        <v xml:space="preserve"> </v>
      </c>
      <c r="D2176" s="1428"/>
      <c r="E2176" s="1429"/>
      <c r="F2176" s="1430"/>
      <c r="G2176" s="1431"/>
      <c r="H2176" s="1430"/>
      <c r="I2176" s="1429"/>
      <c r="J2176" s="2196"/>
    </row>
    <row r="2177" spans="2:10" ht="13.5" thickBot="1" x14ac:dyDescent="0.25">
      <c r="B2177" s="392" t="str">
        <f t="shared" si="67"/>
        <v xml:space="preserve"> -  </v>
      </c>
      <c r="C2177" s="1441" t="str">
        <f t="shared" si="68"/>
        <v xml:space="preserve"> </v>
      </c>
      <c r="D2177" s="1428"/>
      <c r="E2177" s="1429"/>
      <c r="F2177" s="1430"/>
      <c r="G2177" s="1431"/>
      <c r="H2177" s="1430"/>
      <c r="I2177" s="1429"/>
      <c r="J2177" s="2196"/>
    </row>
    <row r="2178" spans="2:10" ht="13.5" thickBot="1" x14ac:dyDescent="0.25">
      <c r="B2178" s="392" t="str">
        <f t="shared" si="67"/>
        <v xml:space="preserve"> -  </v>
      </c>
      <c r="C2178" s="1441" t="str">
        <f t="shared" si="68"/>
        <v xml:space="preserve"> </v>
      </c>
      <c r="D2178" s="1428"/>
      <c r="E2178" s="1429"/>
      <c r="F2178" s="1430"/>
      <c r="G2178" s="1431"/>
      <c r="H2178" s="1430"/>
      <c r="I2178" s="1429"/>
      <c r="J2178" s="2196"/>
    </row>
    <row r="2179" spans="2:10" ht="13.5" thickBot="1" x14ac:dyDescent="0.25">
      <c r="B2179" s="392" t="str">
        <f t="shared" si="67"/>
        <v xml:space="preserve"> -  </v>
      </c>
      <c r="C2179" s="1441" t="str">
        <f t="shared" si="68"/>
        <v xml:space="preserve"> </v>
      </c>
      <c r="D2179" s="1428"/>
      <c r="E2179" s="1429"/>
      <c r="F2179" s="1430"/>
      <c r="G2179" s="1431"/>
      <c r="H2179" s="1430"/>
      <c r="I2179" s="1429"/>
      <c r="J2179" s="2196"/>
    </row>
    <row r="2180" spans="2:10" ht="13.5" thickBot="1" x14ac:dyDescent="0.25">
      <c r="B2180" s="392" t="str">
        <f t="shared" si="67"/>
        <v xml:space="preserve"> -  </v>
      </c>
      <c r="C2180" s="1441" t="str">
        <f t="shared" si="68"/>
        <v xml:space="preserve"> </v>
      </c>
      <c r="D2180" s="1428"/>
      <c r="E2180" s="1429"/>
      <c r="F2180" s="1430"/>
      <c r="G2180" s="1431"/>
      <c r="H2180" s="1430"/>
      <c r="I2180" s="1429"/>
      <c r="J2180" s="2196"/>
    </row>
    <row r="2181" spans="2:10" ht="13.5" thickBot="1" x14ac:dyDescent="0.25">
      <c r="B2181" s="392" t="str">
        <f t="shared" si="67"/>
        <v xml:space="preserve"> -  </v>
      </c>
      <c r="C2181" s="1441" t="str">
        <f t="shared" si="68"/>
        <v xml:space="preserve"> </v>
      </c>
      <c r="D2181" s="1428"/>
      <c r="E2181" s="1429"/>
      <c r="F2181" s="1430"/>
      <c r="G2181" s="1431"/>
      <c r="H2181" s="1430"/>
      <c r="I2181" s="1429"/>
      <c r="J2181" s="2196"/>
    </row>
    <row r="2182" spans="2:10" ht="13.5" thickBot="1" x14ac:dyDescent="0.25">
      <c r="B2182" s="392" t="str">
        <f t="shared" si="67"/>
        <v xml:space="preserve"> -  </v>
      </c>
      <c r="C2182" s="1441" t="str">
        <f t="shared" si="68"/>
        <v xml:space="preserve"> </v>
      </c>
      <c r="D2182" s="1428"/>
      <c r="E2182" s="1429"/>
      <c r="F2182" s="1430"/>
      <c r="G2182" s="1431"/>
      <c r="H2182" s="1430"/>
      <c r="I2182" s="1429"/>
      <c r="J2182" s="2196"/>
    </row>
    <row r="2183" spans="2:10" ht="13.5" thickBot="1" x14ac:dyDescent="0.25">
      <c r="B2183" s="392" t="str">
        <f t="shared" ref="B2183:B2246" si="69">CONCATENATE(D2183," - ",C2183)</f>
        <v xml:space="preserve"> -  </v>
      </c>
      <c r="C2183" s="1441" t="str">
        <f t="shared" si="68"/>
        <v xml:space="preserve"> </v>
      </c>
      <c r="D2183" s="1428"/>
      <c r="E2183" s="1429"/>
      <c r="F2183" s="1430"/>
      <c r="G2183" s="1431"/>
      <c r="H2183" s="1430"/>
      <c r="I2183" s="1429"/>
      <c r="J2183" s="2196"/>
    </row>
    <row r="2184" spans="2:10" ht="13.5" thickBot="1" x14ac:dyDescent="0.25">
      <c r="B2184" s="392" t="str">
        <f t="shared" si="69"/>
        <v xml:space="preserve"> -  </v>
      </c>
      <c r="C2184" s="1441" t="str">
        <f t="shared" si="68"/>
        <v xml:space="preserve"> </v>
      </c>
      <c r="D2184" s="1428"/>
      <c r="E2184" s="1429"/>
      <c r="F2184" s="1430"/>
      <c r="G2184" s="1431"/>
      <c r="H2184" s="1430"/>
      <c r="I2184" s="1429"/>
      <c r="J2184" s="2196"/>
    </row>
    <row r="2185" spans="2:10" ht="13.5" thickBot="1" x14ac:dyDescent="0.25">
      <c r="B2185" s="392" t="str">
        <f t="shared" si="69"/>
        <v xml:space="preserve"> -  </v>
      </c>
      <c r="C2185" s="1441" t="str">
        <f t="shared" si="68"/>
        <v xml:space="preserve"> </v>
      </c>
      <c r="D2185" s="1428"/>
      <c r="E2185" s="1429"/>
      <c r="F2185" s="1430"/>
      <c r="G2185" s="1431"/>
      <c r="H2185" s="1430"/>
      <c r="I2185" s="1429"/>
      <c r="J2185" s="2196"/>
    </row>
    <row r="2186" spans="2:10" ht="13.5" thickBot="1" x14ac:dyDescent="0.25">
      <c r="B2186" s="392" t="str">
        <f t="shared" si="69"/>
        <v xml:space="preserve"> -  </v>
      </c>
      <c r="C2186" s="1441" t="str">
        <f t="shared" si="68"/>
        <v xml:space="preserve"> </v>
      </c>
      <c r="D2186" s="1428"/>
      <c r="E2186" s="1429"/>
      <c r="F2186" s="1430"/>
      <c r="G2186" s="1431"/>
      <c r="H2186" s="1430"/>
      <c r="I2186" s="1429"/>
      <c r="J2186" s="2196"/>
    </row>
    <row r="2187" spans="2:10" ht="13.5" thickBot="1" x14ac:dyDescent="0.25">
      <c r="B2187" s="392" t="str">
        <f t="shared" si="69"/>
        <v xml:space="preserve"> -  </v>
      </c>
      <c r="C2187" s="1441" t="str">
        <f t="shared" si="68"/>
        <v xml:space="preserve"> </v>
      </c>
      <c r="D2187" s="1428"/>
      <c r="E2187" s="1429"/>
      <c r="F2187" s="1430"/>
      <c r="G2187" s="1431"/>
      <c r="H2187" s="1430"/>
      <c r="I2187" s="1429"/>
      <c r="J2187" s="2196"/>
    </row>
    <row r="2188" spans="2:10" ht="13.5" thickBot="1" x14ac:dyDescent="0.25">
      <c r="B2188" s="392" t="str">
        <f t="shared" si="69"/>
        <v xml:space="preserve"> -  </v>
      </c>
      <c r="C2188" s="1441" t="str">
        <f t="shared" si="68"/>
        <v xml:space="preserve"> </v>
      </c>
      <c r="D2188" s="1428"/>
      <c r="E2188" s="1429"/>
      <c r="F2188" s="1430"/>
      <c r="G2188" s="1431"/>
      <c r="H2188" s="1430"/>
      <c r="I2188" s="1429"/>
      <c r="J2188" s="2196"/>
    </row>
    <row r="2189" spans="2:10" ht="13.5" thickBot="1" x14ac:dyDescent="0.25">
      <c r="B2189" s="392" t="str">
        <f t="shared" si="69"/>
        <v xml:space="preserve"> -  </v>
      </c>
      <c r="C2189" s="1441" t="str">
        <f t="shared" si="68"/>
        <v xml:space="preserve"> </v>
      </c>
      <c r="D2189" s="1428"/>
      <c r="E2189" s="1429"/>
      <c r="F2189" s="1430"/>
      <c r="G2189" s="1431"/>
      <c r="H2189" s="1430"/>
      <c r="I2189" s="1429"/>
      <c r="J2189" s="2196"/>
    </row>
    <row r="2190" spans="2:10" ht="13.5" thickBot="1" x14ac:dyDescent="0.25">
      <c r="B2190" s="392" t="str">
        <f t="shared" si="69"/>
        <v xml:space="preserve"> -  </v>
      </c>
      <c r="C2190" s="1441" t="str">
        <f t="shared" si="68"/>
        <v xml:space="preserve"> </v>
      </c>
      <c r="D2190" s="1428"/>
      <c r="E2190" s="1429"/>
      <c r="F2190" s="1430"/>
      <c r="G2190" s="1431"/>
      <c r="H2190" s="1430"/>
      <c r="I2190" s="1429"/>
      <c r="J2190" s="2196"/>
    </row>
    <row r="2191" spans="2:10" ht="13.5" thickBot="1" x14ac:dyDescent="0.25">
      <c r="B2191" s="392" t="str">
        <f t="shared" si="69"/>
        <v xml:space="preserve"> -  </v>
      </c>
      <c r="C2191" s="1441" t="str">
        <f t="shared" si="68"/>
        <v xml:space="preserve"> </v>
      </c>
      <c r="D2191" s="1428"/>
      <c r="E2191" s="1429"/>
      <c r="F2191" s="1430"/>
      <c r="G2191" s="1431"/>
      <c r="H2191" s="1430"/>
      <c r="I2191" s="1429"/>
      <c r="J2191" s="2196"/>
    </row>
    <row r="2192" spans="2:10" ht="13.5" thickBot="1" x14ac:dyDescent="0.25">
      <c r="B2192" s="392" t="str">
        <f t="shared" si="69"/>
        <v xml:space="preserve"> -  </v>
      </c>
      <c r="C2192" s="1441" t="str">
        <f t="shared" si="68"/>
        <v xml:space="preserve"> </v>
      </c>
      <c r="D2192" s="1428"/>
      <c r="E2192" s="1429"/>
      <c r="F2192" s="1430"/>
      <c r="G2192" s="1431"/>
      <c r="H2192" s="1430"/>
      <c r="I2192" s="1429"/>
      <c r="J2192" s="2196"/>
    </row>
    <row r="2193" spans="2:10" ht="13.5" thickBot="1" x14ac:dyDescent="0.25">
      <c r="B2193" s="392" t="str">
        <f t="shared" si="69"/>
        <v xml:space="preserve"> -  </v>
      </c>
      <c r="C2193" s="1441" t="str">
        <f t="shared" si="68"/>
        <v xml:space="preserve"> </v>
      </c>
      <c r="D2193" s="1428"/>
      <c r="E2193" s="1429"/>
      <c r="F2193" s="1430"/>
      <c r="G2193" s="1431"/>
      <c r="H2193" s="1430"/>
      <c r="I2193" s="1429"/>
      <c r="J2193" s="2196"/>
    </row>
    <row r="2194" spans="2:10" ht="13.5" thickBot="1" x14ac:dyDescent="0.25">
      <c r="B2194" s="392" t="str">
        <f t="shared" si="69"/>
        <v xml:space="preserve"> -  </v>
      </c>
      <c r="C2194" s="1441" t="str">
        <f t="shared" si="68"/>
        <v xml:space="preserve"> </v>
      </c>
      <c r="D2194" s="1428"/>
      <c r="E2194" s="1429"/>
      <c r="F2194" s="1430"/>
      <c r="G2194" s="1431"/>
      <c r="H2194" s="1430"/>
      <c r="I2194" s="1429"/>
      <c r="J2194" s="2196"/>
    </row>
    <row r="2195" spans="2:10" ht="13.5" thickBot="1" x14ac:dyDescent="0.25">
      <c r="B2195" s="392" t="str">
        <f t="shared" si="69"/>
        <v xml:space="preserve"> -  </v>
      </c>
      <c r="C2195" s="1441" t="str">
        <f t="shared" si="68"/>
        <v xml:space="preserve"> </v>
      </c>
      <c r="D2195" s="1428"/>
      <c r="E2195" s="1429"/>
      <c r="F2195" s="1430"/>
      <c r="G2195" s="1431"/>
      <c r="H2195" s="1430"/>
      <c r="I2195" s="1429"/>
      <c r="J2195" s="2196"/>
    </row>
    <row r="2196" spans="2:10" ht="13.5" thickBot="1" x14ac:dyDescent="0.25">
      <c r="B2196" s="392" t="str">
        <f t="shared" si="69"/>
        <v xml:space="preserve"> -  </v>
      </c>
      <c r="C2196" s="1441" t="str">
        <f t="shared" si="68"/>
        <v xml:space="preserve"> </v>
      </c>
      <c r="D2196" s="1428"/>
      <c r="E2196" s="1429"/>
      <c r="F2196" s="1430"/>
      <c r="G2196" s="1431"/>
      <c r="H2196" s="1430"/>
      <c r="I2196" s="1429"/>
      <c r="J2196" s="2196"/>
    </row>
    <row r="2197" spans="2:10" ht="13.5" thickBot="1" x14ac:dyDescent="0.25">
      <c r="B2197" s="392" t="str">
        <f t="shared" si="69"/>
        <v xml:space="preserve"> -  </v>
      </c>
      <c r="C2197" s="1441" t="str">
        <f t="shared" si="68"/>
        <v xml:space="preserve"> </v>
      </c>
      <c r="D2197" s="1428"/>
      <c r="E2197" s="1429"/>
      <c r="F2197" s="1430"/>
      <c r="G2197" s="1431"/>
      <c r="H2197" s="1430"/>
      <c r="I2197" s="1429"/>
      <c r="J2197" s="2196"/>
    </row>
    <row r="2198" spans="2:10" ht="13.5" thickBot="1" x14ac:dyDescent="0.25">
      <c r="B2198" s="392" t="str">
        <f t="shared" si="69"/>
        <v xml:space="preserve"> -  </v>
      </c>
      <c r="C2198" s="1441" t="str">
        <f t="shared" si="68"/>
        <v xml:space="preserve"> </v>
      </c>
      <c r="D2198" s="1428"/>
      <c r="E2198" s="1429"/>
      <c r="F2198" s="1430"/>
      <c r="G2198" s="1431"/>
      <c r="H2198" s="1430"/>
      <c r="I2198" s="1429"/>
      <c r="J2198" s="2196"/>
    </row>
    <row r="2199" spans="2:10" ht="13.5" thickBot="1" x14ac:dyDescent="0.25">
      <c r="B2199" s="392" t="str">
        <f t="shared" si="69"/>
        <v xml:space="preserve"> -  </v>
      </c>
      <c r="C2199" s="1441" t="str">
        <f t="shared" si="68"/>
        <v xml:space="preserve"> </v>
      </c>
      <c r="D2199" s="1428"/>
      <c r="E2199" s="1429"/>
      <c r="F2199" s="1430"/>
      <c r="G2199" s="1431"/>
      <c r="H2199" s="1430"/>
      <c r="I2199" s="1429"/>
      <c r="J2199" s="2196"/>
    </row>
    <row r="2200" spans="2:10" ht="13.5" thickBot="1" x14ac:dyDescent="0.25">
      <c r="B2200" s="392" t="str">
        <f t="shared" si="69"/>
        <v xml:space="preserve"> -  </v>
      </c>
      <c r="C2200" s="1441" t="str">
        <f t="shared" si="68"/>
        <v xml:space="preserve"> </v>
      </c>
      <c r="D2200" s="1428"/>
      <c r="E2200" s="1429"/>
      <c r="F2200" s="1430"/>
      <c r="G2200" s="1431"/>
      <c r="H2200" s="1430"/>
      <c r="I2200" s="1429"/>
      <c r="J2200" s="2196"/>
    </row>
    <row r="2201" spans="2:10" ht="13.5" thickBot="1" x14ac:dyDescent="0.25">
      <c r="B2201" s="392" t="str">
        <f t="shared" si="69"/>
        <v xml:space="preserve"> -  </v>
      </c>
      <c r="C2201" s="1441" t="str">
        <f t="shared" si="68"/>
        <v xml:space="preserve"> </v>
      </c>
      <c r="D2201" s="1428"/>
      <c r="E2201" s="1429"/>
      <c r="F2201" s="1430"/>
      <c r="G2201" s="1431"/>
      <c r="H2201" s="1430"/>
      <c r="I2201" s="1429"/>
      <c r="J2201" s="2196"/>
    </row>
    <row r="2202" spans="2:10" ht="13.5" thickBot="1" x14ac:dyDescent="0.25">
      <c r="B2202" s="392" t="str">
        <f t="shared" si="69"/>
        <v xml:space="preserve"> -  </v>
      </c>
      <c r="C2202" s="1441" t="str">
        <f t="shared" si="68"/>
        <v xml:space="preserve"> </v>
      </c>
      <c r="D2202" s="1428"/>
      <c r="E2202" s="1429"/>
      <c r="F2202" s="1430"/>
      <c r="G2202" s="1431"/>
      <c r="H2202" s="1430"/>
      <c r="I2202" s="1429"/>
      <c r="J2202" s="2196"/>
    </row>
    <row r="2203" spans="2:10" ht="13.5" thickBot="1" x14ac:dyDescent="0.25">
      <c r="B2203" s="392" t="str">
        <f t="shared" si="69"/>
        <v xml:space="preserve"> -  </v>
      </c>
      <c r="C2203" s="1441" t="str">
        <f t="shared" ref="C2203:C2254" si="70">CONCATENATE(UPPER(F2203)," ",G2203)</f>
        <v xml:space="preserve"> </v>
      </c>
      <c r="D2203" s="1428"/>
      <c r="E2203" s="1429"/>
      <c r="F2203" s="1430"/>
      <c r="G2203" s="1431"/>
      <c r="H2203" s="1430"/>
      <c r="I2203" s="1429"/>
      <c r="J2203" s="2196"/>
    </row>
    <row r="2204" spans="2:10" ht="13.5" thickBot="1" x14ac:dyDescent="0.25">
      <c r="B2204" s="392" t="str">
        <f t="shared" si="69"/>
        <v xml:space="preserve"> -  </v>
      </c>
      <c r="C2204" s="1441" t="str">
        <f t="shared" si="70"/>
        <v xml:space="preserve"> </v>
      </c>
      <c r="D2204" s="1428"/>
      <c r="E2204" s="1429"/>
      <c r="F2204" s="1430"/>
      <c r="G2204" s="1431"/>
      <c r="H2204" s="1430"/>
      <c r="I2204" s="1429"/>
      <c r="J2204" s="2196"/>
    </row>
    <row r="2205" spans="2:10" ht="13.5" thickBot="1" x14ac:dyDescent="0.25">
      <c r="B2205" s="392" t="str">
        <f t="shared" si="69"/>
        <v xml:space="preserve"> -  </v>
      </c>
      <c r="C2205" s="1441" t="str">
        <f t="shared" si="70"/>
        <v xml:space="preserve"> </v>
      </c>
      <c r="D2205" s="1428"/>
      <c r="E2205" s="1429"/>
      <c r="F2205" s="1430"/>
      <c r="G2205" s="1431"/>
      <c r="H2205" s="1430"/>
      <c r="I2205" s="1429"/>
      <c r="J2205" s="2196"/>
    </row>
    <row r="2206" spans="2:10" ht="13.5" thickBot="1" x14ac:dyDescent="0.25">
      <c r="B2206" s="392" t="str">
        <f t="shared" si="69"/>
        <v xml:space="preserve"> -  </v>
      </c>
      <c r="C2206" s="1441" t="str">
        <f t="shared" si="70"/>
        <v xml:space="preserve"> </v>
      </c>
      <c r="D2206" s="1428"/>
      <c r="E2206" s="1429"/>
      <c r="F2206" s="1430"/>
      <c r="G2206" s="1431"/>
      <c r="H2206" s="1430"/>
      <c r="I2206" s="1429"/>
      <c r="J2206" s="2196"/>
    </row>
    <row r="2207" spans="2:10" ht="13.5" thickBot="1" x14ac:dyDescent="0.25">
      <c r="B2207" s="392" t="str">
        <f t="shared" si="69"/>
        <v xml:space="preserve"> -  </v>
      </c>
      <c r="C2207" s="1441" t="str">
        <f t="shared" si="70"/>
        <v xml:space="preserve"> </v>
      </c>
      <c r="D2207" s="1428"/>
      <c r="E2207" s="1429"/>
      <c r="F2207" s="1430"/>
      <c r="G2207" s="1431"/>
      <c r="H2207" s="1430"/>
      <c r="I2207" s="1429"/>
      <c r="J2207" s="2196"/>
    </row>
    <row r="2208" spans="2:10" ht="13.5" thickBot="1" x14ac:dyDescent="0.25">
      <c r="B2208" s="392" t="str">
        <f t="shared" si="69"/>
        <v xml:space="preserve"> -  </v>
      </c>
      <c r="C2208" s="1441" t="str">
        <f t="shared" si="70"/>
        <v xml:space="preserve"> </v>
      </c>
      <c r="D2208" s="1428"/>
      <c r="E2208" s="1429"/>
      <c r="F2208" s="1430"/>
      <c r="G2208" s="1431"/>
      <c r="H2208" s="1430"/>
      <c r="I2208" s="1429"/>
      <c r="J2208" s="2196"/>
    </row>
    <row r="2209" spans="2:10" ht="13.5" thickBot="1" x14ac:dyDescent="0.25">
      <c r="B2209" s="392" t="str">
        <f t="shared" si="69"/>
        <v xml:space="preserve"> -  </v>
      </c>
      <c r="C2209" s="1441" t="str">
        <f t="shared" si="70"/>
        <v xml:space="preserve"> </v>
      </c>
      <c r="D2209" s="1428"/>
      <c r="E2209" s="1429"/>
      <c r="F2209" s="1430"/>
      <c r="G2209" s="1431"/>
      <c r="H2209" s="1430"/>
      <c r="I2209" s="1429"/>
      <c r="J2209" s="2196"/>
    </row>
    <row r="2210" spans="2:10" ht="13.5" thickBot="1" x14ac:dyDescent="0.25">
      <c r="B2210" s="392" t="str">
        <f t="shared" si="69"/>
        <v xml:space="preserve"> -  </v>
      </c>
      <c r="C2210" s="1441" t="str">
        <f t="shared" si="70"/>
        <v xml:space="preserve"> </v>
      </c>
      <c r="D2210" s="1428"/>
      <c r="E2210" s="1429"/>
      <c r="F2210" s="1430"/>
      <c r="G2210" s="1431"/>
      <c r="H2210" s="1430"/>
      <c r="I2210" s="1429"/>
      <c r="J2210" s="2196"/>
    </row>
    <row r="2211" spans="2:10" ht="13.5" thickBot="1" x14ac:dyDescent="0.25">
      <c r="B2211" s="392" t="str">
        <f t="shared" si="69"/>
        <v xml:space="preserve"> -  </v>
      </c>
      <c r="C2211" s="1441" t="str">
        <f t="shared" si="70"/>
        <v xml:space="preserve"> </v>
      </c>
      <c r="D2211" s="1428"/>
      <c r="E2211" s="1429"/>
      <c r="F2211" s="1430"/>
      <c r="G2211" s="1431"/>
      <c r="H2211" s="1430"/>
      <c r="I2211" s="1429"/>
      <c r="J2211" s="2196"/>
    </row>
    <row r="2212" spans="2:10" ht="13.5" thickBot="1" x14ac:dyDescent="0.25">
      <c r="B2212" s="392" t="str">
        <f t="shared" si="69"/>
        <v xml:space="preserve"> -  </v>
      </c>
      <c r="C2212" s="1441" t="str">
        <f t="shared" si="70"/>
        <v xml:space="preserve"> </v>
      </c>
      <c r="D2212" s="1428"/>
      <c r="E2212" s="1429"/>
      <c r="F2212" s="1430"/>
      <c r="G2212" s="1431"/>
      <c r="H2212" s="1430"/>
      <c r="I2212" s="1429"/>
      <c r="J2212" s="2196"/>
    </row>
    <row r="2213" spans="2:10" ht="13.5" thickBot="1" x14ac:dyDescent="0.25">
      <c r="B2213" s="392" t="str">
        <f t="shared" si="69"/>
        <v xml:space="preserve"> -  </v>
      </c>
      <c r="C2213" s="1441" t="str">
        <f t="shared" si="70"/>
        <v xml:space="preserve"> </v>
      </c>
      <c r="D2213" s="1428"/>
      <c r="E2213" s="1429"/>
      <c r="F2213" s="1430"/>
      <c r="G2213" s="1431"/>
      <c r="H2213" s="1430"/>
      <c r="I2213" s="1429"/>
      <c r="J2213" s="2196"/>
    </row>
    <row r="2214" spans="2:10" ht="13.5" thickBot="1" x14ac:dyDescent="0.25">
      <c r="B2214" s="392" t="str">
        <f t="shared" si="69"/>
        <v xml:space="preserve"> -  </v>
      </c>
      <c r="C2214" s="1441" t="str">
        <f t="shared" si="70"/>
        <v xml:space="preserve"> </v>
      </c>
      <c r="D2214" s="1428"/>
      <c r="E2214" s="1429"/>
      <c r="F2214" s="1430"/>
      <c r="G2214" s="1431"/>
      <c r="H2214" s="1430"/>
      <c r="I2214" s="1429"/>
      <c r="J2214" s="2196"/>
    </row>
    <row r="2215" spans="2:10" ht="13.5" thickBot="1" x14ac:dyDescent="0.25">
      <c r="B2215" s="392" t="str">
        <f t="shared" si="69"/>
        <v xml:space="preserve"> -  </v>
      </c>
      <c r="C2215" s="1441" t="str">
        <f t="shared" si="70"/>
        <v xml:space="preserve"> </v>
      </c>
      <c r="D2215" s="1428"/>
      <c r="E2215" s="1429"/>
      <c r="F2215" s="1430"/>
      <c r="G2215" s="1431"/>
      <c r="H2215" s="1430"/>
      <c r="I2215" s="1429"/>
      <c r="J2215" s="2196"/>
    </row>
    <row r="2216" spans="2:10" ht="13.5" thickBot="1" x14ac:dyDescent="0.25">
      <c r="B2216" s="392" t="str">
        <f t="shared" si="69"/>
        <v xml:space="preserve"> -  </v>
      </c>
      <c r="C2216" s="1441" t="str">
        <f t="shared" si="70"/>
        <v xml:space="preserve"> </v>
      </c>
      <c r="D2216" s="1428"/>
      <c r="E2216" s="1429"/>
      <c r="F2216" s="1430"/>
      <c r="G2216" s="1431"/>
      <c r="H2216" s="1430"/>
      <c r="I2216" s="1429"/>
      <c r="J2216" s="2196"/>
    </row>
    <row r="2217" spans="2:10" ht="13.5" thickBot="1" x14ac:dyDescent="0.25">
      <c r="B2217" s="392" t="str">
        <f t="shared" si="69"/>
        <v xml:space="preserve"> -  </v>
      </c>
      <c r="C2217" s="1441" t="str">
        <f t="shared" si="70"/>
        <v xml:space="preserve"> </v>
      </c>
      <c r="D2217" s="1428"/>
      <c r="E2217" s="1429"/>
      <c r="F2217" s="1430"/>
      <c r="G2217" s="1431"/>
      <c r="H2217" s="1430"/>
      <c r="I2217" s="1429"/>
      <c r="J2217" s="2196"/>
    </row>
    <row r="2218" spans="2:10" ht="13.5" thickBot="1" x14ac:dyDescent="0.25">
      <c r="B2218" s="392" t="str">
        <f t="shared" si="69"/>
        <v xml:space="preserve"> -  </v>
      </c>
      <c r="C2218" s="1441" t="str">
        <f t="shared" si="70"/>
        <v xml:space="preserve"> </v>
      </c>
      <c r="D2218" s="1428"/>
      <c r="E2218" s="1429"/>
      <c r="F2218" s="1430"/>
      <c r="G2218" s="1431"/>
      <c r="H2218" s="1430"/>
      <c r="I2218" s="1429"/>
      <c r="J2218" s="2196"/>
    </row>
    <row r="2219" spans="2:10" ht="13.5" thickBot="1" x14ac:dyDescent="0.25">
      <c r="B2219" s="392" t="str">
        <f t="shared" si="69"/>
        <v xml:space="preserve"> -  </v>
      </c>
      <c r="C2219" s="1441" t="str">
        <f t="shared" si="70"/>
        <v xml:space="preserve"> </v>
      </c>
      <c r="D2219" s="1428"/>
      <c r="E2219" s="1429"/>
      <c r="F2219" s="1430"/>
      <c r="G2219" s="1431"/>
      <c r="H2219" s="1430"/>
      <c r="I2219" s="1429"/>
      <c r="J2219" s="2196"/>
    </row>
    <row r="2220" spans="2:10" ht="13.5" thickBot="1" x14ac:dyDescent="0.25">
      <c r="B2220" s="392" t="str">
        <f t="shared" si="69"/>
        <v xml:space="preserve"> -  </v>
      </c>
      <c r="C2220" s="1441" t="str">
        <f t="shared" si="70"/>
        <v xml:space="preserve"> </v>
      </c>
      <c r="D2220" s="1428"/>
      <c r="E2220" s="1429"/>
      <c r="F2220" s="1430"/>
      <c r="G2220" s="1431"/>
      <c r="H2220" s="1430"/>
      <c r="I2220" s="1429"/>
      <c r="J2220" s="2196"/>
    </row>
    <row r="2221" spans="2:10" ht="13.5" thickBot="1" x14ac:dyDescent="0.25">
      <c r="B2221" s="392" t="str">
        <f t="shared" si="69"/>
        <v xml:space="preserve"> -  </v>
      </c>
      <c r="C2221" s="1441" t="str">
        <f t="shared" si="70"/>
        <v xml:space="preserve"> </v>
      </c>
      <c r="D2221" s="1428"/>
      <c r="E2221" s="1429"/>
      <c r="F2221" s="1430"/>
      <c r="G2221" s="1431"/>
      <c r="H2221" s="1430"/>
      <c r="I2221" s="1429"/>
      <c r="J2221" s="2196"/>
    </row>
    <row r="2222" spans="2:10" ht="13.5" thickBot="1" x14ac:dyDescent="0.25">
      <c r="B2222" s="392" t="str">
        <f t="shared" si="69"/>
        <v xml:space="preserve"> -  </v>
      </c>
      <c r="C2222" s="1441" t="str">
        <f t="shared" si="70"/>
        <v xml:space="preserve"> </v>
      </c>
      <c r="D2222" s="1428"/>
      <c r="E2222" s="1429"/>
      <c r="F2222" s="1430"/>
      <c r="G2222" s="1431"/>
      <c r="H2222" s="1430"/>
      <c r="I2222" s="1429"/>
      <c r="J2222" s="2196"/>
    </row>
    <row r="2223" spans="2:10" ht="13.5" thickBot="1" x14ac:dyDescent="0.25">
      <c r="B2223" s="392" t="str">
        <f t="shared" si="69"/>
        <v xml:space="preserve"> -  </v>
      </c>
      <c r="C2223" s="1441" t="str">
        <f t="shared" si="70"/>
        <v xml:space="preserve"> </v>
      </c>
      <c r="D2223" s="1428"/>
      <c r="E2223" s="1429"/>
      <c r="F2223" s="1430"/>
      <c r="G2223" s="1431"/>
      <c r="H2223" s="1430"/>
      <c r="I2223" s="1429"/>
      <c r="J2223" s="2196"/>
    </row>
    <row r="2224" spans="2:10" ht="13.5" thickBot="1" x14ac:dyDescent="0.25">
      <c r="B2224" s="392" t="str">
        <f t="shared" si="69"/>
        <v xml:space="preserve"> -  </v>
      </c>
      <c r="C2224" s="1441" t="str">
        <f t="shared" si="70"/>
        <v xml:space="preserve"> </v>
      </c>
      <c r="D2224" s="1428"/>
      <c r="E2224" s="1429"/>
      <c r="F2224" s="1430"/>
      <c r="G2224" s="1431"/>
      <c r="H2224" s="1430"/>
      <c r="I2224" s="1429"/>
      <c r="J2224" s="2196"/>
    </row>
    <row r="2225" spans="2:10" ht="13.5" thickBot="1" x14ac:dyDescent="0.25">
      <c r="B2225" s="392" t="str">
        <f t="shared" si="69"/>
        <v xml:space="preserve"> -  </v>
      </c>
      <c r="C2225" s="1441" t="str">
        <f t="shared" si="70"/>
        <v xml:space="preserve"> </v>
      </c>
      <c r="D2225" s="1428"/>
      <c r="E2225" s="1429"/>
      <c r="F2225" s="1430"/>
      <c r="G2225" s="1431"/>
      <c r="H2225" s="1430"/>
      <c r="I2225" s="1429"/>
      <c r="J2225" s="2196"/>
    </row>
    <row r="2226" spans="2:10" ht="13.5" thickBot="1" x14ac:dyDescent="0.25">
      <c r="B2226" s="392" t="str">
        <f t="shared" si="69"/>
        <v xml:space="preserve"> -  </v>
      </c>
      <c r="C2226" s="1441" t="str">
        <f t="shared" si="70"/>
        <v xml:space="preserve"> </v>
      </c>
      <c r="D2226" s="1428"/>
      <c r="E2226" s="1429"/>
      <c r="F2226" s="1430"/>
      <c r="G2226" s="1431"/>
      <c r="H2226" s="1430"/>
      <c r="I2226" s="1429"/>
      <c r="J2226" s="2196"/>
    </row>
    <row r="2227" spans="2:10" ht="13.5" thickBot="1" x14ac:dyDescent="0.25">
      <c r="B2227" s="392" t="str">
        <f t="shared" si="69"/>
        <v xml:space="preserve"> -  </v>
      </c>
      <c r="C2227" s="1441" t="str">
        <f t="shared" si="70"/>
        <v xml:space="preserve"> </v>
      </c>
      <c r="D2227" s="1428"/>
      <c r="E2227" s="1429"/>
      <c r="F2227" s="1430"/>
      <c r="G2227" s="1431"/>
      <c r="H2227" s="1430"/>
      <c r="I2227" s="1429"/>
      <c r="J2227" s="2196"/>
    </row>
    <row r="2228" spans="2:10" ht="13.5" thickBot="1" x14ac:dyDescent="0.25">
      <c r="B2228" s="392" t="str">
        <f t="shared" si="69"/>
        <v xml:space="preserve"> -  </v>
      </c>
      <c r="C2228" s="1441" t="str">
        <f t="shared" si="70"/>
        <v xml:space="preserve"> </v>
      </c>
      <c r="D2228" s="1428"/>
      <c r="E2228" s="1429"/>
      <c r="F2228" s="1430"/>
      <c r="G2228" s="1431"/>
      <c r="H2228" s="1430"/>
      <c r="I2228" s="1429"/>
      <c r="J2228" s="2196"/>
    </row>
    <row r="2229" spans="2:10" ht="13.5" thickBot="1" x14ac:dyDescent="0.25">
      <c r="B2229" s="392" t="str">
        <f t="shared" si="69"/>
        <v xml:space="preserve"> -  </v>
      </c>
      <c r="C2229" s="1441" t="str">
        <f t="shared" si="70"/>
        <v xml:space="preserve"> </v>
      </c>
      <c r="D2229" s="1428"/>
      <c r="E2229" s="1429"/>
      <c r="F2229" s="1430"/>
      <c r="G2229" s="1431"/>
      <c r="H2229" s="1430"/>
      <c r="I2229" s="1429"/>
      <c r="J2229" s="2196"/>
    </row>
    <row r="2230" spans="2:10" ht="13.5" thickBot="1" x14ac:dyDescent="0.25">
      <c r="B2230" s="392" t="str">
        <f t="shared" si="69"/>
        <v xml:space="preserve"> -  </v>
      </c>
      <c r="C2230" s="1441" t="str">
        <f t="shared" si="70"/>
        <v xml:space="preserve"> </v>
      </c>
      <c r="D2230" s="1428"/>
      <c r="E2230" s="1429"/>
      <c r="F2230" s="1430"/>
      <c r="G2230" s="1431"/>
      <c r="H2230" s="1430"/>
      <c r="I2230" s="1429"/>
      <c r="J2230" s="2196"/>
    </row>
    <row r="2231" spans="2:10" ht="13.5" thickBot="1" x14ac:dyDescent="0.25">
      <c r="B2231" s="392" t="str">
        <f t="shared" si="69"/>
        <v xml:space="preserve"> -  </v>
      </c>
      <c r="C2231" s="1441" t="str">
        <f t="shared" si="70"/>
        <v xml:space="preserve"> </v>
      </c>
      <c r="D2231" s="1428"/>
      <c r="E2231" s="1429"/>
      <c r="F2231" s="1430"/>
      <c r="G2231" s="1431"/>
      <c r="H2231" s="1430"/>
      <c r="I2231" s="1429"/>
      <c r="J2231" s="2196"/>
    </row>
    <row r="2232" spans="2:10" ht="13.5" thickBot="1" x14ac:dyDescent="0.25">
      <c r="B2232" s="392" t="str">
        <f t="shared" si="69"/>
        <v xml:space="preserve"> -  </v>
      </c>
      <c r="C2232" s="1441" t="str">
        <f t="shared" si="70"/>
        <v xml:space="preserve"> </v>
      </c>
      <c r="D2232" s="1428"/>
      <c r="E2232" s="1429"/>
      <c r="F2232" s="1430"/>
      <c r="G2232" s="1431"/>
      <c r="H2232" s="1430"/>
      <c r="I2232" s="1429"/>
      <c r="J2232" s="2196"/>
    </row>
    <row r="2233" spans="2:10" ht="13.5" thickBot="1" x14ac:dyDescent="0.25">
      <c r="B2233" s="392" t="str">
        <f t="shared" si="69"/>
        <v xml:space="preserve"> -  </v>
      </c>
      <c r="C2233" s="1441" t="str">
        <f t="shared" si="70"/>
        <v xml:space="preserve"> </v>
      </c>
      <c r="D2233" s="1428"/>
      <c r="E2233" s="1429"/>
      <c r="F2233" s="1430"/>
      <c r="G2233" s="1431"/>
      <c r="H2233" s="1430"/>
      <c r="I2233" s="1429"/>
      <c r="J2233" s="2196"/>
    </row>
    <row r="2234" spans="2:10" ht="13.5" thickBot="1" x14ac:dyDescent="0.25">
      <c r="B2234" s="392" t="str">
        <f t="shared" si="69"/>
        <v xml:space="preserve"> -  </v>
      </c>
      <c r="C2234" s="1441" t="str">
        <f t="shared" si="70"/>
        <v xml:space="preserve"> </v>
      </c>
      <c r="D2234" s="1428"/>
      <c r="E2234" s="1429"/>
      <c r="F2234" s="1430"/>
      <c r="G2234" s="1431"/>
      <c r="H2234" s="1430"/>
      <c r="I2234" s="1429"/>
      <c r="J2234" s="2196"/>
    </row>
    <row r="2235" spans="2:10" ht="13.5" thickBot="1" x14ac:dyDescent="0.25">
      <c r="B2235" s="392" t="str">
        <f t="shared" si="69"/>
        <v xml:space="preserve"> -  </v>
      </c>
      <c r="C2235" s="1441" t="str">
        <f t="shared" si="70"/>
        <v xml:space="preserve"> </v>
      </c>
      <c r="D2235" s="1428"/>
      <c r="E2235" s="1429"/>
      <c r="F2235" s="1430"/>
      <c r="G2235" s="1431"/>
      <c r="H2235" s="1430"/>
      <c r="I2235" s="1429"/>
      <c r="J2235" s="2196"/>
    </row>
    <row r="2236" spans="2:10" ht="13.5" thickBot="1" x14ac:dyDescent="0.25">
      <c r="B2236" s="392" t="str">
        <f t="shared" si="69"/>
        <v xml:space="preserve"> -  </v>
      </c>
      <c r="C2236" s="1441" t="str">
        <f t="shared" si="70"/>
        <v xml:space="preserve"> </v>
      </c>
      <c r="D2236" s="1428"/>
      <c r="E2236" s="1429"/>
      <c r="F2236" s="1430"/>
      <c r="G2236" s="1431"/>
      <c r="H2236" s="1430"/>
      <c r="I2236" s="1429"/>
      <c r="J2236" s="2196"/>
    </row>
    <row r="2237" spans="2:10" ht="13.5" thickBot="1" x14ac:dyDescent="0.25">
      <c r="B2237" s="392" t="str">
        <f t="shared" si="69"/>
        <v xml:space="preserve"> -  </v>
      </c>
      <c r="C2237" s="1441" t="str">
        <f t="shared" si="70"/>
        <v xml:space="preserve"> </v>
      </c>
      <c r="D2237" s="1428"/>
      <c r="E2237" s="1429"/>
      <c r="F2237" s="1430"/>
      <c r="G2237" s="1431"/>
      <c r="H2237" s="1430"/>
      <c r="I2237" s="1429"/>
      <c r="J2237" s="2196"/>
    </row>
    <row r="2238" spans="2:10" ht="13.5" thickBot="1" x14ac:dyDescent="0.25">
      <c r="B2238" s="392" t="str">
        <f t="shared" si="69"/>
        <v xml:space="preserve"> -  </v>
      </c>
      <c r="C2238" s="1441" t="str">
        <f t="shared" si="70"/>
        <v xml:space="preserve"> </v>
      </c>
      <c r="D2238" s="1428"/>
      <c r="E2238" s="1429"/>
      <c r="F2238" s="1430"/>
      <c r="G2238" s="1431"/>
      <c r="H2238" s="1430"/>
      <c r="I2238" s="1429"/>
      <c r="J2238" s="2196"/>
    </row>
    <row r="2239" spans="2:10" ht="13.5" thickBot="1" x14ac:dyDescent="0.25">
      <c r="B2239" s="392" t="str">
        <f t="shared" si="69"/>
        <v xml:space="preserve"> -  </v>
      </c>
      <c r="C2239" s="1441" t="str">
        <f t="shared" si="70"/>
        <v xml:space="preserve"> </v>
      </c>
      <c r="D2239" s="1428"/>
      <c r="E2239" s="1429"/>
      <c r="F2239" s="1430"/>
      <c r="G2239" s="1431"/>
      <c r="H2239" s="1430"/>
      <c r="I2239" s="1429"/>
      <c r="J2239" s="2196"/>
    </row>
    <row r="2240" spans="2:10" ht="13.5" thickBot="1" x14ac:dyDescent="0.25">
      <c r="B2240" s="392" t="str">
        <f t="shared" si="69"/>
        <v xml:space="preserve"> -  </v>
      </c>
      <c r="C2240" s="1441" t="str">
        <f t="shared" si="70"/>
        <v xml:space="preserve"> </v>
      </c>
      <c r="D2240" s="1428"/>
      <c r="E2240" s="1429"/>
      <c r="F2240" s="1430"/>
      <c r="G2240" s="1431"/>
      <c r="H2240" s="1430"/>
      <c r="I2240" s="1429"/>
      <c r="J2240" s="2196"/>
    </row>
    <row r="2241" spans="2:10" ht="13.5" thickBot="1" x14ac:dyDescent="0.25">
      <c r="B2241" s="392" t="str">
        <f t="shared" si="69"/>
        <v xml:space="preserve"> -  </v>
      </c>
      <c r="C2241" s="1441" t="str">
        <f t="shared" si="70"/>
        <v xml:space="preserve"> </v>
      </c>
      <c r="D2241" s="1428"/>
      <c r="E2241" s="1429"/>
      <c r="F2241" s="1430"/>
      <c r="G2241" s="1431"/>
      <c r="H2241" s="1430"/>
      <c r="I2241" s="1429"/>
      <c r="J2241" s="2196"/>
    </row>
    <row r="2242" spans="2:10" ht="13.5" thickBot="1" x14ac:dyDescent="0.25">
      <c r="B2242" s="392" t="str">
        <f t="shared" si="69"/>
        <v xml:space="preserve"> -  </v>
      </c>
      <c r="C2242" s="1441" t="str">
        <f t="shared" si="70"/>
        <v xml:space="preserve"> </v>
      </c>
      <c r="D2242" s="1428"/>
      <c r="E2242" s="1429"/>
      <c r="F2242" s="1430"/>
      <c r="G2242" s="1431"/>
      <c r="H2242" s="1430"/>
      <c r="I2242" s="1429"/>
      <c r="J2242" s="2196"/>
    </row>
    <row r="2243" spans="2:10" ht="13.5" thickBot="1" x14ac:dyDescent="0.25">
      <c r="B2243" s="392" t="str">
        <f t="shared" si="69"/>
        <v xml:space="preserve"> -  </v>
      </c>
      <c r="C2243" s="1441" t="str">
        <f t="shared" si="70"/>
        <v xml:space="preserve"> </v>
      </c>
      <c r="D2243" s="1428"/>
      <c r="E2243" s="1429"/>
      <c r="F2243" s="1430"/>
      <c r="G2243" s="1431"/>
      <c r="H2243" s="1430"/>
      <c r="I2243" s="1429"/>
      <c r="J2243" s="2196"/>
    </row>
    <row r="2244" spans="2:10" ht="13.5" thickBot="1" x14ac:dyDescent="0.25">
      <c r="B2244" s="392" t="str">
        <f t="shared" si="69"/>
        <v xml:space="preserve"> -  </v>
      </c>
      <c r="C2244" s="1441" t="str">
        <f t="shared" si="70"/>
        <v xml:space="preserve"> </v>
      </c>
      <c r="D2244" s="1428"/>
      <c r="E2244" s="1429"/>
      <c r="F2244" s="1430"/>
      <c r="G2244" s="1431"/>
      <c r="H2244" s="1430"/>
      <c r="I2244" s="1429"/>
      <c r="J2244" s="2196"/>
    </row>
    <row r="2245" spans="2:10" ht="13.5" thickBot="1" x14ac:dyDescent="0.25">
      <c r="B2245" s="392" t="str">
        <f t="shared" si="69"/>
        <v xml:space="preserve"> -  </v>
      </c>
      <c r="C2245" s="1441" t="str">
        <f t="shared" si="70"/>
        <v xml:space="preserve"> </v>
      </c>
      <c r="D2245" s="1428"/>
      <c r="E2245" s="1429"/>
      <c r="F2245" s="1430"/>
      <c r="G2245" s="1431"/>
      <c r="H2245" s="1430"/>
      <c r="I2245" s="1429"/>
      <c r="J2245" s="2196"/>
    </row>
    <row r="2246" spans="2:10" ht="13.5" thickBot="1" x14ac:dyDescent="0.25">
      <c r="B2246" s="392" t="str">
        <f t="shared" si="69"/>
        <v xml:space="preserve"> -  </v>
      </c>
      <c r="C2246" s="1441" t="str">
        <f t="shared" si="70"/>
        <v xml:space="preserve"> </v>
      </c>
      <c r="D2246" s="1428"/>
      <c r="E2246" s="1429"/>
      <c r="F2246" s="1430"/>
      <c r="G2246" s="1431"/>
      <c r="H2246" s="1430"/>
      <c r="I2246" s="1429"/>
      <c r="J2246" s="2196"/>
    </row>
    <row r="2247" spans="2:10" ht="13.5" thickBot="1" x14ac:dyDescent="0.25">
      <c r="B2247" s="392" t="str">
        <f t="shared" ref="B2247:B2254" si="71">CONCATENATE(D2247," - ",C2247)</f>
        <v xml:space="preserve"> -  </v>
      </c>
      <c r="C2247" s="1441" t="str">
        <f t="shared" si="70"/>
        <v xml:space="preserve"> </v>
      </c>
      <c r="D2247" s="1428"/>
      <c r="E2247" s="1429"/>
      <c r="F2247" s="1430"/>
      <c r="G2247" s="1431"/>
      <c r="H2247" s="1430"/>
      <c r="I2247" s="1429"/>
      <c r="J2247" s="2196"/>
    </row>
    <row r="2248" spans="2:10" ht="13.5" thickBot="1" x14ac:dyDescent="0.25">
      <c r="B2248" s="392" t="str">
        <f t="shared" si="71"/>
        <v xml:space="preserve"> -  </v>
      </c>
      <c r="C2248" s="1441" t="str">
        <f t="shared" si="70"/>
        <v xml:space="preserve"> </v>
      </c>
      <c r="D2248" s="1428"/>
      <c r="E2248" s="1429"/>
      <c r="F2248" s="1430"/>
      <c r="G2248" s="1431"/>
      <c r="H2248" s="1430"/>
      <c r="I2248" s="1429"/>
      <c r="J2248" s="2196"/>
    </row>
    <row r="2249" spans="2:10" ht="13.5" thickBot="1" x14ac:dyDescent="0.25">
      <c r="B2249" s="392" t="str">
        <f t="shared" si="71"/>
        <v xml:space="preserve"> -  </v>
      </c>
      <c r="C2249" s="1441" t="str">
        <f t="shared" si="70"/>
        <v xml:space="preserve"> </v>
      </c>
      <c r="D2249" s="1428"/>
      <c r="E2249" s="1429"/>
      <c r="F2249" s="1430"/>
      <c r="G2249" s="1431"/>
      <c r="H2249" s="1430"/>
      <c r="I2249" s="1429"/>
      <c r="J2249" s="2196"/>
    </row>
    <row r="2250" spans="2:10" ht="13.5" thickBot="1" x14ac:dyDescent="0.25">
      <c r="B2250" s="392" t="str">
        <f t="shared" si="71"/>
        <v xml:space="preserve"> -  </v>
      </c>
      <c r="C2250" s="1441" t="str">
        <f t="shared" si="70"/>
        <v xml:space="preserve"> </v>
      </c>
      <c r="D2250" s="1428"/>
      <c r="E2250" s="1429"/>
      <c r="F2250" s="1430"/>
      <c r="G2250" s="1431"/>
      <c r="H2250" s="1430"/>
      <c r="I2250" s="1429"/>
      <c r="J2250" s="2196"/>
    </row>
    <row r="2251" spans="2:10" ht="13.5" thickBot="1" x14ac:dyDescent="0.25">
      <c r="B2251" s="392" t="str">
        <f t="shared" si="71"/>
        <v xml:space="preserve"> -  </v>
      </c>
      <c r="C2251" s="1441" t="str">
        <f t="shared" si="70"/>
        <v xml:space="preserve"> </v>
      </c>
      <c r="D2251" s="1428"/>
      <c r="E2251" s="1429"/>
      <c r="F2251" s="1430"/>
      <c r="G2251" s="1431"/>
      <c r="H2251" s="1430"/>
      <c r="I2251" s="1429"/>
      <c r="J2251" s="2196"/>
    </row>
    <row r="2252" spans="2:10" ht="13.5" thickBot="1" x14ac:dyDescent="0.25">
      <c r="B2252" s="392" t="str">
        <f t="shared" si="71"/>
        <v xml:space="preserve"> -  </v>
      </c>
      <c r="C2252" s="1441" t="str">
        <f t="shared" si="70"/>
        <v xml:space="preserve"> </v>
      </c>
      <c r="D2252" s="1428"/>
      <c r="E2252" s="1429"/>
      <c r="F2252" s="1430"/>
      <c r="G2252" s="1431"/>
      <c r="H2252" s="1430"/>
      <c r="I2252" s="1429"/>
      <c r="J2252" s="2196"/>
    </row>
    <row r="2253" spans="2:10" ht="13.5" thickBot="1" x14ac:dyDescent="0.25">
      <c r="B2253" s="392" t="str">
        <f t="shared" si="71"/>
        <v xml:space="preserve"> -  </v>
      </c>
      <c r="C2253" s="1441" t="str">
        <f t="shared" si="70"/>
        <v xml:space="preserve"> </v>
      </c>
      <c r="D2253" s="1428"/>
      <c r="E2253" s="1429"/>
      <c r="F2253" s="1430"/>
      <c r="G2253" s="1431"/>
      <c r="H2253" s="1430"/>
      <c r="I2253" s="1429"/>
      <c r="J2253" s="2196"/>
    </row>
    <row r="2254" spans="2:10" ht="13.5" thickBot="1" x14ac:dyDescent="0.25">
      <c r="B2254" s="392" t="str">
        <f t="shared" si="71"/>
        <v xml:space="preserve"> -  </v>
      </c>
      <c r="C2254" s="1441" t="str">
        <f t="shared" si="70"/>
        <v xml:space="preserve"> </v>
      </c>
      <c r="D2254" s="1428"/>
      <c r="E2254" s="1429"/>
      <c r="F2254" s="1430"/>
      <c r="G2254" s="1431"/>
      <c r="H2254" s="1430"/>
      <c r="I2254" s="1429"/>
      <c r="J2254" s="2196"/>
    </row>
    <row r="2255" spans="2:10" x14ac:dyDescent="0.2">
      <c r="B2255" s="392" t="str">
        <f t="shared" ref="B2255" si="72">CONCATENATE(D2255," - ",C2255)</f>
        <v xml:space="preserve"> -  </v>
      </c>
      <c r="C2255" s="1441" t="str">
        <f t="shared" si="55"/>
        <v xml:space="preserve"> </v>
      </c>
      <c r="D2255" s="1428"/>
      <c r="E2255" s="1429"/>
      <c r="F2255" s="1430"/>
      <c r="G2255" s="1431"/>
      <c r="H2255" s="1430"/>
      <c r="I2255" s="1429"/>
      <c r="J2255" s="2196"/>
    </row>
    <row r="2256" spans="2:10" x14ac:dyDescent="0.2"/>
    <row r="2257" x14ac:dyDescent="0.2"/>
    <row r="2258" x14ac:dyDescent="0.2"/>
    <row r="2259" x14ac:dyDescent="0.2"/>
    <row r="2260" x14ac:dyDescent="0.2"/>
    <row r="2261" x14ac:dyDescent="0.2"/>
    <row r="2262" x14ac:dyDescent="0.2"/>
    <row r="2263" x14ac:dyDescent="0.2"/>
    <row r="2264" x14ac:dyDescent="0.2"/>
    <row r="2265" x14ac:dyDescent="0.2"/>
    <row r="2266" x14ac:dyDescent="0.2"/>
    <row r="2267" x14ac:dyDescent="0.2"/>
    <row r="2268" x14ac:dyDescent="0.2"/>
    <row r="2269" x14ac:dyDescent="0.2"/>
    <row r="2270" x14ac:dyDescent="0.2"/>
    <row r="2271" x14ac:dyDescent="0.2"/>
    <row r="2272" x14ac:dyDescent="0.2"/>
    <row r="2273" x14ac:dyDescent="0.2"/>
    <row r="2274" x14ac:dyDescent="0.2"/>
    <row r="2275" x14ac:dyDescent="0.2"/>
    <row r="2276" x14ac:dyDescent="0.2"/>
    <row r="2277" x14ac:dyDescent="0.2"/>
    <row r="2278" x14ac:dyDescent="0.2"/>
    <row r="2279" x14ac:dyDescent="0.2"/>
    <row r="2280" x14ac:dyDescent="0.2"/>
    <row r="2281" x14ac:dyDescent="0.2"/>
    <row r="2282" x14ac:dyDescent="0.2"/>
    <row r="2283" x14ac:dyDescent="0.2"/>
    <row r="2284" x14ac:dyDescent="0.2"/>
    <row r="2285" x14ac:dyDescent="0.2"/>
    <row r="2286" x14ac:dyDescent="0.2"/>
    <row r="2287" x14ac:dyDescent="0.2"/>
    <row r="2288" x14ac:dyDescent="0.2"/>
    <row r="2289" x14ac:dyDescent="0.2"/>
    <row r="2290" x14ac:dyDescent="0.2"/>
    <row r="2291" x14ac:dyDescent="0.2"/>
    <row r="2292" x14ac:dyDescent="0.2"/>
    <row r="2293" x14ac:dyDescent="0.2"/>
    <row r="2294" x14ac:dyDescent="0.2"/>
    <row r="2295" x14ac:dyDescent="0.2"/>
    <row r="2296" x14ac:dyDescent="0.2"/>
    <row r="2297" x14ac:dyDescent="0.2"/>
    <row r="2298" x14ac:dyDescent="0.2"/>
    <row r="2299" x14ac:dyDescent="0.2"/>
    <row r="2300" x14ac:dyDescent="0.2"/>
    <row r="2301" x14ac:dyDescent="0.2"/>
    <row r="2302" x14ac:dyDescent="0.2"/>
    <row r="2303" x14ac:dyDescent="0.2"/>
    <row r="2304" x14ac:dyDescent="0.2"/>
    <row r="2305" x14ac:dyDescent="0.2"/>
    <row r="2306" x14ac:dyDescent="0.2"/>
    <row r="2307" x14ac:dyDescent="0.2"/>
    <row r="2308" x14ac:dyDescent="0.2"/>
    <row r="2309" x14ac:dyDescent="0.2"/>
    <row r="2310" x14ac:dyDescent="0.2"/>
    <row r="2311" x14ac:dyDescent="0.2"/>
    <row r="2312" x14ac:dyDescent="0.2"/>
    <row r="2313" x14ac:dyDescent="0.2"/>
    <row r="2314" x14ac:dyDescent="0.2"/>
    <row r="2315" x14ac:dyDescent="0.2"/>
    <row r="2316" x14ac:dyDescent="0.2"/>
    <row r="2317" x14ac:dyDescent="0.2"/>
    <row r="2318" x14ac:dyDescent="0.2"/>
    <row r="2319" x14ac:dyDescent="0.2"/>
    <row r="2320" x14ac:dyDescent="0.2"/>
    <row r="2321" x14ac:dyDescent="0.2"/>
    <row r="2322" x14ac:dyDescent="0.2"/>
    <row r="2323" x14ac:dyDescent="0.2"/>
    <row r="2324" x14ac:dyDescent="0.2"/>
    <row r="2325" x14ac:dyDescent="0.2"/>
    <row r="2326" x14ac:dyDescent="0.2"/>
    <row r="2327" x14ac:dyDescent="0.2"/>
    <row r="2328" x14ac:dyDescent="0.2"/>
    <row r="2329" x14ac:dyDescent="0.2"/>
    <row r="2330" x14ac:dyDescent="0.2"/>
    <row r="2331" x14ac:dyDescent="0.2"/>
    <row r="2332" x14ac:dyDescent="0.2"/>
    <row r="2333" x14ac:dyDescent="0.2"/>
    <row r="2334" x14ac:dyDescent="0.2"/>
    <row r="2335" x14ac:dyDescent="0.2"/>
    <row r="2336" x14ac:dyDescent="0.2"/>
    <row r="2337" x14ac:dyDescent="0.2"/>
    <row r="2338" x14ac:dyDescent="0.2"/>
    <row r="2339" x14ac:dyDescent="0.2"/>
    <row r="2340" x14ac:dyDescent="0.2"/>
    <row r="2341" x14ac:dyDescent="0.2"/>
    <row r="2342" x14ac:dyDescent="0.2"/>
    <row r="2343" x14ac:dyDescent="0.2"/>
    <row r="2344" x14ac:dyDescent="0.2"/>
    <row r="2345" x14ac:dyDescent="0.2"/>
    <row r="2346" x14ac:dyDescent="0.2"/>
    <row r="2347" x14ac:dyDescent="0.2"/>
    <row r="2348" x14ac:dyDescent="0.2"/>
    <row r="2349" x14ac:dyDescent="0.2"/>
    <row r="2350" x14ac:dyDescent="0.2"/>
    <row r="2351" x14ac:dyDescent="0.2"/>
    <row r="2352" x14ac:dyDescent="0.2"/>
    <row r="2353" x14ac:dyDescent="0.2"/>
    <row r="2354" x14ac:dyDescent="0.2"/>
    <row r="2355" x14ac:dyDescent="0.2"/>
    <row r="2356" x14ac:dyDescent="0.2"/>
    <row r="2357" x14ac:dyDescent="0.2"/>
    <row r="2358" x14ac:dyDescent="0.2"/>
    <row r="2359" x14ac:dyDescent="0.2"/>
    <row r="2360" x14ac:dyDescent="0.2"/>
    <row r="2361" x14ac:dyDescent="0.2"/>
    <row r="2362" x14ac:dyDescent="0.2"/>
    <row r="2363" x14ac:dyDescent="0.2"/>
    <row r="2364" x14ac:dyDescent="0.2"/>
    <row r="2365" x14ac:dyDescent="0.2"/>
    <row r="2366" x14ac:dyDescent="0.2"/>
    <row r="2367" x14ac:dyDescent="0.2"/>
    <row r="2368" x14ac:dyDescent="0.2"/>
    <row r="2369" x14ac:dyDescent="0.2"/>
    <row r="2370" x14ac:dyDescent="0.2"/>
    <row r="2371" x14ac:dyDescent="0.2"/>
    <row r="2372" x14ac:dyDescent="0.2"/>
    <row r="2373" x14ac:dyDescent="0.2"/>
    <row r="2374" x14ac:dyDescent="0.2"/>
    <row r="2375" x14ac:dyDescent="0.2"/>
    <row r="2376" x14ac:dyDescent="0.2"/>
    <row r="2377" x14ac:dyDescent="0.2"/>
    <row r="2378" x14ac:dyDescent="0.2"/>
    <row r="2379" x14ac:dyDescent="0.2"/>
    <row r="2380" x14ac:dyDescent="0.2"/>
    <row r="2381" x14ac:dyDescent="0.2"/>
    <row r="2382" x14ac:dyDescent="0.2"/>
    <row r="2383" x14ac:dyDescent="0.2"/>
    <row r="2384" x14ac:dyDescent="0.2"/>
    <row r="2385" x14ac:dyDescent="0.2"/>
    <row r="2386" x14ac:dyDescent="0.2"/>
    <row r="2387" x14ac:dyDescent="0.2"/>
    <row r="2388" x14ac:dyDescent="0.2"/>
    <row r="2389" x14ac:dyDescent="0.2"/>
    <row r="2390" x14ac:dyDescent="0.2"/>
    <row r="2391" x14ac:dyDescent="0.2"/>
    <row r="2392" x14ac:dyDescent="0.2"/>
    <row r="2393" x14ac:dyDescent="0.2"/>
    <row r="2394" x14ac:dyDescent="0.2"/>
    <row r="2395" x14ac:dyDescent="0.2"/>
    <row r="2396" x14ac:dyDescent="0.2"/>
    <row r="2397" x14ac:dyDescent="0.2"/>
    <row r="2398" x14ac:dyDescent="0.2"/>
    <row r="2399" x14ac:dyDescent="0.2"/>
    <row r="2400" x14ac:dyDescent="0.2"/>
    <row r="2401" x14ac:dyDescent="0.2"/>
    <row r="2402" x14ac:dyDescent="0.2"/>
    <row r="2403" x14ac:dyDescent="0.2"/>
    <row r="2404" x14ac:dyDescent="0.2"/>
    <row r="2405" x14ac:dyDescent="0.2"/>
    <row r="2406" x14ac:dyDescent="0.2"/>
    <row r="2407" x14ac:dyDescent="0.2"/>
    <row r="2408" x14ac:dyDescent="0.2"/>
    <row r="2409" x14ac:dyDescent="0.2"/>
    <row r="2410" x14ac:dyDescent="0.2"/>
    <row r="2411" x14ac:dyDescent="0.2"/>
    <row r="2412" x14ac:dyDescent="0.2"/>
    <row r="2413" x14ac:dyDescent="0.2"/>
    <row r="2414" x14ac:dyDescent="0.2"/>
    <row r="2415" x14ac:dyDescent="0.2"/>
    <row r="2416" x14ac:dyDescent="0.2"/>
    <row r="2417" x14ac:dyDescent="0.2"/>
    <row r="2418" x14ac:dyDescent="0.2"/>
    <row r="2419" x14ac:dyDescent="0.2"/>
    <row r="2420" x14ac:dyDescent="0.2"/>
    <row r="2421" x14ac:dyDescent="0.2"/>
    <row r="2422" x14ac:dyDescent="0.2"/>
    <row r="2423" x14ac:dyDescent="0.2"/>
    <row r="2424" x14ac:dyDescent="0.2"/>
    <row r="2425" x14ac:dyDescent="0.2"/>
    <row r="2426" x14ac:dyDescent="0.2"/>
    <row r="2427" x14ac:dyDescent="0.2"/>
    <row r="2428" x14ac:dyDescent="0.2"/>
    <row r="2429" x14ac:dyDescent="0.2"/>
    <row r="2430" x14ac:dyDescent="0.2"/>
    <row r="2431" x14ac:dyDescent="0.2"/>
    <row r="2432" x14ac:dyDescent="0.2"/>
    <row r="2433" x14ac:dyDescent="0.2"/>
    <row r="2434" x14ac:dyDescent="0.2"/>
    <row r="2435" x14ac:dyDescent="0.2"/>
    <row r="2436" x14ac:dyDescent="0.2"/>
    <row r="2437" x14ac:dyDescent="0.2"/>
    <row r="2438" x14ac:dyDescent="0.2"/>
    <row r="2439" x14ac:dyDescent="0.2"/>
    <row r="2440" x14ac:dyDescent="0.2"/>
    <row r="2441" x14ac:dyDescent="0.2"/>
    <row r="2442" x14ac:dyDescent="0.2"/>
    <row r="2443" x14ac:dyDescent="0.2"/>
    <row r="2444" x14ac:dyDescent="0.2"/>
    <row r="2445" x14ac:dyDescent="0.2"/>
    <row r="2446" x14ac:dyDescent="0.2"/>
    <row r="2447" x14ac:dyDescent="0.2"/>
    <row r="2448" x14ac:dyDescent="0.2"/>
    <row r="2449" x14ac:dyDescent="0.2"/>
    <row r="2450" x14ac:dyDescent="0.2"/>
    <row r="2451" x14ac:dyDescent="0.2"/>
    <row r="2452" x14ac:dyDescent="0.2"/>
    <row r="2453" x14ac:dyDescent="0.2"/>
    <row r="2454" x14ac:dyDescent="0.2"/>
    <row r="2455" x14ac:dyDescent="0.2"/>
    <row r="2456" x14ac:dyDescent="0.2"/>
    <row r="2957" x14ac:dyDescent="0.2"/>
    <row r="2958" x14ac:dyDescent="0.2"/>
    <row r="2959" x14ac:dyDescent="0.2"/>
    <row r="2960" x14ac:dyDescent="0.2"/>
    <row r="2961" x14ac:dyDescent="0.2"/>
    <row r="2962" x14ac:dyDescent="0.2"/>
    <row r="2963" x14ac:dyDescent="0.2"/>
    <row r="2964" x14ac:dyDescent="0.2"/>
    <row r="2965" x14ac:dyDescent="0.2"/>
    <row r="2966" x14ac:dyDescent="0.2"/>
    <row r="2967" x14ac:dyDescent="0.2"/>
    <row r="2968" x14ac:dyDescent="0.2"/>
    <row r="2969" x14ac:dyDescent="0.2"/>
    <row r="2970" x14ac:dyDescent="0.2"/>
    <row r="2971" x14ac:dyDescent="0.2"/>
    <row r="2972" x14ac:dyDescent="0.2"/>
    <row r="2973" x14ac:dyDescent="0.2"/>
    <row r="2974" x14ac:dyDescent="0.2"/>
    <row r="2975" x14ac:dyDescent="0.2"/>
    <row r="2976" x14ac:dyDescent="0.2"/>
    <row r="2977" x14ac:dyDescent="0.2"/>
    <row r="2978" x14ac:dyDescent="0.2"/>
    <row r="2979" x14ac:dyDescent="0.2"/>
    <row r="2980" x14ac:dyDescent="0.2"/>
    <row r="2981" x14ac:dyDescent="0.2"/>
    <row r="2982" x14ac:dyDescent="0.2"/>
    <row r="2983" x14ac:dyDescent="0.2"/>
    <row r="2984" x14ac:dyDescent="0.2"/>
    <row r="2985" x14ac:dyDescent="0.2"/>
    <row r="2986" x14ac:dyDescent="0.2"/>
    <row r="2987" x14ac:dyDescent="0.2"/>
    <row r="2988" x14ac:dyDescent="0.2"/>
    <row r="2989" x14ac:dyDescent="0.2"/>
    <row r="2990" x14ac:dyDescent="0.2"/>
    <row r="2991" x14ac:dyDescent="0.2"/>
    <row r="2992" x14ac:dyDescent="0.2"/>
    <row r="2993" x14ac:dyDescent="0.2"/>
    <row r="2994" x14ac:dyDescent="0.2"/>
    <row r="2995" x14ac:dyDescent="0.2"/>
    <row r="2996" x14ac:dyDescent="0.2"/>
    <row r="2997" x14ac:dyDescent="0.2"/>
    <row r="2998" x14ac:dyDescent="0.2"/>
    <row r="2999" x14ac:dyDescent="0.2"/>
    <row r="3000" x14ac:dyDescent="0.2"/>
    <row r="3001" x14ac:dyDescent="0.2"/>
    <row r="3002" x14ac:dyDescent="0.2"/>
    <row r="3003" x14ac:dyDescent="0.2"/>
    <row r="3004" x14ac:dyDescent="0.2"/>
    <row r="3005" x14ac:dyDescent="0.2"/>
    <row r="3006" x14ac:dyDescent="0.2"/>
    <row r="3007" x14ac:dyDescent="0.2"/>
    <row r="3008" x14ac:dyDescent="0.2"/>
    <row r="3009" x14ac:dyDescent="0.2"/>
    <row r="3010" x14ac:dyDescent="0.2"/>
    <row r="3011" x14ac:dyDescent="0.2"/>
    <row r="3012" x14ac:dyDescent="0.2"/>
    <row r="3013" x14ac:dyDescent="0.2"/>
    <row r="3014" x14ac:dyDescent="0.2"/>
    <row r="3015" x14ac:dyDescent="0.2"/>
    <row r="3016" x14ac:dyDescent="0.2"/>
    <row r="3017" x14ac:dyDescent="0.2"/>
    <row r="3018" x14ac:dyDescent="0.2"/>
    <row r="3019" x14ac:dyDescent="0.2"/>
  </sheetData>
  <sheetProtection sheet="1" objects="1" scenarios="1" selectLockedCells="1"/>
  <autoFilter ref="C6:J2255" xr:uid="{00000000-0009-0000-0000-000007000000}">
    <sortState xmlns:xlrd2="http://schemas.microsoft.com/office/spreadsheetml/2017/richdata2" ref="C7:J2255">
      <sortCondition ref="D6:D2255"/>
    </sortState>
  </autoFilter>
  <dataConsolidate/>
  <customSheetViews>
    <customSheetView guid="{13F24B0A-7740-483A-BEF7-5257F8522605}" showGridLines="0" fitToPage="1" showAutoFilter="1" hiddenRows="1" hiddenColumns="1" state="hidden">
      <pane ySplit="6" topLeftCell="A7" activePane="bottomLeft" state="frozen"/>
      <selection pane="bottomLeft"/>
      <pageMargins left="0.78740157480314965" right="0.78740157480314965" top="0.98425196850393704" bottom="0.98425196850393704" header="0.51181102362204722" footer="0.51181102362204722"/>
      <printOptions horizontalCentered="1"/>
      <pageSetup paperSize="9" scale="56" fitToHeight="100" orientation="portrait" r:id="rId1"/>
      <headerFooter alignWithMargins="0"/>
      <autoFilter ref="C6:J2456" xr:uid="{27F55621-E42E-4902-8F73-362B0C8A4D89}">
        <sortState xmlns:xlrd2="http://schemas.microsoft.com/office/spreadsheetml/2017/richdata2" ref="C7:J2456">
          <sortCondition ref="D6:D2456"/>
        </sortState>
      </autoFilter>
    </customSheetView>
  </customSheetViews>
  <mergeCells count="2">
    <mergeCell ref="C5:J5"/>
    <mergeCell ref="C1:J1"/>
  </mergeCells>
  <phoneticPr fontId="72" type="noConversion"/>
  <dataValidations count="3">
    <dataValidation type="list" allowBlank="1" showInputMessage="1" showErrorMessage="1" sqref="I7:I2255" xr:uid="{00000000-0002-0000-0700-000000000000}">
      <formula1>Nationalities</formula1>
    </dataValidation>
    <dataValidation type="list" allowBlank="1" showInputMessage="1" showErrorMessage="1" sqref="H7:H2255" xr:uid="{00000000-0002-0000-0700-000001000000}">
      <formula1>Liste_Clubs</formula1>
    </dataValidation>
    <dataValidation type="list" allowBlank="1" showInputMessage="1" showErrorMessage="1" sqref="D7:D2255" xr:uid="{00000000-0002-0000-0700-000002000000}">
      <formula1>ListIndividualCategories</formula1>
    </dataValidation>
  </dataValidations>
  <printOptions horizontalCentered="1"/>
  <pageMargins left="0.78740157480314965" right="0.78740157480314965" top="0.98425196850393704" bottom="0.98425196850393704" header="0.51181102362204722" footer="0.51181102362204722"/>
  <pageSetup paperSize="9" scale="56" fitToHeight="100" orientation="portrait" r:id="rId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RankingTeams">
    <tabColor rgb="FFFFC000"/>
    <pageSetUpPr fitToPage="1"/>
  </sheetPr>
  <dimension ref="A1:H287"/>
  <sheetViews>
    <sheetView showGridLines="0" workbookViewId="0">
      <pane ySplit="6" topLeftCell="A7" activePane="bottomLeft" state="frozen"/>
      <selection activeCell="N33" sqref="N33"/>
      <selection pane="bottomLeft" activeCell="D7" sqref="D7:H230"/>
    </sheetView>
  </sheetViews>
  <sheetFormatPr baseColWidth="10" defaultColWidth="3.5703125" defaultRowHeight="12" customHeight="1" x14ac:dyDescent="0.2"/>
  <cols>
    <col min="1" max="1" width="5.7109375" style="7" customWidth="1"/>
    <col min="2" max="2" width="24.7109375" style="7" hidden="1" customWidth="1"/>
    <col min="3" max="3" width="51.42578125" style="7" bestFit="1" customWidth="1"/>
    <col min="4" max="4" width="5.5703125" style="7" bestFit="1" customWidth="1"/>
    <col min="5" max="5" width="51.7109375" style="7" customWidth="1"/>
    <col min="6" max="6" width="19.85546875" style="11" bestFit="1" customWidth="1"/>
    <col min="7" max="7" width="12" style="7" bestFit="1" customWidth="1"/>
    <col min="8" max="8" width="10.85546875" style="7" bestFit="1" customWidth="1"/>
    <col min="9" max="254" width="3.5703125" style="7" customWidth="1"/>
    <col min="255" max="16382" width="3.5703125" style="7"/>
    <col min="16383" max="16384" width="5.140625" style="7" customWidth="1"/>
  </cols>
  <sheetData>
    <row r="1" spans="1:8" ht="36" thickBot="1" x14ac:dyDescent="0.55000000000000004">
      <c r="A1" s="1853">
        <v>40</v>
      </c>
      <c r="B1" s="1852"/>
      <c r="C1" s="2259" t="str">
        <f>N_RankingTeamSheetTitle</f>
        <v>Classement des équipes</v>
      </c>
      <c r="D1" s="2259"/>
      <c r="E1" s="2259"/>
      <c r="F1" s="2259"/>
      <c r="G1" s="2259"/>
      <c r="H1" s="2259"/>
    </row>
    <row r="2" spans="1:8" ht="12" customHeight="1" x14ac:dyDescent="0.2">
      <c r="B2" s="388"/>
      <c r="C2" s="1438" t="str">
        <f>N_TotalNbRankedPlayers</f>
        <v>Nombre total de joueurs classés</v>
      </c>
      <c r="D2" s="1414">
        <f ca="1">COUNTA(OFFSET(FullTeamsRankingList,0,2,,1))</f>
        <v>224</v>
      </c>
      <c r="E2" s="1414"/>
      <c r="F2" s="1414"/>
      <c r="G2" s="1414"/>
      <c r="H2" s="1414"/>
    </row>
    <row r="3" spans="1:8" ht="12" customHeight="1" x14ac:dyDescent="0.2">
      <c r="A3" s="1394"/>
      <c r="B3" s="389"/>
      <c r="C3" s="1422" t="str">
        <f>N_TotalNbRankingLines</f>
        <v>Nombre total de lignes de classement</v>
      </c>
      <c r="D3" s="1411">
        <f ca="1">COUNTA(OFFSET(FullTeamsRankingList,0,0,,1))</f>
        <v>281</v>
      </c>
      <c r="E3" s="1422"/>
      <c r="F3" s="1422"/>
      <c r="G3" s="1422"/>
      <c r="H3" s="1411"/>
    </row>
    <row r="4" spans="1:8" ht="12" customHeight="1" x14ac:dyDescent="0.2">
      <c r="A4" s="1394"/>
      <c r="B4" s="391"/>
      <c r="C4" s="1435"/>
      <c r="D4" s="1436"/>
      <c r="E4" s="1410"/>
      <c r="F4" s="1436"/>
      <c r="G4" s="1422"/>
      <c r="H4" s="1437"/>
    </row>
    <row r="5" spans="1:8" ht="12" customHeight="1" thickBot="1" x14ac:dyDescent="0.3">
      <c r="B5" s="361"/>
      <c r="C5" s="2257" t="str">
        <f>N_RankedTeams_list</f>
        <v>Liste des équipes classées</v>
      </c>
      <c r="D5" s="2257"/>
      <c r="E5" s="2257"/>
      <c r="F5" s="2257"/>
      <c r="G5" s="2257"/>
      <c r="H5" s="2258"/>
    </row>
    <row r="6" spans="1:8" ht="12" customHeight="1" thickBot="1" x14ac:dyDescent="0.25">
      <c r="B6" s="390"/>
      <c r="C6" s="1432"/>
      <c r="D6" s="1432" t="str">
        <f>N_Rank</f>
        <v>Clas.</v>
      </c>
      <c r="E6" s="1433" t="str">
        <f>N_Name</f>
        <v>Nom</v>
      </c>
      <c r="F6" s="1433" t="str">
        <f>N_Team &amp; " #"</f>
        <v>Team #</v>
      </c>
      <c r="G6" s="1432" t="str">
        <f>N_Nationality</f>
        <v>Nationalité</v>
      </c>
      <c r="H6" s="1434" t="str">
        <f>N_Points</f>
        <v>Points</v>
      </c>
    </row>
    <row r="7" spans="1:8" ht="12" customHeight="1" thickBot="1" x14ac:dyDescent="0.25">
      <c r="B7" s="392" t="str">
        <f>C7</f>
        <v>Bormla SC</v>
      </c>
      <c r="C7" s="1441" t="str">
        <f>IF(E7="","",E7&amp;IF(RIGHT(F7,1)="A",""," "&amp;CODE(RIGHT(F7,1))-CODE("A")+1))</f>
        <v>Bormla SC</v>
      </c>
      <c r="D7" s="1429">
        <v>1</v>
      </c>
      <c r="E7" s="1430" t="s">
        <v>10253</v>
      </c>
      <c r="F7" s="1582" t="s">
        <v>3740</v>
      </c>
      <c r="G7" s="1429" t="s">
        <v>1045</v>
      </c>
      <c r="H7" s="2196">
        <v>6074</v>
      </c>
    </row>
    <row r="8" spans="1:8" ht="12" customHeight="1" thickBot="1" x14ac:dyDescent="0.25">
      <c r="B8" s="392" t="str">
        <f t="shared" ref="B8:B71" si="0">C8</f>
        <v>F.lli Bari Reggio Emilia</v>
      </c>
      <c r="C8" s="1441" t="str">
        <f t="shared" ref="C8:C71" si="1">IF(E8="","",E8&amp;IF(RIGHT(F8,1)="A",""," "&amp;CODE(RIGHT(F8,1))-CODE("A")+1))</f>
        <v>F.lli Bari Reggio Emilia</v>
      </c>
      <c r="D8" s="1429">
        <v>2</v>
      </c>
      <c r="E8" s="1430" t="s">
        <v>15232</v>
      </c>
      <c r="F8" s="1582" t="s">
        <v>3740</v>
      </c>
      <c r="G8" s="1429" t="s">
        <v>1037</v>
      </c>
      <c r="H8" s="2196">
        <v>5180</v>
      </c>
    </row>
    <row r="9" spans="1:8" ht="12" customHeight="1" thickBot="1" x14ac:dyDescent="0.25">
      <c r="B9" s="392" t="str">
        <f t="shared" si="0"/>
        <v>Valletta SC</v>
      </c>
      <c r="C9" s="1441" t="str">
        <f t="shared" si="1"/>
        <v>Valletta SC</v>
      </c>
      <c r="D9" s="1429">
        <v>3</v>
      </c>
      <c r="E9" s="1430" t="s">
        <v>10247</v>
      </c>
      <c r="F9" s="1582" t="s">
        <v>3740</v>
      </c>
      <c r="G9" s="1429" t="s">
        <v>1045</v>
      </c>
      <c r="H9" s="2196">
        <v>4543</v>
      </c>
    </row>
    <row r="10" spans="1:8" ht="12" customHeight="1" thickBot="1" x14ac:dyDescent="0.25">
      <c r="B10" s="392" t="str">
        <f t="shared" si="0"/>
        <v>CCT Eagles Napoli</v>
      </c>
      <c r="C10" s="1441" t="str">
        <f t="shared" si="1"/>
        <v>CCT Eagles Napoli</v>
      </c>
      <c r="D10" s="1429">
        <v>4</v>
      </c>
      <c r="E10" s="1430" t="s">
        <v>2750</v>
      </c>
      <c r="F10" s="1582" t="s">
        <v>3740</v>
      </c>
      <c r="G10" s="1429" t="s">
        <v>1037</v>
      </c>
      <c r="H10" s="2196">
        <v>3537.5</v>
      </c>
    </row>
    <row r="11" spans="1:8" ht="12" customHeight="1" thickBot="1" x14ac:dyDescent="0.25">
      <c r="B11" s="392" t="str">
        <f t="shared" si="0"/>
        <v>TSC Falcons Athens</v>
      </c>
      <c r="C11" s="1441" t="str">
        <f t="shared" si="1"/>
        <v>TSC Falcons Athens</v>
      </c>
      <c r="D11" s="1429">
        <v>5</v>
      </c>
      <c r="E11" s="1430" t="s">
        <v>3041</v>
      </c>
      <c r="F11" s="1582" t="s">
        <v>3740</v>
      </c>
      <c r="G11" s="1429" t="s">
        <v>1025</v>
      </c>
      <c r="H11" s="2196">
        <v>3234</v>
      </c>
    </row>
    <row r="12" spans="1:8" ht="12" customHeight="1" thickBot="1" x14ac:dyDescent="0.25">
      <c r="B12" s="392" t="str">
        <f t="shared" si="0"/>
        <v>ASD SC Salernitana</v>
      </c>
      <c r="C12" s="1441" t="str">
        <f t="shared" si="1"/>
        <v>ASD SC Salernitana</v>
      </c>
      <c r="D12" s="1429">
        <v>6</v>
      </c>
      <c r="E12" s="1430" t="s">
        <v>5311</v>
      </c>
      <c r="F12" s="1582" t="s">
        <v>3740</v>
      </c>
      <c r="G12" s="1429" t="s">
        <v>1037</v>
      </c>
      <c r="H12" s="2196">
        <v>3210</v>
      </c>
    </row>
    <row r="13" spans="1:8" ht="12" customHeight="1" thickBot="1" x14ac:dyDescent="0.25">
      <c r="B13" s="392" t="str">
        <f t="shared" si="0"/>
        <v>ST Stembert</v>
      </c>
      <c r="C13" s="1441" t="str">
        <f t="shared" si="1"/>
        <v>ST Stembert</v>
      </c>
      <c r="D13" s="1429">
        <v>7</v>
      </c>
      <c r="E13" s="1430" t="s">
        <v>10250</v>
      </c>
      <c r="F13" s="1582" t="s">
        <v>3740</v>
      </c>
      <c r="G13" s="1429" t="s">
        <v>990</v>
      </c>
      <c r="H13" s="2196">
        <v>3055</v>
      </c>
    </row>
    <row r="14" spans="1:8" ht="12" customHeight="1" thickBot="1" x14ac:dyDescent="0.25">
      <c r="B14" s="392" t="str">
        <f t="shared" si="0"/>
        <v>Bologna Tigers Subbuteo</v>
      </c>
      <c r="C14" s="1441" t="str">
        <f t="shared" si="1"/>
        <v>Bologna Tigers Subbuteo</v>
      </c>
      <c r="D14" s="1429">
        <v>8</v>
      </c>
      <c r="E14" s="1430" t="s">
        <v>2749</v>
      </c>
      <c r="F14" s="1582" t="s">
        <v>3740</v>
      </c>
      <c r="G14" s="1429" t="s">
        <v>1037</v>
      </c>
      <c r="H14" s="2196">
        <v>2972</v>
      </c>
    </row>
    <row r="15" spans="1:8" ht="12" customHeight="1" thickBot="1" x14ac:dyDescent="0.25">
      <c r="B15" s="392" t="str">
        <f t="shared" si="0"/>
        <v>SC Fiamme Azzurre</v>
      </c>
      <c r="C15" s="1441" t="str">
        <f t="shared" si="1"/>
        <v>SC Fiamme Azzurre</v>
      </c>
      <c r="D15" s="1429">
        <v>9</v>
      </c>
      <c r="E15" s="1430" t="s">
        <v>10262</v>
      </c>
      <c r="F15" s="1582" t="s">
        <v>3740</v>
      </c>
      <c r="G15" s="1429" t="s">
        <v>1037</v>
      </c>
      <c r="H15" s="2196">
        <v>2881</v>
      </c>
    </row>
    <row r="16" spans="1:8" ht="12" customHeight="1" thickBot="1" x14ac:dyDescent="0.25">
      <c r="B16" s="392" t="str">
        <f t="shared" si="0"/>
        <v>FTC Caen</v>
      </c>
      <c r="C16" s="1441" t="str">
        <f t="shared" si="1"/>
        <v>FTC Caen</v>
      </c>
      <c r="D16" s="1429">
        <v>10</v>
      </c>
      <c r="E16" s="1430" t="s">
        <v>2893</v>
      </c>
      <c r="F16" s="1582" t="s">
        <v>3740</v>
      </c>
      <c r="G16" s="1429" t="s">
        <v>1019</v>
      </c>
      <c r="H16" s="2196">
        <v>2850</v>
      </c>
    </row>
    <row r="17" spans="2:8" ht="12" customHeight="1" thickBot="1" x14ac:dyDescent="0.25">
      <c r="B17" s="392" t="str">
        <f t="shared" si="0"/>
        <v>Proteas Athens SC</v>
      </c>
      <c r="C17" s="1441" t="str">
        <f t="shared" si="1"/>
        <v>Proteas Athens SC</v>
      </c>
      <c r="D17" s="1429">
        <v>11</v>
      </c>
      <c r="E17" s="1430" t="s">
        <v>10263</v>
      </c>
      <c r="F17" s="1582" t="s">
        <v>3740</v>
      </c>
      <c r="G17" s="1429" t="s">
        <v>1025</v>
      </c>
      <c r="H17" s="2196">
        <v>2613</v>
      </c>
    </row>
    <row r="18" spans="2:8" ht="12" customHeight="1" thickBot="1" x14ac:dyDescent="0.25">
      <c r="B18" s="392" t="str">
        <f t="shared" si="0"/>
        <v>Avenir Subbuteo Hennuyer</v>
      </c>
      <c r="C18" s="1441" t="str">
        <f t="shared" si="1"/>
        <v>Avenir Subbuteo Hennuyer</v>
      </c>
      <c r="D18" s="1429">
        <v>12</v>
      </c>
      <c r="E18" s="1430" t="s">
        <v>13519</v>
      </c>
      <c r="F18" s="1582" t="s">
        <v>3740</v>
      </c>
      <c r="G18" s="1429" t="s">
        <v>990</v>
      </c>
      <c r="H18" s="2196">
        <v>2326</v>
      </c>
    </row>
    <row r="19" spans="2:8" ht="12" customHeight="1" thickBot="1" x14ac:dyDescent="0.25">
      <c r="B19" s="392" t="str">
        <f t="shared" si="0"/>
        <v>Tiburones FM</v>
      </c>
      <c r="C19" s="1441" t="str">
        <f t="shared" si="1"/>
        <v>Tiburones FM</v>
      </c>
      <c r="D19" s="1429">
        <v>13</v>
      </c>
      <c r="E19" s="1430" t="s">
        <v>2755</v>
      </c>
      <c r="F19" s="1582" t="s">
        <v>3740</v>
      </c>
      <c r="G19" s="1429" t="s">
        <v>1015</v>
      </c>
      <c r="H19" s="2196">
        <v>2194</v>
      </c>
    </row>
    <row r="20" spans="2:8" ht="12" customHeight="1" thickBot="1" x14ac:dyDescent="0.25">
      <c r="B20" s="392" t="str">
        <f t="shared" si="0"/>
        <v>FTC Issy-les-Moulineaux</v>
      </c>
      <c r="C20" s="1441" t="str">
        <f t="shared" si="1"/>
        <v>FTC Issy-les-Moulineaux</v>
      </c>
      <c r="D20" s="1429">
        <v>14</v>
      </c>
      <c r="E20" s="1430" t="s">
        <v>2754</v>
      </c>
      <c r="F20" s="1582" t="s">
        <v>3740</v>
      </c>
      <c r="G20" s="1429" t="s">
        <v>1019</v>
      </c>
      <c r="H20" s="2196">
        <v>1965</v>
      </c>
    </row>
    <row r="21" spans="2:8" ht="12" customHeight="1" thickBot="1" x14ac:dyDescent="0.25">
      <c r="B21" s="392" t="str">
        <f t="shared" si="0"/>
        <v>Barcellona Calcio Tavolo</v>
      </c>
      <c r="C21" s="1441" t="str">
        <f t="shared" si="1"/>
        <v>Barcellona Calcio Tavolo</v>
      </c>
      <c r="D21" s="1429">
        <v>15</v>
      </c>
      <c r="E21" s="1430" t="s">
        <v>14879</v>
      </c>
      <c r="F21" s="1582" t="s">
        <v>3740</v>
      </c>
      <c r="G21" s="1429" t="s">
        <v>1037</v>
      </c>
      <c r="H21" s="2196">
        <v>1868</v>
      </c>
    </row>
    <row r="22" spans="2:8" ht="12" customHeight="1" thickBot="1" x14ac:dyDescent="0.25">
      <c r="B22" s="392" t="str">
        <f t="shared" si="0"/>
        <v>Olympia CS</v>
      </c>
      <c r="C22" s="1441" t="str">
        <f t="shared" si="1"/>
        <v>Olympia CS</v>
      </c>
      <c r="D22" s="1429">
        <v>16</v>
      </c>
      <c r="E22" s="1430" t="s">
        <v>10246</v>
      </c>
      <c r="F22" s="1582" t="s">
        <v>3740</v>
      </c>
      <c r="G22" s="1429" t="s">
        <v>1025</v>
      </c>
      <c r="H22" s="2196">
        <v>1806</v>
      </c>
    </row>
    <row r="23" spans="2:8" ht="12" customHeight="1" thickBot="1" x14ac:dyDescent="0.25">
      <c r="B23" s="392" t="str">
        <f t="shared" si="0"/>
        <v>Scarlet Battalion SC</v>
      </c>
      <c r="C23" s="1441" t="str">
        <f t="shared" si="1"/>
        <v>Scarlet Battalion SC</v>
      </c>
      <c r="D23" s="1429">
        <v>17</v>
      </c>
      <c r="E23" s="1430" t="s">
        <v>5309</v>
      </c>
      <c r="F23" s="1582" t="s">
        <v>3740</v>
      </c>
      <c r="G23" s="1429" t="s">
        <v>1025</v>
      </c>
      <c r="H23" s="2196">
        <v>1639.5</v>
      </c>
    </row>
    <row r="24" spans="2:8" ht="12" customHeight="1" thickBot="1" x14ac:dyDescent="0.25">
      <c r="B24" s="392" t="str">
        <f t="shared" si="0"/>
        <v>TSC Royal 78 Kaisermühlen</v>
      </c>
      <c r="C24" s="1441" t="str">
        <f t="shared" si="1"/>
        <v>TSC Royal 78 Kaisermühlen</v>
      </c>
      <c r="D24" s="1429">
        <v>18</v>
      </c>
      <c r="E24" s="1430" t="s">
        <v>2748</v>
      </c>
      <c r="F24" s="1582" t="s">
        <v>3740</v>
      </c>
      <c r="G24" s="1429" t="s">
        <v>988</v>
      </c>
      <c r="H24" s="2196">
        <v>1624</v>
      </c>
    </row>
    <row r="25" spans="2:8" ht="12" customHeight="1" thickBot="1" x14ac:dyDescent="0.25">
      <c r="B25" s="392" t="str">
        <f t="shared" si="0"/>
        <v>Langton Green Subbuteo Club</v>
      </c>
      <c r="C25" s="1441" t="str">
        <f t="shared" si="1"/>
        <v>Langton Green Subbuteo Club</v>
      </c>
      <c r="D25" s="1429">
        <v>19</v>
      </c>
      <c r="E25" s="1430" t="s">
        <v>17082</v>
      </c>
      <c r="F25" s="1582" t="s">
        <v>3740</v>
      </c>
      <c r="G25" s="1429" t="s">
        <v>1013</v>
      </c>
      <c r="H25" s="2196">
        <v>1567</v>
      </c>
    </row>
    <row r="26" spans="2:8" ht="12" customHeight="1" thickBot="1" x14ac:dyDescent="0.25">
      <c r="B26" s="392" t="str">
        <f t="shared" si="0"/>
        <v>TS Napoli Fighters</v>
      </c>
      <c r="C26" s="1441" t="str">
        <f t="shared" si="1"/>
        <v>TS Napoli Fighters</v>
      </c>
      <c r="D26" s="1429">
        <v>20</v>
      </c>
      <c r="E26" s="1430" t="s">
        <v>2776</v>
      </c>
      <c r="F26" s="1582" t="s">
        <v>3740</v>
      </c>
      <c r="G26" s="1429" t="s">
        <v>1037</v>
      </c>
      <c r="H26" s="2196">
        <v>1467</v>
      </c>
    </row>
    <row r="27" spans="2:8" ht="12" customHeight="1" thickBot="1" x14ac:dyDescent="0.25">
      <c r="B27" s="392" t="str">
        <f t="shared" si="0"/>
        <v>Noctuas Athens TSC</v>
      </c>
      <c r="C27" s="1441" t="str">
        <f t="shared" si="1"/>
        <v>Noctuas Athens TSC</v>
      </c>
      <c r="D27" s="1429">
        <v>21</v>
      </c>
      <c r="E27" s="1430" t="s">
        <v>9449</v>
      </c>
      <c r="F27" s="1582" t="s">
        <v>3740</v>
      </c>
      <c r="G27" s="1429" t="s">
        <v>1025</v>
      </c>
      <c r="H27" s="2196">
        <v>1292</v>
      </c>
    </row>
    <row r="28" spans="2:8" ht="12" customHeight="1" thickBot="1" x14ac:dyDescent="0.25">
      <c r="B28" s="392" t="str">
        <f t="shared" si="0"/>
        <v>CS Virtus Rieti</v>
      </c>
      <c r="C28" s="1441" t="str">
        <f t="shared" si="1"/>
        <v>CS Virtus Rieti</v>
      </c>
      <c r="D28" s="1429">
        <v>22</v>
      </c>
      <c r="E28" s="1430" t="s">
        <v>15245</v>
      </c>
      <c r="F28" s="1582" t="s">
        <v>3740</v>
      </c>
      <c r="G28" s="1429" t="s">
        <v>1037</v>
      </c>
      <c r="H28" s="2196">
        <v>1226</v>
      </c>
    </row>
    <row r="29" spans="2:8" ht="12" customHeight="1" thickBot="1" x14ac:dyDescent="0.25">
      <c r="B29" s="392" t="str">
        <f t="shared" si="0"/>
        <v>SC Charleroi</v>
      </c>
      <c r="C29" s="1441" t="str">
        <f t="shared" si="1"/>
        <v>SC Charleroi</v>
      </c>
      <c r="D29" s="1429">
        <v>23</v>
      </c>
      <c r="E29" s="1430" t="s">
        <v>2746</v>
      </c>
      <c r="F29" s="1582" t="s">
        <v>3740</v>
      </c>
      <c r="G29" s="1429" t="s">
        <v>990</v>
      </c>
      <c r="H29" s="2196">
        <v>1190</v>
      </c>
    </row>
    <row r="30" spans="2:8" ht="12" customHeight="1" thickBot="1" x14ac:dyDescent="0.25">
      <c r="B30" s="392" t="str">
        <f t="shared" si="0"/>
        <v>CAP Ciudad de Murcia FM</v>
      </c>
      <c r="C30" s="1441" t="str">
        <f t="shared" si="1"/>
        <v>CAP Ciudad de Murcia FM</v>
      </c>
      <c r="D30" s="1429">
        <v>24</v>
      </c>
      <c r="E30" s="1430" t="s">
        <v>7183</v>
      </c>
      <c r="F30" s="1582" t="s">
        <v>3740</v>
      </c>
      <c r="G30" s="1429" t="s">
        <v>1015</v>
      </c>
      <c r="H30" s="2196">
        <v>1153</v>
      </c>
    </row>
    <row r="31" spans="2:8" ht="12" customHeight="1" thickBot="1" x14ac:dyDescent="0.25">
      <c r="B31" s="392" t="str">
        <f t="shared" si="0"/>
        <v>Elstow Lions TFC</v>
      </c>
      <c r="C31" s="1441" t="str">
        <f t="shared" si="1"/>
        <v>Elstow Lions TFC</v>
      </c>
      <c r="D31" s="1429">
        <v>25</v>
      </c>
      <c r="E31" s="1430" t="s">
        <v>15227</v>
      </c>
      <c r="F31" s="1582" t="s">
        <v>3740</v>
      </c>
      <c r="G31" s="1429" t="s">
        <v>1013</v>
      </c>
      <c r="H31" s="2196">
        <v>1118</v>
      </c>
    </row>
    <row r="32" spans="2:8" ht="12" customHeight="1" thickBot="1" x14ac:dyDescent="0.25">
      <c r="B32" s="392" t="str">
        <f t="shared" si="0"/>
        <v>SC Lion's Eugies</v>
      </c>
      <c r="C32" s="1441" t="str">
        <f t="shared" si="1"/>
        <v>SC Lion's Eugies</v>
      </c>
      <c r="D32" s="1429">
        <v>26</v>
      </c>
      <c r="E32" s="1430" t="s">
        <v>5301</v>
      </c>
      <c r="F32" s="1582" t="s">
        <v>3740</v>
      </c>
      <c r="G32" s="1429" t="s">
        <v>990</v>
      </c>
      <c r="H32" s="2196">
        <v>1113.5</v>
      </c>
    </row>
    <row r="33" spans="2:8" ht="12" customHeight="1" thickBot="1" x14ac:dyDescent="0.25">
      <c r="B33" s="392" t="str">
        <f t="shared" si="0"/>
        <v>Crimson Horses</v>
      </c>
      <c r="C33" s="1441" t="str">
        <f t="shared" si="1"/>
        <v>Crimson Horses</v>
      </c>
      <c r="D33" s="1429">
        <v>27</v>
      </c>
      <c r="E33" s="1430" t="s">
        <v>15175</v>
      </c>
      <c r="F33" s="1582" t="s">
        <v>3740</v>
      </c>
      <c r="G33" s="1429" t="s">
        <v>1025</v>
      </c>
      <c r="H33" s="2196">
        <v>1037</v>
      </c>
    </row>
    <row r="34" spans="2:8" ht="12" customHeight="1" thickBot="1" x14ac:dyDescent="0.25">
      <c r="B34" s="392" t="str">
        <f t="shared" si="0"/>
        <v>SS Lazio TFC Roma</v>
      </c>
      <c r="C34" s="1441" t="str">
        <f t="shared" si="1"/>
        <v>SS Lazio TFC Roma</v>
      </c>
      <c r="D34" s="1429">
        <v>28</v>
      </c>
      <c r="E34" s="1430" t="s">
        <v>2777</v>
      </c>
      <c r="F34" s="1582" t="s">
        <v>3740</v>
      </c>
      <c r="G34" s="1429" t="s">
        <v>1037</v>
      </c>
      <c r="H34" s="2196">
        <v>966</v>
      </c>
    </row>
    <row r="35" spans="2:8" ht="12" customHeight="1" thickBot="1" x14ac:dyDescent="0.25">
      <c r="B35" s="392" t="str">
        <f t="shared" si="0"/>
        <v>Master Sanremo</v>
      </c>
      <c r="C35" s="1441" t="str">
        <f t="shared" si="1"/>
        <v>Master Sanremo</v>
      </c>
      <c r="D35" s="1429">
        <v>29</v>
      </c>
      <c r="E35" s="1430" t="s">
        <v>7867</v>
      </c>
      <c r="F35" s="1582" t="s">
        <v>3740</v>
      </c>
      <c r="G35" s="1429" t="s">
        <v>1037</v>
      </c>
      <c r="H35" s="2196">
        <v>899</v>
      </c>
    </row>
    <row r="36" spans="2:8" ht="12" customHeight="1" thickBot="1" x14ac:dyDescent="0.25">
      <c r="B36" s="392" t="str">
        <f t="shared" si="0"/>
        <v>Atlas FTC</v>
      </c>
      <c r="C36" s="1441" t="str">
        <f t="shared" si="1"/>
        <v>Atlas FTC</v>
      </c>
      <c r="D36" s="1429">
        <v>30</v>
      </c>
      <c r="E36" s="1430" t="s">
        <v>2745</v>
      </c>
      <c r="F36" s="1582" t="s">
        <v>3740</v>
      </c>
      <c r="G36" s="1429" t="s">
        <v>1025</v>
      </c>
      <c r="H36" s="2196">
        <v>837</v>
      </c>
    </row>
    <row r="37" spans="2:8" ht="12" customHeight="1" thickBot="1" x14ac:dyDescent="0.25">
      <c r="B37" s="392" t="str">
        <f t="shared" si="0"/>
        <v>SC Temploux</v>
      </c>
      <c r="C37" s="1441" t="str">
        <f t="shared" si="1"/>
        <v>SC Temploux</v>
      </c>
      <c r="D37" s="1429">
        <v>31</v>
      </c>
      <c r="E37" s="1430" t="s">
        <v>2779</v>
      </c>
      <c r="F37" s="1582" t="s">
        <v>3740</v>
      </c>
      <c r="G37" s="1429" t="s">
        <v>990</v>
      </c>
      <c r="H37" s="2196">
        <v>791</v>
      </c>
    </row>
    <row r="38" spans="2:8" ht="12" customHeight="1" thickBot="1" x14ac:dyDescent="0.25">
      <c r="B38" s="392" t="str">
        <f t="shared" si="0"/>
        <v>TSC Phoenix</v>
      </c>
      <c r="C38" s="1441" t="str">
        <f t="shared" si="1"/>
        <v>TSC Phoenix</v>
      </c>
      <c r="D38" s="1429">
        <v>32</v>
      </c>
      <c r="E38" s="1430" t="s">
        <v>8871</v>
      </c>
      <c r="F38" s="1582" t="s">
        <v>3740</v>
      </c>
      <c r="G38" s="1429" t="s">
        <v>988</v>
      </c>
      <c r="H38" s="2196">
        <v>780</v>
      </c>
    </row>
    <row r="39" spans="2:8" ht="12" customHeight="1" thickBot="1" x14ac:dyDescent="0.25">
      <c r="B39" s="392" t="str">
        <f t="shared" si="0"/>
        <v>Valletta Lions TFC</v>
      </c>
      <c r="C39" s="1441" t="str">
        <f t="shared" si="1"/>
        <v>Valletta Lions TFC</v>
      </c>
      <c r="D39" s="1429">
        <v>33</v>
      </c>
      <c r="E39" s="1430" t="s">
        <v>5317</v>
      </c>
      <c r="F39" s="1582" t="s">
        <v>3740</v>
      </c>
      <c r="G39" s="1429" t="s">
        <v>1045</v>
      </c>
      <c r="H39" s="2196">
        <v>778</v>
      </c>
    </row>
    <row r="40" spans="2:8" ht="12" customHeight="1" thickBot="1" x14ac:dyDescent="0.25">
      <c r="B40" s="392" t="str">
        <f t="shared" si="0"/>
        <v>Mallorca Águilas FM</v>
      </c>
      <c r="C40" s="1441" t="str">
        <f t="shared" si="1"/>
        <v>Mallorca Águilas FM</v>
      </c>
      <c r="D40" s="1429">
        <v>34</v>
      </c>
      <c r="E40" s="1430" t="s">
        <v>2774</v>
      </c>
      <c r="F40" s="1582" t="s">
        <v>3740</v>
      </c>
      <c r="G40" s="1429" t="s">
        <v>1015</v>
      </c>
      <c r="H40" s="2196">
        <v>670.5</v>
      </c>
    </row>
    <row r="41" spans="2:8" ht="12" customHeight="1" thickBot="1" x14ac:dyDescent="0.25">
      <c r="B41" s="392" t="str">
        <f t="shared" si="0"/>
        <v>Wolverhampton Table Football Club</v>
      </c>
      <c r="C41" s="1441" t="str">
        <f t="shared" si="1"/>
        <v>Wolverhampton Table Football Club</v>
      </c>
      <c r="D41" s="1429">
        <v>35</v>
      </c>
      <c r="E41" s="1430" t="s">
        <v>14399</v>
      </c>
      <c r="F41" s="1582" t="s">
        <v>3740</v>
      </c>
      <c r="G41" s="1429" t="s">
        <v>1013</v>
      </c>
      <c r="H41" s="2196">
        <v>594.5</v>
      </c>
    </row>
    <row r="42" spans="2:8" ht="12" customHeight="1" thickBot="1" x14ac:dyDescent="0.25">
      <c r="B42" s="392" t="str">
        <f t="shared" si="0"/>
        <v>AFT Turia 1981</v>
      </c>
      <c r="C42" s="1441" t="str">
        <f t="shared" si="1"/>
        <v>AFT Turia 1981</v>
      </c>
      <c r="D42" s="1429">
        <v>36</v>
      </c>
      <c r="E42" s="1430" t="s">
        <v>7869</v>
      </c>
      <c r="F42" s="1582" t="s">
        <v>3740</v>
      </c>
      <c r="G42" s="1429" t="s">
        <v>1015</v>
      </c>
      <c r="H42" s="2196">
        <v>559</v>
      </c>
    </row>
    <row r="43" spans="2:8" ht="12" customHeight="1" thickBot="1" x14ac:dyDescent="0.25">
      <c r="B43" s="392" t="str">
        <f t="shared" si="0"/>
        <v>Jurong Central SC</v>
      </c>
      <c r="C43" s="1441" t="str">
        <f t="shared" si="1"/>
        <v>Jurong Central SC</v>
      </c>
      <c r="D43" s="1429">
        <v>37</v>
      </c>
      <c r="E43" s="1430" t="s">
        <v>7270</v>
      </c>
      <c r="F43" s="1582" t="s">
        <v>3740</v>
      </c>
      <c r="G43" s="1429" t="s">
        <v>7916</v>
      </c>
      <c r="H43" s="2196">
        <v>555</v>
      </c>
    </row>
    <row r="44" spans="2:8" ht="12" customHeight="1" thickBot="1" x14ac:dyDescent="0.25">
      <c r="B44" s="392" t="str">
        <f t="shared" si="0"/>
        <v>Avenir Subbuteo Hennuyer 2</v>
      </c>
      <c r="C44" s="1441" t="str">
        <f t="shared" si="1"/>
        <v>Avenir Subbuteo Hennuyer 2</v>
      </c>
      <c r="D44" s="1429">
        <v>38</v>
      </c>
      <c r="E44" s="1430" t="s">
        <v>13519</v>
      </c>
      <c r="F44" s="1582" t="s">
        <v>3741</v>
      </c>
      <c r="G44" s="1429" t="s">
        <v>990</v>
      </c>
      <c r="H44" s="2196">
        <v>520.5</v>
      </c>
    </row>
    <row r="45" spans="2:8" ht="12" customHeight="1" thickBot="1" x14ac:dyDescent="0.25">
      <c r="B45" s="392" t="str">
        <f t="shared" si="0"/>
        <v>Tiburones FM 2</v>
      </c>
      <c r="C45" s="1441" t="str">
        <f t="shared" si="1"/>
        <v>Tiburones FM 2</v>
      </c>
      <c r="D45" s="1429">
        <v>39</v>
      </c>
      <c r="E45" s="1430" t="s">
        <v>2755</v>
      </c>
      <c r="F45" s="1582" t="s">
        <v>3741</v>
      </c>
      <c r="G45" s="1429" t="s">
        <v>1015</v>
      </c>
      <c r="H45" s="2196">
        <v>467</v>
      </c>
    </row>
    <row r="46" spans="2:8" ht="12" customHeight="1" thickBot="1" x14ac:dyDescent="0.25">
      <c r="B46" s="392" t="str">
        <f t="shared" si="0"/>
        <v>Melbourne TFC</v>
      </c>
      <c r="C46" s="1441" t="str">
        <f t="shared" si="1"/>
        <v>Melbourne TFC</v>
      </c>
      <c r="D46" s="1429">
        <v>40</v>
      </c>
      <c r="E46" s="1430" t="s">
        <v>9594</v>
      </c>
      <c r="F46" s="1582" t="s">
        <v>3740</v>
      </c>
      <c r="G46" s="1429" t="s">
        <v>986</v>
      </c>
      <c r="H46" s="2196">
        <v>450</v>
      </c>
    </row>
    <row r="47" spans="2:8" ht="12" customHeight="1" thickBot="1" x14ac:dyDescent="0.25">
      <c r="B47" s="392" t="str">
        <f t="shared" si="0"/>
        <v>GRD 1º Maio Tires</v>
      </c>
      <c r="C47" s="1441" t="str">
        <f t="shared" si="1"/>
        <v>GRD 1º Maio Tires</v>
      </c>
      <c r="D47" s="1429">
        <v>41</v>
      </c>
      <c r="E47" s="1430" t="s">
        <v>5314</v>
      </c>
      <c r="F47" s="1582" t="s">
        <v>3740</v>
      </c>
      <c r="G47" s="1429" t="s">
        <v>17007</v>
      </c>
      <c r="H47" s="2196">
        <v>448.5</v>
      </c>
    </row>
    <row r="48" spans="2:8" ht="12" customHeight="1" thickBot="1" x14ac:dyDescent="0.25">
      <c r="B48" s="392" t="str">
        <f t="shared" si="0"/>
        <v>Subbuteo Casale</v>
      </c>
      <c r="C48" s="1441" t="str">
        <f t="shared" si="1"/>
        <v>Subbuteo Casale</v>
      </c>
      <c r="D48" s="1429">
        <v>42</v>
      </c>
      <c r="E48" s="1430" t="s">
        <v>11467</v>
      </c>
      <c r="F48" s="1582" t="s">
        <v>3740</v>
      </c>
      <c r="G48" s="1429" t="s">
        <v>1037</v>
      </c>
      <c r="H48" s="2196">
        <v>435</v>
      </c>
    </row>
    <row r="49" spans="2:8" ht="12" customHeight="1" thickBot="1" x14ac:dyDescent="0.25">
      <c r="B49" s="392" t="str">
        <f t="shared" si="0"/>
        <v>Yorkshire Phoenix and Dewsbury Moor TFC</v>
      </c>
      <c r="C49" s="1441" t="str">
        <f t="shared" si="1"/>
        <v>Yorkshire Phoenix and Dewsbury Moor TFC</v>
      </c>
      <c r="D49" s="1429">
        <v>43</v>
      </c>
      <c r="E49" s="1430" t="s">
        <v>15274</v>
      </c>
      <c r="F49" s="1582" t="s">
        <v>3740</v>
      </c>
      <c r="G49" s="1429" t="s">
        <v>1013</v>
      </c>
      <c r="H49" s="2196">
        <v>422</v>
      </c>
    </row>
    <row r="50" spans="2:8" ht="12" customHeight="1" thickBot="1" x14ac:dyDescent="0.25">
      <c r="B50" s="392" t="str">
        <f t="shared" si="0"/>
        <v>OSC Yamato Wild Blue TFC</v>
      </c>
      <c r="C50" s="1441" t="str">
        <f t="shared" si="1"/>
        <v>OSC Yamato Wild Blue TFC</v>
      </c>
      <c r="D50" s="1429">
        <v>44</v>
      </c>
      <c r="E50" s="1430" t="s">
        <v>14700</v>
      </c>
      <c r="F50" s="1582" t="s">
        <v>3740</v>
      </c>
      <c r="G50" s="1429" t="s">
        <v>1041</v>
      </c>
      <c r="H50" s="2196">
        <v>409</v>
      </c>
    </row>
    <row r="51" spans="2:8" ht="12" customHeight="1" thickBot="1" x14ac:dyDescent="0.25">
      <c r="B51" s="392" t="str">
        <f t="shared" si="0"/>
        <v>Subbuteo Dragons Azuqueca</v>
      </c>
      <c r="C51" s="1441" t="str">
        <f t="shared" si="1"/>
        <v>Subbuteo Dragons Azuqueca</v>
      </c>
      <c r="D51" s="1429">
        <v>45</v>
      </c>
      <c r="E51" s="1430" t="s">
        <v>14454</v>
      </c>
      <c r="F51" s="1582" t="s">
        <v>3740</v>
      </c>
      <c r="G51" s="1429" t="s">
        <v>1015</v>
      </c>
      <c r="H51" s="2196">
        <v>398</v>
      </c>
    </row>
    <row r="52" spans="2:8" ht="12" customHeight="1" thickBot="1" x14ac:dyDescent="0.25">
      <c r="B52" s="392" t="str">
        <f t="shared" si="0"/>
        <v>BSC Schwalbach</v>
      </c>
      <c r="C52" s="1441" t="str">
        <f t="shared" si="1"/>
        <v>BSC Schwalbach</v>
      </c>
      <c r="D52" s="1429">
        <v>46</v>
      </c>
      <c r="E52" s="1430" t="s">
        <v>2775</v>
      </c>
      <c r="F52" s="1582" t="s">
        <v>3740</v>
      </c>
      <c r="G52" s="1429" t="s">
        <v>1021</v>
      </c>
      <c r="H52" s="2196">
        <v>375</v>
      </c>
    </row>
    <row r="53" spans="2:8" ht="12" customHeight="1" thickBot="1" x14ac:dyDescent="0.25">
      <c r="B53" s="392" t="str">
        <f t="shared" si="0"/>
        <v>SC Flanders</v>
      </c>
      <c r="C53" s="1441" t="str">
        <f t="shared" si="1"/>
        <v>SC Flanders</v>
      </c>
      <c r="D53" s="1429">
        <v>47</v>
      </c>
      <c r="E53" s="1430" t="s">
        <v>2772</v>
      </c>
      <c r="F53" s="1582" t="s">
        <v>3740</v>
      </c>
      <c r="G53" s="1429" t="s">
        <v>990</v>
      </c>
      <c r="H53" s="2196">
        <v>374.5</v>
      </c>
    </row>
    <row r="54" spans="2:8" ht="12" customHeight="1" thickBot="1" x14ac:dyDescent="0.25">
      <c r="B54" s="392" t="str">
        <f t="shared" si="0"/>
        <v>JSC Rochefort</v>
      </c>
      <c r="C54" s="1441" t="str">
        <f t="shared" si="1"/>
        <v>JSC Rochefort</v>
      </c>
      <c r="D54" s="1429">
        <v>48</v>
      </c>
      <c r="E54" s="1430" t="s">
        <v>2747</v>
      </c>
      <c r="F54" s="1582" t="s">
        <v>3740</v>
      </c>
      <c r="G54" s="1429" t="s">
        <v>990</v>
      </c>
      <c r="H54" s="2196">
        <v>374</v>
      </c>
    </row>
    <row r="55" spans="2:8" ht="12" customHeight="1" thickBot="1" x14ac:dyDescent="0.25">
      <c r="B55" s="392" t="str">
        <f t="shared" si="0"/>
        <v>Subbuteurs Athens TSC</v>
      </c>
      <c r="C55" s="1441" t="str">
        <f t="shared" si="1"/>
        <v>Subbuteurs Athens TSC</v>
      </c>
      <c r="D55" s="1429">
        <v>49</v>
      </c>
      <c r="E55" s="1430" t="s">
        <v>13590</v>
      </c>
      <c r="F55" s="1582" t="s">
        <v>3740</v>
      </c>
      <c r="G55" s="1429" t="s">
        <v>1025</v>
      </c>
      <c r="H55" s="2196">
        <v>347</v>
      </c>
    </row>
    <row r="56" spans="2:8" ht="12" customHeight="1" thickBot="1" x14ac:dyDescent="0.25">
      <c r="B56" s="392" t="str">
        <f t="shared" si="0"/>
        <v>Athinaikos CS</v>
      </c>
      <c r="C56" s="1441" t="str">
        <f t="shared" si="1"/>
        <v>Athinaikos CS</v>
      </c>
      <c r="D56" s="1429">
        <v>50</v>
      </c>
      <c r="E56" s="1430" t="s">
        <v>10251</v>
      </c>
      <c r="F56" s="1582" t="s">
        <v>3740</v>
      </c>
      <c r="G56" s="1429" t="s">
        <v>1025</v>
      </c>
      <c r="H56" s="2196">
        <v>327.5</v>
      </c>
    </row>
    <row r="57" spans="2:8" ht="12" customHeight="1" thickBot="1" x14ac:dyDescent="0.25">
      <c r="B57" s="392" t="str">
        <f t="shared" si="0"/>
        <v>Northern Falcons TFC</v>
      </c>
      <c r="C57" s="1441" t="str">
        <f t="shared" si="1"/>
        <v>Northern Falcons TFC</v>
      </c>
      <c r="D57" s="1429">
        <v>51</v>
      </c>
      <c r="E57" s="1430" t="s">
        <v>9593</v>
      </c>
      <c r="F57" s="1582" t="s">
        <v>3740</v>
      </c>
      <c r="G57" s="1429" t="s">
        <v>986</v>
      </c>
      <c r="H57" s="2196">
        <v>300</v>
      </c>
    </row>
    <row r="58" spans="2:8" ht="12" customHeight="1" thickBot="1" x14ac:dyDescent="0.25">
      <c r="B58" s="392" t="str">
        <f t="shared" si="0"/>
        <v>CFT Puylaurens</v>
      </c>
      <c r="C58" s="1441" t="str">
        <f t="shared" si="1"/>
        <v>CFT Puylaurens</v>
      </c>
      <c r="D58" s="1429">
        <v>52</v>
      </c>
      <c r="E58" s="1430" t="s">
        <v>2795</v>
      </c>
      <c r="F58" s="1582" t="s">
        <v>3740</v>
      </c>
      <c r="G58" s="1429" t="s">
        <v>1019</v>
      </c>
      <c r="H58" s="2196">
        <v>289</v>
      </c>
    </row>
    <row r="59" spans="2:8" ht="12" customHeight="1" thickBot="1" x14ac:dyDescent="0.25">
      <c r="B59" s="392" t="str">
        <f t="shared" si="0"/>
        <v>Larissa TFC</v>
      </c>
      <c r="C59" s="1441" t="str">
        <f t="shared" si="1"/>
        <v>Larissa TFC</v>
      </c>
      <c r="D59" s="1429">
        <v>53</v>
      </c>
      <c r="E59" s="1430" t="s">
        <v>11324</v>
      </c>
      <c r="F59" s="1582" t="s">
        <v>3740</v>
      </c>
      <c r="G59" s="1429" t="s">
        <v>1025</v>
      </c>
      <c r="H59" s="2196">
        <v>285</v>
      </c>
    </row>
    <row r="60" spans="2:8" ht="12" customHeight="1" thickBot="1" x14ac:dyDescent="0.25">
      <c r="B60" s="392" t="str">
        <f t="shared" si="0"/>
        <v>SG Lions TFC</v>
      </c>
      <c r="C60" s="1441" t="str">
        <f t="shared" si="1"/>
        <v>SG Lions TFC</v>
      </c>
      <c r="D60" s="1429">
        <v>54</v>
      </c>
      <c r="E60" s="1430" t="s">
        <v>8716</v>
      </c>
      <c r="F60" s="1582" t="s">
        <v>3740</v>
      </c>
      <c r="G60" s="1429" t="s">
        <v>7916</v>
      </c>
      <c r="H60" s="2196">
        <v>267</v>
      </c>
    </row>
    <row r="61" spans="2:8" ht="12" customHeight="1" thickBot="1" x14ac:dyDescent="0.25">
      <c r="B61" s="392" t="str">
        <f t="shared" si="0"/>
        <v>Yokohama OSC</v>
      </c>
      <c r="C61" s="1441" t="str">
        <f t="shared" si="1"/>
        <v>Yokohama OSC</v>
      </c>
      <c r="D61" s="1429">
        <v>55</v>
      </c>
      <c r="E61" s="1430" t="s">
        <v>5508</v>
      </c>
      <c r="F61" s="1582" t="s">
        <v>3740</v>
      </c>
      <c r="G61" s="1429" t="s">
        <v>1041</v>
      </c>
      <c r="H61" s="2196">
        <v>263</v>
      </c>
    </row>
    <row r="62" spans="2:8" ht="12" customHeight="1" thickBot="1" x14ac:dyDescent="0.25">
      <c r="B62" s="392" t="str">
        <f t="shared" si="0"/>
        <v>Elan Subbutéo Club de Champs-sur-Marne</v>
      </c>
      <c r="C62" s="1441" t="str">
        <f t="shared" si="1"/>
        <v>Elan Subbutéo Club de Champs-sur-Marne</v>
      </c>
      <c r="D62" s="1429">
        <v>56</v>
      </c>
      <c r="E62" s="1430" t="s">
        <v>15183</v>
      </c>
      <c r="F62" s="1582" t="s">
        <v>3740</v>
      </c>
      <c r="G62" s="1429" t="s">
        <v>1019</v>
      </c>
      <c r="H62" s="2196">
        <v>261.5</v>
      </c>
    </row>
    <row r="63" spans="2:8" ht="12" customHeight="1" thickBot="1" x14ac:dyDescent="0.25">
      <c r="B63" s="392" t="str">
        <f t="shared" si="0"/>
        <v>H'Attard SC</v>
      </c>
      <c r="C63" s="1441" t="str">
        <f t="shared" si="1"/>
        <v>H'Attard SC</v>
      </c>
      <c r="D63" s="1429">
        <v>57</v>
      </c>
      <c r="E63" s="1430" t="s">
        <v>11331</v>
      </c>
      <c r="F63" s="1582" t="s">
        <v>3740</v>
      </c>
      <c r="G63" s="1429" t="s">
        <v>1045</v>
      </c>
      <c r="H63" s="2196">
        <v>260.5</v>
      </c>
    </row>
    <row r="64" spans="2:8" ht="12" customHeight="1" thickBot="1" x14ac:dyDescent="0.25">
      <c r="B64" s="392" t="str">
        <f t="shared" si="0"/>
        <v>Wamme SC</v>
      </c>
      <c r="C64" s="1441" t="str">
        <f t="shared" si="1"/>
        <v>Wamme SC</v>
      </c>
      <c r="D64" s="1429">
        <v>58</v>
      </c>
      <c r="E64" s="1430" t="s">
        <v>10252</v>
      </c>
      <c r="F64" s="1582" t="s">
        <v>3740</v>
      </c>
      <c r="G64" s="1429" t="s">
        <v>990</v>
      </c>
      <c r="H64" s="2196">
        <v>238</v>
      </c>
    </row>
    <row r="65" spans="2:8" ht="12" customHeight="1" thickBot="1" x14ac:dyDescent="0.25">
      <c r="B65" s="392" t="str">
        <f t="shared" si="0"/>
        <v>Europa FC TSC</v>
      </c>
      <c r="C65" s="1441" t="str">
        <f t="shared" si="1"/>
        <v>Europa FC TSC</v>
      </c>
      <c r="D65" s="1429">
        <v>59</v>
      </c>
      <c r="E65" s="1430" t="s">
        <v>9448</v>
      </c>
      <c r="F65" s="1582" t="s">
        <v>3740</v>
      </c>
      <c r="G65" s="1429" t="s">
        <v>1023</v>
      </c>
      <c r="H65" s="2196">
        <v>234.5</v>
      </c>
    </row>
    <row r="66" spans="2:8" ht="12" customHeight="1" thickBot="1" x14ac:dyDescent="0.25">
      <c r="B66" s="392" t="str">
        <f t="shared" si="0"/>
        <v>Messina Table Soccer</v>
      </c>
      <c r="C66" s="1441" t="str">
        <f t="shared" si="1"/>
        <v>Messina Table Soccer</v>
      </c>
      <c r="D66" s="1429">
        <v>60</v>
      </c>
      <c r="E66" s="1430" t="s">
        <v>13593</v>
      </c>
      <c r="F66" s="1582" t="s">
        <v>3740</v>
      </c>
      <c r="G66" s="1429" t="s">
        <v>1037</v>
      </c>
      <c r="H66" s="2196">
        <v>218</v>
      </c>
    </row>
    <row r="67" spans="2:8" ht="12" customHeight="1" thickBot="1" x14ac:dyDescent="0.25">
      <c r="B67" s="392" t="str">
        <f t="shared" si="0"/>
        <v>CCT Eagles Napoli 2</v>
      </c>
      <c r="C67" s="1441" t="str">
        <f t="shared" si="1"/>
        <v>CCT Eagles Napoli 2</v>
      </c>
      <c r="D67" s="1429">
        <v>61</v>
      </c>
      <c r="E67" s="1430" t="s">
        <v>2750</v>
      </c>
      <c r="F67" s="1582" t="s">
        <v>3741</v>
      </c>
      <c r="G67" s="1429" t="s">
        <v>1037</v>
      </c>
      <c r="H67" s="2196">
        <v>216</v>
      </c>
    </row>
    <row r="68" spans="2:8" ht="12" customHeight="1" thickBot="1" x14ac:dyDescent="0.25">
      <c r="B68" s="392" t="str">
        <f t="shared" si="0"/>
        <v>SPQR MMIX Roma</v>
      </c>
      <c r="C68" s="1441" t="str">
        <f t="shared" si="1"/>
        <v>SPQR MMIX Roma</v>
      </c>
      <c r="D68" s="1429">
        <v>62</v>
      </c>
      <c r="E68" s="1430" t="s">
        <v>10268</v>
      </c>
      <c r="F68" s="1582" t="s">
        <v>3740</v>
      </c>
      <c r="G68" s="1429" t="s">
        <v>1037</v>
      </c>
      <c r="H68" s="2196">
        <v>213</v>
      </c>
    </row>
    <row r="69" spans="2:8" ht="12" customHeight="1" thickBot="1" x14ac:dyDescent="0.25">
      <c r="B69" s="392" t="str">
        <f t="shared" si="0"/>
        <v>CF os Belenenses</v>
      </c>
      <c r="C69" s="1441" t="str">
        <f t="shared" si="1"/>
        <v>CF os Belenenses</v>
      </c>
      <c r="D69" s="1429">
        <v>63</v>
      </c>
      <c r="E69" s="1430" t="s">
        <v>15138</v>
      </c>
      <c r="F69" s="1582" t="s">
        <v>3740</v>
      </c>
      <c r="G69" s="1429" t="s">
        <v>17007</v>
      </c>
      <c r="H69" s="2196">
        <v>210</v>
      </c>
    </row>
    <row r="70" spans="2:8" ht="12" customHeight="1" thickBot="1" x14ac:dyDescent="0.25">
      <c r="B70" s="392" t="str">
        <f t="shared" si="0"/>
        <v>US Huy</v>
      </c>
      <c r="C70" s="1441" t="str">
        <f t="shared" si="1"/>
        <v>US Huy</v>
      </c>
      <c r="D70" s="1429">
        <v>64</v>
      </c>
      <c r="E70" s="1430" t="s">
        <v>10254</v>
      </c>
      <c r="F70" s="1582" t="s">
        <v>3740</v>
      </c>
      <c r="G70" s="1429" t="s">
        <v>990</v>
      </c>
      <c r="H70" s="2196">
        <v>202.5</v>
      </c>
    </row>
    <row r="71" spans="2:8" ht="12" customHeight="1" thickBot="1" x14ac:dyDescent="0.25">
      <c r="B71" s="392" t="str">
        <f t="shared" si="0"/>
        <v>AS Cosenza</v>
      </c>
      <c r="C71" s="1441" t="str">
        <f t="shared" si="1"/>
        <v>AS Cosenza</v>
      </c>
      <c r="D71" s="1429">
        <v>65</v>
      </c>
      <c r="E71" s="1430" t="s">
        <v>10271</v>
      </c>
      <c r="F71" s="1582" t="s">
        <v>3740</v>
      </c>
      <c r="G71" s="1429" t="s">
        <v>1037</v>
      </c>
      <c r="H71" s="2196">
        <v>194</v>
      </c>
    </row>
    <row r="72" spans="2:8" ht="12" customHeight="1" thickBot="1" x14ac:dyDescent="0.25">
      <c r="B72" s="392" t="str">
        <f t="shared" ref="B72:B135" si="2">C72</f>
        <v>Kent Invicta TFC</v>
      </c>
      <c r="C72" s="1441" t="str">
        <f t="shared" ref="C72:C135" si="3">IF(E72="","",E72&amp;IF(RIGHT(F72,1)="A",""," "&amp;CODE(RIGHT(F72,1))-CODE("A")+1))</f>
        <v>Kent Invicta TFC</v>
      </c>
      <c r="D72" s="1429">
        <v>66</v>
      </c>
      <c r="E72" s="1430" t="s">
        <v>5304</v>
      </c>
      <c r="F72" s="1582" t="s">
        <v>3740</v>
      </c>
      <c r="G72" s="1429" t="s">
        <v>1013</v>
      </c>
      <c r="H72" s="2196">
        <v>189</v>
      </c>
    </row>
    <row r="73" spans="2:8" ht="12" customHeight="1" thickBot="1" x14ac:dyDescent="0.25">
      <c r="B73" s="392" t="str">
        <f t="shared" si="2"/>
        <v>CCT Roma</v>
      </c>
      <c r="C73" s="1441" t="str">
        <f t="shared" si="3"/>
        <v>CCT Roma</v>
      </c>
      <c r="D73" s="1429">
        <v>67</v>
      </c>
      <c r="E73" s="1430" t="s">
        <v>2759</v>
      </c>
      <c r="F73" s="1582" t="s">
        <v>3740</v>
      </c>
      <c r="G73" s="1429" t="s">
        <v>1037</v>
      </c>
      <c r="H73" s="2196">
        <v>183</v>
      </c>
    </row>
    <row r="74" spans="2:8" ht="12" customHeight="1" thickBot="1" x14ac:dyDescent="0.25">
      <c r="B74" s="392" t="str">
        <f t="shared" si="2"/>
        <v>Avenir Subbuteo Hennuyer 3</v>
      </c>
      <c r="C74" s="1441" t="str">
        <f t="shared" si="3"/>
        <v>Avenir Subbuteo Hennuyer 3</v>
      </c>
      <c r="D74" s="1429">
        <v>68</v>
      </c>
      <c r="E74" s="1430" t="s">
        <v>13519</v>
      </c>
      <c r="F74" s="1582" t="s">
        <v>14999</v>
      </c>
      <c r="G74" s="1429" t="s">
        <v>990</v>
      </c>
      <c r="H74" s="2196">
        <v>173.5</v>
      </c>
    </row>
    <row r="75" spans="2:8" ht="12" customHeight="1" thickBot="1" x14ac:dyDescent="0.25">
      <c r="B75" s="392" t="str">
        <f t="shared" si="2"/>
        <v>MVV Rijnmond</v>
      </c>
      <c r="C75" s="1441" t="str">
        <f t="shared" si="3"/>
        <v>MVV Rijnmond</v>
      </c>
      <c r="D75" s="1429">
        <v>69</v>
      </c>
      <c r="E75" s="1430" t="s">
        <v>2763</v>
      </c>
      <c r="F75" s="1582" t="s">
        <v>3740</v>
      </c>
      <c r="G75" s="1429" t="s">
        <v>1051</v>
      </c>
      <c r="H75" s="2196">
        <v>170</v>
      </c>
    </row>
    <row r="76" spans="2:8" ht="12" customHeight="1" thickBot="1" x14ac:dyDescent="0.25">
      <c r="B76" s="392" t="str">
        <f t="shared" si="2"/>
        <v>Olympia CS 2</v>
      </c>
      <c r="C76" s="1441" t="str">
        <f t="shared" si="3"/>
        <v>Olympia CS 2</v>
      </c>
      <c r="D76" s="1429">
        <v>70</v>
      </c>
      <c r="E76" s="1430" t="s">
        <v>10246</v>
      </c>
      <c r="F76" s="1582" t="s">
        <v>3741</v>
      </c>
      <c r="G76" s="1429" t="s">
        <v>1025</v>
      </c>
      <c r="H76" s="2196">
        <v>158</v>
      </c>
    </row>
    <row r="77" spans="2:8" ht="12" customHeight="1" thickBot="1" x14ac:dyDescent="0.25">
      <c r="B77" s="392" t="str">
        <f t="shared" si="2"/>
        <v>Roligans Ilioupolis TSC</v>
      </c>
      <c r="C77" s="1441" t="str">
        <f t="shared" si="3"/>
        <v>Roligans Ilioupolis TSC</v>
      </c>
      <c r="D77" s="1429">
        <v>71</v>
      </c>
      <c r="E77" s="1430" t="s">
        <v>3213</v>
      </c>
      <c r="F77" s="1582" t="s">
        <v>3740</v>
      </c>
      <c r="G77" s="1429" t="s">
        <v>1025</v>
      </c>
      <c r="H77" s="2196">
        <v>153.5</v>
      </c>
    </row>
    <row r="78" spans="2:8" ht="12" customHeight="1" thickBot="1" x14ac:dyDescent="0.25">
      <c r="B78" s="392" t="str">
        <f t="shared" si="2"/>
        <v>SC Sombrero</v>
      </c>
      <c r="C78" s="1441" t="str">
        <f t="shared" si="3"/>
        <v>SC Sombrero</v>
      </c>
      <c r="D78" s="1429">
        <v>72</v>
      </c>
      <c r="E78" s="1430" t="s">
        <v>11325</v>
      </c>
      <c r="F78" s="1582" t="s">
        <v>3740</v>
      </c>
      <c r="G78" s="1429" t="s">
        <v>1037</v>
      </c>
      <c r="H78" s="2196">
        <v>144</v>
      </c>
    </row>
    <row r="79" spans="2:8" ht="12" customHeight="1" thickBot="1" x14ac:dyDescent="0.25">
      <c r="B79" s="392" t="str">
        <f t="shared" si="2"/>
        <v>Subbuteo Club Reggio Calabria</v>
      </c>
      <c r="C79" s="1441" t="str">
        <f t="shared" si="3"/>
        <v>Subbuteo Club Reggio Calabria</v>
      </c>
      <c r="D79" s="1429">
        <v>73</v>
      </c>
      <c r="E79" s="1430" t="s">
        <v>16490</v>
      </c>
      <c r="F79" s="1582" t="s">
        <v>3740</v>
      </c>
      <c r="G79" s="1429" t="s">
        <v>1037</v>
      </c>
      <c r="H79" s="2196">
        <v>137</v>
      </c>
    </row>
    <row r="80" spans="2:8" ht="12" customHeight="1" thickBot="1" x14ac:dyDescent="0.25">
      <c r="B80" s="392" t="str">
        <f t="shared" si="2"/>
        <v>SC Bagheria</v>
      </c>
      <c r="C80" s="1441" t="str">
        <f t="shared" si="3"/>
        <v>SC Bagheria</v>
      </c>
      <c r="D80" s="1429">
        <v>74</v>
      </c>
      <c r="E80" s="1430" t="s">
        <v>10270</v>
      </c>
      <c r="F80" s="1582" t="s">
        <v>3740</v>
      </c>
      <c r="G80" s="1429" t="s">
        <v>1037</v>
      </c>
      <c r="H80" s="2196">
        <v>135</v>
      </c>
    </row>
    <row r="81" spans="2:8" ht="12" customHeight="1" thickBot="1" x14ac:dyDescent="0.25">
      <c r="B81" s="392" t="str">
        <f t="shared" si="2"/>
        <v>SC Reeds</v>
      </c>
      <c r="C81" s="1441" t="str">
        <f t="shared" si="3"/>
        <v>SC Reeds</v>
      </c>
      <c r="D81" s="1429">
        <v>75</v>
      </c>
      <c r="E81" s="1430" t="s">
        <v>10276</v>
      </c>
      <c r="F81" s="1582" t="s">
        <v>3740</v>
      </c>
      <c r="G81" s="1429" t="s">
        <v>1041</v>
      </c>
      <c r="H81" s="2196">
        <v>133</v>
      </c>
    </row>
    <row r="82" spans="2:8" ht="12" customHeight="1" thickBot="1" x14ac:dyDescent="0.25">
      <c r="B82" s="392" t="str">
        <f t="shared" si="2"/>
        <v>Dundee United TFC</v>
      </c>
      <c r="C82" s="1441" t="str">
        <f t="shared" si="3"/>
        <v>Dundee United TFC</v>
      </c>
      <c r="D82" s="1429">
        <v>76</v>
      </c>
      <c r="E82" s="1430" t="s">
        <v>7267</v>
      </c>
      <c r="F82" s="1582" t="s">
        <v>3740</v>
      </c>
      <c r="G82" s="1429" t="s">
        <v>1069</v>
      </c>
      <c r="H82" s="2196">
        <v>127.5</v>
      </c>
    </row>
    <row r="83" spans="2:8" ht="12" customHeight="1" thickBot="1" x14ac:dyDescent="0.25">
      <c r="B83" s="392" t="str">
        <f t="shared" si="2"/>
        <v>Sporting Clube De Portugal</v>
      </c>
      <c r="C83" s="1441" t="str">
        <f t="shared" si="3"/>
        <v>Sporting Clube De Portugal</v>
      </c>
      <c r="D83" s="1429">
        <v>77</v>
      </c>
      <c r="E83" s="1430" t="s">
        <v>11332</v>
      </c>
      <c r="F83" s="1582" t="s">
        <v>3740</v>
      </c>
      <c r="G83" s="1429" t="s">
        <v>17007</v>
      </c>
      <c r="H83" s="2196">
        <v>125</v>
      </c>
    </row>
    <row r="84" spans="2:8" ht="12" customHeight="1" thickBot="1" x14ac:dyDescent="0.25">
      <c r="B84" s="392" t="str">
        <f t="shared" si="2"/>
        <v>SC Lion's Eugies 2</v>
      </c>
      <c r="C84" s="1441" t="str">
        <f t="shared" si="3"/>
        <v>SC Lion's Eugies 2</v>
      </c>
      <c r="D84" s="1429">
        <v>78</v>
      </c>
      <c r="E84" s="1430" t="s">
        <v>5301</v>
      </c>
      <c r="F84" s="1582" t="s">
        <v>3741</v>
      </c>
      <c r="G84" s="1429" t="s">
        <v>990</v>
      </c>
      <c r="H84" s="2196">
        <v>123</v>
      </c>
    </row>
    <row r="85" spans="2:8" ht="12" customHeight="1" thickBot="1" x14ac:dyDescent="0.25">
      <c r="B85" s="392" t="str">
        <f t="shared" si="2"/>
        <v>SC Catania 1987</v>
      </c>
      <c r="C85" s="1441" t="str">
        <f t="shared" si="3"/>
        <v>SC Catania 1987</v>
      </c>
      <c r="D85" s="1429">
        <v>79</v>
      </c>
      <c r="E85" s="1430" t="s">
        <v>7872</v>
      </c>
      <c r="F85" s="1582" t="s">
        <v>3740</v>
      </c>
      <c r="G85" s="1429" t="s">
        <v>1037</v>
      </c>
      <c r="H85" s="2196">
        <v>122.5</v>
      </c>
    </row>
    <row r="86" spans="2:8" ht="12" customHeight="1" thickBot="1" x14ac:dyDescent="0.25">
      <c r="B86" s="392" t="str">
        <f t="shared" si="2"/>
        <v>Glasgow TSA</v>
      </c>
      <c r="C86" s="1441" t="str">
        <f t="shared" si="3"/>
        <v>Glasgow TSA</v>
      </c>
      <c r="D86" s="1429">
        <v>80</v>
      </c>
      <c r="E86" s="1430" t="s">
        <v>2771</v>
      </c>
      <c r="F86" s="1582" t="s">
        <v>3740</v>
      </c>
      <c r="G86" s="1429" t="s">
        <v>1069</v>
      </c>
      <c r="H86" s="2196">
        <v>121.5</v>
      </c>
    </row>
    <row r="87" spans="2:8" ht="12" customHeight="1" thickBot="1" x14ac:dyDescent="0.25">
      <c r="B87" s="392" t="str">
        <f t="shared" si="2"/>
        <v>GCT DLF Gorizia</v>
      </c>
      <c r="C87" s="1441" t="str">
        <f t="shared" si="3"/>
        <v>GCT DLF Gorizia</v>
      </c>
      <c r="D87" s="1429">
        <v>81</v>
      </c>
      <c r="E87" s="1430" t="s">
        <v>2773</v>
      </c>
      <c r="F87" s="1582" t="s">
        <v>3740</v>
      </c>
      <c r="G87" s="1429" t="s">
        <v>1037</v>
      </c>
      <c r="H87" s="2196">
        <v>120</v>
      </c>
    </row>
    <row r="88" spans="2:8" ht="12" customHeight="1" thickBot="1" x14ac:dyDescent="0.25">
      <c r="B88" s="392" t="str">
        <f t="shared" si="2"/>
        <v>Jurong Central SC 2</v>
      </c>
      <c r="C88" s="1441" t="str">
        <f t="shared" si="3"/>
        <v>Jurong Central SC 2</v>
      </c>
      <c r="D88" s="1429">
        <v>81</v>
      </c>
      <c r="E88" s="1430" t="s">
        <v>7270</v>
      </c>
      <c r="F88" s="1582" t="s">
        <v>3741</v>
      </c>
      <c r="G88" s="1429" t="s">
        <v>7916</v>
      </c>
      <c r="H88" s="2196">
        <v>120</v>
      </c>
    </row>
    <row r="89" spans="2:8" ht="12" customHeight="1" thickBot="1" x14ac:dyDescent="0.25">
      <c r="B89" s="392" t="str">
        <f t="shared" si="2"/>
        <v>Football de Table Aquitaine</v>
      </c>
      <c r="C89" s="1441" t="str">
        <f t="shared" si="3"/>
        <v>Football de Table Aquitaine</v>
      </c>
      <c r="D89" s="1429">
        <v>81</v>
      </c>
      <c r="E89" s="1430" t="s">
        <v>13838</v>
      </c>
      <c r="F89" s="1582" t="s">
        <v>3740</v>
      </c>
      <c r="G89" s="1429" t="s">
        <v>1019</v>
      </c>
      <c r="H89" s="2196">
        <v>120</v>
      </c>
    </row>
    <row r="90" spans="2:8" ht="12" customHeight="1" thickBot="1" x14ac:dyDescent="0.25">
      <c r="B90" s="392" t="str">
        <f t="shared" si="2"/>
        <v>ST Stembert 2</v>
      </c>
      <c r="C90" s="1441" t="str">
        <f t="shared" si="3"/>
        <v>ST Stembert 2</v>
      </c>
      <c r="D90" s="1429">
        <v>81</v>
      </c>
      <c r="E90" s="1430" t="s">
        <v>10250</v>
      </c>
      <c r="F90" s="1582" t="s">
        <v>3741</v>
      </c>
      <c r="G90" s="1429" t="s">
        <v>990</v>
      </c>
      <c r="H90" s="2196">
        <v>120</v>
      </c>
    </row>
    <row r="91" spans="2:8" ht="12" customHeight="1" thickBot="1" x14ac:dyDescent="0.25">
      <c r="B91" s="392" t="str">
        <f t="shared" si="2"/>
        <v>FTC Caen 2</v>
      </c>
      <c r="C91" s="1441" t="str">
        <f t="shared" si="3"/>
        <v>FTC Caen 2</v>
      </c>
      <c r="D91" s="1429">
        <v>85</v>
      </c>
      <c r="E91" s="1430" t="s">
        <v>2893</v>
      </c>
      <c r="F91" s="1582" t="s">
        <v>3741</v>
      </c>
      <c r="G91" s="1429" t="s">
        <v>1019</v>
      </c>
      <c r="H91" s="2196">
        <v>119</v>
      </c>
    </row>
    <row r="92" spans="2:8" ht="12" customHeight="1" thickBot="1" x14ac:dyDescent="0.25">
      <c r="B92" s="392" t="str">
        <f t="shared" si="2"/>
        <v>Irish Premier League</v>
      </c>
      <c r="C92" s="1441" t="str">
        <f t="shared" si="3"/>
        <v>Irish Premier League</v>
      </c>
      <c r="D92" s="1429">
        <v>86</v>
      </c>
      <c r="E92" s="1430" t="s">
        <v>2764</v>
      </c>
      <c r="F92" s="1582" t="s">
        <v>3740</v>
      </c>
      <c r="G92" s="1429" t="s">
        <v>1033</v>
      </c>
      <c r="H92" s="2196">
        <v>114.5</v>
      </c>
    </row>
    <row r="93" spans="2:8" ht="12" customHeight="1" thickBot="1" x14ac:dyDescent="0.25">
      <c r="B93" s="392" t="str">
        <f t="shared" si="2"/>
        <v>Noctuas Athens TSC 2</v>
      </c>
      <c r="C93" s="1441" t="str">
        <f t="shared" si="3"/>
        <v>Noctuas Athens TSC 2</v>
      </c>
      <c r="D93" s="1429">
        <v>87</v>
      </c>
      <c r="E93" s="1430" t="s">
        <v>9449</v>
      </c>
      <c r="F93" s="1582" t="s">
        <v>3741</v>
      </c>
      <c r="G93" s="1429" t="s">
        <v>1025</v>
      </c>
      <c r="H93" s="2196">
        <v>112</v>
      </c>
    </row>
    <row r="94" spans="2:8" ht="12" customHeight="1" thickBot="1" x14ac:dyDescent="0.25">
      <c r="B94" s="392" t="str">
        <f t="shared" si="2"/>
        <v>Piraeus Lions TSC</v>
      </c>
      <c r="C94" s="1441" t="str">
        <f t="shared" si="3"/>
        <v>Piraeus Lions TSC</v>
      </c>
      <c r="D94" s="1429">
        <v>88</v>
      </c>
      <c r="E94" s="1430" t="s">
        <v>2758</v>
      </c>
      <c r="F94" s="1582" t="s">
        <v>3740</v>
      </c>
      <c r="G94" s="1429" t="s">
        <v>1025</v>
      </c>
      <c r="H94" s="2196">
        <v>110.5</v>
      </c>
    </row>
    <row r="95" spans="2:8" ht="12" customHeight="1" thickBot="1" x14ac:dyDescent="0.25">
      <c r="B95" s="392" t="str">
        <f t="shared" si="2"/>
        <v>Pinco Devils Table Soccer</v>
      </c>
      <c r="C95" s="1441" t="str">
        <f t="shared" si="3"/>
        <v>Pinco Devils Table Soccer</v>
      </c>
      <c r="D95" s="1429">
        <v>89</v>
      </c>
      <c r="E95" s="1430" t="s">
        <v>13312</v>
      </c>
      <c r="F95" s="1582" t="s">
        <v>3740</v>
      </c>
      <c r="G95" s="1429" t="s">
        <v>1037</v>
      </c>
      <c r="H95" s="2196">
        <v>107</v>
      </c>
    </row>
    <row r="96" spans="2:8" ht="12" customHeight="1" thickBot="1" x14ac:dyDescent="0.25">
      <c r="B96" s="392" t="str">
        <f t="shared" si="2"/>
        <v>TSC Stella Artois Milano</v>
      </c>
      <c r="C96" s="1441" t="str">
        <f t="shared" si="3"/>
        <v>TSC Stella Artois Milano</v>
      </c>
      <c r="D96" s="1429">
        <v>90</v>
      </c>
      <c r="E96" s="1430" t="s">
        <v>2765</v>
      </c>
      <c r="F96" s="1582" t="s">
        <v>3740</v>
      </c>
      <c r="G96" s="1429" t="s">
        <v>1037</v>
      </c>
      <c r="H96" s="2196">
        <v>102</v>
      </c>
    </row>
    <row r="97" spans="2:8" ht="12" customHeight="1" thickBot="1" x14ac:dyDescent="0.25">
      <c r="B97" s="392" t="str">
        <f t="shared" si="2"/>
        <v>AS Iluro Futbol Taula</v>
      </c>
      <c r="C97" s="1441" t="str">
        <f t="shared" si="3"/>
        <v>AS Iluro Futbol Taula</v>
      </c>
      <c r="D97" s="1429">
        <v>91</v>
      </c>
      <c r="E97" s="1430" t="s">
        <v>13232</v>
      </c>
      <c r="F97" s="1582" t="s">
        <v>3740</v>
      </c>
      <c r="G97" s="1429" t="s">
        <v>1015</v>
      </c>
      <c r="H97" s="2196">
        <v>100</v>
      </c>
    </row>
    <row r="98" spans="2:8" ht="12" customHeight="1" thickBot="1" x14ac:dyDescent="0.25">
      <c r="B98" s="392" t="str">
        <f t="shared" si="2"/>
        <v>FTC Saint-Symphorien-sur-Coise</v>
      </c>
      <c r="C98" s="1441" t="str">
        <f t="shared" si="3"/>
        <v>FTC Saint-Symphorien-sur-Coise</v>
      </c>
      <c r="D98" s="1429">
        <v>91</v>
      </c>
      <c r="E98" s="1430" t="s">
        <v>15239</v>
      </c>
      <c r="F98" s="1582" t="s">
        <v>3740</v>
      </c>
      <c r="G98" s="1429" t="s">
        <v>1019</v>
      </c>
      <c r="H98" s="2196">
        <v>100</v>
      </c>
    </row>
    <row r="99" spans="2:8" ht="12" customHeight="1" thickBot="1" x14ac:dyDescent="0.25">
      <c r="B99" s="392" t="str">
        <f t="shared" si="2"/>
        <v>FM La Plazoleta</v>
      </c>
      <c r="C99" s="1441" t="str">
        <f t="shared" si="3"/>
        <v>FM La Plazoleta</v>
      </c>
      <c r="D99" s="1429">
        <v>93</v>
      </c>
      <c r="E99" s="1430" t="s">
        <v>7871</v>
      </c>
      <c r="F99" s="1582" t="s">
        <v>3740</v>
      </c>
      <c r="G99" s="1429" t="s">
        <v>1015</v>
      </c>
      <c r="H99" s="2196">
        <v>96</v>
      </c>
    </row>
    <row r="100" spans="2:8" ht="12" customHeight="1" thickBot="1" x14ac:dyDescent="0.25">
      <c r="B100" s="392" t="str">
        <f t="shared" si="2"/>
        <v>TSPA White Star</v>
      </c>
      <c r="C100" s="1441" t="str">
        <f t="shared" si="3"/>
        <v>TSPA White Star</v>
      </c>
      <c r="D100" s="1429">
        <v>94</v>
      </c>
      <c r="E100" s="1430" t="s">
        <v>13531</v>
      </c>
      <c r="F100" s="1582" t="s">
        <v>3740</v>
      </c>
      <c r="G100" s="1429" t="s">
        <v>1013</v>
      </c>
      <c r="H100" s="2196">
        <v>95.5</v>
      </c>
    </row>
    <row r="101" spans="2:8" ht="12" customHeight="1" thickBot="1" x14ac:dyDescent="0.25">
      <c r="B101" s="392" t="str">
        <f t="shared" si="2"/>
        <v>Sydney TFC</v>
      </c>
      <c r="C101" s="1441" t="str">
        <f t="shared" si="3"/>
        <v>Sydney TFC</v>
      </c>
      <c r="D101" s="1429">
        <v>95</v>
      </c>
      <c r="E101" s="1430" t="s">
        <v>9595</v>
      </c>
      <c r="F101" s="1582" t="s">
        <v>3740</v>
      </c>
      <c r="G101" s="1429" t="s">
        <v>986</v>
      </c>
      <c r="H101" s="2196">
        <v>95</v>
      </c>
    </row>
    <row r="102" spans="2:8" ht="12" customHeight="1" thickBot="1" x14ac:dyDescent="0.25">
      <c r="B102" s="392" t="str">
        <f t="shared" si="2"/>
        <v>Western Sydney Subbuteo</v>
      </c>
      <c r="C102" s="1441" t="str">
        <f t="shared" si="3"/>
        <v>Western Sydney Subbuteo</v>
      </c>
      <c r="D102" s="1429">
        <v>96</v>
      </c>
      <c r="E102" s="1430" t="s">
        <v>10248</v>
      </c>
      <c r="F102" s="1582" t="s">
        <v>3740</v>
      </c>
      <c r="G102" s="1429" t="s">
        <v>986</v>
      </c>
      <c r="H102" s="2196">
        <v>90</v>
      </c>
    </row>
    <row r="103" spans="2:8" ht="12" customHeight="1" thickBot="1" x14ac:dyDescent="0.25">
      <c r="B103" s="392" t="str">
        <f t="shared" si="2"/>
        <v>ASD Siracusa Calcio Tavolo</v>
      </c>
      <c r="C103" s="1441" t="str">
        <f t="shared" si="3"/>
        <v>ASD Siracusa Calcio Tavolo</v>
      </c>
      <c r="D103" s="1429">
        <v>97</v>
      </c>
      <c r="E103" s="1430" t="s">
        <v>15290</v>
      </c>
      <c r="F103" s="1582" t="s">
        <v>3740</v>
      </c>
      <c r="G103" s="1429" t="s">
        <v>1037</v>
      </c>
      <c r="H103" s="2196">
        <v>83</v>
      </c>
    </row>
    <row r="104" spans="2:8" ht="12" customHeight="1" thickBot="1" x14ac:dyDescent="0.25">
      <c r="B104" s="392" t="str">
        <f t="shared" si="2"/>
        <v>ACS Perugia 1973</v>
      </c>
      <c r="C104" s="1441" t="str">
        <f t="shared" si="3"/>
        <v>ACS Perugia 1973</v>
      </c>
      <c r="D104" s="1429">
        <v>98</v>
      </c>
      <c r="E104" s="1430" t="s">
        <v>9822</v>
      </c>
      <c r="F104" s="1582" t="s">
        <v>3740</v>
      </c>
      <c r="G104" s="1429" t="s">
        <v>1037</v>
      </c>
      <c r="H104" s="2196">
        <v>81</v>
      </c>
    </row>
    <row r="105" spans="2:8" ht="12" customHeight="1" thickBot="1" x14ac:dyDescent="0.25">
      <c r="B105" s="392" t="str">
        <f t="shared" si="2"/>
        <v>Moralzarzal Subbuteo CAD</v>
      </c>
      <c r="C105" s="1441" t="str">
        <f t="shared" si="3"/>
        <v>Moralzarzal Subbuteo CAD</v>
      </c>
      <c r="D105" s="1429">
        <v>99</v>
      </c>
      <c r="E105" s="1430" t="s">
        <v>2769</v>
      </c>
      <c r="F105" s="1582" t="s">
        <v>3740</v>
      </c>
      <c r="G105" s="1429" t="s">
        <v>1015</v>
      </c>
      <c r="H105" s="2196">
        <v>77.5</v>
      </c>
    </row>
    <row r="106" spans="2:8" ht="12" customHeight="1" thickBot="1" x14ac:dyDescent="0.25">
      <c r="B106" s="392" t="str">
        <f t="shared" si="2"/>
        <v>Subbuteurs Athens TSC 2</v>
      </c>
      <c r="C106" s="1441" t="str">
        <f t="shared" si="3"/>
        <v>Subbuteurs Athens TSC 2</v>
      </c>
      <c r="D106" s="1429">
        <v>100</v>
      </c>
      <c r="E106" s="1430" t="s">
        <v>13590</v>
      </c>
      <c r="F106" s="1582" t="s">
        <v>3741</v>
      </c>
      <c r="G106" s="1429" t="s">
        <v>1025</v>
      </c>
      <c r="H106" s="2196">
        <v>76.5</v>
      </c>
    </row>
    <row r="107" spans="2:8" ht="12" customHeight="1" thickBot="1" x14ac:dyDescent="0.25">
      <c r="B107" s="392" t="str">
        <f t="shared" si="2"/>
        <v>Langton Green Subbuteo Club 2</v>
      </c>
      <c r="C107" s="1441" t="str">
        <f t="shared" si="3"/>
        <v>Langton Green Subbuteo Club 2</v>
      </c>
      <c r="D107" s="1429">
        <v>101</v>
      </c>
      <c r="E107" s="1430" t="s">
        <v>17082</v>
      </c>
      <c r="F107" s="1582" t="s">
        <v>3741</v>
      </c>
      <c r="G107" s="1429" t="s">
        <v>1013</v>
      </c>
      <c r="H107" s="2196">
        <v>74</v>
      </c>
    </row>
    <row r="108" spans="2:8" ht="12" customHeight="1" thickBot="1" x14ac:dyDescent="0.25">
      <c r="B108" s="392" t="str">
        <f t="shared" si="2"/>
        <v>Master Sanremo 2</v>
      </c>
      <c r="C108" s="1441" t="str">
        <f t="shared" si="3"/>
        <v>Master Sanremo 2</v>
      </c>
      <c r="D108" s="1429">
        <v>102</v>
      </c>
      <c r="E108" s="1430" t="s">
        <v>7867</v>
      </c>
      <c r="F108" s="1582" t="s">
        <v>3741</v>
      </c>
      <c r="G108" s="1429" t="s">
        <v>1037</v>
      </c>
      <c r="H108" s="2196">
        <v>69</v>
      </c>
    </row>
    <row r="109" spans="2:8" ht="12" customHeight="1" thickBot="1" x14ac:dyDescent="0.25">
      <c r="B109" s="392" t="str">
        <f t="shared" si="2"/>
        <v>TSC Royal 78 Kaisermühlen 2</v>
      </c>
      <c r="C109" s="1441" t="str">
        <f t="shared" si="3"/>
        <v>TSC Royal 78 Kaisermühlen 2</v>
      </c>
      <c r="D109" s="1429">
        <v>103</v>
      </c>
      <c r="E109" s="1430" t="s">
        <v>2748</v>
      </c>
      <c r="F109" s="1582" t="s">
        <v>3741</v>
      </c>
      <c r="G109" s="1429" t="s">
        <v>988</v>
      </c>
      <c r="H109" s="2196">
        <v>68.5</v>
      </c>
    </row>
    <row r="110" spans="2:8" ht="12" customHeight="1" thickBot="1" x14ac:dyDescent="0.25">
      <c r="B110" s="392" t="str">
        <f t="shared" si="2"/>
        <v>Scarlet Battalion SC 2</v>
      </c>
      <c r="C110" s="1441" t="str">
        <f t="shared" si="3"/>
        <v>Scarlet Battalion SC 2</v>
      </c>
      <c r="D110" s="1429">
        <v>104</v>
      </c>
      <c r="E110" s="1430" t="s">
        <v>5309</v>
      </c>
      <c r="F110" s="1582" t="s">
        <v>3741</v>
      </c>
      <c r="G110" s="1429" t="s">
        <v>1025</v>
      </c>
      <c r="H110" s="2196">
        <v>67.5</v>
      </c>
    </row>
    <row r="111" spans="2:8" ht="12" customHeight="1" thickBot="1" x14ac:dyDescent="0.25">
      <c r="B111" s="392" t="str">
        <f t="shared" si="2"/>
        <v>Kent Invicta TFC 2</v>
      </c>
      <c r="C111" s="1441" t="str">
        <f t="shared" si="3"/>
        <v>Kent Invicta TFC 2</v>
      </c>
      <c r="D111" s="1429">
        <v>105</v>
      </c>
      <c r="E111" s="1430" t="s">
        <v>5304</v>
      </c>
      <c r="F111" s="1582" t="s">
        <v>3741</v>
      </c>
      <c r="G111" s="1429" t="s">
        <v>1013</v>
      </c>
      <c r="H111" s="2196">
        <v>66</v>
      </c>
    </row>
    <row r="112" spans="2:8" ht="12" customHeight="1" thickBot="1" x14ac:dyDescent="0.25">
      <c r="B112" s="392" t="str">
        <f t="shared" si="2"/>
        <v>Dutch Legends</v>
      </c>
      <c r="C112" s="1441" t="str">
        <f t="shared" si="3"/>
        <v>Dutch Legends</v>
      </c>
      <c r="D112" s="1429">
        <v>106</v>
      </c>
      <c r="E112" s="1430" t="s">
        <v>7184</v>
      </c>
      <c r="F112" s="1582" t="s">
        <v>3740</v>
      </c>
      <c r="G112" s="1429" t="s">
        <v>1051</v>
      </c>
      <c r="H112" s="2196">
        <v>65</v>
      </c>
    </row>
    <row r="113" spans="2:8" ht="12" customHeight="1" thickBot="1" x14ac:dyDescent="0.25">
      <c r="B113" s="392" t="str">
        <f t="shared" si="2"/>
        <v>Barcellona Calcio Tavolo 2</v>
      </c>
      <c r="C113" s="1441" t="str">
        <f t="shared" si="3"/>
        <v>Barcellona Calcio Tavolo 2</v>
      </c>
      <c r="D113" s="1429">
        <v>107</v>
      </c>
      <c r="E113" s="1430" t="s">
        <v>14879</v>
      </c>
      <c r="F113" s="1582" t="s">
        <v>3741</v>
      </c>
      <c r="G113" s="1429" t="s">
        <v>1037</v>
      </c>
      <c r="H113" s="2196">
        <v>63</v>
      </c>
    </row>
    <row r="114" spans="2:8" ht="12" customHeight="1" thickBot="1" x14ac:dyDescent="0.25">
      <c r="B114" s="392" t="str">
        <f t="shared" si="2"/>
        <v>Roligans Ilioupolis TSC 2</v>
      </c>
      <c r="C114" s="1441" t="str">
        <f t="shared" si="3"/>
        <v>Roligans Ilioupolis TSC 2</v>
      </c>
      <c r="D114" s="1429">
        <v>108</v>
      </c>
      <c r="E114" s="1430" t="s">
        <v>3213</v>
      </c>
      <c r="F114" s="1582" t="s">
        <v>3741</v>
      </c>
      <c r="G114" s="1429" t="s">
        <v>1025</v>
      </c>
      <c r="H114" s="2196">
        <v>61.5</v>
      </c>
    </row>
    <row r="115" spans="2:8" ht="12" customHeight="1" thickBot="1" x14ac:dyDescent="0.25">
      <c r="B115" s="392" t="str">
        <f t="shared" si="2"/>
        <v>SC Lion's Eugies 3</v>
      </c>
      <c r="C115" s="1441" t="str">
        <f t="shared" si="3"/>
        <v>SC Lion's Eugies 3</v>
      </c>
      <c r="D115" s="1429">
        <v>109</v>
      </c>
      <c r="E115" s="1430" t="s">
        <v>5301</v>
      </c>
      <c r="F115" s="1582" t="s">
        <v>14999</v>
      </c>
      <c r="G115" s="1429" t="s">
        <v>990</v>
      </c>
      <c r="H115" s="2196">
        <v>61</v>
      </c>
    </row>
    <row r="116" spans="2:8" ht="12" customHeight="1" thickBot="1" x14ac:dyDescent="0.25">
      <c r="B116" s="392" t="str">
        <f t="shared" si="2"/>
        <v>Glyfada United TSC</v>
      </c>
      <c r="C116" s="1441" t="str">
        <f t="shared" si="3"/>
        <v>Glyfada United TSC</v>
      </c>
      <c r="D116" s="1429">
        <v>110</v>
      </c>
      <c r="E116" s="1430" t="s">
        <v>2760</v>
      </c>
      <c r="F116" s="1582" t="s">
        <v>3740</v>
      </c>
      <c r="G116" s="1429" t="s">
        <v>1025</v>
      </c>
      <c r="H116" s="2196">
        <v>60.5</v>
      </c>
    </row>
    <row r="117" spans="2:8" ht="12" customHeight="1" thickBot="1" x14ac:dyDescent="0.25">
      <c r="B117" s="392" t="str">
        <f t="shared" si="2"/>
        <v>Glasgow TSA 2</v>
      </c>
      <c r="C117" s="1441" t="str">
        <f t="shared" si="3"/>
        <v>Glasgow TSA 2</v>
      </c>
      <c r="D117" s="1429">
        <v>111</v>
      </c>
      <c r="E117" s="1430" t="s">
        <v>2771</v>
      </c>
      <c r="F117" s="1582" t="s">
        <v>3741</v>
      </c>
      <c r="G117" s="1429" t="s">
        <v>1069</v>
      </c>
      <c r="H117" s="2196">
        <v>60</v>
      </c>
    </row>
    <row r="118" spans="2:8" ht="12" customHeight="1" thickBot="1" x14ac:dyDescent="0.25">
      <c r="B118" s="392" t="str">
        <f t="shared" si="2"/>
        <v>Subbuteo Club Labronico</v>
      </c>
      <c r="C118" s="1441" t="str">
        <f t="shared" si="3"/>
        <v>Subbuteo Club Labronico</v>
      </c>
      <c r="D118" s="1429">
        <v>112</v>
      </c>
      <c r="E118" s="1430" t="s">
        <v>13477</v>
      </c>
      <c r="F118" s="1582" t="s">
        <v>3740</v>
      </c>
      <c r="G118" s="1429" t="s">
        <v>1037</v>
      </c>
      <c r="H118" s="2196">
        <v>54</v>
      </c>
    </row>
    <row r="119" spans="2:8" ht="12" customHeight="1" thickBot="1" x14ac:dyDescent="0.25">
      <c r="B119" s="392" t="str">
        <f t="shared" si="2"/>
        <v>Athinaikos CS 2</v>
      </c>
      <c r="C119" s="1441" t="str">
        <f t="shared" si="3"/>
        <v>Athinaikos CS 2</v>
      </c>
      <c r="D119" s="1429">
        <v>113</v>
      </c>
      <c r="E119" s="1430" t="s">
        <v>10251</v>
      </c>
      <c r="F119" s="1582" t="s">
        <v>3741</v>
      </c>
      <c r="G119" s="1429" t="s">
        <v>1025</v>
      </c>
      <c r="H119" s="2196">
        <v>53.5</v>
      </c>
    </row>
    <row r="120" spans="2:8" ht="12" customHeight="1" thickBot="1" x14ac:dyDescent="0.25">
      <c r="B120" s="392" t="str">
        <f t="shared" si="2"/>
        <v>FTC Issy-les-Moulineaux 2</v>
      </c>
      <c r="C120" s="1441" t="str">
        <f t="shared" si="3"/>
        <v>FTC Issy-les-Moulineaux 2</v>
      </c>
      <c r="D120" s="1429">
        <v>114</v>
      </c>
      <c r="E120" s="1430" t="s">
        <v>2754</v>
      </c>
      <c r="F120" s="1582" t="s">
        <v>3741</v>
      </c>
      <c r="G120" s="1429" t="s">
        <v>1019</v>
      </c>
      <c r="H120" s="2196">
        <v>52</v>
      </c>
    </row>
    <row r="121" spans="2:8" ht="12" customHeight="1" thickBot="1" x14ac:dyDescent="0.25">
      <c r="B121" s="392" t="str">
        <f t="shared" si="2"/>
        <v>Celtic Combourg CFT</v>
      </c>
      <c r="C121" s="1441" t="str">
        <f t="shared" si="3"/>
        <v>Celtic Combourg CFT</v>
      </c>
      <c r="D121" s="1429">
        <v>115</v>
      </c>
      <c r="E121" s="1430" t="s">
        <v>2796</v>
      </c>
      <c r="F121" s="1582" t="s">
        <v>3740</v>
      </c>
      <c r="G121" s="1429" t="s">
        <v>1019</v>
      </c>
      <c r="H121" s="2196">
        <v>51</v>
      </c>
    </row>
    <row r="122" spans="2:8" ht="12" customHeight="1" thickBot="1" x14ac:dyDescent="0.25">
      <c r="B122" s="392" t="str">
        <f t="shared" si="2"/>
        <v>ASCT Sessana 1982</v>
      </c>
      <c r="C122" s="1441" t="str">
        <f t="shared" si="3"/>
        <v>ASCT Sessana 1982</v>
      </c>
      <c r="D122" s="1429">
        <v>116</v>
      </c>
      <c r="E122" s="1430" t="s">
        <v>433</v>
      </c>
      <c r="F122" s="1582" t="s">
        <v>3740</v>
      </c>
      <c r="G122" s="1429" t="s">
        <v>1037</v>
      </c>
      <c r="H122" s="2196">
        <v>48</v>
      </c>
    </row>
    <row r="123" spans="2:8" ht="12" customHeight="1" thickBot="1" x14ac:dyDescent="0.25">
      <c r="B123" s="392" t="str">
        <f t="shared" si="2"/>
        <v>Bormla SC 2</v>
      </c>
      <c r="C123" s="1441" t="str">
        <f t="shared" si="3"/>
        <v>Bormla SC 2</v>
      </c>
      <c r="D123" s="1429">
        <v>116</v>
      </c>
      <c r="E123" s="1430" t="s">
        <v>10253</v>
      </c>
      <c r="F123" s="1582" t="s">
        <v>3741</v>
      </c>
      <c r="G123" s="1429" t="s">
        <v>1045</v>
      </c>
      <c r="H123" s="2196">
        <v>48</v>
      </c>
    </row>
    <row r="124" spans="2:8" ht="12" customHeight="1" thickBot="1" x14ac:dyDescent="0.25">
      <c r="B124" s="392" t="str">
        <f t="shared" si="2"/>
        <v>Wolverhampton Table Football Club 2</v>
      </c>
      <c r="C124" s="1441" t="str">
        <f t="shared" si="3"/>
        <v>Wolverhampton Table Football Club 2</v>
      </c>
      <c r="D124" s="1429">
        <v>118</v>
      </c>
      <c r="E124" s="1430" t="s">
        <v>14399</v>
      </c>
      <c r="F124" s="1582" t="s">
        <v>3741</v>
      </c>
      <c r="G124" s="1429" t="s">
        <v>1013</v>
      </c>
      <c r="H124" s="2196">
        <v>42</v>
      </c>
    </row>
    <row r="125" spans="2:8" ht="12" customHeight="1" thickBot="1" x14ac:dyDescent="0.25">
      <c r="B125" s="392" t="str">
        <f t="shared" si="2"/>
        <v>Atletico Pisa</v>
      </c>
      <c r="C125" s="1441" t="str">
        <f t="shared" si="3"/>
        <v>Atletico Pisa</v>
      </c>
      <c r="D125" s="1429">
        <v>118</v>
      </c>
      <c r="E125" s="1430" t="s">
        <v>11328</v>
      </c>
      <c r="F125" s="1582" t="s">
        <v>3740</v>
      </c>
      <c r="G125" s="1429" t="s">
        <v>1037</v>
      </c>
      <c r="H125" s="2196">
        <v>42</v>
      </c>
    </row>
    <row r="126" spans="2:8" ht="12" customHeight="1" thickBot="1" x14ac:dyDescent="0.25">
      <c r="B126" s="392" t="str">
        <f t="shared" si="2"/>
        <v>Derry City</v>
      </c>
      <c r="C126" s="1441" t="str">
        <f t="shared" si="3"/>
        <v>Derry City</v>
      </c>
      <c r="D126" s="1429">
        <v>120</v>
      </c>
      <c r="E126" s="1430" t="s">
        <v>9598</v>
      </c>
      <c r="F126" s="1582" t="s">
        <v>3740</v>
      </c>
      <c r="G126" s="1429" t="s">
        <v>1055</v>
      </c>
      <c r="H126" s="2196">
        <v>40.5</v>
      </c>
    </row>
    <row r="127" spans="2:8" ht="12" customHeight="1" thickBot="1" x14ac:dyDescent="0.25">
      <c r="B127" s="392" t="str">
        <f t="shared" si="2"/>
        <v>Asd Ct Aosta Warriors</v>
      </c>
      <c r="C127" s="1441" t="str">
        <f t="shared" si="3"/>
        <v>Asd Ct Aosta Warriors</v>
      </c>
      <c r="D127" s="1429">
        <v>121</v>
      </c>
      <c r="E127" s="1430" t="s">
        <v>13594</v>
      </c>
      <c r="F127" s="1582" t="s">
        <v>3740</v>
      </c>
      <c r="G127" s="1429" t="s">
        <v>1037</v>
      </c>
      <c r="H127" s="2196">
        <v>37.5</v>
      </c>
    </row>
    <row r="128" spans="2:8" ht="12" customHeight="1" thickBot="1" x14ac:dyDescent="0.25">
      <c r="B128" s="392" t="str">
        <f t="shared" si="2"/>
        <v>SC Ascoli</v>
      </c>
      <c r="C128" s="1441" t="str">
        <f t="shared" si="3"/>
        <v>SC Ascoli</v>
      </c>
      <c r="D128" s="1429">
        <v>122</v>
      </c>
      <c r="E128" s="1430" t="s">
        <v>2761</v>
      </c>
      <c r="F128" s="1582" t="s">
        <v>3740</v>
      </c>
      <c r="G128" s="1429" t="s">
        <v>1037</v>
      </c>
      <c r="H128" s="2196">
        <v>36</v>
      </c>
    </row>
    <row r="129" spans="2:8" ht="12" customHeight="1" thickBot="1" x14ac:dyDescent="0.25">
      <c r="B129" s="392" t="str">
        <f t="shared" si="2"/>
        <v>CS Virtus Rieti 2</v>
      </c>
      <c r="C129" s="1441" t="str">
        <f t="shared" si="3"/>
        <v>CS Virtus Rieti 2</v>
      </c>
      <c r="D129" s="1429">
        <v>122</v>
      </c>
      <c r="E129" s="1430" t="s">
        <v>15245</v>
      </c>
      <c r="F129" s="1582" t="s">
        <v>3741</v>
      </c>
      <c r="G129" s="1429" t="s">
        <v>1037</v>
      </c>
      <c r="H129" s="2196">
        <v>36</v>
      </c>
    </row>
    <row r="130" spans="2:8" ht="12" customHeight="1" thickBot="1" x14ac:dyDescent="0.25">
      <c r="B130" s="392" t="str">
        <f t="shared" si="2"/>
        <v>Avenir Subbuteo Hennuyer 4</v>
      </c>
      <c r="C130" s="1441" t="str">
        <f t="shared" si="3"/>
        <v>Avenir Subbuteo Hennuyer 4</v>
      </c>
      <c r="D130" s="1429">
        <v>124</v>
      </c>
      <c r="E130" s="1430" t="s">
        <v>13519</v>
      </c>
      <c r="F130" s="1582" t="s">
        <v>15000</v>
      </c>
      <c r="G130" s="1429" t="s">
        <v>990</v>
      </c>
      <c r="H130" s="2196">
        <v>34</v>
      </c>
    </row>
    <row r="131" spans="2:8" ht="12" customHeight="1" thickBot="1" x14ac:dyDescent="0.25">
      <c r="B131" s="392" t="str">
        <f t="shared" si="2"/>
        <v>CT Torino 2009</v>
      </c>
      <c r="C131" s="1441" t="str">
        <f t="shared" si="3"/>
        <v>CT Torino 2009</v>
      </c>
      <c r="D131" s="1429">
        <v>125</v>
      </c>
      <c r="E131" s="1430" t="s">
        <v>2787</v>
      </c>
      <c r="F131" s="1582" t="s">
        <v>3740</v>
      </c>
      <c r="G131" s="1429" t="s">
        <v>1037</v>
      </c>
      <c r="H131" s="2196">
        <v>33</v>
      </c>
    </row>
    <row r="132" spans="2:8" ht="12" customHeight="1" thickBot="1" x14ac:dyDescent="0.25">
      <c r="B132" s="392" t="str">
        <f t="shared" si="2"/>
        <v>SG '94 Hannover</v>
      </c>
      <c r="C132" s="1441" t="str">
        <f t="shared" si="3"/>
        <v>SG '94 Hannover</v>
      </c>
      <c r="D132" s="1429">
        <v>125</v>
      </c>
      <c r="E132" s="1430" t="s">
        <v>11409</v>
      </c>
      <c r="F132" s="1582" t="s">
        <v>3740</v>
      </c>
      <c r="G132" s="1429" t="s">
        <v>1021</v>
      </c>
      <c r="H132" s="2196">
        <v>33</v>
      </c>
    </row>
    <row r="133" spans="2:8" ht="12" customHeight="1" thickBot="1" x14ac:dyDescent="0.25">
      <c r="B133" s="392" t="str">
        <f t="shared" si="2"/>
        <v>Roligans Ilioupolis TSC 3</v>
      </c>
      <c r="C133" s="1441" t="str">
        <f t="shared" si="3"/>
        <v>Roligans Ilioupolis TSC 3</v>
      </c>
      <c r="D133" s="1429">
        <v>127</v>
      </c>
      <c r="E133" s="1430" t="s">
        <v>3213</v>
      </c>
      <c r="F133" s="1582" t="s">
        <v>14999</v>
      </c>
      <c r="G133" s="1429" t="s">
        <v>1025</v>
      </c>
      <c r="H133" s="2196">
        <v>32.5</v>
      </c>
    </row>
    <row r="134" spans="2:8" ht="12" customHeight="1" thickBot="1" x14ac:dyDescent="0.25">
      <c r="B134" s="392" t="str">
        <f t="shared" si="2"/>
        <v>Racing White Woluwé Subbuteo</v>
      </c>
      <c r="C134" s="1441" t="str">
        <f t="shared" si="3"/>
        <v>Racing White Woluwé Subbuteo</v>
      </c>
      <c r="D134" s="1429">
        <v>128</v>
      </c>
      <c r="E134" s="1430" t="s">
        <v>15816</v>
      </c>
      <c r="F134" s="1582" t="s">
        <v>3740</v>
      </c>
      <c r="G134" s="1429" t="s">
        <v>990</v>
      </c>
      <c r="H134" s="2196">
        <v>31</v>
      </c>
    </row>
    <row r="135" spans="2:8" ht="12" customHeight="1" thickBot="1" x14ac:dyDescent="0.25">
      <c r="B135" s="392" t="str">
        <f t="shared" si="2"/>
        <v>SC Stradivari Cremona</v>
      </c>
      <c r="C135" s="1441" t="str">
        <f t="shared" si="3"/>
        <v>SC Stradivari Cremona</v>
      </c>
      <c r="D135" s="1429">
        <v>128</v>
      </c>
      <c r="E135" s="1430" t="s">
        <v>2780</v>
      </c>
      <c r="F135" s="1582" t="s">
        <v>3740</v>
      </c>
      <c r="G135" s="1429" t="s">
        <v>1037</v>
      </c>
      <c r="H135" s="2196">
        <v>31</v>
      </c>
    </row>
    <row r="136" spans="2:8" ht="12" customHeight="1" thickBot="1" x14ac:dyDescent="0.25">
      <c r="B136" s="392" t="str">
        <f t="shared" ref="B136:B199" si="4">C136</f>
        <v>Olympia CS 3</v>
      </c>
      <c r="C136" s="1441" t="str">
        <f t="shared" ref="C136:C199" si="5">IF(E136="","",E136&amp;IF(RIGHT(F136,1)="A",""," "&amp;CODE(RIGHT(F136,1))-CODE("A")+1))</f>
        <v>Olympia CS 3</v>
      </c>
      <c r="D136" s="1429">
        <v>128</v>
      </c>
      <c r="E136" s="1430" t="s">
        <v>10246</v>
      </c>
      <c r="F136" s="1582" t="s">
        <v>14999</v>
      </c>
      <c r="G136" s="1429" t="s">
        <v>1025</v>
      </c>
      <c r="H136" s="2196">
        <v>31</v>
      </c>
    </row>
    <row r="137" spans="2:8" ht="12" customHeight="1" thickBot="1" x14ac:dyDescent="0.25">
      <c r="B137" s="392" t="str">
        <f t="shared" si="4"/>
        <v>AFT Turia 1981 2</v>
      </c>
      <c r="C137" s="1441" t="str">
        <f t="shared" si="5"/>
        <v>AFT Turia 1981 2</v>
      </c>
      <c r="D137" s="1429">
        <v>131</v>
      </c>
      <c r="E137" s="1430" t="s">
        <v>7869</v>
      </c>
      <c r="F137" s="1582" t="s">
        <v>3741</v>
      </c>
      <c r="G137" s="1429" t="s">
        <v>1015</v>
      </c>
      <c r="H137" s="2196">
        <v>30</v>
      </c>
    </row>
    <row r="138" spans="2:8" ht="12" customHeight="1" thickBot="1" x14ac:dyDescent="0.25">
      <c r="B138" s="392" t="str">
        <f t="shared" si="4"/>
        <v>Bologna Tigers Subbuteo 2</v>
      </c>
      <c r="C138" s="1441" t="str">
        <f t="shared" si="5"/>
        <v>Bologna Tigers Subbuteo 2</v>
      </c>
      <c r="D138" s="1429">
        <v>131</v>
      </c>
      <c r="E138" s="1430" t="s">
        <v>2749</v>
      </c>
      <c r="F138" s="1582" t="s">
        <v>3741</v>
      </c>
      <c r="G138" s="1429" t="s">
        <v>1037</v>
      </c>
      <c r="H138" s="2196">
        <v>30</v>
      </c>
    </row>
    <row r="139" spans="2:8" ht="12" customHeight="1" thickBot="1" x14ac:dyDescent="0.25">
      <c r="B139" s="392" t="str">
        <f t="shared" si="4"/>
        <v>Roligans Ilioupolis TSC 4</v>
      </c>
      <c r="C139" s="1441" t="str">
        <f t="shared" si="5"/>
        <v>Roligans Ilioupolis TSC 4</v>
      </c>
      <c r="D139" s="1429">
        <v>131</v>
      </c>
      <c r="E139" s="1430" t="s">
        <v>3213</v>
      </c>
      <c r="F139" s="1582" t="s">
        <v>15000</v>
      </c>
      <c r="G139" s="1429" t="s">
        <v>1025</v>
      </c>
      <c r="H139" s="2196">
        <v>30</v>
      </c>
    </row>
    <row r="140" spans="2:8" ht="12" customHeight="1" thickBot="1" x14ac:dyDescent="0.25">
      <c r="B140" s="392" t="str">
        <f t="shared" si="4"/>
        <v>Barcelona FT 2</v>
      </c>
      <c r="C140" s="1441" t="str">
        <f t="shared" si="5"/>
        <v>Barcelona FT 2</v>
      </c>
      <c r="D140" s="1429">
        <v>131</v>
      </c>
      <c r="E140" s="1430" t="s">
        <v>2783</v>
      </c>
      <c r="F140" s="1582" t="s">
        <v>3741</v>
      </c>
      <c r="G140" s="1429" t="s">
        <v>1015</v>
      </c>
      <c r="H140" s="2196">
        <v>30</v>
      </c>
    </row>
    <row r="141" spans="2:8" ht="12" customHeight="1" thickBot="1" x14ac:dyDescent="0.25">
      <c r="B141" s="392" t="str">
        <f t="shared" si="4"/>
        <v>SC Lion's Eugies 4</v>
      </c>
      <c r="C141" s="1441" t="str">
        <f t="shared" si="5"/>
        <v>SC Lion's Eugies 4</v>
      </c>
      <c r="D141" s="1429">
        <v>135</v>
      </c>
      <c r="E141" s="1430" t="s">
        <v>5301</v>
      </c>
      <c r="F141" s="1582" t="s">
        <v>15000</v>
      </c>
      <c r="G141" s="1429" t="s">
        <v>990</v>
      </c>
      <c r="H141" s="2196">
        <v>29</v>
      </c>
    </row>
    <row r="142" spans="2:8" ht="12" customHeight="1" thickBot="1" x14ac:dyDescent="0.25">
      <c r="B142" s="392" t="str">
        <f t="shared" si="4"/>
        <v>Tiburones FM 3</v>
      </c>
      <c r="C142" s="1441" t="str">
        <f t="shared" si="5"/>
        <v>Tiburones FM 3</v>
      </c>
      <c r="D142" s="1429">
        <v>135</v>
      </c>
      <c r="E142" s="1430" t="s">
        <v>2755</v>
      </c>
      <c r="F142" s="1582" t="s">
        <v>14999</v>
      </c>
      <c r="G142" s="1429" t="s">
        <v>1015</v>
      </c>
      <c r="H142" s="2196">
        <v>29</v>
      </c>
    </row>
    <row r="143" spans="2:8" ht="12" customHeight="1" thickBot="1" x14ac:dyDescent="0.25">
      <c r="B143" s="392" t="str">
        <f t="shared" si="4"/>
        <v>Crimson Horses 2</v>
      </c>
      <c r="C143" s="1441" t="str">
        <f t="shared" si="5"/>
        <v>Crimson Horses 2</v>
      </c>
      <c r="D143" s="1429">
        <v>137</v>
      </c>
      <c r="E143" s="1430" t="s">
        <v>15175</v>
      </c>
      <c r="F143" s="1582" t="s">
        <v>3741</v>
      </c>
      <c r="G143" s="1429" t="s">
        <v>1025</v>
      </c>
      <c r="H143" s="2196">
        <v>28</v>
      </c>
    </row>
    <row r="144" spans="2:8" ht="12" customHeight="1" thickBot="1" x14ac:dyDescent="0.25">
      <c r="B144" s="392" t="str">
        <f t="shared" si="4"/>
        <v>Ves Gentes</v>
      </c>
      <c r="C144" s="1441" t="str">
        <f t="shared" si="5"/>
        <v>Ves Gentes</v>
      </c>
      <c r="D144" s="1429">
        <v>138</v>
      </c>
      <c r="E144" s="1430" t="s">
        <v>11327</v>
      </c>
      <c r="F144" s="1582" t="s">
        <v>3740</v>
      </c>
      <c r="G144" s="1429" t="s">
        <v>1037</v>
      </c>
      <c r="H144" s="2196">
        <v>27</v>
      </c>
    </row>
    <row r="145" spans="2:8" ht="12" customHeight="1" thickBot="1" x14ac:dyDescent="0.25">
      <c r="B145" s="392" t="str">
        <f t="shared" si="4"/>
        <v>Trento Subbuteo</v>
      </c>
      <c r="C145" s="1441" t="str">
        <f t="shared" si="5"/>
        <v>Trento Subbuteo</v>
      </c>
      <c r="D145" s="1429">
        <v>138</v>
      </c>
      <c r="E145" s="1430" t="s">
        <v>5551</v>
      </c>
      <c r="F145" s="1582" t="s">
        <v>3740</v>
      </c>
      <c r="G145" s="1429" t="s">
        <v>1037</v>
      </c>
      <c r="H145" s="2196">
        <v>27</v>
      </c>
    </row>
    <row r="146" spans="2:8" ht="12" customHeight="1" thickBot="1" x14ac:dyDescent="0.25">
      <c r="B146" s="392" t="str">
        <f t="shared" si="4"/>
        <v>Wamme SC 2</v>
      </c>
      <c r="C146" s="1441" t="str">
        <f t="shared" si="5"/>
        <v>Wamme SC 2</v>
      </c>
      <c r="D146" s="1429">
        <v>140</v>
      </c>
      <c r="E146" s="1430" t="s">
        <v>10252</v>
      </c>
      <c r="F146" s="1582" t="s">
        <v>3741</v>
      </c>
      <c r="G146" s="1429" t="s">
        <v>990</v>
      </c>
      <c r="H146" s="2196">
        <v>24</v>
      </c>
    </row>
    <row r="147" spans="2:8" ht="12" customHeight="1" thickBot="1" x14ac:dyDescent="0.25">
      <c r="B147" s="392" t="str">
        <f t="shared" si="4"/>
        <v>Papata Group Ponticino</v>
      </c>
      <c r="C147" s="1441" t="str">
        <f t="shared" si="5"/>
        <v>Papata Group Ponticino</v>
      </c>
      <c r="D147" s="1429">
        <v>140</v>
      </c>
      <c r="E147" s="1430" t="s">
        <v>2782</v>
      </c>
      <c r="F147" s="1582" t="s">
        <v>3740</v>
      </c>
      <c r="G147" s="1429" t="s">
        <v>1037</v>
      </c>
      <c r="H147" s="2196">
        <v>24</v>
      </c>
    </row>
    <row r="148" spans="2:8" ht="12" customHeight="1" thickBot="1" x14ac:dyDescent="0.25">
      <c r="B148" s="392" t="str">
        <f t="shared" si="4"/>
        <v>FTC Caen 3</v>
      </c>
      <c r="C148" s="1441" t="str">
        <f t="shared" si="5"/>
        <v>FTC Caen 3</v>
      </c>
      <c r="D148" s="1429">
        <v>140</v>
      </c>
      <c r="E148" s="1430" t="s">
        <v>2893</v>
      </c>
      <c r="F148" s="1582" t="s">
        <v>14999</v>
      </c>
      <c r="G148" s="1429" t="s">
        <v>1019</v>
      </c>
      <c r="H148" s="2196">
        <v>24</v>
      </c>
    </row>
    <row r="149" spans="2:8" ht="12" customHeight="1" thickBot="1" x14ac:dyDescent="0.25">
      <c r="B149" s="392" t="str">
        <f t="shared" si="4"/>
        <v>Cardiff Bluebirds TFC</v>
      </c>
      <c r="C149" s="1441" t="str">
        <f t="shared" si="5"/>
        <v>Cardiff Bluebirds TFC</v>
      </c>
      <c r="D149" s="1429">
        <v>140</v>
      </c>
      <c r="E149" s="1430" t="s">
        <v>10260</v>
      </c>
      <c r="F149" s="1582" t="s">
        <v>3740</v>
      </c>
      <c r="G149" s="1429" t="s">
        <v>1083</v>
      </c>
      <c r="H149" s="2196">
        <v>24</v>
      </c>
    </row>
    <row r="150" spans="2:8" ht="12" customHeight="1" thickBot="1" x14ac:dyDescent="0.25">
      <c r="B150" s="392" t="str">
        <f t="shared" si="4"/>
        <v>AC Los Remedios FM</v>
      </c>
      <c r="C150" s="1441" t="str">
        <f t="shared" si="5"/>
        <v>AC Los Remedios FM</v>
      </c>
      <c r="D150" s="1429">
        <v>144</v>
      </c>
      <c r="E150" s="1430" t="s">
        <v>7304</v>
      </c>
      <c r="F150" s="1582" t="s">
        <v>3740</v>
      </c>
      <c r="G150" s="1429" t="s">
        <v>1015</v>
      </c>
      <c r="H150" s="2196">
        <v>23</v>
      </c>
    </row>
    <row r="151" spans="2:8" ht="12" customHeight="1" thickBot="1" x14ac:dyDescent="0.25">
      <c r="B151" s="392" t="str">
        <f t="shared" si="4"/>
        <v>AS Cosenza 2</v>
      </c>
      <c r="C151" s="1441" t="str">
        <f t="shared" si="5"/>
        <v>AS Cosenza 2</v>
      </c>
      <c r="D151" s="1429">
        <v>145</v>
      </c>
      <c r="E151" s="1430" t="s">
        <v>10271</v>
      </c>
      <c r="F151" s="1582" t="s">
        <v>3741</v>
      </c>
      <c r="G151" s="1429" t="s">
        <v>1037</v>
      </c>
      <c r="H151" s="2196">
        <v>22</v>
      </c>
    </row>
    <row r="152" spans="2:8" ht="12" customHeight="1" thickBot="1" x14ac:dyDescent="0.25">
      <c r="B152" s="392" t="str">
        <f t="shared" si="4"/>
        <v>ASD SC Salernitana 2</v>
      </c>
      <c r="C152" s="1441" t="str">
        <f t="shared" si="5"/>
        <v>ASD SC Salernitana 2</v>
      </c>
      <c r="D152" s="1429">
        <v>145</v>
      </c>
      <c r="E152" s="1430" t="s">
        <v>5311</v>
      </c>
      <c r="F152" s="1582" t="s">
        <v>3741</v>
      </c>
      <c r="G152" s="1429" t="s">
        <v>1037</v>
      </c>
      <c r="H152" s="2196">
        <v>22</v>
      </c>
    </row>
    <row r="153" spans="2:8" ht="12" customHeight="1" thickBot="1" x14ac:dyDescent="0.25">
      <c r="B153" s="392" t="str">
        <f t="shared" si="4"/>
        <v>Valletta Lions TFC 2</v>
      </c>
      <c r="C153" s="1441" t="str">
        <f t="shared" si="5"/>
        <v>Valletta Lions TFC 2</v>
      </c>
      <c r="D153" s="1429">
        <v>147</v>
      </c>
      <c r="E153" s="1430" t="s">
        <v>5317</v>
      </c>
      <c r="F153" s="1582" t="s">
        <v>3741</v>
      </c>
      <c r="G153" s="1429" t="s">
        <v>1045</v>
      </c>
      <c r="H153" s="2196">
        <v>21</v>
      </c>
    </row>
    <row r="154" spans="2:8" ht="12" customHeight="1" thickBot="1" x14ac:dyDescent="0.25">
      <c r="B154" s="392" t="str">
        <f t="shared" si="4"/>
        <v>Messina Table Soccer 2</v>
      </c>
      <c r="C154" s="1441" t="str">
        <f t="shared" si="5"/>
        <v>Messina Table Soccer 2</v>
      </c>
      <c r="D154" s="1429">
        <v>148</v>
      </c>
      <c r="E154" s="1430" t="s">
        <v>13593</v>
      </c>
      <c r="F154" s="1582" t="s">
        <v>3741</v>
      </c>
      <c r="G154" s="1429" t="s">
        <v>1037</v>
      </c>
      <c r="H154" s="2196">
        <v>20</v>
      </c>
    </row>
    <row r="155" spans="2:8" ht="12" customHeight="1" thickBot="1" x14ac:dyDescent="0.25">
      <c r="B155" s="392" t="str">
        <f t="shared" si="4"/>
        <v>Evia CAN</v>
      </c>
      <c r="C155" s="1441" t="str">
        <f t="shared" si="5"/>
        <v>Evia CAN</v>
      </c>
      <c r="D155" s="1429">
        <v>149</v>
      </c>
      <c r="E155" s="1430" t="s">
        <v>14596</v>
      </c>
      <c r="F155" s="1582" t="s">
        <v>3740</v>
      </c>
      <c r="G155" s="1429" t="s">
        <v>1025</v>
      </c>
      <c r="H155" s="2196">
        <v>19</v>
      </c>
    </row>
    <row r="156" spans="2:8" ht="12" customHeight="1" thickBot="1" x14ac:dyDescent="0.25">
      <c r="B156" s="392" t="str">
        <f t="shared" si="4"/>
        <v>CS Firenze</v>
      </c>
      <c r="C156" s="1441" t="str">
        <f t="shared" si="5"/>
        <v>CS Firenze</v>
      </c>
      <c r="D156" s="1429">
        <v>150</v>
      </c>
      <c r="E156" s="1430" t="s">
        <v>2784</v>
      </c>
      <c r="F156" s="1582" t="s">
        <v>3740</v>
      </c>
      <c r="G156" s="1429" t="s">
        <v>1037</v>
      </c>
      <c r="H156" s="2196">
        <v>18</v>
      </c>
    </row>
    <row r="157" spans="2:8" ht="12" customHeight="1" thickBot="1" x14ac:dyDescent="0.25">
      <c r="B157" s="392" t="str">
        <f t="shared" si="4"/>
        <v>Paris Université Club</v>
      </c>
      <c r="C157" s="1441" t="str">
        <f t="shared" si="5"/>
        <v>Paris Université Club</v>
      </c>
      <c r="D157" s="1429">
        <v>150</v>
      </c>
      <c r="E157" s="1430" t="s">
        <v>15269</v>
      </c>
      <c r="F157" s="1582" t="s">
        <v>3740</v>
      </c>
      <c r="G157" s="1429" t="s">
        <v>1019</v>
      </c>
      <c r="H157" s="2196">
        <v>18</v>
      </c>
    </row>
    <row r="158" spans="2:8" ht="12" customHeight="1" thickBot="1" x14ac:dyDescent="0.25">
      <c r="B158" s="392" t="str">
        <f t="shared" si="4"/>
        <v>AS Cosenza 3</v>
      </c>
      <c r="C158" s="1441" t="str">
        <f t="shared" si="5"/>
        <v>AS Cosenza 3</v>
      </c>
      <c r="D158" s="1429">
        <v>152</v>
      </c>
      <c r="E158" s="1430" t="s">
        <v>10271</v>
      </c>
      <c r="F158" s="1582" t="s">
        <v>14999</v>
      </c>
      <c r="G158" s="1429" t="s">
        <v>1037</v>
      </c>
      <c r="H158" s="2196">
        <v>16</v>
      </c>
    </row>
    <row r="159" spans="2:8" ht="12" customHeight="1" thickBot="1" x14ac:dyDescent="0.25">
      <c r="B159" s="392" t="str">
        <f t="shared" si="4"/>
        <v>TSC Phoenix 2</v>
      </c>
      <c r="C159" s="1441" t="str">
        <f t="shared" si="5"/>
        <v>TSC Phoenix 2</v>
      </c>
      <c r="D159" s="1429">
        <v>153</v>
      </c>
      <c r="E159" s="1430" t="s">
        <v>8871</v>
      </c>
      <c r="F159" s="1582" t="s">
        <v>3741</v>
      </c>
      <c r="G159" s="1429" t="s">
        <v>988</v>
      </c>
      <c r="H159" s="2196">
        <v>15.5</v>
      </c>
    </row>
    <row r="160" spans="2:8" ht="12" customHeight="1" thickBot="1" x14ac:dyDescent="0.25">
      <c r="B160" s="392" t="str">
        <f t="shared" si="4"/>
        <v>SC Palermo 2016</v>
      </c>
      <c r="C160" s="1441" t="str">
        <f t="shared" si="5"/>
        <v>SC Palermo 2016</v>
      </c>
      <c r="D160" s="1429">
        <v>154</v>
      </c>
      <c r="E160" s="1430" t="s">
        <v>9700</v>
      </c>
      <c r="F160" s="1582" t="s">
        <v>3740</v>
      </c>
      <c r="G160" s="1429" t="s">
        <v>1037</v>
      </c>
      <c r="H160" s="2196">
        <v>15</v>
      </c>
    </row>
    <row r="161" spans="2:8" ht="12" customHeight="1" thickBot="1" x14ac:dyDescent="0.25">
      <c r="B161" s="392" t="str">
        <f t="shared" si="4"/>
        <v>Bulldogs Vicenza</v>
      </c>
      <c r="C161" s="1441" t="str">
        <f t="shared" si="5"/>
        <v>Bulldogs Vicenza</v>
      </c>
      <c r="D161" s="1429">
        <v>154</v>
      </c>
      <c r="E161" s="1430" t="s">
        <v>7878</v>
      </c>
      <c r="F161" s="1582" t="s">
        <v>3740</v>
      </c>
      <c r="G161" s="1429" t="s">
        <v>1037</v>
      </c>
      <c r="H161" s="2196">
        <v>15</v>
      </c>
    </row>
    <row r="162" spans="2:8" ht="12" customHeight="1" thickBot="1" x14ac:dyDescent="0.25">
      <c r="B162" s="392" t="str">
        <f t="shared" si="4"/>
        <v>TSC Royal 78 Kaisermühlen 3</v>
      </c>
      <c r="C162" s="1441" t="str">
        <f t="shared" si="5"/>
        <v>TSC Royal 78 Kaisermühlen 3</v>
      </c>
      <c r="D162" s="1429">
        <v>156</v>
      </c>
      <c r="E162" s="1430" t="s">
        <v>2748</v>
      </c>
      <c r="F162" s="1582" t="s">
        <v>14999</v>
      </c>
      <c r="G162" s="1429" t="s">
        <v>988</v>
      </c>
      <c r="H162" s="2196">
        <v>13</v>
      </c>
    </row>
    <row r="163" spans="2:8" ht="12" customHeight="1" thickBot="1" x14ac:dyDescent="0.25">
      <c r="B163" s="392" t="str">
        <f t="shared" si="4"/>
        <v>Mallorca Águilas FM 2</v>
      </c>
      <c r="C163" s="1441" t="str">
        <f t="shared" si="5"/>
        <v>Mallorca Águilas FM 2</v>
      </c>
      <c r="D163" s="1429">
        <v>156</v>
      </c>
      <c r="E163" s="1430" t="s">
        <v>2774</v>
      </c>
      <c r="F163" s="1582" t="s">
        <v>3741</v>
      </c>
      <c r="G163" s="1429" t="s">
        <v>1015</v>
      </c>
      <c r="H163" s="2196">
        <v>13</v>
      </c>
    </row>
    <row r="164" spans="2:8" ht="12" customHeight="1" thickBot="1" x14ac:dyDescent="0.25">
      <c r="B164" s="392" t="str">
        <f t="shared" si="4"/>
        <v>FTC Saint-Symphorien-sur-Coise 2</v>
      </c>
      <c r="C164" s="1441" t="str">
        <f t="shared" si="5"/>
        <v>FTC Saint-Symphorien-sur-Coise 2</v>
      </c>
      <c r="D164" s="1429">
        <v>158</v>
      </c>
      <c r="E164" s="1430" t="s">
        <v>15239</v>
      </c>
      <c r="F164" s="1582" t="s">
        <v>3741</v>
      </c>
      <c r="G164" s="1429" t="s">
        <v>1019</v>
      </c>
      <c r="H164" s="2196">
        <v>12</v>
      </c>
    </row>
    <row r="165" spans="2:8" ht="12" customHeight="1" thickBot="1" x14ac:dyDescent="0.25">
      <c r="B165" s="392" t="str">
        <f t="shared" si="4"/>
        <v>Subbuteisti Modena 1982</v>
      </c>
      <c r="C165" s="1441" t="str">
        <f t="shared" si="5"/>
        <v>Subbuteisti Modena 1982</v>
      </c>
      <c r="D165" s="1429">
        <v>158</v>
      </c>
      <c r="E165" s="1430" t="s">
        <v>7876</v>
      </c>
      <c r="F165" s="1582" t="s">
        <v>3740</v>
      </c>
      <c r="G165" s="1429" t="s">
        <v>1037</v>
      </c>
      <c r="H165" s="2196">
        <v>12</v>
      </c>
    </row>
    <row r="166" spans="2:8" ht="12" customHeight="1" thickBot="1" x14ac:dyDescent="0.25">
      <c r="B166" s="392" t="str">
        <f t="shared" si="4"/>
        <v>Ves Gentes 2</v>
      </c>
      <c r="C166" s="1441" t="str">
        <f t="shared" si="5"/>
        <v>Ves Gentes 2</v>
      </c>
      <c r="D166" s="1429">
        <v>158</v>
      </c>
      <c r="E166" s="1430" t="s">
        <v>11327</v>
      </c>
      <c r="F166" s="1582" t="s">
        <v>3741</v>
      </c>
      <c r="G166" s="1429" t="s">
        <v>1037</v>
      </c>
      <c r="H166" s="2196">
        <v>12</v>
      </c>
    </row>
    <row r="167" spans="2:8" ht="12" customHeight="1" thickBot="1" x14ac:dyDescent="0.25">
      <c r="B167" s="392" t="str">
        <f t="shared" si="4"/>
        <v>SC Charleroi 2</v>
      </c>
      <c r="C167" s="1441" t="str">
        <f t="shared" si="5"/>
        <v>SC Charleroi 2</v>
      </c>
      <c r="D167" s="1429">
        <v>158</v>
      </c>
      <c r="E167" s="1430" t="s">
        <v>2746</v>
      </c>
      <c r="F167" s="1582" t="s">
        <v>3741</v>
      </c>
      <c r="G167" s="1429" t="s">
        <v>990</v>
      </c>
      <c r="H167" s="2196">
        <v>12</v>
      </c>
    </row>
    <row r="168" spans="2:8" ht="12" customHeight="1" thickBot="1" x14ac:dyDescent="0.25">
      <c r="B168" s="392" t="str">
        <f t="shared" si="4"/>
        <v>SC Temploux 2</v>
      </c>
      <c r="C168" s="1441" t="str">
        <f t="shared" si="5"/>
        <v>SC Temploux 2</v>
      </c>
      <c r="D168" s="1429">
        <v>158</v>
      </c>
      <c r="E168" s="1430" t="s">
        <v>2779</v>
      </c>
      <c r="F168" s="1582" t="s">
        <v>3741</v>
      </c>
      <c r="G168" s="1429" t="s">
        <v>990</v>
      </c>
      <c r="H168" s="2196">
        <v>12</v>
      </c>
    </row>
    <row r="169" spans="2:8" ht="12" customHeight="1" thickBot="1" x14ac:dyDescent="0.25">
      <c r="B169" s="392" t="str">
        <f t="shared" si="4"/>
        <v>CS SC Serenissima Mestre</v>
      </c>
      <c r="C169" s="1441" t="str">
        <f t="shared" si="5"/>
        <v>CS SC Serenissima Mestre</v>
      </c>
      <c r="D169" s="1429">
        <v>163</v>
      </c>
      <c r="E169" s="1430" t="s">
        <v>16843</v>
      </c>
      <c r="F169" s="1582" t="s">
        <v>3740</v>
      </c>
      <c r="G169" s="1429" t="s">
        <v>1037</v>
      </c>
      <c r="H169" s="2196">
        <v>11</v>
      </c>
    </row>
    <row r="170" spans="2:8" ht="12" customHeight="1" thickBot="1" x14ac:dyDescent="0.25">
      <c r="B170" s="392" t="str">
        <f t="shared" si="4"/>
        <v>Subbuteo Club Reggio Calabria 2</v>
      </c>
      <c r="C170" s="1441" t="str">
        <f t="shared" si="5"/>
        <v>Subbuteo Club Reggio Calabria 2</v>
      </c>
      <c r="D170" s="1429">
        <v>163</v>
      </c>
      <c r="E170" s="1430" t="s">
        <v>16490</v>
      </c>
      <c r="F170" s="1582" t="s">
        <v>3741</v>
      </c>
      <c r="G170" s="1429" t="s">
        <v>1037</v>
      </c>
      <c r="H170" s="2196">
        <v>11</v>
      </c>
    </row>
    <row r="171" spans="2:8" ht="12" customHeight="1" thickBot="1" x14ac:dyDescent="0.25">
      <c r="B171" s="392" t="str">
        <f t="shared" si="4"/>
        <v>Barcelona FT</v>
      </c>
      <c r="C171" s="1441" t="str">
        <f t="shared" si="5"/>
        <v>Barcelona FT</v>
      </c>
      <c r="D171" s="1429">
        <v>165</v>
      </c>
      <c r="E171" s="1430" t="s">
        <v>2783</v>
      </c>
      <c r="F171" s="1582" t="s">
        <v>3740</v>
      </c>
      <c r="G171" s="1429" t="s">
        <v>1015</v>
      </c>
      <c r="H171" s="2196">
        <v>10</v>
      </c>
    </row>
    <row r="172" spans="2:8" ht="12" customHeight="1" thickBot="1" x14ac:dyDescent="0.25">
      <c r="B172" s="392" t="str">
        <f t="shared" si="4"/>
        <v>Subbuteo Club Almería</v>
      </c>
      <c r="C172" s="1441" t="str">
        <f t="shared" si="5"/>
        <v>Subbuteo Club Almería</v>
      </c>
      <c r="D172" s="1429">
        <v>165</v>
      </c>
      <c r="E172" s="1430" t="s">
        <v>14872</v>
      </c>
      <c r="F172" s="1582" t="s">
        <v>3740</v>
      </c>
      <c r="G172" s="1429" t="s">
        <v>1015</v>
      </c>
      <c r="H172" s="2196">
        <v>10</v>
      </c>
    </row>
    <row r="173" spans="2:8" ht="12" customHeight="1" thickBot="1" x14ac:dyDescent="0.25">
      <c r="B173" s="392" t="str">
        <f t="shared" si="4"/>
        <v>Subbuteo Vomero</v>
      </c>
      <c r="C173" s="1441" t="str">
        <f t="shared" si="5"/>
        <v>Subbuteo Vomero</v>
      </c>
      <c r="D173" s="1429">
        <v>165</v>
      </c>
      <c r="E173" s="1430" t="s">
        <v>7877</v>
      </c>
      <c r="F173" s="1582" t="s">
        <v>3740</v>
      </c>
      <c r="G173" s="1429" t="s">
        <v>1037</v>
      </c>
      <c r="H173" s="2196">
        <v>10</v>
      </c>
    </row>
    <row r="174" spans="2:8" ht="12" customHeight="1" thickBot="1" x14ac:dyDescent="0.25">
      <c r="B174" s="392" t="str">
        <f t="shared" si="4"/>
        <v>Azzurra 99 Napoli</v>
      </c>
      <c r="C174" s="1441" t="str">
        <f t="shared" si="5"/>
        <v>Azzurra 99 Napoli</v>
      </c>
      <c r="D174" s="1429">
        <v>165</v>
      </c>
      <c r="E174" s="1430" t="s">
        <v>10922</v>
      </c>
      <c r="F174" s="1582" t="s">
        <v>3740</v>
      </c>
      <c r="G174" s="1429" t="s">
        <v>1037</v>
      </c>
      <c r="H174" s="2196">
        <v>10</v>
      </c>
    </row>
    <row r="175" spans="2:8" ht="12" customHeight="1" thickBot="1" x14ac:dyDescent="0.25">
      <c r="B175" s="392" t="str">
        <f t="shared" si="4"/>
        <v>CHASERS (Chadwell Heath &amp; South Essex, Romford Subbuteo) Club</v>
      </c>
      <c r="C175" s="1441" t="str">
        <f t="shared" si="5"/>
        <v>CHASERS (Chadwell Heath &amp; South Essex, Romford Subbuteo) Club</v>
      </c>
      <c r="D175" s="1429">
        <v>169</v>
      </c>
      <c r="E175" s="1430" t="s">
        <v>14864</v>
      </c>
      <c r="F175" s="1582" t="s">
        <v>3740</v>
      </c>
      <c r="G175" s="1429" t="s">
        <v>1013</v>
      </c>
      <c r="H175" s="2196">
        <v>9</v>
      </c>
    </row>
    <row r="176" spans="2:8" ht="12" customHeight="1" thickBot="1" x14ac:dyDescent="0.25">
      <c r="B176" s="392" t="str">
        <f t="shared" si="4"/>
        <v>ASD Siracusa Calcio Tavolo 2</v>
      </c>
      <c r="C176" s="1441" t="str">
        <f t="shared" si="5"/>
        <v>ASD Siracusa Calcio Tavolo 2</v>
      </c>
      <c r="D176" s="1429">
        <v>169</v>
      </c>
      <c r="E176" s="1430" t="s">
        <v>15290</v>
      </c>
      <c r="F176" s="1582" t="s">
        <v>3741</v>
      </c>
      <c r="G176" s="1429" t="s">
        <v>1037</v>
      </c>
      <c r="H176" s="2196">
        <v>9</v>
      </c>
    </row>
    <row r="177" spans="2:8" ht="12" customHeight="1" thickBot="1" x14ac:dyDescent="0.25">
      <c r="B177" s="392" t="str">
        <f t="shared" si="4"/>
        <v>Thessaloniki SC TSC</v>
      </c>
      <c r="C177" s="1441" t="str">
        <f t="shared" si="5"/>
        <v>Thessaloniki SC TSC</v>
      </c>
      <c r="D177" s="1429">
        <v>169</v>
      </c>
      <c r="E177" s="1430" t="s">
        <v>10265</v>
      </c>
      <c r="F177" s="1582" t="s">
        <v>3740</v>
      </c>
      <c r="G177" s="1429" t="s">
        <v>1025</v>
      </c>
      <c r="H177" s="2196">
        <v>9</v>
      </c>
    </row>
    <row r="178" spans="2:8" ht="12" customHeight="1" thickBot="1" x14ac:dyDescent="0.25">
      <c r="B178" s="392" t="str">
        <f t="shared" si="4"/>
        <v>Yorkshire Phoenix and Dewsbury Moor TFC 2</v>
      </c>
      <c r="C178" s="1441" t="str">
        <f t="shared" si="5"/>
        <v>Yorkshire Phoenix and Dewsbury Moor TFC 2</v>
      </c>
      <c r="D178" s="1429">
        <v>172</v>
      </c>
      <c r="E178" s="1430" t="s">
        <v>15274</v>
      </c>
      <c r="F178" s="1582" t="s">
        <v>3741</v>
      </c>
      <c r="G178" s="1429" t="s">
        <v>1013</v>
      </c>
      <c r="H178" s="2196">
        <v>8</v>
      </c>
    </row>
    <row r="179" spans="2:8" ht="12" customHeight="1" thickBot="1" x14ac:dyDescent="0.25">
      <c r="B179" s="392" t="str">
        <f t="shared" si="4"/>
        <v>Kent Invicta TFC 3</v>
      </c>
      <c r="C179" s="1441" t="str">
        <f t="shared" si="5"/>
        <v>Kent Invicta TFC 3</v>
      </c>
      <c r="D179" s="1429">
        <v>172</v>
      </c>
      <c r="E179" s="1430" t="s">
        <v>5304</v>
      </c>
      <c r="F179" s="1582" t="s">
        <v>14999</v>
      </c>
      <c r="G179" s="1429" t="s">
        <v>1013</v>
      </c>
      <c r="H179" s="2196">
        <v>8</v>
      </c>
    </row>
    <row r="180" spans="2:8" ht="12" customHeight="1" thickBot="1" x14ac:dyDescent="0.25">
      <c r="B180" s="392" t="str">
        <f t="shared" si="4"/>
        <v>Kettering Flicking Marvellous</v>
      </c>
      <c r="C180" s="1441" t="str">
        <f t="shared" si="5"/>
        <v>Kettering Flicking Marvellous</v>
      </c>
      <c r="D180" s="1429">
        <v>172</v>
      </c>
      <c r="E180" s="1430" t="s">
        <v>15518</v>
      </c>
      <c r="F180" s="1582" t="s">
        <v>3740</v>
      </c>
      <c r="G180" s="1429" t="s">
        <v>1013</v>
      </c>
      <c r="H180" s="2196">
        <v>8</v>
      </c>
    </row>
    <row r="181" spans="2:8" ht="12" customHeight="1" thickBot="1" x14ac:dyDescent="0.25">
      <c r="B181" s="392" t="str">
        <f t="shared" si="4"/>
        <v>ALC Wattrelos - Subbuteo Lille Metropole</v>
      </c>
      <c r="C181" s="1441" t="str">
        <f t="shared" si="5"/>
        <v>ALC Wattrelos - Subbuteo Lille Metropole</v>
      </c>
      <c r="D181" s="1429">
        <v>175</v>
      </c>
      <c r="E181" s="1430" t="s">
        <v>16416</v>
      </c>
      <c r="F181" s="1582" t="s">
        <v>3740</v>
      </c>
      <c r="G181" s="1429" t="s">
        <v>1019</v>
      </c>
      <c r="H181" s="2196">
        <v>7</v>
      </c>
    </row>
    <row r="182" spans="2:8" ht="12" customHeight="1" thickBot="1" x14ac:dyDescent="0.25">
      <c r="B182" s="392" t="str">
        <f t="shared" si="4"/>
        <v>Racing White Woluwé Subbuteo 2</v>
      </c>
      <c r="C182" s="1441" t="str">
        <f t="shared" si="5"/>
        <v>Racing White Woluwé Subbuteo 2</v>
      </c>
      <c r="D182" s="1429">
        <v>175</v>
      </c>
      <c r="E182" s="1430" t="s">
        <v>15816</v>
      </c>
      <c r="F182" s="1582" t="s">
        <v>3741</v>
      </c>
      <c r="G182" s="1429" t="s">
        <v>990</v>
      </c>
      <c r="H182" s="2196">
        <v>7</v>
      </c>
    </row>
    <row r="183" spans="2:8" ht="12" customHeight="1" thickBot="1" x14ac:dyDescent="0.25">
      <c r="B183" s="392" t="str">
        <f t="shared" si="4"/>
        <v>ASM Nola 74</v>
      </c>
      <c r="C183" s="1441" t="str">
        <f t="shared" si="5"/>
        <v>ASM Nola 74</v>
      </c>
      <c r="D183" s="1429">
        <v>175</v>
      </c>
      <c r="E183" s="1430" t="s">
        <v>7881</v>
      </c>
      <c r="F183" s="1582" t="s">
        <v>3740</v>
      </c>
      <c r="G183" s="1429" t="s">
        <v>1037</v>
      </c>
      <c r="H183" s="2196">
        <v>7</v>
      </c>
    </row>
    <row r="184" spans="2:8" ht="12" customHeight="1" thickBot="1" x14ac:dyDescent="0.25">
      <c r="B184" s="392" t="str">
        <f t="shared" si="4"/>
        <v>FTC Caen 5</v>
      </c>
      <c r="C184" s="1441" t="str">
        <f t="shared" si="5"/>
        <v>FTC Caen 5</v>
      </c>
      <c r="D184" s="1429">
        <v>175</v>
      </c>
      <c r="E184" s="1430" t="s">
        <v>2893</v>
      </c>
      <c r="F184" s="1582" t="s">
        <v>9502</v>
      </c>
      <c r="G184" s="1429" t="s">
        <v>1019</v>
      </c>
      <c r="H184" s="2196">
        <v>7</v>
      </c>
    </row>
    <row r="185" spans="2:8" ht="12" customHeight="1" thickBot="1" x14ac:dyDescent="0.25">
      <c r="B185" s="392" t="str">
        <f t="shared" si="4"/>
        <v>Piraeus Lions TSC 2</v>
      </c>
      <c r="C185" s="1441" t="str">
        <f t="shared" si="5"/>
        <v>Piraeus Lions TSC 2</v>
      </c>
      <c r="D185" s="1429">
        <v>175</v>
      </c>
      <c r="E185" s="1430" t="s">
        <v>2758</v>
      </c>
      <c r="F185" s="1582" t="s">
        <v>3741</v>
      </c>
      <c r="G185" s="1429" t="s">
        <v>1025</v>
      </c>
      <c r="H185" s="2196">
        <v>7</v>
      </c>
    </row>
    <row r="186" spans="2:8" ht="12" customHeight="1" thickBot="1" x14ac:dyDescent="0.25">
      <c r="B186" s="392" t="str">
        <f t="shared" si="4"/>
        <v>Grifo Sombrero</v>
      </c>
      <c r="C186" s="1441" t="str">
        <f t="shared" si="5"/>
        <v>Grifo Sombrero</v>
      </c>
      <c r="D186" s="1429">
        <v>175</v>
      </c>
      <c r="E186" s="1430" t="s">
        <v>16471</v>
      </c>
      <c r="F186" s="1582" t="s">
        <v>3740</v>
      </c>
      <c r="G186" s="1429" t="s">
        <v>1037</v>
      </c>
      <c r="H186" s="2196">
        <v>7</v>
      </c>
    </row>
    <row r="187" spans="2:8" ht="12" customHeight="1" thickBot="1" x14ac:dyDescent="0.25">
      <c r="B187" s="392" t="str">
        <f t="shared" si="4"/>
        <v>TSC Black Rose 98 Roma</v>
      </c>
      <c r="C187" s="1441" t="str">
        <f t="shared" si="5"/>
        <v>TSC Black Rose 98 Roma</v>
      </c>
      <c r="D187" s="1429">
        <v>175</v>
      </c>
      <c r="E187" s="1430" t="s">
        <v>3614</v>
      </c>
      <c r="F187" s="1582" t="s">
        <v>3740</v>
      </c>
      <c r="G187" s="1429" t="s">
        <v>1037</v>
      </c>
      <c r="H187" s="2196">
        <v>7</v>
      </c>
    </row>
    <row r="188" spans="2:8" ht="12" customHeight="1" thickBot="1" x14ac:dyDescent="0.25">
      <c r="B188" s="392" t="str">
        <f t="shared" si="4"/>
        <v>Noctuas Athens TSC 3</v>
      </c>
      <c r="C188" s="1441" t="str">
        <f t="shared" si="5"/>
        <v>Noctuas Athens TSC 3</v>
      </c>
      <c r="D188" s="1429">
        <v>182</v>
      </c>
      <c r="E188" s="1430" t="s">
        <v>9449</v>
      </c>
      <c r="F188" s="1582" t="s">
        <v>14999</v>
      </c>
      <c r="G188" s="1429" t="s">
        <v>1025</v>
      </c>
      <c r="H188" s="2196">
        <v>6.5</v>
      </c>
    </row>
    <row r="189" spans="2:8" ht="12" customHeight="1" thickBot="1" x14ac:dyDescent="0.25">
      <c r="B189" s="392" t="str">
        <f t="shared" si="4"/>
        <v>H'Attard SC 2</v>
      </c>
      <c r="C189" s="1441" t="str">
        <f t="shared" si="5"/>
        <v>H'Attard SC 2</v>
      </c>
      <c r="D189" s="1429">
        <v>182</v>
      </c>
      <c r="E189" s="1430" t="s">
        <v>11331</v>
      </c>
      <c r="F189" s="1582" t="s">
        <v>3741</v>
      </c>
      <c r="G189" s="1429" t="s">
        <v>1045</v>
      </c>
      <c r="H189" s="2196">
        <v>6.5</v>
      </c>
    </row>
    <row r="190" spans="2:8" ht="12" customHeight="1" thickBot="1" x14ac:dyDescent="0.25">
      <c r="B190" s="392" t="str">
        <f t="shared" si="4"/>
        <v>Flaming Flickers SC</v>
      </c>
      <c r="C190" s="1441" t="str">
        <f t="shared" si="5"/>
        <v>Flaming Flickers SC</v>
      </c>
      <c r="D190" s="1429">
        <v>184</v>
      </c>
      <c r="E190" s="1430" t="s">
        <v>7285</v>
      </c>
      <c r="F190" s="1582" t="s">
        <v>3740</v>
      </c>
      <c r="G190" s="1429" t="s">
        <v>1025</v>
      </c>
      <c r="H190" s="2196">
        <v>6</v>
      </c>
    </row>
    <row r="191" spans="2:8" ht="12" customHeight="1" thickBot="1" x14ac:dyDescent="0.25">
      <c r="B191" s="392" t="str">
        <f t="shared" si="4"/>
        <v>AC Los Remedios FM 2</v>
      </c>
      <c r="C191" s="1441" t="str">
        <f t="shared" si="5"/>
        <v>AC Los Remedios FM 2</v>
      </c>
      <c r="D191" s="1429">
        <v>184</v>
      </c>
      <c r="E191" s="1430" t="s">
        <v>7304</v>
      </c>
      <c r="F191" s="1582" t="s">
        <v>3741</v>
      </c>
      <c r="G191" s="1429" t="s">
        <v>1015</v>
      </c>
      <c r="H191" s="2196">
        <v>6</v>
      </c>
    </row>
    <row r="192" spans="2:8" ht="12" customHeight="1" thickBot="1" x14ac:dyDescent="0.25">
      <c r="B192" s="392" t="str">
        <f t="shared" si="4"/>
        <v>Subbuteo Club Höpfigheim</v>
      </c>
      <c r="C192" s="1441" t="str">
        <f t="shared" si="5"/>
        <v>Subbuteo Club Höpfigheim</v>
      </c>
      <c r="D192" s="1429">
        <v>184</v>
      </c>
      <c r="E192" s="1430" t="s">
        <v>14585</v>
      </c>
      <c r="F192" s="1582" t="s">
        <v>3740</v>
      </c>
      <c r="G192" s="1429" t="s">
        <v>1021</v>
      </c>
      <c r="H192" s="2196">
        <v>6</v>
      </c>
    </row>
    <row r="193" spans="2:8" ht="12" customHeight="1" thickBot="1" x14ac:dyDescent="0.25">
      <c r="B193" s="392" t="str">
        <f t="shared" si="4"/>
        <v>CAP Ciudad de Murcia FM 2</v>
      </c>
      <c r="C193" s="1441" t="str">
        <f t="shared" si="5"/>
        <v>CAP Ciudad de Murcia FM 2</v>
      </c>
      <c r="D193" s="1429">
        <v>184</v>
      </c>
      <c r="E193" s="1430" t="s">
        <v>7183</v>
      </c>
      <c r="F193" s="1582" t="s">
        <v>3741</v>
      </c>
      <c r="G193" s="1429" t="s">
        <v>1015</v>
      </c>
      <c r="H193" s="2196">
        <v>6</v>
      </c>
    </row>
    <row r="194" spans="2:8" ht="12" customHeight="1" thickBot="1" x14ac:dyDescent="0.25">
      <c r="B194" s="392" t="str">
        <f t="shared" si="4"/>
        <v>AC Los Remedios FM 3</v>
      </c>
      <c r="C194" s="1441" t="str">
        <f t="shared" si="5"/>
        <v>AC Los Remedios FM 3</v>
      </c>
      <c r="D194" s="1429">
        <v>184</v>
      </c>
      <c r="E194" s="1430" t="s">
        <v>7304</v>
      </c>
      <c r="F194" s="1582" t="s">
        <v>14999</v>
      </c>
      <c r="G194" s="1429" t="s">
        <v>1015</v>
      </c>
      <c r="H194" s="2196">
        <v>6</v>
      </c>
    </row>
    <row r="195" spans="2:8" ht="12" customHeight="1" thickBot="1" x14ac:dyDescent="0.25">
      <c r="B195" s="392" t="str">
        <f t="shared" si="4"/>
        <v>Subbuteo Taranto</v>
      </c>
      <c r="C195" s="1441" t="str">
        <f t="shared" si="5"/>
        <v>Subbuteo Taranto</v>
      </c>
      <c r="D195" s="1429">
        <v>184</v>
      </c>
      <c r="E195" s="1430" t="s">
        <v>7880</v>
      </c>
      <c r="F195" s="1582" t="s">
        <v>3740</v>
      </c>
      <c r="G195" s="1429" t="s">
        <v>1037</v>
      </c>
      <c r="H195" s="2196">
        <v>6</v>
      </c>
    </row>
    <row r="196" spans="2:8" ht="12" customHeight="1" thickBot="1" x14ac:dyDescent="0.25">
      <c r="B196" s="392" t="str">
        <f t="shared" si="4"/>
        <v>Sparta Spreeathen 74/82</v>
      </c>
      <c r="C196" s="1441" t="str">
        <f t="shared" si="5"/>
        <v>Sparta Spreeathen 74/82</v>
      </c>
      <c r="D196" s="1429">
        <v>184</v>
      </c>
      <c r="E196" s="1430" t="s">
        <v>2753</v>
      </c>
      <c r="F196" s="1582" t="s">
        <v>3740</v>
      </c>
      <c r="G196" s="1429" t="s">
        <v>1021</v>
      </c>
      <c r="H196" s="2196">
        <v>6</v>
      </c>
    </row>
    <row r="197" spans="2:8" ht="12" customHeight="1" thickBot="1" x14ac:dyDescent="0.25">
      <c r="B197" s="392" t="str">
        <f t="shared" si="4"/>
        <v>SC Cagliari</v>
      </c>
      <c r="C197" s="1441" t="str">
        <f t="shared" si="5"/>
        <v>SC Cagliari</v>
      </c>
      <c r="D197" s="1429">
        <v>184</v>
      </c>
      <c r="E197" s="1430" t="s">
        <v>10292</v>
      </c>
      <c r="F197" s="1582" t="s">
        <v>3740</v>
      </c>
      <c r="G197" s="1429" t="s">
        <v>1037</v>
      </c>
      <c r="H197" s="2196">
        <v>6</v>
      </c>
    </row>
    <row r="198" spans="2:8" ht="12" customHeight="1" thickBot="1" x14ac:dyDescent="0.25">
      <c r="B198" s="392" t="str">
        <f t="shared" si="4"/>
        <v>Golazzo SC</v>
      </c>
      <c r="C198" s="1441" t="str">
        <f t="shared" si="5"/>
        <v>Golazzo SC</v>
      </c>
      <c r="D198" s="1429">
        <v>184</v>
      </c>
      <c r="E198" s="1430" t="s">
        <v>13600</v>
      </c>
      <c r="F198" s="1582" t="s">
        <v>3740</v>
      </c>
      <c r="G198" s="1429" t="s">
        <v>1069</v>
      </c>
      <c r="H198" s="2196">
        <v>6</v>
      </c>
    </row>
    <row r="199" spans="2:8" ht="12" customHeight="1" thickBot="1" x14ac:dyDescent="0.25">
      <c r="B199" s="392" t="str">
        <f t="shared" si="4"/>
        <v>Trento Subbuteo 2</v>
      </c>
      <c r="C199" s="1441" t="str">
        <f t="shared" si="5"/>
        <v>Trento Subbuteo 2</v>
      </c>
      <c r="D199" s="1429">
        <v>184</v>
      </c>
      <c r="E199" s="1430" t="s">
        <v>5551</v>
      </c>
      <c r="F199" s="1582" t="s">
        <v>3741</v>
      </c>
      <c r="G199" s="1429" t="s">
        <v>1037</v>
      </c>
      <c r="H199" s="2196">
        <v>6</v>
      </c>
    </row>
    <row r="200" spans="2:8" ht="12" customHeight="1" thickBot="1" x14ac:dyDescent="0.25">
      <c r="B200" s="392" t="str">
        <f t="shared" ref="B200:B287" si="6">C200</f>
        <v>Northern Phoenix TFC</v>
      </c>
      <c r="C200" s="1441" t="str">
        <f t="shared" ref="C200:C287" si="7">IF(E200="","",E200&amp;IF(RIGHT(F200,1)="A",""," "&amp;CODE(RIGHT(F200,1))-CODE("A")+1))</f>
        <v>Northern Phoenix TFC</v>
      </c>
      <c r="D200" s="1429">
        <v>194</v>
      </c>
      <c r="E200" s="1430" t="s">
        <v>9597</v>
      </c>
      <c r="F200" s="1582" t="s">
        <v>3740</v>
      </c>
      <c r="G200" s="1429" t="s">
        <v>986</v>
      </c>
      <c r="H200" s="2196">
        <v>5</v>
      </c>
    </row>
    <row r="201" spans="2:8" ht="12" customHeight="1" thickBot="1" x14ac:dyDescent="0.25">
      <c r="B201" s="392" t="str">
        <f t="shared" si="6"/>
        <v>Club with No Licence : Northern Line Flickers TFC 5</v>
      </c>
      <c r="C201" s="1441" t="str">
        <f t="shared" si="7"/>
        <v>Club with No Licence : Northern Line Flickers TFC 5</v>
      </c>
      <c r="D201" s="1429">
        <v>194</v>
      </c>
      <c r="E201" s="1430" t="s">
        <v>17464</v>
      </c>
      <c r="F201" s="1582" t="s">
        <v>9502</v>
      </c>
      <c r="G201" s="1429" t="s">
        <v>16670</v>
      </c>
      <c r="H201" s="2196">
        <v>5</v>
      </c>
    </row>
    <row r="202" spans="2:8" ht="12" customHeight="1" thickBot="1" x14ac:dyDescent="0.25">
      <c r="B202" s="392" t="str">
        <f t="shared" si="6"/>
        <v>SC Bari</v>
      </c>
      <c r="C202" s="1441" t="str">
        <f t="shared" si="7"/>
        <v>SC Bari</v>
      </c>
      <c r="D202" s="1429">
        <v>194</v>
      </c>
      <c r="E202" s="1430" t="s">
        <v>10274</v>
      </c>
      <c r="F202" s="1582" t="s">
        <v>3740</v>
      </c>
      <c r="G202" s="1429" t="s">
        <v>1037</v>
      </c>
      <c r="H202" s="2196">
        <v>5</v>
      </c>
    </row>
    <row r="203" spans="2:8" ht="12" customHeight="1" thickBot="1" x14ac:dyDescent="0.25">
      <c r="B203" s="392" t="str">
        <f t="shared" si="6"/>
        <v>MVV Rijnmond 2</v>
      </c>
      <c r="C203" s="1441" t="str">
        <f t="shared" si="7"/>
        <v>MVV Rijnmond 2</v>
      </c>
      <c r="D203" s="1429">
        <v>194</v>
      </c>
      <c r="E203" s="1430" t="s">
        <v>2763</v>
      </c>
      <c r="F203" s="1582" t="s">
        <v>3741</v>
      </c>
      <c r="G203" s="1429" t="s">
        <v>1051</v>
      </c>
      <c r="H203" s="2196">
        <v>5</v>
      </c>
    </row>
    <row r="204" spans="2:8" ht="12" customHeight="1" thickBot="1" x14ac:dyDescent="0.25">
      <c r="B204" s="392" t="str">
        <f t="shared" si="6"/>
        <v>Dutch Legends 2</v>
      </c>
      <c r="C204" s="1441" t="str">
        <f t="shared" si="7"/>
        <v>Dutch Legends 2</v>
      </c>
      <c r="D204" s="1429">
        <v>194</v>
      </c>
      <c r="E204" s="1430" t="s">
        <v>7184</v>
      </c>
      <c r="F204" s="1582" t="s">
        <v>3741</v>
      </c>
      <c r="G204" s="1429" t="s">
        <v>1051</v>
      </c>
      <c r="H204" s="2196">
        <v>5</v>
      </c>
    </row>
    <row r="205" spans="2:8" ht="12" customHeight="1" thickBot="1" x14ac:dyDescent="0.25">
      <c r="B205" s="392" t="str">
        <f t="shared" si="6"/>
        <v>Pinco Devils Table Soccer 2</v>
      </c>
      <c r="C205" s="1441" t="str">
        <f t="shared" si="7"/>
        <v>Pinco Devils Table Soccer 2</v>
      </c>
      <c r="D205" s="1429">
        <v>194</v>
      </c>
      <c r="E205" s="1430" t="s">
        <v>13312</v>
      </c>
      <c r="F205" s="1582" t="s">
        <v>3741</v>
      </c>
      <c r="G205" s="1429" t="s">
        <v>1037</v>
      </c>
      <c r="H205" s="2196">
        <v>5</v>
      </c>
    </row>
    <row r="206" spans="2:8" ht="12" customHeight="1" thickBot="1" x14ac:dyDescent="0.25">
      <c r="B206" s="392" t="str">
        <f t="shared" si="6"/>
        <v>TS Napoli Fighters 2</v>
      </c>
      <c r="C206" s="1441" t="str">
        <f t="shared" si="7"/>
        <v>TS Napoli Fighters 2</v>
      </c>
      <c r="D206" s="1429">
        <v>194</v>
      </c>
      <c r="E206" s="1430" t="s">
        <v>2776</v>
      </c>
      <c r="F206" s="1582" t="s">
        <v>3741</v>
      </c>
      <c r="G206" s="1429" t="s">
        <v>1037</v>
      </c>
      <c r="H206" s="2196">
        <v>5</v>
      </c>
    </row>
    <row r="207" spans="2:8" ht="12" customHeight="1" thickBot="1" x14ac:dyDescent="0.25">
      <c r="B207" s="392" t="str">
        <f t="shared" si="6"/>
        <v>Atletico Pisa 2</v>
      </c>
      <c r="C207" s="1441" t="str">
        <f t="shared" si="7"/>
        <v>Atletico Pisa 2</v>
      </c>
      <c r="D207" s="1429">
        <v>194</v>
      </c>
      <c r="E207" s="1430" t="s">
        <v>11328</v>
      </c>
      <c r="F207" s="1582" t="s">
        <v>3741</v>
      </c>
      <c r="G207" s="1429" t="s">
        <v>1037</v>
      </c>
      <c r="H207" s="2196">
        <v>5</v>
      </c>
    </row>
    <row r="208" spans="2:8" ht="12" customHeight="1" thickBot="1" x14ac:dyDescent="0.25">
      <c r="B208" s="392" t="str">
        <f t="shared" si="6"/>
        <v>Subbuteo Club Basilicata</v>
      </c>
      <c r="C208" s="1441" t="str">
        <f t="shared" si="7"/>
        <v>Subbuteo Club Basilicata</v>
      </c>
      <c r="D208" s="1429">
        <v>194</v>
      </c>
      <c r="E208" s="1430" t="s">
        <v>16501</v>
      </c>
      <c r="F208" s="1582" t="s">
        <v>3740</v>
      </c>
      <c r="G208" s="1429" t="s">
        <v>1037</v>
      </c>
      <c r="H208" s="2196">
        <v>5</v>
      </c>
    </row>
    <row r="209" spans="2:8" ht="12" customHeight="1" thickBot="1" x14ac:dyDescent="0.25">
      <c r="B209" s="392" t="str">
        <f t="shared" si="6"/>
        <v>Glasgow TSA 3</v>
      </c>
      <c r="C209" s="1441" t="str">
        <f t="shared" si="7"/>
        <v>Glasgow TSA 3</v>
      </c>
      <c r="D209" s="1429">
        <v>203</v>
      </c>
      <c r="E209" s="1430" t="s">
        <v>2771</v>
      </c>
      <c r="F209" s="1582" t="s">
        <v>14999</v>
      </c>
      <c r="G209" s="1429" t="s">
        <v>1069</v>
      </c>
      <c r="H209" s="2196">
        <v>4</v>
      </c>
    </row>
    <row r="210" spans="2:8" ht="12" customHeight="1" thickBot="1" x14ac:dyDescent="0.25">
      <c r="B210" s="392" t="str">
        <f t="shared" si="6"/>
        <v>AFT Turia 1981 3</v>
      </c>
      <c r="C210" s="1441" t="str">
        <f t="shared" si="7"/>
        <v>AFT Turia 1981 3</v>
      </c>
      <c r="D210" s="1429">
        <v>203</v>
      </c>
      <c r="E210" s="1430" t="s">
        <v>7869</v>
      </c>
      <c r="F210" s="1582" t="s">
        <v>14999</v>
      </c>
      <c r="G210" s="1429" t="s">
        <v>1015</v>
      </c>
      <c r="H210" s="2196">
        <v>4</v>
      </c>
    </row>
    <row r="211" spans="2:8" ht="12" customHeight="1" thickBot="1" x14ac:dyDescent="0.25">
      <c r="B211" s="392" t="str">
        <f t="shared" si="6"/>
        <v>Larissa TFC 2</v>
      </c>
      <c r="C211" s="1441" t="str">
        <f t="shared" si="7"/>
        <v>Larissa TFC 2</v>
      </c>
      <c r="D211" s="1429">
        <v>203</v>
      </c>
      <c r="E211" s="1430" t="s">
        <v>11324</v>
      </c>
      <c r="F211" s="1582" t="s">
        <v>3741</v>
      </c>
      <c r="G211" s="1429" t="s">
        <v>1025</v>
      </c>
      <c r="H211" s="2196">
        <v>4</v>
      </c>
    </row>
    <row r="212" spans="2:8" ht="12" customHeight="1" thickBot="1" x14ac:dyDescent="0.25">
      <c r="B212" s="392" t="str">
        <f t="shared" si="6"/>
        <v>OS Academy 1947</v>
      </c>
      <c r="C212" s="1441" t="str">
        <f t="shared" si="7"/>
        <v>OS Academy 1947</v>
      </c>
      <c r="D212" s="1429">
        <v>203</v>
      </c>
      <c r="E212" s="1430" t="s">
        <v>9626</v>
      </c>
      <c r="F212" s="1582" t="s">
        <v>3740</v>
      </c>
      <c r="G212" s="1429" t="s">
        <v>1041</v>
      </c>
      <c r="H212" s="2196">
        <v>4</v>
      </c>
    </row>
    <row r="213" spans="2:8" ht="12" customHeight="1" thickBot="1" x14ac:dyDescent="0.25">
      <c r="B213" s="392" t="str">
        <f t="shared" si="6"/>
        <v>Tiburones FM 4</v>
      </c>
      <c r="C213" s="1441" t="str">
        <f t="shared" si="7"/>
        <v>Tiburones FM 4</v>
      </c>
      <c r="D213" s="1429">
        <v>203</v>
      </c>
      <c r="E213" s="1430" t="s">
        <v>2755</v>
      </c>
      <c r="F213" s="1582" t="s">
        <v>15000</v>
      </c>
      <c r="G213" s="1429" t="s">
        <v>1015</v>
      </c>
      <c r="H213" s="2196">
        <v>4</v>
      </c>
    </row>
    <row r="214" spans="2:8" ht="12" customHeight="1" thickBot="1" x14ac:dyDescent="0.25">
      <c r="B214" s="392" t="str">
        <f t="shared" si="6"/>
        <v>MARADONA TOKYO</v>
      </c>
      <c r="C214" s="1441" t="str">
        <f t="shared" si="7"/>
        <v>MARADONA TOKYO</v>
      </c>
      <c r="D214" s="1429">
        <v>208</v>
      </c>
      <c r="E214" s="1430" t="s">
        <v>17301</v>
      </c>
      <c r="F214" s="1582" t="s">
        <v>3740</v>
      </c>
      <c r="G214" s="1429" t="s">
        <v>1041</v>
      </c>
      <c r="H214" s="2196">
        <v>3</v>
      </c>
    </row>
    <row r="215" spans="2:8" ht="12" customHeight="1" thickBot="1" x14ac:dyDescent="0.25">
      <c r="B215" s="392" t="str">
        <f t="shared" si="6"/>
        <v>Avenir Subbuteo Hennuyer 5</v>
      </c>
      <c r="C215" s="1441" t="str">
        <f t="shared" si="7"/>
        <v>Avenir Subbuteo Hennuyer 5</v>
      </c>
      <c r="D215" s="1429">
        <v>208</v>
      </c>
      <c r="E215" s="1430" t="s">
        <v>13519</v>
      </c>
      <c r="F215" s="1582" t="s">
        <v>9502</v>
      </c>
      <c r="G215" s="1429" t="s">
        <v>990</v>
      </c>
      <c r="H215" s="2196">
        <v>3</v>
      </c>
    </row>
    <row r="216" spans="2:8" ht="12" customHeight="1" thickBot="1" x14ac:dyDescent="0.25">
      <c r="B216" s="392" t="str">
        <f t="shared" si="6"/>
        <v>Bologna Tigers Subbuteo 3</v>
      </c>
      <c r="C216" s="1441" t="str">
        <f t="shared" si="7"/>
        <v>Bologna Tigers Subbuteo 3</v>
      </c>
      <c r="D216" s="1429">
        <v>208</v>
      </c>
      <c r="E216" s="1430" t="s">
        <v>2749</v>
      </c>
      <c r="F216" s="1582" t="s">
        <v>14999</v>
      </c>
      <c r="G216" s="1429" t="s">
        <v>1037</v>
      </c>
      <c r="H216" s="2196">
        <v>3</v>
      </c>
    </row>
    <row r="217" spans="2:8" ht="12" customHeight="1" thickBot="1" x14ac:dyDescent="0.25">
      <c r="B217" s="392" t="str">
        <f t="shared" si="6"/>
        <v>Athinaikos CS 3</v>
      </c>
      <c r="C217" s="1441" t="str">
        <f t="shared" si="7"/>
        <v>Athinaikos CS 3</v>
      </c>
      <c r="D217" s="1429">
        <v>211</v>
      </c>
      <c r="E217" s="1430" t="s">
        <v>10251</v>
      </c>
      <c r="F217" s="1582" t="s">
        <v>14999</v>
      </c>
      <c r="G217" s="1429" t="s">
        <v>1025</v>
      </c>
      <c r="H217" s="2196">
        <v>2.5</v>
      </c>
    </row>
    <row r="218" spans="2:8" ht="12" customHeight="1" thickBot="1" x14ac:dyDescent="0.25">
      <c r="B218" s="392" t="str">
        <f t="shared" si="6"/>
        <v>Atlas FTC 2</v>
      </c>
      <c r="C218" s="1441" t="str">
        <f t="shared" si="7"/>
        <v>Atlas FTC 2</v>
      </c>
      <c r="D218" s="1429">
        <v>211</v>
      </c>
      <c r="E218" s="1430" t="s">
        <v>2745</v>
      </c>
      <c r="F218" s="1582" t="s">
        <v>3741</v>
      </c>
      <c r="G218" s="1429" t="s">
        <v>1025</v>
      </c>
      <c r="H218" s="2196">
        <v>2.5</v>
      </c>
    </row>
    <row r="219" spans="2:8" ht="12" customHeight="1" thickBot="1" x14ac:dyDescent="0.25">
      <c r="B219" s="392" t="str">
        <f t="shared" si="6"/>
        <v>Glyfada United TSC 2</v>
      </c>
      <c r="C219" s="1441" t="str">
        <f t="shared" si="7"/>
        <v>Glyfada United TSC 2</v>
      </c>
      <c r="D219" s="1429">
        <v>211</v>
      </c>
      <c r="E219" s="1430" t="s">
        <v>2760</v>
      </c>
      <c r="F219" s="1582" t="s">
        <v>3741</v>
      </c>
      <c r="G219" s="1429" t="s">
        <v>1025</v>
      </c>
      <c r="H219" s="2196">
        <v>2.5</v>
      </c>
    </row>
    <row r="220" spans="2:8" ht="12" customHeight="1" thickBot="1" x14ac:dyDescent="0.25">
      <c r="B220" s="392" t="str">
        <f t="shared" si="6"/>
        <v>Haverhill Rovers tfc</v>
      </c>
      <c r="C220" s="1441" t="str">
        <f t="shared" si="7"/>
        <v>Haverhill Rovers tfc</v>
      </c>
      <c r="D220" s="1429">
        <v>214</v>
      </c>
      <c r="E220" s="1430" t="s">
        <v>13471</v>
      </c>
      <c r="F220" s="1582" t="s">
        <v>3740</v>
      </c>
      <c r="G220" s="1429" t="s">
        <v>1013</v>
      </c>
      <c r="H220" s="2196">
        <v>2</v>
      </c>
    </row>
    <row r="221" spans="2:8" ht="12" customHeight="1" thickBot="1" x14ac:dyDescent="0.25">
      <c r="B221" s="392" t="str">
        <f t="shared" si="6"/>
        <v>Asd Alba Subbuteo Roma</v>
      </c>
      <c r="C221" s="1441" t="str">
        <f t="shared" si="7"/>
        <v>Asd Alba Subbuteo Roma</v>
      </c>
      <c r="D221" s="1429">
        <v>214</v>
      </c>
      <c r="E221" s="1430" t="s">
        <v>13316</v>
      </c>
      <c r="F221" s="1582" t="s">
        <v>3740</v>
      </c>
      <c r="G221" s="1429" t="s">
        <v>1037</v>
      </c>
      <c r="H221" s="2196">
        <v>2</v>
      </c>
    </row>
    <row r="222" spans="2:8" ht="12" customHeight="1" thickBot="1" x14ac:dyDescent="0.25">
      <c r="B222" s="392" t="str">
        <f t="shared" si="6"/>
        <v>Europa FC TSC 2</v>
      </c>
      <c r="C222" s="1441" t="str">
        <f t="shared" si="7"/>
        <v>Europa FC TSC 2</v>
      </c>
      <c r="D222" s="1429">
        <v>214</v>
      </c>
      <c r="E222" s="1430" t="s">
        <v>9448</v>
      </c>
      <c r="F222" s="1582" t="s">
        <v>3741</v>
      </c>
      <c r="G222" s="1429" t="s">
        <v>1023</v>
      </c>
      <c r="H222" s="2196">
        <v>2</v>
      </c>
    </row>
    <row r="223" spans="2:8" ht="12" customHeight="1" thickBot="1" x14ac:dyDescent="0.25">
      <c r="B223" s="392" t="str">
        <f t="shared" si="6"/>
        <v>ASM Nola 74 2</v>
      </c>
      <c r="C223" s="1441" t="str">
        <f t="shared" si="7"/>
        <v>ASM Nola 74 2</v>
      </c>
      <c r="D223" s="1429">
        <v>214</v>
      </c>
      <c r="E223" s="1430" t="s">
        <v>7881</v>
      </c>
      <c r="F223" s="1582" t="s">
        <v>3741</v>
      </c>
      <c r="G223" s="1429" t="s">
        <v>1037</v>
      </c>
      <c r="H223" s="2196">
        <v>2</v>
      </c>
    </row>
    <row r="224" spans="2:8" ht="12" customHeight="1" thickBot="1" x14ac:dyDescent="0.25">
      <c r="B224" s="392" t="str">
        <f t="shared" si="6"/>
        <v>Subbuteo L'aquila Club</v>
      </c>
      <c r="C224" s="1441" t="str">
        <f t="shared" si="7"/>
        <v>Subbuteo L'aquila Club</v>
      </c>
      <c r="D224" s="1429">
        <v>214</v>
      </c>
      <c r="E224" s="1430" t="s">
        <v>11468</v>
      </c>
      <c r="F224" s="1582" t="s">
        <v>3740</v>
      </c>
      <c r="G224" s="1429" t="s">
        <v>1037</v>
      </c>
      <c r="H224" s="2196">
        <v>2</v>
      </c>
    </row>
    <row r="225" spans="2:8" ht="12" customHeight="1" thickBot="1" x14ac:dyDescent="0.25">
      <c r="B225" s="392" t="str">
        <f t="shared" si="6"/>
        <v>SS Lazio TFC Roma 2</v>
      </c>
      <c r="C225" s="1441" t="str">
        <f t="shared" si="7"/>
        <v>SS Lazio TFC Roma 2</v>
      </c>
      <c r="D225" s="1429">
        <v>214</v>
      </c>
      <c r="E225" s="1430" t="s">
        <v>2777</v>
      </c>
      <c r="F225" s="1582" t="s">
        <v>3741</v>
      </c>
      <c r="G225" s="1429" t="s">
        <v>1037</v>
      </c>
      <c r="H225" s="2196">
        <v>2</v>
      </c>
    </row>
    <row r="226" spans="2:8" ht="12" customHeight="1" thickBot="1" x14ac:dyDescent="0.25">
      <c r="B226" s="392" t="str">
        <f t="shared" si="6"/>
        <v>Bormla SC 3</v>
      </c>
      <c r="C226" s="1441" t="str">
        <f t="shared" si="7"/>
        <v>Bormla SC 3</v>
      </c>
      <c r="D226" s="1429">
        <v>214</v>
      </c>
      <c r="E226" s="1430" t="s">
        <v>10253</v>
      </c>
      <c r="F226" s="1582" t="s">
        <v>14999</v>
      </c>
      <c r="G226" s="1429" t="s">
        <v>1045</v>
      </c>
      <c r="H226" s="2196">
        <v>2</v>
      </c>
    </row>
    <row r="227" spans="2:8" ht="12" customHeight="1" thickBot="1" x14ac:dyDescent="0.25">
      <c r="B227" s="392" t="str">
        <f t="shared" ref="B227:B286" si="8">C227</f>
        <v>Irish Premier League 2</v>
      </c>
      <c r="C227" s="1441" t="str">
        <f t="shared" si="7"/>
        <v>Irish Premier League 2</v>
      </c>
      <c r="D227" s="1429">
        <v>221</v>
      </c>
      <c r="E227" s="1430" t="s">
        <v>2764</v>
      </c>
      <c r="F227" s="1582" t="s">
        <v>3741</v>
      </c>
      <c r="G227" s="1429" t="s">
        <v>1033</v>
      </c>
      <c r="H227" s="2196">
        <v>1.5</v>
      </c>
    </row>
    <row r="228" spans="2:8" ht="12" customHeight="1" thickBot="1" x14ac:dyDescent="0.25">
      <c r="B228" s="392" t="str">
        <f t="shared" si="8"/>
        <v>SC Berlin</v>
      </c>
      <c r="C228" s="1441" t="str">
        <f t="shared" si="7"/>
        <v>SC Berlin</v>
      </c>
      <c r="D228" s="1429">
        <v>221</v>
      </c>
      <c r="E228" s="1430" t="s">
        <v>13588</v>
      </c>
      <c r="F228" s="1582" t="s">
        <v>3740</v>
      </c>
      <c r="G228" s="1429" t="s">
        <v>1021</v>
      </c>
      <c r="H228" s="2196">
        <v>1.5</v>
      </c>
    </row>
    <row r="229" spans="2:8" ht="12" customHeight="1" thickBot="1" x14ac:dyDescent="0.25">
      <c r="B229" s="392" t="str">
        <f t="shared" si="8"/>
        <v>TSPA White Star 2</v>
      </c>
      <c r="C229" s="1441" t="str">
        <f t="shared" si="7"/>
        <v>TSPA White Star 2</v>
      </c>
      <c r="D229" s="1429">
        <v>223</v>
      </c>
      <c r="E229" s="1430" t="s">
        <v>13531</v>
      </c>
      <c r="F229" s="1582" t="s">
        <v>3741</v>
      </c>
      <c r="G229" s="1429" t="s">
        <v>1013</v>
      </c>
      <c r="H229" s="2196">
        <v>1</v>
      </c>
    </row>
    <row r="230" spans="2:8" ht="12" customHeight="1" thickBot="1" x14ac:dyDescent="0.25">
      <c r="B230" s="392" t="str">
        <f t="shared" si="8"/>
        <v>Leicester Foxes Subbuteo Club</v>
      </c>
      <c r="C230" s="1441" t="str">
        <f t="shared" si="7"/>
        <v>Leicester Foxes Subbuteo Club</v>
      </c>
      <c r="D230" s="1429">
        <v>223</v>
      </c>
      <c r="E230" s="1430" t="s">
        <v>13613</v>
      </c>
      <c r="F230" s="1582" t="s">
        <v>3740</v>
      </c>
      <c r="G230" s="1429" t="s">
        <v>1013</v>
      </c>
      <c r="H230" s="2196">
        <v>1</v>
      </c>
    </row>
    <row r="231" spans="2:8" ht="12" customHeight="1" thickBot="1" x14ac:dyDescent="0.25">
      <c r="B231" s="392" t="str">
        <f t="shared" si="8"/>
        <v/>
      </c>
      <c r="C231" s="1441" t="str">
        <f t="shared" si="7"/>
        <v/>
      </c>
      <c r="D231" s="1429"/>
      <c r="E231" s="1430"/>
      <c r="F231" s="1582"/>
      <c r="G231" s="1429"/>
      <c r="H231" s="2196"/>
    </row>
    <row r="232" spans="2:8" ht="12" customHeight="1" thickBot="1" x14ac:dyDescent="0.25">
      <c r="B232" s="392" t="str">
        <f t="shared" si="8"/>
        <v/>
      </c>
      <c r="C232" s="1441" t="str">
        <f t="shared" si="7"/>
        <v/>
      </c>
      <c r="D232" s="1429"/>
      <c r="E232" s="1430"/>
      <c r="F232" s="1582"/>
      <c r="G232" s="1429"/>
      <c r="H232" s="2196"/>
    </row>
    <row r="233" spans="2:8" ht="12" customHeight="1" thickBot="1" x14ac:dyDescent="0.25">
      <c r="B233" s="392" t="str">
        <f t="shared" si="8"/>
        <v/>
      </c>
      <c r="C233" s="1441" t="str">
        <f t="shared" si="7"/>
        <v/>
      </c>
      <c r="D233" s="1429"/>
      <c r="E233" s="1430"/>
      <c r="F233" s="1582"/>
      <c r="G233" s="1429"/>
      <c r="H233" s="2196"/>
    </row>
    <row r="234" spans="2:8" ht="12" customHeight="1" thickBot="1" x14ac:dyDescent="0.25">
      <c r="B234" s="392" t="str">
        <f t="shared" si="8"/>
        <v/>
      </c>
      <c r="C234" s="1441" t="str">
        <f t="shared" si="7"/>
        <v/>
      </c>
      <c r="D234" s="1429"/>
      <c r="E234" s="1430"/>
      <c r="F234" s="1582"/>
      <c r="G234" s="1429"/>
      <c r="H234" s="2196"/>
    </row>
    <row r="235" spans="2:8" ht="12" customHeight="1" thickBot="1" x14ac:dyDescent="0.25">
      <c r="B235" s="392" t="str">
        <f t="shared" si="8"/>
        <v/>
      </c>
      <c r="C235" s="1441" t="str">
        <f t="shared" si="7"/>
        <v/>
      </c>
      <c r="D235" s="1429"/>
      <c r="E235" s="1430"/>
      <c r="F235" s="1582"/>
      <c r="G235" s="1429"/>
      <c r="H235" s="2196"/>
    </row>
    <row r="236" spans="2:8" ht="12" customHeight="1" thickBot="1" x14ac:dyDescent="0.25">
      <c r="B236" s="392" t="str">
        <f t="shared" si="8"/>
        <v/>
      </c>
      <c r="C236" s="1441" t="str">
        <f t="shared" si="7"/>
        <v/>
      </c>
      <c r="D236" s="1429"/>
      <c r="E236" s="1430"/>
      <c r="F236" s="1582"/>
      <c r="G236" s="1429"/>
      <c r="H236" s="2196"/>
    </row>
    <row r="237" spans="2:8" ht="12" customHeight="1" thickBot="1" x14ac:dyDescent="0.25">
      <c r="B237" s="392" t="str">
        <f t="shared" si="8"/>
        <v/>
      </c>
      <c r="C237" s="1441" t="str">
        <f t="shared" si="7"/>
        <v/>
      </c>
      <c r="D237" s="1429"/>
      <c r="E237" s="1430"/>
      <c r="F237" s="1582"/>
      <c r="G237" s="1429"/>
      <c r="H237" s="2196"/>
    </row>
    <row r="238" spans="2:8" ht="12" customHeight="1" thickBot="1" x14ac:dyDescent="0.25">
      <c r="B238" s="392" t="str">
        <f t="shared" si="8"/>
        <v/>
      </c>
      <c r="C238" s="1441" t="str">
        <f t="shared" si="7"/>
        <v/>
      </c>
      <c r="D238" s="1429"/>
      <c r="E238" s="1430"/>
      <c r="F238" s="1582"/>
      <c r="G238" s="1429"/>
      <c r="H238" s="2196"/>
    </row>
    <row r="239" spans="2:8" ht="12" customHeight="1" thickBot="1" x14ac:dyDescent="0.25">
      <c r="B239" s="392" t="str">
        <f t="shared" si="8"/>
        <v/>
      </c>
      <c r="C239" s="1441" t="str">
        <f t="shared" si="7"/>
        <v/>
      </c>
      <c r="D239" s="1429"/>
      <c r="E239" s="1430"/>
      <c r="F239" s="1582"/>
      <c r="G239" s="1429"/>
      <c r="H239" s="2196"/>
    </row>
    <row r="240" spans="2:8" ht="12" customHeight="1" thickBot="1" x14ac:dyDescent="0.25">
      <c r="B240" s="392" t="str">
        <f t="shared" si="8"/>
        <v/>
      </c>
      <c r="C240" s="1441" t="str">
        <f t="shared" si="7"/>
        <v/>
      </c>
      <c r="D240" s="1429"/>
      <c r="E240" s="1430"/>
      <c r="F240" s="1582"/>
      <c r="G240" s="1429"/>
      <c r="H240" s="2196"/>
    </row>
    <row r="241" spans="2:8" ht="12" customHeight="1" thickBot="1" x14ac:dyDescent="0.25">
      <c r="B241" s="392" t="str">
        <f t="shared" si="8"/>
        <v/>
      </c>
      <c r="C241" s="1441" t="str">
        <f t="shared" si="7"/>
        <v/>
      </c>
      <c r="D241" s="1429"/>
      <c r="E241" s="1430"/>
      <c r="F241" s="1582"/>
      <c r="G241" s="1429"/>
      <c r="H241" s="2196"/>
    </row>
    <row r="242" spans="2:8" ht="12" customHeight="1" thickBot="1" x14ac:dyDescent="0.25">
      <c r="B242" s="392" t="str">
        <f t="shared" si="8"/>
        <v/>
      </c>
      <c r="C242" s="1441" t="str">
        <f t="shared" si="7"/>
        <v/>
      </c>
      <c r="D242" s="1429"/>
      <c r="E242" s="1430"/>
      <c r="F242" s="1582"/>
      <c r="G242" s="1429"/>
      <c r="H242" s="2196"/>
    </row>
    <row r="243" spans="2:8" ht="12" customHeight="1" thickBot="1" x14ac:dyDescent="0.25">
      <c r="B243" s="392" t="str">
        <f t="shared" si="8"/>
        <v/>
      </c>
      <c r="C243" s="1441" t="str">
        <f t="shared" si="7"/>
        <v/>
      </c>
      <c r="D243" s="1429"/>
      <c r="E243" s="1430"/>
      <c r="F243" s="1582"/>
      <c r="G243" s="1429"/>
      <c r="H243" s="2196"/>
    </row>
    <row r="244" spans="2:8" ht="12" customHeight="1" thickBot="1" x14ac:dyDescent="0.25">
      <c r="B244" s="392" t="str">
        <f t="shared" si="8"/>
        <v/>
      </c>
      <c r="C244" s="1441" t="str">
        <f t="shared" si="7"/>
        <v/>
      </c>
      <c r="D244" s="1429"/>
      <c r="E244" s="1430"/>
      <c r="F244" s="1582"/>
      <c r="G244" s="1429"/>
      <c r="H244" s="2196"/>
    </row>
    <row r="245" spans="2:8" ht="12" customHeight="1" thickBot="1" x14ac:dyDescent="0.25">
      <c r="B245" s="392" t="str">
        <f t="shared" si="8"/>
        <v/>
      </c>
      <c r="C245" s="1441" t="str">
        <f t="shared" si="7"/>
        <v/>
      </c>
      <c r="D245" s="1429"/>
      <c r="E245" s="1430"/>
      <c r="F245" s="1582"/>
      <c r="G245" s="1429"/>
      <c r="H245" s="2196"/>
    </row>
    <row r="246" spans="2:8" ht="12" customHeight="1" thickBot="1" x14ac:dyDescent="0.25">
      <c r="B246" s="392" t="str">
        <f t="shared" si="8"/>
        <v/>
      </c>
      <c r="C246" s="1441" t="str">
        <f t="shared" si="7"/>
        <v/>
      </c>
      <c r="D246" s="1429"/>
      <c r="E246" s="1430"/>
      <c r="F246" s="1582"/>
      <c r="G246" s="1429"/>
      <c r="H246" s="2196"/>
    </row>
    <row r="247" spans="2:8" ht="12" customHeight="1" thickBot="1" x14ac:dyDescent="0.25">
      <c r="B247" s="392" t="str">
        <f t="shared" si="8"/>
        <v/>
      </c>
      <c r="C247" s="1441" t="str">
        <f t="shared" ref="C247:C286" si="9">IF(E247="","",E247&amp;IF(RIGHT(F247,1)="A",""," "&amp;CODE(RIGHT(F247,1))-CODE("A")+1))</f>
        <v/>
      </c>
      <c r="D247" s="1429"/>
      <c r="E247" s="1430"/>
      <c r="F247" s="1582"/>
      <c r="G247" s="1429"/>
      <c r="H247" s="2196"/>
    </row>
    <row r="248" spans="2:8" ht="12" customHeight="1" thickBot="1" x14ac:dyDescent="0.25">
      <c r="B248" s="392" t="str">
        <f t="shared" si="8"/>
        <v/>
      </c>
      <c r="C248" s="1441" t="str">
        <f t="shared" si="9"/>
        <v/>
      </c>
      <c r="D248" s="1429"/>
      <c r="E248" s="1430"/>
      <c r="F248" s="1582"/>
      <c r="G248" s="1429"/>
      <c r="H248" s="2196"/>
    </row>
    <row r="249" spans="2:8" ht="12" customHeight="1" thickBot="1" x14ac:dyDescent="0.25">
      <c r="B249" s="392" t="str">
        <f t="shared" si="8"/>
        <v/>
      </c>
      <c r="C249" s="1441" t="str">
        <f t="shared" si="9"/>
        <v/>
      </c>
      <c r="D249" s="1429"/>
      <c r="E249" s="1430"/>
      <c r="F249" s="1582"/>
      <c r="G249" s="1429"/>
      <c r="H249" s="2196"/>
    </row>
    <row r="250" spans="2:8" ht="12" customHeight="1" thickBot="1" x14ac:dyDescent="0.25">
      <c r="B250" s="392" t="str">
        <f t="shared" si="8"/>
        <v/>
      </c>
      <c r="C250" s="1441" t="str">
        <f t="shared" si="9"/>
        <v/>
      </c>
      <c r="D250" s="1429"/>
      <c r="E250" s="1430"/>
      <c r="F250" s="1582"/>
      <c r="G250" s="1429"/>
      <c r="H250" s="2196"/>
    </row>
    <row r="251" spans="2:8" ht="12" customHeight="1" thickBot="1" x14ac:dyDescent="0.25">
      <c r="B251" s="392" t="str">
        <f t="shared" si="8"/>
        <v/>
      </c>
      <c r="C251" s="1441" t="str">
        <f t="shared" si="9"/>
        <v/>
      </c>
      <c r="D251" s="1429"/>
      <c r="E251" s="1430"/>
      <c r="F251" s="1582"/>
      <c r="G251" s="1429"/>
      <c r="H251" s="2196"/>
    </row>
    <row r="252" spans="2:8" ht="12" customHeight="1" thickBot="1" x14ac:dyDescent="0.25">
      <c r="B252" s="392" t="str">
        <f t="shared" si="8"/>
        <v/>
      </c>
      <c r="C252" s="1441" t="str">
        <f t="shared" si="9"/>
        <v/>
      </c>
      <c r="D252" s="1429"/>
      <c r="E252" s="1430"/>
      <c r="F252" s="1582"/>
      <c r="G252" s="1429"/>
      <c r="H252" s="2196"/>
    </row>
    <row r="253" spans="2:8" ht="12" customHeight="1" thickBot="1" x14ac:dyDescent="0.25">
      <c r="B253" s="392" t="str">
        <f t="shared" si="8"/>
        <v/>
      </c>
      <c r="C253" s="1441" t="str">
        <f t="shared" si="9"/>
        <v/>
      </c>
      <c r="D253" s="1429"/>
      <c r="E253" s="1430"/>
      <c r="F253" s="1582"/>
      <c r="G253" s="1429"/>
      <c r="H253" s="2196"/>
    </row>
    <row r="254" spans="2:8" ht="12" customHeight="1" thickBot="1" x14ac:dyDescent="0.25">
      <c r="B254" s="392" t="str">
        <f t="shared" si="8"/>
        <v/>
      </c>
      <c r="C254" s="1441" t="str">
        <f t="shared" si="9"/>
        <v/>
      </c>
      <c r="D254" s="1429"/>
      <c r="E254" s="1430"/>
      <c r="F254" s="1582"/>
      <c r="G254" s="1429"/>
      <c r="H254" s="2196"/>
    </row>
    <row r="255" spans="2:8" ht="12" customHeight="1" thickBot="1" x14ac:dyDescent="0.25">
      <c r="B255" s="392" t="str">
        <f t="shared" si="8"/>
        <v/>
      </c>
      <c r="C255" s="1441" t="str">
        <f t="shared" si="9"/>
        <v/>
      </c>
      <c r="D255" s="1429"/>
      <c r="E255" s="1430"/>
      <c r="F255" s="1582"/>
      <c r="G255" s="1429"/>
      <c r="H255" s="2196"/>
    </row>
    <row r="256" spans="2:8" ht="12" customHeight="1" thickBot="1" x14ac:dyDescent="0.25">
      <c r="B256" s="392" t="str">
        <f t="shared" si="8"/>
        <v/>
      </c>
      <c r="C256" s="1441" t="str">
        <f t="shared" si="9"/>
        <v/>
      </c>
      <c r="D256" s="1429"/>
      <c r="E256" s="1430"/>
      <c r="F256" s="1582"/>
      <c r="G256" s="1429"/>
      <c r="H256" s="2196"/>
    </row>
    <row r="257" spans="2:8" ht="12" customHeight="1" thickBot="1" x14ac:dyDescent="0.25">
      <c r="B257" s="392" t="str">
        <f t="shared" si="8"/>
        <v/>
      </c>
      <c r="C257" s="1441" t="str">
        <f t="shared" si="9"/>
        <v/>
      </c>
      <c r="D257" s="1429"/>
      <c r="E257" s="1430"/>
      <c r="F257" s="1582"/>
      <c r="G257" s="1429"/>
      <c r="H257" s="2196"/>
    </row>
    <row r="258" spans="2:8" ht="12" customHeight="1" thickBot="1" x14ac:dyDescent="0.25">
      <c r="B258" s="392" t="str">
        <f t="shared" si="8"/>
        <v/>
      </c>
      <c r="C258" s="1441" t="str">
        <f t="shared" si="9"/>
        <v/>
      </c>
      <c r="D258" s="1429"/>
      <c r="E258" s="1430"/>
      <c r="F258" s="1582"/>
      <c r="G258" s="1429"/>
      <c r="H258" s="2196"/>
    </row>
    <row r="259" spans="2:8" ht="12" customHeight="1" thickBot="1" x14ac:dyDescent="0.25">
      <c r="B259" s="392" t="str">
        <f t="shared" si="8"/>
        <v/>
      </c>
      <c r="C259" s="1441" t="str">
        <f t="shared" si="9"/>
        <v/>
      </c>
      <c r="D259" s="1429"/>
      <c r="E259" s="1430"/>
      <c r="F259" s="1582"/>
      <c r="G259" s="1429"/>
      <c r="H259" s="2196"/>
    </row>
    <row r="260" spans="2:8" ht="12" customHeight="1" thickBot="1" x14ac:dyDescent="0.25">
      <c r="B260" s="392" t="str">
        <f t="shared" si="8"/>
        <v/>
      </c>
      <c r="C260" s="1441" t="str">
        <f t="shared" si="9"/>
        <v/>
      </c>
      <c r="D260" s="1429"/>
      <c r="E260" s="1430"/>
      <c r="F260" s="1582"/>
      <c r="G260" s="1429"/>
      <c r="H260" s="2196"/>
    </row>
    <row r="261" spans="2:8" ht="12" customHeight="1" thickBot="1" x14ac:dyDescent="0.25">
      <c r="B261" s="392" t="str">
        <f t="shared" si="8"/>
        <v/>
      </c>
      <c r="C261" s="1441" t="str">
        <f t="shared" si="9"/>
        <v/>
      </c>
      <c r="D261" s="1429"/>
      <c r="E261" s="1430"/>
      <c r="F261" s="1582"/>
      <c r="G261" s="1429"/>
      <c r="H261" s="2196"/>
    </row>
    <row r="262" spans="2:8" ht="12" customHeight="1" thickBot="1" x14ac:dyDescent="0.25">
      <c r="B262" s="392" t="str">
        <f t="shared" si="8"/>
        <v/>
      </c>
      <c r="C262" s="1441" t="str">
        <f t="shared" si="9"/>
        <v/>
      </c>
      <c r="D262" s="1429"/>
      <c r="E262" s="1430"/>
      <c r="F262" s="1582"/>
      <c r="G262" s="1429"/>
      <c r="H262" s="2196"/>
    </row>
    <row r="263" spans="2:8" ht="12" customHeight="1" thickBot="1" x14ac:dyDescent="0.25">
      <c r="B263" s="392" t="str">
        <f t="shared" si="8"/>
        <v/>
      </c>
      <c r="C263" s="1441" t="str">
        <f t="shared" si="9"/>
        <v/>
      </c>
      <c r="D263" s="1429"/>
      <c r="E263" s="1430"/>
      <c r="F263" s="1582"/>
      <c r="G263" s="1429"/>
      <c r="H263" s="2196"/>
    </row>
    <row r="264" spans="2:8" ht="12" customHeight="1" thickBot="1" x14ac:dyDescent="0.25">
      <c r="B264" s="392" t="str">
        <f t="shared" si="8"/>
        <v/>
      </c>
      <c r="C264" s="1441" t="str">
        <f t="shared" si="9"/>
        <v/>
      </c>
      <c r="D264" s="1429"/>
      <c r="E264" s="1430"/>
      <c r="F264" s="1582"/>
      <c r="G264" s="1429"/>
      <c r="H264" s="2196"/>
    </row>
    <row r="265" spans="2:8" ht="12" customHeight="1" thickBot="1" x14ac:dyDescent="0.25">
      <c r="B265" s="392" t="str">
        <f t="shared" si="8"/>
        <v/>
      </c>
      <c r="C265" s="1441" t="str">
        <f t="shared" si="9"/>
        <v/>
      </c>
      <c r="D265" s="1429"/>
      <c r="E265" s="1430"/>
      <c r="F265" s="1582"/>
      <c r="G265" s="1429"/>
      <c r="H265" s="2196"/>
    </row>
    <row r="266" spans="2:8" ht="12" customHeight="1" thickBot="1" x14ac:dyDescent="0.25">
      <c r="B266" s="392" t="str">
        <f t="shared" si="8"/>
        <v/>
      </c>
      <c r="C266" s="1441" t="str">
        <f t="shared" si="9"/>
        <v/>
      </c>
      <c r="D266" s="1429"/>
      <c r="E266" s="1430"/>
      <c r="F266" s="1582"/>
      <c r="G266" s="1429"/>
      <c r="H266" s="2196"/>
    </row>
    <row r="267" spans="2:8" ht="12" customHeight="1" thickBot="1" x14ac:dyDescent="0.25">
      <c r="B267" s="392" t="str">
        <f t="shared" si="8"/>
        <v/>
      </c>
      <c r="C267" s="1441" t="str">
        <f t="shared" si="9"/>
        <v/>
      </c>
      <c r="D267" s="1429"/>
      <c r="E267" s="1430"/>
      <c r="F267" s="1582"/>
      <c r="G267" s="1429"/>
      <c r="H267" s="2196"/>
    </row>
    <row r="268" spans="2:8" ht="12" customHeight="1" thickBot="1" x14ac:dyDescent="0.25">
      <c r="B268" s="392" t="str">
        <f t="shared" si="8"/>
        <v/>
      </c>
      <c r="C268" s="1441" t="str">
        <f t="shared" si="9"/>
        <v/>
      </c>
      <c r="D268" s="1429"/>
      <c r="E268" s="1430"/>
      <c r="F268" s="1582"/>
      <c r="G268" s="1429"/>
      <c r="H268" s="2196"/>
    </row>
    <row r="269" spans="2:8" ht="12" customHeight="1" thickBot="1" x14ac:dyDescent="0.25">
      <c r="B269" s="392" t="str">
        <f t="shared" si="8"/>
        <v/>
      </c>
      <c r="C269" s="1441" t="str">
        <f t="shared" si="9"/>
        <v/>
      </c>
      <c r="D269" s="1429"/>
      <c r="E269" s="1430"/>
      <c r="F269" s="1582"/>
      <c r="G269" s="1429"/>
      <c r="H269" s="2196"/>
    </row>
    <row r="270" spans="2:8" ht="12" customHeight="1" thickBot="1" x14ac:dyDescent="0.25">
      <c r="B270" s="392" t="str">
        <f t="shared" si="8"/>
        <v/>
      </c>
      <c r="C270" s="1441" t="str">
        <f t="shared" si="9"/>
        <v/>
      </c>
      <c r="D270" s="1429"/>
      <c r="E270" s="1430"/>
      <c r="F270" s="1582"/>
      <c r="G270" s="1429"/>
      <c r="H270" s="2196"/>
    </row>
    <row r="271" spans="2:8" ht="12" customHeight="1" thickBot="1" x14ac:dyDescent="0.25">
      <c r="B271" s="392" t="str">
        <f t="shared" si="8"/>
        <v/>
      </c>
      <c r="C271" s="1441" t="str">
        <f t="shared" si="9"/>
        <v/>
      </c>
      <c r="D271" s="1429"/>
      <c r="E271" s="1430"/>
      <c r="F271" s="1582"/>
      <c r="G271" s="1429"/>
      <c r="H271" s="2196"/>
    </row>
    <row r="272" spans="2:8" ht="12" customHeight="1" thickBot="1" x14ac:dyDescent="0.25">
      <c r="B272" s="392" t="str">
        <f t="shared" si="8"/>
        <v/>
      </c>
      <c r="C272" s="1441" t="str">
        <f t="shared" si="9"/>
        <v/>
      </c>
      <c r="D272" s="1429"/>
      <c r="E272" s="1430"/>
      <c r="F272" s="1582"/>
      <c r="G272" s="1429"/>
      <c r="H272" s="2196"/>
    </row>
    <row r="273" spans="2:8" ht="12" customHeight="1" thickBot="1" x14ac:dyDescent="0.25">
      <c r="B273" s="392" t="str">
        <f t="shared" si="8"/>
        <v/>
      </c>
      <c r="C273" s="1441" t="str">
        <f t="shared" si="9"/>
        <v/>
      </c>
      <c r="D273" s="1429"/>
      <c r="E273" s="1430"/>
      <c r="F273" s="1582"/>
      <c r="G273" s="1429"/>
      <c r="H273" s="2196"/>
    </row>
    <row r="274" spans="2:8" ht="12" customHeight="1" thickBot="1" x14ac:dyDescent="0.25">
      <c r="B274" s="392" t="str">
        <f t="shared" si="8"/>
        <v/>
      </c>
      <c r="C274" s="1441" t="str">
        <f t="shared" si="9"/>
        <v/>
      </c>
      <c r="D274" s="1429"/>
      <c r="E274" s="1430"/>
      <c r="F274" s="1582"/>
      <c r="G274" s="1429"/>
      <c r="H274" s="2196"/>
    </row>
    <row r="275" spans="2:8" ht="12" customHeight="1" thickBot="1" x14ac:dyDescent="0.25">
      <c r="B275" s="392" t="str">
        <f t="shared" si="8"/>
        <v/>
      </c>
      <c r="C275" s="1441" t="str">
        <f t="shared" si="9"/>
        <v/>
      </c>
      <c r="D275" s="1429"/>
      <c r="E275" s="1430"/>
      <c r="F275" s="1582"/>
      <c r="G275" s="1429"/>
      <c r="H275" s="2196"/>
    </row>
    <row r="276" spans="2:8" ht="12" customHeight="1" thickBot="1" x14ac:dyDescent="0.25">
      <c r="B276" s="392" t="str">
        <f t="shared" si="8"/>
        <v/>
      </c>
      <c r="C276" s="1441" t="str">
        <f t="shared" si="9"/>
        <v/>
      </c>
      <c r="D276" s="1429"/>
      <c r="E276" s="1430"/>
      <c r="F276" s="1582"/>
      <c r="G276" s="1429"/>
      <c r="H276" s="2196"/>
    </row>
    <row r="277" spans="2:8" ht="12" customHeight="1" thickBot="1" x14ac:dyDescent="0.25">
      <c r="B277" s="392" t="str">
        <f t="shared" si="8"/>
        <v/>
      </c>
      <c r="C277" s="1441" t="str">
        <f t="shared" si="9"/>
        <v/>
      </c>
      <c r="D277" s="1429"/>
      <c r="E277" s="1430"/>
      <c r="F277" s="1582"/>
      <c r="G277" s="1429"/>
      <c r="H277" s="2196"/>
    </row>
    <row r="278" spans="2:8" ht="12" customHeight="1" thickBot="1" x14ac:dyDescent="0.25">
      <c r="B278" s="392" t="str">
        <f t="shared" si="8"/>
        <v/>
      </c>
      <c r="C278" s="1441" t="str">
        <f t="shared" si="9"/>
        <v/>
      </c>
      <c r="D278" s="1429"/>
      <c r="E278" s="1430"/>
      <c r="F278" s="1582"/>
      <c r="G278" s="1429"/>
      <c r="H278" s="2196"/>
    </row>
    <row r="279" spans="2:8" ht="12" customHeight="1" thickBot="1" x14ac:dyDescent="0.25">
      <c r="B279" s="392" t="str">
        <f t="shared" si="8"/>
        <v/>
      </c>
      <c r="C279" s="1441" t="str">
        <f t="shared" si="9"/>
        <v/>
      </c>
      <c r="D279" s="1429"/>
      <c r="E279" s="1430"/>
      <c r="F279" s="1582"/>
      <c r="G279" s="1429"/>
      <c r="H279" s="2196"/>
    </row>
    <row r="280" spans="2:8" ht="12" customHeight="1" thickBot="1" x14ac:dyDescent="0.25">
      <c r="B280" s="392" t="str">
        <f t="shared" si="8"/>
        <v/>
      </c>
      <c r="C280" s="1441" t="str">
        <f t="shared" si="9"/>
        <v/>
      </c>
      <c r="D280" s="1429"/>
      <c r="E280" s="1430"/>
      <c r="F280" s="1582"/>
      <c r="G280" s="1429"/>
      <c r="H280" s="2196"/>
    </row>
    <row r="281" spans="2:8" ht="12" customHeight="1" thickBot="1" x14ac:dyDescent="0.25">
      <c r="B281" s="392" t="str">
        <f t="shared" si="8"/>
        <v/>
      </c>
      <c r="C281" s="1441" t="str">
        <f t="shared" si="9"/>
        <v/>
      </c>
      <c r="D281" s="1429"/>
      <c r="E281" s="1430"/>
      <c r="F281" s="1582"/>
      <c r="G281" s="1429"/>
      <c r="H281" s="2196"/>
    </row>
    <row r="282" spans="2:8" ht="12" customHeight="1" thickBot="1" x14ac:dyDescent="0.25">
      <c r="B282" s="392" t="str">
        <f t="shared" si="8"/>
        <v/>
      </c>
      <c r="C282" s="1441" t="str">
        <f t="shared" si="9"/>
        <v/>
      </c>
      <c r="D282" s="1429"/>
      <c r="E282" s="1430"/>
      <c r="F282" s="1582"/>
      <c r="G282" s="1429"/>
      <c r="H282" s="2196"/>
    </row>
    <row r="283" spans="2:8" ht="12" customHeight="1" thickBot="1" x14ac:dyDescent="0.25">
      <c r="B283" s="392" t="str">
        <f t="shared" si="8"/>
        <v/>
      </c>
      <c r="C283" s="1441" t="str">
        <f t="shared" si="9"/>
        <v/>
      </c>
      <c r="D283" s="1429"/>
      <c r="E283" s="1430"/>
      <c r="F283" s="1582"/>
      <c r="G283" s="1429"/>
      <c r="H283" s="2196"/>
    </row>
    <row r="284" spans="2:8" ht="12" customHeight="1" thickBot="1" x14ac:dyDescent="0.25">
      <c r="B284" s="392" t="str">
        <f t="shared" si="8"/>
        <v/>
      </c>
      <c r="C284" s="1441" t="str">
        <f t="shared" si="9"/>
        <v/>
      </c>
      <c r="D284" s="1429"/>
      <c r="E284" s="1430"/>
      <c r="F284" s="1582"/>
      <c r="G284" s="1429"/>
      <c r="H284" s="2196"/>
    </row>
    <row r="285" spans="2:8" ht="12" customHeight="1" thickBot="1" x14ac:dyDescent="0.25">
      <c r="B285" s="392" t="str">
        <f t="shared" si="8"/>
        <v/>
      </c>
      <c r="C285" s="1441" t="str">
        <f t="shared" si="9"/>
        <v/>
      </c>
      <c r="D285" s="1429"/>
      <c r="E285" s="1430"/>
      <c r="F285" s="1582"/>
      <c r="G285" s="1429"/>
      <c r="H285" s="2196"/>
    </row>
    <row r="286" spans="2:8" ht="12" customHeight="1" thickBot="1" x14ac:dyDescent="0.25">
      <c r="B286" s="392" t="str">
        <f t="shared" si="8"/>
        <v/>
      </c>
      <c r="C286" s="1441" t="str">
        <f t="shared" si="9"/>
        <v/>
      </c>
      <c r="D286" s="1429"/>
      <c r="E286" s="1430"/>
      <c r="F286" s="1582"/>
      <c r="G286" s="1429"/>
      <c r="H286" s="2196"/>
    </row>
    <row r="287" spans="2:8" ht="12" customHeight="1" x14ac:dyDescent="0.2">
      <c r="B287" s="392" t="str">
        <f t="shared" si="6"/>
        <v/>
      </c>
      <c r="C287" s="1441" t="str">
        <f t="shared" si="7"/>
        <v/>
      </c>
      <c r="D287" s="1429"/>
      <c r="E287" s="1430"/>
      <c r="F287" s="1582"/>
      <c r="G287" s="1429"/>
      <c r="H287" s="2196"/>
    </row>
  </sheetData>
  <sheetProtection formatColumns="0" formatRows="0" selectLockedCells="1"/>
  <autoFilter ref="C6:H287" xr:uid="{00000000-0009-0000-0000-000008000000}">
    <sortState xmlns:xlrd2="http://schemas.microsoft.com/office/spreadsheetml/2017/richdata2" ref="C7:H287">
      <sortCondition ref="D6:D287"/>
    </sortState>
  </autoFilter>
  <dataConsolidate/>
  <customSheetViews>
    <customSheetView guid="{13F24B0A-7740-483A-BEF7-5257F8522605}" showGridLines="0" fitToPage="1" showAutoFilter="1" hiddenColumns="1" state="hidden">
      <pane ySplit="6" topLeftCell="A7" activePane="bottomLeft" state="frozen"/>
      <selection pane="bottomLeft" activeCell="G141" sqref="G141:H259"/>
      <pageMargins left="0.78740157480314965" right="0.78740157480314965" top="0.98425196850393704" bottom="0.98425196850393704" header="0.51181102362204722" footer="0.51181102362204722"/>
      <printOptions horizontalCentered="1"/>
      <pageSetup paperSize="9" scale="56" fitToHeight="100" orientation="portrait" r:id="rId1"/>
      <headerFooter alignWithMargins="0"/>
      <autoFilter ref="C6:H256" xr:uid="{D7877996-6322-4406-84E6-E74CB9F45140}">
        <sortState xmlns:xlrd2="http://schemas.microsoft.com/office/spreadsheetml/2017/richdata2" ref="C1687:J1843">
          <sortCondition ref="D6:D2456"/>
        </sortState>
      </autoFilter>
    </customSheetView>
  </customSheetViews>
  <mergeCells count="2">
    <mergeCell ref="C1:H1"/>
    <mergeCell ref="C5:H5"/>
  </mergeCells>
  <dataValidations disablePrompts="1" count="1">
    <dataValidation type="list" allowBlank="1" showInputMessage="1" showErrorMessage="1" sqref="G7:G287" xr:uid="{00000000-0002-0000-0800-000000000000}">
      <formula1>Nationalities</formula1>
    </dataValidation>
  </dataValidations>
  <printOptions horizontalCentered="1"/>
  <pageMargins left="0.78740157480314965" right="0.78740157480314965" top="0.98425196850393704" bottom="0.98425196850393704" header="0.51181102362204722" footer="0.51181102362204722"/>
  <pageSetup paperSize="9" scale="56" fitToHeight="100" orientation="portrait"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_CheckIn">
    <tabColor rgb="FFFFC000"/>
    <outlinePr summaryBelow="0"/>
    <pageSetUpPr fitToPage="1"/>
  </sheetPr>
  <dimension ref="A1:AQ64"/>
  <sheetViews>
    <sheetView showGridLines="0" zoomScaleNormal="100" workbookViewId="0">
      <pane xSplit="2" ySplit="5" topLeftCell="C6" activePane="bottomRight" state="frozen"/>
      <selection activeCell="B5" sqref="B5:C5"/>
      <selection pane="topRight" activeCell="B5" sqref="B5:C5"/>
      <selection pane="bottomLeft" activeCell="B5" sqref="B5:C5"/>
      <selection pane="bottomRight" activeCell="AJ43" sqref="AJ43"/>
    </sheetView>
  </sheetViews>
  <sheetFormatPr baseColWidth="10" defaultColWidth="3.28515625" defaultRowHeight="12.75" outlineLevelCol="1" x14ac:dyDescent="0.2"/>
  <cols>
    <col min="1" max="1" width="3.5703125" style="1584" bestFit="1" customWidth="1"/>
    <col min="2" max="2" width="24.85546875" style="1397" customWidth="1"/>
    <col min="3" max="3" width="24.140625" style="1397" bestFit="1" customWidth="1"/>
    <col min="4" max="4" width="11.140625" style="1397" bestFit="1" customWidth="1"/>
    <col min="5" max="5" width="29.140625" style="1397" customWidth="1" outlineLevel="1"/>
    <col min="6" max="6" width="10" style="1397" bestFit="1" customWidth="1"/>
    <col min="7" max="13" width="3.28515625" style="1397" customWidth="1"/>
    <col min="14" max="14" width="3.7109375" style="1397" customWidth="1" outlineLevel="1"/>
    <col min="15" max="19" width="4.28515625" style="1397" customWidth="1" outlineLevel="1"/>
    <col min="20" max="20" width="4.5703125" style="1397" customWidth="1"/>
    <col min="21" max="21" width="3.28515625" style="1397" customWidth="1"/>
    <col min="22" max="22" width="30.28515625" style="845" customWidth="1"/>
    <col min="23" max="23" width="16.140625" style="1397" bestFit="1" customWidth="1"/>
    <col min="24" max="24" width="18.28515625" style="1397" bestFit="1" customWidth="1"/>
    <col min="25" max="25" width="22.42578125" style="1397" bestFit="1" customWidth="1"/>
    <col min="26" max="26" width="8.42578125" style="1397" bestFit="1" customWidth="1"/>
    <col min="27" max="27" width="9.140625" style="1397" bestFit="1" customWidth="1"/>
    <col min="28" max="28" width="8.42578125" style="1397" bestFit="1" customWidth="1"/>
    <col min="29" max="29" width="7.5703125" style="1397" customWidth="1"/>
    <col min="30" max="30" width="7.7109375" style="1397" customWidth="1"/>
    <col min="31" max="34" width="7.5703125" style="1397" customWidth="1"/>
    <col min="35" max="38" width="27.5703125" style="1397" bestFit="1" customWidth="1"/>
    <col min="39" max="40" width="10" style="1397" bestFit="1" customWidth="1"/>
    <col min="41" max="41" width="7.5703125" style="1397" customWidth="1"/>
    <col min="42" max="42" width="18.42578125" style="1397" bestFit="1" customWidth="1"/>
    <col min="43" max="43" width="3.42578125" style="1397" customWidth="1"/>
    <col min="44" max="16384" width="3.28515625" style="1397"/>
  </cols>
  <sheetData>
    <row r="1" spans="1:43" ht="36" thickBot="1" x14ac:dyDescent="0.55000000000000004">
      <c r="A1" s="1853">
        <v>1</v>
      </c>
      <c r="B1" s="1858" t="str">
        <f>N_PlayerCheckin</f>
        <v>Inscription des joueurs</v>
      </c>
      <c r="C1" s="1858"/>
      <c r="D1" s="1858"/>
      <c r="E1" s="1858"/>
      <c r="F1" s="1858"/>
      <c r="G1" s="1858"/>
      <c r="H1" s="1858"/>
      <c r="I1" s="1858"/>
      <c r="J1" s="1858"/>
      <c r="K1" s="1858"/>
      <c r="L1" s="1858"/>
      <c r="M1" s="1858"/>
      <c r="N1" s="1858"/>
      <c r="O1" s="1858"/>
      <c r="P1" s="1858"/>
      <c r="Q1" s="1858"/>
      <c r="R1" s="1858"/>
      <c r="S1" s="1858"/>
      <c r="T1" s="1858"/>
      <c r="U1" s="1858"/>
      <c r="V1" s="1859"/>
      <c r="W1" s="1857"/>
      <c r="X1" s="1857"/>
      <c r="Y1" s="267"/>
      <c r="Z1" s="1854"/>
      <c r="AA1" s="1854"/>
      <c r="AB1" s="1854"/>
      <c r="AC1" s="1854"/>
      <c r="AD1" s="1854"/>
      <c r="AE1" s="1854"/>
      <c r="AF1" s="1854"/>
      <c r="AG1" s="1854"/>
      <c r="AH1" s="1854"/>
      <c r="AI1" s="1854"/>
      <c r="AJ1" s="1854"/>
      <c r="AK1" s="1854"/>
      <c r="AL1" s="1854"/>
      <c r="AM1" s="1854"/>
      <c r="AN1" s="1854"/>
      <c r="AO1" s="1854"/>
      <c r="AP1" s="1854"/>
      <c r="AQ1" s="267"/>
    </row>
    <row r="2" spans="1:43" ht="18" hidden="1" x14ac:dyDescent="0.25">
      <c r="A2" s="1854"/>
      <c r="B2" s="1861"/>
      <c r="C2" s="1869"/>
      <c r="D2" s="1869"/>
      <c r="E2" s="1862"/>
      <c r="F2" s="1863"/>
      <c r="G2" s="1863"/>
      <c r="H2" s="1869"/>
      <c r="I2" s="1864"/>
      <c r="J2" s="1864"/>
      <c r="K2" s="1864"/>
      <c r="L2" s="1864"/>
      <c r="M2" s="1864"/>
      <c r="N2" s="1864"/>
      <c r="O2" s="2209"/>
      <c r="P2" s="2209"/>
      <c r="Q2" s="2209"/>
      <c r="R2" s="2209"/>
      <c r="S2" s="2209"/>
      <c r="T2" s="1864"/>
      <c r="U2" s="1864"/>
      <c r="V2" s="1870"/>
      <c r="W2" s="1865"/>
      <c r="X2" s="1865"/>
      <c r="Y2" s="1865"/>
      <c r="Z2" s="1871"/>
      <c r="AA2" s="1871"/>
      <c r="AB2" s="1871"/>
      <c r="AC2" s="1871"/>
      <c r="AD2" s="1871"/>
      <c r="AE2" s="1871"/>
      <c r="AF2" s="1871"/>
      <c r="AG2" s="1871"/>
      <c r="AH2" s="1871"/>
      <c r="AI2" s="1871"/>
      <c r="AJ2" s="1871"/>
      <c r="AK2" s="1871"/>
      <c r="AL2" s="1871"/>
      <c r="AM2" s="1871"/>
      <c r="AN2" s="1871"/>
      <c r="AO2" s="1871"/>
      <c r="AP2" s="1872"/>
      <c r="AQ2" s="1860"/>
    </row>
    <row r="3" spans="1:43" ht="18.75" hidden="1" thickBot="1" x14ac:dyDescent="0.3">
      <c r="A3" s="1855"/>
      <c r="B3" s="1873">
        <f>IF(NationalityTrigram,7,2)</f>
        <v>2</v>
      </c>
      <c r="C3" s="1866"/>
      <c r="D3" s="1866">
        <f>IF(RankingAsLicencesList,7,7)</f>
        <v>7</v>
      </c>
      <c r="E3" s="1866">
        <f>IF(RankingAsLicencesList,6,6)</f>
        <v>6</v>
      </c>
      <c r="F3" s="1866">
        <f>IF(RankingAsLicencesList,4,5)</f>
        <v>5</v>
      </c>
      <c r="G3" s="1866"/>
      <c r="H3" s="1867"/>
      <c r="I3" s="1867"/>
      <c r="J3" s="1867"/>
      <c r="K3" s="1867"/>
      <c r="L3" s="1867"/>
      <c r="M3" s="1867"/>
      <c r="N3" s="1867"/>
      <c r="O3" s="1867"/>
      <c r="P3" s="1867"/>
      <c r="Q3" s="1867"/>
      <c r="R3" s="1867"/>
      <c r="S3" s="1867"/>
      <c r="T3" s="1867"/>
      <c r="U3" s="1867"/>
      <c r="V3" s="1874"/>
      <c r="W3" s="1868">
        <f>IF(RankingAsLicencesList,5,3)</f>
        <v>3</v>
      </c>
      <c r="X3" s="1868">
        <f>IF(RankingAsLicencesList,4,2)</f>
        <v>2</v>
      </c>
      <c r="Y3" s="1875"/>
      <c r="Z3" s="1876">
        <f>IF(RankingAsLicencesList,7,7)</f>
        <v>7</v>
      </c>
      <c r="AA3" s="1876">
        <f>IF(NationalityTrigram,2,2)</f>
        <v>2</v>
      </c>
      <c r="AB3" s="1868">
        <f>IF(RankingAsLicencesList,4,4)</f>
        <v>4</v>
      </c>
      <c r="AC3" s="1876"/>
      <c r="AD3" s="1876"/>
      <c r="AE3" s="1876"/>
      <c r="AF3" s="1876"/>
      <c r="AG3" s="1876"/>
      <c r="AH3" s="1876"/>
      <c r="AI3" s="1876"/>
      <c r="AJ3" s="1876"/>
      <c r="AK3" s="1876"/>
      <c r="AL3" s="1876"/>
      <c r="AM3" s="1876"/>
      <c r="AN3" s="1876"/>
      <c r="AO3" s="1876"/>
      <c r="AP3" s="1877"/>
      <c r="AQ3" s="7"/>
    </row>
    <row r="4" spans="1:43" ht="16.5" thickBot="1" x14ac:dyDescent="0.3">
      <c r="A4" s="1855"/>
      <c r="B4" s="2271" t="str">
        <f>N_PlayerCheckin</f>
        <v>Inscription des joueurs</v>
      </c>
      <c r="C4" s="2272"/>
      <c r="D4" s="2272"/>
      <c r="E4" s="2272"/>
      <c r="F4" s="2272"/>
      <c r="G4" s="2273"/>
      <c r="H4" s="2267" t="str">
        <f>N_Event_participation</f>
        <v>Participation aux épreuves</v>
      </c>
      <c r="I4" s="2268"/>
      <c r="J4" s="2268"/>
      <c r="K4" s="2268"/>
      <c r="L4" s="2268"/>
      <c r="M4" s="2268"/>
      <c r="N4" s="2268"/>
      <c r="O4" s="2269"/>
      <c r="P4" s="2269"/>
      <c r="Q4" s="2269"/>
      <c r="R4" s="2269"/>
      <c r="S4" s="2269"/>
      <c r="T4" s="2268"/>
      <c r="U4" s="2270"/>
      <c r="V4" s="453"/>
      <c r="W4" s="2274" t="s">
        <v>2743</v>
      </c>
      <c r="X4" s="2275"/>
      <c r="Y4" s="2275"/>
      <c r="Z4" s="2275"/>
      <c r="AA4" s="2275"/>
      <c r="AB4" s="2275"/>
      <c r="AC4" s="2275"/>
      <c r="AD4" s="2275"/>
      <c r="AE4" s="2275"/>
      <c r="AF4" s="2275"/>
      <c r="AG4" s="2275"/>
      <c r="AH4" s="2275"/>
      <c r="AI4" s="2276"/>
      <c r="AJ4" s="2276"/>
      <c r="AK4" s="2276"/>
      <c r="AL4" s="2276"/>
      <c r="AM4" s="2276"/>
      <c r="AN4" s="2275"/>
      <c r="AO4" s="2275"/>
      <c r="AP4" s="2277"/>
      <c r="AQ4" s="7"/>
    </row>
    <row r="5" spans="1:43" ht="39.75" thickBot="1" x14ac:dyDescent="0.25">
      <c r="A5" s="1856"/>
      <c r="B5" s="1562" t="str">
        <f>N_Joueurs</f>
        <v>Joueurs</v>
      </c>
      <c r="C5" s="1564" t="str">
        <f>N_Name_1stname</f>
        <v>NOM / Prénom</v>
      </c>
      <c r="D5" s="697" t="str">
        <f>N_Nationality</f>
        <v>Nationalité</v>
      </c>
      <c r="E5" s="1563" t="str">
        <f>N_Club</f>
        <v>Club</v>
      </c>
      <c r="F5" s="698" t="str">
        <f>IF(RankingAsLicencesList,N_DateOfBirth,N_Category)</f>
        <v>Catégorie</v>
      </c>
      <c r="G5" s="912" t="str">
        <f>N_Referee</f>
        <v>Referee</v>
      </c>
      <c r="H5" s="1580" t="str">
        <f>Event1</f>
        <v>Open</v>
      </c>
      <c r="I5" s="1619" t="str">
        <f>Event2</f>
        <v>Veterans</v>
      </c>
      <c r="J5" s="2216" t="str">
        <f>Event3</f>
        <v>Women</v>
      </c>
      <c r="K5" s="1579" t="str">
        <f>Event4</f>
        <v>U20</v>
      </c>
      <c r="L5" s="1312" t="str">
        <f>Event5</f>
        <v>U16</v>
      </c>
      <c r="M5" s="1621" t="str">
        <f>Event6</f>
        <v>U12</v>
      </c>
      <c r="N5" s="2576" t="str">
        <f>Event7</f>
        <v>D1</v>
      </c>
      <c r="O5" s="2225" t="str">
        <f>Event8</f>
        <v>D2</v>
      </c>
      <c r="P5" s="2578" t="str">
        <f>Event9</f>
        <v>D3</v>
      </c>
      <c r="Q5" s="2580" t="str">
        <f>Event10</f>
        <v>D4</v>
      </c>
      <c r="R5" s="2582" t="str">
        <f>Event11</f>
        <v>___</v>
      </c>
      <c r="S5" s="2582" t="str">
        <f>Event12</f>
        <v>___</v>
      </c>
      <c r="T5" s="2583" t="str">
        <f>Event13</f>
        <v>___</v>
      </c>
      <c r="U5" s="2585" t="str">
        <f>Event14</f>
        <v>___</v>
      </c>
      <c r="V5" s="1567" t="str">
        <f>N_Visa</f>
        <v>Signature</v>
      </c>
      <c r="W5" s="1566" t="s">
        <v>1565</v>
      </c>
      <c r="X5" s="1566" t="s">
        <v>12787</v>
      </c>
      <c r="Y5" s="1566" t="s">
        <v>12788</v>
      </c>
      <c r="Z5" s="1565" t="s">
        <v>8891</v>
      </c>
      <c r="AA5" s="1565" t="s">
        <v>881</v>
      </c>
      <c r="AB5" s="1565" t="s">
        <v>2744</v>
      </c>
      <c r="AC5" s="1565" t="str">
        <f t="shared" ref="AC5:AH5" si="0">H5</f>
        <v>Open</v>
      </c>
      <c r="AD5" s="1565" t="str">
        <f t="shared" si="0"/>
        <v>Veterans</v>
      </c>
      <c r="AE5" s="1565" t="str">
        <f t="shared" si="0"/>
        <v>Women</v>
      </c>
      <c r="AF5" s="1565" t="str">
        <f t="shared" si="0"/>
        <v>U20</v>
      </c>
      <c r="AG5" s="1565" t="str">
        <f t="shared" si="0"/>
        <v>U16</v>
      </c>
      <c r="AH5" s="1565" t="str">
        <f t="shared" si="0"/>
        <v>U12</v>
      </c>
      <c r="AI5" s="1565" t="str">
        <f t="shared" ref="AI5" si="1">N5</f>
        <v>D1</v>
      </c>
      <c r="AJ5" s="1565" t="str">
        <f t="shared" ref="AJ5" si="2">O5</f>
        <v>D2</v>
      </c>
      <c r="AK5" s="1565" t="str">
        <f t="shared" ref="AK5" si="3">P5</f>
        <v>D3</v>
      </c>
      <c r="AL5" s="1565" t="str">
        <f t="shared" ref="AL5" si="4">Q5</f>
        <v>D4</v>
      </c>
      <c r="AM5" s="1565" t="str">
        <f t="shared" ref="AM5" si="5">R5</f>
        <v>___</v>
      </c>
      <c r="AN5" s="1565" t="str">
        <f t="shared" ref="AN5" si="6">S5</f>
        <v>___</v>
      </c>
      <c r="AO5" s="1565" t="str">
        <f t="shared" ref="AO5" si="7">T5</f>
        <v>___</v>
      </c>
      <c r="AP5" s="1565" t="str">
        <f t="shared" ref="AP5" si="8">U5</f>
        <v>___</v>
      </c>
      <c r="AQ5" s="267"/>
    </row>
    <row r="6" spans="1:43" ht="15" x14ac:dyDescent="0.2">
      <c r="A6" s="1626">
        <v>1</v>
      </c>
      <c r="B6" s="699" t="s">
        <v>18224</v>
      </c>
      <c r="C6" s="701" t="s">
        <v>18222</v>
      </c>
      <c r="D6" s="1351" t="str">
        <f>"FRA"</f>
        <v>FRA</v>
      </c>
      <c r="E6" s="1351" t="str">
        <f>"FTC Caen"</f>
        <v>FTC Caen</v>
      </c>
      <c r="F6" s="1351" t="str">
        <f>"OPEN"</f>
        <v>OPEN</v>
      </c>
      <c r="G6" s="702" t="s">
        <v>18225</v>
      </c>
      <c r="H6" s="703"/>
      <c r="I6" s="704"/>
      <c r="J6" s="704"/>
      <c r="K6" s="704"/>
      <c r="L6" s="704"/>
      <c r="M6" s="704"/>
      <c r="N6" s="703" t="s">
        <v>18225</v>
      </c>
      <c r="O6" s="704"/>
      <c r="P6" s="704"/>
      <c r="Q6" s="704"/>
      <c r="R6" s="704"/>
      <c r="S6" s="704"/>
      <c r="T6" s="704"/>
      <c r="U6" s="704"/>
      <c r="V6" s="2217"/>
      <c r="W6" s="1351" t="str">
        <f>"Raphaël"</f>
        <v>Raphaël</v>
      </c>
      <c r="X6" s="1351" t="str">
        <f>"Pommier"</f>
        <v>Pommier</v>
      </c>
      <c r="Y6" s="699" t="s">
        <v>18223</v>
      </c>
      <c r="Z6" s="700" t="s">
        <v>1019</v>
      </c>
      <c r="AA6" s="700" t="s">
        <v>13567</v>
      </c>
      <c r="AB6" s="700" t="s">
        <v>2889</v>
      </c>
      <c r="AC6" s="700">
        <v>38</v>
      </c>
      <c r="AD6" s="700"/>
      <c r="AE6" s="700"/>
      <c r="AF6" s="700"/>
      <c r="AG6" s="700"/>
      <c r="AH6" s="700"/>
      <c r="AI6" s="700" t="str">
        <f t="shared" ref="AI6:AL37" si="9">IF($AB6="","",IF($AC6="","",TEXT($AC6,"0000")&amp;" (Open) ")&amp;IF($AD6="","",TEXT($AD6,"0000")&amp;" (Vet) ")&amp;IF($AE6="","",TEXT($AE6,"0000")&amp;" (Wom) ")&amp;IF($AF6="","",TEXT($AF6,"0000")&amp;" (U20) ")&amp;IF($AG6="","",TEXT($AG6,"0000")&amp;" (U16) ")&amp;IF($AH6="","",TEXT($AH6,"0000")&amp;" (U12) ")&amp;IF(AND($AC6="",$AD6="",$AE6="",$AF6="",$AG6="",$AH6=""),"No Ranked",""))</f>
        <v xml:space="preserve">0038 (Open) </v>
      </c>
      <c r="AJ6" s="700" t="str">
        <f t="shared" si="9"/>
        <v xml:space="preserve">0038 (Open) </v>
      </c>
      <c r="AK6" s="700" t="str">
        <f t="shared" si="9"/>
        <v xml:space="preserve">0038 (Open) </v>
      </c>
      <c r="AL6" s="700" t="str">
        <f t="shared" si="9"/>
        <v xml:space="preserve">0038 (Open) </v>
      </c>
      <c r="AM6" s="700"/>
      <c r="AN6" s="700"/>
      <c r="AO6" s="700"/>
      <c r="AP6" s="700"/>
      <c r="AQ6" s="1584"/>
    </row>
    <row r="7" spans="1:43" ht="15" x14ac:dyDescent="0.2">
      <c r="A7" s="1626">
        <v>2</v>
      </c>
      <c r="B7" s="699" t="s">
        <v>18228</v>
      </c>
      <c r="C7" s="701" t="s">
        <v>18226</v>
      </c>
      <c r="D7" s="1351" t="str">
        <f>"FRA"</f>
        <v>FRA</v>
      </c>
      <c r="E7" s="1351" t="str">
        <f>"FTC Issy-les-Moulineaux"</f>
        <v>FTC Issy-les-Moulineaux</v>
      </c>
      <c r="F7" s="1351" t="str">
        <f>"OPEN"</f>
        <v>OPEN</v>
      </c>
      <c r="G7" s="702" t="s">
        <v>18225</v>
      </c>
      <c r="H7" s="703"/>
      <c r="I7" s="704"/>
      <c r="J7" s="704"/>
      <c r="K7" s="704"/>
      <c r="L7" s="704"/>
      <c r="M7" s="704"/>
      <c r="N7" s="703" t="s">
        <v>18225</v>
      </c>
      <c r="O7" s="704"/>
      <c r="P7" s="704"/>
      <c r="Q7" s="704"/>
      <c r="R7" s="704"/>
      <c r="S7" s="704"/>
      <c r="T7" s="704"/>
      <c r="U7" s="704"/>
      <c r="V7" s="2217"/>
      <c r="W7" s="1351" t="str">
        <f>"Théo"</f>
        <v>Théo</v>
      </c>
      <c r="X7" s="1351" t="str">
        <f>"Modeste"</f>
        <v>Modeste</v>
      </c>
      <c r="Y7" s="699" t="s">
        <v>18227</v>
      </c>
      <c r="Z7" s="700" t="s">
        <v>1019</v>
      </c>
      <c r="AA7" s="700" t="s">
        <v>2933</v>
      </c>
      <c r="AB7" s="700" t="s">
        <v>2880</v>
      </c>
      <c r="AC7" s="700">
        <v>26</v>
      </c>
      <c r="AD7" s="700"/>
      <c r="AE7" s="700"/>
      <c r="AF7" s="700"/>
      <c r="AG7" s="700"/>
      <c r="AH7" s="700"/>
      <c r="AI7" s="700" t="str">
        <f t="shared" si="9"/>
        <v xml:space="preserve">0026 (Open) </v>
      </c>
      <c r="AJ7" s="700" t="str">
        <f t="shared" si="9"/>
        <v xml:space="preserve">0026 (Open) </v>
      </c>
      <c r="AK7" s="700" t="str">
        <f t="shared" si="9"/>
        <v xml:space="preserve">0026 (Open) </v>
      </c>
      <c r="AL7" s="700" t="str">
        <f t="shared" si="9"/>
        <v xml:space="preserve">0026 (Open) </v>
      </c>
      <c r="AM7" s="700"/>
      <c r="AN7" s="700"/>
      <c r="AO7" s="700"/>
      <c r="AP7" s="700"/>
      <c r="AQ7" s="1584"/>
    </row>
    <row r="8" spans="1:43" ht="15" x14ac:dyDescent="0.2">
      <c r="A8" s="1626">
        <v>3</v>
      </c>
      <c r="B8" s="699" t="s">
        <v>18231</v>
      </c>
      <c r="C8" s="701" t="s">
        <v>18229</v>
      </c>
      <c r="D8" s="1351" t="str">
        <f>"FRA"</f>
        <v>FRA</v>
      </c>
      <c r="E8" s="1351" t="str">
        <f>"FTC Issy-les-Moulineaux"</f>
        <v>FTC Issy-les-Moulineaux</v>
      </c>
      <c r="F8" s="1351" t="str">
        <f>"VET"</f>
        <v>VET</v>
      </c>
      <c r="G8" s="702" t="s">
        <v>18225</v>
      </c>
      <c r="H8" s="703"/>
      <c r="I8" s="704"/>
      <c r="J8" s="704"/>
      <c r="K8" s="704"/>
      <c r="L8" s="704"/>
      <c r="M8" s="704"/>
      <c r="N8" s="703" t="s">
        <v>18225</v>
      </c>
      <c r="O8" s="704"/>
      <c r="P8" s="704"/>
      <c r="Q8" s="704"/>
      <c r="R8" s="704"/>
      <c r="S8" s="704"/>
      <c r="T8" s="704"/>
      <c r="U8" s="704"/>
      <c r="V8" s="2217"/>
      <c r="W8" s="1351" t="str">
        <f>"Eric"</f>
        <v>Eric</v>
      </c>
      <c r="X8" s="1351" t="str">
        <f>"Naszalyi"</f>
        <v>Naszalyi</v>
      </c>
      <c r="Y8" s="699" t="s">
        <v>18230</v>
      </c>
      <c r="Z8" s="700" t="s">
        <v>1019</v>
      </c>
      <c r="AA8" s="700" t="s">
        <v>2933</v>
      </c>
      <c r="AB8" s="700" t="s">
        <v>2872</v>
      </c>
      <c r="AC8" s="700">
        <v>204</v>
      </c>
      <c r="AD8" s="700">
        <v>60</v>
      </c>
      <c r="AE8" s="700"/>
      <c r="AF8" s="700"/>
      <c r="AG8" s="700"/>
      <c r="AH8" s="700"/>
      <c r="AI8" s="700" t="str">
        <f t="shared" si="9"/>
        <v xml:space="preserve">0204 (Open) 0060 (Vet) </v>
      </c>
      <c r="AJ8" s="700" t="str">
        <f t="shared" si="9"/>
        <v xml:space="preserve">0204 (Open) 0060 (Vet) </v>
      </c>
      <c r="AK8" s="700" t="str">
        <f t="shared" si="9"/>
        <v xml:space="preserve">0204 (Open) 0060 (Vet) </v>
      </c>
      <c r="AL8" s="700" t="str">
        <f t="shared" si="9"/>
        <v xml:space="preserve">0204 (Open) 0060 (Vet) </v>
      </c>
      <c r="AM8" s="700"/>
      <c r="AN8" s="700"/>
      <c r="AO8" s="700"/>
      <c r="AP8" s="700"/>
      <c r="AQ8" s="1584"/>
    </row>
    <row r="9" spans="1:43" ht="15" x14ac:dyDescent="0.2">
      <c r="A9" s="1626">
        <v>4</v>
      </c>
      <c r="B9" s="699" t="s">
        <v>18234</v>
      </c>
      <c r="C9" s="701" t="s">
        <v>18232</v>
      </c>
      <c r="D9" s="1351" t="str">
        <f>"FRA"</f>
        <v>FRA</v>
      </c>
      <c r="E9" s="1351" t="str">
        <f>"FTC Issy-les-Moulineaux"</f>
        <v>FTC Issy-les-Moulineaux</v>
      </c>
      <c r="F9" s="1351" t="str">
        <f>"VET"</f>
        <v>VET</v>
      </c>
      <c r="G9" s="702" t="s">
        <v>18225</v>
      </c>
      <c r="H9" s="703"/>
      <c r="I9" s="704"/>
      <c r="J9" s="704"/>
      <c r="K9" s="704"/>
      <c r="L9" s="704"/>
      <c r="M9" s="704"/>
      <c r="N9" s="703" t="s">
        <v>18225</v>
      </c>
      <c r="O9" s="704"/>
      <c r="P9" s="704"/>
      <c r="Q9" s="704"/>
      <c r="R9" s="704"/>
      <c r="S9" s="704"/>
      <c r="T9" s="704"/>
      <c r="U9" s="704"/>
      <c r="V9" s="2217"/>
      <c r="W9" s="1351" t="str">
        <f>"Thierry"</f>
        <v>Thierry</v>
      </c>
      <c r="X9" s="1351" t="str">
        <f>"Vivron"</f>
        <v>Vivron</v>
      </c>
      <c r="Y9" s="699" t="s">
        <v>18233</v>
      </c>
      <c r="Z9" s="700" t="s">
        <v>1019</v>
      </c>
      <c r="AA9" s="700" t="s">
        <v>2933</v>
      </c>
      <c r="AB9" s="700" t="s">
        <v>2873</v>
      </c>
      <c r="AC9" s="700">
        <v>261</v>
      </c>
      <c r="AD9" s="700">
        <v>55</v>
      </c>
      <c r="AE9" s="700"/>
      <c r="AF9" s="700"/>
      <c r="AG9" s="700"/>
      <c r="AH9" s="700"/>
      <c r="AI9" s="700" t="str">
        <f t="shared" si="9"/>
        <v xml:space="preserve">0261 (Open) 0055 (Vet) </v>
      </c>
      <c r="AJ9" s="700" t="str">
        <f t="shared" si="9"/>
        <v xml:space="preserve">0261 (Open) 0055 (Vet) </v>
      </c>
      <c r="AK9" s="700" t="str">
        <f t="shared" si="9"/>
        <v xml:space="preserve">0261 (Open) 0055 (Vet) </v>
      </c>
      <c r="AL9" s="700" t="str">
        <f t="shared" si="9"/>
        <v xml:space="preserve">0261 (Open) 0055 (Vet) </v>
      </c>
      <c r="AM9" s="700"/>
      <c r="AN9" s="700"/>
      <c r="AO9" s="700"/>
      <c r="AP9" s="700"/>
      <c r="AQ9" s="1584"/>
    </row>
    <row r="10" spans="1:43" ht="15" x14ac:dyDescent="0.2">
      <c r="A10" s="1626">
        <v>5</v>
      </c>
      <c r="B10" s="699" t="s">
        <v>18237</v>
      </c>
      <c r="C10" s="701" t="s">
        <v>18235</v>
      </c>
      <c r="D10" s="1351" t="str">
        <f>"FRA"</f>
        <v>FRA</v>
      </c>
      <c r="E10" s="1351" t="str">
        <f>"CFT Puylaurens"</f>
        <v>CFT Puylaurens</v>
      </c>
      <c r="F10" s="1351" t="str">
        <f>"OPEN"</f>
        <v>OPEN</v>
      </c>
      <c r="G10" s="702" t="s">
        <v>18225</v>
      </c>
      <c r="H10" s="703"/>
      <c r="I10" s="704"/>
      <c r="J10" s="704"/>
      <c r="K10" s="704"/>
      <c r="L10" s="704"/>
      <c r="M10" s="704"/>
      <c r="N10" s="703" t="s">
        <v>18225</v>
      </c>
      <c r="O10" s="704"/>
      <c r="P10" s="704"/>
      <c r="Q10" s="704"/>
      <c r="R10" s="704"/>
      <c r="S10" s="704"/>
      <c r="T10" s="704"/>
      <c r="U10" s="704"/>
      <c r="V10" s="2217"/>
      <c r="W10" s="1351" t="str">
        <f>"David"</f>
        <v>David</v>
      </c>
      <c r="X10" s="1351" t="str">
        <f>"Leroy"</f>
        <v>Leroy</v>
      </c>
      <c r="Y10" s="699" t="s">
        <v>18236</v>
      </c>
      <c r="Z10" s="700" t="s">
        <v>1019</v>
      </c>
      <c r="AA10" s="700" t="s">
        <v>2931</v>
      </c>
      <c r="AB10" s="700" t="s">
        <v>14537</v>
      </c>
      <c r="AC10" s="700">
        <v>216</v>
      </c>
      <c r="AD10" s="700"/>
      <c r="AE10" s="700"/>
      <c r="AF10" s="700"/>
      <c r="AG10" s="700"/>
      <c r="AH10" s="700"/>
      <c r="AI10" s="700" t="str">
        <f t="shared" si="9"/>
        <v xml:space="preserve">0216 (Open) </v>
      </c>
      <c r="AJ10" s="700" t="str">
        <f t="shared" si="9"/>
        <v xml:space="preserve">0216 (Open) </v>
      </c>
      <c r="AK10" s="700" t="str">
        <f t="shared" si="9"/>
        <v xml:space="preserve">0216 (Open) </v>
      </c>
      <c r="AL10" s="700" t="str">
        <f t="shared" si="9"/>
        <v xml:space="preserve">0216 (Open) </v>
      </c>
      <c r="AM10" s="700"/>
      <c r="AN10" s="700"/>
      <c r="AO10" s="700"/>
      <c r="AP10" s="700"/>
      <c r="AQ10" s="1584"/>
    </row>
    <row r="11" spans="1:43" ht="15" x14ac:dyDescent="0.2">
      <c r="A11" s="1626">
        <v>6</v>
      </c>
      <c r="B11" s="699" t="s">
        <v>18240</v>
      </c>
      <c r="C11" s="701" t="s">
        <v>18238</v>
      </c>
      <c r="D11" s="1351" t="str">
        <f>"FRA"</f>
        <v>FRA</v>
      </c>
      <c r="E11" s="1351" t="str">
        <f>"Elan Subbutéo Club de Champs-sur-Marne"</f>
        <v>Elan Subbutéo Club de Champs-sur-Marne</v>
      </c>
      <c r="F11" s="1351" t="str">
        <f>"VET"</f>
        <v>VET</v>
      </c>
      <c r="G11" s="702" t="s">
        <v>18225</v>
      </c>
      <c r="H11" s="703"/>
      <c r="I11" s="704"/>
      <c r="J11" s="704"/>
      <c r="K11" s="704"/>
      <c r="L11" s="704"/>
      <c r="M11" s="704"/>
      <c r="N11" s="703" t="s">
        <v>18225</v>
      </c>
      <c r="O11" s="704"/>
      <c r="P11" s="704"/>
      <c r="Q11" s="704"/>
      <c r="R11" s="704"/>
      <c r="S11" s="704"/>
      <c r="T11" s="704"/>
      <c r="U11" s="704"/>
      <c r="V11" s="2217"/>
      <c r="W11" s="1351" t="str">
        <f>"Françoise"</f>
        <v>Françoise</v>
      </c>
      <c r="X11" s="1351" t="str">
        <f>"Guyot"</f>
        <v>Guyot</v>
      </c>
      <c r="Y11" s="699" t="s">
        <v>18239</v>
      </c>
      <c r="Z11" s="700" t="s">
        <v>1019</v>
      </c>
      <c r="AA11" s="700" t="s">
        <v>2932</v>
      </c>
      <c r="AB11" s="700" t="s">
        <v>2885</v>
      </c>
      <c r="AC11" s="700"/>
      <c r="AD11" s="700">
        <v>353</v>
      </c>
      <c r="AE11" s="700">
        <v>9</v>
      </c>
      <c r="AF11" s="700"/>
      <c r="AG11" s="700"/>
      <c r="AH11" s="700"/>
      <c r="AI11" s="700" t="str">
        <f t="shared" si="9"/>
        <v xml:space="preserve">0353 (Vet) 0009 (Wom) </v>
      </c>
      <c r="AJ11" s="700" t="str">
        <f t="shared" si="9"/>
        <v xml:space="preserve">0353 (Vet) 0009 (Wom) </v>
      </c>
      <c r="AK11" s="700" t="str">
        <f t="shared" si="9"/>
        <v xml:space="preserve">0353 (Vet) 0009 (Wom) </v>
      </c>
      <c r="AL11" s="700" t="str">
        <f t="shared" si="9"/>
        <v xml:space="preserve">0353 (Vet) 0009 (Wom) </v>
      </c>
      <c r="AM11" s="700"/>
      <c r="AN11" s="700"/>
      <c r="AO11" s="700"/>
      <c r="AP11" s="700"/>
      <c r="AQ11" s="1584"/>
    </row>
    <row r="12" spans="1:43" ht="15" x14ac:dyDescent="0.2">
      <c r="A12" s="1626">
        <v>7</v>
      </c>
      <c r="B12" s="699" t="s">
        <v>18243</v>
      </c>
      <c r="C12" s="701" t="s">
        <v>18241</v>
      </c>
      <c r="D12" s="1351" t="str">
        <f>"FRA"</f>
        <v>FRA</v>
      </c>
      <c r="E12" s="1351" t="str">
        <f>"FTC Saint-Symphorien-sur-Coise"</f>
        <v>FTC Saint-Symphorien-sur-Coise</v>
      </c>
      <c r="F12" s="1351" t="str">
        <f>"OPEN"</f>
        <v>OPEN</v>
      </c>
      <c r="G12" s="702" t="s">
        <v>18225</v>
      </c>
      <c r="H12" s="703"/>
      <c r="I12" s="704"/>
      <c r="J12" s="704"/>
      <c r="K12" s="704"/>
      <c r="L12" s="704"/>
      <c r="M12" s="704"/>
      <c r="N12" s="703" t="s">
        <v>18225</v>
      </c>
      <c r="O12" s="704"/>
      <c r="P12" s="704"/>
      <c r="Q12" s="704"/>
      <c r="R12" s="704"/>
      <c r="S12" s="704"/>
      <c r="T12" s="704"/>
      <c r="U12" s="704"/>
      <c r="V12" s="2217"/>
      <c r="W12" s="1351" t="str">
        <f>"Cyprien"</f>
        <v>Cyprien</v>
      </c>
      <c r="X12" s="1351" t="str">
        <f>"Bonnet"</f>
        <v>Bonnet</v>
      </c>
      <c r="Y12" s="699" t="s">
        <v>18242</v>
      </c>
      <c r="Z12" s="700" t="s">
        <v>1019</v>
      </c>
      <c r="AA12" s="700" t="s">
        <v>9599</v>
      </c>
      <c r="AB12" s="700" t="s">
        <v>9732</v>
      </c>
      <c r="AC12" s="700">
        <v>519</v>
      </c>
      <c r="AD12" s="700"/>
      <c r="AE12" s="700"/>
      <c r="AF12" s="700"/>
      <c r="AG12" s="700"/>
      <c r="AH12" s="700"/>
      <c r="AI12" s="700" t="str">
        <f t="shared" si="9"/>
        <v xml:space="preserve">0519 (Open) </v>
      </c>
      <c r="AJ12" s="700" t="str">
        <f t="shared" si="9"/>
        <v xml:space="preserve">0519 (Open) </v>
      </c>
      <c r="AK12" s="700" t="str">
        <f t="shared" si="9"/>
        <v xml:space="preserve">0519 (Open) </v>
      </c>
      <c r="AL12" s="700" t="str">
        <f t="shared" si="9"/>
        <v xml:space="preserve">0519 (Open) </v>
      </c>
      <c r="AM12" s="700"/>
      <c r="AN12" s="700"/>
      <c r="AO12" s="700"/>
      <c r="AP12" s="700"/>
      <c r="AQ12" s="1584"/>
    </row>
    <row r="13" spans="1:43" ht="15" x14ac:dyDescent="0.2">
      <c r="A13" s="1626">
        <v>8</v>
      </c>
      <c r="B13" s="699" t="s">
        <v>18246</v>
      </c>
      <c r="C13" s="701" t="s">
        <v>18244</v>
      </c>
      <c r="D13" s="1351" t="str">
        <f>"FRA"</f>
        <v>FRA</v>
      </c>
      <c r="E13" s="1351" t="str">
        <f>"FTC Saint-Symphorien-sur-Coise"</f>
        <v>FTC Saint-Symphorien-sur-Coise</v>
      </c>
      <c r="F13" s="1351" t="str">
        <f>"OPEN"</f>
        <v>OPEN</v>
      </c>
      <c r="G13" s="702" t="s">
        <v>18225</v>
      </c>
      <c r="H13" s="703"/>
      <c r="I13" s="704"/>
      <c r="J13" s="704"/>
      <c r="K13" s="704"/>
      <c r="L13" s="704"/>
      <c r="M13" s="704"/>
      <c r="N13" s="703" t="s">
        <v>18225</v>
      </c>
      <c r="O13" s="704"/>
      <c r="P13" s="704"/>
      <c r="Q13" s="704"/>
      <c r="R13" s="704"/>
      <c r="S13" s="704"/>
      <c r="T13" s="704"/>
      <c r="U13" s="704"/>
      <c r="V13" s="2217"/>
      <c r="W13" s="1351" t="str">
        <f>"Cédric"</f>
        <v>Cédric</v>
      </c>
      <c r="X13" s="1351" t="str">
        <f>"Pandolfi"</f>
        <v>Pandolfi</v>
      </c>
      <c r="Y13" s="699" t="s">
        <v>18245</v>
      </c>
      <c r="Z13" s="700" t="s">
        <v>1019</v>
      </c>
      <c r="AA13" s="700" t="s">
        <v>9599</v>
      </c>
      <c r="AB13" s="700" t="s">
        <v>9790</v>
      </c>
      <c r="AC13" s="700">
        <v>379</v>
      </c>
      <c r="AD13" s="700"/>
      <c r="AE13" s="700"/>
      <c r="AF13" s="700"/>
      <c r="AG13" s="700"/>
      <c r="AH13" s="700"/>
      <c r="AI13" s="700" t="str">
        <f t="shared" si="9"/>
        <v xml:space="preserve">0379 (Open) </v>
      </c>
      <c r="AJ13" s="700" t="str">
        <f t="shared" si="9"/>
        <v xml:space="preserve">0379 (Open) </v>
      </c>
      <c r="AK13" s="700" t="str">
        <f t="shared" si="9"/>
        <v xml:space="preserve">0379 (Open) </v>
      </c>
      <c r="AL13" s="700" t="str">
        <f t="shared" si="9"/>
        <v xml:space="preserve">0379 (Open) </v>
      </c>
      <c r="AM13" s="700"/>
      <c r="AN13" s="700"/>
      <c r="AO13" s="700"/>
      <c r="AP13" s="700"/>
      <c r="AQ13" s="1584"/>
    </row>
    <row r="14" spans="1:43" ht="15" x14ac:dyDescent="0.2">
      <c r="A14" s="1626">
        <v>9</v>
      </c>
      <c r="B14" s="699" t="s">
        <v>18249</v>
      </c>
      <c r="C14" s="701" t="s">
        <v>18247</v>
      </c>
      <c r="D14" s="1351" t="str">
        <f>"FRA"</f>
        <v>FRA</v>
      </c>
      <c r="E14" s="1351" t="str">
        <f>"FTC Caen"</f>
        <v>FTC Caen</v>
      </c>
      <c r="F14" s="1351" t="str">
        <f>"VET"</f>
        <v>VET</v>
      </c>
      <c r="G14" s="702" t="s">
        <v>18225</v>
      </c>
      <c r="H14" s="703"/>
      <c r="I14" s="704"/>
      <c r="J14" s="704"/>
      <c r="K14" s="704"/>
      <c r="L14" s="704"/>
      <c r="M14" s="704"/>
      <c r="N14" s="703" t="s">
        <v>18225</v>
      </c>
      <c r="O14" s="704"/>
      <c r="P14" s="704"/>
      <c r="Q14" s="704"/>
      <c r="R14" s="704"/>
      <c r="S14" s="704"/>
      <c r="T14" s="704"/>
      <c r="U14" s="704"/>
      <c r="V14" s="2217"/>
      <c r="W14" s="1351" t="str">
        <f>"Stéphane"</f>
        <v>Stéphane</v>
      </c>
      <c r="X14" s="1351" t="str">
        <f>"Pommier"</f>
        <v>Pommier</v>
      </c>
      <c r="Y14" s="699" t="s">
        <v>18248</v>
      </c>
      <c r="Z14" s="700" t="s">
        <v>1019</v>
      </c>
      <c r="AA14" s="700" t="s">
        <v>13567</v>
      </c>
      <c r="AB14" s="700" t="s">
        <v>2886</v>
      </c>
      <c r="AC14" s="700">
        <v>828</v>
      </c>
      <c r="AD14" s="700">
        <v>135</v>
      </c>
      <c r="AE14" s="700"/>
      <c r="AF14" s="700"/>
      <c r="AG14" s="700"/>
      <c r="AH14" s="700"/>
      <c r="AI14" s="700" t="str">
        <f t="shared" si="9"/>
        <v xml:space="preserve">0828 (Open) 0135 (Vet) </v>
      </c>
      <c r="AJ14" s="700" t="str">
        <f t="shared" si="9"/>
        <v xml:space="preserve">0828 (Open) 0135 (Vet) </v>
      </c>
      <c r="AK14" s="700" t="str">
        <f t="shared" si="9"/>
        <v xml:space="preserve">0828 (Open) 0135 (Vet) </v>
      </c>
      <c r="AL14" s="700" t="str">
        <f t="shared" si="9"/>
        <v xml:space="preserve">0828 (Open) 0135 (Vet) </v>
      </c>
      <c r="AM14" s="700"/>
      <c r="AN14" s="700"/>
      <c r="AO14" s="700"/>
      <c r="AP14" s="700"/>
      <c r="AQ14" s="1584"/>
    </row>
    <row r="15" spans="1:43" ht="15" x14ac:dyDescent="0.2">
      <c r="A15" s="1626">
        <v>10</v>
      </c>
      <c r="B15" s="699" t="s">
        <v>18252</v>
      </c>
      <c r="C15" s="701" t="s">
        <v>18250</v>
      </c>
      <c r="D15" s="1351" t="str">
        <f>"FRA"</f>
        <v>FRA</v>
      </c>
      <c r="E15" s="1351" t="str">
        <f>"FTC Issy-les-Moulineaux"</f>
        <v>FTC Issy-les-Moulineaux</v>
      </c>
      <c r="F15" s="1351" t="str">
        <f>"VET"</f>
        <v>VET</v>
      </c>
      <c r="G15" s="702" t="s">
        <v>18225</v>
      </c>
      <c r="H15" s="703"/>
      <c r="I15" s="704"/>
      <c r="J15" s="704"/>
      <c r="K15" s="704"/>
      <c r="L15" s="704"/>
      <c r="M15" s="704"/>
      <c r="N15" s="703" t="s">
        <v>18225</v>
      </c>
      <c r="O15" s="704"/>
      <c r="P15" s="704"/>
      <c r="Q15" s="704"/>
      <c r="R15" s="704"/>
      <c r="S15" s="704"/>
      <c r="T15" s="704"/>
      <c r="U15" s="704"/>
      <c r="V15" s="2217"/>
      <c r="W15" s="1351" t="str">
        <f>"Jean-Marie"</f>
        <v>Jean-Marie</v>
      </c>
      <c r="X15" s="1351" t="str">
        <f>"Amberny"</f>
        <v>Amberny</v>
      </c>
      <c r="Y15" s="699" t="s">
        <v>18251</v>
      </c>
      <c r="Z15" s="700" t="s">
        <v>1019</v>
      </c>
      <c r="AA15" s="700" t="s">
        <v>2933</v>
      </c>
      <c r="AB15" s="700" t="s">
        <v>2875</v>
      </c>
      <c r="AC15" s="700">
        <v>140</v>
      </c>
      <c r="AD15" s="700">
        <v>70</v>
      </c>
      <c r="AE15" s="700"/>
      <c r="AF15" s="700"/>
      <c r="AG15" s="700"/>
      <c r="AH15" s="700"/>
      <c r="AI15" s="700" t="str">
        <f t="shared" si="9"/>
        <v xml:space="preserve">0140 (Open) 0070 (Vet) </v>
      </c>
      <c r="AJ15" s="700" t="str">
        <f t="shared" si="9"/>
        <v xml:space="preserve">0140 (Open) 0070 (Vet) </v>
      </c>
      <c r="AK15" s="700" t="str">
        <f t="shared" si="9"/>
        <v xml:space="preserve">0140 (Open) 0070 (Vet) </v>
      </c>
      <c r="AL15" s="700" t="str">
        <f t="shared" si="9"/>
        <v xml:space="preserve">0140 (Open) 0070 (Vet) </v>
      </c>
      <c r="AM15" s="700"/>
      <c r="AN15" s="700"/>
      <c r="AO15" s="700"/>
      <c r="AP15" s="700"/>
      <c r="AQ15" s="1584"/>
    </row>
    <row r="16" spans="1:43" ht="15" x14ac:dyDescent="0.2">
      <c r="A16" s="1626">
        <v>11</v>
      </c>
      <c r="B16" s="699" t="s">
        <v>18255</v>
      </c>
      <c r="C16" s="701" t="s">
        <v>18253</v>
      </c>
      <c r="D16" s="1351" t="str">
        <f>"FRA"</f>
        <v>FRA</v>
      </c>
      <c r="E16" s="1351" t="str">
        <f>"FTC Issy-les-Moulineaux"</f>
        <v>FTC Issy-les-Moulineaux</v>
      </c>
      <c r="F16" s="1351" t="str">
        <f>"OPEN"</f>
        <v>OPEN</v>
      </c>
      <c r="G16" s="702" t="s">
        <v>18225</v>
      </c>
      <c r="H16" s="703"/>
      <c r="I16" s="704"/>
      <c r="J16" s="704"/>
      <c r="K16" s="704"/>
      <c r="L16" s="704"/>
      <c r="M16" s="704"/>
      <c r="N16" s="703" t="s">
        <v>18225</v>
      </c>
      <c r="O16" s="704"/>
      <c r="P16" s="704"/>
      <c r="Q16" s="704"/>
      <c r="R16" s="704"/>
      <c r="S16" s="704"/>
      <c r="T16" s="704"/>
      <c r="U16" s="704"/>
      <c r="V16" s="2217"/>
      <c r="W16" s="1351" t="str">
        <f>"Emmanuel"</f>
        <v>Emmanuel</v>
      </c>
      <c r="X16" s="1351" t="str">
        <f>"Gorgette"</f>
        <v>Gorgette</v>
      </c>
      <c r="Y16" s="699" t="s">
        <v>18254</v>
      </c>
      <c r="Z16" s="700" t="s">
        <v>1019</v>
      </c>
      <c r="AA16" s="700" t="s">
        <v>2933</v>
      </c>
      <c r="AB16" s="700" t="s">
        <v>2874</v>
      </c>
      <c r="AC16" s="700">
        <v>293</v>
      </c>
      <c r="AD16" s="700"/>
      <c r="AE16" s="700"/>
      <c r="AF16" s="700"/>
      <c r="AG16" s="700"/>
      <c r="AH16" s="700"/>
      <c r="AI16" s="700" t="str">
        <f t="shared" si="9"/>
        <v xml:space="preserve">0293 (Open) </v>
      </c>
      <c r="AJ16" s="700" t="str">
        <f t="shared" si="9"/>
        <v xml:space="preserve">0293 (Open) </v>
      </c>
      <c r="AK16" s="700" t="str">
        <f t="shared" si="9"/>
        <v xml:space="preserve">0293 (Open) </v>
      </c>
      <c r="AL16" s="700" t="str">
        <f t="shared" si="9"/>
        <v xml:space="preserve">0293 (Open) </v>
      </c>
      <c r="AM16" s="700"/>
      <c r="AN16" s="700"/>
      <c r="AO16" s="700"/>
      <c r="AP16" s="700"/>
      <c r="AQ16" s="1584"/>
    </row>
    <row r="17" spans="1:43" ht="15" x14ac:dyDescent="0.2">
      <c r="A17" s="1626">
        <v>12</v>
      </c>
      <c r="B17" s="699" t="s">
        <v>18258</v>
      </c>
      <c r="C17" s="701" t="s">
        <v>18256</v>
      </c>
      <c r="D17" s="1351" t="str">
        <f>"FRA"</f>
        <v>FRA</v>
      </c>
      <c r="E17" s="1351" t="str">
        <f>"FTC Issy-les-Moulineaux"</f>
        <v>FTC Issy-les-Moulineaux</v>
      </c>
      <c r="F17" s="1351" t="str">
        <f>"OPEN"</f>
        <v>OPEN</v>
      </c>
      <c r="G17" s="702" t="s">
        <v>18225</v>
      </c>
      <c r="H17" s="703"/>
      <c r="I17" s="704"/>
      <c r="J17" s="704"/>
      <c r="K17" s="704"/>
      <c r="L17" s="704"/>
      <c r="M17" s="704"/>
      <c r="N17" s="703" t="s">
        <v>18225</v>
      </c>
      <c r="O17" s="704"/>
      <c r="P17" s="704"/>
      <c r="Q17" s="704"/>
      <c r="R17" s="704"/>
      <c r="S17" s="704"/>
      <c r="T17" s="704"/>
      <c r="U17" s="704"/>
      <c r="V17" s="2217"/>
      <c r="W17" s="1351" t="str">
        <f>"Axel"</f>
        <v>Axel</v>
      </c>
      <c r="X17" s="1351" t="str">
        <f>"Donval"</f>
        <v>Donval</v>
      </c>
      <c r="Y17" s="699" t="s">
        <v>18257</v>
      </c>
      <c r="Z17" s="700" t="s">
        <v>1019</v>
      </c>
      <c r="AA17" s="700" t="s">
        <v>2933</v>
      </c>
      <c r="AB17" s="700" t="s">
        <v>2876</v>
      </c>
      <c r="AC17" s="700">
        <v>68</v>
      </c>
      <c r="AD17" s="700"/>
      <c r="AE17" s="700"/>
      <c r="AF17" s="700"/>
      <c r="AG17" s="700"/>
      <c r="AH17" s="700"/>
      <c r="AI17" s="700" t="str">
        <f t="shared" si="9"/>
        <v xml:space="preserve">0068 (Open) </v>
      </c>
      <c r="AJ17" s="700" t="str">
        <f t="shared" si="9"/>
        <v xml:space="preserve">0068 (Open) </v>
      </c>
      <c r="AK17" s="700" t="str">
        <f t="shared" si="9"/>
        <v xml:space="preserve">0068 (Open) </v>
      </c>
      <c r="AL17" s="700" t="str">
        <f t="shared" si="9"/>
        <v xml:space="preserve">0068 (Open) </v>
      </c>
      <c r="AM17" s="700"/>
      <c r="AN17" s="700"/>
      <c r="AO17" s="700"/>
      <c r="AP17" s="700"/>
      <c r="AQ17" s="1584"/>
    </row>
    <row r="18" spans="1:43" ht="15" x14ac:dyDescent="0.2">
      <c r="A18" s="1626">
        <v>13</v>
      </c>
      <c r="B18" s="699" t="s">
        <v>18261</v>
      </c>
      <c r="C18" s="701" t="s">
        <v>18259</v>
      </c>
      <c r="D18" s="1351" t="str">
        <f>"FRA"</f>
        <v>FRA</v>
      </c>
      <c r="E18" s="1351" t="str">
        <f>"CFT Puylaurens"</f>
        <v>CFT Puylaurens</v>
      </c>
      <c r="F18" s="1351" t="str">
        <f>"VET"</f>
        <v>VET</v>
      </c>
      <c r="G18" s="702" t="s">
        <v>18225</v>
      </c>
      <c r="H18" s="703"/>
      <c r="I18" s="704"/>
      <c r="J18" s="704"/>
      <c r="K18" s="704"/>
      <c r="L18" s="704"/>
      <c r="M18" s="704"/>
      <c r="N18" s="703" t="s">
        <v>18225</v>
      </c>
      <c r="O18" s="704"/>
      <c r="P18" s="704"/>
      <c r="Q18" s="704"/>
      <c r="R18" s="704"/>
      <c r="S18" s="704"/>
      <c r="T18" s="704"/>
      <c r="U18" s="704"/>
      <c r="V18" s="2217"/>
      <c r="W18" s="1351" t="str">
        <f>"Jean-François"</f>
        <v>Jean-François</v>
      </c>
      <c r="X18" s="1351" t="str">
        <f>"Balard"</f>
        <v>Balard</v>
      </c>
      <c r="Y18" s="699" t="s">
        <v>18260</v>
      </c>
      <c r="Z18" s="700" t="s">
        <v>1019</v>
      </c>
      <c r="AA18" s="700" t="s">
        <v>2931</v>
      </c>
      <c r="AB18" s="700" t="s">
        <v>11094</v>
      </c>
      <c r="AC18" s="700">
        <v>828</v>
      </c>
      <c r="AD18" s="700"/>
      <c r="AE18" s="700"/>
      <c r="AF18" s="700"/>
      <c r="AG18" s="700"/>
      <c r="AH18" s="700"/>
      <c r="AI18" s="700" t="str">
        <f t="shared" si="9"/>
        <v xml:space="preserve">0828 (Open) </v>
      </c>
      <c r="AJ18" s="700" t="str">
        <f t="shared" si="9"/>
        <v xml:space="preserve">0828 (Open) </v>
      </c>
      <c r="AK18" s="700" t="str">
        <f t="shared" si="9"/>
        <v xml:space="preserve">0828 (Open) </v>
      </c>
      <c r="AL18" s="700" t="str">
        <f t="shared" si="9"/>
        <v xml:space="preserve">0828 (Open) </v>
      </c>
      <c r="AM18" s="700"/>
      <c r="AN18" s="700"/>
      <c r="AO18" s="700"/>
      <c r="AP18" s="700"/>
      <c r="AQ18" s="1584"/>
    </row>
    <row r="19" spans="1:43" ht="15" x14ac:dyDescent="0.2">
      <c r="A19" s="1626">
        <v>14</v>
      </c>
      <c r="B19" s="699" t="s">
        <v>18264</v>
      </c>
      <c r="C19" s="701" t="s">
        <v>18262</v>
      </c>
      <c r="D19" s="1351" t="str">
        <f>"FRA"</f>
        <v>FRA</v>
      </c>
      <c r="E19" s="1351" t="str">
        <f>"Elan Subbutéo Club de Champs-sur-Marne"</f>
        <v>Elan Subbutéo Club de Champs-sur-Marne</v>
      </c>
      <c r="F19" s="1351" t="str">
        <f>"OPEN"</f>
        <v>OPEN</v>
      </c>
      <c r="G19" s="702" t="s">
        <v>18225</v>
      </c>
      <c r="H19" s="703"/>
      <c r="I19" s="704"/>
      <c r="J19" s="704"/>
      <c r="K19" s="704"/>
      <c r="L19" s="704"/>
      <c r="M19" s="704"/>
      <c r="N19" s="703" t="s">
        <v>18225</v>
      </c>
      <c r="O19" s="704"/>
      <c r="P19" s="704"/>
      <c r="Q19" s="704"/>
      <c r="R19" s="704"/>
      <c r="S19" s="704"/>
      <c r="T19" s="704"/>
      <c r="U19" s="704"/>
      <c r="V19" s="2217"/>
      <c r="W19" s="1351" t="str">
        <f>"Audrey"</f>
        <v>Audrey</v>
      </c>
      <c r="X19" s="1351" t="str">
        <f>"Herbaut"</f>
        <v>Herbaut</v>
      </c>
      <c r="Y19" s="699" t="s">
        <v>18263</v>
      </c>
      <c r="Z19" s="700" t="s">
        <v>1019</v>
      </c>
      <c r="AA19" s="700" t="s">
        <v>2932</v>
      </c>
      <c r="AB19" s="700" t="s">
        <v>2883</v>
      </c>
      <c r="AC19" s="700">
        <v>227</v>
      </c>
      <c r="AD19" s="700"/>
      <c r="AE19" s="700">
        <v>2</v>
      </c>
      <c r="AF19" s="700"/>
      <c r="AG19" s="700"/>
      <c r="AH19" s="700"/>
      <c r="AI19" s="700" t="str">
        <f t="shared" si="9"/>
        <v xml:space="preserve">0227 (Open) 0002 (Wom) </v>
      </c>
      <c r="AJ19" s="700" t="str">
        <f t="shared" si="9"/>
        <v xml:space="preserve">0227 (Open) 0002 (Wom) </v>
      </c>
      <c r="AK19" s="700" t="str">
        <f t="shared" si="9"/>
        <v xml:space="preserve">0227 (Open) 0002 (Wom) </v>
      </c>
      <c r="AL19" s="700" t="str">
        <f t="shared" si="9"/>
        <v xml:space="preserve">0227 (Open) 0002 (Wom) </v>
      </c>
      <c r="AM19" s="700"/>
      <c r="AN19" s="700"/>
      <c r="AO19" s="700"/>
      <c r="AP19" s="700"/>
    </row>
    <row r="20" spans="1:43" ht="15" x14ac:dyDescent="0.2">
      <c r="A20" s="1626">
        <v>15</v>
      </c>
      <c r="B20" s="699" t="s">
        <v>18267</v>
      </c>
      <c r="C20" s="701" t="s">
        <v>18265</v>
      </c>
      <c r="D20" s="1351" t="str">
        <f>"FRA"</f>
        <v>FRA</v>
      </c>
      <c r="E20" s="1351" t="str">
        <f>"Elan Subbutéo Club de Champs-sur-Marne"</f>
        <v>Elan Subbutéo Club de Champs-sur-Marne</v>
      </c>
      <c r="F20" s="1351" t="str">
        <f>"U20"</f>
        <v>U20</v>
      </c>
      <c r="G20" s="702" t="s">
        <v>18225</v>
      </c>
      <c r="H20" s="703"/>
      <c r="I20" s="704"/>
      <c r="J20" s="704"/>
      <c r="K20" s="704"/>
      <c r="L20" s="704"/>
      <c r="M20" s="704"/>
      <c r="N20" s="703" t="s">
        <v>18225</v>
      </c>
      <c r="O20" s="704"/>
      <c r="P20" s="704"/>
      <c r="Q20" s="704"/>
      <c r="R20" s="704"/>
      <c r="S20" s="704"/>
      <c r="T20" s="704"/>
      <c r="U20" s="704"/>
      <c r="V20" s="2217"/>
      <c r="W20" s="1351" t="str">
        <f>"Quentin"</f>
        <v>Quentin</v>
      </c>
      <c r="X20" s="1351" t="str">
        <f>"Ausset"</f>
        <v>Ausset</v>
      </c>
      <c r="Y20" s="699" t="s">
        <v>18266</v>
      </c>
      <c r="Z20" s="700" t="s">
        <v>1019</v>
      </c>
      <c r="AA20" s="700" t="s">
        <v>2932</v>
      </c>
      <c r="AB20" s="700" t="s">
        <v>14476</v>
      </c>
      <c r="AC20" s="700">
        <v>231</v>
      </c>
      <c r="AD20" s="700"/>
      <c r="AE20" s="700"/>
      <c r="AF20" s="700">
        <v>6</v>
      </c>
      <c r="AG20" s="700"/>
      <c r="AH20" s="700"/>
      <c r="AI20" s="700" t="str">
        <f t="shared" si="9"/>
        <v xml:space="preserve">0231 (Open) 0006 (U20) </v>
      </c>
      <c r="AJ20" s="700" t="str">
        <f t="shared" si="9"/>
        <v xml:space="preserve">0231 (Open) 0006 (U20) </v>
      </c>
      <c r="AK20" s="700" t="str">
        <f t="shared" si="9"/>
        <v xml:space="preserve">0231 (Open) 0006 (U20) </v>
      </c>
      <c r="AL20" s="700" t="str">
        <f t="shared" si="9"/>
        <v xml:space="preserve">0231 (Open) 0006 (U20) </v>
      </c>
      <c r="AM20" s="700"/>
      <c r="AN20" s="700"/>
      <c r="AO20" s="700"/>
      <c r="AP20" s="700"/>
    </row>
    <row r="21" spans="1:43" ht="15" x14ac:dyDescent="0.2">
      <c r="A21" s="1626">
        <v>16</v>
      </c>
      <c r="B21" s="699" t="s">
        <v>18270</v>
      </c>
      <c r="C21" s="701" t="s">
        <v>18268</v>
      </c>
      <c r="D21" s="1351" t="str">
        <f>"FRA"</f>
        <v>FRA</v>
      </c>
      <c r="E21" s="1351" t="str">
        <f>"FTC Saint-Symphorien-sur-Coise"</f>
        <v>FTC Saint-Symphorien-sur-Coise</v>
      </c>
      <c r="F21" s="1351" t="str">
        <f>"OPEN"</f>
        <v>OPEN</v>
      </c>
      <c r="G21" s="702" t="s">
        <v>18225</v>
      </c>
      <c r="H21" s="703"/>
      <c r="I21" s="704"/>
      <c r="J21" s="704"/>
      <c r="K21" s="704"/>
      <c r="L21" s="704"/>
      <c r="M21" s="704"/>
      <c r="N21" s="703" t="s">
        <v>18225</v>
      </c>
      <c r="O21" s="704"/>
      <c r="P21" s="704"/>
      <c r="Q21" s="704"/>
      <c r="R21" s="704"/>
      <c r="S21" s="704"/>
      <c r="T21" s="704"/>
      <c r="U21" s="704"/>
      <c r="V21" s="2217"/>
      <c r="W21" s="1351" t="str">
        <f>"Mickaël"</f>
        <v>Mickaël</v>
      </c>
      <c r="X21" s="1351" t="str">
        <f>"Blanc"</f>
        <v>Blanc</v>
      </c>
      <c r="Y21" s="699" t="s">
        <v>18269</v>
      </c>
      <c r="Z21" s="700" t="s">
        <v>1019</v>
      </c>
      <c r="AA21" s="700" t="s">
        <v>9599</v>
      </c>
      <c r="AB21" s="700" t="s">
        <v>9786</v>
      </c>
      <c r="AC21" s="700">
        <v>393</v>
      </c>
      <c r="AD21" s="700"/>
      <c r="AE21" s="700"/>
      <c r="AF21" s="700"/>
      <c r="AG21" s="700"/>
      <c r="AH21" s="700"/>
      <c r="AI21" s="700" t="str">
        <f t="shared" si="9"/>
        <v xml:space="preserve">0393 (Open) </v>
      </c>
      <c r="AJ21" s="700" t="str">
        <f t="shared" si="9"/>
        <v xml:space="preserve">0393 (Open) </v>
      </c>
      <c r="AK21" s="700" t="str">
        <f t="shared" si="9"/>
        <v xml:space="preserve">0393 (Open) </v>
      </c>
      <c r="AL21" s="700" t="str">
        <f t="shared" si="9"/>
        <v xml:space="preserve">0393 (Open) </v>
      </c>
      <c r="AM21" s="700"/>
      <c r="AN21" s="700"/>
      <c r="AO21" s="700"/>
      <c r="AP21" s="700"/>
    </row>
    <row r="22" spans="1:43" ht="15" x14ac:dyDescent="0.2">
      <c r="A22" s="1626">
        <v>17</v>
      </c>
      <c r="B22" s="699" t="s">
        <v>18273</v>
      </c>
      <c r="C22" s="701" t="s">
        <v>18271</v>
      </c>
      <c r="D22" s="1351" t="str">
        <f>"FRA"</f>
        <v>FRA</v>
      </c>
      <c r="E22" s="1351" t="str">
        <f>"CFT Puylaurens"</f>
        <v>CFT Puylaurens</v>
      </c>
      <c r="F22" s="1351" t="str">
        <f>"OPEN"</f>
        <v>OPEN</v>
      </c>
      <c r="G22" s="702" t="s">
        <v>18225</v>
      </c>
      <c r="H22" s="703"/>
      <c r="I22" s="704"/>
      <c r="J22" s="704"/>
      <c r="K22" s="704"/>
      <c r="L22" s="704"/>
      <c r="M22" s="704"/>
      <c r="N22" s="703"/>
      <c r="O22" s="704" t="s">
        <v>18225</v>
      </c>
      <c r="P22" s="704"/>
      <c r="Q22" s="704"/>
      <c r="R22" s="704"/>
      <c r="S22" s="704"/>
      <c r="T22" s="704"/>
      <c r="U22" s="704"/>
      <c r="V22" s="2217"/>
      <c r="W22" s="1351" t="str">
        <f>"Olivier"</f>
        <v>Olivier</v>
      </c>
      <c r="X22" s="1351" t="str">
        <f>"Bastin"</f>
        <v>Bastin</v>
      </c>
      <c r="Y22" s="699" t="s">
        <v>18272</v>
      </c>
      <c r="Z22" s="700" t="s">
        <v>1019</v>
      </c>
      <c r="AA22" s="700" t="s">
        <v>2931</v>
      </c>
      <c r="AB22" s="700" t="s">
        <v>11096</v>
      </c>
      <c r="AC22" s="700">
        <v>588</v>
      </c>
      <c r="AD22" s="700"/>
      <c r="AE22" s="700"/>
      <c r="AF22" s="700"/>
      <c r="AG22" s="700"/>
      <c r="AH22" s="700"/>
      <c r="AI22" s="700" t="str">
        <f t="shared" si="9"/>
        <v xml:space="preserve">0588 (Open) </v>
      </c>
      <c r="AJ22" s="700" t="str">
        <f t="shared" si="9"/>
        <v xml:space="preserve">0588 (Open) </v>
      </c>
      <c r="AK22" s="700" t="str">
        <f t="shared" si="9"/>
        <v xml:space="preserve">0588 (Open) </v>
      </c>
      <c r="AL22" s="700" t="str">
        <f t="shared" si="9"/>
        <v xml:space="preserve">0588 (Open) </v>
      </c>
      <c r="AM22" s="700"/>
      <c r="AN22" s="700"/>
      <c r="AO22" s="700"/>
      <c r="AP22" s="700"/>
    </row>
    <row r="23" spans="1:43" ht="15" x14ac:dyDescent="0.2">
      <c r="A23" s="1626">
        <v>18</v>
      </c>
      <c r="B23" s="699" t="s">
        <v>18275</v>
      </c>
      <c r="C23" s="701" t="s">
        <v>18274</v>
      </c>
      <c r="D23" s="1351" t="str">
        <f>"UKR"</f>
        <v>UKR</v>
      </c>
      <c r="E23" s="1351" t="str">
        <f>"Celtic Combourg CFT"</f>
        <v>Celtic Combourg CFT</v>
      </c>
      <c r="F23" s="1351" t="str">
        <f>"OPEN"</f>
        <v>OPEN</v>
      </c>
      <c r="G23" s="702" t="s">
        <v>18225</v>
      </c>
      <c r="H23" s="703"/>
      <c r="I23" s="704"/>
      <c r="J23" s="704"/>
      <c r="K23" s="704"/>
      <c r="L23" s="704"/>
      <c r="M23" s="704"/>
      <c r="N23" s="703"/>
      <c r="O23" s="704" t="s">
        <v>18225</v>
      </c>
      <c r="P23" s="704"/>
      <c r="Q23" s="704"/>
      <c r="R23" s="704"/>
      <c r="S23" s="704"/>
      <c r="T23" s="704"/>
      <c r="U23" s="704"/>
      <c r="V23" s="2217"/>
      <c r="W23" s="1351" t="str">
        <f>"Thomas"</f>
        <v>Thomas</v>
      </c>
      <c r="X23" s="1351" t="str">
        <f>"PONTÉ"</f>
        <v>PONTÉ</v>
      </c>
      <c r="Y23" s="699" t="s">
        <v>18274</v>
      </c>
      <c r="Z23" s="700" t="s">
        <v>14827</v>
      </c>
      <c r="AA23" s="700" t="s">
        <v>11412</v>
      </c>
      <c r="AB23" s="700" t="s">
        <v>14826</v>
      </c>
      <c r="AC23" s="700">
        <v>286</v>
      </c>
      <c r="AD23" s="700"/>
      <c r="AE23" s="700"/>
      <c r="AF23" s="700"/>
      <c r="AG23" s="700"/>
      <c r="AH23" s="700"/>
      <c r="AI23" s="700" t="str">
        <f t="shared" si="9"/>
        <v xml:space="preserve">0286 (Open) </v>
      </c>
      <c r="AJ23" s="700" t="str">
        <f t="shared" si="9"/>
        <v xml:space="preserve">0286 (Open) </v>
      </c>
      <c r="AK23" s="700" t="str">
        <f t="shared" si="9"/>
        <v xml:space="preserve">0286 (Open) </v>
      </c>
      <c r="AL23" s="700" t="str">
        <f t="shared" si="9"/>
        <v xml:space="preserve">0286 (Open) </v>
      </c>
      <c r="AM23" s="700"/>
      <c r="AN23" s="700"/>
      <c r="AO23" s="700"/>
      <c r="AP23" s="700"/>
    </row>
    <row r="24" spans="1:43" ht="15" x14ac:dyDescent="0.2">
      <c r="A24" s="1626">
        <v>19</v>
      </c>
      <c r="B24" s="699" t="s">
        <v>18278</v>
      </c>
      <c r="C24" s="701" t="s">
        <v>18276</v>
      </c>
      <c r="D24" s="1351" t="str">
        <f>"FRA"</f>
        <v>FRA</v>
      </c>
      <c r="E24" s="1351" t="str">
        <f>"Avenir Subbuteo Hennuyer"</f>
        <v>Avenir Subbuteo Hennuyer</v>
      </c>
      <c r="F24" s="1351" t="str">
        <f>"OPEN"</f>
        <v>OPEN</v>
      </c>
      <c r="G24" s="702" t="s">
        <v>18225</v>
      </c>
      <c r="H24" s="703"/>
      <c r="I24" s="704"/>
      <c r="J24" s="704"/>
      <c r="K24" s="704"/>
      <c r="L24" s="704"/>
      <c r="M24" s="704"/>
      <c r="N24" s="703"/>
      <c r="O24" s="704" t="s">
        <v>18225</v>
      </c>
      <c r="P24" s="704"/>
      <c r="Q24" s="704"/>
      <c r="R24" s="704"/>
      <c r="S24" s="704"/>
      <c r="T24" s="704"/>
      <c r="U24" s="704"/>
      <c r="V24" s="2217"/>
      <c r="W24" s="1351" t="str">
        <f>"Rémi"</f>
        <v>Rémi</v>
      </c>
      <c r="X24" s="1351" t="str">
        <f>"Soret"</f>
        <v>Soret</v>
      </c>
      <c r="Y24" s="699" t="s">
        <v>18277</v>
      </c>
      <c r="Z24" s="700" t="s">
        <v>1019</v>
      </c>
      <c r="AA24" s="700" t="s">
        <v>2913</v>
      </c>
      <c r="AB24" s="700" t="s">
        <v>2891</v>
      </c>
      <c r="AC24" s="700">
        <v>23</v>
      </c>
      <c r="AD24" s="700"/>
      <c r="AE24" s="700"/>
      <c r="AF24" s="700"/>
      <c r="AG24" s="700"/>
      <c r="AH24" s="700"/>
      <c r="AI24" s="700" t="str">
        <f t="shared" si="9"/>
        <v xml:space="preserve">0023 (Open) </v>
      </c>
      <c r="AJ24" s="700" t="str">
        <f t="shared" si="9"/>
        <v xml:space="preserve">0023 (Open) </v>
      </c>
      <c r="AK24" s="700" t="str">
        <f t="shared" si="9"/>
        <v xml:space="preserve">0023 (Open) </v>
      </c>
      <c r="AL24" s="700" t="str">
        <f t="shared" si="9"/>
        <v xml:space="preserve">0023 (Open) </v>
      </c>
      <c r="AM24" s="700"/>
      <c r="AN24" s="700"/>
      <c r="AO24" s="700"/>
      <c r="AP24" s="700"/>
    </row>
    <row r="25" spans="1:43" ht="15" x14ac:dyDescent="0.2">
      <c r="A25" s="1626">
        <v>20</v>
      </c>
      <c r="B25" s="699" t="s">
        <v>18281</v>
      </c>
      <c r="C25" s="701" t="s">
        <v>18279</v>
      </c>
      <c r="D25" s="1351" t="str">
        <f>"FRA"</f>
        <v>FRA</v>
      </c>
      <c r="E25" s="1351" t="str">
        <f>"FTC Caen"</f>
        <v>FTC Caen</v>
      </c>
      <c r="F25" s="1351" t="str">
        <f>"VET"</f>
        <v>VET</v>
      </c>
      <c r="G25" s="702" t="s">
        <v>18225</v>
      </c>
      <c r="H25" s="703"/>
      <c r="I25" s="704"/>
      <c r="J25" s="704"/>
      <c r="K25" s="704"/>
      <c r="L25" s="704"/>
      <c r="M25" s="704"/>
      <c r="N25" s="703"/>
      <c r="O25" s="704" t="s">
        <v>18225</v>
      </c>
      <c r="P25" s="704"/>
      <c r="Q25" s="704"/>
      <c r="R25" s="704"/>
      <c r="S25" s="704"/>
      <c r="T25" s="704"/>
      <c r="U25" s="704"/>
      <c r="V25" s="2217"/>
      <c r="W25" s="1351" t="str">
        <f>"Xavier"</f>
        <v>Xavier</v>
      </c>
      <c r="X25" s="1351" t="str">
        <f>"Dubois"</f>
        <v>Dubois</v>
      </c>
      <c r="Y25" s="699" t="s">
        <v>18280</v>
      </c>
      <c r="Z25" s="700" t="s">
        <v>1019</v>
      </c>
      <c r="AA25" s="700" t="s">
        <v>13567</v>
      </c>
      <c r="AB25" s="700" t="s">
        <v>7066</v>
      </c>
      <c r="AC25" s="700">
        <v>362</v>
      </c>
      <c r="AD25" s="700">
        <v>54</v>
      </c>
      <c r="AE25" s="700"/>
      <c r="AF25" s="700"/>
      <c r="AG25" s="700"/>
      <c r="AH25" s="700"/>
      <c r="AI25" s="700" t="str">
        <f t="shared" si="9"/>
        <v xml:space="preserve">0362 (Open) 0054 (Vet) </v>
      </c>
      <c r="AJ25" s="700" t="str">
        <f t="shared" si="9"/>
        <v xml:space="preserve">0362 (Open) 0054 (Vet) </v>
      </c>
      <c r="AK25" s="700" t="str">
        <f t="shared" si="9"/>
        <v xml:space="preserve">0362 (Open) 0054 (Vet) </v>
      </c>
      <c r="AL25" s="700" t="str">
        <f t="shared" si="9"/>
        <v xml:space="preserve">0362 (Open) 0054 (Vet) </v>
      </c>
      <c r="AM25" s="700"/>
      <c r="AN25" s="700"/>
      <c r="AO25" s="700"/>
      <c r="AP25" s="700"/>
      <c r="AQ25" s="1584"/>
    </row>
    <row r="26" spans="1:43" ht="15" x14ac:dyDescent="0.2">
      <c r="A26" s="1626">
        <v>21</v>
      </c>
      <c r="B26" s="699" t="s">
        <v>18284</v>
      </c>
      <c r="C26" s="701" t="s">
        <v>18282</v>
      </c>
      <c r="D26" s="1351" t="str">
        <f>"FRA"</f>
        <v>FRA</v>
      </c>
      <c r="E26" s="1351" t="str">
        <f>"Elan Subbutéo Club de Champs-sur-Marne"</f>
        <v>Elan Subbutéo Club de Champs-sur-Marne</v>
      </c>
      <c r="F26" s="1351" t="str">
        <f>"OPEN"</f>
        <v>OPEN</v>
      </c>
      <c r="G26" s="702" t="s">
        <v>18225</v>
      </c>
      <c r="H26" s="703"/>
      <c r="I26" s="704"/>
      <c r="J26" s="704"/>
      <c r="K26" s="704"/>
      <c r="L26" s="704"/>
      <c r="M26" s="704"/>
      <c r="N26" s="703"/>
      <c r="O26" s="704" t="s">
        <v>18225</v>
      </c>
      <c r="P26" s="704"/>
      <c r="Q26" s="704"/>
      <c r="R26" s="704"/>
      <c r="S26" s="704"/>
      <c r="T26" s="704"/>
      <c r="U26" s="704"/>
      <c r="V26" s="2217"/>
      <c r="W26" s="1351" t="str">
        <f>"Johnny"</f>
        <v>Johnny</v>
      </c>
      <c r="X26" s="1351" t="str">
        <f>"Ledieu"</f>
        <v>Ledieu</v>
      </c>
      <c r="Y26" s="699" t="s">
        <v>18283</v>
      </c>
      <c r="Z26" s="700" t="s">
        <v>1019</v>
      </c>
      <c r="AA26" s="700" t="s">
        <v>2932</v>
      </c>
      <c r="AB26" s="700" t="s">
        <v>2884</v>
      </c>
      <c r="AC26" s="700">
        <v>668</v>
      </c>
      <c r="AD26" s="700"/>
      <c r="AE26" s="700"/>
      <c r="AF26" s="700"/>
      <c r="AG26" s="700"/>
      <c r="AH26" s="700"/>
      <c r="AI26" s="700" t="str">
        <f t="shared" si="9"/>
        <v xml:space="preserve">0668 (Open) </v>
      </c>
      <c r="AJ26" s="700" t="str">
        <f t="shared" si="9"/>
        <v xml:space="preserve">0668 (Open) </v>
      </c>
      <c r="AK26" s="700" t="str">
        <f t="shared" si="9"/>
        <v xml:space="preserve">0668 (Open) </v>
      </c>
      <c r="AL26" s="700" t="str">
        <f t="shared" si="9"/>
        <v xml:space="preserve">0668 (Open) </v>
      </c>
      <c r="AM26" s="700"/>
      <c r="AN26" s="700"/>
      <c r="AO26" s="700"/>
      <c r="AP26" s="700"/>
      <c r="AQ26" s="1584"/>
    </row>
    <row r="27" spans="1:43" ht="15" x14ac:dyDescent="0.2">
      <c r="A27" s="1626">
        <v>22</v>
      </c>
      <c r="B27" s="699" t="s">
        <v>18287</v>
      </c>
      <c r="C27" s="701" t="s">
        <v>18285</v>
      </c>
      <c r="D27" s="1351" t="str">
        <f>"FRA"</f>
        <v>FRA</v>
      </c>
      <c r="E27" s="1351" t="str">
        <f>"Football de Table Aquitaine"</f>
        <v>Football de Table Aquitaine</v>
      </c>
      <c r="F27" s="1351" t="str">
        <f>"OPEN"</f>
        <v>OPEN</v>
      </c>
      <c r="G27" s="702" t="s">
        <v>18225</v>
      </c>
      <c r="H27" s="703"/>
      <c r="I27" s="704"/>
      <c r="J27" s="704"/>
      <c r="K27" s="704"/>
      <c r="L27" s="704"/>
      <c r="M27" s="704"/>
      <c r="N27" s="703"/>
      <c r="O27" s="704" t="s">
        <v>18225</v>
      </c>
      <c r="P27" s="704"/>
      <c r="Q27" s="704"/>
      <c r="R27" s="704"/>
      <c r="S27" s="704"/>
      <c r="T27" s="704"/>
      <c r="U27" s="704"/>
      <c r="V27" s="2217"/>
      <c r="W27" s="1351" t="str">
        <f>"Aymeric"</f>
        <v>Aymeric</v>
      </c>
      <c r="X27" s="1351" t="str">
        <f>"Pouffet"</f>
        <v>Pouffet</v>
      </c>
      <c r="Y27" s="699" t="s">
        <v>18286</v>
      </c>
      <c r="Z27" s="700" t="s">
        <v>1019</v>
      </c>
      <c r="AA27" s="700" t="s">
        <v>13569</v>
      </c>
      <c r="AB27" s="700" t="s">
        <v>14561</v>
      </c>
      <c r="AC27" s="700">
        <v>643</v>
      </c>
      <c r="AD27" s="700"/>
      <c r="AE27" s="700"/>
      <c r="AF27" s="700"/>
      <c r="AG27" s="700"/>
      <c r="AH27" s="700"/>
      <c r="AI27" s="700" t="str">
        <f t="shared" si="9"/>
        <v xml:space="preserve">0643 (Open) </v>
      </c>
      <c r="AJ27" s="700" t="str">
        <f t="shared" si="9"/>
        <v xml:space="preserve">0643 (Open) </v>
      </c>
      <c r="AK27" s="700" t="str">
        <f t="shared" si="9"/>
        <v xml:space="preserve">0643 (Open) </v>
      </c>
      <c r="AL27" s="700" t="str">
        <f t="shared" si="9"/>
        <v xml:space="preserve">0643 (Open) </v>
      </c>
      <c r="AM27" s="700"/>
      <c r="AN27" s="700"/>
      <c r="AO27" s="700"/>
      <c r="AP27" s="700"/>
      <c r="AQ27" s="1584"/>
    </row>
    <row r="28" spans="1:43" ht="15" x14ac:dyDescent="0.2">
      <c r="A28" s="1626">
        <v>23</v>
      </c>
      <c r="B28" s="699" t="s">
        <v>18290</v>
      </c>
      <c r="C28" s="701" t="s">
        <v>18288</v>
      </c>
      <c r="D28" s="1351" t="str">
        <f>"FRA"</f>
        <v>FRA</v>
      </c>
      <c r="E28" s="1351" t="str">
        <f>"Football de Table Aquitaine"</f>
        <v>Football de Table Aquitaine</v>
      </c>
      <c r="F28" s="1351" t="str">
        <f>"VET"</f>
        <v>VET</v>
      </c>
      <c r="G28" s="702" t="s">
        <v>18225</v>
      </c>
      <c r="H28" s="703"/>
      <c r="I28" s="704"/>
      <c r="J28" s="704"/>
      <c r="K28" s="704"/>
      <c r="L28" s="704"/>
      <c r="M28" s="704"/>
      <c r="N28" s="703"/>
      <c r="O28" s="704" t="s">
        <v>18225</v>
      </c>
      <c r="P28" s="704"/>
      <c r="Q28" s="704"/>
      <c r="R28" s="704"/>
      <c r="S28" s="704"/>
      <c r="T28" s="704"/>
      <c r="U28" s="704"/>
      <c r="V28" s="2217"/>
      <c r="W28" s="1351" t="str">
        <f>"Alban"</f>
        <v>Alban</v>
      </c>
      <c r="X28" s="1351" t="str">
        <f>"Boigeol"</f>
        <v>Boigeol</v>
      </c>
      <c r="Y28" s="699" t="s">
        <v>18289</v>
      </c>
      <c r="Z28" s="700" t="s">
        <v>1019</v>
      </c>
      <c r="AA28" s="700" t="s">
        <v>13569</v>
      </c>
      <c r="AB28" s="700" t="s">
        <v>15260</v>
      </c>
      <c r="AC28" s="700">
        <v>756</v>
      </c>
      <c r="AD28" s="700">
        <v>287</v>
      </c>
      <c r="AE28" s="700"/>
      <c r="AF28" s="700"/>
      <c r="AG28" s="700"/>
      <c r="AH28" s="700"/>
      <c r="AI28" s="700" t="str">
        <f t="shared" si="9"/>
        <v xml:space="preserve">0756 (Open) 0287 (Vet) </v>
      </c>
      <c r="AJ28" s="700" t="str">
        <f t="shared" si="9"/>
        <v xml:space="preserve">0756 (Open) 0287 (Vet) </v>
      </c>
      <c r="AK28" s="700" t="str">
        <f t="shared" si="9"/>
        <v xml:space="preserve">0756 (Open) 0287 (Vet) </v>
      </c>
      <c r="AL28" s="700" t="str">
        <f t="shared" si="9"/>
        <v xml:space="preserve">0756 (Open) 0287 (Vet) </v>
      </c>
      <c r="AM28" s="700"/>
      <c r="AN28" s="700"/>
      <c r="AO28" s="700"/>
      <c r="AP28" s="700"/>
      <c r="AQ28" s="1584"/>
    </row>
    <row r="29" spans="1:43" ht="15" x14ac:dyDescent="0.2">
      <c r="A29" s="1626">
        <v>24</v>
      </c>
      <c r="B29" s="699" t="s">
        <v>18293</v>
      </c>
      <c r="C29" s="701" t="s">
        <v>18291</v>
      </c>
      <c r="D29" s="1351" t="str">
        <f>"FRA"</f>
        <v>FRA</v>
      </c>
      <c r="E29" s="1351" t="str">
        <f>"Football de Table Aquitaine"</f>
        <v>Football de Table Aquitaine</v>
      </c>
      <c r="F29" s="1351" t="str">
        <f>"VET"</f>
        <v>VET</v>
      </c>
      <c r="G29" s="702" t="s">
        <v>18225</v>
      </c>
      <c r="H29" s="703"/>
      <c r="I29" s="704"/>
      <c r="J29" s="704"/>
      <c r="K29" s="704"/>
      <c r="L29" s="704"/>
      <c r="M29" s="704"/>
      <c r="N29" s="703"/>
      <c r="O29" s="704" t="s">
        <v>18225</v>
      </c>
      <c r="P29" s="704"/>
      <c r="Q29" s="704"/>
      <c r="R29" s="704"/>
      <c r="S29" s="704"/>
      <c r="T29" s="704"/>
      <c r="U29" s="704"/>
      <c r="V29" s="2217"/>
      <c r="W29" s="1351" t="str">
        <f>"Thibault"</f>
        <v>Thibault</v>
      </c>
      <c r="X29" s="1351" t="str">
        <f>"Lesne"</f>
        <v>Lesne</v>
      </c>
      <c r="Y29" s="699" t="s">
        <v>18292</v>
      </c>
      <c r="Z29" s="700" t="s">
        <v>1019</v>
      </c>
      <c r="AA29" s="700" t="s">
        <v>13569</v>
      </c>
      <c r="AB29" s="700" t="s">
        <v>14540</v>
      </c>
      <c r="AC29" s="700">
        <v>359</v>
      </c>
      <c r="AD29" s="700"/>
      <c r="AE29" s="700"/>
      <c r="AF29" s="700"/>
      <c r="AG29" s="700"/>
      <c r="AH29" s="700"/>
      <c r="AI29" s="700" t="str">
        <f t="shared" si="9"/>
        <v xml:space="preserve">0359 (Open) </v>
      </c>
      <c r="AJ29" s="700" t="str">
        <f t="shared" si="9"/>
        <v xml:space="preserve">0359 (Open) </v>
      </c>
      <c r="AK29" s="700" t="str">
        <f t="shared" si="9"/>
        <v xml:space="preserve">0359 (Open) </v>
      </c>
      <c r="AL29" s="700" t="str">
        <f t="shared" si="9"/>
        <v xml:space="preserve">0359 (Open) </v>
      </c>
      <c r="AM29" s="700"/>
      <c r="AN29" s="700"/>
      <c r="AO29" s="700"/>
      <c r="AP29" s="700"/>
      <c r="AQ29" s="1584"/>
    </row>
    <row r="30" spans="1:43" ht="15" x14ac:dyDescent="0.2">
      <c r="A30" s="1626">
        <v>25</v>
      </c>
      <c r="B30" s="699" t="s">
        <v>18296</v>
      </c>
      <c r="C30" s="701" t="s">
        <v>18294</v>
      </c>
      <c r="D30" s="1351" t="str">
        <f>"FRA"</f>
        <v>FRA</v>
      </c>
      <c r="E30" s="1351" t="str">
        <f>"CFT Puylaurens"</f>
        <v>CFT Puylaurens</v>
      </c>
      <c r="F30" s="1351" t="str">
        <f>"VET"</f>
        <v>VET</v>
      </c>
      <c r="G30" s="702" t="s">
        <v>18225</v>
      </c>
      <c r="H30" s="703"/>
      <c r="I30" s="704"/>
      <c r="J30" s="704"/>
      <c r="K30" s="704"/>
      <c r="L30" s="704"/>
      <c r="M30" s="704"/>
      <c r="N30" s="703"/>
      <c r="O30" s="704" t="s">
        <v>18225</v>
      </c>
      <c r="P30" s="704"/>
      <c r="Q30" s="704"/>
      <c r="R30" s="704"/>
      <c r="S30" s="704"/>
      <c r="T30" s="704"/>
      <c r="U30" s="704"/>
      <c r="V30" s="2217"/>
      <c r="W30" s="1351" t="str">
        <f>"Roger"</f>
        <v>Roger</v>
      </c>
      <c r="X30" s="1351" t="str">
        <f>"Trouillard"</f>
        <v>Trouillard</v>
      </c>
      <c r="Y30" s="699" t="s">
        <v>18295</v>
      </c>
      <c r="Z30" s="700" t="s">
        <v>1019</v>
      </c>
      <c r="AA30" s="700" t="s">
        <v>2931</v>
      </c>
      <c r="AB30" s="700" t="s">
        <v>2871</v>
      </c>
      <c r="AC30" s="700"/>
      <c r="AD30" s="700"/>
      <c r="AE30" s="700"/>
      <c r="AF30" s="700"/>
      <c r="AG30" s="700"/>
      <c r="AH30" s="700"/>
      <c r="AI30" s="700" t="str">
        <f t="shared" si="9"/>
        <v>No Ranked</v>
      </c>
      <c r="AJ30" s="700" t="str">
        <f t="shared" si="9"/>
        <v>No Ranked</v>
      </c>
      <c r="AK30" s="700" t="str">
        <f t="shared" si="9"/>
        <v>No Ranked</v>
      </c>
      <c r="AL30" s="700" t="str">
        <f t="shared" si="9"/>
        <v>No Ranked</v>
      </c>
      <c r="AM30" s="700"/>
      <c r="AN30" s="700"/>
      <c r="AO30" s="700"/>
      <c r="AP30" s="700"/>
      <c r="AQ30" s="1584"/>
    </row>
    <row r="31" spans="1:43" ht="15" x14ac:dyDescent="0.2">
      <c r="A31" s="1626">
        <v>26</v>
      </c>
      <c r="B31" s="699" t="s">
        <v>18299</v>
      </c>
      <c r="C31" s="701" t="s">
        <v>18297</v>
      </c>
      <c r="D31" s="1351" t="str">
        <f>"FRA"</f>
        <v>FRA</v>
      </c>
      <c r="E31" s="1351" t="str">
        <f>"CFT Puylaurens"</f>
        <v>CFT Puylaurens</v>
      </c>
      <c r="F31" s="1351" t="str">
        <f>"OPEN"</f>
        <v>OPEN</v>
      </c>
      <c r="G31" s="702" t="s">
        <v>18225</v>
      </c>
      <c r="H31" s="703"/>
      <c r="I31" s="704"/>
      <c r="J31" s="704"/>
      <c r="K31" s="704"/>
      <c r="L31" s="704"/>
      <c r="M31" s="704"/>
      <c r="N31" s="703"/>
      <c r="O31" s="704" t="s">
        <v>18225</v>
      </c>
      <c r="P31" s="704"/>
      <c r="Q31" s="704"/>
      <c r="R31" s="704"/>
      <c r="S31" s="704"/>
      <c r="T31" s="704"/>
      <c r="U31" s="704"/>
      <c r="V31" s="2217"/>
      <c r="W31" s="1351" t="str">
        <f>"Kévin"</f>
        <v>Kévin</v>
      </c>
      <c r="X31" s="1351" t="str">
        <f>"Pouffet"</f>
        <v>Pouffet</v>
      </c>
      <c r="Y31" s="699" t="s">
        <v>18298</v>
      </c>
      <c r="Z31" s="700" t="s">
        <v>1019</v>
      </c>
      <c r="AA31" s="700" t="s">
        <v>2931</v>
      </c>
      <c r="AB31" s="700" t="s">
        <v>13835</v>
      </c>
      <c r="AC31" s="700">
        <v>484</v>
      </c>
      <c r="AD31" s="700"/>
      <c r="AE31" s="700"/>
      <c r="AF31" s="700"/>
      <c r="AG31" s="700"/>
      <c r="AH31" s="700"/>
      <c r="AI31" s="700" t="str">
        <f t="shared" si="9"/>
        <v xml:space="preserve">0484 (Open) </v>
      </c>
      <c r="AJ31" s="700" t="str">
        <f t="shared" si="9"/>
        <v xml:space="preserve">0484 (Open) </v>
      </c>
      <c r="AK31" s="700" t="str">
        <f t="shared" si="9"/>
        <v xml:space="preserve">0484 (Open) </v>
      </c>
      <c r="AL31" s="700" t="str">
        <f t="shared" si="9"/>
        <v xml:space="preserve">0484 (Open) </v>
      </c>
      <c r="AM31" s="700"/>
      <c r="AN31" s="700"/>
      <c r="AO31" s="700"/>
      <c r="AP31" s="700"/>
      <c r="AQ31" s="1584"/>
    </row>
    <row r="32" spans="1:43" ht="15" x14ac:dyDescent="0.2">
      <c r="A32" s="1626">
        <v>27</v>
      </c>
      <c r="B32" s="699" t="s">
        <v>18302</v>
      </c>
      <c r="C32" s="701" t="s">
        <v>18300</v>
      </c>
      <c r="D32" s="1351" t="str">
        <f>"FRA"</f>
        <v>FRA</v>
      </c>
      <c r="E32" s="1351" t="str">
        <f>"Subbuteo Le Cannet Côte d'Azur"</f>
        <v>Subbuteo Le Cannet Côte d'Azur</v>
      </c>
      <c r="F32" s="1351" t="str">
        <f>"VET"</f>
        <v>VET</v>
      </c>
      <c r="G32" s="702" t="s">
        <v>18225</v>
      </c>
      <c r="H32" s="703"/>
      <c r="I32" s="704"/>
      <c r="J32" s="704"/>
      <c r="K32" s="704"/>
      <c r="L32" s="704"/>
      <c r="M32" s="704"/>
      <c r="N32" s="703"/>
      <c r="O32" s="704" t="s">
        <v>18225</v>
      </c>
      <c r="P32" s="704"/>
      <c r="Q32" s="704"/>
      <c r="R32" s="704"/>
      <c r="S32" s="704"/>
      <c r="T32" s="704"/>
      <c r="U32" s="704"/>
      <c r="V32" s="2217"/>
      <c r="W32" s="1351" t="str">
        <f>"Ludovic"</f>
        <v>Ludovic</v>
      </c>
      <c r="X32" s="1351" t="str">
        <f>"Beauvais"</f>
        <v>Beauvais</v>
      </c>
      <c r="Y32" s="699" t="s">
        <v>18301</v>
      </c>
      <c r="Z32" s="700" t="s">
        <v>1019</v>
      </c>
      <c r="AA32" s="700" t="s">
        <v>14875</v>
      </c>
      <c r="AB32" s="700" t="s">
        <v>14478</v>
      </c>
      <c r="AC32" s="700"/>
      <c r="AD32" s="700"/>
      <c r="AE32" s="700"/>
      <c r="AF32" s="700"/>
      <c r="AG32" s="700"/>
      <c r="AH32" s="700"/>
      <c r="AI32" s="700" t="str">
        <f t="shared" si="9"/>
        <v>No Ranked</v>
      </c>
      <c r="AJ32" s="700" t="str">
        <f t="shared" si="9"/>
        <v>No Ranked</v>
      </c>
      <c r="AK32" s="700" t="str">
        <f t="shared" si="9"/>
        <v>No Ranked</v>
      </c>
      <c r="AL32" s="700" t="str">
        <f t="shared" si="9"/>
        <v>No Ranked</v>
      </c>
      <c r="AM32" s="700"/>
      <c r="AN32" s="700"/>
      <c r="AO32" s="700"/>
      <c r="AP32" s="700"/>
      <c r="AQ32" s="1584"/>
    </row>
    <row r="33" spans="1:43" ht="15" x14ac:dyDescent="0.2">
      <c r="A33" s="1626">
        <v>28</v>
      </c>
      <c r="B33" s="699" t="s">
        <v>18305</v>
      </c>
      <c r="C33" s="701" t="s">
        <v>18303</v>
      </c>
      <c r="D33" s="1351" t="str">
        <f>"FRA"</f>
        <v>FRA</v>
      </c>
      <c r="E33" s="1351" t="str">
        <f>"Guebwiller Alsace Subbuteo Club"</f>
        <v>Guebwiller Alsace Subbuteo Club</v>
      </c>
      <c r="F33" s="1351" t="str">
        <f>"VET"</f>
        <v>VET</v>
      </c>
      <c r="G33" s="702" t="s">
        <v>18225</v>
      </c>
      <c r="H33" s="703"/>
      <c r="I33" s="704"/>
      <c r="J33" s="704"/>
      <c r="K33" s="704"/>
      <c r="L33" s="704"/>
      <c r="M33" s="704"/>
      <c r="N33" s="703"/>
      <c r="O33" s="704" t="s">
        <v>18225</v>
      </c>
      <c r="P33" s="704"/>
      <c r="Q33" s="704"/>
      <c r="R33" s="704"/>
      <c r="S33" s="704"/>
      <c r="T33" s="704"/>
      <c r="U33" s="704"/>
      <c r="V33" s="2217"/>
      <c r="W33" s="1351" t="str">
        <f>"Hervé"</f>
        <v>Hervé</v>
      </c>
      <c r="X33" s="1351" t="str">
        <f>"Rakowski"</f>
        <v>Rakowski</v>
      </c>
      <c r="Y33" s="699" t="s">
        <v>18304</v>
      </c>
      <c r="Z33" s="700" t="s">
        <v>1019</v>
      </c>
      <c r="AA33" s="700" t="s">
        <v>16421</v>
      </c>
      <c r="AB33" s="700" t="s">
        <v>14565</v>
      </c>
      <c r="AC33" s="700">
        <v>325</v>
      </c>
      <c r="AD33" s="700"/>
      <c r="AE33" s="700"/>
      <c r="AF33" s="700"/>
      <c r="AG33" s="700"/>
      <c r="AH33" s="700"/>
      <c r="AI33" s="700" t="str">
        <f t="shared" si="9"/>
        <v xml:space="preserve">0325 (Open) </v>
      </c>
      <c r="AJ33" s="700" t="str">
        <f t="shared" si="9"/>
        <v xml:space="preserve">0325 (Open) </v>
      </c>
      <c r="AK33" s="700" t="str">
        <f t="shared" si="9"/>
        <v xml:space="preserve">0325 (Open) </v>
      </c>
      <c r="AL33" s="700" t="str">
        <f t="shared" si="9"/>
        <v xml:space="preserve">0325 (Open) </v>
      </c>
      <c r="AM33" s="700"/>
      <c r="AN33" s="700"/>
      <c r="AO33" s="700"/>
      <c r="AP33" s="700"/>
      <c r="AQ33" s="1584"/>
    </row>
    <row r="34" spans="1:43" ht="15" x14ac:dyDescent="0.2">
      <c r="A34" s="1626">
        <v>29</v>
      </c>
      <c r="B34" s="699" t="s">
        <v>18308</v>
      </c>
      <c r="C34" s="701" t="s">
        <v>18306</v>
      </c>
      <c r="D34" s="1351" t="str">
        <f>"FRA"</f>
        <v>FRA</v>
      </c>
      <c r="E34" s="1351" t="str">
        <f>"Elan Subbutéo Club de Champs-sur-Marne"</f>
        <v>Elan Subbutéo Club de Champs-sur-Marne</v>
      </c>
      <c r="F34" s="1351" t="str">
        <f>"OPEN"</f>
        <v>OPEN</v>
      </c>
      <c r="G34" s="702" t="s">
        <v>18225</v>
      </c>
      <c r="H34" s="703"/>
      <c r="I34" s="704"/>
      <c r="J34" s="704"/>
      <c r="K34" s="704"/>
      <c r="L34" s="704"/>
      <c r="M34" s="704"/>
      <c r="N34" s="703"/>
      <c r="O34" s="704" t="s">
        <v>18225</v>
      </c>
      <c r="P34" s="704"/>
      <c r="Q34" s="704"/>
      <c r="R34" s="704"/>
      <c r="S34" s="704"/>
      <c r="T34" s="704"/>
      <c r="U34" s="704"/>
      <c r="V34" s="2217"/>
      <c r="W34" s="1351" t="str">
        <f>"Franck"</f>
        <v>Franck</v>
      </c>
      <c r="X34" s="1351" t="str">
        <f>"Dubreuil"</f>
        <v>Dubreuil</v>
      </c>
      <c r="Y34" s="699" t="s">
        <v>18307</v>
      </c>
      <c r="Z34" s="700" t="s">
        <v>1019</v>
      </c>
      <c r="AA34" s="700" t="s">
        <v>2932</v>
      </c>
      <c r="AB34" s="700" t="s">
        <v>9478</v>
      </c>
      <c r="AC34" s="700">
        <v>232</v>
      </c>
      <c r="AD34" s="700"/>
      <c r="AE34" s="700"/>
      <c r="AF34" s="700"/>
      <c r="AG34" s="700"/>
      <c r="AH34" s="700"/>
      <c r="AI34" s="700" t="str">
        <f t="shared" si="9"/>
        <v xml:space="preserve">0232 (Open) </v>
      </c>
      <c r="AJ34" s="700" t="str">
        <f t="shared" si="9"/>
        <v xml:space="preserve">0232 (Open) </v>
      </c>
      <c r="AK34" s="700" t="str">
        <f t="shared" si="9"/>
        <v xml:space="preserve">0232 (Open) </v>
      </c>
      <c r="AL34" s="700" t="str">
        <f t="shared" si="9"/>
        <v xml:space="preserve">0232 (Open) </v>
      </c>
      <c r="AM34" s="700"/>
      <c r="AN34" s="700"/>
      <c r="AO34" s="700"/>
      <c r="AP34" s="700"/>
      <c r="AQ34" s="1584"/>
    </row>
    <row r="35" spans="1:43" ht="15" x14ac:dyDescent="0.2">
      <c r="A35" s="1626">
        <v>30</v>
      </c>
      <c r="B35" s="699" t="s">
        <v>18311</v>
      </c>
      <c r="C35" s="701" t="s">
        <v>18309</v>
      </c>
      <c r="D35" s="1351" t="str">
        <f>"FRA"</f>
        <v>FRA</v>
      </c>
      <c r="E35" s="1351" t="str">
        <f>"Football de Table Aquitaine"</f>
        <v>Football de Table Aquitaine</v>
      </c>
      <c r="F35" s="1351" t="str">
        <f>"VET"</f>
        <v>VET</v>
      </c>
      <c r="G35" s="702" t="s">
        <v>18225</v>
      </c>
      <c r="H35" s="703"/>
      <c r="I35" s="704"/>
      <c r="J35" s="704"/>
      <c r="K35" s="704"/>
      <c r="L35" s="704"/>
      <c r="M35" s="704"/>
      <c r="N35" s="703"/>
      <c r="O35" s="704" t="s">
        <v>18225</v>
      </c>
      <c r="P35" s="704"/>
      <c r="Q35" s="704"/>
      <c r="R35" s="704"/>
      <c r="S35" s="704"/>
      <c r="T35" s="704"/>
      <c r="U35" s="704"/>
      <c r="V35" s="2217"/>
      <c r="W35" s="1351" t="str">
        <f>"Nicolas"</f>
        <v>Nicolas</v>
      </c>
      <c r="X35" s="1351" t="str">
        <f>"Morier"</f>
        <v>Morier</v>
      </c>
      <c r="Y35" s="699" t="s">
        <v>18310</v>
      </c>
      <c r="Z35" s="700" t="s">
        <v>1019</v>
      </c>
      <c r="AA35" s="700" t="s">
        <v>13569</v>
      </c>
      <c r="AB35" s="700" t="s">
        <v>14556</v>
      </c>
      <c r="AC35" s="700">
        <v>613</v>
      </c>
      <c r="AD35" s="700"/>
      <c r="AE35" s="700"/>
      <c r="AF35" s="700"/>
      <c r="AG35" s="700"/>
      <c r="AH35" s="700"/>
      <c r="AI35" s="700" t="str">
        <f t="shared" si="9"/>
        <v xml:space="preserve">0613 (Open) </v>
      </c>
      <c r="AJ35" s="700" t="str">
        <f t="shared" si="9"/>
        <v xml:space="preserve">0613 (Open) </v>
      </c>
      <c r="AK35" s="700" t="str">
        <f t="shared" si="9"/>
        <v xml:space="preserve">0613 (Open) </v>
      </c>
      <c r="AL35" s="700" t="str">
        <f t="shared" si="9"/>
        <v xml:space="preserve">0613 (Open) </v>
      </c>
      <c r="AM35" s="700"/>
      <c r="AN35" s="700"/>
      <c r="AO35" s="700"/>
      <c r="AP35" s="700"/>
      <c r="AQ35" s="1584"/>
    </row>
    <row r="36" spans="1:43" ht="15" x14ac:dyDescent="0.2">
      <c r="A36" s="1626">
        <v>31</v>
      </c>
      <c r="B36" s="699" t="s">
        <v>18314</v>
      </c>
      <c r="C36" s="701" t="s">
        <v>18312</v>
      </c>
      <c r="D36" s="1351" t="str">
        <f>"FRA"</f>
        <v>FRA</v>
      </c>
      <c r="E36" s="1351" t="str">
        <f>"Football de Table Aquitaine"</f>
        <v>Football de Table Aquitaine</v>
      </c>
      <c r="F36" s="1351" t="str">
        <f>"VET"</f>
        <v>VET</v>
      </c>
      <c r="G36" s="702" t="s">
        <v>18225</v>
      </c>
      <c r="H36" s="703"/>
      <c r="I36" s="704"/>
      <c r="J36" s="704"/>
      <c r="K36" s="704"/>
      <c r="L36" s="704"/>
      <c r="M36" s="704"/>
      <c r="N36" s="703"/>
      <c r="O36" s="704" t="s">
        <v>18225</v>
      </c>
      <c r="P36" s="704"/>
      <c r="Q36" s="704"/>
      <c r="R36" s="704"/>
      <c r="S36" s="704"/>
      <c r="T36" s="704"/>
      <c r="U36" s="704"/>
      <c r="V36" s="2217"/>
      <c r="W36" s="1351" t="str">
        <f>"Thierry"</f>
        <v>Thierry</v>
      </c>
      <c r="X36" s="1351" t="str">
        <f>"Arnaudin"</f>
        <v>Arnaudin</v>
      </c>
      <c r="Y36" s="699" t="s">
        <v>18313</v>
      </c>
      <c r="Z36" s="700" t="s">
        <v>1019</v>
      </c>
      <c r="AA36" s="700" t="s">
        <v>13569</v>
      </c>
      <c r="AB36" s="700" t="s">
        <v>14473</v>
      </c>
      <c r="AC36" s="700">
        <v>1098</v>
      </c>
      <c r="AD36" s="700"/>
      <c r="AE36" s="700"/>
      <c r="AF36" s="700"/>
      <c r="AG36" s="700"/>
      <c r="AH36" s="700"/>
      <c r="AI36" s="700" t="str">
        <f t="shared" si="9"/>
        <v xml:space="preserve">1098 (Open) </v>
      </c>
      <c r="AJ36" s="700" t="str">
        <f t="shared" si="9"/>
        <v xml:space="preserve">1098 (Open) </v>
      </c>
      <c r="AK36" s="700" t="str">
        <f t="shared" si="9"/>
        <v xml:space="preserve">1098 (Open) </v>
      </c>
      <c r="AL36" s="700" t="str">
        <f t="shared" si="9"/>
        <v xml:space="preserve">1098 (Open) </v>
      </c>
      <c r="AM36" s="700"/>
      <c r="AN36" s="700"/>
      <c r="AO36" s="700"/>
      <c r="AP36" s="700"/>
      <c r="AQ36" s="1584"/>
    </row>
    <row r="37" spans="1:43" ht="15" x14ac:dyDescent="0.2">
      <c r="A37" s="1626">
        <v>32</v>
      </c>
      <c r="B37" s="699" t="s">
        <v>18318</v>
      </c>
      <c r="C37" s="701" t="s">
        <v>18317</v>
      </c>
      <c r="D37" s="1351" t="str">
        <f>"FRA"</f>
        <v>FRA</v>
      </c>
      <c r="E37" s="1351" t="str">
        <f>"Football de Table Aquitaine"</f>
        <v>Football de Table Aquitaine</v>
      </c>
      <c r="F37" s="1351" t="str">
        <f>"VET"</f>
        <v>VET</v>
      </c>
      <c r="G37" s="702" t="s">
        <v>18225</v>
      </c>
      <c r="H37" s="703"/>
      <c r="I37" s="704"/>
      <c r="J37" s="704"/>
      <c r="K37" s="704"/>
      <c r="L37" s="704"/>
      <c r="M37" s="704"/>
      <c r="N37" s="703"/>
      <c r="O37" s="704" t="s">
        <v>18225</v>
      </c>
      <c r="P37" s="704"/>
      <c r="Q37" s="704"/>
      <c r="R37" s="704"/>
      <c r="S37" s="704"/>
      <c r="T37" s="704"/>
      <c r="U37" s="704"/>
      <c r="V37" s="2217"/>
      <c r="W37" s="1351" t="str">
        <f>"Didier"</f>
        <v>Didier</v>
      </c>
      <c r="X37" s="1351" t="str">
        <f>"Le De"</f>
        <v>Le De</v>
      </c>
      <c r="Y37" s="699" t="s">
        <v>18316</v>
      </c>
      <c r="Z37" s="700" t="s">
        <v>1019</v>
      </c>
      <c r="AA37" s="700" t="s">
        <v>13569</v>
      </c>
      <c r="AB37" s="700" t="s">
        <v>13837</v>
      </c>
      <c r="AC37" s="700"/>
      <c r="AD37" s="700"/>
      <c r="AE37" s="700"/>
      <c r="AF37" s="700"/>
      <c r="AG37" s="700"/>
      <c r="AH37" s="700"/>
      <c r="AI37" s="700" t="str">
        <f t="shared" si="9"/>
        <v>No Ranked</v>
      </c>
      <c r="AJ37" s="700" t="str">
        <f t="shared" si="9"/>
        <v>No Ranked</v>
      </c>
      <c r="AK37" s="700" t="str">
        <f t="shared" si="9"/>
        <v>No Ranked</v>
      </c>
      <c r="AL37" s="700" t="str">
        <f t="shared" si="9"/>
        <v>No Ranked</v>
      </c>
      <c r="AM37" s="700"/>
      <c r="AN37" s="700"/>
      <c r="AO37" s="700"/>
      <c r="AP37" s="700"/>
      <c r="AQ37" s="1584"/>
    </row>
    <row r="38" spans="1:43" ht="15" x14ac:dyDescent="0.2">
      <c r="A38" s="1626">
        <v>33</v>
      </c>
      <c r="B38" s="699" t="s">
        <v>18320</v>
      </c>
      <c r="C38" s="701" t="s">
        <v>18319</v>
      </c>
      <c r="D38" s="1351" t="str">
        <f>"FRA"</f>
        <v>FRA</v>
      </c>
      <c r="E38" s="1351" t="str">
        <f>"Guebwiller Alsace Subbuteo Club"</f>
        <v>Guebwiller Alsace Subbuteo Club</v>
      </c>
      <c r="F38" s="1351" t="str">
        <f>"OPEN"</f>
        <v>OPEN</v>
      </c>
      <c r="G38" s="702" t="s">
        <v>18225</v>
      </c>
      <c r="H38" s="703"/>
      <c r="I38" s="704"/>
      <c r="J38" s="704"/>
      <c r="K38" s="704"/>
      <c r="L38" s="704"/>
      <c r="M38" s="704"/>
      <c r="N38" s="703"/>
      <c r="O38" s="704"/>
      <c r="P38" s="704" t="s">
        <v>18225</v>
      </c>
      <c r="Q38" s="704"/>
      <c r="R38" s="704"/>
      <c r="S38" s="704"/>
      <c r="T38" s="704"/>
      <c r="U38" s="704"/>
      <c r="V38" s="2217"/>
      <c r="W38" s="1351" t="str">
        <f>"Lorenzo"</f>
        <v>Lorenzo</v>
      </c>
      <c r="X38" s="1351" t="str">
        <f>"Lo Preti"</f>
        <v>Lo Preti</v>
      </c>
      <c r="Y38" s="699" t="s">
        <v>18315</v>
      </c>
      <c r="Z38" s="700" t="s">
        <v>1019</v>
      </c>
      <c r="AA38" s="700" t="s">
        <v>16421</v>
      </c>
      <c r="AB38" s="700" t="s">
        <v>14543</v>
      </c>
      <c r="AC38" s="700">
        <v>756</v>
      </c>
      <c r="AD38" s="700"/>
      <c r="AE38" s="700"/>
      <c r="AF38" s="700"/>
      <c r="AG38" s="700"/>
      <c r="AH38" s="700"/>
      <c r="AI38" s="700" t="str">
        <f t="shared" ref="AI38:AL61" si="10">IF($AB38="","",IF($AC38="","",TEXT($AC38,"0000")&amp;" (Open) ")&amp;IF($AD38="","",TEXT($AD38,"0000")&amp;" (Vet) ")&amp;IF($AE38="","",TEXT($AE38,"0000")&amp;" (Wom) ")&amp;IF($AF38="","",TEXT($AF38,"0000")&amp;" (U20) ")&amp;IF($AG38="","",TEXT($AG38,"0000")&amp;" (U16) ")&amp;IF($AH38="","",TEXT($AH38,"0000")&amp;" (U12) ")&amp;IF(AND($AC38="",$AD38="",$AE38="",$AF38="",$AG38="",$AH38=""),"No Ranked",""))</f>
        <v xml:space="preserve">0756 (Open) </v>
      </c>
      <c r="AJ38" s="700" t="str">
        <f t="shared" si="10"/>
        <v xml:space="preserve">0756 (Open) </v>
      </c>
      <c r="AK38" s="700" t="str">
        <f t="shared" si="10"/>
        <v xml:space="preserve">0756 (Open) </v>
      </c>
      <c r="AL38" s="700" t="str">
        <f t="shared" si="10"/>
        <v xml:space="preserve">0756 (Open) </v>
      </c>
      <c r="AM38" s="700"/>
      <c r="AN38" s="700"/>
      <c r="AO38" s="700"/>
      <c r="AP38" s="700"/>
    </row>
    <row r="39" spans="1:43" ht="15" x14ac:dyDescent="0.2">
      <c r="A39" s="1626">
        <v>34</v>
      </c>
      <c r="B39" s="699" t="s">
        <v>18323</v>
      </c>
      <c r="C39" s="701" t="s">
        <v>18321</v>
      </c>
      <c r="D39" s="1351" t="str">
        <f>"FRA"</f>
        <v>FRA</v>
      </c>
      <c r="E39" s="1351" t="str">
        <f>"FTC Issy-les-Moulineaux"</f>
        <v>FTC Issy-les-Moulineaux</v>
      </c>
      <c r="F39" s="1351" t="str">
        <f>"VET"</f>
        <v>VET</v>
      </c>
      <c r="G39" s="702" t="s">
        <v>18225</v>
      </c>
      <c r="H39" s="703"/>
      <c r="I39" s="704"/>
      <c r="J39" s="704"/>
      <c r="K39" s="704"/>
      <c r="L39" s="704"/>
      <c r="M39" s="704"/>
      <c r="N39" s="703"/>
      <c r="O39" s="704"/>
      <c r="P39" s="704" t="s">
        <v>18225</v>
      </c>
      <c r="Q39" s="704"/>
      <c r="R39" s="704"/>
      <c r="S39" s="704"/>
      <c r="T39" s="704"/>
      <c r="U39" s="704"/>
      <c r="V39" s="2217"/>
      <c r="W39" s="1351" t="str">
        <f>"Christophe"</f>
        <v>Christophe</v>
      </c>
      <c r="X39" s="1351" t="str">
        <f>"Monteiro"</f>
        <v>Monteiro</v>
      </c>
      <c r="Y39" s="699" t="s">
        <v>18322</v>
      </c>
      <c r="Z39" s="700" t="s">
        <v>1019</v>
      </c>
      <c r="AA39" s="700" t="s">
        <v>2933</v>
      </c>
      <c r="AB39" s="700" t="s">
        <v>8370</v>
      </c>
      <c r="AC39" s="700">
        <v>131</v>
      </c>
      <c r="AD39" s="700">
        <v>192</v>
      </c>
      <c r="AE39" s="700"/>
      <c r="AF39" s="700"/>
      <c r="AG39" s="700"/>
      <c r="AH39" s="700"/>
      <c r="AI39" s="700" t="str">
        <f t="shared" si="10"/>
        <v xml:space="preserve">0131 (Open) 0192 (Vet) </v>
      </c>
      <c r="AJ39" s="700" t="str">
        <f t="shared" si="10"/>
        <v xml:space="preserve">0131 (Open) 0192 (Vet) </v>
      </c>
      <c r="AK39" s="700" t="str">
        <f t="shared" si="10"/>
        <v xml:space="preserve">0131 (Open) 0192 (Vet) </v>
      </c>
      <c r="AL39" s="700" t="str">
        <f t="shared" si="10"/>
        <v xml:space="preserve">0131 (Open) 0192 (Vet) </v>
      </c>
      <c r="AM39" s="700"/>
      <c r="AN39" s="700"/>
      <c r="AO39" s="700"/>
      <c r="AP39" s="700"/>
    </row>
    <row r="40" spans="1:43" ht="15" x14ac:dyDescent="0.2">
      <c r="A40" s="1626">
        <v>35</v>
      </c>
      <c r="B40" s="699" t="s">
        <v>18326</v>
      </c>
      <c r="C40" s="701" t="s">
        <v>18324</v>
      </c>
      <c r="D40" s="1351" t="str">
        <f>"FRA"</f>
        <v>FRA</v>
      </c>
      <c r="E40" s="1351" t="str">
        <f>"Elan Subbutéo Club de Champs-sur-Marne"</f>
        <v>Elan Subbutéo Club de Champs-sur-Marne</v>
      </c>
      <c r="F40" s="1351" t="str">
        <f>"VET"</f>
        <v>VET</v>
      </c>
      <c r="G40" s="702" t="s">
        <v>18225</v>
      </c>
      <c r="H40" s="703"/>
      <c r="I40" s="704"/>
      <c r="J40" s="704"/>
      <c r="K40" s="704"/>
      <c r="L40" s="704"/>
      <c r="M40" s="704"/>
      <c r="N40" s="703"/>
      <c r="O40" s="704"/>
      <c r="P40" s="704" t="s">
        <v>18225</v>
      </c>
      <c r="Q40" s="704"/>
      <c r="R40" s="704"/>
      <c r="S40" s="704"/>
      <c r="T40" s="704"/>
      <c r="U40" s="704"/>
      <c r="V40" s="2217"/>
      <c r="W40" s="1351" t="str">
        <f>"Laurent"</f>
        <v>Laurent</v>
      </c>
      <c r="X40" s="1351" t="str">
        <f>"Ausset"</f>
        <v>Ausset</v>
      </c>
      <c r="Y40" s="699" t="s">
        <v>18325</v>
      </c>
      <c r="Z40" s="700" t="s">
        <v>1019</v>
      </c>
      <c r="AA40" s="700" t="s">
        <v>2932</v>
      </c>
      <c r="AB40" s="700" t="s">
        <v>14475</v>
      </c>
      <c r="AC40" s="700">
        <v>1098</v>
      </c>
      <c r="AD40" s="700">
        <v>232</v>
      </c>
      <c r="AE40" s="700"/>
      <c r="AF40" s="700"/>
      <c r="AG40" s="700"/>
      <c r="AH40" s="700"/>
      <c r="AI40" s="700" t="str">
        <f t="shared" si="10"/>
        <v xml:space="preserve">1098 (Open) 0232 (Vet) </v>
      </c>
      <c r="AJ40" s="700" t="str">
        <f t="shared" si="10"/>
        <v xml:space="preserve">1098 (Open) 0232 (Vet) </v>
      </c>
      <c r="AK40" s="700" t="str">
        <f t="shared" si="10"/>
        <v xml:space="preserve">1098 (Open) 0232 (Vet) </v>
      </c>
      <c r="AL40" s="700" t="str">
        <f t="shared" si="10"/>
        <v xml:space="preserve">1098 (Open) 0232 (Vet) </v>
      </c>
      <c r="AM40" s="700"/>
      <c r="AN40" s="700"/>
      <c r="AO40" s="700"/>
      <c r="AP40" s="700"/>
    </row>
    <row r="41" spans="1:43" ht="15" x14ac:dyDescent="0.2">
      <c r="A41" s="1626">
        <v>36</v>
      </c>
      <c r="B41" s="699" t="s">
        <v>18329</v>
      </c>
      <c r="C41" s="701" t="s">
        <v>18327</v>
      </c>
      <c r="D41" s="1351" t="str">
        <f>"FRA"</f>
        <v>FRA</v>
      </c>
      <c r="E41" s="1351" t="str">
        <f>"Club Stéphanois Subbuteo - ALC"</f>
        <v>Club Stéphanois Subbuteo - ALC</v>
      </c>
      <c r="F41" s="1351" t="str">
        <f>"VET"</f>
        <v>VET</v>
      </c>
      <c r="G41" s="702" t="s">
        <v>18225</v>
      </c>
      <c r="H41" s="703"/>
      <c r="I41" s="704"/>
      <c r="J41" s="704"/>
      <c r="K41" s="704"/>
      <c r="L41" s="704"/>
      <c r="M41" s="704"/>
      <c r="N41" s="703"/>
      <c r="O41" s="704"/>
      <c r="P41" s="704" t="s">
        <v>18225</v>
      </c>
      <c r="Q41" s="704"/>
      <c r="R41" s="704"/>
      <c r="S41" s="704"/>
      <c r="T41" s="704"/>
      <c r="U41" s="704"/>
      <c r="V41" s="2217"/>
      <c r="W41" s="1351" t="str">
        <f>"Jean-Jacques"</f>
        <v>Jean-Jacques</v>
      </c>
      <c r="X41" s="1351" t="str">
        <f>"Trichot"</f>
        <v>Trichot</v>
      </c>
      <c r="Y41" s="699" t="s">
        <v>18328</v>
      </c>
      <c r="Z41" s="700" t="s">
        <v>1019</v>
      </c>
      <c r="AA41" s="700" t="s">
        <v>16427</v>
      </c>
      <c r="AB41" s="700" t="s">
        <v>14578</v>
      </c>
      <c r="AC41" s="700">
        <v>668</v>
      </c>
      <c r="AD41" s="700">
        <v>170</v>
      </c>
      <c r="AE41" s="700"/>
      <c r="AF41" s="700"/>
      <c r="AG41" s="700"/>
      <c r="AH41" s="700"/>
      <c r="AI41" s="700" t="str">
        <f t="shared" si="10"/>
        <v xml:space="preserve">0668 (Open) 0170 (Vet) </v>
      </c>
      <c r="AJ41" s="700" t="str">
        <f t="shared" si="10"/>
        <v xml:space="preserve">0668 (Open) 0170 (Vet) </v>
      </c>
      <c r="AK41" s="700" t="str">
        <f t="shared" si="10"/>
        <v xml:space="preserve">0668 (Open) 0170 (Vet) </v>
      </c>
      <c r="AL41" s="700" t="str">
        <f t="shared" si="10"/>
        <v xml:space="preserve">0668 (Open) 0170 (Vet) </v>
      </c>
      <c r="AM41" s="700"/>
      <c r="AN41" s="700"/>
      <c r="AO41" s="700"/>
      <c r="AP41" s="700"/>
    </row>
    <row r="42" spans="1:43" ht="15" x14ac:dyDescent="0.2">
      <c r="A42" s="1626">
        <v>37</v>
      </c>
      <c r="B42" s="699" t="s">
        <v>18332</v>
      </c>
      <c r="C42" s="701" t="s">
        <v>18331</v>
      </c>
      <c r="D42" s="1351" t="str">
        <f>"FRA"</f>
        <v>FRA</v>
      </c>
      <c r="E42" s="1351" t="str">
        <f>"Avenir Subbuteo Hennuyer"</f>
        <v>Avenir Subbuteo Hennuyer</v>
      </c>
      <c r="F42" s="1351" t="str">
        <f>"U20"</f>
        <v>U20</v>
      </c>
      <c r="G42" s="702" t="s">
        <v>18225</v>
      </c>
      <c r="H42" s="703"/>
      <c r="I42" s="704"/>
      <c r="J42" s="704"/>
      <c r="K42" s="704"/>
      <c r="L42" s="704"/>
      <c r="M42" s="704"/>
      <c r="N42" s="703"/>
      <c r="O42" s="704"/>
      <c r="P42" s="704" t="s">
        <v>18225</v>
      </c>
      <c r="Q42" s="704"/>
      <c r="R42" s="704"/>
      <c r="S42" s="704"/>
      <c r="T42" s="704"/>
      <c r="U42" s="704"/>
      <c r="V42" s="2217"/>
      <c r="W42" s="1351" t="str">
        <f>"Rafaël"</f>
        <v>Rafaël</v>
      </c>
      <c r="X42" s="1351" t="str">
        <f>"Midoux"</f>
        <v>Midoux</v>
      </c>
      <c r="Y42" s="699" t="s">
        <v>18330</v>
      </c>
      <c r="Z42" s="700" t="s">
        <v>1019</v>
      </c>
      <c r="AA42" s="700" t="s">
        <v>2913</v>
      </c>
      <c r="AB42" s="700" t="s">
        <v>8371</v>
      </c>
      <c r="AC42" s="700">
        <v>408</v>
      </c>
      <c r="AD42" s="700"/>
      <c r="AE42" s="700"/>
      <c r="AF42" s="700">
        <v>15</v>
      </c>
      <c r="AG42" s="700"/>
      <c r="AH42" s="700"/>
      <c r="AI42" s="700" t="str">
        <f t="shared" si="10"/>
        <v xml:space="preserve">0408 (Open) 0015 (U20) </v>
      </c>
      <c r="AJ42" s="700" t="str">
        <f t="shared" si="10"/>
        <v xml:space="preserve">0408 (Open) 0015 (U20) </v>
      </c>
      <c r="AK42" s="700" t="str">
        <f t="shared" si="10"/>
        <v xml:space="preserve">0408 (Open) 0015 (U20) </v>
      </c>
      <c r="AL42" s="700" t="str">
        <f t="shared" si="10"/>
        <v xml:space="preserve">0408 (Open) 0015 (U20) </v>
      </c>
      <c r="AM42" s="700"/>
      <c r="AN42" s="700"/>
      <c r="AO42" s="700"/>
      <c r="AP42" s="700"/>
    </row>
    <row r="43" spans="1:43" ht="15" x14ac:dyDescent="0.2">
      <c r="A43" s="1626">
        <v>38</v>
      </c>
      <c r="B43" s="699" t="s">
        <v>18335</v>
      </c>
      <c r="C43" s="701" t="s">
        <v>18333</v>
      </c>
      <c r="D43" s="1351" t="str">
        <f>"FRA"</f>
        <v>FRA</v>
      </c>
      <c r="E43" s="1351" t="str">
        <f>"FTC Caen"</f>
        <v>FTC Caen</v>
      </c>
      <c r="F43" s="1351" t="str">
        <f>"OPEN"</f>
        <v>OPEN</v>
      </c>
      <c r="G43" s="702" t="s">
        <v>18225</v>
      </c>
      <c r="H43" s="703"/>
      <c r="I43" s="704"/>
      <c r="J43" s="704"/>
      <c r="K43" s="704"/>
      <c r="L43" s="704"/>
      <c r="M43" s="704"/>
      <c r="N43" s="703"/>
      <c r="O43" s="704"/>
      <c r="P43" s="704" t="s">
        <v>18225</v>
      </c>
      <c r="Q43" s="704"/>
      <c r="R43" s="704"/>
      <c r="S43" s="704"/>
      <c r="T43" s="704"/>
      <c r="U43" s="704"/>
      <c r="V43" s="2217"/>
      <c r="W43" s="1351" t="str">
        <f>"Olivier"</f>
        <v>Olivier</v>
      </c>
      <c r="X43" s="1351" t="str">
        <f>"Sagit"</f>
        <v>Sagit</v>
      </c>
      <c r="Y43" s="699" t="s">
        <v>18334</v>
      </c>
      <c r="Z43" s="700" t="s">
        <v>1019</v>
      </c>
      <c r="AA43" s="700" t="s">
        <v>13567</v>
      </c>
      <c r="AB43" s="700" t="s">
        <v>2888</v>
      </c>
      <c r="AC43" s="700">
        <v>639</v>
      </c>
      <c r="AD43" s="700"/>
      <c r="AE43" s="700"/>
      <c r="AF43" s="700"/>
      <c r="AG43" s="700"/>
      <c r="AH43" s="700"/>
      <c r="AI43" s="700" t="str">
        <f t="shared" si="10"/>
        <v xml:space="preserve">0639 (Open) </v>
      </c>
      <c r="AJ43" s="700" t="str">
        <f t="shared" si="10"/>
        <v xml:space="preserve">0639 (Open) </v>
      </c>
      <c r="AK43" s="700" t="str">
        <f t="shared" si="10"/>
        <v xml:space="preserve">0639 (Open) </v>
      </c>
      <c r="AL43" s="700" t="str">
        <f t="shared" si="10"/>
        <v xml:space="preserve">0639 (Open) </v>
      </c>
      <c r="AM43" s="700"/>
      <c r="AN43" s="700"/>
      <c r="AO43" s="700"/>
      <c r="AP43" s="700"/>
    </row>
    <row r="44" spans="1:43" ht="15" x14ac:dyDescent="0.2">
      <c r="A44" s="1626">
        <v>39</v>
      </c>
      <c r="B44" s="699" t="s">
        <v>18338</v>
      </c>
      <c r="C44" s="701" t="s">
        <v>18336</v>
      </c>
      <c r="D44" s="1351" t="str">
        <f>"FRA"</f>
        <v>FRA</v>
      </c>
      <c r="E44" s="1351" t="str">
        <f>"FTC Caen"</f>
        <v>FTC Caen</v>
      </c>
      <c r="F44" s="1351" t="str">
        <f>"VET"</f>
        <v>VET</v>
      </c>
      <c r="G44" s="702" t="s">
        <v>18225</v>
      </c>
      <c r="H44" s="703"/>
      <c r="I44" s="704"/>
      <c r="J44" s="704"/>
      <c r="K44" s="704"/>
      <c r="L44" s="704"/>
      <c r="M44" s="704"/>
      <c r="N44" s="703"/>
      <c r="O44" s="704"/>
      <c r="P44" s="704" t="s">
        <v>18225</v>
      </c>
      <c r="Q44" s="704"/>
      <c r="R44" s="704"/>
      <c r="S44" s="704"/>
      <c r="T44" s="704"/>
      <c r="U44" s="704"/>
      <c r="V44" s="2217"/>
      <c r="W44" s="1351" t="str">
        <f>"Jean-Marie"</f>
        <v>Jean-Marie</v>
      </c>
      <c r="X44" s="1351" t="str">
        <f>"Fouetillou"</f>
        <v>Fouetillou</v>
      </c>
      <c r="Y44" s="699" t="s">
        <v>18337</v>
      </c>
      <c r="Z44" s="700" t="s">
        <v>1019</v>
      </c>
      <c r="AA44" s="700" t="s">
        <v>13567</v>
      </c>
      <c r="AB44" s="700" t="s">
        <v>2887</v>
      </c>
      <c r="AC44" s="700"/>
      <c r="AD44" s="700">
        <v>146</v>
      </c>
      <c r="AE44" s="700"/>
      <c r="AF44" s="700"/>
      <c r="AG44" s="700"/>
      <c r="AH44" s="700"/>
      <c r="AI44" s="700" t="str">
        <f t="shared" si="10"/>
        <v xml:space="preserve">0146 (Vet) </v>
      </c>
      <c r="AJ44" s="700" t="str">
        <f t="shared" si="10"/>
        <v xml:space="preserve">0146 (Vet) </v>
      </c>
      <c r="AK44" s="700" t="str">
        <f t="shared" si="10"/>
        <v xml:space="preserve">0146 (Vet) </v>
      </c>
      <c r="AL44" s="700" t="str">
        <f t="shared" si="10"/>
        <v xml:space="preserve">0146 (Vet) </v>
      </c>
      <c r="AM44" s="700"/>
      <c r="AN44" s="700"/>
      <c r="AO44" s="700"/>
      <c r="AP44" s="700"/>
      <c r="AQ44" s="1584"/>
    </row>
    <row r="45" spans="1:43" ht="15" x14ac:dyDescent="0.2">
      <c r="A45" s="1626">
        <v>40</v>
      </c>
      <c r="B45" s="699" t="s">
        <v>18341</v>
      </c>
      <c r="C45" s="701" t="s">
        <v>18339</v>
      </c>
      <c r="D45" s="1351" t="str">
        <f>"TUN"</f>
        <v>TUN</v>
      </c>
      <c r="E45" s="1351" t="str">
        <f>"Celtic Combourg CFT"</f>
        <v>Celtic Combourg CFT</v>
      </c>
      <c r="F45" s="1351" t="str">
        <f>"VET"</f>
        <v>VET</v>
      </c>
      <c r="G45" s="702" t="s">
        <v>18225</v>
      </c>
      <c r="H45" s="703"/>
      <c r="I45" s="704"/>
      <c r="J45" s="704"/>
      <c r="K45" s="704"/>
      <c r="L45" s="704"/>
      <c r="M45" s="704"/>
      <c r="N45" s="703"/>
      <c r="O45" s="704"/>
      <c r="P45" s="704" t="s">
        <v>18225</v>
      </c>
      <c r="Q45" s="704"/>
      <c r="R45" s="704"/>
      <c r="S45" s="704"/>
      <c r="T45" s="704"/>
      <c r="U45" s="704"/>
      <c r="V45" s="2217"/>
      <c r="W45" s="1351" t="str">
        <f>"Skander"</f>
        <v>Skander</v>
      </c>
      <c r="X45" s="1351" t="str">
        <f>"Farza"</f>
        <v>Farza</v>
      </c>
      <c r="Y45" s="699" t="s">
        <v>18340</v>
      </c>
      <c r="Z45" s="700" t="s">
        <v>1076</v>
      </c>
      <c r="AA45" s="700" t="s">
        <v>11412</v>
      </c>
      <c r="AB45" s="700" t="s">
        <v>5268</v>
      </c>
      <c r="AC45" s="700">
        <v>684</v>
      </c>
      <c r="AD45" s="700">
        <v>125</v>
      </c>
      <c r="AE45" s="700"/>
      <c r="AF45" s="700"/>
      <c r="AG45" s="700"/>
      <c r="AH45" s="700"/>
      <c r="AI45" s="700" t="str">
        <f t="shared" si="10"/>
        <v xml:space="preserve">0684 (Open) 0125 (Vet) </v>
      </c>
      <c r="AJ45" s="700" t="str">
        <f t="shared" si="10"/>
        <v xml:space="preserve">0684 (Open) 0125 (Vet) </v>
      </c>
      <c r="AK45" s="700" t="str">
        <f t="shared" si="10"/>
        <v xml:space="preserve">0684 (Open) 0125 (Vet) </v>
      </c>
      <c r="AL45" s="700" t="str">
        <f t="shared" si="10"/>
        <v xml:space="preserve">0684 (Open) 0125 (Vet) </v>
      </c>
      <c r="AM45" s="700"/>
      <c r="AN45" s="700"/>
      <c r="AO45" s="700"/>
      <c r="AP45" s="700"/>
      <c r="AQ45" s="1584"/>
    </row>
    <row r="46" spans="1:43" ht="15" x14ac:dyDescent="0.2">
      <c r="A46" s="1626">
        <v>41</v>
      </c>
      <c r="B46" s="699" t="s">
        <v>18344</v>
      </c>
      <c r="C46" s="701" t="s">
        <v>18342</v>
      </c>
      <c r="D46" s="1351" t="str">
        <f>"FRA"</f>
        <v>FRA</v>
      </c>
      <c r="E46" s="1351" t="str">
        <f>"Free Agent"</f>
        <v>Free Agent</v>
      </c>
      <c r="F46" s="1351" t="str">
        <f>"VET"</f>
        <v>VET</v>
      </c>
      <c r="G46" s="702" t="s">
        <v>18225</v>
      </c>
      <c r="H46" s="703"/>
      <c r="I46" s="704"/>
      <c r="J46" s="704"/>
      <c r="K46" s="704"/>
      <c r="L46" s="704"/>
      <c r="M46" s="704"/>
      <c r="N46" s="703"/>
      <c r="O46" s="704"/>
      <c r="P46" s="704" t="s">
        <v>18225</v>
      </c>
      <c r="Q46" s="704"/>
      <c r="R46" s="704"/>
      <c r="S46" s="704"/>
      <c r="T46" s="704"/>
      <c r="U46" s="704"/>
      <c r="V46" s="2217"/>
      <c r="W46" s="1351" t="str">
        <f>"Lionel"</f>
        <v>Lionel</v>
      </c>
      <c r="X46" s="1351" t="str">
        <f>"Abecassis"</f>
        <v>Abecassis</v>
      </c>
      <c r="Y46" s="699" t="s">
        <v>18343</v>
      </c>
      <c r="Z46" s="700" t="s">
        <v>1019</v>
      </c>
      <c r="AA46" s="700"/>
      <c r="AB46" s="700" t="s">
        <v>17575</v>
      </c>
      <c r="AC46" s="700">
        <v>379</v>
      </c>
      <c r="AD46" s="700"/>
      <c r="AE46" s="700"/>
      <c r="AF46" s="700"/>
      <c r="AG46" s="700"/>
      <c r="AH46" s="700"/>
      <c r="AI46" s="700" t="str">
        <f t="shared" si="10"/>
        <v xml:space="preserve">0379 (Open) </v>
      </c>
      <c r="AJ46" s="700" t="str">
        <f t="shared" si="10"/>
        <v xml:space="preserve">0379 (Open) </v>
      </c>
      <c r="AK46" s="700" t="str">
        <f t="shared" si="10"/>
        <v xml:space="preserve">0379 (Open) </v>
      </c>
      <c r="AL46" s="700" t="str">
        <f t="shared" si="10"/>
        <v xml:space="preserve">0379 (Open) </v>
      </c>
      <c r="AM46" s="700"/>
      <c r="AN46" s="700"/>
      <c r="AO46" s="700"/>
      <c r="AP46" s="700"/>
      <c r="AQ46" s="1584"/>
    </row>
    <row r="47" spans="1:43" ht="15" x14ac:dyDescent="0.2">
      <c r="A47" s="1626">
        <v>42</v>
      </c>
      <c r="B47" s="699" t="s">
        <v>18347</v>
      </c>
      <c r="C47" s="701" t="s">
        <v>18345</v>
      </c>
      <c r="D47" s="1351" t="str">
        <f>"FRA"</f>
        <v>FRA</v>
      </c>
      <c r="E47" s="1351" t="str">
        <f>"Avenir Subbuteo Hennuyer"</f>
        <v>Avenir Subbuteo Hennuyer</v>
      </c>
      <c r="F47" s="1351" t="str">
        <f>"U16"</f>
        <v>U16</v>
      </c>
      <c r="G47" s="702" t="s">
        <v>18225</v>
      </c>
      <c r="H47" s="703"/>
      <c r="I47" s="704"/>
      <c r="J47" s="704"/>
      <c r="K47" s="704"/>
      <c r="L47" s="704"/>
      <c r="M47" s="704"/>
      <c r="N47" s="703"/>
      <c r="O47" s="704"/>
      <c r="P47" s="704" t="s">
        <v>18225</v>
      </c>
      <c r="Q47" s="704"/>
      <c r="R47" s="704"/>
      <c r="S47" s="704"/>
      <c r="T47" s="704"/>
      <c r="U47" s="704"/>
      <c r="V47" s="2217"/>
      <c r="W47" s="1351" t="str">
        <f>"Louis"</f>
        <v>Louis</v>
      </c>
      <c r="X47" s="1351" t="str">
        <f>"Soret"</f>
        <v>Soret</v>
      </c>
      <c r="Y47" s="699" t="s">
        <v>18346</v>
      </c>
      <c r="Z47" s="700" t="s">
        <v>1019</v>
      </c>
      <c r="AA47" s="700" t="s">
        <v>2913</v>
      </c>
      <c r="AB47" s="700" t="s">
        <v>8816</v>
      </c>
      <c r="AC47" s="700">
        <v>449</v>
      </c>
      <c r="AD47" s="700"/>
      <c r="AE47" s="700"/>
      <c r="AF47" s="700">
        <v>24</v>
      </c>
      <c r="AG47" s="700">
        <v>1</v>
      </c>
      <c r="AH47" s="700"/>
      <c r="AI47" s="700" t="str">
        <f t="shared" si="10"/>
        <v xml:space="preserve">0449 (Open) 0024 (U20) 0001 (U16) </v>
      </c>
      <c r="AJ47" s="700" t="str">
        <f t="shared" si="10"/>
        <v xml:space="preserve">0449 (Open) 0024 (U20) 0001 (U16) </v>
      </c>
      <c r="AK47" s="700" t="str">
        <f t="shared" si="10"/>
        <v xml:space="preserve">0449 (Open) 0024 (U20) 0001 (U16) </v>
      </c>
      <c r="AL47" s="700" t="str">
        <f t="shared" si="10"/>
        <v xml:space="preserve">0449 (Open) 0024 (U20) 0001 (U16) </v>
      </c>
      <c r="AM47" s="700"/>
      <c r="AN47" s="700"/>
      <c r="AO47" s="700"/>
      <c r="AP47" s="700"/>
      <c r="AQ47" s="1584"/>
    </row>
    <row r="48" spans="1:43" ht="15" x14ac:dyDescent="0.2">
      <c r="A48" s="1626">
        <v>43</v>
      </c>
      <c r="B48" s="699" t="s">
        <v>18350</v>
      </c>
      <c r="C48" s="701" t="s">
        <v>18348</v>
      </c>
      <c r="D48" s="1351" t="str">
        <f>"FRA"</f>
        <v>FRA</v>
      </c>
      <c r="E48" s="1351" t="str">
        <f>"Avenir Subbuteo Hennuyer"</f>
        <v>Avenir Subbuteo Hennuyer</v>
      </c>
      <c r="F48" s="1351" t="str">
        <f>"OPEN"</f>
        <v>OPEN</v>
      </c>
      <c r="G48" s="702" t="s">
        <v>18225</v>
      </c>
      <c r="H48" s="703"/>
      <c r="I48" s="704"/>
      <c r="J48" s="704"/>
      <c r="K48" s="704"/>
      <c r="L48" s="704"/>
      <c r="M48" s="704"/>
      <c r="N48" s="703"/>
      <c r="O48" s="704"/>
      <c r="P48" s="704" t="s">
        <v>18225</v>
      </c>
      <c r="Q48" s="704"/>
      <c r="R48" s="704"/>
      <c r="S48" s="704"/>
      <c r="T48" s="704"/>
      <c r="U48" s="704"/>
      <c r="V48" s="2217"/>
      <c r="W48" s="1351" t="str">
        <f>"Ludovic"</f>
        <v>Ludovic</v>
      </c>
      <c r="X48" s="1351" t="str">
        <f>"Midoux"</f>
        <v>Midoux</v>
      </c>
      <c r="Y48" s="699" t="s">
        <v>18349</v>
      </c>
      <c r="Z48" s="700" t="s">
        <v>1019</v>
      </c>
      <c r="AA48" s="700" t="s">
        <v>2913</v>
      </c>
      <c r="AB48" s="700" t="s">
        <v>2890</v>
      </c>
      <c r="AC48" s="700">
        <v>170</v>
      </c>
      <c r="AD48" s="700"/>
      <c r="AE48" s="700"/>
      <c r="AF48" s="700"/>
      <c r="AG48" s="700"/>
      <c r="AH48" s="700"/>
      <c r="AI48" s="700" t="str">
        <f t="shared" si="10"/>
        <v xml:space="preserve">0170 (Open) </v>
      </c>
      <c r="AJ48" s="700" t="str">
        <f t="shared" si="10"/>
        <v xml:space="preserve">0170 (Open) </v>
      </c>
      <c r="AK48" s="700" t="str">
        <f t="shared" si="10"/>
        <v xml:space="preserve">0170 (Open) </v>
      </c>
      <c r="AL48" s="700" t="str">
        <f t="shared" si="10"/>
        <v xml:space="preserve">0170 (Open) </v>
      </c>
      <c r="AM48" s="700"/>
      <c r="AN48" s="700"/>
      <c r="AO48" s="700"/>
      <c r="AP48" s="700"/>
      <c r="AQ48" s="1584"/>
    </row>
    <row r="49" spans="1:43" ht="15" x14ac:dyDescent="0.2">
      <c r="A49" s="1626">
        <v>44</v>
      </c>
      <c r="B49" s="699" t="s">
        <v>18353</v>
      </c>
      <c r="C49" s="701" t="s">
        <v>18351</v>
      </c>
      <c r="D49" s="1351" t="str">
        <f>"FRA"</f>
        <v>FRA</v>
      </c>
      <c r="E49" s="1351" t="str">
        <f>"FTC Caen"</f>
        <v>FTC Caen</v>
      </c>
      <c r="F49" s="1351" t="str">
        <f>"OPEN"</f>
        <v>OPEN</v>
      </c>
      <c r="G49" s="702" t="s">
        <v>18225</v>
      </c>
      <c r="H49" s="703"/>
      <c r="I49" s="704"/>
      <c r="J49" s="704"/>
      <c r="K49" s="704"/>
      <c r="L49" s="704"/>
      <c r="M49" s="704"/>
      <c r="N49" s="703"/>
      <c r="O49" s="704"/>
      <c r="P49" s="704" t="s">
        <v>18225</v>
      </c>
      <c r="Q49" s="704"/>
      <c r="R49" s="704"/>
      <c r="S49" s="704"/>
      <c r="T49" s="704"/>
      <c r="U49" s="704"/>
      <c r="V49" s="2217"/>
      <c r="W49" s="1351" t="str">
        <f>"Rémy"</f>
        <v>Rémy</v>
      </c>
      <c r="X49" s="1351" t="str">
        <f>"Lours"</f>
        <v>Lours</v>
      </c>
      <c r="Y49" s="699" t="s">
        <v>18352</v>
      </c>
      <c r="Z49" s="700" t="s">
        <v>1019</v>
      </c>
      <c r="AA49" s="700" t="s">
        <v>13567</v>
      </c>
      <c r="AB49" s="700" t="s">
        <v>4392</v>
      </c>
      <c r="AC49" s="700">
        <v>88</v>
      </c>
      <c r="AD49" s="700"/>
      <c r="AE49" s="700"/>
      <c r="AF49" s="700"/>
      <c r="AG49" s="700"/>
      <c r="AH49" s="700"/>
      <c r="AI49" s="700" t="str">
        <f t="shared" si="10"/>
        <v xml:space="preserve">0088 (Open) </v>
      </c>
      <c r="AJ49" s="700" t="str">
        <f t="shared" si="10"/>
        <v xml:space="preserve">0088 (Open) </v>
      </c>
      <c r="AK49" s="700" t="str">
        <f t="shared" si="10"/>
        <v xml:space="preserve">0088 (Open) </v>
      </c>
      <c r="AL49" s="700" t="str">
        <f t="shared" si="10"/>
        <v xml:space="preserve">0088 (Open) </v>
      </c>
      <c r="AM49" s="700"/>
      <c r="AN49" s="700"/>
      <c r="AO49" s="700"/>
      <c r="AP49" s="700"/>
      <c r="AQ49" s="1584"/>
    </row>
    <row r="50" spans="1:43" ht="15" x14ac:dyDescent="0.2">
      <c r="A50" s="1626">
        <v>45</v>
      </c>
      <c r="B50" s="699" t="s">
        <v>18356</v>
      </c>
      <c r="C50" s="701" t="s">
        <v>18354</v>
      </c>
      <c r="D50" s="1351" t="str">
        <f>"FRA"</f>
        <v>FRA</v>
      </c>
      <c r="E50" s="1351" t="str">
        <f>"FTC Caen"</f>
        <v>FTC Caen</v>
      </c>
      <c r="F50" s="1351" t="str">
        <f>"OPEN"</f>
        <v>OPEN</v>
      </c>
      <c r="G50" s="702" t="s">
        <v>18225</v>
      </c>
      <c r="H50" s="703"/>
      <c r="I50" s="704"/>
      <c r="J50" s="704"/>
      <c r="K50" s="704"/>
      <c r="L50" s="704"/>
      <c r="M50" s="704"/>
      <c r="N50" s="703"/>
      <c r="O50" s="704"/>
      <c r="P50" s="704" t="s">
        <v>18225</v>
      </c>
      <c r="Q50" s="704"/>
      <c r="R50" s="704"/>
      <c r="S50" s="704"/>
      <c r="T50" s="704"/>
      <c r="U50" s="704"/>
      <c r="V50" s="2217"/>
      <c r="W50" s="1351" t="str">
        <f>"Emmanuel"</f>
        <v>Emmanuel</v>
      </c>
      <c r="X50" s="1351" t="str">
        <f>"Lafontaine"</f>
        <v>Lafontaine</v>
      </c>
      <c r="Y50" s="699" t="s">
        <v>18355</v>
      </c>
      <c r="Z50" s="700" t="s">
        <v>1019</v>
      </c>
      <c r="AA50" s="700" t="s">
        <v>13567</v>
      </c>
      <c r="AB50" s="700" t="s">
        <v>14524</v>
      </c>
      <c r="AC50" s="700">
        <v>828</v>
      </c>
      <c r="AD50" s="700"/>
      <c r="AE50" s="700"/>
      <c r="AF50" s="700"/>
      <c r="AG50" s="700"/>
      <c r="AH50" s="700"/>
      <c r="AI50" s="700" t="str">
        <f t="shared" si="10"/>
        <v xml:space="preserve">0828 (Open) </v>
      </c>
      <c r="AJ50" s="700" t="str">
        <f t="shared" si="10"/>
        <v xml:space="preserve">0828 (Open) </v>
      </c>
      <c r="AK50" s="700" t="str">
        <f t="shared" si="10"/>
        <v xml:space="preserve">0828 (Open) </v>
      </c>
      <c r="AL50" s="700" t="str">
        <f t="shared" si="10"/>
        <v xml:space="preserve">0828 (Open) </v>
      </c>
      <c r="AM50" s="700"/>
      <c r="AN50" s="700"/>
      <c r="AO50" s="700"/>
      <c r="AP50" s="700"/>
      <c r="AQ50" s="1584"/>
    </row>
    <row r="51" spans="1:43" ht="15" x14ac:dyDescent="0.2">
      <c r="A51" s="1626">
        <v>46</v>
      </c>
      <c r="B51" s="699" t="s">
        <v>18358</v>
      </c>
      <c r="C51" s="701" t="s">
        <v>18359</v>
      </c>
      <c r="D51" s="1351" t="str">
        <f>"FRA"</f>
        <v>FRA</v>
      </c>
      <c r="E51" s="1351" t="str">
        <f>"FTC Caen"</f>
        <v>FTC Caen</v>
      </c>
      <c r="F51" s="1351" t="str">
        <f>"OPEN"</f>
        <v>OPEN</v>
      </c>
      <c r="G51" s="702" t="s">
        <v>18225</v>
      </c>
      <c r="H51" s="703"/>
      <c r="I51" s="704"/>
      <c r="J51" s="704"/>
      <c r="K51" s="704"/>
      <c r="L51" s="704"/>
      <c r="M51" s="704"/>
      <c r="N51" s="703"/>
      <c r="O51" s="704"/>
      <c r="P51" s="704" t="s">
        <v>18225</v>
      </c>
      <c r="Q51" s="704"/>
      <c r="R51" s="704"/>
      <c r="S51" s="704"/>
      <c r="T51" s="704"/>
      <c r="U51" s="704"/>
      <c r="V51" s="2217"/>
      <c r="W51" s="1351" t="str">
        <f>"Nicolas"</f>
        <v>Nicolas</v>
      </c>
      <c r="X51" s="1351" t="str">
        <f>"Lefèbvre"</f>
        <v>Lefèbvre</v>
      </c>
      <c r="Y51" s="699" t="s">
        <v>18357</v>
      </c>
      <c r="Z51" s="700" t="s">
        <v>1019</v>
      </c>
      <c r="AA51" s="700" t="s">
        <v>13567</v>
      </c>
      <c r="AB51" s="700" t="s">
        <v>14533</v>
      </c>
      <c r="AC51" s="700">
        <v>564</v>
      </c>
      <c r="AD51" s="700"/>
      <c r="AE51" s="700"/>
      <c r="AF51" s="700"/>
      <c r="AG51" s="700"/>
      <c r="AH51" s="700"/>
      <c r="AI51" s="700" t="str">
        <f t="shared" si="10"/>
        <v xml:space="preserve">0564 (Open) </v>
      </c>
      <c r="AJ51" s="700" t="str">
        <f t="shared" si="10"/>
        <v xml:space="preserve">0564 (Open) </v>
      </c>
      <c r="AK51" s="700" t="str">
        <f t="shared" si="10"/>
        <v xml:space="preserve">0564 (Open) </v>
      </c>
      <c r="AL51" s="700" t="str">
        <f t="shared" si="10"/>
        <v xml:space="preserve">0564 (Open) </v>
      </c>
      <c r="AM51" s="700"/>
      <c r="AN51" s="700"/>
      <c r="AO51" s="700"/>
      <c r="AP51" s="700"/>
      <c r="AQ51" s="1584"/>
    </row>
    <row r="52" spans="1:43" ht="15" x14ac:dyDescent="0.2">
      <c r="A52" s="1626">
        <v>47</v>
      </c>
      <c r="B52" s="699" t="s">
        <v>18362</v>
      </c>
      <c r="C52" s="701" t="s">
        <v>18360</v>
      </c>
      <c r="D52" s="1351" t="str">
        <f>"FRA"</f>
        <v>FRA</v>
      </c>
      <c r="E52" s="1351" t="str">
        <f>"Celtic Combourg CFT"</f>
        <v>Celtic Combourg CFT</v>
      </c>
      <c r="F52" s="1351" t="str">
        <f>"VET"</f>
        <v>VET</v>
      </c>
      <c r="G52" s="702" t="s">
        <v>18225</v>
      </c>
      <c r="H52" s="703"/>
      <c r="I52" s="704"/>
      <c r="J52" s="704"/>
      <c r="K52" s="704"/>
      <c r="L52" s="704"/>
      <c r="M52" s="704"/>
      <c r="N52" s="703"/>
      <c r="O52" s="704"/>
      <c r="P52" s="704" t="s">
        <v>18225</v>
      </c>
      <c r="Q52" s="704"/>
      <c r="R52" s="704"/>
      <c r="S52" s="704"/>
      <c r="T52" s="704"/>
      <c r="U52" s="704"/>
      <c r="V52" s="2217"/>
      <c r="W52" s="1351" t="str">
        <f>"Christophe"</f>
        <v>Christophe</v>
      </c>
      <c r="X52" s="1351" t="str">
        <f>"Fuseau"</f>
        <v>Fuseau</v>
      </c>
      <c r="Y52" s="699" t="s">
        <v>18361</v>
      </c>
      <c r="Z52" s="700" t="s">
        <v>1019</v>
      </c>
      <c r="AA52" s="700" t="s">
        <v>11412</v>
      </c>
      <c r="AB52" s="700" t="s">
        <v>14505</v>
      </c>
      <c r="AC52" s="700"/>
      <c r="AD52" s="700">
        <v>287</v>
      </c>
      <c r="AE52" s="700"/>
      <c r="AF52" s="700"/>
      <c r="AG52" s="700"/>
      <c r="AH52" s="700"/>
      <c r="AI52" s="700" t="str">
        <f t="shared" si="10"/>
        <v xml:space="preserve">0287 (Vet) </v>
      </c>
      <c r="AJ52" s="700" t="str">
        <f t="shared" si="10"/>
        <v xml:space="preserve">0287 (Vet) </v>
      </c>
      <c r="AK52" s="700" t="str">
        <f t="shared" si="10"/>
        <v xml:space="preserve">0287 (Vet) </v>
      </c>
      <c r="AL52" s="700" t="str">
        <f t="shared" si="10"/>
        <v xml:space="preserve">0287 (Vet) </v>
      </c>
      <c r="AM52" s="700"/>
      <c r="AN52" s="700"/>
      <c r="AO52" s="700"/>
      <c r="AP52" s="700"/>
      <c r="AQ52" s="1584"/>
    </row>
    <row r="53" spans="1:43" ht="15" x14ac:dyDescent="0.2">
      <c r="A53" s="1626">
        <v>48</v>
      </c>
      <c r="B53" s="699" t="s">
        <v>18365</v>
      </c>
      <c r="C53" s="701" t="s">
        <v>18363</v>
      </c>
      <c r="D53" s="1351" t="str">
        <f>"FRA"</f>
        <v>FRA</v>
      </c>
      <c r="E53" s="1351" t="str">
        <f>"Celtic Combourg CFT"</f>
        <v>Celtic Combourg CFT</v>
      </c>
      <c r="F53" s="1351" t="str">
        <f>"VET"</f>
        <v>VET</v>
      </c>
      <c r="G53" s="702" t="s">
        <v>18225</v>
      </c>
      <c r="H53" s="703"/>
      <c r="I53" s="704"/>
      <c r="J53" s="704"/>
      <c r="K53" s="704"/>
      <c r="L53" s="704"/>
      <c r="M53" s="704"/>
      <c r="N53" s="703"/>
      <c r="O53" s="704"/>
      <c r="P53" s="704" t="s">
        <v>18225</v>
      </c>
      <c r="Q53" s="704"/>
      <c r="R53" s="704"/>
      <c r="S53" s="704"/>
      <c r="T53" s="704"/>
      <c r="U53" s="704"/>
      <c r="V53" s="2217"/>
      <c r="W53" s="1351" t="str">
        <f>"Yann"</f>
        <v>Yann</v>
      </c>
      <c r="X53" s="1351" t="str">
        <f>"Loarec"</f>
        <v>Loarec</v>
      </c>
      <c r="Y53" s="699" t="s">
        <v>18364</v>
      </c>
      <c r="Z53" s="700" t="s">
        <v>1019</v>
      </c>
      <c r="AA53" s="700" t="s">
        <v>11412</v>
      </c>
      <c r="AB53" s="700" t="s">
        <v>13831</v>
      </c>
      <c r="AC53" s="700">
        <v>828</v>
      </c>
      <c r="AD53" s="700">
        <v>216</v>
      </c>
      <c r="AE53" s="700"/>
      <c r="AF53" s="700"/>
      <c r="AG53" s="700"/>
      <c r="AH53" s="700"/>
      <c r="AI53" s="700" t="str">
        <f t="shared" si="10"/>
        <v xml:space="preserve">0828 (Open) 0216 (Vet) </v>
      </c>
      <c r="AJ53" s="700" t="str">
        <f t="shared" si="10"/>
        <v xml:space="preserve">0828 (Open) 0216 (Vet) </v>
      </c>
      <c r="AK53" s="700" t="str">
        <f t="shared" si="10"/>
        <v xml:space="preserve">0828 (Open) 0216 (Vet) </v>
      </c>
      <c r="AL53" s="700" t="str">
        <f t="shared" si="10"/>
        <v xml:space="preserve">0828 (Open) 0216 (Vet) </v>
      </c>
      <c r="AM53" s="700"/>
      <c r="AN53" s="700"/>
      <c r="AO53" s="700"/>
      <c r="AP53" s="700"/>
      <c r="AQ53" s="1584"/>
    </row>
    <row r="54" spans="1:43" ht="15" x14ac:dyDescent="0.2">
      <c r="A54" s="1626">
        <v>49</v>
      </c>
      <c r="B54" s="699" t="s">
        <v>18368</v>
      </c>
      <c r="C54" s="701" t="s">
        <v>18366</v>
      </c>
      <c r="D54" s="1351" t="str">
        <f>"FRA"</f>
        <v>FRA</v>
      </c>
      <c r="E54" s="1351" t="str">
        <f>"Football de Table Aquitaine"</f>
        <v>Football de Table Aquitaine</v>
      </c>
      <c r="F54" s="1351" t="str">
        <f>"VET"</f>
        <v>VET</v>
      </c>
      <c r="G54" s="702" t="s">
        <v>18225</v>
      </c>
      <c r="H54" s="703"/>
      <c r="I54" s="704"/>
      <c r="J54" s="704"/>
      <c r="K54" s="704"/>
      <c r="L54" s="704"/>
      <c r="M54" s="704"/>
      <c r="N54" s="703"/>
      <c r="O54" s="704"/>
      <c r="P54" s="704"/>
      <c r="Q54" s="704" t="s">
        <v>18225</v>
      </c>
      <c r="R54" s="704"/>
      <c r="S54" s="704"/>
      <c r="T54" s="704"/>
      <c r="U54" s="704"/>
      <c r="V54" s="2217"/>
      <c r="W54" s="1351" t="str">
        <f>"Vincent"</f>
        <v>Vincent</v>
      </c>
      <c r="X54" s="1351" t="str">
        <f>"Auzilleau"</f>
        <v>Auzilleau</v>
      </c>
      <c r="Y54" s="699" t="s">
        <v>18367</v>
      </c>
      <c r="Z54" s="700" t="s">
        <v>1019</v>
      </c>
      <c r="AA54" s="700" t="s">
        <v>13569</v>
      </c>
      <c r="AB54" s="700" t="s">
        <v>17832</v>
      </c>
      <c r="AC54" s="700"/>
      <c r="AD54" s="700"/>
      <c r="AE54" s="700"/>
      <c r="AF54" s="700"/>
      <c r="AG54" s="700"/>
      <c r="AH54" s="700"/>
      <c r="AI54" s="700" t="str">
        <f t="shared" si="10"/>
        <v>No Ranked</v>
      </c>
      <c r="AJ54" s="700" t="str">
        <f t="shared" si="10"/>
        <v>No Ranked</v>
      </c>
      <c r="AK54" s="700" t="str">
        <f t="shared" si="10"/>
        <v>No Ranked</v>
      </c>
      <c r="AL54" s="700" t="str">
        <f t="shared" si="10"/>
        <v>No Ranked</v>
      </c>
      <c r="AM54" s="700"/>
      <c r="AN54" s="700"/>
      <c r="AO54" s="700"/>
      <c r="AP54" s="700"/>
      <c r="AQ54" s="1584"/>
    </row>
    <row r="55" spans="1:43" ht="15" x14ac:dyDescent="0.2">
      <c r="A55" s="1626">
        <v>50</v>
      </c>
      <c r="B55" s="699" t="s">
        <v>18371</v>
      </c>
      <c r="C55" s="701" t="s">
        <v>18369</v>
      </c>
      <c r="D55" s="1351" t="str">
        <f>"FRA"</f>
        <v>FRA</v>
      </c>
      <c r="E55" s="1351" t="str">
        <f>"ALC WATTRELOS - SUBBUTEO LILLE METROPOLE"</f>
        <v>ALC WATTRELOS - SUBBUTEO LILLE METROPOLE</v>
      </c>
      <c r="F55" s="1351" t="str">
        <f>"VET"</f>
        <v>VET</v>
      </c>
      <c r="G55" s="702" t="s">
        <v>18225</v>
      </c>
      <c r="H55" s="703"/>
      <c r="I55" s="704"/>
      <c r="J55" s="704"/>
      <c r="K55" s="704"/>
      <c r="L55" s="704"/>
      <c r="M55" s="704"/>
      <c r="N55" s="703"/>
      <c r="O55" s="704"/>
      <c r="P55" s="704"/>
      <c r="Q55" s="704" t="s">
        <v>18225</v>
      </c>
      <c r="R55" s="704"/>
      <c r="S55" s="704"/>
      <c r="T55" s="704"/>
      <c r="U55" s="704"/>
      <c r="V55" s="2217"/>
      <c r="W55" s="1351" t="str">
        <f>"David"</f>
        <v>David</v>
      </c>
      <c r="X55" s="1351" t="str">
        <f>"Sardi de Letto"</f>
        <v>Sardi de Letto</v>
      </c>
      <c r="Y55" s="699" t="s">
        <v>18370</v>
      </c>
      <c r="Z55" s="700" t="s">
        <v>1019</v>
      </c>
      <c r="AA55" s="700" t="s">
        <v>16417</v>
      </c>
      <c r="AB55" s="700" t="s">
        <v>16194</v>
      </c>
      <c r="AC55" s="700">
        <v>828</v>
      </c>
      <c r="AD55" s="700">
        <v>353</v>
      </c>
      <c r="AE55" s="700"/>
      <c r="AF55" s="700"/>
      <c r="AG55" s="700"/>
      <c r="AH55" s="700"/>
      <c r="AI55" s="700" t="str">
        <f t="shared" si="10"/>
        <v xml:space="preserve">0828 (Open) 0353 (Vet) </v>
      </c>
      <c r="AJ55" s="700" t="str">
        <f t="shared" si="10"/>
        <v xml:space="preserve">0828 (Open) 0353 (Vet) </v>
      </c>
      <c r="AK55" s="700" t="str">
        <f t="shared" si="10"/>
        <v xml:space="preserve">0828 (Open) 0353 (Vet) </v>
      </c>
      <c r="AL55" s="700" t="str">
        <f t="shared" si="10"/>
        <v xml:space="preserve">0828 (Open) 0353 (Vet) </v>
      </c>
      <c r="AM55" s="700"/>
      <c r="AN55" s="700"/>
      <c r="AO55" s="700"/>
      <c r="AP55" s="700"/>
      <c r="AQ55" s="1584"/>
    </row>
    <row r="56" spans="1:43" ht="15" x14ac:dyDescent="0.2">
      <c r="A56" s="1626">
        <v>51</v>
      </c>
      <c r="B56" s="699" t="s">
        <v>18374</v>
      </c>
      <c r="C56" s="701" t="s">
        <v>18372</v>
      </c>
      <c r="D56" s="1351" t="str">
        <f>"FRA"</f>
        <v>FRA</v>
      </c>
      <c r="E56" s="1351" t="str">
        <f>"ALC Wattrelos - Subbuteo Lille Metropole"</f>
        <v>ALC Wattrelos - Subbuteo Lille Metropole</v>
      </c>
      <c r="F56" s="1351" t="str">
        <f>"VET"</f>
        <v>VET</v>
      </c>
      <c r="G56" s="702" t="s">
        <v>18225</v>
      </c>
      <c r="H56" s="703"/>
      <c r="I56" s="704"/>
      <c r="J56" s="704"/>
      <c r="K56" s="704"/>
      <c r="L56" s="704"/>
      <c r="M56" s="704"/>
      <c r="N56" s="703"/>
      <c r="O56" s="704"/>
      <c r="P56" s="704"/>
      <c r="Q56" s="704" t="s">
        <v>18225</v>
      </c>
      <c r="R56" s="704"/>
      <c r="S56" s="704"/>
      <c r="T56" s="704"/>
      <c r="U56" s="704"/>
      <c r="V56" s="2217"/>
      <c r="W56" s="1351" t="str">
        <f>"Sébastien"</f>
        <v>Sébastien</v>
      </c>
      <c r="X56" s="1351" t="str">
        <f>"Sorge"</f>
        <v>Sorge</v>
      </c>
      <c r="Y56" s="699" t="s">
        <v>18373</v>
      </c>
      <c r="Z56" s="700" t="s">
        <v>1019</v>
      </c>
      <c r="AA56" s="700" t="s">
        <v>16417</v>
      </c>
      <c r="AB56" s="700" t="s">
        <v>13833</v>
      </c>
      <c r="AC56" s="700"/>
      <c r="AD56" s="700">
        <v>308</v>
      </c>
      <c r="AE56" s="700"/>
      <c r="AF56" s="700"/>
      <c r="AG56" s="700"/>
      <c r="AH56" s="700"/>
      <c r="AI56" s="700" t="str">
        <f t="shared" si="10"/>
        <v xml:space="preserve">0308 (Vet) </v>
      </c>
      <c r="AJ56" s="700" t="str">
        <f t="shared" si="10"/>
        <v xml:space="preserve">0308 (Vet) </v>
      </c>
      <c r="AK56" s="700" t="str">
        <f t="shared" si="10"/>
        <v xml:space="preserve">0308 (Vet) </v>
      </c>
      <c r="AL56" s="700" t="str">
        <f t="shared" si="10"/>
        <v xml:space="preserve">0308 (Vet) </v>
      </c>
      <c r="AM56" s="700"/>
      <c r="AN56" s="700"/>
      <c r="AO56" s="700"/>
      <c r="AP56" s="700"/>
      <c r="AQ56" s="1584"/>
    </row>
    <row r="57" spans="1:43" ht="15" x14ac:dyDescent="0.2">
      <c r="A57" s="1626">
        <v>52</v>
      </c>
      <c r="B57" s="699" t="s">
        <v>18377</v>
      </c>
      <c r="C57" s="701" t="s">
        <v>18375</v>
      </c>
      <c r="D57" s="1351" t="str">
        <f>"FRA"</f>
        <v>FRA</v>
      </c>
      <c r="E57" s="1351" t="str">
        <f>"Celtic Combourg CFT"</f>
        <v>Celtic Combourg CFT</v>
      </c>
      <c r="F57" s="1351" t="str">
        <f>"U20"</f>
        <v>U20</v>
      </c>
      <c r="G57" s="702" t="s">
        <v>18225</v>
      </c>
      <c r="H57" s="703"/>
      <c r="I57" s="704"/>
      <c r="J57" s="704"/>
      <c r="K57" s="704"/>
      <c r="L57" s="704"/>
      <c r="M57" s="704"/>
      <c r="N57" s="703"/>
      <c r="O57" s="704"/>
      <c r="P57" s="704"/>
      <c r="Q57" s="704" t="s">
        <v>18225</v>
      </c>
      <c r="R57" s="704"/>
      <c r="S57" s="704"/>
      <c r="T57" s="704"/>
      <c r="U57" s="704"/>
      <c r="V57" s="2217"/>
      <c r="W57" s="1351" t="str">
        <f>"Lea"</f>
        <v>Lea</v>
      </c>
      <c r="X57" s="1351" t="str">
        <f>"Poupart"</f>
        <v>Poupart</v>
      </c>
      <c r="Y57" s="699" t="s">
        <v>18376</v>
      </c>
      <c r="Z57" s="700" t="s">
        <v>1019</v>
      </c>
      <c r="AA57" s="700" t="s">
        <v>11412</v>
      </c>
      <c r="AB57" s="700" t="s">
        <v>14563</v>
      </c>
      <c r="AC57" s="700">
        <v>877</v>
      </c>
      <c r="AD57" s="700"/>
      <c r="AE57" s="700">
        <v>24</v>
      </c>
      <c r="AF57" s="700">
        <v>60</v>
      </c>
      <c r="AG57" s="700"/>
      <c r="AH57" s="700"/>
      <c r="AI57" s="700" t="str">
        <f t="shared" si="10"/>
        <v xml:space="preserve">0877 (Open) 0024 (Wom) 0060 (U20) </v>
      </c>
      <c r="AJ57" s="700" t="str">
        <f t="shared" si="10"/>
        <v xml:space="preserve">0877 (Open) 0024 (Wom) 0060 (U20) </v>
      </c>
      <c r="AK57" s="700" t="str">
        <f t="shared" si="10"/>
        <v xml:space="preserve">0877 (Open) 0024 (Wom) 0060 (U20) </v>
      </c>
      <c r="AL57" s="700" t="str">
        <f t="shared" si="10"/>
        <v xml:space="preserve">0877 (Open) 0024 (Wom) 0060 (U20) </v>
      </c>
      <c r="AM57" s="700"/>
      <c r="AN57" s="700"/>
      <c r="AO57" s="700"/>
      <c r="AP57" s="700"/>
    </row>
    <row r="58" spans="1:43" ht="15" x14ac:dyDescent="0.2">
      <c r="A58" s="1626">
        <v>53</v>
      </c>
      <c r="B58" s="699" t="s">
        <v>18380</v>
      </c>
      <c r="C58" s="701" t="s">
        <v>18378</v>
      </c>
      <c r="D58" s="1351" t="str">
        <f>"FRA"</f>
        <v>FRA</v>
      </c>
      <c r="E58" s="1351" t="str">
        <f>"Free Agent"</f>
        <v>Free Agent</v>
      </c>
      <c r="F58" s="1351" t="str">
        <f>"OPEN"</f>
        <v>OPEN</v>
      </c>
      <c r="G58" s="702" t="s">
        <v>18225</v>
      </c>
      <c r="H58" s="703"/>
      <c r="I58" s="704"/>
      <c r="J58" s="704"/>
      <c r="K58" s="704"/>
      <c r="L58" s="704"/>
      <c r="M58" s="704"/>
      <c r="N58" s="703"/>
      <c r="O58" s="704"/>
      <c r="P58" s="704"/>
      <c r="Q58" s="704" t="s">
        <v>18225</v>
      </c>
      <c r="R58" s="704"/>
      <c r="S58" s="704"/>
      <c r="T58" s="704"/>
      <c r="U58" s="704"/>
      <c r="V58" s="2217"/>
      <c r="W58" s="1351" t="str">
        <f>"Stephane"</f>
        <v>Stephane</v>
      </c>
      <c r="X58" s="1351" t="str">
        <f>"Galichet"</f>
        <v>Galichet</v>
      </c>
      <c r="Y58" s="699" t="s">
        <v>18379</v>
      </c>
      <c r="Z58" s="700" t="s">
        <v>1019</v>
      </c>
      <c r="AA58" s="700"/>
      <c r="AB58" s="700" t="s">
        <v>17851</v>
      </c>
      <c r="AC58" s="700">
        <v>588</v>
      </c>
      <c r="AD58" s="700"/>
      <c r="AE58" s="700"/>
      <c r="AF58" s="700"/>
      <c r="AG58" s="700"/>
      <c r="AH58" s="700"/>
      <c r="AI58" s="700" t="str">
        <f t="shared" si="10"/>
        <v xml:space="preserve">0588 (Open) </v>
      </c>
      <c r="AJ58" s="700" t="str">
        <f t="shared" si="10"/>
        <v xml:space="preserve">0588 (Open) </v>
      </c>
      <c r="AK58" s="700" t="str">
        <f t="shared" si="10"/>
        <v xml:space="preserve">0588 (Open) </v>
      </c>
      <c r="AL58" s="700" t="str">
        <f t="shared" si="10"/>
        <v xml:space="preserve">0588 (Open) </v>
      </c>
      <c r="AM58" s="700"/>
      <c r="AN58" s="700"/>
      <c r="AO58" s="700"/>
      <c r="AP58" s="700"/>
    </row>
    <row r="59" spans="1:43" ht="15" x14ac:dyDescent="0.2">
      <c r="A59" s="1626">
        <v>54</v>
      </c>
      <c r="B59" s="699" t="s">
        <v>18383</v>
      </c>
      <c r="C59" s="701" t="s">
        <v>18381</v>
      </c>
      <c r="D59" s="1351" t="str">
        <f>"FRA"</f>
        <v>FRA</v>
      </c>
      <c r="E59" s="1351" t="str">
        <f>"Elan Subbutéo Club de Champs-sur-Marne"</f>
        <v>Elan Subbutéo Club de Champs-sur-Marne</v>
      </c>
      <c r="F59" s="1351" t="str">
        <f>"VET"</f>
        <v>VET</v>
      </c>
      <c r="G59" s="702" t="s">
        <v>18225</v>
      </c>
      <c r="H59" s="703"/>
      <c r="I59" s="704"/>
      <c r="J59" s="704"/>
      <c r="K59" s="704"/>
      <c r="L59" s="704"/>
      <c r="M59" s="704"/>
      <c r="N59" s="703"/>
      <c r="O59" s="704"/>
      <c r="P59" s="704"/>
      <c r="Q59" s="704" t="s">
        <v>18225</v>
      </c>
      <c r="R59" s="704"/>
      <c r="S59" s="704"/>
      <c r="T59" s="704"/>
      <c r="U59" s="704"/>
      <c r="V59" s="2217"/>
      <c r="W59" s="1351" t="str">
        <f>"Laurent"</f>
        <v>Laurent</v>
      </c>
      <c r="X59" s="1351" t="str">
        <f>"Jaillet"</f>
        <v>Jaillet</v>
      </c>
      <c r="Y59" s="699" t="s">
        <v>18382</v>
      </c>
      <c r="Z59" s="700" t="s">
        <v>1019</v>
      </c>
      <c r="AA59" s="700" t="s">
        <v>2932</v>
      </c>
      <c r="AB59" s="700" t="s">
        <v>10968</v>
      </c>
      <c r="AC59" s="700"/>
      <c r="AD59" s="700">
        <v>262</v>
      </c>
      <c r="AE59" s="700"/>
      <c r="AF59" s="700"/>
      <c r="AG59" s="700"/>
      <c r="AH59" s="700"/>
      <c r="AI59" s="700" t="str">
        <f t="shared" si="10"/>
        <v xml:space="preserve">0262 (Vet) </v>
      </c>
      <c r="AJ59" s="700" t="str">
        <f t="shared" si="10"/>
        <v xml:space="preserve">0262 (Vet) </v>
      </c>
      <c r="AK59" s="700" t="str">
        <f t="shared" si="10"/>
        <v xml:space="preserve">0262 (Vet) </v>
      </c>
      <c r="AL59" s="700" t="str">
        <f t="shared" si="10"/>
        <v xml:space="preserve">0262 (Vet) </v>
      </c>
      <c r="AM59" s="700"/>
      <c r="AN59" s="700"/>
      <c r="AO59" s="700"/>
      <c r="AP59" s="700"/>
    </row>
    <row r="60" spans="1:43" ht="15" x14ac:dyDescent="0.2">
      <c r="A60" s="1626">
        <v>55</v>
      </c>
      <c r="B60" s="699" t="s">
        <v>18386</v>
      </c>
      <c r="C60" s="701" t="s">
        <v>18384</v>
      </c>
      <c r="D60" s="1351" t="str">
        <f>"FRA"</f>
        <v>FRA</v>
      </c>
      <c r="E60" s="1351" t="str">
        <f>"Celtic Combourg CFT"</f>
        <v>Celtic Combourg CFT</v>
      </c>
      <c r="F60" s="1351" t="str">
        <f>"VET"</f>
        <v>VET</v>
      </c>
      <c r="G60" s="702" t="s">
        <v>18225</v>
      </c>
      <c r="H60" s="703"/>
      <c r="I60" s="704"/>
      <c r="J60" s="704"/>
      <c r="K60" s="704"/>
      <c r="L60" s="704"/>
      <c r="M60" s="704"/>
      <c r="N60" s="703"/>
      <c r="O60" s="704"/>
      <c r="P60" s="704"/>
      <c r="Q60" s="704" t="s">
        <v>18225</v>
      </c>
      <c r="R60" s="704"/>
      <c r="S60" s="704"/>
      <c r="T60" s="704"/>
      <c r="U60" s="704"/>
      <c r="V60" s="2217"/>
      <c r="W60" s="1351" t="str">
        <f>"Laurent"</f>
        <v>Laurent</v>
      </c>
      <c r="X60" s="1351" t="str">
        <f>"Salle"</f>
        <v>Salle</v>
      </c>
      <c r="Y60" s="699" t="s">
        <v>18385</v>
      </c>
      <c r="Z60" s="700" t="s">
        <v>1019</v>
      </c>
      <c r="AA60" s="700" t="s">
        <v>11412</v>
      </c>
      <c r="AB60" s="700" t="s">
        <v>17877</v>
      </c>
      <c r="AC60" s="700"/>
      <c r="AD60" s="700">
        <v>353</v>
      </c>
      <c r="AE60" s="700"/>
      <c r="AF60" s="700"/>
      <c r="AG60" s="700"/>
      <c r="AH60" s="700"/>
      <c r="AI60" s="700" t="str">
        <f t="shared" si="10"/>
        <v xml:space="preserve">0353 (Vet) </v>
      </c>
      <c r="AJ60" s="700" t="str">
        <f t="shared" si="10"/>
        <v xml:space="preserve">0353 (Vet) </v>
      </c>
      <c r="AK60" s="700" t="str">
        <f t="shared" si="10"/>
        <v xml:space="preserve">0353 (Vet) </v>
      </c>
      <c r="AL60" s="700" t="str">
        <f t="shared" si="10"/>
        <v xml:space="preserve">0353 (Vet) </v>
      </c>
      <c r="AM60" s="700"/>
      <c r="AN60" s="700"/>
      <c r="AO60" s="700"/>
      <c r="AP60" s="700"/>
    </row>
    <row r="61" spans="1:43" ht="15" x14ac:dyDescent="0.2">
      <c r="A61" s="1626">
        <v>56</v>
      </c>
      <c r="B61" s="699" t="s">
        <v>18389</v>
      </c>
      <c r="C61" s="701" t="s">
        <v>18387</v>
      </c>
      <c r="D61" s="1351" t="str">
        <f>"FRA"</f>
        <v>FRA</v>
      </c>
      <c r="E61" s="1351" t="str">
        <f>"CFT Montivilliers"</f>
        <v>CFT Montivilliers</v>
      </c>
      <c r="F61" s="1351" t="str">
        <f>"OPEN"</f>
        <v>OPEN</v>
      </c>
      <c r="G61" s="702" t="s">
        <v>18225</v>
      </c>
      <c r="H61" s="703"/>
      <c r="I61" s="704"/>
      <c r="J61" s="704"/>
      <c r="K61" s="704"/>
      <c r="L61" s="704"/>
      <c r="M61" s="704"/>
      <c r="N61" s="703"/>
      <c r="O61" s="704"/>
      <c r="P61" s="704"/>
      <c r="Q61" s="704" t="s">
        <v>18225</v>
      </c>
      <c r="R61" s="704"/>
      <c r="S61" s="704"/>
      <c r="T61" s="704"/>
      <c r="U61" s="704"/>
      <c r="V61" s="2217"/>
      <c r="W61" s="1351" t="str">
        <f>"Sébastien"</f>
        <v>Sébastien</v>
      </c>
      <c r="X61" s="1351" t="str">
        <f>"Lecerf"</f>
        <v>Lecerf</v>
      </c>
      <c r="Y61" s="699" t="s">
        <v>18388</v>
      </c>
      <c r="Z61" s="700" t="s">
        <v>1019</v>
      </c>
      <c r="AA61" s="700" t="s">
        <v>16414</v>
      </c>
      <c r="AB61" s="700" t="s">
        <v>15800</v>
      </c>
      <c r="AC61" s="700">
        <v>684</v>
      </c>
      <c r="AD61" s="700"/>
      <c r="AE61" s="700"/>
      <c r="AF61" s="700"/>
      <c r="AG61" s="700"/>
      <c r="AH61" s="700"/>
      <c r="AI61" s="700" t="str">
        <f t="shared" si="10"/>
        <v xml:space="preserve">0684 (Open) </v>
      </c>
      <c r="AJ61" s="700" t="str">
        <f t="shared" si="10"/>
        <v xml:space="preserve">0684 (Open) </v>
      </c>
      <c r="AK61" s="700" t="str">
        <f t="shared" si="10"/>
        <v xml:space="preserve">0684 (Open) </v>
      </c>
      <c r="AL61" s="700" t="str">
        <f t="shared" si="10"/>
        <v xml:space="preserve">0684 (Open) </v>
      </c>
      <c r="AM61" s="700"/>
      <c r="AN61" s="700"/>
      <c r="AO61" s="700"/>
      <c r="AP61" s="700"/>
    </row>
    <row r="62" spans="1:43" ht="15" x14ac:dyDescent="0.2">
      <c r="A62" s="1626">
        <v>57</v>
      </c>
      <c r="B62" s="699"/>
      <c r="C62" s="701"/>
      <c r="D62" s="1351" t="str">
        <f>""</f>
        <v/>
      </c>
      <c r="E62" s="1351" t="str">
        <f>""</f>
        <v/>
      </c>
      <c r="F62" s="1351" t="str">
        <f>""</f>
        <v/>
      </c>
      <c r="G62" s="702"/>
      <c r="H62" s="703"/>
      <c r="I62" s="704"/>
      <c r="J62" s="704"/>
      <c r="K62" s="704"/>
      <c r="L62" s="704"/>
      <c r="M62" s="704"/>
      <c r="N62" s="704"/>
      <c r="O62" s="704"/>
      <c r="P62" s="704"/>
      <c r="Q62" s="704"/>
      <c r="R62" s="704"/>
      <c r="S62" s="704"/>
      <c r="T62" s="704"/>
      <c r="U62" s="704"/>
      <c r="V62" s="2217"/>
      <c r="W62" s="1351" t="str">
        <f>""</f>
        <v/>
      </c>
      <c r="X62" s="1351" t="str">
        <f>""</f>
        <v/>
      </c>
      <c r="Y62" s="699"/>
      <c r="Z62" s="700"/>
      <c r="AA62" s="700"/>
      <c r="AB62" s="700"/>
      <c r="AC62" s="700"/>
      <c r="AD62" s="700"/>
      <c r="AE62" s="700"/>
      <c r="AF62" s="700"/>
      <c r="AG62" s="700"/>
      <c r="AH62" s="700"/>
      <c r="AI62" s="700"/>
      <c r="AJ62" s="700"/>
      <c r="AK62" s="700"/>
      <c r="AL62" s="700"/>
      <c r="AM62" s="700"/>
      <c r="AN62" s="700"/>
      <c r="AO62" s="700"/>
      <c r="AP62" s="700"/>
    </row>
    <row r="64" spans="1:43" x14ac:dyDescent="0.2">
      <c r="AG64" s="2151" t="s">
        <v>17637</v>
      </c>
      <c r="AI64" s="700" t="str">
        <f>IF($AB64="","",IF($AC64="","",TEXT($AC64,"0000")&amp;" (Open) ")&amp;IF($AD64="","",TEXT($AD64,"0000")&amp;" (Vet) ")&amp;IF($AE64="","",TEXT($AE64,"0000")&amp;" (Wom) ")&amp;IF($AF64="","",TEXT($AF64,"0000")&amp;" (U20) ")&amp;IF($AG64="","",TEXT($AG64,"0000")&amp;" (U16) ")&amp;IF($AH64="","",TEXT($AH64,"0000")&amp;" (U12) ")&amp;IF(AND($AC64="",$AD64="",$AE64="",$AF64="",$AG64="",$AH64=""),"No Ranked",""))</f>
        <v/>
      </c>
      <c r="AJ64" s="700" t="str">
        <f t="shared" ref="AJ64:AP64" si="11">IF($AB64="","",IF($AC64="","",TEXT($AC64,"0000")&amp;" (Open) ")&amp;IF($AD64="","",TEXT($AD64,"0000")&amp;" (Vet) ")&amp;IF($AE64="","",TEXT($AE64,"0000")&amp;" (Wom) ")&amp;IF($AF64="","",TEXT($AF64,"0000")&amp;" (U20) ")&amp;IF($AG64="","",TEXT($AG64,"0000")&amp;" (U16) ")&amp;IF($AH64="","",TEXT($AH64,"0000")&amp;" (U12) ")&amp;IF(AND($AC64="",$AD64="",$AE64="",$AF64="",$AG64="",$AH64=""),"No Ranked",""))</f>
        <v/>
      </c>
      <c r="AK64" s="700" t="str">
        <f t="shared" si="11"/>
        <v/>
      </c>
      <c r="AL64" s="700" t="str">
        <f t="shared" si="11"/>
        <v/>
      </c>
      <c r="AM64" s="700" t="str">
        <f t="shared" si="11"/>
        <v/>
      </c>
      <c r="AN64" s="700" t="str">
        <f t="shared" si="11"/>
        <v/>
      </c>
      <c r="AO64" s="700" t="str">
        <f t="shared" si="11"/>
        <v/>
      </c>
      <c r="AP64" s="700" t="str">
        <f t="shared" si="11"/>
        <v/>
      </c>
    </row>
  </sheetData>
  <sheetProtection selectLockedCells="1"/>
  <autoFilter ref="A5:AP62" xr:uid="{00000000-0001-0000-0900-000000000000}">
    <sortState xmlns:xlrd2="http://schemas.microsoft.com/office/spreadsheetml/2017/richdata2" ref="A6:AP62">
      <sortCondition ref="A5"/>
    </sortState>
  </autoFilter>
  <dataConsolidate/>
  <customSheetViews>
    <customSheetView guid="{13F24B0A-7740-483A-BEF7-5257F8522605}" showGridLines="0" fitToPage="1" showAutoFilter="1" hiddenRows="1">
      <pane xSplit="2" ySplit="5" topLeftCell="C6" activePane="bottomRight" state="frozen"/>
      <selection pane="bottomRight" activeCell="C27" sqref="C27"/>
      <pageMargins left="0.39370078740157483" right="0.31496062992125984" top="0.94488188976377963" bottom="0.70866141732283472" header="0.31496062992125984" footer="0.31496062992125984"/>
      <printOptions horizontalCentered="1"/>
      <pageSetup paperSize="9" scale="53" fitToHeight="20" orientation="portrait" r:id="rId1"/>
      <headerFooter alignWithMargins="0">
        <oddHeader>&amp;L&amp;14_x000D_Sept. 1st, 2018&amp;C&amp;18FISTF World Cup 2018 - Gibraltar - Individuals Competition&amp;R&amp;14_x000D_&amp;A</oddHeader>
        <oddFooter>&amp;L&amp;8 Produced by GMFT 6.3.2&amp;R&amp;14&amp;P / &amp;N</oddFooter>
      </headerFooter>
      <autoFilter ref="B5:AF17" xr:uid="{B34F457E-4774-4911-AFB0-E9F4E1FC3EB7}">
        <sortState xmlns:xlrd2="http://schemas.microsoft.com/office/spreadsheetml/2017/richdata2" ref="B6:AF231">
          <sortCondition ref="H5:H231"/>
        </sortState>
      </autoFilter>
    </customSheetView>
  </customSheetViews>
  <mergeCells count="3">
    <mergeCell ref="H4:U4"/>
    <mergeCell ref="B4:G4"/>
    <mergeCell ref="W4:AP4"/>
  </mergeCells>
  <phoneticPr fontId="0" type="noConversion"/>
  <conditionalFormatting sqref="D6:F62 W6:X62">
    <cfRule type="expression" dxfId="102" priority="4" stopIfTrue="1">
      <formula>ISFORMULAGMFT(D6)</formula>
    </cfRule>
  </conditionalFormatting>
  <dataValidations count="5">
    <dataValidation type="list" allowBlank="1" showInputMessage="1" sqref="D6:D62" xr:uid="{00000000-0002-0000-0900-000000000000}">
      <formula1>Nationality_Codes</formula1>
    </dataValidation>
    <dataValidation type="list" allowBlank="1" showInputMessage="1" showErrorMessage="1" sqref="E6:E62" xr:uid="{00000000-0002-0000-0900-000001000000}">
      <formula1>OFFSET(FullClubList,0,0,,1)</formula1>
    </dataValidation>
    <dataValidation type="list" allowBlank="1" showInputMessage="1" sqref="C6:C62" xr:uid="{B187C894-35D8-41DC-BC4A-B718F0050767}">
      <formula1>PlayersList</formula1>
    </dataValidation>
    <dataValidation type="list" allowBlank="1" showInputMessage="1" showErrorMessage="1" sqref="G6:G62" xr:uid="{8E315958-DF37-4BCA-9AA5-D4056903E7FF}">
      <formula1>"X"</formula1>
    </dataValidation>
    <dataValidation type="list" allowBlank="1" showInputMessage="1" showErrorMessage="1" sqref="H6:U62" xr:uid="{8F423D4F-20AE-44B9-A9C6-5739B8D40594}">
      <formula1>"X,?"</formula1>
    </dataValidation>
  </dataValidations>
  <printOptions horizontalCentered="1"/>
  <pageMargins left="0.39370078740157483" right="0.31496062992125984" top="0.94488188976377963" bottom="0.70866141732283472" header="0.31496062992125984" footer="0.31496062992125984"/>
  <pageSetup paperSize="9" scale="53" fitToHeight="20" orientation="portrait" r:id="rId2"/>
  <headerFooter alignWithMargins="0">
    <oddHeader>&amp;L&amp;14_x000D_&lt;Event Date(s)&gt;&amp;C&amp;18&lt;FEDERATION&gt; &lt;Event Name&gt;&lt;YYYY&gt; - &lt;Location&gt; - &lt;Individuals/Teams&gt; Competition&amp;R&amp;14_x000D_&amp;A</oddHeader>
    <oddFooter>&amp;L&amp;8 Produced by GMFT 14&amp;R&amp;14&amp;P /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_TeamsSheet">
    <tabColor rgb="FF66FFFF"/>
    <pageSetUpPr fitToPage="1"/>
  </sheetPr>
  <dimension ref="A1:AQ68"/>
  <sheetViews>
    <sheetView showGridLines="0" zoomScale="85" zoomScaleNormal="85" workbookViewId="0">
      <selection activeCell="I4" sqref="I4:L7"/>
    </sheetView>
  </sheetViews>
  <sheetFormatPr baseColWidth="10" defaultColWidth="2.85546875" defaultRowHeight="12.75" x14ac:dyDescent="0.2"/>
  <cols>
    <col min="1" max="1" width="17.28515625" bestFit="1" customWidth="1"/>
    <col min="2" max="2" width="13.85546875" customWidth="1"/>
    <col min="3" max="3" width="21" bestFit="1" customWidth="1"/>
    <col min="4" max="4" width="6.42578125" customWidth="1"/>
    <col min="5" max="5" width="23.140625" bestFit="1" customWidth="1"/>
    <col min="6" max="6" width="9.140625" style="1" bestFit="1" customWidth="1"/>
    <col min="7" max="7" width="13.85546875" customWidth="1"/>
    <col min="8" max="8" width="26.5703125" bestFit="1" customWidth="1"/>
    <col min="9" max="9" width="23.7109375" bestFit="1" customWidth="1"/>
    <col min="10" max="10" width="22.85546875" bestFit="1" customWidth="1"/>
    <col min="11" max="11" width="24.5703125" bestFit="1" customWidth="1"/>
    <col min="12" max="12" width="23.5703125" bestFit="1" customWidth="1"/>
    <col min="13" max="13" width="22.140625" bestFit="1" customWidth="1"/>
    <col min="14" max="14" width="19" bestFit="1" customWidth="1"/>
    <col min="15" max="15" width="22.42578125" bestFit="1" customWidth="1"/>
    <col min="16" max="16" width="20.7109375" bestFit="1" customWidth="1"/>
    <col min="17" max="18" width="12.85546875" customWidth="1"/>
    <col min="19" max="19" width="10" bestFit="1" customWidth="1"/>
    <col min="20" max="20" width="10.42578125" bestFit="1" customWidth="1"/>
    <col min="21" max="21" width="17" bestFit="1" customWidth="1"/>
    <col min="22" max="33" width="8.140625" style="1395" bestFit="1" customWidth="1"/>
    <col min="34" max="42" width="5.140625" style="1395" bestFit="1" customWidth="1"/>
    <col min="43" max="43" width="20.28515625" style="1395" customWidth="1"/>
    <col min="44" max="44" width="20.28515625" style="7" customWidth="1"/>
    <col min="45" max="255" width="11.42578125" style="7" customWidth="1"/>
    <col min="256" max="16384" width="2.85546875" style="7"/>
  </cols>
  <sheetData>
    <row r="1" spans="1:43" ht="36" thickBot="1" x14ac:dyDescent="0.55000000000000004">
      <c r="A1" s="1853">
        <v>10</v>
      </c>
      <c r="B1" s="1880">
        <f>IF(RankingAsLicencesList,7,7)</f>
        <v>7</v>
      </c>
      <c r="C1" s="1858" t="str">
        <f>N_TeamCheckin</f>
        <v>Enregistrement des équipes</v>
      </c>
      <c r="D1" s="1858"/>
      <c r="E1" s="1858"/>
      <c r="F1" s="11"/>
      <c r="G1" s="1858"/>
      <c r="H1" s="1878"/>
      <c r="I1" s="1858"/>
      <c r="J1" s="1858"/>
      <c r="K1" s="1858"/>
      <c r="L1" s="1858"/>
      <c r="M1" s="1858"/>
      <c r="N1" s="1858"/>
      <c r="O1" s="1858"/>
      <c r="P1" s="1858"/>
      <c r="Q1" s="1858"/>
      <c r="R1" s="1858"/>
      <c r="S1" s="7"/>
      <c r="T1" s="1879" t="str">
        <f>N_NbTeams</f>
        <v>Nombre d'équipes</v>
      </c>
      <c r="U1" s="1879" t="str">
        <f>N_nb_max_members</f>
        <v>Nb max équipiers</v>
      </c>
      <c r="V1" s="1397"/>
      <c r="W1" s="1397"/>
      <c r="X1" s="1397"/>
      <c r="Y1" s="1397"/>
      <c r="Z1" s="1397"/>
      <c r="AA1" s="1397"/>
      <c r="AB1" s="1397"/>
      <c r="AC1" s="1397"/>
      <c r="AD1" s="1397"/>
      <c r="AE1" s="1397"/>
      <c r="AF1" s="1397"/>
      <c r="AG1" s="1397"/>
      <c r="AH1" s="1397"/>
      <c r="AI1" s="1397"/>
      <c r="AJ1" s="1397"/>
      <c r="AK1" s="1397"/>
      <c r="AL1" s="1397"/>
      <c r="AM1" s="1397"/>
      <c r="AN1" s="1397"/>
      <c r="AO1" s="1397"/>
      <c r="AP1" s="1397"/>
      <c r="AQ1" s="1397"/>
    </row>
    <row r="2" spans="1:43" ht="16.5" hidden="1" thickBot="1" x14ac:dyDescent="0.3">
      <c r="A2" s="763"/>
      <c r="B2" s="763"/>
      <c r="C2" s="764"/>
      <c r="D2" s="1581"/>
      <c r="E2" s="765"/>
      <c r="F2" s="1583"/>
      <c r="G2" s="766"/>
      <c r="H2" s="762">
        <f>IF(NationalityTrigram,7,2)</f>
        <v>2</v>
      </c>
      <c r="I2" s="758"/>
      <c r="J2" s="758"/>
      <c r="K2" s="758"/>
      <c r="L2" s="758"/>
      <c r="M2" s="758"/>
      <c r="N2" s="758"/>
      <c r="O2" s="758"/>
      <c r="P2" s="758"/>
      <c r="Q2" s="758"/>
      <c r="R2" s="758"/>
      <c r="S2" s="1492"/>
      <c r="T2" s="1448">
        <f>COUNTA(Team_List)</f>
        <v>64</v>
      </c>
      <c r="U2" s="1448">
        <f>MAX(Liste_Nb_Equipiers)</f>
        <v>0</v>
      </c>
      <c r="V2" s="1450">
        <v>1</v>
      </c>
      <c r="W2" s="1450">
        <v>2</v>
      </c>
      <c r="X2" s="1450">
        <v>3</v>
      </c>
      <c r="Y2" s="1450">
        <v>4</v>
      </c>
      <c r="Z2" s="1450">
        <v>5</v>
      </c>
      <c r="AA2" s="1450">
        <v>6</v>
      </c>
      <c r="AB2" s="1450">
        <v>7</v>
      </c>
      <c r="AC2" s="1450">
        <v>8</v>
      </c>
      <c r="AD2" s="1450">
        <v>9</v>
      </c>
      <c r="AE2" s="1450">
        <v>10</v>
      </c>
      <c r="AF2" s="1450">
        <v>11</v>
      </c>
      <c r="AG2" s="1450">
        <v>12</v>
      </c>
      <c r="AH2" s="1450">
        <v>13</v>
      </c>
      <c r="AI2" s="1450">
        <v>14</v>
      </c>
      <c r="AJ2" s="1450">
        <v>15</v>
      </c>
      <c r="AK2" s="1450">
        <v>16</v>
      </c>
      <c r="AL2" s="1450">
        <v>17</v>
      </c>
      <c r="AM2" s="1450">
        <v>18</v>
      </c>
      <c r="AN2" s="1450">
        <v>19</v>
      </c>
      <c r="AO2" s="1450">
        <v>20</v>
      </c>
      <c r="AP2" s="1450">
        <v>21</v>
      </c>
      <c r="AQ2" s="1450"/>
    </row>
    <row r="3" spans="1:43" ht="39.75" thickBot="1" x14ac:dyDescent="0.3">
      <c r="A3" s="759" t="str">
        <f>N_Event_Type</f>
        <v>Type de l'épreuve</v>
      </c>
      <c r="B3" s="759" t="str">
        <f>N_Nationality</f>
        <v>Nationalité</v>
      </c>
      <c r="C3" s="760" t="str">
        <f>N_Club</f>
        <v>Club</v>
      </c>
      <c r="D3" s="759" t="str">
        <f>N_Team &amp; " #"</f>
        <v>Team #</v>
      </c>
      <c r="E3" s="760" t="str">
        <f>N_Nom_équipe</f>
        <v>Nom équipe</v>
      </c>
      <c r="F3" s="760" t="str">
        <f>N_Rank</f>
        <v>Clas.</v>
      </c>
      <c r="G3" s="760" t="str">
        <f>N_Nb_Refereeing</f>
        <v>Nb Matches arbitrés</v>
      </c>
      <c r="H3" s="760" t="str">
        <f>N_Team</f>
        <v>Team</v>
      </c>
      <c r="I3" s="761" t="str">
        <f>N_Joueurs</f>
        <v>Joueurs</v>
      </c>
      <c r="J3" s="761"/>
      <c r="K3" s="761"/>
      <c r="L3" s="761"/>
      <c r="M3" s="761"/>
      <c r="N3" s="761"/>
      <c r="O3" s="761"/>
      <c r="P3" s="761"/>
      <c r="Q3" s="761"/>
      <c r="R3" s="761"/>
      <c r="S3" s="1491" t="str">
        <f>N_Nb_Team_Members</f>
        <v>Nb équipiers</v>
      </c>
      <c r="T3" s="1447" t="str">
        <f>N_Nb_Refereeing</f>
        <v>Nb Matches arbitrés</v>
      </c>
      <c r="U3" s="1447" t="str">
        <f>N_LastHourRefereeing</f>
        <v>Session de dernier arbitrage</v>
      </c>
      <c r="V3" s="1451">
        <f>INDEX(Planning!$A:$A,MATCH("S"&amp;V2,Planning!$G:$G,0))</f>
        <v>0.35416666666666669</v>
      </c>
      <c r="W3" s="1451">
        <f>INDEX(Planning!$A:$A,MATCH("S"&amp;W2,Planning!$G:$G,0))</f>
        <v>0.3888888888888889</v>
      </c>
      <c r="X3" s="1451">
        <f>INDEX(Planning!$A:$A,MATCH("S"&amp;X2,Planning!$G:$G,0))</f>
        <v>0.4236111111111111</v>
      </c>
      <c r="Y3" s="1451">
        <f>INDEX(Planning!$A:$A,MATCH("S"&amp;Y2,Planning!$G:$G,0))</f>
        <v>0.45833333333333331</v>
      </c>
      <c r="Z3" s="1451">
        <f>INDEX(Planning!$A:$A,MATCH("S"&amp;Z2,Planning!$G:$G,0))</f>
        <v>0.49305555555555552</v>
      </c>
      <c r="AA3" s="1451">
        <f>INDEX(Planning!$A:$A,MATCH("S"&amp;AA2,Planning!$G:$G,0))</f>
        <v>0.52777777777777779</v>
      </c>
      <c r="AB3" s="1451">
        <f>INDEX(Planning!$A:$A,MATCH("S"&amp;AB2,Planning!$G:$G,0))</f>
        <v>0.55902777777777779</v>
      </c>
      <c r="AC3" s="1451">
        <f>INDEX(Planning!$A:$A,MATCH("S"&amp;AC2,Planning!$G:$G,0))</f>
        <v>0.58680555555555558</v>
      </c>
      <c r="AD3" s="1451">
        <f>INDEX(Planning!$A:$A,MATCH("S"&amp;AD2,Planning!$G:$G,0))</f>
        <v>0.61805555555555602</v>
      </c>
      <c r="AE3" s="1451">
        <f>INDEX(Planning!$A:$A,MATCH("S"&amp;AE2,Planning!$G:$G,0))</f>
        <v>0.64583333333333381</v>
      </c>
      <c r="AF3" s="1451">
        <f>INDEX(Planning!$A:$A,MATCH("S"&amp;AF2,Planning!$G:$G,0))</f>
        <v>0.6736111111111116</v>
      </c>
      <c r="AG3" s="1451">
        <f>INDEX(Planning!$A:$A,MATCH("S"&amp;AG2,Planning!$G:$G,0))</f>
        <v>0.70138888888888939</v>
      </c>
      <c r="AH3" s="1451">
        <f>INDEX(Planning!$A:$A,MATCH("S"&amp;AH2,Planning!$G:$G,0))</f>
        <v>0.72916666666666718</v>
      </c>
      <c r="AI3" s="1451">
        <f>INDEX(Planning!$A:$A,MATCH("S"&amp;AI2,Planning!$G:$G,0))</f>
        <v>0.71180555555555558</v>
      </c>
      <c r="AJ3" s="1451">
        <f>INDEX(Planning!$A:$A,MATCH("S"&amp;AJ2,Planning!$G:$G,0))</f>
        <v>0.75694444444444442</v>
      </c>
      <c r="AK3" s="1451">
        <f>INDEX(Planning!$A:$A,MATCH("S"&amp;AK2,Planning!$G:$G,0))</f>
        <v>0.80208333333333326</v>
      </c>
      <c r="AL3" s="1451">
        <f>INDEX(Planning!$A:$A,MATCH("S"&amp;AL2,Planning!$G:$G,0))</f>
        <v>0.8472222222222221</v>
      </c>
      <c r="AM3" s="1451">
        <f>INDEX(Planning!$A:$A,MATCH("S"&amp;AM2,Planning!$G:$G,0))</f>
        <v>0.89236111111111094</v>
      </c>
      <c r="AN3" s="1451" t="e">
        <f>INDEX(Planning!$A:$A,MATCH("S"&amp;AN2,Planning!$G:$G,0))</f>
        <v>#N/A</v>
      </c>
      <c r="AO3" s="1451" t="e">
        <f>INDEX(Planning!$A:$A,MATCH("S"&amp;AO2,Planning!$G:$G,0))</f>
        <v>#N/A</v>
      </c>
      <c r="AP3" s="1451" t="e">
        <f>INDEX(Planning!$A:$A,MATCH("S"&amp;AP2,Planning!$G:$G,0))</f>
        <v>#N/A</v>
      </c>
      <c r="AQ3" s="1450"/>
    </row>
    <row r="4" spans="1:43" ht="15.75" thickBot="1" x14ac:dyDescent="0.3">
      <c r="A4" s="1442"/>
      <c r="B4" s="1442"/>
      <c r="C4" s="1443"/>
      <c r="D4" s="1442"/>
      <c r="E4" s="2195" t="str">
        <f t="shared" ref="E4:E67" si="0">IF(C4="","",C4&amp;IF(D4="A",""," "&amp;CODE(D4)-CODE("A")+1))</f>
        <v/>
      </c>
      <c r="F4" s="1445">
        <f t="shared" ref="F4:F64" si="1">IF(ISNA(VLOOKUP(E4,FullTeamsRankingList,3,FALSE)),9999,VLOOKUP(E4,FullTeamsRankingList,3,FALSE))</f>
        <v>0</v>
      </c>
      <c r="G4" s="1445" t="str">
        <f>IF(E4="","",IF(ISNA(H4),NA(),COUNTIF(Planning!AA:AA,H4)))</f>
        <v/>
      </c>
      <c r="H4" s="1446" t="str">
        <f t="shared" ref="H4:H67" si="2">IF(E4="","",CONCATENATE(E4,IF(C4="---","",CONCATENATE(" (",IF(NationalityTrigram,B4,VLOOKUP(C4,Licenced_Clubs,H$2,FALSE)),")"))))</f>
        <v/>
      </c>
      <c r="I4" s="1444"/>
      <c r="J4" s="1444"/>
      <c r="K4" s="1444"/>
      <c r="L4" s="1444"/>
      <c r="M4" s="1444"/>
      <c r="N4" s="1444"/>
      <c r="O4" s="1444"/>
      <c r="P4" s="1444"/>
      <c r="Q4" s="1444"/>
      <c r="R4" s="1444"/>
      <c r="S4" s="1449">
        <f>COUNTA(I4:L4)</f>
        <v>0</v>
      </c>
      <c r="T4" s="1449">
        <v>131</v>
      </c>
      <c r="U4" s="1490" t="s">
        <v>830</v>
      </c>
      <c r="V4" s="1450"/>
      <c r="W4" s="1450"/>
      <c r="X4" s="1450"/>
      <c r="Y4" s="1450"/>
      <c r="Z4" s="1450"/>
      <c r="AA4" s="1450"/>
      <c r="AB4" s="1450"/>
      <c r="AC4" s="1450"/>
      <c r="AD4" s="1450"/>
      <c r="AE4" s="1450"/>
      <c r="AF4" s="1450"/>
      <c r="AG4" s="1450"/>
      <c r="AH4" s="1450"/>
      <c r="AI4" s="1450"/>
      <c r="AJ4" s="1450"/>
      <c r="AK4" s="1450"/>
      <c r="AL4" s="1450"/>
      <c r="AM4" s="1450"/>
      <c r="AN4" s="1450"/>
      <c r="AO4" s="1450"/>
      <c r="AP4" s="1450"/>
      <c r="AQ4" s="1450"/>
    </row>
    <row r="5" spans="1:43" ht="15.75" thickBot="1" x14ac:dyDescent="0.3">
      <c r="A5" s="1442"/>
      <c r="B5" s="1442"/>
      <c r="C5" s="1443"/>
      <c r="D5" s="1442"/>
      <c r="E5" s="2195" t="str">
        <f t="shared" si="0"/>
        <v/>
      </c>
      <c r="F5" s="1445">
        <f t="shared" si="1"/>
        <v>0</v>
      </c>
      <c r="G5" s="1445" t="str">
        <f>IF(E5="","",IF(ISNA(H5),NA(),COUNTIF(Planning!AA:AA,H5)))</f>
        <v/>
      </c>
      <c r="H5" s="1446" t="str">
        <f t="shared" si="2"/>
        <v/>
      </c>
      <c r="I5" s="1444"/>
      <c r="J5" s="1444"/>
      <c r="K5" s="1444"/>
      <c r="L5" s="1444"/>
      <c r="M5" s="1444"/>
      <c r="N5" s="1444"/>
      <c r="O5" s="1444"/>
      <c r="P5" s="1444"/>
      <c r="Q5" s="1444"/>
      <c r="R5" s="1444"/>
      <c r="S5" s="1449">
        <f t="shared" ref="S5:S67" si="3">COUNTA(I5:R5)</f>
        <v>0</v>
      </c>
      <c r="T5" s="1449">
        <v>131</v>
      </c>
      <c r="U5" s="1490" t="s">
        <v>830</v>
      </c>
      <c r="V5" s="1450"/>
      <c r="W5" s="1450"/>
      <c r="X5" s="1450"/>
      <c r="Y5" s="1450"/>
      <c r="Z5" s="1450"/>
      <c r="AA5" s="1450"/>
      <c r="AB5" s="1450"/>
      <c r="AC5" s="1450"/>
      <c r="AD5" s="1450"/>
      <c r="AE5" s="1450"/>
      <c r="AF5" s="1450"/>
      <c r="AG5" s="1450"/>
      <c r="AH5" s="1450"/>
      <c r="AI5" s="1450"/>
      <c r="AJ5" s="1450"/>
      <c r="AK5" s="1450"/>
      <c r="AL5" s="1450"/>
      <c r="AM5" s="1450"/>
      <c r="AN5" s="1450"/>
      <c r="AO5" s="1450"/>
      <c r="AP5" s="1450"/>
      <c r="AQ5" s="1450"/>
    </row>
    <row r="6" spans="1:43" ht="15.75" thickBot="1" x14ac:dyDescent="0.3">
      <c r="A6" s="1442"/>
      <c r="B6" s="1442"/>
      <c r="C6" s="1443"/>
      <c r="D6" s="1442"/>
      <c r="E6" s="2195" t="str">
        <f t="shared" si="0"/>
        <v/>
      </c>
      <c r="F6" s="1445">
        <f t="shared" si="1"/>
        <v>0</v>
      </c>
      <c r="G6" s="1445" t="str">
        <f>IF(E6="","",IF(ISNA(H6),NA(),COUNTIF(Planning!AA:AA,H6)))</f>
        <v/>
      </c>
      <c r="H6" s="1446" t="str">
        <f t="shared" si="2"/>
        <v/>
      </c>
      <c r="I6" s="1444"/>
      <c r="J6" s="1444"/>
      <c r="K6" s="1444"/>
      <c r="L6" s="1444"/>
      <c r="M6" s="1444"/>
      <c r="N6" s="1444"/>
      <c r="O6" s="1444"/>
      <c r="P6" s="1444"/>
      <c r="Q6" s="1444"/>
      <c r="R6" s="1444"/>
      <c r="S6" s="1449">
        <f t="shared" si="3"/>
        <v>0</v>
      </c>
      <c r="T6" s="1449">
        <v>131</v>
      </c>
      <c r="U6" s="1490" t="s">
        <v>830</v>
      </c>
      <c r="V6" s="1450"/>
      <c r="W6" s="1450"/>
      <c r="X6" s="1450"/>
      <c r="Y6" s="1450"/>
      <c r="Z6" s="1450"/>
      <c r="AA6" s="1450"/>
      <c r="AB6" s="1450"/>
      <c r="AC6" s="1450"/>
      <c r="AD6" s="1450"/>
      <c r="AE6" s="1450"/>
      <c r="AF6" s="1450"/>
      <c r="AG6" s="1450"/>
      <c r="AH6" s="1450"/>
      <c r="AI6" s="1450"/>
      <c r="AJ6" s="1450"/>
      <c r="AK6" s="1450"/>
      <c r="AL6" s="1450"/>
      <c r="AM6" s="1450"/>
      <c r="AN6" s="1450"/>
      <c r="AO6" s="1450"/>
      <c r="AP6" s="1450"/>
      <c r="AQ6" s="1450"/>
    </row>
    <row r="7" spans="1:43" ht="15.75" thickBot="1" x14ac:dyDescent="0.3">
      <c r="A7" s="1442"/>
      <c r="B7" s="1442"/>
      <c r="C7" s="1443"/>
      <c r="D7" s="1442"/>
      <c r="E7" s="2195" t="str">
        <f t="shared" si="0"/>
        <v/>
      </c>
      <c r="F7" s="1445">
        <f t="shared" si="1"/>
        <v>0</v>
      </c>
      <c r="G7" s="1445" t="str">
        <f>IF(E7="","",IF(ISNA(H7),NA(),COUNTIF(Planning!AA:AA,H7)))</f>
        <v/>
      </c>
      <c r="H7" s="1446" t="str">
        <f t="shared" si="2"/>
        <v/>
      </c>
      <c r="I7" s="1444"/>
      <c r="J7" s="1444"/>
      <c r="K7" s="1444"/>
      <c r="L7" s="1444"/>
      <c r="M7" s="1444"/>
      <c r="N7" s="1444"/>
      <c r="O7" s="1444"/>
      <c r="P7" s="1444"/>
      <c r="Q7" s="1444"/>
      <c r="R7" s="1444"/>
      <c r="S7" s="1449">
        <f t="shared" si="3"/>
        <v>0</v>
      </c>
      <c r="T7" s="1449">
        <v>131</v>
      </c>
      <c r="U7" s="1490" t="s">
        <v>830</v>
      </c>
      <c r="V7" s="1450"/>
      <c r="W7" s="1450"/>
      <c r="X7" s="1450"/>
      <c r="Y7" s="1450"/>
      <c r="Z7" s="1450"/>
      <c r="AA7" s="1450"/>
      <c r="AB7" s="1450"/>
      <c r="AC7" s="1450"/>
      <c r="AD7" s="1450"/>
      <c r="AE7" s="1450"/>
      <c r="AF7" s="1450"/>
      <c r="AG7" s="1450"/>
      <c r="AH7" s="1450"/>
      <c r="AI7" s="1450"/>
      <c r="AJ7" s="1450"/>
      <c r="AK7" s="1450"/>
      <c r="AL7" s="1450"/>
      <c r="AM7" s="1450"/>
      <c r="AN7" s="1450"/>
      <c r="AO7" s="1450"/>
      <c r="AP7" s="1450"/>
      <c r="AQ7" s="1450"/>
    </row>
    <row r="8" spans="1:43" ht="15.75" thickBot="1" x14ac:dyDescent="0.3">
      <c r="A8" s="1442"/>
      <c r="B8" s="1442"/>
      <c r="C8" s="1443"/>
      <c r="D8" s="1442"/>
      <c r="E8" s="2195" t="str">
        <f t="shared" si="0"/>
        <v/>
      </c>
      <c r="F8" s="1445">
        <f t="shared" si="1"/>
        <v>0</v>
      </c>
      <c r="G8" s="1445" t="str">
        <f>IF(E8="","",IF(ISNA(H8),NA(),COUNTIF(Planning!AA:AA,H8)))</f>
        <v/>
      </c>
      <c r="H8" s="1446" t="str">
        <f t="shared" si="2"/>
        <v/>
      </c>
      <c r="I8" s="1444"/>
      <c r="J8" s="1444"/>
      <c r="K8" s="1444"/>
      <c r="L8" s="1444"/>
      <c r="M8" s="1444"/>
      <c r="N8" s="1444"/>
      <c r="O8" s="1444"/>
      <c r="P8" s="1444"/>
      <c r="Q8" s="1444"/>
      <c r="R8" s="1444"/>
      <c r="S8" s="1449">
        <f t="shared" si="3"/>
        <v>0</v>
      </c>
      <c r="T8" s="1449">
        <v>131</v>
      </c>
      <c r="U8" s="1490" t="s">
        <v>830</v>
      </c>
      <c r="V8" s="1450"/>
      <c r="W8" s="1450"/>
      <c r="X8" s="1450"/>
      <c r="Y8" s="1450"/>
      <c r="Z8" s="1450"/>
      <c r="AA8" s="1450"/>
      <c r="AB8" s="1450"/>
      <c r="AC8" s="1450"/>
      <c r="AD8" s="1450"/>
      <c r="AE8" s="1450"/>
      <c r="AF8" s="1450"/>
      <c r="AG8" s="1450"/>
      <c r="AH8" s="1450"/>
      <c r="AI8" s="1450"/>
      <c r="AJ8" s="1450"/>
      <c r="AK8" s="1450"/>
      <c r="AL8" s="1450"/>
      <c r="AM8" s="1450"/>
      <c r="AN8" s="1450"/>
      <c r="AO8" s="1450"/>
      <c r="AP8" s="1450"/>
      <c r="AQ8" s="1450"/>
    </row>
    <row r="9" spans="1:43" ht="15.75" thickBot="1" x14ac:dyDescent="0.3">
      <c r="A9" s="1442"/>
      <c r="B9" s="1442"/>
      <c r="C9" s="1443"/>
      <c r="D9" s="1442"/>
      <c r="E9" s="2195" t="str">
        <f t="shared" si="0"/>
        <v/>
      </c>
      <c r="F9" s="1445">
        <f t="shared" si="1"/>
        <v>0</v>
      </c>
      <c r="G9" s="1445" t="str">
        <f>IF(E9="","",IF(ISNA(H9),NA(),COUNTIF(Planning!AA:AA,H9)))</f>
        <v/>
      </c>
      <c r="H9" s="1446" t="str">
        <f t="shared" si="2"/>
        <v/>
      </c>
      <c r="I9" s="1444"/>
      <c r="J9" s="1444"/>
      <c r="K9" s="1444"/>
      <c r="L9" s="1444"/>
      <c r="M9" s="1444"/>
      <c r="N9" s="1444"/>
      <c r="O9" s="1444"/>
      <c r="P9" s="1444"/>
      <c r="Q9" s="1444"/>
      <c r="R9" s="1444"/>
      <c r="S9" s="1449">
        <f t="shared" si="3"/>
        <v>0</v>
      </c>
      <c r="T9" s="1449">
        <v>131</v>
      </c>
      <c r="U9" s="1490" t="s">
        <v>830</v>
      </c>
      <c r="V9" s="1450"/>
      <c r="W9" s="1450"/>
      <c r="X9" s="1450"/>
      <c r="Y9" s="1450"/>
      <c r="Z9" s="1450"/>
      <c r="AA9" s="1450"/>
      <c r="AB9" s="1450"/>
      <c r="AC9" s="1450"/>
      <c r="AD9" s="1450"/>
      <c r="AE9" s="1450"/>
      <c r="AF9" s="1450"/>
      <c r="AG9" s="1450"/>
      <c r="AH9" s="1450"/>
      <c r="AI9" s="1450"/>
      <c r="AJ9" s="1450"/>
      <c r="AK9" s="1450"/>
      <c r="AL9" s="1450"/>
      <c r="AM9" s="1450"/>
      <c r="AN9" s="1450"/>
      <c r="AO9" s="1450"/>
      <c r="AP9" s="1450"/>
      <c r="AQ9" s="1450"/>
    </row>
    <row r="10" spans="1:43" ht="15.75" thickBot="1" x14ac:dyDescent="0.3">
      <c r="A10" s="1442"/>
      <c r="B10" s="1442"/>
      <c r="C10" s="1443"/>
      <c r="D10" s="1442"/>
      <c r="E10" s="2195" t="str">
        <f t="shared" si="0"/>
        <v/>
      </c>
      <c r="F10" s="1445">
        <f t="shared" si="1"/>
        <v>0</v>
      </c>
      <c r="G10" s="1445" t="str">
        <f>IF(E10="","",IF(ISNA(H10),NA(),COUNTIF(Planning!AA:AA,H10)))</f>
        <v/>
      </c>
      <c r="H10" s="1446" t="str">
        <f t="shared" si="2"/>
        <v/>
      </c>
      <c r="I10" s="1444"/>
      <c r="J10" s="1444"/>
      <c r="K10" s="1444"/>
      <c r="L10" s="1444"/>
      <c r="M10" s="1444"/>
      <c r="N10" s="1444"/>
      <c r="O10" s="1444"/>
      <c r="P10" s="1444"/>
      <c r="Q10" s="1444"/>
      <c r="R10" s="1444"/>
      <c r="S10" s="1449">
        <f t="shared" si="3"/>
        <v>0</v>
      </c>
      <c r="T10" s="1449">
        <v>131</v>
      </c>
      <c r="U10" s="1490" t="s">
        <v>830</v>
      </c>
      <c r="V10" s="1450"/>
      <c r="W10" s="1450"/>
      <c r="X10" s="1450"/>
      <c r="Y10" s="1450"/>
      <c r="Z10" s="1450"/>
      <c r="AA10" s="1450"/>
      <c r="AB10" s="1450"/>
      <c r="AC10" s="1450"/>
      <c r="AD10" s="1450"/>
      <c r="AE10" s="1450"/>
      <c r="AF10" s="1450"/>
      <c r="AG10" s="1450"/>
      <c r="AH10" s="1450"/>
      <c r="AI10" s="1450"/>
      <c r="AJ10" s="1450"/>
      <c r="AK10" s="1450"/>
      <c r="AL10" s="1450"/>
      <c r="AM10" s="1450"/>
      <c r="AN10" s="1450"/>
      <c r="AO10" s="1450"/>
      <c r="AP10" s="1450"/>
      <c r="AQ10" s="1450"/>
    </row>
    <row r="11" spans="1:43" ht="15.75" thickBot="1" x14ac:dyDescent="0.3">
      <c r="A11" s="1442"/>
      <c r="B11" s="1442"/>
      <c r="C11" s="1443"/>
      <c r="D11" s="1442"/>
      <c r="E11" s="2195" t="str">
        <f t="shared" si="0"/>
        <v/>
      </c>
      <c r="F11" s="1445">
        <f t="shared" si="1"/>
        <v>0</v>
      </c>
      <c r="G11" s="1445" t="str">
        <f>IF(E11="","",IF(ISNA(H11),NA(),COUNTIF(Planning!AA:AA,H11)))</f>
        <v/>
      </c>
      <c r="H11" s="1446" t="str">
        <f t="shared" si="2"/>
        <v/>
      </c>
      <c r="I11" s="1444"/>
      <c r="J11" s="1444"/>
      <c r="K11" s="1444"/>
      <c r="L11" s="1444"/>
      <c r="M11" s="1444"/>
      <c r="N11" s="1444"/>
      <c r="O11" s="1444"/>
      <c r="P11" s="1444"/>
      <c r="Q11" s="1444"/>
      <c r="R11" s="1444"/>
      <c r="S11" s="1449">
        <f t="shared" si="3"/>
        <v>0</v>
      </c>
      <c r="T11" s="1449">
        <v>131</v>
      </c>
      <c r="U11" s="1490" t="s">
        <v>830</v>
      </c>
      <c r="V11" s="1450"/>
      <c r="W11" s="1450"/>
      <c r="X11" s="1450"/>
      <c r="Y11" s="1450"/>
      <c r="Z11" s="1450"/>
      <c r="AA11" s="1450"/>
      <c r="AB11" s="1450"/>
      <c r="AC11" s="1450"/>
      <c r="AD11" s="1450"/>
      <c r="AE11" s="1450"/>
      <c r="AF11" s="1450"/>
      <c r="AG11" s="1450"/>
      <c r="AH11" s="1450"/>
      <c r="AI11" s="1450"/>
      <c r="AJ11" s="1450"/>
      <c r="AK11" s="1450"/>
      <c r="AL11" s="1450"/>
      <c r="AM11" s="1450"/>
      <c r="AN11" s="1450"/>
      <c r="AO11" s="1450"/>
      <c r="AP11" s="1450"/>
      <c r="AQ11" s="1450"/>
    </row>
    <row r="12" spans="1:43" ht="15.75" thickBot="1" x14ac:dyDescent="0.3">
      <c r="A12" s="1442"/>
      <c r="B12" s="1442"/>
      <c r="C12" s="1443"/>
      <c r="D12" s="1442"/>
      <c r="E12" s="2195" t="str">
        <f t="shared" si="0"/>
        <v/>
      </c>
      <c r="F12" s="1445">
        <f t="shared" si="1"/>
        <v>0</v>
      </c>
      <c r="G12" s="1445" t="str">
        <f>IF(E12="","",IF(ISNA(H12),NA(),COUNTIF(Planning!AA:AA,H12)))</f>
        <v/>
      </c>
      <c r="H12" s="1446" t="str">
        <f t="shared" si="2"/>
        <v/>
      </c>
      <c r="I12" s="1444"/>
      <c r="J12" s="1444"/>
      <c r="K12" s="1444"/>
      <c r="L12" s="1444"/>
      <c r="M12" s="1444"/>
      <c r="N12" s="1444"/>
      <c r="O12" s="1444"/>
      <c r="P12" s="1444"/>
      <c r="Q12" s="1444"/>
      <c r="R12" s="1444"/>
      <c r="S12" s="1449">
        <f t="shared" si="3"/>
        <v>0</v>
      </c>
      <c r="T12" s="1449">
        <v>131</v>
      </c>
      <c r="U12" s="1490" t="s">
        <v>830</v>
      </c>
      <c r="V12" s="1450"/>
      <c r="W12" s="1450"/>
      <c r="X12" s="1450"/>
      <c r="Y12" s="1450"/>
      <c r="Z12" s="1450"/>
      <c r="AA12" s="1450"/>
      <c r="AB12" s="1450"/>
      <c r="AC12" s="1450"/>
      <c r="AD12" s="1450"/>
      <c r="AE12" s="1450"/>
      <c r="AF12" s="1450"/>
      <c r="AG12" s="1450"/>
      <c r="AH12" s="1450"/>
      <c r="AI12" s="1450"/>
      <c r="AJ12" s="1450"/>
      <c r="AK12" s="1450"/>
      <c r="AL12" s="1450"/>
      <c r="AM12" s="1450"/>
      <c r="AN12" s="1450"/>
      <c r="AO12" s="1450"/>
      <c r="AP12" s="1450"/>
      <c r="AQ12" s="1450"/>
    </row>
    <row r="13" spans="1:43" ht="15.75" thickBot="1" x14ac:dyDescent="0.3">
      <c r="A13" s="1442"/>
      <c r="B13" s="1442"/>
      <c r="C13" s="1443"/>
      <c r="D13" s="1442"/>
      <c r="E13" s="2195" t="str">
        <f t="shared" si="0"/>
        <v/>
      </c>
      <c r="F13" s="1445">
        <f t="shared" si="1"/>
        <v>0</v>
      </c>
      <c r="G13" s="1445" t="str">
        <f>IF(E13="","",IF(ISNA(H13),NA(),COUNTIF(Planning!AA:AA,H13)))</f>
        <v/>
      </c>
      <c r="H13" s="1446" t="str">
        <f t="shared" si="2"/>
        <v/>
      </c>
      <c r="I13" s="1444"/>
      <c r="J13" s="1444"/>
      <c r="K13" s="1444"/>
      <c r="L13" s="1444"/>
      <c r="M13" s="1444"/>
      <c r="N13" s="1444"/>
      <c r="O13" s="1444"/>
      <c r="P13" s="1444"/>
      <c r="Q13" s="1444"/>
      <c r="R13" s="1444"/>
      <c r="S13" s="1449">
        <f t="shared" si="3"/>
        <v>0</v>
      </c>
      <c r="T13" s="1449">
        <v>131</v>
      </c>
      <c r="U13" s="1490" t="s">
        <v>830</v>
      </c>
      <c r="V13" s="1450"/>
      <c r="W13" s="1450"/>
      <c r="X13" s="1450"/>
      <c r="Y13" s="1450"/>
      <c r="Z13" s="1450"/>
      <c r="AA13" s="1450"/>
      <c r="AB13" s="1450"/>
      <c r="AC13" s="1450"/>
      <c r="AD13" s="1450"/>
      <c r="AE13" s="1450"/>
      <c r="AF13" s="1450"/>
      <c r="AG13" s="1450"/>
      <c r="AH13" s="1450"/>
      <c r="AI13" s="1450"/>
      <c r="AJ13" s="1450"/>
      <c r="AK13" s="1450"/>
      <c r="AL13" s="1450"/>
      <c r="AM13" s="1450"/>
      <c r="AN13" s="1450"/>
      <c r="AO13" s="1450"/>
      <c r="AP13" s="1450"/>
      <c r="AQ13" s="1450"/>
    </row>
    <row r="14" spans="1:43" ht="15.75" thickBot="1" x14ac:dyDescent="0.3">
      <c r="A14" s="1442"/>
      <c r="B14" s="1442"/>
      <c r="C14" s="1443"/>
      <c r="D14" s="1442"/>
      <c r="E14" s="2195" t="str">
        <f t="shared" si="0"/>
        <v/>
      </c>
      <c r="F14" s="1445">
        <f t="shared" si="1"/>
        <v>0</v>
      </c>
      <c r="G14" s="1445" t="str">
        <f>IF(E14="","",IF(ISNA(H14),NA(),COUNTIF(Planning!AA:AA,H14)))</f>
        <v/>
      </c>
      <c r="H14" s="1446" t="str">
        <f t="shared" si="2"/>
        <v/>
      </c>
      <c r="I14" s="1444"/>
      <c r="J14" s="1444"/>
      <c r="K14" s="1444"/>
      <c r="L14" s="1444"/>
      <c r="M14" s="1444"/>
      <c r="N14" s="1444"/>
      <c r="O14" s="1444"/>
      <c r="P14" s="1444"/>
      <c r="Q14" s="1444"/>
      <c r="R14" s="1444"/>
      <c r="S14" s="1449">
        <f t="shared" si="3"/>
        <v>0</v>
      </c>
      <c r="T14" s="1449">
        <v>131</v>
      </c>
      <c r="U14" s="1490" t="s">
        <v>830</v>
      </c>
      <c r="V14" s="1450"/>
      <c r="W14" s="1450"/>
      <c r="X14" s="1450"/>
      <c r="Y14" s="1450"/>
      <c r="Z14" s="1450"/>
      <c r="AA14" s="1450"/>
      <c r="AB14" s="1450"/>
      <c r="AC14" s="1450"/>
      <c r="AD14" s="1450"/>
      <c r="AE14" s="1450"/>
      <c r="AF14" s="1450"/>
      <c r="AG14" s="1450"/>
      <c r="AH14" s="1450"/>
      <c r="AI14" s="1450"/>
      <c r="AJ14" s="1450"/>
      <c r="AK14" s="1450"/>
      <c r="AL14" s="1450"/>
      <c r="AM14" s="1450"/>
      <c r="AN14" s="1450"/>
      <c r="AO14" s="1450"/>
      <c r="AP14" s="1450"/>
      <c r="AQ14" s="1450"/>
    </row>
    <row r="15" spans="1:43" ht="15.75" thickBot="1" x14ac:dyDescent="0.3">
      <c r="A15" s="1442"/>
      <c r="B15" s="1442"/>
      <c r="C15" s="1443"/>
      <c r="D15" s="1442"/>
      <c r="E15" s="2195" t="str">
        <f t="shared" si="0"/>
        <v/>
      </c>
      <c r="F15" s="1445">
        <f t="shared" si="1"/>
        <v>0</v>
      </c>
      <c r="G15" s="1445" t="str">
        <f>IF(E15="","",IF(ISNA(H15),NA(),COUNTIF(Planning!AA:AA,H15)))</f>
        <v/>
      </c>
      <c r="H15" s="1446" t="str">
        <f t="shared" si="2"/>
        <v/>
      </c>
      <c r="I15" s="1444"/>
      <c r="J15" s="1444"/>
      <c r="K15" s="1444"/>
      <c r="L15" s="1444"/>
      <c r="M15" s="1444"/>
      <c r="N15" s="1444"/>
      <c r="O15" s="1444"/>
      <c r="P15" s="1444"/>
      <c r="Q15" s="1444"/>
      <c r="R15" s="1444"/>
      <c r="S15" s="1449">
        <f t="shared" si="3"/>
        <v>0</v>
      </c>
      <c r="T15" s="1449">
        <v>131</v>
      </c>
      <c r="U15" s="1490" t="s">
        <v>830</v>
      </c>
      <c r="V15" s="1450"/>
      <c r="W15" s="1450"/>
      <c r="X15" s="1450"/>
      <c r="Y15" s="1450"/>
      <c r="Z15" s="1450"/>
      <c r="AA15" s="1450"/>
      <c r="AB15" s="1450"/>
      <c r="AC15" s="1450"/>
      <c r="AD15" s="1450"/>
      <c r="AE15" s="1450"/>
      <c r="AF15" s="1450"/>
      <c r="AG15" s="1450"/>
      <c r="AH15" s="1450"/>
      <c r="AI15" s="1450"/>
      <c r="AJ15" s="1450"/>
      <c r="AK15" s="1450"/>
      <c r="AL15" s="1450"/>
      <c r="AM15" s="1450"/>
      <c r="AN15" s="1450"/>
      <c r="AO15" s="1450"/>
      <c r="AP15" s="1450"/>
      <c r="AQ15" s="1450"/>
    </row>
    <row r="16" spans="1:43" ht="15.75" thickBot="1" x14ac:dyDescent="0.3">
      <c r="A16" s="1442"/>
      <c r="B16" s="1442"/>
      <c r="C16" s="1443"/>
      <c r="D16" s="1442"/>
      <c r="E16" s="2195" t="str">
        <f t="shared" ref="E16:E34" si="4">IF(C16="","",C16&amp;IF(D16="A",""," "&amp;CODE(D16)-CODE("A")+1))</f>
        <v/>
      </c>
      <c r="F16" s="1445">
        <f t="shared" si="1"/>
        <v>0</v>
      </c>
      <c r="G16" s="1445" t="str">
        <f>IF(E16="","",IF(ISNA(H16),NA(),COUNTIF(Planning!AA:AA,H16)))</f>
        <v/>
      </c>
      <c r="H16" s="1446" t="str">
        <f t="shared" ref="H16:H66" si="5">IF(E16="","",CONCATENATE(E16,IF(C16="---","",CONCATENATE(" (",IF(NationalityTrigram,B16,VLOOKUP(C16,Licenced_Clubs,H$2,FALSE)),")"))))</f>
        <v/>
      </c>
      <c r="I16" s="1444"/>
      <c r="J16" s="1444"/>
      <c r="K16" s="1444"/>
      <c r="L16" s="1444"/>
      <c r="M16" s="1444"/>
      <c r="N16" s="1444"/>
      <c r="O16" s="1444"/>
      <c r="P16" s="1444"/>
      <c r="Q16" s="1444"/>
      <c r="R16" s="1444"/>
      <c r="S16" s="1449">
        <f t="shared" si="3"/>
        <v>0</v>
      </c>
      <c r="T16" s="1449">
        <v>131</v>
      </c>
      <c r="U16" s="1490" t="s">
        <v>830</v>
      </c>
      <c r="V16" s="1450"/>
      <c r="W16" s="1450"/>
      <c r="X16" s="1450"/>
      <c r="Y16" s="1450"/>
      <c r="Z16" s="1450"/>
      <c r="AA16" s="1450"/>
      <c r="AB16" s="1450"/>
      <c r="AC16" s="1450"/>
      <c r="AD16" s="1450"/>
      <c r="AE16" s="1450"/>
      <c r="AF16" s="1450"/>
      <c r="AG16" s="1450"/>
      <c r="AH16" s="1450"/>
      <c r="AI16" s="1450"/>
      <c r="AJ16" s="1450"/>
      <c r="AK16" s="1450"/>
      <c r="AL16" s="1450"/>
      <c r="AM16" s="1450"/>
      <c r="AN16" s="1450"/>
      <c r="AO16" s="1450"/>
      <c r="AP16" s="1450"/>
      <c r="AQ16" s="1450"/>
    </row>
    <row r="17" spans="1:43" ht="15.75" thickBot="1" x14ac:dyDescent="0.3">
      <c r="A17" s="1442"/>
      <c r="B17" s="1442"/>
      <c r="C17" s="1443"/>
      <c r="D17" s="1442"/>
      <c r="E17" s="2195" t="str">
        <f t="shared" si="4"/>
        <v/>
      </c>
      <c r="F17" s="1445">
        <f t="shared" si="1"/>
        <v>0</v>
      </c>
      <c r="G17" s="1445" t="str">
        <f>IF(E17="","",IF(ISNA(H17),NA(),COUNTIF(Planning!AA:AA,H17)))</f>
        <v/>
      </c>
      <c r="H17" s="1446" t="str">
        <f t="shared" si="5"/>
        <v/>
      </c>
      <c r="I17" s="1444"/>
      <c r="J17" s="1444"/>
      <c r="K17" s="1444"/>
      <c r="L17" s="1444"/>
      <c r="M17" s="1444"/>
      <c r="N17" s="1444"/>
      <c r="O17" s="1444"/>
      <c r="P17" s="1444"/>
      <c r="Q17" s="1444"/>
      <c r="R17" s="1444"/>
      <c r="S17" s="1449">
        <f t="shared" si="3"/>
        <v>0</v>
      </c>
      <c r="T17" s="1449">
        <v>131</v>
      </c>
      <c r="U17" s="1490" t="s">
        <v>830</v>
      </c>
      <c r="V17" s="1450"/>
      <c r="W17" s="1450"/>
      <c r="X17" s="1450"/>
      <c r="Y17" s="1450"/>
      <c r="Z17" s="1450"/>
      <c r="AA17" s="1450"/>
      <c r="AB17" s="1450"/>
      <c r="AC17" s="1450"/>
      <c r="AD17" s="1450"/>
      <c r="AE17" s="1450"/>
      <c r="AF17" s="1450"/>
      <c r="AG17" s="1450"/>
      <c r="AH17" s="1450"/>
      <c r="AI17" s="1450"/>
      <c r="AJ17" s="1450"/>
      <c r="AK17" s="1450"/>
      <c r="AL17" s="1450"/>
      <c r="AM17" s="1450"/>
      <c r="AN17" s="1450"/>
      <c r="AO17" s="1450"/>
      <c r="AP17" s="1450"/>
      <c r="AQ17" s="1450"/>
    </row>
    <row r="18" spans="1:43" ht="15.75" thickBot="1" x14ac:dyDescent="0.3">
      <c r="A18" s="1442"/>
      <c r="B18" s="1442"/>
      <c r="C18" s="1443"/>
      <c r="D18" s="1442"/>
      <c r="E18" s="2195" t="str">
        <f t="shared" si="4"/>
        <v/>
      </c>
      <c r="F18" s="1445">
        <f t="shared" si="1"/>
        <v>0</v>
      </c>
      <c r="G18" s="1445" t="str">
        <f>IF(E18="","",IF(ISNA(H18),NA(),COUNTIF(Planning!AA:AA,H18)))</f>
        <v/>
      </c>
      <c r="H18" s="1446" t="str">
        <f t="shared" si="5"/>
        <v/>
      </c>
      <c r="I18" s="1444"/>
      <c r="J18" s="1444"/>
      <c r="K18" s="1444"/>
      <c r="L18" s="1444"/>
      <c r="M18" s="1444"/>
      <c r="N18" s="1444"/>
      <c r="O18" s="1444"/>
      <c r="P18" s="1444"/>
      <c r="Q18" s="1444"/>
      <c r="R18" s="1444"/>
      <c r="S18" s="1449">
        <f t="shared" si="3"/>
        <v>0</v>
      </c>
      <c r="T18" s="1449">
        <v>131</v>
      </c>
      <c r="U18" s="1490" t="s">
        <v>830</v>
      </c>
      <c r="V18" s="1450"/>
      <c r="W18" s="1450"/>
      <c r="X18" s="1450"/>
      <c r="Y18" s="1450"/>
      <c r="Z18" s="1450"/>
      <c r="AA18" s="1450"/>
      <c r="AB18" s="1450"/>
      <c r="AC18" s="1450"/>
      <c r="AD18" s="1450"/>
      <c r="AE18" s="1450"/>
      <c r="AF18" s="1450"/>
      <c r="AG18" s="1450"/>
      <c r="AH18" s="1450"/>
      <c r="AI18" s="1450"/>
      <c r="AJ18" s="1450"/>
      <c r="AK18" s="1450"/>
      <c r="AL18" s="1450"/>
      <c r="AM18" s="1450"/>
      <c r="AN18" s="1450"/>
      <c r="AO18" s="1450"/>
      <c r="AP18" s="1450"/>
      <c r="AQ18" s="1450"/>
    </row>
    <row r="19" spans="1:43" ht="15.75" thickBot="1" x14ac:dyDescent="0.3">
      <c r="A19" s="1442"/>
      <c r="B19" s="1442"/>
      <c r="C19" s="1443"/>
      <c r="D19" s="1442"/>
      <c r="E19" s="2195" t="str">
        <f t="shared" si="4"/>
        <v/>
      </c>
      <c r="F19" s="1445">
        <f t="shared" si="1"/>
        <v>0</v>
      </c>
      <c r="G19" s="1445" t="str">
        <f>IF(E19="","",IF(ISNA(H19),NA(),COUNTIF(Planning!AA:AA,H19)))</f>
        <v/>
      </c>
      <c r="H19" s="1446" t="str">
        <f t="shared" si="5"/>
        <v/>
      </c>
      <c r="I19" s="1444"/>
      <c r="J19" s="1444"/>
      <c r="K19" s="1444"/>
      <c r="L19" s="1444"/>
      <c r="M19" s="1444"/>
      <c r="N19" s="1444"/>
      <c r="O19" s="1444"/>
      <c r="P19" s="1444"/>
      <c r="Q19" s="1444"/>
      <c r="R19" s="1444"/>
      <c r="S19" s="1449">
        <f t="shared" si="3"/>
        <v>0</v>
      </c>
      <c r="T19" s="1449">
        <v>131</v>
      </c>
      <c r="U19" s="1490" t="s">
        <v>830</v>
      </c>
      <c r="V19" s="1450"/>
      <c r="W19" s="1450"/>
      <c r="X19" s="1450"/>
      <c r="Y19" s="1450"/>
      <c r="Z19" s="1450"/>
      <c r="AA19" s="1450"/>
      <c r="AB19" s="1450"/>
      <c r="AC19" s="1450"/>
      <c r="AD19" s="1450"/>
      <c r="AE19" s="1450"/>
      <c r="AF19" s="1450"/>
      <c r="AG19" s="1450"/>
      <c r="AH19" s="1450"/>
      <c r="AI19" s="1450"/>
      <c r="AJ19" s="1450"/>
      <c r="AK19" s="1450"/>
      <c r="AL19" s="1450"/>
      <c r="AM19" s="1450"/>
      <c r="AN19" s="1450"/>
      <c r="AO19" s="1450"/>
      <c r="AP19" s="1450"/>
      <c r="AQ19" s="1450"/>
    </row>
    <row r="20" spans="1:43" ht="15.75" thickBot="1" x14ac:dyDescent="0.3">
      <c r="A20" s="1442"/>
      <c r="B20" s="1442"/>
      <c r="C20" s="1443"/>
      <c r="D20" s="1442"/>
      <c r="E20" s="2195" t="str">
        <f t="shared" si="4"/>
        <v/>
      </c>
      <c r="F20" s="1445">
        <f t="shared" si="1"/>
        <v>0</v>
      </c>
      <c r="G20" s="1445" t="str">
        <f>IF(E20="","",IF(ISNA(H20),NA(),COUNTIF(Planning!AA:AA,H20)))</f>
        <v/>
      </c>
      <c r="H20" s="1446" t="str">
        <f t="shared" si="5"/>
        <v/>
      </c>
      <c r="I20" s="1444"/>
      <c r="J20" s="1444"/>
      <c r="K20" s="1444"/>
      <c r="L20" s="1444"/>
      <c r="M20" s="1444"/>
      <c r="N20" s="1444"/>
      <c r="O20" s="1444"/>
      <c r="P20" s="1444"/>
      <c r="Q20" s="1444"/>
      <c r="R20" s="1444"/>
      <c r="S20" s="1449">
        <f t="shared" si="3"/>
        <v>0</v>
      </c>
      <c r="T20" s="1449">
        <v>131</v>
      </c>
      <c r="U20" s="1490" t="s">
        <v>830</v>
      </c>
      <c r="V20" s="1450"/>
      <c r="W20" s="1450"/>
      <c r="X20" s="1450"/>
      <c r="Y20" s="1450"/>
      <c r="Z20" s="1450"/>
      <c r="AA20" s="1450"/>
      <c r="AB20" s="1450"/>
      <c r="AC20" s="1450"/>
      <c r="AD20" s="1450"/>
      <c r="AE20" s="1450"/>
      <c r="AF20" s="1450"/>
      <c r="AG20" s="1450"/>
      <c r="AH20" s="1450"/>
      <c r="AI20" s="1450"/>
      <c r="AJ20" s="1450"/>
      <c r="AK20" s="1450"/>
      <c r="AL20" s="1450"/>
      <c r="AM20" s="1450"/>
      <c r="AN20" s="1450"/>
      <c r="AO20" s="1450"/>
      <c r="AP20" s="1450"/>
      <c r="AQ20" s="1450"/>
    </row>
    <row r="21" spans="1:43" ht="15.75" thickBot="1" x14ac:dyDescent="0.3">
      <c r="A21" s="1442"/>
      <c r="B21" s="1442"/>
      <c r="C21" s="1443"/>
      <c r="D21" s="1442"/>
      <c r="E21" s="2195" t="str">
        <f t="shared" si="4"/>
        <v/>
      </c>
      <c r="F21" s="1445">
        <f t="shared" si="1"/>
        <v>0</v>
      </c>
      <c r="G21" s="1445" t="str">
        <f>IF(E21="","",IF(ISNA(H21),NA(),COUNTIF(Planning!AA:AA,H21)))</f>
        <v/>
      </c>
      <c r="H21" s="1446" t="str">
        <f t="shared" si="5"/>
        <v/>
      </c>
      <c r="I21" s="1444"/>
      <c r="J21" s="1444"/>
      <c r="K21" s="1444"/>
      <c r="L21" s="1444"/>
      <c r="M21" s="1444"/>
      <c r="N21" s="1444"/>
      <c r="O21" s="1444"/>
      <c r="P21" s="1444"/>
      <c r="Q21" s="1444"/>
      <c r="R21" s="1444"/>
      <c r="S21" s="1449">
        <f t="shared" si="3"/>
        <v>0</v>
      </c>
      <c r="T21" s="1449">
        <v>131</v>
      </c>
      <c r="U21" s="1490" t="s">
        <v>830</v>
      </c>
      <c r="V21" s="1450"/>
      <c r="W21" s="1450"/>
      <c r="X21" s="1450"/>
      <c r="Y21" s="1450"/>
      <c r="Z21" s="1450"/>
      <c r="AA21" s="1450"/>
      <c r="AB21" s="1450"/>
      <c r="AC21" s="1450"/>
      <c r="AD21" s="1450"/>
      <c r="AE21" s="1450"/>
      <c r="AF21" s="1450"/>
      <c r="AG21" s="1450"/>
      <c r="AH21" s="1450"/>
      <c r="AI21" s="1450"/>
      <c r="AJ21" s="1450"/>
      <c r="AK21" s="1450"/>
      <c r="AL21" s="1450"/>
      <c r="AM21" s="1450"/>
      <c r="AN21" s="1450"/>
      <c r="AO21" s="1450"/>
      <c r="AP21" s="1450"/>
      <c r="AQ21" s="1450"/>
    </row>
    <row r="22" spans="1:43" ht="15.75" thickBot="1" x14ac:dyDescent="0.3">
      <c r="A22" s="1442"/>
      <c r="B22" s="1442"/>
      <c r="C22" s="1443"/>
      <c r="D22" s="1442"/>
      <c r="E22" s="2195" t="str">
        <f t="shared" si="4"/>
        <v/>
      </c>
      <c r="F22" s="1445">
        <f t="shared" si="1"/>
        <v>0</v>
      </c>
      <c r="G22" s="1445" t="str">
        <f>IF(E22="","",IF(ISNA(H22),NA(),COUNTIF(Planning!AA:AA,H22)))</f>
        <v/>
      </c>
      <c r="H22" s="1446" t="str">
        <f t="shared" si="5"/>
        <v/>
      </c>
      <c r="I22" s="1444"/>
      <c r="J22" s="1444"/>
      <c r="K22" s="1444"/>
      <c r="L22" s="1444"/>
      <c r="M22" s="1444"/>
      <c r="N22" s="1444"/>
      <c r="O22" s="1444"/>
      <c r="P22" s="1444"/>
      <c r="Q22" s="1444"/>
      <c r="R22" s="1444"/>
      <c r="S22" s="1449">
        <f t="shared" si="3"/>
        <v>0</v>
      </c>
      <c r="T22" s="1449">
        <v>131</v>
      </c>
      <c r="U22" s="1490" t="s">
        <v>830</v>
      </c>
      <c r="V22" s="1450"/>
      <c r="W22" s="1450"/>
      <c r="X22" s="1450"/>
      <c r="Y22" s="1450"/>
      <c r="Z22" s="1450"/>
      <c r="AA22" s="1450"/>
      <c r="AB22" s="1450"/>
      <c r="AC22" s="1450"/>
      <c r="AD22" s="1450"/>
      <c r="AE22" s="1450"/>
      <c r="AF22" s="1450"/>
      <c r="AG22" s="1450"/>
      <c r="AH22" s="1450"/>
      <c r="AI22" s="1450"/>
      <c r="AJ22" s="1450"/>
      <c r="AK22" s="1450"/>
      <c r="AL22" s="1450"/>
      <c r="AM22" s="1450"/>
      <c r="AN22" s="1450"/>
      <c r="AO22" s="1450"/>
      <c r="AP22" s="1450"/>
      <c r="AQ22" s="1450"/>
    </row>
    <row r="23" spans="1:43" ht="15.75" thickBot="1" x14ac:dyDescent="0.3">
      <c r="A23" s="1442"/>
      <c r="B23" s="1442"/>
      <c r="C23" s="1443"/>
      <c r="D23" s="1442"/>
      <c r="E23" s="2195" t="str">
        <f t="shared" si="4"/>
        <v/>
      </c>
      <c r="F23" s="1445">
        <f t="shared" si="1"/>
        <v>0</v>
      </c>
      <c r="G23" s="1445" t="str">
        <f>IF(E23="","",IF(ISNA(H23),NA(),COUNTIF(Planning!AA:AA,H23)))</f>
        <v/>
      </c>
      <c r="H23" s="1446" t="str">
        <f t="shared" si="5"/>
        <v/>
      </c>
      <c r="I23" s="1444"/>
      <c r="J23" s="1444"/>
      <c r="K23" s="1444"/>
      <c r="L23" s="1444"/>
      <c r="M23" s="1444"/>
      <c r="N23" s="1444"/>
      <c r="O23" s="1444"/>
      <c r="P23" s="1444"/>
      <c r="Q23" s="1444"/>
      <c r="R23" s="1444"/>
      <c r="S23" s="1449">
        <f t="shared" si="3"/>
        <v>0</v>
      </c>
      <c r="T23" s="1449">
        <v>131</v>
      </c>
      <c r="U23" s="1490" t="s">
        <v>830</v>
      </c>
      <c r="V23" s="1450"/>
      <c r="W23" s="1450"/>
      <c r="X23" s="1450"/>
      <c r="Y23" s="1450"/>
      <c r="Z23" s="1450"/>
      <c r="AA23" s="1450"/>
      <c r="AB23" s="1450"/>
      <c r="AC23" s="1450"/>
      <c r="AD23" s="1450"/>
      <c r="AE23" s="1450"/>
      <c r="AF23" s="1450"/>
      <c r="AG23" s="1450"/>
      <c r="AH23" s="1450"/>
      <c r="AI23" s="1450"/>
      <c r="AJ23" s="1450"/>
      <c r="AK23" s="1450"/>
      <c r="AL23" s="1450"/>
      <c r="AM23" s="1450"/>
      <c r="AN23" s="1450"/>
      <c r="AO23" s="1450"/>
      <c r="AP23" s="1450"/>
      <c r="AQ23" s="1450"/>
    </row>
    <row r="24" spans="1:43" ht="15.75" thickBot="1" x14ac:dyDescent="0.3">
      <c r="A24" s="1442"/>
      <c r="B24" s="1442"/>
      <c r="C24" s="1443"/>
      <c r="D24" s="1442"/>
      <c r="E24" s="2195" t="str">
        <f t="shared" si="4"/>
        <v/>
      </c>
      <c r="F24" s="1445">
        <f t="shared" si="1"/>
        <v>0</v>
      </c>
      <c r="G24" s="1445" t="str">
        <f>IF(E24="","",IF(ISNA(H24),NA(),COUNTIF(Planning!AA:AA,H24)))</f>
        <v/>
      </c>
      <c r="H24" s="1446" t="str">
        <f t="shared" si="5"/>
        <v/>
      </c>
      <c r="I24" s="1444"/>
      <c r="J24" s="1444"/>
      <c r="K24" s="1444"/>
      <c r="L24" s="1444"/>
      <c r="M24" s="1444"/>
      <c r="N24" s="1444"/>
      <c r="O24" s="1444"/>
      <c r="P24" s="1444"/>
      <c r="Q24" s="1444"/>
      <c r="R24" s="1444"/>
      <c r="S24" s="1449">
        <f t="shared" si="3"/>
        <v>0</v>
      </c>
      <c r="T24" s="1449">
        <v>131</v>
      </c>
      <c r="U24" s="1490" t="s">
        <v>830</v>
      </c>
      <c r="V24" s="1450"/>
      <c r="W24" s="1450"/>
      <c r="X24" s="1450"/>
      <c r="Y24" s="1450"/>
      <c r="Z24" s="1450"/>
      <c r="AA24" s="1450"/>
      <c r="AB24" s="1450"/>
      <c r="AC24" s="1450"/>
      <c r="AD24" s="1450"/>
      <c r="AE24" s="1450"/>
      <c r="AF24" s="1450"/>
      <c r="AG24" s="1450"/>
      <c r="AH24" s="1450"/>
      <c r="AI24" s="1450"/>
      <c r="AJ24" s="1450"/>
      <c r="AK24" s="1450"/>
      <c r="AL24" s="1450"/>
      <c r="AM24" s="1450"/>
      <c r="AN24" s="1450"/>
      <c r="AO24" s="1450"/>
      <c r="AP24" s="1450"/>
      <c r="AQ24" s="1450"/>
    </row>
    <row r="25" spans="1:43" ht="15.75" thickBot="1" x14ac:dyDescent="0.3">
      <c r="A25" s="1442"/>
      <c r="B25" s="1442"/>
      <c r="C25" s="1443"/>
      <c r="D25" s="1442"/>
      <c r="E25" s="2195" t="str">
        <f t="shared" si="4"/>
        <v/>
      </c>
      <c r="F25" s="1445">
        <f t="shared" si="1"/>
        <v>0</v>
      </c>
      <c r="G25" s="1445" t="str">
        <f>IF(E25="","",IF(ISNA(H25),NA(),COUNTIF(Planning!AA:AA,H25)))</f>
        <v/>
      </c>
      <c r="H25" s="1446" t="str">
        <f t="shared" si="5"/>
        <v/>
      </c>
      <c r="I25" s="1444"/>
      <c r="J25" s="1444"/>
      <c r="K25" s="1444"/>
      <c r="L25" s="1444"/>
      <c r="M25" s="1444"/>
      <c r="N25" s="1444"/>
      <c r="O25" s="1444"/>
      <c r="P25" s="1444"/>
      <c r="Q25" s="1444"/>
      <c r="R25" s="1444"/>
      <c r="S25" s="1449">
        <f t="shared" si="3"/>
        <v>0</v>
      </c>
      <c r="T25" s="1449">
        <v>131</v>
      </c>
      <c r="U25" s="1490" t="s">
        <v>830</v>
      </c>
      <c r="V25" s="1450"/>
      <c r="W25" s="1450"/>
      <c r="X25" s="1450"/>
      <c r="Y25" s="1450"/>
      <c r="Z25" s="1450"/>
      <c r="AA25" s="1450"/>
      <c r="AB25" s="1450"/>
      <c r="AC25" s="1450"/>
      <c r="AD25" s="1450"/>
      <c r="AE25" s="1450"/>
      <c r="AF25" s="1450"/>
      <c r="AG25" s="1450"/>
      <c r="AH25" s="1450"/>
      <c r="AI25" s="1450"/>
      <c r="AJ25" s="1450"/>
      <c r="AK25" s="1450"/>
      <c r="AL25" s="1450"/>
      <c r="AM25" s="1450"/>
      <c r="AN25" s="1450"/>
      <c r="AO25" s="1450"/>
      <c r="AP25" s="1450"/>
      <c r="AQ25" s="1450"/>
    </row>
    <row r="26" spans="1:43" ht="15.75" thickBot="1" x14ac:dyDescent="0.3">
      <c r="A26" s="1442"/>
      <c r="B26" s="1442"/>
      <c r="C26" s="1443"/>
      <c r="D26" s="1442"/>
      <c r="E26" s="2195" t="str">
        <f t="shared" si="4"/>
        <v/>
      </c>
      <c r="F26" s="1445">
        <f t="shared" si="1"/>
        <v>0</v>
      </c>
      <c r="G26" s="1445" t="str">
        <f>IF(E26="","",IF(ISNA(H26),NA(),COUNTIF(Planning!AA:AA,H26)))</f>
        <v/>
      </c>
      <c r="H26" s="1446" t="str">
        <f t="shared" si="5"/>
        <v/>
      </c>
      <c r="I26" s="1444"/>
      <c r="J26" s="1444"/>
      <c r="K26" s="1444"/>
      <c r="L26" s="1444"/>
      <c r="M26" s="1444"/>
      <c r="N26" s="1444"/>
      <c r="O26" s="1444"/>
      <c r="P26" s="1444"/>
      <c r="Q26" s="1444"/>
      <c r="R26" s="1444"/>
      <c r="S26" s="1449">
        <f t="shared" si="3"/>
        <v>0</v>
      </c>
      <c r="T26" s="1449">
        <v>131</v>
      </c>
      <c r="U26" s="1490" t="s">
        <v>830</v>
      </c>
      <c r="V26" s="1450"/>
      <c r="W26" s="1450"/>
      <c r="X26" s="1450"/>
      <c r="Y26" s="1450"/>
      <c r="Z26" s="1450"/>
      <c r="AA26" s="1450"/>
      <c r="AB26" s="1450"/>
      <c r="AC26" s="1450"/>
      <c r="AD26" s="1450"/>
      <c r="AE26" s="1450"/>
      <c r="AF26" s="1450"/>
      <c r="AG26" s="1450"/>
      <c r="AH26" s="1450"/>
      <c r="AI26" s="1450"/>
      <c r="AJ26" s="1450"/>
      <c r="AK26" s="1450"/>
      <c r="AL26" s="1450"/>
      <c r="AM26" s="1450"/>
      <c r="AN26" s="1450"/>
      <c r="AO26" s="1450"/>
      <c r="AP26" s="1450"/>
      <c r="AQ26" s="1450"/>
    </row>
    <row r="27" spans="1:43" ht="15.75" thickBot="1" x14ac:dyDescent="0.3">
      <c r="A27" s="1442"/>
      <c r="B27" s="1442"/>
      <c r="C27" s="1443"/>
      <c r="D27" s="1442"/>
      <c r="E27" s="2195" t="str">
        <f t="shared" si="4"/>
        <v/>
      </c>
      <c r="F27" s="1445">
        <f t="shared" si="1"/>
        <v>0</v>
      </c>
      <c r="G27" s="1445" t="str">
        <f>IF(E27="","",IF(ISNA(H27),NA(),COUNTIF(Planning!AA:AA,H27)))</f>
        <v/>
      </c>
      <c r="H27" s="1446" t="str">
        <f t="shared" si="5"/>
        <v/>
      </c>
      <c r="I27" s="1444"/>
      <c r="J27" s="1444"/>
      <c r="K27" s="1444"/>
      <c r="L27" s="1444"/>
      <c r="M27" s="1444"/>
      <c r="N27" s="1444"/>
      <c r="O27" s="1444"/>
      <c r="P27" s="1444"/>
      <c r="Q27" s="1444"/>
      <c r="R27" s="1444"/>
      <c r="S27" s="1449">
        <f t="shared" si="3"/>
        <v>0</v>
      </c>
      <c r="T27" s="1449">
        <v>131</v>
      </c>
      <c r="U27" s="1490" t="s">
        <v>830</v>
      </c>
      <c r="V27" s="1450"/>
      <c r="W27" s="1450"/>
      <c r="X27" s="1450"/>
      <c r="Y27" s="1450"/>
      <c r="Z27" s="1450"/>
      <c r="AA27" s="1450"/>
      <c r="AB27" s="1450"/>
      <c r="AC27" s="1450"/>
      <c r="AD27" s="1450"/>
      <c r="AE27" s="1450"/>
      <c r="AF27" s="1450"/>
      <c r="AG27" s="1450"/>
      <c r="AH27" s="1450"/>
      <c r="AI27" s="1450"/>
      <c r="AJ27" s="1450"/>
      <c r="AK27" s="1450"/>
      <c r="AL27" s="1450"/>
      <c r="AM27" s="1450"/>
      <c r="AN27" s="1450"/>
      <c r="AO27" s="1450"/>
      <c r="AP27" s="1450"/>
      <c r="AQ27" s="1450"/>
    </row>
    <row r="28" spans="1:43" ht="15.75" thickBot="1" x14ac:dyDescent="0.3">
      <c r="A28" s="1442"/>
      <c r="B28" s="1442"/>
      <c r="C28" s="1443"/>
      <c r="D28" s="1442"/>
      <c r="E28" s="2195" t="str">
        <f t="shared" si="4"/>
        <v/>
      </c>
      <c r="F28" s="1445">
        <f t="shared" si="1"/>
        <v>0</v>
      </c>
      <c r="G28" s="1445" t="str">
        <f>IF(E28="","",IF(ISNA(H28),NA(),COUNTIF(Planning!AA:AA,H28)))</f>
        <v/>
      </c>
      <c r="H28" s="1446" t="str">
        <f t="shared" si="5"/>
        <v/>
      </c>
      <c r="I28" s="1444"/>
      <c r="J28" s="1444"/>
      <c r="K28" s="1444"/>
      <c r="L28" s="1444"/>
      <c r="M28" s="1444"/>
      <c r="N28" s="1444"/>
      <c r="O28" s="1444"/>
      <c r="P28" s="1444"/>
      <c r="Q28" s="1444"/>
      <c r="R28" s="1444"/>
      <c r="S28" s="1449">
        <f t="shared" si="3"/>
        <v>0</v>
      </c>
      <c r="T28" s="1449">
        <v>131</v>
      </c>
      <c r="U28" s="1490" t="s">
        <v>830</v>
      </c>
      <c r="V28" s="1450"/>
      <c r="W28" s="1450"/>
      <c r="X28" s="1450"/>
      <c r="Y28" s="1450"/>
      <c r="Z28" s="1450"/>
      <c r="AA28" s="1450"/>
      <c r="AB28" s="1450"/>
      <c r="AC28" s="1450"/>
      <c r="AD28" s="1450"/>
      <c r="AE28" s="1450"/>
      <c r="AF28" s="1450"/>
      <c r="AG28" s="1450"/>
      <c r="AH28" s="1450"/>
      <c r="AI28" s="1450"/>
      <c r="AJ28" s="1450"/>
      <c r="AK28" s="1450"/>
      <c r="AL28" s="1450"/>
      <c r="AM28" s="1450"/>
      <c r="AN28" s="1450"/>
      <c r="AO28" s="1450"/>
      <c r="AP28" s="1450"/>
      <c r="AQ28" s="1450"/>
    </row>
    <row r="29" spans="1:43" ht="15.75" thickBot="1" x14ac:dyDescent="0.3">
      <c r="A29" s="1442"/>
      <c r="B29" s="1442"/>
      <c r="C29" s="1443"/>
      <c r="D29" s="1442"/>
      <c r="E29" s="2195" t="str">
        <f t="shared" si="4"/>
        <v/>
      </c>
      <c r="F29" s="1445">
        <f t="shared" si="1"/>
        <v>0</v>
      </c>
      <c r="G29" s="1445" t="str">
        <f>IF(E29="","",IF(ISNA(H29),NA(),COUNTIF(Planning!AA:AA,H29)))</f>
        <v/>
      </c>
      <c r="H29" s="1446" t="str">
        <f t="shared" si="5"/>
        <v/>
      </c>
      <c r="I29" s="1444"/>
      <c r="J29" s="1444"/>
      <c r="K29" s="1444"/>
      <c r="L29" s="1444"/>
      <c r="M29" s="1444"/>
      <c r="N29" s="1444"/>
      <c r="O29" s="1444"/>
      <c r="P29" s="1444"/>
      <c r="Q29" s="1444"/>
      <c r="R29" s="1444"/>
      <c r="S29" s="1449">
        <f t="shared" si="3"/>
        <v>0</v>
      </c>
      <c r="T29" s="1449">
        <v>131</v>
      </c>
      <c r="U29" s="1490" t="s">
        <v>830</v>
      </c>
      <c r="V29" s="1450"/>
      <c r="W29" s="1450"/>
      <c r="X29" s="1450"/>
      <c r="Y29" s="1450"/>
      <c r="Z29" s="1450"/>
      <c r="AA29" s="1450"/>
      <c r="AB29" s="1450"/>
      <c r="AC29" s="1450"/>
      <c r="AD29" s="1450"/>
      <c r="AE29" s="1450"/>
      <c r="AF29" s="1450"/>
      <c r="AG29" s="1450"/>
      <c r="AH29" s="1450"/>
      <c r="AI29" s="1450"/>
      <c r="AJ29" s="1450"/>
      <c r="AK29" s="1450"/>
      <c r="AL29" s="1450"/>
      <c r="AM29" s="1450"/>
      <c r="AN29" s="1450"/>
      <c r="AO29" s="1450"/>
      <c r="AP29" s="1450"/>
      <c r="AQ29" s="1450"/>
    </row>
    <row r="30" spans="1:43" ht="15.75" thickBot="1" x14ac:dyDescent="0.3">
      <c r="A30" s="1442"/>
      <c r="B30" s="1442"/>
      <c r="C30" s="1443"/>
      <c r="D30" s="1442"/>
      <c r="E30" s="2195" t="str">
        <f t="shared" si="4"/>
        <v/>
      </c>
      <c r="F30" s="1445">
        <f t="shared" si="1"/>
        <v>0</v>
      </c>
      <c r="G30" s="1445" t="str">
        <f>IF(E30="","",IF(ISNA(H30),NA(),COUNTIF(Planning!AA:AA,H30)))</f>
        <v/>
      </c>
      <c r="H30" s="1446" t="str">
        <f t="shared" si="5"/>
        <v/>
      </c>
      <c r="I30" s="1444"/>
      <c r="J30" s="1444"/>
      <c r="K30" s="1444"/>
      <c r="L30" s="1444"/>
      <c r="M30" s="1444"/>
      <c r="N30" s="1444"/>
      <c r="O30" s="1444"/>
      <c r="P30" s="1444"/>
      <c r="Q30" s="1444"/>
      <c r="R30" s="1444"/>
      <c r="S30" s="1449">
        <f t="shared" si="3"/>
        <v>0</v>
      </c>
      <c r="T30" s="1449">
        <v>131</v>
      </c>
      <c r="U30" s="1490" t="s">
        <v>830</v>
      </c>
      <c r="V30" s="1450"/>
      <c r="W30" s="1450"/>
      <c r="X30" s="1450"/>
      <c r="Y30" s="1450"/>
      <c r="Z30" s="1450"/>
      <c r="AA30" s="1450"/>
      <c r="AB30" s="1450"/>
      <c r="AC30" s="1450"/>
      <c r="AD30" s="1450"/>
      <c r="AE30" s="1450"/>
      <c r="AF30" s="1450"/>
      <c r="AG30" s="1450"/>
      <c r="AH30" s="1450"/>
      <c r="AI30" s="1450"/>
      <c r="AJ30" s="1450"/>
      <c r="AK30" s="1450"/>
      <c r="AL30" s="1450"/>
      <c r="AM30" s="1450"/>
      <c r="AN30" s="1450"/>
      <c r="AO30" s="1450"/>
      <c r="AP30" s="1450"/>
      <c r="AQ30" s="1450"/>
    </row>
    <row r="31" spans="1:43" ht="15.75" thickBot="1" x14ac:dyDescent="0.3">
      <c r="A31" s="1442"/>
      <c r="B31" s="1442"/>
      <c r="C31" s="1443"/>
      <c r="D31" s="1442"/>
      <c r="E31" s="2195" t="str">
        <f t="shared" si="4"/>
        <v/>
      </c>
      <c r="F31" s="1445">
        <f t="shared" si="1"/>
        <v>0</v>
      </c>
      <c r="G31" s="1445" t="str">
        <f>IF(E31="","",IF(ISNA(H31),NA(),COUNTIF(Planning!AA:AA,H31)))</f>
        <v/>
      </c>
      <c r="H31" s="1446" t="str">
        <f t="shared" si="5"/>
        <v/>
      </c>
      <c r="I31" s="1444"/>
      <c r="J31" s="1444"/>
      <c r="K31" s="1444"/>
      <c r="L31" s="1444"/>
      <c r="M31" s="1444"/>
      <c r="N31" s="1444"/>
      <c r="O31" s="1444"/>
      <c r="P31" s="1444"/>
      <c r="Q31" s="1444"/>
      <c r="R31" s="1444"/>
      <c r="S31" s="1449">
        <f t="shared" si="3"/>
        <v>0</v>
      </c>
      <c r="T31" s="1449">
        <v>131</v>
      </c>
      <c r="U31" s="1490" t="s">
        <v>830</v>
      </c>
      <c r="V31" s="1450"/>
      <c r="W31" s="1450"/>
      <c r="X31" s="1450"/>
      <c r="Y31" s="1450"/>
      <c r="Z31" s="1450"/>
      <c r="AA31" s="1450"/>
      <c r="AB31" s="1450"/>
      <c r="AC31" s="1450"/>
      <c r="AD31" s="1450"/>
      <c r="AE31" s="1450"/>
      <c r="AF31" s="1450"/>
      <c r="AG31" s="1450"/>
      <c r="AH31" s="1450"/>
      <c r="AI31" s="1450"/>
      <c r="AJ31" s="1450"/>
      <c r="AK31" s="1450"/>
      <c r="AL31" s="1450"/>
      <c r="AM31" s="1450"/>
      <c r="AN31" s="1450"/>
      <c r="AO31" s="1450"/>
      <c r="AP31" s="1450"/>
      <c r="AQ31" s="1450"/>
    </row>
    <row r="32" spans="1:43" ht="15.75" thickBot="1" x14ac:dyDescent="0.3">
      <c r="A32" s="1442"/>
      <c r="B32" s="1442"/>
      <c r="C32" s="1443"/>
      <c r="D32" s="1442"/>
      <c r="E32" s="2195" t="str">
        <f t="shared" si="4"/>
        <v/>
      </c>
      <c r="F32" s="1445">
        <f t="shared" si="1"/>
        <v>0</v>
      </c>
      <c r="G32" s="1445" t="str">
        <f>IF(E32="","",IF(ISNA(H32),NA(),COUNTIF(Planning!AA:AA,H32)))</f>
        <v/>
      </c>
      <c r="H32" s="1446" t="str">
        <f t="shared" si="5"/>
        <v/>
      </c>
      <c r="I32" s="1444"/>
      <c r="J32" s="1444"/>
      <c r="K32" s="1444"/>
      <c r="L32" s="1444"/>
      <c r="M32" s="1444"/>
      <c r="N32" s="1444"/>
      <c r="O32" s="1444"/>
      <c r="P32" s="1444"/>
      <c r="Q32" s="1444"/>
      <c r="R32" s="1444"/>
      <c r="S32" s="1449">
        <f t="shared" si="3"/>
        <v>0</v>
      </c>
      <c r="T32" s="1449">
        <v>131</v>
      </c>
      <c r="U32" s="1490" t="s">
        <v>830</v>
      </c>
      <c r="V32" s="1450"/>
      <c r="W32" s="1450"/>
      <c r="X32" s="1450"/>
      <c r="Y32" s="1450"/>
      <c r="Z32" s="1450"/>
      <c r="AA32" s="1450"/>
      <c r="AB32" s="1450"/>
      <c r="AC32" s="1450"/>
      <c r="AD32" s="1450"/>
      <c r="AE32" s="1450"/>
      <c r="AF32" s="1450"/>
      <c r="AG32" s="1450"/>
      <c r="AH32" s="1450"/>
      <c r="AI32" s="1450"/>
      <c r="AJ32" s="1450"/>
      <c r="AK32" s="1450"/>
      <c r="AL32" s="1450"/>
      <c r="AM32" s="1450"/>
      <c r="AN32" s="1450"/>
      <c r="AO32" s="1450"/>
      <c r="AP32" s="1450"/>
      <c r="AQ32" s="1450"/>
    </row>
    <row r="33" spans="1:43" ht="15.75" thickBot="1" x14ac:dyDescent="0.3">
      <c r="A33" s="1442"/>
      <c r="B33" s="1442"/>
      <c r="C33" s="1443"/>
      <c r="D33" s="1442"/>
      <c r="E33" s="2195" t="str">
        <f t="shared" si="4"/>
        <v/>
      </c>
      <c r="F33" s="1445">
        <f t="shared" si="1"/>
        <v>0</v>
      </c>
      <c r="G33" s="1445" t="str">
        <f>IF(E33="","",IF(ISNA(H33),NA(),COUNTIF(Planning!AA:AA,H33)))</f>
        <v/>
      </c>
      <c r="H33" s="1446" t="str">
        <f t="shared" si="5"/>
        <v/>
      </c>
      <c r="I33" s="1444"/>
      <c r="J33" s="1444"/>
      <c r="K33" s="1444"/>
      <c r="L33" s="1444"/>
      <c r="M33" s="1444"/>
      <c r="N33" s="1444"/>
      <c r="O33" s="1444"/>
      <c r="P33" s="1444"/>
      <c r="Q33" s="1444"/>
      <c r="R33" s="1444"/>
      <c r="S33" s="1449">
        <f t="shared" si="3"/>
        <v>0</v>
      </c>
      <c r="T33" s="1449">
        <v>131</v>
      </c>
      <c r="U33" s="1490" t="s">
        <v>830</v>
      </c>
      <c r="V33" s="1450"/>
      <c r="W33" s="1450"/>
      <c r="X33" s="1450"/>
      <c r="Y33" s="1450"/>
      <c r="Z33" s="1450"/>
      <c r="AA33" s="1450"/>
      <c r="AB33" s="1450"/>
      <c r="AC33" s="1450"/>
      <c r="AD33" s="1450"/>
      <c r="AE33" s="1450"/>
      <c r="AF33" s="1450"/>
      <c r="AG33" s="1450"/>
      <c r="AH33" s="1450"/>
      <c r="AI33" s="1450"/>
      <c r="AJ33" s="1450"/>
      <c r="AK33" s="1450"/>
      <c r="AL33" s="1450"/>
      <c r="AM33" s="1450"/>
      <c r="AN33" s="1450"/>
      <c r="AO33" s="1450"/>
      <c r="AP33" s="1450"/>
      <c r="AQ33" s="1450"/>
    </row>
    <row r="34" spans="1:43" ht="15.75" thickBot="1" x14ac:dyDescent="0.3">
      <c r="A34" s="1442"/>
      <c r="B34" s="1442"/>
      <c r="C34" s="1443"/>
      <c r="D34" s="1442"/>
      <c r="E34" s="2195" t="str">
        <f t="shared" si="4"/>
        <v/>
      </c>
      <c r="F34" s="1445">
        <f t="shared" si="1"/>
        <v>0</v>
      </c>
      <c r="G34" s="1445" t="str">
        <f>IF(E34="","",IF(ISNA(H34),NA(),COUNTIF(Planning!AA:AA,H34)))</f>
        <v/>
      </c>
      <c r="H34" s="1446" t="str">
        <f t="shared" si="5"/>
        <v/>
      </c>
      <c r="I34" s="1444"/>
      <c r="J34" s="1444"/>
      <c r="K34" s="1444"/>
      <c r="L34" s="1444"/>
      <c r="M34" s="1444"/>
      <c r="N34" s="1444"/>
      <c r="O34" s="1444"/>
      <c r="P34" s="1444"/>
      <c r="Q34" s="1444"/>
      <c r="R34" s="1444"/>
      <c r="S34" s="1449">
        <f t="shared" si="3"/>
        <v>0</v>
      </c>
      <c r="T34" s="1449">
        <v>131</v>
      </c>
      <c r="U34" s="1490" t="s">
        <v>830</v>
      </c>
      <c r="V34" s="1450"/>
      <c r="W34" s="1450"/>
      <c r="X34" s="1450"/>
      <c r="Y34" s="1450"/>
      <c r="Z34" s="1450"/>
      <c r="AA34" s="1450"/>
      <c r="AB34" s="1450"/>
      <c r="AC34" s="1450"/>
      <c r="AD34" s="1450"/>
      <c r="AE34" s="1450"/>
      <c r="AF34" s="1450"/>
      <c r="AG34" s="1450"/>
      <c r="AH34" s="1450"/>
      <c r="AI34" s="1450"/>
      <c r="AJ34" s="1450"/>
      <c r="AK34" s="1450"/>
      <c r="AL34" s="1450"/>
      <c r="AM34" s="1450"/>
      <c r="AN34" s="1450"/>
      <c r="AO34" s="1450"/>
      <c r="AP34" s="1450"/>
      <c r="AQ34" s="1450"/>
    </row>
    <row r="35" spans="1:43" ht="15.75" thickBot="1" x14ac:dyDescent="0.3">
      <c r="A35" s="1442"/>
      <c r="B35" s="1442"/>
      <c r="C35" s="1443"/>
      <c r="D35" s="1442"/>
      <c r="E35" s="2195" t="str">
        <f>IF(C35="","",C35&amp;IF(D35="A",""," "&amp;CODE(D35)-CODE("A")+1))</f>
        <v/>
      </c>
      <c r="F35" s="1445">
        <f t="shared" si="1"/>
        <v>0</v>
      </c>
      <c r="G35" s="1445" t="str">
        <f>IF(E35="","",IF(ISNA(H35),NA(),COUNTIF(Planning!AA:AA,H35)))</f>
        <v/>
      </c>
      <c r="H35" s="1446" t="str">
        <f t="shared" si="5"/>
        <v/>
      </c>
      <c r="I35" s="1444"/>
      <c r="J35" s="1444"/>
      <c r="K35" s="1444"/>
      <c r="L35" s="1444"/>
      <c r="M35" s="1444"/>
      <c r="N35" s="1444"/>
      <c r="O35" s="1444"/>
      <c r="P35" s="1444"/>
      <c r="Q35" s="1444"/>
      <c r="R35" s="1444"/>
      <c r="S35" s="1449">
        <f t="shared" si="3"/>
        <v>0</v>
      </c>
      <c r="T35" s="1449">
        <v>131</v>
      </c>
      <c r="U35" s="1490" t="s">
        <v>830</v>
      </c>
      <c r="V35" s="1450"/>
      <c r="W35" s="1450"/>
      <c r="X35" s="1450"/>
      <c r="Y35" s="1450"/>
      <c r="Z35" s="1450"/>
      <c r="AA35" s="1450"/>
      <c r="AB35" s="1450"/>
      <c r="AC35" s="1450"/>
      <c r="AD35" s="1450"/>
      <c r="AE35" s="1450"/>
      <c r="AF35" s="1450"/>
      <c r="AG35" s="1450"/>
      <c r="AH35" s="1450"/>
      <c r="AI35" s="1450"/>
      <c r="AJ35" s="1450"/>
      <c r="AK35" s="1450"/>
      <c r="AL35" s="1450"/>
      <c r="AM35" s="1450"/>
      <c r="AN35" s="1450"/>
      <c r="AO35" s="1450"/>
      <c r="AP35" s="1450"/>
    </row>
    <row r="36" spans="1:43" ht="15.75" thickBot="1" x14ac:dyDescent="0.3">
      <c r="A36" s="1442"/>
      <c r="B36" s="1442"/>
      <c r="C36" s="1443"/>
      <c r="D36" s="1442"/>
      <c r="E36" s="2195" t="str">
        <f t="shared" ref="E36:E66" si="6">IF(C36="","",C36&amp;IF(D36="A",""," "&amp;CODE(D36)-CODE("A")+1))</f>
        <v/>
      </c>
      <c r="F36" s="1445">
        <f t="shared" si="1"/>
        <v>0</v>
      </c>
      <c r="G36" s="1445" t="str">
        <f>IF(E36="","",IF(ISNA(H36),NA(),COUNTIF(Planning!AA:AA,H36)))</f>
        <v/>
      </c>
      <c r="H36" s="1446" t="str">
        <f t="shared" si="5"/>
        <v/>
      </c>
      <c r="I36" s="1444"/>
      <c r="J36" s="1444"/>
      <c r="K36" s="1444"/>
      <c r="L36" s="1444"/>
      <c r="M36" s="1444"/>
      <c r="N36" s="1444"/>
      <c r="O36" s="1444"/>
      <c r="P36" s="1444"/>
      <c r="Q36" s="1444"/>
      <c r="R36" s="1444"/>
      <c r="S36" s="1449">
        <f t="shared" si="3"/>
        <v>0</v>
      </c>
      <c r="T36" s="1449">
        <v>131</v>
      </c>
      <c r="U36" s="1490" t="s">
        <v>830</v>
      </c>
      <c r="V36" s="1450"/>
      <c r="W36" s="1450"/>
      <c r="X36" s="1450"/>
      <c r="Y36" s="1450"/>
      <c r="Z36" s="1450"/>
      <c r="AA36" s="1450"/>
      <c r="AB36" s="1450"/>
      <c r="AC36" s="1450"/>
      <c r="AD36" s="1450"/>
      <c r="AE36" s="1450"/>
      <c r="AF36" s="1450"/>
      <c r="AG36" s="1450"/>
      <c r="AH36" s="1450"/>
      <c r="AI36" s="1450"/>
      <c r="AJ36" s="1450"/>
      <c r="AK36" s="1450"/>
      <c r="AL36" s="1450"/>
      <c r="AM36" s="1450"/>
      <c r="AN36" s="1450"/>
      <c r="AO36" s="1450"/>
      <c r="AP36" s="1450"/>
    </row>
    <row r="37" spans="1:43" ht="15.75" thickBot="1" x14ac:dyDescent="0.3">
      <c r="A37" s="1442"/>
      <c r="B37" s="1442"/>
      <c r="C37" s="1443"/>
      <c r="D37" s="1442"/>
      <c r="E37" s="2195" t="str">
        <f t="shared" si="6"/>
        <v/>
      </c>
      <c r="F37" s="1445">
        <f t="shared" si="1"/>
        <v>0</v>
      </c>
      <c r="G37" s="1445" t="str">
        <f>IF(E37="","",IF(ISNA(H37),NA(),COUNTIF(Planning!AA:AA,H37)))</f>
        <v/>
      </c>
      <c r="H37" s="1446" t="str">
        <f t="shared" si="5"/>
        <v/>
      </c>
      <c r="I37" s="1444"/>
      <c r="J37" s="1444"/>
      <c r="K37" s="1444"/>
      <c r="L37" s="1444"/>
      <c r="M37" s="1444"/>
      <c r="N37" s="1444"/>
      <c r="O37" s="1444"/>
      <c r="P37" s="1444"/>
      <c r="Q37" s="1444"/>
      <c r="R37" s="1444"/>
      <c r="S37" s="1449">
        <f t="shared" si="3"/>
        <v>0</v>
      </c>
      <c r="T37" s="1449">
        <v>131</v>
      </c>
      <c r="U37" s="1490" t="s">
        <v>830</v>
      </c>
      <c r="V37" s="1450"/>
      <c r="W37" s="1450"/>
      <c r="X37" s="1450"/>
      <c r="Y37" s="1450"/>
      <c r="Z37" s="1450"/>
      <c r="AA37" s="1450"/>
      <c r="AB37" s="1450"/>
      <c r="AC37" s="1450"/>
      <c r="AD37" s="1450"/>
      <c r="AE37" s="1450"/>
      <c r="AF37" s="1450"/>
      <c r="AG37" s="1450"/>
      <c r="AH37" s="1450"/>
      <c r="AI37" s="1450"/>
      <c r="AJ37" s="1450"/>
      <c r="AK37" s="1450"/>
      <c r="AL37" s="1450"/>
      <c r="AM37" s="1450"/>
      <c r="AN37" s="1450"/>
      <c r="AO37" s="1450"/>
      <c r="AP37" s="1450"/>
    </row>
    <row r="38" spans="1:43" ht="15.75" thickBot="1" x14ac:dyDescent="0.3">
      <c r="A38" s="1442"/>
      <c r="B38" s="1442"/>
      <c r="C38" s="1443"/>
      <c r="D38" s="1442"/>
      <c r="E38" s="2195" t="str">
        <f t="shared" si="6"/>
        <v/>
      </c>
      <c r="F38" s="1445">
        <f t="shared" si="1"/>
        <v>0</v>
      </c>
      <c r="G38" s="1445" t="str">
        <f>IF(E38="","",IF(ISNA(H38),NA(),COUNTIF(Planning!AA:AA,H38)))</f>
        <v/>
      </c>
      <c r="H38" s="1446" t="str">
        <f t="shared" si="5"/>
        <v/>
      </c>
      <c r="I38" s="1444"/>
      <c r="J38" s="1444"/>
      <c r="K38" s="1444"/>
      <c r="L38" s="1444"/>
      <c r="M38" s="1444"/>
      <c r="N38" s="1444"/>
      <c r="O38" s="1444"/>
      <c r="P38" s="1444"/>
      <c r="Q38" s="1444"/>
      <c r="R38" s="1444"/>
      <c r="S38" s="1449">
        <f t="shared" si="3"/>
        <v>0</v>
      </c>
      <c r="T38" s="1449">
        <v>131</v>
      </c>
      <c r="U38" s="1490" t="s">
        <v>830</v>
      </c>
      <c r="V38" s="1450"/>
      <c r="W38" s="1450"/>
      <c r="X38" s="1450"/>
      <c r="Y38" s="1450"/>
      <c r="Z38" s="1450"/>
      <c r="AA38" s="1450"/>
      <c r="AB38" s="1450"/>
      <c r="AC38" s="1450"/>
      <c r="AD38" s="1450"/>
      <c r="AE38" s="1450"/>
      <c r="AF38" s="1450"/>
      <c r="AG38" s="1450"/>
      <c r="AH38" s="1450"/>
      <c r="AI38" s="1450"/>
      <c r="AJ38" s="1450"/>
      <c r="AK38" s="1450"/>
      <c r="AL38" s="1450"/>
      <c r="AM38" s="1450"/>
      <c r="AN38" s="1450"/>
      <c r="AO38" s="1450"/>
      <c r="AP38" s="1450"/>
    </row>
    <row r="39" spans="1:43" ht="15.75" thickBot="1" x14ac:dyDescent="0.3">
      <c r="A39" s="1442"/>
      <c r="B39" s="1442"/>
      <c r="C39" s="1443"/>
      <c r="D39" s="1442"/>
      <c r="E39" s="2195" t="str">
        <f t="shared" si="6"/>
        <v/>
      </c>
      <c r="F39" s="1445">
        <f t="shared" si="1"/>
        <v>0</v>
      </c>
      <c r="G39" s="1445" t="str">
        <f>IF(E39="","",IF(ISNA(H39),NA(),COUNTIF(Planning!AA:AA,H39)))</f>
        <v/>
      </c>
      <c r="H39" s="1446" t="str">
        <f t="shared" si="5"/>
        <v/>
      </c>
      <c r="I39" s="1444"/>
      <c r="J39" s="1444"/>
      <c r="K39" s="1444"/>
      <c r="L39" s="1444"/>
      <c r="M39" s="1444"/>
      <c r="N39" s="1444"/>
      <c r="O39" s="1444"/>
      <c r="P39" s="1444"/>
      <c r="Q39" s="1444"/>
      <c r="R39" s="1444"/>
      <c r="S39" s="1449">
        <f t="shared" si="3"/>
        <v>0</v>
      </c>
      <c r="T39" s="1449">
        <v>131</v>
      </c>
      <c r="U39" s="1490" t="s">
        <v>830</v>
      </c>
      <c r="V39" s="1450"/>
      <c r="W39" s="1450"/>
      <c r="X39" s="1450"/>
      <c r="Y39" s="1450"/>
      <c r="Z39" s="1450"/>
      <c r="AA39" s="1450"/>
      <c r="AB39" s="1450"/>
      <c r="AC39" s="1450"/>
      <c r="AD39" s="1450"/>
      <c r="AE39" s="1450"/>
      <c r="AF39" s="1450"/>
      <c r="AG39" s="1450"/>
      <c r="AH39" s="1450"/>
      <c r="AI39" s="1450"/>
      <c r="AJ39" s="1450"/>
      <c r="AK39" s="1450"/>
      <c r="AL39" s="1450"/>
      <c r="AM39" s="1450"/>
      <c r="AN39" s="1450"/>
      <c r="AO39" s="1450"/>
      <c r="AP39" s="1450"/>
    </row>
    <row r="40" spans="1:43" ht="15.75" thickBot="1" x14ac:dyDescent="0.3">
      <c r="A40" s="1442"/>
      <c r="B40" s="1442"/>
      <c r="C40" s="1443"/>
      <c r="D40" s="1442"/>
      <c r="E40" s="2195" t="str">
        <f t="shared" si="6"/>
        <v/>
      </c>
      <c r="F40" s="1445">
        <f t="shared" si="1"/>
        <v>0</v>
      </c>
      <c r="G40" s="1445" t="str">
        <f>IF(E40="","",IF(ISNA(H40),NA(),COUNTIF(Planning!AA:AA,H40)))</f>
        <v/>
      </c>
      <c r="H40" s="1446" t="str">
        <f t="shared" si="5"/>
        <v/>
      </c>
      <c r="I40" s="1444"/>
      <c r="J40" s="1444"/>
      <c r="K40" s="1444"/>
      <c r="L40" s="1444"/>
      <c r="M40" s="1444"/>
      <c r="N40" s="1444"/>
      <c r="O40" s="1444"/>
      <c r="P40" s="1444"/>
      <c r="Q40" s="1444"/>
      <c r="R40" s="1444"/>
      <c r="S40" s="1449">
        <f t="shared" si="3"/>
        <v>0</v>
      </c>
      <c r="T40" s="1449">
        <v>131</v>
      </c>
      <c r="U40" s="1490" t="s">
        <v>830</v>
      </c>
      <c r="V40" s="1450"/>
      <c r="W40" s="1450"/>
      <c r="X40" s="1450"/>
      <c r="Y40" s="1450"/>
      <c r="Z40" s="1450"/>
      <c r="AA40" s="1450"/>
      <c r="AB40" s="1450"/>
      <c r="AC40" s="1450"/>
      <c r="AD40" s="1450"/>
      <c r="AE40" s="1450"/>
      <c r="AF40" s="1450"/>
      <c r="AG40" s="1450"/>
      <c r="AH40" s="1450"/>
      <c r="AI40" s="1450"/>
      <c r="AJ40" s="1450"/>
      <c r="AK40" s="1450"/>
      <c r="AL40" s="1450"/>
      <c r="AM40" s="1450"/>
      <c r="AN40" s="1450"/>
      <c r="AO40" s="1450"/>
      <c r="AP40" s="1450"/>
    </row>
    <row r="41" spans="1:43" ht="15.75" thickBot="1" x14ac:dyDescent="0.3">
      <c r="A41" s="1442"/>
      <c r="B41" s="1442"/>
      <c r="C41" s="1443"/>
      <c r="D41" s="1442"/>
      <c r="E41" s="2195" t="str">
        <f t="shared" si="6"/>
        <v/>
      </c>
      <c r="F41" s="1445">
        <f t="shared" si="1"/>
        <v>0</v>
      </c>
      <c r="G41" s="1445" t="str">
        <f>IF(E41="","",IF(ISNA(H41),NA(),COUNTIF(Planning!AA:AA,H41)))</f>
        <v/>
      </c>
      <c r="H41" s="1446" t="str">
        <f t="shared" si="5"/>
        <v/>
      </c>
      <c r="I41" s="1444"/>
      <c r="J41" s="1444"/>
      <c r="K41" s="1444"/>
      <c r="L41" s="1444"/>
      <c r="M41" s="1444"/>
      <c r="N41" s="1444"/>
      <c r="O41" s="1444"/>
      <c r="P41" s="1444"/>
      <c r="Q41" s="1444"/>
      <c r="R41" s="1444"/>
      <c r="S41" s="1449">
        <f t="shared" si="3"/>
        <v>0</v>
      </c>
      <c r="T41" s="1449">
        <v>131</v>
      </c>
      <c r="U41" s="1490" t="s">
        <v>830</v>
      </c>
      <c r="V41" s="1450"/>
      <c r="W41" s="1450"/>
      <c r="X41" s="1450"/>
      <c r="Y41" s="1450"/>
      <c r="Z41" s="1450"/>
      <c r="AA41" s="1450"/>
      <c r="AB41" s="1450"/>
      <c r="AC41" s="1450"/>
      <c r="AD41" s="1450"/>
      <c r="AE41" s="1450"/>
      <c r="AF41" s="1450"/>
      <c r="AG41" s="1450"/>
      <c r="AH41" s="1450"/>
      <c r="AI41" s="1450"/>
      <c r="AJ41" s="1450"/>
      <c r="AK41" s="1450"/>
      <c r="AL41" s="1450"/>
      <c r="AM41" s="1450"/>
      <c r="AN41" s="1450"/>
      <c r="AO41" s="1450"/>
      <c r="AP41" s="1450"/>
    </row>
    <row r="42" spans="1:43" ht="15.75" thickBot="1" x14ac:dyDescent="0.3">
      <c r="A42" s="1442"/>
      <c r="B42" s="1442"/>
      <c r="C42" s="1443"/>
      <c r="D42" s="1442"/>
      <c r="E42" s="2195" t="str">
        <f t="shared" si="6"/>
        <v/>
      </c>
      <c r="F42" s="1445">
        <f t="shared" si="1"/>
        <v>0</v>
      </c>
      <c r="G42" s="1445" t="str">
        <f>IF(E42="","",IF(ISNA(H42),NA(),COUNTIF(Planning!AA:AA,H42)))</f>
        <v/>
      </c>
      <c r="H42" s="1446" t="str">
        <f t="shared" si="5"/>
        <v/>
      </c>
      <c r="I42" s="1444"/>
      <c r="J42" s="1444"/>
      <c r="K42" s="1444"/>
      <c r="L42" s="1444"/>
      <c r="M42" s="1444"/>
      <c r="N42" s="1444"/>
      <c r="O42" s="1444"/>
      <c r="P42" s="1444"/>
      <c r="Q42" s="1444"/>
      <c r="R42" s="1444"/>
      <c r="S42" s="1449">
        <f t="shared" si="3"/>
        <v>0</v>
      </c>
      <c r="T42" s="1449">
        <v>131</v>
      </c>
      <c r="U42" s="1490" t="s">
        <v>830</v>
      </c>
      <c r="V42" s="1450"/>
      <c r="W42" s="1450"/>
      <c r="X42" s="1450"/>
      <c r="Y42" s="1450"/>
      <c r="Z42" s="1450"/>
      <c r="AA42" s="1450"/>
      <c r="AB42" s="1450"/>
      <c r="AC42" s="1450"/>
      <c r="AD42" s="1450"/>
      <c r="AE42" s="1450"/>
      <c r="AF42" s="1450"/>
      <c r="AG42" s="1450"/>
      <c r="AH42" s="1450"/>
      <c r="AI42" s="1450"/>
      <c r="AJ42" s="1450"/>
      <c r="AK42" s="1450"/>
      <c r="AL42" s="1450"/>
      <c r="AM42" s="1450"/>
      <c r="AN42" s="1450"/>
      <c r="AO42" s="1450"/>
      <c r="AP42" s="1450"/>
    </row>
    <row r="43" spans="1:43" ht="15.75" thickBot="1" x14ac:dyDescent="0.3">
      <c r="A43" s="1442"/>
      <c r="B43" s="1442"/>
      <c r="C43" s="1443"/>
      <c r="D43" s="1442"/>
      <c r="E43" s="2195" t="str">
        <f t="shared" si="6"/>
        <v/>
      </c>
      <c r="F43" s="1445">
        <f t="shared" si="1"/>
        <v>0</v>
      </c>
      <c r="G43" s="1445" t="str">
        <f>IF(E43="","",IF(ISNA(H43),NA(),COUNTIF(Planning!AA:AA,H43)))</f>
        <v/>
      </c>
      <c r="H43" s="1446" t="str">
        <f t="shared" si="5"/>
        <v/>
      </c>
      <c r="I43" s="1444"/>
      <c r="J43" s="1444"/>
      <c r="K43" s="1444"/>
      <c r="L43" s="1444"/>
      <c r="M43" s="1444"/>
      <c r="N43" s="1444"/>
      <c r="O43" s="1444"/>
      <c r="P43" s="1444"/>
      <c r="Q43" s="1444"/>
      <c r="R43" s="1444"/>
      <c r="S43" s="1449">
        <f t="shared" si="3"/>
        <v>0</v>
      </c>
      <c r="T43" s="1449">
        <v>131</v>
      </c>
      <c r="U43" s="1490" t="s">
        <v>830</v>
      </c>
      <c r="V43" s="1450"/>
      <c r="W43" s="1450"/>
      <c r="X43" s="1450"/>
      <c r="Y43" s="1450"/>
      <c r="Z43" s="1450"/>
      <c r="AA43" s="1450"/>
      <c r="AB43" s="1450"/>
      <c r="AC43" s="1450"/>
      <c r="AD43" s="1450"/>
      <c r="AE43" s="1450"/>
      <c r="AF43" s="1450"/>
      <c r="AG43" s="1450"/>
      <c r="AH43" s="1450"/>
      <c r="AI43" s="1450"/>
      <c r="AJ43" s="1450"/>
      <c r="AK43" s="1450"/>
      <c r="AL43" s="1450"/>
      <c r="AM43" s="1450"/>
      <c r="AN43" s="1450"/>
      <c r="AO43" s="1450"/>
      <c r="AP43" s="1450"/>
    </row>
    <row r="44" spans="1:43" ht="15.75" thickBot="1" x14ac:dyDescent="0.3">
      <c r="A44" s="1442"/>
      <c r="B44" s="1442"/>
      <c r="C44" s="1443"/>
      <c r="D44" s="1442"/>
      <c r="E44" s="2195" t="str">
        <f t="shared" si="6"/>
        <v/>
      </c>
      <c r="F44" s="1445">
        <f t="shared" si="1"/>
        <v>0</v>
      </c>
      <c r="G44" s="1445" t="str">
        <f>IF(E44="","",IF(ISNA(H44),NA(),COUNTIF(Planning!AA:AA,H44)))</f>
        <v/>
      </c>
      <c r="H44" s="1446" t="str">
        <f t="shared" si="5"/>
        <v/>
      </c>
      <c r="I44" s="1444"/>
      <c r="J44" s="1444"/>
      <c r="K44" s="1444"/>
      <c r="L44" s="1444"/>
      <c r="M44" s="1444"/>
      <c r="N44" s="1444"/>
      <c r="O44" s="1444"/>
      <c r="P44" s="1444"/>
      <c r="Q44" s="1444"/>
      <c r="R44" s="1444"/>
      <c r="S44" s="1449">
        <f t="shared" si="3"/>
        <v>0</v>
      </c>
      <c r="T44" s="1449">
        <v>131</v>
      </c>
      <c r="U44" s="1490" t="s">
        <v>830</v>
      </c>
      <c r="V44" s="1450"/>
      <c r="W44" s="1450"/>
      <c r="X44" s="1450"/>
      <c r="Y44" s="1450"/>
      <c r="Z44" s="1450"/>
      <c r="AA44" s="1450"/>
      <c r="AB44" s="1450"/>
      <c r="AC44" s="1450"/>
      <c r="AD44" s="1450"/>
      <c r="AE44" s="1450"/>
      <c r="AF44" s="1450"/>
      <c r="AG44" s="1450"/>
      <c r="AH44" s="1450"/>
      <c r="AI44" s="1450"/>
      <c r="AJ44" s="1450"/>
      <c r="AK44" s="1450"/>
      <c r="AL44" s="1450"/>
      <c r="AM44" s="1450"/>
      <c r="AN44" s="1450"/>
      <c r="AO44" s="1450"/>
      <c r="AP44" s="1450"/>
    </row>
    <row r="45" spans="1:43" ht="15.75" thickBot="1" x14ac:dyDescent="0.3">
      <c r="A45" s="1442"/>
      <c r="B45" s="1442"/>
      <c r="C45" s="1443"/>
      <c r="D45" s="1442"/>
      <c r="E45" s="2195" t="str">
        <f t="shared" si="6"/>
        <v/>
      </c>
      <c r="F45" s="1445">
        <f t="shared" si="1"/>
        <v>0</v>
      </c>
      <c r="G45" s="1445" t="str">
        <f>IF(E45="","",IF(ISNA(H45),NA(),COUNTIF(Planning!AA:AA,H45)))</f>
        <v/>
      </c>
      <c r="H45" s="1446" t="str">
        <f t="shared" si="5"/>
        <v/>
      </c>
      <c r="I45" s="1444"/>
      <c r="J45" s="1444"/>
      <c r="K45" s="1444"/>
      <c r="L45" s="1444"/>
      <c r="M45" s="1444"/>
      <c r="N45" s="1444"/>
      <c r="O45" s="1444"/>
      <c r="P45" s="1444"/>
      <c r="Q45" s="1444"/>
      <c r="R45" s="1444"/>
      <c r="S45" s="1449">
        <f t="shared" si="3"/>
        <v>0</v>
      </c>
      <c r="T45" s="1449">
        <v>131</v>
      </c>
      <c r="U45" s="1490" t="s">
        <v>830</v>
      </c>
      <c r="V45" s="1450"/>
      <c r="W45" s="1450"/>
      <c r="X45" s="1450"/>
      <c r="Y45" s="1450"/>
      <c r="Z45" s="1450"/>
      <c r="AA45" s="1450"/>
      <c r="AB45" s="1450"/>
      <c r="AC45" s="1450"/>
      <c r="AD45" s="1450"/>
      <c r="AE45" s="1450"/>
      <c r="AF45" s="1450"/>
      <c r="AG45" s="1450"/>
      <c r="AH45" s="1450"/>
      <c r="AI45" s="1450"/>
      <c r="AJ45" s="1450"/>
      <c r="AK45" s="1450"/>
      <c r="AL45" s="1450"/>
      <c r="AM45" s="1450"/>
      <c r="AN45" s="1450"/>
      <c r="AO45" s="1450"/>
      <c r="AP45" s="1450"/>
    </row>
    <row r="46" spans="1:43" ht="15.75" thickBot="1" x14ac:dyDescent="0.3">
      <c r="A46" s="1442"/>
      <c r="B46" s="1442"/>
      <c r="C46" s="1443"/>
      <c r="D46" s="1442"/>
      <c r="E46" s="2195" t="str">
        <f t="shared" si="6"/>
        <v/>
      </c>
      <c r="F46" s="1445">
        <f t="shared" si="1"/>
        <v>0</v>
      </c>
      <c r="G46" s="1445" t="str">
        <f>IF(E46="","",IF(ISNA(H46),NA(),COUNTIF(Planning!AA:AA,H46)))</f>
        <v/>
      </c>
      <c r="H46" s="1446" t="str">
        <f t="shared" si="5"/>
        <v/>
      </c>
      <c r="I46" s="1444"/>
      <c r="J46" s="1444"/>
      <c r="K46" s="1444"/>
      <c r="L46" s="1444"/>
      <c r="M46" s="1444"/>
      <c r="N46" s="1444"/>
      <c r="O46" s="1444"/>
      <c r="P46" s="1444"/>
      <c r="Q46" s="1444"/>
      <c r="R46" s="1444"/>
      <c r="S46" s="1449">
        <f t="shared" si="3"/>
        <v>0</v>
      </c>
      <c r="T46" s="1449">
        <v>131</v>
      </c>
      <c r="U46" s="1490" t="s">
        <v>830</v>
      </c>
      <c r="V46" s="1450"/>
      <c r="W46" s="1450"/>
      <c r="X46" s="1450"/>
      <c r="Y46" s="1450"/>
      <c r="Z46" s="1450"/>
      <c r="AA46" s="1450"/>
      <c r="AB46" s="1450"/>
      <c r="AC46" s="1450"/>
      <c r="AD46" s="1450"/>
      <c r="AE46" s="1450"/>
      <c r="AF46" s="1450"/>
      <c r="AG46" s="1450"/>
      <c r="AH46" s="1450"/>
      <c r="AI46" s="1450"/>
      <c r="AJ46" s="1450"/>
      <c r="AK46" s="1450"/>
      <c r="AL46" s="1450"/>
      <c r="AM46" s="1450"/>
      <c r="AN46" s="1450"/>
      <c r="AO46" s="1450"/>
      <c r="AP46" s="1450"/>
    </row>
    <row r="47" spans="1:43" ht="15.75" thickBot="1" x14ac:dyDescent="0.3">
      <c r="A47" s="1442"/>
      <c r="B47" s="1442"/>
      <c r="C47" s="1443"/>
      <c r="D47" s="1442"/>
      <c r="E47" s="2195" t="str">
        <f t="shared" si="6"/>
        <v/>
      </c>
      <c r="F47" s="1445">
        <f t="shared" si="1"/>
        <v>0</v>
      </c>
      <c r="G47" s="1445" t="str">
        <f>IF(E47="","",IF(ISNA(H47),NA(),COUNTIF(Planning!AA:AA,H47)))</f>
        <v/>
      </c>
      <c r="H47" s="1446" t="str">
        <f t="shared" si="5"/>
        <v/>
      </c>
      <c r="I47" s="1444"/>
      <c r="J47" s="1444"/>
      <c r="K47" s="1444"/>
      <c r="L47" s="1444"/>
      <c r="M47" s="1444"/>
      <c r="N47" s="1444"/>
      <c r="O47" s="1444"/>
      <c r="P47" s="1444"/>
      <c r="Q47" s="1444"/>
      <c r="R47" s="1444"/>
      <c r="S47" s="1449">
        <f t="shared" si="3"/>
        <v>0</v>
      </c>
      <c r="T47" s="1449">
        <v>131</v>
      </c>
      <c r="U47" s="1490" t="s">
        <v>830</v>
      </c>
      <c r="V47" s="1450"/>
      <c r="W47" s="1450"/>
      <c r="X47" s="1450"/>
      <c r="Y47" s="1450"/>
      <c r="Z47" s="1450"/>
      <c r="AA47" s="1450"/>
      <c r="AB47" s="1450"/>
      <c r="AC47" s="1450"/>
      <c r="AD47" s="1450"/>
      <c r="AE47" s="1450"/>
      <c r="AF47" s="1450"/>
      <c r="AG47" s="1450"/>
      <c r="AH47" s="1450"/>
      <c r="AI47" s="1450"/>
      <c r="AJ47" s="1450"/>
      <c r="AK47" s="1450"/>
      <c r="AL47" s="1450"/>
      <c r="AM47" s="1450"/>
      <c r="AN47" s="1450"/>
      <c r="AO47" s="1450"/>
      <c r="AP47" s="1450"/>
    </row>
    <row r="48" spans="1:43" ht="15.75" thickBot="1" x14ac:dyDescent="0.3">
      <c r="A48" s="1442"/>
      <c r="B48" s="1442"/>
      <c r="C48" s="1443"/>
      <c r="D48" s="1442"/>
      <c r="E48" s="2195" t="str">
        <f t="shared" si="6"/>
        <v/>
      </c>
      <c r="F48" s="1445">
        <f t="shared" si="1"/>
        <v>0</v>
      </c>
      <c r="G48" s="1445" t="str">
        <f>IF(E48="","",IF(ISNA(H48),NA(),COUNTIF(Planning!AA:AA,H48)))</f>
        <v/>
      </c>
      <c r="H48" s="1446" t="str">
        <f t="shared" si="5"/>
        <v/>
      </c>
      <c r="I48" s="1444"/>
      <c r="J48" s="1444"/>
      <c r="K48" s="1444"/>
      <c r="L48" s="1444"/>
      <c r="M48" s="1444"/>
      <c r="N48" s="1444"/>
      <c r="O48" s="1444"/>
      <c r="P48" s="1444"/>
      <c r="Q48" s="1444"/>
      <c r="R48" s="1444"/>
      <c r="S48" s="1449">
        <f t="shared" ref="S48:S66" si="7">COUNTA(I48:R48)</f>
        <v>0</v>
      </c>
      <c r="T48" s="1449">
        <v>131</v>
      </c>
      <c r="U48" s="1490" t="s">
        <v>830</v>
      </c>
      <c r="V48" s="1450"/>
      <c r="W48" s="1450"/>
      <c r="X48" s="1450"/>
      <c r="Y48" s="1450"/>
      <c r="Z48" s="1450"/>
      <c r="AA48" s="1450"/>
      <c r="AB48" s="1450"/>
      <c r="AC48" s="1450"/>
      <c r="AD48" s="1450"/>
      <c r="AE48" s="1450"/>
      <c r="AF48" s="1450"/>
      <c r="AG48" s="1450"/>
      <c r="AH48" s="1450"/>
      <c r="AI48" s="1450"/>
      <c r="AJ48" s="1450"/>
      <c r="AK48" s="1450"/>
      <c r="AL48" s="1450"/>
      <c r="AM48" s="1450"/>
      <c r="AN48" s="1450"/>
      <c r="AO48" s="1450"/>
      <c r="AP48" s="1450"/>
    </row>
    <row r="49" spans="1:42" ht="15.75" thickBot="1" x14ac:dyDescent="0.3">
      <c r="A49" s="1442"/>
      <c r="B49" s="1442"/>
      <c r="C49" s="1443"/>
      <c r="D49" s="1442"/>
      <c r="E49" s="2195" t="str">
        <f t="shared" si="6"/>
        <v/>
      </c>
      <c r="F49" s="1445">
        <f t="shared" si="1"/>
        <v>0</v>
      </c>
      <c r="G49" s="1445" t="str">
        <f>IF(E49="","",IF(ISNA(H49),NA(),COUNTIF(Planning!AA:AA,H49)))</f>
        <v/>
      </c>
      <c r="H49" s="1446" t="str">
        <f t="shared" si="5"/>
        <v/>
      </c>
      <c r="I49" s="1444"/>
      <c r="J49" s="1444"/>
      <c r="K49" s="1444"/>
      <c r="L49" s="1444"/>
      <c r="M49" s="1444"/>
      <c r="N49" s="1444"/>
      <c r="O49" s="1444"/>
      <c r="P49" s="1444"/>
      <c r="Q49" s="1444"/>
      <c r="R49" s="1444"/>
      <c r="S49" s="1449">
        <f t="shared" si="7"/>
        <v>0</v>
      </c>
      <c r="T49" s="1449">
        <v>131</v>
      </c>
      <c r="U49" s="1490" t="s">
        <v>830</v>
      </c>
      <c r="V49" s="1450"/>
      <c r="W49" s="1450"/>
      <c r="X49" s="1450"/>
      <c r="Y49" s="1450"/>
      <c r="Z49" s="1450"/>
      <c r="AA49" s="1450"/>
      <c r="AB49" s="1450"/>
      <c r="AC49" s="1450"/>
      <c r="AD49" s="1450"/>
      <c r="AE49" s="1450"/>
      <c r="AF49" s="1450"/>
      <c r="AG49" s="1450"/>
      <c r="AH49" s="1450"/>
      <c r="AI49" s="1450"/>
      <c r="AJ49" s="1450"/>
      <c r="AK49" s="1450"/>
      <c r="AL49" s="1450"/>
      <c r="AM49" s="1450"/>
      <c r="AN49" s="1450"/>
      <c r="AO49" s="1450"/>
      <c r="AP49" s="1450"/>
    </row>
    <row r="50" spans="1:42" ht="15.75" thickBot="1" x14ac:dyDescent="0.3">
      <c r="A50" s="1442"/>
      <c r="B50" s="1442"/>
      <c r="C50" s="1443"/>
      <c r="D50" s="1442"/>
      <c r="E50" s="2195" t="str">
        <f t="shared" si="6"/>
        <v/>
      </c>
      <c r="F50" s="1445">
        <f t="shared" si="1"/>
        <v>0</v>
      </c>
      <c r="G50" s="1445" t="str">
        <f>IF(E50="","",IF(ISNA(H50),NA(),COUNTIF(Planning!AA:AA,H50)))</f>
        <v/>
      </c>
      <c r="H50" s="1446" t="str">
        <f t="shared" si="5"/>
        <v/>
      </c>
      <c r="I50" s="1444"/>
      <c r="J50" s="1444"/>
      <c r="K50" s="1444"/>
      <c r="L50" s="1444"/>
      <c r="M50" s="1444"/>
      <c r="N50" s="1444"/>
      <c r="O50" s="1444"/>
      <c r="P50" s="1444"/>
      <c r="Q50" s="1444"/>
      <c r="R50" s="1444"/>
      <c r="S50" s="1449">
        <f t="shared" si="7"/>
        <v>0</v>
      </c>
      <c r="T50" s="1449">
        <v>131</v>
      </c>
      <c r="U50" s="1490" t="s">
        <v>830</v>
      </c>
      <c r="V50" s="1450"/>
      <c r="W50" s="1450"/>
      <c r="X50" s="1450"/>
      <c r="Y50" s="1450"/>
      <c r="Z50" s="1450"/>
      <c r="AA50" s="1450"/>
      <c r="AB50" s="1450"/>
      <c r="AC50" s="1450"/>
      <c r="AD50" s="1450"/>
      <c r="AE50" s="1450"/>
      <c r="AF50" s="1450"/>
      <c r="AG50" s="1450"/>
      <c r="AH50" s="1450"/>
      <c r="AI50" s="1450"/>
      <c r="AJ50" s="1450"/>
      <c r="AK50" s="1450"/>
      <c r="AL50" s="1450"/>
      <c r="AM50" s="1450"/>
      <c r="AN50" s="1450"/>
      <c r="AO50" s="1450"/>
      <c r="AP50" s="1450"/>
    </row>
    <row r="51" spans="1:42" ht="15.75" thickBot="1" x14ac:dyDescent="0.3">
      <c r="A51" s="1442"/>
      <c r="B51" s="1442"/>
      <c r="C51" s="1443"/>
      <c r="D51" s="1442"/>
      <c r="E51" s="2195" t="str">
        <f t="shared" si="6"/>
        <v/>
      </c>
      <c r="F51" s="1445">
        <f t="shared" si="1"/>
        <v>0</v>
      </c>
      <c r="G51" s="1445" t="str">
        <f>IF(E51="","",IF(ISNA(H51),NA(),COUNTIF(Planning!AA:AA,H51)))</f>
        <v/>
      </c>
      <c r="H51" s="1446" t="str">
        <f t="shared" si="5"/>
        <v/>
      </c>
      <c r="I51" s="1444"/>
      <c r="J51" s="1444"/>
      <c r="K51" s="1444"/>
      <c r="L51" s="1444"/>
      <c r="M51" s="1444"/>
      <c r="N51" s="1444"/>
      <c r="O51" s="1444"/>
      <c r="P51" s="1444"/>
      <c r="Q51" s="1444"/>
      <c r="R51" s="1444"/>
      <c r="S51" s="1449">
        <f t="shared" si="7"/>
        <v>0</v>
      </c>
      <c r="T51" s="1449">
        <v>131</v>
      </c>
      <c r="U51" s="1490" t="s">
        <v>830</v>
      </c>
      <c r="V51" s="1450"/>
      <c r="W51" s="1450"/>
      <c r="X51" s="1450"/>
      <c r="Y51" s="1450"/>
      <c r="Z51" s="1450"/>
      <c r="AA51" s="1450"/>
      <c r="AB51" s="1450"/>
      <c r="AC51" s="1450"/>
      <c r="AD51" s="1450"/>
      <c r="AE51" s="1450"/>
      <c r="AF51" s="1450"/>
      <c r="AG51" s="1450"/>
      <c r="AH51" s="1450"/>
      <c r="AI51" s="1450"/>
      <c r="AJ51" s="1450"/>
      <c r="AK51" s="1450"/>
      <c r="AL51" s="1450"/>
      <c r="AM51" s="1450"/>
      <c r="AN51" s="1450"/>
      <c r="AO51" s="1450"/>
      <c r="AP51" s="1450"/>
    </row>
    <row r="52" spans="1:42" ht="15.75" thickBot="1" x14ac:dyDescent="0.3">
      <c r="A52" s="1442"/>
      <c r="B52" s="1442"/>
      <c r="C52" s="1443"/>
      <c r="D52" s="1442"/>
      <c r="E52" s="2195" t="str">
        <f t="shared" si="6"/>
        <v/>
      </c>
      <c r="F52" s="1445">
        <f t="shared" si="1"/>
        <v>0</v>
      </c>
      <c r="G52" s="1445" t="str">
        <f>IF(E52="","",IF(ISNA(H52),NA(),COUNTIF(Planning!AA:AA,H52)))</f>
        <v/>
      </c>
      <c r="H52" s="1446" t="str">
        <f t="shared" si="5"/>
        <v/>
      </c>
      <c r="I52" s="1444"/>
      <c r="J52" s="1444"/>
      <c r="K52" s="1444"/>
      <c r="L52" s="1444"/>
      <c r="M52" s="1444"/>
      <c r="N52" s="1444"/>
      <c r="O52" s="1444"/>
      <c r="P52" s="1444"/>
      <c r="Q52" s="1444"/>
      <c r="R52" s="1444"/>
      <c r="S52" s="1449">
        <f t="shared" si="7"/>
        <v>0</v>
      </c>
      <c r="T52" s="1449">
        <v>131</v>
      </c>
      <c r="U52" s="1490" t="s">
        <v>830</v>
      </c>
      <c r="V52" s="1450"/>
      <c r="W52" s="1450"/>
      <c r="X52" s="1450"/>
      <c r="Y52" s="1450"/>
      <c r="Z52" s="1450"/>
      <c r="AA52" s="1450"/>
      <c r="AB52" s="1450"/>
      <c r="AC52" s="1450"/>
      <c r="AD52" s="1450"/>
      <c r="AE52" s="1450"/>
      <c r="AF52" s="1450"/>
      <c r="AG52" s="1450"/>
      <c r="AH52" s="1450"/>
      <c r="AI52" s="1450"/>
      <c r="AJ52" s="1450"/>
      <c r="AK52" s="1450"/>
      <c r="AL52" s="1450"/>
      <c r="AM52" s="1450"/>
      <c r="AN52" s="1450"/>
      <c r="AO52" s="1450"/>
      <c r="AP52" s="1450"/>
    </row>
    <row r="53" spans="1:42" ht="15.75" thickBot="1" x14ac:dyDescent="0.3">
      <c r="A53" s="1442"/>
      <c r="B53" s="1442"/>
      <c r="C53" s="1443"/>
      <c r="D53" s="1442"/>
      <c r="E53" s="2195" t="str">
        <f t="shared" si="6"/>
        <v/>
      </c>
      <c r="F53" s="1445">
        <f t="shared" si="1"/>
        <v>0</v>
      </c>
      <c r="G53" s="1445" t="str">
        <f>IF(E53="","",IF(ISNA(H53),NA(),COUNTIF(Planning!AA:AA,H53)))</f>
        <v/>
      </c>
      <c r="H53" s="1446" t="str">
        <f t="shared" si="5"/>
        <v/>
      </c>
      <c r="I53" s="1444"/>
      <c r="J53" s="1444"/>
      <c r="K53" s="1444"/>
      <c r="L53" s="1444"/>
      <c r="M53" s="1444"/>
      <c r="N53" s="1444"/>
      <c r="O53" s="1444"/>
      <c r="P53" s="1444"/>
      <c r="Q53" s="1444"/>
      <c r="R53" s="1444"/>
      <c r="S53" s="1449">
        <f t="shared" si="7"/>
        <v>0</v>
      </c>
      <c r="T53" s="1449">
        <v>131</v>
      </c>
      <c r="U53" s="1490" t="s">
        <v>830</v>
      </c>
      <c r="V53" s="1450"/>
      <c r="W53" s="1450"/>
      <c r="X53" s="1450"/>
      <c r="Y53" s="1450"/>
      <c r="Z53" s="1450"/>
      <c r="AA53" s="1450"/>
      <c r="AB53" s="1450"/>
      <c r="AC53" s="1450"/>
      <c r="AD53" s="1450"/>
      <c r="AE53" s="1450"/>
      <c r="AF53" s="1450"/>
      <c r="AG53" s="1450"/>
      <c r="AH53" s="1450"/>
      <c r="AI53" s="1450"/>
      <c r="AJ53" s="1450"/>
      <c r="AK53" s="1450"/>
      <c r="AL53" s="1450"/>
      <c r="AM53" s="1450"/>
      <c r="AN53" s="1450"/>
      <c r="AO53" s="1450"/>
      <c r="AP53" s="1450"/>
    </row>
    <row r="54" spans="1:42" ht="15.75" thickBot="1" x14ac:dyDescent="0.3">
      <c r="A54" s="1442"/>
      <c r="B54" s="1442"/>
      <c r="C54" s="1443"/>
      <c r="D54" s="1442"/>
      <c r="E54" s="2195" t="str">
        <f t="shared" si="6"/>
        <v/>
      </c>
      <c r="F54" s="1445">
        <f t="shared" si="1"/>
        <v>0</v>
      </c>
      <c r="G54" s="1445" t="str">
        <f>IF(E54="","",IF(ISNA(H54),NA(),COUNTIF(Planning!AA:AA,H54)))</f>
        <v/>
      </c>
      <c r="H54" s="1446" t="str">
        <f t="shared" si="5"/>
        <v/>
      </c>
      <c r="I54" s="1444"/>
      <c r="J54" s="1444"/>
      <c r="K54" s="1444"/>
      <c r="L54" s="1444"/>
      <c r="M54" s="1444"/>
      <c r="N54" s="1444"/>
      <c r="O54" s="1444"/>
      <c r="P54" s="1444"/>
      <c r="Q54" s="1444"/>
      <c r="R54" s="1444"/>
      <c r="S54" s="1449">
        <f t="shared" si="7"/>
        <v>0</v>
      </c>
      <c r="T54" s="1449">
        <v>131</v>
      </c>
      <c r="U54" s="1490" t="s">
        <v>830</v>
      </c>
      <c r="V54" s="1450"/>
      <c r="W54" s="1450"/>
      <c r="X54" s="1450"/>
      <c r="Y54" s="1450"/>
      <c r="Z54" s="1450"/>
      <c r="AA54" s="1450"/>
      <c r="AB54" s="1450"/>
      <c r="AC54" s="1450"/>
      <c r="AD54" s="1450"/>
      <c r="AE54" s="1450"/>
      <c r="AF54" s="1450"/>
      <c r="AG54" s="1450"/>
      <c r="AH54" s="1450"/>
      <c r="AI54" s="1450"/>
      <c r="AJ54" s="1450"/>
      <c r="AK54" s="1450"/>
      <c r="AL54" s="1450"/>
      <c r="AM54" s="1450"/>
      <c r="AN54" s="1450"/>
      <c r="AO54" s="1450"/>
      <c r="AP54" s="1450"/>
    </row>
    <row r="55" spans="1:42" ht="15.75" thickBot="1" x14ac:dyDescent="0.3">
      <c r="A55" s="1442"/>
      <c r="B55" s="1442"/>
      <c r="C55" s="1443"/>
      <c r="D55" s="1442"/>
      <c r="E55" s="2195" t="str">
        <f t="shared" si="6"/>
        <v/>
      </c>
      <c r="F55" s="1445">
        <f t="shared" si="1"/>
        <v>0</v>
      </c>
      <c r="G55" s="1445" t="str">
        <f>IF(E55="","",IF(ISNA(H55),NA(),COUNTIF(Planning!AA:AA,H55)))</f>
        <v/>
      </c>
      <c r="H55" s="1446" t="str">
        <f t="shared" si="5"/>
        <v/>
      </c>
      <c r="I55" s="1444"/>
      <c r="J55" s="1444"/>
      <c r="K55" s="1444"/>
      <c r="L55" s="1444"/>
      <c r="M55" s="1444"/>
      <c r="N55" s="1444"/>
      <c r="O55" s="1444"/>
      <c r="P55" s="1444"/>
      <c r="Q55" s="1444"/>
      <c r="R55" s="1444"/>
      <c r="S55" s="1449">
        <f t="shared" si="7"/>
        <v>0</v>
      </c>
      <c r="T55" s="1449">
        <v>131</v>
      </c>
      <c r="U55" s="1490" t="s">
        <v>830</v>
      </c>
      <c r="V55" s="1450"/>
      <c r="W55" s="1450"/>
      <c r="X55" s="1450"/>
      <c r="Y55" s="1450"/>
      <c r="Z55" s="1450"/>
      <c r="AA55" s="1450"/>
      <c r="AB55" s="1450"/>
      <c r="AC55" s="1450"/>
      <c r="AD55" s="1450"/>
      <c r="AE55" s="1450"/>
      <c r="AF55" s="1450"/>
      <c r="AG55" s="1450"/>
      <c r="AH55" s="1450"/>
      <c r="AI55" s="1450"/>
      <c r="AJ55" s="1450"/>
      <c r="AK55" s="1450"/>
      <c r="AL55" s="1450"/>
      <c r="AM55" s="1450"/>
      <c r="AN55" s="1450"/>
      <c r="AO55" s="1450"/>
      <c r="AP55" s="1450"/>
    </row>
    <row r="56" spans="1:42" ht="15.75" thickBot="1" x14ac:dyDescent="0.3">
      <c r="A56" s="1442"/>
      <c r="B56" s="1442"/>
      <c r="C56" s="1443"/>
      <c r="D56" s="1442"/>
      <c r="E56" s="2195" t="str">
        <f t="shared" si="6"/>
        <v/>
      </c>
      <c r="F56" s="1445">
        <f t="shared" si="1"/>
        <v>0</v>
      </c>
      <c r="G56" s="1445" t="str">
        <f>IF(E56="","",IF(ISNA(H56),NA(),COUNTIF(Planning!AA:AA,H56)))</f>
        <v/>
      </c>
      <c r="H56" s="1446" t="str">
        <f t="shared" si="5"/>
        <v/>
      </c>
      <c r="I56" s="1444"/>
      <c r="J56" s="1444"/>
      <c r="K56" s="1444"/>
      <c r="L56" s="1444"/>
      <c r="M56" s="1444"/>
      <c r="N56" s="1444"/>
      <c r="O56" s="1444"/>
      <c r="P56" s="1444"/>
      <c r="Q56" s="1444"/>
      <c r="R56" s="1444"/>
      <c r="S56" s="1449">
        <f t="shared" si="7"/>
        <v>0</v>
      </c>
      <c r="T56" s="1449">
        <v>131</v>
      </c>
      <c r="U56" s="1490" t="s">
        <v>830</v>
      </c>
      <c r="V56" s="1450"/>
      <c r="W56" s="1450"/>
      <c r="X56" s="1450"/>
      <c r="Y56" s="1450"/>
      <c r="Z56" s="1450"/>
      <c r="AA56" s="1450"/>
      <c r="AB56" s="1450"/>
      <c r="AC56" s="1450"/>
      <c r="AD56" s="1450"/>
      <c r="AE56" s="1450"/>
      <c r="AF56" s="1450"/>
      <c r="AG56" s="1450"/>
      <c r="AH56" s="1450"/>
      <c r="AI56" s="1450"/>
      <c r="AJ56" s="1450"/>
      <c r="AK56" s="1450"/>
      <c r="AL56" s="1450"/>
      <c r="AM56" s="1450"/>
      <c r="AN56" s="1450"/>
      <c r="AO56" s="1450"/>
      <c r="AP56" s="1450"/>
    </row>
    <row r="57" spans="1:42" ht="15.75" thickBot="1" x14ac:dyDescent="0.3">
      <c r="A57" s="1442"/>
      <c r="B57" s="1442"/>
      <c r="C57" s="1443"/>
      <c r="D57" s="1442"/>
      <c r="E57" s="2195" t="str">
        <f t="shared" si="6"/>
        <v/>
      </c>
      <c r="F57" s="1445">
        <f t="shared" si="1"/>
        <v>0</v>
      </c>
      <c r="G57" s="1445" t="str">
        <f>IF(E57="","",IF(ISNA(H57),NA(),COUNTIF(Planning!AA:AA,H57)))</f>
        <v/>
      </c>
      <c r="H57" s="1446" t="str">
        <f t="shared" si="5"/>
        <v/>
      </c>
      <c r="I57" s="1444"/>
      <c r="J57" s="1444"/>
      <c r="K57" s="1444"/>
      <c r="L57" s="1444"/>
      <c r="M57" s="1444"/>
      <c r="N57" s="1444"/>
      <c r="O57" s="1444"/>
      <c r="P57" s="1444"/>
      <c r="Q57" s="1444"/>
      <c r="R57" s="1444"/>
      <c r="S57" s="1449">
        <f t="shared" si="7"/>
        <v>0</v>
      </c>
      <c r="T57" s="1449">
        <v>131</v>
      </c>
      <c r="U57" s="1490" t="s">
        <v>830</v>
      </c>
      <c r="V57" s="1450"/>
      <c r="W57" s="1450"/>
      <c r="X57" s="1450"/>
      <c r="Y57" s="1450"/>
      <c r="Z57" s="1450"/>
      <c r="AA57" s="1450"/>
      <c r="AB57" s="1450"/>
      <c r="AC57" s="1450"/>
      <c r="AD57" s="1450"/>
      <c r="AE57" s="1450"/>
      <c r="AF57" s="1450"/>
      <c r="AG57" s="1450"/>
      <c r="AH57" s="1450"/>
      <c r="AI57" s="1450"/>
      <c r="AJ57" s="1450"/>
      <c r="AK57" s="1450"/>
      <c r="AL57" s="1450"/>
      <c r="AM57" s="1450"/>
      <c r="AN57" s="1450"/>
      <c r="AO57" s="1450"/>
      <c r="AP57" s="1450"/>
    </row>
    <row r="58" spans="1:42" ht="15.75" thickBot="1" x14ac:dyDescent="0.3">
      <c r="A58" s="1442"/>
      <c r="B58" s="1442"/>
      <c r="C58" s="1443"/>
      <c r="D58" s="1442"/>
      <c r="E58" s="2195" t="str">
        <f t="shared" si="6"/>
        <v/>
      </c>
      <c r="F58" s="1445">
        <f t="shared" si="1"/>
        <v>0</v>
      </c>
      <c r="G58" s="1445" t="str">
        <f>IF(E58="","",IF(ISNA(H58),NA(),COUNTIF(Planning!AA:AA,H58)))</f>
        <v/>
      </c>
      <c r="H58" s="1446" t="str">
        <f t="shared" si="5"/>
        <v/>
      </c>
      <c r="I58" s="1444"/>
      <c r="J58" s="1444"/>
      <c r="K58" s="1444"/>
      <c r="L58" s="1444"/>
      <c r="M58" s="1444"/>
      <c r="N58" s="1444"/>
      <c r="O58" s="1444"/>
      <c r="P58" s="1444"/>
      <c r="Q58" s="1444"/>
      <c r="R58" s="1444"/>
      <c r="S58" s="1449">
        <f t="shared" si="7"/>
        <v>0</v>
      </c>
      <c r="T58" s="1449">
        <v>131</v>
      </c>
      <c r="U58" s="1490" t="s">
        <v>830</v>
      </c>
      <c r="V58" s="1450"/>
      <c r="W58" s="1450"/>
      <c r="X58" s="1450"/>
      <c r="Y58" s="1450"/>
      <c r="Z58" s="1450"/>
      <c r="AA58" s="1450"/>
      <c r="AB58" s="1450"/>
      <c r="AC58" s="1450"/>
      <c r="AD58" s="1450"/>
      <c r="AE58" s="1450"/>
      <c r="AF58" s="1450"/>
      <c r="AG58" s="1450"/>
      <c r="AH58" s="1450"/>
      <c r="AI58" s="1450"/>
      <c r="AJ58" s="1450"/>
      <c r="AK58" s="1450"/>
      <c r="AL58" s="1450"/>
      <c r="AM58" s="1450"/>
      <c r="AN58" s="1450"/>
      <c r="AO58" s="1450"/>
      <c r="AP58" s="1450"/>
    </row>
    <row r="59" spans="1:42" ht="15.75" thickBot="1" x14ac:dyDescent="0.3">
      <c r="A59" s="1442"/>
      <c r="B59" s="1442"/>
      <c r="C59" s="1443"/>
      <c r="D59" s="1442"/>
      <c r="E59" s="2195" t="str">
        <f t="shared" si="6"/>
        <v/>
      </c>
      <c r="F59" s="1445">
        <f t="shared" si="1"/>
        <v>0</v>
      </c>
      <c r="G59" s="1445" t="str">
        <f>IF(E59="","",IF(ISNA(H59),NA(),COUNTIF(Planning!AA:AA,H59)))</f>
        <v/>
      </c>
      <c r="H59" s="1446" t="str">
        <f t="shared" si="5"/>
        <v/>
      </c>
      <c r="I59" s="1444"/>
      <c r="J59" s="1444"/>
      <c r="K59" s="1444"/>
      <c r="L59" s="1444"/>
      <c r="M59" s="1444"/>
      <c r="N59" s="1444"/>
      <c r="O59" s="1444"/>
      <c r="P59" s="1444"/>
      <c r="Q59" s="1444"/>
      <c r="R59" s="1444"/>
      <c r="S59" s="1449">
        <f t="shared" si="7"/>
        <v>0</v>
      </c>
      <c r="T59" s="1449">
        <v>131</v>
      </c>
      <c r="U59" s="1490" t="s">
        <v>830</v>
      </c>
      <c r="V59" s="1450"/>
      <c r="W59" s="1450"/>
      <c r="X59" s="1450"/>
      <c r="Y59" s="1450"/>
      <c r="Z59" s="1450"/>
      <c r="AA59" s="1450"/>
      <c r="AB59" s="1450"/>
      <c r="AC59" s="1450"/>
      <c r="AD59" s="1450"/>
      <c r="AE59" s="1450"/>
      <c r="AF59" s="1450"/>
      <c r="AG59" s="1450"/>
      <c r="AH59" s="1450"/>
      <c r="AI59" s="1450"/>
      <c r="AJ59" s="1450"/>
      <c r="AK59" s="1450"/>
      <c r="AL59" s="1450"/>
      <c r="AM59" s="1450"/>
      <c r="AN59" s="1450"/>
      <c r="AO59" s="1450"/>
      <c r="AP59" s="1450"/>
    </row>
    <row r="60" spans="1:42" ht="15.75" thickBot="1" x14ac:dyDescent="0.3">
      <c r="A60" s="1442"/>
      <c r="B60" s="1442"/>
      <c r="C60" s="1443"/>
      <c r="D60" s="1442"/>
      <c r="E60" s="2195" t="str">
        <f t="shared" si="6"/>
        <v/>
      </c>
      <c r="F60" s="1445">
        <f t="shared" si="1"/>
        <v>0</v>
      </c>
      <c r="G60" s="1445" t="str">
        <f>IF(E60="","",IF(ISNA(H60),NA(),COUNTIF(Planning!AA:AA,H60)))</f>
        <v/>
      </c>
      <c r="H60" s="1446" t="str">
        <f t="shared" si="5"/>
        <v/>
      </c>
      <c r="I60" s="1444"/>
      <c r="J60" s="1444"/>
      <c r="K60" s="1444"/>
      <c r="L60" s="1444"/>
      <c r="M60" s="1444"/>
      <c r="N60" s="1444"/>
      <c r="O60" s="1444"/>
      <c r="P60" s="1444"/>
      <c r="Q60" s="1444"/>
      <c r="R60" s="1444"/>
      <c r="S60" s="1449">
        <f t="shared" si="7"/>
        <v>0</v>
      </c>
      <c r="T60" s="1449">
        <v>131</v>
      </c>
      <c r="U60" s="1490" t="s">
        <v>830</v>
      </c>
      <c r="V60" s="1450"/>
      <c r="W60" s="1450"/>
      <c r="X60" s="1450"/>
      <c r="Y60" s="1450"/>
      <c r="Z60" s="1450"/>
      <c r="AA60" s="1450"/>
      <c r="AB60" s="1450"/>
      <c r="AC60" s="1450"/>
      <c r="AD60" s="1450"/>
      <c r="AE60" s="1450"/>
      <c r="AF60" s="1450"/>
      <c r="AG60" s="1450"/>
      <c r="AH60" s="1450"/>
      <c r="AI60" s="1450"/>
      <c r="AJ60" s="1450"/>
      <c r="AK60" s="1450"/>
      <c r="AL60" s="1450"/>
      <c r="AM60" s="1450"/>
      <c r="AN60" s="1450"/>
      <c r="AO60" s="1450"/>
      <c r="AP60" s="1450"/>
    </row>
    <row r="61" spans="1:42" ht="15.75" thickBot="1" x14ac:dyDescent="0.3">
      <c r="A61" s="1442"/>
      <c r="B61" s="1442"/>
      <c r="C61" s="1443"/>
      <c r="D61" s="1442"/>
      <c r="E61" s="2195" t="str">
        <f t="shared" si="6"/>
        <v/>
      </c>
      <c r="F61" s="1445">
        <f t="shared" si="1"/>
        <v>0</v>
      </c>
      <c r="G61" s="1445" t="str">
        <f>IF(E61="","",IF(ISNA(H61),NA(),COUNTIF(Planning!AA:AA,H61)))</f>
        <v/>
      </c>
      <c r="H61" s="1446" t="str">
        <f t="shared" si="5"/>
        <v/>
      </c>
      <c r="I61" s="1444"/>
      <c r="J61" s="1444"/>
      <c r="K61" s="1444"/>
      <c r="L61" s="1444"/>
      <c r="M61" s="1444"/>
      <c r="N61" s="1444"/>
      <c r="O61" s="1444"/>
      <c r="P61" s="1444"/>
      <c r="Q61" s="1444"/>
      <c r="R61" s="1444"/>
      <c r="S61" s="1449">
        <f t="shared" si="7"/>
        <v>0</v>
      </c>
      <c r="T61" s="1449">
        <v>131</v>
      </c>
      <c r="U61" s="1490" t="s">
        <v>830</v>
      </c>
      <c r="V61" s="1450"/>
      <c r="W61" s="1450"/>
      <c r="X61" s="1450"/>
      <c r="Y61" s="1450"/>
      <c r="Z61" s="1450"/>
      <c r="AA61" s="1450"/>
      <c r="AB61" s="1450"/>
      <c r="AC61" s="1450"/>
      <c r="AD61" s="1450"/>
      <c r="AE61" s="1450"/>
      <c r="AF61" s="1450"/>
      <c r="AG61" s="1450"/>
      <c r="AH61" s="1450"/>
      <c r="AI61" s="1450"/>
      <c r="AJ61" s="1450"/>
      <c r="AK61" s="1450"/>
      <c r="AL61" s="1450"/>
      <c r="AM61" s="1450"/>
      <c r="AN61" s="1450"/>
      <c r="AO61" s="1450"/>
      <c r="AP61" s="1450"/>
    </row>
    <row r="62" spans="1:42" ht="15.75" thickBot="1" x14ac:dyDescent="0.3">
      <c r="A62" s="1442"/>
      <c r="B62" s="1442"/>
      <c r="C62" s="1443"/>
      <c r="D62" s="1442"/>
      <c r="E62" s="2195" t="str">
        <f t="shared" si="6"/>
        <v/>
      </c>
      <c r="F62" s="1445">
        <f t="shared" si="1"/>
        <v>0</v>
      </c>
      <c r="G62" s="1445" t="str">
        <f>IF(E62="","",IF(ISNA(H62),NA(),COUNTIF(Planning!AA:AA,H62)))</f>
        <v/>
      </c>
      <c r="H62" s="1446" t="str">
        <f t="shared" si="5"/>
        <v/>
      </c>
      <c r="I62" s="1444"/>
      <c r="J62" s="1444"/>
      <c r="K62" s="1444"/>
      <c r="L62" s="1444"/>
      <c r="M62" s="1444"/>
      <c r="N62" s="1444"/>
      <c r="O62" s="1444"/>
      <c r="P62" s="1444"/>
      <c r="Q62" s="1444"/>
      <c r="R62" s="1444"/>
      <c r="S62" s="1449">
        <f t="shared" si="7"/>
        <v>0</v>
      </c>
      <c r="T62" s="1449">
        <v>131</v>
      </c>
      <c r="U62" s="1490" t="s">
        <v>830</v>
      </c>
      <c r="V62" s="1450"/>
      <c r="W62" s="1450"/>
      <c r="X62" s="1450"/>
      <c r="Y62" s="1450"/>
      <c r="Z62" s="1450"/>
      <c r="AA62" s="1450"/>
      <c r="AB62" s="1450"/>
      <c r="AC62" s="1450"/>
      <c r="AD62" s="1450"/>
      <c r="AE62" s="1450"/>
      <c r="AF62" s="1450"/>
      <c r="AG62" s="1450"/>
      <c r="AH62" s="1450"/>
      <c r="AI62" s="1450"/>
      <c r="AJ62" s="1450"/>
      <c r="AK62" s="1450"/>
      <c r="AL62" s="1450"/>
      <c r="AM62" s="1450"/>
      <c r="AN62" s="1450"/>
      <c r="AO62" s="1450"/>
      <c r="AP62" s="1450"/>
    </row>
    <row r="63" spans="1:42" ht="15.75" thickBot="1" x14ac:dyDescent="0.3">
      <c r="A63" s="1442"/>
      <c r="B63" s="1442" t="str">
        <f t="shared" ref="B63:B66" si="8">IF(C63="","",VLOOKUP(C63,Licenced_Clubs,3,FALSE))</f>
        <v/>
      </c>
      <c r="C63" s="1443"/>
      <c r="D63" s="1442"/>
      <c r="E63" s="2195" t="str">
        <f t="shared" si="6"/>
        <v/>
      </c>
      <c r="F63" s="1445">
        <f t="shared" si="1"/>
        <v>0</v>
      </c>
      <c r="G63" s="1445" t="str">
        <f>IF(E63="","",IF(ISNA(H63),NA(),COUNTIF(Planning!AA:AA,H63)))</f>
        <v/>
      </c>
      <c r="H63" s="1446" t="str">
        <f t="shared" si="5"/>
        <v/>
      </c>
      <c r="I63" s="1444"/>
      <c r="J63" s="1444"/>
      <c r="K63" s="1444"/>
      <c r="L63" s="1444"/>
      <c r="M63" s="1444"/>
      <c r="N63" s="1444"/>
      <c r="O63" s="1444"/>
      <c r="P63" s="1444"/>
      <c r="Q63" s="1444"/>
      <c r="R63" s="1444"/>
      <c r="S63" s="1449">
        <f t="shared" si="7"/>
        <v>0</v>
      </c>
      <c r="T63" s="1449">
        <v>131</v>
      </c>
      <c r="U63" s="1490" t="s">
        <v>830</v>
      </c>
      <c r="V63" s="1450"/>
      <c r="W63" s="1450"/>
      <c r="X63" s="1450"/>
      <c r="Y63" s="1450"/>
      <c r="Z63" s="1450"/>
      <c r="AA63" s="1450"/>
      <c r="AB63" s="1450"/>
      <c r="AC63" s="1450"/>
      <c r="AD63" s="1450"/>
      <c r="AE63" s="1450"/>
      <c r="AF63" s="1450"/>
      <c r="AG63" s="1450"/>
      <c r="AH63" s="1450"/>
      <c r="AI63" s="1450"/>
      <c r="AJ63" s="1450"/>
      <c r="AK63" s="1450"/>
      <c r="AL63" s="1450"/>
      <c r="AM63" s="1450"/>
      <c r="AN63" s="1450"/>
      <c r="AO63" s="1450"/>
      <c r="AP63" s="1450"/>
    </row>
    <row r="64" spans="1:42" ht="15.75" thickBot="1" x14ac:dyDescent="0.3">
      <c r="A64" s="1442"/>
      <c r="B64" s="1442" t="str">
        <f t="shared" si="8"/>
        <v/>
      </c>
      <c r="C64" s="1443"/>
      <c r="D64" s="1442"/>
      <c r="E64" s="2195" t="str">
        <f t="shared" si="6"/>
        <v/>
      </c>
      <c r="F64" s="1445">
        <f t="shared" si="1"/>
        <v>0</v>
      </c>
      <c r="G64" s="1445" t="str">
        <f>IF(E64="","",IF(ISNA(H64),NA(),COUNTIF(Planning!AA:AA,H64)))</f>
        <v/>
      </c>
      <c r="H64" s="1446" t="str">
        <f t="shared" si="5"/>
        <v/>
      </c>
      <c r="I64" s="1444"/>
      <c r="J64" s="1444"/>
      <c r="K64" s="1444"/>
      <c r="L64" s="1444"/>
      <c r="M64" s="1444"/>
      <c r="N64" s="1444"/>
      <c r="O64" s="1444"/>
      <c r="P64" s="1444"/>
      <c r="Q64" s="1444"/>
      <c r="R64" s="1444"/>
      <c r="S64" s="1449">
        <f t="shared" si="7"/>
        <v>0</v>
      </c>
      <c r="T64" s="1449">
        <v>131</v>
      </c>
      <c r="U64" s="1490" t="s">
        <v>830</v>
      </c>
      <c r="V64" s="1450"/>
      <c r="W64" s="1450"/>
      <c r="X64" s="1450"/>
      <c r="Y64" s="1450"/>
      <c r="Z64" s="1450"/>
      <c r="AA64" s="1450"/>
      <c r="AB64" s="1450"/>
      <c r="AC64" s="1450"/>
      <c r="AD64" s="1450"/>
      <c r="AE64" s="1450"/>
      <c r="AF64" s="1450"/>
      <c r="AG64" s="1450"/>
      <c r="AH64" s="1450"/>
      <c r="AI64" s="1450"/>
      <c r="AJ64" s="1450"/>
      <c r="AK64" s="1450"/>
      <c r="AL64" s="1450"/>
      <c r="AM64" s="1450"/>
      <c r="AN64" s="1450"/>
      <c r="AO64" s="1450"/>
      <c r="AP64" s="1450"/>
    </row>
    <row r="65" spans="1:42" ht="15.75" thickBot="1" x14ac:dyDescent="0.3">
      <c r="A65" s="1442"/>
      <c r="B65" s="1442" t="str">
        <f t="shared" si="8"/>
        <v/>
      </c>
      <c r="C65" s="1443"/>
      <c r="D65" s="1442"/>
      <c r="E65" s="2195" t="str">
        <f t="shared" si="6"/>
        <v/>
      </c>
      <c r="F65" s="1445">
        <f t="shared" ref="F65:F66" si="9">IF(ISNA(VLOOKUP(E65,FullTeamsRankingList,3,FALSE)),9999,VLOOKUP(E65,FullTeamsRankingList,3,FALSE))</f>
        <v>0</v>
      </c>
      <c r="G65" s="1445" t="str">
        <f>IF(E65="","",IF(ISNA(H65),NA(),COUNTIF(Planning!AA:AA,H65)))</f>
        <v/>
      </c>
      <c r="H65" s="1446" t="str">
        <f t="shared" si="5"/>
        <v/>
      </c>
      <c r="I65" s="1444"/>
      <c r="J65" s="1444"/>
      <c r="K65" s="1444"/>
      <c r="L65" s="1444"/>
      <c r="M65" s="1444"/>
      <c r="N65" s="1444"/>
      <c r="O65" s="1444"/>
      <c r="P65" s="1444"/>
      <c r="Q65" s="1444"/>
      <c r="R65" s="1444"/>
      <c r="S65" s="1449">
        <f t="shared" si="7"/>
        <v>0</v>
      </c>
      <c r="T65" s="1449">
        <v>131</v>
      </c>
      <c r="U65" s="1490" t="s">
        <v>830</v>
      </c>
      <c r="V65" s="1450"/>
      <c r="W65" s="1450"/>
      <c r="X65" s="1450"/>
      <c r="Y65" s="1450"/>
      <c r="Z65" s="1450"/>
      <c r="AA65" s="1450"/>
      <c r="AB65" s="1450"/>
      <c r="AC65" s="1450"/>
      <c r="AD65" s="1450"/>
      <c r="AE65" s="1450"/>
      <c r="AF65" s="1450"/>
      <c r="AG65" s="1450"/>
      <c r="AH65" s="1450"/>
      <c r="AI65" s="1450"/>
      <c r="AJ65" s="1450"/>
      <c r="AK65" s="1450"/>
      <c r="AL65" s="1450"/>
      <c r="AM65" s="1450"/>
      <c r="AN65" s="1450"/>
      <c r="AO65" s="1450"/>
      <c r="AP65" s="1450"/>
    </row>
    <row r="66" spans="1:42" ht="15.75" thickBot="1" x14ac:dyDescent="0.3">
      <c r="A66" s="1442"/>
      <c r="B66" s="1442" t="str">
        <f t="shared" si="8"/>
        <v/>
      </c>
      <c r="C66" s="1443"/>
      <c r="D66" s="1442"/>
      <c r="E66" s="2195" t="str">
        <f t="shared" si="6"/>
        <v/>
      </c>
      <c r="F66" s="1445">
        <f t="shared" si="9"/>
        <v>0</v>
      </c>
      <c r="G66" s="1445" t="str">
        <f>IF(E66="","",IF(ISNA(H66),NA(),COUNTIF(Planning!AA:AA,H66)))</f>
        <v/>
      </c>
      <c r="H66" s="1446" t="str">
        <f t="shared" si="5"/>
        <v/>
      </c>
      <c r="I66" s="1444"/>
      <c r="J66" s="1444"/>
      <c r="K66" s="1444"/>
      <c r="L66" s="1444"/>
      <c r="M66" s="1444"/>
      <c r="N66" s="1444"/>
      <c r="O66" s="1444"/>
      <c r="P66" s="1444"/>
      <c r="Q66" s="1444"/>
      <c r="R66" s="1444"/>
      <c r="S66" s="1449">
        <f t="shared" si="7"/>
        <v>0</v>
      </c>
      <c r="T66" s="1449">
        <v>131</v>
      </c>
      <c r="U66" s="1490" t="s">
        <v>830</v>
      </c>
      <c r="V66" s="1450"/>
      <c r="W66" s="1450"/>
      <c r="X66" s="1450"/>
      <c r="Y66" s="1450"/>
      <c r="Z66" s="1450"/>
      <c r="AA66" s="1450"/>
      <c r="AB66" s="1450"/>
      <c r="AC66" s="1450"/>
      <c r="AD66" s="1450"/>
      <c r="AE66" s="1450"/>
      <c r="AF66" s="1450"/>
      <c r="AG66" s="1450"/>
      <c r="AH66" s="1450"/>
      <c r="AI66" s="1450"/>
      <c r="AJ66" s="1450"/>
      <c r="AK66" s="1450"/>
      <c r="AL66" s="1450"/>
      <c r="AM66" s="1450"/>
      <c r="AN66" s="1450"/>
      <c r="AO66" s="1450"/>
      <c r="AP66" s="1450"/>
    </row>
    <row r="67" spans="1:42" ht="15.75" thickBot="1" x14ac:dyDescent="0.3">
      <c r="A67" s="1442"/>
      <c r="B67" s="1442" t="str">
        <f t="shared" ref="B67" si="10">IF(C67="","",VLOOKUP(C67,Licenced_Clubs,3,FALSE))</f>
        <v/>
      </c>
      <c r="C67" s="1443"/>
      <c r="D67" s="1442"/>
      <c r="E67" s="2195" t="str">
        <f t="shared" si="0"/>
        <v/>
      </c>
      <c r="F67" s="1445">
        <f t="shared" ref="F67" si="11">IF(ISNA(VLOOKUP(E67,FullTeamsRankingList,3,FALSE)),9999,VLOOKUP(E67,FullTeamsRankingList,3,FALSE))</f>
        <v>0</v>
      </c>
      <c r="G67" s="1445" t="str">
        <f>IF(E67="","",IF(ISNA(H67),NA(),COUNTIF(Planning!AA:AA,H67)))</f>
        <v/>
      </c>
      <c r="H67" s="1446" t="str">
        <f t="shared" si="2"/>
        <v/>
      </c>
      <c r="I67" s="1444"/>
      <c r="J67" s="1444"/>
      <c r="K67" s="1444"/>
      <c r="L67" s="1444"/>
      <c r="M67" s="1444"/>
      <c r="N67" s="1444"/>
      <c r="O67" s="1444"/>
      <c r="P67" s="1444"/>
      <c r="Q67" s="1444"/>
      <c r="R67" s="1444"/>
      <c r="S67" s="1449">
        <f t="shared" si="3"/>
        <v>0</v>
      </c>
      <c r="T67" s="1449">
        <v>131</v>
      </c>
      <c r="U67" s="1490" t="s">
        <v>830</v>
      </c>
      <c r="V67" s="1450"/>
      <c r="W67" s="1450"/>
      <c r="X67" s="1450"/>
      <c r="Y67" s="1450"/>
      <c r="Z67" s="1450"/>
      <c r="AA67" s="1450"/>
      <c r="AB67" s="1450"/>
      <c r="AC67" s="1450"/>
      <c r="AD67" s="1450"/>
      <c r="AE67" s="1450"/>
      <c r="AF67" s="1450"/>
      <c r="AG67" s="1450"/>
      <c r="AH67" s="1450"/>
      <c r="AI67" s="1450"/>
      <c r="AJ67" s="1450"/>
      <c r="AK67" s="1450"/>
      <c r="AL67" s="1450"/>
      <c r="AM67" s="1450"/>
      <c r="AN67" s="1450"/>
      <c r="AO67" s="1450"/>
      <c r="AP67" s="1450"/>
    </row>
    <row r="68" spans="1:42" x14ac:dyDescent="0.2">
      <c r="S68" s="1"/>
      <c r="T68">
        <v>0</v>
      </c>
      <c r="U68">
        <v>0</v>
      </c>
      <c r="V68" s="1450"/>
      <c r="W68" s="1450"/>
      <c r="X68" s="1450"/>
      <c r="Y68" s="1450"/>
      <c r="Z68" s="1450"/>
      <c r="AA68" s="1450"/>
      <c r="AB68" s="1450"/>
      <c r="AC68" s="1450"/>
      <c r="AD68" s="1450"/>
      <c r="AE68" s="1450"/>
      <c r="AF68" s="1450"/>
      <c r="AG68" s="1450"/>
      <c r="AH68" s="1450"/>
      <c r="AI68" s="1450"/>
      <c r="AJ68" s="1450"/>
      <c r="AK68" s="1450"/>
      <c r="AL68" s="1450"/>
    </row>
  </sheetData>
  <sheetProtection sheet="1" objects="1" scenarios="1" selectLockedCells="1"/>
  <autoFilter ref="A3:U3" xr:uid="{00000000-0009-0000-0000-00000A000000}"/>
  <sortState xmlns:xlrd2="http://schemas.microsoft.com/office/spreadsheetml/2017/richdata2" columnSort="1" ref="I67:R67">
    <sortCondition ref="I67:R67"/>
  </sortState>
  <dataConsolidate/>
  <customSheetViews>
    <customSheetView guid="{13F24B0A-7740-483A-BEF7-5257F8522605}" scale="85" showGridLines="0" fitToPage="1" showAutoFilter="1" hiddenRows="1" state="hidden">
      <selection activeCell="AQ34" sqref="AQ34"/>
      <pageMargins left="0.78740157480314965" right="0.78740157480314965" top="0.98425196850393704" bottom="0.98425196850393704" header="0.51181102362204722" footer="0.51181102362204722"/>
      <printOptions horizontalCentered="1"/>
      <pageSetup paperSize="9" scale="25" orientation="landscape" r:id="rId1"/>
      <headerFooter alignWithMargins="0"/>
      <autoFilter ref="A3:U3" xr:uid="{69DD20BA-A27C-4CFF-A2F7-6B5EF5B0C7C5}"/>
    </customSheetView>
  </customSheetViews>
  <phoneticPr fontId="0" type="noConversion"/>
  <dataValidations count="5">
    <dataValidation type="list" allowBlank="1" showInputMessage="1" sqref="A4:A67" xr:uid="{2D9C9013-698B-4751-9BE8-9113E20FACC9}">
      <formula1>List_Categories</formula1>
    </dataValidation>
    <dataValidation type="list" allowBlank="1" showInputMessage="1" showErrorMessage="1" sqref="C4:C67" xr:uid="{D82DB524-E13B-4733-A691-CC9424428403}">
      <formula1>Liste_Clubs</formula1>
    </dataValidation>
    <dataValidation type="list" allowBlank="1" showInputMessage="1" sqref="B4:B67" xr:uid="{7BAB3235-D5F8-4E20-B1A3-6E98CB162EC1}">
      <formula1>Nationalities</formula1>
    </dataValidation>
    <dataValidation type="list" allowBlank="1" showInputMessage="1" sqref="D4:D67" xr:uid="{5BD9B845-037A-4752-84AB-606FFBED64DE}">
      <formula1>"A,B,C,D,E,F"</formula1>
    </dataValidation>
    <dataValidation type="list" allowBlank="1" showInputMessage="1" sqref="I4:R67" xr:uid="{3C8C8A3D-3919-47DC-BF4C-AF56C8E5B424}">
      <formula1>OFFSET(List_headers,1,MATCH($A4,List_headers,0)-1,OFFSET(List_headers,-1,MATCH($A4,List_headers,0)-1,1,1)+1,1)</formula1>
    </dataValidation>
  </dataValidations>
  <printOptions horizontalCentered="1"/>
  <pageMargins left="0.78740157480314965" right="0.78740157480314965" top="0.98425196850393704" bottom="0.98425196850393704" header="0.51181102362204722" footer="0.51181102362204722"/>
  <pageSetup paperSize="9" scale="25" orientation="landscape"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_Doubles">
    <tabColor rgb="FF66FFFF"/>
  </sheetPr>
  <dimension ref="A1:O18"/>
  <sheetViews>
    <sheetView showGridLines="0" workbookViewId="0">
      <selection activeCell="J14" sqref="J14"/>
    </sheetView>
  </sheetViews>
  <sheetFormatPr baseColWidth="10" defaultColWidth="11.42578125" defaultRowHeight="12.75" x14ac:dyDescent="0.2"/>
  <cols>
    <col min="1" max="1" width="11.42578125" style="7" customWidth="1"/>
    <col min="2" max="2" width="27.140625" style="7" bestFit="1" customWidth="1"/>
    <col min="3" max="3" width="23.85546875" style="7" bestFit="1" customWidth="1"/>
    <col min="4" max="4" width="22.42578125" style="7" customWidth="1"/>
    <col min="5" max="5" width="17.7109375" style="7" bestFit="1" customWidth="1"/>
    <col min="6" max="6" width="3.28515625" style="7" customWidth="1"/>
    <col min="7" max="7" width="6.7109375" style="7" customWidth="1"/>
    <col min="8" max="8" width="4.140625" style="7" customWidth="1"/>
    <col min="9" max="12" width="11.42578125" style="7" customWidth="1"/>
    <col min="13" max="13" width="8.7109375" style="7" hidden="1" customWidth="1"/>
    <col min="14" max="14" width="9.140625" style="7" customWidth="1"/>
    <col min="15" max="15" width="2" style="7" customWidth="1"/>
    <col min="16" max="16384" width="11.42578125" style="7"/>
  </cols>
  <sheetData>
    <row r="1" spans="1:15" ht="36" thickBot="1" x14ac:dyDescent="0.55000000000000004">
      <c r="A1" s="833"/>
      <c r="B1" s="2266" t="str">
        <f>N_DoubleCheckin</f>
        <v>Enregistrement des doubles</v>
      </c>
      <c r="C1" s="2266"/>
      <c r="D1" s="2266"/>
      <c r="E1" s="2266"/>
      <c r="F1" s="1852"/>
      <c r="G1" s="1397"/>
      <c r="H1" s="1397"/>
      <c r="I1" s="1397"/>
      <c r="J1" s="1397"/>
      <c r="K1" s="1397"/>
      <c r="L1" s="1397"/>
      <c r="M1" s="1397"/>
      <c r="N1" s="1397"/>
      <c r="O1" s="1397"/>
    </row>
    <row r="2" spans="1:15" ht="15.75" x14ac:dyDescent="0.25">
      <c r="A2" s="763"/>
      <c r="B2" s="1884"/>
      <c r="C2" s="2280"/>
      <c r="D2" s="2280"/>
      <c r="E2" s="2281"/>
      <c r="F2" s="8"/>
      <c r="G2" s="1397"/>
      <c r="H2" s="1397"/>
      <c r="I2" s="1397"/>
      <c r="J2" s="1397"/>
      <c r="K2" s="1397"/>
      <c r="L2" s="1397"/>
      <c r="M2" s="1397"/>
      <c r="N2" s="1397"/>
      <c r="O2" s="1397"/>
    </row>
    <row r="3" spans="1:15" ht="30.75" thickBot="1" x14ac:dyDescent="0.3">
      <c r="A3" s="759" t="str">
        <f>N_Event_Type</f>
        <v>Type de l'épreuve</v>
      </c>
      <c r="B3" s="1885" t="str">
        <f>N_Nom_double</f>
        <v>Nom double</v>
      </c>
      <c r="C3" s="2278" t="str">
        <f>N_Joueurs</f>
        <v>Joueurs</v>
      </c>
      <c r="D3" s="2278"/>
      <c r="E3" s="2279"/>
      <c r="F3" s="8"/>
      <c r="G3" s="1397"/>
      <c r="H3" s="1397"/>
      <c r="I3" s="1397"/>
      <c r="J3" s="1397"/>
      <c r="K3" s="1397"/>
      <c r="L3" s="1397"/>
      <c r="M3" s="1450" t="str">
        <f>N_Nb_Team_Members</f>
        <v>Nb équipiers</v>
      </c>
      <c r="N3" s="1397"/>
      <c r="O3" s="1397"/>
    </row>
    <row r="4" spans="1:15" ht="15.75" thickBot="1" x14ac:dyDescent="0.3">
      <c r="A4" s="1881" t="str">
        <f>Event7</f>
        <v>D1</v>
      </c>
      <c r="B4" s="1882"/>
      <c r="C4" s="1883"/>
      <c r="D4" s="1883"/>
      <c r="E4" s="1883"/>
      <c r="F4"/>
      <c r="G4" s="1397"/>
      <c r="H4" s="1397"/>
      <c r="I4" s="1397"/>
      <c r="J4" s="1397"/>
      <c r="K4" s="1397"/>
      <c r="L4" s="1397"/>
      <c r="M4" s="1450">
        <f t="shared" ref="M4:M9" si="0">COUNTA(C4:L4)</f>
        <v>0</v>
      </c>
      <c r="N4" s="1397"/>
      <c r="O4" s="1397"/>
    </row>
    <row r="5" spans="1:15" ht="15.75" thickBot="1" x14ac:dyDescent="0.3">
      <c r="A5" s="452" t="str">
        <f t="shared" ref="A5:A9" si="1">Event7</f>
        <v>D1</v>
      </c>
      <c r="B5" s="451"/>
      <c r="C5" s="437"/>
      <c r="D5" s="437"/>
      <c r="E5" s="437"/>
      <c r="F5"/>
      <c r="G5" s="1397"/>
      <c r="H5" s="1397"/>
      <c r="I5" s="1397"/>
      <c r="J5" s="1397"/>
      <c r="K5" s="1397"/>
      <c r="L5" s="1397"/>
      <c r="M5" s="1450">
        <f t="shared" si="0"/>
        <v>0</v>
      </c>
      <c r="N5" s="1397"/>
      <c r="O5" s="1397"/>
    </row>
    <row r="6" spans="1:15" ht="15.75" thickBot="1" x14ac:dyDescent="0.3">
      <c r="A6" s="452" t="str">
        <f t="shared" si="1"/>
        <v>D1</v>
      </c>
      <c r="B6" s="995"/>
      <c r="C6" s="437"/>
      <c r="D6" s="437"/>
      <c r="E6" s="437"/>
      <c r="F6"/>
      <c r="G6" s="1397"/>
      <c r="H6" s="1397"/>
      <c r="I6" s="1397"/>
      <c r="J6" s="1397"/>
      <c r="K6" s="1397"/>
      <c r="L6" s="1397"/>
      <c r="M6" s="1450">
        <f t="shared" si="0"/>
        <v>0</v>
      </c>
      <c r="N6" s="1397"/>
      <c r="O6" s="1397"/>
    </row>
    <row r="7" spans="1:15" ht="15.75" thickBot="1" x14ac:dyDescent="0.3">
      <c r="A7" s="452" t="str">
        <f t="shared" si="1"/>
        <v>D1</v>
      </c>
      <c r="B7" s="451"/>
      <c r="C7" s="437"/>
      <c r="D7" s="437"/>
      <c r="E7" s="437"/>
      <c r="F7"/>
      <c r="G7" s="1397"/>
      <c r="H7" s="1397"/>
      <c r="I7" s="1397"/>
      <c r="J7" s="1397"/>
      <c r="K7" s="1397"/>
      <c r="L7" s="1397"/>
      <c r="M7" s="1450">
        <f t="shared" si="0"/>
        <v>0</v>
      </c>
      <c r="N7" s="1397"/>
      <c r="O7" s="1397"/>
    </row>
    <row r="8" spans="1:15" ht="15.75" thickBot="1" x14ac:dyDescent="0.3">
      <c r="A8" s="452" t="str">
        <f t="shared" si="1"/>
        <v>D1</v>
      </c>
      <c r="B8" s="995"/>
      <c r="C8" s="437"/>
      <c r="D8" s="437"/>
      <c r="E8" s="437"/>
      <c r="F8"/>
      <c r="G8" s="1397"/>
      <c r="H8" s="1397"/>
      <c r="I8" s="1397"/>
      <c r="J8" s="1397"/>
      <c r="K8" s="1397"/>
      <c r="L8" s="1397"/>
      <c r="M8" s="1450">
        <f t="shared" si="0"/>
        <v>0</v>
      </c>
      <c r="N8" s="1397"/>
      <c r="O8" s="1397"/>
    </row>
    <row r="9" spans="1:15" ht="15.75" thickBot="1" x14ac:dyDescent="0.3">
      <c r="A9" s="452" t="str">
        <f t="shared" si="1"/>
        <v>D1</v>
      </c>
      <c r="B9" s="451"/>
      <c r="C9" s="437"/>
      <c r="D9" s="437"/>
      <c r="E9" s="437"/>
      <c r="F9"/>
      <c r="G9" s="1397"/>
      <c r="H9" s="1397"/>
      <c r="I9" s="1397"/>
      <c r="J9" s="1397"/>
      <c r="K9" s="1397"/>
      <c r="L9" s="1397"/>
      <c r="M9" s="1450">
        <f t="shared" si="0"/>
        <v>0</v>
      </c>
      <c r="N9" s="1397"/>
      <c r="O9" s="1397"/>
    </row>
    <row r="10" spans="1:15" ht="15.75" thickBot="1" x14ac:dyDescent="0.3">
      <c r="A10" s="452"/>
      <c r="B10" s="451"/>
      <c r="C10" s="437"/>
      <c r="D10" s="437"/>
      <c r="E10" s="437"/>
      <c r="F10"/>
      <c r="G10" s="1397"/>
      <c r="H10" s="1397"/>
      <c r="I10" s="1397"/>
      <c r="J10" s="1397"/>
      <c r="K10" s="1397"/>
      <c r="L10" s="1397"/>
      <c r="M10" s="1450">
        <f t="shared" ref="M10:M16" si="2">COUNTA(C10:L10)</f>
        <v>0</v>
      </c>
      <c r="N10" s="1397"/>
      <c r="O10" s="1397"/>
    </row>
    <row r="11" spans="1:15" ht="15.75" thickBot="1" x14ac:dyDescent="0.3">
      <c r="A11" s="452"/>
      <c r="B11" s="451"/>
      <c r="C11" s="437"/>
      <c r="D11" s="437"/>
      <c r="E11" s="437"/>
      <c r="F11"/>
      <c r="G11" s="1397"/>
      <c r="H11" s="1397"/>
      <c r="I11" s="1397"/>
      <c r="J11" s="1397"/>
      <c r="K11" s="1397"/>
      <c r="L11" s="1397"/>
      <c r="M11" s="1450">
        <f t="shared" si="2"/>
        <v>0</v>
      </c>
      <c r="N11" s="1397"/>
      <c r="O11" s="1397"/>
    </row>
    <row r="12" spans="1:15" ht="15.75" thickBot="1" x14ac:dyDescent="0.3">
      <c r="A12" s="452"/>
      <c r="B12" s="451"/>
      <c r="C12" s="437"/>
      <c r="D12" s="437"/>
      <c r="E12" s="437"/>
      <c r="F12"/>
      <c r="G12" s="1397"/>
      <c r="H12" s="1397"/>
      <c r="I12" s="1397"/>
      <c r="J12" s="1397"/>
      <c r="K12" s="1397"/>
      <c r="L12" s="1397"/>
      <c r="M12" s="1450">
        <f t="shared" si="2"/>
        <v>0</v>
      </c>
      <c r="N12" s="1397"/>
      <c r="O12" s="1397"/>
    </row>
    <row r="13" spans="1:15" ht="15.75" thickBot="1" x14ac:dyDescent="0.3">
      <c r="A13" s="452"/>
      <c r="B13" s="451"/>
      <c r="C13" s="437"/>
      <c r="D13" s="437"/>
      <c r="E13" s="437"/>
      <c r="F13"/>
      <c r="G13" s="1397"/>
      <c r="H13" s="1397"/>
      <c r="I13" s="1397"/>
      <c r="J13" s="1397"/>
      <c r="K13" s="1397"/>
      <c r="L13" s="1397"/>
      <c r="M13" s="1450">
        <f t="shared" si="2"/>
        <v>0</v>
      </c>
      <c r="N13" s="1397"/>
      <c r="O13" s="1397"/>
    </row>
    <row r="14" spans="1:15" ht="15.75" thickBot="1" x14ac:dyDescent="0.3">
      <c r="A14" s="452"/>
      <c r="B14" s="451"/>
      <c r="C14" s="437"/>
      <c r="D14" s="437"/>
      <c r="E14" s="437"/>
      <c r="F14"/>
      <c r="G14" s="1397"/>
      <c r="H14" s="1397"/>
      <c r="I14" s="1397"/>
      <c r="J14" s="1397"/>
      <c r="K14" s="1397"/>
      <c r="L14" s="1397"/>
      <c r="M14" s="1450">
        <f t="shared" si="2"/>
        <v>0</v>
      </c>
      <c r="N14" s="1397"/>
      <c r="O14" s="1397"/>
    </row>
    <row r="15" spans="1:15" ht="15.75" thickBot="1" x14ac:dyDescent="0.3">
      <c r="A15" s="452"/>
      <c r="B15" s="451"/>
      <c r="C15" s="437"/>
      <c r="D15" s="437"/>
      <c r="E15" s="437"/>
      <c r="F15"/>
      <c r="G15" s="1397"/>
      <c r="H15" s="1397"/>
      <c r="I15" s="1397"/>
      <c r="J15" s="1397"/>
      <c r="K15" s="1397"/>
      <c r="L15" s="1397"/>
      <c r="M15" s="1450">
        <f t="shared" si="2"/>
        <v>0</v>
      </c>
      <c r="N15" s="1397"/>
      <c r="O15" s="1397"/>
    </row>
    <row r="16" spans="1:15" ht="15.75" thickBot="1" x14ac:dyDescent="0.3">
      <c r="A16" s="452"/>
      <c r="B16" s="451"/>
      <c r="C16" s="437"/>
      <c r="D16" s="437"/>
      <c r="E16" s="437"/>
      <c r="F16"/>
      <c r="G16" s="1397"/>
      <c r="H16" s="1397"/>
      <c r="I16" s="1397"/>
      <c r="J16" s="1397"/>
      <c r="K16" s="1397"/>
      <c r="L16" s="1397"/>
      <c r="M16" s="1450">
        <f t="shared" si="2"/>
        <v>0</v>
      </c>
      <c r="N16" s="1397"/>
      <c r="O16" s="1397"/>
    </row>
    <row r="17" spans="1:15" ht="15.75" thickBot="1" x14ac:dyDescent="0.3">
      <c r="A17" s="452"/>
      <c r="B17" s="451"/>
      <c r="C17" s="437"/>
      <c r="D17" s="437"/>
      <c r="E17" s="437"/>
      <c r="F17"/>
      <c r="G17" s="1397"/>
      <c r="H17" s="1397"/>
      <c r="I17" s="1397"/>
      <c r="J17" s="1397"/>
      <c r="K17" s="1397"/>
      <c r="L17" s="1397"/>
      <c r="M17" s="1450">
        <f>COUNTA(C17:L17)</f>
        <v>0</v>
      </c>
      <c r="N17" s="1397"/>
      <c r="O17" s="1397"/>
    </row>
    <row r="18" spans="1:15" x14ac:dyDescent="0.2">
      <c r="A18"/>
      <c r="B18"/>
      <c r="C18"/>
      <c r="D18"/>
      <c r="E18"/>
      <c r="F18"/>
      <c r="G18" s="1397"/>
      <c r="H18" s="1397"/>
      <c r="I18" s="1397"/>
      <c r="J18" s="1397"/>
      <c r="K18" s="1397"/>
      <c r="L18" s="1397"/>
      <c r="M18" s="1397"/>
      <c r="N18" s="1397"/>
      <c r="O18" s="1397"/>
    </row>
  </sheetData>
  <sheetProtection formatColumns="0" formatRows="0" selectLockedCells="1" sort="0" autoFilter="0"/>
  <dataConsolidate/>
  <customSheetViews>
    <customSheetView guid="{13F24B0A-7740-483A-BEF7-5257F8522605}" showGridLines="0" hiddenColumns="1" topLeftCell="E4">
      <selection activeCell="J14" sqref="J14"/>
      <pageMargins left="0.7" right="0.7" top="0.75" bottom="0.75" header="0.3" footer="0.3"/>
      <pageSetup paperSize="9" orientation="portrait" r:id="rId1"/>
    </customSheetView>
  </customSheetViews>
  <mergeCells count="3">
    <mergeCell ref="C3:E3"/>
    <mergeCell ref="C2:E2"/>
    <mergeCell ref="B1:E1"/>
  </mergeCells>
  <phoneticPr fontId="0" type="noConversion"/>
  <dataValidations count="10">
    <dataValidation type="list" allowBlank="1" showInputMessage="1" showErrorMessage="1" sqref="C4:E9" xr:uid="{00000000-0002-0000-0B00-000000000000}">
      <formula1>OFFSET(List_headers,1,MATCH($A4,List_headers,0)-1,OFFSET(List_headers,-1,MATCH($A4,List_headers,0)-1,1,1)+1,1)</formula1>
    </dataValidation>
    <dataValidation type="list" allowBlank="1" showInputMessage="1" showErrorMessage="1" sqref="E10 C11:D11" xr:uid="{00000000-0002-0000-0B00-000001000000}">
      <formula1>OFFSET(List_headers,1,MATCH($A8,List_headers,0)-1,OFFSET(List_headers,-1,MATCH($A8,List_headers,0)-1,1,1)+1,1)</formula1>
    </dataValidation>
    <dataValidation type="list" allowBlank="1" showInputMessage="1" showErrorMessage="1" sqref="C10:D10" xr:uid="{00000000-0002-0000-0B00-000002000000}">
      <formula1>OFFSET(List_headers,1,MATCH($A9,List_headers,0)-1,OFFSET(List_headers,-1,MATCH($A9,List_headers,0)-1,1,1)+1,1)</formula1>
    </dataValidation>
    <dataValidation type="list" allowBlank="1" showInputMessage="1" showErrorMessage="1" sqref="E11 C12:D12" xr:uid="{00000000-0002-0000-0B00-000003000000}">
      <formula1>OFFSET(List_headers,1,MATCH($A8,List_headers,0)-1,OFFSET(List_headers,-1,MATCH($A8,List_headers,0)-1,1,1)+1,1)</formula1>
    </dataValidation>
    <dataValidation type="list" allowBlank="1" showInputMessage="1" showErrorMessage="1" sqref="E12 C13:D13" xr:uid="{00000000-0002-0000-0B00-000004000000}">
      <formula1>OFFSET(List_headers,1,MATCH($A8,List_headers,0)-1,OFFSET(List_headers,-1,MATCH($A8,List_headers,0)-1,1,1)+1,1)</formula1>
    </dataValidation>
    <dataValidation type="list" allowBlank="1" showInputMessage="1" showErrorMessage="1" sqref="E13 C14:D14" xr:uid="{00000000-0002-0000-0B00-000005000000}">
      <formula1>OFFSET(List_headers,1,MATCH($A8,List_headers,0)-1,OFFSET(List_headers,-1,MATCH($A8,List_headers,0)-1,1,1)+1,1)</formula1>
    </dataValidation>
    <dataValidation type="list" allowBlank="1" showInputMessage="1" showErrorMessage="1" sqref="E14 C15:D15" xr:uid="{00000000-0002-0000-0B00-000006000000}">
      <formula1>OFFSET(List_headers,1,MATCH($A8,List_headers,0)-1,OFFSET(List_headers,-1,MATCH($A8,List_headers,0)-1,1,1)+1,1)</formula1>
    </dataValidation>
    <dataValidation type="list" allowBlank="1" showInputMessage="1" showErrorMessage="1" sqref="C16:D17 E15" xr:uid="{00000000-0002-0000-0B00-000007000000}">
      <formula1>OFFSET(List_headers,1,MATCH($A8,List_headers,0)-1,OFFSET(List_headers,-1,MATCH($A8,List_headers,0)-1,1,1)+1,1)</formula1>
    </dataValidation>
    <dataValidation type="list" allowBlank="1" showInputMessage="1" showErrorMessage="1" sqref="E16:E17" xr:uid="{00000000-0002-0000-0B00-000008000000}">
      <formula1>OFFSET(List_headers,1,MATCH($A8,List_headers,0)-1,OFFSET(List_headers,-1,MATCH($A8,List_headers,0)-1,1,1)+1,1)</formula1>
    </dataValidation>
    <dataValidation type="list" allowBlank="1" showInputMessage="1" sqref="A4:A17" xr:uid="{00000000-0002-0000-0B00-000009000000}">
      <formula1>List_Categories</formula1>
    </dataValidation>
  </dataValidation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_Lists">
    <tabColor rgb="FF66FFFF"/>
    <outlinePr summaryBelow="0"/>
    <pageSetUpPr fitToPage="1"/>
  </sheetPr>
  <dimension ref="A1:R500"/>
  <sheetViews>
    <sheetView showGridLines="0" showOutlineSymbols="0" workbookViewId="0">
      <pane ySplit="5" topLeftCell="A6" activePane="bottomLeft" state="frozen"/>
      <selection activeCell="B8" sqref="B8"/>
      <selection pane="bottomLeft" activeCell="S5" sqref="S5"/>
    </sheetView>
  </sheetViews>
  <sheetFormatPr baseColWidth="10" defaultColWidth="11.42578125" defaultRowHeight="12.75" x14ac:dyDescent="0.2"/>
  <cols>
    <col min="1" max="1" width="2.7109375" style="1397" customWidth="1"/>
    <col min="2" max="2" width="26.42578125" style="1397" bestFit="1" customWidth="1" collapsed="1"/>
    <col min="3" max="3" width="22.140625" style="1397" bestFit="1" customWidth="1" collapsed="1"/>
    <col min="4" max="4" width="26.42578125" style="1397" bestFit="1" customWidth="1" collapsed="1"/>
    <col min="5" max="5" width="21.5703125" style="1397" bestFit="1" customWidth="1" collapsed="1"/>
    <col min="6" max="6" width="20.85546875" style="1397" bestFit="1" customWidth="1" collapsed="1"/>
    <col min="7" max="7" width="23.7109375" style="1397" bestFit="1" customWidth="1" collapsed="1"/>
    <col min="8" max="8" width="24.140625" style="1397" bestFit="1" customWidth="1" collapsed="1"/>
    <col min="9" max="9" width="19.7109375" style="1397" bestFit="1" customWidth="1" collapsed="1"/>
    <col min="10" max="14" width="12" style="1397" bestFit="1" customWidth="1" collapsed="1"/>
    <col min="15" max="15" width="19" style="1397" bestFit="1" customWidth="1" collapsed="1"/>
    <col min="16" max="16" width="19" style="1397" customWidth="1"/>
    <col min="17" max="17" width="26.42578125" style="1397" bestFit="1" customWidth="1"/>
    <col min="18" max="18" width="4.7109375" style="1397" customWidth="1"/>
    <col min="19" max="16384" width="11.42578125" style="1397"/>
  </cols>
  <sheetData>
    <row r="1" spans="1:18" ht="35.25" x14ac:dyDescent="0.5">
      <c r="A1" s="1852"/>
      <c r="B1" s="2266" t="str">
        <f>N_ListsSheet</f>
        <v>Listes des joueurs après l'enregistrement</v>
      </c>
      <c r="C1" s="2266"/>
      <c r="D1" s="2266"/>
      <c r="E1" s="2266"/>
      <c r="F1" s="2266"/>
      <c r="G1" s="2266"/>
      <c r="H1" s="2266"/>
      <c r="I1" s="2266"/>
      <c r="J1" s="2266"/>
      <c r="K1" s="2266"/>
      <c r="L1" s="2266"/>
      <c r="M1" s="2266"/>
      <c r="N1" s="2266"/>
      <c r="O1" s="2266"/>
      <c r="P1" s="2266"/>
      <c r="Q1" s="2266"/>
      <c r="R1" s="7"/>
    </row>
    <row r="2" spans="1:18" ht="18.75" x14ac:dyDescent="0.3">
      <c r="A2" s="1886"/>
      <c r="B2" s="2282" t="str">
        <f>N_ListsMessage</f>
        <v>ATTENTION de ne pas faire de modifications dans cette feuille ! Eviter également les actions de formatage.</v>
      </c>
      <c r="C2" s="2282"/>
      <c r="D2" s="2282"/>
      <c r="E2" s="2282"/>
      <c r="F2" s="2282"/>
      <c r="G2" s="2282"/>
      <c r="H2" s="2282"/>
      <c r="I2" s="2282"/>
      <c r="J2" s="2282"/>
      <c r="K2" s="2282"/>
      <c r="L2" s="2282"/>
      <c r="M2" s="2282"/>
      <c r="N2" s="2282"/>
      <c r="O2" s="2282"/>
      <c r="P2" s="2282"/>
      <c r="Q2" s="2282"/>
      <c r="R2" s="267"/>
    </row>
    <row r="3" spans="1:18" ht="13.5" customHeight="1" thickBot="1" x14ac:dyDescent="0.25">
      <c r="A3" s="267"/>
      <c r="B3" s="2283"/>
      <c r="C3" s="2283"/>
      <c r="D3" s="2283"/>
      <c r="E3" s="2283"/>
      <c r="F3" s="2283"/>
      <c r="G3" s="2283"/>
      <c r="H3" s="2283"/>
      <c r="I3" s="2283"/>
      <c r="J3" s="2283"/>
      <c r="K3" s="2283"/>
      <c r="L3" s="2283"/>
      <c r="M3" s="2283"/>
      <c r="N3" s="2283"/>
      <c r="O3" s="2283"/>
      <c r="P3" s="2283"/>
      <c r="Q3" s="2283"/>
      <c r="R3" s="267"/>
    </row>
    <row r="4" spans="1:18" ht="13.5" thickBot="1" x14ac:dyDescent="0.25">
      <c r="A4" s="7"/>
      <c r="B4" s="1452">
        <v>56</v>
      </c>
      <c r="C4" s="1452">
        <v>0</v>
      </c>
      <c r="D4" s="1452">
        <v>0</v>
      </c>
      <c r="E4" s="1452">
        <v>0</v>
      </c>
      <c r="F4" s="1452">
        <v>0</v>
      </c>
      <c r="G4" s="1452">
        <v>0</v>
      </c>
      <c r="H4" s="1452">
        <v>0</v>
      </c>
      <c r="I4" s="1452">
        <v>16</v>
      </c>
      <c r="J4" s="1452">
        <v>16</v>
      </c>
      <c r="K4" s="1452">
        <v>16</v>
      </c>
      <c r="L4" s="1452">
        <v>8</v>
      </c>
      <c r="M4" s="1452">
        <v>0</v>
      </c>
      <c r="N4" s="1452">
        <v>0</v>
      </c>
      <c r="O4" s="1452">
        <v>0</v>
      </c>
      <c r="P4" s="2213">
        <v>0</v>
      </c>
      <c r="Q4" s="1452">
        <v>56</v>
      </c>
      <c r="R4" s="1454"/>
    </row>
    <row r="5" spans="1:18" ht="13.5" thickBot="1" x14ac:dyDescent="0.25">
      <c r="A5" s="1454"/>
      <c r="B5" s="1453" t="str">
        <f>CheckIn!G5</f>
        <v>Referee</v>
      </c>
      <c r="C5" s="1453" t="str">
        <f>CheckIn!H5</f>
        <v>Open</v>
      </c>
      <c r="D5" s="1453" t="str">
        <f>CheckIn!I5</f>
        <v>Veterans</v>
      </c>
      <c r="E5" s="1453" t="str">
        <f>CheckIn!J5</f>
        <v>Women</v>
      </c>
      <c r="F5" s="1453" t="str">
        <f>CheckIn!K5</f>
        <v>U20</v>
      </c>
      <c r="G5" s="1453" t="str">
        <f>CheckIn!L5</f>
        <v>U16</v>
      </c>
      <c r="H5" s="1453" t="str">
        <f>CheckIn!M5</f>
        <v>U12</v>
      </c>
      <c r="I5" s="1453" t="str">
        <f>CheckIn!N5</f>
        <v>D1</v>
      </c>
      <c r="J5" s="1453" t="str">
        <f>CheckIn!O5</f>
        <v>D2</v>
      </c>
      <c r="K5" s="1453" t="str">
        <f>CheckIn!P5</f>
        <v>D3</v>
      </c>
      <c r="L5" s="1453" t="str">
        <f>CheckIn!Q5</f>
        <v>D4</v>
      </c>
      <c r="M5" s="1453" t="str">
        <f>CheckIn!R5</f>
        <v>___</v>
      </c>
      <c r="N5" s="1453" t="str">
        <f>CheckIn!S5</f>
        <v>___</v>
      </c>
      <c r="O5" s="1453" t="str">
        <f>CheckIn!T5</f>
        <v>___</v>
      </c>
      <c r="P5" s="1453" t="str">
        <f>CheckIn!U5</f>
        <v>___</v>
      </c>
      <c r="Q5" s="1453" t="str">
        <f>N_Joueurs</f>
        <v>Joueurs</v>
      </c>
      <c r="R5" s="1454"/>
    </row>
    <row r="6" spans="1:18" x14ac:dyDescent="0.2">
      <c r="A6" s="267"/>
      <c r="B6" s="267" t="s">
        <v>18224</v>
      </c>
      <c r="C6" s="267" t="str">
        <f>WithdrawLabel</f>
        <v>[---Forfait---]</v>
      </c>
      <c r="D6" s="267" t="str">
        <f>WithdrawLabel</f>
        <v>[---Forfait---]</v>
      </c>
      <c r="E6" s="267" t="str">
        <f>WithdrawLabel</f>
        <v>[---Forfait---]</v>
      </c>
      <c r="F6" s="267" t="str">
        <f>WithdrawLabel</f>
        <v>[---Forfait---]</v>
      </c>
      <c r="G6" s="267" t="str">
        <f>WithdrawLabel</f>
        <v>[---Forfait---]</v>
      </c>
      <c r="H6" s="267" t="str">
        <f>WithdrawLabel</f>
        <v>[---Forfait---]</v>
      </c>
      <c r="I6" s="267" t="s">
        <v>18224</v>
      </c>
      <c r="J6" s="267" t="s">
        <v>18273</v>
      </c>
      <c r="K6" s="267" t="s">
        <v>18320</v>
      </c>
      <c r="L6" s="267" t="s">
        <v>18368</v>
      </c>
      <c r="M6" s="267" t="str">
        <f>WithdrawLabel</f>
        <v>[---Forfait---]</v>
      </c>
      <c r="N6" s="267" t="str">
        <f>WithdrawLabel</f>
        <v>[---Forfait---]</v>
      </c>
      <c r="O6" s="267" t="str">
        <f>WithdrawLabel</f>
        <v>[---Forfait---]</v>
      </c>
      <c r="P6" s="267" t="str">
        <f>WithdrawLabel</f>
        <v>[---Forfait---]</v>
      </c>
      <c r="Q6" s="267" t="s">
        <v>18224</v>
      </c>
      <c r="R6" s="267"/>
    </row>
    <row r="7" spans="1:18" x14ac:dyDescent="0.2">
      <c r="A7" s="267"/>
      <c r="B7" s="267" t="s">
        <v>18228</v>
      </c>
      <c r="C7" s="267"/>
      <c r="D7" s="267"/>
      <c r="E7" s="267"/>
      <c r="F7" s="267"/>
      <c r="G7" s="267"/>
      <c r="H7" s="267"/>
      <c r="I7" s="267" t="s">
        <v>18228</v>
      </c>
      <c r="J7" s="267" t="s">
        <v>18275</v>
      </c>
      <c r="K7" s="267" t="s">
        <v>18323</v>
      </c>
      <c r="L7" s="267" t="s">
        <v>18371</v>
      </c>
      <c r="M7" s="267"/>
      <c r="N7" s="267"/>
      <c r="O7" s="267"/>
      <c r="P7" s="267"/>
      <c r="Q7" s="267" t="s">
        <v>18228</v>
      </c>
      <c r="R7" s="267"/>
    </row>
    <row r="8" spans="1:18" x14ac:dyDescent="0.2">
      <c r="A8" s="267"/>
      <c r="B8" s="267" t="s">
        <v>18231</v>
      </c>
      <c r="C8" s="267"/>
      <c r="D8" s="267"/>
      <c r="E8" s="267"/>
      <c r="F8" s="267"/>
      <c r="G8" s="267"/>
      <c r="H8" s="267"/>
      <c r="I8" s="267" t="s">
        <v>18231</v>
      </c>
      <c r="J8" s="267" t="s">
        <v>18278</v>
      </c>
      <c r="K8" s="267" t="s">
        <v>18326</v>
      </c>
      <c r="L8" s="267" t="s">
        <v>18374</v>
      </c>
      <c r="M8" s="267"/>
      <c r="N8" s="267"/>
      <c r="O8" s="267"/>
      <c r="P8" s="267"/>
      <c r="Q8" s="267" t="s">
        <v>18231</v>
      </c>
      <c r="R8" s="267"/>
    </row>
    <row r="9" spans="1:18" x14ac:dyDescent="0.2">
      <c r="A9" s="267"/>
      <c r="B9" s="267" t="s">
        <v>18234</v>
      </c>
      <c r="C9" s="267"/>
      <c r="D9" s="267"/>
      <c r="E9" s="267"/>
      <c r="F9" s="267"/>
      <c r="G9" s="267"/>
      <c r="H9" s="267"/>
      <c r="I9" s="267" t="s">
        <v>18234</v>
      </c>
      <c r="J9" s="267" t="s">
        <v>18281</v>
      </c>
      <c r="K9" s="267" t="s">
        <v>18329</v>
      </c>
      <c r="L9" s="267" t="s">
        <v>18377</v>
      </c>
      <c r="M9" s="267"/>
      <c r="N9" s="267"/>
      <c r="O9" s="267"/>
      <c r="P9" s="267"/>
      <c r="Q9" s="267" t="s">
        <v>18234</v>
      </c>
      <c r="R9" s="267"/>
    </row>
    <row r="10" spans="1:18" x14ac:dyDescent="0.2">
      <c r="A10" s="267"/>
      <c r="B10" s="267" t="s">
        <v>18237</v>
      </c>
      <c r="C10" s="267"/>
      <c r="D10" s="267"/>
      <c r="E10" s="267"/>
      <c r="F10" s="267"/>
      <c r="G10" s="267"/>
      <c r="H10" s="267"/>
      <c r="I10" s="267" t="s">
        <v>18237</v>
      </c>
      <c r="J10" s="267" t="s">
        <v>18284</v>
      </c>
      <c r="K10" s="267" t="s">
        <v>18332</v>
      </c>
      <c r="L10" s="267" t="s">
        <v>18380</v>
      </c>
      <c r="M10" s="267"/>
      <c r="N10" s="267"/>
      <c r="O10" s="267"/>
      <c r="P10" s="267"/>
      <c r="Q10" s="267" t="s">
        <v>18237</v>
      </c>
      <c r="R10" s="267"/>
    </row>
    <row r="11" spans="1:18" x14ac:dyDescent="0.2">
      <c r="A11" s="267"/>
      <c r="B11" s="267" t="s">
        <v>18240</v>
      </c>
      <c r="C11" s="267"/>
      <c r="D11" s="267"/>
      <c r="E11" s="267"/>
      <c r="F11" s="267"/>
      <c r="G11" s="267"/>
      <c r="H11" s="267"/>
      <c r="I11" s="267" t="s">
        <v>18240</v>
      </c>
      <c r="J11" s="267" t="s">
        <v>18287</v>
      </c>
      <c r="K11" s="267" t="s">
        <v>18335</v>
      </c>
      <c r="L11" s="267" t="s">
        <v>18383</v>
      </c>
      <c r="M11" s="267"/>
      <c r="N11" s="267"/>
      <c r="O11" s="267"/>
      <c r="P11" s="267"/>
      <c r="Q11" s="267" t="s">
        <v>18240</v>
      </c>
      <c r="R11" s="267"/>
    </row>
    <row r="12" spans="1:18" x14ac:dyDescent="0.2">
      <c r="A12" s="267"/>
      <c r="B12" s="267" t="s">
        <v>18243</v>
      </c>
      <c r="C12" s="267"/>
      <c r="D12" s="267"/>
      <c r="E12" s="267"/>
      <c r="F12" s="267"/>
      <c r="G12" s="267"/>
      <c r="H12" s="267"/>
      <c r="I12" s="267" t="s">
        <v>18243</v>
      </c>
      <c r="J12" s="267" t="s">
        <v>18290</v>
      </c>
      <c r="K12" s="267" t="s">
        <v>18338</v>
      </c>
      <c r="L12" s="267" t="s">
        <v>18386</v>
      </c>
      <c r="M12" s="267"/>
      <c r="N12" s="267"/>
      <c r="O12" s="267"/>
      <c r="P12" s="267"/>
      <c r="Q12" s="267" t="s">
        <v>18243</v>
      </c>
      <c r="R12" s="267"/>
    </row>
    <row r="13" spans="1:18" x14ac:dyDescent="0.2">
      <c r="A13" s="267"/>
      <c r="B13" s="267" t="s">
        <v>18246</v>
      </c>
      <c r="C13" s="267"/>
      <c r="D13" s="267"/>
      <c r="E13" s="267"/>
      <c r="F13" s="267"/>
      <c r="G13" s="267"/>
      <c r="H13" s="267"/>
      <c r="I13" s="267" t="s">
        <v>18246</v>
      </c>
      <c r="J13" s="267" t="s">
        <v>18293</v>
      </c>
      <c r="K13" s="267" t="s">
        <v>18341</v>
      </c>
      <c r="L13" s="267" t="s">
        <v>18389</v>
      </c>
      <c r="M13" s="267"/>
      <c r="N13" s="267"/>
      <c r="O13" s="267"/>
      <c r="P13" s="267"/>
      <c r="Q13" s="267" t="s">
        <v>18246</v>
      </c>
      <c r="R13" s="267"/>
    </row>
    <row r="14" spans="1:18" x14ac:dyDescent="0.2">
      <c r="A14" s="267"/>
      <c r="B14" s="267" t="s">
        <v>18249</v>
      </c>
      <c r="C14" s="267"/>
      <c r="D14" s="267"/>
      <c r="E14" s="267"/>
      <c r="F14" s="267"/>
      <c r="G14" s="267"/>
      <c r="H14" s="267"/>
      <c r="I14" s="267" t="s">
        <v>18249</v>
      </c>
      <c r="J14" s="267" t="s">
        <v>18296</v>
      </c>
      <c r="K14" s="267" t="s">
        <v>18344</v>
      </c>
      <c r="L14" s="267" t="str">
        <f>WithdrawLabel</f>
        <v>[---Forfait---]</v>
      </c>
      <c r="M14" s="267"/>
      <c r="N14" s="267"/>
      <c r="O14" s="267"/>
      <c r="P14" s="267"/>
      <c r="Q14" s="267" t="s">
        <v>18249</v>
      </c>
      <c r="R14" s="267"/>
    </row>
    <row r="15" spans="1:18" x14ac:dyDescent="0.2">
      <c r="A15" s="267"/>
      <c r="B15" s="267" t="s">
        <v>18252</v>
      </c>
      <c r="C15" s="267"/>
      <c r="D15" s="267"/>
      <c r="E15" s="267"/>
      <c r="F15" s="267"/>
      <c r="G15" s="267"/>
      <c r="H15" s="267"/>
      <c r="I15" s="267" t="s">
        <v>18252</v>
      </c>
      <c r="J15" s="267" t="s">
        <v>18299</v>
      </c>
      <c r="K15" s="267" t="s">
        <v>18347</v>
      </c>
      <c r="L15" s="267"/>
      <c r="M15" s="267"/>
      <c r="N15" s="267"/>
      <c r="O15" s="267"/>
      <c r="P15" s="267"/>
      <c r="Q15" s="267" t="s">
        <v>18252</v>
      </c>
      <c r="R15" s="267"/>
    </row>
    <row r="16" spans="1:18" x14ac:dyDescent="0.2">
      <c r="A16" s="267"/>
      <c r="B16" s="267" t="s">
        <v>18255</v>
      </c>
      <c r="C16" s="267"/>
      <c r="D16" s="267"/>
      <c r="E16" s="267"/>
      <c r="F16" s="267"/>
      <c r="G16" s="267"/>
      <c r="H16" s="267"/>
      <c r="I16" s="267" t="s">
        <v>18255</v>
      </c>
      <c r="J16" s="267" t="s">
        <v>18302</v>
      </c>
      <c r="K16" s="267" t="s">
        <v>18350</v>
      </c>
      <c r="L16" s="267"/>
      <c r="M16" s="267"/>
      <c r="N16" s="267"/>
      <c r="O16" s="267"/>
      <c r="P16" s="267"/>
      <c r="Q16" s="267" t="s">
        <v>18255</v>
      </c>
      <c r="R16" s="267"/>
    </row>
    <row r="17" spans="1:18" x14ac:dyDescent="0.2">
      <c r="A17" s="267"/>
      <c r="B17" s="267" t="s">
        <v>18258</v>
      </c>
      <c r="C17" s="267"/>
      <c r="D17" s="267"/>
      <c r="E17" s="267"/>
      <c r="F17" s="267"/>
      <c r="G17" s="267"/>
      <c r="H17" s="267"/>
      <c r="I17" s="267" t="s">
        <v>18258</v>
      </c>
      <c r="J17" s="267" t="s">
        <v>18305</v>
      </c>
      <c r="K17" s="267" t="s">
        <v>18353</v>
      </c>
      <c r="L17" s="267"/>
      <c r="M17" s="267"/>
      <c r="N17" s="267"/>
      <c r="O17" s="267"/>
      <c r="P17" s="267"/>
      <c r="Q17" s="267" t="s">
        <v>18258</v>
      </c>
      <c r="R17" s="267"/>
    </row>
    <row r="18" spans="1:18" x14ac:dyDescent="0.2">
      <c r="A18" s="267"/>
      <c r="B18" s="267" t="s">
        <v>18261</v>
      </c>
      <c r="C18" s="267"/>
      <c r="D18" s="267"/>
      <c r="E18" s="267"/>
      <c r="F18" s="267"/>
      <c r="G18" s="267"/>
      <c r="H18" s="267"/>
      <c r="I18" s="267" t="s">
        <v>18261</v>
      </c>
      <c r="J18" s="267" t="s">
        <v>18308</v>
      </c>
      <c r="K18" s="267" t="s">
        <v>18356</v>
      </c>
      <c r="L18" s="267"/>
      <c r="M18" s="267"/>
      <c r="N18" s="267"/>
      <c r="O18" s="267"/>
      <c r="P18" s="267"/>
      <c r="Q18" s="267" t="s">
        <v>18261</v>
      </c>
      <c r="R18" s="267"/>
    </row>
    <row r="19" spans="1:18" x14ac:dyDescent="0.2">
      <c r="A19" s="267"/>
      <c r="B19" s="267" t="s">
        <v>18264</v>
      </c>
      <c r="C19" s="267"/>
      <c r="D19" s="267"/>
      <c r="E19" s="267"/>
      <c r="F19" s="267"/>
      <c r="G19" s="267"/>
      <c r="H19" s="267"/>
      <c r="I19" s="267" t="s">
        <v>18264</v>
      </c>
      <c r="J19" s="267" t="s">
        <v>18311</v>
      </c>
      <c r="K19" s="267" t="s">
        <v>18358</v>
      </c>
      <c r="L19" s="267"/>
      <c r="M19" s="267"/>
      <c r="N19" s="267"/>
      <c r="O19" s="267"/>
      <c r="P19" s="267"/>
      <c r="Q19" s="267" t="s">
        <v>18264</v>
      </c>
      <c r="R19" s="267"/>
    </row>
    <row r="20" spans="1:18" x14ac:dyDescent="0.2">
      <c r="A20" s="267"/>
      <c r="B20" s="267" t="s">
        <v>18267</v>
      </c>
      <c r="C20" s="267"/>
      <c r="D20" s="267"/>
      <c r="E20" s="267"/>
      <c r="F20" s="267"/>
      <c r="G20" s="267"/>
      <c r="H20" s="267"/>
      <c r="I20" s="267" t="s">
        <v>18267</v>
      </c>
      <c r="J20" s="267" t="s">
        <v>18314</v>
      </c>
      <c r="K20" s="267" t="s">
        <v>18362</v>
      </c>
      <c r="L20" s="267"/>
      <c r="M20" s="267"/>
      <c r="N20" s="267"/>
      <c r="O20" s="267"/>
      <c r="P20" s="267"/>
      <c r="Q20" s="267" t="s">
        <v>18267</v>
      </c>
      <c r="R20" s="267"/>
    </row>
    <row r="21" spans="1:18" x14ac:dyDescent="0.2">
      <c r="A21" s="267"/>
      <c r="B21" s="267" t="s">
        <v>18270</v>
      </c>
      <c r="C21" s="267"/>
      <c r="D21" s="267"/>
      <c r="E21" s="267"/>
      <c r="F21" s="267"/>
      <c r="G21" s="267"/>
      <c r="H21" s="267"/>
      <c r="I21" s="267" t="s">
        <v>18270</v>
      </c>
      <c r="J21" s="267" t="s">
        <v>18318</v>
      </c>
      <c r="K21" s="267" t="s">
        <v>18365</v>
      </c>
      <c r="L21" s="267"/>
      <c r="M21" s="267"/>
      <c r="N21" s="267"/>
      <c r="O21" s="267"/>
      <c r="P21" s="267"/>
      <c r="Q21" s="267" t="s">
        <v>18270</v>
      </c>
      <c r="R21" s="267"/>
    </row>
    <row r="22" spans="1:18" x14ac:dyDescent="0.2">
      <c r="A22" s="267"/>
      <c r="B22" s="267" t="s">
        <v>18273</v>
      </c>
      <c r="C22" s="267"/>
      <c r="D22" s="267"/>
      <c r="E22" s="267"/>
      <c r="F22" s="267"/>
      <c r="G22" s="267"/>
      <c r="H22" s="267"/>
      <c r="I22" s="267" t="str">
        <f>WithdrawLabel</f>
        <v>[---Forfait---]</v>
      </c>
      <c r="J22" s="267" t="str">
        <f>WithdrawLabel</f>
        <v>[---Forfait---]</v>
      </c>
      <c r="K22" s="267" t="str">
        <f>WithdrawLabel</f>
        <v>[---Forfait---]</v>
      </c>
      <c r="L22" s="267"/>
      <c r="M22" s="267"/>
      <c r="N22" s="267"/>
      <c r="O22" s="267"/>
      <c r="P22" s="267"/>
      <c r="Q22" s="267" t="s">
        <v>18273</v>
      </c>
      <c r="R22" s="267"/>
    </row>
    <row r="23" spans="1:18" x14ac:dyDescent="0.2">
      <c r="A23" s="267"/>
      <c r="B23" s="267" t="s">
        <v>18275</v>
      </c>
      <c r="C23" s="267"/>
      <c r="D23" s="267"/>
      <c r="E23" s="267"/>
      <c r="F23" s="267"/>
      <c r="G23" s="267"/>
      <c r="H23" s="267"/>
      <c r="I23" s="267"/>
      <c r="J23" s="267"/>
      <c r="K23" s="267"/>
      <c r="L23" s="267"/>
      <c r="M23" s="267"/>
      <c r="N23" s="267"/>
      <c r="O23" s="267"/>
      <c r="P23" s="267"/>
      <c r="Q23" s="267" t="s">
        <v>18275</v>
      </c>
      <c r="R23" s="267"/>
    </row>
    <row r="24" spans="1:18" x14ac:dyDescent="0.2">
      <c r="A24" s="267"/>
      <c r="B24" s="267" t="s">
        <v>18278</v>
      </c>
      <c r="C24" s="267"/>
      <c r="D24" s="267"/>
      <c r="E24" s="267"/>
      <c r="F24" s="267"/>
      <c r="G24" s="267"/>
      <c r="H24" s="267"/>
      <c r="I24" s="267"/>
      <c r="J24" s="267"/>
      <c r="K24" s="267"/>
      <c r="L24" s="267"/>
      <c r="M24" s="267"/>
      <c r="N24" s="267"/>
      <c r="O24" s="267"/>
      <c r="P24" s="267"/>
      <c r="Q24" s="267" t="s">
        <v>18278</v>
      </c>
      <c r="R24" s="267"/>
    </row>
    <row r="25" spans="1:18" x14ac:dyDescent="0.2">
      <c r="A25" s="267"/>
      <c r="B25" s="267" t="s">
        <v>18281</v>
      </c>
      <c r="C25" s="267"/>
      <c r="D25" s="267"/>
      <c r="E25" s="267"/>
      <c r="F25" s="267"/>
      <c r="G25" s="267"/>
      <c r="H25" s="267"/>
      <c r="I25" s="267"/>
      <c r="J25" s="267"/>
      <c r="K25" s="267"/>
      <c r="L25" s="267"/>
      <c r="M25" s="267"/>
      <c r="N25" s="267"/>
      <c r="O25" s="267"/>
      <c r="P25" s="267"/>
      <c r="Q25" s="267" t="s">
        <v>18281</v>
      </c>
      <c r="R25" s="267"/>
    </row>
    <row r="26" spans="1:18" x14ac:dyDescent="0.2">
      <c r="A26" s="267"/>
      <c r="B26" s="267" t="s">
        <v>18284</v>
      </c>
      <c r="C26" s="267"/>
      <c r="D26" s="267"/>
      <c r="E26" s="267"/>
      <c r="F26" s="267"/>
      <c r="G26" s="267"/>
      <c r="H26" s="267"/>
      <c r="I26" s="267"/>
      <c r="J26" s="267"/>
      <c r="K26" s="267"/>
      <c r="L26" s="267"/>
      <c r="M26" s="267"/>
      <c r="N26" s="267"/>
      <c r="O26" s="267"/>
      <c r="P26" s="267"/>
      <c r="Q26" s="267" t="s">
        <v>18284</v>
      </c>
      <c r="R26" s="267"/>
    </row>
    <row r="27" spans="1:18" x14ac:dyDescent="0.2">
      <c r="A27" s="267"/>
      <c r="B27" s="267" t="s">
        <v>18287</v>
      </c>
      <c r="C27" s="267"/>
      <c r="D27" s="267"/>
      <c r="E27" s="267"/>
      <c r="F27" s="267"/>
      <c r="G27" s="267"/>
      <c r="H27" s="267"/>
      <c r="I27" s="267"/>
      <c r="J27" s="267"/>
      <c r="K27" s="267"/>
      <c r="L27" s="267"/>
      <c r="M27" s="267"/>
      <c r="N27" s="267"/>
      <c r="O27" s="267"/>
      <c r="P27" s="267"/>
      <c r="Q27" s="267" t="s">
        <v>18287</v>
      </c>
      <c r="R27" s="267"/>
    </row>
    <row r="28" spans="1:18" x14ac:dyDescent="0.2">
      <c r="A28" s="267"/>
      <c r="B28" s="267" t="s">
        <v>18290</v>
      </c>
      <c r="C28" s="267"/>
      <c r="D28" s="267"/>
      <c r="E28" s="267"/>
      <c r="F28" s="267"/>
      <c r="G28" s="267"/>
      <c r="H28" s="267"/>
      <c r="I28" s="267"/>
      <c r="J28" s="267"/>
      <c r="K28" s="267"/>
      <c r="L28" s="267"/>
      <c r="M28" s="267"/>
      <c r="N28" s="267"/>
      <c r="O28" s="267"/>
      <c r="P28" s="267"/>
      <c r="Q28" s="267" t="s">
        <v>18290</v>
      </c>
      <c r="R28" s="267"/>
    </row>
    <row r="29" spans="1:18" x14ac:dyDescent="0.2">
      <c r="A29" s="267"/>
      <c r="B29" s="267" t="s">
        <v>18293</v>
      </c>
      <c r="C29" s="267"/>
      <c r="D29" s="267"/>
      <c r="E29" s="267"/>
      <c r="F29" s="267"/>
      <c r="G29" s="267"/>
      <c r="H29" s="267"/>
      <c r="I29" s="267"/>
      <c r="J29" s="267"/>
      <c r="K29" s="267"/>
      <c r="L29" s="267"/>
      <c r="M29" s="267"/>
      <c r="N29" s="267"/>
      <c r="O29" s="267"/>
      <c r="P29" s="267"/>
      <c r="Q29" s="267" t="s">
        <v>18293</v>
      </c>
      <c r="R29" s="267"/>
    </row>
    <row r="30" spans="1:18" x14ac:dyDescent="0.2">
      <c r="A30" s="267"/>
      <c r="B30" s="267" t="s">
        <v>18296</v>
      </c>
      <c r="C30" s="267"/>
      <c r="D30" s="267"/>
      <c r="E30" s="267"/>
      <c r="F30" s="267"/>
      <c r="G30" s="267"/>
      <c r="H30" s="267"/>
      <c r="I30" s="267"/>
      <c r="J30" s="267"/>
      <c r="K30" s="267"/>
      <c r="L30" s="267"/>
      <c r="M30" s="267"/>
      <c r="N30" s="267"/>
      <c r="O30" s="267"/>
      <c r="P30" s="267"/>
      <c r="Q30" s="267" t="s">
        <v>18296</v>
      </c>
      <c r="R30" s="267"/>
    </row>
    <row r="31" spans="1:18" x14ac:dyDescent="0.2">
      <c r="A31" s="267"/>
      <c r="B31" s="267" t="s">
        <v>18299</v>
      </c>
      <c r="C31" s="267"/>
      <c r="D31" s="267"/>
      <c r="E31" s="267"/>
      <c r="F31" s="267"/>
      <c r="G31" s="267"/>
      <c r="H31" s="267"/>
      <c r="I31" s="267"/>
      <c r="J31" s="267"/>
      <c r="K31" s="267"/>
      <c r="L31" s="267"/>
      <c r="M31" s="267"/>
      <c r="N31" s="267"/>
      <c r="O31" s="267"/>
      <c r="P31" s="267"/>
      <c r="Q31" s="267" t="s">
        <v>18299</v>
      </c>
      <c r="R31" s="267"/>
    </row>
    <row r="32" spans="1:18" x14ac:dyDescent="0.2">
      <c r="A32" s="267"/>
      <c r="B32" s="267" t="s">
        <v>18302</v>
      </c>
      <c r="C32" s="267"/>
      <c r="D32" s="267"/>
      <c r="E32" s="267"/>
      <c r="F32" s="267"/>
      <c r="G32" s="267"/>
      <c r="H32" s="267"/>
      <c r="I32" s="267"/>
      <c r="J32" s="267"/>
      <c r="K32" s="267"/>
      <c r="L32" s="267"/>
      <c r="M32" s="267"/>
      <c r="N32" s="267"/>
      <c r="O32" s="267"/>
      <c r="P32" s="267"/>
      <c r="Q32" s="267" t="s">
        <v>18302</v>
      </c>
      <c r="R32" s="267"/>
    </row>
    <row r="33" spans="1:18" x14ac:dyDescent="0.2">
      <c r="A33" s="267"/>
      <c r="B33" s="267" t="s">
        <v>18305</v>
      </c>
      <c r="C33" s="267"/>
      <c r="D33" s="267"/>
      <c r="E33" s="267"/>
      <c r="F33" s="267"/>
      <c r="G33" s="267"/>
      <c r="H33" s="267"/>
      <c r="I33" s="267"/>
      <c r="J33" s="267"/>
      <c r="K33" s="267"/>
      <c r="L33" s="267"/>
      <c r="M33" s="267"/>
      <c r="N33" s="267"/>
      <c r="O33" s="267"/>
      <c r="P33" s="267"/>
      <c r="Q33" s="267" t="s">
        <v>18305</v>
      </c>
      <c r="R33" s="267"/>
    </row>
    <row r="34" spans="1:18" x14ac:dyDescent="0.2">
      <c r="A34" s="267"/>
      <c r="B34" s="267" t="s">
        <v>18308</v>
      </c>
      <c r="C34" s="267"/>
      <c r="D34" s="267"/>
      <c r="E34" s="267"/>
      <c r="F34" s="267"/>
      <c r="G34" s="267"/>
      <c r="H34" s="267"/>
      <c r="I34" s="267"/>
      <c r="J34" s="267"/>
      <c r="K34" s="267"/>
      <c r="L34" s="267"/>
      <c r="M34" s="267"/>
      <c r="N34" s="267"/>
      <c r="O34" s="267"/>
      <c r="P34" s="267"/>
      <c r="Q34" s="267" t="s">
        <v>18308</v>
      </c>
      <c r="R34" s="267"/>
    </row>
    <row r="35" spans="1:18" x14ac:dyDescent="0.2">
      <c r="A35" s="267"/>
      <c r="B35" s="267" t="s">
        <v>18311</v>
      </c>
      <c r="C35" s="267"/>
      <c r="D35" s="267"/>
      <c r="E35" s="267"/>
      <c r="F35" s="267"/>
      <c r="G35" s="267"/>
      <c r="H35" s="267"/>
      <c r="I35" s="267"/>
      <c r="J35" s="267"/>
      <c r="K35" s="267"/>
      <c r="L35" s="267"/>
      <c r="M35" s="267"/>
      <c r="N35" s="267"/>
      <c r="O35" s="267"/>
      <c r="P35" s="267"/>
      <c r="Q35" s="267" t="s">
        <v>18311</v>
      </c>
      <c r="R35" s="267"/>
    </row>
    <row r="36" spans="1:18" x14ac:dyDescent="0.2">
      <c r="A36" s="267"/>
      <c r="B36" s="267" t="s">
        <v>18314</v>
      </c>
      <c r="C36" s="267"/>
      <c r="D36" s="267"/>
      <c r="E36" s="267"/>
      <c r="F36" s="267"/>
      <c r="G36" s="267"/>
      <c r="H36" s="267"/>
      <c r="I36" s="267"/>
      <c r="J36" s="267"/>
      <c r="K36" s="267"/>
      <c r="L36" s="267"/>
      <c r="M36" s="267"/>
      <c r="N36" s="267"/>
      <c r="O36" s="267"/>
      <c r="P36" s="267"/>
      <c r="Q36" s="267" t="s">
        <v>18314</v>
      </c>
      <c r="R36" s="267"/>
    </row>
    <row r="37" spans="1:18" x14ac:dyDescent="0.2">
      <c r="A37" s="267"/>
      <c r="B37" s="267" t="s">
        <v>18318</v>
      </c>
      <c r="C37" s="267"/>
      <c r="D37" s="267"/>
      <c r="E37" s="267"/>
      <c r="F37" s="267"/>
      <c r="G37" s="267"/>
      <c r="H37" s="267"/>
      <c r="I37" s="267"/>
      <c r="J37" s="267"/>
      <c r="K37" s="267"/>
      <c r="L37" s="267"/>
      <c r="M37" s="267"/>
      <c r="N37" s="267"/>
      <c r="O37" s="267"/>
      <c r="P37" s="267"/>
      <c r="Q37" s="267" t="s">
        <v>18318</v>
      </c>
      <c r="R37" s="267"/>
    </row>
    <row r="38" spans="1:18" x14ac:dyDescent="0.2">
      <c r="A38" s="267"/>
      <c r="B38" s="267" t="s">
        <v>18320</v>
      </c>
      <c r="C38" s="267"/>
      <c r="D38" s="267"/>
      <c r="E38" s="267"/>
      <c r="F38" s="267"/>
      <c r="G38" s="267"/>
      <c r="H38" s="267"/>
      <c r="I38" s="267"/>
      <c r="J38" s="267"/>
      <c r="K38" s="267"/>
      <c r="L38" s="267"/>
      <c r="M38" s="267"/>
      <c r="N38" s="267"/>
      <c r="O38" s="267"/>
      <c r="P38" s="267"/>
      <c r="Q38" s="267" t="s">
        <v>18320</v>
      </c>
      <c r="R38" s="267"/>
    </row>
    <row r="39" spans="1:18" x14ac:dyDescent="0.2">
      <c r="A39" s="267"/>
      <c r="B39" s="267" t="s">
        <v>18323</v>
      </c>
      <c r="C39" s="267"/>
      <c r="D39" s="267"/>
      <c r="E39" s="267"/>
      <c r="F39" s="267"/>
      <c r="G39" s="267"/>
      <c r="H39" s="267"/>
      <c r="I39" s="267"/>
      <c r="J39" s="267"/>
      <c r="K39" s="267"/>
      <c r="L39" s="267"/>
      <c r="M39" s="267"/>
      <c r="N39" s="267"/>
      <c r="O39" s="267"/>
      <c r="P39" s="267"/>
      <c r="Q39" s="267" t="s">
        <v>18323</v>
      </c>
      <c r="R39" s="267"/>
    </row>
    <row r="40" spans="1:18" x14ac:dyDescent="0.2">
      <c r="A40" s="267"/>
      <c r="B40" s="267" t="s">
        <v>18326</v>
      </c>
      <c r="C40" s="267"/>
      <c r="D40" s="267"/>
      <c r="E40" s="267"/>
      <c r="F40" s="267"/>
      <c r="G40" s="267"/>
      <c r="H40" s="267"/>
      <c r="I40" s="267"/>
      <c r="J40" s="267"/>
      <c r="K40" s="267"/>
      <c r="L40" s="267"/>
      <c r="M40" s="267"/>
      <c r="N40" s="267"/>
      <c r="O40" s="267"/>
      <c r="P40" s="267"/>
      <c r="Q40" s="267" t="s">
        <v>18326</v>
      </c>
      <c r="R40" s="267"/>
    </row>
    <row r="41" spans="1:18" x14ac:dyDescent="0.2">
      <c r="A41" s="267"/>
      <c r="B41" s="267" t="s">
        <v>18329</v>
      </c>
      <c r="C41" s="267"/>
      <c r="D41" s="267"/>
      <c r="E41" s="267"/>
      <c r="F41" s="267"/>
      <c r="G41" s="267"/>
      <c r="H41" s="267"/>
      <c r="I41" s="267"/>
      <c r="J41" s="267"/>
      <c r="K41" s="267"/>
      <c r="L41" s="267"/>
      <c r="M41" s="267"/>
      <c r="N41" s="267"/>
      <c r="O41" s="267"/>
      <c r="P41" s="267"/>
      <c r="Q41" s="267" t="s">
        <v>18329</v>
      </c>
      <c r="R41" s="267"/>
    </row>
    <row r="42" spans="1:18" x14ac:dyDescent="0.2">
      <c r="A42" s="267"/>
      <c r="B42" s="267" t="s">
        <v>18332</v>
      </c>
      <c r="C42" s="267"/>
      <c r="D42" s="267"/>
      <c r="E42" s="267"/>
      <c r="F42" s="267"/>
      <c r="G42" s="267"/>
      <c r="H42" s="267"/>
      <c r="I42" s="267"/>
      <c r="J42" s="267"/>
      <c r="K42" s="267"/>
      <c r="L42" s="267"/>
      <c r="M42" s="267"/>
      <c r="N42" s="267"/>
      <c r="O42" s="267"/>
      <c r="P42" s="267"/>
      <c r="Q42" s="267" t="s">
        <v>18332</v>
      </c>
      <c r="R42" s="267"/>
    </row>
    <row r="43" spans="1:18" x14ac:dyDescent="0.2">
      <c r="A43" s="267"/>
      <c r="B43" s="267" t="s">
        <v>18335</v>
      </c>
      <c r="C43" s="267"/>
      <c r="D43" s="267"/>
      <c r="E43" s="267"/>
      <c r="F43" s="267"/>
      <c r="G43" s="267"/>
      <c r="H43" s="267"/>
      <c r="I43" s="267"/>
      <c r="J43" s="267"/>
      <c r="K43" s="267"/>
      <c r="L43" s="267"/>
      <c r="M43" s="267"/>
      <c r="N43" s="267"/>
      <c r="O43" s="267"/>
      <c r="P43" s="267"/>
      <c r="Q43" s="267" t="s">
        <v>18335</v>
      </c>
      <c r="R43" s="267"/>
    </row>
    <row r="44" spans="1:18" x14ac:dyDescent="0.2">
      <c r="A44" s="267"/>
      <c r="B44" s="267" t="s">
        <v>18338</v>
      </c>
      <c r="C44" s="267"/>
      <c r="D44" s="267"/>
      <c r="E44" s="267"/>
      <c r="F44" s="267"/>
      <c r="G44" s="267"/>
      <c r="H44" s="267"/>
      <c r="I44" s="267"/>
      <c r="J44" s="267"/>
      <c r="K44" s="267"/>
      <c r="L44" s="267"/>
      <c r="M44" s="267"/>
      <c r="N44" s="267"/>
      <c r="O44" s="267"/>
      <c r="P44" s="267"/>
      <c r="Q44" s="267" t="s">
        <v>18338</v>
      </c>
      <c r="R44" s="267"/>
    </row>
    <row r="45" spans="1:18" x14ac:dyDescent="0.2">
      <c r="A45" s="267"/>
      <c r="B45" s="267" t="s">
        <v>18341</v>
      </c>
      <c r="C45" s="267"/>
      <c r="D45" s="267"/>
      <c r="E45" s="267"/>
      <c r="F45" s="267"/>
      <c r="G45" s="267"/>
      <c r="H45" s="267"/>
      <c r="I45" s="267"/>
      <c r="J45" s="267"/>
      <c r="K45" s="267"/>
      <c r="L45" s="267"/>
      <c r="M45" s="267"/>
      <c r="N45" s="267"/>
      <c r="O45" s="267"/>
      <c r="P45" s="267"/>
      <c r="Q45" s="267" t="s">
        <v>18341</v>
      </c>
      <c r="R45" s="267"/>
    </row>
    <row r="46" spans="1:18" x14ac:dyDescent="0.2">
      <c r="A46" s="267"/>
      <c r="B46" s="267" t="s">
        <v>18344</v>
      </c>
      <c r="C46" s="267"/>
      <c r="D46" s="267"/>
      <c r="E46" s="267"/>
      <c r="F46" s="267"/>
      <c r="G46" s="267"/>
      <c r="H46" s="267"/>
      <c r="I46" s="267"/>
      <c r="J46" s="267"/>
      <c r="K46" s="267"/>
      <c r="L46" s="267"/>
      <c r="M46" s="267"/>
      <c r="N46" s="267"/>
      <c r="O46" s="267"/>
      <c r="P46" s="267"/>
      <c r="Q46" s="267" t="s">
        <v>18344</v>
      </c>
      <c r="R46" s="267"/>
    </row>
    <row r="47" spans="1:18" x14ac:dyDescent="0.2">
      <c r="A47" s="267"/>
      <c r="B47" s="267" t="s">
        <v>18347</v>
      </c>
      <c r="C47" s="267"/>
      <c r="D47" s="267"/>
      <c r="E47" s="267"/>
      <c r="F47" s="267"/>
      <c r="G47" s="267"/>
      <c r="H47" s="267"/>
      <c r="I47" s="267"/>
      <c r="J47" s="267"/>
      <c r="K47" s="267"/>
      <c r="L47" s="267"/>
      <c r="M47" s="267"/>
      <c r="N47" s="267"/>
      <c r="O47" s="267"/>
      <c r="P47" s="267"/>
      <c r="Q47" s="267" t="s">
        <v>18347</v>
      </c>
      <c r="R47" s="267"/>
    </row>
    <row r="48" spans="1:18" x14ac:dyDescent="0.2">
      <c r="A48" s="267"/>
      <c r="B48" s="267" t="s">
        <v>18350</v>
      </c>
      <c r="C48" s="267"/>
      <c r="D48" s="267"/>
      <c r="E48" s="267"/>
      <c r="F48" s="267"/>
      <c r="G48" s="267"/>
      <c r="H48" s="267"/>
      <c r="I48" s="267"/>
      <c r="J48" s="267"/>
      <c r="K48" s="267"/>
      <c r="L48" s="267"/>
      <c r="M48" s="267"/>
      <c r="N48" s="267"/>
      <c r="O48" s="267"/>
      <c r="P48" s="267"/>
      <c r="Q48" s="267" t="s">
        <v>18350</v>
      </c>
      <c r="R48" s="267"/>
    </row>
    <row r="49" spans="1:18" x14ac:dyDescent="0.2">
      <c r="A49" s="267"/>
      <c r="B49" s="267" t="s">
        <v>18353</v>
      </c>
      <c r="C49" s="267"/>
      <c r="D49" s="267"/>
      <c r="E49" s="267"/>
      <c r="F49" s="267"/>
      <c r="G49" s="267"/>
      <c r="H49" s="267"/>
      <c r="I49" s="267"/>
      <c r="J49" s="267"/>
      <c r="K49" s="267"/>
      <c r="L49" s="267"/>
      <c r="M49" s="267"/>
      <c r="N49" s="267"/>
      <c r="O49" s="267"/>
      <c r="P49" s="267"/>
      <c r="Q49" s="267" t="s">
        <v>18353</v>
      </c>
      <c r="R49" s="267"/>
    </row>
    <row r="50" spans="1:18" x14ac:dyDescent="0.2">
      <c r="A50" s="267"/>
      <c r="B50" s="267" t="s">
        <v>18356</v>
      </c>
      <c r="C50" s="267"/>
      <c r="D50" s="267"/>
      <c r="E50" s="267"/>
      <c r="F50" s="267"/>
      <c r="G50" s="267"/>
      <c r="H50" s="267"/>
      <c r="I50" s="267"/>
      <c r="J50" s="267"/>
      <c r="K50" s="267"/>
      <c r="L50" s="267"/>
      <c r="M50" s="267"/>
      <c r="N50" s="267"/>
      <c r="O50" s="267"/>
      <c r="P50" s="267"/>
      <c r="Q50" s="267" t="s">
        <v>18356</v>
      </c>
      <c r="R50" s="267"/>
    </row>
    <row r="51" spans="1:18" x14ac:dyDescent="0.2">
      <c r="A51" s="267"/>
      <c r="B51" s="267" t="s">
        <v>18358</v>
      </c>
      <c r="C51" s="267"/>
      <c r="D51" s="267"/>
      <c r="E51" s="267"/>
      <c r="F51" s="267"/>
      <c r="G51" s="267"/>
      <c r="H51" s="267"/>
      <c r="I51" s="267"/>
      <c r="J51" s="267"/>
      <c r="K51" s="267"/>
      <c r="L51" s="267"/>
      <c r="M51" s="267"/>
      <c r="N51" s="267"/>
      <c r="O51" s="267"/>
      <c r="P51" s="267"/>
      <c r="Q51" s="267" t="s">
        <v>18358</v>
      </c>
      <c r="R51" s="267"/>
    </row>
    <row r="52" spans="1:18" x14ac:dyDescent="0.2">
      <c r="A52" s="267"/>
      <c r="B52" s="267" t="s">
        <v>18362</v>
      </c>
      <c r="C52" s="267"/>
      <c r="D52" s="267"/>
      <c r="E52" s="267"/>
      <c r="F52" s="267"/>
      <c r="G52" s="267"/>
      <c r="H52" s="267"/>
      <c r="I52" s="267"/>
      <c r="J52" s="267"/>
      <c r="K52" s="267"/>
      <c r="L52" s="267"/>
      <c r="M52" s="267"/>
      <c r="N52" s="267"/>
      <c r="O52" s="267"/>
      <c r="P52" s="267"/>
      <c r="Q52" s="267" t="s">
        <v>18362</v>
      </c>
      <c r="R52" s="267"/>
    </row>
    <row r="53" spans="1:18" x14ac:dyDescent="0.2">
      <c r="A53" s="267"/>
      <c r="B53" s="267" t="s">
        <v>18365</v>
      </c>
      <c r="C53" s="267"/>
      <c r="D53" s="267"/>
      <c r="E53" s="267"/>
      <c r="F53" s="267"/>
      <c r="G53" s="267"/>
      <c r="H53" s="267"/>
      <c r="I53" s="267"/>
      <c r="J53" s="267"/>
      <c r="K53" s="267"/>
      <c r="L53" s="267"/>
      <c r="M53" s="267"/>
      <c r="N53" s="267"/>
      <c r="O53" s="267"/>
      <c r="P53" s="267"/>
      <c r="Q53" s="267" t="s">
        <v>18365</v>
      </c>
      <c r="R53" s="267"/>
    </row>
    <row r="54" spans="1:18" x14ac:dyDescent="0.2">
      <c r="A54" s="267"/>
      <c r="B54" s="267" t="s">
        <v>18368</v>
      </c>
      <c r="C54" s="267"/>
      <c r="D54" s="267"/>
      <c r="E54" s="267"/>
      <c r="F54" s="267"/>
      <c r="G54" s="267"/>
      <c r="H54" s="267"/>
      <c r="I54" s="267"/>
      <c r="J54" s="267"/>
      <c r="K54" s="267"/>
      <c r="L54" s="267"/>
      <c r="M54" s="267"/>
      <c r="N54" s="267"/>
      <c r="O54" s="267"/>
      <c r="P54" s="267"/>
      <c r="Q54" s="267" t="s">
        <v>18368</v>
      </c>
      <c r="R54" s="267"/>
    </row>
    <row r="55" spans="1:18" x14ac:dyDescent="0.2">
      <c r="A55" s="267"/>
      <c r="B55" s="267" t="s">
        <v>18371</v>
      </c>
      <c r="C55" s="267"/>
      <c r="D55" s="267"/>
      <c r="E55" s="267"/>
      <c r="F55" s="267"/>
      <c r="G55" s="267"/>
      <c r="H55" s="267"/>
      <c r="I55" s="267"/>
      <c r="J55" s="267"/>
      <c r="K55" s="267"/>
      <c r="L55" s="267"/>
      <c r="M55" s="267"/>
      <c r="N55" s="267"/>
      <c r="O55" s="267"/>
      <c r="P55" s="267"/>
      <c r="Q55" s="267" t="s">
        <v>18371</v>
      </c>
      <c r="R55" s="267"/>
    </row>
    <row r="56" spans="1:18" x14ac:dyDescent="0.2">
      <c r="A56" s="267"/>
      <c r="B56" s="267" t="s">
        <v>18374</v>
      </c>
      <c r="C56" s="267"/>
      <c r="D56" s="267"/>
      <c r="E56" s="267"/>
      <c r="F56" s="267"/>
      <c r="G56" s="267"/>
      <c r="H56" s="267"/>
      <c r="I56" s="267"/>
      <c r="J56" s="267"/>
      <c r="K56" s="267"/>
      <c r="L56" s="267"/>
      <c r="M56" s="267"/>
      <c r="N56" s="267"/>
      <c r="O56" s="267"/>
      <c r="P56" s="267"/>
      <c r="Q56" s="267" t="s">
        <v>18374</v>
      </c>
      <c r="R56" s="267"/>
    </row>
    <row r="57" spans="1:18" x14ac:dyDescent="0.2">
      <c r="A57" s="267"/>
      <c r="B57" s="267" t="s">
        <v>18377</v>
      </c>
      <c r="C57" s="267"/>
      <c r="D57" s="267"/>
      <c r="E57" s="267"/>
      <c r="F57" s="267"/>
      <c r="G57" s="267"/>
      <c r="H57" s="267"/>
      <c r="I57" s="267"/>
      <c r="J57" s="267"/>
      <c r="K57" s="267"/>
      <c r="L57" s="267"/>
      <c r="M57" s="267"/>
      <c r="N57" s="267"/>
      <c r="O57" s="267"/>
      <c r="P57" s="267"/>
      <c r="Q57" s="267" t="s">
        <v>18377</v>
      </c>
      <c r="R57" s="267"/>
    </row>
    <row r="58" spans="1:18" x14ac:dyDescent="0.2">
      <c r="A58" s="267"/>
      <c r="B58" s="267" t="s">
        <v>18380</v>
      </c>
      <c r="C58" s="267"/>
      <c r="D58" s="267"/>
      <c r="E58" s="267"/>
      <c r="F58" s="267"/>
      <c r="G58" s="267"/>
      <c r="H58" s="267"/>
      <c r="I58" s="267"/>
      <c r="J58" s="267"/>
      <c r="K58" s="267"/>
      <c r="L58" s="267"/>
      <c r="M58" s="267"/>
      <c r="N58" s="267"/>
      <c r="O58" s="267"/>
      <c r="P58" s="267"/>
      <c r="Q58" s="267" t="s">
        <v>18380</v>
      </c>
      <c r="R58" s="267"/>
    </row>
    <row r="59" spans="1:18" x14ac:dyDescent="0.2">
      <c r="A59" s="267"/>
      <c r="B59" s="267" t="s">
        <v>18383</v>
      </c>
      <c r="C59" s="267"/>
      <c r="D59" s="267"/>
      <c r="E59" s="267"/>
      <c r="F59" s="267"/>
      <c r="G59" s="267"/>
      <c r="H59" s="267"/>
      <c r="I59" s="267"/>
      <c r="J59" s="267"/>
      <c r="K59" s="267"/>
      <c r="L59" s="267"/>
      <c r="M59" s="267"/>
      <c r="N59" s="267"/>
      <c r="O59" s="267"/>
      <c r="P59" s="267"/>
      <c r="Q59" s="267" t="s">
        <v>18383</v>
      </c>
      <c r="R59" s="267"/>
    </row>
    <row r="60" spans="1:18" x14ac:dyDescent="0.2">
      <c r="A60" s="267"/>
      <c r="B60" s="267" t="s">
        <v>18386</v>
      </c>
      <c r="C60" s="267"/>
      <c r="D60" s="267"/>
      <c r="E60" s="267"/>
      <c r="F60" s="267"/>
      <c r="G60" s="267"/>
      <c r="H60" s="267"/>
      <c r="I60" s="267"/>
      <c r="J60" s="267"/>
      <c r="K60" s="267"/>
      <c r="L60" s="267"/>
      <c r="M60" s="267"/>
      <c r="N60" s="267"/>
      <c r="O60" s="267"/>
      <c r="P60" s="267"/>
      <c r="Q60" s="267" t="s">
        <v>18386</v>
      </c>
      <c r="R60" s="267"/>
    </row>
    <row r="61" spans="1:18" x14ac:dyDescent="0.2">
      <c r="A61" s="267"/>
      <c r="B61" s="267" t="s">
        <v>18389</v>
      </c>
      <c r="C61" s="267"/>
      <c r="D61" s="267"/>
      <c r="E61" s="267"/>
      <c r="F61" s="267"/>
      <c r="G61" s="267"/>
      <c r="H61" s="267"/>
      <c r="I61" s="267"/>
      <c r="J61" s="267"/>
      <c r="K61" s="267"/>
      <c r="L61" s="267"/>
      <c r="M61" s="267"/>
      <c r="N61" s="267"/>
      <c r="O61" s="267"/>
      <c r="P61" s="267"/>
      <c r="Q61" s="267" t="s">
        <v>18389</v>
      </c>
      <c r="R61" s="267"/>
    </row>
    <row r="62" spans="1:18" x14ac:dyDescent="0.2">
      <c r="A62" s="267"/>
      <c r="B62" s="267"/>
      <c r="C62" s="267"/>
      <c r="D62" s="267"/>
      <c r="E62" s="267"/>
      <c r="F62" s="267"/>
      <c r="G62" s="267"/>
      <c r="H62" s="267"/>
      <c r="I62" s="267"/>
      <c r="J62" s="267"/>
      <c r="K62" s="267"/>
      <c r="L62" s="267"/>
      <c r="M62" s="267"/>
      <c r="N62" s="267"/>
      <c r="O62" s="267"/>
      <c r="P62" s="267"/>
      <c r="Q62" s="267"/>
      <c r="R62" s="267"/>
    </row>
    <row r="63" spans="1:18" x14ac:dyDescent="0.2">
      <c r="A63" s="267"/>
      <c r="B63" s="267"/>
      <c r="C63" s="267"/>
      <c r="D63" s="267"/>
      <c r="E63" s="267"/>
      <c r="F63" s="267"/>
      <c r="G63" s="267"/>
      <c r="H63" s="267"/>
      <c r="I63" s="267"/>
      <c r="J63" s="267"/>
      <c r="K63" s="267"/>
      <c r="L63" s="267"/>
      <c r="M63" s="267"/>
      <c r="N63" s="267"/>
      <c r="O63" s="267"/>
      <c r="P63" s="267"/>
      <c r="Q63" s="267"/>
      <c r="R63" s="267"/>
    </row>
    <row r="64" spans="1:18" x14ac:dyDescent="0.2">
      <c r="A64" s="267"/>
      <c r="B64" s="267"/>
      <c r="C64" s="267"/>
      <c r="D64" s="267"/>
      <c r="E64" s="267"/>
      <c r="F64" s="267"/>
      <c r="G64" s="267"/>
      <c r="H64" s="267"/>
      <c r="I64" s="267"/>
      <c r="J64" s="267"/>
      <c r="K64" s="267"/>
      <c r="L64" s="267"/>
      <c r="M64" s="267"/>
      <c r="N64" s="267"/>
      <c r="O64" s="267"/>
      <c r="P64" s="267"/>
      <c r="Q64" s="267"/>
      <c r="R64" s="267"/>
    </row>
    <row r="65" spans="1:18" x14ac:dyDescent="0.2">
      <c r="A65" s="267"/>
      <c r="B65" s="267"/>
      <c r="C65" s="267"/>
      <c r="D65" s="267"/>
      <c r="E65" s="267"/>
      <c r="F65" s="267"/>
      <c r="G65" s="267"/>
      <c r="H65" s="267"/>
      <c r="I65" s="267"/>
      <c r="J65" s="267"/>
      <c r="K65" s="267"/>
      <c r="L65" s="267"/>
      <c r="M65" s="267"/>
      <c r="N65" s="267"/>
      <c r="O65" s="267"/>
      <c r="P65" s="267"/>
      <c r="Q65" s="267"/>
      <c r="R65" s="267"/>
    </row>
    <row r="66" spans="1:18" x14ac:dyDescent="0.2">
      <c r="A66" s="267"/>
      <c r="B66" s="267"/>
      <c r="C66" s="267"/>
      <c r="D66" s="267"/>
      <c r="E66" s="267"/>
      <c r="F66" s="267"/>
      <c r="G66" s="267"/>
      <c r="H66" s="267"/>
      <c r="I66" s="267"/>
      <c r="J66" s="267"/>
      <c r="K66" s="267"/>
      <c r="L66" s="267"/>
      <c r="M66" s="267"/>
      <c r="N66" s="267"/>
      <c r="O66" s="267"/>
      <c r="P66" s="267"/>
      <c r="Q66" s="267"/>
      <c r="R66" s="267"/>
    </row>
    <row r="67" spans="1:18" x14ac:dyDescent="0.2">
      <c r="A67" s="267"/>
      <c r="B67" s="267"/>
      <c r="C67" s="267"/>
      <c r="D67" s="267"/>
      <c r="E67" s="267"/>
      <c r="F67" s="267"/>
      <c r="G67" s="267"/>
      <c r="H67" s="267"/>
      <c r="I67" s="267"/>
      <c r="J67" s="267"/>
      <c r="K67" s="267"/>
      <c r="L67" s="267"/>
      <c r="M67" s="267"/>
      <c r="N67" s="267"/>
      <c r="O67" s="267"/>
      <c r="P67" s="267"/>
      <c r="Q67" s="267"/>
      <c r="R67" s="267"/>
    </row>
    <row r="68" spans="1:18" x14ac:dyDescent="0.2">
      <c r="A68" s="267"/>
      <c r="B68" s="267"/>
      <c r="C68" s="267"/>
      <c r="D68" s="267"/>
      <c r="E68" s="267"/>
      <c r="F68" s="267"/>
      <c r="G68" s="267"/>
      <c r="H68" s="267"/>
      <c r="I68" s="267"/>
      <c r="J68" s="267"/>
      <c r="K68" s="267"/>
      <c r="L68" s="267"/>
      <c r="M68" s="267"/>
      <c r="N68" s="267"/>
      <c r="O68" s="267"/>
      <c r="P68" s="267"/>
      <c r="Q68" s="267"/>
      <c r="R68" s="267"/>
    </row>
    <row r="69" spans="1:18" x14ac:dyDescent="0.2">
      <c r="A69" s="267"/>
      <c r="B69" s="267"/>
      <c r="C69" s="267"/>
      <c r="D69" s="267"/>
      <c r="E69" s="267"/>
      <c r="F69" s="267"/>
      <c r="G69" s="267"/>
      <c r="H69" s="267"/>
      <c r="I69" s="267"/>
      <c r="J69" s="267"/>
      <c r="K69" s="267"/>
      <c r="L69" s="267"/>
      <c r="M69" s="267"/>
      <c r="N69" s="267"/>
      <c r="O69" s="267"/>
      <c r="P69" s="267"/>
      <c r="Q69" s="267"/>
      <c r="R69" s="267"/>
    </row>
    <row r="70" spans="1:18" x14ac:dyDescent="0.2">
      <c r="A70" s="267"/>
      <c r="B70" s="267"/>
      <c r="C70" s="267"/>
      <c r="D70" s="267"/>
      <c r="E70" s="267"/>
      <c r="F70" s="267"/>
      <c r="G70" s="267"/>
      <c r="H70" s="267"/>
      <c r="I70" s="267"/>
      <c r="J70" s="267"/>
      <c r="K70" s="267"/>
      <c r="L70" s="267"/>
      <c r="M70" s="267"/>
      <c r="N70" s="267"/>
      <c r="O70" s="267"/>
      <c r="P70" s="267"/>
      <c r="Q70" s="267"/>
      <c r="R70" s="267"/>
    </row>
    <row r="71" spans="1:18" x14ac:dyDescent="0.2">
      <c r="A71" s="267"/>
      <c r="B71" s="267"/>
      <c r="C71" s="267"/>
      <c r="D71" s="267"/>
      <c r="E71" s="267"/>
      <c r="F71" s="267"/>
      <c r="G71" s="267"/>
      <c r="H71" s="267"/>
      <c r="I71" s="267"/>
      <c r="J71" s="267"/>
      <c r="K71" s="267"/>
      <c r="L71" s="267"/>
      <c r="M71" s="267"/>
      <c r="N71" s="267"/>
      <c r="O71" s="267"/>
      <c r="P71" s="267"/>
      <c r="Q71" s="267"/>
      <c r="R71" s="267"/>
    </row>
    <row r="72" spans="1:18" x14ac:dyDescent="0.2">
      <c r="A72" s="267"/>
      <c r="B72" s="267"/>
      <c r="C72" s="267"/>
      <c r="D72" s="267"/>
      <c r="E72" s="267"/>
      <c r="F72" s="267"/>
      <c r="G72" s="267"/>
      <c r="H72" s="267"/>
      <c r="I72" s="267"/>
      <c r="J72" s="267"/>
      <c r="K72" s="267"/>
      <c r="L72" s="267"/>
      <c r="M72" s="267"/>
      <c r="N72" s="267"/>
      <c r="O72" s="267"/>
      <c r="P72" s="267"/>
      <c r="Q72" s="267"/>
      <c r="R72" s="267"/>
    </row>
    <row r="73" spans="1:18" x14ac:dyDescent="0.2">
      <c r="A73" s="267"/>
      <c r="B73" s="267"/>
      <c r="C73" s="267"/>
      <c r="D73" s="267"/>
      <c r="E73" s="267"/>
      <c r="F73" s="267"/>
      <c r="G73" s="267"/>
      <c r="H73" s="267"/>
      <c r="I73" s="267"/>
      <c r="J73" s="267"/>
      <c r="K73" s="267"/>
      <c r="L73" s="267"/>
      <c r="M73" s="267"/>
      <c r="N73" s="267"/>
      <c r="O73" s="267"/>
      <c r="P73" s="267"/>
      <c r="Q73" s="267"/>
      <c r="R73" s="267"/>
    </row>
    <row r="74" spans="1:18" x14ac:dyDescent="0.2">
      <c r="A74" s="267"/>
      <c r="B74" s="267"/>
      <c r="C74" s="267"/>
      <c r="D74" s="267"/>
      <c r="E74" s="267"/>
      <c r="F74" s="267"/>
      <c r="G74" s="267"/>
      <c r="H74" s="267"/>
      <c r="I74" s="267"/>
      <c r="J74" s="267"/>
      <c r="K74" s="267"/>
      <c r="L74" s="267"/>
      <c r="M74" s="267"/>
      <c r="N74" s="267"/>
      <c r="O74" s="267"/>
      <c r="P74" s="267"/>
      <c r="Q74" s="267"/>
      <c r="R74" s="267"/>
    </row>
    <row r="75" spans="1:18" x14ac:dyDescent="0.2">
      <c r="A75" s="267"/>
      <c r="B75" s="267"/>
      <c r="C75" s="267"/>
      <c r="D75" s="267"/>
      <c r="E75" s="267"/>
      <c r="F75" s="267"/>
      <c r="G75" s="267"/>
      <c r="H75" s="267"/>
      <c r="I75" s="267"/>
      <c r="J75" s="267"/>
      <c r="K75" s="267"/>
      <c r="L75" s="267"/>
      <c r="M75" s="267"/>
      <c r="N75" s="267"/>
      <c r="O75" s="267"/>
      <c r="P75" s="267"/>
      <c r="Q75" s="267"/>
      <c r="R75" s="267"/>
    </row>
    <row r="76" spans="1:18" x14ac:dyDescent="0.2">
      <c r="A76" s="267"/>
      <c r="B76" s="267"/>
      <c r="C76" s="267"/>
      <c r="D76" s="267"/>
      <c r="E76" s="267"/>
      <c r="F76" s="267"/>
      <c r="G76" s="267"/>
      <c r="H76" s="267"/>
      <c r="I76" s="267"/>
      <c r="J76" s="267"/>
      <c r="K76" s="267"/>
      <c r="L76" s="267"/>
      <c r="M76" s="267"/>
      <c r="N76" s="267"/>
      <c r="O76" s="267"/>
      <c r="P76" s="267"/>
      <c r="Q76" s="267"/>
      <c r="R76" s="267"/>
    </row>
    <row r="77" spans="1:18" x14ac:dyDescent="0.2">
      <c r="A77" s="267"/>
      <c r="B77" s="267"/>
      <c r="C77" s="267"/>
      <c r="D77" s="267"/>
      <c r="E77" s="267"/>
      <c r="F77" s="267"/>
      <c r="G77" s="267"/>
      <c r="H77" s="267"/>
      <c r="I77" s="267"/>
      <c r="J77" s="267"/>
      <c r="K77" s="267"/>
      <c r="L77" s="267"/>
      <c r="M77" s="267"/>
      <c r="N77" s="267"/>
      <c r="O77" s="267"/>
      <c r="P77" s="267"/>
      <c r="Q77" s="267"/>
      <c r="R77" s="267"/>
    </row>
    <row r="78" spans="1:18" x14ac:dyDescent="0.2">
      <c r="A78" s="267"/>
      <c r="B78" s="267"/>
      <c r="C78" s="267"/>
      <c r="D78" s="267"/>
      <c r="E78" s="267"/>
      <c r="F78" s="267"/>
      <c r="G78" s="267"/>
      <c r="H78" s="267"/>
      <c r="I78" s="267"/>
      <c r="J78" s="267"/>
      <c r="K78" s="267"/>
      <c r="L78" s="267"/>
      <c r="M78" s="267"/>
      <c r="N78" s="267"/>
      <c r="O78" s="267"/>
      <c r="P78" s="267"/>
      <c r="Q78" s="267"/>
      <c r="R78" s="267"/>
    </row>
    <row r="79" spans="1:18" x14ac:dyDescent="0.2">
      <c r="A79" s="267"/>
      <c r="B79" s="267"/>
      <c r="C79" s="267"/>
      <c r="D79" s="267"/>
      <c r="E79" s="267"/>
      <c r="F79" s="267"/>
      <c r="G79" s="267"/>
      <c r="H79" s="267"/>
      <c r="I79" s="267"/>
      <c r="J79" s="267"/>
      <c r="K79" s="267"/>
      <c r="L79" s="267"/>
      <c r="M79" s="267"/>
      <c r="N79" s="267"/>
      <c r="O79" s="267"/>
      <c r="P79" s="267"/>
      <c r="Q79" s="267"/>
      <c r="R79" s="267"/>
    </row>
    <row r="80" spans="1:18" x14ac:dyDescent="0.2">
      <c r="A80" s="267"/>
      <c r="B80" s="267"/>
      <c r="C80" s="267"/>
      <c r="D80" s="267"/>
      <c r="E80" s="267"/>
      <c r="F80" s="267"/>
      <c r="G80" s="267"/>
      <c r="H80" s="267"/>
      <c r="I80" s="267"/>
      <c r="J80" s="267"/>
      <c r="K80" s="267"/>
      <c r="L80" s="267"/>
      <c r="M80" s="267"/>
      <c r="N80" s="267"/>
      <c r="O80" s="267"/>
      <c r="P80" s="267"/>
      <c r="Q80" s="267"/>
      <c r="R80" s="267"/>
    </row>
    <row r="81" spans="1:18" x14ac:dyDescent="0.2">
      <c r="A81" s="267"/>
      <c r="B81" s="267"/>
      <c r="C81" s="267"/>
      <c r="D81" s="267"/>
      <c r="E81" s="267"/>
      <c r="F81" s="267"/>
      <c r="G81" s="267"/>
      <c r="H81" s="267"/>
      <c r="I81" s="267"/>
      <c r="J81" s="267"/>
      <c r="K81" s="267"/>
      <c r="L81" s="267"/>
      <c r="M81" s="267"/>
      <c r="N81" s="267"/>
      <c r="O81" s="267"/>
      <c r="P81" s="267"/>
      <c r="Q81" s="267"/>
      <c r="R81" s="267"/>
    </row>
    <row r="82" spans="1:18" x14ac:dyDescent="0.2">
      <c r="A82" s="267"/>
      <c r="B82" s="267"/>
      <c r="C82" s="267"/>
      <c r="D82" s="267"/>
      <c r="E82" s="267"/>
      <c r="F82" s="267"/>
      <c r="G82" s="267"/>
      <c r="H82" s="267"/>
      <c r="I82" s="267"/>
      <c r="J82" s="267"/>
      <c r="K82" s="267"/>
      <c r="L82" s="267"/>
      <c r="M82" s="267"/>
      <c r="N82" s="267"/>
      <c r="O82" s="267"/>
      <c r="P82" s="267"/>
      <c r="Q82" s="267"/>
      <c r="R82" s="267"/>
    </row>
    <row r="83" spans="1:18" x14ac:dyDescent="0.2">
      <c r="A83" s="267"/>
      <c r="B83" s="267"/>
      <c r="C83" s="267"/>
      <c r="D83" s="267"/>
      <c r="E83" s="267"/>
      <c r="F83" s="267"/>
      <c r="G83" s="267"/>
      <c r="H83" s="267"/>
      <c r="I83" s="267"/>
      <c r="J83" s="267"/>
      <c r="K83" s="267"/>
      <c r="L83" s="267"/>
      <c r="M83" s="267"/>
      <c r="N83" s="267"/>
      <c r="O83" s="267"/>
      <c r="P83" s="267"/>
      <c r="Q83" s="267"/>
      <c r="R83" s="267"/>
    </row>
    <row r="84" spans="1:18" x14ac:dyDescent="0.2">
      <c r="A84" s="267"/>
      <c r="B84" s="267"/>
      <c r="C84" s="267"/>
      <c r="D84" s="267"/>
      <c r="E84" s="267"/>
      <c r="F84" s="267"/>
      <c r="G84" s="267"/>
      <c r="H84" s="267"/>
      <c r="I84" s="267"/>
      <c r="J84" s="267"/>
      <c r="K84" s="267"/>
      <c r="L84" s="267"/>
      <c r="M84" s="267"/>
      <c r="N84" s="267"/>
      <c r="O84" s="267"/>
      <c r="P84" s="267"/>
      <c r="Q84" s="267"/>
      <c r="R84" s="267"/>
    </row>
    <row r="85" spans="1:18" x14ac:dyDescent="0.2">
      <c r="A85" s="267"/>
      <c r="B85" s="267"/>
      <c r="C85" s="267"/>
      <c r="D85" s="267"/>
      <c r="E85" s="267"/>
      <c r="F85" s="267"/>
      <c r="G85" s="267"/>
      <c r="H85" s="267"/>
      <c r="I85" s="267"/>
      <c r="J85" s="267"/>
      <c r="K85" s="267"/>
      <c r="L85" s="267"/>
      <c r="M85" s="267"/>
      <c r="N85" s="267"/>
      <c r="O85" s="267"/>
      <c r="P85" s="267"/>
      <c r="Q85" s="267"/>
      <c r="R85" s="267"/>
    </row>
    <row r="86" spans="1:18" x14ac:dyDescent="0.2">
      <c r="A86" s="267"/>
      <c r="B86" s="267"/>
      <c r="C86" s="267"/>
      <c r="D86" s="267"/>
      <c r="E86" s="267"/>
      <c r="F86" s="267"/>
      <c r="G86" s="267"/>
      <c r="H86" s="267"/>
      <c r="I86" s="267"/>
      <c r="J86" s="267"/>
      <c r="K86" s="267"/>
      <c r="L86" s="267"/>
      <c r="M86" s="267"/>
      <c r="N86" s="267"/>
      <c r="O86" s="267"/>
      <c r="P86" s="267"/>
      <c r="Q86" s="267"/>
      <c r="R86" s="267"/>
    </row>
    <row r="87" spans="1:18" x14ac:dyDescent="0.2">
      <c r="A87" s="267"/>
      <c r="B87" s="267"/>
      <c r="C87" s="267"/>
      <c r="D87" s="267"/>
      <c r="E87" s="267"/>
      <c r="F87" s="267"/>
      <c r="G87" s="267"/>
      <c r="H87" s="267"/>
      <c r="I87" s="267"/>
      <c r="J87" s="267"/>
      <c r="K87" s="267"/>
      <c r="L87" s="267"/>
      <c r="M87" s="267"/>
      <c r="N87" s="267"/>
      <c r="O87" s="267"/>
      <c r="P87" s="267"/>
      <c r="Q87" s="267"/>
      <c r="R87" s="267"/>
    </row>
    <row r="88" spans="1:18" x14ac:dyDescent="0.2">
      <c r="A88" s="267"/>
      <c r="B88" s="267"/>
      <c r="C88" s="267"/>
      <c r="D88" s="267"/>
      <c r="E88" s="267"/>
      <c r="F88" s="267"/>
      <c r="G88" s="267"/>
      <c r="H88" s="267"/>
      <c r="I88" s="267"/>
      <c r="J88" s="267"/>
      <c r="K88" s="267"/>
      <c r="L88" s="267"/>
      <c r="M88" s="267"/>
      <c r="N88" s="267"/>
      <c r="O88" s="267"/>
      <c r="P88" s="267"/>
      <c r="Q88" s="267"/>
      <c r="R88" s="267"/>
    </row>
    <row r="89" spans="1:18" x14ac:dyDescent="0.2">
      <c r="A89" s="267"/>
      <c r="B89" s="267"/>
      <c r="C89" s="267"/>
      <c r="D89" s="267"/>
      <c r="E89" s="267"/>
      <c r="F89" s="267"/>
      <c r="G89" s="267"/>
      <c r="H89" s="267"/>
      <c r="I89" s="267"/>
      <c r="J89" s="267"/>
      <c r="K89" s="267"/>
      <c r="L89" s="267"/>
      <c r="M89" s="267"/>
      <c r="N89" s="267"/>
      <c r="O89" s="267"/>
      <c r="P89" s="267"/>
      <c r="Q89" s="267"/>
      <c r="R89" s="267"/>
    </row>
    <row r="90" spans="1:18" x14ac:dyDescent="0.2">
      <c r="A90" s="267"/>
      <c r="B90" s="267"/>
      <c r="C90" s="267"/>
      <c r="D90" s="267"/>
      <c r="E90" s="267"/>
      <c r="F90" s="267"/>
      <c r="G90" s="267"/>
      <c r="H90" s="267"/>
      <c r="I90" s="267"/>
      <c r="J90" s="267"/>
      <c r="K90" s="267"/>
      <c r="L90" s="267"/>
      <c r="M90" s="267"/>
      <c r="N90" s="267"/>
      <c r="O90" s="267"/>
      <c r="P90" s="267"/>
      <c r="Q90" s="267"/>
      <c r="R90" s="267"/>
    </row>
    <row r="91" spans="1:18" x14ac:dyDescent="0.2">
      <c r="A91" s="267"/>
      <c r="B91" s="267"/>
      <c r="C91" s="267"/>
      <c r="D91" s="267"/>
      <c r="E91" s="267"/>
      <c r="F91" s="267"/>
      <c r="G91" s="267"/>
      <c r="H91" s="267"/>
      <c r="I91" s="267"/>
      <c r="J91" s="267"/>
      <c r="K91" s="267"/>
      <c r="L91" s="267"/>
      <c r="M91" s="267"/>
      <c r="N91" s="267"/>
      <c r="O91" s="267"/>
      <c r="P91" s="267"/>
      <c r="Q91" s="267"/>
      <c r="R91" s="267"/>
    </row>
    <row r="92" spans="1:18" x14ac:dyDescent="0.2">
      <c r="A92" s="267"/>
      <c r="B92" s="267"/>
      <c r="C92" s="267"/>
      <c r="D92" s="267"/>
      <c r="E92" s="267"/>
      <c r="F92" s="267"/>
      <c r="G92" s="267"/>
      <c r="H92" s="267"/>
      <c r="I92" s="267"/>
      <c r="J92" s="267"/>
      <c r="K92" s="267"/>
      <c r="L92" s="267"/>
      <c r="M92" s="267"/>
      <c r="N92" s="267"/>
      <c r="O92" s="267"/>
      <c r="P92" s="267"/>
      <c r="Q92" s="267"/>
      <c r="R92" s="267"/>
    </row>
    <row r="93" spans="1:18" x14ac:dyDescent="0.2">
      <c r="A93" s="267"/>
      <c r="B93" s="267"/>
      <c r="C93" s="267"/>
      <c r="D93" s="267"/>
      <c r="E93" s="267"/>
      <c r="F93" s="267"/>
      <c r="G93" s="267"/>
      <c r="H93" s="267"/>
      <c r="I93" s="267"/>
      <c r="J93" s="267"/>
      <c r="K93" s="267"/>
      <c r="L93" s="267"/>
      <c r="M93" s="267"/>
      <c r="N93" s="267"/>
      <c r="O93" s="267"/>
      <c r="P93" s="267"/>
      <c r="Q93" s="267"/>
      <c r="R93" s="267"/>
    </row>
    <row r="94" spans="1:18" x14ac:dyDescent="0.2">
      <c r="A94" s="267"/>
      <c r="B94" s="267"/>
      <c r="C94" s="267"/>
      <c r="D94" s="267"/>
      <c r="E94" s="267"/>
      <c r="F94" s="267"/>
      <c r="G94" s="267"/>
      <c r="H94" s="267"/>
      <c r="I94" s="267"/>
      <c r="J94" s="267"/>
      <c r="K94" s="267"/>
      <c r="L94" s="267"/>
      <c r="M94" s="267"/>
      <c r="N94" s="267"/>
      <c r="O94" s="267"/>
      <c r="P94" s="267"/>
      <c r="Q94" s="267"/>
      <c r="R94" s="267"/>
    </row>
    <row r="95" spans="1:18" x14ac:dyDescent="0.2">
      <c r="A95" s="267"/>
      <c r="B95" s="267"/>
      <c r="C95" s="267"/>
      <c r="D95" s="267"/>
      <c r="E95" s="267"/>
      <c r="F95" s="267"/>
      <c r="G95" s="267"/>
      <c r="H95" s="267"/>
      <c r="I95" s="267"/>
      <c r="J95" s="267"/>
      <c r="K95" s="267"/>
      <c r="L95" s="267"/>
      <c r="M95" s="267"/>
      <c r="N95" s="267"/>
      <c r="O95" s="267"/>
      <c r="P95" s="267"/>
      <c r="Q95" s="267"/>
      <c r="R95" s="267"/>
    </row>
    <row r="96" spans="1:18" x14ac:dyDescent="0.2">
      <c r="A96" s="267"/>
      <c r="B96" s="267"/>
      <c r="C96" s="267"/>
      <c r="D96" s="267"/>
      <c r="E96" s="267"/>
      <c r="F96" s="267"/>
      <c r="G96" s="267"/>
      <c r="H96" s="267"/>
      <c r="I96" s="267"/>
      <c r="J96" s="267"/>
      <c r="K96" s="267"/>
      <c r="L96" s="267"/>
      <c r="M96" s="267"/>
      <c r="N96" s="267"/>
      <c r="O96" s="267"/>
      <c r="P96" s="267"/>
      <c r="Q96" s="267"/>
      <c r="R96" s="267"/>
    </row>
    <row r="97" spans="1:18" x14ac:dyDescent="0.2">
      <c r="A97" s="267"/>
      <c r="B97" s="267"/>
      <c r="C97" s="267"/>
      <c r="D97" s="267"/>
      <c r="E97" s="267"/>
      <c r="F97" s="267"/>
      <c r="G97" s="267"/>
      <c r="H97" s="267"/>
      <c r="I97" s="267"/>
      <c r="J97" s="267"/>
      <c r="K97" s="267"/>
      <c r="L97" s="267"/>
      <c r="M97" s="267"/>
      <c r="N97" s="267"/>
      <c r="O97" s="267"/>
      <c r="P97" s="267"/>
      <c r="Q97" s="267"/>
      <c r="R97" s="267"/>
    </row>
    <row r="98" spans="1:18" x14ac:dyDescent="0.2">
      <c r="A98" s="267"/>
      <c r="B98" s="267"/>
      <c r="C98" s="267"/>
      <c r="D98" s="267"/>
      <c r="E98" s="267"/>
      <c r="F98" s="267"/>
      <c r="G98" s="267"/>
      <c r="H98" s="267"/>
      <c r="I98" s="267"/>
      <c r="J98" s="267"/>
      <c r="K98" s="267"/>
      <c r="L98" s="267"/>
      <c r="M98" s="267"/>
      <c r="N98" s="267"/>
      <c r="O98" s="267"/>
      <c r="P98" s="267"/>
      <c r="Q98" s="267"/>
      <c r="R98" s="267"/>
    </row>
    <row r="99" spans="1:18" x14ac:dyDescent="0.2">
      <c r="A99" s="267"/>
      <c r="B99" s="267"/>
      <c r="C99" s="267"/>
      <c r="D99" s="267"/>
      <c r="E99" s="267"/>
      <c r="F99" s="267"/>
      <c r="G99" s="267"/>
      <c r="H99" s="267"/>
      <c r="I99" s="267"/>
      <c r="J99" s="267"/>
      <c r="K99" s="267"/>
      <c r="L99" s="267"/>
      <c r="M99" s="267"/>
      <c r="N99" s="267"/>
      <c r="O99" s="267"/>
      <c r="P99" s="267"/>
      <c r="Q99" s="267"/>
      <c r="R99" s="267"/>
    </row>
    <row r="100" spans="1:18" x14ac:dyDescent="0.2">
      <c r="A100" s="267"/>
      <c r="B100" s="267"/>
      <c r="C100" s="267"/>
      <c r="D100" s="267"/>
      <c r="E100" s="267"/>
      <c r="F100" s="267"/>
      <c r="G100" s="267"/>
      <c r="H100" s="267"/>
      <c r="I100" s="267"/>
      <c r="J100" s="267"/>
      <c r="K100" s="267"/>
      <c r="L100" s="267"/>
      <c r="M100" s="267"/>
      <c r="N100" s="267"/>
      <c r="O100" s="267"/>
      <c r="P100" s="267"/>
      <c r="Q100" s="267"/>
      <c r="R100" s="267"/>
    </row>
    <row r="101" spans="1:18" x14ac:dyDescent="0.2">
      <c r="A101" s="267"/>
      <c r="B101" s="267"/>
      <c r="C101" s="267"/>
      <c r="D101" s="267"/>
      <c r="E101" s="267"/>
      <c r="F101" s="267"/>
      <c r="G101" s="267"/>
      <c r="H101" s="267"/>
      <c r="I101" s="267"/>
      <c r="J101" s="267"/>
      <c r="K101" s="267"/>
      <c r="L101" s="267"/>
      <c r="M101" s="267"/>
      <c r="N101" s="267"/>
      <c r="O101" s="267"/>
      <c r="P101" s="267"/>
      <c r="Q101" s="267"/>
      <c r="R101" s="267"/>
    </row>
    <row r="102" spans="1:18" x14ac:dyDescent="0.2">
      <c r="A102" s="267"/>
      <c r="B102" s="267"/>
      <c r="C102" s="267"/>
      <c r="D102" s="267"/>
      <c r="E102" s="267"/>
      <c r="F102" s="267"/>
      <c r="G102" s="267"/>
      <c r="H102" s="267"/>
      <c r="I102" s="267"/>
      <c r="J102" s="267"/>
      <c r="K102" s="267"/>
      <c r="L102" s="267"/>
      <c r="M102" s="267"/>
      <c r="N102" s="267"/>
      <c r="O102" s="267"/>
      <c r="P102" s="267"/>
      <c r="Q102" s="267"/>
      <c r="R102" s="267"/>
    </row>
    <row r="103" spans="1:18" x14ac:dyDescent="0.2">
      <c r="A103" s="267"/>
      <c r="B103" s="267"/>
      <c r="C103" s="267"/>
      <c r="D103" s="267"/>
      <c r="E103" s="267"/>
      <c r="F103" s="267"/>
      <c r="G103" s="267"/>
      <c r="H103" s="267"/>
      <c r="I103" s="267"/>
      <c r="J103" s="267"/>
      <c r="K103" s="267"/>
      <c r="L103" s="267"/>
      <c r="M103" s="267"/>
      <c r="N103" s="267"/>
      <c r="O103" s="267"/>
      <c r="P103" s="267"/>
      <c r="Q103" s="267"/>
      <c r="R103" s="267"/>
    </row>
    <row r="104" spans="1:18" x14ac:dyDescent="0.2">
      <c r="A104" s="267"/>
      <c r="B104" s="267"/>
      <c r="C104" s="267"/>
      <c r="D104" s="267"/>
      <c r="E104" s="267"/>
      <c r="F104" s="267"/>
      <c r="G104" s="267"/>
      <c r="H104" s="267"/>
      <c r="I104" s="267"/>
      <c r="J104" s="267"/>
      <c r="K104" s="267"/>
      <c r="L104" s="267"/>
      <c r="M104" s="267"/>
      <c r="N104" s="267"/>
      <c r="O104" s="267"/>
      <c r="P104" s="267"/>
      <c r="Q104" s="267"/>
      <c r="R104" s="267"/>
    </row>
    <row r="105" spans="1:18" x14ac:dyDescent="0.2">
      <c r="A105" s="267"/>
      <c r="B105" s="267"/>
      <c r="C105" s="267"/>
      <c r="D105" s="267"/>
      <c r="E105" s="267"/>
      <c r="F105" s="267"/>
      <c r="G105" s="267"/>
      <c r="H105" s="267"/>
      <c r="I105" s="267"/>
      <c r="J105" s="267"/>
      <c r="K105" s="267"/>
      <c r="L105" s="267"/>
      <c r="M105" s="267"/>
      <c r="N105" s="267"/>
      <c r="O105" s="267"/>
      <c r="P105" s="267"/>
      <c r="Q105" s="267"/>
      <c r="R105" s="267"/>
    </row>
    <row r="106" spans="1:18" x14ac:dyDescent="0.2">
      <c r="A106" s="267"/>
      <c r="B106" s="267"/>
      <c r="C106" s="267"/>
      <c r="D106" s="267"/>
      <c r="E106" s="267"/>
      <c r="F106" s="267"/>
      <c r="G106" s="267"/>
      <c r="H106" s="267"/>
      <c r="I106" s="267"/>
      <c r="J106" s="267"/>
      <c r="K106" s="267"/>
      <c r="L106" s="267"/>
      <c r="M106" s="267"/>
      <c r="N106" s="267"/>
      <c r="O106" s="267"/>
      <c r="P106" s="267"/>
      <c r="Q106" s="267"/>
      <c r="R106" s="267"/>
    </row>
    <row r="107" spans="1:18" x14ac:dyDescent="0.2">
      <c r="A107" s="267"/>
      <c r="B107" s="267"/>
      <c r="C107" s="267"/>
      <c r="D107" s="267"/>
      <c r="E107" s="267"/>
      <c r="F107" s="267"/>
      <c r="G107" s="267"/>
      <c r="H107" s="267"/>
      <c r="I107" s="267"/>
      <c r="J107" s="267"/>
      <c r="K107" s="267"/>
      <c r="L107" s="267"/>
      <c r="M107" s="267"/>
      <c r="N107" s="267"/>
      <c r="O107" s="267"/>
      <c r="P107" s="267"/>
      <c r="Q107" s="267"/>
      <c r="R107" s="267"/>
    </row>
    <row r="108" spans="1:18" x14ac:dyDescent="0.2">
      <c r="A108" s="267"/>
      <c r="B108" s="267"/>
      <c r="C108" s="267"/>
      <c r="D108" s="267"/>
      <c r="E108" s="267"/>
      <c r="F108" s="267"/>
      <c r="G108" s="267"/>
      <c r="H108" s="267"/>
      <c r="I108" s="267"/>
      <c r="J108" s="267"/>
      <c r="K108" s="267"/>
      <c r="L108" s="267"/>
      <c r="M108" s="267"/>
      <c r="N108" s="267"/>
      <c r="O108" s="267"/>
      <c r="P108" s="267"/>
      <c r="Q108" s="267"/>
      <c r="R108" s="267"/>
    </row>
    <row r="109" spans="1:18" x14ac:dyDescent="0.2">
      <c r="A109" s="267"/>
      <c r="B109" s="267"/>
      <c r="C109" s="267"/>
      <c r="D109" s="267"/>
      <c r="E109" s="267"/>
      <c r="F109" s="267"/>
      <c r="G109" s="267"/>
      <c r="H109" s="267"/>
      <c r="I109" s="267"/>
      <c r="J109" s="267"/>
      <c r="K109" s="267"/>
      <c r="L109" s="267"/>
      <c r="M109" s="267"/>
      <c r="N109" s="267"/>
      <c r="O109" s="267"/>
      <c r="P109" s="267"/>
      <c r="Q109" s="267"/>
      <c r="R109" s="267"/>
    </row>
    <row r="110" spans="1:18" x14ac:dyDescent="0.2">
      <c r="A110" s="267"/>
      <c r="B110" s="267"/>
      <c r="C110" s="267"/>
      <c r="D110" s="267"/>
      <c r="E110" s="267"/>
      <c r="F110" s="267"/>
      <c r="G110" s="267"/>
      <c r="H110" s="267"/>
      <c r="I110" s="267"/>
      <c r="J110" s="267"/>
      <c r="K110" s="267"/>
      <c r="L110" s="267"/>
      <c r="M110" s="267"/>
      <c r="N110" s="267"/>
      <c r="O110" s="267"/>
      <c r="P110" s="267"/>
      <c r="Q110" s="267"/>
      <c r="R110" s="267"/>
    </row>
    <row r="111" spans="1:18" x14ac:dyDescent="0.2">
      <c r="A111" s="267"/>
      <c r="B111" s="267"/>
      <c r="C111" s="267"/>
      <c r="D111" s="267"/>
      <c r="E111" s="267"/>
      <c r="F111" s="267"/>
      <c r="G111" s="267"/>
      <c r="H111" s="267"/>
      <c r="I111" s="267"/>
      <c r="J111" s="267"/>
      <c r="K111" s="267"/>
      <c r="L111" s="267"/>
      <c r="M111" s="267"/>
      <c r="N111" s="267"/>
      <c r="O111" s="267"/>
      <c r="P111" s="267"/>
      <c r="Q111" s="267"/>
      <c r="R111" s="267"/>
    </row>
    <row r="112" spans="1:18" x14ac:dyDescent="0.2">
      <c r="A112" s="267"/>
      <c r="B112" s="267"/>
      <c r="C112" s="267"/>
      <c r="D112" s="267"/>
      <c r="E112" s="267"/>
      <c r="F112" s="267"/>
      <c r="G112" s="267"/>
      <c r="H112" s="267"/>
      <c r="I112" s="267"/>
      <c r="J112" s="267"/>
      <c r="K112" s="267"/>
      <c r="L112" s="267"/>
      <c r="M112" s="267"/>
      <c r="N112" s="267"/>
      <c r="O112" s="267"/>
      <c r="P112" s="267"/>
      <c r="Q112" s="267"/>
      <c r="R112" s="267"/>
    </row>
    <row r="113" spans="1:18" x14ac:dyDescent="0.2">
      <c r="A113" s="267"/>
      <c r="B113" s="267"/>
      <c r="C113" s="267"/>
      <c r="D113" s="267"/>
      <c r="E113" s="267"/>
      <c r="F113" s="267"/>
      <c r="G113" s="267"/>
      <c r="H113" s="267"/>
      <c r="I113" s="267"/>
      <c r="J113" s="267"/>
      <c r="K113" s="267"/>
      <c r="L113" s="267"/>
      <c r="M113" s="267"/>
      <c r="N113" s="267"/>
      <c r="O113" s="267"/>
      <c r="P113" s="267"/>
      <c r="Q113" s="267"/>
      <c r="R113" s="267"/>
    </row>
    <row r="114" spans="1:18" x14ac:dyDescent="0.2">
      <c r="A114" s="267"/>
      <c r="B114" s="267"/>
      <c r="C114" s="267"/>
      <c r="D114" s="267"/>
      <c r="E114" s="267"/>
      <c r="F114" s="267"/>
      <c r="G114" s="267"/>
      <c r="H114" s="267"/>
      <c r="I114" s="267"/>
      <c r="J114" s="267"/>
      <c r="K114" s="267"/>
      <c r="L114" s="267"/>
      <c r="M114" s="267"/>
      <c r="N114" s="267"/>
      <c r="O114" s="267"/>
      <c r="P114" s="267"/>
      <c r="Q114" s="267"/>
      <c r="R114" s="267"/>
    </row>
    <row r="115" spans="1:18" x14ac:dyDescent="0.2">
      <c r="A115" s="267"/>
      <c r="B115" s="267"/>
      <c r="C115" s="267"/>
      <c r="D115" s="267"/>
      <c r="E115" s="267"/>
      <c r="F115" s="267"/>
      <c r="G115" s="267"/>
      <c r="H115" s="267"/>
      <c r="I115" s="267"/>
      <c r="J115" s="267"/>
      <c r="K115" s="267"/>
      <c r="L115" s="267"/>
      <c r="M115" s="267"/>
      <c r="N115" s="267"/>
      <c r="O115" s="267"/>
      <c r="P115" s="267"/>
      <c r="Q115" s="267"/>
      <c r="R115" s="267"/>
    </row>
    <row r="116" spans="1:18" x14ac:dyDescent="0.2">
      <c r="A116" s="267"/>
      <c r="B116" s="267"/>
      <c r="C116" s="267"/>
      <c r="D116" s="267"/>
      <c r="E116" s="267"/>
      <c r="F116" s="267"/>
      <c r="G116" s="267"/>
      <c r="H116" s="267"/>
      <c r="I116" s="267"/>
      <c r="J116" s="267"/>
      <c r="K116" s="267"/>
      <c r="L116" s="267"/>
      <c r="M116" s="267"/>
      <c r="N116" s="267"/>
      <c r="O116" s="267"/>
      <c r="P116" s="267"/>
      <c r="Q116" s="267"/>
      <c r="R116" s="267"/>
    </row>
    <row r="117" spans="1:18" x14ac:dyDescent="0.2">
      <c r="A117" s="267"/>
      <c r="B117" s="267"/>
      <c r="C117" s="267"/>
      <c r="D117" s="267"/>
      <c r="E117" s="267"/>
      <c r="F117" s="267"/>
      <c r="G117" s="267"/>
      <c r="H117" s="267"/>
      <c r="I117" s="267"/>
      <c r="J117" s="267"/>
      <c r="K117" s="267"/>
      <c r="L117" s="267"/>
      <c r="M117" s="267"/>
      <c r="N117" s="267"/>
      <c r="O117" s="267"/>
      <c r="P117" s="267"/>
      <c r="Q117" s="267"/>
      <c r="R117" s="267"/>
    </row>
    <row r="118" spans="1:18" x14ac:dyDescent="0.2">
      <c r="A118" s="267"/>
      <c r="B118" s="267"/>
      <c r="C118" s="267"/>
      <c r="D118" s="267"/>
      <c r="E118" s="267"/>
      <c r="F118" s="267"/>
      <c r="G118" s="267"/>
      <c r="H118" s="267"/>
      <c r="I118" s="267"/>
      <c r="J118" s="267"/>
      <c r="K118" s="267"/>
      <c r="L118" s="267"/>
      <c r="M118" s="267"/>
      <c r="N118" s="267"/>
      <c r="O118" s="267"/>
      <c r="P118" s="267"/>
      <c r="Q118" s="267"/>
      <c r="R118" s="267"/>
    </row>
    <row r="119" spans="1:18" x14ac:dyDescent="0.2">
      <c r="A119" s="267"/>
      <c r="B119" s="267"/>
      <c r="C119" s="267"/>
      <c r="D119" s="267"/>
      <c r="E119" s="267"/>
      <c r="F119" s="267"/>
      <c r="G119" s="267"/>
      <c r="H119" s="267"/>
      <c r="I119" s="267"/>
      <c r="J119" s="267"/>
      <c r="K119" s="267"/>
      <c r="L119" s="267"/>
      <c r="M119" s="267"/>
      <c r="N119" s="267"/>
      <c r="O119" s="267"/>
      <c r="P119" s="267"/>
      <c r="Q119" s="267"/>
      <c r="R119" s="267"/>
    </row>
    <row r="120" spans="1:18" x14ac:dyDescent="0.2">
      <c r="A120" s="267"/>
      <c r="B120" s="267"/>
      <c r="C120" s="267"/>
      <c r="D120" s="267"/>
      <c r="E120" s="267"/>
      <c r="F120" s="267"/>
      <c r="G120" s="267"/>
      <c r="H120" s="267"/>
      <c r="I120" s="267"/>
      <c r="J120" s="267"/>
      <c r="K120" s="267"/>
      <c r="L120" s="267"/>
      <c r="M120" s="267"/>
      <c r="N120" s="267"/>
      <c r="O120" s="267"/>
      <c r="P120" s="267"/>
      <c r="Q120" s="267"/>
      <c r="R120" s="267"/>
    </row>
    <row r="121" spans="1:18" x14ac:dyDescent="0.2">
      <c r="A121" s="267"/>
      <c r="B121" s="267"/>
      <c r="C121" s="267"/>
      <c r="D121" s="267"/>
      <c r="E121" s="267"/>
      <c r="F121" s="267"/>
      <c r="G121" s="267"/>
      <c r="H121" s="267"/>
      <c r="I121" s="267"/>
      <c r="J121" s="267"/>
      <c r="K121" s="267"/>
      <c r="L121" s="267"/>
      <c r="M121" s="267"/>
      <c r="N121" s="267"/>
      <c r="O121" s="267"/>
      <c r="P121" s="267"/>
      <c r="Q121" s="267"/>
      <c r="R121" s="267"/>
    </row>
    <row r="122" spans="1:18" x14ac:dyDescent="0.2">
      <c r="A122" s="267"/>
      <c r="B122" s="267"/>
      <c r="C122" s="267"/>
      <c r="D122" s="267"/>
      <c r="E122" s="267"/>
      <c r="F122" s="267"/>
      <c r="G122" s="267"/>
      <c r="H122" s="267"/>
      <c r="I122" s="267"/>
      <c r="J122" s="267"/>
      <c r="K122" s="267"/>
      <c r="L122" s="267"/>
      <c r="M122" s="267"/>
      <c r="N122" s="267"/>
      <c r="O122" s="267"/>
      <c r="P122" s="267"/>
      <c r="Q122" s="267"/>
      <c r="R122" s="267"/>
    </row>
    <row r="123" spans="1:18" x14ac:dyDescent="0.2">
      <c r="A123" s="267"/>
      <c r="B123" s="267"/>
      <c r="C123" s="267"/>
      <c r="D123" s="267"/>
      <c r="E123" s="267"/>
      <c r="F123" s="267"/>
      <c r="G123" s="267"/>
      <c r="H123" s="267"/>
      <c r="I123" s="267"/>
      <c r="J123" s="267"/>
      <c r="K123" s="267"/>
      <c r="L123" s="267"/>
      <c r="M123" s="267"/>
      <c r="N123" s="267"/>
      <c r="O123" s="267"/>
      <c r="P123" s="267"/>
      <c r="Q123" s="267"/>
      <c r="R123" s="267"/>
    </row>
    <row r="124" spans="1:18" x14ac:dyDescent="0.2">
      <c r="A124" s="267"/>
      <c r="B124" s="267"/>
      <c r="C124" s="267"/>
      <c r="D124" s="267"/>
      <c r="E124" s="267"/>
      <c r="F124" s="267"/>
      <c r="G124" s="267"/>
      <c r="H124" s="267"/>
      <c r="I124" s="267"/>
      <c r="J124" s="267"/>
      <c r="K124" s="267"/>
      <c r="L124" s="267"/>
      <c r="M124" s="267"/>
      <c r="N124" s="267"/>
      <c r="O124" s="267"/>
      <c r="P124" s="267"/>
      <c r="Q124" s="267"/>
      <c r="R124" s="267"/>
    </row>
    <row r="125" spans="1:18" x14ac:dyDescent="0.2">
      <c r="A125" s="267"/>
      <c r="B125" s="267"/>
      <c r="C125" s="267"/>
      <c r="D125" s="267"/>
      <c r="E125" s="267"/>
      <c r="F125" s="267"/>
      <c r="G125" s="267"/>
      <c r="H125" s="267"/>
      <c r="I125" s="267"/>
      <c r="J125" s="267"/>
      <c r="K125" s="267"/>
      <c r="L125" s="267"/>
      <c r="M125" s="267"/>
      <c r="N125" s="267"/>
      <c r="O125" s="267"/>
      <c r="P125" s="267"/>
      <c r="Q125" s="267"/>
      <c r="R125" s="267"/>
    </row>
    <row r="126" spans="1:18" x14ac:dyDescent="0.2">
      <c r="A126" s="267"/>
      <c r="B126" s="267"/>
      <c r="C126" s="267"/>
      <c r="D126" s="267"/>
      <c r="E126" s="267"/>
      <c r="F126" s="267"/>
      <c r="G126" s="267"/>
      <c r="H126" s="267"/>
      <c r="I126" s="267"/>
      <c r="J126" s="267"/>
      <c r="K126" s="267"/>
      <c r="L126" s="267"/>
      <c r="M126" s="267"/>
      <c r="N126" s="267"/>
      <c r="O126" s="267"/>
      <c r="P126" s="267"/>
      <c r="Q126" s="267"/>
      <c r="R126" s="267"/>
    </row>
    <row r="127" spans="1:18" x14ac:dyDescent="0.2">
      <c r="A127" s="267"/>
      <c r="B127" s="267"/>
      <c r="C127" s="267"/>
      <c r="D127" s="267"/>
      <c r="E127" s="267"/>
      <c r="F127" s="267"/>
      <c r="G127" s="267"/>
      <c r="H127" s="267"/>
      <c r="I127" s="267"/>
      <c r="J127" s="267"/>
      <c r="K127" s="267"/>
      <c r="L127" s="267"/>
      <c r="M127" s="267"/>
      <c r="N127" s="267"/>
      <c r="O127" s="267"/>
      <c r="P127" s="267"/>
      <c r="Q127" s="267"/>
      <c r="R127" s="267"/>
    </row>
    <row r="128" spans="1:18" x14ac:dyDescent="0.2">
      <c r="A128" s="267"/>
      <c r="B128" s="267"/>
      <c r="C128" s="267"/>
      <c r="D128" s="267"/>
      <c r="E128" s="267"/>
      <c r="F128" s="267"/>
      <c r="G128" s="267"/>
      <c r="H128" s="267"/>
      <c r="I128" s="267"/>
      <c r="J128" s="267"/>
      <c r="K128" s="267"/>
      <c r="L128" s="267"/>
      <c r="M128" s="267"/>
      <c r="N128" s="267"/>
      <c r="O128" s="267"/>
      <c r="P128" s="267"/>
      <c r="Q128" s="267"/>
      <c r="R128" s="267"/>
    </row>
    <row r="129" spans="1:18" x14ac:dyDescent="0.2">
      <c r="A129" s="267"/>
      <c r="B129" s="267"/>
      <c r="C129" s="267"/>
      <c r="D129" s="267"/>
      <c r="E129" s="267"/>
      <c r="F129" s="267"/>
      <c r="G129" s="267"/>
      <c r="H129" s="267"/>
      <c r="I129" s="267"/>
      <c r="J129" s="267"/>
      <c r="K129" s="267"/>
      <c r="L129" s="267"/>
      <c r="M129" s="267"/>
      <c r="N129" s="267"/>
      <c r="O129" s="267"/>
      <c r="P129" s="267"/>
      <c r="Q129" s="267"/>
      <c r="R129" s="267"/>
    </row>
    <row r="130" spans="1:18" x14ac:dyDescent="0.2">
      <c r="A130" s="267"/>
      <c r="B130" s="267"/>
      <c r="C130" s="267"/>
      <c r="D130" s="267"/>
      <c r="E130" s="267"/>
      <c r="F130" s="267"/>
      <c r="G130" s="267"/>
      <c r="H130" s="267"/>
      <c r="I130" s="267"/>
      <c r="J130" s="267"/>
      <c r="K130" s="267"/>
      <c r="L130" s="267"/>
      <c r="M130" s="267"/>
      <c r="N130" s="267"/>
      <c r="O130" s="267"/>
      <c r="P130" s="267"/>
      <c r="Q130" s="267"/>
      <c r="R130" s="267"/>
    </row>
    <row r="131" spans="1:18" x14ac:dyDescent="0.2">
      <c r="A131" s="267"/>
      <c r="B131" s="267"/>
      <c r="C131" s="267"/>
      <c r="D131" s="267"/>
      <c r="E131" s="267"/>
      <c r="F131" s="267"/>
      <c r="G131" s="267"/>
      <c r="H131" s="267"/>
      <c r="I131" s="267"/>
      <c r="J131" s="267"/>
      <c r="K131" s="267"/>
      <c r="L131" s="267"/>
      <c r="M131" s="267"/>
      <c r="N131" s="267"/>
      <c r="O131" s="267"/>
      <c r="P131" s="267"/>
      <c r="Q131" s="267"/>
      <c r="R131" s="267"/>
    </row>
    <row r="132" spans="1:18" x14ac:dyDescent="0.2">
      <c r="A132" s="267"/>
      <c r="B132" s="267"/>
      <c r="C132" s="267"/>
      <c r="D132" s="267"/>
      <c r="E132" s="267"/>
      <c r="F132" s="267"/>
      <c r="G132" s="267"/>
      <c r="H132" s="267"/>
      <c r="I132" s="267"/>
      <c r="J132" s="267"/>
      <c r="K132" s="267"/>
      <c r="L132" s="267"/>
      <c r="M132" s="267"/>
      <c r="N132" s="267"/>
      <c r="O132" s="267"/>
      <c r="P132" s="267"/>
      <c r="Q132" s="267"/>
      <c r="R132" s="267"/>
    </row>
    <row r="133" spans="1:18" x14ac:dyDescent="0.2">
      <c r="A133" s="267"/>
      <c r="B133" s="267"/>
      <c r="C133" s="267"/>
      <c r="D133" s="267"/>
      <c r="E133" s="267"/>
      <c r="F133" s="267"/>
      <c r="G133" s="267"/>
      <c r="H133" s="267"/>
      <c r="I133" s="267"/>
      <c r="J133" s="267"/>
      <c r="K133" s="267"/>
      <c r="L133" s="267"/>
      <c r="M133" s="267"/>
      <c r="N133" s="267"/>
      <c r="O133" s="267"/>
      <c r="P133" s="267"/>
      <c r="Q133" s="267"/>
      <c r="R133" s="267"/>
    </row>
    <row r="134" spans="1:18" x14ac:dyDescent="0.2">
      <c r="A134" s="267"/>
      <c r="B134" s="267"/>
      <c r="C134" s="267"/>
      <c r="D134" s="267"/>
      <c r="E134" s="267"/>
      <c r="F134" s="267"/>
      <c r="G134" s="267"/>
      <c r="H134" s="267"/>
      <c r="I134" s="267"/>
      <c r="J134" s="267"/>
      <c r="K134" s="267"/>
      <c r="L134" s="267"/>
      <c r="M134" s="267"/>
      <c r="N134" s="267"/>
      <c r="O134" s="267"/>
      <c r="P134" s="267"/>
      <c r="Q134" s="267"/>
      <c r="R134" s="267"/>
    </row>
    <row r="135" spans="1:18" x14ac:dyDescent="0.2">
      <c r="A135" s="267"/>
      <c r="B135" s="267"/>
      <c r="C135" s="267"/>
      <c r="D135" s="267"/>
      <c r="E135" s="267"/>
      <c r="F135" s="267"/>
      <c r="G135" s="267"/>
      <c r="H135" s="267"/>
      <c r="I135" s="267"/>
      <c r="J135" s="267"/>
      <c r="K135" s="267"/>
      <c r="L135" s="267"/>
      <c r="M135" s="267"/>
      <c r="N135" s="267"/>
      <c r="O135" s="267"/>
      <c r="P135" s="267"/>
      <c r="Q135" s="267"/>
      <c r="R135" s="267"/>
    </row>
    <row r="136" spans="1:18" x14ac:dyDescent="0.2">
      <c r="A136" s="267"/>
      <c r="B136" s="267"/>
      <c r="C136" s="267"/>
      <c r="D136" s="267"/>
      <c r="E136" s="267"/>
      <c r="F136" s="267"/>
      <c r="G136" s="267"/>
      <c r="H136" s="267"/>
      <c r="I136" s="267"/>
      <c r="J136" s="267"/>
      <c r="K136" s="267"/>
      <c r="L136" s="267"/>
      <c r="M136" s="267"/>
      <c r="N136" s="267"/>
      <c r="O136" s="267"/>
      <c r="P136" s="267"/>
      <c r="Q136" s="267"/>
      <c r="R136" s="267"/>
    </row>
    <row r="137" spans="1:18" x14ac:dyDescent="0.2">
      <c r="A137" s="267"/>
      <c r="B137" s="267"/>
      <c r="C137" s="267"/>
      <c r="D137" s="267"/>
      <c r="E137" s="267"/>
      <c r="F137" s="267"/>
      <c r="G137" s="267"/>
      <c r="H137" s="267"/>
      <c r="I137" s="267"/>
      <c r="J137" s="267"/>
      <c r="K137" s="267"/>
      <c r="L137" s="267"/>
      <c r="M137" s="267"/>
      <c r="N137" s="267"/>
      <c r="O137" s="267"/>
      <c r="P137" s="267"/>
      <c r="Q137" s="267"/>
      <c r="R137" s="267"/>
    </row>
    <row r="138" spans="1:18" x14ac:dyDescent="0.2">
      <c r="A138" s="267"/>
      <c r="B138" s="267"/>
      <c r="C138" s="267"/>
      <c r="D138" s="267"/>
      <c r="E138" s="267"/>
      <c r="F138" s="267"/>
      <c r="G138" s="267"/>
      <c r="H138" s="267"/>
      <c r="I138" s="267"/>
      <c r="J138" s="267"/>
      <c r="K138" s="267"/>
      <c r="L138" s="267"/>
      <c r="M138" s="267"/>
      <c r="N138" s="267"/>
      <c r="O138" s="267"/>
      <c r="P138" s="267"/>
      <c r="Q138" s="267"/>
      <c r="R138" s="267"/>
    </row>
    <row r="139" spans="1:18" x14ac:dyDescent="0.2">
      <c r="A139" s="267"/>
      <c r="B139" s="267"/>
      <c r="C139" s="267"/>
      <c r="D139" s="267"/>
      <c r="E139" s="267"/>
      <c r="F139" s="267"/>
      <c r="G139" s="267"/>
      <c r="H139" s="267"/>
      <c r="I139" s="267"/>
      <c r="J139" s="267"/>
      <c r="K139" s="267"/>
      <c r="L139" s="267"/>
      <c r="M139" s="267"/>
      <c r="N139" s="267"/>
      <c r="O139" s="267"/>
      <c r="P139" s="267"/>
      <c r="Q139" s="267"/>
      <c r="R139" s="267"/>
    </row>
    <row r="140" spans="1:18" x14ac:dyDescent="0.2">
      <c r="A140" s="267"/>
      <c r="B140" s="267"/>
      <c r="C140" s="267"/>
      <c r="D140" s="267"/>
      <c r="E140" s="267"/>
      <c r="F140" s="267"/>
      <c r="G140" s="267"/>
      <c r="H140" s="267"/>
      <c r="I140" s="267"/>
      <c r="J140" s="267"/>
      <c r="K140" s="267"/>
      <c r="L140" s="267"/>
      <c r="M140" s="267"/>
      <c r="N140" s="267"/>
      <c r="O140" s="267"/>
      <c r="P140" s="267"/>
      <c r="Q140" s="267"/>
      <c r="R140" s="267"/>
    </row>
    <row r="141" spans="1:18" x14ac:dyDescent="0.2">
      <c r="A141" s="267"/>
      <c r="B141" s="267"/>
      <c r="C141" s="267"/>
      <c r="D141" s="267"/>
      <c r="E141" s="267"/>
      <c r="F141" s="267"/>
      <c r="G141" s="267"/>
      <c r="H141" s="267"/>
      <c r="I141" s="267"/>
      <c r="J141" s="267"/>
      <c r="K141" s="267"/>
      <c r="L141" s="267"/>
      <c r="M141" s="267"/>
      <c r="N141" s="267"/>
      <c r="O141" s="267"/>
      <c r="P141" s="267"/>
      <c r="Q141" s="267"/>
      <c r="R141" s="267"/>
    </row>
    <row r="142" spans="1:18" x14ac:dyDescent="0.2">
      <c r="A142" s="267"/>
      <c r="B142" s="267"/>
      <c r="C142" s="267"/>
      <c r="D142" s="267"/>
      <c r="E142" s="267"/>
      <c r="F142" s="267"/>
      <c r="G142" s="267"/>
      <c r="H142" s="267"/>
      <c r="I142" s="267"/>
      <c r="J142" s="267"/>
      <c r="K142" s="267"/>
      <c r="L142" s="267"/>
      <c r="M142" s="267"/>
      <c r="N142" s="267"/>
      <c r="O142" s="267"/>
      <c r="P142" s="267"/>
      <c r="Q142" s="267"/>
      <c r="R142" s="267"/>
    </row>
    <row r="143" spans="1:18" x14ac:dyDescent="0.2">
      <c r="A143" s="267"/>
      <c r="B143" s="267"/>
      <c r="C143" s="267"/>
      <c r="D143" s="267"/>
      <c r="E143" s="267"/>
      <c r="F143" s="267"/>
      <c r="G143" s="267"/>
      <c r="H143" s="267"/>
      <c r="I143" s="267"/>
      <c r="J143" s="267"/>
      <c r="K143" s="267"/>
      <c r="L143" s="267"/>
      <c r="M143" s="267"/>
      <c r="N143" s="267"/>
      <c r="O143" s="267"/>
      <c r="P143" s="267"/>
      <c r="Q143" s="267"/>
      <c r="R143" s="267"/>
    </row>
    <row r="144" spans="1:18" x14ac:dyDescent="0.2">
      <c r="A144" s="267"/>
      <c r="B144" s="267"/>
      <c r="C144" s="267"/>
      <c r="D144" s="267"/>
      <c r="E144" s="267"/>
      <c r="F144" s="267"/>
      <c r="G144" s="267"/>
      <c r="H144" s="267"/>
      <c r="I144" s="267"/>
      <c r="J144" s="267"/>
      <c r="K144" s="267"/>
      <c r="L144" s="267"/>
      <c r="M144" s="267"/>
      <c r="N144" s="267"/>
      <c r="O144" s="267"/>
      <c r="P144" s="267"/>
      <c r="Q144" s="267"/>
      <c r="R144" s="267"/>
    </row>
    <row r="145" spans="1:18" x14ac:dyDescent="0.2">
      <c r="A145" s="267"/>
      <c r="B145" s="267"/>
      <c r="C145" s="267"/>
      <c r="D145" s="267"/>
      <c r="E145" s="267"/>
      <c r="F145" s="267"/>
      <c r="G145" s="267"/>
      <c r="H145" s="267"/>
      <c r="I145" s="267"/>
      <c r="J145" s="267"/>
      <c r="K145" s="267"/>
      <c r="L145" s="267"/>
      <c r="M145" s="267"/>
      <c r="N145" s="267"/>
      <c r="O145" s="267"/>
      <c r="P145" s="267"/>
      <c r="Q145" s="267"/>
      <c r="R145" s="267"/>
    </row>
    <row r="146" spans="1:18" x14ac:dyDescent="0.2">
      <c r="A146" s="267"/>
      <c r="B146" s="267"/>
      <c r="C146" s="267"/>
      <c r="D146" s="267"/>
      <c r="E146" s="267"/>
      <c r="F146" s="267"/>
      <c r="G146" s="267"/>
      <c r="H146" s="267"/>
      <c r="I146" s="267"/>
      <c r="J146" s="267"/>
      <c r="K146" s="267"/>
      <c r="L146" s="267"/>
      <c r="M146" s="267"/>
      <c r="N146" s="267"/>
      <c r="O146" s="267"/>
      <c r="P146" s="267"/>
      <c r="Q146" s="267"/>
      <c r="R146" s="267"/>
    </row>
    <row r="147" spans="1:18" x14ac:dyDescent="0.2">
      <c r="A147" s="267"/>
      <c r="B147" s="267"/>
      <c r="C147" s="267"/>
      <c r="D147" s="267"/>
      <c r="E147" s="267"/>
      <c r="F147" s="267"/>
      <c r="G147" s="267"/>
      <c r="H147" s="267"/>
      <c r="I147" s="267"/>
      <c r="J147" s="267"/>
      <c r="K147" s="267"/>
      <c r="L147" s="267"/>
      <c r="M147" s="267"/>
      <c r="N147" s="267"/>
      <c r="O147" s="267"/>
      <c r="P147" s="267"/>
      <c r="Q147" s="267"/>
      <c r="R147" s="267"/>
    </row>
    <row r="148" spans="1:18" x14ac:dyDescent="0.2">
      <c r="A148" s="267"/>
      <c r="B148" s="267"/>
      <c r="C148" s="267"/>
      <c r="D148" s="267"/>
      <c r="E148" s="267"/>
      <c r="F148" s="267"/>
      <c r="G148" s="267"/>
      <c r="H148" s="267"/>
      <c r="I148" s="267"/>
      <c r="J148" s="267"/>
      <c r="K148" s="267"/>
      <c r="L148" s="267"/>
      <c r="M148" s="267"/>
      <c r="N148" s="267"/>
      <c r="O148" s="267"/>
      <c r="P148" s="267"/>
      <c r="Q148" s="267"/>
      <c r="R148" s="267"/>
    </row>
    <row r="149" spans="1:18" x14ac:dyDescent="0.2">
      <c r="A149" s="267"/>
      <c r="B149" s="267"/>
      <c r="C149" s="267"/>
      <c r="D149" s="267"/>
      <c r="E149" s="267"/>
      <c r="F149" s="267"/>
      <c r="G149" s="267"/>
      <c r="H149" s="267"/>
      <c r="I149" s="267"/>
      <c r="J149" s="267"/>
      <c r="K149" s="267"/>
      <c r="L149" s="267"/>
      <c r="M149" s="267"/>
      <c r="N149" s="267"/>
      <c r="O149" s="267"/>
      <c r="P149" s="267"/>
      <c r="Q149" s="267"/>
      <c r="R149" s="267"/>
    </row>
    <row r="150" spans="1:18" x14ac:dyDescent="0.2">
      <c r="A150" s="267"/>
      <c r="B150" s="267"/>
      <c r="C150" s="267"/>
      <c r="D150" s="267"/>
      <c r="E150" s="267"/>
      <c r="F150" s="267"/>
      <c r="G150" s="267"/>
      <c r="H150" s="267"/>
      <c r="I150" s="267"/>
      <c r="J150" s="267"/>
      <c r="K150" s="267"/>
      <c r="L150" s="267"/>
      <c r="M150" s="267"/>
      <c r="N150" s="267"/>
      <c r="O150" s="267"/>
      <c r="P150" s="267"/>
      <c r="Q150" s="267"/>
      <c r="R150" s="267"/>
    </row>
    <row r="151" spans="1:18" x14ac:dyDescent="0.2">
      <c r="A151" s="267"/>
      <c r="B151" s="267"/>
      <c r="C151" s="267"/>
      <c r="D151" s="267"/>
      <c r="E151" s="267"/>
      <c r="F151" s="267"/>
      <c r="G151" s="267"/>
      <c r="H151" s="267"/>
      <c r="I151" s="267"/>
      <c r="J151" s="267"/>
      <c r="K151" s="267"/>
      <c r="L151" s="267"/>
      <c r="M151" s="267"/>
      <c r="N151" s="267"/>
      <c r="O151" s="267"/>
      <c r="P151" s="267"/>
      <c r="Q151" s="267"/>
      <c r="R151" s="267"/>
    </row>
    <row r="152" spans="1:18" x14ac:dyDescent="0.2">
      <c r="A152" s="267"/>
      <c r="B152" s="267"/>
      <c r="C152" s="267"/>
      <c r="D152" s="267"/>
      <c r="E152" s="267"/>
      <c r="F152" s="267"/>
      <c r="G152" s="267"/>
      <c r="H152" s="267"/>
      <c r="I152" s="267"/>
      <c r="J152" s="267"/>
      <c r="K152" s="267"/>
      <c r="L152" s="267"/>
      <c r="M152" s="267"/>
      <c r="N152" s="267"/>
      <c r="O152" s="267"/>
      <c r="P152" s="267"/>
      <c r="Q152" s="267"/>
      <c r="R152" s="267"/>
    </row>
    <row r="153" spans="1:18" x14ac:dyDescent="0.2">
      <c r="A153" s="267"/>
      <c r="B153" s="267"/>
      <c r="C153" s="267"/>
      <c r="D153" s="267"/>
      <c r="E153" s="267"/>
      <c r="F153" s="267"/>
      <c r="G153" s="267"/>
      <c r="H153" s="267"/>
      <c r="I153" s="267"/>
      <c r="J153" s="267"/>
      <c r="K153" s="267"/>
      <c r="L153" s="267"/>
      <c r="M153" s="267"/>
      <c r="N153" s="267"/>
      <c r="O153" s="267"/>
      <c r="P153" s="267"/>
      <c r="Q153" s="267"/>
      <c r="R153" s="267"/>
    </row>
    <row r="154" spans="1:18" x14ac:dyDescent="0.2">
      <c r="A154" s="267"/>
      <c r="B154" s="267"/>
      <c r="C154" s="267"/>
      <c r="D154" s="267"/>
      <c r="E154" s="267"/>
      <c r="F154" s="267"/>
      <c r="G154" s="267"/>
      <c r="H154" s="267"/>
      <c r="I154" s="267"/>
      <c r="J154" s="267"/>
      <c r="K154" s="267"/>
      <c r="L154" s="267"/>
      <c r="M154" s="267"/>
      <c r="N154" s="267"/>
      <c r="O154" s="267"/>
      <c r="P154" s="267"/>
      <c r="Q154" s="267"/>
      <c r="R154" s="267"/>
    </row>
    <row r="155" spans="1:18" x14ac:dyDescent="0.2">
      <c r="A155" s="267"/>
      <c r="B155" s="267"/>
      <c r="C155" s="267"/>
      <c r="D155" s="267"/>
      <c r="E155" s="267"/>
      <c r="F155" s="267"/>
      <c r="G155" s="267"/>
      <c r="H155" s="267"/>
      <c r="I155" s="267"/>
      <c r="J155" s="267"/>
      <c r="K155" s="267"/>
      <c r="L155" s="267"/>
      <c r="M155" s="267"/>
      <c r="N155" s="267"/>
      <c r="O155" s="267"/>
      <c r="P155" s="267"/>
      <c r="Q155" s="267"/>
      <c r="R155" s="267"/>
    </row>
    <row r="156" spans="1:18" x14ac:dyDescent="0.2">
      <c r="A156" s="267"/>
      <c r="B156" s="267"/>
      <c r="C156" s="267"/>
      <c r="D156" s="267"/>
      <c r="E156" s="267"/>
      <c r="F156" s="267"/>
      <c r="G156" s="267"/>
      <c r="H156" s="267"/>
      <c r="I156" s="267"/>
      <c r="J156" s="267"/>
      <c r="K156" s="267"/>
      <c r="L156" s="267"/>
      <c r="M156" s="267"/>
      <c r="N156" s="267"/>
      <c r="O156" s="267"/>
      <c r="P156" s="267"/>
      <c r="Q156" s="267"/>
      <c r="R156" s="267"/>
    </row>
    <row r="157" spans="1:18" x14ac:dyDescent="0.2">
      <c r="A157" s="267"/>
      <c r="B157" s="267"/>
      <c r="C157" s="267"/>
      <c r="D157" s="267"/>
      <c r="E157" s="267"/>
      <c r="F157" s="267"/>
      <c r="G157" s="267"/>
      <c r="H157" s="267"/>
      <c r="I157" s="267"/>
      <c r="J157" s="267"/>
      <c r="K157" s="267"/>
      <c r="L157" s="267"/>
      <c r="M157" s="267"/>
      <c r="N157" s="267"/>
      <c r="O157" s="267"/>
      <c r="P157" s="267"/>
      <c r="Q157" s="267"/>
      <c r="R157" s="267"/>
    </row>
    <row r="158" spans="1:18" x14ac:dyDescent="0.2">
      <c r="A158" s="267"/>
      <c r="B158" s="267"/>
      <c r="C158" s="267"/>
      <c r="D158" s="267"/>
      <c r="E158" s="267"/>
      <c r="F158" s="267"/>
      <c r="G158" s="267"/>
      <c r="H158" s="267"/>
      <c r="I158" s="267"/>
      <c r="J158" s="267"/>
      <c r="K158" s="267"/>
      <c r="L158" s="267"/>
      <c r="M158" s="267"/>
      <c r="N158" s="267"/>
      <c r="O158" s="267"/>
      <c r="P158" s="267"/>
      <c r="Q158" s="267"/>
      <c r="R158" s="267"/>
    </row>
    <row r="159" spans="1:18" x14ac:dyDescent="0.2">
      <c r="A159" s="267"/>
      <c r="B159" s="267"/>
      <c r="C159" s="267"/>
      <c r="D159" s="267"/>
      <c r="E159" s="267"/>
      <c r="F159" s="267"/>
      <c r="G159" s="267"/>
      <c r="H159" s="267"/>
      <c r="I159" s="267"/>
      <c r="J159" s="267"/>
      <c r="K159" s="267"/>
      <c r="L159" s="267"/>
      <c r="M159" s="267"/>
      <c r="N159" s="267"/>
      <c r="O159" s="267"/>
      <c r="P159" s="267"/>
      <c r="Q159" s="267"/>
      <c r="R159" s="267"/>
    </row>
    <row r="160" spans="1:18" x14ac:dyDescent="0.2">
      <c r="A160" s="267"/>
      <c r="B160" s="267"/>
      <c r="C160" s="267"/>
      <c r="D160" s="267"/>
      <c r="E160" s="267"/>
      <c r="F160" s="267"/>
      <c r="G160" s="267"/>
      <c r="H160" s="267"/>
      <c r="I160" s="267"/>
      <c r="J160" s="267"/>
      <c r="K160" s="267"/>
      <c r="L160" s="267"/>
      <c r="M160" s="267"/>
      <c r="N160" s="267"/>
      <c r="O160" s="267"/>
      <c r="P160" s="267"/>
      <c r="Q160" s="267"/>
      <c r="R160" s="267"/>
    </row>
    <row r="161" spans="1:18" x14ac:dyDescent="0.2">
      <c r="A161" s="267"/>
      <c r="B161" s="267"/>
      <c r="C161" s="267"/>
      <c r="D161" s="267"/>
      <c r="E161" s="267"/>
      <c r="F161" s="267"/>
      <c r="G161" s="267"/>
      <c r="H161" s="267"/>
      <c r="I161" s="267"/>
      <c r="J161" s="267"/>
      <c r="K161" s="267"/>
      <c r="L161" s="267"/>
      <c r="M161" s="267"/>
      <c r="N161" s="267"/>
      <c r="O161" s="267"/>
      <c r="P161" s="267"/>
      <c r="Q161" s="267"/>
      <c r="R161" s="267"/>
    </row>
    <row r="162" spans="1:18" x14ac:dyDescent="0.2">
      <c r="A162" s="267"/>
      <c r="B162" s="267"/>
      <c r="C162" s="267"/>
      <c r="D162" s="267"/>
      <c r="E162" s="267"/>
      <c r="F162" s="267"/>
      <c r="G162" s="267"/>
      <c r="H162" s="267"/>
      <c r="I162" s="267"/>
      <c r="J162" s="267"/>
      <c r="K162" s="267"/>
      <c r="L162" s="267"/>
      <c r="M162" s="267"/>
      <c r="N162" s="267"/>
      <c r="O162" s="267"/>
      <c r="P162" s="267"/>
      <c r="Q162" s="267"/>
      <c r="R162" s="267"/>
    </row>
    <row r="163" spans="1:18" x14ac:dyDescent="0.2">
      <c r="A163" s="267"/>
      <c r="B163" s="267"/>
      <c r="C163" s="267"/>
      <c r="D163" s="267"/>
      <c r="E163" s="267"/>
      <c r="F163" s="267"/>
      <c r="G163" s="267"/>
      <c r="H163" s="267"/>
      <c r="I163" s="267"/>
      <c r="J163" s="267"/>
      <c r="K163" s="267"/>
      <c r="L163" s="267"/>
      <c r="M163" s="267"/>
      <c r="N163" s="267"/>
      <c r="O163" s="267"/>
      <c r="P163" s="267"/>
      <c r="Q163" s="267"/>
      <c r="R163" s="267"/>
    </row>
    <row r="164" spans="1:18" x14ac:dyDescent="0.2">
      <c r="A164" s="267"/>
      <c r="B164" s="267"/>
      <c r="C164" s="267"/>
      <c r="D164" s="267"/>
      <c r="E164" s="267"/>
      <c r="F164" s="267"/>
      <c r="G164" s="267"/>
      <c r="H164" s="267"/>
      <c r="I164" s="267"/>
      <c r="J164" s="267"/>
      <c r="K164" s="267"/>
      <c r="L164" s="267"/>
      <c r="M164" s="267"/>
      <c r="N164" s="267"/>
      <c r="O164" s="267"/>
      <c r="P164" s="267"/>
      <c r="Q164" s="267"/>
      <c r="R164" s="267"/>
    </row>
    <row r="165" spans="1:18" x14ac:dyDescent="0.2">
      <c r="A165" s="267"/>
      <c r="B165" s="267"/>
      <c r="C165" s="267"/>
      <c r="D165" s="267"/>
      <c r="E165" s="267"/>
      <c r="F165" s="267"/>
      <c r="G165" s="267"/>
      <c r="H165" s="267"/>
      <c r="I165" s="267"/>
      <c r="J165" s="267"/>
      <c r="K165" s="267"/>
      <c r="L165" s="267"/>
      <c r="M165" s="267"/>
      <c r="N165" s="267"/>
      <c r="O165" s="267"/>
      <c r="P165" s="267"/>
      <c r="Q165" s="267"/>
      <c r="R165" s="267"/>
    </row>
    <row r="166" spans="1:18" x14ac:dyDescent="0.2">
      <c r="A166" s="267"/>
      <c r="B166" s="267"/>
      <c r="C166" s="267"/>
      <c r="D166" s="267"/>
      <c r="E166" s="267"/>
      <c r="F166" s="267"/>
      <c r="G166" s="267"/>
      <c r="H166" s="267"/>
      <c r="I166" s="267"/>
      <c r="J166" s="267"/>
      <c r="K166" s="267"/>
      <c r="L166" s="267"/>
      <c r="M166" s="267"/>
      <c r="N166" s="267"/>
      <c r="O166" s="267"/>
      <c r="P166" s="267"/>
      <c r="Q166" s="267"/>
      <c r="R166" s="267"/>
    </row>
    <row r="167" spans="1:18" x14ac:dyDescent="0.2">
      <c r="A167" s="267"/>
      <c r="B167" s="267"/>
      <c r="C167" s="267"/>
      <c r="D167" s="267"/>
      <c r="E167" s="267"/>
      <c r="F167" s="267"/>
      <c r="G167" s="267"/>
      <c r="H167" s="267"/>
      <c r="I167" s="267"/>
      <c r="J167" s="267"/>
      <c r="K167" s="267"/>
      <c r="L167" s="267"/>
      <c r="M167" s="267"/>
      <c r="N167" s="267"/>
      <c r="O167" s="267"/>
      <c r="P167" s="267"/>
      <c r="Q167" s="267"/>
      <c r="R167" s="267"/>
    </row>
    <row r="168" spans="1:18" x14ac:dyDescent="0.2">
      <c r="A168" s="267"/>
      <c r="B168" s="267"/>
      <c r="C168" s="267"/>
      <c r="D168" s="267"/>
      <c r="E168" s="267"/>
      <c r="F168" s="267"/>
      <c r="G168" s="267"/>
      <c r="H168" s="267"/>
      <c r="I168" s="267"/>
      <c r="J168" s="267"/>
      <c r="K168" s="267"/>
      <c r="L168" s="267"/>
      <c r="M168" s="267"/>
      <c r="N168" s="267"/>
      <c r="O168" s="267"/>
      <c r="P168" s="267"/>
      <c r="Q168" s="267"/>
      <c r="R168" s="267"/>
    </row>
    <row r="169" spans="1:18" x14ac:dyDescent="0.2">
      <c r="A169" s="267"/>
      <c r="B169" s="267"/>
      <c r="C169" s="267"/>
      <c r="D169" s="267"/>
      <c r="E169" s="267"/>
      <c r="F169" s="267"/>
      <c r="G169" s="267"/>
      <c r="H169" s="267"/>
      <c r="I169" s="267"/>
      <c r="J169" s="267"/>
      <c r="K169" s="267"/>
      <c r="L169" s="267"/>
      <c r="M169" s="267"/>
      <c r="N169" s="267"/>
      <c r="O169" s="267"/>
      <c r="P169" s="267"/>
      <c r="Q169" s="267"/>
      <c r="R169" s="267"/>
    </row>
    <row r="170" spans="1:18" x14ac:dyDescent="0.2">
      <c r="A170" s="267"/>
      <c r="B170" s="267"/>
      <c r="C170" s="267"/>
      <c r="D170" s="267"/>
      <c r="E170" s="267"/>
      <c r="F170" s="267"/>
      <c r="G170" s="267"/>
      <c r="H170" s="267"/>
      <c r="I170" s="267"/>
      <c r="J170" s="267"/>
      <c r="K170" s="267"/>
      <c r="L170" s="267"/>
      <c r="M170" s="267"/>
      <c r="N170" s="267"/>
      <c r="O170" s="267"/>
      <c r="P170" s="267"/>
      <c r="Q170" s="267"/>
      <c r="R170" s="267"/>
    </row>
    <row r="171" spans="1:18" x14ac:dyDescent="0.2">
      <c r="A171" s="267"/>
      <c r="B171" s="267"/>
      <c r="C171" s="267"/>
      <c r="D171" s="267"/>
      <c r="E171" s="267"/>
      <c r="F171" s="267"/>
      <c r="G171" s="267"/>
      <c r="H171" s="267"/>
      <c r="I171" s="267"/>
      <c r="J171" s="267"/>
      <c r="K171" s="267"/>
      <c r="L171" s="267"/>
      <c r="M171" s="267"/>
      <c r="N171" s="267"/>
      <c r="O171" s="267"/>
      <c r="P171" s="267"/>
      <c r="Q171" s="267"/>
      <c r="R171" s="267"/>
    </row>
    <row r="172" spans="1:18" x14ac:dyDescent="0.2">
      <c r="A172" s="267"/>
      <c r="B172" s="267"/>
      <c r="C172" s="267"/>
      <c r="D172" s="267"/>
      <c r="E172" s="267"/>
      <c r="F172" s="267"/>
      <c r="G172" s="267"/>
      <c r="H172" s="267"/>
      <c r="I172" s="267"/>
      <c r="J172" s="267"/>
      <c r="K172" s="267"/>
      <c r="L172" s="267"/>
      <c r="M172" s="267"/>
      <c r="N172" s="267"/>
      <c r="O172" s="267"/>
      <c r="P172" s="267"/>
      <c r="Q172" s="267"/>
      <c r="R172" s="267"/>
    </row>
    <row r="173" spans="1:18" x14ac:dyDescent="0.2">
      <c r="A173" s="267"/>
      <c r="B173" s="267"/>
      <c r="C173" s="267"/>
      <c r="D173" s="267"/>
      <c r="E173" s="267"/>
      <c r="F173" s="267"/>
      <c r="G173" s="267"/>
      <c r="H173" s="267"/>
      <c r="I173" s="267"/>
      <c r="J173" s="267"/>
      <c r="K173" s="267"/>
      <c r="L173" s="267"/>
      <c r="M173" s="267"/>
      <c r="N173" s="267"/>
      <c r="O173" s="267"/>
      <c r="P173" s="267"/>
      <c r="Q173" s="267"/>
      <c r="R173" s="267"/>
    </row>
    <row r="174" spans="1:18" x14ac:dyDescent="0.2">
      <c r="A174" s="267"/>
      <c r="B174" s="267"/>
      <c r="C174" s="267"/>
      <c r="D174" s="267"/>
      <c r="E174" s="267"/>
      <c r="F174" s="267"/>
      <c r="G174" s="267"/>
      <c r="H174" s="267"/>
      <c r="I174" s="267"/>
      <c r="J174" s="267"/>
      <c r="K174" s="267"/>
      <c r="L174" s="267"/>
      <c r="M174" s="267"/>
      <c r="N174" s="267"/>
      <c r="O174" s="267"/>
      <c r="P174" s="267"/>
      <c r="Q174" s="267"/>
      <c r="R174" s="267"/>
    </row>
    <row r="175" spans="1:18" x14ac:dyDescent="0.2">
      <c r="A175" s="267"/>
      <c r="B175" s="267"/>
      <c r="C175" s="267"/>
      <c r="D175" s="267"/>
      <c r="E175" s="267"/>
      <c r="F175" s="267"/>
      <c r="G175" s="267"/>
      <c r="H175" s="267"/>
      <c r="I175" s="267"/>
      <c r="J175" s="267"/>
      <c r="K175" s="267"/>
      <c r="L175" s="267"/>
      <c r="M175" s="267"/>
      <c r="N175" s="267"/>
      <c r="O175" s="267"/>
      <c r="P175" s="267"/>
      <c r="Q175" s="267"/>
      <c r="R175" s="267"/>
    </row>
    <row r="176" spans="1:18" x14ac:dyDescent="0.2">
      <c r="A176" s="267"/>
      <c r="B176" s="267"/>
      <c r="C176" s="267"/>
      <c r="D176" s="267"/>
      <c r="E176" s="267"/>
      <c r="F176" s="267"/>
      <c r="G176" s="267"/>
      <c r="H176" s="267"/>
      <c r="I176" s="267"/>
      <c r="J176" s="267"/>
      <c r="K176" s="267"/>
      <c r="L176" s="267"/>
      <c r="M176" s="267"/>
      <c r="N176" s="267"/>
      <c r="O176" s="267"/>
      <c r="P176" s="267"/>
      <c r="Q176" s="267"/>
      <c r="R176" s="267"/>
    </row>
    <row r="177" spans="1:18" x14ac:dyDescent="0.2">
      <c r="A177" s="267"/>
      <c r="B177" s="267"/>
      <c r="C177" s="267"/>
      <c r="D177" s="267"/>
      <c r="E177" s="267"/>
      <c r="F177" s="267"/>
      <c r="G177" s="267"/>
      <c r="H177" s="267"/>
      <c r="I177" s="267"/>
      <c r="J177" s="267"/>
      <c r="K177" s="267"/>
      <c r="L177" s="267"/>
      <c r="M177" s="267"/>
      <c r="N177" s="267"/>
      <c r="O177" s="267"/>
      <c r="P177" s="267"/>
      <c r="Q177" s="267"/>
      <c r="R177" s="267"/>
    </row>
    <row r="178" spans="1:18" x14ac:dyDescent="0.2">
      <c r="A178" s="267"/>
      <c r="B178" s="267"/>
      <c r="C178" s="267"/>
      <c r="D178" s="267"/>
      <c r="E178" s="267"/>
      <c r="F178" s="267"/>
      <c r="G178" s="267"/>
      <c r="H178" s="267"/>
      <c r="I178" s="267"/>
      <c r="J178" s="267"/>
      <c r="K178" s="267"/>
      <c r="L178" s="267"/>
      <c r="M178" s="267"/>
      <c r="N178" s="267"/>
      <c r="O178" s="267"/>
      <c r="P178" s="267"/>
      <c r="Q178" s="267"/>
      <c r="R178" s="267"/>
    </row>
    <row r="179" spans="1:18" x14ac:dyDescent="0.2">
      <c r="A179" s="267"/>
      <c r="B179" s="267"/>
      <c r="C179" s="267"/>
      <c r="D179" s="267"/>
      <c r="E179" s="267"/>
      <c r="F179" s="267"/>
      <c r="G179" s="267"/>
      <c r="H179" s="267"/>
      <c r="I179" s="267"/>
      <c r="J179" s="267"/>
      <c r="K179" s="267"/>
      <c r="L179" s="267"/>
      <c r="M179" s="267"/>
      <c r="N179" s="267"/>
      <c r="O179" s="267"/>
      <c r="P179" s="267"/>
      <c r="Q179" s="267"/>
      <c r="R179" s="267"/>
    </row>
    <row r="180" spans="1:18" x14ac:dyDescent="0.2">
      <c r="A180" s="267"/>
      <c r="B180" s="267"/>
      <c r="C180" s="267"/>
      <c r="D180" s="267"/>
      <c r="E180" s="267"/>
      <c r="F180" s="267"/>
      <c r="G180" s="267"/>
      <c r="H180" s="267"/>
      <c r="I180" s="267"/>
      <c r="J180" s="267"/>
      <c r="K180" s="267"/>
      <c r="L180" s="267"/>
      <c r="M180" s="267"/>
      <c r="N180" s="267"/>
      <c r="O180" s="267"/>
      <c r="P180" s="267"/>
      <c r="Q180" s="267"/>
      <c r="R180" s="267"/>
    </row>
    <row r="181" spans="1:18" x14ac:dyDescent="0.2">
      <c r="A181" s="267"/>
      <c r="B181" s="267"/>
      <c r="C181" s="267"/>
      <c r="D181" s="267"/>
      <c r="E181" s="267"/>
      <c r="F181" s="267"/>
      <c r="G181" s="267"/>
      <c r="H181" s="267"/>
      <c r="I181" s="267"/>
      <c r="J181" s="267"/>
      <c r="K181" s="267"/>
      <c r="L181" s="267"/>
      <c r="M181" s="267"/>
      <c r="N181" s="267"/>
      <c r="O181" s="267"/>
      <c r="P181" s="267"/>
      <c r="Q181" s="267"/>
      <c r="R181" s="267"/>
    </row>
    <row r="182" spans="1:18" x14ac:dyDescent="0.2">
      <c r="A182" s="267"/>
      <c r="B182" s="267"/>
      <c r="C182" s="267"/>
      <c r="D182" s="267"/>
      <c r="E182" s="267"/>
      <c r="F182" s="267"/>
      <c r="G182" s="267"/>
      <c r="H182" s="267"/>
      <c r="I182" s="267"/>
      <c r="J182" s="267"/>
      <c r="K182" s="267"/>
      <c r="L182" s="267"/>
      <c r="M182" s="267"/>
      <c r="N182" s="267"/>
      <c r="O182" s="267"/>
      <c r="P182" s="267"/>
      <c r="Q182" s="267"/>
      <c r="R182" s="267"/>
    </row>
    <row r="183" spans="1:18" x14ac:dyDescent="0.2">
      <c r="A183" s="267"/>
      <c r="B183" s="267"/>
      <c r="C183" s="267"/>
      <c r="D183" s="267"/>
      <c r="E183" s="267"/>
      <c r="F183" s="267"/>
      <c r="G183" s="267"/>
      <c r="H183" s="267"/>
      <c r="I183" s="267"/>
      <c r="J183" s="267"/>
      <c r="K183" s="267"/>
      <c r="L183" s="267"/>
      <c r="M183" s="267"/>
      <c r="N183" s="267"/>
      <c r="O183" s="267"/>
      <c r="P183" s="267"/>
      <c r="Q183" s="267"/>
      <c r="R183" s="267"/>
    </row>
    <row r="184" spans="1:18" x14ac:dyDescent="0.2">
      <c r="A184"/>
      <c r="B184" s="267"/>
      <c r="C184"/>
      <c r="D184"/>
      <c r="E184"/>
      <c r="F184"/>
      <c r="G184"/>
      <c r="H184"/>
      <c r="I184"/>
      <c r="J184"/>
      <c r="K184"/>
      <c r="L184"/>
      <c r="M184"/>
      <c r="N184"/>
      <c r="O184"/>
      <c r="P184"/>
      <c r="Q184" s="267"/>
      <c r="R184"/>
    </row>
    <row r="185" spans="1:18" x14ac:dyDescent="0.2">
      <c r="A185"/>
      <c r="B185" s="267"/>
      <c r="C185"/>
      <c r="D185"/>
      <c r="E185"/>
      <c r="F185"/>
      <c r="G185"/>
      <c r="H185"/>
      <c r="I185"/>
      <c r="J185"/>
      <c r="K185"/>
      <c r="L185"/>
      <c r="M185"/>
      <c r="N185"/>
      <c r="O185"/>
      <c r="P185"/>
      <c r="Q185" s="267"/>
      <c r="R185"/>
    </row>
    <row r="186" spans="1:18" x14ac:dyDescent="0.2">
      <c r="A186"/>
      <c r="B186" s="267"/>
      <c r="C186"/>
      <c r="D186"/>
      <c r="E186"/>
      <c r="F186"/>
      <c r="G186"/>
      <c r="H186"/>
      <c r="I186"/>
      <c r="J186"/>
      <c r="K186"/>
      <c r="L186"/>
      <c r="M186"/>
      <c r="N186"/>
      <c r="O186"/>
      <c r="P186"/>
      <c r="Q186" s="267"/>
      <c r="R186"/>
    </row>
    <row r="187" spans="1:18" x14ac:dyDescent="0.2">
      <c r="A187" s="267"/>
      <c r="B187" s="267"/>
      <c r="C187" s="267"/>
      <c r="D187" s="267"/>
      <c r="E187" s="267"/>
      <c r="F187" s="267"/>
      <c r="G187" s="267"/>
      <c r="H187" s="267"/>
      <c r="I187" s="267"/>
      <c r="J187" s="267"/>
      <c r="K187" s="267"/>
      <c r="L187" s="267"/>
      <c r="M187" s="267"/>
      <c r="N187" s="267"/>
      <c r="O187" s="267"/>
      <c r="P187" s="267"/>
      <c r="Q187" s="267"/>
      <c r="R187" s="267"/>
    </row>
    <row r="188" spans="1:18" x14ac:dyDescent="0.2">
      <c r="A188" s="267"/>
      <c r="B188" s="267"/>
      <c r="C188" s="267"/>
      <c r="D188" s="267"/>
      <c r="E188" s="267"/>
      <c r="F188" s="267"/>
      <c r="G188" s="267"/>
      <c r="H188" s="267"/>
      <c r="I188" s="267"/>
      <c r="J188" s="267"/>
      <c r="K188" s="267"/>
      <c r="L188" s="267"/>
      <c r="M188" s="267"/>
      <c r="N188" s="267"/>
      <c r="O188" s="267"/>
      <c r="P188" s="267"/>
      <c r="Q188" s="267"/>
      <c r="R188" s="267"/>
    </row>
    <row r="189" spans="1:18" x14ac:dyDescent="0.2">
      <c r="A189" s="267"/>
      <c r="B189" s="267"/>
      <c r="C189" s="267"/>
      <c r="D189" s="267"/>
      <c r="E189" s="267"/>
      <c r="F189" s="267"/>
      <c r="G189" s="267"/>
      <c r="H189" s="267"/>
      <c r="I189" s="267"/>
      <c r="J189" s="267"/>
      <c r="K189" s="267"/>
      <c r="L189" s="267"/>
      <c r="M189" s="267"/>
      <c r="N189" s="267"/>
      <c r="O189" s="267"/>
      <c r="P189" s="267"/>
      <c r="Q189" s="267"/>
      <c r="R189" s="267"/>
    </row>
    <row r="190" spans="1:18" x14ac:dyDescent="0.2">
      <c r="A190" s="267"/>
      <c r="B190" s="267"/>
      <c r="C190" s="267"/>
      <c r="D190" s="267"/>
      <c r="E190" s="267"/>
      <c r="F190" s="267"/>
      <c r="G190" s="267"/>
      <c r="H190" s="267"/>
      <c r="I190" s="267"/>
      <c r="J190" s="267"/>
      <c r="K190" s="267"/>
      <c r="L190" s="267"/>
      <c r="M190" s="267"/>
      <c r="N190" s="267"/>
      <c r="O190" s="267"/>
      <c r="P190" s="267"/>
      <c r="Q190" s="267"/>
      <c r="R190" s="267"/>
    </row>
    <row r="191" spans="1:18" x14ac:dyDescent="0.2">
      <c r="A191" s="267"/>
      <c r="B191" s="267"/>
      <c r="C191" s="267"/>
      <c r="D191" s="267"/>
      <c r="E191" s="267"/>
      <c r="F191" s="267"/>
      <c r="G191" s="267"/>
      <c r="H191" s="267"/>
      <c r="I191" s="267"/>
      <c r="J191" s="267"/>
      <c r="K191" s="267"/>
      <c r="L191" s="267"/>
      <c r="M191" s="267"/>
      <c r="N191" s="267"/>
      <c r="O191" s="267"/>
      <c r="P191" s="267"/>
      <c r="Q191" s="267"/>
      <c r="R191" s="267"/>
    </row>
    <row r="192" spans="1:18" x14ac:dyDescent="0.2">
      <c r="A192" s="267"/>
      <c r="B192" s="267"/>
      <c r="C192" s="267"/>
      <c r="D192" s="267"/>
      <c r="E192" s="267"/>
      <c r="F192" s="267"/>
      <c r="G192" s="267"/>
      <c r="H192" s="267"/>
      <c r="I192" s="267"/>
      <c r="J192" s="267"/>
      <c r="K192" s="267"/>
      <c r="L192" s="267"/>
      <c r="M192" s="267"/>
      <c r="N192" s="267"/>
      <c r="O192" s="267"/>
      <c r="P192" s="267"/>
      <c r="Q192" s="267"/>
      <c r="R192" s="267"/>
    </row>
    <row r="193" spans="1:18" x14ac:dyDescent="0.2">
      <c r="A193" s="267"/>
      <c r="B193" s="267"/>
      <c r="C193" s="267"/>
      <c r="D193" s="267"/>
      <c r="E193" s="267"/>
      <c r="F193" s="267"/>
      <c r="G193" s="267"/>
      <c r="H193" s="267"/>
      <c r="I193" s="267"/>
      <c r="J193" s="267"/>
      <c r="K193" s="267"/>
      <c r="L193" s="267"/>
      <c r="M193" s="267"/>
      <c r="N193" s="267"/>
      <c r="O193" s="267"/>
      <c r="P193" s="267"/>
      <c r="Q193" s="267"/>
      <c r="R193" s="267"/>
    </row>
    <row r="194" spans="1:18" x14ac:dyDescent="0.2">
      <c r="A194" s="267"/>
      <c r="B194" s="267"/>
      <c r="C194" s="267"/>
      <c r="D194" s="267"/>
      <c r="E194" s="267"/>
      <c r="F194" s="267"/>
      <c r="G194" s="267"/>
      <c r="H194" s="267"/>
      <c r="I194" s="267"/>
      <c r="J194" s="267"/>
      <c r="K194" s="267"/>
      <c r="L194" s="267"/>
      <c r="M194" s="267"/>
      <c r="N194" s="267"/>
      <c r="O194" s="267"/>
      <c r="P194" s="267"/>
      <c r="Q194" s="267"/>
      <c r="R194" s="267"/>
    </row>
    <row r="195" spans="1:18" x14ac:dyDescent="0.2">
      <c r="A195" s="267"/>
      <c r="B195" s="267"/>
      <c r="C195" s="267"/>
      <c r="D195" s="267"/>
      <c r="E195" s="267"/>
      <c r="F195" s="267"/>
      <c r="G195" s="267"/>
      <c r="H195" s="267"/>
      <c r="I195" s="267"/>
      <c r="J195" s="267"/>
      <c r="K195" s="267"/>
      <c r="L195" s="267"/>
      <c r="M195" s="267"/>
      <c r="N195" s="267"/>
      <c r="O195" s="267"/>
      <c r="P195" s="267"/>
      <c r="Q195" s="267"/>
      <c r="R195" s="267"/>
    </row>
    <row r="196" spans="1:18" x14ac:dyDescent="0.2">
      <c r="A196" s="267"/>
      <c r="B196" s="267"/>
      <c r="C196" s="267"/>
      <c r="D196" s="267"/>
      <c r="E196" s="267"/>
      <c r="F196" s="267"/>
      <c r="G196" s="267"/>
      <c r="H196" s="267"/>
      <c r="I196" s="267"/>
      <c r="J196" s="267"/>
      <c r="K196" s="267"/>
      <c r="L196" s="267"/>
      <c r="M196" s="267"/>
      <c r="N196" s="267"/>
      <c r="O196" s="267"/>
      <c r="P196" s="267"/>
      <c r="Q196" s="267"/>
      <c r="R196" s="267"/>
    </row>
    <row r="197" spans="1:18" x14ac:dyDescent="0.2">
      <c r="A197" s="267"/>
      <c r="B197" s="267"/>
      <c r="C197" s="267"/>
      <c r="D197" s="267"/>
      <c r="E197" s="267"/>
      <c r="F197" s="267"/>
      <c r="G197" s="267"/>
      <c r="H197" s="267"/>
      <c r="I197" s="267"/>
      <c r="J197" s="267"/>
      <c r="K197" s="267"/>
      <c r="L197" s="267"/>
      <c r="M197" s="267"/>
      <c r="N197" s="267"/>
      <c r="O197" s="267"/>
      <c r="P197" s="267"/>
      <c r="Q197" s="267"/>
      <c r="R197" s="267"/>
    </row>
    <row r="198" spans="1:18" x14ac:dyDescent="0.2">
      <c r="A198" s="267"/>
      <c r="B198" s="267"/>
      <c r="C198" s="267"/>
      <c r="D198" s="267"/>
      <c r="E198" s="267"/>
      <c r="F198" s="267"/>
      <c r="G198" s="267"/>
      <c r="H198" s="267"/>
      <c r="I198" s="267"/>
      <c r="J198" s="267"/>
      <c r="K198" s="267"/>
      <c r="L198" s="267"/>
      <c r="M198" s="267"/>
      <c r="N198" s="267"/>
      <c r="O198" s="267"/>
      <c r="P198" s="267"/>
      <c r="Q198" s="267"/>
      <c r="R198" s="267"/>
    </row>
    <row r="199" spans="1:18" x14ac:dyDescent="0.2">
      <c r="A199" s="267"/>
      <c r="B199" s="267"/>
      <c r="C199" s="267"/>
      <c r="D199" s="267"/>
      <c r="E199" s="267"/>
      <c r="F199" s="267"/>
      <c r="G199" s="267"/>
      <c r="H199" s="267"/>
      <c r="I199" s="267"/>
      <c r="J199" s="267"/>
      <c r="K199" s="267"/>
      <c r="L199" s="267"/>
      <c r="M199" s="267"/>
      <c r="N199" s="267"/>
      <c r="O199" s="267"/>
      <c r="P199" s="267"/>
      <c r="Q199" s="267"/>
      <c r="R199" s="267"/>
    </row>
    <row r="200" spans="1:18" x14ac:dyDescent="0.2">
      <c r="A200" s="267"/>
      <c r="B200" s="267"/>
      <c r="C200" s="267"/>
      <c r="D200" s="267"/>
      <c r="E200" s="267"/>
      <c r="F200" s="267"/>
      <c r="G200" s="267"/>
      <c r="H200" s="267"/>
      <c r="I200" s="267"/>
      <c r="J200" s="267"/>
      <c r="K200" s="267"/>
      <c r="L200" s="267"/>
      <c r="M200" s="267"/>
      <c r="N200" s="267"/>
      <c r="O200" s="267"/>
      <c r="P200" s="267"/>
      <c r="Q200" s="267"/>
      <c r="R200" s="267"/>
    </row>
    <row r="201" spans="1:18" x14ac:dyDescent="0.2">
      <c r="A201" s="267"/>
      <c r="B201" s="267"/>
      <c r="C201" s="267"/>
      <c r="D201" s="267"/>
      <c r="E201" s="267"/>
      <c r="F201" s="267"/>
      <c r="G201" s="267"/>
      <c r="H201" s="267"/>
      <c r="I201" s="267"/>
      <c r="J201" s="267"/>
      <c r="K201" s="267"/>
      <c r="L201" s="267"/>
      <c r="M201" s="267"/>
      <c r="N201" s="267"/>
      <c r="O201" s="267"/>
      <c r="P201" s="267"/>
      <c r="Q201" s="267"/>
      <c r="R201" s="267"/>
    </row>
    <row r="202" spans="1:18" x14ac:dyDescent="0.2">
      <c r="A202" s="267"/>
      <c r="B202" s="267"/>
      <c r="C202" s="267"/>
      <c r="D202" s="267"/>
      <c r="E202" s="267"/>
      <c r="F202" s="267"/>
      <c r="G202" s="267"/>
      <c r="H202" s="267"/>
      <c r="I202" s="267"/>
      <c r="J202" s="267"/>
      <c r="K202" s="267"/>
      <c r="L202" s="267"/>
      <c r="M202" s="267"/>
      <c r="N202" s="267"/>
      <c r="O202" s="267"/>
      <c r="P202" s="267"/>
      <c r="Q202" s="267"/>
      <c r="R202" s="267"/>
    </row>
    <row r="203" spans="1:18" x14ac:dyDescent="0.2">
      <c r="A203" s="267"/>
      <c r="B203" s="267"/>
      <c r="C203" s="267"/>
      <c r="D203" s="267"/>
      <c r="E203" s="267"/>
      <c r="F203" s="267"/>
      <c r="G203" s="267"/>
      <c r="H203" s="267"/>
      <c r="I203" s="267"/>
      <c r="J203" s="267"/>
      <c r="K203" s="267"/>
      <c r="L203" s="267"/>
      <c r="M203" s="267"/>
      <c r="N203" s="267"/>
      <c r="O203" s="267"/>
      <c r="P203" s="267"/>
      <c r="Q203" s="267"/>
      <c r="R203" s="267"/>
    </row>
    <row r="204" spans="1:18" x14ac:dyDescent="0.2">
      <c r="A204" s="267"/>
      <c r="B204" s="267"/>
      <c r="C204" s="267"/>
      <c r="D204" s="267"/>
      <c r="E204" s="267"/>
      <c r="F204" s="267"/>
      <c r="G204" s="267"/>
      <c r="H204" s="267"/>
      <c r="I204" s="267"/>
      <c r="J204" s="267"/>
      <c r="K204" s="267"/>
      <c r="L204" s="267"/>
      <c r="M204" s="267"/>
      <c r="N204" s="267"/>
      <c r="O204" s="267"/>
      <c r="P204" s="267"/>
      <c r="Q204" s="267"/>
      <c r="R204" s="267"/>
    </row>
    <row r="205" spans="1:18" x14ac:dyDescent="0.2">
      <c r="A205" s="267"/>
      <c r="B205" s="267"/>
      <c r="C205" s="267"/>
      <c r="D205" s="267"/>
      <c r="E205" s="267"/>
      <c r="F205" s="267"/>
      <c r="G205" s="267"/>
      <c r="H205" s="267"/>
      <c r="I205" s="267"/>
      <c r="J205" s="267"/>
      <c r="K205" s="267"/>
      <c r="L205" s="267"/>
      <c r="M205" s="267"/>
      <c r="N205" s="267"/>
      <c r="O205" s="267"/>
      <c r="P205" s="267"/>
      <c r="Q205" s="267"/>
      <c r="R205" s="267"/>
    </row>
    <row r="206" spans="1:18" x14ac:dyDescent="0.2">
      <c r="A206" s="267"/>
      <c r="B206" s="267"/>
      <c r="C206" s="267"/>
      <c r="D206" s="267"/>
      <c r="E206" s="267"/>
      <c r="F206" s="267"/>
      <c r="G206" s="267"/>
      <c r="H206" s="267"/>
      <c r="I206" s="267"/>
      <c r="J206" s="267"/>
      <c r="K206" s="267"/>
      <c r="L206" s="267"/>
      <c r="M206" s="267"/>
      <c r="N206" s="267"/>
      <c r="O206" s="267"/>
      <c r="P206" s="267"/>
      <c r="Q206" s="267"/>
      <c r="R206" s="267"/>
    </row>
    <row r="207" spans="1:18" x14ac:dyDescent="0.2">
      <c r="A207" s="267"/>
      <c r="B207" s="267"/>
      <c r="C207" s="267"/>
      <c r="D207" s="267"/>
      <c r="E207" s="267"/>
      <c r="F207" s="267"/>
      <c r="G207" s="267"/>
      <c r="H207" s="267"/>
      <c r="I207" s="267"/>
      <c r="J207" s="267"/>
      <c r="K207" s="267"/>
      <c r="L207" s="267"/>
      <c r="M207" s="267"/>
      <c r="N207" s="267"/>
      <c r="O207" s="267"/>
      <c r="P207" s="267"/>
      <c r="Q207" s="267"/>
      <c r="R207" s="267"/>
    </row>
    <row r="208" spans="1:18" x14ac:dyDescent="0.2">
      <c r="A208" s="267"/>
      <c r="B208" s="267"/>
      <c r="C208" s="267"/>
      <c r="D208" s="267"/>
      <c r="E208" s="267"/>
      <c r="F208" s="267"/>
      <c r="G208" s="267"/>
      <c r="H208" s="267"/>
      <c r="I208" s="267"/>
      <c r="J208" s="267"/>
      <c r="K208" s="267"/>
      <c r="L208" s="267"/>
      <c r="M208" s="267"/>
      <c r="N208" s="267"/>
      <c r="O208" s="267"/>
      <c r="P208" s="267"/>
      <c r="Q208" s="267"/>
      <c r="R208" s="267"/>
    </row>
    <row r="209" spans="1:18" x14ac:dyDescent="0.2">
      <c r="A209" s="267"/>
      <c r="B209"/>
      <c r="C209" s="267"/>
      <c r="D209" s="267"/>
      <c r="E209" s="267"/>
      <c r="F209" s="267"/>
      <c r="G209" s="267"/>
      <c r="H209" s="267"/>
      <c r="I209" s="267"/>
      <c r="J209" s="267"/>
      <c r="K209" s="267"/>
      <c r="L209" s="267"/>
      <c r="M209" s="267"/>
      <c r="N209" s="267"/>
      <c r="O209" s="267"/>
      <c r="P209" s="267"/>
      <c r="Q209" s="267"/>
      <c r="R209" s="267"/>
    </row>
    <row r="210" spans="1:18" x14ac:dyDescent="0.2">
      <c r="A210" s="267"/>
      <c r="B210" s="267"/>
      <c r="C210" s="267"/>
      <c r="D210" s="267"/>
      <c r="E210" s="267"/>
      <c r="F210" s="267"/>
      <c r="G210" s="267"/>
      <c r="H210" s="267"/>
      <c r="I210" s="267"/>
      <c r="J210" s="267"/>
      <c r="K210" s="267"/>
      <c r="L210" s="267"/>
      <c r="M210" s="267"/>
      <c r="N210" s="267"/>
      <c r="O210" s="267"/>
      <c r="P210" s="267"/>
      <c r="Q210" s="267"/>
      <c r="R210" s="267"/>
    </row>
    <row r="211" spans="1:18" x14ac:dyDescent="0.2">
      <c r="A211" s="267"/>
      <c r="B211" s="267"/>
      <c r="C211" s="267"/>
      <c r="D211" s="267"/>
      <c r="E211" s="267"/>
      <c r="F211" s="267"/>
      <c r="G211" s="267"/>
      <c r="H211" s="267"/>
      <c r="I211" s="267"/>
      <c r="J211" s="267"/>
      <c r="K211" s="267"/>
      <c r="L211" s="267"/>
      <c r="M211" s="267"/>
      <c r="N211" s="267"/>
      <c r="O211" s="267"/>
      <c r="P211" s="267"/>
      <c r="Q211" s="267"/>
      <c r="R211" s="267"/>
    </row>
    <row r="212" spans="1:18" x14ac:dyDescent="0.2">
      <c r="A212" s="267"/>
      <c r="B212" s="267"/>
      <c r="C212" s="267"/>
      <c r="D212" s="267"/>
      <c r="E212" s="267"/>
      <c r="F212" s="267"/>
      <c r="G212" s="267"/>
      <c r="H212" s="267"/>
      <c r="I212" s="267"/>
      <c r="J212" s="267"/>
      <c r="K212" s="267"/>
      <c r="L212" s="267"/>
      <c r="M212" s="267"/>
      <c r="N212" s="267"/>
      <c r="O212" s="267"/>
      <c r="P212" s="267"/>
      <c r="Q212" s="267"/>
      <c r="R212" s="267"/>
    </row>
    <row r="213" spans="1:18" x14ac:dyDescent="0.2">
      <c r="A213" s="267"/>
      <c r="B213" s="267"/>
      <c r="C213" s="267"/>
      <c r="D213" s="267"/>
      <c r="E213" s="267"/>
      <c r="F213" s="267"/>
      <c r="G213" s="267"/>
      <c r="H213" s="267"/>
      <c r="I213" s="267"/>
      <c r="J213" s="267"/>
      <c r="K213" s="267"/>
      <c r="L213" s="267"/>
      <c r="M213" s="267"/>
      <c r="N213" s="267"/>
      <c r="O213" s="267"/>
      <c r="P213" s="267"/>
      <c r="Q213" s="267"/>
      <c r="R213" s="267"/>
    </row>
    <row r="214" spans="1:18" x14ac:dyDescent="0.2">
      <c r="A214" s="267"/>
      <c r="B214" s="267"/>
      <c r="C214" s="267"/>
      <c r="D214" s="267"/>
      <c r="E214" s="267"/>
      <c r="F214" s="267"/>
      <c r="G214" s="267"/>
      <c r="H214" s="267"/>
      <c r="I214" s="267"/>
      <c r="J214" s="267"/>
      <c r="K214" s="267"/>
      <c r="L214" s="267"/>
      <c r="M214" s="267"/>
      <c r="N214" s="267"/>
      <c r="O214" s="267"/>
      <c r="P214" s="267"/>
      <c r="Q214" s="267"/>
      <c r="R214" s="267"/>
    </row>
    <row r="215" spans="1:18" x14ac:dyDescent="0.2">
      <c r="A215" s="267"/>
      <c r="B215" s="267"/>
      <c r="C215" s="267"/>
      <c r="D215" s="267"/>
      <c r="E215" s="267"/>
      <c r="F215" s="267"/>
      <c r="G215" s="267"/>
      <c r="H215" s="267"/>
      <c r="I215" s="267"/>
      <c r="J215" s="267"/>
      <c r="K215" s="267"/>
      <c r="L215" s="267"/>
      <c r="M215" s="267"/>
      <c r="N215" s="267"/>
      <c r="O215" s="267"/>
      <c r="P215" s="267"/>
      <c r="Q215" s="267"/>
      <c r="R215" s="267"/>
    </row>
    <row r="216" spans="1:18" x14ac:dyDescent="0.2">
      <c r="A216" s="267"/>
      <c r="B216" s="267"/>
      <c r="C216" s="267"/>
      <c r="D216" s="267"/>
      <c r="E216" s="267"/>
      <c r="F216" s="267"/>
      <c r="G216" s="267"/>
      <c r="H216" s="267"/>
      <c r="I216" s="267"/>
      <c r="J216" s="267"/>
      <c r="K216" s="267"/>
      <c r="L216" s="267"/>
      <c r="M216" s="267"/>
      <c r="N216" s="267"/>
      <c r="O216" s="267"/>
      <c r="P216" s="267"/>
      <c r="Q216" s="267"/>
      <c r="R216" s="267"/>
    </row>
    <row r="217" spans="1:18" x14ac:dyDescent="0.2">
      <c r="A217" s="267"/>
      <c r="B217" s="267"/>
      <c r="C217" s="267"/>
      <c r="D217" s="267"/>
      <c r="E217" s="267"/>
      <c r="F217" s="267"/>
      <c r="G217" s="267"/>
      <c r="H217" s="267"/>
      <c r="I217" s="267"/>
      <c r="J217" s="267"/>
      <c r="K217" s="267"/>
      <c r="L217" s="267"/>
      <c r="M217" s="267"/>
      <c r="N217" s="267"/>
      <c r="O217" s="267"/>
      <c r="P217" s="267"/>
      <c r="Q217" s="267"/>
      <c r="R217" s="267"/>
    </row>
    <row r="218" spans="1:18" x14ac:dyDescent="0.2">
      <c r="A218" s="267"/>
      <c r="B218" s="267"/>
      <c r="C218" s="267"/>
      <c r="D218" s="267"/>
      <c r="E218" s="267"/>
      <c r="F218" s="267"/>
      <c r="G218" s="267"/>
      <c r="H218" s="267"/>
      <c r="I218" s="267"/>
      <c r="J218" s="267"/>
      <c r="K218" s="267"/>
      <c r="L218" s="267"/>
      <c r="M218" s="267"/>
      <c r="N218" s="267"/>
      <c r="O218" s="267"/>
      <c r="P218" s="267"/>
      <c r="Q218" s="267"/>
      <c r="R218" s="267"/>
    </row>
    <row r="219" spans="1:18" x14ac:dyDescent="0.2">
      <c r="A219" s="267"/>
      <c r="B219" s="267"/>
      <c r="C219" s="267"/>
      <c r="D219" s="267"/>
      <c r="E219" s="267"/>
      <c r="F219" s="267"/>
      <c r="G219" s="267"/>
      <c r="H219" s="267"/>
      <c r="I219" s="267"/>
      <c r="J219" s="267"/>
      <c r="K219" s="267"/>
      <c r="L219" s="267"/>
      <c r="M219" s="267"/>
      <c r="N219" s="267"/>
      <c r="O219" s="267"/>
      <c r="P219" s="267"/>
      <c r="Q219" s="267"/>
      <c r="R219" s="267"/>
    </row>
    <row r="220" spans="1:18" x14ac:dyDescent="0.2">
      <c r="A220" s="267"/>
      <c r="B220" s="267"/>
      <c r="C220" s="267"/>
      <c r="D220" s="267"/>
      <c r="E220" s="267"/>
      <c r="F220" s="267"/>
      <c r="G220" s="267"/>
      <c r="H220" s="267"/>
      <c r="I220" s="267"/>
      <c r="J220" s="267"/>
      <c r="K220" s="267"/>
      <c r="L220" s="267"/>
      <c r="M220" s="267"/>
      <c r="N220" s="267"/>
      <c r="O220" s="267"/>
      <c r="P220" s="267"/>
      <c r="Q220" s="267"/>
      <c r="R220" s="267"/>
    </row>
    <row r="221" spans="1:18" x14ac:dyDescent="0.2">
      <c r="A221" s="267"/>
      <c r="B221" s="267"/>
      <c r="C221" s="267"/>
      <c r="D221" s="267"/>
      <c r="E221" s="267"/>
      <c r="F221" s="267"/>
      <c r="G221" s="267"/>
      <c r="H221" s="267"/>
      <c r="I221" s="267"/>
      <c r="J221" s="267"/>
      <c r="K221" s="267"/>
      <c r="L221" s="267"/>
      <c r="M221" s="267"/>
      <c r="N221" s="267"/>
      <c r="O221" s="267"/>
      <c r="P221" s="267"/>
      <c r="Q221" s="267"/>
      <c r="R221" s="267"/>
    </row>
    <row r="222" spans="1:18" x14ac:dyDescent="0.2">
      <c r="A222" s="267"/>
      <c r="B222" s="267"/>
      <c r="C222" s="267"/>
      <c r="D222" s="267"/>
      <c r="E222" s="267"/>
      <c r="F222" s="267"/>
      <c r="G222" s="267"/>
      <c r="H222" s="267"/>
      <c r="I222" s="267"/>
      <c r="J222" s="267"/>
      <c r="K222" s="267"/>
      <c r="L222" s="267"/>
      <c r="M222" s="267"/>
      <c r="N222" s="267"/>
      <c r="O222" s="267"/>
      <c r="P222" s="267"/>
      <c r="Q222" s="267"/>
      <c r="R222" s="267"/>
    </row>
    <row r="223" spans="1:18" x14ac:dyDescent="0.2">
      <c r="A223" s="267"/>
      <c r="B223" s="267"/>
      <c r="C223" s="267"/>
      <c r="D223" s="267"/>
      <c r="E223" s="267"/>
      <c r="F223" s="267"/>
      <c r="G223" s="267"/>
      <c r="H223" s="267"/>
      <c r="I223" s="267"/>
      <c r="J223" s="267"/>
      <c r="K223" s="267"/>
      <c r="L223" s="267"/>
      <c r="M223" s="267"/>
      <c r="N223" s="267"/>
      <c r="O223" s="267"/>
      <c r="P223" s="267"/>
      <c r="Q223" s="267"/>
      <c r="R223" s="267"/>
    </row>
    <row r="224" spans="1:18" x14ac:dyDescent="0.2">
      <c r="A224" s="267"/>
      <c r="B224" s="267"/>
      <c r="C224" s="267"/>
      <c r="D224" s="267"/>
      <c r="E224" s="267"/>
      <c r="F224" s="267"/>
      <c r="G224" s="267"/>
      <c r="H224" s="267"/>
      <c r="I224" s="267"/>
      <c r="J224" s="267"/>
      <c r="K224" s="267"/>
      <c r="L224" s="267"/>
      <c r="M224" s="267"/>
      <c r="N224" s="267"/>
      <c r="O224" s="267"/>
      <c r="P224" s="267"/>
      <c r="Q224" s="267"/>
      <c r="R224" s="267"/>
    </row>
    <row r="225" spans="1:18" x14ac:dyDescent="0.2">
      <c r="A225" s="267"/>
      <c r="B225" s="267"/>
      <c r="C225" s="267"/>
      <c r="D225" s="267"/>
      <c r="E225" s="267"/>
      <c r="F225" s="267"/>
      <c r="G225" s="267"/>
      <c r="H225" s="267"/>
      <c r="I225" s="267"/>
      <c r="J225" s="267"/>
      <c r="K225" s="267"/>
      <c r="L225" s="267"/>
      <c r="M225" s="267"/>
      <c r="N225" s="267"/>
      <c r="O225" s="267"/>
      <c r="P225" s="267"/>
      <c r="Q225" s="267"/>
      <c r="R225" s="267"/>
    </row>
    <row r="226" spans="1:18" x14ac:dyDescent="0.2">
      <c r="A226" s="267"/>
      <c r="B226" s="267"/>
      <c r="C226" s="267"/>
      <c r="D226" s="267"/>
      <c r="E226" s="267"/>
      <c r="F226" s="267"/>
      <c r="G226" s="267"/>
      <c r="H226" s="267"/>
      <c r="I226" s="267"/>
      <c r="J226" s="267"/>
      <c r="K226" s="267"/>
      <c r="L226" s="267"/>
      <c r="M226" s="267"/>
      <c r="N226" s="267"/>
      <c r="O226" s="267"/>
      <c r="P226" s="267"/>
      <c r="Q226" s="267"/>
      <c r="R226" s="267"/>
    </row>
    <row r="227" spans="1:18" x14ac:dyDescent="0.2">
      <c r="A227" s="267"/>
      <c r="B227" s="267"/>
      <c r="C227" s="267"/>
      <c r="D227" s="267"/>
      <c r="E227" s="267"/>
      <c r="F227" s="267"/>
      <c r="G227" s="267"/>
      <c r="H227" s="267"/>
      <c r="I227" s="267"/>
      <c r="J227" s="267"/>
      <c r="K227" s="267"/>
      <c r="L227" s="267"/>
      <c r="M227" s="267"/>
      <c r="N227" s="267"/>
      <c r="O227" s="267"/>
      <c r="P227" s="267"/>
      <c r="Q227" s="267"/>
      <c r="R227" s="267"/>
    </row>
    <row r="228" spans="1:18" x14ac:dyDescent="0.2">
      <c r="A228" s="267"/>
      <c r="B228" s="267"/>
      <c r="C228" s="267"/>
      <c r="D228" s="267"/>
      <c r="E228" s="267"/>
      <c r="F228" s="267"/>
      <c r="G228" s="267"/>
      <c r="H228" s="267"/>
      <c r="I228" s="267"/>
      <c r="J228" s="267"/>
      <c r="K228" s="267"/>
      <c r="L228" s="267"/>
      <c r="M228" s="267"/>
      <c r="N228" s="267"/>
      <c r="O228" s="267"/>
      <c r="P228" s="267"/>
      <c r="Q228" s="267"/>
      <c r="R228" s="267"/>
    </row>
    <row r="229" spans="1:18" x14ac:dyDescent="0.2">
      <c r="A229" s="267"/>
      <c r="B229" s="267"/>
      <c r="C229" s="267"/>
      <c r="D229" s="267"/>
      <c r="E229" s="267"/>
      <c r="F229" s="267"/>
      <c r="G229" s="267"/>
      <c r="H229" s="267"/>
      <c r="I229" s="267"/>
      <c r="J229" s="267"/>
      <c r="K229" s="267"/>
      <c r="L229" s="267"/>
      <c r="M229" s="267"/>
      <c r="N229" s="267"/>
      <c r="O229" s="267"/>
      <c r="P229" s="267"/>
      <c r="Q229" s="267"/>
      <c r="R229" s="267"/>
    </row>
    <row r="230" spans="1:18" x14ac:dyDescent="0.2">
      <c r="A230" s="267"/>
      <c r="B230" s="267"/>
      <c r="C230" s="267"/>
      <c r="D230" s="267"/>
      <c r="E230" s="267"/>
      <c r="F230" s="267"/>
      <c r="G230" s="267"/>
      <c r="H230" s="267"/>
      <c r="I230" s="267"/>
      <c r="J230" s="267"/>
      <c r="K230" s="267"/>
      <c r="L230" s="267"/>
      <c r="M230" s="267"/>
      <c r="N230" s="267"/>
      <c r="O230" s="267"/>
      <c r="P230" s="267"/>
      <c r="Q230" s="267"/>
      <c r="R230" s="267"/>
    </row>
    <row r="231" spans="1:18" x14ac:dyDescent="0.2">
      <c r="A231" s="267"/>
      <c r="B231" s="267"/>
      <c r="C231" s="267"/>
      <c r="D231" s="267"/>
      <c r="E231" s="267"/>
      <c r="F231" s="267"/>
      <c r="G231" s="267"/>
      <c r="H231" s="267"/>
      <c r="I231" s="267"/>
      <c r="J231" s="267"/>
      <c r="K231" s="267"/>
      <c r="L231" s="267"/>
      <c r="M231" s="267"/>
      <c r="N231" s="267"/>
      <c r="O231" s="267"/>
      <c r="P231" s="267"/>
      <c r="Q231" s="267"/>
      <c r="R231" s="267"/>
    </row>
    <row r="232" spans="1:18" x14ac:dyDescent="0.2">
      <c r="A232" s="267"/>
      <c r="B232" s="267"/>
      <c r="C232" s="267"/>
      <c r="D232" s="267"/>
      <c r="E232" s="267"/>
      <c r="F232" s="267"/>
      <c r="G232" s="267"/>
      <c r="H232" s="267"/>
      <c r="I232" s="267"/>
      <c r="J232" s="267"/>
      <c r="K232" s="267"/>
      <c r="L232" s="267"/>
      <c r="M232" s="267"/>
      <c r="N232" s="267"/>
      <c r="O232" s="267"/>
      <c r="P232" s="267"/>
      <c r="Q232" s="267"/>
      <c r="R232" s="267"/>
    </row>
    <row r="233" spans="1:18" x14ac:dyDescent="0.2">
      <c r="A233" s="267"/>
      <c r="B233" s="267"/>
      <c r="C233" s="267"/>
      <c r="D233" s="267"/>
      <c r="E233" s="267"/>
      <c r="F233" s="267"/>
      <c r="G233" s="267"/>
      <c r="H233" s="267"/>
      <c r="I233" s="267"/>
      <c r="J233" s="267"/>
      <c r="K233" s="267"/>
      <c r="L233" s="267"/>
      <c r="M233" s="267"/>
      <c r="N233" s="267"/>
      <c r="O233" s="267"/>
      <c r="P233" s="267"/>
      <c r="Q233" s="267"/>
      <c r="R233" s="267"/>
    </row>
    <row r="234" spans="1:18" x14ac:dyDescent="0.2">
      <c r="A234" s="267"/>
      <c r="B234" s="267"/>
      <c r="C234" s="267"/>
      <c r="D234" s="267"/>
      <c r="E234" s="267"/>
      <c r="F234" s="267"/>
      <c r="G234" s="267"/>
      <c r="H234" s="267"/>
      <c r="I234" s="267"/>
      <c r="J234" s="267"/>
      <c r="K234" s="267"/>
      <c r="L234" s="267"/>
      <c r="M234" s="267"/>
      <c r="N234" s="267"/>
      <c r="O234" s="267"/>
      <c r="P234" s="267"/>
      <c r="Q234" s="267"/>
      <c r="R234" s="267"/>
    </row>
    <row r="235" spans="1:18" x14ac:dyDescent="0.2">
      <c r="A235" s="267"/>
      <c r="B235" s="267"/>
      <c r="C235" s="267"/>
      <c r="D235" s="267"/>
      <c r="E235" s="267"/>
      <c r="F235" s="267"/>
      <c r="G235" s="267"/>
      <c r="H235" s="267"/>
      <c r="I235" s="267"/>
      <c r="J235" s="267"/>
      <c r="K235" s="267"/>
      <c r="L235" s="267"/>
      <c r="M235" s="267"/>
      <c r="N235" s="267"/>
      <c r="O235" s="267"/>
      <c r="P235" s="267"/>
      <c r="Q235" s="267"/>
      <c r="R235" s="267"/>
    </row>
    <row r="236" spans="1:18" x14ac:dyDescent="0.2">
      <c r="A236" s="267"/>
      <c r="B236" s="267"/>
      <c r="C236" s="267"/>
      <c r="D236" s="267"/>
      <c r="E236" s="267"/>
      <c r="F236" s="267"/>
      <c r="G236" s="267"/>
      <c r="H236" s="267"/>
      <c r="I236" s="267"/>
      <c r="J236" s="267"/>
      <c r="K236" s="267"/>
      <c r="L236" s="267"/>
      <c r="M236" s="267"/>
      <c r="N236" s="267"/>
      <c r="O236" s="267"/>
      <c r="P236" s="267"/>
      <c r="Q236" s="267"/>
      <c r="R236" s="267"/>
    </row>
    <row r="237" spans="1:18" x14ac:dyDescent="0.2">
      <c r="A237" s="267"/>
      <c r="B237" s="267"/>
      <c r="C237" s="267"/>
      <c r="D237" s="267"/>
      <c r="E237" s="267"/>
      <c r="F237" s="267"/>
      <c r="G237" s="267"/>
      <c r="H237" s="267"/>
      <c r="I237" s="267"/>
      <c r="J237" s="267"/>
      <c r="K237" s="267"/>
      <c r="L237" s="267"/>
      <c r="M237" s="267"/>
      <c r="N237" s="267"/>
      <c r="O237" s="267"/>
      <c r="P237" s="267"/>
      <c r="Q237" s="267"/>
      <c r="R237" s="267"/>
    </row>
    <row r="238" spans="1:18" x14ac:dyDescent="0.2">
      <c r="A238" s="267"/>
      <c r="B238" s="267"/>
      <c r="C238" s="267"/>
      <c r="D238" s="267"/>
      <c r="E238" s="267"/>
      <c r="F238" s="267"/>
      <c r="G238" s="267"/>
      <c r="H238" s="267"/>
      <c r="I238" s="267"/>
      <c r="J238" s="267"/>
      <c r="K238" s="267"/>
      <c r="L238" s="267"/>
      <c r="M238" s="267"/>
      <c r="N238" s="267"/>
      <c r="O238" s="267"/>
      <c r="P238" s="267"/>
      <c r="Q238" s="267"/>
      <c r="R238" s="267"/>
    </row>
    <row r="239" spans="1:18" x14ac:dyDescent="0.2">
      <c r="A239" s="267"/>
      <c r="B239" s="267"/>
      <c r="C239" s="267"/>
      <c r="D239" s="267"/>
      <c r="E239" s="267"/>
      <c r="F239" s="267"/>
      <c r="G239" s="267"/>
      <c r="H239" s="267"/>
      <c r="I239" s="267"/>
      <c r="J239" s="267"/>
      <c r="K239" s="267"/>
      <c r="L239" s="267"/>
      <c r="M239" s="267"/>
      <c r="N239" s="267"/>
      <c r="O239" s="267"/>
      <c r="P239" s="267"/>
      <c r="Q239" s="267"/>
      <c r="R239" s="267"/>
    </row>
    <row r="240" spans="1:18" x14ac:dyDescent="0.2">
      <c r="A240" s="267"/>
      <c r="B240" s="267"/>
      <c r="C240" s="267"/>
      <c r="D240" s="267"/>
      <c r="E240" s="267"/>
      <c r="F240" s="267"/>
      <c r="G240" s="267"/>
      <c r="H240" s="267"/>
      <c r="I240" s="267"/>
      <c r="J240" s="267"/>
      <c r="K240" s="267"/>
      <c r="L240" s="267"/>
      <c r="M240" s="267"/>
      <c r="N240" s="267"/>
      <c r="O240" s="267"/>
      <c r="P240" s="267"/>
      <c r="Q240" s="267"/>
      <c r="R240" s="267"/>
    </row>
    <row r="241" spans="1:18" x14ac:dyDescent="0.2">
      <c r="A241" s="267"/>
      <c r="B241" s="267"/>
      <c r="C241" s="267"/>
      <c r="D241" s="267"/>
      <c r="E241" s="267"/>
      <c r="F241" s="267"/>
      <c r="G241" s="267"/>
      <c r="H241" s="267"/>
      <c r="I241" s="267"/>
      <c r="J241" s="267"/>
      <c r="K241" s="267"/>
      <c r="L241" s="267"/>
      <c r="M241" s="267"/>
      <c r="N241" s="267"/>
      <c r="O241" s="267"/>
      <c r="P241" s="267"/>
      <c r="Q241" s="267"/>
      <c r="R241" s="267"/>
    </row>
    <row r="242" spans="1:18" x14ac:dyDescent="0.2">
      <c r="A242" s="267"/>
      <c r="B242" s="267"/>
      <c r="C242" s="267"/>
      <c r="D242" s="267"/>
      <c r="E242" s="267"/>
      <c r="F242" s="267"/>
      <c r="G242" s="267"/>
      <c r="H242" s="267"/>
      <c r="I242" s="267"/>
      <c r="J242" s="267"/>
      <c r="K242" s="267"/>
      <c r="L242" s="267"/>
      <c r="M242" s="267"/>
      <c r="N242" s="267"/>
      <c r="O242" s="267"/>
      <c r="P242" s="267"/>
      <c r="Q242" s="267"/>
      <c r="R242" s="267"/>
    </row>
    <row r="243" spans="1:18" x14ac:dyDescent="0.2">
      <c r="A243" s="267"/>
      <c r="B243" s="267"/>
      <c r="C243" s="267"/>
      <c r="D243" s="267"/>
      <c r="E243" s="267"/>
      <c r="F243" s="267"/>
      <c r="G243" s="267"/>
      <c r="H243" s="267"/>
      <c r="I243" s="267"/>
      <c r="J243" s="267"/>
      <c r="K243" s="267"/>
      <c r="L243" s="267"/>
      <c r="M243" s="267"/>
      <c r="N243" s="267"/>
      <c r="O243" s="267"/>
      <c r="P243" s="267"/>
      <c r="Q243" s="267"/>
      <c r="R243" s="267"/>
    </row>
    <row r="244" spans="1:18" x14ac:dyDescent="0.2">
      <c r="A244" s="267"/>
      <c r="B244" s="267"/>
      <c r="C244" s="267"/>
      <c r="D244" s="267"/>
      <c r="E244" s="267"/>
      <c r="F244" s="267"/>
      <c r="G244" s="267"/>
      <c r="H244" s="267"/>
      <c r="I244" s="267"/>
      <c r="J244" s="267"/>
      <c r="K244" s="267"/>
      <c r="L244" s="267"/>
      <c r="M244" s="267"/>
      <c r="N244" s="267"/>
      <c r="O244" s="267"/>
      <c r="P244" s="267"/>
      <c r="Q244" s="267"/>
      <c r="R244" s="267"/>
    </row>
    <row r="245" spans="1:18" x14ac:dyDescent="0.2">
      <c r="A245" s="267"/>
      <c r="B245" s="267"/>
      <c r="C245" s="267"/>
      <c r="D245" s="267"/>
      <c r="E245" s="267"/>
      <c r="F245" s="267"/>
      <c r="G245" s="267"/>
      <c r="H245" s="267"/>
      <c r="I245" s="267"/>
      <c r="J245" s="267"/>
      <c r="K245" s="267"/>
      <c r="L245" s="267"/>
      <c r="M245" s="267"/>
      <c r="N245" s="267"/>
      <c r="O245" s="267"/>
      <c r="P245" s="267"/>
      <c r="Q245" s="267"/>
      <c r="R245" s="267"/>
    </row>
    <row r="246" spans="1:18" x14ac:dyDescent="0.2">
      <c r="A246" s="267"/>
      <c r="B246" s="267"/>
      <c r="C246" s="267"/>
      <c r="D246" s="267"/>
      <c r="E246" s="267"/>
      <c r="F246" s="267"/>
      <c r="G246" s="267"/>
      <c r="H246" s="267"/>
      <c r="I246" s="267"/>
      <c r="J246" s="267"/>
      <c r="K246" s="267"/>
      <c r="L246" s="267"/>
      <c r="M246" s="267"/>
      <c r="N246" s="267"/>
      <c r="O246" s="267"/>
      <c r="P246" s="267"/>
      <c r="Q246" s="267"/>
      <c r="R246" s="267"/>
    </row>
    <row r="247" spans="1:18" x14ac:dyDescent="0.2">
      <c r="A247" s="267"/>
      <c r="B247" s="267"/>
      <c r="C247" s="267"/>
      <c r="D247" s="267"/>
      <c r="E247" s="267"/>
      <c r="F247" s="267"/>
      <c r="G247" s="267"/>
      <c r="H247" s="267"/>
      <c r="I247" s="267"/>
      <c r="J247" s="267"/>
      <c r="K247" s="267"/>
      <c r="L247" s="267"/>
      <c r="M247" s="267"/>
      <c r="N247" s="267"/>
      <c r="O247" s="267"/>
      <c r="P247" s="267"/>
      <c r="Q247" s="267"/>
      <c r="R247" s="267"/>
    </row>
    <row r="248" spans="1:18" x14ac:dyDescent="0.2">
      <c r="A248" s="267"/>
      <c r="B248" s="267"/>
      <c r="C248" s="267"/>
      <c r="D248" s="267"/>
      <c r="E248" s="267"/>
      <c r="F248" s="267"/>
      <c r="G248" s="267"/>
      <c r="H248" s="267"/>
      <c r="I248" s="267"/>
      <c r="J248" s="267"/>
      <c r="K248" s="267"/>
      <c r="L248" s="267"/>
      <c r="M248" s="267"/>
      <c r="N248" s="267"/>
      <c r="O248" s="267"/>
      <c r="P248" s="267"/>
      <c r="Q248" s="267"/>
      <c r="R248" s="267"/>
    </row>
    <row r="249" spans="1:18" x14ac:dyDescent="0.2">
      <c r="A249" s="267"/>
      <c r="B249" s="267"/>
      <c r="C249" s="267"/>
      <c r="D249" s="267"/>
      <c r="E249" s="267"/>
      <c r="F249" s="267"/>
      <c r="G249" s="267"/>
      <c r="H249" s="267"/>
      <c r="I249" s="267"/>
      <c r="J249" s="267"/>
      <c r="K249" s="267"/>
      <c r="L249" s="267"/>
      <c r="M249" s="267"/>
      <c r="N249" s="267"/>
      <c r="O249" s="267"/>
      <c r="P249" s="267"/>
      <c r="Q249" s="267"/>
      <c r="R249" s="267"/>
    </row>
    <row r="250" spans="1:18" x14ac:dyDescent="0.2">
      <c r="A250" s="267"/>
      <c r="B250" s="267"/>
      <c r="C250" s="267"/>
      <c r="D250" s="267"/>
      <c r="E250" s="267"/>
      <c r="F250" s="267"/>
      <c r="G250" s="267"/>
      <c r="H250" s="267"/>
      <c r="I250" s="267"/>
      <c r="J250" s="267"/>
      <c r="K250" s="267"/>
      <c r="L250" s="267"/>
      <c r="M250" s="267"/>
      <c r="N250" s="267"/>
      <c r="O250" s="267"/>
      <c r="P250" s="267"/>
      <c r="Q250" s="267"/>
      <c r="R250" s="267"/>
    </row>
    <row r="251" spans="1:18" x14ac:dyDescent="0.2">
      <c r="A251" s="267"/>
      <c r="B251" s="267"/>
      <c r="C251" s="267"/>
      <c r="D251" s="267"/>
      <c r="E251" s="267"/>
      <c r="F251" s="267"/>
      <c r="G251" s="267"/>
      <c r="H251" s="267"/>
      <c r="I251" s="267"/>
      <c r="J251" s="267"/>
      <c r="K251" s="267"/>
      <c r="L251" s="267"/>
      <c r="M251" s="267"/>
      <c r="N251" s="267"/>
      <c r="O251" s="267"/>
      <c r="P251" s="267"/>
      <c r="Q251" s="267"/>
      <c r="R251" s="267"/>
    </row>
    <row r="252" spans="1:18" x14ac:dyDescent="0.2">
      <c r="A252" s="267"/>
      <c r="B252" s="267"/>
      <c r="C252" s="267"/>
      <c r="D252" s="267"/>
      <c r="E252" s="267"/>
      <c r="F252" s="267"/>
      <c r="G252" s="267"/>
      <c r="H252" s="267"/>
      <c r="I252" s="267"/>
      <c r="J252" s="267"/>
      <c r="K252" s="267"/>
      <c r="L252" s="267"/>
      <c r="M252" s="267"/>
      <c r="N252" s="267"/>
      <c r="O252" s="267"/>
      <c r="P252" s="267"/>
      <c r="Q252" s="267"/>
      <c r="R252" s="267"/>
    </row>
    <row r="253" spans="1:18" x14ac:dyDescent="0.2">
      <c r="A253" s="267"/>
      <c r="B253" s="267"/>
      <c r="C253" s="267"/>
      <c r="D253" s="267"/>
      <c r="E253" s="267"/>
      <c r="F253" s="267"/>
      <c r="G253" s="267"/>
      <c r="H253" s="267"/>
      <c r="I253" s="267"/>
      <c r="J253" s="267"/>
      <c r="K253" s="267"/>
      <c r="L253" s="267"/>
      <c r="M253" s="267"/>
      <c r="N253" s="267"/>
      <c r="O253" s="267"/>
      <c r="P253" s="267"/>
      <c r="Q253" s="267"/>
      <c r="R253" s="267"/>
    </row>
    <row r="254" spans="1:18" x14ac:dyDescent="0.2">
      <c r="A254" s="267"/>
      <c r="B254" s="267"/>
      <c r="C254" s="267"/>
      <c r="D254" s="267"/>
      <c r="E254" s="267"/>
      <c r="F254" s="267"/>
      <c r="G254" s="267"/>
      <c r="H254" s="267"/>
      <c r="I254" s="267"/>
      <c r="J254" s="267"/>
      <c r="K254" s="267"/>
      <c r="L254" s="267"/>
      <c r="M254" s="267"/>
      <c r="N254" s="267"/>
      <c r="O254" s="267"/>
      <c r="P254" s="267"/>
      <c r="Q254" s="267"/>
      <c r="R254" s="267"/>
    </row>
    <row r="255" spans="1:18" x14ac:dyDescent="0.2">
      <c r="A255" s="267"/>
      <c r="B255" s="267"/>
      <c r="C255" s="267"/>
      <c r="D255" s="267"/>
      <c r="E255" s="267"/>
      <c r="F255" s="267"/>
      <c r="G255" s="267"/>
      <c r="H255" s="267"/>
      <c r="I255" s="267"/>
      <c r="J255" s="267"/>
      <c r="K255" s="267"/>
      <c r="L255" s="267"/>
      <c r="M255" s="267"/>
      <c r="N255" s="267"/>
      <c r="O255" s="267"/>
      <c r="P255" s="267"/>
      <c r="Q255" s="267"/>
      <c r="R255" s="267"/>
    </row>
    <row r="256" spans="1:18" x14ac:dyDescent="0.2">
      <c r="A256" s="267"/>
      <c r="B256" s="267"/>
      <c r="C256" s="267"/>
      <c r="D256" s="267"/>
      <c r="E256" s="267"/>
      <c r="F256" s="267"/>
      <c r="G256" s="267"/>
      <c r="H256" s="267"/>
      <c r="I256" s="267"/>
      <c r="J256" s="267"/>
      <c r="K256" s="267"/>
      <c r="L256" s="267"/>
      <c r="M256" s="267"/>
      <c r="N256" s="267"/>
      <c r="O256" s="267"/>
      <c r="P256" s="267"/>
      <c r="Q256" s="267"/>
      <c r="R256" s="267"/>
    </row>
    <row r="257" spans="1:18" x14ac:dyDescent="0.2">
      <c r="A257" s="267"/>
      <c r="B257" s="267"/>
      <c r="C257" s="267"/>
      <c r="D257" s="267"/>
      <c r="E257" s="267"/>
      <c r="F257" s="267"/>
      <c r="G257" s="267"/>
      <c r="H257" s="267"/>
      <c r="I257" s="267"/>
      <c r="J257" s="267"/>
      <c r="K257" s="267"/>
      <c r="L257" s="267"/>
      <c r="M257" s="267"/>
      <c r="N257" s="267"/>
      <c r="O257" s="267"/>
      <c r="P257" s="267"/>
      <c r="Q257" s="267"/>
      <c r="R257" s="267"/>
    </row>
    <row r="258" spans="1:18" x14ac:dyDescent="0.2">
      <c r="A258" s="267"/>
      <c r="B258" s="267"/>
      <c r="C258" s="267"/>
      <c r="D258" s="267"/>
      <c r="E258" s="267"/>
      <c r="F258" s="267"/>
      <c r="G258" s="267"/>
      <c r="H258" s="267"/>
      <c r="I258" s="267"/>
      <c r="J258" s="267"/>
      <c r="K258" s="267"/>
      <c r="L258" s="267"/>
      <c r="M258" s="267"/>
      <c r="N258" s="267"/>
      <c r="O258" s="267"/>
      <c r="P258" s="267"/>
      <c r="Q258" s="267"/>
      <c r="R258" s="267"/>
    </row>
    <row r="259" spans="1:18" x14ac:dyDescent="0.2">
      <c r="A259" s="267"/>
      <c r="B259" s="267"/>
      <c r="C259" s="267"/>
      <c r="D259" s="267"/>
      <c r="E259" s="267"/>
      <c r="F259" s="267"/>
      <c r="G259" s="267"/>
      <c r="H259" s="267"/>
      <c r="I259" s="267"/>
      <c r="J259" s="267"/>
      <c r="K259" s="267"/>
      <c r="L259" s="267"/>
      <c r="M259" s="267"/>
      <c r="N259" s="267"/>
      <c r="O259" s="267"/>
      <c r="P259" s="267"/>
      <c r="Q259" s="267"/>
      <c r="R259" s="267"/>
    </row>
    <row r="260" spans="1:18" x14ac:dyDescent="0.2">
      <c r="A260" s="267"/>
      <c r="B260" s="267"/>
      <c r="C260" s="267"/>
      <c r="D260" s="267"/>
      <c r="E260" s="267"/>
      <c r="F260" s="267"/>
      <c r="G260" s="267"/>
      <c r="H260" s="267"/>
      <c r="I260" s="267"/>
      <c r="J260" s="267"/>
      <c r="K260" s="267"/>
      <c r="L260" s="267"/>
      <c r="M260" s="267"/>
      <c r="N260" s="267"/>
      <c r="O260" s="267"/>
      <c r="P260" s="267"/>
      <c r="Q260" s="267"/>
      <c r="R260" s="267"/>
    </row>
    <row r="261" spans="1:18" x14ac:dyDescent="0.2">
      <c r="A261" s="267"/>
      <c r="B261" s="267"/>
      <c r="C261" s="267"/>
      <c r="D261" s="267"/>
      <c r="E261" s="267"/>
      <c r="F261" s="267"/>
      <c r="G261" s="267"/>
      <c r="H261" s="267"/>
      <c r="I261" s="267"/>
      <c r="J261" s="267"/>
      <c r="K261" s="267"/>
      <c r="L261" s="267"/>
      <c r="M261" s="267"/>
      <c r="N261" s="267"/>
      <c r="O261" s="267"/>
      <c r="P261" s="267"/>
      <c r="Q261" s="267"/>
      <c r="R261" s="267"/>
    </row>
    <row r="262" spans="1:18" x14ac:dyDescent="0.2">
      <c r="A262" s="267"/>
      <c r="B262" s="267"/>
      <c r="C262" s="267"/>
      <c r="D262" s="267"/>
      <c r="E262" s="267"/>
      <c r="F262" s="267"/>
      <c r="G262" s="267"/>
      <c r="H262" s="267"/>
      <c r="I262" s="267"/>
      <c r="J262" s="267"/>
      <c r="K262" s="267"/>
      <c r="L262" s="267"/>
      <c r="M262" s="267"/>
      <c r="N262" s="267"/>
      <c r="O262" s="267"/>
      <c r="P262" s="267"/>
      <c r="Q262" s="267"/>
      <c r="R262" s="267"/>
    </row>
    <row r="263" spans="1:18" x14ac:dyDescent="0.2">
      <c r="A263" s="267"/>
      <c r="B263" s="267"/>
      <c r="C263" s="267"/>
      <c r="D263" s="267"/>
      <c r="E263" s="267"/>
      <c r="F263" s="267"/>
      <c r="G263" s="267"/>
      <c r="H263" s="267"/>
      <c r="I263" s="267"/>
      <c r="J263" s="267"/>
      <c r="K263" s="267"/>
      <c r="L263" s="267"/>
      <c r="M263" s="267"/>
      <c r="N263" s="267"/>
      <c r="O263" s="267"/>
      <c r="P263" s="267"/>
      <c r="Q263" s="267"/>
      <c r="R263" s="267"/>
    </row>
    <row r="264" spans="1:18" x14ac:dyDescent="0.2">
      <c r="A264" s="267"/>
      <c r="B264" s="267"/>
      <c r="C264" s="267"/>
      <c r="D264" s="267"/>
      <c r="E264" s="267"/>
      <c r="F264" s="267"/>
      <c r="G264" s="267"/>
      <c r="H264" s="267"/>
      <c r="I264" s="267"/>
      <c r="J264" s="267"/>
      <c r="K264" s="267"/>
      <c r="L264" s="267"/>
      <c r="M264" s="267"/>
      <c r="N264" s="267"/>
      <c r="O264" s="267"/>
      <c r="P264" s="267"/>
      <c r="Q264" s="267"/>
      <c r="R264" s="267"/>
    </row>
    <row r="265" spans="1:18" x14ac:dyDescent="0.2">
      <c r="A265" s="267"/>
      <c r="B265" s="267"/>
      <c r="C265" s="267"/>
      <c r="D265" s="267"/>
      <c r="E265" s="267"/>
      <c r="F265" s="267"/>
      <c r="G265" s="267"/>
      <c r="H265" s="267"/>
      <c r="I265" s="267"/>
      <c r="J265" s="267"/>
      <c r="K265" s="267"/>
      <c r="L265" s="267"/>
      <c r="M265" s="267"/>
      <c r="N265" s="267"/>
      <c r="O265" s="267"/>
      <c r="P265" s="267"/>
      <c r="Q265" s="267"/>
      <c r="R265" s="267"/>
    </row>
    <row r="266" spans="1:18" x14ac:dyDescent="0.2">
      <c r="A266" s="267"/>
      <c r="B266" s="267"/>
      <c r="C266" s="267"/>
      <c r="D266" s="267"/>
      <c r="E266" s="267"/>
      <c r="F266" s="267"/>
      <c r="G266" s="267"/>
      <c r="H266" s="267"/>
      <c r="I266" s="267"/>
      <c r="J266" s="267"/>
      <c r="K266" s="267"/>
      <c r="L266" s="267"/>
      <c r="M266" s="267"/>
      <c r="N266" s="267"/>
      <c r="O266" s="267"/>
      <c r="P266" s="267"/>
      <c r="Q266" s="267"/>
      <c r="R266" s="267"/>
    </row>
    <row r="267" spans="1:18" x14ac:dyDescent="0.2">
      <c r="A267" s="267"/>
      <c r="B267" s="267"/>
      <c r="C267" s="267"/>
      <c r="D267" s="267"/>
      <c r="E267" s="267"/>
      <c r="F267" s="267"/>
      <c r="G267" s="267"/>
      <c r="H267" s="267"/>
      <c r="I267" s="267"/>
      <c r="J267" s="267"/>
      <c r="K267" s="267"/>
      <c r="L267" s="267"/>
      <c r="M267" s="267"/>
      <c r="N267" s="267"/>
      <c r="O267" s="267"/>
      <c r="P267" s="267"/>
      <c r="Q267" s="267"/>
      <c r="R267" s="267"/>
    </row>
    <row r="268" spans="1:18" x14ac:dyDescent="0.2">
      <c r="A268" s="267"/>
      <c r="B268" s="267"/>
      <c r="C268" s="267"/>
      <c r="D268" s="267"/>
      <c r="E268" s="267"/>
      <c r="F268" s="267"/>
      <c r="G268" s="267"/>
      <c r="H268" s="267"/>
      <c r="I268" s="267"/>
      <c r="J268" s="267"/>
      <c r="K268" s="267"/>
      <c r="L268" s="267"/>
      <c r="M268" s="267"/>
      <c r="N268" s="267"/>
      <c r="O268" s="267"/>
      <c r="P268" s="267"/>
      <c r="Q268" s="267"/>
      <c r="R268" s="267"/>
    </row>
    <row r="269" spans="1:18" x14ac:dyDescent="0.2">
      <c r="A269" s="267"/>
      <c r="B269" s="267"/>
      <c r="C269" s="267"/>
      <c r="D269" s="267"/>
      <c r="E269" s="267"/>
      <c r="F269" s="267"/>
      <c r="G269" s="267"/>
      <c r="H269" s="267"/>
      <c r="I269" s="267"/>
      <c r="J269" s="267"/>
      <c r="K269" s="267"/>
      <c r="L269" s="267"/>
      <c r="M269" s="267"/>
      <c r="N269" s="267"/>
      <c r="O269" s="267"/>
      <c r="P269" s="267"/>
      <c r="Q269" s="267"/>
      <c r="R269" s="267"/>
    </row>
    <row r="270" spans="1:18" x14ac:dyDescent="0.2">
      <c r="A270" s="267"/>
      <c r="B270" s="267"/>
      <c r="C270" s="267"/>
      <c r="D270" s="267"/>
      <c r="E270" s="267"/>
      <c r="F270" s="267"/>
      <c r="G270" s="267"/>
      <c r="H270" s="267"/>
      <c r="I270" s="267"/>
      <c r="J270" s="267"/>
      <c r="K270" s="267"/>
      <c r="L270" s="267"/>
      <c r="M270" s="267"/>
      <c r="N270" s="267"/>
      <c r="O270" s="267"/>
      <c r="P270" s="267"/>
      <c r="Q270" s="267"/>
      <c r="R270" s="267"/>
    </row>
    <row r="271" spans="1:18" x14ac:dyDescent="0.2">
      <c r="A271" s="267"/>
      <c r="B271" s="267"/>
      <c r="C271" s="267"/>
      <c r="D271" s="267"/>
      <c r="E271" s="267"/>
      <c r="F271" s="267"/>
      <c r="G271" s="267"/>
      <c r="H271" s="267"/>
      <c r="I271" s="267"/>
      <c r="J271" s="267"/>
      <c r="K271" s="267"/>
      <c r="L271" s="267"/>
      <c r="M271" s="267"/>
      <c r="N271" s="267"/>
      <c r="O271" s="267"/>
      <c r="P271" s="267"/>
      <c r="Q271" s="267"/>
      <c r="R271" s="267"/>
    </row>
    <row r="272" spans="1:18" x14ac:dyDescent="0.2">
      <c r="A272" s="267"/>
      <c r="B272" s="267"/>
      <c r="C272" s="267"/>
      <c r="D272" s="267"/>
      <c r="E272" s="267"/>
      <c r="F272" s="267"/>
      <c r="G272" s="267"/>
      <c r="H272" s="267"/>
      <c r="I272" s="267"/>
      <c r="J272" s="267"/>
      <c r="K272" s="267"/>
      <c r="L272" s="267"/>
      <c r="M272" s="267"/>
      <c r="N272" s="267"/>
      <c r="O272" s="267"/>
      <c r="P272" s="267"/>
      <c r="Q272" s="267"/>
      <c r="R272" s="267"/>
    </row>
    <row r="273" spans="1:18" x14ac:dyDescent="0.2">
      <c r="A273" s="267"/>
      <c r="B273" s="267"/>
      <c r="C273" s="267"/>
      <c r="D273" s="267"/>
      <c r="E273" s="267"/>
      <c r="F273" s="267"/>
      <c r="G273" s="267"/>
      <c r="H273" s="267"/>
      <c r="I273" s="267"/>
      <c r="J273" s="267"/>
      <c r="K273" s="267"/>
      <c r="L273" s="267"/>
      <c r="M273" s="267"/>
      <c r="N273" s="267"/>
      <c r="O273" s="267"/>
      <c r="P273" s="267"/>
      <c r="Q273" s="267"/>
      <c r="R273" s="267"/>
    </row>
    <row r="274" spans="1:18" x14ac:dyDescent="0.2">
      <c r="A274" s="267"/>
      <c r="B274" s="267"/>
      <c r="C274" s="267"/>
      <c r="D274" s="267"/>
      <c r="E274" s="267"/>
      <c r="F274" s="267"/>
      <c r="G274" s="267"/>
      <c r="H274" s="267"/>
      <c r="I274" s="267"/>
      <c r="J274" s="267"/>
      <c r="K274" s="267"/>
      <c r="L274" s="267"/>
      <c r="M274" s="267"/>
      <c r="N274" s="267"/>
      <c r="O274" s="267"/>
      <c r="P274" s="267"/>
      <c r="Q274" s="267"/>
      <c r="R274" s="267"/>
    </row>
    <row r="275" spans="1:18" x14ac:dyDescent="0.2">
      <c r="A275" s="267"/>
      <c r="B275" s="267"/>
      <c r="C275" s="267"/>
      <c r="D275" s="267"/>
      <c r="E275" s="267"/>
      <c r="F275" s="267"/>
      <c r="G275" s="267"/>
      <c r="H275" s="267"/>
      <c r="I275" s="267"/>
      <c r="J275" s="267"/>
      <c r="K275" s="267"/>
      <c r="L275" s="267"/>
      <c r="M275" s="267"/>
      <c r="N275" s="267"/>
      <c r="O275" s="267"/>
      <c r="P275" s="267"/>
      <c r="Q275" s="267"/>
      <c r="R275" s="267"/>
    </row>
    <row r="276" spans="1:18" x14ac:dyDescent="0.2">
      <c r="A276" s="267"/>
      <c r="B276" s="267"/>
      <c r="C276" s="267"/>
      <c r="D276" s="267"/>
      <c r="E276" s="267"/>
      <c r="F276" s="267"/>
      <c r="G276" s="267"/>
      <c r="H276" s="267"/>
      <c r="I276" s="267"/>
      <c r="J276" s="267"/>
      <c r="K276" s="267"/>
      <c r="L276" s="267"/>
      <c r="M276" s="267"/>
      <c r="N276" s="267"/>
      <c r="O276" s="267"/>
      <c r="P276" s="267"/>
      <c r="Q276" s="267"/>
      <c r="R276" s="267"/>
    </row>
    <row r="277" spans="1:18" x14ac:dyDescent="0.2">
      <c r="A277" s="267"/>
      <c r="B277" s="267"/>
      <c r="C277" s="267"/>
      <c r="D277" s="267"/>
      <c r="E277" s="267"/>
      <c r="F277" s="267"/>
      <c r="G277" s="267"/>
      <c r="H277" s="267"/>
      <c r="I277" s="267"/>
      <c r="J277" s="267"/>
      <c r="K277" s="267"/>
      <c r="L277" s="267"/>
      <c r="M277" s="267"/>
      <c r="N277" s="267"/>
      <c r="O277" s="267"/>
      <c r="P277" s="267"/>
      <c r="Q277" s="267"/>
      <c r="R277" s="267"/>
    </row>
    <row r="278" spans="1:18" x14ac:dyDescent="0.2">
      <c r="A278" s="267"/>
      <c r="B278" s="267"/>
      <c r="C278" s="267"/>
      <c r="D278" s="267"/>
      <c r="E278" s="267"/>
      <c r="F278" s="267"/>
      <c r="G278" s="267"/>
      <c r="H278" s="267"/>
      <c r="I278" s="267"/>
      <c r="J278" s="267"/>
      <c r="K278" s="267"/>
      <c r="L278" s="267"/>
      <c r="M278" s="267"/>
      <c r="N278" s="267"/>
      <c r="O278" s="267"/>
      <c r="P278" s="267"/>
      <c r="Q278" s="267"/>
      <c r="R278" s="267"/>
    </row>
    <row r="279" spans="1:18" x14ac:dyDescent="0.2">
      <c r="A279" s="267"/>
      <c r="B279" s="267"/>
      <c r="C279" s="267"/>
      <c r="D279" s="267"/>
      <c r="E279" s="267"/>
      <c r="F279" s="267"/>
      <c r="G279" s="267"/>
      <c r="H279" s="267"/>
      <c r="I279" s="267"/>
      <c r="J279" s="267"/>
      <c r="K279" s="267"/>
      <c r="L279" s="267"/>
      <c r="M279" s="267"/>
      <c r="N279" s="267"/>
      <c r="O279" s="267"/>
      <c r="P279" s="267"/>
      <c r="Q279" s="267"/>
      <c r="R279" s="267"/>
    </row>
    <row r="280" spans="1:18" x14ac:dyDescent="0.2">
      <c r="A280" s="267"/>
      <c r="B280" s="267"/>
      <c r="C280" s="267"/>
      <c r="D280" s="267"/>
      <c r="E280" s="267"/>
      <c r="F280" s="267"/>
      <c r="G280" s="267"/>
      <c r="H280" s="267"/>
      <c r="I280" s="267"/>
      <c r="J280" s="267"/>
      <c r="K280" s="267"/>
      <c r="L280" s="267"/>
      <c r="M280" s="267"/>
      <c r="N280" s="267"/>
      <c r="O280" s="267"/>
      <c r="P280" s="267"/>
      <c r="Q280" s="267"/>
      <c r="R280" s="267"/>
    </row>
    <row r="281" spans="1:18" x14ac:dyDescent="0.2">
      <c r="A281" s="267"/>
      <c r="B281" s="267"/>
      <c r="C281" s="267"/>
      <c r="D281" s="267"/>
      <c r="E281" s="267"/>
      <c r="F281" s="267"/>
      <c r="G281" s="267"/>
      <c r="H281" s="267"/>
      <c r="I281" s="267"/>
      <c r="J281" s="267"/>
      <c r="K281" s="267"/>
      <c r="L281" s="267"/>
      <c r="M281" s="267"/>
      <c r="N281" s="267"/>
      <c r="O281" s="267"/>
      <c r="P281" s="267"/>
      <c r="Q281" s="267"/>
      <c r="R281" s="267"/>
    </row>
    <row r="282" spans="1:18" x14ac:dyDescent="0.2">
      <c r="A282" s="267"/>
      <c r="B282" s="267"/>
      <c r="C282" s="267"/>
      <c r="D282" s="267"/>
      <c r="E282" s="267"/>
      <c r="F282" s="267"/>
      <c r="G282" s="267"/>
      <c r="H282" s="267"/>
      <c r="I282" s="267"/>
      <c r="J282" s="267"/>
      <c r="K282" s="267"/>
      <c r="L282" s="267"/>
      <c r="M282" s="267"/>
      <c r="N282" s="267"/>
      <c r="O282" s="267"/>
      <c r="P282" s="267"/>
      <c r="Q282" s="267"/>
      <c r="R282" s="267"/>
    </row>
    <row r="283" spans="1:18" x14ac:dyDescent="0.2">
      <c r="A283" s="267"/>
      <c r="B283" s="267"/>
      <c r="C283" s="267"/>
      <c r="D283" s="267"/>
      <c r="E283" s="267"/>
      <c r="F283" s="267"/>
      <c r="G283" s="267"/>
      <c r="H283" s="267"/>
      <c r="I283" s="267"/>
      <c r="J283" s="267"/>
      <c r="K283" s="267"/>
      <c r="L283" s="267"/>
      <c r="M283" s="267"/>
      <c r="N283" s="267"/>
      <c r="O283" s="267"/>
      <c r="P283" s="267"/>
      <c r="Q283" s="267"/>
      <c r="R283" s="267"/>
    </row>
    <row r="284" spans="1:18" x14ac:dyDescent="0.2">
      <c r="A284" s="267"/>
      <c r="B284" s="267"/>
      <c r="C284" s="267"/>
      <c r="D284" s="267"/>
      <c r="E284" s="267"/>
      <c r="F284" s="267"/>
      <c r="G284" s="267"/>
      <c r="H284" s="267"/>
      <c r="I284" s="267"/>
      <c r="J284" s="267"/>
      <c r="K284" s="267"/>
      <c r="L284" s="267"/>
      <c r="M284" s="267"/>
      <c r="N284" s="267"/>
      <c r="O284" s="267"/>
      <c r="P284" s="267"/>
      <c r="Q284" s="267"/>
      <c r="R284" s="267"/>
    </row>
    <row r="285" spans="1:18" x14ac:dyDescent="0.2">
      <c r="A285" s="267"/>
      <c r="B285" s="267"/>
      <c r="C285" s="267"/>
      <c r="D285" s="267"/>
      <c r="E285" s="267"/>
      <c r="F285" s="267"/>
      <c r="G285" s="267"/>
      <c r="H285" s="267"/>
      <c r="I285" s="267"/>
      <c r="J285" s="267"/>
      <c r="K285" s="267"/>
      <c r="L285" s="267"/>
      <c r="M285" s="267"/>
      <c r="N285" s="267"/>
      <c r="O285" s="267"/>
      <c r="P285" s="267"/>
      <c r="Q285" s="267"/>
      <c r="R285" s="267"/>
    </row>
    <row r="286" spans="1:18" x14ac:dyDescent="0.2">
      <c r="A286" s="267"/>
      <c r="B286" s="267"/>
      <c r="C286" s="267"/>
      <c r="D286" s="267"/>
      <c r="E286" s="267"/>
      <c r="F286" s="267"/>
      <c r="G286" s="267"/>
      <c r="H286" s="267"/>
      <c r="I286" s="267"/>
      <c r="J286" s="267"/>
      <c r="K286" s="267"/>
      <c r="L286" s="267"/>
      <c r="M286" s="267"/>
      <c r="N286" s="267"/>
      <c r="O286" s="267"/>
      <c r="P286" s="267"/>
      <c r="Q286" s="267"/>
      <c r="R286" s="267"/>
    </row>
    <row r="287" spans="1:18" x14ac:dyDescent="0.2">
      <c r="A287" s="267"/>
      <c r="B287" s="267"/>
      <c r="C287" s="267"/>
      <c r="D287" s="267"/>
      <c r="E287" s="267"/>
      <c r="F287" s="267"/>
      <c r="G287" s="267"/>
      <c r="H287" s="267"/>
      <c r="I287" s="267"/>
      <c r="J287" s="267"/>
      <c r="K287" s="267"/>
      <c r="L287" s="267"/>
      <c r="M287" s="267"/>
      <c r="N287" s="267"/>
      <c r="O287" s="267"/>
      <c r="P287" s="267"/>
      <c r="Q287" s="267"/>
      <c r="R287" s="267"/>
    </row>
    <row r="288" spans="1:18" x14ac:dyDescent="0.2">
      <c r="A288" s="267"/>
      <c r="B288" s="267"/>
      <c r="C288" s="267"/>
      <c r="D288" s="267"/>
      <c r="E288" s="267"/>
      <c r="F288" s="267"/>
      <c r="G288" s="267"/>
      <c r="H288" s="267"/>
      <c r="I288" s="267"/>
      <c r="J288" s="267"/>
      <c r="K288" s="267"/>
      <c r="L288" s="267"/>
      <c r="M288" s="267"/>
      <c r="N288" s="267"/>
      <c r="O288" s="267"/>
      <c r="P288" s="267"/>
      <c r="Q288" s="267"/>
      <c r="R288" s="267"/>
    </row>
    <row r="289" spans="1:18" x14ac:dyDescent="0.2">
      <c r="A289" s="267"/>
      <c r="B289" s="267"/>
      <c r="C289" s="267"/>
      <c r="D289" s="267"/>
      <c r="E289" s="267"/>
      <c r="F289" s="267"/>
      <c r="G289" s="267"/>
      <c r="H289" s="267"/>
      <c r="I289" s="267"/>
      <c r="J289" s="267"/>
      <c r="K289" s="267"/>
      <c r="L289" s="267"/>
      <c r="M289" s="267"/>
      <c r="N289" s="267"/>
      <c r="O289" s="267"/>
      <c r="P289" s="267"/>
      <c r="Q289" s="267"/>
      <c r="R289" s="267"/>
    </row>
    <row r="290" spans="1:18" x14ac:dyDescent="0.2">
      <c r="A290" s="267"/>
      <c r="B290" s="267"/>
      <c r="C290" s="267"/>
      <c r="D290" s="267"/>
      <c r="E290" s="267"/>
      <c r="F290" s="267"/>
      <c r="G290" s="267"/>
      <c r="H290" s="267"/>
      <c r="I290" s="267"/>
      <c r="J290" s="267"/>
      <c r="K290" s="267"/>
      <c r="L290" s="267"/>
      <c r="M290" s="267"/>
      <c r="N290" s="267"/>
      <c r="O290" s="267"/>
      <c r="P290" s="267"/>
      <c r="Q290" s="267"/>
      <c r="R290" s="267"/>
    </row>
    <row r="291" spans="1:18" x14ac:dyDescent="0.2">
      <c r="A291" s="267"/>
      <c r="B291" s="267"/>
      <c r="C291" s="267"/>
      <c r="D291" s="267"/>
      <c r="E291" s="267"/>
      <c r="F291" s="267"/>
      <c r="G291" s="267"/>
      <c r="H291" s="267"/>
      <c r="I291" s="267"/>
      <c r="J291" s="267"/>
      <c r="K291" s="267"/>
      <c r="L291" s="267"/>
      <c r="M291" s="267"/>
      <c r="N291" s="267"/>
      <c r="O291" s="267"/>
      <c r="P291" s="267"/>
      <c r="Q291" s="267"/>
      <c r="R291" s="267"/>
    </row>
    <row r="292" spans="1:18" x14ac:dyDescent="0.2">
      <c r="A292" s="267"/>
      <c r="B292" s="267"/>
      <c r="C292" s="267"/>
      <c r="D292" s="267"/>
      <c r="E292" s="267"/>
      <c r="F292" s="267"/>
      <c r="G292" s="267"/>
      <c r="H292" s="267"/>
      <c r="I292" s="267"/>
      <c r="J292" s="267"/>
      <c r="K292" s="267"/>
      <c r="L292" s="267"/>
      <c r="M292" s="267"/>
      <c r="N292" s="267"/>
      <c r="O292" s="267"/>
      <c r="P292" s="267"/>
      <c r="Q292" s="267"/>
      <c r="R292" s="267"/>
    </row>
    <row r="293" spans="1:18" x14ac:dyDescent="0.2">
      <c r="A293" s="267"/>
      <c r="B293" s="267"/>
      <c r="C293" s="267"/>
      <c r="D293" s="267"/>
      <c r="E293" s="267"/>
      <c r="F293" s="267"/>
      <c r="G293" s="267"/>
      <c r="H293" s="267"/>
      <c r="I293" s="267"/>
      <c r="J293" s="267"/>
      <c r="K293" s="267"/>
      <c r="L293" s="267"/>
      <c r="M293" s="267"/>
      <c r="N293" s="267"/>
      <c r="O293" s="267"/>
      <c r="P293" s="267"/>
      <c r="Q293" s="267"/>
      <c r="R293" s="267"/>
    </row>
    <row r="294" spans="1:18" x14ac:dyDescent="0.2">
      <c r="A294" s="267"/>
      <c r="B294" s="267"/>
      <c r="C294" s="267"/>
      <c r="D294" s="267"/>
      <c r="E294" s="267"/>
      <c r="F294" s="267"/>
      <c r="G294" s="267"/>
      <c r="H294" s="267"/>
      <c r="I294" s="267"/>
      <c r="J294" s="267"/>
      <c r="K294" s="267"/>
      <c r="L294" s="267"/>
      <c r="M294" s="267"/>
      <c r="N294" s="267"/>
      <c r="O294" s="267"/>
      <c r="P294" s="267"/>
      <c r="Q294" s="267"/>
      <c r="R294" s="267"/>
    </row>
    <row r="295" spans="1:18" x14ac:dyDescent="0.2">
      <c r="A295" s="267"/>
      <c r="B295" s="267"/>
      <c r="C295" s="267"/>
      <c r="D295" s="267"/>
      <c r="E295" s="267"/>
      <c r="F295" s="267"/>
      <c r="G295" s="267"/>
      <c r="H295" s="267"/>
      <c r="I295" s="267"/>
      <c r="J295" s="267"/>
      <c r="K295" s="267"/>
      <c r="L295" s="267"/>
      <c r="M295" s="267"/>
      <c r="N295" s="267"/>
      <c r="O295" s="267"/>
      <c r="P295" s="267"/>
      <c r="Q295" s="267"/>
      <c r="R295" s="267"/>
    </row>
    <row r="296" spans="1:18" x14ac:dyDescent="0.2">
      <c r="A296" s="267"/>
      <c r="B296" s="267"/>
      <c r="C296" s="267"/>
      <c r="D296" s="267"/>
      <c r="E296" s="267"/>
      <c r="F296" s="267"/>
      <c r="G296" s="267"/>
      <c r="H296" s="267"/>
      <c r="I296" s="267"/>
      <c r="J296" s="267"/>
      <c r="K296" s="267"/>
      <c r="L296" s="267"/>
      <c r="M296" s="267"/>
      <c r="N296" s="267"/>
      <c r="O296" s="267"/>
      <c r="P296" s="267"/>
      <c r="Q296" s="267"/>
      <c r="R296" s="267"/>
    </row>
    <row r="297" spans="1:18" x14ac:dyDescent="0.2">
      <c r="A297" s="267"/>
      <c r="B297" s="267"/>
      <c r="C297" s="267"/>
      <c r="D297" s="267"/>
      <c r="E297" s="267"/>
      <c r="F297" s="267"/>
      <c r="G297" s="267"/>
      <c r="H297" s="267"/>
      <c r="I297" s="267"/>
      <c r="J297" s="267"/>
      <c r="K297" s="267"/>
      <c r="L297" s="267"/>
      <c r="M297" s="267"/>
      <c r="N297" s="267"/>
      <c r="O297" s="267"/>
      <c r="P297" s="267"/>
      <c r="Q297" s="267"/>
      <c r="R297" s="267"/>
    </row>
    <row r="298" spans="1:18" x14ac:dyDescent="0.2">
      <c r="A298" s="267"/>
      <c r="B298" s="267"/>
      <c r="C298" s="267"/>
      <c r="D298" s="267"/>
      <c r="E298" s="267"/>
      <c r="F298" s="267"/>
      <c r="G298" s="267"/>
      <c r="H298" s="267"/>
      <c r="I298" s="267"/>
      <c r="J298" s="267"/>
      <c r="K298" s="267"/>
      <c r="L298" s="267"/>
      <c r="M298" s="267"/>
      <c r="N298" s="267"/>
      <c r="O298" s="267"/>
      <c r="P298" s="267"/>
      <c r="Q298" s="267"/>
      <c r="R298" s="267"/>
    </row>
    <row r="299" spans="1:18" x14ac:dyDescent="0.2">
      <c r="A299" s="267"/>
      <c r="B299" s="267"/>
      <c r="C299" s="267"/>
      <c r="D299" s="267"/>
      <c r="E299" s="267"/>
      <c r="F299" s="267"/>
      <c r="G299" s="267"/>
      <c r="H299" s="267"/>
      <c r="I299" s="267"/>
      <c r="J299" s="267"/>
      <c r="K299" s="267"/>
      <c r="L299" s="267"/>
      <c r="M299" s="267"/>
      <c r="N299" s="267"/>
      <c r="O299" s="267"/>
      <c r="P299" s="267"/>
      <c r="Q299" s="267"/>
      <c r="R299" s="267"/>
    </row>
    <row r="300" spans="1:18" x14ac:dyDescent="0.2">
      <c r="A300" s="267"/>
      <c r="B300" s="267"/>
      <c r="C300" s="267"/>
      <c r="D300" s="267"/>
      <c r="E300" s="267"/>
      <c r="F300" s="267"/>
      <c r="G300" s="267"/>
      <c r="H300" s="267"/>
      <c r="I300" s="267"/>
      <c r="J300" s="267"/>
      <c r="K300" s="267"/>
      <c r="L300" s="267"/>
      <c r="M300" s="267"/>
      <c r="N300" s="267"/>
      <c r="O300" s="267"/>
      <c r="P300" s="267"/>
      <c r="Q300" s="267"/>
      <c r="R300" s="267"/>
    </row>
    <row r="301" spans="1:18" x14ac:dyDescent="0.2">
      <c r="A301" s="267"/>
      <c r="B301" s="267"/>
      <c r="C301" s="267"/>
      <c r="D301" s="267"/>
      <c r="E301" s="267"/>
      <c r="F301" s="267"/>
      <c r="G301" s="267"/>
      <c r="H301" s="267"/>
      <c r="I301" s="267"/>
      <c r="J301" s="267"/>
      <c r="K301" s="267"/>
      <c r="L301" s="267"/>
      <c r="M301" s="267"/>
      <c r="N301" s="267"/>
      <c r="O301" s="267"/>
      <c r="P301" s="267"/>
      <c r="Q301" s="267"/>
      <c r="R301" s="267"/>
    </row>
    <row r="302" spans="1:18" x14ac:dyDescent="0.2">
      <c r="A302" s="267"/>
      <c r="B302" s="267"/>
      <c r="C302" s="267"/>
      <c r="D302" s="267"/>
      <c r="E302" s="267"/>
      <c r="F302" s="267"/>
      <c r="G302" s="267"/>
      <c r="H302" s="267"/>
      <c r="I302" s="267"/>
      <c r="J302" s="267"/>
      <c r="K302" s="267"/>
      <c r="L302" s="267"/>
      <c r="M302" s="267"/>
      <c r="N302" s="267"/>
      <c r="O302" s="267"/>
      <c r="P302" s="267"/>
      <c r="Q302" s="267"/>
      <c r="R302" s="267"/>
    </row>
    <row r="303" spans="1:18" x14ac:dyDescent="0.2">
      <c r="A303" s="267"/>
      <c r="B303" s="267"/>
      <c r="C303" s="267"/>
      <c r="D303" s="267"/>
      <c r="E303" s="267"/>
      <c r="F303" s="267"/>
      <c r="G303" s="267"/>
      <c r="H303" s="267"/>
      <c r="I303" s="267"/>
      <c r="J303" s="267"/>
      <c r="K303" s="267"/>
      <c r="L303" s="267"/>
      <c r="M303" s="267"/>
      <c r="N303" s="267"/>
      <c r="O303" s="267"/>
      <c r="P303" s="267"/>
      <c r="Q303" s="267"/>
      <c r="R303" s="267"/>
    </row>
    <row r="304" spans="1:18" x14ac:dyDescent="0.2">
      <c r="A304" s="267"/>
      <c r="B304" s="267"/>
      <c r="C304" s="267"/>
      <c r="D304" s="267"/>
      <c r="E304" s="267"/>
      <c r="F304" s="267"/>
      <c r="G304" s="267"/>
      <c r="H304" s="267"/>
      <c r="I304" s="267"/>
      <c r="J304" s="267"/>
      <c r="K304" s="267"/>
      <c r="L304" s="267"/>
      <c r="M304" s="267"/>
      <c r="N304" s="267"/>
      <c r="O304" s="267"/>
      <c r="P304" s="267"/>
      <c r="Q304" s="267"/>
      <c r="R304" s="267"/>
    </row>
    <row r="305" spans="1:18" x14ac:dyDescent="0.2">
      <c r="A305" s="267"/>
      <c r="B305" s="267"/>
      <c r="C305" s="267"/>
      <c r="D305" s="267"/>
      <c r="E305" s="267"/>
      <c r="F305" s="267"/>
      <c r="G305" s="267"/>
      <c r="H305" s="267"/>
      <c r="I305" s="267"/>
      <c r="J305" s="267"/>
      <c r="K305" s="267"/>
      <c r="L305" s="267"/>
      <c r="M305" s="267"/>
      <c r="N305" s="267"/>
      <c r="O305" s="267"/>
      <c r="P305" s="267"/>
      <c r="Q305" s="267"/>
      <c r="R305" s="267"/>
    </row>
    <row r="306" spans="1:18" x14ac:dyDescent="0.2">
      <c r="A306" s="267"/>
      <c r="B306" s="267"/>
      <c r="C306" s="267"/>
      <c r="D306" s="267"/>
      <c r="E306" s="267"/>
      <c r="F306" s="267"/>
      <c r="G306" s="267"/>
      <c r="H306" s="267"/>
      <c r="I306" s="267"/>
      <c r="J306" s="267"/>
      <c r="K306" s="267"/>
      <c r="L306" s="267"/>
      <c r="M306" s="267"/>
      <c r="N306" s="267"/>
      <c r="O306" s="267"/>
      <c r="P306" s="267"/>
      <c r="Q306" s="267"/>
      <c r="R306" s="267"/>
    </row>
    <row r="307" spans="1:18" x14ac:dyDescent="0.2">
      <c r="A307" s="267"/>
      <c r="B307" s="267"/>
      <c r="C307" s="267"/>
      <c r="D307" s="267"/>
      <c r="E307" s="267"/>
      <c r="F307" s="267"/>
      <c r="G307" s="267"/>
      <c r="H307" s="267"/>
      <c r="I307" s="267"/>
      <c r="J307" s="267"/>
      <c r="K307" s="267"/>
      <c r="L307" s="267"/>
      <c r="M307" s="267"/>
      <c r="N307" s="267"/>
      <c r="O307" s="267"/>
      <c r="P307" s="267"/>
      <c r="Q307" s="267"/>
      <c r="R307" s="267"/>
    </row>
    <row r="308" spans="1:18" x14ac:dyDescent="0.2">
      <c r="A308" s="267"/>
      <c r="B308" s="267"/>
      <c r="C308" s="267"/>
      <c r="D308" s="267"/>
      <c r="E308" s="267"/>
      <c r="F308" s="267"/>
      <c r="G308" s="267"/>
      <c r="H308" s="267"/>
      <c r="I308" s="267"/>
      <c r="J308" s="267"/>
      <c r="K308" s="267"/>
      <c r="L308" s="267"/>
      <c r="M308" s="267"/>
      <c r="N308" s="267"/>
      <c r="O308" s="267"/>
      <c r="P308" s="267"/>
      <c r="Q308" s="267"/>
      <c r="R308" s="267"/>
    </row>
    <row r="309" spans="1:18" x14ac:dyDescent="0.2">
      <c r="A309" s="267"/>
      <c r="B309" s="267"/>
      <c r="C309" s="267"/>
      <c r="D309" s="267"/>
      <c r="E309" s="267"/>
      <c r="F309" s="267"/>
      <c r="G309" s="267"/>
      <c r="H309" s="267"/>
      <c r="I309" s="267"/>
      <c r="J309" s="267"/>
      <c r="K309" s="267"/>
      <c r="L309" s="267"/>
      <c r="M309" s="267"/>
      <c r="N309" s="267"/>
      <c r="O309" s="267"/>
      <c r="P309" s="267"/>
      <c r="Q309" s="267"/>
      <c r="R309" s="267"/>
    </row>
    <row r="310" spans="1:18" x14ac:dyDescent="0.2">
      <c r="A310" s="267"/>
      <c r="B310" s="267"/>
      <c r="C310" s="267"/>
      <c r="D310" s="267"/>
      <c r="E310" s="267"/>
      <c r="F310" s="267"/>
      <c r="G310" s="267"/>
      <c r="H310" s="267"/>
      <c r="I310" s="267"/>
      <c r="J310" s="267"/>
      <c r="K310" s="267"/>
      <c r="L310" s="267"/>
      <c r="M310" s="267"/>
      <c r="N310" s="267"/>
      <c r="O310" s="267"/>
      <c r="P310" s="267"/>
      <c r="Q310" s="267"/>
      <c r="R310" s="267"/>
    </row>
    <row r="311" spans="1:18" x14ac:dyDescent="0.2">
      <c r="A311" s="267"/>
      <c r="B311" s="267"/>
      <c r="C311" s="267"/>
      <c r="D311" s="267"/>
      <c r="E311" s="267"/>
      <c r="F311" s="267"/>
      <c r="G311" s="267"/>
      <c r="H311" s="267"/>
      <c r="I311" s="267"/>
      <c r="J311" s="267"/>
      <c r="K311" s="267"/>
      <c r="L311" s="267"/>
      <c r="M311" s="267"/>
      <c r="N311" s="267"/>
      <c r="O311" s="267"/>
      <c r="P311" s="267"/>
      <c r="Q311" s="267"/>
      <c r="R311" s="267"/>
    </row>
    <row r="312" spans="1:18" x14ac:dyDescent="0.2">
      <c r="A312" s="267"/>
      <c r="B312" s="267"/>
      <c r="C312" s="267"/>
      <c r="D312" s="267"/>
      <c r="E312" s="267"/>
      <c r="F312" s="267"/>
      <c r="G312" s="267"/>
      <c r="H312" s="267"/>
      <c r="I312" s="267"/>
      <c r="J312" s="267"/>
      <c r="K312" s="267"/>
      <c r="L312" s="267"/>
      <c r="M312" s="267"/>
      <c r="N312" s="267"/>
      <c r="O312" s="267"/>
      <c r="P312" s="267"/>
      <c r="Q312" s="267"/>
      <c r="R312" s="267"/>
    </row>
    <row r="313" spans="1:18" x14ac:dyDescent="0.2">
      <c r="A313" s="267"/>
      <c r="B313" s="267"/>
      <c r="C313" s="267"/>
      <c r="D313" s="267"/>
      <c r="E313" s="267"/>
      <c r="F313" s="267"/>
      <c r="G313" s="267"/>
      <c r="H313" s="267"/>
      <c r="I313" s="267"/>
      <c r="J313" s="267"/>
      <c r="K313" s="267"/>
      <c r="L313" s="267"/>
      <c r="M313" s="267"/>
      <c r="N313" s="267"/>
      <c r="O313" s="267"/>
      <c r="P313" s="267"/>
      <c r="Q313" s="267"/>
      <c r="R313" s="267"/>
    </row>
    <row r="314" spans="1:18" x14ac:dyDescent="0.2">
      <c r="A314" s="267"/>
      <c r="B314" s="267"/>
      <c r="C314" s="267"/>
      <c r="D314" s="267"/>
      <c r="E314" s="267"/>
      <c r="F314" s="267"/>
      <c r="G314" s="267"/>
      <c r="H314" s="267"/>
      <c r="I314" s="267"/>
      <c r="J314" s="267"/>
      <c r="K314" s="267"/>
      <c r="L314" s="267"/>
      <c r="M314" s="267"/>
      <c r="N314" s="267"/>
      <c r="O314" s="267"/>
      <c r="P314" s="267"/>
      <c r="Q314" s="267"/>
      <c r="R314" s="267"/>
    </row>
    <row r="315" spans="1:18" x14ac:dyDescent="0.2">
      <c r="A315" s="267"/>
      <c r="B315" s="267"/>
      <c r="C315" s="267"/>
      <c r="D315" s="267"/>
      <c r="E315" s="267"/>
      <c r="F315" s="267"/>
      <c r="G315" s="267"/>
      <c r="H315" s="267"/>
      <c r="I315" s="267"/>
      <c r="J315" s="267"/>
      <c r="K315" s="267"/>
      <c r="L315" s="267"/>
      <c r="M315" s="267"/>
      <c r="N315" s="267"/>
      <c r="O315" s="267"/>
      <c r="P315" s="267"/>
      <c r="Q315" s="267"/>
      <c r="R315" s="267"/>
    </row>
    <row r="316" spans="1:18" x14ac:dyDescent="0.2">
      <c r="A316" s="267"/>
      <c r="B316" s="267"/>
      <c r="C316" s="267"/>
      <c r="D316" s="267"/>
      <c r="E316" s="267"/>
      <c r="F316" s="267"/>
      <c r="G316" s="267"/>
      <c r="H316" s="267"/>
      <c r="I316" s="267"/>
      <c r="J316" s="267"/>
      <c r="K316" s="267"/>
      <c r="L316" s="267"/>
      <c r="M316" s="267"/>
      <c r="N316" s="267"/>
      <c r="O316" s="267"/>
      <c r="P316" s="267"/>
      <c r="Q316" s="267"/>
      <c r="R316" s="267"/>
    </row>
    <row r="317" spans="1:18" x14ac:dyDescent="0.2">
      <c r="A317" s="267"/>
      <c r="B317" s="267"/>
      <c r="C317" s="267"/>
      <c r="D317" s="267"/>
      <c r="E317" s="267"/>
      <c r="F317" s="267"/>
      <c r="G317" s="267"/>
      <c r="H317" s="267"/>
      <c r="I317" s="267"/>
      <c r="J317" s="267"/>
      <c r="K317" s="267"/>
      <c r="L317" s="267"/>
      <c r="M317" s="267"/>
      <c r="N317" s="267"/>
      <c r="O317" s="267"/>
      <c r="P317" s="267"/>
      <c r="Q317" s="267"/>
      <c r="R317" s="267"/>
    </row>
    <row r="318" spans="1:18" x14ac:dyDescent="0.2">
      <c r="A318" s="267"/>
      <c r="B318" s="267"/>
      <c r="C318" s="267"/>
      <c r="D318" s="267"/>
      <c r="E318" s="267"/>
      <c r="F318" s="267"/>
      <c r="G318" s="267"/>
      <c r="H318" s="267"/>
      <c r="I318" s="267"/>
      <c r="J318" s="267"/>
      <c r="K318" s="267"/>
      <c r="L318" s="267"/>
      <c r="M318" s="267"/>
      <c r="N318" s="267"/>
      <c r="O318" s="267"/>
      <c r="P318" s="267"/>
      <c r="Q318" s="267"/>
      <c r="R318" s="267"/>
    </row>
    <row r="319" spans="1:18" x14ac:dyDescent="0.2">
      <c r="A319" s="267"/>
      <c r="B319" s="267"/>
      <c r="C319" s="267"/>
      <c r="D319" s="267"/>
      <c r="E319" s="267"/>
      <c r="F319" s="267"/>
      <c r="G319" s="267"/>
      <c r="H319" s="267"/>
      <c r="I319" s="267"/>
      <c r="J319" s="267"/>
      <c r="K319" s="267"/>
      <c r="L319" s="267"/>
      <c r="M319" s="267"/>
      <c r="N319" s="267"/>
      <c r="O319" s="267"/>
      <c r="P319" s="267"/>
      <c r="Q319" s="267"/>
      <c r="R319" s="267"/>
    </row>
    <row r="320" spans="1:18" x14ac:dyDescent="0.2">
      <c r="A320" s="267"/>
      <c r="B320" s="267"/>
      <c r="C320" s="267"/>
      <c r="D320" s="267"/>
      <c r="E320" s="267"/>
      <c r="F320" s="267"/>
      <c r="G320" s="267"/>
      <c r="H320" s="267"/>
      <c r="I320" s="267"/>
      <c r="J320" s="267"/>
      <c r="K320" s="267"/>
      <c r="L320" s="267"/>
      <c r="M320" s="267"/>
      <c r="N320" s="267"/>
      <c r="O320" s="267"/>
      <c r="P320" s="267"/>
      <c r="Q320" s="267"/>
      <c r="R320" s="267"/>
    </row>
    <row r="321" spans="1:18" x14ac:dyDescent="0.2">
      <c r="A321" s="267"/>
      <c r="B321" s="267"/>
      <c r="C321" s="267"/>
      <c r="D321" s="267"/>
      <c r="E321" s="267"/>
      <c r="F321" s="267"/>
      <c r="G321" s="267"/>
      <c r="H321" s="267"/>
      <c r="I321" s="267"/>
      <c r="J321" s="267"/>
      <c r="K321" s="267"/>
      <c r="L321" s="267"/>
      <c r="M321" s="267"/>
      <c r="N321" s="267"/>
      <c r="O321" s="267"/>
      <c r="P321" s="267"/>
      <c r="Q321" s="267"/>
      <c r="R321" s="267"/>
    </row>
    <row r="322" spans="1:18" x14ac:dyDescent="0.2">
      <c r="A322" s="267"/>
      <c r="B322" s="267"/>
      <c r="C322" s="267"/>
      <c r="D322" s="267"/>
      <c r="E322" s="267"/>
      <c r="F322" s="267"/>
      <c r="G322" s="267"/>
      <c r="H322" s="267"/>
      <c r="I322" s="267"/>
      <c r="J322" s="267"/>
      <c r="K322" s="267"/>
      <c r="L322" s="267"/>
      <c r="M322" s="267"/>
      <c r="N322" s="267"/>
      <c r="O322" s="267"/>
      <c r="P322" s="267"/>
      <c r="Q322" s="267"/>
      <c r="R322" s="267"/>
    </row>
    <row r="323" spans="1:18" x14ac:dyDescent="0.2">
      <c r="A323" s="267"/>
      <c r="B323" s="267"/>
      <c r="C323" s="267"/>
      <c r="D323" s="267"/>
      <c r="E323" s="267"/>
      <c r="F323" s="267"/>
      <c r="G323" s="267"/>
      <c r="H323" s="267"/>
      <c r="I323" s="267"/>
      <c r="J323" s="267"/>
      <c r="K323" s="267"/>
      <c r="L323" s="267"/>
      <c r="M323" s="267"/>
      <c r="N323" s="267"/>
      <c r="O323" s="267"/>
      <c r="P323" s="267"/>
      <c r="Q323" s="267"/>
      <c r="R323" s="267"/>
    </row>
    <row r="324" spans="1:18" x14ac:dyDescent="0.2">
      <c r="A324" s="267"/>
      <c r="B324" s="267"/>
      <c r="C324" s="267"/>
      <c r="D324" s="267"/>
      <c r="E324" s="267"/>
      <c r="F324" s="267"/>
      <c r="G324" s="267"/>
      <c r="H324" s="267"/>
      <c r="I324" s="267"/>
      <c r="J324" s="267"/>
      <c r="K324" s="267"/>
      <c r="L324" s="267"/>
      <c r="M324" s="267"/>
      <c r="N324" s="267"/>
      <c r="O324" s="267"/>
      <c r="P324" s="267"/>
      <c r="Q324" s="267"/>
      <c r="R324" s="267"/>
    </row>
    <row r="325" spans="1:18" x14ac:dyDescent="0.2">
      <c r="A325" s="267"/>
      <c r="B325" s="267"/>
      <c r="C325" s="267"/>
      <c r="D325" s="267"/>
      <c r="E325" s="267"/>
      <c r="F325" s="267"/>
      <c r="G325" s="267"/>
      <c r="H325" s="267"/>
      <c r="I325" s="267"/>
      <c r="J325" s="267"/>
      <c r="K325" s="267"/>
      <c r="L325" s="267"/>
      <c r="M325" s="267"/>
      <c r="N325" s="267"/>
      <c r="O325" s="267"/>
      <c r="P325" s="267"/>
      <c r="Q325" s="267"/>
      <c r="R325" s="267"/>
    </row>
    <row r="326" spans="1:18" x14ac:dyDescent="0.2">
      <c r="A326" s="267"/>
      <c r="B326" s="267"/>
      <c r="C326" s="267"/>
      <c r="D326" s="267"/>
      <c r="E326" s="267"/>
      <c r="F326" s="267"/>
      <c r="G326" s="267"/>
      <c r="H326" s="267"/>
      <c r="I326" s="267"/>
      <c r="J326" s="267"/>
      <c r="K326" s="267"/>
      <c r="L326" s="267"/>
      <c r="M326" s="267"/>
      <c r="N326" s="267"/>
      <c r="O326" s="267"/>
      <c r="P326" s="267"/>
      <c r="Q326" s="267"/>
      <c r="R326" s="267"/>
    </row>
    <row r="327" spans="1:18" x14ac:dyDescent="0.2">
      <c r="A327" s="267"/>
      <c r="B327" s="267"/>
      <c r="C327" s="267"/>
      <c r="D327" s="267"/>
      <c r="E327" s="267"/>
      <c r="F327" s="267"/>
      <c r="G327" s="267"/>
      <c r="H327" s="267"/>
      <c r="I327" s="267"/>
      <c r="J327" s="267"/>
      <c r="K327" s="267"/>
      <c r="L327" s="267"/>
      <c r="M327" s="267"/>
      <c r="N327" s="267"/>
      <c r="O327" s="267"/>
      <c r="P327" s="267"/>
      <c r="Q327" s="267"/>
      <c r="R327" s="267"/>
    </row>
    <row r="328" spans="1:18" x14ac:dyDescent="0.2">
      <c r="A328" s="267"/>
      <c r="B328" s="267"/>
      <c r="C328" s="267"/>
      <c r="D328" s="267"/>
      <c r="E328" s="267"/>
      <c r="F328" s="267"/>
      <c r="G328" s="267"/>
      <c r="H328" s="267"/>
      <c r="I328" s="267"/>
      <c r="J328" s="267"/>
      <c r="K328" s="267"/>
      <c r="L328" s="267"/>
      <c r="M328" s="267"/>
      <c r="N328" s="267"/>
      <c r="O328" s="267"/>
      <c r="P328" s="267"/>
      <c r="Q328" s="267"/>
      <c r="R328" s="267"/>
    </row>
    <row r="329" spans="1:18" x14ac:dyDescent="0.2">
      <c r="A329" s="267"/>
      <c r="B329" s="267"/>
      <c r="C329" s="267"/>
      <c r="D329" s="267"/>
      <c r="E329" s="267"/>
      <c r="F329" s="267"/>
      <c r="G329" s="267"/>
      <c r="H329" s="267"/>
      <c r="I329" s="267"/>
      <c r="J329" s="267"/>
      <c r="K329" s="267"/>
      <c r="L329" s="267"/>
      <c r="M329" s="267"/>
      <c r="N329" s="267"/>
      <c r="O329" s="267"/>
      <c r="P329" s="267"/>
      <c r="Q329" s="267"/>
      <c r="R329" s="267"/>
    </row>
    <row r="330" spans="1:18" x14ac:dyDescent="0.2">
      <c r="A330" s="267"/>
      <c r="B330" s="267"/>
      <c r="C330" s="267"/>
      <c r="D330" s="267"/>
      <c r="E330" s="267"/>
      <c r="F330" s="267"/>
      <c r="G330" s="267"/>
      <c r="H330" s="267"/>
      <c r="I330" s="267"/>
      <c r="J330" s="267"/>
      <c r="K330" s="267"/>
      <c r="L330" s="267"/>
      <c r="M330" s="267"/>
      <c r="N330" s="267"/>
      <c r="O330" s="267"/>
      <c r="P330" s="267"/>
      <c r="Q330" s="267"/>
      <c r="R330" s="267"/>
    </row>
    <row r="331" spans="1:18" x14ac:dyDescent="0.2">
      <c r="A331" s="267"/>
      <c r="B331" s="267"/>
      <c r="C331" s="267"/>
      <c r="D331" s="267"/>
      <c r="E331" s="267"/>
      <c r="F331" s="267"/>
      <c r="G331" s="267"/>
      <c r="H331" s="267"/>
      <c r="I331" s="267"/>
      <c r="J331" s="267"/>
      <c r="K331" s="267"/>
      <c r="L331" s="267"/>
      <c r="M331" s="267"/>
      <c r="N331" s="267"/>
      <c r="O331" s="267"/>
      <c r="P331" s="267"/>
      <c r="Q331" s="267"/>
      <c r="R331" s="267"/>
    </row>
    <row r="332" spans="1:18" x14ac:dyDescent="0.2">
      <c r="A332" s="267"/>
      <c r="B332" s="267"/>
      <c r="C332" s="267"/>
      <c r="D332" s="267"/>
      <c r="E332" s="267"/>
      <c r="F332" s="267"/>
      <c r="G332" s="267"/>
      <c r="H332" s="267"/>
      <c r="I332" s="267"/>
      <c r="J332" s="267"/>
      <c r="K332" s="267"/>
      <c r="L332" s="267"/>
      <c r="M332" s="267"/>
      <c r="N332" s="267"/>
      <c r="O332" s="267"/>
      <c r="P332" s="267"/>
      <c r="Q332" s="267"/>
      <c r="R332" s="267"/>
    </row>
    <row r="333" spans="1:18" x14ac:dyDescent="0.2">
      <c r="A333" s="267"/>
      <c r="B333" s="267"/>
      <c r="C333" s="267"/>
      <c r="D333" s="267"/>
      <c r="E333" s="267"/>
      <c r="F333" s="267"/>
      <c r="G333" s="267"/>
      <c r="H333" s="267"/>
      <c r="I333" s="267"/>
      <c r="J333" s="267"/>
      <c r="K333" s="267"/>
      <c r="L333" s="267"/>
      <c r="M333" s="267"/>
      <c r="N333" s="267"/>
      <c r="O333" s="267"/>
      <c r="P333" s="267"/>
      <c r="Q333" s="267"/>
      <c r="R333" s="267"/>
    </row>
    <row r="334" spans="1:18" x14ac:dyDescent="0.2">
      <c r="A334" s="267"/>
      <c r="B334" s="267"/>
      <c r="C334" s="267"/>
      <c r="D334" s="267"/>
      <c r="E334" s="267"/>
      <c r="F334" s="267"/>
      <c r="G334" s="267"/>
      <c r="H334" s="267"/>
      <c r="I334" s="267"/>
      <c r="J334" s="267"/>
      <c r="K334" s="267"/>
      <c r="L334" s="267"/>
      <c r="M334" s="267"/>
      <c r="N334" s="267"/>
      <c r="O334" s="267"/>
      <c r="P334" s="267"/>
      <c r="Q334" s="267"/>
      <c r="R334" s="267"/>
    </row>
    <row r="335" spans="1:18" x14ac:dyDescent="0.2">
      <c r="A335" s="267"/>
      <c r="B335" s="267"/>
      <c r="C335" s="267"/>
      <c r="D335" s="267"/>
      <c r="E335" s="267"/>
      <c r="F335" s="267"/>
      <c r="G335" s="267"/>
      <c r="H335" s="267"/>
      <c r="I335" s="267"/>
      <c r="J335" s="267"/>
      <c r="K335" s="267"/>
      <c r="L335" s="267"/>
      <c r="M335" s="267"/>
      <c r="N335" s="267"/>
      <c r="O335" s="267"/>
      <c r="P335" s="267"/>
      <c r="Q335" s="267"/>
      <c r="R335" s="267"/>
    </row>
    <row r="336" spans="1:18" x14ac:dyDescent="0.2">
      <c r="A336" s="267"/>
      <c r="B336" s="267"/>
      <c r="C336" s="267"/>
      <c r="D336" s="267"/>
      <c r="E336" s="267"/>
      <c r="F336" s="267"/>
      <c r="G336" s="267"/>
      <c r="H336" s="267"/>
      <c r="I336" s="267"/>
      <c r="J336" s="267"/>
      <c r="K336" s="267"/>
      <c r="L336" s="267"/>
      <c r="M336" s="267"/>
      <c r="N336" s="267"/>
      <c r="O336" s="267"/>
      <c r="P336" s="267"/>
      <c r="Q336" s="267"/>
      <c r="R336" s="267"/>
    </row>
    <row r="337" spans="1:18" x14ac:dyDescent="0.2">
      <c r="A337" s="267"/>
      <c r="B337" s="267"/>
      <c r="C337" s="267"/>
      <c r="D337" s="267"/>
      <c r="E337" s="267"/>
      <c r="F337" s="267"/>
      <c r="G337" s="267"/>
      <c r="H337" s="267"/>
      <c r="I337" s="267"/>
      <c r="J337" s="267"/>
      <c r="K337" s="267"/>
      <c r="L337" s="267"/>
      <c r="M337" s="267"/>
      <c r="N337" s="267"/>
      <c r="O337" s="267"/>
      <c r="P337" s="267"/>
      <c r="Q337" s="267"/>
      <c r="R337" s="267"/>
    </row>
    <row r="338" spans="1:18" x14ac:dyDescent="0.2">
      <c r="A338" s="267"/>
      <c r="B338" s="267"/>
      <c r="C338" s="267"/>
      <c r="D338" s="267"/>
      <c r="E338" s="267"/>
      <c r="F338" s="267"/>
      <c r="G338" s="267"/>
      <c r="H338" s="267"/>
      <c r="I338" s="267"/>
      <c r="J338" s="267"/>
      <c r="K338" s="267"/>
      <c r="L338" s="267"/>
      <c r="M338" s="267"/>
      <c r="N338" s="267"/>
      <c r="O338" s="267"/>
      <c r="P338" s="267"/>
      <c r="Q338" s="267"/>
      <c r="R338" s="267"/>
    </row>
    <row r="339" spans="1:18" x14ac:dyDescent="0.2">
      <c r="A339" s="267"/>
      <c r="B339" s="267"/>
      <c r="C339" s="267"/>
      <c r="D339" s="267"/>
      <c r="E339" s="267"/>
      <c r="F339" s="267"/>
      <c r="G339" s="267"/>
      <c r="H339" s="267"/>
      <c r="I339" s="267"/>
      <c r="J339" s="267"/>
      <c r="K339" s="267"/>
      <c r="L339" s="267"/>
      <c r="M339" s="267"/>
      <c r="N339" s="267"/>
      <c r="O339" s="267"/>
      <c r="P339" s="267"/>
      <c r="Q339" s="267"/>
      <c r="R339" s="267"/>
    </row>
    <row r="340" spans="1:18" x14ac:dyDescent="0.2">
      <c r="A340" s="267"/>
      <c r="B340" s="267"/>
      <c r="C340" s="267"/>
      <c r="D340" s="267"/>
      <c r="E340" s="267"/>
      <c r="F340" s="267"/>
      <c r="G340" s="267"/>
      <c r="H340" s="267"/>
      <c r="I340" s="267"/>
      <c r="J340" s="267"/>
      <c r="K340" s="267"/>
      <c r="L340" s="267"/>
      <c r="M340" s="267"/>
      <c r="N340" s="267"/>
      <c r="O340" s="267"/>
      <c r="P340" s="267"/>
      <c r="Q340" s="267"/>
      <c r="R340" s="267"/>
    </row>
    <row r="341" spans="1:18" x14ac:dyDescent="0.2">
      <c r="A341" s="267"/>
      <c r="B341" s="267"/>
      <c r="C341" s="267"/>
      <c r="D341" s="267"/>
      <c r="E341" s="267"/>
      <c r="F341" s="267"/>
      <c r="G341" s="267"/>
      <c r="H341" s="267"/>
      <c r="I341" s="267"/>
      <c r="J341" s="267"/>
      <c r="K341" s="267"/>
      <c r="L341" s="267"/>
      <c r="M341" s="267"/>
      <c r="N341" s="267"/>
      <c r="O341" s="267"/>
      <c r="P341" s="267"/>
      <c r="Q341" s="267"/>
      <c r="R341" s="267"/>
    </row>
    <row r="342" spans="1:18" x14ac:dyDescent="0.2">
      <c r="A342" s="267"/>
      <c r="B342" s="267"/>
      <c r="C342" s="267"/>
      <c r="D342" s="267"/>
      <c r="E342" s="267"/>
      <c r="F342" s="267"/>
      <c r="G342" s="267"/>
      <c r="H342" s="267"/>
      <c r="I342" s="267"/>
      <c r="J342" s="267"/>
      <c r="K342" s="267"/>
      <c r="L342" s="267"/>
      <c r="M342" s="267"/>
      <c r="N342" s="267"/>
      <c r="O342" s="267"/>
      <c r="P342" s="267"/>
      <c r="Q342" s="267"/>
      <c r="R342" s="267"/>
    </row>
    <row r="343" spans="1:18" x14ac:dyDescent="0.2">
      <c r="A343" s="267"/>
      <c r="B343" s="267"/>
      <c r="C343" s="267"/>
      <c r="D343" s="267"/>
      <c r="E343" s="267"/>
      <c r="F343" s="267"/>
      <c r="G343" s="267"/>
      <c r="H343" s="267"/>
      <c r="I343" s="267"/>
      <c r="J343" s="267"/>
      <c r="K343" s="267"/>
      <c r="L343" s="267"/>
      <c r="M343" s="267"/>
      <c r="N343" s="267"/>
      <c r="O343" s="267"/>
      <c r="P343" s="267"/>
      <c r="Q343" s="267"/>
      <c r="R343" s="267"/>
    </row>
    <row r="344" spans="1:18" x14ac:dyDescent="0.2">
      <c r="A344" s="267"/>
      <c r="B344" s="267"/>
      <c r="C344" s="267"/>
      <c r="D344" s="267"/>
      <c r="E344" s="267"/>
      <c r="F344" s="267"/>
      <c r="G344" s="267"/>
      <c r="H344" s="267"/>
      <c r="I344" s="267"/>
      <c r="J344" s="267"/>
      <c r="K344" s="267"/>
      <c r="L344" s="267"/>
      <c r="M344" s="267"/>
      <c r="N344" s="267"/>
      <c r="O344" s="267"/>
      <c r="P344" s="267"/>
      <c r="Q344" s="267"/>
      <c r="R344" s="267"/>
    </row>
    <row r="345" spans="1:18" x14ac:dyDescent="0.2">
      <c r="A345" s="267"/>
      <c r="B345" s="267"/>
      <c r="C345" s="267"/>
      <c r="D345" s="267"/>
      <c r="E345" s="267"/>
      <c r="F345" s="267"/>
      <c r="G345" s="267"/>
      <c r="H345" s="267"/>
      <c r="I345" s="267"/>
      <c r="J345" s="267"/>
      <c r="K345" s="267"/>
      <c r="L345" s="267"/>
      <c r="M345" s="267"/>
      <c r="N345" s="267"/>
      <c r="O345" s="267"/>
      <c r="P345" s="267"/>
      <c r="Q345" s="267"/>
      <c r="R345" s="267"/>
    </row>
    <row r="346" spans="1:18" x14ac:dyDescent="0.2">
      <c r="A346" s="267"/>
      <c r="B346" s="267"/>
      <c r="C346" s="267"/>
      <c r="D346" s="267"/>
      <c r="E346" s="267"/>
      <c r="F346" s="267"/>
      <c r="G346" s="267"/>
      <c r="H346" s="267"/>
      <c r="I346" s="267"/>
      <c r="J346" s="267"/>
      <c r="K346" s="267"/>
      <c r="L346" s="267"/>
      <c r="M346" s="267"/>
      <c r="N346" s="267"/>
      <c r="O346" s="267"/>
      <c r="P346" s="267"/>
      <c r="Q346" s="267"/>
      <c r="R346" s="267"/>
    </row>
    <row r="347" spans="1:18" x14ac:dyDescent="0.2">
      <c r="A347" s="267"/>
      <c r="B347" s="267"/>
      <c r="C347" s="267"/>
      <c r="D347" s="267"/>
      <c r="E347" s="267"/>
      <c r="F347" s="267"/>
      <c r="G347" s="267"/>
      <c r="H347" s="267"/>
      <c r="I347" s="267"/>
      <c r="J347" s="267"/>
      <c r="K347" s="267"/>
      <c r="L347" s="267"/>
      <c r="M347" s="267"/>
      <c r="N347" s="267"/>
      <c r="O347" s="267"/>
      <c r="P347" s="267"/>
      <c r="Q347" s="267"/>
      <c r="R347" s="267"/>
    </row>
    <row r="348" spans="1:18" x14ac:dyDescent="0.2">
      <c r="A348" s="267"/>
      <c r="B348" s="267"/>
      <c r="C348" s="267"/>
      <c r="D348" s="267"/>
      <c r="E348" s="267"/>
      <c r="F348" s="267"/>
      <c r="G348" s="267"/>
      <c r="H348" s="267"/>
      <c r="I348" s="267"/>
      <c r="J348" s="267"/>
      <c r="K348" s="267"/>
      <c r="L348" s="267"/>
      <c r="M348" s="267"/>
      <c r="N348" s="267"/>
      <c r="O348" s="267"/>
      <c r="P348" s="267"/>
      <c r="Q348" s="267"/>
      <c r="R348" s="267"/>
    </row>
    <row r="349" spans="1:18" x14ac:dyDescent="0.2">
      <c r="A349" s="267"/>
      <c r="B349" s="267"/>
      <c r="C349" s="267"/>
      <c r="D349" s="267"/>
      <c r="E349" s="267"/>
      <c r="F349" s="267"/>
      <c r="G349" s="267"/>
      <c r="H349" s="267"/>
      <c r="I349" s="267"/>
      <c r="J349" s="267"/>
      <c r="K349" s="267"/>
      <c r="L349" s="267"/>
      <c r="M349" s="267"/>
      <c r="N349" s="267"/>
      <c r="O349" s="267"/>
      <c r="P349" s="267"/>
      <c r="Q349" s="267"/>
      <c r="R349" s="267"/>
    </row>
    <row r="350" spans="1:18" x14ac:dyDescent="0.2">
      <c r="A350" s="267"/>
      <c r="B350" s="267"/>
      <c r="C350" s="267"/>
      <c r="D350" s="267"/>
      <c r="E350" s="267"/>
      <c r="F350" s="267"/>
      <c r="G350" s="267"/>
      <c r="H350" s="267"/>
      <c r="I350" s="267"/>
      <c r="J350" s="267"/>
      <c r="K350" s="267"/>
      <c r="L350" s="267"/>
      <c r="M350" s="267"/>
      <c r="N350" s="267"/>
      <c r="O350" s="267"/>
      <c r="P350" s="267"/>
      <c r="Q350" s="267"/>
      <c r="R350" s="267"/>
    </row>
    <row r="351" spans="1:18" x14ac:dyDescent="0.2">
      <c r="A351" s="267"/>
      <c r="B351" s="267"/>
      <c r="C351" s="267"/>
      <c r="D351" s="267"/>
      <c r="E351" s="267"/>
      <c r="F351" s="267"/>
      <c r="G351" s="267"/>
      <c r="H351" s="267"/>
      <c r="I351" s="267"/>
      <c r="J351" s="267"/>
      <c r="K351" s="267"/>
      <c r="L351" s="267"/>
      <c r="M351" s="267"/>
      <c r="N351" s="267"/>
      <c r="O351" s="267"/>
      <c r="P351" s="267"/>
      <c r="Q351" s="267"/>
      <c r="R351" s="267"/>
    </row>
    <row r="352" spans="1:18" x14ac:dyDescent="0.2">
      <c r="A352" s="267"/>
      <c r="B352" s="267"/>
      <c r="C352" s="267"/>
      <c r="D352" s="267"/>
      <c r="E352" s="267"/>
      <c r="F352" s="267"/>
      <c r="G352" s="267"/>
      <c r="H352" s="267"/>
      <c r="I352" s="267"/>
      <c r="J352" s="267"/>
      <c r="K352" s="267"/>
      <c r="L352" s="267"/>
      <c r="M352" s="267"/>
      <c r="N352" s="267"/>
      <c r="O352" s="267"/>
      <c r="P352" s="267"/>
      <c r="Q352" s="267"/>
      <c r="R352" s="267"/>
    </row>
    <row r="353" spans="1:18" x14ac:dyDescent="0.2">
      <c r="A353" s="267"/>
      <c r="B353" s="267"/>
      <c r="C353" s="267"/>
      <c r="D353" s="267"/>
      <c r="E353" s="267"/>
      <c r="F353" s="267"/>
      <c r="G353" s="267"/>
      <c r="H353" s="267"/>
      <c r="I353" s="267"/>
      <c r="J353" s="267"/>
      <c r="K353" s="267"/>
      <c r="L353" s="267"/>
      <c r="M353" s="267"/>
      <c r="N353" s="267"/>
      <c r="O353" s="267"/>
      <c r="P353" s="267"/>
      <c r="Q353" s="267"/>
      <c r="R353" s="267"/>
    </row>
    <row r="354" spans="1:18" x14ac:dyDescent="0.2">
      <c r="A354" s="267"/>
      <c r="B354" s="267"/>
      <c r="C354" s="267"/>
      <c r="D354" s="267"/>
      <c r="E354" s="267"/>
      <c r="F354" s="267"/>
      <c r="G354" s="267"/>
      <c r="H354" s="267"/>
      <c r="I354" s="267"/>
      <c r="J354" s="267"/>
      <c r="K354" s="267"/>
      <c r="L354" s="267"/>
      <c r="M354" s="267"/>
      <c r="N354" s="267"/>
      <c r="O354" s="267"/>
      <c r="P354" s="267"/>
      <c r="Q354" s="267"/>
      <c r="R354" s="267"/>
    </row>
    <row r="355" spans="1:18" x14ac:dyDescent="0.2">
      <c r="A355" s="267"/>
      <c r="B355" s="267"/>
      <c r="C355" s="267"/>
      <c r="D355" s="267"/>
      <c r="E355" s="267"/>
      <c r="F355" s="267"/>
      <c r="G355" s="267"/>
      <c r="H355" s="267"/>
      <c r="I355" s="267"/>
      <c r="J355" s="267"/>
      <c r="K355" s="267"/>
      <c r="L355" s="267"/>
      <c r="M355" s="267"/>
      <c r="N355" s="267"/>
      <c r="O355" s="267"/>
      <c r="P355" s="267"/>
      <c r="Q355" s="267"/>
      <c r="R355" s="267"/>
    </row>
    <row r="356" spans="1:18" x14ac:dyDescent="0.2">
      <c r="A356" s="267"/>
      <c r="B356" s="267"/>
      <c r="C356" s="267"/>
      <c r="D356" s="267"/>
      <c r="E356" s="267"/>
      <c r="F356" s="267"/>
      <c r="G356" s="267"/>
      <c r="H356" s="267"/>
      <c r="I356" s="267"/>
      <c r="J356" s="267"/>
      <c r="K356" s="267"/>
      <c r="L356" s="267"/>
      <c r="M356" s="267"/>
      <c r="N356" s="267"/>
      <c r="O356" s="267"/>
      <c r="P356" s="267"/>
      <c r="Q356" s="267"/>
      <c r="R356" s="267"/>
    </row>
    <row r="357" spans="1:18" x14ac:dyDescent="0.2">
      <c r="A357" s="267"/>
      <c r="B357" s="267"/>
      <c r="C357" s="267"/>
      <c r="D357" s="267"/>
      <c r="E357" s="267"/>
      <c r="F357" s="267"/>
      <c r="G357" s="267"/>
      <c r="H357" s="267"/>
      <c r="I357" s="267"/>
      <c r="J357" s="267"/>
      <c r="K357" s="267"/>
      <c r="L357" s="267"/>
      <c r="M357" s="267"/>
      <c r="N357" s="267"/>
      <c r="O357" s="267"/>
      <c r="P357" s="267"/>
      <c r="Q357" s="267"/>
      <c r="R357" s="267"/>
    </row>
    <row r="358" spans="1:18" x14ac:dyDescent="0.2">
      <c r="A358" s="267"/>
      <c r="B358" s="267"/>
      <c r="C358" s="267"/>
      <c r="D358" s="267"/>
      <c r="E358" s="267"/>
      <c r="F358" s="267"/>
      <c r="G358" s="267"/>
      <c r="H358" s="267"/>
      <c r="I358" s="267"/>
      <c r="J358" s="267"/>
      <c r="K358" s="267"/>
      <c r="L358" s="267"/>
      <c r="M358" s="267"/>
      <c r="N358" s="267"/>
      <c r="O358" s="267"/>
      <c r="P358" s="267"/>
      <c r="Q358" s="267"/>
      <c r="R358" s="267"/>
    </row>
    <row r="359" spans="1:18" x14ac:dyDescent="0.2">
      <c r="A359" s="267"/>
      <c r="B359" s="267"/>
      <c r="C359" s="267"/>
      <c r="D359" s="267"/>
      <c r="E359" s="267"/>
      <c r="F359" s="267"/>
      <c r="G359" s="267"/>
      <c r="H359" s="267"/>
      <c r="I359" s="267"/>
      <c r="J359" s="267"/>
      <c r="K359" s="267"/>
      <c r="L359" s="267"/>
      <c r="M359" s="267"/>
      <c r="N359" s="267"/>
      <c r="O359" s="267"/>
      <c r="P359" s="267"/>
      <c r="Q359" s="267"/>
      <c r="R359" s="267"/>
    </row>
    <row r="360" spans="1:18" x14ac:dyDescent="0.2">
      <c r="A360" s="267"/>
      <c r="B360" s="267"/>
      <c r="C360" s="267"/>
      <c r="D360" s="267"/>
      <c r="E360" s="267"/>
      <c r="F360" s="267"/>
      <c r="G360" s="267"/>
      <c r="H360" s="267"/>
      <c r="I360" s="267"/>
      <c r="J360" s="267"/>
      <c r="K360" s="267"/>
      <c r="L360" s="267"/>
      <c r="M360" s="267"/>
      <c r="N360" s="267"/>
      <c r="O360" s="267"/>
      <c r="P360" s="267"/>
      <c r="Q360" s="267"/>
      <c r="R360" s="267"/>
    </row>
    <row r="361" spans="1:18" x14ac:dyDescent="0.2">
      <c r="A361" s="267"/>
      <c r="B361" s="267"/>
      <c r="C361" s="267"/>
      <c r="D361" s="267"/>
      <c r="E361" s="267"/>
      <c r="F361" s="267"/>
      <c r="G361" s="267"/>
      <c r="H361" s="267"/>
      <c r="I361" s="267"/>
      <c r="J361" s="267"/>
      <c r="K361" s="267"/>
      <c r="L361" s="267"/>
      <c r="M361" s="267"/>
      <c r="N361" s="267"/>
      <c r="O361" s="267"/>
      <c r="P361" s="267"/>
      <c r="Q361" s="267"/>
      <c r="R361" s="267"/>
    </row>
    <row r="362" spans="1:18" x14ac:dyDescent="0.2">
      <c r="A362" s="267"/>
      <c r="B362" s="267"/>
      <c r="C362" s="267"/>
      <c r="D362" s="267"/>
      <c r="E362" s="267"/>
      <c r="F362" s="267"/>
      <c r="G362" s="267"/>
      <c r="H362" s="267"/>
      <c r="I362" s="267"/>
      <c r="J362" s="267"/>
      <c r="K362" s="267"/>
      <c r="L362" s="267"/>
      <c r="M362" s="267"/>
      <c r="N362" s="267"/>
      <c r="O362" s="267"/>
      <c r="P362" s="267"/>
      <c r="Q362" s="267"/>
      <c r="R362" s="267"/>
    </row>
    <row r="363" spans="1:18" x14ac:dyDescent="0.2">
      <c r="A363" s="267"/>
      <c r="B363" s="267"/>
      <c r="C363" s="267"/>
      <c r="D363" s="267"/>
      <c r="E363" s="267"/>
      <c r="F363" s="267"/>
      <c r="G363" s="267"/>
      <c r="H363" s="267"/>
      <c r="I363" s="267"/>
      <c r="J363" s="267"/>
      <c r="K363" s="267"/>
      <c r="L363" s="267"/>
      <c r="M363" s="267"/>
      <c r="N363" s="267"/>
      <c r="O363" s="267"/>
      <c r="P363" s="267"/>
      <c r="Q363" s="267"/>
      <c r="R363" s="267"/>
    </row>
    <row r="364" spans="1:18" x14ac:dyDescent="0.2">
      <c r="A364" s="267"/>
      <c r="B364" s="267"/>
      <c r="C364" s="267"/>
      <c r="D364" s="267"/>
      <c r="E364" s="267"/>
      <c r="F364" s="267"/>
      <c r="G364" s="267"/>
      <c r="H364" s="267"/>
      <c r="I364" s="267"/>
      <c r="J364" s="267"/>
      <c r="K364" s="267"/>
      <c r="L364" s="267"/>
      <c r="M364" s="267"/>
      <c r="N364" s="267"/>
      <c r="O364" s="267"/>
      <c r="P364" s="267"/>
      <c r="Q364" s="267"/>
      <c r="R364" s="267"/>
    </row>
    <row r="365" spans="1:18" x14ac:dyDescent="0.2">
      <c r="A365" s="267"/>
      <c r="B365" s="267"/>
      <c r="C365" s="267"/>
      <c r="D365" s="267"/>
      <c r="E365" s="267"/>
      <c r="F365" s="267"/>
      <c r="G365" s="267"/>
      <c r="H365" s="267"/>
      <c r="I365" s="267"/>
      <c r="J365" s="267"/>
      <c r="K365" s="267"/>
      <c r="L365" s="267"/>
      <c r="M365" s="267"/>
      <c r="N365" s="267"/>
      <c r="O365" s="267"/>
      <c r="P365" s="267"/>
      <c r="Q365" s="267"/>
      <c r="R365" s="267"/>
    </row>
    <row r="366" spans="1:18" x14ac:dyDescent="0.2">
      <c r="A366" s="267"/>
      <c r="B366" s="267"/>
      <c r="C366" s="267"/>
      <c r="D366" s="267"/>
      <c r="E366" s="267"/>
      <c r="F366" s="267"/>
      <c r="G366" s="267"/>
      <c r="H366" s="267"/>
      <c r="I366" s="267"/>
      <c r="J366" s="267"/>
      <c r="K366" s="267"/>
      <c r="L366" s="267"/>
      <c r="M366" s="267"/>
      <c r="N366" s="267"/>
      <c r="O366" s="267"/>
      <c r="P366" s="267"/>
      <c r="Q366" s="267"/>
      <c r="R366" s="267"/>
    </row>
    <row r="367" spans="1:18" x14ac:dyDescent="0.2">
      <c r="A367" s="267"/>
      <c r="B367" s="267"/>
      <c r="C367" s="267"/>
      <c r="D367" s="267"/>
      <c r="E367" s="267"/>
      <c r="F367" s="267"/>
      <c r="G367" s="267"/>
      <c r="H367" s="267"/>
      <c r="I367" s="267"/>
      <c r="J367" s="267"/>
      <c r="K367" s="267"/>
      <c r="L367" s="267"/>
      <c r="M367" s="267"/>
      <c r="N367" s="267"/>
      <c r="O367" s="267"/>
      <c r="P367" s="267"/>
      <c r="Q367" s="267"/>
      <c r="R367" s="267"/>
    </row>
    <row r="368" spans="1:18" x14ac:dyDescent="0.2">
      <c r="A368" s="267"/>
      <c r="B368" s="267"/>
      <c r="C368" s="267"/>
      <c r="D368" s="267"/>
      <c r="E368" s="267"/>
      <c r="F368" s="267"/>
      <c r="G368" s="267"/>
      <c r="H368" s="267"/>
      <c r="I368" s="267"/>
      <c r="J368" s="267"/>
      <c r="K368" s="267"/>
      <c r="L368" s="267"/>
      <c r="M368" s="267"/>
      <c r="N368" s="267"/>
      <c r="O368" s="267"/>
      <c r="P368" s="267"/>
      <c r="Q368" s="267"/>
      <c r="R368" s="267"/>
    </row>
    <row r="369" spans="1:18" x14ac:dyDescent="0.2">
      <c r="A369" s="267"/>
      <c r="B369" s="267"/>
      <c r="C369" s="267"/>
      <c r="D369" s="267"/>
      <c r="E369" s="267"/>
      <c r="F369" s="267"/>
      <c r="G369" s="267"/>
      <c r="H369" s="267"/>
      <c r="I369" s="267"/>
      <c r="J369" s="267"/>
      <c r="K369" s="267"/>
      <c r="L369" s="267"/>
      <c r="M369" s="267"/>
      <c r="N369" s="267"/>
      <c r="O369" s="267"/>
      <c r="P369" s="267"/>
      <c r="Q369" s="267"/>
      <c r="R369" s="267"/>
    </row>
    <row r="370" spans="1:18" x14ac:dyDescent="0.2">
      <c r="A370" s="267"/>
      <c r="B370" s="267"/>
      <c r="C370" s="267"/>
      <c r="D370" s="267"/>
      <c r="E370" s="267"/>
      <c r="F370" s="267"/>
      <c r="G370" s="267"/>
      <c r="H370" s="267"/>
      <c r="I370" s="267"/>
      <c r="J370" s="267"/>
      <c r="K370" s="267"/>
      <c r="L370" s="267"/>
      <c r="M370" s="267"/>
      <c r="N370" s="267"/>
      <c r="O370" s="267"/>
      <c r="P370" s="267"/>
      <c r="Q370" s="267"/>
      <c r="R370" s="267"/>
    </row>
    <row r="371" spans="1:18" x14ac:dyDescent="0.2">
      <c r="A371" s="267"/>
      <c r="B371" s="267"/>
      <c r="C371" s="267"/>
      <c r="D371" s="267"/>
      <c r="E371" s="267"/>
      <c r="F371" s="267"/>
      <c r="G371" s="267"/>
      <c r="H371" s="267"/>
      <c r="I371" s="267"/>
      <c r="J371" s="267"/>
      <c r="K371" s="267"/>
      <c r="L371" s="267"/>
      <c r="M371" s="267"/>
      <c r="N371" s="267"/>
      <c r="O371" s="267"/>
      <c r="P371" s="267"/>
      <c r="Q371" s="267"/>
      <c r="R371" s="267"/>
    </row>
    <row r="372" spans="1:18" x14ac:dyDescent="0.2">
      <c r="A372" s="267"/>
      <c r="B372" s="267"/>
      <c r="C372" s="267"/>
      <c r="D372" s="267"/>
      <c r="E372" s="267"/>
      <c r="F372" s="267"/>
      <c r="G372" s="267"/>
      <c r="H372" s="267"/>
      <c r="I372" s="267"/>
      <c r="J372" s="267"/>
      <c r="K372" s="267"/>
      <c r="L372" s="267"/>
      <c r="M372" s="267"/>
      <c r="N372" s="267"/>
      <c r="O372" s="267"/>
      <c r="P372" s="267"/>
      <c r="Q372" s="267"/>
      <c r="R372" s="267"/>
    </row>
    <row r="373" spans="1:18" x14ac:dyDescent="0.2">
      <c r="A373" s="267"/>
      <c r="B373" s="267"/>
      <c r="C373" s="267"/>
      <c r="D373" s="267"/>
      <c r="E373" s="267"/>
      <c r="F373" s="267"/>
      <c r="G373" s="267"/>
      <c r="H373" s="267"/>
      <c r="I373" s="267"/>
      <c r="J373" s="267"/>
      <c r="K373" s="267"/>
      <c r="L373" s="267"/>
      <c r="M373" s="267"/>
      <c r="N373" s="267"/>
      <c r="O373" s="267"/>
      <c r="P373" s="267"/>
      <c r="Q373" s="267"/>
      <c r="R373" s="267"/>
    </row>
    <row r="374" spans="1:18" x14ac:dyDescent="0.2">
      <c r="A374" s="267"/>
      <c r="B374" s="267"/>
      <c r="C374" s="267"/>
      <c r="D374" s="267"/>
      <c r="E374" s="267"/>
      <c r="F374" s="267"/>
      <c r="G374" s="267"/>
      <c r="H374" s="267"/>
      <c r="I374" s="267"/>
      <c r="J374" s="267"/>
      <c r="K374" s="267"/>
      <c r="L374" s="267"/>
      <c r="M374" s="267"/>
      <c r="N374" s="267"/>
      <c r="O374" s="267"/>
      <c r="P374" s="267"/>
      <c r="Q374" s="267"/>
      <c r="R374" s="267"/>
    </row>
    <row r="375" spans="1:18" x14ac:dyDescent="0.2">
      <c r="A375" s="267"/>
      <c r="B375" s="267"/>
      <c r="C375" s="267"/>
      <c r="D375" s="267"/>
      <c r="E375" s="267"/>
      <c r="F375" s="267"/>
      <c r="G375" s="267"/>
      <c r="H375" s="267"/>
      <c r="I375" s="267"/>
      <c r="J375" s="267"/>
      <c r="K375" s="267"/>
      <c r="L375" s="267"/>
      <c r="M375" s="267"/>
      <c r="N375" s="267"/>
      <c r="O375" s="267"/>
      <c r="P375" s="267"/>
      <c r="Q375" s="267"/>
      <c r="R375" s="267"/>
    </row>
    <row r="376" spans="1:18" x14ac:dyDescent="0.2">
      <c r="A376" s="267"/>
      <c r="B376" s="267"/>
      <c r="C376" s="267"/>
      <c r="D376" s="267"/>
      <c r="E376" s="267"/>
      <c r="F376" s="267"/>
      <c r="G376" s="267"/>
      <c r="H376" s="267"/>
      <c r="I376" s="267"/>
      <c r="J376" s="267"/>
      <c r="K376" s="267"/>
      <c r="L376" s="267"/>
      <c r="M376" s="267"/>
      <c r="N376" s="267"/>
      <c r="O376" s="267"/>
      <c r="P376" s="267"/>
      <c r="Q376" s="267"/>
      <c r="R376" s="267"/>
    </row>
    <row r="377" spans="1:18" x14ac:dyDescent="0.2">
      <c r="A377" s="267"/>
      <c r="B377" s="267"/>
      <c r="C377" s="267"/>
      <c r="D377" s="267"/>
      <c r="E377" s="267"/>
      <c r="F377" s="267"/>
      <c r="G377" s="267"/>
      <c r="H377" s="267"/>
      <c r="I377" s="267"/>
      <c r="J377" s="267"/>
      <c r="K377" s="267"/>
      <c r="L377" s="267"/>
      <c r="M377" s="267"/>
      <c r="N377" s="267"/>
      <c r="O377" s="267"/>
      <c r="P377" s="267"/>
      <c r="Q377" s="267"/>
      <c r="R377" s="267"/>
    </row>
    <row r="378" spans="1:18" x14ac:dyDescent="0.2">
      <c r="A378" s="267"/>
      <c r="B378" s="267"/>
      <c r="C378" s="267"/>
      <c r="D378" s="267"/>
      <c r="E378" s="267"/>
      <c r="F378" s="267"/>
      <c r="G378" s="267"/>
      <c r="H378" s="267"/>
      <c r="I378" s="267"/>
      <c r="J378" s="267"/>
      <c r="K378" s="267"/>
      <c r="L378" s="267"/>
      <c r="M378" s="267"/>
      <c r="N378" s="267"/>
      <c r="O378" s="267"/>
      <c r="P378" s="267"/>
      <c r="Q378" s="267"/>
      <c r="R378" s="267"/>
    </row>
    <row r="379" spans="1:18" x14ac:dyDescent="0.2">
      <c r="A379" s="267"/>
      <c r="B379" s="267"/>
      <c r="C379" s="267"/>
      <c r="D379" s="267"/>
      <c r="E379" s="267"/>
      <c r="F379" s="267"/>
      <c r="G379" s="267"/>
      <c r="H379" s="267"/>
      <c r="I379" s="267"/>
      <c r="J379" s="267"/>
      <c r="K379" s="267"/>
      <c r="L379" s="267"/>
      <c r="M379" s="267"/>
      <c r="N379" s="267"/>
      <c r="O379" s="267"/>
      <c r="P379" s="267"/>
      <c r="Q379" s="267"/>
      <c r="R379" s="267"/>
    </row>
    <row r="380" spans="1:18" x14ac:dyDescent="0.2">
      <c r="A380" s="267"/>
      <c r="B380" s="267"/>
      <c r="C380" s="267"/>
      <c r="D380" s="267"/>
      <c r="E380" s="267"/>
      <c r="F380" s="267"/>
      <c r="G380" s="267"/>
      <c r="H380" s="267"/>
      <c r="I380" s="267"/>
      <c r="J380" s="267"/>
      <c r="K380" s="267"/>
      <c r="L380" s="267"/>
      <c r="M380" s="267"/>
      <c r="N380" s="267"/>
      <c r="O380" s="267"/>
      <c r="P380" s="267"/>
      <c r="Q380" s="267"/>
      <c r="R380" s="267"/>
    </row>
    <row r="381" spans="1:18" x14ac:dyDescent="0.2">
      <c r="A381" s="267"/>
      <c r="B381" s="267"/>
      <c r="C381" s="267"/>
      <c r="D381" s="267"/>
      <c r="E381" s="267"/>
      <c r="F381" s="267"/>
      <c r="G381" s="267"/>
      <c r="H381" s="267"/>
      <c r="I381" s="267"/>
      <c r="J381" s="267"/>
      <c r="K381" s="267"/>
      <c r="L381" s="267"/>
      <c r="M381" s="267"/>
      <c r="N381" s="267"/>
      <c r="O381" s="267"/>
      <c r="P381" s="267"/>
      <c r="Q381" s="267"/>
      <c r="R381" s="267"/>
    </row>
    <row r="382" spans="1:18" x14ac:dyDescent="0.2">
      <c r="A382" s="267"/>
      <c r="B382" s="267"/>
      <c r="C382" s="267"/>
      <c r="D382" s="267"/>
      <c r="E382" s="267"/>
      <c r="F382" s="267"/>
      <c r="G382" s="267"/>
      <c r="H382" s="267"/>
      <c r="I382" s="267"/>
      <c r="J382" s="267"/>
      <c r="K382" s="267"/>
      <c r="L382" s="267"/>
      <c r="M382" s="267"/>
      <c r="N382" s="267"/>
      <c r="O382" s="267"/>
      <c r="P382" s="267"/>
      <c r="Q382" s="267"/>
      <c r="R382" s="267"/>
    </row>
    <row r="383" spans="1:18" x14ac:dyDescent="0.2">
      <c r="A383" s="267"/>
      <c r="B383" s="267"/>
      <c r="C383" s="267"/>
      <c r="D383" s="267"/>
      <c r="E383" s="267"/>
      <c r="F383" s="267"/>
      <c r="G383" s="267"/>
      <c r="H383" s="267"/>
      <c r="I383" s="267"/>
      <c r="J383" s="267"/>
      <c r="K383" s="267"/>
      <c r="L383" s="267"/>
      <c r="M383" s="267"/>
      <c r="N383" s="267"/>
      <c r="O383" s="267"/>
      <c r="P383" s="267"/>
      <c r="Q383" s="267"/>
      <c r="R383" s="267"/>
    </row>
    <row r="384" spans="1:18" x14ac:dyDescent="0.2">
      <c r="A384" s="267"/>
      <c r="B384" s="267"/>
      <c r="C384" s="267"/>
      <c r="D384" s="267"/>
      <c r="E384" s="267"/>
      <c r="F384" s="267"/>
      <c r="G384" s="267"/>
      <c r="H384" s="267"/>
      <c r="I384" s="267"/>
      <c r="J384" s="267"/>
      <c r="K384" s="267"/>
      <c r="L384" s="267"/>
      <c r="M384" s="267"/>
      <c r="N384" s="267"/>
      <c r="O384" s="267"/>
      <c r="P384" s="267"/>
      <c r="Q384" s="267"/>
      <c r="R384" s="267"/>
    </row>
    <row r="385" spans="1:18" x14ac:dyDescent="0.2">
      <c r="A385" s="267"/>
      <c r="B385" s="267"/>
      <c r="C385" s="267"/>
      <c r="D385" s="267"/>
      <c r="E385" s="267"/>
      <c r="F385" s="267"/>
      <c r="G385" s="267"/>
      <c r="H385" s="267"/>
      <c r="I385" s="267"/>
      <c r="J385" s="267"/>
      <c r="K385" s="267"/>
      <c r="L385" s="267"/>
      <c r="M385" s="267"/>
      <c r="N385" s="267"/>
      <c r="O385" s="267"/>
      <c r="P385" s="267"/>
      <c r="Q385" s="267"/>
      <c r="R385" s="267"/>
    </row>
    <row r="386" spans="1:18" x14ac:dyDescent="0.2">
      <c r="A386" s="267"/>
      <c r="B386" s="267"/>
      <c r="C386" s="267"/>
      <c r="D386" s="267"/>
      <c r="E386" s="267"/>
      <c r="F386" s="267"/>
      <c r="G386" s="267"/>
      <c r="H386" s="267"/>
      <c r="I386" s="267"/>
      <c r="J386" s="267"/>
      <c r="K386" s="267"/>
      <c r="L386" s="267"/>
      <c r="M386" s="267"/>
      <c r="N386" s="267"/>
      <c r="O386" s="267"/>
      <c r="P386" s="267"/>
      <c r="Q386" s="267"/>
      <c r="R386" s="267"/>
    </row>
    <row r="387" spans="1:18" x14ac:dyDescent="0.2">
      <c r="A387"/>
      <c r="B387"/>
      <c r="C387"/>
      <c r="D387"/>
      <c r="E387"/>
      <c r="F387"/>
      <c r="G387"/>
      <c r="H387"/>
      <c r="I387"/>
      <c r="J387"/>
      <c r="K387"/>
      <c r="L387"/>
      <c r="M387"/>
      <c r="N387"/>
      <c r="O387"/>
      <c r="P387"/>
      <c r="Q387"/>
      <c r="R387"/>
    </row>
    <row r="388" spans="1:18" x14ac:dyDescent="0.2">
      <c r="A388"/>
      <c r="B388"/>
      <c r="C388"/>
      <c r="D388"/>
      <c r="E388"/>
      <c r="F388"/>
      <c r="G388"/>
      <c r="H388"/>
      <c r="I388"/>
      <c r="J388"/>
      <c r="K388"/>
      <c r="L388"/>
      <c r="M388"/>
      <c r="N388"/>
      <c r="O388"/>
      <c r="P388"/>
      <c r="Q388"/>
      <c r="R388"/>
    </row>
    <row r="389" spans="1:18" x14ac:dyDescent="0.2">
      <c r="A389"/>
      <c r="B389"/>
      <c r="C389"/>
      <c r="D389"/>
      <c r="E389"/>
      <c r="F389"/>
      <c r="G389"/>
      <c r="H389"/>
      <c r="I389"/>
      <c r="J389"/>
      <c r="K389"/>
      <c r="L389"/>
      <c r="M389"/>
      <c r="N389"/>
      <c r="O389"/>
      <c r="P389"/>
      <c r="Q389"/>
      <c r="R389"/>
    </row>
    <row r="390" spans="1:18" x14ac:dyDescent="0.2">
      <c r="A390" s="267"/>
      <c r="B390" s="267"/>
      <c r="C390" s="267"/>
      <c r="D390" s="267"/>
      <c r="E390" s="267"/>
      <c r="F390" s="267"/>
      <c r="G390" s="267"/>
      <c r="H390" s="267"/>
      <c r="I390" s="267"/>
      <c r="J390" s="267"/>
      <c r="K390" s="267"/>
      <c r="L390" s="267"/>
      <c r="M390" s="267"/>
      <c r="N390" s="267"/>
      <c r="O390" s="267"/>
      <c r="P390" s="267"/>
      <c r="Q390" s="267"/>
      <c r="R390" s="267"/>
    </row>
    <row r="391" spans="1:18" x14ac:dyDescent="0.2">
      <c r="A391" s="267"/>
      <c r="B391" s="267"/>
      <c r="C391" s="267"/>
      <c r="D391" s="267"/>
      <c r="E391" s="267"/>
      <c r="F391" s="267"/>
      <c r="G391" s="267"/>
      <c r="H391" s="267"/>
      <c r="I391" s="267"/>
      <c r="J391" s="267"/>
      <c r="K391" s="267"/>
      <c r="L391" s="267"/>
      <c r="M391" s="267"/>
      <c r="N391" s="267"/>
      <c r="O391" s="267"/>
      <c r="P391" s="267"/>
      <c r="Q391" s="267"/>
      <c r="R391" s="267"/>
    </row>
    <row r="392" spans="1:18" x14ac:dyDescent="0.2">
      <c r="A392" s="267"/>
      <c r="B392" s="267"/>
      <c r="C392" s="267"/>
      <c r="D392" s="267"/>
      <c r="E392" s="267"/>
      <c r="F392" s="267"/>
      <c r="G392" s="267"/>
      <c r="H392" s="267"/>
      <c r="I392" s="267"/>
      <c r="J392" s="267"/>
      <c r="K392" s="267"/>
      <c r="L392" s="267"/>
      <c r="M392" s="267"/>
      <c r="N392" s="267"/>
      <c r="O392" s="267"/>
      <c r="P392" s="267"/>
      <c r="Q392" s="267"/>
      <c r="R392" s="267"/>
    </row>
    <row r="393" spans="1:18" x14ac:dyDescent="0.2">
      <c r="A393" s="267"/>
      <c r="B393" s="267"/>
      <c r="C393" s="267"/>
      <c r="D393" s="267"/>
      <c r="E393" s="267"/>
      <c r="F393" s="267"/>
      <c r="G393" s="267"/>
      <c r="H393" s="267"/>
      <c r="I393" s="267"/>
      <c r="J393" s="267"/>
      <c r="K393" s="267"/>
      <c r="L393" s="267"/>
      <c r="M393" s="267"/>
      <c r="N393" s="267"/>
      <c r="O393" s="267"/>
      <c r="P393" s="267"/>
      <c r="Q393" s="267"/>
      <c r="R393" s="267"/>
    </row>
    <row r="394" spans="1:18" x14ac:dyDescent="0.2">
      <c r="A394" s="267"/>
      <c r="B394" s="267"/>
      <c r="C394" s="267"/>
      <c r="D394" s="267"/>
      <c r="E394" s="267"/>
      <c r="F394" s="267"/>
      <c r="G394" s="267"/>
      <c r="H394" s="267"/>
      <c r="I394" s="267"/>
      <c r="J394" s="267"/>
      <c r="K394" s="267"/>
      <c r="L394" s="267"/>
      <c r="M394" s="267"/>
      <c r="N394" s="267"/>
      <c r="O394" s="267"/>
      <c r="P394" s="267"/>
      <c r="Q394" s="267"/>
      <c r="R394" s="267"/>
    </row>
    <row r="395" spans="1:18" x14ac:dyDescent="0.2">
      <c r="A395" s="267"/>
      <c r="B395" s="267"/>
      <c r="C395" s="267"/>
      <c r="D395" s="267"/>
      <c r="E395" s="267"/>
      <c r="F395" s="267"/>
      <c r="G395" s="267"/>
      <c r="H395" s="267"/>
      <c r="I395" s="267"/>
      <c r="J395" s="267"/>
      <c r="K395" s="267"/>
      <c r="L395" s="267"/>
      <c r="M395" s="267"/>
      <c r="N395" s="267"/>
      <c r="O395" s="267"/>
      <c r="P395" s="267"/>
      <c r="Q395" s="267"/>
      <c r="R395" s="267"/>
    </row>
    <row r="396" spans="1:18" x14ac:dyDescent="0.2">
      <c r="A396" s="267"/>
      <c r="B396" s="267"/>
      <c r="C396" s="267"/>
      <c r="D396" s="267"/>
      <c r="E396" s="267"/>
      <c r="F396" s="267"/>
      <c r="G396" s="267"/>
      <c r="H396" s="267"/>
      <c r="I396" s="267"/>
      <c r="J396" s="267"/>
      <c r="K396" s="267"/>
      <c r="L396" s="267"/>
      <c r="M396" s="267"/>
      <c r="N396" s="267"/>
      <c r="O396" s="267"/>
      <c r="P396" s="267"/>
      <c r="Q396" s="267"/>
      <c r="R396" s="267"/>
    </row>
    <row r="397" spans="1:18" x14ac:dyDescent="0.2">
      <c r="A397" s="267"/>
      <c r="B397" s="267"/>
      <c r="C397" s="267"/>
      <c r="D397" s="267"/>
      <c r="E397" s="267"/>
      <c r="F397" s="267"/>
      <c r="G397" s="267"/>
      <c r="H397" s="267"/>
      <c r="I397" s="267"/>
      <c r="J397" s="267"/>
      <c r="K397" s="267"/>
      <c r="L397" s="267"/>
      <c r="M397" s="267"/>
      <c r="N397" s="267"/>
      <c r="O397" s="267"/>
      <c r="P397" s="267"/>
      <c r="Q397" s="267"/>
      <c r="R397" s="267"/>
    </row>
    <row r="398" spans="1:18" x14ac:dyDescent="0.2">
      <c r="A398" s="267"/>
      <c r="B398" s="267"/>
      <c r="C398" s="267"/>
      <c r="D398" s="267"/>
      <c r="E398" s="267"/>
      <c r="F398" s="267"/>
      <c r="G398" s="267"/>
      <c r="H398" s="267"/>
      <c r="I398" s="267"/>
      <c r="J398" s="267"/>
      <c r="K398" s="267"/>
      <c r="L398" s="267"/>
      <c r="M398" s="267"/>
      <c r="N398" s="267"/>
      <c r="O398" s="267"/>
      <c r="P398" s="267"/>
      <c r="Q398" s="267"/>
      <c r="R398" s="267"/>
    </row>
    <row r="399" spans="1:18" x14ac:dyDescent="0.2">
      <c r="A399" s="267"/>
      <c r="B399" s="267"/>
      <c r="C399" s="267"/>
      <c r="D399" s="267"/>
      <c r="E399" s="267"/>
      <c r="F399" s="267"/>
      <c r="G399" s="267"/>
      <c r="H399" s="267"/>
      <c r="I399" s="267"/>
      <c r="J399" s="267"/>
      <c r="K399" s="267"/>
      <c r="L399" s="267"/>
      <c r="M399" s="267"/>
      <c r="N399" s="267"/>
      <c r="O399" s="267"/>
      <c r="P399" s="267"/>
      <c r="Q399" s="267"/>
      <c r="R399" s="267"/>
    </row>
    <row r="400" spans="1:18" x14ac:dyDescent="0.2">
      <c r="A400" s="267"/>
      <c r="B400" s="267"/>
      <c r="C400" s="267"/>
      <c r="D400" s="267"/>
      <c r="E400" s="267"/>
      <c r="F400" s="267"/>
      <c r="G400" s="267"/>
      <c r="H400" s="267"/>
      <c r="I400" s="267"/>
      <c r="J400" s="267"/>
      <c r="K400" s="267"/>
      <c r="L400" s="267"/>
      <c r="M400" s="267"/>
      <c r="N400" s="267"/>
      <c r="O400" s="267"/>
      <c r="P400" s="267"/>
      <c r="Q400" s="267"/>
      <c r="R400" s="267"/>
    </row>
    <row r="401" spans="1:18" x14ac:dyDescent="0.2">
      <c r="A401" s="267"/>
      <c r="B401" s="267"/>
      <c r="C401" s="267"/>
      <c r="D401" s="267"/>
      <c r="E401" s="267"/>
      <c r="F401" s="267"/>
      <c r="G401" s="267"/>
      <c r="H401" s="267"/>
      <c r="I401" s="267"/>
      <c r="J401" s="267"/>
      <c r="K401" s="267"/>
      <c r="L401" s="267"/>
      <c r="M401" s="267"/>
      <c r="N401" s="267"/>
      <c r="O401" s="267"/>
      <c r="P401" s="267"/>
      <c r="Q401" s="267"/>
      <c r="R401" s="267"/>
    </row>
    <row r="402" spans="1:18" x14ac:dyDescent="0.2">
      <c r="A402" s="267"/>
      <c r="B402" s="267"/>
      <c r="C402" s="267"/>
      <c r="D402" s="267"/>
      <c r="E402" s="267"/>
      <c r="F402" s="267"/>
      <c r="G402" s="267"/>
      <c r="H402" s="267"/>
      <c r="I402" s="267"/>
      <c r="J402" s="267"/>
      <c r="K402" s="267"/>
      <c r="L402" s="267"/>
      <c r="M402" s="267"/>
      <c r="N402" s="267"/>
      <c r="O402" s="267"/>
      <c r="P402" s="267"/>
      <c r="Q402" s="267"/>
      <c r="R402" s="267"/>
    </row>
    <row r="403" spans="1:18" x14ac:dyDescent="0.2">
      <c r="A403" s="267"/>
      <c r="B403" s="267"/>
      <c r="C403" s="267"/>
      <c r="D403" s="267"/>
      <c r="E403" s="267"/>
      <c r="F403" s="267"/>
      <c r="G403" s="267"/>
      <c r="H403" s="267"/>
      <c r="I403" s="267"/>
      <c r="J403" s="267"/>
      <c r="K403" s="267"/>
      <c r="L403" s="267"/>
      <c r="M403" s="267"/>
      <c r="N403" s="267"/>
      <c r="O403" s="267"/>
      <c r="P403" s="267"/>
      <c r="Q403" s="267"/>
      <c r="R403" s="267"/>
    </row>
    <row r="404" spans="1:18" x14ac:dyDescent="0.2">
      <c r="A404" s="267"/>
      <c r="B404" s="267"/>
      <c r="C404" s="267"/>
      <c r="D404" s="267"/>
      <c r="E404" s="267"/>
      <c r="F404" s="267"/>
      <c r="G404" s="267"/>
      <c r="H404" s="267"/>
      <c r="I404" s="267"/>
      <c r="J404" s="267"/>
      <c r="K404" s="267"/>
      <c r="L404" s="267"/>
      <c r="M404" s="267"/>
      <c r="N404" s="267"/>
      <c r="O404" s="267"/>
      <c r="P404" s="267"/>
      <c r="Q404" s="267"/>
      <c r="R404" s="267"/>
    </row>
    <row r="405" spans="1:18" x14ac:dyDescent="0.2">
      <c r="A405" s="267"/>
      <c r="B405" s="267"/>
      <c r="C405" s="267"/>
      <c r="D405" s="267"/>
      <c r="E405" s="267"/>
      <c r="F405" s="267"/>
      <c r="G405" s="267"/>
      <c r="H405" s="267"/>
      <c r="I405" s="267"/>
      <c r="J405" s="267"/>
      <c r="K405" s="267"/>
      <c r="L405" s="267"/>
      <c r="M405" s="267"/>
      <c r="N405" s="267"/>
      <c r="O405" s="267"/>
      <c r="P405" s="267"/>
      <c r="Q405" s="267"/>
      <c r="R405" s="267"/>
    </row>
    <row r="406" spans="1:18" x14ac:dyDescent="0.2">
      <c r="A406" s="267"/>
      <c r="B406" s="267"/>
      <c r="C406" s="267"/>
      <c r="D406" s="267"/>
      <c r="E406" s="267"/>
      <c r="F406" s="267"/>
      <c r="G406" s="267"/>
      <c r="H406" s="267"/>
      <c r="I406" s="267"/>
      <c r="J406" s="267"/>
      <c r="K406" s="267"/>
      <c r="L406" s="267"/>
      <c r="M406" s="267"/>
      <c r="N406" s="267"/>
      <c r="O406" s="267"/>
      <c r="P406" s="267"/>
      <c r="Q406" s="267"/>
      <c r="R406" s="267"/>
    </row>
    <row r="407" spans="1:18" x14ac:dyDescent="0.2">
      <c r="A407" s="267"/>
      <c r="B407" s="267"/>
      <c r="C407" s="267"/>
      <c r="D407" s="267"/>
      <c r="E407" s="267"/>
      <c r="F407" s="267"/>
      <c r="G407" s="267"/>
      <c r="H407" s="267"/>
      <c r="I407" s="267"/>
      <c r="J407" s="267"/>
      <c r="K407" s="267"/>
      <c r="L407" s="267"/>
      <c r="M407" s="267"/>
      <c r="N407" s="267"/>
      <c r="O407" s="267"/>
      <c r="P407" s="267"/>
      <c r="Q407" s="267"/>
      <c r="R407" s="267"/>
    </row>
    <row r="408" spans="1:18" x14ac:dyDescent="0.2">
      <c r="A408" s="267"/>
      <c r="B408" s="267"/>
      <c r="C408" s="267"/>
      <c r="D408" s="267"/>
      <c r="E408" s="267"/>
      <c r="F408" s="267"/>
      <c r="G408" s="267"/>
      <c r="H408" s="267"/>
      <c r="I408" s="267"/>
      <c r="J408" s="267"/>
      <c r="K408" s="267"/>
      <c r="L408" s="267"/>
      <c r="M408" s="267"/>
      <c r="N408" s="267"/>
      <c r="O408" s="267"/>
      <c r="P408" s="267"/>
      <c r="Q408" s="267"/>
      <c r="R408" s="267"/>
    </row>
    <row r="409" spans="1:18" x14ac:dyDescent="0.2">
      <c r="A409" s="267"/>
      <c r="B409" s="267"/>
      <c r="C409" s="267"/>
      <c r="D409" s="267"/>
      <c r="E409" s="267"/>
      <c r="F409" s="267"/>
      <c r="G409" s="267"/>
      <c r="H409" s="267"/>
      <c r="I409" s="267"/>
      <c r="J409" s="267"/>
      <c r="K409" s="267"/>
      <c r="L409" s="267"/>
      <c r="M409" s="267"/>
      <c r="N409" s="267"/>
      <c r="O409" s="267"/>
      <c r="P409" s="267"/>
      <c r="Q409" s="267"/>
      <c r="R409" s="267"/>
    </row>
    <row r="410" spans="1:18" x14ac:dyDescent="0.2">
      <c r="A410" s="267"/>
      <c r="B410" s="267"/>
      <c r="C410" s="267"/>
      <c r="D410" s="267"/>
      <c r="E410" s="267"/>
      <c r="F410" s="267"/>
      <c r="G410" s="267"/>
      <c r="H410" s="267"/>
      <c r="I410" s="267"/>
      <c r="J410" s="267"/>
      <c r="K410" s="267"/>
      <c r="L410" s="267"/>
      <c r="M410" s="267"/>
      <c r="N410" s="267"/>
      <c r="O410" s="267"/>
      <c r="P410" s="267"/>
      <c r="Q410" s="267"/>
      <c r="R410" s="267"/>
    </row>
    <row r="411" spans="1:18" x14ac:dyDescent="0.2">
      <c r="A411" s="267"/>
      <c r="B411" s="267"/>
      <c r="C411" s="267"/>
      <c r="D411" s="267"/>
      <c r="E411" s="267"/>
      <c r="F411" s="267"/>
      <c r="G411" s="267"/>
      <c r="H411" s="267"/>
      <c r="I411" s="267"/>
      <c r="J411" s="267"/>
      <c r="K411" s="267"/>
      <c r="L411" s="267"/>
      <c r="M411" s="267"/>
      <c r="N411" s="267"/>
      <c r="O411" s="267"/>
      <c r="P411" s="267"/>
      <c r="Q411" s="267"/>
      <c r="R411" s="267"/>
    </row>
    <row r="412" spans="1:18" x14ac:dyDescent="0.2">
      <c r="A412" s="267"/>
      <c r="B412" s="267"/>
      <c r="C412" s="267"/>
      <c r="D412" s="267"/>
      <c r="E412" s="267"/>
      <c r="F412" s="267"/>
      <c r="G412" s="267"/>
      <c r="H412" s="267"/>
      <c r="I412" s="267"/>
      <c r="J412" s="267"/>
      <c r="K412" s="267"/>
      <c r="L412" s="267"/>
      <c r="M412" s="267"/>
      <c r="N412" s="267"/>
      <c r="O412" s="267"/>
      <c r="P412" s="267"/>
      <c r="Q412" s="267"/>
      <c r="R412" s="267"/>
    </row>
    <row r="413" spans="1:18" x14ac:dyDescent="0.2">
      <c r="A413" s="267"/>
      <c r="B413" s="267"/>
      <c r="C413" s="267"/>
      <c r="D413" s="267"/>
      <c r="E413" s="267"/>
      <c r="F413" s="267"/>
      <c r="G413" s="267"/>
      <c r="H413" s="267"/>
      <c r="I413" s="267"/>
      <c r="J413" s="267"/>
      <c r="K413" s="267"/>
      <c r="L413" s="267"/>
      <c r="M413" s="267"/>
      <c r="N413" s="267"/>
      <c r="O413" s="267"/>
      <c r="P413" s="267"/>
      <c r="Q413" s="267"/>
      <c r="R413" s="267"/>
    </row>
    <row r="414" spans="1:18" x14ac:dyDescent="0.2">
      <c r="A414" s="267"/>
      <c r="B414" s="267"/>
      <c r="C414" s="267"/>
      <c r="D414" s="267"/>
      <c r="E414" s="267"/>
      <c r="F414" s="267"/>
      <c r="G414" s="267"/>
      <c r="H414" s="267"/>
      <c r="I414" s="267"/>
      <c r="J414" s="267"/>
      <c r="K414" s="267"/>
      <c r="L414" s="267"/>
      <c r="M414" s="267"/>
      <c r="N414" s="267"/>
      <c r="O414" s="267"/>
      <c r="P414" s="267"/>
      <c r="Q414" s="267"/>
      <c r="R414" s="267"/>
    </row>
    <row r="415" spans="1:18" x14ac:dyDescent="0.2">
      <c r="A415" s="267"/>
      <c r="B415" s="267"/>
      <c r="C415" s="267"/>
      <c r="D415" s="267"/>
      <c r="E415" s="267"/>
      <c r="F415" s="267"/>
      <c r="G415" s="267"/>
      <c r="H415" s="267"/>
      <c r="I415" s="267"/>
      <c r="J415" s="267"/>
      <c r="K415" s="267"/>
      <c r="L415" s="267"/>
      <c r="M415" s="267"/>
      <c r="N415" s="267"/>
      <c r="O415" s="267"/>
      <c r="P415" s="267"/>
      <c r="Q415" s="267"/>
      <c r="R415" s="267"/>
    </row>
    <row r="416" spans="1:18" x14ac:dyDescent="0.2">
      <c r="A416" s="267"/>
      <c r="B416" s="267"/>
      <c r="C416" s="267"/>
      <c r="D416" s="267"/>
      <c r="E416" s="267"/>
      <c r="F416" s="267"/>
      <c r="G416" s="267"/>
      <c r="H416" s="267"/>
      <c r="I416" s="267"/>
      <c r="J416" s="267"/>
      <c r="K416" s="267"/>
      <c r="L416" s="267"/>
      <c r="M416" s="267"/>
      <c r="N416" s="267"/>
      <c r="O416" s="267"/>
      <c r="P416" s="267"/>
      <c r="Q416" s="267"/>
      <c r="R416" s="267"/>
    </row>
    <row r="417" spans="1:18" x14ac:dyDescent="0.2">
      <c r="A417" s="267"/>
      <c r="B417" s="267"/>
      <c r="C417" s="267"/>
      <c r="D417" s="267"/>
      <c r="E417" s="267"/>
      <c r="F417" s="267"/>
      <c r="G417" s="267"/>
      <c r="H417" s="267"/>
      <c r="I417" s="267"/>
      <c r="J417" s="267"/>
      <c r="K417" s="267"/>
      <c r="L417" s="267"/>
      <c r="M417" s="267"/>
      <c r="N417" s="267"/>
      <c r="O417" s="267"/>
      <c r="P417" s="267"/>
      <c r="Q417" s="267"/>
      <c r="R417" s="267"/>
    </row>
    <row r="418" spans="1:18" x14ac:dyDescent="0.2">
      <c r="A418" s="267"/>
      <c r="B418" s="267"/>
      <c r="C418" s="267"/>
      <c r="D418" s="267"/>
      <c r="E418" s="267"/>
      <c r="F418" s="267"/>
      <c r="G418" s="267"/>
      <c r="H418" s="267"/>
      <c r="I418" s="267"/>
      <c r="J418" s="267"/>
      <c r="K418" s="267"/>
      <c r="L418" s="267"/>
      <c r="M418" s="267"/>
      <c r="N418" s="267"/>
      <c r="O418" s="267"/>
      <c r="P418" s="267"/>
      <c r="Q418" s="267"/>
      <c r="R418" s="267"/>
    </row>
    <row r="419" spans="1:18" x14ac:dyDescent="0.2">
      <c r="A419" s="267"/>
      <c r="B419" s="267"/>
      <c r="C419" s="267"/>
      <c r="D419" s="267"/>
      <c r="E419" s="267"/>
      <c r="F419" s="267"/>
      <c r="G419" s="267"/>
      <c r="H419" s="267"/>
      <c r="I419" s="267"/>
      <c r="J419" s="267"/>
      <c r="K419" s="267"/>
      <c r="L419" s="267"/>
      <c r="M419" s="267"/>
      <c r="N419" s="267"/>
      <c r="O419" s="267"/>
      <c r="P419" s="267"/>
      <c r="Q419" s="267"/>
      <c r="R419" s="267"/>
    </row>
    <row r="420" spans="1:18" x14ac:dyDescent="0.2">
      <c r="A420" s="267"/>
      <c r="B420" s="267"/>
      <c r="C420" s="267"/>
      <c r="D420" s="267"/>
      <c r="E420" s="267"/>
      <c r="F420" s="267"/>
      <c r="G420" s="267"/>
      <c r="H420" s="267"/>
      <c r="I420" s="267"/>
      <c r="J420" s="267"/>
      <c r="K420" s="267"/>
      <c r="L420" s="267"/>
      <c r="M420" s="267"/>
      <c r="N420" s="267"/>
      <c r="O420" s="267"/>
      <c r="P420" s="267"/>
      <c r="Q420" s="267"/>
      <c r="R420" s="267"/>
    </row>
    <row r="421" spans="1:18" x14ac:dyDescent="0.2">
      <c r="A421" s="267"/>
      <c r="B421" s="267"/>
      <c r="C421" s="267"/>
      <c r="D421" s="267"/>
      <c r="E421" s="267"/>
      <c r="F421" s="267"/>
      <c r="G421" s="267"/>
      <c r="H421" s="267"/>
      <c r="I421" s="267"/>
      <c r="J421" s="267"/>
      <c r="K421" s="267"/>
      <c r="L421" s="267"/>
      <c r="M421" s="267"/>
      <c r="N421" s="267"/>
      <c r="O421" s="267"/>
      <c r="P421" s="267"/>
      <c r="Q421" s="267"/>
      <c r="R421" s="267"/>
    </row>
    <row r="422" spans="1:18" x14ac:dyDescent="0.2">
      <c r="A422" s="267"/>
      <c r="B422" s="267"/>
      <c r="C422" s="267"/>
      <c r="D422" s="267"/>
      <c r="E422" s="267"/>
      <c r="F422" s="267"/>
      <c r="G422" s="267"/>
      <c r="H422" s="267"/>
      <c r="I422" s="267"/>
      <c r="J422" s="267"/>
      <c r="K422" s="267"/>
      <c r="L422" s="267"/>
      <c r="M422" s="267"/>
      <c r="N422" s="267"/>
      <c r="O422" s="267"/>
      <c r="P422" s="267"/>
      <c r="Q422" s="267"/>
      <c r="R422" s="267"/>
    </row>
    <row r="423" spans="1:18" x14ac:dyDescent="0.2">
      <c r="A423" s="267"/>
      <c r="B423" s="267"/>
      <c r="C423" s="267"/>
      <c r="D423" s="267"/>
      <c r="E423" s="267"/>
      <c r="F423" s="267"/>
      <c r="G423" s="267"/>
      <c r="H423" s="267"/>
      <c r="I423" s="267"/>
      <c r="J423" s="267"/>
      <c r="K423" s="267"/>
      <c r="L423" s="267"/>
      <c r="M423" s="267"/>
      <c r="N423" s="267"/>
      <c r="O423" s="267"/>
      <c r="P423" s="267"/>
      <c r="Q423" s="267"/>
      <c r="R423" s="267"/>
    </row>
    <row r="424" spans="1:18" x14ac:dyDescent="0.2">
      <c r="A424" s="267"/>
      <c r="B424" s="267"/>
      <c r="C424" s="267"/>
      <c r="D424" s="267"/>
      <c r="E424" s="267"/>
      <c r="F424" s="267"/>
      <c r="G424" s="267"/>
      <c r="H424" s="267"/>
      <c r="I424" s="267"/>
      <c r="J424" s="267"/>
      <c r="K424" s="267"/>
      <c r="L424" s="267"/>
      <c r="M424" s="267"/>
      <c r="N424" s="267"/>
      <c r="O424" s="267"/>
      <c r="P424" s="267"/>
      <c r="Q424" s="267"/>
      <c r="R424" s="267"/>
    </row>
    <row r="425" spans="1:18" x14ac:dyDescent="0.2">
      <c r="A425" s="267"/>
      <c r="B425" s="267"/>
      <c r="C425" s="267"/>
      <c r="D425" s="267"/>
      <c r="E425" s="267"/>
      <c r="F425" s="267"/>
      <c r="G425" s="267"/>
      <c r="H425" s="267"/>
      <c r="I425" s="267"/>
      <c r="J425" s="267"/>
      <c r="K425" s="267"/>
      <c r="L425" s="267"/>
      <c r="M425" s="267"/>
      <c r="N425" s="267"/>
      <c r="O425" s="267"/>
      <c r="P425" s="267"/>
      <c r="Q425" s="267"/>
      <c r="R425" s="267"/>
    </row>
    <row r="426" spans="1:18" x14ac:dyDescent="0.2">
      <c r="A426" s="267"/>
      <c r="B426" s="267"/>
      <c r="C426" s="267"/>
      <c r="D426" s="267"/>
      <c r="E426" s="267"/>
      <c r="F426" s="267"/>
      <c r="G426" s="267"/>
      <c r="H426" s="267"/>
      <c r="I426" s="267"/>
      <c r="J426" s="267"/>
      <c r="K426" s="267"/>
      <c r="L426" s="267"/>
      <c r="M426" s="267"/>
      <c r="N426" s="267"/>
      <c r="O426" s="267"/>
      <c r="P426" s="267"/>
      <c r="Q426" s="267"/>
      <c r="R426" s="267"/>
    </row>
    <row r="427" spans="1:18" x14ac:dyDescent="0.2">
      <c r="A427" s="267"/>
      <c r="B427" s="267"/>
      <c r="C427" s="267"/>
      <c r="D427" s="267"/>
      <c r="E427" s="267"/>
      <c r="F427" s="267"/>
      <c r="G427" s="267"/>
      <c r="H427" s="267"/>
      <c r="I427" s="267"/>
      <c r="J427" s="267"/>
      <c r="K427" s="267"/>
      <c r="L427" s="267"/>
      <c r="M427" s="267"/>
      <c r="N427" s="267"/>
      <c r="O427" s="267"/>
      <c r="P427" s="267"/>
      <c r="Q427" s="267"/>
      <c r="R427" s="267"/>
    </row>
    <row r="428" spans="1:18" x14ac:dyDescent="0.2">
      <c r="A428" s="267"/>
      <c r="B428" s="267"/>
      <c r="C428" s="267"/>
      <c r="D428" s="267"/>
      <c r="E428" s="267"/>
      <c r="F428" s="267"/>
      <c r="G428" s="267"/>
      <c r="H428" s="267"/>
      <c r="I428" s="267"/>
      <c r="J428" s="267"/>
      <c r="K428" s="267"/>
      <c r="L428" s="267"/>
      <c r="M428" s="267"/>
      <c r="N428" s="267"/>
      <c r="O428" s="267"/>
      <c r="P428" s="267"/>
      <c r="Q428" s="267"/>
      <c r="R428" s="267"/>
    </row>
    <row r="429" spans="1:18" x14ac:dyDescent="0.2">
      <c r="A429" s="267"/>
      <c r="B429" s="267"/>
      <c r="C429" s="267"/>
      <c r="D429" s="267"/>
      <c r="E429" s="267"/>
      <c r="F429" s="267"/>
      <c r="G429" s="267"/>
      <c r="H429" s="267"/>
      <c r="I429" s="267"/>
      <c r="J429" s="267"/>
      <c r="K429" s="267"/>
      <c r="L429" s="267"/>
      <c r="M429" s="267"/>
      <c r="N429" s="267"/>
      <c r="O429" s="267"/>
      <c r="P429" s="267"/>
      <c r="Q429" s="267"/>
      <c r="R429" s="267"/>
    </row>
    <row r="430" spans="1:18" x14ac:dyDescent="0.2">
      <c r="A430" s="267"/>
      <c r="B430" s="267"/>
      <c r="C430" s="267"/>
      <c r="D430" s="267"/>
      <c r="E430" s="267"/>
      <c r="F430" s="267"/>
      <c r="G430" s="267"/>
      <c r="H430" s="267"/>
      <c r="I430" s="267"/>
      <c r="J430" s="267"/>
      <c r="K430" s="267"/>
      <c r="L430" s="267"/>
      <c r="M430" s="267"/>
      <c r="N430" s="267"/>
      <c r="O430" s="267"/>
      <c r="P430" s="267"/>
      <c r="Q430" s="267"/>
      <c r="R430" s="267"/>
    </row>
    <row r="431" spans="1:18" x14ac:dyDescent="0.2">
      <c r="A431" s="267"/>
      <c r="B431" s="267"/>
      <c r="C431" s="267"/>
      <c r="D431" s="267"/>
      <c r="E431" s="267"/>
      <c r="F431" s="267"/>
      <c r="G431" s="267"/>
      <c r="H431" s="267"/>
      <c r="I431" s="267"/>
      <c r="J431" s="267"/>
      <c r="K431" s="267"/>
      <c r="L431" s="267"/>
      <c r="M431" s="267"/>
      <c r="N431" s="267"/>
      <c r="O431" s="267"/>
      <c r="P431" s="267"/>
      <c r="Q431" s="267"/>
      <c r="R431" s="267"/>
    </row>
    <row r="432" spans="1:18" x14ac:dyDescent="0.2">
      <c r="A432" s="267"/>
      <c r="B432" s="267"/>
      <c r="C432" s="267"/>
      <c r="D432" s="267"/>
      <c r="E432" s="267"/>
      <c r="F432" s="267"/>
      <c r="G432" s="267"/>
      <c r="H432" s="267"/>
      <c r="I432" s="267"/>
      <c r="J432" s="267"/>
      <c r="K432" s="267"/>
      <c r="L432" s="267"/>
      <c r="M432" s="267"/>
      <c r="N432" s="267"/>
      <c r="O432" s="267"/>
      <c r="P432" s="267"/>
      <c r="Q432" s="267"/>
      <c r="R432" s="267"/>
    </row>
    <row r="433" spans="1:18" x14ac:dyDescent="0.2">
      <c r="A433" s="267"/>
      <c r="B433" s="267"/>
      <c r="C433" s="267"/>
      <c r="D433" s="267"/>
      <c r="E433" s="267"/>
      <c r="F433" s="267"/>
      <c r="G433" s="267"/>
      <c r="H433" s="267"/>
      <c r="I433" s="267"/>
      <c r="J433" s="267"/>
      <c r="K433" s="267"/>
      <c r="L433" s="267"/>
      <c r="M433" s="267"/>
      <c r="N433" s="267"/>
      <c r="O433" s="267"/>
      <c r="P433" s="267"/>
      <c r="Q433" s="267"/>
      <c r="R433" s="267"/>
    </row>
    <row r="434" spans="1:18" x14ac:dyDescent="0.2">
      <c r="A434" s="267"/>
      <c r="B434" s="267"/>
      <c r="C434" s="267"/>
      <c r="D434" s="267"/>
      <c r="E434" s="267"/>
      <c r="F434" s="267"/>
      <c r="G434" s="267"/>
      <c r="H434" s="267"/>
      <c r="I434" s="267"/>
      <c r="J434" s="267"/>
      <c r="K434" s="267"/>
      <c r="L434" s="267"/>
      <c r="M434" s="267"/>
      <c r="N434" s="267"/>
      <c r="O434" s="267"/>
      <c r="P434" s="267"/>
      <c r="Q434" s="267"/>
      <c r="R434" s="267"/>
    </row>
    <row r="435" spans="1:18" x14ac:dyDescent="0.2">
      <c r="A435" s="267"/>
      <c r="B435" s="267"/>
      <c r="C435" s="267"/>
      <c r="D435" s="267"/>
      <c r="E435" s="267"/>
      <c r="F435" s="267"/>
      <c r="G435" s="267"/>
      <c r="H435" s="267"/>
      <c r="I435" s="267"/>
      <c r="J435" s="267"/>
      <c r="K435" s="267"/>
      <c r="L435" s="267"/>
      <c r="M435" s="267"/>
      <c r="N435" s="267"/>
      <c r="O435" s="267"/>
      <c r="P435" s="267"/>
      <c r="Q435" s="267"/>
      <c r="R435" s="267"/>
    </row>
    <row r="436" spans="1:18" x14ac:dyDescent="0.2">
      <c r="A436" s="267"/>
      <c r="B436" s="267"/>
      <c r="C436" s="267"/>
      <c r="D436" s="267"/>
      <c r="E436" s="267"/>
      <c r="F436" s="267"/>
      <c r="G436" s="267"/>
      <c r="H436" s="267"/>
      <c r="I436" s="267"/>
      <c r="J436" s="267"/>
      <c r="K436" s="267"/>
      <c r="L436" s="267"/>
      <c r="M436" s="267"/>
      <c r="N436" s="267"/>
      <c r="O436" s="267"/>
      <c r="P436" s="267"/>
      <c r="Q436" s="267"/>
      <c r="R436" s="267"/>
    </row>
    <row r="437" spans="1:18" x14ac:dyDescent="0.2">
      <c r="A437" s="267"/>
      <c r="B437" s="267"/>
      <c r="C437" s="267"/>
      <c r="D437" s="267"/>
      <c r="E437" s="267"/>
      <c r="F437" s="267"/>
      <c r="G437" s="267"/>
      <c r="H437" s="267"/>
      <c r="I437" s="267"/>
      <c r="J437" s="267"/>
      <c r="K437" s="267"/>
      <c r="L437" s="267"/>
      <c r="M437" s="267"/>
      <c r="N437" s="267"/>
      <c r="O437" s="267"/>
      <c r="P437" s="267"/>
      <c r="Q437" s="267"/>
      <c r="R437" s="267"/>
    </row>
    <row r="438" spans="1:18" x14ac:dyDescent="0.2">
      <c r="A438" s="267"/>
      <c r="B438" s="267"/>
      <c r="C438" s="267"/>
      <c r="D438" s="267"/>
      <c r="E438" s="267"/>
      <c r="F438" s="267"/>
      <c r="G438" s="267"/>
      <c r="H438" s="267"/>
      <c r="I438" s="267"/>
      <c r="J438" s="267"/>
      <c r="K438" s="267"/>
      <c r="L438" s="267"/>
      <c r="M438" s="267"/>
      <c r="N438" s="267"/>
      <c r="O438" s="267"/>
      <c r="P438" s="267"/>
      <c r="Q438" s="267"/>
      <c r="R438" s="267"/>
    </row>
    <row r="439" spans="1:18" x14ac:dyDescent="0.2">
      <c r="A439" s="267"/>
      <c r="B439" s="267"/>
      <c r="C439" s="267"/>
      <c r="D439" s="267"/>
      <c r="E439" s="267"/>
      <c r="F439" s="267"/>
      <c r="G439" s="267"/>
      <c r="H439" s="267"/>
      <c r="I439" s="267"/>
      <c r="J439" s="267"/>
      <c r="K439" s="267"/>
      <c r="L439" s="267"/>
      <c r="M439" s="267"/>
      <c r="N439" s="267"/>
      <c r="O439" s="267"/>
      <c r="P439" s="267"/>
      <c r="Q439" s="267"/>
      <c r="R439" s="267"/>
    </row>
    <row r="440" spans="1:18" x14ac:dyDescent="0.2">
      <c r="A440" s="267"/>
      <c r="B440" s="267"/>
      <c r="C440" s="267"/>
      <c r="D440" s="267"/>
      <c r="E440" s="267"/>
      <c r="F440" s="267"/>
      <c r="G440" s="267"/>
      <c r="H440" s="267"/>
      <c r="I440" s="267"/>
      <c r="J440" s="267"/>
      <c r="K440" s="267"/>
      <c r="L440" s="267"/>
      <c r="M440" s="267"/>
      <c r="N440" s="267"/>
      <c r="O440" s="267"/>
      <c r="P440" s="267"/>
      <c r="Q440" s="267"/>
      <c r="R440" s="267"/>
    </row>
    <row r="441" spans="1:18" x14ac:dyDescent="0.2">
      <c r="A441" s="267"/>
      <c r="B441" s="267"/>
      <c r="C441" s="267"/>
      <c r="D441" s="267"/>
      <c r="E441" s="267"/>
      <c r="F441" s="267"/>
      <c r="G441" s="267"/>
      <c r="H441" s="267"/>
      <c r="I441" s="267"/>
      <c r="J441" s="267"/>
      <c r="K441" s="267"/>
      <c r="L441" s="267"/>
      <c r="M441" s="267"/>
      <c r="N441" s="267"/>
      <c r="O441" s="267"/>
      <c r="P441" s="267"/>
      <c r="Q441" s="267"/>
      <c r="R441" s="267"/>
    </row>
    <row r="442" spans="1:18" x14ac:dyDescent="0.2">
      <c r="A442" s="267"/>
      <c r="B442" s="267"/>
      <c r="C442" s="267"/>
      <c r="D442" s="267"/>
      <c r="E442" s="267"/>
      <c r="F442" s="267"/>
      <c r="G442" s="267"/>
      <c r="H442" s="267"/>
      <c r="I442" s="267"/>
      <c r="J442" s="267"/>
      <c r="K442" s="267"/>
      <c r="L442" s="267"/>
      <c r="M442" s="267"/>
      <c r="N442" s="267"/>
      <c r="O442" s="267"/>
      <c r="P442" s="267"/>
      <c r="Q442" s="267"/>
      <c r="R442" s="267"/>
    </row>
    <row r="443" spans="1:18" x14ac:dyDescent="0.2">
      <c r="A443" s="267"/>
      <c r="B443" s="267"/>
      <c r="C443" s="267"/>
      <c r="D443" s="267"/>
      <c r="E443" s="267"/>
      <c r="F443" s="267"/>
      <c r="G443" s="267"/>
      <c r="H443" s="267"/>
      <c r="I443" s="267"/>
      <c r="J443" s="267"/>
      <c r="K443" s="267"/>
      <c r="L443" s="267"/>
      <c r="M443" s="267"/>
      <c r="N443" s="267"/>
      <c r="O443" s="267"/>
      <c r="P443" s="267"/>
      <c r="Q443" s="267"/>
      <c r="R443" s="267"/>
    </row>
    <row r="444" spans="1:18" x14ac:dyDescent="0.2">
      <c r="A444" s="267"/>
      <c r="B444" s="267"/>
      <c r="C444" s="267"/>
      <c r="D444" s="267"/>
      <c r="E444" s="267"/>
      <c r="F444" s="267"/>
      <c r="G444" s="267"/>
      <c r="H444" s="267"/>
      <c r="I444" s="267"/>
      <c r="J444" s="267"/>
      <c r="K444" s="267"/>
      <c r="L444" s="267"/>
      <c r="M444" s="267"/>
      <c r="N444" s="267"/>
      <c r="O444" s="267"/>
      <c r="P444" s="267"/>
      <c r="Q444" s="267"/>
      <c r="R444" s="267"/>
    </row>
    <row r="445" spans="1:18" x14ac:dyDescent="0.2">
      <c r="A445" s="267"/>
      <c r="B445" s="267"/>
      <c r="C445" s="267"/>
      <c r="D445" s="267"/>
      <c r="E445" s="267"/>
      <c r="F445" s="267"/>
      <c r="G445" s="267"/>
      <c r="H445" s="267"/>
      <c r="I445" s="267"/>
      <c r="J445" s="267"/>
      <c r="K445" s="267"/>
      <c r="L445" s="267"/>
      <c r="M445" s="267"/>
      <c r="N445" s="267"/>
      <c r="O445" s="267"/>
      <c r="P445" s="267"/>
      <c r="Q445" s="267"/>
      <c r="R445" s="267"/>
    </row>
    <row r="446" spans="1:18" x14ac:dyDescent="0.2">
      <c r="A446" s="267"/>
      <c r="B446" s="267"/>
      <c r="C446" s="267"/>
      <c r="D446" s="267"/>
      <c r="E446" s="267"/>
      <c r="F446" s="267"/>
      <c r="G446" s="267"/>
      <c r="H446" s="267"/>
      <c r="I446" s="267"/>
      <c r="J446" s="267"/>
      <c r="K446" s="267"/>
      <c r="L446" s="267"/>
      <c r="M446" s="267"/>
      <c r="N446" s="267"/>
      <c r="O446" s="267"/>
      <c r="P446" s="267"/>
      <c r="Q446" s="267"/>
      <c r="R446" s="267"/>
    </row>
    <row r="447" spans="1:18" x14ac:dyDescent="0.2">
      <c r="A447" s="267"/>
      <c r="B447" s="267"/>
      <c r="C447" s="267"/>
      <c r="D447" s="267"/>
      <c r="E447" s="267"/>
      <c r="F447" s="267"/>
      <c r="G447" s="267"/>
      <c r="H447" s="267"/>
      <c r="I447" s="267"/>
      <c r="J447" s="267"/>
      <c r="K447" s="267"/>
      <c r="L447" s="267"/>
      <c r="M447" s="267"/>
      <c r="N447" s="267"/>
      <c r="O447" s="267"/>
      <c r="P447" s="267"/>
      <c r="Q447" s="267"/>
      <c r="R447" s="267"/>
    </row>
    <row r="448" spans="1:18" x14ac:dyDescent="0.2">
      <c r="A448" s="267"/>
      <c r="B448" s="267"/>
      <c r="C448" s="267"/>
      <c r="D448" s="267"/>
      <c r="E448" s="267"/>
      <c r="F448" s="267"/>
      <c r="G448" s="267"/>
      <c r="H448" s="267"/>
      <c r="I448" s="267"/>
      <c r="J448" s="267"/>
      <c r="K448" s="267"/>
      <c r="L448" s="267"/>
      <c r="M448" s="267"/>
      <c r="N448" s="267"/>
      <c r="O448" s="267"/>
      <c r="P448" s="267"/>
      <c r="Q448" s="267"/>
      <c r="R448" s="267"/>
    </row>
    <row r="449" spans="1:18" x14ac:dyDescent="0.2">
      <c r="A449" s="267"/>
      <c r="B449" s="267"/>
      <c r="C449" s="267"/>
      <c r="D449" s="267"/>
      <c r="E449" s="267"/>
      <c r="F449" s="267"/>
      <c r="G449" s="267"/>
      <c r="H449" s="267"/>
      <c r="I449" s="267"/>
      <c r="J449" s="267"/>
      <c r="K449" s="267"/>
      <c r="L449" s="267"/>
      <c r="M449" s="267"/>
      <c r="N449" s="267"/>
      <c r="O449" s="267"/>
      <c r="P449" s="267"/>
      <c r="Q449" s="267"/>
      <c r="R449" s="267"/>
    </row>
    <row r="450" spans="1:18" x14ac:dyDescent="0.2">
      <c r="A450" s="267"/>
      <c r="B450" s="267"/>
      <c r="C450" s="267"/>
      <c r="D450" s="267"/>
      <c r="E450" s="267"/>
      <c r="F450" s="267"/>
      <c r="G450" s="267"/>
      <c r="H450" s="267"/>
      <c r="I450" s="267"/>
      <c r="J450" s="267"/>
      <c r="K450" s="267"/>
      <c r="L450" s="267"/>
      <c r="M450" s="267"/>
      <c r="N450" s="267"/>
      <c r="O450" s="267"/>
      <c r="P450" s="267"/>
      <c r="Q450" s="267"/>
      <c r="R450" s="267"/>
    </row>
    <row r="451" spans="1:18" x14ac:dyDescent="0.2">
      <c r="A451" s="267"/>
      <c r="B451" s="267"/>
      <c r="C451" s="267"/>
      <c r="D451" s="267"/>
      <c r="E451" s="267"/>
      <c r="F451" s="267"/>
      <c r="G451" s="267"/>
      <c r="H451" s="267"/>
      <c r="I451" s="267"/>
      <c r="J451" s="267"/>
      <c r="K451" s="267"/>
      <c r="L451" s="267"/>
      <c r="M451" s="267"/>
      <c r="N451" s="267"/>
      <c r="O451" s="267"/>
      <c r="P451" s="267"/>
      <c r="Q451" s="267"/>
      <c r="R451" s="267"/>
    </row>
    <row r="452" spans="1:18" x14ac:dyDescent="0.2">
      <c r="A452" s="267"/>
      <c r="B452" s="267"/>
      <c r="C452" s="267"/>
      <c r="D452" s="267"/>
      <c r="E452" s="267"/>
      <c r="F452" s="267"/>
      <c r="G452" s="267"/>
      <c r="H452" s="267"/>
      <c r="I452" s="267"/>
      <c r="J452" s="267"/>
      <c r="K452" s="267"/>
      <c r="L452" s="267"/>
      <c r="M452" s="267"/>
      <c r="N452" s="267"/>
      <c r="O452" s="267"/>
      <c r="P452" s="267"/>
      <c r="Q452" s="267"/>
      <c r="R452" s="267"/>
    </row>
    <row r="453" spans="1:18" x14ac:dyDescent="0.2">
      <c r="A453" s="267"/>
      <c r="B453" s="267"/>
      <c r="C453" s="267"/>
      <c r="D453" s="267"/>
      <c r="E453" s="267"/>
      <c r="F453" s="267"/>
      <c r="G453" s="267"/>
      <c r="H453" s="267"/>
      <c r="I453" s="267"/>
      <c r="J453" s="267"/>
      <c r="K453" s="267"/>
      <c r="L453" s="267"/>
      <c r="M453" s="267"/>
      <c r="N453" s="267"/>
      <c r="O453" s="267"/>
      <c r="P453" s="267"/>
      <c r="Q453" s="267"/>
      <c r="R453" s="267"/>
    </row>
    <row r="454" spans="1:18" x14ac:dyDescent="0.2">
      <c r="A454" s="267"/>
      <c r="B454" s="267"/>
      <c r="C454" s="267"/>
      <c r="D454" s="267"/>
      <c r="E454" s="267"/>
      <c r="F454" s="267"/>
      <c r="G454" s="267"/>
      <c r="H454" s="267"/>
      <c r="I454" s="267"/>
      <c r="J454" s="267"/>
      <c r="K454" s="267"/>
      <c r="L454" s="267"/>
      <c r="M454" s="267"/>
      <c r="N454" s="267"/>
      <c r="O454" s="267"/>
      <c r="P454" s="267"/>
      <c r="Q454" s="267"/>
      <c r="R454" s="267"/>
    </row>
    <row r="455" spans="1:18" x14ac:dyDescent="0.2">
      <c r="A455" s="267"/>
      <c r="B455" s="267"/>
      <c r="C455" s="267"/>
      <c r="D455" s="267"/>
      <c r="E455" s="267"/>
      <c r="F455" s="267"/>
      <c r="G455" s="267"/>
      <c r="H455" s="267"/>
      <c r="I455" s="267"/>
      <c r="J455" s="267"/>
      <c r="K455" s="267"/>
      <c r="L455" s="267"/>
      <c r="M455" s="267"/>
      <c r="N455" s="267"/>
      <c r="O455" s="267"/>
      <c r="P455" s="267"/>
      <c r="Q455" s="267"/>
      <c r="R455" s="267"/>
    </row>
    <row r="456" spans="1:18" x14ac:dyDescent="0.2">
      <c r="A456" s="267"/>
      <c r="B456" s="267"/>
      <c r="C456" s="267"/>
      <c r="D456" s="267"/>
      <c r="E456" s="267"/>
      <c r="F456" s="267"/>
      <c r="G456" s="267"/>
      <c r="H456" s="267"/>
      <c r="I456" s="267"/>
      <c r="J456" s="267"/>
      <c r="K456" s="267"/>
      <c r="L456" s="267"/>
      <c r="M456" s="267"/>
      <c r="N456" s="267"/>
      <c r="O456" s="267"/>
      <c r="P456" s="267"/>
      <c r="Q456" s="267"/>
      <c r="R456" s="267"/>
    </row>
    <row r="457" spans="1:18" x14ac:dyDescent="0.2">
      <c r="A457" s="267"/>
      <c r="B457" s="267"/>
      <c r="C457" s="267"/>
      <c r="D457" s="267"/>
      <c r="E457" s="267"/>
      <c r="F457" s="267"/>
      <c r="G457" s="267"/>
      <c r="H457" s="267"/>
      <c r="I457" s="267"/>
      <c r="J457" s="267"/>
      <c r="K457" s="267"/>
      <c r="L457" s="267"/>
      <c r="M457" s="267"/>
      <c r="N457" s="267"/>
      <c r="O457" s="267"/>
      <c r="P457" s="267"/>
      <c r="Q457" s="267"/>
      <c r="R457" s="267"/>
    </row>
    <row r="458" spans="1:18" x14ac:dyDescent="0.2">
      <c r="A458" s="267"/>
      <c r="B458" s="267"/>
      <c r="C458" s="267"/>
      <c r="D458" s="267"/>
      <c r="E458" s="267"/>
      <c r="F458" s="267"/>
      <c r="G458" s="267"/>
      <c r="H458" s="267"/>
      <c r="I458" s="267"/>
      <c r="J458" s="267"/>
      <c r="K458" s="267"/>
      <c r="L458" s="267"/>
      <c r="M458" s="267"/>
      <c r="N458" s="267"/>
      <c r="O458" s="267"/>
      <c r="P458" s="267"/>
      <c r="Q458" s="267"/>
      <c r="R458" s="267"/>
    </row>
    <row r="459" spans="1:18" x14ac:dyDescent="0.2">
      <c r="A459" s="267"/>
      <c r="B459" s="267"/>
      <c r="C459" s="267"/>
      <c r="D459" s="267"/>
      <c r="E459" s="267"/>
      <c r="F459" s="267"/>
      <c r="G459" s="267"/>
      <c r="H459" s="267"/>
      <c r="I459" s="267"/>
      <c r="J459" s="267"/>
      <c r="K459" s="267"/>
      <c r="L459" s="267"/>
      <c r="M459" s="267"/>
      <c r="N459" s="267"/>
      <c r="O459" s="267"/>
      <c r="P459" s="267"/>
      <c r="Q459" s="267"/>
      <c r="R459" s="267"/>
    </row>
    <row r="460" spans="1:18" x14ac:dyDescent="0.2">
      <c r="A460" s="267"/>
      <c r="B460" s="267"/>
      <c r="C460" s="267"/>
      <c r="D460" s="267"/>
      <c r="E460" s="267"/>
      <c r="F460" s="267"/>
      <c r="G460" s="267"/>
      <c r="H460" s="267"/>
      <c r="I460" s="267"/>
      <c r="J460" s="267"/>
      <c r="K460" s="267"/>
      <c r="L460" s="267"/>
      <c r="M460" s="267"/>
      <c r="N460" s="267"/>
      <c r="O460" s="267"/>
      <c r="P460" s="267"/>
      <c r="Q460" s="267"/>
      <c r="R460" s="267"/>
    </row>
    <row r="461" spans="1:18" x14ac:dyDescent="0.2">
      <c r="A461" s="267"/>
      <c r="B461" s="267"/>
      <c r="C461" s="267"/>
      <c r="D461" s="267"/>
      <c r="E461" s="267"/>
      <c r="F461" s="267"/>
      <c r="G461" s="267"/>
      <c r="H461" s="267"/>
      <c r="I461" s="267"/>
      <c r="J461" s="267"/>
      <c r="K461" s="267"/>
      <c r="L461" s="267"/>
      <c r="M461" s="267"/>
      <c r="N461" s="267"/>
      <c r="O461" s="267"/>
      <c r="P461" s="267"/>
      <c r="Q461" s="267"/>
      <c r="R461" s="267"/>
    </row>
    <row r="462" spans="1:18" x14ac:dyDescent="0.2">
      <c r="A462" s="267"/>
      <c r="B462" s="267"/>
      <c r="C462" s="267"/>
      <c r="D462" s="267"/>
      <c r="E462" s="267"/>
      <c r="F462" s="267"/>
      <c r="G462" s="267"/>
      <c r="H462" s="267"/>
      <c r="I462" s="267"/>
      <c r="J462" s="267"/>
      <c r="K462" s="267"/>
      <c r="L462" s="267"/>
      <c r="M462" s="267"/>
      <c r="N462" s="267"/>
      <c r="O462" s="267"/>
      <c r="P462" s="267"/>
      <c r="Q462" s="267"/>
      <c r="R462" s="267"/>
    </row>
    <row r="463" spans="1:18" x14ac:dyDescent="0.2">
      <c r="A463" s="267"/>
      <c r="B463" s="267"/>
      <c r="C463" s="267"/>
      <c r="D463" s="267"/>
      <c r="E463" s="267"/>
      <c r="F463" s="267"/>
      <c r="G463" s="267"/>
      <c r="H463" s="267"/>
      <c r="I463" s="267"/>
      <c r="J463" s="267"/>
      <c r="K463" s="267"/>
      <c r="L463" s="267"/>
      <c r="M463" s="267"/>
      <c r="N463" s="267"/>
      <c r="O463" s="267"/>
      <c r="P463" s="267"/>
      <c r="Q463" s="267"/>
      <c r="R463" s="267"/>
    </row>
    <row r="464" spans="1:18" x14ac:dyDescent="0.2">
      <c r="A464" s="267"/>
      <c r="B464" s="267"/>
      <c r="C464" s="267"/>
      <c r="D464" s="267"/>
      <c r="E464" s="267"/>
      <c r="F464" s="267"/>
      <c r="G464" s="267"/>
      <c r="H464" s="267"/>
      <c r="I464" s="267"/>
      <c r="J464" s="267"/>
      <c r="K464" s="267"/>
      <c r="L464" s="267"/>
      <c r="M464" s="267"/>
      <c r="N464" s="267"/>
      <c r="O464" s="267"/>
      <c r="P464" s="267"/>
      <c r="Q464" s="267"/>
      <c r="R464" s="267"/>
    </row>
    <row r="465" spans="1:18" x14ac:dyDescent="0.2">
      <c r="A465" s="267"/>
      <c r="B465" s="267"/>
      <c r="C465" s="267"/>
      <c r="D465" s="267"/>
      <c r="E465" s="267"/>
      <c r="F465" s="267"/>
      <c r="G465" s="267"/>
      <c r="H465" s="267"/>
      <c r="I465" s="267"/>
      <c r="J465" s="267"/>
      <c r="K465" s="267"/>
      <c r="L465" s="267"/>
      <c r="M465" s="267"/>
      <c r="N465" s="267"/>
      <c r="O465" s="267"/>
      <c r="P465" s="267"/>
      <c r="Q465" s="267"/>
      <c r="R465" s="267"/>
    </row>
    <row r="466" spans="1:18" x14ac:dyDescent="0.2">
      <c r="A466" s="267"/>
      <c r="B466" s="267"/>
      <c r="C466" s="267"/>
      <c r="D466" s="267"/>
      <c r="E466" s="267"/>
      <c r="F466" s="267"/>
      <c r="G466" s="267"/>
      <c r="H466" s="267"/>
      <c r="I466" s="267"/>
      <c r="J466" s="267"/>
      <c r="K466" s="267"/>
      <c r="L466" s="267"/>
      <c r="M466" s="267"/>
      <c r="N466" s="267"/>
      <c r="O466" s="267"/>
      <c r="P466" s="267"/>
      <c r="Q466" s="267"/>
      <c r="R466" s="267"/>
    </row>
    <row r="467" spans="1:18" x14ac:dyDescent="0.2">
      <c r="A467" s="267"/>
      <c r="B467" s="267"/>
      <c r="C467" s="267"/>
      <c r="D467" s="267"/>
      <c r="E467" s="267"/>
      <c r="F467" s="267"/>
      <c r="G467" s="267"/>
      <c r="H467" s="267"/>
      <c r="I467" s="267"/>
      <c r="J467" s="267"/>
      <c r="K467" s="267"/>
      <c r="L467" s="267"/>
      <c r="M467" s="267"/>
      <c r="N467" s="267"/>
      <c r="O467" s="267"/>
      <c r="P467" s="267"/>
      <c r="Q467" s="267"/>
      <c r="R467" s="267"/>
    </row>
    <row r="468" spans="1:18" x14ac:dyDescent="0.2">
      <c r="A468" s="267"/>
      <c r="B468" s="267"/>
      <c r="C468" s="267"/>
      <c r="D468" s="267"/>
      <c r="E468" s="267"/>
      <c r="F468" s="267"/>
      <c r="G468" s="267"/>
      <c r="H468" s="267"/>
      <c r="I468" s="267"/>
      <c r="J468" s="267"/>
      <c r="K468" s="267"/>
      <c r="L468" s="267"/>
      <c r="M468" s="267"/>
      <c r="N468" s="267"/>
      <c r="O468" s="267"/>
      <c r="P468" s="267"/>
      <c r="Q468" s="267"/>
      <c r="R468" s="267"/>
    </row>
    <row r="469" spans="1:18" x14ac:dyDescent="0.2">
      <c r="A469" s="267"/>
      <c r="B469" s="267"/>
      <c r="C469" s="267"/>
      <c r="D469" s="267"/>
      <c r="E469" s="267"/>
      <c r="F469" s="267"/>
      <c r="G469" s="267"/>
      <c r="H469" s="267"/>
      <c r="I469" s="267"/>
      <c r="J469" s="267"/>
      <c r="K469" s="267"/>
      <c r="L469" s="267"/>
      <c r="M469" s="267"/>
      <c r="N469" s="267"/>
      <c r="O469" s="267"/>
      <c r="P469" s="267"/>
      <c r="Q469" s="267"/>
      <c r="R469" s="267"/>
    </row>
    <row r="470" spans="1:18" x14ac:dyDescent="0.2">
      <c r="A470" s="267"/>
      <c r="B470" s="267"/>
      <c r="C470" s="267"/>
      <c r="D470" s="267"/>
      <c r="E470" s="267"/>
      <c r="F470" s="267"/>
      <c r="G470" s="267"/>
      <c r="H470" s="267"/>
      <c r="I470" s="267"/>
      <c r="J470" s="267"/>
      <c r="K470" s="267"/>
      <c r="L470" s="267"/>
      <c r="M470" s="267"/>
      <c r="N470" s="267"/>
      <c r="O470" s="267"/>
      <c r="P470" s="267"/>
      <c r="Q470" s="267"/>
      <c r="R470" s="267"/>
    </row>
    <row r="471" spans="1:18" x14ac:dyDescent="0.2">
      <c r="A471" s="267"/>
      <c r="B471" s="267"/>
      <c r="C471" s="267"/>
      <c r="D471" s="267"/>
      <c r="E471" s="267"/>
      <c r="F471" s="267"/>
      <c r="G471" s="267"/>
      <c r="H471" s="267"/>
      <c r="I471" s="267"/>
      <c r="J471" s="267"/>
      <c r="K471" s="267"/>
      <c r="L471" s="267"/>
      <c r="M471" s="267"/>
      <c r="N471" s="267"/>
      <c r="O471" s="267"/>
      <c r="P471" s="267"/>
      <c r="Q471" s="267"/>
      <c r="R471" s="267"/>
    </row>
    <row r="472" spans="1:18" x14ac:dyDescent="0.2">
      <c r="A472" s="267"/>
      <c r="B472" s="267"/>
      <c r="C472" s="267"/>
      <c r="D472" s="267"/>
      <c r="E472" s="267"/>
      <c r="F472" s="267"/>
      <c r="G472" s="267"/>
      <c r="H472" s="267"/>
      <c r="I472" s="267"/>
      <c r="J472" s="267"/>
      <c r="K472" s="267"/>
      <c r="L472" s="267"/>
      <c r="M472" s="267"/>
      <c r="N472" s="267"/>
      <c r="O472" s="267"/>
      <c r="P472" s="267"/>
      <c r="Q472" s="267"/>
      <c r="R472" s="267"/>
    </row>
    <row r="473" spans="1:18" x14ac:dyDescent="0.2">
      <c r="A473" s="267"/>
      <c r="B473" s="267"/>
      <c r="C473" s="267"/>
      <c r="D473" s="267"/>
      <c r="E473" s="267"/>
      <c r="F473" s="267"/>
      <c r="G473" s="267"/>
      <c r="H473" s="267"/>
      <c r="I473" s="267"/>
      <c r="J473" s="267"/>
      <c r="K473" s="267"/>
      <c r="L473" s="267"/>
      <c r="M473" s="267"/>
      <c r="N473" s="267"/>
      <c r="O473" s="267"/>
      <c r="P473" s="267"/>
      <c r="Q473" s="267"/>
      <c r="R473" s="267"/>
    </row>
    <row r="474" spans="1:18" x14ac:dyDescent="0.2">
      <c r="A474" s="267"/>
      <c r="B474" s="267"/>
      <c r="C474" s="267"/>
      <c r="D474" s="267"/>
      <c r="E474" s="267"/>
      <c r="F474" s="267"/>
      <c r="G474" s="267"/>
      <c r="H474" s="267"/>
      <c r="I474" s="267"/>
      <c r="J474" s="267"/>
      <c r="K474" s="267"/>
      <c r="L474" s="267"/>
      <c r="M474" s="267"/>
      <c r="N474" s="267"/>
      <c r="O474" s="267"/>
      <c r="P474" s="267"/>
      <c r="Q474" s="267"/>
      <c r="R474" s="267"/>
    </row>
    <row r="475" spans="1:18" x14ac:dyDescent="0.2">
      <c r="A475" s="267"/>
      <c r="B475" s="267"/>
      <c r="C475" s="267"/>
      <c r="D475" s="267"/>
      <c r="E475" s="267"/>
      <c r="F475" s="267"/>
      <c r="G475" s="267"/>
      <c r="H475" s="267"/>
      <c r="I475" s="267"/>
      <c r="J475" s="267"/>
      <c r="K475" s="267"/>
      <c r="L475" s="267"/>
      <c r="M475" s="267"/>
      <c r="N475" s="267"/>
      <c r="O475" s="267"/>
      <c r="P475" s="267"/>
      <c r="Q475" s="267"/>
      <c r="R475" s="267"/>
    </row>
    <row r="476" spans="1:18" x14ac:dyDescent="0.2">
      <c r="A476" s="267"/>
      <c r="B476" s="267"/>
      <c r="C476" s="267"/>
      <c r="D476" s="267"/>
      <c r="E476" s="267"/>
      <c r="F476" s="267"/>
      <c r="G476" s="267"/>
      <c r="H476" s="267"/>
      <c r="I476" s="267"/>
      <c r="J476" s="267"/>
      <c r="K476" s="267"/>
      <c r="L476" s="267"/>
      <c r="M476" s="267"/>
      <c r="N476" s="267"/>
      <c r="O476" s="267"/>
      <c r="P476" s="267"/>
      <c r="Q476" s="267"/>
      <c r="R476" s="267"/>
    </row>
    <row r="477" spans="1:18" x14ac:dyDescent="0.2">
      <c r="A477" s="267"/>
      <c r="B477" s="267"/>
      <c r="C477" s="267"/>
      <c r="D477" s="267"/>
      <c r="E477" s="267"/>
      <c r="F477" s="267"/>
      <c r="G477" s="267"/>
      <c r="H477" s="267"/>
      <c r="I477" s="267"/>
      <c r="J477" s="267"/>
      <c r="K477" s="267"/>
      <c r="L477" s="267"/>
      <c r="M477" s="267"/>
      <c r="N477" s="267"/>
      <c r="O477" s="267"/>
      <c r="P477" s="267"/>
      <c r="Q477" s="267"/>
      <c r="R477" s="267"/>
    </row>
    <row r="478" spans="1:18" x14ac:dyDescent="0.2">
      <c r="A478" s="267"/>
      <c r="B478" s="267"/>
      <c r="C478" s="267"/>
      <c r="D478" s="267"/>
      <c r="E478" s="267"/>
      <c r="F478" s="267"/>
      <c r="G478" s="267"/>
      <c r="H478" s="267"/>
      <c r="I478" s="267"/>
      <c r="J478" s="267"/>
      <c r="K478" s="267"/>
      <c r="L478" s="267"/>
      <c r="M478" s="267"/>
      <c r="N478" s="267"/>
      <c r="O478" s="267"/>
      <c r="P478" s="267"/>
      <c r="Q478" s="267"/>
      <c r="R478" s="267"/>
    </row>
    <row r="479" spans="1:18" x14ac:dyDescent="0.2">
      <c r="A479" s="267"/>
      <c r="B479" s="267"/>
      <c r="C479" s="267"/>
      <c r="D479" s="267"/>
      <c r="E479" s="267"/>
      <c r="F479" s="267"/>
      <c r="G479" s="267"/>
      <c r="H479" s="267"/>
      <c r="I479" s="267"/>
      <c r="J479" s="267"/>
      <c r="K479" s="267"/>
      <c r="L479" s="267"/>
      <c r="M479" s="267"/>
      <c r="N479" s="267"/>
      <c r="O479" s="267"/>
      <c r="P479" s="267"/>
      <c r="Q479" s="267"/>
      <c r="R479" s="267"/>
    </row>
    <row r="480" spans="1:18" x14ac:dyDescent="0.2">
      <c r="A480" s="267"/>
      <c r="B480" s="267"/>
      <c r="C480" s="267"/>
      <c r="D480" s="267"/>
      <c r="E480" s="267"/>
      <c r="F480" s="267"/>
      <c r="G480" s="267"/>
      <c r="H480" s="267"/>
      <c r="I480" s="267"/>
      <c r="J480" s="267"/>
      <c r="K480" s="267"/>
      <c r="L480" s="267"/>
      <c r="M480" s="267"/>
      <c r="N480" s="267"/>
      <c r="O480" s="267"/>
      <c r="P480" s="267"/>
      <c r="Q480" s="267"/>
      <c r="R480" s="267"/>
    </row>
    <row r="481" spans="1:18" x14ac:dyDescent="0.2">
      <c r="A481" s="267"/>
      <c r="B481" s="267"/>
      <c r="C481" s="267"/>
      <c r="D481" s="267"/>
      <c r="E481" s="267"/>
      <c r="F481" s="267"/>
      <c r="G481" s="267"/>
      <c r="H481" s="267"/>
      <c r="I481" s="267"/>
      <c r="J481" s="267"/>
      <c r="K481" s="267"/>
      <c r="L481" s="267"/>
      <c r="M481" s="267"/>
      <c r="N481" s="267"/>
      <c r="O481" s="267"/>
      <c r="P481" s="267"/>
      <c r="Q481" s="267"/>
      <c r="R481" s="267"/>
    </row>
    <row r="482" spans="1:18" x14ac:dyDescent="0.2">
      <c r="A482" s="267"/>
      <c r="B482" s="267"/>
      <c r="C482" s="267"/>
      <c r="D482" s="267"/>
      <c r="E482" s="267"/>
      <c r="F482" s="267"/>
      <c r="G482" s="267"/>
      <c r="H482" s="267"/>
      <c r="I482" s="267"/>
      <c r="J482" s="267"/>
      <c r="K482" s="267"/>
      <c r="L482" s="267"/>
      <c r="M482" s="267"/>
      <c r="N482" s="267"/>
      <c r="O482" s="267"/>
      <c r="P482" s="267"/>
      <c r="Q482" s="267"/>
      <c r="R482" s="267"/>
    </row>
    <row r="483" spans="1:18" x14ac:dyDescent="0.2">
      <c r="A483" s="267"/>
      <c r="B483" s="267"/>
      <c r="C483" s="267"/>
      <c r="D483" s="267"/>
      <c r="E483" s="267"/>
      <c r="F483" s="267"/>
      <c r="G483" s="267"/>
      <c r="H483" s="267"/>
      <c r="I483" s="267"/>
      <c r="J483" s="267"/>
      <c r="K483" s="267"/>
      <c r="L483" s="267"/>
      <c r="M483" s="267"/>
      <c r="N483" s="267"/>
      <c r="O483" s="267"/>
      <c r="P483" s="267"/>
      <c r="Q483" s="267"/>
      <c r="R483" s="267"/>
    </row>
    <row r="484" spans="1:18" x14ac:dyDescent="0.2">
      <c r="A484" s="267"/>
      <c r="B484" s="267"/>
      <c r="C484" s="267"/>
      <c r="D484" s="267"/>
      <c r="E484" s="267"/>
      <c r="F484" s="267"/>
      <c r="G484" s="267"/>
      <c r="H484" s="267"/>
      <c r="I484" s="267"/>
      <c r="J484" s="267"/>
      <c r="K484" s="267"/>
      <c r="L484" s="267"/>
      <c r="M484" s="267"/>
      <c r="N484" s="267"/>
      <c r="O484" s="267"/>
      <c r="P484" s="267"/>
      <c r="Q484" s="267"/>
      <c r="R484" s="267"/>
    </row>
    <row r="485" spans="1:18" x14ac:dyDescent="0.2">
      <c r="A485" s="267"/>
      <c r="B485" s="267"/>
      <c r="C485" s="267"/>
      <c r="D485" s="267"/>
      <c r="E485" s="267"/>
      <c r="F485" s="267"/>
      <c r="G485" s="267"/>
      <c r="H485" s="267"/>
      <c r="I485" s="267"/>
      <c r="J485" s="267"/>
      <c r="K485" s="267"/>
      <c r="L485" s="267"/>
      <c r="M485" s="267"/>
      <c r="N485" s="267"/>
      <c r="O485" s="267"/>
      <c r="P485" s="267"/>
      <c r="Q485" s="267"/>
      <c r="R485" s="267"/>
    </row>
    <row r="486" spans="1:18" x14ac:dyDescent="0.2">
      <c r="A486" s="267"/>
      <c r="B486" s="267"/>
      <c r="C486" s="267"/>
      <c r="D486" s="267"/>
      <c r="E486" s="267"/>
      <c r="F486" s="267"/>
      <c r="G486" s="267"/>
      <c r="H486" s="267"/>
      <c r="I486" s="267"/>
      <c r="J486" s="267"/>
      <c r="K486" s="267"/>
      <c r="L486" s="267"/>
      <c r="M486" s="267"/>
      <c r="N486" s="267"/>
      <c r="O486" s="267"/>
      <c r="P486" s="267"/>
      <c r="Q486" s="267"/>
      <c r="R486" s="267"/>
    </row>
    <row r="487" spans="1:18" x14ac:dyDescent="0.2">
      <c r="A487" s="267"/>
      <c r="B487" s="267"/>
      <c r="C487" s="267"/>
      <c r="D487" s="267"/>
      <c r="E487" s="267"/>
      <c r="F487" s="267"/>
      <c r="G487" s="267"/>
      <c r="H487" s="267"/>
      <c r="I487" s="267"/>
      <c r="J487" s="267"/>
      <c r="K487" s="267"/>
      <c r="L487" s="267"/>
      <c r="M487" s="267"/>
      <c r="N487" s="267"/>
      <c r="O487" s="267"/>
      <c r="P487" s="267"/>
      <c r="Q487" s="267"/>
      <c r="R487" s="267"/>
    </row>
    <row r="488" spans="1:18" x14ac:dyDescent="0.2">
      <c r="A488" s="267"/>
      <c r="B488" s="267"/>
      <c r="C488" s="267"/>
      <c r="D488" s="267"/>
      <c r="E488" s="267"/>
      <c r="F488" s="267"/>
      <c r="G488" s="267"/>
      <c r="H488" s="267"/>
      <c r="I488" s="267"/>
      <c r="J488" s="267"/>
      <c r="K488" s="267"/>
      <c r="L488" s="267"/>
      <c r="M488" s="267"/>
      <c r="N488" s="267"/>
      <c r="O488" s="267"/>
      <c r="P488" s="267"/>
      <c r="Q488" s="267"/>
      <c r="R488" s="267"/>
    </row>
    <row r="489" spans="1:18" x14ac:dyDescent="0.2">
      <c r="A489" s="267"/>
      <c r="B489" s="267"/>
      <c r="C489" s="267"/>
      <c r="D489" s="267"/>
      <c r="E489" s="267"/>
      <c r="F489" s="267"/>
      <c r="G489" s="267"/>
      <c r="H489" s="267"/>
      <c r="I489" s="267"/>
      <c r="J489" s="267"/>
      <c r="K489" s="267"/>
      <c r="L489" s="267"/>
      <c r="M489" s="267"/>
      <c r="N489" s="267"/>
      <c r="O489" s="267"/>
      <c r="P489" s="267"/>
      <c r="Q489" s="267"/>
      <c r="R489" s="267"/>
    </row>
    <row r="490" spans="1:18" x14ac:dyDescent="0.2">
      <c r="A490" s="267"/>
      <c r="B490" s="267"/>
      <c r="C490" s="267"/>
      <c r="D490" s="267"/>
      <c r="E490" s="267"/>
      <c r="F490" s="267"/>
      <c r="G490" s="267"/>
      <c r="H490" s="267"/>
      <c r="I490" s="267"/>
      <c r="J490" s="267"/>
      <c r="K490" s="267"/>
      <c r="L490" s="267"/>
      <c r="M490" s="267"/>
      <c r="N490" s="267"/>
      <c r="O490" s="267"/>
      <c r="P490" s="267"/>
      <c r="Q490" s="267"/>
      <c r="R490" s="267"/>
    </row>
    <row r="491" spans="1:18" x14ac:dyDescent="0.2">
      <c r="A491" s="267"/>
      <c r="B491" s="267"/>
      <c r="C491" s="267"/>
      <c r="D491" s="267"/>
      <c r="E491" s="267"/>
      <c r="F491" s="267"/>
      <c r="G491" s="267"/>
      <c r="H491" s="267"/>
      <c r="I491" s="267"/>
      <c r="J491" s="267"/>
      <c r="K491" s="267"/>
      <c r="L491" s="267"/>
      <c r="M491" s="267"/>
      <c r="N491" s="267"/>
      <c r="O491" s="267"/>
      <c r="P491" s="267"/>
      <c r="Q491" s="267"/>
      <c r="R491" s="267"/>
    </row>
    <row r="492" spans="1:18" x14ac:dyDescent="0.2">
      <c r="A492" s="267"/>
      <c r="B492" s="267"/>
      <c r="C492" s="267"/>
      <c r="D492" s="267"/>
      <c r="E492" s="267"/>
      <c r="F492" s="267"/>
      <c r="G492" s="267"/>
      <c r="H492" s="267"/>
      <c r="I492" s="267"/>
      <c r="J492" s="267"/>
      <c r="K492" s="267"/>
      <c r="L492" s="267"/>
      <c r="M492" s="267"/>
      <c r="N492" s="267"/>
      <c r="O492" s="267"/>
      <c r="P492" s="267"/>
      <c r="Q492" s="267"/>
      <c r="R492" s="267"/>
    </row>
    <row r="493" spans="1:18" x14ac:dyDescent="0.2">
      <c r="A493" s="267"/>
      <c r="B493" s="267"/>
      <c r="C493" s="267"/>
      <c r="D493" s="267"/>
      <c r="E493" s="267"/>
      <c r="F493" s="267"/>
      <c r="G493" s="267"/>
      <c r="H493" s="267"/>
      <c r="I493" s="267"/>
      <c r="J493" s="267"/>
      <c r="K493" s="267"/>
      <c r="L493" s="267"/>
      <c r="M493" s="267"/>
      <c r="N493" s="267"/>
      <c r="O493" s="267"/>
      <c r="P493" s="267"/>
      <c r="Q493" s="267"/>
      <c r="R493" s="267"/>
    </row>
    <row r="494" spans="1:18" x14ac:dyDescent="0.2">
      <c r="A494" s="267"/>
      <c r="B494" s="267"/>
      <c r="C494" s="267"/>
      <c r="D494" s="267"/>
      <c r="E494" s="267"/>
      <c r="F494" s="267"/>
      <c r="G494" s="267"/>
      <c r="H494" s="267"/>
      <c r="I494" s="267"/>
      <c r="J494" s="267"/>
      <c r="K494" s="267"/>
      <c r="L494" s="267"/>
      <c r="M494" s="267"/>
      <c r="N494" s="267"/>
      <c r="O494" s="267"/>
      <c r="P494" s="267"/>
      <c r="Q494" s="267"/>
      <c r="R494" s="267"/>
    </row>
    <row r="495" spans="1:18" x14ac:dyDescent="0.2">
      <c r="A495" s="267"/>
      <c r="B495" s="267"/>
      <c r="C495" s="267"/>
      <c r="D495" s="267"/>
      <c r="E495" s="267"/>
      <c r="F495" s="267"/>
      <c r="G495" s="267"/>
      <c r="H495" s="267"/>
      <c r="I495" s="267"/>
      <c r="J495" s="267"/>
      <c r="K495" s="267"/>
      <c r="L495" s="267"/>
      <c r="M495" s="267"/>
      <c r="N495" s="267"/>
      <c r="O495" s="267"/>
      <c r="P495" s="267"/>
      <c r="Q495" s="267"/>
      <c r="R495" s="267"/>
    </row>
    <row r="496" spans="1:18" x14ac:dyDescent="0.2">
      <c r="A496" s="267"/>
      <c r="B496" s="267"/>
      <c r="C496" s="267"/>
      <c r="D496" s="267"/>
      <c r="E496" s="267"/>
      <c r="F496" s="267"/>
      <c r="G496" s="267"/>
      <c r="H496" s="267"/>
      <c r="I496" s="267"/>
      <c r="J496" s="267"/>
      <c r="K496" s="267"/>
      <c r="L496" s="267"/>
      <c r="M496" s="267"/>
      <c r="N496" s="267"/>
      <c r="O496" s="267"/>
      <c r="P496" s="267"/>
      <c r="Q496" s="267"/>
      <c r="R496" s="267"/>
    </row>
    <row r="497" spans="1:18" x14ac:dyDescent="0.2">
      <c r="A497" s="267"/>
      <c r="B497" s="267"/>
      <c r="C497" s="267"/>
      <c r="D497" s="267"/>
      <c r="E497" s="267"/>
      <c r="F497" s="267"/>
      <c r="G497" s="267"/>
      <c r="H497" s="267"/>
      <c r="I497" s="267"/>
      <c r="J497" s="267"/>
      <c r="K497" s="267"/>
      <c r="L497" s="267"/>
      <c r="M497" s="267"/>
      <c r="N497" s="267"/>
      <c r="O497" s="267"/>
      <c r="P497" s="267"/>
      <c r="Q497" s="267"/>
      <c r="R497" s="267"/>
    </row>
    <row r="498" spans="1:18" x14ac:dyDescent="0.2">
      <c r="A498" s="267"/>
      <c r="B498" s="267"/>
      <c r="C498" s="267"/>
      <c r="D498" s="267"/>
      <c r="E498" s="267"/>
      <c r="F498" s="267"/>
      <c r="G498" s="267"/>
      <c r="H498" s="267"/>
      <c r="I498" s="267"/>
      <c r="J498" s="267"/>
      <c r="K498" s="267"/>
      <c r="L498" s="267"/>
      <c r="M498" s="267"/>
      <c r="N498" s="267"/>
      <c r="O498" s="267"/>
      <c r="P498" s="267"/>
      <c r="Q498" s="267"/>
      <c r="R498" s="267"/>
    </row>
    <row r="499" spans="1:18" x14ac:dyDescent="0.2">
      <c r="A499" s="267"/>
      <c r="B499" s="267"/>
      <c r="C499" s="267"/>
      <c r="D499" s="267"/>
      <c r="E499" s="267"/>
      <c r="F499" s="267"/>
      <c r="G499" s="267"/>
      <c r="H499" s="267"/>
      <c r="I499" s="267"/>
      <c r="J499" s="267"/>
      <c r="K499" s="267"/>
      <c r="L499" s="267"/>
      <c r="M499" s="267"/>
      <c r="N499" s="267"/>
      <c r="O499" s="267"/>
      <c r="P499" s="267"/>
      <c r="Q499" s="267"/>
      <c r="R499" s="267"/>
    </row>
    <row r="500" spans="1:18" x14ac:dyDescent="0.2">
      <c r="A500" s="267"/>
      <c r="B500" s="267"/>
      <c r="C500" s="267"/>
      <c r="D500" s="267"/>
      <c r="E500" s="267"/>
      <c r="F500" s="267"/>
      <c r="G500" s="267"/>
      <c r="H500" s="267"/>
      <c r="I500" s="267"/>
      <c r="J500" s="267"/>
      <c r="K500" s="267"/>
      <c r="L500" s="267"/>
      <c r="M500" s="267"/>
      <c r="N500" s="267"/>
      <c r="O500" s="267"/>
      <c r="P500" s="267"/>
      <c r="Q500" s="267"/>
      <c r="R500" s="267"/>
    </row>
  </sheetData>
  <sheetProtection sheet="1" objects="1" scenarios="1" selectLockedCells="1"/>
  <dataConsolidate/>
  <customSheetViews>
    <customSheetView guid="{13F24B0A-7740-483A-BEF7-5257F8522605}" showGridLines="0" outlineSymbols="0" fitToPage="1" hiddenRows="1" state="hidden">
      <pane ySplit="5" topLeftCell="A6" activePane="bottomLeft" state="frozen"/>
      <selection pane="bottomLeft" activeCell="N5" sqref="N5"/>
      <pageMargins left="0.70866141732283472" right="0.70866141732283472" top="0.74803149606299213" bottom="0.74803149606299213" header="0.31496062992125984" footer="0.31496062992125984"/>
      <pageSetup paperSize="9" scale="61" fitToHeight="20" orientation="landscape" r:id="rId1"/>
    </customSheetView>
  </customSheetViews>
  <mergeCells count="3">
    <mergeCell ref="B2:Q2"/>
    <mergeCell ref="B1:Q1"/>
    <mergeCell ref="B3:Q3"/>
  </mergeCells>
  <phoneticPr fontId="72" type="noConversion"/>
  <pageMargins left="0.70866141732283472" right="0.70866141732283472" top="0.74803149606299213" bottom="0.74803149606299213" header="0.31496062992125984" footer="0.31496062992125984"/>
  <pageSetup paperSize="9" scale="61" fitToHeight="20" orientation="landscape"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_OfficialFormulas">
    <tabColor rgb="FFFF00FF"/>
    <outlinePr summaryBelow="0"/>
  </sheetPr>
  <dimension ref="A1:CR1212"/>
  <sheetViews>
    <sheetView showGridLines="0" topLeftCell="C75" zoomScaleNormal="100" workbookViewId="0">
      <selection activeCell="F182" sqref="F182"/>
    </sheetView>
  </sheetViews>
  <sheetFormatPr baseColWidth="10" defaultColWidth="3.7109375" defaultRowHeight="12.75" outlineLevelRow="2" x14ac:dyDescent="0.2"/>
  <cols>
    <col min="1" max="1" width="3.28515625" style="1396" customWidth="1"/>
    <col min="2" max="2" width="12.42578125" style="1396" customWidth="1"/>
    <col min="3" max="4" width="11.7109375" style="1396" customWidth="1"/>
    <col min="5" max="5" width="12.28515625" style="1396" customWidth="1"/>
    <col min="6" max="6" width="11.7109375" style="1396" customWidth="1"/>
    <col min="7" max="7" width="1.85546875" style="1396" customWidth="1"/>
    <col min="8" max="8" width="12.42578125" style="1396" customWidth="1"/>
    <col min="9" max="10" width="11.140625" style="1396" customWidth="1"/>
    <col min="11" max="11" width="2.140625" style="1396" customWidth="1"/>
    <col min="12" max="12" width="3.42578125" style="1396" customWidth="1"/>
    <col min="13" max="13" width="8.28515625" style="1396" customWidth="1"/>
    <col min="14" max="14" width="4.85546875" style="1396" customWidth="1"/>
    <col min="15" max="15" width="7.28515625" style="1396" bestFit="1" customWidth="1"/>
    <col min="16" max="16" width="4.85546875" style="1396" customWidth="1"/>
    <col min="17" max="17" width="10" style="1396" customWidth="1"/>
    <col min="18" max="18" width="2.7109375" style="1396" customWidth="1"/>
    <col min="19" max="19" width="12.28515625" style="1396" customWidth="1"/>
    <col min="20" max="20" width="11" style="1396" customWidth="1"/>
    <col min="21" max="21" width="11.42578125" style="1396" customWidth="1"/>
    <col min="22" max="22" width="2.5703125" style="1396" customWidth="1"/>
    <col min="23" max="23" width="8.28515625" style="1396" customWidth="1"/>
    <col min="24" max="24" width="2.42578125" style="1396" bestFit="1" customWidth="1"/>
    <col min="25" max="26" width="3.140625" style="1396" bestFit="1" customWidth="1"/>
    <col min="27" max="27" width="10.42578125" style="1396" customWidth="1"/>
    <col min="28" max="28" width="3" style="1396" customWidth="1"/>
    <col min="29" max="31" width="11.42578125" style="1396" customWidth="1"/>
    <col min="32" max="32" width="3.5703125" style="1396" customWidth="1"/>
    <col min="33" max="33" width="9.140625" style="1396" customWidth="1"/>
    <col min="34" max="35" width="2.42578125" style="1396" bestFit="1" customWidth="1"/>
    <col min="36" max="37" width="3.140625" style="1396" bestFit="1" customWidth="1"/>
    <col min="38" max="38" width="9.7109375" style="1396" customWidth="1"/>
    <col min="39" max="39" width="3" style="1396" customWidth="1"/>
    <col min="40" max="42" width="11.42578125" style="1396" customWidth="1"/>
    <col min="43" max="43" width="2.5703125" style="1396" customWidth="1"/>
    <col min="44" max="44" width="9.140625" style="1396" customWidth="1"/>
    <col min="45" max="46" width="2.42578125" style="1396" bestFit="1" customWidth="1"/>
    <col min="47" max="49" width="3.140625" style="1396" bestFit="1" customWidth="1"/>
    <col min="50" max="50" width="9.7109375" style="1396" customWidth="1"/>
    <col min="51" max="51" width="3" style="1396" customWidth="1"/>
    <col min="52" max="54" width="11.42578125" style="1396" customWidth="1"/>
    <col min="55" max="55" width="2.85546875" style="1396" customWidth="1"/>
    <col min="56" max="56" width="9.140625" style="1396" customWidth="1"/>
    <col min="57" max="58" width="2.42578125" style="1396" bestFit="1" customWidth="1"/>
    <col min="59" max="62" width="3.140625" style="1396" bestFit="1" customWidth="1"/>
    <col min="63" max="63" width="9.7109375" style="1396" customWidth="1"/>
    <col min="64" max="64" width="3" style="1396" customWidth="1"/>
    <col min="65" max="67" width="11.42578125" style="1396" customWidth="1"/>
    <col min="68" max="68" width="3" style="1396" customWidth="1"/>
    <col min="69" max="69" width="9.140625" style="1396" customWidth="1"/>
    <col min="70" max="74" width="2.42578125" style="1396" bestFit="1" customWidth="1"/>
    <col min="75" max="76" width="3.140625" style="1396" bestFit="1" customWidth="1"/>
    <col min="77" max="77" width="9.7109375" style="1396" customWidth="1"/>
    <col min="78" max="78" width="3" style="1396" customWidth="1"/>
    <col min="79" max="81" width="11.42578125" style="1396" customWidth="1"/>
    <col min="82" max="82" width="3.7109375" style="1396" customWidth="1"/>
    <col min="83" max="83" width="9.140625" style="1396" customWidth="1"/>
    <col min="84" max="88" width="2.42578125" style="1396" bestFit="1" customWidth="1"/>
    <col min="89" max="91" width="3.140625" style="1396" bestFit="1" customWidth="1"/>
    <col min="92" max="92" width="9.7109375" style="1396" customWidth="1"/>
    <col min="93" max="93" width="3" style="1396" customWidth="1"/>
    <col min="94" max="96" width="11.42578125" style="1396" customWidth="1"/>
    <col min="97" max="16384" width="3.7109375" style="1396"/>
  </cols>
  <sheetData>
    <row r="1" spans="1:96" s="1397" customFormat="1" ht="35.25" x14ac:dyDescent="0.5">
      <c r="A1" s="1852"/>
      <c r="B1" s="1858" t="str">
        <f>N_FISTFCompetitionFormula</f>
        <v>Formules de compétition FISTF</v>
      </c>
      <c r="C1" s="1858"/>
      <c r="D1" s="1858"/>
      <c r="E1" s="1858"/>
      <c r="F1" s="1858"/>
      <c r="G1" s="1858"/>
      <c r="H1" s="1858"/>
      <c r="I1" s="1858"/>
      <c r="J1" s="1858"/>
      <c r="K1" s="1858"/>
      <c r="L1" s="1858"/>
      <c r="M1" s="1858"/>
      <c r="N1" s="1858"/>
      <c r="O1" s="1858"/>
      <c r="P1" s="1858"/>
      <c r="Q1" s="1858"/>
      <c r="R1" s="1878"/>
      <c r="S1" s="1878"/>
      <c r="T1" s="1878"/>
      <c r="U1" s="1878"/>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row>
    <row r="2" spans="1:96" s="1397" customFormat="1" ht="13.5" thickBot="1" x14ac:dyDescent="0.25">
      <c r="A2" s="7"/>
      <c r="B2" s="11"/>
      <c r="C2" s="11"/>
      <c r="D2" s="11"/>
      <c r="E2" s="11"/>
      <c r="F2" s="11"/>
      <c r="G2" s="7"/>
      <c r="H2" s="11"/>
      <c r="I2" s="11"/>
      <c r="J2" s="11"/>
      <c r="K2" s="11"/>
      <c r="L2" s="7"/>
      <c r="M2" s="11"/>
      <c r="N2" s="11"/>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row>
    <row r="3" spans="1:96" ht="13.5" thickBot="1" x14ac:dyDescent="0.25">
      <c r="A3"/>
      <c r="B3" s="2284" t="str">
        <f>N_MatchOrganisationFor3</f>
        <v>Organisation des matches avec priorité aux poules de 3</v>
      </c>
      <c r="C3" s="2285"/>
      <c r="D3" s="2285"/>
      <c r="E3" s="2285"/>
      <c r="F3" s="2285"/>
      <c r="G3" s="2285"/>
      <c r="H3" s="2285"/>
      <c r="I3" s="2285"/>
      <c r="J3" s="2286"/>
      <c r="K3" s="1"/>
      <c r="L3"/>
      <c r="M3" s="2284" t="str">
        <f>N_MatchOrganisationFor4</f>
        <v>Organisation des matches avec priorité aux poules de 4</v>
      </c>
      <c r="N3" s="2285"/>
      <c r="O3" s="2285"/>
      <c r="P3" s="2285"/>
      <c r="Q3" s="2285"/>
      <c r="R3" s="2285"/>
      <c r="S3" s="2285"/>
      <c r="T3" s="2285"/>
      <c r="U3" s="2286"/>
      <c r="V3"/>
      <c r="W3" s="2284" t="str">
        <f>N_MatchOrganisationFor5</f>
        <v>Organisation des matches avec priorité aux poules de 5</v>
      </c>
      <c r="X3" s="2285"/>
      <c r="Y3" s="2285"/>
      <c r="Z3" s="2285"/>
      <c r="AA3" s="2285"/>
      <c r="AB3" s="2285"/>
      <c r="AC3" s="2285"/>
      <c r="AD3" s="2285"/>
      <c r="AE3" s="2286"/>
      <c r="AF3"/>
      <c r="AG3" s="2284" t="str">
        <f>N_MatchOrganisationFor6</f>
        <v>Organisation des matches avec priorité aux poules de 6</v>
      </c>
      <c r="AH3" s="2285"/>
      <c r="AI3" s="2285"/>
      <c r="AJ3" s="2285"/>
      <c r="AK3" s="2285"/>
      <c r="AL3" s="2285"/>
      <c r="AM3" s="2285"/>
      <c r="AN3" s="2285"/>
      <c r="AO3" s="2285"/>
      <c r="AP3" s="2286"/>
      <c r="AQ3"/>
      <c r="AR3" s="2284" t="str">
        <f>N_MatchOrganisationFor7</f>
        <v>Organisation des matches avec priorité aux poules de 7</v>
      </c>
      <c r="AS3" s="2285"/>
      <c r="AT3" s="2285"/>
      <c r="AU3" s="2285"/>
      <c r="AV3" s="2285"/>
      <c r="AW3" s="2285"/>
      <c r="AX3" s="2285"/>
      <c r="AY3" s="2285"/>
      <c r="AZ3" s="2285"/>
      <c r="BA3" s="2285"/>
      <c r="BB3" s="2286"/>
      <c r="BC3"/>
      <c r="BD3" s="2284" t="str">
        <f>N_MatchOrganisationFor8</f>
        <v>Organisation des matches avec priorité aux poules de 8</v>
      </c>
      <c r="BE3" s="2285"/>
      <c r="BF3" s="2285"/>
      <c r="BG3" s="2285"/>
      <c r="BH3" s="2285"/>
      <c r="BI3" s="2285"/>
      <c r="BJ3" s="2285"/>
      <c r="BK3" s="2285"/>
      <c r="BL3" s="2285"/>
      <c r="BM3" s="2285"/>
      <c r="BN3" s="2285"/>
      <c r="BO3" s="2286"/>
      <c r="BP3"/>
      <c r="BQ3" s="2284" t="str">
        <f>N_MatchOrganisationFor9</f>
        <v>Organisation des matches avec priorité aux poules de 9</v>
      </c>
      <c r="BR3" s="2285"/>
      <c r="BS3" s="2285"/>
      <c r="BT3" s="2285"/>
      <c r="BU3" s="2285"/>
      <c r="BV3" s="2285"/>
      <c r="BW3" s="2285"/>
      <c r="BX3" s="2285"/>
      <c r="BY3" s="2285"/>
      <c r="BZ3" s="2285"/>
      <c r="CA3" s="2285"/>
      <c r="CB3" s="2285"/>
      <c r="CC3" s="2286"/>
      <c r="CD3"/>
      <c r="CE3" s="2284" t="str">
        <f>N_MatchOrganisationFor10</f>
        <v>Organisation des matches avec priorité aux poules de 10</v>
      </c>
      <c r="CF3" s="2285"/>
      <c r="CG3" s="2285"/>
      <c r="CH3" s="2285"/>
      <c r="CI3" s="2285"/>
      <c r="CJ3" s="2285"/>
      <c r="CK3" s="2285"/>
      <c r="CL3" s="2285"/>
      <c r="CM3" s="2285"/>
      <c r="CN3" s="2285"/>
      <c r="CO3" s="2285"/>
      <c r="CP3" s="2285"/>
      <c r="CQ3" s="2285"/>
      <c r="CR3" s="2286"/>
    </row>
    <row r="4" spans="1:96" ht="13.5" customHeight="1" thickBot="1" x14ac:dyDescent="0.25">
      <c r="A4" s="1838"/>
      <c r="B4" s="2287" t="str">
        <f>N_NbPlayers</f>
        <v>Nb Joueurs</v>
      </c>
      <c r="C4" s="2289" t="str">
        <f>N_NbGroupsOf</f>
        <v>Nb Poules de …</v>
      </c>
      <c r="D4" s="2290"/>
      <c r="E4" s="2296"/>
      <c r="F4" s="2291" t="str">
        <f>N_TotalNbGroups</f>
        <v>Nb Total de Poules</v>
      </c>
      <c r="G4" s="696"/>
      <c r="H4" s="2293" t="str">
        <f>N_QualifiedPlayers</f>
        <v>Nb Joueurs pré-qualifiés</v>
      </c>
      <c r="I4" s="2293" t="str">
        <f>N_NbPlayOffMatches</f>
        <v>Nb Matches de barrages</v>
      </c>
      <c r="J4" s="2294" t="str">
        <f>N_NbLastPlayers</f>
        <v>Nb Joueurs phase finale</v>
      </c>
      <c r="K4" s="1839"/>
      <c r="L4" s="1838"/>
      <c r="M4" s="2287" t="str">
        <f>N_NbPlayers</f>
        <v>Nb Joueurs</v>
      </c>
      <c r="N4" s="2289" t="str">
        <f>N_NbGroupsOf</f>
        <v>Nb Poules de …</v>
      </c>
      <c r="O4" s="2290"/>
      <c r="P4" s="2296"/>
      <c r="Q4" s="2291" t="str">
        <f>N_TotalNbGroups</f>
        <v>Nb Total de Poules</v>
      </c>
      <c r="R4" s="696"/>
      <c r="S4" s="2293" t="str">
        <f>N_QualifiedPlayers</f>
        <v>Nb Joueurs pré-qualifiés</v>
      </c>
      <c r="T4" s="2293" t="str">
        <f>N_NbPlayOffMatches</f>
        <v>Nb Matches de barrages</v>
      </c>
      <c r="U4" s="2294" t="str">
        <f>N_NbLastPlayers</f>
        <v>Nb Joueurs phase finale</v>
      </c>
      <c r="V4" s="1838"/>
      <c r="W4" s="2287" t="str">
        <f>N_NbPlayers</f>
        <v>Nb Joueurs</v>
      </c>
      <c r="X4" s="2289" t="str">
        <f>N_NbGroupsOf</f>
        <v>Nb Poules de …</v>
      </c>
      <c r="Y4" s="2290"/>
      <c r="Z4" s="2296"/>
      <c r="AA4" s="2291" t="str">
        <f>N_TotalNbGroups</f>
        <v>Nb Total de Poules</v>
      </c>
      <c r="AB4" s="696"/>
      <c r="AC4" s="2293" t="str">
        <f>N_QualifiedPlayers</f>
        <v>Nb Joueurs pré-qualifiés</v>
      </c>
      <c r="AD4" s="2293" t="str">
        <f>N_NbPlayOffMatches</f>
        <v>Nb Matches de barrages</v>
      </c>
      <c r="AE4" s="2294" t="str">
        <f>N_NbLastPlayers</f>
        <v>Nb Joueurs phase finale</v>
      </c>
      <c r="AF4" s="1838"/>
      <c r="AG4" s="2287" t="str">
        <f>N_NbPlayers</f>
        <v>Nb Joueurs</v>
      </c>
      <c r="AH4" s="2289" t="str">
        <f>N_NbGroupsOf</f>
        <v>Nb Poules de …</v>
      </c>
      <c r="AI4" s="2290"/>
      <c r="AJ4" s="2290"/>
      <c r="AK4" s="2290"/>
      <c r="AL4" s="2291" t="str">
        <f>N_TotalNbGroups</f>
        <v>Nb Total de Poules</v>
      </c>
      <c r="AM4" s="696"/>
      <c r="AN4" s="2293" t="str">
        <f>N_QualifiedPlayers</f>
        <v>Nb Joueurs pré-qualifiés</v>
      </c>
      <c r="AO4" s="2293" t="str">
        <f>N_NbPlayOffMatches</f>
        <v>Nb Matches de barrages</v>
      </c>
      <c r="AP4" s="2294" t="str">
        <f>N_NbLastPlayers</f>
        <v>Nb Joueurs phase finale</v>
      </c>
      <c r="AQ4" s="1838"/>
      <c r="AR4" s="2287" t="str">
        <f>N_NbPlayers</f>
        <v>Nb Joueurs</v>
      </c>
      <c r="AS4" s="2289" t="str">
        <f>N_NbGroupsOf</f>
        <v>Nb Poules de …</v>
      </c>
      <c r="AT4" s="2290"/>
      <c r="AU4" s="2290"/>
      <c r="AV4" s="2290"/>
      <c r="AW4" s="2290"/>
      <c r="AX4" s="2291" t="str">
        <f>N_TotalNbGroups</f>
        <v>Nb Total de Poules</v>
      </c>
      <c r="AY4" s="696"/>
      <c r="AZ4" s="2293" t="str">
        <f>N_QualifiedPlayers</f>
        <v>Nb Joueurs pré-qualifiés</v>
      </c>
      <c r="BA4" s="2293" t="str">
        <f>N_NbPlayOffMatches</f>
        <v>Nb Matches de barrages</v>
      </c>
      <c r="BB4" s="2294" t="str">
        <f>N_NbLastPlayers</f>
        <v>Nb Joueurs phase finale</v>
      </c>
      <c r="BC4" s="1838"/>
      <c r="BD4" s="2287" t="str">
        <f>N_NbPlayers</f>
        <v>Nb Joueurs</v>
      </c>
      <c r="BE4" s="2289" t="str">
        <f>N_NbGroupsOf</f>
        <v>Nb Poules de …</v>
      </c>
      <c r="BF4" s="2290"/>
      <c r="BG4" s="2290"/>
      <c r="BH4" s="2290"/>
      <c r="BI4" s="2290"/>
      <c r="BJ4" s="2290"/>
      <c r="BK4" s="2291" t="str">
        <f>N_TotalNbGroups</f>
        <v>Nb Total de Poules</v>
      </c>
      <c r="BL4" s="696"/>
      <c r="BM4" s="2293" t="str">
        <f>N_QualifiedPlayers</f>
        <v>Nb Joueurs pré-qualifiés</v>
      </c>
      <c r="BN4" s="2293" t="str">
        <f>N_NbPlayOffMatches</f>
        <v>Nb Matches de barrages</v>
      </c>
      <c r="BO4" s="2294" t="str">
        <f>N_NbLastPlayers</f>
        <v>Nb Joueurs phase finale</v>
      </c>
      <c r="BP4" s="1838"/>
      <c r="BQ4" s="2287" t="str">
        <f>N_NbPlayers</f>
        <v>Nb Joueurs</v>
      </c>
      <c r="BR4" s="2289" t="str">
        <f>N_NbGroupsOf</f>
        <v>Nb Poules de …</v>
      </c>
      <c r="BS4" s="2290"/>
      <c r="BT4" s="2290"/>
      <c r="BU4" s="2290"/>
      <c r="BV4" s="2290"/>
      <c r="BW4" s="2290"/>
      <c r="BX4" s="2290"/>
      <c r="BY4" s="2291" t="str">
        <f>N_TotalNbGroups</f>
        <v>Nb Total de Poules</v>
      </c>
      <c r="BZ4" s="696"/>
      <c r="CA4" s="2293" t="str">
        <f>N_QualifiedPlayers</f>
        <v>Nb Joueurs pré-qualifiés</v>
      </c>
      <c r="CB4" s="2293" t="str">
        <f>N_NbPlayOffMatches</f>
        <v>Nb Matches de barrages</v>
      </c>
      <c r="CC4" s="2294" t="str">
        <f>N_NbLastPlayers</f>
        <v>Nb Joueurs phase finale</v>
      </c>
      <c r="CD4" s="1838"/>
      <c r="CE4" s="2287" t="str">
        <f>N_NbPlayers</f>
        <v>Nb Joueurs</v>
      </c>
      <c r="CF4" s="2289" t="str">
        <f>N_NbGroupsOf</f>
        <v>Nb Poules de …</v>
      </c>
      <c r="CG4" s="2290"/>
      <c r="CH4" s="2290"/>
      <c r="CI4" s="2290"/>
      <c r="CJ4" s="2290"/>
      <c r="CK4" s="2290"/>
      <c r="CL4" s="2290"/>
      <c r="CM4" s="2290"/>
      <c r="CN4" s="2291" t="str">
        <f>N_TotalNbGroups</f>
        <v>Nb Total de Poules</v>
      </c>
      <c r="CO4" s="696"/>
      <c r="CP4" s="2293" t="str">
        <f>N_QualifiedPlayers</f>
        <v>Nb Joueurs pré-qualifiés</v>
      </c>
      <c r="CQ4" s="2293" t="str">
        <f>N_NbPlayOffMatches</f>
        <v>Nb Matches de barrages</v>
      </c>
      <c r="CR4" s="2294" t="str">
        <f>N_NbLastPlayers</f>
        <v>Nb Joueurs phase finale</v>
      </c>
    </row>
    <row r="5" spans="1:96" ht="13.5" thickBot="1" x14ac:dyDescent="0.25">
      <c r="A5"/>
      <c r="B5" s="2288"/>
      <c r="C5" s="996">
        <v>3</v>
      </c>
      <c r="D5" s="996">
        <v>4</v>
      </c>
      <c r="E5" s="996">
        <v>5</v>
      </c>
      <c r="F5" s="2292"/>
      <c r="G5" s="997"/>
      <c r="H5" s="2292"/>
      <c r="I5" s="2292"/>
      <c r="J5" s="2295"/>
      <c r="K5" s="1"/>
      <c r="L5"/>
      <c r="M5" s="2288"/>
      <c r="N5" s="996">
        <v>3</v>
      </c>
      <c r="O5" s="996">
        <v>4</v>
      </c>
      <c r="P5" s="996">
        <v>5</v>
      </c>
      <c r="Q5" s="2292"/>
      <c r="R5" s="997"/>
      <c r="S5" s="2292"/>
      <c r="T5" s="2292"/>
      <c r="U5" s="2295"/>
      <c r="V5"/>
      <c r="W5" s="2288"/>
      <c r="X5" s="996">
        <v>3</v>
      </c>
      <c r="Y5" s="996">
        <v>4</v>
      </c>
      <c r="Z5" s="996">
        <v>5</v>
      </c>
      <c r="AA5" s="2292"/>
      <c r="AB5" s="997"/>
      <c r="AC5" s="2292"/>
      <c r="AD5" s="2292"/>
      <c r="AE5" s="2295"/>
      <c r="AF5"/>
      <c r="AG5" s="2288"/>
      <c r="AH5" s="996">
        <v>3</v>
      </c>
      <c r="AI5" s="996">
        <v>4</v>
      </c>
      <c r="AJ5" s="996">
        <v>5</v>
      </c>
      <c r="AK5" s="996">
        <v>6</v>
      </c>
      <c r="AL5" s="2292"/>
      <c r="AM5" s="997"/>
      <c r="AN5" s="2292"/>
      <c r="AO5" s="2292"/>
      <c r="AP5" s="2295"/>
      <c r="AQ5"/>
      <c r="AR5" s="2288"/>
      <c r="AS5" s="996">
        <v>3</v>
      </c>
      <c r="AT5" s="996">
        <v>4</v>
      </c>
      <c r="AU5" s="996">
        <v>5</v>
      </c>
      <c r="AV5" s="996">
        <v>6</v>
      </c>
      <c r="AW5" s="996">
        <v>7</v>
      </c>
      <c r="AX5" s="2292"/>
      <c r="AY5" s="997"/>
      <c r="AZ5" s="2292"/>
      <c r="BA5" s="2292"/>
      <c r="BB5" s="2295"/>
      <c r="BC5"/>
      <c r="BD5" s="2288"/>
      <c r="BE5" s="996">
        <v>3</v>
      </c>
      <c r="BF5" s="996">
        <v>4</v>
      </c>
      <c r="BG5" s="996">
        <v>5</v>
      </c>
      <c r="BH5" s="996">
        <v>6</v>
      </c>
      <c r="BI5" s="996">
        <v>7</v>
      </c>
      <c r="BJ5" s="996">
        <v>8</v>
      </c>
      <c r="BK5" s="2292"/>
      <c r="BL5" s="997"/>
      <c r="BM5" s="2292"/>
      <c r="BN5" s="2292"/>
      <c r="BO5" s="2295"/>
      <c r="BP5"/>
      <c r="BQ5" s="2288"/>
      <c r="BR5" s="996">
        <v>3</v>
      </c>
      <c r="BS5" s="996">
        <v>4</v>
      </c>
      <c r="BT5" s="996">
        <v>5</v>
      </c>
      <c r="BU5" s="996">
        <v>6</v>
      </c>
      <c r="BV5" s="996">
        <v>7</v>
      </c>
      <c r="BW5" s="996">
        <v>8</v>
      </c>
      <c r="BX5" s="996">
        <v>9</v>
      </c>
      <c r="BY5" s="2292"/>
      <c r="BZ5" s="997"/>
      <c r="CA5" s="2292"/>
      <c r="CB5" s="2292"/>
      <c r="CC5" s="2295"/>
      <c r="CD5"/>
      <c r="CE5" s="2288"/>
      <c r="CF5" s="996">
        <v>3</v>
      </c>
      <c r="CG5" s="996">
        <v>4</v>
      </c>
      <c r="CH5" s="996">
        <v>5</v>
      </c>
      <c r="CI5" s="996">
        <v>6</v>
      </c>
      <c r="CJ5" s="996">
        <v>7</v>
      </c>
      <c r="CK5" s="996">
        <v>8</v>
      </c>
      <c r="CL5" s="996">
        <v>9</v>
      </c>
      <c r="CM5" s="996">
        <v>10</v>
      </c>
      <c r="CN5" s="2292"/>
      <c r="CO5" s="997"/>
      <c r="CP5" s="2292"/>
      <c r="CQ5" s="2292"/>
      <c r="CR5" s="2295"/>
    </row>
    <row r="6" spans="1:96" outlineLevel="1" x14ac:dyDescent="0.2">
      <c r="A6"/>
      <c r="B6" s="998">
        <v>3</v>
      </c>
      <c r="C6" s="999">
        <v>1</v>
      </c>
      <c r="D6" s="999"/>
      <c r="E6" s="999"/>
      <c r="F6" s="999">
        <f t="shared" ref="F6:F69" si="0">SUM(C6:E6)</f>
        <v>1</v>
      </c>
      <c r="G6" s="1000"/>
      <c r="H6" s="999">
        <v>0</v>
      </c>
      <c r="I6" s="999">
        <v>0</v>
      </c>
      <c r="J6" s="1001">
        <v>2</v>
      </c>
      <c r="K6" s="1"/>
      <c r="L6"/>
      <c r="M6" s="998">
        <v>3</v>
      </c>
      <c r="N6" s="999">
        <v>1</v>
      </c>
      <c r="O6" s="999"/>
      <c r="P6" s="999"/>
      <c r="Q6" s="999">
        <f t="shared" ref="Q6:Q69" si="1">SUM(N6:P6)</f>
        <v>1</v>
      </c>
      <c r="R6" s="1000"/>
      <c r="S6" s="999">
        <v>0</v>
      </c>
      <c r="T6" s="999">
        <v>0</v>
      </c>
      <c r="U6" s="1001">
        <v>2</v>
      </c>
      <c r="V6"/>
      <c r="W6" s="998">
        <v>3</v>
      </c>
      <c r="X6" s="999">
        <v>1</v>
      </c>
      <c r="Y6" s="999"/>
      <c r="Z6" s="999"/>
      <c r="AA6" s="999">
        <f t="shared" ref="AA6:AA13" si="2">SUM(X6:Z6)</f>
        <v>1</v>
      </c>
      <c r="AB6" s="1000"/>
      <c r="AC6" s="999">
        <v>0</v>
      </c>
      <c r="AD6" s="999">
        <v>0</v>
      </c>
      <c r="AE6" s="1001">
        <v>2</v>
      </c>
      <c r="AF6"/>
      <c r="AG6" s="998">
        <v>3</v>
      </c>
      <c r="AH6" s="999">
        <v>1</v>
      </c>
      <c r="AI6" s="999"/>
      <c r="AJ6" s="999"/>
      <c r="AK6" s="999"/>
      <c r="AL6" s="999">
        <f t="shared" ref="AL6:AL37" si="3">SUM(AH6:AK6)</f>
        <v>1</v>
      </c>
      <c r="AM6" s="1000"/>
      <c r="AN6" s="999">
        <v>0</v>
      </c>
      <c r="AO6" s="999">
        <v>0</v>
      </c>
      <c r="AP6" s="1001">
        <v>2</v>
      </c>
      <c r="AQ6"/>
      <c r="AR6" s="998">
        <v>3</v>
      </c>
      <c r="AS6" s="999">
        <v>1</v>
      </c>
      <c r="AT6" s="999"/>
      <c r="AU6" s="999"/>
      <c r="AV6" s="999"/>
      <c r="AW6" s="999"/>
      <c r="AX6" s="999">
        <f t="shared" ref="AX6:AX37" si="4">SUM(AS6:AW6)</f>
        <v>1</v>
      </c>
      <c r="AY6" s="1000"/>
      <c r="AZ6" s="999">
        <v>0</v>
      </c>
      <c r="BA6" s="999">
        <v>0</v>
      </c>
      <c r="BB6" s="1001">
        <v>2</v>
      </c>
      <c r="BC6"/>
      <c r="BD6" s="998">
        <v>3</v>
      </c>
      <c r="BE6" s="999">
        <v>1</v>
      </c>
      <c r="BF6" s="999"/>
      <c r="BG6" s="999"/>
      <c r="BH6" s="999"/>
      <c r="BI6" s="999"/>
      <c r="BJ6" s="999"/>
      <c r="BK6" s="999">
        <f t="shared" ref="BK6:BK37" si="5">SUM(BE6:BJ6)</f>
        <v>1</v>
      </c>
      <c r="BL6" s="1000"/>
      <c r="BM6" s="999">
        <v>0</v>
      </c>
      <c r="BN6" s="999">
        <v>0</v>
      </c>
      <c r="BO6" s="1001">
        <v>2</v>
      </c>
      <c r="BP6"/>
      <c r="BQ6" s="998">
        <v>3</v>
      </c>
      <c r="BR6" s="999">
        <v>1</v>
      </c>
      <c r="BS6" s="999"/>
      <c r="BT6" s="999"/>
      <c r="BU6" s="999"/>
      <c r="BV6" s="999"/>
      <c r="BW6" s="999"/>
      <c r="BX6" s="999"/>
      <c r="BY6" s="999">
        <f t="shared" ref="BY6:BY37" si="6">SUM(BR6:BX6)</f>
        <v>1</v>
      </c>
      <c r="BZ6" s="1000"/>
      <c r="CA6" s="999">
        <v>0</v>
      </c>
      <c r="CB6" s="999">
        <v>0</v>
      </c>
      <c r="CC6" s="1001">
        <v>2</v>
      </c>
      <c r="CD6"/>
      <c r="CE6" s="998">
        <v>3</v>
      </c>
      <c r="CF6" s="999">
        <v>1</v>
      </c>
      <c r="CG6" s="999"/>
      <c r="CH6" s="999"/>
      <c r="CI6" s="999"/>
      <c r="CJ6" s="999"/>
      <c r="CK6" s="999"/>
      <c r="CL6" s="999"/>
      <c r="CM6" s="999"/>
      <c r="CN6" s="999">
        <f t="shared" ref="CN6:CN37" si="7">SUM(CF6:CM6)</f>
        <v>1</v>
      </c>
      <c r="CO6" s="1000"/>
      <c r="CP6" s="999">
        <v>0</v>
      </c>
      <c r="CQ6" s="999">
        <v>0</v>
      </c>
      <c r="CR6" s="1001">
        <v>2</v>
      </c>
    </row>
    <row r="7" spans="1:96" outlineLevel="1" x14ac:dyDescent="0.2">
      <c r="A7"/>
      <c r="B7" s="1002">
        <v>4</v>
      </c>
      <c r="C7" s="1003"/>
      <c r="D7" s="1003">
        <v>1</v>
      </c>
      <c r="E7" s="1003"/>
      <c r="F7" s="1003">
        <f t="shared" si="0"/>
        <v>1</v>
      </c>
      <c r="G7" s="1004"/>
      <c r="H7" s="1003">
        <v>0</v>
      </c>
      <c r="I7" s="1003">
        <v>0</v>
      </c>
      <c r="J7" s="1005">
        <v>2</v>
      </c>
      <c r="K7" s="1"/>
      <c r="L7"/>
      <c r="M7" s="1002">
        <v>4</v>
      </c>
      <c r="N7" s="1003"/>
      <c r="O7" s="1003">
        <v>1</v>
      </c>
      <c r="P7" s="1003"/>
      <c r="Q7" s="1003">
        <f t="shared" si="1"/>
        <v>1</v>
      </c>
      <c r="R7" s="1004"/>
      <c r="S7" s="1003">
        <v>0</v>
      </c>
      <c r="T7" s="1003">
        <v>0</v>
      </c>
      <c r="U7" s="1005">
        <v>2</v>
      </c>
      <c r="V7"/>
      <c r="W7" s="1002">
        <v>4</v>
      </c>
      <c r="X7" s="1003"/>
      <c r="Y7" s="1003">
        <v>1</v>
      </c>
      <c r="Z7" s="1003"/>
      <c r="AA7" s="1003">
        <f t="shared" si="2"/>
        <v>1</v>
      </c>
      <c r="AB7" s="1004"/>
      <c r="AC7" s="1003">
        <v>0</v>
      </c>
      <c r="AD7" s="1003">
        <v>0</v>
      </c>
      <c r="AE7" s="1005">
        <v>2</v>
      </c>
      <c r="AF7"/>
      <c r="AG7" s="1002">
        <v>4</v>
      </c>
      <c r="AH7" s="1003"/>
      <c r="AI7" s="1003">
        <v>1</v>
      </c>
      <c r="AJ7" s="1003"/>
      <c r="AK7" s="1003"/>
      <c r="AL7" s="1003">
        <f t="shared" si="3"/>
        <v>1</v>
      </c>
      <c r="AM7" s="1004"/>
      <c r="AN7" s="1003">
        <v>0</v>
      </c>
      <c r="AO7" s="1003">
        <v>0</v>
      </c>
      <c r="AP7" s="1005">
        <v>2</v>
      </c>
      <c r="AQ7"/>
      <c r="AR7" s="1002">
        <v>4</v>
      </c>
      <c r="AS7" s="1003"/>
      <c r="AT7" s="1003">
        <v>1</v>
      </c>
      <c r="AU7" s="1003"/>
      <c r="AV7" s="1003"/>
      <c r="AW7" s="1003"/>
      <c r="AX7" s="1003">
        <f t="shared" si="4"/>
        <v>1</v>
      </c>
      <c r="AY7" s="1004"/>
      <c r="AZ7" s="1003">
        <v>0</v>
      </c>
      <c r="BA7" s="1003">
        <v>0</v>
      </c>
      <c r="BB7" s="1005">
        <v>2</v>
      </c>
      <c r="BC7"/>
      <c r="BD7" s="1002">
        <v>4</v>
      </c>
      <c r="BE7" s="1003"/>
      <c r="BF7" s="1003">
        <v>1</v>
      </c>
      <c r="BG7" s="1003"/>
      <c r="BH7" s="1003"/>
      <c r="BI7" s="1003"/>
      <c r="BJ7" s="1003"/>
      <c r="BK7" s="1003">
        <f t="shared" si="5"/>
        <v>1</v>
      </c>
      <c r="BL7" s="1004"/>
      <c r="BM7" s="1003">
        <v>0</v>
      </c>
      <c r="BN7" s="1003">
        <v>0</v>
      </c>
      <c r="BO7" s="1005">
        <v>2</v>
      </c>
      <c r="BP7"/>
      <c r="BQ7" s="1002">
        <v>4</v>
      </c>
      <c r="BR7" s="1003"/>
      <c r="BS7" s="1003">
        <v>1</v>
      </c>
      <c r="BT7" s="1003"/>
      <c r="BU7" s="1003"/>
      <c r="BV7" s="1003"/>
      <c r="BW7" s="1003"/>
      <c r="BX7" s="1003"/>
      <c r="BY7" s="1003">
        <f t="shared" si="6"/>
        <v>1</v>
      </c>
      <c r="BZ7" s="1004"/>
      <c r="CA7" s="1003">
        <v>0</v>
      </c>
      <c r="CB7" s="1003">
        <v>0</v>
      </c>
      <c r="CC7" s="1005">
        <v>2</v>
      </c>
      <c r="CD7"/>
      <c r="CE7" s="1002">
        <v>4</v>
      </c>
      <c r="CF7" s="1003"/>
      <c r="CG7" s="1003">
        <v>1</v>
      </c>
      <c r="CH7" s="1003"/>
      <c r="CI7" s="1003"/>
      <c r="CJ7" s="1003"/>
      <c r="CK7" s="1003"/>
      <c r="CL7" s="1003"/>
      <c r="CM7" s="1003"/>
      <c r="CN7" s="1003">
        <f t="shared" si="7"/>
        <v>1</v>
      </c>
      <c r="CO7" s="1004"/>
      <c r="CP7" s="1003">
        <v>0</v>
      </c>
      <c r="CQ7" s="1003">
        <v>0</v>
      </c>
      <c r="CR7" s="1005">
        <v>2</v>
      </c>
    </row>
    <row r="8" spans="1:96" outlineLevel="1" x14ac:dyDescent="0.2">
      <c r="A8"/>
      <c r="B8" s="1002">
        <v>5</v>
      </c>
      <c r="C8" s="1003"/>
      <c r="D8" s="1003"/>
      <c r="E8" s="1003">
        <v>1</v>
      </c>
      <c r="F8" s="1003">
        <f t="shared" si="0"/>
        <v>1</v>
      </c>
      <c r="G8" s="1004"/>
      <c r="H8" s="1003">
        <v>0</v>
      </c>
      <c r="I8" s="1003">
        <v>0</v>
      </c>
      <c r="J8" s="1005">
        <v>2</v>
      </c>
      <c r="K8" s="1"/>
      <c r="L8"/>
      <c r="M8" s="1002">
        <v>5</v>
      </c>
      <c r="N8" s="1003"/>
      <c r="O8" s="1003"/>
      <c r="P8" s="1003">
        <v>1</v>
      </c>
      <c r="Q8" s="1003">
        <f t="shared" si="1"/>
        <v>1</v>
      </c>
      <c r="R8" s="1004"/>
      <c r="S8" s="1003">
        <v>0</v>
      </c>
      <c r="T8" s="1003">
        <v>0</v>
      </c>
      <c r="U8" s="1005">
        <v>2</v>
      </c>
      <c r="V8"/>
      <c r="W8" s="1002">
        <v>5</v>
      </c>
      <c r="X8" s="1003"/>
      <c r="Y8" s="1003"/>
      <c r="Z8" s="1003">
        <v>1</v>
      </c>
      <c r="AA8" s="1003">
        <f t="shared" si="2"/>
        <v>1</v>
      </c>
      <c r="AB8" s="1004"/>
      <c r="AC8" s="1003">
        <v>0</v>
      </c>
      <c r="AD8" s="1003">
        <v>0</v>
      </c>
      <c r="AE8" s="1005">
        <v>2</v>
      </c>
      <c r="AF8"/>
      <c r="AG8" s="1002">
        <v>5</v>
      </c>
      <c r="AH8" s="1003"/>
      <c r="AI8" s="1003"/>
      <c r="AJ8" s="1003">
        <v>1</v>
      </c>
      <c r="AK8" s="1003"/>
      <c r="AL8" s="1003">
        <f t="shared" si="3"/>
        <v>1</v>
      </c>
      <c r="AM8" s="1004"/>
      <c r="AN8" s="1003">
        <v>0</v>
      </c>
      <c r="AO8" s="1003">
        <v>0</v>
      </c>
      <c r="AP8" s="1005">
        <v>2</v>
      </c>
      <c r="AQ8"/>
      <c r="AR8" s="1002">
        <v>5</v>
      </c>
      <c r="AS8" s="1003"/>
      <c r="AT8" s="1003"/>
      <c r="AU8" s="1003">
        <v>1</v>
      </c>
      <c r="AV8" s="1003"/>
      <c r="AW8" s="1003"/>
      <c r="AX8" s="1003">
        <f t="shared" si="4"/>
        <v>1</v>
      </c>
      <c r="AY8" s="1004"/>
      <c r="AZ8" s="1003">
        <v>0</v>
      </c>
      <c r="BA8" s="1003">
        <v>0</v>
      </c>
      <c r="BB8" s="1005">
        <v>2</v>
      </c>
      <c r="BC8"/>
      <c r="BD8" s="1002">
        <v>5</v>
      </c>
      <c r="BE8" s="1003"/>
      <c r="BF8" s="1003"/>
      <c r="BG8" s="1003">
        <v>1</v>
      </c>
      <c r="BH8" s="1003"/>
      <c r="BI8" s="1003"/>
      <c r="BJ8" s="1003"/>
      <c r="BK8" s="1003">
        <f t="shared" si="5"/>
        <v>1</v>
      </c>
      <c r="BL8" s="1004"/>
      <c r="BM8" s="1003">
        <v>0</v>
      </c>
      <c r="BN8" s="1003">
        <v>0</v>
      </c>
      <c r="BO8" s="1005">
        <v>2</v>
      </c>
      <c r="BP8"/>
      <c r="BQ8" s="1002">
        <v>5</v>
      </c>
      <c r="BR8" s="1003"/>
      <c r="BS8" s="1003"/>
      <c r="BT8" s="1003">
        <v>1</v>
      </c>
      <c r="BU8" s="1003"/>
      <c r="BV8" s="1003"/>
      <c r="BW8" s="1003"/>
      <c r="BX8" s="1003"/>
      <c r="BY8" s="1003">
        <f t="shared" si="6"/>
        <v>1</v>
      </c>
      <c r="BZ8" s="1004"/>
      <c r="CA8" s="1003">
        <v>0</v>
      </c>
      <c r="CB8" s="1003">
        <v>0</v>
      </c>
      <c r="CC8" s="1005">
        <v>2</v>
      </c>
      <c r="CD8"/>
      <c r="CE8" s="1002">
        <v>5</v>
      </c>
      <c r="CF8" s="1003"/>
      <c r="CG8" s="1003"/>
      <c r="CH8" s="1003">
        <v>1</v>
      </c>
      <c r="CI8" s="1003"/>
      <c r="CJ8" s="1003"/>
      <c r="CK8" s="1003"/>
      <c r="CL8" s="1003"/>
      <c r="CM8" s="1003"/>
      <c r="CN8" s="1003">
        <f t="shared" si="7"/>
        <v>1</v>
      </c>
      <c r="CO8" s="1004"/>
      <c r="CP8" s="1003">
        <v>0</v>
      </c>
      <c r="CQ8" s="1003">
        <v>0</v>
      </c>
      <c r="CR8" s="1005">
        <v>2</v>
      </c>
    </row>
    <row r="9" spans="1:96" outlineLevel="1" x14ac:dyDescent="0.2">
      <c r="A9"/>
      <c r="B9" s="1002">
        <v>6</v>
      </c>
      <c r="C9" s="1003">
        <v>2</v>
      </c>
      <c r="D9" s="1003">
        <v>0</v>
      </c>
      <c r="E9" s="1003"/>
      <c r="F9" s="1003">
        <f t="shared" si="0"/>
        <v>2</v>
      </c>
      <c r="G9" s="1004"/>
      <c r="H9" s="1003">
        <v>0</v>
      </c>
      <c r="I9" s="1003">
        <v>0</v>
      </c>
      <c r="J9" s="1005">
        <v>4</v>
      </c>
      <c r="K9" s="1"/>
      <c r="L9"/>
      <c r="M9" s="1002">
        <v>6</v>
      </c>
      <c r="N9" s="1003">
        <v>2</v>
      </c>
      <c r="O9" s="1003">
        <v>0</v>
      </c>
      <c r="P9" s="1003"/>
      <c r="Q9" s="1003">
        <f t="shared" si="1"/>
        <v>2</v>
      </c>
      <c r="R9" s="1004"/>
      <c r="S9" s="1003">
        <v>0</v>
      </c>
      <c r="T9" s="1003">
        <v>0</v>
      </c>
      <c r="U9" s="1005">
        <v>4</v>
      </c>
      <c r="V9"/>
      <c r="W9" s="1002">
        <v>6</v>
      </c>
      <c r="X9" s="1003">
        <v>2</v>
      </c>
      <c r="Y9" s="1003"/>
      <c r="Z9" s="1003"/>
      <c r="AA9" s="1003">
        <f t="shared" si="2"/>
        <v>2</v>
      </c>
      <c r="AB9" s="1004"/>
      <c r="AC9" s="1003">
        <v>0</v>
      </c>
      <c r="AD9" s="1003">
        <v>0</v>
      </c>
      <c r="AE9" s="1005">
        <v>4</v>
      </c>
      <c r="AF9"/>
      <c r="AG9" s="1002">
        <v>6</v>
      </c>
      <c r="AH9" s="1003"/>
      <c r="AI9" s="1003"/>
      <c r="AJ9" s="1003"/>
      <c r="AK9" s="1003">
        <v>1</v>
      </c>
      <c r="AL9" s="1003">
        <f t="shared" si="3"/>
        <v>1</v>
      </c>
      <c r="AM9" s="1004"/>
      <c r="AN9" s="1003">
        <v>0</v>
      </c>
      <c r="AO9" s="1003">
        <v>0</v>
      </c>
      <c r="AP9" s="1005">
        <v>2</v>
      </c>
      <c r="AQ9"/>
      <c r="AR9" s="1002">
        <v>6</v>
      </c>
      <c r="AS9" s="1003"/>
      <c r="AT9" s="1003"/>
      <c r="AU9" s="1003"/>
      <c r="AV9" s="1003">
        <v>1</v>
      </c>
      <c r="AW9" s="1003"/>
      <c r="AX9" s="1003">
        <f t="shared" si="4"/>
        <v>1</v>
      </c>
      <c r="AY9" s="1004"/>
      <c r="AZ9" s="1003">
        <v>0</v>
      </c>
      <c r="BA9" s="1003">
        <v>0</v>
      </c>
      <c r="BB9" s="1005">
        <v>2</v>
      </c>
      <c r="BC9"/>
      <c r="BD9" s="1002">
        <v>6</v>
      </c>
      <c r="BE9" s="1003"/>
      <c r="BF9" s="1003"/>
      <c r="BG9" s="1003"/>
      <c r="BH9" s="1003">
        <v>1</v>
      </c>
      <c r="BI9" s="1003"/>
      <c r="BJ9" s="1003"/>
      <c r="BK9" s="1003">
        <f t="shared" si="5"/>
        <v>1</v>
      </c>
      <c r="BL9" s="1004"/>
      <c r="BM9" s="1003">
        <v>0</v>
      </c>
      <c r="BN9" s="1003">
        <v>0</v>
      </c>
      <c r="BO9" s="1005">
        <v>2</v>
      </c>
      <c r="BP9"/>
      <c r="BQ9" s="1002">
        <v>6</v>
      </c>
      <c r="BR9" s="1003"/>
      <c r="BS9" s="1003"/>
      <c r="BT9" s="1003"/>
      <c r="BU9" s="1003">
        <v>1</v>
      </c>
      <c r="BV9" s="1003"/>
      <c r="BW9" s="1003"/>
      <c r="BX9" s="1003"/>
      <c r="BY9" s="1003">
        <f t="shared" si="6"/>
        <v>1</v>
      </c>
      <c r="BZ9" s="1004"/>
      <c r="CA9" s="1003">
        <v>0</v>
      </c>
      <c r="CB9" s="1003">
        <v>0</v>
      </c>
      <c r="CC9" s="1005">
        <v>2</v>
      </c>
      <c r="CD9"/>
      <c r="CE9" s="1002">
        <v>6</v>
      </c>
      <c r="CF9" s="1003"/>
      <c r="CG9" s="1003"/>
      <c r="CH9" s="1003"/>
      <c r="CI9" s="1003">
        <v>1</v>
      </c>
      <c r="CJ9" s="1003"/>
      <c r="CK9" s="1003"/>
      <c r="CL9" s="1003"/>
      <c r="CM9" s="1003"/>
      <c r="CN9" s="1003">
        <f t="shared" si="7"/>
        <v>1</v>
      </c>
      <c r="CO9" s="1004"/>
      <c r="CP9" s="1003">
        <v>0</v>
      </c>
      <c r="CQ9" s="1003">
        <v>0</v>
      </c>
      <c r="CR9" s="1005">
        <v>2</v>
      </c>
    </row>
    <row r="10" spans="1:96" outlineLevel="1" x14ac:dyDescent="0.2">
      <c r="A10"/>
      <c r="B10" s="1002">
        <v>7</v>
      </c>
      <c r="C10" s="1003">
        <v>1</v>
      </c>
      <c r="D10" s="1003">
        <v>1</v>
      </c>
      <c r="E10" s="1003"/>
      <c r="F10" s="1003">
        <f t="shared" si="0"/>
        <v>2</v>
      </c>
      <c r="G10" s="1004"/>
      <c r="H10" s="1003">
        <v>0</v>
      </c>
      <c r="I10" s="1003">
        <v>0</v>
      </c>
      <c r="J10" s="1005">
        <v>4</v>
      </c>
      <c r="K10" s="1"/>
      <c r="L10"/>
      <c r="M10" s="1002">
        <v>7</v>
      </c>
      <c r="N10" s="1003">
        <v>1</v>
      </c>
      <c r="O10" s="1003">
        <v>1</v>
      </c>
      <c r="P10" s="1003"/>
      <c r="Q10" s="1003">
        <f t="shared" si="1"/>
        <v>2</v>
      </c>
      <c r="R10" s="1004"/>
      <c r="S10" s="1003">
        <v>0</v>
      </c>
      <c r="T10" s="1003">
        <v>0</v>
      </c>
      <c r="U10" s="1005">
        <v>4</v>
      </c>
      <c r="V10"/>
      <c r="W10" s="1002">
        <v>7</v>
      </c>
      <c r="X10" s="1003">
        <v>1</v>
      </c>
      <c r="Y10" s="1003">
        <v>1</v>
      </c>
      <c r="Z10" s="1003"/>
      <c r="AA10" s="1003">
        <f t="shared" si="2"/>
        <v>2</v>
      </c>
      <c r="AB10" s="1004"/>
      <c r="AC10" s="1003">
        <v>0</v>
      </c>
      <c r="AD10" s="1003">
        <v>0</v>
      </c>
      <c r="AE10" s="1005">
        <v>4</v>
      </c>
      <c r="AF10"/>
      <c r="AG10" s="1002">
        <v>7</v>
      </c>
      <c r="AH10" s="1003">
        <v>1</v>
      </c>
      <c r="AI10" s="1003">
        <v>1</v>
      </c>
      <c r="AJ10" s="1003"/>
      <c r="AK10" s="1003"/>
      <c r="AL10" s="1003">
        <f t="shared" si="3"/>
        <v>2</v>
      </c>
      <c r="AM10" s="1004"/>
      <c r="AN10" s="1003">
        <v>0</v>
      </c>
      <c r="AO10" s="1003">
        <v>0</v>
      </c>
      <c r="AP10" s="1005">
        <v>4</v>
      </c>
      <c r="AQ10"/>
      <c r="AR10" s="1002">
        <v>7</v>
      </c>
      <c r="AS10" s="1003"/>
      <c r="AT10" s="1003"/>
      <c r="AU10" s="1003"/>
      <c r="AV10" s="1003"/>
      <c r="AW10" s="1003">
        <v>1</v>
      </c>
      <c r="AX10" s="1003">
        <f t="shared" si="4"/>
        <v>1</v>
      </c>
      <c r="AY10" s="1004"/>
      <c r="AZ10" s="1003">
        <v>0</v>
      </c>
      <c r="BA10" s="1003">
        <v>0</v>
      </c>
      <c r="BB10" s="1005">
        <v>2</v>
      </c>
      <c r="BC10"/>
      <c r="BD10" s="1002">
        <v>7</v>
      </c>
      <c r="BE10" s="1003"/>
      <c r="BF10" s="1003"/>
      <c r="BG10" s="1003"/>
      <c r="BH10" s="1003"/>
      <c r="BI10" s="1003">
        <v>1</v>
      </c>
      <c r="BJ10" s="1003"/>
      <c r="BK10" s="1003">
        <f t="shared" si="5"/>
        <v>1</v>
      </c>
      <c r="BL10" s="1004"/>
      <c r="BM10" s="1003">
        <v>0</v>
      </c>
      <c r="BN10" s="1003">
        <v>0</v>
      </c>
      <c r="BO10" s="1005">
        <v>2</v>
      </c>
      <c r="BP10"/>
      <c r="BQ10" s="1002">
        <v>7</v>
      </c>
      <c r="BR10" s="1003"/>
      <c r="BS10" s="1003"/>
      <c r="BT10" s="1003"/>
      <c r="BU10" s="1003"/>
      <c r="BV10" s="1003">
        <v>1</v>
      </c>
      <c r="BW10" s="1003"/>
      <c r="BX10" s="1003"/>
      <c r="BY10" s="1003">
        <f t="shared" si="6"/>
        <v>1</v>
      </c>
      <c r="BZ10" s="1004"/>
      <c r="CA10" s="1003">
        <v>0</v>
      </c>
      <c r="CB10" s="1003">
        <v>0</v>
      </c>
      <c r="CC10" s="1005">
        <v>2</v>
      </c>
      <c r="CD10"/>
      <c r="CE10" s="1002">
        <v>7</v>
      </c>
      <c r="CF10" s="1003"/>
      <c r="CG10" s="1003"/>
      <c r="CH10" s="1003"/>
      <c r="CI10" s="1003"/>
      <c r="CJ10" s="1003">
        <v>1</v>
      </c>
      <c r="CK10" s="1003"/>
      <c r="CL10" s="1003"/>
      <c r="CM10" s="1003"/>
      <c r="CN10" s="1003">
        <f t="shared" si="7"/>
        <v>1</v>
      </c>
      <c r="CO10" s="1004"/>
      <c r="CP10" s="1003">
        <v>0</v>
      </c>
      <c r="CQ10" s="1003">
        <v>0</v>
      </c>
      <c r="CR10" s="1005">
        <v>2</v>
      </c>
    </row>
    <row r="11" spans="1:96" outlineLevel="1" x14ac:dyDescent="0.2">
      <c r="A11"/>
      <c r="B11" s="1002">
        <v>8</v>
      </c>
      <c r="C11" s="1003">
        <v>0</v>
      </c>
      <c r="D11" s="1003">
        <v>2</v>
      </c>
      <c r="E11" s="1003"/>
      <c r="F11" s="1003">
        <f t="shared" si="0"/>
        <v>2</v>
      </c>
      <c r="G11" s="1004"/>
      <c r="H11" s="1003">
        <v>0</v>
      </c>
      <c r="I11" s="1003">
        <v>0</v>
      </c>
      <c r="J11" s="1005">
        <v>4</v>
      </c>
      <c r="K11" s="1"/>
      <c r="L11"/>
      <c r="M11" s="1002">
        <v>8</v>
      </c>
      <c r="N11" s="1003">
        <v>0</v>
      </c>
      <c r="O11" s="1003">
        <v>2</v>
      </c>
      <c r="P11" s="1003"/>
      <c r="Q11" s="1003">
        <f t="shared" si="1"/>
        <v>2</v>
      </c>
      <c r="R11" s="1004"/>
      <c r="S11" s="1003">
        <v>0</v>
      </c>
      <c r="T11" s="1003">
        <v>0</v>
      </c>
      <c r="U11" s="1005">
        <v>4</v>
      </c>
      <c r="V11"/>
      <c r="W11" s="1002">
        <v>8</v>
      </c>
      <c r="X11" s="1003"/>
      <c r="Y11" s="1003">
        <v>2</v>
      </c>
      <c r="Z11" s="1003"/>
      <c r="AA11" s="1003">
        <f t="shared" si="2"/>
        <v>2</v>
      </c>
      <c r="AB11" s="1004"/>
      <c r="AC11" s="1003">
        <v>0</v>
      </c>
      <c r="AD11" s="1003">
        <v>0</v>
      </c>
      <c r="AE11" s="1005">
        <v>4</v>
      </c>
      <c r="AF11"/>
      <c r="AG11" s="1002">
        <v>8</v>
      </c>
      <c r="AH11" s="1003"/>
      <c r="AI11" s="1003">
        <v>2</v>
      </c>
      <c r="AJ11" s="1003"/>
      <c r="AK11" s="1003"/>
      <c r="AL11" s="1003">
        <f t="shared" si="3"/>
        <v>2</v>
      </c>
      <c r="AM11" s="1004"/>
      <c r="AN11" s="1003">
        <v>0</v>
      </c>
      <c r="AO11" s="1003">
        <v>0</v>
      </c>
      <c r="AP11" s="1005">
        <v>4</v>
      </c>
      <c r="AQ11"/>
      <c r="AR11" s="1002">
        <v>8</v>
      </c>
      <c r="AS11" s="1003"/>
      <c r="AT11" s="1003">
        <v>2</v>
      </c>
      <c r="AU11" s="1003"/>
      <c r="AV11" s="1003"/>
      <c r="AW11" s="1003"/>
      <c r="AX11" s="1003">
        <f t="shared" si="4"/>
        <v>2</v>
      </c>
      <c r="AY11" s="1004"/>
      <c r="AZ11" s="1003">
        <v>0</v>
      </c>
      <c r="BA11" s="1003">
        <v>0</v>
      </c>
      <c r="BB11" s="1005">
        <v>4</v>
      </c>
      <c r="BC11"/>
      <c r="BD11" s="1002">
        <v>8</v>
      </c>
      <c r="BE11" s="1003"/>
      <c r="BF11" s="1003"/>
      <c r="BG11" s="1003"/>
      <c r="BH11" s="1003"/>
      <c r="BI11" s="1003"/>
      <c r="BJ11" s="1003">
        <v>1</v>
      </c>
      <c r="BK11" s="1003">
        <f t="shared" si="5"/>
        <v>1</v>
      </c>
      <c r="BL11" s="1004"/>
      <c r="BM11" s="1003">
        <v>0</v>
      </c>
      <c r="BN11" s="1003">
        <v>0</v>
      </c>
      <c r="BO11" s="1005">
        <v>2</v>
      </c>
      <c r="BP11"/>
      <c r="BQ11" s="1002">
        <v>8</v>
      </c>
      <c r="BR11" s="1003"/>
      <c r="BS11" s="1003"/>
      <c r="BT11" s="1003"/>
      <c r="BU11" s="1003"/>
      <c r="BV11" s="1003"/>
      <c r="BW11" s="1003">
        <v>1</v>
      </c>
      <c r="BX11" s="1003"/>
      <c r="BY11" s="1003">
        <f t="shared" si="6"/>
        <v>1</v>
      </c>
      <c r="BZ11" s="1004"/>
      <c r="CA11" s="1003">
        <v>0</v>
      </c>
      <c r="CB11" s="1003">
        <v>0</v>
      </c>
      <c r="CC11" s="1005">
        <v>2</v>
      </c>
      <c r="CD11"/>
      <c r="CE11" s="1002">
        <v>8</v>
      </c>
      <c r="CF11" s="1003"/>
      <c r="CG11" s="1003"/>
      <c r="CH11" s="1003"/>
      <c r="CI11" s="1003"/>
      <c r="CJ11" s="1003"/>
      <c r="CK11" s="1003">
        <v>1</v>
      </c>
      <c r="CL11" s="1003"/>
      <c r="CM11" s="1003"/>
      <c r="CN11" s="1003">
        <f t="shared" si="7"/>
        <v>1</v>
      </c>
      <c r="CO11" s="1004"/>
      <c r="CP11" s="1003">
        <v>0</v>
      </c>
      <c r="CQ11" s="1003">
        <v>0</v>
      </c>
      <c r="CR11" s="1005">
        <v>2</v>
      </c>
    </row>
    <row r="12" spans="1:96" outlineLevel="1" x14ac:dyDescent="0.2">
      <c r="A12"/>
      <c r="B12" s="1002">
        <v>9</v>
      </c>
      <c r="C12" s="1003">
        <v>3</v>
      </c>
      <c r="D12" s="1003">
        <v>0</v>
      </c>
      <c r="E12" s="1003"/>
      <c r="F12" s="1003">
        <f t="shared" si="0"/>
        <v>3</v>
      </c>
      <c r="G12" s="1004"/>
      <c r="H12" s="1003">
        <v>0</v>
      </c>
      <c r="I12" s="1003">
        <v>2</v>
      </c>
      <c r="J12" s="1005">
        <v>4</v>
      </c>
      <c r="K12" s="1"/>
      <c r="L12"/>
      <c r="M12" s="1002">
        <v>9</v>
      </c>
      <c r="N12" s="1003">
        <v>3</v>
      </c>
      <c r="O12" s="1003">
        <v>0</v>
      </c>
      <c r="P12" s="1003"/>
      <c r="Q12" s="1003">
        <f t="shared" si="1"/>
        <v>3</v>
      </c>
      <c r="R12" s="1004"/>
      <c r="S12" s="1003">
        <v>0</v>
      </c>
      <c r="T12" s="1003">
        <v>2</v>
      </c>
      <c r="U12" s="1005">
        <v>4</v>
      </c>
      <c r="V12"/>
      <c r="W12" s="1002">
        <v>9</v>
      </c>
      <c r="X12" s="1003"/>
      <c r="Y12" s="1003">
        <v>1</v>
      </c>
      <c r="Z12" s="1003">
        <v>1</v>
      </c>
      <c r="AA12" s="1003">
        <f t="shared" si="2"/>
        <v>2</v>
      </c>
      <c r="AB12" s="1004"/>
      <c r="AC12" s="1003">
        <v>0</v>
      </c>
      <c r="AD12" s="1003">
        <v>0</v>
      </c>
      <c r="AE12" s="1005">
        <v>4</v>
      </c>
      <c r="AF12"/>
      <c r="AG12" s="1002">
        <v>9</v>
      </c>
      <c r="AH12" s="1003"/>
      <c r="AI12" s="1003">
        <v>1</v>
      </c>
      <c r="AJ12" s="1003">
        <v>1</v>
      </c>
      <c r="AK12" s="1003"/>
      <c r="AL12" s="1003">
        <f t="shared" si="3"/>
        <v>2</v>
      </c>
      <c r="AM12" s="1004"/>
      <c r="AN12" s="1003">
        <v>0</v>
      </c>
      <c r="AO12" s="1003">
        <v>0</v>
      </c>
      <c r="AP12" s="1005">
        <v>4</v>
      </c>
      <c r="AQ12"/>
      <c r="AR12" s="1002">
        <v>9</v>
      </c>
      <c r="AS12" s="1003"/>
      <c r="AT12" s="1003">
        <v>1</v>
      </c>
      <c r="AU12" s="1003">
        <v>1</v>
      </c>
      <c r="AV12" s="1003"/>
      <c r="AW12" s="1003"/>
      <c r="AX12" s="1003">
        <f t="shared" si="4"/>
        <v>2</v>
      </c>
      <c r="AY12" s="1004"/>
      <c r="AZ12" s="1003">
        <v>0</v>
      </c>
      <c r="BA12" s="1003">
        <v>0</v>
      </c>
      <c r="BB12" s="1005">
        <v>4</v>
      </c>
      <c r="BC12"/>
      <c r="BD12" s="1002">
        <v>9</v>
      </c>
      <c r="BE12" s="1003"/>
      <c r="BF12" s="1003">
        <v>1</v>
      </c>
      <c r="BG12" s="1003">
        <v>1</v>
      </c>
      <c r="BH12" s="1003"/>
      <c r="BI12" s="1003"/>
      <c r="BJ12" s="1003"/>
      <c r="BK12" s="1003">
        <f t="shared" si="5"/>
        <v>2</v>
      </c>
      <c r="BL12" s="1004"/>
      <c r="BM12" s="1003">
        <v>0</v>
      </c>
      <c r="BN12" s="1003">
        <v>0</v>
      </c>
      <c r="BO12" s="1005">
        <v>4</v>
      </c>
      <c r="BP12"/>
      <c r="BQ12" s="1002">
        <v>9</v>
      </c>
      <c r="BR12" s="1003"/>
      <c r="BS12" s="1003"/>
      <c r="BT12" s="1003"/>
      <c r="BU12" s="1003"/>
      <c r="BV12" s="1003"/>
      <c r="BW12" s="1003"/>
      <c r="BX12" s="1003">
        <v>1</v>
      </c>
      <c r="BY12" s="1003">
        <f t="shared" si="6"/>
        <v>1</v>
      </c>
      <c r="BZ12" s="1004"/>
      <c r="CA12" s="1003">
        <v>0</v>
      </c>
      <c r="CB12" s="1003">
        <v>0</v>
      </c>
      <c r="CC12" s="1005">
        <v>2</v>
      </c>
      <c r="CD12"/>
      <c r="CE12" s="1002">
        <v>9</v>
      </c>
      <c r="CF12" s="1003"/>
      <c r="CG12" s="1003"/>
      <c r="CH12" s="1003"/>
      <c r="CI12" s="1003"/>
      <c r="CJ12" s="1003"/>
      <c r="CK12" s="1003"/>
      <c r="CL12" s="1003">
        <v>1</v>
      </c>
      <c r="CM12" s="1003"/>
      <c r="CN12" s="1003">
        <f t="shared" si="7"/>
        <v>1</v>
      </c>
      <c r="CO12" s="1004"/>
      <c r="CP12" s="1003">
        <v>0</v>
      </c>
      <c r="CQ12" s="1003">
        <v>0</v>
      </c>
      <c r="CR12" s="1005">
        <v>2</v>
      </c>
    </row>
    <row r="13" spans="1:96" outlineLevel="1" x14ac:dyDescent="0.2">
      <c r="A13"/>
      <c r="B13" s="1002">
        <v>10</v>
      </c>
      <c r="C13" s="1003">
        <v>2</v>
      </c>
      <c r="D13" s="1003">
        <v>1</v>
      </c>
      <c r="E13" s="1003"/>
      <c r="F13" s="1003">
        <f t="shared" si="0"/>
        <v>3</v>
      </c>
      <c r="G13" s="1004"/>
      <c r="H13" s="1003">
        <v>0</v>
      </c>
      <c r="I13" s="1003">
        <v>2</v>
      </c>
      <c r="J13" s="1005">
        <v>4</v>
      </c>
      <c r="K13" s="1"/>
      <c r="L13"/>
      <c r="M13" s="1002">
        <v>10</v>
      </c>
      <c r="N13" s="1003">
        <v>2</v>
      </c>
      <c r="O13" s="1003">
        <v>1</v>
      </c>
      <c r="P13" s="1003"/>
      <c r="Q13" s="1003">
        <f t="shared" si="1"/>
        <v>3</v>
      </c>
      <c r="R13" s="1004"/>
      <c r="S13" s="1003">
        <v>0</v>
      </c>
      <c r="T13" s="1003">
        <v>2</v>
      </c>
      <c r="U13" s="1005">
        <v>4</v>
      </c>
      <c r="V13"/>
      <c r="W13" s="1002">
        <v>10</v>
      </c>
      <c r="X13" s="1003"/>
      <c r="Y13" s="1003"/>
      <c r="Z13" s="1003">
        <v>2</v>
      </c>
      <c r="AA13" s="1003">
        <f t="shared" si="2"/>
        <v>2</v>
      </c>
      <c r="AB13" s="1004"/>
      <c r="AC13" s="1003">
        <v>0</v>
      </c>
      <c r="AD13" s="1003">
        <v>0</v>
      </c>
      <c r="AE13" s="1005">
        <v>4</v>
      </c>
      <c r="AF13"/>
      <c r="AG13" s="1002">
        <v>10</v>
      </c>
      <c r="AH13" s="1003"/>
      <c r="AI13" s="1003"/>
      <c r="AJ13" s="1003">
        <v>2</v>
      </c>
      <c r="AK13" s="1003"/>
      <c r="AL13" s="1003">
        <f t="shared" si="3"/>
        <v>2</v>
      </c>
      <c r="AM13" s="1004"/>
      <c r="AN13" s="1003">
        <v>0</v>
      </c>
      <c r="AO13" s="1003">
        <v>0</v>
      </c>
      <c r="AP13" s="1005">
        <v>4</v>
      </c>
      <c r="AQ13"/>
      <c r="AR13" s="1002">
        <v>10</v>
      </c>
      <c r="AS13" s="1003"/>
      <c r="AT13" s="1003"/>
      <c r="AU13" s="1003">
        <v>2</v>
      </c>
      <c r="AV13" s="1003"/>
      <c r="AW13" s="1003"/>
      <c r="AX13" s="1003">
        <f t="shared" si="4"/>
        <v>2</v>
      </c>
      <c r="AY13" s="1004"/>
      <c r="AZ13" s="1003">
        <v>0</v>
      </c>
      <c r="BA13" s="1003">
        <v>0</v>
      </c>
      <c r="BB13" s="1005">
        <v>4</v>
      </c>
      <c r="BC13"/>
      <c r="BD13" s="1002">
        <v>10</v>
      </c>
      <c r="BE13" s="1003"/>
      <c r="BF13" s="1003"/>
      <c r="BG13" s="1003">
        <v>2</v>
      </c>
      <c r="BH13" s="1003"/>
      <c r="BI13" s="1003"/>
      <c r="BJ13" s="1003"/>
      <c r="BK13" s="1003">
        <f t="shared" si="5"/>
        <v>2</v>
      </c>
      <c r="BL13" s="1004"/>
      <c r="BM13" s="1003">
        <v>0</v>
      </c>
      <c r="BN13" s="1003">
        <v>0</v>
      </c>
      <c r="BO13" s="1005">
        <v>4</v>
      </c>
      <c r="BP13"/>
      <c r="BQ13" s="1002">
        <v>10</v>
      </c>
      <c r="BR13" s="1003"/>
      <c r="BS13" s="1003"/>
      <c r="BT13" s="1003">
        <v>2</v>
      </c>
      <c r="BU13" s="1003"/>
      <c r="BV13" s="1003"/>
      <c r="BW13" s="1003"/>
      <c r="BX13" s="1003"/>
      <c r="BY13" s="1003">
        <f t="shared" si="6"/>
        <v>2</v>
      </c>
      <c r="BZ13" s="1004"/>
      <c r="CA13" s="1003">
        <v>0</v>
      </c>
      <c r="CB13" s="1003">
        <v>0</v>
      </c>
      <c r="CC13" s="1005">
        <v>4</v>
      </c>
      <c r="CD13"/>
      <c r="CE13" s="1002">
        <v>10</v>
      </c>
      <c r="CF13" s="1003"/>
      <c r="CG13" s="1003"/>
      <c r="CH13" s="1003"/>
      <c r="CI13" s="1003"/>
      <c r="CJ13" s="1003"/>
      <c r="CK13" s="1003"/>
      <c r="CL13" s="1003"/>
      <c r="CM13" s="1003">
        <v>1</v>
      </c>
      <c r="CN13" s="1003">
        <f t="shared" si="7"/>
        <v>1</v>
      </c>
      <c r="CO13" s="1004"/>
      <c r="CP13" s="1003">
        <v>0</v>
      </c>
      <c r="CQ13" s="1003">
        <v>0</v>
      </c>
      <c r="CR13" s="1005">
        <v>2</v>
      </c>
    </row>
    <row r="14" spans="1:96" outlineLevel="1" x14ac:dyDescent="0.2">
      <c r="A14"/>
      <c r="B14" s="1002">
        <v>11</v>
      </c>
      <c r="C14" s="1003">
        <v>1</v>
      </c>
      <c r="D14" s="1003">
        <v>2</v>
      </c>
      <c r="E14" s="1003"/>
      <c r="F14" s="1003">
        <f t="shared" si="0"/>
        <v>3</v>
      </c>
      <c r="G14" s="1004"/>
      <c r="H14" s="1003">
        <v>0</v>
      </c>
      <c r="I14" s="1003">
        <v>2</v>
      </c>
      <c r="J14" s="1005">
        <v>4</v>
      </c>
      <c r="K14" s="1"/>
      <c r="L14"/>
      <c r="M14" s="1002">
        <v>11</v>
      </c>
      <c r="N14" s="1003">
        <v>1</v>
      </c>
      <c r="O14" s="1003">
        <v>2</v>
      </c>
      <c r="P14" s="1003"/>
      <c r="Q14" s="1003">
        <f t="shared" si="1"/>
        <v>3</v>
      </c>
      <c r="R14" s="1004"/>
      <c r="S14" s="1003">
        <v>0</v>
      </c>
      <c r="T14" s="1003">
        <v>2</v>
      </c>
      <c r="U14" s="1005">
        <v>4</v>
      </c>
      <c r="V14"/>
      <c r="W14" s="1002">
        <v>11</v>
      </c>
      <c r="X14" s="1003">
        <v>1</v>
      </c>
      <c r="Y14" s="1003">
        <v>2</v>
      </c>
      <c r="Z14" s="1003"/>
      <c r="AA14" s="1003">
        <f>SUM(X14:Z14)</f>
        <v>3</v>
      </c>
      <c r="AB14" s="1004"/>
      <c r="AC14" s="1003">
        <v>0</v>
      </c>
      <c r="AD14" s="1003">
        <v>2</v>
      </c>
      <c r="AE14" s="1005">
        <v>4</v>
      </c>
      <c r="AF14"/>
      <c r="AG14" s="1002">
        <v>11</v>
      </c>
      <c r="AH14" s="1003"/>
      <c r="AI14" s="1003"/>
      <c r="AJ14" s="1003">
        <v>1</v>
      </c>
      <c r="AK14" s="1003">
        <v>1</v>
      </c>
      <c r="AL14" s="1003">
        <f t="shared" si="3"/>
        <v>2</v>
      </c>
      <c r="AM14" s="1004"/>
      <c r="AN14" s="1003">
        <v>0</v>
      </c>
      <c r="AO14" s="1003">
        <v>0</v>
      </c>
      <c r="AP14" s="1005">
        <v>4</v>
      </c>
      <c r="AQ14"/>
      <c r="AR14" s="1002">
        <v>11</v>
      </c>
      <c r="AS14" s="1003"/>
      <c r="AT14" s="1003"/>
      <c r="AU14" s="1003">
        <v>1</v>
      </c>
      <c r="AV14" s="1003">
        <v>1</v>
      </c>
      <c r="AW14" s="1003"/>
      <c r="AX14" s="1003">
        <f t="shared" si="4"/>
        <v>2</v>
      </c>
      <c r="AY14" s="1004"/>
      <c r="AZ14" s="1003">
        <v>0</v>
      </c>
      <c r="BA14" s="1003">
        <v>0</v>
      </c>
      <c r="BB14" s="1005">
        <v>4</v>
      </c>
      <c r="BC14"/>
      <c r="BD14" s="1002">
        <v>11</v>
      </c>
      <c r="BE14" s="1003"/>
      <c r="BF14" s="1003"/>
      <c r="BG14" s="1003">
        <v>1</v>
      </c>
      <c r="BH14" s="1003">
        <v>1</v>
      </c>
      <c r="BI14" s="1003"/>
      <c r="BJ14" s="1003"/>
      <c r="BK14" s="1003">
        <f t="shared" si="5"/>
        <v>2</v>
      </c>
      <c r="BL14" s="1004"/>
      <c r="BM14" s="1003">
        <v>0</v>
      </c>
      <c r="BN14" s="1003">
        <v>0</v>
      </c>
      <c r="BO14" s="1005">
        <v>4</v>
      </c>
      <c r="BP14"/>
      <c r="BQ14" s="1002">
        <v>11</v>
      </c>
      <c r="BR14" s="1003"/>
      <c r="BS14" s="1003"/>
      <c r="BT14" s="1003">
        <v>1</v>
      </c>
      <c r="BU14" s="1003">
        <v>1</v>
      </c>
      <c r="BV14" s="1003"/>
      <c r="BW14" s="1003"/>
      <c r="BX14" s="1003"/>
      <c r="BY14" s="1003">
        <f t="shared" si="6"/>
        <v>2</v>
      </c>
      <c r="BZ14" s="1004"/>
      <c r="CA14" s="1003">
        <v>0</v>
      </c>
      <c r="CB14" s="1003">
        <v>0</v>
      </c>
      <c r="CC14" s="1005">
        <v>4</v>
      </c>
      <c r="CD14"/>
      <c r="CE14" s="1002">
        <v>11</v>
      </c>
      <c r="CF14" s="1003"/>
      <c r="CG14" s="1003"/>
      <c r="CH14" s="1003">
        <v>1</v>
      </c>
      <c r="CI14" s="1003">
        <v>1</v>
      </c>
      <c r="CJ14" s="1003"/>
      <c r="CK14" s="1003"/>
      <c r="CL14" s="1003"/>
      <c r="CM14" s="1003"/>
      <c r="CN14" s="1003">
        <f t="shared" si="7"/>
        <v>2</v>
      </c>
      <c r="CO14" s="1004"/>
      <c r="CP14" s="1003">
        <v>0</v>
      </c>
      <c r="CQ14" s="1003">
        <v>0</v>
      </c>
      <c r="CR14" s="1005">
        <v>4</v>
      </c>
    </row>
    <row r="15" spans="1:96" outlineLevel="1" x14ac:dyDescent="0.2">
      <c r="A15"/>
      <c r="B15" s="1002">
        <v>12</v>
      </c>
      <c r="C15" s="1003">
        <v>4</v>
      </c>
      <c r="D15" s="1003">
        <v>0</v>
      </c>
      <c r="E15" s="1003"/>
      <c r="F15" s="1003">
        <f t="shared" si="0"/>
        <v>4</v>
      </c>
      <c r="G15" s="1004"/>
      <c r="H15" s="1003">
        <v>0</v>
      </c>
      <c r="I15" s="1003">
        <v>0</v>
      </c>
      <c r="J15" s="1005">
        <v>8</v>
      </c>
      <c r="K15" s="1"/>
      <c r="L15"/>
      <c r="M15" s="1002">
        <v>12</v>
      </c>
      <c r="N15" s="1003">
        <v>0</v>
      </c>
      <c r="O15" s="1003">
        <v>3</v>
      </c>
      <c r="P15" s="1003"/>
      <c r="Q15" s="1003">
        <f t="shared" si="1"/>
        <v>3</v>
      </c>
      <c r="R15" s="1004"/>
      <c r="S15" s="1003">
        <v>0</v>
      </c>
      <c r="T15" s="1003">
        <v>2</v>
      </c>
      <c r="U15" s="1005">
        <v>4</v>
      </c>
      <c r="V15"/>
      <c r="W15" s="1002">
        <v>12</v>
      </c>
      <c r="X15" s="1003"/>
      <c r="Y15" s="1003">
        <v>3</v>
      </c>
      <c r="Z15" s="1003"/>
      <c r="AA15" s="1003">
        <f t="shared" ref="AA15:AA78" si="8">SUM(X15:Z15)</f>
        <v>3</v>
      </c>
      <c r="AB15" s="1004"/>
      <c r="AC15" s="1003">
        <v>0</v>
      </c>
      <c r="AD15" s="1003">
        <v>2</v>
      </c>
      <c r="AE15" s="1005">
        <v>4</v>
      </c>
      <c r="AF15"/>
      <c r="AG15" s="1002">
        <v>12</v>
      </c>
      <c r="AH15" s="1003"/>
      <c r="AI15" s="1003"/>
      <c r="AJ15" s="1003"/>
      <c r="AK15" s="1003">
        <v>2</v>
      </c>
      <c r="AL15" s="1003">
        <f t="shared" si="3"/>
        <v>2</v>
      </c>
      <c r="AM15" s="1004"/>
      <c r="AN15" s="1003">
        <v>0</v>
      </c>
      <c r="AO15" s="1003">
        <v>0</v>
      </c>
      <c r="AP15" s="1005">
        <v>4</v>
      </c>
      <c r="AQ15"/>
      <c r="AR15" s="1002">
        <v>12</v>
      </c>
      <c r="AS15" s="1003"/>
      <c r="AT15" s="1003"/>
      <c r="AU15" s="1003"/>
      <c r="AV15" s="1003">
        <v>2</v>
      </c>
      <c r="AW15" s="1003"/>
      <c r="AX15" s="1003">
        <f t="shared" si="4"/>
        <v>2</v>
      </c>
      <c r="AY15" s="1004"/>
      <c r="AZ15" s="1003">
        <v>0</v>
      </c>
      <c r="BA15" s="1003">
        <v>0</v>
      </c>
      <c r="BB15" s="1005">
        <v>4</v>
      </c>
      <c r="BC15"/>
      <c r="BD15" s="1002">
        <v>12</v>
      </c>
      <c r="BE15" s="1003"/>
      <c r="BF15" s="1003"/>
      <c r="BG15" s="1003"/>
      <c r="BH15" s="1003">
        <v>2</v>
      </c>
      <c r="BI15" s="1003"/>
      <c r="BJ15" s="1003"/>
      <c r="BK15" s="1003">
        <f t="shared" si="5"/>
        <v>2</v>
      </c>
      <c r="BL15" s="1004"/>
      <c r="BM15" s="1003">
        <v>0</v>
      </c>
      <c r="BN15" s="1003">
        <v>0</v>
      </c>
      <c r="BO15" s="1005">
        <v>4</v>
      </c>
      <c r="BP15"/>
      <c r="BQ15" s="1002">
        <v>12</v>
      </c>
      <c r="BR15" s="1003"/>
      <c r="BS15" s="1003"/>
      <c r="BT15" s="1003"/>
      <c r="BU15" s="1003">
        <v>2</v>
      </c>
      <c r="BV15" s="1003"/>
      <c r="BW15" s="1003"/>
      <c r="BX15" s="1003"/>
      <c r="BY15" s="1003">
        <f t="shared" si="6"/>
        <v>2</v>
      </c>
      <c r="BZ15" s="1004"/>
      <c r="CA15" s="1003">
        <v>0</v>
      </c>
      <c r="CB15" s="1003">
        <v>0</v>
      </c>
      <c r="CC15" s="1005">
        <v>4</v>
      </c>
      <c r="CD15"/>
      <c r="CE15" s="1002">
        <v>12</v>
      </c>
      <c r="CF15" s="1003"/>
      <c r="CG15" s="1003"/>
      <c r="CH15" s="1003"/>
      <c r="CI15" s="1003">
        <v>2</v>
      </c>
      <c r="CJ15" s="1003"/>
      <c r="CK15" s="1003"/>
      <c r="CL15" s="1003"/>
      <c r="CM15" s="1003"/>
      <c r="CN15" s="1003">
        <f t="shared" si="7"/>
        <v>2</v>
      </c>
      <c r="CO15" s="1004"/>
      <c r="CP15" s="1003">
        <v>0</v>
      </c>
      <c r="CQ15" s="1003">
        <v>0</v>
      </c>
      <c r="CR15" s="1005">
        <v>4</v>
      </c>
    </row>
    <row r="16" spans="1:96" outlineLevel="1" x14ac:dyDescent="0.2">
      <c r="A16"/>
      <c r="B16" s="1002">
        <v>13</v>
      </c>
      <c r="C16" s="1003">
        <v>3</v>
      </c>
      <c r="D16" s="1003">
        <v>1</v>
      </c>
      <c r="E16" s="1003"/>
      <c r="F16" s="1003">
        <f t="shared" si="0"/>
        <v>4</v>
      </c>
      <c r="G16" s="1004"/>
      <c r="H16" s="1003">
        <v>0</v>
      </c>
      <c r="I16" s="1003">
        <v>0</v>
      </c>
      <c r="J16" s="1005">
        <v>8</v>
      </c>
      <c r="K16" s="1"/>
      <c r="L16"/>
      <c r="M16" s="1002">
        <v>13</v>
      </c>
      <c r="N16" s="1003">
        <v>3</v>
      </c>
      <c r="O16" s="1003">
        <v>1</v>
      </c>
      <c r="P16" s="1003"/>
      <c r="Q16" s="1003">
        <f t="shared" si="1"/>
        <v>4</v>
      </c>
      <c r="R16" s="1004"/>
      <c r="S16" s="1003">
        <v>0</v>
      </c>
      <c r="T16" s="1003">
        <v>0</v>
      </c>
      <c r="U16" s="1005">
        <v>8</v>
      </c>
      <c r="V16"/>
      <c r="W16" s="1002">
        <v>13</v>
      </c>
      <c r="X16" s="1003"/>
      <c r="Y16" s="1003">
        <v>2</v>
      </c>
      <c r="Z16" s="1003">
        <v>1</v>
      </c>
      <c r="AA16" s="1003">
        <f t="shared" si="8"/>
        <v>3</v>
      </c>
      <c r="AB16" s="1004"/>
      <c r="AC16" s="1003">
        <v>0</v>
      </c>
      <c r="AD16" s="1003">
        <v>2</v>
      </c>
      <c r="AE16" s="1005">
        <v>4</v>
      </c>
      <c r="AF16"/>
      <c r="AG16" s="1002">
        <v>13</v>
      </c>
      <c r="AH16" s="1003"/>
      <c r="AI16" s="1003">
        <v>2</v>
      </c>
      <c r="AJ16" s="1003">
        <v>1</v>
      </c>
      <c r="AK16" s="1003"/>
      <c r="AL16" s="1003">
        <f t="shared" si="3"/>
        <v>3</v>
      </c>
      <c r="AM16" s="1004"/>
      <c r="AN16" s="1003">
        <v>0</v>
      </c>
      <c r="AO16" s="1003">
        <v>2</v>
      </c>
      <c r="AP16" s="1005">
        <v>4</v>
      </c>
      <c r="AQ16"/>
      <c r="AR16" s="1002">
        <v>13</v>
      </c>
      <c r="AS16" s="1003"/>
      <c r="AT16" s="1003"/>
      <c r="AU16" s="1003"/>
      <c r="AV16" s="1003">
        <v>1</v>
      </c>
      <c r="AW16" s="1003">
        <v>1</v>
      </c>
      <c r="AX16" s="1003">
        <f t="shared" si="4"/>
        <v>2</v>
      </c>
      <c r="AY16" s="1004"/>
      <c r="AZ16" s="1003">
        <v>0</v>
      </c>
      <c r="BA16" s="1003">
        <v>0</v>
      </c>
      <c r="BB16" s="1005">
        <v>4</v>
      </c>
      <c r="BC16"/>
      <c r="BD16" s="1002">
        <v>13</v>
      </c>
      <c r="BE16" s="1003"/>
      <c r="BF16" s="1003"/>
      <c r="BG16" s="1003"/>
      <c r="BH16" s="1003">
        <v>1</v>
      </c>
      <c r="BI16" s="1003">
        <v>1</v>
      </c>
      <c r="BJ16" s="1003"/>
      <c r="BK16" s="1003">
        <f t="shared" si="5"/>
        <v>2</v>
      </c>
      <c r="BL16" s="1004"/>
      <c r="BM16" s="1003">
        <v>0</v>
      </c>
      <c r="BN16" s="1003">
        <v>0</v>
      </c>
      <c r="BO16" s="1005">
        <v>4</v>
      </c>
      <c r="BP16"/>
      <c r="BQ16" s="1002">
        <v>13</v>
      </c>
      <c r="BR16" s="1003"/>
      <c r="BS16" s="1003"/>
      <c r="BT16" s="1003"/>
      <c r="BU16" s="1003">
        <v>1</v>
      </c>
      <c r="BV16" s="1003">
        <v>1</v>
      </c>
      <c r="BW16" s="1003"/>
      <c r="BX16" s="1003"/>
      <c r="BY16" s="1003">
        <f t="shared" si="6"/>
        <v>2</v>
      </c>
      <c r="BZ16" s="1004"/>
      <c r="CA16" s="1003">
        <v>0</v>
      </c>
      <c r="CB16" s="1003">
        <v>0</v>
      </c>
      <c r="CC16" s="1005">
        <v>4</v>
      </c>
      <c r="CD16"/>
      <c r="CE16" s="1002">
        <v>13</v>
      </c>
      <c r="CF16" s="1003"/>
      <c r="CG16" s="1003"/>
      <c r="CH16" s="1003"/>
      <c r="CI16" s="1003">
        <v>1</v>
      </c>
      <c r="CJ16" s="1003">
        <v>1</v>
      </c>
      <c r="CK16" s="1003"/>
      <c r="CL16" s="1003"/>
      <c r="CM16" s="1003"/>
      <c r="CN16" s="1003">
        <f t="shared" si="7"/>
        <v>2</v>
      </c>
      <c r="CO16" s="1004"/>
      <c r="CP16" s="1003">
        <v>0</v>
      </c>
      <c r="CQ16" s="1003">
        <v>0</v>
      </c>
      <c r="CR16" s="1005">
        <v>4</v>
      </c>
    </row>
    <row r="17" spans="1:96" outlineLevel="1" x14ac:dyDescent="0.2">
      <c r="A17"/>
      <c r="B17" s="1002">
        <v>14</v>
      </c>
      <c r="C17" s="1003">
        <v>2</v>
      </c>
      <c r="D17" s="1003">
        <v>2</v>
      </c>
      <c r="E17" s="1003"/>
      <c r="F17" s="1003">
        <f t="shared" si="0"/>
        <v>4</v>
      </c>
      <c r="G17" s="1004"/>
      <c r="H17" s="1003">
        <v>0</v>
      </c>
      <c r="I17" s="1003">
        <v>0</v>
      </c>
      <c r="J17" s="1005">
        <v>8</v>
      </c>
      <c r="K17" s="1"/>
      <c r="L17"/>
      <c r="M17" s="1002">
        <v>14</v>
      </c>
      <c r="N17" s="1003">
        <v>2</v>
      </c>
      <c r="O17" s="1003">
        <v>2</v>
      </c>
      <c r="P17" s="1003"/>
      <c r="Q17" s="1003">
        <f t="shared" si="1"/>
        <v>4</v>
      </c>
      <c r="R17" s="1004"/>
      <c r="S17" s="1003">
        <v>0</v>
      </c>
      <c r="T17" s="1003">
        <v>0</v>
      </c>
      <c r="U17" s="1005">
        <v>8</v>
      </c>
      <c r="V17"/>
      <c r="W17" s="1002">
        <v>14</v>
      </c>
      <c r="X17" s="1003"/>
      <c r="Y17" s="1003">
        <v>1</v>
      </c>
      <c r="Z17" s="1003">
        <v>2</v>
      </c>
      <c r="AA17" s="1003">
        <f t="shared" si="8"/>
        <v>3</v>
      </c>
      <c r="AB17" s="1004"/>
      <c r="AC17" s="1003">
        <v>0</v>
      </c>
      <c r="AD17" s="1003">
        <v>2</v>
      </c>
      <c r="AE17" s="1005">
        <v>4</v>
      </c>
      <c r="AF17"/>
      <c r="AG17" s="1002">
        <v>14</v>
      </c>
      <c r="AH17" s="1003"/>
      <c r="AI17" s="1003">
        <v>1</v>
      </c>
      <c r="AJ17" s="1003">
        <v>2</v>
      </c>
      <c r="AK17" s="1003"/>
      <c r="AL17" s="1003">
        <f t="shared" si="3"/>
        <v>3</v>
      </c>
      <c r="AM17" s="1004"/>
      <c r="AN17" s="1003">
        <v>0</v>
      </c>
      <c r="AO17" s="1003">
        <v>2</v>
      </c>
      <c r="AP17" s="1005">
        <v>4</v>
      </c>
      <c r="AQ17"/>
      <c r="AR17" s="1002">
        <v>14</v>
      </c>
      <c r="AS17" s="1003"/>
      <c r="AT17" s="1003"/>
      <c r="AU17" s="1003"/>
      <c r="AV17" s="1003"/>
      <c r="AW17" s="1003">
        <v>2</v>
      </c>
      <c r="AX17" s="1003">
        <f t="shared" si="4"/>
        <v>2</v>
      </c>
      <c r="AY17" s="1004"/>
      <c r="AZ17" s="1003">
        <v>0</v>
      </c>
      <c r="BA17" s="1003">
        <v>0</v>
      </c>
      <c r="BB17" s="1005">
        <v>4</v>
      </c>
      <c r="BC17"/>
      <c r="BD17" s="1002">
        <v>14</v>
      </c>
      <c r="BE17" s="1003"/>
      <c r="BF17" s="1003"/>
      <c r="BG17" s="1003"/>
      <c r="BH17" s="1003"/>
      <c r="BI17" s="1003">
        <v>2</v>
      </c>
      <c r="BJ17" s="1003"/>
      <c r="BK17" s="1003">
        <f t="shared" si="5"/>
        <v>2</v>
      </c>
      <c r="BL17" s="1004"/>
      <c r="BM17" s="1003">
        <v>0</v>
      </c>
      <c r="BN17" s="1003">
        <v>0</v>
      </c>
      <c r="BO17" s="1005">
        <v>4</v>
      </c>
      <c r="BP17"/>
      <c r="BQ17" s="1002">
        <v>14</v>
      </c>
      <c r="BR17" s="1003"/>
      <c r="BS17" s="1003"/>
      <c r="BT17" s="1003"/>
      <c r="BU17" s="1003"/>
      <c r="BV17" s="1003">
        <v>2</v>
      </c>
      <c r="BW17" s="1003"/>
      <c r="BX17" s="1003"/>
      <c r="BY17" s="1003">
        <f t="shared" si="6"/>
        <v>2</v>
      </c>
      <c r="BZ17" s="1004"/>
      <c r="CA17" s="1003">
        <v>0</v>
      </c>
      <c r="CB17" s="1003">
        <v>0</v>
      </c>
      <c r="CC17" s="1005">
        <v>4</v>
      </c>
      <c r="CD17"/>
      <c r="CE17" s="1002">
        <v>14</v>
      </c>
      <c r="CF17" s="1003"/>
      <c r="CG17" s="1003"/>
      <c r="CH17" s="1003"/>
      <c r="CI17" s="1003"/>
      <c r="CJ17" s="1003">
        <v>2</v>
      </c>
      <c r="CK17" s="1003"/>
      <c r="CL17" s="1003"/>
      <c r="CM17" s="1003"/>
      <c r="CN17" s="1003">
        <f t="shared" si="7"/>
        <v>2</v>
      </c>
      <c r="CO17" s="1004"/>
      <c r="CP17" s="1003">
        <v>0</v>
      </c>
      <c r="CQ17" s="1003">
        <v>0</v>
      </c>
      <c r="CR17" s="1005">
        <v>4</v>
      </c>
    </row>
    <row r="18" spans="1:96" outlineLevel="1" x14ac:dyDescent="0.2">
      <c r="A18"/>
      <c r="B18" s="1002">
        <v>15</v>
      </c>
      <c r="C18" s="1003">
        <v>5</v>
      </c>
      <c r="D18" s="1003">
        <v>0</v>
      </c>
      <c r="E18" s="1003"/>
      <c r="F18" s="1003">
        <f t="shared" si="0"/>
        <v>5</v>
      </c>
      <c r="G18" s="1004"/>
      <c r="H18" s="1003">
        <v>0</v>
      </c>
      <c r="I18" s="1003">
        <v>2</v>
      </c>
      <c r="J18" s="1005">
        <v>8</v>
      </c>
      <c r="K18" s="1"/>
      <c r="L18"/>
      <c r="M18" s="1002">
        <v>15</v>
      </c>
      <c r="N18" s="1003">
        <v>1</v>
      </c>
      <c r="O18" s="1003">
        <v>3</v>
      </c>
      <c r="P18" s="1003"/>
      <c r="Q18" s="1003">
        <f t="shared" si="1"/>
        <v>4</v>
      </c>
      <c r="R18" s="1004"/>
      <c r="S18" s="1003">
        <v>0</v>
      </c>
      <c r="T18" s="1003">
        <v>0</v>
      </c>
      <c r="U18" s="1005">
        <v>8</v>
      </c>
      <c r="V18"/>
      <c r="W18" s="1002">
        <v>15</v>
      </c>
      <c r="X18" s="1003"/>
      <c r="Y18" s="1003"/>
      <c r="Z18" s="1003">
        <v>3</v>
      </c>
      <c r="AA18" s="1003">
        <f t="shared" si="8"/>
        <v>3</v>
      </c>
      <c r="AB18" s="1004"/>
      <c r="AC18" s="1003">
        <v>0</v>
      </c>
      <c r="AD18" s="1003">
        <v>2</v>
      </c>
      <c r="AE18" s="1005">
        <v>4</v>
      </c>
      <c r="AF18"/>
      <c r="AG18" s="1002">
        <v>15</v>
      </c>
      <c r="AH18" s="1003"/>
      <c r="AI18" s="1003"/>
      <c r="AJ18" s="1003">
        <v>3</v>
      </c>
      <c r="AK18" s="1003"/>
      <c r="AL18" s="1003">
        <f t="shared" si="3"/>
        <v>3</v>
      </c>
      <c r="AM18" s="1004"/>
      <c r="AN18" s="1003">
        <v>0</v>
      </c>
      <c r="AO18" s="1003">
        <v>2</v>
      </c>
      <c r="AP18" s="1005">
        <v>4</v>
      </c>
      <c r="AQ18"/>
      <c r="AR18" s="1002">
        <v>15</v>
      </c>
      <c r="AS18" s="1003"/>
      <c r="AT18" s="1003"/>
      <c r="AU18" s="1003">
        <v>3</v>
      </c>
      <c r="AV18" s="1003"/>
      <c r="AW18" s="1003"/>
      <c r="AX18" s="1003">
        <f t="shared" si="4"/>
        <v>3</v>
      </c>
      <c r="AY18" s="1004"/>
      <c r="AZ18" s="1003">
        <v>0</v>
      </c>
      <c r="BA18" s="1003">
        <v>2</v>
      </c>
      <c r="BB18" s="1005">
        <v>4</v>
      </c>
      <c r="BC18"/>
      <c r="BD18" s="1002">
        <v>15</v>
      </c>
      <c r="BE18" s="1003"/>
      <c r="BF18" s="1003"/>
      <c r="BG18" s="1003"/>
      <c r="BH18" s="1003"/>
      <c r="BI18" s="1003">
        <v>1</v>
      </c>
      <c r="BJ18" s="1003">
        <v>1</v>
      </c>
      <c r="BK18" s="1003">
        <f t="shared" si="5"/>
        <v>2</v>
      </c>
      <c r="BL18" s="1004"/>
      <c r="BM18" s="1003">
        <v>0</v>
      </c>
      <c r="BN18" s="1003">
        <v>0</v>
      </c>
      <c r="BO18" s="1005">
        <v>4</v>
      </c>
      <c r="BP18"/>
      <c r="BQ18" s="1002">
        <v>15</v>
      </c>
      <c r="BR18" s="1003"/>
      <c r="BS18" s="1003"/>
      <c r="BT18" s="1003"/>
      <c r="BU18" s="1003"/>
      <c r="BV18" s="1003">
        <v>1</v>
      </c>
      <c r="BW18" s="1003">
        <v>1</v>
      </c>
      <c r="BX18" s="1003"/>
      <c r="BY18" s="1003">
        <f t="shared" si="6"/>
        <v>2</v>
      </c>
      <c r="BZ18" s="1004"/>
      <c r="CA18" s="1003">
        <v>0</v>
      </c>
      <c r="CB18" s="1003">
        <v>0</v>
      </c>
      <c r="CC18" s="1005">
        <v>4</v>
      </c>
      <c r="CD18"/>
      <c r="CE18" s="1002">
        <v>15</v>
      </c>
      <c r="CF18" s="1003"/>
      <c r="CG18" s="1003"/>
      <c r="CH18" s="1003"/>
      <c r="CI18" s="1003"/>
      <c r="CJ18" s="1003">
        <v>1</v>
      </c>
      <c r="CK18" s="1003">
        <v>1</v>
      </c>
      <c r="CL18" s="1003"/>
      <c r="CM18" s="1003"/>
      <c r="CN18" s="1003">
        <f t="shared" si="7"/>
        <v>2</v>
      </c>
      <c r="CO18" s="1004"/>
      <c r="CP18" s="1003">
        <v>0</v>
      </c>
      <c r="CQ18" s="1003">
        <v>0</v>
      </c>
      <c r="CR18" s="1005">
        <v>4</v>
      </c>
    </row>
    <row r="19" spans="1:96" outlineLevel="1" x14ac:dyDescent="0.2">
      <c r="A19"/>
      <c r="B19" s="1002">
        <v>16</v>
      </c>
      <c r="C19" s="1003">
        <v>4</v>
      </c>
      <c r="D19" s="1003">
        <v>1</v>
      </c>
      <c r="E19" s="1003"/>
      <c r="F19" s="1003">
        <f t="shared" si="0"/>
        <v>5</v>
      </c>
      <c r="G19" s="1004"/>
      <c r="H19" s="1003">
        <v>0</v>
      </c>
      <c r="I19" s="1003">
        <v>2</v>
      </c>
      <c r="J19" s="1005">
        <v>8</v>
      </c>
      <c r="K19" s="1"/>
      <c r="L19"/>
      <c r="M19" s="1002">
        <v>16</v>
      </c>
      <c r="N19" s="1003">
        <v>0</v>
      </c>
      <c r="O19" s="1003">
        <v>4</v>
      </c>
      <c r="P19" s="1003"/>
      <c r="Q19" s="1003">
        <f t="shared" si="1"/>
        <v>4</v>
      </c>
      <c r="R19" s="1004"/>
      <c r="S19" s="1003">
        <v>0</v>
      </c>
      <c r="T19" s="1003">
        <v>0</v>
      </c>
      <c r="U19" s="1005">
        <v>8</v>
      </c>
      <c r="V19"/>
      <c r="W19" s="1002">
        <v>16</v>
      </c>
      <c r="X19" s="1003"/>
      <c r="Y19" s="1003">
        <v>4</v>
      </c>
      <c r="Z19" s="1003"/>
      <c r="AA19" s="1003">
        <f t="shared" si="8"/>
        <v>4</v>
      </c>
      <c r="AB19" s="1004"/>
      <c r="AC19" s="1003">
        <v>0</v>
      </c>
      <c r="AD19" s="1003">
        <v>0</v>
      </c>
      <c r="AE19" s="1005">
        <v>8</v>
      </c>
      <c r="AF19"/>
      <c r="AG19" s="1002">
        <v>16</v>
      </c>
      <c r="AH19" s="1003"/>
      <c r="AI19" s="1003"/>
      <c r="AJ19" s="1003">
        <v>2</v>
      </c>
      <c r="AK19" s="1003">
        <v>1</v>
      </c>
      <c r="AL19" s="1003">
        <f t="shared" si="3"/>
        <v>3</v>
      </c>
      <c r="AM19" s="1004"/>
      <c r="AN19" s="1003">
        <v>0</v>
      </c>
      <c r="AO19" s="1003">
        <v>2</v>
      </c>
      <c r="AP19" s="1005">
        <v>4</v>
      </c>
      <c r="AQ19"/>
      <c r="AR19" s="1002">
        <v>16</v>
      </c>
      <c r="AS19" s="1003"/>
      <c r="AT19" s="1003"/>
      <c r="AU19" s="1003">
        <v>2</v>
      </c>
      <c r="AV19" s="1003">
        <v>1</v>
      </c>
      <c r="AW19" s="1003"/>
      <c r="AX19" s="1003">
        <f t="shared" si="4"/>
        <v>3</v>
      </c>
      <c r="AY19" s="1004"/>
      <c r="AZ19" s="1003">
        <v>0</v>
      </c>
      <c r="BA19" s="1003">
        <v>2</v>
      </c>
      <c r="BB19" s="1005">
        <v>4</v>
      </c>
      <c r="BC19"/>
      <c r="BD19" s="1002">
        <v>16</v>
      </c>
      <c r="BE19" s="1003"/>
      <c r="BF19" s="1003"/>
      <c r="BG19" s="1003"/>
      <c r="BH19" s="1003"/>
      <c r="BI19" s="1003"/>
      <c r="BJ19" s="1003">
        <v>2</v>
      </c>
      <c r="BK19" s="1003">
        <f t="shared" si="5"/>
        <v>2</v>
      </c>
      <c r="BL19" s="1004"/>
      <c r="BM19" s="1003">
        <v>0</v>
      </c>
      <c r="BN19" s="1003">
        <v>0</v>
      </c>
      <c r="BO19" s="1005">
        <v>4</v>
      </c>
      <c r="BP19"/>
      <c r="BQ19" s="1002">
        <v>16</v>
      </c>
      <c r="BR19" s="1003"/>
      <c r="BS19" s="1003"/>
      <c r="BT19" s="1003"/>
      <c r="BU19" s="1003"/>
      <c r="BV19" s="1003"/>
      <c r="BW19" s="1003">
        <v>2</v>
      </c>
      <c r="BX19" s="1003"/>
      <c r="BY19" s="1003">
        <f t="shared" si="6"/>
        <v>2</v>
      </c>
      <c r="BZ19" s="1004"/>
      <c r="CA19" s="1003">
        <v>0</v>
      </c>
      <c r="CB19" s="1003">
        <v>0</v>
      </c>
      <c r="CC19" s="1005">
        <v>4</v>
      </c>
      <c r="CD19"/>
      <c r="CE19" s="1002">
        <v>16</v>
      </c>
      <c r="CF19" s="1003"/>
      <c r="CG19" s="1003"/>
      <c r="CH19" s="1003"/>
      <c r="CI19" s="1003"/>
      <c r="CJ19" s="1003"/>
      <c r="CK19" s="1003">
        <v>2</v>
      </c>
      <c r="CL19" s="1003"/>
      <c r="CM19" s="1003"/>
      <c r="CN19" s="1003">
        <f t="shared" si="7"/>
        <v>2</v>
      </c>
      <c r="CO19" s="1004"/>
      <c r="CP19" s="1003">
        <v>0</v>
      </c>
      <c r="CQ19" s="1003">
        <v>0</v>
      </c>
      <c r="CR19" s="1005">
        <v>4</v>
      </c>
    </row>
    <row r="20" spans="1:96" outlineLevel="1" x14ac:dyDescent="0.2">
      <c r="A20"/>
      <c r="B20" s="1002">
        <v>17</v>
      </c>
      <c r="C20" s="1003">
        <v>3</v>
      </c>
      <c r="D20" s="1003">
        <v>2</v>
      </c>
      <c r="E20" s="1003"/>
      <c r="F20" s="1003">
        <f t="shared" si="0"/>
        <v>5</v>
      </c>
      <c r="G20" s="1004"/>
      <c r="H20" s="1003">
        <v>0</v>
      </c>
      <c r="I20" s="1003">
        <v>2</v>
      </c>
      <c r="J20" s="1005">
        <v>8</v>
      </c>
      <c r="K20" s="1"/>
      <c r="L20"/>
      <c r="M20" s="1002">
        <v>17</v>
      </c>
      <c r="N20" s="1003">
        <v>3</v>
      </c>
      <c r="O20" s="1003">
        <v>2</v>
      </c>
      <c r="P20" s="1003"/>
      <c r="Q20" s="1003">
        <f t="shared" si="1"/>
        <v>5</v>
      </c>
      <c r="R20" s="1004"/>
      <c r="S20" s="1003">
        <v>0</v>
      </c>
      <c r="T20" s="1003">
        <v>2</v>
      </c>
      <c r="U20" s="1005">
        <v>8</v>
      </c>
      <c r="V20"/>
      <c r="W20" s="1002">
        <v>17</v>
      </c>
      <c r="X20" s="1003"/>
      <c r="Y20" s="1003">
        <v>3</v>
      </c>
      <c r="Z20" s="1003">
        <v>1</v>
      </c>
      <c r="AA20" s="1003">
        <f t="shared" si="8"/>
        <v>4</v>
      </c>
      <c r="AB20" s="1004"/>
      <c r="AC20" s="1003">
        <v>0</v>
      </c>
      <c r="AD20" s="1003">
        <v>0</v>
      </c>
      <c r="AE20" s="1005">
        <v>8</v>
      </c>
      <c r="AF20"/>
      <c r="AG20" s="1002">
        <v>17</v>
      </c>
      <c r="AH20" s="1003"/>
      <c r="AI20" s="1003"/>
      <c r="AJ20" s="1003">
        <v>1</v>
      </c>
      <c r="AK20" s="1003">
        <v>2</v>
      </c>
      <c r="AL20" s="1003">
        <f t="shared" si="3"/>
        <v>3</v>
      </c>
      <c r="AM20" s="1004"/>
      <c r="AN20" s="1003">
        <v>0</v>
      </c>
      <c r="AO20" s="1003">
        <v>2</v>
      </c>
      <c r="AP20" s="1005">
        <v>4</v>
      </c>
      <c r="AQ20"/>
      <c r="AR20" s="1002">
        <v>17</v>
      </c>
      <c r="AS20" s="1003"/>
      <c r="AT20" s="1003"/>
      <c r="AU20" s="1003">
        <v>1</v>
      </c>
      <c r="AV20" s="1003">
        <v>2</v>
      </c>
      <c r="AW20" s="1003"/>
      <c r="AX20" s="1003">
        <f t="shared" si="4"/>
        <v>3</v>
      </c>
      <c r="AY20" s="1004"/>
      <c r="AZ20" s="1003">
        <v>0</v>
      </c>
      <c r="BA20" s="1003">
        <v>2</v>
      </c>
      <c r="BB20" s="1005">
        <v>4</v>
      </c>
      <c r="BC20"/>
      <c r="BD20" s="1002">
        <v>17</v>
      </c>
      <c r="BE20" s="1003"/>
      <c r="BF20" s="1003"/>
      <c r="BG20" s="1003">
        <v>1</v>
      </c>
      <c r="BH20" s="1003">
        <v>2</v>
      </c>
      <c r="BI20" s="1003"/>
      <c r="BJ20" s="1003"/>
      <c r="BK20" s="1003">
        <f t="shared" si="5"/>
        <v>3</v>
      </c>
      <c r="BL20" s="1004"/>
      <c r="BM20" s="1003">
        <v>0</v>
      </c>
      <c r="BN20" s="1003">
        <v>2</v>
      </c>
      <c r="BO20" s="1005">
        <v>4</v>
      </c>
      <c r="BP20"/>
      <c r="BQ20" s="1002">
        <v>17</v>
      </c>
      <c r="BR20" s="1003"/>
      <c r="BS20" s="1003"/>
      <c r="BT20" s="1003"/>
      <c r="BU20" s="1003"/>
      <c r="BV20" s="1003"/>
      <c r="BW20" s="1003">
        <v>1</v>
      </c>
      <c r="BX20" s="1003">
        <v>1</v>
      </c>
      <c r="BY20" s="1003">
        <f t="shared" si="6"/>
        <v>2</v>
      </c>
      <c r="BZ20" s="1004"/>
      <c r="CA20" s="1003">
        <v>0</v>
      </c>
      <c r="CB20" s="1003">
        <v>0</v>
      </c>
      <c r="CC20" s="1005">
        <v>4</v>
      </c>
      <c r="CD20"/>
      <c r="CE20" s="1002">
        <v>17</v>
      </c>
      <c r="CF20" s="1003"/>
      <c r="CG20" s="1003"/>
      <c r="CH20" s="1003"/>
      <c r="CI20" s="1003"/>
      <c r="CJ20" s="1003"/>
      <c r="CK20" s="1003">
        <v>1</v>
      </c>
      <c r="CL20" s="1003">
        <v>1</v>
      </c>
      <c r="CM20" s="1003"/>
      <c r="CN20" s="1003">
        <f t="shared" si="7"/>
        <v>2</v>
      </c>
      <c r="CO20" s="1004"/>
      <c r="CP20" s="1003">
        <v>0</v>
      </c>
      <c r="CQ20" s="1003">
        <v>0</v>
      </c>
      <c r="CR20" s="1005">
        <v>4</v>
      </c>
    </row>
    <row r="21" spans="1:96" outlineLevel="1" x14ac:dyDescent="0.2">
      <c r="A21"/>
      <c r="B21" s="1002">
        <v>18</v>
      </c>
      <c r="C21" s="1003">
        <v>6</v>
      </c>
      <c r="D21" s="1003">
        <v>0</v>
      </c>
      <c r="E21" s="1003"/>
      <c r="F21" s="1003">
        <f t="shared" si="0"/>
        <v>6</v>
      </c>
      <c r="G21" s="1004"/>
      <c r="H21" s="1003">
        <v>0</v>
      </c>
      <c r="I21" s="1003">
        <v>4</v>
      </c>
      <c r="J21" s="1005">
        <v>8</v>
      </c>
      <c r="K21" s="1"/>
      <c r="L21"/>
      <c r="M21" s="1002">
        <v>18</v>
      </c>
      <c r="N21" s="1003">
        <v>2</v>
      </c>
      <c r="O21" s="1003">
        <v>3</v>
      </c>
      <c r="P21" s="1003"/>
      <c r="Q21" s="1003">
        <f t="shared" si="1"/>
        <v>5</v>
      </c>
      <c r="R21" s="1004"/>
      <c r="S21" s="1003">
        <v>0</v>
      </c>
      <c r="T21" s="1003">
        <v>2</v>
      </c>
      <c r="U21" s="1005">
        <v>8</v>
      </c>
      <c r="V21"/>
      <c r="W21" s="1002">
        <v>18</v>
      </c>
      <c r="X21" s="1003"/>
      <c r="Y21" s="1003">
        <v>2</v>
      </c>
      <c r="Z21" s="1003">
        <v>2</v>
      </c>
      <c r="AA21" s="1003">
        <f t="shared" si="8"/>
        <v>4</v>
      </c>
      <c r="AB21" s="1004"/>
      <c r="AC21" s="1003">
        <v>0</v>
      </c>
      <c r="AD21" s="1003">
        <v>0</v>
      </c>
      <c r="AE21" s="1005">
        <v>8</v>
      </c>
      <c r="AF21"/>
      <c r="AG21" s="1002">
        <v>18</v>
      </c>
      <c r="AH21" s="1003"/>
      <c r="AI21" s="1003"/>
      <c r="AJ21" s="1003"/>
      <c r="AK21" s="1003">
        <v>3</v>
      </c>
      <c r="AL21" s="1003">
        <f t="shared" si="3"/>
        <v>3</v>
      </c>
      <c r="AM21" s="1004"/>
      <c r="AN21" s="1003">
        <v>0</v>
      </c>
      <c r="AO21" s="1003">
        <v>2</v>
      </c>
      <c r="AP21" s="1005">
        <v>4</v>
      </c>
      <c r="AQ21"/>
      <c r="AR21" s="1002">
        <v>18</v>
      </c>
      <c r="AS21" s="1003"/>
      <c r="AT21" s="1003"/>
      <c r="AU21" s="1003"/>
      <c r="AV21" s="1003">
        <v>3</v>
      </c>
      <c r="AW21" s="1003"/>
      <c r="AX21" s="1003">
        <f t="shared" si="4"/>
        <v>3</v>
      </c>
      <c r="AY21" s="1004"/>
      <c r="AZ21" s="1003">
        <v>0</v>
      </c>
      <c r="BA21" s="1003">
        <v>2</v>
      </c>
      <c r="BB21" s="1005">
        <v>4</v>
      </c>
      <c r="BC21"/>
      <c r="BD21" s="1002">
        <v>18</v>
      </c>
      <c r="BE21" s="1003"/>
      <c r="BF21" s="1003"/>
      <c r="BG21" s="1003"/>
      <c r="BH21" s="1003">
        <v>3</v>
      </c>
      <c r="BI21" s="1003"/>
      <c r="BJ21" s="1003"/>
      <c r="BK21" s="1003">
        <f t="shared" si="5"/>
        <v>3</v>
      </c>
      <c r="BL21" s="1004"/>
      <c r="BM21" s="1003">
        <v>0</v>
      </c>
      <c r="BN21" s="1003">
        <v>2</v>
      </c>
      <c r="BO21" s="1005">
        <v>4</v>
      </c>
      <c r="BP21"/>
      <c r="BQ21" s="1002">
        <v>18</v>
      </c>
      <c r="BR21" s="1003"/>
      <c r="BS21" s="1003"/>
      <c r="BT21" s="1003"/>
      <c r="BU21" s="1003"/>
      <c r="BV21" s="1003"/>
      <c r="BW21" s="1003"/>
      <c r="BX21" s="1003">
        <v>2</v>
      </c>
      <c r="BY21" s="1003">
        <f t="shared" si="6"/>
        <v>2</v>
      </c>
      <c r="BZ21" s="1004"/>
      <c r="CA21" s="1003">
        <v>0</v>
      </c>
      <c r="CB21" s="1003">
        <v>0</v>
      </c>
      <c r="CC21" s="1005">
        <v>4</v>
      </c>
      <c r="CD21"/>
      <c r="CE21" s="1002">
        <v>18</v>
      </c>
      <c r="CF21" s="1003"/>
      <c r="CG21" s="1003"/>
      <c r="CH21" s="1003"/>
      <c r="CI21" s="1003"/>
      <c r="CJ21" s="1003"/>
      <c r="CK21" s="1003"/>
      <c r="CL21" s="1003">
        <v>2</v>
      </c>
      <c r="CM21" s="1003"/>
      <c r="CN21" s="1003">
        <f t="shared" si="7"/>
        <v>2</v>
      </c>
      <c r="CO21" s="1004"/>
      <c r="CP21" s="1003">
        <v>0</v>
      </c>
      <c r="CQ21" s="1003">
        <v>0</v>
      </c>
      <c r="CR21" s="1005">
        <v>4</v>
      </c>
    </row>
    <row r="22" spans="1:96" outlineLevel="1" x14ac:dyDescent="0.2">
      <c r="A22"/>
      <c r="B22" s="1002">
        <v>19</v>
      </c>
      <c r="C22" s="1003">
        <v>5</v>
      </c>
      <c r="D22" s="1003">
        <v>1</v>
      </c>
      <c r="E22" s="1003"/>
      <c r="F22" s="1003">
        <f t="shared" si="0"/>
        <v>6</v>
      </c>
      <c r="G22" s="1004"/>
      <c r="H22" s="1003">
        <v>0</v>
      </c>
      <c r="I22" s="1003">
        <v>4</v>
      </c>
      <c r="J22" s="1005">
        <v>8</v>
      </c>
      <c r="K22" s="1"/>
      <c r="L22"/>
      <c r="M22" s="1002">
        <v>19</v>
      </c>
      <c r="N22" s="1003">
        <v>1</v>
      </c>
      <c r="O22" s="1003">
        <v>4</v>
      </c>
      <c r="P22" s="1003"/>
      <c r="Q22" s="1003">
        <f t="shared" si="1"/>
        <v>5</v>
      </c>
      <c r="R22" s="1004"/>
      <c r="S22" s="1003">
        <v>0</v>
      </c>
      <c r="T22" s="1003">
        <v>2</v>
      </c>
      <c r="U22" s="1005">
        <v>8</v>
      </c>
      <c r="V22"/>
      <c r="W22" s="1002">
        <v>19</v>
      </c>
      <c r="X22" s="1003"/>
      <c r="Y22" s="1003">
        <v>1</v>
      </c>
      <c r="Z22" s="1003">
        <v>3</v>
      </c>
      <c r="AA22" s="1003">
        <f t="shared" si="8"/>
        <v>4</v>
      </c>
      <c r="AB22" s="1004"/>
      <c r="AC22" s="1003">
        <v>0</v>
      </c>
      <c r="AD22" s="1003">
        <v>0</v>
      </c>
      <c r="AE22" s="1005">
        <v>8</v>
      </c>
      <c r="AF22"/>
      <c r="AG22" s="1002">
        <v>19</v>
      </c>
      <c r="AH22" s="1003"/>
      <c r="AI22" s="1003">
        <v>1</v>
      </c>
      <c r="AJ22" s="1003">
        <v>3</v>
      </c>
      <c r="AK22" s="1003"/>
      <c r="AL22" s="1003">
        <f t="shared" si="3"/>
        <v>4</v>
      </c>
      <c r="AM22" s="1004"/>
      <c r="AN22" s="1003">
        <v>0</v>
      </c>
      <c r="AO22" s="1003">
        <v>0</v>
      </c>
      <c r="AP22" s="1005">
        <v>8</v>
      </c>
      <c r="AQ22"/>
      <c r="AR22" s="1002">
        <v>19</v>
      </c>
      <c r="AS22" s="1003"/>
      <c r="AT22" s="1003"/>
      <c r="AU22" s="1003"/>
      <c r="AV22" s="1003">
        <v>2</v>
      </c>
      <c r="AW22" s="1003">
        <v>1</v>
      </c>
      <c r="AX22" s="1003">
        <f t="shared" si="4"/>
        <v>3</v>
      </c>
      <c r="AY22" s="1004"/>
      <c r="AZ22" s="1003">
        <v>0</v>
      </c>
      <c r="BA22" s="1003">
        <v>2</v>
      </c>
      <c r="BB22" s="1005">
        <v>4</v>
      </c>
      <c r="BC22"/>
      <c r="BD22" s="1002">
        <v>19</v>
      </c>
      <c r="BE22" s="1003"/>
      <c r="BF22" s="1003"/>
      <c r="BG22" s="1003"/>
      <c r="BH22" s="1003">
        <v>2</v>
      </c>
      <c r="BI22" s="1003">
        <v>1</v>
      </c>
      <c r="BJ22" s="1003"/>
      <c r="BK22" s="1003">
        <f t="shared" si="5"/>
        <v>3</v>
      </c>
      <c r="BL22" s="1004"/>
      <c r="BM22" s="1003">
        <v>0</v>
      </c>
      <c r="BN22" s="1003">
        <v>2</v>
      </c>
      <c r="BO22" s="1005">
        <v>4</v>
      </c>
      <c r="BP22"/>
      <c r="BQ22" s="1002">
        <v>19</v>
      </c>
      <c r="BR22" s="1003"/>
      <c r="BS22" s="1003"/>
      <c r="BT22" s="1003"/>
      <c r="BU22" s="1003">
        <v>2</v>
      </c>
      <c r="BV22" s="1003">
        <v>1</v>
      </c>
      <c r="BW22" s="1003"/>
      <c r="BX22" s="1003"/>
      <c r="BY22" s="1003">
        <f t="shared" si="6"/>
        <v>3</v>
      </c>
      <c r="BZ22" s="1004"/>
      <c r="CA22" s="1003">
        <v>0</v>
      </c>
      <c r="CB22" s="1003">
        <v>2</v>
      </c>
      <c r="CC22" s="1005">
        <v>4</v>
      </c>
      <c r="CD22"/>
      <c r="CE22" s="1002">
        <v>19</v>
      </c>
      <c r="CF22" s="1003"/>
      <c r="CG22" s="1003"/>
      <c r="CH22" s="1003"/>
      <c r="CI22" s="1003"/>
      <c r="CJ22" s="1003"/>
      <c r="CK22" s="1003"/>
      <c r="CL22" s="1003">
        <v>1</v>
      </c>
      <c r="CM22" s="1003">
        <v>1</v>
      </c>
      <c r="CN22" s="1003">
        <f t="shared" si="7"/>
        <v>2</v>
      </c>
      <c r="CO22" s="1004"/>
      <c r="CP22" s="1003">
        <v>0</v>
      </c>
      <c r="CQ22" s="1003">
        <v>0</v>
      </c>
      <c r="CR22" s="1005">
        <v>4</v>
      </c>
    </row>
    <row r="23" spans="1:96" outlineLevel="1" x14ac:dyDescent="0.2">
      <c r="A23"/>
      <c r="B23" s="1002">
        <v>20</v>
      </c>
      <c r="C23" s="1003">
        <v>4</v>
      </c>
      <c r="D23" s="1003">
        <v>2</v>
      </c>
      <c r="E23" s="1003"/>
      <c r="F23" s="1003">
        <f t="shared" si="0"/>
        <v>6</v>
      </c>
      <c r="G23" s="1004"/>
      <c r="H23" s="1003">
        <v>0</v>
      </c>
      <c r="I23" s="1003">
        <v>4</v>
      </c>
      <c r="J23" s="1005">
        <v>8</v>
      </c>
      <c r="K23" s="1"/>
      <c r="L23"/>
      <c r="M23" s="1002">
        <v>20</v>
      </c>
      <c r="N23" s="1003">
        <v>0</v>
      </c>
      <c r="O23" s="1003">
        <v>5</v>
      </c>
      <c r="P23" s="1003"/>
      <c r="Q23" s="1003">
        <f t="shared" si="1"/>
        <v>5</v>
      </c>
      <c r="R23" s="1004"/>
      <c r="S23" s="1003">
        <v>0</v>
      </c>
      <c r="T23" s="1003">
        <v>2</v>
      </c>
      <c r="U23" s="1005">
        <v>8</v>
      </c>
      <c r="V23"/>
      <c r="W23" s="1002">
        <v>20</v>
      </c>
      <c r="X23" s="1003"/>
      <c r="Y23" s="1003"/>
      <c r="Z23" s="1003">
        <v>4</v>
      </c>
      <c r="AA23" s="1003">
        <f t="shared" si="8"/>
        <v>4</v>
      </c>
      <c r="AB23" s="1004"/>
      <c r="AC23" s="1003">
        <v>0</v>
      </c>
      <c r="AD23" s="1003">
        <v>0</v>
      </c>
      <c r="AE23" s="1005">
        <v>8</v>
      </c>
      <c r="AF23"/>
      <c r="AG23" s="1002">
        <v>20</v>
      </c>
      <c r="AH23" s="1003"/>
      <c r="AI23" s="1003"/>
      <c r="AJ23" s="1003">
        <v>4</v>
      </c>
      <c r="AK23" s="1003"/>
      <c r="AL23" s="1003">
        <f t="shared" si="3"/>
        <v>4</v>
      </c>
      <c r="AM23" s="1004"/>
      <c r="AN23" s="1003">
        <v>0</v>
      </c>
      <c r="AO23" s="1003">
        <v>0</v>
      </c>
      <c r="AP23" s="1005">
        <v>8</v>
      </c>
      <c r="AQ23"/>
      <c r="AR23" s="1002">
        <v>20</v>
      </c>
      <c r="AS23" s="1003"/>
      <c r="AT23" s="1003"/>
      <c r="AU23" s="1003"/>
      <c r="AV23" s="1003">
        <v>1</v>
      </c>
      <c r="AW23" s="1003">
        <v>2</v>
      </c>
      <c r="AX23" s="1003">
        <f t="shared" si="4"/>
        <v>3</v>
      </c>
      <c r="AY23" s="1004"/>
      <c r="AZ23" s="1003">
        <v>0</v>
      </c>
      <c r="BA23" s="1003">
        <v>2</v>
      </c>
      <c r="BB23" s="1005">
        <v>4</v>
      </c>
      <c r="BC23"/>
      <c r="BD23" s="1002">
        <v>20</v>
      </c>
      <c r="BE23" s="1003"/>
      <c r="BF23" s="1003"/>
      <c r="BG23" s="1003"/>
      <c r="BH23" s="1003">
        <v>1</v>
      </c>
      <c r="BI23" s="1003">
        <v>2</v>
      </c>
      <c r="BJ23" s="1003"/>
      <c r="BK23" s="1003">
        <f t="shared" si="5"/>
        <v>3</v>
      </c>
      <c r="BL23" s="1004"/>
      <c r="BM23" s="1003">
        <v>0</v>
      </c>
      <c r="BN23" s="1003">
        <v>2</v>
      </c>
      <c r="BO23" s="1005">
        <v>4</v>
      </c>
      <c r="BP23"/>
      <c r="BQ23" s="1002">
        <v>20</v>
      </c>
      <c r="BR23" s="1003"/>
      <c r="BS23" s="1003"/>
      <c r="BT23" s="1003"/>
      <c r="BU23" s="1003">
        <v>1</v>
      </c>
      <c r="BV23" s="1003">
        <v>2</v>
      </c>
      <c r="BW23" s="1003"/>
      <c r="BX23" s="1003"/>
      <c r="BY23" s="1003">
        <f t="shared" si="6"/>
        <v>3</v>
      </c>
      <c r="BZ23" s="1004"/>
      <c r="CA23" s="1003">
        <v>0</v>
      </c>
      <c r="CB23" s="1003">
        <v>2</v>
      </c>
      <c r="CC23" s="1005">
        <v>4</v>
      </c>
      <c r="CD23"/>
      <c r="CE23" s="1002">
        <v>20</v>
      </c>
      <c r="CF23" s="1003"/>
      <c r="CG23" s="1003"/>
      <c r="CH23" s="1003"/>
      <c r="CI23" s="1003"/>
      <c r="CJ23" s="1003"/>
      <c r="CK23" s="1003"/>
      <c r="CL23" s="1003"/>
      <c r="CM23" s="1003">
        <v>2</v>
      </c>
      <c r="CN23" s="1003">
        <f t="shared" si="7"/>
        <v>2</v>
      </c>
      <c r="CO23" s="1004"/>
      <c r="CP23" s="1003">
        <v>0</v>
      </c>
      <c r="CQ23" s="1003">
        <v>0</v>
      </c>
      <c r="CR23" s="1005">
        <v>4</v>
      </c>
    </row>
    <row r="24" spans="1:96" outlineLevel="1" x14ac:dyDescent="0.2">
      <c r="A24"/>
      <c r="B24" s="1002">
        <v>21</v>
      </c>
      <c r="C24" s="1003">
        <v>7</v>
      </c>
      <c r="D24" s="1003">
        <v>0</v>
      </c>
      <c r="E24" s="1003"/>
      <c r="F24" s="1003">
        <f t="shared" si="0"/>
        <v>7</v>
      </c>
      <c r="G24" s="1004"/>
      <c r="H24" s="1003">
        <v>0</v>
      </c>
      <c r="I24" s="1003">
        <v>6</v>
      </c>
      <c r="J24" s="1005">
        <v>8</v>
      </c>
      <c r="K24" s="1"/>
      <c r="L24"/>
      <c r="M24" s="1002">
        <v>21</v>
      </c>
      <c r="N24" s="1003">
        <v>3</v>
      </c>
      <c r="O24" s="1003">
        <v>3</v>
      </c>
      <c r="P24" s="1003"/>
      <c r="Q24" s="1003">
        <f t="shared" si="1"/>
        <v>6</v>
      </c>
      <c r="R24" s="1004"/>
      <c r="S24" s="1003">
        <v>0</v>
      </c>
      <c r="T24" s="1003">
        <v>4</v>
      </c>
      <c r="U24" s="1005">
        <v>8</v>
      </c>
      <c r="V24"/>
      <c r="W24" s="1002">
        <v>21</v>
      </c>
      <c r="X24" s="1003"/>
      <c r="Y24" s="1003">
        <v>4</v>
      </c>
      <c r="Z24" s="1003">
        <v>1</v>
      </c>
      <c r="AA24" s="1003">
        <f t="shared" si="8"/>
        <v>5</v>
      </c>
      <c r="AB24" s="1004"/>
      <c r="AC24" s="1003">
        <v>0</v>
      </c>
      <c r="AD24" s="1009">
        <v>2</v>
      </c>
      <c r="AE24" s="1005">
        <v>8</v>
      </c>
      <c r="AF24"/>
      <c r="AG24" s="1002">
        <v>21</v>
      </c>
      <c r="AH24" s="1003"/>
      <c r="AI24" s="1003"/>
      <c r="AJ24" s="1003">
        <v>3</v>
      </c>
      <c r="AK24" s="1003">
        <v>1</v>
      </c>
      <c r="AL24" s="1003">
        <f t="shared" si="3"/>
        <v>4</v>
      </c>
      <c r="AM24" s="1004"/>
      <c r="AN24" s="1003">
        <v>0</v>
      </c>
      <c r="AO24" s="1009">
        <v>0</v>
      </c>
      <c r="AP24" s="1005">
        <v>8</v>
      </c>
      <c r="AQ24"/>
      <c r="AR24" s="1002">
        <v>21</v>
      </c>
      <c r="AS24" s="1003"/>
      <c r="AT24" s="1003"/>
      <c r="AU24" s="1003"/>
      <c r="AV24" s="1003"/>
      <c r="AW24" s="1003">
        <v>3</v>
      </c>
      <c r="AX24" s="1003">
        <f t="shared" si="4"/>
        <v>3</v>
      </c>
      <c r="AY24" s="1004"/>
      <c r="AZ24" s="1003">
        <v>0</v>
      </c>
      <c r="BA24" s="1009">
        <v>2</v>
      </c>
      <c r="BB24" s="1005">
        <v>4</v>
      </c>
      <c r="BC24"/>
      <c r="BD24" s="1002">
        <v>21</v>
      </c>
      <c r="BE24" s="1003"/>
      <c r="BF24" s="1003"/>
      <c r="BG24" s="1003"/>
      <c r="BH24" s="1003"/>
      <c r="BI24" s="1003">
        <v>3</v>
      </c>
      <c r="BJ24" s="1003"/>
      <c r="BK24" s="1003">
        <f t="shared" si="5"/>
        <v>3</v>
      </c>
      <c r="BL24" s="1004"/>
      <c r="BM24" s="1003">
        <v>0</v>
      </c>
      <c r="BN24" s="1009">
        <v>2</v>
      </c>
      <c r="BO24" s="1005">
        <v>4</v>
      </c>
      <c r="BP24"/>
      <c r="BQ24" s="1002">
        <v>21</v>
      </c>
      <c r="BR24" s="1003"/>
      <c r="BS24" s="1003"/>
      <c r="BT24" s="1003"/>
      <c r="BU24" s="1003"/>
      <c r="BV24" s="1003">
        <v>3</v>
      </c>
      <c r="BW24" s="1003"/>
      <c r="BX24" s="1003"/>
      <c r="BY24" s="1003">
        <f t="shared" si="6"/>
        <v>3</v>
      </c>
      <c r="BZ24" s="1004"/>
      <c r="CA24" s="1003">
        <v>0</v>
      </c>
      <c r="CB24" s="1009">
        <v>2</v>
      </c>
      <c r="CC24" s="1005">
        <v>4</v>
      </c>
      <c r="CD24"/>
      <c r="CE24" s="1002">
        <v>21</v>
      </c>
      <c r="CF24" s="1003"/>
      <c r="CG24" s="1003"/>
      <c r="CH24" s="1003"/>
      <c r="CI24" s="1003"/>
      <c r="CJ24" s="1003">
        <v>3</v>
      </c>
      <c r="CK24" s="1003"/>
      <c r="CL24" s="1003"/>
      <c r="CM24" s="1003"/>
      <c r="CN24" s="1003">
        <f t="shared" si="7"/>
        <v>3</v>
      </c>
      <c r="CO24" s="1004"/>
      <c r="CP24" s="1003">
        <v>0</v>
      </c>
      <c r="CQ24" s="1009">
        <f>CQ14+2</f>
        <v>2</v>
      </c>
      <c r="CR24" s="1005">
        <v>4</v>
      </c>
    </row>
    <row r="25" spans="1:96" outlineLevel="1" x14ac:dyDescent="0.2">
      <c r="A25"/>
      <c r="B25" s="1002">
        <v>22</v>
      </c>
      <c r="C25" s="1003">
        <v>6</v>
      </c>
      <c r="D25" s="1003">
        <v>1</v>
      </c>
      <c r="E25" s="1003"/>
      <c r="F25" s="1003">
        <f t="shared" si="0"/>
        <v>7</v>
      </c>
      <c r="G25" s="1004"/>
      <c r="H25" s="1003">
        <v>0</v>
      </c>
      <c r="I25" s="1003">
        <v>6</v>
      </c>
      <c r="J25" s="1005">
        <v>8</v>
      </c>
      <c r="K25" s="1"/>
      <c r="L25"/>
      <c r="M25" s="1002">
        <v>22</v>
      </c>
      <c r="N25" s="1003">
        <v>2</v>
      </c>
      <c r="O25" s="1003">
        <v>4</v>
      </c>
      <c r="P25" s="1003"/>
      <c r="Q25" s="1003">
        <f t="shared" si="1"/>
        <v>6</v>
      </c>
      <c r="R25" s="1004"/>
      <c r="S25" s="1003">
        <v>0</v>
      </c>
      <c r="T25" s="1003">
        <v>4</v>
      </c>
      <c r="U25" s="1005">
        <v>8</v>
      </c>
      <c r="V25"/>
      <c r="W25" s="1002">
        <v>22</v>
      </c>
      <c r="X25" s="1003"/>
      <c r="Y25" s="1003">
        <v>3</v>
      </c>
      <c r="Z25" s="1003">
        <v>2</v>
      </c>
      <c r="AA25" s="1003">
        <f t="shared" si="8"/>
        <v>5</v>
      </c>
      <c r="AB25" s="1004"/>
      <c r="AC25" s="1003">
        <v>0</v>
      </c>
      <c r="AD25" s="1009">
        <v>2</v>
      </c>
      <c r="AE25" s="1005">
        <v>8</v>
      </c>
      <c r="AF25"/>
      <c r="AG25" s="1002">
        <v>22</v>
      </c>
      <c r="AH25" s="1003"/>
      <c r="AI25" s="1003"/>
      <c r="AJ25" s="1003">
        <v>2</v>
      </c>
      <c r="AK25" s="1003">
        <v>2</v>
      </c>
      <c r="AL25" s="1003">
        <f t="shared" si="3"/>
        <v>4</v>
      </c>
      <c r="AM25" s="1004"/>
      <c r="AN25" s="1003">
        <v>0</v>
      </c>
      <c r="AO25" s="1009">
        <v>0</v>
      </c>
      <c r="AP25" s="1005">
        <v>8</v>
      </c>
      <c r="AQ25"/>
      <c r="AR25" s="1002">
        <v>22</v>
      </c>
      <c r="AS25" s="1003"/>
      <c r="AT25" s="1003"/>
      <c r="AU25" s="1003">
        <v>2</v>
      </c>
      <c r="AV25" s="1003">
        <v>2</v>
      </c>
      <c r="AW25" s="1003"/>
      <c r="AX25" s="1003">
        <f t="shared" si="4"/>
        <v>4</v>
      </c>
      <c r="AY25" s="1004"/>
      <c r="AZ25" s="1003">
        <v>0</v>
      </c>
      <c r="BA25" s="1009">
        <v>0</v>
      </c>
      <c r="BB25" s="1005">
        <v>8</v>
      </c>
      <c r="BC25"/>
      <c r="BD25" s="1002">
        <v>22</v>
      </c>
      <c r="BE25" s="1003"/>
      <c r="BF25" s="1003"/>
      <c r="BG25" s="1003"/>
      <c r="BH25" s="1003"/>
      <c r="BI25" s="1003">
        <v>2</v>
      </c>
      <c r="BJ25" s="1003">
        <v>1</v>
      </c>
      <c r="BK25" s="1003">
        <f t="shared" si="5"/>
        <v>3</v>
      </c>
      <c r="BL25" s="1004"/>
      <c r="BM25" s="1003">
        <v>0</v>
      </c>
      <c r="BN25" s="1009">
        <v>2</v>
      </c>
      <c r="BO25" s="1005">
        <v>4</v>
      </c>
      <c r="BP25"/>
      <c r="BQ25" s="1002">
        <v>22</v>
      </c>
      <c r="BR25" s="1003"/>
      <c r="BS25" s="1003"/>
      <c r="BT25" s="1003"/>
      <c r="BU25" s="1003"/>
      <c r="BV25" s="1003">
        <v>2</v>
      </c>
      <c r="BW25" s="1003">
        <v>1</v>
      </c>
      <c r="BX25" s="1003"/>
      <c r="BY25" s="1003">
        <f t="shared" si="6"/>
        <v>3</v>
      </c>
      <c r="BZ25" s="1004"/>
      <c r="CA25" s="1003">
        <v>0</v>
      </c>
      <c r="CB25" s="1009">
        <v>2</v>
      </c>
      <c r="CC25" s="1005">
        <v>4</v>
      </c>
      <c r="CD25"/>
      <c r="CE25" s="1002">
        <v>22</v>
      </c>
      <c r="CF25" s="1003"/>
      <c r="CG25" s="1003"/>
      <c r="CH25" s="1003"/>
      <c r="CI25" s="1003"/>
      <c r="CJ25" s="1003">
        <v>2</v>
      </c>
      <c r="CK25" s="1003">
        <v>1</v>
      </c>
      <c r="CL25" s="1003"/>
      <c r="CM25" s="1003"/>
      <c r="CN25" s="1003">
        <f t="shared" si="7"/>
        <v>3</v>
      </c>
      <c r="CO25" s="1004"/>
      <c r="CP25" s="1003">
        <v>0</v>
      </c>
      <c r="CQ25" s="1009">
        <f t="shared" ref="CQ25:CQ33" si="9">CQ15+2</f>
        <v>2</v>
      </c>
      <c r="CR25" s="1005">
        <v>4</v>
      </c>
    </row>
    <row r="26" spans="1:96" outlineLevel="1" x14ac:dyDescent="0.2">
      <c r="A26"/>
      <c r="B26" s="1002">
        <v>23</v>
      </c>
      <c r="C26" s="1003">
        <v>5</v>
      </c>
      <c r="D26" s="1003">
        <v>2</v>
      </c>
      <c r="E26" s="1003"/>
      <c r="F26" s="1003">
        <f t="shared" si="0"/>
        <v>7</v>
      </c>
      <c r="G26" s="1004"/>
      <c r="H26" s="1003">
        <v>0</v>
      </c>
      <c r="I26" s="1003">
        <v>6</v>
      </c>
      <c r="J26" s="1005">
        <v>8</v>
      </c>
      <c r="K26" s="1"/>
      <c r="L26"/>
      <c r="M26" s="1002">
        <v>23</v>
      </c>
      <c r="N26" s="1003">
        <v>1</v>
      </c>
      <c r="O26" s="1003">
        <v>5</v>
      </c>
      <c r="P26" s="1003"/>
      <c r="Q26" s="1003">
        <f t="shared" si="1"/>
        <v>6</v>
      </c>
      <c r="R26" s="1004"/>
      <c r="S26" s="1003">
        <v>0</v>
      </c>
      <c r="T26" s="1003">
        <v>4</v>
      </c>
      <c r="U26" s="1005">
        <v>8</v>
      </c>
      <c r="V26"/>
      <c r="W26" s="1002">
        <v>23</v>
      </c>
      <c r="X26" s="1003"/>
      <c r="Y26" s="1003">
        <v>2</v>
      </c>
      <c r="Z26" s="1003">
        <v>3</v>
      </c>
      <c r="AA26" s="1003">
        <f t="shared" si="8"/>
        <v>5</v>
      </c>
      <c r="AB26" s="1004"/>
      <c r="AC26" s="1003">
        <v>0</v>
      </c>
      <c r="AD26" s="1009">
        <v>2</v>
      </c>
      <c r="AE26" s="1005">
        <v>8</v>
      </c>
      <c r="AF26"/>
      <c r="AG26" s="1002">
        <v>23</v>
      </c>
      <c r="AH26" s="1003"/>
      <c r="AI26" s="1003"/>
      <c r="AJ26" s="1003">
        <v>1</v>
      </c>
      <c r="AK26" s="1003">
        <v>3</v>
      </c>
      <c r="AL26" s="1003">
        <f t="shared" si="3"/>
        <v>4</v>
      </c>
      <c r="AM26" s="1004"/>
      <c r="AN26" s="1003">
        <v>0</v>
      </c>
      <c r="AO26" s="1009">
        <v>0</v>
      </c>
      <c r="AP26" s="1005">
        <v>8</v>
      </c>
      <c r="AQ26"/>
      <c r="AR26" s="1002">
        <v>23</v>
      </c>
      <c r="AS26" s="1003"/>
      <c r="AT26" s="1003"/>
      <c r="AU26" s="1003">
        <v>1</v>
      </c>
      <c r="AV26" s="1003">
        <v>3</v>
      </c>
      <c r="AW26" s="1003"/>
      <c r="AX26" s="1003">
        <f t="shared" si="4"/>
        <v>4</v>
      </c>
      <c r="AY26" s="1004"/>
      <c r="AZ26" s="1003">
        <v>0</v>
      </c>
      <c r="BA26" s="1009">
        <v>0</v>
      </c>
      <c r="BB26" s="1005">
        <v>8</v>
      </c>
      <c r="BC26"/>
      <c r="BD26" s="1002">
        <v>23</v>
      </c>
      <c r="BE26" s="1003"/>
      <c r="BF26" s="1003"/>
      <c r="BG26" s="1003"/>
      <c r="BH26" s="1003"/>
      <c r="BI26" s="1003">
        <v>1</v>
      </c>
      <c r="BJ26" s="1003">
        <v>2</v>
      </c>
      <c r="BK26" s="1003">
        <f t="shared" si="5"/>
        <v>3</v>
      </c>
      <c r="BL26" s="1004"/>
      <c r="BM26" s="1003">
        <v>0</v>
      </c>
      <c r="BN26" s="1009">
        <v>2</v>
      </c>
      <c r="BO26" s="1005">
        <v>4</v>
      </c>
      <c r="BP26"/>
      <c r="BQ26" s="1002">
        <v>23</v>
      </c>
      <c r="BR26" s="1003"/>
      <c r="BS26" s="1003"/>
      <c r="BT26" s="1003"/>
      <c r="BU26" s="1003"/>
      <c r="BV26" s="1003">
        <v>1</v>
      </c>
      <c r="BW26" s="1003">
        <v>2</v>
      </c>
      <c r="BX26" s="1003"/>
      <c r="BY26" s="1003">
        <f t="shared" si="6"/>
        <v>3</v>
      </c>
      <c r="BZ26" s="1004"/>
      <c r="CA26" s="1003">
        <v>0</v>
      </c>
      <c r="CB26" s="1009">
        <v>2</v>
      </c>
      <c r="CC26" s="1005">
        <v>4</v>
      </c>
      <c r="CD26"/>
      <c r="CE26" s="1002">
        <v>23</v>
      </c>
      <c r="CF26" s="1003"/>
      <c r="CG26" s="1003"/>
      <c r="CH26" s="1003"/>
      <c r="CI26" s="1003"/>
      <c r="CJ26" s="1003">
        <v>1</v>
      </c>
      <c r="CK26" s="1003">
        <v>2</v>
      </c>
      <c r="CL26" s="1003"/>
      <c r="CM26" s="1003"/>
      <c r="CN26" s="1003">
        <f t="shared" si="7"/>
        <v>3</v>
      </c>
      <c r="CO26" s="1004"/>
      <c r="CP26" s="1003">
        <v>0</v>
      </c>
      <c r="CQ26" s="1009">
        <f t="shared" si="9"/>
        <v>2</v>
      </c>
      <c r="CR26" s="1005">
        <v>4</v>
      </c>
    </row>
    <row r="27" spans="1:96" outlineLevel="1" x14ac:dyDescent="0.2">
      <c r="A27"/>
      <c r="B27" s="1002">
        <v>24</v>
      </c>
      <c r="C27" s="1003">
        <v>8</v>
      </c>
      <c r="D27" s="1003">
        <v>0</v>
      </c>
      <c r="E27" s="1003"/>
      <c r="F27" s="1003">
        <f t="shared" si="0"/>
        <v>8</v>
      </c>
      <c r="G27" s="1004"/>
      <c r="H27" s="1003">
        <v>0</v>
      </c>
      <c r="I27" s="1003">
        <v>0</v>
      </c>
      <c r="J27" s="1005">
        <v>16</v>
      </c>
      <c r="K27" s="1"/>
      <c r="L27"/>
      <c r="M27" s="1002">
        <v>24</v>
      </c>
      <c r="N27" s="1003">
        <v>0</v>
      </c>
      <c r="O27" s="1003">
        <v>6</v>
      </c>
      <c r="P27" s="1003"/>
      <c r="Q27" s="1003">
        <f t="shared" si="1"/>
        <v>6</v>
      </c>
      <c r="R27" s="1004"/>
      <c r="S27" s="1003">
        <v>0</v>
      </c>
      <c r="T27" s="1003">
        <v>4</v>
      </c>
      <c r="U27" s="1005">
        <v>8</v>
      </c>
      <c r="V27"/>
      <c r="W27" s="1002">
        <v>24</v>
      </c>
      <c r="X27" s="1003"/>
      <c r="Y27" s="1003">
        <v>1</v>
      </c>
      <c r="Z27" s="1003">
        <v>4</v>
      </c>
      <c r="AA27" s="1003">
        <f t="shared" si="8"/>
        <v>5</v>
      </c>
      <c r="AB27" s="1004"/>
      <c r="AC27" s="1003">
        <v>0</v>
      </c>
      <c r="AD27" s="1009">
        <v>2</v>
      </c>
      <c r="AE27" s="1005">
        <v>8</v>
      </c>
      <c r="AF27"/>
      <c r="AG27" s="1002">
        <v>24</v>
      </c>
      <c r="AH27" s="1003"/>
      <c r="AI27" s="1003"/>
      <c r="AJ27" s="1003"/>
      <c r="AK27" s="1003">
        <v>4</v>
      </c>
      <c r="AL27" s="1003">
        <f t="shared" si="3"/>
        <v>4</v>
      </c>
      <c r="AM27" s="1004"/>
      <c r="AN27" s="1003">
        <v>0</v>
      </c>
      <c r="AO27" s="1009">
        <v>0</v>
      </c>
      <c r="AP27" s="1005">
        <v>8</v>
      </c>
      <c r="AQ27"/>
      <c r="AR27" s="1002">
        <v>24</v>
      </c>
      <c r="AS27" s="1003"/>
      <c r="AT27" s="1003"/>
      <c r="AU27" s="1003"/>
      <c r="AV27" s="1003">
        <v>4</v>
      </c>
      <c r="AW27" s="1003"/>
      <c r="AX27" s="1003">
        <f t="shared" si="4"/>
        <v>4</v>
      </c>
      <c r="AY27" s="1004"/>
      <c r="AZ27" s="1003">
        <v>0</v>
      </c>
      <c r="BA27" s="1009">
        <v>0</v>
      </c>
      <c r="BB27" s="1005">
        <v>8</v>
      </c>
      <c r="BC27"/>
      <c r="BD27" s="1002">
        <v>24</v>
      </c>
      <c r="BE27" s="1003"/>
      <c r="BF27" s="1003"/>
      <c r="BG27" s="1003"/>
      <c r="BH27" s="1003"/>
      <c r="BI27" s="1003"/>
      <c r="BJ27" s="1003">
        <v>3</v>
      </c>
      <c r="BK27" s="1003">
        <f t="shared" si="5"/>
        <v>3</v>
      </c>
      <c r="BL27" s="1004"/>
      <c r="BM27" s="1003">
        <v>0</v>
      </c>
      <c r="BN27" s="1009">
        <v>2</v>
      </c>
      <c r="BO27" s="1005">
        <v>4</v>
      </c>
      <c r="BP27"/>
      <c r="BQ27" s="1002">
        <v>24</v>
      </c>
      <c r="BR27" s="1003"/>
      <c r="BS27" s="1003"/>
      <c r="BT27" s="1003"/>
      <c r="BU27" s="1003"/>
      <c r="BV27" s="1003"/>
      <c r="BW27" s="1003">
        <v>3</v>
      </c>
      <c r="BX27" s="1003"/>
      <c r="BY27" s="1003">
        <f t="shared" si="6"/>
        <v>3</v>
      </c>
      <c r="BZ27" s="1004"/>
      <c r="CA27" s="1003">
        <v>0</v>
      </c>
      <c r="CB27" s="1009">
        <v>2</v>
      </c>
      <c r="CC27" s="1005">
        <v>4</v>
      </c>
      <c r="CD27"/>
      <c r="CE27" s="1002">
        <v>24</v>
      </c>
      <c r="CF27" s="1003"/>
      <c r="CG27" s="1003"/>
      <c r="CH27" s="1003"/>
      <c r="CI27" s="1003"/>
      <c r="CJ27" s="1003"/>
      <c r="CK27" s="1003">
        <v>3</v>
      </c>
      <c r="CL27" s="1003"/>
      <c r="CM27" s="1003"/>
      <c r="CN27" s="1003">
        <f t="shared" si="7"/>
        <v>3</v>
      </c>
      <c r="CO27" s="1004"/>
      <c r="CP27" s="1003">
        <v>0</v>
      </c>
      <c r="CQ27" s="1009">
        <f t="shared" si="9"/>
        <v>2</v>
      </c>
      <c r="CR27" s="1005">
        <v>4</v>
      </c>
    </row>
    <row r="28" spans="1:96" outlineLevel="1" x14ac:dyDescent="0.2">
      <c r="A28"/>
      <c r="B28" s="1002">
        <v>25</v>
      </c>
      <c r="C28" s="1003">
        <v>7</v>
      </c>
      <c r="D28" s="1003">
        <v>1</v>
      </c>
      <c r="E28" s="1003"/>
      <c r="F28" s="1003">
        <f t="shared" si="0"/>
        <v>8</v>
      </c>
      <c r="G28" s="1004"/>
      <c r="H28" s="1003">
        <v>0</v>
      </c>
      <c r="I28" s="1003">
        <v>0</v>
      </c>
      <c r="J28" s="1005">
        <v>16</v>
      </c>
      <c r="K28" s="1"/>
      <c r="L28"/>
      <c r="M28" s="1002">
        <v>25</v>
      </c>
      <c r="N28" s="1003">
        <v>3</v>
      </c>
      <c r="O28" s="1003">
        <v>4</v>
      </c>
      <c r="P28" s="1003"/>
      <c r="Q28" s="1003">
        <f t="shared" si="1"/>
        <v>7</v>
      </c>
      <c r="R28" s="1004"/>
      <c r="S28" s="1003">
        <v>0</v>
      </c>
      <c r="T28" s="1003">
        <v>6</v>
      </c>
      <c r="U28" s="1005">
        <v>8</v>
      </c>
      <c r="V28"/>
      <c r="W28" s="1002">
        <v>25</v>
      </c>
      <c r="X28" s="1003"/>
      <c r="Y28" s="1003"/>
      <c r="Z28" s="1003">
        <v>5</v>
      </c>
      <c r="AA28" s="1003">
        <f t="shared" si="8"/>
        <v>5</v>
      </c>
      <c r="AB28" s="1004"/>
      <c r="AC28" s="1003">
        <v>0</v>
      </c>
      <c r="AD28" s="1009">
        <v>2</v>
      </c>
      <c r="AE28" s="1005">
        <v>8</v>
      </c>
      <c r="AF28"/>
      <c r="AG28" s="1002">
        <v>25</v>
      </c>
      <c r="AH28" s="1003"/>
      <c r="AI28" s="1003"/>
      <c r="AJ28" s="1003">
        <v>5</v>
      </c>
      <c r="AK28" s="1003"/>
      <c r="AL28" s="1003">
        <f t="shared" si="3"/>
        <v>5</v>
      </c>
      <c r="AM28" s="1004"/>
      <c r="AN28" s="1003">
        <v>0</v>
      </c>
      <c r="AO28" s="1009">
        <v>2</v>
      </c>
      <c r="AP28" s="1005">
        <v>8</v>
      </c>
      <c r="AQ28"/>
      <c r="AR28" s="1002">
        <v>25</v>
      </c>
      <c r="AS28" s="1003"/>
      <c r="AT28" s="1003"/>
      <c r="AU28" s="1003"/>
      <c r="AV28" s="1003">
        <v>3</v>
      </c>
      <c r="AW28" s="1003">
        <v>1</v>
      </c>
      <c r="AX28" s="1003">
        <f t="shared" si="4"/>
        <v>4</v>
      </c>
      <c r="AY28" s="1004"/>
      <c r="AZ28" s="1003">
        <v>0</v>
      </c>
      <c r="BA28" s="1009">
        <v>0</v>
      </c>
      <c r="BB28" s="1005">
        <v>8</v>
      </c>
      <c r="BC28"/>
      <c r="BD28" s="1002">
        <v>25</v>
      </c>
      <c r="BE28" s="1003"/>
      <c r="BF28" s="1003"/>
      <c r="BG28" s="1003"/>
      <c r="BH28" s="1003">
        <v>3</v>
      </c>
      <c r="BI28" s="1003">
        <v>1</v>
      </c>
      <c r="BJ28" s="1003"/>
      <c r="BK28" s="1003">
        <f t="shared" si="5"/>
        <v>4</v>
      </c>
      <c r="BL28" s="1004"/>
      <c r="BM28" s="1003">
        <v>0</v>
      </c>
      <c r="BN28" s="1009">
        <v>0</v>
      </c>
      <c r="BO28" s="1005">
        <v>8</v>
      </c>
      <c r="BP28"/>
      <c r="BQ28" s="1002">
        <v>25</v>
      </c>
      <c r="BR28" s="1003"/>
      <c r="BS28" s="1003"/>
      <c r="BT28" s="1003"/>
      <c r="BU28" s="1003"/>
      <c r="BV28" s="1003"/>
      <c r="BW28" s="1003">
        <v>2</v>
      </c>
      <c r="BX28" s="1003">
        <v>1</v>
      </c>
      <c r="BY28" s="1003">
        <f t="shared" si="6"/>
        <v>3</v>
      </c>
      <c r="BZ28" s="1004"/>
      <c r="CA28" s="1003">
        <v>0</v>
      </c>
      <c r="CB28" s="1009">
        <v>2</v>
      </c>
      <c r="CC28" s="1005">
        <v>4</v>
      </c>
      <c r="CD28"/>
      <c r="CE28" s="1002">
        <v>25</v>
      </c>
      <c r="CF28" s="1003"/>
      <c r="CG28" s="1003"/>
      <c r="CH28" s="1003"/>
      <c r="CI28" s="1003"/>
      <c r="CJ28" s="1003"/>
      <c r="CK28" s="1003">
        <v>2</v>
      </c>
      <c r="CL28" s="1003">
        <v>1</v>
      </c>
      <c r="CM28" s="1003"/>
      <c r="CN28" s="1003">
        <f t="shared" si="7"/>
        <v>3</v>
      </c>
      <c r="CO28" s="1004"/>
      <c r="CP28" s="1003">
        <v>0</v>
      </c>
      <c r="CQ28" s="1009">
        <f t="shared" si="9"/>
        <v>2</v>
      </c>
      <c r="CR28" s="1005">
        <v>4</v>
      </c>
    </row>
    <row r="29" spans="1:96" outlineLevel="1" x14ac:dyDescent="0.2">
      <c r="A29"/>
      <c r="B29" s="1002">
        <v>26</v>
      </c>
      <c r="C29" s="1003">
        <v>6</v>
      </c>
      <c r="D29" s="1003">
        <v>2</v>
      </c>
      <c r="E29" s="1003"/>
      <c r="F29" s="1003">
        <f t="shared" si="0"/>
        <v>8</v>
      </c>
      <c r="G29" s="1004"/>
      <c r="H29" s="1003">
        <v>0</v>
      </c>
      <c r="I29" s="1003">
        <v>0</v>
      </c>
      <c r="J29" s="1005">
        <v>16</v>
      </c>
      <c r="K29" s="1"/>
      <c r="L29"/>
      <c r="M29" s="1002">
        <v>26</v>
      </c>
      <c r="N29" s="1003">
        <v>2</v>
      </c>
      <c r="O29" s="1003">
        <v>5</v>
      </c>
      <c r="P29" s="1003"/>
      <c r="Q29" s="1003">
        <f t="shared" si="1"/>
        <v>7</v>
      </c>
      <c r="R29" s="1004"/>
      <c r="S29" s="1003">
        <v>0</v>
      </c>
      <c r="T29" s="1003">
        <v>6</v>
      </c>
      <c r="U29" s="1005">
        <v>8</v>
      </c>
      <c r="V29"/>
      <c r="W29" s="1002">
        <v>26</v>
      </c>
      <c r="X29" s="1003"/>
      <c r="Y29" s="1003">
        <v>4</v>
      </c>
      <c r="Z29" s="1003">
        <f t="shared" ref="Z29:Z38" si="10">Z24+1</f>
        <v>2</v>
      </c>
      <c r="AA29" s="1003">
        <f t="shared" si="8"/>
        <v>6</v>
      </c>
      <c r="AB29" s="1004"/>
      <c r="AC29" s="1003">
        <v>0</v>
      </c>
      <c r="AD29" s="1003">
        <v>4</v>
      </c>
      <c r="AE29" s="1005">
        <v>8</v>
      </c>
      <c r="AF29"/>
      <c r="AG29" s="1002">
        <v>26</v>
      </c>
      <c r="AH29" s="1003"/>
      <c r="AI29" s="1003"/>
      <c r="AJ29" s="1003">
        <v>4</v>
      </c>
      <c r="AK29" s="1003">
        <v>1</v>
      </c>
      <c r="AL29" s="1003">
        <f t="shared" si="3"/>
        <v>5</v>
      </c>
      <c r="AM29" s="1004"/>
      <c r="AN29" s="1003">
        <v>0</v>
      </c>
      <c r="AO29" s="1003">
        <v>2</v>
      </c>
      <c r="AP29" s="1005">
        <v>8</v>
      </c>
      <c r="AQ29"/>
      <c r="AR29" s="1002">
        <v>26</v>
      </c>
      <c r="AS29" s="1003"/>
      <c r="AT29" s="1003"/>
      <c r="AU29" s="1003"/>
      <c r="AV29" s="1003">
        <v>2</v>
      </c>
      <c r="AW29" s="1003">
        <v>2</v>
      </c>
      <c r="AX29" s="1003">
        <f t="shared" si="4"/>
        <v>4</v>
      </c>
      <c r="AY29" s="1004"/>
      <c r="AZ29" s="1003">
        <v>0</v>
      </c>
      <c r="BA29" s="1003">
        <v>0</v>
      </c>
      <c r="BB29" s="1005">
        <v>8</v>
      </c>
      <c r="BC29"/>
      <c r="BD29" s="1002">
        <v>26</v>
      </c>
      <c r="BE29" s="1003"/>
      <c r="BF29" s="1003"/>
      <c r="BG29" s="1003"/>
      <c r="BH29" s="1003">
        <v>2</v>
      </c>
      <c r="BI29" s="1003">
        <v>2</v>
      </c>
      <c r="BJ29" s="1003"/>
      <c r="BK29" s="1003">
        <f t="shared" si="5"/>
        <v>4</v>
      </c>
      <c r="BL29" s="1004"/>
      <c r="BM29" s="1003">
        <v>0</v>
      </c>
      <c r="BN29" s="1003">
        <v>0</v>
      </c>
      <c r="BO29" s="1005">
        <v>8</v>
      </c>
      <c r="BP29"/>
      <c r="BQ29" s="1002">
        <v>26</v>
      </c>
      <c r="BR29" s="1003"/>
      <c r="BS29" s="1003"/>
      <c r="BT29" s="1003"/>
      <c r="BU29" s="1003"/>
      <c r="BV29" s="1003"/>
      <c r="BW29" s="1003">
        <v>1</v>
      </c>
      <c r="BX29" s="1003">
        <v>2</v>
      </c>
      <c r="BY29" s="1003">
        <f t="shared" si="6"/>
        <v>3</v>
      </c>
      <c r="BZ29" s="1004"/>
      <c r="CA29" s="1003">
        <v>0</v>
      </c>
      <c r="CB29" s="1003">
        <v>2</v>
      </c>
      <c r="CC29" s="1005">
        <v>4</v>
      </c>
      <c r="CD29"/>
      <c r="CE29" s="1002">
        <v>26</v>
      </c>
      <c r="CF29" s="1003"/>
      <c r="CG29" s="1003"/>
      <c r="CH29" s="1003"/>
      <c r="CI29" s="1003"/>
      <c r="CJ29" s="1003"/>
      <c r="CK29" s="1003">
        <v>1</v>
      </c>
      <c r="CL29" s="1003">
        <v>2</v>
      </c>
      <c r="CM29" s="1003"/>
      <c r="CN29" s="1003">
        <f t="shared" si="7"/>
        <v>3</v>
      </c>
      <c r="CO29" s="1004"/>
      <c r="CP29" s="1003">
        <v>0</v>
      </c>
      <c r="CQ29" s="1009">
        <f t="shared" si="9"/>
        <v>2</v>
      </c>
      <c r="CR29" s="1005">
        <v>4</v>
      </c>
    </row>
    <row r="30" spans="1:96" outlineLevel="1" x14ac:dyDescent="0.2">
      <c r="A30"/>
      <c r="B30" s="1002">
        <v>27</v>
      </c>
      <c r="C30" s="1003">
        <v>9</v>
      </c>
      <c r="D30" s="1003">
        <v>0</v>
      </c>
      <c r="E30" s="1003"/>
      <c r="F30" s="1003">
        <f t="shared" si="0"/>
        <v>9</v>
      </c>
      <c r="G30" s="1004"/>
      <c r="H30" s="1003">
        <v>0</v>
      </c>
      <c r="I30" s="1003">
        <v>2</v>
      </c>
      <c r="J30" s="1005">
        <v>16</v>
      </c>
      <c r="K30" s="1"/>
      <c r="L30"/>
      <c r="M30" s="1002">
        <v>27</v>
      </c>
      <c r="N30" s="1003">
        <v>1</v>
      </c>
      <c r="O30" s="1003">
        <v>6</v>
      </c>
      <c r="P30" s="1003"/>
      <c r="Q30" s="1003">
        <f t="shared" si="1"/>
        <v>7</v>
      </c>
      <c r="R30" s="1004"/>
      <c r="S30" s="1003">
        <v>0</v>
      </c>
      <c r="T30" s="1003">
        <v>6</v>
      </c>
      <c r="U30" s="1005">
        <v>8</v>
      </c>
      <c r="V30"/>
      <c r="W30" s="1002">
        <v>27</v>
      </c>
      <c r="X30" s="1003"/>
      <c r="Y30" s="1003">
        <v>3</v>
      </c>
      <c r="Z30" s="1003">
        <f t="shared" si="10"/>
        <v>3</v>
      </c>
      <c r="AA30" s="1003">
        <f t="shared" si="8"/>
        <v>6</v>
      </c>
      <c r="AB30" s="1004"/>
      <c r="AC30" s="1003">
        <v>0</v>
      </c>
      <c r="AD30" s="1003">
        <v>4</v>
      </c>
      <c r="AE30" s="1005">
        <v>8</v>
      </c>
      <c r="AF30"/>
      <c r="AG30" s="1002">
        <v>27</v>
      </c>
      <c r="AH30" s="1003"/>
      <c r="AI30" s="1003"/>
      <c r="AJ30" s="1003">
        <v>3</v>
      </c>
      <c r="AK30" s="1003">
        <v>2</v>
      </c>
      <c r="AL30" s="1003">
        <f t="shared" si="3"/>
        <v>5</v>
      </c>
      <c r="AM30" s="1004"/>
      <c r="AN30" s="1003">
        <v>0</v>
      </c>
      <c r="AO30" s="1003">
        <v>2</v>
      </c>
      <c r="AP30" s="1005">
        <v>8</v>
      </c>
      <c r="AQ30"/>
      <c r="AR30" s="1002">
        <v>27</v>
      </c>
      <c r="AS30" s="1003"/>
      <c r="AT30" s="1003"/>
      <c r="AU30" s="1003"/>
      <c r="AV30" s="1003">
        <v>1</v>
      </c>
      <c r="AW30" s="1003">
        <v>3</v>
      </c>
      <c r="AX30" s="1003">
        <f t="shared" si="4"/>
        <v>4</v>
      </c>
      <c r="AY30" s="1004"/>
      <c r="AZ30" s="1003">
        <v>0</v>
      </c>
      <c r="BA30" s="1003">
        <v>0</v>
      </c>
      <c r="BB30" s="1005">
        <v>8</v>
      </c>
      <c r="BC30"/>
      <c r="BD30" s="1002">
        <v>27</v>
      </c>
      <c r="BE30" s="1003"/>
      <c r="BF30" s="1003"/>
      <c r="BG30" s="1003"/>
      <c r="BH30" s="1003">
        <v>1</v>
      </c>
      <c r="BI30" s="1003">
        <v>3</v>
      </c>
      <c r="BJ30" s="1003"/>
      <c r="BK30" s="1003">
        <f t="shared" si="5"/>
        <v>4</v>
      </c>
      <c r="BL30" s="1004"/>
      <c r="BM30" s="1003">
        <v>0</v>
      </c>
      <c r="BN30" s="1003">
        <v>0</v>
      </c>
      <c r="BO30" s="1005">
        <v>8</v>
      </c>
      <c r="BP30"/>
      <c r="BQ30" s="1002">
        <v>27</v>
      </c>
      <c r="BR30" s="1003"/>
      <c r="BS30" s="1003"/>
      <c r="BT30" s="1003"/>
      <c r="BU30" s="1003"/>
      <c r="BV30" s="1003"/>
      <c r="BW30" s="1003"/>
      <c r="BX30" s="1003">
        <v>3</v>
      </c>
      <c r="BY30" s="1003">
        <f t="shared" si="6"/>
        <v>3</v>
      </c>
      <c r="BZ30" s="1004"/>
      <c r="CA30" s="1003">
        <v>0</v>
      </c>
      <c r="CB30" s="1003">
        <v>2</v>
      </c>
      <c r="CC30" s="1005">
        <v>4</v>
      </c>
      <c r="CD30"/>
      <c r="CE30" s="1002">
        <v>27</v>
      </c>
      <c r="CF30" s="1003"/>
      <c r="CG30" s="1003"/>
      <c r="CH30" s="1003"/>
      <c r="CI30" s="1003"/>
      <c r="CJ30" s="1003"/>
      <c r="CK30" s="1003"/>
      <c r="CL30" s="1003">
        <v>3</v>
      </c>
      <c r="CM30" s="1003"/>
      <c r="CN30" s="1003">
        <f t="shared" si="7"/>
        <v>3</v>
      </c>
      <c r="CO30" s="1004"/>
      <c r="CP30" s="1003">
        <v>0</v>
      </c>
      <c r="CQ30" s="1009">
        <f t="shared" si="9"/>
        <v>2</v>
      </c>
      <c r="CR30" s="1005">
        <v>4</v>
      </c>
    </row>
    <row r="31" spans="1:96" outlineLevel="1" x14ac:dyDescent="0.2">
      <c r="A31"/>
      <c r="B31" s="1002">
        <v>28</v>
      </c>
      <c r="C31" s="1003">
        <v>8</v>
      </c>
      <c r="D31" s="1003">
        <v>1</v>
      </c>
      <c r="E31" s="1003"/>
      <c r="F31" s="1003">
        <f t="shared" si="0"/>
        <v>9</v>
      </c>
      <c r="G31" s="1004"/>
      <c r="H31" s="1003">
        <v>0</v>
      </c>
      <c r="I31" s="1003">
        <v>2</v>
      </c>
      <c r="J31" s="1005">
        <v>16</v>
      </c>
      <c r="K31" s="1"/>
      <c r="L31"/>
      <c r="M31" s="1002">
        <v>28</v>
      </c>
      <c r="N31" s="1003">
        <v>0</v>
      </c>
      <c r="O31" s="1003">
        <v>7</v>
      </c>
      <c r="P31" s="1003"/>
      <c r="Q31" s="1003">
        <f t="shared" si="1"/>
        <v>7</v>
      </c>
      <c r="R31" s="1004"/>
      <c r="S31" s="1003">
        <v>0</v>
      </c>
      <c r="T31" s="1003">
        <v>6</v>
      </c>
      <c r="U31" s="1005">
        <v>8</v>
      </c>
      <c r="V31"/>
      <c r="W31" s="1002">
        <v>28</v>
      </c>
      <c r="X31" s="1003"/>
      <c r="Y31" s="1003">
        <v>2</v>
      </c>
      <c r="Z31" s="1003">
        <f t="shared" si="10"/>
        <v>4</v>
      </c>
      <c r="AA31" s="1003">
        <f t="shared" si="8"/>
        <v>6</v>
      </c>
      <c r="AB31" s="1004"/>
      <c r="AC31" s="1003">
        <v>0</v>
      </c>
      <c r="AD31" s="1003">
        <v>4</v>
      </c>
      <c r="AE31" s="1005">
        <v>8</v>
      </c>
      <c r="AF31"/>
      <c r="AG31" s="1002">
        <v>28</v>
      </c>
      <c r="AH31" s="1003"/>
      <c r="AI31" s="1003"/>
      <c r="AJ31" s="1003">
        <v>2</v>
      </c>
      <c r="AK31" s="1003">
        <v>3</v>
      </c>
      <c r="AL31" s="1003">
        <f t="shared" si="3"/>
        <v>5</v>
      </c>
      <c r="AM31" s="1004"/>
      <c r="AN31" s="1003">
        <v>0</v>
      </c>
      <c r="AO31" s="1003">
        <v>2</v>
      </c>
      <c r="AP31" s="1005">
        <v>8</v>
      </c>
      <c r="AQ31"/>
      <c r="AR31" s="1002">
        <v>28</v>
      </c>
      <c r="AS31" s="1003"/>
      <c r="AT31" s="1003"/>
      <c r="AU31" s="1003"/>
      <c r="AV31" s="1003"/>
      <c r="AW31" s="1003">
        <v>4</v>
      </c>
      <c r="AX31" s="1003">
        <f t="shared" si="4"/>
        <v>4</v>
      </c>
      <c r="AY31" s="1004"/>
      <c r="AZ31" s="1003">
        <v>0</v>
      </c>
      <c r="BA31" s="1003">
        <v>0</v>
      </c>
      <c r="BB31" s="1005">
        <v>8</v>
      </c>
      <c r="BC31"/>
      <c r="BD31" s="1002">
        <v>28</v>
      </c>
      <c r="BE31" s="1003"/>
      <c r="BF31" s="1003"/>
      <c r="BG31" s="1003"/>
      <c r="BH31" s="1003"/>
      <c r="BI31" s="1003">
        <v>4</v>
      </c>
      <c r="BJ31" s="1003"/>
      <c r="BK31" s="1003">
        <f t="shared" si="5"/>
        <v>4</v>
      </c>
      <c r="BL31" s="1004"/>
      <c r="BM31" s="1003">
        <v>0</v>
      </c>
      <c r="BN31" s="1003">
        <v>0</v>
      </c>
      <c r="BO31" s="1005">
        <v>8</v>
      </c>
      <c r="BP31"/>
      <c r="BQ31" s="1002">
        <v>28</v>
      </c>
      <c r="BR31" s="1003"/>
      <c r="BS31" s="1003"/>
      <c r="BT31" s="1003"/>
      <c r="BU31" s="1003"/>
      <c r="BV31" s="1003">
        <v>4</v>
      </c>
      <c r="BW31" s="1003"/>
      <c r="BX31" s="1003"/>
      <c r="BY31" s="1003">
        <f t="shared" si="6"/>
        <v>4</v>
      </c>
      <c r="BZ31" s="1004"/>
      <c r="CA31" s="1003">
        <v>0</v>
      </c>
      <c r="CB31" s="1003">
        <v>0</v>
      </c>
      <c r="CC31" s="1005">
        <v>8</v>
      </c>
      <c r="CD31"/>
      <c r="CE31" s="1002">
        <v>28</v>
      </c>
      <c r="CF31" s="1003"/>
      <c r="CG31" s="1003"/>
      <c r="CH31" s="1003"/>
      <c r="CI31" s="1003"/>
      <c r="CJ31" s="1003"/>
      <c r="CK31" s="1003"/>
      <c r="CL31" s="1003">
        <v>2</v>
      </c>
      <c r="CM31" s="1003">
        <v>1</v>
      </c>
      <c r="CN31" s="1003">
        <f t="shared" si="7"/>
        <v>3</v>
      </c>
      <c r="CO31" s="1004"/>
      <c r="CP31" s="1003">
        <v>0</v>
      </c>
      <c r="CQ31" s="1009">
        <f t="shared" si="9"/>
        <v>2</v>
      </c>
      <c r="CR31" s="1005">
        <v>4</v>
      </c>
    </row>
    <row r="32" spans="1:96" outlineLevel="1" x14ac:dyDescent="0.2">
      <c r="A32"/>
      <c r="B32" s="1002">
        <v>29</v>
      </c>
      <c r="C32" s="1003">
        <v>7</v>
      </c>
      <c r="D32" s="1003">
        <v>2</v>
      </c>
      <c r="E32" s="1003"/>
      <c r="F32" s="1003">
        <f t="shared" si="0"/>
        <v>9</v>
      </c>
      <c r="G32" s="1004"/>
      <c r="H32" s="1003">
        <v>0</v>
      </c>
      <c r="I32" s="1003">
        <v>2</v>
      </c>
      <c r="J32" s="1005">
        <v>16</v>
      </c>
      <c r="K32" s="1"/>
      <c r="L32"/>
      <c r="M32" s="1002">
        <v>29</v>
      </c>
      <c r="N32" s="1003">
        <v>3</v>
      </c>
      <c r="O32" s="1003">
        <v>5</v>
      </c>
      <c r="P32" s="1003"/>
      <c r="Q32" s="1003">
        <f t="shared" si="1"/>
        <v>8</v>
      </c>
      <c r="R32" s="1004"/>
      <c r="S32" s="1003">
        <v>0</v>
      </c>
      <c r="T32" s="1003">
        <v>0</v>
      </c>
      <c r="U32" s="1005">
        <v>16</v>
      </c>
      <c r="V32"/>
      <c r="W32" s="1002">
        <v>29</v>
      </c>
      <c r="X32" s="1003"/>
      <c r="Y32" s="1003">
        <v>1</v>
      </c>
      <c r="Z32" s="1003">
        <f t="shared" si="10"/>
        <v>5</v>
      </c>
      <c r="AA32" s="1003">
        <f t="shared" si="8"/>
        <v>6</v>
      </c>
      <c r="AB32" s="1004"/>
      <c r="AC32" s="1003">
        <v>0</v>
      </c>
      <c r="AD32" s="1003">
        <v>4</v>
      </c>
      <c r="AE32" s="1005">
        <v>8</v>
      </c>
      <c r="AF32"/>
      <c r="AG32" s="1002">
        <v>29</v>
      </c>
      <c r="AH32" s="1003"/>
      <c r="AI32" s="1003"/>
      <c r="AJ32" s="1003">
        <v>1</v>
      </c>
      <c r="AK32" s="1003">
        <v>4</v>
      </c>
      <c r="AL32" s="1003">
        <f t="shared" si="3"/>
        <v>5</v>
      </c>
      <c r="AM32" s="1004"/>
      <c r="AN32" s="1003">
        <v>0</v>
      </c>
      <c r="AO32" s="1003">
        <v>2</v>
      </c>
      <c r="AP32" s="1005">
        <v>8</v>
      </c>
      <c r="AQ32"/>
      <c r="AR32" s="1002">
        <v>29</v>
      </c>
      <c r="AS32" s="1003"/>
      <c r="AT32" s="1003"/>
      <c r="AU32" s="1003">
        <v>1</v>
      </c>
      <c r="AV32" s="1003">
        <v>4</v>
      </c>
      <c r="AW32" s="1003"/>
      <c r="AX32" s="1003">
        <f t="shared" si="4"/>
        <v>5</v>
      </c>
      <c r="AY32" s="1004"/>
      <c r="AZ32" s="1003">
        <v>0</v>
      </c>
      <c r="BA32" s="1003">
        <f>BA25+2</f>
        <v>2</v>
      </c>
      <c r="BB32" s="1005">
        <v>8</v>
      </c>
      <c r="BC32"/>
      <c r="BD32" s="1002">
        <v>29</v>
      </c>
      <c r="BE32" s="1003"/>
      <c r="BF32" s="1003"/>
      <c r="BG32" s="1003"/>
      <c r="BH32" s="1003"/>
      <c r="BI32" s="1003">
        <v>3</v>
      </c>
      <c r="BJ32" s="1003">
        <v>1</v>
      </c>
      <c r="BK32" s="1003">
        <f t="shared" si="5"/>
        <v>4</v>
      </c>
      <c r="BL32" s="1004"/>
      <c r="BM32" s="1003">
        <v>0</v>
      </c>
      <c r="BN32" s="1003">
        <v>0</v>
      </c>
      <c r="BO32" s="1005">
        <v>8</v>
      </c>
      <c r="BP32"/>
      <c r="BQ32" s="1002">
        <v>29</v>
      </c>
      <c r="BR32" s="1003"/>
      <c r="BS32" s="1003"/>
      <c r="BT32" s="1003"/>
      <c r="BU32" s="1003"/>
      <c r="BV32" s="1003">
        <v>3</v>
      </c>
      <c r="BW32" s="1003">
        <v>1</v>
      </c>
      <c r="BX32" s="1003"/>
      <c r="BY32" s="1003">
        <f t="shared" si="6"/>
        <v>4</v>
      </c>
      <c r="BZ32" s="1004"/>
      <c r="CA32" s="1003">
        <v>0</v>
      </c>
      <c r="CB32" s="1003">
        <v>0</v>
      </c>
      <c r="CC32" s="1005">
        <v>8</v>
      </c>
      <c r="CD32"/>
      <c r="CE32" s="1002">
        <v>29</v>
      </c>
      <c r="CF32" s="1003"/>
      <c r="CG32" s="1003"/>
      <c r="CH32" s="1003"/>
      <c r="CI32" s="1003"/>
      <c r="CJ32" s="1003"/>
      <c r="CK32" s="1003"/>
      <c r="CL32" s="1003">
        <v>1</v>
      </c>
      <c r="CM32" s="1003">
        <v>2</v>
      </c>
      <c r="CN32" s="1003">
        <f t="shared" si="7"/>
        <v>3</v>
      </c>
      <c r="CO32" s="1004"/>
      <c r="CP32" s="1003">
        <v>0</v>
      </c>
      <c r="CQ32" s="1009">
        <f t="shared" si="9"/>
        <v>2</v>
      </c>
      <c r="CR32" s="1005">
        <v>4</v>
      </c>
    </row>
    <row r="33" spans="1:96" outlineLevel="1" x14ac:dyDescent="0.2">
      <c r="A33"/>
      <c r="B33" s="1002">
        <v>30</v>
      </c>
      <c r="C33" s="1003">
        <v>10</v>
      </c>
      <c r="D33" s="1003">
        <v>0</v>
      </c>
      <c r="E33" s="1003"/>
      <c r="F33" s="1003">
        <f t="shared" si="0"/>
        <v>10</v>
      </c>
      <c r="G33" s="1004"/>
      <c r="H33" s="1003">
        <v>0</v>
      </c>
      <c r="I33" s="1003">
        <v>4</v>
      </c>
      <c r="J33" s="1005">
        <v>16</v>
      </c>
      <c r="K33" s="1"/>
      <c r="L33"/>
      <c r="M33" s="1002">
        <v>30</v>
      </c>
      <c r="N33" s="1003">
        <v>2</v>
      </c>
      <c r="O33" s="1003">
        <v>6</v>
      </c>
      <c r="P33" s="1003"/>
      <c r="Q33" s="1003">
        <f t="shared" si="1"/>
        <v>8</v>
      </c>
      <c r="R33" s="1004"/>
      <c r="S33" s="1003">
        <v>0</v>
      </c>
      <c r="T33" s="1003">
        <v>0</v>
      </c>
      <c r="U33" s="1005">
        <v>16</v>
      </c>
      <c r="V33"/>
      <c r="W33" s="1002">
        <v>30</v>
      </c>
      <c r="X33" s="1003"/>
      <c r="Y33" s="1003"/>
      <c r="Z33" s="1003">
        <f t="shared" si="10"/>
        <v>6</v>
      </c>
      <c r="AA33" s="1003">
        <f t="shared" si="8"/>
        <v>6</v>
      </c>
      <c r="AB33" s="1004"/>
      <c r="AC33" s="1003">
        <v>0</v>
      </c>
      <c r="AD33" s="1003">
        <v>4</v>
      </c>
      <c r="AE33" s="1005">
        <v>8</v>
      </c>
      <c r="AF33"/>
      <c r="AG33" s="1002">
        <v>30</v>
      </c>
      <c r="AH33" s="1003"/>
      <c r="AI33" s="1003"/>
      <c r="AJ33" s="1003"/>
      <c r="AK33" s="1003">
        <v>5</v>
      </c>
      <c r="AL33" s="1003">
        <f t="shared" si="3"/>
        <v>5</v>
      </c>
      <c r="AM33" s="1004"/>
      <c r="AN33" s="1003">
        <v>0</v>
      </c>
      <c r="AO33" s="1003">
        <v>2</v>
      </c>
      <c r="AP33" s="1005">
        <v>8</v>
      </c>
      <c r="AQ33"/>
      <c r="AR33" s="1002">
        <v>30</v>
      </c>
      <c r="AS33" s="1003"/>
      <c r="AT33" s="1003"/>
      <c r="AU33" s="1003"/>
      <c r="AV33" s="1003">
        <v>5</v>
      </c>
      <c r="AW33" s="1003"/>
      <c r="AX33" s="1003">
        <f t="shared" si="4"/>
        <v>5</v>
      </c>
      <c r="AY33" s="1004"/>
      <c r="AZ33" s="1003">
        <v>0</v>
      </c>
      <c r="BA33" s="1003">
        <f t="shared" ref="BA33:BA96" si="11">BA26+2</f>
        <v>2</v>
      </c>
      <c r="BB33" s="1005">
        <v>8</v>
      </c>
      <c r="BC33"/>
      <c r="BD33" s="1002">
        <v>30</v>
      </c>
      <c r="BE33" s="1003"/>
      <c r="BF33" s="1003"/>
      <c r="BG33" s="1003"/>
      <c r="BH33" s="1003"/>
      <c r="BI33" s="1003">
        <v>2</v>
      </c>
      <c r="BJ33" s="1003">
        <v>2</v>
      </c>
      <c r="BK33" s="1003">
        <f t="shared" si="5"/>
        <v>4</v>
      </c>
      <c r="BL33" s="1004"/>
      <c r="BM33" s="1003">
        <v>0</v>
      </c>
      <c r="BN33" s="1003">
        <v>0</v>
      </c>
      <c r="BO33" s="1005">
        <v>8</v>
      </c>
      <c r="BP33"/>
      <c r="BQ33" s="1002">
        <v>30</v>
      </c>
      <c r="BR33" s="1003"/>
      <c r="BS33" s="1003"/>
      <c r="BT33" s="1003"/>
      <c r="BU33" s="1003"/>
      <c r="BV33" s="1003">
        <v>2</v>
      </c>
      <c r="BW33" s="1003">
        <v>2</v>
      </c>
      <c r="BX33" s="1003"/>
      <c r="BY33" s="1003">
        <f t="shared" si="6"/>
        <v>4</v>
      </c>
      <c r="BZ33" s="1004"/>
      <c r="CA33" s="1003">
        <v>0</v>
      </c>
      <c r="CB33" s="1003">
        <v>0</v>
      </c>
      <c r="CC33" s="1005">
        <v>8</v>
      </c>
      <c r="CD33"/>
      <c r="CE33" s="1002">
        <v>30</v>
      </c>
      <c r="CF33" s="1003"/>
      <c r="CG33" s="1003"/>
      <c r="CH33" s="1003"/>
      <c r="CI33" s="1003"/>
      <c r="CJ33" s="1003"/>
      <c r="CK33" s="1003"/>
      <c r="CL33" s="1003"/>
      <c r="CM33" s="1003">
        <v>3</v>
      </c>
      <c r="CN33" s="1003">
        <f t="shared" si="7"/>
        <v>3</v>
      </c>
      <c r="CO33" s="1004"/>
      <c r="CP33" s="1003">
        <v>0</v>
      </c>
      <c r="CQ33" s="1009">
        <f t="shared" si="9"/>
        <v>2</v>
      </c>
      <c r="CR33" s="1005">
        <v>4</v>
      </c>
    </row>
    <row r="34" spans="1:96" outlineLevel="1" x14ac:dyDescent="0.2">
      <c r="A34"/>
      <c r="B34" s="1002">
        <v>31</v>
      </c>
      <c r="C34" s="1003">
        <v>9</v>
      </c>
      <c r="D34" s="1003">
        <v>1</v>
      </c>
      <c r="E34" s="1003"/>
      <c r="F34" s="1003">
        <f t="shared" si="0"/>
        <v>10</v>
      </c>
      <c r="G34" s="1004"/>
      <c r="H34" s="1003">
        <v>0</v>
      </c>
      <c r="I34" s="1003">
        <v>4</v>
      </c>
      <c r="J34" s="1005">
        <v>16</v>
      </c>
      <c r="K34" s="1"/>
      <c r="L34"/>
      <c r="M34" s="1002">
        <v>31</v>
      </c>
      <c r="N34" s="1003">
        <v>1</v>
      </c>
      <c r="O34" s="1003">
        <v>7</v>
      </c>
      <c r="P34" s="1003"/>
      <c r="Q34" s="1003">
        <f t="shared" si="1"/>
        <v>8</v>
      </c>
      <c r="R34" s="1004"/>
      <c r="S34" s="1003">
        <v>0</v>
      </c>
      <c r="T34" s="1003">
        <v>0</v>
      </c>
      <c r="U34" s="1005">
        <v>16</v>
      </c>
      <c r="V34"/>
      <c r="W34" s="1002">
        <v>31</v>
      </c>
      <c r="X34" s="1003"/>
      <c r="Y34" s="1003">
        <v>4</v>
      </c>
      <c r="Z34" s="1003">
        <f t="shared" si="10"/>
        <v>3</v>
      </c>
      <c r="AA34" s="1003">
        <f t="shared" si="8"/>
        <v>7</v>
      </c>
      <c r="AB34" s="1004"/>
      <c r="AC34" s="1003">
        <v>0</v>
      </c>
      <c r="AD34" s="1003">
        <v>6</v>
      </c>
      <c r="AE34" s="1005">
        <v>8</v>
      </c>
      <c r="AF34"/>
      <c r="AG34" s="1002">
        <v>31</v>
      </c>
      <c r="AH34" s="1003"/>
      <c r="AI34" s="1003"/>
      <c r="AJ34" s="1009">
        <v>5</v>
      </c>
      <c r="AK34" s="1003">
        <v>1</v>
      </c>
      <c r="AL34" s="1003">
        <f t="shared" si="3"/>
        <v>6</v>
      </c>
      <c r="AM34" s="1004"/>
      <c r="AN34" s="1003">
        <v>0</v>
      </c>
      <c r="AO34" s="1003">
        <v>4</v>
      </c>
      <c r="AP34" s="1005">
        <v>8</v>
      </c>
      <c r="AQ34"/>
      <c r="AR34" s="1002">
        <v>31</v>
      </c>
      <c r="AS34" s="1003"/>
      <c r="AT34" s="1003"/>
      <c r="AU34" s="1009"/>
      <c r="AV34" s="1003">
        <v>4</v>
      </c>
      <c r="AW34" s="1003">
        <v>1</v>
      </c>
      <c r="AX34" s="1003">
        <f t="shared" si="4"/>
        <v>5</v>
      </c>
      <c r="AY34" s="1004"/>
      <c r="AZ34" s="1003">
        <v>0</v>
      </c>
      <c r="BA34" s="1003">
        <f t="shared" si="11"/>
        <v>2</v>
      </c>
      <c r="BB34" s="1005">
        <v>8</v>
      </c>
      <c r="BC34"/>
      <c r="BD34" s="1002">
        <v>31</v>
      </c>
      <c r="BE34" s="1003"/>
      <c r="BF34" s="1003"/>
      <c r="BG34" s="1009"/>
      <c r="BH34" s="1003"/>
      <c r="BI34" s="1003">
        <v>1</v>
      </c>
      <c r="BJ34" s="1003">
        <v>3</v>
      </c>
      <c r="BK34" s="1003">
        <f t="shared" si="5"/>
        <v>4</v>
      </c>
      <c r="BL34" s="1004"/>
      <c r="BM34" s="1003">
        <v>0</v>
      </c>
      <c r="BN34" s="1003">
        <v>0</v>
      </c>
      <c r="BO34" s="1005">
        <v>8</v>
      </c>
      <c r="BP34"/>
      <c r="BQ34" s="1002">
        <v>31</v>
      </c>
      <c r="BR34" s="1003"/>
      <c r="BS34" s="1003"/>
      <c r="BT34" s="1009"/>
      <c r="BU34" s="1003"/>
      <c r="BV34" s="1003">
        <v>1</v>
      </c>
      <c r="BW34" s="1003">
        <v>3</v>
      </c>
      <c r="BX34" s="1003"/>
      <c r="BY34" s="1003">
        <f t="shared" si="6"/>
        <v>4</v>
      </c>
      <c r="BZ34" s="1004"/>
      <c r="CA34" s="1003">
        <v>0</v>
      </c>
      <c r="CB34" s="1003">
        <v>0</v>
      </c>
      <c r="CC34" s="1005">
        <v>8</v>
      </c>
      <c r="CD34"/>
      <c r="CE34" s="1002">
        <v>31</v>
      </c>
      <c r="CF34" s="1003"/>
      <c r="CG34" s="1003"/>
      <c r="CH34" s="1009"/>
      <c r="CI34" s="1003"/>
      <c r="CJ34" s="1003">
        <v>1</v>
      </c>
      <c r="CK34" s="1003">
        <v>3</v>
      </c>
      <c r="CL34" s="1003"/>
      <c r="CM34" s="1003"/>
      <c r="CN34" s="1003">
        <f t="shared" si="7"/>
        <v>4</v>
      </c>
      <c r="CO34" s="1004"/>
      <c r="CP34" s="1003">
        <v>0</v>
      </c>
      <c r="CQ34" s="1003">
        <v>0</v>
      </c>
      <c r="CR34" s="1005">
        <v>8</v>
      </c>
    </row>
    <row r="35" spans="1:96" outlineLevel="1" x14ac:dyDescent="0.2">
      <c r="A35"/>
      <c r="B35" s="1002">
        <v>32</v>
      </c>
      <c r="C35" s="1003">
        <v>8</v>
      </c>
      <c r="D35" s="1003">
        <v>2</v>
      </c>
      <c r="E35" s="1003"/>
      <c r="F35" s="1003">
        <f t="shared" si="0"/>
        <v>10</v>
      </c>
      <c r="G35" s="1004"/>
      <c r="H35" s="1003">
        <v>0</v>
      </c>
      <c r="I35" s="1003">
        <v>4</v>
      </c>
      <c r="J35" s="1005">
        <v>16</v>
      </c>
      <c r="K35" s="1"/>
      <c r="L35"/>
      <c r="M35" s="1002">
        <v>32</v>
      </c>
      <c r="N35" s="1003">
        <v>0</v>
      </c>
      <c r="O35" s="1003">
        <v>8</v>
      </c>
      <c r="P35" s="1003"/>
      <c r="Q35" s="1003">
        <f t="shared" si="1"/>
        <v>8</v>
      </c>
      <c r="R35" s="1004"/>
      <c r="S35" s="1003">
        <v>0</v>
      </c>
      <c r="T35" s="1003">
        <v>0</v>
      </c>
      <c r="U35" s="1005">
        <v>16</v>
      </c>
      <c r="V35"/>
      <c r="W35" s="1002">
        <v>32</v>
      </c>
      <c r="X35" s="1003"/>
      <c r="Y35" s="1003">
        <v>3</v>
      </c>
      <c r="Z35" s="1003">
        <f t="shared" si="10"/>
        <v>4</v>
      </c>
      <c r="AA35" s="1003">
        <f t="shared" si="8"/>
        <v>7</v>
      </c>
      <c r="AB35" s="1004"/>
      <c r="AC35" s="1003">
        <v>0</v>
      </c>
      <c r="AD35" s="1003">
        <v>6</v>
      </c>
      <c r="AE35" s="1005">
        <v>8</v>
      </c>
      <c r="AF35"/>
      <c r="AG35" s="1002">
        <v>32</v>
      </c>
      <c r="AH35" s="1003"/>
      <c r="AI35" s="1003"/>
      <c r="AJ35" s="1003">
        <v>4</v>
      </c>
      <c r="AK35" s="1003">
        <v>2</v>
      </c>
      <c r="AL35" s="1003">
        <f t="shared" si="3"/>
        <v>6</v>
      </c>
      <c r="AM35" s="1004"/>
      <c r="AN35" s="1003">
        <v>0</v>
      </c>
      <c r="AO35" s="1003">
        <v>4</v>
      </c>
      <c r="AP35" s="1005">
        <v>8</v>
      </c>
      <c r="AQ35"/>
      <c r="AR35" s="1002">
        <v>32</v>
      </c>
      <c r="AS35" s="1003"/>
      <c r="AT35" s="1003"/>
      <c r="AU35" s="1003"/>
      <c r="AV35" s="1003">
        <v>3</v>
      </c>
      <c r="AW35" s="1003">
        <v>2</v>
      </c>
      <c r="AX35" s="1003">
        <f t="shared" si="4"/>
        <v>5</v>
      </c>
      <c r="AY35" s="1004"/>
      <c r="AZ35" s="1003">
        <v>0</v>
      </c>
      <c r="BA35" s="1003">
        <f t="shared" si="11"/>
        <v>2</v>
      </c>
      <c r="BB35" s="1005">
        <v>8</v>
      </c>
      <c r="BC35"/>
      <c r="BD35" s="1002">
        <v>32</v>
      </c>
      <c r="BE35" s="1003"/>
      <c r="BF35" s="1003"/>
      <c r="BG35" s="1003"/>
      <c r="BH35" s="1003"/>
      <c r="BI35" s="1003"/>
      <c r="BJ35" s="1003">
        <v>4</v>
      </c>
      <c r="BK35" s="1003">
        <f t="shared" si="5"/>
        <v>4</v>
      </c>
      <c r="BL35" s="1004"/>
      <c r="BM35" s="1003">
        <v>0</v>
      </c>
      <c r="BN35" s="1003">
        <v>0</v>
      </c>
      <c r="BO35" s="1005">
        <v>8</v>
      </c>
      <c r="BP35"/>
      <c r="BQ35" s="1002">
        <v>32</v>
      </c>
      <c r="BR35" s="1003"/>
      <c r="BS35" s="1003"/>
      <c r="BT35" s="1003"/>
      <c r="BU35" s="1003"/>
      <c r="BV35" s="1003"/>
      <c r="BW35" s="1003">
        <v>4</v>
      </c>
      <c r="BX35" s="1003"/>
      <c r="BY35" s="1003">
        <f t="shared" si="6"/>
        <v>4</v>
      </c>
      <c r="BZ35" s="1004"/>
      <c r="CA35" s="1003">
        <v>0</v>
      </c>
      <c r="CB35" s="1003">
        <v>0</v>
      </c>
      <c r="CC35" s="1005">
        <v>8</v>
      </c>
      <c r="CD35"/>
      <c r="CE35" s="1002">
        <v>32</v>
      </c>
      <c r="CF35" s="1003"/>
      <c r="CG35" s="1003"/>
      <c r="CH35" s="1003"/>
      <c r="CI35" s="1003"/>
      <c r="CJ35" s="1003"/>
      <c r="CK35" s="1003">
        <v>4</v>
      </c>
      <c r="CL35" s="1003"/>
      <c r="CM35" s="1003"/>
      <c r="CN35" s="1003">
        <f t="shared" si="7"/>
        <v>4</v>
      </c>
      <c r="CO35" s="1004"/>
      <c r="CP35" s="1003">
        <v>0</v>
      </c>
      <c r="CQ35" s="1003">
        <v>0</v>
      </c>
      <c r="CR35" s="1005">
        <v>8</v>
      </c>
    </row>
    <row r="36" spans="1:96" outlineLevel="1" x14ac:dyDescent="0.2">
      <c r="A36"/>
      <c r="B36" s="1002">
        <v>33</v>
      </c>
      <c r="C36" s="1003">
        <v>11</v>
      </c>
      <c r="D36" s="1003">
        <v>0</v>
      </c>
      <c r="E36" s="1003"/>
      <c r="F36" s="1003">
        <f t="shared" si="0"/>
        <v>11</v>
      </c>
      <c r="G36" s="1004"/>
      <c r="H36" s="1003">
        <v>0</v>
      </c>
      <c r="I36" s="1003">
        <v>6</v>
      </c>
      <c r="J36" s="1005">
        <v>16</v>
      </c>
      <c r="K36" s="1"/>
      <c r="L36"/>
      <c r="M36" s="1002">
        <v>33</v>
      </c>
      <c r="N36" s="1003">
        <v>3</v>
      </c>
      <c r="O36" s="1003">
        <v>6</v>
      </c>
      <c r="P36" s="1003"/>
      <c r="Q36" s="1003">
        <f t="shared" si="1"/>
        <v>9</v>
      </c>
      <c r="R36" s="1004"/>
      <c r="S36" s="1003">
        <v>0</v>
      </c>
      <c r="T36" s="1003">
        <v>2</v>
      </c>
      <c r="U36" s="1005">
        <v>16</v>
      </c>
      <c r="V36"/>
      <c r="W36" s="1002">
        <v>33</v>
      </c>
      <c r="X36" s="1003"/>
      <c r="Y36" s="1003">
        <v>2</v>
      </c>
      <c r="Z36" s="1003">
        <f t="shared" si="10"/>
        <v>5</v>
      </c>
      <c r="AA36" s="1003">
        <f t="shared" si="8"/>
        <v>7</v>
      </c>
      <c r="AB36" s="1004"/>
      <c r="AC36" s="1003">
        <v>0</v>
      </c>
      <c r="AD36" s="1003">
        <v>6</v>
      </c>
      <c r="AE36" s="1005">
        <v>8</v>
      </c>
      <c r="AF36"/>
      <c r="AG36" s="1002">
        <v>33</v>
      </c>
      <c r="AH36" s="1003"/>
      <c r="AI36" s="1003"/>
      <c r="AJ36" s="1003">
        <v>3</v>
      </c>
      <c r="AK36" s="1003">
        <v>3</v>
      </c>
      <c r="AL36" s="1003">
        <f t="shared" si="3"/>
        <v>6</v>
      </c>
      <c r="AM36" s="1004"/>
      <c r="AN36" s="1003">
        <v>0</v>
      </c>
      <c r="AO36" s="1003">
        <v>4</v>
      </c>
      <c r="AP36" s="1005">
        <v>8</v>
      </c>
      <c r="AQ36"/>
      <c r="AR36" s="1002">
        <v>33</v>
      </c>
      <c r="AS36" s="1003"/>
      <c r="AT36" s="1003"/>
      <c r="AU36" s="1003"/>
      <c r="AV36" s="1003">
        <v>2</v>
      </c>
      <c r="AW36" s="1003">
        <v>3</v>
      </c>
      <c r="AX36" s="1003">
        <f t="shared" si="4"/>
        <v>5</v>
      </c>
      <c r="AY36" s="1004"/>
      <c r="AZ36" s="1003">
        <v>0</v>
      </c>
      <c r="BA36" s="1003">
        <f t="shared" si="11"/>
        <v>2</v>
      </c>
      <c r="BB36" s="1005">
        <v>8</v>
      </c>
      <c r="BC36"/>
      <c r="BD36" s="1002">
        <v>33</v>
      </c>
      <c r="BE36" s="1003"/>
      <c r="BF36" s="1003"/>
      <c r="BG36" s="1003"/>
      <c r="BH36" s="1003">
        <v>2</v>
      </c>
      <c r="BI36" s="1003">
        <v>3</v>
      </c>
      <c r="BJ36" s="1003"/>
      <c r="BK36" s="1003">
        <f t="shared" si="5"/>
        <v>5</v>
      </c>
      <c r="BL36" s="1004"/>
      <c r="BM36" s="1003">
        <v>0</v>
      </c>
      <c r="BN36" s="1003">
        <f>BN28+2</f>
        <v>2</v>
      </c>
      <c r="BO36" s="1005">
        <v>8</v>
      </c>
      <c r="BP36"/>
      <c r="BQ36" s="1002">
        <v>33</v>
      </c>
      <c r="BR36" s="1003"/>
      <c r="BS36" s="1003"/>
      <c r="BT36" s="1003"/>
      <c r="BU36" s="1003"/>
      <c r="BV36" s="1003"/>
      <c r="BW36" s="1003">
        <v>3</v>
      </c>
      <c r="BX36" s="1003">
        <v>1</v>
      </c>
      <c r="BY36" s="1003">
        <f t="shared" si="6"/>
        <v>4</v>
      </c>
      <c r="BZ36" s="1004"/>
      <c r="CA36" s="1003">
        <v>0</v>
      </c>
      <c r="CB36" s="1003">
        <v>0</v>
      </c>
      <c r="CC36" s="1005">
        <v>8</v>
      </c>
      <c r="CD36"/>
      <c r="CE36" s="1002">
        <v>33</v>
      </c>
      <c r="CF36" s="1003"/>
      <c r="CG36" s="1003"/>
      <c r="CH36" s="1003"/>
      <c r="CI36" s="1003"/>
      <c r="CJ36" s="1003"/>
      <c r="CK36" s="1003">
        <v>3</v>
      </c>
      <c r="CL36" s="1003">
        <v>1</v>
      </c>
      <c r="CM36" s="1003"/>
      <c r="CN36" s="1003">
        <f t="shared" si="7"/>
        <v>4</v>
      </c>
      <c r="CO36" s="1004"/>
      <c r="CP36" s="1003">
        <v>0</v>
      </c>
      <c r="CQ36" s="1003">
        <v>0</v>
      </c>
      <c r="CR36" s="1005">
        <v>8</v>
      </c>
    </row>
    <row r="37" spans="1:96" outlineLevel="1" x14ac:dyDescent="0.2">
      <c r="A37"/>
      <c r="B37" s="1002">
        <v>34</v>
      </c>
      <c r="C37" s="1003">
        <v>10</v>
      </c>
      <c r="D37" s="1003">
        <v>1</v>
      </c>
      <c r="E37" s="1003"/>
      <c r="F37" s="1003">
        <f t="shared" si="0"/>
        <v>11</v>
      </c>
      <c r="G37" s="1004"/>
      <c r="H37" s="1003">
        <v>0</v>
      </c>
      <c r="I37" s="1003">
        <v>6</v>
      </c>
      <c r="J37" s="1005">
        <v>16</v>
      </c>
      <c r="K37" s="1"/>
      <c r="L37"/>
      <c r="M37" s="1002">
        <v>34</v>
      </c>
      <c r="N37" s="1003">
        <v>2</v>
      </c>
      <c r="O37" s="1003">
        <v>7</v>
      </c>
      <c r="P37" s="1003"/>
      <c r="Q37" s="1003">
        <f t="shared" si="1"/>
        <v>9</v>
      </c>
      <c r="R37" s="1004"/>
      <c r="S37" s="1003">
        <v>0</v>
      </c>
      <c r="T37" s="1003">
        <v>2</v>
      </c>
      <c r="U37" s="1005">
        <v>16</v>
      </c>
      <c r="V37"/>
      <c r="W37" s="1002">
        <v>34</v>
      </c>
      <c r="X37" s="1003"/>
      <c r="Y37" s="1003">
        <v>1</v>
      </c>
      <c r="Z37" s="1003">
        <f t="shared" si="10"/>
        <v>6</v>
      </c>
      <c r="AA37" s="1003">
        <f t="shared" si="8"/>
        <v>7</v>
      </c>
      <c r="AB37" s="1004"/>
      <c r="AC37" s="1003">
        <v>0</v>
      </c>
      <c r="AD37" s="1003">
        <v>6</v>
      </c>
      <c r="AE37" s="1005">
        <v>8</v>
      </c>
      <c r="AF37"/>
      <c r="AG37" s="1002">
        <v>34</v>
      </c>
      <c r="AH37" s="1003"/>
      <c r="AI37" s="1003"/>
      <c r="AJ37" s="1003">
        <v>2</v>
      </c>
      <c r="AK37" s="1003">
        <v>4</v>
      </c>
      <c r="AL37" s="1003">
        <f t="shared" si="3"/>
        <v>6</v>
      </c>
      <c r="AM37" s="1004"/>
      <c r="AN37" s="1003">
        <v>0</v>
      </c>
      <c r="AO37" s="1003">
        <v>4</v>
      </c>
      <c r="AP37" s="1005">
        <v>8</v>
      </c>
      <c r="AQ37"/>
      <c r="AR37" s="1002">
        <v>34</v>
      </c>
      <c r="AS37" s="1003"/>
      <c r="AT37" s="1003"/>
      <c r="AU37" s="1003"/>
      <c r="AV37" s="1003">
        <v>1</v>
      </c>
      <c r="AW37" s="1003">
        <v>4</v>
      </c>
      <c r="AX37" s="1003">
        <f t="shared" si="4"/>
        <v>5</v>
      </c>
      <c r="AY37" s="1004"/>
      <c r="AZ37" s="1003">
        <v>0</v>
      </c>
      <c r="BA37" s="1003">
        <f t="shared" si="11"/>
        <v>2</v>
      </c>
      <c r="BB37" s="1005">
        <v>8</v>
      </c>
      <c r="BC37"/>
      <c r="BD37" s="1002">
        <v>34</v>
      </c>
      <c r="BE37" s="1003"/>
      <c r="BF37" s="1003"/>
      <c r="BG37" s="1003"/>
      <c r="BH37" s="1003">
        <v>1</v>
      </c>
      <c r="BI37" s="1003">
        <v>4</v>
      </c>
      <c r="BJ37" s="1003"/>
      <c r="BK37" s="1003">
        <f t="shared" si="5"/>
        <v>5</v>
      </c>
      <c r="BL37" s="1004"/>
      <c r="BM37" s="1003">
        <v>0</v>
      </c>
      <c r="BN37" s="1003">
        <f t="shared" ref="BN37:BN59" si="12">BN29+2</f>
        <v>2</v>
      </c>
      <c r="BO37" s="1005">
        <v>8</v>
      </c>
      <c r="BP37"/>
      <c r="BQ37" s="1002">
        <v>34</v>
      </c>
      <c r="BR37" s="1003"/>
      <c r="BS37" s="1003"/>
      <c r="BT37" s="1003"/>
      <c r="BU37" s="1003"/>
      <c r="BV37" s="1003"/>
      <c r="BW37" s="1003">
        <v>2</v>
      </c>
      <c r="BX37" s="1003">
        <v>2</v>
      </c>
      <c r="BY37" s="1003">
        <f t="shared" si="6"/>
        <v>4</v>
      </c>
      <c r="BZ37" s="1004"/>
      <c r="CA37" s="1003">
        <v>0</v>
      </c>
      <c r="CB37" s="1003">
        <v>0</v>
      </c>
      <c r="CC37" s="1005">
        <v>8</v>
      </c>
      <c r="CD37"/>
      <c r="CE37" s="1002">
        <v>34</v>
      </c>
      <c r="CF37" s="1003"/>
      <c r="CG37" s="1003"/>
      <c r="CH37" s="1003"/>
      <c r="CI37" s="1003"/>
      <c r="CJ37" s="1003"/>
      <c r="CK37" s="1003">
        <v>2</v>
      </c>
      <c r="CL37" s="1003">
        <v>2</v>
      </c>
      <c r="CM37" s="1003"/>
      <c r="CN37" s="1003">
        <f t="shared" si="7"/>
        <v>4</v>
      </c>
      <c r="CO37" s="1004"/>
      <c r="CP37" s="1003">
        <v>0</v>
      </c>
      <c r="CQ37" s="1003">
        <v>0</v>
      </c>
      <c r="CR37" s="1005">
        <v>8</v>
      </c>
    </row>
    <row r="38" spans="1:96" outlineLevel="1" x14ac:dyDescent="0.2">
      <c r="A38"/>
      <c r="B38" s="1002">
        <v>35</v>
      </c>
      <c r="C38" s="1003">
        <v>9</v>
      </c>
      <c r="D38" s="1003">
        <v>2</v>
      </c>
      <c r="E38" s="1003"/>
      <c r="F38" s="1003">
        <f t="shared" si="0"/>
        <v>11</v>
      </c>
      <c r="G38" s="1004"/>
      <c r="H38" s="1003">
        <v>0</v>
      </c>
      <c r="I38" s="1003">
        <v>6</v>
      </c>
      <c r="J38" s="1005">
        <v>16</v>
      </c>
      <c r="K38" s="1"/>
      <c r="L38"/>
      <c r="M38" s="1002">
        <v>35</v>
      </c>
      <c r="N38" s="1003">
        <v>1</v>
      </c>
      <c r="O38" s="1003">
        <v>8</v>
      </c>
      <c r="P38" s="1003"/>
      <c r="Q38" s="1003">
        <f t="shared" si="1"/>
        <v>9</v>
      </c>
      <c r="R38" s="1004"/>
      <c r="S38" s="1003">
        <v>0</v>
      </c>
      <c r="T38" s="1003">
        <v>2</v>
      </c>
      <c r="U38" s="1005">
        <v>16</v>
      </c>
      <c r="V38"/>
      <c r="W38" s="1002">
        <v>35</v>
      </c>
      <c r="X38" s="1003"/>
      <c r="Y38" s="1003"/>
      <c r="Z38" s="1003">
        <f t="shared" si="10"/>
        <v>7</v>
      </c>
      <c r="AA38" s="1003">
        <f t="shared" si="8"/>
        <v>7</v>
      </c>
      <c r="AB38" s="1004"/>
      <c r="AC38" s="1003">
        <v>0</v>
      </c>
      <c r="AD38" s="1003">
        <v>6</v>
      </c>
      <c r="AE38" s="1005">
        <v>8</v>
      </c>
      <c r="AF38"/>
      <c r="AG38" s="1002">
        <v>35</v>
      </c>
      <c r="AH38" s="1003"/>
      <c r="AI38" s="1003"/>
      <c r="AJ38" s="1003">
        <v>1</v>
      </c>
      <c r="AK38" s="1003">
        <v>5</v>
      </c>
      <c r="AL38" s="1003">
        <f t="shared" ref="AL38:AL69" si="13">SUM(AH38:AK38)</f>
        <v>6</v>
      </c>
      <c r="AM38" s="1004"/>
      <c r="AN38" s="1003">
        <v>0</v>
      </c>
      <c r="AO38" s="1003">
        <v>4</v>
      </c>
      <c r="AP38" s="1005">
        <v>8</v>
      </c>
      <c r="AQ38"/>
      <c r="AR38" s="1002">
        <v>35</v>
      </c>
      <c r="AS38" s="1003"/>
      <c r="AT38" s="1003"/>
      <c r="AU38" s="1003"/>
      <c r="AV38" s="1003"/>
      <c r="AW38" s="1003">
        <v>5</v>
      </c>
      <c r="AX38" s="1003">
        <f t="shared" ref="AX38:AX69" si="14">SUM(AS38:AW38)</f>
        <v>5</v>
      </c>
      <c r="AY38" s="1004"/>
      <c r="AZ38" s="1003">
        <v>0</v>
      </c>
      <c r="BA38" s="1003">
        <f t="shared" si="11"/>
        <v>2</v>
      </c>
      <c r="BB38" s="1005">
        <v>8</v>
      </c>
      <c r="BC38"/>
      <c r="BD38" s="1002">
        <v>35</v>
      </c>
      <c r="BE38" s="1003"/>
      <c r="BF38" s="1003"/>
      <c r="BG38" s="1003"/>
      <c r="BH38" s="1003"/>
      <c r="BI38" s="1003">
        <v>5</v>
      </c>
      <c r="BJ38" s="1003"/>
      <c r="BK38" s="1003">
        <f t="shared" ref="BK38:BK69" si="15">SUM(BE38:BJ38)</f>
        <v>5</v>
      </c>
      <c r="BL38" s="1004"/>
      <c r="BM38" s="1003">
        <v>0</v>
      </c>
      <c r="BN38" s="1003">
        <f t="shared" si="12"/>
        <v>2</v>
      </c>
      <c r="BO38" s="1005">
        <v>8</v>
      </c>
      <c r="BP38"/>
      <c r="BQ38" s="1002">
        <v>35</v>
      </c>
      <c r="BR38" s="1003"/>
      <c r="BS38" s="1003"/>
      <c r="BT38" s="1003"/>
      <c r="BU38" s="1003"/>
      <c r="BV38" s="1003"/>
      <c r="BW38" s="1003">
        <v>1</v>
      </c>
      <c r="BX38" s="1003">
        <v>3</v>
      </c>
      <c r="BY38" s="1003">
        <f t="shared" ref="BY38:BY69" si="16">SUM(BR38:BX38)</f>
        <v>4</v>
      </c>
      <c r="BZ38" s="1004"/>
      <c r="CA38" s="1003">
        <v>0</v>
      </c>
      <c r="CB38" s="1003">
        <v>0</v>
      </c>
      <c r="CC38" s="1005">
        <v>8</v>
      </c>
      <c r="CD38"/>
      <c r="CE38" s="1002">
        <v>35</v>
      </c>
      <c r="CF38" s="1003"/>
      <c r="CG38" s="1003"/>
      <c r="CH38" s="1003"/>
      <c r="CI38" s="1003"/>
      <c r="CJ38" s="1003"/>
      <c r="CK38" s="1003">
        <v>1</v>
      </c>
      <c r="CL38" s="1003">
        <v>3</v>
      </c>
      <c r="CM38" s="1003"/>
      <c r="CN38" s="1003">
        <f t="shared" ref="CN38:CN69" si="17">SUM(CF38:CM38)</f>
        <v>4</v>
      </c>
      <c r="CO38" s="1004"/>
      <c r="CP38" s="1003">
        <v>0</v>
      </c>
      <c r="CQ38" s="1003">
        <v>0</v>
      </c>
      <c r="CR38" s="1005">
        <v>8</v>
      </c>
    </row>
    <row r="39" spans="1:96" outlineLevel="1" x14ac:dyDescent="0.2">
      <c r="A39"/>
      <c r="B39" s="1002">
        <v>36</v>
      </c>
      <c r="C39" s="1003">
        <v>12</v>
      </c>
      <c r="D39" s="1003">
        <v>0</v>
      </c>
      <c r="E39" s="1003"/>
      <c r="F39" s="1003">
        <f t="shared" si="0"/>
        <v>12</v>
      </c>
      <c r="G39" s="1004"/>
      <c r="H39" s="1003">
        <v>0</v>
      </c>
      <c r="I39" s="1003">
        <v>8</v>
      </c>
      <c r="J39" s="1005">
        <v>16</v>
      </c>
      <c r="K39" s="1"/>
      <c r="L39"/>
      <c r="M39" s="1002">
        <v>36</v>
      </c>
      <c r="N39" s="1003">
        <v>0</v>
      </c>
      <c r="O39" s="1003">
        <v>9</v>
      </c>
      <c r="P39" s="1003"/>
      <c r="Q39" s="1003">
        <f t="shared" si="1"/>
        <v>9</v>
      </c>
      <c r="R39" s="1004"/>
      <c r="S39" s="1003">
        <v>0</v>
      </c>
      <c r="T39" s="1003">
        <v>2</v>
      </c>
      <c r="U39" s="1005">
        <v>16</v>
      </c>
      <c r="V39"/>
      <c r="W39" s="1002">
        <v>36</v>
      </c>
      <c r="X39" s="1003"/>
      <c r="Y39" s="1003">
        <v>4</v>
      </c>
      <c r="Z39" s="1003">
        <f>Z34+1</f>
        <v>4</v>
      </c>
      <c r="AA39" s="1003">
        <f t="shared" si="8"/>
        <v>8</v>
      </c>
      <c r="AB39" s="1004"/>
      <c r="AC39" s="1003">
        <v>0</v>
      </c>
      <c r="AD39" s="1003">
        <v>0</v>
      </c>
      <c r="AE39" s="1005">
        <v>16</v>
      </c>
      <c r="AF39"/>
      <c r="AG39" s="1002">
        <v>36</v>
      </c>
      <c r="AH39" s="1003"/>
      <c r="AI39" s="1003"/>
      <c r="AJ39" s="1003"/>
      <c r="AK39" s="1003">
        <v>6</v>
      </c>
      <c r="AL39" s="1003">
        <f t="shared" si="13"/>
        <v>6</v>
      </c>
      <c r="AM39" s="1004"/>
      <c r="AN39" s="1003">
        <v>0</v>
      </c>
      <c r="AO39" s="1003">
        <v>4</v>
      </c>
      <c r="AP39" s="1005">
        <v>8</v>
      </c>
      <c r="AQ39"/>
      <c r="AR39" s="1002">
        <v>36</v>
      </c>
      <c r="AS39" s="1003"/>
      <c r="AT39" s="1003"/>
      <c r="AU39" s="1003"/>
      <c r="AV39" s="1003">
        <v>6</v>
      </c>
      <c r="AW39" s="1003"/>
      <c r="AX39" s="1003">
        <f t="shared" si="14"/>
        <v>6</v>
      </c>
      <c r="AY39" s="1004"/>
      <c r="AZ39" s="1003">
        <v>0</v>
      </c>
      <c r="BA39" s="1003">
        <f t="shared" si="11"/>
        <v>4</v>
      </c>
      <c r="BB39" s="1005">
        <v>8</v>
      </c>
      <c r="BC39"/>
      <c r="BD39" s="1002">
        <v>36</v>
      </c>
      <c r="BE39" s="1003"/>
      <c r="BF39" s="1003"/>
      <c r="BG39" s="1003"/>
      <c r="BH39" s="1003"/>
      <c r="BI39" s="1003">
        <v>4</v>
      </c>
      <c r="BJ39" s="1003">
        <v>1</v>
      </c>
      <c r="BK39" s="1003">
        <f t="shared" si="15"/>
        <v>5</v>
      </c>
      <c r="BL39" s="1004"/>
      <c r="BM39" s="1003">
        <v>0</v>
      </c>
      <c r="BN39" s="1003">
        <f t="shared" si="12"/>
        <v>2</v>
      </c>
      <c r="BO39" s="1005">
        <v>8</v>
      </c>
      <c r="BP39"/>
      <c r="BQ39" s="1002">
        <v>36</v>
      </c>
      <c r="BR39" s="1003"/>
      <c r="BS39" s="1003"/>
      <c r="BT39" s="1003"/>
      <c r="BU39" s="1003"/>
      <c r="BV39" s="1003"/>
      <c r="BW39" s="1003"/>
      <c r="BX39" s="1003">
        <v>4</v>
      </c>
      <c r="BY39" s="1003">
        <f t="shared" si="16"/>
        <v>4</v>
      </c>
      <c r="BZ39" s="1004"/>
      <c r="CA39" s="1003">
        <v>0</v>
      </c>
      <c r="CB39" s="1003">
        <v>0</v>
      </c>
      <c r="CC39" s="1005">
        <v>8</v>
      </c>
      <c r="CD39"/>
      <c r="CE39" s="1002">
        <v>36</v>
      </c>
      <c r="CF39" s="1003"/>
      <c r="CG39" s="1003"/>
      <c r="CH39" s="1003"/>
      <c r="CI39" s="1003"/>
      <c r="CJ39" s="1003"/>
      <c r="CK39" s="1003"/>
      <c r="CL39" s="1003">
        <v>4</v>
      </c>
      <c r="CM39" s="1003"/>
      <c r="CN39" s="1003">
        <f t="shared" si="17"/>
        <v>4</v>
      </c>
      <c r="CO39" s="1004"/>
      <c r="CP39" s="1003">
        <v>0</v>
      </c>
      <c r="CQ39" s="1003">
        <v>0</v>
      </c>
      <c r="CR39" s="1005">
        <v>8</v>
      </c>
    </row>
    <row r="40" spans="1:96" outlineLevel="1" x14ac:dyDescent="0.2">
      <c r="A40"/>
      <c r="B40" s="1002">
        <v>37</v>
      </c>
      <c r="C40" s="1003">
        <v>11</v>
      </c>
      <c r="D40" s="1003">
        <v>1</v>
      </c>
      <c r="E40" s="1003"/>
      <c r="F40" s="1003">
        <f t="shared" si="0"/>
        <v>12</v>
      </c>
      <c r="G40" s="1004"/>
      <c r="H40" s="1003">
        <v>0</v>
      </c>
      <c r="I40" s="1003">
        <v>8</v>
      </c>
      <c r="J40" s="1005">
        <v>16</v>
      </c>
      <c r="K40" s="1"/>
      <c r="L40"/>
      <c r="M40" s="1002">
        <v>37</v>
      </c>
      <c r="N40" s="1003">
        <v>3</v>
      </c>
      <c r="O40" s="1003">
        <v>7</v>
      </c>
      <c r="P40" s="1003"/>
      <c r="Q40" s="1003">
        <f t="shared" si="1"/>
        <v>10</v>
      </c>
      <c r="R40" s="1004"/>
      <c r="S40" s="1003">
        <v>0</v>
      </c>
      <c r="T40" s="1003">
        <v>4</v>
      </c>
      <c r="U40" s="1005">
        <v>16</v>
      </c>
      <c r="V40"/>
      <c r="W40" s="1002">
        <v>37</v>
      </c>
      <c r="X40" s="1003"/>
      <c r="Y40" s="1003">
        <v>3</v>
      </c>
      <c r="Z40" s="1003">
        <f t="shared" ref="Z40:Z103" si="18">Z35+1</f>
        <v>5</v>
      </c>
      <c r="AA40" s="1003">
        <f t="shared" si="8"/>
        <v>8</v>
      </c>
      <c r="AB40" s="1004"/>
      <c r="AC40" s="1003">
        <v>0</v>
      </c>
      <c r="AD40" s="1003">
        <v>0</v>
      </c>
      <c r="AE40" s="1005">
        <v>16</v>
      </c>
      <c r="AF40"/>
      <c r="AG40" s="1002">
        <v>37</v>
      </c>
      <c r="AH40" s="1003"/>
      <c r="AI40" s="1003"/>
      <c r="AJ40" s="1009">
        <v>5</v>
      </c>
      <c r="AK40" s="1003">
        <f>AK34+1</f>
        <v>2</v>
      </c>
      <c r="AL40" s="1003">
        <f t="shared" si="13"/>
        <v>7</v>
      </c>
      <c r="AM40" s="1004"/>
      <c r="AN40" s="1003">
        <v>0</v>
      </c>
      <c r="AO40" s="1003">
        <v>6</v>
      </c>
      <c r="AP40" s="1005">
        <v>8</v>
      </c>
      <c r="AQ40"/>
      <c r="AR40" s="1002">
        <v>37</v>
      </c>
      <c r="AS40" s="1003"/>
      <c r="AT40" s="1003"/>
      <c r="AU40" s="1009"/>
      <c r="AV40" s="1003">
        <v>5</v>
      </c>
      <c r="AW40" s="1003">
        <v>1</v>
      </c>
      <c r="AX40" s="1003">
        <f t="shared" si="14"/>
        <v>6</v>
      </c>
      <c r="AY40" s="1004"/>
      <c r="AZ40" s="1003">
        <v>0</v>
      </c>
      <c r="BA40" s="1003">
        <f t="shared" si="11"/>
        <v>4</v>
      </c>
      <c r="BB40" s="1005">
        <v>8</v>
      </c>
      <c r="BC40"/>
      <c r="BD40" s="1002">
        <v>37</v>
      </c>
      <c r="BE40" s="1003"/>
      <c r="BF40" s="1003"/>
      <c r="BG40" s="1009"/>
      <c r="BH40" s="1003"/>
      <c r="BI40" s="1003">
        <v>3</v>
      </c>
      <c r="BJ40" s="1003">
        <v>2</v>
      </c>
      <c r="BK40" s="1003">
        <f t="shared" si="15"/>
        <v>5</v>
      </c>
      <c r="BL40" s="1004"/>
      <c r="BM40" s="1003">
        <v>0</v>
      </c>
      <c r="BN40" s="1003">
        <f t="shared" si="12"/>
        <v>2</v>
      </c>
      <c r="BO40" s="1005">
        <v>8</v>
      </c>
      <c r="BP40"/>
      <c r="BQ40" s="1002">
        <v>37</v>
      </c>
      <c r="BR40" s="1003"/>
      <c r="BS40" s="1003"/>
      <c r="BT40" s="1009"/>
      <c r="BU40" s="1003"/>
      <c r="BV40" s="1003">
        <v>3</v>
      </c>
      <c r="BW40" s="1003">
        <v>2</v>
      </c>
      <c r="BX40" s="1003"/>
      <c r="BY40" s="1003">
        <f t="shared" si="16"/>
        <v>5</v>
      </c>
      <c r="BZ40" s="1004"/>
      <c r="CA40" s="1003">
        <v>0</v>
      </c>
      <c r="CB40" s="1003">
        <f>CB31+2</f>
        <v>2</v>
      </c>
      <c r="CC40" s="1005">
        <v>8</v>
      </c>
      <c r="CD40"/>
      <c r="CE40" s="1002">
        <v>37</v>
      </c>
      <c r="CF40" s="1003"/>
      <c r="CG40" s="1003"/>
      <c r="CH40" s="1009"/>
      <c r="CI40" s="1003"/>
      <c r="CJ40" s="1003"/>
      <c r="CK40" s="1003"/>
      <c r="CL40" s="1003">
        <v>3</v>
      </c>
      <c r="CM40" s="1003">
        <v>1</v>
      </c>
      <c r="CN40" s="1003">
        <f t="shared" si="17"/>
        <v>4</v>
      </c>
      <c r="CO40" s="1004"/>
      <c r="CP40" s="1003">
        <v>0</v>
      </c>
      <c r="CQ40" s="1003">
        <v>0</v>
      </c>
      <c r="CR40" s="1005">
        <v>8</v>
      </c>
    </row>
    <row r="41" spans="1:96" outlineLevel="1" x14ac:dyDescent="0.2">
      <c r="A41"/>
      <c r="B41" s="1002">
        <v>38</v>
      </c>
      <c r="C41" s="1003">
        <v>10</v>
      </c>
      <c r="D41" s="1003">
        <v>2</v>
      </c>
      <c r="E41" s="1003"/>
      <c r="F41" s="1003">
        <f t="shared" si="0"/>
        <v>12</v>
      </c>
      <c r="G41" s="1004"/>
      <c r="H41" s="1003">
        <v>0</v>
      </c>
      <c r="I41" s="1003">
        <v>8</v>
      </c>
      <c r="J41" s="1005">
        <v>16</v>
      </c>
      <c r="K41" s="1"/>
      <c r="L41"/>
      <c r="M41" s="1002">
        <v>38</v>
      </c>
      <c r="N41" s="1003">
        <v>2</v>
      </c>
      <c r="O41" s="1003">
        <v>8</v>
      </c>
      <c r="P41" s="1003"/>
      <c r="Q41" s="1003">
        <f t="shared" si="1"/>
        <v>10</v>
      </c>
      <c r="R41" s="1004"/>
      <c r="S41" s="1003">
        <v>0</v>
      </c>
      <c r="T41" s="1003">
        <v>4</v>
      </c>
      <c r="U41" s="1005">
        <v>16</v>
      </c>
      <c r="V41"/>
      <c r="W41" s="1002">
        <v>38</v>
      </c>
      <c r="X41" s="1003"/>
      <c r="Y41" s="1003">
        <v>2</v>
      </c>
      <c r="Z41" s="1003">
        <f t="shared" si="18"/>
        <v>6</v>
      </c>
      <c r="AA41" s="1003">
        <f t="shared" si="8"/>
        <v>8</v>
      </c>
      <c r="AB41" s="1004"/>
      <c r="AC41" s="1003">
        <v>0</v>
      </c>
      <c r="AD41" s="1003">
        <v>0</v>
      </c>
      <c r="AE41" s="1005">
        <v>16</v>
      </c>
      <c r="AF41"/>
      <c r="AG41" s="1002">
        <v>38</v>
      </c>
      <c r="AH41" s="1003"/>
      <c r="AI41" s="1003"/>
      <c r="AJ41" s="1003">
        <v>4</v>
      </c>
      <c r="AK41" s="1003">
        <f t="shared" ref="AK41:AK104" si="19">AK35+1</f>
        <v>3</v>
      </c>
      <c r="AL41" s="1003">
        <f t="shared" si="13"/>
        <v>7</v>
      </c>
      <c r="AM41" s="1004"/>
      <c r="AN41" s="1003">
        <v>0</v>
      </c>
      <c r="AO41" s="1003">
        <v>6</v>
      </c>
      <c r="AP41" s="1005">
        <v>8</v>
      </c>
      <c r="AQ41"/>
      <c r="AR41" s="1002">
        <v>38</v>
      </c>
      <c r="AS41" s="1003"/>
      <c r="AT41" s="1003"/>
      <c r="AU41" s="1003"/>
      <c r="AV41" s="1003">
        <v>4</v>
      </c>
      <c r="AW41" s="1003">
        <v>2</v>
      </c>
      <c r="AX41" s="1003">
        <f t="shared" si="14"/>
        <v>6</v>
      </c>
      <c r="AY41" s="1004"/>
      <c r="AZ41" s="1003">
        <v>0</v>
      </c>
      <c r="BA41" s="1003">
        <f t="shared" si="11"/>
        <v>4</v>
      </c>
      <c r="BB41" s="1005">
        <v>8</v>
      </c>
      <c r="BC41"/>
      <c r="BD41" s="1002">
        <v>38</v>
      </c>
      <c r="BE41" s="1003"/>
      <c r="BF41" s="1003"/>
      <c r="BG41" s="1003"/>
      <c r="BH41" s="1003"/>
      <c r="BI41" s="1003">
        <v>2</v>
      </c>
      <c r="BJ41" s="1003">
        <v>3</v>
      </c>
      <c r="BK41" s="1003">
        <f t="shared" si="15"/>
        <v>5</v>
      </c>
      <c r="BL41" s="1004"/>
      <c r="BM41" s="1003">
        <v>0</v>
      </c>
      <c r="BN41" s="1003">
        <f t="shared" si="12"/>
        <v>2</v>
      </c>
      <c r="BO41" s="1005">
        <v>8</v>
      </c>
      <c r="BP41"/>
      <c r="BQ41" s="1002">
        <v>38</v>
      </c>
      <c r="BR41" s="1003"/>
      <c r="BS41" s="1003"/>
      <c r="BT41" s="1003"/>
      <c r="BU41" s="1003"/>
      <c r="BV41" s="1003">
        <v>2</v>
      </c>
      <c r="BW41" s="1003">
        <v>3</v>
      </c>
      <c r="BX41" s="1003"/>
      <c r="BY41" s="1003">
        <f t="shared" si="16"/>
        <v>5</v>
      </c>
      <c r="BZ41" s="1004"/>
      <c r="CA41" s="1003">
        <v>0</v>
      </c>
      <c r="CB41" s="1003">
        <f t="shared" ref="CB41:CB66" si="20">CB32+2</f>
        <v>2</v>
      </c>
      <c r="CC41" s="1005">
        <v>8</v>
      </c>
      <c r="CD41"/>
      <c r="CE41" s="1002">
        <v>38</v>
      </c>
      <c r="CF41" s="1003"/>
      <c r="CG41" s="1003"/>
      <c r="CH41" s="1003"/>
      <c r="CI41" s="1003"/>
      <c r="CJ41" s="1003"/>
      <c r="CK41" s="1003"/>
      <c r="CL41" s="1003">
        <v>2</v>
      </c>
      <c r="CM41" s="1003">
        <v>2</v>
      </c>
      <c r="CN41" s="1003">
        <f t="shared" si="17"/>
        <v>4</v>
      </c>
      <c r="CO41" s="1004"/>
      <c r="CP41" s="1003">
        <v>0</v>
      </c>
      <c r="CQ41" s="1003">
        <v>0</v>
      </c>
      <c r="CR41" s="1005">
        <v>8</v>
      </c>
    </row>
    <row r="42" spans="1:96" outlineLevel="1" x14ac:dyDescent="0.2">
      <c r="A42"/>
      <c r="B42" s="1002">
        <v>39</v>
      </c>
      <c r="C42" s="1003">
        <v>13</v>
      </c>
      <c r="D42" s="1003">
        <v>0</v>
      </c>
      <c r="E42" s="1003"/>
      <c r="F42" s="1003">
        <f t="shared" si="0"/>
        <v>13</v>
      </c>
      <c r="G42" s="1004"/>
      <c r="H42" s="1003">
        <v>0</v>
      </c>
      <c r="I42" s="1003">
        <v>10</v>
      </c>
      <c r="J42" s="1005">
        <v>16</v>
      </c>
      <c r="K42" s="1"/>
      <c r="L42"/>
      <c r="M42" s="1002">
        <v>39</v>
      </c>
      <c r="N42" s="1003">
        <v>1</v>
      </c>
      <c r="O42" s="1003">
        <v>9</v>
      </c>
      <c r="P42" s="1003"/>
      <c r="Q42" s="1003">
        <f t="shared" si="1"/>
        <v>10</v>
      </c>
      <c r="R42" s="1004"/>
      <c r="S42" s="1003">
        <v>0</v>
      </c>
      <c r="T42" s="1003">
        <v>4</v>
      </c>
      <c r="U42" s="1005">
        <v>16</v>
      </c>
      <c r="V42"/>
      <c r="W42" s="1002">
        <v>39</v>
      </c>
      <c r="X42" s="1003"/>
      <c r="Y42" s="1003">
        <v>1</v>
      </c>
      <c r="Z42" s="1003">
        <f t="shared" si="18"/>
        <v>7</v>
      </c>
      <c r="AA42" s="1003">
        <f t="shared" si="8"/>
        <v>8</v>
      </c>
      <c r="AB42" s="1004"/>
      <c r="AC42" s="1003">
        <v>0</v>
      </c>
      <c r="AD42" s="1003">
        <v>0</v>
      </c>
      <c r="AE42" s="1005">
        <v>16</v>
      </c>
      <c r="AF42"/>
      <c r="AG42" s="1002">
        <v>39</v>
      </c>
      <c r="AH42" s="1003"/>
      <c r="AI42" s="1003"/>
      <c r="AJ42" s="1003">
        <v>3</v>
      </c>
      <c r="AK42" s="1003">
        <f t="shared" si="19"/>
        <v>4</v>
      </c>
      <c r="AL42" s="1003">
        <f t="shared" si="13"/>
        <v>7</v>
      </c>
      <c r="AM42" s="1004"/>
      <c r="AN42" s="1003">
        <v>0</v>
      </c>
      <c r="AO42" s="1003">
        <v>6</v>
      </c>
      <c r="AP42" s="1005">
        <v>8</v>
      </c>
      <c r="AQ42"/>
      <c r="AR42" s="1002">
        <v>39</v>
      </c>
      <c r="AS42" s="1003"/>
      <c r="AT42" s="1003"/>
      <c r="AU42" s="1003"/>
      <c r="AV42" s="1003">
        <v>3</v>
      </c>
      <c r="AW42" s="1003">
        <v>3</v>
      </c>
      <c r="AX42" s="1003">
        <f t="shared" si="14"/>
        <v>6</v>
      </c>
      <c r="AY42" s="1004"/>
      <c r="AZ42" s="1003">
        <v>0</v>
      </c>
      <c r="BA42" s="1003">
        <f t="shared" si="11"/>
        <v>4</v>
      </c>
      <c r="BB42" s="1005">
        <v>8</v>
      </c>
      <c r="BC42"/>
      <c r="BD42" s="1002">
        <v>39</v>
      </c>
      <c r="BE42" s="1003"/>
      <c r="BF42" s="1003"/>
      <c r="BG42" s="1003"/>
      <c r="BH42" s="1003"/>
      <c r="BI42" s="1003">
        <v>1</v>
      </c>
      <c r="BJ42" s="1003">
        <v>4</v>
      </c>
      <c r="BK42" s="1003">
        <f t="shared" si="15"/>
        <v>5</v>
      </c>
      <c r="BL42" s="1004"/>
      <c r="BM42" s="1003">
        <v>0</v>
      </c>
      <c r="BN42" s="1003">
        <f t="shared" si="12"/>
        <v>2</v>
      </c>
      <c r="BO42" s="1005">
        <v>8</v>
      </c>
      <c r="BP42"/>
      <c r="BQ42" s="1002">
        <v>39</v>
      </c>
      <c r="BR42" s="1003"/>
      <c r="BS42" s="1003"/>
      <c r="BT42" s="1003"/>
      <c r="BU42" s="1003"/>
      <c r="BV42" s="1003">
        <v>1</v>
      </c>
      <c r="BW42" s="1003">
        <v>4</v>
      </c>
      <c r="BX42" s="1003"/>
      <c r="BY42" s="1003">
        <f t="shared" si="16"/>
        <v>5</v>
      </c>
      <c r="BZ42" s="1004"/>
      <c r="CA42" s="1003">
        <v>0</v>
      </c>
      <c r="CB42" s="1003">
        <f t="shared" si="20"/>
        <v>2</v>
      </c>
      <c r="CC42" s="1005">
        <v>8</v>
      </c>
      <c r="CD42"/>
      <c r="CE42" s="1002">
        <v>39</v>
      </c>
      <c r="CF42" s="1003"/>
      <c r="CG42" s="1003"/>
      <c r="CH42" s="1003"/>
      <c r="CI42" s="1003"/>
      <c r="CJ42" s="1003"/>
      <c r="CK42" s="1003"/>
      <c r="CL42" s="1003">
        <v>1</v>
      </c>
      <c r="CM42" s="1003">
        <v>3</v>
      </c>
      <c r="CN42" s="1003">
        <f t="shared" si="17"/>
        <v>4</v>
      </c>
      <c r="CO42" s="1004"/>
      <c r="CP42" s="1003">
        <v>0</v>
      </c>
      <c r="CQ42" s="1003">
        <v>0</v>
      </c>
      <c r="CR42" s="1005">
        <v>8</v>
      </c>
    </row>
    <row r="43" spans="1:96" outlineLevel="1" x14ac:dyDescent="0.2">
      <c r="A43"/>
      <c r="B43" s="1002">
        <v>40</v>
      </c>
      <c r="C43" s="1003">
        <v>12</v>
      </c>
      <c r="D43" s="1003">
        <v>1</v>
      </c>
      <c r="E43" s="1003"/>
      <c r="F43" s="1003">
        <f t="shared" si="0"/>
        <v>13</v>
      </c>
      <c r="G43" s="1004"/>
      <c r="H43" s="1003">
        <v>0</v>
      </c>
      <c r="I43" s="1003">
        <v>10</v>
      </c>
      <c r="J43" s="1005">
        <v>16</v>
      </c>
      <c r="K43" s="1"/>
      <c r="L43"/>
      <c r="M43" s="1002">
        <v>40</v>
      </c>
      <c r="N43" s="1003">
        <v>0</v>
      </c>
      <c r="O43" s="1003">
        <v>10</v>
      </c>
      <c r="P43" s="1003"/>
      <c r="Q43" s="1003">
        <f t="shared" si="1"/>
        <v>10</v>
      </c>
      <c r="R43" s="1004"/>
      <c r="S43" s="1003">
        <v>0</v>
      </c>
      <c r="T43" s="1003">
        <v>4</v>
      </c>
      <c r="U43" s="1005">
        <v>16</v>
      </c>
      <c r="V43"/>
      <c r="W43" s="1002">
        <v>40</v>
      </c>
      <c r="X43" s="1003"/>
      <c r="Y43" s="1003"/>
      <c r="Z43" s="1003">
        <f t="shared" si="18"/>
        <v>8</v>
      </c>
      <c r="AA43" s="1003">
        <f t="shared" si="8"/>
        <v>8</v>
      </c>
      <c r="AB43" s="1004"/>
      <c r="AC43" s="1003">
        <v>0</v>
      </c>
      <c r="AD43" s="1003">
        <v>0</v>
      </c>
      <c r="AE43" s="1005">
        <v>16</v>
      </c>
      <c r="AF43"/>
      <c r="AG43" s="1002">
        <v>40</v>
      </c>
      <c r="AH43" s="1003"/>
      <c r="AI43" s="1003"/>
      <c r="AJ43" s="1003">
        <v>2</v>
      </c>
      <c r="AK43" s="1003">
        <f t="shared" si="19"/>
        <v>5</v>
      </c>
      <c r="AL43" s="1003">
        <f t="shared" si="13"/>
        <v>7</v>
      </c>
      <c r="AM43" s="1004"/>
      <c r="AN43" s="1003">
        <v>0</v>
      </c>
      <c r="AO43" s="1003">
        <v>6</v>
      </c>
      <c r="AP43" s="1005">
        <v>8</v>
      </c>
      <c r="AQ43"/>
      <c r="AR43" s="1002">
        <v>40</v>
      </c>
      <c r="AS43" s="1003"/>
      <c r="AT43" s="1003"/>
      <c r="AU43" s="1003"/>
      <c r="AV43" s="1003">
        <v>2</v>
      </c>
      <c r="AW43" s="1003">
        <v>4</v>
      </c>
      <c r="AX43" s="1003">
        <f t="shared" si="14"/>
        <v>6</v>
      </c>
      <c r="AY43" s="1004"/>
      <c r="AZ43" s="1003">
        <v>0</v>
      </c>
      <c r="BA43" s="1003">
        <f t="shared" si="11"/>
        <v>4</v>
      </c>
      <c r="BB43" s="1005">
        <v>8</v>
      </c>
      <c r="BC43"/>
      <c r="BD43" s="1002">
        <v>40</v>
      </c>
      <c r="BE43" s="1003"/>
      <c r="BF43" s="1003"/>
      <c r="BG43" s="1003"/>
      <c r="BH43" s="1003"/>
      <c r="BI43" s="1003"/>
      <c r="BJ43" s="1003">
        <v>5</v>
      </c>
      <c r="BK43" s="1003">
        <f t="shared" si="15"/>
        <v>5</v>
      </c>
      <c r="BL43" s="1004"/>
      <c r="BM43" s="1003">
        <v>0</v>
      </c>
      <c r="BN43" s="1003">
        <f t="shared" si="12"/>
        <v>2</v>
      </c>
      <c r="BO43" s="1005">
        <v>8</v>
      </c>
      <c r="BP43"/>
      <c r="BQ43" s="1002">
        <v>40</v>
      </c>
      <c r="BR43" s="1003"/>
      <c r="BS43" s="1003"/>
      <c r="BT43" s="1003"/>
      <c r="BU43" s="1003"/>
      <c r="BV43" s="1003"/>
      <c r="BW43" s="1003">
        <v>5</v>
      </c>
      <c r="BX43" s="1003"/>
      <c r="BY43" s="1003">
        <f t="shared" si="16"/>
        <v>5</v>
      </c>
      <c r="BZ43" s="1004"/>
      <c r="CA43" s="1003">
        <v>0</v>
      </c>
      <c r="CB43" s="1003">
        <f t="shared" si="20"/>
        <v>2</v>
      </c>
      <c r="CC43" s="1005">
        <v>8</v>
      </c>
      <c r="CD43"/>
      <c r="CE43" s="1002">
        <v>40</v>
      </c>
      <c r="CF43" s="1003"/>
      <c r="CG43" s="1003"/>
      <c r="CH43" s="1003"/>
      <c r="CI43" s="1003"/>
      <c r="CJ43" s="1003"/>
      <c r="CK43" s="1003"/>
      <c r="CL43" s="1003"/>
      <c r="CM43" s="1003">
        <v>4</v>
      </c>
      <c r="CN43" s="1003">
        <f t="shared" si="17"/>
        <v>4</v>
      </c>
      <c r="CO43" s="1004"/>
      <c r="CP43" s="1003">
        <v>0</v>
      </c>
      <c r="CQ43" s="1003">
        <v>0</v>
      </c>
      <c r="CR43" s="1005">
        <v>8</v>
      </c>
    </row>
    <row r="44" spans="1:96" outlineLevel="1" x14ac:dyDescent="0.2">
      <c r="A44"/>
      <c r="B44" s="1002">
        <v>41</v>
      </c>
      <c r="C44" s="1003">
        <v>11</v>
      </c>
      <c r="D44" s="1003">
        <v>2</v>
      </c>
      <c r="E44" s="1003"/>
      <c r="F44" s="1003">
        <f t="shared" si="0"/>
        <v>13</v>
      </c>
      <c r="G44" s="1004"/>
      <c r="H44" s="1003">
        <v>0</v>
      </c>
      <c r="I44" s="1003">
        <v>10</v>
      </c>
      <c r="J44" s="1005">
        <v>16</v>
      </c>
      <c r="K44" s="1"/>
      <c r="L44"/>
      <c r="M44" s="1002">
        <v>41</v>
      </c>
      <c r="N44" s="1003">
        <v>3</v>
      </c>
      <c r="O44" s="1003">
        <v>8</v>
      </c>
      <c r="P44" s="1003"/>
      <c r="Q44" s="1003">
        <f t="shared" si="1"/>
        <v>11</v>
      </c>
      <c r="R44" s="1004"/>
      <c r="S44" s="1003">
        <v>0</v>
      </c>
      <c r="T44" s="1003">
        <v>6</v>
      </c>
      <c r="U44" s="1005">
        <v>16</v>
      </c>
      <c r="V44"/>
      <c r="W44" s="1002">
        <v>41</v>
      </c>
      <c r="X44" s="1003"/>
      <c r="Y44" s="1003">
        <v>4</v>
      </c>
      <c r="Z44" s="1003">
        <f t="shared" si="18"/>
        <v>5</v>
      </c>
      <c r="AA44" s="1003">
        <f t="shared" si="8"/>
        <v>9</v>
      </c>
      <c r="AB44" s="1004"/>
      <c r="AC44" s="1003">
        <v>0</v>
      </c>
      <c r="AD44" s="1003">
        <v>2</v>
      </c>
      <c r="AE44" s="1005">
        <v>16</v>
      </c>
      <c r="AF44"/>
      <c r="AG44" s="1002">
        <v>41</v>
      </c>
      <c r="AH44" s="1003"/>
      <c r="AI44" s="1003"/>
      <c r="AJ44" s="1003">
        <v>1</v>
      </c>
      <c r="AK44" s="1003">
        <f t="shared" si="19"/>
        <v>6</v>
      </c>
      <c r="AL44" s="1003">
        <f t="shared" si="13"/>
        <v>7</v>
      </c>
      <c r="AM44" s="1004"/>
      <c r="AN44" s="1003">
        <v>0</v>
      </c>
      <c r="AO44" s="1003">
        <v>6</v>
      </c>
      <c r="AP44" s="1005">
        <v>8</v>
      </c>
      <c r="AQ44"/>
      <c r="AR44" s="1002">
        <v>41</v>
      </c>
      <c r="AS44" s="1003"/>
      <c r="AT44" s="1003"/>
      <c r="AU44" s="1003"/>
      <c r="AV44" s="1003">
        <v>1</v>
      </c>
      <c r="AW44" s="1003">
        <v>5</v>
      </c>
      <c r="AX44" s="1003">
        <f t="shared" si="14"/>
        <v>6</v>
      </c>
      <c r="AY44" s="1004"/>
      <c r="AZ44" s="1003">
        <v>0</v>
      </c>
      <c r="BA44" s="1003">
        <f t="shared" si="11"/>
        <v>4</v>
      </c>
      <c r="BB44" s="1005">
        <v>8</v>
      </c>
      <c r="BC44"/>
      <c r="BD44" s="1002">
        <v>41</v>
      </c>
      <c r="BE44" s="1003"/>
      <c r="BF44" s="1003"/>
      <c r="BG44" s="1003"/>
      <c r="BH44" s="1003">
        <v>1</v>
      </c>
      <c r="BI44" s="1003">
        <v>5</v>
      </c>
      <c r="BJ44" s="1003"/>
      <c r="BK44" s="1003">
        <f t="shared" si="15"/>
        <v>6</v>
      </c>
      <c r="BL44" s="1004"/>
      <c r="BM44" s="1003">
        <v>0</v>
      </c>
      <c r="BN44" s="1003">
        <f t="shared" si="12"/>
        <v>4</v>
      </c>
      <c r="BO44" s="1005">
        <v>8</v>
      </c>
      <c r="BP44"/>
      <c r="BQ44" s="1002">
        <v>41</v>
      </c>
      <c r="BR44" s="1003"/>
      <c r="BS44" s="1003"/>
      <c r="BT44" s="1003"/>
      <c r="BU44" s="1003"/>
      <c r="BV44" s="1003"/>
      <c r="BW44" s="1003">
        <v>4</v>
      </c>
      <c r="BX44" s="1003">
        <v>1</v>
      </c>
      <c r="BY44" s="1003">
        <f t="shared" si="16"/>
        <v>5</v>
      </c>
      <c r="BZ44" s="1004"/>
      <c r="CA44" s="1003">
        <v>0</v>
      </c>
      <c r="CB44" s="1003">
        <f t="shared" si="20"/>
        <v>2</v>
      </c>
      <c r="CC44" s="1005">
        <v>8</v>
      </c>
      <c r="CD44"/>
      <c r="CE44" s="1002">
        <v>41</v>
      </c>
      <c r="CF44" s="1003"/>
      <c r="CG44" s="1003"/>
      <c r="CH44" s="1003"/>
      <c r="CI44" s="1003"/>
      <c r="CJ44" s="1003"/>
      <c r="CK44" s="1003">
        <v>4</v>
      </c>
      <c r="CL44" s="1003">
        <v>1</v>
      </c>
      <c r="CM44" s="1003"/>
      <c r="CN44" s="1003">
        <f t="shared" si="17"/>
        <v>5</v>
      </c>
      <c r="CO44" s="1004"/>
      <c r="CP44" s="1003">
        <v>0</v>
      </c>
      <c r="CQ44" s="1003">
        <v>2</v>
      </c>
      <c r="CR44" s="1005">
        <v>8</v>
      </c>
    </row>
    <row r="45" spans="1:96" outlineLevel="1" x14ac:dyDescent="0.2">
      <c r="A45"/>
      <c r="B45" s="1002">
        <v>42</v>
      </c>
      <c r="C45" s="1003">
        <v>14</v>
      </c>
      <c r="D45" s="1003">
        <v>0</v>
      </c>
      <c r="E45" s="1003"/>
      <c r="F45" s="1003">
        <f t="shared" si="0"/>
        <v>14</v>
      </c>
      <c r="G45" s="1004"/>
      <c r="H45" s="1003">
        <v>0</v>
      </c>
      <c r="I45" s="1003">
        <v>12</v>
      </c>
      <c r="J45" s="1005">
        <v>16</v>
      </c>
      <c r="K45" s="1"/>
      <c r="L45"/>
      <c r="M45" s="1002">
        <v>42</v>
      </c>
      <c r="N45" s="1003">
        <v>2</v>
      </c>
      <c r="O45" s="1003">
        <v>9</v>
      </c>
      <c r="P45" s="1003"/>
      <c r="Q45" s="1003">
        <f t="shared" si="1"/>
        <v>11</v>
      </c>
      <c r="R45" s="1004"/>
      <c r="S45" s="1003">
        <v>0</v>
      </c>
      <c r="T45" s="1003">
        <v>6</v>
      </c>
      <c r="U45" s="1005">
        <v>16</v>
      </c>
      <c r="V45"/>
      <c r="W45" s="1002">
        <v>42</v>
      </c>
      <c r="X45" s="1003"/>
      <c r="Y45" s="1003">
        <v>3</v>
      </c>
      <c r="Z45" s="1003">
        <f t="shared" si="18"/>
        <v>6</v>
      </c>
      <c r="AA45" s="1003">
        <f t="shared" si="8"/>
        <v>9</v>
      </c>
      <c r="AB45" s="1004"/>
      <c r="AC45" s="1003">
        <v>0</v>
      </c>
      <c r="AD45" s="1003">
        <v>2</v>
      </c>
      <c r="AE45" s="1005">
        <v>16</v>
      </c>
      <c r="AF45"/>
      <c r="AG45" s="1002">
        <v>42</v>
      </c>
      <c r="AH45" s="1003"/>
      <c r="AI45" s="1003"/>
      <c r="AJ45" s="1003"/>
      <c r="AK45" s="1003">
        <f t="shared" si="19"/>
        <v>7</v>
      </c>
      <c r="AL45" s="1003">
        <f t="shared" si="13"/>
        <v>7</v>
      </c>
      <c r="AM45" s="1004"/>
      <c r="AN45" s="1003">
        <v>0</v>
      </c>
      <c r="AO45" s="1003">
        <v>6</v>
      </c>
      <c r="AP45" s="1005">
        <v>8</v>
      </c>
      <c r="AQ45"/>
      <c r="AR45" s="1002">
        <v>42</v>
      </c>
      <c r="AS45" s="1003"/>
      <c r="AT45" s="1003"/>
      <c r="AU45" s="1003"/>
      <c r="AV45" s="1003"/>
      <c r="AW45" s="1003">
        <v>6</v>
      </c>
      <c r="AX45" s="1003">
        <f t="shared" si="14"/>
        <v>6</v>
      </c>
      <c r="AY45" s="1004"/>
      <c r="AZ45" s="1003">
        <v>0</v>
      </c>
      <c r="BA45" s="1003">
        <f t="shared" si="11"/>
        <v>4</v>
      </c>
      <c r="BB45" s="1005">
        <v>8</v>
      </c>
      <c r="BC45"/>
      <c r="BD45" s="1002">
        <v>42</v>
      </c>
      <c r="BE45" s="1003"/>
      <c r="BF45" s="1003"/>
      <c r="BG45" s="1003"/>
      <c r="BH45" s="1003"/>
      <c r="BI45" s="1003">
        <v>6</v>
      </c>
      <c r="BJ45" s="1003"/>
      <c r="BK45" s="1003">
        <f t="shared" si="15"/>
        <v>6</v>
      </c>
      <c r="BL45" s="1004"/>
      <c r="BM45" s="1003">
        <v>0</v>
      </c>
      <c r="BN45" s="1003">
        <f t="shared" si="12"/>
        <v>4</v>
      </c>
      <c r="BO45" s="1005">
        <v>8</v>
      </c>
      <c r="BP45"/>
      <c r="BQ45" s="1002">
        <v>42</v>
      </c>
      <c r="BR45" s="1003"/>
      <c r="BS45" s="1003"/>
      <c r="BT45" s="1003"/>
      <c r="BU45" s="1003"/>
      <c r="BV45" s="1003"/>
      <c r="BW45" s="1003">
        <v>3</v>
      </c>
      <c r="BX45" s="1003">
        <v>2</v>
      </c>
      <c r="BY45" s="1003">
        <f t="shared" si="16"/>
        <v>5</v>
      </c>
      <c r="BZ45" s="1004"/>
      <c r="CA45" s="1003">
        <v>0</v>
      </c>
      <c r="CB45" s="1003">
        <f t="shared" si="20"/>
        <v>2</v>
      </c>
      <c r="CC45" s="1005">
        <v>8</v>
      </c>
      <c r="CD45"/>
      <c r="CE45" s="1002">
        <v>42</v>
      </c>
      <c r="CF45" s="1003"/>
      <c r="CG45" s="1003"/>
      <c r="CH45" s="1003"/>
      <c r="CI45" s="1003"/>
      <c r="CJ45" s="1003"/>
      <c r="CK45" s="1003">
        <v>3</v>
      </c>
      <c r="CL45" s="1003">
        <v>2</v>
      </c>
      <c r="CM45" s="1003"/>
      <c r="CN45" s="1003">
        <f t="shared" si="17"/>
        <v>5</v>
      </c>
      <c r="CO45" s="1004"/>
      <c r="CP45" s="1003">
        <v>0</v>
      </c>
      <c r="CQ45" s="1003">
        <v>2</v>
      </c>
      <c r="CR45" s="1005">
        <v>8</v>
      </c>
    </row>
    <row r="46" spans="1:96" outlineLevel="1" x14ac:dyDescent="0.2">
      <c r="A46"/>
      <c r="B46" s="1002">
        <v>43</v>
      </c>
      <c r="C46" s="1003">
        <v>13</v>
      </c>
      <c r="D46" s="1003">
        <v>1</v>
      </c>
      <c r="E46" s="1003"/>
      <c r="F46" s="1003">
        <f t="shared" si="0"/>
        <v>14</v>
      </c>
      <c r="G46" s="1004"/>
      <c r="H46" s="1003">
        <v>0</v>
      </c>
      <c r="I46" s="1003">
        <v>12</v>
      </c>
      <c r="J46" s="1005">
        <v>16</v>
      </c>
      <c r="K46" s="1"/>
      <c r="L46"/>
      <c r="M46" s="1002">
        <v>43</v>
      </c>
      <c r="N46" s="1003">
        <v>1</v>
      </c>
      <c r="O46" s="1003">
        <v>10</v>
      </c>
      <c r="P46" s="1003"/>
      <c r="Q46" s="1003">
        <f t="shared" si="1"/>
        <v>11</v>
      </c>
      <c r="R46" s="1004"/>
      <c r="S46" s="1003">
        <v>0</v>
      </c>
      <c r="T46" s="1003">
        <v>6</v>
      </c>
      <c r="U46" s="1005">
        <v>16</v>
      </c>
      <c r="V46"/>
      <c r="W46" s="1002">
        <v>43</v>
      </c>
      <c r="X46" s="1003"/>
      <c r="Y46" s="1003">
        <v>2</v>
      </c>
      <c r="Z46" s="1003">
        <f t="shared" si="18"/>
        <v>7</v>
      </c>
      <c r="AA46" s="1003">
        <f t="shared" si="8"/>
        <v>9</v>
      </c>
      <c r="AB46" s="1004"/>
      <c r="AC46" s="1003">
        <v>0</v>
      </c>
      <c r="AD46" s="1003">
        <v>2</v>
      </c>
      <c r="AE46" s="1005">
        <v>16</v>
      </c>
      <c r="AF46"/>
      <c r="AG46" s="1002">
        <v>43</v>
      </c>
      <c r="AH46" s="1003"/>
      <c r="AI46" s="1003"/>
      <c r="AJ46" s="1009">
        <v>5</v>
      </c>
      <c r="AK46" s="1003">
        <f t="shared" si="19"/>
        <v>3</v>
      </c>
      <c r="AL46" s="1003">
        <f t="shared" si="13"/>
        <v>8</v>
      </c>
      <c r="AM46" s="1004"/>
      <c r="AN46" s="1003">
        <v>0</v>
      </c>
      <c r="AO46" s="1003">
        <v>0</v>
      </c>
      <c r="AP46" s="1005">
        <v>16</v>
      </c>
      <c r="AQ46"/>
      <c r="AR46" s="1002">
        <v>43</v>
      </c>
      <c r="AS46" s="1003"/>
      <c r="AT46" s="1003"/>
      <c r="AU46" s="1009"/>
      <c r="AV46" s="1003">
        <v>6</v>
      </c>
      <c r="AW46" s="1003">
        <v>1</v>
      </c>
      <c r="AX46" s="1003">
        <f t="shared" si="14"/>
        <v>7</v>
      </c>
      <c r="AY46" s="1004"/>
      <c r="AZ46" s="1003">
        <v>0</v>
      </c>
      <c r="BA46" s="1003">
        <f t="shared" si="11"/>
        <v>6</v>
      </c>
      <c r="BB46" s="1005">
        <v>8</v>
      </c>
      <c r="BC46"/>
      <c r="BD46" s="1002">
        <v>43</v>
      </c>
      <c r="BE46" s="1003"/>
      <c r="BF46" s="1003"/>
      <c r="BG46" s="1009"/>
      <c r="BH46" s="1003"/>
      <c r="BI46" s="1003">
        <v>5</v>
      </c>
      <c r="BJ46" s="1003">
        <v>1</v>
      </c>
      <c r="BK46" s="1003">
        <f t="shared" si="15"/>
        <v>6</v>
      </c>
      <c r="BL46" s="1004"/>
      <c r="BM46" s="1003">
        <v>0</v>
      </c>
      <c r="BN46" s="1003">
        <f t="shared" si="12"/>
        <v>4</v>
      </c>
      <c r="BO46" s="1005">
        <v>8</v>
      </c>
      <c r="BP46"/>
      <c r="BQ46" s="1002">
        <v>43</v>
      </c>
      <c r="BR46" s="1003"/>
      <c r="BS46" s="1003"/>
      <c r="BT46" s="1009"/>
      <c r="BU46" s="1003"/>
      <c r="BV46" s="1003"/>
      <c r="BW46" s="1003">
        <v>2</v>
      </c>
      <c r="BX46" s="1003">
        <v>3</v>
      </c>
      <c r="BY46" s="1003">
        <f t="shared" si="16"/>
        <v>5</v>
      </c>
      <c r="BZ46" s="1004"/>
      <c r="CA46" s="1003">
        <v>0</v>
      </c>
      <c r="CB46" s="1003">
        <f t="shared" si="20"/>
        <v>2</v>
      </c>
      <c r="CC46" s="1005">
        <v>8</v>
      </c>
      <c r="CD46"/>
      <c r="CE46" s="1002">
        <v>43</v>
      </c>
      <c r="CF46" s="1003"/>
      <c r="CG46" s="1003"/>
      <c r="CH46" s="1009"/>
      <c r="CI46" s="1003"/>
      <c r="CJ46" s="1003"/>
      <c r="CK46" s="1003">
        <v>2</v>
      </c>
      <c r="CL46" s="1003">
        <v>3</v>
      </c>
      <c r="CM46" s="1003"/>
      <c r="CN46" s="1003">
        <f t="shared" si="17"/>
        <v>5</v>
      </c>
      <c r="CO46" s="1004"/>
      <c r="CP46" s="1003">
        <v>0</v>
      </c>
      <c r="CQ46" s="1003">
        <v>2</v>
      </c>
      <c r="CR46" s="1005">
        <v>8</v>
      </c>
    </row>
    <row r="47" spans="1:96" outlineLevel="1" x14ac:dyDescent="0.2">
      <c r="A47"/>
      <c r="B47" s="1002">
        <v>44</v>
      </c>
      <c r="C47" s="1003">
        <v>12</v>
      </c>
      <c r="D47" s="1003">
        <v>2</v>
      </c>
      <c r="E47" s="1003"/>
      <c r="F47" s="1003">
        <f t="shared" si="0"/>
        <v>14</v>
      </c>
      <c r="G47" s="1004"/>
      <c r="H47" s="1003">
        <v>0</v>
      </c>
      <c r="I47" s="1003">
        <v>12</v>
      </c>
      <c r="J47" s="1005">
        <v>16</v>
      </c>
      <c r="K47" s="1"/>
      <c r="L47"/>
      <c r="M47" s="1002">
        <v>44</v>
      </c>
      <c r="N47" s="1003">
        <v>0</v>
      </c>
      <c r="O47" s="1003">
        <v>11</v>
      </c>
      <c r="P47" s="1003"/>
      <c r="Q47" s="1003">
        <f t="shared" si="1"/>
        <v>11</v>
      </c>
      <c r="R47" s="1004"/>
      <c r="S47" s="1003">
        <v>0</v>
      </c>
      <c r="T47" s="1003">
        <v>6</v>
      </c>
      <c r="U47" s="1005">
        <v>16</v>
      </c>
      <c r="V47"/>
      <c r="W47" s="1002">
        <v>44</v>
      </c>
      <c r="X47" s="1003"/>
      <c r="Y47" s="1003">
        <v>1</v>
      </c>
      <c r="Z47" s="1003">
        <f t="shared" si="18"/>
        <v>8</v>
      </c>
      <c r="AA47" s="1003">
        <f t="shared" si="8"/>
        <v>9</v>
      </c>
      <c r="AB47" s="1004"/>
      <c r="AC47" s="1003">
        <v>0</v>
      </c>
      <c r="AD47" s="1003">
        <v>2</v>
      </c>
      <c r="AE47" s="1005">
        <v>16</v>
      </c>
      <c r="AF47"/>
      <c r="AG47" s="1002">
        <v>44</v>
      </c>
      <c r="AH47" s="1003"/>
      <c r="AI47" s="1003"/>
      <c r="AJ47" s="1003">
        <v>4</v>
      </c>
      <c r="AK47" s="1003">
        <f t="shared" si="19"/>
        <v>4</v>
      </c>
      <c r="AL47" s="1003">
        <f t="shared" si="13"/>
        <v>8</v>
      </c>
      <c r="AM47" s="1004"/>
      <c r="AN47" s="1003">
        <v>0</v>
      </c>
      <c r="AO47" s="1003">
        <v>0</v>
      </c>
      <c r="AP47" s="1005">
        <v>16</v>
      </c>
      <c r="AQ47"/>
      <c r="AR47" s="1002">
        <v>44</v>
      </c>
      <c r="AS47" s="1003"/>
      <c r="AT47" s="1003"/>
      <c r="AU47" s="1003"/>
      <c r="AV47" s="1003">
        <v>5</v>
      </c>
      <c r="AW47" s="1003">
        <v>2</v>
      </c>
      <c r="AX47" s="1003">
        <f t="shared" si="14"/>
        <v>7</v>
      </c>
      <c r="AY47" s="1004"/>
      <c r="AZ47" s="1003">
        <v>0</v>
      </c>
      <c r="BA47" s="1003">
        <f t="shared" si="11"/>
        <v>6</v>
      </c>
      <c r="BB47" s="1005">
        <v>8</v>
      </c>
      <c r="BC47"/>
      <c r="BD47" s="1002">
        <v>44</v>
      </c>
      <c r="BE47" s="1003"/>
      <c r="BF47" s="1003"/>
      <c r="BG47" s="1003"/>
      <c r="BH47" s="1003"/>
      <c r="BI47" s="1003">
        <v>4</v>
      </c>
      <c r="BJ47" s="1003">
        <v>2</v>
      </c>
      <c r="BK47" s="1003">
        <f t="shared" si="15"/>
        <v>6</v>
      </c>
      <c r="BL47" s="1004"/>
      <c r="BM47" s="1003">
        <v>0</v>
      </c>
      <c r="BN47" s="1003">
        <f t="shared" si="12"/>
        <v>4</v>
      </c>
      <c r="BO47" s="1005">
        <v>8</v>
      </c>
      <c r="BP47"/>
      <c r="BQ47" s="1002">
        <v>44</v>
      </c>
      <c r="BR47" s="1003"/>
      <c r="BS47" s="1003"/>
      <c r="BT47" s="1003"/>
      <c r="BU47" s="1003"/>
      <c r="BV47" s="1003"/>
      <c r="BW47" s="1003">
        <v>1</v>
      </c>
      <c r="BX47" s="1003">
        <v>4</v>
      </c>
      <c r="BY47" s="1003">
        <f t="shared" si="16"/>
        <v>5</v>
      </c>
      <c r="BZ47" s="1004"/>
      <c r="CA47" s="1003">
        <v>0</v>
      </c>
      <c r="CB47" s="1003">
        <f t="shared" si="20"/>
        <v>2</v>
      </c>
      <c r="CC47" s="1005">
        <v>8</v>
      </c>
      <c r="CD47"/>
      <c r="CE47" s="1002">
        <v>44</v>
      </c>
      <c r="CF47" s="1003"/>
      <c r="CG47" s="1003"/>
      <c r="CH47" s="1003"/>
      <c r="CI47" s="1003"/>
      <c r="CJ47" s="1003"/>
      <c r="CK47" s="1003">
        <v>1</v>
      </c>
      <c r="CL47" s="1003">
        <v>4</v>
      </c>
      <c r="CM47" s="1003"/>
      <c r="CN47" s="1003">
        <f t="shared" si="17"/>
        <v>5</v>
      </c>
      <c r="CO47" s="1004"/>
      <c r="CP47" s="1003">
        <v>0</v>
      </c>
      <c r="CQ47" s="1003">
        <v>2</v>
      </c>
      <c r="CR47" s="1005">
        <v>8</v>
      </c>
    </row>
    <row r="48" spans="1:96" outlineLevel="1" x14ac:dyDescent="0.2">
      <c r="A48"/>
      <c r="B48" s="1002">
        <v>45</v>
      </c>
      <c r="C48" s="1003">
        <v>15</v>
      </c>
      <c r="D48" s="1003">
        <v>0</v>
      </c>
      <c r="E48" s="1003"/>
      <c r="F48" s="1003">
        <f t="shared" si="0"/>
        <v>15</v>
      </c>
      <c r="G48" s="1004"/>
      <c r="H48" s="1003">
        <v>0</v>
      </c>
      <c r="I48" s="1003">
        <v>14</v>
      </c>
      <c r="J48" s="1005">
        <v>16</v>
      </c>
      <c r="K48" s="1"/>
      <c r="L48"/>
      <c r="M48" s="1002">
        <v>45</v>
      </c>
      <c r="N48" s="1003">
        <v>3</v>
      </c>
      <c r="O48" s="1003">
        <v>9</v>
      </c>
      <c r="P48" s="1003"/>
      <c r="Q48" s="1003">
        <f t="shared" si="1"/>
        <v>12</v>
      </c>
      <c r="R48" s="1004"/>
      <c r="S48" s="1003">
        <v>0</v>
      </c>
      <c r="T48" s="1003">
        <v>8</v>
      </c>
      <c r="U48" s="1005">
        <v>16</v>
      </c>
      <c r="V48"/>
      <c r="W48" s="1002">
        <v>45</v>
      </c>
      <c r="X48" s="1003"/>
      <c r="Y48" s="1003"/>
      <c r="Z48" s="1003">
        <f t="shared" si="18"/>
        <v>9</v>
      </c>
      <c r="AA48" s="1003">
        <f t="shared" si="8"/>
        <v>9</v>
      </c>
      <c r="AB48" s="1004"/>
      <c r="AC48" s="1003">
        <v>0</v>
      </c>
      <c r="AD48" s="1003">
        <v>2</v>
      </c>
      <c r="AE48" s="1005">
        <v>16</v>
      </c>
      <c r="AF48"/>
      <c r="AG48" s="1002">
        <v>45</v>
      </c>
      <c r="AH48" s="1003"/>
      <c r="AI48" s="1003"/>
      <c r="AJ48" s="1003">
        <v>3</v>
      </c>
      <c r="AK48" s="1003">
        <f t="shared" si="19"/>
        <v>5</v>
      </c>
      <c r="AL48" s="1003">
        <f t="shared" si="13"/>
        <v>8</v>
      </c>
      <c r="AM48" s="1004"/>
      <c r="AN48" s="1003">
        <v>0</v>
      </c>
      <c r="AO48" s="1003">
        <v>0</v>
      </c>
      <c r="AP48" s="1005">
        <v>16</v>
      </c>
      <c r="AQ48"/>
      <c r="AR48" s="1002">
        <v>45</v>
      </c>
      <c r="AS48" s="1003"/>
      <c r="AT48" s="1003"/>
      <c r="AU48" s="1003"/>
      <c r="AV48" s="1003">
        <v>4</v>
      </c>
      <c r="AW48" s="1003">
        <v>3</v>
      </c>
      <c r="AX48" s="1003">
        <f t="shared" si="14"/>
        <v>7</v>
      </c>
      <c r="AY48" s="1004"/>
      <c r="AZ48" s="1003">
        <v>0</v>
      </c>
      <c r="BA48" s="1003">
        <f t="shared" si="11"/>
        <v>6</v>
      </c>
      <c r="BB48" s="1005">
        <v>8</v>
      </c>
      <c r="BC48"/>
      <c r="BD48" s="1002">
        <v>45</v>
      </c>
      <c r="BE48" s="1003"/>
      <c r="BF48" s="1003"/>
      <c r="BG48" s="1003"/>
      <c r="BH48" s="1003"/>
      <c r="BI48" s="1003">
        <v>3</v>
      </c>
      <c r="BJ48" s="1003">
        <v>3</v>
      </c>
      <c r="BK48" s="1003">
        <f t="shared" si="15"/>
        <v>6</v>
      </c>
      <c r="BL48" s="1004"/>
      <c r="BM48" s="1003">
        <v>0</v>
      </c>
      <c r="BN48" s="1003">
        <f t="shared" si="12"/>
        <v>4</v>
      </c>
      <c r="BO48" s="1005">
        <v>8</v>
      </c>
      <c r="BP48"/>
      <c r="BQ48" s="1002">
        <v>45</v>
      </c>
      <c r="BR48" s="1003"/>
      <c r="BS48" s="1003"/>
      <c r="BT48" s="1003"/>
      <c r="BU48" s="1003"/>
      <c r="BV48" s="1003"/>
      <c r="BW48" s="1003"/>
      <c r="BX48" s="1003">
        <v>5</v>
      </c>
      <c r="BY48" s="1003">
        <f t="shared" si="16"/>
        <v>5</v>
      </c>
      <c r="BZ48" s="1004"/>
      <c r="CA48" s="1003">
        <v>0</v>
      </c>
      <c r="CB48" s="1003">
        <f t="shared" si="20"/>
        <v>2</v>
      </c>
      <c r="CC48" s="1005">
        <v>8</v>
      </c>
      <c r="CD48"/>
      <c r="CE48" s="1002">
        <v>45</v>
      </c>
      <c r="CF48" s="1003"/>
      <c r="CG48" s="1003"/>
      <c r="CH48" s="1003"/>
      <c r="CI48" s="1003"/>
      <c r="CJ48" s="1003"/>
      <c r="CK48" s="1003"/>
      <c r="CL48" s="1003">
        <v>5</v>
      </c>
      <c r="CM48" s="1003"/>
      <c r="CN48" s="1003">
        <f t="shared" si="17"/>
        <v>5</v>
      </c>
      <c r="CO48" s="1004"/>
      <c r="CP48" s="1003">
        <v>0</v>
      </c>
      <c r="CQ48" s="1003">
        <v>2</v>
      </c>
      <c r="CR48" s="1005">
        <v>8</v>
      </c>
    </row>
    <row r="49" spans="1:96" outlineLevel="1" x14ac:dyDescent="0.2">
      <c r="A49"/>
      <c r="B49" s="1002">
        <v>46</v>
      </c>
      <c r="C49" s="1003">
        <v>14</v>
      </c>
      <c r="D49" s="1003">
        <v>1</v>
      </c>
      <c r="E49" s="1003"/>
      <c r="F49" s="1003">
        <f t="shared" si="0"/>
        <v>15</v>
      </c>
      <c r="G49" s="1004"/>
      <c r="H49" s="1003">
        <v>0</v>
      </c>
      <c r="I49" s="1003">
        <v>14</v>
      </c>
      <c r="J49" s="1005">
        <v>16</v>
      </c>
      <c r="K49" s="1"/>
      <c r="L49"/>
      <c r="M49" s="1002">
        <v>46</v>
      </c>
      <c r="N49" s="1003">
        <v>2</v>
      </c>
      <c r="O49" s="1003">
        <v>10</v>
      </c>
      <c r="P49" s="1003"/>
      <c r="Q49" s="1003">
        <f t="shared" si="1"/>
        <v>12</v>
      </c>
      <c r="R49" s="1004"/>
      <c r="S49" s="1003">
        <v>0</v>
      </c>
      <c r="T49" s="1003">
        <v>8</v>
      </c>
      <c r="U49" s="1005">
        <v>16</v>
      </c>
      <c r="V49"/>
      <c r="W49" s="1002">
        <v>46</v>
      </c>
      <c r="X49" s="1003"/>
      <c r="Y49" s="1003">
        <v>4</v>
      </c>
      <c r="Z49" s="1003">
        <f t="shared" si="18"/>
        <v>6</v>
      </c>
      <c r="AA49" s="1003">
        <f t="shared" si="8"/>
        <v>10</v>
      </c>
      <c r="AB49" s="1004"/>
      <c r="AC49" s="1003">
        <v>0</v>
      </c>
      <c r="AD49" s="1003">
        <v>4</v>
      </c>
      <c r="AE49" s="1005">
        <v>16</v>
      </c>
      <c r="AF49"/>
      <c r="AG49" s="1002">
        <v>46</v>
      </c>
      <c r="AH49" s="1003"/>
      <c r="AI49" s="1003"/>
      <c r="AJ49" s="1003">
        <v>2</v>
      </c>
      <c r="AK49" s="1003">
        <f t="shared" si="19"/>
        <v>6</v>
      </c>
      <c r="AL49" s="1003">
        <f t="shared" si="13"/>
        <v>8</v>
      </c>
      <c r="AM49" s="1004"/>
      <c r="AN49" s="1003">
        <v>0</v>
      </c>
      <c r="AO49" s="1003">
        <v>0</v>
      </c>
      <c r="AP49" s="1005">
        <v>16</v>
      </c>
      <c r="AQ49"/>
      <c r="AR49" s="1002">
        <v>46</v>
      </c>
      <c r="AS49" s="1003"/>
      <c r="AT49" s="1003"/>
      <c r="AU49" s="1003"/>
      <c r="AV49" s="1003">
        <v>3</v>
      </c>
      <c r="AW49" s="1003">
        <v>4</v>
      </c>
      <c r="AX49" s="1003">
        <f t="shared" si="14"/>
        <v>7</v>
      </c>
      <c r="AY49" s="1004"/>
      <c r="AZ49" s="1003">
        <v>0</v>
      </c>
      <c r="BA49" s="1003">
        <f t="shared" si="11"/>
        <v>6</v>
      </c>
      <c r="BB49" s="1005">
        <v>8</v>
      </c>
      <c r="BC49"/>
      <c r="BD49" s="1002">
        <v>46</v>
      </c>
      <c r="BE49" s="1003"/>
      <c r="BF49" s="1003"/>
      <c r="BG49" s="1003"/>
      <c r="BH49" s="1003"/>
      <c r="BI49" s="1003">
        <v>2</v>
      </c>
      <c r="BJ49" s="1003">
        <v>4</v>
      </c>
      <c r="BK49" s="1003">
        <f t="shared" si="15"/>
        <v>6</v>
      </c>
      <c r="BL49" s="1004"/>
      <c r="BM49" s="1003">
        <v>0</v>
      </c>
      <c r="BN49" s="1003">
        <f t="shared" si="12"/>
        <v>4</v>
      </c>
      <c r="BO49" s="1005">
        <v>8</v>
      </c>
      <c r="BP49"/>
      <c r="BQ49" s="1002">
        <v>46</v>
      </c>
      <c r="BR49" s="1003"/>
      <c r="BS49" s="1003"/>
      <c r="BT49" s="1003"/>
      <c r="BU49" s="1003"/>
      <c r="BV49" s="1003">
        <v>2</v>
      </c>
      <c r="BW49" s="1003">
        <v>4</v>
      </c>
      <c r="BX49" s="1003"/>
      <c r="BY49" s="1003">
        <f t="shared" si="16"/>
        <v>6</v>
      </c>
      <c r="BZ49" s="1004"/>
      <c r="CA49" s="1003">
        <v>0</v>
      </c>
      <c r="CB49" s="1003">
        <f t="shared" si="20"/>
        <v>4</v>
      </c>
      <c r="CC49" s="1005">
        <v>8</v>
      </c>
      <c r="CD49"/>
      <c r="CE49" s="1002">
        <v>46</v>
      </c>
      <c r="CF49" s="1003"/>
      <c r="CG49" s="1003"/>
      <c r="CH49" s="1003"/>
      <c r="CI49" s="1003"/>
      <c r="CJ49" s="1003"/>
      <c r="CK49" s="1003"/>
      <c r="CL49" s="1003">
        <v>4</v>
      </c>
      <c r="CM49" s="1003">
        <v>1</v>
      </c>
      <c r="CN49" s="1003">
        <f t="shared" si="17"/>
        <v>5</v>
      </c>
      <c r="CO49" s="1004"/>
      <c r="CP49" s="1003">
        <v>0</v>
      </c>
      <c r="CQ49" s="1003">
        <v>2</v>
      </c>
      <c r="CR49" s="1005">
        <v>8</v>
      </c>
    </row>
    <row r="50" spans="1:96" outlineLevel="1" x14ac:dyDescent="0.2">
      <c r="A50"/>
      <c r="B50" s="1002">
        <v>47</v>
      </c>
      <c r="C50" s="1003">
        <v>13</v>
      </c>
      <c r="D50" s="1003">
        <v>2</v>
      </c>
      <c r="E50" s="1003"/>
      <c r="F50" s="1003">
        <f t="shared" si="0"/>
        <v>15</v>
      </c>
      <c r="G50" s="1004"/>
      <c r="H50" s="1003">
        <v>0</v>
      </c>
      <c r="I50" s="1003">
        <v>14</v>
      </c>
      <c r="J50" s="1005">
        <v>16</v>
      </c>
      <c r="K50" s="1"/>
      <c r="L50"/>
      <c r="M50" s="1002">
        <v>47</v>
      </c>
      <c r="N50" s="1003">
        <v>1</v>
      </c>
      <c r="O50" s="1003">
        <v>11</v>
      </c>
      <c r="P50" s="1003"/>
      <c r="Q50" s="1003">
        <f t="shared" si="1"/>
        <v>12</v>
      </c>
      <c r="R50" s="1004"/>
      <c r="S50" s="1003">
        <v>0</v>
      </c>
      <c r="T50" s="1003">
        <v>8</v>
      </c>
      <c r="U50" s="1005">
        <v>16</v>
      </c>
      <c r="V50"/>
      <c r="W50" s="1002">
        <v>47</v>
      </c>
      <c r="X50" s="1003"/>
      <c r="Y50" s="1003">
        <v>3</v>
      </c>
      <c r="Z50" s="1003">
        <f t="shared" si="18"/>
        <v>7</v>
      </c>
      <c r="AA50" s="1003">
        <f t="shared" si="8"/>
        <v>10</v>
      </c>
      <c r="AB50" s="1004"/>
      <c r="AC50" s="1003">
        <v>0</v>
      </c>
      <c r="AD50" s="1003">
        <v>4</v>
      </c>
      <c r="AE50" s="1005">
        <v>16</v>
      </c>
      <c r="AF50"/>
      <c r="AG50" s="1002">
        <v>47</v>
      </c>
      <c r="AH50" s="1003"/>
      <c r="AI50" s="1003"/>
      <c r="AJ50" s="1003">
        <v>1</v>
      </c>
      <c r="AK50" s="1003">
        <f t="shared" si="19"/>
        <v>7</v>
      </c>
      <c r="AL50" s="1003">
        <f t="shared" si="13"/>
        <v>8</v>
      </c>
      <c r="AM50" s="1004"/>
      <c r="AN50" s="1003">
        <v>0</v>
      </c>
      <c r="AO50" s="1003">
        <v>0</v>
      </c>
      <c r="AP50" s="1005">
        <v>16</v>
      </c>
      <c r="AQ50"/>
      <c r="AR50" s="1002">
        <v>47</v>
      </c>
      <c r="AS50" s="1003"/>
      <c r="AT50" s="1003"/>
      <c r="AU50" s="1003"/>
      <c r="AV50" s="1003">
        <v>2</v>
      </c>
      <c r="AW50" s="1003">
        <v>5</v>
      </c>
      <c r="AX50" s="1003">
        <f t="shared" si="14"/>
        <v>7</v>
      </c>
      <c r="AY50" s="1004"/>
      <c r="AZ50" s="1003">
        <v>0</v>
      </c>
      <c r="BA50" s="1003">
        <f t="shared" si="11"/>
        <v>6</v>
      </c>
      <c r="BB50" s="1005">
        <v>8</v>
      </c>
      <c r="BC50"/>
      <c r="BD50" s="1002">
        <v>47</v>
      </c>
      <c r="BE50" s="1003"/>
      <c r="BF50" s="1003"/>
      <c r="BG50" s="1003"/>
      <c r="BH50" s="1003"/>
      <c r="BI50" s="1003">
        <v>1</v>
      </c>
      <c r="BJ50" s="1003">
        <v>5</v>
      </c>
      <c r="BK50" s="1003">
        <f t="shared" si="15"/>
        <v>6</v>
      </c>
      <c r="BL50" s="1004"/>
      <c r="BM50" s="1003">
        <v>0</v>
      </c>
      <c r="BN50" s="1003">
        <f t="shared" si="12"/>
        <v>4</v>
      </c>
      <c r="BO50" s="1005">
        <v>8</v>
      </c>
      <c r="BP50"/>
      <c r="BQ50" s="1002">
        <v>47</v>
      </c>
      <c r="BR50" s="1003"/>
      <c r="BS50" s="1003"/>
      <c r="BT50" s="1003"/>
      <c r="BU50" s="1003"/>
      <c r="BV50" s="1003">
        <v>1</v>
      </c>
      <c r="BW50" s="1003">
        <v>5</v>
      </c>
      <c r="BX50" s="1003"/>
      <c r="BY50" s="1003">
        <f t="shared" si="16"/>
        <v>6</v>
      </c>
      <c r="BZ50" s="1004"/>
      <c r="CA50" s="1003">
        <v>0</v>
      </c>
      <c r="CB50" s="1003">
        <f t="shared" si="20"/>
        <v>4</v>
      </c>
      <c r="CC50" s="1005">
        <v>8</v>
      </c>
      <c r="CD50"/>
      <c r="CE50" s="1002">
        <v>47</v>
      </c>
      <c r="CF50" s="1003"/>
      <c r="CG50" s="1003"/>
      <c r="CH50" s="1003"/>
      <c r="CI50" s="1003"/>
      <c r="CJ50" s="1003"/>
      <c r="CK50" s="1003"/>
      <c r="CL50" s="1003">
        <v>3</v>
      </c>
      <c r="CM50" s="1003">
        <v>2</v>
      </c>
      <c r="CN50" s="1003">
        <f t="shared" si="17"/>
        <v>5</v>
      </c>
      <c r="CO50" s="1004"/>
      <c r="CP50" s="1003">
        <v>0</v>
      </c>
      <c r="CQ50" s="1003">
        <v>2</v>
      </c>
      <c r="CR50" s="1005">
        <v>8</v>
      </c>
    </row>
    <row r="51" spans="1:96" outlineLevel="1" x14ac:dyDescent="0.2">
      <c r="A51"/>
      <c r="B51" s="1002">
        <v>48</v>
      </c>
      <c r="C51" s="1003">
        <v>16</v>
      </c>
      <c r="D51" s="1003">
        <v>0</v>
      </c>
      <c r="E51" s="1003"/>
      <c r="F51" s="1003">
        <f t="shared" si="0"/>
        <v>16</v>
      </c>
      <c r="G51" s="1004"/>
      <c r="H51" s="1003">
        <v>0</v>
      </c>
      <c r="I51" s="1003">
        <v>0</v>
      </c>
      <c r="J51" s="1005">
        <v>32</v>
      </c>
      <c r="K51" s="1"/>
      <c r="L51"/>
      <c r="M51" s="1002">
        <v>48</v>
      </c>
      <c r="N51" s="1003">
        <v>0</v>
      </c>
      <c r="O51" s="1003">
        <v>12</v>
      </c>
      <c r="P51" s="1003"/>
      <c r="Q51" s="1003">
        <f t="shared" si="1"/>
        <v>12</v>
      </c>
      <c r="R51" s="1004"/>
      <c r="S51" s="1003">
        <v>0</v>
      </c>
      <c r="T51" s="1003">
        <v>8</v>
      </c>
      <c r="U51" s="1005">
        <v>16</v>
      </c>
      <c r="V51"/>
      <c r="W51" s="1002">
        <v>48</v>
      </c>
      <c r="X51" s="1003"/>
      <c r="Y51" s="1003">
        <v>2</v>
      </c>
      <c r="Z51" s="1003">
        <f t="shared" si="18"/>
        <v>8</v>
      </c>
      <c r="AA51" s="1003">
        <f t="shared" si="8"/>
        <v>10</v>
      </c>
      <c r="AB51" s="1004"/>
      <c r="AC51" s="1003">
        <v>0</v>
      </c>
      <c r="AD51" s="1003">
        <v>4</v>
      </c>
      <c r="AE51" s="1005">
        <v>16</v>
      </c>
      <c r="AF51"/>
      <c r="AG51" s="1002">
        <v>48</v>
      </c>
      <c r="AH51" s="1003"/>
      <c r="AI51" s="1003"/>
      <c r="AJ51" s="1003"/>
      <c r="AK51" s="1003">
        <f t="shared" si="19"/>
        <v>8</v>
      </c>
      <c r="AL51" s="1003">
        <f t="shared" si="13"/>
        <v>8</v>
      </c>
      <c r="AM51" s="1004"/>
      <c r="AN51" s="1003">
        <v>0</v>
      </c>
      <c r="AO51" s="1003">
        <v>0</v>
      </c>
      <c r="AP51" s="1005">
        <v>16</v>
      </c>
      <c r="AQ51"/>
      <c r="AR51" s="1002">
        <v>48</v>
      </c>
      <c r="AS51" s="1003"/>
      <c r="AT51" s="1003"/>
      <c r="AU51" s="1003"/>
      <c r="AV51" s="1003">
        <v>1</v>
      </c>
      <c r="AW51" s="1003">
        <v>6</v>
      </c>
      <c r="AX51" s="1003">
        <f t="shared" si="14"/>
        <v>7</v>
      </c>
      <c r="AY51" s="1004"/>
      <c r="AZ51" s="1003">
        <v>0</v>
      </c>
      <c r="BA51" s="1003">
        <f t="shared" si="11"/>
        <v>6</v>
      </c>
      <c r="BB51" s="1005">
        <v>8</v>
      </c>
      <c r="BC51"/>
      <c r="BD51" s="1002">
        <v>48</v>
      </c>
      <c r="BE51" s="1003"/>
      <c r="BF51" s="1003"/>
      <c r="BG51" s="1003"/>
      <c r="BH51" s="1003"/>
      <c r="BI51" s="1003"/>
      <c r="BJ51" s="1003">
        <v>6</v>
      </c>
      <c r="BK51" s="1003">
        <f t="shared" si="15"/>
        <v>6</v>
      </c>
      <c r="BL51" s="1004"/>
      <c r="BM51" s="1003">
        <v>0</v>
      </c>
      <c r="BN51" s="1003">
        <f t="shared" si="12"/>
        <v>4</v>
      </c>
      <c r="BO51" s="1005">
        <v>8</v>
      </c>
      <c r="BP51"/>
      <c r="BQ51" s="1002">
        <v>48</v>
      </c>
      <c r="BR51" s="1003"/>
      <c r="BS51" s="1003"/>
      <c r="BT51" s="1003"/>
      <c r="BU51" s="1003"/>
      <c r="BV51" s="1003"/>
      <c r="BW51" s="1003">
        <v>6</v>
      </c>
      <c r="BX51" s="1003"/>
      <c r="BY51" s="1003">
        <f t="shared" si="16"/>
        <v>6</v>
      </c>
      <c r="BZ51" s="1004"/>
      <c r="CA51" s="1003">
        <v>0</v>
      </c>
      <c r="CB51" s="1003">
        <f t="shared" si="20"/>
        <v>4</v>
      </c>
      <c r="CC51" s="1005">
        <v>8</v>
      </c>
      <c r="CD51"/>
      <c r="CE51" s="1002">
        <v>48</v>
      </c>
      <c r="CF51" s="1003"/>
      <c r="CG51" s="1003"/>
      <c r="CH51" s="1003"/>
      <c r="CI51" s="1003"/>
      <c r="CJ51" s="1003"/>
      <c r="CK51" s="1003"/>
      <c r="CL51" s="1003">
        <v>2</v>
      </c>
      <c r="CM51" s="1003">
        <v>3</v>
      </c>
      <c r="CN51" s="1003">
        <f t="shared" si="17"/>
        <v>5</v>
      </c>
      <c r="CO51" s="1004"/>
      <c r="CP51" s="1003">
        <v>0</v>
      </c>
      <c r="CQ51" s="1003">
        <v>2</v>
      </c>
      <c r="CR51" s="1005">
        <v>8</v>
      </c>
    </row>
    <row r="52" spans="1:96" outlineLevel="1" x14ac:dyDescent="0.2">
      <c r="A52"/>
      <c r="B52" s="1002">
        <v>49</v>
      </c>
      <c r="C52" s="1003">
        <v>15</v>
      </c>
      <c r="D52" s="1003">
        <v>1</v>
      </c>
      <c r="E52" s="1003"/>
      <c r="F52" s="1003">
        <f t="shared" si="0"/>
        <v>16</v>
      </c>
      <c r="G52" s="1004"/>
      <c r="H52" s="1003">
        <v>0</v>
      </c>
      <c r="I52" s="1003">
        <v>0</v>
      </c>
      <c r="J52" s="1005">
        <v>32</v>
      </c>
      <c r="K52" s="1"/>
      <c r="L52"/>
      <c r="M52" s="1002">
        <v>49</v>
      </c>
      <c r="N52" s="1003">
        <v>3</v>
      </c>
      <c r="O52" s="1003">
        <v>10</v>
      </c>
      <c r="P52" s="1003"/>
      <c r="Q52" s="1003">
        <f t="shared" si="1"/>
        <v>13</v>
      </c>
      <c r="R52" s="1004"/>
      <c r="S52" s="1003">
        <v>0</v>
      </c>
      <c r="T52" s="1003">
        <v>10</v>
      </c>
      <c r="U52" s="1005">
        <v>16</v>
      </c>
      <c r="V52"/>
      <c r="W52" s="1002">
        <v>49</v>
      </c>
      <c r="X52" s="1003"/>
      <c r="Y52" s="1003">
        <v>1</v>
      </c>
      <c r="Z52" s="1003">
        <f t="shared" si="18"/>
        <v>9</v>
      </c>
      <c r="AA52" s="1003">
        <f t="shared" si="8"/>
        <v>10</v>
      </c>
      <c r="AB52" s="1004"/>
      <c r="AC52" s="1003">
        <v>0</v>
      </c>
      <c r="AD52" s="1003">
        <v>4</v>
      </c>
      <c r="AE52" s="1005">
        <v>16</v>
      </c>
      <c r="AF52"/>
      <c r="AG52" s="1002">
        <v>49</v>
      </c>
      <c r="AH52" s="1003"/>
      <c r="AI52" s="1003"/>
      <c r="AJ52" s="1009">
        <v>5</v>
      </c>
      <c r="AK52" s="1003">
        <f t="shared" si="19"/>
        <v>4</v>
      </c>
      <c r="AL52" s="1003">
        <f t="shared" si="13"/>
        <v>9</v>
      </c>
      <c r="AM52" s="1004"/>
      <c r="AN52" s="1003">
        <v>0</v>
      </c>
      <c r="AO52" s="1003">
        <f>AO46+2</f>
        <v>2</v>
      </c>
      <c r="AP52" s="1005">
        <v>16</v>
      </c>
      <c r="AQ52"/>
      <c r="AR52" s="1002">
        <v>49</v>
      </c>
      <c r="AS52" s="1003"/>
      <c r="AT52" s="1003"/>
      <c r="AU52" s="1009"/>
      <c r="AV52" s="1003"/>
      <c r="AW52" s="1003">
        <v>7</v>
      </c>
      <c r="AX52" s="1003">
        <f t="shared" si="14"/>
        <v>7</v>
      </c>
      <c r="AY52" s="1004"/>
      <c r="AZ52" s="1003">
        <v>0</v>
      </c>
      <c r="BA52" s="1003">
        <f t="shared" si="11"/>
        <v>6</v>
      </c>
      <c r="BB52" s="1005">
        <v>8</v>
      </c>
      <c r="BC52"/>
      <c r="BD52" s="1002">
        <v>49</v>
      </c>
      <c r="BE52" s="1003"/>
      <c r="BF52" s="1003"/>
      <c r="BG52" s="1009"/>
      <c r="BH52" s="1003"/>
      <c r="BI52" s="1003">
        <v>7</v>
      </c>
      <c r="BJ52" s="1003"/>
      <c r="BK52" s="1003">
        <f t="shared" si="15"/>
        <v>7</v>
      </c>
      <c r="BL52" s="1004"/>
      <c r="BM52" s="1003">
        <v>0</v>
      </c>
      <c r="BN52" s="1003">
        <f t="shared" si="12"/>
        <v>6</v>
      </c>
      <c r="BO52" s="1005">
        <v>8</v>
      </c>
      <c r="BP52"/>
      <c r="BQ52" s="1002">
        <v>49</v>
      </c>
      <c r="BR52" s="1003"/>
      <c r="BS52" s="1003"/>
      <c r="BT52" s="1009"/>
      <c r="BU52" s="1003"/>
      <c r="BV52" s="1003"/>
      <c r="BW52" s="1003">
        <v>5</v>
      </c>
      <c r="BX52" s="1003">
        <v>1</v>
      </c>
      <c r="BY52" s="1003">
        <f t="shared" si="16"/>
        <v>6</v>
      </c>
      <c r="BZ52" s="1004"/>
      <c r="CA52" s="1003">
        <v>0</v>
      </c>
      <c r="CB52" s="1003">
        <f t="shared" si="20"/>
        <v>4</v>
      </c>
      <c r="CC52" s="1005">
        <v>8</v>
      </c>
      <c r="CD52"/>
      <c r="CE52" s="1002">
        <v>49</v>
      </c>
      <c r="CF52" s="1003"/>
      <c r="CG52" s="1003"/>
      <c r="CH52" s="1009"/>
      <c r="CI52" s="1003"/>
      <c r="CJ52" s="1003"/>
      <c r="CK52" s="1003"/>
      <c r="CL52" s="1003">
        <v>1</v>
      </c>
      <c r="CM52" s="1003">
        <v>4</v>
      </c>
      <c r="CN52" s="1003">
        <f t="shared" si="17"/>
        <v>5</v>
      </c>
      <c r="CO52" s="1004"/>
      <c r="CP52" s="1003">
        <v>0</v>
      </c>
      <c r="CQ52" s="1003">
        <v>2</v>
      </c>
      <c r="CR52" s="1005">
        <v>8</v>
      </c>
    </row>
    <row r="53" spans="1:96" outlineLevel="1" x14ac:dyDescent="0.2">
      <c r="A53"/>
      <c r="B53" s="1002">
        <v>50</v>
      </c>
      <c r="C53" s="1003">
        <v>14</v>
      </c>
      <c r="D53" s="1003">
        <v>2</v>
      </c>
      <c r="E53" s="1003"/>
      <c r="F53" s="1003">
        <f t="shared" si="0"/>
        <v>16</v>
      </c>
      <c r="G53" s="1004"/>
      <c r="H53" s="1003">
        <v>0</v>
      </c>
      <c r="I53" s="1003">
        <v>0</v>
      </c>
      <c r="J53" s="1005">
        <v>32</v>
      </c>
      <c r="K53" s="1"/>
      <c r="L53"/>
      <c r="M53" s="1002">
        <v>50</v>
      </c>
      <c r="N53" s="1003">
        <v>2</v>
      </c>
      <c r="O53" s="1003">
        <v>11</v>
      </c>
      <c r="P53" s="1003"/>
      <c r="Q53" s="1003">
        <f t="shared" si="1"/>
        <v>13</v>
      </c>
      <c r="R53" s="1004"/>
      <c r="S53" s="1003">
        <v>0</v>
      </c>
      <c r="T53" s="1003">
        <v>10</v>
      </c>
      <c r="U53" s="1005">
        <v>16</v>
      </c>
      <c r="V53"/>
      <c r="W53" s="1002">
        <v>50</v>
      </c>
      <c r="X53" s="1003"/>
      <c r="Y53" s="1003"/>
      <c r="Z53" s="1003">
        <f t="shared" si="18"/>
        <v>10</v>
      </c>
      <c r="AA53" s="1003">
        <f t="shared" si="8"/>
        <v>10</v>
      </c>
      <c r="AB53" s="1004"/>
      <c r="AC53" s="1003">
        <v>0</v>
      </c>
      <c r="AD53" s="1003">
        <v>4</v>
      </c>
      <c r="AE53" s="1005">
        <v>16</v>
      </c>
      <c r="AF53"/>
      <c r="AG53" s="1002">
        <v>50</v>
      </c>
      <c r="AH53" s="1003"/>
      <c r="AI53" s="1003"/>
      <c r="AJ53" s="1003">
        <v>4</v>
      </c>
      <c r="AK53" s="1003">
        <f t="shared" si="19"/>
        <v>5</v>
      </c>
      <c r="AL53" s="1003">
        <f t="shared" si="13"/>
        <v>9</v>
      </c>
      <c r="AM53" s="1004"/>
      <c r="AN53" s="1003">
        <v>0</v>
      </c>
      <c r="AO53" s="1003">
        <f>AO52</f>
        <v>2</v>
      </c>
      <c r="AP53" s="1005">
        <v>16</v>
      </c>
      <c r="AQ53"/>
      <c r="AR53" s="1002">
        <v>50</v>
      </c>
      <c r="AS53" s="1003"/>
      <c r="AT53" s="1003"/>
      <c r="AU53" s="1003"/>
      <c r="AV53" s="1003">
        <v>6</v>
      </c>
      <c r="AW53" s="1003">
        <f>AW46+1</f>
        <v>2</v>
      </c>
      <c r="AX53" s="1003">
        <f t="shared" si="14"/>
        <v>8</v>
      </c>
      <c r="AY53" s="1004"/>
      <c r="AZ53" s="1003">
        <v>0</v>
      </c>
      <c r="BA53" s="1003">
        <v>0</v>
      </c>
      <c r="BB53" s="1005">
        <v>16</v>
      </c>
      <c r="BC53"/>
      <c r="BD53" s="1002">
        <v>50</v>
      </c>
      <c r="BE53" s="1003"/>
      <c r="BF53" s="1003"/>
      <c r="BG53" s="1003"/>
      <c r="BH53" s="1003"/>
      <c r="BI53" s="1003">
        <v>6</v>
      </c>
      <c r="BJ53" s="1003">
        <v>1</v>
      </c>
      <c r="BK53" s="1003">
        <f t="shared" si="15"/>
        <v>7</v>
      </c>
      <c r="BL53" s="1004"/>
      <c r="BM53" s="1003">
        <v>0</v>
      </c>
      <c r="BN53" s="1003">
        <f t="shared" si="12"/>
        <v>6</v>
      </c>
      <c r="BO53" s="1005">
        <v>8</v>
      </c>
      <c r="BP53"/>
      <c r="BQ53" s="1002">
        <v>50</v>
      </c>
      <c r="BR53" s="1003"/>
      <c r="BS53" s="1003"/>
      <c r="BT53" s="1003"/>
      <c r="BU53" s="1003"/>
      <c r="BV53" s="1003"/>
      <c r="BW53" s="1003">
        <v>4</v>
      </c>
      <c r="BX53" s="1003">
        <v>2</v>
      </c>
      <c r="BY53" s="1003">
        <f t="shared" si="16"/>
        <v>6</v>
      </c>
      <c r="BZ53" s="1004"/>
      <c r="CA53" s="1003">
        <v>0</v>
      </c>
      <c r="CB53" s="1003">
        <f t="shared" si="20"/>
        <v>4</v>
      </c>
      <c r="CC53" s="1005">
        <v>8</v>
      </c>
      <c r="CD53"/>
      <c r="CE53" s="1002">
        <v>50</v>
      </c>
      <c r="CF53" s="1003"/>
      <c r="CG53" s="1003"/>
      <c r="CH53" s="1003"/>
      <c r="CI53" s="1003"/>
      <c r="CJ53" s="1003"/>
      <c r="CK53" s="1003"/>
      <c r="CL53" s="1003"/>
      <c r="CM53" s="1003">
        <v>5</v>
      </c>
      <c r="CN53" s="1003">
        <f t="shared" si="17"/>
        <v>5</v>
      </c>
      <c r="CO53" s="1004"/>
      <c r="CP53" s="1003">
        <v>0</v>
      </c>
      <c r="CQ53" s="1003">
        <v>2</v>
      </c>
      <c r="CR53" s="1005">
        <v>8</v>
      </c>
    </row>
    <row r="54" spans="1:96" outlineLevel="1" x14ac:dyDescent="0.2">
      <c r="A54"/>
      <c r="B54" s="1002">
        <v>51</v>
      </c>
      <c r="C54" s="1003">
        <v>17</v>
      </c>
      <c r="D54" s="1003">
        <v>0</v>
      </c>
      <c r="E54" s="1003"/>
      <c r="F54" s="1003">
        <f t="shared" si="0"/>
        <v>17</v>
      </c>
      <c r="G54" s="1004"/>
      <c r="H54" s="1003">
        <v>0</v>
      </c>
      <c r="I54" s="1003">
        <v>2</v>
      </c>
      <c r="J54" s="1005">
        <v>32</v>
      </c>
      <c r="K54" s="1"/>
      <c r="L54"/>
      <c r="M54" s="1002">
        <v>51</v>
      </c>
      <c r="N54" s="1003">
        <v>1</v>
      </c>
      <c r="O54" s="1003">
        <v>12</v>
      </c>
      <c r="P54" s="1003"/>
      <c r="Q54" s="1003">
        <f t="shared" si="1"/>
        <v>13</v>
      </c>
      <c r="R54" s="1004"/>
      <c r="S54" s="1003">
        <v>0</v>
      </c>
      <c r="T54" s="1003">
        <v>10</v>
      </c>
      <c r="U54" s="1005">
        <v>16</v>
      </c>
      <c r="V54"/>
      <c r="W54" s="1002">
        <v>51</v>
      </c>
      <c r="X54" s="1003"/>
      <c r="Y54" s="1003">
        <v>4</v>
      </c>
      <c r="Z54" s="1003">
        <f t="shared" si="18"/>
        <v>7</v>
      </c>
      <c r="AA54" s="1003">
        <f t="shared" si="8"/>
        <v>11</v>
      </c>
      <c r="AB54" s="1004"/>
      <c r="AC54" s="1003">
        <v>0</v>
      </c>
      <c r="AD54" s="1003">
        <v>6</v>
      </c>
      <c r="AE54" s="1005">
        <v>16</v>
      </c>
      <c r="AF54"/>
      <c r="AG54" s="1002">
        <v>51</v>
      </c>
      <c r="AH54" s="1003"/>
      <c r="AI54" s="1003"/>
      <c r="AJ54" s="1003">
        <v>3</v>
      </c>
      <c r="AK54" s="1003">
        <f t="shared" si="19"/>
        <v>6</v>
      </c>
      <c r="AL54" s="1003">
        <f t="shared" si="13"/>
        <v>9</v>
      </c>
      <c r="AM54" s="1004"/>
      <c r="AN54" s="1003">
        <v>0</v>
      </c>
      <c r="AO54" s="1003">
        <f>AO53</f>
        <v>2</v>
      </c>
      <c r="AP54" s="1005">
        <v>16</v>
      </c>
      <c r="AQ54"/>
      <c r="AR54" s="1002">
        <v>51</v>
      </c>
      <c r="AS54" s="1003"/>
      <c r="AT54" s="1003"/>
      <c r="AU54" s="1003"/>
      <c r="AV54" s="1003">
        <v>5</v>
      </c>
      <c r="AW54" s="1003">
        <f t="shared" ref="AW54:AW117" si="21">AW47+1</f>
        <v>3</v>
      </c>
      <c r="AX54" s="1003">
        <f t="shared" si="14"/>
        <v>8</v>
      </c>
      <c r="AY54" s="1004"/>
      <c r="AZ54" s="1003">
        <v>0</v>
      </c>
      <c r="BA54" s="1003">
        <v>0</v>
      </c>
      <c r="BB54" s="1005">
        <v>16</v>
      </c>
      <c r="BC54"/>
      <c r="BD54" s="1002">
        <v>51</v>
      </c>
      <c r="BE54" s="1003"/>
      <c r="BF54" s="1003"/>
      <c r="BG54" s="1003"/>
      <c r="BH54" s="1003"/>
      <c r="BI54" s="1003">
        <v>5</v>
      </c>
      <c r="BJ54" s="1003">
        <v>2</v>
      </c>
      <c r="BK54" s="1003">
        <f t="shared" si="15"/>
        <v>7</v>
      </c>
      <c r="BL54" s="1004"/>
      <c r="BM54" s="1003">
        <v>0</v>
      </c>
      <c r="BN54" s="1003">
        <f t="shared" si="12"/>
        <v>6</v>
      </c>
      <c r="BO54" s="1005">
        <v>8</v>
      </c>
      <c r="BP54"/>
      <c r="BQ54" s="1002">
        <v>51</v>
      </c>
      <c r="BR54" s="1003"/>
      <c r="BS54" s="1003"/>
      <c r="BT54" s="1003"/>
      <c r="BU54" s="1003"/>
      <c r="BV54" s="1003"/>
      <c r="BW54" s="1003">
        <v>3</v>
      </c>
      <c r="BX54" s="1003">
        <v>3</v>
      </c>
      <c r="BY54" s="1003">
        <f t="shared" si="16"/>
        <v>6</v>
      </c>
      <c r="BZ54" s="1004"/>
      <c r="CA54" s="1003">
        <v>0</v>
      </c>
      <c r="CB54" s="1003">
        <f t="shared" si="20"/>
        <v>4</v>
      </c>
      <c r="CC54" s="1005">
        <v>8</v>
      </c>
      <c r="CD54"/>
      <c r="CE54" s="1002">
        <v>51</v>
      </c>
      <c r="CF54" s="1003"/>
      <c r="CG54" s="1003"/>
      <c r="CH54" s="1003"/>
      <c r="CI54" s="1003"/>
      <c r="CJ54" s="1003"/>
      <c r="CK54" s="1003">
        <v>3</v>
      </c>
      <c r="CL54" s="1003">
        <v>3</v>
      </c>
      <c r="CM54" s="1003"/>
      <c r="CN54" s="1003">
        <f t="shared" si="17"/>
        <v>6</v>
      </c>
      <c r="CO54" s="1004"/>
      <c r="CP54" s="1003">
        <v>0</v>
      </c>
      <c r="CQ54" s="1003">
        <v>4</v>
      </c>
      <c r="CR54" s="1005">
        <v>8</v>
      </c>
    </row>
    <row r="55" spans="1:96" outlineLevel="1" x14ac:dyDescent="0.2">
      <c r="A55"/>
      <c r="B55" s="1002">
        <v>52</v>
      </c>
      <c r="C55" s="1003">
        <v>16</v>
      </c>
      <c r="D55" s="1003">
        <v>1</v>
      </c>
      <c r="E55" s="1003"/>
      <c r="F55" s="1003">
        <f t="shared" si="0"/>
        <v>17</v>
      </c>
      <c r="G55" s="1004"/>
      <c r="H55" s="1003">
        <v>0</v>
      </c>
      <c r="I55" s="1003">
        <v>2</v>
      </c>
      <c r="J55" s="1005">
        <v>32</v>
      </c>
      <c r="K55" s="1"/>
      <c r="L55"/>
      <c r="M55" s="1002">
        <v>52</v>
      </c>
      <c r="N55" s="1003">
        <v>0</v>
      </c>
      <c r="O55" s="1003">
        <v>13</v>
      </c>
      <c r="P55" s="1003"/>
      <c r="Q55" s="1003">
        <f t="shared" si="1"/>
        <v>13</v>
      </c>
      <c r="R55" s="1004"/>
      <c r="S55" s="1003">
        <v>0</v>
      </c>
      <c r="T55" s="1003">
        <v>10</v>
      </c>
      <c r="U55" s="1005">
        <v>16</v>
      </c>
      <c r="V55"/>
      <c r="W55" s="1002">
        <v>52</v>
      </c>
      <c r="X55" s="1003"/>
      <c r="Y55" s="1003">
        <v>3</v>
      </c>
      <c r="Z55" s="1003">
        <f t="shared" si="18"/>
        <v>8</v>
      </c>
      <c r="AA55" s="1003">
        <f t="shared" si="8"/>
        <v>11</v>
      </c>
      <c r="AB55" s="1004"/>
      <c r="AC55" s="1003">
        <v>0</v>
      </c>
      <c r="AD55" s="1003">
        <v>6</v>
      </c>
      <c r="AE55" s="1005">
        <v>16</v>
      </c>
      <c r="AF55"/>
      <c r="AG55" s="1002">
        <v>52</v>
      </c>
      <c r="AH55" s="1003"/>
      <c r="AI55" s="1003"/>
      <c r="AJ55" s="1003">
        <v>2</v>
      </c>
      <c r="AK55" s="1003">
        <f t="shared" si="19"/>
        <v>7</v>
      </c>
      <c r="AL55" s="1003">
        <f t="shared" si="13"/>
        <v>9</v>
      </c>
      <c r="AM55" s="1004"/>
      <c r="AN55" s="1003">
        <v>0</v>
      </c>
      <c r="AO55" s="1003">
        <f>AO54</f>
        <v>2</v>
      </c>
      <c r="AP55" s="1005">
        <v>16</v>
      </c>
      <c r="AQ55"/>
      <c r="AR55" s="1002">
        <v>52</v>
      </c>
      <c r="AS55" s="1003"/>
      <c r="AT55" s="1003"/>
      <c r="AU55" s="1003"/>
      <c r="AV55" s="1003">
        <v>4</v>
      </c>
      <c r="AW55" s="1003">
        <f t="shared" si="21"/>
        <v>4</v>
      </c>
      <c r="AX55" s="1003">
        <f t="shared" si="14"/>
        <v>8</v>
      </c>
      <c r="AY55" s="1004"/>
      <c r="AZ55" s="1003">
        <v>0</v>
      </c>
      <c r="BA55" s="1003">
        <v>0</v>
      </c>
      <c r="BB55" s="1005">
        <v>16</v>
      </c>
      <c r="BC55"/>
      <c r="BD55" s="1002">
        <v>52</v>
      </c>
      <c r="BE55" s="1003"/>
      <c r="BF55" s="1003"/>
      <c r="BG55" s="1003"/>
      <c r="BH55" s="1003"/>
      <c r="BI55" s="1003">
        <v>4</v>
      </c>
      <c r="BJ55" s="1003">
        <v>3</v>
      </c>
      <c r="BK55" s="1003">
        <f t="shared" si="15"/>
        <v>7</v>
      </c>
      <c r="BL55" s="1004"/>
      <c r="BM55" s="1003">
        <v>0</v>
      </c>
      <c r="BN55" s="1003">
        <f t="shared" si="12"/>
        <v>6</v>
      </c>
      <c r="BO55" s="1005">
        <v>8</v>
      </c>
      <c r="BP55"/>
      <c r="BQ55" s="1002">
        <v>52</v>
      </c>
      <c r="BR55" s="1003"/>
      <c r="BS55" s="1003"/>
      <c r="BT55" s="1003"/>
      <c r="BU55" s="1003"/>
      <c r="BV55" s="1003"/>
      <c r="BW55" s="1003">
        <v>2</v>
      </c>
      <c r="BX55" s="1003">
        <v>4</v>
      </c>
      <c r="BY55" s="1003">
        <f t="shared" si="16"/>
        <v>6</v>
      </c>
      <c r="BZ55" s="1004"/>
      <c r="CA55" s="1003">
        <v>0</v>
      </c>
      <c r="CB55" s="1003">
        <f t="shared" si="20"/>
        <v>4</v>
      </c>
      <c r="CC55" s="1005">
        <v>8</v>
      </c>
      <c r="CD55"/>
      <c r="CE55" s="1002">
        <v>52</v>
      </c>
      <c r="CF55" s="1003"/>
      <c r="CG55" s="1003"/>
      <c r="CH55" s="1003"/>
      <c r="CI55" s="1003"/>
      <c r="CJ55" s="1003"/>
      <c r="CK55" s="1003">
        <v>2</v>
      </c>
      <c r="CL55" s="1003">
        <v>4</v>
      </c>
      <c r="CM55" s="1003"/>
      <c r="CN55" s="1003">
        <f t="shared" si="17"/>
        <v>6</v>
      </c>
      <c r="CO55" s="1004"/>
      <c r="CP55" s="1003">
        <v>0</v>
      </c>
      <c r="CQ55" s="1003">
        <v>4</v>
      </c>
      <c r="CR55" s="1005">
        <v>8</v>
      </c>
    </row>
    <row r="56" spans="1:96" outlineLevel="1" x14ac:dyDescent="0.2">
      <c r="A56"/>
      <c r="B56" s="1002">
        <v>53</v>
      </c>
      <c r="C56" s="1003">
        <v>15</v>
      </c>
      <c r="D56" s="1003">
        <v>2</v>
      </c>
      <c r="E56" s="1003"/>
      <c r="F56" s="1003">
        <f t="shared" si="0"/>
        <v>17</v>
      </c>
      <c r="G56" s="1004"/>
      <c r="H56" s="1003">
        <v>0</v>
      </c>
      <c r="I56" s="1003">
        <v>2</v>
      </c>
      <c r="J56" s="1005">
        <v>32</v>
      </c>
      <c r="K56" s="1"/>
      <c r="L56"/>
      <c r="M56" s="1002">
        <v>53</v>
      </c>
      <c r="N56" s="1003">
        <v>3</v>
      </c>
      <c r="O56" s="1003">
        <v>11</v>
      </c>
      <c r="P56" s="1003"/>
      <c r="Q56" s="1003">
        <f t="shared" si="1"/>
        <v>14</v>
      </c>
      <c r="R56" s="1004"/>
      <c r="S56" s="1003">
        <v>0</v>
      </c>
      <c r="T56" s="1003">
        <v>12</v>
      </c>
      <c r="U56" s="1005">
        <v>16</v>
      </c>
      <c r="V56"/>
      <c r="W56" s="1002">
        <v>53</v>
      </c>
      <c r="X56" s="1003"/>
      <c r="Y56" s="1003">
        <v>2</v>
      </c>
      <c r="Z56" s="1003">
        <f t="shared" si="18"/>
        <v>9</v>
      </c>
      <c r="AA56" s="1003">
        <f t="shared" si="8"/>
        <v>11</v>
      </c>
      <c r="AB56" s="1004"/>
      <c r="AC56" s="1003">
        <v>0</v>
      </c>
      <c r="AD56" s="1003">
        <v>6</v>
      </c>
      <c r="AE56" s="1005">
        <v>16</v>
      </c>
      <c r="AF56"/>
      <c r="AG56" s="1002">
        <v>53</v>
      </c>
      <c r="AH56" s="1003"/>
      <c r="AI56" s="1003"/>
      <c r="AJ56" s="1003">
        <v>1</v>
      </c>
      <c r="AK56" s="1003">
        <f t="shared" si="19"/>
        <v>8</v>
      </c>
      <c r="AL56" s="1003">
        <f t="shared" si="13"/>
        <v>9</v>
      </c>
      <c r="AM56" s="1004"/>
      <c r="AN56" s="1003">
        <v>0</v>
      </c>
      <c r="AO56" s="1003">
        <f>AO55</f>
        <v>2</v>
      </c>
      <c r="AP56" s="1005">
        <v>16</v>
      </c>
      <c r="AQ56"/>
      <c r="AR56" s="1002">
        <v>53</v>
      </c>
      <c r="AS56" s="1003"/>
      <c r="AT56" s="1003"/>
      <c r="AU56" s="1003"/>
      <c r="AV56" s="1003">
        <v>3</v>
      </c>
      <c r="AW56" s="1003">
        <f t="shared" si="21"/>
        <v>5</v>
      </c>
      <c r="AX56" s="1003">
        <f t="shared" si="14"/>
        <v>8</v>
      </c>
      <c r="AY56" s="1004"/>
      <c r="AZ56" s="1003">
        <v>0</v>
      </c>
      <c r="BA56" s="1003">
        <v>0</v>
      </c>
      <c r="BB56" s="1005">
        <v>16</v>
      </c>
      <c r="BC56"/>
      <c r="BD56" s="1002">
        <v>53</v>
      </c>
      <c r="BE56" s="1003"/>
      <c r="BF56" s="1003"/>
      <c r="BG56" s="1003"/>
      <c r="BH56" s="1003"/>
      <c r="BI56" s="1003">
        <v>3</v>
      </c>
      <c r="BJ56" s="1003">
        <v>4</v>
      </c>
      <c r="BK56" s="1003">
        <f t="shared" si="15"/>
        <v>7</v>
      </c>
      <c r="BL56" s="1004"/>
      <c r="BM56" s="1003">
        <v>0</v>
      </c>
      <c r="BN56" s="1003">
        <f t="shared" si="12"/>
        <v>6</v>
      </c>
      <c r="BO56" s="1005">
        <v>8</v>
      </c>
      <c r="BP56"/>
      <c r="BQ56" s="1002">
        <v>53</v>
      </c>
      <c r="BR56" s="1003"/>
      <c r="BS56" s="1003"/>
      <c r="BT56" s="1003"/>
      <c r="BU56" s="1003"/>
      <c r="BV56" s="1003"/>
      <c r="BW56" s="1003">
        <v>1</v>
      </c>
      <c r="BX56" s="1003">
        <v>5</v>
      </c>
      <c r="BY56" s="1003">
        <f t="shared" si="16"/>
        <v>6</v>
      </c>
      <c r="BZ56" s="1004"/>
      <c r="CA56" s="1003">
        <v>0</v>
      </c>
      <c r="CB56" s="1003">
        <f t="shared" si="20"/>
        <v>4</v>
      </c>
      <c r="CC56" s="1005">
        <v>8</v>
      </c>
      <c r="CD56"/>
      <c r="CE56" s="1002">
        <v>53</v>
      </c>
      <c r="CF56" s="1003"/>
      <c r="CG56" s="1003"/>
      <c r="CH56" s="1003"/>
      <c r="CI56" s="1003"/>
      <c r="CJ56" s="1003"/>
      <c r="CK56" s="1003">
        <v>1</v>
      </c>
      <c r="CL56" s="1003">
        <v>5</v>
      </c>
      <c r="CM56" s="1003"/>
      <c r="CN56" s="1003">
        <f t="shared" si="17"/>
        <v>6</v>
      </c>
      <c r="CO56" s="1004"/>
      <c r="CP56" s="1003">
        <v>0</v>
      </c>
      <c r="CQ56" s="1003">
        <v>4</v>
      </c>
      <c r="CR56" s="1005">
        <v>8</v>
      </c>
    </row>
    <row r="57" spans="1:96" outlineLevel="1" x14ac:dyDescent="0.2">
      <c r="A57"/>
      <c r="B57" s="1002">
        <v>54</v>
      </c>
      <c r="C57" s="1003">
        <v>18</v>
      </c>
      <c r="D57" s="1003">
        <v>0</v>
      </c>
      <c r="E57" s="1003"/>
      <c r="F57" s="1003">
        <f t="shared" si="0"/>
        <v>18</v>
      </c>
      <c r="G57" s="1004"/>
      <c r="H57" s="1003">
        <v>0</v>
      </c>
      <c r="I57" s="1003">
        <v>4</v>
      </c>
      <c r="J57" s="1005">
        <v>32</v>
      </c>
      <c r="K57" s="1"/>
      <c r="L57"/>
      <c r="M57" s="1002">
        <v>54</v>
      </c>
      <c r="N57" s="1003">
        <v>2</v>
      </c>
      <c r="O57" s="1003">
        <v>12</v>
      </c>
      <c r="P57" s="1003"/>
      <c r="Q57" s="1003">
        <f t="shared" si="1"/>
        <v>14</v>
      </c>
      <c r="R57" s="1004"/>
      <c r="S57" s="1003">
        <v>0</v>
      </c>
      <c r="T57" s="1003">
        <v>12</v>
      </c>
      <c r="U57" s="1005">
        <v>16</v>
      </c>
      <c r="V57"/>
      <c r="W57" s="1002">
        <v>54</v>
      </c>
      <c r="X57" s="1003"/>
      <c r="Y57" s="1003">
        <v>1</v>
      </c>
      <c r="Z57" s="1003">
        <f t="shared" si="18"/>
        <v>10</v>
      </c>
      <c r="AA57" s="1003">
        <f t="shared" si="8"/>
        <v>11</v>
      </c>
      <c r="AB57" s="1004"/>
      <c r="AC57" s="1003">
        <v>0</v>
      </c>
      <c r="AD57" s="1003">
        <v>6</v>
      </c>
      <c r="AE57" s="1005">
        <v>16</v>
      </c>
      <c r="AF57"/>
      <c r="AG57" s="1002">
        <v>54</v>
      </c>
      <c r="AH57" s="1003"/>
      <c r="AI57" s="1003"/>
      <c r="AJ57" s="1003"/>
      <c r="AK57" s="1003">
        <f t="shared" si="19"/>
        <v>9</v>
      </c>
      <c r="AL57" s="1003">
        <f t="shared" si="13"/>
        <v>9</v>
      </c>
      <c r="AM57" s="1004"/>
      <c r="AN57" s="1003">
        <v>0</v>
      </c>
      <c r="AO57" s="1003">
        <f>AO56</f>
        <v>2</v>
      </c>
      <c r="AP57" s="1005">
        <v>16</v>
      </c>
      <c r="AQ57"/>
      <c r="AR57" s="1002">
        <v>54</v>
      </c>
      <c r="AS57" s="1003"/>
      <c r="AT57" s="1003"/>
      <c r="AU57" s="1003"/>
      <c r="AV57" s="1003">
        <v>2</v>
      </c>
      <c r="AW57" s="1003">
        <f t="shared" si="21"/>
        <v>6</v>
      </c>
      <c r="AX57" s="1003">
        <f t="shared" si="14"/>
        <v>8</v>
      </c>
      <c r="AY57" s="1004"/>
      <c r="AZ57" s="1003">
        <v>0</v>
      </c>
      <c r="BA57" s="1003">
        <v>0</v>
      </c>
      <c r="BB57" s="1005">
        <v>16</v>
      </c>
      <c r="BC57"/>
      <c r="BD57" s="1002">
        <v>54</v>
      </c>
      <c r="BE57" s="1003"/>
      <c r="BF57" s="1003"/>
      <c r="BG57" s="1003"/>
      <c r="BH57" s="1003"/>
      <c r="BI57" s="1003">
        <v>2</v>
      </c>
      <c r="BJ57" s="1003">
        <v>5</v>
      </c>
      <c r="BK57" s="1003">
        <f t="shared" si="15"/>
        <v>7</v>
      </c>
      <c r="BL57" s="1004"/>
      <c r="BM57" s="1003">
        <v>0</v>
      </c>
      <c r="BN57" s="1003">
        <f t="shared" si="12"/>
        <v>6</v>
      </c>
      <c r="BO57" s="1005">
        <v>8</v>
      </c>
      <c r="BP57"/>
      <c r="BQ57" s="1002">
        <v>54</v>
      </c>
      <c r="BR57" s="1003"/>
      <c r="BS57" s="1003"/>
      <c r="BT57" s="1003"/>
      <c r="BU57" s="1003"/>
      <c r="BV57" s="1003"/>
      <c r="BW57" s="1003"/>
      <c r="BX57" s="1003">
        <v>6</v>
      </c>
      <c r="BY57" s="1003">
        <f t="shared" si="16"/>
        <v>6</v>
      </c>
      <c r="BZ57" s="1004"/>
      <c r="CA57" s="1003">
        <v>0</v>
      </c>
      <c r="CB57" s="1003">
        <f t="shared" si="20"/>
        <v>4</v>
      </c>
      <c r="CC57" s="1005">
        <v>8</v>
      </c>
      <c r="CD57"/>
      <c r="CE57" s="1002">
        <v>54</v>
      </c>
      <c r="CF57" s="1003"/>
      <c r="CG57" s="1003"/>
      <c r="CH57" s="1003"/>
      <c r="CI57" s="1003"/>
      <c r="CJ57" s="1003"/>
      <c r="CK57" s="1003"/>
      <c r="CL57" s="1003">
        <v>6</v>
      </c>
      <c r="CM57" s="1003"/>
      <c r="CN57" s="1003">
        <f t="shared" si="17"/>
        <v>6</v>
      </c>
      <c r="CO57" s="1004"/>
      <c r="CP57" s="1003">
        <v>0</v>
      </c>
      <c r="CQ57" s="1003">
        <v>4</v>
      </c>
      <c r="CR57" s="1005">
        <v>8</v>
      </c>
    </row>
    <row r="58" spans="1:96" outlineLevel="1" x14ac:dyDescent="0.2">
      <c r="A58"/>
      <c r="B58" s="1002">
        <v>55</v>
      </c>
      <c r="C58" s="1003">
        <v>17</v>
      </c>
      <c r="D58" s="1003">
        <v>1</v>
      </c>
      <c r="E58" s="1003"/>
      <c r="F58" s="1003">
        <f t="shared" si="0"/>
        <v>18</v>
      </c>
      <c r="G58" s="1004"/>
      <c r="H58" s="1003">
        <v>0</v>
      </c>
      <c r="I58" s="1003">
        <v>4</v>
      </c>
      <c r="J58" s="1005">
        <v>32</v>
      </c>
      <c r="K58" s="1"/>
      <c r="L58"/>
      <c r="M58" s="1002">
        <v>55</v>
      </c>
      <c r="N58" s="1003">
        <v>1</v>
      </c>
      <c r="O58" s="1003">
        <v>13</v>
      </c>
      <c r="P58" s="1003"/>
      <c r="Q58" s="1003">
        <f t="shared" si="1"/>
        <v>14</v>
      </c>
      <c r="R58" s="1004"/>
      <c r="S58" s="1003">
        <v>0</v>
      </c>
      <c r="T58" s="1003">
        <v>12</v>
      </c>
      <c r="U58" s="1005">
        <v>16</v>
      </c>
      <c r="V58"/>
      <c r="W58" s="1002">
        <v>55</v>
      </c>
      <c r="X58" s="1003"/>
      <c r="Y58" s="1003"/>
      <c r="Z58" s="1003">
        <f t="shared" si="18"/>
        <v>11</v>
      </c>
      <c r="AA58" s="1003">
        <f t="shared" si="8"/>
        <v>11</v>
      </c>
      <c r="AB58" s="1004"/>
      <c r="AC58" s="1003">
        <v>0</v>
      </c>
      <c r="AD58" s="1003">
        <v>6</v>
      </c>
      <c r="AE58" s="1005">
        <v>16</v>
      </c>
      <c r="AF58"/>
      <c r="AG58" s="1002">
        <v>55</v>
      </c>
      <c r="AH58" s="1003"/>
      <c r="AI58" s="1003"/>
      <c r="AJ58" s="1009">
        <v>5</v>
      </c>
      <c r="AK58" s="1003">
        <f t="shared" si="19"/>
        <v>5</v>
      </c>
      <c r="AL58" s="1003">
        <f t="shared" si="13"/>
        <v>10</v>
      </c>
      <c r="AM58" s="1004"/>
      <c r="AN58" s="1003">
        <v>0</v>
      </c>
      <c r="AO58" s="1003">
        <f>AO52+2</f>
        <v>4</v>
      </c>
      <c r="AP58" s="1005">
        <v>16</v>
      </c>
      <c r="AQ58"/>
      <c r="AR58" s="1002">
        <v>55</v>
      </c>
      <c r="AS58" s="1003"/>
      <c r="AT58" s="1003"/>
      <c r="AU58" s="1009"/>
      <c r="AV58" s="1003">
        <v>1</v>
      </c>
      <c r="AW58" s="1003">
        <f t="shared" si="21"/>
        <v>7</v>
      </c>
      <c r="AX58" s="1003">
        <f t="shared" si="14"/>
        <v>8</v>
      </c>
      <c r="AY58" s="1004"/>
      <c r="AZ58" s="1003">
        <v>0</v>
      </c>
      <c r="BA58" s="1003">
        <v>0</v>
      </c>
      <c r="BB58" s="1005">
        <v>16</v>
      </c>
      <c r="BC58"/>
      <c r="BD58" s="1002">
        <v>55</v>
      </c>
      <c r="BE58" s="1003"/>
      <c r="BF58" s="1003"/>
      <c r="BG58" s="1009"/>
      <c r="BH58" s="1003"/>
      <c r="BI58" s="1003">
        <v>1</v>
      </c>
      <c r="BJ58" s="1003">
        <v>6</v>
      </c>
      <c r="BK58" s="1003">
        <f t="shared" si="15"/>
        <v>7</v>
      </c>
      <c r="BL58" s="1004"/>
      <c r="BM58" s="1003">
        <v>0</v>
      </c>
      <c r="BN58" s="1003">
        <f t="shared" si="12"/>
        <v>6</v>
      </c>
      <c r="BO58" s="1005">
        <v>8</v>
      </c>
      <c r="BP58"/>
      <c r="BQ58" s="1002">
        <v>55</v>
      </c>
      <c r="BR58" s="1003"/>
      <c r="BS58" s="1003"/>
      <c r="BT58" s="1009"/>
      <c r="BU58" s="1003"/>
      <c r="BV58" s="1003">
        <v>1</v>
      </c>
      <c r="BW58" s="1003">
        <v>6</v>
      </c>
      <c r="BX58" s="1003"/>
      <c r="BY58" s="1003">
        <f t="shared" si="16"/>
        <v>7</v>
      </c>
      <c r="BZ58" s="1004"/>
      <c r="CA58" s="1003">
        <v>0</v>
      </c>
      <c r="CB58" s="1003">
        <f t="shared" si="20"/>
        <v>6</v>
      </c>
      <c r="CC58" s="1005">
        <v>8</v>
      </c>
      <c r="CD58"/>
      <c r="CE58" s="1002">
        <v>55</v>
      </c>
      <c r="CF58" s="1003"/>
      <c r="CG58" s="1003"/>
      <c r="CH58" s="1009"/>
      <c r="CI58" s="1003"/>
      <c r="CJ58" s="1003"/>
      <c r="CK58" s="1003"/>
      <c r="CL58" s="1003">
        <v>5</v>
      </c>
      <c r="CM58" s="1003">
        <v>1</v>
      </c>
      <c r="CN58" s="1003">
        <f t="shared" si="17"/>
        <v>6</v>
      </c>
      <c r="CO58" s="1004"/>
      <c r="CP58" s="1003">
        <v>0</v>
      </c>
      <c r="CQ58" s="1003">
        <v>4</v>
      </c>
      <c r="CR58" s="1005">
        <v>8</v>
      </c>
    </row>
    <row r="59" spans="1:96" outlineLevel="1" x14ac:dyDescent="0.2">
      <c r="A59"/>
      <c r="B59" s="1002">
        <v>56</v>
      </c>
      <c r="C59" s="1003">
        <v>16</v>
      </c>
      <c r="D59" s="1003">
        <v>2</v>
      </c>
      <c r="E59" s="1003"/>
      <c r="F59" s="1003">
        <f t="shared" si="0"/>
        <v>18</v>
      </c>
      <c r="G59" s="1004"/>
      <c r="H59" s="1003">
        <v>0</v>
      </c>
      <c r="I59" s="1003">
        <v>4</v>
      </c>
      <c r="J59" s="1005">
        <v>32</v>
      </c>
      <c r="K59" s="1"/>
      <c r="L59"/>
      <c r="M59" s="1002">
        <v>56</v>
      </c>
      <c r="N59" s="1003">
        <v>0</v>
      </c>
      <c r="O59" s="1003">
        <v>14</v>
      </c>
      <c r="P59" s="1003"/>
      <c r="Q59" s="1003">
        <f t="shared" si="1"/>
        <v>14</v>
      </c>
      <c r="R59" s="1004"/>
      <c r="S59" s="1003">
        <v>0</v>
      </c>
      <c r="T59" s="1003">
        <v>12</v>
      </c>
      <c r="U59" s="1005">
        <v>16</v>
      </c>
      <c r="V59"/>
      <c r="W59" s="1002">
        <v>56</v>
      </c>
      <c r="X59" s="1003"/>
      <c r="Y59" s="1003">
        <v>4</v>
      </c>
      <c r="Z59" s="1003">
        <f t="shared" si="18"/>
        <v>8</v>
      </c>
      <c r="AA59" s="1003">
        <f t="shared" si="8"/>
        <v>12</v>
      </c>
      <c r="AB59" s="1004"/>
      <c r="AC59" s="1003">
        <v>0</v>
      </c>
      <c r="AD59" s="1003">
        <v>8</v>
      </c>
      <c r="AE59" s="1005">
        <v>16</v>
      </c>
      <c r="AF59"/>
      <c r="AG59" s="1002">
        <v>56</v>
      </c>
      <c r="AH59" s="1003"/>
      <c r="AI59" s="1003"/>
      <c r="AJ59" s="1003">
        <v>4</v>
      </c>
      <c r="AK59" s="1003">
        <f t="shared" si="19"/>
        <v>6</v>
      </c>
      <c r="AL59" s="1003">
        <f t="shared" si="13"/>
        <v>10</v>
      </c>
      <c r="AM59" s="1004"/>
      <c r="AN59" s="1003">
        <v>0</v>
      </c>
      <c r="AO59" s="1003">
        <f>AO58</f>
        <v>4</v>
      </c>
      <c r="AP59" s="1005">
        <v>16</v>
      </c>
      <c r="AQ59"/>
      <c r="AR59" s="1002">
        <v>56</v>
      </c>
      <c r="AS59" s="1003"/>
      <c r="AT59" s="1003"/>
      <c r="AU59" s="1003"/>
      <c r="AV59" s="1003"/>
      <c r="AW59" s="1003">
        <f t="shared" si="21"/>
        <v>8</v>
      </c>
      <c r="AX59" s="1003">
        <f t="shared" si="14"/>
        <v>8</v>
      </c>
      <c r="AY59" s="1004"/>
      <c r="AZ59" s="1003">
        <v>0</v>
      </c>
      <c r="BA59" s="1003">
        <v>0</v>
      </c>
      <c r="BB59" s="1005">
        <v>16</v>
      </c>
      <c r="BC59"/>
      <c r="BD59" s="1002">
        <v>56</v>
      </c>
      <c r="BE59" s="1003"/>
      <c r="BF59" s="1003"/>
      <c r="BG59" s="1003"/>
      <c r="BH59" s="1003"/>
      <c r="BI59" s="1003"/>
      <c r="BJ59" s="1003">
        <v>7</v>
      </c>
      <c r="BK59" s="1003">
        <f t="shared" si="15"/>
        <v>7</v>
      </c>
      <c r="BL59" s="1004"/>
      <c r="BM59" s="1003">
        <v>0</v>
      </c>
      <c r="BN59" s="1003">
        <f t="shared" si="12"/>
        <v>6</v>
      </c>
      <c r="BO59" s="1005">
        <v>8</v>
      </c>
      <c r="BP59"/>
      <c r="BQ59" s="1002">
        <v>56</v>
      </c>
      <c r="BR59" s="1003"/>
      <c r="BS59" s="1003"/>
      <c r="BT59" s="1003"/>
      <c r="BU59" s="1003"/>
      <c r="BV59" s="1003"/>
      <c r="BW59" s="1003">
        <v>7</v>
      </c>
      <c r="BX59" s="1003"/>
      <c r="BY59" s="1003">
        <f t="shared" si="16"/>
        <v>7</v>
      </c>
      <c r="BZ59" s="1004"/>
      <c r="CA59" s="1003">
        <v>0</v>
      </c>
      <c r="CB59" s="1003">
        <f t="shared" si="20"/>
        <v>6</v>
      </c>
      <c r="CC59" s="1005">
        <v>8</v>
      </c>
      <c r="CD59"/>
      <c r="CE59" s="1002">
        <v>56</v>
      </c>
      <c r="CF59" s="1003"/>
      <c r="CG59" s="1003"/>
      <c r="CH59" s="1003"/>
      <c r="CI59" s="1003"/>
      <c r="CJ59" s="1003"/>
      <c r="CK59" s="1003"/>
      <c r="CL59" s="1003">
        <v>4</v>
      </c>
      <c r="CM59" s="1003">
        <v>2</v>
      </c>
      <c r="CN59" s="1003">
        <f t="shared" si="17"/>
        <v>6</v>
      </c>
      <c r="CO59" s="1004"/>
      <c r="CP59" s="1003">
        <v>0</v>
      </c>
      <c r="CQ59" s="1003">
        <v>4</v>
      </c>
      <c r="CR59" s="1005">
        <v>8</v>
      </c>
    </row>
    <row r="60" spans="1:96" outlineLevel="1" x14ac:dyDescent="0.2">
      <c r="A60"/>
      <c r="B60" s="1002">
        <v>57</v>
      </c>
      <c r="C60" s="1003">
        <v>19</v>
      </c>
      <c r="D60" s="1003">
        <v>0</v>
      </c>
      <c r="E60" s="1003"/>
      <c r="F60" s="1003">
        <f t="shared" si="0"/>
        <v>19</v>
      </c>
      <c r="G60" s="1004"/>
      <c r="H60" s="1003">
        <v>0</v>
      </c>
      <c r="I60" s="1003">
        <v>6</v>
      </c>
      <c r="J60" s="1005">
        <v>32</v>
      </c>
      <c r="K60" s="1"/>
      <c r="L60"/>
      <c r="M60" s="1002">
        <v>57</v>
      </c>
      <c r="N60" s="1003">
        <v>3</v>
      </c>
      <c r="O60" s="1003">
        <v>12</v>
      </c>
      <c r="P60" s="1003"/>
      <c r="Q60" s="1003">
        <f t="shared" si="1"/>
        <v>15</v>
      </c>
      <c r="R60" s="1004"/>
      <c r="S60" s="1003">
        <v>0</v>
      </c>
      <c r="T60" s="1003">
        <v>14</v>
      </c>
      <c r="U60" s="1005">
        <v>16</v>
      </c>
      <c r="V60"/>
      <c r="W60" s="1002">
        <v>57</v>
      </c>
      <c r="X60" s="1003"/>
      <c r="Y60" s="1003">
        <v>3</v>
      </c>
      <c r="Z60" s="1003">
        <f t="shared" si="18"/>
        <v>9</v>
      </c>
      <c r="AA60" s="1003">
        <f t="shared" si="8"/>
        <v>12</v>
      </c>
      <c r="AB60" s="1004"/>
      <c r="AC60" s="1003">
        <v>0</v>
      </c>
      <c r="AD60" s="1003">
        <v>8</v>
      </c>
      <c r="AE60" s="1005">
        <v>16</v>
      </c>
      <c r="AF60"/>
      <c r="AG60" s="1002">
        <v>57</v>
      </c>
      <c r="AH60" s="1003"/>
      <c r="AI60" s="1003"/>
      <c r="AJ60" s="1003">
        <v>3</v>
      </c>
      <c r="AK60" s="1003">
        <f t="shared" si="19"/>
        <v>7</v>
      </c>
      <c r="AL60" s="1003">
        <f t="shared" si="13"/>
        <v>10</v>
      </c>
      <c r="AM60" s="1004"/>
      <c r="AN60" s="1003">
        <v>0</v>
      </c>
      <c r="AO60" s="1003">
        <f>AO59</f>
        <v>4</v>
      </c>
      <c r="AP60" s="1005">
        <v>16</v>
      </c>
      <c r="AQ60"/>
      <c r="AR60" s="1002">
        <v>57</v>
      </c>
      <c r="AS60" s="1003"/>
      <c r="AT60" s="1003"/>
      <c r="AU60" s="1003"/>
      <c r="AV60" s="1003">
        <v>6</v>
      </c>
      <c r="AW60" s="1003">
        <f t="shared" si="21"/>
        <v>3</v>
      </c>
      <c r="AX60" s="1003">
        <f t="shared" si="14"/>
        <v>9</v>
      </c>
      <c r="AY60" s="1004"/>
      <c r="AZ60" s="1003">
        <v>0</v>
      </c>
      <c r="BA60" s="1003">
        <f t="shared" si="11"/>
        <v>2</v>
      </c>
      <c r="BB60" s="1005">
        <v>16</v>
      </c>
      <c r="BC60"/>
      <c r="BD60" s="1002">
        <v>57</v>
      </c>
      <c r="BE60" s="1003"/>
      <c r="BF60" s="1003"/>
      <c r="BG60" s="1003"/>
      <c r="BH60" s="1003"/>
      <c r="BI60" s="1003">
        <v>7</v>
      </c>
      <c r="BJ60" s="1003">
        <v>1</v>
      </c>
      <c r="BK60" s="1003">
        <f t="shared" si="15"/>
        <v>8</v>
      </c>
      <c r="BL60" s="1004"/>
      <c r="BM60" s="1003">
        <v>0</v>
      </c>
      <c r="BN60" s="1009">
        <v>0</v>
      </c>
      <c r="BO60" s="1005">
        <v>16</v>
      </c>
      <c r="BP60"/>
      <c r="BQ60" s="1002">
        <v>57</v>
      </c>
      <c r="BR60" s="1003"/>
      <c r="BS60" s="1003"/>
      <c r="BT60" s="1003"/>
      <c r="BU60" s="1003"/>
      <c r="BV60" s="1003"/>
      <c r="BW60" s="1003">
        <v>6</v>
      </c>
      <c r="BX60" s="1003">
        <v>1</v>
      </c>
      <c r="BY60" s="1003">
        <f t="shared" si="16"/>
        <v>7</v>
      </c>
      <c r="BZ60" s="1004"/>
      <c r="CA60" s="1003">
        <v>0</v>
      </c>
      <c r="CB60" s="1003">
        <f t="shared" si="20"/>
        <v>6</v>
      </c>
      <c r="CC60" s="1005">
        <v>8</v>
      </c>
      <c r="CD60"/>
      <c r="CE60" s="1002">
        <v>57</v>
      </c>
      <c r="CF60" s="1003"/>
      <c r="CG60" s="1003"/>
      <c r="CH60" s="1003"/>
      <c r="CI60" s="1003"/>
      <c r="CJ60" s="1003"/>
      <c r="CK60" s="1003"/>
      <c r="CL60" s="1003">
        <v>3</v>
      </c>
      <c r="CM60" s="1003">
        <v>3</v>
      </c>
      <c r="CN60" s="1003">
        <f t="shared" si="17"/>
        <v>6</v>
      </c>
      <c r="CO60" s="1004"/>
      <c r="CP60" s="1003">
        <v>0</v>
      </c>
      <c r="CQ60" s="1003">
        <v>4</v>
      </c>
      <c r="CR60" s="1005">
        <v>8</v>
      </c>
    </row>
    <row r="61" spans="1:96" outlineLevel="1" x14ac:dyDescent="0.2">
      <c r="A61"/>
      <c r="B61" s="1002">
        <v>58</v>
      </c>
      <c r="C61" s="1003">
        <v>18</v>
      </c>
      <c r="D61" s="1003">
        <v>1</v>
      </c>
      <c r="E61" s="1003"/>
      <c r="F61" s="1003">
        <f t="shared" si="0"/>
        <v>19</v>
      </c>
      <c r="G61" s="1004"/>
      <c r="H61" s="1003">
        <v>0</v>
      </c>
      <c r="I61" s="1003">
        <v>6</v>
      </c>
      <c r="J61" s="1005">
        <v>32</v>
      </c>
      <c r="K61" s="1"/>
      <c r="L61"/>
      <c r="M61" s="1002">
        <v>58</v>
      </c>
      <c r="N61" s="1003">
        <v>2</v>
      </c>
      <c r="O61" s="1003">
        <v>13</v>
      </c>
      <c r="P61" s="1003"/>
      <c r="Q61" s="1003">
        <f t="shared" si="1"/>
        <v>15</v>
      </c>
      <c r="R61" s="1004"/>
      <c r="S61" s="1003">
        <v>0</v>
      </c>
      <c r="T61" s="1003">
        <v>14</v>
      </c>
      <c r="U61" s="1005">
        <v>16</v>
      </c>
      <c r="V61"/>
      <c r="W61" s="1002">
        <v>58</v>
      </c>
      <c r="X61" s="1003"/>
      <c r="Y61" s="1003">
        <v>2</v>
      </c>
      <c r="Z61" s="1003">
        <f t="shared" si="18"/>
        <v>10</v>
      </c>
      <c r="AA61" s="1003">
        <f t="shared" si="8"/>
        <v>12</v>
      </c>
      <c r="AB61" s="1004"/>
      <c r="AC61" s="1003">
        <v>0</v>
      </c>
      <c r="AD61" s="1003">
        <v>8</v>
      </c>
      <c r="AE61" s="1005">
        <v>16</v>
      </c>
      <c r="AF61"/>
      <c r="AG61" s="1002">
        <v>58</v>
      </c>
      <c r="AH61" s="1003"/>
      <c r="AI61" s="1003"/>
      <c r="AJ61" s="1003">
        <v>2</v>
      </c>
      <c r="AK61" s="1003">
        <f t="shared" si="19"/>
        <v>8</v>
      </c>
      <c r="AL61" s="1003">
        <f t="shared" si="13"/>
        <v>10</v>
      </c>
      <c r="AM61" s="1004"/>
      <c r="AN61" s="1003">
        <v>0</v>
      </c>
      <c r="AO61" s="1003">
        <f>AO60</f>
        <v>4</v>
      </c>
      <c r="AP61" s="1005">
        <v>16</v>
      </c>
      <c r="AQ61"/>
      <c r="AR61" s="1002">
        <v>58</v>
      </c>
      <c r="AS61" s="1003"/>
      <c r="AT61" s="1003"/>
      <c r="AU61" s="1003"/>
      <c r="AV61" s="1003">
        <v>5</v>
      </c>
      <c r="AW61" s="1003">
        <f t="shared" si="21"/>
        <v>4</v>
      </c>
      <c r="AX61" s="1003">
        <f t="shared" si="14"/>
        <v>9</v>
      </c>
      <c r="AY61" s="1004"/>
      <c r="AZ61" s="1003">
        <v>0</v>
      </c>
      <c r="BA61" s="1003">
        <f t="shared" si="11"/>
        <v>2</v>
      </c>
      <c r="BB61" s="1005">
        <v>16</v>
      </c>
      <c r="BC61"/>
      <c r="BD61" s="1002">
        <v>58</v>
      </c>
      <c r="BE61" s="1003"/>
      <c r="BF61" s="1003"/>
      <c r="BG61" s="1003"/>
      <c r="BH61" s="1003"/>
      <c r="BI61" s="1003">
        <v>6</v>
      </c>
      <c r="BJ61" s="1003">
        <v>2</v>
      </c>
      <c r="BK61" s="1003">
        <f t="shared" si="15"/>
        <v>8</v>
      </c>
      <c r="BL61" s="1004"/>
      <c r="BM61" s="1003">
        <v>0</v>
      </c>
      <c r="BN61" s="1003">
        <v>0</v>
      </c>
      <c r="BO61" s="1005">
        <v>16</v>
      </c>
      <c r="BP61"/>
      <c r="BQ61" s="1002">
        <v>58</v>
      </c>
      <c r="BR61" s="1003"/>
      <c r="BS61" s="1003"/>
      <c r="BT61" s="1003"/>
      <c r="BU61" s="1003"/>
      <c r="BV61" s="1003"/>
      <c r="BW61" s="1003">
        <v>5</v>
      </c>
      <c r="BX61" s="1003">
        <v>2</v>
      </c>
      <c r="BY61" s="1003">
        <f t="shared" si="16"/>
        <v>7</v>
      </c>
      <c r="BZ61" s="1004"/>
      <c r="CA61" s="1003">
        <v>0</v>
      </c>
      <c r="CB61" s="1003">
        <f t="shared" si="20"/>
        <v>6</v>
      </c>
      <c r="CC61" s="1005">
        <v>8</v>
      </c>
      <c r="CD61"/>
      <c r="CE61" s="1002">
        <v>58</v>
      </c>
      <c r="CF61" s="1003"/>
      <c r="CG61" s="1003"/>
      <c r="CH61" s="1003"/>
      <c r="CI61" s="1003"/>
      <c r="CJ61" s="1003"/>
      <c r="CK61" s="1003"/>
      <c r="CL61" s="1003">
        <v>2</v>
      </c>
      <c r="CM61" s="1003">
        <v>4</v>
      </c>
      <c r="CN61" s="1003">
        <f t="shared" si="17"/>
        <v>6</v>
      </c>
      <c r="CO61" s="1004"/>
      <c r="CP61" s="1003">
        <v>0</v>
      </c>
      <c r="CQ61" s="1003">
        <v>4</v>
      </c>
      <c r="CR61" s="1005">
        <v>8</v>
      </c>
    </row>
    <row r="62" spans="1:96" outlineLevel="1" x14ac:dyDescent="0.2">
      <c r="A62"/>
      <c r="B62" s="1002">
        <v>59</v>
      </c>
      <c r="C62" s="1003">
        <v>17</v>
      </c>
      <c r="D62" s="1003">
        <v>2</v>
      </c>
      <c r="E62" s="1003"/>
      <c r="F62" s="1003">
        <f t="shared" si="0"/>
        <v>19</v>
      </c>
      <c r="G62" s="1004"/>
      <c r="H62" s="1003">
        <v>0</v>
      </c>
      <c r="I62" s="1003">
        <v>6</v>
      </c>
      <c r="J62" s="1005">
        <v>32</v>
      </c>
      <c r="K62" s="1"/>
      <c r="L62"/>
      <c r="M62" s="1002">
        <v>59</v>
      </c>
      <c r="N62" s="1003">
        <v>1</v>
      </c>
      <c r="O62" s="1003">
        <v>14</v>
      </c>
      <c r="P62" s="1003"/>
      <c r="Q62" s="1003">
        <f t="shared" si="1"/>
        <v>15</v>
      </c>
      <c r="R62" s="1004"/>
      <c r="S62" s="1003">
        <v>0</v>
      </c>
      <c r="T62" s="1003">
        <v>14</v>
      </c>
      <c r="U62" s="1005">
        <v>16</v>
      </c>
      <c r="V62"/>
      <c r="W62" s="1002">
        <v>59</v>
      </c>
      <c r="X62" s="1003"/>
      <c r="Y62" s="1003">
        <v>1</v>
      </c>
      <c r="Z62" s="1003">
        <f t="shared" si="18"/>
        <v>11</v>
      </c>
      <c r="AA62" s="1003">
        <f t="shared" si="8"/>
        <v>12</v>
      </c>
      <c r="AB62" s="1004"/>
      <c r="AC62" s="1003">
        <v>0</v>
      </c>
      <c r="AD62" s="1003">
        <v>8</v>
      </c>
      <c r="AE62" s="1005">
        <v>16</v>
      </c>
      <c r="AF62"/>
      <c r="AG62" s="1002">
        <v>59</v>
      </c>
      <c r="AH62" s="1003"/>
      <c r="AI62" s="1003"/>
      <c r="AJ62" s="1003">
        <v>1</v>
      </c>
      <c r="AK62" s="1003">
        <f t="shared" si="19"/>
        <v>9</v>
      </c>
      <c r="AL62" s="1003">
        <f t="shared" si="13"/>
        <v>10</v>
      </c>
      <c r="AM62" s="1004"/>
      <c r="AN62" s="1003">
        <v>0</v>
      </c>
      <c r="AO62" s="1003">
        <f>AO61</f>
        <v>4</v>
      </c>
      <c r="AP62" s="1005">
        <v>16</v>
      </c>
      <c r="AQ62"/>
      <c r="AR62" s="1002">
        <v>59</v>
      </c>
      <c r="AS62" s="1003"/>
      <c r="AT62" s="1003"/>
      <c r="AU62" s="1003"/>
      <c r="AV62" s="1003">
        <v>4</v>
      </c>
      <c r="AW62" s="1003">
        <f t="shared" si="21"/>
        <v>5</v>
      </c>
      <c r="AX62" s="1003">
        <f t="shared" si="14"/>
        <v>9</v>
      </c>
      <c r="AY62" s="1004"/>
      <c r="AZ62" s="1003">
        <v>0</v>
      </c>
      <c r="BA62" s="1003">
        <f t="shared" si="11"/>
        <v>2</v>
      </c>
      <c r="BB62" s="1005">
        <v>16</v>
      </c>
      <c r="BC62"/>
      <c r="BD62" s="1002">
        <v>59</v>
      </c>
      <c r="BE62" s="1003"/>
      <c r="BF62" s="1003"/>
      <c r="BG62" s="1003"/>
      <c r="BH62" s="1003"/>
      <c r="BI62" s="1003">
        <v>5</v>
      </c>
      <c r="BJ62" s="1003">
        <v>3</v>
      </c>
      <c r="BK62" s="1003">
        <f t="shared" si="15"/>
        <v>8</v>
      </c>
      <c r="BL62" s="1004"/>
      <c r="BM62" s="1003">
        <v>0</v>
      </c>
      <c r="BN62" s="1003">
        <v>0</v>
      </c>
      <c r="BO62" s="1005">
        <v>16</v>
      </c>
      <c r="BP62"/>
      <c r="BQ62" s="1002">
        <v>59</v>
      </c>
      <c r="BR62" s="1003"/>
      <c r="BS62" s="1003"/>
      <c r="BT62" s="1003"/>
      <c r="BU62" s="1003"/>
      <c r="BV62" s="1003"/>
      <c r="BW62" s="1003">
        <v>4</v>
      </c>
      <c r="BX62" s="1003">
        <v>3</v>
      </c>
      <c r="BY62" s="1003">
        <f t="shared" si="16"/>
        <v>7</v>
      </c>
      <c r="BZ62" s="1004"/>
      <c r="CA62" s="1003">
        <v>0</v>
      </c>
      <c r="CB62" s="1003">
        <f t="shared" si="20"/>
        <v>6</v>
      </c>
      <c r="CC62" s="1005">
        <v>8</v>
      </c>
      <c r="CD62"/>
      <c r="CE62" s="1002">
        <v>59</v>
      </c>
      <c r="CF62" s="1003"/>
      <c r="CG62" s="1003"/>
      <c r="CH62" s="1003"/>
      <c r="CI62" s="1003"/>
      <c r="CJ62" s="1003"/>
      <c r="CK62" s="1003"/>
      <c r="CL62" s="1003">
        <v>1</v>
      </c>
      <c r="CM62" s="1003">
        <v>5</v>
      </c>
      <c r="CN62" s="1003">
        <f t="shared" si="17"/>
        <v>6</v>
      </c>
      <c r="CO62" s="1004"/>
      <c r="CP62" s="1003">
        <v>0</v>
      </c>
      <c r="CQ62" s="1003">
        <v>4</v>
      </c>
      <c r="CR62" s="1005">
        <v>8</v>
      </c>
    </row>
    <row r="63" spans="1:96" outlineLevel="1" x14ac:dyDescent="0.2">
      <c r="A63"/>
      <c r="B63" s="1002">
        <v>60</v>
      </c>
      <c r="C63" s="1003">
        <v>20</v>
      </c>
      <c r="D63" s="1003">
        <v>0</v>
      </c>
      <c r="E63" s="1003"/>
      <c r="F63" s="1003">
        <f t="shared" si="0"/>
        <v>20</v>
      </c>
      <c r="G63" s="1004"/>
      <c r="H63" s="1003">
        <v>0</v>
      </c>
      <c r="I63" s="1003">
        <v>8</v>
      </c>
      <c r="J63" s="1005">
        <v>32</v>
      </c>
      <c r="K63" s="1"/>
      <c r="L63"/>
      <c r="M63" s="1002">
        <v>60</v>
      </c>
      <c r="N63" s="1003">
        <v>0</v>
      </c>
      <c r="O63" s="1003">
        <v>15</v>
      </c>
      <c r="P63" s="1003"/>
      <c r="Q63" s="1003">
        <f t="shared" si="1"/>
        <v>15</v>
      </c>
      <c r="R63" s="1004"/>
      <c r="S63" s="1003">
        <v>0</v>
      </c>
      <c r="T63" s="1003">
        <v>14</v>
      </c>
      <c r="U63" s="1005">
        <v>16</v>
      </c>
      <c r="V63"/>
      <c r="W63" s="1002">
        <v>60</v>
      </c>
      <c r="X63" s="1003"/>
      <c r="Y63" s="1003"/>
      <c r="Z63" s="1003">
        <f t="shared" si="18"/>
        <v>12</v>
      </c>
      <c r="AA63" s="1003">
        <f t="shared" si="8"/>
        <v>12</v>
      </c>
      <c r="AB63" s="1004"/>
      <c r="AC63" s="1003">
        <v>0</v>
      </c>
      <c r="AD63" s="1003">
        <v>8</v>
      </c>
      <c r="AE63" s="1005">
        <v>16</v>
      </c>
      <c r="AF63"/>
      <c r="AG63" s="1002">
        <v>60</v>
      </c>
      <c r="AH63" s="1003"/>
      <c r="AI63" s="1003"/>
      <c r="AJ63" s="1003"/>
      <c r="AK63" s="1003">
        <f t="shared" si="19"/>
        <v>10</v>
      </c>
      <c r="AL63" s="1003">
        <f t="shared" si="13"/>
        <v>10</v>
      </c>
      <c r="AM63" s="1004"/>
      <c r="AN63" s="1003">
        <v>0</v>
      </c>
      <c r="AO63" s="1003">
        <f>AO62</f>
        <v>4</v>
      </c>
      <c r="AP63" s="1005">
        <v>16</v>
      </c>
      <c r="AQ63"/>
      <c r="AR63" s="1002">
        <v>60</v>
      </c>
      <c r="AS63" s="1003"/>
      <c r="AT63" s="1003"/>
      <c r="AU63" s="1003"/>
      <c r="AV63" s="1003">
        <v>3</v>
      </c>
      <c r="AW63" s="1003">
        <f t="shared" si="21"/>
        <v>6</v>
      </c>
      <c r="AX63" s="1003">
        <f t="shared" si="14"/>
        <v>9</v>
      </c>
      <c r="AY63" s="1004"/>
      <c r="AZ63" s="1003">
        <v>0</v>
      </c>
      <c r="BA63" s="1003">
        <f t="shared" si="11"/>
        <v>2</v>
      </c>
      <c r="BB63" s="1005">
        <v>16</v>
      </c>
      <c r="BC63"/>
      <c r="BD63" s="1002">
        <v>60</v>
      </c>
      <c r="BE63" s="1003"/>
      <c r="BF63" s="1003"/>
      <c r="BG63" s="1003"/>
      <c r="BH63" s="1003"/>
      <c r="BI63" s="1003">
        <v>4</v>
      </c>
      <c r="BJ63" s="1003">
        <v>4</v>
      </c>
      <c r="BK63" s="1003">
        <f t="shared" si="15"/>
        <v>8</v>
      </c>
      <c r="BL63" s="1004"/>
      <c r="BM63" s="1003">
        <v>0</v>
      </c>
      <c r="BN63" s="1003">
        <v>0</v>
      </c>
      <c r="BO63" s="1005">
        <v>16</v>
      </c>
      <c r="BP63"/>
      <c r="BQ63" s="1002">
        <v>60</v>
      </c>
      <c r="BR63" s="1003"/>
      <c r="BS63" s="1003"/>
      <c r="BT63" s="1003"/>
      <c r="BU63" s="1003"/>
      <c r="BV63" s="1003"/>
      <c r="BW63" s="1003">
        <v>3</v>
      </c>
      <c r="BX63" s="1003">
        <v>4</v>
      </c>
      <c r="BY63" s="1003">
        <f t="shared" si="16"/>
        <v>7</v>
      </c>
      <c r="BZ63" s="1004"/>
      <c r="CA63" s="1003">
        <v>0</v>
      </c>
      <c r="CB63" s="1003">
        <f t="shared" si="20"/>
        <v>6</v>
      </c>
      <c r="CC63" s="1005">
        <v>8</v>
      </c>
      <c r="CD63"/>
      <c r="CE63" s="1002">
        <v>60</v>
      </c>
      <c r="CF63" s="1003"/>
      <c r="CG63" s="1003"/>
      <c r="CH63" s="1003"/>
      <c r="CI63" s="1003"/>
      <c r="CJ63" s="1003"/>
      <c r="CK63" s="1003"/>
      <c r="CL63" s="1003"/>
      <c r="CM63" s="1003">
        <v>6</v>
      </c>
      <c r="CN63" s="1003">
        <f t="shared" si="17"/>
        <v>6</v>
      </c>
      <c r="CO63" s="1004"/>
      <c r="CP63" s="1003">
        <v>0</v>
      </c>
      <c r="CQ63" s="1003">
        <v>4</v>
      </c>
      <c r="CR63" s="1005">
        <v>8</v>
      </c>
    </row>
    <row r="64" spans="1:96" outlineLevel="1" x14ac:dyDescent="0.2">
      <c r="A64"/>
      <c r="B64" s="1002">
        <v>61</v>
      </c>
      <c r="C64" s="1003">
        <v>19</v>
      </c>
      <c r="D64" s="1003">
        <v>1</v>
      </c>
      <c r="E64" s="1003"/>
      <c r="F64" s="1003">
        <f t="shared" si="0"/>
        <v>20</v>
      </c>
      <c r="G64" s="1004"/>
      <c r="H64" s="1003">
        <v>0</v>
      </c>
      <c r="I64" s="1003">
        <v>8</v>
      </c>
      <c r="J64" s="1005">
        <v>32</v>
      </c>
      <c r="K64" s="1"/>
      <c r="L64"/>
      <c r="M64" s="1002">
        <v>61</v>
      </c>
      <c r="N64" s="1003">
        <v>3</v>
      </c>
      <c r="O64" s="1003">
        <v>13</v>
      </c>
      <c r="P64" s="1003"/>
      <c r="Q64" s="1003">
        <f t="shared" si="1"/>
        <v>16</v>
      </c>
      <c r="R64" s="1004"/>
      <c r="S64" s="1003">
        <v>0</v>
      </c>
      <c r="T64" s="1003">
        <v>0</v>
      </c>
      <c r="U64" s="1005">
        <v>32</v>
      </c>
      <c r="V64"/>
      <c r="W64" s="1002">
        <v>61</v>
      </c>
      <c r="X64" s="1003"/>
      <c r="Y64" s="1003">
        <v>4</v>
      </c>
      <c r="Z64" s="1003">
        <f t="shared" si="18"/>
        <v>9</v>
      </c>
      <c r="AA64" s="1003">
        <f t="shared" si="8"/>
        <v>13</v>
      </c>
      <c r="AB64" s="1004"/>
      <c r="AC64" s="1003">
        <v>0</v>
      </c>
      <c r="AD64" s="1003">
        <v>10</v>
      </c>
      <c r="AE64" s="1005">
        <v>16</v>
      </c>
      <c r="AF64"/>
      <c r="AG64" s="1002">
        <v>61</v>
      </c>
      <c r="AH64" s="1003"/>
      <c r="AI64" s="1003"/>
      <c r="AJ64" s="1009">
        <v>5</v>
      </c>
      <c r="AK64" s="1003">
        <f t="shared" si="19"/>
        <v>6</v>
      </c>
      <c r="AL64" s="1003">
        <f t="shared" si="13"/>
        <v>11</v>
      </c>
      <c r="AM64" s="1004"/>
      <c r="AN64" s="1003">
        <v>0</v>
      </c>
      <c r="AO64" s="1003">
        <f>AO58+2</f>
        <v>6</v>
      </c>
      <c r="AP64" s="1005">
        <v>16</v>
      </c>
      <c r="AQ64"/>
      <c r="AR64" s="1002">
        <v>61</v>
      </c>
      <c r="AS64" s="1003"/>
      <c r="AT64" s="1003"/>
      <c r="AU64" s="1009"/>
      <c r="AV64" s="1003">
        <v>2</v>
      </c>
      <c r="AW64" s="1003">
        <f t="shared" si="21"/>
        <v>7</v>
      </c>
      <c r="AX64" s="1003">
        <f t="shared" si="14"/>
        <v>9</v>
      </c>
      <c r="AY64" s="1004"/>
      <c r="AZ64" s="1003">
        <v>0</v>
      </c>
      <c r="BA64" s="1003">
        <f t="shared" si="11"/>
        <v>2</v>
      </c>
      <c r="BB64" s="1005">
        <v>16</v>
      </c>
      <c r="BC64"/>
      <c r="BD64" s="1002">
        <v>61</v>
      </c>
      <c r="BE64" s="1003"/>
      <c r="BF64" s="1003"/>
      <c r="BG64" s="1009"/>
      <c r="BH64" s="1003"/>
      <c r="BI64" s="1003">
        <v>3</v>
      </c>
      <c r="BJ64" s="1003">
        <v>5</v>
      </c>
      <c r="BK64" s="1003">
        <f t="shared" si="15"/>
        <v>8</v>
      </c>
      <c r="BL64" s="1004"/>
      <c r="BM64" s="1003">
        <v>0</v>
      </c>
      <c r="BN64" s="1003">
        <v>0</v>
      </c>
      <c r="BO64" s="1005">
        <v>16</v>
      </c>
      <c r="BP64"/>
      <c r="BQ64" s="1002">
        <v>61</v>
      </c>
      <c r="BR64" s="1003"/>
      <c r="BS64" s="1003"/>
      <c r="BT64" s="1009"/>
      <c r="BU64" s="1003"/>
      <c r="BV64" s="1003"/>
      <c r="BW64" s="1003">
        <v>2</v>
      </c>
      <c r="BX64" s="1003">
        <v>5</v>
      </c>
      <c r="BY64" s="1003">
        <f t="shared" si="16"/>
        <v>7</v>
      </c>
      <c r="BZ64" s="1004"/>
      <c r="CA64" s="1003">
        <v>0</v>
      </c>
      <c r="CB64" s="1003">
        <f t="shared" si="20"/>
        <v>6</v>
      </c>
      <c r="CC64" s="1005">
        <v>8</v>
      </c>
      <c r="CD64"/>
      <c r="CE64" s="1002">
        <v>61</v>
      </c>
      <c r="CF64" s="1003"/>
      <c r="CG64" s="1003"/>
      <c r="CH64" s="1009"/>
      <c r="CI64" s="1003"/>
      <c r="CJ64" s="1003"/>
      <c r="CK64" s="1003">
        <v>2</v>
      </c>
      <c r="CL64" s="1003">
        <v>5</v>
      </c>
      <c r="CM64" s="1003"/>
      <c r="CN64" s="1003">
        <f t="shared" si="17"/>
        <v>7</v>
      </c>
      <c r="CO64" s="1004"/>
      <c r="CP64" s="1003">
        <v>0</v>
      </c>
      <c r="CQ64" s="1003">
        <f>CQ55+2</f>
        <v>6</v>
      </c>
      <c r="CR64" s="1005">
        <v>8</v>
      </c>
    </row>
    <row r="65" spans="1:96" outlineLevel="1" x14ac:dyDescent="0.2">
      <c r="A65"/>
      <c r="B65" s="1002">
        <v>62</v>
      </c>
      <c r="C65" s="1003">
        <v>18</v>
      </c>
      <c r="D65" s="1003">
        <v>2</v>
      </c>
      <c r="E65" s="1003"/>
      <c r="F65" s="1003">
        <f t="shared" si="0"/>
        <v>20</v>
      </c>
      <c r="G65" s="1004"/>
      <c r="H65" s="1003">
        <v>0</v>
      </c>
      <c r="I65" s="1003">
        <v>8</v>
      </c>
      <c r="J65" s="1005">
        <v>32</v>
      </c>
      <c r="K65" s="1"/>
      <c r="L65"/>
      <c r="M65" s="1002">
        <v>62</v>
      </c>
      <c r="N65" s="1003">
        <v>2</v>
      </c>
      <c r="O65" s="1003">
        <v>14</v>
      </c>
      <c r="P65" s="1003"/>
      <c r="Q65" s="1003">
        <f t="shared" si="1"/>
        <v>16</v>
      </c>
      <c r="R65" s="1004"/>
      <c r="S65" s="1003">
        <v>0</v>
      </c>
      <c r="T65" s="1003">
        <v>0</v>
      </c>
      <c r="U65" s="1005">
        <v>32</v>
      </c>
      <c r="V65"/>
      <c r="W65" s="1002">
        <v>62</v>
      </c>
      <c r="X65" s="1003"/>
      <c r="Y65" s="1003">
        <v>3</v>
      </c>
      <c r="Z65" s="1003">
        <f t="shared" si="18"/>
        <v>10</v>
      </c>
      <c r="AA65" s="1003">
        <f t="shared" si="8"/>
        <v>13</v>
      </c>
      <c r="AB65" s="1004"/>
      <c r="AC65" s="1003">
        <v>0</v>
      </c>
      <c r="AD65" s="1003">
        <v>10</v>
      </c>
      <c r="AE65" s="1005">
        <v>16</v>
      </c>
      <c r="AF65"/>
      <c r="AG65" s="1002">
        <v>62</v>
      </c>
      <c r="AH65" s="1003"/>
      <c r="AI65" s="1003"/>
      <c r="AJ65" s="1003">
        <v>4</v>
      </c>
      <c r="AK65" s="1003">
        <f t="shared" si="19"/>
        <v>7</v>
      </c>
      <c r="AL65" s="1003">
        <f t="shared" si="13"/>
        <v>11</v>
      </c>
      <c r="AM65" s="1004"/>
      <c r="AN65" s="1003">
        <v>0</v>
      </c>
      <c r="AO65" s="1003">
        <f>AO64</f>
        <v>6</v>
      </c>
      <c r="AP65" s="1005">
        <v>16</v>
      </c>
      <c r="AQ65"/>
      <c r="AR65" s="1002">
        <v>62</v>
      </c>
      <c r="AS65" s="1003"/>
      <c r="AT65" s="1003"/>
      <c r="AU65" s="1003"/>
      <c r="AV65" s="1003">
        <v>1</v>
      </c>
      <c r="AW65" s="1003">
        <f t="shared" si="21"/>
        <v>8</v>
      </c>
      <c r="AX65" s="1003">
        <f t="shared" si="14"/>
        <v>9</v>
      </c>
      <c r="AY65" s="1004"/>
      <c r="AZ65" s="1003">
        <v>0</v>
      </c>
      <c r="BA65" s="1003">
        <f t="shared" si="11"/>
        <v>2</v>
      </c>
      <c r="BB65" s="1005">
        <v>16</v>
      </c>
      <c r="BC65"/>
      <c r="BD65" s="1002">
        <v>62</v>
      </c>
      <c r="BE65" s="1003"/>
      <c r="BF65" s="1003"/>
      <c r="BG65" s="1003"/>
      <c r="BH65" s="1003"/>
      <c r="BI65" s="1003">
        <v>2</v>
      </c>
      <c r="BJ65" s="1003">
        <v>6</v>
      </c>
      <c r="BK65" s="1003">
        <f t="shared" si="15"/>
        <v>8</v>
      </c>
      <c r="BL65" s="1004"/>
      <c r="BM65" s="1003">
        <v>0</v>
      </c>
      <c r="BN65" s="1003">
        <v>0</v>
      </c>
      <c r="BO65" s="1005">
        <v>16</v>
      </c>
      <c r="BP65"/>
      <c r="BQ65" s="1002">
        <v>62</v>
      </c>
      <c r="BR65" s="1003"/>
      <c r="BS65" s="1003"/>
      <c r="BT65" s="1003"/>
      <c r="BU65" s="1003"/>
      <c r="BV65" s="1003"/>
      <c r="BW65" s="1003">
        <v>1</v>
      </c>
      <c r="BX65" s="1003">
        <v>6</v>
      </c>
      <c r="BY65" s="1003">
        <f t="shared" si="16"/>
        <v>7</v>
      </c>
      <c r="BZ65" s="1004"/>
      <c r="CA65" s="1003">
        <v>0</v>
      </c>
      <c r="CB65" s="1003">
        <f t="shared" si="20"/>
        <v>6</v>
      </c>
      <c r="CC65" s="1005">
        <v>8</v>
      </c>
      <c r="CD65"/>
      <c r="CE65" s="1002">
        <v>62</v>
      </c>
      <c r="CF65" s="1003"/>
      <c r="CG65" s="1003"/>
      <c r="CH65" s="1003"/>
      <c r="CI65" s="1003"/>
      <c r="CJ65" s="1003"/>
      <c r="CK65" s="1003">
        <v>1</v>
      </c>
      <c r="CL65" s="1003">
        <v>6</v>
      </c>
      <c r="CM65" s="1003"/>
      <c r="CN65" s="1003">
        <f t="shared" si="17"/>
        <v>7</v>
      </c>
      <c r="CO65" s="1004"/>
      <c r="CP65" s="1003">
        <v>0</v>
      </c>
      <c r="CQ65" s="1003">
        <f>CQ56+2</f>
        <v>6</v>
      </c>
      <c r="CR65" s="1005">
        <v>8</v>
      </c>
    </row>
    <row r="66" spans="1:96" outlineLevel="1" x14ac:dyDescent="0.2">
      <c r="A66"/>
      <c r="B66" s="1002">
        <v>63</v>
      </c>
      <c r="C66" s="1003">
        <v>21</v>
      </c>
      <c r="D66" s="1003">
        <v>0</v>
      </c>
      <c r="E66" s="1003"/>
      <c r="F66" s="1003">
        <f t="shared" si="0"/>
        <v>21</v>
      </c>
      <c r="G66" s="1004"/>
      <c r="H66" s="1003">
        <v>0</v>
      </c>
      <c r="I66" s="1003">
        <v>10</v>
      </c>
      <c r="J66" s="1005">
        <v>32</v>
      </c>
      <c r="K66" s="1"/>
      <c r="L66"/>
      <c r="M66" s="1002">
        <v>63</v>
      </c>
      <c r="N66" s="1003">
        <v>1</v>
      </c>
      <c r="O66" s="1003">
        <v>15</v>
      </c>
      <c r="P66" s="1003"/>
      <c r="Q66" s="1003">
        <f t="shared" si="1"/>
        <v>16</v>
      </c>
      <c r="R66" s="1004"/>
      <c r="S66" s="1003">
        <v>0</v>
      </c>
      <c r="T66" s="1003">
        <v>0</v>
      </c>
      <c r="U66" s="1005">
        <v>32</v>
      </c>
      <c r="V66"/>
      <c r="W66" s="1002">
        <v>63</v>
      </c>
      <c r="X66" s="1003"/>
      <c r="Y66" s="1003">
        <v>2</v>
      </c>
      <c r="Z66" s="1003">
        <f t="shared" si="18"/>
        <v>11</v>
      </c>
      <c r="AA66" s="1003">
        <f t="shared" si="8"/>
        <v>13</v>
      </c>
      <c r="AB66" s="1004"/>
      <c r="AC66" s="1003">
        <v>0</v>
      </c>
      <c r="AD66" s="1003">
        <v>10</v>
      </c>
      <c r="AE66" s="1005">
        <v>16</v>
      </c>
      <c r="AF66"/>
      <c r="AG66" s="1002">
        <v>63</v>
      </c>
      <c r="AH66" s="1003"/>
      <c r="AI66" s="1003"/>
      <c r="AJ66" s="1003">
        <v>3</v>
      </c>
      <c r="AK66" s="1003">
        <f t="shared" si="19"/>
        <v>8</v>
      </c>
      <c r="AL66" s="1003">
        <f t="shared" si="13"/>
        <v>11</v>
      </c>
      <c r="AM66" s="1004"/>
      <c r="AN66" s="1003">
        <v>0</v>
      </c>
      <c r="AO66" s="1003">
        <f>AO65</f>
        <v>6</v>
      </c>
      <c r="AP66" s="1005">
        <v>16</v>
      </c>
      <c r="AQ66"/>
      <c r="AR66" s="1002">
        <v>63</v>
      </c>
      <c r="AS66" s="1003"/>
      <c r="AT66" s="1003"/>
      <c r="AU66" s="1003"/>
      <c r="AV66" s="1003"/>
      <c r="AW66" s="1003">
        <f t="shared" si="21"/>
        <v>9</v>
      </c>
      <c r="AX66" s="1003">
        <f t="shared" si="14"/>
        <v>9</v>
      </c>
      <c r="AY66" s="1004"/>
      <c r="AZ66" s="1003">
        <v>0</v>
      </c>
      <c r="BA66" s="1003">
        <f t="shared" si="11"/>
        <v>2</v>
      </c>
      <c r="BB66" s="1005">
        <v>16</v>
      </c>
      <c r="BC66"/>
      <c r="BD66" s="1002">
        <v>63</v>
      </c>
      <c r="BE66" s="1003"/>
      <c r="BF66" s="1003"/>
      <c r="BG66" s="1003"/>
      <c r="BH66" s="1003"/>
      <c r="BI66" s="1003">
        <v>1</v>
      </c>
      <c r="BJ66" s="1003">
        <v>7</v>
      </c>
      <c r="BK66" s="1003">
        <f t="shared" si="15"/>
        <v>8</v>
      </c>
      <c r="BL66" s="1004"/>
      <c r="BM66" s="1003">
        <v>0</v>
      </c>
      <c r="BN66" s="1003">
        <v>0</v>
      </c>
      <c r="BO66" s="1005">
        <v>16</v>
      </c>
      <c r="BP66"/>
      <c r="BQ66" s="1002">
        <v>63</v>
      </c>
      <c r="BR66" s="1003"/>
      <c r="BS66" s="1003"/>
      <c r="BT66" s="1003"/>
      <c r="BU66" s="1003"/>
      <c r="BV66" s="1003"/>
      <c r="BW66" s="1003"/>
      <c r="BX66" s="1003">
        <v>7</v>
      </c>
      <c r="BY66" s="1003">
        <f t="shared" si="16"/>
        <v>7</v>
      </c>
      <c r="BZ66" s="1004"/>
      <c r="CA66" s="1003">
        <v>0</v>
      </c>
      <c r="CB66" s="1003">
        <f t="shared" si="20"/>
        <v>6</v>
      </c>
      <c r="CC66" s="1005">
        <v>8</v>
      </c>
      <c r="CD66"/>
      <c r="CE66" s="1002">
        <v>63</v>
      </c>
      <c r="CF66" s="1003"/>
      <c r="CG66" s="1003"/>
      <c r="CH66" s="1003"/>
      <c r="CI66" s="1003"/>
      <c r="CJ66" s="1003"/>
      <c r="CK66" s="1003"/>
      <c r="CL66" s="1003">
        <v>7</v>
      </c>
      <c r="CM66" s="1003"/>
      <c r="CN66" s="1003">
        <f t="shared" si="17"/>
        <v>7</v>
      </c>
      <c r="CO66" s="1004"/>
      <c r="CP66" s="1003">
        <v>0</v>
      </c>
      <c r="CQ66" s="1003">
        <f>CQ57+2</f>
        <v>6</v>
      </c>
      <c r="CR66" s="1005">
        <v>8</v>
      </c>
    </row>
    <row r="67" spans="1:96" outlineLevel="1" x14ac:dyDescent="0.2">
      <c r="A67"/>
      <c r="B67" s="1002">
        <v>64</v>
      </c>
      <c r="C67" s="1003">
        <v>20</v>
      </c>
      <c r="D67" s="1003">
        <v>1</v>
      </c>
      <c r="E67" s="1003"/>
      <c r="F67" s="1003">
        <f t="shared" si="0"/>
        <v>21</v>
      </c>
      <c r="G67" s="1004"/>
      <c r="H67" s="1003">
        <v>0</v>
      </c>
      <c r="I67" s="1003">
        <v>10</v>
      </c>
      <c r="J67" s="1005">
        <v>32</v>
      </c>
      <c r="K67" s="1"/>
      <c r="L67"/>
      <c r="M67" s="1002">
        <v>64</v>
      </c>
      <c r="N67" s="1003">
        <v>0</v>
      </c>
      <c r="O67" s="1003">
        <v>16</v>
      </c>
      <c r="P67" s="1003"/>
      <c r="Q67" s="1003">
        <f t="shared" si="1"/>
        <v>16</v>
      </c>
      <c r="R67" s="1004"/>
      <c r="S67" s="1003">
        <v>0</v>
      </c>
      <c r="T67" s="1003">
        <v>0</v>
      </c>
      <c r="U67" s="1005">
        <v>32</v>
      </c>
      <c r="V67"/>
      <c r="W67" s="1002">
        <v>64</v>
      </c>
      <c r="X67" s="1003"/>
      <c r="Y67" s="1003">
        <v>1</v>
      </c>
      <c r="Z67" s="1003">
        <f t="shared" si="18"/>
        <v>12</v>
      </c>
      <c r="AA67" s="1003">
        <f t="shared" si="8"/>
        <v>13</v>
      </c>
      <c r="AB67" s="1004"/>
      <c r="AC67" s="1003">
        <v>0</v>
      </c>
      <c r="AD67" s="1003">
        <v>10</v>
      </c>
      <c r="AE67" s="1005">
        <v>16</v>
      </c>
      <c r="AF67"/>
      <c r="AG67" s="1002">
        <v>64</v>
      </c>
      <c r="AH67" s="1003"/>
      <c r="AI67" s="1003"/>
      <c r="AJ67" s="1003">
        <v>2</v>
      </c>
      <c r="AK67" s="1003">
        <f t="shared" si="19"/>
        <v>9</v>
      </c>
      <c r="AL67" s="1003">
        <f t="shared" si="13"/>
        <v>11</v>
      </c>
      <c r="AM67" s="1004"/>
      <c r="AN67" s="1003">
        <v>0</v>
      </c>
      <c r="AO67" s="1003">
        <f>AO66</f>
        <v>6</v>
      </c>
      <c r="AP67" s="1005">
        <v>16</v>
      </c>
      <c r="AQ67"/>
      <c r="AR67" s="1002">
        <v>64</v>
      </c>
      <c r="AS67" s="1003"/>
      <c r="AT67" s="1003"/>
      <c r="AU67" s="1003"/>
      <c r="AV67" s="1003">
        <v>6</v>
      </c>
      <c r="AW67" s="1003">
        <f t="shared" si="21"/>
        <v>4</v>
      </c>
      <c r="AX67" s="1003">
        <f t="shared" si="14"/>
        <v>10</v>
      </c>
      <c r="AY67" s="1004"/>
      <c r="AZ67" s="1003">
        <v>0</v>
      </c>
      <c r="BA67" s="1003">
        <f t="shared" si="11"/>
        <v>4</v>
      </c>
      <c r="BB67" s="1005">
        <v>16</v>
      </c>
      <c r="BC67"/>
      <c r="BD67" s="1002">
        <v>64</v>
      </c>
      <c r="BE67" s="1003"/>
      <c r="BF67" s="1003"/>
      <c r="BG67" s="1003"/>
      <c r="BH67" s="1003"/>
      <c r="BI67" s="1003"/>
      <c r="BJ67" s="1003">
        <v>8</v>
      </c>
      <c r="BK67" s="1003">
        <f t="shared" si="15"/>
        <v>8</v>
      </c>
      <c r="BL67" s="1004"/>
      <c r="BM67" s="1003">
        <v>0</v>
      </c>
      <c r="BN67" s="1003">
        <v>0</v>
      </c>
      <c r="BO67" s="1005">
        <v>16</v>
      </c>
      <c r="BP67"/>
      <c r="BQ67" s="1002">
        <v>64</v>
      </c>
      <c r="BR67" s="1003"/>
      <c r="BS67" s="1003"/>
      <c r="BT67" s="1003"/>
      <c r="BU67" s="1003"/>
      <c r="BV67" s="1003"/>
      <c r="BW67" s="1003">
        <v>8</v>
      </c>
      <c r="BX67" s="1003"/>
      <c r="BY67" s="1003">
        <f t="shared" si="16"/>
        <v>8</v>
      </c>
      <c r="BZ67" s="1004"/>
      <c r="CA67" s="1003">
        <v>0</v>
      </c>
      <c r="CB67" s="1003">
        <v>0</v>
      </c>
      <c r="CC67" s="1005">
        <v>16</v>
      </c>
      <c r="CD67"/>
      <c r="CE67" s="1002">
        <v>64</v>
      </c>
      <c r="CF67" s="1003"/>
      <c r="CG67" s="1003"/>
      <c r="CH67" s="1003"/>
      <c r="CI67" s="1003"/>
      <c r="CJ67" s="1003"/>
      <c r="CK67" s="1003"/>
      <c r="CL67" s="1003">
        <v>6</v>
      </c>
      <c r="CM67" s="1003">
        <v>1</v>
      </c>
      <c r="CN67" s="1003">
        <f t="shared" si="17"/>
        <v>7</v>
      </c>
      <c r="CO67" s="1004"/>
      <c r="CP67" s="1003">
        <v>0</v>
      </c>
      <c r="CQ67" s="1003">
        <v>6</v>
      </c>
      <c r="CR67" s="1005">
        <v>8</v>
      </c>
    </row>
    <row r="68" spans="1:96" outlineLevel="1" x14ac:dyDescent="0.2">
      <c r="A68"/>
      <c r="B68" s="1002">
        <v>65</v>
      </c>
      <c r="C68" s="1003">
        <v>19</v>
      </c>
      <c r="D68" s="1003">
        <v>2</v>
      </c>
      <c r="E68" s="1003"/>
      <c r="F68" s="1003">
        <f t="shared" si="0"/>
        <v>21</v>
      </c>
      <c r="G68" s="1004"/>
      <c r="H68" s="1003">
        <v>0</v>
      </c>
      <c r="I68" s="1003">
        <v>10</v>
      </c>
      <c r="J68" s="1005">
        <v>32</v>
      </c>
      <c r="K68" s="1"/>
      <c r="L68"/>
      <c r="M68" s="1002">
        <v>65</v>
      </c>
      <c r="N68" s="1003">
        <v>3</v>
      </c>
      <c r="O68" s="1003">
        <v>14</v>
      </c>
      <c r="P68" s="1003"/>
      <c r="Q68" s="1003">
        <f t="shared" si="1"/>
        <v>17</v>
      </c>
      <c r="R68" s="1004"/>
      <c r="S68" s="1003">
        <v>0</v>
      </c>
      <c r="T68" s="1003">
        <v>2</v>
      </c>
      <c r="U68" s="1005">
        <v>32</v>
      </c>
      <c r="V68"/>
      <c r="W68" s="1002">
        <v>65</v>
      </c>
      <c r="X68" s="1003"/>
      <c r="Y68" s="1003"/>
      <c r="Z68" s="1003">
        <f t="shared" si="18"/>
        <v>13</v>
      </c>
      <c r="AA68" s="1003">
        <f t="shared" si="8"/>
        <v>13</v>
      </c>
      <c r="AB68" s="1004"/>
      <c r="AC68" s="1003">
        <v>0</v>
      </c>
      <c r="AD68" s="1003">
        <v>10</v>
      </c>
      <c r="AE68" s="1005">
        <v>16</v>
      </c>
      <c r="AF68"/>
      <c r="AG68" s="1002">
        <v>65</v>
      </c>
      <c r="AH68" s="1003"/>
      <c r="AI68" s="1003"/>
      <c r="AJ68" s="1003">
        <v>1</v>
      </c>
      <c r="AK68" s="1003">
        <f t="shared" si="19"/>
        <v>10</v>
      </c>
      <c r="AL68" s="1003">
        <f t="shared" si="13"/>
        <v>11</v>
      </c>
      <c r="AM68" s="1004"/>
      <c r="AN68" s="1003">
        <v>0</v>
      </c>
      <c r="AO68" s="1003">
        <f>AO67</f>
        <v>6</v>
      </c>
      <c r="AP68" s="1005">
        <v>16</v>
      </c>
      <c r="AQ68"/>
      <c r="AR68" s="1002">
        <v>65</v>
      </c>
      <c r="AS68" s="1003"/>
      <c r="AT68" s="1003"/>
      <c r="AU68" s="1003"/>
      <c r="AV68" s="1003">
        <v>5</v>
      </c>
      <c r="AW68" s="1003">
        <f t="shared" si="21"/>
        <v>5</v>
      </c>
      <c r="AX68" s="1003">
        <f t="shared" si="14"/>
        <v>10</v>
      </c>
      <c r="AY68" s="1004"/>
      <c r="AZ68" s="1003">
        <v>0</v>
      </c>
      <c r="BA68" s="1003">
        <f t="shared" si="11"/>
        <v>4</v>
      </c>
      <c r="BB68" s="1005">
        <v>16</v>
      </c>
      <c r="BC68"/>
      <c r="BD68" s="1002">
        <v>65</v>
      </c>
      <c r="BE68" s="1003"/>
      <c r="BF68" s="1003"/>
      <c r="BG68" s="1003"/>
      <c r="BH68" s="1003"/>
      <c r="BI68" s="1003">
        <v>7</v>
      </c>
      <c r="BJ68" s="1003">
        <f>BJ60+1</f>
        <v>2</v>
      </c>
      <c r="BK68" s="1003">
        <f t="shared" si="15"/>
        <v>9</v>
      </c>
      <c r="BL68" s="1004"/>
      <c r="BM68" s="1003">
        <v>0</v>
      </c>
      <c r="BN68" s="1003">
        <f t="shared" ref="BN68:BN123" si="22">BN60+2</f>
        <v>2</v>
      </c>
      <c r="BO68" s="1005">
        <v>16</v>
      </c>
      <c r="BP68"/>
      <c r="BQ68" s="1002">
        <v>65</v>
      </c>
      <c r="BR68" s="1003"/>
      <c r="BS68" s="1003"/>
      <c r="BT68" s="1003"/>
      <c r="BU68" s="1003"/>
      <c r="BV68" s="1003"/>
      <c r="BW68" s="1003">
        <v>7</v>
      </c>
      <c r="BX68" s="1003">
        <v>1</v>
      </c>
      <c r="BY68" s="1003">
        <f t="shared" si="16"/>
        <v>8</v>
      </c>
      <c r="BZ68" s="1004"/>
      <c r="CA68" s="1003">
        <v>0</v>
      </c>
      <c r="CB68" s="1003">
        <v>0</v>
      </c>
      <c r="CC68" s="1005">
        <v>16</v>
      </c>
      <c r="CD68"/>
      <c r="CE68" s="1002">
        <v>65</v>
      </c>
      <c r="CF68" s="1003"/>
      <c r="CG68" s="1003"/>
      <c r="CH68" s="1003"/>
      <c r="CI68" s="1003"/>
      <c r="CJ68" s="1003"/>
      <c r="CK68" s="1003"/>
      <c r="CL68" s="1003">
        <v>5</v>
      </c>
      <c r="CM68" s="1003">
        <v>2</v>
      </c>
      <c r="CN68" s="1003">
        <f t="shared" si="17"/>
        <v>7</v>
      </c>
      <c r="CO68" s="1004"/>
      <c r="CP68" s="1003">
        <v>0</v>
      </c>
      <c r="CQ68" s="1003">
        <v>6</v>
      </c>
      <c r="CR68" s="1005">
        <v>8</v>
      </c>
    </row>
    <row r="69" spans="1:96" outlineLevel="1" x14ac:dyDescent="0.2">
      <c r="A69"/>
      <c r="B69" s="1002">
        <v>66</v>
      </c>
      <c r="C69" s="1003">
        <v>22</v>
      </c>
      <c r="D69" s="1003">
        <v>0</v>
      </c>
      <c r="E69" s="1003"/>
      <c r="F69" s="1003">
        <f t="shared" si="0"/>
        <v>22</v>
      </c>
      <c r="G69" s="1004"/>
      <c r="H69" s="1003">
        <v>0</v>
      </c>
      <c r="I69" s="1003">
        <v>12</v>
      </c>
      <c r="J69" s="1005">
        <v>32</v>
      </c>
      <c r="K69" s="1"/>
      <c r="L69"/>
      <c r="M69" s="1002">
        <v>66</v>
      </c>
      <c r="N69" s="1003">
        <v>2</v>
      </c>
      <c r="O69" s="1003">
        <v>15</v>
      </c>
      <c r="P69" s="1003"/>
      <c r="Q69" s="1003">
        <f t="shared" si="1"/>
        <v>17</v>
      </c>
      <c r="R69" s="1004"/>
      <c r="S69" s="1003">
        <v>0</v>
      </c>
      <c r="T69" s="1003">
        <v>2</v>
      </c>
      <c r="U69" s="1005">
        <v>32</v>
      </c>
      <c r="V69"/>
      <c r="W69" s="1002">
        <v>66</v>
      </c>
      <c r="X69" s="1003"/>
      <c r="Y69" s="1003">
        <v>4</v>
      </c>
      <c r="Z69" s="1003">
        <f t="shared" si="18"/>
        <v>10</v>
      </c>
      <c r="AA69" s="1003">
        <f t="shared" si="8"/>
        <v>14</v>
      </c>
      <c r="AB69" s="1004"/>
      <c r="AC69" s="1003">
        <v>0</v>
      </c>
      <c r="AD69" s="1003">
        <v>12</v>
      </c>
      <c r="AE69" s="1005">
        <v>16</v>
      </c>
      <c r="AF69"/>
      <c r="AG69" s="1002">
        <v>66</v>
      </c>
      <c r="AH69" s="1003"/>
      <c r="AI69" s="1003"/>
      <c r="AJ69" s="1003"/>
      <c r="AK69" s="1003">
        <f t="shared" si="19"/>
        <v>11</v>
      </c>
      <c r="AL69" s="1003">
        <f t="shared" si="13"/>
        <v>11</v>
      </c>
      <c r="AM69" s="1004"/>
      <c r="AN69" s="1003">
        <v>0</v>
      </c>
      <c r="AO69" s="1003">
        <f>AO68</f>
        <v>6</v>
      </c>
      <c r="AP69" s="1005">
        <v>16</v>
      </c>
      <c r="AQ69"/>
      <c r="AR69" s="1002">
        <v>66</v>
      </c>
      <c r="AS69" s="1003"/>
      <c r="AT69" s="1003"/>
      <c r="AU69" s="1003"/>
      <c r="AV69" s="1003">
        <v>4</v>
      </c>
      <c r="AW69" s="1003">
        <f t="shared" si="21"/>
        <v>6</v>
      </c>
      <c r="AX69" s="1003">
        <f t="shared" si="14"/>
        <v>10</v>
      </c>
      <c r="AY69" s="1004"/>
      <c r="AZ69" s="1003">
        <v>0</v>
      </c>
      <c r="BA69" s="1003">
        <f t="shared" si="11"/>
        <v>4</v>
      </c>
      <c r="BB69" s="1005">
        <v>16</v>
      </c>
      <c r="BC69"/>
      <c r="BD69" s="1002">
        <v>66</v>
      </c>
      <c r="BE69" s="1003"/>
      <c r="BF69" s="1003"/>
      <c r="BG69" s="1003"/>
      <c r="BH69" s="1003"/>
      <c r="BI69" s="1003">
        <v>6</v>
      </c>
      <c r="BJ69" s="1003">
        <f t="shared" ref="BJ69:BJ131" si="23">BJ61+1</f>
        <v>3</v>
      </c>
      <c r="BK69" s="1003">
        <f t="shared" si="15"/>
        <v>9</v>
      </c>
      <c r="BL69" s="1004"/>
      <c r="BM69" s="1003">
        <v>0</v>
      </c>
      <c r="BN69" s="1003">
        <f t="shared" si="22"/>
        <v>2</v>
      </c>
      <c r="BO69" s="1005">
        <v>16</v>
      </c>
      <c r="BP69"/>
      <c r="BQ69" s="1002">
        <v>66</v>
      </c>
      <c r="BR69" s="1003"/>
      <c r="BS69" s="1003"/>
      <c r="BT69" s="1003"/>
      <c r="BU69" s="1003"/>
      <c r="BV69" s="1003"/>
      <c r="BW69" s="1003">
        <v>6</v>
      </c>
      <c r="BX69" s="1003">
        <v>2</v>
      </c>
      <c r="BY69" s="1003">
        <f t="shared" si="16"/>
        <v>8</v>
      </c>
      <c r="BZ69" s="1004"/>
      <c r="CA69" s="1003">
        <v>0</v>
      </c>
      <c r="CB69" s="1003">
        <v>0</v>
      </c>
      <c r="CC69" s="1005">
        <v>16</v>
      </c>
      <c r="CD69"/>
      <c r="CE69" s="1002">
        <v>66</v>
      </c>
      <c r="CF69" s="1003"/>
      <c r="CG69" s="1003"/>
      <c r="CH69" s="1003"/>
      <c r="CI69" s="1003"/>
      <c r="CJ69" s="1003"/>
      <c r="CK69" s="1003"/>
      <c r="CL69" s="1003">
        <v>4</v>
      </c>
      <c r="CM69" s="1003">
        <v>3</v>
      </c>
      <c r="CN69" s="1003">
        <f t="shared" si="17"/>
        <v>7</v>
      </c>
      <c r="CO69" s="1004"/>
      <c r="CP69" s="1003">
        <v>0</v>
      </c>
      <c r="CQ69" s="1003">
        <v>6</v>
      </c>
      <c r="CR69" s="1005">
        <v>8</v>
      </c>
    </row>
    <row r="70" spans="1:96" outlineLevel="1" x14ac:dyDescent="0.2">
      <c r="A70"/>
      <c r="B70" s="1002">
        <v>67</v>
      </c>
      <c r="C70" s="1003">
        <v>21</v>
      </c>
      <c r="D70" s="1003">
        <v>1</v>
      </c>
      <c r="E70" s="1003"/>
      <c r="F70" s="1003">
        <f t="shared" ref="F70:F131" si="24">SUM(C70:E70)</f>
        <v>22</v>
      </c>
      <c r="G70" s="1004"/>
      <c r="H70" s="1003">
        <v>0</v>
      </c>
      <c r="I70" s="1003">
        <v>12</v>
      </c>
      <c r="J70" s="1005">
        <v>32</v>
      </c>
      <c r="K70" s="1"/>
      <c r="L70"/>
      <c r="M70" s="1002">
        <v>67</v>
      </c>
      <c r="N70" s="1003">
        <v>1</v>
      </c>
      <c r="O70" s="1003">
        <v>16</v>
      </c>
      <c r="P70" s="1003"/>
      <c r="Q70" s="1003">
        <f t="shared" ref="Q70:Q131" si="25">SUM(N70:P70)</f>
        <v>17</v>
      </c>
      <c r="R70" s="1004"/>
      <c r="S70" s="1003">
        <v>0</v>
      </c>
      <c r="T70" s="1003">
        <v>2</v>
      </c>
      <c r="U70" s="1005">
        <v>32</v>
      </c>
      <c r="V70"/>
      <c r="W70" s="1002">
        <v>67</v>
      </c>
      <c r="X70" s="1003"/>
      <c r="Y70" s="1003">
        <v>3</v>
      </c>
      <c r="Z70" s="1003">
        <f t="shared" si="18"/>
        <v>11</v>
      </c>
      <c r="AA70" s="1003">
        <f t="shared" si="8"/>
        <v>14</v>
      </c>
      <c r="AB70" s="1004"/>
      <c r="AC70" s="1003">
        <v>0</v>
      </c>
      <c r="AD70" s="1003">
        <v>12</v>
      </c>
      <c r="AE70" s="1005">
        <v>16</v>
      </c>
      <c r="AF70"/>
      <c r="AG70" s="1002">
        <v>67</v>
      </c>
      <c r="AH70" s="1003"/>
      <c r="AI70" s="1003"/>
      <c r="AJ70" s="1009">
        <v>5</v>
      </c>
      <c r="AK70" s="1003">
        <f t="shared" si="19"/>
        <v>7</v>
      </c>
      <c r="AL70" s="1003">
        <f t="shared" ref="AL70:AL101" si="26">SUM(AH70:AK70)</f>
        <v>12</v>
      </c>
      <c r="AM70" s="1004"/>
      <c r="AN70" s="1003">
        <v>0</v>
      </c>
      <c r="AO70" s="1003">
        <f>AO64+2</f>
        <v>8</v>
      </c>
      <c r="AP70" s="1005">
        <v>16</v>
      </c>
      <c r="AQ70"/>
      <c r="AR70" s="1002">
        <v>67</v>
      </c>
      <c r="AS70" s="1003"/>
      <c r="AT70" s="1003"/>
      <c r="AU70" s="1009"/>
      <c r="AV70" s="1003">
        <v>3</v>
      </c>
      <c r="AW70" s="1003">
        <f t="shared" si="21"/>
        <v>7</v>
      </c>
      <c r="AX70" s="1003">
        <f t="shared" ref="AX70:AX101" si="27">SUM(AS70:AW70)</f>
        <v>10</v>
      </c>
      <c r="AY70" s="1004"/>
      <c r="AZ70" s="1003">
        <v>0</v>
      </c>
      <c r="BA70" s="1003">
        <f t="shared" si="11"/>
        <v>4</v>
      </c>
      <c r="BB70" s="1005">
        <v>16</v>
      </c>
      <c r="BC70"/>
      <c r="BD70" s="1002">
        <v>67</v>
      </c>
      <c r="BE70" s="1003"/>
      <c r="BF70" s="1003"/>
      <c r="BG70" s="1009"/>
      <c r="BH70" s="1003"/>
      <c r="BI70" s="1003">
        <v>5</v>
      </c>
      <c r="BJ70" s="1003">
        <f t="shared" si="23"/>
        <v>4</v>
      </c>
      <c r="BK70" s="1003">
        <f t="shared" ref="BK70:BK101" si="28">SUM(BE70:BJ70)</f>
        <v>9</v>
      </c>
      <c r="BL70" s="1004"/>
      <c r="BM70" s="1003">
        <v>0</v>
      </c>
      <c r="BN70" s="1003">
        <f t="shared" si="22"/>
        <v>2</v>
      </c>
      <c r="BO70" s="1005">
        <v>16</v>
      </c>
      <c r="BP70"/>
      <c r="BQ70" s="1002">
        <v>67</v>
      </c>
      <c r="BR70" s="1003"/>
      <c r="BS70" s="1003"/>
      <c r="BT70" s="1009"/>
      <c r="BU70" s="1003"/>
      <c r="BV70" s="1003"/>
      <c r="BW70" s="1003">
        <v>5</v>
      </c>
      <c r="BX70" s="1003">
        <v>3</v>
      </c>
      <c r="BY70" s="1003">
        <f t="shared" ref="BY70:BY101" si="29">SUM(BR70:BX70)</f>
        <v>8</v>
      </c>
      <c r="BZ70" s="1004"/>
      <c r="CA70" s="1003">
        <v>0</v>
      </c>
      <c r="CB70" s="1003">
        <v>0</v>
      </c>
      <c r="CC70" s="1005">
        <v>16</v>
      </c>
      <c r="CD70"/>
      <c r="CE70" s="1002">
        <v>67</v>
      </c>
      <c r="CF70" s="1003"/>
      <c r="CG70" s="1003"/>
      <c r="CH70" s="1009"/>
      <c r="CI70" s="1003"/>
      <c r="CJ70" s="1003"/>
      <c r="CK70" s="1003"/>
      <c r="CL70" s="1003">
        <v>3</v>
      </c>
      <c r="CM70" s="1003">
        <v>4</v>
      </c>
      <c r="CN70" s="1003">
        <f t="shared" ref="CN70:CN101" si="30">SUM(CF70:CM70)</f>
        <v>7</v>
      </c>
      <c r="CO70" s="1004"/>
      <c r="CP70" s="1003">
        <v>0</v>
      </c>
      <c r="CQ70" s="1003">
        <v>6</v>
      </c>
      <c r="CR70" s="1005">
        <v>8</v>
      </c>
    </row>
    <row r="71" spans="1:96" outlineLevel="1" x14ac:dyDescent="0.2">
      <c r="A71"/>
      <c r="B71" s="1002">
        <v>68</v>
      </c>
      <c r="C71" s="1003">
        <v>20</v>
      </c>
      <c r="D71" s="1003">
        <v>2</v>
      </c>
      <c r="E71" s="1003"/>
      <c r="F71" s="1003">
        <f t="shared" si="24"/>
        <v>22</v>
      </c>
      <c r="G71" s="1004"/>
      <c r="H71" s="1003">
        <v>0</v>
      </c>
      <c r="I71" s="1003">
        <v>12</v>
      </c>
      <c r="J71" s="1005">
        <v>32</v>
      </c>
      <c r="K71" s="1"/>
      <c r="L71"/>
      <c r="M71" s="1002">
        <v>68</v>
      </c>
      <c r="N71" s="1003">
        <v>0</v>
      </c>
      <c r="O71" s="1003">
        <v>17</v>
      </c>
      <c r="P71" s="1003"/>
      <c r="Q71" s="1003">
        <f t="shared" si="25"/>
        <v>17</v>
      </c>
      <c r="R71" s="1004"/>
      <c r="S71" s="1003">
        <v>0</v>
      </c>
      <c r="T71" s="1003">
        <v>2</v>
      </c>
      <c r="U71" s="1005">
        <v>32</v>
      </c>
      <c r="V71"/>
      <c r="W71" s="1002">
        <v>68</v>
      </c>
      <c r="X71" s="1003"/>
      <c r="Y71" s="1003">
        <v>2</v>
      </c>
      <c r="Z71" s="1003">
        <f t="shared" si="18"/>
        <v>12</v>
      </c>
      <c r="AA71" s="1003">
        <f t="shared" si="8"/>
        <v>14</v>
      </c>
      <c r="AB71" s="1004"/>
      <c r="AC71" s="1003">
        <v>0</v>
      </c>
      <c r="AD71" s="1003">
        <v>12</v>
      </c>
      <c r="AE71" s="1005">
        <v>16</v>
      </c>
      <c r="AF71"/>
      <c r="AG71" s="1002">
        <v>68</v>
      </c>
      <c r="AH71" s="1003"/>
      <c r="AI71" s="1003"/>
      <c r="AJ71" s="1003">
        <v>4</v>
      </c>
      <c r="AK71" s="1003">
        <f t="shared" si="19"/>
        <v>8</v>
      </c>
      <c r="AL71" s="1003">
        <f t="shared" si="26"/>
        <v>12</v>
      </c>
      <c r="AM71" s="1004"/>
      <c r="AN71" s="1003">
        <v>0</v>
      </c>
      <c r="AO71" s="1003">
        <f>AO70</f>
        <v>8</v>
      </c>
      <c r="AP71" s="1005">
        <v>16</v>
      </c>
      <c r="AQ71"/>
      <c r="AR71" s="1002">
        <v>68</v>
      </c>
      <c r="AS71" s="1003"/>
      <c r="AT71" s="1003"/>
      <c r="AU71" s="1003"/>
      <c r="AV71" s="1003">
        <v>2</v>
      </c>
      <c r="AW71" s="1003">
        <f t="shared" si="21"/>
        <v>8</v>
      </c>
      <c r="AX71" s="1003">
        <f t="shared" si="27"/>
        <v>10</v>
      </c>
      <c r="AY71" s="1004"/>
      <c r="AZ71" s="1003">
        <v>0</v>
      </c>
      <c r="BA71" s="1003">
        <f t="shared" si="11"/>
        <v>4</v>
      </c>
      <c r="BB71" s="1005">
        <v>16</v>
      </c>
      <c r="BC71"/>
      <c r="BD71" s="1002">
        <v>68</v>
      </c>
      <c r="BE71" s="1003"/>
      <c r="BF71" s="1003"/>
      <c r="BG71" s="1003"/>
      <c r="BH71" s="1003"/>
      <c r="BI71" s="1003">
        <v>4</v>
      </c>
      <c r="BJ71" s="1003">
        <f t="shared" si="23"/>
        <v>5</v>
      </c>
      <c r="BK71" s="1003">
        <f t="shared" si="28"/>
        <v>9</v>
      </c>
      <c r="BL71" s="1004"/>
      <c r="BM71" s="1003">
        <v>0</v>
      </c>
      <c r="BN71" s="1003">
        <f t="shared" si="22"/>
        <v>2</v>
      </c>
      <c r="BO71" s="1005">
        <v>16</v>
      </c>
      <c r="BP71"/>
      <c r="BQ71" s="1002">
        <v>68</v>
      </c>
      <c r="BR71" s="1003"/>
      <c r="BS71" s="1003"/>
      <c r="BT71" s="1003"/>
      <c r="BU71" s="1003"/>
      <c r="BV71" s="1003"/>
      <c r="BW71" s="1003">
        <v>4</v>
      </c>
      <c r="BX71" s="1003">
        <v>4</v>
      </c>
      <c r="BY71" s="1003">
        <f t="shared" si="29"/>
        <v>8</v>
      </c>
      <c r="BZ71" s="1004"/>
      <c r="CA71" s="1003">
        <v>0</v>
      </c>
      <c r="CB71" s="1003">
        <v>0</v>
      </c>
      <c r="CC71" s="1005">
        <v>16</v>
      </c>
      <c r="CD71"/>
      <c r="CE71" s="1002">
        <v>68</v>
      </c>
      <c r="CF71" s="1003"/>
      <c r="CG71" s="1003"/>
      <c r="CH71" s="1003"/>
      <c r="CI71" s="1003"/>
      <c r="CJ71" s="1003"/>
      <c r="CK71" s="1003"/>
      <c r="CL71" s="1003">
        <v>2</v>
      </c>
      <c r="CM71" s="1003">
        <v>5</v>
      </c>
      <c r="CN71" s="1003">
        <f t="shared" si="30"/>
        <v>7</v>
      </c>
      <c r="CO71" s="1004"/>
      <c r="CP71" s="1003">
        <v>0</v>
      </c>
      <c r="CQ71" s="1003">
        <v>6</v>
      </c>
      <c r="CR71" s="1005">
        <v>8</v>
      </c>
    </row>
    <row r="72" spans="1:96" outlineLevel="1" x14ac:dyDescent="0.2">
      <c r="A72"/>
      <c r="B72" s="1002">
        <v>69</v>
      </c>
      <c r="C72" s="1003">
        <v>23</v>
      </c>
      <c r="D72" s="1003">
        <v>0</v>
      </c>
      <c r="E72" s="1003"/>
      <c r="F72" s="1003">
        <f t="shared" si="24"/>
        <v>23</v>
      </c>
      <c r="G72" s="1004"/>
      <c r="H72" s="1003">
        <v>0</v>
      </c>
      <c r="I72" s="1003">
        <v>14</v>
      </c>
      <c r="J72" s="1005">
        <v>32</v>
      </c>
      <c r="K72" s="1"/>
      <c r="L72"/>
      <c r="M72" s="1002">
        <v>69</v>
      </c>
      <c r="N72" s="1003">
        <v>3</v>
      </c>
      <c r="O72" s="1003">
        <v>15</v>
      </c>
      <c r="P72" s="1003"/>
      <c r="Q72" s="1003">
        <f t="shared" si="25"/>
        <v>18</v>
      </c>
      <c r="R72" s="1004"/>
      <c r="S72" s="1003">
        <v>0</v>
      </c>
      <c r="T72" s="1003">
        <v>4</v>
      </c>
      <c r="U72" s="1005">
        <v>32</v>
      </c>
      <c r="V72"/>
      <c r="W72" s="1002">
        <v>69</v>
      </c>
      <c r="X72" s="1003"/>
      <c r="Y72" s="1003">
        <v>1</v>
      </c>
      <c r="Z72" s="1003">
        <f t="shared" si="18"/>
        <v>13</v>
      </c>
      <c r="AA72" s="1003">
        <f t="shared" si="8"/>
        <v>14</v>
      </c>
      <c r="AB72" s="1004"/>
      <c r="AC72" s="1003">
        <v>0</v>
      </c>
      <c r="AD72" s="1003">
        <v>12</v>
      </c>
      <c r="AE72" s="1005">
        <v>16</v>
      </c>
      <c r="AF72"/>
      <c r="AG72" s="1002">
        <v>69</v>
      </c>
      <c r="AH72" s="1003"/>
      <c r="AI72" s="1003"/>
      <c r="AJ72" s="1003">
        <v>3</v>
      </c>
      <c r="AK72" s="1003">
        <f t="shared" si="19"/>
        <v>9</v>
      </c>
      <c r="AL72" s="1003">
        <f t="shared" si="26"/>
        <v>12</v>
      </c>
      <c r="AM72" s="1004"/>
      <c r="AN72" s="1003">
        <v>0</v>
      </c>
      <c r="AO72" s="1003">
        <f>AO71</f>
        <v>8</v>
      </c>
      <c r="AP72" s="1005">
        <v>16</v>
      </c>
      <c r="AQ72"/>
      <c r="AR72" s="1002">
        <v>69</v>
      </c>
      <c r="AS72" s="1003"/>
      <c r="AT72" s="1003"/>
      <c r="AU72" s="1003"/>
      <c r="AV72" s="1003">
        <v>1</v>
      </c>
      <c r="AW72" s="1003">
        <f t="shared" si="21"/>
        <v>9</v>
      </c>
      <c r="AX72" s="1003">
        <f t="shared" si="27"/>
        <v>10</v>
      </c>
      <c r="AY72" s="1004"/>
      <c r="AZ72" s="1003">
        <v>0</v>
      </c>
      <c r="BA72" s="1003">
        <f t="shared" si="11"/>
        <v>4</v>
      </c>
      <c r="BB72" s="1005">
        <v>16</v>
      </c>
      <c r="BC72"/>
      <c r="BD72" s="1002">
        <v>69</v>
      </c>
      <c r="BE72" s="1003"/>
      <c r="BF72" s="1003"/>
      <c r="BG72" s="1003"/>
      <c r="BH72" s="1003"/>
      <c r="BI72" s="1003">
        <v>3</v>
      </c>
      <c r="BJ72" s="1003">
        <f t="shared" si="23"/>
        <v>6</v>
      </c>
      <c r="BK72" s="1003">
        <f t="shared" si="28"/>
        <v>9</v>
      </c>
      <c r="BL72" s="1004"/>
      <c r="BM72" s="1003">
        <v>0</v>
      </c>
      <c r="BN72" s="1003">
        <f t="shared" si="22"/>
        <v>2</v>
      </c>
      <c r="BO72" s="1005">
        <v>16</v>
      </c>
      <c r="BP72"/>
      <c r="BQ72" s="1002">
        <v>69</v>
      </c>
      <c r="BR72" s="1003"/>
      <c r="BS72" s="1003"/>
      <c r="BT72" s="1003"/>
      <c r="BU72" s="1003"/>
      <c r="BV72" s="1003"/>
      <c r="BW72" s="1003">
        <v>3</v>
      </c>
      <c r="BX72" s="1003">
        <v>5</v>
      </c>
      <c r="BY72" s="1003">
        <f t="shared" si="29"/>
        <v>8</v>
      </c>
      <c r="BZ72" s="1004"/>
      <c r="CA72" s="1003">
        <v>0</v>
      </c>
      <c r="CB72" s="1003">
        <v>0</v>
      </c>
      <c r="CC72" s="1005">
        <v>16</v>
      </c>
      <c r="CD72"/>
      <c r="CE72" s="1002">
        <v>69</v>
      </c>
      <c r="CF72" s="1003"/>
      <c r="CG72" s="1003"/>
      <c r="CH72" s="1003"/>
      <c r="CI72" s="1003"/>
      <c r="CJ72" s="1003"/>
      <c r="CK72" s="1003"/>
      <c r="CL72" s="1003">
        <v>1</v>
      </c>
      <c r="CM72" s="1003">
        <v>6</v>
      </c>
      <c r="CN72" s="1003">
        <f t="shared" si="30"/>
        <v>7</v>
      </c>
      <c r="CO72" s="1004"/>
      <c r="CP72" s="1003">
        <v>0</v>
      </c>
      <c r="CQ72" s="1003">
        <v>6</v>
      </c>
      <c r="CR72" s="1005">
        <v>8</v>
      </c>
    </row>
    <row r="73" spans="1:96" outlineLevel="1" x14ac:dyDescent="0.2">
      <c r="A73"/>
      <c r="B73" s="1002">
        <v>70</v>
      </c>
      <c r="C73" s="1003">
        <v>22</v>
      </c>
      <c r="D73" s="1003">
        <v>1</v>
      </c>
      <c r="E73" s="1003"/>
      <c r="F73" s="1003">
        <f t="shared" si="24"/>
        <v>23</v>
      </c>
      <c r="G73" s="1004"/>
      <c r="H73" s="1003">
        <v>0</v>
      </c>
      <c r="I73" s="1003">
        <v>14</v>
      </c>
      <c r="J73" s="1005">
        <v>32</v>
      </c>
      <c r="K73" s="1"/>
      <c r="L73"/>
      <c r="M73" s="1002">
        <v>70</v>
      </c>
      <c r="N73" s="1003">
        <v>2</v>
      </c>
      <c r="O73" s="1003">
        <v>16</v>
      </c>
      <c r="P73" s="1003"/>
      <c r="Q73" s="1003">
        <f t="shared" si="25"/>
        <v>18</v>
      </c>
      <c r="R73" s="1004"/>
      <c r="S73" s="1003">
        <v>0</v>
      </c>
      <c r="T73" s="1003">
        <v>4</v>
      </c>
      <c r="U73" s="1005">
        <v>32</v>
      </c>
      <c r="V73"/>
      <c r="W73" s="1002">
        <v>70</v>
      </c>
      <c r="X73" s="1003"/>
      <c r="Y73" s="1003"/>
      <c r="Z73" s="1003">
        <f t="shared" si="18"/>
        <v>14</v>
      </c>
      <c r="AA73" s="1003">
        <f t="shared" si="8"/>
        <v>14</v>
      </c>
      <c r="AB73" s="1004"/>
      <c r="AC73" s="1003">
        <v>0</v>
      </c>
      <c r="AD73" s="1003">
        <v>12</v>
      </c>
      <c r="AE73" s="1005">
        <v>16</v>
      </c>
      <c r="AF73"/>
      <c r="AG73" s="1002">
        <v>70</v>
      </c>
      <c r="AH73" s="1003"/>
      <c r="AI73" s="1003"/>
      <c r="AJ73" s="1003">
        <v>2</v>
      </c>
      <c r="AK73" s="1003">
        <f t="shared" si="19"/>
        <v>10</v>
      </c>
      <c r="AL73" s="1003">
        <f t="shared" si="26"/>
        <v>12</v>
      </c>
      <c r="AM73" s="1004"/>
      <c r="AN73" s="1003">
        <v>0</v>
      </c>
      <c r="AO73" s="1003">
        <f>AO72</f>
        <v>8</v>
      </c>
      <c r="AP73" s="1005">
        <v>16</v>
      </c>
      <c r="AQ73"/>
      <c r="AR73" s="1002">
        <v>70</v>
      </c>
      <c r="AS73" s="1003"/>
      <c r="AT73" s="1003"/>
      <c r="AU73" s="1003"/>
      <c r="AV73" s="1003"/>
      <c r="AW73" s="1003">
        <f t="shared" si="21"/>
        <v>10</v>
      </c>
      <c r="AX73" s="1003">
        <f t="shared" si="27"/>
        <v>10</v>
      </c>
      <c r="AY73" s="1004"/>
      <c r="AZ73" s="1003">
        <v>0</v>
      </c>
      <c r="BA73" s="1003">
        <f t="shared" si="11"/>
        <v>4</v>
      </c>
      <c r="BB73" s="1005">
        <v>16</v>
      </c>
      <c r="BC73"/>
      <c r="BD73" s="1002">
        <v>70</v>
      </c>
      <c r="BE73" s="1003"/>
      <c r="BF73" s="1003"/>
      <c r="BG73" s="1003"/>
      <c r="BH73" s="1003"/>
      <c r="BI73" s="1003">
        <v>2</v>
      </c>
      <c r="BJ73" s="1003">
        <f t="shared" si="23"/>
        <v>7</v>
      </c>
      <c r="BK73" s="1003">
        <f t="shared" si="28"/>
        <v>9</v>
      </c>
      <c r="BL73" s="1004"/>
      <c r="BM73" s="1003">
        <v>0</v>
      </c>
      <c r="BN73" s="1003">
        <f t="shared" si="22"/>
        <v>2</v>
      </c>
      <c r="BO73" s="1005">
        <v>16</v>
      </c>
      <c r="BP73"/>
      <c r="BQ73" s="1002">
        <v>70</v>
      </c>
      <c r="BR73" s="1003"/>
      <c r="BS73" s="1003"/>
      <c r="BT73" s="1003"/>
      <c r="BU73" s="1003"/>
      <c r="BV73" s="1003"/>
      <c r="BW73" s="1003">
        <v>2</v>
      </c>
      <c r="BX73" s="1003">
        <v>6</v>
      </c>
      <c r="BY73" s="1003">
        <f t="shared" si="29"/>
        <v>8</v>
      </c>
      <c r="BZ73" s="1004"/>
      <c r="CA73" s="1003">
        <v>0</v>
      </c>
      <c r="CB73" s="1003">
        <v>0</v>
      </c>
      <c r="CC73" s="1005">
        <v>16</v>
      </c>
      <c r="CD73"/>
      <c r="CE73" s="1002">
        <v>70</v>
      </c>
      <c r="CF73" s="1003"/>
      <c r="CG73" s="1003"/>
      <c r="CH73" s="1003"/>
      <c r="CI73" s="1003"/>
      <c r="CJ73" s="1003"/>
      <c r="CK73" s="1009"/>
      <c r="CL73" s="1003"/>
      <c r="CM73" s="1003">
        <v>7</v>
      </c>
      <c r="CN73" s="1003">
        <f t="shared" si="30"/>
        <v>7</v>
      </c>
      <c r="CO73" s="1004"/>
      <c r="CP73" s="1003">
        <v>0</v>
      </c>
      <c r="CQ73" s="1003">
        <v>6</v>
      </c>
      <c r="CR73" s="1005">
        <v>8</v>
      </c>
    </row>
    <row r="74" spans="1:96" outlineLevel="1" x14ac:dyDescent="0.2">
      <c r="A74"/>
      <c r="B74" s="1002">
        <v>71</v>
      </c>
      <c r="C74" s="1003">
        <v>21</v>
      </c>
      <c r="D74" s="1003">
        <v>2</v>
      </c>
      <c r="E74" s="1003"/>
      <c r="F74" s="1003">
        <f t="shared" si="24"/>
        <v>23</v>
      </c>
      <c r="G74" s="1004"/>
      <c r="H74" s="1003">
        <v>0</v>
      </c>
      <c r="I74" s="1003">
        <v>14</v>
      </c>
      <c r="J74" s="1005">
        <v>32</v>
      </c>
      <c r="K74" s="1"/>
      <c r="L74"/>
      <c r="M74" s="1002">
        <v>71</v>
      </c>
      <c r="N74" s="1003">
        <v>1</v>
      </c>
      <c r="O74" s="1003">
        <v>17</v>
      </c>
      <c r="P74" s="1003"/>
      <c r="Q74" s="1003">
        <f t="shared" si="25"/>
        <v>18</v>
      </c>
      <c r="R74" s="1004"/>
      <c r="S74" s="1003">
        <v>0</v>
      </c>
      <c r="T74" s="1003">
        <v>4</v>
      </c>
      <c r="U74" s="1005">
        <v>32</v>
      </c>
      <c r="V74"/>
      <c r="W74" s="1002">
        <v>71</v>
      </c>
      <c r="X74" s="1003"/>
      <c r="Y74" s="1003">
        <v>4</v>
      </c>
      <c r="Z74" s="1003">
        <f t="shared" si="18"/>
        <v>11</v>
      </c>
      <c r="AA74" s="1003">
        <f t="shared" si="8"/>
        <v>15</v>
      </c>
      <c r="AB74" s="1004"/>
      <c r="AC74" s="1003">
        <v>0</v>
      </c>
      <c r="AD74" s="1003">
        <v>14</v>
      </c>
      <c r="AE74" s="1005">
        <v>16</v>
      </c>
      <c r="AF74"/>
      <c r="AG74" s="1002">
        <v>71</v>
      </c>
      <c r="AH74" s="1003"/>
      <c r="AI74" s="1003"/>
      <c r="AJ74" s="1003">
        <v>1</v>
      </c>
      <c r="AK74" s="1003">
        <f t="shared" si="19"/>
        <v>11</v>
      </c>
      <c r="AL74" s="1003">
        <f t="shared" si="26"/>
        <v>12</v>
      </c>
      <c r="AM74" s="1004"/>
      <c r="AN74" s="1003">
        <v>0</v>
      </c>
      <c r="AO74" s="1003">
        <f>AO73</f>
        <v>8</v>
      </c>
      <c r="AP74" s="1005">
        <v>16</v>
      </c>
      <c r="AQ74"/>
      <c r="AR74" s="1002">
        <v>71</v>
      </c>
      <c r="AS74" s="1003"/>
      <c r="AT74" s="1003"/>
      <c r="AU74" s="1003"/>
      <c r="AV74" s="1003">
        <v>6</v>
      </c>
      <c r="AW74" s="1003">
        <f t="shared" si="21"/>
        <v>5</v>
      </c>
      <c r="AX74" s="1003">
        <f t="shared" si="27"/>
        <v>11</v>
      </c>
      <c r="AY74" s="1004"/>
      <c r="AZ74" s="1003">
        <v>0</v>
      </c>
      <c r="BA74" s="1003">
        <f t="shared" si="11"/>
        <v>6</v>
      </c>
      <c r="BB74" s="1005">
        <v>16</v>
      </c>
      <c r="BC74"/>
      <c r="BD74" s="1002">
        <v>71</v>
      </c>
      <c r="BE74" s="1003"/>
      <c r="BF74" s="1003"/>
      <c r="BG74" s="1003"/>
      <c r="BH74" s="1003"/>
      <c r="BI74" s="1003">
        <v>1</v>
      </c>
      <c r="BJ74" s="1003">
        <f t="shared" si="23"/>
        <v>8</v>
      </c>
      <c r="BK74" s="1003">
        <f t="shared" si="28"/>
        <v>9</v>
      </c>
      <c r="BL74" s="1004"/>
      <c r="BM74" s="1003">
        <v>0</v>
      </c>
      <c r="BN74" s="1003">
        <f t="shared" si="22"/>
        <v>2</v>
      </c>
      <c r="BO74" s="1005">
        <v>16</v>
      </c>
      <c r="BP74"/>
      <c r="BQ74" s="1002">
        <v>71</v>
      </c>
      <c r="BR74" s="1003"/>
      <c r="BS74" s="1003"/>
      <c r="BT74" s="1003"/>
      <c r="BU74" s="1003"/>
      <c r="BV74" s="1003"/>
      <c r="BW74" s="1003">
        <v>1</v>
      </c>
      <c r="BX74" s="1003">
        <v>7</v>
      </c>
      <c r="BY74" s="1003">
        <f t="shared" si="29"/>
        <v>8</v>
      </c>
      <c r="BZ74" s="1004"/>
      <c r="CA74" s="1003">
        <v>0</v>
      </c>
      <c r="CB74" s="1003">
        <v>0</v>
      </c>
      <c r="CC74" s="1005">
        <v>16</v>
      </c>
      <c r="CD74"/>
      <c r="CE74" s="1002">
        <v>71</v>
      </c>
      <c r="CF74" s="1003"/>
      <c r="CG74" s="1003"/>
      <c r="CH74" s="1003"/>
      <c r="CI74" s="1003"/>
      <c r="CJ74" s="1003"/>
      <c r="CK74" s="1003">
        <v>1</v>
      </c>
      <c r="CL74" s="1003">
        <v>7</v>
      </c>
      <c r="CM74" s="1003"/>
      <c r="CN74" s="1003">
        <f t="shared" si="30"/>
        <v>8</v>
      </c>
      <c r="CO74" s="1004"/>
      <c r="CP74" s="1003">
        <v>0</v>
      </c>
      <c r="CQ74" s="1003">
        <v>0</v>
      </c>
      <c r="CR74" s="1005">
        <v>16</v>
      </c>
    </row>
    <row r="75" spans="1:96" outlineLevel="1" x14ac:dyDescent="0.2">
      <c r="A75"/>
      <c r="B75" s="1002">
        <v>72</v>
      </c>
      <c r="C75" s="1003">
        <v>24</v>
      </c>
      <c r="D75" s="1003">
        <v>0</v>
      </c>
      <c r="E75" s="1003"/>
      <c r="F75" s="1003">
        <f t="shared" si="24"/>
        <v>24</v>
      </c>
      <c r="G75" s="1004"/>
      <c r="H75" s="1003">
        <v>0</v>
      </c>
      <c r="I75" s="1003">
        <v>16</v>
      </c>
      <c r="J75" s="1005">
        <v>32</v>
      </c>
      <c r="K75" s="1"/>
      <c r="L75"/>
      <c r="M75" s="1002">
        <v>72</v>
      </c>
      <c r="N75" s="1003">
        <v>0</v>
      </c>
      <c r="O75" s="1003">
        <v>18</v>
      </c>
      <c r="P75" s="1003"/>
      <c r="Q75" s="1003">
        <f t="shared" si="25"/>
        <v>18</v>
      </c>
      <c r="R75" s="1004"/>
      <c r="S75" s="1003">
        <v>0</v>
      </c>
      <c r="T75" s="1003">
        <v>4</v>
      </c>
      <c r="U75" s="1005">
        <v>32</v>
      </c>
      <c r="V75"/>
      <c r="W75" s="1002">
        <v>72</v>
      </c>
      <c r="X75" s="1003"/>
      <c r="Y75" s="1003">
        <v>3</v>
      </c>
      <c r="Z75" s="1003">
        <f t="shared" si="18"/>
        <v>12</v>
      </c>
      <c r="AA75" s="1003">
        <f t="shared" si="8"/>
        <v>15</v>
      </c>
      <c r="AB75" s="1004"/>
      <c r="AC75" s="1003">
        <v>0</v>
      </c>
      <c r="AD75" s="1003">
        <v>14</v>
      </c>
      <c r="AE75" s="1005">
        <v>16</v>
      </c>
      <c r="AF75"/>
      <c r="AG75" s="1002">
        <v>72</v>
      </c>
      <c r="AH75" s="1003"/>
      <c r="AI75" s="1003"/>
      <c r="AJ75" s="1003"/>
      <c r="AK75" s="1003">
        <f t="shared" si="19"/>
        <v>12</v>
      </c>
      <c r="AL75" s="1003">
        <f t="shared" si="26"/>
        <v>12</v>
      </c>
      <c r="AM75" s="1004"/>
      <c r="AN75" s="1003">
        <v>0</v>
      </c>
      <c r="AO75" s="1003">
        <f>AO74</f>
        <v>8</v>
      </c>
      <c r="AP75" s="1005">
        <v>16</v>
      </c>
      <c r="AQ75"/>
      <c r="AR75" s="1002">
        <v>72</v>
      </c>
      <c r="AS75" s="1003"/>
      <c r="AT75" s="1003"/>
      <c r="AU75" s="1003"/>
      <c r="AV75" s="1003">
        <v>5</v>
      </c>
      <c r="AW75" s="1003">
        <f t="shared" si="21"/>
        <v>6</v>
      </c>
      <c r="AX75" s="1003">
        <f t="shared" si="27"/>
        <v>11</v>
      </c>
      <c r="AY75" s="1004"/>
      <c r="AZ75" s="1003">
        <v>0</v>
      </c>
      <c r="BA75" s="1003">
        <f t="shared" si="11"/>
        <v>6</v>
      </c>
      <c r="BB75" s="1005">
        <v>16</v>
      </c>
      <c r="BC75"/>
      <c r="BD75" s="1002">
        <v>72</v>
      </c>
      <c r="BE75" s="1003"/>
      <c r="BF75" s="1003"/>
      <c r="BG75" s="1003"/>
      <c r="BH75" s="1003"/>
      <c r="BI75" s="1003"/>
      <c r="BJ75" s="1003">
        <f t="shared" si="23"/>
        <v>9</v>
      </c>
      <c r="BK75" s="1003">
        <f t="shared" si="28"/>
        <v>9</v>
      </c>
      <c r="BL75" s="1004"/>
      <c r="BM75" s="1003">
        <v>0</v>
      </c>
      <c r="BN75" s="1003">
        <f t="shared" si="22"/>
        <v>2</v>
      </c>
      <c r="BO75" s="1005">
        <v>16</v>
      </c>
      <c r="BP75"/>
      <c r="BQ75" s="1002">
        <v>72</v>
      </c>
      <c r="BR75" s="1003"/>
      <c r="BS75" s="1003"/>
      <c r="BT75" s="1003"/>
      <c r="BU75" s="1003"/>
      <c r="BV75" s="1003"/>
      <c r="BW75" s="1003"/>
      <c r="BX75" s="1003">
        <v>8</v>
      </c>
      <c r="BY75" s="1003">
        <f t="shared" si="29"/>
        <v>8</v>
      </c>
      <c r="BZ75" s="1004"/>
      <c r="CA75" s="1003">
        <v>0</v>
      </c>
      <c r="CB75" s="1003">
        <v>0</v>
      </c>
      <c r="CC75" s="1005">
        <v>16</v>
      </c>
      <c r="CD75"/>
      <c r="CE75" s="1002">
        <v>72</v>
      </c>
      <c r="CF75" s="1003"/>
      <c r="CG75" s="1003"/>
      <c r="CH75" s="1003"/>
      <c r="CI75" s="1003"/>
      <c r="CJ75" s="1003"/>
      <c r="CK75" s="1003"/>
      <c r="CL75" s="1003">
        <v>8</v>
      </c>
      <c r="CM75" s="1003"/>
      <c r="CN75" s="1003">
        <f t="shared" si="30"/>
        <v>8</v>
      </c>
      <c r="CO75" s="1004"/>
      <c r="CP75" s="1003">
        <v>0</v>
      </c>
      <c r="CQ75" s="1003">
        <v>0</v>
      </c>
      <c r="CR75" s="1005">
        <v>16</v>
      </c>
    </row>
    <row r="76" spans="1:96" outlineLevel="1" x14ac:dyDescent="0.2">
      <c r="A76"/>
      <c r="B76" s="1002">
        <v>73</v>
      </c>
      <c r="C76" s="1003">
        <v>23</v>
      </c>
      <c r="D76" s="1003">
        <v>1</v>
      </c>
      <c r="E76" s="1003"/>
      <c r="F76" s="1003">
        <f t="shared" si="24"/>
        <v>24</v>
      </c>
      <c r="G76" s="1004"/>
      <c r="H76" s="1003">
        <v>0</v>
      </c>
      <c r="I76" s="1003">
        <v>16</v>
      </c>
      <c r="J76" s="1005">
        <v>32</v>
      </c>
      <c r="K76" s="1"/>
      <c r="L76"/>
      <c r="M76" s="1002">
        <v>73</v>
      </c>
      <c r="N76" s="1003">
        <v>3</v>
      </c>
      <c r="O76" s="1003">
        <v>16</v>
      </c>
      <c r="P76" s="1003"/>
      <c r="Q76" s="1003">
        <f t="shared" si="25"/>
        <v>19</v>
      </c>
      <c r="R76" s="1004"/>
      <c r="S76" s="1003">
        <v>0</v>
      </c>
      <c r="T76" s="1003">
        <v>6</v>
      </c>
      <c r="U76" s="1005">
        <v>32</v>
      </c>
      <c r="V76"/>
      <c r="W76" s="1002">
        <v>73</v>
      </c>
      <c r="X76" s="1003"/>
      <c r="Y76" s="1003">
        <v>2</v>
      </c>
      <c r="Z76" s="1003">
        <f t="shared" si="18"/>
        <v>13</v>
      </c>
      <c r="AA76" s="1003">
        <f t="shared" si="8"/>
        <v>15</v>
      </c>
      <c r="AB76" s="1004"/>
      <c r="AC76" s="1003">
        <v>0</v>
      </c>
      <c r="AD76" s="1003">
        <v>14</v>
      </c>
      <c r="AE76" s="1005">
        <v>16</v>
      </c>
      <c r="AF76"/>
      <c r="AG76" s="1002">
        <v>73</v>
      </c>
      <c r="AH76" s="1003"/>
      <c r="AI76" s="1003"/>
      <c r="AJ76" s="1009">
        <v>5</v>
      </c>
      <c r="AK76" s="1003">
        <f t="shared" si="19"/>
        <v>8</v>
      </c>
      <c r="AL76" s="1003">
        <f t="shared" si="26"/>
        <v>13</v>
      </c>
      <c r="AM76" s="1004"/>
      <c r="AN76" s="1003">
        <v>0</v>
      </c>
      <c r="AO76" s="1003">
        <f>AO70+2</f>
        <v>10</v>
      </c>
      <c r="AP76" s="1005">
        <v>16</v>
      </c>
      <c r="AQ76"/>
      <c r="AR76" s="1002">
        <v>73</v>
      </c>
      <c r="AS76" s="1003"/>
      <c r="AT76" s="1003"/>
      <c r="AU76" s="1009"/>
      <c r="AV76" s="1003">
        <v>4</v>
      </c>
      <c r="AW76" s="1003">
        <f t="shared" si="21"/>
        <v>7</v>
      </c>
      <c r="AX76" s="1003">
        <f t="shared" si="27"/>
        <v>11</v>
      </c>
      <c r="AY76" s="1004"/>
      <c r="AZ76" s="1003">
        <v>0</v>
      </c>
      <c r="BA76" s="1003">
        <f t="shared" si="11"/>
        <v>6</v>
      </c>
      <c r="BB76" s="1005">
        <v>16</v>
      </c>
      <c r="BC76"/>
      <c r="BD76" s="1002">
        <v>73</v>
      </c>
      <c r="BE76" s="1003"/>
      <c r="BF76" s="1003"/>
      <c r="BG76" s="1009"/>
      <c r="BH76" s="1003"/>
      <c r="BI76" s="1003">
        <v>7</v>
      </c>
      <c r="BJ76" s="1003">
        <f t="shared" si="23"/>
        <v>3</v>
      </c>
      <c r="BK76" s="1003">
        <f t="shared" si="28"/>
        <v>10</v>
      </c>
      <c r="BL76" s="1004"/>
      <c r="BM76" s="1003">
        <v>0</v>
      </c>
      <c r="BN76" s="1003">
        <f t="shared" si="22"/>
        <v>4</v>
      </c>
      <c r="BO76" s="1005">
        <v>16</v>
      </c>
      <c r="BP76"/>
      <c r="BQ76" s="1002">
        <v>73</v>
      </c>
      <c r="BR76" s="1003"/>
      <c r="BS76" s="1003"/>
      <c r="BT76" s="1009"/>
      <c r="BU76" s="1003"/>
      <c r="BV76" s="1003"/>
      <c r="BW76" s="1003">
        <v>8</v>
      </c>
      <c r="BX76" s="1003">
        <f>BX67+1</f>
        <v>1</v>
      </c>
      <c r="BY76" s="1003">
        <f t="shared" si="29"/>
        <v>9</v>
      </c>
      <c r="BZ76" s="1004"/>
      <c r="CA76" s="1003">
        <v>0</v>
      </c>
      <c r="CB76" s="1003">
        <f>CB67+2</f>
        <v>2</v>
      </c>
      <c r="CC76" s="1005">
        <v>16</v>
      </c>
      <c r="CD76"/>
      <c r="CE76" s="1002">
        <v>73</v>
      </c>
      <c r="CF76" s="1003"/>
      <c r="CG76" s="1003"/>
      <c r="CH76" s="1009"/>
      <c r="CI76" s="1003"/>
      <c r="CJ76" s="1003"/>
      <c r="CK76" s="1003"/>
      <c r="CL76" s="1003">
        <v>7</v>
      </c>
      <c r="CM76" s="1003">
        <v>1</v>
      </c>
      <c r="CN76" s="1003">
        <f t="shared" si="30"/>
        <v>8</v>
      </c>
      <c r="CO76" s="1004"/>
      <c r="CP76" s="1003">
        <v>0</v>
      </c>
      <c r="CQ76" s="1003">
        <v>0</v>
      </c>
      <c r="CR76" s="1005">
        <v>16</v>
      </c>
    </row>
    <row r="77" spans="1:96" outlineLevel="1" x14ac:dyDescent="0.2">
      <c r="A77"/>
      <c r="B77" s="1002">
        <v>74</v>
      </c>
      <c r="C77" s="1003">
        <v>22</v>
      </c>
      <c r="D77" s="1003">
        <v>2</v>
      </c>
      <c r="E77" s="1003"/>
      <c r="F77" s="1003">
        <f t="shared" si="24"/>
        <v>24</v>
      </c>
      <c r="G77" s="1004"/>
      <c r="H77" s="1003">
        <v>0</v>
      </c>
      <c r="I77" s="1003">
        <v>16</v>
      </c>
      <c r="J77" s="1005">
        <v>32</v>
      </c>
      <c r="K77" s="1"/>
      <c r="L77"/>
      <c r="M77" s="1002">
        <v>74</v>
      </c>
      <c r="N77" s="1003">
        <v>2</v>
      </c>
      <c r="O77" s="1003">
        <v>17</v>
      </c>
      <c r="P77" s="1003"/>
      <c r="Q77" s="1003">
        <f t="shared" si="25"/>
        <v>19</v>
      </c>
      <c r="R77" s="1004"/>
      <c r="S77" s="1003">
        <v>0</v>
      </c>
      <c r="T77" s="1003">
        <v>6</v>
      </c>
      <c r="U77" s="1005">
        <v>32</v>
      </c>
      <c r="V77"/>
      <c r="W77" s="1002">
        <v>74</v>
      </c>
      <c r="X77" s="1003"/>
      <c r="Y77" s="1003">
        <v>1</v>
      </c>
      <c r="Z77" s="1003">
        <f t="shared" si="18"/>
        <v>14</v>
      </c>
      <c r="AA77" s="1003">
        <f t="shared" si="8"/>
        <v>15</v>
      </c>
      <c r="AB77" s="1004"/>
      <c r="AC77" s="1003">
        <v>0</v>
      </c>
      <c r="AD77" s="1003">
        <v>14</v>
      </c>
      <c r="AE77" s="1005">
        <v>16</v>
      </c>
      <c r="AF77"/>
      <c r="AG77" s="1002">
        <v>74</v>
      </c>
      <c r="AH77" s="1003"/>
      <c r="AI77" s="1003"/>
      <c r="AJ77" s="1003">
        <v>4</v>
      </c>
      <c r="AK77" s="1003">
        <f t="shared" si="19"/>
        <v>9</v>
      </c>
      <c r="AL77" s="1003">
        <f t="shared" si="26"/>
        <v>13</v>
      </c>
      <c r="AM77" s="1004"/>
      <c r="AN77" s="1003">
        <v>0</v>
      </c>
      <c r="AO77" s="1003">
        <f>AO76</f>
        <v>10</v>
      </c>
      <c r="AP77" s="1005">
        <v>16</v>
      </c>
      <c r="AQ77"/>
      <c r="AR77" s="1002">
        <v>74</v>
      </c>
      <c r="AS77" s="1003"/>
      <c r="AT77" s="1003"/>
      <c r="AU77" s="1003"/>
      <c r="AV77" s="1003">
        <v>3</v>
      </c>
      <c r="AW77" s="1003">
        <f t="shared" si="21"/>
        <v>8</v>
      </c>
      <c r="AX77" s="1003">
        <f t="shared" si="27"/>
        <v>11</v>
      </c>
      <c r="AY77" s="1004"/>
      <c r="AZ77" s="1003">
        <v>0</v>
      </c>
      <c r="BA77" s="1003">
        <f t="shared" si="11"/>
        <v>6</v>
      </c>
      <c r="BB77" s="1005">
        <v>16</v>
      </c>
      <c r="BC77"/>
      <c r="BD77" s="1002">
        <v>74</v>
      </c>
      <c r="BE77" s="1003"/>
      <c r="BF77" s="1003"/>
      <c r="BG77" s="1003"/>
      <c r="BH77" s="1003"/>
      <c r="BI77" s="1003">
        <v>6</v>
      </c>
      <c r="BJ77" s="1003">
        <f t="shared" si="23"/>
        <v>4</v>
      </c>
      <c r="BK77" s="1003">
        <f t="shared" si="28"/>
        <v>10</v>
      </c>
      <c r="BL77" s="1004"/>
      <c r="BM77" s="1003">
        <v>0</v>
      </c>
      <c r="BN77" s="1003">
        <f t="shared" si="22"/>
        <v>4</v>
      </c>
      <c r="BO77" s="1005">
        <v>16</v>
      </c>
      <c r="BP77"/>
      <c r="BQ77" s="1002">
        <v>74</v>
      </c>
      <c r="BR77" s="1003"/>
      <c r="BS77" s="1003"/>
      <c r="BT77" s="1003"/>
      <c r="BU77" s="1003"/>
      <c r="BV77" s="1003"/>
      <c r="BW77" s="1003">
        <v>7</v>
      </c>
      <c r="BX77" s="1003">
        <f t="shared" ref="BX77:BX131" si="31">BX68+1</f>
        <v>2</v>
      </c>
      <c r="BY77" s="1003">
        <f t="shared" si="29"/>
        <v>9</v>
      </c>
      <c r="BZ77" s="1004"/>
      <c r="CA77" s="1003">
        <v>0</v>
      </c>
      <c r="CB77" s="1003">
        <f t="shared" ref="CB77:CB131" si="32">CB68+2</f>
        <v>2</v>
      </c>
      <c r="CC77" s="1005">
        <v>16</v>
      </c>
      <c r="CD77"/>
      <c r="CE77" s="1002">
        <v>74</v>
      </c>
      <c r="CF77" s="1003"/>
      <c r="CG77" s="1003"/>
      <c r="CH77" s="1003"/>
      <c r="CI77" s="1003"/>
      <c r="CJ77" s="1003"/>
      <c r="CK77" s="1003"/>
      <c r="CL77" s="1003">
        <v>6</v>
      </c>
      <c r="CM77" s="1003">
        <v>2</v>
      </c>
      <c r="CN77" s="1003">
        <f t="shared" si="30"/>
        <v>8</v>
      </c>
      <c r="CO77" s="1004"/>
      <c r="CP77" s="1003">
        <v>0</v>
      </c>
      <c r="CQ77" s="1003">
        <v>0</v>
      </c>
      <c r="CR77" s="1005">
        <v>16</v>
      </c>
    </row>
    <row r="78" spans="1:96" outlineLevel="1" x14ac:dyDescent="0.2">
      <c r="A78"/>
      <c r="B78" s="1002">
        <v>75</v>
      </c>
      <c r="C78" s="1003">
        <v>25</v>
      </c>
      <c r="D78" s="1003">
        <v>0</v>
      </c>
      <c r="E78" s="1003"/>
      <c r="F78" s="1003">
        <f t="shared" si="24"/>
        <v>25</v>
      </c>
      <c r="G78" s="1004"/>
      <c r="H78" s="1003">
        <v>0</v>
      </c>
      <c r="I78" s="1003">
        <v>18</v>
      </c>
      <c r="J78" s="1005">
        <v>32</v>
      </c>
      <c r="K78" s="1"/>
      <c r="L78"/>
      <c r="M78" s="1002">
        <v>75</v>
      </c>
      <c r="N78" s="1003">
        <v>1</v>
      </c>
      <c r="O78" s="1003">
        <v>18</v>
      </c>
      <c r="P78" s="1003"/>
      <c r="Q78" s="1003">
        <f t="shared" si="25"/>
        <v>19</v>
      </c>
      <c r="R78" s="1004"/>
      <c r="S78" s="1003">
        <v>0</v>
      </c>
      <c r="T78" s="1003">
        <v>6</v>
      </c>
      <c r="U78" s="1005">
        <v>32</v>
      </c>
      <c r="V78"/>
      <c r="W78" s="1002">
        <v>75</v>
      </c>
      <c r="X78" s="1003"/>
      <c r="Y78" s="1003"/>
      <c r="Z78" s="1003">
        <f t="shared" si="18"/>
        <v>15</v>
      </c>
      <c r="AA78" s="1003">
        <f t="shared" si="8"/>
        <v>15</v>
      </c>
      <c r="AB78" s="1004"/>
      <c r="AC78" s="1003">
        <v>0</v>
      </c>
      <c r="AD78" s="1003">
        <v>14</v>
      </c>
      <c r="AE78" s="1005">
        <v>16</v>
      </c>
      <c r="AF78"/>
      <c r="AG78" s="1002">
        <v>75</v>
      </c>
      <c r="AH78" s="1003"/>
      <c r="AI78" s="1003"/>
      <c r="AJ78" s="1003">
        <v>3</v>
      </c>
      <c r="AK78" s="1003">
        <f t="shared" si="19"/>
        <v>10</v>
      </c>
      <c r="AL78" s="1003">
        <f t="shared" si="26"/>
        <v>13</v>
      </c>
      <c r="AM78" s="1004"/>
      <c r="AN78" s="1003">
        <v>0</v>
      </c>
      <c r="AO78" s="1003">
        <f>AO77</f>
        <v>10</v>
      </c>
      <c r="AP78" s="1005">
        <v>16</v>
      </c>
      <c r="AQ78"/>
      <c r="AR78" s="1002">
        <v>75</v>
      </c>
      <c r="AS78" s="1003"/>
      <c r="AT78" s="1003"/>
      <c r="AU78" s="1003"/>
      <c r="AV78" s="1003">
        <v>2</v>
      </c>
      <c r="AW78" s="1003">
        <f t="shared" si="21"/>
        <v>9</v>
      </c>
      <c r="AX78" s="1003">
        <f t="shared" si="27"/>
        <v>11</v>
      </c>
      <c r="AY78" s="1004"/>
      <c r="AZ78" s="1003">
        <v>0</v>
      </c>
      <c r="BA78" s="1003">
        <f t="shared" si="11"/>
        <v>6</v>
      </c>
      <c r="BB78" s="1005">
        <v>16</v>
      </c>
      <c r="BC78"/>
      <c r="BD78" s="1002">
        <v>75</v>
      </c>
      <c r="BE78" s="1003"/>
      <c r="BF78" s="1003"/>
      <c r="BG78" s="1003"/>
      <c r="BH78" s="1003"/>
      <c r="BI78" s="1003">
        <v>5</v>
      </c>
      <c r="BJ78" s="1003">
        <f t="shared" si="23"/>
        <v>5</v>
      </c>
      <c r="BK78" s="1003">
        <f t="shared" si="28"/>
        <v>10</v>
      </c>
      <c r="BL78" s="1004"/>
      <c r="BM78" s="1003">
        <v>0</v>
      </c>
      <c r="BN78" s="1003">
        <f t="shared" si="22"/>
        <v>4</v>
      </c>
      <c r="BO78" s="1005">
        <v>16</v>
      </c>
      <c r="BP78"/>
      <c r="BQ78" s="1002">
        <v>75</v>
      </c>
      <c r="BR78" s="1003"/>
      <c r="BS78" s="1003"/>
      <c r="BT78" s="1003"/>
      <c r="BU78" s="1003"/>
      <c r="BV78" s="1003"/>
      <c r="BW78" s="1003">
        <v>6</v>
      </c>
      <c r="BX78" s="1003">
        <f t="shared" si="31"/>
        <v>3</v>
      </c>
      <c r="BY78" s="1003">
        <f t="shared" si="29"/>
        <v>9</v>
      </c>
      <c r="BZ78" s="1004"/>
      <c r="CA78" s="1003">
        <v>0</v>
      </c>
      <c r="CB78" s="1003">
        <f t="shared" si="32"/>
        <v>2</v>
      </c>
      <c r="CC78" s="1005">
        <v>16</v>
      </c>
      <c r="CD78"/>
      <c r="CE78" s="1002">
        <v>75</v>
      </c>
      <c r="CF78" s="1003"/>
      <c r="CG78" s="1003"/>
      <c r="CH78" s="1003"/>
      <c r="CI78" s="1003"/>
      <c r="CJ78" s="1003"/>
      <c r="CK78" s="1003"/>
      <c r="CL78" s="1003">
        <v>5</v>
      </c>
      <c r="CM78" s="1003">
        <v>3</v>
      </c>
      <c r="CN78" s="1003">
        <f t="shared" si="30"/>
        <v>8</v>
      </c>
      <c r="CO78" s="1004"/>
      <c r="CP78" s="1003">
        <v>0</v>
      </c>
      <c r="CQ78" s="1003">
        <v>0</v>
      </c>
      <c r="CR78" s="1005">
        <v>16</v>
      </c>
    </row>
    <row r="79" spans="1:96" outlineLevel="1" x14ac:dyDescent="0.2">
      <c r="A79"/>
      <c r="B79" s="1002">
        <v>76</v>
      </c>
      <c r="C79" s="1003">
        <v>24</v>
      </c>
      <c r="D79" s="1003">
        <v>1</v>
      </c>
      <c r="E79" s="1003"/>
      <c r="F79" s="1003">
        <f t="shared" si="24"/>
        <v>25</v>
      </c>
      <c r="G79" s="1004"/>
      <c r="H79" s="1003">
        <v>0</v>
      </c>
      <c r="I79" s="1003">
        <v>18</v>
      </c>
      <c r="J79" s="1005">
        <v>32</v>
      </c>
      <c r="K79" s="1"/>
      <c r="L79"/>
      <c r="M79" s="1002">
        <v>76</v>
      </c>
      <c r="N79" s="1003">
        <v>0</v>
      </c>
      <c r="O79" s="1003">
        <v>19</v>
      </c>
      <c r="P79" s="1003"/>
      <c r="Q79" s="1003">
        <f t="shared" si="25"/>
        <v>19</v>
      </c>
      <c r="R79" s="1004"/>
      <c r="S79" s="1003">
        <v>0</v>
      </c>
      <c r="T79" s="1003">
        <v>6</v>
      </c>
      <c r="U79" s="1005">
        <v>32</v>
      </c>
      <c r="V79"/>
      <c r="W79" s="1002">
        <v>76</v>
      </c>
      <c r="X79" s="1003"/>
      <c r="Y79" s="1003">
        <v>4</v>
      </c>
      <c r="Z79" s="1003">
        <f t="shared" si="18"/>
        <v>12</v>
      </c>
      <c r="AA79" s="1003">
        <f t="shared" ref="AA79:AA131" si="33">SUM(X79:Z79)</f>
        <v>16</v>
      </c>
      <c r="AB79" s="1004"/>
      <c r="AC79" s="1003">
        <v>0</v>
      </c>
      <c r="AD79" s="1003">
        <v>0</v>
      </c>
      <c r="AE79" s="1005">
        <v>32</v>
      </c>
      <c r="AF79"/>
      <c r="AG79" s="1002">
        <v>76</v>
      </c>
      <c r="AH79" s="1003"/>
      <c r="AI79" s="1003"/>
      <c r="AJ79" s="1003">
        <v>2</v>
      </c>
      <c r="AK79" s="1003">
        <f t="shared" si="19"/>
        <v>11</v>
      </c>
      <c r="AL79" s="1003">
        <f t="shared" si="26"/>
        <v>13</v>
      </c>
      <c r="AM79" s="1004"/>
      <c r="AN79" s="1003">
        <v>0</v>
      </c>
      <c r="AO79" s="1003">
        <f>AO78</f>
        <v>10</v>
      </c>
      <c r="AP79" s="1005">
        <v>16</v>
      </c>
      <c r="AQ79"/>
      <c r="AR79" s="1002">
        <v>76</v>
      </c>
      <c r="AS79" s="1003"/>
      <c r="AT79" s="1003"/>
      <c r="AU79" s="1003"/>
      <c r="AV79" s="1003">
        <v>1</v>
      </c>
      <c r="AW79" s="1003">
        <f t="shared" si="21"/>
        <v>10</v>
      </c>
      <c r="AX79" s="1003">
        <f t="shared" si="27"/>
        <v>11</v>
      </c>
      <c r="AY79" s="1004"/>
      <c r="AZ79" s="1003">
        <v>0</v>
      </c>
      <c r="BA79" s="1003">
        <f t="shared" si="11"/>
        <v>6</v>
      </c>
      <c r="BB79" s="1005">
        <v>16</v>
      </c>
      <c r="BC79"/>
      <c r="BD79" s="1002">
        <v>76</v>
      </c>
      <c r="BE79" s="1003"/>
      <c r="BF79" s="1003"/>
      <c r="BG79" s="1003"/>
      <c r="BH79" s="1003"/>
      <c r="BI79" s="1003">
        <v>4</v>
      </c>
      <c r="BJ79" s="1003">
        <f t="shared" si="23"/>
        <v>6</v>
      </c>
      <c r="BK79" s="1003">
        <f t="shared" si="28"/>
        <v>10</v>
      </c>
      <c r="BL79" s="1004"/>
      <c r="BM79" s="1003">
        <v>0</v>
      </c>
      <c r="BN79" s="1003">
        <f t="shared" si="22"/>
        <v>4</v>
      </c>
      <c r="BO79" s="1005">
        <v>16</v>
      </c>
      <c r="BP79"/>
      <c r="BQ79" s="1002">
        <v>76</v>
      </c>
      <c r="BR79" s="1003"/>
      <c r="BS79" s="1003"/>
      <c r="BT79" s="1003"/>
      <c r="BU79" s="1003"/>
      <c r="BV79" s="1003"/>
      <c r="BW79" s="1003">
        <v>5</v>
      </c>
      <c r="BX79" s="1003">
        <f t="shared" si="31"/>
        <v>4</v>
      </c>
      <c r="BY79" s="1003">
        <f t="shared" si="29"/>
        <v>9</v>
      </c>
      <c r="BZ79" s="1004"/>
      <c r="CA79" s="1003">
        <v>0</v>
      </c>
      <c r="CB79" s="1003">
        <f t="shared" si="32"/>
        <v>2</v>
      </c>
      <c r="CC79" s="1005">
        <v>16</v>
      </c>
      <c r="CD79"/>
      <c r="CE79" s="1002">
        <v>76</v>
      </c>
      <c r="CF79" s="1003"/>
      <c r="CG79" s="1003"/>
      <c r="CH79" s="1003"/>
      <c r="CI79" s="1003"/>
      <c r="CJ79" s="1003"/>
      <c r="CK79" s="1003"/>
      <c r="CL79" s="1003">
        <v>4</v>
      </c>
      <c r="CM79" s="1003">
        <v>4</v>
      </c>
      <c r="CN79" s="1003">
        <f t="shared" si="30"/>
        <v>8</v>
      </c>
      <c r="CO79" s="1004"/>
      <c r="CP79" s="1003">
        <v>0</v>
      </c>
      <c r="CQ79" s="1003">
        <v>0</v>
      </c>
      <c r="CR79" s="1005">
        <v>16</v>
      </c>
    </row>
    <row r="80" spans="1:96" outlineLevel="1" x14ac:dyDescent="0.2">
      <c r="A80"/>
      <c r="B80" s="1002">
        <v>77</v>
      </c>
      <c r="C80" s="1003">
        <v>23</v>
      </c>
      <c r="D80" s="1003">
        <v>2</v>
      </c>
      <c r="E80" s="1003"/>
      <c r="F80" s="1003">
        <f t="shared" si="24"/>
        <v>25</v>
      </c>
      <c r="G80" s="1004"/>
      <c r="H80" s="1003">
        <v>0</v>
      </c>
      <c r="I80" s="1003">
        <v>18</v>
      </c>
      <c r="J80" s="1005">
        <v>32</v>
      </c>
      <c r="K80" s="1"/>
      <c r="L80"/>
      <c r="M80" s="1002">
        <v>77</v>
      </c>
      <c r="N80" s="1003">
        <v>3</v>
      </c>
      <c r="O80" s="1003">
        <v>17</v>
      </c>
      <c r="P80" s="1003"/>
      <c r="Q80" s="1003">
        <f t="shared" si="25"/>
        <v>20</v>
      </c>
      <c r="R80" s="1004"/>
      <c r="S80" s="1003">
        <v>0</v>
      </c>
      <c r="T80" s="1003">
        <v>8</v>
      </c>
      <c r="U80" s="1005">
        <v>32</v>
      </c>
      <c r="V80"/>
      <c r="W80" s="1002">
        <v>77</v>
      </c>
      <c r="X80" s="1003"/>
      <c r="Y80" s="1003">
        <v>3</v>
      </c>
      <c r="Z80" s="1003">
        <f t="shared" si="18"/>
        <v>13</v>
      </c>
      <c r="AA80" s="1003">
        <f t="shared" si="33"/>
        <v>16</v>
      </c>
      <c r="AB80" s="1004"/>
      <c r="AC80" s="1003">
        <v>0</v>
      </c>
      <c r="AD80" s="1003">
        <v>0</v>
      </c>
      <c r="AE80" s="1005">
        <v>32</v>
      </c>
      <c r="AF80"/>
      <c r="AG80" s="1002">
        <v>77</v>
      </c>
      <c r="AH80" s="1003"/>
      <c r="AI80" s="1003"/>
      <c r="AJ80" s="1003">
        <v>1</v>
      </c>
      <c r="AK80" s="1003">
        <f t="shared" si="19"/>
        <v>12</v>
      </c>
      <c r="AL80" s="1003">
        <f t="shared" si="26"/>
        <v>13</v>
      </c>
      <c r="AM80" s="1004"/>
      <c r="AN80" s="1003">
        <v>0</v>
      </c>
      <c r="AO80" s="1003">
        <f>AO79</f>
        <v>10</v>
      </c>
      <c r="AP80" s="1005">
        <v>16</v>
      </c>
      <c r="AQ80"/>
      <c r="AR80" s="1002">
        <v>77</v>
      </c>
      <c r="AS80" s="1003"/>
      <c r="AT80" s="1003"/>
      <c r="AU80" s="1003"/>
      <c r="AV80" s="1003"/>
      <c r="AW80" s="1003">
        <f t="shared" si="21"/>
        <v>11</v>
      </c>
      <c r="AX80" s="1003">
        <f t="shared" si="27"/>
        <v>11</v>
      </c>
      <c r="AY80" s="1004"/>
      <c r="AZ80" s="1003">
        <v>0</v>
      </c>
      <c r="BA80" s="1003">
        <f t="shared" si="11"/>
        <v>6</v>
      </c>
      <c r="BB80" s="1005">
        <v>16</v>
      </c>
      <c r="BC80"/>
      <c r="BD80" s="1002">
        <v>77</v>
      </c>
      <c r="BE80" s="1003"/>
      <c r="BF80" s="1003"/>
      <c r="BG80" s="1003"/>
      <c r="BH80" s="1003"/>
      <c r="BI80" s="1003">
        <v>3</v>
      </c>
      <c r="BJ80" s="1003">
        <f t="shared" si="23"/>
        <v>7</v>
      </c>
      <c r="BK80" s="1003">
        <f t="shared" si="28"/>
        <v>10</v>
      </c>
      <c r="BL80" s="1004"/>
      <c r="BM80" s="1003">
        <v>0</v>
      </c>
      <c r="BN80" s="1003">
        <f t="shared" si="22"/>
        <v>4</v>
      </c>
      <c r="BO80" s="1005">
        <v>16</v>
      </c>
      <c r="BP80"/>
      <c r="BQ80" s="1002">
        <v>77</v>
      </c>
      <c r="BR80" s="1003"/>
      <c r="BS80" s="1003"/>
      <c r="BT80" s="1003"/>
      <c r="BU80" s="1003"/>
      <c r="BV80" s="1003"/>
      <c r="BW80" s="1003">
        <v>4</v>
      </c>
      <c r="BX80" s="1003">
        <f t="shared" si="31"/>
        <v>5</v>
      </c>
      <c r="BY80" s="1003">
        <f t="shared" si="29"/>
        <v>9</v>
      </c>
      <c r="BZ80" s="1004"/>
      <c r="CA80" s="1003">
        <v>0</v>
      </c>
      <c r="CB80" s="1003">
        <f t="shared" si="32"/>
        <v>2</v>
      </c>
      <c r="CC80" s="1005">
        <v>16</v>
      </c>
      <c r="CD80"/>
      <c r="CE80" s="1002">
        <v>77</v>
      </c>
      <c r="CF80" s="1003"/>
      <c r="CG80" s="1003"/>
      <c r="CH80" s="1003"/>
      <c r="CI80" s="1003"/>
      <c r="CJ80" s="1003"/>
      <c r="CK80" s="1003"/>
      <c r="CL80" s="1003">
        <v>3</v>
      </c>
      <c r="CM80" s="1003">
        <v>5</v>
      </c>
      <c r="CN80" s="1003">
        <f t="shared" si="30"/>
        <v>8</v>
      </c>
      <c r="CO80" s="1004"/>
      <c r="CP80" s="1003">
        <v>0</v>
      </c>
      <c r="CQ80" s="1003">
        <v>0</v>
      </c>
      <c r="CR80" s="1005">
        <v>16</v>
      </c>
    </row>
    <row r="81" spans="1:96" outlineLevel="1" x14ac:dyDescent="0.2">
      <c r="A81"/>
      <c r="B81" s="1002">
        <v>78</v>
      </c>
      <c r="C81" s="1003">
        <v>26</v>
      </c>
      <c r="D81" s="1003">
        <v>0</v>
      </c>
      <c r="E81" s="1003"/>
      <c r="F81" s="1003">
        <f t="shared" si="24"/>
        <v>26</v>
      </c>
      <c r="G81" s="1004"/>
      <c r="H81" s="1003">
        <v>0</v>
      </c>
      <c r="I81" s="1003">
        <v>20</v>
      </c>
      <c r="J81" s="1005">
        <v>32</v>
      </c>
      <c r="K81" s="1"/>
      <c r="L81"/>
      <c r="M81" s="1002">
        <v>78</v>
      </c>
      <c r="N81" s="1003">
        <v>2</v>
      </c>
      <c r="O81" s="1003">
        <v>18</v>
      </c>
      <c r="P81" s="1003"/>
      <c r="Q81" s="1003">
        <f t="shared" si="25"/>
        <v>20</v>
      </c>
      <c r="R81" s="1004"/>
      <c r="S81" s="1003">
        <v>0</v>
      </c>
      <c r="T81" s="1003">
        <v>8</v>
      </c>
      <c r="U81" s="1005">
        <v>32</v>
      </c>
      <c r="V81"/>
      <c r="W81" s="1002">
        <v>78</v>
      </c>
      <c r="X81" s="1003"/>
      <c r="Y81" s="1003">
        <v>2</v>
      </c>
      <c r="Z81" s="1003">
        <f t="shared" si="18"/>
        <v>14</v>
      </c>
      <c r="AA81" s="1003">
        <f t="shared" si="33"/>
        <v>16</v>
      </c>
      <c r="AB81" s="1004"/>
      <c r="AC81" s="1003">
        <v>0</v>
      </c>
      <c r="AD81" s="1003">
        <v>0</v>
      </c>
      <c r="AE81" s="1005">
        <v>32</v>
      </c>
      <c r="AF81"/>
      <c r="AG81" s="1002">
        <v>78</v>
      </c>
      <c r="AH81" s="1003"/>
      <c r="AI81" s="1003"/>
      <c r="AJ81" s="1003"/>
      <c r="AK81" s="1003">
        <f t="shared" si="19"/>
        <v>13</v>
      </c>
      <c r="AL81" s="1003">
        <f t="shared" si="26"/>
        <v>13</v>
      </c>
      <c r="AM81" s="1004"/>
      <c r="AN81" s="1003">
        <v>0</v>
      </c>
      <c r="AO81" s="1003">
        <f>AO80</f>
        <v>10</v>
      </c>
      <c r="AP81" s="1005">
        <v>16</v>
      </c>
      <c r="AQ81"/>
      <c r="AR81" s="1002">
        <v>78</v>
      </c>
      <c r="AS81" s="1003"/>
      <c r="AT81" s="1003"/>
      <c r="AU81" s="1003"/>
      <c r="AV81" s="1003">
        <v>6</v>
      </c>
      <c r="AW81" s="1003">
        <f t="shared" si="21"/>
        <v>6</v>
      </c>
      <c r="AX81" s="1003">
        <f t="shared" si="27"/>
        <v>12</v>
      </c>
      <c r="AY81" s="1004"/>
      <c r="AZ81" s="1003">
        <v>0</v>
      </c>
      <c r="BA81" s="1003">
        <f t="shared" si="11"/>
        <v>8</v>
      </c>
      <c r="BB81" s="1005">
        <v>16</v>
      </c>
      <c r="BC81"/>
      <c r="BD81" s="1002">
        <v>78</v>
      </c>
      <c r="BE81" s="1003"/>
      <c r="BF81" s="1003"/>
      <c r="BG81" s="1003"/>
      <c r="BH81" s="1003"/>
      <c r="BI81" s="1003">
        <v>2</v>
      </c>
      <c r="BJ81" s="1003">
        <f t="shared" si="23"/>
        <v>8</v>
      </c>
      <c r="BK81" s="1003">
        <f t="shared" si="28"/>
        <v>10</v>
      </c>
      <c r="BL81" s="1004"/>
      <c r="BM81" s="1003">
        <v>0</v>
      </c>
      <c r="BN81" s="1003">
        <f t="shared" si="22"/>
        <v>4</v>
      </c>
      <c r="BO81" s="1005">
        <v>16</v>
      </c>
      <c r="BP81"/>
      <c r="BQ81" s="1002">
        <v>78</v>
      </c>
      <c r="BR81" s="1003"/>
      <c r="BS81" s="1003"/>
      <c r="BT81" s="1003"/>
      <c r="BU81" s="1003"/>
      <c r="BV81" s="1003"/>
      <c r="BW81" s="1003">
        <v>3</v>
      </c>
      <c r="BX81" s="1003">
        <f t="shared" si="31"/>
        <v>6</v>
      </c>
      <c r="BY81" s="1003">
        <f t="shared" si="29"/>
        <v>9</v>
      </c>
      <c r="BZ81" s="1004"/>
      <c r="CA81" s="1003">
        <v>0</v>
      </c>
      <c r="CB81" s="1003">
        <f t="shared" si="32"/>
        <v>2</v>
      </c>
      <c r="CC81" s="1005">
        <v>16</v>
      </c>
      <c r="CD81"/>
      <c r="CE81" s="1002">
        <v>78</v>
      </c>
      <c r="CF81" s="1003"/>
      <c r="CG81" s="1003"/>
      <c r="CH81" s="1003"/>
      <c r="CI81" s="1003"/>
      <c r="CJ81" s="1003"/>
      <c r="CK81" s="1003"/>
      <c r="CL81" s="1003">
        <v>2</v>
      </c>
      <c r="CM81" s="1003">
        <v>6</v>
      </c>
      <c r="CN81" s="1003">
        <f t="shared" si="30"/>
        <v>8</v>
      </c>
      <c r="CO81" s="1004"/>
      <c r="CP81" s="1003">
        <v>0</v>
      </c>
      <c r="CQ81" s="1003">
        <v>0</v>
      </c>
      <c r="CR81" s="1005">
        <v>16</v>
      </c>
    </row>
    <row r="82" spans="1:96" outlineLevel="1" x14ac:dyDescent="0.2">
      <c r="A82"/>
      <c r="B82" s="1002">
        <v>79</v>
      </c>
      <c r="C82" s="1003">
        <v>25</v>
      </c>
      <c r="D82" s="1003">
        <v>1</v>
      </c>
      <c r="E82" s="1003"/>
      <c r="F82" s="1003">
        <f t="shared" si="24"/>
        <v>26</v>
      </c>
      <c r="G82" s="1004"/>
      <c r="H82" s="1003">
        <v>0</v>
      </c>
      <c r="I82" s="1003">
        <v>20</v>
      </c>
      <c r="J82" s="1005">
        <v>32</v>
      </c>
      <c r="K82" s="1"/>
      <c r="L82"/>
      <c r="M82" s="1002">
        <v>79</v>
      </c>
      <c r="N82" s="1003">
        <v>1</v>
      </c>
      <c r="O82" s="1003">
        <v>19</v>
      </c>
      <c r="P82" s="1003"/>
      <c r="Q82" s="1003">
        <f t="shared" si="25"/>
        <v>20</v>
      </c>
      <c r="R82" s="1004"/>
      <c r="S82" s="1003">
        <v>0</v>
      </c>
      <c r="T82" s="1003">
        <v>8</v>
      </c>
      <c r="U82" s="1005">
        <v>32</v>
      </c>
      <c r="V82"/>
      <c r="W82" s="1002">
        <v>79</v>
      </c>
      <c r="X82" s="1003"/>
      <c r="Y82" s="1003">
        <v>1</v>
      </c>
      <c r="Z82" s="1003">
        <f t="shared" si="18"/>
        <v>15</v>
      </c>
      <c r="AA82" s="1003">
        <f t="shared" si="33"/>
        <v>16</v>
      </c>
      <c r="AB82" s="1004"/>
      <c r="AC82" s="1003">
        <v>0</v>
      </c>
      <c r="AD82" s="1003">
        <v>0</v>
      </c>
      <c r="AE82" s="1005">
        <v>32</v>
      </c>
      <c r="AF82"/>
      <c r="AG82" s="1002">
        <v>79</v>
      </c>
      <c r="AH82" s="1003"/>
      <c r="AI82" s="1003"/>
      <c r="AJ82" s="1009">
        <v>5</v>
      </c>
      <c r="AK82" s="1003">
        <f t="shared" si="19"/>
        <v>9</v>
      </c>
      <c r="AL82" s="1003">
        <f t="shared" si="26"/>
        <v>14</v>
      </c>
      <c r="AM82" s="1004"/>
      <c r="AN82" s="1003">
        <v>0</v>
      </c>
      <c r="AO82" s="1003">
        <f>AO76+2</f>
        <v>12</v>
      </c>
      <c r="AP82" s="1005">
        <v>16</v>
      </c>
      <c r="AQ82"/>
      <c r="AR82" s="1002">
        <v>79</v>
      </c>
      <c r="AS82" s="1003"/>
      <c r="AT82" s="1003"/>
      <c r="AU82" s="1009"/>
      <c r="AV82" s="1003">
        <v>5</v>
      </c>
      <c r="AW82" s="1003">
        <f t="shared" si="21"/>
        <v>7</v>
      </c>
      <c r="AX82" s="1003">
        <f t="shared" si="27"/>
        <v>12</v>
      </c>
      <c r="AY82" s="1004"/>
      <c r="AZ82" s="1003">
        <v>0</v>
      </c>
      <c r="BA82" s="1003">
        <f t="shared" si="11"/>
        <v>8</v>
      </c>
      <c r="BB82" s="1005">
        <v>16</v>
      </c>
      <c r="BC82"/>
      <c r="BD82" s="1002">
        <v>79</v>
      </c>
      <c r="BE82" s="1003"/>
      <c r="BF82" s="1003"/>
      <c r="BG82" s="1009"/>
      <c r="BH82" s="1003"/>
      <c r="BI82" s="1003">
        <v>1</v>
      </c>
      <c r="BJ82" s="1003">
        <f t="shared" si="23"/>
        <v>9</v>
      </c>
      <c r="BK82" s="1003">
        <f t="shared" si="28"/>
        <v>10</v>
      </c>
      <c r="BL82" s="1004"/>
      <c r="BM82" s="1003">
        <v>0</v>
      </c>
      <c r="BN82" s="1003">
        <f t="shared" si="22"/>
        <v>4</v>
      </c>
      <c r="BO82" s="1005">
        <v>16</v>
      </c>
      <c r="BP82"/>
      <c r="BQ82" s="1002">
        <v>79</v>
      </c>
      <c r="BR82" s="1003"/>
      <c r="BS82" s="1003"/>
      <c r="BT82" s="1009"/>
      <c r="BU82" s="1003"/>
      <c r="BV82" s="1003"/>
      <c r="BW82" s="1003">
        <v>2</v>
      </c>
      <c r="BX82" s="1003">
        <f t="shared" si="31"/>
        <v>7</v>
      </c>
      <c r="BY82" s="1003">
        <f t="shared" si="29"/>
        <v>9</v>
      </c>
      <c r="BZ82" s="1004"/>
      <c r="CA82" s="1003">
        <v>0</v>
      </c>
      <c r="CB82" s="1003">
        <f t="shared" si="32"/>
        <v>2</v>
      </c>
      <c r="CC82" s="1005">
        <v>16</v>
      </c>
      <c r="CD82"/>
      <c r="CE82" s="1002">
        <v>79</v>
      </c>
      <c r="CF82" s="1003"/>
      <c r="CG82" s="1003"/>
      <c r="CH82" s="1009"/>
      <c r="CI82" s="1003"/>
      <c r="CJ82" s="1003"/>
      <c r="CK82" s="1003"/>
      <c r="CL82" s="1003">
        <v>1</v>
      </c>
      <c r="CM82" s="1003">
        <v>7</v>
      </c>
      <c r="CN82" s="1003">
        <f t="shared" si="30"/>
        <v>8</v>
      </c>
      <c r="CO82" s="1004"/>
      <c r="CP82" s="1003">
        <v>0</v>
      </c>
      <c r="CQ82" s="1003">
        <v>0</v>
      </c>
      <c r="CR82" s="1005">
        <v>16</v>
      </c>
    </row>
    <row r="83" spans="1:96" outlineLevel="1" x14ac:dyDescent="0.2">
      <c r="A83"/>
      <c r="B83" s="1002">
        <v>80</v>
      </c>
      <c r="C83" s="1003">
        <v>24</v>
      </c>
      <c r="D83" s="1003">
        <v>2</v>
      </c>
      <c r="E83" s="1003"/>
      <c r="F83" s="1003">
        <f t="shared" si="24"/>
        <v>26</v>
      </c>
      <c r="G83" s="1004"/>
      <c r="H83" s="1003">
        <v>0</v>
      </c>
      <c r="I83" s="1003">
        <v>20</v>
      </c>
      <c r="J83" s="1005">
        <v>32</v>
      </c>
      <c r="K83" s="1"/>
      <c r="L83"/>
      <c r="M83" s="1002">
        <v>80</v>
      </c>
      <c r="N83" s="1003">
        <v>0</v>
      </c>
      <c r="O83" s="1003">
        <v>20</v>
      </c>
      <c r="P83" s="1003"/>
      <c r="Q83" s="1003">
        <f t="shared" si="25"/>
        <v>20</v>
      </c>
      <c r="R83" s="1004"/>
      <c r="S83" s="1003">
        <v>0</v>
      </c>
      <c r="T83" s="1003">
        <v>8</v>
      </c>
      <c r="U83" s="1005">
        <v>32</v>
      </c>
      <c r="V83"/>
      <c r="W83" s="1002">
        <v>80</v>
      </c>
      <c r="X83" s="1003"/>
      <c r="Y83" s="1003"/>
      <c r="Z83" s="1003">
        <f t="shared" si="18"/>
        <v>16</v>
      </c>
      <c r="AA83" s="1003">
        <f t="shared" si="33"/>
        <v>16</v>
      </c>
      <c r="AB83" s="1004"/>
      <c r="AC83" s="1003">
        <v>0</v>
      </c>
      <c r="AD83" s="1003">
        <v>0</v>
      </c>
      <c r="AE83" s="1005">
        <v>32</v>
      </c>
      <c r="AF83"/>
      <c r="AG83" s="1002">
        <v>80</v>
      </c>
      <c r="AH83" s="1003"/>
      <c r="AI83" s="1003"/>
      <c r="AJ83" s="1003">
        <v>4</v>
      </c>
      <c r="AK83" s="1003">
        <f t="shared" si="19"/>
        <v>10</v>
      </c>
      <c r="AL83" s="1003">
        <f t="shared" si="26"/>
        <v>14</v>
      </c>
      <c r="AM83" s="1004"/>
      <c r="AN83" s="1003">
        <v>0</v>
      </c>
      <c r="AO83" s="1003">
        <f>AO82</f>
        <v>12</v>
      </c>
      <c r="AP83" s="1005">
        <v>16</v>
      </c>
      <c r="AQ83"/>
      <c r="AR83" s="1002">
        <v>80</v>
      </c>
      <c r="AS83" s="1003"/>
      <c r="AT83" s="1003"/>
      <c r="AU83" s="1003"/>
      <c r="AV83" s="1003">
        <v>4</v>
      </c>
      <c r="AW83" s="1003">
        <f t="shared" si="21"/>
        <v>8</v>
      </c>
      <c r="AX83" s="1003">
        <f t="shared" si="27"/>
        <v>12</v>
      </c>
      <c r="AY83" s="1004"/>
      <c r="AZ83" s="1003">
        <v>0</v>
      </c>
      <c r="BA83" s="1003">
        <f t="shared" si="11"/>
        <v>8</v>
      </c>
      <c r="BB83" s="1005">
        <v>16</v>
      </c>
      <c r="BC83"/>
      <c r="BD83" s="1002">
        <v>80</v>
      </c>
      <c r="BE83" s="1003"/>
      <c r="BF83" s="1003"/>
      <c r="BG83" s="1003"/>
      <c r="BH83" s="1003"/>
      <c r="BI83" s="1003"/>
      <c r="BJ83" s="1003">
        <f t="shared" si="23"/>
        <v>10</v>
      </c>
      <c r="BK83" s="1003">
        <f t="shared" si="28"/>
        <v>10</v>
      </c>
      <c r="BL83" s="1004"/>
      <c r="BM83" s="1003">
        <v>0</v>
      </c>
      <c r="BN83" s="1003">
        <f t="shared" si="22"/>
        <v>4</v>
      </c>
      <c r="BO83" s="1005">
        <v>16</v>
      </c>
      <c r="BP83"/>
      <c r="BQ83" s="1002">
        <v>80</v>
      </c>
      <c r="BR83" s="1003"/>
      <c r="BS83" s="1003"/>
      <c r="BT83" s="1003"/>
      <c r="BU83" s="1003"/>
      <c r="BV83" s="1003"/>
      <c r="BW83" s="1003">
        <v>1</v>
      </c>
      <c r="BX83" s="1003">
        <f t="shared" si="31"/>
        <v>8</v>
      </c>
      <c r="BY83" s="1003">
        <f t="shared" si="29"/>
        <v>9</v>
      </c>
      <c r="BZ83" s="1004"/>
      <c r="CA83" s="1003">
        <v>0</v>
      </c>
      <c r="CB83" s="1003">
        <f t="shared" si="32"/>
        <v>2</v>
      </c>
      <c r="CC83" s="1005">
        <v>16</v>
      </c>
      <c r="CD83"/>
      <c r="CE83" s="1002">
        <v>80</v>
      </c>
      <c r="CF83" s="1003"/>
      <c r="CG83" s="1003"/>
      <c r="CH83" s="1003"/>
      <c r="CI83" s="1003"/>
      <c r="CJ83" s="1003"/>
      <c r="CK83" s="1003"/>
      <c r="CL83" s="1003"/>
      <c r="CM83" s="1003">
        <v>8</v>
      </c>
      <c r="CN83" s="1003">
        <f t="shared" si="30"/>
        <v>8</v>
      </c>
      <c r="CO83" s="1004"/>
      <c r="CP83" s="1003">
        <v>0</v>
      </c>
      <c r="CQ83" s="1003">
        <v>0</v>
      </c>
      <c r="CR83" s="1005">
        <v>16</v>
      </c>
    </row>
    <row r="84" spans="1:96" outlineLevel="1" x14ac:dyDescent="0.2">
      <c r="A84"/>
      <c r="B84" s="1002">
        <v>81</v>
      </c>
      <c r="C84" s="1003">
        <v>27</v>
      </c>
      <c r="D84" s="1003">
        <v>0</v>
      </c>
      <c r="E84" s="1003"/>
      <c r="F84" s="1003">
        <f t="shared" si="24"/>
        <v>27</v>
      </c>
      <c r="G84" s="1004"/>
      <c r="H84" s="1003">
        <v>0</v>
      </c>
      <c r="I84" s="1003">
        <v>22</v>
      </c>
      <c r="J84" s="1005">
        <v>32</v>
      </c>
      <c r="K84" s="1"/>
      <c r="L84"/>
      <c r="M84" s="1002">
        <v>81</v>
      </c>
      <c r="N84" s="1003">
        <v>3</v>
      </c>
      <c r="O84" s="1003">
        <v>18</v>
      </c>
      <c r="P84" s="1003"/>
      <c r="Q84" s="1003">
        <f t="shared" si="25"/>
        <v>21</v>
      </c>
      <c r="R84" s="1004"/>
      <c r="S84" s="1003">
        <v>0</v>
      </c>
      <c r="T84" s="1003">
        <v>10</v>
      </c>
      <c r="U84" s="1005">
        <v>32</v>
      </c>
      <c r="V84"/>
      <c r="W84" s="1002">
        <v>81</v>
      </c>
      <c r="X84" s="1003"/>
      <c r="Y84" s="1003">
        <v>4</v>
      </c>
      <c r="Z84" s="1003">
        <f t="shared" si="18"/>
        <v>13</v>
      </c>
      <c r="AA84" s="1003">
        <f t="shared" si="33"/>
        <v>17</v>
      </c>
      <c r="AB84" s="1004"/>
      <c r="AC84" s="1003">
        <v>0</v>
      </c>
      <c r="AD84" s="1003">
        <v>2</v>
      </c>
      <c r="AE84" s="1005">
        <v>32</v>
      </c>
      <c r="AF84"/>
      <c r="AG84" s="1002">
        <v>81</v>
      </c>
      <c r="AH84" s="1003"/>
      <c r="AI84" s="1003"/>
      <c r="AJ84" s="1003">
        <v>3</v>
      </c>
      <c r="AK84" s="1003">
        <f t="shared" si="19"/>
        <v>11</v>
      </c>
      <c r="AL84" s="1003">
        <f t="shared" si="26"/>
        <v>14</v>
      </c>
      <c r="AM84" s="1004"/>
      <c r="AN84" s="1003">
        <v>0</v>
      </c>
      <c r="AO84" s="1003">
        <f>AO83</f>
        <v>12</v>
      </c>
      <c r="AP84" s="1005">
        <v>16</v>
      </c>
      <c r="AQ84"/>
      <c r="AR84" s="1002">
        <v>81</v>
      </c>
      <c r="AS84" s="1003"/>
      <c r="AT84" s="1003"/>
      <c r="AU84" s="1003"/>
      <c r="AV84" s="1003">
        <v>3</v>
      </c>
      <c r="AW84" s="1003">
        <f t="shared" si="21"/>
        <v>9</v>
      </c>
      <c r="AX84" s="1003">
        <f t="shared" si="27"/>
        <v>12</v>
      </c>
      <c r="AY84" s="1004"/>
      <c r="AZ84" s="1003">
        <v>0</v>
      </c>
      <c r="BA84" s="1003">
        <f t="shared" si="11"/>
        <v>8</v>
      </c>
      <c r="BB84" s="1005">
        <v>16</v>
      </c>
      <c r="BC84"/>
      <c r="BD84" s="1002">
        <v>81</v>
      </c>
      <c r="BE84" s="1003"/>
      <c r="BF84" s="1003"/>
      <c r="BG84" s="1003"/>
      <c r="BH84" s="1003"/>
      <c r="BI84" s="1003">
        <v>7</v>
      </c>
      <c r="BJ84" s="1003">
        <f t="shared" si="23"/>
        <v>4</v>
      </c>
      <c r="BK84" s="1003">
        <f t="shared" si="28"/>
        <v>11</v>
      </c>
      <c r="BL84" s="1004"/>
      <c r="BM84" s="1003">
        <v>0</v>
      </c>
      <c r="BN84" s="1003">
        <f t="shared" si="22"/>
        <v>6</v>
      </c>
      <c r="BO84" s="1005">
        <v>16</v>
      </c>
      <c r="BP84"/>
      <c r="BQ84" s="1002">
        <v>81</v>
      </c>
      <c r="BR84" s="1003"/>
      <c r="BS84" s="1003"/>
      <c r="BT84" s="1003"/>
      <c r="BU84" s="1003"/>
      <c r="BV84" s="1003"/>
      <c r="BW84" s="1003"/>
      <c r="BX84" s="1003">
        <f t="shared" si="31"/>
        <v>9</v>
      </c>
      <c r="BY84" s="1003">
        <f t="shared" si="29"/>
        <v>9</v>
      </c>
      <c r="BZ84" s="1004"/>
      <c r="CA84" s="1003">
        <v>0</v>
      </c>
      <c r="CB84" s="1003">
        <f t="shared" si="32"/>
        <v>2</v>
      </c>
      <c r="CC84" s="1005">
        <v>16</v>
      </c>
      <c r="CD84"/>
      <c r="CE84" s="1002">
        <v>81</v>
      </c>
      <c r="CF84" s="1003"/>
      <c r="CG84" s="1003"/>
      <c r="CH84" s="1003"/>
      <c r="CI84" s="1003"/>
      <c r="CJ84" s="1003"/>
      <c r="CK84" s="1003"/>
      <c r="CL84" s="1003">
        <f>CL75+1</f>
        <v>9</v>
      </c>
      <c r="CM84" s="1003"/>
      <c r="CN84" s="1003">
        <f t="shared" si="30"/>
        <v>9</v>
      </c>
      <c r="CO84" s="1004"/>
      <c r="CP84" s="1003">
        <v>0</v>
      </c>
      <c r="CQ84" s="1003">
        <f>CQ74+2</f>
        <v>2</v>
      </c>
      <c r="CR84" s="1005">
        <v>16</v>
      </c>
    </row>
    <row r="85" spans="1:96" outlineLevel="1" x14ac:dyDescent="0.2">
      <c r="A85"/>
      <c r="B85" s="1002">
        <v>82</v>
      </c>
      <c r="C85" s="1003">
        <v>26</v>
      </c>
      <c r="D85" s="1003">
        <v>1</v>
      </c>
      <c r="E85" s="1003"/>
      <c r="F85" s="1003">
        <f t="shared" si="24"/>
        <v>27</v>
      </c>
      <c r="G85" s="1004"/>
      <c r="H85" s="1003">
        <v>0</v>
      </c>
      <c r="I85" s="1003">
        <v>22</v>
      </c>
      <c r="J85" s="1005">
        <v>32</v>
      </c>
      <c r="K85" s="1"/>
      <c r="L85"/>
      <c r="M85" s="1002">
        <v>82</v>
      </c>
      <c r="N85" s="1003">
        <v>2</v>
      </c>
      <c r="O85" s="1003">
        <v>19</v>
      </c>
      <c r="P85" s="1003"/>
      <c r="Q85" s="1003">
        <f t="shared" si="25"/>
        <v>21</v>
      </c>
      <c r="R85" s="1004"/>
      <c r="S85" s="1003">
        <v>0</v>
      </c>
      <c r="T85" s="1003">
        <v>10</v>
      </c>
      <c r="U85" s="1005">
        <v>32</v>
      </c>
      <c r="V85"/>
      <c r="W85" s="1002">
        <v>82</v>
      </c>
      <c r="X85" s="1003"/>
      <c r="Y85" s="1003">
        <v>3</v>
      </c>
      <c r="Z85" s="1003">
        <f t="shared" si="18"/>
        <v>14</v>
      </c>
      <c r="AA85" s="1003">
        <f t="shared" si="33"/>
        <v>17</v>
      </c>
      <c r="AB85" s="1004"/>
      <c r="AC85" s="1003">
        <v>0</v>
      </c>
      <c r="AD85" s="1003">
        <v>2</v>
      </c>
      <c r="AE85" s="1005">
        <v>32</v>
      </c>
      <c r="AF85"/>
      <c r="AG85" s="1002">
        <v>82</v>
      </c>
      <c r="AH85" s="1003"/>
      <c r="AI85" s="1003"/>
      <c r="AJ85" s="1003">
        <v>2</v>
      </c>
      <c r="AK85" s="1003">
        <f t="shared" si="19"/>
        <v>12</v>
      </c>
      <c r="AL85" s="1003">
        <f t="shared" si="26"/>
        <v>14</v>
      </c>
      <c r="AM85" s="1004"/>
      <c r="AN85" s="1003">
        <v>0</v>
      </c>
      <c r="AO85" s="1003">
        <f>AO84</f>
        <v>12</v>
      </c>
      <c r="AP85" s="1005">
        <v>16</v>
      </c>
      <c r="AQ85"/>
      <c r="AR85" s="1002">
        <v>82</v>
      </c>
      <c r="AS85" s="1003"/>
      <c r="AT85" s="1003"/>
      <c r="AU85" s="1003"/>
      <c r="AV85" s="1003">
        <v>2</v>
      </c>
      <c r="AW85" s="1003">
        <f t="shared" si="21"/>
        <v>10</v>
      </c>
      <c r="AX85" s="1003">
        <f t="shared" si="27"/>
        <v>12</v>
      </c>
      <c r="AY85" s="1004"/>
      <c r="AZ85" s="1003">
        <v>0</v>
      </c>
      <c r="BA85" s="1003">
        <f t="shared" si="11"/>
        <v>8</v>
      </c>
      <c r="BB85" s="1005">
        <v>16</v>
      </c>
      <c r="BC85"/>
      <c r="BD85" s="1002">
        <v>82</v>
      </c>
      <c r="BE85" s="1003"/>
      <c r="BF85" s="1003"/>
      <c r="BG85" s="1003"/>
      <c r="BH85" s="1003"/>
      <c r="BI85" s="1003">
        <v>6</v>
      </c>
      <c r="BJ85" s="1003">
        <f t="shared" si="23"/>
        <v>5</v>
      </c>
      <c r="BK85" s="1003">
        <f t="shared" si="28"/>
        <v>11</v>
      </c>
      <c r="BL85" s="1004"/>
      <c r="BM85" s="1003">
        <v>0</v>
      </c>
      <c r="BN85" s="1003">
        <f t="shared" si="22"/>
        <v>6</v>
      </c>
      <c r="BO85" s="1005">
        <v>16</v>
      </c>
      <c r="BP85"/>
      <c r="BQ85" s="1002">
        <v>82</v>
      </c>
      <c r="BR85" s="1003"/>
      <c r="BS85" s="1003"/>
      <c r="BT85" s="1003"/>
      <c r="BU85" s="1003"/>
      <c r="BV85" s="1003"/>
      <c r="BW85" s="1003">
        <v>8</v>
      </c>
      <c r="BX85" s="1003">
        <f t="shared" si="31"/>
        <v>2</v>
      </c>
      <c r="BY85" s="1003">
        <f t="shared" si="29"/>
        <v>10</v>
      </c>
      <c r="BZ85" s="1004"/>
      <c r="CA85" s="1003">
        <v>0</v>
      </c>
      <c r="CB85" s="1003">
        <f t="shared" si="32"/>
        <v>4</v>
      </c>
      <c r="CC85" s="1005">
        <v>16</v>
      </c>
      <c r="CD85"/>
      <c r="CE85" s="1002">
        <v>82</v>
      </c>
      <c r="CF85" s="1003"/>
      <c r="CG85" s="1003"/>
      <c r="CH85" s="1003"/>
      <c r="CI85" s="1003"/>
      <c r="CJ85" s="1003"/>
      <c r="CK85" s="1003"/>
      <c r="CL85" s="1003">
        <v>8</v>
      </c>
      <c r="CM85" s="1003">
        <v>1</v>
      </c>
      <c r="CN85" s="1003">
        <f t="shared" si="30"/>
        <v>9</v>
      </c>
      <c r="CO85" s="1004"/>
      <c r="CP85" s="1003">
        <v>0</v>
      </c>
      <c r="CQ85" s="1003">
        <f t="shared" ref="CQ85:CQ131" si="34">CQ75+2</f>
        <v>2</v>
      </c>
      <c r="CR85" s="1005">
        <v>16</v>
      </c>
    </row>
    <row r="86" spans="1:96" outlineLevel="1" x14ac:dyDescent="0.2">
      <c r="A86"/>
      <c r="B86" s="1002">
        <v>83</v>
      </c>
      <c r="C86" s="1003">
        <v>25</v>
      </c>
      <c r="D86" s="1003">
        <v>2</v>
      </c>
      <c r="E86" s="1003"/>
      <c r="F86" s="1003">
        <f t="shared" si="24"/>
        <v>27</v>
      </c>
      <c r="G86" s="1004"/>
      <c r="H86" s="1003">
        <v>0</v>
      </c>
      <c r="I86" s="1003">
        <v>22</v>
      </c>
      <c r="J86" s="1005">
        <v>32</v>
      </c>
      <c r="K86" s="1"/>
      <c r="L86"/>
      <c r="M86" s="1002">
        <v>83</v>
      </c>
      <c r="N86" s="1003">
        <v>1</v>
      </c>
      <c r="O86" s="1003">
        <v>20</v>
      </c>
      <c r="P86" s="1003"/>
      <c r="Q86" s="1003">
        <f t="shared" si="25"/>
        <v>21</v>
      </c>
      <c r="R86" s="1004"/>
      <c r="S86" s="1003">
        <v>0</v>
      </c>
      <c r="T86" s="1003">
        <v>10</v>
      </c>
      <c r="U86" s="1005">
        <v>32</v>
      </c>
      <c r="V86"/>
      <c r="W86" s="1002">
        <v>83</v>
      </c>
      <c r="X86" s="1003"/>
      <c r="Y86" s="1003">
        <v>2</v>
      </c>
      <c r="Z86" s="1003">
        <f t="shared" si="18"/>
        <v>15</v>
      </c>
      <c r="AA86" s="1003">
        <f t="shared" si="33"/>
        <v>17</v>
      </c>
      <c r="AB86" s="1004"/>
      <c r="AC86" s="1003">
        <v>0</v>
      </c>
      <c r="AD86" s="1003">
        <v>2</v>
      </c>
      <c r="AE86" s="1005">
        <v>32</v>
      </c>
      <c r="AF86"/>
      <c r="AG86" s="1002">
        <v>83</v>
      </c>
      <c r="AH86" s="1003"/>
      <c r="AI86" s="1003"/>
      <c r="AJ86" s="1003">
        <v>1</v>
      </c>
      <c r="AK86" s="1003">
        <f t="shared" si="19"/>
        <v>13</v>
      </c>
      <c r="AL86" s="1003">
        <f t="shared" si="26"/>
        <v>14</v>
      </c>
      <c r="AM86" s="1004"/>
      <c r="AN86" s="1003">
        <v>0</v>
      </c>
      <c r="AO86" s="1003">
        <f>AO85</f>
        <v>12</v>
      </c>
      <c r="AP86" s="1005">
        <v>16</v>
      </c>
      <c r="AQ86"/>
      <c r="AR86" s="1002">
        <v>83</v>
      </c>
      <c r="AS86" s="1003"/>
      <c r="AT86" s="1003"/>
      <c r="AU86" s="1003"/>
      <c r="AV86" s="1003">
        <v>1</v>
      </c>
      <c r="AW86" s="1003">
        <f t="shared" si="21"/>
        <v>11</v>
      </c>
      <c r="AX86" s="1003">
        <f t="shared" si="27"/>
        <v>12</v>
      </c>
      <c r="AY86" s="1004"/>
      <c r="AZ86" s="1003">
        <v>0</v>
      </c>
      <c r="BA86" s="1003">
        <f t="shared" si="11"/>
        <v>8</v>
      </c>
      <c r="BB86" s="1005">
        <v>16</v>
      </c>
      <c r="BC86"/>
      <c r="BD86" s="1002">
        <v>83</v>
      </c>
      <c r="BE86" s="1003"/>
      <c r="BF86" s="1003"/>
      <c r="BG86" s="1003"/>
      <c r="BH86" s="1003"/>
      <c r="BI86" s="1003">
        <v>5</v>
      </c>
      <c r="BJ86" s="1003">
        <f t="shared" si="23"/>
        <v>6</v>
      </c>
      <c r="BK86" s="1003">
        <f t="shared" si="28"/>
        <v>11</v>
      </c>
      <c r="BL86" s="1004"/>
      <c r="BM86" s="1003">
        <v>0</v>
      </c>
      <c r="BN86" s="1003">
        <f t="shared" si="22"/>
        <v>6</v>
      </c>
      <c r="BO86" s="1005">
        <v>16</v>
      </c>
      <c r="BP86"/>
      <c r="BQ86" s="1002">
        <v>83</v>
      </c>
      <c r="BR86" s="1003"/>
      <c r="BS86" s="1003"/>
      <c r="BT86" s="1003"/>
      <c r="BU86" s="1003"/>
      <c r="BV86" s="1003"/>
      <c r="BW86" s="1003">
        <v>7</v>
      </c>
      <c r="BX86" s="1003">
        <f t="shared" si="31"/>
        <v>3</v>
      </c>
      <c r="BY86" s="1003">
        <f t="shared" si="29"/>
        <v>10</v>
      </c>
      <c r="BZ86" s="1004"/>
      <c r="CA86" s="1003">
        <v>0</v>
      </c>
      <c r="CB86" s="1003">
        <f t="shared" si="32"/>
        <v>4</v>
      </c>
      <c r="CC86" s="1005">
        <v>16</v>
      </c>
      <c r="CD86"/>
      <c r="CE86" s="1002">
        <v>83</v>
      </c>
      <c r="CF86" s="1003"/>
      <c r="CG86" s="1003"/>
      <c r="CH86" s="1003"/>
      <c r="CI86" s="1003"/>
      <c r="CJ86" s="1003"/>
      <c r="CK86" s="1003"/>
      <c r="CL86" s="1003">
        <v>7</v>
      </c>
      <c r="CM86" s="1003">
        <v>2</v>
      </c>
      <c r="CN86" s="1003">
        <f t="shared" si="30"/>
        <v>9</v>
      </c>
      <c r="CO86" s="1004"/>
      <c r="CP86" s="1003">
        <v>0</v>
      </c>
      <c r="CQ86" s="1003">
        <f t="shared" si="34"/>
        <v>2</v>
      </c>
      <c r="CR86" s="1005">
        <v>16</v>
      </c>
    </row>
    <row r="87" spans="1:96" outlineLevel="1" x14ac:dyDescent="0.2">
      <c r="A87"/>
      <c r="B87" s="1002">
        <v>84</v>
      </c>
      <c r="C87" s="1003">
        <v>28</v>
      </c>
      <c r="D87" s="1003">
        <v>0</v>
      </c>
      <c r="E87" s="1003"/>
      <c r="F87" s="1003">
        <f t="shared" si="24"/>
        <v>28</v>
      </c>
      <c r="G87" s="1004"/>
      <c r="H87" s="1003">
        <v>0</v>
      </c>
      <c r="I87" s="1003">
        <v>24</v>
      </c>
      <c r="J87" s="1005">
        <v>32</v>
      </c>
      <c r="K87" s="1"/>
      <c r="L87"/>
      <c r="M87" s="1002">
        <v>84</v>
      </c>
      <c r="N87" s="1003">
        <v>0</v>
      </c>
      <c r="O87" s="1003">
        <v>21</v>
      </c>
      <c r="P87" s="1003"/>
      <c r="Q87" s="1003">
        <f t="shared" si="25"/>
        <v>21</v>
      </c>
      <c r="R87" s="1004"/>
      <c r="S87" s="1003">
        <v>0</v>
      </c>
      <c r="T87" s="1003">
        <v>10</v>
      </c>
      <c r="U87" s="1005">
        <v>32</v>
      </c>
      <c r="V87"/>
      <c r="W87" s="1002">
        <v>84</v>
      </c>
      <c r="X87" s="1003"/>
      <c r="Y87" s="1003">
        <v>1</v>
      </c>
      <c r="Z87" s="1003">
        <f t="shared" si="18"/>
        <v>16</v>
      </c>
      <c r="AA87" s="1003">
        <f t="shared" si="33"/>
        <v>17</v>
      </c>
      <c r="AB87" s="1004"/>
      <c r="AC87" s="1003">
        <v>0</v>
      </c>
      <c r="AD87" s="1003">
        <v>2</v>
      </c>
      <c r="AE87" s="1005">
        <v>32</v>
      </c>
      <c r="AF87"/>
      <c r="AG87" s="1002">
        <v>84</v>
      </c>
      <c r="AH87" s="1003"/>
      <c r="AI87" s="1003"/>
      <c r="AJ87" s="1003"/>
      <c r="AK87" s="1003">
        <f t="shared" si="19"/>
        <v>14</v>
      </c>
      <c r="AL87" s="1003">
        <f t="shared" si="26"/>
        <v>14</v>
      </c>
      <c r="AM87" s="1004"/>
      <c r="AN87" s="1003">
        <v>0</v>
      </c>
      <c r="AO87" s="1003">
        <f>AO86</f>
        <v>12</v>
      </c>
      <c r="AP87" s="1005">
        <v>16</v>
      </c>
      <c r="AQ87"/>
      <c r="AR87" s="1002">
        <v>84</v>
      </c>
      <c r="AS87" s="1003"/>
      <c r="AT87" s="1003"/>
      <c r="AU87" s="1003"/>
      <c r="AV87" s="1003"/>
      <c r="AW87" s="1003">
        <f t="shared" si="21"/>
        <v>12</v>
      </c>
      <c r="AX87" s="1003">
        <f t="shared" si="27"/>
        <v>12</v>
      </c>
      <c r="AY87" s="1004"/>
      <c r="AZ87" s="1003">
        <v>0</v>
      </c>
      <c r="BA87" s="1003">
        <f t="shared" si="11"/>
        <v>8</v>
      </c>
      <c r="BB87" s="1005">
        <v>16</v>
      </c>
      <c r="BC87"/>
      <c r="BD87" s="1002">
        <v>84</v>
      </c>
      <c r="BE87" s="1003"/>
      <c r="BF87" s="1003"/>
      <c r="BG87" s="1003"/>
      <c r="BH87" s="1003"/>
      <c r="BI87" s="1003">
        <v>4</v>
      </c>
      <c r="BJ87" s="1003">
        <f t="shared" si="23"/>
        <v>7</v>
      </c>
      <c r="BK87" s="1003">
        <f t="shared" si="28"/>
        <v>11</v>
      </c>
      <c r="BL87" s="1004"/>
      <c r="BM87" s="1003">
        <v>0</v>
      </c>
      <c r="BN87" s="1003">
        <f t="shared" si="22"/>
        <v>6</v>
      </c>
      <c r="BO87" s="1005">
        <v>16</v>
      </c>
      <c r="BP87"/>
      <c r="BQ87" s="1002">
        <v>84</v>
      </c>
      <c r="BR87" s="1003"/>
      <c r="BS87" s="1003"/>
      <c r="BT87" s="1003"/>
      <c r="BU87" s="1003"/>
      <c r="BV87" s="1003"/>
      <c r="BW87" s="1003">
        <v>6</v>
      </c>
      <c r="BX87" s="1003">
        <f t="shared" si="31"/>
        <v>4</v>
      </c>
      <c r="BY87" s="1003">
        <f t="shared" si="29"/>
        <v>10</v>
      </c>
      <c r="BZ87" s="1004"/>
      <c r="CA87" s="1003">
        <v>0</v>
      </c>
      <c r="CB87" s="1003">
        <f t="shared" si="32"/>
        <v>4</v>
      </c>
      <c r="CC87" s="1005">
        <v>16</v>
      </c>
      <c r="CD87"/>
      <c r="CE87" s="1002">
        <v>84</v>
      </c>
      <c r="CF87" s="1003"/>
      <c r="CG87" s="1003"/>
      <c r="CH87" s="1003"/>
      <c r="CI87" s="1003"/>
      <c r="CJ87" s="1003"/>
      <c r="CK87" s="1003"/>
      <c r="CL87" s="1003">
        <v>6</v>
      </c>
      <c r="CM87" s="1003">
        <v>3</v>
      </c>
      <c r="CN87" s="1003">
        <f t="shared" si="30"/>
        <v>9</v>
      </c>
      <c r="CO87" s="1004"/>
      <c r="CP87" s="1003">
        <v>0</v>
      </c>
      <c r="CQ87" s="1003">
        <f t="shared" si="34"/>
        <v>2</v>
      </c>
      <c r="CR87" s="1005">
        <v>16</v>
      </c>
    </row>
    <row r="88" spans="1:96" outlineLevel="1" x14ac:dyDescent="0.2">
      <c r="A88"/>
      <c r="B88" s="1002">
        <v>85</v>
      </c>
      <c r="C88" s="1003">
        <v>27</v>
      </c>
      <c r="D88" s="1003">
        <v>1</v>
      </c>
      <c r="E88" s="1003"/>
      <c r="F88" s="1003">
        <f t="shared" si="24"/>
        <v>28</v>
      </c>
      <c r="G88" s="1004"/>
      <c r="H88" s="1003">
        <v>0</v>
      </c>
      <c r="I88" s="1003">
        <v>24</v>
      </c>
      <c r="J88" s="1005">
        <v>32</v>
      </c>
      <c r="K88" s="1"/>
      <c r="L88"/>
      <c r="M88" s="1002">
        <v>85</v>
      </c>
      <c r="N88" s="1003">
        <v>3</v>
      </c>
      <c r="O88" s="1003">
        <v>19</v>
      </c>
      <c r="P88" s="1003"/>
      <c r="Q88" s="1003">
        <f t="shared" si="25"/>
        <v>22</v>
      </c>
      <c r="R88" s="1004"/>
      <c r="S88" s="1003">
        <v>0</v>
      </c>
      <c r="T88" s="1003">
        <v>12</v>
      </c>
      <c r="U88" s="1005">
        <v>32</v>
      </c>
      <c r="V88"/>
      <c r="W88" s="1002">
        <v>85</v>
      </c>
      <c r="X88" s="1003"/>
      <c r="Y88" s="1003"/>
      <c r="Z88" s="1003">
        <f t="shared" si="18"/>
        <v>17</v>
      </c>
      <c r="AA88" s="1003">
        <f t="shared" si="33"/>
        <v>17</v>
      </c>
      <c r="AB88" s="1004"/>
      <c r="AC88" s="1003">
        <v>0</v>
      </c>
      <c r="AD88" s="1003">
        <v>2</v>
      </c>
      <c r="AE88" s="1005">
        <v>32</v>
      </c>
      <c r="AF88"/>
      <c r="AG88" s="1002">
        <v>85</v>
      </c>
      <c r="AH88" s="1003"/>
      <c r="AI88" s="1003"/>
      <c r="AJ88" s="1009">
        <v>5</v>
      </c>
      <c r="AK88" s="1003">
        <f t="shared" si="19"/>
        <v>10</v>
      </c>
      <c r="AL88" s="1003">
        <f t="shared" si="26"/>
        <v>15</v>
      </c>
      <c r="AM88" s="1004"/>
      <c r="AN88" s="1003">
        <v>0</v>
      </c>
      <c r="AO88" s="1003">
        <f>AO82+2</f>
        <v>14</v>
      </c>
      <c r="AP88" s="1005">
        <v>16</v>
      </c>
      <c r="AQ88"/>
      <c r="AR88" s="1002">
        <v>85</v>
      </c>
      <c r="AS88" s="1003"/>
      <c r="AT88" s="1003"/>
      <c r="AU88" s="1009"/>
      <c r="AV88" s="1003">
        <v>6</v>
      </c>
      <c r="AW88" s="1003">
        <f t="shared" si="21"/>
        <v>7</v>
      </c>
      <c r="AX88" s="1003">
        <f t="shared" si="27"/>
        <v>13</v>
      </c>
      <c r="AY88" s="1004"/>
      <c r="AZ88" s="1003">
        <v>0</v>
      </c>
      <c r="BA88" s="1003">
        <f t="shared" si="11"/>
        <v>10</v>
      </c>
      <c r="BB88" s="1005">
        <v>16</v>
      </c>
      <c r="BC88"/>
      <c r="BD88" s="1002">
        <v>85</v>
      </c>
      <c r="BE88" s="1003"/>
      <c r="BF88" s="1003"/>
      <c r="BG88" s="1009"/>
      <c r="BH88" s="1003"/>
      <c r="BI88" s="1003">
        <v>3</v>
      </c>
      <c r="BJ88" s="1003">
        <f t="shared" si="23"/>
        <v>8</v>
      </c>
      <c r="BK88" s="1003">
        <f t="shared" si="28"/>
        <v>11</v>
      </c>
      <c r="BL88" s="1004"/>
      <c r="BM88" s="1003">
        <v>0</v>
      </c>
      <c r="BN88" s="1003">
        <f t="shared" si="22"/>
        <v>6</v>
      </c>
      <c r="BO88" s="1005">
        <v>16</v>
      </c>
      <c r="BP88"/>
      <c r="BQ88" s="1002">
        <v>85</v>
      </c>
      <c r="BR88" s="1003"/>
      <c r="BS88" s="1003"/>
      <c r="BT88" s="1009"/>
      <c r="BU88" s="1003"/>
      <c r="BV88" s="1003"/>
      <c r="BW88" s="1003">
        <v>5</v>
      </c>
      <c r="BX88" s="1003">
        <f t="shared" si="31"/>
        <v>5</v>
      </c>
      <c r="BY88" s="1003">
        <f t="shared" si="29"/>
        <v>10</v>
      </c>
      <c r="BZ88" s="1004"/>
      <c r="CA88" s="1003">
        <v>0</v>
      </c>
      <c r="CB88" s="1003">
        <f t="shared" si="32"/>
        <v>4</v>
      </c>
      <c r="CC88" s="1005">
        <v>16</v>
      </c>
      <c r="CD88"/>
      <c r="CE88" s="1002">
        <v>85</v>
      </c>
      <c r="CF88" s="1003"/>
      <c r="CG88" s="1003"/>
      <c r="CH88" s="1009"/>
      <c r="CI88" s="1003"/>
      <c r="CJ88" s="1003"/>
      <c r="CK88" s="1003"/>
      <c r="CL88" s="1003">
        <v>5</v>
      </c>
      <c r="CM88" s="1003">
        <v>4</v>
      </c>
      <c r="CN88" s="1003">
        <f t="shared" si="30"/>
        <v>9</v>
      </c>
      <c r="CO88" s="1004"/>
      <c r="CP88" s="1003">
        <v>0</v>
      </c>
      <c r="CQ88" s="1003">
        <f t="shared" si="34"/>
        <v>2</v>
      </c>
      <c r="CR88" s="1005">
        <v>16</v>
      </c>
    </row>
    <row r="89" spans="1:96" outlineLevel="1" x14ac:dyDescent="0.2">
      <c r="A89"/>
      <c r="B89" s="1002">
        <v>86</v>
      </c>
      <c r="C89" s="1003">
        <v>26</v>
      </c>
      <c r="D89" s="1003">
        <v>2</v>
      </c>
      <c r="E89" s="1003"/>
      <c r="F89" s="1003">
        <f t="shared" si="24"/>
        <v>28</v>
      </c>
      <c r="G89" s="1004"/>
      <c r="H89" s="1003">
        <v>0</v>
      </c>
      <c r="I89" s="1003">
        <v>24</v>
      </c>
      <c r="J89" s="1005">
        <v>32</v>
      </c>
      <c r="K89" s="1"/>
      <c r="L89"/>
      <c r="M89" s="1002">
        <v>86</v>
      </c>
      <c r="N89" s="1003">
        <v>2</v>
      </c>
      <c r="O89" s="1003">
        <v>20</v>
      </c>
      <c r="P89" s="1003"/>
      <c r="Q89" s="1003">
        <f t="shared" si="25"/>
        <v>22</v>
      </c>
      <c r="R89" s="1004"/>
      <c r="S89" s="1003">
        <v>0</v>
      </c>
      <c r="T89" s="1003">
        <v>12</v>
      </c>
      <c r="U89" s="1005">
        <v>32</v>
      </c>
      <c r="V89"/>
      <c r="W89" s="1002">
        <v>86</v>
      </c>
      <c r="X89" s="1003"/>
      <c r="Y89" s="1003">
        <v>4</v>
      </c>
      <c r="Z89" s="1003">
        <f t="shared" si="18"/>
        <v>14</v>
      </c>
      <c r="AA89" s="1003">
        <f t="shared" si="33"/>
        <v>18</v>
      </c>
      <c r="AB89" s="1004"/>
      <c r="AC89" s="1003">
        <v>0</v>
      </c>
      <c r="AD89" s="1003">
        <v>4</v>
      </c>
      <c r="AE89" s="1005">
        <v>32</v>
      </c>
      <c r="AF89"/>
      <c r="AG89" s="1002">
        <v>86</v>
      </c>
      <c r="AH89" s="1003"/>
      <c r="AI89" s="1003"/>
      <c r="AJ89" s="1003">
        <v>4</v>
      </c>
      <c r="AK89" s="1003">
        <f t="shared" si="19"/>
        <v>11</v>
      </c>
      <c r="AL89" s="1003">
        <f t="shared" si="26"/>
        <v>15</v>
      </c>
      <c r="AM89" s="1004"/>
      <c r="AN89" s="1003">
        <v>0</v>
      </c>
      <c r="AO89" s="1003">
        <f>AO88</f>
        <v>14</v>
      </c>
      <c r="AP89" s="1005">
        <v>16</v>
      </c>
      <c r="AQ89"/>
      <c r="AR89" s="1002">
        <v>86</v>
      </c>
      <c r="AS89" s="1003"/>
      <c r="AT89" s="1003"/>
      <c r="AU89" s="1003"/>
      <c r="AV89" s="1003">
        <v>5</v>
      </c>
      <c r="AW89" s="1003">
        <f t="shared" si="21"/>
        <v>8</v>
      </c>
      <c r="AX89" s="1003">
        <f t="shared" si="27"/>
        <v>13</v>
      </c>
      <c r="AY89" s="1004"/>
      <c r="AZ89" s="1003">
        <v>0</v>
      </c>
      <c r="BA89" s="1003">
        <f t="shared" si="11"/>
        <v>10</v>
      </c>
      <c r="BB89" s="1005">
        <v>16</v>
      </c>
      <c r="BC89"/>
      <c r="BD89" s="1002">
        <v>86</v>
      </c>
      <c r="BE89" s="1003"/>
      <c r="BF89" s="1003"/>
      <c r="BG89" s="1003"/>
      <c r="BH89" s="1003"/>
      <c r="BI89" s="1003">
        <v>2</v>
      </c>
      <c r="BJ89" s="1003">
        <f t="shared" si="23"/>
        <v>9</v>
      </c>
      <c r="BK89" s="1003">
        <f t="shared" si="28"/>
        <v>11</v>
      </c>
      <c r="BL89" s="1004"/>
      <c r="BM89" s="1003">
        <v>0</v>
      </c>
      <c r="BN89" s="1003">
        <f t="shared" si="22"/>
        <v>6</v>
      </c>
      <c r="BO89" s="1005">
        <v>16</v>
      </c>
      <c r="BP89"/>
      <c r="BQ89" s="1002">
        <v>86</v>
      </c>
      <c r="BR89" s="1003"/>
      <c r="BS89" s="1003"/>
      <c r="BT89" s="1003"/>
      <c r="BU89" s="1003"/>
      <c r="BV89" s="1003"/>
      <c r="BW89" s="1003">
        <v>4</v>
      </c>
      <c r="BX89" s="1003">
        <f t="shared" si="31"/>
        <v>6</v>
      </c>
      <c r="BY89" s="1003">
        <f t="shared" si="29"/>
        <v>10</v>
      </c>
      <c r="BZ89" s="1004"/>
      <c r="CA89" s="1003">
        <v>0</v>
      </c>
      <c r="CB89" s="1003">
        <f t="shared" si="32"/>
        <v>4</v>
      </c>
      <c r="CC89" s="1005">
        <v>16</v>
      </c>
      <c r="CD89"/>
      <c r="CE89" s="1002">
        <v>86</v>
      </c>
      <c r="CF89" s="1003"/>
      <c r="CG89" s="1003"/>
      <c r="CH89" s="1003"/>
      <c r="CI89" s="1003"/>
      <c r="CJ89" s="1003"/>
      <c r="CK89" s="1003"/>
      <c r="CL89" s="1003">
        <v>4</v>
      </c>
      <c r="CM89" s="1003">
        <v>5</v>
      </c>
      <c r="CN89" s="1003">
        <f t="shared" si="30"/>
        <v>9</v>
      </c>
      <c r="CO89" s="1004"/>
      <c r="CP89" s="1003">
        <v>0</v>
      </c>
      <c r="CQ89" s="1003">
        <f t="shared" si="34"/>
        <v>2</v>
      </c>
      <c r="CR89" s="1005">
        <v>16</v>
      </c>
    </row>
    <row r="90" spans="1:96" outlineLevel="1" x14ac:dyDescent="0.2">
      <c r="A90"/>
      <c r="B90" s="1002">
        <v>87</v>
      </c>
      <c r="C90" s="1003">
        <v>29</v>
      </c>
      <c r="D90" s="1003">
        <v>0</v>
      </c>
      <c r="E90" s="1003"/>
      <c r="F90" s="1003">
        <f t="shared" si="24"/>
        <v>29</v>
      </c>
      <c r="G90" s="1004"/>
      <c r="H90" s="1003">
        <v>0</v>
      </c>
      <c r="I90" s="1003">
        <v>26</v>
      </c>
      <c r="J90" s="1005">
        <v>32</v>
      </c>
      <c r="K90" s="1"/>
      <c r="L90"/>
      <c r="M90" s="1002">
        <v>87</v>
      </c>
      <c r="N90" s="1003">
        <v>1</v>
      </c>
      <c r="O90" s="1003">
        <v>21</v>
      </c>
      <c r="P90" s="1003"/>
      <c r="Q90" s="1003">
        <f t="shared" si="25"/>
        <v>22</v>
      </c>
      <c r="R90" s="1004"/>
      <c r="S90" s="1003">
        <v>0</v>
      </c>
      <c r="T90" s="1003">
        <v>12</v>
      </c>
      <c r="U90" s="1005">
        <v>32</v>
      </c>
      <c r="V90"/>
      <c r="W90" s="1002">
        <v>87</v>
      </c>
      <c r="X90" s="1003"/>
      <c r="Y90" s="1003">
        <v>3</v>
      </c>
      <c r="Z90" s="1003">
        <f t="shared" si="18"/>
        <v>15</v>
      </c>
      <c r="AA90" s="1003">
        <f t="shared" si="33"/>
        <v>18</v>
      </c>
      <c r="AB90" s="1004"/>
      <c r="AC90" s="1003">
        <v>0</v>
      </c>
      <c r="AD90" s="1003">
        <v>4</v>
      </c>
      <c r="AE90" s="1005">
        <v>32</v>
      </c>
      <c r="AF90"/>
      <c r="AG90" s="1002">
        <v>87</v>
      </c>
      <c r="AH90" s="1003"/>
      <c r="AI90" s="1003"/>
      <c r="AJ90" s="1003">
        <v>3</v>
      </c>
      <c r="AK90" s="1003">
        <f t="shared" si="19"/>
        <v>12</v>
      </c>
      <c r="AL90" s="1003">
        <f t="shared" si="26"/>
        <v>15</v>
      </c>
      <c r="AM90" s="1004"/>
      <c r="AN90" s="1003">
        <v>0</v>
      </c>
      <c r="AO90" s="1003">
        <f>AO89</f>
        <v>14</v>
      </c>
      <c r="AP90" s="1005">
        <v>16</v>
      </c>
      <c r="AQ90"/>
      <c r="AR90" s="1002">
        <v>87</v>
      </c>
      <c r="AS90" s="1003"/>
      <c r="AT90" s="1003"/>
      <c r="AU90" s="1003"/>
      <c r="AV90" s="1003">
        <v>4</v>
      </c>
      <c r="AW90" s="1003">
        <f t="shared" si="21"/>
        <v>9</v>
      </c>
      <c r="AX90" s="1003">
        <f t="shared" si="27"/>
        <v>13</v>
      </c>
      <c r="AY90" s="1004"/>
      <c r="AZ90" s="1003">
        <v>0</v>
      </c>
      <c r="BA90" s="1003">
        <f t="shared" si="11"/>
        <v>10</v>
      </c>
      <c r="BB90" s="1005">
        <v>16</v>
      </c>
      <c r="BC90"/>
      <c r="BD90" s="1002">
        <v>87</v>
      </c>
      <c r="BE90" s="1003"/>
      <c r="BF90" s="1003"/>
      <c r="BG90" s="1003"/>
      <c r="BH90" s="1003"/>
      <c r="BI90" s="1003">
        <v>1</v>
      </c>
      <c r="BJ90" s="1003">
        <f t="shared" si="23"/>
        <v>10</v>
      </c>
      <c r="BK90" s="1003">
        <f t="shared" si="28"/>
        <v>11</v>
      </c>
      <c r="BL90" s="1004"/>
      <c r="BM90" s="1003">
        <v>0</v>
      </c>
      <c r="BN90" s="1003">
        <f t="shared" si="22"/>
        <v>6</v>
      </c>
      <c r="BO90" s="1005">
        <v>16</v>
      </c>
      <c r="BP90"/>
      <c r="BQ90" s="1002">
        <v>87</v>
      </c>
      <c r="BR90" s="1003"/>
      <c r="BS90" s="1003"/>
      <c r="BT90" s="1003"/>
      <c r="BU90" s="1003"/>
      <c r="BV90" s="1003"/>
      <c r="BW90" s="1003">
        <v>3</v>
      </c>
      <c r="BX90" s="1003">
        <f t="shared" si="31"/>
        <v>7</v>
      </c>
      <c r="BY90" s="1003">
        <f t="shared" si="29"/>
        <v>10</v>
      </c>
      <c r="BZ90" s="1004"/>
      <c r="CA90" s="1003">
        <v>0</v>
      </c>
      <c r="CB90" s="1003">
        <f t="shared" si="32"/>
        <v>4</v>
      </c>
      <c r="CC90" s="1005">
        <v>16</v>
      </c>
      <c r="CD90"/>
      <c r="CE90" s="1002">
        <v>87</v>
      </c>
      <c r="CF90" s="1003"/>
      <c r="CG90" s="1003"/>
      <c r="CH90" s="1003"/>
      <c r="CI90" s="1003"/>
      <c r="CJ90" s="1003"/>
      <c r="CK90" s="1003"/>
      <c r="CL90" s="1003">
        <v>3</v>
      </c>
      <c r="CM90" s="1003">
        <v>6</v>
      </c>
      <c r="CN90" s="1003">
        <f t="shared" si="30"/>
        <v>9</v>
      </c>
      <c r="CO90" s="1004"/>
      <c r="CP90" s="1003">
        <v>0</v>
      </c>
      <c r="CQ90" s="1003">
        <f t="shared" si="34"/>
        <v>2</v>
      </c>
      <c r="CR90" s="1005">
        <v>16</v>
      </c>
    </row>
    <row r="91" spans="1:96" outlineLevel="1" x14ac:dyDescent="0.2">
      <c r="A91"/>
      <c r="B91" s="1002">
        <v>88</v>
      </c>
      <c r="C91" s="1003">
        <v>28</v>
      </c>
      <c r="D91" s="1003">
        <v>1</v>
      </c>
      <c r="E91" s="1003"/>
      <c r="F91" s="1003">
        <f t="shared" si="24"/>
        <v>29</v>
      </c>
      <c r="G91" s="1004"/>
      <c r="H91" s="1003">
        <v>0</v>
      </c>
      <c r="I91" s="1003">
        <v>26</v>
      </c>
      <c r="J91" s="1005">
        <v>32</v>
      </c>
      <c r="K91" s="1"/>
      <c r="L91"/>
      <c r="M91" s="1002">
        <v>88</v>
      </c>
      <c r="N91" s="1003">
        <v>0</v>
      </c>
      <c r="O91" s="1003">
        <v>22</v>
      </c>
      <c r="P91" s="1003"/>
      <c r="Q91" s="1003">
        <f t="shared" si="25"/>
        <v>22</v>
      </c>
      <c r="R91" s="1004"/>
      <c r="S91" s="1003">
        <v>0</v>
      </c>
      <c r="T91" s="1003">
        <v>12</v>
      </c>
      <c r="U91" s="1005">
        <v>32</v>
      </c>
      <c r="V91"/>
      <c r="W91" s="1002">
        <v>88</v>
      </c>
      <c r="X91" s="1003"/>
      <c r="Y91" s="1003">
        <v>2</v>
      </c>
      <c r="Z91" s="1003">
        <f t="shared" si="18"/>
        <v>16</v>
      </c>
      <c r="AA91" s="1003">
        <f t="shared" si="33"/>
        <v>18</v>
      </c>
      <c r="AB91" s="1004"/>
      <c r="AC91" s="1003">
        <v>0</v>
      </c>
      <c r="AD91" s="1003">
        <v>4</v>
      </c>
      <c r="AE91" s="1005">
        <v>32</v>
      </c>
      <c r="AF91"/>
      <c r="AG91" s="1002">
        <v>88</v>
      </c>
      <c r="AH91" s="1003"/>
      <c r="AI91" s="1003"/>
      <c r="AJ91" s="1003">
        <v>2</v>
      </c>
      <c r="AK91" s="1003">
        <f t="shared" si="19"/>
        <v>13</v>
      </c>
      <c r="AL91" s="1003">
        <f t="shared" si="26"/>
        <v>15</v>
      </c>
      <c r="AM91" s="1004"/>
      <c r="AN91" s="1003">
        <v>0</v>
      </c>
      <c r="AO91" s="1003">
        <f>AO90</f>
        <v>14</v>
      </c>
      <c r="AP91" s="1005">
        <v>16</v>
      </c>
      <c r="AQ91"/>
      <c r="AR91" s="1002">
        <v>88</v>
      </c>
      <c r="AS91" s="1003"/>
      <c r="AT91" s="1003"/>
      <c r="AU91" s="1003"/>
      <c r="AV91" s="1003">
        <v>3</v>
      </c>
      <c r="AW91" s="1003">
        <f t="shared" si="21"/>
        <v>10</v>
      </c>
      <c r="AX91" s="1003">
        <f t="shared" si="27"/>
        <v>13</v>
      </c>
      <c r="AY91" s="1004"/>
      <c r="AZ91" s="1003">
        <v>0</v>
      </c>
      <c r="BA91" s="1003">
        <f t="shared" si="11"/>
        <v>10</v>
      </c>
      <c r="BB91" s="1005">
        <v>16</v>
      </c>
      <c r="BC91"/>
      <c r="BD91" s="1002">
        <v>88</v>
      </c>
      <c r="BE91" s="1003"/>
      <c r="BF91" s="1003"/>
      <c r="BG91" s="1003"/>
      <c r="BH91" s="1003"/>
      <c r="BI91" s="1003"/>
      <c r="BJ91" s="1003">
        <f t="shared" si="23"/>
        <v>11</v>
      </c>
      <c r="BK91" s="1003">
        <f t="shared" si="28"/>
        <v>11</v>
      </c>
      <c r="BL91" s="1004"/>
      <c r="BM91" s="1003">
        <v>0</v>
      </c>
      <c r="BN91" s="1003">
        <f t="shared" si="22"/>
        <v>6</v>
      </c>
      <c r="BO91" s="1005">
        <v>16</v>
      </c>
      <c r="BP91"/>
      <c r="BQ91" s="1002">
        <v>88</v>
      </c>
      <c r="BR91" s="1003"/>
      <c r="BS91" s="1003"/>
      <c r="BT91" s="1003"/>
      <c r="BU91" s="1003"/>
      <c r="BV91" s="1003"/>
      <c r="BW91" s="1003">
        <v>2</v>
      </c>
      <c r="BX91" s="1003">
        <f t="shared" si="31"/>
        <v>8</v>
      </c>
      <c r="BY91" s="1003">
        <f t="shared" si="29"/>
        <v>10</v>
      </c>
      <c r="BZ91" s="1004"/>
      <c r="CA91" s="1003">
        <v>0</v>
      </c>
      <c r="CB91" s="1003">
        <f t="shared" si="32"/>
        <v>4</v>
      </c>
      <c r="CC91" s="1005">
        <v>16</v>
      </c>
      <c r="CD91"/>
      <c r="CE91" s="1002">
        <v>88</v>
      </c>
      <c r="CF91" s="1003"/>
      <c r="CG91" s="1003"/>
      <c r="CH91" s="1003"/>
      <c r="CI91" s="1003"/>
      <c r="CJ91" s="1003"/>
      <c r="CK91" s="1003"/>
      <c r="CL91" s="1003">
        <v>2</v>
      </c>
      <c r="CM91" s="1003">
        <v>7</v>
      </c>
      <c r="CN91" s="1003">
        <f t="shared" si="30"/>
        <v>9</v>
      </c>
      <c r="CO91" s="1004"/>
      <c r="CP91" s="1003">
        <v>0</v>
      </c>
      <c r="CQ91" s="1003">
        <f t="shared" si="34"/>
        <v>2</v>
      </c>
      <c r="CR91" s="1005">
        <v>16</v>
      </c>
    </row>
    <row r="92" spans="1:96" outlineLevel="1" x14ac:dyDescent="0.2">
      <c r="A92"/>
      <c r="B92" s="1002">
        <v>89</v>
      </c>
      <c r="C92" s="1003">
        <v>27</v>
      </c>
      <c r="D92" s="1003">
        <v>2</v>
      </c>
      <c r="E92" s="1003"/>
      <c r="F92" s="1003">
        <f t="shared" si="24"/>
        <v>29</v>
      </c>
      <c r="G92" s="1004"/>
      <c r="H92" s="1003">
        <v>0</v>
      </c>
      <c r="I92" s="1003">
        <v>26</v>
      </c>
      <c r="J92" s="1005">
        <v>32</v>
      </c>
      <c r="K92" s="1"/>
      <c r="L92"/>
      <c r="M92" s="1002">
        <v>89</v>
      </c>
      <c r="N92" s="1003">
        <v>3</v>
      </c>
      <c r="O92" s="1003">
        <v>20</v>
      </c>
      <c r="P92" s="1003"/>
      <c r="Q92" s="1003">
        <f t="shared" si="25"/>
        <v>23</v>
      </c>
      <c r="R92" s="1004"/>
      <c r="S92" s="1003">
        <v>0</v>
      </c>
      <c r="T92" s="1003">
        <v>14</v>
      </c>
      <c r="U92" s="1005">
        <v>32</v>
      </c>
      <c r="V92"/>
      <c r="W92" s="1002">
        <v>89</v>
      </c>
      <c r="X92" s="1003"/>
      <c r="Y92" s="1003">
        <v>1</v>
      </c>
      <c r="Z92" s="1003">
        <f t="shared" si="18"/>
        <v>17</v>
      </c>
      <c r="AA92" s="1003">
        <f t="shared" si="33"/>
        <v>18</v>
      </c>
      <c r="AB92" s="1004"/>
      <c r="AC92" s="1003">
        <v>0</v>
      </c>
      <c r="AD92" s="1003">
        <v>4</v>
      </c>
      <c r="AE92" s="1005">
        <v>32</v>
      </c>
      <c r="AF92"/>
      <c r="AG92" s="1002">
        <v>89</v>
      </c>
      <c r="AH92" s="1003"/>
      <c r="AI92" s="1003"/>
      <c r="AJ92" s="1003">
        <v>1</v>
      </c>
      <c r="AK92" s="1003">
        <f t="shared" si="19"/>
        <v>14</v>
      </c>
      <c r="AL92" s="1003">
        <f t="shared" si="26"/>
        <v>15</v>
      </c>
      <c r="AM92" s="1004"/>
      <c r="AN92" s="1003">
        <v>0</v>
      </c>
      <c r="AO92" s="1003">
        <f>AO91</f>
        <v>14</v>
      </c>
      <c r="AP92" s="1005">
        <v>16</v>
      </c>
      <c r="AQ92"/>
      <c r="AR92" s="1002">
        <v>89</v>
      </c>
      <c r="AS92" s="1003"/>
      <c r="AT92" s="1003"/>
      <c r="AU92" s="1003"/>
      <c r="AV92" s="1003">
        <v>2</v>
      </c>
      <c r="AW92" s="1003">
        <f t="shared" si="21"/>
        <v>11</v>
      </c>
      <c r="AX92" s="1003">
        <f t="shared" si="27"/>
        <v>13</v>
      </c>
      <c r="AY92" s="1004"/>
      <c r="AZ92" s="1003">
        <v>0</v>
      </c>
      <c r="BA92" s="1003">
        <f t="shared" si="11"/>
        <v>10</v>
      </c>
      <c r="BB92" s="1005">
        <v>16</v>
      </c>
      <c r="BC92"/>
      <c r="BD92" s="1002">
        <v>89</v>
      </c>
      <c r="BE92" s="1003"/>
      <c r="BF92" s="1003"/>
      <c r="BG92" s="1003"/>
      <c r="BH92" s="1003"/>
      <c r="BI92" s="1003">
        <v>7</v>
      </c>
      <c r="BJ92" s="1003">
        <f t="shared" si="23"/>
        <v>5</v>
      </c>
      <c r="BK92" s="1003">
        <f t="shared" si="28"/>
        <v>12</v>
      </c>
      <c r="BL92" s="1004"/>
      <c r="BM92" s="1003">
        <v>0</v>
      </c>
      <c r="BN92" s="1003">
        <f t="shared" si="22"/>
        <v>8</v>
      </c>
      <c r="BO92" s="1005">
        <v>16</v>
      </c>
      <c r="BP92"/>
      <c r="BQ92" s="1002">
        <v>89</v>
      </c>
      <c r="BR92" s="1003"/>
      <c r="BS92" s="1003"/>
      <c r="BT92" s="1003"/>
      <c r="BU92" s="1003"/>
      <c r="BV92" s="1003"/>
      <c r="BW92" s="1003">
        <v>1</v>
      </c>
      <c r="BX92" s="1003">
        <f t="shared" si="31"/>
        <v>9</v>
      </c>
      <c r="BY92" s="1003">
        <f t="shared" si="29"/>
        <v>10</v>
      </c>
      <c r="BZ92" s="1004"/>
      <c r="CA92" s="1003">
        <v>0</v>
      </c>
      <c r="CB92" s="1003">
        <f t="shared" si="32"/>
        <v>4</v>
      </c>
      <c r="CC92" s="1005">
        <v>16</v>
      </c>
      <c r="CD92"/>
      <c r="CE92" s="1002">
        <v>89</v>
      </c>
      <c r="CF92" s="1003"/>
      <c r="CG92" s="1003"/>
      <c r="CH92" s="1003"/>
      <c r="CI92" s="1003"/>
      <c r="CJ92" s="1003"/>
      <c r="CK92" s="1003"/>
      <c r="CL92" s="1003">
        <v>1</v>
      </c>
      <c r="CM92" s="1003">
        <v>8</v>
      </c>
      <c r="CN92" s="1003">
        <f t="shared" si="30"/>
        <v>9</v>
      </c>
      <c r="CO92" s="1004"/>
      <c r="CP92" s="1003">
        <v>0</v>
      </c>
      <c r="CQ92" s="1003">
        <f t="shared" si="34"/>
        <v>2</v>
      </c>
      <c r="CR92" s="1005">
        <v>16</v>
      </c>
    </row>
    <row r="93" spans="1:96" outlineLevel="1" x14ac:dyDescent="0.2">
      <c r="A93"/>
      <c r="B93" s="1002">
        <v>90</v>
      </c>
      <c r="C93" s="1003">
        <v>30</v>
      </c>
      <c r="D93" s="1003">
        <v>0</v>
      </c>
      <c r="E93" s="1003"/>
      <c r="F93" s="1003">
        <f t="shared" si="24"/>
        <v>30</v>
      </c>
      <c r="G93" s="1004"/>
      <c r="H93" s="1003">
        <v>0</v>
      </c>
      <c r="I93" s="1003">
        <v>28</v>
      </c>
      <c r="J93" s="1005">
        <v>32</v>
      </c>
      <c r="K93" s="1"/>
      <c r="L93"/>
      <c r="M93" s="1002">
        <v>90</v>
      </c>
      <c r="N93" s="1003">
        <v>2</v>
      </c>
      <c r="O93" s="1003">
        <v>21</v>
      </c>
      <c r="P93" s="1003"/>
      <c r="Q93" s="1003">
        <f t="shared" si="25"/>
        <v>23</v>
      </c>
      <c r="R93" s="1004"/>
      <c r="S93" s="1003">
        <v>0</v>
      </c>
      <c r="T93" s="1003">
        <v>14</v>
      </c>
      <c r="U93" s="1005">
        <v>32</v>
      </c>
      <c r="V93"/>
      <c r="W93" s="1002">
        <v>90</v>
      </c>
      <c r="X93" s="1003"/>
      <c r="Y93" s="1003"/>
      <c r="Z93" s="1003">
        <f t="shared" si="18"/>
        <v>18</v>
      </c>
      <c r="AA93" s="1003">
        <f t="shared" si="33"/>
        <v>18</v>
      </c>
      <c r="AB93" s="1004"/>
      <c r="AC93" s="1003">
        <v>0</v>
      </c>
      <c r="AD93" s="1003">
        <v>4</v>
      </c>
      <c r="AE93" s="1005">
        <v>32</v>
      </c>
      <c r="AF93"/>
      <c r="AG93" s="1002">
        <v>90</v>
      </c>
      <c r="AH93" s="1003"/>
      <c r="AI93" s="1003"/>
      <c r="AJ93" s="1003"/>
      <c r="AK93" s="1003">
        <f t="shared" si="19"/>
        <v>15</v>
      </c>
      <c r="AL93" s="1003">
        <f t="shared" si="26"/>
        <v>15</v>
      </c>
      <c r="AM93" s="1004"/>
      <c r="AN93" s="1003">
        <v>0</v>
      </c>
      <c r="AO93" s="1003">
        <f>AO92</f>
        <v>14</v>
      </c>
      <c r="AP93" s="1005">
        <v>16</v>
      </c>
      <c r="AQ93"/>
      <c r="AR93" s="1002">
        <v>90</v>
      </c>
      <c r="AS93" s="1003"/>
      <c r="AT93" s="1003"/>
      <c r="AU93" s="1003"/>
      <c r="AV93" s="1003">
        <v>1</v>
      </c>
      <c r="AW93" s="1003">
        <f t="shared" si="21"/>
        <v>12</v>
      </c>
      <c r="AX93" s="1003">
        <f t="shared" si="27"/>
        <v>13</v>
      </c>
      <c r="AY93" s="1004"/>
      <c r="AZ93" s="1003">
        <v>0</v>
      </c>
      <c r="BA93" s="1003">
        <f t="shared" si="11"/>
        <v>10</v>
      </c>
      <c r="BB93" s="1005">
        <v>16</v>
      </c>
      <c r="BC93"/>
      <c r="BD93" s="1002">
        <v>90</v>
      </c>
      <c r="BE93" s="1003"/>
      <c r="BF93" s="1003"/>
      <c r="BG93" s="1003"/>
      <c r="BH93" s="1003"/>
      <c r="BI93" s="1003">
        <v>6</v>
      </c>
      <c r="BJ93" s="1003">
        <f t="shared" si="23"/>
        <v>6</v>
      </c>
      <c r="BK93" s="1003">
        <f t="shared" si="28"/>
        <v>12</v>
      </c>
      <c r="BL93" s="1004"/>
      <c r="BM93" s="1003">
        <v>0</v>
      </c>
      <c r="BN93" s="1003">
        <f t="shared" si="22"/>
        <v>8</v>
      </c>
      <c r="BO93" s="1005">
        <v>16</v>
      </c>
      <c r="BP93"/>
      <c r="BQ93" s="1002">
        <v>90</v>
      </c>
      <c r="BR93" s="1003"/>
      <c r="BS93" s="1003"/>
      <c r="BT93" s="1003"/>
      <c r="BU93" s="1003"/>
      <c r="BV93" s="1003"/>
      <c r="BW93" s="1003"/>
      <c r="BX93" s="1003">
        <f t="shared" si="31"/>
        <v>10</v>
      </c>
      <c r="BY93" s="1003">
        <f t="shared" si="29"/>
        <v>10</v>
      </c>
      <c r="BZ93" s="1004"/>
      <c r="CA93" s="1003">
        <v>0</v>
      </c>
      <c r="CB93" s="1003">
        <f t="shared" si="32"/>
        <v>4</v>
      </c>
      <c r="CC93" s="1005">
        <v>16</v>
      </c>
      <c r="CD93"/>
      <c r="CE93" s="1002">
        <v>90</v>
      </c>
      <c r="CF93" s="1003"/>
      <c r="CG93" s="1003"/>
      <c r="CH93" s="1003"/>
      <c r="CI93" s="1003"/>
      <c r="CJ93" s="1003"/>
      <c r="CK93" s="1003"/>
      <c r="CL93" s="1003"/>
      <c r="CM93" s="1003">
        <v>9</v>
      </c>
      <c r="CN93" s="1003">
        <f t="shared" si="30"/>
        <v>9</v>
      </c>
      <c r="CO93" s="1004"/>
      <c r="CP93" s="1003">
        <v>0</v>
      </c>
      <c r="CQ93" s="1003">
        <f t="shared" si="34"/>
        <v>2</v>
      </c>
      <c r="CR93" s="1005">
        <v>16</v>
      </c>
    </row>
    <row r="94" spans="1:96" outlineLevel="1" x14ac:dyDescent="0.2">
      <c r="A94"/>
      <c r="B94" s="1002">
        <v>91</v>
      </c>
      <c r="C94" s="1003">
        <v>29</v>
      </c>
      <c r="D94" s="1003">
        <v>1</v>
      </c>
      <c r="E94" s="1003"/>
      <c r="F94" s="1003">
        <f t="shared" si="24"/>
        <v>30</v>
      </c>
      <c r="G94" s="1004"/>
      <c r="H94" s="1003">
        <v>0</v>
      </c>
      <c r="I94" s="1003">
        <v>28</v>
      </c>
      <c r="J94" s="1005">
        <v>32</v>
      </c>
      <c r="K94" s="1"/>
      <c r="L94"/>
      <c r="M94" s="1002">
        <v>91</v>
      </c>
      <c r="N94" s="1003">
        <v>1</v>
      </c>
      <c r="O94" s="1003">
        <v>22</v>
      </c>
      <c r="P94" s="1003"/>
      <c r="Q94" s="1003">
        <f t="shared" si="25"/>
        <v>23</v>
      </c>
      <c r="R94" s="1004"/>
      <c r="S94" s="1003">
        <v>0</v>
      </c>
      <c r="T94" s="1003">
        <v>14</v>
      </c>
      <c r="U94" s="1005">
        <v>32</v>
      </c>
      <c r="V94"/>
      <c r="W94" s="1002">
        <v>91</v>
      </c>
      <c r="X94" s="1003"/>
      <c r="Y94" s="1003">
        <v>4</v>
      </c>
      <c r="Z94" s="1003">
        <f t="shared" si="18"/>
        <v>15</v>
      </c>
      <c r="AA94" s="1003">
        <f t="shared" si="33"/>
        <v>19</v>
      </c>
      <c r="AB94" s="1004"/>
      <c r="AC94" s="1003">
        <v>0</v>
      </c>
      <c r="AD94" s="1003">
        <v>6</v>
      </c>
      <c r="AE94" s="1005">
        <v>32</v>
      </c>
      <c r="AF94"/>
      <c r="AG94" s="1002">
        <v>91</v>
      </c>
      <c r="AH94" s="1003"/>
      <c r="AI94" s="1003"/>
      <c r="AJ94" s="1009">
        <v>5</v>
      </c>
      <c r="AK94" s="1003">
        <f t="shared" si="19"/>
        <v>11</v>
      </c>
      <c r="AL94" s="1003">
        <f t="shared" si="26"/>
        <v>16</v>
      </c>
      <c r="AM94" s="1004"/>
      <c r="AN94" s="1003">
        <v>0</v>
      </c>
      <c r="AO94" s="1003">
        <v>0</v>
      </c>
      <c r="AP94" s="1005">
        <v>32</v>
      </c>
      <c r="AQ94"/>
      <c r="AR94" s="1002">
        <v>91</v>
      </c>
      <c r="AS94" s="1003"/>
      <c r="AT94" s="1003"/>
      <c r="AU94" s="1009"/>
      <c r="AV94" s="1003"/>
      <c r="AW94" s="1003">
        <f t="shared" si="21"/>
        <v>13</v>
      </c>
      <c r="AX94" s="1003">
        <f t="shared" si="27"/>
        <v>13</v>
      </c>
      <c r="AY94" s="1004"/>
      <c r="AZ94" s="1003">
        <v>0</v>
      </c>
      <c r="BA94" s="1003">
        <f t="shared" si="11"/>
        <v>10</v>
      </c>
      <c r="BB94" s="1005">
        <v>16</v>
      </c>
      <c r="BC94"/>
      <c r="BD94" s="1002">
        <v>91</v>
      </c>
      <c r="BE94" s="1003"/>
      <c r="BF94" s="1003"/>
      <c r="BG94" s="1009"/>
      <c r="BH94" s="1003"/>
      <c r="BI94" s="1003">
        <v>5</v>
      </c>
      <c r="BJ94" s="1003">
        <f t="shared" si="23"/>
        <v>7</v>
      </c>
      <c r="BK94" s="1003">
        <f t="shared" si="28"/>
        <v>12</v>
      </c>
      <c r="BL94" s="1004"/>
      <c r="BM94" s="1003">
        <v>0</v>
      </c>
      <c r="BN94" s="1003">
        <f t="shared" si="22"/>
        <v>8</v>
      </c>
      <c r="BO94" s="1005">
        <v>16</v>
      </c>
      <c r="BP94"/>
      <c r="BQ94" s="1002">
        <v>91</v>
      </c>
      <c r="BR94" s="1003"/>
      <c r="BS94" s="1003"/>
      <c r="BT94" s="1009"/>
      <c r="BU94" s="1003"/>
      <c r="BV94" s="1003"/>
      <c r="BW94" s="1003">
        <v>8</v>
      </c>
      <c r="BX94" s="1003">
        <f t="shared" si="31"/>
        <v>3</v>
      </c>
      <c r="BY94" s="1003">
        <f t="shared" si="29"/>
        <v>11</v>
      </c>
      <c r="BZ94" s="1004"/>
      <c r="CA94" s="1003">
        <v>0</v>
      </c>
      <c r="CB94" s="1003">
        <f t="shared" si="32"/>
        <v>6</v>
      </c>
      <c r="CC94" s="1005">
        <v>16</v>
      </c>
      <c r="CD94"/>
      <c r="CE94" s="1002">
        <v>91</v>
      </c>
      <c r="CF94" s="1003"/>
      <c r="CG94" s="1003"/>
      <c r="CH94" s="1009"/>
      <c r="CI94" s="1003"/>
      <c r="CJ94" s="1003"/>
      <c r="CK94" s="1003"/>
      <c r="CL94" s="1003">
        <f>CL85+1</f>
        <v>9</v>
      </c>
      <c r="CM94" s="1003">
        <f>CM84+1</f>
        <v>1</v>
      </c>
      <c r="CN94" s="1003">
        <f t="shared" si="30"/>
        <v>10</v>
      </c>
      <c r="CO94" s="1004"/>
      <c r="CP94" s="1003">
        <v>0</v>
      </c>
      <c r="CQ94" s="1003">
        <f t="shared" si="34"/>
        <v>4</v>
      </c>
      <c r="CR94" s="1005">
        <v>16</v>
      </c>
    </row>
    <row r="95" spans="1:96" outlineLevel="1" x14ac:dyDescent="0.2">
      <c r="A95"/>
      <c r="B95" s="1002">
        <v>92</v>
      </c>
      <c r="C95" s="1003">
        <v>28</v>
      </c>
      <c r="D95" s="1003">
        <v>2</v>
      </c>
      <c r="E95" s="1003"/>
      <c r="F95" s="1003">
        <f t="shared" si="24"/>
        <v>30</v>
      </c>
      <c r="G95" s="1004"/>
      <c r="H95" s="1003">
        <v>0</v>
      </c>
      <c r="I95" s="1003">
        <v>28</v>
      </c>
      <c r="J95" s="1005">
        <v>32</v>
      </c>
      <c r="K95" s="1"/>
      <c r="L95"/>
      <c r="M95" s="1002">
        <v>92</v>
      </c>
      <c r="N95" s="1003">
        <v>0</v>
      </c>
      <c r="O95" s="1003">
        <v>23</v>
      </c>
      <c r="P95" s="1003"/>
      <c r="Q95" s="1003">
        <f t="shared" si="25"/>
        <v>23</v>
      </c>
      <c r="R95" s="1004"/>
      <c r="S95" s="1003">
        <v>0</v>
      </c>
      <c r="T95" s="1003">
        <v>14</v>
      </c>
      <c r="U95" s="1005">
        <v>32</v>
      </c>
      <c r="V95"/>
      <c r="W95" s="1002">
        <v>92</v>
      </c>
      <c r="X95" s="1003"/>
      <c r="Y95" s="1003">
        <v>3</v>
      </c>
      <c r="Z95" s="1003">
        <f t="shared" si="18"/>
        <v>16</v>
      </c>
      <c r="AA95" s="1003">
        <f t="shared" si="33"/>
        <v>19</v>
      </c>
      <c r="AB95" s="1004"/>
      <c r="AC95" s="1003">
        <v>0</v>
      </c>
      <c r="AD95" s="1003">
        <v>6</v>
      </c>
      <c r="AE95" s="1005">
        <v>32</v>
      </c>
      <c r="AF95"/>
      <c r="AG95" s="1002">
        <v>92</v>
      </c>
      <c r="AH95" s="1003"/>
      <c r="AI95" s="1003"/>
      <c r="AJ95" s="1003">
        <v>4</v>
      </c>
      <c r="AK95" s="1003">
        <f t="shared" si="19"/>
        <v>12</v>
      </c>
      <c r="AL95" s="1003">
        <f t="shared" si="26"/>
        <v>16</v>
      </c>
      <c r="AM95" s="1004"/>
      <c r="AN95" s="1003">
        <v>0</v>
      </c>
      <c r="AO95" s="1003">
        <f>AO94</f>
        <v>0</v>
      </c>
      <c r="AP95" s="1005">
        <v>32</v>
      </c>
      <c r="AQ95"/>
      <c r="AR95" s="1002">
        <v>92</v>
      </c>
      <c r="AS95" s="1003"/>
      <c r="AT95" s="1003"/>
      <c r="AU95" s="1003"/>
      <c r="AV95" s="1003">
        <v>6</v>
      </c>
      <c r="AW95" s="1003">
        <f t="shared" si="21"/>
        <v>8</v>
      </c>
      <c r="AX95" s="1003">
        <f t="shared" si="27"/>
        <v>14</v>
      </c>
      <c r="AY95" s="1004"/>
      <c r="AZ95" s="1003">
        <v>0</v>
      </c>
      <c r="BA95" s="1003">
        <f t="shared" si="11"/>
        <v>12</v>
      </c>
      <c r="BB95" s="1005">
        <v>16</v>
      </c>
      <c r="BC95"/>
      <c r="BD95" s="1002">
        <v>92</v>
      </c>
      <c r="BE95" s="1003"/>
      <c r="BF95" s="1003"/>
      <c r="BG95" s="1003"/>
      <c r="BH95" s="1003"/>
      <c r="BI95" s="1003">
        <v>4</v>
      </c>
      <c r="BJ95" s="1003">
        <f t="shared" si="23"/>
        <v>8</v>
      </c>
      <c r="BK95" s="1003">
        <f t="shared" si="28"/>
        <v>12</v>
      </c>
      <c r="BL95" s="1004"/>
      <c r="BM95" s="1003">
        <v>0</v>
      </c>
      <c r="BN95" s="1003">
        <f t="shared" si="22"/>
        <v>8</v>
      </c>
      <c r="BO95" s="1005">
        <v>16</v>
      </c>
      <c r="BP95"/>
      <c r="BQ95" s="1002">
        <v>92</v>
      </c>
      <c r="BR95" s="1003"/>
      <c r="BS95" s="1003"/>
      <c r="BT95" s="1003"/>
      <c r="BU95" s="1003"/>
      <c r="BV95" s="1003"/>
      <c r="BW95" s="1003">
        <v>7</v>
      </c>
      <c r="BX95" s="1003">
        <f t="shared" si="31"/>
        <v>4</v>
      </c>
      <c r="BY95" s="1003">
        <f t="shared" si="29"/>
        <v>11</v>
      </c>
      <c r="BZ95" s="1004"/>
      <c r="CA95" s="1003">
        <v>0</v>
      </c>
      <c r="CB95" s="1003">
        <f t="shared" si="32"/>
        <v>6</v>
      </c>
      <c r="CC95" s="1005">
        <v>16</v>
      </c>
      <c r="CD95"/>
      <c r="CE95" s="1002">
        <v>92</v>
      </c>
      <c r="CF95" s="1003"/>
      <c r="CG95" s="1003"/>
      <c r="CH95" s="1003"/>
      <c r="CI95" s="1003"/>
      <c r="CJ95" s="1003"/>
      <c r="CK95" s="1003"/>
      <c r="CL95" s="1003">
        <v>8</v>
      </c>
      <c r="CM95" s="1003">
        <f t="shared" ref="CM95:CM131" si="35">CM85+1</f>
        <v>2</v>
      </c>
      <c r="CN95" s="1003">
        <f t="shared" si="30"/>
        <v>10</v>
      </c>
      <c r="CO95" s="1004"/>
      <c r="CP95" s="1003">
        <v>0</v>
      </c>
      <c r="CQ95" s="1003">
        <f t="shared" si="34"/>
        <v>4</v>
      </c>
      <c r="CR95" s="1005">
        <v>16</v>
      </c>
    </row>
    <row r="96" spans="1:96" outlineLevel="1" x14ac:dyDescent="0.2">
      <c r="A96"/>
      <c r="B96" s="1002">
        <v>93</v>
      </c>
      <c r="C96" s="1003">
        <v>31</v>
      </c>
      <c r="D96" s="1003">
        <v>0</v>
      </c>
      <c r="E96" s="1003"/>
      <c r="F96" s="1003">
        <f t="shared" si="24"/>
        <v>31</v>
      </c>
      <c r="G96" s="1004"/>
      <c r="H96" s="1003">
        <v>0</v>
      </c>
      <c r="I96" s="1003">
        <v>30</v>
      </c>
      <c r="J96" s="1005">
        <v>32</v>
      </c>
      <c r="K96" s="1"/>
      <c r="L96"/>
      <c r="M96" s="1002">
        <v>93</v>
      </c>
      <c r="N96" s="1003">
        <v>3</v>
      </c>
      <c r="O96" s="1003">
        <v>21</v>
      </c>
      <c r="P96" s="1003"/>
      <c r="Q96" s="1003">
        <f t="shared" si="25"/>
        <v>24</v>
      </c>
      <c r="R96" s="1004"/>
      <c r="S96" s="1003">
        <v>0</v>
      </c>
      <c r="T96" s="1003">
        <v>16</v>
      </c>
      <c r="U96" s="1005">
        <v>32</v>
      </c>
      <c r="V96"/>
      <c r="W96" s="1002">
        <v>93</v>
      </c>
      <c r="X96" s="1003"/>
      <c r="Y96" s="1003">
        <v>2</v>
      </c>
      <c r="Z96" s="1003">
        <f t="shared" si="18"/>
        <v>17</v>
      </c>
      <c r="AA96" s="1003">
        <f t="shared" si="33"/>
        <v>19</v>
      </c>
      <c r="AB96" s="1004"/>
      <c r="AC96" s="1003">
        <v>0</v>
      </c>
      <c r="AD96" s="1003">
        <v>6</v>
      </c>
      <c r="AE96" s="1005">
        <v>32</v>
      </c>
      <c r="AF96"/>
      <c r="AG96" s="1002">
        <v>93</v>
      </c>
      <c r="AH96" s="1003"/>
      <c r="AI96" s="1003"/>
      <c r="AJ96" s="1003">
        <v>3</v>
      </c>
      <c r="AK96" s="1003">
        <f t="shared" si="19"/>
        <v>13</v>
      </c>
      <c r="AL96" s="1003">
        <f t="shared" si="26"/>
        <v>16</v>
      </c>
      <c r="AM96" s="1004"/>
      <c r="AN96" s="1003">
        <v>0</v>
      </c>
      <c r="AO96" s="1003">
        <f>AO95</f>
        <v>0</v>
      </c>
      <c r="AP96" s="1005">
        <v>32</v>
      </c>
      <c r="AQ96"/>
      <c r="AR96" s="1002">
        <v>93</v>
      </c>
      <c r="AS96" s="1003"/>
      <c r="AT96" s="1003"/>
      <c r="AU96" s="1003"/>
      <c r="AV96" s="1003">
        <v>5</v>
      </c>
      <c r="AW96" s="1003">
        <f t="shared" si="21"/>
        <v>9</v>
      </c>
      <c r="AX96" s="1003">
        <f t="shared" si="27"/>
        <v>14</v>
      </c>
      <c r="AY96" s="1004"/>
      <c r="AZ96" s="1003">
        <v>0</v>
      </c>
      <c r="BA96" s="1003">
        <f t="shared" si="11"/>
        <v>12</v>
      </c>
      <c r="BB96" s="1005">
        <v>16</v>
      </c>
      <c r="BC96"/>
      <c r="BD96" s="1002">
        <v>93</v>
      </c>
      <c r="BE96" s="1003"/>
      <c r="BF96" s="1003"/>
      <c r="BG96" s="1003"/>
      <c r="BH96" s="1003"/>
      <c r="BI96" s="1003">
        <v>3</v>
      </c>
      <c r="BJ96" s="1003">
        <f t="shared" si="23"/>
        <v>9</v>
      </c>
      <c r="BK96" s="1003">
        <f t="shared" si="28"/>
        <v>12</v>
      </c>
      <c r="BL96" s="1004"/>
      <c r="BM96" s="1003">
        <v>0</v>
      </c>
      <c r="BN96" s="1003">
        <f t="shared" si="22"/>
        <v>8</v>
      </c>
      <c r="BO96" s="1005">
        <v>16</v>
      </c>
      <c r="BP96"/>
      <c r="BQ96" s="1002">
        <v>93</v>
      </c>
      <c r="BR96" s="1003"/>
      <c r="BS96" s="1003"/>
      <c r="BT96" s="1003"/>
      <c r="BU96" s="1003"/>
      <c r="BV96" s="1003"/>
      <c r="BW96" s="1003">
        <v>6</v>
      </c>
      <c r="BX96" s="1003">
        <f t="shared" si="31"/>
        <v>5</v>
      </c>
      <c r="BY96" s="1003">
        <f t="shared" si="29"/>
        <v>11</v>
      </c>
      <c r="BZ96" s="1004"/>
      <c r="CA96" s="1003">
        <v>0</v>
      </c>
      <c r="CB96" s="1003">
        <f t="shared" si="32"/>
        <v>6</v>
      </c>
      <c r="CC96" s="1005">
        <v>16</v>
      </c>
      <c r="CD96"/>
      <c r="CE96" s="1002">
        <v>93</v>
      </c>
      <c r="CF96" s="1003"/>
      <c r="CG96" s="1003"/>
      <c r="CH96" s="1003"/>
      <c r="CI96" s="1003"/>
      <c r="CJ96" s="1003"/>
      <c r="CK96" s="1003"/>
      <c r="CL96" s="1003">
        <v>7</v>
      </c>
      <c r="CM96" s="1003">
        <f t="shared" si="35"/>
        <v>3</v>
      </c>
      <c r="CN96" s="1003">
        <f t="shared" si="30"/>
        <v>10</v>
      </c>
      <c r="CO96" s="1004"/>
      <c r="CP96" s="1003">
        <v>0</v>
      </c>
      <c r="CQ96" s="1003">
        <f t="shared" si="34"/>
        <v>4</v>
      </c>
      <c r="CR96" s="1005">
        <v>16</v>
      </c>
    </row>
    <row r="97" spans="1:96" outlineLevel="1" x14ac:dyDescent="0.2">
      <c r="A97"/>
      <c r="B97" s="1002">
        <v>94</v>
      </c>
      <c r="C97" s="1003">
        <v>30</v>
      </c>
      <c r="D97" s="1003">
        <v>1</v>
      </c>
      <c r="E97" s="1003"/>
      <c r="F97" s="1003">
        <f t="shared" si="24"/>
        <v>31</v>
      </c>
      <c r="G97" s="1004"/>
      <c r="H97" s="1003">
        <v>0</v>
      </c>
      <c r="I97" s="1003">
        <v>30</v>
      </c>
      <c r="J97" s="1005">
        <v>32</v>
      </c>
      <c r="K97" s="1"/>
      <c r="L97"/>
      <c r="M97" s="1002">
        <v>94</v>
      </c>
      <c r="N97" s="1003">
        <v>2</v>
      </c>
      <c r="O97" s="1003">
        <v>22</v>
      </c>
      <c r="P97" s="1003"/>
      <c r="Q97" s="1003">
        <f t="shared" si="25"/>
        <v>24</v>
      </c>
      <c r="R97" s="1004"/>
      <c r="S97" s="1003">
        <v>0</v>
      </c>
      <c r="T97" s="1003">
        <v>16</v>
      </c>
      <c r="U97" s="1005">
        <v>32</v>
      </c>
      <c r="V97"/>
      <c r="W97" s="1002">
        <v>94</v>
      </c>
      <c r="X97" s="1003"/>
      <c r="Y97" s="1003">
        <v>1</v>
      </c>
      <c r="Z97" s="1003">
        <f t="shared" si="18"/>
        <v>18</v>
      </c>
      <c r="AA97" s="1003">
        <f t="shared" si="33"/>
        <v>19</v>
      </c>
      <c r="AB97" s="1004"/>
      <c r="AC97" s="1003">
        <v>0</v>
      </c>
      <c r="AD97" s="1003">
        <v>6</v>
      </c>
      <c r="AE97" s="1005">
        <v>32</v>
      </c>
      <c r="AF97"/>
      <c r="AG97" s="1002">
        <v>94</v>
      </c>
      <c r="AH97" s="1003"/>
      <c r="AI97" s="1003"/>
      <c r="AJ97" s="1003">
        <v>2</v>
      </c>
      <c r="AK97" s="1003">
        <f t="shared" si="19"/>
        <v>14</v>
      </c>
      <c r="AL97" s="1003">
        <f t="shared" si="26"/>
        <v>16</v>
      </c>
      <c r="AM97" s="1004"/>
      <c r="AN97" s="1003">
        <v>0</v>
      </c>
      <c r="AO97" s="1003">
        <f>AO96</f>
        <v>0</v>
      </c>
      <c r="AP97" s="1005">
        <v>32</v>
      </c>
      <c r="AQ97"/>
      <c r="AR97" s="1002">
        <v>94</v>
      </c>
      <c r="AS97" s="1003"/>
      <c r="AT97" s="1003"/>
      <c r="AU97" s="1003"/>
      <c r="AV97" s="1003">
        <v>4</v>
      </c>
      <c r="AW97" s="1003">
        <f t="shared" si="21"/>
        <v>10</v>
      </c>
      <c r="AX97" s="1003">
        <f t="shared" si="27"/>
        <v>14</v>
      </c>
      <c r="AY97" s="1004"/>
      <c r="AZ97" s="1003">
        <v>0</v>
      </c>
      <c r="BA97" s="1003">
        <f t="shared" ref="BA97:BA131" si="36">BA90+2</f>
        <v>12</v>
      </c>
      <c r="BB97" s="1005">
        <v>16</v>
      </c>
      <c r="BC97"/>
      <c r="BD97" s="1002">
        <v>94</v>
      </c>
      <c r="BE97" s="1003"/>
      <c r="BF97" s="1003"/>
      <c r="BG97" s="1003"/>
      <c r="BH97" s="1003"/>
      <c r="BI97" s="1003">
        <v>2</v>
      </c>
      <c r="BJ97" s="1003">
        <f t="shared" si="23"/>
        <v>10</v>
      </c>
      <c r="BK97" s="1003">
        <f t="shared" si="28"/>
        <v>12</v>
      </c>
      <c r="BL97" s="1004"/>
      <c r="BM97" s="1003">
        <v>0</v>
      </c>
      <c r="BN97" s="1003">
        <f t="shared" si="22"/>
        <v>8</v>
      </c>
      <c r="BO97" s="1005">
        <v>16</v>
      </c>
      <c r="BP97"/>
      <c r="BQ97" s="1002">
        <v>94</v>
      </c>
      <c r="BR97" s="1003"/>
      <c r="BS97" s="1003"/>
      <c r="BT97" s="1003"/>
      <c r="BU97" s="1003"/>
      <c r="BV97" s="1003"/>
      <c r="BW97" s="1003">
        <v>5</v>
      </c>
      <c r="BX97" s="1003">
        <f t="shared" si="31"/>
        <v>6</v>
      </c>
      <c r="BY97" s="1003">
        <f t="shared" si="29"/>
        <v>11</v>
      </c>
      <c r="BZ97" s="1004"/>
      <c r="CA97" s="1003">
        <v>0</v>
      </c>
      <c r="CB97" s="1003">
        <f t="shared" si="32"/>
        <v>6</v>
      </c>
      <c r="CC97" s="1005">
        <v>16</v>
      </c>
      <c r="CD97"/>
      <c r="CE97" s="1002">
        <v>94</v>
      </c>
      <c r="CF97" s="1003"/>
      <c r="CG97" s="1003"/>
      <c r="CH97" s="1003"/>
      <c r="CI97" s="1003"/>
      <c r="CJ97" s="1003"/>
      <c r="CK97" s="1003"/>
      <c r="CL97" s="1003">
        <v>6</v>
      </c>
      <c r="CM97" s="1003">
        <f t="shared" si="35"/>
        <v>4</v>
      </c>
      <c r="CN97" s="1003">
        <f t="shared" si="30"/>
        <v>10</v>
      </c>
      <c r="CO97" s="1004"/>
      <c r="CP97" s="1003">
        <v>0</v>
      </c>
      <c r="CQ97" s="1003">
        <f t="shared" si="34"/>
        <v>4</v>
      </c>
      <c r="CR97" s="1005">
        <v>16</v>
      </c>
    </row>
    <row r="98" spans="1:96" outlineLevel="1" x14ac:dyDescent="0.2">
      <c r="A98"/>
      <c r="B98" s="1002">
        <v>95</v>
      </c>
      <c r="C98" s="1003">
        <v>29</v>
      </c>
      <c r="D98" s="1003">
        <v>2</v>
      </c>
      <c r="E98" s="1003"/>
      <c r="F98" s="1003">
        <f t="shared" si="24"/>
        <v>31</v>
      </c>
      <c r="G98" s="1004"/>
      <c r="H98" s="1003">
        <v>0</v>
      </c>
      <c r="I98" s="1003">
        <v>30</v>
      </c>
      <c r="J98" s="1005">
        <v>32</v>
      </c>
      <c r="K98" s="1"/>
      <c r="L98"/>
      <c r="M98" s="1002">
        <v>95</v>
      </c>
      <c r="N98" s="1003">
        <v>1</v>
      </c>
      <c r="O98" s="1003">
        <v>23</v>
      </c>
      <c r="P98" s="1003"/>
      <c r="Q98" s="1003">
        <f t="shared" si="25"/>
        <v>24</v>
      </c>
      <c r="R98" s="1004"/>
      <c r="S98" s="1003">
        <v>0</v>
      </c>
      <c r="T98" s="1003">
        <v>16</v>
      </c>
      <c r="U98" s="1005">
        <v>32</v>
      </c>
      <c r="V98"/>
      <c r="W98" s="1002">
        <v>95</v>
      </c>
      <c r="X98" s="1003"/>
      <c r="Y98" s="1003"/>
      <c r="Z98" s="1003">
        <f t="shared" si="18"/>
        <v>19</v>
      </c>
      <c r="AA98" s="1003">
        <f t="shared" si="33"/>
        <v>19</v>
      </c>
      <c r="AB98" s="1004"/>
      <c r="AC98" s="1003">
        <v>0</v>
      </c>
      <c r="AD98" s="1003">
        <v>6</v>
      </c>
      <c r="AE98" s="1005">
        <v>32</v>
      </c>
      <c r="AF98"/>
      <c r="AG98" s="1002">
        <v>95</v>
      </c>
      <c r="AH98" s="1003"/>
      <c r="AI98" s="1003"/>
      <c r="AJ98" s="1003">
        <v>1</v>
      </c>
      <c r="AK98" s="1003">
        <f t="shared" si="19"/>
        <v>15</v>
      </c>
      <c r="AL98" s="1003">
        <f t="shared" si="26"/>
        <v>16</v>
      </c>
      <c r="AM98" s="1004"/>
      <c r="AN98" s="1003">
        <v>0</v>
      </c>
      <c r="AO98" s="1003">
        <f>AO97</f>
        <v>0</v>
      </c>
      <c r="AP98" s="1005">
        <v>32</v>
      </c>
      <c r="AQ98"/>
      <c r="AR98" s="1002">
        <v>95</v>
      </c>
      <c r="AS98" s="1003"/>
      <c r="AT98" s="1003"/>
      <c r="AU98" s="1003"/>
      <c r="AV98" s="1003">
        <v>3</v>
      </c>
      <c r="AW98" s="1003">
        <f t="shared" si="21"/>
        <v>11</v>
      </c>
      <c r="AX98" s="1003">
        <f t="shared" si="27"/>
        <v>14</v>
      </c>
      <c r="AY98" s="1004"/>
      <c r="AZ98" s="1003">
        <v>0</v>
      </c>
      <c r="BA98" s="1003">
        <f t="shared" si="36"/>
        <v>12</v>
      </c>
      <c r="BB98" s="1005">
        <v>16</v>
      </c>
      <c r="BC98"/>
      <c r="BD98" s="1002">
        <v>95</v>
      </c>
      <c r="BE98" s="1003"/>
      <c r="BF98" s="1003"/>
      <c r="BG98" s="1003"/>
      <c r="BH98" s="1003"/>
      <c r="BI98" s="1003">
        <v>1</v>
      </c>
      <c r="BJ98" s="1003">
        <f t="shared" si="23"/>
        <v>11</v>
      </c>
      <c r="BK98" s="1003">
        <f t="shared" si="28"/>
        <v>12</v>
      </c>
      <c r="BL98" s="1004"/>
      <c r="BM98" s="1003">
        <v>0</v>
      </c>
      <c r="BN98" s="1003">
        <f t="shared" si="22"/>
        <v>8</v>
      </c>
      <c r="BO98" s="1005">
        <v>16</v>
      </c>
      <c r="BP98"/>
      <c r="BQ98" s="1002">
        <v>95</v>
      </c>
      <c r="BR98" s="1003"/>
      <c r="BS98" s="1003"/>
      <c r="BT98" s="1003"/>
      <c r="BU98" s="1003"/>
      <c r="BV98" s="1003"/>
      <c r="BW98" s="1003">
        <v>4</v>
      </c>
      <c r="BX98" s="1003">
        <f t="shared" si="31"/>
        <v>7</v>
      </c>
      <c r="BY98" s="1003">
        <f t="shared" si="29"/>
        <v>11</v>
      </c>
      <c r="BZ98" s="1004"/>
      <c r="CA98" s="1003">
        <v>0</v>
      </c>
      <c r="CB98" s="1003">
        <f t="shared" si="32"/>
        <v>6</v>
      </c>
      <c r="CC98" s="1005">
        <v>16</v>
      </c>
      <c r="CD98"/>
      <c r="CE98" s="1002">
        <v>95</v>
      </c>
      <c r="CF98" s="1003"/>
      <c r="CG98" s="1003"/>
      <c r="CH98" s="1003"/>
      <c r="CI98" s="1003"/>
      <c r="CJ98" s="1003"/>
      <c r="CK98" s="1003"/>
      <c r="CL98" s="1003">
        <v>5</v>
      </c>
      <c r="CM98" s="1003">
        <f t="shared" si="35"/>
        <v>5</v>
      </c>
      <c r="CN98" s="1003">
        <f t="shared" si="30"/>
        <v>10</v>
      </c>
      <c r="CO98" s="1004"/>
      <c r="CP98" s="1003">
        <v>0</v>
      </c>
      <c r="CQ98" s="1003">
        <f t="shared" si="34"/>
        <v>4</v>
      </c>
      <c r="CR98" s="1005">
        <v>16</v>
      </c>
    </row>
    <row r="99" spans="1:96" outlineLevel="1" x14ac:dyDescent="0.2">
      <c r="A99"/>
      <c r="B99" s="1002">
        <v>96</v>
      </c>
      <c r="C99" s="1003">
        <v>32</v>
      </c>
      <c r="D99" s="1003">
        <v>0</v>
      </c>
      <c r="E99" s="1003"/>
      <c r="F99" s="1003">
        <f t="shared" si="24"/>
        <v>32</v>
      </c>
      <c r="G99" s="1004"/>
      <c r="H99" s="1003">
        <v>0</v>
      </c>
      <c r="I99" s="1003">
        <v>0</v>
      </c>
      <c r="J99" s="1005">
        <v>64</v>
      </c>
      <c r="K99" s="1"/>
      <c r="L99"/>
      <c r="M99" s="1002">
        <v>96</v>
      </c>
      <c r="N99" s="1003">
        <v>0</v>
      </c>
      <c r="O99" s="1003">
        <v>24</v>
      </c>
      <c r="P99" s="1003"/>
      <c r="Q99" s="1003">
        <f t="shared" si="25"/>
        <v>24</v>
      </c>
      <c r="R99" s="1004"/>
      <c r="S99" s="1003">
        <v>0</v>
      </c>
      <c r="T99" s="1003">
        <v>16</v>
      </c>
      <c r="U99" s="1005">
        <v>32</v>
      </c>
      <c r="V99"/>
      <c r="W99" s="1002">
        <v>96</v>
      </c>
      <c r="X99" s="1003"/>
      <c r="Y99" s="1003">
        <v>4</v>
      </c>
      <c r="Z99" s="1003">
        <f t="shared" si="18"/>
        <v>16</v>
      </c>
      <c r="AA99" s="1003">
        <f t="shared" si="33"/>
        <v>20</v>
      </c>
      <c r="AB99" s="1004"/>
      <c r="AC99" s="1003">
        <v>0</v>
      </c>
      <c r="AD99" s="1003">
        <v>8</v>
      </c>
      <c r="AE99" s="1005">
        <v>32</v>
      </c>
      <c r="AF99"/>
      <c r="AG99" s="1002">
        <v>96</v>
      </c>
      <c r="AH99" s="1003"/>
      <c r="AI99" s="1003"/>
      <c r="AJ99" s="1003"/>
      <c r="AK99" s="1003">
        <f t="shared" si="19"/>
        <v>16</v>
      </c>
      <c r="AL99" s="1003">
        <f t="shared" si="26"/>
        <v>16</v>
      </c>
      <c r="AM99" s="1004"/>
      <c r="AN99" s="1003">
        <v>0</v>
      </c>
      <c r="AO99" s="1003">
        <f>AO98</f>
        <v>0</v>
      </c>
      <c r="AP99" s="1005">
        <v>32</v>
      </c>
      <c r="AQ99"/>
      <c r="AR99" s="1002">
        <v>96</v>
      </c>
      <c r="AS99" s="1003"/>
      <c r="AT99" s="1003"/>
      <c r="AU99" s="1003"/>
      <c r="AV99" s="1003">
        <v>2</v>
      </c>
      <c r="AW99" s="1003">
        <f t="shared" si="21"/>
        <v>12</v>
      </c>
      <c r="AX99" s="1003">
        <f t="shared" si="27"/>
        <v>14</v>
      </c>
      <c r="AY99" s="1004"/>
      <c r="AZ99" s="1003">
        <v>0</v>
      </c>
      <c r="BA99" s="1003">
        <f t="shared" si="36"/>
        <v>12</v>
      </c>
      <c r="BB99" s="1005">
        <v>16</v>
      </c>
      <c r="BC99"/>
      <c r="BD99" s="1002">
        <v>96</v>
      </c>
      <c r="BE99" s="1003"/>
      <c r="BF99" s="1003"/>
      <c r="BG99" s="1003"/>
      <c r="BH99" s="1003"/>
      <c r="BI99" s="1003"/>
      <c r="BJ99" s="1003">
        <f t="shared" si="23"/>
        <v>12</v>
      </c>
      <c r="BK99" s="1003">
        <f t="shared" si="28"/>
        <v>12</v>
      </c>
      <c r="BL99" s="1004"/>
      <c r="BM99" s="1003">
        <v>0</v>
      </c>
      <c r="BN99" s="1003">
        <f t="shared" si="22"/>
        <v>8</v>
      </c>
      <c r="BO99" s="1005">
        <v>16</v>
      </c>
      <c r="BP99"/>
      <c r="BQ99" s="1002">
        <v>96</v>
      </c>
      <c r="BR99" s="1003"/>
      <c r="BS99" s="1003"/>
      <c r="BT99" s="1003"/>
      <c r="BU99" s="1003"/>
      <c r="BV99" s="1003"/>
      <c r="BW99" s="1003">
        <v>3</v>
      </c>
      <c r="BX99" s="1003">
        <f t="shared" si="31"/>
        <v>8</v>
      </c>
      <c r="BY99" s="1003">
        <f t="shared" si="29"/>
        <v>11</v>
      </c>
      <c r="BZ99" s="1004"/>
      <c r="CA99" s="1003">
        <v>0</v>
      </c>
      <c r="CB99" s="1003">
        <f t="shared" si="32"/>
        <v>6</v>
      </c>
      <c r="CC99" s="1005">
        <v>16</v>
      </c>
      <c r="CD99"/>
      <c r="CE99" s="1002">
        <v>96</v>
      </c>
      <c r="CF99" s="1003"/>
      <c r="CG99" s="1003"/>
      <c r="CH99" s="1003"/>
      <c r="CI99" s="1003"/>
      <c r="CJ99" s="1003"/>
      <c r="CK99" s="1003"/>
      <c r="CL99" s="1003">
        <v>4</v>
      </c>
      <c r="CM99" s="1003">
        <f t="shared" si="35"/>
        <v>6</v>
      </c>
      <c r="CN99" s="1003">
        <f t="shared" si="30"/>
        <v>10</v>
      </c>
      <c r="CO99" s="1004"/>
      <c r="CP99" s="1003">
        <v>0</v>
      </c>
      <c r="CQ99" s="1003">
        <f t="shared" si="34"/>
        <v>4</v>
      </c>
      <c r="CR99" s="1005">
        <v>16</v>
      </c>
    </row>
    <row r="100" spans="1:96" outlineLevel="1" x14ac:dyDescent="0.2">
      <c r="A100"/>
      <c r="B100" s="1002">
        <v>97</v>
      </c>
      <c r="C100" s="1003">
        <v>32</v>
      </c>
      <c r="D100" s="1003">
        <v>0</v>
      </c>
      <c r="E100" s="1003"/>
      <c r="F100" s="1003">
        <f t="shared" si="24"/>
        <v>32</v>
      </c>
      <c r="G100" s="1004"/>
      <c r="H100" s="1003">
        <v>1</v>
      </c>
      <c r="I100" s="1003">
        <v>1</v>
      </c>
      <c r="J100" s="1005">
        <v>64</v>
      </c>
      <c r="K100" s="1"/>
      <c r="L100"/>
      <c r="M100" s="1002">
        <v>97</v>
      </c>
      <c r="N100" s="1003">
        <v>3</v>
      </c>
      <c r="O100" s="1003">
        <v>22</v>
      </c>
      <c r="P100" s="1003"/>
      <c r="Q100" s="1003">
        <f t="shared" si="25"/>
        <v>25</v>
      </c>
      <c r="R100" s="1004"/>
      <c r="S100" s="1003">
        <v>0</v>
      </c>
      <c r="T100" s="1003">
        <v>18</v>
      </c>
      <c r="U100" s="1005">
        <v>32</v>
      </c>
      <c r="V100"/>
      <c r="W100" s="1002">
        <v>97</v>
      </c>
      <c r="X100" s="1003"/>
      <c r="Y100" s="1003">
        <v>3</v>
      </c>
      <c r="Z100" s="1003">
        <f t="shared" si="18"/>
        <v>17</v>
      </c>
      <c r="AA100" s="1003">
        <f t="shared" si="33"/>
        <v>20</v>
      </c>
      <c r="AB100" s="1004"/>
      <c r="AC100" s="1003">
        <v>0</v>
      </c>
      <c r="AD100" s="1003">
        <v>8</v>
      </c>
      <c r="AE100" s="1005">
        <v>32</v>
      </c>
      <c r="AF100"/>
      <c r="AG100" s="1002">
        <v>97</v>
      </c>
      <c r="AH100" s="1003"/>
      <c r="AI100" s="1003"/>
      <c r="AJ100" s="1009">
        <v>5</v>
      </c>
      <c r="AK100" s="1003">
        <f t="shared" si="19"/>
        <v>12</v>
      </c>
      <c r="AL100" s="1003">
        <f t="shared" si="26"/>
        <v>17</v>
      </c>
      <c r="AM100" s="1004"/>
      <c r="AN100" s="1003">
        <v>0</v>
      </c>
      <c r="AO100" s="1003">
        <f>AO94+2</f>
        <v>2</v>
      </c>
      <c r="AP100" s="1005">
        <v>32</v>
      </c>
      <c r="AQ100"/>
      <c r="AR100" s="1002">
        <v>97</v>
      </c>
      <c r="AS100" s="1003"/>
      <c r="AT100" s="1003"/>
      <c r="AU100" s="1009"/>
      <c r="AV100" s="1003">
        <v>1</v>
      </c>
      <c r="AW100" s="1003">
        <f t="shared" si="21"/>
        <v>13</v>
      </c>
      <c r="AX100" s="1003">
        <f t="shared" si="27"/>
        <v>14</v>
      </c>
      <c r="AY100" s="1004"/>
      <c r="AZ100" s="1003">
        <v>0</v>
      </c>
      <c r="BA100" s="1003">
        <f t="shared" si="36"/>
        <v>12</v>
      </c>
      <c r="BB100" s="1005">
        <v>16</v>
      </c>
      <c r="BC100"/>
      <c r="BD100" s="1002">
        <v>97</v>
      </c>
      <c r="BE100" s="1003"/>
      <c r="BF100" s="1003"/>
      <c r="BG100" s="1009"/>
      <c r="BH100" s="1003"/>
      <c r="BI100" s="1003">
        <v>7</v>
      </c>
      <c r="BJ100" s="1003">
        <f t="shared" si="23"/>
        <v>6</v>
      </c>
      <c r="BK100" s="1003">
        <f t="shared" si="28"/>
        <v>13</v>
      </c>
      <c r="BL100" s="1004"/>
      <c r="BM100" s="1003">
        <v>0</v>
      </c>
      <c r="BN100" s="1003">
        <f t="shared" si="22"/>
        <v>10</v>
      </c>
      <c r="BO100" s="1005">
        <v>16</v>
      </c>
      <c r="BP100"/>
      <c r="BQ100" s="1002">
        <v>97</v>
      </c>
      <c r="BR100" s="1003"/>
      <c r="BS100" s="1003"/>
      <c r="BT100" s="1009"/>
      <c r="BU100" s="1003"/>
      <c r="BV100" s="1003"/>
      <c r="BW100" s="1003">
        <v>2</v>
      </c>
      <c r="BX100" s="1003">
        <f t="shared" si="31"/>
        <v>9</v>
      </c>
      <c r="BY100" s="1003">
        <f t="shared" si="29"/>
        <v>11</v>
      </c>
      <c r="BZ100" s="1004"/>
      <c r="CA100" s="1003">
        <v>0</v>
      </c>
      <c r="CB100" s="1003">
        <f t="shared" si="32"/>
        <v>6</v>
      </c>
      <c r="CC100" s="1005">
        <v>16</v>
      </c>
      <c r="CD100"/>
      <c r="CE100" s="1002">
        <v>97</v>
      </c>
      <c r="CF100" s="1003"/>
      <c r="CG100" s="1003"/>
      <c r="CH100" s="1009"/>
      <c r="CI100" s="1003"/>
      <c r="CJ100" s="1003"/>
      <c r="CK100" s="1003"/>
      <c r="CL100" s="1003">
        <v>3</v>
      </c>
      <c r="CM100" s="1003">
        <f t="shared" si="35"/>
        <v>7</v>
      </c>
      <c r="CN100" s="1003">
        <f t="shared" si="30"/>
        <v>10</v>
      </c>
      <c r="CO100" s="1004"/>
      <c r="CP100" s="1003">
        <v>0</v>
      </c>
      <c r="CQ100" s="1003">
        <f t="shared" si="34"/>
        <v>4</v>
      </c>
      <c r="CR100" s="1005">
        <v>16</v>
      </c>
    </row>
    <row r="101" spans="1:96" outlineLevel="1" x14ac:dyDescent="0.2">
      <c r="A101"/>
      <c r="B101" s="1002">
        <v>98</v>
      </c>
      <c r="C101" s="1003">
        <v>32</v>
      </c>
      <c r="D101" s="1003">
        <v>0</v>
      </c>
      <c r="E101" s="1003"/>
      <c r="F101" s="1003">
        <f t="shared" si="24"/>
        <v>32</v>
      </c>
      <c r="G101" s="1004"/>
      <c r="H101" s="1003">
        <v>2</v>
      </c>
      <c r="I101" s="1003">
        <v>2</v>
      </c>
      <c r="J101" s="1005">
        <v>64</v>
      </c>
      <c r="K101" s="1"/>
      <c r="L101"/>
      <c r="M101" s="1002">
        <v>98</v>
      </c>
      <c r="N101" s="1003">
        <v>2</v>
      </c>
      <c r="O101" s="1003">
        <v>23</v>
      </c>
      <c r="P101" s="1003"/>
      <c r="Q101" s="1003">
        <f t="shared" si="25"/>
        <v>25</v>
      </c>
      <c r="R101" s="1004"/>
      <c r="S101" s="1003">
        <v>0</v>
      </c>
      <c r="T101" s="1003">
        <v>18</v>
      </c>
      <c r="U101" s="1005">
        <v>32</v>
      </c>
      <c r="V101"/>
      <c r="W101" s="1002">
        <v>98</v>
      </c>
      <c r="X101" s="1003"/>
      <c r="Y101" s="1003">
        <v>2</v>
      </c>
      <c r="Z101" s="1003">
        <f t="shared" si="18"/>
        <v>18</v>
      </c>
      <c r="AA101" s="1003">
        <f t="shared" si="33"/>
        <v>20</v>
      </c>
      <c r="AB101" s="1004"/>
      <c r="AC101" s="1003">
        <v>0</v>
      </c>
      <c r="AD101" s="1003">
        <v>8</v>
      </c>
      <c r="AE101" s="1005">
        <v>32</v>
      </c>
      <c r="AF101"/>
      <c r="AG101" s="1002">
        <v>98</v>
      </c>
      <c r="AH101" s="1003"/>
      <c r="AI101" s="1003"/>
      <c r="AJ101" s="1003">
        <v>4</v>
      </c>
      <c r="AK101" s="1003">
        <f t="shared" si="19"/>
        <v>13</v>
      </c>
      <c r="AL101" s="1003">
        <f t="shared" si="26"/>
        <v>17</v>
      </c>
      <c r="AM101" s="1004"/>
      <c r="AN101" s="1003">
        <v>0</v>
      </c>
      <c r="AO101" s="1003">
        <f>AO100</f>
        <v>2</v>
      </c>
      <c r="AP101" s="1005">
        <v>32</v>
      </c>
      <c r="AQ101"/>
      <c r="AR101" s="1002">
        <v>98</v>
      </c>
      <c r="AS101" s="1003"/>
      <c r="AT101" s="1003"/>
      <c r="AU101" s="1003"/>
      <c r="AV101" s="1003"/>
      <c r="AW101" s="1003">
        <f t="shared" si="21"/>
        <v>14</v>
      </c>
      <c r="AX101" s="1003">
        <f t="shared" si="27"/>
        <v>14</v>
      </c>
      <c r="AY101" s="1004"/>
      <c r="AZ101" s="1003">
        <v>0</v>
      </c>
      <c r="BA101" s="1003">
        <f t="shared" si="36"/>
        <v>12</v>
      </c>
      <c r="BB101" s="1005">
        <v>16</v>
      </c>
      <c r="BC101"/>
      <c r="BD101" s="1002">
        <v>98</v>
      </c>
      <c r="BE101" s="1003"/>
      <c r="BF101" s="1003"/>
      <c r="BG101" s="1003"/>
      <c r="BH101" s="1003"/>
      <c r="BI101" s="1003">
        <v>6</v>
      </c>
      <c r="BJ101" s="1003">
        <f t="shared" si="23"/>
        <v>7</v>
      </c>
      <c r="BK101" s="1003">
        <f t="shared" si="28"/>
        <v>13</v>
      </c>
      <c r="BL101" s="1004"/>
      <c r="BM101" s="1003">
        <v>0</v>
      </c>
      <c r="BN101" s="1003">
        <f t="shared" si="22"/>
        <v>10</v>
      </c>
      <c r="BO101" s="1005">
        <v>16</v>
      </c>
      <c r="BP101"/>
      <c r="BQ101" s="1002">
        <v>98</v>
      </c>
      <c r="BR101" s="1003"/>
      <c r="BS101" s="1003"/>
      <c r="BT101" s="1003"/>
      <c r="BU101" s="1003"/>
      <c r="BV101" s="1003"/>
      <c r="BW101" s="1003">
        <v>1</v>
      </c>
      <c r="BX101" s="1003">
        <f t="shared" si="31"/>
        <v>10</v>
      </c>
      <c r="BY101" s="1003">
        <f t="shared" si="29"/>
        <v>11</v>
      </c>
      <c r="BZ101" s="1004"/>
      <c r="CA101" s="1003">
        <v>0</v>
      </c>
      <c r="CB101" s="1003">
        <f t="shared" si="32"/>
        <v>6</v>
      </c>
      <c r="CC101" s="1005">
        <v>16</v>
      </c>
      <c r="CD101"/>
      <c r="CE101" s="1002">
        <v>98</v>
      </c>
      <c r="CF101" s="1003"/>
      <c r="CG101" s="1003"/>
      <c r="CH101" s="1003"/>
      <c r="CI101" s="1003"/>
      <c r="CJ101" s="1003"/>
      <c r="CK101" s="1003"/>
      <c r="CL101" s="1003">
        <v>2</v>
      </c>
      <c r="CM101" s="1003">
        <f t="shared" si="35"/>
        <v>8</v>
      </c>
      <c r="CN101" s="1003">
        <f t="shared" si="30"/>
        <v>10</v>
      </c>
      <c r="CO101" s="1004"/>
      <c r="CP101" s="1003">
        <v>0</v>
      </c>
      <c r="CQ101" s="1003">
        <f t="shared" si="34"/>
        <v>4</v>
      </c>
      <c r="CR101" s="1005">
        <v>16</v>
      </c>
    </row>
    <row r="102" spans="1:96" outlineLevel="1" x14ac:dyDescent="0.2">
      <c r="A102"/>
      <c r="B102" s="1002">
        <v>99</v>
      </c>
      <c r="C102" s="1003">
        <v>32</v>
      </c>
      <c r="D102" s="1003">
        <v>0</v>
      </c>
      <c r="E102" s="1003"/>
      <c r="F102" s="1003">
        <f t="shared" si="24"/>
        <v>32</v>
      </c>
      <c r="G102" s="1004"/>
      <c r="H102" s="1003">
        <v>3</v>
      </c>
      <c r="I102" s="1003">
        <v>3</v>
      </c>
      <c r="J102" s="1005">
        <v>64</v>
      </c>
      <c r="K102" s="1"/>
      <c r="L102"/>
      <c r="M102" s="1002">
        <v>99</v>
      </c>
      <c r="N102" s="1003">
        <v>1</v>
      </c>
      <c r="O102" s="1003">
        <v>24</v>
      </c>
      <c r="P102" s="1003"/>
      <c r="Q102" s="1003">
        <f t="shared" si="25"/>
        <v>25</v>
      </c>
      <c r="R102" s="1004"/>
      <c r="S102" s="1003">
        <v>0</v>
      </c>
      <c r="T102" s="1003">
        <v>18</v>
      </c>
      <c r="U102" s="1005">
        <v>32</v>
      </c>
      <c r="V102"/>
      <c r="W102" s="1002">
        <v>99</v>
      </c>
      <c r="X102" s="1003"/>
      <c r="Y102" s="1003">
        <v>1</v>
      </c>
      <c r="Z102" s="1003">
        <f t="shared" si="18"/>
        <v>19</v>
      </c>
      <c r="AA102" s="1003">
        <f t="shared" si="33"/>
        <v>20</v>
      </c>
      <c r="AB102" s="1004"/>
      <c r="AC102" s="1003">
        <v>0</v>
      </c>
      <c r="AD102" s="1003">
        <v>8</v>
      </c>
      <c r="AE102" s="1005">
        <v>32</v>
      </c>
      <c r="AF102"/>
      <c r="AG102" s="1002">
        <v>99</v>
      </c>
      <c r="AH102" s="1003"/>
      <c r="AI102" s="1003"/>
      <c r="AJ102" s="1003">
        <v>3</v>
      </c>
      <c r="AK102" s="1003">
        <f t="shared" si="19"/>
        <v>14</v>
      </c>
      <c r="AL102" s="1003">
        <f t="shared" ref="AL102:AL131" si="37">SUM(AH102:AK102)</f>
        <v>17</v>
      </c>
      <c r="AM102" s="1004"/>
      <c r="AN102" s="1003">
        <v>0</v>
      </c>
      <c r="AO102" s="1003">
        <f>AO101</f>
        <v>2</v>
      </c>
      <c r="AP102" s="1005">
        <v>32</v>
      </c>
      <c r="AQ102"/>
      <c r="AR102" s="1002">
        <v>99</v>
      </c>
      <c r="AS102" s="1003"/>
      <c r="AT102" s="1003"/>
      <c r="AU102" s="1003"/>
      <c r="AV102" s="1003">
        <v>6</v>
      </c>
      <c r="AW102" s="1003">
        <f t="shared" si="21"/>
        <v>9</v>
      </c>
      <c r="AX102" s="1003">
        <f t="shared" ref="AX102:AX131" si="38">SUM(AS102:AW102)</f>
        <v>15</v>
      </c>
      <c r="AY102" s="1004"/>
      <c r="AZ102" s="1003">
        <v>0</v>
      </c>
      <c r="BA102" s="1003">
        <f t="shared" si="36"/>
        <v>14</v>
      </c>
      <c r="BB102" s="1005">
        <v>16</v>
      </c>
      <c r="BC102"/>
      <c r="BD102" s="1002">
        <v>99</v>
      </c>
      <c r="BE102" s="1003"/>
      <c r="BF102" s="1003"/>
      <c r="BG102" s="1003"/>
      <c r="BH102" s="1003"/>
      <c r="BI102" s="1003">
        <v>5</v>
      </c>
      <c r="BJ102" s="1003">
        <f t="shared" si="23"/>
        <v>8</v>
      </c>
      <c r="BK102" s="1003">
        <f t="shared" ref="BK102:BK131" si="39">SUM(BE102:BJ102)</f>
        <v>13</v>
      </c>
      <c r="BL102" s="1004"/>
      <c r="BM102" s="1003">
        <v>0</v>
      </c>
      <c r="BN102" s="1003">
        <f t="shared" si="22"/>
        <v>10</v>
      </c>
      <c r="BO102" s="1005">
        <v>16</v>
      </c>
      <c r="BP102"/>
      <c r="BQ102" s="1002">
        <v>99</v>
      </c>
      <c r="BR102" s="1003"/>
      <c r="BS102" s="1003"/>
      <c r="BT102" s="1003"/>
      <c r="BU102" s="1003"/>
      <c r="BV102" s="1003"/>
      <c r="BW102" s="1003"/>
      <c r="BX102" s="1003">
        <f t="shared" si="31"/>
        <v>11</v>
      </c>
      <c r="BY102" s="1003">
        <f t="shared" ref="BY102:BY131" si="40">SUM(BR102:BX102)</f>
        <v>11</v>
      </c>
      <c r="BZ102" s="1004"/>
      <c r="CA102" s="1003">
        <v>0</v>
      </c>
      <c r="CB102" s="1003">
        <f t="shared" si="32"/>
        <v>6</v>
      </c>
      <c r="CC102" s="1005">
        <v>16</v>
      </c>
      <c r="CD102"/>
      <c r="CE102" s="1002">
        <v>99</v>
      </c>
      <c r="CF102" s="1003"/>
      <c r="CG102" s="1003"/>
      <c r="CH102" s="1003"/>
      <c r="CI102" s="1003"/>
      <c r="CJ102" s="1003"/>
      <c r="CK102" s="1003"/>
      <c r="CL102" s="1003">
        <v>1</v>
      </c>
      <c r="CM102" s="1003">
        <f t="shared" si="35"/>
        <v>9</v>
      </c>
      <c r="CN102" s="1003">
        <f t="shared" ref="CN102:CN131" si="41">SUM(CF102:CM102)</f>
        <v>10</v>
      </c>
      <c r="CO102" s="1004"/>
      <c r="CP102" s="1003">
        <v>0</v>
      </c>
      <c r="CQ102" s="1003">
        <f t="shared" si="34"/>
        <v>4</v>
      </c>
      <c r="CR102" s="1005">
        <v>16</v>
      </c>
    </row>
    <row r="103" spans="1:96" outlineLevel="1" x14ac:dyDescent="0.2">
      <c r="A103"/>
      <c r="B103" s="1002">
        <v>100</v>
      </c>
      <c r="C103" s="1003">
        <v>32</v>
      </c>
      <c r="D103" s="1003">
        <v>0</v>
      </c>
      <c r="E103" s="1003"/>
      <c r="F103" s="1003">
        <f t="shared" si="24"/>
        <v>32</v>
      </c>
      <c r="G103" s="1004"/>
      <c r="H103" s="1003">
        <v>4</v>
      </c>
      <c r="I103" s="1003">
        <v>4</v>
      </c>
      <c r="J103" s="1005">
        <v>64</v>
      </c>
      <c r="K103" s="1"/>
      <c r="L103"/>
      <c r="M103" s="1002">
        <v>100</v>
      </c>
      <c r="N103" s="1003">
        <v>0</v>
      </c>
      <c r="O103" s="1003">
        <v>25</v>
      </c>
      <c r="P103" s="1003"/>
      <c r="Q103" s="1003">
        <f t="shared" si="25"/>
        <v>25</v>
      </c>
      <c r="R103" s="1004"/>
      <c r="S103" s="1003">
        <v>0</v>
      </c>
      <c r="T103" s="1003">
        <v>18</v>
      </c>
      <c r="U103" s="1005">
        <v>32</v>
      </c>
      <c r="V103"/>
      <c r="W103" s="1002">
        <v>100</v>
      </c>
      <c r="X103" s="1003"/>
      <c r="Y103" s="1003"/>
      <c r="Z103" s="1003">
        <f t="shared" si="18"/>
        <v>20</v>
      </c>
      <c r="AA103" s="1003">
        <f t="shared" si="33"/>
        <v>20</v>
      </c>
      <c r="AB103" s="1004"/>
      <c r="AC103" s="1003">
        <v>0</v>
      </c>
      <c r="AD103" s="1003">
        <v>8</v>
      </c>
      <c r="AE103" s="1005">
        <v>32</v>
      </c>
      <c r="AF103"/>
      <c r="AG103" s="1002">
        <v>100</v>
      </c>
      <c r="AH103" s="1003"/>
      <c r="AI103" s="1003"/>
      <c r="AJ103" s="1003">
        <v>2</v>
      </c>
      <c r="AK103" s="1003">
        <f t="shared" si="19"/>
        <v>15</v>
      </c>
      <c r="AL103" s="1003">
        <f t="shared" si="37"/>
        <v>17</v>
      </c>
      <c r="AM103" s="1004"/>
      <c r="AN103" s="1003">
        <v>0</v>
      </c>
      <c r="AO103" s="1003">
        <f>AO102</f>
        <v>2</v>
      </c>
      <c r="AP103" s="1005">
        <v>32</v>
      </c>
      <c r="AQ103"/>
      <c r="AR103" s="1002">
        <v>100</v>
      </c>
      <c r="AS103" s="1003"/>
      <c r="AT103" s="1003"/>
      <c r="AU103" s="1003"/>
      <c r="AV103" s="1003">
        <v>5</v>
      </c>
      <c r="AW103" s="1003">
        <f t="shared" si="21"/>
        <v>10</v>
      </c>
      <c r="AX103" s="1003">
        <f t="shared" si="38"/>
        <v>15</v>
      </c>
      <c r="AY103" s="1004"/>
      <c r="AZ103" s="1003">
        <v>0</v>
      </c>
      <c r="BA103" s="1003">
        <f t="shared" si="36"/>
        <v>14</v>
      </c>
      <c r="BB103" s="1005">
        <v>16</v>
      </c>
      <c r="BC103"/>
      <c r="BD103" s="1002">
        <v>100</v>
      </c>
      <c r="BE103" s="1003"/>
      <c r="BF103" s="1003"/>
      <c r="BG103" s="1003"/>
      <c r="BH103" s="1003"/>
      <c r="BI103" s="1003">
        <v>4</v>
      </c>
      <c r="BJ103" s="1003">
        <f t="shared" si="23"/>
        <v>9</v>
      </c>
      <c r="BK103" s="1003">
        <f t="shared" si="39"/>
        <v>13</v>
      </c>
      <c r="BL103" s="1004"/>
      <c r="BM103" s="1003">
        <v>0</v>
      </c>
      <c r="BN103" s="1003">
        <f t="shared" si="22"/>
        <v>10</v>
      </c>
      <c r="BO103" s="1005">
        <v>16</v>
      </c>
      <c r="BP103"/>
      <c r="BQ103" s="1002">
        <v>100</v>
      </c>
      <c r="BR103" s="1003"/>
      <c r="BS103" s="1003"/>
      <c r="BT103" s="1003"/>
      <c r="BU103" s="1003"/>
      <c r="BV103" s="1003"/>
      <c r="BW103" s="1003">
        <v>8</v>
      </c>
      <c r="BX103" s="1003">
        <f t="shared" si="31"/>
        <v>4</v>
      </c>
      <c r="BY103" s="1003">
        <f t="shared" si="40"/>
        <v>12</v>
      </c>
      <c r="BZ103" s="1004"/>
      <c r="CA103" s="1003">
        <v>0</v>
      </c>
      <c r="CB103" s="1003">
        <f t="shared" si="32"/>
        <v>8</v>
      </c>
      <c r="CC103" s="1005">
        <v>16</v>
      </c>
      <c r="CD103"/>
      <c r="CE103" s="1002">
        <v>100</v>
      </c>
      <c r="CF103" s="1003"/>
      <c r="CG103" s="1003"/>
      <c r="CH103" s="1003"/>
      <c r="CI103" s="1003"/>
      <c r="CJ103" s="1003"/>
      <c r="CK103" s="1003"/>
      <c r="CL103" s="1003"/>
      <c r="CM103" s="1003">
        <f t="shared" si="35"/>
        <v>10</v>
      </c>
      <c r="CN103" s="1003">
        <f t="shared" si="41"/>
        <v>10</v>
      </c>
      <c r="CO103" s="1004"/>
      <c r="CP103" s="1003">
        <v>0</v>
      </c>
      <c r="CQ103" s="1003">
        <f t="shared" si="34"/>
        <v>4</v>
      </c>
      <c r="CR103" s="1005">
        <v>16</v>
      </c>
    </row>
    <row r="104" spans="1:96" outlineLevel="1" x14ac:dyDescent="0.2">
      <c r="A104"/>
      <c r="B104" s="1002">
        <v>101</v>
      </c>
      <c r="C104" s="1003">
        <v>32</v>
      </c>
      <c r="D104" s="1003">
        <v>0</v>
      </c>
      <c r="E104" s="1003"/>
      <c r="F104" s="1003">
        <f t="shared" si="24"/>
        <v>32</v>
      </c>
      <c r="G104" s="1004"/>
      <c r="H104" s="1003">
        <v>5</v>
      </c>
      <c r="I104" s="1003">
        <v>5</v>
      </c>
      <c r="J104" s="1005">
        <v>64</v>
      </c>
      <c r="K104" s="1"/>
      <c r="L104"/>
      <c r="M104" s="1002">
        <v>101</v>
      </c>
      <c r="N104" s="1003">
        <v>3</v>
      </c>
      <c r="O104" s="1003">
        <v>23</v>
      </c>
      <c r="P104" s="1003"/>
      <c r="Q104" s="1003">
        <f t="shared" si="25"/>
        <v>26</v>
      </c>
      <c r="R104" s="1004"/>
      <c r="S104" s="1003">
        <v>0</v>
      </c>
      <c r="T104" s="1003">
        <v>20</v>
      </c>
      <c r="U104" s="1005">
        <v>32</v>
      </c>
      <c r="V104"/>
      <c r="W104" s="1002">
        <v>101</v>
      </c>
      <c r="X104" s="1003"/>
      <c r="Y104" s="1003">
        <v>4</v>
      </c>
      <c r="Z104" s="1003">
        <f t="shared" ref="Z104:Z131" si="42">Z99+1</f>
        <v>17</v>
      </c>
      <c r="AA104" s="1003">
        <f t="shared" si="33"/>
        <v>21</v>
      </c>
      <c r="AB104" s="1004"/>
      <c r="AC104" s="1003">
        <v>0</v>
      </c>
      <c r="AD104" s="1003">
        <v>10</v>
      </c>
      <c r="AE104" s="1005">
        <v>32</v>
      </c>
      <c r="AF104"/>
      <c r="AG104" s="1002">
        <v>101</v>
      </c>
      <c r="AH104" s="1003"/>
      <c r="AI104" s="1003"/>
      <c r="AJ104" s="1003">
        <v>1</v>
      </c>
      <c r="AK104" s="1003">
        <f t="shared" si="19"/>
        <v>16</v>
      </c>
      <c r="AL104" s="1003">
        <f t="shared" si="37"/>
        <v>17</v>
      </c>
      <c r="AM104" s="1004"/>
      <c r="AN104" s="1003">
        <v>0</v>
      </c>
      <c r="AO104" s="1003">
        <f>AO103</f>
        <v>2</v>
      </c>
      <c r="AP104" s="1005">
        <v>32</v>
      </c>
      <c r="AQ104"/>
      <c r="AR104" s="1002">
        <v>101</v>
      </c>
      <c r="AS104" s="1003"/>
      <c r="AT104" s="1003"/>
      <c r="AU104" s="1003"/>
      <c r="AV104" s="1003">
        <v>4</v>
      </c>
      <c r="AW104" s="1003">
        <f t="shared" si="21"/>
        <v>11</v>
      </c>
      <c r="AX104" s="1003">
        <f t="shared" si="38"/>
        <v>15</v>
      </c>
      <c r="AY104" s="1004"/>
      <c r="AZ104" s="1003">
        <v>0</v>
      </c>
      <c r="BA104" s="1003">
        <f t="shared" si="36"/>
        <v>14</v>
      </c>
      <c r="BB104" s="1005">
        <v>16</v>
      </c>
      <c r="BC104"/>
      <c r="BD104" s="1002">
        <v>101</v>
      </c>
      <c r="BE104" s="1003"/>
      <c r="BF104" s="1003"/>
      <c r="BG104" s="1003"/>
      <c r="BH104" s="1003"/>
      <c r="BI104" s="1003">
        <v>3</v>
      </c>
      <c r="BJ104" s="1003">
        <f t="shared" si="23"/>
        <v>10</v>
      </c>
      <c r="BK104" s="1003">
        <f t="shared" si="39"/>
        <v>13</v>
      </c>
      <c r="BL104" s="1004"/>
      <c r="BM104" s="1003">
        <v>0</v>
      </c>
      <c r="BN104" s="1003">
        <f t="shared" si="22"/>
        <v>10</v>
      </c>
      <c r="BO104" s="1005">
        <v>16</v>
      </c>
      <c r="BP104"/>
      <c r="BQ104" s="1002">
        <v>101</v>
      </c>
      <c r="BR104" s="1003"/>
      <c r="BS104" s="1003"/>
      <c r="BT104" s="1003"/>
      <c r="BU104" s="1003"/>
      <c r="BV104" s="1003"/>
      <c r="BW104" s="1003">
        <v>7</v>
      </c>
      <c r="BX104" s="1003">
        <f t="shared" si="31"/>
        <v>5</v>
      </c>
      <c r="BY104" s="1003">
        <f t="shared" si="40"/>
        <v>12</v>
      </c>
      <c r="BZ104" s="1004"/>
      <c r="CA104" s="1003">
        <v>0</v>
      </c>
      <c r="CB104" s="1003">
        <f t="shared" si="32"/>
        <v>8</v>
      </c>
      <c r="CC104" s="1005">
        <v>16</v>
      </c>
      <c r="CD104"/>
      <c r="CE104" s="1002">
        <v>101</v>
      </c>
      <c r="CF104" s="1003"/>
      <c r="CG104" s="1003"/>
      <c r="CH104" s="1003"/>
      <c r="CI104" s="1003"/>
      <c r="CJ104" s="1003"/>
      <c r="CK104" s="1003"/>
      <c r="CL104" s="1003">
        <f>CL95+1</f>
        <v>9</v>
      </c>
      <c r="CM104" s="1003">
        <f t="shared" si="35"/>
        <v>2</v>
      </c>
      <c r="CN104" s="1003">
        <f t="shared" si="41"/>
        <v>11</v>
      </c>
      <c r="CO104" s="1004"/>
      <c r="CP104" s="1003">
        <v>0</v>
      </c>
      <c r="CQ104" s="1003">
        <f t="shared" si="34"/>
        <v>6</v>
      </c>
      <c r="CR104" s="1005">
        <v>16</v>
      </c>
    </row>
    <row r="105" spans="1:96" outlineLevel="1" x14ac:dyDescent="0.2">
      <c r="A105"/>
      <c r="B105" s="1002">
        <v>102</v>
      </c>
      <c r="C105" s="1003">
        <v>32</v>
      </c>
      <c r="D105" s="1003">
        <v>0</v>
      </c>
      <c r="E105" s="1003"/>
      <c r="F105" s="1003">
        <f t="shared" si="24"/>
        <v>32</v>
      </c>
      <c r="G105" s="1004"/>
      <c r="H105" s="1003">
        <v>6</v>
      </c>
      <c r="I105" s="1003">
        <v>6</v>
      </c>
      <c r="J105" s="1005">
        <v>64</v>
      </c>
      <c r="K105" s="1"/>
      <c r="L105"/>
      <c r="M105" s="1002">
        <v>102</v>
      </c>
      <c r="N105" s="1003">
        <v>2</v>
      </c>
      <c r="O105" s="1003">
        <v>24</v>
      </c>
      <c r="P105" s="1003"/>
      <c r="Q105" s="1003">
        <f t="shared" si="25"/>
        <v>26</v>
      </c>
      <c r="R105" s="1004"/>
      <c r="S105" s="1003">
        <v>0</v>
      </c>
      <c r="T105" s="1003">
        <v>20</v>
      </c>
      <c r="U105" s="1005">
        <v>32</v>
      </c>
      <c r="V105"/>
      <c r="W105" s="1002">
        <v>102</v>
      </c>
      <c r="X105" s="1003"/>
      <c r="Y105" s="1003">
        <v>3</v>
      </c>
      <c r="Z105" s="1003">
        <f t="shared" si="42"/>
        <v>18</v>
      </c>
      <c r="AA105" s="1003">
        <f t="shared" si="33"/>
        <v>21</v>
      </c>
      <c r="AB105" s="1004"/>
      <c r="AC105" s="1003">
        <v>0</v>
      </c>
      <c r="AD105" s="1003">
        <v>10</v>
      </c>
      <c r="AE105" s="1005">
        <v>32</v>
      </c>
      <c r="AF105"/>
      <c r="AG105" s="1002">
        <v>102</v>
      </c>
      <c r="AH105" s="1003"/>
      <c r="AI105" s="1003"/>
      <c r="AJ105" s="1003"/>
      <c r="AK105" s="1003">
        <f t="shared" ref="AK105:AK131" si="43">AK99+1</f>
        <v>17</v>
      </c>
      <c r="AL105" s="1003">
        <f t="shared" si="37"/>
        <v>17</v>
      </c>
      <c r="AM105" s="1004"/>
      <c r="AN105" s="1003">
        <v>0</v>
      </c>
      <c r="AO105" s="1003">
        <f>AO104</f>
        <v>2</v>
      </c>
      <c r="AP105" s="1005">
        <v>32</v>
      </c>
      <c r="AQ105"/>
      <c r="AR105" s="1002">
        <v>102</v>
      </c>
      <c r="AS105" s="1003"/>
      <c r="AT105" s="1003"/>
      <c r="AU105" s="1003"/>
      <c r="AV105" s="1003">
        <v>3</v>
      </c>
      <c r="AW105" s="1003">
        <f t="shared" si="21"/>
        <v>12</v>
      </c>
      <c r="AX105" s="1003">
        <f t="shared" si="38"/>
        <v>15</v>
      </c>
      <c r="AY105" s="1004"/>
      <c r="AZ105" s="1003">
        <v>0</v>
      </c>
      <c r="BA105" s="1003">
        <f t="shared" si="36"/>
        <v>14</v>
      </c>
      <c r="BB105" s="1005">
        <v>16</v>
      </c>
      <c r="BC105"/>
      <c r="BD105" s="1002">
        <v>102</v>
      </c>
      <c r="BE105" s="1003"/>
      <c r="BF105" s="1003"/>
      <c r="BG105" s="1003"/>
      <c r="BH105" s="1003"/>
      <c r="BI105" s="1003">
        <v>2</v>
      </c>
      <c r="BJ105" s="1003">
        <f t="shared" si="23"/>
        <v>11</v>
      </c>
      <c r="BK105" s="1003">
        <f t="shared" si="39"/>
        <v>13</v>
      </c>
      <c r="BL105" s="1004"/>
      <c r="BM105" s="1003">
        <v>0</v>
      </c>
      <c r="BN105" s="1003">
        <f t="shared" si="22"/>
        <v>10</v>
      </c>
      <c r="BO105" s="1005">
        <v>16</v>
      </c>
      <c r="BP105"/>
      <c r="BQ105" s="1002">
        <v>102</v>
      </c>
      <c r="BR105" s="1003"/>
      <c r="BS105" s="1003"/>
      <c r="BT105" s="1003"/>
      <c r="BU105" s="1003"/>
      <c r="BV105" s="1003"/>
      <c r="BW105" s="1003">
        <v>6</v>
      </c>
      <c r="BX105" s="1003">
        <f t="shared" si="31"/>
        <v>6</v>
      </c>
      <c r="BY105" s="1003">
        <f t="shared" si="40"/>
        <v>12</v>
      </c>
      <c r="BZ105" s="1004"/>
      <c r="CA105" s="1003">
        <v>0</v>
      </c>
      <c r="CB105" s="1003">
        <f t="shared" si="32"/>
        <v>8</v>
      </c>
      <c r="CC105" s="1005">
        <v>16</v>
      </c>
      <c r="CD105"/>
      <c r="CE105" s="1002">
        <v>102</v>
      </c>
      <c r="CF105" s="1003"/>
      <c r="CG105" s="1003"/>
      <c r="CH105" s="1003"/>
      <c r="CI105" s="1003"/>
      <c r="CJ105" s="1003"/>
      <c r="CK105" s="1003"/>
      <c r="CL105" s="1003">
        <v>8</v>
      </c>
      <c r="CM105" s="1003">
        <f t="shared" si="35"/>
        <v>3</v>
      </c>
      <c r="CN105" s="1003">
        <f t="shared" si="41"/>
        <v>11</v>
      </c>
      <c r="CO105" s="1004"/>
      <c r="CP105" s="1003">
        <v>0</v>
      </c>
      <c r="CQ105" s="1003">
        <f t="shared" si="34"/>
        <v>6</v>
      </c>
      <c r="CR105" s="1005">
        <v>16</v>
      </c>
    </row>
    <row r="106" spans="1:96" outlineLevel="1" x14ac:dyDescent="0.2">
      <c r="A106"/>
      <c r="B106" s="1002">
        <v>103</v>
      </c>
      <c r="C106" s="1003">
        <v>32</v>
      </c>
      <c r="D106" s="1003">
        <v>0</v>
      </c>
      <c r="E106" s="1003"/>
      <c r="F106" s="1003">
        <f t="shared" si="24"/>
        <v>32</v>
      </c>
      <c r="G106" s="1004"/>
      <c r="H106" s="1003">
        <v>7</v>
      </c>
      <c r="I106" s="1003">
        <v>7</v>
      </c>
      <c r="J106" s="1005">
        <v>64</v>
      </c>
      <c r="K106" s="1"/>
      <c r="L106"/>
      <c r="M106" s="1002">
        <v>103</v>
      </c>
      <c r="N106" s="1003">
        <v>1</v>
      </c>
      <c r="O106" s="1003">
        <v>25</v>
      </c>
      <c r="P106" s="1003"/>
      <c r="Q106" s="1003">
        <f t="shared" si="25"/>
        <v>26</v>
      </c>
      <c r="R106" s="1004"/>
      <c r="S106" s="1003">
        <v>0</v>
      </c>
      <c r="T106" s="1003">
        <v>20</v>
      </c>
      <c r="U106" s="1005">
        <v>32</v>
      </c>
      <c r="V106"/>
      <c r="W106" s="1002">
        <v>103</v>
      </c>
      <c r="X106" s="1003"/>
      <c r="Y106" s="1003">
        <v>2</v>
      </c>
      <c r="Z106" s="1003">
        <f t="shared" si="42"/>
        <v>19</v>
      </c>
      <c r="AA106" s="1003">
        <f t="shared" si="33"/>
        <v>21</v>
      </c>
      <c r="AB106" s="1004"/>
      <c r="AC106" s="1003">
        <v>0</v>
      </c>
      <c r="AD106" s="1003">
        <v>10</v>
      </c>
      <c r="AE106" s="1005">
        <v>32</v>
      </c>
      <c r="AF106"/>
      <c r="AG106" s="1002">
        <v>103</v>
      </c>
      <c r="AH106" s="1003"/>
      <c r="AI106" s="1003"/>
      <c r="AJ106" s="1009">
        <v>5</v>
      </c>
      <c r="AK106" s="1003">
        <f t="shared" si="43"/>
        <v>13</v>
      </c>
      <c r="AL106" s="1003">
        <f t="shared" si="37"/>
        <v>18</v>
      </c>
      <c r="AM106" s="1004"/>
      <c r="AN106" s="1003">
        <v>0</v>
      </c>
      <c r="AO106" s="1003">
        <f>AO100+2</f>
        <v>4</v>
      </c>
      <c r="AP106" s="1005">
        <v>32</v>
      </c>
      <c r="AQ106"/>
      <c r="AR106" s="1002">
        <v>103</v>
      </c>
      <c r="AS106" s="1003"/>
      <c r="AT106" s="1003"/>
      <c r="AU106" s="1009"/>
      <c r="AV106" s="1003">
        <v>2</v>
      </c>
      <c r="AW106" s="1003">
        <f t="shared" si="21"/>
        <v>13</v>
      </c>
      <c r="AX106" s="1003">
        <f t="shared" si="38"/>
        <v>15</v>
      </c>
      <c r="AY106" s="1004"/>
      <c r="AZ106" s="1003">
        <v>0</v>
      </c>
      <c r="BA106" s="1003">
        <f t="shared" si="36"/>
        <v>14</v>
      </c>
      <c r="BB106" s="1005">
        <v>16</v>
      </c>
      <c r="BC106"/>
      <c r="BD106" s="1002">
        <v>103</v>
      </c>
      <c r="BE106" s="1003"/>
      <c r="BF106" s="1003"/>
      <c r="BG106" s="1009"/>
      <c r="BH106" s="1003"/>
      <c r="BI106" s="1003">
        <v>1</v>
      </c>
      <c r="BJ106" s="1003">
        <f t="shared" si="23"/>
        <v>12</v>
      </c>
      <c r="BK106" s="1003">
        <f t="shared" si="39"/>
        <v>13</v>
      </c>
      <c r="BL106" s="1004"/>
      <c r="BM106" s="1003">
        <v>0</v>
      </c>
      <c r="BN106" s="1003">
        <f t="shared" si="22"/>
        <v>10</v>
      </c>
      <c r="BO106" s="1005">
        <v>16</v>
      </c>
      <c r="BP106"/>
      <c r="BQ106" s="1002">
        <v>103</v>
      </c>
      <c r="BR106" s="1003"/>
      <c r="BS106" s="1003"/>
      <c r="BT106" s="1009"/>
      <c r="BU106" s="1003"/>
      <c r="BV106" s="1003"/>
      <c r="BW106" s="1003">
        <v>5</v>
      </c>
      <c r="BX106" s="1003">
        <f t="shared" si="31"/>
        <v>7</v>
      </c>
      <c r="BY106" s="1003">
        <f t="shared" si="40"/>
        <v>12</v>
      </c>
      <c r="BZ106" s="1004"/>
      <c r="CA106" s="1003">
        <v>0</v>
      </c>
      <c r="CB106" s="1003">
        <f t="shared" si="32"/>
        <v>8</v>
      </c>
      <c r="CC106" s="1005">
        <v>16</v>
      </c>
      <c r="CD106"/>
      <c r="CE106" s="1002">
        <v>103</v>
      </c>
      <c r="CF106" s="1003"/>
      <c r="CG106" s="1003"/>
      <c r="CH106" s="1009"/>
      <c r="CI106" s="1003"/>
      <c r="CJ106" s="1003"/>
      <c r="CK106" s="1003"/>
      <c r="CL106" s="1003">
        <v>7</v>
      </c>
      <c r="CM106" s="1003">
        <f t="shared" si="35"/>
        <v>4</v>
      </c>
      <c r="CN106" s="1003">
        <f t="shared" si="41"/>
        <v>11</v>
      </c>
      <c r="CO106" s="1004"/>
      <c r="CP106" s="1003">
        <v>0</v>
      </c>
      <c r="CQ106" s="1003">
        <f t="shared" si="34"/>
        <v>6</v>
      </c>
      <c r="CR106" s="1005">
        <v>16</v>
      </c>
    </row>
    <row r="107" spans="1:96" outlineLevel="1" x14ac:dyDescent="0.2">
      <c r="A107"/>
      <c r="B107" s="1002">
        <v>104</v>
      </c>
      <c r="C107" s="1003">
        <v>32</v>
      </c>
      <c r="D107" s="1003">
        <v>0</v>
      </c>
      <c r="E107" s="1003"/>
      <c r="F107" s="1003">
        <f t="shared" si="24"/>
        <v>32</v>
      </c>
      <c r="G107" s="1004"/>
      <c r="H107" s="1003">
        <v>8</v>
      </c>
      <c r="I107" s="1003">
        <v>8</v>
      </c>
      <c r="J107" s="1005">
        <v>64</v>
      </c>
      <c r="K107" s="1"/>
      <c r="L107"/>
      <c r="M107" s="1002">
        <v>104</v>
      </c>
      <c r="N107" s="1003">
        <v>0</v>
      </c>
      <c r="O107" s="1003">
        <v>26</v>
      </c>
      <c r="P107" s="1003"/>
      <c r="Q107" s="1003">
        <f t="shared" si="25"/>
        <v>26</v>
      </c>
      <c r="R107" s="1004"/>
      <c r="S107" s="1003">
        <v>0</v>
      </c>
      <c r="T107" s="1003">
        <v>20</v>
      </c>
      <c r="U107" s="1005">
        <v>32</v>
      </c>
      <c r="V107"/>
      <c r="W107" s="1002">
        <v>104</v>
      </c>
      <c r="X107" s="1003"/>
      <c r="Y107" s="1003">
        <v>1</v>
      </c>
      <c r="Z107" s="1003">
        <f t="shared" si="42"/>
        <v>20</v>
      </c>
      <c r="AA107" s="1003">
        <f t="shared" si="33"/>
        <v>21</v>
      </c>
      <c r="AB107" s="1004"/>
      <c r="AC107" s="1003">
        <v>0</v>
      </c>
      <c r="AD107" s="1003">
        <v>10</v>
      </c>
      <c r="AE107" s="1005">
        <v>32</v>
      </c>
      <c r="AF107"/>
      <c r="AG107" s="1002">
        <v>104</v>
      </c>
      <c r="AH107" s="1003"/>
      <c r="AI107" s="1003"/>
      <c r="AJ107" s="1003">
        <v>4</v>
      </c>
      <c r="AK107" s="1003">
        <f t="shared" si="43"/>
        <v>14</v>
      </c>
      <c r="AL107" s="1003">
        <f t="shared" si="37"/>
        <v>18</v>
      </c>
      <c r="AM107" s="1004"/>
      <c r="AN107" s="1003">
        <v>0</v>
      </c>
      <c r="AO107" s="1003">
        <f>AO106</f>
        <v>4</v>
      </c>
      <c r="AP107" s="1005">
        <v>32</v>
      </c>
      <c r="AQ107"/>
      <c r="AR107" s="1002">
        <v>104</v>
      </c>
      <c r="AS107" s="1003"/>
      <c r="AT107" s="1003"/>
      <c r="AU107" s="1003"/>
      <c r="AV107" s="1003">
        <v>1</v>
      </c>
      <c r="AW107" s="1003">
        <f t="shared" si="21"/>
        <v>14</v>
      </c>
      <c r="AX107" s="1003">
        <f t="shared" si="38"/>
        <v>15</v>
      </c>
      <c r="AY107" s="1004"/>
      <c r="AZ107" s="1003">
        <v>0</v>
      </c>
      <c r="BA107" s="1003">
        <f t="shared" si="36"/>
        <v>14</v>
      </c>
      <c r="BB107" s="1005">
        <v>16</v>
      </c>
      <c r="BC107"/>
      <c r="BD107" s="1002">
        <v>104</v>
      </c>
      <c r="BE107" s="1003"/>
      <c r="BF107" s="1003"/>
      <c r="BG107" s="1003"/>
      <c r="BH107" s="1003"/>
      <c r="BI107" s="1003"/>
      <c r="BJ107" s="1003">
        <f t="shared" si="23"/>
        <v>13</v>
      </c>
      <c r="BK107" s="1003">
        <f t="shared" si="39"/>
        <v>13</v>
      </c>
      <c r="BL107" s="1004"/>
      <c r="BM107" s="1003">
        <v>0</v>
      </c>
      <c r="BN107" s="1003">
        <f t="shared" si="22"/>
        <v>10</v>
      </c>
      <c r="BO107" s="1005">
        <v>16</v>
      </c>
      <c r="BP107"/>
      <c r="BQ107" s="1002">
        <v>104</v>
      </c>
      <c r="BR107" s="1003"/>
      <c r="BS107" s="1003"/>
      <c r="BT107" s="1003"/>
      <c r="BU107" s="1003"/>
      <c r="BV107" s="1003"/>
      <c r="BW107" s="1003">
        <v>4</v>
      </c>
      <c r="BX107" s="1003">
        <f t="shared" si="31"/>
        <v>8</v>
      </c>
      <c r="BY107" s="1003">
        <f t="shared" si="40"/>
        <v>12</v>
      </c>
      <c r="BZ107" s="1004"/>
      <c r="CA107" s="1003">
        <v>0</v>
      </c>
      <c r="CB107" s="1003">
        <f t="shared" si="32"/>
        <v>8</v>
      </c>
      <c r="CC107" s="1005">
        <v>16</v>
      </c>
      <c r="CD107"/>
      <c r="CE107" s="1002">
        <v>104</v>
      </c>
      <c r="CF107" s="1003"/>
      <c r="CG107" s="1003"/>
      <c r="CH107" s="1003"/>
      <c r="CI107" s="1003"/>
      <c r="CJ107" s="1003"/>
      <c r="CK107" s="1003"/>
      <c r="CL107" s="1003">
        <v>6</v>
      </c>
      <c r="CM107" s="1003">
        <f t="shared" si="35"/>
        <v>5</v>
      </c>
      <c r="CN107" s="1003">
        <f t="shared" si="41"/>
        <v>11</v>
      </c>
      <c r="CO107" s="1004"/>
      <c r="CP107" s="1003">
        <v>0</v>
      </c>
      <c r="CQ107" s="1003">
        <f t="shared" si="34"/>
        <v>6</v>
      </c>
      <c r="CR107" s="1005">
        <v>16</v>
      </c>
    </row>
    <row r="108" spans="1:96" outlineLevel="1" x14ac:dyDescent="0.2">
      <c r="A108"/>
      <c r="B108" s="1002">
        <v>105</v>
      </c>
      <c r="C108" s="1003">
        <v>32</v>
      </c>
      <c r="D108" s="1003">
        <v>0</v>
      </c>
      <c r="E108" s="1003"/>
      <c r="F108" s="1003">
        <f t="shared" si="24"/>
        <v>32</v>
      </c>
      <c r="G108" s="1004"/>
      <c r="H108" s="1003">
        <v>9</v>
      </c>
      <c r="I108" s="1003">
        <v>9</v>
      </c>
      <c r="J108" s="1005">
        <v>64</v>
      </c>
      <c r="K108" s="1"/>
      <c r="L108"/>
      <c r="M108" s="1002">
        <v>105</v>
      </c>
      <c r="N108" s="1003">
        <v>3</v>
      </c>
      <c r="O108" s="1003">
        <v>24</v>
      </c>
      <c r="P108" s="1003"/>
      <c r="Q108" s="1003">
        <f t="shared" si="25"/>
        <v>27</v>
      </c>
      <c r="R108" s="1004"/>
      <c r="S108" s="1003">
        <v>0</v>
      </c>
      <c r="T108" s="1003">
        <v>22</v>
      </c>
      <c r="U108" s="1005">
        <v>32</v>
      </c>
      <c r="V108"/>
      <c r="W108" s="1002">
        <v>105</v>
      </c>
      <c r="X108" s="1003"/>
      <c r="Y108" s="1003"/>
      <c r="Z108" s="1003">
        <f t="shared" si="42"/>
        <v>21</v>
      </c>
      <c r="AA108" s="1003">
        <f t="shared" si="33"/>
        <v>21</v>
      </c>
      <c r="AB108" s="1004"/>
      <c r="AC108" s="1003">
        <v>0</v>
      </c>
      <c r="AD108" s="1003">
        <v>10</v>
      </c>
      <c r="AE108" s="1005">
        <v>32</v>
      </c>
      <c r="AF108"/>
      <c r="AG108" s="1002">
        <v>105</v>
      </c>
      <c r="AH108" s="1003"/>
      <c r="AI108" s="1003"/>
      <c r="AJ108" s="1003">
        <v>3</v>
      </c>
      <c r="AK108" s="1003">
        <f t="shared" si="43"/>
        <v>15</v>
      </c>
      <c r="AL108" s="1003">
        <f t="shared" si="37"/>
        <v>18</v>
      </c>
      <c r="AM108" s="1004"/>
      <c r="AN108" s="1003">
        <v>0</v>
      </c>
      <c r="AO108" s="1003">
        <f>AO107</f>
        <v>4</v>
      </c>
      <c r="AP108" s="1005">
        <v>32</v>
      </c>
      <c r="AQ108"/>
      <c r="AR108" s="1002">
        <v>105</v>
      </c>
      <c r="AS108" s="1003"/>
      <c r="AT108" s="1003"/>
      <c r="AU108" s="1003"/>
      <c r="AV108" s="1003"/>
      <c r="AW108" s="1003">
        <f t="shared" si="21"/>
        <v>15</v>
      </c>
      <c r="AX108" s="1003">
        <f t="shared" si="38"/>
        <v>15</v>
      </c>
      <c r="AY108" s="1004"/>
      <c r="AZ108" s="1003">
        <v>0</v>
      </c>
      <c r="BA108" s="1003">
        <f t="shared" si="36"/>
        <v>14</v>
      </c>
      <c r="BB108" s="1005">
        <v>16</v>
      </c>
      <c r="BC108"/>
      <c r="BD108" s="1002">
        <v>105</v>
      </c>
      <c r="BE108" s="1003"/>
      <c r="BF108" s="1003"/>
      <c r="BG108" s="1003"/>
      <c r="BH108" s="1003"/>
      <c r="BI108" s="1003">
        <v>7</v>
      </c>
      <c r="BJ108" s="1003">
        <f t="shared" si="23"/>
        <v>7</v>
      </c>
      <c r="BK108" s="1003">
        <f t="shared" si="39"/>
        <v>14</v>
      </c>
      <c r="BL108" s="1004"/>
      <c r="BM108" s="1003">
        <v>0</v>
      </c>
      <c r="BN108" s="1003">
        <f t="shared" si="22"/>
        <v>12</v>
      </c>
      <c r="BO108" s="1005">
        <v>16</v>
      </c>
      <c r="BP108"/>
      <c r="BQ108" s="1002">
        <v>105</v>
      </c>
      <c r="BR108" s="1003"/>
      <c r="BS108" s="1003"/>
      <c r="BT108" s="1003"/>
      <c r="BU108" s="1003"/>
      <c r="BV108" s="1003"/>
      <c r="BW108" s="1003">
        <v>3</v>
      </c>
      <c r="BX108" s="1003">
        <f t="shared" si="31"/>
        <v>9</v>
      </c>
      <c r="BY108" s="1003">
        <f t="shared" si="40"/>
        <v>12</v>
      </c>
      <c r="BZ108" s="1004"/>
      <c r="CA108" s="1003">
        <v>0</v>
      </c>
      <c r="CB108" s="1003">
        <f t="shared" si="32"/>
        <v>8</v>
      </c>
      <c r="CC108" s="1005">
        <v>16</v>
      </c>
      <c r="CD108"/>
      <c r="CE108" s="1002">
        <v>105</v>
      </c>
      <c r="CF108" s="1003"/>
      <c r="CG108" s="1003"/>
      <c r="CH108" s="1003"/>
      <c r="CI108" s="1003"/>
      <c r="CJ108" s="1003"/>
      <c r="CK108" s="1003"/>
      <c r="CL108" s="1003">
        <v>5</v>
      </c>
      <c r="CM108" s="1003">
        <f t="shared" si="35"/>
        <v>6</v>
      </c>
      <c r="CN108" s="1003">
        <f t="shared" si="41"/>
        <v>11</v>
      </c>
      <c r="CO108" s="1004"/>
      <c r="CP108" s="1003">
        <v>0</v>
      </c>
      <c r="CQ108" s="1003">
        <f t="shared" si="34"/>
        <v>6</v>
      </c>
      <c r="CR108" s="1005">
        <v>16</v>
      </c>
    </row>
    <row r="109" spans="1:96" outlineLevel="1" x14ac:dyDescent="0.2">
      <c r="A109"/>
      <c r="B109" s="1002">
        <v>106</v>
      </c>
      <c r="C109" s="1003">
        <v>32</v>
      </c>
      <c r="D109" s="1003">
        <v>0</v>
      </c>
      <c r="E109" s="1003"/>
      <c r="F109" s="1003">
        <f t="shared" si="24"/>
        <v>32</v>
      </c>
      <c r="G109" s="1004"/>
      <c r="H109" s="1003">
        <v>10</v>
      </c>
      <c r="I109" s="1003">
        <v>10</v>
      </c>
      <c r="J109" s="1005">
        <v>64</v>
      </c>
      <c r="K109" s="1"/>
      <c r="L109"/>
      <c r="M109" s="1002">
        <v>106</v>
      </c>
      <c r="N109" s="1003">
        <v>2</v>
      </c>
      <c r="O109" s="1003">
        <v>25</v>
      </c>
      <c r="P109" s="1003"/>
      <c r="Q109" s="1003">
        <f t="shared" si="25"/>
        <v>27</v>
      </c>
      <c r="R109" s="1004"/>
      <c r="S109" s="1003">
        <v>0</v>
      </c>
      <c r="T109" s="1003">
        <v>22</v>
      </c>
      <c r="U109" s="1005">
        <v>32</v>
      </c>
      <c r="V109"/>
      <c r="W109" s="1002">
        <v>106</v>
      </c>
      <c r="X109" s="1003"/>
      <c r="Y109" s="1003">
        <v>4</v>
      </c>
      <c r="Z109" s="1003">
        <f t="shared" si="42"/>
        <v>18</v>
      </c>
      <c r="AA109" s="1003">
        <f t="shared" si="33"/>
        <v>22</v>
      </c>
      <c r="AB109" s="1004"/>
      <c r="AC109" s="1003">
        <v>0</v>
      </c>
      <c r="AD109" s="1003">
        <v>12</v>
      </c>
      <c r="AE109" s="1005">
        <v>32</v>
      </c>
      <c r="AF109"/>
      <c r="AG109" s="1002">
        <v>106</v>
      </c>
      <c r="AH109" s="1003"/>
      <c r="AI109" s="1003"/>
      <c r="AJ109" s="1003">
        <v>2</v>
      </c>
      <c r="AK109" s="1003">
        <f t="shared" si="43"/>
        <v>16</v>
      </c>
      <c r="AL109" s="1003">
        <f t="shared" si="37"/>
        <v>18</v>
      </c>
      <c r="AM109" s="1004"/>
      <c r="AN109" s="1003">
        <v>0</v>
      </c>
      <c r="AO109" s="1003">
        <f>AO108</f>
        <v>4</v>
      </c>
      <c r="AP109" s="1005">
        <v>32</v>
      </c>
      <c r="AQ109"/>
      <c r="AR109" s="1002">
        <v>106</v>
      </c>
      <c r="AS109" s="1003"/>
      <c r="AT109" s="1003"/>
      <c r="AU109" s="1003"/>
      <c r="AV109" s="1003">
        <v>6</v>
      </c>
      <c r="AW109" s="1003">
        <f t="shared" si="21"/>
        <v>10</v>
      </c>
      <c r="AX109" s="1003">
        <f t="shared" si="38"/>
        <v>16</v>
      </c>
      <c r="AY109" s="1004"/>
      <c r="AZ109" s="1003">
        <v>0</v>
      </c>
      <c r="BA109" s="1003">
        <v>0</v>
      </c>
      <c r="BB109" s="1005">
        <v>32</v>
      </c>
      <c r="BC109"/>
      <c r="BD109" s="1002">
        <v>106</v>
      </c>
      <c r="BE109" s="1003"/>
      <c r="BF109" s="1003"/>
      <c r="BG109" s="1003"/>
      <c r="BH109" s="1003"/>
      <c r="BI109" s="1003">
        <v>6</v>
      </c>
      <c r="BJ109" s="1003">
        <f t="shared" si="23"/>
        <v>8</v>
      </c>
      <c r="BK109" s="1003">
        <f t="shared" si="39"/>
        <v>14</v>
      </c>
      <c r="BL109" s="1004"/>
      <c r="BM109" s="1003">
        <v>0</v>
      </c>
      <c r="BN109" s="1003">
        <f t="shared" si="22"/>
        <v>12</v>
      </c>
      <c r="BO109" s="1005">
        <v>16</v>
      </c>
      <c r="BP109"/>
      <c r="BQ109" s="1002">
        <v>106</v>
      </c>
      <c r="BR109" s="1003"/>
      <c r="BS109" s="1003"/>
      <c r="BT109" s="1003"/>
      <c r="BU109" s="1003"/>
      <c r="BV109" s="1003"/>
      <c r="BW109" s="1003">
        <v>2</v>
      </c>
      <c r="BX109" s="1003">
        <f t="shared" si="31"/>
        <v>10</v>
      </c>
      <c r="BY109" s="1003">
        <f t="shared" si="40"/>
        <v>12</v>
      </c>
      <c r="BZ109" s="1004"/>
      <c r="CA109" s="1003">
        <v>0</v>
      </c>
      <c r="CB109" s="1003">
        <f t="shared" si="32"/>
        <v>8</v>
      </c>
      <c r="CC109" s="1005">
        <v>16</v>
      </c>
      <c r="CD109"/>
      <c r="CE109" s="1002">
        <v>106</v>
      </c>
      <c r="CF109" s="1003"/>
      <c r="CG109" s="1003"/>
      <c r="CH109" s="1003"/>
      <c r="CI109" s="1003"/>
      <c r="CJ109" s="1003"/>
      <c r="CK109" s="1003"/>
      <c r="CL109" s="1003">
        <v>4</v>
      </c>
      <c r="CM109" s="1003">
        <f t="shared" si="35"/>
        <v>7</v>
      </c>
      <c r="CN109" s="1003">
        <f t="shared" si="41"/>
        <v>11</v>
      </c>
      <c r="CO109" s="1004"/>
      <c r="CP109" s="1003">
        <v>0</v>
      </c>
      <c r="CQ109" s="1003">
        <f t="shared" si="34"/>
        <v>6</v>
      </c>
      <c r="CR109" s="1005">
        <v>16</v>
      </c>
    </row>
    <row r="110" spans="1:96" outlineLevel="1" x14ac:dyDescent="0.2">
      <c r="A110"/>
      <c r="B110" s="1002">
        <v>107</v>
      </c>
      <c r="C110" s="1003">
        <v>32</v>
      </c>
      <c r="D110" s="1003">
        <v>0</v>
      </c>
      <c r="E110" s="1003"/>
      <c r="F110" s="1003">
        <f t="shared" si="24"/>
        <v>32</v>
      </c>
      <c r="G110" s="1004"/>
      <c r="H110" s="1003">
        <v>11</v>
      </c>
      <c r="I110" s="1003">
        <v>11</v>
      </c>
      <c r="J110" s="1005">
        <v>64</v>
      </c>
      <c r="K110" s="1"/>
      <c r="L110"/>
      <c r="M110" s="1002">
        <v>107</v>
      </c>
      <c r="N110" s="1003">
        <v>1</v>
      </c>
      <c r="O110" s="1003">
        <v>26</v>
      </c>
      <c r="P110" s="1003"/>
      <c r="Q110" s="1003">
        <f t="shared" si="25"/>
        <v>27</v>
      </c>
      <c r="R110" s="1004"/>
      <c r="S110" s="1003">
        <v>0</v>
      </c>
      <c r="T110" s="1003">
        <v>22</v>
      </c>
      <c r="U110" s="1005">
        <v>32</v>
      </c>
      <c r="V110"/>
      <c r="W110" s="1002">
        <v>107</v>
      </c>
      <c r="X110" s="1003"/>
      <c r="Y110" s="1003">
        <v>3</v>
      </c>
      <c r="Z110" s="1003">
        <f t="shared" si="42"/>
        <v>19</v>
      </c>
      <c r="AA110" s="1003">
        <f t="shared" si="33"/>
        <v>22</v>
      </c>
      <c r="AB110" s="1004"/>
      <c r="AC110" s="1003">
        <v>0</v>
      </c>
      <c r="AD110" s="1003">
        <v>12</v>
      </c>
      <c r="AE110" s="1005">
        <v>32</v>
      </c>
      <c r="AF110"/>
      <c r="AG110" s="1002">
        <v>107</v>
      </c>
      <c r="AH110" s="1003"/>
      <c r="AI110" s="1003"/>
      <c r="AJ110" s="1003">
        <v>1</v>
      </c>
      <c r="AK110" s="1003">
        <f t="shared" si="43"/>
        <v>17</v>
      </c>
      <c r="AL110" s="1003">
        <f t="shared" si="37"/>
        <v>18</v>
      </c>
      <c r="AM110" s="1004"/>
      <c r="AN110" s="1003">
        <v>0</v>
      </c>
      <c r="AO110" s="1003">
        <f>AO109</f>
        <v>4</v>
      </c>
      <c r="AP110" s="1005">
        <v>32</v>
      </c>
      <c r="AQ110"/>
      <c r="AR110" s="1002">
        <v>107</v>
      </c>
      <c r="AS110" s="1003"/>
      <c r="AT110" s="1003"/>
      <c r="AU110" s="1003"/>
      <c r="AV110" s="1003">
        <v>5</v>
      </c>
      <c r="AW110" s="1003">
        <f t="shared" si="21"/>
        <v>11</v>
      </c>
      <c r="AX110" s="1003">
        <f t="shared" si="38"/>
        <v>16</v>
      </c>
      <c r="AY110" s="1004"/>
      <c r="AZ110" s="1003">
        <v>0</v>
      </c>
      <c r="BA110" s="1003">
        <v>0</v>
      </c>
      <c r="BB110" s="1005">
        <v>32</v>
      </c>
      <c r="BC110"/>
      <c r="BD110" s="1002">
        <v>107</v>
      </c>
      <c r="BE110" s="1003"/>
      <c r="BF110" s="1003"/>
      <c r="BG110" s="1003"/>
      <c r="BH110" s="1003"/>
      <c r="BI110" s="1003">
        <v>5</v>
      </c>
      <c r="BJ110" s="1003">
        <f t="shared" si="23"/>
        <v>9</v>
      </c>
      <c r="BK110" s="1003">
        <f t="shared" si="39"/>
        <v>14</v>
      </c>
      <c r="BL110" s="1004"/>
      <c r="BM110" s="1003">
        <v>0</v>
      </c>
      <c r="BN110" s="1003">
        <f t="shared" si="22"/>
        <v>12</v>
      </c>
      <c r="BO110" s="1005">
        <v>16</v>
      </c>
      <c r="BP110"/>
      <c r="BQ110" s="1002">
        <v>107</v>
      </c>
      <c r="BR110" s="1003"/>
      <c r="BS110" s="1003"/>
      <c r="BT110" s="1003"/>
      <c r="BU110" s="1003"/>
      <c r="BV110" s="1003"/>
      <c r="BW110" s="1003">
        <v>1</v>
      </c>
      <c r="BX110" s="1003">
        <f t="shared" si="31"/>
        <v>11</v>
      </c>
      <c r="BY110" s="1003">
        <f t="shared" si="40"/>
        <v>12</v>
      </c>
      <c r="BZ110" s="1004"/>
      <c r="CA110" s="1003">
        <v>0</v>
      </c>
      <c r="CB110" s="1003">
        <f t="shared" si="32"/>
        <v>8</v>
      </c>
      <c r="CC110" s="1005">
        <v>16</v>
      </c>
      <c r="CD110"/>
      <c r="CE110" s="1002">
        <v>107</v>
      </c>
      <c r="CF110" s="1003"/>
      <c r="CG110" s="1003"/>
      <c r="CH110" s="1003"/>
      <c r="CI110" s="1003"/>
      <c r="CJ110" s="1003"/>
      <c r="CK110" s="1003"/>
      <c r="CL110" s="1003">
        <v>3</v>
      </c>
      <c r="CM110" s="1003">
        <f t="shared" si="35"/>
        <v>8</v>
      </c>
      <c r="CN110" s="1003">
        <f t="shared" si="41"/>
        <v>11</v>
      </c>
      <c r="CO110" s="1004"/>
      <c r="CP110" s="1003">
        <v>0</v>
      </c>
      <c r="CQ110" s="1003">
        <f t="shared" si="34"/>
        <v>6</v>
      </c>
      <c r="CR110" s="1005">
        <v>16</v>
      </c>
    </row>
    <row r="111" spans="1:96" outlineLevel="1" x14ac:dyDescent="0.2">
      <c r="A111"/>
      <c r="B111" s="1002">
        <v>108</v>
      </c>
      <c r="C111" s="1003">
        <v>32</v>
      </c>
      <c r="D111" s="1003">
        <v>0</v>
      </c>
      <c r="E111" s="1003"/>
      <c r="F111" s="1003">
        <f t="shared" si="24"/>
        <v>32</v>
      </c>
      <c r="G111" s="1004"/>
      <c r="H111" s="1003">
        <v>12</v>
      </c>
      <c r="I111" s="1003">
        <v>12</v>
      </c>
      <c r="J111" s="1005">
        <v>64</v>
      </c>
      <c r="K111" s="1"/>
      <c r="L111"/>
      <c r="M111" s="1002">
        <v>108</v>
      </c>
      <c r="N111" s="1003">
        <v>0</v>
      </c>
      <c r="O111" s="1003">
        <v>27</v>
      </c>
      <c r="P111" s="1003"/>
      <c r="Q111" s="1003">
        <f t="shared" si="25"/>
        <v>27</v>
      </c>
      <c r="R111" s="1004"/>
      <c r="S111" s="1003">
        <v>0</v>
      </c>
      <c r="T111" s="1003">
        <v>22</v>
      </c>
      <c r="U111" s="1005">
        <v>32</v>
      </c>
      <c r="V111"/>
      <c r="W111" s="1002">
        <v>108</v>
      </c>
      <c r="X111" s="1003"/>
      <c r="Y111" s="1003">
        <v>2</v>
      </c>
      <c r="Z111" s="1003">
        <f t="shared" si="42"/>
        <v>20</v>
      </c>
      <c r="AA111" s="1003">
        <f t="shared" si="33"/>
        <v>22</v>
      </c>
      <c r="AB111" s="1004"/>
      <c r="AC111" s="1003">
        <v>0</v>
      </c>
      <c r="AD111" s="1003">
        <v>12</v>
      </c>
      <c r="AE111" s="1005">
        <v>32</v>
      </c>
      <c r="AF111"/>
      <c r="AG111" s="1002">
        <v>108</v>
      </c>
      <c r="AH111" s="1003"/>
      <c r="AI111" s="1003"/>
      <c r="AJ111" s="1003"/>
      <c r="AK111" s="1003">
        <f t="shared" si="43"/>
        <v>18</v>
      </c>
      <c r="AL111" s="1003">
        <f t="shared" si="37"/>
        <v>18</v>
      </c>
      <c r="AM111" s="1004"/>
      <c r="AN111" s="1003">
        <v>0</v>
      </c>
      <c r="AO111" s="1003">
        <f>AO110</f>
        <v>4</v>
      </c>
      <c r="AP111" s="1005">
        <v>32</v>
      </c>
      <c r="AQ111"/>
      <c r="AR111" s="1002">
        <v>108</v>
      </c>
      <c r="AS111" s="1003"/>
      <c r="AT111" s="1003"/>
      <c r="AU111" s="1003"/>
      <c r="AV111" s="1003">
        <v>4</v>
      </c>
      <c r="AW111" s="1003">
        <f t="shared" si="21"/>
        <v>12</v>
      </c>
      <c r="AX111" s="1003">
        <f t="shared" si="38"/>
        <v>16</v>
      </c>
      <c r="AY111" s="1004"/>
      <c r="AZ111" s="1003">
        <v>0</v>
      </c>
      <c r="BA111" s="1003">
        <v>0</v>
      </c>
      <c r="BB111" s="1005">
        <v>32</v>
      </c>
      <c r="BC111"/>
      <c r="BD111" s="1002">
        <v>108</v>
      </c>
      <c r="BE111" s="1003"/>
      <c r="BF111" s="1003"/>
      <c r="BG111" s="1003"/>
      <c r="BH111" s="1003"/>
      <c r="BI111" s="1003">
        <v>4</v>
      </c>
      <c r="BJ111" s="1003">
        <f t="shared" si="23"/>
        <v>10</v>
      </c>
      <c r="BK111" s="1003">
        <f t="shared" si="39"/>
        <v>14</v>
      </c>
      <c r="BL111" s="1004"/>
      <c r="BM111" s="1003">
        <v>0</v>
      </c>
      <c r="BN111" s="1003">
        <f t="shared" si="22"/>
        <v>12</v>
      </c>
      <c r="BO111" s="1005">
        <v>16</v>
      </c>
      <c r="BP111"/>
      <c r="BQ111" s="1002">
        <v>108</v>
      </c>
      <c r="BR111" s="1003"/>
      <c r="BS111" s="1003"/>
      <c r="BT111" s="1003"/>
      <c r="BU111" s="1003"/>
      <c r="BV111" s="1003"/>
      <c r="BW111" s="1003"/>
      <c r="BX111" s="1003">
        <f t="shared" si="31"/>
        <v>12</v>
      </c>
      <c r="BY111" s="1003">
        <f t="shared" si="40"/>
        <v>12</v>
      </c>
      <c r="BZ111" s="1004"/>
      <c r="CA111" s="1003">
        <v>0</v>
      </c>
      <c r="CB111" s="1003">
        <f t="shared" si="32"/>
        <v>8</v>
      </c>
      <c r="CC111" s="1005">
        <v>16</v>
      </c>
      <c r="CD111"/>
      <c r="CE111" s="1002">
        <v>108</v>
      </c>
      <c r="CF111" s="1003"/>
      <c r="CG111" s="1003"/>
      <c r="CH111" s="1003"/>
      <c r="CI111" s="1003"/>
      <c r="CJ111" s="1003"/>
      <c r="CK111" s="1003"/>
      <c r="CL111" s="1003">
        <v>2</v>
      </c>
      <c r="CM111" s="1003">
        <f t="shared" si="35"/>
        <v>9</v>
      </c>
      <c r="CN111" s="1003">
        <f t="shared" si="41"/>
        <v>11</v>
      </c>
      <c r="CO111" s="1004"/>
      <c r="CP111" s="1003">
        <v>0</v>
      </c>
      <c r="CQ111" s="1003">
        <f t="shared" si="34"/>
        <v>6</v>
      </c>
      <c r="CR111" s="1005">
        <v>16</v>
      </c>
    </row>
    <row r="112" spans="1:96" outlineLevel="1" x14ac:dyDescent="0.2">
      <c r="A112"/>
      <c r="B112" s="1002">
        <v>109</v>
      </c>
      <c r="C112" s="1003">
        <v>32</v>
      </c>
      <c r="D112" s="1003">
        <v>0</v>
      </c>
      <c r="E112" s="1003"/>
      <c r="F112" s="1003">
        <f t="shared" si="24"/>
        <v>32</v>
      </c>
      <c r="G112" s="1004"/>
      <c r="H112" s="1003">
        <v>13</v>
      </c>
      <c r="I112" s="1003">
        <v>13</v>
      </c>
      <c r="J112" s="1005">
        <v>64</v>
      </c>
      <c r="K112" s="1"/>
      <c r="L112"/>
      <c r="M112" s="1002">
        <v>109</v>
      </c>
      <c r="N112" s="1003">
        <v>3</v>
      </c>
      <c r="O112" s="1003">
        <v>25</v>
      </c>
      <c r="P112" s="1003"/>
      <c r="Q112" s="1003">
        <f t="shared" si="25"/>
        <v>28</v>
      </c>
      <c r="R112" s="1004"/>
      <c r="S112" s="1003">
        <v>0</v>
      </c>
      <c r="T112" s="1003">
        <v>24</v>
      </c>
      <c r="U112" s="1005">
        <v>32</v>
      </c>
      <c r="V112"/>
      <c r="W112" s="1002">
        <v>109</v>
      </c>
      <c r="X112" s="1003"/>
      <c r="Y112" s="1003">
        <v>1</v>
      </c>
      <c r="Z112" s="1003">
        <f t="shared" si="42"/>
        <v>21</v>
      </c>
      <c r="AA112" s="1003">
        <f t="shared" si="33"/>
        <v>22</v>
      </c>
      <c r="AB112" s="1004"/>
      <c r="AC112" s="1003">
        <v>0</v>
      </c>
      <c r="AD112" s="1003">
        <v>12</v>
      </c>
      <c r="AE112" s="1005">
        <v>32</v>
      </c>
      <c r="AF112"/>
      <c r="AG112" s="1002">
        <v>109</v>
      </c>
      <c r="AH112" s="1003"/>
      <c r="AI112" s="1003"/>
      <c r="AJ112" s="1009">
        <v>5</v>
      </c>
      <c r="AK112" s="1003">
        <f t="shared" si="43"/>
        <v>14</v>
      </c>
      <c r="AL112" s="1003">
        <f t="shared" si="37"/>
        <v>19</v>
      </c>
      <c r="AM112" s="1004"/>
      <c r="AN112" s="1003">
        <v>0</v>
      </c>
      <c r="AO112" s="1003">
        <f>AO106+2</f>
        <v>6</v>
      </c>
      <c r="AP112" s="1005">
        <v>32</v>
      </c>
      <c r="AQ112"/>
      <c r="AR112" s="1002">
        <v>109</v>
      </c>
      <c r="AS112" s="1003"/>
      <c r="AT112" s="1003"/>
      <c r="AU112" s="1009"/>
      <c r="AV112" s="1003">
        <v>3</v>
      </c>
      <c r="AW112" s="1003">
        <f t="shared" si="21"/>
        <v>13</v>
      </c>
      <c r="AX112" s="1003">
        <f t="shared" si="38"/>
        <v>16</v>
      </c>
      <c r="AY112" s="1004"/>
      <c r="AZ112" s="1003">
        <v>0</v>
      </c>
      <c r="BA112" s="1003">
        <v>0</v>
      </c>
      <c r="BB112" s="1005">
        <v>32</v>
      </c>
      <c r="BC112"/>
      <c r="BD112" s="1002">
        <v>109</v>
      </c>
      <c r="BE112" s="1003"/>
      <c r="BF112" s="1003"/>
      <c r="BG112" s="1009"/>
      <c r="BH112" s="1003"/>
      <c r="BI112" s="1003">
        <v>3</v>
      </c>
      <c r="BJ112" s="1003">
        <f t="shared" si="23"/>
        <v>11</v>
      </c>
      <c r="BK112" s="1003">
        <f t="shared" si="39"/>
        <v>14</v>
      </c>
      <c r="BL112" s="1004"/>
      <c r="BM112" s="1003">
        <v>0</v>
      </c>
      <c r="BN112" s="1003">
        <f t="shared" si="22"/>
        <v>12</v>
      </c>
      <c r="BO112" s="1005">
        <v>16</v>
      </c>
      <c r="BP112"/>
      <c r="BQ112" s="1002">
        <v>109</v>
      </c>
      <c r="BR112" s="1003"/>
      <c r="BS112" s="1003"/>
      <c r="BT112" s="1009"/>
      <c r="BU112" s="1003"/>
      <c r="BV112" s="1003"/>
      <c r="BW112" s="1003">
        <v>8</v>
      </c>
      <c r="BX112" s="1003">
        <f t="shared" si="31"/>
        <v>5</v>
      </c>
      <c r="BY112" s="1003">
        <f t="shared" si="40"/>
        <v>13</v>
      </c>
      <c r="BZ112" s="1004"/>
      <c r="CA112" s="1003">
        <v>0</v>
      </c>
      <c r="CB112" s="1003">
        <f t="shared" si="32"/>
        <v>10</v>
      </c>
      <c r="CC112" s="1005">
        <v>16</v>
      </c>
      <c r="CD112"/>
      <c r="CE112" s="1002">
        <v>109</v>
      </c>
      <c r="CF112" s="1003"/>
      <c r="CG112" s="1003"/>
      <c r="CH112" s="1009"/>
      <c r="CI112" s="1003"/>
      <c r="CJ112" s="1003"/>
      <c r="CK112" s="1003"/>
      <c r="CL112" s="1003">
        <v>1</v>
      </c>
      <c r="CM112" s="1003">
        <f t="shared" si="35"/>
        <v>10</v>
      </c>
      <c r="CN112" s="1003">
        <f t="shared" si="41"/>
        <v>11</v>
      </c>
      <c r="CO112" s="1004"/>
      <c r="CP112" s="1003">
        <v>0</v>
      </c>
      <c r="CQ112" s="1003">
        <f t="shared" si="34"/>
        <v>6</v>
      </c>
      <c r="CR112" s="1005">
        <v>16</v>
      </c>
    </row>
    <row r="113" spans="1:96" outlineLevel="1" x14ac:dyDescent="0.2">
      <c r="A113"/>
      <c r="B113" s="1002">
        <v>110</v>
      </c>
      <c r="C113" s="1003">
        <v>32</v>
      </c>
      <c r="D113" s="1003">
        <v>0</v>
      </c>
      <c r="E113" s="1003"/>
      <c r="F113" s="1003">
        <f t="shared" si="24"/>
        <v>32</v>
      </c>
      <c r="G113" s="1004"/>
      <c r="H113" s="1003">
        <v>14</v>
      </c>
      <c r="I113" s="1003">
        <v>14</v>
      </c>
      <c r="J113" s="1005">
        <v>64</v>
      </c>
      <c r="K113" s="1"/>
      <c r="L113"/>
      <c r="M113" s="1002">
        <v>110</v>
      </c>
      <c r="N113" s="1003">
        <v>2</v>
      </c>
      <c r="O113" s="1003">
        <v>26</v>
      </c>
      <c r="P113" s="1003"/>
      <c r="Q113" s="1003">
        <f t="shared" si="25"/>
        <v>28</v>
      </c>
      <c r="R113" s="1004"/>
      <c r="S113" s="1003">
        <v>0</v>
      </c>
      <c r="T113" s="1003">
        <v>24</v>
      </c>
      <c r="U113" s="1005">
        <v>32</v>
      </c>
      <c r="V113"/>
      <c r="W113" s="1002">
        <v>110</v>
      </c>
      <c r="X113" s="1003"/>
      <c r="Y113" s="1003"/>
      <c r="Z113" s="1003">
        <f t="shared" si="42"/>
        <v>22</v>
      </c>
      <c r="AA113" s="1003">
        <f t="shared" si="33"/>
        <v>22</v>
      </c>
      <c r="AB113" s="1004"/>
      <c r="AC113" s="1003">
        <v>0</v>
      </c>
      <c r="AD113" s="1003">
        <v>12</v>
      </c>
      <c r="AE113" s="1005">
        <v>32</v>
      </c>
      <c r="AF113"/>
      <c r="AG113" s="1002">
        <v>110</v>
      </c>
      <c r="AH113" s="1003"/>
      <c r="AI113" s="1003"/>
      <c r="AJ113" s="1003">
        <v>4</v>
      </c>
      <c r="AK113" s="1003">
        <f t="shared" si="43"/>
        <v>15</v>
      </c>
      <c r="AL113" s="1003">
        <f t="shared" si="37"/>
        <v>19</v>
      </c>
      <c r="AM113" s="1004"/>
      <c r="AN113" s="1003">
        <v>0</v>
      </c>
      <c r="AO113" s="1003">
        <f>AO112</f>
        <v>6</v>
      </c>
      <c r="AP113" s="1005">
        <v>32</v>
      </c>
      <c r="AQ113"/>
      <c r="AR113" s="1002">
        <v>110</v>
      </c>
      <c r="AS113" s="1003"/>
      <c r="AT113" s="1003"/>
      <c r="AU113" s="1003"/>
      <c r="AV113" s="1003">
        <v>2</v>
      </c>
      <c r="AW113" s="1003">
        <f t="shared" si="21"/>
        <v>14</v>
      </c>
      <c r="AX113" s="1003">
        <f t="shared" si="38"/>
        <v>16</v>
      </c>
      <c r="AY113" s="1004"/>
      <c r="AZ113" s="1003">
        <v>0</v>
      </c>
      <c r="BA113" s="1003">
        <v>0</v>
      </c>
      <c r="BB113" s="1005">
        <v>32</v>
      </c>
      <c r="BC113"/>
      <c r="BD113" s="1002">
        <v>110</v>
      </c>
      <c r="BE113" s="1003"/>
      <c r="BF113" s="1003"/>
      <c r="BG113" s="1003"/>
      <c r="BH113" s="1003"/>
      <c r="BI113" s="1003">
        <v>2</v>
      </c>
      <c r="BJ113" s="1003">
        <f t="shared" si="23"/>
        <v>12</v>
      </c>
      <c r="BK113" s="1003">
        <f t="shared" si="39"/>
        <v>14</v>
      </c>
      <c r="BL113" s="1004"/>
      <c r="BM113" s="1003">
        <v>0</v>
      </c>
      <c r="BN113" s="1003">
        <f t="shared" si="22"/>
        <v>12</v>
      </c>
      <c r="BO113" s="1005">
        <v>16</v>
      </c>
      <c r="BP113"/>
      <c r="BQ113" s="1002">
        <v>110</v>
      </c>
      <c r="BR113" s="1003"/>
      <c r="BS113" s="1003"/>
      <c r="BT113" s="1003"/>
      <c r="BU113" s="1003"/>
      <c r="BV113" s="1003"/>
      <c r="BW113" s="1003">
        <v>7</v>
      </c>
      <c r="BX113" s="1003">
        <f t="shared" si="31"/>
        <v>6</v>
      </c>
      <c r="BY113" s="1003">
        <f t="shared" si="40"/>
        <v>13</v>
      </c>
      <c r="BZ113" s="1004"/>
      <c r="CA113" s="1003">
        <v>0</v>
      </c>
      <c r="CB113" s="1003">
        <f t="shared" si="32"/>
        <v>10</v>
      </c>
      <c r="CC113" s="1005">
        <v>16</v>
      </c>
      <c r="CD113"/>
      <c r="CE113" s="1002">
        <v>110</v>
      </c>
      <c r="CF113" s="1003"/>
      <c r="CG113" s="1003"/>
      <c r="CH113" s="1003"/>
      <c r="CI113" s="1003"/>
      <c r="CJ113" s="1003"/>
      <c r="CK113" s="1003"/>
      <c r="CL113" s="1003"/>
      <c r="CM113" s="1003">
        <f t="shared" si="35"/>
        <v>11</v>
      </c>
      <c r="CN113" s="1003">
        <f t="shared" si="41"/>
        <v>11</v>
      </c>
      <c r="CO113" s="1004"/>
      <c r="CP113" s="1003">
        <v>0</v>
      </c>
      <c r="CQ113" s="1003">
        <f t="shared" si="34"/>
        <v>6</v>
      </c>
      <c r="CR113" s="1005">
        <v>16</v>
      </c>
    </row>
    <row r="114" spans="1:96" outlineLevel="1" x14ac:dyDescent="0.2">
      <c r="A114"/>
      <c r="B114" s="1002">
        <v>111</v>
      </c>
      <c r="C114" s="1003">
        <v>32</v>
      </c>
      <c r="D114" s="1003">
        <v>0</v>
      </c>
      <c r="E114" s="1003"/>
      <c r="F114" s="1003">
        <f t="shared" si="24"/>
        <v>32</v>
      </c>
      <c r="G114" s="1004"/>
      <c r="H114" s="1003">
        <v>15</v>
      </c>
      <c r="I114" s="1003">
        <v>15</v>
      </c>
      <c r="J114" s="1005">
        <v>64</v>
      </c>
      <c r="K114" s="1"/>
      <c r="L114"/>
      <c r="M114" s="1002">
        <v>111</v>
      </c>
      <c r="N114" s="1003">
        <v>1</v>
      </c>
      <c r="O114" s="1003">
        <v>27</v>
      </c>
      <c r="P114" s="1003"/>
      <c r="Q114" s="1003">
        <f t="shared" si="25"/>
        <v>28</v>
      </c>
      <c r="R114" s="1004"/>
      <c r="S114" s="1003">
        <v>0</v>
      </c>
      <c r="T114" s="1003">
        <v>24</v>
      </c>
      <c r="U114" s="1005">
        <v>32</v>
      </c>
      <c r="V114"/>
      <c r="W114" s="1002">
        <v>111</v>
      </c>
      <c r="X114" s="1003"/>
      <c r="Y114" s="1003">
        <v>4</v>
      </c>
      <c r="Z114" s="1003">
        <f t="shared" si="42"/>
        <v>19</v>
      </c>
      <c r="AA114" s="1003">
        <f t="shared" si="33"/>
        <v>23</v>
      </c>
      <c r="AB114" s="1004"/>
      <c r="AC114" s="1003">
        <v>0</v>
      </c>
      <c r="AD114" s="1003">
        <v>14</v>
      </c>
      <c r="AE114" s="1005">
        <v>32</v>
      </c>
      <c r="AF114"/>
      <c r="AG114" s="1002">
        <v>111</v>
      </c>
      <c r="AH114" s="1003"/>
      <c r="AI114" s="1003"/>
      <c r="AJ114" s="1003">
        <v>3</v>
      </c>
      <c r="AK114" s="1003">
        <f t="shared" si="43"/>
        <v>16</v>
      </c>
      <c r="AL114" s="1003">
        <f t="shared" si="37"/>
        <v>19</v>
      </c>
      <c r="AM114" s="1004"/>
      <c r="AN114" s="1003">
        <v>0</v>
      </c>
      <c r="AO114" s="1003">
        <f>AO113</f>
        <v>6</v>
      </c>
      <c r="AP114" s="1005">
        <v>32</v>
      </c>
      <c r="AQ114"/>
      <c r="AR114" s="1002">
        <v>111</v>
      </c>
      <c r="AS114" s="1003"/>
      <c r="AT114" s="1003"/>
      <c r="AU114" s="1003"/>
      <c r="AV114" s="1003">
        <v>1</v>
      </c>
      <c r="AW114" s="1003">
        <f t="shared" si="21"/>
        <v>15</v>
      </c>
      <c r="AX114" s="1003">
        <f t="shared" si="38"/>
        <v>16</v>
      </c>
      <c r="AY114" s="1004"/>
      <c r="AZ114" s="1003">
        <v>0</v>
      </c>
      <c r="BA114" s="1003">
        <v>0</v>
      </c>
      <c r="BB114" s="1005">
        <v>32</v>
      </c>
      <c r="BC114"/>
      <c r="BD114" s="1002">
        <v>111</v>
      </c>
      <c r="BE114" s="1003"/>
      <c r="BF114" s="1003"/>
      <c r="BG114" s="1003"/>
      <c r="BH114" s="1003"/>
      <c r="BI114" s="1003">
        <v>1</v>
      </c>
      <c r="BJ114" s="1003">
        <f t="shared" si="23"/>
        <v>13</v>
      </c>
      <c r="BK114" s="1003">
        <f t="shared" si="39"/>
        <v>14</v>
      </c>
      <c r="BL114" s="1004"/>
      <c r="BM114" s="1003">
        <v>0</v>
      </c>
      <c r="BN114" s="1003">
        <f t="shared" si="22"/>
        <v>12</v>
      </c>
      <c r="BO114" s="1005">
        <v>16</v>
      </c>
      <c r="BP114"/>
      <c r="BQ114" s="1002">
        <v>111</v>
      </c>
      <c r="BR114" s="1003"/>
      <c r="BS114" s="1003"/>
      <c r="BT114" s="1003"/>
      <c r="BU114" s="1003"/>
      <c r="BV114" s="1003"/>
      <c r="BW114" s="1003">
        <v>6</v>
      </c>
      <c r="BX114" s="1003">
        <f t="shared" si="31"/>
        <v>7</v>
      </c>
      <c r="BY114" s="1003">
        <f t="shared" si="40"/>
        <v>13</v>
      </c>
      <c r="BZ114" s="1004"/>
      <c r="CA114" s="1003">
        <v>0</v>
      </c>
      <c r="CB114" s="1003">
        <f t="shared" si="32"/>
        <v>10</v>
      </c>
      <c r="CC114" s="1005">
        <v>16</v>
      </c>
      <c r="CD114"/>
      <c r="CE114" s="1002">
        <v>111</v>
      </c>
      <c r="CF114" s="1003"/>
      <c r="CG114" s="1003"/>
      <c r="CH114" s="1003"/>
      <c r="CI114" s="1003"/>
      <c r="CJ114" s="1003"/>
      <c r="CK114" s="1003"/>
      <c r="CL114" s="1003">
        <f>CL105+1</f>
        <v>9</v>
      </c>
      <c r="CM114" s="1003">
        <f t="shared" si="35"/>
        <v>3</v>
      </c>
      <c r="CN114" s="1003">
        <f t="shared" si="41"/>
        <v>12</v>
      </c>
      <c r="CO114" s="1004"/>
      <c r="CP114" s="1003">
        <v>0</v>
      </c>
      <c r="CQ114" s="1003">
        <f t="shared" si="34"/>
        <v>8</v>
      </c>
      <c r="CR114" s="1005">
        <v>16</v>
      </c>
    </row>
    <row r="115" spans="1:96" outlineLevel="1" x14ac:dyDescent="0.2">
      <c r="A115"/>
      <c r="B115" s="1002">
        <v>112</v>
      </c>
      <c r="C115" s="1003">
        <v>32</v>
      </c>
      <c r="D115" s="1003">
        <v>0</v>
      </c>
      <c r="E115" s="1003"/>
      <c r="F115" s="1003">
        <f t="shared" si="24"/>
        <v>32</v>
      </c>
      <c r="G115" s="1004"/>
      <c r="H115" s="1003">
        <v>16</v>
      </c>
      <c r="I115" s="1003">
        <v>16</v>
      </c>
      <c r="J115" s="1005">
        <v>64</v>
      </c>
      <c r="K115" s="1"/>
      <c r="L115"/>
      <c r="M115" s="1002">
        <v>112</v>
      </c>
      <c r="N115" s="1003">
        <v>0</v>
      </c>
      <c r="O115" s="1003">
        <v>28</v>
      </c>
      <c r="P115" s="1003"/>
      <c r="Q115" s="1003">
        <f t="shared" si="25"/>
        <v>28</v>
      </c>
      <c r="R115" s="1004"/>
      <c r="S115" s="1003">
        <v>0</v>
      </c>
      <c r="T115" s="1003">
        <v>24</v>
      </c>
      <c r="U115" s="1005">
        <v>32</v>
      </c>
      <c r="V115"/>
      <c r="W115" s="1002">
        <v>112</v>
      </c>
      <c r="X115" s="1003"/>
      <c r="Y115" s="1003">
        <v>3</v>
      </c>
      <c r="Z115" s="1003">
        <f t="shared" si="42"/>
        <v>20</v>
      </c>
      <c r="AA115" s="1003">
        <f t="shared" si="33"/>
        <v>23</v>
      </c>
      <c r="AB115" s="1004"/>
      <c r="AC115" s="1003">
        <v>0</v>
      </c>
      <c r="AD115" s="1003">
        <v>14</v>
      </c>
      <c r="AE115" s="1005">
        <v>32</v>
      </c>
      <c r="AF115"/>
      <c r="AG115" s="1002">
        <v>112</v>
      </c>
      <c r="AH115" s="1003"/>
      <c r="AI115" s="1003"/>
      <c r="AJ115" s="1003">
        <v>2</v>
      </c>
      <c r="AK115" s="1003">
        <f t="shared" si="43"/>
        <v>17</v>
      </c>
      <c r="AL115" s="1003">
        <f t="shared" si="37"/>
        <v>19</v>
      </c>
      <c r="AM115" s="1004"/>
      <c r="AN115" s="1003">
        <v>0</v>
      </c>
      <c r="AO115" s="1003">
        <f>AO114</f>
        <v>6</v>
      </c>
      <c r="AP115" s="1005">
        <v>32</v>
      </c>
      <c r="AQ115"/>
      <c r="AR115" s="1002">
        <v>112</v>
      </c>
      <c r="AS115" s="1003"/>
      <c r="AT115" s="1003"/>
      <c r="AU115" s="1003"/>
      <c r="AV115" s="1003"/>
      <c r="AW115" s="1003">
        <f t="shared" si="21"/>
        <v>16</v>
      </c>
      <c r="AX115" s="1003">
        <f t="shared" si="38"/>
        <v>16</v>
      </c>
      <c r="AY115" s="1004"/>
      <c r="AZ115" s="1003">
        <v>0</v>
      </c>
      <c r="BA115" s="1003">
        <v>0</v>
      </c>
      <c r="BB115" s="1005">
        <v>32</v>
      </c>
      <c r="BC115"/>
      <c r="BD115" s="1002">
        <v>112</v>
      </c>
      <c r="BE115" s="1003"/>
      <c r="BF115" s="1003"/>
      <c r="BG115" s="1003"/>
      <c r="BH115" s="1003"/>
      <c r="BI115" s="1003"/>
      <c r="BJ115" s="1003">
        <f t="shared" si="23"/>
        <v>14</v>
      </c>
      <c r="BK115" s="1003">
        <f t="shared" si="39"/>
        <v>14</v>
      </c>
      <c r="BL115" s="1004"/>
      <c r="BM115" s="1003">
        <v>0</v>
      </c>
      <c r="BN115" s="1003">
        <f t="shared" si="22"/>
        <v>12</v>
      </c>
      <c r="BO115" s="1005">
        <v>16</v>
      </c>
      <c r="BP115"/>
      <c r="BQ115" s="1002">
        <v>112</v>
      </c>
      <c r="BR115" s="1003"/>
      <c r="BS115" s="1003"/>
      <c r="BT115" s="1003"/>
      <c r="BU115" s="1003"/>
      <c r="BV115" s="1003"/>
      <c r="BW115" s="1003">
        <v>5</v>
      </c>
      <c r="BX115" s="1003">
        <f t="shared" si="31"/>
        <v>8</v>
      </c>
      <c r="BY115" s="1003">
        <f t="shared" si="40"/>
        <v>13</v>
      </c>
      <c r="BZ115" s="1004"/>
      <c r="CA115" s="1003">
        <v>0</v>
      </c>
      <c r="CB115" s="1003">
        <f t="shared" si="32"/>
        <v>10</v>
      </c>
      <c r="CC115" s="1005">
        <v>16</v>
      </c>
      <c r="CD115"/>
      <c r="CE115" s="1002">
        <v>112</v>
      </c>
      <c r="CF115" s="1003"/>
      <c r="CG115" s="1003"/>
      <c r="CH115" s="1003"/>
      <c r="CI115" s="1003"/>
      <c r="CJ115" s="1003"/>
      <c r="CK115" s="1003"/>
      <c r="CL115" s="1003">
        <v>8</v>
      </c>
      <c r="CM115" s="1003">
        <f t="shared" si="35"/>
        <v>4</v>
      </c>
      <c r="CN115" s="1003">
        <f t="shared" si="41"/>
        <v>12</v>
      </c>
      <c r="CO115" s="1004"/>
      <c r="CP115" s="1003">
        <v>0</v>
      </c>
      <c r="CQ115" s="1003">
        <f t="shared" si="34"/>
        <v>8</v>
      </c>
      <c r="CR115" s="1005">
        <v>16</v>
      </c>
    </row>
    <row r="116" spans="1:96" outlineLevel="1" x14ac:dyDescent="0.2">
      <c r="A116"/>
      <c r="B116" s="1002">
        <v>113</v>
      </c>
      <c r="C116" s="1003">
        <v>32</v>
      </c>
      <c r="D116" s="1003">
        <v>0</v>
      </c>
      <c r="E116" s="1003"/>
      <c r="F116" s="1003">
        <f t="shared" si="24"/>
        <v>32</v>
      </c>
      <c r="G116" s="1004"/>
      <c r="H116" s="1003">
        <v>17</v>
      </c>
      <c r="I116" s="1003">
        <v>17</v>
      </c>
      <c r="J116" s="1005">
        <v>64</v>
      </c>
      <c r="K116" s="1"/>
      <c r="L116"/>
      <c r="M116" s="1002">
        <v>113</v>
      </c>
      <c r="N116" s="1003">
        <v>3</v>
      </c>
      <c r="O116" s="1003">
        <v>26</v>
      </c>
      <c r="P116" s="1003"/>
      <c r="Q116" s="1003">
        <f t="shared" si="25"/>
        <v>29</v>
      </c>
      <c r="R116" s="1004"/>
      <c r="S116" s="1003">
        <v>0</v>
      </c>
      <c r="T116" s="1003">
        <v>26</v>
      </c>
      <c r="U116" s="1005">
        <v>32</v>
      </c>
      <c r="V116"/>
      <c r="W116" s="1002">
        <v>113</v>
      </c>
      <c r="X116" s="1003"/>
      <c r="Y116" s="1003">
        <v>2</v>
      </c>
      <c r="Z116" s="1003">
        <f t="shared" si="42"/>
        <v>21</v>
      </c>
      <c r="AA116" s="1003">
        <f t="shared" si="33"/>
        <v>23</v>
      </c>
      <c r="AB116" s="1004"/>
      <c r="AC116" s="1003">
        <v>0</v>
      </c>
      <c r="AD116" s="1003">
        <v>14</v>
      </c>
      <c r="AE116" s="1005">
        <v>32</v>
      </c>
      <c r="AF116"/>
      <c r="AG116" s="1002">
        <v>113</v>
      </c>
      <c r="AH116" s="1003"/>
      <c r="AI116" s="1003"/>
      <c r="AJ116" s="1003">
        <v>1</v>
      </c>
      <c r="AK116" s="1003">
        <f t="shared" si="43"/>
        <v>18</v>
      </c>
      <c r="AL116" s="1003">
        <f t="shared" si="37"/>
        <v>19</v>
      </c>
      <c r="AM116" s="1004"/>
      <c r="AN116" s="1003">
        <v>0</v>
      </c>
      <c r="AO116" s="1003">
        <f>AO115</f>
        <v>6</v>
      </c>
      <c r="AP116" s="1005">
        <v>32</v>
      </c>
      <c r="AQ116"/>
      <c r="AR116" s="1002">
        <v>113</v>
      </c>
      <c r="AS116" s="1003"/>
      <c r="AT116" s="1003"/>
      <c r="AU116" s="1003"/>
      <c r="AV116" s="1003">
        <v>6</v>
      </c>
      <c r="AW116" s="1003">
        <f t="shared" si="21"/>
        <v>11</v>
      </c>
      <c r="AX116" s="1003">
        <f t="shared" si="38"/>
        <v>17</v>
      </c>
      <c r="AY116" s="1004"/>
      <c r="AZ116" s="1003">
        <v>0</v>
      </c>
      <c r="BA116" s="1003">
        <f t="shared" si="36"/>
        <v>2</v>
      </c>
      <c r="BB116" s="1005">
        <v>32</v>
      </c>
      <c r="BC116"/>
      <c r="BD116" s="1002">
        <v>113</v>
      </c>
      <c r="BE116" s="1003"/>
      <c r="BF116" s="1003"/>
      <c r="BG116" s="1003"/>
      <c r="BH116" s="1003"/>
      <c r="BI116" s="1003">
        <v>7</v>
      </c>
      <c r="BJ116" s="1003">
        <f t="shared" si="23"/>
        <v>8</v>
      </c>
      <c r="BK116" s="1003">
        <f t="shared" si="39"/>
        <v>15</v>
      </c>
      <c r="BL116" s="1004"/>
      <c r="BM116" s="1003">
        <v>0</v>
      </c>
      <c r="BN116" s="1003">
        <f t="shared" si="22"/>
        <v>14</v>
      </c>
      <c r="BO116" s="1005">
        <v>16</v>
      </c>
      <c r="BP116"/>
      <c r="BQ116" s="1002">
        <v>113</v>
      </c>
      <c r="BR116" s="1003"/>
      <c r="BS116" s="1003"/>
      <c r="BT116" s="1003"/>
      <c r="BU116" s="1003"/>
      <c r="BV116" s="1003"/>
      <c r="BW116" s="1003">
        <v>4</v>
      </c>
      <c r="BX116" s="1003">
        <f t="shared" si="31"/>
        <v>9</v>
      </c>
      <c r="BY116" s="1003">
        <f t="shared" si="40"/>
        <v>13</v>
      </c>
      <c r="BZ116" s="1004"/>
      <c r="CA116" s="1003">
        <v>0</v>
      </c>
      <c r="CB116" s="1003">
        <f t="shared" si="32"/>
        <v>10</v>
      </c>
      <c r="CC116" s="1005">
        <v>16</v>
      </c>
      <c r="CD116"/>
      <c r="CE116" s="1002">
        <v>113</v>
      </c>
      <c r="CF116" s="1003"/>
      <c r="CG116" s="1003"/>
      <c r="CH116" s="1003"/>
      <c r="CI116" s="1003"/>
      <c r="CJ116" s="1003"/>
      <c r="CK116" s="1003"/>
      <c r="CL116" s="1003">
        <v>7</v>
      </c>
      <c r="CM116" s="1003">
        <f t="shared" si="35"/>
        <v>5</v>
      </c>
      <c r="CN116" s="1003">
        <f t="shared" si="41"/>
        <v>12</v>
      </c>
      <c r="CO116" s="1004"/>
      <c r="CP116" s="1003">
        <v>0</v>
      </c>
      <c r="CQ116" s="1003">
        <f t="shared" si="34"/>
        <v>8</v>
      </c>
      <c r="CR116" s="1005">
        <v>16</v>
      </c>
    </row>
    <row r="117" spans="1:96" outlineLevel="1" x14ac:dyDescent="0.2">
      <c r="A117"/>
      <c r="B117" s="1002">
        <v>114</v>
      </c>
      <c r="C117" s="1003">
        <v>32</v>
      </c>
      <c r="D117" s="1003">
        <v>0</v>
      </c>
      <c r="E117" s="1003"/>
      <c r="F117" s="1003">
        <f t="shared" si="24"/>
        <v>32</v>
      </c>
      <c r="G117" s="1004"/>
      <c r="H117" s="1003">
        <v>18</v>
      </c>
      <c r="I117" s="1003">
        <v>18</v>
      </c>
      <c r="J117" s="1005">
        <v>64</v>
      </c>
      <c r="K117" s="1"/>
      <c r="L117"/>
      <c r="M117" s="1002">
        <v>114</v>
      </c>
      <c r="N117" s="1003">
        <v>2</v>
      </c>
      <c r="O117" s="1003">
        <v>27</v>
      </c>
      <c r="P117" s="1003"/>
      <c r="Q117" s="1003">
        <f t="shared" si="25"/>
        <v>29</v>
      </c>
      <c r="R117" s="1004"/>
      <c r="S117" s="1003">
        <v>0</v>
      </c>
      <c r="T117" s="1003">
        <v>26</v>
      </c>
      <c r="U117" s="1005">
        <v>32</v>
      </c>
      <c r="V117"/>
      <c r="W117" s="1002">
        <v>114</v>
      </c>
      <c r="X117" s="1003"/>
      <c r="Y117" s="1003">
        <v>1</v>
      </c>
      <c r="Z117" s="1003">
        <f t="shared" si="42"/>
        <v>22</v>
      </c>
      <c r="AA117" s="1003">
        <f t="shared" si="33"/>
        <v>23</v>
      </c>
      <c r="AB117" s="1004"/>
      <c r="AC117" s="1003">
        <v>0</v>
      </c>
      <c r="AD117" s="1003">
        <v>14</v>
      </c>
      <c r="AE117" s="1005">
        <v>32</v>
      </c>
      <c r="AF117"/>
      <c r="AG117" s="1002">
        <v>114</v>
      </c>
      <c r="AH117" s="1003"/>
      <c r="AI117" s="1003"/>
      <c r="AJ117" s="1003"/>
      <c r="AK117" s="1003">
        <f t="shared" si="43"/>
        <v>19</v>
      </c>
      <c r="AL117" s="1003">
        <f t="shared" si="37"/>
        <v>19</v>
      </c>
      <c r="AM117" s="1004"/>
      <c r="AN117" s="1003">
        <v>0</v>
      </c>
      <c r="AO117" s="1003">
        <f>AO116</f>
        <v>6</v>
      </c>
      <c r="AP117" s="1005">
        <v>32</v>
      </c>
      <c r="AQ117"/>
      <c r="AR117" s="1002">
        <v>114</v>
      </c>
      <c r="AS117" s="1003"/>
      <c r="AT117" s="1003"/>
      <c r="AU117" s="1003"/>
      <c r="AV117" s="1003">
        <v>5</v>
      </c>
      <c r="AW117" s="1003">
        <f t="shared" si="21"/>
        <v>12</v>
      </c>
      <c r="AX117" s="1003">
        <f t="shared" si="38"/>
        <v>17</v>
      </c>
      <c r="AY117" s="1004"/>
      <c r="AZ117" s="1003">
        <v>0</v>
      </c>
      <c r="BA117" s="1003">
        <f t="shared" si="36"/>
        <v>2</v>
      </c>
      <c r="BB117" s="1005">
        <v>32</v>
      </c>
      <c r="BC117"/>
      <c r="BD117" s="1002">
        <v>114</v>
      </c>
      <c r="BE117" s="1003"/>
      <c r="BF117" s="1003"/>
      <c r="BG117" s="1003"/>
      <c r="BH117" s="1003"/>
      <c r="BI117" s="1003">
        <v>6</v>
      </c>
      <c r="BJ117" s="1003">
        <f t="shared" si="23"/>
        <v>9</v>
      </c>
      <c r="BK117" s="1003">
        <f t="shared" si="39"/>
        <v>15</v>
      </c>
      <c r="BL117" s="1004"/>
      <c r="BM117" s="1003">
        <v>0</v>
      </c>
      <c r="BN117" s="1003">
        <f t="shared" si="22"/>
        <v>14</v>
      </c>
      <c r="BO117" s="1005">
        <v>16</v>
      </c>
      <c r="BP117"/>
      <c r="BQ117" s="1002">
        <v>114</v>
      </c>
      <c r="BR117" s="1003"/>
      <c r="BS117" s="1003"/>
      <c r="BT117" s="1003"/>
      <c r="BU117" s="1003"/>
      <c r="BV117" s="1003"/>
      <c r="BW117" s="1003">
        <v>3</v>
      </c>
      <c r="BX117" s="1003">
        <f t="shared" si="31"/>
        <v>10</v>
      </c>
      <c r="BY117" s="1003">
        <f t="shared" si="40"/>
        <v>13</v>
      </c>
      <c r="BZ117" s="1004"/>
      <c r="CA117" s="1003">
        <v>0</v>
      </c>
      <c r="CB117" s="1003">
        <f t="shared" si="32"/>
        <v>10</v>
      </c>
      <c r="CC117" s="1005">
        <v>16</v>
      </c>
      <c r="CD117"/>
      <c r="CE117" s="1002">
        <v>114</v>
      </c>
      <c r="CF117" s="1003"/>
      <c r="CG117" s="1003"/>
      <c r="CH117" s="1003"/>
      <c r="CI117" s="1003"/>
      <c r="CJ117" s="1003"/>
      <c r="CK117" s="1003"/>
      <c r="CL117" s="1003">
        <v>6</v>
      </c>
      <c r="CM117" s="1003">
        <f t="shared" si="35"/>
        <v>6</v>
      </c>
      <c r="CN117" s="1003">
        <f t="shared" si="41"/>
        <v>12</v>
      </c>
      <c r="CO117" s="1004"/>
      <c r="CP117" s="1003">
        <v>0</v>
      </c>
      <c r="CQ117" s="1003">
        <f t="shared" si="34"/>
        <v>8</v>
      </c>
      <c r="CR117" s="1005">
        <v>16</v>
      </c>
    </row>
    <row r="118" spans="1:96" outlineLevel="1" x14ac:dyDescent="0.2">
      <c r="A118"/>
      <c r="B118" s="1002">
        <v>115</v>
      </c>
      <c r="C118" s="1003">
        <v>32</v>
      </c>
      <c r="D118" s="1003">
        <v>0</v>
      </c>
      <c r="E118" s="1003"/>
      <c r="F118" s="1003">
        <f t="shared" si="24"/>
        <v>32</v>
      </c>
      <c r="G118" s="1004"/>
      <c r="H118" s="1003">
        <v>19</v>
      </c>
      <c r="I118" s="1003">
        <v>19</v>
      </c>
      <c r="J118" s="1005">
        <v>64</v>
      </c>
      <c r="K118" s="1"/>
      <c r="L118"/>
      <c r="M118" s="1002">
        <v>115</v>
      </c>
      <c r="N118" s="1003">
        <v>1</v>
      </c>
      <c r="O118" s="1003">
        <v>28</v>
      </c>
      <c r="P118" s="1003"/>
      <c r="Q118" s="1003">
        <f t="shared" si="25"/>
        <v>29</v>
      </c>
      <c r="R118" s="1004"/>
      <c r="S118" s="1003">
        <v>0</v>
      </c>
      <c r="T118" s="1003">
        <v>26</v>
      </c>
      <c r="U118" s="1005">
        <v>32</v>
      </c>
      <c r="V118"/>
      <c r="W118" s="1002">
        <v>115</v>
      </c>
      <c r="X118" s="1003"/>
      <c r="Y118" s="1003"/>
      <c r="Z118" s="1003">
        <f t="shared" si="42"/>
        <v>23</v>
      </c>
      <c r="AA118" s="1003">
        <f t="shared" si="33"/>
        <v>23</v>
      </c>
      <c r="AB118" s="1004"/>
      <c r="AC118" s="1003">
        <v>0</v>
      </c>
      <c r="AD118" s="1003">
        <v>14</v>
      </c>
      <c r="AE118" s="1005">
        <v>32</v>
      </c>
      <c r="AF118"/>
      <c r="AG118" s="1002">
        <v>115</v>
      </c>
      <c r="AH118" s="1003"/>
      <c r="AI118" s="1003"/>
      <c r="AJ118" s="1009">
        <v>5</v>
      </c>
      <c r="AK118" s="1003">
        <f t="shared" si="43"/>
        <v>15</v>
      </c>
      <c r="AL118" s="1003">
        <f t="shared" si="37"/>
        <v>20</v>
      </c>
      <c r="AM118" s="1004"/>
      <c r="AN118" s="1003">
        <v>0</v>
      </c>
      <c r="AO118" s="1003">
        <f>AO112+2</f>
        <v>8</v>
      </c>
      <c r="AP118" s="1005">
        <v>32</v>
      </c>
      <c r="AQ118"/>
      <c r="AR118" s="1002">
        <v>115</v>
      </c>
      <c r="AS118" s="1003"/>
      <c r="AT118" s="1003"/>
      <c r="AU118" s="1009"/>
      <c r="AV118" s="1003">
        <v>4</v>
      </c>
      <c r="AW118" s="1003">
        <f t="shared" ref="AW118:AW131" si="44">AW111+1</f>
        <v>13</v>
      </c>
      <c r="AX118" s="1003">
        <f t="shared" si="38"/>
        <v>17</v>
      </c>
      <c r="AY118" s="1004"/>
      <c r="AZ118" s="1003">
        <v>0</v>
      </c>
      <c r="BA118" s="1003">
        <f t="shared" si="36"/>
        <v>2</v>
      </c>
      <c r="BB118" s="1005">
        <v>32</v>
      </c>
      <c r="BC118"/>
      <c r="BD118" s="1002">
        <v>115</v>
      </c>
      <c r="BE118" s="1003"/>
      <c r="BF118" s="1003"/>
      <c r="BG118" s="1009"/>
      <c r="BH118" s="1003"/>
      <c r="BI118" s="1003">
        <v>5</v>
      </c>
      <c r="BJ118" s="1003">
        <f t="shared" si="23"/>
        <v>10</v>
      </c>
      <c r="BK118" s="1003">
        <f t="shared" si="39"/>
        <v>15</v>
      </c>
      <c r="BL118" s="1004"/>
      <c r="BM118" s="1003">
        <v>0</v>
      </c>
      <c r="BN118" s="1003">
        <f t="shared" si="22"/>
        <v>14</v>
      </c>
      <c r="BO118" s="1005">
        <v>16</v>
      </c>
      <c r="BP118"/>
      <c r="BQ118" s="1002">
        <v>115</v>
      </c>
      <c r="BR118" s="1003"/>
      <c r="BS118" s="1003"/>
      <c r="BT118" s="1009"/>
      <c r="BU118" s="1003"/>
      <c r="BV118" s="1003"/>
      <c r="BW118" s="1003">
        <v>2</v>
      </c>
      <c r="BX118" s="1003">
        <f t="shared" si="31"/>
        <v>11</v>
      </c>
      <c r="BY118" s="1003">
        <f t="shared" si="40"/>
        <v>13</v>
      </c>
      <c r="BZ118" s="1004"/>
      <c r="CA118" s="1003">
        <v>0</v>
      </c>
      <c r="CB118" s="1003">
        <f t="shared" si="32"/>
        <v>10</v>
      </c>
      <c r="CC118" s="1005">
        <v>16</v>
      </c>
      <c r="CD118"/>
      <c r="CE118" s="1002">
        <v>115</v>
      </c>
      <c r="CF118" s="1003"/>
      <c r="CG118" s="1003"/>
      <c r="CH118" s="1009"/>
      <c r="CI118" s="1003"/>
      <c r="CJ118" s="1003"/>
      <c r="CK118" s="1003"/>
      <c r="CL118" s="1003">
        <v>5</v>
      </c>
      <c r="CM118" s="1003">
        <f t="shared" si="35"/>
        <v>7</v>
      </c>
      <c r="CN118" s="1003">
        <f t="shared" si="41"/>
        <v>12</v>
      </c>
      <c r="CO118" s="1004"/>
      <c r="CP118" s="1003">
        <v>0</v>
      </c>
      <c r="CQ118" s="1003">
        <f t="shared" si="34"/>
        <v>8</v>
      </c>
      <c r="CR118" s="1005">
        <v>16</v>
      </c>
    </row>
    <row r="119" spans="1:96" outlineLevel="1" x14ac:dyDescent="0.2">
      <c r="A119"/>
      <c r="B119" s="1002">
        <v>116</v>
      </c>
      <c r="C119" s="1003">
        <v>32</v>
      </c>
      <c r="D119" s="1003">
        <v>0</v>
      </c>
      <c r="E119" s="1003"/>
      <c r="F119" s="1003">
        <f t="shared" si="24"/>
        <v>32</v>
      </c>
      <c r="G119" s="1004"/>
      <c r="H119" s="1003">
        <v>20</v>
      </c>
      <c r="I119" s="1003">
        <v>20</v>
      </c>
      <c r="J119" s="1005">
        <v>64</v>
      </c>
      <c r="K119" s="1"/>
      <c r="L119"/>
      <c r="M119" s="1002">
        <v>116</v>
      </c>
      <c r="N119" s="1003">
        <v>0</v>
      </c>
      <c r="O119" s="1003">
        <v>29</v>
      </c>
      <c r="P119" s="1003"/>
      <c r="Q119" s="1003">
        <f t="shared" si="25"/>
        <v>29</v>
      </c>
      <c r="R119" s="1004"/>
      <c r="S119" s="1003">
        <v>0</v>
      </c>
      <c r="T119" s="1003">
        <v>26</v>
      </c>
      <c r="U119" s="1005">
        <v>32</v>
      </c>
      <c r="V119"/>
      <c r="W119" s="1002">
        <v>116</v>
      </c>
      <c r="X119" s="1003"/>
      <c r="Y119" s="1003">
        <v>4</v>
      </c>
      <c r="Z119" s="1003">
        <f t="shared" si="42"/>
        <v>20</v>
      </c>
      <c r="AA119" s="1003">
        <f t="shared" si="33"/>
        <v>24</v>
      </c>
      <c r="AB119" s="1004"/>
      <c r="AC119" s="1003">
        <v>0</v>
      </c>
      <c r="AD119" s="1003">
        <v>16</v>
      </c>
      <c r="AE119" s="1005">
        <v>32</v>
      </c>
      <c r="AF119"/>
      <c r="AG119" s="1002">
        <v>116</v>
      </c>
      <c r="AH119" s="1003"/>
      <c r="AI119" s="1003"/>
      <c r="AJ119" s="1003">
        <v>4</v>
      </c>
      <c r="AK119" s="1003">
        <f t="shared" si="43"/>
        <v>16</v>
      </c>
      <c r="AL119" s="1003">
        <f t="shared" si="37"/>
        <v>20</v>
      </c>
      <c r="AM119" s="1004"/>
      <c r="AN119" s="1003">
        <v>0</v>
      </c>
      <c r="AO119" s="1003">
        <f>AO118</f>
        <v>8</v>
      </c>
      <c r="AP119" s="1005">
        <v>32</v>
      </c>
      <c r="AQ119"/>
      <c r="AR119" s="1002">
        <v>116</v>
      </c>
      <c r="AS119" s="1003"/>
      <c r="AT119" s="1003"/>
      <c r="AU119" s="1003"/>
      <c r="AV119" s="1003">
        <v>3</v>
      </c>
      <c r="AW119" s="1003">
        <f t="shared" si="44"/>
        <v>14</v>
      </c>
      <c r="AX119" s="1003">
        <f t="shared" si="38"/>
        <v>17</v>
      </c>
      <c r="AY119" s="1004"/>
      <c r="AZ119" s="1003">
        <v>0</v>
      </c>
      <c r="BA119" s="1003">
        <f t="shared" si="36"/>
        <v>2</v>
      </c>
      <c r="BB119" s="1005">
        <v>32</v>
      </c>
      <c r="BC119"/>
      <c r="BD119" s="1002">
        <v>116</v>
      </c>
      <c r="BE119" s="1003"/>
      <c r="BF119" s="1003"/>
      <c r="BG119" s="1003"/>
      <c r="BH119" s="1003"/>
      <c r="BI119" s="1003">
        <v>4</v>
      </c>
      <c r="BJ119" s="1003">
        <f t="shared" si="23"/>
        <v>11</v>
      </c>
      <c r="BK119" s="1003">
        <f t="shared" si="39"/>
        <v>15</v>
      </c>
      <c r="BL119" s="1004"/>
      <c r="BM119" s="1003">
        <v>0</v>
      </c>
      <c r="BN119" s="1003">
        <f t="shared" si="22"/>
        <v>14</v>
      </c>
      <c r="BO119" s="1005">
        <v>16</v>
      </c>
      <c r="BP119"/>
      <c r="BQ119" s="1002">
        <v>116</v>
      </c>
      <c r="BR119" s="1003"/>
      <c r="BS119" s="1003"/>
      <c r="BT119" s="1003"/>
      <c r="BU119" s="1003"/>
      <c r="BV119" s="1003"/>
      <c r="BW119" s="1003">
        <v>1</v>
      </c>
      <c r="BX119" s="1003">
        <f t="shared" si="31"/>
        <v>12</v>
      </c>
      <c r="BY119" s="1003">
        <f t="shared" si="40"/>
        <v>13</v>
      </c>
      <c r="BZ119" s="1004"/>
      <c r="CA119" s="1003">
        <v>0</v>
      </c>
      <c r="CB119" s="1003">
        <f t="shared" si="32"/>
        <v>10</v>
      </c>
      <c r="CC119" s="1005">
        <v>16</v>
      </c>
      <c r="CD119"/>
      <c r="CE119" s="1002">
        <v>116</v>
      </c>
      <c r="CF119" s="1003"/>
      <c r="CG119" s="1003"/>
      <c r="CH119" s="1003"/>
      <c r="CI119" s="1003"/>
      <c r="CJ119" s="1003"/>
      <c r="CK119" s="1003"/>
      <c r="CL119" s="1003">
        <v>4</v>
      </c>
      <c r="CM119" s="1003">
        <f t="shared" si="35"/>
        <v>8</v>
      </c>
      <c r="CN119" s="1003">
        <f t="shared" si="41"/>
        <v>12</v>
      </c>
      <c r="CO119" s="1004"/>
      <c r="CP119" s="1003">
        <v>0</v>
      </c>
      <c r="CQ119" s="1003">
        <f t="shared" si="34"/>
        <v>8</v>
      </c>
      <c r="CR119" s="1005">
        <v>16</v>
      </c>
    </row>
    <row r="120" spans="1:96" outlineLevel="1" x14ac:dyDescent="0.2">
      <c r="A120"/>
      <c r="B120" s="1002">
        <v>117</v>
      </c>
      <c r="C120" s="1003">
        <v>32</v>
      </c>
      <c r="D120" s="1003">
        <v>0</v>
      </c>
      <c r="E120" s="1003"/>
      <c r="F120" s="1003">
        <f t="shared" si="24"/>
        <v>32</v>
      </c>
      <c r="G120" s="1004"/>
      <c r="H120" s="1003">
        <v>21</v>
      </c>
      <c r="I120" s="1003">
        <v>21</v>
      </c>
      <c r="J120" s="1005">
        <v>64</v>
      </c>
      <c r="K120" s="1"/>
      <c r="L120"/>
      <c r="M120" s="1002">
        <v>117</v>
      </c>
      <c r="N120" s="1003">
        <v>3</v>
      </c>
      <c r="O120" s="1003">
        <v>27</v>
      </c>
      <c r="P120" s="1003"/>
      <c r="Q120" s="1003">
        <f t="shared" si="25"/>
        <v>30</v>
      </c>
      <c r="R120" s="1004"/>
      <c r="S120" s="1003">
        <v>0</v>
      </c>
      <c r="T120" s="1003">
        <v>28</v>
      </c>
      <c r="U120" s="1005">
        <v>32</v>
      </c>
      <c r="V120"/>
      <c r="W120" s="1002">
        <v>117</v>
      </c>
      <c r="X120" s="1003"/>
      <c r="Y120" s="1003">
        <v>3</v>
      </c>
      <c r="Z120" s="1003">
        <f t="shared" si="42"/>
        <v>21</v>
      </c>
      <c r="AA120" s="1003">
        <f t="shared" si="33"/>
        <v>24</v>
      </c>
      <c r="AB120" s="1004"/>
      <c r="AC120" s="1003">
        <v>0</v>
      </c>
      <c r="AD120" s="1003">
        <v>16</v>
      </c>
      <c r="AE120" s="1005">
        <v>32</v>
      </c>
      <c r="AF120"/>
      <c r="AG120" s="1002">
        <v>117</v>
      </c>
      <c r="AH120" s="1003"/>
      <c r="AI120" s="1003"/>
      <c r="AJ120" s="1003">
        <v>3</v>
      </c>
      <c r="AK120" s="1003">
        <f t="shared" si="43"/>
        <v>17</v>
      </c>
      <c r="AL120" s="1003">
        <f t="shared" si="37"/>
        <v>20</v>
      </c>
      <c r="AM120" s="1004"/>
      <c r="AN120" s="1003">
        <v>0</v>
      </c>
      <c r="AO120" s="1003">
        <f>AO119</f>
        <v>8</v>
      </c>
      <c r="AP120" s="1005">
        <v>32</v>
      </c>
      <c r="AQ120"/>
      <c r="AR120" s="1002">
        <v>117</v>
      </c>
      <c r="AS120" s="1003"/>
      <c r="AT120" s="1003"/>
      <c r="AU120" s="1003"/>
      <c r="AV120" s="1003">
        <v>2</v>
      </c>
      <c r="AW120" s="1003">
        <f t="shared" si="44"/>
        <v>15</v>
      </c>
      <c r="AX120" s="1003">
        <f t="shared" si="38"/>
        <v>17</v>
      </c>
      <c r="AY120" s="1004"/>
      <c r="AZ120" s="1003">
        <v>0</v>
      </c>
      <c r="BA120" s="1003">
        <f t="shared" si="36"/>
        <v>2</v>
      </c>
      <c r="BB120" s="1005">
        <v>32</v>
      </c>
      <c r="BC120"/>
      <c r="BD120" s="1002">
        <v>117</v>
      </c>
      <c r="BE120" s="1003"/>
      <c r="BF120" s="1003"/>
      <c r="BG120" s="1003"/>
      <c r="BH120" s="1003"/>
      <c r="BI120" s="1003">
        <v>3</v>
      </c>
      <c r="BJ120" s="1003">
        <f t="shared" si="23"/>
        <v>12</v>
      </c>
      <c r="BK120" s="1003">
        <f t="shared" si="39"/>
        <v>15</v>
      </c>
      <c r="BL120" s="1004"/>
      <c r="BM120" s="1003">
        <v>0</v>
      </c>
      <c r="BN120" s="1003">
        <f t="shared" si="22"/>
        <v>14</v>
      </c>
      <c r="BO120" s="1005">
        <v>16</v>
      </c>
      <c r="BP120"/>
      <c r="BQ120" s="1002">
        <v>117</v>
      </c>
      <c r="BR120" s="1003"/>
      <c r="BS120" s="1003"/>
      <c r="BT120" s="1003"/>
      <c r="BU120" s="1003"/>
      <c r="BV120" s="1003"/>
      <c r="BW120" s="1003"/>
      <c r="BX120" s="1003">
        <f t="shared" si="31"/>
        <v>13</v>
      </c>
      <c r="BY120" s="1003">
        <f t="shared" si="40"/>
        <v>13</v>
      </c>
      <c r="BZ120" s="1004"/>
      <c r="CA120" s="1003">
        <v>0</v>
      </c>
      <c r="CB120" s="1003">
        <f t="shared" si="32"/>
        <v>10</v>
      </c>
      <c r="CC120" s="1005">
        <v>16</v>
      </c>
      <c r="CD120"/>
      <c r="CE120" s="1002">
        <v>117</v>
      </c>
      <c r="CF120" s="1003"/>
      <c r="CG120" s="1003"/>
      <c r="CH120" s="1003"/>
      <c r="CI120" s="1003"/>
      <c r="CJ120" s="1003"/>
      <c r="CK120" s="1003"/>
      <c r="CL120" s="1003">
        <v>3</v>
      </c>
      <c r="CM120" s="1003">
        <f t="shared" si="35"/>
        <v>9</v>
      </c>
      <c r="CN120" s="1003">
        <f t="shared" si="41"/>
        <v>12</v>
      </c>
      <c r="CO120" s="1004"/>
      <c r="CP120" s="1003">
        <v>0</v>
      </c>
      <c r="CQ120" s="1003">
        <f t="shared" si="34"/>
        <v>8</v>
      </c>
      <c r="CR120" s="1005">
        <v>16</v>
      </c>
    </row>
    <row r="121" spans="1:96" outlineLevel="1" x14ac:dyDescent="0.2">
      <c r="A121"/>
      <c r="B121" s="1002">
        <v>118</v>
      </c>
      <c r="C121" s="1003">
        <v>32</v>
      </c>
      <c r="D121" s="1003">
        <v>0</v>
      </c>
      <c r="E121" s="1003"/>
      <c r="F121" s="1003">
        <f t="shared" si="24"/>
        <v>32</v>
      </c>
      <c r="G121" s="1004"/>
      <c r="H121" s="1003">
        <v>22</v>
      </c>
      <c r="I121" s="1003">
        <v>22</v>
      </c>
      <c r="J121" s="1005">
        <v>64</v>
      </c>
      <c r="K121" s="1"/>
      <c r="L121"/>
      <c r="M121" s="1002">
        <v>118</v>
      </c>
      <c r="N121" s="1003">
        <v>2</v>
      </c>
      <c r="O121" s="1003">
        <v>28</v>
      </c>
      <c r="P121" s="1003"/>
      <c r="Q121" s="1003">
        <f t="shared" si="25"/>
        <v>30</v>
      </c>
      <c r="R121" s="1004"/>
      <c r="S121" s="1003">
        <v>0</v>
      </c>
      <c r="T121" s="1003">
        <v>28</v>
      </c>
      <c r="U121" s="1005">
        <v>32</v>
      </c>
      <c r="V121"/>
      <c r="W121" s="1002">
        <v>118</v>
      </c>
      <c r="X121" s="1003"/>
      <c r="Y121" s="1003">
        <v>2</v>
      </c>
      <c r="Z121" s="1003">
        <f t="shared" si="42"/>
        <v>22</v>
      </c>
      <c r="AA121" s="1003">
        <f t="shared" si="33"/>
        <v>24</v>
      </c>
      <c r="AB121" s="1004"/>
      <c r="AC121" s="1003">
        <v>0</v>
      </c>
      <c r="AD121" s="1003">
        <v>16</v>
      </c>
      <c r="AE121" s="1005">
        <v>32</v>
      </c>
      <c r="AF121"/>
      <c r="AG121" s="1002">
        <v>118</v>
      </c>
      <c r="AH121" s="1003"/>
      <c r="AI121" s="1003"/>
      <c r="AJ121" s="1003">
        <v>2</v>
      </c>
      <c r="AK121" s="1003">
        <f t="shared" si="43"/>
        <v>18</v>
      </c>
      <c r="AL121" s="1003">
        <f t="shared" si="37"/>
        <v>20</v>
      </c>
      <c r="AM121" s="1004"/>
      <c r="AN121" s="1003">
        <v>0</v>
      </c>
      <c r="AO121" s="1003">
        <f>AO120</f>
        <v>8</v>
      </c>
      <c r="AP121" s="1005">
        <v>32</v>
      </c>
      <c r="AQ121"/>
      <c r="AR121" s="1002">
        <v>118</v>
      </c>
      <c r="AS121" s="1003"/>
      <c r="AT121" s="1003"/>
      <c r="AU121" s="1003"/>
      <c r="AV121" s="1003">
        <v>1</v>
      </c>
      <c r="AW121" s="1003">
        <f t="shared" si="44"/>
        <v>16</v>
      </c>
      <c r="AX121" s="1003">
        <f t="shared" si="38"/>
        <v>17</v>
      </c>
      <c r="AY121" s="1004"/>
      <c r="AZ121" s="1003">
        <v>0</v>
      </c>
      <c r="BA121" s="1003">
        <f t="shared" si="36"/>
        <v>2</v>
      </c>
      <c r="BB121" s="1005">
        <v>32</v>
      </c>
      <c r="BC121"/>
      <c r="BD121" s="1002">
        <v>118</v>
      </c>
      <c r="BE121" s="1003"/>
      <c r="BF121" s="1003"/>
      <c r="BG121" s="1003"/>
      <c r="BH121" s="1003"/>
      <c r="BI121" s="1003">
        <v>2</v>
      </c>
      <c r="BJ121" s="1003">
        <f t="shared" si="23"/>
        <v>13</v>
      </c>
      <c r="BK121" s="1003">
        <f t="shared" si="39"/>
        <v>15</v>
      </c>
      <c r="BL121" s="1004"/>
      <c r="BM121" s="1003">
        <v>0</v>
      </c>
      <c r="BN121" s="1003">
        <f t="shared" si="22"/>
        <v>14</v>
      </c>
      <c r="BO121" s="1005">
        <v>16</v>
      </c>
      <c r="BP121"/>
      <c r="BQ121" s="1002">
        <v>118</v>
      </c>
      <c r="BR121" s="1003"/>
      <c r="BS121" s="1003"/>
      <c r="BT121" s="1003"/>
      <c r="BU121" s="1003"/>
      <c r="BV121" s="1003"/>
      <c r="BW121" s="1003">
        <v>8</v>
      </c>
      <c r="BX121" s="1003">
        <f t="shared" si="31"/>
        <v>6</v>
      </c>
      <c r="BY121" s="1003">
        <f t="shared" si="40"/>
        <v>14</v>
      </c>
      <c r="BZ121" s="1004"/>
      <c r="CA121" s="1003">
        <v>0</v>
      </c>
      <c r="CB121" s="1003">
        <f t="shared" si="32"/>
        <v>12</v>
      </c>
      <c r="CC121" s="1005">
        <v>16</v>
      </c>
      <c r="CD121"/>
      <c r="CE121" s="1002">
        <v>118</v>
      </c>
      <c r="CF121" s="1003"/>
      <c r="CG121" s="1003"/>
      <c r="CH121" s="1003"/>
      <c r="CI121" s="1003"/>
      <c r="CJ121" s="1003"/>
      <c r="CK121" s="1003"/>
      <c r="CL121" s="1003">
        <v>2</v>
      </c>
      <c r="CM121" s="1003">
        <f t="shared" si="35"/>
        <v>10</v>
      </c>
      <c r="CN121" s="1003">
        <f t="shared" si="41"/>
        <v>12</v>
      </c>
      <c r="CO121" s="1004"/>
      <c r="CP121" s="1003">
        <v>0</v>
      </c>
      <c r="CQ121" s="1003">
        <f t="shared" si="34"/>
        <v>8</v>
      </c>
      <c r="CR121" s="1005">
        <v>16</v>
      </c>
    </row>
    <row r="122" spans="1:96" outlineLevel="1" x14ac:dyDescent="0.2">
      <c r="A122"/>
      <c r="B122" s="1002">
        <v>119</v>
      </c>
      <c r="C122" s="1003">
        <v>32</v>
      </c>
      <c r="D122" s="1003">
        <v>0</v>
      </c>
      <c r="E122" s="1003"/>
      <c r="F122" s="1003">
        <f t="shared" si="24"/>
        <v>32</v>
      </c>
      <c r="G122" s="1004"/>
      <c r="H122" s="1003">
        <v>23</v>
      </c>
      <c r="I122" s="1003">
        <v>23</v>
      </c>
      <c r="J122" s="1005">
        <v>64</v>
      </c>
      <c r="K122" s="1"/>
      <c r="L122"/>
      <c r="M122" s="1002">
        <v>119</v>
      </c>
      <c r="N122" s="1003">
        <v>1</v>
      </c>
      <c r="O122" s="1003">
        <v>29</v>
      </c>
      <c r="P122" s="1003"/>
      <c r="Q122" s="1003">
        <f t="shared" si="25"/>
        <v>30</v>
      </c>
      <c r="R122" s="1004"/>
      <c r="S122" s="1003">
        <v>0</v>
      </c>
      <c r="T122" s="1003">
        <v>28</v>
      </c>
      <c r="U122" s="1005">
        <v>32</v>
      </c>
      <c r="V122"/>
      <c r="W122" s="1002">
        <v>119</v>
      </c>
      <c r="X122" s="1003"/>
      <c r="Y122" s="1003">
        <v>1</v>
      </c>
      <c r="Z122" s="1003">
        <f t="shared" si="42"/>
        <v>23</v>
      </c>
      <c r="AA122" s="1003">
        <f t="shared" si="33"/>
        <v>24</v>
      </c>
      <c r="AB122" s="1004"/>
      <c r="AC122" s="1003">
        <v>0</v>
      </c>
      <c r="AD122" s="1003">
        <v>16</v>
      </c>
      <c r="AE122" s="1005">
        <v>32</v>
      </c>
      <c r="AF122"/>
      <c r="AG122" s="1002">
        <v>119</v>
      </c>
      <c r="AH122" s="1003"/>
      <c r="AI122" s="1003"/>
      <c r="AJ122" s="1003">
        <v>1</v>
      </c>
      <c r="AK122" s="1003">
        <f t="shared" si="43"/>
        <v>19</v>
      </c>
      <c r="AL122" s="1003">
        <f t="shared" si="37"/>
        <v>20</v>
      </c>
      <c r="AM122" s="1004"/>
      <c r="AN122" s="1003">
        <v>0</v>
      </c>
      <c r="AO122" s="1003">
        <f>AO121</f>
        <v>8</v>
      </c>
      <c r="AP122" s="1005">
        <v>32</v>
      </c>
      <c r="AQ122"/>
      <c r="AR122" s="1002">
        <v>119</v>
      </c>
      <c r="AS122" s="1003"/>
      <c r="AT122" s="1003"/>
      <c r="AU122" s="1003"/>
      <c r="AV122" s="1003"/>
      <c r="AW122" s="1003">
        <f t="shared" si="44"/>
        <v>17</v>
      </c>
      <c r="AX122" s="1003">
        <f t="shared" si="38"/>
        <v>17</v>
      </c>
      <c r="AY122" s="1004"/>
      <c r="AZ122" s="1003">
        <v>0</v>
      </c>
      <c r="BA122" s="1003">
        <f t="shared" si="36"/>
        <v>2</v>
      </c>
      <c r="BB122" s="1005">
        <v>32</v>
      </c>
      <c r="BC122"/>
      <c r="BD122" s="1002">
        <v>119</v>
      </c>
      <c r="BE122" s="1003"/>
      <c r="BF122" s="1003"/>
      <c r="BG122" s="1003"/>
      <c r="BH122" s="1003"/>
      <c r="BI122" s="1003">
        <v>1</v>
      </c>
      <c r="BJ122" s="1003">
        <f t="shared" si="23"/>
        <v>14</v>
      </c>
      <c r="BK122" s="1003">
        <f t="shared" si="39"/>
        <v>15</v>
      </c>
      <c r="BL122" s="1004"/>
      <c r="BM122" s="1003">
        <v>0</v>
      </c>
      <c r="BN122" s="1003">
        <f t="shared" si="22"/>
        <v>14</v>
      </c>
      <c r="BO122" s="1005">
        <v>16</v>
      </c>
      <c r="BP122"/>
      <c r="BQ122" s="1002">
        <v>119</v>
      </c>
      <c r="BR122" s="1003"/>
      <c r="BS122" s="1003"/>
      <c r="BT122" s="1003"/>
      <c r="BU122" s="1003"/>
      <c r="BV122" s="1003"/>
      <c r="BW122" s="1003">
        <v>7</v>
      </c>
      <c r="BX122" s="1003">
        <f t="shared" si="31"/>
        <v>7</v>
      </c>
      <c r="BY122" s="1003">
        <f t="shared" si="40"/>
        <v>14</v>
      </c>
      <c r="BZ122" s="1004"/>
      <c r="CA122" s="1003">
        <v>0</v>
      </c>
      <c r="CB122" s="1003">
        <f t="shared" si="32"/>
        <v>12</v>
      </c>
      <c r="CC122" s="1005">
        <v>16</v>
      </c>
      <c r="CD122"/>
      <c r="CE122" s="1002">
        <v>119</v>
      </c>
      <c r="CF122" s="1003"/>
      <c r="CG122" s="1003"/>
      <c r="CH122" s="1003"/>
      <c r="CI122" s="1003"/>
      <c r="CJ122" s="1003"/>
      <c r="CK122" s="1003"/>
      <c r="CL122" s="1003">
        <v>1</v>
      </c>
      <c r="CM122" s="1003">
        <f t="shared" si="35"/>
        <v>11</v>
      </c>
      <c r="CN122" s="1003">
        <f t="shared" si="41"/>
        <v>12</v>
      </c>
      <c r="CO122" s="1004"/>
      <c r="CP122" s="1003">
        <v>0</v>
      </c>
      <c r="CQ122" s="1003">
        <f t="shared" si="34"/>
        <v>8</v>
      </c>
      <c r="CR122" s="1005">
        <v>16</v>
      </c>
    </row>
    <row r="123" spans="1:96" outlineLevel="1" x14ac:dyDescent="0.2">
      <c r="A123"/>
      <c r="B123" s="1002">
        <v>120</v>
      </c>
      <c r="C123" s="1003">
        <v>32</v>
      </c>
      <c r="D123" s="1003">
        <v>0</v>
      </c>
      <c r="E123" s="1003"/>
      <c r="F123" s="1003">
        <f t="shared" si="24"/>
        <v>32</v>
      </c>
      <c r="G123" s="1004"/>
      <c r="H123" s="1003">
        <v>24</v>
      </c>
      <c r="I123" s="1003">
        <v>24</v>
      </c>
      <c r="J123" s="1005">
        <v>64</v>
      </c>
      <c r="K123" s="1"/>
      <c r="L123"/>
      <c r="M123" s="1002">
        <v>120</v>
      </c>
      <c r="N123" s="1003">
        <v>0</v>
      </c>
      <c r="O123" s="1003">
        <v>30</v>
      </c>
      <c r="P123" s="1003"/>
      <c r="Q123" s="1003">
        <f t="shared" si="25"/>
        <v>30</v>
      </c>
      <c r="R123" s="1004"/>
      <c r="S123" s="1003">
        <v>0</v>
      </c>
      <c r="T123" s="1003">
        <v>28</v>
      </c>
      <c r="U123" s="1005">
        <v>32</v>
      </c>
      <c r="V123"/>
      <c r="W123" s="1002">
        <v>120</v>
      </c>
      <c r="X123" s="1003"/>
      <c r="Y123" s="1003"/>
      <c r="Z123" s="1003">
        <f t="shared" si="42"/>
        <v>24</v>
      </c>
      <c r="AA123" s="1003">
        <f t="shared" si="33"/>
        <v>24</v>
      </c>
      <c r="AB123" s="1004"/>
      <c r="AC123" s="1003">
        <v>0</v>
      </c>
      <c r="AD123" s="1003">
        <v>16</v>
      </c>
      <c r="AE123" s="1005">
        <v>32</v>
      </c>
      <c r="AF123"/>
      <c r="AG123" s="1002">
        <v>120</v>
      </c>
      <c r="AH123" s="1003"/>
      <c r="AI123" s="1003"/>
      <c r="AJ123" s="1003"/>
      <c r="AK123" s="1003">
        <f t="shared" si="43"/>
        <v>20</v>
      </c>
      <c r="AL123" s="1003">
        <f t="shared" si="37"/>
        <v>20</v>
      </c>
      <c r="AM123" s="1004"/>
      <c r="AN123" s="1003">
        <v>0</v>
      </c>
      <c r="AO123" s="1003">
        <f>AO122</f>
        <v>8</v>
      </c>
      <c r="AP123" s="1005">
        <v>32</v>
      </c>
      <c r="AQ123"/>
      <c r="AR123" s="1002">
        <v>120</v>
      </c>
      <c r="AS123" s="1003"/>
      <c r="AT123" s="1003"/>
      <c r="AU123" s="1003"/>
      <c r="AV123" s="1003">
        <v>6</v>
      </c>
      <c r="AW123" s="1003">
        <f t="shared" si="44"/>
        <v>12</v>
      </c>
      <c r="AX123" s="1003">
        <f t="shared" si="38"/>
        <v>18</v>
      </c>
      <c r="AY123" s="1004"/>
      <c r="AZ123" s="1003">
        <v>0</v>
      </c>
      <c r="BA123" s="1003">
        <f t="shared" si="36"/>
        <v>4</v>
      </c>
      <c r="BB123" s="1005">
        <v>32</v>
      </c>
      <c r="BC123"/>
      <c r="BD123" s="1002">
        <v>120</v>
      </c>
      <c r="BE123" s="1003"/>
      <c r="BF123" s="1003"/>
      <c r="BG123" s="1003"/>
      <c r="BH123" s="1003"/>
      <c r="BI123" s="1003"/>
      <c r="BJ123" s="1003">
        <f t="shared" si="23"/>
        <v>15</v>
      </c>
      <c r="BK123" s="1003">
        <f t="shared" si="39"/>
        <v>15</v>
      </c>
      <c r="BL123" s="1004"/>
      <c r="BM123" s="1003">
        <v>0</v>
      </c>
      <c r="BN123" s="1003">
        <f t="shared" si="22"/>
        <v>14</v>
      </c>
      <c r="BO123" s="1005">
        <v>16</v>
      </c>
      <c r="BP123"/>
      <c r="BQ123" s="1002">
        <v>120</v>
      </c>
      <c r="BR123" s="1003"/>
      <c r="BS123" s="1003"/>
      <c r="BT123" s="1003"/>
      <c r="BU123" s="1003"/>
      <c r="BV123" s="1003"/>
      <c r="BW123" s="1003">
        <v>6</v>
      </c>
      <c r="BX123" s="1003">
        <f t="shared" si="31"/>
        <v>8</v>
      </c>
      <c r="BY123" s="1003">
        <f t="shared" si="40"/>
        <v>14</v>
      </c>
      <c r="BZ123" s="1004"/>
      <c r="CA123" s="1003">
        <v>0</v>
      </c>
      <c r="CB123" s="1003">
        <f t="shared" si="32"/>
        <v>12</v>
      </c>
      <c r="CC123" s="1005">
        <v>16</v>
      </c>
      <c r="CD123"/>
      <c r="CE123" s="1002">
        <v>120</v>
      </c>
      <c r="CF123" s="1003"/>
      <c r="CG123" s="1003"/>
      <c r="CH123" s="1003"/>
      <c r="CI123" s="1003"/>
      <c r="CJ123" s="1003"/>
      <c r="CK123" s="1003"/>
      <c r="CL123" s="1003"/>
      <c r="CM123" s="1003">
        <f t="shared" si="35"/>
        <v>12</v>
      </c>
      <c r="CN123" s="1003">
        <f t="shared" si="41"/>
        <v>12</v>
      </c>
      <c r="CO123" s="1004"/>
      <c r="CP123" s="1003">
        <v>0</v>
      </c>
      <c r="CQ123" s="1003">
        <f t="shared" si="34"/>
        <v>8</v>
      </c>
      <c r="CR123" s="1005">
        <v>16</v>
      </c>
    </row>
    <row r="124" spans="1:96" outlineLevel="1" x14ac:dyDescent="0.2">
      <c r="A124"/>
      <c r="B124" s="1002">
        <v>121</v>
      </c>
      <c r="C124" s="1003">
        <v>32</v>
      </c>
      <c r="D124" s="1003">
        <v>0</v>
      </c>
      <c r="E124" s="1003"/>
      <c r="F124" s="1003">
        <f t="shared" si="24"/>
        <v>32</v>
      </c>
      <c r="G124" s="1004"/>
      <c r="H124" s="1003">
        <v>25</v>
      </c>
      <c r="I124" s="1003">
        <v>25</v>
      </c>
      <c r="J124" s="1005">
        <v>64</v>
      </c>
      <c r="K124" s="1"/>
      <c r="L124"/>
      <c r="M124" s="1002">
        <v>121</v>
      </c>
      <c r="N124" s="1003">
        <v>3</v>
      </c>
      <c r="O124" s="1003">
        <v>28</v>
      </c>
      <c r="P124" s="1003"/>
      <c r="Q124" s="1003">
        <f t="shared" si="25"/>
        <v>31</v>
      </c>
      <c r="R124" s="1004"/>
      <c r="S124" s="1003">
        <v>0</v>
      </c>
      <c r="T124" s="1003">
        <v>30</v>
      </c>
      <c r="U124" s="1005">
        <v>32</v>
      </c>
      <c r="V124"/>
      <c r="W124" s="1002">
        <v>121</v>
      </c>
      <c r="X124" s="1003"/>
      <c r="Y124" s="1003">
        <v>4</v>
      </c>
      <c r="Z124" s="1003">
        <f t="shared" si="42"/>
        <v>21</v>
      </c>
      <c r="AA124" s="1003">
        <f t="shared" si="33"/>
        <v>25</v>
      </c>
      <c r="AB124" s="1004"/>
      <c r="AC124" s="1003">
        <v>0</v>
      </c>
      <c r="AD124" s="1003">
        <v>18</v>
      </c>
      <c r="AE124" s="1005">
        <v>32</v>
      </c>
      <c r="AF124"/>
      <c r="AG124" s="1002">
        <v>121</v>
      </c>
      <c r="AH124" s="1003"/>
      <c r="AI124" s="1003"/>
      <c r="AJ124" s="1009">
        <v>5</v>
      </c>
      <c r="AK124" s="1003">
        <f t="shared" si="43"/>
        <v>16</v>
      </c>
      <c r="AL124" s="1003">
        <f t="shared" si="37"/>
        <v>21</v>
      </c>
      <c r="AM124" s="1004"/>
      <c r="AN124" s="1003">
        <v>0</v>
      </c>
      <c r="AO124" s="1003">
        <f>AO118+2</f>
        <v>10</v>
      </c>
      <c r="AP124" s="1005">
        <v>32</v>
      </c>
      <c r="AQ124"/>
      <c r="AR124" s="1002">
        <v>121</v>
      </c>
      <c r="AS124" s="1003"/>
      <c r="AT124" s="1003"/>
      <c r="AU124" s="1009"/>
      <c r="AV124" s="1003">
        <v>5</v>
      </c>
      <c r="AW124" s="1003">
        <f t="shared" si="44"/>
        <v>13</v>
      </c>
      <c r="AX124" s="1003">
        <f t="shared" si="38"/>
        <v>18</v>
      </c>
      <c r="AY124" s="1004"/>
      <c r="AZ124" s="1003">
        <v>0</v>
      </c>
      <c r="BA124" s="1003">
        <f t="shared" si="36"/>
        <v>4</v>
      </c>
      <c r="BB124" s="1005">
        <v>32</v>
      </c>
      <c r="BC124"/>
      <c r="BD124" s="1002">
        <v>121</v>
      </c>
      <c r="BE124" s="1003"/>
      <c r="BF124" s="1003"/>
      <c r="BG124" s="1009"/>
      <c r="BH124" s="1003"/>
      <c r="BI124" s="1003">
        <v>7</v>
      </c>
      <c r="BJ124" s="1003">
        <f t="shared" si="23"/>
        <v>9</v>
      </c>
      <c r="BK124" s="1003">
        <f t="shared" si="39"/>
        <v>16</v>
      </c>
      <c r="BL124" s="1004"/>
      <c r="BM124" s="1003">
        <v>0</v>
      </c>
      <c r="BN124" s="1003">
        <v>0</v>
      </c>
      <c r="BO124" s="1005">
        <v>32</v>
      </c>
      <c r="BP124"/>
      <c r="BQ124" s="1002">
        <v>121</v>
      </c>
      <c r="BR124" s="1003"/>
      <c r="BS124" s="1003"/>
      <c r="BT124" s="1009"/>
      <c r="BU124" s="1003"/>
      <c r="BV124" s="1003"/>
      <c r="BW124" s="1003">
        <v>5</v>
      </c>
      <c r="BX124" s="1003">
        <f t="shared" si="31"/>
        <v>9</v>
      </c>
      <c r="BY124" s="1003">
        <f t="shared" si="40"/>
        <v>14</v>
      </c>
      <c r="BZ124" s="1004"/>
      <c r="CA124" s="1003">
        <v>0</v>
      </c>
      <c r="CB124" s="1003">
        <f t="shared" si="32"/>
        <v>12</v>
      </c>
      <c r="CC124" s="1005">
        <v>16</v>
      </c>
      <c r="CD124"/>
      <c r="CE124" s="1002">
        <v>121</v>
      </c>
      <c r="CF124" s="1003"/>
      <c r="CG124" s="1003"/>
      <c r="CH124" s="1009"/>
      <c r="CI124" s="1003"/>
      <c r="CJ124" s="1003"/>
      <c r="CK124" s="1003"/>
      <c r="CL124" s="1003">
        <f>CL115+1</f>
        <v>9</v>
      </c>
      <c r="CM124" s="1003">
        <f t="shared" si="35"/>
        <v>4</v>
      </c>
      <c r="CN124" s="1003">
        <f t="shared" si="41"/>
        <v>13</v>
      </c>
      <c r="CO124" s="1004"/>
      <c r="CP124" s="1003">
        <v>0</v>
      </c>
      <c r="CQ124" s="1003">
        <f t="shared" si="34"/>
        <v>10</v>
      </c>
      <c r="CR124" s="1005">
        <v>16</v>
      </c>
    </row>
    <row r="125" spans="1:96" outlineLevel="1" x14ac:dyDescent="0.2">
      <c r="A125"/>
      <c r="B125" s="1002">
        <v>122</v>
      </c>
      <c r="C125" s="1003">
        <v>32</v>
      </c>
      <c r="D125" s="1003">
        <v>0</v>
      </c>
      <c r="E125" s="1003"/>
      <c r="F125" s="1003">
        <f t="shared" si="24"/>
        <v>32</v>
      </c>
      <c r="G125" s="1004"/>
      <c r="H125" s="1003">
        <v>26</v>
      </c>
      <c r="I125" s="1003">
        <v>26</v>
      </c>
      <c r="J125" s="1005">
        <v>64</v>
      </c>
      <c r="K125" s="1"/>
      <c r="L125"/>
      <c r="M125" s="1002">
        <v>122</v>
      </c>
      <c r="N125" s="1003">
        <v>2</v>
      </c>
      <c r="O125" s="1003">
        <v>29</v>
      </c>
      <c r="P125" s="1003"/>
      <c r="Q125" s="1003">
        <f t="shared" si="25"/>
        <v>31</v>
      </c>
      <c r="R125" s="1004"/>
      <c r="S125" s="1003">
        <v>0</v>
      </c>
      <c r="T125" s="1003">
        <v>30</v>
      </c>
      <c r="U125" s="1005">
        <v>32</v>
      </c>
      <c r="V125"/>
      <c r="W125" s="1002">
        <v>122</v>
      </c>
      <c r="X125" s="1003"/>
      <c r="Y125" s="1003">
        <v>3</v>
      </c>
      <c r="Z125" s="1003">
        <f t="shared" si="42"/>
        <v>22</v>
      </c>
      <c r="AA125" s="1003">
        <f t="shared" si="33"/>
        <v>25</v>
      </c>
      <c r="AB125" s="1004"/>
      <c r="AC125" s="1003">
        <v>0</v>
      </c>
      <c r="AD125" s="1003">
        <v>18</v>
      </c>
      <c r="AE125" s="1005">
        <v>32</v>
      </c>
      <c r="AF125"/>
      <c r="AG125" s="1002">
        <v>122</v>
      </c>
      <c r="AH125" s="1003"/>
      <c r="AI125" s="1003"/>
      <c r="AJ125" s="1003">
        <v>4</v>
      </c>
      <c r="AK125" s="1003">
        <f t="shared" si="43"/>
        <v>17</v>
      </c>
      <c r="AL125" s="1003">
        <f t="shared" si="37"/>
        <v>21</v>
      </c>
      <c r="AM125" s="1004"/>
      <c r="AN125" s="1003">
        <v>0</v>
      </c>
      <c r="AO125" s="1003">
        <f>AO124</f>
        <v>10</v>
      </c>
      <c r="AP125" s="1005">
        <v>32</v>
      </c>
      <c r="AQ125"/>
      <c r="AR125" s="1002">
        <v>122</v>
      </c>
      <c r="AS125" s="1003"/>
      <c r="AT125" s="1003"/>
      <c r="AU125" s="1003"/>
      <c r="AV125" s="1003">
        <v>4</v>
      </c>
      <c r="AW125" s="1003">
        <f t="shared" si="44"/>
        <v>14</v>
      </c>
      <c r="AX125" s="1003">
        <f t="shared" si="38"/>
        <v>18</v>
      </c>
      <c r="AY125" s="1004"/>
      <c r="AZ125" s="1003">
        <v>0</v>
      </c>
      <c r="BA125" s="1003">
        <f t="shared" si="36"/>
        <v>4</v>
      </c>
      <c r="BB125" s="1005">
        <v>32</v>
      </c>
      <c r="BC125"/>
      <c r="BD125" s="1002">
        <v>122</v>
      </c>
      <c r="BE125" s="1003"/>
      <c r="BF125" s="1003"/>
      <c r="BG125" s="1003"/>
      <c r="BH125" s="1003"/>
      <c r="BI125" s="1003">
        <v>6</v>
      </c>
      <c r="BJ125" s="1003">
        <f t="shared" si="23"/>
        <v>10</v>
      </c>
      <c r="BK125" s="1003">
        <f t="shared" si="39"/>
        <v>16</v>
      </c>
      <c r="BL125" s="1004"/>
      <c r="BM125" s="1003">
        <v>0</v>
      </c>
      <c r="BN125" s="1003">
        <v>0</v>
      </c>
      <c r="BO125" s="1005">
        <v>32</v>
      </c>
      <c r="BP125"/>
      <c r="BQ125" s="1002">
        <v>122</v>
      </c>
      <c r="BR125" s="1003"/>
      <c r="BS125" s="1003"/>
      <c r="BT125" s="1003"/>
      <c r="BU125" s="1003"/>
      <c r="BV125" s="1003"/>
      <c r="BW125" s="1003">
        <v>4</v>
      </c>
      <c r="BX125" s="1003">
        <f t="shared" si="31"/>
        <v>10</v>
      </c>
      <c r="BY125" s="1003">
        <f t="shared" si="40"/>
        <v>14</v>
      </c>
      <c r="BZ125" s="1004"/>
      <c r="CA125" s="1003">
        <v>0</v>
      </c>
      <c r="CB125" s="1003">
        <f t="shared" si="32"/>
        <v>12</v>
      </c>
      <c r="CC125" s="1005">
        <v>16</v>
      </c>
      <c r="CD125"/>
      <c r="CE125" s="1002">
        <v>122</v>
      </c>
      <c r="CF125" s="1003"/>
      <c r="CG125" s="1003"/>
      <c r="CH125" s="1003"/>
      <c r="CI125" s="1003"/>
      <c r="CJ125" s="1003"/>
      <c r="CK125" s="1003"/>
      <c r="CL125" s="1003">
        <v>8</v>
      </c>
      <c r="CM125" s="1003">
        <f t="shared" si="35"/>
        <v>5</v>
      </c>
      <c r="CN125" s="1003">
        <f t="shared" si="41"/>
        <v>13</v>
      </c>
      <c r="CO125" s="1004"/>
      <c r="CP125" s="1003">
        <v>0</v>
      </c>
      <c r="CQ125" s="1003">
        <f t="shared" si="34"/>
        <v>10</v>
      </c>
      <c r="CR125" s="1005">
        <v>16</v>
      </c>
    </row>
    <row r="126" spans="1:96" outlineLevel="1" x14ac:dyDescent="0.2">
      <c r="A126"/>
      <c r="B126" s="1002">
        <v>123</v>
      </c>
      <c r="C126" s="1003">
        <v>32</v>
      </c>
      <c r="D126" s="1003">
        <v>0</v>
      </c>
      <c r="E126" s="1003"/>
      <c r="F126" s="1003">
        <f t="shared" si="24"/>
        <v>32</v>
      </c>
      <c r="G126" s="1004"/>
      <c r="H126" s="1003">
        <v>27</v>
      </c>
      <c r="I126" s="1003">
        <v>27</v>
      </c>
      <c r="J126" s="1005">
        <v>64</v>
      </c>
      <c r="K126" s="1"/>
      <c r="L126"/>
      <c r="M126" s="1002">
        <v>123</v>
      </c>
      <c r="N126" s="1003">
        <v>1</v>
      </c>
      <c r="O126" s="1003">
        <v>30</v>
      </c>
      <c r="P126" s="1003"/>
      <c r="Q126" s="1003">
        <f t="shared" si="25"/>
        <v>31</v>
      </c>
      <c r="R126" s="1004"/>
      <c r="S126" s="1003">
        <v>0</v>
      </c>
      <c r="T126" s="1003">
        <v>30</v>
      </c>
      <c r="U126" s="1005">
        <v>32</v>
      </c>
      <c r="V126"/>
      <c r="W126" s="1002">
        <v>123</v>
      </c>
      <c r="X126" s="1003"/>
      <c r="Y126" s="1003">
        <v>2</v>
      </c>
      <c r="Z126" s="1003">
        <f t="shared" si="42"/>
        <v>23</v>
      </c>
      <c r="AA126" s="1003">
        <f t="shared" si="33"/>
        <v>25</v>
      </c>
      <c r="AB126" s="1004"/>
      <c r="AC126" s="1003">
        <v>0</v>
      </c>
      <c r="AD126" s="1003">
        <v>18</v>
      </c>
      <c r="AE126" s="1005">
        <v>32</v>
      </c>
      <c r="AF126"/>
      <c r="AG126" s="1002">
        <v>123</v>
      </c>
      <c r="AH126" s="1003"/>
      <c r="AI126" s="1003"/>
      <c r="AJ126" s="1003">
        <v>3</v>
      </c>
      <c r="AK126" s="1003">
        <f t="shared" si="43"/>
        <v>18</v>
      </c>
      <c r="AL126" s="1003">
        <f t="shared" si="37"/>
        <v>21</v>
      </c>
      <c r="AM126" s="1004"/>
      <c r="AN126" s="1003">
        <v>0</v>
      </c>
      <c r="AO126" s="1003">
        <f>AO125</f>
        <v>10</v>
      </c>
      <c r="AP126" s="1005">
        <v>32</v>
      </c>
      <c r="AQ126"/>
      <c r="AR126" s="1002">
        <v>123</v>
      </c>
      <c r="AS126" s="1003"/>
      <c r="AT126" s="1003"/>
      <c r="AU126" s="1003"/>
      <c r="AV126" s="1003">
        <v>3</v>
      </c>
      <c r="AW126" s="1003">
        <f t="shared" si="44"/>
        <v>15</v>
      </c>
      <c r="AX126" s="1003">
        <f t="shared" si="38"/>
        <v>18</v>
      </c>
      <c r="AY126" s="1004"/>
      <c r="AZ126" s="1003">
        <v>0</v>
      </c>
      <c r="BA126" s="1003">
        <f t="shared" si="36"/>
        <v>4</v>
      </c>
      <c r="BB126" s="1005">
        <v>32</v>
      </c>
      <c r="BC126"/>
      <c r="BD126" s="1002">
        <v>123</v>
      </c>
      <c r="BE126" s="1003"/>
      <c r="BF126" s="1003"/>
      <c r="BG126" s="1003"/>
      <c r="BH126" s="1003"/>
      <c r="BI126" s="1003">
        <v>5</v>
      </c>
      <c r="BJ126" s="1003">
        <f t="shared" si="23"/>
        <v>11</v>
      </c>
      <c r="BK126" s="1003">
        <f t="shared" si="39"/>
        <v>16</v>
      </c>
      <c r="BL126" s="1004"/>
      <c r="BM126" s="1003">
        <v>0</v>
      </c>
      <c r="BN126" s="1003">
        <v>0</v>
      </c>
      <c r="BO126" s="1005">
        <v>32</v>
      </c>
      <c r="BP126"/>
      <c r="BQ126" s="1002">
        <v>123</v>
      </c>
      <c r="BR126" s="1003"/>
      <c r="BS126" s="1003"/>
      <c r="BT126" s="1003"/>
      <c r="BU126" s="1003"/>
      <c r="BV126" s="1003"/>
      <c r="BW126" s="1003">
        <v>3</v>
      </c>
      <c r="BX126" s="1003">
        <f t="shared" si="31"/>
        <v>11</v>
      </c>
      <c r="BY126" s="1003">
        <f t="shared" si="40"/>
        <v>14</v>
      </c>
      <c r="BZ126" s="1004"/>
      <c r="CA126" s="1003">
        <v>0</v>
      </c>
      <c r="CB126" s="1003">
        <f t="shared" si="32"/>
        <v>12</v>
      </c>
      <c r="CC126" s="1005">
        <v>16</v>
      </c>
      <c r="CD126"/>
      <c r="CE126" s="1002">
        <v>123</v>
      </c>
      <c r="CF126" s="1003"/>
      <c r="CG126" s="1003"/>
      <c r="CH126" s="1003"/>
      <c r="CI126" s="1003"/>
      <c r="CJ126" s="1003"/>
      <c r="CK126" s="1003"/>
      <c r="CL126" s="1003">
        <v>7</v>
      </c>
      <c r="CM126" s="1003">
        <f t="shared" si="35"/>
        <v>6</v>
      </c>
      <c r="CN126" s="1003">
        <f t="shared" si="41"/>
        <v>13</v>
      </c>
      <c r="CO126" s="1004"/>
      <c r="CP126" s="1003">
        <v>0</v>
      </c>
      <c r="CQ126" s="1003">
        <f t="shared" si="34"/>
        <v>10</v>
      </c>
      <c r="CR126" s="1005">
        <v>16</v>
      </c>
    </row>
    <row r="127" spans="1:96" outlineLevel="1" x14ac:dyDescent="0.2">
      <c r="A127"/>
      <c r="B127" s="1002">
        <v>124</v>
      </c>
      <c r="C127" s="1003">
        <v>32</v>
      </c>
      <c r="D127" s="1003">
        <v>0</v>
      </c>
      <c r="E127" s="1003"/>
      <c r="F127" s="1003">
        <f t="shared" si="24"/>
        <v>32</v>
      </c>
      <c r="G127" s="1004"/>
      <c r="H127" s="1003">
        <v>28</v>
      </c>
      <c r="I127" s="1003">
        <v>28</v>
      </c>
      <c r="J127" s="1005">
        <v>64</v>
      </c>
      <c r="K127" s="1"/>
      <c r="L127"/>
      <c r="M127" s="1002">
        <v>124</v>
      </c>
      <c r="N127" s="1003">
        <v>0</v>
      </c>
      <c r="O127" s="1003">
        <v>31</v>
      </c>
      <c r="P127" s="1003"/>
      <c r="Q127" s="1003">
        <f t="shared" si="25"/>
        <v>31</v>
      </c>
      <c r="R127" s="1004"/>
      <c r="S127" s="1003">
        <v>0</v>
      </c>
      <c r="T127" s="1003">
        <v>30</v>
      </c>
      <c r="U127" s="1005">
        <v>32</v>
      </c>
      <c r="V127"/>
      <c r="W127" s="1002">
        <v>124</v>
      </c>
      <c r="X127" s="1003"/>
      <c r="Y127" s="1003">
        <v>1</v>
      </c>
      <c r="Z127" s="1003">
        <f t="shared" si="42"/>
        <v>24</v>
      </c>
      <c r="AA127" s="1003">
        <f t="shared" si="33"/>
        <v>25</v>
      </c>
      <c r="AB127" s="1004"/>
      <c r="AC127" s="1003">
        <v>0</v>
      </c>
      <c r="AD127" s="1003">
        <v>18</v>
      </c>
      <c r="AE127" s="1005">
        <v>32</v>
      </c>
      <c r="AF127"/>
      <c r="AG127" s="1002">
        <v>124</v>
      </c>
      <c r="AH127" s="1003"/>
      <c r="AI127" s="1003"/>
      <c r="AJ127" s="1003">
        <v>2</v>
      </c>
      <c r="AK127" s="1003">
        <f t="shared" si="43"/>
        <v>19</v>
      </c>
      <c r="AL127" s="1003">
        <f t="shared" si="37"/>
        <v>21</v>
      </c>
      <c r="AM127" s="1004"/>
      <c r="AN127" s="1003">
        <v>0</v>
      </c>
      <c r="AO127" s="1003">
        <f>AO126</f>
        <v>10</v>
      </c>
      <c r="AP127" s="1005">
        <v>32</v>
      </c>
      <c r="AQ127"/>
      <c r="AR127" s="1002">
        <v>124</v>
      </c>
      <c r="AS127" s="1003"/>
      <c r="AT127" s="1003"/>
      <c r="AU127" s="1003"/>
      <c r="AV127" s="1003">
        <v>2</v>
      </c>
      <c r="AW127" s="1003">
        <f t="shared" si="44"/>
        <v>16</v>
      </c>
      <c r="AX127" s="1003">
        <f t="shared" si="38"/>
        <v>18</v>
      </c>
      <c r="AY127" s="1004"/>
      <c r="AZ127" s="1003">
        <v>0</v>
      </c>
      <c r="BA127" s="1003">
        <f t="shared" si="36"/>
        <v>4</v>
      </c>
      <c r="BB127" s="1005">
        <v>32</v>
      </c>
      <c r="BC127"/>
      <c r="BD127" s="1002">
        <v>124</v>
      </c>
      <c r="BE127" s="1003"/>
      <c r="BF127" s="1003"/>
      <c r="BG127" s="1003"/>
      <c r="BH127" s="1003"/>
      <c r="BI127" s="1003">
        <v>4</v>
      </c>
      <c r="BJ127" s="1003">
        <f t="shared" si="23"/>
        <v>12</v>
      </c>
      <c r="BK127" s="1003">
        <f t="shared" si="39"/>
        <v>16</v>
      </c>
      <c r="BL127" s="1004"/>
      <c r="BM127" s="1003">
        <v>0</v>
      </c>
      <c r="BN127" s="1003">
        <v>0</v>
      </c>
      <c r="BO127" s="1005">
        <v>32</v>
      </c>
      <c r="BP127"/>
      <c r="BQ127" s="1002">
        <v>124</v>
      </c>
      <c r="BR127" s="1003"/>
      <c r="BS127" s="1003"/>
      <c r="BT127" s="1003"/>
      <c r="BU127" s="1003"/>
      <c r="BV127" s="1003"/>
      <c r="BW127" s="1003">
        <v>2</v>
      </c>
      <c r="BX127" s="1003">
        <f t="shared" si="31"/>
        <v>12</v>
      </c>
      <c r="BY127" s="1003">
        <f t="shared" si="40"/>
        <v>14</v>
      </c>
      <c r="BZ127" s="1004"/>
      <c r="CA127" s="1003">
        <v>0</v>
      </c>
      <c r="CB127" s="1003">
        <f t="shared" si="32"/>
        <v>12</v>
      </c>
      <c r="CC127" s="1005">
        <v>16</v>
      </c>
      <c r="CD127"/>
      <c r="CE127" s="1002">
        <v>124</v>
      </c>
      <c r="CF127" s="1003"/>
      <c r="CG127" s="1003"/>
      <c r="CH127" s="1003"/>
      <c r="CI127" s="1003"/>
      <c r="CJ127" s="1003"/>
      <c r="CK127" s="1003"/>
      <c r="CL127" s="1003">
        <v>6</v>
      </c>
      <c r="CM127" s="1003">
        <f t="shared" si="35"/>
        <v>7</v>
      </c>
      <c r="CN127" s="1003">
        <f t="shared" si="41"/>
        <v>13</v>
      </c>
      <c r="CO127" s="1004"/>
      <c r="CP127" s="1003">
        <v>0</v>
      </c>
      <c r="CQ127" s="1003">
        <f t="shared" si="34"/>
        <v>10</v>
      </c>
      <c r="CR127" s="1005">
        <v>16</v>
      </c>
    </row>
    <row r="128" spans="1:96" outlineLevel="1" x14ac:dyDescent="0.2">
      <c r="A128"/>
      <c r="B128" s="1002">
        <v>125</v>
      </c>
      <c r="C128" s="1003">
        <v>32</v>
      </c>
      <c r="D128" s="1003">
        <v>0</v>
      </c>
      <c r="E128" s="1003"/>
      <c r="F128" s="1003">
        <f t="shared" si="24"/>
        <v>32</v>
      </c>
      <c r="G128" s="1004"/>
      <c r="H128" s="1003">
        <v>29</v>
      </c>
      <c r="I128" s="1003">
        <v>29</v>
      </c>
      <c r="J128" s="1005">
        <v>64</v>
      </c>
      <c r="K128" s="1"/>
      <c r="L128"/>
      <c r="M128" s="1002">
        <v>125</v>
      </c>
      <c r="N128" s="1003">
        <v>3</v>
      </c>
      <c r="O128" s="1003">
        <v>29</v>
      </c>
      <c r="P128" s="1003"/>
      <c r="Q128" s="1003">
        <f t="shared" si="25"/>
        <v>32</v>
      </c>
      <c r="R128" s="1004"/>
      <c r="S128" s="1003">
        <v>0</v>
      </c>
      <c r="T128" s="1003">
        <v>0</v>
      </c>
      <c r="U128" s="1005">
        <v>64</v>
      </c>
      <c r="V128"/>
      <c r="W128" s="1002">
        <v>125</v>
      </c>
      <c r="X128" s="1003"/>
      <c r="Y128" s="1003"/>
      <c r="Z128" s="1003">
        <f t="shared" si="42"/>
        <v>25</v>
      </c>
      <c r="AA128" s="1003">
        <f t="shared" si="33"/>
        <v>25</v>
      </c>
      <c r="AB128" s="1004"/>
      <c r="AC128" s="1003">
        <v>0</v>
      </c>
      <c r="AD128" s="1003">
        <v>18</v>
      </c>
      <c r="AE128" s="1005">
        <v>32</v>
      </c>
      <c r="AF128"/>
      <c r="AG128" s="1002">
        <v>125</v>
      </c>
      <c r="AH128" s="1003"/>
      <c r="AI128" s="1003"/>
      <c r="AJ128" s="1003">
        <v>1</v>
      </c>
      <c r="AK128" s="1003">
        <f t="shared" si="43"/>
        <v>20</v>
      </c>
      <c r="AL128" s="1003">
        <f t="shared" si="37"/>
        <v>21</v>
      </c>
      <c r="AM128" s="1004"/>
      <c r="AN128" s="1003">
        <v>0</v>
      </c>
      <c r="AO128" s="1003">
        <f>AO127</f>
        <v>10</v>
      </c>
      <c r="AP128" s="1005">
        <v>32</v>
      </c>
      <c r="AQ128"/>
      <c r="AR128" s="1002">
        <v>125</v>
      </c>
      <c r="AS128" s="1003"/>
      <c r="AT128" s="1003"/>
      <c r="AU128" s="1003"/>
      <c r="AV128" s="1003">
        <v>1</v>
      </c>
      <c r="AW128" s="1003">
        <f t="shared" si="44"/>
        <v>17</v>
      </c>
      <c r="AX128" s="1003">
        <f t="shared" si="38"/>
        <v>18</v>
      </c>
      <c r="AY128" s="1004"/>
      <c r="AZ128" s="1003">
        <v>0</v>
      </c>
      <c r="BA128" s="1003">
        <f t="shared" si="36"/>
        <v>4</v>
      </c>
      <c r="BB128" s="1005">
        <v>32</v>
      </c>
      <c r="BC128"/>
      <c r="BD128" s="1002">
        <v>125</v>
      </c>
      <c r="BE128" s="1003"/>
      <c r="BF128" s="1003"/>
      <c r="BG128" s="1003"/>
      <c r="BH128" s="1003"/>
      <c r="BI128" s="1003">
        <v>3</v>
      </c>
      <c r="BJ128" s="1003">
        <f t="shared" si="23"/>
        <v>13</v>
      </c>
      <c r="BK128" s="1003">
        <f t="shared" si="39"/>
        <v>16</v>
      </c>
      <c r="BL128" s="1004"/>
      <c r="BM128" s="1003">
        <v>0</v>
      </c>
      <c r="BN128" s="1003">
        <v>0</v>
      </c>
      <c r="BO128" s="1005">
        <v>32</v>
      </c>
      <c r="BP128"/>
      <c r="BQ128" s="1002">
        <v>125</v>
      </c>
      <c r="BR128" s="1003"/>
      <c r="BS128" s="1003"/>
      <c r="BT128" s="1003"/>
      <c r="BU128" s="1003"/>
      <c r="BV128" s="1003"/>
      <c r="BW128" s="1003">
        <v>1</v>
      </c>
      <c r="BX128" s="1003">
        <f t="shared" si="31"/>
        <v>13</v>
      </c>
      <c r="BY128" s="1003">
        <f t="shared" si="40"/>
        <v>14</v>
      </c>
      <c r="BZ128" s="1004"/>
      <c r="CA128" s="1003">
        <v>0</v>
      </c>
      <c r="CB128" s="1003">
        <f t="shared" si="32"/>
        <v>12</v>
      </c>
      <c r="CC128" s="1005">
        <v>16</v>
      </c>
      <c r="CD128"/>
      <c r="CE128" s="1002">
        <v>125</v>
      </c>
      <c r="CF128" s="1003"/>
      <c r="CG128" s="1003"/>
      <c r="CH128" s="1003"/>
      <c r="CI128" s="1003"/>
      <c r="CJ128" s="1003"/>
      <c r="CK128" s="1003"/>
      <c r="CL128" s="1003">
        <v>5</v>
      </c>
      <c r="CM128" s="1003">
        <f t="shared" si="35"/>
        <v>8</v>
      </c>
      <c r="CN128" s="1003">
        <f t="shared" si="41"/>
        <v>13</v>
      </c>
      <c r="CO128" s="1004"/>
      <c r="CP128" s="1003">
        <v>0</v>
      </c>
      <c r="CQ128" s="1003">
        <f t="shared" si="34"/>
        <v>10</v>
      </c>
      <c r="CR128" s="1005">
        <v>16</v>
      </c>
    </row>
    <row r="129" spans="1:96" outlineLevel="1" x14ac:dyDescent="0.2">
      <c r="A129"/>
      <c r="B129" s="1002">
        <v>126</v>
      </c>
      <c r="C129" s="1003">
        <v>32</v>
      </c>
      <c r="D129" s="1003">
        <v>0</v>
      </c>
      <c r="E129" s="1003"/>
      <c r="F129" s="1003">
        <f t="shared" si="24"/>
        <v>32</v>
      </c>
      <c r="G129" s="1004"/>
      <c r="H129" s="1003">
        <v>30</v>
      </c>
      <c r="I129" s="1003">
        <v>30</v>
      </c>
      <c r="J129" s="1005">
        <v>64</v>
      </c>
      <c r="K129" s="1"/>
      <c r="L129"/>
      <c r="M129" s="1002">
        <v>126</v>
      </c>
      <c r="N129" s="1003">
        <v>2</v>
      </c>
      <c r="O129" s="1003">
        <v>30</v>
      </c>
      <c r="P129" s="1003"/>
      <c r="Q129" s="1003">
        <f t="shared" si="25"/>
        <v>32</v>
      </c>
      <c r="R129" s="1004"/>
      <c r="S129" s="1003">
        <v>0</v>
      </c>
      <c r="T129" s="1003">
        <v>0</v>
      </c>
      <c r="U129" s="1005">
        <v>64</v>
      </c>
      <c r="V129"/>
      <c r="W129" s="1002">
        <v>126</v>
      </c>
      <c r="X129" s="1003"/>
      <c r="Y129" s="1003">
        <v>4</v>
      </c>
      <c r="Z129" s="1003">
        <f t="shared" si="42"/>
        <v>22</v>
      </c>
      <c r="AA129" s="1003">
        <f t="shared" si="33"/>
        <v>26</v>
      </c>
      <c r="AB129" s="1004"/>
      <c r="AC129" s="1003">
        <v>0</v>
      </c>
      <c r="AD129" s="1003">
        <v>20</v>
      </c>
      <c r="AE129" s="1005">
        <v>32</v>
      </c>
      <c r="AF129"/>
      <c r="AG129" s="1002">
        <v>126</v>
      </c>
      <c r="AH129" s="1003"/>
      <c r="AI129" s="1003"/>
      <c r="AJ129" s="1003"/>
      <c r="AK129" s="1003">
        <f t="shared" si="43"/>
        <v>21</v>
      </c>
      <c r="AL129" s="1003">
        <f t="shared" si="37"/>
        <v>21</v>
      </c>
      <c r="AM129" s="1004"/>
      <c r="AN129" s="1003">
        <v>0</v>
      </c>
      <c r="AO129" s="1003">
        <f>AO128</f>
        <v>10</v>
      </c>
      <c r="AP129" s="1005">
        <v>32</v>
      </c>
      <c r="AQ129"/>
      <c r="AR129" s="1002">
        <v>126</v>
      </c>
      <c r="AS129" s="1003"/>
      <c r="AT129" s="1003"/>
      <c r="AU129" s="1003"/>
      <c r="AV129" s="1003"/>
      <c r="AW129" s="1003">
        <f t="shared" si="44"/>
        <v>18</v>
      </c>
      <c r="AX129" s="1003">
        <f t="shared" si="38"/>
        <v>18</v>
      </c>
      <c r="AY129" s="1004"/>
      <c r="AZ129" s="1003">
        <v>0</v>
      </c>
      <c r="BA129" s="1003">
        <f t="shared" si="36"/>
        <v>4</v>
      </c>
      <c r="BB129" s="1005">
        <v>32</v>
      </c>
      <c r="BC129"/>
      <c r="BD129" s="1002">
        <v>126</v>
      </c>
      <c r="BE129" s="1003"/>
      <c r="BF129" s="1003"/>
      <c r="BG129" s="1003"/>
      <c r="BH129" s="1003"/>
      <c r="BI129" s="1003">
        <v>2</v>
      </c>
      <c r="BJ129" s="1003">
        <f t="shared" si="23"/>
        <v>14</v>
      </c>
      <c r="BK129" s="1003">
        <f t="shared" si="39"/>
        <v>16</v>
      </c>
      <c r="BL129" s="1004"/>
      <c r="BM129" s="1003">
        <v>0</v>
      </c>
      <c r="BN129" s="1003">
        <v>0</v>
      </c>
      <c r="BO129" s="1005">
        <v>32</v>
      </c>
      <c r="BP129"/>
      <c r="BQ129" s="1002">
        <v>126</v>
      </c>
      <c r="BR129" s="1003"/>
      <c r="BS129" s="1003"/>
      <c r="BT129" s="1003"/>
      <c r="BU129" s="1003"/>
      <c r="BV129" s="1003"/>
      <c r="BW129" s="1003"/>
      <c r="BX129" s="1003">
        <f t="shared" si="31"/>
        <v>14</v>
      </c>
      <c r="BY129" s="1003">
        <f t="shared" si="40"/>
        <v>14</v>
      </c>
      <c r="BZ129" s="1004"/>
      <c r="CA129" s="1003">
        <v>0</v>
      </c>
      <c r="CB129" s="1003">
        <f t="shared" si="32"/>
        <v>12</v>
      </c>
      <c r="CC129" s="1005">
        <v>16</v>
      </c>
      <c r="CD129"/>
      <c r="CE129" s="1002">
        <v>126</v>
      </c>
      <c r="CF129" s="1003"/>
      <c r="CG129" s="1003"/>
      <c r="CH129" s="1003"/>
      <c r="CI129" s="1003"/>
      <c r="CJ129" s="1003"/>
      <c r="CK129" s="1003"/>
      <c r="CL129" s="1003">
        <v>4</v>
      </c>
      <c r="CM129" s="1003">
        <f t="shared" si="35"/>
        <v>9</v>
      </c>
      <c r="CN129" s="1003">
        <f t="shared" si="41"/>
        <v>13</v>
      </c>
      <c r="CO129" s="1004"/>
      <c r="CP129" s="1003">
        <v>0</v>
      </c>
      <c r="CQ129" s="1003">
        <f t="shared" si="34"/>
        <v>10</v>
      </c>
      <c r="CR129" s="1005">
        <v>16</v>
      </c>
    </row>
    <row r="130" spans="1:96" outlineLevel="1" x14ac:dyDescent="0.2">
      <c r="A130"/>
      <c r="B130" s="1002">
        <v>127</v>
      </c>
      <c r="C130" s="1003">
        <v>32</v>
      </c>
      <c r="D130" s="1003">
        <v>0</v>
      </c>
      <c r="E130" s="1003"/>
      <c r="F130" s="1003">
        <f t="shared" si="24"/>
        <v>32</v>
      </c>
      <c r="G130" s="1004"/>
      <c r="H130" s="1003">
        <v>31</v>
      </c>
      <c r="I130" s="1003">
        <v>31</v>
      </c>
      <c r="J130" s="1005">
        <v>64</v>
      </c>
      <c r="K130" s="1"/>
      <c r="L130"/>
      <c r="M130" s="1002">
        <v>127</v>
      </c>
      <c r="N130" s="1003">
        <v>1</v>
      </c>
      <c r="O130" s="1003">
        <v>31</v>
      </c>
      <c r="P130" s="1003"/>
      <c r="Q130" s="1003">
        <f t="shared" si="25"/>
        <v>32</v>
      </c>
      <c r="R130" s="1004"/>
      <c r="S130" s="1003">
        <v>0</v>
      </c>
      <c r="T130" s="1003">
        <v>0</v>
      </c>
      <c r="U130" s="1005">
        <v>64</v>
      </c>
      <c r="V130"/>
      <c r="W130" s="1002">
        <v>127</v>
      </c>
      <c r="X130" s="1003"/>
      <c r="Y130" s="1003">
        <v>3</v>
      </c>
      <c r="Z130" s="1003">
        <f t="shared" si="42"/>
        <v>23</v>
      </c>
      <c r="AA130" s="1003">
        <f t="shared" si="33"/>
        <v>26</v>
      </c>
      <c r="AB130" s="1004"/>
      <c r="AC130" s="1003">
        <v>0</v>
      </c>
      <c r="AD130" s="1003">
        <v>20</v>
      </c>
      <c r="AE130" s="1005">
        <v>32</v>
      </c>
      <c r="AF130"/>
      <c r="AG130" s="1002">
        <v>127</v>
      </c>
      <c r="AH130" s="1003"/>
      <c r="AI130" s="1003"/>
      <c r="AJ130" s="1003">
        <v>5</v>
      </c>
      <c r="AK130" s="1003">
        <f t="shared" si="43"/>
        <v>17</v>
      </c>
      <c r="AL130" s="1003">
        <f t="shared" si="37"/>
        <v>22</v>
      </c>
      <c r="AM130" s="1004"/>
      <c r="AN130" s="1003">
        <v>0</v>
      </c>
      <c r="AO130" s="1003">
        <v>12</v>
      </c>
      <c r="AP130" s="1005">
        <v>32</v>
      </c>
      <c r="AQ130"/>
      <c r="AR130" s="1002">
        <v>127</v>
      </c>
      <c r="AS130" s="1003"/>
      <c r="AT130" s="1003"/>
      <c r="AU130" s="1003"/>
      <c r="AV130" s="1003">
        <v>6</v>
      </c>
      <c r="AW130" s="1003">
        <f t="shared" si="44"/>
        <v>13</v>
      </c>
      <c r="AX130" s="1003">
        <f t="shared" si="38"/>
        <v>19</v>
      </c>
      <c r="AY130" s="1004"/>
      <c r="AZ130" s="1003">
        <v>0</v>
      </c>
      <c r="BA130" s="1003">
        <f t="shared" si="36"/>
        <v>6</v>
      </c>
      <c r="BB130" s="1005">
        <v>32</v>
      </c>
      <c r="BC130"/>
      <c r="BD130" s="1002">
        <v>127</v>
      </c>
      <c r="BE130" s="1003"/>
      <c r="BF130" s="1003"/>
      <c r="BG130" s="1003"/>
      <c r="BH130" s="1003"/>
      <c r="BI130" s="1003">
        <v>1</v>
      </c>
      <c r="BJ130" s="1003">
        <f t="shared" si="23"/>
        <v>15</v>
      </c>
      <c r="BK130" s="1003">
        <f t="shared" si="39"/>
        <v>16</v>
      </c>
      <c r="BL130" s="1004"/>
      <c r="BM130" s="1003">
        <v>0</v>
      </c>
      <c r="BN130" s="1003">
        <v>0</v>
      </c>
      <c r="BO130" s="1005">
        <v>32</v>
      </c>
      <c r="BP130"/>
      <c r="BQ130" s="1002">
        <v>127</v>
      </c>
      <c r="BR130" s="1003"/>
      <c r="BS130" s="1003"/>
      <c r="BT130" s="1003"/>
      <c r="BU130" s="1003"/>
      <c r="BV130" s="1003"/>
      <c r="BW130" s="1003">
        <v>8</v>
      </c>
      <c r="BX130" s="1003">
        <f t="shared" si="31"/>
        <v>7</v>
      </c>
      <c r="BY130" s="1003">
        <f t="shared" si="40"/>
        <v>15</v>
      </c>
      <c r="BZ130" s="1004"/>
      <c r="CA130" s="1003">
        <v>0</v>
      </c>
      <c r="CB130" s="1003">
        <f t="shared" si="32"/>
        <v>14</v>
      </c>
      <c r="CC130" s="1005">
        <v>16</v>
      </c>
      <c r="CD130"/>
      <c r="CE130" s="1002">
        <v>127</v>
      </c>
      <c r="CF130" s="1003"/>
      <c r="CG130" s="1003"/>
      <c r="CH130" s="1003"/>
      <c r="CI130" s="1003"/>
      <c r="CJ130" s="1003"/>
      <c r="CK130" s="1003"/>
      <c r="CL130" s="1003">
        <v>3</v>
      </c>
      <c r="CM130" s="1003">
        <f t="shared" si="35"/>
        <v>10</v>
      </c>
      <c r="CN130" s="1003">
        <f t="shared" si="41"/>
        <v>13</v>
      </c>
      <c r="CO130" s="1004"/>
      <c r="CP130" s="1003">
        <v>0</v>
      </c>
      <c r="CQ130" s="1003">
        <f t="shared" si="34"/>
        <v>10</v>
      </c>
      <c r="CR130" s="1005">
        <v>16</v>
      </c>
    </row>
    <row r="131" spans="1:96" ht="13.5" outlineLevel="1" thickBot="1" x14ac:dyDescent="0.25">
      <c r="A131"/>
      <c r="B131" s="1016">
        <v>128</v>
      </c>
      <c r="C131" s="1006">
        <v>32</v>
      </c>
      <c r="D131" s="1006">
        <v>0</v>
      </c>
      <c r="E131" s="1006"/>
      <c r="F131" s="1006">
        <f t="shared" si="24"/>
        <v>32</v>
      </c>
      <c r="G131" s="1007"/>
      <c r="H131" s="1006">
        <v>32</v>
      </c>
      <c r="I131" s="1006">
        <v>32</v>
      </c>
      <c r="J131" s="1008">
        <v>64</v>
      </c>
      <c r="K131" s="1"/>
      <c r="L131"/>
      <c r="M131" s="1016">
        <v>128</v>
      </c>
      <c r="N131" s="1006">
        <v>0</v>
      </c>
      <c r="O131" s="1006">
        <v>32</v>
      </c>
      <c r="P131" s="1006"/>
      <c r="Q131" s="1006">
        <f t="shared" si="25"/>
        <v>32</v>
      </c>
      <c r="R131" s="1007"/>
      <c r="S131" s="1006">
        <v>0</v>
      </c>
      <c r="T131" s="1006">
        <v>0</v>
      </c>
      <c r="U131" s="1008">
        <v>64</v>
      </c>
      <c r="V131"/>
      <c r="W131" s="1016">
        <v>128</v>
      </c>
      <c r="X131" s="1006"/>
      <c r="Y131" s="1006">
        <v>2</v>
      </c>
      <c r="Z131" s="1006">
        <f t="shared" si="42"/>
        <v>24</v>
      </c>
      <c r="AA131" s="1006">
        <f t="shared" si="33"/>
        <v>26</v>
      </c>
      <c r="AB131" s="1007"/>
      <c r="AC131" s="1006">
        <v>0</v>
      </c>
      <c r="AD131" s="1006">
        <v>20</v>
      </c>
      <c r="AE131" s="1008">
        <v>32</v>
      </c>
      <c r="AF131"/>
      <c r="AG131" s="1016">
        <v>128</v>
      </c>
      <c r="AH131" s="1006"/>
      <c r="AI131" s="1006"/>
      <c r="AJ131" s="1006">
        <v>4</v>
      </c>
      <c r="AK131" s="1006">
        <f t="shared" si="43"/>
        <v>18</v>
      </c>
      <c r="AL131" s="1006">
        <f t="shared" si="37"/>
        <v>22</v>
      </c>
      <c r="AM131" s="1007"/>
      <c r="AN131" s="1006">
        <v>0</v>
      </c>
      <c r="AO131" s="1017">
        <v>12</v>
      </c>
      <c r="AP131" s="1018">
        <v>32</v>
      </c>
      <c r="AQ131"/>
      <c r="AR131" s="1016">
        <v>128</v>
      </c>
      <c r="AS131" s="1006"/>
      <c r="AT131" s="1006"/>
      <c r="AU131" s="1006"/>
      <c r="AV131" s="1006">
        <v>5</v>
      </c>
      <c r="AW131" s="1006">
        <f t="shared" si="44"/>
        <v>14</v>
      </c>
      <c r="AX131" s="1006">
        <f t="shared" si="38"/>
        <v>19</v>
      </c>
      <c r="AY131" s="1007"/>
      <c r="AZ131" s="1006">
        <v>0</v>
      </c>
      <c r="BA131" s="1017">
        <f t="shared" si="36"/>
        <v>6</v>
      </c>
      <c r="BB131" s="1018">
        <v>32</v>
      </c>
      <c r="BC131"/>
      <c r="BD131" s="1016">
        <v>128</v>
      </c>
      <c r="BE131" s="1006"/>
      <c r="BF131" s="1006"/>
      <c r="BG131" s="1006"/>
      <c r="BH131" s="1006"/>
      <c r="BI131" s="1006"/>
      <c r="BJ131" s="1006">
        <f t="shared" si="23"/>
        <v>16</v>
      </c>
      <c r="BK131" s="1006">
        <f t="shared" si="39"/>
        <v>16</v>
      </c>
      <c r="BL131" s="1007"/>
      <c r="BM131" s="1006">
        <v>0</v>
      </c>
      <c r="BN131" s="1017">
        <v>0</v>
      </c>
      <c r="BO131" s="1018">
        <v>32</v>
      </c>
      <c r="BP131"/>
      <c r="BQ131" s="1016">
        <v>128</v>
      </c>
      <c r="BR131" s="1006"/>
      <c r="BS131" s="1006"/>
      <c r="BT131" s="1006"/>
      <c r="BU131" s="1006"/>
      <c r="BV131" s="1006"/>
      <c r="BW131" s="1006">
        <v>7</v>
      </c>
      <c r="BX131" s="1006">
        <f t="shared" si="31"/>
        <v>8</v>
      </c>
      <c r="BY131" s="1006">
        <f t="shared" si="40"/>
        <v>15</v>
      </c>
      <c r="BZ131" s="1007"/>
      <c r="CA131" s="1006">
        <v>0</v>
      </c>
      <c r="CB131" s="1017">
        <f t="shared" si="32"/>
        <v>14</v>
      </c>
      <c r="CC131" s="1018">
        <v>16</v>
      </c>
      <c r="CD131"/>
      <c r="CE131" s="1016">
        <v>128</v>
      </c>
      <c r="CF131" s="1006"/>
      <c r="CG131" s="1006"/>
      <c r="CH131" s="1006"/>
      <c r="CI131" s="1006"/>
      <c r="CJ131" s="1006"/>
      <c r="CK131" s="1006"/>
      <c r="CL131" s="1006">
        <v>2</v>
      </c>
      <c r="CM131" s="1006">
        <f t="shared" si="35"/>
        <v>11</v>
      </c>
      <c r="CN131" s="1006">
        <f t="shared" si="41"/>
        <v>13</v>
      </c>
      <c r="CO131" s="1007"/>
      <c r="CP131" s="1006">
        <v>0</v>
      </c>
      <c r="CQ131" s="1017">
        <f t="shared" si="34"/>
        <v>10</v>
      </c>
      <c r="CR131" s="1018">
        <v>16</v>
      </c>
    </row>
    <row r="132" spans="1:96" x14ac:dyDescent="0.2">
      <c r="A132"/>
      <c r="B132" s="1"/>
      <c r="C132" s="1"/>
      <c r="D132" s="1"/>
      <c r="E132" s="1"/>
      <c r="F132" s="1"/>
      <c r="G132"/>
      <c r="H132" s="1"/>
      <c r="I132" s="1"/>
      <c r="J132" s="1"/>
      <c r="K132" s="1"/>
      <c r="L132"/>
      <c r="M132" s="1"/>
      <c r="N132" s="1"/>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row>
    <row r="133" spans="1:96" x14ac:dyDescent="0.2">
      <c r="A133"/>
      <c r="B133" s="1"/>
      <c r="C133" s="1"/>
      <c r="D133" s="1"/>
      <c r="E133" s="1"/>
      <c r="F133" s="1"/>
      <c r="G133"/>
      <c r="H133" s="1"/>
      <c r="I133" s="1"/>
      <c r="J133" s="1"/>
      <c r="K133" s="1"/>
      <c r="L133"/>
      <c r="M133" s="1"/>
      <c r="N133" s="1"/>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row>
    <row r="134" spans="1:96" ht="13.5" thickBot="1" x14ac:dyDescent="0.25">
      <c r="A134"/>
      <c r="B134" s="1"/>
      <c r="C134" s="1"/>
      <c r="D134" s="1"/>
      <c r="E134" s="1"/>
      <c r="F134" s="1"/>
      <c r="G134"/>
      <c r="H134" s="1"/>
      <c r="I134" s="1"/>
      <c r="J134" s="1"/>
      <c r="K134" s="1"/>
      <c r="L134"/>
      <c r="M134" s="1"/>
      <c r="N134" s="1"/>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row>
    <row r="135" spans="1:96" ht="13.5" thickBot="1" x14ac:dyDescent="0.25">
      <c r="A135"/>
      <c r="B135"/>
      <c r="C135" s="2284" t="str">
        <f>N_MatchFormula</f>
        <v>Formules des matches</v>
      </c>
      <c r="D135" s="2285"/>
      <c r="E135" s="2285"/>
      <c r="F135" s="2285"/>
      <c r="G135" s="2285"/>
      <c r="H135" s="2285"/>
      <c r="I135" s="2286"/>
      <c r="J135" s="1"/>
      <c r="K135" s="1"/>
      <c r="L135"/>
      <c r="M135" s="1"/>
      <c r="N135" s="1"/>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row>
    <row r="136" spans="1:96" ht="12.75" customHeight="1" x14ac:dyDescent="0.2">
      <c r="A136"/>
      <c r="B136"/>
      <c r="C136" s="2287" t="str">
        <f>N_QualifiedPlayers</f>
        <v>Nb Joueurs pré-qualifiés</v>
      </c>
      <c r="D136" s="2293" t="str">
        <f>N_NbPlayOffMatches</f>
        <v>Nb Matches de barrages</v>
      </c>
      <c r="E136" s="2293" t="str">
        <f>N_NbLastPlayers</f>
        <v>Nb Joueurs phase finale</v>
      </c>
      <c r="F136" s="2291" t="str">
        <f>N_PlayOffMatches</f>
        <v>Matches de barrages</v>
      </c>
      <c r="G136" s="1012"/>
      <c r="H136" s="2297" t="str">
        <f>N_LastMatches</f>
        <v>Matches 1ère phase finale</v>
      </c>
      <c r="I136" s="2298"/>
      <c r="J136" s="1"/>
      <c r="K136" s="1"/>
      <c r="L136"/>
      <c r="M136" s="1"/>
      <c r="N136" s="1"/>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row>
    <row r="137" spans="1:96" ht="13.5" thickBot="1" x14ac:dyDescent="0.25">
      <c r="A137" s="1838"/>
      <c r="B137" s="1838"/>
      <c r="C137" s="2288"/>
      <c r="D137" s="2292"/>
      <c r="E137" s="2292"/>
      <c r="F137" s="2299"/>
      <c r="G137" s="1013"/>
      <c r="H137" s="1014" t="str">
        <f>N_Serie &amp; " 1"</f>
        <v>Série 1</v>
      </c>
      <c r="I137" s="1015" t="str">
        <f>N_Serie &amp; " 2"</f>
        <v>Série 2</v>
      </c>
      <c r="J137" s="1838"/>
      <c r="K137" s="1838"/>
      <c r="L137" s="1838"/>
      <c r="M137" s="1838"/>
      <c r="N137" s="1838"/>
      <c r="O137" s="1838"/>
      <c r="P137" s="1838"/>
      <c r="Q137" s="1838"/>
      <c r="R137" s="1838"/>
      <c r="S137" s="1838"/>
      <c r="T137" s="1838"/>
      <c r="U137" s="1838"/>
      <c r="V137" s="1838"/>
      <c r="W137" s="1838"/>
      <c r="X137" s="1838"/>
      <c r="Y137" s="1838"/>
      <c r="Z137" s="1838"/>
      <c r="AA137" s="1838"/>
      <c r="AB137" s="1838"/>
      <c r="AC137" s="1838"/>
      <c r="AD137" s="1838"/>
      <c r="AE137" s="1838"/>
      <c r="AF137" s="1838"/>
      <c r="AG137" s="1838"/>
      <c r="AH137" s="1838"/>
      <c r="AI137" s="1838"/>
      <c r="AJ137" s="1838"/>
      <c r="AK137" s="1838"/>
      <c r="AL137" s="1838"/>
      <c r="AM137" s="1838"/>
      <c r="AN137" s="1838"/>
      <c r="AO137" s="1838"/>
      <c r="AP137" s="1838"/>
      <c r="AQ137" s="1838"/>
      <c r="AR137" s="1838"/>
      <c r="AS137" s="1838"/>
      <c r="AT137" s="1838"/>
      <c r="AU137" s="1838"/>
      <c r="AV137" s="1838"/>
      <c r="AW137" s="1838"/>
      <c r="AX137" s="1838"/>
      <c r="AY137" s="1838"/>
      <c r="AZ137" s="1838"/>
      <c r="BA137" s="1838"/>
      <c r="BB137" s="1838"/>
      <c r="BC137" s="1838"/>
      <c r="BD137" s="1838"/>
      <c r="BE137" s="1838"/>
      <c r="BF137" s="1838"/>
      <c r="BG137" s="1838"/>
      <c r="BH137" s="1838"/>
      <c r="BI137" s="1838"/>
      <c r="BJ137" s="1838"/>
      <c r="BK137" s="1838"/>
      <c r="BL137" s="1838"/>
      <c r="BM137" s="1838"/>
      <c r="BN137" s="1838"/>
      <c r="BO137" s="1838"/>
      <c r="BP137" s="1838"/>
      <c r="BQ137" s="1838"/>
      <c r="BR137" s="1838"/>
      <c r="BS137" s="1838"/>
      <c r="BT137" s="1838"/>
      <c r="BU137" s="1838"/>
      <c r="BV137" s="1838"/>
      <c r="BW137" s="1838"/>
      <c r="BX137" s="1838"/>
      <c r="BY137" s="1838"/>
      <c r="BZ137" s="1838"/>
      <c r="CA137" s="1838"/>
      <c r="CB137" s="1838"/>
      <c r="CC137" s="1838"/>
      <c r="CD137" s="1838"/>
      <c r="CE137" s="1838"/>
      <c r="CF137" s="1838"/>
      <c r="CG137" s="1838"/>
      <c r="CH137" s="1838"/>
      <c r="CI137" s="1838"/>
      <c r="CJ137" s="1838"/>
      <c r="CK137" s="1838"/>
      <c r="CL137" s="1838"/>
      <c r="CM137" s="1838"/>
      <c r="CN137" s="1838"/>
      <c r="CO137" s="1838"/>
      <c r="CP137" s="1838"/>
      <c r="CQ137" s="1838"/>
      <c r="CR137" s="1838"/>
    </row>
    <row r="138" spans="1:96" outlineLevel="1" x14ac:dyDescent="0.2">
      <c r="A138"/>
      <c r="B138" s="1395">
        <f>C138*1000000+D138*1000+E138</f>
        <v>2</v>
      </c>
      <c r="C138" s="998">
        <v>0</v>
      </c>
      <c r="D138" s="999">
        <v>0</v>
      </c>
      <c r="E138" s="999">
        <v>2</v>
      </c>
      <c r="F138" s="999"/>
      <c r="G138" s="1000"/>
      <c r="H138" s="999" t="s">
        <v>1255</v>
      </c>
      <c r="I138" s="1010"/>
      <c r="J138" s="1"/>
      <c r="K138" s="1"/>
      <c r="L138"/>
      <c r="M138" s="1"/>
      <c r="N138" s="1"/>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row>
    <row r="139" spans="1:96" outlineLevel="1" x14ac:dyDescent="0.2">
      <c r="A139"/>
      <c r="B139" s="1395">
        <f>C139*1000000+D139*1000+E139</f>
        <v>4</v>
      </c>
      <c r="C139" s="1002">
        <v>0</v>
      </c>
      <c r="D139" s="1003">
        <v>0</v>
      </c>
      <c r="E139" s="1003">
        <v>4</v>
      </c>
      <c r="F139" s="1003"/>
      <c r="G139" s="1004"/>
      <c r="H139" s="1003" t="s">
        <v>1253</v>
      </c>
      <c r="I139" s="1011"/>
      <c r="J139" s="1"/>
      <c r="K139" s="1"/>
      <c r="L139"/>
      <c r="M139" s="1"/>
      <c r="N139" s="1"/>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row>
    <row r="140" spans="1:96" ht="12.75" customHeight="1" outlineLevel="2" x14ac:dyDescent="0.2">
      <c r="A140"/>
      <c r="B140" s="1395"/>
      <c r="C140" s="1002"/>
      <c r="D140" s="1003"/>
      <c r="E140" s="1003"/>
      <c r="F140" s="1003"/>
      <c r="G140" s="1004"/>
      <c r="H140" s="1003" t="s">
        <v>1254</v>
      </c>
      <c r="I140" s="1011"/>
      <c r="J140" s="1"/>
      <c r="K140" s="1"/>
      <c r="L140"/>
      <c r="M140" s="1"/>
      <c r="N140" s="1"/>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row>
    <row r="141" spans="1:96" outlineLevel="1" x14ac:dyDescent="0.2">
      <c r="A141"/>
      <c r="B141" s="1395">
        <f>C141*1000000+D141*1000+E141</f>
        <v>2004</v>
      </c>
      <c r="C141" s="1002">
        <v>0</v>
      </c>
      <c r="D141" s="1003">
        <v>2</v>
      </c>
      <c r="E141" s="1003">
        <v>4</v>
      </c>
      <c r="F141" s="1003" t="s">
        <v>1256</v>
      </c>
      <c r="G141" s="1004"/>
      <c r="H141" s="1003" t="s">
        <v>1258</v>
      </c>
      <c r="I141" s="1011"/>
      <c r="J141" s="1"/>
      <c r="K141" s="1"/>
      <c r="L141"/>
      <c r="M141" s="1"/>
      <c r="N141" s="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row>
    <row r="142" spans="1:96" ht="12.75" customHeight="1" outlineLevel="2" x14ac:dyDescent="0.2">
      <c r="A142"/>
      <c r="B142" s="1395"/>
      <c r="C142" s="1002"/>
      <c r="D142" s="1003"/>
      <c r="E142" s="1003"/>
      <c r="F142" s="1003" t="s">
        <v>1257</v>
      </c>
      <c r="G142" s="1004"/>
      <c r="H142" s="1003" t="s">
        <v>1259</v>
      </c>
      <c r="I142" s="1011"/>
      <c r="J142" s="1"/>
      <c r="K142" s="1"/>
      <c r="L142"/>
      <c r="M142" s="1"/>
      <c r="N142" s="1"/>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row>
    <row r="143" spans="1:96" outlineLevel="1" x14ac:dyDescent="0.2">
      <c r="A143"/>
      <c r="B143" s="1395">
        <f>C143*1000000+D143*1000+E143</f>
        <v>8</v>
      </c>
      <c r="C143" s="1002">
        <v>0</v>
      </c>
      <c r="D143" s="1003">
        <v>0</v>
      </c>
      <c r="E143" s="1003">
        <v>8</v>
      </c>
      <c r="F143" s="1003"/>
      <c r="G143" s="1004"/>
      <c r="H143" s="1003" t="s">
        <v>1260</v>
      </c>
      <c r="I143" s="1011"/>
      <c r="J143" s="1"/>
      <c r="K143" s="1"/>
      <c r="L143"/>
      <c r="M143" s="1"/>
      <c r="N143" s="1"/>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row>
    <row r="144" spans="1:96" ht="12.75" customHeight="1" outlineLevel="2" x14ac:dyDescent="0.2">
      <c r="A144"/>
      <c r="B144" s="1395"/>
      <c r="C144" s="1002"/>
      <c r="D144" s="1003"/>
      <c r="E144" s="1003"/>
      <c r="F144" s="1003"/>
      <c r="G144" s="1004"/>
      <c r="H144" s="1003" t="s">
        <v>1261</v>
      </c>
      <c r="I144" s="1011"/>
      <c r="J144" s="1"/>
      <c r="K144" s="1"/>
      <c r="L144"/>
      <c r="M144" s="1"/>
      <c r="N144" s="1"/>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row>
    <row r="145" spans="1:96" ht="12.75" customHeight="1" outlineLevel="2" x14ac:dyDescent="0.2">
      <c r="A145"/>
      <c r="B145" s="1395"/>
      <c r="C145" s="1002"/>
      <c r="D145" s="1003"/>
      <c r="E145" s="1003"/>
      <c r="F145" s="1003"/>
      <c r="G145" s="1004"/>
      <c r="H145" s="1003" t="s">
        <v>1249</v>
      </c>
      <c r="I145" s="1011"/>
      <c r="J145" s="1"/>
      <c r="K145" s="1"/>
      <c r="L145"/>
      <c r="M145" s="1"/>
      <c r="N145" s="1"/>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row>
    <row r="146" spans="1:96" ht="12.75" customHeight="1" outlineLevel="2" x14ac:dyDescent="0.2">
      <c r="A146"/>
      <c r="B146" s="1395"/>
      <c r="C146" s="1002"/>
      <c r="D146" s="1003"/>
      <c r="E146" s="1003"/>
      <c r="F146" s="1003"/>
      <c r="G146" s="1004"/>
      <c r="H146" s="1003" t="s">
        <v>1262</v>
      </c>
      <c r="I146" s="1011"/>
      <c r="J146" s="1"/>
      <c r="K146" s="1"/>
      <c r="L146"/>
      <c r="M146" s="1"/>
      <c r="N146" s="1"/>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row>
    <row r="147" spans="1:96" outlineLevel="1" x14ac:dyDescent="0.2">
      <c r="A147"/>
      <c r="B147" s="1395">
        <f>C147*1000000+D147*1000+E147</f>
        <v>2008</v>
      </c>
      <c r="C147" s="1002">
        <v>0</v>
      </c>
      <c r="D147" s="1003">
        <v>2</v>
      </c>
      <c r="E147" s="1003">
        <v>8</v>
      </c>
      <c r="F147" s="1003" t="s">
        <v>1251</v>
      </c>
      <c r="G147" s="1004"/>
      <c r="H147" s="1003" t="s">
        <v>1247</v>
      </c>
      <c r="I147" s="1011"/>
      <c r="J147" s="1"/>
      <c r="K147" s="1"/>
      <c r="L147"/>
      <c r="M147" s="1"/>
      <c r="N147" s="1"/>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row>
    <row r="148" spans="1:96" outlineLevel="2" x14ac:dyDescent="0.2">
      <c r="A148"/>
      <c r="B148" s="1395"/>
      <c r="C148" s="1002"/>
      <c r="D148" s="1003"/>
      <c r="E148" s="1003"/>
      <c r="F148" s="1003" t="s">
        <v>1252</v>
      </c>
      <c r="G148" s="1004"/>
      <c r="H148" s="1003" t="s">
        <v>1248</v>
      </c>
      <c r="I148" s="1011"/>
      <c r="J148" s="1"/>
      <c r="K148" s="1"/>
      <c r="L148"/>
      <c r="M148" s="1"/>
      <c r="N148" s="1"/>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row>
    <row r="149" spans="1:96" outlineLevel="2" x14ac:dyDescent="0.2">
      <c r="A149"/>
      <c r="B149" s="1395"/>
      <c r="C149" s="1002"/>
      <c r="D149" s="1003"/>
      <c r="E149" s="1003"/>
      <c r="F149" s="1003"/>
      <c r="G149" s="1004"/>
      <c r="H149" s="1003" t="s">
        <v>1249</v>
      </c>
      <c r="I149" s="1011"/>
      <c r="J149" s="1"/>
      <c r="K149" s="1"/>
      <c r="L149"/>
      <c r="M149" s="1"/>
      <c r="N149" s="1"/>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row>
    <row r="150" spans="1:96" outlineLevel="2" x14ac:dyDescent="0.2">
      <c r="A150"/>
      <c r="B150" s="1395"/>
      <c r="C150" s="1002"/>
      <c r="D150" s="1003"/>
      <c r="E150" s="1003"/>
      <c r="F150" s="1003"/>
      <c r="G150" s="1004"/>
      <c r="H150" s="1003" t="s">
        <v>1250</v>
      </c>
      <c r="I150" s="1011"/>
      <c r="J150" s="1"/>
      <c r="K150" s="1"/>
      <c r="L150"/>
      <c r="M150" s="1"/>
      <c r="N150" s="1"/>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row>
    <row r="151" spans="1:96" outlineLevel="1" x14ac:dyDescent="0.2">
      <c r="A151"/>
      <c r="B151" s="1395">
        <f>C151*1000000+D151*1000+E151</f>
        <v>4008</v>
      </c>
      <c r="C151" s="1002">
        <v>0</v>
      </c>
      <c r="D151" s="1003">
        <v>4</v>
      </c>
      <c r="E151" s="1003">
        <v>8</v>
      </c>
      <c r="F151" s="1003" t="s">
        <v>1243</v>
      </c>
      <c r="G151" s="1004"/>
      <c r="H151" s="1003" t="s">
        <v>1239</v>
      </c>
      <c r="I151" s="1011"/>
      <c r="J151" s="1"/>
      <c r="K151" s="1"/>
      <c r="L151"/>
      <c r="M151" s="1"/>
      <c r="N151" s="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row>
    <row r="152" spans="1:96" ht="12.75" customHeight="1" outlineLevel="2" x14ac:dyDescent="0.2">
      <c r="A152"/>
      <c r="B152" s="1395"/>
      <c r="C152" s="1002"/>
      <c r="D152" s="1003"/>
      <c r="E152" s="1003"/>
      <c r="F152" s="1003" t="s">
        <v>1244</v>
      </c>
      <c r="G152" s="1004"/>
      <c r="H152" s="1003" t="s">
        <v>1240</v>
      </c>
      <c r="I152" s="1011"/>
      <c r="J152" s="1"/>
      <c r="K152" s="1"/>
      <c r="L152"/>
      <c r="M152" s="1"/>
      <c r="N152" s="1"/>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row>
    <row r="153" spans="1:96" ht="12.75" customHeight="1" outlineLevel="2" x14ac:dyDescent="0.2">
      <c r="A153"/>
      <c r="B153" s="1395"/>
      <c r="C153" s="1002"/>
      <c r="D153" s="1003"/>
      <c r="E153" s="1003"/>
      <c r="F153" s="1003" t="s">
        <v>1245</v>
      </c>
      <c r="G153" s="1004"/>
      <c r="H153" s="1003" t="s">
        <v>1241</v>
      </c>
      <c r="I153" s="1011"/>
      <c r="J153" s="1"/>
      <c r="K153" s="1"/>
      <c r="L153"/>
      <c r="M153" s="1"/>
      <c r="N153" s="1"/>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row>
    <row r="154" spans="1:96" ht="12.75" customHeight="1" outlineLevel="2" x14ac:dyDescent="0.2">
      <c r="A154"/>
      <c r="B154" s="1395"/>
      <c r="C154" s="1002"/>
      <c r="D154" s="1003"/>
      <c r="E154" s="1003"/>
      <c r="F154" s="1003" t="s">
        <v>1246</v>
      </c>
      <c r="G154" s="1004"/>
      <c r="H154" s="1003" t="s">
        <v>1242</v>
      </c>
      <c r="I154" s="1011"/>
      <c r="J154" s="1"/>
      <c r="K154" s="1"/>
      <c r="L154"/>
      <c r="M154" s="1"/>
      <c r="N154" s="1"/>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row>
    <row r="155" spans="1:96" outlineLevel="1" x14ac:dyDescent="0.2">
      <c r="A155"/>
      <c r="B155" s="1395">
        <f>C155*1000000+D155*1000+E155</f>
        <v>6008</v>
      </c>
      <c r="C155" s="1002">
        <v>0</v>
      </c>
      <c r="D155" s="1003">
        <v>6</v>
      </c>
      <c r="E155" s="1003">
        <v>8</v>
      </c>
      <c r="F155" s="1003" t="s">
        <v>1238</v>
      </c>
      <c r="G155" s="1004"/>
      <c r="H155" s="1003" t="s">
        <v>1229</v>
      </c>
      <c r="I155" s="1011"/>
      <c r="J155" s="1"/>
      <c r="K155" s="1"/>
      <c r="L155"/>
      <c r="M155" s="1"/>
      <c r="N155" s="1"/>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row>
    <row r="156" spans="1:96" ht="12.75" customHeight="1" outlineLevel="2" x14ac:dyDescent="0.2">
      <c r="A156"/>
      <c r="B156" s="1395"/>
      <c r="C156" s="1002"/>
      <c r="D156" s="1003"/>
      <c r="E156" s="1003"/>
      <c r="F156" s="1003" t="s">
        <v>1233</v>
      </c>
      <c r="G156" s="1004"/>
      <c r="H156" s="1003" t="s">
        <v>1230</v>
      </c>
      <c r="I156" s="1011"/>
      <c r="J156" s="1"/>
      <c r="K156" s="1"/>
      <c r="L156"/>
      <c r="M156" s="1"/>
      <c r="N156" s="1"/>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row>
    <row r="157" spans="1:96" ht="12.75" customHeight="1" outlineLevel="2" x14ac:dyDescent="0.2">
      <c r="A157"/>
      <c r="B157" s="1395"/>
      <c r="C157" s="1002"/>
      <c r="D157" s="1003"/>
      <c r="E157" s="1003"/>
      <c r="F157" s="1003" t="s">
        <v>1234</v>
      </c>
      <c r="G157" s="1004"/>
      <c r="H157" s="1003" t="s">
        <v>1231</v>
      </c>
      <c r="I157" s="1011"/>
      <c r="J157" s="1"/>
      <c r="K157" s="1"/>
      <c r="L157"/>
      <c r="M157" s="1"/>
      <c r="N157" s="1"/>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row>
    <row r="158" spans="1:96" ht="12.75" customHeight="1" outlineLevel="2" x14ac:dyDescent="0.2">
      <c r="A158"/>
      <c r="B158" s="1395"/>
      <c r="C158" s="1002"/>
      <c r="D158" s="1003"/>
      <c r="E158" s="1003"/>
      <c r="F158" s="1003" t="s">
        <v>1235</v>
      </c>
      <c r="G158" s="1004"/>
      <c r="H158" s="1003" t="s">
        <v>1232</v>
      </c>
      <c r="I158" s="1011"/>
      <c r="J158" s="1"/>
      <c r="K158" s="1"/>
      <c r="L158"/>
      <c r="M158" s="1"/>
      <c r="N158" s="1"/>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row>
    <row r="159" spans="1:96" ht="12.75" customHeight="1" outlineLevel="2" x14ac:dyDescent="0.2">
      <c r="A159"/>
      <c r="B159" s="1395"/>
      <c r="C159" s="1002"/>
      <c r="D159" s="1003"/>
      <c r="E159" s="1003"/>
      <c r="F159" s="1003" t="s">
        <v>1236</v>
      </c>
      <c r="G159" s="1004"/>
      <c r="H159" s="1003"/>
      <c r="I159" s="1011"/>
      <c r="J159" s="1"/>
      <c r="K159" s="1"/>
      <c r="L159"/>
      <c r="M159" s="1"/>
      <c r="N159" s="1"/>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row>
    <row r="160" spans="1:96" ht="12.75" customHeight="1" outlineLevel="2" x14ac:dyDescent="0.2">
      <c r="A160"/>
      <c r="B160" s="1395"/>
      <c r="C160" s="1002"/>
      <c r="D160" s="1003"/>
      <c r="E160" s="1003"/>
      <c r="F160" s="1003" t="s">
        <v>1237</v>
      </c>
      <c r="G160" s="1004"/>
      <c r="H160" s="1003"/>
      <c r="I160" s="1011"/>
      <c r="J160" s="1"/>
      <c r="K160" s="1"/>
      <c r="L160"/>
      <c r="M160" s="1"/>
      <c r="N160" s="1"/>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row>
    <row r="161" spans="1:96" outlineLevel="1" x14ac:dyDescent="0.2">
      <c r="A161"/>
      <c r="B161" s="1395">
        <f>C161*1000000+D161*1000+E161</f>
        <v>16</v>
      </c>
      <c r="C161" s="1002">
        <v>0</v>
      </c>
      <c r="D161" s="1003">
        <v>0</v>
      </c>
      <c r="E161" s="1003">
        <v>16</v>
      </c>
      <c r="F161" s="1003"/>
      <c r="G161" s="1004"/>
      <c r="H161" s="1003" t="s">
        <v>1205</v>
      </c>
      <c r="I161" s="1011"/>
      <c r="J161" s="1"/>
      <c r="K161" s="1"/>
      <c r="L161"/>
      <c r="M161" s="1"/>
      <c r="N161" s="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row>
    <row r="162" spans="1:96" ht="12.75" customHeight="1" outlineLevel="2" x14ac:dyDescent="0.2">
      <c r="A162"/>
      <c r="B162" s="1395"/>
      <c r="C162" s="1002"/>
      <c r="D162" s="1003"/>
      <c r="E162" s="1003"/>
      <c r="F162" s="1003"/>
      <c r="G162" s="1004"/>
      <c r="H162" s="1003" t="s">
        <v>1222</v>
      </c>
      <c r="I162" s="1011"/>
      <c r="J162" s="1"/>
      <c r="K162" s="1"/>
      <c r="L162"/>
      <c r="M162" s="1"/>
      <c r="N162" s="1"/>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row>
    <row r="163" spans="1:96" ht="12.75" customHeight="1" outlineLevel="2" x14ac:dyDescent="0.2">
      <c r="A163"/>
      <c r="B163" s="1395"/>
      <c r="C163" s="1002"/>
      <c r="D163" s="1003"/>
      <c r="E163" s="1003"/>
      <c r="F163" s="1003"/>
      <c r="G163" s="1004"/>
      <c r="H163" s="1003" t="s">
        <v>1223</v>
      </c>
      <c r="I163" s="1011"/>
      <c r="J163" s="1"/>
      <c r="K163" s="1"/>
      <c r="L163"/>
      <c r="M163" s="1"/>
      <c r="N163" s="1"/>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row>
    <row r="164" spans="1:96" ht="12.75" customHeight="1" outlineLevel="2" x14ac:dyDescent="0.2">
      <c r="A164"/>
      <c r="B164" s="1395"/>
      <c r="C164" s="1002"/>
      <c r="D164" s="1003"/>
      <c r="E164" s="1003"/>
      <c r="F164" s="1003"/>
      <c r="G164" s="1004"/>
      <c r="H164" s="1003" t="s">
        <v>1224</v>
      </c>
      <c r="I164" s="1011"/>
      <c r="J164" s="1"/>
      <c r="K164" s="1"/>
      <c r="L164"/>
      <c r="M164" s="1"/>
      <c r="N164" s="1"/>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row>
    <row r="165" spans="1:96" ht="12.75" customHeight="1" outlineLevel="2" x14ac:dyDescent="0.2">
      <c r="A165"/>
      <c r="B165" s="1395"/>
      <c r="C165" s="1002"/>
      <c r="D165" s="1003"/>
      <c r="E165" s="1003"/>
      <c r="F165" s="1003"/>
      <c r="G165" s="1004"/>
      <c r="H165" s="1003" t="s">
        <v>1225</v>
      </c>
      <c r="I165" s="1011"/>
      <c r="J165" s="1"/>
      <c r="K165" s="1"/>
      <c r="L165"/>
      <c r="M165" s="1"/>
      <c r="N165" s="1"/>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row>
    <row r="166" spans="1:96" ht="12.75" customHeight="1" outlineLevel="2" x14ac:dyDescent="0.2">
      <c r="A166"/>
      <c r="B166" s="1395"/>
      <c r="C166" s="1002"/>
      <c r="D166" s="1003"/>
      <c r="E166" s="1003"/>
      <c r="F166" s="1003"/>
      <c r="G166" s="1004"/>
      <c r="H166" s="1003" t="s">
        <v>1226</v>
      </c>
      <c r="I166" s="1011"/>
      <c r="J166" s="1"/>
      <c r="K166" s="1"/>
      <c r="L166"/>
      <c r="M166" s="1"/>
      <c r="N166" s="1"/>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row>
    <row r="167" spans="1:96" ht="12.75" customHeight="1" outlineLevel="2" x14ac:dyDescent="0.2">
      <c r="A167"/>
      <c r="B167" s="1395"/>
      <c r="C167" s="1002"/>
      <c r="D167" s="1003"/>
      <c r="E167" s="1003"/>
      <c r="F167" s="1003"/>
      <c r="G167" s="1004"/>
      <c r="H167" s="1003" t="s">
        <v>1227</v>
      </c>
      <c r="I167" s="1011"/>
      <c r="J167" s="1"/>
      <c r="K167" s="1"/>
      <c r="L167"/>
      <c r="M167" s="1"/>
      <c r="N167" s="1"/>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row>
    <row r="168" spans="1:96" ht="12.75" customHeight="1" outlineLevel="2" x14ac:dyDescent="0.2">
      <c r="A168"/>
      <c r="B168" s="1395"/>
      <c r="C168" s="1002"/>
      <c r="D168" s="1003"/>
      <c r="E168" s="1003"/>
      <c r="F168" s="1003"/>
      <c r="G168" s="1004"/>
      <c r="H168" s="1003" t="s">
        <v>1228</v>
      </c>
      <c r="I168" s="1011"/>
      <c r="J168" s="1"/>
      <c r="K168" s="1"/>
      <c r="L168"/>
      <c r="M168" s="1"/>
      <c r="N168" s="1"/>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row>
    <row r="169" spans="1:96" outlineLevel="1" x14ac:dyDescent="0.2">
      <c r="A169"/>
      <c r="B169" s="1395">
        <f>C169*1000000+D169*1000+E169</f>
        <v>2016</v>
      </c>
      <c r="C169" s="1002">
        <v>0</v>
      </c>
      <c r="D169" s="1003">
        <v>2</v>
      </c>
      <c r="E169" s="1003">
        <v>16</v>
      </c>
      <c r="F169" s="1003" t="s">
        <v>1263</v>
      </c>
      <c r="G169" s="1004"/>
      <c r="H169" s="1003" t="s">
        <v>1258</v>
      </c>
      <c r="I169" s="1011"/>
      <c r="J169" s="1"/>
      <c r="K169" s="1"/>
      <c r="L169"/>
      <c r="M169" s="1"/>
      <c r="N169" s="1"/>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row>
    <row r="170" spans="1:96" ht="12.75" customHeight="1" outlineLevel="2" x14ac:dyDescent="0.2">
      <c r="A170"/>
      <c r="B170" s="1395"/>
      <c r="C170" s="1002"/>
      <c r="D170" s="1003"/>
      <c r="E170" s="1003"/>
      <c r="F170" s="1003" t="s">
        <v>1264</v>
      </c>
      <c r="G170" s="1004"/>
      <c r="H170" s="1003" t="s">
        <v>1265</v>
      </c>
      <c r="I170" s="1011"/>
      <c r="J170" s="1"/>
      <c r="K170" s="1"/>
      <c r="L170"/>
      <c r="M170" s="1"/>
      <c r="N170" s="1"/>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row>
    <row r="171" spans="1:96" ht="12.75" customHeight="1" outlineLevel="2" x14ac:dyDescent="0.2">
      <c r="A171"/>
      <c r="B171" s="1395"/>
      <c r="C171" s="1002"/>
      <c r="D171" s="1003"/>
      <c r="E171" s="1003"/>
      <c r="F171" s="1003"/>
      <c r="G171" s="1004"/>
      <c r="H171" s="1003" t="s">
        <v>1266</v>
      </c>
      <c r="I171" s="1011"/>
      <c r="J171" s="1"/>
      <c r="K171" s="1"/>
      <c r="L171"/>
      <c r="M171" s="1"/>
      <c r="N171" s="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row>
    <row r="172" spans="1:96" ht="12.75" customHeight="1" outlineLevel="2" x14ac:dyDescent="0.2">
      <c r="A172"/>
      <c r="B172" s="1395"/>
      <c r="C172" s="1002"/>
      <c r="D172" s="1003"/>
      <c r="E172" s="1003"/>
      <c r="F172" s="1003"/>
      <c r="G172" s="1004"/>
      <c r="H172" s="1003" t="s">
        <v>1267</v>
      </c>
      <c r="I172" s="1011"/>
      <c r="J172" s="1"/>
      <c r="K172" s="1"/>
      <c r="L172"/>
      <c r="M172" s="1"/>
      <c r="N172" s="1"/>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row>
    <row r="173" spans="1:96" ht="12.75" customHeight="1" outlineLevel="2" x14ac:dyDescent="0.2">
      <c r="A173"/>
      <c r="B173" s="1395"/>
      <c r="C173" s="1002"/>
      <c r="D173" s="1003"/>
      <c r="E173" s="1003"/>
      <c r="F173" s="1003"/>
      <c r="G173" s="1004"/>
      <c r="H173" s="1003" t="s">
        <v>1225</v>
      </c>
      <c r="I173" s="1011"/>
      <c r="J173" s="1"/>
      <c r="K173" s="1"/>
      <c r="L173"/>
      <c r="M173" s="1"/>
      <c r="N173" s="1"/>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row>
    <row r="174" spans="1:96" ht="12.75" customHeight="1" outlineLevel="2" x14ac:dyDescent="0.2">
      <c r="A174"/>
      <c r="B174" s="1395"/>
      <c r="C174" s="1002"/>
      <c r="D174" s="1003"/>
      <c r="E174" s="1003"/>
      <c r="F174" s="1003"/>
      <c r="G174" s="1004"/>
      <c r="H174" s="1003" t="s">
        <v>1226</v>
      </c>
      <c r="I174" s="1011"/>
      <c r="J174" s="1"/>
      <c r="K174" s="1"/>
      <c r="L174"/>
      <c r="M174" s="1"/>
      <c r="N174" s="1"/>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row>
    <row r="175" spans="1:96" ht="12.75" customHeight="1" outlineLevel="2" x14ac:dyDescent="0.2">
      <c r="A175"/>
      <c r="B175" s="1395"/>
      <c r="C175" s="1002"/>
      <c r="D175" s="1003"/>
      <c r="E175" s="1003"/>
      <c r="F175" s="1003"/>
      <c r="G175" s="1004"/>
      <c r="H175" s="1003" t="s">
        <v>1227</v>
      </c>
      <c r="I175" s="1011"/>
      <c r="J175" s="1"/>
      <c r="K175" s="1"/>
      <c r="L175"/>
      <c r="M175" s="1"/>
      <c r="N175" s="1"/>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row>
    <row r="176" spans="1:96" ht="12.75" customHeight="1" outlineLevel="2" x14ac:dyDescent="0.2">
      <c r="A176"/>
      <c r="B176" s="1395"/>
      <c r="C176" s="1002"/>
      <c r="D176" s="1003"/>
      <c r="E176" s="1003"/>
      <c r="F176" s="1003"/>
      <c r="G176" s="1004"/>
      <c r="H176" s="1003" t="s">
        <v>1259</v>
      </c>
      <c r="I176" s="1011"/>
      <c r="J176" s="1"/>
      <c r="K176" s="1"/>
      <c r="L176"/>
      <c r="M176" s="1"/>
      <c r="N176" s="1"/>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row>
    <row r="177" spans="1:96" outlineLevel="1" x14ac:dyDescent="0.2">
      <c r="A177"/>
      <c r="B177" s="1395">
        <f>C177*1000000+D177*1000+E177</f>
        <v>4016</v>
      </c>
      <c r="C177" s="1002">
        <v>0</v>
      </c>
      <c r="D177" s="1003">
        <v>4</v>
      </c>
      <c r="E177" s="1003">
        <v>16</v>
      </c>
      <c r="F177" s="1003" t="s">
        <v>1268</v>
      </c>
      <c r="G177" s="1004"/>
      <c r="H177" s="1003" t="s">
        <v>1239</v>
      </c>
      <c r="I177" s="1011"/>
      <c r="J177" s="1"/>
      <c r="K177" s="1"/>
      <c r="L177"/>
      <c r="M177" s="1"/>
      <c r="N177" s="1"/>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row>
    <row r="178" spans="1:96" ht="12.75" customHeight="1" outlineLevel="2" x14ac:dyDescent="0.2">
      <c r="A178"/>
      <c r="B178" s="1395"/>
      <c r="C178" s="1002"/>
      <c r="D178" s="1003"/>
      <c r="E178" s="1003"/>
      <c r="F178" s="1003" t="s">
        <v>1269</v>
      </c>
      <c r="G178" s="1004"/>
      <c r="H178" s="1003" t="s">
        <v>1265</v>
      </c>
      <c r="I178" s="1011"/>
      <c r="J178" s="1"/>
      <c r="K178" s="1"/>
      <c r="L178"/>
      <c r="M178" s="1"/>
      <c r="N178" s="1"/>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row>
    <row r="179" spans="1:96" ht="12.75" customHeight="1" outlineLevel="2" x14ac:dyDescent="0.2">
      <c r="A179"/>
      <c r="B179" s="1395"/>
      <c r="C179" s="1002"/>
      <c r="D179" s="1003"/>
      <c r="E179" s="1003"/>
      <c r="F179" s="1003" t="s">
        <v>1270</v>
      </c>
      <c r="G179" s="1004"/>
      <c r="H179" s="1003" t="s">
        <v>1266</v>
      </c>
      <c r="I179" s="1011"/>
      <c r="J179" s="1"/>
      <c r="K179" s="1"/>
      <c r="L179"/>
      <c r="M179" s="1"/>
      <c r="N179" s="1"/>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row>
    <row r="180" spans="1:96" ht="12.75" customHeight="1" outlineLevel="2" x14ac:dyDescent="0.2">
      <c r="A180"/>
      <c r="B180" s="1395"/>
      <c r="C180" s="1002"/>
      <c r="D180" s="1003"/>
      <c r="E180" s="1003"/>
      <c r="F180" s="1003" t="s">
        <v>1271</v>
      </c>
      <c r="G180" s="1004"/>
      <c r="H180" s="1003" t="s">
        <v>1240</v>
      </c>
      <c r="I180" s="1011"/>
      <c r="J180" s="1"/>
      <c r="K180" s="1"/>
      <c r="L180"/>
      <c r="M180" s="1"/>
      <c r="N180" s="1"/>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row>
    <row r="181" spans="1:96" ht="12.75" customHeight="1" outlineLevel="2" x14ac:dyDescent="0.2">
      <c r="A181"/>
      <c r="B181" s="1395"/>
      <c r="C181" s="1002"/>
      <c r="D181" s="1003"/>
      <c r="E181" s="1003"/>
      <c r="F181" s="1003"/>
      <c r="G181" s="1004"/>
      <c r="H181" s="1003" t="s">
        <v>1241</v>
      </c>
      <c r="I181" s="1011"/>
      <c r="J181" s="1"/>
      <c r="K181" s="1"/>
      <c r="L181"/>
      <c r="M181" s="1"/>
      <c r="N181" s="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row>
    <row r="182" spans="1:96" ht="12.75" customHeight="1" outlineLevel="2" x14ac:dyDescent="0.2">
      <c r="A182"/>
      <c r="B182" s="1395"/>
      <c r="C182" s="1002"/>
      <c r="D182" s="1003"/>
      <c r="E182" s="1003"/>
      <c r="F182" s="1003"/>
      <c r="G182" s="1004"/>
      <c r="H182" s="1003" t="s">
        <v>1272</v>
      </c>
      <c r="I182" s="1011"/>
      <c r="J182" s="1"/>
      <c r="K182" s="1"/>
      <c r="L182"/>
      <c r="M182" s="1"/>
      <c r="N182" s="1"/>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row>
    <row r="183" spans="1:96" ht="12.75" customHeight="1" outlineLevel="2" x14ac:dyDescent="0.2">
      <c r="A183"/>
      <c r="B183" s="1395"/>
      <c r="C183" s="1002"/>
      <c r="D183" s="1003"/>
      <c r="E183" s="1003"/>
      <c r="F183" s="1003"/>
      <c r="G183" s="1004"/>
      <c r="H183" s="1003" t="s">
        <v>1273</v>
      </c>
      <c r="I183" s="1011"/>
      <c r="J183" s="1"/>
      <c r="K183" s="1"/>
      <c r="L183"/>
      <c r="M183" s="1"/>
      <c r="N183" s="1"/>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row>
    <row r="184" spans="1:96" ht="12.75" customHeight="1" outlineLevel="2" x14ac:dyDescent="0.2">
      <c r="A184"/>
      <c r="B184" s="1395"/>
      <c r="C184" s="1002"/>
      <c r="D184" s="1003"/>
      <c r="E184" s="1003"/>
      <c r="F184" s="1003"/>
      <c r="G184" s="1004"/>
      <c r="H184" s="1003" t="s">
        <v>1242</v>
      </c>
      <c r="I184" s="1011"/>
      <c r="J184" s="1"/>
      <c r="K184" s="1"/>
      <c r="L184"/>
      <c r="M184" s="1"/>
      <c r="N184" s="1"/>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row>
    <row r="185" spans="1:96" outlineLevel="1" x14ac:dyDescent="0.2">
      <c r="A185"/>
      <c r="B185" s="1395">
        <f>C185*1000000+D185*1000+E185</f>
        <v>6016</v>
      </c>
      <c r="C185" s="1002">
        <v>0</v>
      </c>
      <c r="D185" s="1003">
        <v>6</v>
      </c>
      <c r="E185" s="1003">
        <v>16</v>
      </c>
      <c r="F185" s="1003" t="s">
        <v>17650</v>
      </c>
      <c r="G185" s="1004"/>
      <c r="H185" s="1003" t="s">
        <v>1274</v>
      </c>
      <c r="I185" s="1011"/>
      <c r="J185" s="1"/>
      <c r="K185" s="1"/>
      <c r="L185"/>
      <c r="M185" s="1"/>
      <c r="N185" s="1"/>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row>
    <row r="186" spans="1:96" ht="12.75" customHeight="1" outlineLevel="2" x14ac:dyDescent="0.2">
      <c r="A186"/>
      <c r="B186" s="1395"/>
      <c r="C186" s="1002"/>
      <c r="D186" s="1003"/>
      <c r="E186" s="1003"/>
      <c r="F186" s="1003" t="s">
        <v>17651</v>
      </c>
      <c r="G186" s="1004"/>
      <c r="H186" s="1003" t="s">
        <v>1265</v>
      </c>
      <c r="I186" s="1011"/>
      <c r="J186" s="1"/>
      <c r="K186" s="1"/>
      <c r="L186"/>
      <c r="M186" s="1"/>
      <c r="N186" s="1"/>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row>
    <row r="187" spans="1:96" ht="12.75" customHeight="1" outlineLevel="2" x14ac:dyDescent="0.2">
      <c r="A187"/>
      <c r="B187" s="1395"/>
      <c r="C187" s="1002"/>
      <c r="D187" s="1003"/>
      <c r="E187" s="1003"/>
      <c r="F187" s="1003" t="s">
        <v>17652</v>
      </c>
      <c r="G187" s="1004"/>
      <c r="H187" s="1003" t="s">
        <v>1275</v>
      </c>
      <c r="I187" s="1011"/>
      <c r="J187" s="1"/>
      <c r="K187" s="1"/>
      <c r="L187"/>
      <c r="M187" s="1"/>
      <c r="N187" s="1"/>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row>
    <row r="188" spans="1:96" ht="12.75" customHeight="1" outlineLevel="2" x14ac:dyDescent="0.2">
      <c r="A188"/>
      <c r="B188" s="1395"/>
      <c r="C188" s="1002"/>
      <c r="D188" s="1003"/>
      <c r="E188" s="1003"/>
      <c r="F188" s="1003" t="s">
        <v>17653</v>
      </c>
      <c r="G188" s="1004"/>
      <c r="H188" s="1003" t="s">
        <v>1276</v>
      </c>
      <c r="I188" s="1011"/>
      <c r="J188" s="1"/>
      <c r="K188" s="1"/>
      <c r="L188"/>
      <c r="M188" s="1"/>
      <c r="N188" s="1"/>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row>
    <row r="189" spans="1:96" ht="12.75" customHeight="1" outlineLevel="2" x14ac:dyDescent="0.2">
      <c r="A189"/>
      <c r="B189" s="1395"/>
      <c r="C189" s="1002"/>
      <c r="D189" s="1003"/>
      <c r="E189" s="1003"/>
      <c r="F189" s="1003" t="s">
        <v>17654</v>
      </c>
      <c r="G189" s="1004"/>
      <c r="H189" s="1003" t="s">
        <v>1277</v>
      </c>
      <c r="I189" s="1011"/>
      <c r="J189" s="1"/>
      <c r="K189" s="1"/>
      <c r="L189"/>
      <c r="M189" s="1"/>
      <c r="N189" s="1"/>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row>
    <row r="190" spans="1:96" ht="12.75" customHeight="1" outlineLevel="2" x14ac:dyDescent="0.2">
      <c r="A190"/>
      <c r="B190" s="1395"/>
      <c r="C190" s="1002"/>
      <c r="D190" s="1003"/>
      <c r="E190" s="1003"/>
      <c r="F190" s="1003" t="s">
        <v>17655</v>
      </c>
      <c r="G190" s="1004"/>
      <c r="H190" s="1003" t="s">
        <v>1278</v>
      </c>
      <c r="I190" s="1011"/>
      <c r="J190" s="1"/>
      <c r="K190" s="1"/>
      <c r="L190"/>
      <c r="M190" s="1"/>
      <c r="N190" s="1"/>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row>
    <row r="191" spans="1:96" ht="12.75" customHeight="1" outlineLevel="2" x14ac:dyDescent="0.2">
      <c r="A191"/>
      <c r="B191" s="1395"/>
      <c r="C191" s="1002"/>
      <c r="D191" s="1003"/>
      <c r="E191" s="1003"/>
      <c r="F191" s="1003"/>
      <c r="G191" s="1004"/>
      <c r="H191" s="1003" t="s">
        <v>1273</v>
      </c>
      <c r="I191" s="1011"/>
      <c r="J191" s="1"/>
      <c r="K191" s="1"/>
      <c r="L191"/>
      <c r="M191" s="1"/>
      <c r="N191" s="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row>
    <row r="192" spans="1:96" ht="12.75" customHeight="1" outlineLevel="2" x14ac:dyDescent="0.2">
      <c r="A192"/>
      <c r="B192" s="1395"/>
      <c r="C192" s="1002"/>
      <c r="D192" s="1003"/>
      <c r="E192" s="1003"/>
      <c r="F192" s="1003"/>
      <c r="G192" s="1004"/>
      <c r="H192" s="1003" t="s">
        <v>1279</v>
      </c>
      <c r="I192" s="1011"/>
      <c r="J192" s="1"/>
      <c r="K192" s="1"/>
      <c r="L192"/>
      <c r="M192" s="1"/>
      <c r="N192" s="1"/>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row>
    <row r="193" spans="1:96" outlineLevel="1" x14ac:dyDescent="0.2">
      <c r="A193"/>
      <c r="B193" s="1395">
        <f>C193*1000000+D193*1000+E193</f>
        <v>8016</v>
      </c>
      <c r="C193" s="1002">
        <v>0</v>
      </c>
      <c r="D193" s="1003">
        <v>8</v>
      </c>
      <c r="E193" s="1003">
        <v>16</v>
      </c>
      <c r="F193" s="1009" t="s">
        <v>17640</v>
      </c>
      <c r="G193" s="1004"/>
      <c r="H193" s="1009" t="s">
        <v>17648</v>
      </c>
      <c r="I193" s="1011"/>
      <c r="J193" s="1"/>
      <c r="K193" s="1"/>
      <c r="L193"/>
      <c r="M193" s="1"/>
      <c r="N193" s="1"/>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row>
    <row r="194" spans="1:96" ht="12.75" customHeight="1" outlineLevel="2" x14ac:dyDescent="0.2">
      <c r="A194"/>
      <c r="B194" s="1395"/>
      <c r="C194" s="1002"/>
      <c r="D194" s="1003"/>
      <c r="E194" s="1003"/>
      <c r="F194" s="1009" t="s">
        <v>17641</v>
      </c>
      <c r="G194" s="1004"/>
      <c r="H194" s="1009" t="s">
        <v>1415</v>
      </c>
      <c r="I194" s="1011"/>
      <c r="J194" s="1"/>
      <c r="K194" s="1"/>
      <c r="L194"/>
      <c r="M194" s="1"/>
      <c r="N194" s="1"/>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row>
    <row r="195" spans="1:96" ht="12.75" customHeight="1" outlineLevel="2" x14ac:dyDescent="0.2">
      <c r="A195"/>
      <c r="B195" s="1395"/>
      <c r="C195" s="1002"/>
      <c r="D195" s="1003"/>
      <c r="E195" s="1003"/>
      <c r="F195" s="1009" t="s">
        <v>17642</v>
      </c>
      <c r="G195" s="1004"/>
      <c r="H195" s="1009" t="s">
        <v>1416</v>
      </c>
      <c r="I195" s="1011"/>
      <c r="J195" s="1"/>
      <c r="K195" s="1"/>
      <c r="L195"/>
      <c r="M195" s="1"/>
      <c r="N195" s="1"/>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row>
    <row r="196" spans="1:96" ht="12.75" customHeight="1" outlineLevel="2" x14ac:dyDescent="0.2">
      <c r="A196"/>
      <c r="B196" s="1395"/>
      <c r="C196" s="1002"/>
      <c r="D196" s="1003"/>
      <c r="E196" s="1003"/>
      <c r="F196" s="1009" t="s">
        <v>17643</v>
      </c>
      <c r="G196" s="1004"/>
      <c r="H196" s="1009" t="s">
        <v>17649</v>
      </c>
      <c r="I196" s="1011"/>
      <c r="J196" s="1"/>
      <c r="K196" s="1"/>
      <c r="L196"/>
      <c r="M196" s="1"/>
      <c r="N196" s="1"/>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row>
    <row r="197" spans="1:96" ht="12.75" customHeight="1" outlineLevel="2" x14ac:dyDescent="0.2">
      <c r="A197"/>
      <c r="B197" s="1395"/>
      <c r="C197" s="1002"/>
      <c r="D197" s="1003"/>
      <c r="E197" s="1003"/>
      <c r="F197" s="1009" t="s">
        <v>17644</v>
      </c>
      <c r="G197" s="1004"/>
      <c r="H197" s="1009" t="s">
        <v>2707</v>
      </c>
      <c r="I197" s="1011"/>
      <c r="J197" s="1"/>
      <c r="K197" s="1"/>
      <c r="L197"/>
      <c r="M197" s="1"/>
      <c r="N197" s="1"/>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row>
    <row r="198" spans="1:96" ht="12.75" customHeight="1" outlineLevel="2" x14ac:dyDescent="0.2">
      <c r="A198"/>
      <c r="B198" s="1395"/>
      <c r="C198" s="1002"/>
      <c r="D198" s="1003"/>
      <c r="E198" s="1003"/>
      <c r="F198" s="1009" t="s">
        <v>17645</v>
      </c>
      <c r="G198" s="1004"/>
      <c r="H198" s="1009" t="s">
        <v>1421</v>
      </c>
      <c r="I198" s="1011"/>
      <c r="J198" s="1"/>
      <c r="K198" s="1"/>
      <c r="L198"/>
      <c r="M198" s="1"/>
      <c r="N198" s="1"/>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row>
    <row r="199" spans="1:96" ht="12.75" customHeight="1" outlineLevel="2" x14ac:dyDescent="0.2">
      <c r="A199"/>
      <c r="B199" s="1395"/>
      <c r="C199" s="1002"/>
      <c r="D199" s="1003"/>
      <c r="E199" s="1003"/>
      <c r="F199" s="1009" t="s">
        <v>17646</v>
      </c>
      <c r="G199" s="1004"/>
      <c r="H199" s="1009" t="s">
        <v>1422</v>
      </c>
      <c r="I199" s="1011"/>
      <c r="J199" s="1"/>
      <c r="K199" s="1"/>
      <c r="L199"/>
      <c r="M199" s="1"/>
      <c r="N199" s="1"/>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row>
    <row r="200" spans="1:96" ht="12.75" customHeight="1" outlineLevel="2" x14ac:dyDescent="0.2">
      <c r="A200"/>
      <c r="B200" s="1395"/>
      <c r="C200" s="1002"/>
      <c r="D200" s="1003"/>
      <c r="E200" s="1003"/>
      <c r="F200" s="1009" t="s">
        <v>17647</v>
      </c>
      <c r="G200" s="1004"/>
      <c r="H200" s="1009" t="s">
        <v>2708</v>
      </c>
      <c r="I200" s="1011"/>
      <c r="J200" s="1"/>
      <c r="K200" s="1"/>
      <c r="L200"/>
      <c r="M200" s="1"/>
      <c r="N200" s="1"/>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row>
    <row r="201" spans="1:96" outlineLevel="1" x14ac:dyDescent="0.2">
      <c r="A201"/>
      <c r="B201" s="1395">
        <f>C201*1000000+D201*1000+E201</f>
        <v>10016</v>
      </c>
      <c r="C201" s="1002">
        <v>0</v>
      </c>
      <c r="D201" s="1003">
        <v>10</v>
      </c>
      <c r="E201" s="1003">
        <v>16</v>
      </c>
      <c r="F201" s="1003" t="s">
        <v>1306</v>
      </c>
      <c r="G201" s="1004"/>
      <c r="H201" s="1003" t="s">
        <v>1316</v>
      </c>
      <c r="I201" s="1011"/>
      <c r="J201" s="1"/>
      <c r="K201" s="1"/>
      <c r="L201"/>
      <c r="M201" s="1"/>
      <c r="N201" s="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row>
    <row r="202" spans="1:96" ht="12.75" customHeight="1" outlineLevel="2" x14ac:dyDescent="0.2">
      <c r="A202"/>
      <c r="B202" s="1395"/>
      <c r="C202" s="1002"/>
      <c r="D202" s="1003"/>
      <c r="E202" s="1003"/>
      <c r="F202" s="1003" t="s">
        <v>1307</v>
      </c>
      <c r="G202" s="1004"/>
      <c r="H202" s="1003" t="s">
        <v>1230</v>
      </c>
      <c r="I202" s="1011"/>
      <c r="J202" s="1"/>
      <c r="K202" s="1"/>
      <c r="L202"/>
      <c r="M202" s="1"/>
      <c r="N202" s="1"/>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row>
    <row r="203" spans="1:96" ht="12.75" customHeight="1" outlineLevel="2" x14ac:dyDescent="0.2">
      <c r="A203"/>
      <c r="B203" s="1395"/>
      <c r="C203" s="1002"/>
      <c r="D203" s="1003"/>
      <c r="E203" s="1003"/>
      <c r="F203" s="1003" t="s">
        <v>1308</v>
      </c>
      <c r="G203" s="1004"/>
      <c r="H203" s="1003" t="s">
        <v>1317</v>
      </c>
      <c r="I203" s="1011"/>
      <c r="J203" s="1"/>
      <c r="K203" s="1"/>
      <c r="L203"/>
      <c r="M203" s="1"/>
      <c r="N203" s="1"/>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row>
    <row r="204" spans="1:96" ht="12.75" customHeight="1" outlineLevel="2" x14ac:dyDescent="0.2">
      <c r="A204"/>
      <c r="B204" s="1395"/>
      <c r="C204" s="1002"/>
      <c r="D204" s="1003"/>
      <c r="E204" s="1003"/>
      <c r="F204" s="1003" t="s">
        <v>1309</v>
      </c>
      <c r="G204" s="1004"/>
      <c r="H204" s="1003" t="s">
        <v>1318</v>
      </c>
      <c r="I204" s="1011"/>
      <c r="J204" s="1"/>
      <c r="K204" s="1"/>
      <c r="L204"/>
      <c r="M204" s="1"/>
      <c r="N204" s="1"/>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row>
    <row r="205" spans="1:96" ht="12.75" customHeight="1" outlineLevel="2" x14ac:dyDescent="0.2">
      <c r="A205"/>
      <c r="B205" s="1395"/>
      <c r="C205" s="1002"/>
      <c r="D205" s="1003"/>
      <c r="E205" s="1003"/>
      <c r="F205" s="1003" t="s">
        <v>1310</v>
      </c>
      <c r="G205" s="1004"/>
      <c r="H205" s="1003" t="s">
        <v>1319</v>
      </c>
      <c r="I205" s="1011"/>
      <c r="J205" s="1"/>
      <c r="K205" s="1"/>
      <c r="L205"/>
      <c r="M205" s="1"/>
      <c r="N205" s="1"/>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row>
    <row r="206" spans="1:96" ht="12.75" customHeight="1" outlineLevel="2" x14ac:dyDescent="0.2">
      <c r="A206"/>
      <c r="B206" s="1395"/>
      <c r="C206" s="1002"/>
      <c r="D206" s="1003"/>
      <c r="E206" s="1003"/>
      <c r="F206" s="1003" t="s">
        <v>1311</v>
      </c>
      <c r="G206" s="1004"/>
      <c r="H206" s="1003" t="s">
        <v>1320</v>
      </c>
      <c r="I206" s="1011"/>
      <c r="J206" s="1"/>
      <c r="K206" s="1"/>
      <c r="L206"/>
      <c r="M206" s="1"/>
      <c r="N206" s="1"/>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row>
    <row r="207" spans="1:96" ht="12.75" customHeight="1" outlineLevel="2" x14ac:dyDescent="0.2">
      <c r="A207"/>
      <c r="B207" s="1395"/>
      <c r="C207" s="1002"/>
      <c r="D207" s="1003"/>
      <c r="E207" s="1003"/>
      <c r="F207" s="1003" t="s">
        <v>1312</v>
      </c>
      <c r="G207" s="1004"/>
      <c r="H207" s="1003" t="s">
        <v>1231</v>
      </c>
      <c r="I207" s="1011"/>
      <c r="J207" s="1"/>
      <c r="K207" s="1"/>
      <c r="L207"/>
      <c r="M207" s="1"/>
      <c r="N207" s="1"/>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row>
    <row r="208" spans="1:96" ht="12.75" customHeight="1" outlineLevel="2" x14ac:dyDescent="0.2">
      <c r="A208"/>
      <c r="B208" s="1395"/>
      <c r="C208" s="1002"/>
      <c r="D208" s="1003"/>
      <c r="E208" s="1003"/>
      <c r="F208" s="1003" t="s">
        <v>1313</v>
      </c>
      <c r="G208" s="1004"/>
      <c r="H208" s="1003" t="s">
        <v>1321</v>
      </c>
      <c r="I208" s="1011"/>
      <c r="J208" s="1"/>
      <c r="K208" s="1"/>
      <c r="L208"/>
      <c r="M208" s="1"/>
      <c r="N208" s="1"/>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row>
    <row r="209" spans="1:96" ht="12.75" customHeight="1" outlineLevel="2" x14ac:dyDescent="0.2">
      <c r="A209"/>
      <c r="B209" s="1395"/>
      <c r="C209" s="1002"/>
      <c r="D209" s="1003"/>
      <c r="E209" s="1003"/>
      <c r="F209" s="1003" t="s">
        <v>1314</v>
      </c>
      <c r="G209" s="1004"/>
      <c r="H209" s="1003"/>
      <c r="I209" s="1011"/>
      <c r="J209" s="1"/>
      <c r="K209" s="1"/>
      <c r="L209"/>
      <c r="M209" s="1"/>
      <c r="N209" s="1"/>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row>
    <row r="210" spans="1:96" ht="12.75" customHeight="1" outlineLevel="2" x14ac:dyDescent="0.2">
      <c r="A210"/>
      <c r="B210" s="1395"/>
      <c r="C210" s="1002"/>
      <c r="D210" s="1003"/>
      <c r="E210" s="1003"/>
      <c r="F210" s="1003" t="s">
        <v>1315</v>
      </c>
      <c r="G210" s="1004"/>
      <c r="H210" s="1003"/>
      <c r="I210" s="1011"/>
      <c r="J210" s="1"/>
      <c r="K210" s="1"/>
      <c r="L210"/>
      <c r="M210" s="1"/>
      <c r="N210" s="1"/>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row>
    <row r="211" spans="1:96" outlineLevel="1" x14ac:dyDescent="0.2">
      <c r="A211"/>
      <c r="B211" s="1395">
        <f>C211*1000000+D211*1000+E211</f>
        <v>12016</v>
      </c>
      <c r="C211" s="1002">
        <v>0</v>
      </c>
      <c r="D211" s="1003">
        <v>12</v>
      </c>
      <c r="E211" s="1003">
        <v>16</v>
      </c>
      <c r="F211" s="1003" t="s">
        <v>1243</v>
      </c>
      <c r="G211" s="1004"/>
      <c r="H211" s="1003" t="s">
        <v>1332</v>
      </c>
      <c r="I211" s="1011"/>
      <c r="J211" s="1"/>
      <c r="K211" s="1"/>
      <c r="L211"/>
      <c r="M211" s="1"/>
      <c r="N211" s="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row>
    <row r="212" spans="1:96" ht="12.75" customHeight="1" outlineLevel="2" x14ac:dyDescent="0.2">
      <c r="A212"/>
      <c r="B212" s="1395"/>
      <c r="C212" s="1002"/>
      <c r="D212" s="1003"/>
      <c r="E212" s="1003"/>
      <c r="F212" s="1003" t="s">
        <v>1244</v>
      </c>
      <c r="G212" s="1004"/>
      <c r="H212" s="1003" t="s">
        <v>1333</v>
      </c>
      <c r="I212" s="1011"/>
      <c r="J212" s="1"/>
      <c r="K212" s="1"/>
      <c r="L212"/>
      <c r="M212" s="1"/>
      <c r="N212" s="1"/>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row>
    <row r="213" spans="1:96" ht="12.75" customHeight="1" outlineLevel="2" x14ac:dyDescent="0.2">
      <c r="A213"/>
      <c r="B213" s="1395"/>
      <c r="C213" s="1002"/>
      <c r="D213" s="1003"/>
      <c r="E213" s="1003"/>
      <c r="F213" s="1003" t="s">
        <v>1322</v>
      </c>
      <c r="G213" s="1004"/>
      <c r="H213" s="1003" t="s">
        <v>1334</v>
      </c>
      <c r="I213" s="1011"/>
      <c r="J213" s="1"/>
      <c r="K213" s="1"/>
      <c r="L213"/>
      <c r="M213" s="1"/>
      <c r="N213" s="1"/>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row>
    <row r="214" spans="1:96" ht="12.75" customHeight="1" outlineLevel="2" x14ac:dyDescent="0.2">
      <c r="A214"/>
      <c r="B214" s="1395"/>
      <c r="C214" s="1002"/>
      <c r="D214" s="1003"/>
      <c r="E214" s="1003"/>
      <c r="F214" s="1003" t="s">
        <v>1323</v>
      </c>
      <c r="G214" s="1004"/>
      <c r="H214" s="1003" t="s">
        <v>1335</v>
      </c>
      <c r="I214" s="1011"/>
      <c r="J214" s="1"/>
      <c r="K214" s="1"/>
      <c r="L214"/>
      <c r="M214" s="1"/>
      <c r="N214" s="1"/>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row>
    <row r="215" spans="1:96" ht="12.75" customHeight="1" outlineLevel="2" x14ac:dyDescent="0.2">
      <c r="A215"/>
      <c r="B215" s="1395"/>
      <c r="C215" s="1002"/>
      <c r="D215" s="1003"/>
      <c r="E215" s="1003"/>
      <c r="F215" s="1003" t="s">
        <v>1324</v>
      </c>
      <c r="G215" s="1004"/>
      <c r="H215" s="1003" t="s">
        <v>1336</v>
      </c>
      <c r="I215" s="1011"/>
      <c r="J215" s="1"/>
      <c r="K215" s="1"/>
      <c r="L215"/>
      <c r="M215" s="1"/>
      <c r="N215" s="1"/>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row>
    <row r="216" spans="1:96" ht="12.75" customHeight="1" outlineLevel="2" x14ac:dyDescent="0.2">
      <c r="A216"/>
      <c r="B216" s="1395"/>
      <c r="C216" s="1002"/>
      <c r="D216" s="1003"/>
      <c r="E216" s="1003"/>
      <c r="F216" s="1003" t="s">
        <v>1325</v>
      </c>
      <c r="G216" s="1004"/>
      <c r="H216" s="1003" t="s">
        <v>1337</v>
      </c>
      <c r="I216" s="1011"/>
      <c r="J216" s="1"/>
      <c r="K216" s="1"/>
      <c r="L216"/>
      <c r="M216" s="1"/>
      <c r="N216" s="1"/>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row>
    <row r="217" spans="1:96" ht="12.75" customHeight="1" outlineLevel="2" x14ac:dyDescent="0.2">
      <c r="A217"/>
      <c r="B217" s="1395"/>
      <c r="C217" s="1002"/>
      <c r="D217" s="1003"/>
      <c r="E217" s="1003"/>
      <c r="F217" s="1003" t="s">
        <v>1326</v>
      </c>
      <c r="G217" s="1004"/>
      <c r="H217" s="1003" t="s">
        <v>1338</v>
      </c>
      <c r="I217" s="1011"/>
      <c r="J217" s="1"/>
      <c r="K217" s="1"/>
      <c r="L217"/>
      <c r="M217" s="1"/>
      <c r="N217" s="1"/>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row>
    <row r="218" spans="1:96" ht="12.75" customHeight="1" outlineLevel="2" x14ac:dyDescent="0.2">
      <c r="A218"/>
      <c r="B218" s="1395"/>
      <c r="C218" s="1002"/>
      <c r="D218" s="1003"/>
      <c r="E218" s="1003"/>
      <c r="F218" s="1003" t="s">
        <v>1327</v>
      </c>
      <c r="G218" s="1004"/>
      <c r="H218" s="1003" t="s">
        <v>1339</v>
      </c>
      <c r="I218" s="1011"/>
      <c r="J218" s="1"/>
      <c r="K218" s="1"/>
      <c r="L218"/>
      <c r="M218" s="1"/>
      <c r="N218" s="1"/>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row>
    <row r="219" spans="1:96" ht="12.75" customHeight="1" outlineLevel="2" x14ac:dyDescent="0.2">
      <c r="A219"/>
      <c r="B219" s="1395"/>
      <c r="C219" s="1002"/>
      <c r="D219" s="1003"/>
      <c r="E219" s="1003"/>
      <c r="F219" s="1003" t="s">
        <v>1328</v>
      </c>
      <c r="G219" s="1004"/>
      <c r="H219" s="1003"/>
      <c r="I219" s="1011"/>
      <c r="J219" s="1"/>
      <c r="K219" s="1"/>
      <c r="L219"/>
      <c r="M219" s="1"/>
      <c r="N219" s="1"/>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row>
    <row r="220" spans="1:96" ht="12.75" customHeight="1" outlineLevel="2" x14ac:dyDescent="0.2">
      <c r="A220"/>
      <c r="B220" s="1395"/>
      <c r="C220" s="1002"/>
      <c r="D220" s="1003"/>
      <c r="E220" s="1003"/>
      <c r="F220" s="1003" t="s">
        <v>1329</v>
      </c>
      <c r="G220" s="1004"/>
      <c r="H220" s="1003"/>
      <c r="I220" s="1011"/>
      <c r="J220" s="1"/>
      <c r="K220" s="1"/>
      <c r="L220"/>
      <c r="M220" s="1"/>
      <c r="N220" s="1"/>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row>
    <row r="221" spans="1:96" ht="12.75" customHeight="1" outlineLevel="2" x14ac:dyDescent="0.2">
      <c r="A221"/>
      <c r="B221" s="1395"/>
      <c r="C221" s="1002"/>
      <c r="D221" s="1003"/>
      <c r="E221" s="1003"/>
      <c r="F221" s="1003" t="s">
        <v>1330</v>
      </c>
      <c r="G221" s="1004"/>
      <c r="H221" s="1003"/>
      <c r="I221" s="1011"/>
      <c r="J221" s="1"/>
      <c r="K221" s="1"/>
      <c r="L221"/>
      <c r="M221" s="1"/>
      <c r="N221" s="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row>
    <row r="222" spans="1:96" ht="12.75" customHeight="1" outlineLevel="2" x14ac:dyDescent="0.2">
      <c r="A222"/>
      <c r="B222" s="1395"/>
      <c r="C222" s="1002"/>
      <c r="D222" s="1003"/>
      <c r="E222" s="1003"/>
      <c r="F222" s="1003" t="s">
        <v>1331</v>
      </c>
      <c r="G222" s="1004"/>
      <c r="H222" s="1003"/>
      <c r="I222" s="1011"/>
      <c r="J222" s="1"/>
      <c r="K222" s="1"/>
      <c r="L222"/>
      <c r="M222" s="1"/>
      <c r="N222" s="1"/>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row>
    <row r="223" spans="1:96" outlineLevel="1" x14ac:dyDescent="0.2">
      <c r="A223"/>
      <c r="B223" s="1395">
        <f>C223*1000000+D223*1000+E223</f>
        <v>14016</v>
      </c>
      <c r="C223" s="1002">
        <v>0</v>
      </c>
      <c r="D223" s="1003">
        <v>14</v>
      </c>
      <c r="E223" s="1003">
        <v>16</v>
      </c>
      <c r="F223" s="1003" t="s">
        <v>8878</v>
      </c>
      <c r="G223" s="1004"/>
      <c r="H223" s="1003" t="s">
        <v>1349</v>
      </c>
      <c r="I223" s="1011"/>
      <c r="J223" s="1"/>
      <c r="K223" s="1"/>
      <c r="L223"/>
      <c r="M223" s="1"/>
      <c r="N223" s="1"/>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row>
    <row r="224" spans="1:96" ht="12.75" customHeight="1" outlineLevel="2" x14ac:dyDescent="0.2">
      <c r="A224"/>
      <c r="B224" s="1395"/>
      <c r="C224" s="1002"/>
      <c r="D224" s="1003"/>
      <c r="E224" s="1003"/>
      <c r="F224" s="1003" t="s">
        <v>8879</v>
      </c>
      <c r="G224" s="1004"/>
      <c r="H224" s="1003" t="s">
        <v>1350</v>
      </c>
      <c r="I224" s="1011"/>
      <c r="J224" s="1"/>
      <c r="K224" s="1"/>
      <c r="L224"/>
      <c r="M224" s="1"/>
      <c r="N224" s="1"/>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row>
    <row r="225" spans="1:96" ht="12.75" customHeight="1" outlineLevel="2" x14ac:dyDescent="0.2">
      <c r="A225"/>
      <c r="B225" s="1395"/>
      <c r="C225" s="1002"/>
      <c r="D225" s="1003"/>
      <c r="E225" s="1003"/>
      <c r="F225" s="1003" t="s">
        <v>8880</v>
      </c>
      <c r="G225" s="1004"/>
      <c r="H225" s="1003" t="s">
        <v>1351</v>
      </c>
      <c r="I225" s="1011"/>
      <c r="J225" s="1"/>
      <c r="K225" s="1"/>
      <c r="L225"/>
      <c r="M225" s="1"/>
      <c r="N225" s="1"/>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row>
    <row r="226" spans="1:96" ht="12.75" customHeight="1" outlineLevel="2" x14ac:dyDescent="0.2">
      <c r="A226"/>
      <c r="B226" s="1395"/>
      <c r="C226" s="1002"/>
      <c r="D226" s="1003"/>
      <c r="E226" s="1003"/>
      <c r="F226" s="1003" t="s">
        <v>8881</v>
      </c>
      <c r="G226" s="1004"/>
      <c r="H226" s="1003" t="s">
        <v>1352</v>
      </c>
      <c r="I226" s="1011"/>
      <c r="J226" s="1"/>
      <c r="K226" s="1"/>
      <c r="L226"/>
      <c r="M226" s="1"/>
      <c r="N226" s="1"/>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row>
    <row r="227" spans="1:96" ht="12.75" customHeight="1" outlineLevel="2" x14ac:dyDescent="0.2">
      <c r="A227"/>
      <c r="B227" s="1395"/>
      <c r="C227" s="1002"/>
      <c r="D227" s="1003"/>
      <c r="E227" s="1003"/>
      <c r="F227" s="1003" t="s">
        <v>8882</v>
      </c>
      <c r="G227" s="1004"/>
      <c r="H227" s="1003" t="s">
        <v>1353</v>
      </c>
      <c r="I227" s="1011"/>
      <c r="J227" s="1"/>
      <c r="K227" s="1"/>
      <c r="L227"/>
      <c r="M227" s="1"/>
      <c r="N227" s="1"/>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row>
    <row r="228" spans="1:96" ht="12.75" customHeight="1" outlineLevel="2" x14ac:dyDescent="0.2">
      <c r="A228"/>
      <c r="B228" s="1395"/>
      <c r="C228" s="1002"/>
      <c r="D228" s="1003"/>
      <c r="E228" s="1003"/>
      <c r="F228" s="1003" t="s">
        <v>8883</v>
      </c>
      <c r="G228" s="1004"/>
      <c r="H228" s="1003" t="s">
        <v>1354</v>
      </c>
      <c r="I228" s="1011"/>
      <c r="J228" s="1"/>
      <c r="K228" s="1"/>
      <c r="L228"/>
      <c r="M228" s="1"/>
      <c r="N228" s="1"/>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row>
    <row r="229" spans="1:96" ht="12.75" customHeight="1" outlineLevel="2" x14ac:dyDescent="0.2">
      <c r="A229"/>
      <c r="B229" s="1395"/>
      <c r="C229" s="1002"/>
      <c r="D229" s="1003"/>
      <c r="E229" s="1003"/>
      <c r="F229" s="1003" t="s">
        <v>8884</v>
      </c>
      <c r="G229" s="1004"/>
      <c r="H229" s="1003" t="s">
        <v>1355</v>
      </c>
      <c r="I229" s="1011"/>
      <c r="J229" s="1"/>
      <c r="K229" s="1"/>
      <c r="L229"/>
      <c r="M229" s="1"/>
      <c r="N229" s="1"/>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row>
    <row r="230" spans="1:96" ht="12.75" customHeight="1" outlineLevel="2" x14ac:dyDescent="0.2">
      <c r="A230"/>
      <c r="B230" s="1395"/>
      <c r="C230" s="1002"/>
      <c r="D230" s="1003"/>
      <c r="E230" s="1003"/>
      <c r="F230" s="1003" t="s">
        <v>8885</v>
      </c>
      <c r="G230" s="1004"/>
      <c r="H230" s="1003" t="s">
        <v>1356</v>
      </c>
      <c r="I230" s="1011"/>
      <c r="J230" s="1"/>
      <c r="K230" s="1"/>
      <c r="L230"/>
      <c r="M230" s="1"/>
      <c r="N230" s="1"/>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row>
    <row r="231" spans="1:96" ht="12.75" customHeight="1" outlineLevel="2" x14ac:dyDescent="0.2">
      <c r="A231"/>
      <c r="B231" s="1395"/>
      <c r="C231" s="1002"/>
      <c r="D231" s="1003"/>
      <c r="E231" s="1003"/>
      <c r="F231" s="1003" t="s">
        <v>8886</v>
      </c>
      <c r="G231" s="1004"/>
      <c r="H231" s="1003"/>
      <c r="I231" s="1011"/>
      <c r="J231" s="1"/>
      <c r="K231" s="1"/>
      <c r="L231"/>
      <c r="M231" s="1"/>
      <c r="N231" s="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row>
    <row r="232" spans="1:96" ht="12.75" customHeight="1" outlineLevel="2" x14ac:dyDescent="0.2">
      <c r="A232"/>
      <c r="B232" s="1395"/>
      <c r="C232" s="1002"/>
      <c r="D232" s="1003"/>
      <c r="E232" s="1003"/>
      <c r="F232" s="1003" t="s">
        <v>8887</v>
      </c>
      <c r="G232" s="1004"/>
      <c r="H232" s="1003"/>
      <c r="I232" s="1011"/>
      <c r="J232" s="1"/>
      <c r="K232" s="1"/>
      <c r="L232"/>
      <c r="M232" s="1"/>
      <c r="N232" s="1"/>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row>
    <row r="233" spans="1:96" ht="12.75" customHeight="1" outlineLevel="2" x14ac:dyDescent="0.2">
      <c r="A233"/>
      <c r="B233" s="1395"/>
      <c r="C233" s="1002"/>
      <c r="D233" s="1003"/>
      <c r="E233" s="1003"/>
      <c r="F233" s="1003" t="s">
        <v>8888</v>
      </c>
      <c r="G233" s="1004"/>
      <c r="H233" s="1003"/>
      <c r="I233" s="1011"/>
      <c r="J233" s="1"/>
      <c r="K233" s="1"/>
      <c r="L233"/>
      <c r="M233" s="1"/>
      <c r="N233" s="1"/>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row>
    <row r="234" spans="1:96" ht="12.75" customHeight="1" outlineLevel="2" x14ac:dyDescent="0.2">
      <c r="A234"/>
      <c r="B234" s="1395"/>
      <c r="C234" s="1002"/>
      <c r="D234" s="1003"/>
      <c r="E234" s="1003"/>
      <c r="F234" s="1003" t="s">
        <v>8889</v>
      </c>
      <c r="G234" s="1004"/>
      <c r="H234" s="1003"/>
      <c r="I234" s="1011"/>
      <c r="J234" s="1"/>
      <c r="K234" s="1"/>
      <c r="L234"/>
      <c r="M234" s="1"/>
      <c r="N234" s="1"/>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row>
    <row r="235" spans="1:96" ht="12.75" customHeight="1" outlineLevel="2" x14ac:dyDescent="0.2">
      <c r="A235"/>
      <c r="B235" s="1395"/>
      <c r="C235" s="1002"/>
      <c r="D235" s="1003"/>
      <c r="E235" s="1003"/>
      <c r="F235" s="1003" t="s">
        <v>8890</v>
      </c>
      <c r="G235" s="1004"/>
      <c r="H235" s="1003"/>
      <c r="I235" s="1011"/>
      <c r="J235" s="1"/>
      <c r="K235" s="1"/>
      <c r="L235"/>
      <c r="M235" s="1"/>
      <c r="N235" s="1"/>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row>
    <row r="236" spans="1:96" ht="12.75" customHeight="1" outlineLevel="2" x14ac:dyDescent="0.2">
      <c r="A236"/>
      <c r="B236" s="1395"/>
      <c r="C236" s="1002"/>
      <c r="D236" s="1003"/>
      <c r="E236" s="1003"/>
      <c r="F236" s="1003" t="s">
        <v>1348</v>
      </c>
      <c r="G236" s="1004"/>
      <c r="H236" s="1003"/>
      <c r="I236" s="1011"/>
      <c r="J236" s="1"/>
      <c r="K236" s="1"/>
      <c r="L236"/>
      <c r="M236" s="1"/>
      <c r="N236" s="1"/>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row>
    <row r="237" spans="1:96" outlineLevel="1" x14ac:dyDescent="0.2">
      <c r="A237"/>
      <c r="B237" s="1395">
        <f>C237*1000000+D237*1000+E237</f>
        <v>32</v>
      </c>
      <c r="C237" s="1002">
        <v>0</v>
      </c>
      <c r="D237" s="1003">
        <v>0</v>
      </c>
      <c r="E237" s="1003">
        <v>32</v>
      </c>
      <c r="F237" s="1003"/>
      <c r="G237" s="1004"/>
      <c r="H237" s="1003" t="s">
        <v>1357</v>
      </c>
      <c r="I237" s="1011"/>
      <c r="J237" s="1"/>
      <c r="K237" s="1"/>
      <c r="L237"/>
      <c r="M237" s="1"/>
      <c r="N237" s="1"/>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row>
    <row r="238" spans="1:96" ht="12.75" customHeight="1" outlineLevel="2" x14ac:dyDescent="0.2">
      <c r="A238"/>
      <c r="B238" s="1395"/>
      <c r="C238" s="1002"/>
      <c r="D238" s="1003"/>
      <c r="E238" s="1003"/>
      <c r="F238" s="1003"/>
      <c r="G238" s="1004"/>
      <c r="H238" s="1003" t="s">
        <v>1358</v>
      </c>
      <c r="I238" s="1011"/>
      <c r="J238" s="1"/>
      <c r="K238" s="1"/>
      <c r="L238"/>
      <c r="M238" s="1"/>
      <c r="N238" s="1"/>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row>
    <row r="239" spans="1:96" ht="12.75" customHeight="1" outlineLevel="2" x14ac:dyDescent="0.2">
      <c r="A239"/>
      <c r="B239" s="1395"/>
      <c r="C239" s="1002"/>
      <c r="D239" s="1003"/>
      <c r="E239" s="1003"/>
      <c r="F239" s="1003"/>
      <c r="G239" s="1004"/>
      <c r="H239" s="1003" t="s">
        <v>1359</v>
      </c>
      <c r="I239" s="1011"/>
      <c r="J239" s="1"/>
      <c r="K239" s="1"/>
      <c r="L239"/>
      <c r="M239" s="1"/>
      <c r="N239" s="1"/>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row>
    <row r="240" spans="1:96" ht="12.75" customHeight="1" outlineLevel="2" x14ac:dyDescent="0.2">
      <c r="A240"/>
      <c r="B240" s="1395"/>
      <c r="C240" s="1002"/>
      <c r="D240" s="1003"/>
      <c r="E240" s="1003"/>
      <c r="F240" s="1003"/>
      <c r="G240" s="1004"/>
      <c r="H240" s="1003" t="s">
        <v>1360</v>
      </c>
      <c r="I240" s="1011"/>
      <c r="J240" s="1"/>
      <c r="K240" s="1"/>
      <c r="L240"/>
      <c r="M240" s="1"/>
      <c r="N240" s="1"/>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row>
    <row r="241" spans="1:96" ht="12.75" customHeight="1" outlineLevel="2" x14ac:dyDescent="0.2">
      <c r="A241"/>
      <c r="B241" s="1395"/>
      <c r="C241" s="1002"/>
      <c r="D241" s="1003"/>
      <c r="E241" s="1003"/>
      <c r="F241" s="1003"/>
      <c r="G241" s="1004"/>
      <c r="H241" s="1003" t="s">
        <v>1361</v>
      </c>
      <c r="I241" s="1011"/>
      <c r="J241" s="1"/>
      <c r="K241" s="1"/>
      <c r="L241"/>
      <c r="M241" s="1"/>
      <c r="N241" s="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row>
    <row r="242" spans="1:96" ht="12.75" customHeight="1" outlineLevel="2" x14ac:dyDescent="0.2">
      <c r="A242"/>
      <c r="B242" s="1395"/>
      <c r="C242" s="1002"/>
      <c r="D242" s="1003"/>
      <c r="E242" s="1003"/>
      <c r="F242" s="1003"/>
      <c r="G242" s="1004"/>
      <c r="H242" s="1003" t="s">
        <v>1362</v>
      </c>
      <c r="I242" s="1011"/>
      <c r="J242" s="1"/>
      <c r="K242" s="1"/>
      <c r="L242"/>
      <c r="M242" s="1"/>
      <c r="N242" s="1"/>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row>
    <row r="243" spans="1:96" ht="12.75" customHeight="1" outlineLevel="2" x14ac:dyDescent="0.2">
      <c r="A243"/>
      <c r="B243" s="1395"/>
      <c r="C243" s="1002"/>
      <c r="D243" s="1003"/>
      <c r="E243" s="1003"/>
      <c r="F243" s="1003"/>
      <c r="G243" s="1004"/>
      <c r="H243" s="1003" t="s">
        <v>1363</v>
      </c>
      <c r="I243" s="1011"/>
      <c r="J243" s="1"/>
      <c r="K243" s="1"/>
      <c r="L243"/>
      <c r="M243" s="1"/>
      <c r="N243" s="1"/>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row>
    <row r="244" spans="1:96" ht="12.75" customHeight="1" outlineLevel="2" x14ac:dyDescent="0.2">
      <c r="A244"/>
      <c r="B244" s="1395"/>
      <c r="C244" s="1002"/>
      <c r="D244" s="1003"/>
      <c r="E244" s="1003"/>
      <c r="F244" s="1003"/>
      <c r="G244" s="1004"/>
      <c r="H244" s="1003" t="s">
        <v>1364</v>
      </c>
      <c r="I244" s="1011"/>
      <c r="J244" s="1"/>
      <c r="K244" s="1"/>
      <c r="L244"/>
      <c r="M244" s="1"/>
      <c r="N244" s="1"/>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row>
    <row r="245" spans="1:96" ht="12.75" customHeight="1" outlineLevel="2" x14ac:dyDescent="0.2">
      <c r="A245"/>
      <c r="B245" s="1395"/>
      <c r="C245" s="1002"/>
      <c r="D245" s="1003"/>
      <c r="E245" s="1003"/>
      <c r="F245" s="1003"/>
      <c r="G245" s="1004"/>
      <c r="H245" s="1003" t="s">
        <v>1365</v>
      </c>
      <c r="I245" s="1011"/>
      <c r="J245" s="1"/>
      <c r="K245" s="1"/>
      <c r="L245"/>
      <c r="M245" s="1"/>
      <c r="N245" s="1"/>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row>
    <row r="246" spans="1:96" ht="12.75" customHeight="1" outlineLevel="2" x14ac:dyDescent="0.2">
      <c r="A246"/>
      <c r="B246" s="1395"/>
      <c r="C246" s="1002"/>
      <c r="D246" s="1003"/>
      <c r="E246" s="1003"/>
      <c r="F246" s="1003"/>
      <c r="G246" s="1004"/>
      <c r="H246" s="1003" t="s">
        <v>1366</v>
      </c>
      <c r="I246" s="1011"/>
      <c r="J246" s="1"/>
      <c r="K246" s="1"/>
      <c r="L246"/>
      <c r="M246" s="1"/>
      <c r="N246" s="1"/>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row>
    <row r="247" spans="1:96" ht="12.75" customHeight="1" outlineLevel="2" x14ac:dyDescent="0.2">
      <c r="A247"/>
      <c r="B247" s="1395"/>
      <c r="C247" s="1002"/>
      <c r="D247" s="1003"/>
      <c r="E247" s="1003"/>
      <c r="F247" s="1003"/>
      <c r="G247" s="1004"/>
      <c r="H247" s="1003" t="s">
        <v>1367</v>
      </c>
      <c r="I247" s="1011"/>
      <c r="J247" s="1"/>
      <c r="K247" s="1"/>
      <c r="L247"/>
      <c r="M247" s="1"/>
      <c r="N247" s="1"/>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row>
    <row r="248" spans="1:96" ht="12.75" customHeight="1" outlineLevel="2" x14ac:dyDescent="0.2">
      <c r="A248"/>
      <c r="B248" s="1395"/>
      <c r="C248" s="1002"/>
      <c r="D248" s="1003"/>
      <c r="E248" s="1003"/>
      <c r="F248" s="1003"/>
      <c r="G248" s="1004"/>
      <c r="H248" s="1003" t="s">
        <v>1368</v>
      </c>
      <c r="I248" s="1011"/>
      <c r="J248" s="1"/>
      <c r="K248" s="1"/>
      <c r="L248"/>
      <c r="M248" s="1"/>
      <c r="N248" s="1"/>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row>
    <row r="249" spans="1:96" ht="12.75" customHeight="1" outlineLevel="2" x14ac:dyDescent="0.2">
      <c r="A249"/>
      <c r="B249" s="1395"/>
      <c r="C249" s="1002"/>
      <c r="D249" s="1003"/>
      <c r="E249" s="1003"/>
      <c r="F249" s="1003"/>
      <c r="G249" s="1004"/>
      <c r="H249" s="1003" t="s">
        <v>1369</v>
      </c>
      <c r="I249" s="1011"/>
      <c r="J249" s="1"/>
      <c r="K249" s="1"/>
      <c r="L249"/>
      <c r="M249" s="1"/>
      <c r="N249" s="1"/>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row>
    <row r="250" spans="1:96" ht="12.75" customHeight="1" outlineLevel="2" x14ac:dyDescent="0.2">
      <c r="A250"/>
      <c r="B250" s="1395"/>
      <c r="C250" s="1002"/>
      <c r="D250" s="1003"/>
      <c r="E250" s="1003"/>
      <c r="F250" s="1003"/>
      <c r="G250" s="1004"/>
      <c r="H250" s="1003" t="s">
        <v>1370</v>
      </c>
      <c r="I250" s="1011"/>
      <c r="J250" s="1"/>
      <c r="K250" s="1"/>
      <c r="L250"/>
      <c r="M250" s="1"/>
      <c r="N250" s="1"/>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row>
    <row r="251" spans="1:96" ht="12.75" customHeight="1" outlineLevel="2" x14ac:dyDescent="0.2">
      <c r="A251"/>
      <c r="B251" s="1395"/>
      <c r="C251" s="1002"/>
      <c r="D251" s="1003"/>
      <c r="E251" s="1003"/>
      <c r="F251" s="1003"/>
      <c r="G251" s="1004"/>
      <c r="H251" s="1003" t="s">
        <v>1371</v>
      </c>
      <c r="I251" s="1011"/>
      <c r="J251" s="1"/>
      <c r="K251" s="1"/>
      <c r="L251"/>
      <c r="M251" s="1"/>
      <c r="N251" s="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row>
    <row r="252" spans="1:96" ht="12.75" customHeight="1" outlineLevel="2" x14ac:dyDescent="0.2">
      <c r="A252"/>
      <c r="B252" s="1395"/>
      <c r="C252" s="1002"/>
      <c r="D252" s="1003"/>
      <c r="E252" s="1003"/>
      <c r="F252" s="1003"/>
      <c r="G252" s="1004"/>
      <c r="H252" s="1003" t="s">
        <v>1372</v>
      </c>
      <c r="I252" s="1011"/>
      <c r="J252" s="1"/>
      <c r="K252" s="1"/>
      <c r="L252"/>
      <c r="M252" s="1"/>
      <c r="N252" s="1"/>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row>
    <row r="253" spans="1:96" outlineLevel="1" x14ac:dyDescent="0.2">
      <c r="A253"/>
      <c r="B253" s="1395">
        <f>C253*1000000+D253*1000+E253</f>
        <v>2032</v>
      </c>
      <c r="C253" s="1002">
        <v>0</v>
      </c>
      <c r="D253" s="1003">
        <v>2</v>
      </c>
      <c r="E253" s="1003">
        <v>32</v>
      </c>
      <c r="F253" s="1003" t="s">
        <v>1373</v>
      </c>
      <c r="G253" s="1004"/>
      <c r="H253" s="1003" t="s">
        <v>1258</v>
      </c>
      <c r="I253" s="1011"/>
      <c r="J253" s="1"/>
      <c r="K253" s="1"/>
      <c r="L253"/>
      <c r="M253" s="1"/>
      <c r="N253" s="1"/>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row>
    <row r="254" spans="1:96" ht="12.75" customHeight="1" outlineLevel="2" x14ac:dyDescent="0.2">
      <c r="A254"/>
      <c r="B254" s="1395"/>
      <c r="C254" s="1002"/>
      <c r="D254" s="1003"/>
      <c r="E254" s="1003"/>
      <c r="F254" s="1003" t="s">
        <v>1374</v>
      </c>
      <c r="G254" s="1004"/>
      <c r="H254" s="1003" t="s">
        <v>1375</v>
      </c>
      <c r="I254" s="1011"/>
      <c r="J254" s="1"/>
      <c r="K254" s="1"/>
      <c r="L254"/>
      <c r="M254" s="1"/>
      <c r="N254" s="1"/>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row>
    <row r="255" spans="1:96" ht="12.75" customHeight="1" outlineLevel="2" x14ac:dyDescent="0.2">
      <c r="A255"/>
      <c r="B255" s="1395"/>
      <c r="C255" s="1002"/>
      <c r="D255" s="1003"/>
      <c r="E255" s="1003"/>
      <c r="F255" s="1003"/>
      <c r="G255" s="1004"/>
      <c r="H255" s="1003" t="s">
        <v>1376</v>
      </c>
      <c r="I255" s="1011"/>
      <c r="J255" s="1"/>
      <c r="K255" s="1"/>
      <c r="L255"/>
      <c r="M255" s="1"/>
      <c r="N255" s="1"/>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row>
    <row r="256" spans="1:96" ht="12.75" customHeight="1" outlineLevel="2" x14ac:dyDescent="0.2">
      <c r="A256"/>
      <c r="B256" s="1395"/>
      <c r="C256" s="1002"/>
      <c r="D256" s="1003"/>
      <c r="E256" s="1003"/>
      <c r="F256" s="1003"/>
      <c r="G256" s="1004"/>
      <c r="H256" s="1003" t="s">
        <v>1377</v>
      </c>
      <c r="I256" s="1011"/>
      <c r="J256" s="1"/>
      <c r="K256" s="1"/>
      <c r="L256"/>
      <c r="M256" s="1"/>
      <c r="N256" s="1"/>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row>
    <row r="257" spans="1:96" ht="12.75" customHeight="1" outlineLevel="2" x14ac:dyDescent="0.2">
      <c r="A257"/>
      <c r="B257" s="1395"/>
      <c r="C257" s="1002"/>
      <c r="D257" s="1003"/>
      <c r="E257" s="1003"/>
      <c r="F257" s="1003"/>
      <c r="G257" s="1004"/>
      <c r="H257" s="1003" t="s">
        <v>1378</v>
      </c>
      <c r="I257" s="1011"/>
      <c r="J257" s="1"/>
      <c r="K257" s="1"/>
      <c r="L257"/>
      <c r="M257" s="1"/>
      <c r="N257" s="1"/>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row>
    <row r="258" spans="1:96" ht="12.75" customHeight="1" outlineLevel="2" x14ac:dyDescent="0.2">
      <c r="A258"/>
      <c r="B258" s="1395"/>
      <c r="C258" s="1002"/>
      <c r="D258" s="1003"/>
      <c r="E258" s="1003"/>
      <c r="F258" s="1003"/>
      <c r="G258" s="1004"/>
      <c r="H258" s="1003" t="s">
        <v>1379</v>
      </c>
      <c r="I258" s="1011"/>
      <c r="J258" s="1"/>
      <c r="K258" s="1"/>
      <c r="L258"/>
      <c r="M258" s="1"/>
      <c r="N258" s="1"/>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row>
    <row r="259" spans="1:96" ht="12.75" customHeight="1" outlineLevel="2" x14ac:dyDescent="0.2">
      <c r="A259"/>
      <c r="B259" s="1395"/>
      <c r="C259" s="1002"/>
      <c r="D259" s="1003"/>
      <c r="E259" s="1003"/>
      <c r="F259" s="1003"/>
      <c r="G259" s="1004"/>
      <c r="H259" s="1003" t="s">
        <v>1380</v>
      </c>
      <c r="I259" s="1011"/>
      <c r="J259" s="1"/>
      <c r="K259" s="1"/>
      <c r="L259"/>
      <c r="M259" s="1"/>
      <c r="N259" s="1"/>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row>
    <row r="260" spans="1:96" ht="12.75" customHeight="1" outlineLevel="2" x14ac:dyDescent="0.2">
      <c r="A260"/>
      <c r="B260" s="1395"/>
      <c r="C260" s="1002"/>
      <c r="D260" s="1003"/>
      <c r="E260" s="1003"/>
      <c r="F260" s="1003"/>
      <c r="G260" s="1004"/>
      <c r="H260" s="1003" t="s">
        <v>1381</v>
      </c>
      <c r="I260" s="1011"/>
      <c r="J260" s="1"/>
      <c r="K260" s="1"/>
      <c r="L260"/>
      <c r="M260" s="1"/>
      <c r="N260" s="1"/>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row>
    <row r="261" spans="1:96" ht="12.75" customHeight="1" outlineLevel="2" x14ac:dyDescent="0.2">
      <c r="A261"/>
      <c r="B261" s="1395"/>
      <c r="C261" s="1002"/>
      <c r="D261" s="1003"/>
      <c r="E261" s="1003"/>
      <c r="F261" s="1003"/>
      <c r="G261" s="1004"/>
      <c r="H261" s="1003" t="s">
        <v>1365</v>
      </c>
      <c r="I261" s="1011"/>
      <c r="J261" s="1"/>
      <c r="K261" s="1"/>
      <c r="L261"/>
      <c r="M261" s="1"/>
      <c r="N261" s="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row>
    <row r="262" spans="1:96" ht="12.75" customHeight="1" outlineLevel="2" x14ac:dyDescent="0.2">
      <c r="A262"/>
      <c r="B262" s="1395"/>
      <c r="C262" s="1002"/>
      <c r="D262" s="1003"/>
      <c r="E262" s="1003"/>
      <c r="F262" s="1003"/>
      <c r="G262" s="1004"/>
      <c r="H262" s="1003" t="s">
        <v>1366</v>
      </c>
      <c r="I262" s="1011"/>
      <c r="J262" s="1"/>
      <c r="K262" s="1"/>
      <c r="L262"/>
      <c r="M262" s="1"/>
      <c r="N262" s="1"/>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row>
    <row r="263" spans="1:96" ht="12.75" customHeight="1" outlineLevel="2" x14ac:dyDescent="0.2">
      <c r="A263"/>
      <c r="B263" s="1395"/>
      <c r="C263" s="1002"/>
      <c r="D263" s="1003"/>
      <c r="E263" s="1003"/>
      <c r="F263" s="1003"/>
      <c r="G263" s="1004"/>
      <c r="H263" s="1003" t="s">
        <v>1367</v>
      </c>
      <c r="I263" s="1011"/>
      <c r="J263" s="1"/>
      <c r="K263" s="1"/>
      <c r="L263"/>
      <c r="M263" s="1"/>
      <c r="N263" s="1"/>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row>
    <row r="264" spans="1:96" ht="12.75" customHeight="1" outlineLevel="2" x14ac:dyDescent="0.2">
      <c r="A264"/>
      <c r="B264" s="1395"/>
      <c r="C264" s="1002"/>
      <c r="D264" s="1003"/>
      <c r="E264" s="1003"/>
      <c r="F264" s="1003"/>
      <c r="G264" s="1004"/>
      <c r="H264" s="1003" t="s">
        <v>1368</v>
      </c>
      <c r="I264" s="1011"/>
      <c r="J264" s="1"/>
      <c r="K264" s="1"/>
      <c r="L264"/>
      <c r="M264" s="1"/>
      <c r="N264" s="1"/>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row>
    <row r="265" spans="1:96" ht="12.75" customHeight="1" outlineLevel="2" x14ac:dyDescent="0.2">
      <c r="A265"/>
      <c r="B265" s="1395"/>
      <c r="C265" s="1002"/>
      <c r="D265" s="1003"/>
      <c r="E265" s="1003"/>
      <c r="F265" s="1003"/>
      <c r="G265" s="1004"/>
      <c r="H265" s="1003" t="s">
        <v>1369</v>
      </c>
      <c r="I265" s="1011"/>
      <c r="J265" s="1"/>
      <c r="K265" s="1"/>
      <c r="L265"/>
      <c r="M265" s="1"/>
      <c r="N265" s="1"/>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row>
    <row r="266" spans="1:96" ht="12.75" customHeight="1" outlineLevel="2" x14ac:dyDescent="0.2">
      <c r="A266"/>
      <c r="B266" s="1395"/>
      <c r="C266" s="1002"/>
      <c r="D266" s="1003"/>
      <c r="E266" s="1003"/>
      <c r="F266" s="1003"/>
      <c r="G266" s="1004"/>
      <c r="H266" s="1003" t="s">
        <v>1370</v>
      </c>
      <c r="I266" s="1011"/>
      <c r="J266" s="1"/>
      <c r="K266" s="1"/>
      <c r="L266"/>
      <c r="M266" s="1"/>
      <c r="N266" s="1"/>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row>
    <row r="267" spans="1:96" ht="12.75" customHeight="1" outlineLevel="2" x14ac:dyDescent="0.2">
      <c r="A267"/>
      <c r="B267" s="1395"/>
      <c r="C267" s="1002"/>
      <c r="D267" s="1003"/>
      <c r="E267" s="1003"/>
      <c r="F267" s="1003"/>
      <c r="G267" s="1004"/>
      <c r="H267" s="1003" t="s">
        <v>1371</v>
      </c>
      <c r="I267" s="1011"/>
      <c r="J267" s="1"/>
      <c r="K267" s="1"/>
      <c r="L267"/>
      <c r="M267" s="1"/>
      <c r="N267" s="1"/>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row>
    <row r="268" spans="1:96" ht="12.75" customHeight="1" outlineLevel="2" x14ac:dyDescent="0.2">
      <c r="A268"/>
      <c r="B268" s="1395"/>
      <c r="C268" s="1002"/>
      <c r="D268" s="1003"/>
      <c r="E268" s="1003"/>
      <c r="F268" s="1003"/>
      <c r="G268" s="1004"/>
      <c r="H268" s="1003" t="s">
        <v>1259</v>
      </c>
      <c r="I268" s="1011"/>
      <c r="J268" s="1"/>
      <c r="K268" s="1"/>
      <c r="L268"/>
      <c r="M268" s="1"/>
      <c r="N268" s="1"/>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row>
    <row r="269" spans="1:96" outlineLevel="1" x14ac:dyDescent="0.2">
      <c r="A269"/>
      <c r="B269" s="1395">
        <f>C269*1000000+D269*1000+E269</f>
        <v>4032</v>
      </c>
      <c r="C269" s="1002">
        <v>0</v>
      </c>
      <c r="D269" s="1003">
        <v>4</v>
      </c>
      <c r="E269" s="1003">
        <v>32</v>
      </c>
      <c r="F269" s="1003" t="s">
        <v>1382</v>
      </c>
      <c r="G269" s="1004"/>
      <c r="H269" s="1003" t="s">
        <v>1239</v>
      </c>
      <c r="I269" s="1011"/>
      <c r="J269" s="1"/>
      <c r="K269" s="1"/>
      <c r="L269"/>
      <c r="M269" s="1"/>
      <c r="N269" s="1"/>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row>
    <row r="270" spans="1:96" ht="12.75" customHeight="1" outlineLevel="2" x14ac:dyDescent="0.2">
      <c r="A270"/>
      <c r="B270" s="1395"/>
      <c r="C270" s="1002"/>
      <c r="D270" s="1003"/>
      <c r="E270" s="1003"/>
      <c r="F270" s="1003" t="s">
        <v>1383</v>
      </c>
      <c r="G270" s="1004"/>
      <c r="H270" s="1003" t="s">
        <v>1375</v>
      </c>
      <c r="I270" s="1011"/>
      <c r="J270" s="1"/>
      <c r="K270" s="1"/>
      <c r="L270"/>
      <c r="M270" s="1"/>
      <c r="N270" s="1"/>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row>
    <row r="271" spans="1:96" ht="12.75" customHeight="1" outlineLevel="2" x14ac:dyDescent="0.2">
      <c r="A271"/>
      <c r="B271" s="1395"/>
      <c r="C271" s="1002"/>
      <c r="D271" s="1003"/>
      <c r="E271" s="1003"/>
      <c r="F271" s="1003" t="s">
        <v>1384</v>
      </c>
      <c r="G271" s="1004"/>
      <c r="H271" s="1003" t="s">
        <v>1376</v>
      </c>
      <c r="I271" s="1011"/>
      <c r="J271" s="1"/>
      <c r="K271" s="1"/>
      <c r="L271"/>
      <c r="M271" s="1"/>
      <c r="N271" s="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row>
    <row r="272" spans="1:96" ht="12.75" customHeight="1" outlineLevel="2" x14ac:dyDescent="0.2">
      <c r="A272"/>
      <c r="B272" s="1395"/>
      <c r="C272" s="1002"/>
      <c r="D272" s="1003"/>
      <c r="E272" s="1003"/>
      <c r="F272" s="1003" t="s">
        <v>1385</v>
      </c>
      <c r="G272" s="1004"/>
      <c r="H272" s="1003" t="s">
        <v>1377</v>
      </c>
      <c r="I272" s="1011"/>
      <c r="J272" s="1"/>
      <c r="K272" s="1"/>
      <c r="L272"/>
      <c r="M272" s="1"/>
      <c r="N272" s="1"/>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row>
    <row r="273" spans="1:96" ht="12.75" customHeight="1" outlineLevel="2" x14ac:dyDescent="0.2">
      <c r="A273"/>
      <c r="B273" s="1395"/>
      <c r="C273" s="1002"/>
      <c r="D273" s="1003"/>
      <c r="E273" s="1003"/>
      <c r="F273" s="1003"/>
      <c r="G273" s="1004"/>
      <c r="H273" s="1003" t="s">
        <v>1378</v>
      </c>
      <c r="I273" s="1011"/>
      <c r="J273" s="1"/>
      <c r="K273" s="1"/>
      <c r="L273"/>
      <c r="M273" s="1"/>
      <c r="N273" s="1"/>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row>
    <row r="274" spans="1:96" ht="12.75" customHeight="1" outlineLevel="2" x14ac:dyDescent="0.2">
      <c r="A274"/>
      <c r="B274" s="1395"/>
      <c r="C274" s="1002"/>
      <c r="D274" s="1003"/>
      <c r="E274" s="1003"/>
      <c r="F274" s="1003"/>
      <c r="G274" s="1004"/>
      <c r="H274" s="1003" t="s">
        <v>1379</v>
      </c>
      <c r="I274" s="1011"/>
      <c r="J274" s="1"/>
      <c r="K274" s="1"/>
      <c r="L274"/>
      <c r="M274" s="1"/>
      <c r="N274" s="1"/>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row>
    <row r="275" spans="1:96" ht="12.75" customHeight="1" outlineLevel="2" x14ac:dyDescent="0.2">
      <c r="A275"/>
      <c r="B275" s="1395"/>
      <c r="C275" s="1002"/>
      <c r="D275" s="1003"/>
      <c r="E275" s="1003"/>
      <c r="F275" s="1003"/>
      <c r="G275" s="1004"/>
      <c r="H275" s="1003" t="s">
        <v>1380</v>
      </c>
      <c r="I275" s="1011"/>
      <c r="J275" s="1"/>
      <c r="K275" s="1"/>
      <c r="L275"/>
      <c r="M275" s="1"/>
      <c r="N275" s="1"/>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row>
    <row r="276" spans="1:96" ht="12.75" customHeight="1" outlineLevel="2" x14ac:dyDescent="0.2">
      <c r="A276"/>
      <c r="B276" s="1395"/>
      <c r="C276" s="1002"/>
      <c r="D276" s="1003"/>
      <c r="E276" s="1003"/>
      <c r="F276" s="1003"/>
      <c r="G276" s="1004"/>
      <c r="H276" s="1003" t="s">
        <v>1240</v>
      </c>
      <c r="I276" s="1011"/>
      <c r="J276" s="1"/>
      <c r="K276" s="1"/>
      <c r="L276"/>
      <c r="M276" s="1"/>
      <c r="N276" s="1"/>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row>
    <row r="277" spans="1:96" ht="12.75" customHeight="1" outlineLevel="2" x14ac:dyDescent="0.2">
      <c r="A277"/>
      <c r="B277" s="1395"/>
      <c r="C277" s="1002"/>
      <c r="D277" s="1003"/>
      <c r="E277" s="1003"/>
      <c r="F277" s="1003"/>
      <c r="G277" s="1004"/>
      <c r="H277" s="1003" t="s">
        <v>1241</v>
      </c>
      <c r="I277" s="1011"/>
      <c r="J277" s="1"/>
      <c r="K277" s="1"/>
      <c r="L277"/>
      <c r="M277" s="1"/>
      <c r="N277" s="1"/>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row>
    <row r="278" spans="1:96" ht="12.75" customHeight="1" outlineLevel="2" x14ac:dyDescent="0.2">
      <c r="A278"/>
      <c r="B278" s="1395"/>
      <c r="C278" s="1002"/>
      <c r="D278" s="1003"/>
      <c r="E278" s="1003"/>
      <c r="F278" s="1003"/>
      <c r="G278" s="1004"/>
      <c r="H278" s="1003" t="s">
        <v>1386</v>
      </c>
      <c r="I278" s="1011"/>
      <c r="J278" s="1"/>
      <c r="K278" s="1"/>
      <c r="L278"/>
      <c r="M278" s="1"/>
      <c r="N278" s="1"/>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row>
    <row r="279" spans="1:96" ht="12.75" customHeight="1" outlineLevel="2" x14ac:dyDescent="0.2">
      <c r="A279"/>
      <c r="B279" s="1395"/>
      <c r="C279" s="1002"/>
      <c r="D279" s="1003"/>
      <c r="E279" s="1003"/>
      <c r="F279" s="1003"/>
      <c r="G279" s="1004"/>
      <c r="H279" s="1003" t="s">
        <v>1387</v>
      </c>
      <c r="I279" s="1011"/>
      <c r="J279" s="1"/>
      <c r="K279" s="1"/>
      <c r="L279"/>
      <c r="M279" s="1"/>
      <c r="N279" s="1"/>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row>
    <row r="280" spans="1:96" ht="12.75" customHeight="1" outlineLevel="2" x14ac:dyDescent="0.2">
      <c r="A280"/>
      <c r="B280" s="1395"/>
      <c r="C280" s="1002"/>
      <c r="D280" s="1003"/>
      <c r="E280" s="1003"/>
      <c r="F280" s="1003"/>
      <c r="G280" s="1004"/>
      <c r="H280" s="1003" t="s">
        <v>1388</v>
      </c>
      <c r="I280" s="1011"/>
      <c r="J280" s="1"/>
      <c r="K280" s="1"/>
      <c r="L280"/>
      <c r="M280" s="1"/>
      <c r="N280" s="1"/>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row>
    <row r="281" spans="1:96" ht="12.75" customHeight="1" outlineLevel="2" x14ac:dyDescent="0.2">
      <c r="A281"/>
      <c r="B281" s="1395"/>
      <c r="C281" s="1002"/>
      <c r="D281" s="1003"/>
      <c r="E281" s="1003"/>
      <c r="F281" s="1003"/>
      <c r="G281" s="1004"/>
      <c r="H281" s="1003" t="s">
        <v>1389</v>
      </c>
      <c r="I281" s="1011"/>
      <c r="J281" s="1"/>
      <c r="K281" s="1"/>
      <c r="L281"/>
      <c r="M281" s="1"/>
      <c r="N281" s="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row>
    <row r="282" spans="1:96" ht="12.75" customHeight="1" outlineLevel="2" x14ac:dyDescent="0.2">
      <c r="A282"/>
      <c r="B282" s="1395"/>
      <c r="C282" s="1002"/>
      <c r="D282" s="1003"/>
      <c r="E282" s="1003"/>
      <c r="F282" s="1003"/>
      <c r="G282" s="1004"/>
      <c r="H282" s="1003" t="s">
        <v>1390</v>
      </c>
      <c r="I282" s="1011"/>
      <c r="J282" s="1"/>
      <c r="K282" s="1"/>
      <c r="L282"/>
      <c r="M282" s="1"/>
      <c r="N282" s="1"/>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row>
    <row r="283" spans="1:96" ht="12.75" customHeight="1" outlineLevel="2" x14ac:dyDescent="0.2">
      <c r="A283"/>
      <c r="B283" s="1395"/>
      <c r="C283" s="1002"/>
      <c r="D283" s="1003"/>
      <c r="E283" s="1003"/>
      <c r="F283" s="1003"/>
      <c r="G283" s="1004"/>
      <c r="H283" s="1003" t="s">
        <v>1391</v>
      </c>
      <c r="I283" s="1011"/>
      <c r="J283" s="1"/>
      <c r="K283" s="1"/>
      <c r="L283"/>
      <c r="M283" s="1"/>
      <c r="N283" s="1"/>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row>
    <row r="284" spans="1:96" ht="12.75" customHeight="1" outlineLevel="2" x14ac:dyDescent="0.2">
      <c r="A284"/>
      <c r="B284" s="1395"/>
      <c r="C284" s="1002"/>
      <c r="D284" s="1003"/>
      <c r="E284" s="1003"/>
      <c r="F284" s="1003"/>
      <c r="G284" s="1004"/>
      <c r="H284" s="1003" t="s">
        <v>1242</v>
      </c>
      <c r="I284" s="1011"/>
      <c r="J284" s="1"/>
      <c r="K284" s="1"/>
      <c r="L284"/>
      <c r="M284" s="1"/>
      <c r="N284" s="1"/>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row>
    <row r="285" spans="1:96" outlineLevel="1" x14ac:dyDescent="0.2">
      <c r="A285"/>
      <c r="B285" s="1395">
        <f>C285*1000000+D285*1000+E285</f>
        <v>6032</v>
      </c>
      <c r="C285" s="1002">
        <v>0</v>
      </c>
      <c r="D285" s="1003">
        <v>6</v>
      </c>
      <c r="E285" s="1003">
        <v>32</v>
      </c>
      <c r="F285" s="1003" t="s">
        <v>1392</v>
      </c>
      <c r="G285" s="1004"/>
      <c r="H285" s="1003" t="s">
        <v>1274</v>
      </c>
      <c r="I285" s="1011"/>
      <c r="J285" s="1"/>
      <c r="K285" s="1"/>
      <c r="L285"/>
      <c r="M285" s="1"/>
      <c r="N285" s="1"/>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row>
    <row r="286" spans="1:96" ht="12.75" customHeight="1" outlineLevel="2" x14ac:dyDescent="0.2">
      <c r="A286"/>
      <c r="B286" s="1395"/>
      <c r="C286" s="1002"/>
      <c r="D286" s="1003"/>
      <c r="E286" s="1003"/>
      <c r="F286" s="1003" t="s">
        <v>1393</v>
      </c>
      <c r="G286" s="1004"/>
      <c r="H286" s="1003" t="s">
        <v>1375</v>
      </c>
      <c r="I286" s="1011"/>
      <c r="J286" s="1"/>
      <c r="K286" s="1"/>
      <c r="L286"/>
      <c r="M286" s="1"/>
      <c r="N286" s="1"/>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row>
    <row r="287" spans="1:96" ht="12.75" customHeight="1" outlineLevel="2" x14ac:dyDescent="0.2">
      <c r="A287"/>
      <c r="B287" s="1395"/>
      <c r="C287" s="1002"/>
      <c r="D287" s="1003"/>
      <c r="E287" s="1003"/>
      <c r="F287" s="1003" t="s">
        <v>1394</v>
      </c>
      <c r="G287" s="1004"/>
      <c r="H287" s="1003" t="s">
        <v>1376</v>
      </c>
      <c r="I287" s="1011"/>
      <c r="J287" s="1"/>
      <c r="K287" s="1"/>
      <c r="L287"/>
      <c r="M287" s="1"/>
      <c r="N287" s="1"/>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row>
    <row r="288" spans="1:96" ht="12.75" customHeight="1" outlineLevel="2" x14ac:dyDescent="0.2">
      <c r="A288"/>
      <c r="B288" s="1395"/>
      <c r="C288" s="1002"/>
      <c r="D288" s="1003"/>
      <c r="E288" s="1003"/>
      <c r="F288" s="1003" t="s">
        <v>1395</v>
      </c>
      <c r="G288" s="1004"/>
      <c r="H288" s="1003" t="s">
        <v>1377</v>
      </c>
      <c r="I288" s="1011"/>
      <c r="J288" s="1"/>
      <c r="K288" s="1"/>
      <c r="L288"/>
      <c r="M288" s="1"/>
      <c r="N288" s="1"/>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row>
    <row r="289" spans="1:96" ht="12.75" customHeight="1" outlineLevel="2" x14ac:dyDescent="0.2">
      <c r="A289"/>
      <c r="B289" s="1395"/>
      <c r="C289" s="1002"/>
      <c r="D289" s="1003"/>
      <c r="E289" s="1003"/>
      <c r="F289" s="1003" t="s">
        <v>1396</v>
      </c>
      <c r="G289" s="1004"/>
      <c r="H289" s="1003" t="s">
        <v>1275</v>
      </c>
      <c r="I289" s="1011"/>
      <c r="J289" s="1"/>
      <c r="K289" s="1"/>
      <c r="L289"/>
      <c r="M289" s="1"/>
      <c r="N289" s="1"/>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row>
    <row r="290" spans="1:96" ht="12.75" customHeight="1" outlineLevel="2" x14ac:dyDescent="0.2">
      <c r="A290"/>
      <c r="B290" s="1395"/>
      <c r="C290" s="1002"/>
      <c r="D290" s="1003"/>
      <c r="E290" s="1003"/>
      <c r="F290" s="1003" t="s">
        <v>1397</v>
      </c>
      <c r="G290" s="1004"/>
      <c r="H290" s="1003" t="s">
        <v>1379</v>
      </c>
      <c r="I290" s="1011"/>
      <c r="J290" s="1"/>
      <c r="K290" s="1"/>
      <c r="L290"/>
      <c r="M290" s="1"/>
      <c r="N290" s="1"/>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row>
    <row r="291" spans="1:96" ht="12.75" customHeight="1" outlineLevel="2" x14ac:dyDescent="0.2">
      <c r="A291"/>
      <c r="B291" s="1395"/>
      <c r="C291" s="1002"/>
      <c r="D291" s="1003"/>
      <c r="E291" s="1003"/>
      <c r="F291" s="1003"/>
      <c r="G291" s="1004"/>
      <c r="H291" s="1003" t="s">
        <v>1380</v>
      </c>
      <c r="I291" s="1011"/>
      <c r="J291" s="1"/>
      <c r="K291" s="1"/>
      <c r="L291"/>
      <c r="M291" s="1"/>
      <c r="N291" s="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row>
    <row r="292" spans="1:96" ht="12.75" customHeight="1" outlineLevel="2" x14ac:dyDescent="0.2">
      <c r="A292"/>
      <c r="B292" s="1395"/>
      <c r="C292" s="1002"/>
      <c r="D292" s="1003"/>
      <c r="E292" s="1003"/>
      <c r="F292" s="1003"/>
      <c r="G292" s="1004"/>
      <c r="H292" s="1003" t="s">
        <v>1398</v>
      </c>
      <c r="I292" s="1011"/>
      <c r="J292" s="1"/>
      <c r="K292" s="1"/>
      <c r="L292"/>
      <c r="M292" s="1"/>
      <c r="N292" s="1"/>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row>
    <row r="293" spans="1:96" ht="12.75" customHeight="1" outlineLevel="2" x14ac:dyDescent="0.2">
      <c r="A293"/>
      <c r="B293" s="1395"/>
      <c r="C293" s="1002"/>
      <c r="D293" s="1003"/>
      <c r="E293" s="1003"/>
      <c r="F293" s="1003"/>
      <c r="G293" s="1004"/>
      <c r="H293" s="1003" t="s">
        <v>1399</v>
      </c>
      <c r="I293" s="1011"/>
      <c r="J293" s="1"/>
      <c r="K293" s="1"/>
      <c r="L293"/>
      <c r="M293" s="1"/>
      <c r="N293" s="1"/>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row>
    <row r="294" spans="1:96" ht="12.75" customHeight="1" outlineLevel="2" x14ac:dyDescent="0.2">
      <c r="A294"/>
      <c r="B294" s="1395"/>
      <c r="C294" s="1002"/>
      <c r="D294" s="1003"/>
      <c r="E294" s="1003"/>
      <c r="F294" s="1003"/>
      <c r="G294" s="1004"/>
      <c r="H294" s="1003" t="s">
        <v>1400</v>
      </c>
      <c r="I294" s="1011"/>
      <c r="J294" s="1"/>
      <c r="K294" s="1"/>
      <c r="L294"/>
      <c r="M294" s="1"/>
      <c r="N294" s="1"/>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row>
    <row r="295" spans="1:96" ht="12.75" customHeight="1" outlineLevel="2" x14ac:dyDescent="0.2">
      <c r="A295"/>
      <c r="B295" s="1395"/>
      <c r="C295" s="1002"/>
      <c r="D295" s="1003"/>
      <c r="E295" s="1003"/>
      <c r="F295" s="1003"/>
      <c r="G295" s="1004"/>
      <c r="H295" s="1003" t="s">
        <v>1401</v>
      </c>
      <c r="I295" s="1011"/>
      <c r="J295" s="1"/>
      <c r="K295" s="1"/>
      <c r="L295"/>
      <c r="M295" s="1"/>
      <c r="N295" s="1"/>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row>
    <row r="296" spans="1:96" ht="12.75" customHeight="1" outlineLevel="2" x14ac:dyDescent="0.2">
      <c r="A296"/>
      <c r="B296" s="1395"/>
      <c r="C296" s="1002"/>
      <c r="D296" s="1003"/>
      <c r="E296" s="1003"/>
      <c r="F296" s="1003"/>
      <c r="G296" s="1004"/>
      <c r="H296" s="1003" t="s">
        <v>1402</v>
      </c>
      <c r="I296" s="1011"/>
      <c r="J296" s="1"/>
      <c r="K296" s="1"/>
      <c r="L296"/>
      <c r="M296" s="1"/>
      <c r="N296" s="1"/>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row>
    <row r="297" spans="1:96" ht="12.75" customHeight="1" outlineLevel="2" x14ac:dyDescent="0.2">
      <c r="A297"/>
      <c r="B297" s="1395"/>
      <c r="C297" s="1002"/>
      <c r="D297" s="1003"/>
      <c r="E297" s="1003"/>
      <c r="F297" s="1003"/>
      <c r="G297" s="1004"/>
      <c r="H297" s="1003" t="s">
        <v>1403</v>
      </c>
      <c r="I297" s="1011"/>
      <c r="J297" s="1"/>
      <c r="K297" s="1"/>
      <c r="L297"/>
      <c r="M297" s="1"/>
      <c r="N297" s="1"/>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row>
    <row r="298" spans="1:96" ht="12.75" customHeight="1" outlineLevel="2" x14ac:dyDescent="0.2">
      <c r="A298"/>
      <c r="B298" s="1395"/>
      <c r="C298" s="1002"/>
      <c r="D298" s="1003"/>
      <c r="E298" s="1003"/>
      <c r="F298" s="1003"/>
      <c r="G298" s="1004"/>
      <c r="H298" s="1003" t="s">
        <v>1404</v>
      </c>
      <c r="I298" s="1011"/>
      <c r="J298" s="1"/>
      <c r="K298" s="1"/>
      <c r="L298"/>
      <c r="M298" s="1"/>
      <c r="N298" s="1"/>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row>
    <row r="299" spans="1:96" ht="12.75" customHeight="1" outlineLevel="2" x14ac:dyDescent="0.2">
      <c r="A299"/>
      <c r="B299" s="1395"/>
      <c r="C299" s="1002"/>
      <c r="D299" s="1003"/>
      <c r="E299" s="1003"/>
      <c r="F299" s="1003"/>
      <c r="G299" s="1004"/>
      <c r="H299" s="1003" t="s">
        <v>1391</v>
      </c>
      <c r="I299" s="1011"/>
      <c r="J299" s="1"/>
      <c r="K299" s="1"/>
      <c r="L299"/>
      <c r="M299" s="1"/>
      <c r="N299" s="1"/>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row>
    <row r="300" spans="1:96" ht="12.75" customHeight="1" outlineLevel="2" x14ac:dyDescent="0.2">
      <c r="A300"/>
      <c r="B300" s="1395"/>
      <c r="C300" s="1002"/>
      <c r="D300" s="1003"/>
      <c r="E300" s="1003"/>
      <c r="F300" s="1003"/>
      <c r="G300" s="1004"/>
      <c r="H300" s="1003" t="s">
        <v>1279</v>
      </c>
      <c r="I300" s="1011"/>
      <c r="J300" s="1"/>
      <c r="K300" s="1"/>
      <c r="L300"/>
      <c r="M300" s="1"/>
      <c r="N300" s="1"/>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row>
    <row r="301" spans="1:96" outlineLevel="1" x14ac:dyDescent="0.2">
      <c r="A301"/>
      <c r="B301" s="1395">
        <f>C301*1000000+D301*1000+E301</f>
        <v>8032</v>
      </c>
      <c r="C301" s="1002">
        <v>0</v>
      </c>
      <c r="D301" s="1003">
        <v>8</v>
      </c>
      <c r="E301" s="1003">
        <v>32</v>
      </c>
      <c r="F301" s="1003" t="s">
        <v>1405</v>
      </c>
      <c r="G301" s="1004"/>
      <c r="H301" s="1003" t="s">
        <v>1413</v>
      </c>
      <c r="I301" s="1011"/>
      <c r="J301" s="1"/>
      <c r="K301" s="1"/>
      <c r="L301"/>
      <c r="M301" s="1"/>
      <c r="N301" s="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row>
    <row r="302" spans="1:96" ht="12.75" customHeight="1" outlineLevel="2" x14ac:dyDescent="0.2">
      <c r="A302"/>
      <c r="B302" s="1395"/>
      <c r="C302" s="1002"/>
      <c r="D302" s="1003"/>
      <c r="E302" s="1003"/>
      <c r="F302" s="1003" t="s">
        <v>1406</v>
      </c>
      <c r="G302" s="1004"/>
      <c r="H302" s="1003" t="s">
        <v>1375</v>
      </c>
      <c r="I302" s="1011"/>
      <c r="J302" s="1"/>
      <c r="K302" s="1"/>
      <c r="L302"/>
      <c r="M302" s="1"/>
      <c r="N302" s="1"/>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row>
    <row r="303" spans="1:96" ht="12.75" customHeight="1" outlineLevel="2" x14ac:dyDescent="0.2">
      <c r="A303"/>
      <c r="B303" s="1395"/>
      <c r="C303" s="1002"/>
      <c r="D303" s="1003"/>
      <c r="E303" s="1003"/>
      <c r="F303" s="1003" t="s">
        <v>1407</v>
      </c>
      <c r="G303" s="1004"/>
      <c r="H303" s="1003" t="s">
        <v>1414</v>
      </c>
      <c r="I303" s="1011"/>
      <c r="J303" s="1"/>
      <c r="K303" s="1"/>
      <c r="L303"/>
      <c r="M303" s="1"/>
      <c r="N303" s="1"/>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row>
    <row r="304" spans="1:96" ht="12.75" customHeight="1" outlineLevel="2" x14ac:dyDescent="0.2">
      <c r="A304"/>
      <c r="B304" s="1395"/>
      <c r="C304" s="1002"/>
      <c r="D304" s="1003"/>
      <c r="E304" s="1003"/>
      <c r="F304" s="1003" t="s">
        <v>1408</v>
      </c>
      <c r="G304" s="1004"/>
      <c r="H304" s="1003" t="s">
        <v>1415</v>
      </c>
      <c r="I304" s="1011"/>
      <c r="J304" s="1"/>
      <c r="K304" s="1"/>
      <c r="L304"/>
      <c r="M304" s="1"/>
      <c r="N304" s="1"/>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row>
    <row r="305" spans="1:96" ht="12.75" customHeight="1" outlineLevel="2" x14ac:dyDescent="0.2">
      <c r="A305"/>
      <c r="B305" s="1395"/>
      <c r="C305" s="1002"/>
      <c r="D305" s="1003"/>
      <c r="E305" s="1003"/>
      <c r="F305" s="1003" t="s">
        <v>1409</v>
      </c>
      <c r="G305" s="1004"/>
      <c r="H305" s="1003" t="s">
        <v>1416</v>
      </c>
      <c r="I305" s="1011"/>
      <c r="J305" s="1"/>
      <c r="K305" s="1"/>
      <c r="L305"/>
      <c r="M305" s="1"/>
      <c r="N305" s="1"/>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row>
    <row r="306" spans="1:96" ht="12.75" customHeight="1" outlineLevel="2" x14ac:dyDescent="0.2">
      <c r="A306"/>
      <c r="B306" s="1395"/>
      <c r="C306" s="1002"/>
      <c r="D306" s="1003"/>
      <c r="E306" s="1003"/>
      <c r="F306" s="1003" t="s">
        <v>1410</v>
      </c>
      <c r="G306" s="1004"/>
      <c r="H306" s="1003" t="s">
        <v>1417</v>
      </c>
      <c r="I306" s="1011"/>
      <c r="J306" s="1"/>
      <c r="K306" s="1"/>
      <c r="L306"/>
      <c r="M306" s="1"/>
      <c r="N306" s="1"/>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row>
    <row r="307" spans="1:96" ht="12.75" customHeight="1" outlineLevel="2" x14ac:dyDescent="0.2">
      <c r="A307"/>
      <c r="B307" s="1395"/>
      <c r="C307" s="1002"/>
      <c r="D307" s="1003"/>
      <c r="E307" s="1003"/>
      <c r="F307" s="1003" t="s">
        <v>1411</v>
      </c>
      <c r="G307" s="1004"/>
      <c r="H307" s="1003" t="s">
        <v>1418</v>
      </c>
      <c r="I307" s="1011"/>
      <c r="J307" s="1"/>
      <c r="K307" s="1"/>
      <c r="L307"/>
      <c r="M307" s="1"/>
      <c r="N307" s="1"/>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row>
    <row r="308" spans="1:96" ht="12.75" customHeight="1" outlineLevel="2" x14ac:dyDescent="0.2">
      <c r="A308"/>
      <c r="B308" s="1395"/>
      <c r="C308" s="1002"/>
      <c r="D308" s="1003"/>
      <c r="E308" s="1003"/>
      <c r="F308" s="1003" t="s">
        <v>1412</v>
      </c>
      <c r="G308" s="1004"/>
      <c r="H308" s="1003" t="s">
        <v>1419</v>
      </c>
      <c r="I308" s="1011"/>
      <c r="J308" s="1"/>
      <c r="K308" s="1"/>
      <c r="L308"/>
      <c r="M308" s="1"/>
      <c r="N308" s="1"/>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row>
    <row r="309" spans="1:96" ht="12.75" customHeight="1" outlineLevel="2" x14ac:dyDescent="0.2">
      <c r="A309"/>
      <c r="B309" s="1395"/>
      <c r="C309" s="1002"/>
      <c r="D309" s="1003"/>
      <c r="E309" s="1003"/>
      <c r="F309" s="1003"/>
      <c r="G309" s="1004"/>
      <c r="H309" s="1003" t="s">
        <v>1420</v>
      </c>
      <c r="I309" s="1011"/>
      <c r="J309" s="1"/>
      <c r="K309" s="1"/>
      <c r="L309"/>
      <c r="M309" s="1"/>
      <c r="N309" s="1"/>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row>
    <row r="310" spans="1:96" ht="12.75" customHeight="1" outlineLevel="2" x14ac:dyDescent="0.2">
      <c r="A310"/>
      <c r="B310" s="1395"/>
      <c r="C310" s="1002"/>
      <c r="D310" s="1003"/>
      <c r="E310" s="1003"/>
      <c r="F310" s="1003"/>
      <c r="G310" s="1004"/>
      <c r="H310" s="1003" t="s">
        <v>1400</v>
      </c>
      <c r="I310" s="1011"/>
      <c r="J310" s="1"/>
      <c r="K310" s="1"/>
      <c r="L310"/>
      <c r="M310" s="1"/>
      <c r="N310" s="1"/>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row>
    <row r="311" spans="1:96" ht="12.75" customHeight="1" outlineLevel="2" x14ac:dyDescent="0.2">
      <c r="A311"/>
      <c r="B311" s="1395"/>
      <c r="C311" s="1002"/>
      <c r="D311" s="1003"/>
      <c r="E311" s="1003"/>
      <c r="F311" s="1003"/>
      <c r="G311" s="1004"/>
      <c r="H311" s="1003" t="s">
        <v>1401</v>
      </c>
      <c r="I311" s="1011"/>
      <c r="J311" s="1"/>
      <c r="K311" s="1"/>
      <c r="L311"/>
      <c r="M311" s="1"/>
      <c r="N311" s="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row>
    <row r="312" spans="1:96" ht="12.75" customHeight="1" outlineLevel="2" x14ac:dyDescent="0.2">
      <c r="A312"/>
      <c r="B312" s="1395"/>
      <c r="C312" s="1002"/>
      <c r="D312" s="1003"/>
      <c r="E312" s="1003"/>
      <c r="F312" s="1003"/>
      <c r="G312" s="1004"/>
      <c r="H312" s="1003" t="s">
        <v>1421</v>
      </c>
      <c r="I312" s="1011"/>
      <c r="J312" s="1"/>
      <c r="K312" s="1"/>
      <c r="L312"/>
      <c r="M312" s="1"/>
      <c r="N312" s="1"/>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row>
    <row r="313" spans="1:96" ht="12.75" customHeight="1" outlineLevel="2" x14ac:dyDescent="0.2">
      <c r="A313"/>
      <c r="B313" s="1395"/>
      <c r="C313" s="1002"/>
      <c r="D313" s="1003"/>
      <c r="E313" s="1003"/>
      <c r="F313" s="1003"/>
      <c r="G313" s="1004"/>
      <c r="H313" s="1003" t="s">
        <v>1422</v>
      </c>
      <c r="I313" s="1011"/>
      <c r="J313" s="1"/>
      <c r="K313" s="1"/>
      <c r="L313"/>
      <c r="M313" s="1"/>
      <c r="N313" s="1"/>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row>
    <row r="314" spans="1:96" ht="12.75" customHeight="1" outlineLevel="2" x14ac:dyDescent="0.2">
      <c r="A314"/>
      <c r="B314" s="1395"/>
      <c r="C314" s="1002"/>
      <c r="D314" s="1003"/>
      <c r="E314" s="1003"/>
      <c r="F314" s="1003"/>
      <c r="G314" s="1004"/>
      <c r="H314" s="1003" t="s">
        <v>1423</v>
      </c>
      <c r="I314" s="1011"/>
      <c r="J314" s="1"/>
      <c r="K314" s="1"/>
      <c r="L314"/>
      <c r="M314" s="1"/>
      <c r="N314" s="1"/>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row>
    <row r="315" spans="1:96" ht="12.75" customHeight="1" outlineLevel="2" x14ac:dyDescent="0.2">
      <c r="A315"/>
      <c r="B315" s="1395"/>
      <c r="C315" s="1002"/>
      <c r="D315" s="1003"/>
      <c r="E315" s="1003"/>
      <c r="F315" s="1003"/>
      <c r="G315" s="1004"/>
      <c r="H315" s="1003" t="s">
        <v>1391</v>
      </c>
      <c r="I315" s="1011"/>
      <c r="J315" s="1"/>
      <c r="K315" s="1"/>
      <c r="L315"/>
      <c r="M315" s="1"/>
      <c r="N315" s="1"/>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row>
    <row r="316" spans="1:96" ht="12.75" customHeight="1" outlineLevel="2" x14ac:dyDescent="0.2">
      <c r="A316"/>
      <c r="B316" s="1395"/>
      <c r="C316" s="1002"/>
      <c r="D316" s="1003"/>
      <c r="E316" s="1003"/>
      <c r="F316" s="1003"/>
      <c r="G316" s="1004"/>
      <c r="H316" s="1003" t="s">
        <v>1424</v>
      </c>
      <c r="I316" s="1011"/>
      <c r="J316" s="1"/>
      <c r="K316" s="1"/>
      <c r="L316"/>
      <c r="M316" s="1"/>
      <c r="N316" s="1"/>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row>
    <row r="317" spans="1:96" outlineLevel="1" x14ac:dyDescent="0.2">
      <c r="A317"/>
      <c r="B317" s="1395">
        <f>C317*1000000+D317*1000+E317</f>
        <v>10032</v>
      </c>
      <c r="C317" s="1002">
        <v>0</v>
      </c>
      <c r="D317" s="1003">
        <v>10</v>
      </c>
      <c r="E317" s="1003">
        <v>32</v>
      </c>
      <c r="F317" s="1003" t="s">
        <v>1425</v>
      </c>
      <c r="G317" s="1004"/>
      <c r="H317" s="1003" t="s">
        <v>1316</v>
      </c>
      <c r="I317" s="1011"/>
      <c r="J317" s="1"/>
      <c r="K317" s="1"/>
      <c r="L317"/>
      <c r="M317" s="1"/>
      <c r="N317" s="1"/>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row>
    <row r="318" spans="1:96" ht="12.75" customHeight="1" outlineLevel="2" x14ac:dyDescent="0.2">
      <c r="A318"/>
      <c r="B318" s="1395"/>
      <c r="C318" s="1002"/>
      <c r="D318" s="1003"/>
      <c r="E318" s="1003"/>
      <c r="F318" s="1003" t="s">
        <v>1426</v>
      </c>
      <c r="G318" s="1004"/>
      <c r="H318" s="1003" t="s">
        <v>1375</v>
      </c>
      <c r="I318" s="1011"/>
      <c r="J318" s="1"/>
      <c r="K318" s="1"/>
      <c r="L318"/>
      <c r="M318" s="1"/>
      <c r="N318" s="1"/>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row>
    <row r="319" spans="1:96" ht="12.75" customHeight="1" outlineLevel="2" x14ac:dyDescent="0.2">
      <c r="A319"/>
      <c r="B319" s="1395"/>
      <c r="C319" s="1002"/>
      <c r="D319" s="1003"/>
      <c r="E319" s="1003"/>
      <c r="F319" s="1003" t="s">
        <v>1427</v>
      </c>
      <c r="G319" s="1004"/>
      <c r="H319" s="1003" t="s">
        <v>1435</v>
      </c>
      <c r="I319" s="1011"/>
      <c r="J319" s="1"/>
      <c r="K319" s="1"/>
      <c r="L319"/>
      <c r="M319" s="1"/>
      <c r="N319" s="1"/>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row>
    <row r="320" spans="1:96" ht="12.75" customHeight="1" outlineLevel="2" x14ac:dyDescent="0.2">
      <c r="A320"/>
      <c r="B320" s="1395"/>
      <c r="C320" s="1002"/>
      <c r="D320" s="1003"/>
      <c r="E320" s="1003"/>
      <c r="F320" s="1003" t="s">
        <v>1428</v>
      </c>
      <c r="G320" s="1004"/>
      <c r="H320" s="1003" t="s">
        <v>1436</v>
      </c>
      <c r="I320" s="1011"/>
      <c r="J320" s="1"/>
      <c r="K320" s="1"/>
      <c r="L320"/>
      <c r="M320" s="1"/>
      <c r="N320" s="1"/>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row>
    <row r="321" spans="1:96" ht="12.75" customHeight="1" outlineLevel="2" x14ac:dyDescent="0.2">
      <c r="A321"/>
      <c r="B321" s="1395"/>
      <c r="C321" s="1002"/>
      <c r="D321" s="1003"/>
      <c r="E321" s="1003"/>
      <c r="F321" s="1003" t="s">
        <v>1429</v>
      </c>
      <c r="G321" s="1004"/>
      <c r="H321" s="1003" t="s">
        <v>1317</v>
      </c>
      <c r="I321" s="1011"/>
      <c r="J321" s="1"/>
      <c r="K321" s="1"/>
      <c r="L321"/>
      <c r="M321" s="1"/>
      <c r="N321" s="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row>
    <row r="322" spans="1:96" ht="12.75" customHeight="1" outlineLevel="2" x14ac:dyDescent="0.2">
      <c r="A322"/>
      <c r="B322" s="1395"/>
      <c r="C322" s="1002"/>
      <c r="D322" s="1003"/>
      <c r="E322" s="1003"/>
      <c r="F322" s="1003" t="s">
        <v>1430</v>
      </c>
      <c r="G322" s="1004"/>
      <c r="H322" s="1003" t="s">
        <v>1437</v>
      </c>
      <c r="I322" s="1011"/>
      <c r="J322" s="1"/>
      <c r="K322" s="1"/>
      <c r="L322"/>
      <c r="M322" s="1"/>
      <c r="N322" s="1"/>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row>
    <row r="323" spans="1:96" ht="12.75" customHeight="1" outlineLevel="2" x14ac:dyDescent="0.2">
      <c r="A323"/>
      <c r="B323" s="1395"/>
      <c r="C323" s="1002"/>
      <c r="D323" s="1003"/>
      <c r="E323" s="1003"/>
      <c r="F323" s="1003" t="s">
        <v>1431</v>
      </c>
      <c r="G323" s="1004"/>
      <c r="H323" s="1003" t="s">
        <v>1418</v>
      </c>
      <c r="I323" s="1011"/>
      <c r="J323" s="1"/>
      <c r="K323" s="1"/>
      <c r="L323"/>
      <c r="M323" s="1"/>
      <c r="N323" s="1"/>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row>
    <row r="324" spans="1:96" ht="12.75" customHeight="1" outlineLevel="2" x14ac:dyDescent="0.2">
      <c r="A324"/>
      <c r="B324" s="1395"/>
      <c r="C324" s="1002"/>
      <c r="D324" s="1003"/>
      <c r="E324" s="1003"/>
      <c r="F324" s="1003" t="s">
        <v>1432</v>
      </c>
      <c r="G324" s="1004"/>
      <c r="H324" s="1003" t="s">
        <v>1318</v>
      </c>
      <c r="I324" s="1011"/>
      <c r="J324" s="1"/>
      <c r="K324" s="1"/>
      <c r="L324"/>
      <c r="M324" s="1"/>
      <c r="N324" s="1"/>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row>
    <row r="325" spans="1:96" ht="12.75" customHeight="1" outlineLevel="2" x14ac:dyDescent="0.2">
      <c r="A325"/>
      <c r="B325" s="1395"/>
      <c r="C325" s="1002"/>
      <c r="D325" s="1003"/>
      <c r="E325" s="1003"/>
      <c r="F325" s="1003" t="s">
        <v>1433</v>
      </c>
      <c r="G325" s="1004"/>
      <c r="H325" s="1003" t="s">
        <v>1319</v>
      </c>
      <c r="I325" s="1011"/>
      <c r="J325" s="1"/>
      <c r="K325" s="1"/>
      <c r="L325"/>
      <c r="M325" s="1"/>
      <c r="N325" s="1"/>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row>
    <row r="326" spans="1:96" ht="12.75" customHeight="1" outlineLevel="2" x14ac:dyDescent="0.2">
      <c r="A326"/>
      <c r="B326" s="1395"/>
      <c r="C326" s="1002"/>
      <c r="D326" s="1003"/>
      <c r="E326" s="1003"/>
      <c r="F326" s="1003" t="s">
        <v>1434</v>
      </c>
      <c r="G326" s="1004"/>
      <c r="H326" s="1003" t="s">
        <v>1400</v>
      </c>
      <c r="I326" s="1011"/>
      <c r="J326" s="1"/>
      <c r="K326" s="1"/>
      <c r="L326"/>
      <c r="M326" s="1"/>
      <c r="N326" s="1"/>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row>
    <row r="327" spans="1:96" ht="12.75" customHeight="1" outlineLevel="2" x14ac:dyDescent="0.2">
      <c r="A327"/>
      <c r="B327" s="1395"/>
      <c r="C327" s="1002"/>
      <c r="D327" s="1003"/>
      <c r="E327" s="1003"/>
      <c r="F327" s="1003"/>
      <c r="G327" s="1004"/>
      <c r="H327" s="1003" t="s">
        <v>1401</v>
      </c>
      <c r="I327" s="1011"/>
      <c r="J327" s="1"/>
      <c r="K327" s="1"/>
      <c r="L327"/>
      <c r="M327" s="1"/>
      <c r="N327" s="1"/>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row>
    <row r="328" spans="1:96" ht="12.75" customHeight="1" outlineLevel="2" x14ac:dyDescent="0.2">
      <c r="A328"/>
      <c r="B328" s="1395"/>
      <c r="C328" s="1002"/>
      <c r="D328" s="1003"/>
      <c r="E328" s="1003"/>
      <c r="F328" s="1003"/>
      <c r="G328" s="1004"/>
      <c r="H328" s="1003" t="s">
        <v>1320</v>
      </c>
      <c r="I328" s="1011"/>
      <c r="J328" s="1"/>
      <c r="K328" s="1"/>
      <c r="L328"/>
      <c r="M328" s="1"/>
      <c r="N328" s="1"/>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row>
    <row r="329" spans="1:96" ht="12.75" customHeight="1" outlineLevel="2" x14ac:dyDescent="0.2">
      <c r="A329"/>
      <c r="B329" s="1395"/>
      <c r="C329" s="1002"/>
      <c r="D329" s="1003"/>
      <c r="E329" s="1003"/>
      <c r="F329" s="1003"/>
      <c r="G329" s="1004"/>
      <c r="H329" s="1003" t="s">
        <v>1438</v>
      </c>
      <c r="I329" s="1011"/>
      <c r="J329" s="1"/>
      <c r="K329" s="1"/>
      <c r="L329"/>
      <c r="M329" s="1"/>
      <c r="N329" s="1"/>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row>
    <row r="330" spans="1:96" ht="12.75" customHeight="1" outlineLevel="2" x14ac:dyDescent="0.2">
      <c r="A330"/>
      <c r="B330" s="1395"/>
      <c r="C330" s="1002"/>
      <c r="D330" s="1003"/>
      <c r="E330" s="1003"/>
      <c r="F330" s="1003"/>
      <c r="G330" s="1004"/>
      <c r="H330" s="1003" t="s">
        <v>1404</v>
      </c>
      <c r="I330" s="1011"/>
      <c r="J330" s="1"/>
      <c r="K330" s="1"/>
      <c r="L330"/>
      <c r="M330" s="1"/>
      <c r="N330" s="1"/>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row>
    <row r="331" spans="1:96" ht="12.75" customHeight="1" outlineLevel="2" x14ac:dyDescent="0.2">
      <c r="A331"/>
      <c r="B331" s="1395"/>
      <c r="C331" s="1002"/>
      <c r="D331" s="1003"/>
      <c r="E331" s="1003"/>
      <c r="F331" s="1003"/>
      <c r="G331" s="1004"/>
      <c r="H331" s="1003" t="s">
        <v>1391</v>
      </c>
      <c r="I331" s="1011"/>
      <c r="J331" s="1"/>
      <c r="K331" s="1"/>
      <c r="L331"/>
      <c r="M331" s="1"/>
      <c r="N331" s="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row>
    <row r="332" spans="1:96" ht="12.75" customHeight="1" outlineLevel="2" x14ac:dyDescent="0.2">
      <c r="A332"/>
      <c r="B332" s="1395"/>
      <c r="C332" s="1002"/>
      <c r="D332" s="1003"/>
      <c r="E332" s="1003"/>
      <c r="F332" s="1003"/>
      <c r="G332" s="1004"/>
      <c r="H332" s="1003" t="s">
        <v>1321</v>
      </c>
      <c r="I332" s="1011"/>
      <c r="J332" s="1"/>
      <c r="K332" s="1"/>
      <c r="L332"/>
      <c r="M332" s="1"/>
      <c r="N332" s="1"/>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row>
    <row r="333" spans="1:96" outlineLevel="1" x14ac:dyDescent="0.2">
      <c r="A333"/>
      <c r="B333" s="1395">
        <f>C333*1000000+D333*1000+E333</f>
        <v>12032</v>
      </c>
      <c r="C333" s="1002">
        <v>0</v>
      </c>
      <c r="D333" s="1003">
        <v>12</v>
      </c>
      <c r="E333" s="1003">
        <v>32</v>
      </c>
      <c r="F333" s="1003" t="s">
        <v>1439</v>
      </c>
      <c r="G333" s="1004"/>
      <c r="H333" s="1003" t="s">
        <v>1332</v>
      </c>
      <c r="I333" s="1011"/>
      <c r="J333" s="1"/>
      <c r="K333" s="1"/>
      <c r="L333"/>
      <c r="M333" s="1"/>
      <c r="N333" s="1"/>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row>
    <row r="334" spans="1:96" ht="12.75" customHeight="1" outlineLevel="2" x14ac:dyDescent="0.2">
      <c r="A334"/>
      <c r="B334" s="1395"/>
      <c r="C334" s="1002"/>
      <c r="D334" s="1003"/>
      <c r="E334" s="1003"/>
      <c r="F334" s="1003" t="s">
        <v>1440</v>
      </c>
      <c r="G334" s="1004"/>
      <c r="H334" s="1003" t="s">
        <v>1375</v>
      </c>
      <c r="I334" s="1011"/>
      <c r="J334" s="1"/>
      <c r="K334" s="1"/>
      <c r="L334"/>
      <c r="M334" s="1"/>
      <c r="N334" s="1"/>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row>
    <row r="335" spans="1:96" ht="12.75" customHeight="1" outlineLevel="2" x14ac:dyDescent="0.2">
      <c r="A335"/>
      <c r="B335" s="1395"/>
      <c r="C335" s="1002"/>
      <c r="D335" s="1003"/>
      <c r="E335" s="1003"/>
      <c r="F335" s="1003" t="s">
        <v>1441</v>
      </c>
      <c r="G335" s="1004"/>
      <c r="H335" s="1003" t="s">
        <v>1451</v>
      </c>
      <c r="I335" s="1011"/>
      <c r="J335" s="1"/>
      <c r="K335" s="1"/>
      <c r="L335"/>
      <c r="M335" s="1"/>
      <c r="N335" s="1"/>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row>
    <row r="336" spans="1:96" ht="12.75" customHeight="1" outlineLevel="2" x14ac:dyDescent="0.2">
      <c r="A336"/>
      <c r="B336" s="1395"/>
      <c r="C336" s="1002"/>
      <c r="D336" s="1003"/>
      <c r="E336" s="1003"/>
      <c r="F336" s="1003" t="s">
        <v>1442</v>
      </c>
      <c r="G336" s="1004"/>
      <c r="H336" s="1003" t="s">
        <v>1452</v>
      </c>
      <c r="I336" s="1011"/>
      <c r="J336" s="1"/>
      <c r="K336" s="1"/>
      <c r="L336"/>
      <c r="M336" s="1"/>
      <c r="N336" s="1"/>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row>
    <row r="337" spans="1:96" ht="12.75" customHeight="1" outlineLevel="2" x14ac:dyDescent="0.2">
      <c r="A337"/>
      <c r="B337" s="1395"/>
      <c r="C337" s="1002"/>
      <c r="D337" s="1003"/>
      <c r="E337" s="1003"/>
      <c r="F337" s="1003" t="s">
        <v>1443</v>
      </c>
      <c r="G337" s="1004"/>
      <c r="H337" s="1003" t="s">
        <v>1453</v>
      </c>
      <c r="I337" s="1011"/>
      <c r="J337" s="1"/>
      <c r="K337" s="1"/>
      <c r="L337"/>
      <c r="M337" s="1"/>
      <c r="N337" s="1"/>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row>
    <row r="338" spans="1:96" ht="12.75" customHeight="1" outlineLevel="2" x14ac:dyDescent="0.2">
      <c r="A338"/>
      <c r="B338" s="1395"/>
      <c r="C338" s="1002"/>
      <c r="D338" s="1003"/>
      <c r="E338" s="1003"/>
      <c r="F338" s="1003" t="s">
        <v>1444</v>
      </c>
      <c r="G338" s="1004"/>
      <c r="H338" s="1003" t="s">
        <v>1454</v>
      </c>
      <c r="I338" s="1011"/>
      <c r="J338" s="1"/>
      <c r="K338" s="1"/>
      <c r="L338"/>
      <c r="M338" s="1"/>
      <c r="N338" s="1"/>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row>
    <row r="339" spans="1:96" ht="12.75" customHeight="1" outlineLevel="2" x14ac:dyDescent="0.2">
      <c r="A339"/>
      <c r="B339" s="1395"/>
      <c r="C339" s="1002"/>
      <c r="D339" s="1003"/>
      <c r="E339" s="1003"/>
      <c r="F339" s="1003" t="s">
        <v>1445</v>
      </c>
      <c r="G339" s="1004"/>
      <c r="H339" s="1009" t="s">
        <v>1418</v>
      </c>
      <c r="I339" s="1011"/>
      <c r="J339" s="1"/>
      <c r="K339" s="1"/>
      <c r="L339"/>
      <c r="M339" s="1"/>
      <c r="N339" s="1"/>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row>
    <row r="340" spans="1:96" ht="12.75" customHeight="1" outlineLevel="2" x14ac:dyDescent="0.2">
      <c r="A340"/>
      <c r="B340" s="1395"/>
      <c r="C340" s="1002"/>
      <c r="D340" s="1003"/>
      <c r="E340" s="1003"/>
      <c r="F340" s="1003" t="s">
        <v>1446</v>
      </c>
      <c r="G340" s="1004"/>
      <c r="H340" s="1003" t="s">
        <v>1335</v>
      </c>
      <c r="I340" s="1011"/>
      <c r="J340" s="1"/>
      <c r="K340" s="1"/>
      <c r="L340"/>
      <c r="M340" s="1"/>
      <c r="N340" s="1"/>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row>
    <row r="341" spans="1:96" ht="12.75" customHeight="1" outlineLevel="2" x14ac:dyDescent="0.2">
      <c r="A341"/>
      <c r="B341" s="1395"/>
      <c r="C341" s="1002"/>
      <c r="D341" s="1003"/>
      <c r="E341" s="1003"/>
      <c r="F341" s="1003" t="s">
        <v>1447</v>
      </c>
      <c r="G341" s="1004"/>
      <c r="H341" s="1003" t="s">
        <v>1336</v>
      </c>
      <c r="I341" s="1011"/>
      <c r="J341" s="1"/>
      <c r="K341" s="1"/>
      <c r="L341"/>
      <c r="M341" s="1"/>
      <c r="N341" s="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row>
    <row r="342" spans="1:96" ht="12.75" customHeight="1" outlineLevel="2" x14ac:dyDescent="0.2">
      <c r="A342"/>
      <c r="B342" s="1395"/>
      <c r="C342" s="1002"/>
      <c r="D342" s="1003"/>
      <c r="E342" s="1003"/>
      <c r="F342" s="1003" t="s">
        <v>1448</v>
      </c>
      <c r="G342" s="1004"/>
      <c r="H342" s="1003" t="s">
        <v>1400</v>
      </c>
      <c r="I342" s="1011"/>
      <c r="J342" s="1"/>
      <c r="K342" s="1"/>
      <c r="L342"/>
      <c r="M342" s="1"/>
      <c r="N342" s="1"/>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row>
    <row r="343" spans="1:96" ht="12.75" customHeight="1" outlineLevel="2" x14ac:dyDescent="0.2">
      <c r="A343"/>
      <c r="B343" s="1395"/>
      <c r="C343" s="1002"/>
      <c r="D343" s="1003"/>
      <c r="E343" s="1003"/>
      <c r="F343" s="1003" t="s">
        <v>1449</v>
      </c>
      <c r="G343" s="1004"/>
      <c r="H343" s="1003" t="s">
        <v>1455</v>
      </c>
      <c r="I343" s="1011"/>
      <c r="J343" s="1"/>
      <c r="K343" s="1"/>
      <c r="L343"/>
      <c r="M343" s="1"/>
      <c r="N343" s="1"/>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row>
    <row r="344" spans="1:96" ht="12.75" customHeight="1" outlineLevel="2" x14ac:dyDescent="0.2">
      <c r="A344"/>
      <c r="B344" s="1395"/>
      <c r="C344" s="1002"/>
      <c r="D344" s="1003"/>
      <c r="E344" s="1003"/>
      <c r="F344" s="1003" t="s">
        <v>1450</v>
      </c>
      <c r="G344" s="1004"/>
      <c r="H344" s="1003" t="s">
        <v>1456</v>
      </c>
      <c r="I344" s="1011"/>
      <c r="J344" s="1"/>
      <c r="K344" s="1"/>
      <c r="L344"/>
      <c r="M344" s="1"/>
      <c r="N344" s="1"/>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row>
    <row r="345" spans="1:96" ht="12.75" customHeight="1" outlineLevel="2" x14ac:dyDescent="0.2">
      <c r="A345"/>
      <c r="B345" s="1395"/>
      <c r="C345" s="1002"/>
      <c r="D345" s="1003"/>
      <c r="E345" s="1003"/>
      <c r="F345" s="1003"/>
      <c r="G345" s="1004"/>
      <c r="H345" s="1003" t="s">
        <v>1457</v>
      </c>
      <c r="I345" s="1011"/>
      <c r="J345" s="1"/>
      <c r="K345" s="1"/>
      <c r="L345"/>
      <c r="M345" s="1"/>
      <c r="N345" s="1"/>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row>
    <row r="346" spans="1:96" ht="12.75" customHeight="1" outlineLevel="2" x14ac:dyDescent="0.2">
      <c r="A346"/>
      <c r="B346" s="1395"/>
      <c r="C346" s="1002"/>
      <c r="D346" s="1003"/>
      <c r="E346" s="1003"/>
      <c r="F346" s="1003"/>
      <c r="G346" s="1004"/>
      <c r="H346" s="1003" t="s">
        <v>1458</v>
      </c>
      <c r="I346" s="1011"/>
      <c r="J346" s="1"/>
      <c r="K346" s="1"/>
      <c r="L346"/>
      <c r="M346" s="1"/>
      <c r="N346" s="1"/>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row>
    <row r="347" spans="1:96" ht="12.75" customHeight="1" outlineLevel="2" x14ac:dyDescent="0.2">
      <c r="A347"/>
      <c r="B347" s="1395"/>
      <c r="C347" s="1002"/>
      <c r="D347" s="1003"/>
      <c r="E347" s="1003"/>
      <c r="F347" s="1003"/>
      <c r="G347" s="1004"/>
      <c r="H347" s="1003" t="s">
        <v>1391</v>
      </c>
      <c r="I347" s="1011"/>
      <c r="J347" s="1"/>
      <c r="K347" s="1"/>
      <c r="L347"/>
      <c r="M347" s="1"/>
      <c r="N347" s="1"/>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row>
    <row r="348" spans="1:96" ht="12.75" customHeight="1" outlineLevel="2" x14ac:dyDescent="0.2">
      <c r="A348"/>
      <c r="B348" s="1395"/>
      <c r="C348" s="1002"/>
      <c r="D348" s="1003"/>
      <c r="E348" s="1003"/>
      <c r="F348" s="1003"/>
      <c r="G348" s="1004"/>
      <c r="H348" s="1003" t="s">
        <v>1339</v>
      </c>
      <c r="I348" s="1011"/>
      <c r="J348" s="1"/>
      <c r="K348" s="1"/>
      <c r="L348"/>
      <c r="M348" s="1"/>
      <c r="N348" s="1"/>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row>
    <row r="349" spans="1:96" outlineLevel="1" x14ac:dyDescent="0.2">
      <c r="A349"/>
      <c r="B349" s="1395">
        <f>C349*1000000+D349*1000+E349</f>
        <v>14032</v>
      </c>
      <c r="C349" s="1002">
        <v>0</v>
      </c>
      <c r="D349" s="1003">
        <v>14</v>
      </c>
      <c r="E349" s="1003">
        <v>32</v>
      </c>
      <c r="F349" s="1003" t="s">
        <v>1459</v>
      </c>
      <c r="G349" s="1004"/>
      <c r="H349" s="1003" t="s">
        <v>1349</v>
      </c>
      <c r="I349" s="1011"/>
      <c r="J349" s="1"/>
      <c r="K349" s="1"/>
      <c r="L349"/>
      <c r="M349" s="1"/>
      <c r="N349" s="1"/>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row>
    <row r="350" spans="1:96" ht="12.75" customHeight="1" outlineLevel="2" x14ac:dyDescent="0.2">
      <c r="A350"/>
      <c r="B350" s="1395"/>
      <c r="C350" s="1002"/>
      <c r="D350" s="1003"/>
      <c r="E350" s="1003"/>
      <c r="F350" s="1003" t="s">
        <v>1460</v>
      </c>
      <c r="G350" s="1004"/>
      <c r="H350" s="1003" t="s">
        <v>1375</v>
      </c>
      <c r="I350" s="1011"/>
      <c r="J350" s="1"/>
      <c r="K350" s="1"/>
      <c r="L350"/>
      <c r="M350" s="1"/>
      <c r="N350" s="1"/>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row>
    <row r="351" spans="1:96" ht="12.75" customHeight="1" outlineLevel="2" x14ac:dyDescent="0.2">
      <c r="A351"/>
      <c r="B351" s="1395"/>
      <c r="C351" s="1002"/>
      <c r="D351" s="1003"/>
      <c r="E351" s="1003"/>
      <c r="F351" s="1003" t="s">
        <v>1461</v>
      </c>
      <c r="G351" s="1004"/>
      <c r="H351" s="1003" t="s">
        <v>1473</v>
      </c>
      <c r="I351" s="1011"/>
      <c r="J351" s="1"/>
      <c r="K351" s="1"/>
      <c r="L351"/>
      <c r="M351" s="1"/>
      <c r="N351" s="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row>
    <row r="352" spans="1:96" ht="12.75" customHeight="1" outlineLevel="2" x14ac:dyDescent="0.2">
      <c r="A352"/>
      <c r="B352" s="1395"/>
      <c r="C352" s="1002"/>
      <c r="D352" s="1003"/>
      <c r="E352" s="1003"/>
      <c r="F352" s="1003" t="s">
        <v>1462</v>
      </c>
      <c r="G352" s="1004"/>
      <c r="H352" s="1003" t="s">
        <v>1474</v>
      </c>
      <c r="I352" s="1011"/>
      <c r="J352" s="1"/>
      <c r="K352" s="1"/>
      <c r="L352"/>
      <c r="M352" s="1"/>
      <c r="N352" s="1"/>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row>
    <row r="353" spans="1:96" ht="12.75" customHeight="1" outlineLevel="2" x14ac:dyDescent="0.2">
      <c r="A353"/>
      <c r="B353" s="1395"/>
      <c r="C353" s="1002"/>
      <c r="D353" s="1003"/>
      <c r="E353" s="1003"/>
      <c r="F353" s="1003" t="s">
        <v>1463</v>
      </c>
      <c r="G353" s="1004"/>
      <c r="H353" s="1003" t="s">
        <v>1475</v>
      </c>
      <c r="I353" s="1011"/>
      <c r="J353" s="1"/>
      <c r="K353" s="1"/>
      <c r="L353"/>
      <c r="M353" s="1"/>
      <c r="N353" s="1"/>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row>
    <row r="354" spans="1:96" ht="12.75" customHeight="1" outlineLevel="2" x14ac:dyDescent="0.2">
      <c r="A354"/>
      <c r="B354" s="1395"/>
      <c r="C354" s="1002"/>
      <c r="D354" s="1003"/>
      <c r="E354" s="1003"/>
      <c r="F354" s="1003" t="s">
        <v>1464</v>
      </c>
      <c r="G354" s="1004"/>
      <c r="H354" s="1003" t="s">
        <v>1476</v>
      </c>
      <c r="I354" s="1011"/>
      <c r="J354" s="1"/>
      <c r="K354" s="1"/>
      <c r="L354"/>
      <c r="M354" s="1"/>
      <c r="N354" s="1"/>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row>
    <row r="355" spans="1:96" ht="12.75" customHeight="1" outlineLevel="2" x14ac:dyDescent="0.2">
      <c r="A355"/>
      <c r="B355" s="1395"/>
      <c r="C355" s="1002"/>
      <c r="D355" s="1003"/>
      <c r="E355" s="1003"/>
      <c r="F355" s="1003" t="s">
        <v>1465</v>
      </c>
      <c r="G355" s="1004"/>
      <c r="H355" s="1003" t="s">
        <v>1477</v>
      </c>
      <c r="I355" s="1011"/>
      <c r="J355" s="1"/>
      <c r="K355" s="1"/>
      <c r="L355"/>
      <c r="M355" s="1"/>
      <c r="N355" s="1"/>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row>
    <row r="356" spans="1:96" ht="12.75" customHeight="1" outlineLevel="2" x14ac:dyDescent="0.2">
      <c r="A356"/>
      <c r="B356" s="1395"/>
      <c r="C356" s="1002"/>
      <c r="D356" s="1003"/>
      <c r="E356" s="1003"/>
      <c r="F356" s="1003" t="s">
        <v>1466</v>
      </c>
      <c r="G356" s="1004"/>
      <c r="H356" s="1003" t="s">
        <v>1478</v>
      </c>
      <c r="I356" s="1011"/>
      <c r="J356" s="1"/>
      <c r="K356" s="1"/>
      <c r="L356"/>
      <c r="M356" s="1"/>
      <c r="N356" s="1"/>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row>
    <row r="357" spans="1:96" ht="12.75" customHeight="1" outlineLevel="2" x14ac:dyDescent="0.2">
      <c r="A357"/>
      <c r="B357" s="1395"/>
      <c r="C357" s="1002"/>
      <c r="D357" s="1003"/>
      <c r="E357" s="1003"/>
      <c r="F357" s="1003" t="s">
        <v>1467</v>
      </c>
      <c r="G357" s="1004"/>
      <c r="H357" s="1003" t="s">
        <v>1479</v>
      </c>
      <c r="I357" s="1011"/>
      <c r="J357" s="1"/>
      <c r="K357" s="1"/>
      <c r="L357"/>
      <c r="M357" s="1"/>
      <c r="N357" s="1"/>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row>
    <row r="358" spans="1:96" ht="12.75" customHeight="1" outlineLevel="2" x14ac:dyDescent="0.2">
      <c r="A358"/>
      <c r="B358" s="1395"/>
      <c r="C358" s="1002"/>
      <c r="D358" s="1003"/>
      <c r="E358" s="1003"/>
      <c r="F358" s="1003" t="s">
        <v>1468</v>
      </c>
      <c r="G358" s="1004"/>
      <c r="H358" s="1003" t="s">
        <v>1480</v>
      </c>
      <c r="I358" s="1011"/>
      <c r="J358" s="1"/>
      <c r="K358" s="1"/>
      <c r="L358"/>
      <c r="M358" s="1"/>
      <c r="N358" s="1"/>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row>
    <row r="359" spans="1:96" ht="12.75" customHeight="1" outlineLevel="2" x14ac:dyDescent="0.2">
      <c r="A359"/>
      <c r="B359" s="1395"/>
      <c r="C359" s="1002"/>
      <c r="D359" s="1003"/>
      <c r="E359" s="1003"/>
      <c r="F359" s="1003" t="s">
        <v>1469</v>
      </c>
      <c r="G359" s="1004"/>
      <c r="H359" s="1003" t="s">
        <v>1481</v>
      </c>
      <c r="I359" s="1011"/>
      <c r="J359" s="1"/>
      <c r="K359" s="1"/>
      <c r="L359"/>
      <c r="M359" s="1"/>
      <c r="N359" s="1"/>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row>
    <row r="360" spans="1:96" ht="12.75" customHeight="1" outlineLevel="2" x14ac:dyDescent="0.2">
      <c r="A360"/>
      <c r="B360" s="1395"/>
      <c r="C360" s="1002"/>
      <c r="D360" s="1003"/>
      <c r="E360" s="1003"/>
      <c r="F360" s="1003" t="s">
        <v>1470</v>
      </c>
      <c r="G360" s="1004"/>
      <c r="H360" s="1003" t="s">
        <v>1482</v>
      </c>
      <c r="I360" s="1011"/>
      <c r="J360" s="1"/>
      <c r="K360" s="1"/>
      <c r="L360"/>
      <c r="M360" s="1"/>
      <c r="N360" s="1"/>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row>
    <row r="361" spans="1:96" ht="12.75" customHeight="1" outlineLevel="2" x14ac:dyDescent="0.2">
      <c r="A361"/>
      <c r="B361" s="1395"/>
      <c r="C361" s="1002"/>
      <c r="D361" s="1003"/>
      <c r="E361" s="1003"/>
      <c r="F361" s="1003" t="s">
        <v>1471</v>
      </c>
      <c r="G361" s="1004"/>
      <c r="H361" s="1003" t="s">
        <v>1483</v>
      </c>
      <c r="I361" s="1011"/>
      <c r="J361" s="1"/>
      <c r="K361" s="1"/>
      <c r="L361"/>
      <c r="M361" s="1"/>
      <c r="N361" s="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row>
    <row r="362" spans="1:96" ht="12.75" customHeight="1" outlineLevel="2" x14ac:dyDescent="0.2">
      <c r="A362"/>
      <c r="B362" s="1395"/>
      <c r="C362" s="1002"/>
      <c r="D362" s="1003"/>
      <c r="E362" s="1003"/>
      <c r="F362" s="1003" t="s">
        <v>1472</v>
      </c>
      <c r="G362" s="1004"/>
      <c r="H362" s="1003" t="s">
        <v>1484</v>
      </c>
      <c r="I362" s="1011"/>
      <c r="J362" s="1"/>
      <c r="K362" s="1"/>
      <c r="L362"/>
      <c r="M362" s="1"/>
      <c r="N362" s="1"/>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row>
    <row r="363" spans="1:96" ht="12.75" customHeight="1" outlineLevel="2" x14ac:dyDescent="0.2">
      <c r="A363"/>
      <c r="B363" s="1395"/>
      <c r="C363" s="1002"/>
      <c r="D363" s="1003"/>
      <c r="E363" s="1003"/>
      <c r="F363" s="1003"/>
      <c r="G363" s="1004"/>
      <c r="H363" s="1003" t="s">
        <v>1391</v>
      </c>
      <c r="I363" s="1011"/>
      <c r="J363" s="1"/>
      <c r="K363" s="1"/>
      <c r="L363"/>
      <c r="M363" s="1"/>
      <c r="N363" s="1"/>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row>
    <row r="364" spans="1:96" ht="12.75" customHeight="1" outlineLevel="2" x14ac:dyDescent="0.2">
      <c r="A364"/>
      <c r="B364" s="1395"/>
      <c r="C364" s="1002"/>
      <c r="D364" s="1003"/>
      <c r="E364" s="1003"/>
      <c r="F364" s="1003"/>
      <c r="G364" s="1004"/>
      <c r="H364" s="1003" t="s">
        <v>1356</v>
      </c>
      <c r="I364" s="1011"/>
      <c r="J364" s="1"/>
      <c r="K364" s="1"/>
      <c r="L364"/>
      <c r="M364" s="1"/>
      <c r="N364" s="1"/>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row>
    <row r="365" spans="1:96" outlineLevel="1" x14ac:dyDescent="0.2">
      <c r="A365"/>
      <c r="B365" s="1395">
        <f>C365*1000000+D365*1000+E365</f>
        <v>16032</v>
      </c>
      <c r="C365" s="1002">
        <v>0</v>
      </c>
      <c r="D365" s="1003">
        <v>16</v>
      </c>
      <c r="E365" s="1003">
        <v>32</v>
      </c>
      <c r="F365" s="1003" t="s">
        <v>1485</v>
      </c>
      <c r="G365" s="1004"/>
      <c r="H365" s="1003" t="s">
        <v>1501</v>
      </c>
      <c r="I365" s="1011"/>
      <c r="J365" s="1"/>
      <c r="K365" s="1"/>
      <c r="L365"/>
      <c r="M365" s="1"/>
      <c r="N365" s="1"/>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row>
    <row r="366" spans="1:96" ht="12.75" customHeight="1" outlineLevel="2" x14ac:dyDescent="0.2">
      <c r="A366"/>
      <c r="B366" s="1395"/>
      <c r="C366" s="1002"/>
      <c r="D366" s="1003"/>
      <c r="E366" s="1003"/>
      <c r="F366" s="1003" t="s">
        <v>1486</v>
      </c>
      <c r="G366" s="1004"/>
      <c r="H366" s="1003" t="s">
        <v>1502</v>
      </c>
      <c r="I366" s="1011"/>
      <c r="J366" s="1"/>
      <c r="K366" s="1"/>
      <c r="L366"/>
      <c r="M366" s="1"/>
      <c r="N366" s="1"/>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row>
    <row r="367" spans="1:96" ht="12.75" customHeight="1" outlineLevel="2" x14ac:dyDescent="0.2">
      <c r="A367"/>
      <c r="B367" s="1395"/>
      <c r="C367" s="1002"/>
      <c r="D367" s="1003"/>
      <c r="E367" s="1003"/>
      <c r="F367" s="1003" t="s">
        <v>1487</v>
      </c>
      <c r="G367" s="1004"/>
      <c r="H367" s="1003" t="s">
        <v>1503</v>
      </c>
      <c r="I367" s="1011"/>
      <c r="J367" s="1"/>
      <c r="K367" s="1"/>
      <c r="L367"/>
      <c r="M367" s="1"/>
      <c r="N367" s="1"/>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row>
    <row r="368" spans="1:96" ht="12.75" customHeight="1" outlineLevel="2" x14ac:dyDescent="0.2">
      <c r="A368"/>
      <c r="B368" s="1395"/>
      <c r="C368" s="1002"/>
      <c r="D368" s="1003"/>
      <c r="E368" s="1003"/>
      <c r="F368" s="1003" t="s">
        <v>1488</v>
      </c>
      <c r="G368" s="1004"/>
      <c r="H368" s="1003" t="s">
        <v>1504</v>
      </c>
      <c r="I368" s="1011"/>
      <c r="J368" s="1"/>
      <c r="K368" s="1"/>
      <c r="L368"/>
      <c r="M368" s="1"/>
      <c r="N368" s="1"/>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row>
    <row r="369" spans="1:96" ht="12.75" customHeight="1" outlineLevel="2" x14ac:dyDescent="0.2">
      <c r="A369"/>
      <c r="B369" s="1395"/>
      <c r="C369" s="1002"/>
      <c r="D369" s="1003"/>
      <c r="E369" s="1003"/>
      <c r="F369" s="1003" t="s">
        <v>1489</v>
      </c>
      <c r="G369" s="1004"/>
      <c r="H369" s="1003" t="s">
        <v>1505</v>
      </c>
      <c r="I369" s="1011"/>
      <c r="J369" s="1"/>
      <c r="K369" s="1"/>
      <c r="L369"/>
      <c r="M369" s="1"/>
      <c r="N369" s="1"/>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row>
    <row r="370" spans="1:96" ht="12.75" customHeight="1" outlineLevel="2" x14ac:dyDescent="0.2">
      <c r="A370"/>
      <c r="B370" s="1395"/>
      <c r="C370" s="1002"/>
      <c r="D370" s="1003"/>
      <c r="E370" s="1003"/>
      <c r="F370" s="1003" t="s">
        <v>1490</v>
      </c>
      <c r="G370" s="1004"/>
      <c r="H370" s="1003" t="s">
        <v>1506</v>
      </c>
      <c r="I370" s="1011"/>
      <c r="J370" s="1"/>
      <c r="K370" s="1"/>
      <c r="L370"/>
      <c r="M370" s="1"/>
      <c r="N370" s="1"/>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row>
    <row r="371" spans="1:96" ht="12.75" customHeight="1" outlineLevel="2" x14ac:dyDescent="0.2">
      <c r="A371"/>
      <c r="B371" s="1395"/>
      <c r="C371" s="1002"/>
      <c r="D371" s="1003"/>
      <c r="E371" s="1003"/>
      <c r="F371" s="1003" t="s">
        <v>1491</v>
      </c>
      <c r="G371" s="1004"/>
      <c r="H371" s="1003" t="s">
        <v>1507</v>
      </c>
      <c r="I371" s="1011"/>
      <c r="J371" s="1"/>
      <c r="K371" s="1"/>
      <c r="L371"/>
      <c r="M371" s="1"/>
      <c r="N371" s="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row>
    <row r="372" spans="1:96" ht="12.75" customHeight="1" outlineLevel="2" x14ac:dyDescent="0.2">
      <c r="A372"/>
      <c r="B372" s="1395"/>
      <c r="C372" s="1002"/>
      <c r="D372" s="1003"/>
      <c r="E372" s="1003"/>
      <c r="F372" s="1003" t="s">
        <v>1492</v>
      </c>
      <c r="G372" s="1004"/>
      <c r="H372" s="1003" t="s">
        <v>1508</v>
      </c>
      <c r="I372" s="1011"/>
      <c r="J372" s="1"/>
      <c r="K372" s="1"/>
      <c r="L372"/>
      <c r="M372" s="1"/>
      <c r="N372" s="1"/>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row>
    <row r="373" spans="1:96" ht="12.75" customHeight="1" outlineLevel="2" x14ac:dyDescent="0.2">
      <c r="A373"/>
      <c r="B373" s="1395"/>
      <c r="C373" s="1002"/>
      <c r="D373" s="1003"/>
      <c r="E373" s="1003"/>
      <c r="F373" s="1003" t="s">
        <v>1493</v>
      </c>
      <c r="G373" s="1004"/>
      <c r="H373" s="1003" t="s">
        <v>1509</v>
      </c>
      <c r="I373" s="1011"/>
      <c r="J373" s="1"/>
      <c r="K373" s="1"/>
      <c r="L373"/>
      <c r="M373" s="1"/>
      <c r="N373" s="1"/>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row>
    <row r="374" spans="1:96" ht="12.75" customHeight="1" outlineLevel="2" x14ac:dyDescent="0.2">
      <c r="A374"/>
      <c r="B374" s="1395"/>
      <c r="C374" s="1002"/>
      <c r="D374" s="1003"/>
      <c r="E374" s="1003"/>
      <c r="F374" s="1003" t="s">
        <v>1494</v>
      </c>
      <c r="G374" s="1004"/>
      <c r="H374" s="1003" t="s">
        <v>1510</v>
      </c>
      <c r="I374" s="1011"/>
      <c r="J374" s="1"/>
      <c r="K374" s="1"/>
      <c r="L374"/>
      <c r="M374" s="1"/>
      <c r="N374" s="1"/>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row>
    <row r="375" spans="1:96" ht="12.75" customHeight="1" outlineLevel="2" x14ac:dyDescent="0.2">
      <c r="A375"/>
      <c r="B375" s="1395"/>
      <c r="C375" s="1002"/>
      <c r="D375" s="1003"/>
      <c r="E375" s="1003"/>
      <c r="F375" s="1003" t="s">
        <v>1495</v>
      </c>
      <c r="G375" s="1004"/>
      <c r="H375" s="1003" t="s">
        <v>1511</v>
      </c>
      <c r="I375" s="1011"/>
      <c r="J375" s="1"/>
      <c r="K375" s="1"/>
      <c r="L375"/>
      <c r="M375" s="1"/>
      <c r="N375" s="1"/>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row>
    <row r="376" spans="1:96" ht="12.75" customHeight="1" outlineLevel="2" x14ac:dyDescent="0.2">
      <c r="A376"/>
      <c r="B376" s="1395"/>
      <c r="C376" s="1002"/>
      <c r="D376" s="1003"/>
      <c r="E376" s="1003"/>
      <c r="F376" s="1003" t="s">
        <v>1496</v>
      </c>
      <c r="G376" s="1004"/>
      <c r="H376" s="1003" t="s">
        <v>1512</v>
      </c>
      <c r="I376" s="1011"/>
      <c r="J376" s="1"/>
      <c r="K376" s="1"/>
      <c r="L376"/>
      <c r="M376" s="1"/>
      <c r="N376" s="1"/>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row>
    <row r="377" spans="1:96" ht="12.75" customHeight="1" outlineLevel="2" x14ac:dyDescent="0.2">
      <c r="A377"/>
      <c r="B377" s="1395"/>
      <c r="C377" s="1002"/>
      <c r="D377" s="1003"/>
      <c r="E377" s="1003"/>
      <c r="F377" s="1003" t="s">
        <v>1497</v>
      </c>
      <c r="G377" s="1004"/>
      <c r="H377" s="1003" t="s">
        <v>1513</v>
      </c>
      <c r="I377" s="1011"/>
      <c r="J377" s="1"/>
      <c r="K377" s="1"/>
      <c r="L377"/>
      <c r="M377" s="1"/>
      <c r="N377" s="1"/>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row>
    <row r="378" spans="1:96" ht="12.75" customHeight="1" outlineLevel="2" x14ac:dyDescent="0.2">
      <c r="A378"/>
      <c r="B378" s="1395"/>
      <c r="C378" s="1002"/>
      <c r="D378" s="1003"/>
      <c r="E378" s="1003"/>
      <c r="F378" s="1003" t="s">
        <v>1498</v>
      </c>
      <c r="G378" s="1004"/>
      <c r="H378" s="1003" t="s">
        <v>1514</v>
      </c>
      <c r="I378" s="1011"/>
      <c r="J378" s="1"/>
      <c r="K378" s="1"/>
      <c r="L378"/>
      <c r="M378" s="1"/>
      <c r="N378" s="1"/>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row>
    <row r="379" spans="1:96" ht="12.75" customHeight="1" outlineLevel="2" x14ac:dyDescent="0.2">
      <c r="A379"/>
      <c r="B379" s="1395"/>
      <c r="C379" s="1002"/>
      <c r="D379" s="1003"/>
      <c r="E379" s="1003"/>
      <c r="F379" s="1003" t="s">
        <v>1499</v>
      </c>
      <c r="G379" s="1004"/>
      <c r="H379" s="1003" t="s">
        <v>1515</v>
      </c>
      <c r="I379" s="1011"/>
      <c r="J379" s="1"/>
      <c r="K379" s="1"/>
      <c r="L379"/>
      <c r="M379" s="1"/>
      <c r="N379" s="1"/>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row>
    <row r="380" spans="1:96" ht="12.75" customHeight="1" outlineLevel="2" x14ac:dyDescent="0.2">
      <c r="A380"/>
      <c r="B380" s="1395"/>
      <c r="C380" s="1002"/>
      <c r="D380" s="1003"/>
      <c r="E380" s="1003"/>
      <c r="F380" s="1003" t="s">
        <v>1500</v>
      </c>
      <c r="G380" s="1004"/>
      <c r="H380" s="1003" t="s">
        <v>1516</v>
      </c>
      <c r="I380" s="1011"/>
      <c r="J380" s="1"/>
      <c r="K380" s="1"/>
      <c r="L380"/>
      <c r="M380" s="1"/>
      <c r="N380" s="1"/>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row>
    <row r="381" spans="1:96" outlineLevel="1" x14ac:dyDescent="0.2">
      <c r="A381"/>
      <c r="B381" s="1395">
        <f>C381*1000000+D381*1000+E381</f>
        <v>18032</v>
      </c>
      <c r="C381" s="1002">
        <v>0</v>
      </c>
      <c r="D381" s="1003">
        <v>18</v>
      </c>
      <c r="E381" s="1003">
        <v>32</v>
      </c>
      <c r="F381" s="1003" t="s">
        <v>15023</v>
      </c>
      <c r="G381" s="1004"/>
      <c r="H381" s="1003" t="s">
        <v>15024</v>
      </c>
      <c r="I381" s="1011"/>
      <c r="J381" s="1"/>
      <c r="K381" s="1"/>
      <c r="L381"/>
      <c r="M381" s="1"/>
      <c r="N381" s="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row>
    <row r="382" spans="1:96" ht="12.75" customHeight="1" outlineLevel="2" x14ac:dyDescent="0.2">
      <c r="A382"/>
      <c r="B382" s="1395"/>
      <c r="C382" s="1002"/>
      <c r="D382" s="1003"/>
      <c r="E382" s="1003"/>
      <c r="F382" s="1003" t="s">
        <v>15025</v>
      </c>
      <c r="G382" s="1004"/>
      <c r="H382" s="1003" t="s">
        <v>15026</v>
      </c>
      <c r="I382" s="1011"/>
      <c r="J382" s="1"/>
      <c r="K382" s="1"/>
      <c r="L382"/>
      <c r="M382" s="1"/>
      <c r="N382" s="1"/>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row>
    <row r="383" spans="1:96" ht="12.75" customHeight="1" outlineLevel="2" x14ac:dyDescent="0.2">
      <c r="A383"/>
      <c r="B383" s="1395"/>
      <c r="C383" s="1002"/>
      <c r="D383" s="1003"/>
      <c r="E383" s="1003"/>
      <c r="F383" s="1003" t="s">
        <v>15027</v>
      </c>
      <c r="G383" s="1004"/>
      <c r="H383" s="1003" t="s">
        <v>15028</v>
      </c>
      <c r="I383" s="1011"/>
      <c r="J383" s="1"/>
      <c r="K383" s="1"/>
      <c r="L383"/>
      <c r="M383" s="1"/>
      <c r="N383" s="1"/>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row>
    <row r="384" spans="1:96" ht="12.75" customHeight="1" outlineLevel="2" x14ac:dyDescent="0.2">
      <c r="A384"/>
      <c r="B384" s="1395"/>
      <c r="C384" s="1002"/>
      <c r="D384" s="1003"/>
      <c r="E384" s="1003"/>
      <c r="F384" s="1003" t="s">
        <v>15029</v>
      </c>
      <c r="G384" s="1004"/>
      <c r="H384" s="1003" t="s">
        <v>15030</v>
      </c>
      <c r="I384" s="1011"/>
      <c r="J384" s="1"/>
      <c r="K384" s="1"/>
      <c r="L384"/>
      <c r="M384" s="1"/>
      <c r="N384" s="1"/>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row>
    <row r="385" spans="1:96" ht="12.75" customHeight="1" outlineLevel="2" x14ac:dyDescent="0.2">
      <c r="A385"/>
      <c r="B385" s="1395"/>
      <c r="C385" s="1002"/>
      <c r="D385" s="1003"/>
      <c r="E385" s="1003"/>
      <c r="F385" s="1003" t="s">
        <v>15031</v>
      </c>
      <c r="G385" s="1004"/>
      <c r="H385" s="1003" t="s">
        <v>15032</v>
      </c>
      <c r="I385" s="1011"/>
      <c r="J385" s="1"/>
      <c r="K385" s="1"/>
      <c r="L385"/>
      <c r="M385" s="1"/>
      <c r="N385" s="1"/>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row>
    <row r="386" spans="1:96" ht="12.75" customHeight="1" outlineLevel="2" x14ac:dyDescent="0.2">
      <c r="A386"/>
      <c r="B386" s="1395"/>
      <c r="C386" s="1002"/>
      <c r="D386" s="1003"/>
      <c r="E386" s="1003"/>
      <c r="F386" s="1003" t="s">
        <v>15033</v>
      </c>
      <c r="G386" s="1004"/>
      <c r="H386" s="1003" t="s">
        <v>15034</v>
      </c>
      <c r="I386" s="1011"/>
      <c r="J386" s="1"/>
      <c r="K386" s="1"/>
      <c r="L386"/>
      <c r="M386" s="1"/>
      <c r="N386" s="1"/>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row>
    <row r="387" spans="1:96" ht="12.75" customHeight="1" outlineLevel="2" x14ac:dyDescent="0.2">
      <c r="A387"/>
      <c r="B387" s="1395"/>
      <c r="C387" s="1002"/>
      <c r="D387" s="1003"/>
      <c r="E387" s="1003"/>
      <c r="F387" s="1003" t="s">
        <v>15035</v>
      </c>
      <c r="G387" s="1004"/>
      <c r="H387" s="1003" t="s">
        <v>15036</v>
      </c>
      <c r="I387" s="1011"/>
      <c r="J387" s="1"/>
      <c r="K387" s="1"/>
      <c r="L387"/>
      <c r="M387" s="1"/>
      <c r="N387" s="1"/>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row>
    <row r="388" spans="1:96" ht="12.75" customHeight="1" outlineLevel="2" x14ac:dyDescent="0.2">
      <c r="A388"/>
      <c r="B388" s="1395"/>
      <c r="C388" s="1002"/>
      <c r="D388" s="1003"/>
      <c r="E388" s="1003"/>
      <c r="F388" s="1003" t="s">
        <v>15037</v>
      </c>
      <c r="G388" s="1004"/>
      <c r="H388" s="1003" t="s">
        <v>15038</v>
      </c>
      <c r="I388" s="1011"/>
      <c r="J388" s="1"/>
      <c r="K388" s="1"/>
      <c r="L388"/>
      <c r="M388" s="1"/>
      <c r="N388" s="1"/>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row>
    <row r="389" spans="1:96" ht="12.75" customHeight="1" outlineLevel="2" x14ac:dyDescent="0.2">
      <c r="A389"/>
      <c r="B389" s="1395"/>
      <c r="C389" s="1002"/>
      <c r="D389" s="1003"/>
      <c r="E389" s="1003"/>
      <c r="F389" s="1003" t="s">
        <v>15039</v>
      </c>
      <c r="G389" s="1004"/>
      <c r="H389" s="1003" t="s">
        <v>15040</v>
      </c>
      <c r="I389" s="1011"/>
      <c r="J389" s="1"/>
      <c r="K389" s="1"/>
      <c r="L389"/>
      <c r="M389" s="1"/>
      <c r="N389" s="1"/>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row>
    <row r="390" spans="1:96" ht="12.75" customHeight="1" outlineLevel="2" x14ac:dyDescent="0.2">
      <c r="A390"/>
      <c r="B390" s="1395"/>
      <c r="C390" s="1002"/>
      <c r="D390" s="1003"/>
      <c r="E390" s="1003"/>
      <c r="F390" s="1003" t="s">
        <v>15041</v>
      </c>
      <c r="G390" s="1004"/>
      <c r="H390" s="1003" t="s">
        <v>15042</v>
      </c>
      <c r="I390" s="1011"/>
      <c r="J390" s="1"/>
      <c r="K390" s="1"/>
      <c r="L390"/>
      <c r="M390" s="1"/>
      <c r="N390" s="1"/>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row>
    <row r="391" spans="1:96" ht="12.75" customHeight="1" outlineLevel="2" x14ac:dyDescent="0.2">
      <c r="A391"/>
      <c r="B391" s="1395"/>
      <c r="C391" s="1002"/>
      <c r="D391" s="1003"/>
      <c r="E391" s="1003"/>
      <c r="F391" s="1003" t="s">
        <v>15043</v>
      </c>
      <c r="G391" s="1004"/>
      <c r="H391" s="1003" t="s">
        <v>15044</v>
      </c>
      <c r="I391" s="1011"/>
      <c r="J391" s="1"/>
      <c r="K391" s="1"/>
      <c r="L391"/>
      <c r="M391" s="1"/>
      <c r="N391" s="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row>
    <row r="392" spans="1:96" ht="12.75" customHeight="1" outlineLevel="2" x14ac:dyDescent="0.2">
      <c r="A392"/>
      <c r="B392" s="1395"/>
      <c r="C392" s="1002"/>
      <c r="D392" s="1003"/>
      <c r="E392" s="1003"/>
      <c r="F392" s="1003" t="s">
        <v>15045</v>
      </c>
      <c r="G392" s="1004"/>
      <c r="H392" s="1003" t="s">
        <v>15046</v>
      </c>
      <c r="I392" s="1011"/>
      <c r="J392" s="1"/>
      <c r="K392" s="1"/>
      <c r="L392"/>
      <c r="M392" s="1"/>
      <c r="N392" s="1"/>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row>
    <row r="393" spans="1:96" ht="12.75" customHeight="1" outlineLevel="2" x14ac:dyDescent="0.2">
      <c r="A393"/>
      <c r="B393" s="1395"/>
      <c r="C393" s="1002"/>
      <c r="D393" s="1003"/>
      <c r="E393" s="1003"/>
      <c r="F393" s="1003" t="s">
        <v>15047</v>
      </c>
      <c r="G393" s="1004"/>
      <c r="H393" s="1003" t="s">
        <v>15048</v>
      </c>
      <c r="I393" s="1011"/>
      <c r="J393" s="1"/>
      <c r="K393" s="1"/>
      <c r="L393"/>
      <c r="M393" s="1"/>
      <c r="N393" s="1"/>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row>
    <row r="394" spans="1:96" ht="12.75" customHeight="1" outlineLevel="2" x14ac:dyDescent="0.2">
      <c r="A394"/>
      <c r="B394" s="1395"/>
      <c r="C394" s="1002"/>
      <c r="D394" s="1003"/>
      <c r="E394" s="1003"/>
      <c r="F394" s="1003" t="s">
        <v>15049</v>
      </c>
      <c r="G394" s="1004"/>
      <c r="H394" s="1003" t="s">
        <v>15050</v>
      </c>
      <c r="I394" s="1011"/>
      <c r="J394" s="1"/>
      <c r="K394" s="1"/>
      <c r="L394"/>
      <c r="M394" s="1"/>
      <c r="N394" s="1"/>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row>
    <row r="395" spans="1:96" ht="12.75" customHeight="1" outlineLevel="2" x14ac:dyDescent="0.2">
      <c r="A395"/>
      <c r="B395" s="1395"/>
      <c r="C395" s="1002"/>
      <c r="D395" s="1003"/>
      <c r="E395" s="1003"/>
      <c r="F395" s="1003" t="s">
        <v>15051</v>
      </c>
      <c r="G395" s="1004"/>
      <c r="H395" s="1003" t="s">
        <v>15052</v>
      </c>
      <c r="I395" s="1011"/>
      <c r="J395" s="1"/>
      <c r="K395" s="1"/>
      <c r="L395"/>
      <c r="M395" s="1"/>
      <c r="N395" s="1"/>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row>
    <row r="396" spans="1:96" ht="12.75" customHeight="1" outlineLevel="2" x14ac:dyDescent="0.2">
      <c r="A396"/>
      <c r="B396" s="1395"/>
      <c r="C396" s="1002"/>
      <c r="D396" s="1003"/>
      <c r="E396" s="1003"/>
      <c r="F396" s="1003" t="s">
        <v>15053</v>
      </c>
      <c r="G396" s="1004"/>
      <c r="H396" s="1003" t="s">
        <v>15054</v>
      </c>
      <c r="I396" s="1011"/>
      <c r="J396" s="1"/>
      <c r="K396" s="1"/>
      <c r="L396"/>
      <c r="M396" s="1"/>
      <c r="N396" s="1"/>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row>
    <row r="397" spans="1:96" ht="12.75" customHeight="1" outlineLevel="2" x14ac:dyDescent="0.2">
      <c r="A397"/>
      <c r="B397" s="1395"/>
      <c r="C397" s="1002"/>
      <c r="D397" s="1003"/>
      <c r="E397" s="1003"/>
      <c r="F397" s="1003" t="s">
        <v>15055</v>
      </c>
      <c r="G397" s="1004"/>
      <c r="H397" s="1003"/>
      <c r="I397" s="1011"/>
      <c r="J397" s="1"/>
      <c r="K397" s="1"/>
      <c r="L397"/>
      <c r="M397" s="1"/>
      <c r="N397" s="1"/>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row>
    <row r="398" spans="1:96" ht="12.75" customHeight="1" outlineLevel="2" x14ac:dyDescent="0.2">
      <c r="A398"/>
      <c r="B398" s="1395"/>
      <c r="C398" s="1002"/>
      <c r="D398" s="1003"/>
      <c r="E398" s="1003"/>
      <c r="F398" s="1003" t="s">
        <v>15056</v>
      </c>
      <c r="G398" s="1004"/>
      <c r="H398" s="1003"/>
      <c r="I398" s="1011"/>
      <c r="J398" s="1"/>
      <c r="K398" s="1"/>
      <c r="L398"/>
      <c r="M398" s="1"/>
      <c r="N398" s="1"/>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row>
    <row r="399" spans="1:96" outlineLevel="1" x14ac:dyDescent="0.2">
      <c r="A399"/>
      <c r="B399" s="1395">
        <f>C399*1000000+D399*1000+E399</f>
        <v>20032</v>
      </c>
      <c r="C399" s="1002">
        <v>0</v>
      </c>
      <c r="D399" s="1003">
        <v>20</v>
      </c>
      <c r="E399" s="1003">
        <v>32</v>
      </c>
      <c r="F399" s="1003" t="s">
        <v>2343</v>
      </c>
      <c r="G399" s="1004"/>
      <c r="H399" s="1003" t="s">
        <v>2363</v>
      </c>
      <c r="I399" s="1011"/>
      <c r="J399" s="1"/>
      <c r="K399" s="1"/>
      <c r="L399"/>
      <c r="M399" s="1"/>
      <c r="N399" s="1"/>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row>
    <row r="400" spans="1:96" ht="12.75" customHeight="1" outlineLevel="2" x14ac:dyDescent="0.2">
      <c r="A400"/>
      <c r="B400" s="1395"/>
      <c r="C400" s="1002"/>
      <c r="D400" s="1003"/>
      <c r="E400" s="1003"/>
      <c r="F400" s="1003" t="s">
        <v>2344</v>
      </c>
      <c r="G400" s="1004"/>
      <c r="H400" s="1003" t="s">
        <v>1333</v>
      </c>
      <c r="I400" s="1011"/>
      <c r="J400" s="1"/>
      <c r="K400" s="1"/>
      <c r="L400"/>
      <c r="M400" s="1"/>
      <c r="N400" s="1"/>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row>
    <row r="401" spans="1:96" ht="12.75" customHeight="1" outlineLevel="2" x14ac:dyDescent="0.2">
      <c r="A401"/>
      <c r="B401" s="1395"/>
      <c r="C401" s="1002"/>
      <c r="D401" s="1003"/>
      <c r="E401" s="1003"/>
      <c r="F401" s="1003" t="s">
        <v>2345</v>
      </c>
      <c r="G401" s="1004"/>
      <c r="H401" s="1003" t="s">
        <v>2364</v>
      </c>
      <c r="I401" s="1011"/>
      <c r="J401" s="1"/>
      <c r="K401" s="1"/>
      <c r="L401"/>
      <c r="M401" s="1"/>
      <c r="N401" s="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row>
    <row r="402" spans="1:96" ht="12.75" customHeight="1" outlineLevel="2" x14ac:dyDescent="0.2">
      <c r="A402"/>
      <c r="B402" s="1395"/>
      <c r="C402" s="1002"/>
      <c r="D402" s="1003"/>
      <c r="E402" s="1003"/>
      <c r="F402" s="1003" t="s">
        <v>2346</v>
      </c>
      <c r="G402" s="1004"/>
      <c r="H402" s="1003" t="s">
        <v>2365</v>
      </c>
      <c r="I402" s="1011"/>
      <c r="J402" s="1"/>
      <c r="K402" s="1"/>
      <c r="L402"/>
      <c r="M402" s="1"/>
      <c r="N402" s="1"/>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row>
    <row r="403" spans="1:96" ht="12.75" customHeight="1" outlineLevel="2" x14ac:dyDescent="0.2">
      <c r="A403"/>
      <c r="B403" s="1395"/>
      <c r="C403" s="1002"/>
      <c r="D403" s="1003"/>
      <c r="E403" s="1003"/>
      <c r="F403" s="1003" t="s">
        <v>2347</v>
      </c>
      <c r="G403" s="1004"/>
      <c r="H403" s="1003" t="s">
        <v>2366</v>
      </c>
      <c r="I403" s="1011"/>
      <c r="J403" s="1"/>
      <c r="K403" s="1"/>
      <c r="L403"/>
      <c r="M403" s="1"/>
      <c r="N403" s="1"/>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row>
    <row r="404" spans="1:96" ht="12.75" customHeight="1" outlineLevel="2" x14ac:dyDescent="0.2">
      <c r="A404"/>
      <c r="B404" s="1395"/>
      <c r="C404" s="1002"/>
      <c r="D404" s="1003"/>
      <c r="E404" s="1003"/>
      <c r="F404" s="1003" t="s">
        <v>2348</v>
      </c>
      <c r="G404" s="1004"/>
      <c r="H404" s="1003" t="s">
        <v>2367</v>
      </c>
      <c r="I404" s="1011"/>
      <c r="J404" s="1"/>
      <c r="K404" s="1"/>
      <c r="L404"/>
      <c r="M404" s="1"/>
      <c r="N404" s="1"/>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row>
    <row r="405" spans="1:96" ht="12.75" customHeight="1" outlineLevel="2" x14ac:dyDescent="0.2">
      <c r="A405"/>
      <c r="B405" s="1395"/>
      <c r="C405" s="1002"/>
      <c r="D405" s="1003"/>
      <c r="E405" s="1003"/>
      <c r="F405" s="1003" t="s">
        <v>2349</v>
      </c>
      <c r="G405" s="1004"/>
      <c r="H405" s="1003" t="s">
        <v>1334</v>
      </c>
      <c r="I405" s="1011"/>
      <c r="J405" s="1"/>
      <c r="K405" s="1"/>
      <c r="L405"/>
      <c r="M405" s="1"/>
      <c r="N405" s="1"/>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row>
    <row r="406" spans="1:96" ht="12.75" customHeight="1" outlineLevel="2" x14ac:dyDescent="0.2">
      <c r="A406"/>
      <c r="B406" s="1395"/>
      <c r="C406" s="1002"/>
      <c r="D406" s="1003"/>
      <c r="E406" s="1003"/>
      <c r="F406" s="1003" t="s">
        <v>2350</v>
      </c>
      <c r="G406" s="1004"/>
      <c r="H406" s="1003" t="s">
        <v>2368</v>
      </c>
      <c r="I406" s="1011"/>
      <c r="J406" s="1"/>
      <c r="K406" s="1"/>
      <c r="L406"/>
      <c r="M406" s="1"/>
      <c r="N406" s="1"/>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row>
    <row r="407" spans="1:96" ht="12.75" customHeight="1" outlineLevel="2" x14ac:dyDescent="0.2">
      <c r="A407"/>
      <c r="B407" s="1395"/>
      <c r="C407" s="1002"/>
      <c r="D407" s="1003"/>
      <c r="E407" s="1003"/>
      <c r="F407" s="1003" t="s">
        <v>2351</v>
      </c>
      <c r="G407" s="1004"/>
      <c r="H407" s="1003" t="s">
        <v>2369</v>
      </c>
      <c r="I407" s="1011"/>
      <c r="J407" s="1"/>
      <c r="K407" s="1"/>
      <c r="L407"/>
      <c r="M407" s="1"/>
      <c r="N407" s="1"/>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row>
    <row r="408" spans="1:96" ht="12.75" customHeight="1" outlineLevel="2" x14ac:dyDescent="0.2">
      <c r="A408"/>
      <c r="B408" s="1395"/>
      <c r="C408" s="1002"/>
      <c r="D408" s="1003"/>
      <c r="E408" s="1003"/>
      <c r="F408" s="1003" t="s">
        <v>2352</v>
      </c>
      <c r="G408" s="1004"/>
      <c r="H408" s="1003" t="s">
        <v>1337</v>
      </c>
      <c r="I408" s="1011"/>
      <c r="J408" s="1"/>
      <c r="K408" s="1"/>
      <c r="L408"/>
      <c r="M408" s="1"/>
      <c r="N408" s="1"/>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row>
    <row r="409" spans="1:96" ht="12.75" customHeight="1" outlineLevel="2" x14ac:dyDescent="0.2">
      <c r="A409"/>
      <c r="B409" s="1395"/>
      <c r="C409" s="1002"/>
      <c r="D409" s="1003"/>
      <c r="E409" s="1003"/>
      <c r="F409" s="1003" t="s">
        <v>2353</v>
      </c>
      <c r="G409" s="1004"/>
      <c r="H409" s="1003" t="s">
        <v>2370</v>
      </c>
      <c r="I409" s="1011"/>
      <c r="J409" s="1"/>
      <c r="K409" s="1"/>
      <c r="L409"/>
      <c r="M409" s="1"/>
      <c r="N409" s="1"/>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row>
    <row r="410" spans="1:96" ht="12.75" customHeight="1" outlineLevel="2" x14ac:dyDescent="0.2">
      <c r="A410"/>
      <c r="B410" s="1395"/>
      <c r="C410" s="1002"/>
      <c r="D410" s="1003"/>
      <c r="E410" s="1003"/>
      <c r="F410" s="1003" t="s">
        <v>2354</v>
      </c>
      <c r="G410" s="1004"/>
      <c r="H410" s="1003" t="s">
        <v>2371</v>
      </c>
      <c r="I410" s="1011"/>
      <c r="J410" s="1"/>
      <c r="K410" s="1"/>
      <c r="L410"/>
      <c r="M410" s="1"/>
      <c r="N410" s="1"/>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row>
    <row r="411" spans="1:96" ht="12.75" customHeight="1" outlineLevel="2" x14ac:dyDescent="0.2">
      <c r="A411"/>
      <c r="B411" s="1395"/>
      <c r="C411" s="1002"/>
      <c r="D411" s="1003"/>
      <c r="E411" s="1003"/>
      <c r="F411" s="1003" t="s">
        <v>2355</v>
      </c>
      <c r="G411" s="1004"/>
      <c r="H411" s="1003" t="s">
        <v>2372</v>
      </c>
      <c r="I411" s="1011"/>
      <c r="J411" s="1"/>
      <c r="K411" s="1"/>
      <c r="L411"/>
      <c r="M411" s="1"/>
      <c r="N411" s="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row>
    <row r="412" spans="1:96" ht="12.75" customHeight="1" outlineLevel="2" x14ac:dyDescent="0.2">
      <c r="A412"/>
      <c r="B412" s="1395"/>
      <c r="C412" s="1002"/>
      <c r="D412" s="1003"/>
      <c r="E412" s="1003"/>
      <c r="F412" s="1003" t="s">
        <v>2356</v>
      </c>
      <c r="G412" s="1004"/>
      <c r="H412" s="1003" t="s">
        <v>2373</v>
      </c>
      <c r="I412" s="1011"/>
      <c r="J412" s="1"/>
      <c r="K412" s="1"/>
      <c r="L412"/>
      <c r="M412" s="1"/>
      <c r="N412" s="1"/>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row>
    <row r="413" spans="1:96" ht="12.75" customHeight="1" outlineLevel="2" x14ac:dyDescent="0.2">
      <c r="A413"/>
      <c r="B413" s="1395"/>
      <c r="C413" s="1002"/>
      <c r="D413" s="1003"/>
      <c r="E413" s="1003"/>
      <c r="F413" s="1003" t="s">
        <v>2357</v>
      </c>
      <c r="G413" s="1004"/>
      <c r="H413" s="1003" t="s">
        <v>1338</v>
      </c>
      <c r="I413" s="1011"/>
      <c r="J413" s="1"/>
      <c r="K413" s="1"/>
      <c r="L413"/>
      <c r="M413" s="1"/>
      <c r="N413" s="1"/>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row>
    <row r="414" spans="1:96" ht="12.75" customHeight="1" outlineLevel="2" x14ac:dyDescent="0.2">
      <c r="A414"/>
      <c r="B414" s="1395"/>
      <c r="C414" s="1002"/>
      <c r="D414" s="1003"/>
      <c r="E414" s="1003"/>
      <c r="F414" s="1003" t="s">
        <v>2358</v>
      </c>
      <c r="G414" s="1004"/>
      <c r="H414" s="1003" t="s">
        <v>2374</v>
      </c>
      <c r="I414" s="1011"/>
      <c r="J414" s="1"/>
      <c r="K414" s="1"/>
      <c r="L414"/>
      <c r="M414" s="1"/>
      <c r="N414" s="1"/>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row>
    <row r="415" spans="1:96" ht="12.75" customHeight="1" outlineLevel="2" x14ac:dyDescent="0.2">
      <c r="A415"/>
      <c r="B415" s="1395"/>
      <c r="C415" s="1002"/>
      <c r="D415" s="1003"/>
      <c r="E415" s="1003"/>
      <c r="F415" s="1003" t="s">
        <v>2359</v>
      </c>
      <c r="G415" s="1004"/>
      <c r="H415" s="1003"/>
      <c r="I415" s="1011"/>
      <c r="J415" s="1"/>
      <c r="K415" s="1"/>
      <c r="L415"/>
      <c r="M415" s="1"/>
      <c r="N415" s="1"/>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row>
    <row r="416" spans="1:96" ht="12.75" customHeight="1" outlineLevel="2" x14ac:dyDescent="0.2">
      <c r="A416"/>
      <c r="B416" s="1395"/>
      <c r="C416" s="1002"/>
      <c r="D416" s="1003"/>
      <c r="E416" s="1003"/>
      <c r="F416" s="1003" t="s">
        <v>2360</v>
      </c>
      <c r="G416" s="1004"/>
      <c r="H416" s="1003"/>
      <c r="I416" s="1011"/>
      <c r="J416" s="1"/>
      <c r="K416" s="1"/>
      <c r="L416"/>
      <c r="M416" s="1"/>
      <c r="N416" s="1"/>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row>
    <row r="417" spans="1:96" ht="12.75" customHeight="1" outlineLevel="2" x14ac:dyDescent="0.2">
      <c r="A417"/>
      <c r="B417" s="1395"/>
      <c r="C417" s="1002"/>
      <c r="D417" s="1003"/>
      <c r="E417" s="1003"/>
      <c r="F417" s="1003" t="s">
        <v>2361</v>
      </c>
      <c r="G417" s="1004"/>
      <c r="H417" s="1003"/>
      <c r="I417" s="1011"/>
      <c r="J417" s="1"/>
      <c r="K417" s="1"/>
      <c r="L417"/>
      <c r="M417" s="1"/>
      <c r="N417" s="1"/>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row>
    <row r="418" spans="1:96" ht="12.75" customHeight="1" outlineLevel="2" x14ac:dyDescent="0.2">
      <c r="A418"/>
      <c r="B418" s="1395"/>
      <c r="C418" s="1002"/>
      <c r="D418" s="1003"/>
      <c r="E418" s="1003"/>
      <c r="F418" s="1003" t="s">
        <v>2362</v>
      </c>
      <c r="G418" s="1004"/>
      <c r="H418" s="1003"/>
      <c r="I418" s="1011"/>
      <c r="J418" s="1"/>
      <c r="K418" s="1"/>
      <c r="L418"/>
      <c r="M418" s="1"/>
      <c r="N418" s="1"/>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row>
    <row r="419" spans="1:96" outlineLevel="1" x14ac:dyDescent="0.2">
      <c r="A419"/>
      <c r="B419" s="1395">
        <f>C419*1000000+D419*1000+E419</f>
        <v>22032</v>
      </c>
      <c r="C419" s="1002">
        <v>0</v>
      </c>
      <c r="D419" s="1003">
        <v>22</v>
      </c>
      <c r="E419" s="1003">
        <v>32</v>
      </c>
      <c r="F419" s="1003" t="s">
        <v>15057</v>
      </c>
      <c r="G419" s="1004"/>
      <c r="H419" s="1003" t="s">
        <v>15058</v>
      </c>
      <c r="I419" s="1011"/>
      <c r="J419" s="1"/>
      <c r="K419" s="1"/>
      <c r="L419"/>
      <c r="M419" s="1"/>
      <c r="N419" s="1"/>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row>
    <row r="420" spans="1:96" ht="12.75" customHeight="1" outlineLevel="2" x14ac:dyDescent="0.2">
      <c r="A420"/>
      <c r="B420" s="1395"/>
      <c r="C420" s="1002"/>
      <c r="D420" s="1003"/>
      <c r="E420" s="1003"/>
      <c r="F420" s="1003" t="s">
        <v>15059</v>
      </c>
      <c r="G420" s="1004"/>
      <c r="H420" s="1003" t="s">
        <v>15060</v>
      </c>
      <c r="I420" s="1011"/>
      <c r="J420" s="1"/>
      <c r="K420" s="1"/>
      <c r="L420"/>
      <c r="M420" s="1"/>
      <c r="N420" s="1"/>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row>
    <row r="421" spans="1:96" ht="12.75" customHeight="1" outlineLevel="2" x14ac:dyDescent="0.2">
      <c r="A421"/>
      <c r="B421" s="1395"/>
      <c r="C421" s="1002"/>
      <c r="D421" s="1003"/>
      <c r="E421" s="1003"/>
      <c r="F421" s="1003" t="s">
        <v>15061</v>
      </c>
      <c r="G421" s="1004"/>
      <c r="H421" s="1003" t="s">
        <v>15062</v>
      </c>
      <c r="I421" s="1011"/>
      <c r="J421" s="1"/>
      <c r="K421" s="1"/>
      <c r="L421"/>
      <c r="M421" s="1"/>
      <c r="N421" s="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row>
    <row r="422" spans="1:96" ht="12.75" customHeight="1" outlineLevel="2" x14ac:dyDescent="0.2">
      <c r="A422"/>
      <c r="B422" s="1395"/>
      <c r="C422" s="1002"/>
      <c r="D422" s="1003"/>
      <c r="E422" s="1003"/>
      <c r="F422" s="1003" t="s">
        <v>15063</v>
      </c>
      <c r="G422" s="1004"/>
      <c r="H422" s="1003" t="s">
        <v>15064</v>
      </c>
      <c r="I422" s="1011"/>
      <c r="J422" s="1"/>
      <c r="K422" s="1"/>
      <c r="L422"/>
      <c r="M422" s="1"/>
      <c r="N422" s="1"/>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row>
    <row r="423" spans="1:96" ht="12.75" customHeight="1" outlineLevel="2" x14ac:dyDescent="0.2">
      <c r="A423"/>
      <c r="B423" s="1395"/>
      <c r="C423" s="1002"/>
      <c r="D423" s="1003"/>
      <c r="E423" s="1003"/>
      <c r="F423" s="1003" t="s">
        <v>15065</v>
      </c>
      <c r="G423" s="1004"/>
      <c r="H423" s="1003" t="s">
        <v>15066</v>
      </c>
      <c r="I423" s="1011"/>
      <c r="J423" s="1"/>
      <c r="K423" s="1"/>
      <c r="L423"/>
      <c r="M423" s="1"/>
      <c r="N423" s="1"/>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row>
    <row r="424" spans="1:96" ht="12.75" customHeight="1" outlineLevel="2" x14ac:dyDescent="0.2">
      <c r="A424"/>
      <c r="B424" s="1395"/>
      <c r="C424" s="1002"/>
      <c r="D424" s="1003"/>
      <c r="E424" s="1003"/>
      <c r="F424" s="1003" t="s">
        <v>15067</v>
      </c>
      <c r="G424" s="1004"/>
      <c r="H424" s="1003" t="s">
        <v>15068</v>
      </c>
      <c r="I424" s="1011"/>
      <c r="J424" s="1"/>
      <c r="K424" s="1"/>
      <c r="L424"/>
      <c r="M424" s="1"/>
      <c r="N424" s="1"/>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row>
    <row r="425" spans="1:96" ht="12.75" customHeight="1" outlineLevel="2" x14ac:dyDescent="0.2">
      <c r="A425"/>
      <c r="B425" s="1395"/>
      <c r="C425" s="1002"/>
      <c r="D425" s="1003"/>
      <c r="E425" s="1003"/>
      <c r="F425" s="1003" t="s">
        <v>15069</v>
      </c>
      <c r="G425" s="1004"/>
      <c r="H425" s="1003" t="s">
        <v>15070</v>
      </c>
      <c r="I425" s="1011"/>
      <c r="J425" s="1"/>
      <c r="K425" s="1"/>
      <c r="L425"/>
      <c r="M425" s="1"/>
      <c r="N425" s="1"/>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row>
    <row r="426" spans="1:96" ht="12.75" customHeight="1" outlineLevel="2" x14ac:dyDescent="0.2">
      <c r="A426"/>
      <c r="B426" s="1395"/>
      <c r="C426" s="1002"/>
      <c r="D426" s="1003"/>
      <c r="E426" s="1003"/>
      <c r="F426" s="1003" t="s">
        <v>15071</v>
      </c>
      <c r="G426" s="1004"/>
      <c r="H426" s="1003" t="s">
        <v>15072</v>
      </c>
      <c r="I426" s="1011"/>
      <c r="J426" s="1"/>
      <c r="K426" s="1"/>
      <c r="L426"/>
      <c r="M426" s="1"/>
      <c r="N426" s="1"/>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row>
    <row r="427" spans="1:96" ht="12.75" customHeight="1" outlineLevel="2" x14ac:dyDescent="0.2">
      <c r="A427"/>
      <c r="B427" s="1395"/>
      <c r="C427" s="1002"/>
      <c r="D427" s="1003"/>
      <c r="E427" s="1003"/>
      <c r="F427" s="1003" t="s">
        <v>15073</v>
      </c>
      <c r="G427" s="1004"/>
      <c r="H427" s="1003" t="s">
        <v>15074</v>
      </c>
      <c r="I427" s="1011"/>
      <c r="J427" s="1"/>
      <c r="K427" s="1"/>
      <c r="L427"/>
      <c r="M427" s="1"/>
      <c r="N427" s="1"/>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row>
    <row r="428" spans="1:96" ht="12.75" customHeight="1" outlineLevel="2" x14ac:dyDescent="0.2">
      <c r="A428"/>
      <c r="B428" s="1395"/>
      <c r="C428" s="1002"/>
      <c r="D428" s="1003"/>
      <c r="E428" s="1003"/>
      <c r="F428" s="1003" t="s">
        <v>15075</v>
      </c>
      <c r="G428" s="1004"/>
      <c r="H428" s="1003" t="s">
        <v>666</v>
      </c>
      <c r="I428" s="1011"/>
      <c r="J428" s="1"/>
      <c r="K428" s="1"/>
      <c r="L428"/>
      <c r="M428" s="1"/>
      <c r="N428" s="1"/>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row>
    <row r="429" spans="1:96" ht="12.75" customHeight="1" outlineLevel="2" x14ac:dyDescent="0.2">
      <c r="A429"/>
      <c r="B429" s="1395"/>
      <c r="C429" s="1002"/>
      <c r="D429" s="1003"/>
      <c r="E429" s="1003"/>
      <c r="F429" s="1003" t="s">
        <v>15076</v>
      </c>
      <c r="G429" s="1004"/>
      <c r="H429" s="1003" t="s">
        <v>15077</v>
      </c>
      <c r="I429" s="1011"/>
      <c r="J429" s="1"/>
      <c r="K429" s="1"/>
      <c r="L429"/>
      <c r="M429" s="1"/>
      <c r="N429" s="1"/>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row>
    <row r="430" spans="1:96" ht="12.75" customHeight="1" outlineLevel="2" x14ac:dyDescent="0.2">
      <c r="A430"/>
      <c r="B430" s="1395"/>
      <c r="C430" s="1002"/>
      <c r="D430" s="1003"/>
      <c r="E430" s="1003"/>
      <c r="F430" s="1003" t="s">
        <v>15078</v>
      </c>
      <c r="G430" s="1004"/>
      <c r="H430" s="1003" t="s">
        <v>15079</v>
      </c>
      <c r="I430" s="1011"/>
      <c r="J430" s="1"/>
      <c r="K430" s="1"/>
      <c r="L430"/>
      <c r="M430" s="1"/>
      <c r="N430" s="1"/>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row>
    <row r="431" spans="1:96" ht="12.75" customHeight="1" outlineLevel="2" x14ac:dyDescent="0.2">
      <c r="A431"/>
      <c r="B431" s="1395"/>
      <c r="C431" s="1002"/>
      <c r="D431" s="1003"/>
      <c r="E431" s="1003"/>
      <c r="F431" s="1003" t="s">
        <v>15080</v>
      </c>
      <c r="G431" s="1004"/>
      <c r="H431" s="1003" t="s">
        <v>15081</v>
      </c>
      <c r="I431" s="1011"/>
      <c r="J431" s="1"/>
      <c r="K431" s="1"/>
      <c r="L431"/>
      <c r="M431" s="1"/>
      <c r="N431" s="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row>
    <row r="432" spans="1:96" ht="12.75" customHeight="1" outlineLevel="2" x14ac:dyDescent="0.2">
      <c r="A432"/>
      <c r="B432" s="1395"/>
      <c r="C432" s="1002"/>
      <c r="D432" s="1003"/>
      <c r="E432" s="1003"/>
      <c r="F432" s="1003" t="s">
        <v>15082</v>
      </c>
      <c r="G432" s="1004"/>
      <c r="H432" s="1003" t="s">
        <v>15083</v>
      </c>
      <c r="I432" s="1011"/>
      <c r="J432" s="1"/>
      <c r="K432" s="1"/>
      <c r="L432"/>
      <c r="M432" s="1"/>
      <c r="N432" s="1"/>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row>
    <row r="433" spans="1:96" ht="12.75" customHeight="1" outlineLevel="2" x14ac:dyDescent="0.2">
      <c r="A433"/>
      <c r="B433" s="1395"/>
      <c r="C433" s="1002"/>
      <c r="D433" s="1003"/>
      <c r="E433" s="1003"/>
      <c r="F433" s="1003" t="s">
        <v>15084</v>
      </c>
      <c r="G433" s="1004"/>
      <c r="H433" s="1003" t="s">
        <v>15085</v>
      </c>
      <c r="I433" s="1011"/>
      <c r="J433" s="1"/>
      <c r="K433" s="1"/>
      <c r="L433"/>
      <c r="M433" s="1"/>
      <c r="N433" s="1"/>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row>
    <row r="434" spans="1:96" ht="12.75" customHeight="1" outlineLevel="2" x14ac:dyDescent="0.2">
      <c r="A434"/>
      <c r="B434" s="1395"/>
      <c r="C434" s="1002"/>
      <c r="D434" s="1003"/>
      <c r="E434" s="1003"/>
      <c r="F434" s="1003" t="s">
        <v>15086</v>
      </c>
      <c r="G434" s="1004"/>
      <c r="H434" s="1003" t="s">
        <v>15087</v>
      </c>
      <c r="I434" s="1011"/>
      <c r="J434" s="1"/>
      <c r="K434" s="1"/>
      <c r="L434"/>
      <c r="M434" s="1"/>
      <c r="N434" s="1"/>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row>
    <row r="435" spans="1:96" ht="12.75" customHeight="1" outlineLevel="2" x14ac:dyDescent="0.2">
      <c r="A435"/>
      <c r="B435" s="1395"/>
      <c r="C435" s="1002"/>
      <c r="D435" s="1003"/>
      <c r="E435" s="1003"/>
      <c r="F435" s="1003" t="s">
        <v>15088</v>
      </c>
      <c r="G435" s="1004"/>
      <c r="H435" s="1003"/>
      <c r="I435" s="1011"/>
      <c r="J435" s="1"/>
      <c r="K435" s="1"/>
      <c r="L435"/>
      <c r="M435" s="1"/>
      <c r="N435" s="1"/>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row>
    <row r="436" spans="1:96" ht="12.75" customHeight="1" outlineLevel="2" x14ac:dyDescent="0.2">
      <c r="A436"/>
      <c r="B436" s="1395"/>
      <c r="C436" s="1002"/>
      <c r="D436" s="1003"/>
      <c r="E436" s="1003"/>
      <c r="F436" s="1003" t="s">
        <v>15089</v>
      </c>
      <c r="G436" s="1004"/>
      <c r="H436" s="1003"/>
      <c r="I436" s="1011"/>
      <c r="J436" s="1"/>
      <c r="K436" s="1"/>
      <c r="L436"/>
      <c r="M436" s="1"/>
      <c r="N436" s="1"/>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row>
    <row r="437" spans="1:96" ht="12.75" customHeight="1" outlineLevel="2" x14ac:dyDescent="0.2">
      <c r="A437"/>
      <c r="B437" s="1395"/>
      <c r="C437" s="1002"/>
      <c r="D437" s="1003"/>
      <c r="E437" s="1003"/>
      <c r="F437" s="1003" t="s">
        <v>15090</v>
      </c>
      <c r="G437" s="1004"/>
      <c r="H437" s="1003"/>
      <c r="I437" s="1011"/>
      <c r="J437" s="1"/>
      <c r="K437" s="1"/>
      <c r="L437"/>
      <c r="M437" s="1"/>
      <c r="N437" s="1"/>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row>
    <row r="438" spans="1:96" ht="12.75" customHeight="1" outlineLevel="2" x14ac:dyDescent="0.2">
      <c r="A438"/>
      <c r="B438" s="1395"/>
      <c r="C438" s="1002"/>
      <c r="D438" s="1003"/>
      <c r="E438" s="1003"/>
      <c r="F438" s="1003" t="s">
        <v>15091</v>
      </c>
      <c r="G438" s="1004"/>
      <c r="H438" s="1003"/>
      <c r="I438" s="1011"/>
      <c r="J438" s="1"/>
      <c r="K438" s="1"/>
      <c r="L438"/>
      <c r="M438" s="1"/>
      <c r="N438" s="1"/>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row>
    <row r="439" spans="1:96" ht="12.75" customHeight="1" outlineLevel="2" x14ac:dyDescent="0.2">
      <c r="A439"/>
      <c r="B439" s="1395"/>
      <c r="C439" s="1002"/>
      <c r="D439" s="1003"/>
      <c r="E439" s="1003"/>
      <c r="F439" s="1003" t="s">
        <v>15092</v>
      </c>
      <c r="G439" s="1004"/>
      <c r="H439" s="1003"/>
      <c r="I439" s="1011"/>
      <c r="J439" s="1"/>
      <c r="K439" s="1"/>
      <c r="L439"/>
      <c r="M439" s="1"/>
      <c r="N439" s="1"/>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row>
    <row r="440" spans="1:96" ht="12.75" customHeight="1" outlineLevel="2" x14ac:dyDescent="0.2">
      <c r="A440"/>
      <c r="B440" s="1395"/>
      <c r="C440" s="1002"/>
      <c r="D440" s="1003"/>
      <c r="E440" s="1003"/>
      <c r="F440" s="1003" t="s">
        <v>15093</v>
      </c>
      <c r="G440" s="1004"/>
      <c r="H440" s="1003"/>
      <c r="I440" s="1011"/>
      <c r="J440" s="1"/>
      <c r="K440" s="1"/>
      <c r="L440"/>
      <c r="M440" s="1"/>
      <c r="N440" s="1"/>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row>
    <row r="441" spans="1:96" outlineLevel="1" x14ac:dyDescent="0.2">
      <c r="A441"/>
      <c r="B441" s="1395">
        <f>C441*1000000+D441*1000+E441</f>
        <v>24032</v>
      </c>
      <c r="C441" s="1002">
        <v>0</v>
      </c>
      <c r="D441" s="1003">
        <v>24</v>
      </c>
      <c r="E441" s="1003">
        <v>32</v>
      </c>
      <c r="F441" s="1003" t="s">
        <v>15094</v>
      </c>
      <c r="G441" s="1004"/>
      <c r="H441" s="1003" t="s">
        <v>1332</v>
      </c>
      <c r="I441" s="1011"/>
      <c r="J441" s="1"/>
      <c r="K441" s="1"/>
      <c r="L441"/>
      <c r="M441" s="1"/>
      <c r="N441" s="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row>
    <row r="442" spans="1:96" ht="12.75" customHeight="1" outlineLevel="2" x14ac:dyDescent="0.2">
      <c r="A442"/>
      <c r="B442" s="1395"/>
      <c r="C442" s="1002"/>
      <c r="D442" s="1003"/>
      <c r="E442" s="1003"/>
      <c r="F442" s="1003" t="s">
        <v>15095</v>
      </c>
      <c r="G442" s="1004"/>
      <c r="H442" s="1003" t="s">
        <v>15096</v>
      </c>
      <c r="I442" s="1011"/>
      <c r="J442" s="1"/>
      <c r="K442" s="1"/>
      <c r="L442"/>
      <c r="M442" s="1"/>
      <c r="N442" s="1"/>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row>
    <row r="443" spans="1:96" ht="12.75" customHeight="1" outlineLevel="2" x14ac:dyDescent="0.2">
      <c r="A443"/>
      <c r="B443" s="1395"/>
      <c r="C443" s="1002"/>
      <c r="D443" s="1003"/>
      <c r="E443" s="1003"/>
      <c r="F443" s="1003" t="s">
        <v>15097</v>
      </c>
      <c r="G443" s="1004"/>
      <c r="H443" s="1003" t="s">
        <v>1334</v>
      </c>
      <c r="I443" s="1011"/>
      <c r="J443" s="1"/>
      <c r="K443" s="1"/>
      <c r="L443"/>
      <c r="M443" s="1"/>
      <c r="N443" s="1"/>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row>
    <row r="444" spans="1:96" ht="12.75" customHeight="1" outlineLevel="2" x14ac:dyDescent="0.2">
      <c r="A444"/>
      <c r="B444" s="1395"/>
      <c r="C444" s="1002"/>
      <c r="D444" s="1003"/>
      <c r="E444" s="1003"/>
      <c r="F444" s="1003" t="s">
        <v>15098</v>
      </c>
      <c r="G444" s="1004"/>
      <c r="H444" s="1003" t="s">
        <v>15099</v>
      </c>
      <c r="I444" s="1011"/>
      <c r="J444" s="1"/>
      <c r="K444" s="1"/>
      <c r="L444"/>
      <c r="M444" s="1"/>
      <c r="N444" s="1"/>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row>
    <row r="445" spans="1:96" ht="12.75" customHeight="1" outlineLevel="2" x14ac:dyDescent="0.2">
      <c r="A445"/>
      <c r="B445" s="1395"/>
      <c r="C445" s="1002"/>
      <c r="D445" s="1003"/>
      <c r="E445" s="1003"/>
      <c r="F445" s="1003" t="s">
        <v>15100</v>
      </c>
      <c r="G445" s="1004"/>
      <c r="H445" s="1003" t="s">
        <v>1475</v>
      </c>
      <c r="I445" s="1011"/>
      <c r="J445" s="1"/>
      <c r="K445" s="1"/>
      <c r="L445"/>
      <c r="M445" s="1"/>
      <c r="N445" s="1"/>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row>
    <row r="446" spans="1:96" ht="12.75" customHeight="1" outlineLevel="2" x14ac:dyDescent="0.2">
      <c r="A446"/>
      <c r="B446" s="1395"/>
      <c r="C446" s="1002"/>
      <c r="D446" s="1003"/>
      <c r="E446" s="1003"/>
      <c r="F446" s="1003" t="s">
        <v>15101</v>
      </c>
      <c r="G446" s="1004"/>
      <c r="H446" s="1003" t="s">
        <v>15102</v>
      </c>
      <c r="I446" s="1011"/>
      <c r="J446" s="1"/>
      <c r="K446" s="1"/>
      <c r="L446"/>
      <c r="M446" s="1"/>
      <c r="N446" s="1"/>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row>
    <row r="447" spans="1:96" ht="12.75" customHeight="1" outlineLevel="2" x14ac:dyDescent="0.2">
      <c r="A447"/>
      <c r="B447" s="1395"/>
      <c r="C447" s="1002"/>
      <c r="D447" s="1003"/>
      <c r="E447" s="1003"/>
      <c r="F447" s="1003" t="s">
        <v>15103</v>
      </c>
      <c r="G447" s="1004"/>
      <c r="H447" s="1003" t="s">
        <v>1338</v>
      </c>
      <c r="I447" s="1011"/>
      <c r="J447" s="1"/>
      <c r="K447" s="1"/>
      <c r="L447"/>
      <c r="M447" s="1"/>
      <c r="N447" s="1"/>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row>
    <row r="448" spans="1:96" ht="12.75" customHeight="1" outlineLevel="2" x14ac:dyDescent="0.2">
      <c r="A448"/>
      <c r="B448" s="1395"/>
      <c r="C448" s="1002"/>
      <c r="D448" s="1003"/>
      <c r="E448" s="1003"/>
      <c r="F448" s="1003" t="s">
        <v>15104</v>
      </c>
      <c r="G448" s="1004"/>
      <c r="H448" s="1003" t="s">
        <v>15105</v>
      </c>
      <c r="I448" s="1011"/>
      <c r="J448" s="1"/>
      <c r="K448" s="1"/>
      <c r="L448"/>
      <c r="M448" s="1"/>
      <c r="N448" s="1"/>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row>
    <row r="449" spans="1:96" ht="12.75" customHeight="1" outlineLevel="2" x14ac:dyDescent="0.2">
      <c r="A449"/>
      <c r="B449" s="1395"/>
      <c r="C449" s="1002"/>
      <c r="D449" s="1003"/>
      <c r="E449" s="1003"/>
      <c r="F449" s="1003" t="s">
        <v>15106</v>
      </c>
      <c r="G449" s="1004"/>
      <c r="H449" s="1003" t="s">
        <v>15107</v>
      </c>
      <c r="I449" s="1011"/>
      <c r="J449" s="1"/>
      <c r="K449" s="1"/>
      <c r="L449"/>
      <c r="M449" s="1"/>
      <c r="N449" s="1"/>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row>
    <row r="450" spans="1:96" ht="12.75" customHeight="1" outlineLevel="2" x14ac:dyDescent="0.2">
      <c r="A450"/>
      <c r="B450" s="1395"/>
      <c r="C450" s="1002"/>
      <c r="D450" s="1003"/>
      <c r="E450" s="1003"/>
      <c r="F450" s="1003" t="s">
        <v>15108</v>
      </c>
      <c r="G450" s="1004"/>
      <c r="H450" s="1003" t="s">
        <v>15109</v>
      </c>
      <c r="I450" s="1011"/>
      <c r="J450" s="1"/>
      <c r="K450" s="1"/>
      <c r="L450"/>
      <c r="M450" s="1"/>
      <c r="N450" s="1"/>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row>
    <row r="451" spans="1:96" ht="12.75" customHeight="1" outlineLevel="2" x14ac:dyDescent="0.2">
      <c r="A451"/>
      <c r="B451" s="1395"/>
      <c r="C451" s="1002"/>
      <c r="D451" s="1003"/>
      <c r="E451" s="1003"/>
      <c r="F451" s="1003" t="s">
        <v>15110</v>
      </c>
      <c r="G451" s="1004"/>
      <c r="H451" s="1003" t="s">
        <v>15111</v>
      </c>
      <c r="I451" s="1011"/>
      <c r="J451" s="1"/>
      <c r="K451" s="1"/>
      <c r="L451"/>
      <c r="M451" s="1"/>
      <c r="N451" s="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row>
    <row r="452" spans="1:96" ht="12.75" customHeight="1" outlineLevel="2" x14ac:dyDescent="0.2">
      <c r="A452"/>
      <c r="B452" s="1395"/>
      <c r="C452" s="1002"/>
      <c r="D452" s="1003"/>
      <c r="E452" s="1003"/>
      <c r="F452" s="1003" t="s">
        <v>15112</v>
      </c>
      <c r="G452" s="1004"/>
      <c r="H452" s="1003" t="s">
        <v>15113</v>
      </c>
      <c r="I452" s="1011"/>
      <c r="J452" s="1"/>
      <c r="K452" s="1"/>
      <c r="L452"/>
      <c r="M452" s="1"/>
      <c r="N452" s="1"/>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row>
    <row r="453" spans="1:96" ht="12.75" customHeight="1" outlineLevel="2" x14ac:dyDescent="0.2">
      <c r="A453"/>
      <c r="B453" s="1395"/>
      <c r="C453" s="1002"/>
      <c r="D453" s="1003"/>
      <c r="E453" s="1003"/>
      <c r="F453" s="1003" t="s">
        <v>15114</v>
      </c>
      <c r="G453" s="1004"/>
      <c r="H453" s="1003" t="s">
        <v>15115</v>
      </c>
      <c r="I453" s="1011"/>
      <c r="J453" s="1"/>
      <c r="K453" s="1"/>
      <c r="L453"/>
      <c r="M453" s="1"/>
      <c r="N453" s="1"/>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row>
    <row r="454" spans="1:96" ht="12.75" customHeight="1" outlineLevel="2" x14ac:dyDescent="0.2">
      <c r="A454"/>
      <c r="B454" s="1395"/>
      <c r="C454" s="1002"/>
      <c r="D454" s="1003"/>
      <c r="E454" s="1003"/>
      <c r="F454" s="1003" t="s">
        <v>15116</v>
      </c>
      <c r="G454" s="1004"/>
      <c r="H454" s="1003" t="s">
        <v>15117</v>
      </c>
      <c r="I454" s="1011"/>
      <c r="J454" s="1"/>
      <c r="K454" s="1"/>
      <c r="L454"/>
      <c r="M454" s="1"/>
      <c r="N454" s="1"/>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row>
    <row r="455" spans="1:96" ht="12.75" customHeight="1" outlineLevel="2" x14ac:dyDescent="0.2">
      <c r="A455"/>
      <c r="B455" s="1395"/>
      <c r="C455" s="1002"/>
      <c r="D455" s="1003"/>
      <c r="E455" s="1003"/>
      <c r="F455" s="1003" t="s">
        <v>15118</v>
      </c>
      <c r="G455" s="1004"/>
      <c r="H455" s="1003" t="s">
        <v>15119</v>
      </c>
      <c r="I455" s="1011"/>
      <c r="J455" s="1"/>
      <c r="K455" s="1"/>
      <c r="L455"/>
      <c r="M455" s="1"/>
      <c r="N455" s="1"/>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row>
    <row r="456" spans="1:96" ht="12.75" customHeight="1" outlineLevel="2" x14ac:dyDescent="0.2">
      <c r="A456"/>
      <c r="B456" s="1395"/>
      <c r="C456" s="1002"/>
      <c r="D456" s="1003"/>
      <c r="E456" s="1003"/>
      <c r="F456" s="1003" t="s">
        <v>15120</v>
      </c>
      <c r="G456" s="1004"/>
      <c r="H456" s="1003" t="s">
        <v>15121</v>
      </c>
      <c r="I456" s="1011"/>
      <c r="J456" s="1"/>
      <c r="K456" s="1"/>
      <c r="L456"/>
      <c r="M456" s="1"/>
      <c r="N456" s="1"/>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row>
    <row r="457" spans="1:96" ht="12.75" customHeight="1" outlineLevel="2" x14ac:dyDescent="0.2">
      <c r="A457"/>
      <c r="B457" s="1395"/>
      <c r="C457" s="1002"/>
      <c r="D457" s="1003"/>
      <c r="E457" s="1003"/>
      <c r="F457" s="1003" t="s">
        <v>15122</v>
      </c>
      <c r="G457" s="1004"/>
      <c r="H457" s="1003"/>
      <c r="I457" s="1011"/>
      <c r="J457" s="1"/>
      <c r="K457" s="1"/>
      <c r="L457"/>
      <c r="M457" s="1"/>
      <c r="N457" s="1"/>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row>
    <row r="458" spans="1:96" ht="12.75" customHeight="1" outlineLevel="2" x14ac:dyDescent="0.2">
      <c r="A458"/>
      <c r="B458" s="1395"/>
      <c r="C458" s="1002"/>
      <c r="D458" s="1003"/>
      <c r="E458" s="1003"/>
      <c r="F458" s="1003" t="s">
        <v>15123</v>
      </c>
      <c r="G458" s="1004"/>
      <c r="H458" s="1003"/>
      <c r="I458" s="1011"/>
      <c r="J458" s="1"/>
      <c r="K458" s="1"/>
      <c r="L458"/>
      <c r="M458" s="1"/>
      <c r="N458" s="1"/>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row>
    <row r="459" spans="1:96" ht="12.75" customHeight="1" outlineLevel="2" x14ac:dyDescent="0.2">
      <c r="A459"/>
      <c r="B459" s="1395"/>
      <c r="C459" s="1002"/>
      <c r="D459" s="1003"/>
      <c r="E459" s="1003"/>
      <c r="F459" s="1003" t="s">
        <v>15124</v>
      </c>
      <c r="G459" s="1004"/>
      <c r="H459" s="1003"/>
      <c r="I459" s="1011"/>
      <c r="J459" s="1"/>
      <c r="K459" s="1"/>
      <c r="L459"/>
      <c r="M459" s="1"/>
      <c r="N459" s="1"/>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row>
    <row r="460" spans="1:96" ht="12.75" customHeight="1" outlineLevel="2" x14ac:dyDescent="0.2">
      <c r="A460"/>
      <c r="B460" s="1395"/>
      <c r="C460" s="1002"/>
      <c r="D460" s="1003"/>
      <c r="E460" s="1003"/>
      <c r="F460" s="1003" t="s">
        <v>15125</v>
      </c>
      <c r="G460" s="1004"/>
      <c r="H460" s="1003"/>
      <c r="I460" s="1011"/>
      <c r="J460" s="1"/>
      <c r="K460" s="1"/>
      <c r="L460"/>
      <c r="M460" s="1"/>
      <c r="N460" s="1"/>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row>
    <row r="461" spans="1:96" ht="12.75" customHeight="1" outlineLevel="2" x14ac:dyDescent="0.2">
      <c r="A461"/>
      <c r="B461" s="1395"/>
      <c r="C461" s="1002"/>
      <c r="D461" s="1003"/>
      <c r="E461" s="1003"/>
      <c r="F461" s="1003" t="s">
        <v>15126</v>
      </c>
      <c r="G461" s="1004"/>
      <c r="H461" s="1003"/>
      <c r="I461" s="1011"/>
      <c r="J461" s="1"/>
      <c r="K461" s="1"/>
      <c r="L461"/>
      <c r="M461" s="1"/>
      <c r="N461" s="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row>
    <row r="462" spans="1:96" ht="12.75" customHeight="1" outlineLevel="2" x14ac:dyDescent="0.2">
      <c r="A462"/>
      <c r="B462" s="1395"/>
      <c r="C462" s="1002"/>
      <c r="D462" s="1003"/>
      <c r="E462" s="1003"/>
      <c r="F462" s="1003" t="s">
        <v>15127</v>
      </c>
      <c r="G462" s="1004"/>
      <c r="H462" s="1003"/>
      <c r="I462" s="1011"/>
      <c r="J462" s="1"/>
      <c r="K462" s="1"/>
      <c r="L462"/>
      <c r="M462" s="1"/>
      <c r="N462" s="1"/>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row>
    <row r="463" spans="1:96" ht="12.75" customHeight="1" outlineLevel="2" x14ac:dyDescent="0.2">
      <c r="A463"/>
      <c r="B463" s="1395"/>
      <c r="C463" s="1002"/>
      <c r="D463" s="1003"/>
      <c r="E463" s="1003"/>
      <c r="F463" s="1003" t="s">
        <v>15128</v>
      </c>
      <c r="G463" s="1004"/>
      <c r="H463" s="1003"/>
      <c r="I463" s="1011"/>
      <c r="J463" s="1"/>
      <c r="K463" s="1"/>
      <c r="L463"/>
      <c r="M463" s="1"/>
      <c r="N463" s="1"/>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row>
    <row r="464" spans="1:96" ht="12.75" customHeight="1" outlineLevel="2" x14ac:dyDescent="0.2">
      <c r="A464"/>
      <c r="B464" s="1395"/>
      <c r="C464" s="1002"/>
      <c r="D464" s="1003"/>
      <c r="E464" s="1003"/>
      <c r="F464" s="1003" t="s">
        <v>15129</v>
      </c>
      <c r="G464" s="1004"/>
      <c r="H464" s="1003"/>
      <c r="I464" s="1011"/>
      <c r="J464" s="1"/>
      <c r="K464" s="1"/>
      <c r="L464"/>
      <c r="M464" s="1"/>
      <c r="N464" s="1"/>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row>
    <row r="465" spans="1:96" outlineLevel="1" x14ac:dyDescent="0.2">
      <c r="A465"/>
      <c r="B465" s="1395">
        <f>C465*1000000+D465*1000+E465</f>
        <v>26032</v>
      </c>
      <c r="C465" s="1002">
        <v>0</v>
      </c>
      <c r="D465" s="1003">
        <v>26</v>
      </c>
      <c r="E465" s="1003">
        <v>32</v>
      </c>
      <c r="F465" s="1003" t="s">
        <v>1306</v>
      </c>
      <c r="G465" s="1004"/>
      <c r="H465" s="1003" t="s">
        <v>581</v>
      </c>
      <c r="I465" s="1011"/>
      <c r="J465" s="1"/>
      <c r="K465" s="1"/>
      <c r="L465"/>
      <c r="M465" s="1"/>
      <c r="N465" s="1"/>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row>
    <row r="466" spans="1:96" ht="12.75" customHeight="1" outlineLevel="2" x14ac:dyDescent="0.2">
      <c r="A466"/>
      <c r="B466" s="1395"/>
      <c r="C466" s="1002"/>
      <c r="D466" s="1003"/>
      <c r="E466" s="1003"/>
      <c r="F466" s="1003" t="s">
        <v>557</v>
      </c>
      <c r="G466" s="1004"/>
      <c r="H466" s="1003" t="s">
        <v>582</v>
      </c>
      <c r="I466" s="1011"/>
      <c r="J466" s="1"/>
      <c r="K466" s="1"/>
      <c r="L466"/>
      <c r="M466" s="1"/>
      <c r="N466" s="1"/>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row>
    <row r="467" spans="1:96" ht="12.75" customHeight="1" outlineLevel="2" x14ac:dyDescent="0.2">
      <c r="A467"/>
      <c r="B467" s="1395"/>
      <c r="C467" s="1002"/>
      <c r="D467" s="1003"/>
      <c r="E467" s="1003"/>
      <c r="F467" s="1003" t="s">
        <v>558</v>
      </c>
      <c r="G467" s="1004"/>
      <c r="H467" s="1003" t="s">
        <v>583</v>
      </c>
      <c r="I467" s="1011"/>
      <c r="J467" s="1"/>
      <c r="K467" s="1"/>
      <c r="L467"/>
      <c r="M467" s="1"/>
      <c r="N467" s="1"/>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row>
    <row r="468" spans="1:96" ht="12.75" customHeight="1" outlineLevel="2" x14ac:dyDescent="0.2">
      <c r="A468"/>
      <c r="B468" s="1395"/>
      <c r="C468" s="1002"/>
      <c r="D468" s="1003"/>
      <c r="E468" s="1003"/>
      <c r="F468" s="1003" t="s">
        <v>559</v>
      </c>
      <c r="G468" s="1004"/>
      <c r="H468" s="1003" t="s">
        <v>584</v>
      </c>
      <c r="I468" s="1011"/>
      <c r="J468" s="1"/>
      <c r="K468" s="1"/>
      <c r="L468"/>
      <c r="M468" s="1"/>
      <c r="N468" s="1"/>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row>
    <row r="469" spans="1:96" ht="12.75" customHeight="1" outlineLevel="2" x14ac:dyDescent="0.2">
      <c r="A469"/>
      <c r="B469" s="1395"/>
      <c r="C469" s="1002"/>
      <c r="D469" s="1003"/>
      <c r="E469" s="1003"/>
      <c r="F469" s="1003" t="s">
        <v>560</v>
      </c>
      <c r="G469" s="1004"/>
      <c r="H469" s="1003" t="s">
        <v>585</v>
      </c>
      <c r="I469" s="1011"/>
      <c r="J469" s="1"/>
      <c r="K469" s="1"/>
      <c r="L469"/>
      <c r="M469" s="1"/>
      <c r="N469" s="1"/>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row>
    <row r="470" spans="1:96" ht="12.75" customHeight="1" outlineLevel="2" x14ac:dyDescent="0.2">
      <c r="A470"/>
      <c r="B470" s="1395"/>
      <c r="C470" s="1002"/>
      <c r="D470" s="1003"/>
      <c r="E470" s="1003"/>
      <c r="F470" s="1003" t="s">
        <v>561</v>
      </c>
      <c r="G470" s="1004"/>
      <c r="H470" s="1003" t="s">
        <v>586</v>
      </c>
      <c r="I470" s="1011"/>
      <c r="J470" s="1"/>
      <c r="K470" s="1"/>
      <c r="L470"/>
      <c r="M470" s="1"/>
      <c r="N470" s="1"/>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row>
    <row r="471" spans="1:96" ht="12.75" customHeight="1" outlineLevel="2" x14ac:dyDescent="0.2">
      <c r="A471"/>
      <c r="B471" s="1395"/>
      <c r="C471" s="1002"/>
      <c r="D471" s="1003"/>
      <c r="E471" s="1003"/>
      <c r="F471" s="1003" t="s">
        <v>1312</v>
      </c>
      <c r="G471" s="1004"/>
      <c r="H471" s="1003" t="s">
        <v>587</v>
      </c>
      <c r="I471" s="1011"/>
      <c r="J471" s="1"/>
      <c r="K471" s="1"/>
      <c r="L471"/>
      <c r="M471" s="1"/>
      <c r="N471" s="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row>
    <row r="472" spans="1:96" ht="12.75" customHeight="1" outlineLevel="2" x14ac:dyDescent="0.2">
      <c r="A472"/>
      <c r="B472" s="1395"/>
      <c r="C472" s="1002"/>
      <c r="D472" s="1003"/>
      <c r="E472" s="1003"/>
      <c r="F472" s="1003" t="s">
        <v>562</v>
      </c>
      <c r="G472" s="1004"/>
      <c r="H472" s="1003" t="s">
        <v>588</v>
      </c>
      <c r="I472" s="1011"/>
      <c r="J472" s="1"/>
      <c r="K472" s="1"/>
      <c r="L472"/>
      <c r="M472" s="1"/>
      <c r="N472" s="1"/>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row>
    <row r="473" spans="1:96" ht="12.75" customHeight="1" outlineLevel="2" x14ac:dyDescent="0.2">
      <c r="A473"/>
      <c r="B473" s="1395"/>
      <c r="C473" s="1002"/>
      <c r="D473" s="1003"/>
      <c r="E473" s="1003"/>
      <c r="F473" s="1003" t="s">
        <v>563</v>
      </c>
      <c r="G473" s="1004"/>
      <c r="H473" s="1003" t="s">
        <v>589</v>
      </c>
      <c r="I473" s="1011"/>
      <c r="J473" s="1"/>
      <c r="K473" s="1"/>
      <c r="L473"/>
      <c r="M473" s="1"/>
      <c r="N473" s="1"/>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row>
    <row r="474" spans="1:96" ht="12.75" customHeight="1" outlineLevel="2" x14ac:dyDescent="0.2">
      <c r="A474"/>
      <c r="B474" s="1395"/>
      <c r="C474" s="1002"/>
      <c r="D474" s="1003"/>
      <c r="E474" s="1003"/>
      <c r="F474" s="1003" t="s">
        <v>564</v>
      </c>
      <c r="G474" s="1004"/>
      <c r="H474" s="1003" t="s">
        <v>590</v>
      </c>
      <c r="I474" s="1011"/>
      <c r="J474" s="1"/>
      <c r="K474" s="1"/>
      <c r="L474"/>
      <c r="M474" s="1"/>
      <c r="N474" s="1"/>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row>
    <row r="475" spans="1:96" ht="12.75" customHeight="1" outlineLevel="2" x14ac:dyDescent="0.2">
      <c r="A475"/>
      <c r="B475" s="1395"/>
      <c r="C475" s="1002"/>
      <c r="D475" s="1003"/>
      <c r="E475" s="1003"/>
      <c r="F475" s="1003" t="s">
        <v>565</v>
      </c>
      <c r="G475" s="1004"/>
      <c r="H475" s="1003" t="s">
        <v>591</v>
      </c>
      <c r="I475" s="1011"/>
      <c r="J475" s="1"/>
      <c r="K475" s="1"/>
      <c r="L475"/>
      <c r="M475" s="1"/>
      <c r="N475" s="1"/>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row>
    <row r="476" spans="1:96" ht="12.75" customHeight="1" outlineLevel="2" x14ac:dyDescent="0.2">
      <c r="A476"/>
      <c r="B476" s="1395"/>
      <c r="C476" s="1002"/>
      <c r="D476" s="1003"/>
      <c r="E476" s="1003"/>
      <c r="F476" s="1003" t="s">
        <v>566</v>
      </c>
      <c r="G476" s="1004"/>
      <c r="H476" s="1003" t="s">
        <v>592</v>
      </c>
      <c r="I476" s="1011"/>
      <c r="J476" s="1"/>
      <c r="K476" s="1"/>
      <c r="L476"/>
      <c r="M476" s="1"/>
      <c r="N476" s="1"/>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row>
    <row r="477" spans="1:96" ht="12.75" customHeight="1" outlineLevel="2" x14ac:dyDescent="0.2">
      <c r="A477"/>
      <c r="B477" s="1395"/>
      <c r="C477" s="1002"/>
      <c r="D477" s="1003"/>
      <c r="E477" s="1003"/>
      <c r="F477" s="1003" t="s">
        <v>567</v>
      </c>
      <c r="G477" s="1004"/>
      <c r="H477" s="1003" t="s">
        <v>593</v>
      </c>
      <c r="I477" s="1011"/>
      <c r="J477" s="1"/>
      <c r="K477" s="1"/>
      <c r="L477"/>
      <c r="M477" s="1"/>
      <c r="N477" s="1"/>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row>
    <row r="478" spans="1:96" ht="12.75" customHeight="1" outlineLevel="2" x14ac:dyDescent="0.2">
      <c r="A478"/>
      <c r="B478" s="1395"/>
      <c r="C478" s="1002"/>
      <c r="D478" s="1003"/>
      <c r="E478" s="1003"/>
      <c r="F478" s="1003" t="s">
        <v>568</v>
      </c>
      <c r="G478" s="1004"/>
      <c r="H478" s="1003" t="s">
        <v>594</v>
      </c>
      <c r="I478" s="1011"/>
      <c r="J478" s="1"/>
      <c r="K478" s="1"/>
      <c r="L478"/>
      <c r="M478" s="1"/>
      <c r="N478" s="1"/>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row>
    <row r="479" spans="1:96" ht="12.75" customHeight="1" outlineLevel="2" x14ac:dyDescent="0.2">
      <c r="A479"/>
      <c r="B479" s="1395"/>
      <c r="C479" s="1002"/>
      <c r="D479" s="1003"/>
      <c r="E479" s="1003"/>
      <c r="F479" s="1003" t="s">
        <v>569</v>
      </c>
      <c r="G479" s="1004"/>
      <c r="H479" s="1003" t="s">
        <v>595</v>
      </c>
      <c r="I479" s="1011"/>
      <c r="J479" s="1"/>
      <c r="K479" s="1"/>
      <c r="L479"/>
      <c r="M479" s="1"/>
      <c r="N479" s="1"/>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row>
    <row r="480" spans="1:96" ht="12.75" customHeight="1" outlineLevel="2" x14ac:dyDescent="0.2">
      <c r="A480"/>
      <c r="B480" s="1395"/>
      <c r="C480" s="1002"/>
      <c r="D480" s="1003"/>
      <c r="E480" s="1003"/>
      <c r="F480" s="1003" t="s">
        <v>570</v>
      </c>
      <c r="G480" s="1004"/>
      <c r="H480" s="1003" t="s">
        <v>596</v>
      </c>
      <c r="I480" s="1011"/>
      <c r="J480" s="1"/>
      <c r="K480" s="1"/>
      <c r="L480"/>
      <c r="M480" s="1"/>
      <c r="N480" s="1"/>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row>
    <row r="481" spans="1:96" ht="12.75" customHeight="1" outlineLevel="2" x14ac:dyDescent="0.2">
      <c r="A481"/>
      <c r="B481" s="1395"/>
      <c r="C481" s="1002"/>
      <c r="D481" s="1003"/>
      <c r="E481" s="1003"/>
      <c r="F481" s="1003" t="s">
        <v>571</v>
      </c>
      <c r="G481" s="1004"/>
      <c r="H481" s="1003"/>
      <c r="I481" s="1011"/>
      <c r="J481" s="1"/>
      <c r="K481" s="1"/>
      <c r="L481"/>
      <c r="M481" s="1"/>
      <c r="N481" s="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row>
    <row r="482" spans="1:96" ht="12.75" customHeight="1" outlineLevel="2" x14ac:dyDescent="0.2">
      <c r="A482"/>
      <c r="B482" s="1395"/>
      <c r="C482" s="1002"/>
      <c r="D482" s="1003"/>
      <c r="E482" s="1003"/>
      <c r="F482" s="1003" t="s">
        <v>572</v>
      </c>
      <c r="G482" s="1004"/>
      <c r="H482" s="1003"/>
      <c r="I482" s="1011"/>
      <c r="J482" s="1"/>
      <c r="K482" s="1"/>
      <c r="L482"/>
      <c r="M482" s="1"/>
      <c r="N482" s="1"/>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row>
    <row r="483" spans="1:96" ht="12.75" customHeight="1" outlineLevel="2" x14ac:dyDescent="0.2">
      <c r="A483"/>
      <c r="B483" s="1395"/>
      <c r="C483" s="1002"/>
      <c r="D483" s="1003"/>
      <c r="E483" s="1003"/>
      <c r="F483" s="1003" t="s">
        <v>573</v>
      </c>
      <c r="G483" s="1004"/>
      <c r="H483" s="1003"/>
      <c r="I483" s="1011"/>
      <c r="J483" s="1"/>
      <c r="K483" s="1"/>
      <c r="L483"/>
      <c r="M483" s="1"/>
      <c r="N483" s="1"/>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row>
    <row r="484" spans="1:96" ht="12.75" customHeight="1" outlineLevel="2" x14ac:dyDescent="0.2">
      <c r="A484"/>
      <c r="B484" s="1395"/>
      <c r="C484" s="1002"/>
      <c r="D484" s="1003"/>
      <c r="E484" s="1003"/>
      <c r="F484" s="1003" t="s">
        <v>574</v>
      </c>
      <c r="G484" s="1004"/>
      <c r="H484" s="1003"/>
      <c r="I484" s="1011"/>
      <c r="J484" s="1"/>
      <c r="K484" s="1"/>
      <c r="L484"/>
      <c r="M484" s="1"/>
      <c r="N484" s="1"/>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row>
    <row r="485" spans="1:96" ht="12.75" customHeight="1" outlineLevel="2" x14ac:dyDescent="0.2">
      <c r="A485"/>
      <c r="B485" s="1395"/>
      <c r="C485" s="1002"/>
      <c r="D485" s="1003"/>
      <c r="E485" s="1003"/>
      <c r="F485" s="1003" t="s">
        <v>575</v>
      </c>
      <c r="G485" s="1004"/>
      <c r="H485" s="1003"/>
      <c r="I485" s="1011"/>
      <c r="J485" s="1"/>
      <c r="K485" s="1"/>
      <c r="L485"/>
      <c r="M485" s="1"/>
      <c r="N485" s="1"/>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row>
    <row r="486" spans="1:96" ht="12.75" customHeight="1" outlineLevel="2" x14ac:dyDescent="0.2">
      <c r="A486"/>
      <c r="B486" s="1395"/>
      <c r="C486" s="1002"/>
      <c r="D486" s="1003"/>
      <c r="E486" s="1003"/>
      <c r="F486" s="1003" t="s">
        <v>576</v>
      </c>
      <c r="G486" s="1004"/>
      <c r="H486" s="1003"/>
      <c r="I486" s="1011"/>
      <c r="J486" s="1"/>
      <c r="K486" s="1"/>
      <c r="L486"/>
      <c r="M486" s="1"/>
      <c r="N486" s="1"/>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row>
    <row r="487" spans="1:96" ht="12.75" customHeight="1" outlineLevel="2" x14ac:dyDescent="0.2">
      <c r="A487"/>
      <c r="B487" s="1395"/>
      <c r="C487" s="1002"/>
      <c r="D487" s="1003"/>
      <c r="E487" s="1003"/>
      <c r="F487" s="1003" t="s">
        <v>577</v>
      </c>
      <c r="G487" s="1004"/>
      <c r="H487" s="1003"/>
      <c r="I487" s="1011"/>
      <c r="J487" s="1"/>
      <c r="K487" s="1"/>
      <c r="L487"/>
      <c r="M487" s="1"/>
      <c r="N487" s="1"/>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row>
    <row r="488" spans="1:96" ht="12.75" customHeight="1" outlineLevel="2" x14ac:dyDescent="0.2">
      <c r="A488"/>
      <c r="B488" s="1395"/>
      <c r="C488" s="1002"/>
      <c r="D488" s="1003"/>
      <c r="E488" s="1003"/>
      <c r="F488" s="1003" t="s">
        <v>578</v>
      </c>
      <c r="G488" s="1004"/>
      <c r="H488" s="1003"/>
      <c r="I488" s="1011"/>
      <c r="J488" s="1"/>
      <c r="K488" s="1"/>
      <c r="L488"/>
      <c r="M488" s="1"/>
      <c r="N488" s="1"/>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row>
    <row r="489" spans="1:96" ht="12.75" customHeight="1" outlineLevel="2" x14ac:dyDescent="0.2">
      <c r="A489"/>
      <c r="B489" s="1395"/>
      <c r="C489" s="1002"/>
      <c r="D489" s="1003"/>
      <c r="E489" s="1003"/>
      <c r="F489" s="1003" t="s">
        <v>579</v>
      </c>
      <c r="G489" s="1004"/>
      <c r="H489" s="1003"/>
      <c r="I489" s="1011"/>
      <c r="J489" s="1"/>
      <c r="K489" s="1"/>
      <c r="L489"/>
      <c r="M489" s="1"/>
      <c r="N489" s="1"/>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row>
    <row r="490" spans="1:96" ht="12.75" customHeight="1" outlineLevel="2" x14ac:dyDescent="0.2">
      <c r="A490"/>
      <c r="B490" s="1395"/>
      <c r="C490" s="1002"/>
      <c r="D490" s="1003"/>
      <c r="E490" s="1003"/>
      <c r="F490" s="1003" t="s">
        <v>580</v>
      </c>
      <c r="G490" s="1004"/>
      <c r="H490" s="1003"/>
      <c r="I490" s="1011"/>
      <c r="J490" s="1"/>
      <c r="K490" s="1"/>
      <c r="L490"/>
      <c r="M490" s="1"/>
      <c r="N490" s="1"/>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row>
    <row r="491" spans="1:96" outlineLevel="1" x14ac:dyDescent="0.2">
      <c r="A491"/>
      <c r="B491" s="1395">
        <f>C491*1000000+D491*1000+E491</f>
        <v>28032</v>
      </c>
      <c r="C491" s="1002">
        <v>0</v>
      </c>
      <c r="D491" s="1003">
        <v>28</v>
      </c>
      <c r="E491" s="1003">
        <v>32</v>
      </c>
      <c r="F491" s="1003" t="s">
        <v>1243</v>
      </c>
      <c r="G491" s="1004"/>
      <c r="H491" s="1003" t="s">
        <v>615</v>
      </c>
      <c r="I491" s="1011"/>
      <c r="J491" s="1"/>
      <c r="K491" s="1"/>
      <c r="L491"/>
      <c r="M491" s="1"/>
      <c r="N491" s="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row>
    <row r="492" spans="1:96" ht="12.75" customHeight="1" outlineLevel="2" x14ac:dyDescent="0.2">
      <c r="A492"/>
      <c r="B492" s="1395"/>
      <c r="C492" s="1002"/>
      <c r="D492" s="1003"/>
      <c r="E492" s="1003"/>
      <c r="F492" s="1003" t="s">
        <v>1244</v>
      </c>
      <c r="G492" s="1004"/>
      <c r="H492" s="1003" t="s">
        <v>616</v>
      </c>
      <c r="I492" s="1011"/>
      <c r="J492" s="1"/>
      <c r="K492" s="1"/>
      <c r="L492"/>
      <c r="M492" s="1"/>
      <c r="N492" s="1"/>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row>
    <row r="493" spans="1:96" ht="12.75" customHeight="1" outlineLevel="2" x14ac:dyDescent="0.2">
      <c r="A493"/>
      <c r="B493" s="1395"/>
      <c r="C493" s="1002"/>
      <c r="D493" s="1003"/>
      <c r="E493" s="1003"/>
      <c r="F493" s="1003" t="s">
        <v>1322</v>
      </c>
      <c r="G493" s="1004"/>
      <c r="H493" s="1003" t="s">
        <v>617</v>
      </c>
      <c r="I493" s="1011"/>
      <c r="J493" s="1"/>
      <c r="K493" s="1"/>
      <c r="L493"/>
      <c r="M493" s="1"/>
      <c r="N493" s="1"/>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row>
    <row r="494" spans="1:96" ht="12.75" customHeight="1" outlineLevel="2" x14ac:dyDescent="0.2">
      <c r="A494"/>
      <c r="B494" s="1395"/>
      <c r="C494" s="1002"/>
      <c r="D494" s="1003"/>
      <c r="E494" s="1003"/>
      <c r="F494" s="1003" t="s">
        <v>1323</v>
      </c>
      <c r="G494" s="1004"/>
      <c r="H494" s="1003" t="s">
        <v>618</v>
      </c>
      <c r="I494" s="1011"/>
      <c r="J494" s="1"/>
      <c r="K494" s="1"/>
      <c r="L494"/>
      <c r="M494" s="1"/>
      <c r="N494" s="1"/>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row>
    <row r="495" spans="1:96" ht="12.75" customHeight="1" outlineLevel="2" x14ac:dyDescent="0.2">
      <c r="A495"/>
      <c r="B495" s="1395"/>
      <c r="C495" s="1002"/>
      <c r="D495" s="1003"/>
      <c r="E495" s="1003"/>
      <c r="F495" s="1003" t="s">
        <v>1324</v>
      </c>
      <c r="G495" s="1004"/>
      <c r="H495" s="1003" t="s">
        <v>619</v>
      </c>
      <c r="I495" s="1011"/>
      <c r="J495" s="1"/>
      <c r="K495" s="1"/>
      <c r="L495"/>
      <c r="M495" s="1"/>
      <c r="N495" s="1"/>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row>
    <row r="496" spans="1:96" ht="12.75" customHeight="1" outlineLevel="2" x14ac:dyDescent="0.2">
      <c r="A496"/>
      <c r="B496" s="1395"/>
      <c r="C496" s="1002"/>
      <c r="D496" s="1003"/>
      <c r="E496" s="1003"/>
      <c r="F496" s="1003" t="s">
        <v>1325</v>
      </c>
      <c r="G496" s="1004"/>
      <c r="H496" s="1003" t="s">
        <v>620</v>
      </c>
      <c r="I496" s="1011"/>
      <c r="J496" s="1"/>
      <c r="K496" s="1"/>
      <c r="L496"/>
      <c r="M496" s="1"/>
      <c r="N496" s="1"/>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row>
    <row r="497" spans="1:96" ht="12.75" customHeight="1" outlineLevel="2" x14ac:dyDescent="0.2">
      <c r="A497"/>
      <c r="B497" s="1395"/>
      <c r="C497" s="1002"/>
      <c r="D497" s="1003"/>
      <c r="E497" s="1003"/>
      <c r="F497" s="1003" t="s">
        <v>1326</v>
      </c>
      <c r="G497" s="1004"/>
      <c r="H497" s="1003" t="s">
        <v>621</v>
      </c>
      <c r="I497" s="1011"/>
      <c r="J497" s="1"/>
      <c r="K497" s="1"/>
      <c r="L497"/>
      <c r="M497" s="1"/>
      <c r="N497" s="1"/>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row>
    <row r="498" spans="1:96" ht="12.75" customHeight="1" outlineLevel="2" x14ac:dyDescent="0.2">
      <c r="A498"/>
      <c r="B498" s="1395"/>
      <c r="C498" s="1002"/>
      <c r="D498" s="1003"/>
      <c r="E498" s="1003"/>
      <c r="F498" s="1003" t="s">
        <v>1327</v>
      </c>
      <c r="G498" s="1004"/>
      <c r="H498" s="1003" t="s">
        <v>622</v>
      </c>
      <c r="I498" s="1011"/>
      <c r="J498" s="1"/>
      <c r="K498" s="1"/>
      <c r="L498"/>
      <c r="M498" s="1"/>
      <c r="N498" s="1"/>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row>
    <row r="499" spans="1:96" ht="12.75" customHeight="1" outlineLevel="2" x14ac:dyDescent="0.2">
      <c r="A499"/>
      <c r="B499" s="1395"/>
      <c r="C499" s="1002"/>
      <c r="D499" s="1003"/>
      <c r="E499" s="1003"/>
      <c r="F499" s="1003" t="s">
        <v>1328</v>
      </c>
      <c r="G499" s="1004"/>
      <c r="H499" s="1003" t="s">
        <v>623</v>
      </c>
      <c r="I499" s="1011"/>
      <c r="J499" s="1"/>
      <c r="K499" s="1"/>
      <c r="L499"/>
      <c r="M499" s="1"/>
      <c r="N499" s="1"/>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row>
    <row r="500" spans="1:96" ht="12.75" customHeight="1" outlineLevel="2" x14ac:dyDescent="0.2">
      <c r="A500"/>
      <c r="B500" s="1395"/>
      <c r="C500" s="1002"/>
      <c r="D500" s="1003"/>
      <c r="E500" s="1003"/>
      <c r="F500" s="1003" t="s">
        <v>1329</v>
      </c>
      <c r="G500" s="1004"/>
      <c r="H500" s="1003" t="s">
        <v>624</v>
      </c>
      <c r="I500" s="1011"/>
      <c r="J500" s="1"/>
      <c r="K500" s="1"/>
      <c r="L500"/>
      <c r="M500" s="1"/>
      <c r="N500" s="1"/>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row>
    <row r="501" spans="1:96" ht="12.75" customHeight="1" outlineLevel="2" x14ac:dyDescent="0.2">
      <c r="A501"/>
      <c r="B501" s="1395"/>
      <c r="C501" s="1002"/>
      <c r="D501" s="1003"/>
      <c r="E501" s="1003"/>
      <c r="F501" s="1003" t="s">
        <v>597</v>
      </c>
      <c r="G501" s="1004"/>
      <c r="H501" s="1003" t="s">
        <v>625</v>
      </c>
      <c r="I501" s="1011"/>
      <c r="J501" s="1"/>
      <c r="K501" s="1"/>
      <c r="L501"/>
      <c r="M501" s="1"/>
      <c r="N501" s="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row>
    <row r="502" spans="1:96" ht="12.75" customHeight="1" outlineLevel="2" x14ac:dyDescent="0.2">
      <c r="A502"/>
      <c r="B502" s="1395"/>
      <c r="C502" s="1002"/>
      <c r="D502" s="1003"/>
      <c r="E502" s="1003"/>
      <c r="F502" s="1003" t="s">
        <v>598</v>
      </c>
      <c r="G502" s="1004"/>
      <c r="H502" s="1003" t="s">
        <v>626</v>
      </c>
      <c r="I502" s="1011"/>
      <c r="J502" s="1"/>
      <c r="K502" s="1"/>
      <c r="L502"/>
      <c r="M502" s="1"/>
      <c r="N502" s="1"/>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row>
    <row r="503" spans="1:96" ht="12.75" customHeight="1" outlineLevel="2" x14ac:dyDescent="0.2">
      <c r="A503"/>
      <c r="B503" s="1395"/>
      <c r="C503" s="1002"/>
      <c r="D503" s="1003"/>
      <c r="E503" s="1003"/>
      <c r="F503" s="1003" t="s">
        <v>599</v>
      </c>
      <c r="G503" s="1004"/>
      <c r="H503" s="1003" t="s">
        <v>627</v>
      </c>
      <c r="I503" s="1011"/>
      <c r="J503" s="1"/>
      <c r="K503" s="1"/>
      <c r="L503"/>
      <c r="M503" s="1"/>
      <c r="N503" s="1"/>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row>
    <row r="504" spans="1:96" ht="12.75" customHeight="1" outlineLevel="2" x14ac:dyDescent="0.2">
      <c r="A504"/>
      <c r="B504" s="1395"/>
      <c r="C504" s="1002"/>
      <c r="D504" s="1003"/>
      <c r="E504" s="1003"/>
      <c r="F504" s="1003" t="s">
        <v>600</v>
      </c>
      <c r="G504" s="1004"/>
      <c r="H504" s="1003" t="s">
        <v>628</v>
      </c>
      <c r="I504" s="1011"/>
      <c r="J504" s="1"/>
      <c r="K504" s="1"/>
      <c r="L504"/>
      <c r="M504" s="1"/>
      <c r="N504" s="1"/>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row>
    <row r="505" spans="1:96" ht="12.75" customHeight="1" outlineLevel="2" x14ac:dyDescent="0.2">
      <c r="A505"/>
      <c r="B505" s="1395"/>
      <c r="C505" s="1002"/>
      <c r="D505" s="1003"/>
      <c r="E505" s="1003"/>
      <c r="F505" s="1003" t="s">
        <v>601</v>
      </c>
      <c r="G505" s="1004"/>
      <c r="H505" s="1003" t="s">
        <v>629</v>
      </c>
      <c r="I505" s="1011"/>
      <c r="J505" s="1"/>
      <c r="K505" s="1"/>
      <c r="L505"/>
      <c r="M505" s="1"/>
      <c r="N505" s="1"/>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row>
    <row r="506" spans="1:96" ht="12.75" customHeight="1" outlineLevel="2" x14ac:dyDescent="0.2">
      <c r="A506"/>
      <c r="B506" s="1395"/>
      <c r="C506" s="1002"/>
      <c r="D506" s="1003"/>
      <c r="E506" s="1003"/>
      <c r="F506" s="1003" t="s">
        <v>602</v>
      </c>
      <c r="G506" s="1004"/>
      <c r="H506" s="1003" t="s">
        <v>630</v>
      </c>
      <c r="I506" s="1011"/>
      <c r="J506" s="1"/>
      <c r="K506" s="1"/>
      <c r="L506"/>
      <c r="M506" s="1"/>
      <c r="N506" s="1"/>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row>
    <row r="507" spans="1:96" ht="12.75" customHeight="1" outlineLevel="2" x14ac:dyDescent="0.2">
      <c r="A507"/>
      <c r="B507" s="1395"/>
      <c r="C507" s="1002"/>
      <c r="D507" s="1003"/>
      <c r="E507" s="1003"/>
      <c r="F507" s="1003" t="s">
        <v>603</v>
      </c>
      <c r="G507" s="1004"/>
      <c r="H507" s="1003"/>
      <c r="I507" s="1011"/>
      <c r="J507" s="1"/>
      <c r="K507" s="1"/>
      <c r="L507"/>
      <c r="M507" s="1"/>
      <c r="N507" s="1"/>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row>
    <row r="508" spans="1:96" ht="12.75" customHeight="1" outlineLevel="2" x14ac:dyDescent="0.2">
      <c r="A508"/>
      <c r="B508" s="1395"/>
      <c r="C508" s="1002"/>
      <c r="D508" s="1003"/>
      <c r="E508" s="1003"/>
      <c r="F508" s="1003" t="s">
        <v>604</v>
      </c>
      <c r="G508" s="1004"/>
      <c r="H508" s="1003"/>
      <c r="I508" s="1011"/>
      <c r="J508" s="1"/>
      <c r="K508" s="1"/>
      <c r="L508"/>
      <c r="M508" s="1"/>
      <c r="N508" s="1"/>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row>
    <row r="509" spans="1:96" ht="12.75" customHeight="1" outlineLevel="2" x14ac:dyDescent="0.2">
      <c r="A509"/>
      <c r="B509" s="1395"/>
      <c r="C509" s="1002"/>
      <c r="D509" s="1003"/>
      <c r="E509" s="1003"/>
      <c r="F509" s="1003" t="s">
        <v>605</v>
      </c>
      <c r="G509" s="1004"/>
      <c r="H509" s="1003"/>
      <c r="I509" s="1011"/>
      <c r="J509" s="1"/>
      <c r="K509" s="1"/>
      <c r="L509"/>
      <c r="M509" s="1"/>
      <c r="N509" s="1"/>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row>
    <row r="510" spans="1:96" ht="12.75" customHeight="1" outlineLevel="2" x14ac:dyDescent="0.2">
      <c r="A510"/>
      <c r="B510" s="1395"/>
      <c r="C510" s="1002"/>
      <c r="D510" s="1003"/>
      <c r="E510" s="1003"/>
      <c r="F510" s="1003" t="s">
        <v>606</v>
      </c>
      <c r="G510" s="1004"/>
      <c r="H510" s="1003"/>
      <c r="I510" s="1011"/>
      <c r="J510" s="1"/>
      <c r="K510" s="1"/>
      <c r="L510"/>
      <c r="M510" s="1"/>
      <c r="N510" s="1"/>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row>
    <row r="511" spans="1:96" ht="12.75" customHeight="1" outlineLevel="2" x14ac:dyDescent="0.2">
      <c r="A511"/>
      <c r="B511" s="1395"/>
      <c r="C511" s="1002"/>
      <c r="D511" s="1003"/>
      <c r="E511" s="1003"/>
      <c r="F511" s="1003" t="s">
        <v>607</v>
      </c>
      <c r="G511" s="1004"/>
      <c r="H511" s="1003"/>
      <c r="I511" s="1011"/>
      <c r="J511" s="1"/>
      <c r="K511" s="1"/>
      <c r="L511"/>
      <c r="M511" s="1"/>
      <c r="N511" s="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row>
    <row r="512" spans="1:96" ht="12.75" customHeight="1" outlineLevel="2" x14ac:dyDescent="0.2">
      <c r="A512"/>
      <c r="B512" s="1395"/>
      <c r="C512" s="1002"/>
      <c r="D512" s="1003"/>
      <c r="E512" s="1003"/>
      <c r="F512" s="1003" t="s">
        <v>608</v>
      </c>
      <c r="G512" s="1004"/>
      <c r="H512" s="1003"/>
      <c r="I512" s="1011"/>
      <c r="J512" s="1"/>
      <c r="K512" s="1"/>
      <c r="L512"/>
      <c r="M512" s="1"/>
      <c r="N512" s="1"/>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row>
    <row r="513" spans="1:96" ht="12.75" customHeight="1" outlineLevel="2" x14ac:dyDescent="0.2">
      <c r="A513"/>
      <c r="B513" s="1395"/>
      <c r="C513" s="1002"/>
      <c r="D513" s="1003"/>
      <c r="E513" s="1003"/>
      <c r="F513" s="1003" t="s">
        <v>609</v>
      </c>
      <c r="G513" s="1004"/>
      <c r="H513" s="1003"/>
      <c r="I513" s="1011"/>
      <c r="J513" s="1"/>
      <c r="K513" s="1"/>
      <c r="L513"/>
      <c r="M513" s="1"/>
      <c r="N513" s="1"/>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row>
    <row r="514" spans="1:96" ht="12.75" customHeight="1" outlineLevel="2" x14ac:dyDescent="0.2">
      <c r="A514"/>
      <c r="B514" s="1395"/>
      <c r="C514" s="1002"/>
      <c r="D514" s="1003"/>
      <c r="E514" s="1003"/>
      <c r="F514" s="1003" t="s">
        <v>610</v>
      </c>
      <c r="G514" s="1004"/>
      <c r="H514" s="1003"/>
      <c r="I514" s="1011"/>
      <c r="J514" s="1"/>
      <c r="K514" s="1"/>
      <c r="L514"/>
      <c r="M514" s="1"/>
      <c r="N514" s="1"/>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row>
    <row r="515" spans="1:96" ht="12.75" customHeight="1" outlineLevel="2" x14ac:dyDescent="0.2">
      <c r="A515"/>
      <c r="B515" s="1395"/>
      <c r="C515" s="1002"/>
      <c r="D515" s="1003"/>
      <c r="E515" s="1003"/>
      <c r="F515" s="1003" t="s">
        <v>611</v>
      </c>
      <c r="G515" s="1004"/>
      <c r="H515" s="1003"/>
      <c r="I515" s="1011"/>
      <c r="J515" s="1"/>
      <c r="K515" s="1"/>
      <c r="L515"/>
      <c r="M515" s="1"/>
      <c r="N515" s="1"/>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row>
    <row r="516" spans="1:96" ht="12.75" customHeight="1" outlineLevel="2" x14ac:dyDescent="0.2">
      <c r="A516"/>
      <c r="B516" s="1395"/>
      <c r="C516" s="1002"/>
      <c r="D516" s="1003"/>
      <c r="E516" s="1003"/>
      <c r="F516" s="1003" t="s">
        <v>612</v>
      </c>
      <c r="G516" s="1004"/>
      <c r="H516" s="1003"/>
      <c r="I516" s="1011"/>
      <c r="J516" s="1"/>
      <c r="K516" s="1"/>
      <c r="L516"/>
      <c r="M516" s="1"/>
      <c r="N516" s="1"/>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row>
    <row r="517" spans="1:96" ht="12.75" customHeight="1" outlineLevel="2" x14ac:dyDescent="0.2">
      <c r="A517"/>
      <c r="B517" s="1395"/>
      <c r="C517" s="1002"/>
      <c r="D517" s="1003"/>
      <c r="E517" s="1003"/>
      <c r="F517" s="1003" t="s">
        <v>613</v>
      </c>
      <c r="G517" s="1004"/>
      <c r="H517" s="1003"/>
      <c r="I517" s="1011"/>
      <c r="J517" s="1"/>
      <c r="K517" s="1"/>
      <c r="L517"/>
      <c r="M517" s="1"/>
      <c r="N517" s="1"/>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row>
    <row r="518" spans="1:96" ht="12.75" customHeight="1" outlineLevel="2" x14ac:dyDescent="0.2">
      <c r="A518"/>
      <c r="B518" s="1395"/>
      <c r="C518" s="1002"/>
      <c r="D518" s="1003"/>
      <c r="E518" s="1003"/>
      <c r="F518" s="1003" t="s">
        <v>614</v>
      </c>
      <c r="G518" s="1004"/>
      <c r="H518" s="1003"/>
      <c r="I518" s="1011"/>
      <c r="J518" s="1"/>
      <c r="K518" s="1"/>
      <c r="L518"/>
      <c r="M518" s="1"/>
      <c r="N518" s="1"/>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row>
    <row r="519" spans="1:96" outlineLevel="1" x14ac:dyDescent="0.2">
      <c r="A519"/>
      <c r="B519" s="1395">
        <f>C519*1000000+D519*1000+E519</f>
        <v>30032</v>
      </c>
      <c r="C519" s="1002">
        <v>0</v>
      </c>
      <c r="D519" s="1003">
        <v>30</v>
      </c>
      <c r="E519" s="1003">
        <v>32</v>
      </c>
      <c r="F519" s="1003" t="s">
        <v>1256</v>
      </c>
      <c r="G519" s="1004"/>
      <c r="H519" s="1003" t="s">
        <v>652</v>
      </c>
      <c r="I519" s="1011"/>
      <c r="J519" s="1"/>
      <c r="K519" s="1"/>
      <c r="L519"/>
      <c r="M519" s="1"/>
      <c r="N519" s="1"/>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row>
    <row r="520" spans="1:96" ht="12.75" customHeight="1" outlineLevel="2" x14ac:dyDescent="0.2">
      <c r="A520"/>
      <c r="B520" s="1395"/>
      <c r="C520" s="1002"/>
      <c r="D520" s="1003"/>
      <c r="E520" s="1003"/>
      <c r="F520" s="1003" t="s">
        <v>1340</v>
      </c>
      <c r="G520" s="1004"/>
      <c r="H520" s="1003" t="s">
        <v>653</v>
      </c>
      <c r="I520" s="1011"/>
      <c r="J520" s="1"/>
      <c r="K520" s="1"/>
      <c r="L520"/>
      <c r="M520" s="1"/>
      <c r="N520" s="1"/>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row>
    <row r="521" spans="1:96" ht="12.75" customHeight="1" outlineLevel="2" x14ac:dyDescent="0.2">
      <c r="A521"/>
      <c r="B521" s="1395"/>
      <c r="C521" s="1002"/>
      <c r="D521" s="1003"/>
      <c r="E521" s="1003"/>
      <c r="F521" s="1003" t="s">
        <v>631</v>
      </c>
      <c r="G521" s="1004"/>
      <c r="H521" s="1003" t="s">
        <v>654</v>
      </c>
      <c r="I521" s="1011"/>
      <c r="J521" s="1"/>
      <c r="K521" s="1"/>
      <c r="L521"/>
      <c r="M521" s="1"/>
      <c r="N521" s="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row>
    <row r="522" spans="1:96" ht="12.75" customHeight="1" outlineLevel="2" x14ac:dyDescent="0.2">
      <c r="A522"/>
      <c r="B522" s="1395"/>
      <c r="C522" s="1002"/>
      <c r="D522" s="1003"/>
      <c r="E522" s="1003"/>
      <c r="F522" s="1003" t="s">
        <v>1341</v>
      </c>
      <c r="G522" s="1004"/>
      <c r="H522" s="1003" t="s">
        <v>655</v>
      </c>
      <c r="I522" s="1011"/>
      <c r="J522" s="1"/>
      <c r="K522" s="1"/>
      <c r="L522"/>
      <c r="M522" s="1"/>
      <c r="N522" s="1"/>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row>
    <row r="523" spans="1:96" ht="12.75" customHeight="1" outlineLevel="2" x14ac:dyDescent="0.2">
      <c r="A523"/>
      <c r="B523" s="1395"/>
      <c r="C523" s="1002"/>
      <c r="D523" s="1003"/>
      <c r="E523" s="1003"/>
      <c r="F523" s="1003" t="s">
        <v>632</v>
      </c>
      <c r="G523" s="1004"/>
      <c r="H523" s="1003" t="s">
        <v>656</v>
      </c>
      <c r="I523" s="1011"/>
      <c r="J523" s="1"/>
      <c r="K523" s="1"/>
      <c r="L523"/>
      <c r="M523" s="1"/>
      <c r="N523" s="1"/>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row>
    <row r="524" spans="1:96" ht="12.75" customHeight="1" outlineLevel="2" x14ac:dyDescent="0.2">
      <c r="A524"/>
      <c r="B524" s="1395"/>
      <c r="C524" s="1002"/>
      <c r="D524" s="1003"/>
      <c r="E524" s="1003"/>
      <c r="F524" s="1003" t="s">
        <v>1342</v>
      </c>
      <c r="G524" s="1004"/>
      <c r="H524" s="1003" t="s">
        <v>657</v>
      </c>
      <c r="I524" s="1011"/>
      <c r="J524" s="1"/>
      <c r="K524" s="1"/>
      <c r="L524"/>
      <c r="M524" s="1"/>
      <c r="N524" s="1"/>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row>
    <row r="525" spans="1:96" ht="12.75" customHeight="1" outlineLevel="2" x14ac:dyDescent="0.2">
      <c r="A525"/>
      <c r="B525" s="1395"/>
      <c r="C525" s="1002"/>
      <c r="D525" s="1003"/>
      <c r="E525" s="1003"/>
      <c r="F525" s="1003" t="s">
        <v>633</v>
      </c>
      <c r="G525" s="1004"/>
      <c r="H525" s="1003" t="s">
        <v>658</v>
      </c>
      <c r="I525" s="1011"/>
      <c r="J525" s="1"/>
      <c r="K525" s="1"/>
      <c r="L525"/>
      <c r="M525" s="1"/>
      <c r="N525" s="1"/>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row>
    <row r="526" spans="1:96" ht="12.75" customHeight="1" outlineLevel="2" x14ac:dyDescent="0.2">
      <c r="A526"/>
      <c r="B526" s="1395"/>
      <c r="C526" s="1002"/>
      <c r="D526" s="1003"/>
      <c r="E526" s="1003"/>
      <c r="F526" s="1003" t="s">
        <v>1343</v>
      </c>
      <c r="G526" s="1004"/>
      <c r="H526" s="1003" t="s">
        <v>659</v>
      </c>
      <c r="I526" s="1011"/>
      <c r="J526" s="1"/>
      <c r="K526" s="1"/>
      <c r="L526"/>
      <c r="M526" s="1"/>
      <c r="N526" s="1"/>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row>
    <row r="527" spans="1:96" ht="12.75" customHeight="1" outlineLevel="2" x14ac:dyDescent="0.2">
      <c r="A527"/>
      <c r="B527" s="1395"/>
      <c r="C527" s="1002"/>
      <c r="D527" s="1003"/>
      <c r="E527" s="1003"/>
      <c r="F527" s="1003" t="s">
        <v>634</v>
      </c>
      <c r="G527" s="1004"/>
      <c r="H527" s="1003" t="s">
        <v>660</v>
      </c>
      <c r="I527" s="1011"/>
      <c r="J527" s="1"/>
      <c r="K527" s="1"/>
      <c r="L527"/>
      <c r="M527" s="1"/>
      <c r="N527" s="1"/>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row>
    <row r="528" spans="1:96" ht="12.75" customHeight="1" outlineLevel="2" x14ac:dyDescent="0.2">
      <c r="A528"/>
      <c r="B528" s="1395"/>
      <c r="C528" s="1002"/>
      <c r="D528" s="1003"/>
      <c r="E528" s="1003"/>
      <c r="F528" s="1003" t="s">
        <v>1344</v>
      </c>
      <c r="G528" s="1004"/>
      <c r="H528" s="1003" t="s">
        <v>661</v>
      </c>
      <c r="I528" s="1011"/>
      <c r="J528" s="1"/>
      <c r="K528" s="1"/>
      <c r="L528"/>
      <c r="M528" s="1"/>
      <c r="N528" s="1"/>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row>
    <row r="529" spans="1:96" ht="12.75" customHeight="1" outlineLevel="2" x14ac:dyDescent="0.2">
      <c r="A529"/>
      <c r="B529" s="1395"/>
      <c r="C529" s="1002"/>
      <c r="D529" s="1003"/>
      <c r="E529" s="1003"/>
      <c r="F529" s="1003" t="s">
        <v>1345</v>
      </c>
      <c r="G529" s="1004"/>
      <c r="H529" s="1003" t="s">
        <v>662</v>
      </c>
      <c r="I529" s="1011"/>
      <c r="J529" s="1"/>
      <c r="K529" s="1"/>
      <c r="L529"/>
      <c r="M529" s="1"/>
      <c r="N529" s="1"/>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row>
    <row r="530" spans="1:96" ht="12.75" customHeight="1" outlineLevel="2" x14ac:dyDescent="0.2">
      <c r="A530"/>
      <c r="B530" s="1395"/>
      <c r="C530" s="1002"/>
      <c r="D530" s="1003"/>
      <c r="E530" s="1003"/>
      <c r="F530" s="1003" t="s">
        <v>1346</v>
      </c>
      <c r="G530" s="1004"/>
      <c r="H530" s="1003" t="s">
        <v>663</v>
      </c>
      <c r="I530" s="1011"/>
      <c r="J530" s="1"/>
      <c r="K530" s="1"/>
      <c r="L530"/>
      <c r="M530" s="1"/>
      <c r="N530" s="1"/>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row>
    <row r="531" spans="1:96" ht="12.75" customHeight="1" outlineLevel="2" x14ac:dyDescent="0.2">
      <c r="A531"/>
      <c r="B531" s="1395"/>
      <c r="C531" s="1002"/>
      <c r="D531" s="1003"/>
      <c r="E531" s="1003"/>
      <c r="F531" s="1003" t="s">
        <v>1347</v>
      </c>
      <c r="G531" s="1004"/>
      <c r="H531" s="1003" t="s">
        <v>664</v>
      </c>
      <c r="I531" s="1011"/>
      <c r="J531" s="1"/>
      <c r="K531" s="1"/>
      <c r="L531"/>
      <c r="M531" s="1"/>
      <c r="N531" s="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row>
    <row r="532" spans="1:96" ht="12.75" customHeight="1" outlineLevel="2" x14ac:dyDescent="0.2">
      <c r="A532"/>
      <c r="B532" s="1395"/>
      <c r="C532" s="1002"/>
      <c r="D532" s="1003"/>
      <c r="E532" s="1003"/>
      <c r="F532" s="1003" t="s">
        <v>635</v>
      </c>
      <c r="G532" s="1004"/>
      <c r="H532" s="1003" t="s">
        <v>665</v>
      </c>
      <c r="I532" s="1011"/>
      <c r="J532" s="1"/>
      <c r="K532" s="1"/>
      <c r="L532"/>
      <c r="M532" s="1"/>
      <c r="N532" s="1"/>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row>
    <row r="533" spans="1:96" ht="12.75" customHeight="1" outlineLevel="2" x14ac:dyDescent="0.2">
      <c r="A533"/>
      <c r="B533" s="1395"/>
      <c r="C533" s="1002"/>
      <c r="D533" s="1003"/>
      <c r="E533" s="1003"/>
      <c r="F533" s="1003" t="s">
        <v>636</v>
      </c>
      <c r="G533" s="1004"/>
      <c r="H533" s="1003" t="s">
        <v>666</v>
      </c>
      <c r="I533" s="1011"/>
      <c r="J533" s="1"/>
      <c r="K533" s="1"/>
      <c r="L533"/>
      <c r="M533" s="1"/>
      <c r="N533" s="1"/>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row>
    <row r="534" spans="1:96" ht="12.75" customHeight="1" outlineLevel="2" x14ac:dyDescent="0.2">
      <c r="A534"/>
      <c r="B534" s="1395"/>
      <c r="C534" s="1002"/>
      <c r="D534" s="1003"/>
      <c r="E534" s="1003"/>
      <c r="F534" s="1003" t="s">
        <v>637</v>
      </c>
      <c r="G534" s="1004"/>
      <c r="H534" s="1003" t="s">
        <v>667</v>
      </c>
      <c r="I534" s="1011"/>
      <c r="J534" s="1"/>
      <c r="K534" s="1"/>
      <c r="L534"/>
      <c r="M534" s="1"/>
      <c r="N534" s="1"/>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row>
    <row r="535" spans="1:96" ht="12.75" customHeight="1" outlineLevel="2" x14ac:dyDescent="0.2">
      <c r="A535"/>
      <c r="B535" s="1395"/>
      <c r="C535" s="1002"/>
      <c r="D535" s="1003"/>
      <c r="E535" s="1003"/>
      <c r="F535" s="1003" t="s">
        <v>638</v>
      </c>
      <c r="G535" s="1004"/>
      <c r="H535" s="1003"/>
      <c r="I535" s="1011"/>
      <c r="J535" s="1"/>
      <c r="K535" s="1"/>
      <c r="L535"/>
      <c r="M535" s="1"/>
      <c r="N535" s="1"/>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row>
    <row r="536" spans="1:96" ht="12.75" customHeight="1" outlineLevel="2" x14ac:dyDescent="0.2">
      <c r="A536"/>
      <c r="B536" s="1395"/>
      <c r="C536" s="1002"/>
      <c r="D536" s="1003"/>
      <c r="E536" s="1003"/>
      <c r="F536" s="1003" t="s">
        <v>639</v>
      </c>
      <c r="G536" s="1004"/>
      <c r="H536" s="1003"/>
      <c r="I536" s="1011"/>
      <c r="J536" s="1"/>
      <c r="K536" s="1"/>
      <c r="L536"/>
      <c r="M536" s="1"/>
      <c r="N536" s="1"/>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row>
    <row r="537" spans="1:96" ht="12.75" customHeight="1" outlineLevel="2" x14ac:dyDescent="0.2">
      <c r="A537"/>
      <c r="B537" s="1395"/>
      <c r="C537" s="1002"/>
      <c r="D537" s="1003"/>
      <c r="E537" s="1003"/>
      <c r="F537" s="1003" t="s">
        <v>640</v>
      </c>
      <c r="G537" s="1004"/>
      <c r="H537" s="1003"/>
      <c r="I537" s="1011"/>
      <c r="J537" s="1"/>
      <c r="K537" s="1"/>
      <c r="L537"/>
      <c r="M537" s="1"/>
      <c r="N537" s="1"/>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row>
    <row r="538" spans="1:96" ht="12.75" customHeight="1" outlineLevel="2" x14ac:dyDescent="0.2">
      <c r="A538"/>
      <c r="B538" s="1395"/>
      <c r="C538" s="1002"/>
      <c r="D538" s="1003"/>
      <c r="E538" s="1003"/>
      <c r="F538" s="1003" t="s">
        <v>641</v>
      </c>
      <c r="G538" s="1004"/>
      <c r="H538" s="1003"/>
      <c r="I538" s="1011"/>
      <c r="J538" s="1"/>
      <c r="K538" s="1"/>
      <c r="L538"/>
      <c r="M538" s="1"/>
      <c r="N538" s="1"/>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row>
    <row r="539" spans="1:96" ht="12.75" customHeight="1" outlineLevel="2" x14ac:dyDescent="0.2">
      <c r="A539"/>
      <c r="B539" s="1395"/>
      <c r="C539" s="1002"/>
      <c r="D539" s="1003"/>
      <c r="E539" s="1003"/>
      <c r="F539" s="1003" t="s">
        <v>642</v>
      </c>
      <c r="G539" s="1004"/>
      <c r="H539" s="1003"/>
      <c r="I539" s="1011"/>
      <c r="J539" s="1"/>
      <c r="K539" s="1"/>
      <c r="L539"/>
      <c r="M539" s="1"/>
      <c r="N539" s="1"/>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row>
    <row r="540" spans="1:96" ht="12.75" customHeight="1" outlineLevel="2" x14ac:dyDescent="0.2">
      <c r="A540"/>
      <c r="B540" s="1395"/>
      <c r="C540" s="1002"/>
      <c r="D540" s="1003"/>
      <c r="E540" s="1003"/>
      <c r="F540" s="1003" t="s">
        <v>643</v>
      </c>
      <c r="G540" s="1004"/>
      <c r="H540" s="1003"/>
      <c r="I540" s="1011"/>
      <c r="J540" s="1"/>
      <c r="K540" s="1"/>
      <c r="L540"/>
      <c r="M540" s="1"/>
      <c r="N540" s="1"/>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row>
    <row r="541" spans="1:96" ht="12.75" customHeight="1" outlineLevel="2" x14ac:dyDescent="0.2">
      <c r="A541"/>
      <c r="B541" s="1395"/>
      <c r="C541" s="1002"/>
      <c r="D541" s="1003"/>
      <c r="E541" s="1003"/>
      <c r="F541" s="1003" t="s">
        <v>644</v>
      </c>
      <c r="G541" s="1004"/>
      <c r="H541" s="1003"/>
      <c r="I541" s="1011"/>
      <c r="J541" s="1"/>
      <c r="K541" s="1"/>
      <c r="L541"/>
      <c r="M541" s="1"/>
      <c r="N541" s="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row>
    <row r="542" spans="1:96" ht="12.75" customHeight="1" outlineLevel="2" x14ac:dyDescent="0.2">
      <c r="A542"/>
      <c r="B542" s="1395"/>
      <c r="C542" s="1002"/>
      <c r="D542" s="1003"/>
      <c r="E542" s="1003"/>
      <c r="F542" s="1003" t="s">
        <v>645</v>
      </c>
      <c r="G542" s="1004"/>
      <c r="H542" s="1003"/>
      <c r="I542" s="1011"/>
      <c r="J542" s="1"/>
      <c r="K542" s="1"/>
      <c r="L542"/>
      <c r="M542" s="1"/>
      <c r="N542" s="1"/>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row>
    <row r="543" spans="1:96" ht="12.75" customHeight="1" outlineLevel="2" x14ac:dyDescent="0.2">
      <c r="A543"/>
      <c r="B543" s="1395"/>
      <c r="C543" s="1002"/>
      <c r="D543" s="1003"/>
      <c r="E543" s="1003"/>
      <c r="F543" s="1003" t="s">
        <v>646</v>
      </c>
      <c r="G543" s="1004"/>
      <c r="H543" s="1003"/>
      <c r="I543" s="1011"/>
      <c r="J543" s="1"/>
      <c r="K543" s="1"/>
      <c r="L543"/>
      <c r="M543" s="1"/>
      <c r="N543" s="1"/>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row>
    <row r="544" spans="1:96" ht="12.75" customHeight="1" outlineLevel="2" x14ac:dyDescent="0.2">
      <c r="A544"/>
      <c r="B544" s="1395"/>
      <c r="C544" s="1002"/>
      <c r="D544" s="1003"/>
      <c r="E544" s="1003"/>
      <c r="F544" s="1003" t="s">
        <v>647</v>
      </c>
      <c r="G544" s="1004"/>
      <c r="H544" s="1003"/>
      <c r="I544" s="1011"/>
      <c r="J544" s="1"/>
      <c r="K544" s="1"/>
      <c r="L544"/>
      <c r="M544" s="1"/>
      <c r="N544" s="1"/>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row>
    <row r="545" spans="1:96" ht="12.75" customHeight="1" outlineLevel="2" x14ac:dyDescent="0.2">
      <c r="A545"/>
      <c r="B545" s="1395"/>
      <c r="C545" s="1002"/>
      <c r="D545" s="1003"/>
      <c r="E545" s="1003"/>
      <c r="F545" s="1003" t="s">
        <v>648</v>
      </c>
      <c r="G545" s="1004"/>
      <c r="H545" s="1003"/>
      <c r="I545" s="1011"/>
      <c r="J545" s="1"/>
      <c r="K545" s="1"/>
      <c r="L545"/>
      <c r="M545" s="1"/>
      <c r="N545" s="1"/>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row>
    <row r="546" spans="1:96" ht="12.75" customHeight="1" outlineLevel="2" x14ac:dyDescent="0.2">
      <c r="A546"/>
      <c r="B546" s="1395"/>
      <c r="C546" s="1002"/>
      <c r="D546" s="1003"/>
      <c r="E546" s="1003"/>
      <c r="F546" s="1003" t="s">
        <v>649</v>
      </c>
      <c r="G546" s="1004"/>
      <c r="H546" s="1003"/>
      <c r="I546" s="1011"/>
      <c r="J546" s="1"/>
      <c r="K546" s="1"/>
      <c r="L546"/>
      <c r="M546" s="1"/>
      <c r="N546" s="1"/>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row>
    <row r="547" spans="1:96" ht="12.75" customHeight="1" outlineLevel="2" x14ac:dyDescent="0.2">
      <c r="A547"/>
      <c r="B547" s="1395"/>
      <c r="C547" s="1002"/>
      <c r="D547" s="1003"/>
      <c r="E547" s="1003"/>
      <c r="F547" s="1003" t="s">
        <v>650</v>
      </c>
      <c r="G547" s="1004"/>
      <c r="H547" s="1003"/>
      <c r="I547" s="1011"/>
      <c r="J547" s="1"/>
      <c r="K547" s="1"/>
      <c r="L547"/>
      <c r="M547" s="1"/>
      <c r="N547" s="1"/>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row>
    <row r="548" spans="1:96" ht="12.75" customHeight="1" outlineLevel="2" x14ac:dyDescent="0.2">
      <c r="A548"/>
      <c r="B548" s="1395"/>
      <c r="C548" s="1002"/>
      <c r="D548" s="1003"/>
      <c r="E548" s="1003"/>
      <c r="F548" s="1003" t="s">
        <v>651</v>
      </c>
      <c r="G548" s="1004"/>
      <c r="H548" s="1003"/>
      <c r="I548" s="1011"/>
      <c r="J548" s="1"/>
      <c r="K548" s="1"/>
      <c r="L548"/>
      <c r="M548" s="1"/>
      <c r="N548" s="1"/>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row>
    <row r="549" spans="1:96" outlineLevel="1" x14ac:dyDescent="0.2">
      <c r="A549"/>
      <c r="B549" s="1395">
        <f>C549*1000000+D549*1000+E549</f>
        <v>64</v>
      </c>
      <c r="C549" s="1002">
        <v>0</v>
      </c>
      <c r="D549" s="1003">
        <v>0</v>
      </c>
      <c r="E549" s="1003">
        <v>64</v>
      </c>
      <c r="F549" s="1003"/>
      <c r="G549" s="1004"/>
      <c r="H549" s="1003" t="s">
        <v>668</v>
      </c>
      <c r="I549" s="1005" t="s">
        <v>684</v>
      </c>
      <c r="J549" s="1"/>
      <c r="K549" s="1"/>
      <c r="L549"/>
      <c r="M549" s="1"/>
      <c r="N549" s="1"/>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row>
    <row r="550" spans="1:96" ht="12.75" customHeight="1" outlineLevel="2" x14ac:dyDescent="0.2">
      <c r="A550"/>
      <c r="B550" s="1395"/>
      <c r="C550" s="1002"/>
      <c r="D550" s="1003"/>
      <c r="E550" s="1003"/>
      <c r="F550" s="1003"/>
      <c r="G550" s="1004"/>
      <c r="H550" s="1003" t="s">
        <v>669</v>
      </c>
      <c r="I550" s="1005" t="s">
        <v>685</v>
      </c>
      <c r="J550" s="1"/>
      <c r="K550" s="1"/>
      <c r="L550"/>
      <c r="M550" s="1"/>
      <c r="N550" s="1"/>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row>
    <row r="551" spans="1:96" ht="12.75" customHeight="1" outlineLevel="2" x14ac:dyDescent="0.2">
      <c r="A551"/>
      <c r="B551" s="1395"/>
      <c r="C551" s="1002"/>
      <c r="D551" s="1003"/>
      <c r="E551" s="1003"/>
      <c r="F551" s="1003"/>
      <c r="G551" s="1004"/>
      <c r="H551" s="1003" t="s">
        <v>670</v>
      </c>
      <c r="I551" s="1005" t="s">
        <v>686</v>
      </c>
      <c r="J551" s="1"/>
      <c r="K551" s="1"/>
      <c r="L551"/>
      <c r="M551" s="1"/>
      <c r="N551" s="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row>
    <row r="552" spans="1:96" ht="12.75" customHeight="1" outlineLevel="2" x14ac:dyDescent="0.2">
      <c r="A552"/>
      <c r="B552" s="1395"/>
      <c r="C552" s="1002"/>
      <c r="D552" s="1003"/>
      <c r="E552" s="1003"/>
      <c r="F552" s="1003"/>
      <c r="G552" s="1004"/>
      <c r="H552" s="1003" t="s">
        <v>671</v>
      </c>
      <c r="I552" s="1005" t="s">
        <v>687</v>
      </c>
      <c r="J552" s="1"/>
      <c r="K552" s="1"/>
      <c r="L552"/>
      <c r="M552" s="1"/>
      <c r="N552" s="1"/>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row>
    <row r="553" spans="1:96" ht="12.75" customHeight="1" outlineLevel="2" x14ac:dyDescent="0.2">
      <c r="A553"/>
      <c r="B553" s="1395"/>
      <c r="C553" s="1002"/>
      <c r="D553" s="1003"/>
      <c r="E553" s="1003"/>
      <c r="F553" s="1003"/>
      <c r="G553" s="1004"/>
      <c r="H553" s="1003" t="s">
        <v>672</v>
      </c>
      <c r="I553" s="1005" t="s">
        <v>688</v>
      </c>
      <c r="J553" s="1"/>
      <c r="K553" s="1"/>
      <c r="L553"/>
      <c r="M553" s="1"/>
      <c r="N553" s="1"/>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row>
    <row r="554" spans="1:96" ht="12.75" customHeight="1" outlineLevel="2" x14ac:dyDescent="0.2">
      <c r="A554"/>
      <c r="B554" s="1395"/>
      <c r="C554" s="1002"/>
      <c r="D554" s="1003"/>
      <c r="E554" s="1003"/>
      <c r="F554" s="1003"/>
      <c r="G554" s="1004"/>
      <c r="H554" s="1003" t="s">
        <v>673</v>
      </c>
      <c r="I554" s="1005" t="s">
        <v>689</v>
      </c>
      <c r="J554" s="1"/>
      <c r="K554" s="1"/>
      <c r="L554"/>
      <c r="M554" s="1"/>
      <c r="N554" s="1"/>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row>
    <row r="555" spans="1:96" ht="12.75" customHeight="1" outlineLevel="2" x14ac:dyDescent="0.2">
      <c r="A555"/>
      <c r="B555" s="1395"/>
      <c r="C555" s="1002"/>
      <c r="D555" s="1003"/>
      <c r="E555" s="1003"/>
      <c r="F555" s="1003"/>
      <c r="G555" s="1004"/>
      <c r="H555" s="1003" t="s">
        <v>674</v>
      </c>
      <c r="I555" s="1005" t="s">
        <v>690</v>
      </c>
      <c r="J555" s="1"/>
      <c r="K555" s="1"/>
      <c r="L555"/>
      <c r="M555" s="1"/>
      <c r="N555" s="1"/>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row>
    <row r="556" spans="1:96" ht="12.75" customHeight="1" outlineLevel="2" x14ac:dyDescent="0.2">
      <c r="A556"/>
      <c r="B556" s="1395"/>
      <c r="C556" s="1002"/>
      <c r="D556" s="1003"/>
      <c r="E556" s="1003"/>
      <c r="F556" s="1003"/>
      <c r="G556" s="1004"/>
      <c r="H556" s="1003" t="s">
        <v>675</v>
      </c>
      <c r="I556" s="1005" t="s">
        <v>691</v>
      </c>
      <c r="J556" s="1"/>
      <c r="K556" s="1"/>
      <c r="L556"/>
      <c r="M556" s="1"/>
      <c r="N556" s="1"/>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row>
    <row r="557" spans="1:96" ht="12.75" customHeight="1" outlineLevel="2" x14ac:dyDescent="0.2">
      <c r="A557"/>
      <c r="B557" s="1395"/>
      <c r="C557" s="1002"/>
      <c r="D557" s="1003"/>
      <c r="E557" s="1003"/>
      <c r="F557" s="1003"/>
      <c r="G557" s="1004"/>
      <c r="H557" s="1003" t="s">
        <v>676</v>
      </c>
      <c r="I557" s="1005" t="s">
        <v>692</v>
      </c>
      <c r="J557" s="1"/>
      <c r="K557" s="1"/>
      <c r="L557"/>
      <c r="M557" s="1"/>
      <c r="N557" s="1"/>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row>
    <row r="558" spans="1:96" ht="12.75" customHeight="1" outlineLevel="2" x14ac:dyDescent="0.2">
      <c r="A558"/>
      <c r="B558" s="1395"/>
      <c r="C558" s="1002"/>
      <c r="D558" s="1003"/>
      <c r="E558" s="1003"/>
      <c r="F558" s="1003"/>
      <c r="G558" s="1004"/>
      <c r="H558" s="1003" t="s">
        <v>677</v>
      </c>
      <c r="I558" s="1005" t="s">
        <v>693</v>
      </c>
      <c r="J558" s="1"/>
      <c r="K558" s="1"/>
      <c r="L558"/>
      <c r="M558" s="1"/>
      <c r="N558" s="1"/>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row>
    <row r="559" spans="1:96" ht="12.75" customHeight="1" outlineLevel="2" x14ac:dyDescent="0.2">
      <c r="A559"/>
      <c r="B559" s="1395"/>
      <c r="C559" s="1002"/>
      <c r="D559" s="1003"/>
      <c r="E559" s="1003"/>
      <c r="F559" s="1003"/>
      <c r="G559" s="1004"/>
      <c r="H559" s="1003" t="s">
        <v>678</v>
      </c>
      <c r="I559" s="1005" t="s">
        <v>694</v>
      </c>
      <c r="J559" s="1"/>
      <c r="K559" s="1"/>
      <c r="L559"/>
      <c r="M559" s="1"/>
      <c r="N559" s="1"/>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row>
    <row r="560" spans="1:96" ht="12.75" customHeight="1" outlineLevel="2" x14ac:dyDescent="0.2">
      <c r="A560"/>
      <c r="B560" s="1395"/>
      <c r="C560" s="1002"/>
      <c r="D560" s="1003"/>
      <c r="E560" s="1003"/>
      <c r="F560" s="1003"/>
      <c r="G560" s="1004"/>
      <c r="H560" s="1003" t="s">
        <v>679</v>
      </c>
      <c r="I560" s="1005" t="s">
        <v>695</v>
      </c>
      <c r="J560" s="1"/>
      <c r="K560" s="1"/>
      <c r="L560"/>
      <c r="M560" s="1"/>
      <c r="N560" s="1"/>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row>
    <row r="561" spans="1:96" ht="12.75" customHeight="1" outlineLevel="2" x14ac:dyDescent="0.2">
      <c r="A561"/>
      <c r="B561" s="1395"/>
      <c r="C561" s="1002"/>
      <c r="D561" s="1003"/>
      <c r="E561" s="1003"/>
      <c r="F561" s="1003"/>
      <c r="G561" s="1004"/>
      <c r="H561" s="1003" t="s">
        <v>680</v>
      </c>
      <c r="I561" s="1005" t="s">
        <v>696</v>
      </c>
      <c r="J561" s="1"/>
      <c r="K561" s="1"/>
      <c r="L561"/>
      <c r="M561" s="1"/>
      <c r="N561" s="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row>
    <row r="562" spans="1:96" ht="12.75" customHeight="1" outlineLevel="2" x14ac:dyDescent="0.2">
      <c r="A562"/>
      <c r="B562" s="1395"/>
      <c r="C562" s="1002"/>
      <c r="D562" s="1003"/>
      <c r="E562" s="1003"/>
      <c r="F562" s="1003"/>
      <c r="G562" s="1004"/>
      <c r="H562" s="1003" t="s">
        <v>681</v>
      </c>
      <c r="I562" s="1005" t="s">
        <v>697</v>
      </c>
      <c r="J562" s="1"/>
      <c r="K562" s="1"/>
      <c r="L562"/>
      <c r="M562" s="1"/>
      <c r="N562" s="1"/>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row>
    <row r="563" spans="1:96" ht="12.75" customHeight="1" outlineLevel="2" x14ac:dyDescent="0.2">
      <c r="A563"/>
      <c r="B563" s="1395"/>
      <c r="C563" s="1002"/>
      <c r="D563" s="1003"/>
      <c r="E563" s="1003"/>
      <c r="F563" s="1003"/>
      <c r="G563" s="1004"/>
      <c r="H563" s="1003" t="s">
        <v>682</v>
      </c>
      <c r="I563" s="1005" t="s">
        <v>698</v>
      </c>
      <c r="J563" s="1"/>
      <c r="K563" s="1"/>
      <c r="L563"/>
      <c r="M563" s="1"/>
      <c r="N563" s="1"/>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row>
    <row r="564" spans="1:96" ht="12.75" customHeight="1" outlineLevel="2" x14ac:dyDescent="0.2">
      <c r="A564"/>
      <c r="B564" s="1395"/>
      <c r="C564" s="1002"/>
      <c r="D564" s="1003"/>
      <c r="E564" s="1003"/>
      <c r="F564" s="1003"/>
      <c r="G564" s="1004"/>
      <c r="H564" s="1003" t="s">
        <v>683</v>
      </c>
      <c r="I564" s="1005" t="s">
        <v>699</v>
      </c>
      <c r="J564" s="1"/>
      <c r="K564" s="1"/>
      <c r="L564"/>
      <c r="M564" s="1"/>
      <c r="N564" s="1"/>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row>
    <row r="565" spans="1:96" outlineLevel="1" x14ac:dyDescent="0.2">
      <c r="A565"/>
      <c r="B565" s="1395">
        <f>C565*1000000+D565*1000+E565</f>
        <v>1001064</v>
      </c>
      <c r="C565" s="1002">
        <v>1</v>
      </c>
      <c r="D565" s="1003">
        <v>1</v>
      </c>
      <c r="E565" s="1003">
        <v>64</v>
      </c>
      <c r="F565" s="1003" t="s">
        <v>700</v>
      </c>
      <c r="G565" s="1004"/>
      <c r="H565" s="1003" t="s">
        <v>487</v>
      </c>
      <c r="I565" s="1005" t="s">
        <v>716</v>
      </c>
      <c r="J565" s="1"/>
      <c r="K565" s="1"/>
      <c r="L565"/>
      <c r="M565" s="1"/>
      <c r="N565" s="1"/>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row>
    <row r="566" spans="1:96" ht="12.75" customHeight="1" outlineLevel="2" x14ac:dyDescent="0.2">
      <c r="A566"/>
      <c r="B566" s="1395"/>
      <c r="C566" s="1002"/>
      <c r="D566" s="1003"/>
      <c r="E566" s="1003"/>
      <c r="F566" s="1003"/>
      <c r="G566" s="1004"/>
      <c r="H566" s="1003" t="s">
        <v>701</v>
      </c>
      <c r="I566" s="1005" t="s">
        <v>717</v>
      </c>
      <c r="J566" s="1"/>
      <c r="K566" s="1"/>
      <c r="L566"/>
      <c r="M566" s="1"/>
      <c r="N566" s="1"/>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row>
    <row r="567" spans="1:96" ht="12.75" customHeight="1" outlineLevel="2" x14ac:dyDescent="0.2">
      <c r="A567"/>
      <c r="B567" s="1395"/>
      <c r="C567" s="1002"/>
      <c r="D567" s="1003"/>
      <c r="E567" s="1003"/>
      <c r="F567" s="1003"/>
      <c r="G567" s="1004"/>
      <c r="H567" s="1003" t="s">
        <v>702</v>
      </c>
      <c r="I567" s="1005" t="s">
        <v>718</v>
      </c>
      <c r="J567" s="1"/>
      <c r="K567" s="1"/>
      <c r="L567"/>
      <c r="M567" s="1"/>
      <c r="N567" s="1"/>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row>
    <row r="568" spans="1:96" ht="12.75" customHeight="1" outlineLevel="2" x14ac:dyDescent="0.2">
      <c r="A568"/>
      <c r="B568" s="1395"/>
      <c r="C568" s="1002"/>
      <c r="D568" s="1003"/>
      <c r="E568" s="1003"/>
      <c r="F568" s="1003"/>
      <c r="G568" s="1004"/>
      <c r="H568" s="1003" t="s">
        <v>703</v>
      </c>
      <c r="I568" s="1005" t="s">
        <v>719</v>
      </c>
      <c r="J568" s="1"/>
      <c r="K568" s="1"/>
      <c r="L568"/>
      <c r="M568" s="1"/>
      <c r="N568" s="1"/>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row>
    <row r="569" spans="1:96" ht="12.75" customHeight="1" outlineLevel="2" x14ac:dyDescent="0.2">
      <c r="A569"/>
      <c r="B569" s="1395"/>
      <c r="C569" s="1002"/>
      <c r="D569" s="1003"/>
      <c r="E569" s="1003"/>
      <c r="F569" s="1003"/>
      <c r="G569" s="1004"/>
      <c r="H569" s="1003" t="s">
        <v>704</v>
      </c>
      <c r="I569" s="1005" t="s">
        <v>720</v>
      </c>
      <c r="J569" s="1"/>
      <c r="K569" s="1"/>
      <c r="L569"/>
      <c r="M569" s="1"/>
      <c r="N569" s="1"/>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row>
    <row r="570" spans="1:96" ht="12.75" customHeight="1" outlineLevel="2" x14ac:dyDescent="0.2">
      <c r="A570"/>
      <c r="B570" s="1395"/>
      <c r="C570" s="1002"/>
      <c r="D570" s="1003"/>
      <c r="E570" s="1003"/>
      <c r="F570" s="1003"/>
      <c r="G570" s="1004"/>
      <c r="H570" s="1003" t="s">
        <v>705</v>
      </c>
      <c r="I570" s="1005" t="s">
        <v>721</v>
      </c>
      <c r="J570" s="1"/>
      <c r="K570" s="1"/>
      <c r="L570"/>
      <c r="M570" s="1"/>
      <c r="N570" s="1"/>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row>
    <row r="571" spans="1:96" ht="12.75" customHeight="1" outlineLevel="2" x14ac:dyDescent="0.2">
      <c r="A571"/>
      <c r="B571" s="1395"/>
      <c r="C571" s="1002"/>
      <c r="D571" s="1003"/>
      <c r="E571" s="1003"/>
      <c r="F571" s="1003"/>
      <c r="G571" s="1004"/>
      <c r="H571" s="1003" t="s">
        <v>706</v>
      </c>
      <c r="I571" s="1005" t="s">
        <v>722</v>
      </c>
      <c r="J571" s="1"/>
      <c r="K571" s="1"/>
      <c r="L571"/>
      <c r="M571" s="1"/>
      <c r="N571" s="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row>
    <row r="572" spans="1:96" ht="12.75" customHeight="1" outlineLevel="2" x14ac:dyDescent="0.2">
      <c r="A572"/>
      <c r="B572" s="1395"/>
      <c r="C572" s="1002"/>
      <c r="D572" s="1003"/>
      <c r="E572" s="1003"/>
      <c r="F572" s="1003"/>
      <c r="G572" s="1004"/>
      <c r="H572" s="1003" t="s">
        <v>707</v>
      </c>
      <c r="I572" s="1005" t="s">
        <v>723</v>
      </c>
      <c r="J572" s="1"/>
      <c r="K572" s="1"/>
      <c r="L572"/>
      <c r="M572" s="1"/>
      <c r="N572" s="1"/>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row>
    <row r="573" spans="1:96" ht="12.75" customHeight="1" outlineLevel="2" x14ac:dyDescent="0.2">
      <c r="A573"/>
      <c r="B573" s="1395"/>
      <c r="C573" s="1002"/>
      <c r="D573" s="1003"/>
      <c r="E573" s="1003"/>
      <c r="F573" s="1003"/>
      <c r="G573" s="1004"/>
      <c r="H573" s="1003" t="s">
        <v>708</v>
      </c>
      <c r="I573" s="1005" t="s">
        <v>724</v>
      </c>
      <c r="J573" s="1"/>
      <c r="K573" s="1"/>
      <c r="L573"/>
      <c r="M573" s="1"/>
      <c r="N573" s="1"/>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row>
    <row r="574" spans="1:96" ht="12.75" customHeight="1" outlineLevel="2" x14ac:dyDescent="0.2">
      <c r="A574"/>
      <c r="B574" s="1395"/>
      <c r="C574" s="1002"/>
      <c r="D574" s="1003"/>
      <c r="E574" s="1003"/>
      <c r="F574" s="1003"/>
      <c r="G574" s="1004"/>
      <c r="H574" s="1003" t="s">
        <v>709</v>
      </c>
      <c r="I574" s="1005" t="s">
        <v>725</v>
      </c>
      <c r="J574" s="1"/>
      <c r="K574" s="1"/>
      <c r="L574"/>
      <c r="M574" s="1"/>
      <c r="N574" s="1"/>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row>
    <row r="575" spans="1:96" ht="12.75" customHeight="1" outlineLevel="2" x14ac:dyDescent="0.2">
      <c r="A575"/>
      <c r="B575" s="1395"/>
      <c r="C575" s="1002"/>
      <c r="D575" s="1003"/>
      <c r="E575" s="1003"/>
      <c r="F575" s="1003"/>
      <c r="G575" s="1004"/>
      <c r="H575" s="1003" t="s">
        <v>710</v>
      </c>
      <c r="I575" s="1005" t="s">
        <v>726</v>
      </c>
      <c r="J575" s="1"/>
      <c r="K575" s="1"/>
      <c r="L575"/>
      <c r="M575" s="1"/>
      <c r="N575" s="1"/>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row>
    <row r="576" spans="1:96" ht="12.75" customHeight="1" outlineLevel="2" x14ac:dyDescent="0.2">
      <c r="A576"/>
      <c r="B576" s="1395"/>
      <c r="C576" s="1002"/>
      <c r="D576" s="1003"/>
      <c r="E576" s="1003"/>
      <c r="F576" s="1003"/>
      <c r="G576" s="1004"/>
      <c r="H576" s="1003" t="s">
        <v>711</v>
      </c>
      <c r="I576" s="1005" t="s">
        <v>727</v>
      </c>
      <c r="J576" s="1"/>
      <c r="K576" s="1"/>
      <c r="L576"/>
      <c r="M576" s="1"/>
      <c r="N576" s="1"/>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row>
    <row r="577" spans="1:96" ht="12.75" customHeight="1" outlineLevel="2" x14ac:dyDescent="0.2">
      <c r="A577"/>
      <c r="B577" s="1395"/>
      <c r="C577" s="1002"/>
      <c r="D577" s="1003"/>
      <c r="E577" s="1003"/>
      <c r="F577" s="1003"/>
      <c r="G577" s="1004"/>
      <c r="H577" s="1003" t="s">
        <v>712</v>
      </c>
      <c r="I577" s="1005" t="s">
        <v>728</v>
      </c>
      <c r="J577" s="1"/>
      <c r="K577" s="1"/>
      <c r="L577"/>
      <c r="M577" s="1"/>
      <c r="N577" s="1"/>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row>
    <row r="578" spans="1:96" ht="12.75" customHeight="1" outlineLevel="2" x14ac:dyDescent="0.2">
      <c r="A578"/>
      <c r="B578" s="1395"/>
      <c r="C578" s="1002"/>
      <c r="D578" s="1003"/>
      <c r="E578" s="1003"/>
      <c r="F578" s="1003"/>
      <c r="G578" s="1004"/>
      <c r="H578" s="1003" t="s">
        <v>713</v>
      </c>
      <c r="I578" s="1005" t="s">
        <v>729</v>
      </c>
      <c r="J578" s="1"/>
      <c r="K578" s="1"/>
      <c r="L578"/>
      <c r="M578" s="1"/>
      <c r="N578" s="1"/>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row>
    <row r="579" spans="1:96" ht="12.75" customHeight="1" outlineLevel="2" x14ac:dyDescent="0.2">
      <c r="A579"/>
      <c r="B579" s="1395"/>
      <c r="C579" s="1002"/>
      <c r="D579" s="1003"/>
      <c r="E579" s="1003"/>
      <c r="F579" s="1003"/>
      <c r="G579" s="1004"/>
      <c r="H579" s="1003" t="s">
        <v>714</v>
      </c>
      <c r="I579" s="1005" t="s">
        <v>730</v>
      </c>
      <c r="J579" s="1"/>
      <c r="K579" s="1"/>
      <c r="L579"/>
      <c r="M579" s="1"/>
      <c r="N579" s="1"/>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row>
    <row r="580" spans="1:96" ht="12.75" customHeight="1" outlineLevel="2" x14ac:dyDescent="0.2">
      <c r="A580"/>
      <c r="B580" s="1395"/>
      <c r="C580" s="1002"/>
      <c r="D580" s="1003"/>
      <c r="E580" s="1003"/>
      <c r="F580" s="1003"/>
      <c r="G580" s="1004"/>
      <c r="H580" s="1003" t="s">
        <v>715</v>
      </c>
      <c r="I580" s="1005" t="s">
        <v>731</v>
      </c>
      <c r="J580" s="1"/>
      <c r="K580" s="1"/>
      <c r="L580"/>
      <c r="M580" s="1"/>
      <c r="N580" s="1"/>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row>
    <row r="581" spans="1:96" outlineLevel="1" x14ac:dyDescent="0.2">
      <c r="A581"/>
      <c r="B581" s="1395">
        <f>C581*1000000+D581*1000+E581</f>
        <v>2002064</v>
      </c>
      <c r="C581" s="1002">
        <v>2</v>
      </c>
      <c r="D581" s="1003">
        <v>2</v>
      </c>
      <c r="E581" s="1003">
        <v>64</v>
      </c>
      <c r="F581" s="1003" t="s">
        <v>732</v>
      </c>
      <c r="G581" s="1004"/>
      <c r="H581" s="1003" t="s">
        <v>488</v>
      </c>
      <c r="I581" s="1005" t="s">
        <v>749</v>
      </c>
      <c r="J581" s="1"/>
      <c r="K581" s="1"/>
      <c r="L581"/>
      <c r="M581" s="1"/>
      <c r="N581" s="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row>
    <row r="582" spans="1:96" ht="12.75" customHeight="1" outlineLevel="2" x14ac:dyDescent="0.2">
      <c r="A582"/>
      <c r="B582" s="1395"/>
      <c r="C582" s="1002"/>
      <c r="D582" s="1003"/>
      <c r="E582" s="1003"/>
      <c r="F582" s="1003" t="s">
        <v>733</v>
      </c>
      <c r="G582" s="1004"/>
      <c r="H582" s="1003" t="s">
        <v>734</v>
      </c>
      <c r="I582" s="1005" t="s">
        <v>750</v>
      </c>
      <c r="J582" s="1"/>
      <c r="K582" s="1"/>
      <c r="L582"/>
      <c r="M582" s="1"/>
      <c r="N582" s="1"/>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row>
    <row r="583" spans="1:96" ht="12.75" customHeight="1" outlineLevel="2" x14ac:dyDescent="0.2">
      <c r="A583"/>
      <c r="B583" s="1395"/>
      <c r="C583" s="1002"/>
      <c r="D583" s="1003"/>
      <c r="E583" s="1003"/>
      <c r="F583" s="1003"/>
      <c r="G583" s="1004"/>
      <c r="H583" s="1003" t="s">
        <v>735</v>
      </c>
      <c r="I583" s="1005" t="s">
        <v>751</v>
      </c>
      <c r="J583" s="1"/>
      <c r="K583" s="1"/>
      <c r="L583"/>
      <c r="M583" s="1"/>
      <c r="N583" s="1"/>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row>
    <row r="584" spans="1:96" ht="12.75" customHeight="1" outlineLevel="2" x14ac:dyDescent="0.2">
      <c r="A584"/>
      <c r="B584" s="1395"/>
      <c r="C584" s="1002"/>
      <c r="D584" s="1003"/>
      <c r="E584" s="1003"/>
      <c r="F584" s="1003"/>
      <c r="G584" s="1004"/>
      <c r="H584" s="1003" t="s">
        <v>736</v>
      </c>
      <c r="I584" s="1005" t="s">
        <v>752</v>
      </c>
      <c r="J584" s="1"/>
      <c r="K584" s="1"/>
      <c r="L584"/>
      <c r="M584" s="1"/>
      <c r="N584" s="1"/>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row>
    <row r="585" spans="1:96" ht="12.75" customHeight="1" outlineLevel="2" x14ac:dyDescent="0.2">
      <c r="A585"/>
      <c r="B585" s="1395"/>
      <c r="C585" s="1002"/>
      <c r="D585" s="1003"/>
      <c r="E585" s="1003"/>
      <c r="F585" s="1003"/>
      <c r="G585" s="1004"/>
      <c r="H585" s="1003" t="s">
        <v>737</v>
      </c>
      <c r="I585" s="1005" t="s">
        <v>753</v>
      </c>
      <c r="J585" s="1"/>
      <c r="K585" s="1"/>
      <c r="L585"/>
      <c r="M585" s="1"/>
      <c r="N585" s="1"/>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row>
    <row r="586" spans="1:96" ht="12.75" customHeight="1" outlineLevel="2" x14ac:dyDescent="0.2">
      <c r="A586"/>
      <c r="B586" s="1395"/>
      <c r="C586" s="1002"/>
      <c r="D586" s="1003"/>
      <c r="E586" s="1003"/>
      <c r="F586" s="1003"/>
      <c r="G586" s="1004"/>
      <c r="H586" s="1003" t="s">
        <v>738</v>
      </c>
      <c r="I586" s="1005" t="s">
        <v>754</v>
      </c>
      <c r="J586" s="1"/>
      <c r="K586" s="1"/>
      <c r="L586"/>
      <c r="M586" s="1"/>
      <c r="N586" s="1"/>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row>
    <row r="587" spans="1:96" ht="12.75" customHeight="1" outlineLevel="2" x14ac:dyDescent="0.2">
      <c r="A587"/>
      <c r="B587" s="1395"/>
      <c r="C587" s="1002"/>
      <c r="D587" s="1003"/>
      <c r="E587" s="1003"/>
      <c r="F587" s="1003"/>
      <c r="G587" s="1004"/>
      <c r="H587" s="1003" t="s">
        <v>739</v>
      </c>
      <c r="I587" s="1005" t="s">
        <v>755</v>
      </c>
      <c r="J587" s="1"/>
      <c r="K587" s="1"/>
      <c r="L587"/>
      <c r="M587" s="1"/>
      <c r="N587" s="1"/>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row>
    <row r="588" spans="1:96" ht="12.75" customHeight="1" outlineLevel="2" x14ac:dyDescent="0.2">
      <c r="A588"/>
      <c r="B588" s="1395"/>
      <c r="C588" s="1002"/>
      <c r="D588" s="1003"/>
      <c r="E588" s="1003"/>
      <c r="F588" s="1003"/>
      <c r="G588" s="1004"/>
      <c r="H588" s="1003" t="s">
        <v>740</v>
      </c>
      <c r="I588" s="1005" t="s">
        <v>756</v>
      </c>
      <c r="J588" s="1"/>
      <c r="K588" s="1"/>
      <c r="L588"/>
      <c r="M588" s="1"/>
      <c r="N588" s="1"/>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row>
    <row r="589" spans="1:96" ht="12.75" customHeight="1" outlineLevel="2" x14ac:dyDescent="0.2">
      <c r="A589"/>
      <c r="B589" s="1395"/>
      <c r="C589" s="1002"/>
      <c r="D589" s="1003"/>
      <c r="E589" s="1003"/>
      <c r="F589" s="1003"/>
      <c r="G589" s="1004"/>
      <c r="H589" s="1003" t="s">
        <v>741</v>
      </c>
      <c r="I589" s="1005" t="s">
        <v>757</v>
      </c>
      <c r="J589" s="1"/>
      <c r="K589" s="1"/>
      <c r="L589"/>
      <c r="M589" s="1"/>
      <c r="N589" s="1"/>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row>
    <row r="590" spans="1:96" ht="12.75" customHeight="1" outlineLevel="2" x14ac:dyDescent="0.2">
      <c r="A590"/>
      <c r="B590" s="1395"/>
      <c r="C590" s="1002"/>
      <c r="D590" s="1003"/>
      <c r="E590" s="1003"/>
      <c r="F590" s="1003"/>
      <c r="G590" s="1004"/>
      <c r="H590" s="1003" t="s">
        <v>742</v>
      </c>
      <c r="I590" s="1005" t="s">
        <v>758</v>
      </c>
      <c r="J590" s="1"/>
      <c r="K590" s="1"/>
      <c r="L590"/>
      <c r="M590" s="1"/>
      <c r="N590" s="1"/>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row>
    <row r="591" spans="1:96" ht="12.75" customHeight="1" outlineLevel="2" x14ac:dyDescent="0.2">
      <c r="A591"/>
      <c r="B591" s="1395"/>
      <c r="C591" s="1002"/>
      <c r="D591" s="1003"/>
      <c r="E591" s="1003"/>
      <c r="F591" s="1003"/>
      <c r="G591" s="1004"/>
      <c r="H591" s="1003" t="s">
        <v>743</v>
      </c>
      <c r="I591" s="1005" t="s">
        <v>759</v>
      </c>
      <c r="J591" s="1"/>
      <c r="K591" s="1"/>
      <c r="L591"/>
      <c r="M591" s="1"/>
      <c r="N591" s="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row>
    <row r="592" spans="1:96" ht="12.75" customHeight="1" outlineLevel="2" x14ac:dyDescent="0.2">
      <c r="A592"/>
      <c r="B592" s="1395"/>
      <c r="C592" s="1002"/>
      <c r="D592" s="1003"/>
      <c r="E592" s="1003"/>
      <c r="F592" s="1003"/>
      <c r="G592" s="1004"/>
      <c r="H592" s="1003" t="s">
        <v>744</v>
      </c>
      <c r="I592" s="1005" t="s">
        <v>760</v>
      </c>
      <c r="J592" s="1"/>
      <c r="K592" s="1"/>
      <c r="L592"/>
      <c r="M592" s="1"/>
      <c r="N592" s="1"/>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row>
    <row r="593" spans="1:96" ht="12.75" customHeight="1" outlineLevel="2" x14ac:dyDescent="0.2">
      <c r="A593"/>
      <c r="B593" s="1395"/>
      <c r="C593" s="1002"/>
      <c r="D593" s="1003"/>
      <c r="E593" s="1003"/>
      <c r="F593" s="1003"/>
      <c r="G593" s="1004"/>
      <c r="H593" s="1003" t="s">
        <v>745</v>
      </c>
      <c r="I593" s="1005" t="s">
        <v>761</v>
      </c>
      <c r="J593" s="1"/>
      <c r="K593" s="1"/>
      <c r="L593"/>
      <c r="M593" s="1"/>
      <c r="N593" s="1"/>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row>
    <row r="594" spans="1:96" ht="12.75" customHeight="1" outlineLevel="2" x14ac:dyDescent="0.2">
      <c r="A594"/>
      <c r="B594" s="1395"/>
      <c r="C594" s="1002"/>
      <c r="D594" s="1003"/>
      <c r="E594" s="1003"/>
      <c r="F594" s="1003"/>
      <c r="G594" s="1004"/>
      <c r="H594" s="1003" t="s">
        <v>746</v>
      </c>
      <c r="I594" s="1005" t="s">
        <v>762</v>
      </c>
      <c r="J594" s="1"/>
      <c r="K594" s="1"/>
      <c r="L594"/>
      <c r="M594" s="1"/>
      <c r="N594" s="1"/>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row>
    <row r="595" spans="1:96" ht="12.75" customHeight="1" outlineLevel="2" x14ac:dyDescent="0.2">
      <c r="A595"/>
      <c r="B595" s="1395"/>
      <c r="C595" s="1002"/>
      <c r="D595" s="1003"/>
      <c r="E595" s="1003"/>
      <c r="F595" s="1003"/>
      <c r="G595" s="1004"/>
      <c r="H595" s="1003" t="s">
        <v>747</v>
      </c>
      <c r="I595" s="1005" t="s">
        <v>763</v>
      </c>
      <c r="J595" s="1"/>
      <c r="K595" s="1"/>
      <c r="L595"/>
      <c r="M595" s="1"/>
      <c r="N595" s="1"/>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row>
    <row r="596" spans="1:96" ht="12.75" customHeight="1" outlineLevel="2" x14ac:dyDescent="0.2">
      <c r="A596"/>
      <c r="B596" s="1395"/>
      <c r="C596" s="1002"/>
      <c r="D596" s="1003"/>
      <c r="E596" s="1003"/>
      <c r="F596" s="1003"/>
      <c r="G596" s="1004"/>
      <c r="H596" s="1003" t="s">
        <v>748</v>
      </c>
      <c r="I596" s="1005" t="s">
        <v>489</v>
      </c>
      <c r="J596" s="1"/>
      <c r="K596" s="1"/>
      <c r="L596"/>
      <c r="M596" s="1"/>
      <c r="N596" s="1"/>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row>
    <row r="597" spans="1:96" outlineLevel="1" x14ac:dyDescent="0.2">
      <c r="A597"/>
      <c r="B597" s="1395">
        <f>C597*1000000+D597*1000+E597</f>
        <v>3003064</v>
      </c>
      <c r="C597" s="1002">
        <v>3</v>
      </c>
      <c r="D597" s="1003">
        <v>3</v>
      </c>
      <c r="E597" s="1003">
        <v>64</v>
      </c>
      <c r="F597" s="1003" t="s">
        <v>2429</v>
      </c>
      <c r="G597" s="1004"/>
      <c r="H597" s="1003" t="s">
        <v>490</v>
      </c>
      <c r="I597" s="1005" t="s">
        <v>491</v>
      </c>
      <c r="J597" s="1"/>
      <c r="K597" s="1"/>
      <c r="L597"/>
      <c r="M597" s="1"/>
      <c r="N597" s="1"/>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row>
    <row r="598" spans="1:96" ht="12.75" customHeight="1" outlineLevel="2" x14ac:dyDescent="0.2">
      <c r="A598"/>
      <c r="B598" s="1395"/>
      <c r="C598" s="1002"/>
      <c r="D598" s="1003"/>
      <c r="E598" s="1003"/>
      <c r="F598" s="1003" t="s">
        <v>2430</v>
      </c>
      <c r="G598" s="1004"/>
      <c r="H598" s="1003" t="s">
        <v>2431</v>
      </c>
      <c r="I598" s="1005" t="s">
        <v>2432</v>
      </c>
      <c r="J598" s="1"/>
      <c r="K598" s="1"/>
      <c r="L598"/>
      <c r="M598" s="1"/>
      <c r="N598" s="1"/>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row>
    <row r="599" spans="1:96" ht="12.75" customHeight="1" outlineLevel="2" x14ac:dyDescent="0.2">
      <c r="A599"/>
      <c r="B599" s="1395"/>
      <c r="C599" s="1002"/>
      <c r="D599" s="1003"/>
      <c r="E599" s="1003"/>
      <c r="F599" s="1003" t="s">
        <v>2433</v>
      </c>
      <c r="G599" s="1004"/>
      <c r="H599" s="1003" t="s">
        <v>2434</v>
      </c>
      <c r="I599" s="1005" t="s">
        <v>2435</v>
      </c>
      <c r="J599" s="1"/>
      <c r="K599" s="1"/>
      <c r="L599"/>
      <c r="M599" s="1"/>
      <c r="N599" s="1"/>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row>
    <row r="600" spans="1:96" ht="12.75" customHeight="1" outlineLevel="2" x14ac:dyDescent="0.2">
      <c r="A600"/>
      <c r="B600" s="1395"/>
      <c r="C600" s="1002"/>
      <c r="D600" s="1003"/>
      <c r="E600" s="1003"/>
      <c r="F600" s="1003"/>
      <c r="G600" s="1004"/>
      <c r="H600" s="1003" t="s">
        <v>2436</v>
      </c>
      <c r="I600" s="1005" t="s">
        <v>2437</v>
      </c>
      <c r="J600" s="1"/>
      <c r="K600" s="1"/>
      <c r="L600"/>
      <c r="M600" s="1"/>
      <c r="N600" s="1"/>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row>
    <row r="601" spans="1:96" ht="12.75" customHeight="1" outlineLevel="2" x14ac:dyDescent="0.2">
      <c r="A601"/>
      <c r="B601" s="1395"/>
      <c r="C601" s="1002"/>
      <c r="D601" s="1003"/>
      <c r="E601" s="1003"/>
      <c r="F601" s="1003"/>
      <c r="G601" s="1004"/>
      <c r="H601" s="1003" t="s">
        <v>2438</v>
      </c>
      <c r="I601" s="1005" t="s">
        <v>2439</v>
      </c>
      <c r="J601" s="1"/>
      <c r="K601" s="1"/>
      <c r="L601"/>
      <c r="M601" s="1"/>
      <c r="N601" s="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row>
    <row r="602" spans="1:96" ht="12.75" customHeight="1" outlineLevel="2" x14ac:dyDescent="0.2">
      <c r="A602"/>
      <c r="B602" s="1395"/>
      <c r="C602" s="1002"/>
      <c r="D602" s="1003"/>
      <c r="E602" s="1003"/>
      <c r="F602" s="1003"/>
      <c r="G602" s="1004"/>
      <c r="H602" s="1003" t="s">
        <v>2440</v>
      </c>
      <c r="I602" s="1005" t="s">
        <v>2441</v>
      </c>
      <c r="J602" s="1"/>
      <c r="K602" s="1"/>
      <c r="L602"/>
      <c r="M602" s="1"/>
      <c r="N602" s="1"/>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row>
    <row r="603" spans="1:96" ht="12.75" customHeight="1" outlineLevel="2" x14ac:dyDescent="0.2">
      <c r="A603"/>
      <c r="B603" s="1395"/>
      <c r="C603" s="1002"/>
      <c r="D603" s="1003"/>
      <c r="E603" s="1003"/>
      <c r="F603" s="1003"/>
      <c r="G603" s="1004"/>
      <c r="H603" s="1003" t="s">
        <v>2442</v>
      </c>
      <c r="I603" s="1005" t="s">
        <v>2443</v>
      </c>
      <c r="J603" s="1"/>
      <c r="K603" s="1"/>
      <c r="L603"/>
      <c r="M603" s="1"/>
      <c r="N603" s="1"/>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row>
    <row r="604" spans="1:96" ht="12.75" customHeight="1" outlineLevel="2" x14ac:dyDescent="0.2">
      <c r="A604"/>
      <c r="B604" s="1395"/>
      <c r="C604" s="1002"/>
      <c r="D604" s="1003"/>
      <c r="E604" s="1003"/>
      <c r="F604" s="1003"/>
      <c r="G604" s="1004"/>
      <c r="H604" s="1003" t="s">
        <v>2444</v>
      </c>
      <c r="I604" s="1005" t="s">
        <v>2445</v>
      </c>
      <c r="J604" s="1"/>
      <c r="K604" s="1"/>
      <c r="L604"/>
      <c r="M604" s="1"/>
      <c r="N604" s="1"/>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row>
    <row r="605" spans="1:96" ht="12.75" customHeight="1" outlineLevel="2" x14ac:dyDescent="0.2">
      <c r="A605"/>
      <c r="B605" s="1395"/>
      <c r="C605" s="1002"/>
      <c r="D605" s="1003"/>
      <c r="E605" s="1003"/>
      <c r="F605" s="1003"/>
      <c r="G605" s="1004"/>
      <c r="H605" s="1003" t="s">
        <v>2446</v>
      </c>
      <c r="I605" s="1005" t="s">
        <v>2447</v>
      </c>
      <c r="J605" s="1"/>
      <c r="K605" s="1"/>
      <c r="L605"/>
      <c r="M605" s="1"/>
      <c r="N605" s="1"/>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row>
    <row r="606" spans="1:96" ht="12.75" customHeight="1" outlineLevel="2" x14ac:dyDescent="0.2">
      <c r="A606"/>
      <c r="B606" s="1395"/>
      <c r="C606" s="1002"/>
      <c r="D606" s="1003"/>
      <c r="E606" s="1003"/>
      <c r="F606" s="1003"/>
      <c r="G606" s="1004"/>
      <c r="H606" s="1003" t="s">
        <v>2448</v>
      </c>
      <c r="I606" s="1005" t="s">
        <v>2449</v>
      </c>
      <c r="J606" s="1"/>
      <c r="K606" s="1"/>
      <c r="L606"/>
      <c r="M606" s="1"/>
      <c r="N606" s="1"/>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row>
    <row r="607" spans="1:96" ht="12.75" customHeight="1" outlineLevel="2" x14ac:dyDescent="0.2">
      <c r="A607"/>
      <c r="B607" s="1395"/>
      <c r="C607" s="1002"/>
      <c r="D607" s="1003"/>
      <c r="E607" s="1003"/>
      <c r="F607" s="1003"/>
      <c r="G607" s="1004"/>
      <c r="H607" s="1003" t="s">
        <v>2450</v>
      </c>
      <c r="I607" s="1005" t="s">
        <v>2451</v>
      </c>
      <c r="J607" s="1"/>
      <c r="K607" s="1"/>
      <c r="L607"/>
      <c r="M607" s="1"/>
      <c r="N607" s="1"/>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row>
    <row r="608" spans="1:96" ht="12.75" customHeight="1" outlineLevel="2" x14ac:dyDescent="0.2">
      <c r="A608"/>
      <c r="B608" s="1395"/>
      <c r="C608" s="1002"/>
      <c r="D608" s="1003"/>
      <c r="E608" s="1003"/>
      <c r="F608" s="1003"/>
      <c r="G608" s="1004"/>
      <c r="H608" s="1003" t="s">
        <v>2452</v>
      </c>
      <c r="I608" s="1005" t="s">
        <v>2453</v>
      </c>
      <c r="J608" s="1"/>
      <c r="K608" s="1"/>
      <c r="L608"/>
      <c r="M608" s="1"/>
      <c r="N608" s="1"/>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row>
    <row r="609" spans="1:96" ht="12.75" customHeight="1" outlineLevel="2" x14ac:dyDescent="0.2">
      <c r="A609"/>
      <c r="B609" s="1395"/>
      <c r="C609" s="1002"/>
      <c r="D609" s="1003"/>
      <c r="E609" s="1003"/>
      <c r="F609" s="1003"/>
      <c r="G609" s="1004"/>
      <c r="H609" s="1003" t="s">
        <v>2454</v>
      </c>
      <c r="I609" s="1005" t="s">
        <v>2455</v>
      </c>
      <c r="J609" s="1"/>
      <c r="K609" s="1"/>
      <c r="L609"/>
      <c r="M609" s="1"/>
      <c r="N609" s="1"/>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row>
    <row r="610" spans="1:96" ht="12.75" customHeight="1" outlineLevel="2" x14ac:dyDescent="0.2">
      <c r="A610"/>
      <c r="B610" s="1395"/>
      <c r="C610" s="1002"/>
      <c r="D610" s="1003"/>
      <c r="E610" s="1003"/>
      <c r="F610" s="1003"/>
      <c r="G610" s="1004"/>
      <c r="H610" s="1003" t="s">
        <v>2456</v>
      </c>
      <c r="I610" s="1005" t="s">
        <v>2457</v>
      </c>
      <c r="J610" s="1"/>
      <c r="K610" s="1"/>
      <c r="L610"/>
      <c r="M610" s="1"/>
      <c r="N610" s="1"/>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row>
    <row r="611" spans="1:96" ht="12.75" customHeight="1" outlineLevel="2" x14ac:dyDescent="0.2">
      <c r="A611"/>
      <c r="B611" s="1395"/>
      <c r="C611" s="1002"/>
      <c r="D611" s="1003"/>
      <c r="E611" s="1003"/>
      <c r="F611" s="1003"/>
      <c r="G611" s="1004"/>
      <c r="H611" s="1003" t="s">
        <v>2458</v>
      </c>
      <c r="I611" s="1005" t="s">
        <v>2459</v>
      </c>
      <c r="J611" s="1"/>
      <c r="K611" s="1"/>
      <c r="L611"/>
      <c r="M611" s="1"/>
      <c r="N611" s="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row>
    <row r="612" spans="1:96" ht="12.75" customHeight="1" outlineLevel="2" x14ac:dyDescent="0.2">
      <c r="A612"/>
      <c r="B612" s="1395"/>
      <c r="C612" s="1002"/>
      <c r="D612" s="1003"/>
      <c r="E612" s="1003"/>
      <c r="F612" s="1003"/>
      <c r="G612" s="1004"/>
      <c r="H612" s="1003" t="s">
        <v>2460</v>
      </c>
      <c r="I612" s="1005" t="s">
        <v>492</v>
      </c>
      <c r="J612" s="1"/>
      <c r="K612" s="1"/>
      <c r="L612"/>
      <c r="M612" s="1"/>
      <c r="N612" s="1"/>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row>
    <row r="613" spans="1:96" outlineLevel="1" x14ac:dyDescent="0.2">
      <c r="A613"/>
      <c r="B613" s="1395">
        <f>C613*1000000+D613*1000+E613</f>
        <v>4004064</v>
      </c>
      <c r="C613" s="1002">
        <v>4</v>
      </c>
      <c r="D613" s="1003">
        <v>4</v>
      </c>
      <c r="E613" s="1003">
        <v>64</v>
      </c>
      <c r="F613" s="1003" t="s">
        <v>2461</v>
      </c>
      <c r="G613" s="1004"/>
      <c r="H613" s="1003" t="s">
        <v>490</v>
      </c>
      <c r="I613" s="1005" t="s">
        <v>493</v>
      </c>
      <c r="J613" s="1"/>
      <c r="K613" s="1"/>
      <c r="L613"/>
      <c r="M613" s="1"/>
      <c r="N613" s="1"/>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row>
    <row r="614" spans="1:96" ht="12.75" customHeight="1" outlineLevel="2" x14ac:dyDescent="0.2">
      <c r="A614"/>
      <c r="B614" s="1395"/>
      <c r="C614" s="1002"/>
      <c r="D614" s="1003"/>
      <c r="E614" s="1003"/>
      <c r="F614" s="1003" t="s">
        <v>2462</v>
      </c>
      <c r="G614" s="1004"/>
      <c r="H614" s="1003" t="s">
        <v>2463</v>
      </c>
      <c r="I614" s="1005" t="s">
        <v>2464</v>
      </c>
      <c r="J614" s="1"/>
      <c r="K614" s="1"/>
      <c r="L614"/>
      <c r="M614" s="1"/>
      <c r="N614" s="1"/>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row>
    <row r="615" spans="1:96" ht="12.75" customHeight="1" outlineLevel="2" x14ac:dyDescent="0.2">
      <c r="A615"/>
      <c r="B615" s="1395"/>
      <c r="C615" s="1002"/>
      <c r="D615" s="1003"/>
      <c r="E615" s="1003"/>
      <c r="F615" s="1003" t="s">
        <v>2465</v>
      </c>
      <c r="G615" s="1004"/>
      <c r="H615" s="1003" t="s">
        <v>2466</v>
      </c>
      <c r="I615" s="1005" t="s">
        <v>2467</v>
      </c>
      <c r="J615" s="1"/>
      <c r="K615" s="1"/>
      <c r="L615"/>
      <c r="M615" s="1"/>
      <c r="N615" s="1"/>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row>
    <row r="616" spans="1:96" ht="12.75" customHeight="1" outlineLevel="2" x14ac:dyDescent="0.2">
      <c r="A616"/>
      <c r="B616" s="1395"/>
      <c r="C616" s="1002"/>
      <c r="D616" s="1003"/>
      <c r="E616" s="1003"/>
      <c r="F616" s="1003" t="s">
        <v>2468</v>
      </c>
      <c r="G616" s="1004"/>
      <c r="H616" s="1003" t="s">
        <v>2469</v>
      </c>
      <c r="I616" s="1005" t="s">
        <v>2470</v>
      </c>
      <c r="J616" s="1"/>
      <c r="K616" s="1"/>
      <c r="L616"/>
      <c r="M616" s="1"/>
      <c r="N616" s="1"/>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row>
    <row r="617" spans="1:96" ht="12.75" customHeight="1" outlineLevel="2" x14ac:dyDescent="0.2">
      <c r="A617"/>
      <c r="B617" s="1395"/>
      <c r="C617" s="1002"/>
      <c r="D617" s="1003"/>
      <c r="E617" s="1003"/>
      <c r="F617" s="1003"/>
      <c r="G617" s="1004"/>
      <c r="H617" s="1003" t="s">
        <v>2471</v>
      </c>
      <c r="I617" s="1005" t="s">
        <v>2472</v>
      </c>
      <c r="J617" s="1"/>
      <c r="K617" s="1"/>
      <c r="L617"/>
      <c r="M617" s="1"/>
      <c r="N617" s="1"/>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row>
    <row r="618" spans="1:96" ht="12.75" customHeight="1" outlineLevel="2" x14ac:dyDescent="0.2">
      <c r="A618"/>
      <c r="B618" s="1395"/>
      <c r="C618" s="1002"/>
      <c r="D618" s="1003"/>
      <c r="E618" s="1003"/>
      <c r="F618" s="1003"/>
      <c r="G618" s="1004"/>
      <c r="H618" s="1003" t="s">
        <v>2473</v>
      </c>
      <c r="I618" s="1005" t="s">
        <v>2474</v>
      </c>
      <c r="J618" s="1"/>
      <c r="K618" s="1"/>
      <c r="L618"/>
      <c r="M618" s="1"/>
      <c r="N618" s="1"/>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row>
    <row r="619" spans="1:96" ht="12.75" customHeight="1" outlineLevel="2" x14ac:dyDescent="0.2">
      <c r="A619"/>
      <c r="B619" s="1395"/>
      <c r="C619" s="1002"/>
      <c r="D619" s="1003"/>
      <c r="E619" s="1003"/>
      <c r="F619" s="1003"/>
      <c r="G619" s="1004"/>
      <c r="H619" s="1003" t="s">
        <v>2475</v>
      </c>
      <c r="I619" s="1005" t="s">
        <v>2476</v>
      </c>
      <c r="J619" s="1"/>
      <c r="K619" s="1"/>
      <c r="L619"/>
      <c r="M619" s="1"/>
      <c r="N619" s="1"/>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row>
    <row r="620" spans="1:96" ht="12.75" customHeight="1" outlineLevel="2" x14ac:dyDescent="0.2">
      <c r="A620"/>
      <c r="B620" s="1395"/>
      <c r="C620" s="1002"/>
      <c r="D620" s="1003"/>
      <c r="E620" s="1003"/>
      <c r="F620" s="1003"/>
      <c r="G620" s="1004"/>
      <c r="H620" s="1003" t="s">
        <v>2477</v>
      </c>
      <c r="I620" s="1005" t="s">
        <v>2478</v>
      </c>
      <c r="J620" s="1"/>
      <c r="K620" s="1"/>
      <c r="L620"/>
      <c r="M620" s="1"/>
      <c r="N620" s="1"/>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row>
    <row r="621" spans="1:96" ht="12.75" customHeight="1" outlineLevel="2" x14ac:dyDescent="0.2">
      <c r="A621"/>
      <c r="B621" s="1395"/>
      <c r="C621" s="1002"/>
      <c r="D621" s="1003"/>
      <c r="E621" s="1003"/>
      <c r="F621" s="1003"/>
      <c r="G621" s="1004"/>
      <c r="H621" s="1003" t="s">
        <v>2479</v>
      </c>
      <c r="I621" s="1005" t="s">
        <v>2480</v>
      </c>
      <c r="J621" s="1"/>
      <c r="K621" s="1"/>
      <c r="L621"/>
      <c r="M621" s="1"/>
      <c r="N621" s="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row>
    <row r="622" spans="1:96" ht="12.75" customHeight="1" outlineLevel="2" x14ac:dyDescent="0.2">
      <c r="A622"/>
      <c r="B622" s="1395"/>
      <c r="C622" s="1002"/>
      <c r="D622" s="1003"/>
      <c r="E622" s="1003"/>
      <c r="F622" s="1003"/>
      <c r="G622" s="1004"/>
      <c r="H622" s="1003" t="s">
        <v>2481</v>
      </c>
      <c r="I622" s="1005" t="s">
        <v>2482</v>
      </c>
      <c r="J622" s="1"/>
      <c r="K622" s="1"/>
      <c r="L622"/>
      <c r="M622" s="1"/>
      <c r="N622" s="1"/>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row>
    <row r="623" spans="1:96" ht="12.75" customHeight="1" outlineLevel="2" x14ac:dyDescent="0.2">
      <c r="A623"/>
      <c r="B623" s="1395"/>
      <c r="C623" s="1002"/>
      <c r="D623" s="1003"/>
      <c r="E623" s="1003"/>
      <c r="F623" s="1003"/>
      <c r="G623" s="1004"/>
      <c r="H623" s="1003" t="s">
        <v>2483</v>
      </c>
      <c r="I623" s="1005" t="s">
        <v>2484</v>
      </c>
      <c r="J623" s="1"/>
      <c r="K623" s="1"/>
      <c r="L623"/>
      <c r="M623" s="1"/>
      <c r="N623" s="1"/>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row>
    <row r="624" spans="1:96" ht="12.75" customHeight="1" outlineLevel="2" x14ac:dyDescent="0.2">
      <c r="A624"/>
      <c r="B624" s="1395"/>
      <c r="C624" s="1002"/>
      <c r="D624" s="1003"/>
      <c r="E624" s="1003"/>
      <c r="F624" s="1003"/>
      <c r="G624" s="1004"/>
      <c r="H624" s="1003" t="s">
        <v>2485</v>
      </c>
      <c r="I624" s="1005" t="s">
        <v>2486</v>
      </c>
      <c r="J624" s="1"/>
      <c r="K624" s="1"/>
      <c r="L624"/>
      <c r="M624" s="1"/>
      <c r="N624" s="1"/>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row>
    <row r="625" spans="1:96" ht="12.75" customHeight="1" outlineLevel="2" x14ac:dyDescent="0.2">
      <c r="A625"/>
      <c r="B625" s="1395"/>
      <c r="C625" s="1002"/>
      <c r="D625" s="1003"/>
      <c r="E625" s="1003"/>
      <c r="F625" s="1003"/>
      <c r="G625" s="1004"/>
      <c r="H625" s="1003" t="s">
        <v>2487</v>
      </c>
      <c r="I625" s="1005" t="s">
        <v>2488</v>
      </c>
      <c r="J625" s="1"/>
      <c r="K625" s="1"/>
      <c r="L625"/>
      <c r="M625" s="1"/>
      <c r="N625" s="1"/>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row>
    <row r="626" spans="1:96" ht="12.75" customHeight="1" outlineLevel="2" x14ac:dyDescent="0.2">
      <c r="A626"/>
      <c r="B626" s="1395"/>
      <c r="C626" s="1002"/>
      <c r="D626" s="1003"/>
      <c r="E626" s="1003"/>
      <c r="F626" s="1003"/>
      <c r="G626" s="1004"/>
      <c r="H626" s="1003" t="s">
        <v>2489</v>
      </c>
      <c r="I626" s="1005" t="s">
        <v>2490</v>
      </c>
      <c r="J626" s="1"/>
      <c r="K626" s="1"/>
      <c r="L626"/>
      <c r="M626" s="1"/>
      <c r="N626" s="1"/>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row>
    <row r="627" spans="1:96" ht="12.75" customHeight="1" outlineLevel="2" x14ac:dyDescent="0.2">
      <c r="A627"/>
      <c r="B627" s="1395"/>
      <c r="C627" s="1002"/>
      <c r="D627" s="1003"/>
      <c r="E627" s="1003"/>
      <c r="F627" s="1003"/>
      <c r="G627" s="1004"/>
      <c r="H627" s="1003" t="s">
        <v>2491</v>
      </c>
      <c r="I627" s="1005" t="s">
        <v>2492</v>
      </c>
      <c r="J627" s="1"/>
      <c r="K627" s="1"/>
      <c r="L627"/>
      <c r="M627" s="1"/>
      <c r="N627" s="1"/>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row>
    <row r="628" spans="1:96" ht="12.75" customHeight="1" outlineLevel="2" x14ac:dyDescent="0.2">
      <c r="A628"/>
      <c r="B628" s="1395"/>
      <c r="C628" s="1002"/>
      <c r="D628" s="1003"/>
      <c r="E628" s="1003"/>
      <c r="F628" s="1003"/>
      <c r="G628" s="1004"/>
      <c r="H628" s="1003" t="s">
        <v>494</v>
      </c>
      <c r="I628" s="1005" t="s">
        <v>495</v>
      </c>
      <c r="J628" s="1"/>
      <c r="K628" s="1"/>
      <c r="L628"/>
      <c r="M628" s="1"/>
      <c r="N628" s="1"/>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row>
    <row r="629" spans="1:96" outlineLevel="1" x14ac:dyDescent="0.2">
      <c r="A629"/>
      <c r="B629" s="1395">
        <f>C629*1000000+D629*1000+E629</f>
        <v>5005064</v>
      </c>
      <c r="C629" s="1002">
        <v>5</v>
      </c>
      <c r="D629" s="1003">
        <v>5</v>
      </c>
      <c r="E629" s="1003">
        <v>64</v>
      </c>
      <c r="F629" s="1003" t="s">
        <v>2493</v>
      </c>
      <c r="G629" s="1004"/>
      <c r="H629" s="1003" t="s">
        <v>496</v>
      </c>
      <c r="I629" s="1005" t="s">
        <v>497</v>
      </c>
      <c r="J629" s="1"/>
      <c r="K629" s="1"/>
      <c r="L629"/>
      <c r="M629" s="1"/>
      <c r="N629" s="1"/>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row>
    <row r="630" spans="1:96" ht="12.75" customHeight="1" outlineLevel="2" x14ac:dyDescent="0.2">
      <c r="A630"/>
      <c r="B630" s="1395"/>
      <c r="C630" s="1002"/>
      <c r="D630" s="1003"/>
      <c r="E630" s="1003"/>
      <c r="F630" s="1003" t="s">
        <v>2494</v>
      </c>
      <c r="G630" s="1004"/>
      <c r="H630" s="1003" t="s">
        <v>2495</v>
      </c>
      <c r="I630" s="1005" t="s">
        <v>2496</v>
      </c>
      <c r="J630" s="1"/>
      <c r="K630" s="1"/>
      <c r="L630"/>
      <c r="M630" s="1"/>
      <c r="N630" s="1"/>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row>
    <row r="631" spans="1:96" ht="12.75" customHeight="1" outlineLevel="2" x14ac:dyDescent="0.2">
      <c r="A631"/>
      <c r="B631" s="1395"/>
      <c r="C631" s="1002"/>
      <c r="D631" s="1003"/>
      <c r="E631" s="1003"/>
      <c r="F631" s="1003" t="s">
        <v>2497</v>
      </c>
      <c r="G631" s="1004"/>
      <c r="H631" s="1003" t="s">
        <v>2498</v>
      </c>
      <c r="I631" s="1005" t="s">
        <v>2499</v>
      </c>
      <c r="J631" s="1"/>
      <c r="K631" s="1"/>
      <c r="L631"/>
      <c r="M631" s="1"/>
      <c r="N631" s="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row>
    <row r="632" spans="1:96" ht="12.75" customHeight="1" outlineLevel="2" x14ac:dyDescent="0.2">
      <c r="A632"/>
      <c r="B632" s="1395"/>
      <c r="C632" s="1002"/>
      <c r="D632" s="1003"/>
      <c r="E632" s="1003"/>
      <c r="F632" s="1003" t="s">
        <v>2500</v>
      </c>
      <c r="G632" s="1004"/>
      <c r="H632" s="1003" t="s">
        <v>2501</v>
      </c>
      <c r="I632" s="1005" t="s">
        <v>2502</v>
      </c>
      <c r="J632" s="1"/>
      <c r="K632" s="1"/>
      <c r="L632"/>
      <c r="M632" s="1"/>
      <c r="N632" s="1"/>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row>
    <row r="633" spans="1:96" ht="12.75" customHeight="1" outlineLevel="2" x14ac:dyDescent="0.2">
      <c r="A633"/>
      <c r="B633" s="1395"/>
      <c r="C633" s="1002"/>
      <c r="D633" s="1003"/>
      <c r="E633" s="1003"/>
      <c r="F633" s="1003" t="s">
        <v>2503</v>
      </c>
      <c r="G633" s="1004"/>
      <c r="H633" s="1003" t="s">
        <v>2504</v>
      </c>
      <c r="I633" s="1005" t="s">
        <v>2505</v>
      </c>
      <c r="J633" s="1"/>
      <c r="K633" s="1"/>
      <c r="L633"/>
      <c r="M633" s="1"/>
      <c r="N633" s="1"/>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row>
    <row r="634" spans="1:96" ht="12.75" customHeight="1" outlineLevel="2" x14ac:dyDescent="0.2">
      <c r="A634"/>
      <c r="B634" s="1395"/>
      <c r="C634" s="1002"/>
      <c r="D634" s="1003"/>
      <c r="E634" s="1003"/>
      <c r="F634" s="1003"/>
      <c r="G634" s="1004"/>
      <c r="H634" s="1003" t="s">
        <v>2506</v>
      </c>
      <c r="I634" s="1005" t="s">
        <v>2507</v>
      </c>
      <c r="J634" s="1"/>
      <c r="K634" s="1"/>
      <c r="L634"/>
      <c r="M634" s="1"/>
      <c r="N634" s="1"/>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row>
    <row r="635" spans="1:96" ht="12.75" customHeight="1" outlineLevel="2" x14ac:dyDescent="0.2">
      <c r="A635"/>
      <c r="B635" s="1395"/>
      <c r="C635" s="1002"/>
      <c r="D635" s="1003"/>
      <c r="E635" s="1003"/>
      <c r="F635" s="1003"/>
      <c r="G635" s="1004"/>
      <c r="H635" s="1003" t="s">
        <v>2508</v>
      </c>
      <c r="I635" s="1005" t="s">
        <v>2509</v>
      </c>
      <c r="J635" s="1"/>
      <c r="K635" s="1"/>
      <c r="L635"/>
      <c r="M635" s="1"/>
      <c r="N635" s="1"/>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row>
    <row r="636" spans="1:96" ht="12.75" customHeight="1" outlineLevel="2" x14ac:dyDescent="0.2">
      <c r="A636"/>
      <c r="B636" s="1395"/>
      <c r="C636" s="1002"/>
      <c r="D636" s="1003"/>
      <c r="E636" s="1003"/>
      <c r="F636" s="1003"/>
      <c r="G636" s="1004"/>
      <c r="H636" s="1003" t="s">
        <v>2510</v>
      </c>
      <c r="I636" s="1005" t="s">
        <v>2511</v>
      </c>
      <c r="J636" s="1"/>
      <c r="K636" s="1"/>
      <c r="L636"/>
      <c r="M636" s="1"/>
      <c r="N636" s="1"/>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row>
    <row r="637" spans="1:96" ht="12.75" customHeight="1" outlineLevel="2" x14ac:dyDescent="0.2">
      <c r="A637"/>
      <c r="B637" s="1395"/>
      <c r="C637" s="1002"/>
      <c r="D637" s="1003"/>
      <c r="E637" s="1003"/>
      <c r="F637" s="1003"/>
      <c r="G637" s="1004"/>
      <c r="H637" s="1003" t="s">
        <v>498</v>
      </c>
      <c r="I637" s="1005" t="s">
        <v>716</v>
      </c>
      <c r="J637" s="1"/>
      <c r="K637" s="1"/>
      <c r="L637"/>
      <c r="M637" s="1"/>
      <c r="N637" s="1"/>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row>
    <row r="638" spans="1:96" ht="12.75" customHeight="1" outlineLevel="2" x14ac:dyDescent="0.2">
      <c r="A638"/>
      <c r="B638" s="1395"/>
      <c r="C638" s="1002"/>
      <c r="D638" s="1003"/>
      <c r="E638" s="1003"/>
      <c r="F638" s="1003"/>
      <c r="G638" s="1004"/>
      <c r="H638" s="1003" t="s">
        <v>2512</v>
      </c>
      <c r="I638" s="1005" t="s">
        <v>2513</v>
      </c>
      <c r="J638" s="1"/>
      <c r="K638" s="1"/>
      <c r="L638"/>
      <c r="M638" s="1"/>
      <c r="N638" s="1"/>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row>
    <row r="639" spans="1:96" ht="12.75" customHeight="1" outlineLevel="2" x14ac:dyDescent="0.2">
      <c r="A639"/>
      <c r="B639" s="1395"/>
      <c r="C639" s="1002"/>
      <c r="D639" s="1003"/>
      <c r="E639" s="1003"/>
      <c r="F639" s="1003"/>
      <c r="G639" s="1004"/>
      <c r="H639" s="1003" t="s">
        <v>2514</v>
      </c>
      <c r="I639" s="1005" t="s">
        <v>2515</v>
      </c>
      <c r="J639" s="1"/>
      <c r="K639" s="1"/>
      <c r="L639"/>
      <c r="M639" s="1"/>
      <c r="N639" s="1"/>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row>
    <row r="640" spans="1:96" ht="12.75" customHeight="1" outlineLevel="2" x14ac:dyDescent="0.2">
      <c r="A640"/>
      <c r="B640" s="1395"/>
      <c r="C640" s="1002"/>
      <c r="D640" s="1003"/>
      <c r="E640" s="1003"/>
      <c r="F640" s="1003"/>
      <c r="G640" s="1004"/>
      <c r="H640" s="1003" t="s">
        <v>2516</v>
      </c>
      <c r="I640" s="1005" t="s">
        <v>2517</v>
      </c>
      <c r="J640" s="1"/>
      <c r="K640" s="1"/>
      <c r="L640"/>
      <c r="M640" s="1"/>
      <c r="N640" s="1"/>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row>
    <row r="641" spans="1:96" ht="12.75" customHeight="1" outlineLevel="2" x14ac:dyDescent="0.2">
      <c r="A641"/>
      <c r="B641" s="1395"/>
      <c r="C641" s="1002"/>
      <c r="D641" s="1003"/>
      <c r="E641" s="1003"/>
      <c r="F641" s="1003"/>
      <c r="G641" s="1004"/>
      <c r="H641" s="1003" t="s">
        <v>2518</v>
      </c>
      <c r="I641" s="1005" t="s">
        <v>2519</v>
      </c>
      <c r="J641" s="1"/>
      <c r="K641" s="1"/>
      <c r="L641"/>
      <c r="M641" s="1"/>
      <c r="N641" s="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row>
    <row r="642" spans="1:96" ht="12.75" customHeight="1" outlineLevel="2" x14ac:dyDescent="0.2">
      <c r="A642"/>
      <c r="B642" s="1395"/>
      <c r="C642" s="1002"/>
      <c r="D642" s="1003"/>
      <c r="E642" s="1003"/>
      <c r="F642" s="1003"/>
      <c r="G642" s="1004"/>
      <c r="H642" s="1003" t="s">
        <v>2520</v>
      </c>
      <c r="I642" s="1005" t="s">
        <v>2521</v>
      </c>
      <c r="J642" s="1"/>
      <c r="K642" s="1"/>
      <c r="L642"/>
      <c r="M642" s="1"/>
      <c r="N642" s="1"/>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row>
    <row r="643" spans="1:96" ht="12.75" customHeight="1" outlineLevel="2" x14ac:dyDescent="0.2">
      <c r="A643"/>
      <c r="B643" s="1395"/>
      <c r="C643" s="1002"/>
      <c r="D643" s="1003"/>
      <c r="E643" s="1003"/>
      <c r="F643" s="1003"/>
      <c r="G643" s="1004"/>
      <c r="H643" s="1003" t="s">
        <v>2522</v>
      </c>
      <c r="I643" s="1005" t="s">
        <v>2523</v>
      </c>
      <c r="J643" s="1"/>
      <c r="K643" s="1"/>
      <c r="L643"/>
      <c r="M643" s="1"/>
      <c r="N643" s="1"/>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row>
    <row r="644" spans="1:96" ht="12.75" customHeight="1" outlineLevel="2" x14ac:dyDescent="0.2">
      <c r="A644"/>
      <c r="B644" s="1395"/>
      <c r="C644" s="1002"/>
      <c r="D644" s="1003"/>
      <c r="E644" s="1003"/>
      <c r="F644" s="1003"/>
      <c r="G644" s="1004"/>
      <c r="H644" s="1003" t="s">
        <v>499</v>
      </c>
      <c r="I644" s="1005" t="s">
        <v>500</v>
      </c>
      <c r="J644" s="1"/>
      <c r="K644" s="1"/>
      <c r="L644"/>
      <c r="M644" s="1"/>
      <c r="N644" s="1"/>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row>
    <row r="645" spans="1:96" outlineLevel="1" x14ac:dyDescent="0.2">
      <c r="A645"/>
      <c r="B645" s="1395">
        <f>C645*1000000+D645*1000+E645</f>
        <v>6006064</v>
      </c>
      <c r="C645" s="1002">
        <v>6</v>
      </c>
      <c r="D645" s="1003">
        <v>6</v>
      </c>
      <c r="E645" s="1003">
        <v>64</v>
      </c>
      <c r="F645" s="1003" t="s">
        <v>2524</v>
      </c>
      <c r="G645" s="1004"/>
      <c r="H645" s="1003" t="s">
        <v>501</v>
      </c>
      <c r="I645" s="1005" t="s">
        <v>502</v>
      </c>
      <c r="J645" s="1"/>
      <c r="K645" s="1"/>
      <c r="L645"/>
      <c r="M645" s="1"/>
      <c r="N645" s="1"/>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row>
    <row r="646" spans="1:96" ht="12.75" customHeight="1" outlineLevel="2" x14ac:dyDescent="0.2">
      <c r="A646"/>
      <c r="B646" s="1395"/>
      <c r="C646" s="1002"/>
      <c r="D646" s="1003"/>
      <c r="E646" s="1003"/>
      <c r="F646" s="1003" t="s">
        <v>2525</v>
      </c>
      <c r="G646" s="1004"/>
      <c r="H646" s="1003" t="s">
        <v>2526</v>
      </c>
      <c r="I646" s="1005" t="s">
        <v>2527</v>
      </c>
      <c r="J646" s="1"/>
      <c r="K646" s="1"/>
      <c r="L646"/>
      <c r="M646" s="1"/>
      <c r="N646" s="1"/>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row>
    <row r="647" spans="1:96" ht="12.75" customHeight="1" outlineLevel="2" x14ac:dyDescent="0.2">
      <c r="A647"/>
      <c r="B647" s="1395"/>
      <c r="C647" s="1002"/>
      <c r="D647" s="1003"/>
      <c r="E647" s="1003"/>
      <c r="F647" s="1003" t="s">
        <v>2528</v>
      </c>
      <c r="G647" s="1004"/>
      <c r="H647" s="1003" t="s">
        <v>2529</v>
      </c>
      <c r="I647" s="1005" t="s">
        <v>2530</v>
      </c>
      <c r="J647" s="1"/>
      <c r="K647" s="1"/>
      <c r="L647"/>
      <c r="M647" s="1"/>
      <c r="N647" s="1"/>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row>
    <row r="648" spans="1:96" ht="12.75" customHeight="1" outlineLevel="2" x14ac:dyDescent="0.2">
      <c r="A648"/>
      <c r="B648" s="1395"/>
      <c r="C648" s="1002"/>
      <c r="D648" s="1003"/>
      <c r="E648" s="1003"/>
      <c r="F648" s="1003" t="s">
        <v>2531</v>
      </c>
      <c r="G648" s="1004"/>
      <c r="H648" s="1003" t="s">
        <v>2532</v>
      </c>
      <c r="I648" s="1005" t="s">
        <v>2533</v>
      </c>
      <c r="J648" s="1"/>
      <c r="K648" s="1"/>
      <c r="L648"/>
      <c r="M648" s="1"/>
      <c r="N648" s="1"/>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row>
    <row r="649" spans="1:96" ht="12.75" customHeight="1" outlineLevel="2" x14ac:dyDescent="0.2">
      <c r="A649"/>
      <c r="B649" s="1395"/>
      <c r="C649" s="1002"/>
      <c r="D649" s="1003"/>
      <c r="E649" s="1003"/>
      <c r="F649" s="1003" t="s">
        <v>2534</v>
      </c>
      <c r="G649" s="1004"/>
      <c r="H649" s="1003" t="s">
        <v>2535</v>
      </c>
      <c r="I649" s="1005" t="s">
        <v>2536</v>
      </c>
      <c r="J649" s="1"/>
      <c r="K649" s="1"/>
      <c r="L649"/>
      <c r="M649" s="1"/>
      <c r="N649" s="1"/>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row>
    <row r="650" spans="1:96" ht="12.75" customHeight="1" outlineLevel="2" x14ac:dyDescent="0.2">
      <c r="A650"/>
      <c r="B650" s="1395"/>
      <c r="C650" s="1002"/>
      <c r="D650" s="1003"/>
      <c r="E650" s="1003"/>
      <c r="F650" s="1003" t="s">
        <v>2537</v>
      </c>
      <c r="G650" s="1004"/>
      <c r="H650" s="1003" t="s">
        <v>2538</v>
      </c>
      <c r="I650" s="1005" t="s">
        <v>2539</v>
      </c>
      <c r="J650" s="1"/>
      <c r="K650" s="1"/>
      <c r="L650"/>
      <c r="M650" s="1"/>
      <c r="N650" s="1"/>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row>
    <row r="651" spans="1:96" ht="12.75" customHeight="1" outlineLevel="2" x14ac:dyDescent="0.2">
      <c r="A651"/>
      <c r="B651" s="1395"/>
      <c r="C651" s="1002"/>
      <c r="D651" s="1003"/>
      <c r="E651" s="1003"/>
      <c r="F651" s="1003"/>
      <c r="G651" s="1004"/>
      <c r="H651" s="1003" t="s">
        <v>2540</v>
      </c>
      <c r="I651" s="1005" t="s">
        <v>2541</v>
      </c>
      <c r="J651" s="1"/>
      <c r="K651" s="1"/>
      <c r="L651"/>
      <c r="M651" s="1"/>
      <c r="N651" s="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row>
    <row r="652" spans="1:96" ht="12.75" customHeight="1" outlineLevel="2" x14ac:dyDescent="0.2">
      <c r="A652"/>
      <c r="B652" s="1395"/>
      <c r="C652" s="1002"/>
      <c r="D652" s="1003"/>
      <c r="E652" s="1003"/>
      <c r="F652" s="1003"/>
      <c r="G652" s="1004"/>
      <c r="H652" s="1003" t="s">
        <v>2542</v>
      </c>
      <c r="I652" s="1005" t="s">
        <v>503</v>
      </c>
      <c r="J652" s="1"/>
      <c r="K652" s="1"/>
      <c r="L652"/>
      <c r="M652" s="1"/>
      <c r="N652" s="1"/>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row>
    <row r="653" spans="1:96" ht="12.75" customHeight="1" outlineLevel="2" x14ac:dyDescent="0.2">
      <c r="A653"/>
      <c r="B653" s="1395"/>
      <c r="C653" s="1002"/>
      <c r="D653" s="1003"/>
      <c r="E653" s="1003"/>
      <c r="F653" s="1003"/>
      <c r="G653" s="1004"/>
      <c r="H653" s="1003" t="s">
        <v>504</v>
      </c>
      <c r="I653" s="1005" t="s">
        <v>2543</v>
      </c>
      <c r="J653" s="1"/>
      <c r="K653" s="1"/>
      <c r="L653"/>
      <c r="M653" s="1"/>
      <c r="N653" s="1"/>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row>
    <row r="654" spans="1:96" ht="12.75" customHeight="1" outlineLevel="2" x14ac:dyDescent="0.2">
      <c r="A654"/>
      <c r="B654" s="1395"/>
      <c r="C654" s="1002"/>
      <c r="D654" s="1003"/>
      <c r="E654" s="1003"/>
      <c r="F654" s="1003"/>
      <c r="G654" s="1004"/>
      <c r="H654" s="1003" t="s">
        <v>2544</v>
      </c>
      <c r="I654" s="1005" t="s">
        <v>2545</v>
      </c>
      <c r="J654" s="1"/>
      <c r="K654" s="1"/>
      <c r="L654"/>
      <c r="M654" s="1"/>
      <c r="N654" s="1"/>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row>
    <row r="655" spans="1:96" ht="12.75" customHeight="1" outlineLevel="2" x14ac:dyDescent="0.2">
      <c r="A655"/>
      <c r="B655" s="1395"/>
      <c r="C655" s="1002"/>
      <c r="D655" s="1003"/>
      <c r="E655" s="1003"/>
      <c r="F655" s="1003"/>
      <c r="G655" s="1004"/>
      <c r="H655" s="1003" t="s">
        <v>2546</v>
      </c>
      <c r="I655" s="1005" t="s">
        <v>2547</v>
      </c>
      <c r="J655" s="1"/>
      <c r="K655" s="1"/>
      <c r="L655"/>
      <c r="M655" s="1"/>
      <c r="N655" s="1"/>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row>
    <row r="656" spans="1:96" ht="12.75" customHeight="1" outlineLevel="2" x14ac:dyDescent="0.2">
      <c r="A656"/>
      <c r="B656" s="1395"/>
      <c r="C656" s="1002"/>
      <c r="D656" s="1003"/>
      <c r="E656" s="1003"/>
      <c r="F656" s="1003"/>
      <c r="G656" s="1004"/>
      <c r="H656" s="1003" t="s">
        <v>2548</v>
      </c>
      <c r="I656" s="1005" t="s">
        <v>2549</v>
      </c>
      <c r="J656" s="1"/>
      <c r="K656" s="1"/>
      <c r="L656"/>
      <c r="M656" s="1"/>
      <c r="N656" s="1"/>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row>
    <row r="657" spans="1:96" ht="12.75" customHeight="1" outlineLevel="2" x14ac:dyDescent="0.2">
      <c r="A657"/>
      <c r="B657" s="1395"/>
      <c r="C657" s="1002"/>
      <c r="D657" s="1003"/>
      <c r="E657" s="1003"/>
      <c r="F657" s="1003"/>
      <c r="G657" s="1004"/>
      <c r="H657" s="1003" t="s">
        <v>2550</v>
      </c>
      <c r="I657" s="1005" t="s">
        <v>2551</v>
      </c>
      <c r="J657" s="1"/>
      <c r="K657" s="1"/>
      <c r="L657"/>
      <c r="M657" s="1"/>
      <c r="N657" s="1"/>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row>
    <row r="658" spans="1:96" ht="12.75" customHeight="1" outlineLevel="2" x14ac:dyDescent="0.2">
      <c r="A658"/>
      <c r="B658" s="1395"/>
      <c r="C658" s="1002"/>
      <c r="D658" s="1003"/>
      <c r="E658" s="1003"/>
      <c r="F658" s="1003"/>
      <c r="G658" s="1004"/>
      <c r="H658" s="1003" t="s">
        <v>2552</v>
      </c>
      <c r="I658" s="1005" t="s">
        <v>2553</v>
      </c>
      <c r="J658" s="1"/>
      <c r="K658" s="1"/>
      <c r="L658"/>
      <c r="M658" s="1"/>
      <c r="N658" s="1"/>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row>
    <row r="659" spans="1:96" ht="12.75" customHeight="1" outlineLevel="2" x14ac:dyDescent="0.2">
      <c r="A659"/>
      <c r="B659" s="1395"/>
      <c r="C659" s="1002"/>
      <c r="D659" s="1003"/>
      <c r="E659" s="1003"/>
      <c r="F659" s="1003"/>
      <c r="G659" s="1004"/>
      <c r="H659" s="1003" t="s">
        <v>2554</v>
      </c>
      <c r="I659" s="1005" t="s">
        <v>2555</v>
      </c>
      <c r="J659" s="1"/>
      <c r="K659" s="1"/>
      <c r="L659"/>
      <c r="M659" s="1"/>
      <c r="N659" s="1"/>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row>
    <row r="660" spans="1:96" ht="12.75" customHeight="1" outlineLevel="2" x14ac:dyDescent="0.2">
      <c r="A660"/>
      <c r="B660" s="1395"/>
      <c r="C660" s="1002"/>
      <c r="D660" s="1003"/>
      <c r="E660" s="1003"/>
      <c r="F660" s="1003"/>
      <c r="G660" s="1004"/>
      <c r="H660" s="1003" t="s">
        <v>505</v>
      </c>
      <c r="I660" s="1005" t="s">
        <v>506</v>
      </c>
      <c r="J660" s="1"/>
      <c r="K660" s="1"/>
      <c r="L660"/>
      <c r="M660" s="1"/>
      <c r="N660" s="1"/>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row>
    <row r="661" spans="1:96" outlineLevel="1" x14ac:dyDescent="0.2">
      <c r="A661"/>
      <c r="B661" s="1395">
        <f>C661*1000000+D661*1000+E661</f>
        <v>7007064</v>
      </c>
      <c r="C661" s="1002">
        <v>7</v>
      </c>
      <c r="D661" s="1003">
        <v>7</v>
      </c>
      <c r="E661" s="1003">
        <v>64</v>
      </c>
      <c r="F661" s="1003" t="s">
        <v>2556</v>
      </c>
      <c r="G661" s="1004"/>
      <c r="H661" s="1003" t="s">
        <v>507</v>
      </c>
      <c r="I661" s="1005" t="s">
        <v>508</v>
      </c>
      <c r="J661" s="1"/>
      <c r="K661" s="1"/>
      <c r="L661"/>
      <c r="M661" s="1"/>
      <c r="N661" s="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row>
    <row r="662" spans="1:96" ht="12.75" customHeight="1" outlineLevel="2" x14ac:dyDescent="0.2">
      <c r="A662"/>
      <c r="B662" s="1395"/>
      <c r="C662" s="1002"/>
      <c r="D662" s="1003"/>
      <c r="E662" s="1003"/>
      <c r="F662" s="1003" t="s">
        <v>2557</v>
      </c>
      <c r="G662" s="1004"/>
      <c r="H662" s="1003" t="s">
        <v>2558</v>
      </c>
      <c r="I662" s="1005" t="s">
        <v>2559</v>
      </c>
      <c r="J662" s="1"/>
      <c r="K662" s="1"/>
      <c r="L662"/>
      <c r="M662" s="1"/>
      <c r="N662" s="1"/>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row>
    <row r="663" spans="1:96" ht="12.75" customHeight="1" outlineLevel="2" x14ac:dyDescent="0.2">
      <c r="A663"/>
      <c r="B663" s="1395"/>
      <c r="C663" s="1002"/>
      <c r="D663" s="1003"/>
      <c r="E663" s="1003"/>
      <c r="F663" s="1003" t="s">
        <v>2560</v>
      </c>
      <c r="G663" s="1004"/>
      <c r="H663" s="1003" t="s">
        <v>2561</v>
      </c>
      <c r="I663" s="1005" t="s">
        <v>2562</v>
      </c>
      <c r="J663" s="1"/>
      <c r="K663" s="1"/>
      <c r="L663"/>
      <c r="M663" s="1"/>
      <c r="N663" s="1"/>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row>
    <row r="664" spans="1:96" ht="12.75" customHeight="1" outlineLevel="2" x14ac:dyDescent="0.2">
      <c r="A664"/>
      <c r="B664" s="1395"/>
      <c r="C664" s="1002"/>
      <c r="D664" s="1003"/>
      <c r="E664" s="1003"/>
      <c r="F664" s="1003" t="s">
        <v>2563</v>
      </c>
      <c r="G664" s="1004"/>
      <c r="H664" s="1003" t="s">
        <v>2564</v>
      </c>
      <c r="I664" s="1005" t="s">
        <v>2565</v>
      </c>
      <c r="J664" s="1"/>
      <c r="K664" s="1"/>
      <c r="L664"/>
      <c r="M664" s="1"/>
      <c r="N664" s="1"/>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row>
    <row r="665" spans="1:96" ht="12.75" customHeight="1" outlineLevel="2" x14ac:dyDescent="0.2">
      <c r="A665"/>
      <c r="B665" s="1395"/>
      <c r="C665" s="1002"/>
      <c r="D665" s="1003"/>
      <c r="E665" s="1003"/>
      <c r="F665" s="1003" t="s">
        <v>2566</v>
      </c>
      <c r="G665" s="1004"/>
      <c r="H665" s="1003" t="s">
        <v>716</v>
      </c>
      <c r="I665" s="1005" t="s">
        <v>2567</v>
      </c>
      <c r="J665" s="1"/>
      <c r="K665" s="1"/>
      <c r="L665"/>
      <c r="M665" s="1"/>
      <c r="N665" s="1"/>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row>
    <row r="666" spans="1:96" ht="12.75" customHeight="1" outlineLevel="2" x14ac:dyDescent="0.2">
      <c r="A666"/>
      <c r="B666" s="1395"/>
      <c r="C666" s="1002"/>
      <c r="D666" s="1003"/>
      <c r="E666" s="1003"/>
      <c r="F666" s="1003" t="s">
        <v>2568</v>
      </c>
      <c r="G666" s="1004"/>
      <c r="H666" s="1003" t="s">
        <v>2569</v>
      </c>
      <c r="I666" s="1005" t="s">
        <v>2570</v>
      </c>
      <c r="J666" s="1"/>
      <c r="K666" s="1"/>
      <c r="L666"/>
      <c r="M666" s="1"/>
      <c r="N666" s="1"/>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row>
    <row r="667" spans="1:96" ht="12.75" customHeight="1" outlineLevel="2" x14ac:dyDescent="0.2">
      <c r="A667"/>
      <c r="B667" s="1395"/>
      <c r="C667" s="1002"/>
      <c r="D667" s="1003"/>
      <c r="E667" s="1003"/>
      <c r="F667" s="1003" t="s">
        <v>2571</v>
      </c>
      <c r="G667" s="1004"/>
      <c r="H667" s="1003" t="s">
        <v>2572</v>
      </c>
      <c r="I667" s="1005" t="s">
        <v>2573</v>
      </c>
      <c r="J667" s="1"/>
      <c r="K667" s="1"/>
      <c r="L667"/>
      <c r="M667" s="1"/>
      <c r="N667" s="1"/>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row>
    <row r="668" spans="1:96" ht="12.75" customHeight="1" outlineLevel="2" x14ac:dyDescent="0.2">
      <c r="A668"/>
      <c r="B668" s="1395"/>
      <c r="C668" s="1002"/>
      <c r="D668" s="1003"/>
      <c r="E668" s="1003"/>
      <c r="F668" s="1003"/>
      <c r="G668" s="1004"/>
      <c r="H668" s="1003" t="s">
        <v>2511</v>
      </c>
      <c r="I668" s="1005" t="s">
        <v>509</v>
      </c>
      <c r="J668" s="1"/>
      <c r="K668" s="1"/>
      <c r="L668"/>
      <c r="M668" s="1"/>
      <c r="N668" s="1"/>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row>
    <row r="669" spans="1:96" ht="12.75" customHeight="1" outlineLevel="2" x14ac:dyDescent="0.2">
      <c r="A669"/>
      <c r="B669" s="1395"/>
      <c r="C669" s="1002"/>
      <c r="D669" s="1003"/>
      <c r="E669" s="1003"/>
      <c r="F669" s="1003"/>
      <c r="G669" s="1004"/>
      <c r="H669" s="1003" t="s">
        <v>510</v>
      </c>
      <c r="I669" s="1005" t="s">
        <v>511</v>
      </c>
      <c r="J669" s="1"/>
      <c r="K669" s="1"/>
      <c r="L669"/>
      <c r="M669" s="1"/>
      <c r="N669" s="1"/>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row>
    <row r="670" spans="1:96" ht="12.75" customHeight="1" outlineLevel="2" x14ac:dyDescent="0.2">
      <c r="A670"/>
      <c r="B670" s="1395"/>
      <c r="C670" s="1002"/>
      <c r="D670" s="1003"/>
      <c r="E670" s="1003"/>
      <c r="F670" s="1003"/>
      <c r="G670" s="1004"/>
      <c r="H670" s="1003" t="s">
        <v>2574</v>
      </c>
      <c r="I670" s="1005" t="s">
        <v>2575</v>
      </c>
      <c r="J670" s="1"/>
      <c r="K670" s="1"/>
      <c r="L670"/>
      <c r="M670" s="1"/>
      <c r="N670" s="1"/>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row>
    <row r="671" spans="1:96" ht="12.75" customHeight="1" outlineLevel="2" x14ac:dyDescent="0.2">
      <c r="A671"/>
      <c r="B671" s="1395"/>
      <c r="C671" s="1002"/>
      <c r="D671" s="1003"/>
      <c r="E671" s="1003"/>
      <c r="F671" s="1003"/>
      <c r="G671" s="1004"/>
      <c r="H671" s="1003" t="s">
        <v>2576</v>
      </c>
      <c r="I671" s="1005" t="s">
        <v>2577</v>
      </c>
      <c r="J671" s="1"/>
      <c r="K671" s="1"/>
      <c r="L671"/>
      <c r="M671" s="1"/>
      <c r="N671" s="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row>
    <row r="672" spans="1:96" ht="12.75" customHeight="1" outlineLevel="2" x14ac:dyDescent="0.2">
      <c r="A672"/>
      <c r="B672" s="1395"/>
      <c r="C672" s="1002"/>
      <c r="D672" s="1003"/>
      <c r="E672" s="1003"/>
      <c r="F672" s="1003"/>
      <c r="G672" s="1004"/>
      <c r="H672" s="1003" t="s">
        <v>2578</v>
      </c>
      <c r="I672" s="1005" t="s">
        <v>2579</v>
      </c>
      <c r="J672" s="1"/>
      <c r="K672" s="1"/>
      <c r="L672"/>
      <c r="M672" s="1"/>
      <c r="N672" s="1"/>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row>
    <row r="673" spans="1:96" ht="12.75" customHeight="1" outlineLevel="2" x14ac:dyDescent="0.2">
      <c r="A673"/>
      <c r="B673" s="1395"/>
      <c r="C673" s="1002"/>
      <c r="D673" s="1003"/>
      <c r="E673" s="1003"/>
      <c r="F673" s="1003"/>
      <c r="G673" s="1004"/>
      <c r="H673" s="1003" t="s">
        <v>2580</v>
      </c>
      <c r="I673" s="1005" t="s">
        <v>2581</v>
      </c>
      <c r="J673" s="1"/>
      <c r="K673" s="1"/>
      <c r="L673"/>
      <c r="M673" s="1"/>
      <c r="N673" s="1"/>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row>
    <row r="674" spans="1:96" ht="12.75" customHeight="1" outlineLevel="2" x14ac:dyDescent="0.2">
      <c r="A674"/>
      <c r="B674" s="1395"/>
      <c r="C674" s="1002"/>
      <c r="D674" s="1003"/>
      <c r="E674" s="1003"/>
      <c r="F674" s="1003"/>
      <c r="G674" s="1004"/>
      <c r="H674" s="1003" t="s">
        <v>2582</v>
      </c>
      <c r="I674" s="1005" t="s">
        <v>2583</v>
      </c>
      <c r="J674" s="1"/>
      <c r="K674" s="1"/>
      <c r="L674"/>
      <c r="M674" s="1"/>
      <c r="N674" s="1"/>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row>
    <row r="675" spans="1:96" ht="12.75" customHeight="1" outlineLevel="2" x14ac:dyDescent="0.2">
      <c r="A675"/>
      <c r="B675" s="1395"/>
      <c r="C675" s="1002"/>
      <c r="D675" s="1003"/>
      <c r="E675" s="1003"/>
      <c r="F675" s="1003"/>
      <c r="G675" s="1004"/>
      <c r="H675" s="1003" t="s">
        <v>2584</v>
      </c>
      <c r="I675" s="1005" t="s">
        <v>2585</v>
      </c>
      <c r="J675" s="1"/>
      <c r="K675" s="1"/>
      <c r="L675"/>
      <c r="M675" s="1"/>
      <c r="N675" s="1"/>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row>
    <row r="676" spans="1:96" ht="12.75" customHeight="1" outlineLevel="2" x14ac:dyDescent="0.2">
      <c r="A676"/>
      <c r="B676" s="1395"/>
      <c r="C676" s="1002"/>
      <c r="D676" s="1003"/>
      <c r="E676" s="1003"/>
      <c r="F676" s="1003"/>
      <c r="G676" s="1004"/>
      <c r="H676" s="1003" t="s">
        <v>512</v>
      </c>
      <c r="I676" s="1005" t="s">
        <v>513</v>
      </c>
      <c r="J676" s="1"/>
      <c r="K676" s="1"/>
      <c r="L676"/>
      <c r="M676" s="1"/>
      <c r="N676" s="1"/>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row>
    <row r="677" spans="1:96" outlineLevel="1" x14ac:dyDescent="0.2">
      <c r="A677"/>
      <c r="B677" s="1395">
        <f>C677*1000000+D677*1000+E677</f>
        <v>8008064</v>
      </c>
      <c r="C677" s="1002">
        <v>8</v>
      </c>
      <c r="D677" s="1003">
        <v>8</v>
      </c>
      <c r="E677" s="1003">
        <v>64</v>
      </c>
      <c r="F677" s="1003" t="s">
        <v>2586</v>
      </c>
      <c r="G677" s="1004"/>
      <c r="H677" s="1003" t="s">
        <v>514</v>
      </c>
      <c r="I677" s="1005" t="s">
        <v>497</v>
      </c>
      <c r="J677" s="1"/>
      <c r="K677" s="1"/>
      <c r="L677"/>
      <c r="M677" s="1"/>
      <c r="N677" s="1"/>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row>
    <row r="678" spans="1:96" ht="12.75" customHeight="1" outlineLevel="2" x14ac:dyDescent="0.2">
      <c r="A678"/>
      <c r="B678" s="1395"/>
      <c r="C678" s="1002"/>
      <c r="D678" s="1003"/>
      <c r="E678" s="1003"/>
      <c r="F678" s="1003" t="s">
        <v>2587</v>
      </c>
      <c r="G678" s="1004"/>
      <c r="H678" s="1003" t="s">
        <v>2588</v>
      </c>
      <c r="I678" s="1005" t="s">
        <v>2589</v>
      </c>
      <c r="J678" s="1"/>
      <c r="K678" s="1"/>
      <c r="L678"/>
      <c r="M678" s="1"/>
      <c r="N678" s="1"/>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row>
    <row r="679" spans="1:96" ht="12.75" customHeight="1" outlineLevel="2" x14ac:dyDescent="0.2">
      <c r="A679"/>
      <c r="B679" s="1395"/>
      <c r="C679" s="1002"/>
      <c r="D679" s="1003"/>
      <c r="E679" s="1003"/>
      <c r="F679" s="1003" t="s">
        <v>2590</v>
      </c>
      <c r="G679" s="1004"/>
      <c r="H679" s="1003" t="s">
        <v>1359</v>
      </c>
      <c r="I679" s="1005" t="s">
        <v>1367</v>
      </c>
      <c r="J679" s="1"/>
      <c r="K679" s="1"/>
      <c r="L679"/>
      <c r="M679" s="1"/>
      <c r="N679" s="1"/>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row>
    <row r="680" spans="1:96" ht="12.75" customHeight="1" outlineLevel="2" x14ac:dyDescent="0.2">
      <c r="A680"/>
      <c r="B680" s="1395"/>
      <c r="C680" s="1002"/>
      <c r="D680" s="1003"/>
      <c r="E680" s="1003"/>
      <c r="F680" s="1003" t="s">
        <v>2591</v>
      </c>
      <c r="G680" s="1004"/>
      <c r="H680" s="1003" t="s">
        <v>1360</v>
      </c>
      <c r="I680" s="1005" t="s">
        <v>1368</v>
      </c>
      <c r="J680" s="1"/>
      <c r="K680" s="1"/>
      <c r="L680"/>
      <c r="M680" s="1"/>
      <c r="N680" s="1"/>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row>
    <row r="681" spans="1:96" ht="12.75" customHeight="1" outlineLevel="2" x14ac:dyDescent="0.2">
      <c r="A681"/>
      <c r="B681" s="1395"/>
      <c r="C681" s="1002"/>
      <c r="D681" s="1003"/>
      <c r="E681" s="1003"/>
      <c r="F681" s="1003" t="s">
        <v>2592</v>
      </c>
      <c r="G681" s="1004"/>
      <c r="H681" s="1003" t="s">
        <v>1357</v>
      </c>
      <c r="I681" s="1005" t="s">
        <v>1365</v>
      </c>
      <c r="J681" s="1"/>
      <c r="K681" s="1"/>
      <c r="L681"/>
      <c r="M681" s="1"/>
      <c r="N681" s="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row>
    <row r="682" spans="1:96" ht="12.75" customHeight="1" outlineLevel="2" x14ac:dyDescent="0.2">
      <c r="A682"/>
      <c r="B682" s="1395"/>
      <c r="C682" s="1002"/>
      <c r="D682" s="1003"/>
      <c r="E682" s="1003"/>
      <c r="F682" s="1003" t="s">
        <v>2593</v>
      </c>
      <c r="G682" s="1004"/>
      <c r="H682" s="1003" t="s">
        <v>1358</v>
      </c>
      <c r="I682" s="1005" t="s">
        <v>1366</v>
      </c>
      <c r="J682" s="1"/>
      <c r="K682" s="1"/>
      <c r="L682"/>
      <c r="M682" s="1"/>
      <c r="N682" s="1"/>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row>
    <row r="683" spans="1:96" ht="12.75" customHeight="1" outlineLevel="2" x14ac:dyDescent="0.2">
      <c r="A683"/>
      <c r="B683" s="1395"/>
      <c r="C683" s="1002"/>
      <c r="D683" s="1003"/>
      <c r="E683" s="1003"/>
      <c r="F683" s="1003" t="s">
        <v>2594</v>
      </c>
      <c r="G683" s="1004"/>
      <c r="H683" s="1003" t="s">
        <v>2595</v>
      </c>
      <c r="I683" s="1005" t="s">
        <v>2596</v>
      </c>
      <c r="J683" s="1"/>
      <c r="K683" s="1"/>
      <c r="L683"/>
      <c r="M683" s="1"/>
      <c r="N683" s="1"/>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row>
    <row r="684" spans="1:96" ht="12.75" customHeight="1" outlineLevel="2" x14ac:dyDescent="0.2">
      <c r="A684"/>
      <c r="B684" s="1395"/>
      <c r="C684" s="1002"/>
      <c r="D684" s="1003"/>
      <c r="E684" s="1003"/>
      <c r="F684" s="1003" t="s">
        <v>2597</v>
      </c>
      <c r="G684" s="1004"/>
      <c r="H684" s="1003" t="s">
        <v>515</v>
      </c>
      <c r="I684" s="1005" t="s">
        <v>516</v>
      </c>
      <c r="J684" s="1"/>
      <c r="K684" s="1"/>
      <c r="L684"/>
      <c r="M684" s="1"/>
      <c r="N684" s="1"/>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row>
    <row r="685" spans="1:96" ht="12.75" customHeight="1" outlineLevel="2" x14ac:dyDescent="0.2">
      <c r="A685"/>
      <c r="B685" s="1395"/>
      <c r="C685" s="1002"/>
      <c r="D685" s="1003"/>
      <c r="E685" s="1003"/>
      <c r="F685" s="1003"/>
      <c r="G685" s="1004"/>
      <c r="H685" s="1003" t="s">
        <v>517</v>
      </c>
      <c r="I685" s="1005" t="s">
        <v>518</v>
      </c>
      <c r="J685" s="1"/>
      <c r="K685" s="1"/>
      <c r="L685"/>
      <c r="M685" s="1"/>
      <c r="N685" s="1"/>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row>
    <row r="686" spans="1:96" ht="12.75" customHeight="1" outlineLevel="2" x14ac:dyDescent="0.2">
      <c r="A686"/>
      <c r="B686" s="1395"/>
      <c r="C686" s="1002"/>
      <c r="D686" s="1003"/>
      <c r="E686" s="1003"/>
      <c r="F686" s="1003"/>
      <c r="G686" s="1004"/>
      <c r="H686" s="1003" t="s">
        <v>2598</v>
      </c>
      <c r="I686" s="1005" t="s">
        <v>2599</v>
      </c>
      <c r="J686" s="1"/>
      <c r="K686" s="1"/>
      <c r="L686"/>
      <c r="M686" s="1"/>
      <c r="N686" s="1"/>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row>
    <row r="687" spans="1:96" ht="12.75" customHeight="1" outlineLevel="2" x14ac:dyDescent="0.2">
      <c r="A687"/>
      <c r="B687" s="1395"/>
      <c r="C687" s="1002"/>
      <c r="D687" s="1003"/>
      <c r="E687" s="1003"/>
      <c r="F687" s="1003"/>
      <c r="G687" s="1004"/>
      <c r="H687" s="1003" t="s">
        <v>1363</v>
      </c>
      <c r="I687" s="1005" t="s">
        <v>1371</v>
      </c>
      <c r="J687" s="1"/>
      <c r="K687" s="1"/>
      <c r="L687"/>
      <c r="M687" s="1"/>
      <c r="N687" s="1"/>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row>
    <row r="688" spans="1:96" ht="12.75" customHeight="1" outlineLevel="2" x14ac:dyDescent="0.2">
      <c r="A688"/>
      <c r="B688" s="1395"/>
      <c r="C688" s="1002"/>
      <c r="D688" s="1003"/>
      <c r="E688" s="1003"/>
      <c r="F688" s="1003"/>
      <c r="G688" s="1004"/>
      <c r="H688" s="1003" t="s">
        <v>1364</v>
      </c>
      <c r="I688" s="1005" t="s">
        <v>1372</v>
      </c>
      <c r="J688" s="1"/>
      <c r="K688" s="1"/>
      <c r="L688"/>
      <c r="M688" s="1"/>
      <c r="N688" s="1"/>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row>
    <row r="689" spans="1:96" ht="12.75" customHeight="1" outlineLevel="2" x14ac:dyDescent="0.2">
      <c r="A689"/>
      <c r="B689" s="1395"/>
      <c r="C689" s="1002"/>
      <c r="D689" s="1003"/>
      <c r="E689" s="1003"/>
      <c r="F689" s="1003"/>
      <c r="G689" s="1004"/>
      <c r="H689" s="1003" t="s">
        <v>1361</v>
      </c>
      <c r="I689" s="1005" t="s">
        <v>1369</v>
      </c>
      <c r="J689" s="1"/>
      <c r="K689" s="1"/>
      <c r="L689"/>
      <c r="M689" s="1"/>
      <c r="N689" s="1"/>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row>
    <row r="690" spans="1:96" ht="12.75" customHeight="1" outlineLevel="2" x14ac:dyDescent="0.2">
      <c r="A690"/>
      <c r="B690" s="1395"/>
      <c r="C690" s="1002"/>
      <c r="D690" s="1003"/>
      <c r="E690" s="1003"/>
      <c r="F690" s="1003"/>
      <c r="G690" s="1004"/>
      <c r="H690" s="1003" t="s">
        <v>1362</v>
      </c>
      <c r="I690" s="1005" t="s">
        <v>1370</v>
      </c>
      <c r="J690" s="1"/>
      <c r="K690" s="1"/>
      <c r="L690"/>
      <c r="M690" s="1"/>
      <c r="N690" s="1"/>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row>
    <row r="691" spans="1:96" ht="12.75" customHeight="1" outlineLevel="2" x14ac:dyDescent="0.2">
      <c r="A691"/>
      <c r="B691" s="1395"/>
      <c r="C691" s="1002"/>
      <c r="D691" s="1003"/>
      <c r="E691" s="1003"/>
      <c r="F691" s="1003"/>
      <c r="G691" s="1004"/>
      <c r="H691" s="1003" t="s">
        <v>2600</v>
      </c>
      <c r="I691" s="1005" t="s">
        <v>2601</v>
      </c>
      <c r="J691" s="1"/>
      <c r="K691" s="1"/>
      <c r="L691"/>
      <c r="M691" s="1"/>
      <c r="N691" s="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row>
    <row r="692" spans="1:96" ht="12.75" customHeight="1" outlineLevel="2" x14ac:dyDescent="0.2">
      <c r="A692"/>
      <c r="B692" s="1395"/>
      <c r="C692" s="1002"/>
      <c r="D692" s="1003"/>
      <c r="E692" s="1003"/>
      <c r="F692" s="1003"/>
      <c r="G692" s="1004"/>
      <c r="H692" s="1003" t="s">
        <v>519</v>
      </c>
      <c r="I692" s="1005" t="s">
        <v>520</v>
      </c>
      <c r="J692" s="1"/>
      <c r="K692" s="1"/>
      <c r="L692"/>
      <c r="M692" s="1"/>
      <c r="N692" s="1"/>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row>
    <row r="693" spans="1:96" outlineLevel="1" x14ac:dyDescent="0.2">
      <c r="A693"/>
      <c r="B693" s="1395">
        <f>C693*1000000+D693*1000+E693</f>
        <v>9009064</v>
      </c>
      <c r="C693" s="1002">
        <v>9</v>
      </c>
      <c r="D693" s="1003">
        <v>9</v>
      </c>
      <c r="E693" s="1003">
        <v>64</v>
      </c>
      <c r="F693" s="1003" t="s">
        <v>2602</v>
      </c>
      <c r="G693" s="1004"/>
      <c r="H693" s="1003" t="s">
        <v>521</v>
      </c>
      <c r="I693" s="1005" t="s">
        <v>522</v>
      </c>
      <c r="J693" s="1"/>
      <c r="K693" s="1"/>
      <c r="L693"/>
      <c r="M693" s="1"/>
      <c r="N693" s="1"/>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row>
    <row r="694" spans="1:96" ht="12.75" customHeight="1" outlineLevel="2" x14ac:dyDescent="0.2">
      <c r="A694"/>
      <c r="B694" s="1395"/>
      <c r="C694" s="1002"/>
      <c r="D694" s="1003"/>
      <c r="E694" s="1003"/>
      <c r="F694" s="1003" t="s">
        <v>2603</v>
      </c>
      <c r="G694" s="1004"/>
      <c r="H694" s="1003" t="s">
        <v>2604</v>
      </c>
      <c r="I694" s="1005" t="s">
        <v>2605</v>
      </c>
      <c r="J694" s="1"/>
      <c r="K694" s="1"/>
      <c r="L694"/>
      <c r="M694" s="1"/>
      <c r="N694" s="1"/>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row>
    <row r="695" spans="1:96" ht="12.75" customHeight="1" outlineLevel="2" x14ac:dyDescent="0.2">
      <c r="A695"/>
      <c r="B695" s="1395"/>
      <c r="C695" s="1002"/>
      <c r="D695" s="1003"/>
      <c r="E695" s="1003"/>
      <c r="F695" s="1003" t="s">
        <v>2606</v>
      </c>
      <c r="G695" s="1004"/>
      <c r="H695" s="1003" t="s">
        <v>2607</v>
      </c>
      <c r="I695" s="1005" t="s">
        <v>2608</v>
      </c>
      <c r="J695" s="1"/>
      <c r="K695" s="1"/>
      <c r="L695"/>
      <c r="M695" s="1"/>
      <c r="N695" s="1"/>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row>
    <row r="696" spans="1:96" ht="12.75" customHeight="1" outlineLevel="2" x14ac:dyDescent="0.2">
      <c r="A696"/>
      <c r="B696" s="1395"/>
      <c r="C696" s="1002"/>
      <c r="D696" s="1003"/>
      <c r="E696" s="1003"/>
      <c r="F696" s="1003" t="s">
        <v>2609</v>
      </c>
      <c r="G696" s="1004"/>
      <c r="H696" s="1003" t="s">
        <v>2610</v>
      </c>
      <c r="I696" s="1005" t="s">
        <v>2611</v>
      </c>
      <c r="J696" s="1"/>
      <c r="K696" s="1"/>
      <c r="L696"/>
      <c r="M696" s="1"/>
      <c r="N696" s="1"/>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row>
    <row r="697" spans="1:96" ht="12.75" customHeight="1" outlineLevel="2" x14ac:dyDescent="0.2">
      <c r="A697"/>
      <c r="B697" s="1395"/>
      <c r="C697" s="1002"/>
      <c r="D697" s="1003"/>
      <c r="E697" s="1003"/>
      <c r="F697" s="1003" t="s">
        <v>2612</v>
      </c>
      <c r="G697" s="1004"/>
      <c r="H697" s="1003" t="s">
        <v>523</v>
      </c>
      <c r="I697" s="1005" t="s">
        <v>2613</v>
      </c>
      <c r="J697" s="1"/>
      <c r="K697" s="1"/>
      <c r="L697"/>
      <c r="M697" s="1"/>
      <c r="N697" s="1"/>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row>
    <row r="698" spans="1:96" ht="12.75" customHeight="1" outlineLevel="2" x14ac:dyDescent="0.2">
      <c r="A698"/>
      <c r="B698" s="1395"/>
      <c r="C698" s="1002"/>
      <c r="D698" s="1003"/>
      <c r="E698" s="1003"/>
      <c r="F698" s="1003" t="s">
        <v>2614</v>
      </c>
      <c r="G698" s="1004"/>
      <c r="H698" s="1003" t="s">
        <v>2615</v>
      </c>
      <c r="I698" s="1005" t="s">
        <v>2616</v>
      </c>
      <c r="J698" s="1"/>
      <c r="K698" s="1"/>
      <c r="L698"/>
      <c r="M698" s="1"/>
      <c r="N698" s="1"/>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row>
    <row r="699" spans="1:96" ht="12.75" customHeight="1" outlineLevel="2" x14ac:dyDescent="0.2">
      <c r="A699"/>
      <c r="B699" s="1395"/>
      <c r="C699" s="1002"/>
      <c r="D699" s="1003"/>
      <c r="E699" s="1003"/>
      <c r="F699" s="1003" t="s">
        <v>2617</v>
      </c>
      <c r="G699" s="1004"/>
      <c r="H699" s="1003" t="s">
        <v>2618</v>
      </c>
      <c r="I699" s="1005" t="s">
        <v>2619</v>
      </c>
      <c r="J699" s="1"/>
      <c r="K699" s="1"/>
      <c r="L699"/>
      <c r="M699" s="1"/>
      <c r="N699" s="1"/>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row>
    <row r="700" spans="1:96" ht="12.75" customHeight="1" outlineLevel="2" x14ac:dyDescent="0.2">
      <c r="A700"/>
      <c r="B700" s="1395"/>
      <c r="C700" s="1002"/>
      <c r="D700" s="1003"/>
      <c r="E700" s="1003"/>
      <c r="F700" s="1003" t="s">
        <v>2620</v>
      </c>
      <c r="G700" s="1004"/>
      <c r="H700" s="1003" t="s">
        <v>524</v>
      </c>
      <c r="I700" s="1005" t="s">
        <v>525</v>
      </c>
      <c r="J700" s="1"/>
      <c r="K700" s="1"/>
      <c r="L700"/>
      <c r="M700" s="1"/>
      <c r="N700" s="1"/>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row>
    <row r="701" spans="1:96" ht="12.75" customHeight="1" outlineLevel="2" x14ac:dyDescent="0.2">
      <c r="A701"/>
      <c r="B701" s="1395"/>
      <c r="C701" s="1002"/>
      <c r="D701" s="1003"/>
      <c r="E701" s="1003"/>
      <c r="F701" s="1003" t="s">
        <v>2621</v>
      </c>
      <c r="G701" s="1004"/>
      <c r="H701" s="1003" t="s">
        <v>526</v>
      </c>
      <c r="I701" s="1005" t="s">
        <v>527</v>
      </c>
      <c r="J701" s="1"/>
      <c r="K701" s="1"/>
      <c r="L701"/>
      <c r="M701" s="1"/>
      <c r="N701" s="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row>
    <row r="702" spans="1:96" ht="12.75" customHeight="1" outlineLevel="2" x14ac:dyDescent="0.2">
      <c r="A702"/>
      <c r="B702" s="1395"/>
      <c r="C702" s="1002"/>
      <c r="D702" s="1003"/>
      <c r="E702" s="1003"/>
      <c r="F702" s="1003"/>
      <c r="G702" s="1004"/>
      <c r="H702" s="1003" t="s">
        <v>2622</v>
      </c>
      <c r="I702" s="1005" t="s">
        <v>2623</v>
      </c>
      <c r="J702" s="1"/>
      <c r="K702" s="1"/>
      <c r="L702"/>
      <c r="M702" s="1"/>
      <c r="N702" s="1"/>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row>
    <row r="703" spans="1:96" ht="12.75" customHeight="1" outlineLevel="2" x14ac:dyDescent="0.2">
      <c r="A703"/>
      <c r="B703" s="1395"/>
      <c r="C703" s="1002"/>
      <c r="D703" s="1003"/>
      <c r="E703" s="1003"/>
      <c r="F703" s="1003"/>
      <c r="G703" s="1004"/>
      <c r="H703" s="1003" t="s">
        <v>2624</v>
      </c>
      <c r="I703" s="1005" t="s">
        <v>2625</v>
      </c>
      <c r="J703" s="1"/>
      <c r="K703" s="1"/>
      <c r="L703"/>
      <c r="M703" s="1"/>
      <c r="N703" s="1"/>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row>
    <row r="704" spans="1:96" ht="12.75" customHeight="1" outlineLevel="2" x14ac:dyDescent="0.2">
      <c r="A704"/>
      <c r="B704" s="1395"/>
      <c r="C704" s="1002"/>
      <c r="D704" s="1003"/>
      <c r="E704" s="1003"/>
      <c r="F704" s="1003"/>
      <c r="G704" s="1004"/>
      <c r="H704" s="1003" t="s">
        <v>2626</v>
      </c>
      <c r="I704" s="1005" t="s">
        <v>2627</v>
      </c>
      <c r="J704" s="1"/>
      <c r="K704" s="1"/>
      <c r="L704"/>
      <c r="M704" s="1"/>
      <c r="N704" s="1"/>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row>
    <row r="705" spans="1:96" ht="12.75" customHeight="1" outlineLevel="2" x14ac:dyDescent="0.2">
      <c r="A705"/>
      <c r="B705" s="1395"/>
      <c r="C705" s="1002"/>
      <c r="D705" s="1003"/>
      <c r="E705" s="1003"/>
      <c r="F705" s="1003"/>
      <c r="G705" s="1004"/>
      <c r="H705" s="1003" t="s">
        <v>2628</v>
      </c>
      <c r="I705" s="1005" t="s">
        <v>2629</v>
      </c>
      <c r="J705" s="1"/>
      <c r="K705" s="1"/>
      <c r="L705"/>
      <c r="M705" s="1"/>
      <c r="N705" s="1"/>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row>
    <row r="706" spans="1:96" ht="12.75" customHeight="1" outlineLevel="2" x14ac:dyDescent="0.2">
      <c r="A706"/>
      <c r="B706" s="1395"/>
      <c r="C706" s="1002"/>
      <c r="D706" s="1003"/>
      <c r="E706" s="1003"/>
      <c r="F706" s="1003"/>
      <c r="G706" s="1004"/>
      <c r="H706" s="1003" t="s">
        <v>2630</v>
      </c>
      <c r="I706" s="1005" t="s">
        <v>2631</v>
      </c>
      <c r="J706" s="1"/>
      <c r="K706" s="1"/>
      <c r="L706"/>
      <c r="M706" s="1"/>
      <c r="N706" s="1"/>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row>
    <row r="707" spans="1:96" ht="12.75" customHeight="1" outlineLevel="2" x14ac:dyDescent="0.2">
      <c r="A707"/>
      <c r="B707" s="1395"/>
      <c r="C707" s="1002"/>
      <c r="D707" s="1003"/>
      <c r="E707" s="1003"/>
      <c r="F707" s="1003"/>
      <c r="G707" s="1004"/>
      <c r="H707" s="1003" t="s">
        <v>2632</v>
      </c>
      <c r="I707" s="1005" t="s">
        <v>2633</v>
      </c>
      <c r="J707" s="1"/>
      <c r="K707" s="1"/>
      <c r="L707"/>
      <c r="M707" s="1"/>
      <c r="N707" s="1"/>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row>
    <row r="708" spans="1:96" ht="12.75" customHeight="1" outlineLevel="2" x14ac:dyDescent="0.2">
      <c r="A708"/>
      <c r="B708" s="1395"/>
      <c r="C708" s="1002"/>
      <c r="D708" s="1003"/>
      <c r="E708" s="1003"/>
      <c r="F708" s="1003"/>
      <c r="G708" s="1004"/>
      <c r="H708" s="1003" t="s">
        <v>519</v>
      </c>
      <c r="I708" s="1005" t="s">
        <v>528</v>
      </c>
      <c r="J708" s="1"/>
      <c r="K708" s="1"/>
      <c r="L708"/>
      <c r="M708" s="1"/>
      <c r="N708" s="1"/>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row>
    <row r="709" spans="1:96" outlineLevel="1" x14ac:dyDescent="0.2">
      <c r="A709"/>
      <c r="B709" s="1395">
        <f>C709*1000000+D709*1000+E709</f>
        <v>10010064</v>
      </c>
      <c r="C709" s="1002">
        <v>10</v>
      </c>
      <c r="D709" s="1003">
        <v>10</v>
      </c>
      <c r="E709" s="1003">
        <v>64</v>
      </c>
      <c r="F709" s="1003" t="s">
        <v>2634</v>
      </c>
      <c r="G709" s="1004"/>
      <c r="H709" s="1003" t="s">
        <v>529</v>
      </c>
      <c r="I709" s="1005" t="s">
        <v>508</v>
      </c>
      <c r="J709" s="1"/>
      <c r="K709" s="1"/>
      <c r="L709"/>
      <c r="M709" s="1"/>
      <c r="N709" s="1"/>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row>
    <row r="710" spans="1:96" ht="12.75" customHeight="1" outlineLevel="2" x14ac:dyDescent="0.2">
      <c r="A710"/>
      <c r="B710" s="1395"/>
      <c r="C710" s="1002"/>
      <c r="D710" s="1003"/>
      <c r="E710" s="1003"/>
      <c r="F710" s="1003" t="s">
        <v>2635</v>
      </c>
      <c r="G710" s="1004"/>
      <c r="H710" s="1003" t="s">
        <v>2636</v>
      </c>
      <c r="I710" s="1005" t="s">
        <v>2637</v>
      </c>
      <c r="J710" s="1"/>
      <c r="K710" s="1"/>
      <c r="L710"/>
      <c r="M710" s="1"/>
      <c r="N710" s="1"/>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row>
    <row r="711" spans="1:96" ht="12.75" customHeight="1" outlineLevel="2" x14ac:dyDescent="0.2">
      <c r="A711"/>
      <c r="B711" s="1395"/>
      <c r="C711" s="1002"/>
      <c r="D711" s="1003"/>
      <c r="E711" s="1003"/>
      <c r="F711" s="1003" t="s">
        <v>2638</v>
      </c>
      <c r="G711" s="1004"/>
      <c r="H711" s="1003" t="s">
        <v>2639</v>
      </c>
      <c r="I711" s="1005" t="s">
        <v>1414</v>
      </c>
      <c r="J711" s="1"/>
      <c r="K711" s="1"/>
      <c r="L711"/>
      <c r="M711" s="1"/>
      <c r="N711" s="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row>
    <row r="712" spans="1:96" ht="12.75" customHeight="1" outlineLevel="2" x14ac:dyDescent="0.2">
      <c r="A712"/>
      <c r="B712" s="1395"/>
      <c r="C712" s="1002"/>
      <c r="D712" s="1003"/>
      <c r="E712" s="1003"/>
      <c r="F712" s="1003" t="s">
        <v>2640</v>
      </c>
      <c r="G712" s="1004"/>
      <c r="H712" s="1003" t="s">
        <v>2641</v>
      </c>
      <c r="I712" s="1005" t="s">
        <v>2642</v>
      </c>
      <c r="J712" s="1"/>
      <c r="K712" s="1"/>
      <c r="L712"/>
      <c r="M712" s="1"/>
      <c r="N712" s="1"/>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row>
    <row r="713" spans="1:96" ht="12.75" customHeight="1" outlineLevel="2" x14ac:dyDescent="0.2">
      <c r="A713"/>
      <c r="B713" s="1395"/>
      <c r="C713" s="1002"/>
      <c r="D713" s="1003"/>
      <c r="E713" s="1003"/>
      <c r="F713" s="1003" t="s">
        <v>2643</v>
      </c>
      <c r="G713" s="1004"/>
      <c r="H713" s="1003" t="s">
        <v>530</v>
      </c>
      <c r="I713" s="1005" t="s">
        <v>2644</v>
      </c>
      <c r="J713" s="1"/>
      <c r="K713" s="1"/>
      <c r="L713"/>
      <c r="M713" s="1"/>
      <c r="N713" s="1"/>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row>
    <row r="714" spans="1:96" ht="12.75" customHeight="1" outlineLevel="2" x14ac:dyDescent="0.2">
      <c r="A714"/>
      <c r="B714" s="1395"/>
      <c r="C714" s="1002"/>
      <c r="D714" s="1003"/>
      <c r="E714" s="1003"/>
      <c r="F714" s="1003" t="s">
        <v>2645</v>
      </c>
      <c r="G714" s="1004"/>
      <c r="H714" s="1003" t="s">
        <v>2646</v>
      </c>
      <c r="I714" s="1005" t="s">
        <v>1417</v>
      </c>
      <c r="J714" s="1"/>
      <c r="K714" s="1"/>
      <c r="L714"/>
      <c r="M714" s="1"/>
      <c r="N714" s="1"/>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row>
    <row r="715" spans="1:96" ht="12.75" customHeight="1" outlineLevel="2" x14ac:dyDescent="0.2">
      <c r="A715"/>
      <c r="B715" s="1395"/>
      <c r="C715" s="1002"/>
      <c r="D715" s="1003"/>
      <c r="E715" s="1003"/>
      <c r="F715" s="1003" t="s">
        <v>2647</v>
      </c>
      <c r="G715" s="1004"/>
      <c r="H715" s="1003" t="s">
        <v>2648</v>
      </c>
      <c r="I715" s="1005" t="s">
        <v>2649</v>
      </c>
      <c r="J715" s="1"/>
      <c r="K715" s="1"/>
      <c r="L715"/>
      <c r="M715" s="1"/>
      <c r="N715" s="1"/>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row>
    <row r="716" spans="1:96" ht="12.75" customHeight="1" outlineLevel="2" x14ac:dyDescent="0.2">
      <c r="A716"/>
      <c r="B716" s="1395"/>
      <c r="C716" s="1002"/>
      <c r="D716" s="1003"/>
      <c r="E716" s="1003"/>
      <c r="F716" s="1003" t="s">
        <v>2650</v>
      </c>
      <c r="G716" s="1004"/>
      <c r="H716" s="1003" t="s">
        <v>531</v>
      </c>
      <c r="I716" s="1005" t="s">
        <v>532</v>
      </c>
      <c r="J716" s="1"/>
      <c r="K716" s="1"/>
      <c r="L716"/>
      <c r="M716" s="1"/>
      <c r="N716" s="1"/>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row>
    <row r="717" spans="1:96" ht="12.75" customHeight="1" outlineLevel="2" x14ac:dyDescent="0.2">
      <c r="A717"/>
      <c r="B717" s="1395"/>
      <c r="C717" s="1002"/>
      <c r="D717" s="1003"/>
      <c r="E717" s="1003"/>
      <c r="F717" s="1003" t="s">
        <v>2651</v>
      </c>
      <c r="G717" s="1004"/>
      <c r="H717" s="1003" t="s">
        <v>526</v>
      </c>
      <c r="I717" s="1005" t="s">
        <v>533</v>
      </c>
      <c r="J717" s="1"/>
      <c r="K717" s="1"/>
      <c r="L717"/>
      <c r="M717" s="1"/>
      <c r="N717" s="1"/>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row>
    <row r="718" spans="1:96" ht="12.75" customHeight="1" outlineLevel="2" x14ac:dyDescent="0.2">
      <c r="A718"/>
      <c r="B718" s="1395"/>
      <c r="C718" s="1002"/>
      <c r="D718" s="1003"/>
      <c r="E718" s="1003"/>
      <c r="F718" s="1003" t="s">
        <v>2652</v>
      </c>
      <c r="G718" s="1004"/>
      <c r="H718" s="1003" t="s">
        <v>2653</v>
      </c>
      <c r="I718" s="1005" t="s">
        <v>2654</v>
      </c>
      <c r="J718" s="1"/>
      <c r="K718" s="1"/>
      <c r="L718"/>
      <c r="M718" s="1"/>
      <c r="N718" s="1"/>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row>
    <row r="719" spans="1:96" ht="12.75" customHeight="1" outlineLevel="2" x14ac:dyDescent="0.2">
      <c r="A719"/>
      <c r="B719" s="1395"/>
      <c r="C719" s="1002"/>
      <c r="D719" s="1003"/>
      <c r="E719" s="1003"/>
      <c r="F719" s="1003"/>
      <c r="G719" s="1004"/>
      <c r="H719" s="1003" t="s">
        <v>1401</v>
      </c>
      <c r="I719" s="1005" t="s">
        <v>2655</v>
      </c>
      <c r="J719" s="1"/>
      <c r="K719" s="1"/>
      <c r="L719"/>
      <c r="M719" s="1"/>
      <c r="N719" s="1"/>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row>
    <row r="720" spans="1:96" ht="12.75" customHeight="1" outlineLevel="2" x14ac:dyDescent="0.2">
      <c r="A720"/>
      <c r="B720" s="1395"/>
      <c r="C720" s="1002"/>
      <c r="D720" s="1003"/>
      <c r="E720" s="1003"/>
      <c r="F720" s="1003"/>
      <c r="G720" s="1004"/>
      <c r="H720" s="1003" t="s">
        <v>2656</v>
      </c>
      <c r="I720" s="1005" t="s">
        <v>534</v>
      </c>
      <c r="J720" s="1"/>
      <c r="K720" s="1"/>
      <c r="L720"/>
      <c r="M720" s="1"/>
      <c r="N720" s="1"/>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row>
    <row r="721" spans="1:96" ht="12.75" customHeight="1" outlineLevel="2" x14ac:dyDescent="0.2">
      <c r="A721"/>
      <c r="B721" s="1395"/>
      <c r="C721" s="1002"/>
      <c r="D721" s="1003"/>
      <c r="E721" s="1003"/>
      <c r="F721" s="1003"/>
      <c r="G721" s="1004"/>
      <c r="H721" s="1003" t="s">
        <v>2657</v>
      </c>
      <c r="I721" s="1005" t="s">
        <v>2658</v>
      </c>
      <c r="J721" s="1"/>
      <c r="K721" s="1"/>
      <c r="L721"/>
      <c r="M721" s="1"/>
      <c r="N721" s="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row>
    <row r="722" spans="1:96" ht="12.75" customHeight="1" outlineLevel="2" x14ac:dyDescent="0.2">
      <c r="A722"/>
      <c r="B722" s="1395"/>
      <c r="C722" s="1002"/>
      <c r="D722" s="1003"/>
      <c r="E722" s="1003"/>
      <c r="F722" s="1003"/>
      <c r="G722" s="1004"/>
      <c r="H722" s="1003" t="s">
        <v>1423</v>
      </c>
      <c r="I722" s="1005" t="s">
        <v>2659</v>
      </c>
      <c r="J722" s="1"/>
      <c r="K722" s="1"/>
      <c r="L722"/>
      <c r="M722" s="1"/>
      <c r="N722" s="1"/>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row>
    <row r="723" spans="1:96" ht="12.75" customHeight="1" outlineLevel="2" x14ac:dyDescent="0.2">
      <c r="A723"/>
      <c r="B723" s="1395"/>
      <c r="C723" s="1002"/>
      <c r="D723" s="1003"/>
      <c r="E723" s="1003"/>
      <c r="F723" s="1003"/>
      <c r="G723" s="1004"/>
      <c r="H723" s="1003" t="s">
        <v>2660</v>
      </c>
      <c r="I723" s="1005" t="s">
        <v>2661</v>
      </c>
      <c r="J723" s="1"/>
      <c r="K723" s="1"/>
      <c r="L723"/>
      <c r="M723" s="1"/>
      <c r="N723" s="1"/>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row>
    <row r="724" spans="1:96" ht="12.75" customHeight="1" outlineLevel="2" x14ac:dyDescent="0.2">
      <c r="A724"/>
      <c r="B724" s="1395"/>
      <c r="C724" s="1002"/>
      <c r="D724" s="1003"/>
      <c r="E724" s="1003"/>
      <c r="F724" s="1003"/>
      <c r="G724" s="1004"/>
      <c r="H724" s="1003" t="s">
        <v>535</v>
      </c>
      <c r="I724" s="1005" t="s">
        <v>536</v>
      </c>
      <c r="J724" s="1"/>
      <c r="K724" s="1"/>
      <c r="L724"/>
      <c r="M724" s="1"/>
      <c r="N724" s="1"/>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row>
    <row r="725" spans="1:96" outlineLevel="1" x14ac:dyDescent="0.2">
      <c r="A725"/>
      <c r="B725" s="1395">
        <f>C725*1000000+D725*1000+E725</f>
        <v>11011064</v>
      </c>
      <c r="C725" s="1002">
        <v>11</v>
      </c>
      <c r="D725" s="1003">
        <v>11</v>
      </c>
      <c r="E725" s="1003">
        <v>64</v>
      </c>
      <c r="F725" s="1003" t="s">
        <v>2662</v>
      </c>
      <c r="G725" s="1004"/>
      <c r="H725" s="1003" t="s">
        <v>537</v>
      </c>
      <c r="I725" s="1005" t="s">
        <v>508</v>
      </c>
      <c r="J725" s="1"/>
      <c r="K725" s="1"/>
      <c r="L725"/>
      <c r="M725" s="1"/>
      <c r="N725" s="1"/>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row>
    <row r="726" spans="1:96" ht="12.75" customHeight="1" outlineLevel="2" x14ac:dyDescent="0.2">
      <c r="A726"/>
      <c r="B726" s="1395"/>
      <c r="C726" s="1002"/>
      <c r="D726" s="1003"/>
      <c r="E726" s="1003"/>
      <c r="F726" s="1003" t="s">
        <v>2663</v>
      </c>
      <c r="G726" s="1004"/>
      <c r="H726" s="1003" t="s">
        <v>2664</v>
      </c>
      <c r="I726" s="1005" t="s">
        <v>2665</v>
      </c>
      <c r="J726" s="1"/>
      <c r="K726" s="1"/>
      <c r="L726"/>
      <c r="M726" s="1"/>
      <c r="N726" s="1"/>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row>
    <row r="727" spans="1:96" ht="12.75" customHeight="1" outlineLevel="2" x14ac:dyDescent="0.2">
      <c r="A727"/>
      <c r="B727" s="1395"/>
      <c r="C727" s="1002"/>
      <c r="D727" s="1003"/>
      <c r="E727" s="1003"/>
      <c r="F727" s="1003" t="s">
        <v>2666</v>
      </c>
      <c r="G727" s="1004"/>
      <c r="H727" s="1003" t="s">
        <v>2667</v>
      </c>
      <c r="I727" s="1005" t="s">
        <v>2668</v>
      </c>
      <c r="J727" s="1"/>
      <c r="K727" s="1"/>
      <c r="L727"/>
      <c r="M727" s="1"/>
      <c r="N727" s="1"/>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row>
    <row r="728" spans="1:96" ht="12.75" customHeight="1" outlineLevel="2" x14ac:dyDescent="0.2">
      <c r="A728"/>
      <c r="B728" s="1395"/>
      <c r="C728" s="1002"/>
      <c r="D728" s="1003"/>
      <c r="E728" s="1003"/>
      <c r="F728" s="1003" t="s">
        <v>2669</v>
      </c>
      <c r="G728" s="1004"/>
      <c r="H728" s="1003" t="s">
        <v>2670</v>
      </c>
      <c r="I728" s="1005" t="s">
        <v>2671</v>
      </c>
      <c r="J728" s="1"/>
      <c r="K728" s="1"/>
      <c r="L728"/>
      <c r="M728" s="1"/>
      <c r="N728" s="1"/>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row>
    <row r="729" spans="1:96" ht="12.75" customHeight="1" outlineLevel="2" x14ac:dyDescent="0.2">
      <c r="A729"/>
      <c r="B729" s="1395"/>
      <c r="C729" s="1002"/>
      <c r="D729" s="1003"/>
      <c r="E729" s="1003"/>
      <c r="F729" s="1003" t="s">
        <v>2672</v>
      </c>
      <c r="G729" s="1004"/>
      <c r="H729" s="1003" t="s">
        <v>538</v>
      </c>
      <c r="I729" s="1005" t="s">
        <v>539</v>
      </c>
      <c r="J729" s="1"/>
      <c r="K729" s="1"/>
      <c r="L729"/>
      <c r="M729" s="1"/>
      <c r="N729" s="1"/>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row>
    <row r="730" spans="1:96" ht="12.75" customHeight="1" outlineLevel="2" x14ac:dyDescent="0.2">
      <c r="A730"/>
      <c r="B730" s="1395"/>
      <c r="C730" s="1002"/>
      <c r="D730" s="1003"/>
      <c r="E730" s="1003"/>
      <c r="F730" s="1003" t="s">
        <v>2673</v>
      </c>
      <c r="G730" s="1004"/>
      <c r="H730" s="1003" t="s">
        <v>2674</v>
      </c>
      <c r="I730" s="1005" t="s">
        <v>2675</v>
      </c>
      <c r="J730" s="1"/>
      <c r="K730" s="1"/>
      <c r="L730"/>
      <c r="M730" s="1"/>
      <c r="N730" s="1"/>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row>
    <row r="731" spans="1:96" ht="12.75" customHeight="1" outlineLevel="2" x14ac:dyDescent="0.2">
      <c r="A731"/>
      <c r="B731" s="1395"/>
      <c r="C731" s="1002"/>
      <c r="D731" s="1003"/>
      <c r="E731" s="1003"/>
      <c r="F731" s="1003" t="s">
        <v>2676</v>
      </c>
      <c r="G731" s="1004"/>
      <c r="H731" s="1003" t="s">
        <v>2677</v>
      </c>
      <c r="I731" s="1005" t="s">
        <v>2678</v>
      </c>
      <c r="J731" s="1"/>
      <c r="K731" s="1"/>
      <c r="L731"/>
      <c r="M731" s="1"/>
      <c r="N731" s="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row>
    <row r="732" spans="1:96" ht="12.75" customHeight="1" outlineLevel="2" x14ac:dyDescent="0.2">
      <c r="A732"/>
      <c r="B732" s="1395"/>
      <c r="C732" s="1002"/>
      <c r="D732" s="1003"/>
      <c r="E732" s="1003"/>
      <c r="F732" s="1003" t="s">
        <v>2679</v>
      </c>
      <c r="G732" s="1004"/>
      <c r="H732" s="1003" t="s">
        <v>540</v>
      </c>
      <c r="I732" s="1005" t="s">
        <v>516</v>
      </c>
      <c r="J732" s="1"/>
      <c r="K732" s="1"/>
      <c r="L732"/>
      <c r="M732" s="1"/>
      <c r="N732" s="1"/>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row>
    <row r="733" spans="1:96" ht="12.75" customHeight="1" outlineLevel="2" x14ac:dyDescent="0.2">
      <c r="A733"/>
      <c r="B733" s="1395"/>
      <c r="C733" s="1002"/>
      <c r="D733" s="1003"/>
      <c r="E733" s="1003"/>
      <c r="F733" s="1003" t="s">
        <v>2680</v>
      </c>
      <c r="G733" s="1004"/>
      <c r="H733" s="1003" t="s">
        <v>541</v>
      </c>
      <c r="I733" s="1005" t="s">
        <v>533</v>
      </c>
      <c r="J733" s="1"/>
      <c r="K733" s="1"/>
      <c r="L733"/>
      <c r="M733" s="1"/>
      <c r="N733" s="1"/>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row>
    <row r="734" spans="1:96" ht="12.75" customHeight="1" outlineLevel="2" x14ac:dyDescent="0.2">
      <c r="A734"/>
      <c r="B734" s="1395"/>
      <c r="C734" s="1002"/>
      <c r="D734" s="1003"/>
      <c r="E734" s="1003"/>
      <c r="F734" s="1003" t="s">
        <v>2681</v>
      </c>
      <c r="G734" s="1004"/>
      <c r="H734" s="1003" t="s">
        <v>2682</v>
      </c>
      <c r="I734" s="1005" t="s">
        <v>2683</v>
      </c>
      <c r="J734" s="1"/>
      <c r="K734" s="1"/>
      <c r="L734"/>
      <c r="M734" s="1"/>
      <c r="N734" s="1"/>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row>
    <row r="735" spans="1:96" ht="12.75" customHeight="1" outlineLevel="2" x14ac:dyDescent="0.2">
      <c r="A735"/>
      <c r="B735" s="1395"/>
      <c r="C735" s="1002"/>
      <c r="D735" s="1003"/>
      <c r="E735" s="1003"/>
      <c r="F735" s="1003" t="s">
        <v>2684</v>
      </c>
      <c r="G735" s="1004"/>
      <c r="H735" s="1003" t="s">
        <v>2685</v>
      </c>
      <c r="I735" s="1005" t="s">
        <v>2686</v>
      </c>
      <c r="J735" s="1"/>
      <c r="K735" s="1"/>
      <c r="L735"/>
      <c r="M735" s="1"/>
      <c r="N735" s="1"/>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row>
    <row r="736" spans="1:96" ht="12.75" customHeight="1" outlineLevel="2" x14ac:dyDescent="0.2">
      <c r="A736"/>
      <c r="B736" s="1395"/>
      <c r="C736" s="1002"/>
      <c r="D736" s="1003"/>
      <c r="E736" s="1003"/>
      <c r="F736" s="1003"/>
      <c r="G736" s="1004"/>
      <c r="H736" s="1003" t="s">
        <v>2511</v>
      </c>
      <c r="I736" s="1005" t="s">
        <v>542</v>
      </c>
      <c r="J736" s="1"/>
      <c r="K736" s="1"/>
      <c r="L736"/>
      <c r="M736" s="1"/>
      <c r="N736" s="1"/>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row>
    <row r="737" spans="1:96" ht="12.75" customHeight="1" outlineLevel="2" x14ac:dyDescent="0.2">
      <c r="A737"/>
      <c r="B737" s="1395"/>
      <c r="C737" s="1002"/>
      <c r="D737" s="1003"/>
      <c r="E737" s="1003"/>
      <c r="F737" s="1003"/>
      <c r="G737" s="1004"/>
      <c r="H737" s="1003" t="s">
        <v>716</v>
      </c>
      <c r="I737" s="1005" t="s">
        <v>2687</v>
      </c>
      <c r="J737" s="1"/>
      <c r="K737" s="1"/>
      <c r="L737"/>
      <c r="M737" s="1"/>
      <c r="N737" s="1"/>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row>
    <row r="738" spans="1:96" ht="12.75" customHeight="1" outlineLevel="2" x14ac:dyDescent="0.2">
      <c r="A738"/>
      <c r="B738" s="1395"/>
      <c r="C738" s="1002"/>
      <c r="D738" s="1003"/>
      <c r="E738" s="1003"/>
      <c r="F738" s="1003"/>
      <c r="G738" s="1004"/>
      <c r="H738" s="1003" t="s">
        <v>2688</v>
      </c>
      <c r="I738" s="1005" t="s">
        <v>2689</v>
      </c>
      <c r="J738" s="1"/>
      <c r="K738" s="1"/>
      <c r="L738"/>
      <c r="M738" s="1"/>
      <c r="N738" s="1"/>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row>
    <row r="739" spans="1:96" ht="12.75" customHeight="1" outlineLevel="2" x14ac:dyDescent="0.2">
      <c r="A739"/>
      <c r="B739" s="1395"/>
      <c r="C739" s="1002"/>
      <c r="D739" s="1003"/>
      <c r="E739" s="1003"/>
      <c r="F739" s="1003"/>
      <c r="G739" s="1004"/>
      <c r="H739" s="1003" t="s">
        <v>2690</v>
      </c>
      <c r="I739" s="1005" t="s">
        <v>2691</v>
      </c>
      <c r="J739" s="1"/>
      <c r="K739" s="1"/>
      <c r="L739"/>
      <c r="M739" s="1"/>
      <c r="N739" s="1"/>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row>
    <row r="740" spans="1:96" ht="12.75" customHeight="1" outlineLevel="2" x14ac:dyDescent="0.2">
      <c r="A740"/>
      <c r="B740" s="1395"/>
      <c r="C740" s="1002"/>
      <c r="D740" s="1003"/>
      <c r="E740" s="1003"/>
      <c r="F740" s="1003"/>
      <c r="G740" s="1004"/>
      <c r="H740" s="1003" t="s">
        <v>543</v>
      </c>
      <c r="I740" s="1005" t="s">
        <v>520</v>
      </c>
      <c r="J740" s="1"/>
      <c r="K740" s="1"/>
      <c r="L740"/>
      <c r="M740" s="1"/>
      <c r="N740" s="1"/>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row>
    <row r="741" spans="1:96" outlineLevel="1" x14ac:dyDescent="0.2">
      <c r="A741"/>
      <c r="B741" s="1395">
        <f>C741*1000000+D741*1000+E741</f>
        <v>12012064</v>
      </c>
      <c r="C741" s="1002">
        <v>12</v>
      </c>
      <c r="D741" s="1003">
        <v>12</v>
      </c>
      <c r="E741" s="1003">
        <v>64</v>
      </c>
      <c r="F741" s="1003" t="s">
        <v>2692</v>
      </c>
      <c r="G741" s="1004"/>
      <c r="H741" s="1003" t="s">
        <v>544</v>
      </c>
      <c r="I741" s="1005" t="s">
        <v>522</v>
      </c>
      <c r="J741" s="1"/>
      <c r="K741" s="1"/>
      <c r="L741"/>
      <c r="M741" s="1"/>
      <c r="N741" s="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row>
    <row r="742" spans="1:96" ht="12.75" customHeight="1" outlineLevel="2" x14ac:dyDescent="0.2">
      <c r="A742"/>
      <c r="B742" s="1395"/>
      <c r="C742" s="1002"/>
      <c r="D742" s="1003"/>
      <c r="E742" s="1003"/>
      <c r="F742" s="1003" t="s">
        <v>2693</v>
      </c>
      <c r="G742" s="1004"/>
      <c r="H742" s="1003" t="s">
        <v>2694</v>
      </c>
      <c r="I742" s="1005" t="s">
        <v>2695</v>
      </c>
      <c r="J742" s="1"/>
      <c r="K742" s="1"/>
      <c r="L742"/>
      <c r="M742" s="1"/>
      <c r="N742" s="1"/>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row>
    <row r="743" spans="1:96" ht="12.75" customHeight="1" outlineLevel="2" x14ac:dyDescent="0.2">
      <c r="A743"/>
      <c r="B743" s="1395"/>
      <c r="C743" s="1002"/>
      <c r="D743" s="1003"/>
      <c r="E743" s="1003"/>
      <c r="F743" s="1003" t="s">
        <v>2696</v>
      </c>
      <c r="G743" s="1004"/>
      <c r="H743" s="1003" t="s">
        <v>1223</v>
      </c>
      <c r="I743" s="1005" t="s">
        <v>1227</v>
      </c>
      <c r="J743" s="1"/>
      <c r="K743" s="1"/>
      <c r="L743"/>
      <c r="M743" s="1"/>
      <c r="N743" s="1"/>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row>
    <row r="744" spans="1:96" ht="12.75" customHeight="1" outlineLevel="2" x14ac:dyDescent="0.2">
      <c r="A744"/>
      <c r="B744" s="1395"/>
      <c r="C744" s="1002"/>
      <c r="D744" s="1003"/>
      <c r="E744" s="1003"/>
      <c r="F744" s="1003" t="s">
        <v>2697</v>
      </c>
      <c r="G744" s="1004"/>
      <c r="H744" s="1003" t="s">
        <v>1224</v>
      </c>
      <c r="I744" s="1005" t="s">
        <v>1228</v>
      </c>
      <c r="J744" s="1"/>
      <c r="K744" s="1"/>
      <c r="L744"/>
      <c r="M744" s="1"/>
      <c r="N744" s="1"/>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row>
    <row r="745" spans="1:96" ht="12.75" customHeight="1" outlineLevel="2" x14ac:dyDescent="0.2">
      <c r="A745"/>
      <c r="B745" s="1395"/>
      <c r="C745" s="1002"/>
      <c r="D745" s="1003"/>
      <c r="E745" s="1003"/>
      <c r="F745" s="1003" t="s">
        <v>2698</v>
      </c>
      <c r="G745" s="1004"/>
      <c r="H745" s="1003" t="s">
        <v>545</v>
      </c>
      <c r="I745" s="1005" t="s">
        <v>546</v>
      </c>
      <c r="J745" s="1"/>
      <c r="K745" s="1"/>
      <c r="L745"/>
      <c r="M745" s="1"/>
      <c r="N745" s="1"/>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row>
    <row r="746" spans="1:96" ht="12.75" customHeight="1" outlineLevel="2" x14ac:dyDescent="0.2">
      <c r="A746"/>
      <c r="B746" s="1395"/>
      <c r="C746" s="1002"/>
      <c r="D746" s="1003"/>
      <c r="E746" s="1003"/>
      <c r="F746" s="1003" t="s">
        <v>470</v>
      </c>
      <c r="G746" s="1004"/>
      <c r="H746" s="1003" t="s">
        <v>471</v>
      </c>
      <c r="I746" s="1005" t="s">
        <v>472</v>
      </c>
      <c r="J746" s="1"/>
      <c r="K746" s="1"/>
      <c r="L746"/>
      <c r="M746" s="1"/>
      <c r="N746" s="1"/>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row>
    <row r="747" spans="1:96" ht="12.75" customHeight="1" outlineLevel="2" x14ac:dyDescent="0.2">
      <c r="A747"/>
      <c r="B747" s="1395"/>
      <c r="C747" s="1002"/>
      <c r="D747" s="1003"/>
      <c r="E747" s="1003"/>
      <c r="F747" s="1003" t="s">
        <v>473</v>
      </c>
      <c r="G747" s="1004"/>
      <c r="H747" s="1003" t="s">
        <v>474</v>
      </c>
      <c r="I747" s="1005" t="s">
        <v>475</v>
      </c>
      <c r="J747" s="1"/>
      <c r="K747" s="1"/>
      <c r="L747"/>
      <c r="M747" s="1"/>
      <c r="N747" s="1"/>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row>
    <row r="748" spans="1:96" ht="12.75" customHeight="1" outlineLevel="2" x14ac:dyDescent="0.2">
      <c r="A748"/>
      <c r="B748" s="1395"/>
      <c r="C748" s="1002"/>
      <c r="D748" s="1003"/>
      <c r="E748" s="1003"/>
      <c r="F748" s="1003" t="s">
        <v>476</v>
      </c>
      <c r="G748" s="1004"/>
      <c r="H748" s="1003" t="s">
        <v>540</v>
      </c>
      <c r="I748" s="1005" t="s">
        <v>547</v>
      </c>
      <c r="J748" s="1"/>
      <c r="K748" s="1"/>
      <c r="L748"/>
      <c r="M748" s="1"/>
      <c r="N748" s="1"/>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row>
    <row r="749" spans="1:96" ht="12.75" customHeight="1" outlineLevel="2" x14ac:dyDescent="0.2">
      <c r="A749"/>
      <c r="B749" s="1395"/>
      <c r="C749" s="1002"/>
      <c r="D749" s="1003"/>
      <c r="E749" s="1003"/>
      <c r="F749" s="1003" t="s">
        <v>477</v>
      </c>
      <c r="G749" s="1004"/>
      <c r="H749" s="1003" t="s">
        <v>548</v>
      </c>
      <c r="I749" s="1005" t="s">
        <v>549</v>
      </c>
      <c r="J749" s="1"/>
      <c r="K749" s="1"/>
      <c r="L749"/>
      <c r="M749" s="1"/>
      <c r="N749" s="1"/>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row>
    <row r="750" spans="1:96" ht="12.75" customHeight="1" outlineLevel="2" x14ac:dyDescent="0.2">
      <c r="A750"/>
      <c r="B750" s="1395"/>
      <c r="C750" s="1002"/>
      <c r="D750" s="1003"/>
      <c r="E750" s="1003"/>
      <c r="F750" s="1003" t="s">
        <v>478</v>
      </c>
      <c r="G750" s="1004"/>
      <c r="H750" s="1003" t="s">
        <v>479</v>
      </c>
      <c r="I750" s="1005" t="s">
        <v>480</v>
      </c>
      <c r="J750" s="1"/>
      <c r="K750" s="1"/>
      <c r="L750"/>
      <c r="M750" s="1"/>
      <c r="N750" s="1"/>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row>
    <row r="751" spans="1:96" ht="12.75" customHeight="1" outlineLevel="2" x14ac:dyDescent="0.2">
      <c r="A751"/>
      <c r="B751" s="1395"/>
      <c r="C751" s="1002"/>
      <c r="D751" s="1003"/>
      <c r="E751" s="1003"/>
      <c r="F751" s="1003" t="s">
        <v>481</v>
      </c>
      <c r="G751" s="1004"/>
      <c r="H751" s="1003" t="s">
        <v>482</v>
      </c>
      <c r="I751" s="1005" t="s">
        <v>483</v>
      </c>
      <c r="J751" s="1"/>
      <c r="K751" s="1"/>
      <c r="L751"/>
      <c r="M751" s="1"/>
      <c r="N751" s="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row>
    <row r="752" spans="1:96" ht="12.75" customHeight="1" outlineLevel="2" x14ac:dyDescent="0.2">
      <c r="A752"/>
      <c r="B752" s="1395"/>
      <c r="C752" s="1002"/>
      <c r="D752" s="1003"/>
      <c r="E752" s="1003"/>
      <c r="F752" s="1003" t="s">
        <v>484</v>
      </c>
      <c r="G752" s="1004"/>
      <c r="H752" s="1003" t="s">
        <v>550</v>
      </c>
      <c r="I752" s="1005" t="s">
        <v>551</v>
      </c>
      <c r="J752" s="1"/>
      <c r="K752" s="1"/>
      <c r="L752"/>
      <c r="M752" s="1"/>
      <c r="N752" s="1"/>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row>
    <row r="753" spans="1:96" ht="12.75" customHeight="1" outlineLevel="2" x14ac:dyDescent="0.2">
      <c r="A753"/>
      <c r="B753" s="1395"/>
      <c r="C753" s="1002"/>
      <c r="D753" s="1003"/>
      <c r="E753" s="1003"/>
      <c r="F753" s="1003"/>
      <c r="G753" s="1004"/>
      <c r="H753" s="1003" t="s">
        <v>1205</v>
      </c>
      <c r="I753" s="1005" t="s">
        <v>1225</v>
      </c>
      <c r="J753" s="1"/>
      <c r="K753" s="1"/>
      <c r="L753"/>
      <c r="M753" s="1"/>
      <c r="N753" s="1"/>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row>
    <row r="754" spans="1:96" ht="12.75" customHeight="1" outlineLevel="2" x14ac:dyDescent="0.2">
      <c r="A754"/>
      <c r="B754" s="1395"/>
      <c r="C754" s="1002"/>
      <c r="D754" s="1003"/>
      <c r="E754" s="1003"/>
      <c r="F754" s="1003"/>
      <c r="G754" s="1004"/>
      <c r="H754" s="1003" t="s">
        <v>1222</v>
      </c>
      <c r="I754" s="1005" t="s">
        <v>1226</v>
      </c>
      <c r="J754" s="1"/>
      <c r="K754" s="1"/>
      <c r="L754"/>
      <c r="M754" s="1"/>
      <c r="N754" s="1"/>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row>
    <row r="755" spans="1:96" ht="12.75" customHeight="1" outlineLevel="2" x14ac:dyDescent="0.2">
      <c r="A755"/>
      <c r="B755" s="1395"/>
      <c r="C755" s="1002"/>
      <c r="D755" s="1003"/>
      <c r="E755" s="1003"/>
      <c r="F755" s="1003"/>
      <c r="G755" s="1004"/>
      <c r="H755" s="1003" t="s">
        <v>485</v>
      </c>
      <c r="I755" s="1005" t="s">
        <v>486</v>
      </c>
      <c r="J755" s="1"/>
      <c r="K755" s="1"/>
      <c r="L755"/>
      <c r="M755" s="1"/>
      <c r="N755" s="1"/>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row>
    <row r="756" spans="1:96" ht="12.75" customHeight="1" outlineLevel="2" x14ac:dyDescent="0.2">
      <c r="A756"/>
      <c r="B756" s="1395"/>
      <c r="C756" s="1002"/>
      <c r="D756" s="1003"/>
      <c r="E756" s="1003"/>
      <c r="F756" s="1003"/>
      <c r="G756" s="1004"/>
      <c r="H756" s="1003" t="s">
        <v>552</v>
      </c>
      <c r="I756" s="1005" t="s">
        <v>553</v>
      </c>
      <c r="J756" s="1"/>
      <c r="K756" s="1"/>
      <c r="L756"/>
      <c r="M756" s="1"/>
      <c r="N756" s="1"/>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row>
    <row r="757" spans="1:96" outlineLevel="1" x14ac:dyDescent="0.2">
      <c r="A757"/>
      <c r="B757" s="1395">
        <f>C757*1000000+D757*1000+E757</f>
        <v>13013064</v>
      </c>
      <c r="C757" s="1002">
        <v>13</v>
      </c>
      <c r="D757" s="1003">
        <v>13</v>
      </c>
      <c r="E757" s="1003">
        <v>64</v>
      </c>
      <c r="F757" s="1003" t="s">
        <v>3</v>
      </c>
      <c r="G757" s="1004"/>
      <c r="H757" s="1003" t="s">
        <v>544</v>
      </c>
      <c r="I757" s="1005" t="s">
        <v>1845</v>
      </c>
      <c r="J757" s="1"/>
      <c r="K757" s="1"/>
      <c r="L757"/>
      <c r="M757" s="1"/>
      <c r="N757" s="1"/>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row>
    <row r="758" spans="1:96" ht="12.75" customHeight="1" outlineLevel="2" x14ac:dyDescent="0.2">
      <c r="A758"/>
      <c r="B758" s="1395"/>
      <c r="C758" s="1002"/>
      <c r="D758" s="1003"/>
      <c r="E758" s="1003"/>
      <c r="F758" s="1003" t="s">
        <v>4</v>
      </c>
      <c r="G758" s="1004"/>
      <c r="H758" s="1003" t="s">
        <v>24</v>
      </c>
      <c r="I758" s="1005" t="s">
        <v>16</v>
      </c>
      <c r="J758" s="1"/>
      <c r="K758" s="1"/>
      <c r="L758"/>
      <c r="M758" s="1"/>
      <c r="N758" s="1"/>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row>
    <row r="759" spans="1:96" ht="12.75" customHeight="1" outlineLevel="2" x14ac:dyDescent="0.2">
      <c r="A759"/>
      <c r="B759" s="1395"/>
      <c r="C759" s="1002"/>
      <c r="D759" s="1003"/>
      <c r="E759" s="1003"/>
      <c r="F759" s="1003" t="s">
        <v>5</v>
      </c>
      <c r="G759" s="1004"/>
      <c r="H759" s="1003" t="s">
        <v>25</v>
      </c>
      <c r="I759" s="1005" t="s">
        <v>17</v>
      </c>
      <c r="J759" s="1"/>
      <c r="K759" s="1"/>
      <c r="L759"/>
      <c r="M759" s="1"/>
      <c r="N759" s="1"/>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row>
    <row r="760" spans="1:96" ht="12.75" customHeight="1" outlineLevel="2" x14ac:dyDescent="0.2">
      <c r="A760"/>
      <c r="B760" s="1395"/>
      <c r="C760" s="1002"/>
      <c r="D760" s="1003"/>
      <c r="E760" s="1003"/>
      <c r="F760" s="1003" t="s">
        <v>6</v>
      </c>
      <c r="G760" s="1004"/>
      <c r="H760" s="1003" t="s">
        <v>26</v>
      </c>
      <c r="I760" s="1005" t="s">
        <v>2511</v>
      </c>
      <c r="J760" s="1"/>
      <c r="K760" s="1"/>
      <c r="L760"/>
      <c r="M760" s="1"/>
      <c r="N760" s="1"/>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row>
    <row r="761" spans="1:96" ht="12.75" customHeight="1" outlineLevel="2" x14ac:dyDescent="0.2">
      <c r="A761"/>
      <c r="B761" s="1395"/>
      <c r="C761" s="1002"/>
      <c r="D761" s="1003"/>
      <c r="E761" s="1003"/>
      <c r="F761" s="1003" t="s">
        <v>7</v>
      </c>
      <c r="G761" s="1004"/>
      <c r="H761" s="1003" t="s">
        <v>545</v>
      </c>
      <c r="I761" s="1005" t="s">
        <v>1846</v>
      </c>
      <c r="J761" s="1"/>
      <c r="K761" s="1"/>
      <c r="L761"/>
      <c r="M761" s="1"/>
      <c r="N761" s="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row>
    <row r="762" spans="1:96" ht="12.75" customHeight="1" outlineLevel="2" x14ac:dyDescent="0.2">
      <c r="A762"/>
      <c r="B762" s="1395"/>
      <c r="C762" s="1002"/>
      <c r="D762" s="1003"/>
      <c r="E762" s="1003"/>
      <c r="F762" s="1003" t="s">
        <v>8</v>
      </c>
      <c r="G762" s="1004"/>
      <c r="H762" s="1003" t="s">
        <v>27</v>
      </c>
      <c r="I762" s="1005" t="s">
        <v>18</v>
      </c>
      <c r="J762" s="1"/>
      <c r="K762" s="1"/>
      <c r="L762"/>
      <c r="M762" s="1"/>
      <c r="N762" s="1"/>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row>
    <row r="763" spans="1:96" ht="12.75" customHeight="1" outlineLevel="2" x14ac:dyDescent="0.2">
      <c r="A763"/>
      <c r="B763" s="1395"/>
      <c r="C763" s="1002"/>
      <c r="D763" s="1003"/>
      <c r="E763" s="1003"/>
      <c r="F763" s="1003" t="s">
        <v>9</v>
      </c>
      <c r="G763" s="1004"/>
      <c r="H763" s="1003" t="s">
        <v>28</v>
      </c>
      <c r="I763" s="1005" t="s">
        <v>19</v>
      </c>
      <c r="J763" s="1"/>
      <c r="K763" s="1"/>
      <c r="L763"/>
      <c r="M763" s="1"/>
      <c r="N763" s="1"/>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row>
    <row r="764" spans="1:96" ht="12.75" customHeight="1" outlineLevel="2" x14ac:dyDescent="0.2">
      <c r="A764"/>
      <c r="B764" s="1395"/>
      <c r="C764" s="1002"/>
      <c r="D764" s="1003"/>
      <c r="E764" s="1003"/>
      <c r="F764" s="1003" t="s">
        <v>10</v>
      </c>
      <c r="G764" s="1004"/>
      <c r="H764" s="1003" t="s">
        <v>531</v>
      </c>
      <c r="I764" s="1005" t="s">
        <v>1847</v>
      </c>
      <c r="J764" s="1"/>
      <c r="K764" s="1"/>
      <c r="L764"/>
      <c r="M764" s="1"/>
      <c r="N764" s="1"/>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row>
    <row r="765" spans="1:96" ht="12.75" customHeight="1" outlineLevel="2" x14ac:dyDescent="0.2">
      <c r="A765"/>
      <c r="B765" s="1395"/>
      <c r="C765" s="1002"/>
      <c r="D765" s="1003"/>
      <c r="E765" s="1003"/>
      <c r="F765" s="1003" t="s">
        <v>11</v>
      </c>
      <c r="G765" s="1004"/>
      <c r="H765" s="1003" t="s">
        <v>548</v>
      </c>
      <c r="I765" s="1005" t="s">
        <v>1848</v>
      </c>
      <c r="J765" s="1"/>
      <c r="K765" s="1"/>
      <c r="L765"/>
      <c r="M765" s="1"/>
      <c r="N765" s="1"/>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row>
    <row r="766" spans="1:96" ht="12.75" customHeight="1" outlineLevel="2" x14ac:dyDescent="0.2">
      <c r="A766"/>
      <c r="B766" s="1395"/>
      <c r="C766" s="1002"/>
      <c r="D766" s="1003"/>
      <c r="E766" s="1003"/>
      <c r="F766" s="1003" t="s">
        <v>12</v>
      </c>
      <c r="G766" s="1004"/>
      <c r="H766" s="1003" t="s">
        <v>29</v>
      </c>
      <c r="I766" s="1005" t="s">
        <v>20</v>
      </c>
      <c r="J766" s="1"/>
      <c r="K766" s="1"/>
      <c r="L766"/>
      <c r="M766" s="1"/>
      <c r="N766" s="1"/>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row>
    <row r="767" spans="1:96" ht="12.75" customHeight="1" outlineLevel="2" x14ac:dyDescent="0.2">
      <c r="A767"/>
      <c r="B767" s="1395"/>
      <c r="C767" s="1002"/>
      <c r="D767" s="1003"/>
      <c r="E767" s="1003"/>
      <c r="F767" s="1003" t="s">
        <v>13</v>
      </c>
      <c r="G767" s="1004"/>
      <c r="H767" s="1003" t="s">
        <v>30</v>
      </c>
      <c r="I767" s="1005" t="s">
        <v>21</v>
      </c>
      <c r="J767" s="1"/>
      <c r="K767" s="1"/>
      <c r="L767"/>
      <c r="M767" s="1"/>
      <c r="N767" s="1"/>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row>
    <row r="768" spans="1:96" ht="12.75" customHeight="1" outlineLevel="2" x14ac:dyDescent="0.2">
      <c r="A768"/>
      <c r="B768" s="1395"/>
      <c r="C768" s="1002"/>
      <c r="D768" s="1003"/>
      <c r="E768" s="1003"/>
      <c r="F768" s="1003" t="s">
        <v>14</v>
      </c>
      <c r="G768" s="1004"/>
      <c r="H768" s="1003" t="s">
        <v>1849</v>
      </c>
      <c r="I768" s="1005" t="s">
        <v>1850</v>
      </c>
      <c r="J768" s="1"/>
      <c r="K768" s="1"/>
      <c r="L768"/>
      <c r="M768" s="1"/>
      <c r="N768" s="1"/>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row>
    <row r="769" spans="1:96" ht="12.75" customHeight="1" outlineLevel="2" x14ac:dyDescent="0.2">
      <c r="A769"/>
      <c r="B769" s="1395"/>
      <c r="C769" s="1002"/>
      <c r="D769" s="1003"/>
      <c r="E769" s="1003"/>
      <c r="F769" s="1003" t="s">
        <v>15</v>
      </c>
      <c r="G769" s="1004"/>
      <c r="H769" s="1003" t="s">
        <v>1851</v>
      </c>
      <c r="I769" s="1005" t="s">
        <v>716</v>
      </c>
      <c r="J769" s="1"/>
      <c r="K769" s="1"/>
      <c r="L769"/>
      <c r="M769" s="1"/>
      <c r="N769" s="1"/>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row>
    <row r="770" spans="1:96" ht="12.75" customHeight="1" outlineLevel="2" x14ac:dyDescent="0.2">
      <c r="A770"/>
      <c r="B770" s="1395"/>
      <c r="C770" s="1002"/>
      <c r="D770" s="1003"/>
      <c r="E770" s="1003"/>
      <c r="F770" s="1003"/>
      <c r="G770" s="1004"/>
      <c r="H770" s="1003" t="s">
        <v>31</v>
      </c>
      <c r="I770" s="1005" t="s">
        <v>22</v>
      </c>
      <c r="J770" s="1"/>
      <c r="K770" s="1"/>
      <c r="L770"/>
      <c r="M770" s="1"/>
      <c r="N770" s="1"/>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row>
    <row r="771" spans="1:96" ht="12.75" customHeight="1" outlineLevel="2" x14ac:dyDescent="0.2">
      <c r="A771"/>
      <c r="B771" s="1395"/>
      <c r="C771" s="1002"/>
      <c r="D771" s="1003"/>
      <c r="E771" s="1003"/>
      <c r="F771" s="1003"/>
      <c r="G771" s="1004"/>
      <c r="H771" s="1003" t="s">
        <v>32</v>
      </c>
      <c r="I771" s="1005" t="s">
        <v>23</v>
      </c>
      <c r="J771" s="1"/>
      <c r="K771" s="1"/>
      <c r="L771"/>
      <c r="M771" s="1"/>
      <c r="N771" s="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row>
    <row r="772" spans="1:96" ht="12.75" customHeight="1" outlineLevel="2" x14ac:dyDescent="0.2">
      <c r="A772"/>
      <c r="B772" s="1395"/>
      <c r="C772" s="1002"/>
      <c r="D772" s="1003"/>
      <c r="E772" s="1003"/>
      <c r="F772" s="1003"/>
      <c r="G772" s="1004"/>
      <c r="H772" s="1003" t="s">
        <v>535</v>
      </c>
      <c r="I772" s="1005" t="s">
        <v>1852</v>
      </c>
      <c r="J772" s="1"/>
      <c r="K772" s="1"/>
      <c r="L772"/>
      <c r="M772" s="1"/>
      <c r="N772" s="1"/>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row>
    <row r="773" spans="1:96" outlineLevel="1" x14ac:dyDescent="0.2">
      <c r="A773"/>
      <c r="B773" s="1395">
        <f>C773*1000000+D773*1000+E773</f>
        <v>14014064</v>
      </c>
      <c r="C773" s="1002">
        <v>14</v>
      </c>
      <c r="D773" s="1003">
        <v>14</v>
      </c>
      <c r="E773" s="1003">
        <v>64</v>
      </c>
      <c r="F773" s="1003" t="s">
        <v>33</v>
      </c>
      <c r="G773" s="1004"/>
      <c r="H773" s="1003" t="s">
        <v>1853</v>
      </c>
      <c r="I773" s="1005" t="s">
        <v>1854</v>
      </c>
      <c r="J773" s="1"/>
      <c r="K773" s="1"/>
      <c r="L773"/>
      <c r="M773" s="1"/>
      <c r="N773" s="1"/>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row>
    <row r="774" spans="1:96" ht="12.75" customHeight="1" outlineLevel="2" x14ac:dyDescent="0.2">
      <c r="A774"/>
      <c r="B774" s="1395"/>
      <c r="C774" s="1002"/>
      <c r="D774" s="1003"/>
      <c r="E774" s="1003"/>
      <c r="F774" s="1003" t="s">
        <v>34</v>
      </c>
      <c r="G774" s="1004"/>
      <c r="H774" s="1003" t="s">
        <v>54</v>
      </c>
      <c r="I774" s="1005" t="s">
        <v>47</v>
      </c>
      <c r="J774" s="1"/>
      <c r="K774" s="1"/>
      <c r="L774"/>
      <c r="M774" s="1"/>
      <c r="N774" s="1"/>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row>
    <row r="775" spans="1:96" ht="12.75" customHeight="1" outlineLevel="2" x14ac:dyDescent="0.2">
      <c r="A775"/>
      <c r="B775" s="1395"/>
      <c r="C775" s="1002"/>
      <c r="D775" s="1003"/>
      <c r="E775" s="1003"/>
      <c r="F775" s="1003" t="s">
        <v>35</v>
      </c>
      <c r="G775" s="1004"/>
      <c r="H775" s="1003" t="s">
        <v>1249</v>
      </c>
      <c r="I775" s="1005" t="s">
        <v>48</v>
      </c>
      <c r="J775" s="1"/>
      <c r="K775" s="1"/>
      <c r="L775"/>
      <c r="M775" s="1"/>
      <c r="N775" s="1"/>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row>
    <row r="776" spans="1:96" ht="12.75" customHeight="1" outlineLevel="2" x14ac:dyDescent="0.2">
      <c r="A776"/>
      <c r="B776" s="1395"/>
      <c r="C776" s="1002"/>
      <c r="D776" s="1003"/>
      <c r="E776" s="1003"/>
      <c r="F776" s="1003" t="s">
        <v>36</v>
      </c>
      <c r="G776" s="1004"/>
      <c r="H776" s="1003" t="s">
        <v>1262</v>
      </c>
      <c r="I776" s="1005" t="s">
        <v>1855</v>
      </c>
      <c r="J776" s="1"/>
      <c r="K776" s="1"/>
      <c r="L776"/>
      <c r="M776" s="1"/>
      <c r="N776" s="1"/>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row>
    <row r="777" spans="1:96" ht="12.75" customHeight="1" outlineLevel="2" x14ac:dyDescent="0.2">
      <c r="A777"/>
      <c r="B777" s="1395"/>
      <c r="C777" s="1002"/>
      <c r="D777" s="1003"/>
      <c r="E777" s="1003"/>
      <c r="F777" s="1003" t="s">
        <v>37</v>
      </c>
      <c r="G777" s="1004"/>
      <c r="H777" s="1003" t="s">
        <v>1856</v>
      </c>
      <c r="I777" s="1005" t="s">
        <v>1857</v>
      </c>
      <c r="J777" s="1"/>
      <c r="K777" s="1"/>
      <c r="L777"/>
      <c r="M777" s="1"/>
      <c r="N777" s="1"/>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row>
    <row r="778" spans="1:96" ht="12.75" customHeight="1" outlineLevel="2" x14ac:dyDescent="0.2">
      <c r="A778"/>
      <c r="B778" s="1395"/>
      <c r="C778" s="1002"/>
      <c r="D778" s="1003"/>
      <c r="E778" s="1003"/>
      <c r="F778" s="1003" t="s">
        <v>38</v>
      </c>
      <c r="G778" s="1004"/>
      <c r="H778" s="1003" t="s">
        <v>55</v>
      </c>
      <c r="I778" s="1005" t="s">
        <v>49</v>
      </c>
      <c r="J778" s="1"/>
      <c r="K778" s="1"/>
      <c r="L778"/>
      <c r="M778" s="1"/>
      <c r="N778" s="1"/>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row>
    <row r="779" spans="1:96" ht="12.75" customHeight="1" outlineLevel="2" x14ac:dyDescent="0.2">
      <c r="A779"/>
      <c r="B779" s="1395"/>
      <c r="C779" s="1002"/>
      <c r="D779" s="1003"/>
      <c r="E779" s="1003"/>
      <c r="F779" s="1003" t="s">
        <v>39</v>
      </c>
      <c r="G779" s="1004"/>
      <c r="H779" s="1003" t="s">
        <v>56</v>
      </c>
      <c r="I779" s="1005" t="s">
        <v>50</v>
      </c>
      <c r="J779" s="1"/>
      <c r="K779" s="1"/>
      <c r="L779"/>
      <c r="M779" s="1"/>
      <c r="N779" s="1"/>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row>
    <row r="780" spans="1:96" ht="12.75" customHeight="1" outlineLevel="2" x14ac:dyDescent="0.2">
      <c r="A780"/>
      <c r="B780" s="1395"/>
      <c r="C780" s="1002"/>
      <c r="D780" s="1003"/>
      <c r="E780" s="1003"/>
      <c r="F780" s="1003" t="s">
        <v>40</v>
      </c>
      <c r="G780" s="1004"/>
      <c r="H780" s="1003" t="s">
        <v>1858</v>
      </c>
      <c r="I780" s="1005" t="s">
        <v>1847</v>
      </c>
      <c r="J780" s="1"/>
      <c r="K780" s="1"/>
      <c r="L780"/>
      <c r="M780" s="1"/>
      <c r="N780" s="1"/>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row>
    <row r="781" spans="1:96" ht="12.75" customHeight="1" outlineLevel="2" x14ac:dyDescent="0.2">
      <c r="A781"/>
      <c r="B781" s="1395"/>
      <c r="C781" s="1002"/>
      <c r="D781" s="1003"/>
      <c r="E781" s="1003"/>
      <c r="F781" s="1003" t="s">
        <v>41</v>
      </c>
      <c r="G781" s="1004"/>
      <c r="H781" s="1003" t="s">
        <v>541</v>
      </c>
      <c r="I781" s="1005" t="s">
        <v>1859</v>
      </c>
      <c r="J781" s="1"/>
      <c r="K781" s="1"/>
      <c r="L781"/>
      <c r="M781" s="1"/>
      <c r="N781" s="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row>
    <row r="782" spans="1:96" ht="12.75" customHeight="1" outlineLevel="2" x14ac:dyDescent="0.2">
      <c r="A782"/>
      <c r="B782" s="1395"/>
      <c r="C782" s="1002"/>
      <c r="D782" s="1003"/>
      <c r="E782" s="1003"/>
      <c r="F782" s="1003" t="s">
        <v>42</v>
      </c>
      <c r="G782" s="1004"/>
      <c r="H782" s="1003" t="s">
        <v>57</v>
      </c>
      <c r="I782" s="1005" t="s">
        <v>51</v>
      </c>
      <c r="J782" s="1"/>
      <c r="K782" s="1"/>
      <c r="L782"/>
      <c r="M782" s="1"/>
      <c r="N782" s="1"/>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row>
    <row r="783" spans="1:96" ht="12.75" customHeight="1" outlineLevel="2" x14ac:dyDescent="0.2">
      <c r="A783"/>
      <c r="B783" s="1395"/>
      <c r="C783" s="1002"/>
      <c r="D783" s="1003"/>
      <c r="E783" s="1003"/>
      <c r="F783" s="1003" t="s">
        <v>43</v>
      </c>
      <c r="G783" s="1004"/>
      <c r="H783" s="1003" t="s">
        <v>58</v>
      </c>
      <c r="I783" s="1005" t="s">
        <v>52</v>
      </c>
      <c r="J783" s="1"/>
      <c r="K783" s="1"/>
      <c r="L783"/>
      <c r="M783" s="1"/>
      <c r="N783" s="1"/>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row>
    <row r="784" spans="1:96" ht="12.75" customHeight="1" outlineLevel="2" x14ac:dyDescent="0.2">
      <c r="A784"/>
      <c r="B784" s="1395"/>
      <c r="C784" s="1002"/>
      <c r="D784" s="1003"/>
      <c r="E784" s="1003"/>
      <c r="F784" s="1003" t="s">
        <v>44</v>
      </c>
      <c r="G784" s="1004"/>
      <c r="H784" s="1003" t="s">
        <v>1860</v>
      </c>
      <c r="I784" s="1005" t="s">
        <v>1861</v>
      </c>
      <c r="J784" s="1"/>
      <c r="K784" s="1"/>
      <c r="L784"/>
      <c r="M784" s="1"/>
      <c r="N784" s="1"/>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row>
    <row r="785" spans="1:96" ht="12.75" customHeight="1" outlineLevel="2" x14ac:dyDescent="0.2">
      <c r="A785"/>
      <c r="B785" s="1395"/>
      <c r="C785" s="1002"/>
      <c r="D785" s="1003"/>
      <c r="E785" s="1003"/>
      <c r="F785" s="1003" t="s">
        <v>45</v>
      </c>
      <c r="G785" s="1004"/>
      <c r="H785" s="1003" t="s">
        <v>1862</v>
      </c>
      <c r="I785" s="1005" t="s">
        <v>1260</v>
      </c>
      <c r="J785" s="1"/>
      <c r="K785" s="1"/>
      <c r="L785"/>
      <c r="M785" s="1"/>
      <c r="N785" s="1"/>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row>
    <row r="786" spans="1:96" ht="12.75" customHeight="1" outlineLevel="2" x14ac:dyDescent="0.2">
      <c r="A786"/>
      <c r="B786" s="1395"/>
      <c r="C786" s="1002"/>
      <c r="D786" s="1003"/>
      <c r="E786" s="1003"/>
      <c r="F786" s="1003" t="s">
        <v>46</v>
      </c>
      <c r="G786" s="1004"/>
      <c r="H786" s="1003" t="s">
        <v>59</v>
      </c>
      <c r="I786" s="1005" t="s">
        <v>1261</v>
      </c>
      <c r="J786" s="1"/>
      <c r="K786" s="1"/>
      <c r="L786"/>
      <c r="M786" s="1"/>
      <c r="N786" s="1"/>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row>
    <row r="787" spans="1:96" ht="12.75" customHeight="1" outlineLevel="2" x14ac:dyDescent="0.2">
      <c r="A787"/>
      <c r="B787" s="1395"/>
      <c r="C787" s="1002"/>
      <c r="D787" s="1003"/>
      <c r="E787" s="1003"/>
      <c r="F787" s="1003"/>
      <c r="G787" s="1004"/>
      <c r="H787" s="1003" t="s">
        <v>60</v>
      </c>
      <c r="I787" s="1005" t="s">
        <v>53</v>
      </c>
      <c r="J787" s="1"/>
      <c r="K787" s="1"/>
      <c r="L787"/>
      <c r="M787" s="1"/>
      <c r="N787" s="1"/>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row>
    <row r="788" spans="1:96" ht="12.75" customHeight="1" outlineLevel="2" x14ac:dyDescent="0.2">
      <c r="A788"/>
      <c r="B788" s="1395"/>
      <c r="C788" s="1002"/>
      <c r="D788" s="1003"/>
      <c r="E788" s="1003"/>
      <c r="F788" s="1003"/>
      <c r="G788" s="1004"/>
      <c r="H788" s="1003" t="s">
        <v>1863</v>
      </c>
      <c r="I788" s="1005" t="s">
        <v>1864</v>
      </c>
      <c r="J788" s="1"/>
      <c r="K788" s="1"/>
      <c r="L788"/>
      <c r="M788" s="1"/>
      <c r="N788" s="1"/>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row>
    <row r="789" spans="1:96" outlineLevel="1" x14ac:dyDescent="0.2">
      <c r="A789"/>
      <c r="B789" s="1395">
        <f>C789*1000000+D789*1000+E789</f>
        <v>15015064</v>
      </c>
      <c r="C789" s="1002">
        <v>15</v>
      </c>
      <c r="D789" s="1003">
        <v>15</v>
      </c>
      <c r="E789" s="1003">
        <v>64</v>
      </c>
      <c r="F789" s="1003" t="s">
        <v>61</v>
      </c>
      <c r="G789" s="1004"/>
      <c r="H789" s="1003" t="s">
        <v>1865</v>
      </c>
      <c r="I789" s="1005" t="s">
        <v>1854</v>
      </c>
      <c r="J789" s="1"/>
      <c r="K789" s="1"/>
      <c r="L789"/>
      <c r="M789" s="1"/>
      <c r="N789" s="1"/>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row>
    <row r="790" spans="1:96" ht="12.75" customHeight="1" outlineLevel="2" x14ac:dyDescent="0.2">
      <c r="A790"/>
      <c r="B790" s="1395"/>
      <c r="C790" s="1002"/>
      <c r="D790" s="1003"/>
      <c r="E790" s="1003"/>
      <c r="F790" s="1003" t="s">
        <v>62</v>
      </c>
      <c r="G790" s="1004"/>
      <c r="H790" s="1003" t="s">
        <v>76</v>
      </c>
      <c r="I790" s="1005" t="s">
        <v>83</v>
      </c>
      <c r="J790" s="1"/>
      <c r="K790" s="1"/>
      <c r="L790"/>
      <c r="M790" s="1"/>
      <c r="N790" s="1"/>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row>
    <row r="791" spans="1:96" ht="12.75" customHeight="1" outlineLevel="2" x14ac:dyDescent="0.2">
      <c r="A791"/>
      <c r="B791" s="1395"/>
      <c r="C791" s="1002"/>
      <c r="D791" s="1003"/>
      <c r="E791" s="1003"/>
      <c r="F791" s="1003" t="s">
        <v>63</v>
      </c>
      <c r="G791" s="1004"/>
      <c r="H791" s="1003" t="s">
        <v>716</v>
      </c>
      <c r="I791" s="1005" t="s">
        <v>84</v>
      </c>
      <c r="J791" s="1"/>
      <c r="K791" s="1"/>
      <c r="L791"/>
      <c r="M791" s="1"/>
      <c r="N791" s="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row>
    <row r="792" spans="1:96" ht="12.75" customHeight="1" outlineLevel="2" x14ac:dyDescent="0.2">
      <c r="A792"/>
      <c r="B792" s="1395"/>
      <c r="C792" s="1002"/>
      <c r="D792" s="1003"/>
      <c r="E792" s="1003"/>
      <c r="F792" s="1003" t="s">
        <v>64</v>
      </c>
      <c r="G792" s="1004"/>
      <c r="H792" s="1003" t="s">
        <v>2511</v>
      </c>
      <c r="I792" s="1005" t="s">
        <v>1866</v>
      </c>
      <c r="J792" s="1"/>
      <c r="K792" s="1"/>
      <c r="L792"/>
      <c r="M792" s="1"/>
      <c r="N792" s="1"/>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row>
    <row r="793" spans="1:96" ht="12.75" customHeight="1" outlineLevel="2" x14ac:dyDescent="0.2">
      <c r="A793"/>
      <c r="B793" s="1395"/>
      <c r="C793" s="1002"/>
      <c r="D793" s="1003"/>
      <c r="E793" s="1003"/>
      <c r="F793" s="1003" t="s">
        <v>65</v>
      </c>
      <c r="G793" s="1004"/>
      <c r="H793" s="1003" t="s">
        <v>1867</v>
      </c>
      <c r="I793" s="1005" t="s">
        <v>1857</v>
      </c>
      <c r="J793" s="1"/>
      <c r="K793" s="1"/>
      <c r="L793"/>
      <c r="M793" s="1"/>
      <c r="N793" s="1"/>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row>
    <row r="794" spans="1:96" ht="12.75" customHeight="1" outlineLevel="2" x14ac:dyDescent="0.2">
      <c r="A794"/>
      <c r="B794" s="1395"/>
      <c r="C794" s="1002"/>
      <c r="D794" s="1003"/>
      <c r="E794" s="1003"/>
      <c r="F794" s="1003" t="s">
        <v>66</v>
      </c>
      <c r="G794" s="1004"/>
      <c r="H794" s="1003" t="s">
        <v>77</v>
      </c>
      <c r="I794" s="1005" t="s">
        <v>85</v>
      </c>
      <c r="J794" s="1"/>
      <c r="K794" s="1"/>
      <c r="L794"/>
      <c r="M794" s="1"/>
      <c r="N794" s="1"/>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row>
    <row r="795" spans="1:96" ht="12.75" customHeight="1" outlineLevel="2" x14ac:dyDescent="0.2">
      <c r="A795"/>
      <c r="B795" s="1395"/>
      <c r="C795" s="1002"/>
      <c r="D795" s="1003"/>
      <c r="E795" s="1003"/>
      <c r="F795" s="1003" t="s">
        <v>67</v>
      </c>
      <c r="G795" s="1004"/>
      <c r="H795" s="1003" t="s">
        <v>78</v>
      </c>
      <c r="I795" s="1005" t="s">
        <v>86</v>
      </c>
      <c r="J795" s="1"/>
      <c r="K795" s="1"/>
      <c r="L795"/>
      <c r="M795" s="1"/>
      <c r="N795" s="1"/>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row>
    <row r="796" spans="1:96" ht="12.75" customHeight="1" outlineLevel="2" x14ac:dyDescent="0.2">
      <c r="A796"/>
      <c r="B796" s="1395"/>
      <c r="C796" s="1002"/>
      <c r="D796" s="1003"/>
      <c r="E796" s="1003"/>
      <c r="F796" s="1003" t="s">
        <v>68</v>
      </c>
      <c r="G796" s="1004"/>
      <c r="H796" s="1003" t="s">
        <v>1868</v>
      </c>
      <c r="I796" s="1005" t="s">
        <v>1869</v>
      </c>
      <c r="J796" s="1"/>
      <c r="K796" s="1"/>
      <c r="L796"/>
      <c r="M796" s="1"/>
      <c r="N796" s="1"/>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row>
    <row r="797" spans="1:96" ht="12.75" customHeight="1" outlineLevel="2" x14ac:dyDescent="0.2">
      <c r="A797"/>
      <c r="B797" s="1395"/>
      <c r="C797" s="1002"/>
      <c r="D797" s="1003"/>
      <c r="E797" s="1003"/>
      <c r="F797" s="1003" t="s">
        <v>69</v>
      </c>
      <c r="G797" s="1004"/>
      <c r="H797" s="1003" t="s">
        <v>1870</v>
      </c>
      <c r="I797" s="1005" t="s">
        <v>1871</v>
      </c>
      <c r="J797" s="1"/>
      <c r="K797" s="1"/>
      <c r="L797"/>
      <c r="M797" s="1"/>
      <c r="N797" s="1"/>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row>
    <row r="798" spans="1:96" ht="12.75" customHeight="1" outlineLevel="2" x14ac:dyDescent="0.2">
      <c r="A798"/>
      <c r="B798" s="1395"/>
      <c r="C798" s="1002"/>
      <c r="D798" s="1003"/>
      <c r="E798" s="1003"/>
      <c r="F798" s="1003" t="s">
        <v>70</v>
      </c>
      <c r="G798" s="1004"/>
      <c r="H798" s="1003" t="s">
        <v>79</v>
      </c>
      <c r="I798" s="1005" t="s">
        <v>87</v>
      </c>
      <c r="J798" s="1"/>
      <c r="K798" s="1"/>
      <c r="L798"/>
      <c r="M798" s="1"/>
      <c r="N798" s="1"/>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row>
    <row r="799" spans="1:96" ht="12.75" customHeight="1" outlineLevel="2" x14ac:dyDescent="0.2">
      <c r="A799"/>
      <c r="B799" s="1395"/>
      <c r="C799" s="1002"/>
      <c r="D799" s="1003"/>
      <c r="E799" s="1003"/>
      <c r="F799" s="1003" t="s">
        <v>71</v>
      </c>
      <c r="G799" s="1004"/>
      <c r="H799" s="1003" t="s">
        <v>80</v>
      </c>
      <c r="I799" s="1005" t="s">
        <v>88</v>
      </c>
      <c r="J799" s="1"/>
      <c r="K799" s="1"/>
      <c r="L799"/>
      <c r="M799" s="1"/>
      <c r="N799" s="1"/>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row>
    <row r="800" spans="1:96" ht="12.75" customHeight="1" outlineLevel="2" x14ac:dyDescent="0.2">
      <c r="A800"/>
      <c r="B800" s="1395"/>
      <c r="C800" s="1002"/>
      <c r="D800" s="1003"/>
      <c r="E800" s="1003"/>
      <c r="F800" s="1003" t="s">
        <v>72</v>
      </c>
      <c r="G800" s="1004"/>
      <c r="H800" s="1003" t="s">
        <v>1872</v>
      </c>
      <c r="I800" s="1005" t="s">
        <v>551</v>
      </c>
      <c r="J800" s="1"/>
      <c r="K800" s="1"/>
      <c r="L800"/>
      <c r="M800" s="1"/>
      <c r="N800" s="1"/>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row>
    <row r="801" spans="1:96" ht="12.75" customHeight="1" outlineLevel="2" x14ac:dyDescent="0.2">
      <c r="A801"/>
      <c r="B801" s="1395"/>
      <c r="C801" s="1002"/>
      <c r="D801" s="1003"/>
      <c r="E801" s="1003"/>
      <c r="F801" s="1003" t="s">
        <v>73</v>
      </c>
      <c r="G801" s="1004"/>
      <c r="H801" s="1003" t="s">
        <v>1873</v>
      </c>
      <c r="I801" s="1005" t="s">
        <v>1874</v>
      </c>
      <c r="J801" s="1"/>
      <c r="K801" s="1"/>
      <c r="L801"/>
      <c r="M801" s="1"/>
      <c r="N801" s="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row>
    <row r="802" spans="1:96" ht="12.75" customHeight="1" outlineLevel="2" x14ac:dyDescent="0.2">
      <c r="A802"/>
      <c r="B802" s="1395"/>
      <c r="C802" s="1002"/>
      <c r="D802" s="1003"/>
      <c r="E802" s="1003"/>
      <c r="F802" s="1003" t="s">
        <v>74</v>
      </c>
      <c r="G802" s="1004"/>
      <c r="H802" s="1003" t="s">
        <v>81</v>
      </c>
      <c r="I802" s="1005" t="s">
        <v>89</v>
      </c>
      <c r="J802" s="1"/>
      <c r="K802" s="1"/>
      <c r="L802"/>
      <c r="M802" s="1"/>
      <c r="N802" s="1"/>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row>
    <row r="803" spans="1:96" ht="12.75" customHeight="1" outlineLevel="2" x14ac:dyDescent="0.2">
      <c r="A803"/>
      <c r="B803" s="1395"/>
      <c r="C803" s="1002"/>
      <c r="D803" s="1003"/>
      <c r="E803" s="1003"/>
      <c r="F803" s="1003" t="s">
        <v>75</v>
      </c>
      <c r="G803" s="1004"/>
      <c r="H803" s="1003" t="s">
        <v>82</v>
      </c>
      <c r="I803" s="1005" t="s">
        <v>90</v>
      </c>
      <c r="J803" s="1"/>
      <c r="K803" s="1"/>
      <c r="L803"/>
      <c r="M803" s="1"/>
      <c r="N803" s="1"/>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row>
    <row r="804" spans="1:96" ht="12.75" customHeight="1" outlineLevel="2" x14ac:dyDescent="0.2">
      <c r="A804"/>
      <c r="B804" s="1395"/>
      <c r="C804" s="1002"/>
      <c r="D804" s="1003"/>
      <c r="E804" s="1003"/>
      <c r="F804" s="1003"/>
      <c r="G804" s="1004"/>
      <c r="H804" s="1003" t="s">
        <v>1875</v>
      </c>
      <c r="I804" s="1005" t="s">
        <v>553</v>
      </c>
      <c r="J804" s="1"/>
      <c r="K804" s="1"/>
      <c r="L804"/>
      <c r="M804" s="1"/>
      <c r="N804" s="1"/>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row>
    <row r="805" spans="1:96" outlineLevel="1" x14ac:dyDescent="0.2">
      <c r="A805"/>
      <c r="B805" s="1395">
        <f>C805*1000000+D805*1000+E805</f>
        <v>16016064</v>
      </c>
      <c r="C805" s="1002">
        <v>16</v>
      </c>
      <c r="D805" s="1003">
        <v>16</v>
      </c>
      <c r="E805" s="1003">
        <v>64</v>
      </c>
      <c r="F805" s="1003" t="s">
        <v>91</v>
      </c>
      <c r="G805" s="1004"/>
      <c r="H805" s="1003" t="s">
        <v>1876</v>
      </c>
      <c r="I805" s="1005" t="s">
        <v>1877</v>
      </c>
      <c r="J805" s="1"/>
      <c r="K805" s="1"/>
      <c r="L805"/>
      <c r="M805" s="1"/>
      <c r="N805" s="1"/>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row>
    <row r="806" spans="1:96" ht="12.75" customHeight="1" outlineLevel="2" x14ac:dyDescent="0.2">
      <c r="A806"/>
      <c r="B806" s="1395"/>
      <c r="C806" s="1002"/>
      <c r="D806" s="1003"/>
      <c r="E806" s="1003"/>
      <c r="F806" s="1003" t="s">
        <v>92</v>
      </c>
      <c r="G806" s="1004"/>
      <c r="H806" s="1003" t="s">
        <v>1375</v>
      </c>
      <c r="I806" s="1005" t="s">
        <v>1400</v>
      </c>
      <c r="J806" s="1"/>
      <c r="K806" s="1"/>
      <c r="L806"/>
      <c r="M806" s="1"/>
      <c r="N806" s="1"/>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row>
    <row r="807" spans="1:96" ht="12.75" customHeight="1" outlineLevel="2" x14ac:dyDescent="0.2">
      <c r="A807"/>
      <c r="B807" s="1395"/>
      <c r="C807" s="1002"/>
      <c r="D807" s="1003"/>
      <c r="E807" s="1003"/>
      <c r="F807" s="1003" t="s">
        <v>93</v>
      </c>
      <c r="G807" s="1004"/>
      <c r="H807" s="1003" t="s">
        <v>107</v>
      </c>
      <c r="I807" s="1005" t="s">
        <v>112</v>
      </c>
      <c r="J807" s="1"/>
      <c r="K807" s="1"/>
      <c r="L807"/>
      <c r="M807" s="1"/>
      <c r="N807" s="1"/>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row>
    <row r="808" spans="1:96" ht="12.75" customHeight="1" outlineLevel="2" x14ac:dyDescent="0.2">
      <c r="A808"/>
      <c r="B808" s="1395"/>
      <c r="C808" s="1002"/>
      <c r="D808" s="1003"/>
      <c r="E808" s="1003"/>
      <c r="F808" s="1003" t="s">
        <v>94</v>
      </c>
      <c r="G808" s="1004"/>
      <c r="H808" s="1003" t="s">
        <v>1878</v>
      </c>
      <c r="I808" s="1005" t="s">
        <v>1879</v>
      </c>
      <c r="J808" s="1"/>
      <c r="K808" s="1"/>
      <c r="L808"/>
      <c r="M808" s="1"/>
      <c r="N808" s="1"/>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row>
    <row r="809" spans="1:96" ht="12.75" customHeight="1" outlineLevel="2" x14ac:dyDescent="0.2">
      <c r="A809"/>
      <c r="B809" s="1395"/>
      <c r="C809" s="1002"/>
      <c r="D809" s="1003"/>
      <c r="E809" s="1003"/>
      <c r="F809" s="1003" t="s">
        <v>95</v>
      </c>
      <c r="G809" s="1004"/>
      <c r="H809" s="1003" t="s">
        <v>1880</v>
      </c>
      <c r="I809" s="1005" t="s">
        <v>1846</v>
      </c>
      <c r="J809" s="1"/>
      <c r="K809" s="1"/>
      <c r="L809"/>
      <c r="M809" s="1"/>
      <c r="N809" s="1"/>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row>
    <row r="810" spans="1:96" ht="12.75" customHeight="1" outlineLevel="2" x14ac:dyDescent="0.2">
      <c r="A810"/>
      <c r="B810" s="1395"/>
      <c r="C810" s="1002"/>
      <c r="D810" s="1003"/>
      <c r="E810" s="1003"/>
      <c r="F810" s="1003" t="s">
        <v>96</v>
      </c>
      <c r="G810" s="1004"/>
      <c r="H810" s="1003" t="s">
        <v>108</v>
      </c>
      <c r="I810" s="1005" t="s">
        <v>113</v>
      </c>
      <c r="J810" s="1"/>
      <c r="K810" s="1"/>
      <c r="L810"/>
      <c r="M810" s="1"/>
      <c r="N810" s="1"/>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row>
    <row r="811" spans="1:96" ht="12.75" customHeight="1" outlineLevel="2" x14ac:dyDescent="0.2">
      <c r="A811"/>
      <c r="B811" s="1395"/>
      <c r="C811" s="1002"/>
      <c r="D811" s="1003"/>
      <c r="E811" s="1003"/>
      <c r="F811" s="1003" t="s">
        <v>97</v>
      </c>
      <c r="G811" s="1004"/>
      <c r="H811" s="1003" t="s">
        <v>109</v>
      </c>
      <c r="I811" s="1005" t="s">
        <v>114</v>
      </c>
      <c r="J811" s="1"/>
      <c r="K811" s="1"/>
      <c r="L811"/>
      <c r="M811" s="1"/>
      <c r="N811" s="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row>
    <row r="812" spans="1:96" ht="12.75" customHeight="1" outlineLevel="2" x14ac:dyDescent="0.2">
      <c r="A812"/>
      <c r="B812" s="1395"/>
      <c r="C812" s="1002"/>
      <c r="D812" s="1003"/>
      <c r="E812" s="1003"/>
      <c r="F812" s="1003" t="s">
        <v>98</v>
      </c>
      <c r="G812" s="1004"/>
      <c r="H812" s="1003" t="s">
        <v>1868</v>
      </c>
      <c r="I812" s="1005" t="s">
        <v>1881</v>
      </c>
      <c r="J812" s="1"/>
      <c r="K812" s="1"/>
      <c r="L812"/>
      <c r="M812" s="1"/>
      <c r="N812" s="1"/>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row>
    <row r="813" spans="1:96" ht="12.75" customHeight="1" outlineLevel="2" x14ac:dyDescent="0.2">
      <c r="A813"/>
      <c r="B813" s="1395"/>
      <c r="C813" s="1002"/>
      <c r="D813" s="1003"/>
      <c r="E813" s="1003"/>
      <c r="F813" s="1003" t="s">
        <v>99</v>
      </c>
      <c r="G813" s="1004"/>
      <c r="H813" s="1003" t="s">
        <v>1882</v>
      </c>
      <c r="I813" s="1005" t="s">
        <v>1848</v>
      </c>
      <c r="J813" s="1"/>
      <c r="K813" s="1"/>
      <c r="L813"/>
      <c r="M813" s="1"/>
      <c r="N813" s="1"/>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row>
    <row r="814" spans="1:96" ht="12.75" customHeight="1" outlineLevel="2" x14ac:dyDescent="0.2">
      <c r="A814"/>
      <c r="B814" s="1395"/>
      <c r="C814" s="1002"/>
      <c r="D814" s="1003"/>
      <c r="E814" s="1003"/>
      <c r="F814" s="1003" t="s">
        <v>100</v>
      </c>
      <c r="G814" s="1004"/>
      <c r="H814" s="1003" t="s">
        <v>1437</v>
      </c>
      <c r="I814" s="1005" t="s">
        <v>115</v>
      </c>
      <c r="J814" s="1"/>
      <c r="K814" s="1"/>
      <c r="L814"/>
      <c r="M814" s="1"/>
      <c r="N814" s="1"/>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row>
    <row r="815" spans="1:96" ht="12.75" customHeight="1" outlineLevel="2" x14ac:dyDescent="0.2">
      <c r="A815"/>
      <c r="B815" s="1395"/>
      <c r="C815" s="1002"/>
      <c r="D815" s="1003"/>
      <c r="E815" s="1003"/>
      <c r="F815" s="1003" t="s">
        <v>101</v>
      </c>
      <c r="G815" s="1004"/>
      <c r="H815" s="1003" t="s">
        <v>110</v>
      </c>
      <c r="I815" s="1005" t="s">
        <v>116</v>
      </c>
      <c r="J815" s="1"/>
      <c r="K815" s="1"/>
      <c r="L815"/>
      <c r="M815" s="1"/>
      <c r="N815" s="1"/>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row>
    <row r="816" spans="1:96" ht="12.75" customHeight="1" outlineLevel="2" x14ac:dyDescent="0.2">
      <c r="A816"/>
      <c r="B816" s="1395"/>
      <c r="C816" s="1002"/>
      <c r="D816" s="1003"/>
      <c r="E816" s="1003"/>
      <c r="F816" s="1003" t="s">
        <v>102</v>
      </c>
      <c r="G816" s="1004"/>
      <c r="H816" s="1003" t="s">
        <v>1872</v>
      </c>
      <c r="I816" s="1005" t="s">
        <v>1883</v>
      </c>
      <c r="J816" s="1"/>
      <c r="K816" s="1"/>
      <c r="L816"/>
      <c r="M816" s="1"/>
      <c r="N816" s="1"/>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row>
    <row r="817" spans="1:96" ht="12.75" customHeight="1" outlineLevel="2" x14ac:dyDescent="0.2">
      <c r="A817"/>
      <c r="B817" s="1395"/>
      <c r="C817" s="1002"/>
      <c r="D817" s="1003"/>
      <c r="E817" s="1003"/>
      <c r="F817" s="1003" t="s">
        <v>103</v>
      </c>
      <c r="G817" s="1004"/>
      <c r="H817" s="1003" t="s">
        <v>1884</v>
      </c>
      <c r="I817" s="1005" t="s">
        <v>1885</v>
      </c>
      <c r="J817" s="1"/>
      <c r="K817" s="1"/>
      <c r="L817"/>
      <c r="M817" s="1"/>
      <c r="N817" s="1"/>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row>
    <row r="818" spans="1:96" ht="12.75" customHeight="1" outlineLevel="2" x14ac:dyDescent="0.2">
      <c r="A818"/>
      <c r="B818" s="1395"/>
      <c r="C818" s="1002"/>
      <c r="D818" s="1003"/>
      <c r="E818" s="1003"/>
      <c r="F818" s="1003" t="s">
        <v>104</v>
      </c>
      <c r="G818" s="1004"/>
      <c r="H818" s="1003" t="s">
        <v>111</v>
      </c>
      <c r="I818" s="1005" t="s">
        <v>117</v>
      </c>
      <c r="J818" s="1"/>
      <c r="K818" s="1"/>
      <c r="L818"/>
      <c r="M818" s="1"/>
      <c r="N818" s="1"/>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row>
    <row r="819" spans="1:96" ht="12.75" customHeight="1" outlineLevel="2" x14ac:dyDescent="0.2">
      <c r="A819"/>
      <c r="B819" s="1395"/>
      <c r="C819" s="1002"/>
      <c r="D819" s="1003"/>
      <c r="E819" s="1003"/>
      <c r="F819" s="1003" t="s">
        <v>105</v>
      </c>
      <c r="G819" s="1004"/>
      <c r="H819" s="1003" t="s">
        <v>1418</v>
      </c>
      <c r="I819" s="1005" t="s">
        <v>1391</v>
      </c>
      <c r="J819" s="1"/>
      <c r="K819" s="1"/>
      <c r="L819"/>
      <c r="M819" s="1"/>
      <c r="N819" s="1"/>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row>
    <row r="820" spans="1:96" ht="12.75" customHeight="1" outlineLevel="2" x14ac:dyDescent="0.2">
      <c r="A820"/>
      <c r="B820" s="1395"/>
      <c r="C820" s="1002"/>
      <c r="D820" s="1003"/>
      <c r="E820" s="1003"/>
      <c r="F820" s="1003" t="s">
        <v>106</v>
      </c>
      <c r="G820" s="1004"/>
      <c r="H820" s="1003" t="s">
        <v>1886</v>
      </c>
      <c r="I820" s="1005" t="s">
        <v>1887</v>
      </c>
      <c r="J820" s="1"/>
      <c r="K820" s="1"/>
      <c r="L820"/>
      <c r="M820" s="1"/>
      <c r="N820" s="1"/>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row>
    <row r="821" spans="1:96" outlineLevel="1" x14ac:dyDescent="0.2">
      <c r="A821"/>
      <c r="B821" s="1395">
        <f>C821*1000000+D821*1000+E821</f>
        <v>17017064</v>
      </c>
      <c r="C821" s="1002">
        <v>17</v>
      </c>
      <c r="D821" s="1003">
        <v>17</v>
      </c>
      <c r="E821" s="1003">
        <v>64</v>
      </c>
      <c r="F821" s="1003" t="s">
        <v>118</v>
      </c>
      <c r="G821" s="1004"/>
      <c r="H821" s="1003" t="s">
        <v>1888</v>
      </c>
      <c r="I821" s="1005" t="s">
        <v>1877</v>
      </c>
      <c r="J821" s="1"/>
      <c r="K821" s="1"/>
      <c r="L821"/>
      <c r="M821" s="1"/>
      <c r="N821" s="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row>
    <row r="822" spans="1:96" ht="12.75" customHeight="1" outlineLevel="2" x14ac:dyDescent="0.2">
      <c r="A822"/>
      <c r="B822" s="1395"/>
      <c r="C822" s="1002"/>
      <c r="D822" s="1003"/>
      <c r="E822" s="1003"/>
      <c r="F822" s="1003" t="s">
        <v>119</v>
      </c>
      <c r="G822" s="1004"/>
      <c r="H822" s="1003" t="s">
        <v>135</v>
      </c>
      <c r="I822" s="1005" t="s">
        <v>142</v>
      </c>
      <c r="J822" s="1"/>
      <c r="K822" s="1"/>
      <c r="L822"/>
      <c r="M822" s="1"/>
      <c r="N822" s="1"/>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row>
    <row r="823" spans="1:96" ht="12.75" customHeight="1" outlineLevel="2" x14ac:dyDescent="0.2">
      <c r="A823"/>
      <c r="B823" s="1395"/>
      <c r="C823" s="1002"/>
      <c r="D823" s="1003"/>
      <c r="E823" s="1003"/>
      <c r="F823" s="1003" t="s">
        <v>120</v>
      </c>
      <c r="G823" s="1004"/>
      <c r="H823" s="1003" t="s">
        <v>1889</v>
      </c>
      <c r="I823" s="1005" t="s">
        <v>143</v>
      </c>
      <c r="J823" s="1"/>
      <c r="K823" s="1"/>
      <c r="L823"/>
      <c r="M823" s="1"/>
      <c r="N823" s="1"/>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row>
    <row r="824" spans="1:96" ht="12.75" customHeight="1" outlineLevel="2" x14ac:dyDescent="0.2">
      <c r="A824"/>
      <c r="B824" s="1395"/>
      <c r="C824" s="1002"/>
      <c r="D824" s="1003"/>
      <c r="E824" s="1003"/>
      <c r="F824" s="1003" t="s">
        <v>121</v>
      </c>
      <c r="G824" s="1004"/>
      <c r="H824" s="1003" t="s">
        <v>1890</v>
      </c>
      <c r="I824" s="1005" t="s">
        <v>1891</v>
      </c>
      <c r="J824" s="1"/>
      <c r="K824" s="1"/>
      <c r="L824"/>
      <c r="M824" s="1"/>
      <c r="N824" s="1"/>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row>
    <row r="825" spans="1:96" ht="12.75" customHeight="1" outlineLevel="2" x14ac:dyDescent="0.2">
      <c r="A825"/>
      <c r="B825" s="1395"/>
      <c r="C825" s="1002"/>
      <c r="D825" s="1003"/>
      <c r="E825" s="1003"/>
      <c r="F825" s="1003" t="s">
        <v>122</v>
      </c>
      <c r="G825" s="1004"/>
      <c r="H825" s="1003" t="s">
        <v>1892</v>
      </c>
      <c r="I825" s="1005" t="s">
        <v>1893</v>
      </c>
      <c r="J825" s="1"/>
      <c r="K825" s="1"/>
      <c r="L825"/>
      <c r="M825" s="1"/>
      <c r="N825" s="1"/>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row>
    <row r="826" spans="1:96" ht="12.75" customHeight="1" outlineLevel="2" x14ac:dyDescent="0.2">
      <c r="A826"/>
      <c r="B826" s="1395"/>
      <c r="C826" s="1002"/>
      <c r="D826" s="1003"/>
      <c r="E826" s="1003"/>
      <c r="F826" s="1003" t="s">
        <v>123</v>
      </c>
      <c r="G826" s="1004"/>
      <c r="H826" s="1003" t="s">
        <v>136</v>
      </c>
      <c r="I826" s="1005" t="s">
        <v>144</v>
      </c>
      <c r="J826" s="1"/>
      <c r="K826" s="1"/>
      <c r="L826"/>
      <c r="M826" s="1"/>
      <c r="N826" s="1"/>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row>
    <row r="827" spans="1:96" ht="12.75" customHeight="1" outlineLevel="2" x14ac:dyDescent="0.2">
      <c r="A827"/>
      <c r="B827" s="1395"/>
      <c r="C827" s="1002"/>
      <c r="D827" s="1003"/>
      <c r="E827" s="1003"/>
      <c r="F827" s="1003" t="s">
        <v>124</v>
      </c>
      <c r="G827" s="1004"/>
      <c r="H827" s="1003" t="s">
        <v>137</v>
      </c>
      <c r="I827" s="1005" t="s">
        <v>145</v>
      </c>
      <c r="J827" s="1"/>
      <c r="K827" s="1"/>
      <c r="L827"/>
      <c r="M827" s="1"/>
      <c r="N827" s="1"/>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row>
    <row r="828" spans="1:96" ht="12.75" customHeight="1" outlineLevel="2" x14ac:dyDescent="0.2">
      <c r="A828"/>
      <c r="B828" s="1395"/>
      <c r="C828" s="1002"/>
      <c r="D828" s="1003"/>
      <c r="E828" s="1003"/>
      <c r="F828" s="1003" t="s">
        <v>125</v>
      </c>
      <c r="G828" s="1004"/>
      <c r="H828" s="1003" t="s">
        <v>1894</v>
      </c>
      <c r="I828" s="1005" t="s">
        <v>1895</v>
      </c>
      <c r="J828" s="1"/>
      <c r="K828" s="1"/>
      <c r="L828"/>
      <c r="M828" s="1"/>
      <c r="N828" s="1"/>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row>
    <row r="829" spans="1:96" ht="12.75" customHeight="1" outlineLevel="2" x14ac:dyDescent="0.2">
      <c r="A829"/>
      <c r="B829" s="1395"/>
      <c r="C829" s="1002"/>
      <c r="D829" s="1003"/>
      <c r="E829" s="1003"/>
      <c r="F829" s="1003" t="s">
        <v>126</v>
      </c>
      <c r="G829" s="1004"/>
      <c r="H829" s="1003" t="s">
        <v>1896</v>
      </c>
      <c r="I829" s="1005" t="s">
        <v>1897</v>
      </c>
      <c r="J829" s="1"/>
      <c r="K829" s="1"/>
      <c r="L829"/>
      <c r="M829" s="1"/>
      <c r="N829" s="1"/>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row>
    <row r="830" spans="1:96" ht="12.75" customHeight="1" outlineLevel="2" x14ac:dyDescent="0.2">
      <c r="A830"/>
      <c r="B830" s="1395"/>
      <c r="C830" s="1002"/>
      <c r="D830" s="1003"/>
      <c r="E830" s="1003"/>
      <c r="F830" s="1003" t="s">
        <v>127</v>
      </c>
      <c r="G830" s="1004"/>
      <c r="H830" s="1003" t="s">
        <v>138</v>
      </c>
      <c r="I830" s="1005" t="s">
        <v>146</v>
      </c>
      <c r="J830" s="1"/>
      <c r="K830" s="1"/>
      <c r="L830"/>
      <c r="M830" s="1"/>
      <c r="N830" s="1"/>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row>
    <row r="831" spans="1:96" ht="12.75" customHeight="1" outlineLevel="2" x14ac:dyDescent="0.2">
      <c r="A831"/>
      <c r="B831" s="1395"/>
      <c r="C831" s="1002"/>
      <c r="D831" s="1003"/>
      <c r="E831" s="1003"/>
      <c r="F831" s="1003" t="s">
        <v>128</v>
      </c>
      <c r="G831" s="1004"/>
      <c r="H831" s="1003" t="s">
        <v>139</v>
      </c>
      <c r="I831" s="1005" t="s">
        <v>147</v>
      </c>
      <c r="J831" s="1"/>
      <c r="K831" s="1"/>
      <c r="L831"/>
      <c r="M831" s="1"/>
      <c r="N831" s="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row>
    <row r="832" spans="1:96" ht="12.75" customHeight="1" outlineLevel="2" x14ac:dyDescent="0.2">
      <c r="A832"/>
      <c r="B832" s="1395"/>
      <c r="C832" s="1002"/>
      <c r="D832" s="1003"/>
      <c r="E832" s="1003"/>
      <c r="F832" s="1003" t="s">
        <v>129</v>
      </c>
      <c r="G832" s="1004"/>
      <c r="H832" s="1003" t="s">
        <v>1898</v>
      </c>
      <c r="I832" s="1005" t="s">
        <v>1850</v>
      </c>
      <c r="J832" s="1"/>
      <c r="K832" s="1"/>
      <c r="L832"/>
      <c r="M832" s="1"/>
      <c r="N832" s="1"/>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row>
    <row r="833" spans="1:96" ht="12.75" customHeight="1" outlineLevel="2" x14ac:dyDescent="0.2">
      <c r="A833"/>
      <c r="B833" s="1395"/>
      <c r="C833" s="1002"/>
      <c r="D833" s="1003"/>
      <c r="E833" s="1003"/>
      <c r="F833" s="1003" t="s">
        <v>130</v>
      </c>
      <c r="G833" s="1004"/>
      <c r="H833" s="1003" t="s">
        <v>1862</v>
      </c>
      <c r="I833" s="1005" t="s">
        <v>1899</v>
      </c>
      <c r="J833" s="1"/>
      <c r="K833" s="1"/>
      <c r="L833"/>
      <c r="M833" s="1"/>
      <c r="N833" s="1"/>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row>
    <row r="834" spans="1:96" ht="12.75" customHeight="1" outlineLevel="2" x14ac:dyDescent="0.2">
      <c r="A834"/>
      <c r="B834" s="1395"/>
      <c r="C834" s="1002"/>
      <c r="D834" s="1003"/>
      <c r="E834" s="1003"/>
      <c r="F834" s="1003" t="s">
        <v>131</v>
      </c>
      <c r="G834" s="1004"/>
      <c r="H834" s="1003" t="s">
        <v>140</v>
      </c>
      <c r="I834" s="1005" t="s">
        <v>148</v>
      </c>
      <c r="J834" s="1"/>
      <c r="K834" s="1"/>
      <c r="L834"/>
      <c r="M834" s="1"/>
      <c r="N834" s="1"/>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row>
    <row r="835" spans="1:96" ht="12.75" customHeight="1" outlineLevel="2" x14ac:dyDescent="0.2">
      <c r="A835"/>
      <c r="B835" s="1395"/>
      <c r="C835" s="1002"/>
      <c r="D835" s="1003"/>
      <c r="E835" s="1003"/>
      <c r="F835" s="1003" t="s">
        <v>132</v>
      </c>
      <c r="G835" s="1004"/>
      <c r="H835" s="1003" t="s">
        <v>141</v>
      </c>
      <c r="I835" s="1005" t="s">
        <v>149</v>
      </c>
      <c r="J835" s="1"/>
      <c r="K835" s="1"/>
      <c r="L835"/>
      <c r="M835" s="1"/>
      <c r="N835" s="1"/>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row>
    <row r="836" spans="1:96" ht="12.75" customHeight="1" outlineLevel="2" x14ac:dyDescent="0.2">
      <c r="A836"/>
      <c r="B836" s="1395"/>
      <c r="C836" s="1002"/>
      <c r="D836" s="1003"/>
      <c r="E836" s="1003"/>
      <c r="F836" s="1003" t="s">
        <v>133</v>
      </c>
      <c r="G836" s="1004"/>
      <c r="H836" s="1003" t="s">
        <v>1875</v>
      </c>
      <c r="I836" s="1005" t="s">
        <v>1900</v>
      </c>
      <c r="J836" s="1"/>
      <c r="K836" s="1"/>
      <c r="L836"/>
      <c r="M836" s="1"/>
      <c r="N836" s="1"/>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row>
    <row r="837" spans="1:96" ht="12.75" customHeight="1" outlineLevel="2" x14ac:dyDescent="0.2">
      <c r="A837"/>
      <c r="B837" s="1395"/>
      <c r="C837" s="1002"/>
      <c r="D837" s="1003"/>
      <c r="E837" s="1003"/>
      <c r="F837" s="1003" t="s">
        <v>134</v>
      </c>
      <c r="G837" s="1004"/>
      <c r="H837" s="1003"/>
      <c r="I837" s="1005"/>
      <c r="J837" s="1"/>
      <c r="K837" s="1"/>
      <c r="L837"/>
      <c r="M837" s="1"/>
      <c r="N837" s="1"/>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row>
    <row r="838" spans="1:96" outlineLevel="1" x14ac:dyDescent="0.2">
      <c r="A838"/>
      <c r="B838" s="1395">
        <f>C838*1000000+D838*1000+E838</f>
        <v>18018064</v>
      </c>
      <c r="C838" s="1002">
        <v>18</v>
      </c>
      <c r="D838" s="1003">
        <v>18</v>
      </c>
      <c r="E838" s="1003">
        <v>64</v>
      </c>
      <c r="F838" s="1003" t="s">
        <v>150</v>
      </c>
      <c r="G838" s="1004"/>
      <c r="H838" s="1003" t="s">
        <v>1901</v>
      </c>
      <c r="I838" s="1005" t="s">
        <v>1902</v>
      </c>
      <c r="J838" s="1"/>
      <c r="K838" s="1"/>
      <c r="L838"/>
      <c r="M838" s="1"/>
      <c r="N838" s="1"/>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row>
    <row r="839" spans="1:96" ht="12.75" customHeight="1" outlineLevel="2" x14ac:dyDescent="0.2">
      <c r="A839"/>
      <c r="B839" s="1395"/>
      <c r="C839" s="1002"/>
      <c r="D839" s="1003"/>
      <c r="E839" s="1003"/>
      <c r="F839" s="1003" t="s">
        <v>151</v>
      </c>
      <c r="G839" s="1004"/>
      <c r="H839" s="1003" t="s">
        <v>168</v>
      </c>
      <c r="I839" s="1005" t="s">
        <v>175</v>
      </c>
      <c r="J839" s="1"/>
      <c r="K839" s="1"/>
      <c r="L839"/>
      <c r="M839" s="1"/>
      <c r="N839" s="1"/>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row>
    <row r="840" spans="1:96" ht="12.75" customHeight="1" outlineLevel="2" x14ac:dyDescent="0.2">
      <c r="A840"/>
      <c r="B840" s="1395"/>
      <c r="C840" s="1002"/>
      <c r="D840" s="1003"/>
      <c r="E840" s="1003"/>
      <c r="F840" s="1003" t="s">
        <v>152</v>
      </c>
      <c r="G840" s="1004"/>
      <c r="H840" s="1003" t="s">
        <v>1889</v>
      </c>
      <c r="I840" s="1005" t="s">
        <v>176</v>
      </c>
      <c r="J840" s="1"/>
      <c r="K840" s="1"/>
      <c r="L840"/>
      <c r="M840" s="1"/>
      <c r="N840" s="1"/>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row>
    <row r="841" spans="1:96" ht="12.75" customHeight="1" outlineLevel="2" x14ac:dyDescent="0.2">
      <c r="A841"/>
      <c r="B841" s="1395"/>
      <c r="C841" s="1002"/>
      <c r="D841" s="1003"/>
      <c r="E841" s="1003"/>
      <c r="F841" s="1003" t="s">
        <v>153</v>
      </c>
      <c r="G841" s="1004"/>
      <c r="H841" s="1003" t="s">
        <v>1890</v>
      </c>
      <c r="I841" s="1005" t="s">
        <v>1903</v>
      </c>
      <c r="J841" s="1"/>
      <c r="K841" s="1"/>
      <c r="L841"/>
      <c r="M841" s="1"/>
      <c r="N841" s="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row>
    <row r="842" spans="1:96" ht="12.75" customHeight="1" outlineLevel="2" x14ac:dyDescent="0.2">
      <c r="A842"/>
      <c r="B842" s="1395"/>
      <c r="C842" s="1002"/>
      <c r="D842" s="1003"/>
      <c r="E842" s="1003"/>
      <c r="F842" s="1003" t="s">
        <v>154</v>
      </c>
      <c r="G842" s="1004"/>
      <c r="H842" s="1003" t="s">
        <v>1904</v>
      </c>
      <c r="I842" s="1005" t="s">
        <v>1905</v>
      </c>
      <c r="J842" s="1"/>
      <c r="K842" s="1"/>
      <c r="L842"/>
      <c r="M842" s="1"/>
      <c r="N842" s="1"/>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row>
    <row r="843" spans="1:96" ht="12.75" customHeight="1" outlineLevel="2" x14ac:dyDescent="0.2">
      <c r="A843"/>
      <c r="B843" s="1395"/>
      <c r="C843" s="1002"/>
      <c r="D843" s="1003"/>
      <c r="E843" s="1003"/>
      <c r="F843" s="1003" t="s">
        <v>155</v>
      </c>
      <c r="G843" s="1004"/>
      <c r="H843" s="1003" t="s">
        <v>169</v>
      </c>
      <c r="I843" s="1005" t="s">
        <v>177</v>
      </c>
      <c r="J843" s="1"/>
      <c r="K843" s="1"/>
      <c r="L843"/>
      <c r="M843" s="1"/>
      <c r="N843" s="1"/>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row>
    <row r="844" spans="1:96" ht="12.75" customHeight="1" outlineLevel="2" x14ac:dyDescent="0.2">
      <c r="A844"/>
      <c r="B844" s="1395"/>
      <c r="C844" s="1002"/>
      <c r="D844" s="1003"/>
      <c r="E844" s="1003"/>
      <c r="F844" s="1003" t="s">
        <v>156</v>
      </c>
      <c r="G844" s="1004"/>
      <c r="H844" s="1003" t="s">
        <v>170</v>
      </c>
      <c r="I844" s="1005" t="s">
        <v>178</v>
      </c>
      <c r="J844" s="1"/>
      <c r="K844" s="1"/>
      <c r="L844"/>
      <c r="M844" s="1"/>
      <c r="N844" s="1"/>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row>
    <row r="845" spans="1:96" ht="12.75" customHeight="1" outlineLevel="2" x14ac:dyDescent="0.2">
      <c r="A845"/>
      <c r="B845" s="1395"/>
      <c r="C845" s="1002"/>
      <c r="D845" s="1003"/>
      <c r="E845" s="1003"/>
      <c r="F845" s="1003" t="s">
        <v>157</v>
      </c>
      <c r="G845" s="1004"/>
      <c r="H845" s="1003" t="s">
        <v>1906</v>
      </c>
      <c r="I845" s="1005" t="s">
        <v>1907</v>
      </c>
      <c r="J845" s="1"/>
      <c r="K845" s="1"/>
      <c r="L845"/>
      <c r="M845" s="1"/>
      <c r="N845" s="1"/>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row>
    <row r="846" spans="1:96" ht="12.75" customHeight="1" outlineLevel="2" x14ac:dyDescent="0.2">
      <c r="A846"/>
      <c r="B846" s="1395"/>
      <c r="C846" s="1002"/>
      <c r="D846" s="1003"/>
      <c r="E846" s="1003"/>
      <c r="F846" s="1003" t="s">
        <v>158</v>
      </c>
      <c r="G846" s="1004"/>
      <c r="H846" s="1003" t="s">
        <v>1870</v>
      </c>
      <c r="I846" s="1005" t="s">
        <v>1897</v>
      </c>
      <c r="J846" s="1"/>
      <c r="K846" s="1"/>
      <c r="L846"/>
      <c r="M846" s="1"/>
      <c r="N846" s="1"/>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row>
    <row r="847" spans="1:96" ht="12.75" customHeight="1" outlineLevel="2" x14ac:dyDescent="0.2">
      <c r="A847"/>
      <c r="B847" s="1395"/>
      <c r="C847" s="1002"/>
      <c r="D847" s="1003"/>
      <c r="E847" s="1003"/>
      <c r="F847" s="1003" t="s">
        <v>159</v>
      </c>
      <c r="G847" s="1004"/>
      <c r="H847" s="1003" t="s">
        <v>171</v>
      </c>
      <c r="I847" s="1005" t="s">
        <v>179</v>
      </c>
      <c r="J847" s="1"/>
      <c r="K847" s="1"/>
      <c r="L847"/>
      <c r="M847" s="1"/>
      <c r="N847" s="1"/>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row>
    <row r="848" spans="1:96" ht="12.75" customHeight="1" outlineLevel="2" x14ac:dyDescent="0.2">
      <c r="A848"/>
      <c r="B848" s="1395"/>
      <c r="C848" s="1002"/>
      <c r="D848" s="1003"/>
      <c r="E848" s="1003"/>
      <c r="F848" s="1003" t="s">
        <v>160</v>
      </c>
      <c r="G848" s="1004"/>
      <c r="H848" s="1003" t="s">
        <v>172</v>
      </c>
      <c r="I848" s="1005" t="s">
        <v>180</v>
      </c>
      <c r="J848" s="1"/>
      <c r="K848" s="1"/>
      <c r="L848"/>
      <c r="M848" s="1"/>
      <c r="N848" s="1"/>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row>
    <row r="849" spans="1:96" ht="12.75" customHeight="1" outlineLevel="2" x14ac:dyDescent="0.2">
      <c r="A849"/>
      <c r="B849" s="1395"/>
      <c r="C849" s="1002"/>
      <c r="D849" s="1003"/>
      <c r="E849" s="1003"/>
      <c r="F849" s="1003" t="s">
        <v>161</v>
      </c>
      <c r="G849" s="1004"/>
      <c r="H849" s="1003" t="s">
        <v>1908</v>
      </c>
      <c r="I849" s="1005" t="s">
        <v>1909</v>
      </c>
      <c r="J849" s="1"/>
      <c r="K849" s="1"/>
      <c r="L849"/>
      <c r="M849" s="1"/>
      <c r="N849" s="1"/>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row>
    <row r="850" spans="1:96" ht="12.75" customHeight="1" outlineLevel="2" x14ac:dyDescent="0.2">
      <c r="A850"/>
      <c r="B850" s="1395"/>
      <c r="C850" s="1002"/>
      <c r="D850" s="1003"/>
      <c r="E850" s="1003"/>
      <c r="F850" s="1003" t="s">
        <v>162</v>
      </c>
      <c r="G850" s="1004"/>
      <c r="H850" s="1003" t="s">
        <v>1873</v>
      </c>
      <c r="I850" s="1005" t="s">
        <v>1899</v>
      </c>
      <c r="J850" s="1"/>
      <c r="K850" s="1"/>
      <c r="L850"/>
      <c r="M850" s="1"/>
      <c r="N850" s="1"/>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row>
    <row r="851" spans="1:96" ht="12.75" customHeight="1" outlineLevel="2" x14ac:dyDescent="0.2">
      <c r="A851"/>
      <c r="B851" s="1395"/>
      <c r="C851" s="1002"/>
      <c r="D851" s="1003"/>
      <c r="E851" s="1003"/>
      <c r="F851" s="1003" t="s">
        <v>163</v>
      </c>
      <c r="G851" s="1004"/>
      <c r="H851" s="1003" t="s">
        <v>173</v>
      </c>
      <c r="I851" s="1005" t="s">
        <v>1910</v>
      </c>
      <c r="J851" s="1"/>
      <c r="K851" s="1"/>
      <c r="L851"/>
      <c r="M851" s="1"/>
      <c r="N851" s="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row>
    <row r="852" spans="1:96" ht="12.75" customHeight="1" outlineLevel="2" x14ac:dyDescent="0.2">
      <c r="A852"/>
      <c r="B852" s="1395"/>
      <c r="C852" s="1002"/>
      <c r="D852" s="1003"/>
      <c r="E852" s="1003"/>
      <c r="F852" s="1003" t="s">
        <v>164</v>
      </c>
      <c r="G852" s="1004"/>
      <c r="H852" s="1003" t="s">
        <v>174</v>
      </c>
      <c r="I852" s="1005" t="s">
        <v>181</v>
      </c>
      <c r="J852" s="1"/>
      <c r="K852" s="1"/>
      <c r="L852"/>
      <c r="M852" s="1"/>
      <c r="N852" s="1"/>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row>
    <row r="853" spans="1:96" ht="12.75" customHeight="1" outlineLevel="2" x14ac:dyDescent="0.2">
      <c r="A853"/>
      <c r="B853" s="1395"/>
      <c r="C853" s="1002"/>
      <c r="D853" s="1003"/>
      <c r="E853" s="1003"/>
      <c r="F853" s="1003" t="s">
        <v>165</v>
      </c>
      <c r="G853" s="1004"/>
      <c r="H853" s="1003" t="s">
        <v>1911</v>
      </c>
      <c r="I853" s="1005" t="s">
        <v>1912</v>
      </c>
      <c r="J853" s="1"/>
      <c r="K853" s="1"/>
      <c r="L853"/>
      <c r="M853" s="1"/>
      <c r="N853" s="1"/>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row>
    <row r="854" spans="1:96" ht="12.75" customHeight="1" outlineLevel="2" x14ac:dyDescent="0.2">
      <c r="A854"/>
      <c r="B854" s="1395"/>
      <c r="C854" s="1002"/>
      <c r="D854" s="1003"/>
      <c r="E854" s="1003"/>
      <c r="F854" s="1003" t="s">
        <v>166</v>
      </c>
      <c r="G854" s="1004"/>
      <c r="H854" s="1003"/>
      <c r="I854" s="1005"/>
      <c r="J854" s="1"/>
      <c r="K854" s="1"/>
      <c r="L854"/>
      <c r="M854" s="1"/>
      <c r="N854" s="1"/>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row>
    <row r="855" spans="1:96" ht="12.75" customHeight="1" outlineLevel="2" x14ac:dyDescent="0.2">
      <c r="A855"/>
      <c r="B855" s="1395"/>
      <c r="C855" s="1002"/>
      <c r="D855" s="1003"/>
      <c r="E855" s="1003"/>
      <c r="F855" s="1003" t="s">
        <v>167</v>
      </c>
      <c r="G855" s="1004"/>
      <c r="H855" s="1003"/>
      <c r="I855" s="1005"/>
      <c r="J855" s="1"/>
      <c r="K855" s="1"/>
      <c r="L855"/>
      <c r="M855" s="1"/>
      <c r="N855" s="1"/>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row>
    <row r="856" spans="1:96" outlineLevel="1" x14ac:dyDescent="0.2">
      <c r="A856"/>
      <c r="B856" s="1395">
        <f>C856*1000000+D856*1000+E856</f>
        <v>19019064</v>
      </c>
      <c r="C856" s="1002">
        <v>19</v>
      </c>
      <c r="D856" s="1003">
        <v>19</v>
      </c>
      <c r="E856" s="1003">
        <v>64</v>
      </c>
      <c r="F856" s="1003" t="s">
        <v>182</v>
      </c>
      <c r="G856" s="1004"/>
      <c r="H856" s="1003" t="s">
        <v>1913</v>
      </c>
      <c r="I856" s="1005" t="s">
        <v>1902</v>
      </c>
      <c r="J856" s="1"/>
      <c r="K856" s="1"/>
      <c r="L856"/>
      <c r="M856" s="1"/>
      <c r="N856" s="1"/>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row>
    <row r="857" spans="1:96" ht="12.75" customHeight="1" outlineLevel="2" x14ac:dyDescent="0.2">
      <c r="A857"/>
      <c r="B857" s="1395"/>
      <c r="C857" s="1002"/>
      <c r="D857" s="1003"/>
      <c r="E857" s="1003"/>
      <c r="F857" s="1003" t="s">
        <v>183</v>
      </c>
      <c r="G857" s="1004"/>
      <c r="H857" s="1003" t="s">
        <v>201</v>
      </c>
      <c r="I857" s="1005" t="s">
        <v>208</v>
      </c>
      <c r="J857" s="1"/>
      <c r="K857" s="1"/>
      <c r="L857"/>
      <c r="M857" s="1"/>
      <c r="N857" s="1"/>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row>
    <row r="858" spans="1:96" ht="12.75" customHeight="1" outlineLevel="2" x14ac:dyDescent="0.2">
      <c r="A858"/>
      <c r="B858" s="1395"/>
      <c r="C858" s="1002"/>
      <c r="D858" s="1003"/>
      <c r="E858" s="1003"/>
      <c r="F858" s="1003" t="s">
        <v>184</v>
      </c>
      <c r="G858" s="1004"/>
      <c r="H858" s="1003" t="s">
        <v>1914</v>
      </c>
      <c r="I858" s="1005" t="s">
        <v>1915</v>
      </c>
      <c r="J858" s="1"/>
      <c r="K858" s="1"/>
      <c r="L858"/>
      <c r="M858" s="1"/>
      <c r="N858" s="1"/>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row>
    <row r="859" spans="1:96" ht="12.75" customHeight="1" outlineLevel="2" x14ac:dyDescent="0.2">
      <c r="A859"/>
      <c r="B859" s="1395"/>
      <c r="C859" s="1002"/>
      <c r="D859" s="1003"/>
      <c r="E859" s="1003"/>
      <c r="F859" s="1003" t="s">
        <v>185</v>
      </c>
      <c r="G859" s="1004"/>
      <c r="H859" s="1003" t="s">
        <v>1916</v>
      </c>
      <c r="I859" s="1005" t="s">
        <v>1903</v>
      </c>
      <c r="J859" s="1"/>
      <c r="K859" s="1"/>
      <c r="L859"/>
      <c r="M859" s="1"/>
      <c r="N859" s="1"/>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row>
    <row r="860" spans="1:96" ht="12.75" customHeight="1" outlineLevel="2" x14ac:dyDescent="0.2">
      <c r="A860"/>
      <c r="B860" s="1395"/>
      <c r="C860" s="1002"/>
      <c r="D860" s="1003"/>
      <c r="E860" s="1003"/>
      <c r="F860" s="1003" t="s">
        <v>186</v>
      </c>
      <c r="G860" s="1004"/>
      <c r="H860" s="1003" t="s">
        <v>1917</v>
      </c>
      <c r="I860" s="1005" t="s">
        <v>1905</v>
      </c>
      <c r="J860" s="1"/>
      <c r="K860" s="1"/>
      <c r="L860"/>
      <c r="M860" s="1"/>
      <c r="N860" s="1"/>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row>
    <row r="861" spans="1:96" ht="12.75" customHeight="1" outlineLevel="2" x14ac:dyDescent="0.2">
      <c r="A861"/>
      <c r="B861" s="1395"/>
      <c r="C861" s="1002"/>
      <c r="D861" s="1003"/>
      <c r="E861" s="1003"/>
      <c r="F861" s="1003" t="s">
        <v>187</v>
      </c>
      <c r="G861" s="1004"/>
      <c r="H861" s="1003" t="s">
        <v>202</v>
      </c>
      <c r="I861" s="1005" t="s">
        <v>209</v>
      </c>
      <c r="J861" s="1"/>
      <c r="K861" s="1"/>
      <c r="L861"/>
      <c r="M861" s="1"/>
      <c r="N861" s="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row>
    <row r="862" spans="1:96" ht="12.75" customHeight="1" outlineLevel="2" x14ac:dyDescent="0.2">
      <c r="A862"/>
      <c r="B862" s="1395"/>
      <c r="C862" s="1002"/>
      <c r="D862" s="1003"/>
      <c r="E862" s="1003"/>
      <c r="F862" s="1003" t="s">
        <v>188</v>
      </c>
      <c r="G862" s="1004"/>
      <c r="H862" s="1003" t="s">
        <v>203</v>
      </c>
      <c r="I862" s="1005" t="s">
        <v>210</v>
      </c>
      <c r="J862" s="1"/>
      <c r="K862" s="1"/>
      <c r="L862"/>
      <c r="M862" s="1"/>
      <c r="N862" s="1"/>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row>
    <row r="863" spans="1:96" ht="12.75" customHeight="1" outlineLevel="2" x14ac:dyDescent="0.2">
      <c r="A863"/>
      <c r="B863" s="1395"/>
      <c r="C863" s="1002"/>
      <c r="D863" s="1003"/>
      <c r="E863" s="1003"/>
      <c r="F863" s="1003" t="s">
        <v>189</v>
      </c>
      <c r="G863" s="1004"/>
      <c r="H863" s="1003" t="s">
        <v>1918</v>
      </c>
      <c r="I863" s="1005" t="s">
        <v>1881</v>
      </c>
      <c r="J863" s="1"/>
      <c r="K863" s="1"/>
      <c r="L863"/>
      <c r="M863" s="1"/>
      <c r="N863" s="1"/>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row>
    <row r="864" spans="1:96" ht="12.75" customHeight="1" outlineLevel="2" x14ac:dyDescent="0.2">
      <c r="A864"/>
      <c r="B864" s="1395"/>
      <c r="C864" s="1002"/>
      <c r="D864" s="1003"/>
      <c r="E864" s="1003"/>
      <c r="F864" s="1003" t="s">
        <v>190</v>
      </c>
      <c r="G864" s="1004"/>
      <c r="H864" s="1003" t="s">
        <v>1919</v>
      </c>
      <c r="I864" s="1005" t="s">
        <v>1920</v>
      </c>
      <c r="J864" s="1"/>
      <c r="K864" s="1"/>
      <c r="L864"/>
      <c r="M864" s="1"/>
      <c r="N864" s="1"/>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row>
    <row r="865" spans="1:96" ht="12.75" customHeight="1" outlineLevel="2" x14ac:dyDescent="0.2">
      <c r="A865"/>
      <c r="B865" s="1395"/>
      <c r="C865" s="1002"/>
      <c r="D865" s="1003"/>
      <c r="E865" s="1003"/>
      <c r="F865" s="1003" t="s">
        <v>191</v>
      </c>
      <c r="G865" s="1004"/>
      <c r="H865" s="1003" t="s">
        <v>204</v>
      </c>
      <c r="I865" s="1005" t="s">
        <v>211</v>
      </c>
      <c r="J865" s="1"/>
      <c r="K865" s="1"/>
      <c r="L865"/>
      <c r="M865" s="1"/>
      <c r="N865" s="1"/>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row>
    <row r="866" spans="1:96" ht="12.75" customHeight="1" outlineLevel="2" x14ac:dyDescent="0.2">
      <c r="A866"/>
      <c r="B866" s="1395"/>
      <c r="C866" s="1002"/>
      <c r="D866" s="1003"/>
      <c r="E866" s="1003"/>
      <c r="F866" s="1003" t="s">
        <v>192</v>
      </c>
      <c r="G866" s="1004"/>
      <c r="H866" s="1003" t="s">
        <v>205</v>
      </c>
      <c r="I866" s="1005" t="s">
        <v>212</v>
      </c>
      <c r="J866" s="1"/>
      <c r="K866" s="1"/>
      <c r="L866"/>
      <c r="M866" s="1"/>
      <c r="N866" s="1"/>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row>
    <row r="867" spans="1:96" ht="12.75" customHeight="1" outlineLevel="2" x14ac:dyDescent="0.2">
      <c r="A867"/>
      <c r="B867" s="1395"/>
      <c r="C867" s="1002"/>
      <c r="D867" s="1003"/>
      <c r="E867" s="1003"/>
      <c r="F867" s="1003" t="s">
        <v>193</v>
      </c>
      <c r="G867" s="1004"/>
      <c r="H867" s="1003" t="s">
        <v>1921</v>
      </c>
      <c r="I867" s="1005" t="s">
        <v>1883</v>
      </c>
      <c r="J867" s="1"/>
      <c r="K867" s="1"/>
      <c r="L867"/>
      <c r="M867" s="1"/>
      <c r="N867" s="1"/>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row>
    <row r="868" spans="1:96" ht="12.75" customHeight="1" outlineLevel="2" x14ac:dyDescent="0.2">
      <c r="A868"/>
      <c r="B868" s="1395"/>
      <c r="C868" s="1002"/>
      <c r="D868" s="1003"/>
      <c r="E868" s="1003"/>
      <c r="F868" s="1003" t="s">
        <v>194</v>
      </c>
      <c r="G868" s="1004"/>
      <c r="H868" s="1003" t="s">
        <v>1922</v>
      </c>
      <c r="I868" s="1005" t="s">
        <v>1923</v>
      </c>
      <c r="J868" s="1"/>
      <c r="K868" s="1"/>
      <c r="L868"/>
      <c r="M868" s="1"/>
      <c r="N868" s="1"/>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row>
    <row r="869" spans="1:96" ht="12.75" customHeight="1" outlineLevel="2" x14ac:dyDescent="0.2">
      <c r="A869"/>
      <c r="B869" s="1395"/>
      <c r="C869" s="1002"/>
      <c r="D869" s="1003"/>
      <c r="E869" s="1003"/>
      <c r="F869" s="1003" t="s">
        <v>195</v>
      </c>
      <c r="G869" s="1004"/>
      <c r="H869" s="1003" t="s">
        <v>206</v>
      </c>
      <c r="I869" s="1005" t="s">
        <v>1924</v>
      </c>
      <c r="J869" s="1"/>
      <c r="K869" s="1"/>
      <c r="L869"/>
      <c r="M869" s="1"/>
      <c r="N869" s="1"/>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row>
    <row r="870" spans="1:96" ht="12.75" customHeight="1" outlineLevel="2" x14ac:dyDescent="0.2">
      <c r="A870"/>
      <c r="B870" s="1395"/>
      <c r="C870" s="1002"/>
      <c r="D870" s="1003"/>
      <c r="E870" s="1003"/>
      <c r="F870" s="1003" t="s">
        <v>196</v>
      </c>
      <c r="G870" s="1004"/>
      <c r="H870" s="1003" t="s">
        <v>207</v>
      </c>
      <c r="I870" s="1005" t="s">
        <v>213</v>
      </c>
      <c r="J870" s="1"/>
      <c r="K870" s="1"/>
      <c r="L870"/>
      <c r="M870" s="1"/>
      <c r="N870" s="1"/>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row>
    <row r="871" spans="1:96" ht="12.75" customHeight="1" outlineLevel="2" x14ac:dyDescent="0.2">
      <c r="A871"/>
      <c r="B871" s="1395"/>
      <c r="C871" s="1002"/>
      <c r="D871" s="1003"/>
      <c r="E871" s="1003"/>
      <c r="F871" s="1003" t="s">
        <v>197</v>
      </c>
      <c r="G871" s="1004"/>
      <c r="H871" s="1003" t="s">
        <v>1925</v>
      </c>
      <c r="I871" s="1005" t="s">
        <v>1887</v>
      </c>
      <c r="J871" s="1"/>
      <c r="K871" s="1"/>
      <c r="L871"/>
      <c r="M871" s="1"/>
      <c r="N871" s="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row>
    <row r="872" spans="1:96" ht="12.75" customHeight="1" outlineLevel="2" x14ac:dyDescent="0.2">
      <c r="A872"/>
      <c r="B872" s="1395"/>
      <c r="C872" s="1002"/>
      <c r="D872" s="1003"/>
      <c r="E872" s="1003"/>
      <c r="F872" s="1003" t="s">
        <v>198</v>
      </c>
      <c r="G872" s="1004"/>
      <c r="H872" s="1003"/>
      <c r="I872" s="1005"/>
      <c r="J872" s="1"/>
      <c r="K872" s="1"/>
      <c r="L872"/>
      <c r="M872" s="1"/>
      <c r="N872" s="1"/>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row>
    <row r="873" spans="1:96" ht="12.75" customHeight="1" outlineLevel="2" x14ac:dyDescent="0.2">
      <c r="A873"/>
      <c r="B873" s="1395"/>
      <c r="C873" s="1002"/>
      <c r="D873" s="1003"/>
      <c r="E873" s="1003"/>
      <c r="F873" s="1003" t="s">
        <v>199</v>
      </c>
      <c r="G873" s="1004"/>
      <c r="H873" s="1003"/>
      <c r="I873" s="1005"/>
      <c r="J873" s="1"/>
      <c r="K873" s="1"/>
      <c r="L873"/>
      <c r="M873" s="1"/>
      <c r="N873" s="1"/>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row>
    <row r="874" spans="1:96" ht="12.75" customHeight="1" outlineLevel="2" x14ac:dyDescent="0.2">
      <c r="A874"/>
      <c r="B874" s="1395"/>
      <c r="C874" s="1002"/>
      <c r="D874" s="1003"/>
      <c r="E874" s="1003"/>
      <c r="F874" s="1003" t="s">
        <v>200</v>
      </c>
      <c r="G874" s="1004"/>
      <c r="H874" s="1003"/>
      <c r="I874" s="1005"/>
      <c r="J874" s="1"/>
      <c r="K874" s="1"/>
      <c r="L874"/>
      <c r="M874" s="1"/>
      <c r="N874" s="1"/>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row>
    <row r="875" spans="1:96" outlineLevel="1" x14ac:dyDescent="0.2">
      <c r="A875"/>
      <c r="B875" s="1395">
        <f>C875*1000000+D875*1000+E875</f>
        <v>20020064</v>
      </c>
      <c r="C875" s="1002">
        <v>20</v>
      </c>
      <c r="D875" s="1003">
        <v>20</v>
      </c>
      <c r="E875" s="1003">
        <v>64</v>
      </c>
      <c r="F875" s="1003" t="s">
        <v>214</v>
      </c>
      <c r="G875" s="1004"/>
      <c r="H875" s="1003" t="s">
        <v>1926</v>
      </c>
      <c r="I875" s="1005" t="s">
        <v>1927</v>
      </c>
      <c r="J875" s="1"/>
      <c r="K875" s="1"/>
      <c r="L875"/>
      <c r="M875" s="1"/>
      <c r="N875" s="1"/>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row>
    <row r="876" spans="1:96" ht="12.75" customHeight="1" outlineLevel="2" x14ac:dyDescent="0.2">
      <c r="A876"/>
      <c r="B876" s="1395"/>
      <c r="C876" s="1002"/>
      <c r="D876" s="1003"/>
      <c r="E876" s="1003"/>
      <c r="F876" s="1003" t="s">
        <v>215</v>
      </c>
      <c r="G876" s="1004"/>
      <c r="H876" s="1003" t="s">
        <v>234</v>
      </c>
      <c r="I876" s="1005" t="s">
        <v>240</v>
      </c>
      <c r="J876" s="1"/>
      <c r="K876" s="1"/>
      <c r="L876"/>
      <c r="M876" s="1"/>
      <c r="N876" s="1"/>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row>
    <row r="877" spans="1:96" ht="12.75" customHeight="1" outlineLevel="2" x14ac:dyDescent="0.2">
      <c r="A877"/>
      <c r="B877" s="1395"/>
      <c r="C877" s="1002"/>
      <c r="D877" s="1003"/>
      <c r="E877" s="1003"/>
      <c r="F877" s="1003" t="s">
        <v>216</v>
      </c>
      <c r="G877" s="1004"/>
      <c r="H877" s="1003" t="s">
        <v>1928</v>
      </c>
      <c r="I877" s="1005" t="s">
        <v>1929</v>
      </c>
      <c r="J877" s="1"/>
      <c r="K877" s="1"/>
      <c r="L877"/>
      <c r="M877" s="1"/>
      <c r="N877" s="1"/>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row>
    <row r="878" spans="1:96" ht="12.75" customHeight="1" outlineLevel="2" x14ac:dyDescent="0.2">
      <c r="A878"/>
      <c r="B878" s="1395"/>
      <c r="C878" s="1002"/>
      <c r="D878" s="1003"/>
      <c r="E878" s="1003"/>
      <c r="F878" s="1003" t="s">
        <v>217</v>
      </c>
      <c r="G878" s="1004"/>
      <c r="H878" s="1003" t="s">
        <v>1930</v>
      </c>
      <c r="I878" s="1005" t="s">
        <v>1931</v>
      </c>
      <c r="J878" s="1"/>
      <c r="K878" s="1"/>
      <c r="L878"/>
      <c r="M878" s="1"/>
      <c r="N878" s="1"/>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row>
    <row r="879" spans="1:96" ht="12.75" customHeight="1" outlineLevel="2" x14ac:dyDescent="0.2">
      <c r="A879"/>
      <c r="B879" s="1395"/>
      <c r="C879" s="1002"/>
      <c r="D879" s="1003"/>
      <c r="E879" s="1003"/>
      <c r="F879" s="1003" t="s">
        <v>218</v>
      </c>
      <c r="G879" s="1004"/>
      <c r="H879" s="1003" t="s">
        <v>1892</v>
      </c>
      <c r="I879" s="1005" t="s">
        <v>1932</v>
      </c>
      <c r="J879" s="1"/>
      <c r="K879" s="1"/>
      <c r="L879"/>
      <c r="M879" s="1"/>
      <c r="N879" s="1"/>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row>
    <row r="880" spans="1:96" ht="12.75" customHeight="1" outlineLevel="2" x14ac:dyDescent="0.2">
      <c r="A880"/>
      <c r="B880" s="1395"/>
      <c r="C880" s="1002"/>
      <c r="D880" s="1003"/>
      <c r="E880" s="1003"/>
      <c r="F880" s="1003" t="s">
        <v>219</v>
      </c>
      <c r="G880" s="1004"/>
      <c r="H880" s="1003" t="s">
        <v>235</v>
      </c>
      <c r="I880" s="1005" t="s">
        <v>241</v>
      </c>
      <c r="J880" s="1"/>
      <c r="K880" s="1"/>
      <c r="L880"/>
      <c r="M880" s="1"/>
      <c r="N880" s="1"/>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row>
    <row r="881" spans="1:96" ht="12.75" customHeight="1" outlineLevel="2" x14ac:dyDescent="0.2">
      <c r="A881"/>
      <c r="B881" s="1395"/>
      <c r="C881" s="1002"/>
      <c r="D881" s="1003"/>
      <c r="E881" s="1003"/>
      <c r="F881" s="1003" t="s">
        <v>220</v>
      </c>
      <c r="G881" s="1004"/>
      <c r="H881" s="1003" t="s">
        <v>236</v>
      </c>
      <c r="I881" s="1005" t="s">
        <v>242</v>
      </c>
      <c r="J881" s="1"/>
      <c r="K881" s="1"/>
      <c r="L881"/>
      <c r="M881" s="1"/>
      <c r="N881" s="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row>
    <row r="882" spans="1:96" ht="12.75" customHeight="1" outlineLevel="2" x14ac:dyDescent="0.2">
      <c r="A882"/>
      <c r="B882" s="1395"/>
      <c r="C882" s="1002"/>
      <c r="D882" s="1003"/>
      <c r="E882" s="1003"/>
      <c r="F882" s="1003" t="s">
        <v>221</v>
      </c>
      <c r="G882" s="1004"/>
      <c r="H882" s="1003" t="s">
        <v>1918</v>
      </c>
      <c r="I882" s="1005" t="s">
        <v>1933</v>
      </c>
      <c r="J882" s="1"/>
      <c r="K882" s="1"/>
      <c r="L882"/>
      <c r="M882" s="1"/>
      <c r="N882" s="1"/>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row>
    <row r="883" spans="1:96" ht="12.75" customHeight="1" outlineLevel="2" x14ac:dyDescent="0.2">
      <c r="A883"/>
      <c r="B883" s="1395"/>
      <c r="C883" s="1002"/>
      <c r="D883" s="1003"/>
      <c r="E883" s="1003"/>
      <c r="F883" s="1003" t="s">
        <v>222</v>
      </c>
      <c r="G883" s="1004"/>
      <c r="H883" s="1003" t="s">
        <v>1934</v>
      </c>
      <c r="I883" s="1005" t="s">
        <v>1935</v>
      </c>
      <c r="J883" s="1"/>
      <c r="K883" s="1"/>
      <c r="L883"/>
      <c r="M883" s="1"/>
      <c r="N883" s="1"/>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row>
    <row r="884" spans="1:96" ht="12.75" customHeight="1" outlineLevel="2" x14ac:dyDescent="0.2">
      <c r="A884"/>
      <c r="B884" s="1395"/>
      <c r="C884" s="1002"/>
      <c r="D884" s="1003"/>
      <c r="E884" s="1003"/>
      <c r="F884" s="1003" t="s">
        <v>223</v>
      </c>
      <c r="G884" s="1004"/>
      <c r="H884" s="1003" t="s">
        <v>237</v>
      </c>
      <c r="I884" s="1005" t="s">
        <v>243</v>
      </c>
      <c r="J884" s="1"/>
      <c r="K884" s="1"/>
      <c r="L884"/>
      <c r="M884" s="1"/>
      <c r="N884" s="1"/>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row>
    <row r="885" spans="1:96" ht="12.75" customHeight="1" outlineLevel="2" x14ac:dyDescent="0.2">
      <c r="A885"/>
      <c r="B885" s="1395"/>
      <c r="C885" s="1002"/>
      <c r="D885" s="1003"/>
      <c r="E885" s="1003"/>
      <c r="F885" s="1003" t="s">
        <v>224</v>
      </c>
      <c r="G885" s="1004"/>
      <c r="H885" s="1003" t="s">
        <v>238</v>
      </c>
      <c r="I885" s="1005" t="s">
        <v>244</v>
      </c>
      <c r="J885" s="1"/>
      <c r="K885" s="1"/>
      <c r="L885"/>
      <c r="M885" s="1"/>
      <c r="N885" s="1"/>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row>
    <row r="886" spans="1:96" ht="12.75" customHeight="1" outlineLevel="2" x14ac:dyDescent="0.2">
      <c r="A886"/>
      <c r="B886" s="1395"/>
      <c r="C886" s="1002"/>
      <c r="D886" s="1003"/>
      <c r="E886" s="1003"/>
      <c r="F886" s="1003" t="s">
        <v>225</v>
      </c>
      <c r="G886" s="1004"/>
      <c r="H886" s="1003" t="s">
        <v>1921</v>
      </c>
      <c r="I886" s="1005" t="s">
        <v>1936</v>
      </c>
      <c r="J886" s="1"/>
      <c r="K886" s="1"/>
      <c r="L886"/>
      <c r="M886" s="1"/>
      <c r="N886" s="1"/>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row>
    <row r="887" spans="1:96" ht="12.75" customHeight="1" outlineLevel="2" x14ac:dyDescent="0.2">
      <c r="A887"/>
      <c r="B887" s="1395"/>
      <c r="C887" s="1002"/>
      <c r="D887" s="1003"/>
      <c r="E887" s="1003"/>
      <c r="F887" s="1003" t="s">
        <v>226</v>
      </c>
      <c r="G887" s="1004"/>
      <c r="H887" s="1003" t="s">
        <v>1937</v>
      </c>
      <c r="I887" s="1005" t="s">
        <v>1938</v>
      </c>
      <c r="J887" s="1"/>
      <c r="K887" s="1"/>
      <c r="L887"/>
      <c r="M887" s="1"/>
      <c r="N887" s="1"/>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row>
    <row r="888" spans="1:96" ht="12.75" customHeight="1" outlineLevel="2" x14ac:dyDescent="0.2">
      <c r="A888"/>
      <c r="B888" s="1395"/>
      <c r="C888" s="1002"/>
      <c r="D888" s="1003"/>
      <c r="E888" s="1003"/>
      <c r="F888" s="1003" t="s">
        <v>227</v>
      </c>
      <c r="G888" s="1004"/>
      <c r="H888" s="1003" t="s">
        <v>1939</v>
      </c>
      <c r="I888" s="1005" t="s">
        <v>1940</v>
      </c>
      <c r="J888" s="1"/>
      <c r="K888" s="1"/>
      <c r="L888"/>
      <c r="M888" s="1"/>
      <c r="N888" s="1"/>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row>
    <row r="889" spans="1:96" ht="12.75" customHeight="1" outlineLevel="2" x14ac:dyDescent="0.2">
      <c r="A889"/>
      <c r="B889" s="1395"/>
      <c r="C889" s="1002"/>
      <c r="D889" s="1003"/>
      <c r="E889" s="1003"/>
      <c r="F889" s="1003" t="s">
        <v>228</v>
      </c>
      <c r="G889" s="1004"/>
      <c r="H889" s="1003" t="s">
        <v>239</v>
      </c>
      <c r="I889" s="1005" t="s">
        <v>245</v>
      </c>
      <c r="J889" s="1"/>
      <c r="K889" s="1"/>
      <c r="L889"/>
      <c r="M889" s="1"/>
      <c r="N889" s="1"/>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row>
    <row r="890" spans="1:96" ht="12.75" customHeight="1" outlineLevel="2" x14ac:dyDescent="0.2">
      <c r="A890"/>
      <c r="B890" s="1395"/>
      <c r="C890" s="1002"/>
      <c r="D890" s="1003"/>
      <c r="E890" s="1003"/>
      <c r="F890" s="1003" t="s">
        <v>229</v>
      </c>
      <c r="G890" s="1004"/>
      <c r="H890" s="1003" t="s">
        <v>1941</v>
      </c>
      <c r="I890" s="1005" t="s">
        <v>1942</v>
      </c>
      <c r="J890" s="1"/>
      <c r="K890" s="1"/>
      <c r="L890"/>
      <c r="M890" s="1"/>
      <c r="N890" s="1"/>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row>
    <row r="891" spans="1:96" ht="12.75" customHeight="1" outlineLevel="2" x14ac:dyDescent="0.2">
      <c r="A891"/>
      <c r="B891" s="1395"/>
      <c r="C891" s="1002"/>
      <c r="D891" s="1003"/>
      <c r="E891" s="1003"/>
      <c r="F891" s="1003" t="s">
        <v>230</v>
      </c>
      <c r="G891" s="1004"/>
      <c r="H891" s="1003"/>
      <c r="I891" s="1005"/>
      <c r="J891" s="1"/>
      <c r="K891" s="1"/>
      <c r="L891"/>
      <c r="M891" s="1"/>
      <c r="N891" s="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row>
    <row r="892" spans="1:96" ht="12.75" customHeight="1" outlineLevel="2" x14ac:dyDescent="0.2">
      <c r="A892"/>
      <c r="B892" s="1395"/>
      <c r="C892" s="1002"/>
      <c r="D892" s="1003"/>
      <c r="E892" s="1003"/>
      <c r="F892" s="1003" t="s">
        <v>231</v>
      </c>
      <c r="G892" s="1004"/>
      <c r="H892" s="1003"/>
      <c r="I892" s="1005"/>
      <c r="J892" s="1"/>
      <c r="K892" s="1"/>
      <c r="L892"/>
      <c r="M892" s="1"/>
      <c r="N892" s="1"/>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row>
    <row r="893" spans="1:96" ht="12.75" customHeight="1" outlineLevel="2" x14ac:dyDescent="0.2">
      <c r="A893"/>
      <c r="B893" s="1395"/>
      <c r="C893" s="1002"/>
      <c r="D893" s="1003"/>
      <c r="E893" s="1003"/>
      <c r="F893" s="1003" t="s">
        <v>232</v>
      </c>
      <c r="G893" s="1004"/>
      <c r="H893" s="1003"/>
      <c r="I893" s="1005"/>
      <c r="J893" s="1"/>
      <c r="K893" s="1"/>
      <c r="L893"/>
      <c r="M893" s="1"/>
      <c r="N893" s="1"/>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row>
    <row r="894" spans="1:96" ht="12.75" customHeight="1" outlineLevel="2" x14ac:dyDescent="0.2">
      <c r="A894"/>
      <c r="B894" s="1395"/>
      <c r="C894" s="1002"/>
      <c r="D894" s="1003"/>
      <c r="E894" s="1003"/>
      <c r="F894" s="1003" t="s">
        <v>233</v>
      </c>
      <c r="G894" s="1004"/>
      <c r="H894" s="1003"/>
      <c r="I894" s="1005"/>
      <c r="J894" s="1"/>
      <c r="K894" s="1"/>
      <c r="L894"/>
      <c r="M894" s="1"/>
      <c r="N894" s="1"/>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row>
    <row r="895" spans="1:96" outlineLevel="1" x14ac:dyDescent="0.2">
      <c r="A895"/>
      <c r="B895" s="1395">
        <f>C895*1000000+D895*1000+E895</f>
        <v>21021064</v>
      </c>
      <c r="C895" s="1002">
        <v>21</v>
      </c>
      <c r="D895" s="1003">
        <v>21</v>
      </c>
      <c r="E895" s="1003">
        <v>64</v>
      </c>
      <c r="F895" s="1003" t="s">
        <v>246</v>
      </c>
      <c r="G895" s="1004"/>
      <c r="H895" s="1003" t="s">
        <v>1943</v>
      </c>
      <c r="I895" s="1005" t="s">
        <v>1944</v>
      </c>
      <c r="J895" s="1"/>
      <c r="K895" s="1"/>
      <c r="L895"/>
      <c r="M895" s="1"/>
      <c r="N895" s="1"/>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row>
    <row r="896" spans="1:96" ht="12.75" customHeight="1" outlineLevel="2" x14ac:dyDescent="0.2">
      <c r="A896"/>
      <c r="B896" s="1395"/>
      <c r="C896" s="1002"/>
      <c r="D896" s="1003"/>
      <c r="E896" s="1003"/>
      <c r="F896" s="1003" t="s">
        <v>247</v>
      </c>
      <c r="G896" s="1004"/>
      <c r="H896" s="1003" t="s">
        <v>267</v>
      </c>
      <c r="I896" s="1005" t="s">
        <v>272</v>
      </c>
      <c r="J896" s="1"/>
      <c r="K896" s="1"/>
      <c r="L896"/>
      <c r="M896" s="1"/>
      <c r="N896" s="1"/>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row>
    <row r="897" spans="1:96" ht="12.75" customHeight="1" outlineLevel="2" x14ac:dyDescent="0.2">
      <c r="A897"/>
      <c r="B897" s="1395"/>
      <c r="C897" s="1002"/>
      <c r="D897" s="1003"/>
      <c r="E897" s="1003"/>
      <c r="F897" s="1003" t="s">
        <v>248</v>
      </c>
      <c r="G897" s="1004"/>
      <c r="H897" s="1003" t="s">
        <v>1945</v>
      </c>
      <c r="I897" s="1005" t="s">
        <v>1946</v>
      </c>
      <c r="J897" s="1"/>
      <c r="K897" s="1"/>
      <c r="L897"/>
      <c r="M897" s="1"/>
      <c r="N897" s="1"/>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row>
    <row r="898" spans="1:96" ht="12.75" customHeight="1" outlineLevel="2" x14ac:dyDescent="0.2">
      <c r="A898"/>
      <c r="B898" s="1395"/>
      <c r="C898" s="1002"/>
      <c r="D898" s="1003"/>
      <c r="E898" s="1003"/>
      <c r="F898" s="1003" t="s">
        <v>249</v>
      </c>
      <c r="G898" s="1004"/>
      <c r="H898" s="1003" t="s">
        <v>1947</v>
      </c>
      <c r="I898" s="1005" t="s">
        <v>273</v>
      </c>
      <c r="J898" s="1"/>
      <c r="K898" s="1"/>
      <c r="L898"/>
      <c r="M898" s="1"/>
      <c r="N898" s="1"/>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row>
    <row r="899" spans="1:96" ht="12.75" customHeight="1" outlineLevel="2" x14ac:dyDescent="0.2">
      <c r="A899"/>
      <c r="B899" s="1395"/>
      <c r="C899" s="1002"/>
      <c r="D899" s="1003"/>
      <c r="E899" s="1003"/>
      <c r="F899" s="1003" t="s">
        <v>250</v>
      </c>
      <c r="G899" s="1004"/>
      <c r="H899" s="1003" t="s">
        <v>1917</v>
      </c>
      <c r="I899" s="1005" t="s">
        <v>1948</v>
      </c>
      <c r="J899" s="1"/>
      <c r="K899" s="1"/>
      <c r="L899"/>
      <c r="M899" s="1"/>
      <c r="N899" s="1"/>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row>
    <row r="900" spans="1:96" ht="12.75" customHeight="1" outlineLevel="2" x14ac:dyDescent="0.2">
      <c r="A900"/>
      <c r="B900" s="1395"/>
      <c r="C900" s="1002"/>
      <c r="D900" s="1003"/>
      <c r="E900" s="1003"/>
      <c r="F900" s="1003" t="s">
        <v>251</v>
      </c>
      <c r="G900" s="1004"/>
      <c r="H900" s="1003" t="s">
        <v>268</v>
      </c>
      <c r="I900" s="1005" t="s">
        <v>274</v>
      </c>
      <c r="J900" s="1"/>
      <c r="K900" s="1"/>
      <c r="L900"/>
      <c r="M900" s="1"/>
      <c r="N900" s="1"/>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row>
    <row r="901" spans="1:96" ht="12.75" customHeight="1" outlineLevel="2" x14ac:dyDescent="0.2">
      <c r="A901"/>
      <c r="B901" s="1395"/>
      <c r="C901" s="1002"/>
      <c r="D901" s="1003"/>
      <c r="E901" s="1003"/>
      <c r="F901" s="1003" t="s">
        <v>252</v>
      </c>
      <c r="G901" s="1004"/>
      <c r="H901" s="1003" t="s">
        <v>269</v>
      </c>
      <c r="I901" s="1005" t="s">
        <v>275</v>
      </c>
      <c r="J901" s="1"/>
      <c r="K901" s="1"/>
      <c r="L901"/>
      <c r="M901" s="1"/>
      <c r="N901" s="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row>
    <row r="902" spans="1:96" ht="12.75" customHeight="1" outlineLevel="2" x14ac:dyDescent="0.2">
      <c r="A902"/>
      <c r="B902" s="1395"/>
      <c r="C902" s="1002"/>
      <c r="D902" s="1003"/>
      <c r="E902" s="1003"/>
      <c r="F902" s="1003" t="s">
        <v>253</v>
      </c>
      <c r="G902" s="1004"/>
      <c r="H902" s="1003" t="s">
        <v>1918</v>
      </c>
      <c r="I902" s="1005" t="s">
        <v>1933</v>
      </c>
      <c r="J902" s="1"/>
      <c r="K902" s="1"/>
      <c r="L902"/>
      <c r="M902" s="1"/>
      <c r="N902" s="1"/>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row>
    <row r="903" spans="1:96" ht="12.75" customHeight="1" outlineLevel="2" x14ac:dyDescent="0.2">
      <c r="A903"/>
      <c r="B903" s="1395"/>
      <c r="C903" s="1002"/>
      <c r="D903" s="1003"/>
      <c r="E903" s="1003"/>
      <c r="F903" s="1003" t="s">
        <v>254</v>
      </c>
      <c r="G903" s="1004"/>
      <c r="H903" s="1003" t="s">
        <v>1919</v>
      </c>
      <c r="I903" s="1005" t="s">
        <v>1949</v>
      </c>
      <c r="J903" s="1"/>
      <c r="K903" s="1"/>
      <c r="L903"/>
      <c r="M903" s="1"/>
      <c r="N903" s="1"/>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row>
    <row r="904" spans="1:96" ht="12.75" customHeight="1" outlineLevel="2" x14ac:dyDescent="0.2">
      <c r="A904"/>
      <c r="B904" s="1395"/>
      <c r="C904" s="1002"/>
      <c r="D904" s="1003"/>
      <c r="E904" s="1003"/>
      <c r="F904" s="1003" t="s">
        <v>255</v>
      </c>
      <c r="G904" s="1004"/>
      <c r="H904" s="1003" t="s">
        <v>270</v>
      </c>
      <c r="I904" s="1005" t="s">
        <v>276</v>
      </c>
      <c r="J904" s="1"/>
      <c r="K904" s="1"/>
      <c r="L904"/>
      <c r="M904" s="1"/>
      <c r="N904" s="1"/>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row>
    <row r="905" spans="1:96" ht="12.75" customHeight="1" outlineLevel="2" x14ac:dyDescent="0.2">
      <c r="A905"/>
      <c r="B905" s="1395"/>
      <c r="C905" s="1002"/>
      <c r="D905" s="1003"/>
      <c r="E905" s="1003"/>
      <c r="F905" s="1003" t="s">
        <v>256</v>
      </c>
      <c r="G905" s="1004"/>
      <c r="H905" s="1003" t="s">
        <v>1950</v>
      </c>
      <c r="I905" s="1005" t="s">
        <v>277</v>
      </c>
      <c r="J905" s="1"/>
      <c r="K905" s="1"/>
      <c r="L905"/>
      <c r="M905" s="1"/>
      <c r="N905" s="1"/>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row>
    <row r="906" spans="1:96" ht="12.75" customHeight="1" outlineLevel="2" x14ac:dyDescent="0.2">
      <c r="A906"/>
      <c r="B906" s="1395"/>
      <c r="C906" s="1002"/>
      <c r="D906" s="1003"/>
      <c r="E906" s="1003"/>
      <c r="F906" s="1003" t="s">
        <v>257</v>
      </c>
      <c r="G906" s="1004"/>
      <c r="H906" s="1003" t="s">
        <v>1921</v>
      </c>
      <c r="I906" s="1005" t="s">
        <v>1936</v>
      </c>
      <c r="J906" s="1"/>
      <c r="K906" s="1"/>
      <c r="L906"/>
      <c r="M906" s="1"/>
      <c r="N906" s="1"/>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row>
    <row r="907" spans="1:96" ht="12.75" customHeight="1" outlineLevel="2" x14ac:dyDescent="0.2">
      <c r="A907"/>
      <c r="B907" s="1395"/>
      <c r="C907" s="1002"/>
      <c r="D907" s="1003"/>
      <c r="E907" s="1003"/>
      <c r="F907" s="1003" t="s">
        <v>258</v>
      </c>
      <c r="G907" s="1004"/>
      <c r="H907" s="1003" t="s">
        <v>1922</v>
      </c>
      <c r="I907" s="1005" t="s">
        <v>1951</v>
      </c>
      <c r="J907" s="1"/>
      <c r="K907" s="1"/>
      <c r="L907"/>
      <c r="M907" s="1"/>
      <c r="N907" s="1"/>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row>
    <row r="908" spans="1:96" ht="12.75" customHeight="1" outlineLevel="2" x14ac:dyDescent="0.2">
      <c r="A908"/>
      <c r="B908" s="1395"/>
      <c r="C908" s="1002"/>
      <c r="D908" s="1003"/>
      <c r="E908" s="1003"/>
      <c r="F908" s="1003" t="s">
        <v>259</v>
      </c>
      <c r="G908" s="1004"/>
      <c r="H908" s="1003" t="s">
        <v>1952</v>
      </c>
      <c r="I908" s="1005" t="s">
        <v>1953</v>
      </c>
      <c r="J908" s="1"/>
      <c r="K908" s="1"/>
      <c r="L908"/>
      <c r="M908" s="1"/>
      <c r="N908" s="1"/>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row>
    <row r="909" spans="1:96" ht="12.75" customHeight="1" outlineLevel="2" x14ac:dyDescent="0.2">
      <c r="A909"/>
      <c r="B909" s="1395"/>
      <c r="C909" s="1002"/>
      <c r="D909" s="1003"/>
      <c r="E909" s="1003"/>
      <c r="F909" s="1003" t="s">
        <v>260</v>
      </c>
      <c r="G909" s="1004"/>
      <c r="H909" s="1003" t="s">
        <v>271</v>
      </c>
      <c r="I909" s="1005" t="s">
        <v>278</v>
      </c>
      <c r="J909" s="1"/>
      <c r="K909" s="1"/>
      <c r="L909"/>
      <c r="M909" s="1"/>
      <c r="N909" s="1"/>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row>
    <row r="910" spans="1:96" ht="12.75" customHeight="1" outlineLevel="2" x14ac:dyDescent="0.2">
      <c r="A910"/>
      <c r="B910" s="1395"/>
      <c r="C910" s="1002"/>
      <c r="D910" s="1003"/>
      <c r="E910" s="1003"/>
      <c r="F910" s="1003" t="s">
        <v>261</v>
      </c>
      <c r="G910" s="1004"/>
      <c r="H910" s="1003" t="s">
        <v>1941</v>
      </c>
      <c r="I910" s="1005" t="s">
        <v>1942</v>
      </c>
      <c r="J910" s="1"/>
      <c r="K910" s="1"/>
      <c r="L910"/>
      <c r="M910" s="1"/>
      <c r="N910" s="1"/>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row>
    <row r="911" spans="1:96" ht="12.75" customHeight="1" outlineLevel="2" x14ac:dyDescent="0.2">
      <c r="A911"/>
      <c r="B911" s="1395"/>
      <c r="C911" s="1002"/>
      <c r="D911" s="1003"/>
      <c r="E911" s="1003"/>
      <c r="F911" s="1003" t="s">
        <v>262</v>
      </c>
      <c r="G911" s="1004"/>
      <c r="H911" s="1003"/>
      <c r="I911" s="1005"/>
      <c r="J911" s="1"/>
      <c r="K911" s="1"/>
      <c r="L911"/>
      <c r="M911" s="1"/>
      <c r="N911" s="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row>
    <row r="912" spans="1:96" ht="12.75" customHeight="1" outlineLevel="2" x14ac:dyDescent="0.2">
      <c r="A912"/>
      <c r="B912" s="1395"/>
      <c r="C912" s="1002"/>
      <c r="D912" s="1003"/>
      <c r="E912" s="1003"/>
      <c r="F912" s="1003" t="s">
        <v>263</v>
      </c>
      <c r="G912" s="1004"/>
      <c r="H912" s="1003"/>
      <c r="I912" s="1005"/>
      <c r="J912" s="1"/>
      <c r="K912" s="1"/>
      <c r="L912"/>
      <c r="M912" s="1"/>
      <c r="N912" s="1"/>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row>
    <row r="913" spans="1:96" ht="12.75" customHeight="1" outlineLevel="2" x14ac:dyDescent="0.2">
      <c r="A913"/>
      <c r="B913" s="1395"/>
      <c r="C913" s="1002"/>
      <c r="D913" s="1003"/>
      <c r="E913" s="1003"/>
      <c r="F913" s="1003" t="s">
        <v>264</v>
      </c>
      <c r="G913" s="1004"/>
      <c r="H913" s="1003"/>
      <c r="I913" s="1005"/>
      <c r="J913" s="1"/>
      <c r="K913" s="1"/>
      <c r="L913"/>
      <c r="M913" s="1"/>
      <c r="N913" s="1"/>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row>
    <row r="914" spans="1:96" ht="12.75" customHeight="1" outlineLevel="2" x14ac:dyDescent="0.2">
      <c r="A914"/>
      <c r="B914" s="1395"/>
      <c r="C914" s="1002"/>
      <c r="D914" s="1003"/>
      <c r="E914" s="1003"/>
      <c r="F914" s="1003" t="s">
        <v>265</v>
      </c>
      <c r="G914" s="1004"/>
      <c r="H914" s="1003"/>
      <c r="I914" s="1005"/>
      <c r="J914" s="1"/>
      <c r="K914" s="1"/>
      <c r="L914"/>
      <c r="M914" s="1"/>
      <c r="N914" s="1"/>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row>
    <row r="915" spans="1:96" ht="12.75" customHeight="1" outlineLevel="2" x14ac:dyDescent="0.2">
      <c r="A915"/>
      <c r="B915" s="1395"/>
      <c r="C915" s="1002"/>
      <c r="D915" s="1003"/>
      <c r="E915" s="1003"/>
      <c r="F915" s="1003" t="s">
        <v>266</v>
      </c>
      <c r="G915" s="1004"/>
      <c r="H915" s="1003"/>
      <c r="I915" s="1005"/>
      <c r="J915" s="1"/>
      <c r="K915" s="1"/>
      <c r="L915"/>
      <c r="M915" s="1"/>
      <c r="N915" s="1"/>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row>
    <row r="916" spans="1:96" outlineLevel="1" x14ac:dyDescent="0.2">
      <c r="A916"/>
      <c r="B916" s="1395">
        <f>C916*1000000+D916*1000+E916</f>
        <v>22022064</v>
      </c>
      <c r="C916" s="1002">
        <v>22</v>
      </c>
      <c r="D916" s="1003">
        <v>22</v>
      </c>
      <c r="E916" s="1003">
        <v>64</v>
      </c>
      <c r="F916" s="1003" t="s">
        <v>1439</v>
      </c>
      <c r="G916" s="1004"/>
      <c r="H916" s="1003" t="s">
        <v>1943</v>
      </c>
      <c r="I916" s="1005" t="s">
        <v>1944</v>
      </c>
      <c r="J916" s="1"/>
      <c r="K916" s="1"/>
      <c r="L916"/>
      <c r="M916" s="1"/>
      <c r="N916" s="1"/>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row>
    <row r="917" spans="1:96" ht="12.75" customHeight="1" outlineLevel="2" x14ac:dyDescent="0.2">
      <c r="A917"/>
      <c r="B917" s="1395"/>
      <c r="C917" s="1002"/>
      <c r="D917" s="1003"/>
      <c r="E917" s="1003"/>
      <c r="F917" s="1003" t="s">
        <v>1440</v>
      </c>
      <c r="G917" s="1004"/>
      <c r="H917" s="1003" t="s">
        <v>299</v>
      </c>
      <c r="I917" s="1005" t="s">
        <v>304</v>
      </c>
      <c r="J917" s="1"/>
      <c r="K917" s="1"/>
      <c r="L917"/>
      <c r="M917" s="1"/>
      <c r="N917" s="1"/>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row>
    <row r="918" spans="1:96" ht="12.75" customHeight="1" outlineLevel="2" x14ac:dyDescent="0.2">
      <c r="A918"/>
      <c r="B918" s="1395"/>
      <c r="C918" s="1002"/>
      <c r="D918" s="1003"/>
      <c r="E918" s="1003"/>
      <c r="F918" s="1003" t="s">
        <v>279</v>
      </c>
      <c r="G918" s="1004"/>
      <c r="H918" s="1003" t="s">
        <v>1954</v>
      </c>
      <c r="I918" s="1005" t="s">
        <v>1955</v>
      </c>
      <c r="J918" s="1"/>
      <c r="K918" s="1"/>
      <c r="L918"/>
      <c r="M918" s="1"/>
      <c r="N918" s="1"/>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row>
    <row r="919" spans="1:96" ht="12.75" customHeight="1" outlineLevel="2" x14ac:dyDescent="0.2">
      <c r="A919"/>
      <c r="B919" s="1395"/>
      <c r="C919" s="1002"/>
      <c r="D919" s="1003"/>
      <c r="E919" s="1003"/>
      <c r="F919" s="1003" t="s">
        <v>280</v>
      </c>
      <c r="G919" s="1004"/>
      <c r="H919" s="1003" t="s">
        <v>1956</v>
      </c>
      <c r="I919" s="1005" t="s">
        <v>1957</v>
      </c>
      <c r="J919" s="1"/>
      <c r="K919" s="1"/>
      <c r="L919"/>
      <c r="M919" s="1"/>
      <c r="N919" s="1"/>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row>
    <row r="920" spans="1:96" ht="12.75" customHeight="1" outlineLevel="2" x14ac:dyDescent="0.2">
      <c r="A920"/>
      <c r="B920" s="1395"/>
      <c r="C920" s="1002"/>
      <c r="D920" s="1003"/>
      <c r="E920" s="1003"/>
      <c r="F920" s="1003" t="s">
        <v>281</v>
      </c>
      <c r="G920" s="1004"/>
      <c r="H920" s="1003" t="s">
        <v>1917</v>
      </c>
      <c r="I920" s="1005" t="s">
        <v>1958</v>
      </c>
      <c r="J920" s="1"/>
      <c r="K920" s="1"/>
      <c r="L920"/>
      <c r="M920" s="1"/>
      <c r="N920" s="1"/>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row>
    <row r="921" spans="1:96" ht="12.75" customHeight="1" outlineLevel="2" x14ac:dyDescent="0.2">
      <c r="A921"/>
      <c r="B921" s="1395"/>
      <c r="C921" s="1002"/>
      <c r="D921" s="1003"/>
      <c r="E921" s="1003"/>
      <c r="F921" s="1003" t="s">
        <v>282</v>
      </c>
      <c r="G921" s="1004"/>
      <c r="H921" s="1003" t="s">
        <v>300</v>
      </c>
      <c r="I921" s="1005" t="s">
        <v>1959</v>
      </c>
      <c r="J921" s="1"/>
      <c r="K921" s="1"/>
      <c r="L921"/>
      <c r="M921" s="1"/>
      <c r="N921" s="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row>
    <row r="922" spans="1:96" ht="12.75" customHeight="1" outlineLevel="2" x14ac:dyDescent="0.2">
      <c r="A922"/>
      <c r="B922" s="1395"/>
      <c r="C922" s="1002"/>
      <c r="D922" s="1003"/>
      <c r="E922" s="1003"/>
      <c r="F922" s="1003" t="s">
        <v>283</v>
      </c>
      <c r="G922" s="1004"/>
      <c r="H922" s="1003" t="s">
        <v>301</v>
      </c>
      <c r="I922" s="1005" t="s">
        <v>305</v>
      </c>
      <c r="J922" s="1"/>
      <c r="K922" s="1"/>
      <c r="L922"/>
      <c r="M922" s="1"/>
      <c r="N922" s="1"/>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row>
    <row r="923" spans="1:96" ht="12.75" customHeight="1" outlineLevel="2" x14ac:dyDescent="0.2">
      <c r="A923"/>
      <c r="B923" s="1395"/>
      <c r="C923" s="1002"/>
      <c r="D923" s="1003"/>
      <c r="E923" s="1003"/>
      <c r="F923" s="1003" t="s">
        <v>284</v>
      </c>
      <c r="G923" s="1004"/>
      <c r="H923" s="1003" t="s">
        <v>1960</v>
      </c>
      <c r="I923" s="1005" t="s">
        <v>1961</v>
      </c>
      <c r="J923" s="1"/>
      <c r="K923" s="1"/>
      <c r="L923"/>
      <c r="M923" s="1"/>
      <c r="N923" s="1"/>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row>
    <row r="924" spans="1:96" ht="12.75" customHeight="1" outlineLevel="2" x14ac:dyDescent="0.2">
      <c r="A924"/>
      <c r="B924" s="1395"/>
      <c r="C924" s="1002"/>
      <c r="D924" s="1003"/>
      <c r="E924" s="1003"/>
      <c r="F924" s="1003" t="s">
        <v>285</v>
      </c>
      <c r="G924" s="1004"/>
      <c r="H924" s="1003" t="s">
        <v>1919</v>
      </c>
      <c r="I924" s="1005" t="s">
        <v>1949</v>
      </c>
      <c r="J924" s="1"/>
      <c r="K924" s="1"/>
      <c r="L924"/>
      <c r="M924" s="1"/>
      <c r="N924" s="1"/>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row>
    <row r="925" spans="1:96" ht="12.75" customHeight="1" outlineLevel="2" x14ac:dyDescent="0.2">
      <c r="A925"/>
      <c r="B925" s="1395"/>
      <c r="C925" s="1002"/>
      <c r="D925" s="1003"/>
      <c r="E925" s="1003"/>
      <c r="F925" s="1003" t="s">
        <v>286</v>
      </c>
      <c r="G925" s="1004"/>
      <c r="H925" s="1003" t="s">
        <v>302</v>
      </c>
      <c r="I925" s="1005" t="s">
        <v>306</v>
      </c>
      <c r="J925" s="1"/>
      <c r="K925" s="1"/>
      <c r="L925"/>
      <c r="M925" s="1"/>
      <c r="N925" s="1"/>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row>
    <row r="926" spans="1:96" ht="12.75" customHeight="1" outlineLevel="2" x14ac:dyDescent="0.2">
      <c r="A926"/>
      <c r="B926" s="1395"/>
      <c r="C926" s="1002"/>
      <c r="D926" s="1003"/>
      <c r="E926" s="1003"/>
      <c r="F926" s="1003" t="s">
        <v>287</v>
      </c>
      <c r="G926" s="1004"/>
      <c r="H926" s="1003" t="s">
        <v>1962</v>
      </c>
      <c r="I926" s="1005" t="s">
        <v>307</v>
      </c>
      <c r="J926" s="1"/>
      <c r="K926" s="1"/>
      <c r="L926"/>
      <c r="M926" s="1"/>
      <c r="N926" s="1"/>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row>
    <row r="927" spans="1:96" ht="12.75" customHeight="1" outlineLevel="2" x14ac:dyDescent="0.2">
      <c r="A927"/>
      <c r="B927" s="1395"/>
      <c r="C927" s="1002"/>
      <c r="D927" s="1003"/>
      <c r="E927" s="1003"/>
      <c r="F927" s="1003" t="s">
        <v>288</v>
      </c>
      <c r="G927" s="1004"/>
      <c r="H927" s="1003" t="s">
        <v>1963</v>
      </c>
      <c r="I927" s="1005" t="s">
        <v>1964</v>
      </c>
      <c r="J927" s="1"/>
      <c r="K927" s="1"/>
      <c r="L927"/>
      <c r="M927" s="1"/>
      <c r="N927" s="1"/>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row>
    <row r="928" spans="1:96" ht="12.75" customHeight="1" outlineLevel="2" x14ac:dyDescent="0.2">
      <c r="A928"/>
      <c r="B928" s="1395"/>
      <c r="C928" s="1002"/>
      <c r="D928" s="1003"/>
      <c r="E928" s="1003"/>
      <c r="F928" s="1003" t="s">
        <v>289</v>
      </c>
      <c r="G928" s="1004"/>
      <c r="H928" s="1003" t="s">
        <v>1965</v>
      </c>
      <c r="I928" s="1005" t="s">
        <v>1966</v>
      </c>
      <c r="J928" s="1"/>
      <c r="K928" s="1"/>
      <c r="L928"/>
      <c r="M928" s="1"/>
      <c r="N928" s="1"/>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row>
    <row r="929" spans="1:96" ht="12.75" customHeight="1" outlineLevel="2" x14ac:dyDescent="0.2">
      <c r="A929"/>
      <c r="B929" s="1395"/>
      <c r="C929" s="1002"/>
      <c r="D929" s="1003"/>
      <c r="E929" s="1003"/>
      <c r="F929" s="1003" t="s">
        <v>290</v>
      </c>
      <c r="G929" s="1004"/>
      <c r="H929" s="1003" t="s">
        <v>1967</v>
      </c>
      <c r="I929" s="1005" t="s">
        <v>1968</v>
      </c>
      <c r="J929" s="1"/>
      <c r="K929" s="1"/>
      <c r="L929"/>
      <c r="M929" s="1"/>
      <c r="N929" s="1"/>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row>
    <row r="930" spans="1:96" ht="12.75" customHeight="1" outlineLevel="2" x14ac:dyDescent="0.2">
      <c r="A930"/>
      <c r="B930" s="1395"/>
      <c r="C930" s="1002"/>
      <c r="D930" s="1003"/>
      <c r="E930" s="1003"/>
      <c r="F930" s="1003" t="s">
        <v>291</v>
      </c>
      <c r="G930" s="1004"/>
      <c r="H930" s="1003" t="s">
        <v>303</v>
      </c>
      <c r="I930" s="1005" t="s">
        <v>308</v>
      </c>
      <c r="J930" s="1"/>
      <c r="K930" s="1"/>
      <c r="L930"/>
      <c r="M930" s="1"/>
      <c r="N930" s="1"/>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row>
    <row r="931" spans="1:96" ht="12.75" customHeight="1" outlineLevel="2" x14ac:dyDescent="0.2">
      <c r="A931"/>
      <c r="B931" s="1395"/>
      <c r="C931" s="1002"/>
      <c r="D931" s="1003"/>
      <c r="E931" s="1003"/>
      <c r="F931" s="1003" t="s">
        <v>292</v>
      </c>
      <c r="G931" s="1004"/>
      <c r="H931" s="1003" t="s">
        <v>1969</v>
      </c>
      <c r="I931" s="1005" t="s">
        <v>1970</v>
      </c>
      <c r="J931" s="1"/>
      <c r="K931" s="1"/>
      <c r="L931"/>
      <c r="M931" s="1"/>
      <c r="N931" s="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row>
    <row r="932" spans="1:96" ht="12.75" customHeight="1" outlineLevel="2" x14ac:dyDescent="0.2">
      <c r="A932"/>
      <c r="B932" s="1395"/>
      <c r="C932" s="1002"/>
      <c r="D932" s="1003"/>
      <c r="E932" s="1003"/>
      <c r="F932" s="1003" t="s">
        <v>293</v>
      </c>
      <c r="G932" s="1004"/>
      <c r="H932" s="1003"/>
      <c r="I932" s="1005"/>
      <c r="J932" s="1"/>
      <c r="K932" s="1"/>
      <c r="L932"/>
      <c r="M932" s="1"/>
      <c r="N932" s="1"/>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row>
    <row r="933" spans="1:96" ht="12.75" customHeight="1" outlineLevel="2" x14ac:dyDescent="0.2">
      <c r="A933"/>
      <c r="B933" s="1395"/>
      <c r="C933" s="1002"/>
      <c r="D933" s="1003"/>
      <c r="E933" s="1003"/>
      <c r="F933" s="1003" t="s">
        <v>294</v>
      </c>
      <c r="G933" s="1004"/>
      <c r="H933" s="1003"/>
      <c r="I933" s="1005"/>
      <c r="J933" s="1"/>
      <c r="K933" s="1"/>
      <c r="L933"/>
      <c r="M933" s="1"/>
      <c r="N933" s="1"/>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row>
    <row r="934" spans="1:96" ht="12.75" customHeight="1" outlineLevel="2" x14ac:dyDescent="0.2">
      <c r="A934"/>
      <c r="B934" s="1395"/>
      <c r="C934" s="1002"/>
      <c r="D934" s="1003"/>
      <c r="E934" s="1003"/>
      <c r="F934" s="1003" t="s">
        <v>295</v>
      </c>
      <c r="G934" s="1004"/>
      <c r="H934" s="1003"/>
      <c r="I934" s="1005"/>
      <c r="J934" s="1"/>
      <c r="K934" s="1"/>
      <c r="L934"/>
      <c r="M934" s="1"/>
      <c r="N934" s="1"/>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row>
    <row r="935" spans="1:96" ht="12.75" customHeight="1" outlineLevel="2" x14ac:dyDescent="0.2">
      <c r="A935"/>
      <c r="B935" s="1395"/>
      <c r="C935" s="1002"/>
      <c r="D935" s="1003"/>
      <c r="E935" s="1003"/>
      <c r="F935" s="1003" t="s">
        <v>296</v>
      </c>
      <c r="G935" s="1004"/>
      <c r="H935" s="1003"/>
      <c r="I935" s="1005"/>
      <c r="J935" s="1"/>
      <c r="K935" s="1"/>
      <c r="L935"/>
      <c r="M935" s="1"/>
      <c r="N935" s="1"/>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row>
    <row r="936" spans="1:96" ht="12.75" customHeight="1" outlineLevel="2" x14ac:dyDescent="0.2">
      <c r="A936"/>
      <c r="B936" s="1395"/>
      <c r="C936" s="1002"/>
      <c r="D936" s="1003"/>
      <c r="E936" s="1003"/>
      <c r="F936" s="1003" t="s">
        <v>297</v>
      </c>
      <c r="G936" s="1004"/>
      <c r="H936" s="1003"/>
      <c r="I936" s="1005"/>
      <c r="J936" s="1"/>
      <c r="K936" s="1"/>
      <c r="L936"/>
      <c r="M936" s="1"/>
      <c r="N936" s="1"/>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row>
    <row r="937" spans="1:96" ht="12.75" customHeight="1" outlineLevel="2" x14ac:dyDescent="0.2">
      <c r="A937"/>
      <c r="B937" s="1395"/>
      <c r="C937" s="1002"/>
      <c r="D937" s="1003"/>
      <c r="E937" s="1003"/>
      <c r="F937" s="1003" t="s">
        <v>298</v>
      </c>
      <c r="G937" s="1004"/>
      <c r="H937" s="1003"/>
      <c r="I937" s="1005"/>
      <c r="J937" s="1"/>
      <c r="K937" s="1"/>
      <c r="L937"/>
      <c r="M937" s="1"/>
      <c r="N937" s="1"/>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row>
    <row r="938" spans="1:96" outlineLevel="1" x14ac:dyDescent="0.2">
      <c r="A938"/>
      <c r="B938" s="1395">
        <f>C938*1000000+D938*1000+E938</f>
        <v>23023064</v>
      </c>
      <c r="C938" s="1002">
        <v>23</v>
      </c>
      <c r="D938" s="1003">
        <v>23</v>
      </c>
      <c r="E938" s="1003">
        <v>64</v>
      </c>
      <c r="F938" s="1003" t="s">
        <v>309</v>
      </c>
      <c r="G938" s="1004"/>
      <c r="H938" s="1003" t="s">
        <v>1971</v>
      </c>
      <c r="I938" s="1005" t="s">
        <v>1972</v>
      </c>
      <c r="J938" s="1"/>
      <c r="K938" s="1"/>
      <c r="L938"/>
      <c r="M938" s="1"/>
      <c r="N938" s="1"/>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row>
    <row r="939" spans="1:96" ht="12.75" customHeight="1" outlineLevel="2" x14ac:dyDescent="0.2">
      <c r="A939"/>
      <c r="B939" s="1395"/>
      <c r="C939" s="1002"/>
      <c r="D939" s="1003"/>
      <c r="E939" s="1003"/>
      <c r="F939" s="1003" t="s">
        <v>310</v>
      </c>
      <c r="G939" s="1004"/>
      <c r="H939" s="1003" t="s">
        <v>332</v>
      </c>
      <c r="I939" s="1005" t="s">
        <v>338</v>
      </c>
      <c r="J939" s="1"/>
      <c r="K939" s="1"/>
      <c r="L939"/>
      <c r="M939" s="1"/>
      <c r="N939" s="1"/>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row>
    <row r="940" spans="1:96" ht="12.75" customHeight="1" outlineLevel="2" x14ac:dyDescent="0.2">
      <c r="A940"/>
      <c r="B940" s="1395"/>
      <c r="C940" s="1002"/>
      <c r="D940" s="1003"/>
      <c r="E940" s="1003"/>
      <c r="F940" s="1003" t="s">
        <v>311</v>
      </c>
      <c r="G940" s="1004"/>
      <c r="H940" s="1003" t="s">
        <v>1973</v>
      </c>
      <c r="I940" s="1005" t="s">
        <v>1974</v>
      </c>
      <c r="J940" s="1"/>
      <c r="K940" s="1"/>
      <c r="L940"/>
      <c r="M940" s="1"/>
      <c r="N940" s="1"/>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row>
    <row r="941" spans="1:96" ht="12.75" customHeight="1" outlineLevel="2" x14ac:dyDescent="0.2">
      <c r="A941"/>
      <c r="B941" s="1395"/>
      <c r="C941" s="1002"/>
      <c r="D941" s="1003"/>
      <c r="E941" s="1003"/>
      <c r="F941" s="1003" t="s">
        <v>312</v>
      </c>
      <c r="G941" s="1004"/>
      <c r="H941" s="1003" t="s">
        <v>1975</v>
      </c>
      <c r="I941" s="1005" t="s">
        <v>1976</v>
      </c>
      <c r="J941" s="1"/>
      <c r="K941" s="1"/>
      <c r="L941"/>
      <c r="M941" s="1"/>
      <c r="N941" s="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row>
    <row r="942" spans="1:96" ht="12.75" customHeight="1" outlineLevel="2" x14ac:dyDescent="0.2">
      <c r="A942"/>
      <c r="B942" s="1395"/>
      <c r="C942" s="1002"/>
      <c r="D942" s="1003"/>
      <c r="E942" s="1003"/>
      <c r="F942" s="1003" t="s">
        <v>313</v>
      </c>
      <c r="G942" s="1004"/>
      <c r="H942" s="1003" t="s">
        <v>1977</v>
      </c>
      <c r="I942" s="1005" t="s">
        <v>1978</v>
      </c>
      <c r="J942" s="1"/>
      <c r="K942" s="1"/>
      <c r="L942"/>
      <c r="M942" s="1"/>
      <c r="N942" s="1"/>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row>
    <row r="943" spans="1:96" ht="12.75" customHeight="1" outlineLevel="2" x14ac:dyDescent="0.2">
      <c r="A943"/>
      <c r="B943" s="1395"/>
      <c r="C943" s="1002"/>
      <c r="D943" s="1003"/>
      <c r="E943" s="1003"/>
      <c r="F943" s="1003" t="s">
        <v>314</v>
      </c>
      <c r="G943" s="1004"/>
      <c r="H943" s="1003" t="s">
        <v>333</v>
      </c>
      <c r="I943" s="1005" t="s">
        <v>1979</v>
      </c>
      <c r="J943" s="1"/>
      <c r="K943" s="1"/>
      <c r="L943"/>
      <c r="M943" s="1"/>
      <c r="N943" s="1"/>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row>
    <row r="944" spans="1:96" ht="12.75" customHeight="1" outlineLevel="2" x14ac:dyDescent="0.2">
      <c r="A944"/>
      <c r="B944" s="1395"/>
      <c r="C944" s="1002"/>
      <c r="D944" s="1003"/>
      <c r="E944" s="1003"/>
      <c r="F944" s="1003" t="s">
        <v>315</v>
      </c>
      <c r="G944" s="1004"/>
      <c r="H944" s="1003" t="s">
        <v>334</v>
      </c>
      <c r="I944" s="1005" t="s">
        <v>339</v>
      </c>
      <c r="J944" s="1"/>
      <c r="K944" s="1"/>
      <c r="L944"/>
      <c r="M944" s="1"/>
      <c r="N944" s="1"/>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row>
    <row r="945" spans="1:96" ht="12.75" customHeight="1" outlineLevel="2" x14ac:dyDescent="0.2">
      <c r="A945"/>
      <c r="B945" s="1395"/>
      <c r="C945" s="1002"/>
      <c r="D945" s="1003"/>
      <c r="E945" s="1003"/>
      <c r="F945" s="1003" t="s">
        <v>316</v>
      </c>
      <c r="G945" s="1004"/>
      <c r="H945" s="1003" t="s">
        <v>1980</v>
      </c>
      <c r="I945" s="1005" t="s">
        <v>1961</v>
      </c>
      <c r="J945" s="1"/>
      <c r="K945" s="1"/>
      <c r="L945"/>
      <c r="M945" s="1"/>
      <c r="N945" s="1"/>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row>
    <row r="946" spans="1:96" ht="12.75" customHeight="1" outlineLevel="2" x14ac:dyDescent="0.2">
      <c r="A946"/>
      <c r="B946" s="1395"/>
      <c r="C946" s="1002"/>
      <c r="D946" s="1003"/>
      <c r="E946" s="1003"/>
      <c r="F946" s="1003" t="s">
        <v>317</v>
      </c>
      <c r="G946" s="1004"/>
      <c r="H946" s="1003" t="s">
        <v>1981</v>
      </c>
      <c r="I946" s="1005" t="s">
        <v>1949</v>
      </c>
      <c r="J946" s="1"/>
      <c r="K946" s="1"/>
      <c r="L946"/>
      <c r="M946" s="1"/>
      <c r="N946" s="1"/>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row>
    <row r="947" spans="1:96" ht="12.75" customHeight="1" outlineLevel="2" x14ac:dyDescent="0.2">
      <c r="A947"/>
      <c r="B947" s="1395"/>
      <c r="C947" s="1002"/>
      <c r="D947" s="1003"/>
      <c r="E947" s="1003"/>
      <c r="F947" s="1003" t="s">
        <v>318</v>
      </c>
      <c r="G947" s="1004"/>
      <c r="H947" s="1003" t="s">
        <v>335</v>
      </c>
      <c r="I947" s="1005" t="s">
        <v>340</v>
      </c>
      <c r="J947" s="1"/>
      <c r="K947" s="1"/>
      <c r="L947"/>
      <c r="M947" s="1"/>
      <c r="N947" s="1"/>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row>
    <row r="948" spans="1:96" ht="12.75" customHeight="1" outlineLevel="2" x14ac:dyDescent="0.2">
      <c r="A948"/>
      <c r="B948" s="1395"/>
      <c r="C948" s="1002"/>
      <c r="D948" s="1003"/>
      <c r="E948" s="1003"/>
      <c r="F948" s="1003" t="s">
        <v>319</v>
      </c>
      <c r="G948" s="1004"/>
      <c r="H948" s="1003" t="s">
        <v>1982</v>
      </c>
      <c r="I948" s="1005" t="s">
        <v>1983</v>
      </c>
      <c r="J948" s="1"/>
      <c r="K948" s="1"/>
      <c r="L948"/>
      <c r="M948" s="1"/>
      <c r="N948" s="1"/>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row>
    <row r="949" spans="1:96" ht="12.75" customHeight="1" outlineLevel="2" x14ac:dyDescent="0.2">
      <c r="A949"/>
      <c r="B949" s="1395"/>
      <c r="C949" s="1002"/>
      <c r="D949" s="1003"/>
      <c r="E949" s="1003"/>
      <c r="F949" s="1003" t="s">
        <v>320</v>
      </c>
      <c r="G949" s="1004"/>
      <c r="H949" s="1003" t="s">
        <v>1984</v>
      </c>
      <c r="I949" s="1005" t="s">
        <v>1964</v>
      </c>
      <c r="J949" s="1"/>
      <c r="K949" s="1"/>
      <c r="L949"/>
      <c r="M949" s="1"/>
      <c r="N949" s="1"/>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row>
    <row r="950" spans="1:96" ht="12.75" customHeight="1" outlineLevel="2" x14ac:dyDescent="0.2">
      <c r="A950"/>
      <c r="B950" s="1395"/>
      <c r="C950" s="1002"/>
      <c r="D950" s="1003"/>
      <c r="E950" s="1003"/>
      <c r="F950" s="1003" t="s">
        <v>321</v>
      </c>
      <c r="G950" s="1004"/>
      <c r="H950" s="1003" t="s">
        <v>1985</v>
      </c>
      <c r="I950" s="1005" t="s">
        <v>1986</v>
      </c>
      <c r="J950" s="1"/>
      <c r="K950" s="1"/>
      <c r="L950"/>
      <c r="M950" s="1"/>
      <c r="N950" s="1"/>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row>
    <row r="951" spans="1:96" ht="12.75" customHeight="1" outlineLevel="2" x14ac:dyDescent="0.2">
      <c r="A951"/>
      <c r="B951" s="1395"/>
      <c r="C951" s="1002"/>
      <c r="D951" s="1003"/>
      <c r="E951" s="1003"/>
      <c r="F951" s="1003" t="s">
        <v>322</v>
      </c>
      <c r="G951" s="1004"/>
      <c r="H951" s="1003" t="s">
        <v>1987</v>
      </c>
      <c r="I951" s="1005" t="s">
        <v>1988</v>
      </c>
      <c r="J951" s="1"/>
      <c r="K951" s="1"/>
      <c r="L951"/>
      <c r="M951" s="1"/>
      <c r="N951" s="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row>
    <row r="952" spans="1:96" ht="12.75" customHeight="1" outlineLevel="2" x14ac:dyDescent="0.2">
      <c r="A952"/>
      <c r="B952" s="1395"/>
      <c r="C952" s="1002"/>
      <c r="D952" s="1003"/>
      <c r="E952" s="1003"/>
      <c r="F952" s="1003" t="s">
        <v>323</v>
      </c>
      <c r="G952" s="1004"/>
      <c r="H952" s="1003" t="s">
        <v>336</v>
      </c>
      <c r="I952" s="1005" t="s">
        <v>341</v>
      </c>
      <c r="J952" s="1"/>
      <c r="K952" s="1"/>
      <c r="L952"/>
      <c r="M952" s="1"/>
      <c r="N952" s="1"/>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row>
    <row r="953" spans="1:96" ht="12.75" customHeight="1" outlineLevel="2" x14ac:dyDescent="0.2">
      <c r="A953"/>
      <c r="B953" s="1395"/>
      <c r="C953" s="1002"/>
      <c r="D953" s="1003"/>
      <c r="E953" s="1003"/>
      <c r="F953" s="1003" t="s">
        <v>324</v>
      </c>
      <c r="G953" s="1004"/>
      <c r="H953" s="1003" t="s">
        <v>337</v>
      </c>
      <c r="I953" s="1005" t="s">
        <v>1989</v>
      </c>
      <c r="J953" s="1"/>
      <c r="K953" s="1"/>
      <c r="L953"/>
      <c r="M953" s="1"/>
      <c r="N953" s="1"/>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row>
    <row r="954" spans="1:96" ht="12.75" customHeight="1" outlineLevel="2" x14ac:dyDescent="0.2">
      <c r="A954"/>
      <c r="B954" s="1395"/>
      <c r="C954" s="1002"/>
      <c r="D954" s="1003"/>
      <c r="E954" s="1003"/>
      <c r="F954" s="1003" t="s">
        <v>325</v>
      </c>
      <c r="G954" s="1004"/>
      <c r="H954" s="1003"/>
      <c r="I954" s="1005"/>
      <c r="J954" s="1"/>
      <c r="K954" s="1"/>
      <c r="L954"/>
      <c r="M954" s="1"/>
      <c r="N954" s="1"/>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row>
    <row r="955" spans="1:96" ht="12.75" customHeight="1" outlineLevel="2" x14ac:dyDescent="0.2">
      <c r="A955"/>
      <c r="B955" s="1395"/>
      <c r="C955" s="1002"/>
      <c r="D955" s="1003"/>
      <c r="E955" s="1003"/>
      <c r="F955" s="1003" t="s">
        <v>326</v>
      </c>
      <c r="G955" s="1004"/>
      <c r="H955" s="1003"/>
      <c r="I955" s="1005"/>
      <c r="J955" s="1"/>
      <c r="K955" s="1"/>
      <c r="L955"/>
      <c r="M955" s="1"/>
      <c r="N955" s="1"/>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row>
    <row r="956" spans="1:96" ht="12.75" customHeight="1" outlineLevel="2" x14ac:dyDescent="0.2">
      <c r="A956"/>
      <c r="B956" s="1395"/>
      <c r="C956" s="1002"/>
      <c r="D956" s="1003"/>
      <c r="E956" s="1003"/>
      <c r="F956" s="1003" t="s">
        <v>327</v>
      </c>
      <c r="G956" s="1004"/>
      <c r="H956" s="1003"/>
      <c r="I956" s="1005"/>
      <c r="J956" s="1"/>
      <c r="K956" s="1"/>
      <c r="L956"/>
      <c r="M956" s="1"/>
      <c r="N956" s="1"/>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row>
    <row r="957" spans="1:96" ht="12.75" customHeight="1" outlineLevel="2" x14ac:dyDescent="0.2">
      <c r="A957"/>
      <c r="B957" s="1395"/>
      <c r="C957" s="1002"/>
      <c r="D957" s="1003"/>
      <c r="E957" s="1003"/>
      <c r="F957" s="1003" t="s">
        <v>328</v>
      </c>
      <c r="G957" s="1004"/>
      <c r="H957" s="1003"/>
      <c r="I957" s="1005"/>
      <c r="J957" s="1"/>
      <c r="K957" s="1"/>
      <c r="L957"/>
      <c r="M957" s="1"/>
      <c r="N957" s="1"/>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row>
    <row r="958" spans="1:96" ht="12.75" customHeight="1" outlineLevel="2" x14ac:dyDescent="0.2">
      <c r="A958"/>
      <c r="B958" s="1395"/>
      <c r="C958" s="1002"/>
      <c r="D958" s="1003"/>
      <c r="E958" s="1003"/>
      <c r="F958" s="1003" t="s">
        <v>329</v>
      </c>
      <c r="G958" s="1004"/>
      <c r="H958" s="1003"/>
      <c r="I958" s="1005"/>
      <c r="J958" s="1"/>
      <c r="K958" s="1"/>
      <c r="L958"/>
      <c r="M958" s="1"/>
      <c r="N958" s="1"/>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row>
    <row r="959" spans="1:96" ht="12.75" customHeight="1" outlineLevel="2" x14ac:dyDescent="0.2">
      <c r="A959"/>
      <c r="B959" s="1395"/>
      <c r="C959" s="1002"/>
      <c r="D959" s="1003"/>
      <c r="E959" s="1003"/>
      <c r="F959" s="1003" t="s">
        <v>330</v>
      </c>
      <c r="G959" s="1004"/>
      <c r="H959" s="1003"/>
      <c r="I959" s="1005"/>
      <c r="J959" s="1"/>
      <c r="K959" s="1"/>
      <c r="L959"/>
      <c r="M959" s="1"/>
      <c r="N959" s="1"/>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row>
    <row r="960" spans="1:96" ht="12.75" customHeight="1" outlineLevel="2" x14ac:dyDescent="0.2">
      <c r="A960"/>
      <c r="B960" s="1395"/>
      <c r="C960" s="1002"/>
      <c r="D960" s="1003"/>
      <c r="E960" s="1003"/>
      <c r="F960" s="1003" t="s">
        <v>331</v>
      </c>
      <c r="G960" s="1004"/>
      <c r="H960" s="1003"/>
      <c r="I960" s="1005"/>
      <c r="J960" s="1"/>
      <c r="K960" s="1"/>
      <c r="L960"/>
      <c r="M960" s="1"/>
      <c r="N960" s="1"/>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row>
    <row r="961" spans="1:96" outlineLevel="1" x14ac:dyDescent="0.2">
      <c r="A961"/>
      <c r="B961" s="1395">
        <f>C961*1000000+D961*1000+E961</f>
        <v>24024064</v>
      </c>
      <c r="C961" s="1002">
        <v>24</v>
      </c>
      <c r="D961" s="1003">
        <v>24</v>
      </c>
      <c r="E961" s="1003">
        <v>64</v>
      </c>
      <c r="F961" s="1003" t="s">
        <v>1485</v>
      </c>
      <c r="G961" s="1004"/>
      <c r="H961" s="1003" t="s">
        <v>1990</v>
      </c>
      <c r="I961" s="1005" t="s">
        <v>1991</v>
      </c>
      <c r="J961" s="1"/>
      <c r="K961" s="1"/>
      <c r="L961"/>
      <c r="M961" s="1"/>
      <c r="N961" s="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row>
    <row r="962" spans="1:96" ht="12.75" customHeight="1" outlineLevel="2" x14ac:dyDescent="0.2">
      <c r="A962"/>
      <c r="B962" s="1395"/>
      <c r="C962" s="1002"/>
      <c r="D962" s="1003"/>
      <c r="E962" s="1003"/>
      <c r="F962" s="1003" t="s">
        <v>1486</v>
      </c>
      <c r="G962" s="1004"/>
      <c r="H962" s="1003" t="s">
        <v>1265</v>
      </c>
      <c r="I962" s="1005" t="s">
        <v>361</v>
      </c>
      <c r="J962" s="1"/>
      <c r="K962" s="1"/>
      <c r="L962"/>
      <c r="M962" s="1"/>
      <c r="N962" s="1"/>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row>
    <row r="963" spans="1:96" ht="12.75" customHeight="1" outlineLevel="2" x14ac:dyDescent="0.2">
      <c r="A963"/>
      <c r="B963" s="1395"/>
      <c r="C963" s="1002"/>
      <c r="D963" s="1003"/>
      <c r="E963" s="1003"/>
      <c r="F963" s="1003" t="s">
        <v>1487</v>
      </c>
      <c r="G963" s="1004"/>
      <c r="H963" s="1003" t="s">
        <v>1992</v>
      </c>
      <c r="I963" s="1005" t="s">
        <v>1993</v>
      </c>
      <c r="J963" s="1"/>
      <c r="K963" s="1"/>
      <c r="L963"/>
      <c r="M963" s="1"/>
      <c r="N963" s="1"/>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row>
    <row r="964" spans="1:96" ht="12.75" customHeight="1" outlineLevel="2" x14ac:dyDescent="0.2">
      <c r="A964"/>
      <c r="B964" s="1395"/>
      <c r="C964" s="1002"/>
      <c r="D964" s="1003"/>
      <c r="E964" s="1003"/>
      <c r="F964" s="1003" t="s">
        <v>1488</v>
      </c>
      <c r="G964" s="1004"/>
      <c r="H964" s="1003" t="s">
        <v>1994</v>
      </c>
      <c r="I964" s="1005" t="s">
        <v>1995</v>
      </c>
      <c r="J964" s="1"/>
      <c r="K964" s="1"/>
      <c r="L964"/>
      <c r="M964" s="1"/>
      <c r="N964" s="1"/>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row>
    <row r="965" spans="1:96" ht="12.75" customHeight="1" outlineLevel="2" x14ac:dyDescent="0.2">
      <c r="A965"/>
      <c r="B965" s="1395"/>
      <c r="C965" s="1002"/>
      <c r="D965" s="1003"/>
      <c r="E965" s="1003"/>
      <c r="F965" s="1003" t="s">
        <v>1489</v>
      </c>
      <c r="G965" s="1004"/>
      <c r="H965" s="1003" t="s">
        <v>1977</v>
      </c>
      <c r="I965" s="1005" t="s">
        <v>1996</v>
      </c>
      <c r="J965" s="1"/>
      <c r="K965" s="1"/>
      <c r="L965"/>
      <c r="M965" s="1"/>
      <c r="N965" s="1"/>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row>
    <row r="966" spans="1:96" ht="12.75" customHeight="1" outlineLevel="2" x14ac:dyDescent="0.2">
      <c r="A966"/>
      <c r="B966" s="1395"/>
      <c r="C966" s="1002"/>
      <c r="D966" s="1003"/>
      <c r="E966" s="1003"/>
      <c r="F966" s="1003" t="s">
        <v>1490</v>
      </c>
      <c r="G966" s="1004"/>
      <c r="H966" s="1003" t="s">
        <v>1997</v>
      </c>
      <c r="I966" s="1005" t="s">
        <v>1998</v>
      </c>
      <c r="J966" s="1"/>
      <c r="K966" s="1"/>
      <c r="L966"/>
      <c r="M966" s="1"/>
      <c r="N966" s="1"/>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row>
    <row r="967" spans="1:96" ht="12.75" customHeight="1" outlineLevel="2" x14ac:dyDescent="0.2">
      <c r="A967"/>
      <c r="B967" s="1395"/>
      <c r="C967" s="1002"/>
      <c r="D967" s="1003"/>
      <c r="E967" s="1003"/>
      <c r="F967" s="1003" t="s">
        <v>1491</v>
      </c>
      <c r="G967" s="1004"/>
      <c r="H967" s="1003" t="s">
        <v>358</v>
      </c>
      <c r="I967" s="1005" t="s">
        <v>362</v>
      </c>
      <c r="J967" s="1"/>
      <c r="K967" s="1"/>
      <c r="L967"/>
      <c r="M967" s="1"/>
      <c r="N967" s="1"/>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row>
    <row r="968" spans="1:96" ht="12.75" customHeight="1" outlineLevel="2" x14ac:dyDescent="0.2">
      <c r="A968"/>
      <c r="B968" s="1395"/>
      <c r="C968" s="1002"/>
      <c r="D968" s="1003"/>
      <c r="E968" s="1003"/>
      <c r="F968" s="1003" t="s">
        <v>1492</v>
      </c>
      <c r="G968" s="1004"/>
      <c r="H968" s="1003" t="s">
        <v>1999</v>
      </c>
      <c r="I968" s="1005" t="s">
        <v>2000</v>
      </c>
      <c r="J968" s="1"/>
      <c r="K968" s="1"/>
      <c r="L968"/>
      <c r="M968" s="1"/>
      <c r="N968" s="1"/>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row>
    <row r="969" spans="1:96" ht="12.75" customHeight="1" outlineLevel="2" x14ac:dyDescent="0.2">
      <c r="A969"/>
      <c r="B969" s="1395"/>
      <c r="C969" s="1002"/>
      <c r="D969" s="1003"/>
      <c r="E969" s="1003"/>
      <c r="F969" s="1003" t="s">
        <v>342</v>
      </c>
      <c r="G969" s="1004"/>
      <c r="H969" s="1003" t="s">
        <v>1981</v>
      </c>
      <c r="I969" s="1005" t="s">
        <v>2001</v>
      </c>
      <c r="J969" s="1"/>
      <c r="K969" s="1"/>
      <c r="L969"/>
      <c r="M969" s="1"/>
      <c r="N969" s="1"/>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row>
    <row r="970" spans="1:96" ht="12.75" customHeight="1" outlineLevel="2" x14ac:dyDescent="0.2">
      <c r="A970"/>
      <c r="B970" s="1395"/>
      <c r="C970" s="1002"/>
      <c r="D970" s="1003"/>
      <c r="E970" s="1003"/>
      <c r="F970" s="1003" t="s">
        <v>343</v>
      </c>
      <c r="G970" s="1004"/>
      <c r="H970" s="1003" t="s">
        <v>359</v>
      </c>
      <c r="I970" s="1005" t="s">
        <v>363</v>
      </c>
      <c r="J970" s="1"/>
      <c r="K970" s="1"/>
      <c r="L970"/>
      <c r="M970" s="1"/>
      <c r="N970" s="1"/>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row>
    <row r="971" spans="1:96" ht="12.75" customHeight="1" outlineLevel="2" x14ac:dyDescent="0.2">
      <c r="A971"/>
      <c r="B971" s="1395"/>
      <c r="C971" s="1002"/>
      <c r="D971" s="1003"/>
      <c r="E971" s="1003"/>
      <c r="F971" s="1003" t="s">
        <v>344</v>
      </c>
      <c r="G971" s="1004"/>
      <c r="H971" s="1003" t="s">
        <v>2002</v>
      </c>
      <c r="I971" s="1005" t="s">
        <v>2003</v>
      </c>
      <c r="J971" s="1"/>
      <c r="K971" s="1"/>
      <c r="L971"/>
      <c r="M971" s="1"/>
      <c r="N971" s="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row>
    <row r="972" spans="1:96" ht="12.75" customHeight="1" outlineLevel="2" x14ac:dyDescent="0.2">
      <c r="A972"/>
      <c r="B972" s="1395"/>
      <c r="C972" s="1002"/>
      <c r="D972" s="1003"/>
      <c r="E972" s="1003"/>
      <c r="F972" s="1003" t="s">
        <v>345</v>
      </c>
      <c r="G972" s="1004"/>
      <c r="H972" s="1003" t="s">
        <v>2004</v>
      </c>
      <c r="I972" s="1005" t="s">
        <v>2005</v>
      </c>
      <c r="J972" s="1"/>
      <c r="K972" s="1"/>
      <c r="L972"/>
      <c r="M972" s="1"/>
      <c r="N972" s="1"/>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row>
    <row r="973" spans="1:96" ht="12.75" customHeight="1" outlineLevel="2" x14ac:dyDescent="0.2">
      <c r="A973"/>
      <c r="B973" s="1395"/>
      <c r="C973" s="1002"/>
      <c r="D973" s="1003"/>
      <c r="E973" s="1003"/>
      <c r="F973" s="1003" t="s">
        <v>346</v>
      </c>
      <c r="G973" s="1004"/>
      <c r="H973" s="1003" t="s">
        <v>2006</v>
      </c>
      <c r="I973" s="1005" t="s">
        <v>2007</v>
      </c>
      <c r="J973" s="1"/>
      <c r="K973" s="1"/>
      <c r="L973"/>
      <c r="M973" s="1"/>
      <c r="N973" s="1"/>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row>
    <row r="974" spans="1:96" ht="12.75" customHeight="1" outlineLevel="2" x14ac:dyDescent="0.2">
      <c r="A974"/>
      <c r="B974" s="1395"/>
      <c r="C974" s="1002"/>
      <c r="D974" s="1003"/>
      <c r="E974" s="1003"/>
      <c r="F974" s="1003" t="s">
        <v>347</v>
      </c>
      <c r="G974" s="1004"/>
      <c r="H974" s="1003" t="s">
        <v>2008</v>
      </c>
      <c r="I974" s="1005" t="s">
        <v>2009</v>
      </c>
      <c r="J974" s="1"/>
      <c r="K974" s="1"/>
      <c r="L974"/>
      <c r="M974" s="1"/>
      <c r="N974" s="1"/>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row>
    <row r="975" spans="1:96" ht="12.75" customHeight="1" outlineLevel="2" x14ac:dyDescent="0.2">
      <c r="A975"/>
      <c r="B975" s="1395"/>
      <c r="C975" s="1002"/>
      <c r="D975" s="1003"/>
      <c r="E975" s="1003"/>
      <c r="F975" s="1003" t="s">
        <v>348</v>
      </c>
      <c r="G975" s="1004"/>
      <c r="H975" s="1003" t="s">
        <v>360</v>
      </c>
      <c r="I975" s="1005" t="s">
        <v>1273</v>
      </c>
      <c r="J975" s="1"/>
      <c r="K975" s="1"/>
      <c r="L975"/>
      <c r="M975" s="1"/>
      <c r="N975" s="1"/>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row>
    <row r="976" spans="1:96" ht="12.75" customHeight="1" outlineLevel="2" x14ac:dyDescent="0.2">
      <c r="A976"/>
      <c r="B976" s="1395"/>
      <c r="C976" s="1002"/>
      <c r="D976" s="1003"/>
      <c r="E976" s="1003"/>
      <c r="F976" s="1003" t="s">
        <v>349</v>
      </c>
      <c r="G976" s="1004"/>
      <c r="H976" s="1003" t="s">
        <v>2010</v>
      </c>
      <c r="I976" s="1005" t="s">
        <v>2011</v>
      </c>
      <c r="J976" s="1"/>
      <c r="K976" s="1"/>
      <c r="L976"/>
      <c r="M976" s="1"/>
      <c r="N976" s="1"/>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row>
    <row r="977" spans="1:96" ht="12.75" customHeight="1" outlineLevel="2" x14ac:dyDescent="0.2">
      <c r="A977"/>
      <c r="B977" s="1395"/>
      <c r="C977" s="1002"/>
      <c r="D977" s="1003"/>
      <c r="E977" s="1003"/>
      <c r="F977" s="1003" t="s">
        <v>350</v>
      </c>
      <c r="G977" s="1004"/>
      <c r="H977" s="1003"/>
      <c r="I977" s="1005"/>
      <c r="J977" s="1"/>
      <c r="K977" s="1"/>
      <c r="L977"/>
      <c r="M977" s="1"/>
      <c r="N977" s="1"/>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row>
    <row r="978" spans="1:96" ht="12.75" customHeight="1" outlineLevel="2" x14ac:dyDescent="0.2">
      <c r="A978"/>
      <c r="B978" s="1395"/>
      <c r="C978" s="1002"/>
      <c r="D978" s="1003"/>
      <c r="E978" s="1003"/>
      <c r="F978" s="1003" t="s">
        <v>351</v>
      </c>
      <c r="G978" s="1004"/>
      <c r="H978" s="1003"/>
      <c r="I978" s="1005"/>
      <c r="J978" s="1"/>
      <c r="K978" s="1"/>
      <c r="L978"/>
      <c r="M978" s="1"/>
      <c r="N978" s="1"/>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row>
    <row r="979" spans="1:96" ht="12.75" customHeight="1" outlineLevel="2" x14ac:dyDescent="0.2">
      <c r="A979"/>
      <c r="B979" s="1395"/>
      <c r="C979" s="1002"/>
      <c r="D979" s="1003"/>
      <c r="E979" s="1003"/>
      <c r="F979" s="1003" t="s">
        <v>352</v>
      </c>
      <c r="G979" s="1004"/>
      <c r="H979" s="1003"/>
      <c r="I979" s="1005"/>
      <c r="J979" s="1"/>
      <c r="K979" s="1"/>
      <c r="L979"/>
      <c r="M979" s="1"/>
      <c r="N979" s="1"/>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row>
    <row r="980" spans="1:96" ht="12.75" customHeight="1" outlineLevel="2" x14ac:dyDescent="0.2">
      <c r="A980"/>
      <c r="B980" s="1395"/>
      <c r="C980" s="1002"/>
      <c r="D980" s="1003"/>
      <c r="E980" s="1003"/>
      <c r="F980" s="1003" t="s">
        <v>353</v>
      </c>
      <c r="G980" s="1004"/>
      <c r="H980" s="1003"/>
      <c r="I980" s="1005"/>
      <c r="J980" s="1"/>
      <c r="K980" s="1"/>
      <c r="L980"/>
      <c r="M980" s="1"/>
      <c r="N980" s="1"/>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row>
    <row r="981" spans="1:96" ht="12.75" customHeight="1" outlineLevel="2" x14ac:dyDescent="0.2">
      <c r="A981"/>
      <c r="B981" s="1395"/>
      <c r="C981" s="1002"/>
      <c r="D981" s="1003"/>
      <c r="E981" s="1003"/>
      <c r="F981" s="1003" t="s">
        <v>354</v>
      </c>
      <c r="G981" s="1004"/>
      <c r="H981" s="1003"/>
      <c r="I981" s="1005"/>
      <c r="J981" s="1"/>
      <c r="K981" s="1"/>
      <c r="L981"/>
      <c r="M981" s="1"/>
      <c r="N981" s="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row>
    <row r="982" spans="1:96" ht="12.75" customHeight="1" outlineLevel="2" x14ac:dyDescent="0.2">
      <c r="A982"/>
      <c r="B982" s="1395"/>
      <c r="C982" s="1002"/>
      <c r="D982" s="1003"/>
      <c r="E982" s="1003"/>
      <c r="F982" s="1003" t="s">
        <v>355</v>
      </c>
      <c r="G982" s="1004"/>
      <c r="H982" s="1003"/>
      <c r="I982" s="1005"/>
      <c r="J982" s="1"/>
      <c r="K982" s="1"/>
      <c r="L982"/>
      <c r="M982" s="1"/>
      <c r="N982" s="1"/>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row>
    <row r="983" spans="1:96" ht="12.75" customHeight="1" outlineLevel="2" x14ac:dyDescent="0.2">
      <c r="A983"/>
      <c r="B983" s="1395"/>
      <c r="C983" s="1002"/>
      <c r="D983" s="1003"/>
      <c r="E983" s="1003"/>
      <c r="F983" s="1003" t="s">
        <v>356</v>
      </c>
      <c r="G983" s="1004"/>
      <c r="H983" s="1003"/>
      <c r="I983" s="1005"/>
      <c r="J983" s="1"/>
      <c r="K983" s="1"/>
      <c r="L983"/>
      <c r="M983" s="1"/>
      <c r="N983" s="1"/>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row>
    <row r="984" spans="1:96" ht="12.75" customHeight="1" outlineLevel="2" x14ac:dyDescent="0.2">
      <c r="A984"/>
      <c r="B984" s="1395"/>
      <c r="C984" s="1002"/>
      <c r="D984" s="1003"/>
      <c r="E984" s="1003"/>
      <c r="F984" s="1003" t="s">
        <v>357</v>
      </c>
      <c r="G984" s="1004"/>
      <c r="H984" s="1003"/>
      <c r="I984" s="1005"/>
      <c r="J984" s="1"/>
      <c r="K984" s="1"/>
      <c r="L984"/>
      <c r="M984" s="1"/>
      <c r="N984" s="1"/>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row>
    <row r="985" spans="1:96" outlineLevel="1" x14ac:dyDescent="0.2">
      <c r="A985"/>
      <c r="B985" s="1395">
        <f>C985*1000000+D985*1000+E985</f>
        <v>25025064</v>
      </c>
      <c r="C985" s="1002">
        <v>25</v>
      </c>
      <c r="D985" s="1003">
        <v>25</v>
      </c>
      <c r="E985" s="1003">
        <v>64</v>
      </c>
      <c r="F985" s="1003" t="s">
        <v>364</v>
      </c>
      <c r="G985" s="1004"/>
      <c r="H985" s="1003" t="s">
        <v>2012</v>
      </c>
      <c r="I985" s="1005" t="s">
        <v>2013</v>
      </c>
      <c r="J985" s="1"/>
      <c r="K985" s="1"/>
      <c r="L985"/>
      <c r="M985" s="1"/>
      <c r="N985" s="1"/>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row>
    <row r="986" spans="1:96" ht="12.75" customHeight="1" outlineLevel="2" x14ac:dyDescent="0.2">
      <c r="A986"/>
      <c r="B986" s="1395"/>
      <c r="C986" s="1002"/>
      <c r="D986" s="1003"/>
      <c r="E986" s="1003"/>
      <c r="F986" s="1003" t="s">
        <v>1519</v>
      </c>
      <c r="G986" s="1004"/>
      <c r="H986" s="1003" t="s">
        <v>382</v>
      </c>
      <c r="I986" s="1005" t="s">
        <v>385</v>
      </c>
      <c r="J986" s="1"/>
      <c r="K986" s="1"/>
      <c r="L986"/>
      <c r="M986" s="1"/>
      <c r="N986" s="1"/>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row>
    <row r="987" spans="1:96" ht="12.75" customHeight="1" outlineLevel="2" x14ac:dyDescent="0.2">
      <c r="A987"/>
      <c r="B987" s="1395"/>
      <c r="C987" s="1002"/>
      <c r="D987" s="1003"/>
      <c r="E987" s="1003"/>
      <c r="F987" s="1003" t="s">
        <v>365</v>
      </c>
      <c r="G987" s="1004"/>
      <c r="H987" s="1003" t="s">
        <v>2014</v>
      </c>
      <c r="I987" s="1005" t="s">
        <v>2015</v>
      </c>
      <c r="J987" s="1"/>
      <c r="K987" s="1"/>
      <c r="L987"/>
      <c r="M987" s="1"/>
      <c r="N987" s="1"/>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row>
    <row r="988" spans="1:96" ht="12.75" customHeight="1" outlineLevel="2" x14ac:dyDescent="0.2">
      <c r="A988"/>
      <c r="B988" s="1395"/>
      <c r="C988" s="1002"/>
      <c r="D988" s="1003"/>
      <c r="E988" s="1003"/>
      <c r="F988" s="1003" t="s">
        <v>1520</v>
      </c>
      <c r="G988" s="1004"/>
      <c r="H988" s="1003" t="s">
        <v>2016</v>
      </c>
      <c r="I988" s="1005" t="s">
        <v>2017</v>
      </c>
      <c r="J988" s="1"/>
      <c r="K988" s="1"/>
      <c r="L988"/>
      <c r="M988" s="1"/>
      <c r="N988" s="1"/>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row>
    <row r="989" spans="1:96" ht="12.75" customHeight="1" outlineLevel="2" x14ac:dyDescent="0.2">
      <c r="A989"/>
      <c r="B989" s="1395"/>
      <c r="C989" s="1002"/>
      <c r="D989" s="1003"/>
      <c r="E989" s="1003"/>
      <c r="F989" s="1003" t="s">
        <v>1521</v>
      </c>
      <c r="G989" s="1004"/>
      <c r="H989" s="1003" t="s">
        <v>2018</v>
      </c>
      <c r="I989" s="1005" t="s">
        <v>2019</v>
      </c>
      <c r="J989" s="1"/>
      <c r="K989" s="1"/>
      <c r="L989"/>
      <c r="M989" s="1"/>
      <c r="N989" s="1"/>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row>
    <row r="990" spans="1:96" ht="12.75" customHeight="1" outlineLevel="2" x14ac:dyDescent="0.2">
      <c r="A990"/>
      <c r="B990" s="1395"/>
      <c r="C990" s="1002"/>
      <c r="D990" s="1003"/>
      <c r="E990" s="1003"/>
      <c r="F990" s="1003" t="s">
        <v>366</v>
      </c>
      <c r="G990" s="1004"/>
      <c r="H990" s="1003" t="s">
        <v>2020</v>
      </c>
      <c r="I990" s="1005" t="s">
        <v>2021</v>
      </c>
      <c r="J990" s="1"/>
      <c r="K990" s="1"/>
      <c r="L990"/>
      <c r="M990" s="1"/>
      <c r="N990" s="1"/>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row>
    <row r="991" spans="1:96" ht="12.75" customHeight="1" outlineLevel="2" x14ac:dyDescent="0.2">
      <c r="A991"/>
      <c r="B991" s="1395"/>
      <c r="C991" s="1002"/>
      <c r="D991" s="1003"/>
      <c r="E991" s="1003"/>
      <c r="F991" s="1003" t="s">
        <v>367</v>
      </c>
      <c r="G991" s="1004"/>
      <c r="H991" s="1003" t="s">
        <v>2022</v>
      </c>
      <c r="I991" s="1005" t="s">
        <v>386</v>
      </c>
      <c r="J991" s="1"/>
      <c r="K991" s="1"/>
      <c r="L991"/>
      <c r="M991" s="1"/>
      <c r="N991" s="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row>
    <row r="992" spans="1:96" ht="12.75" customHeight="1" outlineLevel="2" x14ac:dyDescent="0.2">
      <c r="A992"/>
      <c r="B992" s="1395"/>
      <c r="C992" s="1002"/>
      <c r="D992" s="1003"/>
      <c r="E992" s="1003"/>
      <c r="F992" s="1003" t="s">
        <v>1522</v>
      </c>
      <c r="G992" s="1004"/>
      <c r="H992" s="1003" t="s">
        <v>1999</v>
      </c>
      <c r="I992" s="1005" t="s">
        <v>2023</v>
      </c>
      <c r="J992" s="1"/>
      <c r="K992" s="1"/>
      <c r="L992"/>
      <c r="M992" s="1"/>
      <c r="N992" s="1"/>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row>
    <row r="993" spans="1:96" ht="12.75" customHeight="1" outlineLevel="2" x14ac:dyDescent="0.2">
      <c r="A993"/>
      <c r="B993" s="1395"/>
      <c r="C993" s="1002"/>
      <c r="D993" s="1003"/>
      <c r="E993" s="1003"/>
      <c r="F993" s="1003" t="s">
        <v>1523</v>
      </c>
      <c r="G993" s="1004"/>
      <c r="H993" s="1003" t="s">
        <v>2132</v>
      </c>
      <c r="I993" s="1005" t="s">
        <v>2133</v>
      </c>
      <c r="J993" s="1"/>
      <c r="K993" s="1"/>
      <c r="L993"/>
      <c r="M993" s="1"/>
      <c r="N993" s="1"/>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row>
    <row r="994" spans="1:96" ht="12.75" customHeight="1" outlineLevel="2" x14ac:dyDescent="0.2">
      <c r="A994"/>
      <c r="B994" s="1395"/>
      <c r="C994" s="1002"/>
      <c r="D994" s="1003"/>
      <c r="E994" s="1003"/>
      <c r="F994" s="1003" t="s">
        <v>1517</v>
      </c>
      <c r="G994" s="1004"/>
      <c r="H994" s="1003" t="s">
        <v>383</v>
      </c>
      <c r="I994" s="1005" t="s">
        <v>387</v>
      </c>
      <c r="J994" s="1"/>
      <c r="K994" s="1"/>
      <c r="L994"/>
      <c r="M994" s="1"/>
      <c r="N994" s="1"/>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row>
    <row r="995" spans="1:96" ht="12.75" customHeight="1" outlineLevel="2" x14ac:dyDescent="0.2">
      <c r="A995"/>
      <c r="B995" s="1395"/>
      <c r="C995" s="1002"/>
      <c r="D995" s="1003"/>
      <c r="E995" s="1003"/>
      <c r="F995" s="1003" t="s">
        <v>1518</v>
      </c>
      <c r="G995" s="1004"/>
      <c r="H995" s="1003" t="s">
        <v>2134</v>
      </c>
      <c r="I995" s="1005" t="s">
        <v>2135</v>
      </c>
      <c r="J995" s="1"/>
      <c r="K995" s="1"/>
      <c r="L995"/>
      <c r="M995" s="1"/>
      <c r="N995" s="1"/>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row>
    <row r="996" spans="1:96" ht="12.75" customHeight="1" outlineLevel="2" x14ac:dyDescent="0.2">
      <c r="A996"/>
      <c r="B996" s="1395"/>
      <c r="C996" s="1002"/>
      <c r="D996" s="1003"/>
      <c r="E996" s="1003"/>
      <c r="F996" s="1003" t="s">
        <v>368</v>
      </c>
      <c r="G996" s="1004"/>
      <c r="H996" s="1003" t="s">
        <v>2136</v>
      </c>
      <c r="I996" s="1005" t="s">
        <v>2137</v>
      </c>
      <c r="J996" s="1"/>
      <c r="K996" s="1"/>
      <c r="L996"/>
      <c r="M996" s="1"/>
      <c r="N996" s="1"/>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row>
    <row r="997" spans="1:96" ht="12.75" customHeight="1" outlineLevel="2" x14ac:dyDescent="0.2">
      <c r="A997"/>
      <c r="B997" s="1395"/>
      <c r="C997" s="1002"/>
      <c r="D997" s="1003"/>
      <c r="E997" s="1003"/>
      <c r="F997" s="1003" t="s">
        <v>369</v>
      </c>
      <c r="G997" s="1004"/>
      <c r="H997" s="1003" t="s">
        <v>2138</v>
      </c>
      <c r="I997" s="1005" t="s">
        <v>2139</v>
      </c>
      <c r="J997" s="1"/>
      <c r="K997" s="1"/>
      <c r="L997"/>
      <c r="M997" s="1"/>
      <c r="N997" s="1"/>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row>
    <row r="998" spans="1:96" ht="12.75" customHeight="1" outlineLevel="2" x14ac:dyDescent="0.2">
      <c r="A998"/>
      <c r="B998" s="1395"/>
      <c r="C998" s="1002"/>
      <c r="D998" s="1003"/>
      <c r="E998" s="1003"/>
      <c r="F998" s="1003" t="s">
        <v>370</v>
      </c>
      <c r="G998" s="1004"/>
      <c r="H998" s="1003" t="s">
        <v>2140</v>
      </c>
      <c r="I998" s="1005" t="s">
        <v>2141</v>
      </c>
      <c r="J998" s="1"/>
      <c r="K998" s="1"/>
      <c r="L998"/>
      <c r="M998" s="1"/>
      <c r="N998" s="1"/>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row>
    <row r="999" spans="1:96" ht="12.75" customHeight="1" outlineLevel="2" x14ac:dyDescent="0.2">
      <c r="A999"/>
      <c r="B999" s="1395"/>
      <c r="C999" s="1002"/>
      <c r="D999" s="1003"/>
      <c r="E999" s="1003"/>
      <c r="F999" s="1003" t="s">
        <v>371</v>
      </c>
      <c r="G999" s="1004"/>
      <c r="H999" s="1003" t="s">
        <v>384</v>
      </c>
      <c r="I999" s="1005" t="s">
        <v>388</v>
      </c>
      <c r="J999" s="1"/>
      <c r="K999" s="1"/>
      <c r="L999"/>
      <c r="M999" s="1"/>
      <c r="N999" s="1"/>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row>
    <row r="1000" spans="1:96" ht="12.75" customHeight="1" outlineLevel="2" x14ac:dyDescent="0.2">
      <c r="A1000"/>
      <c r="B1000" s="1395"/>
      <c r="C1000" s="1002"/>
      <c r="D1000" s="1003"/>
      <c r="E1000" s="1003"/>
      <c r="F1000" s="1003" t="s">
        <v>372</v>
      </c>
      <c r="G1000" s="1004"/>
      <c r="H1000" s="1003" t="s">
        <v>2142</v>
      </c>
      <c r="I1000" s="1005" t="s">
        <v>1989</v>
      </c>
      <c r="J1000" s="1"/>
      <c r="K1000" s="1"/>
      <c r="L1000"/>
      <c r="M1000" s="1"/>
      <c r="N1000" s="1"/>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row>
    <row r="1001" spans="1:96" ht="12.75" customHeight="1" outlineLevel="2" x14ac:dyDescent="0.2">
      <c r="A1001"/>
      <c r="B1001" s="1395"/>
      <c r="C1001" s="1002"/>
      <c r="D1001" s="1003"/>
      <c r="E1001" s="1003"/>
      <c r="F1001" s="1003" t="s">
        <v>373</v>
      </c>
      <c r="G1001" s="1004"/>
      <c r="H1001" s="1003"/>
      <c r="I1001" s="1005"/>
      <c r="J1001" s="1"/>
      <c r="K1001" s="1"/>
      <c r="L1001"/>
      <c r="M1001" s="1"/>
      <c r="N1001" s="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row>
    <row r="1002" spans="1:96" ht="12.75" customHeight="1" outlineLevel="2" x14ac:dyDescent="0.2">
      <c r="A1002"/>
      <c r="B1002" s="1395"/>
      <c r="C1002" s="1002"/>
      <c r="D1002" s="1003"/>
      <c r="E1002" s="1003"/>
      <c r="F1002" s="1003" t="s">
        <v>374</v>
      </c>
      <c r="G1002" s="1004"/>
      <c r="H1002" s="1003"/>
      <c r="I1002" s="1005"/>
      <c r="J1002" s="1"/>
      <c r="K1002" s="1"/>
      <c r="L1002"/>
      <c r="M1002" s="1"/>
      <c r="N1002" s="1"/>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row>
    <row r="1003" spans="1:96" ht="12.75" customHeight="1" outlineLevel="2" x14ac:dyDescent="0.2">
      <c r="A1003"/>
      <c r="B1003" s="1395"/>
      <c r="C1003" s="1002"/>
      <c r="D1003" s="1003"/>
      <c r="E1003" s="1003"/>
      <c r="F1003" s="1003" t="s">
        <v>375</v>
      </c>
      <c r="G1003" s="1004"/>
      <c r="H1003" s="1003"/>
      <c r="I1003" s="1005"/>
      <c r="J1003" s="1"/>
      <c r="K1003" s="1"/>
      <c r="L1003"/>
      <c r="M1003" s="1"/>
      <c r="N1003" s="1"/>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row>
    <row r="1004" spans="1:96" ht="12.75" customHeight="1" outlineLevel="2" x14ac:dyDescent="0.2">
      <c r="A1004"/>
      <c r="B1004" s="1395"/>
      <c r="C1004" s="1002"/>
      <c r="D1004" s="1003"/>
      <c r="E1004" s="1003"/>
      <c r="F1004" s="1003" t="s">
        <v>376</v>
      </c>
      <c r="G1004" s="1004"/>
      <c r="H1004" s="1003"/>
      <c r="I1004" s="1005"/>
      <c r="J1004" s="1"/>
      <c r="K1004" s="1"/>
      <c r="L1004"/>
      <c r="M1004" s="1"/>
      <c r="N1004" s="1"/>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row>
    <row r="1005" spans="1:96" ht="12.75" customHeight="1" outlineLevel="2" x14ac:dyDescent="0.2">
      <c r="A1005"/>
      <c r="B1005" s="1395"/>
      <c r="C1005" s="1002"/>
      <c r="D1005" s="1003"/>
      <c r="E1005" s="1003"/>
      <c r="F1005" s="1003" t="s">
        <v>377</v>
      </c>
      <c r="G1005" s="1004"/>
      <c r="H1005" s="1003"/>
      <c r="I1005" s="1005"/>
      <c r="J1005" s="1"/>
      <c r="K1005" s="1"/>
      <c r="L1005"/>
      <c r="M1005" s="1"/>
      <c r="N1005" s="1"/>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row>
    <row r="1006" spans="1:96" ht="12.75" customHeight="1" outlineLevel="2" x14ac:dyDescent="0.2">
      <c r="A1006"/>
      <c r="B1006" s="1395"/>
      <c r="C1006" s="1002"/>
      <c r="D1006" s="1003"/>
      <c r="E1006" s="1003"/>
      <c r="F1006" s="1003" t="s">
        <v>378</v>
      </c>
      <c r="G1006" s="1004"/>
      <c r="H1006" s="1003"/>
      <c r="I1006" s="1005"/>
      <c r="J1006" s="1"/>
      <c r="K1006" s="1"/>
      <c r="L1006"/>
      <c r="M1006" s="1"/>
      <c r="N1006" s="1"/>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row>
    <row r="1007" spans="1:96" ht="12.75" customHeight="1" outlineLevel="2" x14ac:dyDescent="0.2">
      <c r="A1007"/>
      <c r="B1007" s="1395"/>
      <c r="C1007" s="1002"/>
      <c r="D1007" s="1003"/>
      <c r="E1007" s="1003"/>
      <c r="F1007" s="1003" t="s">
        <v>379</v>
      </c>
      <c r="G1007" s="1004"/>
      <c r="H1007" s="1003"/>
      <c r="I1007" s="1005"/>
      <c r="J1007" s="1"/>
      <c r="K1007" s="1"/>
      <c r="L1007"/>
      <c r="M1007" s="1"/>
      <c r="N1007" s="1"/>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row>
    <row r="1008" spans="1:96" ht="12.75" customHeight="1" outlineLevel="2" x14ac:dyDescent="0.2">
      <c r="A1008"/>
      <c r="B1008" s="1395"/>
      <c r="C1008" s="1002"/>
      <c r="D1008" s="1003"/>
      <c r="E1008" s="1003"/>
      <c r="F1008" s="1003" t="s">
        <v>380</v>
      </c>
      <c r="G1008" s="1004"/>
      <c r="H1008" s="1003"/>
      <c r="I1008" s="1005"/>
      <c r="J1008" s="1"/>
      <c r="K1008" s="1"/>
      <c r="L1008"/>
      <c r="M1008" s="1"/>
      <c r="N1008" s="1"/>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row>
    <row r="1009" spans="1:96" ht="12.75" customHeight="1" outlineLevel="2" x14ac:dyDescent="0.2">
      <c r="A1009"/>
      <c r="B1009" s="1395"/>
      <c r="C1009" s="1002"/>
      <c r="D1009" s="1003"/>
      <c r="E1009" s="1003"/>
      <c r="F1009" s="1003" t="s">
        <v>381</v>
      </c>
      <c r="G1009" s="1004"/>
      <c r="H1009" s="1003"/>
      <c r="I1009" s="1005"/>
      <c r="J1009" s="1"/>
      <c r="K1009" s="1"/>
      <c r="L1009"/>
      <c r="M1009" s="1"/>
      <c r="N1009" s="1"/>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row>
    <row r="1010" spans="1:96" outlineLevel="1" x14ac:dyDescent="0.2">
      <c r="A1010"/>
      <c r="B1010" s="1395">
        <f>C1010*1000000+D1010*1000+E1010</f>
        <v>26026064</v>
      </c>
      <c r="C1010" s="1002">
        <v>26</v>
      </c>
      <c r="D1010" s="1003">
        <v>26</v>
      </c>
      <c r="E1010" s="1003">
        <v>64</v>
      </c>
      <c r="F1010" s="1003" t="s">
        <v>2343</v>
      </c>
      <c r="G1010" s="1004"/>
      <c r="H1010" s="1003" t="s">
        <v>2143</v>
      </c>
      <c r="I1010" s="1005" t="s">
        <v>2144</v>
      </c>
      <c r="J1010" s="1"/>
      <c r="K1010" s="1"/>
      <c r="L1010"/>
      <c r="M1010" s="1"/>
      <c r="N1010" s="1"/>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row>
    <row r="1011" spans="1:96" ht="12.75" customHeight="1" outlineLevel="2" x14ac:dyDescent="0.2">
      <c r="A1011"/>
      <c r="B1011" s="1395"/>
      <c r="C1011" s="1002"/>
      <c r="D1011" s="1003"/>
      <c r="E1011" s="1003"/>
      <c r="F1011" s="1003" t="s">
        <v>2344</v>
      </c>
      <c r="G1011" s="1004"/>
      <c r="H1011" s="1003" t="s">
        <v>401</v>
      </c>
      <c r="I1011" s="1005" t="s">
        <v>405</v>
      </c>
      <c r="J1011" s="1"/>
      <c r="K1011" s="1"/>
      <c r="L1011"/>
      <c r="M1011" s="1"/>
      <c r="N1011" s="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row>
    <row r="1012" spans="1:96" ht="12.75" customHeight="1" outlineLevel="2" x14ac:dyDescent="0.2">
      <c r="A1012"/>
      <c r="B1012" s="1395"/>
      <c r="C1012" s="1002"/>
      <c r="D1012" s="1003"/>
      <c r="E1012" s="1003"/>
      <c r="F1012" s="1003" t="s">
        <v>2345</v>
      </c>
      <c r="G1012" s="1004"/>
      <c r="H1012" s="1003" t="s">
        <v>2145</v>
      </c>
      <c r="I1012" s="1005" t="s">
        <v>2146</v>
      </c>
      <c r="J1012" s="1"/>
      <c r="K1012" s="1"/>
      <c r="L1012"/>
      <c r="M1012" s="1"/>
      <c r="N1012" s="1"/>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row>
    <row r="1013" spans="1:96" ht="12.75" customHeight="1" outlineLevel="2" x14ac:dyDescent="0.2">
      <c r="A1013"/>
      <c r="B1013" s="1395"/>
      <c r="C1013" s="1002"/>
      <c r="D1013" s="1003"/>
      <c r="E1013" s="1003"/>
      <c r="F1013" s="1003" t="s">
        <v>2346</v>
      </c>
      <c r="G1013" s="1004"/>
      <c r="H1013" s="1003" t="s">
        <v>2147</v>
      </c>
      <c r="I1013" s="1005" t="s">
        <v>2148</v>
      </c>
      <c r="J1013" s="1"/>
      <c r="K1013" s="1"/>
      <c r="L1013"/>
      <c r="M1013" s="1"/>
      <c r="N1013" s="1"/>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row>
    <row r="1014" spans="1:96" ht="12.75" customHeight="1" outlineLevel="2" x14ac:dyDescent="0.2">
      <c r="A1014"/>
      <c r="B1014" s="1395"/>
      <c r="C1014" s="1002"/>
      <c r="D1014" s="1003"/>
      <c r="E1014" s="1003"/>
      <c r="F1014" s="1003" t="s">
        <v>2347</v>
      </c>
      <c r="G1014" s="1004"/>
      <c r="H1014" s="1003" t="s">
        <v>2149</v>
      </c>
      <c r="I1014" s="1005" t="s">
        <v>2150</v>
      </c>
      <c r="J1014" s="1"/>
      <c r="K1014" s="1"/>
      <c r="L1014"/>
      <c r="M1014" s="1"/>
      <c r="N1014" s="1"/>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row>
    <row r="1015" spans="1:96" ht="12.75" customHeight="1" outlineLevel="2" x14ac:dyDescent="0.2">
      <c r="A1015"/>
      <c r="B1015" s="1395"/>
      <c r="C1015" s="1002"/>
      <c r="D1015" s="1003"/>
      <c r="E1015" s="1003"/>
      <c r="F1015" s="1003" t="s">
        <v>2348</v>
      </c>
      <c r="G1015" s="1004"/>
      <c r="H1015" s="1003" t="s">
        <v>2151</v>
      </c>
      <c r="I1015" s="1005" t="s">
        <v>2152</v>
      </c>
      <c r="J1015" s="1"/>
      <c r="K1015" s="1"/>
      <c r="L1015"/>
      <c r="M1015" s="1"/>
      <c r="N1015" s="1"/>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row>
    <row r="1016" spans="1:96" ht="12.75" customHeight="1" outlineLevel="2" x14ac:dyDescent="0.2">
      <c r="A1016"/>
      <c r="B1016" s="1395"/>
      <c r="C1016" s="1002"/>
      <c r="D1016" s="1003"/>
      <c r="E1016" s="1003"/>
      <c r="F1016" s="1003" t="s">
        <v>2349</v>
      </c>
      <c r="G1016" s="1004"/>
      <c r="H1016" s="1003" t="s">
        <v>2153</v>
      </c>
      <c r="I1016" s="1005" t="s">
        <v>406</v>
      </c>
      <c r="J1016" s="1"/>
      <c r="K1016" s="1"/>
      <c r="L1016"/>
      <c r="M1016" s="1"/>
      <c r="N1016" s="1"/>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row>
    <row r="1017" spans="1:96" ht="12.75" customHeight="1" outlineLevel="2" x14ac:dyDescent="0.2">
      <c r="A1017"/>
      <c r="B1017" s="1395"/>
      <c r="C1017" s="1002"/>
      <c r="D1017" s="1003"/>
      <c r="E1017" s="1003"/>
      <c r="F1017" s="1003" t="s">
        <v>2350</v>
      </c>
      <c r="G1017" s="1004"/>
      <c r="H1017" s="1003" t="s">
        <v>2154</v>
      </c>
      <c r="I1017" s="1005" t="s">
        <v>2155</v>
      </c>
      <c r="J1017" s="1"/>
      <c r="K1017" s="1"/>
      <c r="L1017"/>
      <c r="M1017" s="1"/>
      <c r="N1017" s="1"/>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row>
    <row r="1018" spans="1:96" ht="12.75" customHeight="1" outlineLevel="2" x14ac:dyDescent="0.2">
      <c r="A1018"/>
      <c r="B1018" s="1395"/>
      <c r="C1018" s="1002"/>
      <c r="D1018" s="1003"/>
      <c r="E1018" s="1003"/>
      <c r="F1018" s="1003" t="s">
        <v>2351</v>
      </c>
      <c r="G1018" s="1004"/>
      <c r="H1018" s="1003" t="s">
        <v>2156</v>
      </c>
      <c r="I1018" s="1005" t="s">
        <v>2133</v>
      </c>
      <c r="J1018" s="1"/>
      <c r="K1018" s="1"/>
      <c r="L1018"/>
      <c r="M1018" s="1"/>
      <c r="N1018" s="1"/>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row>
    <row r="1019" spans="1:96" ht="12.75" customHeight="1" outlineLevel="2" x14ac:dyDescent="0.2">
      <c r="A1019"/>
      <c r="B1019" s="1395"/>
      <c r="C1019" s="1002"/>
      <c r="D1019" s="1003"/>
      <c r="E1019" s="1003"/>
      <c r="F1019" s="1003" t="s">
        <v>2352</v>
      </c>
      <c r="G1019" s="1004"/>
      <c r="H1019" s="1003" t="s">
        <v>402</v>
      </c>
      <c r="I1019" s="1005" t="s">
        <v>2157</v>
      </c>
      <c r="J1019" s="1"/>
      <c r="K1019" s="1"/>
      <c r="L1019"/>
      <c r="M1019" s="1"/>
      <c r="N1019" s="1"/>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row>
    <row r="1020" spans="1:96" ht="12.75" customHeight="1" outlineLevel="2" x14ac:dyDescent="0.2">
      <c r="A1020"/>
      <c r="B1020" s="1395"/>
      <c r="C1020" s="1002"/>
      <c r="D1020" s="1003"/>
      <c r="E1020" s="1003"/>
      <c r="F1020" s="1003" t="s">
        <v>2353</v>
      </c>
      <c r="G1020" s="1004"/>
      <c r="H1020" s="1003" t="s">
        <v>2158</v>
      </c>
      <c r="I1020" s="1005" t="s">
        <v>2159</v>
      </c>
      <c r="J1020" s="1"/>
      <c r="K1020" s="1"/>
      <c r="L1020"/>
      <c r="M1020" s="1"/>
      <c r="N1020" s="1"/>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row>
    <row r="1021" spans="1:96" ht="12.75" customHeight="1" outlineLevel="2" x14ac:dyDescent="0.2">
      <c r="A1021"/>
      <c r="B1021" s="1395"/>
      <c r="C1021" s="1002"/>
      <c r="D1021" s="1003"/>
      <c r="E1021" s="1003"/>
      <c r="F1021" s="1003" t="s">
        <v>2354</v>
      </c>
      <c r="G1021" s="1004"/>
      <c r="H1021" s="1003" t="s">
        <v>403</v>
      </c>
      <c r="I1021" s="1005" t="s">
        <v>2160</v>
      </c>
      <c r="J1021" s="1"/>
      <c r="K1021" s="1"/>
      <c r="L1021"/>
      <c r="M1021" s="1"/>
      <c r="N1021" s="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row>
    <row r="1022" spans="1:96" ht="12.75" customHeight="1" outlineLevel="2" x14ac:dyDescent="0.2">
      <c r="A1022"/>
      <c r="B1022" s="1395"/>
      <c r="C1022" s="1002"/>
      <c r="D1022" s="1003"/>
      <c r="E1022" s="1003"/>
      <c r="F1022" s="1003" t="s">
        <v>2355</v>
      </c>
      <c r="G1022" s="1004"/>
      <c r="H1022" s="1003" t="s">
        <v>2161</v>
      </c>
      <c r="I1022" s="1005" t="s">
        <v>2162</v>
      </c>
      <c r="J1022" s="1"/>
      <c r="K1022" s="1"/>
      <c r="L1022"/>
      <c r="M1022" s="1"/>
      <c r="N1022" s="1"/>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row>
    <row r="1023" spans="1:96" ht="12.75" customHeight="1" outlineLevel="2" x14ac:dyDescent="0.2">
      <c r="A1023"/>
      <c r="B1023" s="1395"/>
      <c r="C1023" s="1002"/>
      <c r="D1023" s="1003"/>
      <c r="E1023" s="1003"/>
      <c r="F1023" s="1003" t="s">
        <v>2356</v>
      </c>
      <c r="G1023" s="1004"/>
      <c r="H1023" s="1003" t="s">
        <v>2163</v>
      </c>
      <c r="I1023" s="1005" t="s">
        <v>2164</v>
      </c>
      <c r="J1023" s="1"/>
      <c r="K1023" s="1"/>
      <c r="L1023"/>
      <c r="M1023" s="1"/>
      <c r="N1023" s="1"/>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row>
    <row r="1024" spans="1:96" ht="12.75" customHeight="1" outlineLevel="2" x14ac:dyDescent="0.2">
      <c r="A1024"/>
      <c r="B1024" s="1395"/>
      <c r="C1024" s="1002"/>
      <c r="D1024" s="1003"/>
      <c r="E1024" s="1003"/>
      <c r="F1024" s="1003" t="s">
        <v>389</v>
      </c>
      <c r="G1024" s="1004"/>
      <c r="H1024" s="1003" t="s">
        <v>404</v>
      </c>
      <c r="I1024" s="1005" t="s">
        <v>407</v>
      </c>
      <c r="J1024" s="1"/>
      <c r="K1024" s="1"/>
      <c r="L1024"/>
      <c r="M1024" s="1"/>
      <c r="N1024" s="1"/>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row>
    <row r="1025" spans="1:96" ht="12.75" customHeight="1" outlineLevel="2" x14ac:dyDescent="0.2">
      <c r="A1025"/>
      <c r="B1025" s="1395"/>
      <c r="C1025" s="1002"/>
      <c r="D1025" s="1003"/>
      <c r="E1025" s="1003"/>
      <c r="F1025" s="1003" t="s">
        <v>390</v>
      </c>
      <c r="G1025" s="1004"/>
      <c r="H1025" s="1003" t="s">
        <v>2165</v>
      </c>
      <c r="I1025" s="1005" t="s">
        <v>2166</v>
      </c>
      <c r="J1025" s="1"/>
      <c r="K1025" s="1"/>
      <c r="L1025"/>
      <c r="M1025" s="1"/>
      <c r="N1025" s="1"/>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row>
    <row r="1026" spans="1:96" ht="12.75" customHeight="1" outlineLevel="2" x14ac:dyDescent="0.2">
      <c r="A1026"/>
      <c r="B1026" s="1395"/>
      <c r="C1026" s="1002"/>
      <c r="D1026" s="1003"/>
      <c r="E1026" s="1003"/>
      <c r="F1026" s="1003" t="s">
        <v>391</v>
      </c>
      <c r="G1026" s="1004"/>
      <c r="H1026" s="1003"/>
      <c r="I1026" s="1005"/>
      <c r="J1026" s="1"/>
      <c r="K1026" s="1"/>
      <c r="L1026"/>
      <c r="M1026" s="1"/>
      <c r="N1026" s="1"/>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row>
    <row r="1027" spans="1:96" ht="12.75" customHeight="1" outlineLevel="2" x14ac:dyDescent="0.2">
      <c r="A1027"/>
      <c r="B1027" s="1395"/>
      <c r="C1027" s="1002"/>
      <c r="D1027" s="1003"/>
      <c r="E1027" s="1003"/>
      <c r="F1027" s="1003" t="s">
        <v>392</v>
      </c>
      <c r="G1027" s="1004"/>
      <c r="H1027" s="1003"/>
      <c r="I1027" s="1005"/>
      <c r="J1027" s="1"/>
      <c r="K1027" s="1"/>
      <c r="L1027"/>
      <c r="M1027" s="1"/>
      <c r="N1027" s="1"/>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row>
    <row r="1028" spans="1:96" ht="12.75" customHeight="1" outlineLevel="2" x14ac:dyDescent="0.2">
      <c r="A1028"/>
      <c r="B1028" s="1395"/>
      <c r="C1028" s="1002"/>
      <c r="D1028" s="1003"/>
      <c r="E1028" s="1003"/>
      <c r="F1028" s="1003" t="s">
        <v>393</v>
      </c>
      <c r="G1028" s="1004"/>
      <c r="H1028" s="1003"/>
      <c r="I1028" s="1005"/>
      <c r="J1028" s="1"/>
      <c r="K1028" s="1"/>
      <c r="L1028"/>
      <c r="M1028" s="1"/>
      <c r="N1028" s="1"/>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row>
    <row r="1029" spans="1:96" ht="12.75" customHeight="1" outlineLevel="2" x14ac:dyDescent="0.2">
      <c r="A1029"/>
      <c r="B1029" s="1395"/>
      <c r="C1029" s="1002"/>
      <c r="D1029" s="1003"/>
      <c r="E1029" s="1003"/>
      <c r="F1029" s="1003" t="s">
        <v>394</v>
      </c>
      <c r="G1029" s="1004"/>
      <c r="H1029" s="1003"/>
      <c r="I1029" s="1005"/>
      <c r="J1029" s="1"/>
      <c r="K1029" s="1"/>
      <c r="L1029"/>
      <c r="M1029" s="1"/>
      <c r="N1029" s="1"/>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row>
    <row r="1030" spans="1:96" ht="12.75" customHeight="1" outlineLevel="2" x14ac:dyDescent="0.2">
      <c r="A1030"/>
      <c r="B1030" s="1395"/>
      <c r="C1030" s="1002"/>
      <c r="D1030" s="1003"/>
      <c r="E1030" s="1003"/>
      <c r="F1030" s="1003" t="s">
        <v>395</v>
      </c>
      <c r="G1030" s="1004"/>
      <c r="H1030" s="1003"/>
      <c r="I1030" s="1005"/>
      <c r="J1030" s="1"/>
      <c r="K1030" s="1"/>
      <c r="L1030"/>
      <c r="M1030" s="1"/>
      <c r="N1030" s="1"/>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row>
    <row r="1031" spans="1:96" ht="12.75" customHeight="1" outlineLevel="2" x14ac:dyDescent="0.2">
      <c r="A1031"/>
      <c r="B1031" s="1395"/>
      <c r="C1031" s="1002"/>
      <c r="D1031" s="1003"/>
      <c r="E1031" s="1003"/>
      <c r="F1031" s="1003" t="s">
        <v>396</v>
      </c>
      <c r="G1031" s="1004"/>
      <c r="H1031" s="1003"/>
      <c r="I1031" s="1005"/>
      <c r="J1031" s="1"/>
      <c r="K1031" s="1"/>
      <c r="L1031"/>
      <c r="M1031" s="1"/>
      <c r="N1031" s="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row>
    <row r="1032" spans="1:96" ht="12.75" customHeight="1" outlineLevel="2" x14ac:dyDescent="0.2">
      <c r="A1032"/>
      <c r="B1032" s="1395"/>
      <c r="C1032" s="1002"/>
      <c r="D1032" s="1003"/>
      <c r="E1032" s="1003"/>
      <c r="F1032" s="1003" t="s">
        <v>397</v>
      </c>
      <c r="G1032" s="1004"/>
      <c r="H1032" s="1003"/>
      <c r="I1032" s="1005"/>
      <c r="J1032" s="1"/>
      <c r="K1032" s="1"/>
      <c r="L1032"/>
      <c r="M1032" s="1"/>
      <c r="N1032" s="1"/>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row>
    <row r="1033" spans="1:96" ht="12.75" customHeight="1" outlineLevel="2" x14ac:dyDescent="0.2">
      <c r="A1033"/>
      <c r="B1033" s="1395"/>
      <c r="C1033" s="1002"/>
      <c r="D1033" s="1003"/>
      <c r="E1033" s="1003"/>
      <c r="F1033" s="1003" t="s">
        <v>398</v>
      </c>
      <c r="G1033" s="1004"/>
      <c r="H1033" s="1003"/>
      <c r="I1033" s="1005"/>
      <c r="J1033" s="1"/>
      <c r="K1033" s="1"/>
      <c r="L1033"/>
      <c r="M1033" s="1"/>
      <c r="N1033" s="1"/>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row>
    <row r="1034" spans="1:96" ht="12.75" customHeight="1" outlineLevel="2" x14ac:dyDescent="0.2">
      <c r="A1034"/>
      <c r="B1034" s="1395"/>
      <c r="C1034" s="1002"/>
      <c r="D1034" s="1003"/>
      <c r="E1034" s="1003"/>
      <c r="F1034" s="1003" t="s">
        <v>399</v>
      </c>
      <c r="G1034" s="1004"/>
      <c r="H1034" s="1003"/>
      <c r="I1034" s="1005"/>
      <c r="J1034" s="1"/>
      <c r="K1034" s="1"/>
      <c r="L1034"/>
      <c r="M1034" s="1"/>
      <c r="N1034" s="1"/>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row>
    <row r="1035" spans="1:96" ht="12.75" customHeight="1" outlineLevel="2" x14ac:dyDescent="0.2">
      <c r="A1035"/>
      <c r="B1035" s="1395"/>
      <c r="C1035" s="1002"/>
      <c r="D1035" s="1003"/>
      <c r="E1035" s="1003"/>
      <c r="F1035" s="1003" t="s">
        <v>400</v>
      </c>
      <c r="G1035" s="1004"/>
      <c r="H1035" s="1003"/>
      <c r="I1035" s="1005"/>
      <c r="J1035" s="1"/>
      <c r="K1035" s="1"/>
      <c r="L1035"/>
      <c r="M1035" s="1"/>
      <c r="N1035" s="1"/>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row>
    <row r="1036" spans="1:96" outlineLevel="1" x14ac:dyDescent="0.2">
      <c r="A1036"/>
      <c r="B1036" s="1395">
        <f>C1036*1000000+D1036*1000+E1036</f>
        <v>27027064</v>
      </c>
      <c r="C1036" s="1002">
        <v>27</v>
      </c>
      <c r="D1036" s="1003">
        <v>27</v>
      </c>
      <c r="E1036" s="1003">
        <v>64</v>
      </c>
      <c r="F1036" s="1003" t="s">
        <v>408</v>
      </c>
      <c r="G1036" s="1004"/>
      <c r="H1036" s="1003" t="s">
        <v>2167</v>
      </c>
      <c r="I1036" s="1005" t="s">
        <v>2144</v>
      </c>
      <c r="J1036" s="1"/>
      <c r="K1036" s="1"/>
      <c r="L1036"/>
      <c r="M1036" s="1"/>
      <c r="N1036" s="1"/>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row>
    <row r="1037" spans="1:96" ht="12.75" customHeight="1" outlineLevel="2" x14ac:dyDescent="0.2">
      <c r="A1037"/>
      <c r="B1037" s="1395"/>
      <c r="C1037" s="1002"/>
      <c r="D1037" s="1003"/>
      <c r="E1037" s="1003"/>
      <c r="F1037" s="1003" t="s">
        <v>409</v>
      </c>
      <c r="G1037" s="1004"/>
      <c r="H1037" s="1003" t="s">
        <v>427</v>
      </c>
      <c r="I1037" s="1005" t="s">
        <v>1758</v>
      </c>
      <c r="J1037" s="1"/>
      <c r="K1037" s="1"/>
      <c r="L1037"/>
      <c r="M1037" s="1"/>
      <c r="N1037" s="1"/>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row>
    <row r="1038" spans="1:96" ht="12.75" customHeight="1" outlineLevel="2" x14ac:dyDescent="0.2">
      <c r="A1038"/>
      <c r="B1038" s="1395"/>
      <c r="C1038" s="1002"/>
      <c r="D1038" s="1003"/>
      <c r="E1038" s="1003"/>
      <c r="F1038" s="1003" t="s">
        <v>2378</v>
      </c>
      <c r="G1038" s="1004"/>
      <c r="H1038" s="1003" t="s">
        <v>2168</v>
      </c>
      <c r="I1038" s="1005" t="s">
        <v>2169</v>
      </c>
      <c r="J1038" s="1"/>
      <c r="K1038" s="1"/>
      <c r="L1038"/>
      <c r="M1038" s="1"/>
      <c r="N1038" s="1"/>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row>
    <row r="1039" spans="1:96" ht="12.75" customHeight="1" outlineLevel="2" x14ac:dyDescent="0.2">
      <c r="A1039"/>
      <c r="B1039" s="1395"/>
      <c r="C1039" s="1002"/>
      <c r="D1039" s="1003"/>
      <c r="E1039" s="1003"/>
      <c r="F1039" s="1003" t="s">
        <v>2379</v>
      </c>
      <c r="G1039" s="1004"/>
      <c r="H1039" s="1003" t="s">
        <v>2170</v>
      </c>
      <c r="I1039" s="1005" t="s">
        <v>2171</v>
      </c>
      <c r="J1039" s="1"/>
      <c r="K1039" s="1"/>
      <c r="L1039"/>
      <c r="M1039" s="1"/>
      <c r="N1039" s="1"/>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row>
    <row r="1040" spans="1:96" ht="12.75" customHeight="1" outlineLevel="2" x14ac:dyDescent="0.2">
      <c r="A1040"/>
      <c r="B1040" s="1395"/>
      <c r="C1040" s="1002"/>
      <c r="D1040" s="1003"/>
      <c r="E1040" s="1003"/>
      <c r="F1040" s="1003" t="s">
        <v>2380</v>
      </c>
      <c r="G1040" s="1004"/>
      <c r="H1040" s="1003" t="s">
        <v>2172</v>
      </c>
      <c r="I1040" s="1005" t="s">
        <v>2173</v>
      </c>
      <c r="J1040" s="1"/>
      <c r="K1040" s="1"/>
      <c r="L1040"/>
      <c r="M1040" s="1"/>
      <c r="N1040" s="1"/>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row>
    <row r="1041" spans="1:96" ht="12.75" customHeight="1" outlineLevel="2" x14ac:dyDescent="0.2">
      <c r="A1041"/>
      <c r="B1041" s="1395"/>
      <c r="C1041" s="1002"/>
      <c r="D1041" s="1003"/>
      <c r="E1041" s="1003"/>
      <c r="F1041" s="1003" t="s">
        <v>410</v>
      </c>
      <c r="G1041" s="1004"/>
      <c r="H1041" s="1003" t="s">
        <v>2174</v>
      </c>
      <c r="I1041" s="1005" t="s">
        <v>2175</v>
      </c>
      <c r="J1041" s="1"/>
      <c r="K1041" s="1"/>
      <c r="L1041"/>
      <c r="M1041" s="1"/>
      <c r="N1041" s="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row>
    <row r="1042" spans="1:96" ht="12.75" customHeight="1" outlineLevel="2" x14ac:dyDescent="0.2">
      <c r="A1042"/>
      <c r="B1042" s="1395"/>
      <c r="C1042" s="1002"/>
      <c r="D1042" s="1003"/>
      <c r="E1042" s="1003"/>
      <c r="F1042" s="1003" t="s">
        <v>411</v>
      </c>
      <c r="G1042" s="1004"/>
      <c r="H1042" s="1003" t="s">
        <v>2176</v>
      </c>
      <c r="I1042" s="1005" t="s">
        <v>2177</v>
      </c>
      <c r="J1042" s="1"/>
      <c r="K1042" s="1"/>
      <c r="L1042"/>
      <c r="M1042" s="1"/>
      <c r="N1042" s="1"/>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row>
    <row r="1043" spans="1:96" ht="12.75" customHeight="1" outlineLevel="2" x14ac:dyDescent="0.2">
      <c r="A1043"/>
      <c r="B1043" s="1395"/>
      <c r="C1043" s="1002"/>
      <c r="D1043" s="1003"/>
      <c r="E1043" s="1003"/>
      <c r="F1043" s="1003" t="s">
        <v>2381</v>
      </c>
      <c r="G1043" s="1004"/>
      <c r="H1043" s="1003" t="s">
        <v>2178</v>
      </c>
      <c r="I1043" s="1005" t="s">
        <v>2155</v>
      </c>
      <c r="J1043" s="1"/>
      <c r="K1043" s="1"/>
      <c r="L1043"/>
      <c r="M1043" s="1"/>
      <c r="N1043" s="1"/>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row>
    <row r="1044" spans="1:96" ht="12.75" customHeight="1" outlineLevel="2" x14ac:dyDescent="0.2">
      <c r="A1044"/>
      <c r="B1044" s="1395"/>
      <c r="C1044" s="1002"/>
      <c r="D1044" s="1003"/>
      <c r="E1044" s="1003"/>
      <c r="F1044" s="1003" t="s">
        <v>412</v>
      </c>
      <c r="G1044" s="1004"/>
      <c r="H1044" s="1003" t="s">
        <v>2179</v>
      </c>
      <c r="I1044" s="1005" t="s">
        <v>2180</v>
      </c>
      <c r="J1044" s="1"/>
      <c r="K1044" s="1"/>
      <c r="L1044"/>
      <c r="M1044" s="1"/>
      <c r="N1044" s="1"/>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row>
    <row r="1045" spans="1:96" ht="12.75" customHeight="1" outlineLevel="2" x14ac:dyDescent="0.2">
      <c r="A1045"/>
      <c r="B1045" s="1395"/>
      <c r="C1045" s="1002"/>
      <c r="D1045" s="1003"/>
      <c r="E1045" s="1003"/>
      <c r="F1045" s="1003" t="s">
        <v>413</v>
      </c>
      <c r="G1045" s="1004"/>
      <c r="H1045" s="1003" t="s">
        <v>428</v>
      </c>
      <c r="I1045" s="1005" t="s">
        <v>2181</v>
      </c>
      <c r="J1045" s="1"/>
      <c r="K1045" s="1"/>
      <c r="L1045"/>
      <c r="M1045" s="1"/>
      <c r="N1045" s="1"/>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row>
    <row r="1046" spans="1:96" ht="12.75" customHeight="1" outlineLevel="2" x14ac:dyDescent="0.2">
      <c r="A1046"/>
      <c r="B1046" s="1395"/>
      <c r="C1046" s="1002"/>
      <c r="D1046" s="1003"/>
      <c r="E1046" s="1003"/>
      <c r="F1046" s="1003" t="s">
        <v>2382</v>
      </c>
      <c r="G1046" s="1004"/>
      <c r="H1046" s="1003" t="s">
        <v>2182</v>
      </c>
      <c r="I1046" s="1005" t="s">
        <v>2183</v>
      </c>
      <c r="J1046" s="1"/>
      <c r="K1046" s="1"/>
      <c r="L1046"/>
      <c r="M1046" s="1"/>
      <c r="N1046" s="1"/>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row>
    <row r="1047" spans="1:96" ht="12.75" customHeight="1" outlineLevel="2" x14ac:dyDescent="0.2">
      <c r="A1047"/>
      <c r="B1047" s="1395"/>
      <c r="C1047" s="1002"/>
      <c r="D1047" s="1003"/>
      <c r="E1047" s="1003"/>
      <c r="F1047" s="1003" t="s">
        <v>2375</v>
      </c>
      <c r="G1047" s="1004"/>
      <c r="H1047" s="1003" t="s">
        <v>2184</v>
      </c>
      <c r="I1047" s="1005" t="s">
        <v>2185</v>
      </c>
      <c r="J1047" s="1"/>
      <c r="K1047" s="1"/>
      <c r="L1047"/>
      <c r="M1047" s="1"/>
      <c r="N1047" s="1"/>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row>
    <row r="1048" spans="1:96" ht="12.75" customHeight="1" outlineLevel="2" x14ac:dyDescent="0.2">
      <c r="A1048"/>
      <c r="B1048" s="1395"/>
      <c r="C1048" s="1002"/>
      <c r="D1048" s="1003"/>
      <c r="E1048" s="1003"/>
      <c r="F1048" s="1003" t="s">
        <v>414</v>
      </c>
      <c r="G1048" s="1004"/>
      <c r="H1048" s="1003" t="s">
        <v>2186</v>
      </c>
      <c r="I1048" s="1005" t="s">
        <v>2187</v>
      </c>
      <c r="J1048" s="1"/>
      <c r="K1048" s="1"/>
      <c r="L1048"/>
      <c r="M1048" s="1"/>
      <c r="N1048" s="1"/>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row>
    <row r="1049" spans="1:96" ht="12.75" customHeight="1" outlineLevel="2" x14ac:dyDescent="0.2">
      <c r="A1049"/>
      <c r="B1049" s="1395"/>
      <c r="C1049" s="1002"/>
      <c r="D1049" s="1003"/>
      <c r="E1049" s="1003"/>
      <c r="F1049" s="1003" t="s">
        <v>415</v>
      </c>
      <c r="G1049" s="1004"/>
      <c r="H1049" s="1003" t="s">
        <v>2188</v>
      </c>
      <c r="I1049" s="1005" t="s">
        <v>2189</v>
      </c>
      <c r="J1049" s="1"/>
      <c r="K1049" s="1"/>
      <c r="L1049"/>
      <c r="M1049" s="1"/>
      <c r="N1049" s="1"/>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row>
    <row r="1050" spans="1:96" ht="12.75" customHeight="1" outlineLevel="2" x14ac:dyDescent="0.2">
      <c r="A1050"/>
      <c r="B1050" s="1395"/>
      <c r="C1050" s="1002"/>
      <c r="D1050" s="1003"/>
      <c r="E1050" s="1003"/>
      <c r="F1050" s="1003" t="s">
        <v>2376</v>
      </c>
      <c r="G1050" s="1004"/>
      <c r="H1050" s="1003" t="s">
        <v>1757</v>
      </c>
      <c r="I1050" s="1005" t="s">
        <v>1759</v>
      </c>
      <c r="J1050" s="1"/>
      <c r="K1050" s="1"/>
      <c r="L1050"/>
      <c r="M1050" s="1"/>
      <c r="N1050" s="1"/>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row>
    <row r="1051" spans="1:96" ht="12.75" customHeight="1" outlineLevel="2" x14ac:dyDescent="0.2">
      <c r="A1051"/>
      <c r="B1051" s="1395"/>
      <c r="C1051" s="1002"/>
      <c r="D1051" s="1003"/>
      <c r="E1051" s="1003"/>
      <c r="F1051" s="1003" t="s">
        <v>2377</v>
      </c>
      <c r="G1051" s="1004"/>
      <c r="H1051" s="1003" t="s">
        <v>2190</v>
      </c>
      <c r="I1051" s="1005" t="s">
        <v>2011</v>
      </c>
      <c r="J1051" s="1"/>
      <c r="K1051" s="1"/>
      <c r="L1051"/>
      <c r="M1051" s="1"/>
      <c r="N1051" s="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row>
    <row r="1052" spans="1:96" ht="12.75" customHeight="1" outlineLevel="2" x14ac:dyDescent="0.2">
      <c r="A1052"/>
      <c r="B1052" s="1395"/>
      <c r="C1052" s="1002"/>
      <c r="D1052" s="1003"/>
      <c r="E1052" s="1003"/>
      <c r="F1052" s="1003" t="s">
        <v>416</v>
      </c>
      <c r="G1052" s="1004"/>
      <c r="H1052" s="1003"/>
      <c r="I1052" s="1005"/>
      <c r="J1052" s="1"/>
      <c r="K1052" s="1"/>
      <c r="L1052"/>
      <c r="M1052" s="1"/>
      <c r="N1052" s="1"/>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row>
    <row r="1053" spans="1:96" ht="12.75" customHeight="1" outlineLevel="2" x14ac:dyDescent="0.2">
      <c r="A1053"/>
      <c r="B1053" s="1395"/>
      <c r="C1053" s="1002"/>
      <c r="D1053" s="1003"/>
      <c r="E1053" s="1003"/>
      <c r="F1053" s="1003" t="s">
        <v>417</v>
      </c>
      <c r="G1053" s="1004"/>
      <c r="H1053" s="1003"/>
      <c r="I1053" s="1005"/>
      <c r="J1053" s="1"/>
      <c r="K1053" s="1"/>
      <c r="L1053"/>
      <c r="M1053" s="1"/>
      <c r="N1053" s="1"/>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row>
    <row r="1054" spans="1:96" ht="12.75" customHeight="1" outlineLevel="2" x14ac:dyDescent="0.2">
      <c r="A1054"/>
      <c r="B1054" s="1395"/>
      <c r="C1054" s="1002"/>
      <c r="D1054" s="1003"/>
      <c r="E1054" s="1003"/>
      <c r="F1054" s="1003" t="s">
        <v>418</v>
      </c>
      <c r="G1054" s="1004"/>
      <c r="H1054" s="1003"/>
      <c r="I1054" s="1005"/>
      <c r="J1054" s="1"/>
      <c r="K1054" s="1"/>
      <c r="L1054"/>
      <c r="M1054" s="1"/>
      <c r="N1054" s="1"/>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row>
    <row r="1055" spans="1:96" ht="12.75" customHeight="1" outlineLevel="2" x14ac:dyDescent="0.2">
      <c r="A1055"/>
      <c r="B1055" s="1395"/>
      <c r="C1055" s="1002"/>
      <c r="D1055" s="1003"/>
      <c r="E1055" s="1003"/>
      <c r="F1055" s="1003" t="s">
        <v>419</v>
      </c>
      <c r="G1055" s="1004"/>
      <c r="H1055" s="1003"/>
      <c r="I1055" s="1005"/>
      <c r="J1055" s="1"/>
      <c r="K1055" s="1"/>
      <c r="L1055"/>
      <c r="M1055" s="1"/>
      <c r="N1055" s="1"/>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row>
    <row r="1056" spans="1:96" ht="12.75" customHeight="1" outlineLevel="2" x14ac:dyDescent="0.2">
      <c r="A1056"/>
      <c r="B1056" s="1395"/>
      <c r="C1056" s="1002"/>
      <c r="D1056" s="1003"/>
      <c r="E1056" s="1003"/>
      <c r="F1056" s="1003" t="s">
        <v>420</v>
      </c>
      <c r="G1056" s="1004"/>
      <c r="H1056" s="1003"/>
      <c r="I1056" s="1005"/>
      <c r="J1056" s="1"/>
      <c r="K1056" s="1"/>
      <c r="L1056"/>
      <c r="M1056" s="1"/>
      <c r="N1056" s="1"/>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row>
    <row r="1057" spans="1:96" ht="12.75" customHeight="1" outlineLevel="2" x14ac:dyDescent="0.2">
      <c r="A1057"/>
      <c r="B1057" s="1395"/>
      <c r="C1057" s="1002"/>
      <c r="D1057" s="1003"/>
      <c r="E1057" s="1003"/>
      <c r="F1057" s="1003" t="s">
        <v>421</v>
      </c>
      <c r="G1057" s="1004"/>
      <c r="H1057" s="1003"/>
      <c r="I1057" s="1005"/>
      <c r="J1057" s="1"/>
      <c r="K1057" s="1"/>
      <c r="L1057"/>
      <c r="M1057" s="1"/>
      <c r="N1057" s="1"/>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row>
    <row r="1058" spans="1:96" ht="12.75" customHeight="1" outlineLevel="2" x14ac:dyDescent="0.2">
      <c r="A1058"/>
      <c r="B1058" s="1395"/>
      <c r="C1058" s="1002"/>
      <c r="D1058" s="1003"/>
      <c r="E1058" s="1003"/>
      <c r="F1058" s="1003" t="s">
        <v>422</v>
      </c>
      <c r="G1058" s="1004"/>
      <c r="H1058" s="1003"/>
      <c r="I1058" s="1005"/>
      <c r="J1058" s="1"/>
      <c r="K1058" s="1"/>
      <c r="L1058"/>
      <c r="M1058" s="1"/>
      <c r="N1058" s="1"/>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row>
    <row r="1059" spans="1:96" ht="12.75" customHeight="1" outlineLevel="2" x14ac:dyDescent="0.2">
      <c r="A1059"/>
      <c r="B1059" s="1395"/>
      <c r="C1059" s="1002"/>
      <c r="D1059" s="1003"/>
      <c r="E1059" s="1003"/>
      <c r="F1059" s="1003" t="s">
        <v>423</v>
      </c>
      <c r="G1059" s="1004"/>
      <c r="H1059" s="1003"/>
      <c r="I1059" s="1005"/>
      <c r="J1059" s="1"/>
      <c r="K1059" s="1"/>
      <c r="L1059"/>
      <c r="M1059" s="1"/>
      <c r="N1059" s="1"/>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row>
    <row r="1060" spans="1:96" ht="12.75" customHeight="1" outlineLevel="2" x14ac:dyDescent="0.2">
      <c r="A1060"/>
      <c r="B1060" s="1395"/>
      <c r="C1060" s="1002"/>
      <c r="D1060" s="1003"/>
      <c r="E1060" s="1003"/>
      <c r="F1060" s="1003" t="s">
        <v>424</v>
      </c>
      <c r="G1060" s="1004"/>
      <c r="H1060" s="1003"/>
      <c r="I1060" s="1005"/>
      <c r="J1060" s="1"/>
      <c r="K1060" s="1"/>
      <c r="L1060"/>
      <c r="M1060" s="1"/>
      <c r="N1060" s="1"/>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row>
    <row r="1061" spans="1:96" ht="12.75" customHeight="1" outlineLevel="2" x14ac:dyDescent="0.2">
      <c r="A1061"/>
      <c r="B1061" s="1395"/>
      <c r="C1061" s="1002"/>
      <c r="D1061" s="1003"/>
      <c r="E1061" s="1003"/>
      <c r="F1061" s="1003" t="s">
        <v>425</v>
      </c>
      <c r="G1061" s="1004"/>
      <c r="H1061" s="1003"/>
      <c r="I1061" s="1005"/>
      <c r="J1061" s="1"/>
      <c r="K1061" s="1"/>
      <c r="L1061"/>
      <c r="M1061" s="1"/>
      <c r="N1061" s="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row>
    <row r="1062" spans="1:96" ht="12.75" customHeight="1" outlineLevel="2" x14ac:dyDescent="0.2">
      <c r="A1062"/>
      <c r="B1062" s="1395"/>
      <c r="C1062" s="1002"/>
      <c r="D1062" s="1003"/>
      <c r="E1062" s="1003"/>
      <c r="F1062" s="1003" t="s">
        <v>426</v>
      </c>
      <c r="G1062" s="1004"/>
      <c r="H1062" s="1003"/>
      <c r="I1062" s="1005"/>
      <c r="J1062" s="1"/>
      <c r="K1062" s="1"/>
      <c r="L1062"/>
      <c r="M1062" s="1"/>
      <c r="N1062" s="1"/>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row>
    <row r="1063" spans="1:96" outlineLevel="1" x14ac:dyDescent="0.2">
      <c r="A1063"/>
      <c r="B1063" s="1395">
        <f>C1063*1000000+D1063*1000+E1063</f>
        <v>28028064</v>
      </c>
      <c r="C1063" s="1002">
        <v>28</v>
      </c>
      <c r="D1063" s="1003">
        <v>28</v>
      </c>
      <c r="E1063" s="1003">
        <v>64</v>
      </c>
      <c r="F1063" s="1003" t="s">
        <v>2383</v>
      </c>
      <c r="G1063" s="1004"/>
      <c r="H1063" s="1003" t="s">
        <v>2191</v>
      </c>
      <c r="I1063" s="1005" t="s">
        <v>2013</v>
      </c>
      <c r="J1063" s="1"/>
      <c r="K1063" s="1"/>
      <c r="L1063"/>
      <c r="M1063" s="1"/>
      <c r="N1063" s="1"/>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row>
    <row r="1064" spans="1:96" ht="12.75" customHeight="1" outlineLevel="2" x14ac:dyDescent="0.2">
      <c r="A1064"/>
      <c r="B1064" s="1395"/>
      <c r="C1064" s="1002"/>
      <c r="D1064" s="1003"/>
      <c r="E1064" s="1003"/>
      <c r="F1064" s="1003" t="s">
        <v>2384</v>
      </c>
      <c r="G1064" s="1004"/>
      <c r="H1064" s="1003" t="s">
        <v>1248</v>
      </c>
      <c r="I1064" s="1005" t="s">
        <v>1769</v>
      </c>
      <c r="J1064" s="1"/>
      <c r="K1064" s="1"/>
      <c r="L1064"/>
      <c r="M1064" s="1"/>
      <c r="N1064" s="1"/>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row>
    <row r="1065" spans="1:96" ht="12.75" customHeight="1" outlineLevel="2" x14ac:dyDescent="0.2">
      <c r="A1065"/>
      <c r="B1065" s="1395"/>
      <c r="C1065" s="1002"/>
      <c r="D1065" s="1003"/>
      <c r="E1065" s="1003"/>
      <c r="F1065" s="1003" t="s">
        <v>2385</v>
      </c>
      <c r="G1065" s="1004"/>
      <c r="H1065" s="1003" t="s">
        <v>2192</v>
      </c>
      <c r="I1065" s="1005" t="s">
        <v>2193</v>
      </c>
      <c r="J1065" s="1"/>
      <c r="K1065" s="1"/>
      <c r="L1065"/>
      <c r="M1065" s="1"/>
      <c r="N1065" s="1"/>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row>
    <row r="1066" spans="1:96" ht="12.75" customHeight="1" outlineLevel="2" x14ac:dyDescent="0.2">
      <c r="A1066"/>
      <c r="B1066" s="1395"/>
      <c r="C1066" s="1002"/>
      <c r="D1066" s="1003"/>
      <c r="E1066" s="1003"/>
      <c r="F1066" s="1003" t="s">
        <v>2386</v>
      </c>
      <c r="G1066" s="1004"/>
      <c r="H1066" s="1003" t="s">
        <v>2194</v>
      </c>
      <c r="I1066" s="1005" t="s">
        <v>2195</v>
      </c>
      <c r="J1066" s="1"/>
      <c r="K1066" s="1"/>
      <c r="L1066"/>
      <c r="M1066" s="1"/>
      <c r="N1066" s="1"/>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row>
    <row r="1067" spans="1:96" ht="12.75" customHeight="1" outlineLevel="2" x14ac:dyDescent="0.2">
      <c r="A1067"/>
      <c r="B1067" s="1395"/>
      <c r="C1067" s="1002"/>
      <c r="D1067" s="1003"/>
      <c r="E1067" s="1003"/>
      <c r="F1067" s="1003" t="s">
        <v>2387</v>
      </c>
      <c r="G1067" s="1004"/>
      <c r="H1067" s="1003" t="s">
        <v>2196</v>
      </c>
      <c r="I1067" s="1005" t="s">
        <v>2197</v>
      </c>
      <c r="J1067" s="1"/>
      <c r="K1067" s="1"/>
      <c r="L1067"/>
      <c r="M1067" s="1"/>
      <c r="N1067" s="1"/>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row>
    <row r="1068" spans="1:96" ht="12.75" customHeight="1" outlineLevel="2" x14ac:dyDescent="0.2">
      <c r="A1068"/>
      <c r="B1068" s="1395"/>
      <c r="C1068" s="1002"/>
      <c r="D1068" s="1003"/>
      <c r="E1068" s="1003"/>
      <c r="F1068" s="1003" t="s">
        <v>2388</v>
      </c>
      <c r="G1068" s="1004"/>
      <c r="H1068" s="1003" t="s">
        <v>2198</v>
      </c>
      <c r="I1068" s="1005" t="s">
        <v>2199</v>
      </c>
      <c r="J1068" s="1"/>
      <c r="K1068" s="1"/>
      <c r="L1068"/>
      <c r="M1068" s="1"/>
      <c r="N1068" s="1"/>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row>
    <row r="1069" spans="1:96" ht="12.75" customHeight="1" outlineLevel="2" x14ac:dyDescent="0.2">
      <c r="A1069"/>
      <c r="B1069" s="1395"/>
      <c r="C1069" s="1002"/>
      <c r="D1069" s="1003"/>
      <c r="E1069" s="1003"/>
      <c r="F1069" s="1003" t="s">
        <v>2389</v>
      </c>
      <c r="G1069" s="1004"/>
      <c r="H1069" s="1003" t="s">
        <v>2200</v>
      </c>
      <c r="I1069" s="1005" t="s">
        <v>2201</v>
      </c>
      <c r="J1069" s="1"/>
      <c r="K1069" s="1"/>
      <c r="L1069"/>
      <c r="M1069" s="1"/>
      <c r="N1069" s="1"/>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row>
    <row r="1070" spans="1:96" ht="12.75" customHeight="1" outlineLevel="2" x14ac:dyDescent="0.2">
      <c r="A1070"/>
      <c r="B1070" s="1395"/>
      <c r="C1070" s="1002"/>
      <c r="D1070" s="1003"/>
      <c r="E1070" s="1003"/>
      <c r="F1070" s="1003" t="s">
        <v>2390</v>
      </c>
      <c r="G1070" s="1004"/>
      <c r="H1070" s="1003" t="s">
        <v>2202</v>
      </c>
      <c r="I1070" s="1005" t="s">
        <v>2203</v>
      </c>
      <c r="J1070" s="1"/>
      <c r="K1070" s="1"/>
      <c r="L1070"/>
      <c r="M1070" s="1"/>
      <c r="N1070" s="1"/>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row>
    <row r="1071" spans="1:96" ht="12.75" customHeight="1" outlineLevel="2" x14ac:dyDescent="0.2">
      <c r="A1071"/>
      <c r="B1071" s="1395"/>
      <c r="C1071" s="1002"/>
      <c r="D1071" s="1003"/>
      <c r="E1071" s="1003"/>
      <c r="F1071" s="1003" t="s">
        <v>2391</v>
      </c>
      <c r="G1071" s="1004"/>
      <c r="H1071" s="1003" t="s">
        <v>2204</v>
      </c>
      <c r="I1071" s="1005" t="s">
        <v>2205</v>
      </c>
      <c r="J1071" s="1"/>
      <c r="K1071" s="1"/>
      <c r="L1071"/>
      <c r="M1071" s="1"/>
      <c r="N1071" s="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row>
    <row r="1072" spans="1:96" ht="12.75" customHeight="1" outlineLevel="2" x14ac:dyDescent="0.2">
      <c r="A1072"/>
      <c r="B1072" s="1395"/>
      <c r="C1072" s="1002"/>
      <c r="D1072" s="1003"/>
      <c r="E1072" s="1003"/>
      <c r="F1072" s="1003" t="s">
        <v>2392</v>
      </c>
      <c r="G1072" s="1004"/>
      <c r="H1072" s="1003" t="s">
        <v>2206</v>
      </c>
      <c r="I1072" s="1005" t="s">
        <v>2207</v>
      </c>
      <c r="J1072" s="1"/>
      <c r="K1072" s="1"/>
      <c r="L1072"/>
      <c r="M1072" s="1"/>
      <c r="N1072" s="1"/>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row>
    <row r="1073" spans="1:96" ht="12.75" customHeight="1" outlineLevel="2" x14ac:dyDescent="0.2">
      <c r="A1073"/>
      <c r="B1073" s="1395"/>
      <c r="C1073" s="1002"/>
      <c r="D1073" s="1003"/>
      <c r="E1073" s="1003"/>
      <c r="F1073" s="1003" t="s">
        <v>2393</v>
      </c>
      <c r="G1073" s="1004"/>
      <c r="H1073" s="1003" t="s">
        <v>2208</v>
      </c>
      <c r="I1073" s="1005" t="s">
        <v>2209</v>
      </c>
      <c r="J1073" s="1"/>
      <c r="K1073" s="1"/>
      <c r="L1073"/>
      <c r="M1073" s="1"/>
      <c r="N1073" s="1"/>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row>
    <row r="1074" spans="1:96" ht="12.75" customHeight="1" outlineLevel="2" x14ac:dyDescent="0.2">
      <c r="A1074"/>
      <c r="B1074" s="1395"/>
      <c r="C1074" s="1002"/>
      <c r="D1074" s="1003"/>
      <c r="E1074" s="1003"/>
      <c r="F1074" s="1003" t="s">
        <v>2394</v>
      </c>
      <c r="G1074" s="1004"/>
      <c r="H1074" s="1003" t="s">
        <v>2210</v>
      </c>
      <c r="I1074" s="1005" t="s">
        <v>2211</v>
      </c>
      <c r="J1074" s="1"/>
      <c r="K1074" s="1"/>
      <c r="L1074"/>
      <c r="M1074" s="1"/>
      <c r="N1074" s="1"/>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row>
    <row r="1075" spans="1:96" ht="12.75" customHeight="1" outlineLevel="2" x14ac:dyDescent="0.2">
      <c r="A1075"/>
      <c r="B1075" s="1395"/>
      <c r="C1075" s="1002"/>
      <c r="D1075" s="1003"/>
      <c r="E1075" s="1003"/>
      <c r="F1075" s="1003" t="s">
        <v>2395</v>
      </c>
      <c r="G1075" s="1004"/>
      <c r="H1075" s="1003" t="s">
        <v>2212</v>
      </c>
      <c r="I1075" s="1005" t="s">
        <v>2213</v>
      </c>
      <c r="J1075" s="1"/>
      <c r="K1075" s="1"/>
      <c r="L1075"/>
      <c r="M1075" s="1"/>
      <c r="N1075" s="1"/>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row>
    <row r="1076" spans="1:96" ht="12.75" customHeight="1" outlineLevel="2" x14ac:dyDescent="0.2">
      <c r="A1076"/>
      <c r="B1076" s="1395"/>
      <c r="C1076" s="1002"/>
      <c r="D1076" s="1003"/>
      <c r="E1076" s="1003"/>
      <c r="F1076" s="1003" t="s">
        <v>2396</v>
      </c>
      <c r="G1076" s="1004"/>
      <c r="H1076" s="1003" t="s">
        <v>2214</v>
      </c>
      <c r="I1076" s="1005" t="s">
        <v>2215</v>
      </c>
      <c r="J1076" s="1"/>
      <c r="K1076" s="1"/>
      <c r="L1076"/>
      <c r="M1076" s="1"/>
      <c r="N1076" s="1"/>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row>
    <row r="1077" spans="1:96" ht="12.75" customHeight="1" outlineLevel="2" x14ac:dyDescent="0.2">
      <c r="A1077"/>
      <c r="B1077" s="1395"/>
      <c r="C1077" s="1002"/>
      <c r="D1077" s="1003"/>
      <c r="E1077" s="1003"/>
      <c r="F1077" s="1003" t="s">
        <v>2397</v>
      </c>
      <c r="G1077" s="1004"/>
      <c r="H1077" s="1003" t="s">
        <v>1768</v>
      </c>
      <c r="I1077" s="1005" t="s">
        <v>1770</v>
      </c>
      <c r="J1077" s="1"/>
      <c r="K1077" s="1"/>
      <c r="L1077"/>
      <c r="M1077" s="1"/>
      <c r="N1077" s="1"/>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row>
    <row r="1078" spans="1:96" ht="12.75" customHeight="1" outlineLevel="2" x14ac:dyDescent="0.2">
      <c r="A1078"/>
      <c r="B1078" s="1395"/>
      <c r="C1078" s="1002"/>
      <c r="D1078" s="1003"/>
      <c r="E1078" s="1003"/>
      <c r="F1078" s="1003" t="s">
        <v>2398</v>
      </c>
      <c r="G1078" s="1004"/>
      <c r="H1078" s="1003" t="s">
        <v>2216</v>
      </c>
      <c r="I1078" s="1005" t="s">
        <v>2217</v>
      </c>
      <c r="J1078" s="1"/>
      <c r="K1078" s="1"/>
      <c r="L1078"/>
      <c r="M1078" s="1"/>
      <c r="N1078" s="1"/>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row>
    <row r="1079" spans="1:96" ht="12.75" customHeight="1" outlineLevel="2" x14ac:dyDescent="0.2">
      <c r="A1079"/>
      <c r="B1079" s="1395"/>
      <c r="C1079" s="1002"/>
      <c r="D1079" s="1003"/>
      <c r="E1079" s="1003"/>
      <c r="F1079" s="1003" t="s">
        <v>2399</v>
      </c>
      <c r="G1079" s="1004"/>
      <c r="H1079" s="1003"/>
      <c r="I1079" s="1005"/>
      <c r="J1079" s="1"/>
      <c r="K1079" s="1"/>
      <c r="L1079"/>
      <c r="M1079" s="1"/>
      <c r="N1079" s="1"/>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row>
    <row r="1080" spans="1:96" ht="12.75" customHeight="1" outlineLevel="2" x14ac:dyDescent="0.2">
      <c r="A1080"/>
      <c r="B1080" s="1395"/>
      <c r="C1080" s="1002"/>
      <c r="D1080" s="1003"/>
      <c r="E1080" s="1003"/>
      <c r="F1080" s="1003" t="s">
        <v>2400</v>
      </c>
      <c r="G1080" s="1004"/>
      <c r="H1080" s="1003"/>
      <c r="I1080" s="1005"/>
      <c r="J1080" s="1"/>
      <c r="K1080" s="1"/>
      <c r="L1080"/>
      <c r="M1080" s="1"/>
      <c r="N1080" s="1"/>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row>
    <row r="1081" spans="1:96" ht="12.75" customHeight="1" outlineLevel="2" x14ac:dyDescent="0.2">
      <c r="A1081"/>
      <c r="B1081" s="1395"/>
      <c r="C1081" s="1002"/>
      <c r="D1081" s="1003"/>
      <c r="E1081" s="1003"/>
      <c r="F1081" s="1003" t="s">
        <v>2401</v>
      </c>
      <c r="G1081" s="1004"/>
      <c r="H1081" s="1003"/>
      <c r="I1081" s="1005"/>
      <c r="J1081" s="1"/>
      <c r="K1081" s="1"/>
      <c r="L1081"/>
      <c r="M1081" s="1"/>
      <c r="N1081" s="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row>
    <row r="1082" spans="1:96" ht="12.75" customHeight="1" outlineLevel="2" x14ac:dyDescent="0.2">
      <c r="A1082"/>
      <c r="B1082" s="1395"/>
      <c r="C1082" s="1002"/>
      <c r="D1082" s="1003"/>
      <c r="E1082" s="1003"/>
      <c r="F1082" s="1003" t="s">
        <v>2402</v>
      </c>
      <c r="G1082" s="1004"/>
      <c r="H1082" s="1003"/>
      <c r="I1082" s="1005"/>
      <c r="J1082" s="1"/>
      <c r="K1082" s="1"/>
      <c r="L1082"/>
      <c r="M1082" s="1"/>
      <c r="N1082" s="1"/>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row>
    <row r="1083" spans="1:96" ht="12.75" customHeight="1" outlineLevel="2" x14ac:dyDescent="0.2">
      <c r="A1083"/>
      <c r="B1083" s="1395"/>
      <c r="C1083" s="1002"/>
      <c r="D1083" s="1003"/>
      <c r="E1083" s="1003"/>
      <c r="F1083" s="1003" t="s">
        <v>1760</v>
      </c>
      <c r="G1083" s="1004"/>
      <c r="H1083" s="1003"/>
      <c r="I1083" s="1005"/>
      <c r="J1083" s="1"/>
      <c r="K1083" s="1"/>
      <c r="L1083"/>
      <c r="M1083" s="1"/>
      <c r="N1083" s="1"/>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row>
    <row r="1084" spans="1:96" ht="12.75" customHeight="1" outlineLevel="2" x14ac:dyDescent="0.2">
      <c r="A1084"/>
      <c r="B1084" s="1395"/>
      <c r="C1084" s="1002"/>
      <c r="D1084" s="1003"/>
      <c r="E1084" s="1003"/>
      <c r="F1084" s="1003" t="s">
        <v>1761</v>
      </c>
      <c r="G1084" s="1004"/>
      <c r="H1084" s="1003"/>
      <c r="I1084" s="1005"/>
      <c r="J1084" s="1"/>
      <c r="K1084" s="1"/>
      <c r="L1084"/>
      <c r="M1084" s="1"/>
      <c r="N1084" s="1"/>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row>
    <row r="1085" spans="1:96" ht="12.75" customHeight="1" outlineLevel="2" x14ac:dyDescent="0.2">
      <c r="A1085"/>
      <c r="B1085" s="1395"/>
      <c r="C1085" s="1002"/>
      <c r="D1085" s="1003"/>
      <c r="E1085" s="1003"/>
      <c r="F1085" s="1003" t="s">
        <v>1762</v>
      </c>
      <c r="G1085" s="1004"/>
      <c r="H1085" s="1003"/>
      <c r="I1085" s="1005"/>
      <c r="J1085" s="1"/>
      <c r="K1085" s="1"/>
      <c r="L1085"/>
      <c r="M1085" s="1"/>
      <c r="N1085" s="1"/>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row>
    <row r="1086" spans="1:96" ht="12.75" customHeight="1" outlineLevel="2" x14ac:dyDescent="0.2">
      <c r="A1086"/>
      <c r="B1086" s="1395"/>
      <c r="C1086" s="1002"/>
      <c r="D1086" s="1003"/>
      <c r="E1086" s="1003"/>
      <c r="F1086" s="1003" t="s">
        <v>1763</v>
      </c>
      <c r="G1086" s="1004"/>
      <c r="H1086" s="1003"/>
      <c r="I1086" s="1005"/>
      <c r="J1086" s="1"/>
      <c r="K1086" s="1"/>
      <c r="L1086"/>
      <c r="M1086" s="1"/>
      <c r="N1086" s="1"/>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row>
    <row r="1087" spans="1:96" ht="12.75" customHeight="1" outlineLevel="2" x14ac:dyDescent="0.2">
      <c r="A1087"/>
      <c r="B1087" s="1395"/>
      <c r="C1087" s="1002"/>
      <c r="D1087" s="1003"/>
      <c r="E1087" s="1003"/>
      <c r="F1087" s="1003" t="s">
        <v>1764</v>
      </c>
      <c r="G1087" s="1004"/>
      <c r="H1087" s="1003"/>
      <c r="I1087" s="1005"/>
      <c r="J1087" s="1"/>
      <c r="K1087" s="1"/>
      <c r="L1087"/>
      <c r="M1087" s="1"/>
      <c r="N1087" s="1"/>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row>
    <row r="1088" spans="1:96" ht="12.75" customHeight="1" outlineLevel="2" x14ac:dyDescent="0.2">
      <c r="A1088"/>
      <c r="B1088" s="1395"/>
      <c r="C1088" s="1002"/>
      <c r="D1088" s="1003"/>
      <c r="E1088" s="1003"/>
      <c r="F1088" s="1003" t="s">
        <v>1765</v>
      </c>
      <c r="G1088" s="1004"/>
      <c r="H1088" s="1003"/>
      <c r="I1088" s="1005"/>
      <c r="J1088" s="1"/>
      <c r="K1088" s="1"/>
      <c r="L1088"/>
      <c r="M1088" s="1"/>
      <c r="N1088" s="1"/>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row>
    <row r="1089" spans="1:96" ht="12.75" customHeight="1" outlineLevel="2" x14ac:dyDescent="0.2">
      <c r="A1089"/>
      <c r="B1089" s="1395"/>
      <c r="C1089" s="1002"/>
      <c r="D1089" s="1003"/>
      <c r="E1089" s="1003"/>
      <c r="F1089" s="1003" t="s">
        <v>1766</v>
      </c>
      <c r="G1089" s="1004"/>
      <c r="H1089" s="1003"/>
      <c r="I1089" s="1005"/>
      <c r="J1089" s="1"/>
      <c r="K1089" s="1"/>
      <c r="L1089"/>
      <c r="M1089" s="1"/>
      <c r="N1089" s="1"/>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row>
    <row r="1090" spans="1:96" ht="12.75" customHeight="1" outlineLevel="2" x14ac:dyDescent="0.2">
      <c r="A1090"/>
      <c r="B1090" s="1395"/>
      <c r="C1090" s="1002"/>
      <c r="D1090" s="1003"/>
      <c r="E1090" s="1003"/>
      <c r="F1090" s="1003" t="s">
        <v>1767</v>
      </c>
      <c r="G1090" s="1004"/>
      <c r="H1090" s="1003"/>
      <c r="I1090" s="1005"/>
      <c r="J1090" s="1"/>
      <c r="K1090" s="1"/>
      <c r="L1090"/>
      <c r="M1090" s="1"/>
      <c r="N1090" s="1"/>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row>
    <row r="1091" spans="1:96" outlineLevel="1" x14ac:dyDescent="0.2">
      <c r="A1091"/>
      <c r="B1091" s="1395">
        <f>C1091*1000000+D1091*1000+E1091</f>
        <v>29029064</v>
      </c>
      <c r="C1091" s="1002">
        <v>29</v>
      </c>
      <c r="D1091" s="1003">
        <v>29</v>
      </c>
      <c r="E1091" s="1003">
        <v>64</v>
      </c>
      <c r="F1091" s="1003" t="s">
        <v>1306</v>
      </c>
      <c r="G1091" s="1004"/>
      <c r="H1091" s="1003" t="s">
        <v>2218</v>
      </c>
      <c r="I1091" s="1005" t="s">
        <v>2219</v>
      </c>
      <c r="J1091" s="1"/>
      <c r="K1091" s="1"/>
      <c r="L1091"/>
      <c r="M1091" s="1"/>
      <c r="N1091" s="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row>
    <row r="1092" spans="1:96" ht="12.75" customHeight="1" outlineLevel="2" x14ac:dyDescent="0.2">
      <c r="A1092"/>
      <c r="B1092" s="1395"/>
      <c r="C1092" s="1002"/>
      <c r="D1092" s="1003"/>
      <c r="E1092" s="1003"/>
      <c r="F1092" s="1003" t="s">
        <v>557</v>
      </c>
      <c r="G1092" s="1004"/>
      <c r="H1092" s="1003" t="s">
        <v>1787</v>
      </c>
      <c r="I1092" s="1005" t="s">
        <v>1788</v>
      </c>
      <c r="J1092" s="1"/>
      <c r="K1092" s="1"/>
      <c r="L1092"/>
      <c r="M1092" s="1"/>
      <c r="N1092" s="1"/>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row>
    <row r="1093" spans="1:96" ht="12.75" customHeight="1" outlineLevel="2" x14ac:dyDescent="0.2">
      <c r="A1093"/>
      <c r="B1093" s="1395"/>
      <c r="C1093" s="1002"/>
      <c r="D1093" s="1003"/>
      <c r="E1093" s="1003"/>
      <c r="F1093" s="1003" t="s">
        <v>558</v>
      </c>
      <c r="G1093" s="1004"/>
      <c r="H1093" s="1003" t="s">
        <v>2220</v>
      </c>
      <c r="I1093" s="1005" t="s">
        <v>2221</v>
      </c>
      <c r="J1093" s="1"/>
      <c r="K1093" s="1"/>
      <c r="L1093"/>
      <c r="M1093" s="1"/>
      <c r="N1093" s="1"/>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row>
    <row r="1094" spans="1:96" ht="12.75" customHeight="1" outlineLevel="2" x14ac:dyDescent="0.2">
      <c r="A1094"/>
      <c r="B1094" s="1395"/>
      <c r="C1094" s="1002"/>
      <c r="D1094" s="1003"/>
      <c r="E1094" s="1003"/>
      <c r="F1094" s="1003" t="s">
        <v>1771</v>
      </c>
      <c r="G1094" s="1004"/>
      <c r="H1094" s="1003" t="s">
        <v>2222</v>
      </c>
      <c r="I1094" s="1005" t="s">
        <v>2223</v>
      </c>
      <c r="J1094" s="1"/>
      <c r="K1094" s="1"/>
      <c r="L1094"/>
      <c r="M1094" s="1"/>
      <c r="N1094" s="1"/>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row>
    <row r="1095" spans="1:96" ht="12.75" customHeight="1" outlineLevel="2" x14ac:dyDescent="0.2">
      <c r="A1095"/>
      <c r="B1095" s="1395"/>
      <c r="C1095" s="1002"/>
      <c r="D1095" s="1003"/>
      <c r="E1095" s="1003"/>
      <c r="F1095" s="1003" t="s">
        <v>1310</v>
      </c>
      <c r="G1095" s="1004"/>
      <c r="H1095" s="1003" t="s">
        <v>2224</v>
      </c>
      <c r="I1095" s="1005" t="s">
        <v>2225</v>
      </c>
      <c r="J1095" s="1"/>
      <c r="K1095" s="1"/>
      <c r="L1095"/>
      <c r="M1095" s="1"/>
      <c r="N1095" s="1"/>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row>
    <row r="1096" spans="1:96" ht="12.75" customHeight="1" outlineLevel="2" x14ac:dyDescent="0.2">
      <c r="A1096"/>
      <c r="B1096" s="1395"/>
      <c r="C1096" s="1002"/>
      <c r="D1096" s="1003"/>
      <c r="E1096" s="1003"/>
      <c r="F1096" s="1003" t="s">
        <v>1772</v>
      </c>
      <c r="G1096" s="1004"/>
      <c r="H1096" s="1003" t="s">
        <v>2226</v>
      </c>
      <c r="I1096" s="1005" t="s">
        <v>2227</v>
      </c>
      <c r="J1096" s="1"/>
      <c r="K1096" s="1"/>
      <c r="L1096"/>
      <c r="M1096" s="1"/>
      <c r="N1096" s="1"/>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row>
    <row r="1097" spans="1:96" ht="12.75" customHeight="1" outlineLevel="2" x14ac:dyDescent="0.2">
      <c r="A1097"/>
      <c r="B1097" s="1395"/>
      <c r="C1097" s="1002"/>
      <c r="D1097" s="1003"/>
      <c r="E1097" s="1003"/>
      <c r="F1097" s="1003" t="s">
        <v>1773</v>
      </c>
      <c r="G1097" s="1004"/>
      <c r="H1097" s="1003" t="s">
        <v>2228</v>
      </c>
      <c r="I1097" s="1005" t="s">
        <v>2229</v>
      </c>
      <c r="J1097" s="1"/>
      <c r="K1097" s="1"/>
      <c r="L1097"/>
      <c r="M1097" s="1"/>
      <c r="N1097" s="1"/>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row>
    <row r="1098" spans="1:96" ht="12.75" customHeight="1" outlineLevel="2" x14ac:dyDescent="0.2">
      <c r="A1098"/>
      <c r="B1098" s="1395"/>
      <c r="C1098" s="1002"/>
      <c r="D1098" s="1003"/>
      <c r="E1098" s="1003"/>
      <c r="F1098" s="1003" t="s">
        <v>562</v>
      </c>
      <c r="G1098" s="1004"/>
      <c r="H1098" s="1003" t="s">
        <v>2230</v>
      </c>
      <c r="I1098" s="1005" t="s">
        <v>2231</v>
      </c>
      <c r="J1098" s="1"/>
      <c r="K1098" s="1"/>
      <c r="L1098"/>
      <c r="M1098" s="1"/>
      <c r="N1098" s="1"/>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row>
    <row r="1099" spans="1:96" ht="12.75" customHeight="1" outlineLevel="2" x14ac:dyDescent="0.2">
      <c r="A1099"/>
      <c r="B1099" s="1395"/>
      <c r="C1099" s="1002"/>
      <c r="D1099" s="1003"/>
      <c r="E1099" s="1003"/>
      <c r="F1099" s="1003" t="s">
        <v>563</v>
      </c>
      <c r="G1099" s="1004"/>
      <c r="H1099" s="1003" t="s">
        <v>2179</v>
      </c>
      <c r="I1099" s="1005" t="s">
        <v>2232</v>
      </c>
      <c r="J1099" s="1"/>
      <c r="K1099" s="1"/>
      <c r="L1099"/>
      <c r="M1099" s="1"/>
      <c r="N1099" s="1"/>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row>
    <row r="1100" spans="1:96" ht="12.75" customHeight="1" outlineLevel="2" x14ac:dyDescent="0.2">
      <c r="A1100"/>
      <c r="B1100" s="1395"/>
      <c r="C1100" s="1002"/>
      <c r="D1100" s="1003"/>
      <c r="E1100" s="1003"/>
      <c r="F1100" s="1003" t="s">
        <v>564</v>
      </c>
      <c r="G1100" s="1004"/>
      <c r="H1100" s="1003" t="s">
        <v>2233</v>
      </c>
      <c r="I1100" s="1005" t="s">
        <v>2234</v>
      </c>
      <c r="J1100" s="1"/>
      <c r="K1100" s="1"/>
      <c r="L1100"/>
      <c r="M1100" s="1"/>
      <c r="N1100" s="1"/>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row>
    <row r="1101" spans="1:96" ht="12.75" customHeight="1" outlineLevel="2" x14ac:dyDescent="0.2">
      <c r="A1101"/>
      <c r="B1101" s="1395"/>
      <c r="C1101" s="1002"/>
      <c r="D1101" s="1003"/>
      <c r="E1101" s="1003"/>
      <c r="F1101" s="1003" t="s">
        <v>565</v>
      </c>
      <c r="G1101" s="1004"/>
      <c r="H1101" s="1003" t="s">
        <v>2235</v>
      </c>
      <c r="I1101" s="1005" t="s">
        <v>2236</v>
      </c>
      <c r="J1101" s="1"/>
      <c r="K1101" s="1"/>
      <c r="L1101"/>
      <c r="M1101" s="1"/>
      <c r="N1101" s="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row>
    <row r="1102" spans="1:96" ht="12.75" customHeight="1" outlineLevel="2" x14ac:dyDescent="0.2">
      <c r="A1102"/>
      <c r="B1102" s="1395"/>
      <c r="C1102" s="1002"/>
      <c r="D1102" s="1003"/>
      <c r="E1102" s="1003"/>
      <c r="F1102" s="1003" t="s">
        <v>1774</v>
      </c>
      <c r="G1102" s="1004"/>
      <c r="H1102" s="1003" t="s">
        <v>2237</v>
      </c>
      <c r="I1102" s="1005" t="s">
        <v>2238</v>
      </c>
      <c r="J1102" s="1"/>
      <c r="K1102" s="1"/>
      <c r="L1102"/>
      <c r="M1102" s="1"/>
      <c r="N1102" s="1"/>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row>
    <row r="1103" spans="1:96" ht="12.75" customHeight="1" outlineLevel="2" x14ac:dyDescent="0.2">
      <c r="A1103"/>
      <c r="B1103" s="1395"/>
      <c r="C1103" s="1002"/>
      <c r="D1103" s="1003"/>
      <c r="E1103" s="1003"/>
      <c r="F1103" s="1003" t="s">
        <v>1775</v>
      </c>
      <c r="G1103" s="1004"/>
      <c r="H1103" s="1003" t="s">
        <v>2239</v>
      </c>
      <c r="I1103" s="1005" t="s">
        <v>2240</v>
      </c>
      <c r="J1103" s="1"/>
      <c r="K1103" s="1"/>
      <c r="L1103"/>
      <c r="M1103" s="1"/>
      <c r="N1103" s="1"/>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row>
    <row r="1104" spans="1:96" ht="12.75" customHeight="1" outlineLevel="2" x14ac:dyDescent="0.2">
      <c r="A1104"/>
      <c r="B1104" s="1395"/>
      <c r="C1104" s="1002"/>
      <c r="D1104" s="1003"/>
      <c r="E1104" s="1003"/>
      <c r="F1104" s="1003" t="s">
        <v>1776</v>
      </c>
      <c r="G1104" s="1004"/>
      <c r="H1104" s="1003" t="s">
        <v>2241</v>
      </c>
      <c r="I1104" s="1005" t="s">
        <v>2242</v>
      </c>
      <c r="J1104" s="1"/>
      <c r="K1104" s="1"/>
      <c r="L1104"/>
      <c r="M1104" s="1"/>
      <c r="N1104" s="1"/>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row>
    <row r="1105" spans="1:96" ht="12.75" customHeight="1" outlineLevel="2" x14ac:dyDescent="0.2">
      <c r="A1105"/>
      <c r="B1105" s="1395"/>
      <c r="C1105" s="1002"/>
      <c r="D1105" s="1003"/>
      <c r="E1105" s="1003"/>
      <c r="F1105" s="1003" t="s">
        <v>1777</v>
      </c>
      <c r="G1105" s="1004"/>
      <c r="H1105" s="1003" t="s">
        <v>2243</v>
      </c>
      <c r="I1105" s="1005" t="s">
        <v>1789</v>
      </c>
      <c r="J1105" s="1"/>
      <c r="K1105" s="1"/>
      <c r="L1105"/>
      <c r="M1105" s="1"/>
      <c r="N1105" s="1"/>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row>
    <row r="1106" spans="1:96" ht="12.75" customHeight="1" outlineLevel="2" x14ac:dyDescent="0.2">
      <c r="A1106"/>
      <c r="B1106" s="1395"/>
      <c r="C1106" s="1002"/>
      <c r="D1106" s="1003"/>
      <c r="E1106" s="1003"/>
      <c r="F1106" s="1003" t="s">
        <v>570</v>
      </c>
      <c r="G1106" s="1004"/>
      <c r="H1106" s="1003" t="s">
        <v>2244</v>
      </c>
      <c r="I1106" s="1005" t="s">
        <v>2245</v>
      </c>
      <c r="J1106" s="1"/>
      <c r="K1106" s="1"/>
      <c r="L1106"/>
      <c r="M1106" s="1"/>
      <c r="N1106" s="1"/>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row>
    <row r="1107" spans="1:96" ht="12.75" customHeight="1" outlineLevel="2" x14ac:dyDescent="0.2">
      <c r="A1107"/>
      <c r="B1107" s="1395"/>
      <c r="C1107" s="1002"/>
      <c r="D1107" s="1003"/>
      <c r="E1107" s="1003"/>
      <c r="F1107" s="1003" t="s">
        <v>571</v>
      </c>
      <c r="G1107" s="1004"/>
      <c r="H1107" s="1003"/>
      <c r="I1107" s="1005"/>
      <c r="J1107" s="1"/>
      <c r="K1107" s="1"/>
      <c r="L1107"/>
      <c r="M1107" s="1"/>
      <c r="N1107" s="1"/>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row>
    <row r="1108" spans="1:96" ht="12.75" customHeight="1" outlineLevel="2" x14ac:dyDescent="0.2">
      <c r="A1108"/>
      <c r="B1108" s="1395"/>
      <c r="C1108" s="1002"/>
      <c r="D1108" s="1003"/>
      <c r="E1108" s="1003"/>
      <c r="F1108" s="1003" t="s">
        <v>572</v>
      </c>
      <c r="G1108" s="1004"/>
      <c r="H1108" s="1003"/>
      <c r="I1108" s="1005"/>
      <c r="J1108" s="1"/>
      <c r="K1108" s="1"/>
      <c r="L1108"/>
      <c r="M1108" s="1"/>
      <c r="N1108" s="1"/>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row>
    <row r="1109" spans="1:96" ht="12.75" customHeight="1" outlineLevel="2" x14ac:dyDescent="0.2">
      <c r="A1109"/>
      <c r="B1109" s="1395"/>
      <c r="C1109" s="1002"/>
      <c r="D1109" s="1003"/>
      <c r="E1109" s="1003"/>
      <c r="F1109" s="1003" t="s">
        <v>573</v>
      </c>
      <c r="G1109" s="1004"/>
      <c r="H1109" s="1003"/>
      <c r="I1109" s="1005"/>
      <c r="J1109" s="1"/>
      <c r="K1109" s="1"/>
      <c r="L1109"/>
      <c r="M1109" s="1"/>
      <c r="N1109" s="1"/>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row>
    <row r="1110" spans="1:96" ht="12.75" customHeight="1" outlineLevel="2" x14ac:dyDescent="0.2">
      <c r="A1110"/>
      <c r="B1110" s="1395"/>
      <c r="C1110" s="1002"/>
      <c r="D1110" s="1003"/>
      <c r="E1110" s="1003"/>
      <c r="F1110" s="1003" t="s">
        <v>1778</v>
      </c>
      <c r="G1110" s="1004"/>
      <c r="H1110" s="1003"/>
      <c r="I1110" s="1005"/>
      <c r="J1110" s="1"/>
      <c r="K1110" s="1"/>
      <c r="L1110"/>
      <c r="M1110" s="1"/>
      <c r="N1110" s="1"/>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row>
    <row r="1111" spans="1:96" ht="12.75" customHeight="1" outlineLevel="2" x14ac:dyDescent="0.2">
      <c r="A1111"/>
      <c r="B1111" s="1395"/>
      <c r="C1111" s="1002"/>
      <c r="D1111" s="1003"/>
      <c r="E1111" s="1003"/>
      <c r="F1111" s="1003" t="s">
        <v>1779</v>
      </c>
      <c r="G1111" s="1004"/>
      <c r="H1111" s="1003"/>
      <c r="I1111" s="1005"/>
      <c r="J1111" s="1"/>
      <c r="K1111" s="1"/>
      <c r="L1111"/>
      <c r="M1111" s="1"/>
      <c r="N1111" s="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row>
    <row r="1112" spans="1:96" ht="12.75" customHeight="1" outlineLevel="2" x14ac:dyDescent="0.2">
      <c r="A1112"/>
      <c r="B1112" s="1395"/>
      <c r="C1112" s="1002"/>
      <c r="D1112" s="1003"/>
      <c r="E1112" s="1003"/>
      <c r="F1112" s="1003" t="s">
        <v>576</v>
      </c>
      <c r="G1112" s="1004"/>
      <c r="H1112" s="1003"/>
      <c r="I1112" s="1005"/>
      <c r="J1112" s="1"/>
      <c r="K1112" s="1"/>
      <c r="L1112"/>
      <c r="M1112" s="1"/>
      <c r="N1112" s="1"/>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row>
    <row r="1113" spans="1:96" ht="12.75" customHeight="1" outlineLevel="2" x14ac:dyDescent="0.2">
      <c r="A1113"/>
      <c r="B1113" s="1395"/>
      <c r="C1113" s="1002"/>
      <c r="D1113" s="1003"/>
      <c r="E1113" s="1003"/>
      <c r="F1113" s="1003" t="s">
        <v>1780</v>
      </c>
      <c r="G1113" s="1004"/>
      <c r="H1113" s="1003"/>
      <c r="I1113" s="1005"/>
      <c r="J1113" s="1"/>
      <c r="K1113" s="1"/>
      <c r="L1113"/>
      <c r="M1113" s="1"/>
      <c r="N1113" s="1"/>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row>
    <row r="1114" spans="1:96" ht="12.75" customHeight="1" outlineLevel="2" x14ac:dyDescent="0.2">
      <c r="A1114"/>
      <c r="B1114" s="1395"/>
      <c r="C1114" s="1002"/>
      <c r="D1114" s="1003"/>
      <c r="E1114" s="1003"/>
      <c r="F1114" s="1003" t="s">
        <v>1781</v>
      </c>
      <c r="G1114" s="1004"/>
      <c r="H1114" s="1003"/>
      <c r="I1114" s="1005"/>
      <c r="J1114" s="1"/>
      <c r="K1114" s="1"/>
      <c r="L1114"/>
      <c r="M1114" s="1"/>
      <c r="N1114" s="1"/>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row>
    <row r="1115" spans="1:96" ht="12.75" customHeight="1" outlineLevel="2" x14ac:dyDescent="0.2">
      <c r="A1115"/>
      <c r="B1115" s="1395"/>
      <c r="C1115" s="1002"/>
      <c r="D1115" s="1003"/>
      <c r="E1115" s="1003"/>
      <c r="F1115" s="1003" t="s">
        <v>1782</v>
      </c>
      <c r="G1115" s="1004"/>
      <c r="H1115" s="1003"/>
      <c r="I1115" s="1005"/>
      <c r="J1115" s="1"/>
      <c r="K1115" s="1"/>
      <c r="L1115"/>
      <c r="M1115" s="1"/>
      <c r="N1115" s="1"/>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row>
    <row r="1116" spans="1:96" ht="12.75" customHeight="1" outlineLevel="2" x14ac:dyDescent="0.2">
      <c r="A1116"/>
      <c r="B1116" s="1395"/>
      <c r="C1116" s="1002"/>
      <c r="D1116" s="1003"/>
      <c r="E1116" s="1003"/>
      <c r="F1116" s="1003" t="s">
        <v>1783</v>
      </c>
      <c r="G1116" s="1004"/>
      <c r="H1116" s="1003"/>
      <c r="I1116" s="1005"/>
      <c r="J1116" s="1"/>
      <c r="K1116" s="1"/>
      <c r="L1116"/>
      <c r="M1116" s="1"/>
      <c r="N1116" s="1"/>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row>
    <row r="1117" spans="1:96" ht="12.75" customHeight="1" outlineLevel="2" x14ac:dyDescent="0.2">
      <c r="A1117"/>
      <c r="B1117" s="1395"/>
      <c r="C1117" s="1002"/>
      <c r="D1117" s="1003"/>
      <c r="E1117" s="1003"/>
      <c r="F1117" s="1003" t="s">
        <v>1784</v>
      </c>
      <c r="G1117" s="1004"/>
      <c r="H1117" s="1003"/>
      <c r="I1117" s="1005"/>
      <c r="J1117" s="1"/>
      <c r="K1117" s="1"/>
      <c r="L1117"/>
      <c r="M1117" s="1"/>
      <c r="N1117" s="1"/>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row>
    <row r="1118" spans="1:96" ht="12.75" customHeight="1" outlineLevel="2" x14ac:dyDescent="0.2">
      <c r="A1118"/>
      <c r="B1118" s="1395"/>
      <c r="C1118" s="1002"/>
      <c r="D1118" s="1003"/>
      <c r="E1118" s="1003"/>
      <c r="F1118" s="1003" t="s">
        <v>1785</v>
      </c>
      <c r="G1118" s="1004"/>
      <c r="H1118" s="1003"/>
      <c r="I1118" s="1005"/>
      <c r="J1118" s="1"/>
      <c r="K1118" s="1"/>
      <c r="L1118"/>
      <c r="M1118" s="1"/>
      <c r="N1118" s="1"/>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row>
    <row r="1119" spans="1:96" ht="12.75" customHeight="1" outlineLevel="2" x14ac:dyDescent="0.2">
      <c r="A1119"/>
      <c r="B1119" s="1395"/>
      <c r="C1119" s="1002"/>
      <c r="D1119" s="1003"/>
      <c r="E1119" s="1003"/>
      <c r="F1119" s="1003" t="s">
        <v>1786</v>
      </c>
      <c r="G1119" s="1004"/>
      <c r="H1119" s="1003"/>
      <c r="I1119" s="1005"/>
      <c r="J1119" s="1"/>
      <c r="K1119" s="1"/>
      <c r="L1119"/>
      <c r="M1119" s="1"/>
      <c r="N1119" s="1"/>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row>
    <row r="1120" spans="1:96" outlineLevel="1" x14ac:dyDescent="0.2">
      <c r="A1120"/>
      <c r="B1120" s="1395">
        <f>C1120*1000000+D1120*1000+E1120</f>
        <v>30030064</v>
      </c>
      <c r="C1120" s="1002">
        <v>30</v>
      </c>
      <c r="D1120" s="1003">
        <v>30</v>
      </c>
      <c r="E1120" s="1003">
        <v>64</v>
      </c>
      <c r="F1120" s="1003" t="s">
        <v>1243</v>
      </c>
      <c r="G1120" s="1004"/>
      <c r="H1120" s="1003" t="s">
        <v>2246</v>
      </c>
      <c r="I1120" s="1005" t="s">
        <v>2247</v>
      </c>
      <c r="J1120" s="1"/>
      <c r="K1120" s="1"/>
      <c r="L1120"/>
      <c r="M1120" s="1"/>
      <c r="N1120" s="1"/>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row>
    <row r="1121" spans="1:96" ht="12.75" customHeight="1" outlineLevel="2" x14ac:dyDescent="0.2">
      <c r="A1121"/>
      <c r="B1121" s="1395"/>
      <c r="C1121" s="1002"/>
      <c r="D1121" s="1003"/>
      <c r="E1121" s="1003"/>
      <c r="F1121" s="1003" t="s">
        <v>1244</v>
      </c>
      <c r="G1121" s="1004"/>
      <c r="H1121" s="1003" t="s">
        <v>1794</v>
      </c>
      <c r="I1121" s="1005" t="s">
        <v>2248</v>
      </c>
      <c r="J1121" s="1"/>
      <c r="K1121" s="1"/>
      <c r="L1121"/>
      <c r="M1121" s="1"/>
      <c r="N1121" s="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row>
    <row r="1122" spans="1:96" ht="12.75" customHeight="1" outlineLevel="2" x14ac:dyDescent="0.2">
      <c r="A1122"/>
      <c r="B1122" s="1395"/>
      <c r="C1122" s="1002"/>
      <c r="D1122" s="1003"/>
      <c r="E1122" s="1003"/>
      <c r="F1122" s="1003" t="s">
        <v>1322</v>
      </c>
      <c r="G1122" s="1004"/>
      <c r="H1122" s="1003" t="s">
        <v>2249</v>
      </c>
      <c r="I1122" s="1005" t="s">
        <v>2250</v>
      </c>
      <c r="J1122" s="1"/>
      <c r="K1122" s="1"/>
      <c r="L1122"/>
      <c r="M1122" s="1"/>
      <c r="N1122" s="1"/>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row>
    <row r="1123" spans="1:96" ht="12.75" customHeight="1" outlineLevel="2" x14ac:dyDescent="0.2">
      <c r="A1123"/>
      <c r="B1123" s="1395"/>
      <c r="C1123" s="1002"/>
      <c r="D1123" s="1003"/>
      <c r="E1123" s="1003"/>
      <c r="F1123" s="1003" t="s">
        <v>1323</v>
      </c>
      <c r="G1123" s="1004"/>
      <c r="H1123" s="1003" t="s">
        <v>2251</v>
      </c>
      <c r="I1123" s="1005" t="s">
        <v>2252</v>
      </c>
      <c r="J1123" s="1"/>
      <c r="K1123" s="1"/>
      <c r="L1123"/>
      <c r="M1123" s="1"/>
      <c r="N1123" s="1"/>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row>
    <row r="1124" spans="1:96" ht="12.75" customHeight="1" outlineLevel="2" x14ac:dyDescent="0.2">
      <c r="A1124"/>
      <c r="B1124" s="1395"/>
      <c r="C1124" s="1002"/>
      <c r="D1124" s="1003"/>
      <c r="E1124" s="1003"/>
      <c r="F1124" s="1003" t="s">
        <v>1324</v>
      </c>
      <c r="G1124" s="1004"/>
      <c r="H1124" s="1003" t="s">
        <v>2253</v>
      </c>
      <c r="I1124" s="1005" t="s">
        <v>2254</v>
      </c>
      <c r="J1124" s="1"/>
      <c r="K1124" s="1"/>
      <c r="L1124"/>
      <c r="M1124" s="1"/>
      <c r="N1124" s="1"/>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row>
    <row r="1125" spans="1:96" ht="12.75" customHeight="1" outlineLevel="2" x14ac:dyDescent="0.2">
      <c r="A1125"/>
      <c r="B1125" s="1395"/>
      <c r="C1125" s="1002"/>
      <c r="D1125" s="1003"/>
      <c r="E1125" s="1003"/>
      <c r="F1125" s="1003" t="s">
        <v>1325</v>
      </c>
      <c r="G1125" s="1004"/>
      <c r="H1125" s="1003" t="s">
        <v>2255</v>
      </c>
      <c r="I1125" s="1005" t="s">
        <v>1795</v>
      </c>
      <c r="J1125" s="1"/>
      <c r="K1125" s="1"/>
      <c r="L1125"/>
      <c r="M1125" s="1"/>
      <c r="N1125" s="1"/>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row>
    <row r="1126" spans="1:96" ht="12.75" customHeight="1" outlineLevel="2" x14ac:dyDescent="0.2">
      <c r="A1126"/>
      <c r="B1126" s="1395"/>
      <c r="C1126" s="1002"/>
      <c r="D1126" s="1003"/>
      <c r="E1126" s="1003"/>
      <c r="F1126" s="1003" t="s">
        <v>1326</v>
      </c>
      <c r="G1126" s="1004"/>
      <c r="H1126" s="1003" t="s">
        <v>2256</v>
      </c>
      <c r="I1126" s="1005" t="s">
        <v>2257</v>
      </c>
      <c r="J1126" s="1"/>
      <c r="K1126" s="1"/>
      <c r="L1126"/>
      <c r="M1126" s="1"/>
      <c r="N1126" s="1"/>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row>
    <row r="1127" spans="1:96" ht="12.75" customHeight="1" outlineLevel="2" x14ac:dyDescent="0.2">
      <c r="A1127"/>
      <c r="B1127" s="1395"/>
      <c r="C1127" s="1002"/>
      <c r="D1127" s="1003"/>
      <c r="E1127" s="1003"/>
      <c r="F1127" s="1003" t="s">
        <v>1327</v>
      </c>
      <c r="G1127" s="1004"/>
      <c r="H1127" s="1003" t="s">
        <v>2258</v>
      </c>
      <c r="I1127" s="1005" t="s">
        <v>2259</v>
      </c>
      <c r="J1127" s="1"/>
      <c r="K1127" s="1"/>
      <c r="L1127"/>
      <c r="M1127" s="1"/>
      <c r="N1127" s="1"/>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row>
    <row r="1128" spans="1:96" ht="12.75" customHeight="1" outlineLevel="2" x14ac:dyDescent="0.2">
      <c r="A1128"/>
      <c r="B1128" s="1395"/>
      <c r="C1128" s="1002"/>
      <c r="D1128" s="1003"/>
      <c r="E1128" s="1003"/>
      <c r="F1128" s="1003" t="s">
        <v>1328</v>
      </c>
      <c r="G1128" s="1004"/>
      <c r="H1128" s="1003" t="s">
        <v>2260</v>
      </c>
      <c r="I1128" s="1005" t="s">
        <v>2261</v>
      </c>
      <c r="J1128" s="1"/>
      <c r="K1128" s="1"/>
      <c r="L1128"/>
      <c r="M1128" s="1"/>
      <c r="N1128" s="1"/>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row>
    <row r="1129" spans="1:96" ht="12.75" customHeight="1" outlineLevel="2" x14ac:dyDescent="0.2">
      <c r="A1129"/>
      <c r="B1129" s="1395"/>
      <c r="C1129" s="1002"/>
      <c r="D1129" s="1003"/>
      <c r="E1129" s="1003"/>
      <c r="F1129" s="1003" t="s">
        <v>1329</v>
      </c>
      <c r="G1129" s="1004"/>
      <c r="H1129" s="1003" t="s">
        <v>2262</v>
      </c>
      <c r="I1129" s="1005" t="s">
        <v>2263</v>
      </c>
      <c r="J1129" s="1"/>
      <c r="K1129" s="1"/>
      <c r="L1129"/>
      <c r="M1129" s="1"/>
      <c r="N1129" s="1"/>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row>
    <row r="1130" spans="1:96" ht="12.75" customHeight="1" outlineLevel="2" x14ac:dyDescent="0.2">
      <c r="A1130"/>
      <c r="B1130" s="1395"/>
      <c r="C1130" s="1002"/>
      <c r="D1130" s="1003"/>
      <c r="E1130" s="1003"/>
      <c r="F1130" s="1003" t="s">
        <v>597</v>
      </c>
      <c r="G1130" s="1004"/>
      <c r="H1130" s="1003" t="s">
        <v>2264</v>
      </c>
      <c r="I1130" s="1005" t="s">
        <v>2265</v>
      </c>
      <c r="J1130" s="1"/>
      <c r="K1130" s="1"/>
      <c r="L1130"/>
      <c r="M1130" s="1"/>
      <c r="N1130" s="1"/>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row>
    <row r="1131" spans="1:96" ht="12.75" customHeight="1" outlineLevel="2" x14ac:dyDescent="0.2">
      <c r="A1131"/>
      <c r="B1131" s="1395"/>
      <c r="C1131" s="1002"/>
      <c r="D1131" s="1003"/>
      <c r="E1131" s="1003"/>
      <c r="F1131" s="1003" t="s">
        <v>598</v>
      </c>
      <c r="G1131" s="1004"/>
      <c r="H1131" s="1003" t="s">
        <v>2266</v>
      </c>
      <c r="I1131" s="1005" t="s">
        <v>2267</v>
      </c>
      <c r="J1131" s="1"/>
      <c r="K1131" s="1"/>
      <c r="L1131"/>
      <c r="M1131" s="1"/>
      <c r="N1131" s="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row>
    <row r="1132" spans="1:96" ht="12.75" customHeight="1" outlineLevel="2" x14ac:dyDescent="0.2">
      <c r="A1132"/>
      <c r="B1132" s="1395"/>
      <c r="C1132" s="1002"/>
      <c r="D1132" s="1003"/>
      <c r="E1132" s="1003"/>
      <c r="F1132" s="1003" t="s">
        <v>599</v>
      </c>
      <c r="G1132" s="1004"/>
      <c r="H1132" s="1003" t="s">
        <v>2268</v>
      </c>
      <c r="I1132" s="1005" t="s">
        <v>2269</v>
      </c>
      <c r="J1132" s="1"/>
      <c r="K1132" s="1"/>
      <c r="L1132"/>
      <c r="M1132" s="1"/>
      <c r="N1132" s="1"/>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row>
    <row r="1133" spans="1:96" ht="12.75" customHeight="1" outlineLevel="2" x14ac:dyDescent="0.2">
      <c r="A1133"/>
      <c r="B1133" s="1395"/>
      <c r="C1133" s="1002"/>
      <c r="D1133" s="1003"/>
      <c r="E1133" s="1003"/>
      <c r="F1133" s="1003" t="s">
        <v>600</v>
      </c>
      <c r="G1133" s="1004"/>
      <c r="H1133" s="1003" t="s">
        <v>2270</v>
      </c>
      <c r="I1133" s="1005" t="s">
        <v>2271</v>
      </c>
      <c r="J1133" s="1"/>
      <c r="K1133" s="1"/>
      <c r="L1133"/>
      <c r="M1133" s="1"/>
      <c r="N1133" s="1"/>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row>
    <row r="1134" spans="1:96" ht="12.75" customHeight="1" outlineLevel="2" x14ac:dyDescent="0.2">
      <c r="A1134"/>
      <c r="B1134" s="1395"/>
      <c r="C1134" s="1002"/>
      <c r="D1134" s="1003"/>
      <c r="E1134" s="1003"/>
      <c r="F1134" s="1003" t="s">
        <v>601</v>
      </c>
      <c r="G1134" s="1004"/>
      <c r="H1134" s="1003" t="s">
        <v>2272</v>
      </c>
      <c r="I1134" s="1005" t="s">
        <v>1796</v>
      </c>
      <c r="J1134" s="1"/>
      <c r="K1134" s="1"/>
      <c r="L1134"/>
      <c r="M1134" s="1"/>
      <c r="N1134" s="1"/>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row>
    <row r="1135" spans="1:96" ht="12.75" customHeight="1" outlineLevel="2" x14ac:dyDescent="0.2">
      <c r="A1135"/>
      <c r="B1135" s="1395"/>
      <c r="C1135" s="1002"/>
      <c r="D1135" s="1003"/>
      <c r="E1135" s="1003"/>
      <c r="F1135" s="1003" t="s">
        <v>602</v>
      </c>
      <c r="G1135" s="1004"/>
      <c r="H1135" s="1003" t="s">
        <v>2190</v>
      </c>
      <c r="I1135" s="1005" t="s">
        <v>2273</v>
      </c>
      <c r="J1135" s="1"/>
      <c r="K1135" s="1"/>
      <c r="L1135"/>
      <c r="M1135" s="1"/>
      <c r="N1135" s="1"/>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row>
    <row r="1136" spans="1:96" ht="12.75" customHeight="1" outlineLevel="2" x14ac:dyDescent="0.2">
      <c r="A1136"/>
      <c r="B1136" s="1395"/>
      <c r="C1136" s="1002"/>
      <c r="D1136" s="1003"/>
      <c r="E1136" s="1003"/>
      <c r="F1136" s="1003" t="s">
        <v>603</v>
      </c>
      <c r="G1136" s="1004"/>
      <c r="H1136" s="1003"/>
      <c r="I1136" s="1005"/>
      <c r="J1136" s="1"/>
      <c r="K1136" s="1"/>
      <c r="L1136"/>
      <c r="M1136" s="1"/>
      <c r="N1136" s="1"/>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row>
    <row r="1137" spans="1:96" ht="12.75" customHeight="1" outlineLevel="2" x14ac:dyDescent="0.2">
      <c r="A1137"/>
      <c r="B1137" s="1395"/>
      <c r="C1137" s="1002"/>
      <c r="D1137" s="1003"/>
      <c r="E1137" s="1003"/>
      <c r="F1137" s="1003" t="s">
        <v>604</v>
      </c>
      <c r="G1137" s="1004"/>
      <c r="H1137" s="1003"/>
      <c r="I1137" s="1005"/>
      <c r="J1137" s="1"/>
      <c r="K1137" s="1"/>
      <c r="L1137"/>
      <c r="M1137" s="1"/>
      <c r="N1137" s="1"/>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row>
    <row r="1138" spans="1:96" ht="12.75" customHeight="1" outlineLevel="2" x14ac:dyDescent="0.2">
      <c r="A1138"/>
      <c r="B1138" s="1395"/>
      <c r="C1138" s="1002"/>
      <c r="D1138" s="1003"/>
      <c r="E1138" s="1003"/>
      <c r="F1138" s="1003" t="s">
        <v>605</v>
      </c>
      <c r="G1138" s="1004"/>
      <c r="H1138" s="1003"/>
      <c r="I1138" s="1005"/>
      <c r="J1138" s="1"/>
      <c r="K1138" s="1"/>
      <c r="L1138"/>
      <c r="M1138" s="1"/>
      <c r="N1138" s="1"/>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row>
    <row r="1139" spans="1:96" ht="12.75" customHeight="1" outlineLevel="2" x14ac:dyDescent="0.2">
      <c r="A1139"/>
      <c r="B1139" s="1395"/>
      <c r="C1139" s="1002"/>
      <c r="D1139" s="1003"/>
      <c r="E1139" s="1003"/>
      <c r="F1139" s="1003" t="s">
        <v>606</v>
      </c>
      <c r="G1139" s="1004"/>
      <c r="H1139" s="1003"/>
      <c r="I1139" s="1005"/>
      <c r="J1139" s="1"/>
      <c r="K1139" s="1"/>
      <c r="L1139"/>
      <c r="M1139" s="1"/>
      <c r="N1139" s="1"/>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row>
    <row r="1140" spans="1:96" ht="12.75" customHeight="1" outlineLevel="2" x14ac:dyDescent="0.2">
      <c r="A1140"/>
      <c r="B1140" s="1395"/>
      <c r="C1140" s="1002"/>
      <c r="D1140" s="1003"/>
      <c r="E1140" s="1003"/>
      <c r="F1140" s="1003" t="s">
        <v>607</v>
      </c>
      <c r="G1140" s="1004"/>
      <c r="H1140" s="1003"/>
      <c r="I1140" s="1005"/>
      <c r="J1140" s="1"/>
      <c r="K1140" s="1"/>
      <c r="L1140"/>
      <c r="M1140" s="1"/>
      <c r="N1140" s="1"/>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row>
    <row r="1141" spans="1:96" ht="12.75" customHeight="1" outlineLevel="2" x14ac:dyDescent="0.2">
      <c r="A1141"/>
      <c r="B1141" s="1395"/>
      <c r="C1141" s="1002"/>
      <c r="D1141" s="1003"/>
      <c r="E1141" s="1003"/>
      <c r="F1141" s="1003" t="s">
        <v>608</v>
      </c>
      <c r="G1141" s="1004"/>
      <c r="H1141" s="1003"/>
      <c r="I1141" s="1005"/>
      <c r="J1141" s="1"/>
      <c r="K1141" s="1"/>
      <c r="L1141"/>
      <c r="M1141" s="1"/>
      <c r="N1141" s="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row>
    <row r="1142" spans="1:96" ht="12.75" customHeight="1" outlineLevel="2" x14ac:dyDescent="0.2">
      <c r="A1142"/>
      <c r="B1142" s="1395"/>
      <c r="C1142" s="1002"/>
      <c r="D1142" s="1003"/>
      <c r="E1142" s="1003"/>
      <c r="F1142" s="1003" t="s">
        <v>609</v>
      </c>
      <c r="G1142" s="1004"/>
      <c r="H1142" s="1003"/>
      <c r="I1142" s="1005"/>
      <c r="J1142" s="1"/>
      <c r="K1142" s="1"/>
      <c r="L1142"/>
      <c r="M1142" s="1"/>
      <c r="N1142" s="1"/>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row>
    <row r="1143" spans="1:96" ht="12.75" customHeight="1" outlineLevel="2" x14ac:dyDescent="0.2">
      <c r="A1143"/>
      <c r="B1143" s="1395"/>
      <c r="C1143" s="1002"/>
      <c r="D1143" s="1003"/>
      <c r="E1143" s="1003"/>
      <c r="F1143" s="1003" t="s">
        <v>610</v>
      </c>
      <c r="G1143" s="1004"/>
      <c r="H1143" s="1003"/>
      <c r="I1143" s="1005"/>
      <c r="J1143" s="1"/>
      <c r="K1143" s="1"/>
      <c r="L1143"/>
      <c r="M1143" s="1"/>
      <c r="N1143" s="1"/>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row>
    <row r="1144" spans="1:96" ht="12.75" customHeight="1" outlineLevel="2" x14ac:dyDescent="0.2">
      <c r="A1144"/>
      <c r="B1144" s="1395"/>
      <c r="C1144" s="1002"/>
      <c r="D1144" s="1003"/>
      <c r="E1144" s="1003"/>
      <c r="F1144" s="1003" t="s">
        <v>611</v>
      </c>
      <c r="G1144" s="1004"/>
      <c r="H1144" s="1003"/>
      <c r="I1144" s="1005"/>
      <c r="J1144" s="1"/>
      <c r="K1144" s="1"/>
      <c r="L1144"/>
      <c r="M1144" s="1"/>
      <c r="N1144" s="1"/>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row>
    <row r="1145" spans="1:96" ht="12.75" customHeight="1" outlineLevel="2" x14ac:dyDescent="0.2">
      <c r="A1145"/>
      <c r="B1145" s="1395"/>
      <c r="C1145" s="1002"/>
      <c r="D1145" s="1003"/>
      <c r="E1145" s="1003"/>
      <c r="F1145" s="1003" t="s">
        <v>612</v>
      </c>
      <c r="G1145" s="1004"/>
      <c r="H1145" s="1003"/>
      <c r="I1145" s="1005"/>
      <c r="J1145" s="1"/>
      <c r="K1145" s="1"/>
      <c r="L1145"/>
      <c r="M1145" s="1"/>
      <c r="N1145" s="1"/>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row>
    <row r="1146" spans="1:96" ht="12.75" customHeight="1" outlineLevel="2" x14ac:dyDescent="0.2">
      <c r="A1146"/>
      <c r="B1146" s="1395"/>
      <c r="C1146" s="1002"/>
      <c r="D1146" s="1003"/>
      <c r="E1146" s="1003"/>
      <c r="F1146" s="1003" t="s">
        <v>1790</v>
      </c>
      <c r="G1146" s="1004"/>
      <c r="H1146" s="1003"/>
      <c r="I1146" s="1005"/>
      <c r="J1146" s="1"/>
      <c r="K1146" s="1"/>
      <c r="L1146"/>
      <c r="M1146" s="1"/>
      <c r="N1146" s="1"/>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row>
    <row r="1147" spans="1:96" ht="12.75" customHeight="1" outlineLevel="2" x14ac:dyDescent="0.2">
      <c r="A1147"/>
      <c r="B1147" s="1395"/>
      <c r="C1147" s="1002"/>
      <c r="D1147" s="1003"/>
      <c r="E1147" s="1003"/>
      <c r="F1147" s="1003" t="s">
        <v>1791</v>
      </c>
      <c r="G1147" s="1004"/>
      <c r="H1147" s="1003"/>
      <c r="I1147" s="1005"/>
      <c r="J1147" s="1"/>
      <c r="K1147" s="1"/>
      <c r="L1147"/>
      <c r="M1147" s="1"/>
      <c r="N1147" s="1"/>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row>
    <row r="1148" spans="1:96" ht="12.75" customHeight="1" outlineLevel="2" x14ac:dyDescent="0.2">
      <c r="A1148"/>
      <c r="B1148" s="1395"/>
      <c r="C1148" s="1002"/>
      <c r="D1148" s="1003"/>
      <c r="E1148" s="1003"/>
      <c r="F1148" s="1003" t="s">
        <v>1792</v>
      </c>
      <c r="G1148" s="1004"/>
      <c r="H1148" s="1003"/>
      <c r="I1148" s="1005"/>
      <c r="J1148" s="1"/>
      <c r="K1148" s="1"/>
      <c r="L1148"/>
      <c r="M1148" s="1"/>
      <c r="N1148" s="1"/>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row>
    <row r="1149" spans="1:96" ht="12.75" customHeight="1" outlineLevel="2" x14ac:dyDescent="0.2">
      <c r="A1149"/>
      <c r="B1149" s="1395"/>
      <c r="C1149" s="1002"/>
      <c r="D1149" s="1003"/>
      <c r="E1149" s="1003"/>
      <c r="F1149" s="1003" t="s">
        <v>1793</v>
      </c>
      <c r="G1149" s="1004"/>
      <c r="H1149" s="1003"/>
      <c r="I1149" s="1005"/>
      <c r="J1149" s="1"/>
      <c r="K1149" s="1"/>
      <c r="L1149"/>
      <c r="M1149" s="1"/>
      <c r="N1149" s="1"/>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row>
    <row r="1150" spans="1:96" outlineLevel="1" x14ac:dyDescent="0.2">
      <c r="A1150"/>
      <c r="B1150" s="1395">
        <f>C1150*1000000+D1150*1000+E1150</f>
        <v>31031064</v>
      </c>
      <c r="C1150" s="1002">
        <v>31</v>
      </c>
      <c r="D1150" s="1003">
        <v>31</v>
      </c>
      <c r="E1150" s="1003">
        <v>64</v>
      </c>
      <c r="F1150" s="1003" t="s">
        <v>1797</v>
      </c>
      <c r="G1150" s="1004"/>
      <c r="H1150" s="1003" t="s">
        <v>2274</v>
      </c>
      <c r="I1150" s="1005" t="s">
        <v>2219</v>
      </c>
      <c r="J1150" s="1"/>
      <c r="K1150" s="1"/>
      <c r="L1150"/>
      <c r="M1150" s="1"/>
      <c r="N1150" s="1"/>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row>
    <row r="1151" spans="1:96" ht="12.75" customHeight="1" outlineLevel="2" x14ac:dyDescent="0.2">
      <c r="A1151"/>
      <c r="B1151" s="1395"/>
      <c r="C1151" s="1002"/>
      <c r="D1151" s="1003"/>
      <c r="E1151" s="1003"/>
      <c r="F1151" s="1003" t="s">
        <v>1340</v>
      </c>
      <c r="G1151" s="1004"/>
      <c r="H1151" s="1003" t="s">
        <v>1812</v>
      </c>
      <c r="I1151" s="1005" t="s">
        <v>2275</v>
      </c>
      <c r="J1151" s="1"/>
      <c r="K1151" s="1"/>
      <c r="L1151"/>
      <c r="M1151" s="1"/>
      <c r="N1151" s="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row>
    <row r="1152" spans="1:96" ht="12.75" customHeight="1" outlineLevel="2" x14ac:dyDescent="0.2">
      <c r="A1152"/>
      <c r="B1152" s="1395"/>
      <c r="C1152" s="1002"/>
      <c r="D1152" s="1003"/>
      <c r="E1152" s="1003"/>
      <c r="F1152" s="1003" t="s">
        <v>631</v>
      </c>
      <c r="G1152" s="1004"/>
      <c r="H1152" s="1003" t="s">
        <v>2276</v>
      </c>
      <c r="I1152" s="1005" t="s">
        <v>2277</v>
      </c>
      <c r="J1152" s="1"/>
      <c r="K1152" s="1"/>
      <c r="L1152"/>
      <c r="M1152" s="1"/>
      <c r="N1152" s="1"/>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row>
    <row r="1153" spans="1:96" ht="12.75" customHeight="1" outlineLevel="2" x14ac:dyDescent="0.2">
      <c r="A1153"/>
      <c r="B1153" s="1395"/>
      <c r="C1153" s="1002"/>
      <c r="D1153" s="1003"/>
      <c r="E1153" s="1003"/>
      <c r="F1153" s="1003" t="s">
        <v>1341</v>
      </c>
      <c r="G1153" s="1004"/>
      <c r="H1153" s="1003" t="s">
        <v>2278</v>
      </c>
      <c r="I1153" s="1005" t="s">
        <v>2279</v>
      </c>
      <c r="J1153" s="1"/>
      <c r="K1153" s="1"/>
      <c r="L1153"/>
      <c r="M1153" s="1"/>
      <c r="N1153" s="1"/>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row>
    <row r="1154" spans="1:96" ht="12.75" customHeight="1" outlineLevel="2" x14ac:dyDescent="0.2">
      <c r="A1154"/>
      <c r="B1154" s="1395"/>
      <c r="C1154" s="1002"/>
      <c r="D1154" s="1003"/>
      <c r="E1154" s="1003"/>
      <c r="F1154" s="1003" t="s">
        <v>632</v>
      </c>
      <c r="G1154" s="1004"/>
      <c r="H1154" s="1003" t="s">
        <v>2280</v>
      </c>
      <c r="I1154" s="1005" t="s">
        <v>2281</v>
      </c>
      <c r="J1154" s="1"/>
      <c r="K1154" s="1"/>
      <c r="L1154"/>
      <c r="M1154" s="1"/>
      <c r="N1154" s="1"/>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row>
    <row r="1155" spans="1:96" ht="12.75" customHeight="1" outlineLevel="2" x14ac:dyDescent="0.2">
      <c r="A1155"/>
      <c r="B1155" s="1395"/>
      <c r="C1155" s="1002"/>
      <c r="D1155" s="1003"/>
      <c r="E1155" s="1003"/>
      <c r="F1155" s="1003" t="s">
        <v>1342</v>
      </c>
      <c r="G1155" s="1004"/>
      <c r="H1155" s="1003" t="s">
        <v>2282</v>
      </c>
      <c r="I1155" s="1005" t="s">
        <v>2283</v>
      </c>
      <c r="J1155" s="1"/>
      <c r="K1155" s="1"/>
      <c r="L1155"/>
      <c r="M1155" s="1"/>
      <c r="N1155" s="1"/>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row>
    <row r="1156" spans="1:96" ht="12.75" customHeight="1" outlineLevel="2" x14ac:dyDescent="0.2">
      <c r="A1156"/>
      <c r="B1156" s="1395"/>
      <c r="C1156" s="1002"/>
      <c r="D1156" s="1003"/>
      <c r="E1156" s="1003"/>
      <c r="F1156" s="1003" t="s">
        <v>1798</v>
      </c>
      <c r="G1156" s="1004"/>
      <c r="H1156" s="1003" t="s">
        <v>2284</v>
      </c>
      <c r="I1156" s="1005" t="s">
        <v>2285</v>
      </c>
      <c r="J1156" s="1"/>
      <c r="K1156" s="1"/>
      <c r="L1156"/>
      <c r="M1156" s="1"/>
      <c r="N1156" s="1"/>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row>
    <row r="1157" spans="1:96" ht="12.75" customHeight="1" outlineLevel="2" x14ac:dyDescent="0.2">
      <c r="A1157"/>
      <c r="B1157" s="1395"/>
      <c r="C1157" s="1002"/>
      <c r="D1157" s="1003"/>
      <c r="E1157" s="1003"/>
      <c r="F1157" s="1003" t="s">
        <v>1799</v>
      </c>
      <c r="G1157" s="1004"/>
      <c r="H1157" s="1003" t="s">
        <v>2286</v>
      </c>
      <c r="I1157" s="1005" t="s">
        <v>2287</v>
      </c>
      <c r="J1157" s="1"/>
      <c r="K1157" s="1"/>
      <c r="L1157"/>
      <c r="M1157" s="1"/>
      <c r="N1157" s="1"/>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row>
    <row r="1158" spans="1:96" ht="12.75" customHeight="1" outlineLevel="2" x14ac:dyDescent="0.2">
      <c r="A1158"/>
      <c r="B1158" s="1395"/>
      <c r="C1158" s="1002"/>
      <c r="D1158" s="1003"/>
      <c r="E1158" s="1003"/>
      <c r="F1158" s="1003" t="s">
        <v>1800</v>
      </c>
      <c r="G1158" s="1004"/>
      <c r="H1158" s="1003" t="s">
        <v>2288</v>
      </c>
      <c r="I1158" s="1005" t="s">
        <v>2289</v>
      </c>
      <c r="J1158" s="1"/>
      <c r="K1158" s="1"/>
      <c r="L1158"/>
      <c r="M1158" s="1"/>
      <c r="N1158" s="1"/>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row>
    <row r="1159" spans="1:96" ht="12.75" customHeight="1" outlineLevel="2" x14ac:dyDescent="0.2">
      <c r="A1159"/>
      <c r="B1159" s="1395"/>
      <c r="C1159" s="1002"/>
      <c r="D1159" s="1003"/>
      <c r="E1159" s="1003"/>
      <c r="F1159" s="1003" t="s">
        <v>1801</v>
      </c>
      <c r="G1159" s="1004"/>
      <c r="H1159" s="1003" t="s">
        <v>2290</v>
      </c>
      <c r="I1159" s="1005" t="s">
        <v>2291</v>
      </c>
      <c r="J1159" s="1"/>
      <c r="K1159" s="1"/>
      <c r="L1159"/>
      <c r="M1159" s="1"/>
      <c r="N1159" s="1"/>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row>
    <row r="1160" spans="1:96" ht="12.75" customHeight="1" outlineLevel="2" x14ac:dyDescent="0.2">
      <c r="A1160"/>
      <c r="B1160" s="1395"/>
      <c r="C1160" s="1002"/>
      <c r="D1160" s="1003"/>
      <c r="E1160" s="1003"/>
      <c r="F1160" s="1003" t="s">
        <v>1345</v>
      </c>
      <c r="G1160" s="1004"/>
      <c r="H1160" s="1003" t="s">
        <v>2292</v>
      </c>
      <c r="I1160" s="1005" t="s">
        <v>2293</v>
      </c>
      <c r="J1160" s="1"/>
      <c r="K1160" s="1"/>
      <c r="L1160"/>
      <c r="M1160" s="1"/>
      <c r="N1160" s="1"/>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row>
    <row r="1161" spans="1:96" ht="12.75" customHeight="1" outlineLevel="2" x14ac:dyDescent="0.2">
      <c r="A1161"/>
      <c r="B1161" s="1395"/>
      <c r="C1161" s="1002"/>
      <c r="D1161" s="1003"/>
      <c r="E1161" s="1003"/>
      <c r="F1161" s="1003" t="s">
        <v>1346</v>
      </c>
      <c r="G1161" s="1004"/>
      <c r="H1161" s="1003" t="s">
        <v>2294</v>
      </c>
      <c r="I1161" s="1005" t="s">
        <v>2295</v>
      </c>
      <c r="J1161" s="1"/>
      <c r="K1161" s="1"/>
      <c r="L1161"/>
      <c r="M1161" s="1"/>
      <c r="N1161" s="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row>
    <row r="1162" spans="1:96" ht="12.75" customHeight="1" outlineLevel="2" x14ac:dyDescent="0.2">
      <c r="A1162"/>
      <c r="B1162" s="1395"/>
      <c r="C1162" s="1002"/>
      <c r="D1162" s="1003"/>
      <c r="E1162" s="1003"/>
      <c r="F1162" s="1003" t="s">
        <v>1347</v>
      </c>
      <c r="G1162" s="1004"/>
      <c r="H1162" s="1003" t="s">
        <v>2296</v>
      </c>
      <c r="I1162" s="1005" t="s">
        <v>2297</v>
      </c>
      <c r="J1162" s="1"/>
      <c r="K1162" s="1"/>
      <c r="L1162"/>
      <c r="M1162" s="1"/>
      <c r="N1162" s="1"/>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row>
    <row r="1163" spans="1:96" ht="12.75" customHeight="1" outlineLevel="2" x14ac:dyDescent="0.2">
      <c r="A1163"/>
      <c r="B1163" s="1395"/>
      <c r="C1163" s="1002"/>
      <c r="D1163" s="1003"/>
      <c r="E1163" s="1003"/>
      <c r="F1163" s="1003" t="s">
        <v>635</v>
      </c>
      <c r="G1163" s="1004"/>
      <c r="H1163" s="1003" t="s">
        <v>2298</v>
      </c>
      <c r="I1163" s="1005" t="s">
        <v>2299</v>
      </c>
      <c r="J1163" s="1"/>
      <c r="K1163" s="1"/>
      <c r="L1163"/>
      <c r="M1163" s="1"/>
      <c r="N1163" s="1"/>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row>
    <row r="1164" spans="1:96" ht="12.75" customHeight="1" outlineLevel="2" x14ac:dyDescent="0.2">
      <c r="A1164"/>
      <c r="B1164" s="1395"/>
      <c r="C1164" s="1002"/>
      <c r="D1164" s="1003"/>
      <c r="E1164" s="1003"/>
      <c r="F1164" s="1003" t="s">
        <v>1802</v>
      </c>
      <c r="G1164" s="1004"/>
      <c r="H1164" s="1003" t="s">
        <v>2300</v>
      </c>
      <c r="I1164" s="1005" t="s">
        <v>2301</v>
      </c>
      <c r="J1164" s="1"/>
      <c r="K1164" s="1"/>
      <c r="L1164"/>
      <c r="M1164" s="1"/>
      <c r="N1164" s="1"/>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row>
    <row r="1165" spans="1:96" ht="12.75" customHeight="1" outlineLevel="2" x14ac:dyDescent="0.2">
      <c r="A1165"/>
      <c r="B1165" s="1395"/>
      <c r="C1165" s="1002"/>
      <c r="D1165" s="1003"/>
      <c r="E1165" s="1003"/>
      <c r="F1165" s="1003" t="s">
        <v>1803</v>
      </c>
      <c r="G1165" s="1004"/>
      <c r="H1165" s="1003" t="s">
        <v>2302</v>
      </c>
      <c r="I1165" s="1005" t="s">
        <v>2303</v>
      </c>
      <c r="J1165" s="1"/>
      <c r="K1165" s="1"/>
      <c r="L1165"/>
      <c r="M1165" s="1"/>
      <c r="N1165" s="1"/>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row>
    <row r="1166" spans="1:96" ht="12.75" customHeight="1" outlineLevel="2" x14ac:dyDescent="0.2">
      <c r="A1166"/>
      <c r="B1166" s="1395"/>
      <c r="C1166" s="1002"/>
      <c r="D1166" s="1003"/>
      <c r="E1166" s="1003"/>
      <c r="F1166" s="1003" t="s">
        <v>1804</v>
      </c>
      <c r="G1166" s="1004"/>
      <c r="H1166" s="1003"/>
      <c r="I1166" s="1005"/>
      <c r="J1166" s="1"/>
      <c r="K1166" s="1"/>
      <c r="L1166"/>
      <c r="M1166" s="1"/>
      <c r="N1166" s="1"/>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row>
    <row r="1167" spans="1:96" ht="12.75" customHeight="1" outlineLevel="2" x14ac:dyDescent="0.2">
      <c r="A1167"/>
      <c r="B1167" s="1395"/>
      <c r="C1167" s="1002"/>
      <c r="D1167" s="1003"/>
      <c r="E1167" s="1003"/>
      <c r="F1167" s="1003" t="s">
        <v>1805</v>
      </c>
      <c r="G1167" s="1004"/>
      <c r="H1167" s="1003"/>
      <c r="I1167" s="1005"/>
      <c r="J1167" s="1"/>
      <c r="K1167" s="1"/>
      <c r="L1167"/>
      <c r="M1167" s="1"/>
      <c r="N1167" s="1"/>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row>
    <row r="1168" spans="1:96" ht="12.75" customHeight="1" outlineLevel="2" x14ac:dyDescent="0.2">
      <c r="A1168"/>
      <c r="B1168" s="1395"/>
      <c r="C1168" s="1002"/>
      <c r="D1168" s="1003"/>
      <c r="E1168" s="1003"/>
      <c r="F1168" s="1003" t="s">
        <v>640</v>
      </c>
      <c r="G1168" s="1004"/>
      <c r="H1168" s="1003"/>
      <c r="I1168" s="1005"/>
      <c r="J1168" s="1"/>
      <c r="K1168" s="1"/>
      <c r="L1168"/>
      <c r="M1168" s="1"/>
      <c r="N1168" s="1"/>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row>
    <row r="1169" spans="1:96" ht="12.75" customHeight="1" outlineLevel="2" x14ac:dyDescent="0.2">
      <c r="A1169"/>
      <c r="B1169" s="1395"/>
      <c r="C1169" s="1002"/>
      <c r="D1169" s="1003"/>
      <c r="E1169" s="1003"/>
      <c r="F1169" s="1003" t="s">
        <v>641</v>
      </c>
      <c r="G1169" s="1004"/>
      <c r="H1169" s="1003"/>
      <c r="I1169" s="1005"/>
      <c r="J1169" s="1"/>
      <c r="K1169" s="1"/>
      <c r="L1169"/>
      <c r="M1169" s="1"/>
      <c r="N1169" s="1"/>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row>
    <row r="1170" spans="1:96" ht="12.75" customHeight="1" outlineLevel="2" x14ac:dyDescent="0.2">
      <c r="A1170"/>
      <c r="B1170" s="1395"/>
      <c r="C1170" s="1002"/>
      <c r="D1170" s="1003"/>
      <c r="E1170" s="1003"/>
      <c r="F1170" s="1003" t="s">
        <v>642</v>
      </c>
      <c r="G1170" s="1004"/>
      <c r="H1170" s="1003"/>
      <c r="I1170" s="1005"/>
      <c r="J1170" s="1"/>
      <c r="K1170" s="1"/>
      <c r="L1170"/>
      <c r="M1170" s="1"/>
      <c r="N1170" s="1"/>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row>
    <row r="1171" spans="1:96" ht="12.75" customHeight="1" outlineLevel="2" x14ac:dyDescent="0.2">
      <c r="A1171"/>
      <c r="B1171" s="1395"/>
      <c r="C1171" s="1002"/>
      <c r="D1171" s="1003"/>
      <c r="E1171" s="1003"/>
      <c r="F1171" s="1003" t="s">
        <v>643</v>
      </c>
      <c r="G1171" s="1004"/>
      <c r="H1171" s="1003"/>
      <c r="I1171" s="1005"/>
      <c r="J1171" s="1"/>
      <c r="K1171" s="1"/>
      <c r="L1171"/>
      <c r="M1171" s="1"/>
      <c r="N1171" s="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row>
    <row r="1172" spans="1:96" ht="12.75" customHeight="1" outlineLevel="2" x14ac:dyDescent="0.2">
      <c r="A1172"/>
      <c r="B1172" s="1395"/>
      <c r="C1172" s="1002"/>
      <c r="D1172" s="1003"/>
      <c r="E1172" s="1003"/>
      <c r="F1172" s="1003" t="s">
        <v>1806</v>
      </c>
      <c r="G1172" s="1004"/>
      <c r="H1172" s="1003"/>
      <c r="I1172" s="1005"/>
      <c r="J1172" s="1"/>
      <c r="K1172" s="1"/>
      <c r="L1172"/>
      <c r="M1172" s="1"/>
      <c r="N1172" s="1"/>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row>
    <row r="1173" spans="1:96" ht="12.75" customHeight="1" outlineLevel="2" x14ac:dyDescent="0.2">
      <c r="A1173"/>
      <c r="B1173" s="1395"/>
      <c r="C1173" s="1002"/>
      <c r="D1173" s="1003"/>
      <c r="E1173" s="1003"/>
      <c r="F1173" s="1003" t="s">
        <v>1807</v>
      </c>
      <c r="G1173" s="1004"/>
      <c r="H1173" s="1003"/>
      <c r="I1173" s="1005"/>
      <c r="J1173" s="1"/>
      <c r="K1173" s="1"/>
      <c r="L1173"/>
      <c r="M1173" s="1"/>
      <c r="N1173" s="1"/>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row>
    <row r="1174" spans="1:96" ht="12.75" customHeight="1" outlineLevel="2" x14ac:dyDescent="0.2">
      <c r="A1174"/>
      <c r="B1174" s="1395"/>
      <c r="C1174" s="1002"/>
      <c r="D1174" s="1003"/>
      <c r="E1174" s="1003"/>
      <c r="F1174" s="1003" t="s">
        <v>1808</v>
      </c>
      <c r="G1174" s="1004"/>
      <c r="H1174" s="1003"/>
      <c r="I1174" s="1005"/>
      <c r="J1174" s="1"/>
      <c r="K1174" s="1"/>
      <c r="L1174"/>
      <c r="M1174" s="1"/>
      <c r="N1174" s="1"/>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row>
    <row r="1175" spans="1:96" ht="12.75" customHeight="1" outlineLevel="2" x14ac:dyDescent="0.2">
      <c r="A1175"/>
      <c r="B1175" s="1395"/>
      <c r="C1175" s="1002"/>
      <c r="D1175" s="1003"/>
      <c r="E1175" s="1003"/>
      <c r="F1175" s="1003" t="s">
        <v>1809</v>
      </c>
      <c r="G1175" s="1004"/>
      <c r="H1175" s="1003"/>
      <c r="I1175" s="1005"/>
      <c r="J1175" s="1"/>
      <c r="K1175" s="1"/>
      <c r="L1175"/>
      <c r="M1175" s="1"/>
      <c r="N1175" s="1"/>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row>
    <row r="1176" spans="1:96" ht="12.75" customHeight="1" outlineLevel="2" x14ac:dyDescent="0.2">
      <c r="A1176"/>
      <c r="B1176" s="1395"/>
      <c r="C1176" s="1002"/>
      <c r="D1176" s="1003"/>
      <c r="E1176" s="1003"/>
      <c r="F1176" s="1003" t="s">
        <v>648</v>
      </c>
      <c r="G1176" s="1004"/>
      <c r="H1176" s="1003"/>
      <c r="I1176" s="1005"/>
      <c r="J1176" s="1"/>
      <c r="K1176" s="1"/>
      <c r="L1176"/>
      <c r="M1176" s="1"/>
      <c r="N1176" s="1"/>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row>
    <row r="1177" spans="1:96" ht="12.75" customHeight="1" outlineLevel="2" x14ac:dyDescent="0.2">
      <c r="A1177"/>
      <c r="B1177" s="1395"/>
      <c r="C1177" s="1002"/>
      <c r="D1177" s="1003"/>
      <c r="E1177" s="1003"/>
      <c r="F1177" s="1003" t="s">
        <v>649</v>
      </c>
      <c r="G1177" s="1004"/>
      <c r="H1177" s="1003"/>
      <c r="I1177" s="1005"/>
      <c r="J1177" s="1"/>
      <c r="K1177" s="1"/>
      <c r="L1177"/>
      <c r="M1177" s="1"/>
      <c r="N1177" s="1"/>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row>
    <row r="1178" spans="1:96" ht="12.75" customHeight="1" outlineLevel="2" x14ac:dyDescent="0.2">
      <c r="A1178"/>
      <c r="B1178" s="1395"/>
      <c r="C1178" s="1002"/>
      <c r="D1178" s="1003"/>
      <c r="E1178" s="1003"/>
      <c r="F1178" s="1003" t="s">
        <v>650</v>
      </c>
      <c r="G1178" s="1004"/>
      <c r="H1178" s="1003"/>
      <c r="I1178" s="1005"/>
      <c r="J1178" s="1"/>
      <c r="K1178" s="1"/>
      <c r="L1178"/>
      <c r="M1178" s="1"/>
      <c r="N1178" s="1"/>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row>
    <row r="1179" spans="1:96" ht="12.75" customHeight="1" outlineLevel="2" x14ac:dyDescent="0.2">
      <c r="A1179"/>
      <c r="B1179" s="1395"/>
      <c r="C1179" s="1002"/>
      <c r="D1179" s="1003"/>
      <c r="E1179" s="1003"/>
      <c r="F1179" s="1003" t="s">
        <v>1810</v>
      </c>
      <c r="G1179" s="1004"/>
      <c r="H1179" s="1003"/>
      <c r="I1179" s="1005"/>
      <c r="J1179" s="1"/>
      <c r="K1179" s="1"/>
      <c r="L1179"/>
      <c r="M1179" s="1"/>
      <c r="N1179" s="1"/>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row>
    <row r="1180" spans="1:96" ht="12.75" customHeight="1" outlineLevel="2" x14ac:dyDescent="0.2">
      <c r="A1180"/>
      <c r="B1180" s="1395"/>
      <c r="C1180" s="1002"/>
      <c r="D1180" s="1003"/>
      <c r="E1180" s="1003"/>
      <c r="F1180" s="1003" t="s">
        <v>1811</v>
      </c>
      <c r="G1180" s="1004"/>
      <c r="H1180" s="1003"/>
      <c r="I1180" s="1005"/>
      <c r="J1180" s="1"/>
      <c r="K1180" s="1"/>
      <c r="L1180"/>
      <c r="M1180" s="1"/>
      <c r="N1180" s="1"/>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row>
    <row r="1181" spans="1:96" outlineLevel="1" x14ac:dyDescent="0.2">
      <c r="A1181"/>
      <c r="B1181" s="1395">
        <f>C1181*1000000+D1181*1000+E1181</f>
        <v>32032064</v>
      </c>
      <c r="C1181" s="1002">
        <v>32</v>
      </c>
      <c r="D1181" s="1003">
        <v>32</v>
      </c>
      <c r="E1181" s="1003">
        <v>64</v>
      </c>
      <c r="F1181" s="1003" t="s">
        <v>1813</v>
      </c>
      <c r="G1181" s="1004"/>
      <c r="H1181" s="1003" t="s">
        <v>2304</v>
      </c>
      <c r="I1181" s="1005" t="s">
        <v>2305</v>
      </c>
      <c r="J1181" s="1"/>
      <c r="K1181" s="1"/>
      <c r="L1181"/>
      <c r="M1181" s="1"/>
      <c r="N1181" s="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row>
    <row r="1182" spans="1:96" ht="12.75" customHeight="1" outlineLevel="2" x14ac:dyDescent="0.2">
      <c r="A1182"/>
      <c r="B1182" s="1395"/>
      <c r="C1182" s="1002"/>
      <c r="D1182" s="1003"/>
      <c r="E1182" s="1003"/>
      <c r="F1182" s="1003" t="s">
        <v>1814</v>
      </c>
      <c r="G1182" s="1004"/>
      <c r="H1182" s="1003" t="s">
        <v>2306</v>
      </c>
      <c r="I1182" s="1005" t="s">
        <v>2307</v>
      </c>
      <c r="J1182" s="1"/>
      <c r="K1182" s="1"/>
      <c r="L1182"/>
      <c r="M1182" s="1"/>
      <c r="N1182" s="1"/>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row>
    <row r="1183" spans="1:96" ht="12.75" customHeight="1" outlineLevel="2" x14ac:dyDescent="0.2">
      <c r="A1183"/>
      <c r="B1183" s="1395"/>
      <c r="C1183" s="1002"/>
      <c r="D1183" s="1003"/>
      <c r="E1183" s="1003"/>
      <c r="F1183" s="1003" t="s">
        <v>1815</v>
      </c>
      <c r="G1183" s="1004"/>
      <c r="H1183" s="1003" t="s">
        <v>2308</v>
      </c>
      <c r="I1183" s="1005" t="s">
        <v>2309</v>
      </c>
      <c r="J1183" s="1"/>
      <c r="K1183" s="1"/>
      <c r="L1183"/>
      <c r="M1183" s="1"/>
      <c r="N1183" s="1"/>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row>
    <row r="1184" spans="1:96" ht="12.75" customHeight="1" outlineLevel="2" x14ac:dyDescent="0.2">
      <c r="A1184"/>
      <c r="B1184" s="1395"/>
      <c r="C1184" s="1002"/>
      <c r="D1184" s="1003"/>
      <c r="E1184" s="1003"/>
      <c r="F1184" s="1003" t="s">
        <v>1816</v>
      </c>
      <c r="G1184" s="1004"/>
      <c r="H1184" s="1003" t="s">
        <v>2310</v>
      </c>
      <c r="I1184" s="1005" t="s">
        <v>2311</v>
      </c>
      <c r="J1184" s="1"/>
      <c r="K1184" s="1"/>
      <c r="L1184"/>
      <c r="M1184" s="1"/>
      <c r="N1184" s="1"/>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row>
    <row r="1185" spans="1:96" ht="12.75" customHeight="1" outlineLevel="2" x14ac:dyDescent="0.2">
      <c r="A1185"/>
      <c r="B1185" s="1395"/>
      <c r="C1185" s="1002"/>
      <c r="D1185" s="1003"/>
      <c r="E1185" s="1003"/>
      <c r="F1185" s="1003" t="s">
        <v>1817</v>
      </c>
      <c r="G1185" s="1004"/>
      <c r="H1185" s="1003" t="s">
        <v>2312</v>
      </c>
      <c r="I1185" s="1005" t="s">
        <v>2313</v>
      </c>
      <c r="J1185" s="1"/>
      <c r="K1185" s="1"/>
      <c r="L1185"/>
      <c r="M1185" s="1"/>
      <c r="N1185" s="1"/>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row>
    <row r="1186" spans="1:96" ht="12.75" customHeight="1" outlineLevel="2" x14ac:dyDescent="0.2">
      <c r="A1186"/>
      <c r="B1186" s="1395"/>
      <c r="C1186" s="1002"/>
      <c r="D1186" s="1003"/>
      <c r="E1186" s="1003"/>
      <c r="F1186" s="1003" t="s">
        <v>1818</v>
      </c>
      <c r="G1186" s="1004"/>
      <c r="H1186" s="1003" t="s">
        <v>2314</v>
      </c>
      <c r="I1186" s="1005" t="s">
        <v>2315</v>
      </c>
      <c r="J1186" s="1"/>
      <c r="K1186" s="1"/>
      <c r="L1186"/>
      <c r="M1186" s="1"/>
      <c r="N1186" s="1"/>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row>
    <row r="1187" spans="1:96" ht="12.75" customHeight="1" outlineLevel="2" x14ac:dyDescent="0.2">
      <c r="A1187"/>
      <c r="B1187" s="1395"/>
      <c r="C1187" s="1002"/>
      <c r="D1187" s="1003"/>
      <c r="E1187" s="1003"/>
      <c r="F1187" s="1003" t="s">
        <v>1819</v>
      </c>
      <c r="G1187" s="1004"/>
      <c r="H1187" s="1003" t="s">
        <v>2316</v>
      </c>
      <c r="I1187" s="1005" t="s">
        <v>2317</v>
      </c>
      <c r="J1187" s="1"/>
      <c r="K1187" s="1"/>
      <c r="L1187"/>
      <c r="M1187" s="1"/>
      <c r="N1187" s="1"/>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row>
    <row r="1188" spans="1:96" ht="12.75" customHeight="1" outlineLevel="2" x14ac:dyDescent="0.2">
      <c r="A1188"/>
      <c r="B1188" s="1395"/>
      <c r="C1188" s="1002"/>
      <c r="D1188" s="1003"/>
      <c r="E1188" s="1003"/>
      <c r="F1188" s="1003" t="s">
        <v>1820</v>
      </c>
      <c r="G1188" s="1004"/>
      <c r="H1188" s="1003" t="s">
        <v>2318</v>
      </c>
      <c r="I1188" s="1005" t="s">
        <v>2319</v>
      </c>
      <c r="J1188" s="1"/>
      <c r="K1188" s="1"/>
      <c r="L1188"/>
      <c r="M1188" s="1"/>
      <c r="N1188" s="1"/>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row>
    <row r="1189" spans="1:96" ht="12.75" customHeight="1" outlineLevel="2" x14ac:dyDescent="0.2">
      <c r="A1189"/>
      <c r="B1189" s="1395"/>
      <c r="C1189" s="1002"/>
      <c r="D1189" s="1003"/>
      <c r="E1189" s="1003"/>
      <c r="F1189" s="1003" t="s">
        <v>1821</v>
      </c>
      <c r="G1189" s="1004"/>
      <c r="H1189" s="1003" t="s">
        <v>2320</v>
      </c>
      <c r="I1189" s="1005" t="s">
        <v>2321</v>
      </c>
      <c r="J1189" s="1"/>
      <c r="K1189" s="1"/>
      <c r="L1189"/>
      <c r="M1189" s="1"/>
      <c r="N1189" s="1"/>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row>
    <row r="1190" spans="1:96" ht="12.75" customHeight="1" outlineLevel="2" x14ac:dyDescent="0.2">
      <c r="A1190"/>
      <c r="B1190" s="1395"/>
      <c r="C1190" s="1002"/>
      <c r="D1190" s="1003"/>
      <c r="E1190" s="1003"/>
      <c r="F1190" s="1003" t="s">
        <v>1822</v>
      </c>
      <c r="G1190" s="1004"/>
      <c r="H1190" s="1003" t="s">
        <v>2322</v>
      </c>
      <c r="I1190" s="1005" t="s">
        <v>2323</v>
      </c>
      <c r="J1190" s="1"/>
      <c r="K1190" s="1"/>
      <c r="L1190"/>
      <c r="M1190" s="1"/>
      <c r="N1190" s="1"/>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row>
    <row r="1191" spans="1:96" ht="12.75" customHeight="1" outlineLevel="2" x14ac:dyDescent="0.2">
      <c r="A1191"/>
      <c r="B1191" s="1395"/>
      <c r="C1191" s="1002"/>
      <c r="D1191" s="1003"/>
      <c r="E1191" s="1003"/>
      <c r="F1191" s="1003" t="s">
        <v>1823</v>
      </c>
      <c r="G1191" s="1004"/>
      <c r="H1191" s="1003" t="s">
        <v>2324</v>
      </c>
      <c r="I1191" s="1005" t="s">
        <v>2325</v>
      </c>
      <c r="J1191" s="1"/>
      <c r="K1191" s="1"/>
      <c r="L1191"/>
      <c r="M1191" s="1"/>
      <c r="N1191" s="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row>
    <row r="1192" spans="1:96" ht="12.75" customHeight="1" outlineLevel="2" x14ac:dyDescent="0.2">
      <c r="A1192"/>
      <c r="B1192" s="1395"/>
      <c r="C1192" s="1002"/>
      <c r="D1192" s="1003"/>
      <c r="E1192" s="1003"/>
      <c r="F1192" s="1003" t="s">
        <v>1824</v>
      </c>
      <c r="G1192" s="1004"/>
      <c r="H1192" s="1003" t="s">
        <v>2326</v>
      </c>
      <c r="I1192" s="1005" t="s">
        <v>2327</v>
      </c>
      <c r="J1192" s="1"/>
      <c r="K1192" s="1"/>
      <c r="L1192"/>
      <c r="M1192" s="1"/>
      <c r="N1192" s="1"/>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row>
    <row r="1193" spans="1:96" ht="12.75" customHeight="1" outlineLevel="2" x14ac:dyDescent="0.2">
      <c r="A1193"/>
      <c r="B1193" s="1395"/>
      <c r="C1193" s="1002"/>
      <c r="D1193" s="1003"/>
      <c r="E1193" s="1003"/>
      <c r="F1193" s="1003" t="s">
        <v>1825</v>
      </c>
      <c r="G1193" s="1004"/>
      <c r="H1193" s="1003" t="s">
        <v>2328</v>
      </c>
      <c r="I1193" s="1005" t="s">
        <v>2329</v>
      </c>
      <c r="J1193" s="1"/>
      <c r="K1193" s="1"/>
      <c r="L1193"/>
      <c r="M1193" s="1"/>
      <c r="N1193" s="1"/>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row>
    <row r="1194" spans="1:96" ht="12.75" customHeight="1" outlineLevel="2" x14ac:dyDescent="0.2">
      <c r="A1194"/>
      <c r="B1194" s="1395"/>
      <c r="C1194" s="1002"/>
      <c r="D1194" s="1003"/>
      <c r="E1194" s="1003"/>
      <c r="F1194" s="1003" t="s">
        <v>1826</v>
      </c>
      <c r="G1194" s="1004"/>
      <c r="H1194" s="1003" t="s">
        <v>2330</v>
      </c>
      <c r="I1194" s="1005" t="s">
        <v>2331</v>
      </c>
      <c r="J1194" s="1"/>
      <c r="K1194" s="1"/>
      <c r="L1194"/>
      <c r="M1194" s="1"/>
      <c r="N1194" s="1"/>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row>
    <row r="1195" spans="1:96" ht="12.75" customHeight="1" outlineLevel="2" x14ac:dyDescent="0.2">
      <c r="A1195"/>
      <c r="B1195" s="1395"/>
      <c r="C1195" s="1002"/>
      <c r="D1195" s="1003"/>
      <c r="E1195" s="1003"/>
      <c r="F1195" s="1003" t="s">
        <v>1827</v>
      </c>
      <c r="G1195" s="1004"/>
      <c r="H1195" s="1003" t="s">
        <v>2332</v>
      </c>
      <c r="I1195" s="1005" t="s">
        <v>2333</v>
      </c>
      <c r="J1195" s="1"/>
      <c r="K1195" s="1"/>
      <c r="L1195"/>
      <c r="M1195" s="1"/>
      <c r="N1195" s="1"/>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row>
    <row r="1196" spans="1:96" ht="12.75" customHeight="1" outlineLevel="2" x14ac:dyDescent="0.2">
      <c r="A1196"/>
      <c r="B1196" s="1395"/>
      <c r="C1196" s="1002"/>
      <c r="D1196" s="1003"/>
      <c r="E1196" s="1003"/>
      <c r="F1196" s="1003" t="s">
        <v>1828</v>
      </c>
      <c r="G1196" s="1004"/>
      <c r="H1196" s="1003" t="s">
        <v>2334</v>
      </c>
      <c r="I1196" s="1005" t="s">
        <v>2303</v>
      </c>
      <c r="J1196" s="1"/>
      <c r="K1196" s="1"/>
      <c r="L1196"/>
      <c r="M1196" s="1"/>
      <c r="N1196" s="1"/>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row>
    <row r="1197" spans="1:96" ht="12.75" customHeight="1" outlineLevel="2" x14ac:dyDescent="0.2">
      <c r="A1197"/>
      <c r="B1197" s="1395"/>
      <c r="C1197" s="1002"/>
      <c r="D1197" s="1003"/>
      <c r="E1197" s="1003"/>
      <c r="F1197" s="1003" t="s">
        <v>1829</v>
      </c>
      <c r="G1197" s="1004"/>
      <c r="H1197" s="1003"/>
      <c r="I1197" s="1005"/>
      <c r="J1197" s="1"/>
      <c r="K1197" s="1"/>
      <c r="L1197"/>
      <c r="M1197" s="1"/>
      <c r="N1197" s="1"/>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row>
    <row r="1198" spans="1:96" ht="12.75" customHeight="1" outlineLevel="2" x14ac:dyDescent="0.2">
      <c r="A1198"/>
      <c r="B1198" s="1395"/>
      <c r="C1198" s="1002"/>
      <c r="D1198" s="1003"/>
      <c r="E1198" s="1003"/>
      <c r="F1198" s="1003" t="s">
        <v>1830</v>
      </c>
      <c r="G1198" s="1004"/>
      <c r="H1198" s="1003"/>
      <c r="I1198" s="1005"/>
      <c r="J1198" s="1"/>
      <c r="K1198" s="1"/>
      <c r="L1198"/>
      <c r="M1198" s="1"/>
      <c r="N1198" s="1"/>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row>
    <row r="1199" spans="1:96" ht="12.75" customHeight="1" outlineLevel="2" x14ac:dyDescent="0.2">
      <c r="A1199"/>
      <c r="B1199" s="1395"/>
      <c r="C1199" s="1002"/>
      <c r="D1199" s="1003"/>
      <c r="E1199" s="1003"/>
      <c r="F1199" s="1003" t="s">
        <v>1831</v>
      </c>
      <c r="G1199" s="1004"/>
      <c r="H1199" s="1003"/>
      <c r="I1199" s="1005"/>
      <c r="J1199" s="1"/>
      <c r="K1199" s="1"/>
      <c r="L1199"/>
      <c r="M1199" s="1"/>
      <c r="N1199" s="1"/>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row>
    <row r="1200" spans="1:96" ht="12.75" customHeight="1" outlineLevel="2" x14ac:dyDescent="0.2">
      <c r="A1200"/>
      <c r="B1200" s="1395"/>
      <c r="C1200" s="1002"/>
      <c r="D1200" s="1003"/>
      <c r="E1200" s="1003"/>
      <c r="F1200" s="1003" t="s">
        <v>1832</v>
      </c>
      <c r="G1200" s="1004"/>
      <c r="H1200" s="1003"/>
      <c r="I1200" s="1005"/>
      <c r="J1200" s="1"/>
      <c r="K1200" s="1"/>
      <c r="L1200"/>
      <c r="M1200" s="1"/>
      <c r="N1200" s="1"/>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row>
    <row r="1201" spans="1:96" ht="12.75" customHeight="1" outlineLevel="2" x14ac:dyDescent="0.2">
      <c r="A1201"/>
      <c r="B1201" s="1395"/>
      <c r="C1201" s="1002"/>
      <c r="D1201" s="1003"/>
      <c r="E1201" s="1003"/>
      <c r="F1201" s="1003" t="s">
        <v>1833</v>
      </c>
      <c r="G1201" s="1004"/>
      <c r="H1201" s="1003"/>
      <c r="I1201" s="1005"/>
      <c r="J1201" s="1"/>
      <c r="K1201" s="1"/>
      <c r="L1201"/>
      <c r="M1201" s="1"/>
      <c r="N1201" s="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row>
    <row r="1202" spans="1:96" ht="12.75" customHeight="1" outlineLevel="2" x14ac:dyDescent="0.2">
      <c r="A1202"/>
      <c r="B1202" s="1395"/>
      <c r="C1202" s="1002"/>
      <c r="D1202" s="1003"/>
      <c r="E1202" s="1003"/>
      <c r="F1202" s="1003" t="s">
        <v>1834</v>
      </c>
      <c r="G1202" s="1004"/>
      <c r="H1202" s="1003"/>
      <c r="I1202" s="1005"/>
      <c r="J1202" s="1"/>
      <c r="K1202" s="1"/>
      <c r="L1202"/>
      <c r="M1202" s="1"/>
      <c r="N1202" s="1"/>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row>
    <row r="1203" spans="1:96" ht="12.75" customHeight="1" outlineLevel="2" x14ac:dyDescent="0.2">
      <c r="A1203"/>
      <c r="B1203" s="1395"/>
      <c r="C1203" s="1002"/>
      <c r="D1203" s="1003"/>
      <c r="E1203" s="1003"/>
      <c r="F1203" s="1003" t="s">
        <v>1835</v>
      </c>
      <c r="G1203" s="1004"/>
      <c r="H1203" s="1003"/>
      <c r="I1203" s="1005"/>
      <c r="J1203" s="1"/>
      <c r="K1203" s="1"/>
      <c r="L1203"/>
      <c r="M1203" s="1"/>
      <c r="N1203" s="1"/>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row>
    <row r="1204" spans="1:96" ht="12.75" customHeight="1" outlineLevel="2" x14ac:dyDescent="0.2">
      <c r="A1204"/>
      <c r="B1204" s="1395"/>
      <c r="C1204" s="1002"/>
      <c r="D1204" s="1003"/>
      <c r="E1204" s="1003"/>
      <c r="F1204" s="1003" t="s">
        <v>1836</v>
      </c>
      <c r="G1204" s="1004"/>
      <c r="H1204" s="1003"/>
      <c r="I1204" s="1005"/>
      <c r="J1204" s="1"/>
      <c r="K1204" s="1"/>
      <c r="L1204"/>
      <c r="M1204" s="1"/>
      <c r="N1204" s="1"/>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row>
    <row r="1205" spans="1:96" ht="12.75" customHeight="1" outlineLevel="2" x14ac:dyDescent="0.2">
      <c r="A1205"/>
      <c r="B1205" s="1395"/>
      <c r="C1205" s="1002"/>
      <c r="D1205" s="1003"/>
      <c r="E1205" s="1003"/>
      <c r="F1205" s="1003" t="s">
        <v>1837</v>
      </c>
      <c r="G1205" s="1004"/>
      <c r="H1205" s="1003"/>
      <c r="I1205" s="1005"/>
      <c r="J1205" s="1"/>
      <c r="K1205" s="1"/>
      <c r="L1205"/>
      <c r="M1205" s="1"/>
      <c r="N1205" s="1"/>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row>
    <row r="1206" spans="1:96" ht="12.75" customHeight="1" outlineLevel="2" x14ac:dyDescent="0.2">
      <c r="A1206"/>
      <c r="B1206" s="1395"/>
      <c r="C1206" s="1002"/>
      <c r="D1206" s="1003"/>
      <c r="E1206" s="1003"/>
      <c r="F1206" s="1003" t="s">
        <v>1838</v>
      </c>
      <c r="G1206" s="1004"/>
      <c r="H1206" s="1003"/>
      <c r="I1206" s="1005"/>
      <c r="J1206" s="1"/>
      <c r="K1206" s="1"/>
      <c r="L1206"/>
      <c r="M1206" s="1"/>
      <c r="N1206" s="1"/>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row>
    <row r="1207" spans="1:96" ht="12.75" customHeight="1" outlineLevel="2" x14ac:dyDescent="0.2">
      <c r="A1207"/>
      <c r="B1207" s="1395"/>
      <c r="C1207" s="1002"/>
      <c r="D1207" s="1003"/>
      <c r="E1207" s="1003"/>
      <c r="F1207" s="1003" t="s">
        <v>1839</v>
      </c>
      <c r="G1207" s="1004"/>
      <c r="H1207" s="1003"/>
      <c r="I1207" s="1005"/>
      <c r="J1207" s="1"/>
      <c r="K1207" s="1"/>
      <c r="L1207"/>
      <c r="M1207" s="1"/>
      <c r="N1207" s="1"/>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row>
    <row r="1208" spans="1:96" ht="12.75" customHeight="1" outlineLevel="2" x14ac:dyDescent="0.2">
      <c r="A1208"/>
      <c r="B1208" s="1395"/>
      <c r="C1208" s="1002"/>
      <c r="D1208" s="1003"/>
      <c r="E1208" s="1003"/>
      <c r="F1208" s="1003" t="s">
        <v>1840</v>
      </c>
      <c r="G1208" s="1004"/>
      <c r="H1208" s="1003"/>
      <c r="I1208" s="1005"/>
      <c r="J1208" s="1"/>
      <c r="K1208" s="1"/>
      <c r="L1208"/>
      <c r="M1208" s="1"/>
      <c r="N1208" s="1"/>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row>
    <row r="1209" spans="1:96" ht="12.75" customHeight="1" outlineLevel="2" x14ac:dyDescent="0.2">
      <c r="A1209"/>
      <c r="B1209" s="1395"/>
      <c r="C1209" s="1002"/>
      <c r="D1209" s="1003"/>
      <c r="E1209" s="1003"/>
      <c r="F1209" s="1003" t="s">
        <v>1841</v>
      </c>
      <c r="G1209" s="1004"/>
      <c r="H1209" s="1003"/>
      <c r="I1209" s="1005"/>
      <c r="J1209" s="1"/>
      <c r="K1209" s="1"/>
      <c r="L1209"/>
      <c r="M1209" s="1"/>
      <c r="N1209" s="1"/>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row>
    <row r="1210" spans="1:96" ht="12.75" customHeight="1" outlineLevel="2" x14ac:dyDescent="0.2">
      <c r="A1210"/>
      <c r="B1210" s="1395"/>
      <c r="C1210" s="1002"/>
      <c r="D1210" s="1003"/>
      <c r="E1210" s="1003"/>
      <c r="F1210" s="1003" t="s">
        <v>1842</v>
      </c>
      <c r="G1210" s="1004"/>
      <c r="H1210" s="1003"/>
      <c r="I1210" s="1005"/>
      <c r="J1210" s="1"/>
      <c r="K1210" s="1"/>
      <c r="L1210"/>
      <c r="M1210" s="1"/>
      <c r="N1210" s="1"/>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row>
    <row r="1211" spans="1:96" ht="12.75" customHeight="1" outlineLevel="2" x14ac:dyDescent="0.2">
      <c r="A1211"/>
      <c r="B1211" s="1395"/>
      <c r="C1211" s="1002"/>
      <c r="D1211" s="1003"/>
      <c r="E1211" s="1003"/>
      <c r="F1211" s="1003" t="s">
        <v>1843</v>
      </c>
      <c r="G1211" s="1004"/>
      <c r="H1211" s="1003"/>
      <c r="I1211" s="1005"/>
      <c r="J1211" s="1"/>
      <c r="K1211" s="1"/>
      <c r="L1211"/>
      <c r="M1211" s="1"/>
      <c r="N1211" s="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row>
    <row r="1212" spans="1:96" ht="12.75" customHeight="1" outlineLevel="2" x14ac:dyDescent="0.2">
      <c r="A1212"/>
      <c r="B1212" s="1395"/>
      <c r="C1212" s="1002"/>
      <c r="D1212" s="1003"/>
      <c r="E1212" s="1003"/>
      <c r="F1212" s="1003" t="s">
        <v>1844</v>
      </c>
      <c r="G1212" s="1004"/>
      <c r="H1212" s="1003"/>
      <c r="I1212" s="1005"/>
      <c r="J1212" s="1"/>
      <c r="K1212" s="1"/>
      <c r="L1212"/>
      <c r="M1212" s="1"/>
      <c r="N1212" s="1"/>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row>
  </sheetData>
  <sheetProtection sheet="1" objects="1" scenarios="1" formatColumns="0" formatRows="0"/>
  <dataConsolidate/>
  <customSheetViews>
    <customSheetView guid="{13F24B0A-7740-483A-BEF7-5257F8522605}" scale="85" showGridLines="0" state="hidden">
      <selection activeCell="F23" sqref="F23"/>
      <pageMargins left="0.7" right="0.7" top="0.75" bottom="0.75" header="0.3" footer="0.3"/>
      <pageSetup paperSize="9" orientation="portrait" r:id="rId1"/>
    </customSheetView>
  </customSheetViews>
  <mergeCells count="62">
    <mergeCell ref="B3:J3"/>
    <mergeCell ref="B4:B5"/>
    <mergeCell ref="C4:E4"/>
    <mergeCell ref="H4:H5"/>
    <mergeCell ref="I4:I5"/>
    <mergeCell ref="J4:J5"/>
    <mergeCell ref="F4:F5"/>
    <mergeCell ref="N4:P4"/>
    <mergeCell ref="Q4:Q5"/>
    <mergeCell ref="S4:S5"/>
    <mergeCell ref="M3:U3"/>
    <mergeCell ref="M4:M5"/>
    <mergeCell ref="T4:T5"/>
    <mergeCell ref="U4:U5"/>
    <mergeCell ref="H136:I136"/>
    <mergeCell ref="C135:I135"/>
    <mergeCell ref="C136:C137"/>
    <mergeCell ref="D136:D137"/>
    <mergeCell ref="E136:E137"/>
    <mergeCell ref="F136:F137"/>
    <mergeCell ref="W3:AE3"/>
    <mergeCell ref="W4:W5"/>
    <mergeCell ref="X4:Z4"/>
    <mergeCell ref="AA4:AA5"/>
    <mergeCell ref="AC4:AC5"/>
    <mergeCell ref="AD4:AD5"/>
    <mergeCell ref="AE4:AE5"/>
    <mergeCell ref="AG3:AP3"/>
    <mergeCell ref="AG4:AG5"/>
    <mergeCell ref="AH4:AK4"/>
    <mergeCell ref="AL4:AL5"/>
    <mergeCell ref="AN4:AN5"/>
    <mergeCell ref="AO4:AO5"/>
    <mergeCell ref="AP4:AP5"/>
    <mergeCell ref="AR3:BB3"/>
    <mergeCell ref="AR4:AR5"/>
    <mergeCell ref="AS4:AW4"/>
    <mergeCell ref="AX4:AX5"/>
    <mergeCell ref="AZ4:AZ5"/>
    <mergeCell ref="BA4:BA5"/>
    <mergeCell ref="BB4:BB5"/>
    <mergeCell ref="BD3:BO3"/>
    <mergeCell ref="BD4:BD5"/>
    <mergeCell ref="BE4:BJ4"/>
    <mergeCell ref="BK4:BK5"/>
    <mergeCell ref="BM4:BM5"/>
    <mergeCell ref="BN4:BN5"/>
    <mergeCell ref="BO4:BO5"/>
    <mergeCell ref="BQ3:CC3"/>
    <mergeCell ref="BQ4:BQ5"/>
    <mergeCell ref="BR4:BX4"/>
    <mergeCell ref="BY4:BY5"/>
    <mergeCell ref="CA4:CA5"/>
    <mergeCell ref="CB4:CB5"/>
    <mergeCell ref="CC4:CC5"/>
    <mergeCell ref="CE3:CR3"/>
    <mergeCell ref="CE4:CE5"/>
    <mergeCell ref="CF4:CM4"/>
    <mergeCell ref="CN4:CN5"/>
    <mergeCell ref="CP4:CP5"/>
    <mergeCell ref="CQ4:CQ5"/>
    <mergeCell ref="CR4:CR5"/>
  </mergeCells>
  <phoneticPr fontId="61"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_CompetitionFormulas">
    <tabColor rgb="FFFF00FF"/>
    <outlinePr summaryBelow="0"/>
  </sheetPr>
  <dimension ref="A1:O1825"/>
  <sheetViews>
    <sheetView showGridLines="0" zoomScale="130" zoomScaleNormal="130" workbookViewId="0">
      <pane ySplit="5" topLeftCell="A1514" activePane="bottomLeft" state="frozen"/>
      <selection pane="bottomLeft" activeCell="S1819" sqref="S1819"/>
    </sheetView>
  </sheetViews>
  <sheetFormatPr baseColWidth="10" defaultColWidth="3.85546875" defaultRowHeight="12.75" x14ac:dyDescent="0.2"/>
  <cols>
    <col min="1" max="1" width="2.85546875" style="1396" customWidth="1"/>
    <col min="2" max="2" width="7.5703125" style="1396" customWidth="1"/>
    <col min="3" max="10" width="4.85546875" style="1396" customWidth="1"/>
    <col min="11" max="11" width="12.28515625" style="1396" customWidth="1"/>
    <col min="12" max="12" width="1.85546875" style="1396" customWidth="1"/>
    <col min="13" max="13" width="12.42578125" style="1396" customWidth="1"/>
    <col min="14" max="14" width="11.5703125" style="1396" customWidth="1"/>
    <col min="15" max="15" width="12.5703125" style="1396" customWidth="1"/>
    <col min="16" max="16384" width="3.85546875" style="1397"/>
  </cols>
  <sheetData>
    <row r="1" spans="1:15" ht="35.25" x14ac:dyDescent="0.5">
      <c r="A1" s="1852"/>
      <c r="B1" s="2300" t="str">
        <f>N_CompetitionFormula</f>
        <v>Formules de compétition non officielles</v>
      </c>
      <c r="C1" s="2300"/>
      <c r="D1" s="2300"/>
      <c r="E1" s="2300"/>
      <c r="F1" s="2300"/>
      <c r="G1" s="2300"/>
      <c r="H1" s="2300"/>
      <c r="I1" s="2300"/>
      <c r="J1" s="2300"/>
      <c r="K1" s="2300"/>
      <c r="L1" s="2300"/>
      <c r="M1" s="2300"/>
      <c r="N1" s="2300"/>
      <c r="O1" s="2300"/>
    </row>
    <row r="2" spans="1:15" ht="13.5" thickBot="1" x14ac:dyDescent="0.25">
      <c r="A2"/>
      <c r="B2" s="1"/>
      <c r="C2" s="1"/>
      <c r="D2" s="1"/>
      <c r="E2" s="1"/>
      <c r="F2" s="1"/>
      <c r="G2" s="1"/>
      <c r="H2" s="1"/>
      <c r="I2" s="1"/>
      <c r="J2" s="1"/>
      <c r="K2" s="1"/>
      <c r="L2"/>
      <c r="M2" s="1"/>
      <c r="N2" s="1"/>
      <c r="O2" s="1"/>
    </row>
    <row r="3" spans="1:15" ht="13.5" thickBot="1" x14ac:dyDescent="0.25">
      <c r="A3"/>
      <c r="B3" s="2301" t="str">
        <f>N_MatchOrganisationFor3</f>
        <v>Organisation des matches avec priorité aux poules de 3</v>
      </c>
      <c r="C3" s="2302"/>
      <c r="D3" s="2302"/>
      <c r="E3" s="2302"/>
      <c r="F3" s="2302"/>
      <c r="G3" s="2302"/>
      <c r="H3" s="2302"/>
      <c r="I3" s="2302"/>
      <c r="J3" s="2302"/>
      <c r="K3" s="2302"/>
      <c r="L3" s="2302"/>
      <c r="M3" s="2302"/>
      <c r="N3" s="2302"/>
      <c r="O3" s="2303"/>
    </row>
    <row r="4" spans="1:15" ht="13.5" thickBot="1" x14ac:dyDescent="0.25">
      <c r="A4" s="1838"/>
      <c r="B4" s="2304" t="str">
        <f>N_NbPlayers</f>
        <v>Nb Joueurs</v>
      </c>
      <c r="C4" s="2306" t="str">
        <f>N_NbGroupsOf</f>
        <v>Nb Poules de …</v>
      </c>
      <c r="D4" s="2307"/>
      <c r="E4" s="2307"/>
      <c r="F4" s="2307"/>
      <c r="G4" s="2307"/>
      <c r="H4" s="2307"/>
      <c r="I4" s="2307"/>
      <c r="J4" s="2308"/>
      <c r="K4" s="2313" t="str">
        <f>N_TotalNbGroups</f>
        <v>Nb Total de Poules</v>
      </c>
      <c r="L4" s="1456"/>
      <c r="M4" s="2309" t="str">
        <f>N_QualifiedPlayers</f>
        <v>Nb Joueurs pré-qualifiés</v>
      </c>
      <c r="N4" s="2309" t="str">
        <f>N_NbPlayOffMatches</f>
        <v>Nb Matches de barrages</v>
      </c>
      <c r="O4" s="2311" t="str">
        <f>N_NbLastPlayers</f>
        <v>Nb Joueurs phase finale</v>
      </c>
    </row>
    <row r="5" spans="1:15" ht="13.5" thickBot="1" x14ac:dyDescent="0.25">
      <c r="A5"/>
      <c r="B5" s="2305"/>
      <c r="C5" s="1457">
        <v>3</v>
      </c>
      <c r="D5" s="1457">
        <v>4</v>
      </c>
      <c r="E5" s="1457">
        <v>5</v>
      </c>
      <c r="F5" s="1457">
        <v>6</v>
      </c>
      <c r="G5" s="1457">
        <v>7</v>
      </c>
      <c r="H5" s="1457">
        <v>8</v>
      </c>
      <c r="I5" s="1457">
        <v>9</v>
      </c>
      <c r="J5" s="1457">
        <v>10</v>
      </c>
      <c r="K5" s="2310"/>
      <c r="L5" s="1458"/>
      <c r="M5" s="2310"/>
      <c r="N5" s="2310"/>
      <c r="O5" s="2312"/>
    </row>
    <row r="6" spans="1:15" x14ac:dyDescent="0.2">
      <c r="A6"/>
      <c r="B6" s="998">
        <v>3</v>
      </c>
      <c r="C6" s="999">
        <v>1</v>
      </c>
      <c r="D6" s="999"/>
      <c r="E6" s="999"/>
      <c r="F6" s="999"/>
      <c r="G6" s="999"/>
      <c r="H6" s="999"/>
      <c r="I6" s="999"/>
      <c r="J6" s="999"/>
      <c r="K6" s="999">
        <f t="shared" ref="K6:K69" si="0">SUM(C6:J6)</f>
        <v>1</v>
      </c>
      <c r="L6" s="1000"/>
      <c r="M6" s="999"/>
      <c r="N6" s="999"/>
      <c r="O6" s="1001">
        <v>2</v>
      </c>
    </row>
    <row r="7" spans="1:15" x14ac:dyDescent="0.2">
      <c r="A7"/>
      <c r="B7" s="1002">
        <v>4</v>
      </c>
      <c r="C7" s="1003"/>
      <c r="D7" s="1003">
        <v>1</v>
      </c>
      <c r="E7" s="1003"/>
      <c r="F7" s="1003"/>
      <c r="G7" s="1003"/>
      <c r="H7" s="1003"/>
      <c r="I7" s="1003"/>
      <c r="J7" s="1003"/>
      <c r="K7" s="1003">
        <f t="shared" si="0"/>
        <v>1</v>
      </c>
      <c r="L7" s="1004"/>
      <c r="M7" s="1003"/>
      <c r="N7" s="1003"/>
      <c r="O7" s="1005">
        <v>2</v>
      </c>
    </row>
    <row r="8" spans="1:15" x14ac:dyDescent="0.2">
      <c r="A8"/>
      <c r="B8" s="1002">
        <v>5</v>
      </c>
      <c r="C8" s="1003"/>
      <c r="D8" s="1003"/>
      <c r="E8" s="1003">
        <v>1</v>
      </c>
      <c r="F8" s="1003"/>
      <c r="G8" s="1003"/>
      <c r="H8" s="1003"/>
      <c r="I8" s="1003"/>
      <c r="J8" s="1003"/>
      <c r="K8" s="1003">
        <f t="shared" si="0"/>
        <v>1</v>
      </c>
      <c r="L8" s="1004"/>
      <c r="M8" s="1003"/>
      <c r="N8" s="1003"/>
      <c r="O8" s="1005">
        <v>2</v>
      </c>
    </row>
    <row r="9" spans="1:15" x14ac:dyDescent="0.2">
      <c r="A9"/>
      <c r="B9" s="1002">
        <v>6</v>
      </c>
      <c r="C9" s="1003">
        <v>2</v>
      </c>
      <c r="D9" s="1003"/>
      <c r="E9" s="1003"/>
      <c r="F9" s="1003"/>
      <c r="G9" s="1003"/>
      <c r="H9" s="1003"/>
      <c r="I9" s="1003"/>
      <c r="J9" s="1003"/>
      <c r="K9" s="1003">
        <f t="shared" si="0"/>
        <v>2</v>
      </c>
      <c r="L9" s="1004"/>
      <c r="M9" s="1003"/>
      <c r="N9" s="1003"/>
      <c r="O9" s="1005">
        <v>4</v>
      </c>
    </row>
    <row r="10" spans="1:15" x14ac:dyDescent="0.2">
      <c r="A10"/>
      <c r="B10" s="1002">
        <v>6</v>
      </c>
      <c r="C10" s="1003"/>
      <c r="D10" s="1003"/>
      <c r="E10" s="1003"/>
      <c r="F10" s="1003">
        <v>1</v>
      </c>
      <c r="G10" s="1003"/>
      <c r="H10" s="1003"/>
      <c r="I10" s="1003"/>
      <c r="J10" s="1003"/>
      <c r="K10" s="1003">
        <f t="shared" si="0"/>
        <v>1</v>
      </c>
      <c r="L10" s="1004"/>
      <c r="M10" s="1003"/>
      <c r="N10" s="1003"/>
      <c r="O10" s="1005">
        <v>2</v>
      </c>
    </row>
    <row r="11" spans="1:15" x14ac:dyDescent="0.2">
      <c r="A11"/>
      <c r="B11" s="1002">
        <v>7</v>
      </c>
      <c r="C11" s="1003">
        <v>1</v>
      </c>
      <c r="D11" s="1003">
        <v>1</v>
      </c>
      <c r="E11" s="1003"/>
      <c r="F11" s="1003"/>
      <c r="G11" s="1003"/>
      <c r="H11" s="1003"/>
      <c r="I11" s="1003"/>
      <c r="J11" s="1003"/>
      <c r="K11" s="1003">
        <f t="shared" si="0"/>
        <v>2</v>
      </c>
      <c r="L11" s="1004"/>
      <c r="M11" s="1003"/>
      <c r="N11" s="1003"/>
      <c r="O11" s="1005">
        <v>4</v>
      </c>
    </row>
    <row r="12" spans="1:15" x14ac:dyDescent="0.2">
      <c r="A12"/>
      <c r="B12" s="1002">
        <v>7</v>
      </c>
      <c r="C12" s="1003"/>
      <c r="D12" s="1003"/>
      <c r="E12" s="1003"/>
      <c r="F12" s="1003"/>
      <c r="G12" s="1003">
        <v>1</v>
      </c>
      <c r="H12" s="1003"/>
      <c r="I12" s="1003"/>
      <c r="J12" s="1003"/>
      <c r="K12" s="1003">
        <f t="shared" si="0"/>
        <v>1</v>
      </c>
      <c r="L12" s="1004"/>
      <c r="M12" s="1003"/>
      <c r="N12" s="1003"/>
      <c r="O12" s="1005">
        <v>2</v>
      </c>
    </row>
    <row r="13" spans="1:15" x14ac:dyDescent="0.2">
      <c r="A13"/>
      <c r="B13" s="1002">
        <v>8</v>
      </c>
      <c r="C13" s="1003"/>
      <c r="D13" s="1003">
        <v>2</v>
      </c>
      <c r="E13" s="1003"/>
      <c r="F13" s="1003"/>
      <c r="G13" s="1003"/>
      <c r="H13" s="1003"/>
      <c r="I13" s="1003"/>
      <c r="J13" s="1003"/>
      <c r="K13" s="1003">
        <f t="shared" si="0"/>
        <v>2</v>
      </c>
      <c r="L13" s="1004"/>
      <c r="M13" s="1003"/>
      <c r="N13" s="1003"/>
      <c r="O13" s="1005">
        <v>4</v>
      </c>
    </row>
    <row r="14" spans="1:15" x14ac:dyDescent="0.2">
      <c r="A14"/>
      <c r="B14" s="1002">
        <v>8</v>
      </c>
      <c r="C14" s="1003"/>
      <c r="D14" s="1003"/>
      <c r="E14" s="1003"/>
      <c r="F14" s="1003"/>
      <c r="G14" s="1003"/>
      <c r="H14" s="1003">
        <v>1</v>
      </c>
      <c r="I14" s="1003"/>
      <c r="J14" s="1003"/>
      <c r="K14" s="1003">
        <f t="shared" si="0"/>
        <v>1</v>
      </c>
      <c r="L14" s="1004"/>
      <c r="M14" s="1003"/>
      <c r="N14" s="1003"/>
      <c r="O14" s="1005">
        <v>2</v>
      </c>
    </row>
    <row r="15" spans="1:15" x14ac:dyDescent="0.2">
      <c r="A15"/>
      <c r="B15" s="1002">
        <v>9</v>
      </c>
      <c r="C15" s="1003">
        <v>3</v>
      </c>
      <c r="D15" s="1003"/>
      <c r="E15" s="1003"/>
      <c r="F15" s="1003"/>
      <c r="G15" s="1003"/>
      <c r="H15" s="1003"/>
      <c r="I15" s="1003"/>
      <c r="J15" s="1003"/>
      <c r="K15" s="1003">
        <f t="shared" si="0"/>
        <v>3</v>
      </c>
      <c r="L15" s="1004"/>
      <c r="M15" s="1003"/>
      <c r="N15" s="1003">
        <v>2</v>
      </c>
      <c r="O15" s="1005">
        <v>4</v>
      </c>
    </row>
    <row r="16" spans="1:15" x14ac:dyDescent="0.2">
      <c r="A16"/>
      <c r="B16" s="1002">
        <v>9</v>
      </c>
      <c r="C16" s="1003"/>
      <c r="D16" s="1003">
        <v>1</v>
      </c>
      <c r="E16" s="1003">
        <v>1</v>
      </c>
      <c r="F16" s="1003"/>
      <c r="G16" s="1003"/>
      <c r="H16" s="1003"/>
      <c r="I16" s="1003"/>
      <c r="J16" s="1003"/>
      <c r="K16" s="1003">
        <f t="shared" si="0"/>
        <v>2</v>
      </c>
      <c r="L16" s="1004"/>
      <c r="M16" s="1003"/>
      <c r="N16" s="1003"/>
      <c r="O16" s="1005">
        <v>4</v>
      </c>
    </row>
    <row r="17" spans="1:15" x14ac:dyDescent="0.2">
      <c r="A17"/>
      <c r="B17" s="1002">
        <v>9</v>
      </c>
      <c r="C17" s="1003"/>
      <c r="D17" s="1003"/>
      <c r="E17" s="1003"/>
      <c r="F17" s="1003"/>
      <c r="G17" s="1003"/>
      <c r="H17" s="1003"/>
      <c r="I17" s="1003">
        <v>1</v>
      </c>
      <c r="J17" s="1003"/>
      <c r="K17" s="1003">
        <f t="shared" si="0"/>
        <v>1</v>
      </c>
      <c r="L17" s="1004"/>
      <c r="M17" s="1003"/>
      <c r="N17" s="1003"/>
      <c r="O17" s="1005">
        <v>2</v>
      </c>
    </row>
    <row r="18" spans="1:15" x14ac:dyDescent="0.2">
      <c r="A18"/>
      <c r="B18" s="1002">
        <v>10</v>
      </c>
      <c r="C18" s="1003">
        <v>2</v>
      </c>
      <c r="D18" s="1003">
        <v>1</v>
      </c>
      <c r="E18" s="1003"/>
      <c r="F18" s="1003"/>
      <c r="G18" s="1003"/>
      <c r="H18" s="1003"/>
      <c r="I18" s="1003"/>
      <c r="J18" s="1003"/>
      <c r="K18" s="1003">
        <f t="shared" si="0"/>
        <v>3</v>
      </c>
      <c r="L18" s="1004"/>
      <c r="M18" s="1003"/>
      <c r="N18" s="1003">
        <v>2</v>
      </c>
      <c r="O18" s="1005">
        <v>4</v>
      </c>
    </row>
    <row r="19" spans="1:15" collapsed="1" x14ac:dyDescent="0.2">
      <c r="A19"/>
      <c r="B19" s="1002">
        <v>10</v>
      </c>
      <c r="C19" s="1003"/>
      <c r="D19" s="1003"/>
      <c r="E19" s="1003">
        <v>2</v>
      </c>
      <c r="F19" s="1003"/>
      <c r="G19" s="1003"/>
      <c r="H19" s="1003"/>
      <c r="I19" s="1003"/>
      <c r="J19" s="1003"/>
      <c r="K19" s="1003">
        <f t="shared" si="0"/>
        <v>2</v>
      </c>
      <c r="L19" s="1004"/>
      <c r="M19" s="1003"/>
      <c r="N19" s="1003"/>
      <c r="O19" s="1005">
        <v>4</v>
      </c>
    </row>
    <row r="20" spans="1:15" x14ac:dyDescent="0.2">
      <c r="A20"/>
      <c r="B20" s="1002">
        <v>10</v>
      </c>
      <c r="C20" s="1003"/>
      <c r="D20" s="1003"/>
      <c r="E20" s="1003"/>
      <c r="F20" s="1003"/>
      <c r="G20" s="1003"/>
      <c r="H20" s="1003"/>
      <c r="I20" s="1003"/>
      <c r="J20" s="1003">
        <v>1</v>
      </c>
      <c r="K20" s="1003">
        <f t="shared" si="0"/>
        <v>1</v>
      </c>
      <c r="L20" s="1004"/>
      <c r="M20" s="1003"/>
      <c r="N20" s="1003"/>
      <c r="O20" s="1005">
        <v>2</v>
      </c>
    </row>
    <row r="21" spans="1:15" collapsed="1" x14ac:dyDescent="0.2">
      <c r="A21"/>
      <c r="B21" s="1002">
        <v>11</v>
      </c>
      <c r="C21" s="1003">
        <v>1</v>
      </c>
      <c r="D21" s="1003">
        <v>2</v>
      </c>
      <c r="E21" s="1003"/>
      <c r="F21" s="1003"/>
      <c r="G21" s="1003"/>
      <c r="H21" s="1003"/>
      <c r="I21" s="1003"/>
      <c r="J21" s="1003"/>
      <c r="K21" s="1003">
        <f t="shared" si="0"/>
        <v>3</v>
      </c>
      <c r="L21" s="1004"/>
      <c r="M21" s="1003"/>
      <c r="N21" s="1003">
        <v>2</v>
      </c>
      <c r="O21" s="1005">
        <v>4</v>
      </c>
    </row>
    <row r="22" spans="1:15" x14ac:dyDescent="0.2">
      <c r="A22"/>
      <c r="B22" s="1002">
        <v>11</v>
      </c>
      <c r="C22" s="1003"/>
      <c r="D22" s="1003"/>
      <c r="E22" s="1003">
        <v>1</v>
      </c>
      <c r="F22" s="1003">
        <v>1</v>
      </c>
      <c r="G22" s="1003"/>
      <c r="H22" s="1003"/>
      <c r="I22" s="1003"/>
      <c r="J22" s="1003"/>
      <c r="K22" s="1003">
        <f t="shared" si="0"/>
        <v>2</v>
      </c>
      <c r="L22" s="1004"/>
      <c r="M22" s="1003"/>
      <c r="N22" s="1003"/>
      <c r="O22" s="1005">
        <v>4</v>
      </c>
    </row>
    <row r="23" spans="1:15" collapsed="1" x14ac:dyDescent="0.2">
      <c r="A23"/>
      <c r="B23" s="1002">
        <v>12</v>
      </c>
      <c r="C23" s="1003">
        <v>4</v>
      </c>
      <c r="D23" s="1003"/>
      <c r="E23" s="1003"/>
      <c r="F23" s="1003"/>
      <c r="G23" s="1003"/>
      <c r="H23" s="1003"/>
      <c r="I23" s="1003"/>
      <c r="J23" s="1003"/>
      <c r="K23" s="1003">
        <f t="shared" si="0"/>
        <v>4</v>
      </c>
      <c r="L23" s="1004"/>
      <c r="M23" s="1003"/>
      <c r="N23" s="1003"/>
      <c r="O23" s="1005">
        <v>8</v>
      </c>
    </row>
    <row r="24" spans="1:15" x14ac:dyDescent="0.2">
      <c r="A24"/>
      <c r="B24" s="1002">
        <v>12</v>
      </c>
      <c r="C24" s="1003"/>
      <c r="D24" s="1003">
        <v>3</v>
      </c>
      <c r="E24" s="1003"/>
      <c r="F24" s="1003"/>
      <c r="G24" s="1003"/>
      <c r="H24" s="1003"/>
      <c r="I24" s="1003"/>
      <c r="J24" s="1003"/>
      <c r="K24" s="1003">
        <f t="shared" si="0"/>
        <v>3</v>
      </c>
      <c r="L24" s="1004"/>
      <c r="M24" s="1003"/>
      <c r="N24" s="1003">
        <v>2</v>
      </c>
      <c r="O24" s="1005">
        <v>4</v>
      </c>
    </row>
    <row r="25" spans="1:15" x14ac:dyDescent="0.2">
      <c r="A25"/>
      <c r="B25" s="1002">
        <v>12</v>
      </c>
      <c r="C25" s="1003"/>
      <c r="D25" s="1003"/>
      <c r="E25" s="1003"/>
      <c r="F25" s="1003">
        <v>2</v>
      </c>
      <c r="G25" s="1003"/>
      <c r="H25" s="1003"/>
      <c r="I25" s="1003"/>
      <c r="J25" s="1003"/>
      <c r="K25" s="1003">
        <f t="shared" si="0"/>
        <v>2</v>
      </c>
      <c r="L25" s="1004"/>
      <c r="M25" s="1003"/>
      <c r="N25" s="1003"/>
      <c r="O25" s="1005">
        <v>4</v>
      </c>
    </row>
    <row r="26" spans="1:15" collapsed="1" x14ac:dyDescent="0.2">
      <c r="A26"/>
      <c r="B26" s="1002">
        <v>13</v>
      </c>
      <c r="C26" s="1003">
        <v>3</v>
      </c>
      <c r="D26" s="1003">
        <v>1</v>
      </c>
      <c r="E26" s="1003"/>
      <c r="F26" s="1003"/>
      <c r="G26" s="1003"/>
      <c r="H26" s="1003"/>
      <c r="I26" s="1003"/>
      <c r="J26" s="1003"/>
      <c r="K26" s="1003">
        <f t="shared" si="0"/>
        <v>4</v>
      </c>
      <c r="L26" s="1004"/>
      <c r="M26" s="1003"/>
      <c r="N26" s="1003"/>
      <c r="O26" s="1005">
        <v>8</v>
      </c>
    </row>
    <row r="27" spans="1:15" collapsed="1" x14ac:dyDescent="0.2">
      <c r="A27"/>
      <c r="B27" s="1002">
        <v>13</v>
      </c>
      <c r="C27" s="1003"/>
      <c r="D27" s="1003">
        <v>2</v>
      </c>
      <c r="E27" s="1003">
        <v>1</v>
      </c>
      <c r="F27" s="1003"/>
      <c r="G27" s="1003"/>
      <c r="H27" s="1003"/>
      <c r="I27" s="1003"/>
      <c r="J27" s="1003"/>
      <c r="K27" s="1003">
        <f t="shared" si="0"/>
        <v>3</v>
      </c>
      <c r="L27" s="1004"/>
      <c r="M27" s="1003"/>
      <c r="N27" s="1003">
        <v>2</v>
      </c>
      <c r="O27" s="1005">
        <v>4</v>
      </c>
    </row>
    <row r="28" spans="1:15" x14ac:dyDescent="0.2">
      <c r="A28"/>
      <c r="B28" s="1002">
        <v>13</v>
      </c>
      <c r="C28" s="1003"/>
      <c r="D28" s="1003"/>
      <c r="E28" s="1003"/>
      <c r="F28" s="1003">
        <v>1</v>
      </c>
      <c r="G28" s="1003">
        <v>1</v>
      </c>
      <c r="H28" s="1003"/>
      <c r="I28" s="1003"/>
      <c r="J28" s="1003"/>
      <c r="K28" s="1003">
        <f t="shared" si="0"/>
        <v>2</v>
      </c>
      <c r="L28" s="1004"/>
      <c r="M28" s="1003"/>
      <c r="N28" s="1003"/>
      <c r="O28" s="1005">
        <v>4</v>
      </c>
    </row>
    <row r="29" spans="1:15" collapsed="1" x14ac:dyDescent="0.2">
      <c r="A29"/>
      <c r="B29" s="1002">
        <v>14</v>
      </c>
      <c r="C29" s="1003">
        <v>2</v>
      </c>
      <c r="D29" s="1003">
        <v>2</v>
      </c>
      <c r="E29" s="1003"/>
      <c r="F29" s="1003"/>
      <c r="G29" s="1003"/>
      <c r="H29" s="1003"/>
      <c r="I29" s="1003"/>
      <c r="J29" s="1003"/>
      <c r="K29" s="1003">
        <f t="shared" si="0"/>
        <v>4</v>
      </c>
      <c r="L29" s="1004"/>
      <c r="M29" s="1003"/>
      <c r="N29" s="1003"/>
      <c r="O29" s="1005">
        <v>8</v>
      </c>
    </row>
    <row r="30" spans="1:15" collapsed="1" x14ac:dyDescent="0.2">
      <c r="A30"/>
      <c r="B30" s="1002">
        <v>14</v>
      </c>
      <c r="C30" s="1003"/>
      <c r="D30" s="1003">
        <v>1</v>
      </c>
      <c r="E30" s="1003">
        <v>2</v>
      </c>
      <c r="F30" s="1003"/>
      <c r="G30" s="1003"/>
      <c r="H30" s="1003"/>
      <c r="I30" s="1003"/>
      <c r="J30" s="1003"/>
      <c r="K30" s="1003">
        <f t="shared" si="0"/>
        <v>3</v>
      </c>
      <c r="L30" s="1004"/>
      <c r="M30" s="1003"/>
      <c r="N30" s="1003">
        <v>2</v>
      </c>
      <c r="O30" s="1005">
        <v>4</v>
      </c>
    </row>
    <row r="31" spans="1:15" x14ac:dyDescent="0.2">
      <c r="A31"/>
      <c r="B31" s="1002">
        <v>14</v>
      </c>
      <c r="C31" s="1003"/>
      <c r="D31" s="1003"/>
      <c r="E31" s="1003"/>
      <c r="F31" s="1003"/>
      <c r="G31" s="1003">
        <v>2</v>
      </c>
      <c r="H31" s="1003"/>
      <c r="I31" s="1003"/>
      <c r="J31" s="1003"/>
      <c r="K31" s="1003">
        <f t="shared" si="0"/>
        <v>2</v>
      </c>
      <c r="L31" s="1004"/>
      <c r="M31" s="1003"/>
      <c r="N31" s="1003"/>
      <c r="O31" s="1005">
        <v>4</v>
      </c>
    </row>
    <row r="32" spans="1:15" collapsed="1" x14ac:dyDescent="0.2">
      <c r="A32"/>
      <c r="B32" s="1002">
        <v>15</v>
      </c>
      <c r="C32" s="1003">
        <v>5</v>
      </c>
      <c r="D32" s="1003"/>
      <c r="E32" s="1003"/>
      <c r="F32" s="1003"/>
      <c r="G32" s="1003"/>
      <c r="H32" s="1003"/>
      <c r="I32" s="1003"/>
      <c r="J32" s="1003"/>
      <c r="K32" s="1003">
        <f t="shared" si="0"/>
        <v>5</v>
      </c>
      <c r="L32" s="1004"/>
      <c r="M32" s="1003"/>
      <c r="N32" s="1003">
        <v>2</v>
      </c>
      <c r="O32" s="1005">
        <v>8</v>
      </c>
    </row>
    <row r="33" spans="1:15" collapsed="1" x14ac:dyDescent="0.2">
      <c r="A33"/>
      <c r="B33" s="1002">
        <v>15</v>
      </c>
      <c r="C33" s="1003">
        <v>1</v>
      </c>
      <c r="D33" s="1003">
        <v>3</v>
      </c>
      <c r="E33" s="1003"/>
      <c r="F33" s="1003"/>
      <c r="G33" s="1003"/>
      <c r="H33" s="1003"/>
      <c r="I33" s="1003"/>
      <c r="J33" s="1003"/>
      <c r="K33" s="1003">
        <f t="shared" si="0"/>
        <v>4</v>
      </c>
      <c r="L33" s="1004"/>
      <c r="M33" s="1003"/>
      <c r="N33" s="1003"/>
      <c r="O33" s="1005">
        <v>8</v>
      </c>
    </row>
    <row r="34" spans="1:15" x14ac:dyDescent="0.2">
      <c r="A34"/>
      <c r="B34" s="1002">
        <v>15</v>
      </c>
      <c r="C34" s="1003"/>
      <c r="D34" s="1003"/>
      <c r="E34" s="1003">
        <v>3</v>
      </c>
      <c r="F34" s="1003"/>
      <c r="G34" s="1003"/>
      <c r="H34" s="1003"/>
      <c r="I34" s="1003"/>
      <c r="J34" s="1003"/>
      <c r="K34" s="1003">
        <f t="shared" si="0"/>
        <v>3</v>
      </c>
      <c r="L34" s="1004"/>
      <c r="M34" s="1003"/>
      <c r="N34" s="1003">
        <v>2</v>
      </c>
      <c r="O34" s="1005">
        <v>4</v>
      </c>
    </row>
    <row r="35" spans="1:15" x14ac:dyDescent="0.2">
      <c r="A35"/>
      <c r="B35" s="1002">
        <v>15</v>
      </c>
      <c r="C35" s="1003"/>
      <c r="D35" s="1003"/>
      <c r="E35" s="1003"/>
      <c r="F35" s="1003"/>
      <c r="G35" s="1003">
        <v>1</v>
      </c>
      <c r="H35" s="1003">
        <v>1</v>
      </c>
      <c r="I35" s="1003"/>
      <c r="J35" s="1003"/>
      <c r="K35" s="1003">
        <f t="shared" si="0"/>
        <v>2</v>
      </c>
      <c r="L35" s="1004"/>
      <c r="M35" s="1003"/>
      <c r="N35" s="1003"/>
      <c r="O35" s="1005">
        <v>4</v>
      </c>
    </row>
    <row r="36" spans="1:15" collapsed="1" x14ac:dyDescent="0.2">
      <c r="A36"/>
      <c r="B36" s="1002">
        <v>16</v>
      </c>
      <c r="C36" s="1003">
        <v>4</v>
      </c>
      <c r="D36" s="1003">
        <v>1</v>
      </c>
      <c r="E36" s="1003"/>
      <c r="F36" s="1003"/>
      <c r="G36" s="1003"/>
      <c r="H36" s="1003"/>
      <c r="I36" s="1003"/>
      <c r="J36" s="1003"/>
      <c r="K36" s="1003">
        <f t="shared" si="0"/>
        <v>5</v>
      </c>
      <c r="L36" s="1004"/>
      <c r="M36" s="1003"/>
      <c r="N36" s="1003">
        <v>2</v>
      </c>
      <c r="O36" s="1005">
        <v>8</v>
      </c>
    </row>
    <row r="37" spans="1:15" collapsed="1" x14ac:dyDescent="0.2">
      <c r="A37"/>
      <c r="B37" s="1002">
        <v>16</v>
      </c>
      <c r="C37" s="1003"/>
      <c r="D37" s="1003">
        <v>4</v>
      </c>
      <c r="E37" s="1003"/>
      <c r="F37" s="1003"/>
      <c r="G37" s="1003"/>
      <c r="H37" s="1003"/>
      <c r="I37" s="1003"/>
      <c r="J37" s="1003"/>
      <c r="K37" s="1003">
        <f t="shared" si="0"/>
        <v>4</v>
      </c>
      <c r="L37" s="1004"/>
      <c r="M37" s="1003"/>
      <c r="N37" s="1003"/>
      <c r="O37" s="1005">
        <v>8</v>
      </c>
    </row>
    <row r="38" spans="1:15" x14ac:dyDescent="0.2">
      <c r="A38"/>
      <c r="B38" s="1002">
        <v>16</v>
      </c>
      <c r="C38" s="1003"/>
      <c r="D38" s="1003"/>
      <c r="E38" s="1003">
        <v>2</v>
      </c>
      <c r="F38" s="1003">
        <v>1</v>
      </c>
      <c r="G38" s="1003"/>
      <c r="H38" s="1003"/>
      <c r="I38" s="1003"/>
      <c r="J38" s="1003"/>
      <c r="K38" s="1003">
        <f t="shared" si="0"/>
        <v>3</v>
      </c>
      <c r="L38" s="1004"/>
      <c r="M38" s="1003"/>
      <c r="N38" s="1003">
        <v>2</v>
      </c>
      <c r="O38" s="1005">
        <v>4</v>
      </c>
    </row>
    <row r="39" spans="1:15" x14ac:dyDescent="0.2">
      <c r="A39"/>
      <c r="B39" s="1002">
        <v>16</v>
      </c>
      <c r="C39" s="1003"/>
      <c r="D39" s="1003"/>
      <c r="E39" s="1003"/>
      <c r="F39" s="1003"/>
      <c r="G39" s="1003"/>
      <c r="H39" s="1003">
        <v>2</v>
      </c>
      <c r="I39" s="1003"/>
      <c r="J39" s="1003"/>
      <c r="K39" s="1003">
        <f t="shared" si="0"/>
        <v>2</v>
      </c>
      <c r="L39" s="1004"/>
      <c r="M39" s="1003"/>
      <c r="N39" s="1003"/>
      <c r="O39" s="1005">
        <v>4</v>
      </c>
    </row>
    <row r="40" spans="1:15" collapsed="1" x14ac:dyDescent="0.2">
      <c r="A40"/>
      <c r="B40" s="1002">
        <v>17</v>
      </c>
      <c r="C40" s="1003">
        <v>3</v>
      </c>
      <c r="D40" s="1003">
        <v>2</v>
      </c>
      <c r="E40" s="1003"/>
      <c r="F40" s="1003"/>
      <c r="G40" s="1003"/>
      <c r="H40" s="1003"/>
      <c r="I40" s="1003"/>
      <c r="J40" s="1003"/>
      <c r="K40" s="1003">
        <f t="shared" si="0"/>
        <v>5</v>
      </c>
      <c r="L40" s="1004"/>
      <c r="M40" s="1003"/>
      <c r="N40" s="1003">
        <v>2</v>
      </c>
      <c r="O40" s="1005">
        <v>8</v>
      </c>
    </row>
    <row r="41" spans="1:15" collapsed="1" x14ac:dyDescent="0.2">
      <c r="A41"/>
      <c r="B41" s="1002">
        <v>17</v>
      </c>
      <c r="C41" s="1003"/>
      <c r="D41" s="1003">
        <v>3</v>
      </c>
      <c r="E41" s="1003">
        <v>1</v>
      </c>
      <c r="F41" s="1003"/>
      <c r="G41" s="1003"/>
      <c r="H41" s="1003"/>
      <c r="I41" s="1003"/>
      <c r="J41" s="1003"/>
      <c r="K41" s="1003">
        <f t="shared" si="0"/>
        <v>4</v>
      </c>
      <c r="L41" s="1004"/>
      <c r="M41" s="1003"/>
      <c r="N41" s="1003"/>
      <c r="O41" s="1005">
        <v>8</v>
      </c>
    </row>
    <row r="42" spans="1:15" x14ac:dyDescent="0.2">
      <c r="A42"/>
      <c r="B42" s="1002">
        <v>17</v>
      </c>
      <c r="C42" s="1003"/>
      <c r="D42" s="1003"/>
      <c r="E42" s="1003">
        <v>1</v>
      </c>
      <c r="F42" s="1003">
        <v>2</v>
      </c>
      <c r="G42" s="1003"/>
      <c r="H42" s="1003"/>
      <c r="I42" s="1003"/>
      <c r="J42" s="1003"/>
      <c r="K42" s="1003">
        <f t="shared" si="0"/>
        <v>3</v>
      </c>
      <c r="L42" s="1004"/>
      <c r="M42" s="1003"/>
      <c r="N42" s="1003">
        <v>2</v>
      </c>
      <c r="O42" s="1005">
        <v>4</v>
      </c>
    </row>
    <row r="43" spans="1:15" x14ac:dyDescent="0.2">
      <c r="A43"/>
      <c r="B43" s="1002">
        <v>17</v>
      </c>
      <c r="C43" s="1003"/>
      <c r="D43" s="1003"/>
      <c r="E43" s="1003"/>
      <c r="F43" s="1003"/>
      <c r="G43" s="1003"/>
      <c r="H43" s="1003">
        <v>1</v>
      </c>
      <c r="I43" s="1003">
        <v>1</v>
      </c>
      <c r="J43" s="1003"/>
      <c r="K43" s="1003">
        <f t="shared" si="0"/>
        <v>2</v>
      </c>
      <c r="L43" s="1004"/>
      <c r="M43" s="1003"/>
      <c r="N43" s="1003"/>
      <c r="O43" s="1005">
        <v>4</v>
      </c>
    </row>
    <row r="44" spans="1:15" collapsed="1" x14ac:dyDescent="0.2">
      <c r="A44"/>
      <c r="B44" s="1002">
        <v>18</v>
      </c>
      <c r="C44" s="1003">
        <v>6</v>
      </c>
      <c r="D44" s="1003"/>
      <c r="E44" s="1003"/>
      <c r="F44" s="1003"/>
      <c r="G44" s="1003"/>
      <c r="H44" s="1003"/>
      <c r="I44" s="1003"/>
      <c r="J44" s="1003"/>
      <c r="K44" s="1003">
        <f t="shared" si="0"/>
        <v>6</v>
      </c>
      <c r="L44" s="1004"/>
      <c r="M44" s="1003"/>
      <c r="N44" s="1003">
        <v>4</v>
      </c>
      <c r="O44" s="1005">
        <v>8</v>
      </c>
    </row>
    <row r="45" spans="1:15" collapsed="1" x14ac:dyDescent="0.2">
      <c r="A45"/>
      <c r="B45" s="1002">
        <v>18</v>
      </c>
      <c r="C45" s="1003">
        <v>2</v>
      </c>
      <c r="D45" s="1003">
        <v>3</v>
      </c>
      <c r="E45" s="1003"/>
      <c r="F45" s="1003"/>
      <c r="G45" s="1003"/>
      <c r="H45" s="1003"/>
      <c r="I45" s="1003"/>
      <c r="J45" s="1003"/>
      <c r="K45" s="1003">
        <f t="shared" si="0"/>
        <v>5</v>
      </c>
      <c r="L45" s="1004"/>
      <c r="M45" s="1003"/>
      <c r="N45" s="1003">
        <v>2</v>
      </c>
      <c r="O45" s="1005">
        <v>8</v>
      </c>
    </row>
    <row r="46" spans="1:15" x14ac:dyDescent="0.2">
      <c r="A46"/>
      <c r="B46" s="1002">
        <v>18</v>
      </c>
      <c r="C46" s="1003"/>
      <c r="D46" s="1003">
        <v>2</v>
      </c>
      <c r="E46" s="1003">
        <v>2</v>
      </c>
      <c r="F46" s="1003"/>
      <c r="G46" s="1003"/>
      <c r="H46" s="1003"/>
      <c r="I46" s="1003"/>
      <c r="J46" s="1003"/>
      <c r="K46" s="1003">
        <f t="shared" si="0"/>
        <v>4</v>
      </c>
      <c r="L46" s="1004"/>
      <c r="M46" s="1003"/>
      <c r="N46" s="1003"/>
      <c r="O46" s="1005">
        <v>8</v>
      </c>
    </row>
    <row r="47" spans="1:15" x14ac:dyDescent="0.2">
      <c r="A47"/>
      <c r="B47" s="1002">
        <v>18</v>
      </c>
      <c r="C47" s="1003"/>
      <c r="D47" s="1003"/>
      <c r="E47" s="1003"/>
      <c r="F47" s="1003">
        <v>3</v>
      </c>
      <c r="G47" s="1003"/>
      <c r="H47" s="1003"/>
      <c r="I47" s="1003"/>
      <c r="J47" s="1003"/>
      <c r="K47" s="1003">
        <f t="shared" si="0"/>
        <v>3</v>
      </c>
      <c r="L47" s="1004"/>
      <c r="M47" s="1003"/>
      <c r="N47" s="1003">
        <v>2</v>
      </c>
      <c r="O47" s="1005">
        <v>4</v>
      </c>
    </row>
    <row r="48" spans="1:15" x14ac:dyDescent="0.2">
      <c r="A48"/>
      <c r="B48" s="1002">
        <v>18</v>
      </c>
      <c r="C48" s="1003"/>
      <c r="D48" s="1003"/>
      <c r="E48" s="1003"/>
      <c r="F48" s="1003"/>
      <c r="G48" s="1003"/>
      <c r="H48" s="1003"/>
      <c r="I48" s="1003">
        <v>2</v>
      </c>
      <c r="J48" s="1003"/>
      <c r="K48" s="1003">
        <f t="shared" si="0"/>
        <v>2</v>
      </c>
      <c r="L48" s="1004"/>
      <c r="M48" s="1003"/>
      <c r="N48" s="1003"/>
      <c r="O48" s="1005">
        <v>4</v>
      </c>
    </row>
    <row r="49" spans="1:15" collapsed="1" x14ac:dyDescent="0.2">
      <c r="A49"/>
      <c r="B49" s="1002">
        <v>19</v>
      </c>
      <c r="C49" s="1003">
        <v>5</v>
      </c>
      <c r="D49" s="1003">
        <v>1</v>
      </c>
      <c r="E49" s="1003"/>
      <c r="F49" s="1003"/>
      <c r="G49" s="1003"/>
      <c r="H49" s="1003"/>
      <c r="I49" s="1003"/>
      <c r="J49" s="1003"/>
      <c r="K49" s="1003">
        <f t="shared" si="0"/>
        <v>6</v>
      </c>
      <c r="L49" s="1004"/>
      <c r="M49" s="1003"/>
      <c r="N49" s="1003">
        <v>4</v>
      </c>
      <c r="O49" s="1005">
        <v>8</v>
      </c>
    </row>
    <row r="50" spans="1:15" collapsed="1" x14ac:dyDescent="0.2">
      <c r="A50"/>
      <c r="B50" s="1002">
        <v>19</v>
      </c>
      <c r="C50" s="1003">
        <v>1</v>
      </c>
      <c r="D50" s="1003">
        <v>4</v>
      </c>
      <c r="E50" s="1003"/>
      <c r="F50" s="1003"/>
      <c r="G50" s="1003"/>
      <c r="H50" s="1003"/>
      <c r="I50" s="1003"/>
      <c r="J50" s="1003"/>
      <c r="K50" s="1003">
        <f t="shared" si="0"/>
        <v>5</v>
      </c>
      <c r="L50" s="1004"/>
      <c r="M50" s="1003"/>
      <c r="N50" s="1003">
        <v>2</v>
      </c>
      <c r="O50" s="1005">
        <v>8</v>
      </c>
    </row>
    <row r="51" spans="1:15" collapsed="1" x14ac:dyDescent="0.2">
      <c r="A51"/>
      <c r="B51" s="1002">
        <v>19</v>
      </c>
      <c r="C51" s="1003"/>
      <c r="D51" s="1003">
        <v>1</v>
      </c>
      <c r="E51" s="1003">
        <v>3</v>
      </c>
      <c r="F51" s="1003"/>
      <c r="G51" s="1003"/>
      <c r="H51" s="1003"/>
      <c r="I51" s="1003"/>
      <c r="J51" s="1003"/>
      <c r="K51" s="1003">
        <f t="shared" si="0"/>
        <v>4</v>
      </c>
      <c r="L51" s="1004"/>
      <c r="M51" s="1003"/>
      <c r="N51" s="1003"/>
      <c r="O51" s="1005">
        <v>8</v>
      </c>
    </row>
    <row r="52" spans="1:15" x14ac:dyDescent="0.2">
      <c r="A52"/>
      <c r="B52" s="1002">
        <v>19</v>
      </c>
      <c r="C52" s="1003"/>
      <c r="D52" s="1003"/>
      <c r="E52" s="1003"/>
      <c r="F52" s="1003">
        <v>2</v>
      </c>
      <c r="G52" s="1003">
        <v>1</v>
      </c>
      <c r="H52" s="1003"/>
      <c r="I52" s="1003"/>
      <c r="J52" s="1003"/>
      <c r="K52" s="1003">
        <f t="shared" si="0"/>
        <v>3</v>
      </c>
      <c r="L52" s="1004"/>
      <c r="M52" s="1003"/>
      <c r="N52" s="1003">
        <v>2</v>
      </c>
      <c r="O52" s="1005">
        <v>4</v>
      </c>
    </row>
    <row r="53" spans="1:15" x14ac:dyDescent="0.2">
      <c r="A53"/>
      <c r="B53" s="1002">
        <v>19</v>
      </c>
      <c r="C53" s="1003"/>
      <c r="D53" s="1003"/>
      <c r="E53" s="1003"/>
      <c r="F53" s="1003"/>
      <c r="G53" s="1003"/>
      <c r="H53" s="1003"/>
      <c r="I53" s="1003">
        <v>1</v>
      </c>
      <c r="J53" s="1003">
        <v>1</v>
      </c>
      <c r="K53" s="1003">
        <f t="shared" si="0"/>
        <v>2</v>
      </c>
      <c r="L53" s="1004"/>
      <c r="M53" s="1003"/>
      <c r="N53" s="1003"/>
      <c r="O53" s="1005">
        <v>4</v>
      </c>
    </row>
    <row r="54" spans="1:15" collapsed="1" x14ac:dyDescent="0.2">
      <c r="A54"/>
      <c r="B54" s="1002">
        <v>20</v>
      </c>
      <c r="C54" s="1003">
        <v>4</v>
      </c>
      <c r="D54" s="1003">
        <v>2</v>
      </c>
      <c r="E54" s="1003"/>
      <c r="F54" s="1003"/>
      <c r="G54" s="1003"/>
      <c r="H54" s="1003"/>
      <c r="I54" s="1003"/>
      <c r="J54" s="1003"/>
      <c r="K54" s="1003">
        <f t="shared" si="0"/>
        <v>6</v>
      </c>
      <c r="L54" s="1004"/>
      <c r="M54" s="1003"/>
      <c r="N54" s="1003">
        <v>4</v>
      </c>
      <c r="O54" s="1005">
        <v>8</v>
      </c>
    </row>
    <row r="55" spans="1:15" collapsed="1" x14ac:dyDescent="0.2">
      <c r="A55"/>
      <c r="B55" s="1002">
        <v>20</v>
      </c>
      <c r="C55" s="1003"/>
      <c r="D55" s="1003">
        <v>5</v>
      </c>
      <c r="E55" s="1003"/>
      <c r="F55" s="1003"/>
      <c r="G55" s="1003"/>
      <c r="H55" s="1003"/>
      <c r="I55" s="1003"/>
      <c r="J55" s="1003"/>
      <c r="K55" s="1003">
        <f t="shared" si="0"/>
        <v>5</v>
      </c>
      <c r="L55" s="1004"/>
      <c r="M55" s="1003"/>
      <c r="N55" s="1003">
        <v>2</v>
      </c>
      <c r="O55" s="1005">
        <v>8</v>
      </c>
    </row>
    <row r="56" spans="1:15" collapsed="1" x14ac:dyDescent="0.2">
      <c r="A56"/>
      <c r="B56" s="1002">
        <v>20</v>
      </c>
      <c r="C56" s="1003"/>
      <c r="D56" s="1003"/>
      <c r="E56" s="1003">
        <v>4</v>
      </c>
      <c r="F56" s="1003"/>
      <c r="G56" s="1003"/>
      <c r="H56" s="1003"/>
      <c r="I56" s="1003"/>
      <c r="J56" s="1003"/>
      <c r="K56" s="1003">
        <f t="shared" si="0"/>
        <v>4</v>
      </c>
      <c r="L56" s="1004"/>
      <c r="M56" s="1003"/>
      <c r="N56" s="1003"/>
      <c r="O56" s="1005">
        <v>8</v>
      </c>
    </row>
    <row r="57" spans="1:15" x14ac:dyDescent="0.2">
      <c r="A57"/>
      <c r="B57" s="1002">
        <v>20</v>
      </c>
      <c r="C57" s="1003"/>
      <c r="D57" s="1003"/>
      <c r="E57" s="1003"/>
      <c r="F57" s="1003">
        <v>1</v>
      </c>
      <c r="G57" s="1003">
        <v>2</v>
      </c>
      <c r="H57" s="1003"/>
      <c r="I57" s="1003"/>
      <c r="J57" s="1003"/>
      <c r="K57" s="1003">
        <f t="shared" si="0"/>
        <v>3</v>
      </c>
      <c r="L57" s="1004"/>
      <c r="M57" s="1003"/>
      <c r="N57" s="1003">
        <v>2</v>
      </c>
      <c r="O57" s="1005">
        <v>4</v>
      </c>
    </row>
    <row r="58" spans="1:15" x14ac:dyDescent="0.2">
      <c r="A58"/>
      <c r="B58" s="1002">
        <v>20</v>
      </c>
      <c r="C58" s="1003"/>
      <c r="D58" s="1003"/>
      <c r="E58" s="1003"/>
      <c r="F58" s="1003"/>
      <c r="G58" s="1003"/>
      <c r="H58" s="1003"/>
      <c r="I58" s="1003"/>
      <c r="J58" s="1003">
        <v>2</v>
      </c>
      <c r="K58" s="1003">
        <f t="shared" si="0"/>
        <v>2</v>
      </c>
      <c r="L58" s="1004"/>
      <c r="M58" s="1003"/>
      <c r="N58" s="1003"/>
      <c r="O58" s="1005">
        <v>4</v>
      </c>
    </row>
    <row r="59" spans="1:15" collapsed="1" x14ac:dyDescent="0.2">
      <c r="A59"/>
      <c r="B59" s="1002">
        <v>21</v>
      </c>
      <c r="C59" s="1003">
        <v>7</v>
      </c>
      <c r="D59" s="1003"/>
      <c r="E59" s="1003"/>
      <c r="F59" s="1003"/>
      <c r="G59" s="1003"/>
      <c r="H59" s="1003"/>
      <c r="I59" s="1003"/>
      <c r="J59" s="1003"/>
      <c r="K59" s="1003">
        <f t="shared" si="0"/>
        <v>7</v>
      </c>
      <c r="L59" s="1004"/>
      <c r="M59" s="1003"/>
      <c r="N59" s="1003">
        <v>6</v>
      </c>
      <c r="O59" s="1005">
        <v>8</v>
      </c>
    </row>
    <row r="60" spans="1:15" collapsed="1" x14ac:dyDescent="0.2">
      <c r="A60"/>
      <c r="B60" s="1002">
        <v>21</v>
      </c>
      <c r="C60" s="1003">
        <v>3</v>
      </c>
      <c r="D60" s="1003">
        <v>3</v>
      </c>
      <c r="E60" s="1003"/>
      <c r="F60" s="1003"/>
      <c r="G60" s="1003"/>
      <c r="H60" s="1003"/>
      <c r="I60" s="1003"/>
      <c r="J60" s="1003"/>
      <c r="K60" s="1003">
        <f t="shared" si="0"/>
        <v>6</v>
      </c>
      <c r="L60" s="1004"/>
      <c r="M60" s="1003"/>
      <c r="N60" s="1003">
        <v>4</v>
      </c>
      <c r="O60" s="1005">
        <v>8</v>
      </c>
    </row>
    <row r="61" spans="1:15" x14ac:dyDescent="0.2">
      <c r="A61"/>
      <c r="B61" s="1002">
        <v>21</v>
      </c>
      <c r="C61" s="1003"/>
      <c r="D61" s="1003">
        <v>4</v>
      </c>
      <c r="E61" s="1003">
        <v>1</v>
      </c>
      <c r="F61" s="1003"/>
      <c r="G61" s="1003"/>
      <c r="H61" s="1003"/>
      <c r="I61" s="1003"/>
      <c r="J61" s="1003"/>
      <c r="K61" s="1003">
        <f t="shared" si="0"/>
        <v>5</v>
      </c>
      <c r="L61" s="1004"/>
      <c r="M61" s="1003"/>
      <c r="N61" s="1003">
        <v>2</v>
      </c>
      <c r="O61" s="1005">
        <v>8</v>
      </c>
    </row>
    <row r="62" spans="1:15" x14ac:dyDescent="0.2">
      <c r="A62"/>
      <c r="B62" s="1002">
        <v>21</v>
      </c>
      <c r="C62" s="1003"/>
      <c r="D62" s="1003"/>
      <c r="E62" s="1003">
        <v>3</v>
      </c>
      <c r="F62" s="1003">
        <v>1</v>
      </c>
      <c r="G62" s="1003"/>
      <c r="H62" s="1003"/>
      <c r="I62" s="1003"/>
      <c r="J62" s="1003"/>
      <c r="K62" s="1003">
        <f t="shared" si="0"/>
        <v>4</v>
      </c>
      <c r="L62" s="1004"/>
      <c r="M62" s="1003"/>
      <c r="N62" s="1003"/>
      <c r="O62" s="1005">
        <v>8</v>
      </c>
    </row>
    <row r="63" spans="1:15" x14ac:dyDescent="0.2">
      <c r="A63"/>
      <c r="B63" s="1002">
        <v>21</v>
      </c>
      <c r="C63" s="1003"/>
      <c r="D63" s="1003"/>
      <c r="E63" s="1003"/>
      <c r="F63" s="1003"/>
      <c r="G63" s="1003">
        <v>3</v>
      </c>
      <c r="H63" s="1003"/>
      <c r="I63" s="1003"/>
      <c r="J63" s="1003"/>
      <c r="K63" s="1003">
        <f t="shared" si="0"/>
        <v>3</v>
      </c>
      <c r="L63" s="1004"/>
      <c r="M63" s="1003"/>
      <c r="N63" s="1003">
        <v>2</v>
      </c>
      <c r="O63" s="1005">
        <v>4</v>
      </c>
    </row>
    <row r="64" spans="1:15" collapsed="1" x14ac:dyDescent="0.2">
      <c r="A64"/>
      <c r="B64" s="1002">
        <v>22</v>
      </c>
      <c r="C64" s="1003">
        <v>6</v>
      </c>
      <c r="D64" s="1003">
        <v>1</v>
      </c>
      <c r="E64" s="1003"/>
      <c r="F64" s="1003"/>
      <c r="G64" s="1003"/>
      <c r="H64" s="1003"/>
      <c r="I64" s="1003"/>
      <c r="J64" s="1003"/>
      <c r="K64" s="1003">
        <f t="shared" si="0"/>
        <v>7</v>
      </c>
      <c r="L64" s="1004"/>
      <c r="M64" s="1003"/>
      <c r="N64" s="1003">
        <v>6</v>
      </c>
      <c r="O64" s="1005">
        <v>8</v>
      </c>
    </row>
    <row r="65" spans="1:15" collapsed="1" x14ac:dyDescent="0.2">
      <c r="A65"/>
      <c r="B65" s="1002">
        <v>22</v>
      </c>
      <c r="C65" s="1003">
        <v>2</v>
      </c>
      <c r="D65" s="1003">
        <v>4</v>
      </c>
      <c r="E65" s="1003"/>
      <c r="F65" s="1003"/>
      <c r="G65" s="1003"/>
      <c r="H65" s="1003"/>
      <c r="I65" s="1003"/>
      <c r="J65" s="1003"/>
      <c r="K65" s="1003">
        <f t="shared" si="0"/>
        <v>6</v>
      </c>
      <c r="L65" s="1004"/>
      <c r="M65" s="1003"/>
      <c r="N65" s="1003">
        <v>4</v>
      </c>
      <c r="O65" s="1005">
        <v>8</v>
      </c>
    </row>
    <row r="66" spans="1:15" x14ac:dyDescent="0.2">
      <c r="A66"/>
      <c r="B66" s="1002">
        <v>22</v>
      </c>
      <c r="C66" s="1003"/>
      <c r="D66" s="1003">
        <v>3</v>
      </c>
      <c r="E66" s="1003">
        <v>2</v>
      </c>
      <c r="F66" s="1003"/>
      <c r="G66" s="1003"/>
      <c r="H66" s="1003"/>
      <c r="I66" s="1003"/>
      <c r="J66" s="1003"/>
      <c r="K66" s="1003">
        <f t="shared" si="0"/>
        <v>5</v>
      </c>
      <c r="L66" s="1004"/>
      <c r="M66" s="1003"/>
      <c r="N66" s="1003">
        <v>2</v>
      </c>
      <c r="O66" s="1005">
        <v>8</v>
      </c>
    </row>
    <row r="67" spans="1:15" x14ac:dyDescent="0.2">
      <c r="A67"/>
      <c r="B67" s="1002">
        <v>22</v>
      </c>
      <c r="C67" s="1003"/>
      <c r="D67" s="1003"/>
      <c r="E67" s="1003">
        <v>2</v>
      </c>
      <c r="F67" s="1003">
        <v>2</v>
      </c>
      <c r="G67" s="1003"/>
      <c r="H67" s="1003"/>
      <c r="I67" s="1003"/>
      <c r="J67" s="1003"/>
      <c r="K67" s="1003">
        <f t="shared" si="0"/>
        <v>4</v>
      </c>
      <c r="L67" s="1004"/>
      <c r="M67" s="1003"/>
      <c r="N67" s="1003"/>
      <c r="O67" s="1005">
        <v>8</v>
      </c>
    </row>
    <row r="68" spans="1:15" x14ac:dyDescent="0.2">
      <c r="A68"/>
      <c r="B68" s="1002">
        <v>22</v>
      </c>
      <c r="C68" s="1003"/>
      <c r="D68" s="1003"/>
      <c r="E68" s="1003"/>
      <c r="F68" s="1003"/>
      <c r="G68" s="1003">
        <v>2</v>
      </c>
      <c r="H68" s="1003">
        <v>1</v>
      </c>
      <c r="I68" s="1003"/>
      <c r="J68" s="1003"/>
      <c r="K68" s="1003">
        <f t="shared" si="0"/>
        <v>3</v>
      </c>
      <c r="L68" s="1004"/>
      <c r="M68" s="1003"/>
      <c r="N68" s="1003">
        <v>2</v>
      </c>
      <c r="O68" s="1005">
        <v>4</v>
      </c>
    </row>
    <row r="69" spans="1:15" collapsed="1" x14ac:dyDescent="0.2">
      <c r="A69"/>
      <c r="B69" s="1002">
        <v>23</v>
      </c>
      <c r="C69" s="1003">
        <v>5</v>
      </c>
      <c r="D69" s="1003">
        <v>2</v>
      </c>
      <c r="E69" s="1003"/>
      <c r="F69" s="1003"/>
      <c r="G69" s="1003"/>
      <c r="H69" s="1003"/>
      <c r="I69" s="1003"/>
      <c r="J69" s="1003"/>
      <c r="K69" s="1003">
        <f t="shared" si="0"/>
        <v>7</v>
      </c>
      <c r="L69" s="1004"/>
      <c r="M69" s="1003"/>
      <c r="N69" s="1003">
        <v>6</v>
      </c>
      <c r="O69" s="1005">
        <v>8</v>
      </c>
    </row>
    <row r="70" spans="1:15" collapsed="1" x14ac:dyDescent="0.2">
      <c r="A70"/>
      <c r="B70" s="1002">
        <v>23</v>
      </c>
      <c r="C70" s="1003">
        <v>1</v>
      </c>
      <c r="D70" s="1003">
        <v>5</v>
      </c>
      <c r="E70" s="1003"/>
      <c r="F70" s="1003"/>
      <c r="G70" s="1003"/>
      <c r="H70" s="1003"/>
      <c r="I70" s="1003"/>
      <c r="J70" s="1003"/>
      <c r="K70" s="1003">
        <f t="shared" ref="K70:K133" si="1">SUM(C70:J70)</f>
        <v>6</v>
      </c>
      <c r="L70" s="1004"/>
      <c r="M70" s="1003"/>
      <c r="N70" s="1003">
        <v>4</v>
      </c>
      <c r="O70" s="1005">
        <v>8</v>
      </c>
    </row>
    <row r="71" spans="1:15" x14ac:dyDescent="0.2">
      <c r="A71"/>
      <c r="B71" s="1002">
        <v>23</v>
      </c>
      <c r="C71" s="1003"/>
      <c r="D71" s="1003">
        <v>2</v>
      </c>
      <c r="E71" s="1003">
        <v>3</v>
      </c>
      <c r="F71" s="1003"/>
      <c r="G71" s="1003"/>
      <c r="H71" s="1003"/>
      <c r="I71" s="1003"/>
      <c r="J71" s="1003"/>
      <c r="K71" s="1003">
        <f t="shared" si="1"/>
        <v>5</v>
      </c>
      <c r="L71" s="1004"/>
      <c r="M71" s="1003"/>
      <c r="N71" s="1003">
        <v>2</v>
      </c>
      <c r="O71" s="1005">
        <v>8</v>
      </c>
    </row>
    <row r="72" spans="1:15" x14ac:dyDescent="0.2">
      <c r="A72"/>
      <c r="B72" s="1002">
        <v>23</v>
      </c>
      <c r="C72" s="1003"/>
      <c r="D72" s="1003"/>
      <c r="E72" s="1003">
        <v>1</v>
      </c>
      <c r="F72" s="1003">
        <v>3</v>
      </c>
      <c r="G72" s="1003"/>
      <c r="H72" s="1003"/>
      <c r="I72" s="1003"/>
      <c r="J72" s="1003"/>
      <c r="K72" s="1003">
        <f t="shared" si="1"/>
        <v>4</v>
      </c>
      <c r="L72" s="1004"/>
      <c r="M72" s="1003"/>
      <c r="N72" s="1003"/>
      <c r="O72" s="1005">
        <v>8</v>
      </c>
    </row>
    <row r="73" spans="1:15" x14ac:dyDescent="0.2">
      <c r="A73"/>
      <c r="B73" s="1002">
        <v>23</v>
      </c>
      <c r="C73" s="1003"/>
      <c r="D73" s="1003"/>
      <c r="E73" s="1003"/>
      <c r="F73" s="1003"/>
      <c r="G73" s="1003">
        <v>1</v>
      </c>
      <c r="H73" s="1003">
        <v>2</v>
      </c>
      <c r="I73" s="1003"/>
      <c r="J73" s="1003"/>
      <c r="K73" s="1003">
        <f t="shared" si="1"/>
        <v>3</v>
      </c>
      <c r="L73" s="1004"/>
      <c r="M73" s="1003"/>
      <c r="N73" s="1003">
        <v>2</v>
      </c>
      <c r="O73" s="1005">
        <v>4</v>
      </c>
    </row>
    <row r="74" spans="1:15" collapsed="1" x14ac:dyDescent="0.2">
      <c r="A74"/>
      <c r="B74" s="1002">
        <v>24</v>
      </c>
      <c r="C74" s="1003">
        <v>8</v>
      </c>
      <c r="D74" s="1003"/>
      <c r="E74" s="1003"/>
      <c r="F74" s="1003"/>
      <c r="G74" s="1003"/>
      <c r="H74" s="1003"/>
      <c r="I74" s="1003"/>
      <c r="J74" s="1003"/>
      <c r="K74" s="1003">
        <f t="shared" si="1"/>
        <v>8</v>
      </c>
      <c r="L74" s="1004"/>
      <c r="M74" s="1003"/>
      <c r="N74" s="1003"/>
      <c r="O74" s="1005">
        <v>16</v>
      </c>
    </row>
    <row r="75" spans="1:15" collapsed="1" x14ac:dyDescent="0.2">
      <c r="A75"/>
      <c r="B75" s="1002">
        <v>24</v>
      </c>
      <c r="C75" s="1003">
        <v>4</v>
      </c>
      <c r="D75" s="1003">
        <v>3</v>
      </c>
      <c r="E75" s="1003"/>
      <c r="F75" s="1003"/>
      <c r="G75" s="1003"/>
      <c r="H75" s="1003"/>
      <c r="I75" s="1003"/>
      <c r="J75" s="1003"/>
      <c r="K75" s="1003">
        <f t="shared" si="1"/>
        <v>7</v>
      </c>
      <c r="L75" s="1004"/>
      <c r="M75" s="1003"/>
      <c r="N75" s="1003">
        <v>6</v>
      </c>
      <c r="O75" s="1005">
        <v>8</v>
      </c>
    </row>
    <row r="76" spans="1:15" x14ac:dyDescent="0.2">
      <c r="A76"/>
      <c r="B76" s="1002">
        <v>24</v>
      </c>
      <c r="C76" s="1003"/>
      <c r="D76" s="1003">
        <v>6</v>
      </c>
      <c r="E76" s="1003"/>
      <c r="F76" s="1003"/>
      <c r="G76" s="1003"/>
      <c r="H76" s="1003"/>
      <c r="I76" s="1003"/>
      <c r="J76" s="1003"/>
      <c r="K76" s="1003">
        <f t="shared" si="1"/>
        <v>6</v>
      </c>
      <c r="L76" s="1004"/>
      <c r="M76" s="1003"/>
      <c r="N76" s="1003">
        <v>4</v>
      </c>
      <c r="O76" s="1005">
        <v>8</v>
      </c>
    </row>
    <row r="77" spans="1:15" x14ac:dyDescent="0.2">
      <c r="A77"/>
      <c r="B77" s="1002">
        <v>24</v>
      </c>
      <c r="C77" s="1003"/>
      <c r="D77" s="1003">
        <v>1</v>
      </c>
      <c r="E77" s="1003">
        <v>4</v>
      </c>
      <c r="F77" s="1003"/>
      <c r="G77" s="1003"/>
      <c r="H77" s="1003"/>
      <c r="I77" s="1003"/>
      <c r="J77" s="1003"/>
      <c r="K77" s="1003">
        <f t="shared" si="1"/>
        <v>5</v>
      </c>
      <c r="L77" s="1004"/>
      <c r="M77" s="1003"/>
      <c r="N77" s="1003">
        <v>2</v>
      </c>
      <c r="O77" s="1005">
        <v>8</v>
      </c>
    </row>
    <row r="78" spans="1:15" x14ac:dyDescent="0.2">
      <c r="A78"/>
      <c r="B78" s="1002">
        <v>24</v>
      </c>
      <c r="C78" s="1003"/>
      <c r="D78" s="1003"/>
      <c r="E78" s="1003"/>
      <c r="F78" s="1003">
        <v>4</v>
      </c>
      <c r="G78" s="1003"/>
      <c r="H78" s="1003"/>
      <c r="I78" s="1003"/>
      <c r="J78" s="1003"/>
      <c r="K78" s="1003">
        <f t="shared" si="1"/>
        <v>4</v>
      </c>
      <c r="L78" s="1004"/>
      <c r="M78" s="1003"/>
      <c r="N78" s="1003"/>
      <c r="O78" s="1005">
        <v>8</v>
      </c>
    </row>
    <row r="79" spans="1:15" x14ac:dyDescent="0.2">
      <c r="A79"/>
      <c r="B79" s="1002">
        <v>24</v>
      </c>
      <c r="C79" s="1003"/>
      <c r="D79" s="1003"/>
      <c r="E79" s="1003"/>
      <c r="F79" s="1003"/>
      <c r="G79" s="1003"/>
      <c r="H79" s="1003">
        <v>3</v>
      </c>
      <c r="I79" s="1003"/>
      <c r="J79" s="1003"/>
      <c r="K79" s="1003">
        <f t="shared" si="1"/>
        <v>3</v>
      </c>
      <c r="L79" s="1004"/>
      <c r="M79" s="1003"/>
      <c r="N79" s="1003">
        <v>2</v>
      </c>
      <c r="O79" s="1005">
        <v>4</v>
      </c>
    </row>
    <row r="80" spans="1:15" collapsed="1" x14ac:dyDescent="0.2">
      <c r="A80"/>
      <c r="B80" s="1002">
        <v>25</v>
      </c>
      <c r="C80" s="1003">
        <v>7</v>
      </c>
      <c r="D80" s="1003">
        <v>1</v>
      </c>
      <c r="E80" s="1003"/>
      <c r="F80" s="1003"/>
      <c r="G80" s="1003"/>
      <c r="H80" s="1003"/>
      <c r="I80" s="1003"/>
      <c r="J80" s="1003"/>
      <c r="K80" s="1003">
        <f t="shared" si="1"/>
        <v>8</v>
      </c>
      <c r="L80" s="1004"/>
      <c r="M80" s="1003"/>
      <c r="N80" s="1003"/>
      <c r="O80" s="1005">
        <v>16</v>
      </c>
    </row>
    <row r="81" spans="1:15" collapsed="1" x14ac:dyDescent="0.2">
      <c r="A81"/>
      <c r="B81" s="1002">
        <v>25</v>
      </c>
      <c r="C81" s="1003">
        <v>3</v>
      </c>
      <c r="D81" s="1003">
        <v>4</v>
      </c>
      <c r="E81" s="1003"/>
      <c r="F81" s="1003"/>
      <c r="G81" s="1003"/>
      <c r="H81" s="1003"/>
      <c r="I81" s="1003"/>
      <c r="J81" s="1003"/>
      <c r="K81" s="1003">
        <f t="shared" si="1"/>
        <v>7</v>
      </c>
      <c r="L81" s="1004"/>
      <c r="M81" s="1003"/>
      <c r="N81" s="1003">
        <v>6</v>
      </c>
      <c r="O81" s="1005">
        <v>8</v>
      </c>
    </row>
    <row r="82" spans="1:15" collapsed="1" x14ac:dyDescent="0.2">
      <c r="A82"/>
      <c r="B82" s="1002">
        <v>25</v>
      </c>
      <c r="C82" s="1003"/>
      <c r="D82" s="1003">
        <v>5</v>
      </c>
      <c r="E82" s="1003">
        <v>1</v>
      </c>
      <c r="F82" s="1003"/>
      <c r="G82" s="1003"/>
      <c r="H82" s="1003"/>
      <c r="I82" s="1003"/>
      <c r="J82" s="1003"/>
      <c r="K82" s="1003">
        <f t="shared" si="1"/>
        <v>6</v>
      </c>
      <c r="L82" s="1004"/>
      <c r="M82" s="1003"/>
      <c r="N82" s="1003">
        <v>4</v>
      </c>
      <c r="O82" s="1005">
        <v>8</v>
      </c>
    </row>
    <row r="83" spans="1:15" x14ac:dyDescent="0.2">
      <c r="A83"/>
      <c r="B83" s="1002">
        <v>25</v>
      </c>
      <c r="C83" s="1003"/>
      <c r="D83" s="1003"/>
      <c r="E83" s="1003">
        <v>5</v>
      </c>
      <c r="F83" s="1003"/>
      <c r="G83" s="1003"/>
      <c r="H83" s="1003"/>
      <c r="I83" s="1003"/>
      <c r="J83" s="1003"/>
      <c r="K83" s="1003">
        <f t="shared" si="1"/>
        <v>5</v>
      </c>
      <c r="L83" s="1004"/>
      <c r="M83" s="1003"/>
      <c r="N83" s="1003">
        <v>2</v>
      </c>
      <c r="O83" s="1005">
        <v>8</v>
      </c>
    </row>
    <row r="84" spans="1:15" x14ac:dyDescent="0.2">
      <c r="A84"/>
      <c r="B84" s="1002">
        <v>25</v>
      </c>
      <c r="C84" s="1003"/>
      <c r="D84" s="1003"/>
      <c r="E84" s="1003"/>
      <c r="F84" s="1003">
        <v>3</v>
      </c>
      <c r="G84" s="1003">
        <v>1</v>
      </c>
      <c r="H84" s="1003"/>
      <c r="I84" s="1003"/>
      <c r="J84" s="1003"/>
      <c r="K84" s="1003">
        <f t="shared" si="1"/>
        <v>4</v>
      </c>
      <c r="L84" s="1004"/>
      <c r="M84" s="1003"/>
      <c r="N84" s="1003"/>
      <c r="O84" s="1005">
        <v>8</v>
      </c>
    </row>
    <row r="85" spans="1:15" x14ac:dyDescent="0.2">
      <c r="A85"/>
      <c r="B85" s="1002">
        <v>25</v>
      </c>
      <c r="C85" s="1003"/>
      <c r="D85" s="1003"/>
      <c r="E85" s="1003"/>
      <c r="F85" s="1003"/>
      <c r="G85" s="1003"/>
      <c r="H85" s="1003">
        <v>2</v>
      </c>
      <c r="I85" s="1003">
        <v>1</v>
      </c>
      <c r="J85" s="1003"/>
      <c r="K85" s="1003">
        <f t="shared" si="1"/>
        <v>3</v>
      </c>
      <c r="L85" s="1004"/>
      <c r="M85" s="1003"/>
      <c r="N85" s="1003">
        <v>2</v>
      </c>
      <c r="O85" s="1005">
        <v>4</v>
      </c>
    </row>
    <row r="86" spans="1:15" collapsed="1" x14ac:dyDescent="0.2">
      <c r="A86"/>
      <c r="B86" s="1002">
        <v>26</v>
      </c>
      <c r="C86" s="1003">
        <v>6</v>
      </c>
      <c r="D86" s="1003">
        <v>2</v>
      </c>
      <c r="E86" s="1003"/>
      <c r="F86" s="1003"/>
      <c r="G86" s="1003"/>
      <c r="H86" s="1003"/>
      <c r="I86" s="1003"/>
      <c r="J86" s="1003"/>
      <c r="K86" s="1003">
        <f t="shared" si="1"/>
        <v>8</v>
      </c>
      <c r="L86" s="1004"/>
      <c r="M86" s="1003"/>
      <c r="N86" s="1003"/>
      <c r="O86" s="1005">
        <v>16</v>
      </c>
    </row>
    <row r="87" spans="1:15" collapsed="1" x14ac:dyDescent="0.2">
      <c r="A87"/>
      <c r="B87" s="1002">
        <v>26</v>
      </c>
      <c r="C87" s="1003">
        <v>2</v>
      </c>
      <c r="D87" s="1003">
        <v>5</v>
      </c>
      <c r="E87" s="1003"/>
      <c r="F87" s="1003"/>
      <c r="G87" s="1003"/>
      <c r="H87" s="1003"/>
      <c r="I87" s="1003"/>
      <c r="J87" s="1003"/>
      <c r="K87" s="1003">
        <f t="shared" si="1"/>
        <v>7</v>
      </c>
      <c r="L87" s="1004"/>
      <c r="M87" s="1003"/>
      <c r="N87" s="1003">
        <v>6</v>
      </c>
      <c r="O87" s="1005">
        <v>8</v>
      </c>
    </row>
    <row r="88" spans="1:15" collapsed="1" x14ac:dyDescent="0.2">
      <c r="A88"/>
      <c r="B88" s="1002">
        <v>26</v>
      </c>
      <c r="C88" s="1003"/>
      <c r="D88" s="1003">
        <v>4</v>
      </c>
      <c r="E88" s="1003">
        <v>2</v>
      </c>
      <c r="F88" s="1003"/>
      <c r="G88" s="1003"/>
      <c r="H88" s="1003"/>
      <c r="I88" s="1003"/>
      <c r="J88" s="1003"/>
      <c r="K88" s="1003">
        <f t="shared" si="1"/>
        <v>6</v>
      </c>
      <c r="L88" s="1004"/>
      <c r="M88" s="1003"/>
      <c r="N88" s="1003">
        <v>4</v>
      </c>
      <c r="O88" s="1005">
        <v>8</v>
      </c>
    </row>
    <row r="89" spans="1:15" x14ac:dyDescent="0.2">
      <c r="A89"/>
      <c r="B89" s="1002">
        <v>26</v>
      </c>
      <c r="C89" s="1003"/>
      <c r="D89" s="1003"/>
      <c r="E89" s="1003">
        <v>4</v>
      </c>
      <c r="F89" s="1003">
        <v>1</v>
      </c>
      <c r="G89" s="1003"/>
      <c r="H89" s="1003"/>
      <c r="I89" s="1003"/>
      <c r="J89" s="1003"/>
      <c r="K89" s="1003">
        <f t="shared" si="1"/>
        <v>5</v>
      </c>
      <c r="L89" s="1004"/>
      <c r="M89" s="1003"/>
      <c r="N89" s="1003">
        <v>2</v>
      </c>
      <c r="O89" s="1005">
        <v>8</v>
      </c>
    </row>
    <row r="90" spans="1:15" x14ac:dyDescent="0.2">
      <c r="A90"/>
      <c r="B90" s="1002">
        <v>26</v>
      </c>
      <c r="C90" s="1003"/>
      <c r="D90" s="1003"/>
      <c r="E90" s="1003"/>
      <c r="F90" s="1003">
        <v>2</v>
      </c>
      <c r="G90" s="1003">
        <v>2</v>
      </c>
      <c r="H90" s="1003"/>
      <c r="I90" s="1003"/>
      <c r="J90" s="1003"/>
      <c r="K90" s="1003">
        <f t="shared" si="1"/>
        <v>4</v>
      </c>
      <c r="L90" s="1004"/>
      <c r="M90" s="1003"/>
      <c r="N90" s="1003"/>
      <c r="O90" s="1005">
        <v>8</v>
      </c>
    </row>
    <row r="91" spans="1:15" x14ac:dyDescent="0.2">
      <c r="A91"/>
      <c r="B91" s="1002">
        <v>26</v>
      </c>
      <c r="C91" s="1003"/>
      <c r="D91" s="1003"/>
      <c r="E91" s="1003"/>
      <c r="F91" s="1003"/>
      <c r="G91" s="1003"/>
      <c r="H91" s="1003">
        <v>1</v>
      </c>
      <c r="I91" s="1003">
        <v>2</v>
      </c>
      <c r="J91" s="1003"/>
      <c r="K91" s="1003">
        <f t="shared" si="1"/>
        <v>3</v>
      </c>
      <c r="L91" s="1004"/>
      <c r="M91" s="1003"/>
      <c r="N91" s="1003">
        <v>2</v>
      </c>
      <c r="O91" s="1005">
        <v>4</v>
      </c>
    </row>
    <row r="92" spans="1:15" collapsed="1" x14ac:dyDescent="0.2">
      <c r="A92"/>
      <c r="B92" s="1002">
        <v>27</v>
      </c>
      <c r="C92" s="1003">
        <v>9</v>
      </c>
      <c r="D92" s="1003"/>
      <c r="E92" s="1003"/>
      <c r="F92" s="1003"/>
      <c r="G92" s="1003"/>
      <c r="H92" s="1003"/>
      <c r="I92" s="1003"/>
      <c r="J92" s="1003"/>
      <c r="K92" s="1003">
        <f t="shared" si="1"/>
        <v>9</v>
      </c>
      <c r="L92" s="1004"/>
      <c r="M92" s="1003"/>
      <c r="N92" s="1003">
        <v>2</v>
      </c>
      <c r="O92" s="1005">
        <v>16</v>
      </c>
    </row>
    <row r="93" spans="1:15" collapsed="1" x14ac:dyDescent="0.2">
      <c r="A93"/>
      <c r="B93" s="1002">
        <v>27</v>
      </c>
      <c r="C93" s="1003">
        <v>5</v>
      </c>
      <c r="D93" s="1003">
        <v>3</v>
      </c>
      <c r="E93" s="1003"/>
      <c r="F93" s="1003"/>
      <c r="G93" s="1003"/>
      <c r="H93" s="1003"/>
      <c r="I93" s="1003"/>
      <c r="J93" s="1003"/>
      <c r="K93" s="1003">
        <f t="shared" si="1"/>
        <v>8</v>
      </c>
      <c r="L93" s="1004"/>
      <c r="M93" s="1003"/>
      <c r="N93" s="1003"/>
      <c r="O93" s="1005">
        <v>16</v>
      </c>
    </row>
    <row r="94" spans="1:15" collapsed="1" x14ac:dyDescent="0.2">
      <c r="A94"/>
      <c r="B94" s="1002">
        <v>27</v>
      </c>
      <c r="C94" s="1003">
        <v>1</v>
      </c>
      <c r="D94" s="1003">
        <v>6</v>
      </c>
      <c r="E94" s="1003"/>
      <c r="F94" s="1003"/>
      <c r="G94" s="1003"/>
      <c r="H94" s="1003"/>
      <c r="I94" s="1003"/>
      <c r="J94" s="1003"/>
      <c r="K94" s="1003">
        <f t="shared" si="1"/>
        <v>7</v>
      </c>
      <c r="L94" s="1004"/>
      <c r="M94" s="1003"/>
      <c r="N94" s="1003">
        <v>6</v>
      </c>
      <c r="O94" s="1005">
        <v>8</v>
      </c>
    </row>
    <row r="95" spans="1:15" x14ac:dyDescent="0.2">
      <c r="A95"/>
      <c r="B95" s="1002">
        <v>27</v>
      </c>
      <c r="C95" s="1003"/>
      <c r="D95" s="1003">
        <v>3</v>
      </c>
      <c r="E95" s="1003">
        <v>3</v>
      </c>
      <c r="F95" s="1003"/>
      <c r="G95" s="1003"/>
      <c r="H95" s="1003"/>
      <c r="I95" s="1003"/>
      <c r="J95" s="1003"/>
      <c r="K95" s="1003">
        <f t="shared" si="1"/>
        <v>6</v>
      </c>
      <c r="L95" s="1004"/>
      <c r="M95" s="1003"/>
      <c r="N95" s="1003">
        <v>4</v>
      </c>
      <c r="O95" s="1005">
        <v>8</v>
      </c>
    </row>
    <row r="96" spans="1:15" x14ac:dyDescent="0.2">
      <c r="A96"/>
      <c r="B96" s="1002">
        <v>27</v>
      </c>
      <c r="C96" s="1003"/>
      <c r="D96" s="1003"/>
      <c r="E96" s="1003">
        <v>3</v>
      </c>
      <c r="F96" s="1003">
        <v>2</v>
      </c>
      <c r="G96" s="1003"/>
      <c r="H96" s="1003"/>
      <c r="I96" s="1003"/>
      <c r="J96" s="1003"/>
      <c r="K96" s="1003">
        <f t="shared" si="1"/>
        <v>5</v>
      </c>
      <c r="L96" s="1004"/>
      <c r="M96" s="1003"/>
      <c r="N96" s="1003">
        <v>2</v>
      </c>
      <c r="O96" s="1005">
        <v>8</v>
      </c>
    </row>
    <row r="97" spans="1:15" x14ac:dyDescent="0.2">
      <c r="A97"/>
      <c r="B97" s="1002">
        <v>27</v>
      </c>
      <c r="C97" s="1003"/>
      <c r="D97" s="1003"/>
      <c r="E97" s="1003"/>
      <c r="F97" s="1003">
        <v>1</v>
      </c>
      <c r="G97" s="1003">
        <v>3</v>
      </c>
      <c r="H97" s="1003"/>
      <c r="I97" s="1003"/>
      <c r="J97" s="1003"/>
      <c r="K97" s="1003">
        <f t="shared" si="1"/>
        <v>4</v>
      </c>
      <c r="L97" s="1004"/>
      <c r="M97" s="1003"/>
      <c r="N97" s="1003"/>
      <c r="O97" s="1005">
        <v>8</v>
      </c>
    </row>
    <row r="98" spans="1:15" x14ac:dyDescent="0.2">
      <c r="A98"/>
      <c r="B98" s="1002">
        <v>27</v>
      </c>
      <c r="C98" s="1003"/>
      <c r="D98" s="1003"/>
      <c r="E98" s="1003"/>
      <c r="F98" s="1003"/>
      <c r="G98" s="1003"/>
      <c r="H98" s="1003"/>
      <c r="I98" s="1003">
        <v>3</v>
      </c>
      <c r="J98" s="1003"/>
      <c r="K98" s="1003">
        <f t="shared" si="1"/>
        <v>3</v>
      </c>
      <c r="L98" s="1004"/>
      <c r="M98" s="1003"/>
      <c r="N98" s="1003">
        <v>2</v>
      </c>
      <c r="O98" s="1005">
        <v>4</v>
      </c>
    </row>
    <row r="99" spans="1:15" collapsed="1" x14ac:dyDescent="0.2">
      <c r="A99"/>
      <c r="B99" s="1002">
        <v>28</v>
      </c>
      <c r="C99" s="1003">
        <v>8</v>
      </c>
      <c r="D99" s="1003">
        <v>1</v>
      </c>
      <c r="E99" s="1003"/>
      <c r="F99" s="1003"/>
      <c r="G99" s="1003"/>
      <c r="H99" s="1003"/>
      <c r="I99" s="1003"/>
      <c r="J99" s="1003"/>
      <c r="K99" s="1003">
        <f t="shared" si="1"/>
        <v>9</v>
      </c>
      <c r="L99" s="1004"/>
      <c r="M99" s="1003"/>
      <c r="N99" s="1003">
        <v>2</v>
      </c>
      <c r="O99" s="1005">
        <v>16</v>
      </c>
    </row>
    <row r="100" spans="1:15" collapsed="1" x14ac:dyDescent="0.2">
      <c r="A100"/>
      <c r="B100" s="1002">
        <v>28</v>
      </c>
      <c r="C100" s="1003">
        <v>4</v>
      </c>
      <c r="D100" s="1003">
        <v>4</v>
      </c>
      <c r="E100" s="1003"/>
      <c r="F100" s="1003"/>
      <c r="G100" s="1003"/>
      <c r="H100" s="1003"/>
      <c r="I100" s="1003"/>
      <c r="J100" s="1003"/>
      <c r="K100" s="1003">
        <f t="shared" si="1"/>
        <v>8</v>
      </c>
      <c r="L100" s="1004"/>
      <c r="M100" s="1003"/>
      <c r="N100" s="1003"/>
      <c r="O100" s="1005">
        <v>16</v>
      </c>
    </row>
    <row r="101" spans="1:15" collapsed="1" x14ac:dyDescent="0.2">
      <c r="A101"/>
      <c r="B101" s="1002">
        <v>28</v>
      </c>
      <c r="C101" s="1003"/>
      <c r="D101" s="1003">
        <v>7</v>
      </c>
      <c r="E101" s="1003"/>
      <c r="F101" s="1003"/>
      <c r="G101" s="1003"/>
      <c r="H101" s="1003"/>
      <c r="I101" s="1003"/>
      <c r="J101" s="1003"/>
      <c r="K101" s="1003">
        <f t="shared" si="1"/>
        <v>7</v>
      </c>
      <c r="L101" s="1004"/>
      <c r="M101" s="1003"/>
      <c r="N101" s="1003">
        <v>6</v>
      </c>
      <c r="O101" s="1005">
        <v>8</v>
      </c>
    </row>
    <row r="102" spans="1:15" x14ac:dyDescent="0.2">
      <c r="A102"/>
      <c r="B102" s="1002">
        <v>28</v>
      </c>
      <c r="C102" s="1003"/>
      <c r="D102" s="1003">
        <v>2</v>
      </c>
      <c r="E102" s="1003">
        <v>4</v>
      </c>
      <c r="F102" s="1003"/>
      <c r="G102" s="1003"/>
      <c r="H102" s="1003"/>
      <c r="I102" s="1003"/>
      <c r="J102" s="1003"/>
      <c r="K102" s="1003">
        <f t="shared" si="1"/>
        <v>6</v>
      </c>
      <c r="L102" s="1004"/>
      <c r="M102" s="1003"/>
      <c r="N102" s="1003">
        <v>4</v>
      </c>
      <c r="O102" s="1005">
        <v>8</v>
      </c>
    </row>
    <row r="103" spans="1:15" x14ac:dyDescent="0.2">
      <c r="A103"/>
      <c r="B103" s="1002">
        <v>28</v>
      </c>
      <c r="C103" s="1003"/>
      <c r="D103" s="1003"/>
      <c r="E103" s="1003">
        <v>2</v>
      </c>
      <c r="F103" s="1003">
        <v>3</v>
      </c>
      <c r="G103" s="1003"/>
      <c r="H103" s="1003"/>
      <c r="I103" s="1003"/>
      <c r="J103" s="1003"/>
      <c r="K103" s="1003">
        <f t="shared" si="1"/>
        <v>5</v>
      </c>
      <c r="L103" s="1004"/>
      <c r="M103" s="1003"/>
      <c r="N103" s="1003">
        <v>2</v>
      </c>
      <c r="O103" s="1005">
        <v>8</v>
      </c>
    </row>
    <row r="104" spans="1:15" x14ac:dyDescent="0.2">
      <c r="A104"/>
      <c r="B104" s="1002">
        <v>28</v>
      </c>
      <c r="C104" s="1003"/>
      <c r="D104" s="1003"/>
      <c r="E104" s="1003"/>
      <c r="F104" s="1003"/>
      <c r="G104" s="1003">
        <v>4</v>
      </c>
      <c r="H104" s="1003"/>
      <c r="I104" s="1003"/>
      <c r="J104" s="1003"/>
      <c r="K104" s="1003">
        <f t="shared" si="1"/>
        <v>4</v>
      </c>
      <c r="L104" s="1004"/>
      <c r="M104" s="1003"/>
      <c r="N104" s="1003"/>
      <c r="O104" s="1005">
        <v>8</v>
      </c>
    </row>
    <row r="105" spans="1:15" x14ac:dyDescent="0.2">
      <c r="A105"/>
      <c r="B105" s="1002">
        <v>28</v>
      </c>
      <c r="C105" s="1003"/>
      <c r="D105" s="1003"/>
      <c r="E105" s="1003"/>
      <c r="F105" s="1003"/>
      <c r="G105" s="1003"/>
      <c r="H105" s="1003"/>
      <c r="I105" s="1003">
        <v>2</v>
      </c>
      <c r="J105" s="1003">
        <v>1</v>
      </c>
      <c r="K105" s="1003">
        <f t="shared" si="1"/>
        <v>3</v>
      </c>
      <c r="L105" s="1004"/>
      <c r="M105" s="1003"/>
      <c r="N105" s="1003">
        <v>2</v>
      </c>
      <c r="O105" s="1005">
        <v>4</v>
      </c>
    </row>
    <row r="106" spans="1:15" collapsed="1" x14ac:dyDescent="0.2">
      <c r="A106"/>
      <c r="B106" s="1002">
        <v>29</v>
      </c>
      <c r="C106" s="1003">
        <v>7</v>
      </c>
      <c r="D106" s="1003">
        <v>2</v>
      </c>
      <c r="E106" s="1003"/>
      <c r="F106" s="1003"/>
      <c r="G106" s="1003"/>
      <c r="H106" s="1003"/>
      <c r="I106" s="1003"/>
      <c r="J106" s="1003"/>
      <c r="K106" s="1003">
        <f t="shared" si="1"/>
        <v>9</v>
      </c>
      <c r="L106" s="1004"/>
      <c r="M106" s="1003"/>
      <c r="N106" s="1003">
        <v>2</v>
      </c>
      <c r="O106" s="1005">
        <v>16</v>
      </c>
    </row>
    <row r="107" spans="1:15" collapsed="1" x14ac:dyDescent="0.2">
      <c r="A107"/>
      <c r="B107" s="1002">
        <v>29</v>
      </c>
      <c r="C107" s="1003">
        <v>3</v>
      </c>
      <c r="D107" s="1003">
        <v>5</v>
      </c>
      <c r="E107" s="1003"/>
      <c r="F107" s="1003"/>
      <c r="G107" s="1003"/>
      <c r="H107" s="1003"/>
      <c r="I107" s="1003"/>
      <c r="J107" s="1003"/>
      <c r="K107" s="1003">
        <f t="shared" si="1"/>
        <v>8</v>
      </c>
      <c r="L107" s="1004"/>
      <c r="M107" s="1003"/>
      <c r="N107" s="1003"/>
      <c r="O107" s="1005">
        <v>16</v>
      </c>
    </row>
    <row r="108" spans="1:15" collapsed="1" x14ac:dyDescent="0.2">
      <c r="A108"/>
      <c r="B108" s="1002">
        <v>29</v>
      </c>
      <c r="C108" s="1003"/>
      <c r="D108" s="1003">
        <v>6</v>
      </c>
      <c r="E108" s="1003">
        <v>1</v>
      </c>
      <c r="F108" s="1003"/>
      <c r="G108" s="1003"/>
      <c r="H108" s="1003"/>
      <c r="I108" s="1003"/>
      <c r="J108" s="1003"/>
      <c r="K108" s="1003">
        <f t="shared" si="1"/>
        <v>7</v>
      </c>
      <c r="L108" s="1004"/>
      <c r="M108" s="1003"/>
      <c r="N108" s="1003">
        <v>6</v>
      </c>
      <c r="O108" s="1005">
        <v>8</v>
      </c>
    </row>
    <row r="109" spans="1:15" x14ac:dyDescent="0.2">
      <c r="A109"/>
      <c r="B109" s="1002">
        <v>29</v>
      </c>
      <c r="C109" s="1003"/>
      <c r="D109" s="1003">
        <v>1</v>
      </c>
      <c r="E109" s="1003">
        <v>5</v>
      </c>
      <c r="F109" s="1003"/>
      <c r="G109" s="1003"/>
      <c r="H109" s="1003"/>
      <c r="I109" s="1003"/>
      <c r="J109" s="1003"/>
      <c r="K109" s="1003">
        <f t="shared" si="1"/>
        <v>6</v>
      </c>
      <c r="L109" s="1004"/>
      <c r="M109" s="1003"/>
      <c r="N109" s="1003">
        <v>4</v>
      </c>
      <c r="O109" s="1005">
        <v>8</v>
      </c>
    </row>
    <row r="110" spans="1:15" x14ac:dyDescent="0.2">
      <c r="A110"/>
      <c r="B110" s="1002">
        <v>29</v>
      </c>
      <c r="C110" s="1003"/>
      <c r="D110" s="1003"/>
      <c r="E110" s="1003">
        <v>1</v>
      </c>
      <c r="F110" s="1003">
        <v>4</v>
      </c>
      <c r="G110" s="1003"/>
      <c r="H110" s="1003"/>
      <c r="I110" s="1003"/>
      <c r="J110" s="1003"/>
      <c r="K110" s="1003">
        <f t="shared" si="1"/>
        <v>5</v>
      </c>
      <c r="L110" s="1004"/>
      <c r="M110" s="1003"/>
      <c r="N110" s="1003">
        <v>2</v>
      </c>
      <c r="O110" s="1005">
        <v>8</v>
      </c>
    </row>
    <row r="111" spans="1:15" x14ac:dyDescent="0.2">
      <c r="A111"/>
      <c r="B111" s="1002">
        <v>29</v>
      </c>
      <c r="C111" s="1003"/>
      <c r="D111" s="1003"/>
      <c r="E111" s="1003"/>
      <c r="F111" s="1003"/>
      <c r="G111" s="1003">
        <v>3</v>
      </c>
      <c r="H111" s="1003">
        <v>1</v>
      </c>
      <c r="I111" s="1003"/>
      <c r="J111" s="1003"/>
      <c r="K111" s="1003">
        <f t="shared" si="1"/>
        <v>4</v>
      </c>
      <c r="L111" s="1004"/>
      <c r="M111" s="1003"/>
      <c r="N111" s="1003"/>
      <c r="O111" s="1005">
        <v>8</v>
      </c>
    </row>
    <row r="112" spans="1:15" x14ac:dyDescent="0.2">
      <c r="A112"/>
      <c r="B112" s="1002">
        <v>29</v>
      </c>
      <c r="C112" s="1003"/>
      <c r="D112" s="1003"/>
      <c r="E112" s="1003"/>
      <c r="F112" s="1003"/>
      <c r="G112" s="1003"/>
      <c r="H112" s="1003"/>
      <c r="I112" s="1003">
        <v>1</v>
      </c>
      <c r="J112" s="1003">
        <v>2</v>
      </c>
      <c r="K112" s="1003">
        <f t="shared" si="1"/>
        <v>3</v>
      </c>
      <c r="L112" s="1004"/>
      <c r="M112" s="1003"/>
      <c r="N112" s="1003">
        <v>2</v>
      </c>
      <c r="O112" s="1005">
        <v>4</v>
      </c>
    </row>
    <row r="113" spans="1:15" x14ac:dyDescent="0.2">
      <c r="A113"/>
      <c r="B113" s="1002">
        <v>30</v>
      </c>
      <c r="C113" s="1003">
        <v>10</v>
      </c>
      <c r="D113" s="1003"/>
      <c r="E113" s="1003"/>
      <c r="F113" s="1003"/>
      <c r="G113" s="1003"/>
      <c r="H113" s="1003"/>
      <c r="I113" s="1003"/>
      <c r="J113" s="1003"/>
      <c r="K113" s="1003">
        <f t="shared" si="1"/>
        <v>10</v>
      </c>
      <c r="L113" s="1004"/>
      <c r="M113" s="1003"/>
      <c r="N113" s="1003">
        <v>4</v>
      </c>
      <c r="O113" s="1005">
        <v>16</v>
      </c>
    </row>
    <row r="114" spans="1:15" collapsed="1" x14ac:dyDescent="0.2">
      <c r="A114"/>
      <c r="B114" s="1002">
        <v>30</v>
      </c>
      <c r="C114" s="1003">
        <v>6</v>
      </c>
      <c r="D114" s="1003">
        <v>3</v>
      </c>
      <c r="E114" s="1003"/>
      <c r="F114" s="1003"/>
      <c r="G114" s="1003"/>
      <c r="H114" s="1003"/>
      <c r="I114" s="1003"/>
      <c r="J114" s="1003"/>
      <c r="K114" s="1003">
        <f t="shared" si="1"/>
        <v>9</v>
      </c>
      <c r="L114" s="1004"/>
      <c r="M114" s="1003"/>
      <c r="N114" s="1003">
        <v>2</v>
      </c>
      <c r="O114" s="1005">
        <v>16</v>
      </c>
    </row>
    <row r="115" spans="1:15" x14ac:dyDescent="0.2">
      <c r="A115"/>
      <c r="B115" s="1002">
        <v>30</v>
      </c>
      <c r="C115" s="1003">
        <v>2</v>
      </c>
      <c r="D115" s="1003">
        <v>6</v>
      </c>
      <c r="E115" s="1003"/>
      <c r="F115" s="1003"/>
      <c r="G115" s="1003"/>
      <c r="H115" s="1003"/>
      <c r="I115" s="1003"/>
      <c r="J115" s="1003"/>
      <c r="K115" s="1003">
        <f t="shared" si="1"/>
        <v>8</v>
      </c>
      <c r="L115" s="1004"/>
      <c r="M115" s="1003"/>
      <c r="N115" s="1003"/>
      <c r="O115" s="1005">
        <v>16</v>
      </c>
    </row>
    <row r="116" spans="1:15" x14ac:dyDescent="0.2">
      <c r="A116"/>
      <c r="B116" s="1002">
        <v>30</v>
      </c>
      <c r="C116" s="1003"/>
      <c r="D116" s="1003">
        <v>5</v>
      </c>
      <c r="E116" s="1003">
        <v>2</v>
      </c>
      <c r="F116" s="1003"/>
      <c r="G116" s="1003"/>
      <c r="H116" s="1003"/>
      <c r="I116" s="1003"/>
      <c r="J116" s="1003"/>
      <c r="K116" s="1003">
        <f t="shared" si="1"/>
        <v>7</v>
      </c>
      <c r="L116" s="1004"/>
      <c r="M116" s="1003"/>
      <c r="N116" s="1003">
        <v>6</v>
      </c>
      <c r="O116" s="1005">
        <v>8</v>
      </c>
    </row>
    <row r="117" spans="1:15" x14ac:dyDescent="0.2">
      <c r="A117"/>
      <c r="B117" s="1002">
        <v>30</v>
      </c>
      <c r="C117" s="1003"/>
      <c r="D117" s="1003"/>
      <c r="E117" s="1003">
        <v>6</v>
      </c>
      <c r="F117" s="1003"/>
      <c r="G117" s="1003"/>
      <c r="H117" s="1003"/>
      <c r="I117" s="1003"/>
      <c r="J117" s="1003"/>
      <c r="K117" s="1003">
        <f t="shared" si="1"/>
        <v>6</v>
      </c>
      <c r="L117" s="1004"/>
      <c r="M117" s="1003"/>
      <c r="N117" s="1003">
        <v>4</v>
      </c>
      <c r="O117" s="1005">
        <v>8</v>
      </c>
    </row>
    <row r="118" spans="1:15" x14ac:dyDescent="0.2">
      <c r="A118"/>
      <c r="B118" s="1002">
        <v>30</v>
      </c>
      <c r="C118" s="1003"/>
      <c r="D118" s="1003"/>
      <c r="E118" s="1003"/>
      <c r="F118" s="1003">
        <v>5</v>
      </c>
      <c r="G118" s="1003"/>
      <c r="H118" s="1003"/>
      <c r="I118" s="1003"/>
      <c r="J118" s="1003"/>
      <c r="K118" s="1003">
        <f t="shared" si="1"/>
        <v>5</v>
      </c>
      <c r="L118" s="1004"/>
      <c r="M118" s="1003"/>
      <c r="N118" s="1003">
        <v>2</v>
      </c>
      <c r="O118" s="1005">
        <v>8</v>
      </c>
    </row>
    <row r="119" spans="1:15" collapsed="1" x14ac:dyDescent="0.2">
      <c r="A119"/>
      <c r="B119" s="1002">
        <v>30</v>
      </c>
      <c r="C119" s="1003"/>
      <c r="D119" s="1003"/>
      <c r="E119" s="1003"/>
      <c r="F119" s="1003"/>
      <c r="G119" s="1003">
        <v>2</v>
      </c>
      <c r="H119" s="1003">
        <v>2</v>
      </c>
      <c r="I119" s="1003"/>
      <c r="J119" s="1003"/>
      <c r="K119" s="1003">
        <f t="shared" si="1"/>
        <v>4</v>
      </c>
      <c r="L119" s="1004"/>
      <c r="M119" s="1003"/>
      <c r="N119" s="1003"/>
      <c r="O119" s="1005">
        <v>8</v>
      </c>
    </row>
    <row r="120" spans="1:15" collapsed="1" x14ac:dyDescent="0.2">
      <c r="A120"/>
      <c r="B120" s="1002">
        <v>30</v>
      </c>
      <c r="C120" s="1003"/>
      <c r="D120" s="1003"/>
      <c r="E120" s="1003"/>
      <c r="F120" s="1003"/>
      <c r="G120" s="1003"/>
      <c r="H120" s="1003"/>
      <c r="I120" s="1003"/>
      <c r="J120" s="1003">
        <v>3</v>
      </c>
      <c r="K120" s="1003">
        <f t="shared" si="1"/>
        <v>3</v>
      </c>
      <c r="L120" s="1004"/>
      <c r="M120" s="1003"/>
      <c r="N120" s="1003">
        <v>2</v>
      </c>
      <c r="O120" s="1005">
        <v>4</v>
      </c>
    </row>
    <row r="121" spans="1:15" collapsed="1" x14ac:dyDescent="0.2">
      <c r="A121"/>
      <c r="B121" s="1002">
        <v>31</v>
      </c>
      <c r="C121" s="1003">
        <v>9</v>
      </c>
      <c r="D121" s="1003">
        <v>1</v>
      </c>
      <c r="E121" s="1003"/>
      <c r="F121" s="1003"/>
      <c r="G121" s="1003"/>
      <c r="H121" s="1003"/>
      <c r="I121" s="1003"/>
      <c r="J121" s="1003"/>
      <c r="K121" s="1003">
        <f t="shared" si="1"/>
        <v>10</v>
      </c>
      <c r="L121" s="1004"/>
      <c r="M121" s="1003"/>
      <c r="N121" s="1003">
        <v>4</v>
      </c>
      <c r="O121" s="1005">
        <v>16</v>
      </c>
    </row>
    <row r="122" spans="1:15" collapsed="1" x14ac:dyDescent="0.2">
      <c r="A122"/>
      <c r="B122" s="1002">
        <v>31</v>
      </c>
      <c r="C122" s="1003">
        <v>5</v>
      </c>
      <c r="D122" s="1003">
        <v>4</v>
      </c>
      <c r="E122" s="1003"/>
      <c r="F122" s="1003"/>
      <c r="G122" s="1003"/>
      <c r="H122" s="1003"/>
      <c r="I122" s="1003"/>
      <c r="J122" s="1003"/>
      <c r="K122" s="1003">
        <f t="shared" si="1"/>
        <v>9</v>
      </c>
      <c r="L122" s="1004"/>
      <c r="M122" s="1003"/>
      <c r="N122" s="1003">
        <v>2</v>
      </c>
      <c r="O122" s="1005">
        <v>16</v>
      </c>
    </row>
    <row r="123" spans="1:15" collapsed="1" x14ac:dyDescent="0.2">
      <c r="A123"/>
      <c r="B123" s="1002">
        <v>31</v>
      </c>
      <c r="C123" s="1003">
        <v>1</v>
      </c>
      <c r="D123" s="1003">
        <v>7</v>
      </c>
      <c r="E123" s="1003"/>
      <c r="F123" s="1003"/>
      <c r="G123" s="1003"/>
      <c r="H123" s="1003"/>
      <c r="I123" s="1003"/>
      <c r="J123" s="1003"/>
      <c r="K123" s="1003">
        <f t="shared" si="1"/>
        <v>8</v>
      </c>
      <c r="L123" s="1004"/>
      <c r="M123" s="1003"/>
      <c r="N123" s="1003"/>
      <c r="O123" s="1005">
        <v>16</v>
      </c>
    </row>
    <row r="124" spans="1:15" x14ac:dyDescent="0.2">
      <c r="A124"/>
      <c r="B124" s="1002">
        <v>31</v>
      </c>
      <c r="C124" s="1003"/>
      <c r="D124" s="1003">
        <v>4</v>
      </c>
      <c r="E124" s="1003">
        <v>3</v>
      </c>
      <c r="F124" s="1003"/>
      <c r="G124" s="1003"/>
      <c r="H124" s="1003"/>
      <c r="I124" s="1003"/>
      <c r="J124" s="1003"/>
      <c r="K124" s="1003">
        <f t="shared" si="1"/>
        <v>7</v>
      </c>
      <c r="L124" s="1004"/>
      <c r="M124" s="1003"/>
      <c r="N124" s="1003">
        <v>6</v>
      </c>
      <c r="O124" s="1005">
        <v>8</v>
      </c>
    </row>
    <row r="125" spans="1:15" x14ac:dyDescent="0.2">
      <c r="A125"/>
      <c r="B125" s="1002">
        <v>31</v>
      </c>
      <c r="C125" s="1003"/>
      <c r="D125" s="1003"/>
      <c r="E125" s="1003">
        <v>5</v>
      </c>
      <c r="F125" s="1003">
        <v>1</v>
      </c>
      <c r="G125" s="1003"/>
      <c r="H125" s="1003"/>
      <c r="I125" s="1003"/>
      <c r="J125" s="1003"/>
      <c r="K125" s="1003">
        <f t="shared" si="1"/>
        <v>6</v>
      </c>
      <c r="L125" s="1004"/>
      <c r="M125" s="1003"/>
      <c r="N125" s="1003">
        <v>4</v>
      </c>
      <c r="O125" s="1005">
        <v>8</v>
      </c>
    </row>
    <row r="126" spans="1:15" x14ac:dyDescent="0.2">
      <c r="A126"/>
      <c r="B126" s="1002">
        <v>31</v>
      </c>
      <c r="C126" s="1003"/>
      <c r="D126" s="1003"/>
      <c r="E126" s="1003"/>
      <c r="F126" s="1003">
        <v>4</v>
      </c>
      <c r="G126" s="1003">
        <v>1</v>
      </c>
      <c r="H126" s="1003"/>
      <c r="I126" s="1003"/>
      <c r="J126" s="1003"/>
      <c r="K126" s="1003">
        <f t="shared" si="1"/>
        <v>5</v>
      </c>
      <c r="L126" s="1004"/>
      <c r="M126" s="1003"/>
      <c r="N126" s="1003">
        <v>2</v>
      </c>
      <c r="O126" s="1005">
        <v>8</v>
      </c>
    </row>
    <row r="127" spans="1:15" x14ac:dyDescent="0.2">
      <c r="A127"/>
      <c r="B127" s="1002">
        <v>31</v>
      </c>
      <c r="C127" s="1003"/>
      <c r="D127" s="1003"/>
      <c r="E127" s="1003"/>
      <c r="F127" s="1003"/>
      <c r="G127" s="1003">
        <v>1</v>
      </c>
      <c r="H127" s="1003">
        <v>3</v>
      </c>
      <c r="I127" s="1003"/>
      <c r="J127" s="1003"/>
      <c r="K127" s="1003">
        <f t="shared" si="1"/>
        <v>4</v>
      </c>
      <c r="L127" s="1004"/>
      <c r="M127" s="1003"/>
      <c r="N127" s="1003"/>
      <c r="O127" s="1005">
        <v>8</v>
      </c>
    </row>
    <row r="128" spans="1:15" collapsed="1" x14ac:dyDescent="0.2">
      <c r="A128"/>
      <c r="B128" s="1002">
        <v>32</v>
      </c>
      <c r="C128" s="1003">
        <v>8</v>
      </c>
      <c r="D128" s="1003">
        <v>2</v>
      </c>
      <c r="E128" s="1003"/>
      <c r="F128" s="1003"/>
      <c r="G128" s="1003"/>
      <c r="H128" s="1003"/>
      <c r="I128" s="1003"/>
      <c r="J128" s="1003"/>
      <c r="K128" s="1003">
        <f t="shared" si="1"/>
        <v>10</v>
      </c>
      <c r="L128" s="1004"/>
      <c r="M128" s="1003"/>
      <c r="N128" s="1003">
        <v>4</v>
      </c>
      <c r="O128" s="1005">
        <v>16</v>
      </c>
    </row>
    <row r="129" spans="1:15" collapsed="1" x14ac:dyDescent="0.2">
      <c r="A129"/>
      <c r="B129" s="1002">
        <v>32</v>
      </c>
      <c r="C129" s="1003">
        <v>4</v>
      </c>
      <c r="D129" s="1003">
        <v>5</v>
      </c>
      <c r="E129" s="1003"/>
      <c r="F129" s="1003"/>
      <c r="G129" s="1003"/>
      <c r="H129" s="1003"/>
      <c r="I129" s="1003"/>
      <c r="J129" s="1003"/>
      <c r="K129" s="1003">
        <f t="shared" si="1"/>
        <v>9</v>
      </c>
      <c r="L129" s="1004"/>
      <c r="M129" s="1003"/>
      <c r="N129" s="1003">
        <v>2</v>
      </c>
      <c r="O129" s="1005">
        <v>16</v>
      </c>
    </row>
    <row r="130" spans="1:15" collapsed="1" x14ac:dyDescent="0.2">
      <c r="A130"/>
      <c r="B130" s="1002">
        <v>32</v>
      </c>
      <c r="C130" s="1003"/>
      <c r="D130" s="1003">
        <v>8</v>
      </c>
      <c r="E130" s="1003"/>
      <c r="F130" s="1003"/>
      <c r="G130" s="1003"/>
      <c r="H130" s="1003"/>
      <c r="I130" s="1003"/>
      <c r="J130" s="1003"/>
      <c r="K130" s="1003">
        <f t="shared" si="1"/>
        <v>8</v>
      </c>
      <c r="L130" s="1004"/>
      <c r="M130" s="1003"/>
      <c r="N130" s="1003"/>
      <c r="O130" s="1005">
        <v>16</v>
      </c>
    </row>
    <row r="131" spans="1:15" x14ac:dyDescent="0.2">
      <c r="A131"/>
      <c r="B131" s="1002">
        <v>32</v>
      </c>
      <c r="C131" s="1003"/>
      <c r="D131" s="1003">
        <v>3</v>
      </c>
      <c r="E131" s="1003">
        <v>4</v>
      </c>
      <c r="F131" s="1003"/>
      <c r="G131" s="1003"/>
      <c r="H131" s="1003"/>
      <c r="I131" s="1003"/>
      <c r="J131" s="1003"/>
      <c r="K131" s="1003">
        <f t="shared" si="1"/>
        <v>7</v>
      </c>
      <c r="L131" s="1004"/>
      <c r="M131" s="1003"/>
      <c r="N131" s="1003">
        <v>6</v>
      </c>
      <c r="O131" s="1005">
        <v>8</v>
      </c>
    </row>
    <row r="132" spans="1:15" x14ac:dyDescent="0.2">
      <c r="A132"/>
      <c r="B132" s="1002">
        <v>32</v>
      </c>
      <c r="C132" s="1003"/>
      <c r="D132" s="1003"/>
      <c r="E132" s="1003">
        <v>4</v>
      </c>
      <c r="F132" s="1003">
        <v>2</v>
      </c>
      <c r="G132" s="1003"/>
      <c r="H132" s="1003"/>
      <c r="I132" s="1003"/>
      <c r="J132" s="1003"/>
      <c r="K132" s="1003">
        <f t="shared" si="1"/>
        <v>6</v>
      </c>
      <c r="L132" s="1004"/>
      <c r="M132" s="1003"/>
      <c r="N132" s="1003">
        <v>4</v>
      </c>
      <c r="O132" s="1005">
        <v>8</v>
      </c>
    </row>
    <row r="133" spans="1:15" x14ac:dyDescent="0.2">
      <c r="A133"/>
      <c r="B133" s="1002">
        <v>32</v>
      </c>
      <c r="C133" s="1003"/>
      <c r="D133" s="1003"/>
      <c r="E133" s="1003"/>
      <c r="F133" s="1003">
        <v>3</v>
      </c>
      <c r="G133" s="1003">
        <v>2</v>
      </c>
      <c r="H133" s="1003"/>
      <c r="I133" s="1003"/>
      <c r="J133" s="1003"/>
      <c r="K133" s="1003">
        <f t="shared" si="1"/>
        <v>5</v>
      </c>
      <c r="L133" s="1004"/>
      <c r="M133" s="1003"/>
      <c r="N133" s="1003">
        <v>2</v>
      </c>
      <c r="O133" s="1005">
        <v>8</v>
      </c>
    </row>
    <row r="134" spans="1:15" x14ac:dyDescent="0.2">
      <c r="A134"/>
      <c r="B134" s="1002">
        <v>32</v>
      </c>
      <c r="C134" s="1003"/>
      <c r="D134" s="1003"/>
      <c r="E134" s="1003"/>
      <c r="F134" s="1003"/>
      <c r="G134" s="1003"/>
      <c r="H134" s="1003">
        <v>4</v>
      </c>
      <c r="I134" s="1003"/>
      <c r="J134" s="1003"/>
      <c r="K134" s="1003">
        <f t="shared" ref="K134:K197" si="2">SUM(C134:J134)</f>
        <v>4</v>
      </c>
      <c r="L134" s="1004"/>
      <c r="M134" s="1003"/>
      <c r="N134" s="1003"/>
      <c r="O134" s="1005">
        <v>8</v>
      </c>
    </row>
    <row r="135" spans="1:15" collapsed="1" x14ac:dyDescent="0.2">
      <c r="A135"/>
      <c r="B135" s="1002">
        <v>33</v>
      </c>
      <c r="C135" s="1003">
        <v>11</v>
      </c>
      <c r="D135" s="1003"/>
      <c r="E135" s="1003"/>
      <c r="F135" s="1003"/>
      <c r="G135" s="1003"/>
      <c r="H135" s="1003"/>
      <c r="I135" s="1003"/>
      <c r="J135" s="1003"/>
      <c r="K135" s="1003">
        <f t="shared" si="2"/>
        <v>11</v>
      </c>
      <c r="L135" s="1004"/>
      <c r="M135" s="1003"/>
      <c r="N135" s="1003">
        <v>6</v>
      </c>
      <c r="O135" s="1005">
        <v>16</v>
      </c>
    </row>
    <row r="136" spans="1:15" collapsed="1" x14ac:dyDescent="0.2">
      <c r="A136"/>
      <c r="B136" s="1002">
        <v>33</v>
      </c>
      <c r="C136" s="1003">
        <v>7</v>
      </c>
      <c r="D136" s="1003">
        <v>3</v>
      </c>
      <c r="E136" s="1003"/>
      <c r="F136" s="1003"/>
      <c r="G136" s="1003"/>
      <c r="H136" s="1003"/>
      <c r="I136" s="1003"/>
      <c r="J136" s="1003"/>
      <c r="K136" s="1003">
        <f t="shared" si="2"/>
        <v>10</v>
      </c>
      <c r="L136" s="1004"/>
      <c r="M136" s="1003"/>
      <c r="N136" s="1003">
        <v>4</v>
      </c>
      <c r="O136" s="1005">
        <v>16</v>
      </c>
    </row>
    <row r="137" spans="1:15" collapsed="1" x14ac:dyDescent="0.2">
      <c r="A137"/>
      <c r="B137" s="1002">
        <v>33</v>
      </c>
      <c r="C137" s="1003">
        <v>3</v>
      </c>
      <c r="D137" s="1003">
        <v>6</v>
      </c>
      <c r="E137" s="1003"/>
      <c r="F137" s="1003"/>
      <c r="G137" s="1003"/>
      <c r="H137" s="1003"/>
      <c r="I137" s="1003"/>
      <c r="J137" s="1003"/>
      <c r="K137" s="1003">
        <f t="shared" si="2"/>
        <v>9</v>
      </c>
      <c r="L137" s="1004"/>
      <c r="M137" s="1003"/>
      <c r="N137" s="1003">
        <v>2</v>
      </c>
      <c r="O137" s="1005">
        <v>16</v>
      </c>
    </row>
    <row r="138" spans="1:15" x14ac:dyDescent="0.2">
      <c r="A138"/>
      <c r="B138" s="1002">
        <v>33</v>
      </c>
      <c r="C138" s="1003"/>
      <c r="D138" s="1003">
        <v>7</v>
      </c>
      <c r="E138" s="1003">
        <v>1</v>
      </c>
      <c r="F138" s="1003"/>
      <c r="G138" s="1003"/>
      <c r="H138" s="1003"/>
      <c r="I138" s="1003"/>
      <c r="J138" s="1003"/>
      <c r="K138" s="1003">
        <f t="shared" si="2"/>
        <v>8</v>
      </c>
      <c r="L138" s="1004"/>
      <c r="M138" s="1003"/>
      <c r="N138" s="1003"/>
      <c r="O138" s="1005">
        <v>16</v>
      </c>
    </row>
    <row r="139" spans="1:15" x14ac:dyDescent="0.2">
      <c r="A139"/>
      <c r="B139" s="1002">
        <v>33</v>
      </c>
      <c r="C139" s="1003"/>
      <c r="D139" s="1003">
        <v>2</v>
      </c>
      <c r="E139" s="1003">
        <v>5</v>
      </c>
      <c r="F139" s="1003"/>
      <c r="G139" s="1003"/>
      <c r="H139" s="1003"/>
      <c r="I139" s="1003"/>
      <c r="J139" s="1003"/>
      <c r="K139" s="1003">
        <f t="shared" si="2"/>
        <v>7</v>
      </c>
      <c r="L139" s="1004"/>
      <c r="M139" s="1003"/>
      <c r="N139" s="1003">
        <v>6</v>
      </c>
      <c r="O139" s="1005">
        <v>8</v>
      </c>
    </row>
    <row r="140" spans="1:15" collapsed="1" x14ac:dyDescent="0.2">
      <c r="A140"/>
      <c r="B140" s="1002">
        <v>33</v>
      </c>
      <c r="C140" s="1003"/>
      <c r="D140" s="1003"/>
      <c r="E140" s="1003">
        <v>3</v>
      </c>
      <c r="F140" s="1003">
        <v>3</v>
      </c>
      <c r="G140" s="1003"/>
      <c r="H140" s="1003"/>
      <c r="I140" s="1003"/>
      <c r="J140" s="1003"/>
      <c r="K140" s="1003">
        <f t="shared" si="2"/>
        <v>6</v>
      </c>
      <c r="L140" s="1004"/>
      <c r="M140" s="1003"/>
      <c r="N140" s="1003">
        <v>4</v>
      </c>
      <c r="O140" s="1005">
        <v>8</v>
      </c>
    </row>
    <row r="141" spans="1:15" x14ac:dyDescent="0.2">
      <c r="A141"/>
      <c r="B141" s="1002">
        <v>33</v>
      </c>
      <c r="C141" s="1003"/>
      <c r="D141" s="1003"/>
      <c r="E141" s="1003"/>
      <c r="F141" s="1003">
        <v>2</v>
      </c>
      <c r="G141" s="1003">
        <v>3</v>
      </c>
      <c r="H141" s="1003"/>
      <c r="I141" s="1003"/>
      <c r="J141" s="1003"/>
      <c r="K141" s="1003">
        <f t="shared" si="2"/>
        <v>5</v>
      </c>
      <c r="L141" s="1004"/>
      <c r="M141" s="1003"/>
      <c r="N141" s="1003">
        <v>2</v>
      </c>
      <c r="O141" s="1005">
        <v>8</v>
      </c>
    </row>
    <row r="142" spans="1:15" x14ac:dyDescent="0.2">
      <c r="A142"/>
      <c r="B142" s="1002">
        <v>33</v>
      </c>
      <c r="C142" s="1003"/>
      <c r="D142" s="1003"/>
      <c r="E142" s="1003"/>
      <c r="F142" s="1003"/>
      <c r="G142" s="1003"/>
      <c r="H142" s="1003">
        <v>3</v>
      </c>
      <c r="I142" s="1003">
        <v>1</v>
      </c>
      <c r="J142" s="1003"/>
      <c r="K142" s="1003">
        <f t="shared" si="2"/>
        <v>4</v>
      </c>
      <c r="L142" s="1004"/>
      <c r="M142" s="1003"/>
      <c r="N142" s="1003"/>
      <c r="O142" s="1005">
        <v>8</v>
      </c>
    </row>
    <row r="143" spans="1:15" collapsed="1" x14ac:dyDescent="0.2">
      <c r="A143"/>
      <c r="B143" s="1002">
        <v>34</v>
      </c>
      <c r="C143" s="1003">
        <v>10</v>
      </c>
      <c r="D143" s="1003">
        <v>1</v>
      </c>
      <c r="E143" s="1003"/>
      <c r="F143" s="1003"/>
      <c r="G143" s="1003"/>
      <c r="H143" s="1003"/>
      <c r="I143" s="1003"/>
      <c r="J143" s="1003"/>
      <c r="K143" s="1003">
        <f t="shared" si="2"/>
        <v>11</v>
      </c>
      <c r="L143" s="1004"/>
      <c r="M143" s="1003"/>
      <c r="N143" s="1003">
        <v>6</v>
      </c>
      <c r="O143" s="1005">
        <v>16</v>
      </c>
    </row>
    <row r="144" spans="1:15" collapsed="1" x14ac:dyDescent="0.2">
      <c r="A144"/>
      <c r="B144" s="1002">
        <v>34</v>
      </c>
      <c r="C144" s="1003">
        <v>6</v>
      </c>
      <c r="D144" s="1003">
        <v>4</v>
      </c>
      <c r="E144" s="1003"/>
      <c r="F144" s="1003"/>
      <c r="G144" s="1003"/>
      <c r="H144" s="1003"/>
      <c r="I144" s="1003"/>
      <c r="J144" s="1003"/>
      <c r="K144" s="1003">
        <f t="shared" si="2"/>
        <v>10</v>
      </c>
      <c r="L144" s="1004"/>
      <c r="M144" s="1003"/>
      <c r="N144" s="1003">
        <v>4</v>
      </c>
      <c r="O144" s="1005">
        <v>16</v>
      </c>
    </row>
    <row r="145" spans="1:15" collapsed="1" x14ac:dyDescent="0.2">
      <c r="A145"/>
      <c r="B145" s="1002">
        <v>34</v>
      </c>
      <c r="C145" s="1003">
        <v>2</v>
      </c>
      <c r="D145" s="1003">
        <v>7</v>
      </c>
      <c r="E145" s="1003"/>
      <c r="F145" s="1003"/>
      <c r="G145" s="1003"/>
      <c r="H145" s="1003"/>
      <c r="I145" s="1003"/>
      <c r="J145" s="1003"/>
      <c r="K145" s="1003">
        <f t="shared" si="2"/>
        <v>9</v>
      </c>
      <c r="L145" s="1004"/>
      <c r="M145" s="1003"/>
      <c r="N145" s="1003">
        <v>2</v>
      </c>
      <c r="O145" s="1005">
        <v>16</v>
      </c>
    </row>
    <row r="146" spans="1:15" x14ac:dyDescent="0.2">
      <c r="A146"/>
      <c r="B146" s="1002">
        <v>34</v>
      </c>
      <c r="C146" s="1003"/>
      <c r="D146" s="1003">
        <v>6</v>
      </c>
      <c r="E146" s="1003">
        <v>2</v>
      </c>
      <c r="F146" s="1003"/>
      <c r="G146" s="1003"/>
      <c r="H146" s="1003"/>
      <c r="I146" s="1003"/>
      <c r="J146" s="1003"/>
      <c r="K146" s="1003">
        <f t="shared" si="2"/>
        <v>8</v>
      </c>
      <c r="L146" s="1004"/>
      <c r="M146" s="1003"/>
      <c r="N146" s="1003"/>
      <c r="O146" s="1005">
        <v>16</v>
      </c>
    </row>
    <row r="147" spans="1:15" x14ac:dyDescent="0.2">
      <c r="A147"/>
      <c r="B147" s="1002">
        <v>34</v>
      </c>
      <c r="C147" s="1003"/>
      <c r="D147" s="1003">
        <v>1</v>
      </c>
      <c r="E147" s="1003">
        <v>6</v>
      </c>
      <c r="F147" s="1003"/>
      <c r="G147" s="1003"/>
      <c r="H147" s="1003"/>
      <c r="I147" s="1003"/>
      <c r="J147" s="1003"/>
      <c r="K147" s="1003">
        <f t="shared" si="2"/>
        <v>7</v>
      </c>
      <c r="L147" s="1004"/>
      <c r="M147" s="1003"/>
      <c r="N147" s="1003">
        <v>6</v>
      </c>
      <c r="O147" s="1005">
        <v>8</v>
      </c>
    </row>
    <row r="148" spans="1:15" collapsed="1" x14ac:dyDescent="0.2">
      <c r="A148"/>
      <c r="B148" s="1002">
        <v>34</v>
      </c>
      <c r="C148" s="1003"/>
      <c r="D148" s="1003"/>
      <c r="E148" s="1003">
        <v>2</v>
      </c>
      <c r="F148" s="1003">
        <v>4</v>
      </c>
      <c r="G148" s="1003"/>
      <c r="H148" s="1003"/>
      <c r="I148" s="1003"/>
      <c r="J148" s="1003"/>
      <c r="K148" s="1003">
        <f t="shared" si="2"/>
        <v>6</v>
      </c>
      <c r="L148" s="1004"/>
      <c r="M148" s="1003"/>
      <c r="N148" s="1003">
        <v>4</v>
      </c>
      <c r="O148" s="1005">
        <v>8</v>
      </c>
    </row>
    <row r="149" spans="1:15" x14ac:dyDescent="0.2">
      <c r="A149"/>
      <c r="B149" s="1002">
        <v>34</v>
      </c>
      <c r="C149" s="1003"/>
      <c r="D149" s="1003"/>
      <c r="E149" s="1003"/>
      <c r="F149" s="1003">
        <v>1</v>
      </c>
      <c r="G149" s="1003">
        <v>4</v>
      </c>
      <c r="H149" s="1003"/>
      <c r="I149" s="1003"/>
      <c r="J149" s="1003"/>
      <c r="K149" s="1003">
        <f t="shared" si="2"/>
        <v>5</v>
      </c>
      <c r="L149" s="1004"/>
      <c r="M149" s="1003"/>
      <c r="N149" s="1003">
        <v>2</v>
      </c>
      <c r="O149" s="1005">
        <v>8</v>
      </c>
    </row>
    <row r="150" spans="1:15" x14ac:dyDescent="0.2">
      <c r="A150"/>
      <c r="B150" s="1002">
        <v>34</v>
      </c>
      <c r="C150" s="1003"/>
      <c r="D150" s="1003"/>
      <c r="E150" s="1003"/>
      <c r="F150" s="1003"/>
      <c r="G150" s="1003"/>
      <c r="H150" s="1003">
        <v>2</v>
      </c>
      <c r="I150" s="1003">
        <v>2</v>
      </c>
      <c r="J150" s="1003"/>
      <c r="K150" s="1003">
        <f t="shared" si="2"/>
        <v>4</v>
      </c>
      <c r="L150" s="1004"/>
      <c r="M150" s="1003"/>
      <c r="N150" s="1003"/>
      <c r="O150" s="1005">
        <v>8</v>
      </c>
    </row>
    <row r="151" spans="1:15" collapsed="1" x14ac:dyDescent="0.2">
      <c r="A151"/>
      <c r="B151" s="1002">
        <v>35</v>
      </c>
      <c r="C151" s="1003">
        <v>9</v>
      </c>
      <c r="D151" s="1003">
        <v>2</v>
      </c>
      <c r="E151" s="1003"/>
      <c r="F151" s="1003"/>
      <c r="G151" s="1003"/>
      <c r="H151" s="1003"/>
      <c r="I151" s="1003"/>
      <c r="J151" s="1003"/>
      <c r="K151" s="1003">
        <f t="shared" si="2"/>
        <v>11</v>
      </c>
      <c r="L151" s="1004"/>
      <c r="M151" s="1003"/>
      <c r="N151" s="1003">
        <v>6</v>
      </c>
      <c r="O151" s="1005">
        <v>16</v>
      </c>
    </row>
    <row r="152" spans="1:15" collapsed="1" x14ac:dyDescent="0.2">
      <c r="A152"/>
      <c r="B152" s="1002">
        <v>35</v>
      </c>
      <c r="C152" s="1003">
        <v>5</v>
      </c>
      <c r="D152" s="1003">
        <v>5</v>
      </c>
      <c r="E152" s="1003"/>
      <c r="F152" s="1003"/>
      <c r="G152" s="1003"/>
      <c r="H152" s="1003"/>
      <c r="I152" s="1003"/>
      <c r="J152" s="1003"/>
      <c r="K152" s="1003">
        <f t="shared" si="2"/>
        <v>10</v>
      </c>
      <c r="L152" s="1004"/>
      <c r="M152" s="1003"/>
      <c r="N152" s="1003">
        <v>4</v>
      </c>
      <c r="O152" s="1005">
        <v>16</v>
      </c>
    </row>
    <row r="153" spans="1:15" collapsed="1" x14ac:dyDescent="0.2">
      <c r="A153"/>
      <c r="B153" s="1002">
        <v>35</v>
      </c>
      <c r="C153" s="1003">
        <v>1</v>
      </c>
      <c r="D153" s="1003">
        <v>8</v>
      </c>
      <c r="E153" s="1003"/>
      <c r="F153" s="1003"/>
      <c r="G153" s="1003"/>
      <c r="H153" s="1003"/>
      <c r="I153" s="1003"/>
      <c r="J153" s="1003"/>
      <c r="K153" s="1003">
        <f t="shared" si="2"/>
        <v>9</v>
      </c>
      <c r="L153" s="1004"/>
      <c r="M153" s="1003"/>
      <c r="N153" s="1003">
        <v>2</v>
      </c>
      <c r="O153" s="1005">
        <v>16</v>
      </c>
    </row>
    <row r="154" spans="1:15" x14ac:dyDescent="0.2">
      <c r="A154"/>
      <c r="B154" s="1002">
        <v>35</v>
      </c>
      <c r="C154" s="1003"/>
      <c r="D154" s="1003">
        <v>5</v>
      </c>
      <c r="E154" s="1003">
        <v>3</v>
      </c>
      <c r="F154" s="1003"/>
      <c r="G154" s="1003"/>
      <c r="H154" s="1003"/>
      <c r="I154" s="1003"/>
      <c r="J154" s="1003"/>
      <c r="K154" s="1003">
        <f t="shared" si="2"/>
        <v>8</v>
      </c>
      <c r="L154" s="1004"/>
      <c r="M154" s="1003"/>
      <c r="N154" s="1003"/>
      <c r="O154" s="1005">
        <v>16</v>
      </c>
    </row>
    <row r="155" spans="1:15" x14ac:dyDescent="0.2">
      <c r="A155"/>
      <c r="B155" s="1002">
        <v>35</v>
      </c>
      <c r="C155" s="1003"/>
      <c r="D155" s="1003"/>
      <c r="E155" s="1003">
        <v>7</v>
      </c>
      <c r="F155" s="1003"/>
      <c r="G155" s="1003"/>
      <c r="H155" s="1003"/>
      <c r="I155" s="1003"/>
      <c r="J155" s="1003"/>
      <c r="K155" s="1003">
        <f t="shared" si="2"/>
        <v>7</v>
      </c>
      <c r="L155" s="1004"/>
      <c r="M155" s="1003"/>
      <c r="N155" s="1003">
        <v>6</v>
      </c>
      <c r="O155" s="1005">
        <v>8</v>
      </c>
    </row>
    <row r="156" spans="1:15" collapsed="1" x14ac:dyDescent="0.2">
      <c r="A156"/>
      <c r="B156" s="1002">
        <v>35</v>
      </c>
      <c r="C156" s="1003"/>
      <c r="D156" s="1003"/>
      <c r="E156" s="1003">
        <v>1</v>
      </c>
      <c r="F156" s="1003">
        <v>5</v>
      </c>
      <c r="G156" s="1003"/>
      <c r="H156" s="1003"/>
      <c r="I156" s="1003"/>
      <c r="J156" s="1003"/>
      <c r="K156" s="1003">
        <f t="shared" si="2"/>
        <v>6</v>
      </c>
      <c r="L156" s="1004"/>
      <c r="M156" s="1003"/>
      <c r="N156" s="1003">
        <v>4</v>
      </c>
      <c r="O156" s="1005">
        <v>8</v>
      </c>
    </row>
    <row r="157" spans="1:15" x14ac:dyDescent="0.2">
      <c r="A157"/>
      <c r="B157" s="1002">
        <v>35</v>
      </c>
      <c r="C157" s="1003"/>
      <c r="D157" s="1003"/>
      <c r="E157" s="1003"/>
      <c r="F157" s="1003"/>
      <c r="G157" s="1003">
        <v>5</v>
      </c>
      <c r="H157" s="1003"/>
      <c r="I157" s="1003"/>
      <c r="J157" s="1003"/>
      <c r="K157" s="1003">
        <f t="shared" si="2"/>
        <v>5</v>
      </c>
      <c r="L157" s="1004"/>
      <c r="M157" s="1003"/>
      <c r="N157" s="1003">
        <v>2</v>
      </c>
      <c r="O157" s="1005">
        <v>8</v>
      </c>
    </row>
    <row r="158" spans="1:15" x14ac:dyDescent="0.2">
      <c r="A158"/>
      <c r="B158" s="1002">
        <v>35</v>
      </c>
      <c r="C158" s="1003"/>
      <c r="D158" s="1003"/>
      <c r="E158" s="1003"/>
      <c r="F158" s="1003"/>
      <c r="G158" s="1003"/>
      <c r="H158" s="1003">
        <v>1</v>
      </c>
      <c r="I158" s="1003">
        <v>3</v>
      </c>
      <c r="J158" s="1003"/>
      <c r="K158" s="1003">
        <f t="shared" si="2"/>
        <v>4</v>
      </c>
      <c r="L158" s="1004"/>
      <c r="M158" s="1003"/>
      <c r="N158" s="1003"/>
      <c r="O158" s="1005">
        <v>8</v>
      </c>
    </row>
    <row r="159" spans="1:15" collapsed="1" x14ac:dyDescent="0.2">
      <c r="A159"/>
      <c r="B159" s="1002">
        <v>36</v>
      </c>
      <c r="C159" s="1003">
        <v>12</v>
      </c>
      <c r="D159" s="1003"/>
      <c r="E159" s="1003"/>
      <c r="F159" s="1003"/>
      <c r="G159" s="1003"/>
      <c r="H159" s="1003"/>
      <c r="I159" s="1003"/>
      <c r="J159" s="1003"/>
      <c r="K159" s="1003">
        <f t="shared" si="2"/>
        <v>12</v>
      </c>
      <c r="L159" s="1004"/>
      <c r="M159" s="1003"/>
      <c r="N159" s="1003">
        <v>8</v>
      </c>
      <c r="O159" s="1005">
        <v>16</v>
      </c>
    </row>
    <row r="160" spans="1:15" collapsed="1" x14ac:dyDescent="0.2">
      <c r="A160"/>
      <c r="B160" s="1002">
        <v>36</v>
      </c>
      <c r="C160" s="1003">
        <v>8</v>
      </c>
      <c r="D160" s="1003">
        <v>3</v>
      </c>
      <c r="E160" s="1003"/>
      <c r="F160" s="1003"/>
      <c r="G160" s="1003"/>
      <c r="H160" s="1003"/>
      <c r="I160" s="1003"/>
      <c r="J160" s="1003"/>
      <c r="K160" s="1003">
        <f t="shared" si="2"/>
        <v>11</v>
      </c>
      <c r="L160" s="1004"/>
      <c r="M160" s="1003"/>
      <c r="N160" s="1003">
        <v>6</v>
      </c>
      <c r="O160" s="1005">
        <v>16</v>
      </c>
    </row>
    <row r="161" spans="1:15" collapsed="1" x14ac:dyDescent="0.2">
      <c r="A161"/>
      <c r="B161" s="1002">
        <v>36</v>
      </c>
      <c r="C161" s="1003">
        <v>4</v>
      </c>
      <c r="D161" s="1003">
        <v>6</v>
      </c>
      <c r="E161" s="1003"/>
      <c r="F161" s="1003"/>
      <c r="G161" s="1003"/>
      <c r="H161" s="1003"/>
      <c r="I161" s="1003"/>
      <c r="J161" s="1003"/>
      <c r="K161" s="1003">
        <f t="shared" si="2"/>
        <v>10</v>
      </c>
      <c r="L161" s="1004"/>
      <c r="M161" s="1003"/>
      <c r="N161" s="1003">
        <v>4</v>
      </c>
      <c r="O161" s="1005">
        <v>16</v>
      </c>
    </row>
    <row r="162" spans="1:15" x14ac:dyDescent="0.2">
      <c r="A162"/>
      <c r="B162" s="1002">
        <v>36</v>
      </c>
      <c r="C162" s="1003"/>
      <c r="D162" s="1003">
        <v>9</v>
      </c>
      <c r="E162" s="1003"/>
      <c r="F162" s="1003"/>
      <c r="G162" s="1003"/>
      <c r="H162" s="1003"/>
      <c r="I162" s="1003"/>
      <c r="J162" s="1003"/>
      <c r="K162" s="1003">
        <f t="shared" si="2"/>
        <v>9</v>
      </c>
      <c r="L162" s="1004"/>
      <c r="M162" s="1003"/>
      <c r="N162" s="1003">
        <v>2</v>
      </c>
      <c r="O162" s="1005">
        <v>16</v>
      </c>
    </row>
    <row r="163" spans="1:15" x14ac:dyDescent="0.2">
      <c r="A163"/>
      <c r="B163" s="1002">
        <v>36</v>
      </c>
      <c r="C163" s="1003"/>
      <c r="D163" s="1003">
        <v>4</v>
      </c>
      <c r="E163" s="1003">
        <v>4</v>
      </c>
      <c r="F163" s="1003"/>
      <c r="G163" s="1003"/>
      <c r="H163" s="1003"/>
      <c r="I163" s="1003"/>
      <c r="J163" s="1003"/>
      <c r="K163" s="1003">
        <f t="shared" si="2"/>
        <v>8</v>
      </c>
      <c r="L163" s="1004"/>
      <c r="M163" s="1003"/>
      <c r="N163" s="1003"/>
      <c r="O163" s="1005">
        <v>16</v>
      </c>
    </row>
    <row r="164" spans="1:15" collapsed="1" x14ac:dyDescent="0.2">
      <c r="A164"/>
      <c r="B164" s="1002">
        <v>36</v>
      </c>
      <c r="C164" s="1003"/>
      <c r="D164" s="1003"/>
      <c r="E164" s="1003">
        <v>6</v>
      </c>
      <c r="F164" s="1003">
        <v>1</v>
      </c>
      <c r="G164" s="1003"/>
      <c r="H164" s="1003"/>
      <c r="I164" s="1003"/>
      <c r="J164" s="1003"/>
      <c r="K164" s="1003">
        <f t="shared" si="2"/>
        <v>7</v>
      </c>
      <c r="L164" s="1004"/>
      <c r="M164" s="1003"/>
      <c r="N164" s="1003">
        <v>6</v>
      </c>
      <c r="O164" s="1005">
        <v>8</v>
      </c>
    </row>
    <row r="165" spans="1:15" x14ac:dyDescent="0.2">
      <c r="A165"/>
      <c r="B165" s="1002">
        <v>36</v>
      </c>
      <c r="C165" s="1003"/>
      <c r="D165" s="1003"/>
      <c r="E165" s="1003"/>
      <c r="F165" s="1003">
        <v>6</v>
      </c>
      <c r="G165" s="1003"/>
      <c r="H165" s="1003"/>
      <c r="I165" s="1003"/>
      <c r="J165" s="1003"/>
      <c r="K165" s="1003">
        <f t="shared" si="2"/>
        <v>6</v>
      </c>
      <c r="L165" s="1004"/>
      <c r="M165" s="1003"/>
      <c r="N165" s="1003">
        <v>4</v>
      </c>
      <c r="O165" s="1005">
        <v>8</v>
      </c>
    </row>
    <row r="166" spans="1:15" x14ac:dyDescent="0.2">
      <c r="A166"/>
      <c r="B166" s="1002">
        <v>36</v>
      </c>
      <c r="C166" s="1003"/>
      <c r="D166" s="1003"/>
      <c r="E166" s="1003"/>
      <c r="F166" s="1003"/>
      <c r="G166" s="1003">
        <v>4</v>
      </c>
      <c r="H166" s="1003">
        <v>1</v>
      </c>
      <c r="I166" s="1003"/>
      <c r="J166" s="1003"/>
      <c r="K166" s="1003">
        <f t="shared" si="2"/>
        <v>5</v>
      </c>
      <c r="L166" s="1004"/>
      <c r="M166" s="1003"/>
      <c r="N166" s="1003">
        <v>2</v>
      </c>
      <c r="O166" s="1005">
        <v>8</v>
      </c>
    </row>
    <row r="167" spans="1:15" x14ac:dyDescent="0.2">
      <c r="A167"/>
      <c r="B167" s="1002">
        <v>36</v>
      </c>
      <c r="C167" s="1003"/>
      <c r="D167" s="1003"/>
      <c r="E167" s="1003"/>
      <c r="F167" s="1003"/>
      <c r="G167" s="1003"/>
      <c r="H167" s="1003"/>
      <c r="I167" s="1003">
        <v>4</v>
      </c>
      <c r="J167" s="1003"/>
      <c r="K167" s="1003">
        <f t="shared" si="2"/>
        <v>4</v>
      </c>
      <c r="L167" s="1004"/>
      <c r="M167" s="1003"/>
      <c r="N167" s="1003"/>
      <c r="O167" s="1005">
        <v>8</v>
      </c>
    </row>
    <row r="168" spans="1:15" collapsed="1" x14ac:dyDescent="0.2">
      <c r="A168"/>
      <c r="B168" s="1002">
        <v>37</v>
      </c>
      <c r="C168" s="1003">
        <v>11</v>
      </c>
      <c r="D168" s="1003">
        <v>1</v>
      </c>
      <c r="E168" s="1003"/>
      <c r="F168" s="1003"/>
      <c r="G168" s="1003"/>
      <c r="H168" s="1003"/>
      <c r="I168" s="1003"/>
      <c r="J168" s="1003"/>
      <c r="K168" s="1003">
        <f t="shared" si="2"/>
        <v>12</v>
      </c>
      <c r="L168" s="1004"/>
      <c r="M168" s="1003"/>
      <c r="N168" s="1003">
        <v>8</v>
      </c>
      <c r="O168" s="1005">
        <v>16</v>
      </c>
    </row>
    <row r="169" spans="1:15" collapsed="1" x14ac:dyDescent="0.2">
      <c r="A169"/>
      <c r="B169" s="1002">
        <v>37</v>
      </c>
      <c r="C169" s="1003">
        <v>7</v>
      </c>
      <c r="D169" s="1003">
        <v>4</v>
      </c>
      <c r="E169" s="1003"/>
      <c r="F169" s="1003"/>
      <c r="G169" s="1003"/>
      <c r="H169" s="1003"/>
      <c r="I169" s="1003"/>
      <c r="J169" s="1003"/>
      <c r="K169" s="1003">
        <f t="shared" si="2"/>
        <v>11</v>
      </c>
      <c r="L169" s="1004"/>
      <c r="M169" s="1003"/>
      <c r="N169" s="1003">
        <v>6</v>
      </c>
      <c r="O169" s="1005">
        <v>16</v>
      </c>
    </row>
    <row r="170" spans="1:15" collapsed="1" x14ac:dyDescent="0.2">
      <c r="A170"/>
      <c r="B170" s="1002">
        <v>37</v>
      </c>
      <c r="C170" s="1003">
        <v>3</v>
      </c>
      <c r="D170" s="1003">
        <v>7</v>
      </c>
      <c r="E170" s="1003"/>
      <c r="F170" s="1003"/>
      <c r="G170" s="1003"/>
      <c r="H170" s="1003"/>
      <c r="I170" s="1003"/>
      <c r="J170" s="1003"/>
      <c r="K170" s="1003">
        <f t="shared" si="2"/>
        <v>10</v>
      </c>
      <c r="L170" s="1004"/>
      <c r="M170" s="1003"/>
      <c r="N170" s="1003">
        <v>4</v>
      </c>
      <c r="O170" s="1005">
        <v>16</v>
      </c>
    </row>
    <row r="171" spans="1:15" x14ac:dyDescent="0.2">
      <c r="A171"/>
      <c r="B171" s="1002">
        <v>37</v>
      </c>
      <c r="C171" s="1003"/>
      <c r="D171" s="1003">
        <v>8</v>
      </c>
      <c r="E171" s="1003">
        <v>1</v>
      </c>
      <c r="F171" s="1003"/>
      <c r="G171" s="1003"/>
      <c r="H171" s="1003"/>
      <c r="I171" s="1003"/>
      <c r="J171" s="1003"/>
      <c r="K171" s="1003">
        <f t="shared" si="2"/>
        <v>9</v>
      </c>
      <c r="L171" s="1004"/>
      <c r="M171" s="1003"/>
      <c r="N171" s="1003">
        <v>2</v>
      </c>
      <c r="O171" s="1005">
        <v>16</v>
      </c>
    </row>
    <row r="172" spans="1:15" x14ac:dyDescent="0.2">
      <c r="A172"/>
      <c r="B172" s="1002">
        <v>37</v>
      </c>
      <c r="C172" s="1003"/>
      <c r="D172" s="1003">
        <v>3</v>
      </c>
      <c r="E172" s="1003">
        <v>5</v>
      </c>
      <c r="F172" s="1003"/>
      <c r="G172" s="1003"/>
      <c r="H172" s="1003"/>
      <c r="I172" s="1003"/>
      <c r="J172" s="1003"/>
      <c r="K172" s="1003">
        <f t="shared" si="2"/>
        <v>8</v>
      </c>
      <c r="L172" s="1004"/>
      <c r="M172" s="1003"/>
      <c r="N172" s="1003"/>
      <c r="O172" s="1005">
        <v>16</v>
      </c>
    </row>
    <row r="173" spans="1:15" collapsed="1" x14ac:dyDescent="0.2">
      <c r="A173"/>
      <c r="B173" s="1002">
        <v>37</v>
      </c>
      <c r="C173" s="1003"/>
      <c r="D173" s="1003"/>
      <c r="E173" s="1003">
        <v>5</v>
      </c>
      <c r="F173" s="1003">
        <v>2</v>
      </c>
      <c r="G173" s="1003"/>
      <c r="H173" s="1003"/>
      <c r="I173" s="1003"/>
      <c r="J173" s="1003"/>
      <c r="K173" s="1003">
        <f t="shared" si="2"/>
        <v>7</v>
      </c>
      <c r="L173" s="1004"/>
      <c r="M173" s="1003"/>
      <c r="N173" s="1003">
        <v>6</v>
      </c>
      <c r="O173" s="1005">
        <v>8</v>
      </c>
    </row>
    <row r="174" spans="1:15" collapsed="1" x14ac:dyDescent="0.2">
      <c r="A174"/>
      <c r="B174" s="1002">
        <v>37</v>
      </c>
      <c r="C174" s="1003"/>
      <c r="D174" s="1003"/>
      <c r="E174" s="1003"/>
      <c r="F174" s="1003">
        <v>5</v>
      </c>
      <c r="G174" s="1003">
        <v>1</v>
      </c>
      <c r="H174" s="1003"/>
      <c r="I174" s="1003"/>
      <c r="J174" s="1003"/>
      <c r="K174" s="1003">
        <f t="shared" si="2"/>
        <v>6</v>
      </c>
      <c r="L174" s="1004"/>
      <c r="M174" s="1003"/>
      <c r="N174" s="1003">
        <v>4</v>
      </c>
      <c r="O174" s="1005">
        <v>8</v>
      </c>
    </row>
    <row r="175" spans="1:15" x14ac:dyDescent="0.2">
      <c r="A175"/>
      <c r="B175" s="1002">
        <v>37</v>
      </c>
      <c r="C175" s="1003"/>
      <c r="D175" s="1003"/>
      <c r="E175" s="1003"/>
      <c r="F175" s="1003"/>
      <c r="G175" s="1003">
        <v>3</v>
      </c>
      <c r="H175" s="1003">
        <v>2</v>
      </c>
      <c r="I175" s="1003"/>
      <c r="J175" s="1003"/>
      <c r="K175" s="1003">
        <f t="shared" si="2"/>
        <v>5</v>
      </c>
      <c r="L175" s="1004"/>
      <c r="M175" s="1003"/>
      <c r="N175" s="1003">
        <v>2</v>
      </c>
      <c r="O175" s="1005">
        <v>8</v>
      </c>
    </row>
    <row r="176" spans="1:15" x14ac:dyDescent="0.2">
      <c r="A176"/>
      <c r="B176" s="1002">
        <v>37</v>
      </c>
      <c r="C176" s="1003"/>
      <c r="D176" s="1003"/>
      <c r="E176" s="1003"/>
      <c r="F176" s="1003"/>
      <c r="G176" s="1003"/>
      <c r="H176" s="1003"/>
      <c r="I176" s="1003">
        <v>3</v>
      </c>
      <c r="J176" s="1003">
        <v>1</v>
      </c>
      <c r="K176" s="1003">
        <f t="shared" si="2"/>
        <v>4</v>
      </c>
      <c r="L176" s="1004"/>
      <c r="M176" s="1003"/>
      <c r="N176" s="1003"/>
      <c r="O176" s="1005">
        <v>8</v>
      </c>
    </row>
    <row r="177" spans="1:15" collapsed="1" x14ac:dyDescent="0.2">
      <c r="A177"/>
      <c r="B177" s="1002">
        <v>38</v>
      </c>
      <c r="C177" s="1003">
        <v>10</v>
      </c>
      <c r="D177" s="1003">
        <v>2</v>
      </c>
      <c r="E177" s="1003"/>
      <c r="F177" s="1003"/>
      <c r="G177" s="1003"/>
      <c r="H177" s="1003"/>
      <c r="I177" s="1003"/>
      <c r="J177" s="1003"/>
      <c r="K177" s="1003">
        <f t="shared" si="2"/>
        <v>12</v>
      </c>
      <c r="L177" s="1004"/>
      <c r="M177" s="1003"/>
      <c r="N177" s="1003">
        <v>8</v>
      </c>
      <c r="O177" s="1005">
        <v>16</v>
      </c>
    </row>
    <row r="178" spans="1:15" collapsed="1" x14ac:dyDescent="0.2">
      <c r="A178"/>
      <c r="B178" s="1002">
        <v>38</v>
      </c>
      <c r="C178" s="1003">
        <v>6</v>
      </c>
      <c r="D178" s="1003">
        <v>5</v>
      </c>
      <c r="E178" s="1003"/>
      <c r="F178" s="1003"/>
      <c r="G178" s="1003"/>
      <c r="H178" s="1003"/>
      <c r="I178" s="1003"/>
      <c r="J178" s="1003"/>
      <c r="K178" s="1003">
        <f t="shared" si="2"/>
        <v>11</v>
      </c>
      <c r="L178" s="1004"/>
      <c r="M178" s="1003"/>
      <c r="N178" s="1003">
        <v>6</v>
      </c>
      <c r="O178" s="1005">
        <v>16</v>
      </c>
    </row>
    <row r="179" spans="1:15" collapsed="1" x14ac:dyDescent="0.2">
      <c r="A179"/>
      <c r="B179" s="1002">
        <v>38</v>
      </c>
      <c r="C179" s="1003">
        <v>2</v>
      </c>
      <c r="D179" s="1003">
        <v>8</v>
      </c>
      <c r="E179" s="1003"/>
      <c r="F179" s="1003"/>
      <c r="G179" s="1003"/>
      <c r="H179" s="1003"/>
      <c r="I179" s="1003"/>
      <c r="J179" s="1003"/>
      <c r="K179" s="1003">
        <f t="shared" si="2"/>
        <v>10</v>
      </c>
      <c r="L179" s="1004"/>
      <c r="M179" s="1003"/>
      <c r="N179" s="1003">
        <v>4</v>
      </c>
      <c r="O179" s="1005">
        <v>16</v>
      </c>
    </row>
    <row r="180" spans="1:15" x14ac:dyDescent="0.2">
      <c r="A180"/>
      <c r="B180" s="1002">
        <v>38</v>
      </c>
      <c r="C180" s="1003"/>
      <c r="D180" s="1003">
        <v>7</v>
      </c>
      <c r="E180" s="1003">
        <v>2</v>
      </c>
      <c r="F180" s="1003"/>
      <c r="G180" s="1003"/>
      <c r="H180" s="1003"/>
      <c r="I180" s="1003"/>
      <c r="J180" s="1003"/>
      <c r="K180" s="1003">
        <f t="shared" si="2"/>
        <v>9</v>
      </c>
      <c r="L180" s="1004"/>
      <c r="M180" s="1003"/>
      <c r="N180" s="1003">
        <v>2</v>
      </c>
      <c r="O180" s="1005">
        <v>16</v>
      </c>
    </row>
    <row r="181" spans="1:15" x14ac:dyDescent="0.2">
      <c r="A181"/>
      <c r="B181" s="1002">
        <v>38</v>
      </c>
      <c r="C181" s="1003"/>
      <c r="D181" s="1003">
        <v>2</v>
      </c>
      <c r="E181" s="1003">
        <v>6</v>
      </c>
      <c r="F181" s="1003"/>
      <c r="G181" s="1003"/>
      <c r="H181" s="1003"/>
      <c r="I181" s="1003"/>
      <c r="J181" s="1003"/>
      <c r="K181" s="1003">
        <f t="shared" si="2"/>
        <v>8</v>
      </c>
      <c r="L181" s="1004"/>
      <c r="M181" s="1003"/>
      <c r="N181" s="1003"/>
      <c r="O181" s="1005">
        <v>16</v>
      </c>
    </row>
    <row r="182" spans="1:15" collapsed="1" x14ac:dyDescent="0.2">
      <c r="A182"/>
      <c r="B182" s="1002">
        <v>38</v>
      </c>
      <c r="C182" s="1003"/>
      <c r="D182" s="1003"/>
      <c r="E182" s="1003">
        <v>4</v>
      </c>
      <c r="F182" s="1003">
        <v>3</v>
      </c>
      <c r="G182" s="1003"/>
      <c r="H182" s="1003"/>
      <c r="I182" s="1003"/>
      <c r="J182" s="1003"/>
      <c r="K182" s="1003">
        <f t="shared" si="2"/>
        <v>7</v>
      </c>
      <c r="L182" s="1004"/>
      <c r="M182" s="1003"/>
      <c r="N182" s="1003">
        <v>6</v>
      </c>
      <c r="O182" s="1005">
        <v>8</v>
      </c>
    </row>
    <row r="183" spans="1:15" collapsed="1" x14ac:dyDescent="0.2">
      <c r="A183"/>
      <c r="B183" s="1002">
        <v>38</v>
      </c>
      <c r="C183" s="1003"/>
      <c r="D183" s="1003"/>
      <c r="E183" s="1003"/>
      <c r="F183" s="1003">
        <v>4</v>
      </c>
      <c r="G183" s="1003">
        <v>2</v>
      </c>
      <c r="H183" s="1003"/>
      <c r="I183" s="1003"/>
      <c r="J183" s="1003"/>
      <c r="K183" s="1003">
        <f t="shared" si="2"/>
        <v>6</v>
      </c>
      <c r="L183" s="1004"/>
      <c r="M183" s="1003"/>
      <c r="N183" s="1003">
        <v>4</v>
      </c>
      <c r="O183" s="1005">
        <v>8</v>
      </c>
    </row>
    <row r="184" spans="1:15" x14ac:dyDescent="0.2">
      <c r="A184"/>
      <c r="B184" s="1002">
        <v>38</v>
      </c>
      <c r="C184" s="1003"/>
      <c r="D184" s="1003"/>
      <c r="E184" s="1003"/>
      <c r="F184" s="1003"/>
      <c r="G184" s="1003">
        <v>2</v>
      </c>
      <c r="H184" s="1003">
        <v>3</v>
      </c>
      <c r="I184" s="1003"/>
      <c r="J184" s="1003"/>
      <c r="K184" s="1003">
        <f t="shared" si="2"/>
        <v>5</v>
      </c>
      <c r="L184" s="1004"/>
      <c r="M184" s="1003"/>
      <c r="N184" s="1003">
        <v>2</v>
      </c>
      <c r="O184" s="1005">
        <v>8</v>
      </c>
    </row>
    <row r="185" spans="1:15" x14ac:dyDescent="0.2">
      <c r="A185"/>
      <c r="B185" s="1002">
        <v>38</v>
      </c>
      <c r="C185" s="1003"/>
      <c r="D185" s="1003"/>
      <c r="E185" s="1003"/>
      <c r="F185" s="1003"/>
      <c r="G185" s="1003"/>
      <c r="H185" s="1003"/>
      <c r="I185" s="1003">
        <v>2</v>
      </c>
      <c r="J185" s="1003">
        <v>2</v>
      </c>
      <c r="K185" s="1003">
        <f t="shared" si="2"/>
        <v>4</v>
      </c>
      <c r="L185" s="1004"/>
      <c r="M185" s="1003"/>
      <c r="N185" s="1003"/>
      <c r="O185" s="1005">
        <v>8</v>
      </c>
    </row>
    <row r="186" spans="1:15" collapsed="1" x14ac:dyDescent="0.2">
      <c r="A186"/>
      <c r="B186" s="1002">
        <v>39</v>
      </c>
      <c r="C186" s="1003">
        <v>13</v>
      </c>
      <c r="D186" s="1003">
        <v>0</v>
      </c>
      <c r="E186" s="1003"/>
      <c r="F186" s="1003"/>
      <c r="G186" s="1003"/>
      <c r="H186" s="1003"/>
      <c r="I186" s="1003"/>
      <c r="J186" s="1003"/>
      <c r="K186" s="1003">
        <f t="shared" si="2"/>
        <v>13</v>
      </c>
      <c r="L186" s="1004"/>
      <c r="M186" s="1003"/>
      <c r="N186" s="1003">
        <v>10</v>
      </c>
      <c r="O186" s="1005">
        <v>16</v>
      </c>
    </row>
    <row r="187" spans="1:15" collapsed="1" x14ac:dyDescent="0.2">
      <c r="A187"/>
      <c r="B187" s="1002">
        <v>39</v>
      </c>
      <c r="C187" s="1003">
        <v>9</v>
      </c>
      <c r="D187" s="1003">
        <v>3</v>
      </c>
      <c r="E187" s="1003"/>
      <c r="F187" s="1003"/>
      <c r="G187" s="1003"/>
      <c r="H187" s="1003"/>
      <c r="I187" s="1003"/>
      <c r="J187" s="1003"/>
      <c r="K187" s="1003">
        <f t="shared" si="2"/>
        <v>12</v>
      </c>
      <c r="L187" s="1004"/>
      <c r="M187" s="1003"/>
      <c r="N187" s="1003">
        <v>8</v>
      </c>
      <c r="O187" s="1005">
        <v>16</v>
      </c>
    </row>
    <row r="188" spans="1:15" collapsed="1" x14ac:dyDescent="0.2">
      <c r="A188"/>
      <c r="B188" s="1002">
        <v>39</v>
      </c>
      <c r="C188" s="1003">
        <v>5</v>
      </c>
      <c r="D188" s="1003">
        <v>6</v>
      </c>
      <c r="E188" s="1003"/>
      <c r="F188" s="1003"/>
      <c r="G188" s="1003"/>
      <c r="H188" s="1003"/>
      <c r="I188" s="1003"/>
      <c r="J188" s="1003"/>
      <c r="K188" s="1003">
        <f t="shared" si="2"/>
        <v>11</v>
      </c>
      <c r="L188" s="1004"/>
      <c r="M188" s="1003"/>
      <c r="N188" s="1003">
        <v>6</v>
      </c>
      <c r="O188" s="1005">
        <v>16</v>
      </c>
    </row>
    <row r="189" spans="1:15" x14ac:dyDescent="0.2">
      <c r="A189"/>
      <c r="B189" s="1002">
        <v>39</v>
      </c>
      <c r="C189" s="1003">
        <v>1</v>
      </c>
      <c r="D189" s="1003">
        <v>9</v>
      </c>
      <c r="E189" s="1003"/>
      <c r="F189" s="1003"/>
      <c r="G189" s="1003"/>
      <c r="H189" s="1003"/>
      <c r="I189" s="1003"/>
      <c r="J189" s="1003"/>
      <c r="K189" s="1003">
        <f t="shared" si="2"/>
        <v>10</v>
      </c>
      <c r="L189" s="1004"/>
      <c r="M189" s="1003"/>
      <c r="N189" s="1003">
        <v>4</v>
      </c>
      <c r="O189" s="1005">
        <v>16</v>
      </c>
    </row>
    <row r="190" spans="1:15" x14ac:dyDescent="0.2">
      <c r="A190"/>
      <c r="B190" s="1002">
        <v>39</v>
      </c>
      <c r="C190" s="1003"/>
      <c r="D190" s="1003">
        <v>6</v>
      </c>
      <c r="E190" s="1003">
        <v>3</v>
      </c>
      <c r="F190" s="1003"/>
      <c r="G190" s="1003"/>
      <c r="H190" s="1003"/>
      <c r="I190" s="1003"/>
      <c r="J190" s="1003"/>
      <c r="K190" s="1003">
        <f t="shared" si="2"/>
        <v>9</v>
      </c>
      <c r="L190" s="1004"/>
      <c r="M190" s="1003"/>
      <c r="N190" s="1003">
        <v>2</v>
      </c>
      <c r="O190" s="1005">
        <v>16</v>
      </c>
    </row>
    <row r="191" spans="1:15" collapsed="1" x14ac:dyDescent="0.2">
      <c r="A191"/>
      <c r="B191" s="1002">
        <v>39</v>
      </c>
      <c r="C191" s="1003"/>
      <c r="D191" s="1003">
        <v>1</v>
      </c>
      <c r="E191" s="1003">
        <v>7</v>
      </c>
      <c r="F191" s="1003"/>
      <c r="G191" s="1003"/>
      <c r="H191" s="1003"/>
      <c r="I191" s="1003"/>
      <c r="J191" s="1003"/>
      <c r="K191" s="1003">
        <f t="shared" si="2"/>
        <v>8</v>
      </c>
      <c r="L191" s="1004"/>
      <c r="M191" s="1003"/>
      <c r="N191" s="1003"/>
      <c r="O191" s="1005">
        <v>16</v>
      </c>
    </row>
    <row r="192" spans="1:15" collapsed="1" x14ac:dyDescent="0.2">
      <c r="A192"/>
      <c r="B192" s="1002">
        <v>39</v>
      </c>
      <c r="C192" s="1003"/>
      <c r="D192" s="1003"/>
      <c r="E192" s="1003">
        <v>3</v>
      </c>
      <c r="F192" s="1003">
        <v>4</v>
      </c>
      <c r="G192" s="1003"/>
      <c r="H192" s="1003"/>
      <c r="I192" s="1003"/>
      <c r="J192" s="1003"/>
      <c r="K192" s="1003">
        <f t="shared" si="2"/>
        <v>7</v>
      </c>
      <c r="L192" s="1004"/>
      <c r="M192" s="1003"/>
      <c r="N192" s="1003">
        <v>6</v>
      </c>
      <c r="O192" s="1005">
        <v>8</v>
      </c>
    </row>
    <row r="193" spans="1:15" x14ac:dyDescent="0.2">
      <c r="A193"/>
      <c r="B193" s="1002">
        <v>39</v>
      </c>
      <c r="C193" s="1003"/>
      <c r="D193" s="1003"/>
      <c r="E193" s="1003"/>
      <c r="F193" s="1003">
        <v>3</v>
      </c>
      <c r="G193" s="1003">
        <v>3</v>
      </c>
      <c r="H193" s="1003"/>
      <c r="I193" s="1003"/>
      <c r="J193" s="1003"/>
      <c r="K193" s="1003">
        <f t="shared" si="2"/>
        <v>6</v>
      </c>
      <c r="L193" s="1004"/>
      <c r="M193" s="1003"/>
      <c r="N193" s="1003">
        <v>4</v>
      </c>
      <c r="O193" s="1005">
        <v>8</v>
      </c>
    </row>
    <row r="194" spans="1:15" x14ac:dyDescent="0.2">
      <c r="A194"/>
      <c r="B194" s="1002">
        <v>39</v>
      </c>
      <c r="C194" s="1003"/>
      <c r="D194" s="1003"/>
      <c r="E194" s="1003"/>
      <c r="F194" s="1003"/>
      <c r="G194" s="1003">
        <v>1</v>
      </c>
      <c r="H194" s="1003">
        <v>4</v>
      </c>
      <c r="I194" s="1003"/>
      <c r="J194" s="1003"/>
      <c r="K194" s="1003">
        <f t="shared" si="2"/>
        <v>5</v>
      </c>
      <c r="L194" s="1004"/>
      <c r="M194" s="1003"/>
      <c r="N194" s="1003">
        <v>2</v>
      </c>
      <c r="O194" s="1005">
        <v>8</v>
      </c>
    </row>
    <row r="195" spans="1:15" x14ac:dyDescent="0.2">
      <c r="A195"/>
      <c r="B195" s="1002">
        <v>39</v>
      </c>
      <c r="C195" s="1003"/>
      <c r="D195" s="1003"/>
      <c r="E195" s="1003"/>
      <c r="F195" s="1003"/>
      <c r="G195" s="1003"/>
      <c r="H195" s="1003"/>
      <c r="I195" s="1003">
        <v>1</v>
      </c>
      <c r="J195" s="1003">
        <v>3</v>
      </c>
      <c r="K195" s="1003">
        <f t="shared" si="2"/>
        <v>4</v>
      </c>
      <c r="L195" s="1004"/>
      <c r="M195" s="1003"/>
      <c r="N195" s="1003"/>
      <c r="O195" s="1005">
        <v>8</v>
      </c>
    </row>
    <row r="196" spans="1:15" collapsed="1" x14ac:dyDescent="0.2">
      <c r="A196"/>
      <c r="B196" s="1002">
        <v>40</v>
      </c>
      <c r="C196" s="1003">
        <v>12</v>
      </c>
      <c r="D196" s="1003">
        <v>1</v>
      </c>
      <c r="E196" s="1003"/>
      <c r="F196" s="1003"/>
      <c r="G196" s="1003"/>
      <c r="H196" s="1003"/>
      <c r="I196" s="1003"/>
      <c r="J196" s="1003"/>
      <c r="K196" s="1003">
        <f t="shared" si="2"/>
        <v>13</v>
      </c>
      <c r="L196" s="1004"/>
      <c r="M196" s="1003"/>
      <c r="N196" s="1003">
        <v>10</v>
      </c>
      <c r="O196" s="1005">
        <v>16</v>
      </c>
    </row>
    <row r="197" spans="1:15" collapsed="1" x14ac:dyDescent="0.2">
      <c r="A197"/>
      <c r="B197" s="1002">
        <v>40</v>
      </c>
      <c r="C197" s="1003">
        <v>8</v>
      </c>
      <c r="D197" s="1003">
        <v>4</v>
      </c>
      <c r="E197" s="1003"/>
      <c r="F197" s="1003"/>
      <c r="G197" s="1003"/>
      <c r="H197" s="1003"/>
      <c r="I197" s="1003"/>
      <c r="J197" s="1003"/>
      <c r="K197" s="1003">
        <f t="shared" si="2"/>
        <v>12</v>
      </c>
      <c r="L197" s="1004"/>
      <c r="M197" s="1003"/>
      <c r="N197" s="1003">
        <v>8</v>
      </c>
      <c r="O197" s="1005">
        <v>16</v>
      </c>
    </row>
    <row r="198" spans="1:15" collapsed="1" x14ac:dyDescent="0.2">
      <c r="A198"/>
      <c r="B198" s="1002">
        <v>40</v>
      </c>
      <c r="C198" s="1003">
        <v>4</v>
      </c>
      <c r="D198" s="1003">
        <v>7</v>
      </c>
      <c r="E198" s="1003"/>
      <c r="F198" s="1003"/>
      <c r="G198" s="1003"/>
      <c r="H198" s="1003"/>
      <c r="I198" s="1003"/>
      <c r="J198" s="1003"/>
      <c r="K198" s="1003">
        <f t="shared" ref="K198:K261" si="3">SUM(C198:J198)</f>
        <v>11</v>
      </c>
      <c r="L198" s="1004"/>
      <c r="M198" s="1003"/>
      <c r="N198" s="1003">
        <v>6</v>
      </c>
      <c r="O198" s="1005">
        <v>16</v>
      </c>
    </row>
    <row r="199" spans="1:15" x14ac:dyDescent="0.2">
      <c r="A199"/>
      <c r="B199" s="1002">
        <v>40</v>
      </c>
      <c r="C199" s="1003"/>
      <c r="D199" s="1003">
        <v>10</v>
      </c>
      <c r="E199" s="1003"/>
      <c r="F199" s="1003"/>
      <c r="G199" s="1003"/>
      <c r="H199" s="1003"/>
      <c r="I199" s="1003"/>
      <c r="J199" s="1003"/>
      <c r="K199" s="1003">
        <f t="shared" si="3"/>
        <v>10</v>
      </c>
      <c r="L199" s="1004"/>
      <c r="M199" s="1003"/>
      <c r="N199" s="1003">
        <v>4</v>
      </c>
      <c r="O199" s="1005">
        <v>16</v>
      </c>
    </row>
    <row r="200" spans="1:15" x14ac:dyDescent="0.2">
      <c r="A200"/>
      <c r="B200" s="1002">
        <v>40</v>
      </c>
      <c r="C200" s="1003"/>
      <c r="D200" s="1003">
        <v>5</v>
      </c>
      <c r="E200" s="1003">
        <v>4</v>
      </c>
      <c r="F200" s="1003"/>
      <c r="G200" s="1003"/>
      <c r="H200" s="1003"/>
      <c r="I200" s="1003"/>
      <c r="J200" s="1003"/>
      <c r="K200" s="1003">
        <f t="shared" si="3"/>
        <v>9</v>
      </c>
      <c r="L200" s="1004"/>
      <c r="M200" s="1003"/>
      <c r="N200" s="1003">
        <v>2</v>
      </c>
      <c r="O200" s="1005">
        <v>16</v>
      </c>
    </row>
    <row r="201" spans="1:15" collapsed="1" x14ac:dyDescent="0.2">
      <c r="A201"/>
      <c r="B201" s="1002">
        <v>40</v>
      </c>
      <c r="C201" s="1003"/>
      <c r="D201" s="1003"/>
      <c r="E201" s="1003">
        <v>8</v>
      </c>
      <c r="F201" s="1003"/>
      <c r="G201" s="1003"/>
      <c r="H201" s="1003"/>
      <c r="I201" s="1003"/>
      <c r="J201" s="1003"/>
      <c r="K201" s="1003">
        <f t="shared" si="3"/>
        <v>8</v>
      </c>
      <c r="L201" s="1004"/>
      <c r="M201" s="1003"/>
      <c r="N201" s="1003"/>
      <c r="O201" s="1005">
        <v>16</v>
      </c>
    </row>
    <row r="202" spans="1:15" collapsed="1" x14ac:dyDescent="0.2">
      <c r="A202"/>
      <c r="B202" s="1002">
        <v>40</v>
      </c>
      <c r="C202" s="1003"/>
      <c r="D202" s="1003"/>
      <c r="E202" s="1003">
        <v>2</v>
      </c>
      <c r="F202" s="1003">
        <v>5</v>
      </c>
      <c r="G202" s="1003"/>
      <c r="H202" s="1003"/>
      <c r="I202" s="1003"/>
      <c r="J202" s="1003"/>
      <c r="K202" s="1003">
        <f t="shared" si="3"/>
        <v>7</v>
      </c>
      <c r="L202" s="1004"/>
      <c r="M202" s="1003"/>
      <c r="N202" s="1003">
        <v>6</v>
      </c>
      <c r="O202" s="1005">
        <v>8</v>
      </c>
    </row>
    <row r="203" spans="1:15" x14ac:dyDescent="0.2">
      <c r="A203"/>
      <c r="B203" s="1002">
        <v>40</v>
      </c>
      <c r="C203" s="1003"/>
      <c r="D203" s="1003"/>
      <c r="E203" s="1003"/>
      <c r="F203" s="1003">
        <v>2</v>
      </c>
      <c r="G203" s="1003">
        <v>4</v>
      </c>
      <c r="H203" s="1003"/>
      <c r="I203" s="1003"/>
      <c r="J203" s="1003"/>
      <c r="K203" s="1003">
        <f t="shared" si="3"/>
        <v>6</v>
      </c>
      <c r="L203" s="1004"/>
      <c r="M203" s="1003"/>
      <c r="N203" s="1003">
        <v>4</v>
      </c>
      <c r="O203" s="1005">
        <v>8</v>
      </c>
    </row>
    <row r="204" spans="1:15" x14ac:dyDescent="0.2">
      <c r="A204"/>
      <c r="B204" s="1002">
        <v>40</v>
      </c>
      <c r="C204" s="1003"/>
      <c r="D204" s="1003"/>
      <c r="E204" s="1003"/>
      <c r="F204" s="1003"/>
      <c r="G204" s="1003"/>
      <c r="H204" s="1003">
        <v>5</v>
      </c>
      <c r="I204" s="1003"/>
      <c r="J204" s="1003"/>
      <c r="K204" s="1003">
        <f t="shared" si="3"/>
        <v>5</v>
      </c>
      <c r="L204" s="1004"/>
      <c r="M204" s="1003"/>
      <c r="N204" s="1003">
        <v>2</v>
      </c>
      <c r="O204" s="1005">
        <v>8</v>
      </c>
    </row>
    <row r="205" spans="1:15" x14ac:dyDescent="0.2">
      <c r="A205"/>
      <c r="B205" s="1002">
        <v>40</v>
      </c>
      <c r="C205" s="1003"/>
      <c r="D205" s="1003"/>
      <c r="E205" s="1003"/>
      <c r="F205" s="1003"/>
      <c r="G205" s="1003"/>
      <c r="H205" s="1003"/>
      <c r="I205" s="1003"/>
      <c r="J205" s="1003">
        <v>4</v>
      </c>
      <c r="K205" s="1003">
        <f t="shared" si="3"/>
        <v>4</v>
      </c>
      <c r="L205" s="1004"/>
      <c r="M205" s="1003"/>
      <c r="N205" s="1003"/>
      <c r="O205" s="1005">
        <v>8</v>
      </c>
    </row>
    <row r="206" spans="1:15" collapsed="1" x14ac:dyDescent="0.2">
      <c r="A206"/>
      <c r="B206" s="1002">
        <v>41</v>
      </c>
      <c r="C206" s="1003">
        <v>11</v>
      </c>
      <c r="D206" s="1003">
        <v>2</v>
      </c>
      <c r="E206" s="1003"/>
      <c r="F206" s="1003"/>
      <c r="G206" s="1003"/>
      <c r="H206" s="1003"/>
      <c r="I206" s="1003"/>
      <c r="J206" s="1003"/>
      <c r="K206" s="1003">
        <f t="shared" si="3"/>
        <v>13</v>
      </c>
      <c r="L206" s="1004"/>
      <c r="M206" s="1003"/>
      <c r="N206" s="1003">
        <v>10</v>
      </c>
      <c r="O206" s="1005">
        <v>16</v>
      </c>
    </row>
    <row r="207" spans="1:15" collapsed="1" x14ac:dyDescent="0.2">
      <c r="A207"/>
      <c r="B207" s="1002">
        <v>41</v>
      </c>
      <c r="C207" s="1003">
        <v>7</v>
      </c>
      <c r="D207" s="1003">
        <v>5</v>
      </c>
      <c r="E207" s="1003"/>
      <c r="F207" s="1003"/>
      <c r="G207" s="1003"/>
      <c r="H207" s="1003"/>
      <c r="I207" s="1003"/>
      <c r="J207" s="1003"/>
      <c r="K207" s="1003">
        <f t="shared" si="3"/>
        <v>12</v>
      </c>
      <c r="L207" s="1004"/>
      <c r="M207" s="1003"/>
      <c r="N207" s="1003">
        <v>8</v>
      </c>
      <c r="O207" s="1005">
        <v>16</v>
      </c>
    </row>
    <row r="208" spans="1:15" x14ac:dyDescent="0.2">
      <c r="A208"/>
      <c r="B208" s="1002">
        <v>41</v>
      </c>
      <c r="C208" s="1003">
        <v>3</v>
      </c>
      <c r="D208" s="1003">
        <v>8</v>
      </c>
      <c r="E208" s="1003"/>
      <c r="F208" s="1003"/>
      <c r="G208" s="1003"/>
      <c r="H208" s="1003"/>
      <c r="I208" s="1003"/>
      <c r="J208" s="1003"/>
      <c r="K208" s="1003">
        <f t="shared" si="3"/>
        <v>11</v>
      </c>
      <c r="L208" s="1004"/>
      <c r="M208" s="1003"/>
      <c r="N208" s="1003">
        <v>6</v>
      </c>
      <c r="O208" s="1005">
        <v>16</v>
      </c>
    </row>
    <row r="209" spans="1:15" x14ac:dyDescent="0.2">
      <c r="A209"/>
      <c r="B209" s="1002">
        <v>41</v>
      </c>
      <c r="C209" s="1003"/>
      <c r="D209" s="1003">
        <v>9</v>
      </c>
      <c r="E209" s="1003">
        <v>1</v>
      </c>
      <c r="F209" s="1003"/>
      <c r="G209" s="1003"/>
      <c r="H209" s="1003"/>
      <c r="I209" s="1003"/>
      <c r="J209" s="1003"/>
      <c r="K209" s="1003">
        <f t="shared" si="3"/>
        <v>10</v>
      </c>
      <c r="L209" s="1004"/>
      <c r="M209" s="1003"/>
      <c r="N209" s="1003">
        <v>4</v>
      </c>
      <c r="O209" s="1005">
        <v>16</v>
      </c>
    </row>
    <row r="210" spans="1:15" collapsed="1" x14ac:dyDescent="0.2">
      <c r="A210"/>
      <c r="B210" s="1002">
        <v>41</v>
      </c>
      <c r="C210" s="1003"/>
      <c r="D210" s="1003">
        <v>4</v>
      </c>
      <c r="E210" s="1003">
        <v>5</v>
      </c>
      <c r="F210" s="1003"/>
      <c r="G210" s="1003"/>
      <c r="H210" s="1003"/>
      <c r="I210" s="1003"/>
      <c r="J210" s="1003"/>
      <c r="K210" s="1003">
        <f t="shared" si="3"/>
        <v>9</v>
      </c>
      <c r="L210" s="1004"/>
      <c r="M210" s="1003"/>
      <c r="N210" s="1003">
        <v>2</v>
      </c>
      <c r="O210" s="1005">
        <v>16</v>
      </c>
    </row>
    <row r="211" spans="1:15" collapsed="1" x14ac:dyDescent="0.2">
      <c r="A211"/>
      <c r="B211" s="1002">
        <v>41</v>
      </c>
      <c r="C211" s="1003"/>
      <c r="D211" s="1003"/>
      <c r="E211" s="1003">
        <v>7</v>
      </c>
      <c r="F211" s="1003">
        <v>1</v>
      </c>
      <c r="G211" s="1003"/>
      <c r="H211" s="1003"/>
      <c r="I211" s="1003"/>
      <c r="J211" s="1003"/>
      <c r="K211" s="1003">
        <f t="shared" si="3"/>
        <v>8</v>
      </c>
      <c r="L211" s="1004"/>
      <c r="M211" s="1003"/>
      <c r="N211" s="1003"/>
      <c r="O211" s="1005">
        <v>16</v>
      </c>
    </row>
    <row r="212" spans="1:15" x14ac:dyDescent="0.2">
      <c r="A212"/>
      <c r="B212" s="1002">
        <v>41</v>
      </c>
      <c r="C212" s="1003"/>
      <c r="D212" s="1003"/>
      <c r="E212" s="1003">
        <v>1</v>
      </c>
      <c r="F212" s="1003">
        <v>6</v>
      </c>
      <c r="G212" s="1003"/>
      <c r="H212" s="1003"/>
      <c r="I212" s="1003"/>
      <c r="J212" s="1003"/>
      <c r="K212" s="1003">
        <f t="shared" si="3"/>
        <v>7</v>
      </c>
      <c r="L212" s="1004"/>
      <c r="M212" s="1003"/>
      <c r="N212" s="1003">
        <v>6</v>
      </c>
      <c r="O212" s="1005">
        <v>8</v>
      </c>
    </row>
    <row r="213" spans="1:15" x14ac:dyDescent="0.2">
      <c r="A213"/>
      <c r="B213" s="1002">
        <v>41</v>
      </c>
      <c r="C213" s="1003"/>
      <c r="D213" s="1003"/>
      <c r="E213" s="1003"/>
      <c r="F213" s="1003">
        <v>1</v>
      </c>
      <c r="G213" s="1003">
        <v>5</v>
      </c>
      <c r="H213" s="1003"/>
      <c r="I213" s="1003"/>
      <c r="J213" s="1003"/>
      <c r="K213" s="1003">
        <f t="shared" si="3"/>
        <v>6</v>
      </c>
      <c r="L213" s="1004"/>
      <c r="M213" s="1003"/>
      <c r="N213" s="1003">
        <v>4</v>
      </c>
      <c r="O213" s="1005">
        <v>8</v>
      </c>
    </row>
    <row r="214" spans="1:15" x14ac:dyDescent="0.2">
      <c r="A214"/>
      <c r="B214" s="1002">
        <v>41</v>
      </c>
      <c r="C214" s="1003"/>
      <c r="D214" s="1003"/>
      <c r="E214" s="1003"/>
      <c r="F214" s="1003"/>
      <c r="G214" s="1003"/>
      <c r="H214" s="1003">
        <v>4</v>
      </c>
      <c r="I214" s="1003">
        <v>1</v>
      </c>
      <c r="J214" s="1003"/>
      <c r="K214" s="1003">
        <f t="shared" si="3"/>
        <v>5</v>
      </c>
      <c r="L214" s="1004"/>
      <c r="M214" s="1003"/>
      <c r="N214" s="1003">
        <v>2</v>
      </c>
      <c r="O214" s="1005">
        <v>8</v>
      </c>
    </row>
    <row r="215" spans="1:15" collapsed="1" x14ac:dyDescent="0.2">
      <c r="A215"/>
      <c r="B215" s="1002">
        <v>42</v>
      </c>
      <c r="C215" s="1003">
        <v>14</v>
      </c>
      <c r="D215" s="1003"/>
      <c r="E215" s="1003"/>
      <c r="F215" s="1003"/>
      <c r="G215" s="1003"/>
      <c r="H215" s="1003"/>
      <c r="I215" s="1003"/>
      <c r="J215" s="1003"/>
      <c r="K215" s="1003">
        <f t="shared" si="3"/>
        <v>14</v>
      </c>
      <c r="L215" s="1004"/>
      <c r="M215" s="1003"/>
      <c r="N215" s="1003">
        <v>12</v>
      </c>
      <c r="O215" s="1005">
        <v>16</v>
      </c>
    </row>
    <row r="216" spans="1:15" collapsed="1" x14ac:dyDescent="0.2">
      <c r="A216"/>
      <c r="B216" s="1002">
        <v>42</v>
      </c>
      <c r="C216" s="1003">
        <v>10</v>
      </c>
      <c r="D216" s="1003">
        <v>3</v>
      </c>
      <c r="E216" s="1003"/>
      <c r="F216" s="1003"/>
      <c r="G216" s="1003"/>
      <c r="H216" s="1003"/>
      <c r="I216" s="1003"/>
      <c r="J216" s="1003"/>
      <c r="K216" s="1003">
        <f t="shared" si="3"/>
        <v>13</v>
      </c>
      <c r="L216" s="1004"/>
      <c r="M216" s="1003"/>
      <c r="N216" s="1003">
        <v>10</v>
      </c>
      <c r="O216" s="1005">
        <v>16</v>
      </c>
    </row>
    <row r="217" spans="1:15" x14ac:dyDescent="0.2">
      <c r="A217"/>
      <c r="B217" s="1002">
        <v>42</v>
      </c>
      <c r="C217" s="1003">
        <v>6</v>
      </c>
      <c r="D217" s="1003">
        <v>6</v>
      </c>
      <c r="E217" s="1003"/>
      <c r="F217" s="1003"/>
      <c r="G217" s="1003"/>
      <c r="H217" s="1003"/>
      <c r="I217" s="1003"/>
      <c r="J217" s="1003"/>
      <c r="K217" s="1003">
        <f t="shared" si="3"/>
        <v>12</v>
      </c>
      <c r="L217" s="1004"/>
      <c r="M217" s="1003"/>
      <c r="N217" s="1003">
        <v>8</v>
      </c>
      <c r="O217" s="1005">
        <v>16</v>
      </c>
    </row>
    <row r="218" spans="1:15" x14ac:dyDescent="0.2">
      <c r="A218"/>
      <c r="B218" s="1002">
        <v>42</v>
      </c>
      <c r="C218" s="1003">
        <v>2</v>
      </c>
      <c r="D218" s="1003">
        <v>9</v>
      </c>
      <c r="E218" s="1003"/>
      <c r="F218" s="1003"/>
      <c r="G218" s="1003"/>
      <c r="H218" s="1003"/>
      <c r="I218" s="1003"/>
      <c r="J218" s="1003"/>
      <c r="K218" s="1003">
        <f t="shared" si="3"/>
        <v>11</v>
      </c>
      <c r="L218" s="1004"/>
      <c r="M218" s="1003"/>
      <c r="N218" s="1003">
        <v>6</v>
      </c>
      <c r="O218" s="1005">
        <v>16</v>
      </c>
    </row>
    <row r="219" spans="1:15" collapsed="1" x14ac:dyDescent="0.2">
      <c r="A219"/>
      <c r="B219" s="1002">
        <v>42</v>
      </c>
      <c r="C219" s="1003"/>
      <c r="D219" s="1003">
        <v>8</v>
      </c>
      <c r="E219" s="1003">
        <v>2</v>
      </c>
      <c r="F219" s="1003"/>
      <c r="G219" s="1003"/>
      <c r="H219" s="1003"/>
      <c r="I219" s="1003"/>
      <c r="J219" s="1003"/>
      <c r="K219" s="1003">
        <f t="shared" si="3"/>
        <v>10</v>
      </c>
      <c r="L219" s="1004"/>
      <c r="M219" s="1003"/>
      <c r="N219" s="1003">
        <v>4</v>
      </c>
      <c r="O219" s="1005">
        <v>16</v>
      </c>
    </row>
    <row r="220" spans="1:15" collapsed="1" x14ac:dyDescent="0.2">
      <c r="A220"/>
      <c r="B220" s="1002">
        <v>42</v>
      </c>
      <c r="C220" s="1003"/>
      <c r="D220" s="1003">
        <v>3</v>
      </c>
      <c r="E220" s="1003">
        <v>6</v>
      </c>
      <c r="F220" s="1003"/>
      <c r="G220" s="1003"/>
      <c r="H220" s="1003"/>
      <c r="I220" s="1003"/>
      <c r="J220" s="1003"/>
      <c r="K220" s="1003">
        <f t="shared" si="3"/>
        <v>9</v>
      </c>
      <c r="L220" s="1004"/>
      <c r="M220" s="1003"/>
      <c r="N220" s="1003">
        <v>2</v>
      </c>
      <c r="O220" s="1005">
        <v>16</v>
      </c>
    </row>
    <row r="221" spans="1:15" x14ac:dyDescent="0.2">
      <c r="A221"/>
      <c r="B221" s="1002">
        <v>42</v>
      </c>
      <c r="C221" s="1003"/>
      <c r="D221" s="1003"/>
      <c r="E221" s="1003">
        <v>6</v>
      </c>
      <c r="F221" s="1003">
        <v>2</v>
      </c>
      <c r="G221" s="1003"/>
      <c r="H221" s="1003"/>
      <c r="I221" s="1003"/>
      <c r="J221" s="1003"/>
      <c r="K221" s="1003">
        <f t="shared" si="3"/>
        <v>8</v>
      </c>
      <c r="L221" s="1004"/>
      <c r="M221" s="1003"/>
      <c r="N221" s="1003"/>
      <c r="O221" s="1005">
        <v>16</v>
      </c>
    </row>
    <row r="222" spans="1:15" x14ac:dyDescent="0.2">
      <c r="A222"/>
      <c r="B222" s="1002">
        <v>42</v>
      </c>
      <c r="C222" s="1003"/>
      <c r="D222" s="1003"/>
      <c r="E222" s="1003"/>
      <c r="F222" s="1003">
        <v>7</v>
      </c>
      <c r="G222" s="1003"/>
      <c r="H222" s="1003"/>
      <c r="I222" s="1003"/>
      <c r="J222" s="1003"/>
      <c r="K222" s="1003">
        <f t="shared" si="3"/>
        <v>7</v>
      </c>
      <c r="L222" s="1004"/>
      <c r="M222" s="1003"/>
      <c r="N222" s="1003">
        <v>6</v>
      </c>
      <c r="O222" s="1005">
        <v>8</v>
      </c>
    </row>
    <row r="223" spans="1:15" x14ac:dyDescent="0.2">
      <c r="A223"/>
      <c r="B223" s="1002">
        <v>42</v>
      </c>
      <c r="C223" s="1003"/>
      <c r="D223" s="1003"/>
      <c r="E223" s="1003"/>
      <c r="F223" s="1003"/>
      <c r="G223" s="1003">
        <v>6</v>
      </c>
      <c r="H223" s="1003"/>
      <c r="I223" s="1003"/>
      <c r="J223" s="1003"/>
      <c r="K223" s="1003">
        <f t="shared" si="3"/>
        <v>6</v>
      </c>
      <c r="L223" s="1004"/>
      <c r="M223" s="1003"/>
      <c r="N223" s="1003">
        <v>4</v>
      </c>
      <c r="O223" s="1005">
        <v>8</v>
      </c>
    </row>
    <row r="224" spans="1:15" x14ac:dyDescent="0.2">
      <c r="A224"/>
      <c r="B224" s="1002">
        <v>42</v>
      </c>
      <c r="C224" s="1003"/>
      <c r="D224" s="1003"/>
      <c r="E224" s="1003"/>
      <c r="F224" s="1003"/>
      <c r="G224" s="1003"/>
      <c r="H224" s="1003">
        <v>3</v>
      </c>
      <c r="I224" s="1003">
        <v>2</v>
      </c>
      <c r="J224" s="1003"/>
      <c r="K224" s="1003">
        <f t="shared" si="3"/>
        <v>5</v>
      </c>
      <c r="L224" s="1004"/>
      <c r="M224" s="1003"/>
      <c r="N224" s="1003">
        <v>2</v>
      </c>
      <c r="O224" s="1005">
        <v>8</v>
      </c>
    </row>
    <row r="225" spans="1:15" x14ac:dyDescent="0.2">
      <c r="A225"/>
      <c r="B225" s="1002">
        <v>43</v>
      </c>
      <c r="C225" s="1003">
        <v>13</v>
      </c>
      <c r="D225" s="1003">
        <v>1</v>
      </c>
      <c r="E225" s="1003"/>
      <c r="F225" s="1003"/>
      <c r="G225" s="1003"/>
      <c r="H225" s="1003"/>
      <c r="I225" s="1003"/>
      <c r="J225" s="1003"/>
      <c r="K225" s="1003">
        <f t="shared" si="3"/>
        <v>14</v>
      </c>
      <c r="L225" s="1004"/>
      <c r="M225" s="1003"/>
      <c r="N225" s="1003">
        <v>12</v>
      </c>
      <c r="O225" s="1005">
        <v>16</v>
      </c>
    </row>
    <row r="226" spans="1:15" collapsed="1" x14ac:dyDescent="0.2">
      <c r="A226"/>
      <c r="B226" s="1002">
        <v>43</v>
      </c>
      <c r="C226" s="1003">
        <v>9</v>
      </c>
      <c r="D226" s="1003">
        <v>4</v>
      </c>
      <c r="E226" s="1003"/>
      <c r="F226" s="1003"/>
      <c r="G226" s="1003"/>
      <c r="H226" s="1003"/>
      <c r="I226" s="1003"/>
      <c r="J226" s="1003"/>
      <c r="K226" s="1003">
        <f t="shared" si="3"/>
        <v>13</v>
      </c>
      <c r="L226" s="1004"/>
      <c r="M226" s="1003"/>
      <c r="N226" s="1003">
        <v>10</v>
      </c>
      <c r="O226" s="1005">
        <v>16</v>
      </c>
    </row>
    <row r="227" spans="1:15" collapsed="1" x14ac:dyDescent="0.2">
      <c r="A227"/>
      <c r="B227" s="1002">
        <v>43</v>
      </c>
      <c r="C227" s="1003">
        <v>5</v>
      </c>
      <c r="D227" s="1003">
        <v>7</v>
      </c>
      <c r="E227" s="1003"/>
      <c r="F227" s="1003"/>
      <c r="G227" s="1003"/>
      <c r="H227" s="1003"/>
      <c r="I227" s="1003"/>
      <c r="J227" s="1003"/>
      <c r="K227" s="1003">
        <f t="shared" si="3"/>
        <v>12</v>
      </c>
      <c r="L227" s="1004"/>
      <c r="M227" s="1003"/>
      <c r="N227" s="1003">
        <v>8</v>
      </c>
      <c r="O227" s="1005">
        <v>16</v>
      </c>
    </row>
    <row r="228" spans="1:15" x14ac:dyDescent="0.2">
      <c r="A228"/>
      <c r="B228" s="1002">
        <v>43</v>
      </c>
      <c r="C228" s="1003">
        <v>1</v>
      </c>
      <c r="D228" s="1003">
        <v>10</v>
      </c>
      <c r="E228" s="1003"/>
      <c r="F228" s="1003"/>
      <c r="G228" s="1003"/>
      <c r="H228" s="1003"/>
      <c r="I228" s="1003"/>
      <c r="J228" s="1003"/>
      <c r="K228" s="1003">
        <f t="shared" si="3"/>
        <v>11</v>
      </c>
      <c r="L228" s="1004"/>
      <c r="M228" s="1003"/>
      <c r="N228" s="1003">
        <v>6</v>
      </c>
      <c r="O228" s="1005">
        <v>16</v>
      </c>
    </row>
    <row r="229" spans="1:15" collapsed="1" x14ac:dyDescent="0.2">
      <c r="A229"/>
      <c r="B229" s="1002">
        <v>43</v>
      </c>
      <c r="C229" s="1003"/>
      <c r="D229" s="1003">
        <v>7</v>
      </c>
      <c r="E229" s="1003">
        <v>3</v>
      </c>
      <c r="F229" s="1003"/>
      <c r="G229" s="1003"/>
      <c r="H229" s="1003"/>
      <c r="I229" s="1003"/>
      <c r="J229" s="1003"/>
      <c r="K229" s="1003">
        <f t="shared" si="3"/>
        <v>10</v>
      </c>
      <c r="L229" s="1004"/>
      <c r="M229" s="1003"/>
      <c r="N229" s="1003">
        <v>4</v>
      </c>
      <c r="O229" s="1005">
        <v>16</v>
      </c>
    </row>
    <row r="230" spans="1:15" collapsed="1" x14ac:dyDescent="0.2">
      <c r="A230"/>
      <c r="B230" s="1002">
        <v>43</v>
      </c>
      <c r="C230" s="1003"/>
      <c r="D230" s="1003">
        <v>2</v>
      </c>
      <c r="E230" s="1003">
        <v>7</v>
      </c>
      <c r="F230" s="1003"/>
      <c r="G230" s="1003"/>
      <c r="H230" s="1003"/>
      <c r="I230" s="1003"/>
      <c r="J230" s="1003"/>
      <c r="K230" s="1003">
        <f t="shared" si="3"/>
        <v>9</v>
      </c>
      <c r="L230" s="1004"/>
      <c r="M230" s="1003"/>
      <c r="N230" s="1003">
        <v>2</v>
      </c>
      <c r="O230" s="1005">
        <v>16</v>
      </c>
    </row>
    <row r="231" spans="1:15" x14ac:dyDescent="0.2">
      <c r="A231"/>
      <c r="B231" s="1002">
        <v>43</v>
      </c>
      <c r="C231" s="1003"/>
      <c r="D231" s="1003"/>
      <c r="E231" s="1003">
        <v>5</v>
      </c>
      <c r="F231" s="1003">
        <v>3</v>
      </c>
      <c r="G231" s="1003"/>
      <c r="H231" s="1003"/>
      <c r="I231" s="1003"/>
      <c r="J231" s="1003"/>
      <c r="K231" s="1003">
        <f t="shared" si="3"/>
        <v>8</v>
      </c>
      <c r="L231" s="1004"/>
      <c r="M231" s="1003"/>
      <c r="N231" s="1003"/>
      <c r="O231" s="1005">
        <v>16</v>
      </c>
    </row>
    <row r="232" spans="1:15" x14ac:dyDescent="0.2">
      <c r="A232"/>
      <c r="B232" s="1002">
        <v>43</v>
      </c>
      <c r="C232" s="1003"/>
      <c r="D232" s="1003"/>
      <c r="E232" s="1003"/>
      <c r="F232" s="1003">
        <v>6</v>
      </c>
      <c r="G232" s="1003">
        <v>1</v>
      </c>
      <c r="H232" s="1003"/>
      <c r="I232" s="1003"/>
      <c r="J232" s="1003"/>
      <c r="K232" s="1003">
        <f t="shared" si="3"/>
        <v>7</v>
      </c>
      <c r="L232" s="1004"/>
      <c r="M232" s="1003"/>
      <c r="N232" s="1003">
        <v>6</v>
      </c>
      <c r="O232" s="1005">
        <v>8</v>
      </c>
    </row>
    <row r="233" spans="1:15" x14ac:dyDescent="0.2">
      <c r="A233"/>
      <c r="B233" s="1002">
        <v>43</v>
      </c>
      <c r="C233" s="1003"/>
      <c r="D233" s="1003"/>
      <c r="E233" s="1003"/>
      <c r="F233" s="1003"/>
      <c r="G233" s="1003">
        <v>5</v>
      </c>
      <c r="H233" s="1003">
        <v>1</v>
      </c>
      <c r="I233" s="1003"/>
      <c r="J233" s="1003"/>
      <c r="K233" s="1003">
        <f t="shared" si="3"/>
        <v>6</v>
      </c>
      <c r="L233" s="1004"/>
      <c r="M233" s="1003"/>
      <c r="N233" s="1003">
        <v>4</v>
      </c>
      <c r="O233" s="1005">
        <v>8</v>
      </c>
    </row>
    <row r="234" spans="1:15" x14ac:dyDescent="0.2">
      <c r="A234"/>
      <c r="B234" s="1002">
        <v>43</v>
      </c>
      <c r="C234" s="1003"/>
      <c r="D234" s="1003"/>
      <c r="E234" s="1003"/>
      <c r="F234" s="1003"/>
      <c r="G234" s="1003"/>
      <c r="H234" s="1003">
        <v>2</v>
      </c>
      <c r="I234" s="1003">
        <v>3</v>
      </c>
      <c r="J234" s="1003"/>
      <c r="K234" s="1003">
        <f t="shared" si="3"/>
        <v>5</v>
      </c>
      <c r="L234" s="1004"/>
      <c r="M234" s="1003"/>
      <c r="N234" s="1003">
        <v>2</v>
      </c>
      <c r="O234" s="1005">
        <v>8</v>
      </c>
    </row>
    <row r="235" spans="1:15" x14ac:dyDescent="0.2">
      <c r="A235"/>
      <c r="B235" s="1002">
        <v>44</v>
      </c>
      <c r="C235" s="1003">
        <v>12</v>
      </c>
      <c r="D235" s="1003">
        <v>2</v>
      </c>
      <c r="E235" s="1003"/>
      <c r="F235" s="1003"/>
      <c r="G235" s="1003"/>
      <c r="H235" s="1003"/>
      <c r="I235" s="1003"/>
      <c r="J235" s="1003"/>
      <c r="K235" s="1003">
        <f t="shared" si="3"/>
        <v>14</v>
      </c>
      <c r="L235" s="1004"/>
      <c r="M235" s="1003"/>
      <c r="N235" s="1003">
        <v>12</v>
      </c>
      <c r="O235" s="1005">
        <v>16</v>
      </c>
    </row>
    <row r="236" spans="1:15" collapsed="1" x14ac:dyDescent="0.2">
      <c r="A236"/>
      <c r="B236" s="1002">
        <v>44</v>
      </c>
      <c r="C236" s="1003">
        <v>8</v>
      </c>
      <c r="D236" s="1003">
        <v>5</v>
      </c>
      <c r="E236" s="1003"/>
      <c r="F236" s="1003"/>
      <c r="G236" s="1003"/>
      <c r="H236" s="1003"/>
      <c r="I236" s="1003"/>
      <c r="J236" s="1003"/>
      <c r="K236" s="1003">
        <f t="shared" si="3"/>
        <v>13</v>
      </c>
      <c r="L236" s="1004"/>
      <c r="M236" s="1003"/>
      <c r="N236" s="1003">
        <v>10</v>
      </c>
      <c r="O236" s="1005">
        <v>16</v>
      </c>
    </row>
    <row r="237" spans="1:15" collapsed="1" x14ac:dyDescent="0.2">
      <c r="A237"/>
      <c r="B237" s="1002">
        <v>44</v>
      </c>
      <c r="C237" s="1003">
        <v>4</v>
      </c>
      <c r="D237" s="1003">
        <v>8</v>
      </c>
      <c r="E237" s="1003"/>
      <c r="F237" s="1003"/>
      <c r="G237" s="1003"/>
      <c r="H237" s="1003"/>
      <c r="I237" s="1003"/>
      <c r="J237" s="1003"/>
      <c r="K237" s="1003">
        <f t="shared" si="3"/>
        <v>12</v>
      </c>
      <c r="L237" s="1004"/>
      <c r="M237" s="1003"/>
      <c r="N237" s="1003">
        <v>8</v>
      </c>
      <c r="O237" s="1005">
        <v>16</v>
      </c>
    </row>
    <row r="238" spans="1:15" x14ac:dyDescent="0.2">
      <c r="A238"/>
      <c r="B238" s="1002">
        <v>44</v>
      </c>
      <c r="C238" s="1003"/>
      <c r="D238" s="1003">
        <v>11</v>
      </c>
      <c r="E238" s="1003"/>
      <c r="F238" s="1003"/>
      <c r="G238" s="1003"/>
      <c r="H238" s="1003"/>
      <c r="I238" s="1003"/>
      <c r="J238" s="1003"/>
      <c r="K238" s="1003">
        <f t="shared" si="3"/>
        <v>11</v>
      </c>
      <c r="L238" s="1004"/>
      <c r="M238" s="1003"/>
      <c r="N238" s="1003">
        <v>6</v>
      </c>
      <c r="O238" s="1005">
        <v>16</v>
      </c>
    </row>
    <row r="239" spans="1:15" collapsed="1" x14ac:dyDescent="0.2">
      <c r="A239"/>
      <c r="B239" s="1002">
        <v>44</v>
      </c>
      <c r="C239" s="1003"/>
      <c r="D239" s="1003">
        <v>6</v>
      </c>
      <c r="E239" s="1003">
        <v>4</v>
      </c>
      <c r="F239" s="1003"/>
      <c r="G239" s="1003"/>
      <c r="H239" s="1003"/>
      <c r="I239" s="1003"/>
      <c r="J239" s="1003"/>
      <c r="K239" s="1003">
        <f t="shared" si="3"/>
        <v>10</v>
      </c>
      <c r="L239" s="1004"/>
      <c r="M239" s="1003"/>
      <c r="N239" s="1003">
        <v>4</v>
      </c>
      <c r="O239" s="1005">
        <v>16</v>
      </c>
    </row>
    <row r="240" spans="1:15" collapsed="1" x14ac:dyDescent="0.2">
      <c r="A240"/>
      <c r="B240" s="1002">
        <v>44</v>
      </c>
      <c r="C240" s="1003"/>
      <c r="D240" s="1003">
        <v>1</v>
      </c>
      <c r="E240" s="1003">
        <v>8</v>
      </c>
      <c r="F240" s="1003"/>
      <c r="G240" s="1003"/>
      <c r="H240" s="1003"/>
      <c r="I240" s="1003"/>
      <c r="J240" s="1003"/>
      <c r="K240" s="1003">
        <f t="shared" si="3"/>
        <v>9</v>
      </c>
      <c r="L240" s="1004"/>
      <c r="M240" s="1003"/>
      <c r="N240" s="1003">
        <v>2</v>
      </c>
      <c r="O240" s="1005">
        <v>16</v>
      </c>
    </row>
    <row r="241" spans="1:15" x14ac:dyDescent="0.2">
      <c r="A241"/>
      <c r="B241" s="1002">
        <v>44</v>
      </c>
      <c r="C241" s="1003"/>
      <c r="D241" s="1003"/>
      <c r="E241" s="1003">
        <v>4</v>
      </c>
      <c r="F241" s="1003">
        <v>4</v>
      </c>
      <c r="G241" s="1003"/>
      <c r="H241" s="1003"/>
      <c r="I241" s="1003"/>
      <c r="J241" s="1003"/>
      <c r="K241" s="1003">
        <f t="shared" si="3"/>
        <v>8</v>
      </c>
      <c r="L241" s="1004"/>
      <c r="M241" s="1003"/>
      <c r="N241" s="1003"/>
      <c r="O241" s="1005">
        <v>16</v>
      </c>
    </row>
    <row r="242" spans="1:15" x14ac:dyDescent="0.2">
      <c r="A242"/>
      <c r="B242" s="1002">
        <v>44</v>
      </c>
      <c r="C242" s="1003"/>
      <c r="D242" s="1003"/>
      <c r="E242" s="1003"/>
      <c r="F242" s="1003">
        <v>5</v>
      </c>
      <c r="G242" s="1003">
        <v>2</v>
      </c>
      <c r="H242" s="1003"/>
      <c r="I242" s="1003"/>
      <c r="J242" s="1003"/>
      <c r="K242" s="1003">
        <f t="shared" si="3"/>
        <v>7</v>
      </c>
      <c r="L242" s="1004"/>
      <c r="M242" s="1003"/>
      <c r="N242" s="1003">
        <v>6</v>
      </c>
      <c r="O242" s="1005">
        <v>8</v>
      </c>
    </row>
    <row r="243" spans="1:15" x14ac:dyDescent="0.2">
      <c r="A243"/>
      <c r="B243" s="1002">
        <v>44</v>
      </c>
      <c r="C243" s="1003"/>
      <c r="D243" s="1003"/>
      <c r="E243" s="1003"/>
      <c r="F243" s="1003"/>
      <c r="G243" s="1003">
        <v>4</v>
      </c>
      <c r="H243" s="1003">
        <v>2</v>
      </c>
      <c r="I243" s="1003"/>
      <c r="J243" s="1003"/>
      <c r="K243" s="1003">
        <f t="shared" si="3"/>
        <v>6</v>
      </c>
      <c r="L243" s="1004"/>
      <c r="M243" s="1003"/>
      <c r="N243" s="1003">
        <v>4</v>
      </c>
      <c r="O243" s="1005">
        <v>8</v>
      </c>
    </row>
    <row r="244" spans="1:15" x14ac:dyDescent="0.2">
      <c r="A244"/>
      <c r="B244" s="1002">
        <v>44</v>
      </c>
      <c r="C244" s="1003"/>
      <c r="D244" s="1003"/>
      <c r="E244" s="1003"/>
      <c r="F244" s="1003"/>
      <c r="G244" s="1003"/>
      <c r="H244" s="1003">
        <v>1</v>
      </c>
      <c r="I244" s="1003">
        <v>4</v>
      </c>
      <c r="J244" s="1003"/>
      <c r="K244" s="1003">
        <f t="shared" si="3"/>
        <v>5</v>
      </c>
      <c r="L244" s="1004"/>
      <c r="M244" s="1003"/>
      <c r="N244" s="1003">
        <v>2</v>
      </c>
      <c r="O244" s="1005">
        <v>8</v>
      </c>
    </row>
    <row r="245" spans="1:15" collapsed="1" x14ac:dyDescent="0.2">
      <c r="A245"/>
      <c r="B245" s="1002">
        <v>45</v>
      </c>
      <c r="C245" s="1003">
        <v>15</v>
      </c>
      <c r="D245" s="1003"/>
      <c r="E245" s="1003"/>
      <c r="F245" s="1003"/>
      <c r="G245" s="1003"/>
      <c r="H245" s="1003"/>
      <c r="I245" s="1003"/>
      <c r="J245" s="1003"/>
      <c r="K245" s="1003">
        <f t="shared" si="3"/>
        <v>15</v>
      </c>
      <c r="L245" s="1004"/>
      <c r="M245" s="1003"/>
      <c r="N245" s="1003">
        <v>14</v>
      </c>
      <c r="O245" s="1005">
        <v>16</v>
      </c>
    </row>
    <row r="246" spans="1:15" x14ac:dyDescent="0.2">
      <c r="A246"/>
      <c r="B246" s="1002">
        <v>45</v>
      </c>
      <c r="C246" s="1003">
        <v>11</v>
      </c>
      <c r="D246" s="1003">
        <v>3</v>
      </c>
      <c r="E246" s="1003"/>
      <c r="F246" s="1003"/>
      <c r="G246" s="1003"/>
      <c r="H246" s="1003"/>
      <c r="I246" s="1003"/>
      <c r="J246" s="1003"/>
      <c r="K246" s="1003">
        <f t="shared" si="3"/>
        <v>14</v>
      </c>
      <c r="L246" s="1004"/>
      <c r="M246" s="1003"/>
      <c r="N246" s="1003">
        <v>12</v>
      </c>
      <c r="O246" s="1005">
        <v>16</v>
      </c>
    </row>
    <row r="247" spans="1:15" collapsed="1" x14ac:dyDescent="0.2">
      <c r="A247"/>
      <c r="B247" s="1002">
        <v>45</v>
      </c>
      <c r="C247" s="1003">
        <v>7</v>
      </c>
      <c r="D247" s="1003">
        <v>6</v>
      </c>
      <c r="E247" s="1003"/>
      <c r="F247" s="1003"/>
      <c r="G247" s="1003"/>
      <c r="H247" s="1003"/>
      <c r="I247" s="1003"/>
      <c r="J247" s="1003"/>
      <c r="K247" s="1003">
        <f t="shared" si="3"/>
        <v>13</v>
      </c>
      <c r="L247" s="1004"/>
      <c r="M247" s="1003"/>
      <c r="N247" s="1003">
        <v>10</v>
      </c>
      <c r="O247" s="1005">
        <v>16</v>
      </c>
    </row>
    <row r="248" spans="1:15" collapsed="1" x14ac:dyDescent="0.2">
      <c r="A248"/>
      <c r="B248" s="1002">
        <v>45</v>
      </c>
      <c r="C248" s="1003">
        <v>3</v>
      </c>
      <c r="D248" s="1003">
        <v>9</v>
      </c>
      <c r="E248" s="1003"/>
      <c r="F248" s="1003"/>
      <c r="G248" s="1003"/>
      <c r="H248" s="1003"/>
      <c r="I248" s="1003"/>
      <c r="J248" s="1003"/>
      <c r="K248" s="1003">
        <f t="shared" si="3"/>
        <v>12</v>
      </c>
      <c r="L248" s="1004"/>
      <c r="M248" s="1003"/>
      <c r="N248" s="1003">
        <v>8</v>
      </c>
      <c r="O248" s="1005">
        <v>16</v>
      </c>
    </row>
    <row r="249" spans="1:15" x14ac:dyDescent="0.2">
      <c r="A249"/>
      <c r="B249" s="1002">
        <v>45</v>
      </c>
      <c r="C249" s="1003"/>
      <c r="D249" s="1003">
        <v>10</v>
      </c>
      <c r="E249" s="1003">
        <v>1</v>
      </c>
      <c r="F249" s="1003"/>
      <c r="G249" s="1003"/>
      <c r="H249" s="1003"/>
      <c r="I249" s="1003"/>
      <c r="J249" s="1003"/>
      <c r="K249" s="1003">
        <f t="shared" si="3"/>
        <v>11</v>
      </c>
      <c r="L249" s="1004"/>
      <c r="M249" s="1003"/>
      <c r="N249" s="1003">
        <v>6</v>
      </c>
      <c r="O249" s="1005">
        <v>16</v>
      </c>
    </row>
    <row r="250" spans="1:15" collapsed="1" x14ac:dyDescent="0.2">
      <c r="A250"/>
      <c r="B250" s="1002">
        <v>45</v>
      </c>
      <c r="C250" s="1003"/>
      <c r="D250" s="1003">
        <v>5</v>
      </c>
      <c r="E250" s="1003">
        <v>5</v>
      </c>
      <c r="F250" s="1003"/>
      <c r="G250" s="1003"/>
      <c r="H250" s="1003"/>
      <c r="I250" s="1003"/>
      <c r="J250" s="1003"/>
      <c r="K250" s="1003">
        <f t="shared" si="3"/>
        <v>10</v>
      </c>
      <c r="L250" s="1004"/>
      <c r="M250" s="1003"/>
      <c r="N250" s="1003">
        <v>4</v>
      </c>
      <c r="O250" s="1005">
        <v>16</v>
      </c>
    </row>
    <row r="251" spans="1:15" collapsed="1" x14ac:dyDescent="0.2">
      <c r="A251"/>
      <c r="B251" s="1002">
        <v>45</v>
      </c>
      <c r="C251" s="1003"/>
      <c r="D251" s="1003"/>
      <c r="E251" s="1003">
        <v>9</v>
      </c>
      <c r="F251" s="1003"/>
      <c r="G251" s="1003"/>
      <c r="H251" s="1003"/>
      <c r="I251" s="1003"/>
      <c r="J251" s="1003"/>
      <c r="K251" s="1003">
        <f t="shared" si="3"/>
        <v>9</v>
      </c>
      <c r="L251" s="1004"/>
      <c r="M251" s="1003"/>
      <c r="N251" s="1003">
        <v>2</v>
      </c>
      <c r="O251" s="1005">
        <v>16</v>
      </c>
    </row>
    <row r="252" spans="1:15" x14ac:dyDescent="0.2">
      <c r="A252"/>
      <c r="B252" s="1002">
        <v>45</v>
      </c>
      <c r="C252" s="1003"/>
      <c r="D252" s="1003"/>
      <c r="E252" s="1003">
        <v>3</v>
      </c>
      <c r="F252" s="1003">
        <v>5</v>
      </c>
      <c r="G252" s="1003"/>
      <c r="H252" s="1003"/>
      <c r="I252" s="1003"/>
      <c r="J252" s="1003"/>
      <c r="K252" s="1003">
        <f t="shared" si="3"/>
        <v>8</v>
      </c>
      <c r="L252" s="1004"/>
      <c r="M252" s="1003"/>
      <c r="N252" s="1003"/>
      <c r="O252" s="1005">
        <v>16</v>
      </c>
    </row>
    <row r="253" spans="1:15" x14ac:dyDescent="0.2">
      <c r="A253"/>
      <c r="B253" s="1002">
        <v>45</v>
      </c>
      <c r="C253" s="1003"/>
      <c r="D253" s="1003"/>
      <c r="E253" s="1003"/>
      <c r="F253" s="1003">
        <v>4</v>
      </c>
      <c r="G253" s="1003">
        <v>3</v>
      </c>
      <c r="H253" s="1003"/>
      <c r="I253" s="1003"/>
      <c r="J253" s="1003"/>
      <c r="K253" s="1003">
        <f t="shared" si="3"/>
        <v>7</v>
      </c>
      <c r="L253" s="1004"/>
      <c r="M253" s="1003"/>
      <c r="N253" s="1003">
        <v>6</v>
      </c>
      <c r="O253" s="1005">
        <v>8</v>
      </c>
    </row>
    <row r="254" spans="1:15" x14ac:dyDescent="0.2">
      <c r="A254"/>
      <c r="B254" s="1002">
        <v>45</v>
      </c>
      <c r="C254" s="1003"/>
      <c r="D254" s="1003"/>
      <c r="E254" s="1003"/>
      <c r="F254" s="1003"/>
      <c r="G254" s="1003">
        <v>3</v>
      </c>
      <c r="H254" s="1003">
        <v>3</v>
      </c>
      <c r="I254" s="1003"/>
      <c r="J254" s="1003"/>
      <c r="K254" s="1003">
        <f t="shared" si="3"/>
        <v>6</v>
      </c>
      <c r="L254" s="1004"/>
      <c r="M254" s="1003"/>
      <c r="N254" s="1003">
        <v>4</v>
      </c>
      <c r="O254" s="1005">
        <v>8</v>
      </c>
    </row>
    <row r="255" spans="1:15" x14ac:dyDescent="0.2">
      <c r="A255"/>
      <c r="B255" s="1002">
        <v>45</v>
      </c>
      <c r="C255" s="1003"/>
      <c r="D255" s="1003"/>
      <c r="E255" s="1003"/>
      <c r="F255" s="1003"/>
      <c r="G255" s="1003"/>
      <c r="H255" s="1003"/>
      <c r="I255" s="1003">
        <v>5</v>
      </c>
      <c r="J255" s="1003"/>
      <c r="K255" s="1003">
        <f t="shared" si="3"/>
        <v>5</v>
      </c>
      <c r="L255" s="1004"/>
      <c r="M255" s="1003"/>
      <c r="N255" s="1003">
        <v>2</v>
      </c>
      <c r="O255" s="1005">
        <v>8</v>
      </c>
    </row>
    <row r="256" spans="1:15" collapsed="1" x14ac:dyDescent="0.2">
      <c r="A256"/>
      <c r="B256" s="1002">
        <v>46</v>
      </c>
      <c r="C256" s="1003">
        <v>14</v>
      </c>
      <c r="D256" s="1003">
        <v>1</v>
      </c>
      <c r="E256" s="1003"/>
      <c r="F256" s="1003"/>
      <c r="G256" s="1003"/>
      <c r="H256" s="1003"/>
      <c r="I256" s="1003"/>
      <c r="J256" s="1003"/>
      <c r="K256" s="1003">
        <f t="shared" si="3"/>
        <v>15</v>
      </c>
      <c r="L256" s="1004"/>
      <c r="M256" s="1003"/>
      <c r="N256" s="1003">
        <v>14</v>
      </c>
      <c r="O256" s="1005">
        <v>16</v>
      </c>
    </row>
    <row r="257" spans="1:15" x14ac:dyDescent="0.2">
      <c r="A257"/>
      <c r="B257" s="1002">
        <v>46</v>
      </c>
      <c r="C257" s="1003">
        <v>10</v>
      </c>
      <c r="D257" s="1003">
        <v>4</v>
      </c>
      <c r="E257" s="1003"/>
      <c r="F257" s="1003"/>
      <c r="G257" s="1003"/>
      <c r="H257" s="1003"/>
      <c r="I257" s="1003"/>
      <c r="J257" s="1003"/>
      <c r="K257" s="1003">
        <f t="shared" si="3"/>
        <v>14</v>
      </c>
      <c r="L257" s="1004"/>
      <c r="M257" s="1003"/>
      <c r="N257" s="1003">
        <v>12</v>
      </c>
      <c r="O257" s="1005">
        <v>16</v>
      </c>
    </row>
    <row r="258" spans="1:15" collapsed="1" x14ac:dyDescent="0.2">
      <c r="A258"/>
      <c r="B258" s="1002">
        <v>46</v>
      </c>
      <c r="C258" s="1003">
        <v>6</v>
      </c>
      <c r="D258" s="1003">
        <v>7</v>
      </c>
      <c r="E258" s="1003"/>
      <c r="F258" s="1003"/>
      <c r="G258" s="1003"/>
      <c r="H258" s="1003"/>
      <c r="I258" s="1003"/>
      <c r="J258" s="1003"/>
      <c r="K258" s="1003">
        <f t="shared" si="3"/>
        <v>13</v>
      </c>
      <c r="L258" s="1004"/>
      <c r="M258" s="1003"/>
      <c r="N258" s="1003">
        <v>10</v>
      </c>
      <c r="O258" s="1005">
        <v>16</v>
      </c>
    </row>
    <row r="259" spans="1:15" collapsed="1" x14ac:dyDescent="0.2">
      <c r="A259"/>
      <c r="B259" s="1002">
        <v>46</v>
      </c>
      <c r="C259" s="1003">
        <v>2</v>
      </c>
      <c r="D259" s="1003">
        <v>10</v>
      </c>
      <c r="E259" s="1003"/>
      <c r="F259" s="1003"/>
      <c r="G259" s="1003"/>
      <c r="H259" s="1003"/>
      <c r="I259" s="1003"/>
      <c r="J259" s="1003"/>
      <c r="K259" s="1003">
        <f t="shared" si="3"/>
        <v>12</v>
      </c>
      <c r="L259" s="1004"/>
      <c r="M259" s="1003"/>
      <c r="N259" s="1003">
        <v>8</v>
      </c>
      <c r="O259" s="1005">
        <v>16</v>
      </c>
    </row>
    <row r="260" spans="1:15" x14ac:dyDescent="0.2">
      <c r="A260"/>
      <c r="B260" s="1002">
        <v>46</v>
      </c>
      <c r="C260" s="1003"/>
      <c r="D260" s="1003">
        <v>9</v>
      </c>
      <c r="E260" s="1003">
        <v>2</v>
      </c>
      <c r="F260" s="1003"/>
      <c r="G260" s="1003"/>
      <c r="H260" s="1003"/>
      <c r="I260" s="1003"/>
      <c r="J260" s="1003"/>
      <c r="K260" s="1003">
        <f t="shared" si="3"/>
        <v>11</v>
      </c>
      <c r="L260" s="1004"/>
      <c r="M260" s="1003"/>
      <c r="N260" s="1003">
        <v>6</v>
      </c>
      <c r="O260" s="1005">
        <v>16</v>
      </c>
    </row>
    <row r="261" spans="1:15" collapsed="1" x14ac:dyDescent="0.2">
      <c r="A261"/>
      <c r="B261" s="1002">
        <v>46</v>
      </c>
      <c r="C261" s="1003"/>
      <c r="D261" s="1003">
        <v>4</v>
      </c>
      <c r="E261" s="1003">
        <v>6</v>
      </c>
      <c r="F261" s="1003"/>
      <c r="G261" s="1003"/>
      <c r="H261" s="1003"/>
      <c r="I261" s="1003"/>
      <c r="J261" s="1003"/>
      <c r="K261" s="1003">
        <f t="shared" si="3"/>
        <v>10</v>
      </c>
      <c r="L261" s="1004"/>
      <c r="M261" s="1003"/>
      <c r="N261" s="1003">
        <v>4</v>
      </c>
      <c r="O261" s="1005">
        <v>16</v>
      </c>
    </row>
    <row r="262" spans="1:15" collapsed="1" x14ac:dyDescent="0.2">
      <c r="A262"/>
      <c r="B262" s="1002">
        <v>46</v>
      </c>
      <c r="C262" s="1003"/>
      <c r="D262" s="1003"/>
      <c r="E262" s="1003">
        <v>8</v>
      </c>
      <c r="F262" s="1003">
        <v>1</v>
      </c>
      <c r="G262" s="1003"/>
      <c r="H262" s="1003"/>
      <c r="I262" s="1003"/>
      <c r="J262" s="1003"/>
      <c r="K262" s="1003">
        <f t="shared" ref="K262:K325" si="4">SUM(C262:J262)</f>
        <v>9</v>
      </c>
      <c r="L262" s="1004"/>
      <c r="M262" s="1003"/>
      <c r="N262" s="1003">
        <v>2</v>
      </c>
      <c r="O262" s="1005">
        <v>16</v>
      </c>
    </row>
    <row r="263" spans="1:15" x14ac:dyDescent="0.2">
      <c r="A263"/>
      <c r="B263" s="1002">
        <v>46</v>
      </c>
      <c r="C263" s="1003"/>
      <c r="D263" s="1003"/>
      <c r="E263" s="1003">
        <v>2</v>
      </c>
      <c r="F263" s="1003">
        <v>6</v>
      </c>
      <c r="G263" s="1003"/>
      <c r="H263" s="1003"/>
      <c r="I263" s="1003"/>
      <c r="J263" s="1003"/>
      <c r="K263" s="1003">
        <f t="shared" si="4"/>
        <v>8</v>
      </c>
      <c r="L263" s="1004"/>
      <c r="M263" s="1003"/>
      <c r="N263" s="1003"/>
      <c r="O263" s="1005">
        <v>16</v>
      </c>
    </row>
    <row r="264" spans="1:15" x14ac:dyDescent="0.2">
      <c r="A264"/>
      <c r="B264" s="1002">
        <v>46</v>
      </c>
      <c r="C264" s="1003"/>
      <c r="D264" s="1003"/>
      <c r="E264" s="1003"/>
      <c r="F264" s="1003">
        <v>3</v>
      </c>
      <c r="G264" s="1003">
        <v>4</v>
      </c>
      <c r="H264" s="1003"/>
      <c r="I264" s="1003"/>
      <c r="J264" s="1003"/>
      <c r="K264" s="1003">
        <f t="shared" si="4"/>
        <v>7</v>
      </c>
      <c r="L264" s="1004"/>
      <c r="M264" s="1003"/>
      <c r="N264" s="1003">
        <v>6</v>
      </c>
      <c r="O264" s="1005">
        <v>8</v>
      </c>
    </row>
    <row r="265" spans="1:15" x14ac:dyDescent="0.2">
      <c r="A265"/>
      <c r="B265" s="1002">
        <v>46</v>
      </c>
      <c r="C265" s="1003"/>
      <c r="D265" s="1003"/>
      <c r="E265" s="1003"/>
      <c r="F265" s="1003"/>
      <c r="G265" s="1003">
        <v>2</v>
      </c>
      <c r="H265" s="1003">
        <v>4</v>
      </c>
      <c r="I265" s="1003"/>
      <c r="J265" s="1003"/>
      <c r="K265" s="1003">
        <f t="shared" si="4"/>
        <v>6</v>
      </c>
      <c r="L265" s="1004"/>
      <c r="M265" s="1003"/>
      <c r="N265" s="1003">
        <v>4</v>
      </c>
      <c r="O265" s="1005">
        <v>8</v>
      </c>
    </row>
    <row r="266" spans="1:15" x14ac:dyDescent="0.2">
      <c r="A266"/>
      <c r="B266" s="1002">
        <v>46</v>
      </c>
      <c r="C266" s="1003"/>
      <c r="D266" s="1003"/>
      <c r="E266" s="1003"/>
      <c r="F266" s="1003"/>
      <c r="G266" s="1003"/>
      <c r="H266" s="1003"/>
      <c r="I266" s="1003">
        <v>4</v>
      </c>
      <c r="J266" s="1003">
        <v>1</v>
      </c>
      <c r="K266" s="1003">
        <f t="shared" si="4"/>
        <v>5</v>
      </c>
      <c r="L266" s="1004"/>
      <c r="M266" s="1003"/>
      <c r="N266" s="1003">
        <v>2</v>
      </c>
      <c r="O266" s="1005">
        <v>8</v>
      </c>
    </row>
    <row r="267" spans="1:15" collapsed="1" x14ac:dyDescent="0.2">
      <c r="A267"/>
      <c r="B267" s="1002">
        <v>47</v>
      </c>
      <c r="C267" s="1003">
        <v>13</v>
      </c>
      <c r="D267" s="1003">
        <v>2</v>
      </c>
      <c r="E267" s="1003"/>
      <c r="F267" s="1003"/>
      <c r="G267" s="1003"/>
      <c r="H267" s="1003"/>
      <c r="I267" s="1003"/>
      <c r="J267" s="1003"/>
      <c r="K267" s="1003">
        <f t="shared" si="4"/>
        <v>15</v>
      </c>
      <c r="L267" s="1004"/>
      <c r="M267" s="1003"/>
      <c r="N267" s="1003">
        <v>14</v>
      </c>
      <c r="O267" s="1005">
        <v>16</v>
      </c>
    </row>
    <row r="268" spans="1:15" x14ac:dyDescent="0.2">
      <c r="A268"/>
      <c r="B268" s="1002">
        <v>47</v>
      </c>
      <c r="C268" s="1003">
        <v>9</v>
      </c>
      <c r="D268" s="1003">
        <v>5</v>
      </c>
      <c r="E268" s="1003"/>
      <c r="F268" s="1003"/>
      <c r="G268" s="1003"/>
      <c r="H268" s="1003"/>
      <c r="I268" s="1003"/>
      <c r="J268" s="1003"/>
      <c r="K268" s="1003">
        <f t="shared" si="4"/>
        <v>14</v>
      </c>
      <c r="L268" s="1004"/>
      <c r="M268" s="1003"/>
      <c r="N268" s="1003">
        <v>12</v>
      </c>
      <c r="O268" s="1005">
        <v>16</v>
      </c>
    </row>
    <row r="269" spans="1:15" collapsed="1" x14ac:dyDescent="0.2">
      <c r="A269"/>
      <c r="B269" s="1002">
        <v>47</v>
      </c>
      <c r="C269" s="1003">
        <v>5</v>
      </c>
      <c r="D269" s="1003">
        <v>8</v>
      </c>
      <c r="E269" s="1003"/>
      <c r="F269" s="1003"/>
      <c r="G269" s="1003"/>
      <c r="H269" s="1003"/>
      <c r="I269" s="1003"/>
      <c r="J269" s="1003"/>
      <c r="K269" s="1003">
        <f t="shared" si="4"/>
        <v>13</v>
      </c>
      <c r="L269" s="1004"/>
      <c r="M269" s="1003"/>
      <c r="N269" s="1003">
        <v>10</v>
      </c>
      <c r="O269" s="1005">
        <v>16</v>
      </c>
    </row>
    <row r="270" spans="1:15" collapsed="1" x14ac:dyDescent="0.2">
      <c r="A270"/>
      <c r="B270" s="1002">
        <v>47</v>
      </c>
      <c r="C270" s="1003">
        <v>1</v>
      </c>
      <c r="D270" s="1003">
        <v>11</v>
      </c>
      <c r="E270" s="1003"/>
      <c r="F270" s="1003"/>
      <c r="G270" s="1003"/>
      <c r="H270" s="1003"/>
      <c r="I270" s="1003"/>
      <c r="J270" s="1003"/>
      <c r="K270" s="1003">
        <f t="shared" si="4"/>
        <v>12</v>
      </c>
      <c r="L270" s="1004"/>
      <c r="M270" s="1003"/>
      <c r="N270" s="1003">
        <v>8</v>
      </c>
      <c r="O270" s="1005">
        <v>16</v>
      </c>
    </row>
    <row r="271" spans="1:15" x14ac:dyDescent="0.2">
      <c r="A271"/>
      <c r="B271" s="1002">
        <v>47</v>
      </c>
      <c r="C271" s="1003"/>
      <c r="D271" s="1003">
        <v>8</v>
      </c>
      <c r="E271" s="1003">
        <v>3</v>
      </c>
      <c r="F271" s="1003"/>
      <c r="G271" s="1003"/>
      <c r="H271" s="1003"/>
      <c r="I271" s="1003"/>
      <c r="J271" s="1003"/>
      <c r="K271" s="1003">
        <f t="shared" si="4"/>
        <v>11</v>
      </c>
      <c r="L271" s="1004"/>
      <c r="M271" s="1003"/>
      <c r="N271" s="1003">
        <v>6</v>
      </c>
      <c r="O271" s="1005">
        <v>16</v>
      </c>
    </row>
    <row r="272" spans="1:15" collapsed="1" x14ac:dyDescent="0.2">
      <c r="A272"/>
      <c r="B272" s="1002">
        <v>47</v>
      </c>
      <c r="C272" s="1003"/>
      <c r="D272" s="1003">
        <v>3</v>
      </c>
      <c r="E272" s="1003">
        <v>7</v>
      </c>
      <c r="F272" s="1003"/>
      <c r="G272" s="1003"/>
      <c r="H272" s="1003"/>
      <c r="I272" s="1003"/>
      <c r="J272" s="1003"/>
      <c r="K272" s="1003">
        <f t="shared" si="4"/>
        <v>10</v>
      </c>
      <c r="L272" s="1004"/>
      <c r="M272" s="1003"/>
      <c r="N272" s="1003">
        <v>4</v>
      </c>
      <c r="O272" s="1005">
        <v>16</v>
      </c>
    </row>
    <row r="273" spans="1:15" collapsed="1" x14ac:dyDescent="0.2">
      <c r="A273"/>
      <c r="B273" s="1002">
        <v>47</v>
      </c>
      <c r="C273" s="1003"/>
      <c r="D273" s="1003"/>
      <c r="E273" s="1003">
        <v>7</v>
      </c>
      <c r="F273" s="1003">
        <v>2</v>
      </c>
      <c r="G273" s="1003"/>
      <c r="H273" s="1003"/>
      <c r="I273" s="1003"/>
      <c r="J273" s="1003"/>
      <c r="K273" s="1003">
        <f t="shared" si="4"/>
        <v>9</v>
      </c>
      <c r="L273" s="1004"/>
      <c r="M273" s="1003"/>
      <c r="N273" s="1003">
        <v>2</v>
      </c>
      <c r="O273" s="1005">
        <v>16</v>
      </c>
    </row>
    <row r="274" spans="1:15" x14ac:dyDescent="0.2">
      <c r="A274"/>
      <c r="B274" s="1002">
        <v>47</v>
      </c>
      <c r="C274" s="1003"/>
      <c r="D274" s="1003"/>
      <c r="E274" s="1003">
        <v>1</v>
      </c>
      <c r="F274" s="1003">
        <v>7</v>
      </c>
      <c r="G274" s="1003"/>
      <c r="H274" s="1003"/>
      <c r="I274" s="1003"/>
      <c r="J274" s="1003"/>
      <c r="K274" s="1003">
        <f t="shared" si="4"/>
        <v>8</v>
      </c>
      <c r="L274" s="1004"/>
      <c r="M274" s="1003"/>
      <c r="N274" s="1003"/>
      <c r="O274" s="1005">
        <v>16</v>
      </c>
    </row>
    <row r="275" spans="1:15" x14ac:dyDescent="0.2">
      <c r="A275"/>
      <c r="B275" s="1002">
        <v>47</v>
      </c>
      <c r="C275" s="1003"/>
      <c r="D275" s="1003"/>
      <c r="E275" s="1003"/>
      <c r="F275" s="1003">
        <v>2</v>
      </c>
      <c r="G275" s="1003">
        <v>5</v>
      </c>
      <c r="H275" s="1003"/>
      <c r="I275" s="1003"/>
      <c r="J275" s="1003"/>
      <c r="K275" s="1003">
        <f t="shared" si="4"/>
        <v>7</v>
      </c>
      <c r="L275" s="1004"/>
      <c r="M275" s="1003"/>
      <c r="N275" s="1003">
        <v>6</v>
      </c>
      <c r="O275" s="1005">
        <v>8</v>
      </c>
    </row>
    <row r="276" spans="1:15" x14ac:dyDescent="0.2">
      <c r="A276"/>
      <c r="B276" s="1002">
        <v>47</v>
      </c>
      <c r="C276" s="1003"/>
      <c r="D276" s="1003"/>
      <c r="E276" s="1003"/>
      <c r="F276" s="1003"/>
      <c r="G276" s="1003">
        <v>1</v>
      </c>
      <c r="H276" s="1003">
        <v>5</v>
      </c>
      <c r="I276" s="1003"/>
      <c r="J276" s="1003"/>
      <c r="K276" s="1003">
        <f t="shared" si="4"/>
        <v>6</v>
      </c>
      <c r="L276" s="1004"/>
      <c r="M276" s="1003"/>
      <c r="N276" s="1003">
        <v>4</v>
      </c>
      <c r="O276" s="1005">
        <v>8</v>
      </c>
    </row>
    <row r="277" spans="1:15" x14ac:dyDescent="0.2">
      <c r="A277"/>
      <c r="B277" s="1002">
        <v>47</v>
      </c>
      <c r="C277" s="1003"/>
      <c r="D277" s="1003"/>
      <c r="E277" s="1003"/>
      <c r="F277" s="1003"/>
      <c r="G277" s="1003"/>
      <c r="H277" s="1003"/>
      <c r="I277" s="1003">
        <v>3</v>
      </c>
      <c r="J277" s="1003">
        <v>2</v>
      </c>
      <c r="K277" s="1003">
        <f t="shared" si="4"/>
        <v>5</v>
      </c>
      <c r="L277" s="1004"/>
      <c r="M277" s="1003"/>
      <c r="N277" s="1003">
        <v>2</v>
      </c>
      <c r="O277" s="1005">
        <v>8</v>
      </c>
    </row>
    <row r="278" spans="1:15" collapsed="1" x14ac:dyDescent="0.2">
      <c r="A278"/>
      <c r="B278" s="1002">
        <v>48</v>
      </c>
      <c r="C278" s="1003">
        <v>16</v>
      </c>
      <c r="D278" s="1003"/>
      <c r="E278" s="1003"/>
      <c r="F278" s="1003"/>
      <c r="G278" s="1003"/>
      <c r="H278" s="1003"/>
      <c r="I278" s="1003"/>
      <c r="J278" s="1003"/>
      <c r="K278" s="1003">
        <f t="shared" si="4"/>
        <v>16</v>
      </c>
      <c r="L278" s="1004"/>
      <c r="M278" s="1003"/>
      <c r="N278" s="1003"/>
      <c r="O278" s="1005">
        <v>32</v>
      </c>
    </row>
    <row r="279" spans="1:15" collapsed="1" x14ac:dyDescent="0.2">
      <c r="A279"/>
      <c r="B279" s="1002">
        <v>48</v>
      </c>
      <c r="C279" s="1003">
        <v>12</v>
      </c>
      <c r="D279" s="1003">
        <v>3</v>
      </c>
      <c r="E279" s="1003"/>
      <c r="F279" s="1003"/>
      <c r="G279" s="1003"/>
      <c r="H279" s="1003"/>
      <c r="I279" s="1003"/>
      <c r="J279" s="1003"/>
      <c r="K279" s="1003">
        <f t="shared" si="4"/>
        <v>15</v>
      </c>
      <c r="L279" s="1004"/>
      <c r="M279" s="1003"/>
      <c r="N279" s="1003">
        <v>14</v>
      </c>
      <c r="O279" s="1005">
        <v>16</v>
      </c>
    </row>
    <row r="280" spans="1:15" x14ac:dyDescent="0.2">
      <c r="A280"/>
      <c r="B280" s="1002">
        <v>48</v>
      </c>
      <c r="C280" s="1003">
        <v>8</v>
      </c>
      <c r="D280" s="1003">
        <v>6</v>
      </c>
      <c r="E280" s="1003"/>
      <c r="F280" s="1003"/>
      <c r="G280" s="1003"/>
      <c r="H280" s="1003"/>
      <c r="I280" s="1003"/>
      <c r="J280" s="1003"/>
      <c r="K280" s="1003">
        <f t="shared" si="4"/>
        <v>14</v>
      </c>
      <c r="L280" s="1004"/>
      <c r="M280" s="1003"/>
      <c r="N280" s="1003">
        <v>12</v>
      </c>
      <c r="O280" s="1005">
        <v>16</v>
      </c>
    </row>
    <row r="281" spans="1:15" collapsed="1" x14ac:dyDescent="0.2">
      <c r="A281"/>
      <c r="B281" s="1002">
        <v>48</v>
      </c>
      <c r="C281" s="1003">
        <v>4</v>
      </c>
      <c r="D281" s="1003">
        <v>9</v>
      </c>
      <c r="E281" s="1003"/>
      <c r="F281" s="1003"/>
      <c r="G281" s="1003"/>
      <c r="H281" s="1003"/>
      <c r="I281" s="1003"/>
      <c r="J281" s="1003"/>
      <c r="K281" s="1003">
        <f t="shared" si="4"/>
        <v>13</v>
      </c>
      <c r="L281" s="1004"/>
      <c r="M281" s="1003"/>
      <c r="N281" s="1003">
        <v>10</v>
      </c>
      <c r="O281" s="1005">
        <v>16</v>
      </c>
    </row>
    <row r="282" spans="1:15" collapsed="1" x14ac:dyDescent="0.2">
      <c r="A282"/>
      <c r="B282" s="1002">
        <v>48</v>
      </c>
      <c r="C282" s="1003"/>
      <c r="D282" s="1003">
        <v>12</v>
      </c>
      <c r="E282" s="1003"/>
      <c r="F282" s="1003"/>
      <c r="G282" s="1003"/>
      <c r="H282" s="1003"/>
      <c r="I282" s="1003"/>
      <c r="J282" s="1003"/>
      <c r="K282" s="1003">
        <f t="shared" si="4"/>
        <v>12</v>
      </c>
      <c r="L282" s="1004"/>
      <c r="M282" s="1003"/>
      <c r="N282" s="1003">
        <v>8</v>
      </c>
      <c r="O282" s="1005">
        <v>16</v>
      </c>
    </row>
    <row r="283" spans="1:15" x14ac:dyDescent="0.2">
      <c r="A283"/>
      <c r="B283" s="1002">
        <v>48</v>
      </c>
      <c r="C283" s="1003"/>
      <c r="D283" s="1003">
        <v>7</v>
      </c>
      <c r="E283" s="1003">
        <v>4</v>
      </c>
      <c r="F283" s="1003"/>
      <c r="G283" s="1003"/>
      <c r="H283" s="1003"/>
      <c r="I283" s="1003"/>
      <c r="J283" s="1003"/>
      <c r="K283" s="1003">
        <f t="shared" si="4"/>
        <v>11</v>
      </c>
      <c r="L283" s="1004"/>
      <c r="M283" s="1003"/>
      <c r="N283" s="1003">
        <v>6</v>
      </c>
      <c r="O283" s="1005">
        <v>16</v>
      </c>
    </row>
    <row r="284" spans="1:15" collapsed="1" x14ac:dyDescent="0.2">
      <c r="A284"/>
      <c r="B284" s="1002">
        <v>48</v>
      </c>
      <c r="C284" s="1003"/>
      <c r="D284" s="1003">
        <v>2</v>
      </c>
      <c r="E284" s="1003">
        <v>8</v>
      </c>
      <c r="F284" s="1003"/>
      <c r="G284" s="1003"/>
      <c r="H284" s="1003"/>
      <c r="I284" s="1003"/>
      <c r="J284" s="1003"/>
      <c r="K284" s="1003">
        <f t="shared" si="4"/>
        <v>10</v>
      </c>
      <c r="L284" s="1004"/>
      <c r="M284" s="1003"/>
      <c r="N284" s="1003">
        <v>4</v>
      </c>
      <c r="O284" s="1005">
        <v>16</v>
      </c>
    </row>
    <row r="285" spans="1:15" collapsed="1" x14ac:dyDescent="0.2">
      <c r="A285"/>
      <c r="B285" s="1002">
        <v>48</v>
      </c>
      <c r="C285" s="1003"/>
      <c r="D285" s="1003"/>
      <c r="E285" s="1003">
        <v>6</v>
      </c>
      <c r="F285" s="1003">
        <v>3</v>
      </c>
      <c r="G285" s="1003"/>
      <c r="H285" s="1003"/>
      <c r="I285" s="1003"/>
      <c r="J285" s="1003"/>
      <c r="K285" s="1003">
        <f t="shared" si="4"/>
        <v>9</v>
      </c>
      <c r="L285" s="1004"/>
      <c r="M285" s="1003"/>
      <c r="N285" s="1003">
        <v>2</v>
      </c>
      <c r="O285" s="1005">
        <v>16</v>
      </c>
    </row>
    <row r="286" spans="1:15" x14ac:dyDescent="0.2">
      <c r="A286"/>
      <c r="B286" s="1002">
        <v>48</v>
      </c>
      <c r="C286" s="1003"/>
      <c r="D286" s="1003"/>
      <c r="E286" s="1003"/>
      <c r="F286" s="1003">
        <v>8</v>
      </c>
      <c r="G286" s="1003"/>
      <c r="H286" s="1003"/>
      <c r="I286" s="1003"/>
      <c r="J286" s="1003"/>
      <c r="K286" s="1003">
        <f t="shared" si="4"/>
        <v>8</v>
      </c>
      <c r="L286" s="1004"/>
      <c r="M286" s="1003"/>
      <c r="N286" s="1003"/>
      <c r="O286" s="1005">
        <v>16</v>
      </c>
    </row>
    <row r="287" spans="1:15" x14ac:dyDescent="0.2">
      <c r="A287"/>
      <c r="B287" s="1002">
        <v>48</v>
      </c>
      <c r="C287" s="1003"/>
      <c r="D287" s="1003"/>
      <c r="E287" s="1003"/>
      <c r="F287" s="1003">
        <v>1</v>
      </c>
      <c r="G287" s="1003">
        <v>6</v>
      </c>
      <c r="H287" s="1003"/>
      <c r="I287" s="1003"/>
      <c r="J287" s="1003"/>
      <c r="K287" s="1003">
        <f t="shared" si="4"/>
        <v>7</v>
      </c>
      <c r="L287" s="1004"/>
      <c r="M287" s="1003"/>
      <c r="N287" s="1003">
        <v>6</v>
      </c>
      <c r="O287" s="1005">
        <v>8</v>
      </c>
    </row>
    <row r="288" spans="1:15" x14ac:dyDescent="0.2">
      <c r="A288"/>
      <c r="B288" s="1002">
        <v>48</v>
      </c>
      <c r="C288" s="1003"/>
      <c r="D288" s="1003"/>
      <c r="E288" s="1003"/>
      <c r="F288" s="1003"/>
      <c r="G288" s="1003"/>
      <c r="H288" s="1003">
        <v>6</v>
      </c>
      <c r="I288" s="1003"/>
      <c r="J288" s="1003"/>
      <c r="K288" s="1003">
        <f t="shared" si="4"/>
        <v>6</v>
      </c>
      <c r="L288" s="1004"/>
      <c r="M288" s="1003"/>
      <c r="N288" s="1003">
        <v>4</v>
      </c>
      <c r="O288" s="1005">
        <v>8</v>
      </c>
    </row>
    <row r="289" spans="1:15" x14ac:dyDescent="0.2">
      <c r="A289"/>
      <c r="B289" s="1002">
        <v>48</v>
      </c>
      <c r="C289" s="1003"/>
      <c r="D289" s="1003"/>
      <c r="E289" s="1003"/>
      <c r="F289" s="1003"/>
      <c r="G289" s="1003"/>
      <c r="H289" s="1003"/>
      <c r="I289" s="1003">
        <v>2</v>
      </c>
      <c r="J289" s="1003">
        <v>3</v>
      </c>
      <c r="K289" s="1003">
        <f t="shared" si="4"/>
        <v>5</v>
      </c>
      <c r="L289" s="1004"/>
      <c r="M289" s="1003"/>
      <c r="N289" s="1003">
        <v>2</v>
      </c>
      <c r="O289" s="1005">
        <v>8</v>
      </c>
    </row>
    <row r="290" spans="1:15" collapsed="1" x14ac:dyDescent="0.2">
      <c r="A290"/>
      <c r="B290" s="1002">
        <v>49</v>
      </c>
      <c r="C290" s="1003">
        <v>15</v>
      </c>
      <c r="D290" s="1003">
        <v>1</v>
      </c>
      <c r="E290" s="1003"/>
      <c r="F290" s="1003"/>
      <c r="G290" s="1003"/>
      <c r="H290" s="1003"/>
      <c r="I290" s="1003"/>
      <c r="J290" s="1003"/>
      <c r="K290" s="1003">
        <f t="shared" si="4"/>
        <v>16</v>
      </c>
      <c r="L290" s="1004"/>
      <c r="M290" s="1003"/>
      <c r="N290" s="1003"/>
      <c r="O290" s="1005">
        <v>32</v>
      </c>
    </row>
    <row r="291" spans="1:15" collapsed="1" x14ac:dyDescent="0.2">
      <c r="A291"/>
      <c r="B291" s="1002">
        <v>49</v>
      </c>
      <c r="C291" s="1003">
        <v>11</v>
      </c>
      <c r="D291" s="1003">
        <v>4</v>
      </c>
      <c r="E291" s="1003"/>
      <c r="F291" s="1003"/>
      <c r="G291" s="1003"/>
      <c r="H291" s="1003"/>
      <c r="I291" s="1003"/>
      <c r="J291" s="1003"/>
      <c r="K291" s="1003">
        <f t="shared" si="4"/>
        <v>15</v>
      </c>
      <c r="L291" s="1004"/>
      <c r="M291" s="1003"/>
      <c r="N291" s="1003">
        <v>14</v>
      </c>
      <c r="O291" s="1005">
        <v>16</v>
      </c>
    </row>
    <row r="292" spans="1:15" x14ac:dyDescent="0.2">
      <c r="A292"/>
      <c r="B292" s="1002">
        <v>49</v>
      </c>
      <c r="C292" s="1003">
        <v>7</v>
      </c>
      <c r="D292" s="1003">
        <v>7</v>
      </c>
      <c r="E292" s="1003"/>
      <c r="F292" s="1003"/>
      <c r="G292" s="1003"/>
      <c r="H292" s="1003"/>
      <c r="I292" s="1003"/>
      <c r="J292" s="1003"/>
      <c r="K292" s="1003">
        <f t="shared" si="4"/>
        <v>14</v>
      </c>
      <c r="L292" s="1004"/>
      <c r="M292" s="1003"/>
      <c r="N292" s="1003">
        <v>12</v>
      </c>
      <c r="O292" s="1005">
        <v>16</v>
      </c>
    </row>
    <row r="293" spans="1:15" collapsed="1" x14ac:dyDescent="0.2">
      <c r="A293"/>
      <c r="B293" s="1002">
        <v>49</v>
      </c>
      <c r="C293" s="1003">
        <v>3</v>
      </c>
      <c r="D293" s="1003">
        <v>10</v>
      </c>
      <c r="E293" s="1003"/>
      <c r="F293" s="1003"/>
      <c r="G293" s="1003"/>
      <c r="H293" s="1003"/>
      <c r="I293" s="1003"/>
      <c r="J293" s="1003"/>
      <c r="K293" s="1003">
        <f t="shared" si="4"/>
        <v>13</v>
      </c>
      <c r="L293" s="1004"/>
      <c r="M293" s="1003"/>
      <c r="N293" s="1003">
        <v>10</v>
      </c>
      <c r="O293" s="1005">
        <v>16</v>
      </c>
    </row>
    <row r="294" spans="1:15" collapsed="1" x14ac:dyDescent="0.2">
      <c r="A294"/>
      <c r="B294" s="1002">
        <v>49</v>
      </c>
      <c r="C294" s="1003"/>
      <c r="D294" s="1003">
        <v>11</v>
      </c>
      <c r="E294" s="1003">
        <v>1</v>
      </c>
      <c r="F294" s="1003"/>
      <c r="G294" s="1003"/>
      <c r="H294" s="1003"/>
      <c r="I294" s="1003"/>
      <c r="J294" s="1003"/>
      <c r="K294" s="1003">
        <f t="shared" si="4"/>
        <v>12</v>
      </c>
      <c r="L294" s="1004"/>
      <c r="M294" s="1003"/>
      <c r="N294" s="1003">
        <v>8</v>
      </c>
      <c r="O294" s="1005">
        <v>16</v>
      </c>
    </row>
    <row r="295" spans="1:15" x14ac:dyDescent="0.2">
      <c r="A295"/>
      <c r="B295" s="1002">
        <v>49</v>
      </c>
      <c r="C295" s="1003"/>
      <c r="D295" s="1003">
        <v>6</v>
      </c>
      <c r="E295" s="1003">
        <v>5</v>
      </c>
      <c r="F295" s="1003"/>
      <c r="G295" s="1003"/>
      <c r="H295" s="1003"/>
      <c r="I295" s="1003"/>
      <c r="J295" s="1003"/>
      <c r="K295" s="1003">
        <f t="shared" si="4"/>
        <v>11</v>
      </c>
      <c r="L295" s="1004"/>
      <c r="M295" s="1003"/>
      <c r="N295" s="1003">
        <v>6</v>
      </c>
      <c r="O295" s="1005">
        <v>16</v>
      </c>
    </row>
    <row r="296" spans="1:15" collapsed="1" x14ac:dyDescent="0.2">
      <c r="A296"/>
      <c r="B296" s="1002">
        <v>49</v>
      </c>
      <c r="C296" s="1003"/>
      <c r="D296" s="1003">
        <v>1</v>
      </c>
      <c r="E296" s="1003">
        <v>9</v>
      </c>
      <c r="F296" s="1003"/>
      <c r="G296" s="1003"/>
      <c r="H296" s="1003"/>
      <c r="I296" s="1003"/>
      <c r="J296" s="1003"/>
      <c r="K296" s="1003">
        <f t="shared" si="4"/>
        <v>10</v>
      </c>
      <c r="L296" s="1004"/>
      <c r="M296" s="1003"/>
      <c r="N296" s="1003">
        <v>4</v>
      </c>
      <c r="O296" s="1005">
        <v>16</v>
      </c>
    </row>
    <row r="297" spans="1:15" collapsed="1" x14ac:dyDescent="0.2">
      <c r="A297"/>
      <c r="B297" s="1002">
        <v>49</v>
      </c>
      <c r="C297" s="1003"/>
      <c r="D297" s="1003"/>
      <c r="E297" s="1003">
        <v>5</v>
      </c>
      <c r="F297" s="1003">
        <v>4</v>
      </c>
      <c r="G297" s="1003"/>
      <c r="H297" s="1003"/>
      <c r="I297" s="1003"/>
      <c r="J297" s="1003"/>
      <c r="K297" s="1003">
        <f t="shared" si="4"/>
        <v>9</v>
      </c>
      <c r="L297" s="1004"/>
      <c r="M297" s="1003"/>
      <c r="N297" s="1003">
        <v>2</v>
      </c>
      <c r="O297" s="1005">
        <v>16</v>
      </c>
    </row>
    <row r="298" spans="1:15" x14ac:dyDescent="0.2">
      <c r="A298"/>
      <c r="B298" s="1002">
        <v>49</v>
      </c>
      <c r="C298" s="1003"/>
      <c r="D298" s="1003"/>
      <c r="E298" s="1003"/>
      <c r="F298" s="1003">
        <v>7</v>
      </c>
      <c r="G298" s="1003">
        <v>1</v>
      </c>
      <c r="H298" s="1003"/>
      <c r="I298" s="1003"/>
      <c r="J298" s="1003"/>
      <c r="K298" s="1003">
        <f t="shared" si="4"/>
        <v>8</v>
      </c>
      <c r="L298" s="1004"/>
      <c r="M298" s="1003"/>
      <c r="N298" s="1003"/>
      <c r="O298" s="1005">
        <v>16</v>
      </c>
    </row>
    <row r="299" spans="1:15" x14ac:dyDescent="0.2">
      <c r="A299"/>
      <c r="B299" s="1002">
        <v>49</v>
      </c>
      <c r="C299" s="1003"/>
      <c r="D299" s="1003"/>
      <c r="E299" s="1003"/>
      <c r="F299" s="1003"/>
      <c r="G299" s="1003">
        <v>7</v>
      </c>
      <c r="H299" s="1003"/>
      <c r="I299" s="1003"/>
      <c r="J299" s="1003"/>
      <c r="K299" s="1003">
        <f t="shared" si="4"/>
        <v>7</v>
      </c>
      <c r="L299" s="1004"/>
      <c r="M299" s="1003"/>
      <c r="N299" s="1003">
        <v>6</v>
      </c>
      <c r="O299" s="1005">
        <v>8</v>
      </c>
    </row>
    <row r="300" spans="1:15" x14ac:dyDescent="0.2">
      <c r="A300"/>
      <c r="B300" s="1002">
        <v>49</v>
      </c>
      <c r="C300" s="1003"/>
      <c r="D300" s="1003"/>
      <c r="E300" s="1003"/>
      <c r="F300" s="1003"/>
      <c r="G300" s="1003"/>
      <c r="H300" s="1003">
        <v>5</v>
      </c>
      <c r="I300" s="1003">
        <v>1</v>
      </c>
      <c r="J300" s="1003"/>
      <c r="K300" s="1003">
        <f t="shared" si="4"/>
        <v>6</v>
      </c>
      <c r="L300" s="1004"/>
      <c r="M300" s="1003"/>
      <c r="N300" s="1003">
        <v>4</v>
      </c>
      <c r="O300" s="1005">
        <v>8</v>
      </c>
    </row>
    <row r="301" spans="1:15" x14ac:dyDescent="0.2">
      <c r="A301"/>
      <c r="B301" s="1002">
        <v>49</v>
      </c>
      <c r="C301" s="1003"/>
      <c r="D301" s="1003"/>
      <c r="E301" s="1003"/>
      <c r="F301" s="1003"/>
      <c r="G301" s="1003"/>
      <c r="H301" s="1003"/>
      <c r="I301" s="1003">
        <v>1</v>
      </c>
      <c r="J301" s="1003">
        <v>4</v>
      </c>
      <c r="K301" s="1003">
        <f t="shared" si="4"/>
        <v>5</v>
      </c>
      <c r="L301" s="1004"/>
      <c r="M301" s="1003"/>
      <c r="N301" s="1003">
        <v>2</v>
      </c>
      <c r="O301" s="1005">
        <v>8</v>
      </c>
    </row>
    <row r="302" spans="1:15" collapsed="1" x14ac:dyDescent="0.2">
      <c r="A302"/>
      <c r="B302" s="1002">
        <v>50</v>
      </c>
      <c r="C302" s="1003">
        <v>14</v>
      </c>
      <c r="D302" s="1003">
        <v>2</v>
      </c>
      <c r="E302" s="1003"/>
      <c r="F302" s="1003"/>
      <c r="G302" s="1003"/>
      <c r="H302" s="1003"/>
      <c r="I302" s="1003"/>
      <c r="J302" s="1003"/>
      <c r="K302" s="1003">
        <f t="shared" si="4"/>
        <v>16</v>
      </c>
      <c r="L302" s="1004"/>
      <c r="M302" s="1003"/>
      <c r="N302" s="1003"/>
      <c r="O302" s="1005">
        <v>32</v>
      </c>
    </row>
    <row r="303" spans="1:15" collapsed="1" x14ac:dyDescent="0.2">
      <c r="A303"/>
      <c r="B303" s="1002">
        <v>50</v>
      </c>
      <c r="C303" s="1003">
        <v>10</v>
      </c>
      <c r="D303" s="1003">
        <v>5</v>
      </c>
      <c r="E303" s="1003"/>
      <c r="F303" s="1003"/>
      <c r="G303" s="1003"/>
      <c r="H303" s="1003"/>
      <c r="I303" s="1003"/>
      <c r="J303" s="1003"/>
      <c r="K303" s="1003">
        <f t="shared" si="4"/>
        <v>15</v>
      </c>
      <c r="L303" s="1004"/>
      <c r="M303" s="1003"/>
      <c r="N303" s="1003">
        <v>14</v>
      </c>
      <c r="O303" s="1005">
        <v>16</v>
      </c>
    </row>
    <row r="304" spans="1:15" x14ac:dyDescent="0.2">
      <c r="A304"/>
      <c r="B304" s="1002">
        <v>50</v>
      </c>
      <c r="C304" s="1003">
        <v>6</v>
      </c>
      <c r="D304" s="1003">
        <v>8</v>
      </c>
      <c r="E304" s="1003"/>
      <c r="F304" s="1003"/>
      <c r="G304" s="1003"/>
      <c r="H304" s="1003"/>
      <c r="I304" s="1003"/>
      <c r="J304" s="1003"/>
      <c r="K304" s="1003">
        <f t="shared" si="4"/>
        <v>14</v>
      </c>
      <c r="L304" s="1004"/>
      <c r="M304" s="1003"/>
      <c r="N304" s="1003">
        <v>12</v>
      </c>
      <c r="O304" s="1005">
        <v>16</v>
      </c>
    </row>
    <row r="305" spans="1:15" collapsed="1" x14ac:dyDescent="0.2">
      <c r="A305"/>
      <c r="B305" s="1002">
        <v>50</v>
      </c>
      <c r="C305" s="1003">
        <v>2</v>
      </c>
      <c r="D305" s="1003">
        <v>11</v>
      </c>
      <c r="E305" s="1003"/>
      <c r="F305" s="1003"/>
      <c r="G305" s="1003"/>
      <c r="H305" s="1003"/>
      <c r="I305" s="1003"/>
      <c r="J305" s="1003"/>
      <c r="K305" s="1003">
        <f t="shared" si="4"/>
        <v>13</v>
      </c>
      <c r="L305" s="1004"/>
      <c r="M305" s="1003"/>
      <c r="N305" s="1003">
        <v>10</v>
      </c>
      <c r="O305" s="1005">
        <v>16</v>
      </c>
    </row>
    <row r="306" spans="1:15" collapsed="1" x14ac:dyDescent="0.2">
      <c r="A306"/>
      <c r="B306" s="1002">
        <v>50</v>
      </c>
      <c r="C306" s="1003"/>
      <c r="D306" s="1003">
        <v>10</v>
      </c>
      <c r="E306" s="1003">
        <v>2</v>
      </c>
      <c r="F306" s="1003"/>
      <c r="G306" s="1003"/>
      <c r="H306" s="1003"/>
      <c r="I306" s="1003"/>
      <c r="J306" s="1003"/>
      <c r="K306" s="1003">
        <f t="shared" si="4"/>
        <v>12</v>
      </c>
      <c r="L306" s="1004"/>
      <c r="M306" s="1003"/>
      <c r="N306" s="1003">
        <v>8</v>
      </c>
      <c r="O306" s="1005">
        <v>16</v>
      </c>
    </row>
    <row r="307" spans="1:15" x14ac:dyDescent="0.2">
      <c r="A307"/>
      <c r="B307" s="1002">
        <v>50</v>
      </c>
      <c r="C307" s="1003"/>
      <c r="D307" s="1003">
        <v>5</v>
      </c>
      <c r="E307" s="1003">
        <v>6</v>
      </c>
      <c r="F307" s="1003"/>
      <c r="G307" s="1003"/>
      <c r="H307" s="1003"/>
      <c r="I307" s="1003"/>
      <c r="J307" s="1003"/>
      <c r="K307" s="1003">
        <f t="shared" si="4"/>
        <v>11</v>
      </c>
      <c r="L307" s="1004"/>
      <c r="M307" s="1003"/>
      <c r="N307" s="1003">
        <v>6</v>
      </c>
      <c r="O307" s="1005">
        <v>16</v>
      </c>
    </row>
    <row r="308" spans="1:15" collapsed="1" x14ac:dyDescent="0.2">
      <c r="A308"/>
      <c r="B308" s="1002">
        <v>50</v>
      </c>
      <c r="C308" s="1003"/>
      <c r="D308" s="1003"/>
      <c r="E308" s="1003">
        <v>10</v>
      </c>
      <c r="F308" s="1003"/>
      <c r="G308" s="1003"/>
      <c r="H308" s="1003"/>
      <c r="I308" s="1003"/>
      <c r="J308" s="1003"/>
      <c r="K308" s="1003">
        <f t="shared" si="4"/>
        <v>10</v>
      </c>
      <c r="L308" s="1004"/>
      <c r="M308" s="1003"/>
      <c r="N308" s="1003">
        <v>4</v>
      </c>
      <c r="O308" s="1005">
        <v>16</v>
      </c>
    </row>
    <row r="309" spans="1:15" collapsed="1" x14ac:dyDescent="0.2">
      <c r="A309"/>
      <c r="B309" s="1002">
        <v>50</v>
      </c>
      <c r="C309" s="1003"/>
      <c r="D309" s="1003"/>
      <c r="E309" s="1003">
        <v>4</v>
      </c>
      <c r="F309" s="1003">
        <v>5</v>
      </c>
      <c r="G309" s="1003"/>
      <c r="H309" s="1003"/>
      <c r="I309" s="1003"/>
      <c r="J309" s="1003"/>
      <c r="K309" s="1003">
        <f t="shared" si="4"/>
        <v>9</v>
      </c>
      <c r="L309" s="1004"/>
      <c r="M309" s="1003"/>
      <c r="N309" s="1003">
        <v>2</v>
      </c>
      <c r="O309" s="1005">
        <v>16</v>
      </c>
    </row>
    <row r="310" spans="1:15" x14ac:dyDescent="0.2">
      <c r="A310"/>
      <c r="B310" s="1002">
        <v>50</v>
      </c>
      <c r="C310" s="1003"/>
      <c r="D310" s="1003"/>
      <c r="E310" s="1003"/>
      <c r="F310" s="1003">
        <v>6</v>
      </c>
      <c r="G310" s="1003">
        <v>2</v>
      </c>
      <c r="H310" s="1003"/>
      <c r="I310" s="1003"/>
      <c r="J310" s="1003"/>
      <c r="K310" s="1003">
        <f t="shared" si="4"/>
        <v>8</v>
      </c>
      <c r="L310" s="1004"/>
      <c r="M310" s="1003"/>
      <c r="N310" s="1003"/>
      <c r="O310" s="1005">
        <v>16</v>
      </c>
    </row>
    <row r="311" spans="1:15" x14ac:dyDescent="0.2">
      <c r="A311"/>
      <c r="B311" s="1002">
        <v>50</v>
      </c>
      <c r="C311" s="1003"/>
      <c r="D311" s="1003"/>
      <c r="E311" s="1003"/>
      <c r="F311" s="1003"/>
      <c r="G311" s="1003">
        <v>6</v>
      </c>
      <c r="H311" s="1003">
        <v>1</v>
      </c>
      <c r="I311" s="1003"/>
      <c r="J311" s="1003"/>
      <c r="K311" s="1003">
        <f t="shared" si="4"/>
        <v>7</v>
      </c>
      <c r="L311" s="1004"/>
      <c r="M311" s="1003"/>
      <c r="N311" s="1003">
        <v>6</v>
      </c>
      <c r="O311" s="1005">
        <v>8</v>
      </c>
    </row>
    <row r="312" spans="1:15" x14ac:dyDescent="0.2">
      <c r="A312"/>
      <c r="B312" s="1002">
        <v>50</v>
      </c>
      <c r="C312" s="1003"/>
      <c r="D312" s="1003"/>
      <c r="E312" s="1003"/>
      <c r="F312" s="1003"/>
      <c r="G312" s="1003"/>
      <c r="H312" s="1003">
        <v>4</v>
      </c>
      <c r="I312" s="1003">
        <v>2</v>
      </c>
      <c r="J312" s="1003"/>
      <c r="K312" s="1003">
        <f t="shared" si="4"/>
        <v>6</v>
      </c>
      <c r="L312" s="1004"/>
      <c r="M312" s="1003"/>
      <c r="N312" s="1003">
        <v>4</v>
      </c>
      <c r="O312" s="1005">
        <v>8</v>
      </c>
    </row>
    <row r="313" spans="1:15" x14ac:dyDescent="0.2">
      <c r="A313"/>
      <c r="B313" s="1002">
        <v>50</v>
      </c>
      <c r="C313" s="1003"/>
      <c r="D313" s="1003"/>
      <c r="E313" s="1003"/>
      <c r="F313" s="1003"/>
      <c r="G313" s="1003"/>
      <c r="H313" s="1003"/>
      <c r="I313" s="1003"/>
      <c r="J313" s="1003">
        <v>5</v>
      </c>
      <c r="K313" s="1003">
        <f t="shared" si="4"/>
        <v>5</v>
      </c>
      <c r="L313" s="1004"/>
      <c r="M313" s="1003"/>
      <c r="N313" s="1003">
        <v>2</v>
      </c>
      <c r="O313" s="1005">
        <v>8</v>
      </c>
    </row>
    <row r="314" spans="1:15" collapsed="1" x14ac:dyDescent="0.2">
      <c r="A314"/>
      <c r="B314" s="1002">
        <v>51</v>
      </c>
      <c r="C314" s="1003">
        <v>17</v>
      </c>
      <c r="D314" s="1003"/>
      <c r="E314" s="1003"/>
      <c r="F314" s="1003"/>
      <c r="G314" s="1003"/>
      <c r="H314" s="1003"/>
      <c r="I314" s="1003"/>
      <c r="J314" s="1003"/>
      <c r="K314" s="1003">
        <f t="shared" si="4"/>
        <v>17</v>
      </c>
      <c r="L314" s="1004"/>
      <c r="M314" s="1003"/>
      <c r="N314" s="1003">
        <v>2</v>
      </c>
      <c r="O314" s="1005">
        <v>32</v>
      </c>
    </row>
    <row r="315" spans="1:15" collapsed="1" x14ac:dyDescent="0.2">
      <c r="A315"/>
      <c r="B315" s="1002">
        <v>51</v>
      </c>
      <c r="C315" s="1003">
        <v>13</v>
      </c>
      <c r="D315" s="1003">
        <v>3</v>
      </c>
      <c r="E315" s="1003"/>
      <c r="F315" s="1003"/>
      <c r="G315" s="1003"/>
      <c r="H315" s="1003"/>
      <c r="I315" s="1003"/>
      <c r="J315" s="1003"/>
      <c r="K315" s="1003">
        <f t="shared" si="4"/>
        <v>16</v>
      </c>
      <c r="L315" s="1004"/>
      <c r="M315" s="1003"/>
      <c r="N315" s="1003"/>
      <c r="O315" s="1005">
        <v>32</v>
      </c>
    </row>
    <row r="316" spans="1:15" collapsed="1" x14ac:dyDescent="0.2">
      <c r="A316"/>
      <c r="B316" s="1002">
        <v>51</v>
      </c>
      <c r="C316" s="1003">
        <v>9</v>
      </c>
      <c r="D316" s="1003">
        <v>6</v>
      </c>
      <c r="E316" s="1003"/>
      <c r="F316" s="1003"/>
      <c r="G316" s="1003"/>
      <c r="H316" s="1003"/>
      <c r="I316" s="1003"/>
      <c r="J316" s="1003"/>
      <c r="K316" s="1003">
        <f t="shared" si="4"/>
        <v>15</v>
      </c>
      <c r="L316" s="1004"/>
      <c r="M316" s="1003"/>
      <c r="N316" s="1003">
        <v>14</v>
      </c>
      <c r="O316" s="1005">
        <v>16</v>
      </c>
    </row>
    <row r="317" spans="1:15" x14ac:dyDescent="0.2">
      <c r="A317"/>
      <c r="B317" s="1002">
        <v>51</v>
      </c>
      <c r="C317" s="1003">
        <v>5</v>
      </c>
      <c r="D317" s="1003">
        <v>9</v>
      </c>
      <c r="E317" s="1003"/>
      <c r="F317" s="1003"/>
      <c r="G317" s="1003"/>
      <c r="H317" s="1003"/>
      <c r="I317" s="1003"/>
      <c r="J317" s="1003"/>
      <c r="K317" s="1003">
        <f t="shared" si="4"/>
        <v>14</v>
      </c>
      <c r="L317" s="1004"/>
      <c r="M317" s="1003"/>
      <c r="N317" s="1003">
        <v>12</v>
      </c>
      <c r="O317" s="1005">
        <v>16</v>
      </c>
    </row>
    <row r="318" spans="1:15" collapsed="1" x14ac:dyDescent="0.2">
      <c r="A318"/>
      <c r="B318" s="1002">
        <v>51</v>
      </c>
      <c r="C318" s="1003">
        <v>1</v>
      </c>
      <c r="D318" s="1003">
        <v>12</v>
      </c>
      <c r="E318" s="1003"/>
      <c r="F318" s="1003"/>
      <c r="G318" s="1003"/>
      <c r="H318" s="1003"/>
      <c r="I318" s="1003"/>
      <c r="J318" s="1003"/>
      <c r="K318" s="1003">
        <f t="shared" si="4"/>
        <v>13</v>
      </c>
      <c r="L318" s="1004"/>
      <c r="M318" s="1003"/>
      <c r="N318" s="1003">
        <v>10</v>
      </c>
      <c r="O318" s="1005">
        <v>16</v>
      </c>
    </row>
    <row r="319" spans="1:15" collapsed="1" x14ac:dyDescent="0.2">
      <c r="A319"/>
      <c r="B319" s="1002">
        <v>51</v>
      </c>
      <c r="C319" s="1003"/>
      <c r="D319" s="1003">
        <v>9</v>
      </c>
      <c r="E319" s="1003">
        <v>3</v>
      </c>
      <c r="F319" s="1003"/>
      <c r="G319" s="1003"/>
      <c r="H319" s="1003"/>
      <c r="I319" s="1003"/>
      <c r="J319" s="1003"/>
      <c r="K319" s="1003">
        <f t="shared" si="4"/>
        <v>12</v>
      </c>
      <c r="L319" s="1004"/>
      <c r="M319" s="1003"/>
      <c r="N319" s="1003">
        <v>8</v>
      </c>
      <c r="O319" s="1005">
        <v>16</v>
      </c>
    </row>
    <row r="320" spans="1:15" x14ac:dyDescent="0.2">
      <c r="A320"/>
      <c r="B320" s="1002">
        <v>51</v>
      </c>
      <c r="C320" s="1003"/>
      <c r="D320" s="1003">
        <v>4</v>
      </c>
      <c r="E320" s="1003">
        <v>7</v>
      </c>
      <c r="F320" s="1003"/>
      <c r="G320" s="1003"/>
      <c r="H320" s="1003"/>
      <c r="I320" s="1003"/>
      <c r="J320" s="1003"/>
      <c r="K320" s="1003">
        <f t="shared" si="4"/>
        <v>11</v>
      </c>
      <c r="L320" s="1004"/>
      <c r="M320" s="1003"/>
      <c r="N320" s="1003">
        <v>6</v>
      </c>
      <c r="O320" s="1005">
        <v>16</v>
      </c>
    </row>
    <row r="321" spans="1:15" collapsed="1" x14ac:dyDescent="0.2">
      <c r="A321"/>
      <c r="B321" s="1002">
        <v>51</v>
      </c>
      <c r="C321" s="1003"/>
      <c r="D321" s="1003"/>
      <c r="E321" s="1003">
        <v>9</v>
      </c>
      <c r="F321" s="1003">
        <v>1</v>
      </c>
      <c r="G321" s="1003"/>
      <c r="H321" s="1003"/>
      <c r="I321" s="1003"/>
      <c r="J321" s="1003"/>
      <c r="K321" s="1003">
        <f t="shared" si="4"/>
        <v>10</v>
      </c>
      <c r="L321" s="1004"/>
      <c r="M321" s="1003"/>
      <c r="N321" s="1003">
        <v>4</v>
      </c>
      <c r="O321" s="1005">
        <v>16</v>
      </c>
    </row>
    <row r="322" spans="1:15" collapsed="1" x14ac:dyDescent="0.2">
      <c r="A322"/>
      <c r="B322" s="1002">
        <v>51</v>
      </c>
      <c r="C322" s="1003"/>
      <c r="D322" s="1003"/>
      <c r="E322" s="1003">
        <v>3</v>
      </c>
      <c r="F322" s="1003">
        <v>6</v>
      </c>
      <c r="G322" s="1003"/>
      <c r="H322" s="1003"/>
      <c r="I322" s="1003"/>
      <c r="J322" s="1003"/>
      <c r="K322" s="1003">
        <f t="shared" si="4"/>
        <v>9</v>
      </c>
      <c r="L322" s="1004"/>
      <c r="M322" s="1003"/>
      <c r="N322" s="1003">
        <v>2</v>
      </c>
      <c r="O322" s="1005">
        <v>16</v>
      </c>
    </row>
    <row r="323" spans="1:15" x14ac:dyDescent="0.2">
      <c r="A323"/>
      <c r="B323" s="1002">
        <v>51</v>
      </c>
      <c r="C323" s="1003"/>
      <c r="D323" s="1003"/>
      <c r="E323" s="1003"/>
      <c r="F323" s="1003">
        <v>5</v>
      </c>
      <c r="G323" s="1003">
        <v>3</v>
      </c>
      <c r="H323" s="1003"/>
      <c r="I323" s="1003"/>
      <c r="J323" s="1003"/>
      <c r="K323" s="1003">
        <f t="shared" si="4"/>
        <v>8</v>
      </c>
      <c r="L323" s="1004"/>
      <c r="M323" s="1003"/>
      <c r="N323" s="1003"/>
      <c r="O323" s="1005">
        <v>16</v>
      </c>
    </row>
    <row r="324" spans="1:15" x14ac:dyDescent="0.2">
      <c r="A324"/>
      <c r="B324" s="1002">
        <v>51</v>
      </c>
      <c r="C324" s="1003"/>
      <c r="D324" s="1003"/>
      <c r="E324" s="1003"/>
      <c r="F324" s="1003"/>
      <c r="G324" s="1003">
        <v>5</v>
      </c>
      <c r="H324" s="1003">
        <v>2</v>
      </c>
      <c r="I324" s="1003"/>
      <c r="J324" s="1003"/>
      <c r="K324" s="1003">
        <f t="shared" si="4"/>
        <v>7</v>
      </c>
      <c r="L324" s="1004"/>
      <c r="M324" s="1003"/>
      <c r="N324" s="1003">
        <v>6</v>
      </c>
      <c r="O324" s="1005">
        <v>8</v>
      </c>
    </row>
    <row r="325" spans="1:15" x14ac:dyDescent="0.2">
      <c r="A325"/>
      <c r="B325" s="1002">
        <v>51</v>
      </c>
      <c r="C325" s="1003"/>
      <c r="D325" s="1003"/>
      <c r="E325" s="1003"/>
      <c r="F325" s="1003"/>
      <c r="G325" s="1003"/>
      <c r="H325" s="1003">
        <v>3</v>
      </c>
      <c r="I325" s="1003">
        <v>3</v>
      </c>
      <c r="J325" s="1003"/>
      <c r="K325" s="1003">
        <f t="shared" si="4"/>
        <v>6</v>
      </c>
      <c r="L325" s="1004"/>
      <c r="M325" s="1003"/>
      <c r="N325" s="1003">
        <v>4</v>
      </c>
      <c r="O325" s="1005">
        <v>8</v>
      </c>
    </row>
    <row r="326" spans="1:15" collapsed="1" x14ac:dyDescent="0.2">
      <c r="A326"/>
      <c r="B326" s="1002">
        <v>52</v>
      </c>
      <c r="C326" s="1003">
        <v>16</v>
      </c>
      <c r="D326" s="1003">
        <v>1</v>
      </c>
      <c r="E326" s="1003"/>
      <c r="F326" s="1003"/>
      <c r="G326" s="1003"/>
      <c r="H326" s="1003"/>
      <c r="I326" s="1003"/>
      <c r="J326" s="1003"/>
      <c r="K326" s="1003">
        <f t="shared" ref="K326:K389" si="5">SUM(C326:J326)</f>
        <v>17</v>
      </c>
      <c r="L326" s="1004"/>
      <c r="M326" s="1003"/>
      <c r="N326" s="1003">
        <v>2</v>
      </c>
      <c r="O326" s="1005">
        <v>32</v>
      </c>
    </row>
    <row r="327" spans="1:15" collapsed="1" x14ac:dyDescent="0.2">
      <c r="A327"/>
      <c r="B327" s="1002">
        <v>52</v>
      </c>
      <c r="C327" s="1003">
        <v>12</v>
      </c>
      <c r="D327" s="1003">
        <v>4</v>
      </c>
      <c r="E327" s="1003"/>
      <c r="F327" s="1003"/>
      <c r="G327" s="1003"/>
      <c r="H327" s="1003"/>
      <c r="I327" s="1003"/>
      <c r="J327" s="1003"/>
      <c r="K327" s="1003">
        <f t="shared" si="5"/>
        <v>16</v>
      </c>
      <c r="L327" s="1004"/>
      <c r="M327" s="1003"/>
      <c r="N327" s="1003"/>
      <c r="O327" s="1005">
        <v>32</v>
      </c>
    </row>
    <row r="328" spans="1:15" collapsed="1" x14ac:dyDescent="0.2">
      <c r="A328"/>
      <c r="B328" s="1002">
        <v>52</v>
      </c>
      <c r="C328" s="1003">
        <v>8</v>
      </c>
      <c r="D328" s="1003">
        <v>7</v>
      </c>
      <c r="E328" s="1003"/>
      <c r="F328" s="1003"/>
      <c r="G328" s="1003"/>
      <c r="H328" s="1003"/>
      <c r="I328" s="1003"/>
      <c r="J328" s="1003"/>
      <c r="K328" s="1003">
        <f t="shared" si="5"/>
        <v>15</v>
      </c>
      <c r="L328" s="1004"/>
      <c r="M328" s="1003"/>
      <c r="N328" s="1003">
        <v>14</v>
      </c>
      <c r="O328" s="1005">
        <v>16</v>
      </c>
    </row>
    <row r="329" spans="1:15" x14ac:dyDescent="0.2">
      <c r="A329"/>
      <c r="B329" s="1002">
        <v>52</v>
      </c>
      <c r="C329" s="1003">
        <v>4</v>
      </c>
      <c r="D329" s="1003">
        <v>10</v>
      </c>
      <c r="E329" s="1003"/>
      <c r="F329" s="1003"/>
      <c r="G329" s="1003"/>
      <c r="H329" s="1003"/>
      <c r="I329" s="1003"/>
      <c r="J329" s="1003"/>
      <c r="K329" s="1003">
        <f t="shared" si="5"/>
        <v>14</v>
      </c>
      <c r="L329" s="1004"/>
      <c r="M329" s="1003"/>
      <c r="N329" s="1003">
        <v>12</v>
      </c>
      <c r="O329" s="1005">
        <v>16</v>
      </c>
    </row>
    <row r="330" spans="1:15" collapsed="1" x14ac:dyDescent="0.2">
      <c r="A330"/>
      <c r="B330" s="1002">
        <v>52</v>
      </c>
      <c r="C330" s="1003"/>
      <c r="D330" s="1003">
        <v>13</v>
      </c>
      <c r="E330" s="1003"/>
      <c r="F330" s="1003"/>
      <c r="G330" s="1003"/>
      <c r="H330" s="1003"/>
      <c r="I330" s="1003"/>
      <c r="J330" s="1003"/>
      <c r="K330" s="1003">
        <f t="shared" si="5"/>
        <v>13</v>
      </c>
      <c r="L330" s="1004"/>
      <c r="M330" s="1003"/>
      <c r="N330" s="1003">
        <v>10</v>
      </c>
      <c r="O330" s="1005">
        <v>16</v>
      </c>
    </row>
    <row r="331" spans="1:15" collapsed="1" x14ac:dyDescent="0.2">
      <c r="A331"/>
      <c r="B331" s="1002">
        <v>52</v>
      </c>
      <c r="C331" s="1003"/>
      <c r="D331" s="1003">
        <v>8</v>
      </c>
      <c r="E331" s="1003">
        <v>4</v>
      </c>
      <c r="F331" s="1003"/>
      <c r="G331" s="1003"/>
      <c r="H331" s="1003"/>
      <c r="I331" s="1003"/>
      <c r="J331" s="1003"/>
      <c r="K331" s="1003">
        <f t="shared" si="5"/>
        <v>12</v>
      </c>
      <c r="L331" s="1004"/>
      <c r="M331" s="1003"/>
      <c r="N331" s="1003">
        <v>8</v>
      </c>
      <c r="O331" s="1005">
        <v>16</v>
      </c>
    </row>
    <row r="332" spans="1:15" x14ac:dyDescent="0.2">
      <c r="A332"/>
      <c r="B332" s="1002">
        <v>52</v>
      </c>
      <c r="C332" s="1003"/>
      <c r="D332" s="1003">
        <v>3</v>
      </c>
      <c r="E332" s="1003">
        <v>8</v>
      </c>
      <c r="F332" s="1003"/>
      <c r="G332" s="1003"/>
      <c r="H332" s="1003"/>
      <c r="I332" s="1003"/>
      <c r="J332" s="1003"/>
      <c r="K332" s="1003">
        <f t="shared" si="5"/>
        <v>11</v>
      </c>
      <c r="L332" s="1004"/>
      <c r="M332" s="1003"/>
      <c r="N332" s="1003">
        <v>6</v>
      </c>
      <c r="O332" s="1005">
        <v>16</v>
      </c>
    </row>
    <row r="333" spans="1:15" collapsed="1" x14ac:dyDescent="0.2">
      <c r="A333"/>
      <c r="B333" s="1002">
        <v>52</v>
      </c>
      <c r="C333" s="1003"/>
      <c r="D333" s="1003"/>
      <c r="E333" s="1003">
        <v>8</v>
      </c>
      <c r="F333" s="1003">
        <v>2</v>
      </c>
      <c r="G333" s="1003"/>
      <c r="H333" s="1003"/>
      <c r="I333" s="1003"/>
      <c r="J333" s="1003"/>
      <c r="K333" s="1003">
        <f t="shared" si="5"/>
        <v>10</v>
      </c>
      <c r="L333" s="1004"/>
      <c r="M333" s="1003"/>
      <c r="N333" s="1003">
        <v>4</v>
      </c>
      <c r="O333" s="1005">
        <v>16</v>
      </c>
    </row>
    <row r="334" spans="1:15" collapsed="1" x14ac:dyDescent="0.2">
      <c r="A334"/>
      <c r="B334" s="1002">
        <v>52</v>
      </c>
      <c r="C334" s="1003"/>
      <c r="D334" s="1003"/>
      <c r="E334" s="1003">
        <v>2</v>
      </c>
      <c r="F334" s="1003">
        <v>7</v>
      </c>
      <c r="G334" s="1003"/>
      <c r="H334" s="1003"/>
      <c r="I334" s="1003"/>
      <c r="J334" s="1003"/>
      <c r="K334" s="1003">
        <f t="shared" si="5"/>
        <v>9</v>
      </c>
      <c r="L334" s="1004"/>
      <c r="M334" s="1003"/>
      <c r="N334" s="1003">
        <v>2</v>
      </c>
      <c r="O334" s="1005">
        <v>16</v>
      </c>
    </row>
    <row r="335" spans="1:15" x14ac:dyDescent="0.2">
      <c r="A335"/>
      <c r="B335" s="1002">
        <v>52</v>
      </c>
      <c r="C335" s="1003"/>
      <c r="D335" s="1003"/>
      <c r="E335" s="1003"/>
      <c r="F335" s="1003">
        <v>4</v>
      </c>
      <c r="G335" s="1003">
        <v>4</v>
      </c>
      <c r="H335" s="1003"/>
      <c r="I335" s="1003"/>
      <c r="J335" s="1003"/>
      <c r="K335" s="1003">
        <f t="shared" si="5"/>
        <v>8</v>
      </c>
      <c r="L335" s="1004"/>
      <c r="M335" s="1003"/>
      <c r="N335" s="1003"/>
      <c r="O335" s="1005">
        <v>16</v>
      </c>
    </row>
    <row r="336" spans="1:15" x14ac:dyDescent="0.2">
      <c r="A336"/>
      <c r="B336" s="1002">
        <v>52</v>
      </c>
      <c r="C336" s="1003"/>
      <c r="D336" s="1003"/>
      <c r="E336" s="1003"/>
      <c r="F336" s="1003"/>
      <c r="G336" s="1003">
        <v>4</v>
      </c>
      <c r="H336" s="1003">
        <v>3</v>
      </c>
      <c r="I336" s="1003"/>
      <c r="J336" s="1003"/>
      <c r="K336" s="1003">
        <f t="shared" si="5"/>
        <v>7</v>
      </c>
      <c r="L336" s="1004"/>
      <c r="M336" s="1003"/>
      <c r="N336" s="1003">
        <v>6</v>
      </c>
      <c r="O336" s="1005">
        <v>8</v>
      </c>
    </row>
    <row r="337" spans="1:15" x14ac:dyDescent="0.2">
      <c r="A337"/>
      <c r="B337" s="1002">
        <v>52</v>
      </c>
      <c r="C337" s="1003"/>
      <c r="D337" s="1003"/>
      <c r="E337" s="1003"/>
      <c r="F337" s="1003"/>
      <c r="G337" s="1003"/>
      <c r="H337" s="1003">
        <v>2</v>
      </c>
      <c r="I337" s="1003">
        <v>4</v>
      </c>
      <c r="J337" s="1003"/>
      <c r="K337" s="1003">
        <f t="shared" si="5"/>
        <v>6</v>
      </c>
      <c r="L337" s="1004"/>
      <c r="M337" s="1003"/>
      <c r="N337" s="1003">
        <v>4</v>
      </c>
      <c r="O337" s="1005">
        <v>8</v>
      </c>
    </row>
    <row r="338" spans="1:15" collapsed="1" x14ac:dyDescent="0.2">
      <c r="A338"/>
      <c r="B338" s="1002">
        <v>53</v>
      </c>
      <c r="C338" s="1003">
        <v>15</v>
      </c>
      <c r="D338" s="1003">
        <v>2</v>
      </c>
      <c r="E338" s="1003"/>
      <c r="F338" s="1003"/>
      <c r="G338" s="1003"/>
      <c r="H338" s="1003"/>
      <c r="I338" s="1003"/>
      <c r="J338" s="1003"/>
      <c r="K338" s="1003">
        <f t="shared" si="5"/>
        <v>17</v>
      </c>
      <c r="L338" s="1004"/>
      <c r="M338" s="1003"/>
      <c r="N338" s="1003">
        <v>2</v>
      </c>
      <c r="O338" s="1005">
        <v>32</v>
      </c>
    </row>
    <row r="339" spans="1:15" collapsed="1" x14ac:dyDescent="0.2">
      <c r="A339"/>
      <c r="B339" s="1002">
        <v>53</v>
      </c>
      <c r="C339" s="1003">
        <v>11</v>
      </c>
      <c r="D339" s="1003">
        <v>5</v>
      </c>
      <c r="E339" s="1003"/>
      <c r="F339" s="1003"/>
      <c r="G339" s="1003"/>
      <c r="H339" s="1003"/>
      <c r="I339" s="1003"/>
      <c r="J339" s="1003"/>
      <c r="K339" s="1003">
        <f t="shared" si="5"/>
        <v>16</v>
      </c>
      <c r="L339" s="1004"/>
      <c r="M339" s="1003"/>
      <c r="N339" s="1003"/>
      <c r="O339" s="1005">
        <v>32</v>
      </c>
    </row>
    <row r="340" spans="1:15" collapsed="1" x14ac:dyDescent="0.2">
      <c r="A340"/>
      <c r="B340" s="1002">
        <v>53</v>
      </c>
      <c r="C340" s="1003">
        <v>7</v>
      </c>
      <c r="D340" s="1003">
        <v>8</v>
      </c>
      <c r="E340" s="1003"/>
      <c r="F340" s="1003"/>
      <c r="G340" s="1003"/>
      <c r="H340" s="1003"/>
      <c r="I340" s="1003"/>
      <c r="J340" s="1003"/>
      <c r="K340" s="1003">
        <f t="shared" si="5"/>
        <v>15</v>
      </c>
      <c r="L340" s="1004"/>
      <c r="M340" s="1003"/>
      <c r="N340" s="1003">
        <v>14</v>
      </c>
      <c r="O340" s="1005">
        <v>16</v>
      </c>
    </row>
    <row r="341" spans="1:15" x14ac:dyDescent="0.2">
      <c r="A341"/>
      <c r="B341" s="1002">
        <v>53</v>
      </c>
      <c r="C341" s="1003">
        <v>3</v>
      </c>
      <c r="D341" s="1003">
        <v>11</v>
      </c>
      <c r="E341" s="1003"/>
      <c r="F341" s="1003"/>
      <c r="G341" s="1003"/>
      <c r="H341" s="1003"/>
      <c r="I341" s="1003"/>
      <c r="J341" s="1003"/>
      <c r="K341" s="1003">
        <f t="shared" si="5"/>
        <v>14</v>
      </c>
      <c r="L341" s="1004"/>
      <c r="M341" s="1003"/>
      <c r="N341" s="1003">
        <v>12</v>
      </c>
      <c r="O341" s="1005">
        <v>16</v>
      </c>
    </row>
    <row r="342" spans="1:15" collapsed="1" x14ac:dyDescent="0.2">
      <c r="A342"/>
      <c r="B342" s="1002">
        <v>53</v>
      </c>
      <c r="C342" s="1003"/>
      <c r="D342" s="1003">
        <v>12</v>
      </c>
      <c r="E342" s="1003">
        <v>1</v>
      </c>
      <c r="F342" s="1003"/>
      <c r="G342" s="1003"/>
      <c r="H342" s="1003"/>
      <c r="I342" s="1003"/>
      <c r="J342" s="1003"/>
      <c r="K342" s="1003">
        <f t="shared" si="5"/>
        <v>13</v>
      </c>
      <c r="L342" s="1004"/>
      <c r="M342" s="1003"/>
      <c r="N342" s="1003">
        <v>10</v>
      </c>
      <c r="O342" s="1005">
        <v>16</v>
      </c>
    </row>
    <row r="343" spans="1:15" collapsed="1" x14ac:dyDescent="0.2">
      <c r="A343"/>
      <c r="B343" s="1002">
        <v>53</v>
      </c>
      <c r="C343" s="1003"/>
      <c r="D343" s="1003">
        <v>7</v>
      </c>
      <c r="E343" s="1003">
        <v>5</v>
      </c>
      <c r="F343" s="1003"/>
      <c r="G343" s="1003"/>
      <c r="H343" s="1003"/>
      <c r="I343" s="1003"/>
      <c r="J343" s="1003"/>
      <c r="K343" s="1003">
        <f t="shared" si="5"/>
        <v>12</v>
      </c>
      <c r="L343" s="1004"/>
      <c r="M343" s="1003"/>
      <c r="N343" s="1003">
        <v>8</v>
      </c>
      <c r="O343" s="1005">
        <v>16</v>
      </c>
    </row>
    <row r="344" spans="1:15" x14ac:dyDescent="0.2">
      <c r="A344"/>
      <c r="B344" s="1002">
        <v>53</v>
      </c>
      <c r="C344" s="1003"/>
      <c r="D344" s="1003">
        <v>2</v>
      </c>
      <c r="E344" s="1003">
        <v>9</v>
      </c>
      <c r="F344" s="1003"/>
      <c r="G344" s="1003"/>
      <c r="H344" s="1003"/>
      <c r="I344" s="1003"/>
      <c r="J344" s="1003"/>
      <c r="K344" s="1003">
        <f t="shared" si="5"/>
        <v>11</v>
      </c>
      <c r="L344" s="1004"/>
      <c r="M344" s="1003"/>
      <c r="N344" s="1003">
        <v>6</v>
      </c>
      <c r="O344" s="1005">
        <v>16</v>
      </c>
    </row>
    <row r="345" spans="1:15" collapsed="1" x14ac:dyDescent="0.2">
      <c r="A345"/>
      <c r="B345" s="1002">
        <v>53</v>
      </c>
      <c r="C345" s="1003"/>
      <c r="D345" s="1003"/>
      <c r="E345" s="1003">
        <v>7</v>
      </c>
      <c r="F345" s="1003">
        <v>3</v>
      </c>
      <c r="G345" s="1003"/>
      <c r="H345" s="1003"/>
      <c r="I345" s="1003"/>
      <c r="J345" s="1003"/>
      <c r="K345" s="1003">
        <f t="shared" si="5"/>
        <v>10</v>
      </c>
      <c r="L345" s="1004"/>
      <c r="M345" s="1003"/>
      <c r="N345" s="1003">
        <v>4</v>
      </c>
      <c r="O345" s="1005">
        <v>16</v>
      </c>
    </row>
    <row r="346" spans="1:15" collapsed="1" x14ac:dyDescent="0.2">
      <c r="A346"/>
      <c r="B346" s="1002">
        <v>53</v>
      </c>
      <c r="C346" s="1003"/>
      <c r="D346" s="1003"/>
      <c r="E346" s="1003">
        <v>1</v>
      </c>
      <c r="F346" s="1003">
        <v>8</v>
      </c>
      <c r="G346" s="1003"/>
      <c r="H346" s="1003"/>
      <c r="I346" s="1003"/>
      <c r="J346" s="1003"/>
      <c r="K346" s="1003">
        <f t="shared" si="5"/>
        <v>9</v>
      </c>
      <c r="L346" s="1004"/>
      <c r="M346" s="1003"/>
      <c r="N346" s="1003">
        <v>2</v>
      </c>
      <c r="O346" s="1005">
        <v>16</v>
      </c>
    </row>
    <row r="347" spans="1:15" x14ac:dyDescent="0.2">
      <c r="A347"/>
      <c r="B347" s="1002">
        <v>53</v>
      </c>
      <c r="C347" s="1003"/>
      <c r="D347" s="1003"/>
      <c r="E347" s="1003"/>
      <c r="F347" s="1003">
        <v>3</v>
      </c>
      <c r="G347" s="1003">
        <v>5</v>
      </c>
      <c r="H347" s="1003"/>
      <c r="I347" s="1003"/>
      <c r="J347" s="1003"/>
      <c r="K347" s="1003">
        <f t="shared" si="5"/>
        <v>8</v>
      </c>
      <c r="L347" s="1004"/>
      <c r="M347" s="1003"/>
      <c r="N347" s="1003"/>
      <c r="O347" s="1005">
        <v>16</v>
      </c>
    </row>
    <row r="348" spans="1:15" x14ac:dyDescent="0.2">
      <c r="A348"/>
      <c r="B348" s="1002">
        <v>53</v>
      </c>
      <c r="C348" s="1003"/>
      <c r="D348" s="1003"/>
      <c r="E348" s="1003"/>
      <c r="F348" s="1003"/>
      <c r="G348" s="1003">
        <v>3</v>
      </c>
      <c r="H348" s="1003">
        <v>4</v>
      </c>
      <c r="I348" s="1003"/>
      <c r="J348" s="1003"/>
      <c r="K348" s="1003">
        <f t="shared" si="5"/>
        <v>7</v>
      </c>
      <c r="L348" s="1004"/>
      <c r="M348" s="1003"/>
      <c r="N348" s="1003">
        <v>6</v>
      </c>
      <c r="O348" s="1005">
        <v>8</v>
      </c>
    </row>
    <row r="349" spans="1:15" x14ac:dyDescent="0.2">
      <c r="A349"/>
      <c r="B349" s="1002">
        <v>53</v>
      </c>
      <c r="C349" s="1003"/>
      <c r="D349" s="1003"/>
      <c r="E349" s="1003"/>
      <c r="F349" s="1003"/>
      <c r="G349" s="1003"/>
      <c r="H349" s="1003">
        <v>1</v>
      </c>
      <c r="I349" s="1003">
        <v>5</v>
      </c>
      <c r="J349" s="1003"/>
      <c r="K349" s="1003">
        <f t="shared" si="5"/>
        <v>6</v>
      </c>
      <c r="L349" s="1004"/>
      <c r="M349" s="1003"/>
      <c r="N349" s="1003">
        <v>4</v>
      </c>
      <c r="O349" s="1005">
        <v>8</v>
      </c>
    </row>
    <row r="350" spans="1:15" collapsed="1" x14ac:dyDescent="0.2">
      <c r="A350"/>
      <c r="B350" s="1002">
        <v>54</v>
      </c>
      <c r="C350" s="1003">
        <v>18</v>
      </c>
      <c r="D350" s="1003"/>
      <c r="E350" s="1003"/>
      <c r="F350" s="1003"/>
      <c r="G350" s="1003"/>
      <c r="H350" s="1003"/>
      <c r="I350" s="1003"/>
      <c r="J350" s="1003"/>
      <c r="K350" s="1003">
        <f t="shared" si="5"/>
        <v>18</v>
      </c>
      <c r="L350" s="1004"/>
      <c r="M350" s="1003"/>
      <c r="N350" s="1003">
        <v>4</v>
      </c>
      <c r="O350" s="1005">
        <v>32</v>
      </c>
    </row>
    <row r="351" spans="1:15" collapsed="1" x14ac:dyDescent="0.2">
      <c r="A351"/>
      <c r="B351" s="1002">
        <v>54</v>
      </c>
      <c r="C351" s="1003">
        <v>14</v>
      </c>
      <c r="D351" s="1003">
        <v>3</v>
      </c>
      <c r="E351" s="1003"/>
      <c r="F351" s="1003"/>
      <c r="G351" s="1003"/>
      <c r="H351" s="1003"/>
      <c r="I351" s="1003"/>
      <c r="J351" s="1003"/>
      <c r="K351" s="1003">
        <f t="shared" si="5"/>
        <v>17</v>
      </c>
      <c r="L351" s="1004"/>
      <c r="M351" s="1003"/>
      <c r="N351" s="1003">
        <v>2</v>
      </c>
      <c r="O351" s="1005">
        <v>32</v>
      </c>
    </row>
    <row r="352" spans="1:15" collapsed="1" x14ac:dyDescent="0.2">
      <c r="A352"/>
      <c r="B352" s="1002">
        <v>54</v>
      </c>
      <c r="C352" s="1003">
        <v>10</v>
      </c>
      <c r="D352" s="1003">
        <v>6</v>
      </c>
      <c r="E352" s="1003"/>
      <c r="F352" s="1003"/>
      <c r="G352" s="1003"/>
      <c r="H352" s="1003"/>
      <c r="I352" s="1003"/>
      <c r="J352" s="1003"/>
      <c r="K352" s="1003">
        <f t="shared" si="5"/>
        <v>16</v>
      </c>
      <c r="L352" s="1004"/>
      <c r="M352" s="1003"/>
      <c r="N352" s="1003"/>
      <c r="O352" s="1005">
        <v>32</v>
      </c>
    </row>
    <row r="353" spans="1:15" collapsed="1" x14ac:dyDescent="0.2">
      <c r="A353"/>
      <c r="B353" s="1002">
        <v>54</v>
      </c>
      <c r="C353" s="1003">
        <v>6</v>
      </c>
      <c r="D353" s="1003">
        <v>9</v>
      </c>
      <c r="E353" s="1003"/>
      <c r="F353" s="1003"/>
      <c r="G353" s="1003"/>
      <c r="H353" s="1003"/>
      <c r="I353" s="1003"/>
      <c r="J353" s="1003"/>
      <c r="K353" s="1003">
        <f t="shared" si="5"/>
        <v>15</v>
      </c>
      <c r="L353" s="1004"/>
      <c r="M353" s="1003"/>
      <c r="N353" s="1003">
        <v>14</v>
      </c>
      <c r="O353" s="1005">
        <v>16</v>
      </c>
    </row>
    <row r="354" spans="1:15" x14ac:dyDescent="0.2">
      <c r="A354"/>
      <c r="B354" s="1002">
        <v>54</v>
      </c>
      <c r="C354" s="1003">
        <v>2</v>
      </c>
      <c r="D354" s="1003">
        <v>12</v>
      </c>
      <c r="E354" s="1003"/>
      <c r="F354" s="1003"/>
      <c r="G354" s="1003"/>
      <c r="H354" s="1003"/>
      <c r="I354" s="1003"/>
      <c r="J354" s="1003"/>
      <c r="K354" s="1003">
        <f t="shared" si="5"/>
        <v>14</v>
      </c>
      <c r="L354" s="1004"/>
      <c r="M354" s="1003"/>
      <c r="N354" s="1003">
        <v>12</v>
      </c>
      <c r="O354" s="1005">
        <v>16</v>
      </c>
    </row>
    <row r="355" spans="1:15" collapsed="1" x14ac:dyDescent="0.2">
      <c r="A355"/>
      <c r="B355" s="1002">
        <v>54</v>
      </c>
      <c r="C355" s="1003"/>
      <c r="D355" s="1003">
        <v>11</v>
      </c>
      <c r="E355" s="1003">
        <v>2</v>
      </c>
      <c r="F355" s="1003"/>
      <c r="G355" s="1003"/>
      <c r="H355" s="1003"/>
      <c r="I355" s="1003"/>
      <c r="J355" s="1003"/>
      <c r="K355" s="1003">
        <f t="shared" si="5"/>
        <v>13</v>
      </c>
      <c r="L355" s="1004"/>
      <c r="M355" s="1003"/>
      <c r="N355" s="1003">
        <v>10</v>
      </c>
      <c r="O355" s="1005">
        <v>16</v>
      </c>
    </row>
    <row r="356" spans="1:15" collapsed="1" x14ac:dyDescent="0.2">
      <c r="A356"/>
      <c r="B356" s="1002">
        <v>54</v>
      </c>
      <c r="C356" s="1003"/>
      <c r="D356" s="1003">
        <v>6</v>
      </c>
      <c r="E356" s="1003">
        <v>6</v>
      </c>
      <c r="F356" s="1003"/>
      <c r="G356" s="1003"/>
      <c r="H356" s="1003"/>
      <c r="I356" s="1003"/>
      <c r="J356" s="1003"/>
      <c r="K356" s="1003">
        <f t="shared" si="5"/>
        <v>12</v>
      </c>
      <c r="L356" s="1004"/>
      <c r="M356" s="1003"/>
      <c r="N356" s="1003">
        <v>8</v>
      </c>
      <c r="O356" s="1005">
        <v>16</v>
      </c>
    </row>
    <row r="357" spans="1:15" x14ac:dyDescent="0.2">
      <c r="A357"/>
      <c r="B357" s="1002">
        <v>54</v>
      </c>
      <c r="C357" s="1003"/>
      <c r="D357" s="1003">
        <v>1</v>
      </c>
      <c r="E357" s="1003">
        <v>10</v>
      </c>
      <c r="F357" s="1003"/>
      <c r="G357" s="1003"/>
      <c r="H357" s="1003"/>
      <c r="I357" s="1003"/>
      <c r="J357" s="1003"/>
      <c r="K357" s="1003">
        <f t="shared" si="5"/>
        <v>11</v>
      </c>
      <c r="L357" s="1004"/>
      <c r="M357" s="1003"/>
      <c r="N357" s="1003">
        <v>6</v>
      </c>
      <c r="O357" s="1005">
        <v>16</v>
      </c>
    </row>
    <row r="358" spans="1:15" collapsed="1" x14ac:dyDescent="0.2">
      <c r="A358"/>
      <c r="B358" s="1002">
        <v>54</v>
      </c>
      <c r="C358" s="1003"/>
      <c r="D358" s="1003"/>
      <c r="E358" s="1003">
        <v>6</v>
      </c>
      <c r="F358" s="1003">
        <v>4</v>
      </c>
      <c r="G358" s="1003"/>
      <c r="H358" s="1003"/>
      <c r="I358" s="1003"/>
      <c r="J358" s="1003"/>
      <c r="K358" s="1003">
        <f t="shared" si="5"/>
        <v>10</v>
      </c>
      <c r="L358" s="1004"/>
      <c r="M358" s="1003"/>
      <c r="N358" s="1003">
        <v>4</v>
      </c>
      <c r="O358" s="1005">
        <v>16</v>
      </c>
    </row>
    <row r="359" spans="1:15" collapsed="1" x14ac:dyDescent="0.2">
      <c r="A359"/>
      <c r="B359" s="1002">
        <v>54</v>
      </c>
      <c r="C359" s="1003"/>
      <c r="D359" s="1003"/>
      <c r="E359" s="1003"/>
      <c r="F359" s="1003">
        <v>9</v>
      </c>
      <c r="G359" s="1003"/>
      <c r="H359" s="1003"/>
      <c r="I359" s="1003"/>
      <c r="J359" s="1003"/>
      <c r="K359" s="1003">
        <f t="shared" si="5"/>
        <v>9</v>
      </c>
      <c r="L359" s="1004"/>
      <c r="M359" s="1003"/>
      <c r="N359" s="1003">
        <v>2</v>
      </c>
      <c r="O359" s="1005">
        <v>16</v>
      </c>
    </row>
    <row r="360" spans="1:15" x14ac:dyDescent="0.2">
      <c r="A360"/>
      <c r="B360" s="1002">
        <v>54</v>
      </c>
      <c r="C360" s="1003"/>
      <c r="D360" s="1003"/>
      <c r="E360" s="1003"/>
      <c r="F360" s="1003">
        <v>2</v>
      </c>
      <c r="G360" s="1003">
        <v>6</v>
      </c>
      <c r="H360" s="1003"/>
      <c r="I360" s="1003"/>
      <c r="J360" s="1003"/>
      <c r="K360" s="1003">
        <f t="shared" si="5"/>
        <v>8</v>
      </c>
      <c r="L360" s="1004"/>
      <c r="M360" s="1003"/>
      <c r="N360" s="1003"/>
      <c r="O360" s="1005">
        <v>16</v>
      </c>
    </row>
    <row r="361" spans="1:15" x14ac:dyDescent="0.2">
      <c r="A361"/>
      <c r="B361" s="1002">
        <v>54</v>
      </c>
      <c r="C361" s="1003"/>
      <c r="D361" s="1003"/>
      <c r="E361" s="1003"/>
      <c r="F361" s="1003"/>
      <c r="G361" s="1003">
        <v>2</v>
      </c>
      <c r="H361" s="1003">
        <v>5</v>
      </c>
      <c r="I361" s="1003"/>
      <c r="J361" s="1003"/>
      <c r="K361" s="1003">
        <f t="shared" si="5"/>
        <v>7</v>
      </c>
      <c r="L361" s="1004"/>
      <c r="M361" s="1003"/>
      <c r="N361" s="1003">
        <v>6</v>
      </c>
      <c r="O361" s="1005">
        <v>8</v>
      </c>
    </row>
    <row r="362" spans="1:15" x14ac:dyDescent="0.2">
      <c r="A362"/>
      <c r="B362" s="1002">
        <v>54</v>
      </c>
      <c r="C362" s="1003"/>
      <c r="D362" s="1003"/>
      <c r="E362" s="1003"/>
      <c r="F362" s="1003"/>
      <c r="G362" s="1003"/>
      <c r="H362" s="1003"/>
      <c r="I362" s="1003">
        <v>6</v>
      </c>
      <c r="J362" s="1003"/>
      <c r="K362" s="1003">
        <f t="shared" si="5"/>
        <v>6</v>
      </c>
      <c r="L362" s="1004"/>
      <c r="M362" s="1003"/>
      <c r="N362" s="1003">
        <v>4</v>
      </c>
      <c r="O362" s="1005">
        <v>8</v>
      </c>
    </row>
    <row r="363" spans="1:15" collapsed="1" x14ac:dyDescent="0.2">
      <c r="A363"/>
      <c r="B363" s="1002">
        <v>55</v>
      </c>
      <c r="C363" s="1003">
        <v>17</v>
      </c>
      <c r="D363" s="1003">
        <v>1</v>
      </c>
      <c r="E363" s="1003"/>
      <c r="F363" s="1003"/>
      <c r="G363" s="1003"/>
      <c r="H363" s="1003"/>
      <c r="I363" s="1003"/>
      <c r="J363" s="1003"/>
      <c r="K363" s="1003">
        <f t="shared" si="5"/>
        <v>18</v>
      </c>
      <c r="L363" s="1004"/>
      <c r="M363" s="1003"/>
      <c r="N363" s="1003">
        <v>4</v>
      </c>
      <c r="O363" s="1005">
        <v>32</v>
      </c>
    </row>
    <row r="364" spans="1:15" collapsed="1" x14ac:dyDescent="0.2">
      <c r="A364"/>
      <c r="B364" s="1002">
        <v>55</v>
      </c>
      <c r="C364" s="1003">
        <v>13</v>
      </c>
      <c r="D364" s="1003">
        <v>4</v>
      </c>
      <c r="E364" s="1003"/>
      <c r="F364" s="1003"/>
      <c r="G364" s="1003"/>
      <c r="H364" s="1003"/>
      <c r="I364" s="1003"/>
      <c r="J364" s="1003"/>
      <c r="K364" s="1003">
        <f t="shared" si="5"/>
        <v>17</v>
      </c>
      <c r="L364" s="1004"/>
      <c r="M364" s="1003"/>
      <c r="N364" s="1003">
        <v>2</v>
      </c>
      <c r="O364" s="1005">
        <v>32</v>
      </c>
    </row>
    <row r="365" spans="1:15" collapsed="1" x14ac:dyDescent="0.2">
      <c r="A365"/>
      <c r="B365" s="1002">
        <v>55</v>
      </c>
      <c r="C365" s="1003">
        <v>9</v>
      </c>
      <c r="D365" s="1003">
        <v>7</v>
      </c>
      <c r="E365" s="1003"/>
      <c r="F365" s="1003"/>
      <c r="G365" s="1003"/>
      <c r="H365" s="1003"/>
      <c r="I365" s="1003"/>
      <c r="J365" s="1003"/>
      <c r="K365" s="1003">
        <f t="shared" si="5"/>
        <v>16</v>
      </c>
      <c r="L365" s="1004"/>
      <c r="M365" s="1003"/>
      <c r="N365" s="1003"/>
      <c r="O365" s="1005">
        <v>32</v>
      </c>
    </row>
    <row r="366" spans="1:15" collapsed="1" x14ac:dyDescent="0.2">
      <c r="A366"/>
      <c r="B366" s="1002">
        <v>55</v>
      </c>
      <c r="C366" s="1003">
        <v>5</v>
      </c>
      <c r="D366" s="1003">
        <v>10</v>
      </c>
      <c r="E366" s="1003"/>
      <c r="F366" s="1003"/>
      <c r="G366" s="1003"/>
      <c r="H366" s="1003"/>
      <c r="I366" s="1003"/>
      <c r="J366" s="1003"/>
      <c r="K366" s="1003">
        <f t="shared" si="5"/>
        <v>15</v>
      </c>
      <c r="L366" s="1004"/>
      <c r="M366" s="1003"/>
      <c r="N366" s="1003">
        <v>14</v>
      </c>
      <c r="O366" s="1005">
        <v>16</v>
      </c>
    </row>
    <row r="367" spans="1:15" x14ac:dyDescent="0.2">
      <c r="A367"/>
      <c r="B367" s="1002">
        <v>55</v>
      </c>
      <c r="C367" s="1003">
        <v>1</v>
      </c>
      <c r="D367" s="1003">
        <v>13</v>
      </c>
      <c r="E367" s="1003"/>
      <c r="F367" s="1003"/>
      <c r="G367" s="1003"/>
      <c r="H367" s="1003"/>
      <c r="I367" s="1003"/>
      <c r="J367" s="1003"/>
      <c r="K367" s="1003">
        <f t="shared" si="5"/>
        <v>14</v>
      </c>
      <c r="L367" s="1004"/>
      <c r="M367" s="1003"/>
      <c r="N367" s="1003">
        <v>12</v>
      </c>
      <c r="O367" s="1005">
        <v>16</v>
      </c>
    </row>
    <row r="368" spans="1:15" collapsed="1" x14ac:dyDescent="0.2">
      <c r="A368"/>
      <c r="B368" s="1002">
        <v>55</v>
      </c>
      <c r="C368" s="1003"/>
      <c r="D368" s="1003">
        <v>10</v>
      </c>
      <c r="E368" s="1003">
        <v>3</v>
      </c>
      <c r="F368" s="1003"/>
      <c r="G368" s="1003"/>
      <c r="H368" s="1003"/>
      <c r="I368" s="1003"/>
      <c r="J368" s="1003"/>
      <c r="K368" s="1003">
        <f t="shared" si="5"/>
        <v>13</v>
      </c>
      <c r="L368" s="1004"/>
      <c r="M368" s="1003"/>
      <c r="N368" s="1003">
        <v>10</v>
      </c>
      <c r="O368" s="1005">
        <v>16</v>
      </c>
    </row>
    <row r="369" spans="1:15" collapsed="1" x14ac:dyDescent="0.2">
      <c r="A369"/>
      <c r="B369" s="1002">
        <v>55</v>
      </c>
      <c r="C369" s="1003"/>
      <c r="D369" s="1003">
        <v>5</v>
      </c>
      <c r="E369" s="1003">
        <v>7</v>
      </c>
      <c r="F369" s="1003"/>
      <c r="G369" s="1003"/>
      <c r="H369" s="1003"/>
      <c r="I369" s="1003"/>
      <c r="J369" s="1003"/>
      <c r="K369" s="1003">
        <f t="shared" si="5"/>
        <v>12</v>
      </c>
      <c r="L369" s="1004"/>
      <c r="M369" s="1003"/>
      <c r="N369" s="1003">
        <v>8</v>
      </c>
      <c r="O369" s="1005">
        <v>16</v>
      </c>
    </row>
    <row r="370" spans="1:15" x14ac:dyDescent="0.2">
      <c r="A370"/>
      <c r="B370" s="1002">
        <v>55</v>
      </c>
      <c r="C370" s="1003"/>
      <c r="D370" s="1003"/>
      <c r="E370" s="1003">
        <v>11</v>
      </c>
      <c r="F370" s="1003"/>
      <c r="G370" s="1003"/>
      <c r="H370" s="1003"/>
      <c r="I370" s="1003"/>
      <c r="J370" s="1003"/>
      <c r="K370" s="1003">
        <f t="shared" si="5"/>
        <v>11</v>
      </c>
      <c r="L370" s="1004"/>
      <c r="M370" s="1003"/>
      <c r="N370" s="1003">
        <v>6</v>
      </c>
      <c r="O370" s="1005">
        <v>16</v>
      </c>
    </row>
    <row r="371" spans="1:15" collapsed="1" x14ac:dyDescent="0.2">
      <c r="A371"/>
      <c r="B371" s="1002">
        <v>55</v>
      </c>
      <c r="C371" s="1003"/>
      <c r="D371" s="1003"/>
      <c r="E371" s="1003">
        <v>5</v>
      </c>
      <c r="F371" s="1003">
        <v>5</v>
      </c>
      <c r="G371" s="1003"/>
      <c r="H371" s="1003"/>
      <c r="I371" s="1003"/>
      <c r="J371" s="1003"/>
      <c r="K371" s="1003">
        <f t="shared" si="5"/>
        <v>10</v>
      </c>
      <c r="L371" s="1004"/>
      <c r="M371" s="1003"/>
      <c r="N371" s="1003">
        <v>4</v>
      </c>
      <c r="O371" s="1005">
        <v>16</v>
      </c>
    </row>
    <row r="372" spans="1:15" collapsed="1" x14ac:dyDescent="0.2">
      <c r="A372"/>
      <c r="B372" s="1002">
        <v>55</v>
      </c>
      <c r="C372" s="1003"/>
      <c r="D372" s="1003"/>
      <c r="E372" s="1003"/>
      <c r="F372" s="1003">
        <v>8</v>
      </c>
      <c r="G372" s="1003">
        <v>1</v>
      </c>
      <c r="H372" s="1003"/>
      <c r="I372" s="1003"/>
      <c r="J372" s="1003"/>
      <c r="K372" s="1003">
        <f t="shared" si="5"/>
        <v>9</v>
      </c>
      <c r="L372" s="1004"/>
      <c r="M372" s="1003"/>
      <c r="N372" s="1003">
        <v>2</v>
      </c>
      <c r="O372" s="1005">
        <v>16</v>
      </c>
    </row>
    <row r="373" spans="1:15" x14ac:dyDescent="0.2">
      <c r="A373"/>
      <c r="B373" s="1002">
        <v>55</v>
      </c>
      <c r="C373" s="1003"/>
      <c r="D373" s="1003"/>
      <c r="E373" s="1003"/>
      <c r="F373" s="1003">
        <v>1</v>
      </c>
      <c r="G373" s="1003">
        <v>7</v>
      </c>
      <c r="H373" s="1003"/>
      <c r="I373" s="1003"/>
      <c r="J373" s="1003"/>
      <c r="K373" s="1003">
        <f t="shared" si="5"/>
        <v>8</v>
      </c>
      <c r="L373" s="1004"/>
      <c r="M373" s="1003"/>
      <c r="N373" s="1003"/>
      <c r="O373" s="1005">
        <v>16</v>
      </c>
    </row>
    <row r="374" spans="1:15" x14ac:dyDescent="0.2">
      <c r="A374"/>
      <c r="B374" s="1002">
        <v>55</v>
      </c>
      <c r="C374" s="1003"/>
      <c r="D374" s="1003"/>
      <c r="E374" s="1003"/>
      <c r="F374" s="1003"/>
      <c r="G374" s="1003">
        <v>1</v>
      </c>
      <c r="H374" s="1003">
        <v>6</v>
      </c>
      <c r="I374" s="1003"/>
      <c r="J374" s="1003"/>
      <c r="K374" s="1003">
        <f t="shared" si="5"/>
        <v>7</v>
      </c>
      <c r="L374" s="1004"/>
      <c r="M374" s="1003"/>
      <c r="N374" s="1003">
        <v>6</v>
      </c>
      <c r="O374" s="1005">
        <v>8</v>
      </c>
    </row>
    <row r="375" spans="1:15" x14ac:dyDescent="0.2">
      <c r="A375"/>
      <c r="B375" s="1002">
        <v>55</v>
      </c>
      <c r="C375" s="1003"/>
      <c r="D375" s="1003"/>
      <c r="E375" s="1003"/>
      <c r="F375" s="1003"/>
      <c r="G375" s="1003"/>
      <c r="H375" s="1003"/>
      <c r="I375" s="1003">
        <v>5</v>
      </c>
      <c r="J375" s="1003">
        <v>1</v>
      </c>
      <c r="K375" s="1003">
        <f t="shared" si="5"/>
        <v>6</v>
      </c>
      <c r="L375" s="1004"/>
      <c r="M375" s="1003"/>
      <c r="N375" s="1003">
        <v>4</v>
      </c>
      <c r="O375" s="1005">
        <v>8</v>
      </c>
    </row>
    <row r="376" spans="1:15" collapsed="1" x14ac:dyDescent="0.2">
      <c r="A376"/>
      <c r="B376" s="1002">
        <v>56</v>
      </c>
      <c r="C376" s="1003">
        <v>16</v>
      </c>
      <c r="D376" s="1003">
        <v>2</v>
      </c>
      <c r="E376" s="1003"/>
      <c r="F376" s="1003"/>
      <c r="G376" s="1003"/>
      <c r="H376" s="1003"/>
      <c r="I376" s="1003"/>
      <c r="J376" s="1003"/>
      <c r="K376" s="1003">
        <f t="shared" si="5"/>
        <v>18</v>
      </c>
      <c r="L376" s="1004"/>
      <c r="M376" s="1003"/>
      <c r="N376" s="1003">
        <v>4</v>
      </c>
      <c r="O376" s="1005">
        <v>32</v>
      </c>
    </row>
    <row r="377" spans="1:15" collapsed="1" x14ac:dyDescent="0.2">
      <c r="A377"/>
      <c r="B377" s="1002">
        <v>56</v>
      </c>
      <c r="C377" s="1003">
        <v>12</v>
      </c>
      <c r="D377" s="1003">
        <v>5</v>
      </c>
      <c r="E377" s="1003"/>
      <c r="F377" s="1003"/>
      <c r="G377" s="1003"/>
      <c r="H377" s="1003"/>
      <c r="I377" s="1003"/>
      <c r="J377" s="1003"/>
      <c r="K377" s="1003">
        <f t="shared" si="5"/>
        <v>17</v>
      </c>
      <c r="L377" s="1004"/>
      <c r="M377" s="1003"/>
      <c r="N377" s="1003">
        <v>2</v>
      </c>
      <c r="O377" s="1005">
        <v>32</v>
      </c>
    </row>
    <row r="378" spans="1:15" collapsed="1" x14ac:dyDescent="0.2">
      <c r="A378"/>
      <c r="B378" s="1002">
        <v>56</v>
      </c>
      <c r="C378" s="1003">
        <v>8</v>
      </c>
      <c r="D378" s="1003">
        <v>8</v>
      </c>
      <c r="E378" s="1003"/>
      <c r="F378" s="1003"/>
      <c r="G378" s="1003"/>
      <c r="H378" s="1003"/>
      <c r="I378" s="1003"/>
      <c r="J378" s="1003"/>
      <c r="K378" s="1003">
        <f t="shared" si="5"/>
        <v>16</v>
      </c>
      <c r="L378" s="1004"/>
      <c r="M378" s="1003"/>
      <c r="N378" s="1003"/>
      <c r="O378" s="1005">
        <v>32</v>
      </c>
    </row>
    <row r="379" spans="1:15" collapsed="1" x14ac:dyDescent="0.2">
      <c r="A379"/>
      <c r="B379" s="1002">
        <v>56</v>
      </c>
      <c r="C379" s="1003">
        <v>4</v>
      </c>
      <c r="D379" s="1003">
        <v>11</v>
      </c>
      <c r="E379" s="1003"/>
      <c r="F379" s="1003"/>
      <c r="G379" s="1003"/>
      <c r="H379" s="1003"/>
      <c r="I379" s="1003"/>
      <c r="J379" s="1003"/>
      <c r="K379" s="1003">
        <f t="shared" si="5"/>
        <v>15</v>
      </c>
      <c r="L379" s="1004"/>
      <c r="M379" s="1003"/>
      <c r="N379" s="1003">
        <v>14</v>
      </c>
      <c r="O379" s="1005">
        <v>16</v>
      </c>
    </row>
    <row r="380" spans="1:15" x14ac:dyDescent="0.2">
      <c r="A380"/>
      <c r="B380" s="1002">
        <v>56</v>
      </c>
      <c r="C380" s="1003"/>
      <c r="D380" s="1003">
        <v>14</v>
      </c>
      <c r="E380" s="1003"/>
      <c r="F380" s="1003"/>
      <c r="G380" s="1003"/>
      <c r="H380" s="1003"/>
      <c r="I380" s="1003"/>
      <c r="J380" s="1003"/>
      <c r="K380" s="1003">
        <f t="shared" si="5"/>
        <v>14</v>
      </c>
      <c r="L380" s="1004"/>
      <c r="M380" s="1003"/>
      <c r="N380" s="1003">
        <v>12</v>
      </c>
      <c r="O380" s="1005">
        <v>16</v>
      </c>
    </row>
    <row r="381" spans="1:15" collapsed="1" x14ac:dyDescent="0.2">
      <c r="A381"/>
      <c r="B381" s="1002">
        <v>56</v>
      </c>
      <c r="C381" s="1003"/>
      <c r="D381" s="1003">
        <v>9</v>
      </c>
      <c r="E381" s="1003">
        <v>4</v>
      </c>
      <c r="F381" s="1003"/>
      <c r="G381" s="1003"/>
      <c r="H381" s="1003"/>
      <c r="I381" s="1003"/>
      <c r="J381" s="1003"/>
      <c r="K381" s="1003">
        <f t="shared" si="5"/>
        <v>13</v>
      </c>
      <c r="L381" s="1004"/>
      <c r="M381" s="1003"/>
      <c r="N381" s="1003">
        <v>10</v>
      </c>
      <c r="O381" s="1005">
        <v>16</v>
      </c>
    </row>
    <row r="382" spans="1:15" collapsed="1" x14ac:dyDescent="0.2">
      <c r="A382"/>
      <c r="B382" s="1002">
        <v>56</v>
      </c>
      <c r="C382" s="1003"/>
      <c r="D382" s="1003">
        <v>4</v>
      </c>
      <c r="E382" s="1003">
        <v>8</v>
      </c>
      <c r="F382" s="1003"/>
      <c r="G382" s="1003"/>
      <c r="H382" s="1003"/>
      <c r="I382" s="1003"/>
      <c r="J382" s="1003"/>
      <c r="K382" s="1003">
        <f t="shared" si="5"/>
        <v>12</v>
      </c>
      <c r="L382" s="1004"/>
      <c r="M382" s="1003"/>
      <c r="N382" s="1003">
        <v>8</v>
      </c>
      <c r="O382" s="1005">
        <v>16</v>
      </c>
    </row>
    <row r="383" spans="1:15" x14ac:dyDescent="0.2">
      <c r="A383"/>
      <c r="B383" s="1002">
        <v>56</v>
      </c>
      <c r="C383" s="1003"/>
      <c r="D383" s="1003"/>
      <c r="E383" s="1003">
        <v>10</v>
      </c>
      <c r="F383" s="1003">
        <v>1</v>
      </c>
      <c r="G383" s="1003"/>
      <c r="H383" s="1003"/>
      <c r="I383" s="1003"/>
      <c r="J383" s="1003"/>
      <c r="K383" s="1003">
        <f t="shared" si="5"/>
        <v>11</v>
      </c>
      <c r="L383" s="1004"/>
      <c r="M383" s="1003"/>
      <c r="N383" s="1003">
        <v>6</v>
      </c>
      <c r="O383" s="1005">
        <v>16</v>
      </c>
    </row>
    <row r="384" spans="1:15" collapsed="1" x14ac:dyDescent="0.2">
      <c r="A384"/>
      <c r="B384" s="1002">
        <v>56</v>
      </c>
      <c r="C384" s="1003"/>
      <c r="D384" s="1003"/>
      <c r="E384" s="1003">
        <v>4</v>
      </c>
      <c r="F384" s="1003">
        <v>6</v>
      </c>
      <c r="G384" s="1003"/>
      <c r="H384" s="1003"/>
      <c r="I384" s="1003"/>
      <c r="J384" s="1003"/>
      <c r="K384" s="1003">
        <f t="shared" si="5"/>
        <v>10</v>
      </c>
      <c r="L384" s="1004"/>
      <c r="M384" s="1003"/>
      <c r="N384" s="1003">
        <v>4</v>
      </c>
      <c r="O384" s="1005">
        <v>16</v>
      </c>
    </row>
    <row r="385" spans="1:15" collapsed="1" x14ac:dyDescent="0.2">
      <c r="A385"/>
      <c r="B385" s="1002">
        <v>56</v>
      </c>
      <c r="C385" s="1003"/>
      <c r="D385" s="1003"/>
      <c r="E385" s="1003"/>
      <c r="F385" s="1003">
        <v>7</v>
      </c>
      <c r="G385" s="1003">
        <v>2</v>
      </c>
      <c r="H385" s="1003"/>
      <c r="I385" s="1003"/>
      <c r="J385" s="1003"/>
      <c r="K385" s="1003">
        <f t="shared" si="5"/>
        <v>9</v>
      </c>
      <c r="L385" s="1004"/>
      <c r="M385" s="1003"/>
      <c r="N385" s="1003">
        <v>2</v>
      </c>
      <c r="O385" s="1005">
        <v>16</v>
      </c>
    </row>
    <row r="386" spans="1:15" x14ac:dyDescent="0.2">
      <c r="A386"/>
      <c r="B386" s="1002">
        <v>56</v>
      </c>
      <c r="C386" s="1003"/>
      <c r="D386" s="1003"/>
      <c r="E386" s="1003"/>
      <c r="F386" s="1003"/>
      <c r="G386" s="1003">
        <v>8</v>
      </c>
      <c r="H386" s="1003"/>
      <c r="I386" s="1003"/>
      <c r="J386" s="1003"/>
      <c r="K386" s="1003">
        <f t="shared" si="5"/>
        <v>8</v>
      </c>
      <c r="L386" s="1004"/>
      <c r="M386" s="1003"/>
      <c r="N386" s="1003"/>
      <c r="O386" s="1005">
        <v>16</v>
      </c>
    </row>
    <row r="387" spans="1:15" x14ac:dyDescent="0.2">
      <c r="A387"/>
      <c r="B387" s="1002">
        <v>56</v>
      </c>
      <c r="C387" s="1003"/>
      <c r="D387" s="1003"/>
      <c r="E387" s="1003"/>
      <c r="F387" s="1003"/>
      <c r="G387" s="1003"/>
      <c r="H387" s="1003">
        <v>7</v>
      </c>
      <c r="I387" s="1003"/>
      <c r="J387" s="1003"/>
      <c r="K387" s="1003">
        <f t="shared" si="5"/>
        <v>7</v>
      </c>
      <c r="L387" s="1004"/>
      <c r="M387" s="1003"/>
      <c r="N387" s="1003">
        <v>6</v>
      </c>
      <c r="O387" s="1005">
        <v>8</v>
      </c>
    </row>
    <row r="388" spans="1:15" x14ac:dyDescent="0.2">
      <c r="A388"/>
      <c r="B388" s="1002">
        <v>56</v>
      </c>
      <c r="C388" s="1003"/>
      <c r="D388" s="1003"/>
      <c r="E388" s="1003"/>
      <c r="F388" s="1003"/>
      <c r="G388" s="1003"/>
      <c r="H388" s="1003"/>
      <c r="I388" s="1003">
        <v>4</v>
      </c>
      <c r="J388" s="1003">
        <v>2</v>
      </c>
      <c r="K388" s="1003">
        <f t="shared" si="5"/>
        <v>6</v>
      </c>
      <c r="L388" s="1004"/>
      <c r="M388" s="1003"/>
      <c r="N388" s="1003">
        <v>4</v>
      </c>
      <c r="O388" s="1005">
        <v>8</v>
      </c>
    </row>
    <row r="389" spans="1:15" collapsed="1" x14ac:dyDescent="0.2">
      <c r="A389"/>
      <c r="B389" s="1002">
        <v>57</v>
      </c>
      <c r="C389" s="1003">
        <v>19</v>
      </c>
      <c r="D389" s="1003"/>
      <c r="E389" s="1003"/>
      <c r="F389" s="1003"/>
      <c r="G389" s="1003"/>
      <c r="H389" s="1003"/>
      <c r="I389" s="1003"/>
      <c r="J389" s="1003"/>
      <c r="K389" s="1003">
        <f t="shared" si="5"/>
        <v>19</v>
      </c>
      <c r="L389" s="1004"/>
      <c r="M389" s="1003"/>
      <c r="N389" s="1003">
        <v>6</v>
      </c>
      <c r="O389" s="1005">
        <v>32</v>
      </c>
    </row>
    <row r="390" spans="1:15" collapsed="1" x14ac:dyDescent="0.2">
      <c r="A390"/>
      <c r="B390" s="1002">
        <v>57</v>
      </c>
      <c r="C390" s="1003">
        <v>15</v>
      </c>
      <c r="D390" s="1003">
        <v>3</v>
      </c>
      <c r="E390" s="1003"/>
      <c r="F390" s="1003"/>
      <c r="G390" s="1003"/>
      <c r="H390" s="1003"/>
      <c r="I390" s="1003"/>
      <c r="J390" s="1003"/>
      <c r="K390" s="1003">
        <f t="shared" ref="K390:K453" si="6">SUM(C390:J390)</f>
        <v>18</v>
      </c>
      <c r="L390" s="1004"/>
      <c r="M390" s="1003"/>
      <c r="N390" s="1003">
        <v>4</v>
      </c>
      <c r="O390" s="1005">
        <v>32</v>
      </c>
    </row>
    <row r="391" spans="1:15" collapsed="1" x14ac:dyDescent="0.2">
      <c r="A391"/>
      <c r="B391" s="1002">
        <v>57</v>
      </c>
      <c r="C391" s="1003">
        <v>11</v>
      </c>
      <c r="D391" s="1003">
        <v>6</v>
      </c>
      <c r="E391" s="1003"/>
      <c r="F391" s="1003"/>
      <c r="G391" s="1003"/>
      <c r="H391" s="1003"/>
      <c r="I391" s="1003"/>
      <c r="J391" s="1003"/>
      <c r="K391" s="1003">
        <f t="shared" si="6"/>
        <v>17</v>
      </c>
      <c r="L391" s="1004"/>
      <c r="M391" s="1003"/>
      <c r="N391" s="1003">
        <v>2</v>
      </c>
      <c r="O391" s="1005">
        <v>32</v>
      </c>
    </row>
    <row r="392" spans="1:15" collapsed="1" x14ac:dyDescent="0.2">
      <c r="A392"/>
      <c r="B392" s="1002">
        <v>57</v>
      </c>
      <c r="C392" s="1003">
        <v>7</v>
      </c>
      <c r="D392" s="1003">
        <v>9</v>
      </c>
      <c r="E392" s="1003"/>
      <c r="F392" s="1003"/>
      <c r="G392" s="1003"/>
      <c r="H392" s="1003"/>
      <c r="I392" s="1003"/>
      <c r="J392" s="1003"/>
      <c r="K392" s="1003">
        <f t="shared" si="6"/>
        <v>16</v>
      </c>
      <c r="L392" s="1004"/>
      <c r="M392" s="1003"/>
      <c r="N392" s="1003"/>
      <c r="O392" s="1005">
        <v>32</v>
      </c>
    </row>
    <row r="393" spans="1:15" collapsed="1" x14ac:dyDescent="0.2">
      <c r="A393"/>
      <c r="B393" s="1002">
        <v>57</v>
      </c>
      <c r="C393" s="1003">
        <v>3</v>
      </c>
      <c r="D393" s="1003">
        <v>12</v>
      </c>
      <c r="E393" s="1003"/>
      <c r="F393" s="1003"/>
      <c r="G393" s="1003"/>
      <c r="H393" s="1003"/>
      <c r="I393" s="1003"/>
      <c r="J393" s="1003"/>
      <c r="K393" s="1003">
        <f t="shared" si="6"/>
        <v>15</v>
      </c>
      <c r="L393" s="1004"/>
      <c r="M393" s="1003"/>
      <c r="N393" s="1003">
        <v>14</v>
      </c>
      <c r="O393" s="1005">
        <v>16</v>
      </c>
    </row>
    <row r="394" spans="1:15" x14ac:dyDescent="0.2">
      <c r="A394"/>
      <c r="B394" s="1002">
        <v>57</v>
      </c>
      <c r="C394" s="1003"/>
      <c r="D394" s="1003">
        <v>13</v>
      </c>
      <c r="E394" s="1003">
        <v>1</v>
      </c>
      <c r="F394" s="1003"/>
      <c r="G394" s="1003"/>
      <c r="H394" s="1003"/>
      <c r="I394" s="1003"/>
      <c r="J394" s="1003"/>
      <c r="K394" s="1003">
        <f t="shared" si="6"/>
        <v>14</v>
      </c>
      <c r="L394" s="1004"/>
      <c r="M394" s="1003"/>
      <c r="N394" s="1003">
        <v>12</v>
      </c>
      <c r="O394" s="1005">
        <v>16</v>
      </c>
    </row>
    <row r="395" spans="1:15" collapsed="1" x14ac:dyDescent="0.2">
      <c r="A395"/>
      <c r="B395" s="1002">
        <v>57</v>
      </c>
      <c r="C395" s="1003"/>
      <c r="D395" s="1003">
        <v>8</v>
      </c>
      <c r="E395" s="1003">
        <v>5</v>
      </c>
      <c r="F395" s="1003"/>
      <c r="G395" s="1003"/>
      <c r="H395" s="1003"/>
      <c r="I395" s="1003"/>
      <c r="J395" s="1003"/>
      <c r="K395" s="1003">
        <f t="shared" si="6"/>
        <v>13</v>
      </c>
      <c r="L395" s="1004"/>
      <c r="M395" s="1003"/>
      <c r="N395" s="1003">
        <v>10</v>
      </c>
      <c r="O395" s="1005">
        <v>16</v>
      </c>
    </row>
    <row r="396" spans="1:15" collapsed="1" x14ac:dyDescent="0.2">
      <c r="A396"/>
      <c r="B396" s="1002">
        <v>57</v>
      </c>
      <c r="C396" s="1003"/>
      <c r="D396" s="1003">
        <v>3</v>
      </c>
      <c r="E396" s="1003">
        <v>9</v>
      </c>
      <c r="F396" s="1003"/>
      <c r="G396" s="1003"/>
      <c r="H396" s="1003"/>
      <c r="I396" s="1003"/>
      <c r="J396" s="1003"/>
      <c r="K396" s="1003">
        <f t="shared" si="6"/>
        <v>12</v>
      </c>
      <c r="L396" s="1004"/>
      <c r="M396" s="1003"/>
      <c r="N396" s="1003">
        <v>8</v>
      </c>
      <c r="O396" s="1005">
        <v>16</v>
      </c>
    </row>
    <row r="397" spans="1:15" x14ac:dyDescent="0.2">
      <c r="A397"/>
      <c r="B397" s="1002">
        <v>57</v>
      </c>
      <c r="C397" s="1003"/>
      <c r="D397" s="1003"/>
      <c r="E397" s="1003">
        <v>9</v>
      </c>
      <c r="F397" s="1003">
        <v>2</v>
      </c>
      <c r="G397" s="1003"/>
      <c r="H397" s="1003"/>
      <c r="I397" s="1003"/>
      <c r="J397" s="1003"/>
      <c r="K397" s="1003">
        <f t="shared" si="6"/>
        <v>11</v>
      </c>
      <c r="L397" s="1004"/>
      <c r="M397" s="1003"/>
      <c r="N397" s="1003">
        <v>6</v>
      </c>
      <c r="O397" s="1005">
        <v>16</v>
      </c>
    </row>
    <row r="398" spans="1:15" collapsed="1" x14ac:dyDescent="0.2">
      <c r="A398"/>
      <c r="B398" s="1002">
        <v>57</v>
      </c>
      <c r="C398" s="1003"/>
      <c r="D398" s="1003"/>
      <c r="E398" s="1003">
        <v>3</v>
      </c>
      <c r="F398" s="1003">
        <v>7</v>
      </c>
      <c r="G398" s="1003"/>
      <c r="H398" s="1003"/>
      <c r="I398" s="1003"/>
      <c r="J398" s="1003"/>
      <c r="K398" s="1003">
        <f t="shared" si="6"/>
        <v>10</v>
      </c>
      <c r="L398" s="1004"/>
      <c r="M398" s="1003"/>
      <c r="N398" s="1003">
        <v>4</v>
      </c>
      <c r="O398" s="1005">
        <v>16</v>
      </c>
    </row>
    <row r="399" spans="1:15" collapsed="1" x14ac:dyDescent="0.2">
      <c r="A399"/>
      <c r="B399" s="1002">
        <v>57</v>
      </c>
      <c r="C399" s="1003"/>
      <c r="D399" s="1003"/>
      <c r="E399" s="1003"/>
      <c r="F399" s="1003">
        <v>6</v>
      </c>
      <c r="G399" s="1003">
        <v>3</v>
      </c>
      <c r="H399" s="1003"/>
      <c r="I399" s="1003"/>
      <c r="J399" s="1003"/>
      <c r="K399" s="1003">
        <f t="shared" si="6"/>
        <v>9</v>
      </c>
      <c r="L399" s="1004"/>
      <c r="M399" s="1003"/>
      <c r="N399" s="1003">
        <v>2</v>
      </c>
      <c r="O399" s="1005">
        <v>16</v>
      </c>
    </row>
    <row r="400" spans="1:15" x14ac:dyDescent="0.2">
      <c r="A400"/>
      <c r="B400" s="1002">
        <v>57</v>
      </c>
      <c r="C400" s="1003"/>
      <c r="D400" s="1003"/>
      <c r="E400" s="1003"/>
      <c r="F400" s="1003"/>
      <c r="G400" s="1003">
        <v>7</v>
      </c>
      <c r="H400" s="1003">
        <v>1</v>
      </c>
      <c r="I400" s="1003"/>
      <c r="J400" s="1003"/>
      <c r="K400" s="1003">
        <f t="shared" si="6"/>
        <v>8</v>
      </c>
      <c r="L400" s="1004"/>
      <c r="M400" s="1003"/>
      <c r="N400" s="1003"/>
      <c r="O400" s="1005">
        <v>16</v>
      </c>
    </row>
    <row r="401" spans="1:15" x14ac:dyDescent="0.2">
      <c r="A401"/>
      <c r="B401" s="1002">
        <v>57</v>
      </c>
      <c r="C401" s="1003"/>
      <c r="D401" s="1003"/>
      <c r="E401" s="1003"/>
      <c r="F401" s="1003"/>
      <c r="G401" s="1003"/>
      <c r="H401" s="1003">
        <v>6</v>
      </c>
      <c r="I401" s="1003">
        <v>1</v>
      </c>
      <c r="J401" s="1003"/>
      <c r="K401" s="1003">
        <f t="shared" si="6"/>
        <v>7</v>
      </c>
      <c r="L401" s="1004"/>
      <c r="M401" s="1003"/>
      <c r="N401" s="1003">
        <v>6</v>
      </c>
      <c r="O401" s="1005">
        <v>8</v>
      </c>
    </row>
    <row r="402" spans="1:15" x14ac:dyDescent="0.2">
      <c r="A402"/>
      <c r="B402" s="1002">
        <v>57</v>
      </c>
      <c r="C402" s="1003"/>
      <c r="D402" s="1003"/>
      <c r="E402" s="1003"/>
      <c r="F402" s="1003"/>
      <c r="G402" s="1003"/>
      <c r="H402" s="1003"/>
      <c r="I402" s="1003">
        <v>3</v>
      </c>
      <c r="J402" s="1003">
        <v>3</v>
      </c>
      <c r="K402" s="1003">
        <f t="shared" si="6"/>
        <v>6</v>
      </c>
      <c r="L402" s="1004"/>
      <c r="M402" s="1003"/>
      <c r="N402" s="1003">
        <v>4</v>
      </c>
      <c r="O402" s="1005">
        <v>8</v>
      </c>
    </row>
    <row r="403" spans="1:15" collapsed="1" x14ac:dyDescent="0.2">
      <c r="A403"/>
      <c r="B403" s="1002">
        <v>58</v>
      </c>
      <c r="C403" s="1003">
        <v>18</v>
      </c>
      <c r="D403" s="1003">
        <v>1</v>
      </c>
      <c r="E403" s="1003"/>
      <c r="F403" s="1003"/>
      <c r="G403" s="1003"/>
      <c r="H403" s="1003"/>
      <c r="I403" s="1003"/>
      <c r="J403" s="1003"/>
      <c r="K403" s="1003">
        <f t="shared" si="6"/>
        <v>19</v>
      </c>
      <c r="L403" s="1004"/>
      <c r="M403" s="1003"/>
      <c r="N403" s="1003">
        <v>6</v>
      </c>
      <c r="O403" s="1005">
        <v>32</v>
      </c>
    </row>
    <row r="404" spans="1:15" collapsed="1" x14ac:dyDescent="0.2">
      <c r="A404"/>
      <c r="B404" s="1002">
        <v>58</v>
      </c>
      <c r="C404" s="1003">
        <v>14</v>
      </c>
      <c r="D404" s="1003">
        <v>4</v>
      </c>
      <c r="E404" s="1003"/>
      <c r="F404" s="1003"/>
      <c r="G404" s="1003"/>
      <c r="H404" s="1003"/>
      <c r="I404" s="1003"/>
      <c r="J404" s="1003"/>
      <c r="K404" s="1003">
        <f t="shared" si="6"/>
        <v>18</v>
      </c>
      <c r="L404" s="1004"/>
      <c r="M404" s="1003"/>
      <c r="N404" s="1003">
        <v>4</v>
      </c>
      <c r="O404" s="1005">
        <v>32</v>
      </c>
    </row>
    <row r="405" spans="1:15" collapsed="1" x14ac:dyDescent="0.2">
      <c r="A405"/>
      <c r="B405" s="1002">
        <v>58</v>
      </c>
      <c r="C405" s="1003">
        <v>10</v>
      </c>
      <c r="D405" s="1003">
        <v>7</v>
      </c>
      <c r="E405" s="1003"/>
      <c r="F405" s="1003"/>
      <c r="G405" s="1003"/>
      <c r="H405" s="1003"/>
      <c r="I405" s="1003"/>
      <c r="J405" s="1003"/>
      <c r="K405" s="1003">
        <f t="shared" si="6"/>
        <v>17</v>
      </c>
      <c r="L405" s="1004"/>
      <c r="M405" s="1003"/>
      <c r="N405" s="1003">
        <v>2</v>
      </c>
      <c r="O405" s="1005">
        <v>32</v>
      </c>
    </row>
    <row r="406" spans="1:15" collapsed="1" x14ac:dyDescent="0.2">
      <c r="A406"/>
      <c r="B406" s="1002">
        <v>58</v>
      </c>
      <c r="C406" s="1003">
        <v>6</v>
      </c>
      <c r="D406" s="1003">
        <v>10</v>
      </c>
      <c r="E406" s="1003"/>
      <c r="F406" s="1003"/>
      <c r="G406" s="1003"/>
      <c r="H406" s="1003"/>
      <c r="I406" s="1003"/>
      <c r="J406" s="1003"/>
      <c r="K406" s="1003">
        <f t="shared" si="6"/>
        <v>16</v>
      </c>
      <c r="L406" s="1004"/>
      <c r="M406" s="1003"/>
      <c r="N406" s="1003"/>
      <c r="O406" s="1005">
        <v>32</v>
      </c>
    </row>
    <row r="407" spans="1:15" collapsed="1" x14ac:dyDescent="0.2">
      <c r="A407"/>
      <c r="B407" s="1002">
        <v>58</v>
      </c>
      <c r="C407" s="1003">
        <v>2</v>
      </c>
      <c r="D407" s="1003">
        <v>13</v>
      </c>
      <c r="E407" s="1003"/>
      <c r="F407" s="1003"/>
      <c r="G407" s="1003"/>
      <c r="H407" s="1003"/>
      <c r="I407" s="1003"/>
      <c r="J407" s="1003"/>
      <c r="K407" s="1003">
        <f t="shared" si="6"/>
        <v>15</v>
      </c>
      <c r="L407" s="1004"/>
      <c r="M407" s="1003"/>
      <c r="N407" s="1003">
        <v>14</v>
      </c>
      <c r="O407" s="1005">
        <v>16</v>
      </c>
    </row>
    <row r="408" spans="1:15" x14ac:dyDescent="0.2">
      <c r="A408"/>
      <c r="B408" s="1002">
        <v>58</v>
      </c>
      <c r="C408" s="1003"/>
      <c r="D408" s="1003">
        <v>12</v>
      </c>
      <c r="E408" s="1003">
        <v>2</v>
      </c>
      <c r="F408" s="1003"/>
      <c r="G408" s="1003"/>
      <c r="H408" s="1003"/>
      <c r="I408" s="1003"/>
      <c r="J408" s="1003"/>
      <c r="K408" s="1003">
        <f t="shared" si="6"/>
        <v>14</v>
      </c>
      <c r="L408" s="1004"/>
      <c r="M408" s="1003"/>
      <c r="N408" s="1003">
        <v>12</v>
      </c>
      <c r="O408" s="1005">
        <v>16</v>
      </c>
    </row>
    <row r="409" spans="1:15" collapsed="1" x14ac:dyDescent="0.2">
      <c r="A409"/>
      <c r="B409" s="1002">
        <v>58</v>
      </c>
      <c r="C409" s="1003"/>
      <c r="D409" s="1003">
        <v>7</v>
      </c>
      <c r="E409" s="1003">
        <v>6</v>
      </c>
      <c r="F409" s="1003"/>
      <c r="G409" s="1003"/>
      <c r="H409" s="1003"/>
      <c r="I409" s="1003"/>
      <c r="J409" s="1003"/>
      <c r="K409" s="1003">
        <f t="shared" si="6"/>
        <v>13</v>
      </c>
      <c r="L409" s="1004"/>
      <c r="M409" s="1003"/>
      <c r="N409" s="1003">
        <v>10</v>
      </c>
      <c r="O409" s="1005">
        <v>16</v>
      </c>
    </row>
    <row r="410" spans="1:15" collapsed="1" x14ac:dyDescent="0.2">
      <c r="A410"/>
      <c r="B410" s="1002">
        <v>58</v>
      </c>
      <c r="C410" s="1003"/>
      <c r="D410" s="1003">
        <v>2</v>
      </c>
      <c r="E410" s="1003">
        <v>10</v>
      </c>
      <c r="F410" s="1003"/>
      <c r="G410" s="1003"/>
      <c r="H410" s="1003"/>
      <c r="I410" s="1003"/>
      <c r="J410" s="1003"/>
      <c r="K410" s="1003">
        <f t="shared" si="6"/>
        <v>12</v>
      </c>
      <c r="L410" s="1004"/>
      <c r="M410" s="1003"/>
      <c r="N410" s="1003">
        <v>8</v>
      </c>
      <c r="O410" s="1005">
        <v>16</v>
      </c>
    </row>
    <row r="411" spans="1:15" x14ac:dyDescent="0.2">
      <c r="A411"/>
      <c r="B411" s="1002">
        <v>58</v>
      </c>
      <c r="C411" s="1003"/>
      <c r="D411" s="1003"/>
      <c r="E411" s="1003">
        <v>8</v>
      </c>
      <c r="F411" s="1003">
        <v>3</v>
      </c>
      <c r="G411" s="1003"/>
      <c r="H411" s="1003"/>
      <c r="I411" s="1003"/>
      <c r="J411" s="1003"/>
      <c r="K411" s="1003">
        <f t="shared" si="6"/>
        <v>11</v>
      </c>
      <c r="L411" s="1004"/>
      <c r="M411" s="1003"/>
      <c r="N411" s="1003">
        <v>6</v>
      </c>
      <c r="O411" s="1005">
        <v>16</v>
      </c>
    </row>
    <row r="412" spans="1:15" collapsed="1" x14ac:dyDescent="0.2">
      <c r="A412"/>
      <c r="B412" s="1002">
        <v>58</v>
      </c>
      <c r="C412" s="1003"/>
      <c r="D412" s="1003"/>
      <c r="E412" s="1003">
        <v>2</v>
      </c>
      <c r="F412" s="1003">
        <v>8</v>
      </c>
      <c r="G412" s="1003"/>
      <c r="H412" s="1003"/>
      <c r="I412" s="1003"/>
      <c r="J412" s="1003"/>
      <c r="K412" s="1003">
        <f t="shared" si="6"/>
        <v>10</v>
      </c>
      <c r="L412" s="1004"/>
      <c r="M412" s="1003"/>
      <c r="N412" s="1003">
        <v>4</v>
      </c>
      <c r="O412" s="1005">
        <v>16</v>
      </c>
    </row>
    <row r="413" spans="1:15" collapsed="1" x14ac:dyDescent="0.2">
      <c r="A413"/>
      <c r="B413" s="1002">
        <v>58</v>
      </c>
      <c r="C413" s="1003"/>
      <c r="D413" s="1003"/>
      <c r="E413" s="1003"/>
      <c r="F413" s="1003">
        <v>5</v>
      </c>
      <c r="G413" s="1003">
        <v>4</v>
      </c>
      <c r="H413" s="1003"/>
      <c r="I413" s="1003"/>
      <c r="J413" s="1003"/>
      <c r="K413" s="1003">
        <f t="shared" si="6"/>
        <v>9</v>
      </c>
      <c r="L413" s="1004"/>
      <c r="M413" s="1003"/>
      <c r="N413" s="1003">
        <v>2</v>
      </c>
      <c r="O413" s="1005">
        <v>16</v>
      </c>
    </row>
    <row r="414" spans="1:15" x14ac:dyDescent="0.2">
      <c r="A414"/>
      <c r="B414" s="1002">
        <v>58</v>
      </c>
      <c r="C414" s="1003"/>
      <c r="D414" s="1003"/>
      <c r="E414" s="1003"/>
      <c r="F414" s="1003"/>
      <c r="G414" s="1003">
        <v>6</v>
      </c>
      <c r="H414" s="1003">
        <v>2</v>
      </c>
      <c r="I414" s="1003"/>
      <c r="J414" s="1003"/>
      <c r="K414" s="1003">
        <f t="shared" si="6"/>
        <v>8</v>
      </c>
      <c r="L414" s="1004"/>
      <c r="M414" s="1003"/>
      <c r="N414" s="1003"/>
      <c r="O414" s="1005">
        <v>16</v>
      </c>
    </row>
    <row r="415" spans="1:15" x14ac:dyDescent="0.2">
      <c r="A415"/>
      <c r="B415" s="1002">
        <v>58</v>
      </c>
      <c r="C415" s="1003"/>
      <c r="D415" s="1003"/>
      <c r="E415" s="1003"/>
      <c r="F415" s="1003"/>
      <c r="G415" s="1003"/>
      <c r="H415" s="1003">
        <v>5</v>
      </c>
      <c r="I415" s="1003">
        <v>2</v>
      </c>
      <c r="J415" s="1003"/>
      <c r="K415" s="1003">
        <f t="shared" si="6"/>
        <v>7</v>
      </c>
      <c r="L415" s="1004"/>
      <c r="M415" s="1003"/>
      <c r="N415" s="1003">
        <v>6</v>
      </c>
      <c r="O415" s="1005">
        <v>8</v>
      </c>
    </row>
    <row r="416" spans="1:15" x14ac:dyDescent="0.2">
      <c r="A416"/>
      <c r="B416" s="1002">
        <v>58</v>
      </c>
      <c r="C416" s="1003"/>
      <c r="D416" s="1003"/>
      <c r="E416" s="1003"/>
      <c r="F416" s="1003"/>
      <c r="G416" s="1003"/>
      <c r="H416" s="1003"/>
      <c r="I416" s="1003">
        <v>2</v>
      </c>
      <c r="J416" s="1003">
        <v>4</v>
      </c>
      <c r="K416" s="1003">
        <f t="shared" si="6"/>
        <v>6</v>
      </c>
      <c r="L416" s="1004"/>
      <c r="M416" s="1003"/>
      <c r="N416" s="1003">
        <v>4</v>
      </c>
      <c r="O416" s="1005">
        <v>8</v>
      </c>
    </row>
    <row r="417" spans="1:15" collapsed="1" x14ac:dyDescent="0.2">
      <c r="A417"/>
      <c r="B417" s="1002">
        <v>59</v>
      </c>
      <c r="C417" s="1003">
        <v>17</v>
      </c>
      <c r="D417" s="1003">
        <v>2</v>
      </c>
      <c r="E417" s="1003"/>
      <c r="F417" s="1003"/>
      <c r="G417" s="1003"/>
      <c r="H417" s="1003"/>
      <c r="I417" s="1003"/>
      <c r="J417" s="1003"/>
      <c r="K417" s="1003">
        <f t="shared" si="6"/>
        <v>19</v>
      </c>
      <c r="L417" s="1004"/>
      <c r="M417" s="1003"/>
      <c r="N417" s="1003">
        <v>6</v>
      </c>
      <c r="O417" s="1005">
        <v>32</v>
      </c>
    </row>
    <row r="418" spans="1:15" collapsed="1" x14ac:dyDescent="0.2">
      <c r="A418"/>
      <c r="B418" s="1002">
        <v>59</v>
      </c>
      <c r="C418" s="1003">
        <v>13</v>
      </c>
      <c r="D418" s="1003">
        <v>5</v>
      </c>
      <c r="E418" s="1003"/>
      <c r="F418" s="1003"/>
      <c r="G418" s="1003"/>
      <c r="H418" s="1003"/>
      <c r="I418" s="1003"/>
      <c r="J418" s="1003"/>
      <c r="K418" s="1003">
        <f t="shared" si="6"/>
        <v>18</v>
      </c>
      <c r="L418" s="1004"/>
      <c r="M418" s="1003"/>
      <c r="N418" s="1003">
        <v>4</v>
      </c>
      <c r="O418" s="1005">
        <v>32</v>
      </c>
    </row>
    <row r="419" spans="1:15" collapsed="1" x14ac:dyDescent="0.2">
      <c r="A419"/>
      <c r="B419" s="1002">
        <v>59</v>
      </c>
      <c r="C419" s="1003">
        <v>9</v>
      </c>
      <c r="D419" s="1003">
        <v>8</v>
      </c>
      <c r="E419" s="1003"/>
      <c r="F419" s="1003"/>
      <c r="G419" s="1003"/>
      <c r="H419" s="1003"/>
      <c r="I419" s="1003"/>
      <c r="J419" s="1003"/>
      <c r="K419" s="1003">
        <f t="shared" si="6"/>
        <v>17</v>
      </c>
      <c r="L419" s="1004"/>
      <c r="M419" s="1003"/>
      <c r="N419" s="1003">
        <v>2</v>
      </c>
      <c r="O419" s="1005">
        <v>32</v>
      </c>
    </row>
    <row r="420" spans="1:15" collapsed="1" x14ac:dyDescent="0.2">
      <c r="A420"/>
      <c r="B420" s="1002">
        <v>59</v>
      </c>
      <c r="C420" s="1003">
        <v>5</v>
      </c>
      <c r="D420" s="1003">
        <v>11</v>
      </c>
      <c r="E420" s="1003"/>
      <c r="F420" s="1003"/>
      <c r="G420" s="1003"/>
      <c r="H420" s="1003"/>
      <c r="I420" s="1003"/>
      <c r="J420" s="1003"/>
      <c r="K420" s="1003">
        <f t="shared" si="6"/>
        <v>16</v>
      </c>
      <c r="L420" s="1004"/>
      <c r="M420" s="1003"/>
      <c r="N420" s="1003"/>
      <c r="O420" s="1005">
        <v>32</v>
      </c>
    </row>
    <row r="421" spans="1:15" collapsed="1" x14ac:dyDescent="0.2">
      <c r="A421"/>
      <c r="B421" s="1002">
        <v>59</v>
      </c>
      <c r="C421" s="1003">
        <v>1</v>
      </c>
      <c r="D421" s="1003">
        <v>14</v>
      </c>
      <c r="E421" s="1003"/>
      <c r="F421" s="1003"/>
      <c r="G421" s="1003"/>
      <c r="H421" s="1003"/>
      <c r="I421" s="1003"/>
      <c r="J421" s="1003"/>
      <c r="K421" s="1003">
        <f t="shared" si="6"/>
        <v>15</v>
      </c>
      <c r="L421" s="1004"/>
      <c r="M421" s="1003"/>
      <c r="N421" s="1003">
        <v>14</v>
      </c>
      <c r="O421" s="1005">
        <v>16</v>
      </c>
    </row>
    <row r="422" spans="1:15" x14ac:dyDescent="0.2">
      <c r="A422"/>
      <c r="B422" s="1002">
        <v>59</v>
      </c>
      <c r="C422" s="1003"/>
      <c r="D422" s="1003">
        <v>11</v>
      </c>
      <c r="E422" s="1003">
        <v>3</v>
      </c>
      <c r="F422" s="1003"/>
      <c r="G422" s="1003"/>
      <c r="H422" s="1003"/>
      <c r="I422" s="1003"/>
      <c r="J422" s="1003"/>
      <c r="K422" s="1003">
        <f t="shared" si="6"/>
        <v>14</v>
      </c>
      <c r="L422" s="1004"/>
      <c r="M422" s="1003"/>
      <c r="N422" s="1003">
        <v>12</v>
      </c>
      <c r="O422" s="1005">
        <v>16</v>
      </c>
    </row>
    <row r="423" spans="1:15" collapsed="1" x14ac:dyDescent="0.2">
      <c r="A423"/>
      <c r="B423" s="1002">
        <v>59</v>
      </c>
      <c r="C423" s="1003"/>
      <c r="D423" s="1003">
        <v>6</v>
      </c>
      <c r="E423" s="1003">
        <v>7</v>
      </c>
      <c r="F423" s="1003"/>
      <c r="G423" s="1003"/>
      <c r="H423" s="1003"/>
      <c r="I423" s="1003"/>
      <c r="J423" s="1003"/>
      <c r="K423" s="1003">
        <f t="shared" si="6"/>
        <v>13</v>
      </c>
      <c r="L423" s="1004"/>
      <c r="M423" s="1003"/>
      <c r="N423" s="1003">
        <v>10</v>
      </c>
      <c r="O423" s="1005">
        <v>16</v>
      </c>
    </row>
    <row r="424" spans="1:15" collapsed="1" x14ac:dyDescent="0.2">
      <c r="A424"/>
      <c r="B424" s="1002">
        <v>59</v>
      </c>
      <c r="C424" s="1003"/>
      <c r="D424" s="1003">
        <v>1</v>
      </c>
      <c r="E424" s="1003">
        <v>11</v>
      </c>
      <c r="F424" s="1003"/>
      <c r="G424" s="1003"/>
      <c r="H424" s="1003"/>
      <c r="I424" s="1003"/>
      <c r="J424" s="1003"/>
      <c r="K424" s="1003">
        <f t="shared" si="6"/>
        <v>12</v>
      </c>
      <c r="L424" s="1004"/>
      <c r="M424" s="1003"/>
      <c r="N424" s="1003">
        <v>8</v>
      </c>
      <c r="O424" s="1005">
        <v>16</v>
      </c>
    </row>
    <row r="425" spans="1:15" x14ac:dyDescent="0.2">
      <c r="A425"/>
      <c r="B425" s="1002">
        <v>59</v>
      </c>
      <c r="C425" s="1003"/>
      <c r="D425" s="1003"/>
      <c r="E425" s="1003">
        <v>7</v>
      </c>
      <c r="F425" s="1003">
        <v>4</v>
      </c>
      <c r="G425" s="1003"/>
      <c r="H425" s="1003"/>
      <c r="I425" s="1003"/>
      <c r="J425" s="1003"/>
      <c r="K425" s="1003">
        <f t="shared" si="6"/>
        <v>11</v>
      </c>
      <c r="L425" s="1004"/>
      <c r="M425" s="1003"/>
      <c r="N425" s="1003">
        <v>6</v>
      </c>
      <c r="O425" s="1005">
        <v>16</v>
      </c>
    </row>
    <row r="426" spans="1:15" collapsed="1" x14ac:dyDescent="0.2">
      <c r="A426"/>
      <c r="B426" s="1002">
        <v>59</v>
      </c>
      <c r="C426" s="1003"/>
      <c r="D426" s="1003"/>
      <c r="E426" s="1003">
        <v>1</v>
      </c>
      <c r="F426" s="1003">
        <v>9</v>
      </c>
      <c r="G426" s="1003"/>
      <c r="H426" s="1003"/>
      <c r="I426" s="1003"/>
      <c r="J426" s="1003"/>
      <c r="K426" s="1003">
        <f t="shared" si="6"/>
        <v>10</v>
      </c>
      <c r="L426" s="1004"/>
      <c r="M426" s="1003"/>
      <c r="N426" s="1003">
        <v>4</v>
      </c>
      <c r="O426" s="1005">
        <v>16</v>
      </c>
    </row>
    <row r="427" spans="1:15" collapsed="1" x14ac:dyDescent="0.2">
      <c r="A427"/>
      <c r="B427" s="1002">
        <v>59</v>
      </c>
      <c r="C427" s="1003"/>
      <c r="D427" s="1003"/>
      <c r="E427" s="1003"/>
      <c r="F427" s="1003">
        <v>4</v>
      </c>
      <c r="G427" s="1003">
        <v>5</v>
      </c>
      <c r="H427" s="1003"/>
      <c r="I427" s="1003"/>
      <c r="J427" s="1003"/>
      <c r="K427" s="1003">
        <f t="shared" si="6"/>
        <v>9</v>
      </c>
      <c r="L427" s="1004"/>
      <c r="M427" s="1003"/>
      <c r="N427" s="1003">
        <v>2</v>
      </c>
      <c r="O427" s="1005">
        <v>16</v>
      </c>
    </row>
    <row r="428" spans="1:15" x14ac:dyDescent="0.2">
      <c r="A428"/>
      <c r="B428" s="1002">
        <v>59</v>
      </c>
      <c r="C428" s="1003"/>
      <c r="D428" s="1003"/>
      <c r="E428" s="1003"/>
      <c r="F428" s="1003"/>
      <c r="G428" s="1003">
        <v>5</v>
      </c>
      <c r="H428" s="1003">
        <v>3</v>
      </c>
      <c r="I428" s="1003"/>
      <c r="J428" s="1003"/>
      <c r="K428" s="1003">
        <f t="shared" si="6"/>
        <v>8</v>
      </c>
      <c r="L428" s="1004"/>
      <c r="M428" s="1003"/>
      <c r="N428" s="1003"/>
      <c r="O428" s="1005">
        <v>16</v>
      </c>
    </row>
    <row r="429" spans="1:15" x14ac:dyDescent="0.2">
      <c r="A429"/>
      <c r="B429" s="1002">
        <v>59</v>
      </c>
      <c r="C429" s="1003"/>
      <c r="D429" s="1003"/>
      <c r="E429" s="1003"/>
      <c r="F429" s="1003"/>
      <c r="G429" s="1003"/>
      <c r="H429" s="1003">
        <v>4</v>
      </c>
      <c r="I429" s="1003">
        <v>3</v>
      </c>
      <c r="J429" s="1003"/>
      <c r="K429" s="1003">
        <f t="shared" si="6"/>
        <v>7</v>
      </c>
      <c r="L429" s="1004"/>
      <c r="M429" s="1003"/>
      <c r="N429" s="1003">
        <v>6</v>
      </c>
      <c r="O429" s="1005">
        <v>8</v>
      </c>
    </row>
    <row r="430" spans="1:15" x14ac:dyDescent="0.2">
      <c r="A430"/>
      <c r="B430" s="1002">
        <v>59</v>
      </c>
      <c r="C430" s="1003"/>
      <c r="D430" s="1003"/>
      <c r="E430" s="1003"/>
      <c r="F430" s="1003"/>
      <c r="G430" s="1003"/>
      <c r="H430" s="1003"/>
      <c r="I430" s="1003">
        <v>1</v>
      </c>
      <c r="J430" s="1003">
        <v>5</v>
      </c>
      <c r="K430" s="1003">
        <f t="shared" si="6"/>
        <v>6</v>
      </c>
      <c r="L430" s="1004"/>
      <c r="M430" s="1003"/>
      <c r="N430" s="1003">
        <v>4</v>
      </c>
      <c r="O430" s="1005">
        <v>8</v>
      </c>
    </row>
    <row r="431" spans="1:15" collapsed="1" x14ac:dyDescent="0.2">
      <c r="A431"/>
      <c r="B431" s="1002">
        <v>60</v>
      </c>
      <c r="C431" s="1003">
        <v>20</v>
      </c>
      <c r="D431" s="1003"/>
      <c r="E431" s="1003"/>
      <c r="F431" s="1003"/>
      <c r="G431" s="1003"/>
      <c r="H431" s="1003"/>
      <c r="I431" s="1003"/>
      <c r="J431" s="1003"/>
      <c r="K431" s="1003">
        <f t="shared" si="6"/>
        <v>20</v>
      </c>
      <c r="L431" s="1004"/>
      <c r="M431" s="1003"/>
      <c r="N431" s="1003">
        <v>8</v>
      </c>
      <c r="O431" s="1005">
        <v>32</v>
      </c>
    </row>
    <row r="432" spans="1:15" collapsed="1" x14ac:dyDescent="0.2">
      <c r="A432"/>
      <c r="B432" s="1002">
        <v>60</v>
      </c>
      <c r="C432" s="1003">
        <v>16</v>
      </c>
      <c r="D432" s="1003">
        <v>3</v>
      </c>
      <c r="E432" s="1003"/>
      <c r="F432" s="1003"/>
      <c r="G432" s="1003"/>
      <c r="H432" s="1003"/>
      <c r="I432" s="1003"/>
      <c r="J432" s="1003"/>
      <c r="K432" s="1003">
        <f t="shared" si="6"/>
        <v>19</v>
      </c>
      <c r="L432" s="1004"/>
      <c r="M432" s="1003"/>
      <c r="N432" s="1003">
        <v>6</v>
      </c>
      <c r="O432" s="1005">
        <v>32</v>
      </c>
    </row>
    <row r="433" spans="1:15" collapsed="1" x14ac:dyDescent="0.2">
      <c r="A433"/>
      <c r="B433" s="1002">
        <v>60</v>
      </c>
      <c r="C433" s="1003">
        <v>12</v>
      </c>
      <c r="D433" s="1003">
        <v>6</v>
      </c>
      <c r="E433" s="1003"/>
      <c r="F433" s="1003"/>
      <c r="G433" s="1003"/>
      <c r="H433" s="1003"/>
      <c r="I433" s="1003"/>
      <c r="J433" s="1003"/>
      <c r="K433" s="1003">
        <f t="shared" si="6"/>
        <v>18</v>
      </c>
      <c r="L433" s="1004"/>
      <c r="M433" s="1003"/>
      <c r="N433" s="1003">
        <v>4</v>
      </c>
      <c r="O433" s="1005">
        <v>32</v>
      </c>
    </row>
    <row r="434" spans="1:15" collapsed="1" x14ac:dyDescent="0.2">
      <c r="A434"/>
      <c r="B434" s="1002">
        <v>60</v>
      </c>
      <c r="C434" s="1003">
        <v>8</v>
      </c>
      <c r="D434" s="1003">
        <v>9</v>
      </c>
      <c r="E434" s="1003"/>
      <c r="F434" s="1003"/>
      <c r="G434" s="1003"/>
      <c r="H434" s="1003"/>
      <c r="I434" s="1003"/>
      <c r="J434" s="1003"/>
      <c r="K434" s="1003">
        <f t="shared" si="6"/>
        <v>17</v>
      </c>
      <c r="L434" s="1004"/>
      <c r="M434" s="1003"/>
      <c r="N434" s="1003">
        <v>2</v>
      </c>
      <c r="O434" s="1005">
        <v>32</v>
      </c>
    </row>
    <row r="435" spans="1:15" collapsed="1" x14ac:dyDescent="0.2">
      <c r="A435"/>
      <c r="B435" s="1002">
        <v>60</v>
      </c>
      <c r="C435" s="1003">
        <v>4</v>
      </c>
      <c r="D435" s="1003">
        <v>12</v>
      </c>
      <c r="E435" s="1003"/>
      <c r="F435" s="1003"/>
      <c r="G435" s="1003"/>
      <c r="H435" s="1003"/>
      <c r="I435" s="1003"/>
      <c r="J435" s="1003"/>
      <c r="K435" s="1003">
        <f t="shared" si="6"/>
        <v>16</v>
      </c>
      <c r="L435" s="1004"/>
      <c r="M435" s="1003"/>
      <c r="N435" s="1003"/>
      <c r="O435" s="1005">
        <v>32</v>
      </c>
    </row>
    <row r="436" spans="1:15" collapsed="1" x14ac:dyDescent="0.2">
      <c r="A436"/>
      <c r="B436" s="1002">
        <v>60</v>
      </c>
      <c r="C436" s="1003"/>
      <c r="D436" s="1003">
        <v>15</v>
      </c>
      <c r="E436" s="1003"/>
      <c r="F436" s="1003"/>
      <c r="G436" s="1003"/>
      <c r="H436" s="1003"/>
      <c r="I436" s="1003"/>
      <c r="J436" s="1003"/>
      <c r="K436" s="1003">
        <f t="shared" si="6"/>
        <v>15</v>
      </c>
      <c r="L436" s="1004"/>
      <c r="M436" s="1003"/>
      <c r="N436" s="1003">
        <v>14</v>
      </c>
      <c r="O436" s="1005">
        <v>16</v>
      </c>
    </row>
    <row r="437" spans="1:15" x14ac:dyDescent="0.2">
      <c r="A437"/>
      <c r="B437" s="1002">
        <v>60</v>
      </c>
      <c r="C437" s="1003"/>
      <c r="D437" s="1003">
        <v>10</v>
      </c>
      <c r="E437" s="1003">
        <v>4</v>
      </c>
      <c r="F437" s="1003"/>
      <c r="G437" s="1003"/>
      <c r="H437" s="1003"/>
      <c r="I437" s="1003"/>
      <c r="J437" s="1003"/>
      <c r="K437" s="1003">
        <f t="shared" si="6"/>
        <v>14</v>
      </c>
      <c r="L437" s="1004"/>
      <c r="M437" s="1003"/>
      <c r="N437" s="1003">
        <v>12</v>
      </c>
      <c r="O437" s="1005">
        <v>16</v>
      </c>
    </row>
    <row r="438" spans="1:15" collapsed="1" x14ac:dyDescent="0.2">
      <c r="A438"/>
      <c r="B438" s="1002">
        <v>60</v>
      </c>
      <c r="C438" s="1003"/>
      <c r="D438" s="1003">
        <v>5</v>
      </c>
      <c r="E438" s="1003">
        <v>8</v>
      </c>
      <c r="F438" s="1003"/>
      <c r="G438" s="1003"/>
      <c r="H438" s="1003"/>
      <c r="I438" s="1003"/>
      <c r="J438" s="1003"/>
      <c r="K438" s="1003">
        <f t="shared" si="6"/>
        <v>13</v>
      </c>
      <c r="L438" s="1004"/>
      <c r="M438" s="1003"/>
      <c r="N438" s="1003">
        <v>10</v>
      </c>
      <c r="O438" s="1005">
        <v>16</v>
      </c>
    </row>
    <row r="439" spans="1:15" collapsed="1" x14ac:dyDescent="0.2">
      <c r="A439"/>
      <c r="B439" s="1002">
        <v>60</v>
      </c>
      <c r="C439" s="1003"/>
      <c r="D439" s="1003"/>
      <c r="E439" s="1003">
        <v>12</v>
      </c>
      <c r="F439" s="1003"/>
      <c r="G439" s="1003"/>
      <c r="H439" s="1003"/>
      <c r="I439" s="1003"/>
      <c r="J439" s="1003"/>
      <c r="K439" s="1003">
        <f t="shared" si="6"/>
        <v>12</v>
      </c>
      <c r="L439" s="1004"/>
      <c r="M439" s="1003"/>
      <c r="N439" s="1003">
        <v>8</v>
      </c>
      <c r="O439" s="1005">
        <v>16</v>
      </c>
    </row>
    <row r="440" spans="1:15" x14ac:dyDescent="0.2">
      <c r="A440"/>
      <c r="B440" s="1002">
        <v>60</v>
      </c>
      <c r="C440" s="1003"/>
      <c r="D440" s="1003"/>
      <c r="E440" s="1003">
        <v>6</v>
      </c>
      <c r="F440" s="1003">
        <v>5</v>
      </c>
      <c r="G440" s="1003"/>
      <c r="H440" s="1003"/>
      <c r="I440" s="1003"/>
      <c r="J440" s="1003"/>
      <c r="K440" s="1003">
        <f t="shared" si="6"/>
        <v>11</v>
      </c>
      <c r="L440" s="1004"/>
      <c r="M440" s="1003"/>
      <c r="N440" s="1003">
        <v>6</v>
      </c>
      <c r="O440" s="1005">
        <v>16</v>
      </c>
    </row>
    <row r="441" spans="1:15" collapsed="1" x14ac:dyDescent="0.2">
      <c r="A441"/>
      <c r="B441" s="1002">
        <v>60</v>
      </c>
      <c r="C441" s="1003"/>
      <c r="D441" s="1003"/>
      <c r="E441" s="1003"/>
      <c r="F441" s="1003">
        <v>10</v>
      </c>
      <c r="G441" s="1003"/>
      <c r="H441" s="1003"/>
      <c r="I441" s="1003"/>
      <c r="J441" s="1003"/>
      <c r="K441" s="1003">
        <f t="shared" si="6"/>
        <v>10</v>
      </c>
      <c r="L441" s="1004"/>
      <c r="M441" s="1003"/>
      <c r="N441" s="1003">
        <v>4</v>
      </c>
      <c r="O441" s="1005">
        <v>16</v>
      </c>
    </row>
    <row r="442" spans="1:15" collapsed="1" x14ac:dyDescent="0.2">
      <c r="A442"/>
      <c r="B442" s="1002">
        <v>60</v>
      </c>
      <c r="C442" s="1003"/>
      <c r="D442" s="1003"/>
      <c r="E442" s="1003"/>
      <c r="F442" s="1003">
        <v>3</v>
      </c>
      <c r="G442" s="1003">
        <v>6</v>
      </c>
      <c r="H442" s="1003"/>
      <c r="I442" s="1003"/>
      <c r="J442" s="1003"/>
      <c r="K442" s="1003">
        <f t="shared" si="6"/>
        <v>9</v>
      </c>
      <c r="L442" s="1004"/>
      <c r="M442" s="1003"/>
      <c r="N442" s="1003">
        <v>2</v>
      </c>
      <c r="O442" s="1005">
        <v>16</v>
      </c>
    </row>
    <row r="443" spans="1:15" x14ac:dyDescent="0.2">
      <c r="A443"/>
      <c r="B443" s="1002">
        <v>60</v>
      </c>
      <c r="C443" s="1003"/>
      <c r="D443" s="1003"/>
      <c r="E443" s="1003"/>
      <c r="F443" s="1003"/>
      <c r="G443" s="1003">
        <v>4</v>
      </c>
      <c r="H443" s="1003">
        <v>4</v>
      </c>
      <c r="I443" s="1003"/>
      <c r="J443" s="1003"/>
      <c r="K443" s="1003">
        <f t="shared" si="6"/>
        <v>8</v>
      </c>
      <c r="L443" s="1004"/>
      <c r="M443" s="1003"/>
      <c r="N443" s="1003"/>
      <c r="O443" s="1005">
        <v>16</v>
      </c>
    </row>
    <row r="444" spans="1:15" x14ac:dyDescent="0.2">
      <c r="A444"/>
      <c r="B444" s="1002">
        <v>60</v>
      </c>
      <c r="C444" s="1003"/>
      <c r="D444" s="1003"/>
      <c r="E444" s="1003"/>
      <c r="F444" s="1003"/>
      <c r="G444" s="1003"/>
      <c r="H444" s="1003">
        <v>3</v>
      </c>
      <c r="I444" s="1003">
        <v>4</v>
      </c>
      <c r="J444" s="1003"/>
      <c r="K444" s="1003">
        <f t="shared" si="6"/>
        <v>7</v>
      </c>
      <c r="L444" s="1004"/>
      <c r="M444" s="1003"/>
      <c r="N444" s="1003">
        <v>6</v>
      </c>
      <c r="O444" s="1005">
        <v>8</v>
      </c>
    </row>
    <row r="445" spans="1:15" x14ac:dyDescent="0.2">
      <c r="A445"/>
      <c r="B445" s="1002">
        <v>60</v>
      </c>
      <c r="C445" s="1003"/>
      <c r="D445" s="1003"/>
      <c r="E445" s="1003"/>
      <c r="F445" s="1003"/>
      <c r="G445" s="1003"/>
      <c r="H445" s="1003"/>
      <c r="I445" s="1003"/>
      <c r="J445" s="1003">
        <v>6</v>
      </c>
      <c r="K445" s="1003">
        <f t="shared" si="6"/>
        <v>6</v>
      </c>
      <c r="L445" s="1004"/>
      <c r="M445" s="1003"/>
      <c r="N445" s="1003">
        <v>4</v>
      </c>
      <c r="O445" s="1005">
        <v>8</v>
      </c>
    </row>
    <row r="446" spans="1:15" collapsed="1" x14ac:dyDescent="0.2">
      <c r="A446"/>
      <c r="B446" s="1002">
        <v>61</v>
      </c>
      <c r="C446" s="1003">
        <v>19</v>
      </c>
      <c r="D446" s="1003">
        <v>1</v>
      </c>
      <c r="E446" s="1003"/>
      <c r="F446" s="1003"/>
      <c r="G446" s="1003"/>
      <c r="H446" s="1003"/>
      <c r="I446" s="1003"/>
      <c r="J446" s="1003"/>
      <c r="K446" s="1003">
        <f t="shared" si="6"/>
        <v>20</v>
      </c>
      <c r="L446" s="1004"/>
      <c r="M446" s="1003"/>
      <c r="N446" s="1003">
        <v>8</v>
      </c>
      <c r="O446" s="1005">
        <v>32</v>
      </c>
    </row>
    <row r="447" spans="1:15" collapsed="1" x14ac:dyDescent="0.2">
      <c r="A447"/>
      <c r="B447" s="1002">
        <v>61</v>
      </c>
      <c r="C447" s="1003">
        <v>15</v>
      </c>
      <c r="D447" s="1003">
        <v>4</v>
      </c>
      <c r="E447" s="1003"/>
      <c r="F447" s="1003"/>
      <c r="G447" s="1003"/>
      <c r="H447" s="1003"/>
      <c r="I447" s="1003"/>
      <c r="J447" s="1003"/>
      <c r="K447" s="1003">
        <f t="shared" si="6"/>
        <v>19</v>
      </c>
      <c r="L447" s="1004"/>
      <c r="M447" s="1003"/>
      <c r="N447" s="1003">
        <v>6</v>
      </c>
      <c r="O447" s="1005">
        <v>32</v>
      </c>
    </row>
    <row r="448" spans="1:15" collapsed="1" x14ac:dyDescent="0.2">
      <c r="A448"/>
      <c r="B448" s="1002">
        <v>61</v>
      </c>
      <c r="C448" s="1003">
        <v>11</v>
      </c>
      <c r="D448" s="1003">
        <v>7</v>
      </c>
      <c r="E448" s="1003"/>
      <c r="F448" s="1003"/>
      <c r="G448" s="1003"/>
      <c r="H448" s="1003"/>
      <c r="I448" s="1003"/>
      <c r="J448" s="1003"/>
      <c r="K448" s="1003">
        <f t="shared" si="6"/>
        <v>18</v>
      </c>
      <c r="L448" s="1004"/>
      <c r="M448" s="1003"/>
      <c r="N448" s="1003">
        <v>4</v>
      </c>
      <c r="O448" s="1005">
        <v>32</v>
      </c>
    </row>
    <row r="449" spans="1:15" collapsed="1" x14ac:dyDescent="0.2">
      <c r="A449"/>
      <c r="B449" s="1002">
        <v>61</v>
      </c>
      <c r="C449" s="1003">
        <v>7</v>
      </c>
      <c r="D449" s="1003">
        <v>10</v>
      </c>
      <c r="E449" s="1003"/>
      <c r="F449" s="1003"/>
      <c r="G449" s="1003"/>
      <c r="H449" s="1003"/>
      <c r="I449" s="1003"/>
      <c r="J449" s="1003"/>
      <c r="K449" s="1003">
        <f t="shared" si="6"/>
        <v>17</v>
      </c>
      <c r="L449" s="1004"/>
      <c r="M449" s="1003"/>
      <c r="N449" s="1003">
        <v>2</v>
      </c>
      <c r="O449" s="1005">
        <v>32</v>
      </c>
    </row>
    <row r="450" spans="1:15" collapsed="1" x14ac:dyDescent="0.2">
      <c r="A450"/>
      <c r="B450" s="1002">
        <v>61</v>
      </c>
      <c r="C450" s="1003">
        <v>3</v>
      </c>
      <c r="D450" s="1003">
        <v>13</v>
      </c>
      <c r="E450" s="1003"/>
      <c r="F450" s="1003"/>
      <c r="G450" s="1003"/>
      <c r="H450" s="1003"/>
      <c r="I450" s="1003"/>
      <c r="J450" s="1003"/>
      <c r="K450" s="1003">
        <f t="shared" si="6"/>
        <v>16</v>
      </c>
      <c r="L450" s="1004"/>
      <c r="M450" s="1003"/>
      <c r="N450" s="1003"/>
      <c r="O450" s="1005">
        <v>32</v>
      </c>
    </row>
    <row r="451" spans="1:15" collapsed="1" x14ac:dyDescent="0.2">
      <c r="A451"/>
      <c r="B451" s="1002">
        <v>61</v>
      </c>
      <c r="C451" s="1003"/>
      <c r="D451" s="1003">
        <v>14</v>
      </c>
      <c r="E451" s="1003">
        <v>1</v>
      </c>
      <c r="F451" s="1003"/>
      <c r="G451" s="1003"/>
      <c r="H451" s="1003"/>
      <c r="I451" s="1003"/>
      <c r="J451" s="1003"/>
      <c r="K451" s="1003">
        <f t="shared" si="6"/>
        <v>15</v>
      </c>
      <c r="L451" s="1004"/>
      <c r="M451" s="1003"/>
      <c r="N451" s="1003">
        <v>14</v>
      </c>
      <c r="O451" s="1005">
        <v>16</v>
      </c>
    </row>
    <row r="452" spans="1:15" x14ac:dyDescent="0.2">
      <c r="A452"/>
      <c r="B452" s="1002">
        <v>61</v>
      </c>
      <c r="C452" s="1003"/>
      <c r="D452" s="1003">
        <v>9</v>
      </c>
      <c r="E452" s="1003">
        <v>5</v>
      </c>
      <c r="F452" s="1003"/>
      <c r="G452" s="1003"/>
      <c r="H452" s="1003"/>
      <c r="I452" s="1003"/>
      <c r="J452" s="1003"/>
      <c r="K452" s="1003">
        <f t="shared" si="6"/>
        <v>14</v>
      </c>
      <c r="L452" s="1004"/>
      <c r="M452" s="1003"/>
      <c r="N452" s="1003">
        <v>12</v>
      </c>
      <c r="O452" s="1005">
        <v>16</v>
      </c>
    </row>
    <row r="453" spans="1:15" collapsed="1" x14ac:dyDescent="0.2">
      <c r="A453"/>
      <c r="B453" s="1002">
        <v>61</v>
      </c>
      <c r="C453" s="1003"/>
      <c r="D453" s="1003">
        <v>4</v>
      </c>
      <c r="E453" s="1003">
        <v>9</v>
      </c>
      <c r="F453" s="1003"/>
      <c r="G453" s="1003"/>
      <c r="H453" s="1003"/>
      <c r="I453" s="1003"/>
      <c r="J453" s="1003"/>
      <c r="K453" s="1003">
        <f t="shared" si="6"/>
        <v>13</v>
      </c>
      <c r="L453" s="1004"/>
      <c r="M453" s="1003"/>
      <c r="N453" s="1003">
        <v>10</v>
      </c>
      <c r="O453" s="1005">
        <v>16</v>
      </c>
    </row>
    <row r="454" spans="1:15" collapsed="1" x14ac:dyDescent="0.2">
      <c r="A454"/>
      <c r="B454" s="1002">
        <v>61</v>
      </c>
      <c r="C454" s="1003"/>
      <c r="D454" s="1003"/>
      <c r="E454" s="1003">
        <v>11</v>
      </c>
      <c r="F454" s="1003">
        <v>1</v>
      </c>
      <c r="G454" s="1003"/>
      <c r="H454" s="1003"/>
      <c r="I454" s="1003"/>
      <c r="J454" s="1003"/>
      <c r="K454" s="1003">
        <f t="shared" ref="K454:K517" si="7">SUM(C454:J454)</f>
        <v>12</v>
      </c>
      <c r="L454" s="1004"/>
      <c r="M454" s="1003"/>
      <c r="N454" s="1003">
        <v>8</v>
      </c>
      <c r="O454" s="1005">
        <v>16</v>
      </c>
    </row>
    <row r="455" spans="1:15" x14ac:dyDescent="0.2">
      <c r="A455"/>
      <c r="B455" s="1002">
        <v>61</v>
      </c>
      <c r="C455" s="1003"/>
      <c r="D455" s="1003"/>
      <c r="E455" s="1003">
        <v>5</v>
      </c>
      <c r="F455" s="1003">
        <v>6</v>
      </c>
      <c r="G455" s="1003"/>
      <c r="H455" s="1003"/>
      <c r="I455" s="1003"/>
      <c r="J455" s="1003"/>
      <c r="K455" s="1003">
        <f t="shared" si="7"/>
        <v>11</v>
      </c>
      <c r="L455" s="1004"/>
      <c r="M455" s="1003"/>
      <c r="N455" s="1003">
        <v>6</v>
      </c>
      <c r="O455" s="1005">
        <v>16</v>
      </c>
    </row>
    <row r="456" spans="1:15" collapsed="1" x14ac:dyDescent="0.2">
      <c r="A456"/>
      <c r="B456" s="1002">
        <v>61</v>
      </c>
      <c r="C456" s="1003"/>
      <c r="D456" s="1003"/>
      <c r="E456" s="1003"/>
      <c r="F456" s="1003">
        <v>9</v>
      </c>
      <c r="G456" s="1003">
        <v>1</v>
      </c>
      <c r="H456" s="1003"/>
      <c r="I456" s="1003"/>
      <c r="J456" s="1003"/>
      <c r="K456" s="1003">
        <f t="shared" si="7"/>
        <v>10</v>
      </c>
      <c r="L456" s="1004"/>
      <c r="M456" s="1003"/>
      <c r="N456" s="1003">
        <v>4</v>
      </c>
      <c r="O456" s="1005">
        <v>16</v>
      </c>
    </row>
    <row r="457" spans="1:15" collapsed="1" x14ac:dyDescent="0.2">
      <c r="A457"/>
      <c r="B457" s="1002">
        <v>61</v>
      </c>
      <c r="C457" s="1003"/>
      <c r="D457" s="1003"/>
      <c r="E457" s="1003"/>
      <c r="F457" s="1003">
        <v>2</v>
      </c>
      <c r="G457" s="1003">
        <v>7</v>
      </c>
      <c r="H457" s="1003"/>
      <c r="I457" s="1003"/>
      <c r="J457" s="1003"/>
      <c r="K457" s="1003">
        <f t="shared" si="7"/>
        <v>9</v>
      </c>
      <c r="L457" s="1004"/>
      <c r="M457" s="1003"/>
      <c r="N457" s="1003">
        <v>2</v>
      </c>
      <c r="O457" s="1005">
        <v>16</v>
      </c>
    </row>
    <row r="458" spans="1:15" x14ac:dyDescent="0.2">
      <c r="A458"/>
      <c r="B458" s="1002">
        <v>61</v>
      </c>
      <c r="C458" s="1003"/>
      <c r="D458" s="1003"/>
      <c r="E458" s="1003"/>
      <c r="F458" s="1003"/>
      <c r="G458" s="1003">
        <v>3</v>
      </c>
      <c r="H458" s="1003">
        <v>5</v>
      </c>
      <c r="I458" s="1003"/>
      <c r="J458" s="1003"/>
      <c r="K458" s="1003">
        <f t="shared" si="7"/>
        <v>8</v>
      </c>
      <c r="L458" s="1004"/>
      <c r="M458" s="1003"/>
      <c r="N458" s="1003"/>
      <c r="O458" s="1005">
        <v>16</v>
      </c>
    </row>
    <row r="459" spans="1:15" x14ac:dyDescent="0.2">
      <c r="A459"/>
      <c r="B459" s="1002">
        <v>61</v>
      </c>
      <c r="C459" s="1003"/>
      <c r="D459" s="1003"/>
      <c r="E459" s="1003"/>
      <c r="F459" s="1003"/>
      <c r="G459" s="1003"/>
      <c r="H459" s="1003">
        <v>2</v>
      </c>
      <c r="I459" s="1003">
        <v>5</v>
      </c>
      <c r="J459" s="1003"/>
      <c r="K459" s="1003">
        <f t="shared" si="7"/>
        <v>7</v>
      </c>
      <c r="L459" s="1004"/>
      <c r="M459" s="1003"/>
      <c r="N459" s="1003">
        <v>6</v>
      </c>
      <c r="O459" s="1005">
        <v>8</v>
      </c>
    </row>
    <row r="460" spans="1:15" collapsed="1" x14ac:dyDescent="0.2">
      <c r="A460"/>
      <c r="B460" s="1002">
        <v>62</v>
      </c>
      <c r="C460" s="1003">
        <v>18</v>
      </c>
      <c r="D460" s="1003">
        <v>2</v>
      </c>
      <c r="E460" s="1003"/>
      <c r="F460" s="1003"/>
      <c r="G460" s="1003"/>
      <c r="H460" s="1003"/>
      <c r="I460" s="1003"/>
      <c r="J460" s="1003"/>
      <c r="K460" s="1003">
        <f t="shared" si="7"/>
        <v>20</v>
      </c>
      <c r="L460" s="1004"/>
      <c r="M460" s="1003"/>
      <c r="N460" s="1003">
        <v>8</v>
      </c>
      <c r="O460" s="1005">
        <v>32</v>
      </c>
    </row>
    <row r="461" spans="1:15" collapsed="1" x14ac:dyDescent="0.2">
      <c r="A461"/>
      <c r="B461" s="1002">
        <v>62</v>
      </c>
      <c r="C461" s="1003">
        <v>14</v>
      </c>
      <c r="D461" s="1003">
        <v>5</v>
      </c>
      <c r="E461" s="1003"/>
      <c r="F461" s="1003"/>
      <c r="G461" s="1003"/>
      <c r="H461" s="1003"/>
      <c r="I461" s="1003"/>
      <c r="J461" s="1003"/>
      <c r="K461" s="1003">
        <f t="shared" si="7"/>
        <v>19</v>
      </c>
      <c r="L461" s="1004"/>
      <c r="M461" s="1003"/>
      <c r="N461" s="1003">
        <v>6</v>
      </c>
      <c r="O461" s="1005">
        <v>32</v>
      </c>
    </row>
    <row r="462" spans="1:15" collapsed="1" x14ac:dyDescent="0.2">
      <c r="A462"/>
      <c r="B462" s="1002">
        <v>62</v>
      </c>
      <c r="C462" s="1003">
        <v>10</v>
      </c>
      <c r="D462" s="1003">
        <v>8</v>
      </c>
      <c r="E462" s="1003"/>
      <c r="F462" s="1003"/>
      <c r="G462" s="1003"/>
      <c r="H462" s="1003"/>
      <c r="I462" s="1003"/>
      <c r="J462" s="1003"/>
      <c r="K462" s="1003">
        <f t="shared" si="7"/>
        <v>18</v>
      </c>
      <c r="L462" s="1004"/>
      <c r="M462" s="1003"/>
      <c r="N462" s="1003">
        <v>4</v>
      </c>
      <c r="O462" s="1005">
        <v>32</v>
      </c>
    </row>
    <row r="463" spans="1:15" collapsed="1" x14ac:dyDescent="0.2">
      <c r="A463"/>
      <c r="B463" s="1002">
        <v>62</v>
      </c>
      <c r="C463" s="1003">
        <v>6</v>
      </c>
      <c r="D463" s="1003">
        <v>11</v>
      </c>
      <c r="E463" s="1003"/>
      <c r="F463" s="1003"/>
      <c r="G463" s="1003"/>
      <c r="H463" s="1003"/>
      <c r="I463" s="1003"/>
      <c r="J463" s="1003"/>
      <c r="K463" s="1003">
        <f t="shared" si="7"/>
        <v>17</v>
      </c>
      <c r="L463" s="1004"/>
      <c r="M463" s="1003"/>
      <c r="N463" s="1003">
        <v>2</v>
      </c>
      <c r="O463" s="1005">
        <v>32</v>
      </c>
    </row>
    <row r="464" spans="1:15" collapsed="1" x14ac:dyDescent="0.2">
      <c r="A464"/>
      <c r="B464" s="1002">
        <v>62</v>
      </c>
      <c r="C464" s="1003">
        <v>2</v>
      </c>
      <c r="D464" s="1003">
        <v>14</v>
      </c>
      <c r="E464" s="1003"/>
      <c r="F464" s="1003"/>
      <c r="G464" s="1003"/>
      <c r="H464" s="1003"/>
      <c r="I464" s="1003"/>
      <c r="J464" s="1003"/>
      <c r="K464" s="1003">
        <f t="shared" si="7"/>
        <v>16</v>
      </c>
      <c r="L464" s="1004"/>
      <c r="M464" s="1003"/>
      <c r="N464" s="1003"/>
      <c r="O464" s="1005">
        <v>32</v>
      </c>
    </row>
    <row r="465" spans="1:15" collapsed="1" x14ac:dyDescent="0.2">
      <c r="A465"/>
      <c r="B465" s="1002">
        <v>62</v>
      </c>
      <c r="C465" s="1003"/>
      <c r="D465" s="1003">
        <v>13</v>
      </c>
      <c r="E465" s="1003">
        <v>2</v>
      </c>
      <c r="F465" s="1003"/>
      <c r="G465" s="1003"/>
      <c r="H465" s="1003"/>
      <c r="I465" s="1003"/>
      <c r="J465" s="1003"/>
      <c r="K465" s="1003">
        <f t="shared" si="7"/>
        <v>15</v>
      </c>
      <c r="L465" s="1004"/>
      <c r="M465" s="1003"/>
      <c r="N465" s="1003">
        <v>14</v>
      </c>
      <c r="O465" s="1005">
        <v>16</v>
      </c>
    </row>
    <row r="466" spans="1:15" x14ac:dyDescent="0.2">
      <c r="A466"/>
      <c r="B466" s="1002">
        <v>62</v>
      </c>
      <c r="C466" s="1003"/>
      <c r="D466" s="1003">
        <v>8</v>
      </c>
      <c r="E466" s="1003">
        <v>6</v>
      </c>
      <c r="F466" s="1003"/>
      <c r="G466" s="1003"/>
      <c r="H466" s="1003"/>
      <c r="I466" s="1003"/>
      <c r="J466" s="1003"/>
      <c r="K466" s="1003">
        <f t="shared" si="7"/>
        <v>14</v>
      </c>
      <c r="L466" s="1004"/>
      <c r="M466" s="1003"/>
      <c r="N466" s="1003">
        <v>12</v>
      </c>
      <c r="O466" s="1005">
        <v>16</v>
      </c>
    </row>
    <row r="467" spans="1:15" collapsed="1" x14ac:dyDescent="0.2">
      <c r="A467"/>
      <c r="B467" s="1002">
        <v>62</v>
      </c>
      <c r="C467" s="1003"/>
      <c r="D467" s="1003">
        <v>3</v>
      </c>
      <c r="E467" s="1003">
        <v>10</v>
      </c>
      <c r="F467" s="1003"/>
      <c r="G467" s="1003"/>
      <c r="H467" s="1003"/>
      <c r="I467" s="1003"/>
      <c r="J467" s="1003"/>
      <c r="K467" s="1003">
        <f t="shared" si="7"/>
        <v>13</v>
      </c>
      <c r="L467" s="1004"/>
      <c r="M467" s="1003"/>
      <c r="N467" s="1003">
        <v>10</v>
      </c>
      <c r="O467" s="1005">
        <v>16</v>
      </c>
    </row>
    <row r="468" spans="1:15" collapsed="1" x14ac:dyDescent="0.2">
      <c r="A468"/>
      <c r="B468" s="1002">
        <v>62</v>
      </c>
      <c r="C468" s="1003"/>
      <c r="D468" s="1003"/>
      <c r="E468" s="1003">
        <v>10</v>
      </c>
      <c r="F468" s="1003">
        <v>2</v>
      </c>
      <c r="G468" s="1003"/>
      <c r="H468" s="1003"/>
      <c r="I468" s="1003"/>
      <c r="J468" s="1003"/>
      <c r="K468" s="1003">
        <f t="shared" si="7"/>
        <v>12</v>
      </c>
      <c r="L468" s="1004"/>
      <c r="M468" s="1003"/>
      <c r="N468" s="1003">
        <v>8</v>
      </c>
      <c r="O468" s="1005">
        <v>16</v>
      </c>
    </row>
    <row r="469" spans="1:15" x14ac:dyDescent="0.2">
      <c r="A469"/>
      <c r="B469" s="1002">
        <v>62</v>
      </c>
      <c r="C469" s="1003"/>
      <c r="D469" s="1003"/>
      <c r="E469" s="1003">
        <v>4</v>
      </c>
      <c r="F469" s="1003">
        <v>7</v>
      </c>
      <c r="G469" s="1003"/>
      <c r="H469" s="1003"/>
      <c r="I469" s="1003"/>
      <c r="J469" s="1003"/>
      <c r="K469" s="1003">
        <f t="shared" si="7"/>
        <v>11</v>
      </c>
      <c r="L469" s="1004"/>
      <c r="M469" s="1003"/>
      <c r="N469" s="1003">
        <v>6</v>
      </c>
      <c r="O469" s="1005">
        <v>16</v>
      </c>
    </row>
    <row r="470" spans="1:15" collapsed="1" x14ac:dyDescent="0.2">
      <c r="A470"/>
      <c r="B470" s="1002">
        <v>62</v>
      </c>
      <c r="C470" s="1003"/>
      <c r="D470" s="1003"/>
      <c r="E470" s="1003"/>
      <c r="F470" s="1003">
        <v>8</v>
      </c>
      <c r="G470" s="1003">
        <v>2</v>
      </c>
      <c r="H470" s="1003"/>
      <c r="I470" s="1003"/>
      <c r="J470" s="1003"/>
      <c r="K470" s="1003">
        <f t="shared" si="7"/>
        <v>10</v>
      </c>
      <c r="L470" s="1004"/>
      <c r="M470" s="1003"/>
      <c r="N470" s="1003">
        <v>4</v>
      </c>
      <c r="O470" s="1005">
        <v>16</v>
      </c>
    </row>
    <row r="471" spans="1:15" collapsed="1" x14ac:dyDescent="0.2">
      <c r="A471"/>
      <c r="B471" s="1002">
        <v>62</v>
      </c>
      <c r="C471" s="1003"/>
      <c r="D471" s="1003"/>
      <c r="E471" s="1003"/>
      <c r="F471" s="1003">
        <v>1</v>
      </c>
      <c r="G471" s="1003">
        <v>8</v>
      </c>
      <c r="H471" s="1003"/>
      <c r="I471" s="1003"/>
      <c r="J471" s="1003"/>
      <c r="K471" s="1003">
        <f t="shared" si="7"/>
        <v>9</v>
      </c>
      <c r="L471" s="1004"/>
      <c r="M471" s="1003"/>
      <c r="N471" s="1003">
        <v>2</v>
      </c>
      <c r="O471" s="1005">
        <v>16</v>
      </c>
    </row>
    <row r="472" spans="1:15" x14ac:dyDescent="0.2">
      <c r="A472"/>
      <c r="B472" s="1002">
        <v>62</v>
      </c>
      <c r="C472" s="1003"/>
      <c r="D472" s="1003"/>
      <c r="E472" s="1003"/>
      <c r="F472" s="1003"/>
      <c r="G472" s="1003">
        <v>2</v>
      </c>
      <c r="H472" s="1003">
        <v>6</v>
      </c>
      <c r="I472" s="1003"/>
      <c r="J472" s="1003"/>
      <c r="K472" s="1003">
        <f t="shared" si="7"/>
        <v>8</v>
      </c>
      <c r="L472" s="1004"/>
      <c r="M472" s="1003"/>
      <c r="N472" s="1003"/>
      <c r="O472" s="1005">
        <v>16</v>
      </c>
    </row>
    <row r="473" spans="1:15" x14ac:dyDescent="0.2">
      <c r="A473"/>
      <c r="B473" s="1002">
        <v>62</v>
      </c>
      <c r="C473" s="1003"/>
      <c r="D473" s="1003"/>
      <c r="E473" s="1003"/>
      <c r="F473" s="1003"/>
      <c r="G473" s="1003"/>
      <c r="H473" s="1003">
        <v>1</v>
      </c>
      <c r="I473" s="1003">
        <v>6</v>
      </c>
      <c r="J473" s="1003"/>
      <c r="K473" s="1003">
        <f t="shared" si="7"/>
        <v>7</v>
      </c>
      <c r="L473" s="1004"/>
      <c r="M473" s="1003"/>
      <c r="N473" s="1003">
        <v>6</v>
      </c>
      <c r="O473" s="1005">
        <v>8</v>
      </c>
    </row>
    <row r="474" spans="1:15" collapsed="1" x14ac:dyDescent="0.2">
      <c r="A474"/>
      <c r="B474" s="1002">
        <v>63</v>
      </c>
      <c r="C474" s="1003">
        <v>21</v>
      </c>
      <c r="D474" s="1003"/>
      <c r="E474" s="1003"/>
      <c r="F474" s="1003"/>
      <c r="G474" s="1003"/>
      <c r="H474" s="1003"/>
      <c r="I474" s="1003"/>
      <c r="J474" s="1003"/>
      <c r="K474" s="1003">
        <f t="shared" si="7"/>
        <v>21</v>
      </c>
      <c r="L474" s="1004"/>
      <c r="M474" s="1003"/>
      <c r="N474" s="1003">
        <v>10</v>
      </c>
      <c r="O474" s="1005">
        <v>32</v>
      </c>
    </row>
    <row r="475" spans="1:15" collapsed="1" x14ac:dyDescent="0.2">
      <c r="A475"/>
      <c r="B475" s="1002">
        <v>63</v>
      </c>
      <c r="C475" s="1003">
        <v>17</v>
      </c>
      <c r="D475" s="1003">
        <v>3</v>
      </c>
      <c r="E475" s="1003"/>
      <c r="F475" s="1003"/>
      <c r="G475" s="1003"/>
      <c r="H475" s="1003"/>
      <c r="I475" s="1003"/>
      <c r="J475" s="1003"/>
      <c r="K475" s="1003">
        <f t="shared" si="7"/>
        <v>20</v>
      </c>
      <c r="L475" s="1004"/>
      <c r="M475" s="1003"/>
      <c r="N475" s="1003">
        <v>8</v>
      </c>
      <c r="O475" s="1005">
        <v>32</v>
      </c>
    </row>
    <row r="476" spans="1:15" collapsed="1" x14ac:dyDescent="0.2">
      <c r="A476"/>
      <c r="B476" s="1002">
        <v>63</v>
      </c>
      <c r="C476" s="1003">
        <v>13</v>
      </c>
      <c r="D476" s="1003">
        <v>6</v>
      </c>
      <c r="E476" s="1003"/>
      <c r="F476" s="1003"/>
      <c r="G476" s="1003"/>
      <c r="H476" s="1003"/>
      <c r="I476" s="1003"/>
      <c r="J476" s="1003"/>
      <c r="K476" s="1003">
        <f t="shared" si="7"/>
        <v>19</v>
      </c>
      <c r="L476" s="1004"/>
      <c r="M476" s="1003"/>
      <c r="N476" s="1003">
        <v>6</v>
      </c>
      <c r="O476" s="1005">
        <v>32</v>
      </c>
    </row>
    <row r="477" spans="1:15" collapsed="1" x14ac:dyDescent="0.2">
      <c r="A477"/>
      <c r="B477" s="1002">
        <v>63</v>
      </c>
      <c r="C477" s="1003">
        <v>9</v>
      </c>
      <c r="D477" s="1003">
        <v>9</v>
      </c>
      <c r="E477" s="1003"/>
      <c r="F477" s="1003"/>
      <c r="G477" s="1003"/>
      <c r="H477" s="1003"/>
      <c r="I477" s="1003"/>
      <c r="J477" s="1003"/>
      <c r="K477" s="1003">
        <f t="shared" si="7"/>
        <v>18</v>
      </c>
      <c r="L477" s="1004"/>
      <c r="M477" s="1003"/>
      <c r="N477" s="1003">
        <v>4</v>
      </c>
      <c r="O477" s="1005">
        <v>32</v>
      </c>
    </row>
    <row r="478" spans="1:15" collapsed="1" x14ac:dyDescent="0.2">
      <c r="A478"/>
      <c r="B478" s="1002">
        <v>63</v>
      </c>
      <c r="C478" s="1003">
        <v>5</v>
      </c>
      <c r="D478" s="1003">
        <v>12</v>
      </c>
      <c r="E478" s="1003"/>
      <c r="F478" s="1003"/>
      <c r="G478" s="1003"/>
      <c r="H478" s="1003"/>
      <c r="I478" s="1003"/>
      <c r="J478" s="1003"/>
      <c r="K478" s="1003">
        <f t="shared" si="7"/>
        <v>17</v>
      </c>
      <c r="L478" s="1004"/>
      <c r="M478" s="1003"/>
      <c r="N478" s="1003">
        <v>2</v>
      </c>
      <c r="O478" s="1005">
        <v>32</v>
      </c>
    </row>
    <row r="479" spans="1:15" collapsed="1" x14ac:dyDescent="0.2">
      <c r="A479"/>
      <c r="B479" s="1002">
        <v>63</v>
      </c>
      <c r="C479" s="1003">
        <v>1</v>
      </c>
      <c r="D479" s="1003">
        <v>15</v>
      </c>
      <c r="E479" s="1003"/>
      <c r="F479" s="1003"/>
      <c r="G479" s="1003"/>
      <c r="H479" s="1003"/>
      <c r="I479" s="1003"/>
      <c r="J479" s="1003"/>
      <c r="K479" s="1003">
        <f t="shared" si="7"/>
        <v>16</v>
      </c>
      <c r="L479" s="1004"/>
      <c r="M479" s="1003"/>
      <c r="N479" s="1003"/>
      <c r="O479" s="1005">
        <v>32</v>
      </c>
    </row>
    <row r="480" spans="1:15" collapsed="1" x14ac:dyDescent="0.2">
      <c r="A480"/>
      <c r="B480" s="1002">
        <v>63</v>
      </c>
      <c r="C480" s="1003"/>
      <c r="D480" s="1003">
        <v>12</v>
      </c>
      <c r="E480" s="1003">
        <v>3</v>
      </c>
      <c r="F480" s="1003"/>
      <c r="G480" s="1003"/>
      <c r="H480" s="1003"/>
      <c r="I480" s="1003"/>
      <c r="J480" s="1003"/>
      <c r="K480" s="1003">
        <f t="shared" si="7"/>
        <v>15</v>
      </c>
      <c r="L480" s="1004"/>
      <c r="M480" s="1003"/>
      <c r="N480" s="1003">
        <v>14</v>
      </c>
      <c r="O480" s="1005">
        <v>16</v>
      </c>
    </row>
    <row r="481" spans="1:15" x14ac:dyDescent="0.2">
      <c r="A481"/>
      <c r="B481" s="1002">
        <v>63</v>
      </c>
      <c r="C481" s="1003"/>
      <c r="D481" s="1003">
        <v>7</v>
      </c>
      <c r="E481" s="1003">
        <v>7</v>
      </c>
      <c r="F481" s="1003"/>
      <c r="G481" s="1003"/>
      <c r="H481" s="1003"/>
      <c r="I481" s="1003"/>
      <c r="J481" s="1003"/>
      <c r="K481" s="1003">
        <f t="shared" si="7"/>
        <v>14</v>
      </c>
      <c r="L481" s="1004"/>
      <c r="M481" s="1003"/>
      <c r="N481" s="1003">
        <v>12</v>
      </c>
      <c r="O481" s="1005">
        <v>16</v>
      </c>
    </row>
    <row r="482" spans="1:15" collapsed="1" x14ac:dyDescent="0.2">
      <c r="A482"/>
      <c r="B482" s="1002">
        <v>63</v>
      </c>
      <c r="C482" s="1003"/>
      <c r="D482" s="1003">
        <v>2</v>
      </c>
      <c r="E482" s="1003">
        <v>11</v>
      </c>
      <c r="F482" s="1003"/>
      <c r="G482" s="1003"/>
      <c r="H482" s="1003"/>
      <c r="I482" s="1003"/>
      <c r="J482" s="1003"/>
      <c r="K482" s="1003">
        <f t="shared" si="7"/>
        <v>13</v>
      </c>
      <c r="L482" s="1004"/>
      <c r="M482" s="1003"/>
      <c r="N482" s="1003">
        <v>10</v>
      </c>
      <c r="O482" s="1005">
        <v>16</v>
      </c>
    </row>
    <row r="483" spans="1:15" collapsed="1" x14ac:dyDescent="0.2">
      <c r="A483"/>
      <c r="B483" s="1002">
        <v>63</v>
      </c>
      <c r="C483" s="1003"/>
      <c r="D483" s="1003"/>
      <c r="E483" s="1003">
        <v>9</v>
      </c>
      <c r="F483" s="1003">
        <v>3</v>
      </c>
      <c r="G483" s="1003"/>
      <c r="H483" s="1003"/>
      <c r="I483" s="1003"/>
      <c r="J483" s="1003"/>
      <c r="K483" s="1003">
        <f t="shared" si="7"/>
        <v>12</v>
      </c>
      <c r="L483" s="1004"/>
      <c r="M483" s="1003"/>
      <c r="N483" s="1003">
        <v>8</v>
      </c>
      <c r="O483" s="1005">
        <v>16</v>
      </c>
    </row>
    <row r="484" spans="1:15" x14ac:dyDescent="0.2">
      <c r="A484"/>
      <c r="B484" s="1002">
        <v>63</v>
      </c>
      <c r="C484" s="1003"/>
      <c r="D484" s="1003"/>
      <c r="E484" s="1003">
        <v>3</v>
      </c>
      <c r="F484" s="1003">
        <v>8</v>
      </c>
      <c r="G484" s="1003"/>
      <c r="H484" s="1003"/>
      <c r="I484" s="1003"/>
      <c r="J484" s="1003"/>
      <c r="K484" s="1003">
        <f t="shared" si="7"/>
        <v>11</v>
      </c>
      <c r="L484" s="1004"/>
      <c r="M484" s="1003"/>
      <c r="N484" s="1003">
        <v>6</v>
      </c>
      <c r="O484" s="1005">
        <v>16</v>
      </c>
    </row>
    <row r="485" spans="1:15" collapsed="1" x14ac:dyDescent="0.2">
      <c r="A485"/>
      <c r="B485" s="1002">
        <v>63</v>
      </c>
      <c r="C485" s="1003"/>
      <c r="D485" s="1003"/>
      <c r="E485" s="1003"/>
      <c r="F485" s="1003">
        <v>7</v>
      </c>
      <c r="G485" s="1003">
        <v>3</v>
      </c>
      <c r="H485" s="1003"/>
      <c r="I485" s="1003"/>
      <c r="J485" s="1003"/>
      <c r="K485" s="1003">
        <f t="shared" si="7"/>
        <v>10</v>
      </c>
      <c r="L485" s="1004"/>
      <c r="M485" s="1003"/>
      <c r="N485" s="1003">
        <v>4</v>
      </c>
      <c r="O485" s="1005">
        <v>16</v>
      </c>
    </row>
    <row r="486" spans="1:15" collapsed="1" x14ac:dyDescent="0.2">
      <c r="A486"/>
      <c r="B486" s="1002">
        <v>63</v>
      </c>
      <c r="C486" s="1003"/>
      <c r="D486" s="1003"/>
      <c r="E486" s="1003"/>
      <c r="F486" s="1003"/>
      <c r="G486" s="1003">
        <v>9</v>
      </c>
      <c r="H486" s="1003"/>
      <c r="I486" s="1003"/>
      <c r="J486" s="1003"/>
      <c r="K486" s="1003">
        <f t="shared" si="7"/>
        <v>9</v>
      </c>
      <c r="L486" s="1004"/>
      <c r="M486" s="1003"/>
      <c r="N486" s="1003">
        <v>2</v>
      </c>
      <c r="O486" s="1005">
        <v>16</v>
      </c>
    </row>
    <row r="487" spans="1:15" x14ac:dyDescent="0.2">
      <c r="A487"/>
      <c r="B487" s="1002">
        <v>63</v>
      </c>
      <c r="C487" s="1003"/>
      <c r="D487" s="1003"/>
      <c r="E487" s="1003"/>
      <c r="F487" s="1003"/>
      <c r="G487" s="1003">
        <v>1</v>
      </c>
      <c r="H487" s="1003">
        <v>7</v>
      </c>
      <c r="I487" s="1003"/>
      <c r="J487" s="1003"/>
      <c r="K487" s="1003">
        <f t="shared" si="7"/>
        <v>8</v>
      </c>
      <c r="L487" s="1004"/>
      <c r="M487" s="1003"/>
      <c r="N487" s="1003"/>
      <c r="O487" s="1005">
        <v>16</v>
      </c>
    </row>
    <row r="488" spans="1:15" x14ac:dyDescent="0.2">
      <c r="A488"/>
      <c r="B488" s="1002">
        <v>63</v>
      </c>
      <c r="C488" s="1003"/>
      <c r="D488" s="1003"/>
      <c r="E488" s="1003"/>
      <c r="F488" s="1003"/>
      <c r="G488" s="1003"/>
      <c r="H488" s="1003"/>
      <c r="I488" s="1003">
        <v>7</v>
      </c>
      <c r="J488" s="1003"/>
      <c r="K488" s="1003">
        <f t="shared" si="7"/>
        <v>7</v>
      </c>
      <c r="L488" s="1004"/>
      <c r="M488" s="1003"/>
      <c r="N488" s="1003">
        <v>6</v>
      </c>
      <c r="O488" s="1005">
        <v>8</v>
      </c>
    </row>
    <row r="489" spans="1:15" collapsed="1" x14ac:dyDescent="0.2">
      <c r="A489"/>
      <c r="B489" s="1002">
        <v>64</v>
      </c>
      <c r="C489" s="1003">
        <v>20</v>
      </c>
      <c r="D489" s="1003">
        <v>1</v>
      </c>
      <c r="E489" s="1003"/>
      <c r="F489" s="1003"/>
      <c r="G489" s="1003"/>
      <c r="H489" s="1003"/>
      <c r="I489" s="1003"/>
      <c r="J489" s="1003"/>
      <c r="K489" s="1003">
        <f t="shared" si="7"/>
        <v>21</v>
      </c>
      <c r="L489" s="1004"/>
      <c r="M489" s="1003"/>
      <c r="N489" s="1003">
        <v>10</v>
      </c>
      <c r="O489" s="1005">
        <v>32</v>
      </c>
    </row>
    <row r="490" spans="1:15" collapsed="1" x14ac:dyDescent="0.2">
      <c r="A490"/>
      <c r="B490" s="1002">
        <v>64</v>
      </c>
      <c r="C490" s="1003">
        <v>16</v>
      </c>
      <c r="D490" s="1003">
        <v>4</v>
      </c>
      <c r="E490" s="1003"/>
      <c r="F490" s="1003"/>
      <c r="G490" s="1003"/>
      <c r="H490" s="1003"/>
      <c r="I490" s="1003"/>
      <c r="J490" s="1003"/>
      <c r="K490" s="1003">
        <f t="shared" si="7"/>
        <v>20</v>
      </c>
      <c r="L490" s="1004"/>
      <c r="M490" s="1003"/>
      <c r="N490" s="1003">
        <v>8</v>
      </c>
      <c r="O490" s="1005">
        <v>32</v>
      </c>
    </row>
    <row r="491" spans="1:15" collapsed="1" x14ac:dyDescent="0.2">
      <c r="A491"/>
      <c r="B491" s="1002">
        <v>64</v>
      </c>
      <c r="C491" s="1003">
        <v>12</v>
      </c>
      <c r="D491" s="1003">
        <v>7</v>
      </c>
      <c r="E491" s="1003"/>
      <c r="F491" s="1003"/>
      <c r="G491" s="1003"/>
      <c r="H491" s="1003"/>
      <c r="I491" s="1003"/>
      <c r="J491" s="1003"/>
      <c r="K491" s="1003">
        <f t="shared" si="7"/>
        <v>19</v>
      </c>
      <c r="L491" s="1004"/>
      <c r="M491" s="1003"/>
      <c r="N491" s="1003">
        <v>6</v>
      </c>
      <c r="O491" s="1005">
        <v>32</v>
      </c>
    </row>
    <row r="492" spans="1:15" collapsed="1" x14ac:dyDescent="0.2">
      <c r="A492"/>
      <c r="B492" s="1002">
        <v>64</v>
      </c>
      <c r="C492" s="1003">
        <v>8</v>
      </c>
      <c r="D492" s="1003">
        <v>10</v>
      </c>
      <c r="E492" s="1003"/>
      <c r="F492" s="1003"/>
      <c r="G492" s="1003"/>
      <c r="H492" s="1003"/>
      <c r="I492" s="1003"/>
      <c r="J492" s="1003"/>
      <c r="K492" s="1003">
        <f t="shared" si="7"/>
        <v>18</v>
      </c>
      <c r="L492" s="1004"/>
      <c r="M492" s="1003"/>
      <c r="N492" s="1003">
        <v>4</v>
      </c>
      <c r="O492" s="1005">
        <v>32</v>
      </c>
    </row>
    <row r="493" spans="1:15" collapsed="1" x14ac:dyDescent="0.2">
      <c r="A493"/>
      <c r="B493" s="1002">
        <v>64</v>
      </c>
      <c r="C493" s="1003">
        <v>4</v>
      </c>
      <c r="D493" s="1003">
        <v>13</v>
      </c>
      <c r="E493" s="1003"/>
      <c r="F493" s="1003"/>
      <c r="G493" s="1003"/>
      <c r="H493" s="1003"/>
      <c r="I493" s="1003"/>
      <c r="J493" s="1003"/>
      <c r="K493" s="1003">
        <f t="shared" si="7"/>
        <v>17</v>
      </c>
      <c r="L493" s="1004"/>
      <c r="M493" s="1003"/>
      <c r="N493" s="1003">
        <v>2</v>
      </c>
      <c r="O493" s="1005">
        <v>32</v>
      </c>
    </row>
    <row r="494" spans="1:15" collapsed="1" x14ac:dyDescent="0.2">
      <c r="A494"/>
      <c r="B494" s="1002">
        <v>64</v>
      </c>
      <c r="C494" s="1003"/>
      <c r="D494" s="1003">
        <v>16</v>
      </c>
      <c r="E494" s="1003"/>
      <c r="F494" s="1003"/>
      <c r="G494" s="1003"/>
      <c r="H494" s="1003"/>
      <c r="I494" s="1003"/>
      <c r="J494" s="1003"/>
      <c r="K494" s="1003">
        <f t="shared" si="7"/>
        <v>16</v>
      </c>
      <c r="L494" s="1004"/>
      <c r="M494" s="1003"/>
      <c r="N494" s="1003"/>
      <c r="O494" s="1005">
        <v>32</v>
      </c>
    </row>
    <row r="495" spans="1:15" collapsed="1" x14ac:dyDescent="0.2">
      <c r="A495"/>
      <c r="B495" s="1002">
        <v>64</v>
      </c>
      <c r="C495" s="1003"/>
      <c r="D495" s="1003">
        <v>11</v>
      </c>
      <c r="E495" s="1003">
        <v>4</v>
      </c>
      <c r="F495" s="1003"/>
      <c r="G495" s="1003"/>
      <c r="H495" s="1003"/>
      <c r="I495" s="1003"/>
      <c r="J495" s="1003"/>
      <c r="K495" s="1003">
        <f t="shared" si="7"/>
        <v>15</v>
      </c>
      <c r="L495" s="1004"/>
      <c r="M495" s="1003"/>
      <c r="N495" s="1003">
        <v>14</v>
      </c>
      <c r="O495" s="1005">
        <v>16</v>
      </c>
    </row>
    <row r="496" spans="1:15" x14ac:dyDescent="0.2">
      <c r="A496"/>
      <c r="B496" s="1002">
        <v>64</v>
      </c>
      <c r="C496" s="1003"/>
      <c r="D496" s="1003">
        <v>6</v>
      </c>
      <c r="E496" s="1003">
        <v>8</v>
      </c>
      <c r="F496" s="1003"/>
      <c r="G496" s="1003"/>
      <c r="H496" s="1003"/>
      <c r="I496" s="1003"/>
      <c r="J496" s="1003"/>
      <c r="K496" s="1003">
        <f t="shared" si="7"/>
        <v>14</v>
      </c>
      <c r="L496" s="1004"/>
      <c r="M496" s="1003"/>
      <c r="N496" s="1003">
        <v>12</v>
      </c>
      <c r="O496" s="1005">
        <v>16</v>
      </c>
    </row>
    <row r="497" spans="1:15" collapsed="1" x14ac:dyDescent="0.2">
      <c r="A497"/>
      <c r="B497" s="1002">
        <v>64</v>
      </c>
      <c r="C497" s="1003"/>
      <c r="D497" s="1003">
        <v>1</v>
      </c>
      <c r="E497" s="1003">
        <v>12</v>
      </c>
      <c r="F497" s="1003"/>
      <c r="G497" s="1003"/>
      <c r="H497" s="1003"/>
      <c r="I497" s="1003"/>
      <c r="J497" s="1003"/>
      <c r="K497" s="1003">
        <f t="shared" si="7"/>
        <v>13</v>
      </c>
      <c r="L497" s="1004"/>
      <c r="M497" s="1003"/>
      <c r="N497" s="1003">
        <v>10</v>
      </c>
      <c r="O497" s="1005">
        <v>16</v>
      </c>
    </row>
    <row r="498" spans="1:15" collapsed="1" x14ac:dyDescent="0.2">
      <c r="A498"/>
      <c r="B498" s="1002">
        <v>64</v>
      </c>
      <c r="C498" s="1003"/>
      <c r="D498" s="1003"/>
      <c r="E498" s="1003">
        <v>8</v>
      </c>
      <c r="F498" s="1003">
        <v>4</v>
      </c>
      <c r="G498" s="1003"/>
      <c r="H498" s="1003"/>
      <c r="I498" s="1003"/>
      <c r="J498" s="1003"/>
      <c r="K498" s="1003">
        <f t="shared" si="7"/>
        <v>12</v>
      </c>
      <c r="L498" s="1004"/>
      <c r="M498" s="1003"/>
      <c r="N498" s="1003">
        <v>8</v>
      </c>
      <c r="O498" s="1005">
        <v>16</v>
      </c>
    </row>
    <row r="499" spans="1:15" x14ac:dyDescent="0.2">
      <c r="A499"/>
      <c r="B499" s="1002">
        <v>64</v>
      </c>
      <c r="C499" s="1003"/>
      <c r="D499" s="1003"/>
      <c r="E499" s="1003">
        <v>2</v>
      </c>
      <c r="F499" s="1003">
        <v>9</v>
      </c>
      <c r="G499" s="1003"/>
      <c r="H499" s="1003"/>
      <c r="I499" s="1003"/>
      <c r="J499" s="1003"/>
      <c r="K499" s="1003">
        <f t="shared" si="7"/>
        <v>11</v>
      </c>
      <c r="L499" s="1004"/>
      <c r="M499" s="1003"/>
      <c r="N499" s="1003">
        <v>6</v>
      </c>
      <c r="O499" s="1005">
        <v>16</v>
      </c>
    </row>
    <row r="500" spans="1:15" collapsed="1" x14ac:dyDescent="0.2">
      <c r="A500"/>
      <c r="B500" s="1002">
        <v>64</v>
      </c>
      <c r="C500" s="1003"/>
      <c r="D500" s="1003"/>
      <c r="E500" s="1003"/>
      <c r="F500" s="1003">
        <v>6</v>
      </c>
      <c r="G500" s="1003">
        <v>4</v>
      </c>
      <c r="H500" s="1003"/>
      <c r="I500" s="1003"/>
      <c r="J500" s="1003"/>
      <c r="K500" s="1003">
        <f t="shared" si="7"/>
        <v>10</v>
      </c>
      <c r="L500" s="1004"/>
      <c r="M500" s="1003"/>
      <c r="N500" s="1003">
        <v>4</v>
      </c>
      <c r="O500" s="1005">
        <v>16</v>
      </c>
    </row>
    <row r="501" spans="1:15" collapsed="1" x14ac:dyDescent="0.2">
      <c r="A501"/>
      <c r="B501" s="1002">
        <v>64</v>
      </c>
      <c r="C501" s="1003"/>
      <c r="D501" s="1003"/>
      <c r="E501" s="1003"/>
      <c r="F501" s="1003"/>
      <c r="G501" s="1003">
        <v>8</v>
      </c>
      <c r="H501" s="1003">
        <v>1</v>
      </c>
      <c r="I501" s="1003"/>
      <c r="J501" s="1003"/>
      <c r="K501" s="1003">
        <f t="shared" si="7"/>
        <v>9</v>
      </c>
      <c r="L501" s="1004"/>
      <c r="M501" s="1003"/>
      <c r="N501" s="1003">
        <v>2</v>
      </c>
      <c r="O501" s="1005">
        <v>16</v>
      </c>
    </row>
    <row r="502" spans="1:15" x14ac:dyDescent="0.2">
      <c r="A502"/>
      <c r="B502" s="1002">
        <v>64</v>
      </c>
      <c r="C502" s="1003"/>
      <c r="D502" s="1003"/>
      <c r="E502" s="1003"/>
      <c r="F502" s="1003"/>
      <c r="G502" s="1003"/>
      <c r="H502" s="1003">
        <v>8</v>
      </c>
      <c r="I502" s="1003"/>
      <c r="J502" s="1003"/>
      <c r="K502" s="1003">
        <f t="shared" si="7"/>
        <v>8</v>
      </c>
      <c r="L502" s="1004"/>
      <c r="M502" s="1003"/>
      <c r="N502" s="1003"/>
      <c r="O502" s="1005">
        <v>16</v>
      </c>
    </row>
    <row r="503" spans="1:15" x14ac:dyDescent="0.2">
      <c r="A503"/>
      <c r="B503" s="1002">
        <v>64</v>
      </c>
      <c r="C503" s="1003"/>
      <c r="D503" s="1003"/>
      <c r="E503" s="1003"/>
      <c r="F503" s="1003"/>
      <c r="G503" s="1003"/>
      <c r="H503" s="1003"/>
      <c r="I503" s="1003">
        <v>6</v>
      </c>
      <c r="J503" s="1003">
        <v>1</v>
      </c>
      <c r="K503" s="1003">
        <f t="shared" si="7"/>
        <v>7</v>
      </c>
      <c r="L503" s="1004"/>
      <c r="M503" s="1003"/>
      <c r="N503" s="1003">
        <v>6</v>
      </c>
      <c r="O503" s="1005">
        <v>8</v>
      </c>
    </row>
    <row r="504" spans="1:15" collapsed="1" x14ac:dyDescent="0.2">
      <c r="A504"/>
      <c r="B504" s="1002">
        <v>65</v>
      </c>
      <c r="C504" s="1003">
        <v>19</v>
      </c>
      <c r="D504" s="1003">
        <v>2</v>
      </c>
      <c r="E504" s="1003"/>
      <c r="F504" s="1003"/>
      <c r="G504" s="1003"/>
      <c r="H504" s="1003"/>
      <c r="I504" s="1003"/>
      <c r="J504" s="1003"/>
      <c r="K504" s="1003">
        <f t="shared" si="7"/>
        <v>21</v>
      </c>
      <c r="L504" s="1004"/>
      <c r="M504" s="1003"/>
      <c r="N504" s="1003">
        <v>10</v>
      </c>
      <c r="O504" s="1005">
        <v>32</v>
      </c>
    </row>
    <row r="505" spans="1:15" collapsed="1" x14ac:dyDescent="0.2">
      <c r="A505"/>
      <c r="B505" s="1002">
        <v>65</v>
      </c>
      <c r="C505" s="1003">
        <v>15</v>
      </c>
      <c r="D505" s="1003">
        <v>5</v>
      </c>
      <c r="E505" s="1003"/>
      <c r="F505" s="1003"/>
      <c r="G505" s="1003"/>
      <c r="H505" s="1003"/>
      <c r="I505" s="1003"/>
      <c r="J505" s="1003"/>
      <c r="K505" s="1003">
        <f t="shared" si="7"/>
        <v>20</v>
      </c>
      <c r="L505" s="1004"/>
      <c r="M505" s="1003"/>
      <c r="N505" s="1003">
        <v>8</v>
      </c>
      <c r="O505" s="1005">
        <v>32</v>
      </c>
    </row>
    <row r="506" spans="1:15" collapsed="1" x14ac:dyDescent="0.2">
      <c r="A506"/>
      <c r="B506" s="1002">
        <v>65</v>
      </c>
      <c r="C506" s="1003">
        <v>11</v>
      </c>
      <c r="D506" s="1003">
        <v>8</v>
      </c>
      <c r="E506" s="1003"/>
      <c r="F506" s="1003"/>
      <c r="G506" s="1003"/>
      <c r="H506" s="1003"/>
      <c r="I506" s="1003"/>
      <c r="J506" s="1003"/>
      <c r="K506" s="1003">
        <f t="shared" si="7"/>
        <v>19</v>
      </c>
      <c r="L506" s="1004"/>
      <c r="M506" s="1003"/>
      <c r="N506" s="1003">
        <v>6</v>
      </c>
      <c r="O506" s="1005">
        <v>32</v>
      </c>
    </row>
    <row r="507" spans="1:15" collapsed="1" x14ac:dyDescent="0.2">
      <c r="A507"/>
      <c r="B507" s="1002">
        <v>65</v>
      </c>
      <c r="C507" s="1003">
        <v>7</v>
      </c>
      <c r="D507" s="1003">
        <v>11</v>
      </c>
      <c r="E507" s="1003"/>
      <c r="F507" s="1003"/>
      <c r="G507" s="1003"/>
      <c r="H507" s="1003"/>
      <c r="I507" s="1003"/>
      <c r="J507" s="1003"/>
      <c r="K507" s="1003">
        <f t="shared" si="7"/>
        <v>18</v>
      </c>
      <c r="L507" s="1004"/>
      <c r="M507" s="1003"/>
      <c r="N507" s="1003">
        <v>4</v>
      </c>
      <c r="O507" s="1005">
        <v>32</v>
      </c>
    </row>
    <row r="508" spans="1:15" collapsed="1" x14ac:dyDescent="0.2">
      <c r="A508"/>
      <c r="B508" s="1002">
        <v>65</v>
      </c>
      <c r="C508" s="1003">
        <v>3</v>
      </c>
      <c r="D508" s="1003">
        <v>14</v>
      </c>
      <c r="E508" s="1003"/>
      <c r="F508" s="1003"/>
      <c r="G508" s="1003"/>
      <c r="H508" s="1003"/>
      <c r="I508" s="1003"/>
      <c r="J508" s="1003"/>
      <c r="K508" s="1003">
        <f t="shared" si="7"/>
        <v>17</v>
      </c>
      <c r="L508" s="1004"/>
      <c r="M508" s="1003"/>
      <c r="N508" s="1003">
        <v>2</v>
      </c>
      <c r="O508" s="1005">
        <v>32</v>
      </c>
    </row>
    <row r="509" spans="1:15" collapsed="1" x14ac:dyDescent="0.2">
      <c r="A509"/>
      <c r="B509" s="1002">
        <v>65</v>
      </c>
      <c r="C509" s="1003"/>
      <c r="D509" s="1003">
        <v>15</v>
      </c>
      <c r="E509" s="1003">
        <v>1</v>
      </c>
      <c r="F509" s="1003"/>
      <c r="G509" s="1003"/>
      <c r="H509" s="1003"/>
      <c r="I509" s="1003"/>
      <c r="J509" s="1003"/>
      <c r="K509" s="1003">
        <f t="shared" si="7"/>
        <v>16</v>
      </c>
      <c r="L509" s="1004"/>
      <c r="M509" s="1003"/>
      <c r="N509" s="1003"/>
      <c r="O509" s="1005">
        <v>32</v>
      </c>
    </row>
    <row r="510" spans="1:15" collapsed="1" x14ac:dyDescent="0.2">
      <c r="A510"/>
      <c r="B510" s="1002">
        <v>65</v>
      </c>
      <c r="C510" s="1003"/>
      <c r="D510" s="1003">
        <v>10</v>
      </c>
      <c r="E510" s="1003">
        <v>5</v>
      </c>
      <c r="F510" s="1003"/>
      <c r="G510" s="1003"/>
      <c r="H510" s="1003"/>
      <c r="I510" s="1003"/>
      <c r="J510" s="1003"/>
      <c r="K510" s="1003">
        <f t="shared" si="7"/>
        <v>15</v>
      </c>
      <c r="L510" s="1004"/>
      <c r="M510" s="1003"/>
      <c r="N510" s="1003">
        <v>14</v>
      </c>
      <c r="O510" s="1005">
        <v>16</v>
      </c>
    </row>
    <row r="511" spans="1:15" x14ac:dyDescent="0.2">
      <c r="A511"/>
      <c r="B511" s="1002">
        <v>65</v>
      </c>
      <c r="C511" s="1003"/>
      <c r="D511" s="1003">
        <v>5</v>
      </c>
      <c r="E511" s="1003">
        <v>9</v>
      </c>
      <c r="F511" s="1003"/>
      <c r="G511" s="1003"/>
      <c r="H511" s="1003"/>
      <c r="I511" s="1003"/>
      <c r="J511" s="1003"/>
      <c r="K511" s="1003">
        <f t="shared" si="7"/>
        <v>14</v>
      </c>
      <c r="L511" s="1004"/>
      <c r="M511" s="1003"/>
      <c r="N511" s="1003">
        <v>12</v>
      </c>
      <c r="O511" s="1005">
        <v>16</v>
      </c>
    </row>
    <row r="512" spans="1:15" collapsed="1" x14ac:dyDescent="0.2">
      <c r="A512"/>
      <c r="B512" s="1002">
        <v>65</v>
      </c>
      <c r="C512" s="1003"/>
      <c r="D512" s="1003"/>
      <c r="E512" s="1003">
        <v>13</v>
      </c>
      <c r="F512" s="1003"/>
      <c r="G512" s="1003"/>
      <c r="H512" s="1003"/>
      <c r="I512" s="1003"/>
      <c r="J512" s="1003"/>
      <c r="K512" s="1003">
        <f t="shared" si="7"/>
        <v>13</v>
      </c>
      <c r="L512" s="1004"/>
      <c r="M512" s="1003"/>
      <c r="N512" s="1003">
        <v>10</v>
      </c>
      <c r="O512" s="1005">
        <v>16</v>
      </c>
    </row>
    <row r="513" spans="1:15" collapsed="1" x14ac:dyDescent="0.2">
      <c r="A513"/>
      <c r="B513" s="1002">
        <v>65</v>
      </c>
      <c r="C513" s="1003"/>
      <c r="D513" s="1003"/>
      <c r="E513" s="1003">
        <v>7</v>
      </c>
      <c r="F513" s="1003">
        <v>5</v>
      </c>
      <c r="G513" s="1003"/>
      <c r="H513" s="1003"/>
      <c r="I513" s="1003"/>
      <c r="J513" s="1003"/>
      <c r="K513" s="1003">
        <f t="shared" si="7"/>
        <v>12</v>
      </c>
      <c r="L513" s="1004"/>
      <c r="M513" s="1003"/>
      <c r="N513" s="1003">
        <v>8</v>
      </c>
      <c r="O513" s="1005">
        <v>16</v>
      </c>
    </row>
    <row r="514" spans="1:15" x14ac:dyDescent="0.2">
      <c r="A514"/>
      <c r="B514" s="1002">
        <v>65</v>
      </c>
      <c r="C514" s="1003"/>
      <c r="D514" s="1003"/>
      <c r="E514" s="1003">
        <v>1</v>
      </c>
      <c r="F514" s="1003">
        <v>10</v>
      </c>
      <c r="G514" s="1003"/>
      <c r="H514" s="1003"/>
      <c r="I514" s="1003"/>
      <c r="J514" s="1003"/>
      <c r="K514" s="1003">
        <f t="shared" si="7"/>
        <v>11</v>
      </c>
      <c r="L514" s="1004"/>
      <c r="M514" s="1003"/>
      <c r="N514" s="1003">
        <v>6</v>
      </c>
      <c r="O514" s="1005">
        <v>16</v>
      </c>
    </row>
    <row r="515" spans="1:15" collapsed="1" x14ac:dyDescent="0.2">
      <c r="A515"/>
      <c r="B515" s="1002">
        <v>65</v>
      </c>
      <c r="C515" s="1003"/>
      <c r="D515" s="1003"/>
      <c r="E515" s="1003"/>
      <c r="F515" s="1003">
        <v>5</v>
      </c>
      <c r="G515" s="1003">
        <v>5</v>
      </c>
      <c r="H515" s="1003"/>
      <c r="I515" s="1003"/>
      <c r="J515" s="1003"/>
      <c r="K515" s="1003">
        <f t="shared" si="7"/>
        <v>10</v>
      </c>
      <c r="L515" s="1004"/>
      <c r="M515" s="1003"/>
      <c r="N515" s="1003">
        <v>4</v>
      </c>
      <c r="O515" s="1005">
        <v>16</v>
      </c>
    </row>
    <row r="516" spans="1:15" collapsed="1" x14ac:dyDescent="0.2">
      <c r="A516"/>
      <c r="B516" s="1002">
        <v>65</v>
      </c>
      <c r="C516" s="1003"/>
      <c r="D516" s="1003"/>
      <c r="E516" s="1003"/>
      <c r="F516" s="1003"/>
      <c r="G516" s="1003">
        <v>7</v>
      </c>
      <c r="H516" s="1003">
        <v>2</v>
      </c>
      <c r="I516" s="1003"/>
      <c r="J516" s="1003"/>
      <c r="K516" s="1003">
        <f t="shared" si="7"/>
        <v>9</v>
      </c>
      <c r="L516" s="1004"/>
      <c r="M516" s="1003"/>
      <c r="N516" s="1003">
        <v>2</v>
      </c>
      <c r="O516" s="1005">
        <v>16</v>
      </c>
    </row>
    <row r="517" spans="1:15" x14ac:dyDescent="0.2">
      <c r="A517"/>
      <c r="B517" s="1002">
        <v>65</v>
      </c>
      <c r="C517" s="1003"/>
      <c r="D517" s="1003"/>
      <c r="E517" s="1003"/>
      <c r="F517" s="1003"/>
      <c r="G517" s="1003"/>
      <c r="H517" s="1003">
        <v>7</v>
      </c>
      <c r="I517" s="1003">
        <v>1</v>
      </c>
      <c r="J517" s="1003"/>
      <c r="K517" s="1003">
        <f t="shared" si="7"/>
        <v>8</v>
      </c>
      <c r="L517" s="1004"/>
      <c r="M517" s="1003"/>
      <c r="N517" s="1003"/>
      <c r="O517" s="1005">
        <v>16</v>
      </c>
    </row>
    <row r="518" spans="1:15" x14ac:dyDescent="0.2">
      <c r="A518"/>
      <c r="B518" s="1002">
        <v>65</v>
      </c>
      <c r="C518" s="1003"/>
      <c r="D518" s="1003"/>
      <c r="E518" s="1003"/>
      <c r="F518" s="1003"/>
      <c r="G518" s="1003"/>
      <c r="H518" s="1003"/>
      <c r="I518" s="1003">
        <v>5</v>
      </c>
      <c r="J518" s="1003">
        <v>2</v>
      </c>
      <c r="K518" s="1003">
        <f t="shared" ref="K518:K581" si="8">SUM(C518:J518)</f>
        <v>7</v>
      </c>
      <c r="L518" s="1004"/>
      <c r="M518" s="1003"/>
      <c r="N518" s="1003">
        <v>6</v>
      </c>
      <c r="O518" s="1005">
        <v>8</v>
      </c>
    </row>
    <row r="519" spans="1:15" collapsed="1" x14ac:dyDescent="0.2">
      <c r="A519"/>
      <c r="B519" s="1002">
        <v>66</v>
      </c>
      <c r="C519" s="1003">
        <v>22</v>
      </c>
      <c r="D519" s="1003"/>
      <c r="E519" s="1003"/>
      <c r="F519" s="1003"/>
      <c r="G519" s="1003"/>
      <c r="H519" s="1003"/>
      <c r="I519" s="1003"/>
      <c r="J519" s="1003"/>
      <c r="K519" s="1003">
        <f t="shared" si="8"/>
        <v>22</v>
      </c>
      <c r="L519" s="1004"/>
      <c r="M519" s="1003"/>
      <c r="N519" s="1003">
        <v>12</v>
      </c>
      <c r="O519" s="1005">
        <v>32</v>
      </c>
    </row>
    <row r="520" spans="1:15" collapsed="1" x14ac:dyDescent="0.2">
      <c r="A520"/>
      <c r="B520" s="1002">
        <v>66</v>
      </c>
      <c r="C520" s="1003">
        <v>18</v>
      </c>
      <c r="D520" s="1003">
        <v>3</v>
      </c>
      <c r="E520" s="1003"/>
      <c r="F520" s="1003"/>
      <c r="G520" s="1003"/>
      <c r="H520" s="1003"/>
      <c r="I520" s="1003"/>
      <c r="J520" s="1003"/>
      <c r="K520" s="1003">
        <f t="shared" si="8"/>
        <v>21</v>
      </c>
      <c r="L520" s="1004"/>
      <c r="M520" s="1003"/>
      <c r="N520" s="1003">
        <v>10</v>
      </c>
      <c r="O520" s="1005">
        <v>32</v>
      </c>
    </row>
    <row r="521" spans="1:15" collapsed="1" x14ac:dyDescent="0.2">
      <c r="A521"/>
      <c r="B521" s="1002">
        <v>66</v>
      </c>
      <c r="C521" s="1003">
        <v>14</v>
      </c>
      <c r="D521" s="1003">
        <v>6</v>
      </c>
      <c r="E521" s="1003"/>
      <c r="F521" s="1003"/>
      <c r="G521" s="1003"/>
      <c r="H521" s="1003"/>
      <c r="I521" s="1003"/>
      <c r="J521" s="1003"/>
      <c r="K521" s="1003">
        <f t="shared" si="8"/>
        <v>20</v>
      </c>
      <c r="L521" s="1004"/>
      <c r="M521" s="1003"/>
      <c r="N521" s="1003">
        <v>8</v>
      </c>
      <c r="O521" s="1005">
        <v>32</v>
      </c>
    </row>
    <row r="522" spans="1:15" collapsed="1" x14ac:dyDescent="0.2">
      <c r="A522"/>
      <c r="B522" s="1002">
        <v>66</v>
      </c>
      <c r="C522" s="1003">
        <v>10</v>
      </c>
      <c r="D522" s="1003">
        <v>9</v>
      </c>
      <c r="E522" s="1003"/>
      <c r="F522" s="1003"/>
      <c r="G522" s="1003"/>
      <c r="H522" s="1003"/>
      <c r="I522" s="1003"/>
      <c r="J522" s="1003"/>
      <c r="K522" s="1003">
        <f t="shared" si="8"/>
        <v>19</v>
      </c>
      <c r="L522" s="1004"/>
      <c r="M522" s="1003"/>
      <c r="N522" s="1003">
        <v>6</v>
      </c>
      <c r="O522" s="1005">
        <v>32</v>
      </c>
    </row>
    <row r="523" spans="1:15" collapsed="1" x14ac:dyDescent="0.2">
      <c r="A523"/>
      <c r="B523" s="1002">
        <v>66</v>
      </c>
      <c r="C523" s="1003">
        <v>6</v>
      </c>
      <c r="D523" s="1003">
        <v>12</v>
      </c>
      <c r="E523" s="1003"/>
      <c r="F523" s="1003"/>
      <c r="G523" s="1003"/>
      <c r="H523" s="1003"/>
      <c r="I523" s="1003"/>
      <c r="J523" s="1003"/>
      <c r="K523" s="1003">
        <f t="shared" si="8"/>
        <v>18</v>
      </c>
      <c r="L523" s="1004"/>
      <c r="M523" s="1003"/>
      <c r="N523" s="1003">
        <v>4</v>
      </c>
      <c r="O523" s="1005">
        <v>32</v>
      </c>
    </row>
    <row r="524" spans="1:15" collapsed="1" x14ac:dyDescent="0.2">
      <c r="A524"/>
      <c r="B524" s="1002">
        <v>66</v>
      </c>
      <c r="C524" s="1003">
        <v>2</v>
      </c>
      <c r="D524" s="1003">
        <v>15</v>
      </c>
      <c r="E524" s="1003"/>
      <c r="F524" s="1003"/>
      <c r="G524" s="1003"/>
      <c r="H524" s="1003"/>
      <c r="I524" s="1003"/>
      <c r="J524" s="1003"/>
      <c r="K524" s="1003">
        <f t="shared" si="8"/>
        <v>17</v>
      </c>
      <c r="L524" s="1004"/>
      <c r="M524" s="1003"/>
      <c r="N524" s="1003">
        <v>2</v>
      </c>
      <c r="O524" s="1005">
        <v>32</v>
      </c>
    </row>
    <row r="525" spans="1:15" collapsed="1" x14ac:dyDescent="0.2">
      <c r="A525"/>
      <c r="B525" s="1002">
        <v>66</v>
      </c>
      <c r="C525" s="1003"/>
      <c r="D525" s="1003">
        <v>14</v>
      </c>
      <c r="E525" s="1003">
        <v>2</v>
      </c>
      <c r="F525" s="1003"/>
      <c r="G525" s="1003"/>
      <c r="H525" s="1003"/>
      <c r="I525" s="1003"/>
      <c r="J525" s="1003"/>
      <c r="K525" s="1003">
        <f t="shared" si="8"/>
        <v>16</v>
      </c>
      <c r="L525" s="1004"/>
      <c r="M525" s="1003"/>
      <c r="N525" s="1003"/>
      <c r="O525" s="1005">
        <v>32</v>
      </c>
    </row>
    <row r="526" spans="1:15" collapsed="1" x14ac:dyDescent="0.2">
      <c r="A526"/>
      <c r="B526" s="1002">
        <v>66</v>
      </c>
      <c r="C526" s="1003"/>
      <c r="D526" s="1003">
        <v>9</v>
      </c>
      <c r="E526" s="1003">
        <v>6</v>
      </c>
      <c r="F526" s="1003"/>
      <c r="G526" s="1003"/>
      <c r="H526" s="1003"/>
      <c r="I526" s="1003"/>
      <c r="J526" s="1003"/>
      <c r="K526" s="1003">
        <f t="shared" si="8"/>
        <v>15</v>
      </c>
      <c r="L526" s="1004"/>
      <c r="M526" s="1003"/>
      <c r="N526" s="1003">
        <v>14</v>
      </c>
      <c r="O526" s="1005">
        <v>16</v>
      </c>
    </row>
    <row r="527" spans="1:15" x14ac:dyDescent="0.2">
      <c r="A527"/>
      <c r="B527" s="1002">
        <v>66</v>
      </c>
      <c r="C527" s="1003"/>
      <c r="D527" s="1003">
        <v>4</v>
      </c>
      <c r="E527" s="1003">
        <v>10</v>
      </c>
      <c r="F527" s="1003"/>
      <c r="G527" s="1003"/>
      <c r="H527" s="1003"/>
      <c r="I527" s="1003"/>
      <c r="J527" s="1003"/>
      <c r="K527" s="1003">
        <f t="shared" si="8"/>
        <v>14</v>
      </c>
      <c r="L527" s="1004"/>
      <c r="M527" s="1003"/>
      <c r="N527" s="1003">
        <v>12</v>
      </c>
      <c r="O527" s="1005">
        <v>16</v>
      </c>
    </row>
    <row r="528" spans="1:15" collapsed="1" x14ac:dyDescent="0.2">
      <c r="A528"/>
      <c r="B528" s="1002">
        <v>66</v>
      </c>
      <c r="C528" s="1003"/>
      <c r="D528" s="1003"/>
      <c r="E528" s="1003">
        <v>12</v>
      </c>
      <c r="F528" s="1003">
        <v>1</v>
      </c>
      <c r="G528" s="1003"/>
      <c r="H528" s="1003"/>
      <c r="I528" s="1003"/>
      <c r="J528" s="1003"/>
      <c r="K528" s="1003">
        <f t="shared" si="8"/>
        <v>13</v>
      </c>
      <c r="L528" s="1004"/>
      <c r="M528" s="1003"/>
      <c r="N528" s="1003">
        <v>10</v>
      </c>
      <c r="O528" s="1005">
        <v>16</v>
      </c>
    </row>
    <row r="529" spans="1:15" collapsed="1" x14ac:dyDescent="0.2">
      <c r="A529"/>
      <c r="B529" s="1002">
        <v>66</v>
      </c>
      <c r="C529" s="1003"/>
      <c r="D529" s="1003"/>
      <c r="E529" s="1003">
        <v>6</v>
      </c>
      <c r="F529" s="1003">
        <v>6</v>
      </c>
      <c r="G529" s="1003"/>
      <c r="H529" s="1003"/>
      <c r="I529" s="1003"/>
      <c r="J529" s="1003"/>
      <c r="K529" s="1003">
        <f t="shared" si="8"/>
        <v>12</v>
      </c>
      <c r="L529" s="1004"/>
      <c r="M529" s="1003"/>
      <c r="N529" s="1003">
        <v>8</v>
      </c>
      <c r="O529" s="1005">
        <v>16</v>
      </c>
    </row>
    <row r="530" spans="1:15" x14ac:dyDescent="0.2">
      <c r="A530"/>
      <c r="B530" s="1002">
        <v>66</v>
      </c>
      <c r="C530" s="1003"/>
      <c r="D530" s="1003"/>
      <c r="E530" s="1003"/>
      <c r="F530" s="1003">
        <v>11</v>
      </c>
      <c r="G530" s="1003"/>
      <c r="H530" s="1003"/>
      <c r="I530" s="1003"/>
      <c r="J530" s="1003"/>
      <c r="K530" s="1003">
        <f t="shared" si="8"/>
        <v>11</v>
      </c>
      <c r="L530" s="1004"/>
      <c r="M530" s="1003"/>
      <c r="N530" s="1003">
        <v>6</v>
      </c>
      <c r="O530" s="1005">
        <v>16</v>
      </c>
    </row>
    <row r="531" spans="1:15" collapsed="1" x14ac:dyDescent="0.2">
      <c r="A531"/>
      <c r="B531" s="1002">
        <v>66</v>
      </c>
      <c r="C531" s="1003"/>
      <c r="D531" s="1003"/>
      <c r="E531" s="1003"/>
      <c r="F531" s="1003">
        <v>4</v>
      </c>
      <c r="G531" s="1003">
        <v>6</v>
      </c>
      <c r="H531" s="1003"/>
      <c r="I531" s="1003"/>
      <c r="J531" s="1003"/>
      <c r="K531" s="1003">
        <f t="shared" si="8"/>
        <v>10</v>
      </c>
      <c r="L531" s="1004"/>
      <c r="M531" s="1003"/>
      <c r="N531" s="1003">
        <v>4</v>
      </c>
      <c r="O531" s="1005">
        <v>16</v>
      </c>
    </row>
    <row r="532" spans="1:15" collapsed="1" x14ac:dyDescent="0.2">
      <c r="A532"/>
      <c r="B532" s="1002">
        <v>66</v>
      </c>
      <c r="C532" s="1003"/>
      <c r="D532" s="1003"/>
      <c r="E532" s="1003"/>
      <c r="F532" s="1003"/>
      <c r="G532" s="1003">
        <v>6</v>
      </c>
      <c r="H532" s="1003">
        <v>3</v>
      </c>
      <c r="I532" s="1003"/>
      <c r="J532" s="1003"/>
      <c r="K532" s="1003">
        <f t="shared" si="8"/>
        <v>9</v>
      </c>
      <c r="L532" s="1004"/>
      <c r="M532" s="1003"/>
      <c r="N532" s="1003">
        <v>2</v>
      </c>
      <c r="O532" s="1005">
        <v>16</v>
      </c>
    </row>
    <row r="533" spans="1:15" x14ac:dyDescent="0.2">
      <c r="A533"/>
      <c r="B533" s="1002">
        <v>66</v>
      </c>
      <c r="C533" s="1003"/>
      <c r="D533" s="1003"/>
      <c r="E533" s="1003"/>
      <c r="F533" s="1003"/>
      <c r="G533" s="1003"/>
      <c r="H533" s="1003">
        <v>6</v>
      </c>
      <c r="I533" s="1003">
        <v>2</v>
      </c>
      <c r="J533" s="1003"/>
      <c r="K533" s="1003">
        <f t="shared" si="8"/>
        <v>8</v>
      </c>
      <c r="L533" s="1004"/>
      <c r="M533" s="1003"/>
      <c r="N533" s="1003"/>
      <c r="O533" s="1005">
        <v>16</v>
      </c>
    </row>
    <row r="534" spans="1:15" x14ac:dyDescent="0.2">
      <c r="A534"/>
      <c r="B534" s="1002">
        <v>66</v>
      </c>
      <c r="C534" s="1003"/>
      <c r="D534" s="1003"/>
      <c r="E534" s="1003"/>
      <c r="F534" s="1003"/>
      <c r="G534" s="1003"/>
      <c r="H534" s="1003"/>
      <c r="I534" s="1003">
        <v>4</v>
      </c>
      <c r="J534" s="1003">
        <v>3</v>
      </c>
      <c r="K534" s="1003">
        <f t="shared" si="8"/>
        <v>7</v>
      </c>
      <c r="L534" s="1004"/>
      <c r="M534" s="1003"/>
      <c r="N534" s="1003">
        <v>6</v>
      </c>
      <c r="O534" s="1005">
        <v>8</v>
      </c>
    </row>
    <row r="535" spans="1:15" collapsed="1" x14ac:dyDescent="0.2">
      <c r="A535"/>
      <c r="B535" s="1002">
        <v>67</v>
      </c>
      <c r="C535" s="1003">
        <v>21</v>
      </c>
      <c r="D535" s="1003">
        <v>1</v>
      </c>
      <c r="E535" s="1003"/>
      <c r="F535" s="1003"/>
      <c r="G535" s="1003"/>
      <c r="H535" s="1003"/>
      <c r="I535" s="1003"/>
      <c r="J535" s="1003"/>
      <c r="K535" s="1003">
        <f t="shared" si="8"/>
        <v>22</v>
      </c>
      <c r="L535" s="1004"/>
      <c r="M535" s="1003"/>
      <c r="N535" s="1003">
        <v>12</v>
      </c>
      <c r="O535" s="1005">
        <v>32</v>
      </c>
    </row>
    <row r="536" spans="1:15" collapsed="1" x14ac:dyDescent="0.2">
      <c r="A536"/>
      <c r="B536" s="1002">
        <v>67</v>
      </c>
      <c r="C536" s="1003">
        <v>17</v>
      </c>
      <c r="D536" s="1003">
        <v>4</v>
      </c>
      <c r="E536" s="1003"/>
      <c r="F536" s="1003"/>
      <c r="G536" s="1003"/>
      <c r="H536" s="1003"/>
      <c r="I536" s="1003"/>
      <c r="J536" s="1003"/>
      <c r="K536" s="1003">
        <f t="shared" si="8"/>
        <v>21</v>
      </c>
      <c r="L536" s="1004"/>
      <c r="M536" s="1003"/>
      <c r="N536" s="1003">
        <v>10</v>
      </c>
      <c r="O536" s="1005">
        <v>32</v>
      </c>
    </row>
    <row r="537" spans="1:15" collapsed="1" x14ac:dyDescent="0.2">
      <c r="A537"/>
      <c r="B537" s="1002">
        <v>67</v>
      </c>
      <c r="C537" s="1003">
        <v>13</v>
      </c>
      <c r="D537" s="1003">
        <v>7</v>
      </c>
      <c r="E537" s="1003"/>
      <c r="F537" s="1003"/>
      <c r="G537" s="1003"/>
      <c r="H537" s="1003"/>
      <c r="I537" s="1003"/>
      <c r="J537" s="1003"/>
      <c r="K537" s="1003">
        <f t="shared" si="8"/>
        <v>20</v>
      </c>
      <c r="L537" s="1004"/>
      <c r="M537" s="1003"/>
      <c r="N537" s="1003">
        <v>8</v>
      </c>
      <c r="O537" s="1005">
        <v>32</v>
      </c>
    </row>
    <row r="538" spans="1:15" collapsed="1" x14ac:dyDescent="0.2">
      <c r="A538"/>
      <c r="B538" s="1002">
        <v>67</v>
      </c>
      <c r="C538" s="1003">
        <v>9</v>
      </c>
      <c r="D538" s="1003">
        <v>10</v>
      </c>
      <c r="E538" s="1003"/>
      <c r="F538" s="1003"/>
      <c r="G538" s="1003"/>
      <c r="H538" s="1003"/>
      <c r="I538" s="1003"/>
      <c r="J538" s="1003"/>
      <c r="K538" s="1003">
        <f t="shared" si="8"/>
        <v>19</v>
      </c>
      <c r="L538" s="1004"/>
      <c r="M538" s="1003"/>
      <c r="N538" s="1003">
        <v>6</v>
      </c>
      <c r="O538" s="1005">
        <v>32</v>
      </c>
    </row>
    <row r="539" spans="1:15" collapsed="1" x14ac:dyDescent="0.2">
      <c r="A539"/>
      <c r="B539" s="1002">
        <v>67</v>
      </c>
      <c r="C539" s="1003">
        <v>5</v>
      </c>
      <c r="D539" s="1003">
        <v>13</v>
      </c>
      <c r="E539" s="1003"/>
      <c r="F539" s="1003"/>
      <c r="G539" s="1003"/>
      <c r="H539" s="1003"/>
      <c r="I539" s="1003"/>
      <c r="J539" s="1003"/>
      <c r="K539" s="1003">
        <f t="shared" si="8"/>
        <v>18</v>
      </c>
      <c r="L539" s="1004"/>
      <c r="M539" s="1003"/>
      <c r="N539" s="1003">
        <v>4</v>
      </c>
      <c r="O539" s="1005">
        <v>32</v>
      </c>
    </row>
    <row r="540" spans="1:15" collapsed="1" x14ac:dyDescent="0.2">
      <c r="A540"/>
      <c r="B540" s="1002">
        <v>67</v>
      </c>
      <c r="C540" s="1003">
        <v>1</v>
      </c>
      <c r="D540" s="1003">
        <v>16</v>
      </c>
      <c r="E540" s="1003"/>
      <c r="F540" s="1003"/>
      <c r="G540" s="1003"/>
      <c r="H540" s="1003"/>
      <c r="I540" s="1003"/>
      <c r="J540" s="1003"/>
      <c r="K540" s="1003">
        <f t="shared" si="8"/>
        <v>17</v>
      </c>
      <c r="L540" s="1004"/>
      <c r="M540" s="1003"/>
      <c r="N540" s="1003">
        <v>2</v>
      </c>
      <c r="O540" s="1005">
        <v>32</v>
      </c>
    </row>
    <row r="541" spans="1:15" collapsed="1" x14ac:dyDescent="0.2">
      <c r="A541"/>
      <c r="B541" s="1002">
        <v>67</v>
      </c>
      <c r="C541" s="1003"/>
      <c r="D541" s="1003">
        <v>13</v>
      </c>
      <c r="E541" s="1003">
        <v>3</v>
      </c>
      <c r="F541" s="1003"/>
      <c r="G541" s="1003"/>
      <c r="H541" s="1003"/>
      <c r="I541" s="1003"/>
      <c r="J541" s="1003"/>
      <c r="K541" s="1003">
        <f t="shared" si="8"/>
        <v>16</v>
      </c>
      <c r="L541" s="1004"/>
      <c r="M541" s="1003"/>
      <c r="N541" s="1003"/>
      <c r="O541" s="1005">
        <v>32</v>
      </c>
    </row>
    <row r="542" spans="1:15" collapsed="1" x14ac:dyDescent="0.2">
      <c r="A542"/>
      <c r="B542" s="1002">
        <v>67</v>
      </c>
      <c r="C542" s="1003"/>
      <c r="D542" s="1003">
        <v>8</v>
      </c>
      <c r="E542" s="1003">
        <v>7</v>
      </c>
      <c r="F542" s="1003"/>
      <c r="G542" s="1003"/>
      <c r="H542" s="1003"/>
      <c r="I542" s="1003"/>
      <c r="J542" s="1003"/>
      <c r="K542" s="1003">
        <f t="shared" si="8"/>
        <v>15</v>
      </c>
      <c r="L542" s="1004"/>
      <c r="M542" s="1003"/>
      <c r="N542" s="1003">
        <v>14</v>
      </c>
      <c r="O542" s="1005">
        <v>16</v>
      </c>
    </row>
    <row r="543" spans="1:15" x14ac:dyDescent="0.2">
      <c r="A543"/>
      <c r="B543" s="1002">
        <v>67</v>
      </c>
      <c r="C543" s="1003"/>
      <c r="D543" s="1003">
        <v>3</v>
      </c>
      <c r="E543" s="1003">
        <v>11</v>
      </c>
      <c r="F543" s="1003"/>
      <c r="G543" s="1003"/>
      <c r="H543" s="1003"/>
      <c r="I543" s="1003"/>
      <c r="J543" s="1003"/>
      <c r="K543" s="1003">
        <f t="shared" si="8"/>
        <v>14</v>
      </c>
      <c r="L543" s="1004"/>
      <c r="M543" s="1003"/>
      <c r="N543" s="1003">
        <v>12</v>
      </c>
      <c r="O543" s="1005">
        <v>16</v>
      </c>
    </row>
    <row r="544" spans="1:15" collapsed="1" x14ac:dyDescent="0.2">
      <c r="A544"/>
      <c r="B544" s="1002">
        <v>67</v>
      </c>
      <c r="C544" s="1003"/>
      <c r="D544" s="1003"/>
      <c r="E544" s="1003">
        <v>11</v>
      </c>
      <c r="F544" s="1003">
        <v>2</v>
      </c>
      <c r="G544" s="1003"/>
      <c r="H544" s="1003"/>
      <c r="I544" s="1003"/>
      <c r="J544" s="1003"/>
      <c r="K544" s="1003">
        <f t="shared" si="8"/>
        <v>13</v>
      </c>
      <c r="L544" s="1004"/>
      <c r="M544" s="1003"/>
      <c r="N544" s="1003">
        <v>10</v>
      </c>
      <c r="O544" s="1005">
        <v>16</v>
      </c>
    </row>
    <row r="545" spans="1:15" collapsed="1" x14ac:dyDescent="0.2">
      <c r="A545"/>
      <c r="B545" s="1002">
        <v>67</v>
      </c>
      <c r="C545" s="1003"/>
      <c r="D545" s="1003"/>
      <c r="E545" s="1003">
        <v>5</v>
      </c>
      <c r="F545" s="1003">
        <v>7</v>
      </c>
      <c r="G545" s="1003"/>
      <c r="H545" s="1003"/>
      <c r="I545" s="1003"/>
      <c r="J545" s="1003"/>
      <c r="K545" s="1003">
        <f t="shared" si="8"/>
        <v>12</v>
      </c>
      <c r="L545" s="1004"/>
      <c r="M545" s="1003"/>
      <c r="N545" s="1003">
        <v>8</v>
      </c>
      <c r="O545" s="1005">
        <v>16</v>
      </c>
    </row>
    <row r="546" spans="1:15" x14ac:dyDescent="0.2">
      <c r="A546"/>
      <c r="B546" s="1002">
        <v>67</v>
      </c>
      <c r="C546" s="1003"/>
      <c r="D546" s="1003"/>
      <c r="E546" s="1003"/>
      <c r="F546" s="1003">
        <v>10</v>
      </c>
      <c r="G546" s="1003">
        <v>1</v>
      </c>
      <c r="H546" s="1003"/>
      <c r="I546" s="1003"/>
      <c r="J546" s="1003"/>
      <c r="K546" s="1003">
        <f t="shared" si="8"/>
        <v>11</v>
      </c>
      <c r="L546" s="1004"/>
      <c r="M546" s="1003"/>
      <c r="N546" s="1003">
        <v>6</v>
      </c>
      <c r="O546" s="1005">
        <v>16</v>
      </c>
    </row>
    <row r="547" spans="1:15" collapsed="1" x14ac:dyDescent="0.2">
      <c r="A547"/>
      <c r="B547" s="1002">
        <v>67</v>
      </c>
      <c r="C547" s="1003"/>
      <c r="D547" s="1003"/>
      <c r="E547" s="1003"/>
      <c r="F547" s="1003">
        <v>3</v>
      </c>
      <c r="G547" s="1003">
        <v>7</v>
      </c>
      <c r="H547" s="1003"/>
      <c r="I547" s="1003"/>
      <c r="J547" s="1003"/>
      <c r="K547" s="1003">
        <f t="shared" si="8"/>
        <v>10</v>
      </c>
      <c r="L547" s="1004"/>
      <c r="M547" s="1003"/>
      <c r="N547" s="1003">
        <v>4</v>
      </c>
      <c r="O547" s="1005">
        <v>16</v>
      </c>
    </row>
    <row r="548" spans="1:15" collapsed="1" x14ac:dyDescent="0.2">
      <c r="A548"/>
      <c r="B548" s="1002">
        <v>67</v>
      </c>
      <c r="C548" s="1003"/>
      <c r="D548" s="1003"/>
      <c r="E548" s="1003"/>
      <c r="F548" s="1003"/>
      <c r="G548" s="1003">
        <v>5</v>
      </c>
      <c r="H548" s="1003">
        <v>4</v>
      </c>
      <c r="I548" s="1003"/>
      <c r="J548" s="1003"/>
      <c r="K548" s="1003">
        <f t="shared" si="8"/>
        <v>9</v>
      </c>
      <c r="L548" s="1004"/>
      <c r="M548" s="1003"/>
      <c r="N548" s="1003">
        <v>2</v>
      </c>
      <c r="O548" s="1005">
        <v>16</v>
      </c>
    </row>
    <row r="549" spans="1:15" x14ac:dyDescent="0.2">
      <c r="A549"/>
      <c r="B549" s="1002">
        <v>67</v>
      </c>
      <c r="C549" s="1003"/>
      <c r="D549" s="1003"/>
      <c r="E549" s="1003"/>
      <c r="F549" s="1003"/>
      <c r="G549" s="1003"/>
      <c r="H549" s="1003">
        <v>5</v>
      </c>
      <c r="I549" s="1003">
        <v>3</v>
      </c>
      <c r="J549" s="1003"/>
      <c r="K549" s="1003">
        <f t="shared" si="8"/>
        <v>8</v>
      </c>
      <c r="L549" s="1004"/>
      <c r="M549" s="1003"/>
      <c r="N549" s="1003"/>
      <c r="O549" s="1005">
        <v>16</v>
      </c>
    </row>
    <row r="550" spans="1:15" x14ac:dyDescent="0.2">
      <c r="A550"/>
      <c r="B550" s="1002">
        <v>67</v>
      </c>
      <c r="C550" s="1003"/>
      <c r="D550" s="1003"/>
      <c r="E550" s="1003"/>
      <c r="F550" s="1003"/>
      <c r="G550" s="1003"/>
      <c r="H550" s="1003"/>
      <c r="I550" s="1003">
        <v>3</v>
      </c>
      <c r="J550" s="1003">
        <v>4</v>
      </c>
      <c r="K550" s="1003">
        <f t="shared" si="8"/>
        <v>7</v>
      </c>
      <c r="L550" s="1004"/>
      <c r="M550" s="1003"/>
      <c r="N550" s="1003">
        <v>6</v>
      </c>
      <c r="O550" s="1005">
        <v>8</v>
      </c>
    </row>
    <row r="551" spans="1:15" collapsed="1" x14ac:dyDescent="0.2">
      <c r="A551"/>
      <c r="B551" s="1002">
        <v>68</v>
      </c>
      <c r="C551" s="1003">
        <v>20</v>
      </c>
      <c r="D551" s="1003">
        <v>2</v>
      </c>
      <c r="E551" s="1003"/>
      <c r="F551" s="1003"/>
      <c r="G551" s="1003"/>
      <c r="H551" s="1003"/>
      <c r="I551" s="1003"/>
      <c r="J551" s="1003"/>
      <c r="K551" s="1003">
        <f t="shared" si="8"/>
        <v>22</v>
      </c>
      <c r="L551" s="1004"/>
      <c r="M551" s="1003"/>
      <c r="N551" s="1003">
        <v>12</v>
      </c>
      <c r="O551" s="1005">
        <v>32</v>
      </c>
    </row>
    <row r="552" spans="1:15" collapsed="1" x14ac:dyDescent="0.2">
      <c r="A552"/>
      <c r="B552" s="1002">
        <v>68</v>
      </c>
      <c r="C552" s="1003">
        <v>16</v>
      </c>
      <c r="D552" s="1003">
        <v>5</v>
      </c>
      <c r="E552" s="1003"/>
      <c r="F552" s="1003"/>
      <c r="G552" s="1003"/>
      <c r="H552" s="1003"/>
      <c r="I552" s="1003"/>
      <c r="J552" s="1003"/>
      <c r="K552" s="1003">
        <f t="shared" si="8"/>
        <v>21</v>
      </c>
      <c r="L552" s="1004"/>
      <c r="M552" s="1003"/>
      <c r="N552" s="1003">
        <v>10</v>
      </c>
      <c r="O552" s="1005">
        <v>32</v>
      </c>
    </row>
    <row r="553" spans="1:15" collapsed="1" x14ac:dyDescent="0.2">
      <c r="A553"/>
      <c r="B553" s="1002">
        <v>68</v>
      </c>
      <c r="C553" s="1003">
        <v>12</v>
      </c>
      <c r="D553" s="1003">
        <v>8</v>
      </c>
      <c r="E553" s="1003"/>
      <c r="F553" s="1003"/>
      <c r="G553" s="1003"/>
      <c r="H553" s="1003"/>
      <c r="I553" s="1003"/>
      <c r="J553" s="1003"/>
      <c r="K553" s="1003">
        <f t="shared" si="8"/>
        <v>20</v>
      </c>
      <c r="L553" s="1004"/>
      <c r="M553" s="1003"/>
      <c r="N553" s="1003">
        <v>8</v>
      </c>
      <c r="O553" s="1005">
        <v>32</v>
      </c>
    </row>
    <row r="554" spans="1:15" collapsed="1" x14ac:dyDescent="0.2">
      <c r="A554"/>
      <c r="B554" s="1002">
        <v>68</v>
      </c>
      <c r="C554" s="1003">
        <v>8</v>
      </c>
      <c r="D554" s="1003">
        <v>11</v>
      </c>
      <c r="E554" s="1003"/>
      <c r="F554" s="1003"/>
      <c r="G554" s="1003"/>
      <c r="H554" s="1003"/>
      <c r="I554" s="1003"/>
      <c r="J554" s="1003"/>
      <c r="K554" s="1003">
        <f t="shared" si="8"/>
        <v>19</v>
      </c>
      <c r="L554" s="1004"/>
      <c r="M554" s="1003"/>
      <c r="N554" s="1003">
        <v>6</v>
      </c>
      <c r="O554" s="1005">
        <v>32</v>
      </c>
    </row>
    <row r="555" spans="1:15" collapsed="1" x14ac:dyDescent="0.2">
      <c r="A555"/>
      <c r="B555" s="1002">
        <v>68</v>
      </c>
      <c r="C555" s="1003">
        <v>4</v>
      </c>
      <c r="D555" s="1003">
        <v>14</v>
      </c>
      <c r="E555" s="1003"/>
      <c r="F555" s="1003"/>
      <c r="G555" s="1003"/>
      <c r="H555" s="1003"/>
      <c r="I555" s="1003"/>
      <c r="J555" s="1003"/>
      <c r="K555" s="1003">
        <f t="shared" si="8"/>
        <v>18</v>
      </c>
      <c r="L555" s="1004"/>
      <c r="M555" s="1003"/>
      <c r="N555" s="1003">
        <v>4</v>
      </c>
      <c r="O555" s="1005">
        <v>32</v>
      </c>
    </row>
    <row r="556" spans="1:15" collapsed="1" x14ac:dyDescent="0.2">
      <c r="A556"/>
      <c r="B556" s="1002">
        <v>68</v>
      </c>
      <c r="C556" s="1003"/>
      <c r="D556" s="1003">
        <v>17</v>
      </c>
      <c r="E556" s="1003"/>
      <c r="F556" s="1003"/>
      <c r="G556" s="1003"/>
      <c r="H556" s="1003"/>
      <c r="I556" s="1003"/>
      <c r="J556" s="1003"/>
      <c r="K556" s="1003">
        <f t="shared" si="8"/>
        <v>17</v>
      </c>
      <c r="L556" s="1004"/>
      <c r="M556" s="1003"/>
      <c r="N556" s="1003">
        <v>2</v>
      </c>
      <c r="O556" s="1005">
        <v>32</v>
      </c>
    </row>
    <row r="557" spans="1:15" collapsed="1" x14ac:dyDescent="0.2">
      <c r="A557"/>
      <c r="B557" s="1002">
        <v>68</v>
      </c>
      <c r="C557" s="1003"/>
      <c r="D557" s="1003">
        <v>12</v>
      </c>
      <c r="E557" s="1003">
        <v>4</v>
      </c>
      <c r="F557" s="1003"/>
      <c r="G557" s="1003"/>
      <c r="H557" s="1003"/>
      <c r="I557" s="1003"/>
      <c r="J557" s="1003"/>
      <c r="K557" s="1003">
        <f t="shared" si="8"/>
        <v>16</v>
      </c>
      <c r="L557" s="1004"/>
      <c r="M557" s="1003"/>
      <c r="N557" s="1003"/>
      <c r="O557" s="1005">
        <v>32</v>
      </c>
    </row>
    <row r="558" spans="1:15" collapsed="1" x14ac:dyDescent="0.2">
      <c r="A558"/>
      <c r="B558" s="1002">
        <v>68</v>
      </c>
      <c r="C558" s="1003"/>
      <c r="D558" s="1003">
        <v>8</v>
      </c>
      <c r="E558" s="1003">
        <v>7</v>
      </c>
      <c r="F558" s="1003"/>
      <c r="G558" s="1003"/>
      <c r="H558" s="1003"/>
      <c r="I558" s="1003"/>
      <c r="J558" s="1003"/>
      <c r="K558" s="1003">
        <f t="shared" si="8"/>
        <v>15</v>
      </c>
      <c r="L558" s="1004"/>
      <c r="M558" s="1003"/>
      <c r="N558" s="1003">
        <v>14</v>
      </c>
      <c r="O558" s="1005">
        <v>16</v>
      </c>
    </row>
    <row r="559" spans="1:15" x14ac:dyDescent="0.2">
      <c r="A559"/>
      <c r="B559" s="1002">
        <v>68</v>
      </c>
      <c r="C559" s="1003"/>
      <c r="D559" s="1003">
        <v>2</v>
      </c>
      <c r="E559" s="1003">
        <v>12</v>
      </c>
      <c r="F559" s="1003"/>
      <c r="G559" s="1003"/>
      <c r="H559" s="1003"/>
      <c r="I559" s="1003"/>
      <c r="J559" s="1003"/>
      <c r="K559" s="1003">
        <f t="shared" si="8"/>
        <v>14</v>
      </c>
      <c r="L559" s="1004"/>
      <c r="M559" s="1003"/>
      <c r="N559" s="1003">
        <v>12</v>
      </c>
      <c r="O559" s="1005">
        <v>16</v>
      </c>
    </row>
    <row r="560" spans="1:15" collapsed="1" x14ac:dyDescent="0.2">
      <c r="A560"/>
      <c r="B560" s="1002">
        <v>68</v>
      </c>
      <c r="C560" s="1003"/>
      <c r="D560" s="1003"/>
      <c r="E560" s="1003">
        <v>10</v>
      </c>
      <c r="F560" s="1003">
        <v>3</v>
      </c>
      <c r="G560" s="1003"/>
      <c r="H560" s="1003"/>
      <c r="I560" s="1003"/>
      <c r="J560" s="1003"/>
      <c r="K560" s="1003">
        <f t="shared" si="8"/>
        <v>13</v>
      </c>
      <c r="L560" s="1004"/>
      <c r="M560" s="1003"/>
      <c r="N560" s="1003">
        <v>10</v>
      </c>
      <c r="O560" s="1005">
        <v>16</v>
      </c>
    </row>
    <row r="561" spans="1:15" collapsed="1" x14ac:dyDescent="0.2">
      <c r="A561"/>
      <c r="B561" s="1002">
        <v>68</v>
      </c>
      <c r="C561" s="1003"/>
      <c r="D561" s="1003"/>
      <c r="E561" s="1003">
        <v>4</v>
      </c>
      <c r="F561" s="1003">
        <v>8</v>
      </c>
      <c r="G561" s="1003"/>
      <c r="H561" s="1003"/>
      <c r="I561" s="1003"/>
      <c r="J561" s="1003"/>
      <c r="K561" s="1003">
        <f t="shared" si="8"/>
        <v>12</v>
      </c>
      <c r="L561" s="1004"/>
      <c r="M561" s="1003"/>
      <c r="N561" s="1003">
        <v>8</v>
      </c>
      <c r="O561" s="1005">
        <v>16</v>
      </c>
    </row>
    <row r="562" spans="1:15" x14ac:dyDescent="0.2">
      <c r="A562"/>
      <c r="B562" s="1002">
        <v>68</v>
      </c>
      <c r="C562" s="1003"/>
      <c r="D562" s="1003"/>
      <c r="E562" s="1003"/>
      <c r="F562" s="1003">
        <v>9</v>
      </c>
      <c r="G562" s="1003">
        <v>2</v>
      </c>
      <c r="H562" s="1003"/>
      <c r="I562" s="1003"/>
      <c r="J562" s="1003"/>
      <c r="K562" s="1003">
        <f t="shared" si="8"/>
        <v>11</v>
      </c>
      <c r="L562" s="1004"/>
      <c r="M562" s="1003"/>
      <c r="N562" s="1003">
        <v>6</v>
      </c>
      <c r="O562" s="1005">
        <v>16</v>
      </c>
    </row>
    <row r="563" spans="1:15" collapsed="1" x14ac:dyDescent="0.2">
      <c r="A563"/>
      <c r="B563" s="1002">
        <v>68</v>
      </c>
      <c r="C563" s="1003"/>
      <c r="D563" s="1003"/>
      <c r="E563" s="1003"/>
      <c r="F563" s="1003">
        <v>2</v>
      </c>
      <c r="G563" s="1003">
        <v>8</v>
      </c>
      <c r="H563" s="1003"/>
      <c r="I563" s="1003"/>
      <c r="J563" s="1003"/>
      <c r="K563" s="1003">
        <f t="shared" si="8"/>
        <v>10</v>
      </c>
      <c r="L563" s="1004"/>
      <c r="M563" s="1003"/>
      <c r="N563" s="1003">
        <v>4</v>
      </c>
      <c r="O563" s="1005">
        <v>16</v>
      </c>
    </row>
    <row r="564" spans="1:15" collapsed="1" x14ac:dyDescent="0.2">
      <c r="A564"/>
      <c r="B564" s="1002">
        <v>68</v>
      </c>
      <c r="C564" s="1003"/>
      <c r="D564" s="1003"/>
      <c r="E564" s="1003"/>
      <c r="F564" s="1003"/>
      <c r="G564" s="1003">
        <v>4</v>
      </c>
      <c r="H564" s="1003">
        <v>5</v>
      </c>
      <c r="I564" s="1003"/>
      <c r="J564" s="1003"/>
      <c r="K564" s="1003">
        <f t="shared" si="8"/>
        <v>9</v>
      </c>
      <c r="L564" s="1004"/>
      <c r="M564" s="1003"/>
      <c r="N564" s="1003">
        <v>2</v>
      </c>
      <c r="O564" s="1005">
        <v>16</v>
      </c>
    </row>
    <row r="565" spans="1:15" x14ac:dyDescent="0.2">
      <c r="A565"/>
      <c r="B565" s="1002">
        <v>68</v>
      </c>
      <c r="C565" s="1003"/>
      <c r="D565" s="1003"/>
      <c r="E565" s="1003"/>
      <c r="F565" s="1003"/>
      <c r="G565" s="1003"/>
      <c r="H565" s="1003">
        <v>4</v>
      </c>
      <c r="I565" s="1003">
        <v>4</v>
      </c>
      <c r="J565" s="1003"/>
      <c r="K565" s="1003">
        <f t="shared" si="8"/>
        <v>8</v>
      </c>
      <c r="L565" s="1004"/>
      <c r="M565" s="1003"/>
      <c r="N565" s="1003"/>
      <c r="O565" s="1005">
        <v>16</v>
      </c>
    </row>
    <row r="566" spans="1:15" x14ac:dyDescent="0.2">
      <c r="A566"/>
      <c r="B566" s="1002">
        <v>68</v>
      </c>
      <c r="C566" s="1003"/>
      <c r="D566" s="1003"/>
      <c r="E566" s="1003"/>
      <c r="F566" s="1003"/>
      <c r="G566" s="1003"/>
      <c r="H566" s="1003"/>
      <c r="I566" s="1003">
        <v>2</v>
      </c>
      <c r="J566" s="1003">
        <v>5</v>
      </c>
      <c r="K566" s="1003">
        <f t="shared" si="8"/>
        <v>7</v>
      </c>
      <c r="L566" s="1004"/>
      <c r="M566" s="1003"/>
      <c r="N566" s="1003">
        <v>6</v>
      </c>
      <c r="O566" s="1005">
        <v>8</v>
      </c>
    </row>
    <row r="567" spans="1:15" collapsed="1" x14ac:dyDescent="0.2">
      <c r="A567"/>
      <c r="B567" s="1002">
        <v>69</v>
      </c>
      <c r="C567" s="1003">
        <v>23</v>
      </c>
      <c r="D567" s="1003"/>
      <c r="E567" s="1003"/>
      <c r="F567" s="1003"/>
      <c r="G567" s="1003"/>
      <c r="H567" s="1003"/>
      <c r="I567" s="1003"/>
      <c r="J567" s="1003"/>
      <c r="K567" s="1003">
        <f t="shared" si="8"/>
        <v>23</v>
      </c>
      <c r="L567" s="1004"/>
      <c r="M567" s="1003"/>
      <c r="N567" s="1003">
        <v>14</v>
      </c>
      <c r="O567" s="1005">
        <v>32</v>
      </c>
    </row>
    <row r="568" spans="1:15" collapsed="1" x14ac:dyDescent="0.2">
      <c r="A568"/>
      <c r="B568" s="1002">
        <v>69</v>
      </c>
      <c r="C568" s="1003">
        <v>19</v>
      </c>
      <c r="D568" s="1003">
        <v>3</v>
      </c>
      <c r="E568" s="1003"/>
      <c r="F568" s="1003"/>
      <c r="G568" s="1003"/>
      <c r="H568" s="1003"/>
      <c r="I568" s="1003"/>
      <c r="J568" s="1003"/>
      <c r="K568" s="1003">
        <f t="shared" si="8"/>
        <v>22</v>
      </c>
      <c r="L568" s="1004"/>
      <c r="M568" s="1003"/>
      <c r="N568" s="1003">
        <v>12</v>
      </c>
      <c r="O568" s="1005">
        <v>32</v>
      </c>
    </row>
    <row r="569" spans="1:15" collapsed="1" x14ac:dyDescent="0.2">
      <c r="A569"/>
      <c r="B569" s="1002">
        <v>69</v>
      </c>
      <c r="C569" s="1003">
        <v>15</v>
      </c>
      <c r="D569" s="1003">
        <v>6</v>
      </c>
      <c r="E569" s="1003"/>
      <c r="F569" s="1003"/>
      <c r="G569" s="1003"/>
      <c r="H569" s="1003"/>
      <c r="I569" s="1003"/>
      <c r="J569" s="1003"/>
      <c r="K569" s="1003">
        <f t="shared" si="8"/>
        <v>21</v>
      </c>
      <c r="L569" s="1004"/>
      <c r="M569" s="1003"/>
      <c r="N569" s="1003">
        <v>10</v>
      </c>
      <c r="O569" s="1005">
        <v>32</v>
      </c>
    </row>
    <row r="570" spans="1:15" collapsed="1" x14ac:dyDescent="0.2">
      <c r="A570"/>
      <c r="B570" s="1002">
        <v>69</v>
      </c>
      <c r="C570" s="1003">
        <v>11</v>
      </c>
      <c r="D570" s="1003">
        <v>9</v>
      </c>
      <c r="E570" s="1003"/>
      <c r="F570" s="1003"/>
      <c r="G570" s="1003"/>
      <c r="H570" s="1003"/>
      <c r="I570" s="1003"/>
      <c r="J570" s="1003"/>
      <c r="K570" s="1003">
        <f t="shared" si="8"/>
        <v>20</v>
      </c>
      <c r="L570" s="1004"/>
      <c r="M570" s="1003"/>
      <c r="N570" s="1003">
        <v>8</v>
      </c>
      <c r="O570" s="1005">
        <v>32</v>
      </c>
    </row>
    <row r="571" spans="1:15" collapsed="1" x14ac:dyDescent="0.2">
      <c r="A571"/>
      <c r="B571" s="1002">
        <v>69</v>
      </c>
      <c r="C571" s="1003">
        <v>7</v>
      </c>
      <c r="D571" s="1003">
        <v>12</v>
      </c>
      <c r="E571" s="1003"/>
      <c r="F571" s="1003"/>
      <c r="G571" s="1003"/>
      <c r="H571" s="1003"/>
      <c r="I571" s="1003"/>
      <c r="J571" s="1003"/>
      <c r="K571" s="1003">
        <f t="shared" si="8"/>
        <v>19</v>
      </c>
      <c r="L571" s="1004"/>
      <c r="M571" s="1003"/>
      <c r="N571" s="1003">
        <v>6</v>
      </c>
      <c r="O571" s="1005">
        <v>32</v>
      </c>
    </row>
    <row r="572" spans="1:15" collapsed="1" x14ac:dyDescent="0.2">
      <c r="A572"/>
      <c r="B572" s="1002">
        <v>69</v>
      </c>
      <c r="C572" s="1003">
        <v>3</v>
      </c>
      <c r="D572" s="1003">
        <v>15</v>
      </c>
      <c r="E572" s="1003"/>
      <c r="F572" s="1003"/>
      <c r="G572" s="1003"/>
      <c r="H572" s="1003"/>
      <c r="I572" s="1003"/>
      <c r="J572" s="1003"/>
      <c r="K572" s="1003">
        <f t="shared" si="8"/>
        <v>18</v>
      </c>
      <c r="L572" s="1004"/>
      <c r="M572" s="1003"/>
      <c r="N572" s="1003">
        <v>4</v>
      </c>
      <c r="O572" s="1005">
        <v>32</v>
      </c>
    </row>
    <row r="573" spans="1:15" collapsed="1" x14ac:dyDescent="0.2">
      <c r="A573"/>
      <c r="B573" s="1002">
        <v>69</v>
      </c>
      <c r="C573" s="1003"/>
      <c r="D573" s="1003">
        <v>16</v>
      </c>
      <c r="E573" s="1003">
        <v>1</v>
      </c>
      <c r="F573" s="1003"/>
      <c r="G573" s="1003"/>
      <c r="H573" s="1003"/>
      <c r="I573" s="1003"/>
      <c r="J573" s="1003"/>
      <c r="K573" s="1003">
        <f t="shared" si="8"/>
        <v>17</v>
      </c>
      <c r="L573" s="1004"/>
      <c r="M573" s="1003"/>
      <c r="N573" s="1003">
        <v>2</v>
      </c>
      <c r="O573" s="1005">
        <v>32</v>
      </c>
    </row>
    <row r="574" spans="1:15" collapsed="1" x14ac:dyDescent="0.2">
      <c r="A574"/>
      <c r="B574" s="1002">
        <v>69</v>
      </c>
      <c r="C574" s="1003"/>
      <c r="D574" s="1003">
        <v>11</v>
      </c>
      <c r="E574" s="1003">
        <v>5</v>
      </c>
      <c r="F574" s="1003"/>
      <c r="G574" s="1003"/>
      <c r="H574" s="1003"/>
      <c r="I574" s="1003"/>
      <c r="J574" s="1003"/>
      <c r="K574" s="1003">
        <f t="shared" si="8"/>
        <v>16</v>
      </c>
      <c r="L574" s="1004"/>
      <c r="M574" s="1003"/>
      <c r="N574" s="1003"/>
      <c r="O574" s="1005">
        <v>32</v>
      </c>
    </row>
    <row r="575" spans="1:15" collapsed="1" x14ac:dyDescent="0.2">
      <c r="A575"/>
      <c r="B575" s="1002">
        <v>69</v>
      </c>
      <c r="C575" s="1003"/>
      <c r="D575" s="1003">
        <v>7</v>
      </c>
      <c r="E575" s="1003">
        <v>8</v>
      </c>
      <c r="F575" s="1003"/>
      <c r="G575" s="1003"/>
      <c r="H575" s="1003"/>
      <c r="I575" s="1003"/>
      <c r="J575" s="1003"/>
      <c r="K575" s="1003">
        <f t="shared" si="8"/>
        <v>15</v>
      </c>
      <c r="L575" s="1004"/>
      <c r="M575" s="1003"/>
      <c r="N575" s="1003">
        <v>14</v>
      </c>
      <c r="O575" s="1005">
        <v>16</v>
      </c>
    </row>
    <row r="576" spans="1:15" x14ac:dyDescent="0.2">
      <c r="A576"/>
      <c r="B576" s="1002">
        <v>69</v>
      </c>
      <c r="C576" s="1003"/>
      <c r="D576" s="1003">
        <v>1</v>
      </c>
      <c r="E576" s="1003">
        <v>13</v>
      </c>
      <c r="F576" s="1003"/>
      <c r="G576" s="1003"/>
      <c r="H576" s="1003"/>
      <c r="I576" s="1003"/>
      <c r="J576" s="1003"/>
      <c r="K576" s="1003">
        <f t="shared" si="8"/>
        <v>14</v>
      </c>
      <c r="L576" s="1004"/>
      <c r="M576" s="1003"/>
      <c r="N576" s="1003">
        <v>12</v>
      </c>
      <c r="O576" s="1005">
        <v>16</v>
      </c>
    </row>
    <row r="577" spans="1:15" collapsed="1" x14ac:dyDescent="0.2">
      <c r="A577"/>
      <c r="B577" s="1002">
        <v>69</v>
      </c>
      <c r="C577" s="1003"/>
      <c r="D577" s="1003"/>
      <c r="E577" s="1003">
        <v>9</v>
      </c>
      <c r="F577" s="1003">
        <v>4</v>
      </c>
      <c r="G577" s="1003"/>
      <c r="H577" s="1003"/>
      <c r="I577" s="1003"/>
      <c r="J577" s="1003"/>
      <c r="K577" s="1003">
        <f t="shared" si="8"/>
        <v>13</v>
      </c>
      <c r="L577" s="1004"/>
      <c r="M577" s="1003"/>
      <c r="N577" s="1003">
        <v>10</v>
      </c>
      <c r="O577" s="1005">
        <v>16</v>
      </c>
    </row>
    <row r="578" spans="1:15" collapsed="1" x14ac:dyDescent="0.2">
      <c r="A578"/>
      <c r="B578" s="1002">
        <v>69</v>
      </c>
      <c r="C578" s="1003"/>
      <c r="D578" s="1003"/>
      <c r="E578" s="1003">
        <v>3</v>
      </c>
      <c r="F578" s="1003">
        <v>9</v>
      </c>
      <c r="G578" s="1003"/>
      <c r="H578" s="1003"/>
      <c r="I578" s="1003"/>
      <c r="J578" s="1003"/>
      <c r="K578" s="1003">
        <f t="shared" si="8"/>
        <v>12</v>
      </c>
      <c r="L578" s="1004"/>
      <c r="M578" s="1003"/>
      <c r="N578" s="1003">
        <v>8</v>
      </c>
      <c r="O578" s="1005">
        <v>16</v>
      </c>
    </row>
    <row r="579" spans="1:15" x14ac:dyDescent="0.2">
      <c r="A579"/>
      <c r="B579" s="1002">
        <v>69</v>
      </c>
      <c r="C579" s="1003"/>
      <c r="D579" s="1003"/>
      <c r="E579" s="1003"/>
      <c r="F579" s="1003">
        <v>8</v>
      </c>
      <c r="G579" s="1003">
        <v>3</v>
      </c>
      <c r="H579" s="1003"/>
      <c r="I579" s="1003"/>
      <c r="J579" s="1003"/>
      <c r="K579" s="1003">
        <f t="shared" si="8"/>
        <v>11</v>
      </c>
      <c r="L579" s="1004"/>
      <c r="M579" s="1003"/>
      <c r="N579" s="1003">
        <v>6</v>
      </c>
      <c r="O579" s="1005">
        <v>16</v>
      </c>
    </row>
    <row r="580" spans="1:15" collapsed="1" x14ac:dyDescent="0.2">
      <c r="A580"/>
      <c r="B580" s="1002">
        <v>69</v>
      </c>
      <c r="C580" s="1003"/>
      <c r="D580" s="1003"/>
      <c r="E580" s="1003"/>
      <c r="F580" s="1003">
        <v>1</v>
      </c>
      <c r="G580" s="1003">
        <v>9</v>
      </c>
      <c r="H580" s="1003"/>
      <c r="I580" s="1003"/>
      <c r="J580" s="1003"/>
      <c r="K580" s="1003">
        <f t="shared" si="8"/>
        <v>10</v>
      </c>
      <c r="L580" s="1004"/>
      <c r="M580" s="1003"/>
      <c r="N580" s="1003">
        <v>4</v>
      </c>
      <c r="O580" s="1005">
        <v>16</v>
      </c>
    </row>
    <row r="581" spans="1:15" collapsed="1" x14ac:dyDescent="0.2">
      <c r="A581"/>
      <c r="B581" s="1002">
        <v>69</v>
      </c>
      <c r="C581" s="1003"/>
      <c r="D581" s="1003"/>
      <c r="E581" s="1003"/>
      <c r="F581" s="1003"/>
      <c r="G581" s="1003">
        <v>3</v>
      </c>
      <c r="H581" s="1003">
        <v>6</v>
      </c>
      <c r="I581" s="1003"/>
      <c r="J581" s="1003"/>
      <c r="K581" s="1003">
        <f t="shared" si="8"/>
        <v>9</v>
      </c>
      <c r="L581" s="1004"/>
      <c r="M581" s="1003"/>
      <c r="N581" s="1003">
        <v>2</v>
      </c>
      <c r="O581" s="1005">
        <v>16</v>
      </c>
    </row>
    <row r="582" spans="1:15" x14ac:dyDescent="0.2">
      <c r="A582"/>
      <c r="B582" s="1002">
        <v>69</v>
      </c>
      <c r="C582" s="1003"/>
      <c r="D582" s="1003"/>
      <c r="E582" s="1003"/>
      <c r="F582" s="1003"/>
      <c r="G582" s="1003"/>
      <c r="H582" s="1003">
        <v>3</v>
      </c>
      <c r="I582" s="1003">
        <v>5</v>
      </c>
      <c r="J582" s="1003"/>
      <c r="K582" s="1003">
        <f t="shared" ref="K582:K645" si="9">SUM(C582:J582)</f>
        <v>8</v>
      </c>
      <c r="L582" s="1004"/>
      <c r="M582" s="1003"/>
      <c r="N582" s="1003"/>
      <c r="O582" s="1005">
        <v>16</v>
      </c>
    </row>
    <row r="583" spans="1:15" x14ac:dyDescent="0.2">
      <c r="A583"/>
      <c r="B583" s="1002">
        <v>69</v>
      </c>
      <c r="C583" s="1003"/>
      <c r="D583" s="1003"/>
      <c r="E583" s="1003"/>
      <c r="F583" s="1003"/>
      <c r="G583" s="1003"/>
      <c r="H583" s="1003"/>
      <c r="I583" s="1003">
        <v>1</v>
      </c>
      <c r="J583" s="1003">
        <v>6</v>
      </c>
      <c r="K583" s="1003">
        <f t="shared" si="9"/>
        <v>7</v>
      </c>
      <c r="L583" s="1004"/>
      <c r="M583" s="1003"/>
      <c r="N583" s="1003">
        <v>6</v>
      </c>
      <c r="O583" s="1005">
        <v>8</v>
      </c>
    </row>
    <row r="584" spans="1:15" collapsed="1" x14ac:dyDescent="0.2">
      <c r="A584"/>
      <c r="B584" s="1002">
        <v>70</v>
      </c>
      <c r="C584" s="1003">
        <v>22</v>
      </c>
      <c r="D584" s="1003">
        <v>1</v>
      </c>
      <c r="E584" s="1003"/>
      <c r="F584" s="1003"/>
      <c r="G584" s="1003"/>
      <c r="H584" s="1003"/>
      <c r="I584" s="1003"/>
      <c r="J584" s="1003"/>
      <c r="K584" s="1003">
        <f t="shared" si="9"/>
        <v>23</v>
      </c>
      <c r="L584" s="1004"/>
      <c r="M584" s="1003"/>
      <c r="N584" s="1003">
        <v>14</v>
      </c>
      <c r="O584" s="1005">
        <v>32</v>
      </c>
    </row>
    <row r="585" spans="1:15" collapsed="1" x14ac:dyDescent="0.2">
      <c r="A585"/>
      <c r="B585" s="1002">
        <v>70</v>
      </c>
      <c r="C585" s="1003">
        <v>18</v>
      </c>
      <c r="D585" s="1003">
        <v>4</v>
      </c>
      <c r="E585" s="1003"/>
      <c r="F585" s="1003"/>
      <c r="G585" s="1003"/>
      <c r="H585" s="1003"/>
      <c r="I585" s="1003"/>
      <c r="J585" s="1003"/>
      <c r="K585" s="1003">
        <f t="shared" si="9"/>
        <v>22</v>
      </c>
      <c r="L585" s="1004"/>
      <c r="M585" s="1003"/>
      <c r="N585" s="1003">
        <v>12</v>
      </c>
      <c r="O585" s="1005">
        <v>32</v>
      </c>
    </row>
    <row r="586" spans="1:15" collapsed="1" x14ac:dyDescent="0.2">
      <c r="A586"/>
      <c r="B586" s="1002">
        <v>70</v>
      </c>
      <c r="C586" s="1003">
        <v>14</v>
      </c>
      <c r="D586" s="1003">
        <v>7</v>
      </c>
      <c r="E586" s="1003"/>
      <c r="F586" s="1003"/>
      <c r="G586" s="1003"/>
      <c r="H586" s="1003"/>
      <c r="I586" s="1003"/>
      <c r="J586" s="1003"/>
      <c r="K586" s="1003">
        <f t="shared" si="9"/>
        <v>21</v>
      </c>
      <c r="L586" s="1004"/>
      <c r="M586" s="1003"/>
      <c r="N586" s="1003">
        <v>10</v>
      </c>
      <c r="O586" s="1005">
        <v>32</v>
      </c>
    </row>
    <row r="587" spans="1:15" collapsed="1" x14ac:dyDescent="0.2">
      <c r="A587"/>
      <c r="B587" s="1002">
        <v>70</v>
      </c>
      <c r="C587" s="1003">
        <v>10</v>
      </c>
      <c r="D587" s="1003">
        <v>10</v>
      </c>
      <c r="E587" s="1003"/>
      <c r="F587" s="1003"/>
      <c r="G587" s="1003"/>
      <c r="H587" s="1003"/>
      <c r="I587" s="1003"/>
      <c r="J587" s="1003"/>
      <c r="K587" s="1003">
        <f t="shared" si="9"/>
        <v>20</v>
      </c>
      <c r="L587" s="1004"/>
      <c r="M587" s="1003"/>
      <c r="N587" s="1003">
        <v>8</v>
      </c>
      <c r="O587" s="1005">
        <v>32</v>
      </c>
    </row>
    <row r="588" spans="1:15" collapsed="1" x14ac:dyDescent="0.2">
      <c r="A588"/>
      <c r="B588" s="1002">
        <v>70</v>
      </c>
      <c r="C588" s="1003">
        <v>6</v>
      </c>
      <c r="D588" s="1003">
        <v>13</v>
      </c>
      <c r="E588" s="1003"/>
      <c r="F588" s="1003"/>
      <c r="G588" s="1003"/>
      <c r="H588" s="1003"/>
      <c r="I588" s="1003"/>
      <c r="J588" s="1003"/>
      <c r="K588" s="1003">
        <f t="shared" si="9"/>
        <v>19</v>
      </c>
      <c r="L588" s="1004"/>
      <c r="M588" s="1003"/>
      <c r="N588" s="1003">
        <v>6</v>
      </c>
      <c r="O588" s="1005">
        <v>32</v>
      </c>
    </row>
    <row r="589" spans="1:15" collapsed="1" x14ac:dyDescent="0.2">
      <c r="A589"/>
      <c r="B589" s="1002">
        <v>70</v>
      </c>
      <c r="C589" s="1003">
        <v>2</v>
      </c>
      <c r="D589" s="1003">
        <v>16</v>
      </c>
      <c r="E589" s="1003"/>
      <c r="F589" s="1003"/>
      <c r="G589" s="1003"/>
      <c r="H589" s="1003"/>
      <c r="I589" s="1003"/>
      <c r="J589" s="1003"/>
      <c r="K589" s="1003">
        <f t="shared" si="9"/>
        <v>18</v>
      </c>
      <c r="L589" s="1004"/>
      <c r="M589" s="1003"/>
      <c r="N589" s="1003">
        <v>4</v>
      </c>
      <c r="O589" s="1005">
        <v>32</v>
      </c>
    </row>
    <row r="590" spans="1:15" collapsed="1" x14ac:dyDescent="0.2">
      <c r="A590"/>
      <c r="B590" s="1002">
        <v>70</v>
      </c>
      <c r="C590" s="1003"/>
      <c r="D590" s="1003">
        <v>15</v>
      </c>
      <c r="E590" s="1003">
        <v>2</v>
      </c>
      <c r="F590" s="1003"/>
      <c r="G590" s="1003"/>
      <c r="H590" s="1003"/>
      <c r="I590" s="1003"/>
      <c r="J590" s="1003"/>
      <c r="K590" s="1003">
        <f t="shared" si="9"/>
        <v>17</v>
      </c>
      <c r="L590" s="1004"/>
      <c r="M590" s="1003"/>
      <c r="N590" s="1003">
        <v>2</v>
      </c>
      <c r="O590" s="1005">
        <v>32</v>
      </c>
    </row>
    <row r="591" spans="1:15" collapsed="1" x14ac:dyDescent="0.2">
      <c r="A591"/>
      <c r="B591" s="1002">
        <v>70</v>
      </c>
      <c r="C591" s="1003"/>
      <c r="D591" s="1003">
        <v>10</v>
      </c>
      <c r="E591" s="1003">
        <v>6</v>
      </c>
      <c r="F591" s="1003"/>
      <c r="G591" s="1003"/>
      <c r="H591" s="1003"/>
      <c r="I591" s="1003"/>
      <c r="J591" s="1003"/>
      <c r="K591" s="1003">
        <f t="shared" si="9"/>
        <v>16</v>
      </c>
      <c r="L591" s="1004"/>
      <c r="M591" s="1003"/>
      <c r="N591" s="1003"/>
      <c r="O591" s="1005">
        <v>32</v>
      </c>
    </row>
    <row r="592" spans="1:15" collapsed="1" x14ac:dyDescent="0.2">
      <c r="A592"/>
      <c r="B592" s="1002">
        <v>70</v>
      </c>
      <c r="C592" s="1003"/>
      <c r="D592" s="1003">
        <v>6</v>
      </c>
      <c r="E592" s="1003">
        <v>9</v>
      </c>
      <c r="F592" s="1003"/>
      <c r="G592" s="1003"/>
      <c r="H592" s="1003"/>
      <c r="I592" s="1003"/>
      <c r="J592" s="1003"/>
      <c r="K592" s="1003">
        <f t="shared" si="9"/>
        <v>15</v>
      </c>
      <c r="L592" s="1004"/>
      <c r="M592" s="1003"/>
      <c r="N592" s="1003">
        <v>14</v>
      </c>
      <c r="O592" s="1005">
        <v>16</v>
      </c>
    </row>
    <row r="593" spans="1:15" x14ac:dyDescent="0.2">
      <c r="A593"/>
      <c r="B593" s="1002">
        <v>70</v>
      </c>
      <c r="C593" s="1003"/>
      <c r="D593" s="1003"/>
      <c r="E593" s="1003">
        <v>14</v>
      </c>
      <c r="F593" s="1003"/>
      <c r="G593" s="1003"/>
      <c r="H593" s="1003"/>
      <c r="I593" s="1003"/>
      <c r="J593" s="1003"/>
      <c r="K593" s="1003">
        <f t="shared" si="9"/>
        <v>14</v>
      </c>
      <c r="L593" s="1004"/>
      <c r="M593" s="1003"/>
      <c r="N593" s="1003">
        <v>12</v>
      </c>
      <c r="O593" s="1005">
        <v>16</v>
      </c>
    </row>
    <row r="594" spans="1:15" collapsed="1" x14ac:dyDescent="0.2">
      <c r="A594"/>
      <c r="B594" s="1002">
        <v>70</v>
      </c>
      <c r="C594" s="1003"/>
      <c r="D594" s="1003"/>
      <c r="E594" s="1003">
        <v>8</v>
      </c>
      <c r="F594" s="1003">
        <v>5</v>
      </c>
      <c r="G594" s="1003"/>
      <c r="H594" s="1003"/>
      <c r="I594" s="1003"/>
      <c r="J594" s="1003"/>
      <c r="K594" s="1003">
        <f t="shared" si="9"/>
        <v>13</v>
      </c>
      <c r="L594" s="1004"/>
      <c r="M594" s="1003"/>
      <c r="N594" s="1003">
        <v>10</v>
      </c>
      <c r="O594" s="1005">
        <v>16</v>
      </c>
    </row>
    <row r="595" spans="1:15" collapsed="1" x14ac:dyDescent="0.2">
      <c r="A595"/>
      <c r="B595" s="1002">
        <v>70</v>
      </c>
      <c r="C595" s="1003"/>
      <c r="D595" s="1003"/>
      <c r="E595" s="1003">
        <v>2</v>
      </c>
      <c r="F595" s="1003">
        <v>10</v>
      </c>
      <c r="G595" s="1003"/>
      <c r="H595" s="1003"/>
      <c r="I595" s="1003"/>
      <c r="J595" s="1003"/>
      <c r="K595" s="1003">
        <f t="shared" si="9"/>
        <v>12</v>
      </c>
      <c r="L595" s="1004"/>
      <c r="M595" s="1003"/>
      <c r="N595" s="1003">
        <v>8</v>
      </c>
      <c r="O595" s="1005">
        <v>16</v>
      </c>
    </row>
    <row r="596" spans="1:15" x14ac:dyDescent="0.2">
      <c r="A596"/>
      <c r="B596" s="1002">
        <v>70</v>
      </c>
      <c r="C596" s="1003"/>
      <c r="D596" s="1003"/>
      <c r="E596" s="1003"/>
      <c r="F596" s="1003">
        <v>7</v>
      </c>
      <c r="G596" s="1003">
        <v>4</v>
      </c>
      <c r="H596" s="1003"/>
      <c r="I596" s="1003"/>
      <c r="J596" s="1003"/>
      <c r="K596" s="1003">
        <f t="shared" si="9"/>
        <v>11</v>
      </c>
      <c r="L596" s="1004"/>
      <c r="M596" s="1003"/>
      <c r="N596" s="1003">
        <v>6</v>
      </c>
      <c r="O596" s="1005">
        <v>16</v>
      </c>
    </row>
    <row r="597" spans="1:15" collapsed="1" x14ac:dyDescent="0.2">
      <c r="A597"/>
      <c r="B597" s="1002">
        <v>70</v>
      </c>
      <c r="C597" s="1003"/>
      <c r="D597" s="1003"/>
      <c r="E597" s="1003"/>
      <c r="F597" s="1003"/>
      <c r="G597" s="1003">
        <v>10</v>
      </c>
      <c r="H597" s="1003"/>
      <c r="I597" s="1003"/>
      <c r="J597" s="1003"/>
      <c r="K597" s="1003">
        <f t="shared" si="9"/>
        <v>10</v>
      </c>
      <c r="L597" s="1004"/>
      <c r="M597" s="1003"/>
      <c r="N597" s="1003">
        <v>4</v>
      </c>
      <c r="O597" s="1005">
        <v>16</v>
      </c>
    </row>
    <row r="598" spans="1:15" collapsed="1" x14ac:dyDescent="0.2">
      <c r="A598"/>
      <c r="B598" s="1002">
        <v>70</v>
      </c>
      <c r="C598" s="1003"/>
      <c r="D598" s="1003"/>
      <c r="E598" s="1003"/>
      <c r="F598" s="1003"/>
      <c r="G598" s="1003">
        <v>2</v>
      </c>
      <c r="H598" s="1003">
        <v>7</v>
      </c>
      <c r="I598" s="1003"/>
      <c r="J598" s="1003"/>
      <c r="K598" s="1003">
        <f t="shared" si="9"/>
        <v>9</v>
      </c>
      <c r="L598" s="1004"/>
      <c r="M598" s="1003"/>
      <c r="N598" s="1003">
        <v>2</v>
      </c>
      <c r="O598" s="1005">
        <v>16</v>
      </c>
    </row>
    <row r="599" spans="1:15" x14ac:dyDescent="0.2">
      <c r="A599"/>
      <c r="B599" s="1002">
        <v>70</v>
      </c>
      <c r="C599" s="1003"/>
      <c r="D599" s="1003"/>
      <c r="E599" s="1003"/>
      <c r="F599" s="1003"/>
      <c r="G599" s="1003"/>
      <c r="H599" s="1003">
        <v>2</v>
      </c>
      <c r="I599" s="1003">
        <v>6</v>
      </c>
      <c r="J599" s="1003"/>
      <c r="K599" s="1003">
        <f t="shared" si="9"/>
        <v>8</v>
      </c>
      <c r="L599" s="1004"/>
      <c r="M599" s="1003"/>
      <c r="N599" s="1003"/>
      <c r="O599" s="1005">
        <v>16</v>
      </c>
    </row>
    <row r="600" spans="1:15" x14ac:dyDescent="0.2">
      <c r="A600"/>
      <c r="B600" s="1002">
        <v>70</v>
      </c>
      <c r="C600" s="1003"/>
      <c r="D600" s="1003"/>
      <c r="E600" s="1003"/>
      <c r="F600" s="1003"/>
      <c r="G600" s="1003"/>
      <c r="H600" s="1003"/>
      <c r="I600" s="1003"/>
      <c r="J600" s="1003">
        <v>7</v>
      </c>
      <c r="K600" s="1003">
        <f t="shared" si="9"/>
        <v>7</v>
      </c>
      <c r="L600" s="1004"/>
      <c r="M600" s="1003"/>
      <c r="N600" s="1003">
        <v>6</v>
      </c>
      <c r="O600" s="1005">
        <v>8</v>
      </c>
    </row>
    <row r="601" spans="1:15" collapsed="1" x14ac:dyDescent="0.2">
      <c r="A601"/>
      <c r="B601" s="1002">
        <v>71</v>
      </c>
      <c r="C601" s="1003">
        <v>21</v>
      </c>
      <c r="D601" s="1003">
        <v>2</v>
      </c>
      <c r="E601" s="1003"/>
      <c r="F601" s="1003"/>
      <c r="G601" s="1003"/>
      <c r="H601" s="1003"/>
      <c r="I601" s="1003"/>
      <c r="J601" s="1003"/>
      <c r="K601" s="1003">
        <f t="shared" si="9"/>
        <v>23</v>
      </c>
      <c r="L601" s="1004"/>
      <c r="M601" s="1003"/>
      <c r="N601" s="1003">
        <v>14</v>
      </c>
      <c r="O601" s="1005">
        <v>32</v>
      </c>
    </row>
    <row r="602" spans="1:15" collapsed="1" x14ac:dyDescent="0.2">
      <c r="A602"/>
      <c r="B602" s="1002">
        <v>71</v>
      </c>
      <c r="C602" s="1003">
        <v>17</v>
      </c>
      <c r="D602" s="1003">
        <v>5</v>
      </c>
      <c r="E602" s="1003"/>
      <c r="F602" s="1003"/>
      <c r="G602" s="1003"/>
      <c r="H602" s="1003"/>
      <c r="I602" s="1003"/>
      <c r="J602" s="1003"/>
      <c r="K602" s="1003">
        <f t="shared" si="9"/>
        <v>22</v>
      </c>
      <c r="L602" s="1004"/>
      <c r="M602" s="1003"/>
      <c r="N602" s="1003">
        <v>12</v>
      </c>
      <c r="O602" s="1005">
        <v>32</v>
      </c>
    </row>
    <row r="603" spans="1:15" collapsed="1" x14ac:dyDescent="0.2">
      <c r="A603"/>
      <c r="B603" s="1002">
        <v>71</v>
      </c>
      <c r="C603" s="1003">
        <v>13</v>
      </c>
      <c r="D603" s="1003">
        <v>8</v>
      </c>
      <c r="E603" s="1003"/>
      <c r="F603" s="1003"/>
      <c r="G603" s="1003"/>
      <c r="H603" s="1003"/>
      <c r="I603" s="1003"/>
      <c r="J603" s="1003"/>
      <c r="K603" s="1003">
        <f t="shared" si="9"/>
        <v>21</v>
      </c>
      <c r="L603" s="1004"/>
      <c r="M603" s="1003"/>
      <c r="N603" s="1003">
        <v>10</v>
      </c>
      <c r="O603" s="1005">
        <v>32</v>
      </c>
    </row>
    <row r="604" spans="1:15" collapsed="1" x14ac:dyDescent="0.2">
      <c r="A604"/>
      <c r="B604" s="1002">
        <v>71</v>
      </c>
      <c r="C604" s="1003">
        <v>9</v>
      </c>
      <c r="D604" s="1003">
        <v>11</v>
      </c>
      <c r="E604" s="1003"/>
      <c r="F604" s="1003"/>
      <c r="G604" s="1003"/>
      <c r="H604" s="1003"/>
      <c r="I604" s="1003"/>
      <c r="J604" s="1003"/>
      <c r="K604" s="1003">
        <f t="shared" si="9"/>
        <v>20</v>
      </c>
      <c r="L604" s="1004"/>
      <c r="M604" s="1003"/>
      <c r="N604" s="1003">
        <v>8</v>
      </c>
      <c r="O604" s="1005">
        <v>32</v>
      </c>
    </row>
    <row r="605" spans="1:15" collapsed="1" x14ac:dyDescent="0.2">
      <c r="A605"/>
      <c r="B605" s="1002">
        <v>71</v>
      </c>
      <c r="C605" s="1003">
        <v>5</v>
      </c>
      <c r="D605" s="1003">
        <v>14</v>
      </c>
      <c r="E605" s="1003"/>
      <c r="F605" s="1003"/>
      <c r="G605" s="1003"/>
      <c r="H605" s="1003"/>
      <c r="I605" s="1003"/>
      <c r="J605" s="1003"/>
      <c r="K605" s="1003">
        <f t="shared" si="9"/>
        <v>19</v>
      </c>
      <c r="L605" s="1004"/>
      <c r="M605" s="1003"/>
      <c r="N605" s="1003">
        <v>6</v>
      </c>
      <c r="O605" s="1005">
        <v>32</v>
      </c>
    </row>
    <row r="606" spans="1:15" collapsed="1" x14ac:dyDescent="0.2">
      <c r="A606"/>
      <c r="B606" s="1002">
        <v>71</v>
      </c>
      <c r="C606" s="1003">
        <v>1</v>
      </c>
      <c r="D606" s="1003">
        <v>17</v>
      </c>
      <c r="E606" s="1003"/>
      <c r="F606" s="1003"/>
      <c r="G606" s="1003"/>
      <c r="H606" s="1003"/>
      <c r="I606" s="1003"/>
      <c r="J606" s="1003"/>
      <c r="K606" s="1003">
        <f t="shared" si="9"/>
        <v>18</v>
      </c>
      <c r="L606" s="1004"/>
      <c r="M606" s="1003"/>
      <c r="N606" s="1003">
        <v>4</v>
      </c>
      <c r="O606" s="1005">
        <v>32</v>
      </c>
    </row>
    <row r="607" spans="1:15" collapsed="1" x14ac:dyDescent="0.2">
      <c r="A607"/>
      <c r="B607" s="1002">
        <v>71</v>
      </c>
      <c r="C607" s="1003"/>
      <c r="D607" s="1003">
        <v>14</v>
      </c>
      <c r="E607" s="1003">
        <v>3</v>
      </c>
      <c r="F607" s="1003"/>
      <c r="G607" s="1003"/>
      <c r="H607" s="1003"/>
      <c r="I607" s="1003"/>
      <c r="J607" s="1003"/>
      <c r="K607" s="1003">
        <f t="shared" si="9"/>
        <v>17</v>
      </c>
      <c r="L607" s="1004"/>
      <c r="M607" s="1003"/>
      <c r="N607" s="1003">
        <v>2</v>
      </c>
      <c r="O607" s="1005">
        <v>32</v>
      </c>
    </row>
    <row r="608" spans="1:15" collapsed="1" x14ac:dyDescent="0.2">
      <c r="A608"/>
      <c r="B608" s="1002">
        <v>71</v>
      </c>
      <c r="C608" s="1003"/>
      <c r="D608" s="1003">
        <v>9</v>
      </c>
      <c r="E608" s="1003">
        <v>7</v>
      </c>
      <c r="F608" s="1003"/>
      <c r="G608" s="1003"/>
      <c r="H608" s="1003"/>
      <c r="I608" s="1003"/>
      <c r="J608" s="1003"/>
      <c r="K608" s="1003">
        <f t="shared" si="9"/>
        <v>16</v>
      </c>
      <c r="L608" s="1004"/>
      <c r="M608" s="1003"/>
      <c r="N608" s="1003"/>
      <c r="O608" s="1005">
        <v>32</v>
      </c>
    </row>
    <row r="609" spans="1:15" collapsed="1" x14ac:dyDescent="0.2">
      <c r="A609"/>
      <c r="B609" s="1002">
        <v>71</v>
      </c>
      <c r="C609" s="1003"/>
      <c r="D609" s="1003">
        <v>5</v>
      </c>
      <c r="E609" s="1003">
        <v>10</v>
      </c>
      <c r="F609" s="1003"/>
      <c r="G609" s="1003"/>
      <c r="H609" s="1003"/>
      <c r="I609" s="1003"/>
      <c r="J609" s="1003"/>
      <c r="K609" s="1003">
        <f t="shared" si="9"/>
        <v>15</v>
      </c>
      <c r="L609" s="1004"/>
      <c r="M609" s="1003"/>
      <c r="N609" s="1003">
        <v>14</v>
      </c>
      <c r="O609" s="1005">
        <v>16</v>
      </c>
    </row>
    <row r="610" spans="1:15" x14ac:dyDescent="0.2">
      <c r="A610"/>
      <c r="B610" s="1002">
        <v>71</v>
      </c>
      <c r="C610" s="1003"/>
      <c r="D610" s="1003"/>
      <c r="E610" s="1003">
        <v>13</v>
      </c>
      <c r="F610" s="1003">
        <v>1</v>
      </c>
      <c r="G610" s="1003"/>
      <c r="H610" s="1003"/>
      <c r="I610" s="1003"/>
      <c r="J610" s="1003"/>
      <c r="K610" s="1003">
        <f t="shared" si="9"/>
        <v>14</v>
      </c>
      <c r="L610" s="1004"/>
      <c r="M610" s="1003"/>
      <c r="N610" s="1003">
        <v>12</v>
      </c>
      <c r="O610" s="1005">
        <v>16</v>
      </c>
    </row>
    <row r="611" spans="1:15" collapsed="1" x14ac:dyDescent="0.2">
      <c r="A611"/>
      <c r="B611" s="1002">
        <v>71</v>
      </c>
      <c r="C611" s="1003"/>
      <c r="D611" s="1003"/>
      <c r="E611" s="1003">
        <v>7</v>
      </c>
      <c r="F611" s="1003">
        <v>6</v>
      </c>
      <c r="G611" s="1003"/>
      <c r="H611" s="1003"/>
      <c r="I611" s="1003"/>
      <c r="J611" s="1003"/>
      <c r="K611" s="1003">
        <f t="shared" si="9"/>
        <v>13</v>
      </c>
      <c r="L611" s="1004"/>
      <c r="M611" s="1003"/>
      <c r="N611" s="1003">
        <v>10</v>
      </c>
      <c r="O611" s="1005">
        <v>16</v>
      </c>
    </row>
    <row r="612" spans="1:15" collapsed="1" x14ac:dyDescent="0.2">
      <c r="A612"/>
      <c r="B612" s="1002">
        <v>71</v>
      </c>
      <c r="C612" s="1003"/>
      <c r="D612" s="1003"/>
      <c r="E612" s="1003">
        <v>1</v>
      </c>
      <c r="F612" s="1003">
        <v>11</v>
      </c>
      <c r="G612" s="1003"/>
      <c r="H612" s="1003"/>
      <c r="I612" s="1003"/>
      <c r="J612" s="1003"/>
      <c r="K612" s="1003">
        <f t="shared" si="9"/>
        <v>12</v>
      </c>
      <c r="L612" s="1004"/>
      <c r="M612" s="1003"/>
      <c r="N612" s="1003">
        <v>8</v>
      </c>
      <c r="O612" s="1005">
        <v>16</v>
      </c>
    </row>
    <row r="613" spans="1:15" x14ac:dyDescent="0.2">
      <c r="A613"/>
      <c r="B613" s="1002">
        <v>71</v>
      </c>
      <c r="C613" s="1003"/>
      <c r="D613" s="1003"/>
      <c r="E613" s="1003"/>
      <c r="F613" s="1003">
        <v>6</v>
      </c>
      <c r="G613" s="1003">
        <v>5</v>
      </c>
      <c r="H613" s="1003"/>
      <c r="I613" s="1003"/>
      <c r="J613" s="1003"/>
      <c r="K613" s="1003">
        <f t="shared" si="9"/>
        <v>11</v>
      </c>
      <c r="L613" s="1004"/>
      <c r="M613" s="1003"/>
      <c r="N613" s="1003">
        <v>6</v>
      </c>
      <c r="O613" s="1005">
        <v>16</v>
      </c>
    </row>
    <row r="614" spans="1:15" collapsed="1" x14ac:dyDescent="0.2">
      <c r="A614"/>
      <c r="B614" s="1002">
        <v>71</v>
      </c>
      <c r="C614" s="1003"/>
      <c r="D614" s="1003"/>
      <c r="E614" s="1003"/>
      <c r="F614" s="1003"/>
      <c r="G614" s="1003">
        <v>9</v>
      </c>
      <c r="H614" s="1003">
        <v>1</v>
      </c>
      <c r="I614" s="1003"/>
      <c r="J614" s="1003"/>
      <c r="K614" s="1003">
        <f t="shared" si="9"/>
        <v>10</v>
      </c>
      <c r="L614" s="1004"/>
      <c r="M614" s="1003"/>
      <c r="N614" s="1003">
        <v>4</v>
      </c>
      <c r="O614" s="1005">
        <v>16</v>
      </c>
    </row>
    <row r="615" spans="1:15" collapsed="1" x14ac:dyDescent="0.2">
      <c r="A615"/>
      <c r="B615" s="1002">
        <v>71</v>
      </c>
      <c r="C615" s="1003"/>
      <c r="D615" s="1003"/>
      <c r="E615" s="1003"/>
      <c r="F615" s="1003"/>
      <c r="G615" s="1003">
        <v>1</v>
      </c>
      <c r="H615" s="1003">
        <v>8</v>
      </c>
      <c r="I615" s="1003"/>
      <c r="J615" s="1003"/>
      <c r="K615" s="1003">
        <f t="shared" si="9"/>
        <v>9</v>
      </c>
      <c r="L615" s="1004"/>
      <c r="M615" s="1003"/>
      <c r="N615" s="1003">
        <v>2</v>
      </c>
      <c r="O615" s="1005">
        <v>16</v>
      </c>
    </row>
    <row r="616" spans="1:15" x14ac:dyDescent="0.2">
      <c r="A616"/>
      <c r="B616" s="1002">
        <v>71</v>
      </c>
      <c r="C616" s="1003"/>
      <c r="D616" s="1003"/>
      <c r="E616" s="1003"/>
      <c r="F616" s="1003"/>
      <c r="G616" s="1003"/>
      <c r="H616" s="1003">
        <v>1</v>
      </c>
      <c r="I616" s="1003">
        <v>7</v>
      </c>
      <c r="J616" s="1003"/>
      <c r="K616" s="1003">
        <f t="shared" si="9"/>
        <v>8</v>
      </c>
      <c r="L616" s="1004"/>
      <c r="M616" s="1003"/>
      <c r="N616" s="1003"/>
      <c r="O616" s="1005">
        <v>16</v>
      </c>
    </row>
    <row r="617" spans="1:15" collapsed="1" x14ac:dyDescent="0.2">
      <c r="A617"/>
      <c r="B617" s="1002">
        <v>72</v>
      </c>
      <c r="C617" s="1003">
        <v>24</v>
      </c>
      <c r="D617" s="1003"/>
      <c r="E617" s="1003"/>
      <c r="F617" s="1003"/>
      <c r="G617" s="1003"/>
      <c r="H617" s="1003"/>
      <c r="I617" s="1003"/>
      <c r="J617" s="1003"/>
      <c r="K617" s="1003">
        <f t="shared" si="9"/>
        <v>24</v>
      </c>
      <c r="L617" s="1004"/>
      <c r="M617" s="1003"/>
      <c r="N617" s="1003">
        <v>16</v>
      </c>
      <c r="O617" s="1005">
        <v>32</v>
      </c>
    </row>
    <row r="618" spans="1:15" collapsed="1" x14ac:dyDescent="0.2">
      <c r="A618"/>
      <c r="B618" s="1002">
        <v>72</v>
      </c>
      <c r="C618" s="1003">
        <v>20</v>
      </c>
      <c r="D618" s="1003">
        <v>3</v>
      </c>
      <c r="E618" s="1003"/>
      <c r="F618" s="1003"/>
      <c r="G618" s="1003"/>
      <c r="H618" s="1003"/>
      <c r="I618" s="1003"/>
      <c r="J618" s="1003"/>
      <c r="K618" s="1003">
        <f t="shared" si="9"/>
        <v>23</v>
      </c>
      <c r="L618" s="1004"/>
      <c r="M618" s="1003"/>
      <c r="N618" s="1003">
        <v>14</v>
      </c>
      <c r="O618" s="1005">
        <v>32</v>
      </c>
    </row>
    <row r="619" spans="1:15" collapsed="1" x14ac:dyDescent="0.2">
      <c r="A619"/>
      <c r="B619" s="1002">
        <v>72</v>
      </c>
      <c r="C619" s="1003">
        <v>16</v>
      </c>
      <c r="D619" s="1003">
        <v>6</v>
      </c>
      <c r="E619" s="1003"/>
      <c r="F619" s="1003"/>
      <c r="G619" s="1003"/>
      <c r="H619" s="1003"/>
      <c r="I619" s="1003"/>
      <c r="J619" s="1003"/>
      <c r="K619" s="1003">
        <f t="shared" si="9"/>
        <v>22</v>
      </c>
      <c r="L619" s="1004"/>
      <c r="M619" s="1003"/>
      <c r="N619" s="1003">
        <v>12</v>
      </c>
      <c r="O619" s="1005">
        <v>32</v>
      </c>
    </row>
    <row r="620" spans="1:15" collapsed="1" x14ac:dyDescent="0.2">
      <c r="A620"/>
      <c r="B620" s="1002">
        <v>72</v>
      </c>
      <c r="C620" s="1003">
        <v>12</v>
      </c>
      <c r="D620" s="1003">
        <v>9</v>
      </c>
      <c r="E620" s="1003"/>
      <c r="F620" s="1003"/>
      <c r="G620" s="1003"/>
      <c r="H620" s="1003"/>
      <c r="I620" s="1003"/>
      <c r="J620" s="1003"/>
      <c r="K620" s="1003">
        <f t="shared" si="9"/>
        <v>21</v>
      </c>
      <c r="L620" s="1004"/>
      <c r="M620" s="1003"/>
      <c r="N620" s="1003">
        <v>10</v>
      </c>
      <c r="O620" s="1005">
        <v>32</v>
      </c>
    </row>
    <row r="621" spans="1:15" collapsed="1" x14ac:dyDescent="0.2">
      <c r="A621"/>
      <c r="B621" s="1002">
        <v>72</v>
      </c>
      <c r="C621" s="1003">
        <v>8</v>
      </c>
      <c r="D621" s="1003">
        <v>12</v>
      </c>
      <c r="E621" s="1003"/>
      <c r="F621" s="1003"/>
      <c r="G621" s="1003"/>
      <c r="H621" s="1003"/>
      <c r="I621" s="1003"/>
      <c r="J621" s="1003"/>
      <c r="K621" s="1003">
        <f t="shared" si="9"/>
        <v>20</v>
      </c>
      <c r="L621" s="1004"/>
      <c r="M621" s="1003"/>
      <c r="N621" s="1003">
        <v>8</v>
      </c>
      <c r="O621" s="1005">
        <v>32</v>
      </c>
    </row>
    <row r="622" spans="1:15" collapsed="1" x14ac:dyDescent="0.2">
      <c r="A622"/>
      <c r="B622" s="1002">
        <v>72</v>
      </c>
      <c r="C622" s="1003">
        <v>4</v>
      </c>
      <c r="D622" s="1003">
        <v>15</v>
      </c>
      <c r="E622" s="1003"/>
      <c r="F622" s="1003"/>
      <c r="G622" s="1003"/>
      <c r="H622" s="1003"/>
      <c r="I622" s="1003"/>
      <c r="J622" s="1003"/>
      <c r="K622" s="1003">
        <f t="shared" si="9"/>
        <v>19</v>
      </c>
      <c r="L622" s="1004"/>
      <c r="M622" s="1003"/>
      <c r="N622" s="1003">
        <v>6</v>
      </c>
      <c r="O622" s="1005">
        <v>32</v>
      </c>
    </row>
    <row r="623" spans="1:15" collapsed="1" x14ac:dyDescent="0.2">
      <c r="A623"/>
      <c r="B623" s="1002">
        <v>72</v>
      </c>
      <c r="C623" s="1003"/>
      <c r="D623" s="1003">
        <v>18</v>
      </c>
      <c r="E623" s="1003"/>
      <c r="F623" s="1003"/>
      <c r="G623" s="1003"/>
      <c r="H623" s="1003"/>
      <c r="I623" s="1003"/>
      <c r="J623" s="1003"/>
      <c r="K623" s="1003">
        <f t="shared" si="9"/>
        <v>18</v>
      </c>
      <c r="L623" s="1004"/>
      <c r="M623" s="1003"/>
      <c r="N623" s="1003">
        <v>4</v>
      </c>
      <c r="O623" s="1005">
        <v>32</v>
      </c>
    </row>
    <row r="624" spans="1:15" collapsed="1" x14ac:dyDescent="0.2">
      <c r="A624"/>
      <c r="B624" s="1002">
        <v>72</v>
      </c>
      <c r="C624" s="1003"/>
      <c r="D624" s="1003">
        <v>13</v>
      </c>
      <c r="E624" s="1003">
        <v>4</v>
      </c>
      <c r="F624" s="1003"/>
      <c r="G624" s="1003"/>
      <c r="H624" s="1003"/>
      <c r="I624" s="1003"/>
      <c r="J624" s="1003"/>
      <c r="K624" s="1003">
        <f t="shared" si="9"/>
        <v>17</v>
      </c>
      <c r="L624" s="1004"/>
      <c r="M624" s="1003"/>
      <c r="N624" s="1003">
        <v>2</v>
      </c>
      <c r="O624" s="1005">
        <v>32</v>
      </c>
    </row>
    <row r="625" spans="1:15" collapsed="1" x14ac:dyDescent="0.2">
      <c r="A625"/>
      <c r="B625" s="1002">
        <v>72</v>
      </c>
      <c r="C625" s="1003"/>
      <c r="D625" s="1003">
        <v>8</v>
      </c>
      <c r="E625" s="1003">
        <v>8</v>
      </c>
      <c r="F625" s="1003"/>
      <c r="G625" s="1003"/>
      <c r="H625" s="1003"/>
      <c r="I625" s="1003"/>
      <c r="J625" s="1003"/>
      <c r="K625" s="1003">
        <f t="shared" si="9"/>
        <v>16</v>
      </c>
      <c r="L625" s="1004"/>
      <c r="M625" s="1003"/>
      <c r="N625" s="1003"/>
      <c r="O625" s="1005">
        <v>32</v>
      </c>
    </row>
    <row r="626" spans="1:15" collapsed="1" x14ac:dyDescent="0.2">
      <c r="A626"/>
      <c r="B626" s="1002">
        <v>72</v>
      </c>
      <c r="C626" s="1003"/>
      <c r="D626" s="1003">
        <v>4</v>
      </c>
      <c r="E626" s="1003">
        <v>11</v>
      </c>
      <c r="F626" s="1003"/>
      <c r="G626" s="1003"/>
      <c r="H626" s="1003"/>
      <c r="I626" s="1003"/>
      <c r="J626" s="1003"/>
      <c r="K626" s="1003">
        <f t="shared" si="9"/>
        <v>15</v>
      </c>
      <c r="L626" s="1004"/>
      <c r="M626" s="1003"/>
      <c r="N626" s="1003">
        <v>14</v>
      </c>
      <c r="O626" s="1005">
        <v>16</v>
      </c>
    </row>
    <row r="627" spans="1:15" x14ac:dyDescent="0.2">
      <c r="A627"/>
      <c r="B627" s="1002">
        <v>72</v>
      </c>
      <c r="C627" s="1003"/>
      <c r="D627" s="1003"/>
      <c r="E627" s="1003">
        <v>12</v>
      </c>
      <c r="F627" s="1003">
        <v>2</v>
      </c>
      <c r="G627" s="1003"/>
      <c r="H627" s="1003"/>
      <c r="I627" s="1003"/>
      <c r="J627" s="1003"/>
      <c r="K627" s="1003">
        <f t="shared" si="9"/>
        <v>14</v>
      </c>
      <c r="L627" s="1004"/>
      <c r="M627" s="1003"/>
      <c r="N627" s="1003">
        <v>12</v>
      </c>
      <c r="O627" s="1005">
        <v>16</v>
      </c>
    </row>
    <row r="628" spans="1:15" collapsed="1" x14ac:dyDescent="0.2">
      <c r="A628"/>
      <c r="B628" s="1002">
        <v>72</v>
      </c>
      <c r="C628" s="1003"/>
      <c r="D628" s="1003"/>
      <c r="E628" s="1003">
        <v>6</v>
      </c>
      <c r="F628" s="1003">
        <v>7</v>
      </c>
      <c r="G628" s="1003"/>
      <c r="H628" s="1003"/>
      <c r="I628" s="1003"/>
      <c r="J628" s="1003"/>
      <c r="K628" s="1003">
        <f t="shared" si="9"/>
        <v>13</v>
      </c>
      <c r="L628" s="1004"/>
      <c r="M628" s="1003"/>
      <c r="N628" s="1003">
        <v>10</v>
      </c>
      <c r="O628" s="1005">
        <v>16</v>
      </c>
    </row>
    <row r="629" spans="1:15" collapsed="1" x14ac:dyDescent="0.2">
      <c r="A629"/>
      <c r="B629" s="1002">
        <v>72</v>
      </c>
      <c r="C629" s="1003"/>
      <c r="D629" s="1003"/>
      <c r="E629" s="1003"/>
      <c r="F629" s="1003">
        <v>12</v>
      </c>
      <c r="G629" s="1003"/>
      <c r="H629" s="1003"/>
      <c r="I629" s="1003"/>
      <c r="J629" s="1003"/>
      <c r="K629" s="1003">
        <f t="shared" si="9"/>
        <v>12</v>
      </c>
      <c r="L629" s="1004"/>
      <c r="M629" s="1003"/>
      <c r="N629" s="1003">
        <v>8</v>
      </c>
      <c r="O629" s="1005">
        <v>16</v>
      </c>
    </row>
    <row r="630" spans="1:15" x14ac:dyDescent="0.2">
      <c r="A630"/>
      <c r="B630" s="1002">
        <v>72</v>
      </c>
      <c r="C630" s="1003"/>
      <c r="D630" s="1003"/>
      <c r="E630" s="1003"/>
      <c r="F630" s="1003">
        <v>5</v>
      </c>
      <c r="G630" s="1003">
        <v>6</v>
      </c>
      <c r="H630" s="1003"/>
      <c r="I630" s="1003"/>
      <c r="J630" s="1003"/>
      <c r="K630" s="1003">
        <f t="shared" si="9"/>
        <v>11</v>
      </c>
      <c r="L630" s="1004"/>
      <c r="M630" s="1003"/>
      <c r="N630" s="1003">
        <v>6</v>
      </c>
      <c r="O630" s="1005">
        <v>16</v>
      </c>
    </row>
    <row r="631" spans="1:15" collapsed="1" x14ac:dyDescent="0.2">
      <c r="A631"/>
      <c r="B631" s="1002">
        <v>72</v>
      </c>
      <c r="C631" s="1003"/>
      <c r="D631" s="1003"/>
      <c r="E631" s="1003"/>
      <c r="F631" s="1003"/>
      <c r="G631" s="1003">
        <v>8</v>
      </c>
      <c r="H631" s="1003">
        <v>2</v>
      </c>
      <c r="I631" s="1003"/>
      <c r="J631" s="1003"/>
      <c r="K631" s="1003">
        <f t="shared" si="9"/>
        <v>10</v>
      </c>
      <c r="L631" s="1004"/>
      <c r="M631" s="1003"/>
      <c r="N631" s="1003">
        <v>4</v>
      </c>
      <c r="O631" s="1005">
        <v>16</v>
      </c>
    </row>
    <row r="632" spans="1:15" collapsed="1" x14ac:dyDescent="0.2">
      <c r="A632"/>
      <c r="B632" s="1002">
        <v>72</v>
      </c>
      <c r="C632" s="1003"/>
      <c r="D632" s="1003"/>
      <c r="E632" s="1003"/>
      <c r="F632" s="1003"/>
      <c r="G632" s="1003"/>
      <c r="H632" s="1003">
        <v>9</v>
      </c>
      <c r="I632" s="1003"/>
      <c r="J632" s="1003"/>
      <c r="K632" s="1003">
        <f t="shared" si="9"/>
        <v>9</v>
      </c>
      <c r="L632" s="1004"/>
      <c r="M632" s="1003"/>
      <c r="N632" s="1003">
        <v>2</v>
      </c>
      <c r="O632" s="1005">
        <v>16</v>
      </c>
    </row>
    <row r="633" spans="1:15" x14ac:dyDescent="0.2">
      <c r="A633"/>
      <c r="B633" s="1002">
        <v>72</v>
      </c>
      <c r="C633" s="1003"/>
      <c r="D633" s="1003"/>
      <c r="E633" s="1003"/>
      <c r="F633" s="1003"/>
      <c r="G633" s="1003"/>
      <c r="H633" s="1003"/>
      <c r="I633" s="1003">
        <v>8</v>
      </c>
      <c r="J633" s="1003"/>
      <c r="K633" s="1003">
        <f t="shared" si="9"/>
        <v>8</v>
      </c>
      <c r="L633" s="1004"/>
      <c r="M633" s="1003"/>
      <c r="N633" s="1003"/>
      <c r="O633" s="1005">
        <v>16</v>
      </c>
    </row>
    <row r="634" spans="1:15" collapsed="1" x14ac:dyDescent="0.2">
      <c r="A634"/>
      <c r="B634" s="1002">
        <v>73</v>
      </c>
      <c r="C634" s="1003">
        <v>23</v>
      </c>
      <c r="D634" s="1003">
        <v>1</v>
      </c>
      <c r="E634" s="1003"/>
      <c r="F634" s="1003"/>
      <c r="G634" s="1003"/>
      <c r="H634" s="1003"/>
      <c r="I634" s="1003"/>
      <c r="J634" s="1003"/>
      <c r="K634" s="1003">
        <f t="shared" si="9"/>
        <v>24</v>
      </c>
      <c r="L634" s="1004"/>
      <c r="M634" s="1003"/>
      <c r="N634" s="1003">
        <v>16</v>
      </c>
      <c r="O634" s="1005">
        <v>32</v>
      </c>
    </row>
    <row r="635" spans="1:15" collapsed="1" x14ac:dyDescent="0.2">
      <c r="A635"/>
      <c r="B635" s="1002">
        <v>73</v>
      </c>
      <c r="C635" s="1003">
        <v>19</v>
      </c>
      <c r="D635" s="1003">
        <v>4</v>
      </c>
      <c r="E635" s="1003"/>
      <c r="F635" s="1003"/>
      <c r="G635" s="1003"/>
      <c r="H635" s="1003"/>
      <c r="I635" s="1003"/>
      <c r="J635" s="1003"/>
      <c r="K635" s="1003">
        <f t="shared" si="9"/>
        <v>23</v>
      </c>
      <c r="L635" s="1004"/>
      <c r="M635" s="1003"/>
      <c r="N635" s="1003">
        <v>14</v>
      </c>
      <c r="O635" s="1005">
        <v>32</v>
      </c>
    </row>
    <row r="636" spans="1:15" collapsed="1" x14ac:dyDescent="0.2">
      <c r="A636"/>
      <c r="B636" s="1002">
        <v>73</v>
      </c>
      <c r="C636" s="1003">
        <v>15</v>
      </c>
      <c r="D636" s="1003">
        <v>7</v>
      </c>
      <c r="E636" s="1003"/>
      <c r="F636" s="1003"/>
      <c r="G636" s="1003"/>
      <c r="H636" s="1003"/>
      <c r="I636" s="1003"/>
      <c r="J636" s="1003"/>
      <c r="K636" s="1003">
        <f t="shared" si="9"/>
        <v>22</v>
      </c>
      <c r="L636" s="1004"/>
      <c r="M636" s="1003"/>
      <c r="N636" s="1003">
        <v>12</v>
      </c>
      <c r="O636" s="1005">
        <v>32</v>
      </c>
    </row>
    <row r="637" spans="1:15" collapsed="1" x14ac:dyDescent="0.2">
      <c r="A637"/>
      <c r="B637" s="1002">
        <v>73</v>
      </c>
      <c r="C637" s="1003">
        <v>11</v>
      </c>
      <c r="D637" s="1003">
        <v>10</v>
      </c>
      <c r="E637" s="1003"/>
      <c r="F637" s="1003"/>
      <c r="G637" s="1003"/>
      <c r="H637" s="1003"/>
      <c r="I637" s="1003"/>
      <c r="J637" s="1003"/>
      <c r="K637" s="1003">
        <f t="shared" si="9"/>
        <v>21</v>
      </c>
      <c r="L637" s="1004"/>
      <c r="M637" s="1003"/>
      <c r="N637" s="1003">
        <v>10</v>
      </c>
      <c r="O637" s="1005">
        <v>32</v>
      </c>
    </row>
    <row r="638" spans="1:15" collapsed="1" x14ac:dyDescent="0.2">
      <c r="A638"/>
      <c r="B638" s="1002">
        <v>73</v>
      </c>
      <c r="C638" s="1003">
        <v>7</v>
      </c>
      <c r="D638" s="1003">
        <v>13</v>
      </c>
      <c r="E638" s="1003"/>
      <c r="F638" s="1003"/>
      <c r="G638" s="1003"/>
      <c r="H638" s="1003"/>
      <c r="I638" s="1003"/>
      <c r="J638" s="1003"/>
      <c r="K638" s="1003">
        <f t="shared" si="9"/>
        <v>20</v>
      </c>
      <c r="L638" s="1004"/>
      <c r="M638" s="1003"/>
      <c r="N638" s="1003">
        <v>8</v>
      </c>
      <c r="O638" s="1005">
        <v>32</v>
      </c>
    </row>
    <row r="639" spans="1:15" collapsed="1" x14ac:dyDescent="0.2">
      <c r="A639"/>
      <c r="B639" s="1002">
        <v>73</v>
      </c>
      <c r="C639" s="1003">
        <v>3</v>
      </c>
      <c r="D639" s="1003">
        <v>16</v>
      </c>
      <c r="E639" s="1003"/>
      <c r="F639" s="1003"/>
      <c r="G639" s="1003"/>
      <c r="H639" s="1003"/>
      <c r="I639" s="1003"/>
      <c r="J639" s="1003"/>
      <c r="K639" s="1003">
        <f t="shared" si="9"/>
        <v>19</v>
      </c>
      <c r="L639" s="1004"/>
      <c r="M639" s="1003"/>
      <c r="N639" s="1003">
        <v>6</v>
      </c>
      <c r="O639" s="1005">
        <v>32</v>
      </c>
    </row>
    <row r="640" spans="1:15" collapsed="1" x14ac:dyDescent="0.2">
      <c r="A640"/>
      <c r="B640" s="1002">
        <v>73</v>
      </c>
      <c r="C640" s="1003"/>
      <c r="D640" s="1003">
        <v>17</v>
      </c>
      <c r="E640" s="1003">
        <v>1</v>
      </c>
      <c r="F640" s="1003"/>
      <c r="G640" s="1003"/>
      <c r="H640" s="1003"/>
      <c r="I640" s="1003"/>
      <c r="J640" s="1003"/>
      <c r="K640" s="1003">
        <f t="shared" si="9"/>
        <v>18</v>
      </c>
      <c r="L640" s="1004"/>
      <c r="M640" s="1003"/>
      <c r="N640" s="1003">
        <v>4</v>
      </c>
      <c r="O640" s="1005">
        <v>32</v>
      </c>
    </row>
    <row r="641" spans="1:15" collapsed="1" x14ac:dyDescent="0.2">
      <c r="A641"/>
      <c r="B641" s="1002">
        <v>73</v>
      </c>
      <c r="C641" s="1003"/>
      <c r="D641" s="1003">
        <v>12</v>
      </c>
      <c r="E641" s="1003">
        <v>5</v>
      </c>
      <c r="F641" s="1003"/>
      <c r="G641" s="1003"/>
      <c r="H641" s="1003"/>
      <c r="I641" s="1003"/>
      <c r="J641" s="1003"/>
      <c r="K641" s="1003">
        <f t="shared" si="9"/>
        <v>17</v>
      </c>
      <c r="L641" s="1004"/>
      <c r="M641" s="1003"/>
      <c r="N641" s="1003">
        <v>2</v>
      </c>
      <c r="O641" s="1005">
        <v>32</v>
      </c>
    </row>
    <row r="642" spans="1:15" collapsed="1" x14ac:dyDescent="0.2">
      <c r="A642"/>
      <c r="B642" s="1002">
        <v>73</v>
      </c>
      <c r="C642" s="1003"/>
      <c r="D642" s="1003">
        <v>7</v>
      </c>
      <c r="E642" s="1003">
        <v>9</v>
      </c>
      <c r="F642" s="1003"/>
      <c r="G642" s="1003"/>
      <c r="H642" s="1003"/>
      <c r="I642" s="1003"/>
      <c r="J642" s="1003"/>
      <c r="K642" s="1003">
        <f t="shared" si="9"/>
        <v>16</v>
      </c>
      <c r="L642" s="1004"/>
      <c r="M642" s="1003"/>
      <c r="N642" s="1003"/>
      <c r="O642" s="1005">
        <v>32</v>
      </c>
    </row>
    <row r="643" spans="1:15" collapsed="1" x14ac:dyDescent="0.2">
      <c r="A643"/>
      <c r="B643" s="1002">
        <v>73</v>
      </c>
      <c r="C643" s="1003"/>
      <c r="D643" s="1003">
        <v>3</v>
      </c>
      <c r="E643" s="1003">
        <v>12</v>
      </c>
      <c r="F643" s="1003"/>
      <c r="G643" s="1003"/>
      <c r="H643" s="1003"/>
      <c r="I643" s="1003"/>
      <c r="J643" s="1003"/>
      <c r="K643" s="1003">
        <f t="shared" si="9"/>
        <v>15</v>
      </c>
      <c r="L643" s="1004"/>
      <c r="M643" s="1003"/>
      <c r="N643" s="1003">
        <v>14</v>
      </c>
      <c r="O643" s="1005">
        <v>16</v>
      </c>
    </row>
    <row r="644" spans="1:15" x14ac:dyDescent="0.2">
      <c r="A644"/>
      <c r="B644" s="1002">
        <v>73</v>
      </c>
      <c r="C644" s="1003"/>
      <c r="D644" s="1003"/>
      <c r="E644" s="1003">
        <v>11</v>
      </c>
      <c r="F644" s="1003">
        <v>3</v>
      </c>
      <c r="G644" s="1003"/>
      <c r="H644" s="1003"/>
      <c r="I644" s="1003"/>
      <c r="J644" s="1003"/>
      <c r="K644" s="1003">
        <f t="shared" si="9"/>
        <v>14</v>
      </c>
      <c r="L644" s="1004"/>
      <c r="M644" s="1003"/>
      <c r="N644" s="1003">
        <v>12</v>
      </c>
      <c r="O644" s="1005">
        <v>16</v>
      </c>
    </row>
    <row r="645" spans="1:15" collapsed="1" x14ac:dyDescent="0.2">
      <c r="A645"/>
      <c r="B645" s="1002">
        <v>73</v>
      </c>
      <c r="C645" s="1003"/>
      <c r="D645" s="1003"/>
      <c r="E645" s="1003">
        <v>5</v>
      </c>
      <c r="F645" s="1003">
        <v>8</v>
      </c>
      <c r="G645" s="1003"/>
      <c r="H645" s="1003"/>
      <c r="I645" s="1003"/>
      <c r="J645" s="1003"/>
      <c r="K645" s="1003">
        <f t="shared" si="9"/>
        <v>13</v>
      </c>
      <c r="L645" s="1004"/>
      <c r="M645" s="1003"/>
      <c r="N645" s="1003">
        <v>10</v>
      </c>
      <c r="O645" s="1005">
        <v>16</v>
      </c>
    </row>
    <row r="646" spans="1:15" collapsed="1" x14ac:dyDescent="0.2">
      <c r="A646"/>
      <c r="B646" s="1002">
        <v>73</v>
      </c>
      <c r="C646" s="1003"/>
      <c r="D646" s="1003"/>
      <c r="E646" s="1003"/>
      <c r="F646" s="1003">
        <v>11</v>
      </c>
      <c r="G646" s="1003">
        <v>1</v>
      </c>
      <c r="H646" s="1003"/>
      <c r="I646" s="1003"/>
      <c r="J646" s="1003"/>
      <c r="K646" s="1003">
        <f t="shared" ref="K646:K709" si="10">SUM(C646:J646)</f>
        <v>12</v>
      </c>
      <c r="L646" s="1004"/>
      <c r="M646" s="1003"/>
      <c r="N646" s="1003">
        <v>8</v>
      </c>
      <c r="O646" s="1005">
        <v>16</v>
      </c>
    </row>
    <row r="647" spans="1:15" x14ac:dyDescent="0.2">
      <c r="A647"/>
      <c r="B647" s="1002">
        <v>73</v>
      </c>
      <c r="C647" s="1003"/>
      <c r="D647" s="1003"/>
      <c r="E647" s="1003"/>
      <c r="F647" s="1003">
        <v>4</v>
      </c>
      <c r="G647" s="1003">
        <v>7</v>
      </c>
      <c r="H647" s="1003"/>
      <c r="I647" s="1003"/>
      <c r="J647" s="1003"/>
      <c r="K647" s="1003">
        <f t="shared" si="10"/>
        <v>11</v>
      </c>
      <c r="L647" s="1004"/>
      <c r="M647" s="1003"/>
      <c r="N647" s="1003">
        <v>6</v>
      </c>
      <c r="O647" s="1005">
        <v>16</v>
      </c>
    </row>
    <row r="648" spans="1:15" collapsed="1" x14ac:dyDescent="0.2">
      <c r="A648"/>
      <c r="B648" s="1002">
        <v>73</v>
      </c>
      <c r="C648" s="1003"/>
      <c r="D648" s="1003"/>
      <c r="E648" s="1003"/>
      <c r="F648" s="1003"/>
      <c r="G648" s="1003">
        <v>7</v>
      </c>
      <c r="H648" s="1003">
        <v>3</v>
      </c>
      <c r="I648" s="1003"/>
      <c r="J648" s="1003"/>
      <c r="K648" s="1003">
        <f t="shared" si="10"/>
        <v>10</v>
      </c>
      <c r="L648" s="1004"/>
      <c r="M648" s="1003"/>
      <c r="N648" s="1003">
        <v>4</v>
      </c>
      <c r="O648" s="1005">
        <v>16</v>
      </c>
    </row>
    <row r="649" spans="1:15" collapsed="1" x14ac:dyDescent="0.2">
      <c r="A649"/>
      <c r="B649" s="1002">
        <v>73</v>
      </c>
      <c r="C649" s="1003"/>
      <c r="D649" s="1003"/>
      <c r="E649" s="1003"/>
      <c r="F649" s="1003"/>
      <c r="G649" s="1003"/>
      <c r="H649" s="1003">
        <v>8</v>
      </c>
      <c r="I649" s="1003">
        <v>1</v>
      </c>
      <c r="J649" s="1003"/>
      <c r="K649" s="1003">
        <f t="shared" si="10"/>
        <v>9</v>
      </c>
      <c r="L649" s="1004"/>
      <c r="M649" s="1003"/>
      <c r="N649" s="1003">
        <v>2</v>
      </c>
      <c r="O649" s="1005">
        <v>16</v>
      </c>
    </row>
    <row r="650" spans="1:15" x14ac:dyDescent="0.2">
      <c r="A650"/>
      <c r="B650" s="1002">
        <v>73</v>
      </c>
      <c r="C650" s="1003"/>
      <c r="D650" s="1003"/>
      <c r="E650" s="1003"/>
      <c r="F650" s="1003"/>
      <c r="G650" s="1003"/>
      <c r="H650" s="1003"/>
      <c r="I650" s="1003">
        <v>7</v>
      </c>
      <c r="J650" s="1003">
        <v>1</v>
      </c>
      <c r="K650" s="1003">
        <f t="shared" si="10"/>
        <v>8</v>
      </c>
      <c r="L650" s="1004"/>
      <c r="M650" s="1003"/>
      <c r="N650" s="1003"/>
      <c r="O650" s="1005">
        <v>16</v>
      </c>
    </row>
    <row r="651" spans="1:15" collapsed="1" x14ac:dyDescent="0.2">
      <c r="A651"/>
      <c r="B651" s="1002">
        <v>74</v>
      </c>
      <c r="C651" s="1003">
        <v>22</v>
      </c>
      <c r="D651" s="1003">
        <v>2</v>
      </c>
      <c r="E651" s="1003"/>
      <c r="F651" s="1003"/>
      <c r="G651" s="1003"/>
      <c r="H651" s="1003"/>
      <c r="I651" s="1003"/>
      <c r="J651" s="1003"/>
      <c r="K651" s="1003">
        <f t="shared" si="10"/>
        <v>24</v>
      </c>
      <c r="L651" s="1004"/>
      <c r="M651" s="1003"/>
      <c r="N651" s="1003">
        <v>16</v>
      </c>
      <c r="O651" s="1005">
        <v>32</v>
      </c>
    </row>
    <row r="652" spans="1:15" collapsed="1" x14ac:dyDescent="0.2">
      <c r="A652"/>
      <c r="B652" s="1002">
        <v>74</v>
      </c>
      <c r="C652" s="1003">
        <v>18</v>
      </c>
      <c r="D652" s="1003">
        <v>5</v>
      </c>
      <c r="E652" s="1003"/>
      <c r="F652" s="1003"/>
      <c r="G652" s="1003"/>
      <c r="H652" s="1003"/>
      <c r="I652" s="1003"/>
      <c r="J652" s="1003"/>
      <c r="K652" s="1003">
        <f t="shared" si="10"/>
        <v>23</v>
      </c>
      <c r="L652" s="1004"/>
      <c r="M652" s="1003"/>
      <c r="N652" s="1003">
        <v>14</v>
      </c>
      <c r="O652" s="1005">
        <v>32</v>
      </c>
    </row>
    <row r="653" spans="1:15" collapsed="1" x14ac:dyDescent="0.2">
      <c r="A653"/>
      <c r="B653" s="1002">
        <v>74</v>
      </c>
      <c r="C653" s="1003">
        <v>14</v>
      </c>
      <c r="D653" s="1003">
        <v>8</v>
      </c>
      <c r="E653" s="1003"/>
      <c r="F653" s="1003"/>
      <c r="G653" s="1003"/>
      <c r="H653" s="1003"/>
      <c r="I653" s="1003"/>
      <c r="J653" s="1003"/>
      <c r="K653" s="1003">
        <f t="shared" si="10"/>
        <v>22</v>
      </c>
      <c r="L653" s="1004"/>
      <c r="M653" s="1003"/>
      <c r="N653" s="1003">
        <v>12</v>
      </c>
      <c r="O653" s="1005">
        <v>32</v>
      </c>
    </row>
    <row r="654" spans="1:15" collapsed="1" x14ac:dyDescent="0.2">
      <c r="A654"/>
      <c r="B654" s="1002">
        <v>74</v>
      </c>
      <c r="C654" s="1003">
        <v>10</v>
      </c>
      <c r="D654" s="1003">
        <v>11</v>
      </c>
      <c r="E654" s="1003"/>
      <c r="F654" s="1003"/>
      <c r="G654" s="1003"/>
      <c r="H654" s="1003"/>
      <c r="I654" s="1003"/>
      <c r="J654" s="1003"/>
      <c r="K654" s="1003">
        <f t="shared" si="10"/>
        <v>21</v>
      </c>
      <c r="L654" s="1004"/>
      <c r="M654" s="1003"/>
      <c r="N654" s="1003">
        <v>10</v>
      </c>
      <c r="O654" s="1005">
        <v>32</v>
      </c>
    </row>
    <row r="655" spans="1:15" collapsed="1" x14ac:dyDescent="0.2">
      <c r="A655"/>
      <c r="B655" s="1002">
        <v>74</v>
      </c>
      <c r="C655" s="1003">
        <v>6</v>
      </c>
      <c r="D655" s="1003">
        <v>14</v>
      </c>
      <c r="E655" s="1003"/>
      <c r="F655" s="1003"/>
      <c r="G655" s="1003"/>
      <c r="H655" s="1003"/>
      <c r="I655" s="1003"/>
      <c r="J655" s="1003"/>
      <c r="K655" s="1003">
        <f t="shared" si="10"/>
        <v>20</v>
      </c>
      <c r="L655" s="1004"/>
      <c r="M655" s="1003"/>
      <c r="N655" s="1003">
        <v>8</v>
      </c>
      <c r="O655" s="1005">
        <v>32</v>
      </c>
    </row>
    <row r="656" spans="1:15" collapsed="1" x14ac:dyDescent="0.2">
      <c r="A656"/>
      <c r="B656" s="1002">
        <v>74</v>
      </c>
      <c r="C656" s="1003">
        <v>2</v>
      </c>
      <c r="D656" s="1003">
        <v>17</v>
      </c>
      <c r="E656" s="1003"/>
      <c r="F656" s="1003"/>
      <c r="G656" s="1003"/>
      <c r="H656" s="1003"/>
      <c r="I656" s="1003"/>
      <c r="J656" s="1003"/>
      <c r="K656" s="1003">
        <f t="shared" si="10"/>
        <v>19</v>
      </c>
      <c r="L656" s="1004"/>
      <c r="M656" s="1003"/>
      <c r="N656" s="1003">
        <v>6</v>
      </c>
      <c r="O656" s="1005">
        <v>32</v>
      </c>
    </row>
    <row r="657" spans="1:15" collapsed="1" x14ac:dyDescent="0.2">
      <c r="A657"/>
      <c r="B657" s="1002">
        <v>74</v>
      </c>
      <c r="C657" s="1003"/>
      <c r="D657" s="1003">
        <v>16</v>
      </c>
      <c r="E657" s="1003">
        <v>2</v>
      </c>
      <c r="F657" s="1003"/>
      <c r="G657" s="1003"/>
      <c r="H657" s="1003"/>
      <c r="I657" s="1003"/>
      <c r="J657" s="1003"/>
      <c r="K657" s="1003">
        <f t="shared" si="10"/>
        <v>18</v>
      </c>
      <c r="L657" s="1004"/>
      <c r="M657" s="1003"/>
      <c r="N657" s="1003">
        <v>4</v>
      </c>
      <c r="O657" s="1005">
        <v>32</v>
      </c>
    </row>
    <row r="658" spans="1:15" collapsed="1" x14ac:dyDescent="0.2">
      <c r="A658"/>
      <c r="B658" s="1002">
        <v>74</v>
      </c>
      <c r="C658" s="1003"/>
      <c r="D658" s="1003">
        <v>11</v>
      </c>
      <c r="E658" s="1003">
        <v>6</v>
      </c>
      <c r="F658" s="1003"/>
      <c r="G658" s="1003"/>
      <c r="H658" s="1003"/>
      <c r="I658" s="1003"/>
      <c r="J658" s="1003"/>
      <c r="K658" s="1003">
        <f t="shared" si="10"/>
        <v>17</v>
      </c>
      <c r="L658" s="1004"/>
      <c r="M658" s="1003"/>
      <c r="N658" s="1003">
        <v>2</v>
      </c>
      <c r="O658" s="1005">
        <v>32</v>
      </c>
    </row>
    <row r="659" spans="1:15" collapsed="1" x14ac:dyDescent="0.2">
      <c r="A659"/>
      <c r="B659" s="1002">
        <v>74</v>
      </c>
      <c r="C659" s="1003"/>
      <c r="D659" s="1003">
        <v>6</v>
      </c>
      <c r="E659" s="1003">
        <v>10</v>
      </c>
      <c r="F659" s="1003"/>
      <c r="G659" s="1003"/>
      <c r="H659" s="1003"/>
      <c r="I659" s="1003"/>
      <c r="J659" s="1003"/>
      <c r="K659" s="1003">
        <f t="shared" si="10"/>
        <v>16</v>
      </c>
      <c r="L659" s="1004"/>
      <c r="M659" s="1003"/>
      <c r="N659" s="1003"/>
      <c r="O659" s="1005">
        <v>32</v>
      </c>
    </row>
    <row r="660" spans="1:15" collapsed="1" x14ac:dyDescent="0.2">
      <c r="A660"/>
      <c r="B660" s="1002">
        <v>74</v>
      </c>
      <c r="C660" s="1003"/>
      <c r="D660" s="1003">
        <v>2</v>
      </c>
      <c r="E660" s="1003">
        <v>13</v>
      </c>
      <c r="F660" s="1003"/>
      <c r="G660" s="1003"/>
      <c r="H660" s="1003"/>
      <c r="I660" s="1003"/>
      <c r="J660" s="1003"/>
      <c r="K660" s="1003">
        <f t="shared" si="10"/>
        <v>15</v>
      </c>
      <c r="L660" s="1004"/>
      <c r="M660" s="1003"/>
      <c r="N660" s="1003">
        <v>14</v>
      </c>
      <c r="O660" s="1005">
        <v>16</v>
      </c>
    </row>
    <row r="661" spans="1:15" x14ac:dyDescent="0.2">
      <c r="A661"/>
      <c r="B661" s="1002">
        <v>74</v>
      </c>
      <c r="C661" s="1003"/>
      <c r="D661" s="1003"/>
      <c r="E661" s="1003">
        <v>10</v>
      </c>
      <c r="F661" s="1003">
        <v>4</v>
      </c>
      <c r="G661" s="1003"/>
      <c r="H661" s="1003"/>
      <c r="I661" s="1003"/>
      <c r="J661" s="1003"/>
      <c r="K661" s="1003">
        <f t="shared" si="10"/>
        <v>14</v>
      </c>
      <c r="L661" s="1004"/>
      <c r="M661" s="1003"/>
      <c r="N661" s="1003">
        <v>12</v>
      </c>
      <c r="O661" s="1005">
        <v>16</v>
      </c>
    </row>
    <row r="662" spans="1:15" collapsed="1" x14ac:dyDescent="0.2">
      <c r="A662"/>
      <c r="B662" s="1002">
        <v>74</v>
      </c>
      <c r="C662" s="1003"/>
      <c r="D662" s="1003"/>
      <c r="E662" s="1003">
        <v>4</v>
      </c>
      <c r="F662" s="1003">
        <v>9</v>
      </c>
      <c r="G662" s="1003"/>
      <c r="H662" s="1003"/>
      <c r="I662" s="1003"/>
      <c r="J662" s="1003"/>
      <c r="K662" s="1003">
        <f t="shared" si="10"/>
        <v>13</v>
      </c>
      <c r="L662" s="1004"/>
      <c r="M662" s="1003"/>
      <c r="N662" s="1003">
        <v>10</v>
      </c>
      <c r="O662" s="1005">
        <v>16</v>
      </c>
    </row>
    <row r="663" spans="1:15" collapsed="1" x14ac:dyDescent="0.2">
      <c r="A663"/>
      <c r="B663" s="1002">
        <v>74</v>
      </c>
      <c r="C663" s="1003"/>
      <c r="D663" s="1003"/>
      <c r="E663" s="1003"/>
      <c r="F663" s="1003">
        <v>10</v>
      </c>
      <c r="G663" s="1003">
        <v>2</v>
      </c>
      <c r="H663" s="1003"/>
      <c r="I663" s="1003"/>
      <c r="J663" s="1003"/>
      <c r="K663" s="1003">
        <f t="shared" si="10"/>
        <v>12</v>
      </c>
      <c r="L663" s="1004"/>
      <c r="M663" s="1003"/>
      <c r="N663" s="1003">
        <v>8</v>
      </c>
      <c r="O663" s="1005">
        <v>16</v>
      </c>
    </row>
    <row r="664" spans="1:15" x14ac:dyDescent="0.2">
      <c r="A664"/>
      <c r="B664" s="1002">
        <v>74</v>
      </c>
      <c r="C664" s="1003"/>
      <c r="D664" s="1003"/>
      <c r="E664" s="1003"/>
      <c r="F664" s="1003">
        <v>3</v>
      </c>
      <c r="G664" s="1003">
        <v>8</v>
      </c>
      <c r="H664" s="1003"/>
      <c r="I664" s="1003"/>
      <c r="J664" s="1003"/>
      <c r="K664" s="1003">
        <f t="shared" si="10"/>
        <v>11</v>
      </c>
      <c r="L664" s="1004"/>
      <c r="M664" s="1003"/>
      <c r="N664" s="1003">
        <v>6</v>
      </c>
      <c r="O664" s="1005">
        <v>16</v>
      </c>
    </row>
    <row r="665" spans="1:15" collapsed="1" x14ac:dyDescent="0.2">
      <c r="A665"/>
      <c r="B665" s="1002">
        <v>74</v>
      </c>
      <c r="C665" s="1003"/>
      <c r="D665" s="1003"/>
      <c r="E665" s="1003"/>
      <c r="F665" s="1003"/>
      <c r="G665" s="1003">
        <v>6</v>
      </c>
      <c r="H665" s="1003">
        <v>4</v>
      </c>
      <c r="I665" s="1003"/>
      <c r="J665" s="1003"/>
      <c r="K665" s="1003">
        <f t="shared" si="10"/>
        <v>10</v>
      </c>
      <c r="L665" s="1004"/>
      <c r="M665" s="1003"/>
      <c r="N665" s="1003">
        <v>4</v>
      </c>
      <c r="O665" s="1005">
        <v>16</v>
      </c>
    </row>
    <row r="666" spans="1:15" collapsed="1" x14ac:dyDescent="0.2">
      <c r="A666"/>
      <c r="B666" s="1002">
        <v>74</v>
      </c>
      <c r="C666" s="1003"/>
      <c r="D666" s="1003"/>
      <c r="E666" s="1003"/>
      <c r="F666" s="1003"/>
      <c r="G666" s="1003"/>
      <c r="H666" s="1003">
        <v>7</v>
      </c>
      <c r="I666" s="1003">
        <v>2</v>
      </c>
      <c r="J666" s="1003"/>
      <c r="K666" s="1003">
        <f t="shared" si="10"/>
        <v>9</v>
      </c>
      <c r="L666" s="1004"/>
      <c r="M666" s="1003"/>
      <c r="N666" s="1003">
        <v>2</v>
      </c>
      <c r="O666" s="1005">
        <v>16</v>
      </c>
    </row>
    <row r="667" spans="1:15" x14ac:dyDescent="0.2">
      <c r="A667"/>
      <c r="B667" s="1002">
        <v>74</v>
      </c>
      <c r="C667" s="1003"/>
      <c r="D667" s="1003"/>
      <c r="E667" s="1003"/>
      <c r="F667" s="1003"/>
      <c r="G667" s="1003"/>
      <c r="H667" s="1003"/>
      <c r="I667" s="1003">
        <v>6</v>
      </c>
      <c r="J667" s="1003">
        <v>2</v>
      </c>
      <c r="K667" s="1003">
        <f t="shared" si="10"/>
        <v>8</v>
      </c>
      <c r="L667" s="1004"/>
      <c r="M667" s="1003"/>
      <c r="N667" s="1003"/>
      <c r="O667" s="1005">
        <v>16</v>
      </c>
    </row>
    <row r="668" spans="1:15" collapsed="1" x14ac:dyDescent="0.2">
      <c r="A668"/>
      <c r="B668" s="1002">
        <v>75</v>
      </c>
      <c r="C668" s="1003">
        <v>25</v>
      </c>
      <c r="D668" s="1003"/>
      <c r="E668" s="1003"/>
      <c r="F668" s="1003"/>
      <c r="G668" s="1003"/>
      <c r="H668" s="1003"/>
      <c r="I668" s="1003"/>
      <c r="J668" s="1003"/>
      <c r="K668" s="1003">
        <f t="shared" si="10"/>
        <v>25</v>
      </c>
      <c r="L668" s="1004"/>
      <c r="M668" s="1003"/>
      <c r="N668" s="1003">
        <v>18</v>
      </c>
      <c r="O668" s="1005">
        <v>32</v>
      </c>
    </row>
    <row r="669" spans="1:15" collapsed="1" x14ac:dyDescent="0.2">
      <c r="A669"/>
      <c r="B669" s="1002">
        <v>75</v>
      </c>
      <c r="C669" s="1003">
        <v>21</v>
      </c>
      <c r="D669" s="1003">
        <v>3</v>
      </c>
      <c r="E669" s="1003"/>
      <c r="F669" s="1003"/>
      <c r="G669" s="1003"/>
      <c r="H669" s="1003"/>
      <c r="I669" s="1003"/>
      <c r="J669" s="1003"/>
      <c r="K669" s="1003">
        <f t="shared" si="10"/>
        <v>24</v>
      </c>
      <c r="L669" s="1004"/>
      <c r="M669" s="1003"/>
      <c r="N669" s="1003">
        <v>16</v>
      </c>
      <c r="O669" s="1005">
        <v>32</v>
      </c>
    </row>
    <row r="670" spans="1:15" collapsed="1" x14ac:dyDescent="0.2">
      <c r="A670"/>
      <c r="B670" s="1002">
        <v>75</v>
      </c>
      <c r="C670" s="1003">
        <v>17</v>
      </c>
      <c r="D670" s="1003">
        <v>6</v>
      </c>
      <c r="E670" s="1003"/>
      <c r="F670" s="1003"/>
      <c r="G670" s="1003"/>
      <c r="H670" s="1003"/>
      <c r="I670" s="1003"/>
      <c r="J670" s="1003"/>
      <c r="K670" s="1003">
        <f t="shared" si="10"/>
        <v>23</v>
      </c>
      <c r="L670" s="1004"/>
      <c r="M670" s="1003"/>
      <c r="N670" s="1003">
        <v>14</v>
      </c>
      <c r="O670" s="1005">
        <v>32</v>
      </c>
    </row>
    <row r="671" spans="1:15" collapsed="1" x14ac:dyDescent="0.2">
      <c r="A671"/>
      <c r="B671" s="1002">
        <v>75</v>
      </c>
      <c r="C671" s="1003">
        <v>13</v>
      </c>
      <c r="D671" s="1003">
        <v>9</v>
      </c>
      <c r="E671" s="1003"/>
      <c r="F671" s="1003"/>
      <c r="G671" s="1003"/>
      <c r="H671" s="1003"/>
      <c r="I671" s="1003"/>
      <c r="J671" s="1003"/>
      <c r="K671" s="1003">
        <f t="shared" si="10"/>
        <v>22</v>
      </c>
      <c r="L671" s="1004"/>
      <c r="M671" s="1003"/>
      <c r="N671" s="1003">
        <v>12</v>
      </c>
      <c r="O671" s="1005">
        <v>32</v>
      </c>
    </row>
    <row r="672" spans="1:15" collapsed="1" x14ac:dyDescent="0.2">
      <c r="A672"/>
      <c r="B672" s="1002">
        <v>75</v>
      </c>
      <c r="C672" s="1003">
        <v>9</v>
      </c>
      <c r="D672" s="1003">
        <v>12</v>
      </c>
      <c r="E672" s="1003"/>
      <c r="F672" s="1003"/>
      <c r="G672" s="1003"/>
      <c r="H672" s="1003"/>
      <c r="I672" s="1003"/>
      <c r="J672" s="1003"/>
      <c r="K672" s="1003">
        <f t="shared" si="10"/>
        <v>21</v>
      </c>
      <c r="L672" s="1004"/>
      <c r="M672" s="1003"/>
      <c r="N672" s="1003">
        <v>10</v>
      </c>
      <c r="O672" s="1005">
        <v>32</v>
      </c>
    </row>
    <row r="673" spans="1:15" collapsed="1" x14ac:dyDescent="0.2">
      <c r="A673"/>
      <c r="B673" s="1002">
        <v>75</v>
      </c>
      <c r="C673" s="1003">
        <v>5</v>
      </c>
      <c r="D673" s="1003">
        <v>15</v>
      </c>
      <c r="E673" s="1003"/>
      <c r="F673" s="1003"/>
      <c r="G673" s="1003"/>
      <c r="H673" s="1003"/>
      <c r="I673" s="1003"/>
      <c r="J673" s="1003"/>
      <c r="K673" s="1003">
        <f t="shared" si="10"/>
        <v>20</v>
      </c>
      <c r="L673" s="1004"/>
      <c r="M673" s="1003"/>
      <c r="N673" s="1003">
        <v>8</v>
      </c>
      <c r="O673" s="1005">
        <v>32</v>
      </c>
    </row>
    <row r="674" spans="1:15" collapsed="1" x14ac:dyDescent="0.2">
      <c r="A674"/>
      <c r="B674" s="1002">
        <v>75</v>
      </c>
      <c r="C674" s="1003">
        <v>1</v>
      </c>
      <c r="D674" s="1003">
        <v>18</v>
      </c>
      <c r="E674" s="1003"/>
      <c r="F674" s="1003"/>
      <c r="G674" s="1003"/>
      <c r="H674" s="1003"/>
      <c r="I674" s="1003"/>
      <c r="J674" s="1003"/>
      <c r="K674" s="1003">
        <f t="shared" si="10"/>
        <v>19</v>
      </c>
      <c r="L674" s="1004"/>
      <c r="M674" s="1003"/>
      <c r="N674" s="1003">
        <v>6</v>
      </c>
      <c r="O674" s="1005">
        <v>32</v>
      </c>
    </row>
    <row r="675" spans="1:15" collapsed="1" x14ac:dyDescent="0.2">
      <c r="A675"/>
      <c r="B675" s="1002">
        <v>75</v>
      </c>
      <c r="C675" s="1003"/>
      <c r="D675" s="1003">
        <v>15</v>
      </c>
      <c r="E675" s="1003">
        <v>3</v>
      </c>
      <c r="F675" s="1003"/>
      <c r="G675" s="1003"/>
      <c r="H675" s="1003"/>
      <c r="I675" s="1003"/>
      <c r="J675" s="1003"/>
      <c r="K675" s="1003">
        <f t="shared" si="10"/>
        <v>18</v>
      </c>
      <c r="L675" s="1004"/>
      <c r="M675" s="1003"/>
      <c r="N675" s="1003">
        <v>4</v>
      </c>
      <c r="O675" s="1005">
        <v>32</v>
      </c>
    </row>
    <row r="676" spans="1:15" collapsed="1" x14ac:dyDescent="0.2">
      <c r="A676"/>
      <c r="B676" s="1002">
        <v>75</v>
      </c>
      <c r="C676" s="1003"/>
      <c r="D676" s="1003">
        <v>10</v>
      </c>
      <c r="E676" s="1003">
        <v>7</v>
      </c>
      <c r="F676" s="1003"/>
      <c r="G676" s="1003"/>
      <c r="H676" s="1003"/>
      <c r="I676" s="1003"/>
      <c r="J676" s="1003"/>
      <c r="K676" s="1003">
        <f t="shared" si="10"/>
        <v>17</v>
      </c>
      <c r="L676" s="1004"/>
      <c r="M676" s="1003"/>
      <c r="N676" s="1003">
        <v>2</v>
      </c>
      <c r="O676" s="1005">
        <v>32</v>
      </c>
    </row>
    <row r="677" spans="1:15" collapsed="1" x14ac:dyDescent="0.2">
      <c r="A677"/>
      <c r="B677" s="1002">
        <v>75</v>
      </c>
      <c r="C677" s="1003"/>
      <c r="D677" s="1003">
        <v>5</v>
      </c>
      <c r="E677" s="1003">
        <v>11</v>
      </c>
      <c r="F677" s="1003"/>
      <c r="G677" s="1003"/>
      <c r="H677" s="1003"/>
      <c r="I677" s="1003"/>
      <c r="J677" s="1003"/>
      <c r="K677" s="1003">
        <f t="shared" si="10"/>
        <v>16</v>
      </c>
      <c r="L677" s="1004"/>
      <c r="M677" s="1003"/>
      <c r="N677" s="1003"/>
      <c r="O677" s="1005">
        <v>32</v>
      </c>
    </row>
    <row r="678" spans="1:15" collapsed="1" x14ac:dyDescent="0.2">
      <c r="A678"/>
      <c r="B678" s="1002">
        <v>75</v>
      </c>
      <c r="C678" s="1003"/>
      <c r="D678" s="1003">
        <v>1</v>
      </c>
      <c r="E678" s="1003">
        <v>14</v>
      </c>
      <c r="F678" s="1003"/>
      <c r="G678" s="1003"/>
      <c r="H678" s="1003"/>
      <c r="I678" s="1003"/>
      <c r="J678" s="1003"/>
      <c r="K678" s="1003">
        <f t="shared" si="10"/>
        <v>15</v>
      </c>
      <c r="L678" s="1004"/>
      <c r="M678" s="1003"/>
      <c r="N678" s="1003">
        <v>14</v>
      </c>
      <c r="O678" s="1005">
        <v>16</v>
      </c>
    </row>
    <row r="679" spans="1:15" x14ac:dyDescent="0.2">
      <c r="A679"/>
      <c r="B679" s="1002">
        <v>75</v>
      </c>
      <c r="C679" s="1003"/>
      <c r="D679" s="1003"/>
      <c r="E679" s="1003">
        <v>9</v>
      </c>
      <c r="F679" s="1003">
        <v>5</v>
      </c>
      <c r="G679" s="1003"/>
      <c r="H679" s="1003"/>
      <c r="I679" s="1003"/>
      <c r="J679" s="1003"/>
      <c r="K679" s="1003">
        <f t="shared" si="10"/>
        <v>14</v>
      </c>
      <c r="L679" s="1004"/>
      <c r="M679" s="1003"/>
      <c r="N679" s="1003">
        <v>12</v>
      </c>
      <c r="O679" s="1005">
        <v>16</v>
      </c>
    </row>
    <row r="680" spans="1:15" collapsed="1" x14ac:dyDescent="0.2">
      <c r="A680"/>
      <c r="B680" s="1002">
        <v>75</v>
      </c>
      <c r="C680" s="1003"/>
      <c r="D680" s="1003"/>
      <c r="E680" s="1003">
        <v>3</v>
      </c>
      <c r="F680" s="1003">
        <v>10</v>
      </c>
      <c r="G680" s="1003"/>
      <c r="H680" s="1003"/>
      <c r="I680" s="1003"/>
      <c r="J680" s="1003"/>
      <c r="K680" s="1003">
        <f t="shared" si="10"/>
        <v>13</v>
      </c>
      <c r="L680" s="1004"/>
      <c r="M680" s="1003"/>
      <c r="N680" s="1003">
        <v>10</v>
      </c>
      <c r="O680" s="1005">
        <v>16</v>
      </c>
    </row>
    <row r="681" spans="1:15" collapsed="1" x14ac:dyDescent="0.2">
      <c r="A681"/>
      <c r="B681" s="1002">
        <v>75</v>
      </c>
      <c r="C681" s="1003"/>
      <c r="D681" s="1003"/>
      <c r="E681" s="1003"/>
      <c r="F681" s="1003">
        <v>9</v>
      </c>
      <c r="G681" s="1003">
        <v>3</v>
      </c>
      <c r="H681" s="1003"/>
      <c r="I681" s="1003"/>
      <c r="J681" s="1003"/>
      <c r="K681" s="1003">
        <f t="shared" si="10"/>
        <v>12</v>
      </c>
      <c r="L681" s="1004"/>
      <c r="M681" s="1003"/>
      <c r="N681" s="1003">
        <v>8</v>
      </c>
      <c r="O681" s="1005">
        <v>16</v>
      </c>
    </row>
    <row r="682" spans="1:15" x14ac:dyDescent="0.2">
      <c r="A682"/>
      <c r="B682" s="1002">
        <v>75</v>
      </c>
      <c r="C682" s="1003"/>
      <c r="D682" s="1003"/>
      <c r="E682" s="1003"/>
      <c r="F682" s="1003">
        <v>2</v>
      </c>
      <c r="G682" s="1003">
        <v>9</v>
      </c>
      <c r="H682" s="1003"/>
      <c r="I682" s="1003"/>
      <c r="J682" s="1003"/>
      <c r="K682" s="1003">
        <f t="shared" si="10"/>
        <v>11</v>
      </c>
      <c r="L682" s="1004"/>
      <c r="M682" s="1003"/>
      <c r="N682" s="1003">
        <v>6</v>
      </c>
      <c r="O682" s="1005">
        <v>16</v>
      </c>
    </row>
    <row r="683" spans="1:15" collapsed="1" x14ac:dyDescent="0.2">
      <c r="A683"/>
      <c r="B683" s="1002">
        <v>75</v>
      </c>
      <c r="C683" s="1003"/>
      <c r="D683" s="1003"/>
      <c r="E683" s="1003"/>
      <c r="F683" s="1003"/>
      <c r="G683" s="1003">
        <v>5</v>
      </c>
      <c r="H683" s="1003">
        <v>5</v>
      </c>
      <c r="I683" s="1003"/>
      <c r="J683" s="1003"/>
      <c r="K683" s="1003">
        <f t="shared" si="10"/>
        <v>10</v>
      </c>
      <c r="L683" s="1004"/>
      <c r="M683" s="1003"/>
      <c r="N683" s="1003">
        <v>4</v>
      </c>
      <c r="O683" s="1005">
        <v>16</v>
      </c>
    </row>
    <row r="684" spans="1:15" collapsed="1" x14ac:dyDescent="0.2">
      <c r="A684"/>
      <c r="B684" s="1002">
        <v>75</v>
      </c>
      <c r="C684" s="1003"/>
      <c r="D684" s="1003"/>
      <c r="E684" s="1003"/>
      <c r="F684" s="1003"/>
      <c r="G684" s="1003"/>
      <c r="H684" s="1003">
        <v>6</v>
      </c>
      <c r="I684" s="1003">
        <v>3</v>
      </c>
      <c r="J684" s="1003"/>
      <c r="K684" s="1003">
        <f t="shared" si="10"/>
        <v>9</v>
      </c>
      <c r="L684" s="1004"/>
      <c r="M684" s="1003"/>
      <c r="N684" s="1003">
        <v>2</v>
      </c>
      <c r="O684" s="1005">
        <v>16</v>
      </c>
    </row>
    <row r="685" spans="1:15" x14ac:dyDescent="0.2">
      <c r="A685"/>
      <c r="B685" s="1002">
        <v>75</v>
      </c>
      <c r="C685" s="1003"/>
      <c r="D685" s="1003"/>
      <c r="E685" s="1003"/>
      <c r="F685" s="1003"/>
      <c r="G685" s="1003"/>
      <c r="H685" s="1003"/>
      <c r="I685" s="1003">
        <v>5</v>
      </c>
      <c r="J685" s="1003">
        <v>3</v>
      </c>
      <c r="K685" s="1003">
        <f t="shared" si="10"/>
        <v>8</v>
      </c>
      <c r="L685" s="1004"/>
      <c r="M685" s="1003"/>
      <c r="N685" s="1003"/>
      <c r="O685" s="1005">
        <v>16</v>
      </c>
    </row>
    <row r="686" spans="1:15" collapsed="1" x14ac:dyDescent="0.2">
      <c r="A686"/>
      <c r="B686" s="1002">
        <v>76</v>
      </c>
      <c r="C686" s="1003">
        <v>24</v>
      </c>
      <c r="D686" s="1003">
        <v>1</v>
      </c>
      <c r="E686" s="1003"/>
      <c r="F686" s="1003"/>
      <c r="G686" s="1003"/>
      <c r="H686" s="1003"/>
      <c r="I686" s="1003"/>
      <c r="J686" s="1003"/>
      <c r="K686" s="1003">
        <f t="shared" si="10"/>
        <v>25</v>
      </c>
      <c r="L686" s="1004"/>
      <c r="M686" s="1003"/>
      <c r="N686" s="1003">
        <v>18</v>
      </c>
      <c r="O686" s="1005">
        <v>32</v>
      </c>
    </row>
    <row r="687" spans="1:15" collapsed="1" x14ac:dyDescent="0.2">
      <c r="A687"/>
      <c r="B687" s="1002">
        <v>76</v>
      </c>
      <c r="C687" s="1003">
        <v>20</v>
      </c>
      <c r="D687" s="1003">
        <v>4</v>
      </c>
      <c r="E687" s="1003"/>
      <c r="F687" s="1003"/>
      <c r="G687" s="1003"/>
      <c r="H687" s="1003"/>
      <c r="I687" s="1003"/>
      <c r="J687" s="1003"/>
      <c r="K687" s="1003">
        <f t="shared" si="10"/>
        <v>24</v>
      </c>
      <c r="L687" s="1004"/>
      <c r="M687" s="1003"/>
      <c r="N687" s="1003">
        <v>16</v>
      </c>
      <c r="O687" s="1005">
        <v>32</v>
      </c>
    </row>
    <row r="688" spans="1:15" collapsed="1" x14ac:dyDescent="0.2">
      <c r="A688"/>
      <c r="B688" s="1002">
        <v>76</v>
      </c>
      <c r="C688" s="1003">
        <v>16</v>
      </c>
      <c r="D688" s="1003">
        <v>7</v>
      </c>
      <c r="E688" s="1003"/>
      <c r="F688" s="1003"/>
      <c r="G688" s="1003"/>
      <c r="H688" s="1003"/>
      <c r="I688" s="1003"/>
      <c r="J688" s="1003"/>
      <c r="K688" s="1003">
        <f t="shared" si="10"/>
        <v>23</v>
      </c>
      <c r="L688" s="1004"/>
      <c r="M688" s="1003"/>
      <c r="N688" s="1003">
        <v>14</v>
      </c>
      <c r="O688" s="1005">
        <v>32</v>
      </c>
    </row>
    <row r="689" spans="1:15" collapsed="1" x14ac:dyDescent="0.2">
      <c r="A689"/>
      <c r="B689" s="1002">
        <v>76</v>
      </c>
      <c r="C689" s="1003">
        <v>12</v>
      </c>
      <c r="D689" s="1003">
        <v>10</v>
      </c>
      <c r="E689" s="1003"/>
      <c r="F689" s="1003"/>
      <c r="G689" s="1003"/>
      <c r="H689" s="1003"/>
      <c r="I689" s="1003"/>
      <c r="J689" s="1003"/>
      <c r="K689" s="1003">
        <f t="shared" si="10"/>
        <v>22</v>
      </c>
      <c r="L689" s="1004"/>
      <c r="M689" s="1003"/>
      <c r="N689" s="1003">
        <v>12</v>
      </c>
      <c r="O689" s="1005">
        <v>32</v>
      </c>
    </row>
    <row r="690" spans="1:15" collapsed="1" x14ac:dyDescent="0.2">
      <c r="A690"/>
      <c r="B690" s="1002">
        <v>76</v>
      </c>
      <c r="C690" s="1003">
        <v>8</v>
      </c>
      <c r="D690" s="1003">
        <v>13</v>
      </c>
      <c r="E690" s="1003"/>
      <c r="F690" s="1003"/>
      <c r="G690" s="1003"/>
      <c r="H690" s="1003"/>
      <c r="I690" s="1003"/>
      <c r="J690" s="1003"/>
      <c r="K690" s="1003">
        <f t="shared" si="10"/>
        <v>21</v>
      </c>
      <c r="L690" s="1004"/>
      <c r="M690" s="1003"/>
      <c r="N690" s="1003">
        <v>10</v>
      </c>
      <c r="O690" s="1005">
        <v>32</v>
      </c>
    </row>
    <row r="691" spans="1:15" collapsed="1" x14ac:dyDescent="0.2">
      <c r="A691"/>
      <c r="B691" s="1002">
        <v>76</v>
      </c>
      <c r="C691" s="1003">
        <v>4</v>
      </c>
      <c r="D691" s="1003">
        <v>16</v>
      </c>
      <c r="E691" s="1003"/>
      <c r="F691" s="1003"/>
      <c r="G691" s="1003"/>
      <c r="H691" s="1003"/>
      <c r="I691" s="1003"/>
      <c r="J691" s="1003"/>
      <c r="K691" s="1003">
        <f t="shared" si="10"/>
        <v>20</v>
      </c>
      <c r="L691" s="1004"/>
      <c r="M691" s="1003"/>
      <c r="N691" s="1003">
        <v>8</v>
      </c>
      <c r="O691" s="1005">
        <v>32</v>
      </c>
    </row>
    <row r="692" spans="1:15" collapsed="1" x14ac:dyDescent="0.2">
      <c r="A692"/>
      <c r="B692" s="1002">
        <v>76</v>
      </c>
      <c r="C692" s="1003"/>
      <c r="D692" s="1003">
        <v>19</v>
      </c>
      <c r="E692" s="1003"/>
      <c r="F692" s="1003"/>
      <c r="G692" s="1003"/>
      <c r="H692" s="1003"/>
      <c r="I692" s="1003"/>
      <c r="J692" s="1003"/>
      <c r="K692" s="1003">
        <f t="shared" si="10"/>
        <v>19</v>
      </c>
      <c r="L692" s="1004"/>
      <c r="M692" s="1003"/>
      <c r="N692" s="1003">
        <v>6</v>
      </c>
      <c r="O692" s="1005">
        <v>32</v>
      </c>
    </row>
    <row r="693" spans="1:15" collapsed="1" x14ac:dyDescent="0.2">
      <c r="A693"/>
      <c r="B693" s="1002">
        <v>76</v>
      </c>
      <c r="C693" s="1003"/>
      <c r="D693" s="1003">
        <v>14</v>
      </c>
      <c r="E693" s="1003">
        <v>4</v>
      </c>
      <c r="F693" s="1003"/>
      <c r="G693" s="1003"/>
      <c r="H693" s="1003"/>
      <c r="I693" s="1003"/>
      <c r="J693" s="1003"/>
      <c r="K693" s="1003">
        <f t="shared" si="10"/>
        <v>18</v>
      </c>
      <c r="L693" s="1004"/>
      <c r="M693" s="1003"/>
      <c r="N693" s="1003">
        <v>4</v>
      </c>
      <c r="O693" s="1005">
        <v>32</v>
      </c>
    </row>
    <row r="694" spans="1:15" collapsed="1" x14ac:dyDescent="0.2">
      <c r="A694"/>
      <c r="B694" s="1002">
        <v>76</v>
      </c>
      <c r="C694" s="1003"/>
      <c r="D694" s="1003">
        <v>9</v>
      </c>
      <c r="E694" s="1003">
        <v>8</v>
      </c>
      <c r="F694" s="1003"/>
      <c r="G694" s="1003"/>
      <c r="H694" s="1003"/>
      <c r="I694" s="1003"/>
      <c r="J694" s="1003"/>
      <c r="K694" s="1003">
        <f t="shared" si="10"/>
        <v>17</v>
      </c>
      <c r="L694" s="1004"/>
      <c r="M694" s="1003"/>
      <c r="N694" s="1003">
        <v>2</v>
      </c>
      <c r="O694" s="1005">
        <v>32</v>
      </c>
    </row>
    <row r="695" spans="1:15" collapsed="1" x14ac:dyDescent="0.2">
      <c r="A695"/>
      <c r="B695" s="1002">
        <v>76</v>
      </c>
      <c r="C695" s="1003"/>
      <c r="D695" s="1003">
        <v>4</v>
      </c>
      <c r="E695" s="1003">
        <v>12</v>
      </c>
      <c r="F695" s="1003"/>
      <c r="G695" s="1003"/>
      <c r="H695" s="1003"/>
      <c r="I695" s="1003"/>
      <c r="J695" s="1003"/>
      <c r="K695" s="1003">
        <f t="shared" si="10"/>
        <v>16</v>
      </c>
      <c r="L695" s="1004"/>
      <c r="M695" s="1003"/>
      <c r="N695" s="1003"/>
      <c r="O695" s="1005">
        <v>32</v>
      </c>
    </row>
    <row r="696" spans="1:15" collapsed="1" x14ac:dyDescent="0.2">
      <c r="A696"/>
      <c r="B696" s="1002">
        <v>76</v>
      </c>
      <c r="C696" s="1003"/>
      <c r="D696" s="1003"/>
      <c r="E696" s="1003">
        <v>15</v>
      </c>
      <c r="F696" s="1003"/>
      <c r="G696" s="1003"/>
      <c r="H696" s="1003"/>
      <c r="I696" s="1003"/>
      <c r="J696" s="1003"/>
      <c r="K696" s="1003">
        <f t="shared" si="10"/>
        <v>15</v>
      </c>
      <c r="L696" s="1004"/>
      <c r="M696" s="1003"/>
      <c r="N696" s="1003">
        <v>14</v>
      </c>
      <c r="O696" s="1005">
        <v>16</v>
      </c>
    </row>
    <row r="697" spans="1:15" x14ac:dyDescent="0.2">
      <c r="A697"/>
      <c r="B697" s="1002">
        <v>76</v>
      </c>
      <c r="C697" s="1003"/>
      <c r="D697" s="1003"/>
      <c r="E697" s="1003">
        <v>8</v>
      </c>
      <c r="F697" s="1003">
        <v>6</v>
      </c>
      <c r="G697" s="1003"/>
      <c r="H697" s="1003"/>
      <c r="I697" s="1003"/>
      <c r="J697" s="1003"/>
      <c r="K697" s="1003">
        <f t="shared" si="10"/>
        <v>14</v>
      </c>
      <c r="L697" s="1004"/>
      <c r="M697" s="1003"/>
      <c r="N697" s="1003">
        <v>12</v>
      </c>
      <c r="O697" s="1005">
        <v>16</v>
      </c>
    </row>
    <row r="698" spans="1:15" collapsed="1" x14ac:dyDescent="0.2">
      <c r="A698"/>
      <c r="B698" s="1002">
        <v>76</v>
      </c>
      <c r="C698" s="1003"/>
      <c r="D698" s="1003"/>
      <c r="E698" s="1003">
        <v>2</v>
      </c>
      <c r="F698" s="1003">
        <v>11</v>
      </c>
      <c r="G698" s="1003"/>
      <c r="H698" s="1003"/>
      <c r="I698" s="1003"/>
      <c r="J698" s="1003"/>
      <c r="K698" s="1003">
        <f t="shared" si="10"/>
        <v>13</v>
      </c>
      <c r="L698" s="1004"/>
      <c r="M698" s="1003"/>
      <c r="N698" s="1003">
        <v>10</v>
      </c>
      <c r="O698" s="1005">
        <v>16</v>
      </c>
    </row>
    <row r="699" spans="1:15" collapsed="1" x14ac:dyDescent="0.2">
      <c r="A699"/>
      <c r="B699" s="1002">
        <v>76</v>
      </c>
      <c r="C699" s="1003"/>
      <c r="D699" s="1003"/>
      <c r="E699" s="1003"/>
      <c r="F699" s="1003">
        <v>8</v>
      </c>
      <c r="G699" s="1003">
        <v>4</v>
      </c>
      <c r="H699" s="1003"/>
      <c r="I699" s="1003"/>
      <c r="J699" s="1003"/>
      <c r="K699" s="1003">
        <f t="shared" si="10"/>
        <v>12</v>
      </c>
      <c r="L699" s="1004"/>
      <c r="M699" s="1003"/>
      <c r="N699" s="1003">
        <v>8</v>
      </c>
      <c r="O699" s="1005">
        <v>16</v>
      </c>
    </row>
    <row r="700" spans="1:15" x14ac:dyDescent="0.2">
      <c r="A700"/>
      <c r="B700" s="1002">
        <v>76</v>
      </c>
      <c r="C700" s="1003"/>
      <c r="D700" s="1003"/>
      <c r="E700" s="1003"/>
      <c r="F700" s="1003">
        <v>1</v>
      </c>
      <c r="G700" s="1003">
        <v>10</v>
      </c>
      <c r="H700" s="1003"/>
      <c r="I700" s="1003"/>
      <c r="J700" s="1003"/>
      <c r="K700" s="1003">
        <f t="shared" si="10"/>
        <v>11</v>
      </c>
      <c r="L700" s="1004"/>
      <c r="M700" s="1003"/>
      <c r="N700" s="1003">
        <v>6</v>
      </c>
      <c r="O700" s="1005">
        <v>16</v>
      </c>
    </row>
    <row r="701" spans="1:15" collapsed="1" x14ac:dyDescent="0.2">
      <c r="A701"/>
      <c r="B701" s="1002">
        <v>76</v>
      </c>
      <c r="C701" s="1003"/>
      <c r="D701" s="1003"/>
      <c r="E701" s="1003"/>
      <c r="F701" s="1003"/>
      <c r="G701" s="1003">
        <v>4</v>
      </c>
      <c r="H701" s="1003">
        <v>6</v>
      </c>
      <c r="I701" s="1003"/>
      <c r="J701" s="1003"/>
      <c r="K701" s="1003">
        <f t="shared" si="10"/>
        <v>10</v>
      </c>
      <c r="L701" s="1004"/>
      <c r="M701" s="1003"/>
      <c r="N701" s="1003">
        <v>4</v>
      </c>
      <c r="O701" s="1005">
        <v>16</v>
      </c>
    </row>
    <row r="702" spans="1:15" collapsed="1" x14ac:dyDescent="0.2">
      <c r="A702"/>
      <c r="B702" s="1002">
        <v>76</v>
      </c>
      <c r="C702" s="1003"/>
      <c r="D702" s="1003"/>
      <c r="E702" s="1003"/>
      <c r="F702" s="1003"/>
      <c r="G702" s="1003"/>
      <c r="H702" s="1003">
        <v>5</v>
      </c>
      <c r="I702" s="1003">
        <v>4</v>
      </c>
      <c r="J702" s="1003"/>
      <c r="K702" s="1003">
        <f t="shared" si="10"/>
        <v>9</v>
      </c>
      <c r="L702" s="1004"/>
      <c r="M702" s="1003"/>
      <c r="N702" s="1003">
        <v>2</v>
      </c>
      <c r="O702" s="1005">
        <v>16</v>
      </c>
    </row>
    <row r="703" spans="1:15" x14ac:dyDescent="0.2">
      <c r="A703"/>
      <c r="B703" s="1002">
        <v>76</v>
      </c>
      <c r="C703" s="1003"/>
      <c r="D703" s="1003"/>
      <c r="E703" s="1003"/>
      <c r="F703" s="1003"/>
      <c r="G703" s="1003"/>
      <c r="H703" s="1003"/>
      <c r="I703" s="1003">
        <v>4</v>
      </c>
      <c r="J703" s="1003">
        <v>4</v>
      </c>
      <c r="K703" s="1003">
        <f t="shared" si="10"/>
        <v>8</v>
      </c>
      <c r="L703" s="1004"/>
      <c r="M703" s="1003"/>
      <c r="N703" s="1003"/>
      <c r="O703" s="1005">
        <v>16</v>
      </c>
    </row>
    <row r="704" spans="1:15" collapsed="1" x14ac:dyDescent="0.2">
      <c r="A704"/>
      <c r="B704" s="1002">
        <v>77</v>
      </c>
      <c r="C704" s="1003">
        <v>23</v>
      </c>
      <c r="D704" s="1003">
        <v>2</v>
      </c>
      <c r="E704" s="1003"/>
      <c r="F704" s="1003"/>
      <c r="G704" s="1003"/>
      <c r="H704" s="1003"/>
      <c r="I704" s="1003"/>
      <c r="J704" s="1003"/>
      <c r="K704" s="1003">
        <f t="shared" si="10"/>
        <v>25</v>
      </c>
      <c r="L704" s="1004"/>
      <c r="M704" s="1003"/>
      <c r="N704" s="1003">
        <v>18</v>
      </c>
      <c r="O704" s="1005">
        <v>32</v>
      </c>
    </row>
    <row r="705" spans="1:15" collapsed="1" x14ac:dyDescent="0.2">
      <c r="A705"/>
      <c r="B705" s="1002">
        <v>77</v>
      </c>
      <c r="C705" s="1003">
        <v>19</v>
      </c>
      <c r="D705" s="1003">
        <v>5</v>
      </c>
      <c r="E705" s="1003"/>
      <c r="F705" s="1003"/>
      <c r="G705" s="1003"/>
      <c r="H705" s="1003"/>
      <c r="I705" s="1003"/>
      <c r="J705" s="1003"/>
      <c r="K705" s="1003">
        <f t="shared" si="10"/>
        <v>24</v>
      </c>
      <c r="L705" s="1004"/>
      <c r="M705" s="1003"/>
      <c r="N705" s="1003">
        <v>16</v>
      </c>
      <c r="O705" s="1005">
        <v>32</v>
      </c>
    </row>
    <row r="706" spans="1:15" collapsed="1" x14ac:dyDescent="0.2">
      <c r="A706"/>
      <c r="B706" s="1002">
        <v>77</v>
      </c>
      <c r="C706" s="1003">
        <v>15</v>
      </c>
      <c r="D706" s="1003">
        <v>8</v>
      </c>
      <c r="E706" s="1003"/>
      <c r="F706" s="1003"/>
      <c r="G706" s="1003"/>
      <c r="H706" s="1003"/>
      <c r="I706" s="1003"/>
      <c r="J706" s="1003"/>
      <c r="K706" s="1003">
        <f t="shared" si="10"/>
        <v>23</v>
      </c>
      <c r="L706" s="1004"/>
      <c r="M706" s="1003"/>
      <c r="N706" s="1003">
        <v>14</v>
      </c>
      <c r="O706" s="1005">
        <v>32</v>
      </c>
    </row>
    <row r="707" spans="1:15" collapsed="1" x14ac:dyDescent="0.2">
      <c r="A707"/>
      <c r="B707" s="1002">
        <v>77</v>
      </c>
      <c r="C707" s="1003">
        <v>11</v>
      </c>
      <c r="D707" s="1003">
        <v>11</v>
      </c>
      <c r="E707" s="1003"/>
      <c r="F707" s="1003"/>
      <c r="G707" s="1003"/>
      <c r="H707" s="1003"/>
      <c r="I707" s="1003"/>
      <c r="J707" s="1003"/>
      <c r="K707" s="1003">
        <f t="shared" si="10"/>
        <v>22</v>
      </c>
      <c r="L707" s="1004"/>
      <c r="M707" s="1003"/>
      <c r="N707" s="1003">
        <v>12</v>
      </c>
      <c r="O707" s="1005">
        <v>32</v>
      </c>
    </row>
    <row r="708" spans="1:15" collapsed="1" x14ac:dyDescent="0.2">
      <c r="A708"/>
      <c r="B708" s="1002">
        <v>77</v>
      </c>
      <c r="C708" s="1003">
        <v>7</v>
      </c>
      <c r="D708" s="1003">
        <v>14</v>
      </c>
      <c r="E708" s="1003"/>
      <c r="F708" s="1003"/>
      <c r="G708" s="1003"/>
      <c r="H708" s="1003"/>
      <c r="I708" s="1003"/>
      <c r="J708" s="1003"/>
      <c r="K708" s="1003">
        <f t="shared" si="10"/>
        <v>21</v>
      </c>
      <c r="L708" s="1004"/>
      <c r="M708" s="1003"/>
      <c r="N708" s="1003">
        <v>10</v>
      </c>
      <c r="O708" s="1005">
        <v>32</v>
      </c>
    </row>
    <row r="709" spans="1:15" collapsed="1" x14ac:dyDescent="0.2">
      <c r="A709"/>
      <c r="B709" s="1002">
        <v>77</v>
      </c>
      <c r="C709" s="1003">
        <v>3</v>
      </c>
      <c r="D709" s="1003">
        <v>17</v>
      </c>
      <c r="E709" s="1003"/>
      <c r="F709" s="1003"/>
      <c r="G709" s="1003"/>
      <c r="H709" s="1003"/>
      <c r="I709" s="1003"/>
      <c r="J709" s="1003"/>
      <c r="K709" s="1003">
        <f t="shared" si="10"/>
        <v>20</v>
      </c>
      <c r="L709" s="1004"/>
      <c r="M709" s="1003"/>
      <c r="N709" s="1003">
        <v>8</v>
      </c>
      <c r="O709" s="1005">
        <v>32</v>
      </c>
    </row>
    <row r="710" spans="1:15" collapsed="1" x14ac:dyDescent="0.2">
      <c r="A710"/>
      <c r="B710" s="1002">
        <v>77</v>
      </c>
      <c r="C710" s="1003"/>
      <c r="D710" s="1003">
        <v>18</v>
      </c>
      <c r="E710" s="1003">
        <v>1</v>
      </c>
      <c r="F710" s="1003"/>
      <c r="G710" s="1003"/>
      <c r="H710" s="1003"/>
      <c r="I710" s="1003"/>
      <c r="J710" s="1003"/>
      <c r="K710" s="1003">
        <f t="shared" ref="K710:K773" si="11">SUM(C710:J710)</f>
        <v>19</v>
      </c>
      <c r="L710" s="1004"/>
      <c r="M710" s="1003"/>
      <c r="N710" s="1003">
        <v>6</v>
      </c>
      <c r="O710" s="1005">
        <v>32</v>
      </c>
    </row>
    <row r="711" spans="1:15" collapsed="1" x14ac:dyDescent="0.2">
      <c r="A711"/>
      <c r="B711" s="1002">
        <v>77</v>
      </c>
      <c r="C711" s="1003"/>
      <c r="D711" s="1003">
        <v>13</v>
      </c>
      <c r="E711" s="1003">
        <v>5</v>
      </c>
      <c r="F711" s="1003"/>
      <c r="G711" s="1003"/>
      <c r="H711" s="1003"/>
      <c r="I711" s="1003"/>
      <c r="J711" s="1003"/>
      <c r="K711" s="1003">
        <f t="shared" si="11"/>
        <v>18</v>
      </c>
      <c r="L711" s="1004"/>
      <c r="M711" s="1003"/>
      <c r="N711" s="1003">
        <v>4</v>
      </c>
      <c r="O711" s="1005">
        <v>32</v>
      </c>
    </row>
    <row r="712" spans="1:15" collapsed="1" x14ac:dyDescent="0.2">
      <c r="A712"/>
      <c r="B712" s="1002">
        <v>77</v>
      </c>
      <c r="C712" s="1003"/>
      <c r="D712" s="1003">
        <v>8</v>
      </c>
      <c r="E712" s="1003">
        <v>9</v>
      </c>
      <c r="F712" s="1003"/>
      <c r="G712" s="1003"/>
      <c r="H712" s="1003"/>
      <c r="I712" s="1003"/>
      <c r="J712" s="1003"/>
      <c r="K712" s="1003">
        <f t="shared" si="11"/>
        <v>17</v>
      </c>
      <c r="L712" s="1004"/>
      <c r="M712" s="1003"/>
      <c r="N712" s="1003">
        <v>2</v>
      </c>
      <c r="O712" s="1005">
        <v>32</v>
      </c>
    </row>
    <row r="713" spans="1:15" collapsed="1" x14ac:dyDescent="0.2">
      <c r="A713"/>
      <c r="B713" s="1002">
        <v>77</v>
      </c>
      <c r="C713" s="1003"/>
      <c r="D713" s="1003">
        <v>3</v>
      </c>
      <c r="E713" s="1003">
        <v>13</v>
      </c>
      <c r="F713" s="1003"/>
      <c r="G713" s="1003"/>
      <c r="H713" s="1003"/>
      <c r="I713" s="1003"/>
      <c r="J713" s="1003"/>
      <c r="K713" s="1003">
        <f t="shared" si="11"/>
        <v>16</v>
      </c>
      <c r="L713" s="1004"/>
      <c r="M713" s="1003"/>
      <c r="N713" s="1003"/>
      <c r="O713" s="1005">
        <v>32</v>
      </c>
    </row>
    <row r="714" spans="1:15" collapsed="1" x14ac:dyDescent="0.2">
      <c r="A714"/>
      <c r="B714" s="1002">
        <v>77</v>
      </c>
      <c r="C714" s="1003"/>
      <c r="D714" s="1003"/>
      <c r="E714" s="1003">
        <v>14</v>
      </c>
      <c r="F714" s="1003">
        <v>1</v>
      </c>
      <c r="G714" s="1003"/>
      <c r="H714" s="1003"/>
      <c r="I714" s="1003"/>
      <c r="J714" s="1003"/>
      <c r="K714" s="1003">
        <f t="shared" si="11"/>
        <v>15</v>
      </c>
      <c r="L714" s="1004"/>
      <c r="M714" s="1003"/>
      <c r="N714" s="1003">
        <v>14</v>
      </c>
      <c r="O714" s="1005">
        <v>16</v>
      </c>
    </row>
    <row r="715" spans="1:15" x14ac:dyDescent="0.2">
      <c r="A715"/>
      <c r="B715" s="1002">
        <v>77</v>
      </c>
      <c r="C715" s="1003"/>
      <c r="D715" s="1003"/>
      <c r="E715" s="1003">
        <v>7</v>
      </c>
      <c r="F715" s="1003">
        <v>7</v>
      </c>
      <c r="G715" s="1003"/>
      <c r="H715" s="1003"/>
      <c r="I715" s="1003"/>
      <c r="J715" s="1003"/>
      <c r="K715" s="1003">
        <f t="shared" si="11"/>
        <v>14</v>
      </c>
      <c r="L715" s="1004"/>
      <c r="M715" s="1003"/>
      <c r="N715" s="1003">
        <v>12</v>
      </c>
      <c r="O715" s="1005">
        <v>16</v>
      </c>
    </row>
    <row r="716" spans="1:15" collapsed="1" x14ac:dyDescent="0.2">
      <c r="A716"/>
      <c r="B716" s="1002">
        <v>77</v>
      </c>
      <c r="C716" s="1003"/>
      <c r="D716" s="1003"/>
      <c r="E716" s="1003">
        <v>1</v>
      </c>
      <c r="F716" s="1003">
        <v>12</v>
      </c>
      <c r="G716" s="1003"/>
      <c r="H716" s="1003"/>
      <c r="I716" s="1003"/>
      <c r="J716" s="1003"/>
      <c r="K716" s="1003">
        <f t="shared" si="11"/>
        <v>13</v>
      </c>
      <c r="L716" s="1004"/>
      <c r="M716" s="1003"/>
      <c r="N716" s="1003">
        <v>10</v>
      </c>
      <c r="O716" s="1005">
        <v>16</v>
      </c>
    </row>
    <row r="717" spans="1:15" collapsed="1" x14ac:dyDescent="0.2">
      <c r="A717"/>
      <c r="B717" s="1002">
        <v>77</v>
      </c>
      <c r="C717" s="1003"/>
      <c r="D717" s="1003"/>
      <c r="E717" s="1003"/>
      <c r="F717" s="1003">
        <v>7</v>
      </c>
      <c r="G717" s="1003">
        <v>5</v>
      </c>
      <c r="H717" s="1003"/>
      <c r="I717" s="1003"/>
      <c r="J717" s="1003"/>
      <c r="K717" s="1003">
        <f t="shared" si="11"/>
        <v>12</v>
      </c>
      <c r="L717" s="1004"/>
      <c r="M717" s="1003"/>
      <c r="N717" s="1003">
        <v>8</v>
      </c>
      <c r="O717" s="1005">
        <v>16</v>
      </c>
    </row>
    <row r="718" spans="1:15" x14ac:dyDescent="0.2">
      <c r="A718"/>
      <c r="B718" s="1002">
        <v>77</v>
      </c>
      <c r="C718" s="1003"/>
      <c r="D718" s="1003"/>
      <c r="E718" s="1003"/>
      <c r="F718" s="1003"/>
      <c r="G718" s="1003">
        <v>11</v>
      </c>
      <c r="H718" s="1003"/>
      <c r="I718" s="1003"/>
      <c r="J718" s="1003"/>
      <c r="K718" s="1003">
        <f t="shared" si="11"/>
        <v>11</v>
      </c>
      <c r="L718" s="1004"/>
      <c r="M718" s="1003"/>
      <c r="N718" s="1003">
        <v>6</v>
      </c>
      <c r="O718" s="1005">
        <v>16</v>
      </c>
    </row>
    <row r="719" spans="1:15" collapsed="1" x14ac:dyDescent="0.2">
      <c r="A719"/>
      <c r="B719" s="1002">
        <v>77</v>
      </c>
      <c r="C719" s="1003"/>
      <c r="D719" s="1003"/>
      <c r="E719" s="1003"/>
      <c r="F719" s="1003"/>
      <c r="G719" s="1003">
        <v>3</v>
      </c>
      <c r="H719" s="1003">
        <v>7</v>
      </c>
      <c r="I719" s="1003"/>
      <c r="J719" s="1003"/>
      <c r="K719" s="1003">
        <f t="shared" si="11"/>
        <v>10</v>
      </c>
      <c r="L719" s="1004"/>
      <c r="M719" s="1003"/>
      <c r="N719" s="1003">
        <v>4</v>
      </c>
      <c r="O719" s="1005">
        <v>16</v>
      </c>
    </row>
    <row r="720" spans="1:15" collapsed="1" x14ac:dyDescent="0.2">
      <c r="A720"/>
      <c r="B720" s="1002">
        <v>77</v>
      </c>
      <c r="C720" s="1003"/>
      <c r="D720" s="1003"/>
      <c r="E720" s="1003"/>
      <c r="F720" s="1003"/>
      <c r="G720" s="1003"/>
      <c r="H720" s="1003">
        <v>4</v>
      </c>
      <c r="I720" s="1003">
        <v>5</v>
      </c>
      <c r="J720" s="1003"/>
      <c r="K720" s="1003">
        <f t="shared" si="11"/>
        <v>9</v>
      </c>
      <c r="L720" s="1004"/>
      <c r="M720" s="1003"/>
      <c r="N720" s="1003">
        <v>2</v>
      </c>
      <c r="O720" s="1005">
        <v>16</v>
      </c>
    </row>
    <row r="721" spans="1:15" x14ac:dyDescent="0.2">
      <c r="A721"/>
      <c r="B721" s="1002">
        <v>77</v>
      </c>
      <c r="C721" s="1003"/>
      <c r="D721" s="1003"/>
      <c r="E721" s="1003"/>
      <c r="F721" s="1003"/>
      <c r="G721" s="1003"/>
      <c r="H721" s="1003"/>
      <c r="I721" s="1003">
        <v>3</v>
      </c>
      <c r="J721" s="1003">
        <v>5</v>
      </c>
      <c r="K721" s="1003">
        <f t="shared" si="11"/>
        <v>8</v>
      </c>
      <c r="L721" s="1004"/>
      <c r="M721" s="1003"/>
      <c r="N721" s="1003"/>
      <c r="O721" s="1005">
        <v>16</v>
      </c>
    </row>
    <row r="722" spans="1:15" collapsed="1" x14ac:dyDescent="0.2">
      <c r="A722"/>
      <c r="B722" s="1002">
        <v>78</v>
      </c>
      <c r="C722" s="1003">
        <v>26</v>
      </c>
      <c r="D722" s="1003"/>
      <c r="E722" s="1003"/>
      <c r="F722" s="1003"/>
      <c r="G722" s="1003"/>
      <c r="H722" s="1003"/>
      <c r="I722" s="1003"/>
      <c r="J722" s="1003"/>
      <c r="K722" s="1003">
        <f t="shared" si="11"/>
        <v>26</v>
      </c>
      <c r="L722" s="1004"/>
      <c r="M722" s="1003"/>
      <c r="N722" s="1003">
        <v>20</v>
      </c>
      <c r="O722" s="1005">
        <v>32</v>
      </c>
    </row>
    <row r="723" spans="1:15" collapsed="1" x14ac:dyDescent="0.2">
      <c r="A723"/>
      <c r="B723" s="1002">
        <v>78</v>
      </c>
      <c r="C723" s="1003">
        <v>22</v>
      </c>
      <c r="D723" s="1003">
        <v>3</v>
      </c>
      <c r="E723" s="1003"/>
      <c r="F723" s="1003"/>
      <c r="G723" s="1003"/>
      <c r="H723" s="1003"/>
      <c r="I723" s="1003"/>
      <c r="J723" s="1003"/>
      <c r="K723" s="1003">
        <f t="shared" si="11"/>
        <v>25</v>
      </c>
      <c r="L723" s="1004"/>
      <c r="M723" s="1003"/>
      <c r="N723" s="1003">
        <v>18</v>
      </c>
      <c r="O723" s="1005">
        <v>32</v>
      </c>
    </row>
    <row r="724" spans="1:15" collapsed="1" x14ac:dyDescent="0.2">
      <c r="A724"/>
      <c r="B724" s="1002">
        <v>78</v>
      </c>
      <c r="C724" s="1003">
        <v>18</v>
      </c>
      <c r="D724" s="1003">
        <v>6</v>
      </c>
      <c r="E724" s="1003"/>
      <c r="F724" s="1003"/>
      <c r="G724" s="1003"/>
      <c r="H724" s="1003"/>
      <c r="I724" s="1003"/>
      <c r="J724" s="1003"/>
      <c r="K724" s="1003">
        <f t="shared" si="11"/>
        <v>24</v>
      </c>
      <c r="L724" s="1004"/>
      <c r="M724" s="1003"/>
      <c r="N724" s="1003">
        <v>16</v>
      </c>
      <c r="O724" s="1005">
        <v>32</v>
      </c>
    </row>
    <row r="725" spans="1:15" collapsed="1" x14ac:dyDescent="0.2">
      <c r="A725"/>
      <c r="B725" s="1002">
        <v>78</v>
      </c>
      <c r="C725" s="1003">
        <v>14</v>
      </c>
      <c r="D725" s="1003">
        <v>9</v>
      </c>
      <c r="E725" s="1003"/>
      <c r="F725" s="1003"/>
      <c r="G725" s="1003"/>
      <c r="H725" s="1003"/>
      <c r="I725" s="1003"/>
      <c r="J725" s="1003"/>
      <c r="K725" s="1003">
        <f t="shared" si="11"/>
        <v>23</v>
      </c>
      <c r="L725" s="1004"/>
      <c r="M725" s="1003"/>
      <c r="N725" s="1003">
        <v>14</v>
      </c>
      <c r="O725" s="1005">
        <v>32</v>
      </c>
    </row>
    <row r="726" spans="1:15" collapsed="1" x14ac:dyDescent="0.2">
      <c r="A726"/>
      <c r="B726" s="1002">
        <v>78</v>
      </c>
      <c r="C726" s="1003">
        <v>10</v>
      </c>
      <c r="D726" s="1003">
        <v>12</v>
      </c>
      <c r="E726" s="1003"/>
      <c r="F726" s="1003"/>
      <c r="G726" s="1003"/>
      <c r="H726" s="1003"/>
      <c r="I726" s="1003"/>
      <c r="J726" s="1003"/>
      <c r="K726" s="1003">
        <f t="shared" si="11"/>
        <v>22</v>
      </c>
      <c r="L726" s="1004"/>
      <c r="M726" s="1003"/>
      <c r="N726" s="1003">
        <v>12</v>
      </c>
      <c r="O726" s="1005">
        <v>32</v>
      </c>
    </row>
    <row r="727" spans="1:15" collapsed="1" x14ac:dyDescent="0.2">
      <c r="A727"/>
      <c r="B727" s="1002">
        <v>78</v>
      </c>
      <c r="C727" s="1003">
        <v>6</v>
      </c>
      <c r="D727" s="1003">
        <v>15</v>
      </c>
      <c r="E727" s="1003"/>
      <c r="F727" s="1003"/>
      <c r="G727" s="1003"/>
      <c r="H727" s="1003"/>
      <c r="I727" s="1003"/>
      <c r="J727" s="1003"/>
      <c r="K727" s="1003">
        <f t="shared" si="11"/>
        <v>21</v>
      </c>
      <c r="L727" s="1004"/>
      <c r="M727" s="1003"/>
      <c r="N727" s="1003">
        <v>10</v>
      </c>
      <c r="O727" s="1005">
        <v>32</v>
      </c>
    </row>
    <row r="728" spans="1:15" collapsed="1" x14ac:dyDescent="0.2">
      <c r="A728"/>
      <c r="B728" s="1002">
        <v>78</v>
      </c>
      <c r="C728" s="1003">
        <v>2</v>
      </c>
      <c r="D728" s="1003">
        <v>18</v>
      </c>
      <c r="E728" s="1003"/>
      <c r="F728" s="1003"/>
      <c r="G728" s="1003"/>
      <c r="H728" s="1003"/>
      <c r="I728" s="1003"/>
      <c r="J728" s="1003"/>
      <c r="K728" s="1003">
        <f t="shared" si="11"/>
        <v>20</v>
      </c>
      <c r="L728" s="1004"/>
      <c r="M728" s="1003"/>
      <c r="N728" s="1003">
        <v>8</v>
      </c>
      <c r="O728" s="1005">
        <v>32</v>
      </c>
    </row>
    <row r="729" spans="1:15" collapsed="1" x14ac:dyDescent="0.2">
      <c r="A729"/>
      <c r="B729" s="1002">
        <v>78</v>
      </c>
      <c r="C729" s="1003"/>
      <c r="D729" s="1003">
        <v>17</v>
      </c>
      <c r="E729" s="1003">
        <v>2</v>
      </c>
      <c r="F729" s="1003"/>
      <c r="G729" s="1003"/>
      <c r="H729" s="1003"/>
      <c r="I729" s="1003"/>
      <c r="J729" s="1003"/>
      <c r="K729" s="1003">
        <f t="shared" si="11"/>
        <v>19</v>
      </c>
      <c r="L729" s="1004"/>
      <c r="M729" s="1003"/>
      <c r="N729" s="1003">
        <v>6</v>
      </c>
      <c r="O729" s="1005">
        <v>32</v>
      </c>
    </row>
    <row r="730" spans="1:15" collapsed="1" x14ac:dyDescent="0.2">
      <c r="A730"/>
      <c r="B730" s="1002">
        <v>78</v>
      </c>
      <c r="C730" s="1003"/>
      <c r="D730" s="1003">
        <v>12</v>
      </c>
      <c r="E730" s="1003">
        <v>6</v>
      </c>
      <c r="F730" s="1003"/>
      <c r="G730" s="1003"/>
      <c r="H730" s="1003"/>
      <c r="I730" s="1003"/>
      <c r="J730" s="1003"/>
      <c r="K730" s="1003">
        <f t="shared" si="11"/>
        <v>18</v>
      </c>
      <c r="L730" s="1004"/>
      <c r="M730" s="1003"/>
      <c r="N730" s="1003">
        <v>4</v>
      </c>
      <c r="O730" s="1005">
        <v>32</v>
      </c>
    </row>
    <row r="731" spans="1:15" collapsed="1" x14ac:dyDescent="0.2">
      <c r="A731"/>
      <c r="B731" s="1002">
        <v>78</v>
      </c>
      <c r="C731" s="1003"/>
      <c r="D731" s="1003">
        <v>7</v>
      </c>
      <c r="E731" s="1003">
        <v>10</v>
      </c>
      <c r="F731" s="1003"/>
      <c r="G731" s="1003"/>
      <c r="H731" s="1003"/>
      <c r="I731" s="1003"/>
      <c r="J731" s="1003"/>
      <c r="K731" s="1003">
        <f t="shared" si="11"/>
        <v>17</v>
      </c>
      <c r="L731" s="1004"/>
      <c r="M731" s="1003"/>
      <c r="N731" s="1003">
        <v>2</v>
      </c>
      <c r="O731" s="1005">
        <v>32</v>
      </c>
    </row>
    <row r="732" spans="1:15" collapsed="1" x14ac:dyDescent="0.2">
      <c r="A732"/>
      <c r="B732" s="1002">
        <v>78</v>
      </c>
      <c r="C732" s="1003"/>
      <c r="D732" s="1003">
        <v>2</v>
      </c>
      <c r="E732" s="1003">
        <v>14</v>
      </c>
      <c r="F732" s="1003"/>
      <c r="G732" s="1003"/>
      <c r="H732" s="1003"/>
      <c r="I732" s="1003"/>
      <c r="J732" s="1003"/>
      <c r="K732" s="1003">
        <f t="shared" si="11"/>
        <v>16</v>
      </c>
      <c r="L732" s="1004"/>
      <c r="M732" s="1003"/>
      <c r="N732" s="1003"/>
      <c r="O732" s="1005">
        <v>32</v>
      </c>
    </row>
    <row r="733" spans="1:15" collapsed="1" x14ac:dyDescent="0.2">
      <c r="A733"/>
      <c r="B733" s="1002">
        <v>78</v>
      </c>
      <c r="C733" s="1003"/>
      <c r="D733" s="1003"/>
      <c r="E733" s="1003">
        <v>13</v>
      </c>
      <c r="F733" s="1003">
        <v>2</v>
      </c>
      <c r="G733" s="1003"/>
      <c r="H733" s="1003"/>
      <c r="I733" s="1003"/>
      <c r="J733" s="1003"/>
      <c r="K733" s="1003">
        <f t="shared" si="11"/>
        <v>15</v>
      </c>
      <c r="L733" s="1004"/>
      <c r="M733" s="1003"/>
      <c r="N733" s="1003">
        <v>14</v>
      </c>
      <c r="O733" s="1005">
        <v>16</v>
      </c>
    </row>
    <row r="734" spans="1:15" x14ac:dyDescent="0.2">
      <c r="A734"/>
      <c r="B734" s="1002">
        <v>78</v>
      </c>
      <c r="C734" s="1003"/>
      <c r="D734" s="1003"/>
      <c r="E734" s="1003">
        <v>6</v>
      </c>
      <c r="F734" s="1003">
        <v>8</v>
      </c>
      <c r="G734" s="1003"/>
      <c r="H734" s="1003"/>
      <c r="I734" s="1003"/>
      <c r="J734" s="1003"/>
      <c r="K734" s="1003">
        <f t="shared" si="11"/>
        <v>14</v>
      </c>
      <c r="L734" s="1004"/>
      <c r="M734" s="1003"/>
      <c r="N734" s="1003">
        <v>12</v>
      </c>
      <c r="O734" s="1005">
        <v>16</v>
      </c>
    </row>
    <row r="735" spans="1:15" collapsed="1" x14ac:dyDescent="0.2">
      <c r="A735"/>
      <c r="B735" s="1002">
        <v>78</v>
      </c>
      <c r="C735" s="1003"/>
      <c r="D735" s="1003"/>
      <c r="E735" s="1003"/>
      <c r="F735" s="1003">
        <v>13</v>
      </c>
      <c r="G735" s="1003"/>
      <c r="H735" s="1003"/>
      <c r="I735" s="1003"/>
      <c r="J735" s="1003"/>
      <c r="K735" s="1003">
        <f t="shared" si="11"/>
        <v>13</v>
      </c>
      <c r="L735" s="1004"/>
      <c r="M735" s="1003"/>
      <c r="N735" s="1003">
        <v>10</v>
      </c>
      <c r="O735" s="1005">
        <v>16</v>
      </c>
    </row>
    <row r="736" spans="1:15" collapsed="1" x14ac:dyDescent="0.2">
      <c r="A736"/>
      <c r="B736" s="1002">
        <v>78</v>
      </c>
      <c r="C736" s="1003"/>
      <c r="D736" s="1003"/>
      <c r="E736" s="1003"/>
      <c r="F736" s="1003">
        <v>6</v>
      </c>
      <c r="G736" s="1003">
        <v>6</v>
      </c>
      <c r="H736" s="1003"/>
      <c r="I736" s="1003"/>
      <c r="J736" s="1003"/>
      <c r="K736" s="1003">
        <f t="shared" si="11"/>
        <v>12</v>
      </c>
      <c r="L736" s="1004"/>
      <c r="M736" s="1003"/>
      <c r="N736" s="1003">
        <v>8</v>
      </c>
      <c r="O736" s="1005">
        <v>16</v>
      </c>
    </row>
    <row r="737" spans="1:15" x14ac:dyDescent="0.2">
      <c r="A737"/>
      <c r="B737" s="1002">
        <v>78</v>
      </c>
      <c r="C737" s="1003"/>
      <c r="D737" s="1003"/>
      <c r="E737" s="1003"/>
      <c r="F737" s="1003"/>
      <c r="G737" s="1003">
        <v>10</v>
      </c>
      <c r="H737" s="1003">
        <v>1</v>
      </c>
      <c r="I737" s="1003"/>
      <c r="J737" s="1003"/>
      <c r="K737" s="1003">
        <f t="shared" si="11"/>
        <v>11</v>
      </c>
      <c r="L737" s="1004"/>
      <c r="M737" s="1003"/>
      <c r="N737" s="1003">
        <v>6</v>
      </c>
      <c r="O737" s="1005">
        <v>16</v>
      </c>
    </row>
    <row r="738" spans="1:15" collapsed="1" x14ac:dyDescent="0.2">
      <c r="A738"/>
      <c r="B738" s="1002">
        <v>78</v>
      </c>
      <c r="C738" s="1003"/>
      <c r="D738" s="1003"/>
      <c r="E738" s="1003"/>
      <c r="F738" s="1003"/>
      <c r="G738" s="1003">
        <v>2</v>
      </c>
      <c r="H738" s="1003">
        <v>8</v>
      </c>
      <c r="I738" s="1003"/>
      <c r="J738" s="1003"/>
      <c r="K738" s="1003">
        <f t="shared" si="11"/>
        <v>10</v>
      </c>
      <c r="L738" s="1004"/>
      <c r="M738" s="1003"/>
      <c r="N738" s="1003">
        <v>4</v>
      </c>
      <c r="O738" s="1005">
        <v>16</v>
      </c>
    </row>
    <row r="739" spans="1:15" collapsed="1" x14ac:dyDescent="0.2">
      <c r="A739"/>
      <c r="B739" s="1002">
        <v>78</v>
      </c>
      <c r="C739" s="1003"/>
      <c r="D739" s="1003"/>
      <c r="E739" s="1003"/>
      <c r="F739" s="1003"/>
      <c r="G739" s="1003"/>
      <c r="H739" s="1003">
        <v>3</v>
      </c>
      <c r="I739" s="1003">
        <v>6</v>
      </c>
      <c r="J739" s="1003"/>
      <c r="K739" s="1003">
        <f t="shared" si="11"/>
        <v>9</v>
      </c>
      <c r="L739" s="1004"/>
      <c r="M739" s="1003"/>
      <c r="N739" s="1003">
        <v>2</v>
      </c>
      <c r="O739" s="1005">
        <v>16</v>
      </c>
    </row>
    <row r="740" spans="1:15" x14ac:dyDescent="0.2">
      <c r="A740"/>
      <c r="B740" s="1002">
        <v>78</v>
      </c>
      <c r="C740" s="1003"/>
      <c r="D740" s="1003"/>
      <c r="E740" s="1003"/>
      <c r="F740" s="1003"/>
      <c r="G740" s="1003"/>
      <c r="H740" s="1003"/>
      <c r="I740" s="1003">
        <v>2</v>
      </c>
      <c r="J740" s="1003">
        <v>6</v>
      </c>
      <c r="K740" s="1003">
        <f t="shared" si="11"/>
        <v>8</v>
      </c>
      <c r="L740" s="1004"/>
      <c r="M740" s="1003"/>
      <c r="N740" s="1003"/>
      <c r="O740" s="1005">
        <v>16</v>
      </c>
    </row>
    <row r="741" spans="1:15" collapsed="1" x14ac:dyDescent="0.2">
      <c r="A741"/>
      <c r="B741" s="1002">
        <v>79</v>
      </c>
      <c r="C741" s="1003">
        <v>25</v>
      </c>
      <c r="D741" s="1003">
        <v>1</v>
      </c>
      <c r="E741" s="1003"/>
      <c r="F741" s="1003"/>
      <c r="G741" s="1003"/>
      <c r="H741" s="1003"/>
      <c r="I741" s="1003"/>
      <c r="J741" s="1003"/>
      <c r="K741" s="1003">
        <f t="shared" si="11"/>
        <v>26</v>
      </c>
      <c r="L741" s="1004"/>
      <c r="M741" s="1003"/>
      <c r="N741" s="1003">
        <v>20</v>
      </c>
      <c r="O741" s="1005">
        <v>32</v>
      </c>
    </row>
    <row r="742" spans="1:15" collapsed="1" x14ac:dyDescent="0.2">
      <c r="A742"/>
      <c r="B742" s="1002">
        <v>79</v>
      </c>
      <c r="C742" s="1003">
        <v>21</v>
      </c>
      <c r="D742" s="1003">
        <v>4</v>
      </c>
      <c r="E742" s="1003"/>
      <c r="F742" s="1003"/>
      <c r="G742" s="1003"/>
      <c r="H742" s="1003"/>
      <c r="I742" s="1003"/>
      <c r="J742" s="1003"/>
      <c r="K742" s="1003">
        <f t="shared" si="11"/>
        <v>25</v>
      </c>
      <c r="L742" s="1004"/>
      <c r="M742" s="1003"/>
      <c r="N742" s="1003">
        <v>18</v>
      </c>
      <c r="O742" s="1005">
        <v>32</v>
      </c>
    </row>
    <row r="743" spans="1:15" collapsed="1" x14ac:dyDescent="0.2">
      <c r="A743"/>
      <c r="B743" s="1002">
        <v>79</v>
      </c>
      <c r="C743" s="1003">
        <v>17</v>
      </c>
      <c r="D743" s="1003">
        <v>7</v>
      </c>
      <c r="E743" s="1003"/>
      <c r="F743" s="1003"/>
      <c r="G743" s="1003"/>
      <c r="H743" s="1003"/>
      <c r="I743" s="1003"/>
      <c r="J743" s="1003"/>
      <c r="K743" s="1003">
        <f t="shared" si="11"/>
        <v>24</v>
      </c>
      <c r="L743" s="1004"/>
      <c r="M743" s="1003"/>
      <c r="N743" s="1003">
        <v>16</v>
      </c>
      <c r="O743" s="1005">
        <v>32</v>
      </c>
    </row>
    <row r="744" spans="1:15" collapsed="1" x14ac:dyDescent="0.2">
      <c r="A744"/>
      <c r="B744" s="1002">
        <v>79</v>
      </c>
      <c r="C744" s="1003">
        <v>13</v>
      </c>
      <c r="D744" s="1003">
        <v>10</v>
      </c>
      <c r="E744" s="1003"/>
      <c r="F744" s="1003"/>
      <c r="G744" s="1003"/>
      <c r="H744" s="1003"/>
      <c r="I744" s="1003"/>
      <c r="J744" s="1003"/>
      <c r="K744" s="1003">
        <f t="shared" si="11"/>
        <v>23</v>
      </c>
      <c r="L744" s="1004"/>
      <c r="M744" s="1003"/>
      <c r="N744" s="1003">
        <v>14</v>
      </c>
      <c r="O744" s="1005">
        <v>32</v>
      </c>
    </row>
    <row r="745" spans="1:15" collapsed="1" x14ac:dyDescent="0.2">
      <c r="A745"/>
      <c r="B745" s="1002">
        <v>79</v>
      </c>
      <c r="C745" s="1003">
        <v>9</v>
      </c>
      <c r="D745" s="1003">
        <v>13</v>
      </c>
      <c r="E745" s="1003"/>
      <c r="F745" s="1003"/>
      <c r="G745" s="1003"/>
      <c r="H745" s="1003"/>
      <c r="I745" s="1003"/>
      <c r="J745" s="1003"/>
      <c r="K745" s="1003">
        <f t="shared" si="11"/>
        <v>22</v>
      </c>
      <c r="L745" s="1004"/>
      <c r="M745" s="1003"/>
      <c r="N745" s="1003">
        <v>12</v>
      </c>
      <c r="O745" s="1005">
        <v>32</v>
      </c>
    </row>
    <row r="746" spans="1:15" collapsed="1" x14ac:dyDescent="0.2">
      <c r="A746"/>
      <c r="B746" s="1002">
        <v>79</v>
      </c>
      <c r="C746" s="1003">
        <v>5</v>
      </c>
      <c r="D746" s="1003">
        <v>16</v>
      </c>
      <c r="E746" s="1003"/>
      <c r="F746" s="1003"/>
      <c r="G746" s="1003"/>
      <c r="H746" s="1003"/>
      <c r="I746" s="1003"/>
      <c r="J746" s="1003"/>
      <c r="K746" s="1003">
        <f t="shared" si="11"/>
        <v>21</v>
      </c>
      <c r="L746" s="1004"/>
      <c r="M746" s="1003"/>
      <c r="N746" s="1003">
        <v>10</v>
      </c>
      <c r="O746" s="1005">
        <v>32</v>
      </c>
    </row>
    <row r="747" spans="1:15" collapsed="1" x14ac:dyDescent="0.2">
      <c r="A747"/>
      <c r="B747" s="1002">
        <v>79</v>
      </c>
      <c r="C747" s="1003">
        <v>1</v>
      </c>
      <c r="D747" s="1003">
        <v>19</v>
      </c>
      <c r="E747" s="1003"/>
      <c r="F747" s="1003"/>
      <c r="G747" s="1003"/>
      <c r="H747" s="1003"/>
      <c r="I747" s="1003"/>
      <c r="J747" s="1003"/>
      <c r="K747" s="1003">
        <f t="shared" si="11"/>
        <v>20</v>
      </c>
      <c r="L747" s="1004"/>
      <c r="M747" s="1003"/>
      <c r="N747" s="1003">
        <v>8</v>
      </c>
      <c r="O747" s="1005">
        <v>32</v>
      </c>
    </row>
    <row r="748" spans="1:15" collapsed="1" x14ac:dyDescent="0.2">
      <c r="A748"/>
      <c r="B748" s="1002">
        <v>79</v>
      </c>
      <c r="C748" s="1003"/>
      <c r="D748" s="1003">
        <v>16</v>
      </c>
      <c r="E748" s="1003">
        <v>3</v>
      </c>
      <c r="F748" s="1003"/>
      <c r="G748" s="1003"/>
      <c r="H748" s="1003"/>
      <c r="I748" s="1003"/>
      <c r="J748" s="1003"/>
      <c r="K748" s="1003">
        <f t="shared" si="11"/>
        <v>19</v>
      </c>
      <c r="L748" s="1004"/>
      <c r="M748" s="1003"/>
      <c r="N748" s="1003">
        <v>6</v>
      </c>
      <c r="O748" s="1005">
        <v>32</v>
      </c>
    </row>
    <row r="749" spans="1:15" collapsed="1" x14ac:dyDescent="0.2">
      <c r="A749"/>
      <c r="B749" s="1002">
        <v>79</v>
      </c>
      <c r="C749" s="1003"/>
      <c r="D749" s="1003">
        <v>11</v>
      </c>
      <c r="E749" s="1003">
        <v>7</v>
      </c>
      <c r="F749" s="1003"/>
      <c r="G749" s="1003"/>
      <c r="H749" s="1003"/>
      <c r="I749" s="1003"/>
      <c r="J749" s="1003"/>
      <c r="K749" s="1003">
        <f t="shared" si="11"/>
        <v>18</v>
      </c>
      <c r="L749" s="1004"/>
      <c r="M749" s="1003"/>
      <c r="N749" s="1003">
        <v>4</v>
      </c>
      <c r="O749" s="1005">
        <v>32</v>
      </c>
    </row>
    <row r="750" spans="1:15" collapsed="1" x14ac:dyDescent="0.2">
      <c r="A750"/>
      <c r="B750" s="1002">
        <v>79</v>
      </c>
      <c r="C750" s="1003"/>
      <c r="D750" s="1003">
        <v>6</v>
      </c>
      <c r="E750" s="1003">
        <v>11</v>
      </c>
      <c r="F750" s="1003"/>
      <c r="G750" s="1003"/>
      <c r="H750" s="1003"/>
      <c r="I750" s="1003"/>
      <c r="J750" s="1003"/>
      <c r="K750" s="1003">
        <f t="shared" si="11"/>
        <v>17</v>
      </c>
      <c r="L750" s="1004"/>
      <c r="M750" s="1003"/>
      <c r="N750" s="1003">
        <v>2</v>
      </c>
      <c r="O750" s="1005">
        <v>32</v>
      </c>
    </row>
    <row r="751" spans="1:15" collapsed="1" x14ac:dyDescent="0.2">
      <c r="A751"/>
      <c r="B751" s="1002">
        <v>79</v>
      </c>
      <c r="C751" s="1003"/>
      <c r="D751" s="1003">
        <v>1</v>
      </c>
      <c r="E751" s="1003">
        <v>15</v>
      </c>
      <c r="F751" s="1003"/>
      <c r="G751" s="1003"/>
      <c r="H751" s="1003"/>
      <c r="I751" s="1003"/>
      <c r="J751" s="1003"/>
      <c r="K751" s="1003">
        <f t="shared" si="11"/>
        <v>16</v>
      </c>
      <c r="L751" s="1004"/>
      <c r="M751" s="1003"/>
      <c r="N751" s="1003"/>
      <c r="O751" s="1005">
        <v>32</v>
      </c>
    </row>
    <row r="752" spans="1:15" collapsed="1" x14ac:dyDescent="0.2">
      <c r="A752"/>
      <c r="B752" s="1002">
        <v>79</v>
      </c>
      <c r="C752" s="1003"/>
      <c r="D752" s="1003"/>
      <c r="E752" s="1003">
        <v>12</v>
      </c>
      <c r="F752" s="1003">
        <v>3</v>
      </c>
      <c r="G752" s="1003"/>
      <c r="H752" s="1003"/>
      <c r="I752" s="1003"/>
      <c r="J752" s="1003"/>
      <c r="K752" s="1003">
        <f t="shared" si="11"/>
        <v>15</v>
      </c>
      <c r="L752" s="1004"/>
      <c r="M752" s="1003"/>
      <c r="N752" s="1003">
        <v>14</v>
      </c>
      <c r="O752" s="1005">
        <v>16</v>
      </c>
    </row>
    <row r="753" spans="1:15" x14ac:dyDescent="0.2">
      <c r="A753"/>
      <c r="B753" s="1002">
        <v>79</v>
      </c>
      <c r="C753" s="1003"/>
      <c r="D753" s="1003"/>
      <c r="E753" s="1003">
        <v>5</v>
      </c>
      <c r="F753" s="1003">
        <v>9</v>
      </c>
      <c r="G753" s="1003"/>
      <c r="H753" s="1003"/>
      <c r="I753" s="1003"/>
      <c r="J753" s="1003"/>
      <c r="K753" s="1003">
        <f t="shared" si="11"/>
        <v>14</v>
      </c>
      <c r="L753" s="1004"/>
      <c r="M753" s="1003"/>
      <c r="N753" s="1003">
        <v>12</v>
      </c>
      <c r="O753" s="1005">
        <v>16</v>
      </c>
    </row>
    <row r="754" spans="1:15" collapsed="1" x14ac:dyDescent="0.2">
      <c r="A754"/>
      <c r="B754" s="1002">
        <v>79</v>
      </c>
      <c r="C754" s="1003"/>
      <c r="D754" s="1003"/>
      <c r="E754" s="1003"/>
      <c r="F754" s="1003">
        <v>12</v>
      </c>
      <c r="G754" s="1003">
        <v>1</v>
      </c>
      <c r="H754" s="1003"/>
      <c r="I754" s="1003"/>
      <c r="J754" s="1003"/>
      <c r="K754" s="1003">
        <f t="shared" si="11"/>
        <v>13</v>
      </c>
      <c r="L754" s="1004"/>
      <c r="M754" s="1003"/>
      <c r="N754" s="1003">
        <v>10</v>
      </c>
      <c r="O754" s="1005">
        <v>16</v>
      </c>
    </row>
    <row r="755" spans="1:15" collapsed="1" x14ac:dyDescent="0.2">
      <c r="A755"/>
      <c r="B755" s="1002">
        <v>79</v>
      </c>
      <c r="C755" s="1003"/>
      <c r="D755" s="1003"/>
      <c r="E755" s="1003"/>
      <c r="F755" s="1003">
        <v>5</v>
      </c>
      <c r="G755" s="1003">
        <v>7</v>
      </c>
      <c r="H755" s="1003"/>
      <c r="I755" s="1003"/>
      <c r="J755" s="1003"/>
      <c r="K755" s="1003">
        <f t="shared" si="11"/>
        <v>12</v>
      </c>
      <c r="L755" s="1004"/>
      <c r="M755" s="1003"/>
      <c r="N755" s="1003">
        <v>8</v>
      </c>
      <c r="O755" s="1005">
        <v>16</v>
      </c>
    </row>
    <row r="756" spans="1:15" x14ac:dyDescent="0.2">
      <c r="A756"/>
      <c r="B756" s="1002">
        <v>79</v>
      </c>
      <c r="C756" s="1003"/>
      <c r="D756" s="1003"/>
      <c r="E756" s="1003"/>
      <c r="F756" s="1003"/>
      <c r="G756" s="1003">
        <v>9</v>
      </c>
      <c r="H756" s="1003">
        <v>2</v>
      </c>
      <c r="I756" s="1003"/>
      <c r="J756" s="1003"/>
      <c r="K756" s="1003">
        <f t="shared" si="11"/>
        <v>11</v>
      </c>
      <c r="L756" s="1004"/>
      <c r="M756" s="1003"/>
      <c r="N756" s="1003">
        <v>6</v>
      </c>
      <c r="O756" s="1005">
        <v>16</v>
      </c>
    </row>
    <row r="757" spans="1:15" collapsed="1" x14ac:dyDescent="0.2">
      <c r="A757"/>
      <c r="B757" s="1002">
        <v>79</v>
      </c>
      <c r="C757" s="1003"/>
      <c r="D757" s="1003"/>
      <c r="E757" s="1003"/>
      <c r="F757" s="1003"/>
      <c r="G757" s="1003">
        <v>1</v>
      </c>
      <c r="H757" s="1003">
        <v>9</v>
      </c>
      <c r="I757" s="1003"/>
      <c r="J757" s="1003"/>
      <c r="K757" s="1003">
        <f t="shared" si="11"/>
        <v>10</v>
      </c>
      <c r="L757" s="1004"/>
      <c r="M757" s="1003"/>
      <c r="N757" s="1003">
        <v>4</v>
      </c>
      <c r="O757" s="1005">
        <v>16</v>
      </c>
    </row>
    <row r="758" spans="1:15" collapsed="1" x14ac:dyDescent="0.2">
      <c r="A758"/>
      <c r="B758" s="1002">
        <v>79</v>
      </c>
      <c r="C758" s="1003"/>
      <c r="D758" s="1003"/>
      <c r="E758" s="1003"/>
      <c r="F758" s="1003"/>
      <c r="G758" s="1003"/>
      <c r="H758" s="1003">
        <v>2</v>
      </c>
      <c r="I758" s="1003">
        <v>7</v>
      </c>
      <c r="J758" s="1003"/>
      <c r="K758" s="1003">
        <f t="shared" si="11"/>
        <v>9</v>
      </c>
      <c r="L758" s="1004"/>
      <c r="M758" s="1003"/>
      <c r="N758" s="1003">
        <v>2</v>
      </c>
      <c r="O758" s="1005">
        <v>16</v>
      </c>
    </row>
    <row r="759" spans="1:15" x14ac:dyDescent="0.2">
      <c r="A759"/>
      <c r="B759" s="1002">
        <v>79</v>
      </c>
      <c r="C759" s="1003"/>
      <c r="D759" s="1003"/>
      <c r="E759" s="1003"/>
      <c r="F759" s="1003"/>
      <c r="G759" s="1003"/>
      <c r="H759" s="1003"/>
      <c r="I759" s="1003">
        <v>1</v>
      </c>
      <c r="J759" s="1003">
        <v>7</v>
      </c>
      <c r="K759" s="1003">
        <f t="shared" si="11"/>
        <v>8</v>
      </c>
      <c r="L759" s="1004"/>
      <c r="M759" s="1003"/>
      <c r="N759" s="1003"/>
      <c r="O759" s="1005">
        <v>16</v>
      </c>
    </row>
    <row r="760" spans="1:15" collapsed="1" x14ac:dyDescent="0.2">
      <c r="A760"/>
      <c r="B760" s="1002">
        <v>80</v>
      </c>
      <c r="C760" s="1003">
        <v>24</v>
      </c>
      <c r="D760" s="1003">
        <v>2</v>
      </c>
      <c r="E760" s="1003"/>
      <c r="F760" s="1003"/>
      <c r="G760" s="1003"/>
      <c r="H760" s="1003"/>
      <c r="I760" s="1003"/>
      <c r="J760" s="1003"/>
      <c r="K760" s="1003">
        <f t="shared" si="11"/>
        <v>26</v>
      </c>
      <c r="L760" s="1004"/>
      <c r="M760" s="1003"/>
      <c r="N760" s="1003">
        <v>20</v>
      </c>
      <c r="O760" s="1005">
        <v>32</v>
      </c>
    </row>
    <row r="761" spans="1:15" collapsed="1" x14ac:dyDescent="0.2">
      <c r="A761"/>
      <c r="B761" s="1002">
        <v>80</v>
      </c>
      <c r="C761" s="1003">
        <v>20</v>
      </c>
      <c r="D761" s="1003">
        <v>5</v>
      </c>
      <c r="E761" s="1003"/>
      <c r="F761" s="1003"/>
      <c r="G761" s="1003"/>
      <c r="H761" s="1003"/>
      <c r="I761" s="1003"/>
      <c r="J761" s="1003"/>
      <c r="K761" s="1003">
        <f t="shared" si="11"/>
        <v>25</v>
      </c>
      <c r="L761" s="1004"/>
      <c r="M761" s="1003"/>
      <c r="N761" s="1003">
        <v>18</v>
      </c>
      <c r="O761" s="1005">
        <v>32</v>
      </c>
    </row>
    <row r="762" spans="1:15" collapsed="1" x14ac:dyDescent="0.2">
      <c r="A762"/>
      <c r="B762" s="1002">
        <v>80</v>
      </c>
      <c r="C762" s="1003">
        <v>16</v>
      </c>
      <c r="D762" s="1003">
        <v>8</v>
      </c>
      <c r="E762" s="1003"/>
      <c r="F762" s="1003"/>
      <c r="G762" s="1003"/>
      <c r="H762" s="1003"/>
      <c r="I762" s="1003"/>
      <c r="J762" s="1003"/>
      <c r="K762" s="1003">
        <f t="shared" si="11"/>
        <v>24</v>
      </c>
      <c r="L762" s="1004"/>
      <c r="M762" s="1003"/>
      <c r="N762" s="1003">
        <v>16</v>
      </c>
      <c r="O762" s="1005">
        <v>32</v>
      </c>
    </row>
    <row r="763" spans="1:15" collapsed="1" x14ac:dyDescent="0.2">
      <c r="A763"/>
      <c r="B763" s="1002">
        <v>80</v>
      </c>
      <c r="C763" s="1003">
        <v>12</v>
      </c>
      <c r="D763" s="1003">
        <v>11</v>
      </c>
      <c r="E763" s="1003"/>
      <c r="F763" s="1003"/>
      <c r="G763" s="1003"/>
      <c r="H763" s="1003"/>
      <c r="I763" s="1003"/>
      <c r="J763" s="1003"/>
      <c r="K763" s="1003">
        <f t="shared" si="11"/>
        <v>23</v>
      </c>
      <c r="L763" s="1004"/>
      <c r="M763" s="1003"/>
      <c r="N763" s="1003">
        <v>14</v>
      </c>
      <c r="O763" s="1005">
        <v>32</v>
      </c>
    </row>
    <row r="764" spans="1:15" collapsed="1" x14ac:dyDescent="0.2">
      <c r="A764"/>
      <c r="B764" s="1002">
        <v>80</v>
      </c>
      <c r="C764" s="1003">
        <v>8</v>
      </c>
      <c r="D764" s="1003">
        <v>14</v>
      </c>
      <c r="E764" s="1003"/>
      <c r="F764" s="1003"/>
      <c r="G764" s="1003"/>
      <c r="H764" s="1003"/>
      <c r="I764" s="1003"/>
      <c r="J764" s="1003"/>
      <c r="K764" s="1003">
        <f t="shared" si="11"/>
        <v>22</v>
      </c>
      <c r="L764" s="1004"/>
      <c r="M764" s="1003"/>
      <c r="N764" s="1003">
        <v>12</v>
      </c>
      <c r="O764" s="1005">
        <v>32</v>
      </c>
    </row>
    <row r="765" spans="1:15" collapsed="1" x14ac:dyDescent="0.2">
      <c r="A765"/>
      <c r="B765" s="1002">
        <v>80</v>
      </c>
      <c r="C765" s="1003">
        <v>4</v>
      </c>
      <c r="D765" s="1003">
        <v>17</v>
      </c>
      <c r="E765" s="1003"/>
      <c r="F765" s="1003"/>
      <c r="G765" s="1003"/>
      <c r="H765" s="1003"/>
      <c r="I765" s="1003"/>
      <c r="J765" s="1003"/>
      <c r="K765" s="1003">
        <f t="shared" si="11"/>
        <v>21</v>
      </c>
      <c r="L765" s="1004"/>
      <c r="M765" s="1003"/>
      <c r="N765" s="1003">
        <v>10</v>
      </c>
      <c r="O765" s="1005">
        <v>32</v>
      </c>
    </row>
    <row r="766" spans="1:15" collapsed="1" x14ac:dyDescent="0.2">
      <c r="A766"/>
      <c r="B766" s="1002">
        <v>80</v>
      </c>
      <c r="C766" s="1003"/>
      <c r="D766" s="1003">
        <v>20</v>
      </c>
      <c r="E766" s="1003"/>
      <c r="F766" s="1003"/>
      <c r="G766" s="1003"/>
      <c r="H766" s="1003"/>
      <c r="I766" s="1003"/>
      <c r="J766" s="1003"/>
      <c r="K766" s="1003">
        <f t="shared" si="11"/>
        <v>20</v>
      </c>
      <c r="L766" s="1004"/>
      <c r="M766" s="1003"/>
      <c r="N766" s="1003">
        <v>8</v>
      </c>
      <c r="O766" s="1005">
        <v>32</v>
      </c>
    </row>
    <row r="767" spans="1:15" collapsed="1" x14ac:dyDescent="0.2">
      <c r="A767"/>
      <c r="B767" s="1002">
        <v>80</v>
      </c>
      <c r="C767" s="1003"/>
      <c r="D767" s="1003">
        <v>15</v>
      </c>
      <c r="E767" s="1003">
        <v>4</v>
      </c>
      <c r="F767" s="1003"/>
      <c r="G767" s="1003"/>
      <c r="H767" s="1003"/>
      <c r="I767" s="1003"/>
      <c r="J767" s="1003"/>
      <c r="K767" s="1003">
        <f t="shared" si="11"/>
        <v>19</v>
      </c>
      <c r="L767" s="1004"/>
      <c r="M767" s="1003"/>
      <c r="N767" s="1003">
        <v>6</v>
      </c>
      <c r="O767" s="1005">
        <v>32</v>
      </c>
    </row>
    <row r="768" spans="1:15" collapsed="1" x14ac:dyDescent="0.2">
      <c r="A768"/>
      <c r="B768" s="1002">
        <v>80</v>
      </c>
      <c r="C768" s="1003"/>
      <c r="D768" s="1003">
        <v>10</v>
      </c>
      <c r="E768" s="1003">
        <v>8</v>
      </c>
      <c r="F768" s="1003"/>
      <c r="G768" s="1003"/>
      <c r="H768" s="1003"/>
      <c r="I768" s="1003"/>
      <c r="J768" s="1003"/>
      <c r="K768" s="1003">
        <f t="shared" si="11"/>
        <v>18</v>
      </c>
      <c r="L768" s="1004"/>
      <c r="M768" s="1003"/>
      <c r="N768" s="1003">
        <v>4</v>
      </c>
      <c r="O768" s="1005">
        <v>32</v>
      </c>
    </row>
    <row r="769" spans="1:15" collapsed="1" x14ac:dyDescent="0.2">
      <c r="A769"/>
      <c r="B769" s="1002">
        <v>80</v>
      </c>
      <c r="C769" s="1003"/>
      <c r="D769" s="1003">
        <v>5</v>
      </c>
      <c r="E769" s="1003">
        <v>12</v>
      </c>
      <c r="F769" s="1003"/>
      <c r="G769" s="1003"/>
      <c r="H769" s="1003"/>
      <c r="I769" s="1003"/>
      <c r="J769" s="1003"/>
      <c r="K769" s="1003">
        <f t="shared" si="11"/>
        <v>17</v>
      </c>
      <c r="L769" s="1004"/>
      <c r="M769" s="1003"/>
      <c r="N769" s="1003">
        <v>2</v>
      </c>
      <c r="O769" s="1005">
        <v>32</v>
      </c>
    </row>
    <row r="770" spans="1:15" collapsed="1" x14ac:dyDescent="0.2">
      <c r="A770"/>
      <c r="B770" s="1002">
        <v>80</v>
      </c>
      <c r="C770" s="1003"/>
      <c r="D770" s="1003"/>
      <c r="E770" s="1003">
        <v>16</v>
      </c>
      <c r="F770" s="1003"/>
      <c r="G770" s="1003"/>
      <c r="H770" s="1003"/>
      <c r="I770" s="1003"/>
      <c r="J770" s="1003"/>
      <c r="K770" s="1003">
        <f t="shared" si="11"/>
        <v>16</v>
      </c>
      <c r="L770" s="1004"/>
      <c r="M770" s="1003"/>
      <c r="N770" s="1003"/>
      <c r="O770" s="1005">
        <v>32</v>
      </c>
    </row>
    <row r="771" spans="1:15" collapsed="1" x14ac:dyDescent="0.2">
      <c r="A771"/>
      <c r="B771" s="1002">
        <v>80</v>
      </c>
      <c r="C771" s="1003"/>
      <c r="D771" s="1003"/>
      <c r="E771" s="1003">
        <v>11</v>
      </c>
      <c r="F771" s="1003">
        <v>4</v>
      </c>
      <c r="G771" s="1003"/>
      <c r="H771" s="1003"/>
      <c r="I771" s="1003"/>
      <c r="J771" s="1003"/>
      <c r="K771" s="1003">
        <f t="shared" si="11"/>
        <v>15</v>
      </c>
      <c r="L771" s="1004"/>
      <c r="M771" s="1003"/>
      <c r="N771" s="1003">
        <v>14</v>
      </c>
      <c r="O771" s="1005">
        <v>16</v>
      </c>
    </row>
    <row r="772" spans="1:15" x14ac:dyDescent="0.2">
      <c r="A772"/>
      <c r="B772" s="1002">
        <v>80</v>
      </c>
      <c r="C772" s="1003"/>
      <c r="D772" s="1003"/>
      <c r="E772" s="1003">
        <v>4</v>
      </c>
      <c r="F772" s="1003">
        <v>10</v>
      </c>
      <c r="G772" s="1003"/>
      <c r="H772" s="1003"/>
      <c r="I772" s="1003"/>
      <c r="J772" s="1003"/>
      <c r="K772" s="1003">
        <f t="shared" si="11"/>
        <v>14</v>
      </c>
      <c r="L772" s="1004"/>
      <c r="M772" s="1003"/>
      <c r="N772" s="1003">
        <v>12</v>
      </c>
      <c r="O772" s="1005">
        <v>16</v>
      </c>
    </row>
    <row r="773" spans="1:15" collapsed="1" x14ac:dyDescent="0.2">
      <c r="A773"/>
      <c r="B773" s="1002">
        <v>80</v>
      </c>
      <c r="C773" s="1003"/>
      <c r="D773" s="1003"/>
      <c r="E773" s="1003"/>
      <c r="F773" s="1003">
        <v>11</v>
      </c>
      <c r="G773" s="1003">
        <v>2</v>
      </c>
      <c r="H773" s="1003"/>
      <c r="I773" s="1003"/>
      <c r="J773" s="1003"/>
      <c r="K773" s="1003">
        <f t="shared" si="11"/>
        <v>13</v>
      </c>
      <c r="L773" s="1004"/>
      <c r="M773" s="1003"/>
      <c r="N773" s="1003">
        <v>10</v>
      </c>
      <c r="O773" s="1005">
        <v>16</v>
      </c>
    </row>
    <row r="774" spans="1:15" collapsed="1" x14ac:dyDescent="0.2">
      <c r="A774"/>
      <c r="B774" s="1002">
        <v>80</v>
      </c>
      <c r="C774" s="1003"/>
      <c r="D774" s="1003"/>
      <c r="E774" s="1003"/>
      <c r="F774" s="1003">
        <v>4</v>
      </c>
      <c r="G774" s="1003">
        <v>8</v>
      </c>
      <c r="H774" s="1003"/>
      <c r="I774" s="1003"/>
      <c r="J774" s="1003"/>
      <c r="K774" s="1003">
        <f t="shared" ref="K774:K837" si="12">SUM(C774:J774)</f>
        <v>12</v>
      </c>
      <c r="L774" s="1004"/>
      <c r="M774" s="1003"/>
      <c r="N774" s="1003">
        <v>8</v>
      </c>
      <c r="O774" s="1005">
        <v>16</v>
      </c>
    </row>
    <row r="775" spans="1:15" x14ac:dyDescent="0.2">
      <c r="A775"/>
      <c r="B775" s="1002">
        <v>80</v>
      </c>
      <c r="C775" s="1003"/>
      <c r="D775" s="1003"/>
      <c r="E775" s="1003"/>
      <c r="F775" s="1003"/>
      <c r="G775" s="1003">
        <v>8</v>
      </c>
      <c r="H775" s="1003">
        <v>3</v>
      </c>
      <c r="I775" s="1003"/>
      <c r="J775" s="1003"/>
      <c r="K775" s="1003">
        <f t="shared" si="12"/>
        <v>11</v>
      </c>
      <c r="L775" s="1004"/>
      <c r="M775" s="1003"/>
      <c r="N775" s="1003">
        <v>6</v>
      </c>
      <c r="O775" s="1005">
        <v>16</v>
      </c>
    </row>
    <row r="776" spans="1:15" collapsed="1" x14ac:dyDescent="0.2">
      <c r="A776"/>
      <c r="B776" s="1002">
        <v>80</v>
      </c>
      <c r="C776" s="1003"/>
      <c r="D776" s="1003"/>
      <c r="E776" s="1003"/>
      <c r="F776" s="1003"/>
      <c r="G776" s="1003"/>
      <c r="H776" s="1003">
        <v>10</v>
      </c>
      <c r="I776" s="1003"/>
      <c r="J776" s="1003"/>
      <c r="K776" s="1003">
        <f t="shared" si="12"/>
        <v>10</v>
      </c>
      <c r="L776" s="1004"/>
      <c r="M776" s="1003"/>
      <c r="N776" s="1003">
        <v>4</v>
      </c>
      <c r="O776" s="1005">
        <v>16</v>
      </c>
    </row>
    <row r="777" spans="1:15" collapsed="1" x14ac:dyDescent="0.2">
      <c r="A777"/>
      <c r="B777" s="1002">
        <v>80</v>
      </c>
      <c r="C777" s="1003"/>
      <c r="D777" s="1003"/>
      <c r="E777" s="1003"/>
      <c r="F777" s="1003"/>
      <c r="G777" s="1003"/>
      <c r="H777" s="1003">
        <v>1</v>
      </c>
      <c r="I777" s="1003">
        <v>8</v>
      </c>
      <c r="J777" s="1003"/>
      <c r="K777" s="1003">
        <f t="shared" si="12"/>
        <v>9</v>
      </c>
      <c r="L777" s="1004"/>
      <c r="M777" s="1003"/>
      <c r="N777" s="1003">
        <v>2</v>
      </c>
      <c r="O777" s="1005">
        <v>16</v>
      </c>
    </row>
    <row r="778" spans="1:15" x14ac:dyDescent="0.2">
      <c r="A778"/>
      <c r="B778" s="1002">
        <v>80</v>
      </c>
      <c r="C778" s="1003"/>
      <c r="D778" s="1003"/>
      <c r="E778" s="1003"/>
      <c r="F778" s="1003"/>
      <c r="G778" s="1003"/>
      <c r="H778" s="1003"/>
      <c r="I778" s="1003"/>
      <c r="J778" s="1003">
        <v>8</v>
      </c>
      <c r="K778" s="1003">
        <f t="shared" si="12"/>
        <v>8</v>
      </c>
      <c r="L778" s="1004"/>
      <c r="M778" s="1003"/>
      <c r="N778" s="1003"/>
      <c r="O778" s="1005">
        <v>16</v>
      </c>
    </row>
    <row r="779" spans="1:15" collapsed="1" x14ac:dyDescent="0.2">
      <c r="A779"/>
      <c r="B779" s="1002">
        <v>81</v>
      </c>
      <c r="C779" s="1003">
        <v>27</v>
      </c>
      <c r="D779" s="1003"/>
      <c r="E779" s="1003"/>
      <c r="F779" s="1003"/>
      <c r="G779" s="1003"/>
      <c r="H779" s="1003"/>
      <c r="I779" s="1003"/>
      <c r="J779" s="1003"/>
      <c r="K779" s="1003">
        <f t="shared" si="12"/>
        <v>27</v>
      </c>
      <c r="L779" s="1004"/>
      <c r="M779" s="1003"/>
      <c r="N779" s="1003">
        <v>22</v>
      </c>
      <c r="O779" s="1005">
        <v>32</v>
      </c>
    </row>
    <row r="780" spans="1:15" collapsed="1" x14ac:dyDescent="0.2">
      <c r="A780"/>
      <c r="B780" s="1002">
        <v>81</v>
      </c>
      <c r="C780" s="1003">
        <v>23</v>
      </c>
      <c r="D780" s="1003">
        <v>3</v>
      </c>
      <c r="E780" s="1003"/>
      <c r="F780" s="1003"/>
      <c r="G780" s="1003"/>
      <c r="H780" s="1003"/>
      <c r="I780" s="1003"/>
      <c r="J780" s="1003"/>
      <c r="K780" s="1003">
        <f t="shared" si="12"/>
        <v>26</v>
      </c>
      <c r="L780" s="1004"/>
      <c r="M780" s="1003"/>
      <c r="N780" s="1003">
        <v>20</v>
      </c>
      <c r="O780" s="1005">
        <v>32</v>
      </c>
    </row>
    <row r="781" spans="1:15" collapsed="1" x14ac:dyDescent="0.2">
      <c r="A781"/>
      <c r="B781" s="1002">
        <v>81</v>
      </c>
      <c r="C781" s="1003">
        <v>19</v>
      </c>
      <c r="D781" s="1003">
        <v>6</v>
      </c>
      <c r="E781" s="1003"/>
      <c r="F781" s="1003"/>
      <c r="G781" s="1003"/>
      <c r="H781" s="1003"/>
      <c r="I781" s="1003"/>
      <c r="J781" s="1003"/>
      <c r="K781" s="1003">
        <f t="shared" si="12"/>
        <v>25</v>
      </c>
      <c r="L781" s="1004"/>
      <c r="M781" s="1003"/>
      <c r="N781" s="1003">
        <v>18</v>
      </c>
      <c r="O781" s="1005">
        <v>32</v>
      </c>
    </row>
    <row r="782" spans="1:15" collapsed="1" x14ac:dyDescent="0.2">
      <c r="A782"/>
      <c r="B782" s="1002">
        <v>81</v>
      </c>
      <c r="C782" s="1003">
        <v>15</v>
      </c>
      <c r="D782" s="1003">
        <v>9</v>
      </c>
      <c r="E782" s="1003"/>
      <c r="F782" s="1003"/>
      <c r="G782" s="1003"/>
      <c r="H782" s="1003"/>
      <c r="I782" s="1003"/>
      <c r="J782" s="1003"/>
      <c r="K782" s="1003">
        <f t="shared" si="12"/>
        <v>24</v>
      </c>
      <c r="L782" s="1004"/>
      <c r="M782" s="1003"/>
      <c r="N782" s="1003">
        <v>16</v>
      </c>
      <c r="O782" s="1005">
        <v>32</v>
      </c>
    </row>
    <row r="783" spans="1:15" collapsed="1" x14ac:dyDescent="0.2">
      <c r="A783"/>
      <c r="B783" s="1002">
        <v>81</v>
      </c>
      <c r="C783" s="1003">
        <v>11</v>
      </c>
      <c r="D783" s="1003">
        <v>12</v>
      </c>
      <c r="E783" s="1003"/>
      <c r="F783" s="1003"/>
      <c r="G783" s="1003"/>
      <c r="H783" s="1003"/>
      <c r="I783" s="1003"/>
      <c r="J783" s="1003"/>
      <c r="K783" s="1003">
        <f t="shared" si="12"/>
        <v>23</v>
      </c>
      <c r="L783" s="1004"/>
      <c r="M783" s="1003"/>
      <c r="N783" s="1003">
        <v>14</v>
      </c>
      <c r="O783" s="1005">
        <v>32</v>
      </c>
    </row>
    <row r="784" spans="1:15" collapsed="1" x14ac:dyDescent="0.2">
      <c r="A784"/>
      <c r="B784" s="1002">
        <v>81</v>
      </c>
      <c r="C784" s="1003">
        <v>7</v>
      </c>
      <c r="D784" s="1003">
        <v>15</v>
      </c>
      <c r="E784" s="1003"/>
      <c r="F784" s="1003"/>
      <c r="G784" s="1003"/>
      <c r="H784" s="1003"/>
      <c r="I784" s="1003"/>
      <c r="J784" s="1003"/>
      <c r="K784" s="1003">
        <f t="shared" si="12"/>
        <v>22</v>
      </c>
      <c r="L784" s="1004"/>
      <c r="M784" s="1003"/>
      <c r="N784" s="1003">
        <v>12</v>
      </c>
      <c r="O784" s="1005">
        <v>32</v>
      </c>
    </row>
    <row r="785" spans="1:15" collapsed="1" x14ac:dyDescent="0.2">
      <c r="A785"/>
      <c r="B785" s="1002">
        <v>81</v>
      </c>
      <c r="C785" s="1003">
        <v>3</v>
      </c>
      <c r="D785" s="1003">
        <v>18</v>
      </c>
      <c r="E785" s="1003"/>
      <c r="F785" s="1003"/>
      <c r="G785" s="1003"/>
      <c r="H785" s="1003"/>
      <c r="I785" s="1003"/>
      <c r="J785" s="1003"/>
      <c r="K785" s="1003">
        <f t="shared" si="12"/>
        <v>21</v>
      </c>
      <c r="L785" s="1004"/>
      <c r="M785" s="1003"/>
      <c r="N785" s="1003">
        <v>10</v>
      </c>
      <c r="O785" s="1005">
        <v>32</v>
      </c>
    </row>
    <row r="786" spans="1:15" collapsed="1" x14ac:dyDescent="0.2">
      <c r="A786"/>
      <c r="B786" s="1002">
        <v>81</v>
      </c>
      <c r="C786" s="1003"/>
      <c r="D786" s="1003">
        <v>19</v>
      </c>
      <c r="E786" s="1003">
        <v>1</v>
      </c>
      <c r="F786" s="1003"/>
      <c r="G786" s="1003"/>
      <c r="H786" s="1003"/>
      <c r="I786" s="1003"/>
      <c r="J786" s="1003"/>
      <c r="K786" s="1003">
        <f t="shared" si="12"/>
        <v>20</v>
      </c>
      <c r="L786" s="1004"/>
      <c r="M786" s="1003"/>
      <c r="N786" s="1003">
        <v>8</v>
      </c>
      <c r="O786" s="1005">
        <v>32</v>
      </c>
    </row>
    <row r="787" spans="1:15" collapsed="1" x14ac:dyDescent="0.2">
      <c r="A787"/>
      <c r="B787" s="1002">
        <v>81</v>
      </c>
      <c r="C787" s="1003"/>
      <c r="D787" s="1003">
        <v>14</v>
      </c>
      <c r="E787" s="1003">
        <v>5</v>
      </c>
      <c r="F787" s="1003"/>
      <c r="G787" s="1003"/>
      <c r="H787" s="1003"/>
      <c r="I787" s="1003"/>
      <c r="J787" s="1003"/>
      <c r="K787" s="1003">
        <f t="shared" si="12"/>
        <v>19</v>
      </c>
      <c r="L787" s="1004"/>
      <c r="M787" s="1003"/>
      <c r="N787" s="1003">
        <v>6</v>
      </c>
      <c r="O787" s="1005">
        <v>32</v>
      </c>
    </row>
    <row r="788" spans="1:15" collapsed="1" x14ac:dyDescent="0.2">
      <c r="A788"/>
      <c r="B788" s="1002">
        <v>81</v>
      </c>
      <c r="C788" s="1003"/>
      <c r="D788" s="1003">
        <v>9</v>
      </c>
      <c r="E788" s="1003">
        <v>9</v>
      </c>
      <c r="F788" s="1003"/>
      <c r="G788" s="1003"/>
      <c r="H788" s="1003"/>
      <c r="I788" s="1003"/>
      <c r="J788" s="1003"/>
      <c r="K788" s="1003">
        <f t="shared" si="12"/>
        <v>18</v>
      </c>
      <c r="L788" s="1004"/>
      <c r="M788" s="1003"/>
      <c r="N788" s="1003">
        <v>4</v>
      </c>
      <c r="O788" s="1005">
        <v>32</v>
      </c>
    </row>
    <row r="789" spans="1:15" collapsed="1" x14ac:dyDescent="0.2">
      <c r="A789"/>
      <c r="B789" s="1002">
        <v>81</v>
      </c>
      <c r="C789" s="1003"/>
      <c r="D789" s="1003">
        <v>4</v>
      </c>
      <c r="E789" s="1003">
        <v>13</v>
      </c>
      <c r="F789" s="1003"/>
      <c r="G789" s="1003"/>
      <c r="H789" s="1003"/>
      <c r="I789" s="1003"/>
      <c r="J789" s="1003"/>
      <c r="K789" s="1003">
        <f t="shared" si="12"/>
        <v>17</v>
      </c>
      <c r="L789" s="1004"/>
      <c r="M789" s="1003"/>
      <c r="N789" s="1003">
        <v>2</v>
      </c>
      <c r="O789" s="1005">
        <v>32</v>
      </c>
    </row>
    <row r="790" spans="1:15" collapsed="1" x14ac:dyDescent="0.2">
      <c r="A790"/>
      <c r="B790" s="1002">
        <v>81</v>
      </c>
      <c r="C790" s="1003"/>
      <c r="D790" s="1003"/>
      <c r="E790" s="1003">
        <v>15</v>
      </c>
      <c r="F790" s="1003">
        <v>1</v>
      </c>
      <c r="G790" s="1003"/>
      <c r="H790" s="1003"/>
      <c r="I790" s="1003"/>
      <c r="J790" s="1003"/>
      <c r="K790" s="1003">
        <f t="shared" si="12"/>
        <v>16</v>
      </c>
      <c r="L790" s="1004"/>
      <c r="M790" s="1003"/>
      <c r="N790" s="1003"/>
      <c r="O790" s="1005">
        <v>32</v>
      </c>
    </row>
    <row r="791" spans="1:15" collapsed="1" x14ac:dyDescent="0.2">
      <c r="A791"/>
      <c r="B791" s="1002">
        <v>81</v>
      </c>
      <c r="C791" s="1003"/>
      <c r="D791" s="1003"/>
      <c r="E791" s="1003">
        <v>10</v>
      </c>
      <c r="F791" s="1003">
        <v>5</v>
      </c>
      <c r="G791" s="1003"/>
      <c r="H791" s="1003"/>
      <c r="I791" s="1003"/>
      <c r="J791" s="1003"/>
      <c r="K791" s="1003">
        <f t="shared" si="12"/>
        <v>15</v>
      </c>
      <c r="L791" s="1004"/>
      <c r="M791" s="1003"/>
      <c r="N791" s="1003">
        <v>14</v>
      </c>
      <c r="O791" s="1005">
        <v>16</v>
      </c>
    </row>
    <row r="792" spans="1:15" x14ac:dyDescent="0.2">
      <c r="A792"/>
      <c r="B792" s="1002">
        <v>81</v>
      </c>
      <c r="C792" s="1003"/>
      <c r="D792" s="1003"/>
      <c r="E792" s="1003">
        <v>3</v>
      </c>
      <c r="F792" s="1003">
        <v>11</v>
      </c>
      <c r="G792" s="1003"/>
      <c r="H792" s="1003"/>
      <c r="I792" s="1003"/>
      <c r="J792" s="1003"/>
      <c r="K792" s="1003">
        <f t="shared" si="12"/>
        <v>14</v>
      </c>
      <c r="L792" s="1004"/>
      <c r="M792" s="1003"/>
      <c r="N792" s="1003">
        <v>12</v>
      </c>
      <c r="O792" s="1005">
        <v>16</v>
      </c>
    </row>
    <row r="793" spans="1:15" collapsed="1" x14ac:dyDescent="0.2">
      <c r="A793"/>
      <c r="B793" s="1002">
        <v>81</v>
      </c>
      <c r="C793" s="1003"/>
      <c r="D793" s="1003"/>
      <c r="E793" s="1003"/>
      <c r="F793" s="1003">
        <v>10</v>
      </c>
      <c r="G793" s="1003">
        <v>3</v>
      </c>
      <c r="H793" s="1003"/>
      <c r="I793" s="1003"/>
      <c r="J793" s="1003"/>
      <c r="K793" s="1003">
        <f t="shared" si="12"/>
        <v>13</v>
      </c>
      <c r="L793" s="1004"/>
      <c r="M793" s="1003"/>
      <c r="N793" s="1003">
        <v>10</v>
      </c>
      <c r="O793" s="1005">
        <v>16</v>
      </c>
    </row>
    <row r="794" spans="1:15" collapsed="1" x14ac:dyDescent="0.2">
      <c r="A794"/>
      <c r="B794" s="1002">
        <v>81</v>
      </c>
      <c r="C794" s="1003"/>
      <c r="D794" s="1003"/>
      <c r="E794" s="1003"/>
      <c r="F794" s="1003">
        <v>3</v>
      </c>
      <c r="G794" s="1003">
        <v>9</v>
      </c>
      <c r="H794" s="1003"/>
      <c r="I794" s="1003"/>
      <c r="J794" s="1003"/>
      <c r="K794" s="1003">
        <f t="shared" si="12"/>
        <v>12</v>
      </c>
      <c r="L794" s="1004"/>
      <c r="M794" s="1003"/>
      <c r="N794" s="1003">
        <v>8</v>
      </c>
      <c r="O794" s="1005">
        <v>16</v>
      </c>
    </row>
    <row r="795" spans="1:15" x14ac:dyDescent="0.2">
      <c r="A795"/>
      <c r="B795" s="1002">
        <v>81</v>
      </c>
      <c r="C795" s="1003"/>
      <c r="D795" s="1003"/>
      <c r="E795" s="1003"/>
      <c r="F795" s="1003"/>
      <c r="G795" s="1003">
        <v>7</v>
      </c>
      <c r="H795" s="1003">
        <v>4</v>
      </c>
      <c r="I795" s="1003"/>
      <c r="J795" s="1003"/>
      <c r="K795" s="1003">
        <f t="shared" si="12"/>
        <v>11</v>
      </c>
      <c r="L795" s="1004"/>
      <c r="M795" s="1003"/>
      <c r="N795" s="1003">
        <v>6</v>
      </c>
      <c r="O795" s="1005">
        <v>16</v>
      </c>
    </row>
    <row r="796" spans="1:15" collapsed="1" x14ac:dyDescent="0.2">
      <c r="A796"/>
      <c r="B796" s="1002">
        <v>81</v>
      </c>
      <c r="C796" s="1003"/>
      <c r="D796" s="1003"/>
      <c r="E796" s="1003"/>
      <c r="F796" s="1003"/>
      <c r="G796" s="1003"/>
      <c r="H796" s="1003">
        <v>9</v>
      </c>
      <c r="I796" s="1003">
        <v>1</v>
      </c>
      <c r="J796" s="1003"/>
      <c r="K796" s="1003">
        <f t="shared" si="12"/>
        <v>10</v>
      </c>
      <c r="L796" s="1004"/>
      <c r="M796" s="1003"/>
      <c r="N796" s="1003">
        <v>4</v>
      </c>
      <c r="O796" s="1005">
        <v>16</v>
      </c>
    </row>
    <row r="797" spans="1:15" collapsed="1" x14ac:dyDescent="0.2">
      <c r="A797"/>
      <c r="B797" s="1002">
        <v>81</v>
      </c>
      <c r="C797" s="1003"/>
      <c r="D797" s="1003"/>
      <c r="E797" s="1003"/>
      <c r="F797" s="1003"/>
      <c r="G797" s="1003"/>
      <c r="H797" s="1003"/>
      <c r="I797" s="1003">
        <v>9</v>
      </c>
      <c r="J797" s="1003"/>
      <c r="K797" s="1003">
        <f t="shared" si="12"/>
        <v>9</v>
      </c>
      <c r="L797" s="1004"/>
      <c r="M797" s="1003"/>
      <c r="N797" s="1003">
        <v>2</v>
      </c>
      <c r="O797" s="1005">
        <v>16</v>
      </c>
    </row>
    <row r="798" spans="1:15" collapsed="1" x14ac:dyDescent="0.2">
      <c r="A798"/>
      <c r="B798" s="1002">
        <v>82</v>
      </c>
      <c r="C798" s="1003">
        <v>26</v>
      </c>
      <c r="D798" s="1003">
        <v>1</v>
      </c>
      <c r="E798" s="1003"/>
      <c r="F798" s="1003"/>
      <c r="G798" s="1003"/>
      <c r="H798" s="1003"/>
      <c r="I798" s="1003"/>
      <c r="J798" s="1003"/>
      <c r="K798" s="1003">
        <f t="shared" si="12"/>
        <v>27</v>
      </c>
      <c r="L798" s="1004"/>
      <c r="M798" s="1003"/>
      <c r="N798" s="1003">
        <v>22</v>
      </c>
      <c r="O798" s="1005">
        <v>32</v>
      </c>
    </row>
    <row r="799" spans="1:15" collapsed="1" x14ac:dyDescent="0.2">
      <c r="A799"/>
      <c r="B799" s="1002">
        <v>82</v>
      </c>
      <c r="C799" s="1003">
        <v>22</v>
      </c>
      <c r="D799" s="1003">
        <v>4</v>
      </c>
      <c r="E799" s="1003"/>
      <c r="F799" s="1003"/>
      <c r="G799" s="1003"/>
      <c r="H799" s="1003"/>
      <c r="I799" s="1003"/>
      <c r="J799" s="1003"/>
      <c r="K799" s="1003">
        <f t="shared" si="12"/>
        <v>26</v>
      </c>
      <c r="L799" s="1004"/>
      <c r="M799" s="1003"/>
      <c r="N799" s="1003">
        <v>20</v>
      </c>
      <c r="O799" s="1005">
        <v>32</v>
      </c>
    </row>
    <row r="800" spans="1:15" collapsed="1" x14ac:dyDescent="0.2">
      <c r="A800"/>
      <c r="B800" s="1002">
        <v>82</v>
      </c>
      <c r="C800" s="1003">
        <v>18</v>
      </c>
      <c r="D800" s="1003">
        <v>7</v>
      </c>
      <c r="E800" s="1003"/>
      <c r="F800" s="1003"/>
      <c r="G800" s="1003"/>
      <c r="H800" s="1003"/>
      <c r="I800" s="1003"/>
      <c r="J800" s="1003"/>
      <c r="K800" s="1003">
        <f t="shared" si="12"/>
        <v>25</v>
      </c>
      <c r="L800" s="1004"/>
      <c r="M800" s="1003"/>
      <c r="N800" s="1003">
        <v>18</v>
      </c>
      <c r="O800" s="1005">
        <v>32</v>
      </c>
    </row>
    <row r="801" spans="1:15" collapsed="1" x14ac:dyDescent="0.2">
      <c r="A801"/>
      <c r="B801" s="1002">
        <v>82</v>
      </c>
      <c r="C801" s="1003">
        <v>14</v>
      </c>
      <c r="D801" s="1003">
        <v>10</v>
      </c>
      <c r="E801" s="1003"/>
      <c r="F801" s="1003"/>
      <c r="G801" s="1003"/>
      <c r="H801" s="1003"/>
      <c r="I801" s="1003"/>
      <c r="J801" s="1003"/>
      <c r="K801" s="1003">
        <f t="shared" si="12"/>
        <v>24</v>
      </c>
      <c r="L801" s="1004"/>
      <c r="M801" s="1003"/>
      <c r="N801" s="1003">
        <v>16</v>
      </c>
      <c r="O801" s="1005">
        <v>32</v>
      </c>
    </row>
    <row r="802" spans="1:15" collapsed="1" x14ac:dyDescent="0.2">
      <c r="A802"/>
      <c r="B802" s="1002">
        <v>82</v>
      </c>
      <c r="C802" s="1003">
        <v>10</v>
      </c>
      <c r="D802" s="1003">
        <v>13</v>
      </c>
      <c r="E802" s="1003"/>
      <c r="F802" s="1003"/>
      <c r="G802" s="1003"/>
      <c r="H802" s="1003"/>
      <c r="I802" s="1003"/>
      <c r="J802" s="1003"/>
      <c r="K802" s="1003">
        <f t="shared" si="12"/>
        <v>23</v>
      </c>
      <c r="L802" s="1004"/>
      <c r="M802" s="1003"/>
      <c r="N802" s="1003">
        <v>14</v>
      </c>
      <c r="O802" s="1005">
        <v>32</v>
      </c>
    </row>
    <row r="803" spans="1:15" collapsed="1" x14ac:dyDescent="0.2">
      <c r="A803"/>
      <c r="B803" s="1002">
        <v>82</v>
      </c>
      <c r="C803" s="1003">
        <v>6</v>
      </c>
      <c r="D803" s="1003">
        <v>16</v>
      </c>
      <c r="E803" s="1003"/>
      <c r="F803" s="1003"/>
      <c r="G803" s="1003"/>
      <c r="H803" s="1003"/>
      <c r="I803" s="1003"/>
      <c r="J803" s="1003"/>
      <c r="K803" s="1003">
        <f t="shared" si="12"/>
        <v>22</v>
      </c>
      <c r="L803" s="1004"/>
      <c r="M803" s="1003"/>
      <c r="N803" s="1003">
        <v>12</v>
      </c>
      <c r="O803" s="1005">
        <v>32</v>
      </c>
    </row>
    <row r="804" spans="1:15" collapsed="1" x14ac:dyDescent="0.2">
      <c r="A804"/>
      <c r="B804" s="1002">
        <v>82</v>
      </c>
      <c r="C804" s="1003">
        <v>2</v>
      </c>
      <c r="D804" s="1003">
        <v>19</v>
      </c>
      <c r="E804" s="1003"/>
      <c r="F804" s="1003"/>
      <c r="G804" s="1003"/>
      <c r="H804" s="1003"/>
      <c r="I804" s="1003"/>
      <c r="J804" s="1003"/>
      <c r="K804" s="1003">
        <f t="shared" si="12"/>
        <v>21</v>
      </c>
      <c r="L804" s="1004"/>
      <c r="M804" s="1003"/>
      <c r="N804" s="1003">
        <v>10</v>
      </c>
      <c r="O804" s="1005">
        <v>32</v>
      </c>
    </row>
    <row r="805" spans="1:15" collapsed="1" x14ac:dyDescent="0.2">
      <c r="A805"/>
      <c r="B805" s="1002">
        <v>82</v>
      </c>
      <c r="C805" s="1003"/>
      <c r="D805" s="1003">
        <v>18</v>
      </c>
      <c r="E805" s="1003">
        <v>2</v>
      </c>
      <c r="F805" s="1003"/>
      <c r="G805" s="1003"/>
      <c r="H805" s="1003"/>
      <c r="I805" s="1003"/>
      <c r="J805" s="1003"/>
      <c r="K805" s="1003">
        <f t="shared" si="12"/>
        <v>20</v>
      </c>
      <c r="L805" s="1004"/>
      <c r="M805" s="1003"/>
      <c r="N805" s="1003">
        <v>8</v>
      </c>
      <c r="O805" s="1005">
        <v>32</v>
      </c>
    </row>
    <row r="806" spans="1:15" collapsed="1" x14ac:dyDescent="0.2">
      <c r="A806"/>
      <c r="B806" s="1002">
        <v>82</v>
      </c>
      <c r="C806" s="1003"/>
      <c r="D806" s="1003">
        <v>13</v>
      </c>
      <c r="E806" s="1003">
        <v>6</v>
      </c>
      <c r="F806" s="1003"/>
      <c r="G806" s="1003"/>
      <c r="H806" s="1003"/>
      <c r="I806" s="1003"/>
      <c r="J806" s="1003"/>
      <c r="K806" s="1003">
        <f t="shared" si="12"/>
        <v>19</v>
      </c>
      <c r="L806" s="1004"/>
      <c r="M806" s="1003"/>
      <c r="N806" s="1003">
        <v>6</v>
      </c>
      <c r="O806" s="1005">
        <v>32</v>
      </c>
    </row>
    <row r="807" spans="1:15" collapsed="1" x14ac:dyDescent="0.2">
      <c r="A807"/>
      <c r="B807" s="1002">
        <v>82</v>
      </c>
      <c r="C807" s="1003"/>
      <c r="D807" s="1003">
        <v>8</v>
      </c>
      <c r="E807" s="1003">
        <v>10</v>
      </c>
      <c r="F807" s="1003"/>
      <c r="G807" s="1003"/>
      <c r="H807" s="1003"/>
      <c r="I807" s="1003"/>
      <c r="J807" s="1003"/>
      <c r="K807" s="1003">
        <f t="shared" si="12"/>
        <v>18</v>
      </c>
      <c r="L807" s="1004"/>
      <c r="M807" s="1003"/>
      <c r="N807" s="1003">
        <v>4</v>
      </c>
      <c r="O807" s="1005">
        <v>32</v>
      </c>
    </row>
    <row r="808" spans="1:15" collapsed="1" x14ac:dyDescent="0.2">
      <c r="A808"/>
      <c r="B808" s="1002">
        <v>82</v>
      </c>
      <c r="C808" s="1003"/>
      <c r="D808" s="1003">
        <v>3</v>
      </c>
      <c r="E808" s="1003">
        <v>14</v>
      </c>
      <c r="F808" s="1003"/>
      <c r="G808" s="1003"/>
      <c r="H808" s="1003"/>
      <c r="I808" s="1003"/>
      <c r="J808" s="1003"/>
      <c r="K808" s="1003">
        <f t="shared" si="12"/>
        <v>17</v>
      </c>
      <c r="L808" s="1004"/>
      <c r="M808" s="1003"/>
      <c r="N808" s="1003">
        <v>2</v>
      </c>
      <c r="O808" s="1005">
        <v>32</v>
      </c>
    </row>
    <row r="809" spans="1:15" collapsed="1" x14ac:dyDescent="0.2">
      <c r="A809"/>
      <c r="B809" s="1002">
        <v>82</v>
      </c>
      <c r="C809" s="1003"/>
      <c r="D809" s="1003"/>
      <c r="E809" s="1003">
        <v>14</v>
      </c>
      <c r="F809" s="1003">
        <v>2</v>
      </c>
      <c r="G809" s="1003"/>
      <c r="H809" s="1003"/>
      <c r="I809" s="1003"/>
      <c r="J809" s="1003"/>
      <c r="K809" s="1003">
        <f t="shared" si="12"/>
        <v>16</v>
      </c>
      <c r="L809" s="1004"/>
      <c r="M809" s="1003"/>
      <c r="N809" s="1003"/>
      <c r="O809" s="1005">
        <v>32</v>
      </c>
    </row>
    <row r="810" spans="1:15" collapsed="1" x14ac:dyDescent="0.2">
      <c r="A810"/>
      <c r="B810" s="1002">
        <v>82</v>
      </c>
      <c r="C810" s="1003"/>
      <c r="D810" s="1003"/>
      <c r="E810" s="1003">
        <v>9</v>
      </c>
      <c r="F810" s="1003">
        <v>6</v>
      </c>
      <c r="G810" s="1003"/>
      <c r="H810" s="1003"/>
      <c r="I810" s="1003"/>
      <c r="J810" s="1003"/>
      <c r="K810" s="1003">
        <f t="shared" si="12"/>
        <v>15</v>
      </c>
      <c r="L810" s="1004"/>
      <c r="M810" s="1003"/>
      <c r="N810" s="1003">
        <v>14</v>
      </c>
      <c r="O810" s="1005">
        <v>16</v>
      </c>
    </row>
    <row r="811" spans="1:15" x14ac:dyDescent="0.2">
      <c r="A811"/>
      <c r="B811" s="1002">
        <v>82</v>
      </c>
      <c r="C811" s="1003"/>
      <c r="D811" s="1003"/>
      <c r="E811" s="1003">
        <v>2</v>
      </c>
      <c r="F811" s="1003">
        <v>12</v>
      </c>
      <c r="G811" s="1003"/>
      <c r="H811" s="1003"/>
      <c r="I811" s="1003"/>
      <c r="J811" s="1003"/>
      <c r="K811" s="1003">
        <f t="shared" si="12"/>
        <v>14</v>
      </c>
      <c r="L811" s="1004"/>
      <c r="M811" s="1003"/>
      <c r="N811" s="1003">
        <v>12</v>
      </c>
      <c r="O811" s="1005">
        <v>16</v>
      </c>
    </row>
    <row r="812" spans="1:15" collapsed="1" x14ac:dyDescent="0.2">
      <c r="A812"/>
      <c r="B812" s="1002">
        <v>82</v>
      </c>
      <c r="C812" s="1003"/>
      <c r="D812" s="1003"/>
      <c r="E812" s="1003"/>
      <c r="F812" s="1003">
        <v>9</v>
      </c>
      <c r="G812" s="1003">
        <v>4</v>
      </c>
      <c r="H812" s="1003"/>
      <c r="I812" s="1003"/>
      <c r="J812" s="1003"/>
      <c r="K812" s="1003">
        <f t="shared" si="12"/>
        <v>13</v>
      </c>
      <c r="L812" s="1004"/>
      <c r="M812" s="1003"/>
      <c r="N812" s="1003">
        <v>10</v>
      </c>
      <c r="O812" s="1005">
        <v>16</v>
      </c>
    </row>
    <row r="813" spans="1:15" collapsed="1" x14ac:dyDescent="0.2">
      <c r="A813"/>
      <c r="B813" s="1002">
        <v>82</v>
      </c>
      <c r="C813" s="1003"/>
      <c r="D813" s="1003"/>
      <c r="E813" s="1003"/>
      <c r="F813" s="1003">
        <v>2</v>
      </c>
      <c r="G813" s="1003">
        <v>10</v>
      </c>
      <c r="H813" s="1003"/>
      <c r="I813" s="1003"/>
      <c r="J813" s="1003"/>
      <c r="K813" s="1003">
        <f t="shared" si="12"/>
        <v>12</v>
      </c>
      <c r="L813" s="1004"/>
      <c r="M813" s="1003"/>
      <c r="N813" s="1003">
        <v>8</v>
      </c>
      <c r="O813" s="1005">
        <v>16</v>
      </c>
    </row>
    <row r="814" spans="1:15" x14ac:dyDescent="0.2">
      <c r="A814"/>
      <c r="B814" s="1002">
        <v>82</v>
      </c>
      <c r="C814" s="1003"/>
      <c r="D814" s="1003"/>
      <c r="E814" s="1003"/>
      <c r="F814" s="1003"/>
      <c r="G814" s="1003">
        <v>6</v>
      </c>
      <c r="H814" s="1003">
        <v>5</v>
      </c>
      <c r="I814" s="1003"/>
      <c r="J814" s="1003"/>
      <c r="K814" s="1003">
        <f t="shared" si="12"/>
        <v>11</v>
      </c>
      <c r="L814" s="1004"/>
      <c r="M814" s="1003"/>
      <c r="N814" s="1003">
        <v>6</v>
      </c>
      <c r="O814" s="1005">
        <v>16</v>
      </c>
    </row>
    <row r="815" spans="1:15" collapsed="1" x14ac:dyDescent="0.2">
      <c r="A815"/>
      <c r="B815" s="1002">
        <v>82</v>
      </c>
      <c r="C815" s="1003"/>
      <c r="D815" s="1003"/>
      <c r="E815" s="1003"/>
      <c r="F815" s="1003"/>
      <c r="G815" s="1003"/>
      <c r="H815" s="1003">
        <v>8</v>
      </c>
      <c r="I815" s="1003">
        <v>2</v>
      </c>
      <c r="J815" s="1003"/>
      <c r="K815" s="1003">
        <f t="shared" si="12"/>
        <v>10</v>
      </c>
      <c r="L815" s="1004"/>
      <c r="M815" s="1003"/>
      <c r="N815" s="1003">
        <v>4</v>
      </c>
      <c r="O815" s="1005">
        <v>16</v>
      </c>
    </row>
    <row r="816" spans="1:15" collapsed="1" x14ac:dyDescent="0.2">
      <c r="A816"/>
      <c r="B816" s="1002">
        <v>82</v>
      </c>
      <c r="C816" s="1003"/>
      <c r="D816" s="1003"/>
      <c r="E816" s="1003"/>
      <c r="F816" s="1003"/>
      <c r="G816" s="1003"/>
      <c r="H816" s="1003"/>
      <c r="I816" s="1003">
        <v>8</v>
      </c>
      <c r="J816" s="1003">
        <v>1</v>
      </c>
      <c r="K816" s="1003">
        <f t="shared" si="12"/>
        <v>9</v>
      </c>
      <c r="L816" s="1004"/>
      <c r="M816" s="1003"/>
      <c r="N816" s="1003">
        <v>2</v>
      </c>
      <c r="O816" s="1005">
        <v>16</v>
      </c>
    </row>
    <row r="817" spans="1:15" collapsed="1" x14ac:dyDescent="0.2">
      <c r="A817"/>
      <c r="B817" s="1002">
        <v>83</v>
      </c>
      <c r="C817" s="1003">
        <v>25</v>
      </c>
      <c r="D817" s="1003">
        <v>2</v>
      </c>
      <c r="E817" s="1003"/>
      <c r="F817" s="1003"/>
      <c r="G817" s="1003"/>
      <c r="H817" s="1003"/>
      <c r="I817" s="1003"/>
      <c r="J817" s="1003"/>
      <c r="K817" s="1003">
        <f t="shared" si="12"/>
        <v>27</v>
      </c>
      <c r="L817" s="1004"/>
      <c r="M817" s="1003"/>
      <c r="N817" s="1003">
        <v>22</v>
      </c>
      <c r="O817" s="1005">
        <v>32</v>
      </c>
    </row>
    <row r="818" spans="1:15" collapsed="1" x14ac:dyDescent="0.2">
      <c r="A818"/>
      <c r="B818" s="1002">
        <v>83</v>
      </c>
      <c r="C818" s="1003">
        <v>21</v>
      </c>
      <c r="D818" s="1003">
        <v>5</v>
      </c>
      <c r="E818" s="1003"/>
      <c r="F818" s="1003"/>
      <c r="G818" s="1003"/>
      <c r="H818" s="1003"/>
      <c r="I818" s="1003"/>
      <c r="J818" s="1003"/>
      <c r="K818" s="1003">
        <f t="shared" si="12"/>
        <v>26</v>
      </c>
      <c r="L818" s="1004"/>
      <c r="M818" s="1003"/>
      <c r="N818" s="1003">
        <v>20</v>
      </c>
      <c r="O818" s="1005">
        <v>32</v>
      </c>
    </row>
    <row r="819" spans="1:15" collapsed="1" x14ac:dyDescent="0.2">
      <c r="A819"/>
      <c r="B819" s="1002">
        <v>83</v>
      </c>
      <c r="C819" s="1003">
        <v>17</v>
      </c>
      <c r="D819" s="1003">
        <v>8</v>
      </c>
      <c r="E819" s="1003"/>
      <c r="F819" s="1003"/>
      <c r="G819" s="1003"/>
      <c r="H819" s="1003"/>
      <c r="I819" s="1003"/>
      <c r="J819" s="1003"/>
      <c r="K819" s="1003">
        <f t="shared" si="12"/>
        <v>25</v>
      </c>
      <c r="L819" s="1004"/>
      <c r="M819" s="1003"/>
      <c r="N819" s="1003">
        <v>18</v>
      </c>
      <c r="O819" s="1005">
        <v>32</v>
      </c>
    </row>
    <row r="820" spans="1:15" collapsed="1" x14ac:dyDescent="0.2">
      <c r="A820"/>
      <c r="B820" s="1002">
        <v>83</v>
      </c>
      <c r="C820" s="1003">
        <v>13</v>
      </c>
      <c r="D820" s="1003">
        <v>11</v>
      </c>
      <c r="E820" s="1003"/>
      <c r="F820" s="1003"/>
      <c r="G820" s="1003"/>
      <c r="H820" s="1003"/>
      <c r="I820" s="1003"/>
      <c r="J820" s="1003"/>
      <c r="K820" s="1003">
        <f t="shared" si="12"/>
        <v>24</v>
      </c>
      <c r="L820" s="1004"/>
      <c r="M820" s="1003"/>
      <c r="N820" s="1003">
        <v>16</v>
      </c>
      <c r="O820" s="1005">
        <v>32</v>
      </c>
    </row>
    <row r="821" spans="1:15" collapsed="1" x14ac:dyDescent="0.2">
      <c r="A821"/>
      <c r="B821" s="1002">
        <v>83</v>
      </c>
      <c r="C821" s="1003">
        <v>9</v>
      </c>
      <c r="D821" s="1003">
        <v>14</v>
      </c>
      <c r="E821" s="1003"/>
      <c r="F821" s="1003"/>
      <c r="G821" s="1003"/>
      <c r="H821" s="1003"/>
      <c r="I821" s="1003"/>
      <c r="J821" s="1003"/>
      <c r="K821" s="1003">
        <f t="shared" si="12"/>
        <v>23</v>
      </c>
      <c r="L821" s="1004"/>
      <c r="M821" s="1003"/>
      <c r="N821" s="1003">
        <v>14</v>
      </c>
      <c r="O821" s="1005">
        <v>32</v>
      </c>
    </row>
    <row r="822" spans="1:15" collapsed="1" x14ac:dyDescent="0.2">
      <c r="A822"/>
      <c r="B822" s="1002">
        <v>83</v>
      </c>
      <c r="C822" s="1003">
        <v>5</v>
      </c>
      <c r="D822" s="1003">
        <v>17</v>
      </c>
      <c r="E822" s="1003"/>
      <c r="F822" s="1003"/>
      <c r="G822" s="1003"/>
      <c r="H822" s="1003"/>
      <c r="I822" s="1003"/>
      <c r="J822" s="1003"/>
      <c r="K822" s="1003">
        <f t="shared" si="12"/>
        <v>22</v>
      </c>
      <c r="L822" s="1004"/>
      <c r="M822" s="1003"/>
      <c r="N822" s="1003">
        <v>12</v>
      </c>
      <c r="O822" s="1005">
        <v>32</v>
      </c>
    </row>
    <row r="823" spans="1:15" collapsed="1" x14ac:dyDescent="0.2">
      <c r="A823"/>
      <c r="B823" s="1002">
        <v>83</v>
      </c>
      <c r="C823" s="1003">
        <v>1</v>
      </c>
      <c r="D823" s="1003">
        <v>20</v>
      </c>
      <c r="E823" s="1003"/>
      <c r="F823" s="1003"/>
      <c r="G823" s="1003"/>
      <c r="H823" s="1003"/>
      <c r="I823" s="1003"/>
      <c r="J823" s="1003"/>
      <c r="K823" s="1003">
        <f t="shared" si="12"/>
        <v>21</v>
      </c>
      <c r="L823" s="1004"/>
      <c r="M823" s="1003"/>
      <c r="N823" s="1003">
        <v>10</v>
      </c>
      <c r="O823" s="1005">
        <v>32</v>
      </c>
    </row>
    <row r="824" spans="1:15" collapsed="1" x14ac:dyDescent="0.2">
      <c r="A824"/>
      <c r="B824" s="1002">
        <v>83</v>
      </c>
      <c r="C824" s="1003"/>
      <c r="D824" s="1003">
        <v>17</v>
      </c>
      <c r="E824" s="1003">
        <v>3</v>
      </c>
      <c r="F824" s="1003"/>
      <c r="G824" s="1003"/>
      <c r="H824" s="1003"/>
      <c r="I824" s="1003"/>
      <c r="J824" s="1003"/>
      <c r="K824" s="1003">
        <f t="shared" si="12"/>
        <v>20</v>
      </c>
      <c r="L824" s="1004"/>
      <c r="M824" s="1003"/>
      <c r="N824" s="1003">
        <v>8</v>
      </c>
      <c r="O824" s="1005">
        <v>32</v>
      </c>
    </row>
    <row r="825" spans="1:15" collapsed="1" x14ac:dyDescent="0.2">
      <c r="A825"/>
      <c r="B825" s="1002">
        <v>83</v>
      </c>
      <c r="C825" s="1003"/>
      <c r="D825" s="1003">
        <v>12</v>
      </c>
      <c r="E825" s="1003">
        <v>7</v>
      </c>
      <c r="F825" s="1003"/>
      <c r="G825" s="1003"/>
      <c r="H825" s="1003"/>
      <c r="I825" s="1003"/>
      <c r="J825" s="1003"/>
      <c r="K825" s="1003">
        <f t="shared" si="12"/>
        <v>19</v>
      </c>
      <c r="L825" s="1004"/>
      <c r="M825" s="1003"/>
      <c r="N825" s="1003">
        <v>6</v>
      </c>
      <c r="O825" s="1005">
        <v>32</v>
      </c>
    </row>
    <row r="826" spans="1:15" collapsed="1" x14ac:dyDescent="0.2">
      <c r="A826"/>
      <c r="B826" s="1002">
        <v>83</v>
      </c>
      <c r="C826" s="1003"/>
      <c r="D826" s="1003">
        <v>7</v>
      </c>
      <c r="E826" s="1003">
        <v>11</v>
      </c>
      <c r="F826" s="1003"/>
      <c r="G826" s="1003"/>
      <c r="H826" s="1003"/>
      <c r="I826" s="1003"/>
      <c r="J826" s="1003"/>
      <c r="K826" s="1003">
        <f t="shared" si="12"/>
        <v>18</v>
      </c>
      <c r="L826" s="1004"/>
      <c r="M826" s="1003"/>
      <c r="N826" s="1003">
        <v>4</v>
      </c>
      <c r="O826" s="1005">
        <v>32</v>
      </c>
    </row>
    <row r="827" spans="1:15" collapsed="1" x14ac:dyDescent="0.2">
      <c r="A827"/>
      <c r="B827" s="1002">
        <v>83</v>
      </c>
      <c r="C827" s="1003"/>
      <c r="D827" s="1003">
        <v>2</v>
      </c>
      <c r="E827" s="1003">
        <v>15</v>
      </c>
      <c r="F827" s="1003"/>
      <c r="G827" s="1003"/>
      <c r="H827" s="1003"/>
      <c r="I827" s="1003"/>
      <c r="J827" s="1003"/>
      <c r="K827" s="1003">
        <f t="shared" si="12"/>
        <v>17</v>
      </c>
      <c r="L827" s="1004"/>
      <c r="M827" s="1003"/>
      <c r="N827" s="1003">
        <v>2</v>
      </c>
      <c r="O827" s="1005">
        <v>32</v>
      </c>
    </row>
    <row r="828" spans="1:15" collapsed="1" x14ac:dyDescent="0.2">
      <c r="A828"/>
      <c r="B828" s="1002">
        <v>83</v>
      </c>
      <c r="C828" s="1003"/>
      <c r="D828" s="1003"/>
      <c r="E828" s="1003">
        <v>13</v>
      </c>
      <c r="F828" s="1003">
        <v>3</v>
      </c>
      <c r="G828" s="1003"/>
      <c r="H828" s="1003"/>
      <c r="I828" s="1003"/>
      <c r="J828" s="1003"/>
      <c r="K828" s="1003">
        <f t="shared" si="12"/>
        <v>16</v>
      </c>
      <c r="L828" s="1004"/>
      <c r="M828" s="1003"/>
      <c r="N828" s="1003"/>
      <c r="O828" s="1005">
        <v>32</v>
      </c>
    </row>
    <row r="829" spans="1:15" collapsed="1" x14ac:dyDescent="0.2">
      <c r="A829"/>
      <c r="B829" s="1002">
        <v>83</v>
      </c>
      <c r="C829" s="1003"/>
      <c r="D829" s="1003"/>
      <c r="E829" s="1003">
        <v>8</v>
      </c>
      <c r="F829" s="1003">
        <v>7</v>
      </c>
      <c r="G829" s="1003"/>
      <c r="H829" s="1003"/>
      <c r="I829" s="1003"/>
      <c r="J829" s="1003"/>
      <c r="K829" s="1003">
        <f t="shared" si="12"/>
        <v>15</v>
      </c>
      <c r="L829" s="1004"/>
      <c r="M829" s="1003"/>
      <c r="N829" s="1003">
        <v>14</v>
      </c>
      <c r="O829" s="1005">
        <v>16</v>
      </c>
    </row>
    <row r="830" spans="1:15" x14ac:dyDescent="0.2">
      <c r="A830"/>
      <c r="B830" s="1002">
        <v>83</v>
      </c>
      <c r="C830" s="1003"/>
      <c r="D830" s="1003"/>
      <c r="E830" s="1003">
        <v>1</v>
      </c>
      <c r="F830" s="1003">
        <v>13</v>
      </c>
      <c r="G830" s="1003"/>
      <c r="H830" s="1003"/>
      <c r="I830" s="1003"/>
      <c r="J830" s="1003"/>
      <c r="K830" s="1003">
        <f t="shared" si="12"/>
        <v>14</v>
      </c>
      <c r="L830" s="1004"/>
      <c r="M830" s="1003"/>
      <c r="N830" s="1003">
        <v>12</v>
      </c>
      <c r="O830" s="1005">
        <v>16</v>
      </c>
    </row>
    <row r="831" spans="1:15" collapsed="1" x14ac:dyDescent="0.2">
      <c r="A831"/>
      <c r="B831" s="1002">
        <v>83</v>
      </c>
      <c r="C831" s="1003"/>
      <c r="D831" s="1003"/>
      <c r="E831" s="1003"/>
      <c r="F831" s="1003">
        <v>8</v>
      </c>
      <c r="G831" s="1003">
        <v>5</v>
      </c>
      <c r="H831" s="1003"/>
      <c r="I831" s="1003"/>
      <c r="J831" s="1003"/>
      <c r="K831" s="1003">
        <f t="shared" si="12"/>
        <v>13</v>
      </c>
      <c r="L831" s="1004"/>
      <c r="M831" s="1003"/>
      <c r="N831" s="1003">
        <v>10</v>
      </c>
      <c r="O831" s="1005">
        <v>16</v>
      </c>
    </row>
    <row r="832" spans="1:15" collapsed="1" x14ac:dyDescent="0.2">
      <c r="A832"/>
      <c r="B832" s="1002">
        <v>83</v>
      </c>
      <c r="C832" s="1003"/>
      <c r="D832" s="1003"/>
      <c r="E832" s="1003"/>
      <c r="F832" s="1003">
        <v>1</v>
      </c>
      <c r="G832" s="1003">
        <v>11</v>
      </c>
      <c r="H832" s="1003"/>
      <c r="I832" s="1003"/>
      <c r="J832" s="1003"/>
      <c r="K832" s="1003">
        <f t="shared" si="12"/>
        <v>12</v>
      </c>
      <c r="L832" s="1004"/>
      <c r="M832" s="1003"/>
      <c r="N832" s="1003">
        <v>8</v>
      </c>
      <c r="O832" s="1005">
        <v>16</v>
      </c>
    </row>
    <row r="833" spans="1:15" x14ac:dyDescent="0.2">
      <c r="A833"/>
      <c r="B833" s="1002">
        <v>83</v>
      </c>
      <c r="C833" s="1003"/>
      <c r="D833" s="1003"/>
      <c r="E833" s="1003"/>
      <c r="F833" s="1003"/>
      <c r="G833" s="1003">
        <v>5</v>
      </c>
      <c r="H833" s="1003">
        <v>6</v>
      </c>
      <c r="I833" s="1003"/>
      <c r="J833" s="1003"/>
      <c r="K833" s="1003">
        <f t="shared" si="12"/>
        <v>11</v>
      </c>
      <c r="L833" s="1004"/>
      <c r="M833" s="1003"/>
      <c r="N833" s="1003">
        <v>6</v>
      </c>
      <c r="O833" s="1005">
        <v>16</v>
      </c>
    </row>
    <row r="834" spans="1:15" collapsed="1" x14ac:dyDescent="0.2">
      <c r="A834"/>
      <c r="B834" s="1002">
        <v>83</v>
      </c>
      <c r="C834" s="1003"/>
      <c r="D834" s="1003"/>
      <c r="E834" s="1003"/>
      <c r="F834" s="1003"/>
      <c r="G834" s="1003"/>
      <c r="H834" s="1003">
        <v>7</v>
      </c>
      <c r="I834" s="1003">
        <v>3</v>
      </c>
      <c r="J834" s="1003"/>
      <c r="K834" s="1003">
        <f t="shared" si="12"/>
        <v>10</v>
      </c>
      <c r="L834" s="1004"/>
      <c r="M834" s="1003"/>
      <c r="N834" s="1003">
        <v>4</v>
      </c>
      <c r="O834" s="1005">
        <v>16</v>
      </c>
    </row>
    <row r="835" spans="1:15" collapsed="1" x14ac:dyDescent="0.2">
      <c r="A835"/>
      <c r="B835" s="1002">
        <v>83</v>
      </c>
      <c r="C835" s="1003"/>
      <c r="D835" s="1003"/>
      <c r="E835" s="1003"/>
      <c r="F835" s="1003"/>
      <c r="G835" s="1003"/>
      <c r="H835" s="1003"/>
      <c r="I835" s="1003">
        <v>7</v>
      </c>
      <c r="J835" s="1003">
        <v>2</v>
      </c>
      <c r="K835" s="1003">
        <f t="shared" si="12"/>
        <v>9</v>
      </c>
      <c r="L835" s="1004"/>
      <c r="M835" s="1003"/>
      <c r="N835" s="1003">
        <v>2</v>
      </c>
      <c r="O835" s="1005">
        <v>16</v>
      </c>
    </row>
    <row r="836" spans="1:15" collapsed="1" x14ac:dyDescent="0.2">
      <c r="A836"/>
      <c r="B836" s="1002">
        <v>84</v>
      </c>
      <c r="C836" s="1003">
        <v>28</v>
      </c>
      <c r="D836" s="1003"/>
      <c r="E836" s="1003"/>
      <c r="F836" s="1003"/>
      <c r="G836" s="1003"/>
      <c r="H836" s="1003"/>
      <c r="I836" s="1003"/>
      <c r="J836" s="1003"/>
      <c r="K836" s="1003">
        <f t="shared" si="12"/>
        <v>28</v>
      </c>
      <c r="L836" s="1004"/>
      <c r="M836" s="1003"/>
      <c r="N836" s="1003">
        <v>24</v>
      </c>
      <c r="O836" s="1005">
        <v>32</v>
      </c>
    </row>
    <row r="837" spans="1:15" collapsed="1" x14ac:dyDescent="0.2">
      <c r="A837"/>
      <c r="B837" s="1002">
        <v>84</v>
      </c>
      <c r="C837" s="1003">
        <v>24</v>
      </c>
      <c r="D837" s="1003">
        <v>3</v>
      </c>
      <c r="E837" s="1003"/>
      <c r="F837" s="1003"/>
      <c r="G837" s="1003"/>
      <c r="H837" s="1003"/>
      <c r="I837" s="1003"/>
      <c r="J837" s="1003"/>
      <c r="K837" s="1003">
        <f t="shared" si="12"/>
        <v>27</v>
      </c>
      <c r="L837" s="1004"/>
      <c r="M837" s="1003"/>
      <c r="N837" s="1003">
        <v>22</v>
      </c>
      <c r="O837" s="1005">
        <v>32</v>
      </c>
    </row>
    <row r="838" spans="1:15" collapsed="1" x14ac:dyDescent="0.2">
      <c r="A838"/>
      <c r="B838" s="1002">
        <v>84</v>
      </c>
      <c r="C838" s="1003">
        <v>20</v>
      </c>
      <c r="D838" s="1003">
        <v>6</v>
      </c>
      <c r="E838" s="1003"/>
      <c r="F838" s="1003"/>
      <c r="G838" s="1003"/>
      <c r="H838" s="1003"/>
      <c r="I838" s="1003"/>
      <c r="J838" s="1003"/>
      <c r="K838" s="1003">
        <f t="shared" ref="K838:K901" si="13">SUM(C838:J838)</f>
        <v>26</v>
      </c>
      <c r="L838" s="1004"/>
      <c r="M838" s="1003"/>
      <c r="N838" s="1003">
        <v>20</v>
      </c>
      <c r="O838" s="1005">
        <v>32</v>
      </c>
    </row>
    <row r="839" spans="1:15" collapsed="1" x14ac:dyDescent="0.2">
      <c r="A839"/>
      <c r="B839" s="1002">
        <v>84</v>
      </c>
      <c r="C839" s="1003">
        <v>16</v>
      </c>
      <c r="D839" s="1003">
        <v>9</v>
      </c>
      <c r="E839" s="1003"/>
      <c r="F839" s="1003"/>
      <c r="G839" s="1003"/>
      <c r="H839" s="1003"/>
      <c r="I839" s="1003"/>
      <c r="J839" s="1003"/>
      <c r="K839" s="1003">
        <f t="shared" si="13"/>
        <v>25</v>
      </c>
      <c r="L839" s="1004"/>
      <c r="M839" s="1003"/>
      <c r="N839" s="1003">
        <v>18</v>
      </c>
      <c r="O839" s="1005">
        <v>32</v>
      </c>
    </row>
    <row r="840" spans="1:15" collapsed="1" x14ac:dyDescent="0.2">
      <c r="A840"/>
      <c r="B840" s="1002">
        <v>84</v>
      </c>
      <c r="C840" s="1003">
        <v>12</v>
      </c>
      <c r="D840" s="1003">
        <v>12</v>
      </c>
      <c r="E840" s="1003"/>
      <c r="F840" s="1003"/>
      <c r="G840" s="1003"/>
      <c r="H840" s="1003"/>
      <c r="I840" s="1003"/>
      <c r="J840" s="1003"/>
      <c r="K840" s="1003">
        <f t="shared" si="13"/>
        <v>24</v>
      </c>
      <c r="L840" s="1004"/>
      <c r="M840" s="1003"/>
      <c r="N840" s="1003">
        <v>16</v>
      </c>
      <c r="O840" s="1005">
        <v>32</v>
      </c>
    </row>
    <row r="841" spans="1:15" collapsed="1" x14ac:dyDescent="0.2">
      <c r="A841"/>
      <c r="B841" s="1002">
        <v>84</v>
      </c>
      <c r="C841" s="1003">
        <v>8</v>
      </c>
      <c r="D841" s="1003">
        <v>15</v>
      </c>
      <c r="E841" s="1003"/>
      <c r="F841" s="1003"/>
      <c r="G841" s="1003"/>
      <c r="H841" s="1003"/>
      <c r="I841" s="1003"/>
      <c r="J841" s="1003"/>
      <c r="K841" s="1003">
        <f t="shared" si="13"/>
        <v>23</v>
      </c>
      <c r="L841" s="1004"/>
      <c r="M841" s="1003"/>
      <c r="N841" s="1003">
        <v>14</v>
      </c>
      <c r="O841" s="1005">
        <v>32</v>
      </c>
    </row>
    <row r="842" spans="1:15" collapsed="1" x14ac:dyDescent="0.2">
      <c r="A842"/>
      <c r="B842" s="1002">
        <v>84</v>
      </c>
      <c r="C842" s="1003">
        <v>4</v>
      </c>
      <c r="D842" s="1003">
        <v>18</v>
      </c>
      <c r="E842" s="1003"/>
      <c r="F842" s="1003"/>
      <c r="G842" s="1003"/>
      <c r="H842" s="1003"/>
      <c r="I842" s="1003"/>
      <c r="J842" s="1003"/>
      <c r="K842" s="1003">
        <f t="shared" si="13"/>
        <v>22</v>
      </c>
      <c r="L842" s="1004"/>
      <c r="M842" s="1003"/>
      <c r="N842" s="1003">
        <v>12</v>
      </c>
      <c r="O842" s="1005">
        <v>32</v>
      </c>
    </row>
    <row r="843" spans="1:15" collapsed="1" x14ac:dyDescent="0.2">
      <c r="A843"/>
      <c r="B843" s="1002">
        <v>84</v>
      </c>
      <c r="C843" s="1003"/>
      <c r="D843" s="1003">
        <v>21</v>
      </c>
      <c r="E843" s="1003"/>
      <c r="F843" s="1003"/>
      <c r="G843" s="1003"/>
      <c r="H843" s="1003"/>
      <c r="I843" s="1003"/>
      <c r="J843" s="1003"/>
      <c r="K843" s="1003">
        <f t="shared" si="13"/>
        <v>21</v>
      </c>
      <c r="L843" s="1004"/>
      <c r="M843" s="1003"/>
      <c r="N843" s="1003">
        <v>10</v>
      </c>
      <c r="O843" s="1005">
        <v>32</v>
      </c>
    </row>
    <row r="844" spans="1:15" collapsed="1" x14ac:dyDescent="0.2">
      <c r="A844"/>
      <c r="B844" s="1002">
        <v>84</v>
      </c>
      <c r="C844" s="1003"/>
      <c r="D844" s="1003">
        <v>16</v>
      </c>
      <c r="E844" s="1003">
        <v>4</v>
      </c>
      <c r="F844" s="1003"/>
      <c r="G844" s="1003"/>
      <c r="H844" s="1003"/>
      <c r="I844" s="1003"/>
      <c r="J844" s="1003"/>
      <c r="K844" s="1003">
        <f t="shared" si="13"/>
        <v>20</v>
      </c>
      <c r="L844" s="1004"/>
      <c r="M844" s="1003"/>
      <c r="N844" s="1003">
        <v>8</v>
      </c>
      <c r="O844" s="1005">
        <v>32</v>
      </c>
    </row>
    <row r="845" spans="1:15" collapsed="1" x14ac:dyDescent="0.2">
      <c r="A845"/>
      <c r="B845" s="1002">
        <v>84</v>
      </c>
      <c r="C845" s="1003"/>
      <c r="D845" s="1003">
        <v>11</v>
      </c>
      <c r="E845" s="1003">
        <v>8</v>
      </c>
      <c r="F845" s="1003"/>
      <c r="G845" s="1003"/>
      <c r="H845" s="1003"/>
      <c r="I845" s="1003"/>
      <c r="J845" s="1003"/>
      <c r="K845" s="1003">
        <f t="shared" si="13"/>
        <v>19</v>
      </c>
      <c r="L845" s="1004"/>
      <c r="M845" s="1003"/>
      <c r="N845" s="1003">
        <v>6</v>
      </c>
      <c r="O845" s="1005">
        <v>32</v>
      </c>
    </row>
    <row r="846" spans="1:15" collapsed="1" x14ac:dyDescent="0.2">
      <c r="A846"/>
      <c r="B846" s="1002">
        <v>84</v>
      </c>
      <c r="C846" s="1003"/>
      <c r="D846" s="1003">
        <v>6</v>
      </c>
      <c r="E846" s="1003">
        <v>12</v>
      </c>
      <c r="F846" s="1003"/>
      <c r="G846" s="1003"/>
      <c r="H846" s="1003"/>
      <c r="I846" s="1003"/>
      <c r="J846" s="1003"/>
      <c r="K846" s="1003">
        <f t="shared" si="13"/>
        <v>18</v>
      </c>
      <c r="L846" s="1004"/>
      <c r="M846" s="1003"/>
      <c r="N846" s="1003">
        <v>4</v>
      </c>
      <c r="O846" s="1005">
        <v>32</v>
      </c>
    </row>
    <row r="847" spans="1:15" collapsed="1" x14ac:dyDescent="0.2">
      <c r="A847"/>
      <c r="B847" s="1002">
        <v>84</v>
      </c>
      <c r="C847" s="1003"/>
      <c r="D847" s="1003">
        <v>1</v>
      </c>
      <c r="E847" s="1003">
        <v>16</v>
      </c>
      <c r="F847" s="1003"/>
      <c r="G847" s="1003"/>
      <c r="H847" s="1003"/>
      <c r="I847" s="1003"/>
      <c r="J847" s="1003"/>
      <c r="K847" s="1003">
        <f t="shared" si="13"/>
        <v>17</v>
      </c>
      <c r="L847" s="1004"/>
      <c r="M847" s="1003"/>
      <c r="N847" s="1003">
        <v>2</v>
      </c>
      <c r="O847" s="1005">
        <v>32</v>
      </c>
    </row>
    <row r="848" spans="1:15" collapsed="1" x14ac:dyDescent="0.2">
      <c r="A848"/>
      <c r="B848" s="1002">
        <v>84</v>
      </c>
      <c r="C848" s="1003"/>
      <c r="D848" s="1003"/>
      <c r="E848" s="1003">
        <v>12</v>
      </c>
      <c r="F848" s="1003">
        <v>4</v>
      </c>
      <c r="G848" s="1003"/>
      <c r="H848" s="1003"/>
      <c r="I848" s="1003"/>
      <c r="J848" s="1003"/>
      <c r="K848" s="1003">
        <f t="shared" si="13"/>
        <v>16</v>
      </c>
      <c r="L848" s="1004"/>
      <c r="M848" s="1003"/>
      <c r="N848" s="1003"/>
      <c r="O848" s="1005">
        <v>32</v>
      </c>
    </row>
    <row r="849" spans="1:15" collapsed="1" x14ac:dyDescent="0.2">
      <c r="A849"/>
      <c r="B849" s="1002">
        <v>84</v>
      </c>
      <c r="C849" s="1003"/>
      <c r="D849" s="1003"/>
      <c r="E849" s="1003">
        <v>7</v>
      </c>
      <c r="F849" s="1003">
        <v>8</v>
      </c>
      <c r="G849" s="1003"/>
      <c r="H849" s="1003"/>
      <c r="I849" s="1003"/>
      <c r="J849" s="1003"/>
      <c r="K849" s="1003">
        <f t="shared" si="13"/>
        <v>15</v>
      </c>
      <c r="L849" s="1004"/>
      <c r="M849" s="1003"/>
      <c r="N849" s="1003">
        <v>14</v>
      </c>
      <c r="O849" s="1005">
        <v>16</v>
      </c>
    </row>
    <row r="850" spans="1:15" x14ac:dyDescent="0.2">
      <c r="A850"/>
      <c r="B850" s="1002">
        <v>84</v>
      </c>
      <c r="C850" s="1003"/>
      <c r="D850" s="1003"/>
      <c r="E850" s="1003"/>
      <c r="F850" s="1003">
        <v>14</v>
      </c>
      <c r="G850" s="1003"/>
      <c r="H850" s="1003"/>
      <c r="I850" s="1003"/>
      <c r="J850" s="1003"/>
      <c r="K850" s="1003">
        <f t="shared" si="13"/>
        <v>14</v>
      </c>
      <c r="L850" s="1004"/>
      <c r="M850" s="1003"/>
      <c r="N850" s="1003">
        <v>12</v>
      </c>
      <c r="O850" s="1005">
        <v>16</v>
      </c>
    </row>
    <row r="851" spans="1:15" collapsed="1" x14ac:dyDescent="0.2">
      <c r="A851"/>
      <c r="B851" s="1002">
        <v>84</v>
      </c>
      <c r="C851" s="1003"/>
      <c r="D851" s="1003"/>
      <c r="E851" s="1003"/>
      <c r="F851" s="1003">
        <v>7</v>
      </c>
      <c r="G851" s="1003">
        <v>6</v>
      </c>
      <c r="H851" s="1003"/>
      <c r="I851" s="1003"/>
      <c r="J851" s="1003"/>
      <c r="K851" s="1003">
        <f t="shared" si="13"/>
        <v>13</v>
      </c>
      <c r="L851" s="1004"/>
      <c r="M851" s="1003"/>
      <c r="N851" s="1003">
        <v>10</v>
      </c>
      <c r="O851" s="1005">
        <v>16</v>
      </c>
    </row>
    <row r="852" spans="1:15" collapsed="1" x14ac:dyDescent="0.2">
      <c r="A852"/>
      <c r="B852" s="1002">
        <v>84</v>
      </c>
      <c r="C852" s="1003"/>
      <c r="D852" s="1003"/>
      <c r="E852" s="1003"/>
      <c r="F852" s="1003"/>
      <c r="G852" s="1003">
        <v>12</v>
      </c>
      <c r="H852" s="1003"/>
      <c r="I852" s="1003"/>
      <c r="J852" s="1003"/>
      <c r="K852" s="1003">
        <f t="shared" si="13"/>
        <v>12</v>
      </c>
      <c r="L852" s="1004"/>
      <c r="M852" s="1003"/>
      <c r="N852" s="1003">
        <v>8</v>
      </c>
      <c r="O852" s="1005">
        <v>16</v>
      </c>
    </row>
    <row r="853" spans="1:15" x14ac:dyDescent="0.2">
      <c r="A853"/>
      <c r="B853" s="1002">
        <v>84</v>
      </c>
      <c r="C853" s="1003"/>
      <c r="D853" s="1003"/>
      <c r="E853" s="1003"/>
      <c r="F853" s="1003"/>
      <c r="G853" s="1003">
        <v>4</v>
      </c>
      <c r="H853" s="1003">
        <v>7</v>
      </c>
      <c r="I853" s="1003"/>
      <c r="J853" s="1003"/>
      <c r="K853" s="1003">
        <f t="shared" si="13"/>
        <v>11</v>
      </c>
      <c r="L853" s="1004"/>
      <c r="M853" s="1003"/>
      <c r="N853" s="1003">
        <v>6</v>
      </c>
      <c r="O853" s="1005">
        <v>16</v>
      </c>
    </row>
    <row r="854" spans="1:15" collapsed="1" x14ac:dyDescent="0.2">
      <c r="A854"/>
      <c r="B854" s="1002">
        <v>84</v>
      </c>
      <c r="C854" s="1003"/>
      <c r="D854" s="1003"/>
      <c r="E854" s="1003"/>
      <c r="F854" s="1003"/>
      <c r="G854" s="1003"/>
      <c r="H854" s="1003">
        <v>6</v>
      </c>
      <c r="I854" s="1003">
        <v>4</v>
      </c>
      <c r="J854" s="1003"/>
      <c r="K854" s="1003">
        <f t="shared" si="13"/>
        <v>10</v>
      </c>
      <c r="L854" s="1004"/>
      <c r="M854" s="1003"/>
      <c r="N854" s="1003">
        <v>4</v>
      </c>
      <c r="O854" s="1005">
        <v>16</v>
      </c>
    </row>
    <row r="855" spans="1:15" collapsed="1" x14ac:dyDescent="0.2">
      <c r="A855"/>
      <c r="B855" s="1002">
        <v>84</v>
      </c>
      <c r="C855" s="1003"/>
      <c r="D855" s="1003"/>
      <c r="E855" s="1003"/>
      <c r="F855" s="1003"/>
      <c r="G855" s="1003"/>
      <c r="H855" s="1003"/>
      <c r="I855" s="1003">
        <v>6</v>
      </c>
      <c r="J855" s="1003">
        <v>3</v>
      </c>
      <c r="K855" s="1003">
        <f t="shared" si="13"/>
        <v>9</v>
      </c>
      <c r="L855" s="1004"/>
      <c r="M855" s="1003"/>
      <c r="N855" s="1003">
        <v>2</v>
      </c>
      <c r="O855" s="1005">
        <v>16</v>
      </c>
    </row>
    <row r="856" spans="1:15" collapsed="1" x14ac:dyDescent="0.2">
      <c r="A856"/>
      <c r="B856" s="1002">
        <v>85</v>
      </c>
      <c r="C856" s="1003">
        <v>27</v>
      </c>
      <c r="D856" s="1003">
        <v>1</v>
      </c>
      <c r="E856" s="1003"/>
      <c r="F856" s="1003"/>
      <c r="G856" s="1003"/>
      <c r="H856" s="1003"/>
      <c r="I856" s="1003"/>
      <c r="J856" s="1003"/>
      <c r="K856" s="1003">
        <f t="shared" si="13"/>
        <v>28</v>
      </c>
      <c r="L856" s="1004"/>
      <c r="M856" s="1003"/>
      <c r="N856" s="1003">
        <v>24</v>
      </c>
      <c r="O856" s="1005">
        <v>32</v>
      </c>
    </row>
    <row r="857" spans="1:15" collapsed="1" x14ac:dyDescent="0.2">
      <c r="A857"/>
      <c r="B857" s="1002">
        <v>85</v>
      </c>
      <c r="C857" s="1003">
        <v>23</v>
      </c>
      <c r="D857" s="1003">
        <v>4</v>
      </c>
      <c r="E857" s="1003"/>
      <c r="F857" s="1003"/>
      <c r="G857" s="1003"/>
      <c r="H857" s="1003"/>
      <c r="I857" s="1003"/>
      <c r="J857" s="1003"/>
      <c r="K857" s="1003">
        <f t="shared" si="13"/>
        <v>27</v>
      </c>
      <c r="L857" s="1004"/>
      <c r="M857" s="1003"/>
      <c r="N857" s="1003">
        <v>22</v>
      </c>
      <c r="O857" s="1005">
        <v>32</v>
      </c>
    </row>
    <row r="858" spans="1:15" collapsed="1" x14ac:dyDescent="0.2">
      <c r="A858"/>
      <c r="B858" s="1002">
        <v>85</v>
      </c>
      <c r="C858" s="1003">
        <v>19</v>
      </c>
      <c r="D858" s="1003">
        <v>7</v>
      </c>
      <c r="E858" s="1003"/>
      <c r="F858" s="1003"/>
      <c r="G858" s="1003"/>
      <c r="H858" s="1003"/>
      <c r="I858" s="1003"/>
      <c r="J858" s="1003"/>
      <c r="K858" s="1003">
        <f t="shared" si="13"/>
        <v>26</v>
      </c>
      <c r="L858" s="1004"/>
      <c r="M858" s="1003"/>
      <c r="N858" s="1003">
        <v>20</v>
      </c>
      <c r="O858" s="1005">
        <v>32</v>
      </c>
    </row>
    <row r="859" spans="1:15" collapsed="1" x14ac:dyDescent="0.2">
      <c r="A859"/>
      <c r="B859" s="1002">
        <v>85</v>
      </c>
      <c r="C859" s="1003">
        <v>15</v>
      </c>
      <c r="D859" s="1003">
        <v>10</v>
      </c>
      <c r="E859" s="1003"/>
      <c r="F859" s="1003"/>
      <c r="G859" s="1003"/>
      <c r="H859" s="1003"/>
      <c r="I859" s="1003"/>
      <c r="J859" s="1003"/>
      <c r="K859" s="1003">
        <f t="shared" si="13"/>
        <v>25</v>
      </c>
      <c r="L859" s="1004"/>
      <c r="M859" s="1003"/>
      <c r="N859" s="1003">
        <v>18</v>
      </c>
      <c r="O859" s="1005">
        <v>32</v>
      </c>
    </row>
    <row r="860" spans="1:15" collapsed="1" x14ac:dyDescent="0.2">
      <c r="A860"/>
      <c r="B860" s="1002">
        <v>85</v>
      </c>
      <c r="C860" s="1003">
        <v>11</v>
      </c>
      <c r="D860" s="1003">
        <v>13</v>
      </c>
      <c r="E860" s="1003"/>
      <c r="F860" s="1003"/>
      <c r="G860" s="1003"/>
      <c r="H860" s="1003"/>
      <c r="I860" s="1003"/>
      <c r="J860" s="1003"/>
      <c r="K860" s="1003">
        <f t="shared" si="13"/>
        <v>24</v>
      </c>
      <c r="L860" s="1004"/>
      <c r="M860" s="1003"/>
      <c r="N860" s="1003">
        <v>16</v>
      </c>
      <c r="O860" s="1005">
        <v>32</v>
      </c>
    </row>
    <row r="861" spans="1:15" collapsed="1" x14ac:dyDescent="0.2">
      <c r="A861"/>
      <c r="B861" s="1002">
        <v>85</v>
      </c>
      <c r="C861" s="1003">
        <v>7</v>
      </c>
      <c r="D861" s="1003">
        <v>16</v>
      </c>
      <c r="E861" s="1003"/>
      <c r="F861" s="1003"/>
      <c r="G861" s="1003"/>
      <c r="H861" s="1003"/>
      <c r="I861" s="1003"/>
      <c r="J861" s="1003"/>
      <c r="K861" s="1003">
        <f t="shared" si="13"/>
        <v>23</v>
      </c>
      <c r="L861" s="1004"/>
      <c r="M861" s="1003"/>
      <c r="N861" s="1003">
        <v>14</v>
      </c>
      <c r="O861" s="1005">
        <v>32</v>
      </c>
    </row>
    <row r="862" spans="1:15" collapsed="1" x14ac:dyDescent="0.2">
      <c r="A862"/>
      <c r="B862" s="1002">
        <v>85</v>
      </c>
      <c r="C862" s="1003">
        <v>3</v>
      </c>
      <c r="D862" s="1003">
        <v>19</v>
      </c>
      <c r="E862" s="1003"/>
      <c r="F862" s="1003"/>
      <c r="G862" s="1003"/>
      <c r="H862" s="1003"/>
      <c r="I862" s="1003"/>
      <c r="J862" s="1003"/>
      <c r="K862" s="1003">
        <f t="shared" si="13"/>
        <v>22</v>
      </c>
      <c r="L862" s="1004"/>
      <c r="M862" s="1003"/>
      <c r="N862" s="1003">
        <v>12</v>
      </c>
      <c r="O862" s="1005">
        <v>32</v>
      </c>
    </row>
    <row r="863" spans="1:15" collapsed="1" x14ac:dyDescent="0.2">
      <c r="A863"/>
      <c r="B863" s="1002">
        <v>85</v>
      </c>
      <c r="C863" s="1003"/>
      <c r="D863" s="1003">
        <v>20</v>
      </c>
      <c r="E863" s="1003">
        <v>1</v>
      </c>
      <c r="F863" s="1003"/>
      <c r="G863" s="1003"/>
      <c r="H863" s="1003"/>
      <c r="I863" s="1003"/>
      <c r="J863" s="1003"/>
      <c r="K863" s="1003">
        <f t="shared" si="13"/>
        <v>21</v>
      </c>
      <c r="L863" s="1004"/>
      <c r="M863" s="1003"/>
      <c r="N863" s="1003">
        <v>10</v>
      </c>
      <c r="O863" s="1005">
        <v>32</v>
      </c>
    </row>
    <row r="864" spans="1:15" collapsed="1" x14ac:dyDescent="0.2">
      <c r="A864"/>
      <c r="B864" s="1002">
        <v>85</v>
      </c>
      <c r="C864" s="1003"/>
      <c r="D864" s="1003">
        <v>15</v>
      </c>
      <c r="E864" s="1003">
        <v>5</v>
      </c>
      <c r="F864" s="1003"/>
      <c r="G864" s="1003"/>
      <c r="H864" s="1003"/>
      <c r="I864" s="1003"/>
      <c r="J864" s="1003"/>
      <c r="K864" s="1003">
        <f t="shared" si="13"/>
        <v>20</v>
      </c>
      <c r="L864" s="1004"/>
      <c r="M864" s="1003"/>
      <c r="N864" s="1003">
        <v>8</v>
      </c>
      <c r="O864" s="1005">
        <v>32</v>
      </c>
    </row>
    <row r="865" spans="1:15" collapsed="1" x14ac:dyDescent="0.2">
      <c r="A865"/>
      <c r="B865" s="1002">
        <v>85</v>
      </c>
      <c r="C865" s="1003"/>
      <c r="D865" s="1003">
        <v>10</v>
      </c>
      <c r="E865" s="1003">
        <v>9</v>
      </c>
      <c r="F865" s="1003"/>
      <c r="G865" s="1003"/>
      <c r="H865" s="1003"/>
      <c r="I865" s="1003"/>
      <c r="J865" s="1003"/>
      <c r="K865" s="1003">
        <f t="shared" si="13"/>
        <v>19</v>
      </c>
      <c r="L865" s="1004"/>
      <c r="M865" s="1003"/>
      <c r="N865" s="1003">
        <v>6</v>
      </c>
      <c r="O865" s="1005">
        <v>32</v>
      </c>
    </row>
    <row r="866" spans="1:15" collapsed="1" x14ac:dyDescent="0.2">
      <c r="A866"/>
      <c r="B866" s="1002">
        <v>85</v>
      </c>
      <c r="C866" s="1003"/>
      <c r="D866" s="1003">
        <v>5</v>
      </c>
      <c r="E866" s="1003">
        <v>13</v>
      </c>
      <c r="F866" s="1003"/>
      <c r="G866" s="1003"/>
      <c r="H866" s="1003"/>
      <c r="I866" s="1003"/>
      <c r="J866" s="1003"/>
      <c r="K866" s="1003">
        <f t="shared" si="13"/>
        <v>18</v>
      </c>
      <c r="L866" s="1004"/>
      <c r="M866" s="1003"/>
      <c r="N866" s="1003">
        <v>4</v>
      </c>
      <c r="O866" s="1005">
        <v>32</v>
      </c>
    </row>
    <row r="867" spans="1:15" collapsed="1" x14ac:dyDescent="0.2">
      <c r="A867"/>
      <c r="B867" s="1002">
        <v>85</v>
      </c>
      <c r="C867" s="1003"/>
      <c r="D867" s="1003"/>
      <c r="E867" s="1003">
        <v>17</v>
      </c>
      <c r="F867" s="1003"/>
      <c r="G867" s="1003"/>
      <c r="H867" s="1003"/>
      <c r="I867" s="1003"/>
      <c r="J867" s="1003"/>
      <c r="K867" s="1003">
        <f t="shared" si="13"/>
        <v>17</v>
      </c>
      <c r="L867" s="1004"/>
      <c r="M867" s="1003"/>
      <c r="N867" s="1003">
        <v>2</v>
      </c>
      <c r="O867" s="1005">
        <v>32</v>
      </c>
    </row>
    <row r="868" spans="1:15" collapsed="1" x14ac:dyDescent="0.2">
      <c r="A868"/>
      <c r="B868" s="1002">
        <v>85</v>
      </c>
      <c r="C868" s="1003"/>
      <c r="D868" s="1003"/>
      <c r="E868" s="1003">
        <v>11</v>
      </c>
      <c r="F868" s="1003">
        <v>5</v>
      </c>
      <c r="G868" s="1003"/>
      <c r="H868" s="1003"/>
      <c r="I868" s="1003"/>
      <c r="J868" s="1003"/>
      <c r="K868" s="1003">
        <f t="shared" si="13"/>
        <v>16</v>
      </c>
      <c r="L868" s="1004"/>
      <c r="M868" s="1003"/>
      <c r="N868" s="1003"/>
      <c r="O868" s="1005">
        <v>32</v>
      </c>
    </row>
    <row r="869" spans="1:15" collapsed="1" x14ac:dyDescent="0.2">
      <c r="A869"/>
      <c r="B869" s="1002">
        <v>85</v>
      </c>
      <c r="C869" s="1003"/>
      <c r="D869" s="1003"/>
      <c r="E869" s="1003">
        <v>6</v>
      </c>
      <c r="F869" s="1003">
        <v>9</v>
      </c>
      <c r="G869" s="1003"/>
      <c r="H869" s="1003"/>
      <c r="I869" s="1003"/>
      <c r="J869" s="1003"/>
      <c r="K869" s="1003">
        <f t="shared" si="13"/>
        <v>15</v>
      </c>
      <c r="L869" s="1004"/>
      <c r="M869" s="1003"/>
      <c r="N869" s="1003">
        <v>14</v>
      </c>
      <c r="O869" s="1005">
        <v>16</v>
      </c>
    </row>
    <row r="870" spans="1:15" x14ac:dyDescent="0.2">
      <c r="A870"/>
      <c r="B870" s="1002">
        <v>85</v>
      </c>
      <c r="C870" s="1003"/>
      <c r="D870" s="1003"/>
      <c r="E870" s="1003"/>
      <c r="F870" s="1003">
        <v>13</v>
      </c>
      <c r="G870" s="1003">
        <v>1</v>
      </c>
      <c r="H870" s="1003"/>
      <c r="I870" s="1003"/>
      <c r="J870" s="1003"/>
      <c r="K870" s="1003">
        <f t="shared" si="13"/>
        <v>14</v>
      </c>
      <c r="L870" s="1004"/>
      <c r="M870" s="1003"/>
      <c r="N870" s="1003">
        <v>12</v>
      </c>
      <c r="O870" s="1005">
        <v>16</v>
      </c>
    </row>
    <row r="871" spans="1:15" collapsed="1" x14ac:dyDescent="0.2">
      <c r="A871"/>
      <c r="B871" s="1002">
        <v>85</v>
      </c>
      <c r="C871" s="1003"/>
      <c r="D871" s="1003"/>
      <c r="E871" s="1003"/>
      <c r="F871" s="1003">
        <v>6</v>
      </c>
      <c r="G871" s="1003">
        <v>7</v>
      </c>
      <c r="H871" s="1003"/>
      <c r="I871" s="1003"/>
      <c r="J871" s="1003"/>
      <c r="K871" s="1003">
        <f t="shared" si="13"/>
        <v>13</v>
      </c>
      <c r="L871" s="1004"/>
      <c r="M871" s="1003"/>
      <c r="N871" s="1003">
        <v>10</v>
      </c>
      <c r="O871" s="1005">
        <v>16</v>
      </c>
    </row>
    <row r="872" spans="1:15" collapsed="1" x14ac:dyDescent="0.2">
      <c r="A872"/>
      <c r="B872" s="1002">
        <v>85</v>
      </c>
      <c r="C872" s="1003"/>
      <c r="D872" s="1003"/>
      <c r="E872" s="1003"/>
      <c r="F872" s="1003"/>
      <c r="G872" s="1003">
        <v>11</v>
      </c>
      <c r="H872" s="1003">
        <v>1</v>
      </c>
      <c r="I872" s="1003"/>
      <c r="J872" s="1003"/>
      <c r="K872" s="1003">
        <f t="shared" si="13"/>
        <v>12</v>
      </c>
      <c r="L872" s="1004"/>
      <c r="M872" s="1003"/>
      <c r="N872" s="1003">
        <v>8</v>
      </c>
      <c r="O872" s="1005">
        <v>16</v>
      </c>
    </row>
    <row r="873" spans="1:15" x14ac:dyDescent="0.2">
      <c r="A873"/>
      <c r="B873" s="1002">
        <v>85</v>
      </c>
      <c r="C873" s="1003"/>
      <c r="D873" s="1003"/>
      <c r="E873" s="1003"/>
      <c r="F873" s="1003"/>
      <c r="G873" s="1003">
        <v>3</v>
      </c>
      <c r="H873" s="1003">
        <v>8</v>
      </c>
      <c r="I873" s="1003"/>
      <c r="J873" s="1003"/>
      <c r="K873" s="1003">
        <f t="shared" si="13"/>
        <v>11</v>
      </c>
      <c r="L873" s="1004"/>
      <c r="M873" s="1003"/>
      <c r="N873" s="1003">
        <v>6</v>
      </c>
      <c r="O873" s="1005">
        <v>16</v>
      </c>
    </row>
    <row r="874" spans="1:15" collapsed="1" x14ac:dyDescent="0.2">
      <c r="A874"/>
      <c r="B874" s="1002">
        <v>85</v>
      </c>
      <c r="C874" s="1003"/>
      <c r="D874" s="1003"/>
      <c r="E874" s="1003"/>
      <c r="F874" s="1003"/>
      <c r="G874" s="1003"/>
      <c r="H874" s="1003">
        <v>5</v>
      </c>
      <c r="I874" s="1003">
        <v>5</v>
      </c>
      <c r="J874" s="1003"/>
      <c r="K874" s="1003">
        <f t="shared" si="13"/>
        <v>10</v>
      </c>
      <c r="L874" s="1004"/>
      <c r="M874" s="1003"/>
      <c r="N874" s="1003">
        <v>4</v>
      </c>
      <c r="O874" s="1005">
        <v>16</v>
      </c>
    </row>
    <row r="875" spans="1:15" collapsed="1" x14ac:dyDescent="0.2">
      <c r="A875"/>
      <c r="B875" s="1002">
        <v>85</v>
      </c>
      <c r="C875" s="1003"/>
      <c r="D875" s="1003"/>
      <c r="E875" s="1003"/>
      <c r="F875" s="1003"/>
      <c r="G875" s="1003"/>
      <c r="H875" s="1003"/>
      <c r="I875" s="1003">
        <v>5</v>
      </c>
      <c r="J875" s="1003">
        <v>4</v>
      </c>
      <c r="K875" s="1003">
        <f t="shared" si="13"/>
        <v>9</v>
      </c>
      <c r="L875" s="1004"/>
      <c r="M875" s="1003"/>
      <c r="N875" s="1003">
        <v>2</v>
      </c>
      <c r="O875" s="1005">
        <v>16</v>
      </c>
    </row>
    <row r="876" spans="1:15" collapsed="1" x14ac:dyDescent="0.2">
      <c r="A876"/>
      <c r="B876" s="1002">
        <v>86</v>
      </c>
      <c r="C876" s="1003">
        <v>26</v>
      </c>
      <c r="D876" s="1003">
        <v>2</v>
      </c>
      <c r="E876" s="1003"/>
      <c r="F876" s="1003"/>
      <c r="G876" s="1003"/>
      <c r="H876" s="1003"/>
      <c r="I876" s="1003"/>
      <c r="J876" s="1003"/>
      <c r="K876" s="1003">
        <f t="shared" si="13"/>
        <v>28</v>
      </c>
      <c r="L876" s="1004"/>
      <c r="M876" s="1003"/>
      <c r="N876" s="1003">
        <v>24</v>
      </c>
      <c r="O876" s="1005">
        <v>32</v>
      </c>
    </row>
    <row r="877" spans="1:15" collapsed="1" x14ac:dyDescent="0.2">
      <c r="A877"/>
      <c r="B877" s="1002">
        <v>86</v>
      </c>
      <c r="C877" s="1003">
        <v>22</v>
      </c>
      <c r="D877" s="1003">
        <v>5</v>
      </c>
      <c r="E877" s="1003"/>
      <c r="F877" s="1003"/>
      <c r="G877" s="1003"/>
      <c r="H877" s="1003"/>
      <c r="I877" s="1003"/>
      <c r="J877" s="1003"/>
      <c r="K877" s="1003">
        <f t="shared" si="13"/>
        <v>27</v>
      </c>
      <c r="L877" s="1004"/>
      <c r="M877" s="1003"/>
      <c r="N877" s="1003">
        <v>22</v>
      </c>
      <c r="O877" s="1005">
        <v>32</v>
      </c>
    </row>
    <row r="878" spans="1:15" collapsed="1" x14ac:dyDescent="0.2">
      <c r="A878"/>
      <c r="B878" s="1002">
        <v>86</v>
      </c>
      <c r="C878" s="1003">
        <v>18</v>
      </c>
      <c r="D878" s="1003">
        <v>8</v>
      </c>
      <c r="E878" s="1003"/>
      <c r="F878" s="1003"/>
      <c r="G878" s="1003"/>
      <c r="H878" s="1003"/>
      <c r="I878" s="1003"/>
      <c r="J878" s="1003"/>
      <c r="K878" s="1003">
        <f t="shared" si="13"/>
        <v>26</v>
      </c>
      <c r="L878" s="1004"/>
      <c r="M878" s="1003"/>
      <c r="N878" s="1003">
        <v>20</v>
      </c>
      <c r="O878" s="1005">
        <v>32</v>
      </c>
    </row>
    <row r="879" spans="1:15" collapsed="1" x14ac:dyDescent="0.2">
      <c r="A879"/>
      <c r="B879" s="1002">
        <v>86</v>
      </c>
      <c r="C879" s="1003">
        <v>14</v>
      </c>
      <c r="D879" s="1003">
        <v>11</v>
      </c>
      <c r="E879" s="1003"/>
      <c r="F879" s="1003"/>
      <c r="G879" s="1003"/>
      <c r="H879" s="1003"/>
      <c r="I879" s="1003"/>
      <c r="J879" s="1003"/>
      <c r="K879" s="1003">
        <f t="shared" si="13"/>
        <v>25</v>
      </c>
      <c r="L879" s="1004"/>
      <c r="M879" s="1003"/>
      <c r="N879" s="1003">
        <v>18</v>
      </c>
      <c r="O879" s="1005">
        <v>32</v>
      </c>
    </row>
    <row r="880" spans="1:15" collapsed="1" x14ac:dyDescent="0.2">
      <c r="A880"/>
      <c r="B880" s="1002">
        <v>86</v>
      </c>
      <c r="C880" s="1003">
        <v>10</v>
      </c>
      <c r="D880" s="1003">
        <v>14</v>
      </c>
      <c r="E880" s="1003"/>
      <c r="F880" s="1003"/>
      <c r="G880" s="1003"/>
      <c r="H880" s="1003"/>
      <c r="I880" s="1003"/>
      <c r="J880" s="1003"/>
      <c r="K880" s="1003">
        <f t="shared" si="13"/>
        <v>24</v>
      </c>
      <c r="L880" s="1004"/>
      <c r="M880" s="1003"/>
      <c r="N880" s="1003">
        <v>16</v>
      </c>
      <c r="O880" s="1005">
        <v>32</v>
      </c>
    </row>
    <row r="881" spans="1:15" collapsed="1" x14ac:dyDescent="0.2">
      <c r="A881"/>
      <c r="B881" s="1002">
        <v>86</v>
      </c>
      <c r="C881" s="1003">
        <v>6</v>
      </c>
      <c r="D881" s="1003">
        <v>17</v>
      </c>
      <c r="E881" s="1003"/>
      <c r="F881" s="1003"/>
      <c r="G881" s="1003"/>
      <c r="H881" s="1003"/>
      <c r="I881" s="1003"/>
      <c r="J881" s="1003"/>
      <c r="K881" s="1003">
        <f t="shared" si="13"/>
        <v>23</v>
      </c>
      <c r="L881" s="1004"/>
      <c r="M881" s="1003"/>
      <c r="N881" s="1003">
        <v>14</v>
      </c>
      <c r="O881" s="1005">
        <v>32</v>
      </c>
    </row>
    <row r="882" spans="1:15" collapsed="1" x14ac:dyDescent="0.2">
      <c r="A882"/>
      <c r="B882" s="1002">
        <v>86</v>
      </c>
      <c r="C882" s="1003">
        <v>2</v>
      </c>
      <c r="D882" s="1003">
        <v>20</v>
      </c>
      <c r="E882" s="1003"/>
      <c r="F882" s="1003"/>
      <c r="G882" s="1003"/>
      <c r="H882" s="1003"/>
      <c r="I882" s="1003"/>
      <c r="J882" s="1003"/>
      <c r="K882" s="1003">
        <f t="shared" si="13"/>
        <v>22</v>
      </c>
      <c r="L882" s="1004"/>
      <c r="M882" s="1003"/>
      <c r="N882" s="1003">
        <v>12</v>
      </c>
      <c r="O882" s="1005">
        <v>32</v>
      </c>
    </row>
    <row r="883" spans="1:15" collapsed="1" x14ac:dyDescent="0.2">
      <c r="A883"/>
      <c r="B883" s="1002">
        <v>86</v>
      </c>
      <c r="C883" s="1003"/>
      <c r="D883" s="1003">
        <v>19</v>
      </c>
      <c r="E883" s="1003">
        <v>2</v>
      </c>
      <c r="F883" s="1003"/>
      <c r="G883" s="1003"/>
      <c r="H883" s="1003"/>
      <c r="I883" s="1003"/>
      <c r="J883" s="1003"/>
      <c r="K883" s="1003">
        <f t="shared" si="13"/>
        <v>21</v>
      </c>
      <c r="L883" s="1004"/>
      <c r="M883" s="1003"/>
      <c r="N883" s="1003">
        <v>10</v>
      </c>
      <c r="O883" s="1005">
        <v>32</v>
      </c>
    </row>
    <row r="884" spans="1:15" collapsed="1" x14ac:dyDescent="0.2">
      <c r="A884"/>
      <c r="B884" s="1002">
        <v>86</v>
      </c>
      <c r="C884" s="1003"/>
      <c r="D884" s="1003">
        <v>14</v>
      </c>
      <c r="E884" s="1003">
        <v>6</v>
      </c>
      <c r="F884" s="1003"/>
      <c r="G884" s="1003"/>
      <c r="H884" s="1003"/>
      <c r="I884" s="1003"/>
      <c r="J884" s="1003"/>
      <c r="K884" s="1003">
        <f t="shared" si="13"/>
        <v>20</v>
      </c>
      <c r="L884" s="1004"/>
      <c r="M884" s="1003"/>
      <c r="N884" s="1003">
        <v>8</v>
      </c>
      <c r="O884" s="1005">
        <v>32</v>
      </c>
    </row>
    <row r="885" spans="1:15" collapsed="1" x14ac:dyDescent="0.2">
      <c r="A885"/>
      <c r="B885" s="1002">
        <v>86</v>
      </c>
      <c r="C885" s="1003"/>
      <c r="D885" s="1003">
        <v>9</v>
      </c>
      <c r="E885" s="1003">
        <v>10</v>
      </c>
      <c r="F885" s="1003"/>
      <c r="G885" s="1003"/>
      <c r="H885" s="1003"/>
      <c r="I885" s="1003"/>
      <c r="J885" s="1003"/>
      <c r="K885" s="1003">
        <f t="shared" si="13"/>
        <v>19</v>
      </c>
      <c r="L885" s="1004"/>
      <c r="M885" s="1003"/>
      <c r="N885" s="1003">
        <v>6</v>
      </c>
      <c r="O885" s="1005">
        <v>32</v>
      </c>
    </row>
    <row r="886" spans="1:15" collapsed="1" x14ac:dyDescent="0.2">
      <c r="A886"/>
      <c r="B886" s="1002">
        <v>86</v>
      </c>
      <c r="C886" s="1003"/>
      <c r="D886" s="1003">
        <v>4</v>
      </c>
      <c r="E886" s="1003">
        <v>14</v>
      </c>
      <c r="F886" s="1003"/>
      <c r="G886" s="1003"/>
      <c r="H886" s="1003"/>
      <c r="I886" s="1003"/>
      <c r="J886" s="1003"/>
      <c r="K886" s="1003">
        <f t="shared" si="13"/>
        <v>18</v>
      </c>
      <c r="L886" s="1004"/>
      <c r="M886" s="1003"/>
      <c r="N886" s="1003">
        <v>4</v>
      </c>
      <c r="O886" s="1005">
        <v>32</v>
      </c>
    </row>
    <row r="887" spans="1:15" collapsed="1" x14ac:dyDescent="0.2">
      <c r="A887"/>
      <c r="B887" s="1002">
        <v>86</v>
      </c>
      <c r="C887" s="1003"/>
      <c r="D887" s="1003"/>
      <c r="E887" s="1003">
        <v>16</v>
      </c>
      <c r="F887" s="1003">
        <v>1</v>
      </c>
      <c r="G887" s="1003"/>
      <c r="H887" s="1003"/>
      <c r="I887" s="1003"/>
      <c r="J887" s="1003"/>
      <c r="K887" s="1003">
        <f t="shared" si="13"/>
        <v>17</v>
      </c>
      <c r="L887" s="1004"/>
      <c r="M887" s="1003"/>
      <c r="N887" s="1003">
        <v>2</v>
      </c>
      <c r="O887" s="1005">
        <v>32</v>
      </c>
    </row>
    <row r="888" spans="1:15" collapsed="1" x14ac:dyDescent="0.2">
      <c r="A888"/>
      <c r="B888" s="1002">
        <v>86</v>
      </c>
      <c r="C888" s="1003"/>
      <c r="D888" s="1003"/>
      <c r="E888" s="1003">
        <v>10</v>
      </c>
      <c r="F888" s="1003">
        <v>6</v>
      </c>
      <c r="G888" s="1003"/>
      <c r="H888" s="1003"/>
      <c r="I888" s="1003"/>
      <c r="J888" s="1003"/>
      <c r="K888" s="1003">
        <f t="shared" si="13"/>
        <v>16</v>
      </c>
      <c r="L888" s="1004"/>
      <c r="M888" s="1003"/>
      <c r="N888" s="1003"/>
      <c r="O888" s="1005">
        <v>32</v>
      </c>
    </row>
    <row r="889" spans="1:15" collapsed="1" x14ac:dyDescent="0.2">
      <c r="A889"/>
      <c r="B889" s="1002">
        <v>86</v>
      </c>
      <c r="C889" s="1003"/>
      <c r="D889" s="1003"/>
      <c r="E889" s="1003">
        <v>5</v>
      </c>
      <c r="F889" s="1003">
        <v>10</v>
      </c>
      <c r="G889" s="1003"/>
      <c r="H889" s="1003"/>
      <c r="I889" s="1003"/>
      <c r="J889" s="1003"/>
      <c r="K889" s="1003">
        <f t="shared" si="13"/>
        <v>15</v>
      </c>
      <c r="L889" s="1004"/>
      <c r="M889" s="1003"/>
      <c r="N889" s="1003">
        <v>14</v>
      </c>
      <c r="O889" s="1005">
        <v>16</v>
      </c>
    </row>
    <row r="890" spans="1:15" x14ac:dyDescent="0.2">
      <c r="A890"/>
      <c r="B890" s="1002">
        <v>86</v>
      </c>
      <c r="C890" s="1003"/>
      <c r="D890" s="1003"/>
      <c r="E890" s="1003"/>
      <c r="F890" s="1003">
        <v>12</v>
      </c>
      <c r="G890" s="1003">
        <v>2</v>
      </c>
      <c r="H890" s="1003"/>
      <c r="I890" s="1003"/>
      <c r="J890" s="1003"/>
      <c r="K890" s="1003">
        <f t="shared" si="13"/>
        <v>14</v>
      </c>
      <c r="L890" s="1004"/>
      <c r="M890" s="1003"/>
      <c r="N890" s="1003">
        <v>12</v>
      </c>
      <c r="O890" s="1005">
        <v>16</v>
      </c>
    </row>
    <row r="891" spans="1:15" collapsed="1" x14ac:dyDescent="0.2">
      <c r="A891"/>
      <c r="B891" s="1002">
        <v>86</v>
      </c>
      <c r="C891" s="1003"/>
      <c r="D891" s="1003"/>
      <c r="E891" s="1003"/>
      <c r="F891" s="1003">
        <v>5</v>
      </c>
      <c r="G891" s="1003">
        <v>8</v>
      </c>
      <c r="H891" s="1003"/>
      <c r="I891" s="1003"/>
      <c r="J891" s="1003"/>
      <c r="K891" s="1003">
        <f t="shared" si="13"/>
        <v>13</v>
      </c>
      <c r="L891" s="1004"/>
      <c r="M891" s="1003"/>
      <c r="N891" s="1003">
        <v>10</v>
      </c>
      <c r="O891" s="1005">
        <v>16</v>
      </c>
    </row>
    <row r="892" spans="1:15" collapsed="1" x14ac:dyDescent="0.2">
      <c r="A892"/>
      <c r="B892" s="1002">
        <v>86</v>
      </c>
      <c r="C892" s="1003"/>
      <c r="D892" s="1003"/>
      <c r="E892" s="1003"/>
      <c r="F892" s="1003"/>
      <c r="G892" s="1003">
        <v>10</v>
      </c>
      <c r="H892" s="1003">
        <v>2</v>
      </c>
      <c r="I892" s="1003"/>
      <c r="J892" s="1003"/>
      <c r="K892" s="1003">
        <f t="shared" si="13"/>
        <v>12</v>
      </c>
      <c r="L892" s="1004"/>
      <c r="M892" s="1003"/>
      <c r="N892" s="1003">
        <v>8</v>
      </c>
      <c r="O892" s="1005">
        <v>16</v>
      </c>
    </row>
    <row r="893" spans="1:15" x14ac:dyDescent="0.2">
      <c r="A893"/>
      <c r="B893" s="1002">
        <v>86</v>
      </c>
      <c r="C893" s="1003"/>
      <c r="D893" s="1003"/>
      <c r="E893" s="1003"/>
      <c r="F893" s="1003"/>
      <c r="G893" s="1003">
        <v>2</v>
      </c>
      <c r="H893" s="1003">
        <v>9</v>
      </c>
      <c r="I893" s="1003"/>
      <c r="J893" s="1003"/>
      <c r="K893" s="1003">
        <f t="shared" si="13"/>
        <v>11</v>
      </c>
      <c r="L893" s="1004"/>
      <c r="M893" s="1003"/>
      <c r="N893" s="1003">
        <v>6</v>
      </c>
      <c r="O893" s="1005">
        <v>16</v>
      </c>
    </row>
    <row r="894" spans="1:15" collapsed="1" x14ac:dyDescent="0.2">
      <c r="A894"/>
      <c r="B894" s="1002">
        <v>86</v>
      </c>
      <c r="C894" s="1003"/>
      <c r="D894" s="1003"/>
      <c r="E894" s="1003"/>
      <c r="F894" s="1003"/>
      <c r="G894" s="1003"/>
      <c r="H894" s="1003">
        <v>4</v>
      </c>
      <c r="I894" s="1003">
        <v>6</v>
      </c>
      <c r="J894" s="1003"/>
      <c r="K894" s="1003">
        <f t="shared" si="13"/>
        <v>10</v>
      </c>
      <c r="L894" s="1004"/>
      <c r="M894" s="1003"/>
      <c r="N894" s="1003">
        <v>4</v>
      </c>
      <c r="O894" s="1005">
        <v>16</v>
      </c>
    </row>
    <row r="895" spans="1:15" collapsed="1" x14ac:dyDescent="0.2">
      <c r="A895"/>
      <c r="B895" s="1002">
        <v>86</v>
      </c>
      <c r="C895" s="1003"/>
      <c r="D895" s="1003"/>
      <c r="E895" s="1003"/>
      <c r="F895" s="1003"/>
      <c r="G895" s="1003"/>
      <c r="H895" s="1003"/>
      <c r="I895" s="1003">
        <v>4</v>
      </c>
      <c r="J895" s="1003">
        <v>5</v>
      </c>
      <c r="K895" s="1003">
        <f t="shared" si="13"/>
        <v>9</v>
      </c>
      <c r="L895" s="1004"/>
      <c r="M895" s="1003"/>
      <c r="N895" s="1003">
        <v>2</v>
      </c>
      <c r="O895" s="1005">
        <v>16</v>
      </c>
    </row>
    <row r="896" spans="1:15" collapsed="1" x14ac:dyDescent="0.2">
      <c r="A896"/>
      <c r="B896" s="1002">
        <v>87</v>
      </c>
      <c r="C896" s="1003">
        <v>29</v>
      </c>
      <c r="D896" s="1003"/>
      <c r="E896" s="1003"/>
      <c r="F896" s="1003"/>
      <c r="G896" s="1003"/>
      <c r="H896" s="1003"/>
      <c r="I896" s="1003"/>
      <c r="J896" s="1003"/>
      <c r="K896" s="1003">
        <f t="shared" si="13"/>
        <v>29</v>
      </c>
      <c r="L896" s="1004"/>
      <c r="M896" s="1003"/>
      <c r="N896" s="1003">
        <v>26</v>
      </c>
      <c r="O896" s="1005">
        <v>32</v>
      </c>
    </row>
    <row r="897" spans="1:15" collapsed="1" x14ac:dyDescent="0.2">
      <c r="A897"/>
      <c r="B897" s="1002">
        <v>87</v>
      </c>
      <c r="C897" s="1003">
        <v>25</v>
      </c>
      <c r="D897" s="1003">
        <v>3</v>
      </c>
      <c r="E897" s="1003"/>
      <c r="F897" s="1003"/>
      <c r="G897" s="1003"/>
      <c r="H897" s="1003"/>
      <c r="I897" s="1003"/>
      <c r="J897" s="1003"/>
      <c r="K897" s="1003">
        <f t="shared" si="13"/>
        <v>28</v>
      </c>
      <c r="L897" s="1004"/>
      <c r="M897" s="1003"/>
      <c r="N897" s="1003">
        <v>24</v>
      </c>
      <c r="O897" s="1005">
        <v>32</v>
      </c>
    </row>
    <row r="898" spans="1:15" collapsed="1" x14ac:dyDescent="0.2">
      <c r="A898"/>
      <c r="B898" s="1002">
        <v>87</v>
      </c>
      <c r="C898" s="1003">
        <v>21</v>
      </c>
      <c r="D898" s="1003">
        <v>6</v>
      </c>
      <c r="E898" s="1003"/>
      <c r="F898" s="1003"/>
      <c r="G898" s="1003"/>
      <c r="H898" s="1003"/>
      <c r="I898" s="1003"/>
      <c r="J898" s="1003"/>
      <c r="K898" s="1003">
        <f t="shared" si="13"/>
        <v>27</v>
      </c>
      <c r="L898" s="1004"/>
      <c r="M898" s="1003"/>
      <c r="N898" s="1003">
        <v>22</v>
      </c>
      <c r="O898" s="1005">
        <v>32</v>
      </c>
    </row>
    <row r="899" spans="1:15" collapsed="1" x14ac:dyDescent="0.2">
      <c r="A899"/>
      <c r="B899" s="1002">
        <v>87</v>
      </c>
      <c r="C899" s="1003">
        <v>17</v>
      </c>
      <c r="D899" s="1003">
        <v>9</v>
      </c>
      <c r="E899" s="1003"/>
      <c r="F899" s="1003"/>
      <c r="G899" s="1003"/>
      <c r="H899" s="1003"/>
      <c r="I899" s="1003"/>
      <c r="J899" s="1003"/>
      <c r="K899" s="1003">
        <f t="shared" si="13"/>
        <v>26</v>
      </c>
      <c r="L899" s="1004"/>
      <c r="M899" s="1003"/>
      <c r="N899" s="1003">
        <v>20</v>
      </c>
      <c r="O899" s="1005">
        <v>32</v>
      </c>
    </row>
    <row r="900" spans="1:15" collapsed="1" x14ac:dyDescent="0.2">
      <c r="A900"/>
      <c r="B900" s="1002">
        <v>87</v>
      </c>
      <c r="C900" s="1003">
        <v>13</v>
      </c>
      <c r="D900" s="1003">
        <v>12</v>
      </c>
      <c r="E900" s="1003"/>
      <c r="F900" s="1003"/>
      <c r="G900" s="1003"/>
      <c r="H900" s="1003"/>
      <c r="I900" s="1003"/>
      <c r="J900" s="1003"/>
      <c r="K900" s="1003">
        <f t="shared" si="13"/>
        <v>25</v>
      </c>
      <c r="L900" s="1004"/>
      <c r="M900" s="1003"/>
      <c r="N900" s="1003">
        <v>18</v>
      </c>
      <c r="O900" s="1005">
        <v>32</v>
      </c>
    </row>
    <row r="901" spans="1:15" collapsed="1" x14ac:dyDescent="0.2">
      <c r="A901"/>
      <c r="B901" s="1002">
        <v>87</v>
      </c>
      <c r="C901" s="1003">
        <v>9</v>
      </c>
      <c r="D901" s="1003">
        <v>15</v>
      </c>
      <c r="E901" s="1003"/>
      <c r="F901" s="1003"/>
      <c r="G901" s="1003"/>
      <c r="H901" s="1003"/>
      <c r="I901" s="1003"/>
      <c r="J901" s="1003"/>
      <c r="K901" s="1003">
        <f t="shared" si="13"/>
        <v>24</v>
      </c>
      <c r="L901" s="1004"/>
      <c r="M901" s="1003"/>
      <c r="N901" s="1003">
        <v>16</v>
      </c>
      <c r="O901" s="1005">
        <v>32</v>
      </c>
    </row>
    <row r="902" spans="1:15" collapsed="1" x14ac:dyDescent="0.2">
      <c r="A902"/>
      <c r="B902" s="1002">
        <v>87</v>
      </c>
      <c r="C902" s="1003">
        <v>5</v>
      </c>
      <c r="D902" s="1003">
        <v>18</v>
      </c>
      <c r="E902" s="1003"/>
      <c r="F902" s="1003"/>
      <c r="G902" s="1003"/>
      <c r="H902" s="1003"/>
      <c r="I902" s="1003"/>
      <c r="J902" s="1003"/>
      <c r="K902" s="1003">
        <f t="shared" ref="K902:K965" si="14">SUM(C902:J902)</f>
        <v>23</v>
      </c>
      <c r="L902" s="1004"/>
      <c r="M902" s="1003"/>
      <c r="N902" s="1003">
        <v>14</v>
      </c>
      <c r="O902" s="1005">
        <v>32</v>
      </c>
    </row>
    <row r="903" spans="1:15" collapsed="1" x14ac:dyDescent="0.2">
      <c r="A903"/>
      <c r="B903" s="1002">
        <v>87</v>
      </c>
      <c r="C903" s="1003">
        <v>1</v>
      </c>
      <c r="D903" s="1003">
        <v>21</v>
      </c>
      <c r="E903" s="1003"/>
      <c r="F903" s="1003"/>
      <c r="G903" s="1003"/>
      <c r="H903" s="1003"/>
      <c r="I903" s="1003"/>
      <c r="J903" s="1003"/>
      <c r="K903" s="1003">
        <f t="shared" si="14"/>
        <v>22</v>
      </c>
      <c r="L903" s="1004"/>
      <c r="M903" s="1003"/>
      <c r="N903" s="1003">
        <v>12</v>
      </c>
      <c r="O903" s="1005">
        <v>32</v>
      </c>
    </row>
    <row r="904" spans="1:15" collapsed="1" x14ac:dyDescent="0.2">
      <c r="A904"/>
      <c r="B904" s="1002">
        <v>87</v>
      </c>
      <c r="C904" s="1003"/>
      <c r="D904" s="1003">
        <v>18</v>
      </c>
      <c r="E904" s="1003">
        <v>3</v>
      </c>
      <c r="F904" s="1003"/>
      <c r="G904" s="1003"/>
      <c r="H904" s="1003"/>
      <c r="I904" s="1003"/>
      <c r="J904" s="1003"/>
      <c r="K904" s="1003">
        <f t="shared" si="14"/>
        <v>21</v>
      </c>
      <c r="L904" s="1004"/>
      <c r="M904" s="1003"/>
      <c r="N904" s="1003">
        <v>10</v>
      </c>
      <c r="O904" s="1005">
        <v>32</v>
      </c>
    </row>
    <row r="905" spans="1:15" collapsed="1" x14ac:dyDescent="0.2">
      <c r="A905"/>
      <c r="B905" s="1002">
        <v>87</v>
      </c>
      <c r="C905" s="1003"/>
      <c r="D905" s="1003">
        <v>13</v>
      </c>
      <c r="E905" s="1003">
        <v>7</v>
      </c>
      <c r="F905" s="1003"/>
      <c r="G905" s="1003"/>
      <c r="H905" s="1003"/>
      <c r="I905" s="1003"/>
      <c r="J905" s="1003"/>
      <c r="K905" s="1003">
        <f t="shared" si="14"/>
        <v>20</v>
      </c>
      <c r="L905" s="1004"/>
      <c r="M905" s="1003"/>
      <c r="N905" s="1003">
        <v>8</v>
      </c>
      <c r="O905" s="1005">
        <v>32</v>
      </c>
    </row>
    <row r="906" spans="1:15" collapsed="1" x14ac:dyDescent="0.2">
      <c r="A906"/>
      <c r="B906" s="1002">
        <v>87</v>
      </c>
      <c r="C906" s="1003"/>
      <c r="D906" s="1003">
        <v>8</v>
      </c>
      <c r="E906" s="1003">
        <v>11</v>
      </c>
      <c r="F906" s="1003"/>
      <c r="G906" s="1003"/>
      <c r="H906" s="1003"/>
      <c r="I906" s="1003"/>
      <c r="J906" s="1003"/>
      <c r="K906" s="1003">
        <f t="shared" si="14"/>
        <v>19</v>
      </c>
      <c r="L906" s="1004"/>
      <c r="M906" s="1003"/>
      <c r="N906" s="1003">
        <v>6</v>
      </c>
      <c r="O906" s="1005">
        <v>32</v>
      </c>
    </row>
    <row r="907" spans="1:15" collapsed="1" x14ac:dyDescent="0.2">
      <c r="A907"/>
      <c r="B907" s="1002">
        <v>87</v>
      </c>
      <c r="C907" s="1003"/>
      <c r="D907" s="1003">
        <v>3</v>
      </c>
      <c r="E907" s="1003">
        <v>15</v>
      </c>
      <c r="F907" s="1003"/>
      <c r="G907" s="1003"/>
      <c r="H907" s="1003"/>
      <c r="I907" s="1003"/>
      <c r="J907" s="1003"/>
      <c r="K907" s="1003">
        <f t="shared" si="14"/>
        <v>18</v>
      </c>
      <c r="L907" s="1004"/>
      <c r="M907" s="1003"/>
      <c r="N907" s="1003">
        <v>4</v>
      </c>
      <c r="O907" s="1005">
        <v>32</v>
      </c>
    </row>
    <row r="908" spans="1:15" collapsed="1" x14ac:dyDescent="0.2">
      <c r="A908"/>
      <c r="B908" s="1002">
        <v>87</v>
      </c>
      <c r="C908" s="1003"/>
      <c r="D908" s="1003"/>
      <c r="E908" s="1003">
        <v>15</v>
      </c>
      <c r="F908" s="1003">
        <v>2</v>
      </c>
      <c r="G908" s="1003"/>
      <c r="H908" s="1003"/>
      <c r="I908" s="1003"/>
      <c r="J908" s="1003"/>
      <c r="K908" s="1003">
        <f t="shared" si="14"/>
        <v>17</v>
      </c>
      <c r="L908" s="1004"/>
      <c r="M908" s="1003"/>
      <c r="N908" s="1003">
        <v>2</v>
      </c>
      <c r="O908" s="1005">
        <v>32</v>
      </c>
    </row>
    <row r="909" spans="1:15" collapsed="1" x14ac:dyDescent="0.2">
      <c r="A909"/>
      <c r="B909" s="1002">
        <v>87</v>
      </c>
      <c r="C909" s="1003"/>
      <c r="D909" s="1003"/>
      <c r="E909" s="1003">
        <v>9</v>
      </c>
      <c r="F909" s="1003">
        <v>7</v>
      </c>
      <c r="G909" s="1003"/>
      <c r="H909" s="1003"/>
      <c r="I909" s="1003"/>
      <c r="J909" s="1003"/>
      <c r="K909" s="1003">
        <f t="shared" si="14"/>
        <v>16</v>
      </c>
      <c r="L909" s="1004"/>
      <c r="M909" s="1003"/>
      <c r="N909" s="1003"/>
      <c r="O909" s="1005">
        <v>32</v>
      </c>
    </row>
    <row r="910" spans="1:15" collapsed="1" x14ac:dyDescent="0.2">
      <c r="A910"/>
      <c r="B910" s="1002">
        <v>87</v>
      </c>
      <c r="C910" s="1003"/>
      <c r="D910" s="1003"/>
      <c r="E910" s="1003">
        <v>4</v>
      </c>
      <c r="F910" s="1003">
        <v>11</v>
      </c>
      <c r="G910" s="1003"/>
      <c r="H910" s="1003"/>
      <c r="I910" s="1003"/>
      <c r="J910" s="1003"/>
      <c r="K910" s="1003">
        <f t="shared" si="14"/>
        <v>15</v>
      </c>
      <c r="L910" s="1004"/>
      <c r="M910" s="1003"/>
      <c r="N910" s="1003">
        <v>14</v>
      </c>
      <c r="O910" s="1005">
        <v>16</v>
      </c>
    </row>
    <row r="911" spans="1:15" x14ac:dyDescent="0.2">
      <c r="A911"/>
      <c r="B911" s="1002">
        <v>87</v>
      </c>
      <c r="C911" s="1003"/>
      <c r="D911" s="1003"/>
      <c r="E911" s="1003"/>
      <c r="F911" s="1003">
        <v>11</v>
      </c>
      <c r="G911" s="1003">
        <v>3</v>
      </c>
      <c r="H911" s="1003"/>
      <c r="I911" s="1003"/>
      <c r="J911" s="1003"/>
      <c r="K911" s="1003">
        <f t="shared" si="14"/>
        <v>14</v>
      </c>
      <c r="L911" s="1004"/>
      <c r="M911" s="1003"/>
      <c r="N911" s="1003">
        <v>12</v>
      </c>
      <c r="O911" s="1005">
        <v>16</v>
      </c>
    </row>
    <row r="912" spans="1:15" collapsed="1" x14ac:dyDescent="0.2">
      <c r="A912"/>
      <c r="B912" s="1002">
        <v>87</v>
      </c>
      <c r="C912" s="1003"/>
      <c r="D912" s="1003"/>
      <c r="E912" s="1003"/>
      <c r="F912" s="1003">
        <v>4</v>
      </c>
      <c r="G912" s="1003">
        <v>9</v>
      </c>
      <c r="H912" s="1003"/>
      <c r="I912" s="1003"/>
      <c r="J912" s="1003"/>
      <c r="K912" s="1003">
        <f t="shared" si="14"/>
        <v>13</v>
      </c>
      <c r="L912" s="1004"/>
      <c r="M912" s="1003"/>
      <c r="N912" s="1003">
        <v>10</v>
      </c>
      <c r="O912" s="1005">
        <v>16</v>
      </c>
    </row>
    <row r="913" spans="1:15" collapsed="1" x14ac:dyDescent="0.2">
      <c r="A913"/>
      <c r="B913" s="1002">
        <v>87</v>
      </c>
      <c r="C913" s="1003"/>
      <c r="D913" s="1003"/>
      <c r="E913" s="1003"/>
      <c r="F913" s="1003"/>
      <c r="G913" s="1003">
        <v>9</v>
      </c>
      <c r="H913" s="1003">
        <v>3</v>
      </c>
      <c r="I913" s="1003"/>
      <c r="J913" s="1003"/>
      <c r="K913" s="1003">
        <f t="shared" si="14"/>
        <v>12</v>
      </c>
      <c r="L913" s="1004"/>
      <c r="M913" s="1003"/>
      <c r="N913" s="1003">
        <v>8</v>
      </c>
      <c r="O913" s="1005">
        <v>16</v>
      </c>
    </row>
    <row r="914" spans="1:15" x14ac:dyDescent="0.2">
      <c r="A914"/>
      <c r="B914" s="1002">
        <v>87</v>
      </c>
      <c r="C914" s="1003"/>
      <c r="D914" s="1003"/>
      <c r="E914" s="1003"/>
      <c r="F914" s="1003"/>
      <c r="G914" s="1003">
        <v>1</v>
      </c>
      <c r="H914" s="1003">
        <v>10</v>
      </c>
      <c r="I914" s="1003"/>
      <c r="J914" s="1003"/>
      <c r="K914" s="1003">
        <f t="shared" si="14"/>
        <v>11</v>
      </c>
      <c r="L914" s="1004"/>
      <c r="M914" s="1003"/>
      <c r="N914" s="1003">
        <v>6</v>
      </c>
      <c r="O914" s="1005">
        <v>16</v>
      </c>
    </row>
    <row r="915" spans="1:15" collapsed="1" x14ac:dyDescent="0.2">
      <c r="A915"/>
      <c r="B915" s="1002">
        <v>87</v>
      </c>
      <c r="C915" s="1003"/>
      <c r="D915" s="1003"/>
      <c r="E915" s="1003"/>
      <c r="F915" s="1003"/>
      <c r="G915" s="1003"/>
      <c r="H915" s="1003">
        <v>3</v>
      </c>
      <c r="I915" s="1003">
        <v>7</v>
      </c>
      <c r="J915" s="1003"/>
      <c r="K915" s="1003">
        <f t="shared" si="14"/>
        <v>10</v>
      </c>
      <c r="L915" s="1004"/>
      <c r="M915" s="1003"/>
      <c r="N915" s="1003">
        <v>4</v>
      </c>
      <c r="O915" s="1005">
        <v>16</v>
      </c>
    </row>
    <row r="916" spans="1:15" collapsed="1" x14ac:dyDescent="0.2">
      <c r="A916"/>
      <c r="B916" s="1002">
        <v>87</v>
      </c>
      <c r="C916" s="1003"/>
      <c r="D916" s="1003"/>
      <c r="E916" s="1003"/>
      <c r="F916" s="1003"/>
      <c r="G916" s="1003"/>
      <c r="H916" s="1003"/>
      <c r="I916" s="1003">
        <v>3</v>
      </c>
      <c r="J916" s="1003">
        <v>6</v>
      </c>
      <c r="K916" s="1003">
        <f t="shared" si="14"/>
        <v>9</v>
      </c>
      <c r="L916" s="1004"/>
      <c r="M916" s="1003"/>
      <c r="N916" s="1003">
        <v>2</v>
      </c>
      <c r="O916" s="1005">
        <v>16</v>
      </c>
    </row>
    <row r="917" spans="1:15" collapsed="1" x14ac:dyDescent="0.2">
      <c r="A917"/>
      <c r="B917" s="1002">
        <v>88</v>
      </c>
      <c r="C917" s="1003">
        <v>28</v>
      </c>
      <c r="D917" s="1003">
        <v>1</v>
      </c>
      <c r="E917" s="1003"/>
      <c r="F917" s="1003"/>
      <c r="G917" s="1003"/>
      <c r="H917" s="1003"/>
      <c r="I917" s="1003"/>
      <c r="J917" s="1003"/>
      <c r="K917" s="1003">
        <f t="shared" si="14"/>
        <v>29</v>
      </c>
      <c r="L917" s="1004"/>
      <c r="M917" s="1003"/>
      <c r="N917" s="1003">
        <v>26</v>
      </c>
      <c r="O917" s="1005">
        <v>32</v>
      </c>
    </row>
    <row r="918" spans="1:15" collapsed="1" x14ac:dyDescent="0.2">
      <c r="A918"/>
      <c r="B918" s="1002">
        <v>88</v>
      </c>
      <c r="C918" s="1003">
        <v>24</v>
      </c>
      <c r="D918" s="1003">
        <v>4</v>
      </c>
      <c r="E918" s="1003"/>
      <c r="F918" s="1003"/>
      <c r="G918" s="1003"/>
      <c r="H918" s="1003"/>
      <c r="I918" s="1003"/>
      <c r="J918" s="1003"/>
      <c r="K918" s="1003">
        <f t="shared" si="14"/>
        <v>28</v>
      </c>
      <c r="L918" s="1004"/>
      <c r="M918" s="1003"/>
      <c r="N918" s="1003">
        <v>24</v>
      </c>
      <c r="O918" s="1005">
        <v>32</v>
      </c>
    </row>
    <row r="919" spans="1:15" collapsed="1" x14ac:dyDescent="0.2">
      <c r="A919"/>
      <c r="B919" s="1002">
        <v>88</v>
      </c>
      <c r="C919" s="1003">
        <v>20</v>
      </c>
      <c r="D919" s="1003">
        <v>7</v>
      </c>
      <c r="E919" s="1003"/>
      <c r="F919" s="1003"/>
      <c r="G919" s="1003"/>
      <c r="H919" s="1003"/>
      <c r="I919" s="1003"/>
      <c r="J919" s="1003"/>
      <c r="K919" s="1003">
        <f t="shared" si="14"/>
        <v>27</v>
      </c>
      <c r="L919" s="1004"/>
      <c r="M919" s="1003"/>
      <c r="N919" s="1003">
        <v>22</v>
      </c>
      <c r="O919" s="1005">
        <v>32</v>
      </c>
    </row>
    <row r="920" spans="1:15" collapsed="1" x14ac:dyDescent="0.2">
      <c r="A920"/>
      <c r="B920" s="1002">
        <v>88</v>
      </c>
      <c r="C920" s="1003">
        <v>16</v>
      </c>
      <c r="D920" s="1003">
        <v>10</v>
      </c>
      <c r="E920" s="1003"/>
      <c r="F920" s="1003"/>
      <c r="G920" s="1003"/>
      <c r="H920" s="1003"/>
      <c r="I920" s="1003"/>
      <c r="J920" s="1003"/>
      <c r="K920" s="1003">
        <f t="shared" si="14"/>
        <v>26</v>
      </c>
      <c r="L920" s="1004"/>
      <c r="M920" s="1003"/>
      <c r="N920" s="1003">
        <v>20</v>
      </c>
      <c r="O920" s="1005">
        <v>32</v>
      </c>
    </row>
    <row r="921" spans="1:15" collapsed="1" x14ac:dyDescent="0.2">
      <c r="A921"/>
      <c r="B921" s="1002">
        <v>88</v>
      </c>
      <c r="C921" s="1003">
        <v>12</v>
      </c>
      <c r="D921" s="1003">
        <v>13</v>
      </c>
      <c r="E921" s="1003"/>
      <c r="F921" s="1003"/>
      <c r="G921" s="1003"/>
      <c r="H921" s="1003"/>
      <c r="I921" s="1003"/>
      <c r="J921" s="1003"/>
      <c r="K921" s="1003">
        <f t="shared" si="14"/>
        <v>25</v>
      </c>
      <c r="L921" s="1004"/>
      <c r="M921" s="1003"/>
      <c r="N921" s="1003">
        <v>18</v>
      </c>
      <c r="O921" s="1005">
        <v>32</v>
      </c>
    </row>
    <row r="922" spans="1:15" collapsed="1" x14ac:dyDescent="0.2">
      <c r="A922"/>
      <c r="B922" s="1002">
        <v>88</v>
      </c>
      <c r="C922" s="1003">
        <v>8</v>
      </c>
      <c r="D922" s="1003">
        <v>16</v>
      </c>
      <c r="E922" s="1003"/>
      <c r="F922" s="1003"/>
      <c r="G922" s="1003"/>
      <c r="H922" s="1003"/>
      <c r="I922" s="1003"/>
      <c r="J922" s="1003"/>
      <c r="K922" s="1003">
        <f t="shared" si="14"/>
        <v>24</v>
      </c>
      <c r="L922" s="1004"/>
      <c r="M922" s="1003"/>
      <c r="N922" s="1003">
        <v>16</v>
      </c>
      <c r="O922" s="1005">
        <v>32</v>
      </c>
    </row>
    <row r="923" spans="1:15" collapsed="1" x14ac:dyDescent="0.2">
      <c r="A923"/>
      <c r="B923" s="1002">
        <v>88</v>
      </c>
      <c r="C923" s="1003">
        <v>4</v>
      </c>
      <c r="D923" s="1003">
        <v>19</v>
      </c>
      <c r="E923" s="1003"/>
      <c r="F923" s="1003"/>
      <c r="G923" s="1003"/>
      <c r="H923" s="1003"/>
      <c r="I923" s="1003"/>
      <c r="J923" s="1003"/>
      <c r="K923" s="1003">
        <f t="shared" si="14"/>
        <v>23</v>
      </c>
      <c r="L923" s="1004"/>
      <c r="M923" s="1003"/>
      <c r="N923" s="1003">
        <v>14</v>
      </c>
      <c r="O923" s="1005">
        <v>32</v>
      </c>
    </row>
    <row r="924" spans="1:15" collapsed="1" x14ac:dyDescent="0.2">
      <c r="A924"/>
      <c r="B924" s="1002">
        <v>88</v>
      </c>
      <c r="C924" s="1003"/>
      <c r="D924" s="1003">
        <v>22</v>
      </c>
      <c r="E924" s="1003"/>
      <c r="F924" s="1003"/>
      <c r="G924" s="1003"/>
      <c r="H924" s="1003"/>
      <c r="I924" s="1003"/>
      <c r="J924" s="1003"/>
      <c r="K924" s="1003">
        <f t="shared" si="14"/>
        <v>22</v>
      </c>
      <c r="L924" s="1004"/>
      <c r="M924" s="1003"/>
      <c r="N924" s="1003">
        <v>12</v>
      </c>
      <c r="O924" s="1005">
        <v>32</v>
      </c>
    </row>
    <row r="925" spans="1:15" collapsed="1" x14ac:dyDescent="0.2">
      <c r="A925"/>
      <c r="B925" s="1002">
        <v>88</v>
      </c>
      <c r="C925" s="1003"/>
      <c r="D925" s="1003">
        <v>17</v>
      </c>
      <c r="E925" s="1003">
        <v>4</v>
      </c>
      <c r="F925" s="1003"/>
      <c r="G925" s="1003"/>
      <c r="H925" s="1003"/>
      <c r="I925" s="1003"/>
      <c r="J925" s="1003"/>
      <c r="K925" s="1003">
        <f t="shared" si="14"/>
        <v>21</v>
      </c>
      <c r="L925" s="1004"/>
      <c r="M925" s="1003"/>
      <c r="N925" s="1003">
        <v>10</v>
      </c>
      <c r="O925" s="1005">
        <v>32</v>
      </c>
    </row>
    <row r="926" spans="1:15" collapsed="1" x14ac:dyDescent="0.2">
      <c r="A926"/>
      <c r="B926" s="1002">
        <v>88</v>
      </c>
      <c r="C926" s="1003"/>
      <c r="D926" s="1003">
        <v>12</v>
      </c>
      <c r="E926" s="1003">
        <v>8</v>
      </c>
      <c r="F926" s="1003"/>
      <c r="G926" s="1003"/>
      <c r="H926" s="1003"/>
      <c r="I926" s="1003"/>
      <c r="J926" s="1003"/>
      <c r="K926" s="1003">
        <f t="shared" si="14"/>
        <v>20</v>
      </c>
      <c r="L926" s="1004"/>
      <c r="M926" s="1003"/>
      <c r="N926" s="1003">
        <v>8</v>
      </c>
      <c r="O926" s="1005">
        <v>32</v>
      </c>
    </row>
    <row r="927" spans="1:15" collapsed="1" x14ac:dyDescent="0.2">
      <c r="A927"/>
      <c r="B927" s="1002">
        <v>88</v>
      </c>
      <c r="C927" s="1003"/>
      <c r="D927" s="1003">
        <v>7</v>
      </c>
      <c r="E927" s="1003">
        <v>12</v>
      </c>
      <c r="F927" s="1003"/>
      <c r="G927" s="1003"/>
      <c r="H927" s="1003"/>
      <c r="I927" s="1003"/>
      <c r="J927" s="1003"/>
      <c r="K927" s="1003">
        <f t="shared" si="14"/>
        <v>19</v>
      </c>
      <c r="L927" s="1004"/>
      <c r="M927" s="1003"/>
      <c r="N927" s="1003">
        <v>6</v>
      </c>
      <c r="O927" s="1005">
        <v>32</v>
      </c>
    </row>
    <row r="928" spans="1:15" collapsed="1" x14ac:dyDescent="0.2">
      <c r="A928"/>
      <c r="B928" s="1002">
        <v>88</v>
      </c>
      <c r="C928" s="1003"/>
      <c r="D928" s="1003">
        <v>2</v>
      </c>
      <c r="E928" s="1003">
        <v>16</v>
      </c>
      <c r="F928" s="1003"/>
      <c r="G928" s="1003"/>
      <c r="H928" s="1003"/>
      <c r="I928" s="1003"/>
      <c r="J928" s="1003"/>
      <c r="K928" s="1003">
        <f t="shared" si="14"/>
        <v>18</v>
      </c>
      <c r="L928" s="1004"/>
      <c r="M928" s="1003"/>
      <c r="N928" s="1003">
        <v>4</v>
      </c>
      <c r="O928" s="1005">
        <v>32</v>
      </c>
    </row>
    <row r="929" spans="1:15" collapsed="1" x14ac:dyDescent="0.2">
      <c r="A929"/>
      <c r="B929" s="1002">
        <v>88</v>
      </c>
      <c r="C929" s="1003"/>
      <c r="D929" s="1003"/>
      <c r="E929" s="1003">
        <v>14</v>
      </c>
      <c r="F929" s="1003">
        <v>3</v>
      </c>
      <c r="G929" s="1003"/>
      <c r="H929" s="1003"/>
      <c r="I929" s="1003"/>
      <c r="J929" s="1003"/>
      <c r="K929" s="1003">
        <f t="shared" si="14"/>
        <v>17</v>
      </c>
      <c r="L929" s="1004"/>
      <c r="M929" s="1003"/>
      <c r="N929" s="1003">
        <v>2</v>
      </c>
      <c r="O929" s="1005">
        <v>32</v>
      </c>
    </row>
    <row r="930" spans="1:15" collapsed="1" x14ac:dyDescent="0.2">
      <c r="A930"/>
      <c r="B930" s="1002">
        <v>88</v>
      </c>
      <c r="C930" s="1003"/>
      <c r="D930" s="1003"/>
      <c r="E930" s="1003">
        <v>8</v>
      </c>
      <c r="F930" s="1003">
        <v>8</v>
      </c>
      <c r="G930" s="1003"/>
      <c r="H930" s="1003"/>
      <c r="I930" s="1003"/>
      <c r="J930" s="1003"/>
      <c r="K930" s="1003">
        <f t="shared" si="14"/>
        <v>16</v>
      </c>
      <c r="L930" s="1004"/>
      <c r="M930" s="1003"/>
      <c r="N930" s="1003"/>
      <c r="O930" s="1005">
        <v>32</v>
      </c>
    </row>
    <row r="931" spans="1:15" collapsed="1" x14ac:dyDescent="0.2">
      <c r="A931"/>
      <c r="B931" s="1002">
        <v>88</v>
      </c>
      <c r="C931" s="1003"/>
      <c r="D931" s="1003"/>
      <c r="E931" s="1003">
        <v>3</v>
      </c>
      <c r="F931" s="1003">
        <v>12</v>
      </c>
      <c r="G931" s="1003"/>
      <c r="H931" s="1003"/>
      <c r="I931" s="1003"/>
      <c r="J931" s="1003"/>
      <c r="K931" s="1003">
        <f t="shared" si="14"/>
        <v>15</v>
      </c>
      <c r="L931" s="1004"/>
      <c r="M931" s="1003"/>
      <c r="N931" s="1003">
        <v>14</v>
      </c>
      <c r="O931" s="1005">
        <v>16</v>
      </c>
    </row>
    <row r="932" spans="1:15" x14ac:dyDescent="0.2">
      <c r="A932"/>
      <c r="B932" s="1002">
        <v>88</v>
      </c>
      <c r="C932" s="1003"/>
      <c r="D932" s="1003"/>
      <c r="E932" s="1003"/>
      <c r="F932" s="1003">
        <v>10</v>
      </c>
      <c r="G932" s="1003">
        <v>4</v>
      </c>
      <c r="H932" s="1003"/>
      <c r="I932" s="1003"/>
      <c r="J932" s="1003"/>
      <c r="K932" s="1003">
        <f t="shared" si="14"/>
        <v>14</v>
      </c>
      <c r="L932" s="1004"/>
      <c r="M932" s="1003"/>
      <c r="N932" s="1003">
        <v>12</v>
      </c>
      <c r="O932" s="1005">
        <v>16</v>
      </c>
    </row>
    <row r="933" spans="1:15" collapsed="1" x14ac:dyDescent="0.2">
      <c r="A933"/>
      <c r="B933" s="1002">
        <v>88</v>
      </c>
      <c r="C933" s="1003"/>
      <c r="D933" s="1003"/>
      <c r="E933" s="1003"/>
      <c r="F933" s="1003">
        <v>3</v>
      </c>
      <c r="G933" s="1003">
        <v>10</v>
      </c>
      <c r="H933" s="1003"/>
      <c r="I933" s="1003"/>
      <c r="J933" s="1003"/>
      <c r="K933" s="1003">
        <f t="shared" si="14"/>
        <v>13</v>
      </c>
      <c r="L933" s="1004"/>
      <c r="M933" s="1003"/>
      <c r="N933" s="1003">
        <v>10</v>
      </c>
      <c r="O933" s="1005">
        <v>16</v>
      </c>
    </row>
    <row r="934" spans="1:15" collapsed="1" x14ac:dyDescent="0.2">
      <c r="A934"/>
      <c r="B934" s="1002">
        <v>88</v>
      </c>
      <c r="C934" s="1003"/>
      <c r="D934" s="1003"/>
      <c r="E934" s="1003"/>
      <c r="F934" s="1003"/>
      <c r="G934" s="1003">
        <v>8</v>
      </c>
      <c r="H934" s="1003">
        <v>4</v>
      </c>
      <c r="I934" s="1003"/>
      <c r="J934" s="1003"/>
      <c r="K934" s="1003">
        <f t="shared" si="14"/>
        <v>12</v>
      </c>
      <c r="L934" s="1004"/>
      <c r="M934" s="1003"/>
      <c r="N934" s="1003">
        <v>8</v>
      </c>
      <c r="O934" s="1005">
        <v>16</v>
      </c>
    </row>
    <row r="935" spans="1:15" x14ac:dyDescent="0.2">
      <c r="A935"/>
      <c r="B935" s="1002">
        <v>88</v>
      </c>
      <c r="C935" s="1003"/>
      <c r="D935" s="1003"/>
      <c r="E935" s="1003"/>
      <c r="F935" s="1003"/>
      <c r="G935" s="1003"/>
      <c r="H935" s="1003">
        <v>11</v>
      </c>
      <c r="I935" s="1003"/>
      <c r="J935" s="1003"/>
      <c r="K935" s="1003">
        <f t="shared" si="14"/>
        <v>11</v>
      </c>
      <c r="L935" s="1004"/>
      <c r="M935" s="1003"/>
      <c r="N935" s="1003">
        <v>6</v>
      </c>
      <c r="O935" s="1005">
        <v>16</v>
      </c>
    </row>
    <row r="936" spans="1:15" collapsed="1" x14ac:dyDescent="0.2">
      <c r="A936"/>
      <c r="B936" s="1002">
        <v>88</v>
      </c>
      <c r="C936" s="1003"/>
      <c r="D936" s="1003"/>
      <c r="E936" s="1003"/>
      <c r="F936" s="1003"/>
      <c r="G936" s="1003"/>
      <c r="H936" s="1003">
        <v>2</v>
      </c>
      <c r="I936" s="1003">
        <v>8</v>
      </c>
      <c r="J936" s="1003"/>
      <c r="K936" s="1003">
        <f t="shared" si="14"/>
        <v>10</v>
      </c>
      <c r="L936" s="1004"/>
      <c r="M936" s="1003"/>
      <c r="N936" s="1003">
        <v>4</v>
      </c>
      <c r="O936" s="1005">
        <v>16</v>
      </c>
    </row>
    <row r="937" spans="1:15" collapsed="1" x14ac:dyDescent="0.2">
      <c r="A937"/>
      <c r="B937" s="1002">
        <v>88</v>
      </c>
      <c r="C937" s="1003"/>
      <c r="D937" s="1003"/>
      <c r="E937" s="1003"/>
      <c r="F937" s="1003"/>
      <c r="G937" s="1003"/>
      <c r="H937" s="1003"/>
      <c r="I937" s="1003">
        <v>2</v>
      </c>
      <c r="J937" s="1003">
        <v>7</v>
      </c>
      <c r="K937" s="1003">
        <f t="shared" si="14"/>
        <v>9</v>
      </c>
      <c r="L937" s="1004"/>
      <c r="M937" s="1003"/>
      <c r="N937" s="1003">
        <v>2</v>
      </c>
      <c r="O937" s="1005">
        <v>16</v>
      </c>
    </row>
    <row r="938" spans="1:15" collapsed="1" x14ac:dyDescent="0.2">
      <c r="A938"/>
      <c r="B938" s="1002">
        <v>89</v>
      </c>
      <c r="C938" s="1003">
        <v>27</v>
      </c>
      <c r="D938" s="1003">
        <v>2</v>
      </c>
      <c r="E938" s="1003"/>
      <c r="F938" s="1003"/>
      <c r="G938" s="1003"/>
      <c r="H938" s="1003"/>
      <c r="I938" s="1003"/>
      <c r="J938" s="1003"/>
      <c r="K938" s="1003">
        <f t="shared" si="14"/>
        <v>29</v>
      </c>
      <c r="L938" s="1004"/>
      <c r="M938" s="1003"/>
      <c r="N938" s="1003">
        <v>26</v>
      </c>
      <c r="O938" s="1005">
        <v>32</v>
      </c>
    </row>
    <row r="939" spans="1:15" collapsed="1" x14ac:dyDescent="0.2">
      <c r="A939"/>
      <c r="B939" s="1002">
        <v>89</v>
      </c>
      <c r="C939" s="1003">
        <v>23</v>
      </c>
      <c r="D939" s="1003">
        <v>5</v>
      </c>
      <c r="E939" s="1003"/>
      <c r="F939" s="1003"/>
      <c r="G939" s="1003"/>
      <c r="H939" s="1003"/>
      <c r="I939" s="1003"/>
      <c r="J939" s="1003"/>
      <c r="K939" s="1003">
        <f t="shared" si="14"/>
        <v>28</v>
      </c>
      <c r="L939" s="1004"/>
      <c r="M939" s="1003"/>
      <c r="N939" s="1003">
        <v>24</v>
      </c>
      <c r="O939" s="1005">
        <v>32</v>
      </c>
    </row>
    <row r="940" spans="1:15" collapsed="1" x14ac:dyDescent="0.2">
      <c r="A940"/>
      <c r="B940" s="1002">
        <v>89</v>
      </c>
      <c r="C940" s="1003">
        <v>19</v>
      </c>
      <c r="D940" s="1003">
        <v>8</v>
      </c>
      <c r="E940" s="1003"/>
      <c r="F940" s="1003"/>
      <c r="G940" s="1003"/>
      <c r="H940" s="1003"/>
      <c r="I940" s="1003"/>
      <c r="J940" s="1003"/>
      <c r="K940" s="1003">
        <f t="shared" si="14"/>
        <v>27</v>
      </c>
      <c r="L940" s="1004"/>
      <c r="M940" s="1003"/>
      <c r="N940" s="1003">
        <v>22</v>
      </c>
      <c r="O940" s="1005">
        <v>32</v>
      </c>
    </row>
    <row r="941" spans="1:15" collapsed="1" x14ac:dyDescent="0.2">
      <c r="A941"/>
      <c r="B941" s="1002">
        <v>89</v>
      </c>
      <c r="C941" s="1003">
        <v>15</v>
      </c>
      <c r="D941" s="1003">
        <v>11</v>
      </c>
      <c r="E941" s="1003"/>
      <c r="F941" s="1003"/>
      <c r="G941" s="1003"/>
      <c r="H941" s="1003"/>
      <c r="I941" s="1003"/>
      <c r="J941" s="1003"/>
      <c r="K941" s="1003">
        <f t="shared" si="14"/>
        <v>26</v>
      </c>
      <c r="L941" s="1004"/>
      <c r="M941" s="1003"/>
      <c r="N941" s="1003">
        <v>20</v>
      </c>
      <c r="O941" s="1005">
        <v>32</v>
      </c>
    </row>
    <row r="942" spans="1:15" collapsed="1" x14ac:dyDescent="0.2">
      <c r="A942"/>
      <c r="B942" s="1002">
        <v>89</v>
      </c>
      <c r="C942" s="1003">
        <v>11</v>
      </c>
      <c r="D942" s="1003">
        <v>14</v>
      </c>
      <c r="E942" s="1003"/>
      <c r="F942" s="1003"/>
      <c r="G942" s="1003"/>
      <c r="H942" s="1003"/>
      <c r="I942" s="1003"/>
      <c r="J942" s="1003"/>
      <c r="K942" s="1003">
        <f t="shared" si="14"/>
        <v>25</v>
      </c>
      <c r="L942" s="1004"/>
      <c r="M942" s="1003"/>
      <c r="N942" s="1003">
        <v>18</v>
      </c>
      <c r="O942" s="1005">
        <v>32</v>
      </c>
    </row>
    <row r="943" spans="1:15" collapsed="1" x14ac:dyDescent="0.2">
      <c r="A943"/>
      <c r="B943" s="1002">
        <v>89</v>
      </c>
      <c r="C943" s="1003">
        <v>7</v>
      </c>
      <c r="D943" s="1003">
        <v>17</v>
      </c>
      <c r="E943" s="1003"/>
      <c r="F943" s="1003"/>
      <c r="G943" s="1003"/>
      <c r="H943" s="1003"/>
      <c r="I943" s="1003"/>
      <c r="J943" s="1003"/>
      <c r="K943" s="1003">
        <f t="shared" si="14"/>
        <v>24</v>
      </c>
      <c r="L943" s="1004"/>
      <c r="M943" s="1003"/>
      <c r="N943" s="1003">
        <v>16</v>
      </c>
      <c r="O943" s="1005">
        <v>32</v>
      </c>
    </row>
    <row r="944" spans="1:15" collapsed="1" x14ac:dyDescent="0.2">
      <c r="A944"/>
      <c r="B944" s="1002">
        <v>89</v>
      </c>
      <c r="C944" s="1003">
        <v>3</v>
      </c>
      <c r="D944" s="1003">
        <v>20</v>
      </c>
      <c r="E944" s="1003"/>
      <c r="F944" s="1003"/>
      <c r="G944" s="1003"/>
      <c r="H944" s="1003"/>
      <c r="I944" s="1003"/>
      <c r="J944" s="1003"/>
      <c r="K944" s="1003">
        <f t="shared" si="14"/>
        <v>23</v>
      </c>
      <c r="L944" s="1004"/>
      <c r="M944" s="1003"/>
      <c r="N944" s="1003">
        <v>14</v>
      </c>
      <c r="O944" s="1005">
        <v>32</v>
      </c>
    </row>
    <row r="945" spans="1:15" collapsed="1" x14ac:dyDescent="0.2">
      <c r="A945"/>
      <c r="B945" s="1002">
        <v>89</v>
      </c>
      <c r="C945" s="1003"/>
      <c r="D945" s="1003">
        <v>21</v>
      </c>
      <c r="E945" s="1003">
        <v>1</v>
      </c>
      <c r="F945" s="1003"/>
      <c r="G945" s="1003"/>
      <c r="H945" s="1003"/>
      <c r="I945" s="1003"/>
      <c r="J945" s="1003"/>
      <c r="K945" s="1003">
        <f t="shared" si="14"/>
        <v>22</v>
      </c>
      <c r="L945" s="1004"/>
      <c r="M945" s="1003"/>
      <c r="N945" s="1003">
        <v>12</v>
      </c>
      <c r="O945" s="1005">
        <v>32</v>
      </c>
    </row>
    <row r="946" spans="1:15" collapsed="1" x14ac:dyDescent="0.2">
      <c r="A946"/>
      <c r="B946" s="1002">
        <v>89</v>
      </c>
      <c r="C946" s="1003"/>
      <c r="D946" s="1003">
        <v>16</v>
      </c>
      <c r="E946" s="1003">
        <v>5</v>
      </c>
      <c r="F946" s="1003"/>
      <c r="G946" s="1003"/>
      <c r="H946" s="1003"/>
      <c r="I946" s="1003"/>
      <c r="J946" s="1003"/>
      <c r="K946" s="1003">
        <f t="shared" si="14"/>
        <v>21</v>
      </c>
      <c r="L946" s="1004"/>
      <c r="M946" s="1003"/>
      <c r="N946" s="1003">
        <v>10</v>
      </c>
      <c r="O946" s="1005">
        <v>32</v>
      </c>
    </row>
    <row r="947" spans="1:15" collapsed="1" x14ac:dyDescent="0.2">
      <c r="A947"/>
      <c r="B947" s="1002">
        <v>89</v>
      </c>
      <c r="C947" s="1003"/>
      <c r="D947" s="1003">
        <v>11</v>
      </c>
      <c r="E947" s="1003">
        <v>9</v>
      </c>
      <c r="F947" s="1003"/>
      <c r="G947" s="1003"/>
      <c r="H947" s="1003"/>
      <c r="I947" s="1003"/>
      <c r="J947" s="1003"/>
      <c r="K947" s="1003">
        <f t="shared" si="14"/>
        <v>20</v>
      </c>
      <c r="L947" s="1004"/>
      <c r="M947" s="1003"/>
      <c r="N947" s="1003">
        <v>8</v>
      </c>
      <c r="O947" s="1005">
        <v>32</v>
      </c>
    </row>
    <row r="948" spans="1:15" collapsed="1" x14ac:dyDescent="0.2">
      <c r="A948"/>
      <c r="B948" s="1002">
        <v>89</v>
      </c>
      <c r="C948" s="1003"/>
      <c r="D948" s="1003">
        <v>6</v>
      </c>
      <c r="E948" s="1003">
        <v>13</v>
      </c>
      <c r="F948" s="1003"/>
      <c r="G948" s="1003"/>
      <c r="H948" s="1003"/>
      <c r="I948" s="1003"/>
      <c r="J948" s="1003"/>
      <c r="K948" s="1003">
        <f t="shared" si="14"/>
        <v>19</v>
      </c>
      <c r="L948" s="1004"/>
      <c r="M948" s="1003"/>
      <c r="N948" s="1003">
        <v>6</v>
      </c>
      <c r="O948" s="1005">
        <v>32</v>
      </c>
    </row>
    <row r="949" spans="1:15" collapsed="1" x14ac:dyDescent="0.2">
      <c r="A949"/>
      <c r="B949" s="1002">
        <v>89</v>
      </c>
      <c r="C949" s="1003"/>
      <c r="D949" s="1003">
        <v>1</v>
      </c>
      <c r="E949" s="1003">
        <v>17</v>
      </c>
      <c r="F949" s="1003"/>
      <c r="G949" s="1003"/>
      <c r="H949" s="1003"/>
      <c r="I949" s="1003"/>
      <c r="J949" s="1003"/>
      <c r="K949" s="1003">
        <f t="shared" si="14"/>
        <v>18</v>
      </c>
      <c r="L949" s="1004"/>
      <c r="M949" s="1003"/>
      <c r="N949" s="1003">
        <v>4</v>
      </c>
      <c r="O949" s="1005">
        <v>32</v>
      </c>
    </row>
    <row r="950" spans="1:15" collapsed="1" x14ac:dyDescent="0.2">
      <c r="A950"/>
      <c r="B950" s="1002">
        <v>89</v>
      </c>
      <c r="C950" s="1003"/>
      <c r="D950" s="1003"/>
      <c r="E950" s="1003">
        <v>13</v>
      </c>
      <c r="F950" s="1003">
        <v>4</v>
      </c>
      <c r="G950" s="1003"/>
      <c r="H950" s="1003"/>
      <c r="I950" s="1003"/>
      <c r="J950" s="1003"/>
      <c r="K950" s="1003">
        <f t="shared" si="14"/>
        <v>17</v>
      </c>
      <c r="L950" s="1004"/>
      <c r="M950" s="1003"/>
      <c r="N950" s="1003">
        <v>2</v>
      </c>
      <c r="O950" s="1005">
        <v>32</v>
      </c>
    </row>
    <row r="951" spans="1:15" collapsed="1" x14ac:dyDescent="0.2">
      <c r="A951"/>
      <c r="B951" s="1002">
        <v>89</v>
      </c>
      <c r="C951" s="1003"/>
      <c r="D951" s="1003"/>
      <c r="E951" s="1003">
        <v>7</v>
      </c>
      <c r="F951" s="1003">
        <v>9</v>
      </c>
      <c r="G951" s="1003"/>
      <c r="H951" s="1003"/>
      <c r="I951" s="1003"/>
      <c r="J951" s="1003"/>
      <c r="K951" s="1003">
        <f t="shared" si="14"/>
        <v>16</v>
      </c>
      <c r="L951" s="1004"/>
      <c r="M951" s="1003"/>
      <c r="N951" s="1003"/>
      <c r="O951" s="1005">
        <v>32</v>
      </c>
    </row>
    <row r="952" spans="1:15" collapsed="1" x14ac:dyDescent="0.2">
      <c r="A952"/>
      <c r="B952" s="1002">
        <v>89</v>
      </c>
      <c r="C952" s="1003"/>
      <c r="D952" s="1003"/>
      <c r="E952" s="1003">
        <v>2</v>
      </c>
      <c r="F952" s="1003">
        <v>13</v>
      </c>
      <c r="G952" s="1003"/>
      <c r="H952" s="1003"/>
      <c r="I952" s="1003"/>
      <c r="J952" s="1003"/>
      <c r="K952" s="1003">
        <f t="shared" si="14"/>
        <v>15</v>
      </c>
      <c r="L952" s="1004"/>
      <c r="M952" s="1003"/>
      <c r="N952" s="1003">
        <v>14</v>
      </c>
      <c r="O952" s="1005">
        <v>16</v>
      </c>
    </row>
    <row r="953" spans="1:15" x14ac:dyDescent="0.2">
      <c r="A953"/>
      <c r="B953" s="1002">
        <v>89</v>
      </c>
      <c r="C953" s="1003"/>
      <c r="D953" s="1003"/>
      <c r="E953" s="1003"/>
      <c r="F953" s="1003">
        <v>9</v>
      </c>
      <c r="G953" s="1003">
        <v>5</v>
      </c>
      <c r="H953" s="1003"/>
      <c r="I953" s="1003"/>
      <c r="J953" s="1003"/>
      <c r="K953" s="1003">
        <f t="shared" si="14"/>
        <v>14</v>
      </c>
      <c r="L953" s="1004"/>
      <c r="M953" s="1003"/>
      <c r="N953" s="1003">
        <v>12</v>
      </c>
      <c r="O953" s="1005">
        <v>16</v>
      </c>
    </row>
    <row r="954" spans="1:15" collapsed="1" x14ac:dyDescent="0.2">
      <c r="A954"/>
      <c r="B954" s="1002">
        <v>89</v>
      </c>
      <c r="C954" s="1003"/>
      <c r="D954" s="1003"/>
      <c r="E954" s="1003"/>
      <c r="F954" s="1003">
        <v>2</v>
      </c>
      <c r="G954" s="1003">
        <v>11</v>
      </c>
      <c r="H954" s="1003"/>
      <c r="I954" s="1003"/>
      <c r="J954" s="1003"/>
      <c r="K954" s="1003">
        <f t="shared" si="14"/>
        <v>13</v>
      </c>
      <c r="L954" s="1004"/>
      <c r="M954" s="1003"/>
      <c r="N954" s="1003">
        <v>10</v>
      </c>
      <c r="O954" s="1005">
        <v>16</v>
      </c>
    </row>
    <row r="955" spans="1:15" collapsed="1" x14ac:dyDescent="0.2">
      <c r="A955"/>
      <c r="B955" s="1002">
        <v>89</v>
      </c>
      <c r="C955" s="1003"/>
      <c r="D955" s="1003"/>
      <c r="E955" s="1003"/>
      <c r="F955" s="1003"/>
      <c r="G955" s="1003">
        <v>7</v>
      </c>
      <c r="H955" s="1003">
        <v>5</v>
      </c>
      <c r="I955" s="1003"/>
      <c r="J955" s="1003"/>
      <c r="K955" s="1003">
        <f t="shared" si="14"/>
        <v>12</v>
      </c>
      <c r="L955" s="1004"/>
      <c r="M955" s="1003"/>
      <c r="N955" s="1003">
        <v>8</v>
      </c>
      <c r="O955" s="1005">
        <v>16</v>
      </c>
    </row>
    <row r="956" spans="1:15" x14ac:dyDescent="0.2">
      <c r="A956"/>
      <c r="B956" s="1002">
        <v>89</v>
      </c>
      <c r="C956" s="1003"/>
      <c r="D956" s="1003"/>
      <c r="E956" s="1003"/>
      <c r="F956" s="1003"/>
      <c r="G956" s="1003"/>
      <c r="H956" s="1003">
        <v>10</v>
      </c>
      <c r="I956" s="1003">
        <v>1</v>
      </c>
      <c r="J956" s="1003"/>
      <c r="K956" s="1003">
        <f t="shared" si="14"/>
        <v>11</v>
      </c>
      <c r="L956" s="1004"/>
      <c r="M956" s="1003"/>
      <c r="N956" s="1003">
        <v>6</v>
      </c>
      <c r="O956" s="1005">
        <v>16</v>
      </c>
    </row>
    <row r="957" spans="1:15" collapsed="1" x14ac:dyDescent="0.2">
      <c r="A957"/>
      <c r="B957" s="1002">
        <v>89</v>
      </c>
      <c r="C957" s="1003"/>
      <c r="D957" s="1003"/>
      <c r="E957" s="1003"/>
      <c r="F957" s="1003"/>
      <c r="G957" s="1003"/>
      <c r="H957" s="1003">
        <v>1</v>
      </c>
      <c r="I957" s="1003">
        <v>9</v>
      </c>
      <c r="J957" s="1003"/>
      <c r="K957" s="1003">
        <f t="shared" si="14"/>
        <v>10</v>
      </c>
      <c r="L957" s="1004"/>
      <c r="M957" s="1003"/>
      <c r="N957" s="1003">
        <v>4</v>
      </c>
      <c r="O957" s="1005">
        <v>16</v>
      </c>
    </row>
    <row r="958" spans="1:15" collapsed="1" x14ac:dyDescent="0.2">
      <c r="A958"/>
      <c r="B958" s="1002">
        <v>89</v>
      </c>
      <c r="C958" s="1003"/>
      <c r="D958" s="1003"/>
      <c r="E958" s="1003"/>
      <c r="F958" s="1003"/>
      <c r="G958" s="1003"/>
      <c r="H958" s="1003"/>
      <c r="I958" s="1003">
        <v>1</v>
      </c>
      <c r="J958" s="1003">
        <v>8</v>
      </c>
      <c r="K958" s="1003">
        <f t="shared" si="14"/>
        <v>9</v>
      </c>
      <c r="L958" s="1004"/>
      <c r="M958" s="1003"/>
      <c r="N958" s="1003">
        <v>2</v>
      </c>
      <c r="O958" s="1005">
        <v>16</v>
      </c>
    </row>
    <row r="959" spans="1:15" collapsed="1" x14ac:dyDescent="0.2">
      <c r="A959"/>
      <c r="B959" s="1002">
        <v>90</v>
      </c>
      <c r="C959" s="1003">
        <v>30</v>
      </c>
      <c r="D959" s="1003"/>
      <c r="E959" s="1003"/>
      <c r="F959" s="1003"/>
      <c r="G959" s="1003"/>
      <c r="H959" s="1003"/>
      <c r="I959" s="1003"/>
      <c r="J959" s="1003"/>
      <c r="K959" s="1003">
        <f t="shared" si="14"/>
        <v>30</v>
      </c>
      <c r="L959" s="1004"/>
      <c r="M959" s="1003"/>
      <c r="N959" s="1003">
        <v>28</v>
      </c>
      <c r="O959" s="1005">
        <v>32</v>
      </c>
    </row>
    <row r="960" spans="1:15" collapsed="1" x14ac:dyDescent="0.2">
      <c r="A960"/>
      <c r="B960" s="1002">
        <v>90</v>
      </c>
      <c r="C960" s="1003">
        <v>26</v>
      </c>
      <c r="D960" s="1003">
        <v>3</v>
      </c>
      <c r="E960" s="1003"/>
      <c r="F960" s="1003"/>
      <c r="G960" s="1003"/>
      <c r="H960" s="1003"/>
      <c r="I960" s="1003"/>
      <c r="J960" s="1003"/>
      <c r="K960" s="1003">
        <f t="shared" si="14"/>
        <v>29</v>
      </c>
      <c r="L960" s="1004"/>
      <c r="M960" s="1003"/>
      <c r="N960" s="1003">
        <v>26</v>
      </c>
      <c r="O960" s="1005">
        <v>32</v>
      </c>
    </row>
    <row r="961" spans="1:15" collapsed="1" x14ac:dyDescent="0.2">
      <c r="A961"/>
      <c r="B961" s="1002">
        <v>90</v>
      </c>
      <c r="C961" s="1003">
        <v>22</v>
      </c>
      <c r="D961" s="1003">
        <v>6</v>
      </c>
      <c r="E961" s="1003"/>
      <c r="F961" s="1003"/>
      <c r="G961" s="1003"/>
      <c r="H961" s="1003"/>
      <c r="I961" s="1003"/>
      <c r="J961" s="1003"/>
      <c r="K961" s="1003">
        <f t="shared" si="14"/>
        <v>28</v>
      </c>
      <c r="L961" s="1004"/>
      <c r="M961" s="1003"/>
      <c r="N961" s="1003">
        <v>24</v>
      </c>
      <c r="O961" s="1005">
        <v>32</v>
      </c>
    </row>
    <row r="962" spans="1:15" collapsed="1" x14ac:dyDescent="0.2">
      <c r="A962"/>
      <c r="B962" s="1002">
        <v>90</v>
      </c>
      <c r="C962" s="1003">
        <v>18</v>
      </c>
      <c r="D962" s="1003">
        <v>9</v>
      </c>
      <c r="E962" s="1003"/>
      <c r="F962" s="1003"/>
      <c r="G962" s="1003"/>
      <c r="H962" s="1003"/>
      <c r="I962" s="1003"/>
      <c r="J962" s="1003"/>
      <c r="K962" s="1003">
        <f t="shared" si="14"/>
        <v>27</v>
      </c>
      <c r="L962" s="1004"/>
      <c r="M962" s="1003"/>
      <c r="N962" s="1003">
        <v>22</v>
      </c>
      <c r="O962" s="1005">
        <v>32</v>
      </c>
    </row>
    <row r="963" spans="1:15" collapsed="1" x14ac:dyDescent="0.2">
      <c r="A963"/>
      <c r="B963" s="1002">
        <v>90</v>
      </c>
      <c r="C963" s="1003">
        <v>14</v>
      </c>
      <c r="D963" s="1003">
        <v>12</v>
      </c>
      <c r="E963" s="1003"/>
      <c r="F963" s="1003"/>
      <c r="G963" s="1003"/>
      <c r="H963" s="1003"/>
      <c r="I963" s="1003"/>
      <c r="J963" s="1003"/>
      <c r="K963" s="1003">
        <f t="shared" si="14"/>
        <v>26</v>
      </c>
      <c r="L963" s="1004"/>
      <c r="M963" s="1003"/>
      <c r="N963" s="1003">
        <v>20</v>
      </c>
      <c r="O963" s="1005">
        <v>32</v>
      </c>
    </row>
    <row r="964" spans="1:15" collapsed="1" x14ac:dyDescent="0.2">
      <c r="A964"/>
      <c r="B964" s="1002">
        <v>90</v>
      </c>
      <c r="C964" s="1003">
        <v>10</v>
      </c>
      <c r="D964" s="1003">
        <v>15</v>
      </c>
      <c r="E964" s="1003"/>
      <c r="F964" s="1003"/>
      <c r="G964" s="1003"/>
      <c r="H964" s="1003"/>
      <c r="I964" s="1003"/>
      <c r="J964" s="1003"/>
      <c r="K964" s="1003">
        <f t="shared" si="14"/>
        <v>25</v>
      </c>
      <c r="L964" s="1004"/>
      <c r="M964" s="1003"/>
      <c r="N964" s="1003">
        <v>18</v>
      </c>
      <c r="O964" s="1005">
        <v>32</v>
      </c>
    </row>
    <row r="965" spans="1:15" collapsed="1" x14ac:dyDescent="0.2">
      <c r="A965"/>
      <c r="B965" s="1002">
        <v>90</v>
      </c>
      <c r="C965" s="1003">
        <v>6</v>
      </c>
      <c r="D965" s="1003">
        <v>18</v>
      </c>
      <c r="E965" s="1003"/>
      <c r="F965" s="1003"/>
      <c r="G965" s="1003"/>
      <c r="H965" s="1003"/>
      <c r="I965" s="1003"/>
      <c r="J965" s="1003"/>
      <c r="K965" s="1003">
        <f t="shared" si="14"/>
        <v>24</v>
      </c>
      <c r="L965" s="1004"/>
      <c r="M965" s="1003"/>
      <c r="N965" s="1003">
        <v>16</v>
      </c>
      <c r="O965" s="1005">
        <v>32</v>
      </c>
    </row>
    <row r="966" spans="1:15" collapsed="1" x14ac:dyDescent="0.2">
      <c r="A966"/>
      <c r="B966" s="1002">
        <v>90</v>
      </c>
      <c r="C966" s="1003">
        <v>2</v>
      </c>
      <c r="D966" s="1003">
        <v>21</v>
      </c>
      <c r="E966" s="1003"/>
      <c r="F966" s="1003"/>
      <c r="G966" s="1003"/>
      <c r="H966" s="1003"/>
      <c r="I966" s="1003"/>
      <c r="J966" s="1003"/>
      <c r="K966" s="1003">
        <f t="shared" ref="K966:K1029" si="15">SUM(C966:J966)</f>
        <v>23</v>
      </c>
      <c r="L966" s="1004"/>
      <c r="M966" s="1003"/>
      <c r="N966" s="1003">
        <v>14</v>
      </c>
      <c r="O966" s="1005">
        <v>32</v>
      </c>
    </row>
    <row r="967" spans="1:15" collapsed="1" x14ac:dyDescent="0.2">
      <c r="A967"/>
      <c r="B967" s="1002">
        <v>90</v>
      </c>
      <c r="C967" s="1003"/>
      <c r="D967" s="1003">
        <v>20</v>
      </c>
      <c r="E967" s="1003">
        <v>2</v>
      </c>
      <c r="F967" s="1003"/>
      <c r="G967" s="1003"/>
      <c r="H967" s="1003"/>
      <c r="I967" s="1003"/>
      <c r="J967" s="1003"/>
      <c r="K967" s="1003">
        <f t="shared" si="15"/>
        <v>22</v>
      </c>
      <c r="L967" s="1004"/>
      <c r="M967" s="1003"/>
      <c r="N967" s="1003">
        <v>12</v>
      </c>
      <c r="O967" s="1005">
        <v>32</v>
      </c>
    </row>
    <row r="968" spans="1:15" collapsed="1" x14ac:dyDescent="0.2">
      <c r="A968"/>
      <c r="B968" s="1002">
        <v>90</v>
      </c>
      <c r="C968" s="1003"/>
      <c r="D968" s="1003">
        <v>15</v>
      </c>
      <c r="E968" s="1003">
        <v>6</v>
      </c>
      <c r="F968" s="1003"/>
      <c r="G968" s="1003"/>
      <c r="H968" s="1003"/>
      <c r="I968" s="1003"/>
      <c r="J968" s="1003"/>
      <c r="K968" s="1003">
        <f t="shared" si="15"/>
        <v>21</v>
      </c>
      <c r="L968" s="1004"/>
      <c r="M968" s="1003"/>
      <c r="N968" s="1003">
        <v>10</v>
      </c>
      <c r="O968" s="1005">
        <v>32</v>
      </c>
    </row>
    <row r="969" spans="1:15" collapsed="1" x14ac:dyDescent="0.2">
      <c r="A969"/>
      <c r="B969" s="1002">
        <v>90</v>
      </c>
      <c r="C969" s="1003"/>
      <c r="D969" s="1003">
        <v>10</v>
      </c>
      <c r="E969" s="1003">
        <v>10</v>
      </c>
      <c r="F969" s="1003"/>
      <c r="G969" s="1003"/>
      <c r="H969" s="1003"/>
      <c r="I969" s="1003"/>
      <c r="J969" s="1003"/>
      <c r="K969" s="1003">
        <f t="shared" si="15"/>
        <v>20</v>
      </c>
      <c r="L969" s="1004"/>
      <c r="M969" s="1003"/>
      <c r="N969" s="1003">
        <v>8</v>
      </c>
      <c r="O969" s="1005">
        <v>32</v>
      </c>
    </row>
    <row r="970" spans="1:15" collapsed="1" x14ac:dyDescent="0.2">
      <c r="A970"/>
      <c r="B970" s="1002">
        <v>90</v>
      </c>
      <c r="C970" s="1003"/>
      <c r="D970" s="1003">
        <v>5</v>
      </c>
      <c r="E970" s="1003">
        <v>14</v>
      </c>
      <c r="F970" s="1003"/>
      <c r="G970" s="1003"/>
      <c r="H970" s="1003"/>
      <c r="I970" s="1003"/>
      <c r="J970" s="1003"/>
      <c r="K970" s="1003">
        <f t="shared" si="15"/>
        <v>19</v>
      </c>
      <c r="L970" s="1004"/>
      <c r="M970" s="1003"/>
      <c r="N970" s="1003">
        <v>6</v>
      </c>
      <c r="O970" s="1005">
        <v>32</v>
      </c>
    </row>
    <row r="971" spans="1:15" collapsed="1" x14ac:dyDescent="0.2">
      <c r="A971"/>
      <c r="B971" s="1002">
        <v>90</v>
      </c>
      <c r="C971" s="1003"/>
      <c r="D971" s="1003"/>
      <c r="E971" s="1003">
        <v>18</v>
      </c>
      <c r="F971" s="1003"/>
      <c r="G971" s="1003"/>
      <c r="H971" s="1003"/>
      <c r="I971" s="1003"/>
      <c r="J971" s="1003"/>
      <c r="K971" s="1003">
        <f t="shared" si="15"/>
        <v>18</v>
      </c>
      <c r="L971" s="1004"/>
      <c r="M971" s="1003"/>
      <c r="N971" s="1003">
        <v>4</v>
      </c>
      <c r="O971" s="1005">
        <v>32</v>
      </c>
    </row>
    <row r="972" spans="1:15" collapsed="1" x14ac:dyDescent="0.2">
      <c r="A972"/>
      <c r="B972" s="1002">
        <v>90</v>
      </c>
      <c r="C972" s="1003"/>
      <c r="D972" s="1003"/>
      <c r="E972" s="1003">
        <v>12</v>
      </c>
      <c r="F972" s="1003">
        <v>5</v>
      </c>
      <c r="G972" s="1003"/>
      <c r="H972" s="1003"/>
      <c r="I972" s="1003"/>
      <c r="J972" s="1003"/>
      <c r="K972" s="1003">
        <f t="shared" si="15"/>
        <v>17</v>
      </c>
      <c r="L972" s="1004"/>
      <c r="M972" s="1003"/>
      <c r="N972" s="1003">
        <v>2</v>
      </c>
      <c r="O972" s="1005">
        <v>32</v>
      </c>
    </row>
    <row r="973" spans="1:15" collapsed="1" x14ac:dyDescent="0.2">
      <c r="A973"/>
      <c r="B973" s="1002">
        <v>90</v>
      </c>
      <c r="C973" s="1003"/>
      <c r="D973" s="1003"/>
      <c r="E973" s="1003">
        <v>6</v>
      </c>
      <c r="F973" s="1003">
        <v>10</v>
      </c>
      <c r="G973" s="1003"/>
      <c r="H973" s="1003"/>
      <c r="I973" s="1003"/>
      <c r="J973" s="1003"/>
      <c r="K973" s="1003">
        <f t="shared" si="15"/>
        <v>16</v>
      </c>
      <c r="L973" s="1004"/>
      <c r="M973" s="1003"/>
      <c r="N973" s="1003"/>
      <c r="O973" s="1005">
        <v>32</v>
      </c>
    </row>
    <row r="974" spans="1:15" collapsed="1" x14ac:dyDescent="0.2">
      <c r="A974"/>
      <c r="B974" s="1002">
        <v>90</v>
      </c>
      <c r="C974" s="1003"/>
      <c r="D974" s="1003"/>
      <c r="E974" s="1003">
        <v>1</v>
      </c>
      <c r="F974" s="1003">
        <v>14</v>
      </c>
      <c r="G974" s="1003"/>
      <c r="H974" s="1003"/>
      <c r="I974" s="1003"/>
      <c r="J974" s="1003"/>
      <c r="K974" s="1003">
        <f t="shared" si="15"/>
        <v>15</v>
      </c>
      <c r="L974" s="1004"/>
      <c r="M974" s="1003"/>
      <c r="N974" s="1003">
        <v>14</v>
      </c>
      <c r="O974" s="1005">
        <v>16</v>
      </c>
    </row>
    <row r="975" spans="1:15" x14ac:dyDescent="0.2">
      <c r="A975"/>
      <c r="B975" s="1002">
        <v>90</v>
      </c>
      <c r="C975" s="1003"/>
      <c r="D975" s="1003"/>
      <c r="E975" s="1003"/>
      <c r="F975" s="1003">
        <v>8</v>
      </c>
      <c r="G975" s="1003">
        <v>6</v>
      </c>
      <c r="H975" s="1003"/>
      <c r="I975" s="1003"/>
      <c r="J975" s="1003"/>
      <c r="K975" s="1003">
        <f t="shared" si="15"/>
        <v>14</v>
      </c>
      <c r="L975" s="1004"/>
      <c r="M975" s="1003"/>
      <c r="N975" s="1003">
        <v>12</v>
      </c>
      <c r="O975" s="1005">
        <v>16</v>
      </c>
    </row>
    <row r="976" spans="1:15" collapsed="1" x14ac:dyDescent="0.2">
      <c r="A976"/>
      <c r="B976" s="1002">
        <v>90</v>
      </c>
      <c r="C976" s="1003"/>
      <c r="D976" s="1003"/>
      <c r="E976" s="1003"/>
      <c r="F976" s="1003">
        <v>1</v>
      </c>
      <c r="G976" s="1003">
        <v>12</v>
      </c>
      <c r="H976" s="1003"/>
      <c r="I976" s="1003"/>
      <c r="J976" s="1003"/>
      <c r="K976" s="1003">
        <f t="shared" si="15"/>
        <v>13</v>
      </c>
      <c r="L976" s="1004"/>
      <c r="M976" s="1003"/>
      <c r="N976" s="1003">
        <v>10</v>
      </c>
      <c r="O976" s="1005">
        <v>16</v>
      </c>
    </row>
    <row r="977" spans="1:15" collapsed="1" x14ac:dyDescent="0.2">
      <c r="A977"/>
      <c r="B977" s="1002">
        <v>90</v>
      </c>
      <c r="C977" s="1003"/>
      <c r="D977" s="1003"/>
      <c r="E977" s="1003"/>
      <c r="F977" s="1003"/>
      <c r="G977" s="1003">
        <v>6</v>
      </c>
      <c r="H977" s="1003">
        <v>6</v>
      </c>
      <c r="I977" s="1003"/>
      <c r="J977" s="1003"/>
      <c r="K977" s="1003">
        <f t="shared" si="15"/>
        <v>12</v>
      </c>
      <c r="L977" s="1004"/>
      <c r="M977" s="1003"/>
      <c r="N977" s="1003">
        <v>8</v>
      </c>
      <c r="O977" s="1005">
        <v>16</v>
      </c>
    </row>
    <row r="978" spans="1:15" x14ac:dyDescent="0.2">
      <c r="A978"/>
      <c r="B978" s="1002">
        <v>90</v>
      </c>
      <c r="C978" s="1003"/>
      <c r="D978" s="1003"/>
      <c r="E978" s="1003"/>
      <c r="F978" s="1003"/>
      <c r="G978" s="1003"/>
      <c r="H978" s="1003">
        <v>9</v>
      </c>
      <c r="I978" s="1003">
        <v>2</v>
      </c>
      <c r="J978" s="1003"/>
      <c r="K978" s="1003">
        <f t="shared" si="15"/>
        <v>11</v>
      </c>
      <c r="L978" s="1004"/>
      <c r="M978" s="1003"/>
      <c r="N978" s="1003">
        <v>6</v>
      </c>
      <c r="O978" s="1005">
        <v>16</v>
      </c>
    </row>
    <row r="979" spans="1:15" collapsed="1" x14ac:dyDescent="0.2">
      <c r="A979"/>
      <c r="B979" s="1002">
        <v>90</v>
      </c>
      <c r="C979" s="1003"/>
      <c r="D979" s="1003"/>
      <c r="E979" s="1003"/>
      <c r="F979" s="1003"/>
      <c r="G979" s="1003"/>
      <c r="H979" s="1003"/>
      <c r="I979" s="1003">
        <v>10</v>
      </c>
      <c r="J979" s="1003"/>
      <c r="K979" s="1003">
        <f t="shared" si="15"/>
        <v>10</v>
      </c>
      <c r="L979" s="1004"/>
      <c r="M979" s="1003"/>
      <c r="N979" s="1003">
        <v>4</v>
      </c>
      <c r="O979" s="1005">
        <v>16</v>
      </c>
    </row>
    <row r="980" spans="1:15" collapsed="1" x14ac:dyDescent="0.2">
      <c r="A980"/>
      <c r="B980" s="1002">
        <v>90</v>
      </c>
      <c r="C980" s="1003"/>
      <c r="D980" s="1003"/>
      <c r="E980" s="1003"/>
      <c r="F980" s="1003"/>
      <c r="G980" s="1003"/>
      <c r="H980" s="1003"/>
      <c r="I980" s="1003"/>
      <c r="J980" s="1003">
        <v>9</v>
      </c>
      <c r="K980" s="1003">
        <f t="shared" si="15"/>
        <v>9</v>
      </c>
      <c r="L980" s="1004"/>
      <c r="M980" s="1003"/>
      <c r="N980" s="1003">
        <v>2</v>
      </c>
      <c r="O980" s="1005">
        <v>16</v>
      </c>
    </row>
    <row r="981" spans="1:15" collapsed="1" x14ac:dyDescent="0.2">
      <c r="A981"/>
      <c r="B981" s="1002">
        <v>91</v>
      </c>
      <c r="C981" s="1003">
        <v>29</v>
      </c>
      <c r="D981" s="1003">
        <v>1</v>
      </c>
      <c r="E981" s="1003"/>
      <c r="F981" s="1003"/>
      <c r="G981" s="1003"/>
      <c r="H981" s="1003"/>
      <c r="I981" s="1003"/>
      <c r="J981" s="1003"/>
      <c r="K981" s="1003">
        <f t="shared" si="15"/>
        <v>30</v>
      </c>
      <c r="L981" s="1004"/>
      <c r="M981" s="1003"/>
      <c r="N981" s="1003">
        <v>28</v>
      </c>
      <c r="O981" s="1005">
        <v>32</v>
      </c>
    </row>
    <row r="982" spans="1:15" collapsed="1" x14ac:dyDescent="0.2">
      <c r="A982"/>
      <c r="B982" s="1002">
        <v>91</v>
      </c>
      <c r="C982" s="1003">
        <v>25</v>
      </c>
      <c r="D982" s="1003">
        <v>4</v>
      </c>
      <c r="E982" s="1003"/>
      <c r="F982" s="1003"/>
      <c r="G982" s="1003"/>
      <c r="H982" s="1003"/>
      <c r="I982" s="1003"/>
      <c r="J982" s="1003"/>
      <c r="K982" s="1003">
        <f t="shared" si="15"/>
        <v>29</v>
      </c>
      <c r="L982" s="1004"/>
      <c r="M982" s="1003"/>
      <c r="N982" s="1003">
        <v>26</v>
      </c>
      <c r="O982" s="1005">
        <v>32</v>
      </c>
    </row>
    <row r="983" spans="1:15" collapsed="1" x14ac:dyDescent="0.2">
      <c r="A983"/>
      <c r="B983" s="1002">
        <v>91</v>
      </c>
      <c r="C983" s="1003">
        <v>21</v>
      </c>
      <c r="D983" s="1003">
        <v>7</v>
      </c>
      <c r="E983" s="1003"/>
      <c r="F983" s="1003"/>
      <c r="G983" s="1003"/>
      <c r="H983" s="1003"/>
      <c r="I983" s="1003"/>
      <c r="J983" s="1003"/>
      <c r="K983" s="1003">
        <f t="shared" si="15"/>
        <v>28</v>
      </c>
      <c r="L983" s="1004"/>
      <c r="M983" s="1003"/>
      <c r="N983" s="1003">
        <v>24</v>
      </c>
      <c r="O983" s="1005">
        <v>32</v>
      </c>
    </row>
    <row r="984" spans="1:15" collapsed="1" x14ac:dyDescent="0.2">
      <c r="A984"/>
      <c r="B984" s="1002">
        <v>91</v>
      </c>
      <c r="C984" s="1003">
        <v>17</v>
      </c>
      <c r="D984" s="1003">
        <v>10</v>
      </c>
      <c r="E984" s="1003"/>
      <c r="F984" s="1003"/>
      <c r="G984" s="1003"/>
      <c r="H984" s="1003"/>
      <c r="I984" s="1003"/>
      <c r="J984" s="1003"/>
      <c r="K984" s="1003">
        <f t="shared" si="15"/>
        <v>27</v>
      </c>
      <c r="L984" s="1004"/>
      <c r="M984" s="1003"/>
      <c r="N984" s="1003">
        <v>22</v>
      </c>
      <c r="O984" s="1005">
        <v>32</v>
      </c>
    </row>
    <row r="985" spans="1:15" collapsed="1" x14ac:dyDescent="0.2">
      <c r="A985"/>
      <c r="B985" s="1002">
        <v>91</v>
      </c>
      <c r="C985" s="1003">
        <v>13</v>
      </c>
      <c r="D985" s="1003">
        <v>13</v>
      </c>
      <c r="E985" s="1003"/>
      <c r="F985" s="1003"/>
      <c r="G985" s="1003"/>
      <c r="H985" s="1003"/>
      <c r="I985" s="1003"/>
      <c r="J985" s="1003"/>
      <c r="K985" s="1003">
        <f t="shared" si="15"/>
        <v>26</v>
      </c>
      <c r="L985" s="1004"/>
      <c r="M985" s="1003"/>
      <c r="N985" s="1003">
        <v>20</v>
      </c>
      <c r="O985" s="1005">
        <v>32</v>
      </c>
    </row>
    <row r="986" spans="1:15" collapsed="1" x14ac:dyDescent="0.2">
      <c r="A986"/>
      <c r="B986" s="1002">
        <v>91</v>
      </c>
      <c r="C986" s="1003">
        <v>9</v>
      </c>
      <c r="D986" s="1003">
        <v>16</v>
      </c>
      <c r="E986" s="1003"/>
      <c r="F986" s="1003"/>
      <c r="G986" s="1003"/>
      <c r="H986" s="1003"/>
      <c r="I986" s="1003"/>
      <c r="J986" s="1003"/>
      <c r="K986" s="1003">
        <f t="shared" si="15"/>
        <v>25</v>
      </c>
      <c r="L986" s="1004"/>
      <c r="M986" s="1003"/>
      <c r="N986" s="1003">
        <v>18</v>
      </c>
      <c r="O986" s="1005">
        <v>32</v>
      </c>
    </row>
    <row r="987" spans="1:15" collapsed="1" x14ac:dyDescent="0.2">
      <c r="A987"/>
      <c r="B987" s="1002">
        <v>91</v>
      </c>
      <c r="C987" s="1003">
        <v>5</v>
      </c>
      <c r="D987" s="1003">
        <v>19</v>
      </c>
      <c r="E987" s="1003"/>
      <c r="F987" s="1003"/>
      <c r="G987" s="1003"/>
      <c r="H987" s="1003"/>
      <c r="I987" s="1003"/>
      <c r="J987" s="1003"/>
      <c r="K987" s="1003">
        <f t="shared" si="15"/>
        <v>24</v>
      </c>
      <c r="L987" s="1004"/>
      <c r="M987" s="1003"/>
      <c r="N987" s="1003">
        <v>16</v>
      </c>
      <c r="O987" s="1005">
        <v>32</v>
      </c>
    </row>
    <row r="988" spans="1:15" collapsed="1" x14ac:dyDescent="0.2">
      <c r="A988"/>
      <c r="B988" s="1002">
        <v>91</v>
      </c>
      <c r="C988" s="1003">
        <v>1</v>
      </c>
      <c r="D988" s="1003">
        <v>22</v>
      </c>
      <c r="E988" s="1003"/>
      <c r="F988" s="1003"/>
      <c r="G988" s="1003"/>
      <c r="H988" s="1003"/>
      <c r="I988" s="1003"/>
      <c r="J988" s="1003"/>
      <c r="K988" s="1003">
        <f t="shared" si="15"/>
        <v>23</v>
      </c>
      <c r="L988" s="1004"/>
      <c r="M988" s="1003"/>
      <c r="N988" s="1003">
        <v>14</v>
      </c>
      <c r="O988" s="1005">
        <v>32</v>
      </c>
    </row>
    <row r="989" spans="1:15" collapsed="1" x14ac:dyDescent="0.2">
      <c r="A989"/>
      <c r="B989" s="1002">
        <v>91</v>
      </c>
      <c r="C989" s="1003"/>
      <c r="D989" s="1003">
        <v>19</v>
      </c>
      <c r="E989" s="1003">
        <v>3</v>
      </c>
      <c r="F989" s="1003"/>
      <c r="G989" s="1003"/>
      <c r="H989" s="1003"/>
      <c r="I989" s="1003"/>
      <c r="J989" s="1003"/>
      <c r="K989" s="1003">
        <f t="shared" si="15"/>
        <v>22</v>
      </c>
      <c r="L989" s="1004"/>
      <c r="M989" s="1003"/>
      <c r="N989" s="1003">
        <v>12</v>
      </c>
      <c r="O989" s="1005">
        <v>32</v>
      </c>
    </row>
    <row r="990" spans="1:15" collapsed="1" x14ac:dyDescent="0.2">
      <c r="A990"/>
      <c r="B990" s="1002">
        <v>91</v>
      </c>
      <c r="C990" s="1003"/>
      <c r="D990" s="1003">
        <v>14</v>
      </c>
      <c r="E990" s="1003">
        <v>7</v>
      </c>
      <c r="F990" s="1003"/>
      <c r="G990" s="1003"/>
      <c r="H990" s="1003"/>
      <c r="I990" s="1003"/>
      <c r="J990" s="1003"/>
      <c r="K990" s="1003">
        <f t="shared" si="15"/>
        <v>21</v>
      </c>
      <c r="L990" s="1004"/>
      <c r="M990" s="1003"/>
      <c r="N990" s="1003">
        <v>10</v>
      </c>
      <c r="O990" s="1005">
        <v>32</v>
      </c>
    </row>
    <row r="991" spans="1:15" collapsed="1" x14ac:dyDescent="0.2">
      <c r="A991"/>
      <c r="B991" s="1002">
        <v>91</v>
      </c>
      <c r="C991" s="1003"/>
      <c r="D991" s="1003">
        <v>9</v>
      </c>
      <c r="E991" s="1003">
        <v>11</v>
      </c>
      <c r="F991" s="1003"/>
      <c r="G991" s="1003"/>
      <c r="H991" s="1003"/>
      <c r="I991" s="1003"/>
      <c r="J991" s="1003"/>
      <c r="K991" s="1003">
        <f t="shared" si="15"/>
        <v>20</v>
      </c>
      <c r="L991" s="1004"/>
      <c r="M991" s="1003"/>
      <c r="N991" s="1003">
        <v>8</v>
      </c>
      <c r="O991" s="1005">
        <v>32</v>
      </c>
    </row>
    <row r="992" spans="1:15" collapsed="1" x14ac:dyDescent="0.2">
      <c r="A992"/>
      <c r="B992" s="1002">
        <v>91</v>
      </c>
      <c r="C992" s="1003"/>
      <c r="D992" s="1003">
        <v>4</v>
      </c>
      <c r="E992" s="1003">
        <v>15</v>
      </c>
      <c r="F992" s="1003"/>
      <c r="G992" s="1003"/>
      <c r="H992" s="1003"/>
      <c r="I992" s="1003"/>
      <c r="J992" s="1003"/>
      <c r="K992" s="1003">
        <f t="shared" si="15"/>
        <v>19</v>
      </c>
      <c r="L992" s="1004"/>
      <c r="M992" s="1003"/>
      <c r="N992" s="1003">
        <v>6</v>
      </c>
      <c r="O992" s="1005">
        <v>32</v>
      </c>
    </row>
    <row r="993" spans="1:15" collapsed="1" x14ac:dyDescent="0.2">
      <c r="A993"/>
      <c r="B993" s="1002">
        <v>91</v>
      </c>
      <c r="C993" s="1003"/>
      <c r="D993" s="1003"/>
      <c r="E993" s="1003">
        <v>17</v>
      </c>
      <c r="F993" s="1003">
        <v>1</v>
      </c>
      <c r="G993" s="1003"/>
      <c r="H993" s="1003"/>
      <c r="I993" s="1003"/>
      <c r="J993" s="1003"/>
      <c r="K993" s="1003">
        <f t="shared" si="15"/>
        <v>18</v>
      </c>
      <c r="L993" s="1004"/>
      <c r="M993" s="1003"/>
      <c r="N993" s="1003">
        <v>4</v>
      </c>
      <c r="O993" s="1005">
        <v>32</v>
      </c>
    </row>
    <row r="994" spans="1:15" collapsed="1" x14ac:dyDescent="0.2">
      <c r="A994"/>
      <c r="B994" s="1002">
        <v>91</v>
      </c>
      <c r="C994" s="1003"/>
      <c r="D994" s="1003"/>
      <c r="E994" s="1003">
        <v>11</v>
      </c>
      <c r="F994" s="1003">
        <v>6</v>
      </c>
      <c r="G994" s="1003"/>
      <c r="H994" s="1003"/>
      <c r="I994" s="1003"/>
      <c r="J994" s="1003"/>
      <c r="K994" s="1003">
        <f t="shared" si="15"/>
        <v>17</v>
      </c>
      <c r="L994" s="1004"/>
      <c r="M994" s="1003"/>
      <c r="N994" s="1003">
        <v>2</v>
      </c>
      <c r="O994" s="1005">
        <v>32</v>
      </c>
    </row>
    <row r="995" spans="1:15" collapsed="1" x14ac:dyDescent="0.2">
      <c r="A995"/>
      <c r="B995" s="1002">
        <v>91</v>
      </c>
      <c r="C995" s="1003"/>
      <c r="D995" s="1003"/>
      <c r="E995" s="1003">
        <v>5</v>
      </c>
      <c r="F995" s="1003">
        <v>11</v>
      </c>
      <c r="G995" s="1003"/>
      <c r="H995" s="1003"/>
      <c r="I995" s="1003"/>
      <c r="J995" s="1003"/>
      <c r="K995" s="1003">
        <f t="shared" si="15"/>
        <v>16</v>
      </c>
      <c r="L995" s="1004"/>
      <c r="M995" s="1003"/>
      <c r="N995" s="1003"/>
      <c r="O995" s="1005">
        <v>32</v>
      </c>
    </row>
    <row r="996" spans="1:15" collapsed="1" x14ac:dyDescent="0.2">
      <c r="A996"/>
      <c r="B996" s="1002">
        <v>91</v>
      </c>
      <c r="C996" s="1003"/>
      <c r="D996" s="1003"/>
      <c r="E996" s="1003"/>
      <c r="F996" s="1003">
        <v>15</v>
      </c>
      <c r="G996" s="1003"/>
      <c r="H996" s="1003"/>
      <c r="I996" s="1003"/>
      <c r="J996" s="1003"/>
      <c r="K996" s="1003">
        <f t="shared" si="15"/>
        <v>15</v>
      </c>
      <c r="L996" s="1004"/>
      <c r="M996" s="1003"/>
      <c r="N996" s="1003">
        <v>14</v>
      </c>
      <c r="O996" s="1005">
        <v>16</v>
      </c>
    </row>
    <row r="997" spans="1:15" x14ac:dyDescent="0.2">
      <c r="A997"/>
      <c r="B997" s="1002">
        <v>91</v>
      </c>
      <c r="C997" s="1003"/>
      <c r="D997" s="1003"/>
      <c r="E997" s="1003"/>
      <c r="F997" s="1003">
        <v>7</v>
      </c>
      <c r="G997" s="1003">
        <v>7</v>
      </c>
      <c r="H997" s="1003"/>
      <c r="I997" s="1003"/>
      <c r="J997" s="1003"/>
      <c r="K997" s="1003">
        <f t="shared" si="15"/>
        <v>14</v>
      </c>
      <c r="L997" s="1004"/>
      <c r="M997" s="1003"/>
      <c r="N997" s="1003">
        <v>12</v>
      </c>
      <c r="O997" s="1005">
        <v>16</v>
      </c>
    </row>
    <row r="998" spans="1:15" collapsed="1" x14ac:dyDescent="0.2">
      <c r="A998"/>
      <c r="B998" s="1002">
        <v>91</v>
      </c>
      <c r="C998" s="1003"/>
      <c r="D998" s="1003"/>
      <c r="E998" s="1003"/>
      <c r="F998" s="1003"/>
      <c r="G998" s="1003">
        <v>13</v>
      </c>
      <c r="H998" s="1003"/>
      <c r="I998" s="1003"/>
      <c r="J998" s="1003"/>
      <c r="K998" s="1003">
        <f t="shared" si="15"/>
        <v>13</v>
      </c>
      <c r="L998" s="1004"/>
      <c r="M998" s="1003"/>
      <c r="N998" s="1003">
        <v>10</v>
      </c>
      <c r="O998" s="1005">
        <v>16</v>
      </c>
    </row>
    <row r="999" spans="1:15" collapsed="1" x14ac:dyDescent="0.2">
      <c r="A999"/>
      <c r="B999" s="1002">
        <v>91</v>
      </c>
      <c r="C999" s="1003"/>
      <c r="D999" s="1003"/>
      <c r="E999" s="1003"/>
      <c r="F999" s="1003"/>
      <c r="G999" s="1003">
        <v>5</v>
      </c>
      <c r="H999" s="1003">
        <v>7</v>
      </c>
      <c r="I999" s="1003"/>
      <c r="J999" s="1003"/>
      <c r="K999" s="1003">
        <f t="shared" si="15"/>
        <v>12</v>
      </c>
      <c r="L999" s="1004"/>
      <c r="M999" s="1003"/>
      <c r="N999" s="1003">
        <v>8</v>
      </c>
      <c r="O999" s="1005">
        <v>16</v>
      </c>
    </row>
    <row r="1000" spans="1:15" x14ac:dyDescent="0.2">
      <c r="A1000"/>
      <c r="B1000" s="1002">
        <v>91</v>
      </c>
      <c r="C1000" s="1003"/>
      <c r="D1000" s="1003"/>
      <c r="E1000" s="1003"/>
      <c r="F1000" s="1003"/>
      <c r="G1000" s="1003"/>
      <c r="H1000" s="1003">
        <v>8</v>
      </c>
      <c r="I1000" s="1003">
        <v>3</v>
      </c>
      <c r="J1000" s="1003"/>
      <c r="K1000" s="1003">
        <f t="shared" si="15"/>
        <v>11</v>
      </c>
      <c r="L1000" s="1004"/>
      <c r="M1000" s="1003"/>
      <c r="N1000" s="1003">
        <v>6</v>
      </c>
      <c r="O1000" s="1005">
        <v>16</v>
      </c>
    </row>
    <row r="1001" spans="1:15" collapsed="1" x14ac:dyDescent="0.2">
      <c r="A1001"/>
      <c r="B1001" s="1002">
        <v>91</v>
      </c>
      <c r="C1001" s="1003"/>
      <c r="D1001" s="1003"/>
      <c r="E1001" s="1003"/>
      <c r="F1001" s="1003"/>
      <c r="G1001" s="1003"/>
      <c r="H1001" s="1003"/>
      <c r="I1001" s="1003">
        <v>9</v>
      </c>
      <c r="J1001" s="1003">
        <v>1</v>
      </c>
      <c r="K1001" s="1003">
        <f t="shared" si="15"/>
        <v>10</v>
      </c>
      <c r="L1001" s="1004"/>
      <c r="M1001" s="1003"/>
      <c r="N1001" s="1003">
        <v>4</v>
      </c>
      <c r="O1001" s="1005">
        <v>16</v>
      </c>
    </row>
    <row r="1002" spans="1:15" collapsed="1" x14ac:dyDescent="0.2">
      <c r="A1002"/>
      <c r="B1002" s="1002">
        <v>92</v>
      </c>
      <c r="C1002" s="1003">
        <v>28</v>
      </c>
      <c r="D1002" s="1003">
        <v>2</v>
      </c>
      <c r="E1002" s="1003"/>
      <c r="F1002" s="1003"/>
      <c r="G1002" s="1003"/>
      <c r="H1002" s="1003"/>
      <c r="I1002" s="1003"/>
      <c r="J1002" s="1003"/>
      <c r="K1002" s="1003">
        <f t="shared" si="15"/>
        <v>30</v>
      </c>
      <c r="L1002" s="1004"/>
      <c r="M1002" s="1003"/>
      <c r="N1002" s="1003">
        <v>28</v>
      </c>
      <c r="O1002" s="1005">
        <v>32</v>
      </c>
    </row>
    <row r="1003" spans="1:15" collapsed="1" x14ac:dyDescent="0.2">
      <c r="A1003"/>
      <c r="B1003" s="1002">
        <v>92</v>
      </c>
      <c r="C1003" s="1003">
        <v>24</v>
      </c>
      <c r="D1003" s="1003">
        <v>5</v>
      </c>
      <c r="E1003" s="1003"/>
      <c r="F1003" s="1003"/>
      <c r="G1003" s="1003"/>
      <c r="H1003" s="1003"/>
      <c r="I1003" s="1003"/>
      <c r="J1003" s="1003"/>
      <c r="K1003" s="1003">
        <f t="shared" si="15"/>
        <v>29</v>
      </c>
      <c r="L1003" s="1004"/>
      <c r="M1003" s="1003"/>
      <c r="N1003" s="1003">
        <v>26</v>
      </c>
      <c r="O1003" s="1005">
        <v>32</v>
      </c>
    </row>
    <row r="1004" spans="1:15" collapsed="1" x14ac:dyDescent="0.2">
      <c r="A1004"/>
      <c r="B1004" s="1002">
        <v>92</v>
      </c>
      <c r="C1004" s="1003">
        <v>20</v>
      </c>
      <c r="D1004" s="1003">
        <v>8</v>
      </c>
      <c r="E1004" s="1003"/>
      <c r="F1004" s="1003"/>
      <c r="G1004" s="1003"/>
      <c r="H1004" s="1003"/>
      <c r="I1004" s="1003"/>
      <c r="J1004" s="1003"/>
      <c r="K1004" s="1003">
        <f t="shared" si="15"/>
        <v>28</v>
      </c>
      <c r="L1004" s="1004"/>
      <c r="M1004" s="1003"/>
      <c r="N1004" s="1003">
        <v>24</v>
      </c>
      <c r="O1004" s="1005">
        <v>32</v>
      </c>
    </row>
    <row r="1005" spans="1:15" collapsed="1" x14ac:dyDescent="0.2">
      <c r="A1005"/>
      <c r="B1005" s="1002">
        <v>92</v>
      </c>
      <c r="C1005" s="1003">
        <v>16</v>
      </c>
      <c r="D1005" s="1003">
        <v>11</v>
      </c>
      <c r="E1005" s="1003"/>
      <c r="F1005" s="1003"/>
      <c r="G1005" s="1003"/>
      <c r="H1005" s="1003"/>
      <c r="I1005" s="1003"/>
      <c r="J1005" s="1003"/>
      <c r="K1005" s="1003">
        <f t="shared" si="15"/>
        <v>27</v>
      </c>
      <c r="L1005" s="1004"/>
      <c r="M1005" s="1003"/>
      <c r="N1005" s="1003">
        <v>22</v>
      </c>
      <c r="O1005" s="1005">
        <v>32</v>
      </c>
    </row>
    <row r="1006" spans="1:15" collapsed="1" x14ac:dyDescent="0.2">
      <c r="A1006"/>
      <c r="B1006" s="1002">
        <v>92</v>
      </c>
      <c r="C1006" s="1003">
        <v>12</v>
      </c>
      <c r="D1006" s="1003">
        <v>14</v>
      </c>
      <c r="E1006" s="1003"/>
      <c r="F1006" s="1003"/>
      <c r="G1006" s="1003"/>
      <c r="H1006" s="1003"/>
      <c r="I1006" s="1003"/>
      <c r="J1006" s="1003"/>
      <c r="K1006" s="1003">
        <f t="shared" si="15"/>
        <v>26</v>
      </c>
      <c r="L1006" s="1004"/>
      <c r="M1006" s="1003"/>
      <c r="N1006" s="1003">
        <v>20</v>
      </c>
      <c r="O1006" s="1005">
        <v>32</v>
      </c>
    </row>
    <row r="1007" spans="1:15" collapsed="1" x14ac:dyDescent="0.2">
      <c r="A1007"/>
      <c r="B1007" s="1002">
        <v>92</v>
      </c>
      <c r="C1007" s="1003">
        <v>8</v>
      </c>
      <c r="D1007" s="1003">
        <v>17</v>
      </c>
      <c r="E1007" s="1003"/>
      <c r="F1007" s="1003"/>
      <c r="G1007" s="1003"/>
      <c r="H1007" s="1003"/>
      <c r="I1007" s="1003"/>
      <c r="J1007" s="1003"/>
      <c r="K1007" s="1003">
        <f t="shared" si="15"/>
        <v>25</v>
      </c>
      <c r="L1007" s="1004"/>
      <c r="M1007" s="1003"/>
      <c r="N1007" s="1003">
        <v>18</v>
      </c>
      <c r="O1007" s="1005">
        <v>32</v>
      </c>
    </row>
    <row r="1008" spans="1:15" collapsed="1" x14ac:dyDescent="0.2">
      <c r="A1008"/>
      <c r="B1008" s="1002">
        <v>92</v>
      </c>
      <c r="C1008" s="1003">
        <v>4</v>
      </c>
      <c r="D1008" s="1003">
        <v>20</v>
      </c>
      <c r="E1008" s="1003"/>
      <c r="F1008" s="1003"/>
      <c r="G1008" s="1003"/>
      <c r="H1008" s="1003"/>
      <c r="I1008" s="1003"/>
      <c r="J1008" s="1003"/>
      <c r="K1008" s="1003">
        <f t="shared" si="15"/>
        <v>24</v>
      </c>
      <c r="L1008" s="1004"/>
      <c r="M1008" s="1003"/>
      <c r="N1008" s="1003">
        <v>16</v>
      </c>
      <c r="O1008" s="1005">
        <v>32</v>
      </c>
    </row>
    <row r="1009" spans="1:15" collapsed="1" x14ac:dyDescent="0.2">
      <c r="A1009"/>
      <c r="B1009" s="1002">
        <v>92</v>
      </c>
      <c r="C1009" s="1003"/>
      <c r="D1009" s="1003">
        <v>23</v>
      </c>
      <c r="E1009" s="1003"/>
      <c r="F1009" s="1003"/>
      <c r="G1009" s="1003"/>
      <c r="H1009" s="1003"/>
      <c r="I1009" s="1003"/>
      <c r="J1009" s="1003"/>
      <c r="K1009" s="1003">
        <f t="shared" si="15"/>
        <v>23</v>
      </c>
      <c r="L1009" s="1004"/>
      <c r="M1009" s="1003"/>
      <c r="N1009" s="1003">
        <v>14</v>
      </c>
      <c r="O1009" s="1005">
        <v>32</v>
      </c>
    </row>
    <row r="1010" spans="1:15" collapsed="1" x14ac:dyDescent="0.2">
      <c r="A1010"/>
      <c r="B1010" s="1002">
        <v>92</v>
      </c>
      <c r="C1010" s="1003"/>
      <c r="D1010" s="1003">
        <v>18</v>
      </c>
      <c r="E1010" s="1003">
        <v>4</v>
      </c>
      <c r="F1010" s="1003"/>
      <c r="G1010" s="1003"/>
      <c r="H1010" s="1003"/>
      <c r="I1010" s="1003"/>
      <c r="J1010" s="1003"/>
      <c r="K1010" s="1003">
        <f t="shared" si="15"/>
        <v>22</v>
      </c>
      <c r="L1010" s="1004"/>
      <c r="M1010" s="1003"/>
      <c r="N1010" s="1003">
        <v>12</v>
      </c>
      <c r="O1010" s="1005">
        <v>32</v>
      </c>
    </row>
    <row r="1011" spans="1:15" collapsed="1" x14ac:dyDescent="0.2">
      <c r="A1011"/>
      <c r="B1011" s="1002">
        <v>92</v>
      </c>
      <c r="C1011" s="1003"/>
      <c r="D1011" s="1003">
        <v>13</v>
      </c>
      <c r="E1011" s="1003">
        <v>8</v>
      </c>
      <c r="F1011" s="1003"/>
      <c r="G1011" s="1003"/>
      <c r="H1011" s="1003"/>
      <c r="I1011" s="1003"/>
      <c r="J1011" s="1003"/>
      <c r="K1011" s="1003">
        <f t="shared" si="15"/>
        <v>21</v>
      </c>
      <c r="L1011" s="1004"/>
      <c r="M1011" s="1003"/>
      <c r="N1011" s="1003">
        <v>10</v>
      </c>
      <c r="O1011" s="1005">
        <v>32</v>
      </c>
    </row>
    <row r="1012" spans="1:15" collapsed="1" x14ac:dyDescent="0.2">
      <c r="A1012"/>
      <c r="B1012" s="1002">
        <v>92</v>
      </c>
      <c r="C1012" s="1003"/>
      <c r="D1012" s="1003">
        <v>8</v>
      </c>
      <c r="E1012" s="1003">
        <v>12</v>
      </c>
      <c r="F1012" s="1003"/>
      <c r="G1012" s="1003"/>
      <c r="H1012" s="1003"/>
      <c r="I1012" s="1003"/>
      <c r="J1012" s="1003"/>
      <c r="K1012" s="1003">
        <f t="shared" si="15"/>
        <v>20</v>
      </c>
      <c r="L1012" s="1004"/>
      <c r="M1012" s="1003"/>
      <c r="N1012" s="1003">
        <v>8</v>
      </c>
      <c r="O1012" s="1005">
        <v>32</v>
      </c>
    </row>
    <row r="1013" spans="1:15" collapsed="1" x14ac:dyDescent="0.2">
      <c r="A1013"/>
      <c r="B1013" s="1002">
        <v>92</v>
      </c>
      <c r="C1013" s="1003"/>
      <c r="D1013" s="1003">
        <v>3</v>
      </c>
      <c r="E1013" s="1003">
        <v>16</v>
      </c>
      <c r="F1013" s="1003"/>
      <c r="G1013" s="1003"/>
      <c r="H1013" s="1003"/>
      <c r="I1013" s="1003"/>
      <c r="J1013" s="1003"/>
      <c r="K1013" s="1003">
        <f t="shared" si="15"/>
        <v>19</v>
      </c>
      <c r="L1013" s="1004"/>
      <c r="M1013" s="1003"/>
      <c r="N1013" s="1003">
        <v>6</v>
      </c>
      <c r="O1013" s="1005">
        <v>32</v>
      </c>
    </row>
    <row r="1014" spans="1:15" collapsed="1" x14ac:dyDescent="0.2">
      <c r="A1014"/>
      <c r="B1014" s="1002">
        <v>92</v>
      </c>
      <c r="C1014" s="1003"/>
      <c r="D1014" s="1003"/>
      <c r="E1014" s="1003">
        <v>16</v>
      </c>
      <c r="F1014" s="1003">
        <v>2</v>
      </c>
      <c r="G1014" s="1003"/>
      <c r="H1014" s="1003"/>
      <c r="I1014" s="1003"/>
      <c r="J1014" s="1003"/>
      <c r="K1014" s="1003">
        <f t="shared" si="15"/>
        <v>18</v>
      </c>
      <c r="L1014" s="1004"/>
      <c r="M1014" s="1003"/>
      <c r="N1014" s="1003">
        <v>4</v>
      </c>
      <c r="O1014" s="1005">
        <v>32</v>
      </c>
    </row>
    <row r="1015" spans="1:15" collapsed="1" x14ac:dyDescent="0.2">
      <c r="A1015"/>
      <c r="B1015" s="1002">
        <v>92</v>
      </c>
      <c r="C1015" s="1003"/>
      <c r="D1015" s="1003"/>
      <c r="E1015" s="1003">
        <v>10</v>
      </c>
      <c r="F1015" s="1003">
        <v>7</v>
      </c>
      <c r="G1015" s="1003"/>
      <c r="H1015" s="1003"/>
      <c r="I1015" s="1003"/>
      <c r="J1015" s="1003"/>
      <c r="K1015" s="1003">
        <f t="shared" si="15"/>
        <v>17</v>
      </c>
      <c r="L1015" s="1004"/>
      <c r="M1015" s="1003"/>
      <c r="N1015" s="1003">
        <v>2</v>
      </c>
      <c r="O1015" s="1005">
        <v>32</v>
      </c>
    </row>
    <row r="1016" spans="1:15" collapsed="1" x14ac:dyDescent="0.2">
      <c r="A1016"/>
      <c r="B1016" s="1002">
        <v>92</v>
      </c>
      <c r="C1016" s="1003"/>
      <c r="D1016" s="1003"/>
      <c r="E1016" s="1003">
        <v>4</v>
      </c>
      <c r="F1016" s="1003">
        <v>12</v>
      </c>
      <c r="G1016" s="1003"/>
      <c r="H1016" s="1003"/>
      <c r="I1016" s="1003"/>
      <c r="J1016" s="1003"/>
      <c r="K1016" s="1003">
        <f t="shared" si="15"/>
        <v>16</v>
      </c>
      <c r="L1016" s="1004"/>
      <c r="M1016" s="1003"/>
      <c r="N1016" s="1003"/>
      <c r="O1016" s="1005">
        <v>32</v>
      </c>
    </row>
    <row r="1017" spans="1:15" collapsed="1" x14ac:dyDescent="0.2">
      <c r="A1017"/>
      <c r="B1017" s="1002">
        <v>92</v>
      </c>
      <c r="C1017" s="1003"/>
      <c r="D1017" s="1003"/>
      <c r="E1017" s="1003"/>
      <c r="F1017" s="1003">
        <v>14</v>
      </c>
      <c r="G1017" s="1003">
        <v>1</v>
      </c>
      <c r="H1017" s="1003"/>
      <c r="I1017" s="1003"/>
      <c r="J1017" s="1003"/>
      <c r="K1017" s="1003">
        <f t="shared" si="15"/>
        <v>15</v>
      </c>
      <c r="L1017" s="1004"/>
      <c r="M1017" s="1003"/>
      <c r="N1017" s="1003">
        <v>14</v>
      </c>
      <c r="O1017" s="1005">
        <v>16</v>
      </c>
    </row>
    <row r="1018" spans="1:15" x14ac:dyDescent="0.2">
      <c r="A1018"/>
      <c r="B1018" s="1002">
        <v>92</v>
      </c>
      <c r="C1018" s="1003"/>
      <c r="D1018" s="1003"/>
      <c r="E1018" s="1003"/>
      <c r="F1018" s="1003">
        <v>6</v>
      </c>
      <c r="G1018" s="1003">
        <v>8</v>
      </c>
      <c r="H1018" s="1003"/>
      <c r="I1018" s="1003"/>
      <c r="J1018" s="1003"/>
      <c r="K1018" s="1003">
        <f t="shared" si="15"/>
        <v>14</v>
      </c>
      <c r="L1018" s="1004"/>
      <c r="M1018" s="1003"/>
      <c r="N1018" s="1003">
        <v>12</v>
      </c>
      <c r="O1018" s="1005">
        <v>16</v>
      </c>
    </row>
    <row r="1019" spans="1:15" collapsed="1" x14ac:dyDescent="0.2">
      <c r="A1019"/>
      <c r="B1019" s="1002">
        <v>92</v>
      </c>
      <c r="C1019" s="1003"/>
      <c r="D1019" s="1003"/>
      <c r="E1019" s="1003"/>
      <c r="F1019" s="1003"/>
      <c r="G1019" s="1003">
        <v>12</v>
      </c>
      <c r="H1019" s="1003">
        <v>1</v>
      </c>
      <c r="I1019" s="1003"/>
      <c r="J1019" s="1003"/>
      <c r="K1019" s="1003">
        <f t="shared" si="15"/>
        <v>13</v>
      </c>
      <c r="L1019" s="1004"/>
      <c r="M1019" s="1003"/>
      <c r="N1019" s="1003">
        <v>10</v>
      </c>
      <c r="O1019" s="1005">
        <v>16</v>
      </c>
    </row>
    <row r="1020" spans="1:15" collapsed="1" x14ac:dyDescent="0.2">
      <c r="A1020"/>
      <c r="B1020" s="1002">
        <v>92</v>
      </c>
      <c r="C1020" s="1003"/>
      <c r="D1020" s="1003"/>
      <c r="E1020" s="1003"/>
      <c r="F1020" s="1003"/>
      <c r="G1020" s="1003">
        <v>4</v>
      </c>
      <c r="H1020" s="1003">
        <v>8</v>
      </c>
      <c r="I1020" s="1003"/>
      <c r="J1020" s="1003"/>
      <c r="K1020" s="1003">
        <f t="shared" si="15"/>
        <v>12</v>
      </c>
      <c r="L1020" s="1004"/>
      <c r="M1020" s="1003"/>
      <c r="N1020" s="1003">
        <v>8</v>
      </c>
      <c r="O1020" s="1005">
        <v>16</v>
      </c>
    </row>
    <row r="1021" spans="1:15" x14ac:dyDescent="0.2">
      <c r="A1021"/>
      <c r="B1021" s="1002">
        <v>92</v>
      </c>
      <c r="C1021" s="1003"/>
      <c r="D1021" s="1003"/>
      <c r="E1021" s="1003"/>
      <c r="F1021" s="1003"/>
      <c r="G1021" s="1003"/>
      <c r="H1021" s="1003">
        <v>7</v>
      </c>
      <c r="I1021" s="1003">
        <v>4</v>
      </c>
      <c r="J1021" s="1003"/>
      <c r="K1021" s="1003">
        <f t="shared" si="15"/>
        <v>11</v>
      </c>
      <c r="L1021" s="1004"/>
      <c r="M1021" s="1003"/>
      <c r="N1021" s="1003">
        <v>6</v>
      </c>
      <c r="O1021" s="1005">
        <v>16</v>
      </c>
    </row>
    <row r="1022" spans="1:15" collapsed="1" x14ac:dyDescent="0.2">
      <c r="A1022"/>
      <c r="B1022" s="1002">
        <v>92</v>
      </c>
      <c r="C1022" s="1003"/>
      <c r="D1022" s="1003"/>
      <c r="E1022" s="1003"/>
      <c r="F1022" s="1003"/>
      <c r="G1022" s="1003"/>
      <c r="H1022" s="1003"/>
      <c r="I1022" s="1003">
        <v>8</v>
      </c>
      <c r="J1022" s="1003">
        <v>2</v>
      </c>
      <c r="K1022" s="1003">
        <f t="shared" si="15"/>
        <v>10</v>
      </c>
      <c r="L1022" s="1004"/>
      <c r="M1022" s="1003"/>
      <c r="N1022" s="1003">
        <v>4</v>
      </c>
      <c r="O1022" s="1005">
        <v>16</v>
      </c>
    </row>
    <row r="1023" spans="1:15" collapsed="1" x14ac:dyDescent="0.2">
      <c r="A1023"/>
      <c r="B1023" s="1002">
        <v>93</v>
      </c>
      <c r="C1023" s="1003">
        <v>31</v>
      </c>
      <c r="D1023" s="1003"/>
      <c r="E1023" s="1003"/>
      <c r="F1023" s="1003"/>
      <c r="G1023" s="1003"/>
      <c r="H1023" s="1003"/>
      <c r="I1023" s="1003"/>
      <c r="J1023" s="1003"/>
      <c r="K1023" s="1003">
        <f t="shared" si="15"/>
        <v>31</v>
      </c>
      <c r="L1023" s="1004"/>
      <c r="M1023" s="1003"/>
      <c r="N1023" s="1003">
        <v>3</v>
      </c>
      <c r="O1023" s="1005">
        <v>32</v>
      </c>
    </row>
    <row r="1024" spans="1:15" collapsed="1" x14ac:dyDescent="0.2">
      <c r="A1024"/>
      <c r="B1024" s="1002">
        <v>93</v>
      </c>
      <c r="C1024" s="1003">
        <v>27</v>
      </c>
      <c r="D1024" s="1003">
        <v>3</v>
      </c>
      <c r="E1024" s="1003"/>
      <c r="F1024" s="1003"/>
      <c r="G1024" s="1003"/>
      <c r="H1024" s="1003"/>
      <c r="I1024" s="1003"/>
      <c r="J1024" s="1003"/>
      <c r="K1024" s="1003">
        <f t="shared" si="15"/>
        <v>30</v>
      </c>
      <c r="L1024" s="1004"/>
      <c r="M1024" s="1003"/>
      <c r="N1024" s="1003">
        <v>28</v>
      </c>
      <c r="O1024" s="1005">
        <v>32</v>
      </c>
    </row>
    <row r="1025" spans="1:15" collapsed="1" x14ac:dyDescent="0.2">
      <c r="A1025"/>
      <c r="B1025" s="1002">
        <v>93</v>
      </c>
      <c r="C1025" s="1003">
        <v>23</v>
      </c>
      <c r="D1025" s="1003">
        <v>6</v>
      </c>
      <c r="E1025" s="1003"/>
      <c r="F1025" s="1003"/>
      <c r="G1025" s="1003"/>
      <c r="H1025" s="1003"/>
      <c r="I1025" s="1003"/>
      <c r="J1025" s="1003"/>
      <c r="K1025" s="1003">
        <f t="shared" si="15"/>
        <v>29</v>
      </c>
      <c r="L1025" s="1004"/>
      <c r="M1025" s="1003"/>
      <c r="N1025" s="1003">
        <v>26</v>
      </c>
      <c r="O1025" s="1005">
        <v>32</v>
      </c>
    </row>
    <row r="1026" spans="1:15" collapsed="1" x14ac:dyDescent="0.2">
      <c r="A1026"/>
      <c r="B1026" s="1002">
        <v>93</v>
      </c>
      <c r="C1026" s="1003">
        <v>19</v>
      </c>
      <c r="D1026" s="1003">
        <v>9</v>
      </c>
      <c r="E1026" s="1003"/>
      <c r="F1026" s="1003"/>
      <c r="G1026" s="1003"/>
      <c r="H1026" s="1003"/>
      <c r="I1026" s="1003"/>
      <c r="J1026" s="1003"/>
      <c r="K1026" s="1003">
        <f t="shared" si="15"/>
        <v>28</v>
      </c>
      <c r="L1026" s="1004"/>
      <c r="M1026" s="1003"/>
      <c r="N1026" s="1003">
        <v>24</v>
      </c>
      <c r="O1026" s="1005">
        <v>32</v>
      </c>
    </row>
    <row r="1027" spans="1:15" collapsed="1" x14ac:dyDescent="0.2">
      <c r="A1027"/>
      <c r="B1027" s="1002">
        <v>93</v>
      </c>
      <c r="C1027" s="1003">
        <v>15</v>
      </c>
      <c r="D1027" s="1003">
        <v>12</v>
      </c>
      <c r="E1027" s="1003"/>
      <c r="F1027" s="1003"/>
      <c r="G1027" s="1003"/>
      <c r="H1027" s="1003"/>
      <c r="I1027" s="1003"/>
      <c r="J1027" s="1003"/>
      <c r="K1027" s="1003">
        <f t="shared" si="15"/>
        <v>27</v>
      </c>
      <c r="L1027" s="1004"/>
      <c r="M1027" s="1003"/>
      <c r="N1027" s="1003">
        <v>22</v>
      </c>
      <c r="O1027" s="1005">
        <v>32</v>
      </c>
    </row>
    <row r="1028" spans="1:15" collapsed="1" x14ac:dyDescent="0.2">
      <c r="A1028"/>
      <c r="B1028" s="1002">
        <v>93</v>
      </c>
      <c r="C1028" s="1003">
        <v>11</v>
      </c>
      <c r="D1028" s="1003">
        <v>15</v>
      </c>
      <c r="E1028" s="1003"/>
      <c r="F1028" s="1003"/>
      <c r="G1028" s="1003"/>
      <c r="H1028" s="1003"/>
      <c r="I1028" s="1003"/>
      <c r="J1028" s="1003"/>
      <c r="K1028" s="1003">
        <f t="shared" si="15"/>
        <v>26</v>
      </c>
      <c r="L1028" s="1004"/>
      <c r="M1028" s="1003"/>
      <c r="N1028" s="1003">
        <v>20</v>
      </c>
      <c r="O1028" s="1005">
        <v>32</v>
      </c>
    </row>
    <row r="1029" spans="1:15" collapsed="1" x14ac:dyDescent="0.2">
      <c r="A1029"/>
      <c r="B1029" s="1002">
        <v>93</v>
      </c>
      <c r="C1029" s="1003">
        <v>7</v>
      </c>
      <c r="D1029" s="1003">
        <v>18</v>
      </c>
      <c r="E1029" s="1003"/>
      <c r="F1029" s="1003"/>
      <c r="G1029" s="1003"/>
      <c r="H1029" s="1003"/>
      <c r="I1029" s="1003"/>
      <c r="J1029" s="1003"/>
      <c r="K1029" s="1003">
        <f t="shared" si="15"/>
        <v>25</v>
      </c>
      <c r="L1029" s="1004"/>
      <c r="M1029" s="1003"/>
      <c r="N1029" s="1003">
        <v>18</v>
      </c>
      <c r="O1029" s="1005">
        <v>32</v>
      </c>
    </row>
    <row r="1030" spans="1:15" collapsed="1" x14ac:dyDescent="0.2">
      <c r="A1030"/>
      <c r="B1030" s="1002">
        <v>93</v>
      </c>
      <c r="C1030" s="1003">
        <v>3</v>
      </c>
      <c r="D1030" s="1003">
        <v>21</v>
      </c>
      <c r="E1030" s="1003"/>
      <c r="F1030" s="1003"/>
      <c r="G1030" s="1003"/>
      <c r="H1030" s="1003"/>
      <c r="I1030" s="1003"/>
      <c r="J1030" s="1003"/>
      <c r="K1030" s="1003">
        <f t="shared" ref="K1030:K1093" si="16">SUM(C1030:J1030)</f>
        <v>24</v>
      </c>
      <c r="L1030" s="1004"/>
      <c r="M1030" s="1003"/>
      <c r="N1030" s="1003">
        <v>16</v>
      </c>
      <c r="O1030" s="1005">
        <v>32</v>
      </c>
    </row>
    <row r="1031" spans="1:15" collapsed="1" x14ac:dyDescent="0.2">
      <c r="A1031"/>
      <c r="B1031" s="1002">
        <v>93</v>
      </c>
      <c r="C1031" s="1003"/>
      <c r="D1031" s="1003">
        <v>22</v>
      </c>
      <c r="E1031" s="1003">
        <v>1</v>
      </c>
      <c r="F1031" s="1003"/>
      <c r="G1031" s="1003"/>
      <c r="H1031" s="1003"/>
      <c r="I1031" s="1003"/>
      <c r="J1031" s="1003"/>
      <c r="K1031" s="1003">
        <f t="shared" si="16"/>
        <v>23</v>
      </c>
      <c r="L1031" s="1004"/>
      <c r="M1031" s="1003"/>
      <c r="N1031" s="1003">
        <v>14</v>
      </c>
      <c r="O1031" s="1005">
        <v>32</v>
      </c>
    </row>
    <row r="1032" spans="1:15" collapsed="1" x14ac:dyDescent="0.2">
      <c r="A1032"/>
      <c r="B1032" s="1002">
        <v>93</v>
      </c>
      <c r="C1032" s="1003"/>
      <c r="D1032" s="1003">
        <v>17</v>
      </c>
      <c r="E1032" s="1003">
        <v>5</v>
      </c>
      <c r="F1032" s="1003"/>
      <c r="G1032" s="1003"/>
      <c r="H1032" s="1003"/>
      <c r="I1032" s="1003"/>
      <c r="J1032" s="1003"/>
      <c r="K1032" s="1003">
        <f t="shared" si="16"/>
        <v>22</v>
      </c>
      <c r="L1032" s="1004"/>
      <c r="M1032" s="1003"/>
      <c r="N1032" s="1003">
        <v>12</v>
      </c>
      <c r="O1032" s="1005">
        <v>32</v>
      </c>
    </row>
    <row r="1033" spans="1:15" collapsed="1" x14ac:dyDescent="0.2">
      <c r="A1033"/>
      <c r="B1033" s="1002">
        <v>93</v>
      </c>
      <c r="C1033" s="1003"/>
      <c r="D1033" s="1003">
        <v>12</v>
      </c>
      <c r="E1033" s="1003">
        <v>9</v>
      </c>
      <c r="F1033" s="1003"/>
      <c r="G1033" s="1003"/>
      <c r="H1033" s="1003"/>
      <c r="I1033" s="1003"/>
      <c r="J1033" s="1003"/>
      <c r="K1033" s="1003">
        <f t="shared" si="16"/>
        <v>21</v>
      </c>
      <c r="L1033" s="1004"/>
      <c r="M1033" s="1003"/>
      <c r="N1033" s="1003">
        <v>10</v>
      </c>
      <c r="O1033" s="1005">
        <v>32</v>
      </c>
    </row>
    <row r="1034" spans="1:15" collapsed="1" x14ac:dyDescent="0.2">
      <c r="A1034"/>
      <c r="B1034" s="1002">
        <v>93</v>
      </c>
      <c r="C1034" s="1003"/>
      <c r="D1034" s="1003">
        <v>7</v>
      </c>
      <c r="E1034" s="1003">
        <v>13</v>
      </c>
      <c r="F1034" s="1003"/>
      <c r="G1034" s="1003"/>
      <c r="H1034" s="1003"/>
      <c r="I1034" s="1003"/>
      <c r="J1034" s="1003"/>
      <c r="K1034" s="1003">
        <f t="shared" si="16"/>
        <v>20</v>
      </c>
      <c r="L1034" s="1004"/>
      <c r="M1034" s="1003"/>
      <c r="N1034" s="1003">
        <v>8</v>
      </c>
      <c r="O1034" s="1005">
        <v>32</v>
      </c>
    </row>
    <row r="1035" spans="1:15" collapsed="1" x14ac:dyDescent="0.2">
      <c r="A1035"/>
      <c r="B1035" s="1002">
        <v>93</v>
      </c>
      <c r="C1035" s="1003"/>
      <c r="D1035" s="1003">
        <v>2</v>
      </c>
      <c r="E1035" s="1003">
        <v>17</v>
      </c>
      <c r="F1035" s="1003"/>
      <c r="G1035" s="1003"/>
      <c r="H1035" s="1003"/>
      <c r="I1035" s="1003"/>
      <c r="J1035" s="1003"/>
      <c r="K1035" s="1003">
        <f t="shared" si="16"/>
        <v>19</v>
      </c>
      <c r="L1035" s="1004"/>
      <c r="M1035" s="1003"/>
      <c r="N1035" s="1003">
        <v>6</v>
      </c>
      <c r="O1035" s="1005">
        <v>32</v>
      </c>
    </row>
    <row r="1036" spans="1:15" collapsed="1" x14ac:dyDescent="0.2">
      <c r="A1036"/>
      <c r="B1036" s="1002">
        <v>93</v>
      </c>
      <c r="C1036" s="1003"/>
      <c r="D1036" s="1003"/>
      <c r="E1036" s="1003">
        <v>15</v>
      </c>
      <c r="F1036" s="1003">
        <v>3</v>
      </c>
      <c r="G1036" s="1003"/>
      <c r="H1036" s="1003"/>
      <c r="I1036" s="1003"/>
      <c r="J1036" s="1003"/>
      <c r="K1036" s="1003">
        <f t="shared" si="16"/>
        <v>18</v>
      </c>
      <c r="L1036" s="1004"/>
      <c r="M1036" s="1003"/>
      <c r="N1036" s="1003">
        <v>4</v>
      </c>
      <c r="O1036" s="1005">
        <v>32</v>
      </c>
    </row>
    <row r="1037" spans="1:15" collapsed="1" x14ac:dyDescent="0.2">
      <c r="A1037"/>
      <c r="B1037" s="1002">
        <v>93</v>
      </c>
      <c r="C1037" s="1003"/>
      <c r="D1037" s="1003"/>
      <c r="E1037" s="1003">
        <v>9</v>
      </c>
      <c r="F1037" s="1003">
        <v>8</v>
      </c>
      <c r="G1037" s="1003"/>
      <c r="H1037" s="1003"/>
      <c r="I1037" s="1003"/>
      <c r="J1037" s="1003"/>
      <c r="K1037" s="1003">
        <f t="shared" si="16"/>
        <v>17</v>
      </c>
      <c r="L1037" s="1004"/>
      <c r="M1037" s="1003"/>
      <c r="N1037" s="1003">
        <v>2</v>
      </c>
      <c r="O1037" s="1005">
        <v>32</v>
      </c>
    </row>
    <row r="1038" spans="1:15" collapsed="1" x14ac:dyDescent="0.2">
      <c r="A1038"/>
      <c r="B1038" s="1002">
        <v>93</v>
      </c>
      <c r="C1038" s="1003"/>
      <c r="D1038" s="1003"/>
      <c r="E1038" s="1003">
        <v>3</v>
      </c>
      <c r="F1038" s="1003">
        <v>13</v>
      </c>
      <c r="G1038" s="1003"/>
      <c r="H1038" s="1003"/>
      <c r="I1038" s="1003"/>
      <c r="J1038" s="1003"/>
      <c r="K1038" s="1003">
        <f t="shared" si="16"/>
        <v>16</v>
      </c>
      <c r="L1038" s="1004"/>
      <c r="M1038" s="1003"/>
      <c r="N1038" s="1003"/>
      <c r="O1038" s="1005">
        <v>32</v>
      </c>
    </row>
    <row r="1039" spans="1:15" collapsed="1" x14ac:dyDescent="0.2">
      <c r="A1039"/>
      <c r="B1039" s="1002">
        <v>93</v>
      </c>
      <c r="C1039" s="1003"/>
      <c r="D1039" s="1003"/>
      <c r="E1039" s="1003"/>
      <c r="F1039" s="1003">
        <v>13</v>
      </c>
      <c r="G1039" s="1003">
        <v>2</v>
      </c>
      <c r="H1039" s="1003"/>
      <c r="I1039" s="1003"/>
      <c r="J1039" s="1003"/>
      <c r="K1039" s="1003">
        <f t="shared" si="16"/>
        <v>15</v>
      </c>
      <c r="L1039" s="1004"/>
      <c r="M1039" s="1003"/>
      <c r="N1039" s="1003">
        <v>14</v>
      </c>
      <c r="O1039" s="1005">
        <v>16</v>
      </c>
    </row>
    <row r="1040" spans="1:15" x14ac:dyDescent="0.2">
      <c r="A1040"/>
      <c r="B1040" s="1002">
        <v>93</v>
      </c>
      <c r="C1040" s="1003"/>
      <c r="D1040" s="1003"/>
      <c r="E1040" s="1003"/>
      <c r="F1040" s="1003">
        <v>5</v>
      </c>
      <c r="G1040" s="1003">
        <v>9</v>
      </c>
      <c r="H1040" s="1003"/>
      <c r="I1040" s="1003"/>
      <c r="J1040" s="1003"/>
      <c r="K1040" s="1003">
        <f t="shared" si="16"/>
        <v>14</v>
      </c>
      <c r="L1040" s="1004"/>
      <c r="M1040" s="1003"/>
      <c r="N1040" s="1003">
        <v>12</v>
      </c>
      <c r="O1040" s="1005">
        <v>16</v>
      </c>
    </row>
    <row r="1041" spans="1:15" collapsed="1" x14ac:dyDescent="0.2">
      <c r="A1041"/>
      <c r="B1041" s="1002">
        <v>93</v>
      </c>
      <c r="C1041" s="1003"/>
      <c r="D1041" s="1003"/>
      <c r="E1041" s="1003"/>
      <c r="F1041" s="1003"/>
      <c r="G1041" s="1003">
        <v>11</v>
      </c>
      <c r="H1041" s="1003">
        <v>2</v>
      </c>
      <c r="I1041" s="1003"/>
      <c r="J1041" s="1003"/>
      <c r="K1041" s="1003">
        <f t="shared" si="16"/>
        <v>13</v>
      </c>
      <c r="L1041" s="1004"/>
      <c r="M1041" s="1003"/>
      <c r="N1041" s="1003">
        <v>10</v>
      </c>
      <c r="O1041" s="1005">
        <v>16</v>
      </c>
    </row>
    <row r="1042" spans="1:15" collapsed="1" x14ac:dyDescent="0.2">
      <c r="A1042"/>
      <c r="B1042" s="1002">
        <v>93</v>
      </c>
      <c r="C1042" s="1003"/>
      <c r="D1042" s="1003"/>
      <c r="E1042" s="1003"/>
      <c r="F1042" s="1003"/>
      <c r="G1042" s="1003">
        <v>3</v>
      </c>
      <c r="H1042" s="1003">
        <v>9</v>
      </c>
      <c r="I1042" s="1003"/>
      <c r="J1042" s="1003"/>
      <c r="K1042" s="1003">
        <f t="shared" si="16"/>
        <v>12</v>
      </c>
      <c r="L1042" s="1004"/>
      <c r="M1042" s="1003"/>
      <c r="N1042" s="1003">
        <v>8</v>
      </c>
      <c r="O1042" s="1005">
        <v>16</v>
      </c>
    </row>
    <row r="1043" spans="1:15" x14ac:dyDescent="0.2">
      <c r="A1043"/>
      <c r="B1043" s="1002">
        <v>93</v>
      </c>
      <c r="C1043" s="1003"/>
      <c r="D1043" s="1003"/>
      <c r="E1043" s="1003"/>
      <c r="F1043" s="1003"/>
      <c r="G1043" s="1003"/>
      <c r="H1043" s="1003">
        <v>6</v>
      </c>
      <c r="I1043" s="1003">
        <v>5</v>
      </c>
      <c r="J1043" s="1003"/>
      <c r="K1043" s="1003">
        <f t="shared" si="16"/>
        <v>11</v>
      </c>
      <c r="L1043" s="1004"/>
      <c r="M1043" s="1003"/>
      <c r="N1043" s="1003">
        <v>6</v>
      </c>
      <c r="O1043" s="1005">
        <v>16</v>
      </c>
    </row>
    <row r="1044" spans="1:15" collapsed="1" x14ac:dyDescent="0.2">
      <c r="A1044"/>
      <c r="B1044" s="1002">
        <v>93</v>
      </c>
      <c r="C1044" s="1003"/>
      <c r="D1044" s="1003"/>
      <c r="E1044" s="1003"/>
      <c r="F1044" s="1003"/>
      <c r="G1044" s="1003"/>
      <c r="H1044" s="1003"/>
      <c r="I1044" s="1003">
        <v>7</v>
      </c>
      <c r="J1044" s="1003">
        <v>3</v>
      </c>
      <c r="K1044" s="1003">
        <f t="shared" si="16"/>
        <v>10</v>
      </c>
      <c r="L1044" s="1004"/>
      <c r="M1044" s="1003"/>
      <c r="N1044" s="1003">
        <v>4</v>
      </c>
      <c r="O1044" s="1005">
        <v>16</v>
      </c>
    </row>
    <row r="1045" spans="1:15" collapsed="1" x14ac:dyDescent="0.2">
      <c r="A1045"/>
      <c r="B1045" s="1002">
        <v>94</v>
      </c>
      <c r="C1045" s="1003">
        <v>30</v>
      </c>
      <c r="D1045" s="1003">
        <v>1</v>
      </c>
      <c r="E1045" s="1003"/>
      <c r="F1045" s="1003"/>
      <c r="G1045" s="1003"/>
      <c r="H1045" s="1003"/>
      <c r="I1045" s="1003"/>
      <c r="J1045" s="1003"/>
      <c r="K1045" s="1003">
        <f t="shared" si="16"/>
        <v>31</v>
      </c>
      <c r="L1045" s="1004"/>
      <c r="M1045" s="1003"/>
      <c r="N1045" s="1003">
        <v>3</v>
      </c>
      <c r="O1045" s="1005">
        <v>32</v>
      </c>
    </row>
    <row r="1046" spans="1:15" collapsed="1" x14ac:dyDescent="0.2">
      <c r="A1046"/>
      <c r="B1046" s="1002">
        <v>94</v>
      </c>
      <c r="C1046" s="1003">
        <v>26</v>
      </c>
      <c r="D1046" s="1003">
        <v>4</v>
      </c>
      <c r="E1046" s="1003"/>
      <c r="F1046" s="1003"/>
      <c r="G1046" s="1003"/>
      <c r="H1046" s="1003"/>
      <c r="I1046" s="1003"/>
      <c r="J1046" s="1003"/>
      <c r="K1046" s="1003">
        <f t="shared" si="16"/>
        <v>30</v>
      </c>
      <c r="L1046" s="1004"/>
      <c r="M1046" s="1003"/>
      <c r="N1046" s="1003">
        <v>28</v>
      </c>
      <c r="O1046" s="1005">
        <v>32</v>
      </c>
    </row>
    <row r="1047" spans="1:15" collapsed="1" x14ac:dyDescent="0.2">
      <c r="A1047"/>
      <c r="B1047" s="1002">
        <v>94</v>
      </c>
      <c r="C1047" s="1003">
        <v>22</v>
      </c>
      <c r="D1047" s="1003">
        <v>7</v>
      </c>
      <c r="E1047" s="1003"/>
      <c r="F1047" s="1003"/>
      <c r="G1047" s="1003"/>
      <c r="H1047" s="1003"/>
      <c r="I1047" s="1003"/>
      <c r="J1047" s="1003"/>
      <c r="K1047" s="1003">
        <f t="shared" si="16"/>
        <v>29</v>
      </c>
      <c r="L1047" s="1004"/>
      <c r="M1047" s="1003"/>
      <c r="N1047" s="1003">
        <v>26</v>
      </c>
      <c r="O1047" s="1005">
        <v>32</v>
      </c>
    </row>
    <row r="1048" spans="1:15" collapsed="1" x14ac:dyDescent="0.2">
      <c r="A1048"/>
      <c r="B1048" s="1002">
        <v>94</v>
      </c>
      <c r="C1048" s="1003">
        <v>18</v>
      </c>
      <c r="D1048" s="1003">
        <v>10</v>
      </c>
      <c r="E1048" s="1003"/>
      <c r="F1048" s="1003"/>
      <c r="G1048" s="1003"/>
      <c r="H1048" s="1003"/>
      <c r="I1048" s="1003"/>
      <c r="J1048" s="1003"/>
      <c r="K1048" s="1003">
        <f t="shared" si="16"/>
        <v>28</v>
      </c>
      <c r="L1048" s="1004"/>
      <c r="M1048" s="1003"/>
      <c r="N1048" s="1003">
        <v>24</v>
      </c>
      <c r="O1048" s="1005">
        <v>32</v>
      </c>
    </row>
    <row r="1049" spans="1:15" collapsed="1" x14ac:dyDescent="0.2">
      <c r="A1049"/>
      <c r="B1049" s="1002">
        <v>94</v>
      </c>
      <c r="C1049" s="1003">
        <v>14</v>
      </c>
      <c r="D1049" s="1003">
        <v>13</v>
      </c>
      <c r="E1049" s="1003"/>
      <c r="F1049" s="1003"/>
      <c r="G1049" s="1003"/>
      <c r="H1049" s="1003"/>
      <c r="I1049" s="1003"/>
      <c r="J1049" s="1003"/>
      <c r="K1049" s="1003">
        <f t="shared" si="16"/>
        <v>27</v>
      </c>
      <c r="L1049" s="1004"/>
      <c r="M1049" s="1003"/>
      <c r="N1049" s="1003">
        <v>22</v>
      </c>
      <c r="O1049" s="1005">
        <v>32</v>
      </c>
    </row>
    <row r="1050" spans="1:15" collapsed="1" x14ac:dyDescent="0.2">
      <c r="A1050"/>
      <c r="B1050" s="1002">
        <v>94</v>
      </c>
      <c r="C1050" s="1003">
        <v>10</v>
      </c>
      <c r="D1050" s="1003">
        <v>16</v>
      </c>
      <c r="E1050" s="1003"/>
      <c r="F1050" s="1003"/>
      <c r="G1050" s="1003"/>
      <c r="H1050" s="1003"/>
      <c r="I1050" s="1003"/>
      <c r="J1050" s="1003"/>
      <c r="K1050" s="1003">
        <f t="shared" si="16"/>
        <v>26</v>
      </c>
      <c r="L1050" s="1004"/>
      <c r="M1050" s="1003"/>
      <c r="N1050" s="1003">
        <v>20</v>
      </c>
      <c r="O1050" s="1005">
        <v>32</v>
      </c>
    </row>
    <row r="1051" spans="1:15" collapsed="1" x14ac:dyDescent="0.2">
      <c r="A1051"/>
      <c r="B1051" s="1002">
        <v>94</v>
      </c>
      <c r="C1051" s="1003">
        <v>6</v>
      </c>
      <c r="D1051" s="1003">
        <v>19</v>
      </c>
      <c r="E1051" s="1003"/>
      <c r="F1051" s="1003"/>
      <c r="G1051" s="1003"/>
      <c r="H1051" s="1003"/>
      <c r="I1051" s="1003"/>
      <c r="J1051" s="1003"/>
      <c r="K1051" s="1003">
        <f t="shared" si="16"/>
        <v>25</v>
      </c>
      <c r="L1051" s="1004"/>
      <c r="M1051" s="1003"/>
      <c r="N1051" s="1003">
        <v>18</v>
      </c>
      <c r="O1051" s="1005">
        <v>32</v>
      </c>
    </row>
    <row r="1052" spans="1:15" collapsed="1" x14ac:dyDescent="0.2">
      <c r="A1052"/>
      <c r="B1052" s="1002">
        <v>94</v>
      </c>
      <c r="C1052" s="1003">
        <v>2</v>
      </c>
      <c r="D1052" s="1003">
        <v>22</v>
      </c>
      <c r="E1052" s="1003"/>
      <c r="F1052" s="1003"/>
      <c r="G1052" s="1003"/>
      <c r="H1052" s="1003"/>
      <c r="I1052" s="1003"/>
      <c r="J1052" s="1003"/>
      <c r="K1052" s="1003">
        <f t="shared" si="16"/>
        <v>24</v>
      </c>
      <c r="L1052" s="1004"/>
      <c r="M1052" s="1003"/>
      <c r="N1052" s="1003">
        <v>16</v>
      </c>
      <c r="O1052" s="1005">
        <v>32</v>
      </c>
    </row>
    <row r="1053" spans="1:15" collapsed="1" x14ac:dyDescent="0.2">
      <c r="A1053"/>
      <c r="B1053" s="1002">
        <v>94</v>
      </c>
      <c r="C1053" s="1003"/>
      <c r="D1053" s="1003">
        <v>21</v>
      </c>
      <c r="E1053" s="1003">
        <v>2</v>
      </c>
      <c r="F1053" s="1003"/>
      <c r="G1053" s="1003"/>
      <c r="H1053" s="1003"/>
      <c r="I1053" s="1003"/>
      <c r="J1053" s="1003"/>
      <c r="K1053" s="1003">
        <f t="shared" si="16"/>
        <v>23</v>
      </c>
      <c r="L1053" s="1004"/>
      <c r="M1053" s="1003"/>
      <c r="N1053" s="1003">
        <v>14</v>
      </c>
      <c r="O1053" s="1005">
        <v>32</v>
      </c>
    </row>
    <row r="1054" spans="1:15" collapsed="1" x14ac:dyDescent="0.2">
      <c r="A1054"/>
      <c r="B1054" s="1002">
        <v>94</v>
      </c>
      <c r="C1054" s="1003"/>
      <c r="D1054" s="1003">
        <v>16</v>
      </c>
      <c r="E1054" s="1003">
        <v>6</v>
      </c>
      <c r="F1054" s="1003"/>
      <c r="G1054" s="1003"/>
      <c r="H1054" s="1003"/>
      <c r="I1054" s="1003"/>
      <c r="J1054" s="1003"/>
      <c r="K1054" s="1003">
        <f t="shared" si="16"/>
        <v>22</v>
      </c>
      <c r="L1054" s="1004"/>
      <c r="M1054" s="1003"/>
      <c r="N1054" s="1003">
        <v>12</v>
      </c>
      <c r="O1054" s="1005">
        <v>32</v>
      </c>
    </row>
    <row r="1055" spans="1:15" collapsed="1" x14ac:dyDescent="0.2">
      <c r="A1055"/>
      <c r="B1055" s="1002">
        <v>94</v>
      </c>
      <c r="C1055" s="1003"/>
      <c r="D1055" s="1003">
        <v>11</v>
      </c>
      <c r="E1055" s="1003">
        <v>10</v>
      </c>
      <c r="F1055" s="1003"/>
      <c r="G1055" s="1003"/>
      <c r="H1055" s="1003"/>
      <c r="I1055" s="1003"/>
      <c r="J1055" s="1003"/>
      <c r="K1055" s="1003">
        <f t="shared" si="16"/>
        <v>21</v>
      </c>
      <c r="L1055" s="1004"/>
      <c r="M1055" s="1003"/>
      <c r="N1055" s="1003">
        <v>10</v>
      </c>
      <c r="O1055" s="1005">
        <v>32</v>
      </c>
    </row>
    <row r="1056" spans="1:15" collapsed="1" x14ac:dyDescent="0.2">
      <c r="A1056"/>
      <c r="B1056" s="1002">
        <v>94</v>
      </c>
      <c r="C1056" s="1003"/>
      <c r="D1056" s="1003">
        <v>6</v>
      </c>
      <c r="E1056" s="1003">
        <v>14</v>
      </c>
      <c r="F1056" s="1003"/>
      <c r="G1056" s="1003"/>
      <c r="H1056" s="1003"/>
      <c r="I1056" s="1003"/>
      <c r="J1056" s="1003"/>
      <c r="K1056" s="1003">
        <f t="shared" si="16"/>
        <v>20</v>
      </c>
      <c r="L1056" s="1004"/>
      <c r="M1056" s="1003"/>
      <c r="N1056" s="1003">
        <v>8</v>
      </c>
      <c r="O1056" s="1005">
        <v>32</v>
      </c>
    </row>
    <row r="1057" spans="1:15" collapsed="1" x14ac:dyDescent="0.2">
      <c r="A1057"/>
      <c r="B1057" s="1002">
        <v>94</v>
      </c>
      <c r="C1057" s="1003"/>
      <c r="D1057" s="1003">
        <v>1</v>
      </c>
      <c r="E1057" s="1003">
        <v>18</v>
      </c>
      <c r="F1057" s="1003"/>
      <c r="G1057" s="1003"/>
      <c r="H1057" s="1003"/>
      <c r="I1057" s="1003"/>
      <c r="J1057" s="1003"/>
      <c r="K1057" s="1003">
        <f t="shared" si="16"/>
        <v>19</v>
      </c>
      <c r="L1057" s="1004"/>
      <c r="M1057" s="1003"/>
      <c r="N1057" s="1003">
        <v>6</v>
      </c>
      <c r="O1057" s="1005">
        <v>32</v>
      </c>
    </row>
    <row r="1058" spans="1:15" collapsed="1" x14ac:dyDescent="0.2">
      <c r="A1058"/>
      <c r="B1058" s="1002">
        <v>94</v>
      </c>
      <c r="C1058" s="1003"/>
      <c r="D1058" s="1003"/>
      <c r="E1058" s="1003">
        <v>14</v>
      </c>
      <c r="F1058" s="1003">
        <v>4</v>
      </c>
      <c r="G1058" s="1003"/>
      <c r="H1058" s="1003"/>
      <c r="I1058" s="1003"/>
      <c r="J1058" s="1003"/>
      <c r="K1058" s="1003">
        <f t="shared" si="16"/>
        <v>18</v>
      </c>
      <c r="L1058" s="1004"/>
      <c r="M1058" s="1003"/>
      <c r="N1058" s="1003">
        <v>4</v>
      </c>
      <c r="O1058" s="1005">
        <v>32</v>
      </c>
    </row>
    <row r="1059" spans="1:15" collapsed="1" x14ac:dyDescent="0.2">
      <c r="A1059"/>
      <c r="B1059" s="1002">
        <v>94</v>
      </c>
      <c r="C1059" s="1003"/>
      <c r="D1059" s="1003"/>
      <c r="E1059" s="1003">
        <v>8</v>
      </c>
      <c r="F1059" s="1003">
        <v>9</v>
      </c>
      <c r="G1059" s="1003"/>
      <c r="H1059" s="1003"/>
      <c r="I1059" s="1003"/>
      <c r="J1059" s="1003"/>
      <c r="K1059" s="1003">
        <f t="shared" si="16"/>
        <v>17</v>
      </c>
      <c r="L1059" s="1004"/>
      <c r="M1059" s="1003"/>
      <c r="N1059" s="1003">
        <v>2</v>
      </c>
      <c r="O1059" s="1005">
        <v>32</v>
      </c>
    </row>
    <row r="1060" spans="1:15" collapsed="1" x14ac:dyDescent="0.2">
      <c r="A1060"/>
      <c r="B1060" s="1002">
        <v>94</v>
      </c>
      <c r="C1060" s="1003"/>
      <c r="D1060" s="1003"/>
      <c r="E1060" s="1003">
        <v>2</v>
      </c>
      <c r="F1060" s="1003">
        <v>14</v>
      </c>
      <c r="G1060" s="1003"/>
      <c r="H1060" s="1003"/>
      <c r="I1060" s="1003"/>
      <c r="J1060" s="1003"/>
      <c r="K1060" s="1003">
        <f t="shared" si="16"/>
        <v>16</v>
      </c>
      <c r="L1060" s="1004"/>
      <c r="M1060" s="1003"/>
      <c r="N1060" s="1003"/>
      <c r="O1060" s="1005">
        <v>32</v>
      </c>
    </row>
    <row r="1061" spans="1:15" collapsed="1" x14ac:dyDescent="0.2">
      <c r="A1061"/>
      <c r="B1061" s="1002">
        <v>94</v>
      </c>
      <c r="C1061" s="1003"/>
      <c r="D1061" s="1003"/>
      <c r="E1061" s="1003"/>
      <c r="F1061" s="1003">
        <v>12</v>
      </c>
      <c r="G1061" s="1003">
        <v>3</v>
      </c>
      <c r="H1061" s="1003"/>
      <c r="I1061" s="1003"/>
      <c r="J1061" s="1003"/>
      <c r="K1061" s="1003">
        <f t="shared" si="16"/>
        <v>15</v>
      </c>
      <c r="L1061" s="1004"/>
      <c r="M1061" s="1003"/>
      <c r="N1061" s="1003">
        <v>14</v>
      </c>
      <c r="O1061" s="1005">
        <v>16</v>
      </c>
    </row>
    <row r="1062" spans="1:15" x14ac:dyDescent="0.2">
      <c r="A1062"/>
      <c r="B1062" s="1002">
        <v>94</v>
      </c>
      <c r="C1062" s="1003"/>
      <c r="D1062" s="1003"/>
      <c r="E1062" s="1003"/>
      <c r="F1062" s="1003">
        <v>4</v>
      </c>
      <c r="G1062" s="1003">
        <v>10</v>
      </c>
      <c r="H1062" s="1003"/>
      <c r="I1062" s="1003"/>
      <c r="J1062" s="1003"/>
      <c r="K1062" s="1003">
        <f t="shared" si="16"/>
        <v>14</v>
      </c>
      <c r="L1062" s="1004"/>
      <c r="M1062" s="1003"/>
      <c r="N1062" s="1003">
        <v>12</v>
      </c>
      <c r="O1062" s="1005">
        <v>16</v>
      </c>
    </row>
    <row r="1063" spans="1:15" collapsed="1" x14ac:dyDescent="0.2">
      <c r="A1063"/>
      <c r="B1063" s="1002">
        <v>94</v>
      </c>
      <c r="C1063" s="1003"/>
      <c r="D1063" s="1003"/>
      <c r="E1063" s="1003"/>
      <c r="F1063" s="1003"/>
      <c r="G1063" s="1003">
        <v>10</v>
      </c>
      <c r="H1063" s="1003">
        <v>3</v>
      </c>
      <c r="I1063" s="1003"/>
      <c r="J1063" s="1003"/>
      <c r="K1063" s="1003">
        <f t="shared" si="16"/>
        <v>13</v>
      </c>
      <c r="L1063" s="1004"/>
      <c r="M1063" s="1003"/>
      <c r="N1063" s="1003">
        <v>10</v>
      </c>
      <c r="O1063" s="1005">
        <v>16</v>
      </c>
    </row>
    <row r="1064" spans="1:15" collapsed="1" x14ac:dyDescent="0.2">
      <c r="A1064"/>
      <c r="B1064" s="1002">
        <v>94</v>
      </c>
      <c r="C1064" s="1003"/>
      <c r="D1064" s="1003"/>
      <c r="E1064" s="1003"/>
      <c r="F1064" s="1003"/>
      <c r="G1064" s="1003">
        <v>2</v>
      </c>
      <c r="H1064" s="1003">
        <v>10</v>
      </c>
      <c r="I1064" s="1003"/>
      <c r="J1064" s="1003"/>
      <c r="K1064" s="1003">
        <f t="shared" si="16"/>
        <v>12</v>
      </c>
      <c r="L1064" s="1004"/>
      <c r="M1064" s="1003"/>
      <c r="N1064" s="1003">
        <v>8</v>
      </c>
      <c r="O1064" s="1005">
        <v>16</v>
      </c>
    </row>
    <row r="1065" spans="1:15" x14ac:dyDescent="0.2">
      <c r="A1065"/>
      <c r="B1065" s="1002">
        <v>94</v>
      </c>
      <c r="C1065" s="1003"/>
      <c r="D1065" s="1003"/>
      <c r="E1065" s="1003"/>
      <c r="F1065" s="1003"/>
      <c r="G1065" s="1003"/>
      <c r="H1065" s="1003">
        <v>5</v>
      </c>
      <c r="I1065" s="1003">
        <v>6</v>
      </c>
      <c r="J1065" s="1003"/>
      <c r="K1065" s="1003">
        <f t="shared" si="16"/>
        <v>11</v>
      </c>
      <c r="L1065" s="1004"/>
      <c r="M1065" s="1003"/>
      <c r="N1065" s="1003">
        <v>6</v>
      </c>
      <c r="O1065" s="1005">
        <v>16</v>
      </c>
    </row>
    <row r="1066" spans="1:15" collapsed="1" x14ac:dyDescent="0.2">
      <c r="A1066"/>
      <c r="B1066" s="1002">
        <v>94</v>
      </c>
      <c r="C1066" s="1003"/>
      <c r="D1066" s="1003"/>
      <c r="E1066" s="1003"/>
      <c r="F1066" s="1003"/>
      <c r="G1066" s="1003"/>
      <c r="H1066" s="1003"/>
      <c r="I1066" s="1003">
        <v>6</v>
      </c>
      <c r="J1066" s="1003">
        <v>4</v>
      </c>
      <c r="K1066" s="1003">
        <f t="shared" si="16"/>
        <v>10</v>
      </c>
      <c r="L1066" s="1004"/>
      <c r="M1066" s="1003"/>
      <c r="N1066" s="1003">
        <v>4</v>
      </c>
      <c r="O1066" s="1005">
        <v>16</v>
      </c>
    </row>
    <row r="1067" spans="1:15" collapsed="1" x14ac:dyDescent="0.2">
      <c r="A1067"/>
      <c r="B1067" s="1002">
        <v>95</v>
      </c>
      <c r="C1067" s="1003">
        <v>29</v>
      </c>
      <c r="D1067" s="1003">
        <v>2</v>
      </c>
      <c r="E1067" s="1003"/>
      <c r="F1067" s="1003"/>
      <c r="G1067" s="1003"/>
      <c r="H1067" s="1003"/>
      <c r="I1067" s="1003"/>
      <c r="J1067" s="1003"/>
      <c r="K1067" s="1003">
        <f t="shared" si="16"/>
        <v>31</v>
      </c>
      <c r="L1067" s="1004"/>
      <c r="M1067" s="1003"/>
      <c r="N1067" s="1003">
        <v>3</v>
      </c>
      <c r="O1067" s="1005">
        <v>32</v>
      </c>
    </row>
    <row r="1068" spans="1:15" collapsed="1" x14ac:dyDescent="0.2">
      <c r="A1068"/>
      <c r="B1068" s="1002">
        <v>95</v>
      </c>
      <c r="C1068" s="1003">
        <v>25</v>
      </c>
      <c r="D1068" s="1003">
        <v>5</v>
      </c>
      <c r="E1068" s="1003"/>
      <c r="F1068" s="1003"/>
      <c r="G1068" s="1003"/>
      <c r="H1068" s="1003"/>
      <c r="I1068" s="1003"/>
      <c r="J1068" s="1003"/>
      <c r="K1068" s="1003">
        <f t="shared" si="16"/>
        <v>30</v>
      </c>
      <c r="L1068" s="1004"/>
      <c r="M1068" s="1003"/>
      <c r="N1068" s="1003">
        <v>28</v>
      </c>
      <c r="O1068" s="1005">
        <v>32</v>
      </c>
    </row>
    <row r="1069" spans="1:15" collapsed="1" x14ac:dyDescent="0.2">
      <c r="A1069"/>
      <c r="B1069" s="1002">
        <v>95</v>
      </c>
      <c r="C1069" s="1003">
        <v>21</v>
      </c>
      <c r="D1069" s="1003">
        <v>8</v>
      </c>
      <c r="E1069" s="1003"/>
      <c r="F1069" s="1003"/>
      <c r="G1069" s="1003"/>
      <c r="H1069" s="1003"/>
      <c r="I1069" s="1003"/>
      <c r="J1069" s="1003"/>
      <c r="K1069" s="1003">
        <f t="shared" si="16"/>
        <v>29</v>
      </c>
      <c r="L1069" s="1004"/>
      <c r="M1069" s="1003"/>
      <c r="N1069" s="1003">
        <v>26</v>
      </c>
      <c r="O1069" s="1005">
        <v>32</v>
      </c>
    </row>
    <row r="1070" spans="1:15" collapsed="1" x14ac:dyDescent="0.2">
      <c r="A1070"/>
      <c r="B1070" s="1002">
        <v>95</v>
      </c>
      <c r="C1070" s="1003">
        <v>17</v>
      </c>
      <c r="D1070" s="1003">
        <v>11</v>
      </c>
      <c r="E1070" s="1003"/>
      <c r="F1070" s="1003"/>
      <c r="G1070" s="1003"/>
      <c r="H1070" s="1003"/>
      <c r="I1070" s="1003"/>
      <c r="J1070" s="1003"/>
      <c r="K1070" s="1003">
        <f t="shared" si="16"/>
        <v>28</v>
      </c>
      <c r="L1070" s="1004"/>
      <c r="M1070" s="1003"/>
      <c r="N1070" s="1003">
        <v>24</v>
      </c>
      <c r="O1070" s="1005">
        <v>32</v>
      </c>
    </row>
    <row r="1071" spans="1:15" collapsed="1" x14ac:dyDescent="0.2">
      <c r="A1071"/>
      <c r="B1071" s="1002">
        <v>95</v>
      </c>
      <c r="C1071" s="1003">
        <v>13</v>
      </c>
      <c r="D1071" s="1003">
        <v>14</v>
      </c>
      <c r="E1071" s="1003"/>
      <c r="F1071" s="1003"/>
      <c r="G1071" s="1003"/>
      <c r="H1071" s="1003"/>
      <c r="I1071" s="1003"/>
      <c r="J1071" s="1003"/>
      <c r="K1071" s="1003">
        <f t="shared" si="16"/>
        <v>27</v>
      </c>
      <c r="L1071" s="1004"/>
      <c r="M1071" s="1003"/>
      <c r="N1071" s="1003">
        <v>22</v>
      </c>
      <c r="O1071" s="1005">
        <v>32</v>
      </c>
    </row>
    <row r="1072" spans="1:15" collapsed="1" x14ac:dyDescent="0.2">
      <c r="A1072"/>
      <c r="B1072" s="1002">
        <v>95</v>
      </c>
      <c r="C1072" s="1003">
        <v>9</v>
      </c>
      <c r="D1072" s="1003">
        <v>17</v>
      </c>
      <c r="E1072" s="1003"/>
      <c r="F1072" s="1003"/>
      <c r="G1072" s="1003"/>
      <c r="H1072" s="1003"/>
      <c r="I1072" s="1003"/>
      <c r="J1072" s="1003"/>
      <c r="K1072" s="1003">
        <f t="shared" si="16"/>
        <v>26</v>
      </c>
      <c r="L1072" s="1004"/>
      <c r="M1072" s="1003"/>
      <c r="N1072" s="1003">
        <v>20</v>
      </c>
      <c r="O1072" s="1005">
        <v>32</v>
      </c>
    </row>
    <row r="1073" spans="1:15" collapsed="1" x14ac:dyDescent="0.2">
      <c r="A1073"/>
      <c r="B1073" s="1002">
        <v>95</v>
      </c>
      <c r="C1073" s="1003">
        <v>5</v>
      </c>
      <c r="D1073" s="1003">
        <v>20</v>
      </c>
      <c r="E1073" s="1003"/>
      <c r="F1073" s="1003"/>
      <c r="G1073" s="1003"/>
      <c r="H1073" s="1003"/>
      <c r="I1073" s="1003"/>
      <c r="J1073" s="1003"/>
      <c r="K1073" s="1003">
        <f t="shared" si="16"/>
        <v>25</v>
      </c>
      <c r="L1073" s="1004"/>
      <c r="M1073" s="1003"/>
      <c r="N1073" s="1003">
        <v>18</v>
      </c>
      <c r="O1073" s="1005">
        <v>32</v>
      </c>
    </row>
    <row r="1074" spans="1:15" collapsed="1" x14ac:dyDescent="0.2">
      <c r="A1074"/>
      <c r="B1074" s="1002">
        <v>95</v>
      </c>
      <c r="C1074" s="1003">
        <v>1</v>
      </c>
      <c r="D1074" s="1003">
        <v>23</v>
      </c>
      <c r="E1074" s="1003"/>
      <c r="F1074" s="1003"/>
      <c r="G1074" s="1003"/>
      <c r="H1074" s="1003"/>
      <c r="I1074" s="1003"/>
      <c r="J1074" s="1003"/>
      <c r="K1074" s="1003">
        <f t="shared" si="16"/>
        <v>24</v>
      </c>
      <c r="L1074" s="1004"/>
      <c r="M1074" s="1003"/>
      <c r="N1074" s="1003">
        <v>16</v>
      </c>
      <c r="O1074" s="1005">
        <v>32</v>
      </c>
    </row>
    <row r="1075" spans="1:15" collapsed="1" x14ac:dyDescent="0.2">
      <c r="A1075"/>
      <c r="B1075" s="1002">
        <v>95</v>
      </c>
      <c r="C1075" s="1003"/>
      <c r="D1075" s="1003">
        <v>20</v>
      </c>
      <c r="E1075" s="1003">
        <v>3</v>
      </c>
      <c r="F1075" s="1003"/>
      <c r="G1075" s="1003"/>
      <c r="H1075" s="1003"/>
      <c r="I1075" s="1003"/>
      <c r="J1075" s="1003"/>
      <c r="K1075" s="1003">
        <f t="shared" si="16"/>
        <v>23</v>
      </c>
      <c r="L1075" s="1004"/>
      <c r="M1075" s="1003"/>
      <c r="N1075" s="1003">
        <v>14</v>
      </c>
      <c r="O1075" s="1005">
        <v>32</v>
      </c>
    </row>
    <row r="1076" spans="1:15" collapsed="1" x14ac:dyDescent="0.2">
      <c r="A1076"/>
      <c r="B1076" s="1002">
        <v>95</v>
      </c>
      <c r="C1076" s="1003"/>
      <c r="D1076" s="1003">
        <v>15</v>
      </c>
      <c r="E1076" s="1003">
        <v>7</v>
      </c>
      <c r="F1076" s="1003"/>
      <c r="G1076" s="1003"/>
      <c r="H1076" s="1003"/>
      <c r="I1076" s="1003"/>
      <c r="J1076" s="1003"/>
      <c r="K1076" s="1003">
        <f t="shared" si="16"/>
        <v>22</v>
      </c>
      <c r="L1076" s="1004"/>
      <c r="M1076" s="1003"/>
      <c r="N1076" s="1003">
        <v>12</v>
      </c>
      <c r="O1076" s="1005">
        <v>32</v>
      </c>
    </row>
    <row r="1077" spans="1:15" collapsed="1" x14ac:dyDescent="0.2">
      <c r="A1077"/>
      <c r="B1077" s="1002">
        <v>95</v>
      </c>
      <c r="C1077" s="1003"/>
      <c r="D1077" s="1003">
        <v>10</v>
      </c>
      <c r="E1077" s="1003">
        <v>11</v>
      </c>
      <c r="F1077" s="1003"/>
      <c r="G1077" s="1003"/>
      <c r="H1077" s="1003"/>
      <c r="I1077" s="1003"/>
      <c r="J1077" s="1003"/>
      <c r="K1077" s="1003">
        <f t="shared" si="16"/>
        <v>21</v>
      </c>
      <c r="L1077" s="1004"/>
      <c r="M1077" s="1003"/>
      <c r="N1077" s="1003">
        <v>10</v>
      </c>
      <c r="O1077" s="1005">
        <v>32</v>
      </c>
    </row>
    <row r="1078" spans="1:15" collapsed="1" x14ac:dyDescent="0.2">
      <c r="A1078"/>
      <c r="B1078" s="1002">
        <v>95</v>
      </c>
      <c r="C1078" s="1003"/>
      <c r="D1078" s="1003">
        <v>5</v>
      </c>
      <c r="E1078" s="1003">
        <v>15</v>
      </c>
      <c r="F1078" s="1003"/>
      <c r="G1078" s="1003"/>
      <c r="H1078" s="1003"/>
      <c r="I1078" s="1003"/>
      <c r="J1078" s="1003"/>
      <c r="K1078" s="1003">
        <f t="shared" si="16"/>
        <v>20</v>
      </c>
      <c r="L1078" s="1004"/>
      <c r="M1078" s="1003"/>
      <c r="N1078" s="1003">
        <v>8</v>
      </c>
      <c r="O1078" s="1005">
        <v>32</v>
      </c>
    </row>
    <row r="1079" spans="1:15" collapsed="1" x14ac:dyDescent="0.2">
      <c r="A1079"/>
      <c r="B1079" s="1002">
        <v>95</v>
      </c>
      <c r="C1079" s="1003"/>
      <c r="D1079" s="1003"/>
      <c r="E1079" s="1003">
        <v>19</v>
      </c>
      <c r="F1079" s="1003"/>
      <c r="G1079" s="1003"/>
      <c r="H1079" s="1003"/>
      <c r="I1079" s="1003"/>
      <c r="J1079" s="1003"/>
      <c r="K1079" s="1003">
        <f t="shared" si="16"/>
        <v>19</v>
      </c>
      <c r="L1079" s="1004"/>
      <c r="M1079" s="1003"/>
      <c r="N1079" s="1003">
        <v>6</v>
      </c>
      <c r="O1079" s="1005">
        <v>32</v>
      </c>
    </row>
    <row r="1080" spans="1:15" collapsed="1" x14ac:dyDescent="0.2">
      <c r="A1080"/>
      <c r="B1080" s="1002">
        <v>95</v>
      </c>
      <c r="C1080" s="1003"/>
      <c r="D1080" s="1003"/>
      <c r="E1080" s="1003">
        <v>13</v>
      </c>
      <c r="F1080" s="1003">
        <v>5</v>
      </c>
      <c r="G1080" s="1003"/>
      <c r="H1080" s="1003"/>
      <c r="I1080" s="1003"/>
      <c r="J1080" s="1003"/>
      <c r="K1080" s="1003">
        <f t="shared" si="16"/>
        <v>18</v>
      </c>
      <c r="L1080" s="1004"/>
      <c r="M1080" s="1003"/>
      <c r="N1080" s="1003">
        <v>4</v>
      </c>
      <c r="O1080" s="1005">
        <v>32</v>
      </c>
    </row>
    <row r="1081" spans="1:15" collapsed="1" x14ac:dyDescent="0.2">
      <c r="A1081"/>
      <c r="B1081" s="1002">
        <v>95</v>
      </c>
      <c r="C1081" s="1003"/>
      <c r="D1081" s="1003"/>
      <c r="E1081" s="1003">
        <v>7</v>
      </c>
      <c r="F1081" s="1003">
        <v>10</v>
      </c>
      <c r="G1081" s="1003"/>
      <c r="H1081" s="1003"/>
      <c r="I1081" s="1003"/>
      <c r="J1081" s="1003"/>
      <c r="K1081" s="1003">
        <f t="shared" si="16"/>
        <v>17</v>
      </c>
      <c r="L1081" s="1004"/>
      <c r="M1081" s="1003"/>
      <c r="N1081" s="1003">
        <v>2</v>
      </c>
      <c r="O1081" s="1005">
        <v>32</v>
      </c>
    </row>
    <row r="1082" spans="1:15" collapsed="1" x14ac:dyDescent="0.2">
      <c r="A1082"/>
      <c r="B1082" s="1002">
        <v>95</v>
      </c>
      <c r="C1082" s="1003"/>
      <c r="D1082" s="1003"/>
      <c r="E1082" s="1003">
        <v>1</v>
      </c>
      <c r="F1082" s="1003">
        <v>15</v>
      </c>
      <c r="G1082" s="1003"/>
      <c r="H1082" s="1003"/>
      <c r="I1082" s="1003"/>
      <c r="J1082" s="1003"/>
      <c r="K1082" s="1003">
        <f t="shared" si="16"/>
        <v>16</v>
      </c>
      <c r="L1082" s="1004"/>
      <c r="M1082" s="1003"/>
      <c r="N1082" s="1003"/>
      <c r="O1082" s="1005">
        <v>32</v>
      </c>
    </row>
    <row r="1083" spans="1:15" collapsed="1" x14ac:dyDescent="0.2">
      <c r="A1083"/>
      <c r="B1083" s="1002">
        <v>95</v>
      </c>
      <c r="C1083" s="1003"/>
      <c r="D1083" s="1003"/>
      <c r="E1083" s="1003"/>
      <c r="F1083" s="1003">
        <v>11</v>
      </c>
      <c r="G1083" s="1003">
        <v>4</v>
      </c>
      <c r="H1083" s="1003"/>
      <c r="I1083" s="1003"/>
      <c r="J1083" s="1003"/>
      <c r="K1083" s="1003">
        <f t="shared" si="16"/>
        <v>15</v>
      </c>
      <c r="L1083" s="1004"/>
      <c r="M1083" s="1003"/>
      <c r="N1083" s="1003">
        <v>14</v>
      </c>
      <c r="O1083" s="1005">
        <v>16</v>
      </c>
    </row>
    <row r="1084" spans="1:15" x14ac:dyDescent="0.2">
      <c r="A1084"/>
      <c r="B1084" s="1002">
        <v>95</v>
      </c>
      <c r="C1084" s="1003"/>
      <c r="D1084" s="1003"/>
      <c r="E1084" s="1003"/>
      <c r="F1084" s="1003">
        <v>3</v>
      </c>
      <c r="G1084" s="1003">
        <v>11</v>
      </c>
      <c r="H1084" s="1003"/>
      <c r="I1084" s="1003"/>
      <c r="J1084" s="1003"/>
      <c r="K1084" s="1003">
        <f t="shared" si="16"/>
        <v>14</v>
      </c>
      <c r="L1084" s="1004"/>
      <c r="M1084" s="1003"/>
      <c r="N1084" s="1003">
        <v>12</v>
      </c>
      <c r="O1084" s="1005">
        <v>16</v>
      </c>
    </row>
    <row r="1085" spans="1:15" collapsed="1" x14ac:dyDescent="0.2">
      <c r="A1085"/>
      <c r="B1085" s="1002">
        <v>95</v>
      </c>
      <c r="C1085" s="1003"/>
      <c r="D1085" s="1003"/>
      <c r="E1085" s="1003"/>
      <c r="F1085" s="1003"/>
      <c r="G1085" s="1003">
        <v>9</v>
      </c>
      <c r="H1085" s="1003">
        <v>4</v>
      </c>
      <c r="I1085" s="1003"/>
      <c r="J1085" s="1003"/>
      <c r="K1085" s="1003">
        <f t="shared" si="16"/>
        <v>13</v>
      </c>
      <c r="L1085" s="1004"/>
      <c r="M1085" s="1003"/>
      <c r="N1085" s="1003">
        <v>10</v>
      </c>
      <c r="O1085" s="1005">
        <v>16</v>
      </c>
    </row>
    <row r="1086" spans="1:15" collapsed="1" x14ac:dyDescent="0.2">
      <c r="A1086"/>
      <c r="B1086" s="1002">
        <v>95</v>
      </c>
      <c r="C1086" s="1003"/>
      <c r="D1086" s="1003"/>
      <c r="E1086" s="1003"/>
      <c r="F1086" s="1003"/>
      <c r="G1086" s="1003">
        <v>1</v>
      </c>
      <c r="H1086" s="1003">
        <v>11</v>
      </c>
      <c r="I1086" s="1003"/>
      <c r="J1086" s="1003"/>
      <c r="K1086" s="1003">
        <f t="shared" si="16"/>
        <v>12</v>
      </c>
      <c r="L1086" s="1004"/>
      <c r="M1086" s="1003"/>
      <c r="N1086" s="1003">
        <v>8</v>
      </c>
      <c r="O1086" s="1005">
        <v>16</v>
      </c>
    </row>
    <row r="1087" spans="1:15" x14ac:dyDescent="0.2">
      <c r="A1087"/>
      <c r="B1087" s="1002">
        <v>95</v>
      </c>
      <c r="C1087" s="1003"/>
      <c r="D1087" s="1003"/>
      <c r="E1087" s="1003"/>
      <c r="F1087" s="1003"/>
      <c r="G1087" s="1003"/>
      <c r="H1087" s="1003">
        <v>4</v>
      </c>
      <c r="I1087" s="1003">
        <v>7</v>
      </c>
      <c r="J1087" s="1003"/>
      <c r="K1087" s="1003">
        <f t="shared" si="16"/>
        <v>11</v>
      </c>
      <c r="L1087" s="1004"/>
      <c r="M1087" s="1003"/>
      <c r="N1087" s="1003">
        <v>6</v>
      </c>
      <c r="O1087" s="1005">
        <v>16</v>
      </c>
    </row>
    <row r="1088" spans="1:15" collapsed="1" x14ac:dyDescent="0.2">
      <c r="A1088"/>
      <c r="B1088" s="1002">
        <v>95</v>
      </c>
      <c r="C1088" s="1003"/>
      <c r="D1088" s="1003"/>
      <c r="E1088" s="1003"/>
      <c r="F1088" s="1003"/>
      <c r="G1088" s="1003"/>
      <c r="H1088" s="1003"/>
      <c r="I1088" s="1003">
        <v>5</v>
      </c>
      <c r="J1088" s="1003">
        <v>5</v>
      </c>
      <c r="K1088" s="1003">
        <f t="shared" si="16"/>
        <v>10</v>
      </c>
      <c r="L1088" s="1004"/>
      <c r="M1088" s="1003"/>
      <c r="N1088" s="1003">
        <v>4</v>
      </c>
      <c r="O1088" s="1005">
        <v>16</v>
      </c>
    </row>
    <row r="1089" spans="1:15" collapsed="1" x14ac:dyDescent="0.2">
      <c r="A1089"/>
      <c r="B1089" s="1002">
        <v>96</v>
      </c>
      <c r="C1089" s="1003">
        <v>32</v>
      </c>
      <c r="D1089" s="1003"/>
      <c r="E1089" s="1003"/>
      <c r="F1089" s="1003"/>
      <c r="G1089" s="1003"/>
      <c r="H1089" s="1003"/>
      <c r="I1089" s="1003"/>
      <c r="J1089" s="1003"/>
      <c r="K1089" s="1003">
        <f t="shared" si="16"/>
        <v>32</v>
      </c>
      <c r="L1089" s="1004"/>
      <c r="M1089" s="1003"/>
      <c r="N1089" s="1003"/>
      <c r="O1089" s="1005">
        <v>64</v>
      </c>
    </row>
    <row r="1090" spans="1:15" collapsed="1" x14ac:dyDescent="0.2">
      <c r="A1090"/>
      <c r="B1090" s="1002">
        <v>96</v>
      </c>
      <c r="C1090" s="1003">
        <v>28</v>
      </c>
      <c r="D1090" s="1003">
        <v>3</v>
      </c>
      <c r="E1090" s="1003"/>
      <c r="F1090" s="1003"/>
      <c r="G1090" s="1003"/>
      <c r="H1090" s="1003"/>
      <c r="I1090" s="1003"/>
      <c r="J1090" s="1003"/>
      <c r="K1090" s="1003">
        <f t="shared" si="16"/>
        <v>31</v>
      </c>
      <c r="L1090" s="1004"/>
      <c r="M1090" s="1003"/>
      <c r="N1090" s="1003">
        <v>30</v>
      </c>
      <c r="O1090" s="1005">
        <v>32</v>
      </c>
    </row>
    <row r="1091" spans="1:15" collapsed="1" x14ac:dyDescent="0.2">
      <c r="A1091"/>
      <c r="B1091" s="1002">
        <v>96</v>
      </c>
      <c r="C1091" s="1003">
        <v>24</v>
      </c>
      <c r="D1091" s="1003">
        <v>6</v>
      </c>
      <c r="E1091" s="1003"/>
      <c r="F1091" s="1003"/>
      <c r="G1091" s="1003"/>
      <c r="H1091" s="1003"/>
      <c r="I1091" s="1003"/>
      <c r="J1091" s="1003"/>
      <c r="K1091" s="1003">
        <f t="shared" si="16"/>
        <v>30</v>
      </c>
      <c r="L1091" s="1004"/>
      <c r="M1091" s="1003"/>
      <c r="N1091" s="1003">
        <v>28</v>
      </c>
      <c r="O1091" s="1005">
        <v>32</v>
      </c>
    </row>
    <row r="1092" spans="1:15" collapsed="1" x14ac:dyDescent="0.2">
      <c r="A1092"/>
      <c r="B1092" s="1002">
        <v>96</v>
      </c>
      <c r="C1092" s="1003">
        <v>20</v>
      </c>
      <c r="D1092" s="1003">
        <v>9</v>
      </c>
      <c r="E1092" s="1003"/>
      <c r="F1092" s="1003"/>
      <c r="G1092" s="1003"/>
      <c r="H1092" s="1003"/>
      <c r="I1092" s="1003"/>
      <c r="J1092" s="1003"/>
      <c r="K1092" s="1003">
        <f t="shared" si="16"/>
        <v>29</v>
      </c>
      <c r="L1092" s="1004"/>
      <c r="M1092" s="1003"/>
      <c r="N1092" s="1003">
        <v>26</v>
      </c>
      <c r="O1092" s="1005">
        <v>32</v>
      </c>
    </row>
    <row r="1093" spans="1:15" collapsed="1" x14ac:dyDescent="0.2">
      <c r="A1093"/>
      <c r="B1093" s="1002">
        <v>96</v>
      </c>
      <c r="C1093" s="1003">
        <v>16</v>
      </c>
      <c r="D1093" s="1003">
        <v>12</v>
      </c>
      <c r="E1093" s="1003"/>
      <c r="F1093" s="1003"/>
      <c r="G1093" s="1003"/>
      <c r="H1093" s="1003"/>
      <c r="I1093" s="1003"/>
      <c r="J1093" s="1003"/>
      <c r="K1093" s="1003">
        <f t="shared" si="16"/>
        <v>28</v>
      </c>
      <c r="L1093" s="1004"/>
      <c r="M1093" s="1003"/>
      <c r="N1093" s="1003">
        <v>24</v>
      </c>
      <c r="O1093" s="1005">
        <v>32</v>
      </c>
    </row>
    <row r="1094" spans="1:15" collapsed="1" x14ac:dyDescent="0.2">
      <c r="A1094"/>
      <c r="B1094" s="1002">
        <v>96</v>
      </c>
      <c r="C1094" s="1003">
        <v>12</v>
      </c>
      <c r="D1094" s="1003">
        <v>15</v>
      </c>
      <c r="E1094" s="1003"/>
      <c r="F1094" s="1003"/>
      <c r="G1094" s="1003"/>
      <c r="H1094" s="1003"/>
      <c r="I1094" s="1003"/>
      <c r="J1094" s="1003"/>
      <c r="K1094" s="1003">
        <f t="shared" ref="K1094:K1157" si="17">SUM(C1094:J1094)</f>
        <v>27</v>
      </c>
      <c r="L1094" s="1004"/>
      <c r="M1094" s="1003"/>
      <c r="N1094" s="1003">
        <v>22</v>
      </c>
      <c r="O1094" s="1005">
        <v>32</v>
      </c>
    </row>
    <row r="1095" spans="1:15" collapsed="1" x14ac:dyDescent="0.2">
      <c r="A1095"/>
      <c r="B1095" s="1002">
        <v>96</v>
      </c>
      <c r="C1095" s="1003">
        <v>8</v>
      </c>
      <c r="D1095" s="1003">
        <v>18</v>
      </c>
      <c r="E1095" s="1003"/>
      <c r="F1095" s="1003"/>
      <c r="G1095" s="1003"/>
      <c r="H1095" s="1003"/>
      <c r="I1095" s="1003"/>
      <c r="J1095" s="1003"/>
      <c r="K1095" s="1003">
        <f t="shared" si="17"/>
        <v>26</v>
      </c>
      <c r="L1095" s="1004"/>
      <c r="M1095" s="1003"/>
      <c r="N1095" s="1003">
        <v>20</v>
      </c>
      <c r="O1095" s="1005">
        <v>32</v>
      </c>
    </row>
    <row r="1096" spans="1:15" collapsed="1" x14ac:dyDescent="0.2">
      <c r="A1096"/>
      <c r="B1096" s="1002">
        <v>96</v>
      </c>
      <c r="C1096" s="1003">
        <v>4</v>
      </c>
      <c r="D1096" s="1003">
        <v>21</v>
      </c>
      <c r="E1096" s="1003"/>
      <c r="F1096" s="1003"/>
      <c r="G1096" s="1003"/>
      <c r="H1096" s="1003"/>
      <c r="I1096" s="1003"/>
      <c r="J1096" s="1003"/>
      <c r="K1096" s="1003">
        <f t="shared" si="17"/>
        <v>25</v>
      </c>
      <c r="L1096" s="1004"/>
      <c r="M1096" s="1003"/>
      <c r="N1096" s="1003">
        <v>18</v>
      </c>
      <c r="O1096" s="1005">
        <v>32</v>
      </c>
    </row>
    <row r="1097" spans="1:15" collapsed="1" x14ac:dyDescent="0.2">
      <c r="A1097"/>
      <c r="B1097" s="1002">
        <v>96</v>
      </c>
      <c r="C1097" s="1003"/>
      <c r="D1097" s="1003">
        <v>24</v>
      </c>
      <c r="E1097" s="1003"/>
      <c r="F1097" s="1003"/>
      <c r="G1097" s="1003"/>
      <c r="H1097" s="1003"/>
      <c r="I1097" s="1003"/>
      <c r="J1097" s="1003"/>
      <c r="K1097" s="1003">
        <f t="shared" si="17"/>
        <v>24</v>
      </c>
      <c r="L1097" s="1004"/>
      <c r="M1097" s="1003"/>
      <c r="N1097" s="1003">
        <v>16</v>
      </c>
      <c r="O1097" s="1005">
        <v>32</v>
      </c>
    </row>
    <row r="1098" spans="1:15" collapsed="1" x14ac:dyDescent="0.2">
      <c r="A1098"/>
      <c r="B1098" s="1002">
        <v>96</v>
      </c>
      <c r="C1098" s="1003"/>
      <c r="D1098" s="1003">
        <v>19</v>
      </c>
      <c r="E1098" s="1003">
        <v>4</v>
      </c>
      <c r="F1098" s="1003"/>
      <c r="G1098" s="1003"/>
      <c r="H1098" s="1003"/>
      <c r="I1098" s="1003"/>
      <c r="J1098" s="1003"/>
      <c r="K1098" s="1003">
        <f t="shared" si="17"/>
        <v>23</v>
      </c>
      <c r="L1098" s="1004"/>
      <c r="M1098" s="1003"/>
      <c r="N1098" s="1003">
        <v>14</v>
      </c>
      <c r="O1098" s="1005">
        <v>32</v>
      </c>
    </row>
    <row r="1099" spans="1:15" collapsed="1" x14ac:dyDescent="0.2">
      <c r="A1099"/>
      <c r="B1099" s="1002">
        <v>96</v>
      </c>
      <c r="C1099" s="1003"/>
      <c r="D1099" s="1003">
        <v>14</v>
      </c>
      <c r="E1099" s="1003">
        <v>8</v>
      </c>
      <c r="F1099" s="1003"/>
      <c r="G1099" s="1003"/>
      <c r="H1099" s="1003"/>
      <c r="I1099" s="1003"/>
      <c r="J1099" s="1003"/>
      <c r="K1099" s="1003">
        <f t="shared" si="17"/>
        <v>22</v>
      </c>
      <c r="L1099" s="1004"/>
      <c r="M1099" s="1003"/>
      <c r="N1099" s="1003">
        <v>12</v>
      </c>
      <c r="O1099" s="1005">
        <v>32</v>
      </c>
    </row>
    <row r="1100" spans="1:15" collapsed="1" x14ac:dyDescent="0.2">
      <c r="A1100"/>
      <c r="B1100" s="1002">
        <v>96</v>
      </c>
      <c r="C1100" s="1003"/>
      <c r="D1100" s="1003">
        <v>9</v>
      </c>
      <c r="E1100" s="1003">
        <v>12</v>
      </c>
      <c r="F1100" s="1003"/>
      <c r="G1100" s="1003"/>
      <c r="H1100" s="1003"/>
      <c r="I1100" s="1003"/>
      <c r="J1100" s="1003"/>
      <c r="K1100" s="1003">
        <f t="shared" si="17"/>
        <v>21</v>
      </c>
      <c r="L1100" s="1004"/>
      <c r="M1100" s="1003"/>
      <c r="N1100" s="1003">
        <v>10</v>
      </c>
      <c r="O1100" s="1005">
        <v>32</v>
      </c>
    </row>
    <row r="1101" spans="1:15" collapsed="1" x14ac:dyDescent="0.2">
      <c r="A1101"/>
      <c r="B1101" s="1002">
        <v>96</v>
      </c>
      <c r="C1101" s="1003"/>
      <c r="D1101" s="1003">
        <v>4</v>
      </c>
      <c r="E1101" s="1003">
        <v>16</v>
      </c>
      <c r="F1101" s="1003"/>
      <c r="G1101" s="1003"/>
      <c r="H1101" s="1003"/>
      <c r="I1101" s="1003"/>
      <c r="J1101" s="1003"/>
      <c r="K1101" s="1003">
        <f t="shared" si="17"/>
        <v>20</v>
      </c>
      <c r="L1101" s="1004"/>
      <c r="M1101" s="1003"/>
      <c r="N1101" s="1003">
        <v>8</v>
      </c>
      <c r="O1101" s="1005">
        <v>32</v>
      </c>
    </row>
    <row r="1102" spans="1:15" collapsed="1" x14ac:dyDescent="0.2">
      <c r="A1102"/>
      <c r="B1102" s="1002">
        <v>96</v>
      </c>
      <c r="C1102" s="1003"/>
      <c r="D1102" s="1003"/>
      <c r="E1102" s="1003">
        <v>18</v>
      </c>
      <c r="F1102" s="1003">
        <v>1</v>
      </c>
      <c r="G1102" s="1003"/>
      <c r="H1102" s="1003"/>
      <c r="I1102" s="1003"/>
      <c r="J1102" s="1003"/>
      <c r="K1102" s="1003">
        <f t="shared" si="17"/>
        <v>19</v>
      </c>
      <c r="L1102" s="1004"/>
      <c r="M1102" s="1003"/>
      <c r="N1102" s="1003">
        <v>6</v>
      </c>
      <c r="O1102" s="1005">
        <v>32</v>
      </c>
    </row>
    <row r="1103" spans="1:15" collapsed="1" x14ac:dyDescent="0.2">
      <c r="A1103"/>
      <c r="B1103" s="1002">
        <v>96</v>
      </c>
      <c r="C1103" s="1003"/>
      <c r="D1103" s="1003"/>
      <c r="E1103" s="1003">
        <v>12</v>
      </c>
      <c r="F1103" s="1003">
        <v>6</v>
      </c>
      <c r="G1103" s="1003"/>
      <c r="H1103" s="1003"/>
      <c r="I1103" s="1003"/>
      <c r="J1103" s="1003"/>
      <c r="K1103" s="1003">
        <f t="shared" si="17"/>
        <v>18</v>
      </c>
      <c r="L1103" s="1004"/>
      <c r="M1103" s="1003"/>
      <c r="N1103" s="1003">
        <v>4</v>
      </c>
      <c r="O1103" s="1005">
        <v>32</v>
      </c>
    </row>
    <row r="1104" spans="1:15" collapsed="1" x14ac:dyDescent="0.2">
      <c r="A1104"/>
      <c r="B1104" s="1002">
        <v>96</v>
      </c>
      <c r="C1104" s="1003"/>
      <c r="D1104" s="1003"/>
      <c r="E1104" s="1003">
        <v>6</v>
      </c>
      <c r="F1104" s="1003">
        <v>11</v>
      </c>
      <c r="G1104" s="1003"/>
      <c r="H1104" s="1003"/>
      <c r="I1104" s="1003"/>
      <c r="J1104" s="1003"/>
      <c r="K1104" s="1003">
        <f t="shared" si="17"/>
        <v>17</v>
      </c>
      <c r="L1104" s="1004"/>
      <c r="M1104" s="1003"/>
      <c r="N1104" s="1003">
        <v>2</v>
      </c>
      <c r="O1104" s="1005">
        <v>32</v>
      </c>
    </row>
    <row r="1105" spans="1:15" collapsed="1" x14ac:dyDescent="0.2">
      <c r="A1105"/>
      <c r="B1105" s="1002">
        <v>96</v>
      </c>
      <c r="C1105" s="1003"/>
      <c r="D1105" s="1003"/>
      <c r="E1105" s="1003"/>
      <c r="F1105" s="1003">
        <v>16</v>
      </c>
      <c r="G1105" s="1003"/>
      <c r="H1105" s="1003"/>
      <c r="I1105" s="1003"/>
      <c r="J1105" s="1003"/>
      <c r="K1105" s="1003">
        <f t="shared" si="17"/>
        <v>16</v>
      </c>
      <c r="L1105" s="1004"/>
      <c r="M1105" s="1003"/>
      <c r="N1105" s="1003"/>
      <c r="O1105" s="1005">
        <v>32</v>
      </c>
    </row>
    <row r="1106" spans="1:15" collapsed="1" x14ac:dyDescent="0.2">
      <c r="A1106"/>
      <c r="B1106" s="1002">
        <v>96</v>
      </c>
      <c r="C1106" s="1003"/>
      <c r="D1106" s="1003"/>
      <c r="E1106" s="1003"/>
      <c r="F1106" s="1003">
        <v>10</v>
      </c>
      <c r="G1106" s="1003">
        <v>5</v>
      </c>
      <c r="H1106" s="1003"/>
      <c r="I1106" s="1003"/>
      <c r="J1106" s="1003"/>
      <c r="K1106" s="1003">
        <f t="shared" si="17"/>
        <v>15</v>
      </c>
      <c r="L1106" s="1004"/>
      <c r="M1106" s="1003"/>
      <c r="N1106" s="1003">
        <v>14</v>
      </c>
      <c r="O1106" s="1005">
        <v>16</v>
      </c>
    </row>
    <row r="1107" spans="1:15" x14ac:dyDescent="0.2">
      <c r="A1107"/>
      <c r="B1107" s="1002">
        <v>96</v>
      </c>
      <c r="C1107" s="1003"/>
      <c r="D1107" s="1003"/>
      <c r="E1107" s="1003"/>
      <c r="F1107" s="1003">
        <v>2</v>
      </c>
      <c r="G1107" s="1003">
        <v>12</v>
      </c>
      <c r="H1107" s="1003"/>
      <c r="I1107" s="1003"/>
      <c r="J1107" s="1003"/>
      <c r="K1107" s="1003">
        <f t="shared" si="17"/>
        <v>14</v>
      </c>
      <c r="L1107" s="1004"/>
      <c r="M1107" s="1003"/>
      <c r="N1107" s="1003">
        <v>12</v>
      </c>
      <c r="O1107" s="1005">
        <v>16</v>
      </c>
    </row>
    <row r="1108" spans="1:15" collapsed="1" x14ac:dyDescent="0.2">
      <c r="A1108"/>
      <c r="B1108" s="1002">
        <v>96</v>
      </c>
      <c r="C1108" s="1003"/>
      <c r="D1108" s="1003"/>
      <c r="E1108" s="1003"/>
      <c r="F1108" s="1003"/>
      <c r="G1108" s="1003">
        <v>8</v>
      </c>
      <c r="H1108" s="1003">
        <v>5</v>
      </c>
      <c r="I1108" s="1003"/>
      <c r="J1108" s="1003"/>
      <c r="K1108" s="1003">
        <f t="shared" si="17"/>
        <v>13</v>
      </c>
      <c r="L1108" s="1004"/>
      <c r="M1108" s="1003"/>
      <c r="N1108" s="1003">
        <v>10</v>
      </c>
      <c r="O1108" s="1005">
        <v>16</v>
      </c>
    </row>
    <row r="1109" spans="1:15" collapsed="1" x14ac:dyDescent="0.2">
      <c r="A1109"/>
      <c r="B1109" s="1002">
        <v>96</v>
      </c>
      <c r="C1109" s="1003"/>
      <c r="D1109" s="1003"/>
      <c r="E1109" s="1003"/>
      <c r="F1109" s="1003"/>
      <c r="G1109" s="1003"/>
      <c r="H1109" s="1003">
        <v>12</v>
      </c>
      <c r="I1109" s="1003"/>
      <c r="J1109" s="1003"/>
      <c r="K1109" s="1003">
        <f t="shared" si="17"/>
        <v>12</v>
      </c>
      <c r="L1109" s="1004"/>
      <c r="M1109" s="1003"/>
      <c r="N1109" s="1003">
        <v>8</v>
      </c>
      <c r="O1109" s="1005">
        <v>16</v>
      </c>
    </row>
    <row r="1110" spans="1:15" x14ac:dyDescent="0.2">
      <c r="A1110"/>
      <c r="B1110" s="1002">
        <v>96</v>
      </c>
      <c r="C1110" s="1003"/>
      <c r="D1110" s="1003"/>
      <c r="E1110" s="1003"/>
      <c r="F1110" s="1003"/>
      <c r="G1110" s="1003"/>
      <c r="H1110" s="1003">
        <v>3</v>
      </c>
      <c r="I1110" s="1003">
        <v>8</v>
      </c>
      <c r="J1110" s="1003"/>
      <c r="K1110" s="1003">
        <f t="shared" si="17"/>
        <v>11</v>
      </c>
      <c r="L1110" s="1004"/>
      <c r="M1110" s="1003"/>
      <c r="N1110" s="1003">
        <v>6</v>
      </c>
      <c r="O1110" s="1005">
        <v>16</v>
      </c>
    </row>
    <row r="1111" spans="1:15" collapsed="1" x14ac:dyDescent="0.2">
      <c r="A1111"/>
      <c r="B1111" s="1002">
        <v>96</v>
      </c>
      <c r="C1111" s="1003"/>
      <c r="D1111" s="1003"/>
      <c r="E1111" s="1003"/>
      <c r="F1111" s="1003"/>
      <c r="G1111" s="1003"/>
      <c r="H1111" s="1003"/>
      <c r="I1111" s="1003">
        <v>4</v>
      </c>
      <c r="J1111" s="1003">
        <v>6</v>
      </c>
      <c r="K1111" s="1003">
        <f t="shared" si="17"/>
        <v>10</v>
      </c>
      <c r="L1111" s="1004"/>
      <c r="M1111" s="1003"/>
      <c r="N1111" s="1003">
        <v>4</v>
      </c>
      <c r="O1111" s="1005">
        <v>16</v>
      </c>
    </row>
    <row r="1112" spans="1:15" collapsed="1" x14ac:dyDescent="0.2">
      <c r="A1112"/>
      <c r="B1112" s="1002">
        <v>97</v>
      </c>
      <c r="C1112" s="1003">
        <v>32</v>
      </c>
      <c r="D1112" s="1003"/>
      <c r="E1112" s="1003"/>
      <c r="F1112" s="1003"/>
      <c r="G1112" s="1003"/>
      <c r="H1112" s="1003"/>
      <c r="I1112" s="1003"/>
      <c r="J1112" s="1003"/>
      <c r="K1112" s="1003">
        <f t="shared" si="17"/>
        <v>32</v>
      </c>
      <c r="L1112" s="1004"/>
      <c r="M1112" s="1003">
        <v>1</v>
      </c>
      <c r="N1112" s="1003">
        <v>1</v>
      </c>
      <c r="O1112" s="1005">
        <v>64</v>
      </c>
    </row>
    <row r="1113" spans="1:15" collapsed="1" x14ac:dyDescent="0.2">
      <c r="A1113"/>
      <c r="B1113" s="1002">
        <v>97</v>
      </c>
      <c r="C1113" s="1003">
        <v>31</v>
      </c>
      <c r="D1113" s="1003">
        <v>1</v>
      </c>
      <c r="E1113" s="1003"/>
      <c r="F1113" s="1003"/>
      <c r="G1113" s="1003"/>
      <c r="H1113" s="1003"/>
      <c r="I1113" s="1003"/>
      <c r="J1113" s="1003"/>
      <c r="K1113" s="1003">
        <f t="shared" si="17"/>
        <v>32</v>
      </c>
      <c r="L1113" s="1004"/>
      <c r="M1113" s="1003"/>
      <c r="N1113" s="1003"/>
      <c r="O1113" s="1005">
        <v>64</v>
      </c>
    </row>
    <row r="1114" spans="1:15" collapsed="1" x14ac:dyDescent="0.2">
      <c r="A1114"/>
      <c r="B1114" s="1002">
        <v>97</v>
      </c>
      <c r="C1114" s="1003">
        <v>27</v>
      </c>
      <c r="D1114" s="1003">
        <v>4</v>
      </c>
      <c r="E1114" s="1003"/>
      <c r="F1114" s="1003"/>
      <c r="G1114" s="1003"/>
      <c r="H1114" s="1003"/>
      <c r="I1114" s="1003"/>
      <c r="J1114" s="1003"/>
      <c r="K1114" s="1003">
        <f t="shared" si="17"/>
        <v>31</v>
      </c>
      <c r="L1114" s="1004"/>
      <c r="M1114" s="1003"/>
      <c r="N1114" s="1003">
        <v>30</v>
      </c>
      <c r="O1114" s="1005">
        <v>32</v>
      </c>
    </row>
    <row r="1115" spans="1:15" collapsed="1" x14ac:dyDescent="0.2">
      <c r="A1115"/>
      <c r="B1115" s="1002">
        <v>97</v>
      </c>
      <c r="C1115" s="1003">
        <v>23</v>
      </c>
      <c r="D1115" s="1003">
        <v>7</v>
      </c>
      <c r="E1115" s="1003"/>
      <c r="F1115" s="1003"/>
      <c r="G1115" s="1003"/>
      <c r="H1115" s="1003"/>
      <c r="I1115" s="1003"/>
      <c r="J1115" s="1003"/>
      <c r="K1115" s="1003">
        <f t="shared" si="17"/>
        <v>30</v>
      </c>
      <c r="L1115" s="1004"/>
      <c r="M1115" s="1003"/>
      <c r="N1115" s="1003">
        <v>28</v>
      </c>
      <c r="O1115" s="1005">
        <v>32</v>
      </c>
    </row>
    <row r="1116" spans="1:15" collapsed="1" x14ac:dyDescent="0.2">
      <c r="A1116"/>
      <c r="B1116" s="1002">
        <v>97</v>
      </c>
      <c r="C1116" s="1003">
        <v>19</v>
      </c>
      <c r="D1116" s="1003">
        <v>10</v>
      </c>
      <c r="E1116" s="1003"/>
      <c r="F1116" s="1003"/>
      <c r="G1116" s="1003"/>
      <c r="H1116" s="1003"/>
      <c r="I1116" s="1003"/>
      <c r="J1116" s="1003"/>
      <c r="K1116" s="1003">
        <f t="shared" si="17"/>
        <v>29</v>
      </c>
      <c r="L1116" s="1004"/>
      <c r="M1116" s="1003"/>
      <c r="N1116" s="1003">
        <v>26</v>
      </c>
      <c r="O1116" s="1005">
        <v>32</v>
      </c>
    </row>
    <row r="1117" spans="1:15" collapsed="1" x14ac:dyDescent="0.2">
      <c r="A1117"/>
      <c r="B1117" s="1002">
        <v>97</v>
      </c>
      <c r="C1117" s="1003">
        <v>15</v>
      </c>
      <c r="D1117" s="1003">
        <v>13</v>
      </c>
      <c r="E1117" s="1003"/>
      <c r="F1117" s="1003"/>
      <c r="G1117" s="1003"/>
      <c r="H1117" s="1003"/>
      <c r="I1117" s="1003"/>
      <c r="J1117" s="1003"/>
      <c r="K1117" s="1003">
        <f t="shared" si="17"/>
        <v>28</v>
      </c>
      <c r="L1117" s="1004"/>
      <c r="M1117" s="1003"/>
      <c r="N1117" s="1003">
        <v>24</v>
      </c>
      <c r="O1117" s="1005">
        <v>32</v>
      </c>
    </row>
    <row r="1118" spans="1:15" collapsed="1" x14ac:dyDescent="0.2">
      <c r="A1118"/>
      <c r="B1118" s="1002">
        <v>97</v>
      </c>
      <c r="C1118" s="1003">
        <v>11</v>
      </c>
      <c r="D1118" s="1003">
        <v>16</v>
      </c>
      <c r="E1118" s="1003"/>
      <c r="F1118" s="1003"/>
      <c r="G1118" s="1003"/>
      <c r="H1118" s="1003"/>
      <c r="I1118" s="1003"/>
      <c r="J1118" s="1003"/>
      <c r="K1118" s="1003">
        <f t="shared" si="17"/>
        <v>27</v>
      </c>
      <c r="L1118" s="1004"/>
      <c r="M1118" s="1003"/>
      <c r="N1118" s="1003">
        <v>22</v>
      </c>
      <c r="O1118" s="1005">
        <v>32</v>
      </c>
    </row>
    <row r="1119" spans="1:15" collapsed="1" x14ac:dyDescent="0.2">
      <c r="A1119"/>
      <c r="B1119" s="1002">
        <v>97</v>
      </c>
      <c r="C1119" s="1003">
        <v>7</v>
      </c>
      <c r="D1119" s="1003">
        <v>19</v>
      </c>
      <c r="E1119" s="1003"/>
      <c r="F1119" s="1003"/>
      <c r="G1119" s="1003"/>
      <c r="H1119" s="1003"/>
      <c r="I1119" s="1003"/>
      <c r="J1119" s="1003"/>
      <c r="K1119" s="1003">
        <f t="shared" si="17"/>
        <v>26</v>
      </c>
      <c r="L1119" s="1004"/>
      <c r="M1119" s="1003"/>
      <c r="N1119" s="1003">
        <v>20</v>
      </c>
      <c r="O1119" s="1005">
        <v>32</v>
      </c>
    </row>
    <row r="1120" spans="1:15" collapsed="1" x14ac:dyDescent="0.2">
      <c r="A1120"/>
      <c r="B1120" s="1002">
        <v>97</v>
      </c>
      <c r="C1120" s="1003">
        <v>3</v>
      </c>
      <c r="D1120" s="1003">
        <v>22</v>
      </c>
      <c r="E1120" s="1003"/>
      <c r="F1120" s="1003"/>
      <c r="G1120" s="1003"/>
      <c r="H1120" s="1003"/>
      <c r="I1120" s="1003"/>
      <c r="J1120" s="1003"/>
      <c r="K1120" s="1003">
        <f t="shared" si="17"/>
        <v>25</v>
      </c>
      <c r="L1120" s="1004"/>
      <c r="M1120" s="1003"/>
      <c r="N1120" s="1003">
        <v>18</v>
      </c>
      <c r="O1120" s="1005">
        <v>32</v>
      </c>
    </row>
    <row r="1121" spans="1:15" collapsed="1" x14ac:dyDescent="0.2">
      <c r="A1121"/>
      <c r="B1121" s="1002">
        <v>97</v>
      </c>
      <c r="C1121" s="1003"/>
      <c r="D1121" s="1003">
        <v>23</v>
      </c>
      <c r="E1121" s="1003">
        <v>1</v>
      </c>
      <c r="F1121" s="1003"/>
      <c r="G1121" s="1003"/>
      <c r="H1121" s="1003"/>
      <c r="I1121" s="1003"/>
      <c r="J1121" s="1003"/>
      <c r="K1121" s="1003">
        <f t="shared" si="17"/>
        <v>24</v>
      </c>
      <c r="L1121" s="1004"/>
      <c r="M1121" s="1003"/>
      <c r="N1121" s="1003">
        <v>16</v>
      </c>
      <c r="O1121" s="1005">
        <v>32</v>
      </c>
    </row>
    <row r="1122" spans="1:15" collapsed="1" x14ac:dyDescent="0.2">
      <c r="A1122"/>
      <c r="B1122" s="1002">
        <v>97</v>
      </c>
      <c r="C1122" s="1003"/>
      <c r="D1122" s="1003">
        <v>18</v>
      </c>
      <c r="E1122" s="1003">
        <v>5</v>
      </c>
      <c r="F1122" s="1003"/>
      <c r="G1122" s="1003"/>
      <c r="H1122" s="1003"/>
      <c r="I1122" s="1003"/>
      <c r="J1122" s="1003"/>
      <c r="K1122" s="1003">
        <f t="shared" si="17"/>
        <v>23</v>
      </c>
      <c r="L1122" s="1004"/>
      <c r="M1122" s="1003"/>
      <c r="N1122" s="1003">
        <v>14</v>
      </c>
      <c r="O1122" s="1005">
        <v>32</v>
      </c>
    </row>
    <row r="1123" spans="1:15" collapsed="1" x14ac:dyDescent="0.2">
      <c r="A1123"/>
      <c r="B1123" s="1002">
        <v>97</v>
      </c>
      <c r="C1123" s="1003"/>
      <c r="D1123" s="1003">
        <v>13</v>
      </c>
      <c r="E1123" s="1003">
        <v>9</v>
      </c>
      <c r="F1123" s="1003"/>
      <c r="G1123" s="1003"/>
      <c r="H1123" s="1003"/>
      <c r="I1123" s="1003"/>
      <c r="J1123" s="1003"/>
      <c r="K1123" s="1003">
        <f t="shared" si="17"/>
        <v>22</v>
      </c>
      <c r="L1123" s="1004"/>
      <c r="M1123" s="1003"/>
      <c r="N1123" s="1003">
        <v>12</v>
      </c>
      <c r="O1123" s="1005">
        <v>32</v>
      </c>
    </row>
    <row r="1124" spans="1:15" collapsed="1" x14ac:dyDescent="0.2">
      <c r="A1124"/>
      <c r="B1124" s="1002">
        <v>97</v>
      </c>
      <c r="C1124" s="1003"/>
      <c r="D1124" s="1003">
        <v>8</v>
      </c>
      <c r="E1124" s="1003">
        <v>13</v>
      </c>
      <c r="F1124" s="1003"/>
      <c r="G1124" s="1003"/>
      <c r="H1124" s="1003"/>
      <c r="I1124" s="1003"/>
      <c r="J1124" s="1003"/>
      <c r="K1124" s="1003">
        <f t="shared" si="17"/>
        <v>21</v>
      </c>
      <c r="L1124" s="1004"/>
      <c r="M1124" s="1003"/>
      <c r="N1124" s="1003">
        <v>10</v>
      </c>
      <c r="O1124" s="1005">
        <v>32</v>
      </c>
    </row>
    <row r="1125" spans="1:15" collapsed="1" x14ac:dyDescent="0.2">
      <c r="A1125"/>
      <c r="B1125" s="1002">
        <v>97</v>
      </c>
      <c r="C1125" s="1003"/>
      <c r="D1125" s="1003">
        <v>3</v>
      </c>
      <c r="E1125" s="1003">
        <v>17</v>
      </c>
      <c r="F1125" s="1003"/>
      <c r="G1125" s="1003"/>
      <c r="H1125" s="1003"/>
      <c r="I1125" s="1003"/>
      <c r="J1125" s="1003"/>
      <c r="K1125" s="1003">
        <f t="shared" si="17"/>
        <v>20</v>
      </c>
      <c r="L1125" s="1004"/>
      <c r="M1125" s="1003"/>
      <c r="N1125" s="1003">
        <v>8</v>
      </c>
      <c r="O1125" s="1005">
        <v>32</v>
      </c>
    </row>
    <row r="1126" spans="1:15" collapsed="1" x14ac:dyDescent="0.2">
      <c r="A1126"/>
      <c r="B1126" s="1002">
        <v>97</v>
      </c>
      <c r="C1126" s="1003"/>
      <c r="D1126" s="1003"/>
      <c r="E1126" s="1003">
        <v>17</v>
      </c>
      <c r="F1126" s="1003">
        <v>2</v>
      </c>
      <c r="G1126" s="1003"/>
      <c r="H1126" s="1003"/>
      <c r="I1126" s="1003"/>
      <c r="J1126" s="1003"/>
      <c r="K1126" s="1003">
        <f t="shared" si="17"/>
        <v>19</v>
      </c>
      <c r="L1126" s="1004"/>
      <c r="M1126" s="1003"/>
      <c r="N1126" s="1003">
        <v>6</v>
      </c>
      <c r="O1126" s="1005">
        <v>32</v>
      </c>
    </row>
    <row r="1127" spans="1:15" collapsed="1" x14ac:dyDescent="0.2">
      <c r="A1127"/>
      <c r="B1127" s="1002">
        <v>97</v>
      </c>
      <c r="C1127" s="1003"/>
      <c r="D1127" s="1003"/>
      <c r="E1127" s="1003">
        <v>11</v>
      </c>
      <c r="F1127" s="1003">
        <v>7</v>
      </c>
      <c r="G1127" s="1003"/>
      <c r="H1127" s="1003"/>
      <c r="I1127" s="1003"/>
      <c r="J1127" s="1003"/>
      <c r="K1127" s="1003">
        <f t="shared" si="17"/>
        <v>18</v>
      </c>
      <c r="L1127" s="1004"/>
      <c r="M1127" s="1003"/>
      <c r="N1127" s="1003">
        <v>4</v>
      </c>
      <c r="O1127" s="1005">
        <v>32</v>
      </c>
    </row>
    <row r="1128" spans="1:15" collapsed="1" x14ac:dyDescent="0.2">
      <c r="A1128"/>
      <c r="B1128" s="1002">
        <v>97</v>
      </c>
      <c r="C1128" s="1003"/>
      <c r="D1128" s="1003"/>
      <c r="E1128" s="1003">
        <v>5</v>
      </c>
      <c r="F1128" s="1003">
        <v>12</v>
      </c>
      <c r="G1128" s="1003"/>
      <c r="H1128" s="1003"/>
      <c r="I1128" s="1003"/>
      <c r="J1128" s="1003"/>
      <c r="K1128" s="1003">
        <f t="shared" si="17"/>
        <v>17</v>
      </c>
      <c r="L1128" s="1004"/>
      <c r="M1128" s="1003"/>
      <c r="N1128" s="1003">
        <v>2</v>
      </c>
      <c r="O1128" s="1005">
        <v>32</v>
      </c>
    </row>
    <row r="1129" spans="1:15" collapsed="1" x14ac:dyDescent="0.2">
      <c r="A1129"/>
      <c r="B1129" s="1002">
        <v>97</v>
      </c>
      <c r="C1129" s="1003"/>
      <c r="D1129" s="1003"/>
      <c r="E1129" s="1003"/>
      <c r="F1129" s="1003">
        <v>15</v>
      </c>
      <c r="G1129" s="1003">
        <v>1</v>
      </c>
      <c r="H1129" s="1003"/>
      <c r="I1129" s="1003"/>
      <c r="J1129" s="1003"/>
      <c r="K1129" s="1003">
        <f t="shared" si="17"/>
        <v>16</v>
      </c>
      <c r="L1129" s="1004"/>
      <c r="M1129" s="1003"/>
      <c r="N1129" s="1003"/>
      <c r="O1129" s="1005">
        <v>32</v>
      </c>
    </row>
    <row r="1130" spans="1:15" collapsed="1" x14ac:dyDescent="0.2">
      <c r="A1130"/>
      <c r="B1130" s="1002">
        <v>97</v>
      </c>
      <c r="C1130" s="1003"/>
      <c r="D1130" s="1003"/>
      <c r="E1130" s="1003"/>
      <c r="F1130" s="1003">
        <v>9</v>
      </c>
      <c r="G1130" s="1003">
        <v>6</v>
      </c>
      <c r="H1130" s="1003"/>
      <c r="I1130" s="1003"/>
      <c r="J1130" s="1003"/>
      <c r="K1130" s="1003">
        <f t="shared" si="17"/>
        <v>15</v>
      </c>
      <c r="L1130" s="1004"/>
      <c r="M1130" s="1003"/>
      <c r="N1130" s="1003">
        <v>14</v>
      </c>
      <c r="O1130" s="1005">
        <v>16</v>
      </c>
    </row>
    <row r="1131" spans="1:15" x14ac:dyDescent="0.2">
      <c r="A1131"/>
      <c r="B1131" s="1002">
        <v>97</v>
      </c>
      <c r="C1131" s="1003"/>
      <c r="D1131" s="1003"/>
      <c r="E1131" s="1003"/>
      <c r="F1131" s="1003">
        <v>1</v>
      </c>
      <c r="G1131" s="1003">
        <v>13</v>
      </c>
      <c r="H1131" s="1003"/>
      <c r="I1131" s="1003"/>
      <c r="J1131" s="1003"/>
      <c r="K1131" s="1003">
        <f t="shared" si="17"/>
        <v>14</v>
      </c>
      <c r="L1131" s="1004"/>
      <c r="M1131" s="1003"/>
      <c r="N1131" s="1003">
        <v>12</v>
      </c>
      <c r="O1131" s="1005">
        <v>16</v>
      </c>
    </row>
    <row r="1132" spans="1:15" collapsed="1" x14ac:dyDescent="0.2">
      <c r="A1132"/>
      <c r="B1132" s="1002">
        <v>97</v>
      </c>
      <c r="C1132" s="1003"/>
      <c r="D1132" s="1003"/>
      <c r="E1132" s="1003"/>
      <c r="F1132" s="1003"/>
      <c r="G1132" s="1003">
        <v>7</v>
      </c>
      <c r="H1132" s="1003">
        <v>6</v>
      </c>
      <c r="I1132" s="1003"/>
      <c r="J1132" s="1003"/>
      <c r="K1132" s="1003">
        <f t="shared" si="17"/>
        <v>13</v>
      </c>
      <c r="L1132" s="1004"/>
      <c r="M1132" s="1003"/>
      <c r="N1132" s="1003">
        <v>10</v>
      </c>
      <c r="O1132" s="1005">
        <v>16</v>
      </c>
    </row>
    <row r="1133" spans="1:15" collapsed="1" x14ac:dyDescent="0.2">
      <c r="A1133"/>
      <c r="B1133" s="1002">
        <v>97</v>
      </c>
      <c r="C1133" s="1003"/>
      <c r="D1133" s="1003"/>
      <c r="E1133" s="1003"/>
      <c r="F1133" s="1003"/>
      <c r="G1133" s="1003"/>
      <c r="H1133" s="1003">
        <v>11</v>
      </c>
      <c r="I1133" s="1003">
        <v>1</v>
      </c>
      <c r="J1133" s="1003"/>
      <c r="K1133" s="1003">
        <f t="shared" si="17"/>
        <v>12</v>
      </c>
      <c r="L1133" s="1004"/>
      <c r="M1133" s="1003"/>
      <c r="N1133" s="1003">
        <v>8</v>
      </c>
      <c r="O1133" s="1005">
        <v>16</v>
      </c>
    </row>
    <row r="1134" spans="1:15" x14ac:dyDescent="0.2">
      <c r="A1134"/>
      <c r="B1134" s="1002">
        <v>97</v>
      </c>
      <c r="C1134" s="1003"/>
      <c r="D1134" s="1003"/>
      <c r="E1134" s="1003"/>
      <c r="F1134" s="1003"/>
      <c r="G1134" s="1003"/>
      <c r="H1134" s="1003">
        <v>2</v>
      </c>
      <c r="I1134" s="1003">
        <v>9</v>
      </c>
      <c r="J1134" s="1003"/>
      <c r="K1134" s="1003">
        <f t="shared" si="17"/>
        <v>11</v>
      </c>
      <c r="L1134" s="1004"/>
      <c r="M1134" s="1003"/>
      <c r="N1134" s="1003">
        <v>6</v>
      </c>
      <c r="O1134" s="1005">
        <v>16</v>
      </c>
    </row>
    <row r="1135" spans="1:15" collapsed="1" x14ac:dyDescent="0.2">
      <c r="A1135"/>
      <c r="B1135" s="1002">
        <v>97</v>
      </c>
      <c r="C1135" s="1003"/>
      <c r="D1135" s="1003"/>
      <c r="E1135" s="1003"/>
      <c r="F1135" s="1003"/>
      <c r="G1135" s="1003"/>
      <c r="H1135" s="1003"/>
      <c r="I1135" s="1003">
        <v>3</v>
      </c>
      <c r="J1135" s="1003">
        <v>7</v>
      </c>
      <c r="K1135" s="1003">
        <f t="shared" si="17"/>
        <v>10</v>
      </c>
      <c r="L1135" s="1004"/>
      <c r="M1135" s="1003"/>
      <c r="N1135" s="1003">
        <v>4</v>
      </c>
      <c r="O1135" s="1005">
        <v>16</v>
      </c>
    </row>
    <row r="1136" spans="1:15" collapsed="1" x14ac:dyDescent="0.2">
      <c r="A1136"/>
      <c r="B1136" s="1002">
        <v>98</v>
      </c>
      <c r="C1136" s="1003">
        <v>32</v>
      </c>
      <c r="D1136" s="1003"/>
      <c r="E1136" s="1003"/>
      <c r="F1136" s="1003"/>
      <c r="G1136" s="1003"/>
      <c r="H1136" s="1003"/>
      <c r="I1136" s="1003"/>
      <c r="J1136" s="1003"/>
      <c r="K1136" s="1003">
        <f t="shared" si="17"/>
        <v>32</v>
      </c>
      <c r="L1136" s="1004"/>
      <c r="M1136" s="1003">
        <v>2</v>
      </c>
      <c r="N1136" s="1003">
        <v>2</v>
      </c>
      <c r="O1136" s="1005">
        <v>64</v>
      </c>
    </row>
    <row r="1137" spans="1:15" collapsed="1" x14ac:dyDescent="0.2">
      <c r="A1137"/>
      <c r="B1137" s="1002">
        <v>98</v>
      </c>
      <c r="C1137" s="1003">
        <v>30</v>
      </c>
      <c r="D1137" s="1003">
        <v>2</v>
      </c>
      <c r="E1137" s="1003"/>
      <c r="F1137" s="1003"/>
      <c r="G1137" s="1003"/>
      <c r="H1137" s="1003"/>
      <c r="I1137" s="1003"/>
      <c r="J1137" s="1003"/>
      <c r="K1137" s="1003">
        <f t="shared" si="17"/>
        <v>32</v>
      </c>
      <c r="L1137" s="1004"/>
      <c r="M1137" s="1003"/>
      <c r="N1137" s="1003"/>
      <c r="O1137" s="1005">
        <v>64</v>
      </c>
    </row>
    <row r="1138" spans="1:15" collapsed="1" x14ac:dyDescent="0.2">
      <c r="A1138"/>
      <c r="B1138" s="1002">
        <v>98</v>
      </c>
      <c r="C1138" s="1003">
        <v>26</v>
      </c>
      <c r="D1138" s="1003">
        <v>5</v>
      </c>
      <c r="E1138" s="1003"/>
      <c r="F1138" s="1003"/>
      <c r="G1138" s="1003"/>
      <c r="H1138" s="1003"/>
      <c r="I1138" s="1003"/>
      <c r="J1138" s="1003"/>
      <c r="K1138" s="1003">
        <f t="shared" si="17"/>
        <v>31</v>
      </c>
      <c r="L1138" s="1004"/>
      <c r="M1138" s="1003"/>
      <c r="N1138" s="1003">
        <v>30</v>
      </c>
      <c r="O1138" s="1005">
        <v>32</v>
      </c>
    </row>
    <row r="1139" spans="1:15" collapsed="1" x14ac:dyDescent="0.2">
      <c r="A1139"/>
      <c r="B1139" s="1002">
        <v>98</v>
      </c>
      <c r="C1139" s="1003">
        <v>22</v>
      </c>
      <c r="D1139" s="1003">
        <v>8</v>
      </c>
      <c r="E1139" s="1003"/>
      <c r="F1139" s="1003"/>
      <c r="G1139" s="1003"/>
      <c r="H1139" s="1003"/>
      <c r="I1139" s="1003"/>
      <c r="J1139" s="1003"/>
      <c r="K1139" s="1003">
        <f t="shared" si="17"/>
        <v>30</v>
      </c>
      <c r="L1139" s="1004"/>
      <c r="M1139" s="1003"/>
      <c r="N1139" s="1003">
        <v>28</v>
      </c>
      <c r="O1139" s="1005">
        <v>32</v>
      </c>
    </row>
    <row r="1140" spans="1:15" collapsed="1" x14ac:dyDescent="0.2">
      <c r="A1140"/>
      <c r="B1140" s="1002">
        <v>98</v>
      </c>
      <c r="C1140" s="1003">
        <v>18</v>
      </c>
      <c r="D1140" s="1003">
        <v>11</v>
      </c>
      <c r="E1140" s="1003"/>
      <c r="F1140" s="1003"/>
      <c r="G1140" s="1003"/>
      <c r="H1140" s="1003"/>
      <c r="I1140" s="1003"/>
      <c r="J1140" s="1003"/>
      <c r="K1140" s="1003">
        <f t="shared" si="17"/>
        <v>29</v>
      </c>
      <c r="L1140" s="1004"/>
      <c r="M1140" s="1003"/>
      <c r="N1140" s="1003">
        <v>26</v>
      </c>
      <c r="O1140" s="1005">
        <v>32</v>
      </c>
    </row>
    <row r="1141" spans="1:15" collapsed="1" x14ac:dyDescent="0.2">
      <c r="A1141"/>
      <c r="B1141" s="1002">
        <v>98</v>
      </c>
      <c r="C1141" s="1003">
        <v>14</v>
      </c>
      <c r="D1141" s="1003">
        <v>14</v>
      </c>
      <c r="E1141" s="1003"/>
      <c r="F1141" s="1003"/>
      <c r="G1141" s="1003"/>
      <c r="H1141" s="1003"/>
      <c r="I1141" s="1003"/>
      <c r="J1141" s="1003"/>
      <c r="K1141" s="1003">
        <f t="shared" si="17"/>
        <v>28</v>
      </c>
      <c r="L1141" s="1004"/>
      <c r="M1141" s="1003"/>
      <c r="N1141" s="1003">
        <v>24</v>
      </c>
      <c r="O1141" s="1005">
        <v>32</v>
      </c>
    </row>
    <row r="1142" spans="1:15" collapsed="1" x14ac:dyDescent="0.2">
      <c r="A1142"/>
      <c r="B1142" s="1002">
        <v>98</v>
      </c>
      <c r="C1142" s="1003">
        <v>10</v>
      </c>
      <c r="D1142" s="1003">
        <v>17</v>
      </c>
      <c r="E1142" s="1003"/>
      <c r="F1142" s="1003"/>
      <c r="G1142" s="1003"/>
      <c r="H1142" s="1003"/>
      <c r="I1142" s="1003"/>
      <c r="J1142" s="1003"/>
      <c r="K1142" s="1003">
        <f t="shared" si="17"/>
        <v>27</v>
      </c>
      <c r="L1142" s="1004"/>
      <c r="M1142" s="1003"/>
      <c r="N1142" s="1003">
        <v>22</v>
      </c>
      <c r="O1142" s="1005">
        <v>32</v>
      </c>
    </row>
    <row r="1143" spans="1:15" collapsed="1" x14ac:dyDescent="0.2">
      <c r="A1143"/>
      <c r="B1143" s="1002">
        <v>98</v>
      </c>
      <c r="C1143" s="1003">
        <v>6</v>
      </c>
      <c r="D1143" s="1003">
        <v>20</v>
      </c>
      <c r="E1143" s="1003"/>
      <c r="F1143" s="1003"/>
      <c r="G1143" s="1003"/>
      <c r="H1143" s="1003"/>
      <c r="I1143" s="1003"/>
      <c r="J1143" s="1003"/>
      <c r="K1143" s="1003">
        <f t="shared" si="17"/>
        <v>26</v>
      </c>
      <c r="L1143" s="1004"/>
      <c r="M1143" s="1003"/>
      <c r="N1143" s="1003">
        <v>20</v>
      </c>
      <c r="O1143" s="1005">
        <v>32</v>
      </c>
    </row>
    <row r="1144" spans="1:15" collapsed="1" x14ac:dyDescent="0.2">
      <c r="A1144"/>
      <c r="B1144" s="1002">
        <v>98</v>
      </c>
      <c r="C1144" s="1003">
        <v>2</v>
      </c>
      <c r="D1144" s="1003">
        <v>23</v>
      </c>
      <c r="E1144" s="1003"/>
      <c r="F1144" s="1003"/>
      <c r="G1144" s="1003"/>
      <c r="H1144" s="1003"/>
      <c r="I1144" s="1003"/>
      <c r="J1144" s="1003"/>
      <c r="K1144" s="1003">
        <f t="shared" si="17"/>
        <v>25</v>
      </c>
      <c r="L1144" s="1004"/>
      <c r="M1144" s="1003"/>
      <c r="N1144" s="1003">
        <v>18</v>
      </c>
      <c r="O1144" s="1005">
        <v>32</v>
      </c>
    </row>
    <row r="1145" spans="1:15" collapsed="1" x14ac:dyDescent="0.2">
      <c r="A1145"/>
      <c r="B1145" s="1002">
        <v>98</v>
      </c>
      <c r="C1145" s="1003"/>
      <c r="D1145" s="1003">
        <v>22</v>
      </c>
      <c r="E1145" s="1003">
        <v>2</v>
      </c>
      <c r="F1145" s="1003"/>
      <c r="G1145" s="1003"/>
      <c r="H1145" s="1003"/>
      <c r="I1145" s="1003"/>
      <c r="J1145" s="1003"/>
      <c r="K1145" s="1003">
        <f t="shared" si="17"/>
        <v>24</v>
      </c>
      <c r="L1145" s="1004"/>
      <c r="M1145" s="1003"/>
      <c r="N1145" s="1003">
        <v>16</v>
      </c>
      <c r="O1145" s="1005">
        <v>32</v>
      </c>
    </row>
    <row r="1146" spans="1:15" collapsed="1" x14ac:dyDescent="0.2">
      <c r="A1146"/>
      <c r="B1146" s="1002">
        <v>98</v>
      </c>
      <c r="C1146" s="1003"/>
      <c r="D1146" s="1003">
        <v>17</v>
      </c>
      <c r="E1146" s="1003">
        <v>6</v>
      </c>
      <c r="F1146" s="1003"/>
      <c r="G1146" s="1003"/>
      <c r="H1146" s="1003"/>
      <c r="I1146" s="1003"/>
      <c r="J1146" s="1003"/>
      <c r="K1146" s="1003">
        <f t="shared" si="17"/>
        <v>23</v>
      </c>
      <c r="L1146" s="1004"/>
      <c r="M1146" s="1003"/>
      <c r="N1146" s="1003">
        <v>14</v>
      </c>
      <c r="O1146" s="1005">
        <v>32</v>
      </c>
    </row>
    <row r="1147" spans="1:15" collapsed="1" x14ac:dyDescent="0.2">
      <c r="A1147"/>
      <c r="B1147" s="1002">
        <v>98</v>
      </c>
      <c r="C1147" s="1003"/>
      <c r="D1147" s="1003">
        <v>12</v>
      </c>
      <c r="E1147" s="1003">
        <v>10</v>
      </c>
      <c r="F1147" s="1003"/>
      <c r="G1147" s="1003"/>
      <c r="H1147" s="1003"/>
      <c r="I1147" s="1003"/>
      <c r="J1147" s="1003"/>
      <c r="K1147" s="1003">
        <f t="shared" si="17"/>
        <v>22</v>
      </c>
      <c r="L1147" s="1004"/>
      <c r="M1147" s="1003"/>
      <c r="N1147" s="1003">
        <v>12</v>
      </c>
      <c r="O1147" s="1005">
        <v>32</v>
      </c>
    </row>
    <row r="1148" spans="1:15" collapsed="1" x14ac:dyDescent="0.2">
      <c r="A1148"/>
      <c r="B1148" s="1002">
        <v>98</v>
      </c>
      <c r="C1148" s="1003"/>
      <c r="D1148" s="1003">
        <v>7</v>
      </c>
      <c r="E1148" s="1003">
        <v>14</v>
      </c>
      <c r="F1148" s="1003"/>
      <c r="G1148" s="1003"/>
      <c r="H1148" s="1003"/>
      <c r="I1148" s="1003"/>
      <c r="J1148" s="1003"/>
      <c r="K1148" s="1003">
        <f t="shared" si="17"/>
        <v>21</v>
      </c>
      <c r="L1148" s="1004"/>
      <c r="M1148" s="1003"/>
      <c r="N1148" s="1003">
        <v>10</v>
      </c>
      <c r="O1148" s="1005">
        <v>32</v>
      </c>
    </row>
    <row r="1149" spans="1:15" collapsed="1" x14ac:dyDescent="0.2">
      <c r="A1149"/>
      <c r="B1149" s="1002">
        <v>98</v>
      </c>
      <c r="C1149" s="1003"/>
      <c r="D1149" s="1003">
        <v>2</v>
      </c>
      <c r="E1149" s="1003">
        <v>18</v>
      </c>
      <c r="F1149" s="1003"/>
      <c r="G1149" s="1003"/>
      <c r="H1149" s="1003"/>
      <c r="I1149" s="1003"/>
      <c r="J1149" s="1003"/>
      <c r="K1149" s="1003">
        <f t="shared" si="17"/>
        <v>20</v>
      </c>
      <c r="L1149" s="1004"/>
      <c r="M1149" s="1003"/>
      <c r="N1149" s="1003">
        <v>8</v>
      </c>
      <c r="O1149" s="1005">
        <v>32</v>
      </c>
    </row>
    <row r="1150" spans="1:15" collapsed="1" x14ac:dyDescent="0.2">
      <c r="A1150"/>
      <c r="B1150" s="1002">
        <v>98</v>
      </c>
      <c r="C1150" s="1003"/>
      <c r="D1150" s="1003"/>
      <c r="E1150" s="1003">
        <v>16</v>
      </c>
      <c r="F1150" s="1003">
        <v>3</v>
      </c>
      <c r="G1150" s="1003"/>
      <c r="H1150" s="1003"/>
      <c r="I1150" s="1003"/>
      <c r="J1150" s="1003"/>
      <c r="K1150" s="1003">
        <f t="shared" si="17"/>
        <v>19</v>
      </c>
      <c r="L1150" s="1004"/>
      <c r="M1150" s="1003"/>
      <c r="N1150" s="1003">
        <v>6</v>
      </c>
      <c r="O1150" s="1005">
        <v>32</v>
      </c>
    </row>
    <row r="1151" spans="1:15" collapsed="1" x14ac:dyDescent="0.2">
      <c r="A1151"/>
      <c r="B1151" s="1002">
        <v>98</v>
      </c>
      <c r="C1151" s="1003"/>
      <c r="D1151" s="1003"/>
      <c r="E1151" s="1003">
        <v>10</v>
      </c>
      <c r="F1151" s="1003">
        <v>8</v>
      </c>
      <c r="G1151" s="1003"/>
      <c r="H1151" s="1003"/>
      <c r="I1151" s="1003"/>
      <c r="J1151" s="1003"/>
      <c r="K1151" s="1003">
        <f t="shared" si="17"/>
        <v>18</v>
      </c>
      <c r="L1151" s="1004"/>
      <c r="M1151" s="1003"/>
      <c r="N1151" s="1003">
        <v>4</v>
      </c>
      <c r="O1151" s="1005">
        <v>32</v>
      </c>
    </row>
    <row r="1152" spans="1:15" collapsed="1" x14ac:dyDescent="0.2">
      <c r="A1152"/>
      <c r="B1152" s="1002">
        <v>98</v>
      </c>
      <c r="C1152" s="1003"/>
      <c r="D1152" s="1003"/>
      <c r="E1152" s="1003">
        <v>4</v>
      </c>
      <c r="F1152" s="1003">
        <v>13</v>
      </c>
      <c r="G1152" s="1003"/>
      <c r="H1152" s="1003"/>
      <c r="I1152" s="1003"/>
      <c r="J1152" s="1003"/>
      <c r="K1152" s="1003">
        <f t="shared" si="17"/>
        <v>17</v>
      </c>
      <c r="L1152" s="1004"/>
      <c r="M1152" s="1003"/>
      <c r="N1152" s="1003">
        <v>2</v>
      </c>
      <c r="O1152" s="1005">
        <v>32</v>
      </c>
    </row>
    <row r="1153" spans="1:15" collapsed="1" x14ac:dyDescent="0.2">
      <c r="A1153"/>
      <c r="B1153" s="1002">
        <v>98</v>
      </c>
      <c r="C1153" s="1003"/>
      <c r="D1153" s="1003"/>
      <c r="E1153" s="1003"/>
      <c r="F1153" s="1003">
        <v>14</v>
      </c>
      <c r="G1153" s="1003">
        <v>2</v>
      </c>
      <c r="H1153" s="1003"/>
      <c r="I1153" s="1003"/>
      <c r="J1153" s="1003"/>
      <c r="K1153" s="1003">
        <f t="shared" si="17"/>
        <v>16</v>
      </c>
      <c r="L1153" s="1004"/>
      <c r="M1153" s="1003"/>
      <c r="N1153" s="1003"/>
      <c r="O1153" s="1005">
        <v>32</v>
      </c>
    </row>
    <row r="1154" spans="1:15" collapsed="1" x14ac:dyDescent="0.2">
      <c r="A1154"/>
      <c r="B1154" s="1002">
        <v>98</v>
      </c>
      <c r="C1154" s="1003"/>
      <c r="D1154" s="1003"/>
      <c r="E1154" s="1003"/>
      <c r="F1154" s="1003">
        <v>8</v>
      </c>
      <c r="G1154" s="1003">
        <v>7</v>
      </c>
      <c r="H1154" s="1003"/>
      <c r="I1154" s="1003"/>
      <c r="J1154" s="1003"/>
      <c r="K1154" s="1003">
        <f t="shared" si="17"/>
        <v>15</v>
      </c>
      <c r="L1154" s="1004"/>
      <c r="M1154" s="1003"/>
      <c r="N1154" s="1003">
        <v>14</v>
      </c>
      <c r="O1154" s="1005">
        <v>16</v>
      </c>
    </row>
    <row r="1155" spans="1:15" x14ac:dyDescent="0.2">
      <c r="A1155"/>
      <c r="B1155" s="1002">
        <v>98</v>
      </c>
      <c r="C1155" s="1003"/>
      <c r="D1155" s="1003"/>
      <c r="E1155" s="1003"/>
      <c r="F1155" s="1003"/>
      <c r="G1155" s="1003">
        <v>14</v>
      </c>
      <c r="H1155" s="1003"/>
      <c r="I1155" s="1003"/>
      <c r="J1155" s="1003"/>
      <c r="K1155" s="1003">
        <f t="shared" si="17"/>
        <v>14</v>
      </c>
      <c r="L1155" s="1004"/>
      <c r="M1155" s="1003"/>
      <c r="N1155" s="1003">
        <v>12</v>
      </c>
      <c r="O1155" s="1005">
        <v>16</v>
      </c>
    </row>
    <row r="1156" spans="1:15" collapsed="1" x14ac:dyDescent="0.2">
      <c r="A1156"/>
      <c r="B1156" s="1002">
        <v>98</v>
      </c>
      <c r="C1156" s="1003"/>
      <c r="D1156" s="1003"/>
      <c r="E1156" s="1003"/>
      <c r="F1156" s="1003"/>
      <c r="G1156" s="1003">
        <v>6</v>
      </c>
      <c r="H1156" s="1003">
        <v>7</v>
      </c>
      <c r="I1156" s="1003"/>
      <c r="J1156" s="1003"/>
      <c r="K1156" s="1003">
        <f t="shared" si="17"/>
        <v>13</v>
      </c>
      <c r="L1156" s="1004"/>
      <c r="M1156" s="1003"/>
      <c r="N1156" s="1003">
        <v>10</v>
      </c>
      <c r="O1156" s="1005">
        <v>16</v>
      </c>
    </row>
    <row r="1157" spans="1:15" collapsed="1" x14ac:dyDescent="0.2">
      <c r="A1157"/>
      <c r="B1157" s="1002">
        <v>98</v>
      </c>
      <c r="C1157" s="1003"/>
      <c r="D1157" s="1003"/>
      <c r="E1157" s="1003"/>
      <c r="F1157" s="1003"/>
      <c r="G1157" s="1003"/>
      <c r="H1157" s="1003">
        <v>10</v>
      </c>
      <c r="I1157" s="1003">
        <v>2</v>
      </c>
      <c r="J1157" s="1003"/>
      <c r="K1157" s="1003">
        <f t="shared" si="17"/>
        <v>12</v>
      </c>
      <c r="L1157" s="1004"/>
      <c r="M1157" s="1003"/>
      <c r="N1157" s="1003">
        <v>8</v>
      </c>
      <c r="O1157" s="1005">
        <v>16</v>
      </c>
    </row>
    <row r="1158" spans="1:15" x14ac:dyDescent="0.2">
      <c r="A1158"/>
      <c r="B1158" s="1002">
        <v>98</v>
      </c>
      <c r="C1158" s="1003"/>
      <c r="D1158" s="1003"/>
      <c r="E1158" s="1003"/>
      <c r="F1158" s="1003"/>
      <c r="G1158" s="1003"/>
      <c r="H1158" s="1003">
        <v>1</v>
      </c>
      <c r="I1158" s="1003">
        <v>10</v>
      </c>
      <c r="J1158" s="1003"/>
      <c r="K1158" s="1003">
        <f t="shared" ref="K1158:K1221" si="18">SUM(C1158:J1158)</f>
        <v>11</v>
      </c>
      <c r="L1158" s="1004"/>
      <c r="M1158" s="1003"/>
      <c r="N1158" s="1003">
        <v>6</v>
      </c>
      <c r="O1158" s="1005">
        <v>16</v>
      </c>
    </row>
    <row r="1159" spans="1:15" collapsed="1" x14ac:dyDescent="0.2">
      <c r="A1159"/>
      <c r="B1159" s="1002">
        <v>98</v>
      </c>
      <c r="C1159" s="1003"/>
      <c r="D1159" s="1003"/>
      <c r="E1159" s="1003"/>
      <c r="F1159" s="1003"/>
      <c r="G1159" s="1003"/>
      <c r="H1159" s="1003"/>
      <c r="I1159" s="1003">
        <v>2</v>
      </c>
      <c r="J1159" s="1003">
        <v>8</v>
      </c>
      <c r="K1159" s="1003">
        <f t="shared" si="18"/>
        <v>10</v>
      </c>
      <c r="L1159" s="1004"/>
      <c r="M1159" s="1003"/>
      <c r="N1159" s="1003">
        <v>4</v>
      </c>
      <c r="O1159" s="1005">
        <v>16</v>
      </c>
    </row>
    <row r="1160" spans="1:15" collapsed="1" x14ac:dyDescent="0.2">
      <c r="A1160"/>
      <c r="B1160" s="1002">
        <v>99</v>
      </c>
      <c r="C1160" s="1003">
        <v>33</v>
      </c>
      <c r="D1160" s="1003"/>
      <c r="E1160" s="1003"/>
      <c r="F1160" s="1003"/>
      <c r="G1160" s="1003"/>
      <c r="H1160" s="1003"/>
      <c r="I1160" s="1003"/>
      <c r="J1160" s="1003"/>
      <c r="K1160" s="1003">
        <f t="shared" si="18"/>
        <v>33</v>
      </c>
      <c r="L1160" s="1004"/>
      <c r="M1160" s="1003">
        <v>3</v>
      </c>
      <c r="N1160" s="1003">
        <v>3</v>
      </c>
      <c r="O1160" s="1005">
        <v>64</v>
      </c>
    </row>
    <row r="1161" spans="1:15" collapsed="1" x14ac:dyDescent="0.2">
      <c r="A1161"/>
      <c r="B1161" s="1002">
        <v>99</v>
      </c>
      <c r="C1161" s="1003">
        <v>29</v>
      </c>
      <c r="D1161" s="1003">
        <v>3</v>
      </c>
      <c r="E1161" s="1003"/>
      <c r="F1161" s="1003"/>
      <c r="G1161" s="1003"/>
      <c r="H1161" s="1003"/>
      <c r="I1161" s="1003"/>
      <c r="J1161" s="1003"/>
      <c r="K1161" s="1003">
        <f t="shared" si="18"/>
        <v>32</v>
      </c>
      <c r="L1161" s="1004"/>
      <c r="M1161" s="1003"/>
      <c r="N1161" s="1003"/>
      <c r="O1161" s="1005">
        <v>64</v>
      </c>
    </row>
    <row r="1162" spans="1:15" collapsed="1" x14ac:dyDescent="0.2">
      <c r="A1162"/>
      <c r="B1162" s="1002">
        <v>99</v>
      </c>
      <c r="C1162" s="1003">
        <v>25</v>
      </c>
      <c r="D1162" s="1003">
        <v>6</v>
      </c>
      <c r="E1162" s="1003"/>
      <c r="F1162" s="1003"/>
      <c r="G1162" s="1003"/>
      <c r="H1162" s="1003"/>
      <c r="I1162" s="1003"/>
      <c r="J1162" s="1003"/>
      <c r="K1162" s="1003">
        <f t="shared" si="18"/>
        <v>31</v>
      </c>
      <c r="L1162" s="1004"/>
      <c r="M1162" s="1003"/>
      <c r="N1162" s="1003">
        <v>30</v>
      </c>
      <c r="O1162" s="1005">
        <v>32</v>
      </c>
    </row>
    <row r="1163" spans="1:15" collapsed="1" x14ac:dyDescent="0.2">
      <c r="A1163"/>
      <c r="B1163" s="1002">
        <v>99</v>
      </c>
      <c r="C1163" s="1003">
        <v>21</v>
      </c>
      <c r="D1163" s="1003">
        <v>9</v>
      </c>
      <c r="E1163" s="1003"/>
      <c r="F1163" s="1003"/>
      <c r="G1163" s="1003"/>
      <c r="H1163" s="1003"/>
      <c r="I1163" s="1003"/>
      <c r="J1163" s="1003"/>
      <c r="K1163" s="1003">
        <f t="shared" si="18"/>
        <v>30</v>
      </c>
      <c r="L1163" s="1004"/>
      <c r="M1163" s="1003"/>
      <c r="N1163" s="1003">
        <v>28</v>
      </c>
      <c r="O1163" s="1005">
        <v>32</v>
      </c>
    </row>
    <row r="1164" spans="1:15" collapsed="1" x14ac:dyDescent="0.2">
      <c r="A1164"/>
      <c r="B1164" s="1002">
        <v>99</v>
      </c>
      <c r="C1164" s="1003">
        <v>17</v>
      </c>
      <c r="D1164" s="1003">
        <v>12</v>
      </c>
      <c r="E1164" s="1003"/>
      <c r="F1164" s="1003"/>
      <c r="G1164" s="1003"/>
      <c r="H1164" s="1003"/>
      <c r="I1164" s="1003"/>
      <c r="J1164" s="1003"/>
      <c r="K1164" s="1003">
        <f t="shared" si="18"/>
        <v>29</v>
      </c>
      <c r="L1164" s="1004"/>
      <c r="M1164" s="1003"/>
      <c r="N1164" s="1003">
        <v>26</v>
      </c>
      <c r="O1164" s="1005">
        <v>32</v>
      </c>
    </row>
    <row r="1165" spans="1:15" collapsed="1" x14ac:dyDescent="0.2">
      <c r="A1165"/>
      <c r="B1165" s="1002">
        <v>99</v>
      </c>
      <c r="C1165" s="1003">
        <v>13</v>
      </c>
      <c r="D1165" s="1003">
        <v>15</v>
      </c>
      <c r="E1165" s="1003"/>
      <c r="F1165" s="1003"/>
      <c r="G1165" s="1003"/>
      <c r="H1165" s="1003"/>
      <c r="I1165" s="1003"/>
      <c r="J1165" s="1003"/>
      <c r="K1165" s="1003">
        <f t="shared" si="18"/>
        <v>28</v>
      </c>
      <c r="L1165" s="1004"/>
      <c r="M1165" s="1003"/>
      <c r="N1165" s="1003">
        <v>24</v>
      </c>
      <c r="O1165" s="1005">
        <v>32</v>
      </c>
    </row>
    <row r="1166" spans="1:15" collapsed="1" x14ac:dyDescent="0.2">
      <c r="A1166"/>
      <c r="B1166" s="1002">
        <v>99</v>
      </c>
      <c r="C1166" s="1003">
        <v>9</v>
      </c>
      <c r="D1166" s="1003">
        <v>18</v>
      </c>
      <c r="E1166" s="1003"/>
      <c r="F1166" s="1003"/>
      <c r="G1166" s="1003"/>
      <c r="H1166" s="1003"/>
      <c r="I1166" s="1003"/>
      <c r="J1166" s="1003"/>
      <c r="K1166" s="1003">
        <f t="shared" si="18"/>
        <v>27</v>
      </c>
      <c r="L1166" s="1004"/>
      <c r="M1166" s="1003"/>
      <c r="N1166" s="1003">
        <v>22</v>
      </c>
      <c r="O1166" s="1005">
        <v>32</v>
      </c>
    </row>
    <row r="1167" spans="1:15" collapsed="1" x14ac:dyDescent="0.2">
      <c r="A1167"/>
      <c r="B1167" s="1002">
        <v>99</v>
      </c>
      <c r="C1167" s="1003">
        <v>5</v>
      </c>
      <c r="D1167" s="1003">
        <v>21</v>
      </c>
      <c r="E1167" s="1003"/>
      <c r="F1167" s="1003"/>
      <c r="G1167" s="1003"/>
      <c r="H1167" s="1003"/>
      <c r="I1167" s="1003"/>
      <c r="J1167" s="1003"/>
      <c r="K1167" s="1003">
        <f t="shared" si="18"/>
        <v>26</v>
      </c>
      <c r="L1167" s="1004"/>
      <c r="M1167" s="1003"/>
      <c r="N1167" s="1003">
        <v>20</v>
      </c>
      <c r="O1167" s="1005">
        <v>32</v>
      </c>
    </row>
    <row r="1168" spans="1:15" collapsed="1" x14ac:dyDescent="0.2">
      <c r="A1168"/>
      <c r="B1168" s="1002">
        <v>99</v>
      </c>
      <c r="C1168" s="1003">
        <v>1</v>
      </c>
      <c r="D1168" s="1003">
        <v>24</v>
      </c>
      <c r="E1168" s="1003"/>
      <c r="F1168" s="1003"/>
      <c r="G1168" s="1003"/>
      <c r="H1168" s="1003"/>
      <c r="I1168" s="1003"/>
      <c r="J1168" s="1003"/>
      <c r="K1168" s="1003">
        <f t="shared" si="18"/>
        <v>25</v>
      </c>
      <c r="L1168" s="1004"/>
      <c r="M1168" s="1003"/>
      <c r="N1168" s="1003">
        <v>18</v>
      </c>
      <c r="O1168" s="1005">
        <v>32</v>
      </c>
    </row>
    <row r="1169" spans="1:15" collapsed="1" x14ac:dyDescent="0.2">
      <c r="A1169"/>
      <c r="B1169" s="1002">
        <v>99</v>
      </c>
      <c r="C1169" s="1003"/>
      <c r="D1169" s="1003">
        <v>21</v>
      </c>
      <c r="E1169" s="1003">
        <v>3</v>
      </c>
      <c r="F1169" s="1003"/>
      <c r="G1169" s="1003"/>
      <c r="H1169" s="1003"/>
      <c r="I1169" s="1003"/>
      <c r="J1169" s="1003"/>
      <c r="K1169" s="1003">
        <f t="shared" si="18"/>
        <v>24</v>
      </c>
      <c r="L1169" s="1004"/>
      <c r="M1169" s="1003"/>
      <c r="N1169" s="1003">
        <v>16</v>
      </c>
      <c r="O1169" s="1005">
        <v>32</v>
      </c>
    </row>
    <row r="1170" spans="1:15" collapsed="1" x14ac:dyDescent="0.2">
      <c r="A1170"/>
      <c r="B1170" s="1002">
        <v>99</v>
      </c>
      <c r="C1170" s="1003"/>
      <c r="D1170" s="1003">
        <v>16</v>
      </c>
      <c r="E1170" s="1003">
        <v>7</v>
      </c>
      <c r="F1170" s="1003"/>
      <c r="G1170" s="1003"/>
      <c r="H1170" s="1003"/>
      <c r="I1170" s="1003"/>
      <c r="J1170" s="1003"/>
      <c r="K1170" s="1003">
        <f t="shared" si="18"/>
        <v>23</v>
      </c>
      <c r="L1170" s="1004"/>
      <c r="M1170" s="1003"/>
      <c r="N1170" s="1003">
        <v>14</v>
      </c>
      <c r="O1170" s="1005">
        <v>32</v>
      </c>
    </row>
    <row r="1171" spans="1:15" collapsed="1" x14ac:dyDescent="0.2">
      <c r="A1171"/>
      <c r="B1171" s="1002">
        <v>99</v>
      </c>
      <c r="C1171" s="1003"/>
      <c r="D1171" s="1003">
        <v>11</v>
      </c>
      <c r="E1171" s="1003">
        <v>11</v>
      </c>
      <c r="F1171" s="1003"/>
      <c r="G1171" s="1003"/>
      <c r="H1171" s="1003"/>
      <c r="I1171" s="1003"/>
      <c r="J1171" s="1003"/>
      <c r="K1171" s="1003">
        <f t="shared" si="18"/>
        <v>22</v>
      </c>
      <c r="L1171" s="1004"/>
      <c r="M1171" s="1003"/>
      <c r="N1171" s="1003">
        <v>12</v>
      </c>
      <c r="O1171" s="1005">
        <v>32</v>
      </c>
    </row>
    <row r="1172" spans="1:15" collapsed="1" x14ac:dyDescent="0.2">
      <c r="A1172"/>
      <c r="B1172" s="1002">
        <v>99</v>
      </c>
      <c r="C1172" s="1003"/>
      <c r="D1172" s="1003">
        <v>6</v>
      </c>
      <c r="E1172" s="1003">
        <v>15</v>
      </c>
      <c r="F1172" s="1003"/>
      <c r="G1172" s="1003"/>
      <c r="H1172" s="1003"/>
      <c r="I1172" s="1003"/>
      <c r="J1172" s="1003"/>
      <c r="K1172" s="1003">
        <f t="shared" si="18"/>
        <v>21</v>
      </c>
      <c r="L1172" s="1004"/>
      <c r="M1172" s="1003"/>
      <c r="N1172" s="1003">
        <v>10</v>
      </c>
      <c r="O1172" s="1005">
        <v>32</v>
      </c>
    </row>
    <row r="1173" spans="1:15" collapsed="1" x14ac:dyDescent="0.2">
      <c r="A1173"/>
      <c r="B1173" s="1002">
        <v>99</v>
      </c>
      <c r="C1173" s="1003"/>
      <c r="D1173" s="1003">
        <v>1</v>
      </c>
      <c r="E1173" s="1003">
        <v>19</v>
      </c>
      <c r="F1173" s="1003"/>
      <c r="G1173" s="1003"/>
      <c r="H1173" s="1003"/>
      <c r="I1173" s="1003"/>
      <c r="J1173" s="1003"/>
      <c r="K1173" s="1003">
        <f t="shared" si="18"/>
        <v>20</v>
      </c>
      <c r="L1173" s="1004"/>
      <c r="M1173" s="1003"/>
      <c r="N1173" s="1003">
        <v>8</v>
      </c>
      <c r="O1173" s="1005">
        <v>32</v>
      </c>
    </row>
    <row r="1174" spans="1:15" collapsed="1" x14ac:dyDescent="0.2">
      <c r="A1174"/>
      <c r="B1174" s="1002">
        <v>99</v>
      </c>
      <c r="C1174" s="1003"/>
      <c r="D1174" s="1003"/>
      <c r="E1174" s="1003">
        <v>15</v>
      </c>
      <c r="F1174" s="1003">
        <v>4</v>
      </c>
      <c r="G1174" s="1003"/>
      <c r="H1174" s="1003"/>
      <c r="I1174" s="1003"/>
      <c r="J1174" s="1003"/>
      <c r="K1174" s="1003">
        <f t="shared" si="18"/>
        <v>19</v>
      </c>
      <c r="L1174" s="1004"/>
      <c r="M1174" s="1003"/>
      <c r="N1174" s="1003">
        <v>6</v>
      </c>
      <c r="O1174" s="1005">
        <v>32</v>
      </c>
    </row>
    <row r="1175" spans="1:15" collapsed="1" x14ac:dyDescent="0.2">
      <c r="A1175"/>
      <c r="B1175" s="1002">
        <v>99</v>
      </c>
      <c r="C1175" s="1003"/>
      <c r="D1175" s="1003"/>
      <c r="E1175" s="1003">
        <v>9</v>
      </c>
      <c r="F1175" s="1003">
        <v>9</v>
      </c>
      <c r="G1175" s="1003"/>
      <c r="H1175" s="1003"/>
      <c r="I1175" s="1003"/>
      <c r="J1175" s="1003"/>
      <c r="K1175" s="1003">
        <f t="shared" si="18"/>
        <v>18</v>
      </c>
      <c r="L1175" s="1004"/>
      <c r="M1175" s="1003"/>
      <c r="N1175" s="1003">
        <v>4</v>
      </c>
      <c r="O1175" s="1005">
        <v>32</v>
      </c>
    </row>
    <row r="1176" spans="1:15" collapsed="1" x14ac:dyDescent="0.2">
      <c r="A1176"/>
      <c r="B1176" s="1002">
        <v>99</v>
      </c>
      <c r="C1176" s="1003"/>
      <c r="D1176" s="1003"/>
      <c r="E1176" s="1003">
        <v>3</v>
      </c>
      <c r="F1176" s="1003">
        <v>14</v>
      </c>
      <c r="G1176" s="1003"/>
      <c r="H1176" s="1003"/>
      <c r="I1176" s="1003"/>
      <c r="J1176" s="1003"/>
      <c r="K1176" s="1003">
        <f t="shared" si="18"/>
        <v>17</v>
      </c>
      <c r="L1176" s="1004"/>
      <c r="M1176" s="1003"/>
      <c r="N1176" s="1003">
        <v>2</v>
      </c>
      <c r="O1176" s="1005">
        <v>32</v>
      </c>
    </row>
    <row r="1177" spans="1:15" collapsed="1" x14ac:dyDescent="0.2">
      <c r="A1177"/>
      <c r="B1177" s="1002">
        <v>99</v>
      </c>
      <c r="C1177" s="1003"/>
      <c r="D1177" s="1003"/>
      <c r="E1177" s="1003"/>
      <c r="F1177" s="1003">
        <v>13</v>
      </c>
      <c r="G1177" s="1003">
        <v>3</v>
      </c>
      <c r="H1177" s="1003"/>
      <c r="I1177" s="1003"/>
      <c r="J1177" s="1003"/>
      <c r="K1177" s="1003">
        <f t="shared" si="18"/>
        <v>16</v>
      </c>
      <c r="L1177" s="1004"/>
      <c r="M1177" s="1003"/>
      <c r="N1177" s="1003"/>
      <c r="O1177" s="1005">
        <v>32</v>
      </c>
    </row>
    <row r="1178" spans="1:15" collapsed="1" x14ac:dyDescent="0.2">
      <c r="A1178"/>
      <c r="B1178" s="1002">
        <v>99</v>
      </c>
      <c r="C1178" s="1003"/>
      <c r="D1178" s="1003"/>
      <c r="E1178" s="1003"/>
      <c r="F1178" s="1003">
        <v>7</v>
      </c>
      <c r="G1178" s="1003">
        <v>8</v>
      </c>
      <c r="H1178" s="1003"/>
      <c r="I1178" s="1003"/>
      <c r="J1178" s="1003"/>
      <c r="K1178" s="1003">
        <f t="shared" si="18"/>
        <v>15</v>
      </c>
      <c r="L1178" s="1004"/>
      <c r="M1178" s="1003"/>
      <c r="N1178" s="1003">
        <v>14</v>
      </c>
      <c r="O1178" s="1005">
        <v>16</v>
      </c>
    </row>
    <row r="1179" spans="1:15" x14ac:dyDescent="0.2">
      <c r="A1179"/>
      <c r="B1179" s="1002">
        <v>99</v>
      </c>
      <c r="C1179" s="1003"/>
      <c r="D1179" s="1003"/>
      <c r="E1179" s="1003"/>
      <c r="F1179" s="1003"/>
      <c r="G1179" s="1003">
        <v>13</v>
      </c>
      <c r="H1179" s="1003">
        <v>1</v>
      </c>
      <c r="I1179" s="1003"/>
      <c r="J1179" s="1003"/>
      <c r="K1179" s="1003">
        <f t="shared" si="18"/>
        <v>14</v>
      </c>
      <c r="L1179" s="1004"/>
      <c r="M1179" s="1003"/>
      <c r="N1179" s="1003">
        <v>12</v>
      </c>
      <c r="O1179" s="1005">
        <v>16</v>
      </c>
    </row>
    <row r="1180" spans="1:15" collapsed="1" x14ac:dyDescent="0.2">
      <c r="A1180"/>
      <c r="B1180" s="1002">
        <v>99</v>
      </c>
      <c r="C1180" s="1003"/>
      <c r="D1180" s="1003"/>
      <c r="E1180" s="1003"/>
      <c r="F1180" s="1003"/>
      <c r="G1180" s="1003">
        <v>5</v>
      </c>
      <c r="H1180" s="1003">
        <v>8</v>
      </c>
      <c r="I1180" s="1003"/>
      <c r="J1180" s="1003"/>
      <c r="K1180" s="1003">
        <f t="shared" si="18"/>
        <v>13</v>
      </c>
      <c r="L1180" s="1004"/>
      <c r="M1180" s="1003"/>
      <c r="N1180" s="1003">
        <v>10</v>
      </c>
      <c r="O1180" s="1005">
        <v>16</v>
      </c>
    </row>
    <row r="1181" spans="1:15" collapsed="1" x14ac:dyDescent="0.2">
      <c r="A1181"/>
      <c r="B1181" s="1002">
        <v>99</v>
      </c>
      <c r="C1181" s="1003"/>
      <c r="D1181" s="1003"/>
      <c r="E1181" s="1003"/>
      <c r="F1181" s="1003"/>
      <c r="G1181" s="1003"/>
      <c r="H1181" s="1003">
        <v>9</v>
      </c>
      <c r="I1181" s="1003">
        <v>3</v>
      </c>
      <c r="J1181" s="1003"/>
      <c r="K1181" s="1003">
        <f t="shared" si="18"/>
        <v>12</v>
      </c>
      <c r="L1181" s="1004"/>
      <c r="M1181" s="1003"/>
      <c r="N1181" s="1003">
        <v>8</v>
      </c>
      <c r="O1181" s="1005">
        <v>16</v>
      </c>
    </row>
    <row r="1182" spans="1:15" x14ac:dyDescent="0.2">
      <c r="A1182"/>
      <c r="B1182" s="1002">
        <v>99</v>
      </c>
      <c r="C1182" s="1003"/>
      <c r="D1182" s="1003"/>
      <c r="E1182" s="1003"/>
      <c r="F1182" s="1003"/>
      <c r="G1182" s="1003"/>
      <c r="H1182" s="1003"/>
      <c r="I1182" s="1003">
        <v>11</v>
      </c>
      <c r="J1182" s="1003"/>
      <c r="K1182" s="1003">
        <f t="shared" si="18"/>
        <v>11</v>
      </c>
      <c r="L1182" s="1004"/>
      <c r="M1182" s="1003"/>
      <c r="N1182" s="1003">
        <v>6</v>
      </c>
      <c r="O1182" s="1005">
        <v>16</v>
      </c>
    </row>
    <row r="1183" spans="1:15" collapsed="1" x14ac:dyDescent="0.2">
      <c r="A1183"/>
      <c r="B1183" s="1002">
        <v>99</v>
      </c>
      <c r="C1183" s="1003"/>
      <c r="D1183" s="1003"/>
      <c r="E1183" s="1003"/>
      <c r="F1183" s="1003"/>
      <c r="G1183" s="1003"/>
      <c r="H1183" s="1003"/>
      <c r="I1183" s="1003">
        <v>1</v>
      </c>
      <c r="J1183" s="1003">
        <v>9</v>
      </c>
      <c r="K1183" s="1003">
        <f t="shared" si="18"/>
        <v>10</v>
      </c>
      <c r="L1183" s="1004"/>
      <c r="M1183" s="1003"/>
      <c r="N1183" s="1003">
        <v>4</v>
      </c>
      <c r="O1183" s="1005">
        <v>16</v>
      </c>
    </row>
    <row r="1184" spans="1:15" collapsed="1" x14ac:dyDescent="0.2">
      <c r="A1184"/>
      <c r="B1184" s="1002">
        <v>100</v>
      </c>
      <c r="C1184" s="1003">
        <v>32</v>
      </c>
      <c r="D1184" s="1003"/>
      <c r="E1184" s="1003"/>
      <c r="F1184" s="1003"/>
      <c r="G1184" s="1003"/>
      <c r="H1184" s="1003"/>
      <c r="I1184" s="1003"/>
      <c r="J1184" s="1003"/>
      <c r="K1184" s="1003">
        <f t="shared" si="18"/>
        <v>32</v>
      </c>
      <c r="L1184" s="1004"/>
      <c r="M1184" s="1003">
        <v>4</v>
      </c>
      <c r="N1184" s="1003">
        <v>4</v>
      </c>
      <c r="O1184" s="1005">
        <v>64</v>
      </c>
    </row>
    <row r="1185" spans="1:15" collapsed="1" x14ac:dyDescent="0.2">
      <c r="A1185"/>
      <c r="B1185" s="1002">
        <v>100</v>
      </c>
      <c r="C1185" s="1003">
        <v>28</v>
      </c>
      <c r="D1185" s="1003">
        <v>4</v>
      </c>
      <c r="E1185" s="1003"/>
      <c r="F1185" s="1003"/>
      <c r="G1185" s="1003"/>
      <c r="H1185" s="1003"/>
      <c r="I1185" s="1003"/>
      <c r="J1185" s="1003"/>
      <c r="K1185" s="1003">
        <f t="shared" si="18"/>
        <v>32</v>
      </c>
      <c r="L1185" s="1004"/>
      <c r="M1185" s="1003"/>
      <c r="N1185" s="1003"/>
      <c r="O1185" s="1005">
        <v>64</v>
      </c>
    </row>
    <row r="1186" spans="1:15" collapsed="1" x14ac:dyDescent="0.2">
      <c r="A1186"/>
      <c r="B1186" s="1002">
        <v>100</v>
      </c>
      <c r="C1186" s="1003">
        <v>24</v>
      </c>
      <c r="D1186" s="1003">
        <v>7</v>
      </c>
      <c r="E1186" s="1003"/>
      <c r="F1186" s="1003"/>
      <c r="G1186" s="1003"/>
      <c r="H1186" s="1003"/>
      <c r="I1186" s="1003"/>
      <c r="J1186" s="1003"/>
      <c r="K1186" s="1003">
        <f t="shared" si="18"/>
        <v>31</v>
      </c>
      <c r="L1186" s="1004"/>
      <c r="M1186" s="1003"/>
      <c r="N1186" s="1003">
        <v>30</v>
      </c>
      <c r="O1186" s="1005">
        <v>32</v>
      </c>
    </row>
    <row r="1187" spans="1:15" collapsed="1" x14ac:dyDescent="0.2">
      <c r="A1187"/>
      <c r="B1187" s="1002">
        <v>100</v>
      </c>
      <c r="C1187" s="1003">
        <v>20</v>
      </c>
      <c r="D1187" s="1003">
        <v>10</v>
      </c>
      <c r="E1187" s="1003"/>
      <c r="F1187" s="1003"/>
      <c r="G1187" s="1003"/>
      <c r="H1187" s="1003"/>
      <c r="I1187" s="1003"/>
      <c r="J1187" s="1003"/>
      <c r="K1187" s="1003">
        <f t="shared" si="18"/>
        <v>30</v>
      </c>
      <c r="L1187" s="1004"/>
      <c r="M1187" s="1003"/>
      <c r="N1187" s="1003">
        <v>28</v>
      </c>
      <c r="O1187" s="1005">
        <v>32</v>
      </c>
    </row>
    <row r="1188" spans="1:15" collapsed="1" x14ac:dyDescent="0.2">
      <c r="A1188"/>
      <c r="B1188" s="1002">
        <v>100</v>
      </c>
      <c r="C1188" s="1003">
        <v>16</v>
      </c>
      <c r="D1188" s="1003">
        <v>13</v>
      </c>
      <c r="E1188" s="1003"/>
      <c r="F1188" s="1003"/>
      <c r="G1188" s="1003"/>
      <c r="H1188" s="1003"/>
      <c r="I1188" s="1003"/>
      <c r="J1188" s="1003"/>
      <c r="K1188" s="1003">
        <f t="shared" si="18"/>
        <v>29</v>
      </c>
      <c r="L1188" s="1004"/>
      <c r="M1188" s="1003"/>
      <c r="N1188" s="1003">
        <v>26</v>
      </c>
      <c r="O1188" s="1005">
        <v>32</v>
      </c>
    </row>
    <row r="1189" spans="1:15" collapsed="1" x14ac:dyDescent="0.2">
      <c r="A1189"/>
      <c r="B1189" s="1002">
        <v>100</v>
      </c>
      <c r="C1189" s="1003">
        <v>12</v>
      </c>
      <c r="D1189" s="1003">
        <v>16</v>
      </c>
      <c r="E1189" s="1003"/>
      <c r="F1189" s="1003"/>
      <c r="G1189" s="1003"/>
      <c r="H1189" s="1003"/>
      <c r="I1189" s="1003"/>
      <c r="J1189" s="1003"/>
      <c r="K1189" s="1003">
        <f t="shared" si="18"/>
        <v>28</v>
      </c>
      <c r="L1189" s="1004"/>
      <c r="M1189" s="1003"/>
      <c r="N1189" s="1003">
        <v>24</v>
      </c>
      <c r="O1189" s="1005">
        <v>32</v>
      </c>
    </row>
    <row r="1190" spans="1:15" collapsed="1" x14ac:dyDescent="0.2">
      <c r="A1190"/>
      <c r="B1190" s="1002">
        <v>100</v>
      </c>
      <c r="C1190" s="1003">
        <v>8</v>
      </c>
      <c r="D1190" s="1003">
        <v>19</v>
      </c>
      <c r="E1190" s="1003"/>
      <c r="F1190" s="1003"/>
      <c r="G1190" s="1003"/>
      <c r="H1190" s="1003"/>
      <c r="I1190" s="1003"/>
      <c r="J1190" s="1003"/>
      <c r="K1190" s="1003">
        <f t="shared" si="18"/>
        <v>27</v>
      </c>
      <c r="L1190" s="1004"/>
      <c r="M1190" s="1003"/>
      <c r="N1190" s="1003">
        <v>22</v>
      </c>
      <c r="O1190" s="1005">
        <v>32</v>
      </c>
    </row>
    <row r="1191" spans="1:15" collapsed="1" x14ac:dyDescent="0.2">
      <c r="A1191"/>
      <c r="B1191" s="1002">
        <v>100</v>
      </c>
      <c r="C1191" s="1003">
        <v>4</v>
      </c>
      <c r="D1191" s="1003">
        <v>22</v>
      </c>
      <c r="E1191" s="1003"/>
      <c r="F1191" s="1003"/>
      <c r="G1191" s="1003"/>
      <c r="H1191" s="1003"/>
      <c r="I1191" s="1003"/>
      <c r="J1191" s="1003"/>
      <c r="K1191" s="1003">
        <f t="shared" si="18"/>
        <v>26</v>
      </c>
      <c r="L1191" s="1004"/>
      <c r="M1191" s="1003"/>
      <c r="N1191" s="1003">
        <v>20</v>
      </c>
      <c r="O1191" s="1005">
        <v>32</v>
      </c>
    </row>
    <row r="1192" spans="1:15" collapsed="1" x14ac:dyDescent="0.2">
      <c r="A1192"/>
      <c r="B1192" s="1002">
        <v>100</v>
      </c>
      <c r="C1192" s="1003"/>
      <c r="D1192" s="1003">
        <v>25</v>
      </c>
      <c r="E1192" s="1003"/>
      <c r="F1192" s="1003"/>
      <c r="G1192" s="1003"/>
      <c r="H1192" s="1003"/>
      <c r="I1192" s="1003"/>
      <c r="J1192" s="1003"/>
      <c r="K1192" s="1003">
        <f t="shared" si="18"/>
        <v>25</v>
      </c>
      <c r="L1192" s="1004"/>
      <c r="M1192" s="1003"/>
      <c r="N1192" s="1003">
        <v>18</v>
      </c>
      <c r="O1192" s="1005">
        <v>32</v>
      </c>
    </row>
    <row r="1193" spans="1:15" collapsed="1" x14ac:dyDescent="0.2">
      <c r="A1193"/>
      <c r="B1193" s="1002">
        <v>100</v>
      </c>
      <c r="C1193" s="1003"/>
      <c r="D1193" s="1003">
        <v>20</v>
      </c>
      <c r="E1193" s="1003">
        <v>4</v>
      </c>
      <c r="F1193" s="1003"/>
      <c r="G1193" s="1003"/>
      <c r="H1193" s="1003"/>
      <c r="I1193" s="1003"/>
      <c r="J1193" s="1003"/>
      <c r="K1193" s="1003">
        <f t="shared" si="18"/>
        <v>24</v>
      </c>
      <c r="L1193" s="1004"/>
      <c r="M1193" s="1003"/>
      <c r="N1193" s="1003">
        <v>16</v>
      </c>
      <c r="O1193" s="1005">
        <v>32</v>
      </c>
    </row>
    <row r="1194" spans="1:15" collapsed="1" x14ac:dyDescent="0.2">
      <c r="A1194"/>
      <c r="B1194" s="1002">
        <v>100</v>
      </c>
      <c r="C1194" s="1003"/>
      <c r="D1194" s="1003">
        <v>15</v>
      </c>
      <c r="E1194" s="1003">
        <v>8</v>
      </c>
      <c r="F1194" s="1003"/>
      <c r="G1194" s="1003"/>
      <c r="H1194" s="1003"/>
      <c r="I1194" s="1003"/>
      <c r="J1194" s="1003"/>
      <c r="K1194" s="1003">
        <f t="shared" si="18"/>
        <v>23</v>
      </c>
      <c r="L1194" s="1004"/>
      <c r="M1194" s="1003"/>
      <c r="N1194" s="1003">
        <v>14</v>
      </c>
      <c r="O1194" s="1005">
        <v>32</v>
      </c>
    </row>
    <row r="1195" spans="1:15" collapsed="1" x14ac:dyDescent="0.2">
      <c r="A1195"/>
      <c r="B1195" s="1002">
        <v>100</v>
      </c>
      <c r="C1195" s="1003"/>
      <c r="D1195" s="1003">
        <v>10</v>
      </c>
      <c r="E1195" s="1003">
        <v>12</v>
      </c>
      <c r="F1195" s="1003"/>
      <c r="G1195" s="1003"/>
      <c r="H1195" s="1003"/>
      <c r="I1195" s="1003"/>
      <c r="J1195" s="1003"/>
      <c r="K1195" s="1003">
        <f t="shared" si="18"/>
        <v>22</v>
      </c>
      <c r="L1195" s="1004"/>
      <c r="M1195" s="1003"/>
      <c r="N1195" s="1003">
        <v>12</v>
      </c>
      <c r="O1195" s="1005">
        <v>32</v>
      </c>
    </row>
    <row r="1196" spans="1:15" collapsed="1" x14ac:dyDescent="0.2">
      <c r="A1196"/>
      <c r="B1196" s="1002">
        <v>100</v>
      </c>
      <c r="C1196" s="1003"/>
      <c r="D1196" s="1003">
        <v>5</v>
      </c>
      <c r="E1196" s="1003">
        <v>16</v>
      </c>
      <c r="F1196" s="1003"/>
      <c r="G1196" s="1003"/>
      <c r="H1196" s="1003"/>
      <c r="I1196" s="1003"/>
      <c r="J1196" s="1003"/>
      <c r="K1196" s="1003">
        <f t="shared" si="18"/>
        <v>21</v>
      </c>
      <c r="L1196" s="1004"/>
      <c r="M1196" s="1003"/>
      <c r="N1196" s="1003">
        <v>10</v>
      </c>
      <c r="O1196" s="1005">
        <v>32</v>
      </c>
    </row>
    <row r="1197" spans="1:15" collapsed="1" x14ac:dyDescent="0.2">
      <c r="A1197"/>
      <c r="B1197" s="1002">
        <v>100</v>
      </c>
      <c r="C1197" s="1003"/>
      <c r="D1197" s="1003"/>
      <c r="E1197" s="1003">
        <v>20</v>
      </c>
      <c r="F1197" s="1003"/>
      <c r="G1197" s="1003"/>
      <c r="H1197" s="1003"/>
      <c r="I1197" s="1003"/>
      <c r="J1197" s="1003"/>
      <c r="K1197" s="1003">
        <f t="shared" si="18"/>
        <v>20</v>
      </c>
      <c r="L1197" s="1004"/>
      <c r="M1197" s="1003"/>
      <c r="N1197" s="1003">
        <v>8</v>
      </c>
      <c r="O1197" s="1005">
        <v>32</v>
      </c>
    </row>
    <row r="1198" spans="1:15" collapsed="1" x14ac:dyDescent="0.2">
      <c r="A1198"/>
      <c r="B1198" s="1002">
        <v>100</v>
      </c>
      <c r="C1198" s="1003"/>
      <c r="D1198" s="1003"/>
      <c r="E1198" s="1003">
        <v>14</v>
      </c>
      <c r="F1198" s="1003">
        <v>5</v>
      </c>
      <c r="G1198" s="1003"/>
      <c r="H1198" s="1003"/>
      <c r="I1198" s="1003"/>
      <c r="J1198" s="1003"/>
      <c r="K1198" s="1003">
        <f t="shared" si="18"/>
        <v>19</v>
      </c>
      <c r="L1198" s="1004"/>
      <c r="M1198" s="1003"/>
      <c r="N1198" s="1003">
        <v>6</v>
      </c>
      <c r="O1198" s="1005">
        <v>32</v>
      </c>
    </row>
    <row r="1199" spans="1:15" collapsed="1" x14ac:dyDescent="0.2">
      <c r="A1199"/>
      <c r="B1199" s="1002">
        <v>100</v>
      </c>
      <c r="C1199" s="1003"/>
      <c r="D1199" s="1003"/>
      <c r="E1199" s="1003">
        <v>8</v>
      </c>
      <c r="F1199" s="1003">
        <v>10</v>
      </c>
      <c r="G1199" s="1003"/>
      <c r="H1199" s="1003"/>
      <c r="I1199" s="1003"/>
      <c r="J1199" s="1003"/>
      <c r="K1199" s="1003">
        <f t="shared" si="18"/>
        <v>18</v>
      </c>
      <c r="L1199" s="1004"/>
      <c r="M1199" s="1003"/>
      <c r="N1199" s="1003">
        <v>4</v>
      </c>
      <c r="O1199" s="1005">
        <v>32</v>
      </c>
    </row>
    <row r="1200" spans="1:15" collapsed="1" x14ac:dyDescent="0.2">
      <c r="A1200"/>
      <c r="B1200" s="1002">
        <v>100</v>
      </c>
      <c r="C1200" s="1003"/>
      <c r="D1200" s="1003"/>
      <c r="E1200" s="1003">
        <v>2</v>
      </c>
      <c r="F1200" s="1003">
        <v>15</v>
      </c>
      <c r="G1200" s="1003"/>
      <c r="H1200" s="1003"/>
      <c r="I1200" s="1003"/>
      <c r="J1200" s="1003"/>
      <c r="K1200" s="1003">
        <f t="shared" si="18"/>
        <v>17</v>
      </c>
      <c r="L1200" s="1004"/>
      <c r="M1200" s="1003"/>
      <c r="N1200" s="1003">
        <v>2</v>
      </c>
      <c r="O1200" s="1005">
        <v>32</v>
      </c>
    </row>
    <row r="1201" spans="1:15" collapsed="1" x14ac:dyDescent="0.2">
      <c r="A1201"/>
      <c r="B1201" s="1002">
        <v>100</v>
      </c>
      <c r="C1201" s="1003"/>
      <c r="D1201" s="1003"/>
      <c r="E1201" s="1003"/>
      <c r="F1201" s="1003">
        <v>12</v>
      </c>
      <c r="G1201" s="1003">
        <v>4</v>
      </c>
      <c r="H1201" s="1003"/>
      <c r="I1201" s="1003"/>
      <c r="J1201" s="1003"/>
      <c r="K1201" s="1003">
        <f t="shared" si="18"/>
        <v>16</v>
      </c>
      <c r="L1201" s="1004"/>
      <c r="M1201" s="1003"/>
      <c r="N1201" s="1003"/>
      <c r="O1201" s="1005">
        <v>32</v>
      </c>
    </row>
    <row r="1202" spans="1:15" collapsed="1" x14ac:dyDescent="0.2">
      <c r="A1202"/>
      <c r="B1202" s="1002">
        <v>100</v>
      </c>
      <c r="C1202" s="1003"/>
      <c r="D1202" s="1003"/>
      <c r="E1202" s="1003"/>
      <c r="F1202" s="1003">
        <v>6</v>
      </c>
      <c r="G1202" s="1003">
        <v>9</v>
      </c>
      <c r="H1202" s="1003"/>
      <c r="I1202" s="1003"/>
      <c r="J1202" s="1003"/>
      <c r="K1202" s="1003">
        <f t="shared" si="18"/>
        <v>15</v>
      </c>
      <c r="L1202" s="1004"/>
      <c r="M1202" s="1003"/>
      <c r="N1202" s="1003">
        <v>14</v>
      </c>
      <c r="O1202" s="1005">
        <v>16</v>
      </c>
    </row>
    <row r="1203" spans="1:15" x14ac:dyDescent="0.2">
      <c r="A1203"/>
      <c r="B1203" s="1002">
        <v>100</v>
      </c>
      <c r="C1203" s="1003"/>
      <c r="D1203" s="1003"/>
      <c r="E1203" s="1003"/>
      <c r="F1203" s="1003"/>
      <c r="G1203" s="1003">
        <v>12</v>
      </c>
      <c r="H1203" s="1003">
        <v>2</v>
      </c>
      <c r="I1203" s="1003"/>
      <c r="J1203" s="1003"/>
      <c r="K1203" s="1003">
        <f t="shared" si="18"/>
        <v>14</v>
      </c>
      <c r="L1203" s="1004"/>
      <c r="M1203" s="1003"/>
      <c r="N1203" s="1003">
        <v>12</v>
      </c>
      <c r="O1203" s="1005">
        <v>16</v>
      </c>
    </row>
    <row r="1204" spans="1:15" collapsed="1" x14ac:dyDescent="0.2">
      <c r="A1204"/>
      <c r="B1204" s="1002">
        <v>100</v>
      </c>
      <c r="C1204" s="1003"/>
      <c r="D1204" s="1003"/>
      <c r="E1204" s="1003"/>
      <c r="F1204" s="1003"/>
      <c r="G1204" s="1003">
        <v>4</v>
      </c>
      <c r="H1204" s="1003">
        <v>9</v>
      </c>
      <c r="I1204" s="1003"/>
      <c r="J1204" s="1003"/>
      <c r="K1204" s="1003">
        <f t="shared" si="18"/>
        <v>13</v>
      </c>
      <c r="L1204" s="1004"/>
      <c r="M1204" s="1003"/>
      <c r="N1204" s="1003">
        <v>10</v>
      </c>
      <c r="O1204" s="1005">
        <v>16</v>
      </c>
    </row>
    <row r="1205" spans="1:15" collapsed="1" x14ac:dyDescent="0.2">
      <c r="A1205"/>
      <c r="B1205" s="1002">
        <v>100</v>
      </c>
      <c r="C1205" s="1003"/>
      <c r="D1205" s="1003"/>
      <c r="E1205" s="1003"/>
      <c r="F1205" s="1003"/>
      <c r="G1205" s="1003"/>
      <c r="H1205" s="1003">
        <v>8</v>
      </c>
      <c r="I1205" s="1003">
        <v>4</v>
      </c>
      <c r="J1205" s="1003"/>
      <c r="K1205" s="1003">
        <f t="shared" si="18"/>
        <v>12</v>
      </c>
      <c r="L1205" s="1004"/>
      <c r="M1205" s="1003"/>
      <c r="N1205" s="1003">
        <v>8</v>
      </c>
      <c r="O1205" s="1005">
        <v>16</v>
      </c>
    </row>
    <row r="1206" spans="1:15" x14ac:dyDescent="0.2">
      <c r="A1206"/>
      <c r="B1206" s="1002">
        <v>100</v>
      </c>
      <c r="C1206" s="1003"/>
      <c r="D1206" s="1003"/>
      <c r="E1206" s="1003"/>
      <c r="F1206" s="1003"/>
      <c r="G1206" s="1003"/>
      <c r="H1206" s="1003"/>
      <c r="I1206" s="1003">
        <v>10</v>
      </c>
      <c r="J1206" s="1003">
        <v>1</v>
      </c>
      <c r="K1206" s="1003">
        <f t="shared" si="18"/>
        <v>11</v>
      </c>
      <c r="L1206" s="1004"/>
      <c r="M1206" s="1003"/>
      <c r="N1206" s="1003">
        <v>6</v>
      </c>
      <c r="O1206" s="1005">
        <v>16</v>
      </c>
    </row>
    <row r="1207" spans="1:15" collapsed="1" x14ac:dyDescent="0.2">
      <c r="A1207"/>
      <c r="B1207" s="1002">
        <v>100</v>
      </c>
      <c r="C1207" s="1003"/>
      <c r="D1207" s="1003"/>
      <c r="E1207" s="1003"/>
      <c r="F1207" s="1003"/>
      <c r="G1207" s="1003"/>
      <c r="H1207" s="1003"/>
      <c r="I1207" s="1003"/>
      <c r="J1207" s="1003">
        <v>10</v>
      </c>
      <c r="K1207" s="1003">
        <f t="shared" si="18"/>
        <v>10</v>
      </c>
      <c r="L1207" s="1004"/>
      <c r="M1207" s="1003"/>
      <c r="N1207" s="1003">
        <v>4</v>
      </c>
      <c r="O1207" s="1005">
        <v>16</v>
      </c>
    </row>
    <row r="1208" spans="1:15" collapsed="1" x14ac:dyDescent="0.2">
      <c r="A1208"/>
      <c r="B1208" s="1002">
        <v>101</v>
      </c>
      <c r="C1208" s="1003">
        <v>32</v>
      </c>
      <c r="D1208" s="1003"/>
      <c r="E1208" s="1003"/>
      <c r="F1208" s="1003"/>
      <c r="G1208" s="1003"/>
      <c r="H1208" s="1003"/>
      <c r="I1208" s="1003"/>
      <c r="J1208" s="1003"/>
      <c r="K1208" s="1003">
        <f t="shared" si="18"/>
        <v>32</v>
      </c>
      <c r="L1208" s="1004"/>
      <c r="M1208" s="1003">
        <v>5</v>
      </c>
      <c r="N1208" s="1003">
        <v>5</v>
      </c>
      <c r="O1208" s="1005">
        <v>64</v>
      </c>
    </row>
    <row r="1209" spans="1:15" collapsed="1" x14ac:dyDescent="0.2">
      <c r="A1209"/>
      <c r="B1209" s="1002">
        <v>101</v>
      </c>
      <c r="C1209" s="1003">
        <v>27</v>
      </c>
      <c r="D1209" s="1003">
        <v>5</v>
      </c>
      <c r="E1209" s="1003"/>
      <c r="F1209" s="1003"/>
      <c r="G1209" s="1003"/>
      <c r="H1209" s="1003"/>
      <c r="I1209" s="1003"/>
      <c r="J1209" s="1003"/>
      <c r="K1209" s="1003">
        <f t="shared" si="18"/>
        <v>32</v>
      </c>
      <c r="L1209" s="1004"/>
      <c r="M1209" s="1003"/>
      <c r="N1209" s="1003"/>
      <c r="O1209" s="1005">
        <v>64</v>
      </c>
    </row>
    <row r="1210" spans="1:15" collapsed="1" x14ac:dyDescent="0.2">
      <c r="A1210"/>
      <c r="B1210" s="1002">
        <v>101</v>
      </c>
      <c r="C1210" s="1003">
        <v>23</v>
      </c>
      <c r="D1210" s="1003">
        <v>8</v>
      </c>
      <c r="E1210" s="1003"/>
      <c r="F1210" s="1003"/>
      <c r="G1210" s="1003"/>
      <c r="H1210" s="1003"/>
      <c r="I1210" s="1003"/>
      <c r="J1210" s="1003"/>
      <c r="K1210" s="1003">
        <f t="shared" si="18"/>
        <v>31</v>
      </c>
      <c r="L1210" s="1004"/>
      <c r="M1210" s="1003"/>
      <c r="N1210" s="1003">
        <v>30</v>
      </c>
      <c r="O1210" s="1005">
        <v>32</v>
      </c>
    </row>
    <row r="1211" spans="1:15" collapsed="1" x14ac:dyDescent="0.2">
      <c r="A1211"/>
      <c r="B1211" s="1002">
        <v>101</v>
      </c>
      <c r="C1211" s="1003">
        <v>19</v>
      </c>
      <c r="D1211" s="1003">
        <v>11</v>
      </c>
      <c r="E1211" s="1003"/>
      <c r="F1211" s="1003"/>
      <c r="G1211" s="1003"/>
      <c r="H1211" s="1003"/>
      <c r="I1211" s="1003"/>
      <c r="J1211" s="1003"/>
      <c r="K1211" s="1003">
        <f t="shared" si="18"/>
        <v>30</v>
      </c>
      <c r="L1211" s="1004"/>
      <c r="M1211" s="1003"/>
      <c r="N1211" s="1003">
        <v>28</v>
      </c>
      <c r="O1211" s="1005">
        <v>32</v>
      </c>
    </row>
    <row r="1212" spans="1:15" collapsed="1" x14ac:dyDescent="0.2">
      <c r="A1212"/>
      <c r="B1212" s="1002">
        <v>101</v>
      </c>
      <c r="C1212" s="1003">
        <v>15</v>
      </c>
      <c r="D1212" s="1003">
        <v>14</v>
      </c>
      <c r="E1212" s="1003"/>
      <c r="F1212" s="1003"/>
      <c r="G1212" s="1003"/>
      <c r="H1212" s="1003"/>
      <c r="I1212" s="1003"/>
      <c r="J1212" s="1003"/>
      <c r="K1212" s="1003">
        <f t="shared" si="18"/>
        <v>29</v>
      </c>
      <c r="L1212" s="1004"/>
      <c r="M1212" s="1003"/>
      <c r="N1212" s="1003">
        <v>26</v>
      </c>
      <c r="O1212" s="1005">
        <v>32</v>
      </c>
    </row>
    <row r="1213" spans="1:15" collapsed="1" x14ac:dyDescent="0.2">
      <c r="A1213"/>
      <c r="B1213" s="1002">
        <v>101</v>
      </c>
      <c r="C1213" s="1003">
        <v>11</v>
      </c>
      <c r="D1213" s="1003">
        <v>17</v>
      </c>
      <c r="E1213" s="1003"/>
      <c r="F1213" s="1003"/>
      <c r="G1213" s="1003"/>
      <c r="H1213" s="1003"/>
      <c r="I1213" s="1003"/>
      <c r="J1213" s="1003"/>
      <c r="K1213" s="1003">
        <f t="shared" si="18"/>
        <v>28</v>
      </c>
      <c r="L1213" s="1004"/>
      <c r="M1213" s="1003"/>
      <c r="N1213" s="1003">
        <v>24</v>
      </c>
      <c r="O1213" s="1005">
        <v>32</v>
      </c>
    </row>
    <row r="1214" spans="1:15" collapsed="1" x14ac:dyDescent="0.2">
      <c r="A1214"/>
      <c r="B1214" s="1002">
        <v>101</v>
      </c>
      <c r="C1214" s="1003">
        <v>7</v>
      </c>
      <c r="D1214" s="1003">
        <v>20</v>
      </c>
      <c r="E1214" s="1003"/>
      <c r="F1214" s="1003"/>
      <c r="G1214" s="1003"/>
      <c r="H1214" s="1003"/>
      <c r="I1214" s="1003"/>
      <c r="J1214" s="1003"/>
      <c r="K1214" s="1003">
        <f t="shared" si="18"/>
        <v>27</v>
      </c>
      <c r="L1214" s="1004"/>
      <c r="M1214" s="1003"/>
      <c r="N1214" s="1003">
        <v>22</v>
      </c>
      <c r="O1214" s="1005">
        <v>32</v>
      </c>
    </row>
    <row r="1215" spans="1:15" collapsed="1" x14ac:dyDescent="0.2">
      <c r="A1215"/>
      <c r="B1215" s="1002">
        <v>101</v>
      </c>
      <c r="C1215" s="1003">
        <v>3</v>
      </c>
      <c r="D1215" s="1003">
        <v>23</v>
      </c>
      <c r="E1215" s="1003"/>
      <c r="F1215" s="1003"/>
      <c r="G1215" s="1003"/>
      <c r="H1215" s="1003"/>
      <c r="I1215" s="1003"/>
      <c r="J1215" s="1003"/>
      <c r="K1215" s="1003">
        <f t="shared" si="18"/>
        <v>26</v>
      </c>
      <c r="L1215" s="1004"/>
      <c r="M1215" s="1003"/>
      <c r="N1215" s="1003">
        <v>20</v>
      </c>
      <c r="O1215" s="1005">
        <v>32</v>
      </c>
    </row>
    <row r="1216" spans="1:15" collapsed="1" x14ac:dyDescent="0.2">
      <c r="A1216"/>
      <c r="B1216" s="1002">
        <v>101</v>
      </c>
      <c r="C1216" s="1003"/>
      <c r="D1216" s="1003">
        <v>24</v>
      </c>
      <c r="E1216" s="1003">
        <v>1</v>
      </c>
      <c r="F1216" s="1003"/>
      <c r="G1216" s="1003"/>
      <c r="H1216" s="1003"/>
      <c r="I1216" s="1003"/>
      <c r="J1216" s="1003"/>
      <c r="K1216" s="1003">
        <f t="shared" si="18"/>
        <v>25</v>
      </c>
      <c r="L1216" s="1004"/>
      <c r="M1216" s="1003"/>
      <c r="N1216" s="1003">
        <v>18</v>
      </c>
      <c r="O1216" s="1005">
        <v>32</v>
      </c>
    </row>
    <row r="1217" spans="1:15" collapsed="1" x14ac:dyDescent="0.2">
      <c r="A1217"/>
      <c r="B1217" s="1002">
        <v>101</v>
      </c>
      <c r="C1217" s="1003"/>
      <c r="D1217" s="1003">
        <v>19</v>
      </c>
      <c r="E1217" s="1003">
        <v>5</v>
      </c>
      <c r="F1217" s="1003"/>
      <c r="G1217" s="1003"/>
      <c r="H1217" s="1003"/>
      <c r="I1217" s="1003"/>
      <c r="J1217" s="1003"/>
      <c r="K1217" s="1003">
        <f t="shared" si="18"/>
        <v>24</v>
      </c>
      <c r="L1217" s="1004"/>
      <c r="M1217" s="1003"/>
      <c r="N1217" s="1003">
        <v>16</v>
      </c>
      <c r="O1217" s="1005">
        <v>32</v>
      </c>
    </row>
    <row r="1218" spans="1:15" collapsed="1" x14ac:dyDescent="0.2">
      <c r="A1218"/>
      <c r="B1218" s="1002">
        <v>101</v>
      </c>
      <c r="C1218" s="1003"/>
      <c r="D1218" s="1003">
        <v>14</v>
      </c>
      <c r="E1218" s="1003">
        <v>9</v>
      </c>
      <c r="F1218" s="1003"/>
      <c r="G1218" s="1003"/>
      <c r="H1218" s="1003"/>
      <c r="I1218" s="1003"/>
      <c r="J1218" s="1003"/>
      <c r="K1218" s="1003">
        <f t="shared" si="18"/>
        <v>23</v>
      </c>
      <c r="L1218" s="1004"/>
      <c r="M1218" s="1003"/>
      <c r="N1218" s="1003">
        <v>14</v>
      </c>
      <c r="O1218" s="1005">
        <v>32</v>
      </c>
    </row>
    <row r="1219" spans="1:15" collapsed="1" x14ac:dyDescent="0.2">
      <c r="A1219"/>
      <c r="B1219" s="1002">
        <v>101</v>
      </c>
      <c r="C1219" s="1003"/>
      <c r="D1219" s="1003">
        <v>9</v>
      </c>
      <c r="E1219" s="1003">
        <v>13</v>
      </c>
      <c r="F1219" s="1003"/>
      <c r="G1219" s="1003"/>
      <c r="H1219" s="1003"/>
      <c r="I1219" s="1003"/>
      <c r="J1219" s="1003"/>
      <c r="K1219" s="1003">
        <f t="shared" si="18"/>
        <v>22</v>
      </c>
      <c r="L1219" s="1004"/>
      <c r="M1219" s="1003"/>
      <c r="N1219" s="1003">
        <v>12</v>
      </c>
      <c r="O1219" s="1005">
        <v>32</v>
      </c>
    </row>
    <row r="1220" spans="1:15" collapsed="1" x14ac:dyDescent="0.2">
      <c r="A1220"/>
      <c r="B1220" s="1002">
        <v>101</v>
      </c>
      <c r="C1220" s="1003"/>
      <c r="D1220" s="1003">
        <v>4</v>
      </c>
      <c r="E1220" s="1003">
        <v>17</v>
      </c>
      <c r="F1220" s="1003"/>
      <c r="G1220" s="1003"/>
      <c r="H1220" s="1003"/>
      <c r="I1220" s="1003"/>
      <c r="J1220" s="1003"/>
      <c r="K1220" s="1003">
        <f t="shared" si="18"/>
        <v>21</v>
      </c>
      <c r="L1220" s="1004"/>
      <c r="M1220" s="1003"/>
      <c r="N1220" s="1003">
        <v>10</v>
      </c>
      <c r="O1220" s="1005">
        <v>32</v>
      </c>
    </row>
    <row r="1221" spans="1:15" collapsed="1" x14ac:dyDescent="0.2">
      <c r="A1221"/>
      <c r="B1221" s="1002">
        <v>101</v>
      </c>
      <c r="C1221" s="1003"/>
      <c r="D1221" s="1003"/>
      <c r="E1221" s="1003">
        <v>19</v>
      </c>
      <c r="F1221" s="1003">
        <v>1</v>
      </c>
      <c r="G1221" s="1003"/>
      <c r="H1221" s="1003"/>
      <c r="I1221" s="1003"/>
      <c r="J1221" s="1003"/>
      <c r="K1221" s="1003">
        <f t="shared" si="18"/>
        <v>20</v>
      </c>
      <c r="L1221" s="1004"/>
      <c r="M1221" s="1003"/>
      <c r="N1221" s="1003">
        <v>8</v>
      </c>
      <c r="O1221" s="1005">
        <v>32</v>
      </c>
    </row>
    <row r="1222" spans="1:15" collapsed="1" x14ac:dyDescent="0.2">
      <c r="A1222"/>
      <c r="B1222" s="1002">
        <v>101</v>
      </c>
      <c r="C1222" s="1003"/>
      <c r="D1222" s="1003"/>
      <c r="E1222" s="1003">
        <v>13</v>
      </c>
      <c r="F1222" s="1003">
        <v>6</v>
      </c>
      <c r="G1222" s="1003"/>
      <c r="H1222" s="1003"/>
      <c r="I1222" s="1003"/>
      <c r="J1222" s="1003"/>
      <c r="K1222" s="1003">
        <f t="shared" ref="K1222:K1285" si="19">SUM(C1222:J1222)</f>
        <v>19</v>
      </c>
      <c r="L1222" s="1004"/>
      <c r="M1222" s="1003"/>
      <c r="N1222" s="1003">
        <v>6</v>
      </c>
      <c r="O1222" s="1005">
        <v>32</v>
      </c>
    </row>
    <row r="1223" spans="1:15" collapsed="1" x14ac:dyDescent="0.2">
      <c r="A1223"/>
      <c r="B1223" s="1002">
        <v>101</v>
      </c>
      <c r="C1223" s="1003"/>
      <c r="D1223" s="1003"/>
      <c r="E1223" s="1003">
        <v>7</v>
      </c>
      <c r="F1223" s="1003">
        <v>11</v>
      </c>
      <c r="G1223" s="1003"/>
      <c r="H1223" s="1003"/>
      <c r="I1223" s="1003"/>
      <c r="J1223" s="1003"/>
      <c r="K1223" s="1003">
        <f t="shared" si="19"/>
        <v>18</v>
      </c>
      <c r="L1223" s="1004"/>
      <c r="M1223" s="1003"/>
      <c r="N1223" s="1003">
        <v>4</v>
      </c>
      <c r="O1223" s="1005">
        <v>32</v>
      </c>
    </row>
    <row r="1224" spans="1:15" collapsed="1" x14ac:dyDescent="0.2">
      <c r="A1224"/>
      <c r="B1224" s="1002">
        <v>101</v>
      </c>
      <c r="C1224" s="1003"/>
      <c r="D1224" s="1003"/>
      <c r="E1224" s="1003">
        <v>1</v>
      </c>
      <c r="F1224" s="1003">
        <v>16</v>
      </c>
      <c r="G1224" s="1003"/>
      <c r="H1224" s="1003"/>
      <c r="I1224" s="1003"/>
      <c r="J1224" s="1003"/>
      <c r="K1224" s="1003">
        <f t="shared" si="19"/>
        <v>17</v>
      </c>
      <c r="L1224" s="1004"/>
      <c r="M1224" s="1003"/>
      <c r="N1224" s="1003">
        <v>2</v>
      </c>
      <c r="O1224" s="1005">
        <v>32</v>
      </c>
    </row>
    <row r="1225" spans="1:15" collapsed="1" x14ac:dyDescent="0.2">
      <c r="A1225"/>
      <c r="B1225" s="1002">
        <v>101</v>
      </c>
      <c r="C1225" s="1003"/>
      <c r="D1225" s="1003"/>
      <c r="E1225" s="1003"/>
      <c r="F1225" s="1003">
        <v>11</v>
      </c>
      <c r="G1225" s="1003">
        <v>5</v>
      </c>
      <c r="H1225" s="1003"/>
      <c r="I1225" s="1003"/>
      <c r="J1225" s="1003"/>
      <c r="K1225" s="1003">
        <f t="shared" si="19"/>
        <v>16</v>
      </c>
      <c r="L1225" s="1004"/>
      <c r="M1225" s="1003"/>
      <c r="N1225" s="1003"/>
      <c r="O1225" s="1005">
        <v>32</v>
      </c>
    </row>
    <row r="1226" spans="1:15" collapsed="1" x14ac:dyDescent="0.2">
      <c r="A1226"/>
      <c r="B1226" s="1002">
        <v>101</v>
      </c>
      <c r="C1226" s="1003"/>
      <c r="D1226" s="1003"/>
      <c r="E1226" s="1003"/>
      <c r="F1226" s="1003">
        <v>5</v>
      </c>
      <c r="G1226" s="1003">
        <v>10</v>
      </c>
      <c r="H1226" s="1003"/>
      <c r="I1226" s="1003"/>
      <c r="J1226" s="1003"/>
      <c r="K1226" s="1003">
        <f t="shared" si="19"/>
        <v>15</v>
      </c>
      <c r="L1226" s="1004"/>
      <c r="M1226" s="1003"/>
      <c r="N1226" s="1003">
        <v>14</v>
      </c>
      <c r="O1226" s="1005">
        <v>16</v>
      </c>
    </row>
    <row r="1227" spans="1:15" x14ac:dyDescent="0.2">
      <c r="A1227"/>
      <c r="B1227" s="1002">
        <v>101</v>
      </c>
      <c r="C1227" s="1003"/>
      <c r="D1227" s="1003"/>
      <c r="E1227" s="1003"/>
      <c r="F1227" s="1003"/>
      <c r="G1227" s="1003">
        <v>11</v>
      </c>
      <c r="H1227" s="1003">
        <v>3</v>
      </c>
      <c r="I1227" s="1003"/>
      <c r="J1227" s="1003"/>
      <c r="K1227" s="1003">
        <f t="shared" si="19"/>
        <v>14</v>
      </c>
      <c r="L1227" s="1004"/>
      <c r="M1227" s="1003"/>
      <c r="N1227" s="1003">
        <v>12</v>
      </c>
      <c r="O1227" s="1005">
        <v>16</v>
      </c>
    </row>
    <row r="1228" spans="1:15" collapsed="1" x14ac:dyDescent="0.2">
      <c r="A1228"/>
      <c r="B1228" s="1002">
        <v>101</v>
      </c>
      <c r="C1228" s="1003"/>
      <c r="D1228" s="1003"/>
      <c r="E1228" s="1003"/>
      <c r="F1228" s="1003"/>
      <c r="G1228" s="1003">
        <v>3</v>
      </c>
      <c r="H1228" s="1003">
        <v>10</v>
      </c>
      <c r="I1228" s="1003"/>
      <c r="J1228" s="1003"/>
      <c r="K1228" s="1003">
        <f t="shared" si="19"/>
        <v>13</v>
      </c>
      <c r="L1228" s="1004"/>
      <c r="M1228" s="1003"/>
      <c r="N1228" s="1003">
        <v>10</v>
      </c>
      <c r="O1228" s="1005">
        <v>16</v>
      </c>
    </row>
    <row r="1229" spans="1:15" collapsed="1" x14ac:dyDescent="0.2">
      <c r="A1229"/>
      <c r="B1229" s="1002">
        <v>101</v>
      </c>
      <c r="C1229" s="1003"/>
      <c r="D1229" s="1003"/>
      <c r="E1229" s="1003"/>
      <c r="F1229" s="1003"/>
      <c r="G1229" s="1003"/>
      <c r="H1229" s="1003">
        <v>7</v>
      </c>
      <c r="I1229" s="1003">
        <v>5</v>
      </c>
      <c r="J1229" s="1003"/>
      <c r="K1229" s="1003">
        <f t="shared" si="19"/>
        <v>12</v>
      </c>
      <c r="L1229" s="1004"/>
      <c r="M1229" s="1003"/>
      <c r="N1229" s="1003">
        <v>8</v>
      </c>
      <c r="O1229" s="1005">
        <v>16</v>
      </c>
    </row>
    <row r="1230" spans="1:15" x14ac:dyDescent="0.2">
      <c r="A1230"/>
      <c r="B1230" s="1002">
        <v>101</v>
      </c>
      <c r="C1230" s="1003"/>
      <c r="D1230" s="1003"/>
      <c r="E1230" s="1003"/>
      <c r="F1230" s="1003"/>
      <c r="G1230" s="1003"/>
      <c r="H1230" s="1003"/>
      <c r="I1230" s="1003">
        <v>9</v>
      </c>
      <c r="J1230" s="1003">
        <v>2</v>
      </c>
      <c r="K1230" s="1003">
        <f t="shared" si="19"/>
        <v>11</v>
      </c>
      <c r="L1230" s="1004"/>
      <c r="M1230" s="1003"/>
      <c r="N1230" s="1003">
        <v>6</v>
      </c>
      <c r="O1230" s="1005">
        <v>16</v>
      </c>
    </row>
    <row r="1231" spans="1:15" collapsed="1" x14ac:dyDescent="0.2">
      <c r="A1231"/>
      <c r="B1231" s="1002">
        <v>102</v>
      </c>
      <c r="C1231" s="1003">
        <v>32</v>
      </c>
      <c r="D1231" s="1003"/>
      <c r="E1231" s="1003"/>
      <c r="F1231" s="1003"/>
      <c r="G1231" s="1003"/>
      <c r="H1231" s="1003"/>
      <c r="I1231" s="1003"/>
      <c r="J1231" s="1003"/>
      <c r="K1231" s="1003">
        <f t="shared" si="19"/>
        <v>32</v>
      </c>
      <c r="L1231" s="1004"/>
      <c r="M1231" s="1003">
        <v>6</v>
      </c>
      <c r="N1231" s="1003">
        <v>6</v>
      </c>
      <c r="O1231" s="1005">
        <v>64</v>
      </c>
    </row>
    <row r="1232" spans="1:15" collapsed="1" x14ac:dyDescent="0.2">
      <c r="A1232"/>
      <c r="B1232" s="1002">
        <v>102</v>
      </c>
      <c r="C1232" s="1003">
        <v>26</v>
      </c>
      <c r="D1232" s="1003">
        <v>6</v>
      </c>
      <c r="E1232" s="1003"/>
      <c r="F1232" s="1003"/>
      <c r="G1232" s="1003"/>
      <c r="H1232" s="1003"/>
      <c r="I1232" s="1003"/>
      <c r="J1232" s="1003"/>
      <c r="K1232" s="1003">
        <f t="shared" si="19"/>
        <v>32</v>
      </c>
      <c r="L1232" s="1004"/>
      <c r="M1232" s="1003"/>
      <c r="N1232" s="1003"/>
      <c r="O1232" s="1005">
        <v>64</v>
      </c>
    </row>
    <row r="1233" spans="1:15" collapsed="1" x14ac:dyDescent="0.2">
      <c r="A1233"/>
      <c r="B1233" s="1002">
        <v>102</v>
      </c>
      <c r="C1233" s="1003">
        <v>22</v>
      </c>
      <c r="D1233" s="1003">
        <v>9</v>
      </c>
      <c r="E1233" s="1003"/>
      <c r="F1233" s="1003"/>
      <c r="G1233" s="1003"/>
      <c r="H1233" s="1003"/>
      <c r="I1233" s="1003"/>
      <c r="J1233" s="1003"/>
      <c r="K1233" s="1003">
        <f t="shared" si="19"/>
        <v>31</v>
      </c>
      <c r="L1233" s="1004"/>
      <c r="M1233" s="1003"/>
      <c r="N1233" s="1003">
        <v>30</v>
      </c>
      <c r="O1233" s="1005">
        <v>32</v>
      </c>
    </row>
    <row r="1234" spans="1:15" collapsed="1" x14ac:dyDescent="0.2">
      <c r="A1234"/>
      <c r="B1234" s="1002">
        <v>102</v>
      </c>
      <c r="C1234" s="1003">
        <v>18</v>
      </c>
      <c r="D1234" s="1003">
        <v>12</v>
      </c>
      <c r="E1234" s="1003"/>
      <c r="F1234" s="1003"/>
      <c r="G1234" s="1003"/>
      <c r="H1234" s="1003"/>
      <c r="I1234" s="1003"/>
      <c r="J1234" s="1003"/>
      <c r="K1234" s="1003">
        <f t="shared" si="19"/>
        <v>30</v>
      </c>
      <c r="L1234" s="1004"/>
      <c r="M1234" s="1003"/>
      <c r="N1234" s="1003">
        <v>28</v>
      </c>
      <c r="O1234" s="1005">
        <v>32</v>
      </c>
    </row>
    <row r="1235" spans="1:15" collapsed="1" x14ac:dyDescent="0.2">
      <c r="A1235"/>
      <c r="B1235" s="1002">
        <v>102</v>
      </c>
      <c r="C1235" s="1003">
        <v>14</v>
      </c>
      <c r="D1235" s="1003">
        <v>15</v>
      </c>
      <c r="E1235" s="1003"/>
      <c r="F1235" s="1003"/>
      <c r="G1235" s="1003"/>
      <c r="H1235" s="1003"/>
      <c r="I1235" s="1003"/>
      <c r="J1235" s="1003"/>
      <c r="K1235" s="1003">
        <f t="shared" si="19"/>
        <v>29</v>
      </c>
      <c r="L1235" s="1004"/>
      <c r="M1235" s="1003"/>
      <c r="N1235" s="1003">
        <v>26</v>
      </c>
      <c r="O1235" s="1005">
        <v>32</v>
      </c>
    </row>
    <row r="1236" spans="1:15" collapsed="1" x14ac:dyDescent="0.2">
      <c r="A1236"/>
      <c r="B1236" s="1002">
        <v>102</v>
      </c>
      <c r="C1236" s="1003">
        <v>10</v>
      </c>
      <c r="D1236" s="1003">
        <v>18</v>
      </c>
      <c r="E1236" s="1003"/>
      <c r="F1236" s="1003"/>
      <c r="G1236" s="1003"/>
      <c r="H1236" s="1003"/>
      <c r="I1236" s="1003"/>
      <c r="J1236" s="1003"/>
      <c r="K1236" s="1003">
        <f t="shared" si="19"/>
        <v>28</v>
      </c>
      <c r="L1236" s="1004"/>
      <c r="M1236" s="1003"/>
      <c r="N1236" s="1003">
        <v>24</v>
      </c>
      <c r="O1236" s="1005">
        <v>32</v>
      </c>
    </row>
    <row r="1237" spans="1:15" collapsed="1" x14ac:dyDescent="0.2">
      <c r="A1237"/>
      <c r="B1237" s="1002">
        <v>102</v>
      </c>
      <c r="C1237" s="1003">
        <v>6</v>
      </c>
      <c r="D1237" s="1003">
        <v>21</v>
      </c>
      <c r="E1237" s="1003"/>
      <c r="F1237" s="1003"/>
      <c r="G1237" s="1003"/>
      <c r="H1237" s="1003"/>
      <c r="I1237" s="1003"/>
      <c r="J1237" s="1003"/>
      <c r="K1237" s="1003">
        <f t="shared" si="19"/>
        <v>27</v>
      </c>
      <c r="L1237" s="1004"/>
      <c r="M1237" s="1003"/>
      <c r="N1237" s="1003">
        <v>22</v>
      </c>
      <c r="O1237" s="1005">
        <v>32</v>
      </c>
    </row>
    <row r="1238" spans="1:15" collapsed="1" x14ac:dyDescent="0.2">
      <c r="A1238"/>
      <c r="B1238" s="1002">
        <v>102</v>
      </c>
      <c r="C1238" s="1003">
        <v>2</v>
      </c>
      <c r="D1238" s="1003">
        <v>24</v>
      </c>
      <c r="E1238" s="1003"/>
      <c r="F1238" s="1003"/>
      <c r="G1238" s="1003"/>
      <c r="H1238" s="1003"/>
      <c r="I1238" s="1003"/>
      <c r="J1238" s="1003"/>
      <c r="K1238" s="1003">
        <f t="shared" si="19"/>
        <v>26</v>
      </c>
      <c r="L1238" s="1004"/>
      <c r="M1238" s="1003"/>
      <c r="N1238" s="1003">
        <v>20</v>
      </c>
      <c r="O1238" s="1005">
        <v>32</v>
      </c>
    </row>
    <row r="1239" spans="1:15" collapsed="1" x14ac:dyDescent="0.2">
      <c r="A1239"/>
      <c r="B1239" s="1002">
        <v>102</v>
      </c>
      <c r="C1239" s="1003"/>
      <c r="D1239" s="1003">
        <v>23</v>
      </c>
      <c r="E1239" s="1003">
        <v>2</v>
      </c>
      <c r="F1239" s="1003"/>
      <c r="G1239" s="1003"/>
      <c r="H1239" s="1003"/>
      <c r="I1239" s="1003"/>
      <c r="J1239" s="1003"/>
      <c r="K1239" s="1003">
        <f t="shared" si="19"/>
        <v>25</v>
      </c>
      <c r="L1239" s="1004"/>
      <c r="M1239" s="1003"/>
      <c r="N1239" s="1003">
        <v>18</v>
      </c>
      <c r="O1239" s="1005">
        <v>32</v>
      </c>
    </row>
    <row r="1240" spans="1:15" collapsed="1" x14ac:dyDescent="0.2">
      <c r="A1240"/>
      <c r="B1240" s="1002">
        <v>102</v>
      </c>
      <c r="C1240" s="1003"/>
      <c r="D1240" s="1003">
        <v>18</v>
      </c>
      <c r="E1240" s="1003">
        <v>6</v>
      </c>
      <c r="F1240" s="1003"/>
      <c r="G1240" s="1003"/>
      <c r="H1240" s="1003"/>
      <c r="I1240" s="1003"/>
      <c r="J1240" s="1003"/>
      <c r="K1240" s="1003">
        <f t="shared" si="19"/>
        <v>24</v>
      </c>
      <c r="L1240" s="1004"/>
      <c r="M1240" s="1003"/>
      <c r="N1240" s="1003">
        <v>16</v>
      </c>
      <c r="O1240" s="1005">
        <v>32</v>
      </c>
    </row>
    <row r="1241" spans="1:15" collapsed="1" x14ac:dyDescent="0.2">
      <c r="A1241"/>
      <c r="B1241" s="1002">
        <v>102</v>
      </c>
      <c r="C1241" s="1003"/>
      <c r="D1241" s="1003">
        <v>13</v>
      </c>
      <c r="E1241" s="1003">
        <v>10</v>
      </c>
      <c r="F1241" s="1003"/>
      <c r="G1241" s="1003"/>
      <c r="H1241" s="1003"/>
      <c r="I1241" s="1003"/>
      <c r="J1241" s="1003"/>
      <c r="K1241" s="1003">
        <f t="shared" si="19"/>
        <v>23</v>
      </c>
      <c r="L1241" s="1004"/>
      <c r="M1241" s="1003"/>
      <c r="N1241" s="1003">
        <v>14</v>
      </c>
      <c r="O1241" s="1005">
        <v>32</v>
      </c>
    </row>
    <row r="1242" spans="1:15" collapsed="1" x14ac:dyDescent="0.2">
      <c r="A1242"/>
      <c r="B1242" s="1002">
        <v>102</v>
      </c>
      <c r="C1242" s="1003"/>
      <c r="D1242" s="1003">
        <v>8</v>
      </c>
      <c r="E1242" s="1003">
        <v>14</v>
      </c>
      <c r="F1242" s="1003"/>
      <c r="G1242" s="1003"/>
      <c r="H1242" s="1003"/>
      <c r="I1242" s="1003"/>
      <c r="J1242" s="1003"/>
      <c r="K1242" s="1003">
        <f t="shared" si="19"/>
        <v>22</v>
      </c>
      <c r="L1242" s="1004"/>
      <c r="M1242" s="1003"/>
      <c r="N1242" s="1003">
        <v>12</v>
      </c>
      <c r="O1242" s="1005">
        <v>32</v>
      </c>
    </row>
    <row r="1243" spans="1:15" collapsed="1" x14ac:dyDescent="0.2">
      <c r="A1243"/>
      <c r="B1243" s="1002">
        <v>102</v>
      </c>
      <c r="C1243" s="1003"/>
      <c r="D1243" s="1003">
        <v>3</v>
      </c>
      <c r="E1243" s="1003">
        <v>18</v>
      </c>
      <c r="F1243" s="1003"/>
      <c r="G1243" s="1003"/>
      <c r="H1243" s="1003"/>
      <c r="I1243" s="1003"/>
      <c r="J1243" s="1003"/>
      <c r="K1243" s="1003">
        <f t="shared" si="19"/>
        <v>21</v>
      </c>
      <c r="L1243" s="1004"/>
      <c r="M1243" s="1003"/>
      <c r="N1243" s="1003">
        <v>10</v>
      </c>
      <c r="O1243" s="1005">
        <v>32</v>
      </c>
    </row>
    <row r="1244" spans="1:15" collapsed="1" x14ac:dyDescent="0.2">
      <c r="A1244"/>
      <c r="B1244" s="1002">
        <v>102</v>
      </c>
      <c r="C1244" s="1003"/>
      <c r="D1244" s="1003"/>
      <c r="E1244" s="1003">
        <v>18</v>
      </c>
      <c r="F1244" s="1003">
        <v>2</v>
      </c>
      <c r="G1244" s="1003"/>
      <c r="H1244" s="1003"/>
      <c r="I1244" s="1003"/>
      <c r="J1244" s="1003"/>
      <c r="K1244" s="1003">
        <f t="shared" si="19"/>
        <v>20</v>
      </c>
      <c r="L1244" s="1004"/>
      <c r="M1244" s="1003"/>
      <c r="N1244" s="1003">
        <v>8</v>
      </c>
      <c r="O1244" s="1005">
        <v>32</v>
      </c>
    </row>
    <row r="1245" spans="1:15" collapsed="1" x14ac:dyDescent="0.2">
      <c r="A1245"/>
      <c r="B1245" s="1002">
        <v>102</v>
      </c>
      <c r="C1245" s="1003"/>
      <c r="D1245" s="1003"/>
      <c r="E1245" s="1003">
        <v>12</v>
      </c>
      <c r="F1245" s="1003">
        <v>7</v>
      </c>
      <c r="G1245" s="1003"/>
      <c r="H1245" s="1003"/>
      <c r="I1245" s="1003"/>
      <c r="J1245" s="1003"/>
      <c r="K1245" s="1003">
        <f t="shared" si="19"/>
        <v>19</v>
      </c>
      <c r="L1245" s="1004"/>
      <c r="M1245" s="1003"/>
      <c r="N1245" s="1003">
        <v>6</v>
      </c>
      <c r="O1245" s="1005">
        <v>32</v>
      </c>
    </row>
    <row r="1246" spans="1:15" collapsed="1" x14ac:dyDescent="0.2">
      <c r="A1246"/>
      <c r="B1246" s="1002">
        <v>102</v>
      </c>
      <c r="C1246" s="1003"/>
      <c r="D1246" s="1003"/>
      <c r="E1246" s="1003">
        <v>6</v>
      </c>
      <c r="F1246" s="1003">
        <v>12</v>
      </c>
      <c r="G1246" s="1003"/>
      <c r="H1246" s="1003"/>
      <c r="I1246" s="1003"/>
      <c r="J1246" s="1003"/>
      <c r="K1246" s="1003">
        <f t="shared" si="19"/>
        <v>18</v>
      </c>
      <c r="L1246" s="1004"/>
      <c r="M1246" s="1003"/>
      <c r="N1246" s="1003">
        <v>4</v>
      </c>
      <c r="O1246" s="1005">
        <v>32</v>
      </c>
    </row>
    <row r="1247" spans="1:15" collapsed="1" x14ac:dyDescent="0.2">
      <c r="A1247"/>
      <c r="B1247" s="1002">
        <v>102</v>
      </c>
      <c r="C1247" s="1003"/>
      <c r="D1247" s="1003"/>
      <c r="E1247" s="1003"/>
      <c r="F1247" s="1003">
        <v>17</v>
      </c>
      <c r="G1247" s="1003"/>
      <c r="H1247" s="1003"/>
      <c r="I1247" s="1003"/>
      <c r="J1247" s="1003"/>
      <c r="K1247" s="1003">
        <f t="shared" si="19"/>
        <v>17</v>
      </c>
      <c r="L1247" s="1004"/>
      <c r="M1247" s="1003"/>
      <c r="N1247" s="1003">
        <v>2</v>
      </c>
      <c r="O1247" s="1005">
        <v>32</v>
      </c>
    </row>
    <row r="1248" spans="1:15" collapsed="1" x14ac:dyDescent="0.2">
      <c r="A1248"/>
      <c r="B1248" s="1002">
        <v>102</v>
      </c>
      <c r="C1248" s="1003"/>
      <c r="D1248" s="1003"/>
      <c r="E1248" s="1003"/>
      <c r="F1248" s="1003">
        <v>10</v>
      </c>
      <c r="G1248" s="1003">
        <v>6</v>
      </c>
      <c r="H1248" s="1003"/>
      <c r="I1248" s="1003"/>
      <c r="J1248" s="1003"/>
      <c r="K1248" s="1003">
        <f t="shared" si="19"/>
        <v>16</v>
      </c>
      <c r="L1248" s="1004"/>
      <c r="M1248" s="1003"/>
      <c r="N1248" s="1003"/>
      <c r="O1248" s="1005">
        <v>32</v>
      </c>
    </row>
    <row r="1249" spans="1:15" collapsed="1" x14ac:dyDescent="0.2">
      <c r="A1249"/>
      <c r="B1249" s="1002">
        <v>102</v>
      </c>
      <c r="C1249" s="1003"/>
      <c r="D1249" s="1003"/>
      <c r="E1249" s="1003"/>
      <c r="F1249" s="1003">
        <v>4</v>
      </c>
      <c r="G1249" s="1003">
        <v>11</v>
      </c>
      <c r="H1249" s="1003"/>
      <c r="I1249" s="1003"/>
      <c r="J1249" s="1003"/>
      <c r="K1249" s="1003">
        <f t="shared" si="19"/>
        <v>15</v>
      </c>
      <c r="L1249" s="1004"/>
      <c r="M1249" s="1003"/>
      <c r="N1249" s="1003">
        <v>14</v>
      </c>
      <c r="O1249" s="1005">
        <v>16</v>
      </c>
    </row>
    <row r="1250" spans="1:15" x14ac:dyDescent="0.2">
      <c r="A1250"/>
      <c r="B1250" s="1002">
        <v>102</v>
      </c>
      <c r="C1250" s="1003"/>
      <c r="D1250" s="1003"/>
      <c r="E1250" s="1003"/>
      <c r="F1250" s="1003"/>
      <c r="G1250" s="1003">
        <v>10</v>
      </c>
      <c r="H1250" s="1003">
        <v>4</v>
      </c>
      <c r="I1250" s="1003"/>
      <c r="J1250" s="1003"/>
      <c r="K1250" s="1003">
        <f t="shared" si="19"/>
        <v>14</v>
      </c>
      <c r="L1250" s="1004"/>
      <c r="M1250" s="1003"/>
      <c r="N1250" s="1003">
        <v>12</v>
      </c>
      <c r="O1250" s="1005">
        <v>16</v>
      </c>
    </row>
    <row r="1251" spans="1:15" collapsed="1" x14ac:dyDescent="0.2">
      <c r="A1251"/>
      <c r="B1251" s="1002">
        <v>102</v>
      </c>
      <c r="C1251" s="1003"/>
      <c r="D1251" s="1003"/>
      <c r="E1251" s="1003"/>
      <c r="F1251" s="1003"/>
      <c r="G1251" s="1003">
        <v>2</v>
      </c>
      <c r="H1251" s="1003">
        <v>11</v>
      </c>
      <c r="I1251" s="1003"/>
      <c r="J1251" s="1003"/>
      <c r="K1251" s="1003">
        <f t="shared" si="19"/>
        <v>13</v>
      </c>
      <c r="L1251" s="1004"/>
      <c r="M1251" s="1003"/>
      <c r="N1251" s="1003">
        <v>10</v>
      </c>
      <c r="O1251" s="1005">
        <v>16</v>
      </c>
    </row>
    <row r="1252" spans="1:15" collapsed="1" x14ac:dyDescent="0.2">
      <c r="A1252"/>
      <c r="B1252" s="1002">
        <v>102</v>
      </c>
      <c r="C1252" s="1003"/>
      <c r="D1252" s="1003"/>
      <c r="E1252" s="1003"/>
      <c r="F1252" s="1003"/>
      <c r="G1252" s="1003"/>
      <c r="H1252" s="1003">
        <v>6</v>
      </c>
      <c r="I1252" s="1003">
        <v>6</v>
      </c>
      <c r="J1252" s="1003"/>
      <c r="K1252" s="1003">
        <f t="shared" si="19"/>
        <v>12</v>
      </c>
      <c r="L1252" s="1004"/>
      <c r="M1252" s="1003"/>
      <c r="N1252" s="1003">
        <v>8</v>
      </c>
      <c r="O1252" s="1005">
        <v>16</v>
      </c>
    </row>
    <row r="1253" spans="1:15" x14ac:dyDescent="0.2">
      <c r="A1253"/>
      <c r="B1253" s="1002">
        <v>102</v>
      </c>
      <c r="C1253" s="1003"/>
      <c r="D1253" s="1003"/>
      <c r="E1253" s="1003"/>
      <c r="F1253" s="1003"/>
      <c r="G1253" s="1003"/>
      <c r="H1253" s="1003"/>
      <c r="I1253" s="1003">
        <v>8</v>
      </c>
      <c r="J1253" s="1003">
        <v>3</v>
      </c>
      <c r="K1253" s="1003">
        <f t="shared" si="19"/>
        <v>11</v>
      </c>
      <c r="L1253" s="1004"/>
      <c r="M1253" s="1003"/>
      <c r="N1253" s="1003">
        <v>6</v>
      </c>
      <c r="O1253" s="1005">
        <v>16</v>
      </c>
    </row>
    <row r="1254" spans="1:15" collapsed="1" x14ac:dyDescent="0.2">
      <c r="A1254"/>
      <c r="B1254" s="1002">
        <v>103</v>
      </c>
      <c r="C1254" s="1003">
        <v>32</v>
      </c>
      <c r="D1254" s="1003"/>
      <c r="E1254" s="1003"/>
      <c r="F1254" s="1003"/>
      <c r="G1254" s="1003"/>
      <c r="H1254" s="1003"/>
      <c r="I1254" s="1003"/>
      <c r="J1254" s="1003"/>
      <c r="K1254" s="1003">
        <f t="shared" si="19"/>
        <v>32</v>
      </c>
      <c r="L1254" s="1004"/>
      <c r="M1254" s="1003">
        <v>7</v>
      </c>
      <c r="N1254" s="1003">
        <v>7</v>
      </c>
      <c r="O1254" s="1005">
        <v>64</v>
      </c>
    </row>
    <row r="1255" spans="1:15" collapsed="1" x14ac:dyDescent="0.2">
      <c r="A1255"/>
      <c r="B1255" s="1002">
        <v>103</v>
      </c>
      <c r="C1255" s="1003">
        <v>25</v>
      </c>
      <c r="D1255" s="1003">
        <v>7</v>
      </c>
      <c r="E1255" s="1003"/>
      <c r="F1255" s="1003"/>
      <c r="G1255" s="1003"/>
      <c r="H1255" s="1003"/>
      <c r="I1255" s="1003"/>
      <c r="J1255" s="1003"/>
      <c r="K1255" s="1003">
        <f t="shared" si="19"/>
        <v>32</v>
      </c>
      <c r="L1255" s="1004"/>
      <c r="M1255" s="1003"/>
      <c r="N1255" s="1003"/>
      <c r="O1255" s="1005">
        <v>64</v>
      </c>
    </row>
    <row r="1256" spans="1:15" collapsed="1" x14ac:dyDescent="0.2">
      <c r="A1256"/>
      <c r="B1256" s="1002">
        <v>103</v>
      </c>
      <c r="C1256" s="1003">
        <v>21</v>
      </c>
      <c r="D1256" s="1003">
        <v>10</v>
      </c>
      <c r="E1256" s="1003"/>
      <c r="F1256" s="1003"/>
      <c r="G1256" s="1003"/>
      <c r="H1256" s="1003"/>
      <c r="I1256" s="1003"/>
      <c r="J1256" s="1003"/>
      <c r="K1256" s="1003">
        <f t="shared" si="19"/>
        <v>31</v>
      </c>
      <c r="L1256" s="1004"/>
      <c r="M1256" s="1003"/>
      <c r="N1256" s="1003">
        <v>30</v>
      </c>
      <c r="O1256" s="1005">
        <v>32</v>
      </c>
    </row>
    <row r="1257" spans="1:15" collapsed="1" x14ac:dyDescent="0.2">
      <c r="A1257"/>
      <c r="B1257" s="1002">
        <v>103</v>
      </c>
      <c r="C1257" s="1003">
        <v>17</v>
      </c>
      <c r="D1257" s="1003">
        <v>13</v>
      </c>
      <c r="E1257" s="1003"/>
      <c r="F1257" s="1003"/>
      <c r="G1257" s="1003"/>
      <c r="H1257" s="1003"/>
      <c r="I1257" s="1003"/>
      <c r="J1257" s="1003"/>
      <c r="K1257" s="1003">
        <f t="shared" si="19"/>
        <v>30</v>
      </c>
      <c r="L1257" s="1004"/>
      <c r="M1257" s="1003"/>
      <c r="N1257" s="1003">
        <v>28</v>
      </c>
      <c r="O1257" s="1005">
        <v>32</v>
      </c>
    </row>
    <row r="1258" spans="1:15" collapsed="1" x14ac:dyDescent="0.2">
      <c r="A1258"/>
      <c r="B1258" s="1002">
        <v>103</v>
      </c>
      <c r="C1258" s="1003">
        <v>13</v>
      </c>
      <c r="D1258" s="1003">
        <v>16</v>
      </c>
      <c r="E1258" s="1003"/>
      <c r="F1258" s="1003"/>
      <c r="G1258" s="1003"/>
      <c r="H1258" s="1003"/>
      <c r="I1258" s="1003"/>
      <c r="J1258" s="1003"/>
      <c r="K1258" s="1003">
        <f t="shared" si="19"/>
        <v>29</v>
      </c>
      <c r="L1258" s="1004"/>
      <c r="M1258" s="1003"/>
      <c r="N1258" s="1003">
        <v>26</v>
      </c>
      <c r="O1258" s="1005">
        <v>32</v>
      </c>
    </row>
    <row r="1259" spans="1:15" collapsed="1" x14ac:dyDescent="0.2">
      <c r="A1259"/>
      <c r="B1259" s="1002">
        <v>103</v>
      </c>
      <c r="C1259" s="1003">
        <v>9</v>
      </c>
      <c r="D1259" s="1003">
        <v>19</v>
      </c>
      <c r="E1259" s="1003"/>
      <c r="F1259" s="1003"/>
      <c r="G1259" s="1003"/>
      <c r="H1259" s="1003"/>
      <c r="I1259" s="1003"/>
      <c r="J1259" s="1003"/>
      <c r="K1259" s="1003">
        <f t="shared" si="19"/>
        <v>28</v>
      </c>
      <c r="L1259" s="1004"/>
      <c r="M1259" s="1003"/>
      <c r="N1259" s="1003">
        <v>24</v>
      </c>
      <c r="O1259" s="1005">
        <v>32</v>
      </c>
    </row>
    <row r="1260" spans="1:15" collapsed="1" x14ac:dyDescent="0.2">
      <c r="A1260"/>
      <c r="B1260" s="1002">
        <v>103</v>
      </c>
      <c r="C1260" s="1003">
        <v>5</v>
      </c>
      <c r="D1260" s="1003">
        <v>22</v>
      </c>
      <c r="E1260" s="1003"/>
      <c r="F1260" s="1003"/>
      <c r="G1260" s="1003"/>
      <c r="H1260" s="1003"/>
      <c r="I1260" s="1003"/>
      <c r="J1260" s="1003"/>
      <c r="K1260" s="1003">
        <f t="shared" si="19"/>
        <v>27</v>
      </c>
      <c r="L1260" s="1004"/>
      <c r="M1260" s="1003"/>
      <c r="N1260" s="1003">
        <v>22</v>
      </c>
      <c r="O1260" s="1005">
        <v>32</v>
      </c>
    </row>
    <row r="1261" spans="1:15" collapsed="1" x14ac:dyDescent="0.2">
      <c r="A1261"/>
      <c r="B1261" s="1002">
        <v>103</v>
      </c>
      <c r="C1261" s="1003">
        <v>1</v>
      </c>
      <c r="D1261" s="1003">
        <v>25</v>
      </c>
      <c r="E1261" s="1003"/>
      <c r="F1261" s="1003"/>
      <c r="G1261" s="1003"/>
      <c r="H1261" s="1003"/>
      <c r="I1261" s="1003"/>
      <c r="J1261" s="1003"/>
      <c r="K1261" s="1003">
        <f t="shared" si="19"/>
        <v>26</v>
      </c>
      <c r="L1261" s="1004"/>
      <c r="M1261" s="1003"/>
      <c r="N1261" s="1003">
        <v>20</v>
      </c>
      <c r="O1261" s="1005">
        <v>32</v>
      </c>
    </row>
    <row r="1262" spans="1:15" collapsed="1" x14ac:dyDescent="0.2">
      <c r="A1262"/>
      <c r="B1262" s="1002">
        <v>103</v>
      </c>
      <c r="C1262" s="1003"/>
      <c r="D1262" s="1003">
        <v>22</v>
      </c>
      <c r="E1262" s="1003">
        <v>3</v>
      </c>
      <c r="F1262" s="1003"/>
      <c r="G1262" s="1003"/>
      <c r="H1262" s="1003"/>
      <c r="I1262" s="1003"/>
      <c r="J1262" s="1003"/>
      <c r="K1262" s="1003">
        <f t="shared" si="19"/>
        <v>25</v>
      </c>
      <c r="L1262" s="1004"/>
      <c r="M1262" s="1003"/>
      <c r="N1262" s="1003">
        <v>18</v>
      </c>
      <c r="O1262" s="1005">
        <v>32</v>
      </c>
    </row>
    <row r="1263" spans="1:15" collapsed="1" x14ac:dyDescent="0.2">
      <c r="A1263"/>
      <c r="B1263" s="1002">
        <v>103</v>
      </c>
      <c r="C1263" s="1003"/>
      <c r="D1263" s="1003">
        <v>17</v>
      </c>
      <c r="E1263" s="1003">
        <v>7</v>
      </c>
      <c r="F1263" s="1003"/>
      <c r="G1263" s="1003"/>
      <c r="H1263" s="1003"/>
      <c r="I1263" s="1003"/>
      <c r="J1263" s="1003"/>
      <c r="K1263" s="1003">
        <f t="shared" si="19"/>
        <v>24</v>
      </c>
      <c r="L1263" s="1004"/>
      <c r="M1263" s="1003"/>
      <c r="N1263" s="1003">
        <v>16</v>
      </c>
      <c r="O1263" s="1005">
        <v>32</v>
      </c>
    </row>
    <row r="1264" spans="1:15" collapsed="1" x14ac:dyDescent="0.2">
      <c r="A1264"/>
      <c r="B1264" s="1002">
        <v>103</v>
      </c>
      <c r="C1264" s="1003"/>
      <c r="D1264" s="1003">
        <v>12</v>
      </c>
      <c r="E1264" s="1003">
        <v>11</v>
      </c>
      <c r="F1264" s="1003"/>
      <c r="G1264" s="1003"/>
      <c r="H1264" s="1003"/>
      <c r="I1264" s="1003"/>
      <c r="J1264" s="1003"/>
      <c r="K1264" s="1003">
        <f t="shared" si="19"/>
        <v>23</v>
      </c>
      <c r="L1264" s="1004"/>
      <c r="M1264" s="1003"/>
      <c r="N1264" s="1003">
        <v>14</v>
      </c>
      <c r="O1264" s="1005">
        <v>32</v>
      </c>
    </row>
    <row r="1265" spans="1:15" collapsed="1" x14ac:dyDescent="0.2">
      <c r="A1265"/>
      <c r="B1265" s="1002">
        <v>103</v>
      </c>
      <c r="C1265" s="1003"/>
      <c r="D1265" s="1003">
        <v>7</v>
      </c>
      <c r="E1265" s="1003">
        <v>15</v>
      </c>
      <c r="F1265" s="1003"/>
      <c r="G1265" s="1003"/>
      <c r="H1265" s="1003"/>
      <c r="I1265" s="1003"/>
      <c r="J1265" s="1003"/>
      <c r="K1265" s="1003">
        <f t="shared" si="19"/>
        <v>22</v>
      </c>
      <c r="L1265" s="1004"/>
      <c r="M1265" s="1003"/>
      <c r="N1265" s="1003">
        <v>12</v>
      </c>
      <c r="O1265" s="1005">
        <v>32</v>
      </c>
    </row>
    <row r="1266" spans="1:15" collapsed="1" x14ac:dyDescent="0.2">
      <c r="A1266"/>
      <c r="B1266" s="1002">
        <v>103</v>
      </c>
      <c r="C1266" s="1003"/>
      <c r="D1266" s="1003">
        <v>2</v>
      </c>
      <c r="E1266" s="1003">
        <v>19</v>
      </c>
      <c r="F1266" s="1003"/>
      <c r="G1266" s="1003"/>
      <c r="H1266" s="1003"/>
      <c r="I1266" s="1003"/>
      <c r="J1266" s="1003"/>
      <c r="K1266" s="1003">
        <f t="shared" si="19"/>
        <v>21</v>
      </c>
      <c r="L1266" s="1004"/>
      <c r="M1266" s="1003"/>
      <c r="N1266" s="1003">
        <v>10</v>
      </c>
      <c r="O1266" s="1005">
        <v>32</v>
      </c>
    </row>
    <row r="1267" spans="1:15" collapsed="1" x14ac:dyDescent="0.2">
      <c r="A1267"/>
      <c r="B1267" s="1002">
        <v>103</v>
      </c>
      <c r="C1267" s="1003"/>
      <c r="D1267" s="1003"/>
      <c r="E1267" s="1003">
        <v>17</v>
      </c>
      <c r="F1267" s="1003">
        <v>3</v>
      </c>
      <c r="G1267" s="1003"/>
      <c r="H1267" s="1003"/>
      <c r="I1267" s="1003"/>
      <c r="J1267" s="1003"/>
      <c r="K1267" s="1003">
        <f t="shared" si="19"/>
        <v>20</v>
      </c>
      <c r="L1267" s="1004"/>
      <c r="M1267" s="1003"/>
      <c r="N1267" s="1003">
        <v>8</v>
      </c>
      <c r="O1267" s="1005">
        <v>32</v>
      </c>
    </row>
    <row r="1268" spans="1:15" collapsed="1" x14ac:dyDescent="0.2">
      <c r="A1268"/>
      <c r="B1268" s="1002">
        <v>103</v>
      </c>
      <c r="C1268" s="1003"/>
      <c r="D1268" s="1003"/>
      <c r="E1268" s="1003">
        <v>11</v>
      </c>
      <c r="F1268" s="1003">
        <v>8</v>
      </c>
      <c r="G1268" s="1003"/>
      <c r="H1268" s="1003"/>
      <c r="I1268" s="1003"/>
      <c r="J1268" s="1003"/>
      <c r="K1268" s="1003">
        <f t="shared" si="19"/>
        <v>19</v>
      </c>
      <c r="L1268" s="1004"/>
      <c r="M1268" s="1003"/>
      <c r="N1268" s="1003">
        <v>6</v>
      </c>
      <c r="O1268" s="1005">
        <v>32</v>
      </c>
    </row>
    <row r="1269" spans="1:15" collapsed="1" x14ac:dyDescent="0.2">
      <c r="A1269"/>
      <c r="B1269" s="1002">
        <v>103</v>
      </c>
      <c r="C1269" s="1003"/>
      <c r="D1269" s="1003"/>
      <c r="E1269" s="1003">
        <v>5</v>
      </c>
      <c r="F1269" s="1003">
        <v>13</v>
      </c>
      <c r="G1269" s="1003"/>
      <c r="H1269" s="1003"/>
      <c r="I1269" s="1003"/>
      <c r="J1269" s="1003"/>
      <c r="K1269" s="1003">
        <f t="shared" si="19"/>
        <v>18</v>
      </c>
      <c r="L1269" s="1004"/>
      <c r="M1269" s="1003"/>
      <c r="N1269" s="1003">
        <v>4</v>
      </c>
      <c r="O1269" s="1005">
        <v>32</v>
      </c>
    </row>
    <row r="1270" spans="1:15" collapsed="1" x14ac:dyDescent="0.2">
      <c r="A1270"/>
      <c r="B1270" s="1002">
        <v>103</v>
      </c>
      <c r="C1270" s="1003"/>
      <c r="D1270" s="1003"/>
      <c r="E1270" s="1003"/>
      <c r="F1270" s="1003">
        <v>16</v>
      </c>
      <c r="G1270" s="1003">
        <v>1</v>
      </c>
      <c r="H1270" s="1003"/>
      <c r="I1270" s="1003"/>
      <c r="J1270" s="1003"/>
      <c r="K1270" s="1003">
        <f t="shared" si="19"/>
        <v>17</v>
      </c>
      <c r="L1270" s="1004"/>
      <c r="M1270" s="1003"/>
      <c r="N1270" s="1003">
        <v>2</v>
      </c>
      <c r="O1270" s="1005">
        <v>32</v>
      </c>
    </row>
    <row r="1271" spans="1:15" collapsed="1" x14ac:dyDescent="0.2">
      <c r="A1271"/>
      <c r="B1271" s="1002">
        <v>103</v>
      </c>
      <c r="C1271" s="1003"/>
      <c r="D1271" s="1003"/>
      <c r="E1271" s="1003"/>
      <c r="F1271" s="1003">
        <v>9</v>
      </c>
      <c r="G1271" s="1003">
        <v>7</v>
      </c>
      <c r="H1271" s="1003"/>
      <c r="I1271" s="1003"/>
      <c r="J1271" s="1003"/>
      <c r="K1271" s="1003">
        <f t="shared" si="19"/>
        <v>16</v>
      </c>
      <c r="L1271" s="1004"/>
      <c r="M1271" s="1003"/>
      <c r="N1271" s="1003"/>
      <c r="O1271" s="1005">
        <v>32</v>
      </c>
    </row>
    <row r="1272" spans="1:15" collapsed="1" x14ac:dyDescent="0.2">
      <c r="A1272"/>
      <c r="B1272" s="1002">
        <v>103</v>
      </c>
      <c r="C1272" s="1003"/>
      <c r="D1272" s="1003"/>
      <c r="E1272" s="1003"/>
      <c r="F1272" s="1003">
        <v>3</v>
      </c>
      <c r="G1272" s="1003">
        <v>12</v>
      </c>
      <c r="H1272" s="1003"/>
      <c r="I1272" s="1003"/>
      <c r="J1272" s="1003"/>
      <c r="K1272" s="1003">
        <f t="shared" si="19"/>
        <v>15</v>
      </c>
      <c r="L1272" s="1004"/>
      <c r="M1272" s="1003"/>
      <c r="N1272" s="1003">
        <v>14</v>
      </c>
      <c r="O1272" s="1005">
        <v>16</v>
      </c>
    </row>
    <row r="1273" spans="1:15" x14ac:dyDescent="0.2">
      <c r="A1273"/>
      <c r="B1273" s="1002">
        <v>103</v>
      </c>
      <c r="C1273" s="1003"/>
      <c r="D1273" s="1003"/>
      <c r="E1273" s="1003"/>
      <c r="F1273" s="1003"/>
      <c r="G1273" s="1003">
        <v>9</v>
      </c>
      <c r="H1273" s="1003">
        <v>5</v>
      </c>
      <c r="I1273" s="1003"/>
      <c r="J1273" s="1003"/>
      <c r="K1273" s="1003">
        <f t="shared" si="19"/>
        <v>14</v>
      </c>
      <c r="L1273" s="1004"/>
      <c r="M1273" s="1003"/>
      <c r="N1273" s="1003">
        <v>12</v>
      </c>
      <c r="O1273" s="1005">
        <v>16</v>
      </c>
    </row>
    <row r="1274" spans="1:15" collapsed="1" x14ac:dyDescent="0.2">
      <c r="A1274"/>
      <c r="B1274" s="1002">
        <v>103</v>
      </c>
      <c r="C1274" s="1003"/>
      <c r="D1274" s="1003"/>
      <c r="E1274" s="1003"/>
      <c r="F1274" s="1003"/>
      <c r="G1274" s="1003">
        <v>1</v>
      </c>
      <c r="H1274" s="1003">
        <v>12</v>
      </c>
      <c r="I1274" s="1003"/>
      <c r="J1274" s="1003"/>
      <c r="K1274" s="1003">
        <f t="shared" si="19"/>
        <v>13</v>
      </c>
      <c r="L1274" s="1004"/>
      <c r="M1274" s="1003"/>
      <c r="N1274" s="1003">
        <v>10</v>
      </c>
      <c r="O1274" s="1005">
        <v>16</v>
      </c>
    </row>
    <row r="1275" spans="1:15" collapsed="1" x14ac:dyDescent="0.2">
      <c r="A1275"/>
      <c r="B1275" s="1002">
        <v>103</v>
      </c>
      <c r="C1275" s="1003"/>
      <c r="D1275" s="1003"/>
      <c r="E1275" s="1003"/>
      <c r="F1275" s="1003"/>
      <c r="G1275" s="1003"/>
      <c r="H1275" s="1003">
        <v>5</v>
      </c>
      <c r="I1275" s="1003">
        <v>7</v>
      </c>
      <c r="J1275" s="1003"/>
      <c r="K1275" s="1003">
        <f t="shared" si="19"/>
        <v>12</v>
      </c>
      <c r="L1275" s="1004"/>
      <c r="M1275" s="1003"/>
      <c r="N1275" s="1003">
        <v>8</v>
      </c>
      <c r="O1275" s="1005">
        <v>16</v>
      </c>
    </row>
    <row r="1276" spans="1:15" x14ac:dyDescent="0.2">
      <c r="A1276"/>
      <c r="B1276" s="1002">
        <v>103</v>
      </c>
      <c r="C1276" s="1003"/>
      <c r="D1276" s="1003"/>
      <c r="E1276" s="1003"/>
      <c r="F1276" s="1003"/>
      <c r="G1276" s="1003"/>
      <c r="H1276" s="1003"/>
      <c r="I1276" s="1003">
        <v>7</v>
      </c>
      <c r="J1276" s="1003">
        <v>4</v>
      </c>
      <c r="K1276" s="1003">
        <f t="shared" si="19"/>
        <v>11</v>
      </c>
      <c r="L1276" s="1004"/>
      <c r="M1276" s="1003"/>
      <c r="N1276" s="1003">
        <v>6</v>
      </c>
      <c r="O1276" s="1005">
        <v>16</v>
      </c>
    </row>
    <row r="1277" spans="1:15" collapsed="1" x14ac:dyDescent="0.2">
      <c r="A1277"/>
      <c r="B1277" s="1002">
        <v>104</v>
      </c>
      <c r="C1277" s="1003">
        <v>32</v>
      </c>
      <c r="D1277" s="1003"/>
      <c r="E1277" s="1003"/>
      <c r="F1277" s="1003"/>
      <c r="G1277" s="1003"/>
      <c r="H1277" s="1003"/>
      <c r="I1277" s="1003"/>
      <c r="J1277" s="1003"/>
      <c r="K1277" s="1003">
        <f t="shared" si="19"/>
        <v>32</v>
      </c>
      <c r="L1277" s="1004"/>
      <c r="M1277" s="1003">
        <v>8</v>
      </c>
      <c r="N1277" s="1003">
        <v>8</v>
      </c>
      <c r="O1277" s="1005">
        <v>64</v>
      </c>
    </row>
    <row r="1278" spans="1:15" collapsed="1" x14ac:dyDescent="0.2">
      <c r="A1278"/>
      <c r="B1278" s="1002">
        <v>104</v>
      </c>
      <c r="C1278" s="1003">
        <v>24</v>
      </c>
      <c r="D1278" s="1003">
        <v>8</v>
      </c>
      <c r="E1278" s="1003"/>
      <c r="F1278" s="1003"/>
      <c r="G1278" s="1003"/>
      <c r="H1278" s="1003"/>
      <c r="I1278" s="1003"/>
      <c r="J1278" s="1003"/>
      <c r="K1278" s="1003">
        <f t="shared" si="19"/>
        <v>32</v>
      </c>
      <c r="L1278" s="1004"/>
      <c r="M1278" s="1003"/>
      <c r="N1278" s="1003"/>
      <c r="O1278" s="1005">
        <v>64</v>
      </c>
    </row>
    <row r="1279" spans="1:15" collapsed="1" x14ac:dyDescent="0.2">
      <c r="A1279"/>
      <c r="B1279" s="1002">
        <v>104</v>
      </c>
      <c r="C1279" s="1003">
        <v>20</v>
      </c>
      <c r="D1279" s="1003">
        <v>11</v>
      </c>
      <c r="E1279" s="1003"/>
      <c r="F1279" s="1003"/>
      <c r="G1279" s="1003"/>
      <c r="H1279" s="1003"/>
      <c r="I1279" s="1003"/>
      <c r="J1279" s="1003"/>
      <c r="K1279" s="1003">
        <f t="shared" si="19"/>
        <v>31</v>
      </c>
      <c r="L1279" s="1004"/>
      <c r="M1279" s="1003"/>
      <c r="N1279" s="1003">
        <v>30</v>
      </c>
      <c r="O1279" s="1005">
        <v>32</v>
      </c>
    </row>
    <row r="1280" spans="1:15" collapsed="1" x14ac:dyDescent="0.2">
      <c r="A1280"/>
      <c r="B1280" s="1002">
        <v>104</v>
      </c>
      <c r="C1280" s="1003">
        <v>16</v>
      </c>
      <c r="D1280" s="1003">
        <v>14</v>
      </c>
      <c r="E1280" s="1003"/>
      <c r="F1280" s="1003"/>
      <c r="G1280" s="1003"/>
      <c r="H1280" s="1003"/>
      <c r="I1280" s="1003"/>
      <c r="J1280" s="1003"/>
      <c r="K1280" s="1003">
        <f t="shared" si="19"/>
        <v>30</v>
      </c>
      <c r="L1280" s="1004"/>
      <c r="M1280" s="1003"/>
      <c r="N1280" s="1003">
        <v>28</v>
      </c>
      <c r="O1280" s="1005">
        <v>32</v>
      </c>
    </row>
    <row r="1281" spans="1:15" collapsed="1" x14ac:dyDescent="0.2">
      <c r="A1281"/>
      <c r="B1281" s="1002">
        <v>104</v>
      </c>
      <c r="C1281" s="1003">
        <v>12</v>
      </c>
      <c r="D1281" s="1003">
        <v>17</v>
      </c>
      <c r="E1281" s="1003"/>
      <c r="F1281" s="1003"/>
      <c r="G1281" s="1003"/>
      <c r="H1281" s="1003"/>
      <c r="I1281" s="1003"/>
      <c r="J1281" s="1003"/>
      <c r="K1281" s="1003">
        <f t="shared" si="19"/>
        <v>29</v>
      </c>
      <c r="L1281" s="1004"/>
      <c r="M1281" s="1003"/>
      <c r="N1281" s="1003">
        <v>26</v>
      </c>
      <c r="O1281" s="1005">
        <v>32</v>
      </c>
    </row>
    <row r="1282" spans="1:15" collapsed="1" x14ac:dyDescent="0.2">
      <c r="A1282"/>
      <c r="B1282" s="1002">
        <v>104</v>
      </c>
      <c r="C1282" s="1003">
        <v>8</v>
      </c>
      <c r="D1282" s="1003">
        <v>20</v>
      </c>
      <c r="E1282" s="1003"/>
      <c r="F1282" s="1003"/>
      <c r="G1282" s="1003"/>
      <c r="H1282" s="1003"/>
      <c r="I1282" s="1003"/>
      <c r="J1282" s="1003"/>
      <c r="K1282" s="1003">
        <f t="shared" si="19"/>
        <v>28</v>
      </c>
      <c r="L1282" s="1004"/>
      <c r="M1282" s="1003"/>
      <c r="N1282" s="1003">
        <v>24</v>
      </c>
      <c r="O1282" s="1005">
        <v>32</v>
      </c>
    </row>
    <row r="1283" spans="1:15" collapsed="1" x14ac:dyDescent="0.2">
      <c r="A1283"/>
      <c r="B1283" s="1002">
        <v>104</v>
      </c>
      <c r="C1283" s="1003">
        <v>4</v>
      </c>
      <c r="D1283" s="1003">
        <v>23</v>
      </c>
      <c r="E1283" s="1003"/>
      <c r="F1283" s="1003"/>
      <c r="G1283" s="1003"/>
      <c r="H1283" s="1003"/>
      <c r="I1283" s="1003"/>
      <c r="J1283" s="1003"/>
      <c r="K1283" s="1003">
        <f t="shared" si="19"/>
        <v>27</v>
      </c>
      <c r="L1283" s="1004"/>
      <c r="M1283" s="1003"/>
      <c r="N1283" s="1003">
        <v>22</v>
      </c>
      <c r="O1283" s="1005">
        <v>32</v>
      </c>
    </row>
    <row r="1284" spans="1:15" collapsed="1" x14ac:dyDescent="0.2">
      <c r="A1284"/>
      <c r="B1284" s="1002">
        <v>104</v>
      </c>
      <c r="C1284" s="1003"/>
      <c r="D1284" s="1003">
        <v>26</v>
      </c>
      <c r="E1284" s="1003"/>
      <c r="F1284" s="1003"/>
      <c r="G1284" s="1003"/>
      <c r="H1284" s="1003"/>
      <c r="I1284" s="1003"/>
      <c r="J1284" s="1003"/>
      <c r="K1284" s="1003">
        <f t="shared" si="19"/>
        <v>26</v>
      </c>
      <c r="L1284" s="1004"/>
      <c r="M1284" s="1003"/>
      <c r="N1284" s="1003">
        <v>20</v>
      </c>
      <c r="O1284" s="1005">
        <v>32</v>
      </c>
    </row>
    <row r="1285" spans="1:15" collapsed="1" x14ac:dyDescent="0.2">
      <c r="A1285"/>
      <c r="B1285" s="1002">
        <v>104</v>
      </c>
      <c r="C1285" s="1003"/>
      <c r="D1285" s="1003">
        <v>21</v>
      </c>
      <c r="E1285" s="1003">
        <v>4</v>
      </c>
      <c r="F1285" s="1003"/>
      <c r="G1285" s="1003"/>
      <c r="H1285" s="1003"/>
      <c r="I1285" s="1003"/>
      <c r="J1285" s="1003"/>
      <c r="K1285" s="1003">
        <f t="shared" si="19"/>
        <v>25</v>
      </c>
      <c r="L1285" s="1004"/>
      <c r="M1285" s="1003"/>
      <c r="N1285" s="1003">
        <v>18</v>
      </c>
      <c r="O1285" s="1005">
        <v>32</v>
      </c>
    </row>
    <row r="1286" spans="1:15" collapsed="1" x14ac:dyDescent="0.2">
      <c r="A1286"/>
      <c r="B1286" s="1002">
        <v>104</v>
      </c>
      <c r="C1286" s="1003"/>
      <c r="D1286" s="1003">
        <v>16</v>
      </c>
      <c r="E1286" s="1003">
        <v>8</v>
      </c>
      <c r="F1286" s="1003"/>
      <c r="G1286" s="1003"/>
      <c r="H1286" s="1003"/>
      <c r="I1286" s="1003"/>
      <c r="J1286" s="1003"/>
      <c r="K1286" s="1003">
        <f t="shared" ref="K1286:K1349" si="20">SUM(C1286:J1286)</f>
        <v>24</v>
      </c>
      <c r="L1286" s="1004"/>
      <c r="M1286" s="1003"/>
      <c r="N1286" s="1003">
        <v>16</v>
      </c>
      <c r="O1286" s="1005">
        <v>32</v>
      </c>
    </row>
    <row r="1287" spans="1:15" collapsed="1" x14ac:dyDescent="0.2">
      <c r="A1287"/>
      <c r="B1287" s="1002">
        <v>104</v>
      </c>
      <c r="C1287" s="1003"/>
      <c r="D1287" s="1003">
        <v>11</v>
      </c>
      <c r="E1287" s="1003">
        <v>12</v>
      </c>
      <c r="F1287" s="1003"/>
      <c r="G1287" s="1003"/>
      <c r="H1287" s="1003"/>
      <c r="I1287" s="1003"/>
      <c r="J1287" s="1003"/>
      <c r="K1287" s="1003">
        <f t="shared" si="20"/>
        <v>23</v>
      </c>
      <c r="L1287" s="1004"/>
      <c r="M1287" s="1003"/>
      <c r="N1287" s="1003">
        <v>14</v>
      </c>
      <c r="O1287" s="1005">
        <v>32</v>
      </c>
    </row>
    <row r="1288" spans="1:15" collapsed="1" x14ac:dyDescent="0.2">
      <c r="A1288"/>
      <c r="B1288" s="1002">
        <v>104</v>
      </c>
      <c r="C1288" s="1003"/>
      <c r="D1288" s="1003">
        <v>6</v>
      </c>
      <c r="E1288" s="1003">
        <v>16</v>
      </c>
      <c r="F1288" s="1003"/>
      <c r="G1288" s="1003"/>
      <c r="H1288" s="1003"/>
      <c r="I1288" s="1003"/>
      <c r="J1288" s="1003"/>
      <c r="K1288" s="1003">
        <f t="shared" si="20"/>
        <v>22</v>
      </c>
      <c r="L1288" s="1004"/>
      <c r="M1288" s="1003"/>
      <c r="N1288" s="1003">
        <v>12</v>
      </c>
      <c r="O1288" s="1005">
        <v>32</v>
      </c>
    </row>
    <row r="1289" spans="1:15" collapsed="1" x14ac:dyDescent="0.2">
      <c r="A1289"/>
      <c r="B1289" s="1002">
        <v>104</v>
      </c>
      <c r="C1289" s="1003"/>
      <c r="D1289" s="1003">
        <v>1</v>
      </c>
      <c r="E1289" s="1003">
        <v>20</v>
      </c>
      <c r="F1289" s="1003"/>
      <c r="G1289" s="1003"/>
      <c r="H1289" s="1003"/>
      <c r="I1289" s="1003"/>
      <c r="J1289" s="1003"/>
      <c r="K1289" s="1003">
        <f t="shared" si="20"/>
        <v>21</v>
      </c>
      <c r="L1289" s="1004"/>
      <c r="M1289" s="1003"/>
      <c r="N1289" s="1003">
        <v>10</v>
      </c>
      <c r="O1289" s="1005">
        <v>32</v>
      </c>
    </row>
    <row r="1290" spans="1:15" collapsed="1" x14ac:dyDescent="0.2">
      <c r="A1290"/>
      <c r="B1290" s="1002">
        <v>104</v>
      </c>
      <c r="C1290" s="1003"/>
      <c r="D1290" s="1003"/>
      <c r="E1290" s="1003">
        <v>16</v>
      </c>
      <c r="F1290" s="1003">
        <v>4</v>
      </c>
      <c r="G1290" s="1003"/>
      <c r="H1290" s="1003"/>
      <c r="I1290" s="1003"/>
      <c r="J1290" s="1003"/>
      <c r="K1290" s="1003">
        <f t="shared" si="20"/>
        <v>20</v>
      </c>
      <c r="L1290" s="1004"/>
      <c r="M1290" s="1003"/>
      <c r="N1290" s="1003">
        <v>8</v>
      </c>
      <c r="O1290" s="1005">
        <v>32</v>
      </c>
    </row>
    <row r="1291" spans="1:15" collapsed="1" x14ac:dyDescent="0.2">
      <c r="A1291"/>
      <c r="B1291" s="1002">
        <v>104</v>
      </c>
      <c r="C1291" s="1003"/>
      <c r="D1291" s="1003"/>
      <c r="E1291" s="1003">
        <v>10</v>
      </c>
      <c r="F1291" s="1003">
        <v>9</v>
      </c>
      <c r="G1291" s="1003"/>
      <c r="H1291" s="1003"/>
      <c r="I1291" s="1003"/>
      <c r="J1291" s="1003"/>
      <c r="K1291" s="1003">
        <f t="shared" si="20"/>
        <v>19</v>
      </c>
      <c r="L1291" s="1004"/>
      <c r="M1291" s="1003"/>
      <c r="N1291" s="1003">
        <v>6</v>
      </c>
      <c r="O1291" s="1005">
        <v>32</v>
      </c>
    </row>
    <row r="1292" spans="1:15" collapsed="1" x14ac:dyDescent="0.2">
      <c r="A1292"/>
      <c r="B1292" s="1002">
        <v>104</v>
      </c>
      <c r="C1292" s="1003"/>
      <c r="D1292" s="1003"/>
      <c r="E1292" s="1003">
        <v>4</v>
      </c>
      <c r="F1292" s="1003">
        <v>14</v>
      </c>
      <c r="G1292" s="1003"/>
      <c r="H1292" s="1003"/>
      <c r="I1292" s="1003"/>
      <c r="J1292" s="1003"/>
      <c r="K1292" s="1003">
        <f t="shared" si="20"/>
        <v>18</v>
      </c>
      <c r="L1292" s="1004"/>
      <c r="M1292" s="1003"/>
      <c r="N1292" s="1003">
        <v>4</v>
      </c>
      <c r="O1292" s="1005">
        <v>32</v>
      </c>
    </row>
    <row r="1293" spans="1:15" collapsed="1" x14ac:dyDescent="0.2">
      <c r="A1293"/>
      <c r="B1293" s="1002">
        <v>104</v>
      </c>
      <c r="C1293" s="1003"/>
      <c r="D1293" s="1003"/>
      <c r="E1293" s="1003"/>
      <c r="F1293" s="1003">
        <v>15</v>
      </c>
      <c r="G1293" s="1003">
        <v>2</v>
      </c>
      <c r="H1293" s="1003"/>
      <c r="I1293" s="1003"/>
      <c r="J1293" s="1003"/>
      <c r="K1293" s="1003">
        <f t="shared" si="20"/>
        <v>17</v>
      </c>
      <c r="L1293" s="1004"/>
      <c r="M1293" s="1003"/>
      <c r="N1293" s="1003">
        <v>2</v>
      </c>
      <c r="O1293" s="1005">
        <v>32</v>
      </c>
    </row>
    <row r="1294" spans="1:15" collapsed="1" x14ac:dyDescent="0.2">
      <c r="A1294"/>
      <c r="B1294" s="1002">
        <v>104</v>
      </c>
      <c r="C1294" s="1003"/>
      <c r="D1294" s="1003"/>
      <c r="E1294" s="1003"/>
      <c r="F1294" s="1003">
        <v>8</v>
      </c>
      <c r="G1294" s="1003">
        <v>8</v>
      </c>
      <c r="H1294" s="1003"/>
      <c r="I1294" s="1003"/>
      <c r="J1294" s="1003"/>
      <c r="K1294" s="1003">
        <f t="shared" si="20"/>
        <v>16</v>
      </c>
      <c r="L1294" s="1004"/>
      <c r="M1294" s="1003"/>
      <c r="N1294" s="1003"/>
      <c r="O1294" s="1005">
        <v>32</v>
      </c>
    </row>
    <row r="1295" spans="1:15" collapsed="1" x14ac:dyDescent="0.2">
      <c r="A1295"/>
      <c r="B1295" s="1002">
        <v>104</v>
      </c>
      <c r="C1295" s="1003"/>
      <c r="D1295" s="1003"/>
      <c r="E1295" s="1003"/>
      <c r="F1295" s="1003">
        <v>2</v>
      </c>
      <c r="G1295" s="1003">
        <v>13</v>
      </c>
      <c r="H1295" s="1003"/>
      <c r="I1295" s="1003"/>
      <c r="J1295" s="1003"/>
      <c r="K1295" s="1003">
        <f t="shared" si="20"/>
        <v>15</v>
      </c>
      <c r="L1295" s="1004"/>
      <c r="M1295" s="1003"/>
      <c r="N1295" s="1003">
        <v>14</v>
      </c>
      <c r="O1295" s="1005">
        <v>16</v>
      </c>
    </row>
    <row r="1296" spans="1:15" x14ac:dyDescent="0.2">
      <c r="A1296"/>
      <c r="B1296" s="1002">
        <v>104</v>
      </c>
      <c r="C1296" s="1003"/>
      <c r="D1296" s="1003"/>
      <c r="E1296" s="1003"/>
      <c r="F1296" s="1003"/>
      <c r="G1296" s="1003">
        <v>8</v>
      </c>
      <c r="H1296" s="1003">
        <v>6</v>
      </c>
      <c r="I1296" s="1003"/>
      <c r="J1296" s="1003"/>
      <c r="K1296" s="1003">
        <f t="shared" si="20"/>
        <v>14</v>
      </c>
      <c r="L1296" s="1004"/>
      <c r="M1296" s="1003"/>
      <c r="N1296" s="1003">
        <v>12</v>
      </c>
      <c r="O1296" s="1005">
        <v>16</v>
      </c>
    </row>
    <row r="1297" spans="1:15" collapsed="1" x14ac:dyDescent="0.2">
      <c r="A1297"/>
      <c r="B1297" s="1002">
        <v>104</v>
      </c>
      <c r="C1297" s="1003"/>
      <c r="D1297" s="1003"/>
      <c r="E1297" s="1003"/>
      <c r="F1297" s="1003"/>
      <c r="G1297" s="1003"/>
      <c r="H1297" s="1003">
        <v>13</v>
      </c>
      <c r="I1297" s="1003"/>
      <c r="J1297" s="1003"/>
      <c r="K1297" s="1003">
        <f t="shared" si="20"/>
        <v>13</v>
      </c>
      <c r="L1297" s="1004"/>
      <c r="M1297" s="1003"/>
      <c r="N1297" s="1003">
        <v>10</v>
      </c>
      <c r="O1297" s="1005">
        <v>16</v>
      </c>
    </row>
    <row r="1298" spans="1:15" collapsed="1" x14ac:dyDescent="0.2">
      <c r="A1298"/>
      <c r="B1298" s="1002">
        <v>104</v>
      </c>
      <c r="C1298" s="1003"/>
      <c r="D1298" s="1003"/>
      <c r="E1298" s="1003"/>
      <c r="F1298" s="1003"/>
      <c r="G1298" s="1003"/>
      <c r="H1298" s="1003">
        <v>4</v>
      </c>
      <c r="I1298" s="1003">
        <v>8</v>
      </c>
      <c r="J1298" s="1003"/>
      <c r="K1298" s="1003">
        <f t="shared" si="20"/>
        <v>12</v>
      </c>
      <c r="L1298" s="1004"/>
      <c r="M1298" s="1003"/>
      <c r="N1298" s="1003">
        <v>8</v>
      </c>
      <c r="O1298" s="1005">
        <v>16</v>
      </c>
    </row>
    <row r="1299" spans="1:15" x14ac:dyDescent="0.2">
      <c r="A1299"/>
      <c r="B1299" s="1002">
        <v>104</v>
      </c>
      <c r="C1299" s="1003"/>
      <c r="D1299" s="1003"/>
      <c r="E1299" s="1003"/>
      <c r="F1299" s="1003"/>
      <c r="G1299" s="1003"/>
      <c r="H1299" s="1003"/>
      <c r="I1299" s="1003">
        <v>6</v>
      </c>
      <c r="J1299" s="1003">
        <v>5</v>
      </c>
      <c r="K1299" s="1003">
        <f t="shared" si="20"/>
        <v>11</v>
      </c>
      <c r="L1299" s="1004"/>
      <c r="M1299" s="1003"/>
      <c r="N1299" s="1003">
        <v>6</v>
      </c>
      <c r="O1299" s="1005">
        <v>16</v>
      </c>
    </row>
    <row r="1300" spans="1:15" collapsed="1" x14ac:dyDescent="0.2">
      <c r="A1300"/>
      <c r="B1300" s="1002">
        <v>105</v>
      </c>
      <c r="C1300" s="1003">
        <v>32</v>
      </c>
      <c r="D1300" s="1003"/>
      <c r="E1300" s="1003"/>
      <c r="F1300" s="1003"/>
      <c r="G1300" s="1003"/>
      <c r="H1300" s="1003"/>
      <c r="I1300" s="1003"/>
      <c r="J1300" s="1003"/>
      <c r="K1300" s="1003">
        <f t="shared" si="20"/>
        <v>32</v>
      </c>
      <c r="L1300" s="1004"/>
      <c r="M1300" s="1003">
        <v>9</v>
      </c>
      <c r="N1300" s="1003">
        <v>9</v>
      </c>
      <c r="O1300" s="1005">
        <v>64</v>
      </c>
    </row>
    <row r="1301" spans="1:15" collapsed="1" x14ac:dyDescent="0.2">
      <c r="A1301"/>
      <c r="B1301" s="1002">
        <v>105</v>
      </c>
      <c r="C1301" s="1003">
        <v>23</v>
      </c>
      <c r="D1301" s="1003">
        <v>9</v>
      </c>
      <c r="E1301" s="1003"/>
      <c r="F1301" s="1003"/>
      <c r="G1301" s="1003"/>
      <c r="H1301" s="1003"/>
      <c r="I1301" s="1003"/>
      <c r="J1301" s="1003"/>
      <c r="K1301" s="1003">
        <f t="shared" si="20"/>
        <v>32</v>
      </c>
      <c r="L1301" s="1004"/>
      <c r="M1301" s="1003"/>
      <c r="N1301" s="1003"/>
      <c r="O1301" s="1005">
        <v>64</v>
      </c>
    </row>
    <row r="1302" spans="1:15" collapsed="1" x14ac:dyDescent="0.2">
      <c r="A1302"/>
      <c r="B1302" s="1002">
        <v>105</v>
      </c>
      <c r="C1302" s="1003">
        <v>19</v>
      </c>
      <c r="D1302" s="1003">
        <v>12</v>
      </c>
      <c r="E1302" s="1003"/>
      <c r="F1302" s="1003"/>
      <c r="G1302" s="1003"/>
      <c r="H1302" s="1003"/>
      <c r="I1302" s="1003"/>
      <c r="J1302" s="1003"/>
      <c r="K1302" s="1003">
        <f t="shared" si="20"/>
        <v>31</v>
      </c>
      <c r="L1302" s="1004"/>
      <c r="M1302" s="1003"/>
      <c r="N1302" s="1003">
        <v>30</v>
      </c>
      <c r="O1302" s="1005">
        <v>32</v>
      </c>
    </row>
    <row r="1303" spans="1:15" collapsed="1" x14ac:dyDescent="0.2">
      <c r="A1303"/>
      <c r="B1303" s="1002">
        <v>105</v>
      </c>
      <c r="C1303" s="1003">
        <v>15</v>
      </c>
      <c r="D1303" s="1003">
        <v>15</v>
      </c>
      <c r="E1303" s="1003"/>
      <c r="F1303" s="1003"/>
      <c r="G1303" s="1003"/>
      <c r="H1303" s="1003"/>
      <c r="I1303" s="1003"/>
      <c r="J1303" s="1003"/>
      <c r="K1303" s="1003">
        <f t="shared" si="20"/>
        <v>30</v>
      </c>
      <c r="L1303" s="1004"/>
      <c r="M1303" s="1003"/>
      <c r="N1303" s="1003">
        <v>28</v>
      </c>
      <c r="O1303" s="1005">
        <v>32</v>
      </c>
    </row>
    <row r="1304" spans="1:15" collapsed="1" x14ac:dyDescent="0.2">
      <c r="A1304"/>
      <c r="B1304" s="1002">
        <v>105</v>
      </c>
      <c r="C1304" s="1003">
        <v>11</v>
      </c>
      <c r="D1304" s="1003">
        <v>18</v>
      </c>
      <c r="E1304" s="1003"/>
      <c r="F1304" s="1003"/>
      <c r="G1304" s="1003"/>
      <c r="H1304" s="1003"/>
      <c r="I1304" s="1003"/>
      <c r="J1304" s="1003"/>
      <c r="K1304" s="1003">
        <f t="shared" si="20"/>
        <v>29</v>
      </c>
      <c r="L1304" s="1004"/>
      <c r="M1304" s="1003"/>
      <c r="N1304" s="1003">
        <v>26</v>
      </c>
      <c r="O1304" s="1005">
        <v>32</v>
      </c>
    </row>
    <row r="1305" spans="1:15" collapsed="1" x14ac:dyDescent="0.2">
      <c r="A1305"/>
      <c r="B1305" s="1002">
        <v>105</v>
      </c>
      <c r="C1305" s="1003">
        <v>7</v>
      </c>
      <c r="D1305" s="1003">
        <v>21</v>
      </c>
      <c r="E1305" s="1003"/>
      <c r="F1305" s="1003"/>
      <c r="G1305" s="1003"/>
      <c r="H1305" s="1003"/>
      <c r="I1305" s="1003"/>
      <c r="J1305" s="1003"/>
      <c r="K1305" s="1003">
        <f t="shared" si="20"/>
        <v>28</v>
      </c>
      <c r="L1305" s="1004"/>
      <c r="M1305" s="1003"/>
      <c r="N1305" s="1003">
        <v>24</v>
      </c>
      <c r="O1305" s="1005">
        <v>32</v>
      </c>
    </row>
    <row r="1306" spans="1:15" collapsed="1" x14ac:dyDescent="0.2">
      <c r="A1306"/>
      <c r="B1306" s="1002">
        <v>105</v>
      </c>
      <c r="C1306" s="1003">
        <v>3</v>
      </c>
      <c r="D1306" s="1003">
        <v>24</v>
      </c>
      <c r="E1306" s="1003"/>
      <c r="F1306" s="1003"/>
      <c r="G1306" s="1003"/>
      <c r="H1306" s="1003"/>
      <c r="I1306" s="1003"/>
      <c r="J1306" s="1003"/>
      <c r="K1306" s="1003">
        <f t="shared" si="20"/>
        <v>27</v>
      </c>
      <c r="L1306" s="1004"/>
      <c r="M1306" s="1003"/>
      <c r="N1306" s="1003">
        <v>22</v>
      </c>
      <c r="O1306" s="1005">
        <v>32</v>
      </c>
    </row>
    <row r="1307" spans="1:15" collapsed="1" x14ac:dyDescent="0.2">
      <c r="A1307"/>
      <c r="B1307" s="1002">
        <v>105</v>
      </c>
      <c r="C1307" s="1003"/>
      <c r="D1307" s="1003">
        <v>25</v>
      </c>
      <c r="E1307" s="1003">
        <v>1</v>
      </c>
      <c r="F1307" s="1003"/>
      <c r="G1307" s="1003"/>
      <c r="H1307" s="1003"/>
      <c r="I1307" s="1003"/>
      <c r="J1307" s="1003"/>
      <c r="K1307" s="1003">
        <f t="shared" si="20"/>
        <v>26</v>
      </c>
      <c r="L1307" s="1004"/>
      <c r="M1307" s="1003"/>
      <c r="N1307" s="1003">
        <v>20</v>
      </c>
      <c r="O1307" s="1005">
        <v>32</v>
      </c>
    </row>
    <row r="1308" spans="1:15" collapsed="1" x14ac:dyDescent="0.2">
      <c r="A1308"/>
      <c r="B1308" s="1002">
        <v>105</v>
      </c>
      <c r="C1308" s="1003"/>
      <c r="D1308" s="1003">
        <v>20</v>
      </c>
      <c r="E1308" s="1003">
        <v>5</v>
      </c>
      <c r="F1308" s="1003"/>
      <c r="G1308" s="1003"/>
      <c r="H1308" s="1003"/>
      <c r="I1308" s="1003"/>
      <c r="J1308" s="1003"/>
      <c r="K1308" s="1003">
        <f t="shared" si="20"/>
        <v>25</v>
      </c>
      <c r="L1308" s="1004"/>
      <c r="M1308" s="1003"/>
      <c r="N1308" s="1003">
        <v>18</v>
      </c>
      <c r="O1308" s="1005">
        <v>32</v>
      </c>
    </row>
    <row r="1309" spans="1:15" collapsed="1" x14ac:dyDescent="0.2">
      <c r="A1309"/>
      <c r="B1309" s="1002">
        <v>105</v>
      </c>
      <c r="C1309" s="1003"/>
      <c r="D1309" s="1003">
        <v>15</v>
      </c>
      <c r="E1309" s="1003">
        <v>9</v>
      </c>
      <c r="F1309" s="1003"/>
      <c r="G1309" s="1003"/>
      <c r="H1309" s="1003"/>
      <c r="I1309" s="1003"/>
      <c r="J1309" s="1003"/>
      <c r="K1309" s="1003">
        <f t="shared" si="20"/>
        <v>24</v>
      </c>
      <c r="L1309" s="1004"/>
      <c r="M1309" s="1003"/>
      <c r="N1309" s="1003">
        <v>16</v>
      </c>
      <c r="O1309" s="1005">
        <v>32</v>
      </c>
    </row>
    <row r="1310" spans="1:15" collapsed="1" x14ac:dyDescent="0.2">
      <c r="A1310"/>
      <c r="B1310" s="1002">
        <v>105</v>
      </c>
      <c r="C1310" s="1003"/>
      <c r="D1310" s="1003">
        <v>10</v>
      </c>
      <c r="E1310" s="1003">
        <v>13</v>
      </c>
      <c r="F1310" s="1003"/>
      <c r="G1310" s="1003"/>
      <c r="H1310" s="1003"/>
      <c r="I1310" s="1003"/>
      <c r="J1310" s="1003"/>
      <c r="K1310" s="1003">
        <f t="shared" si="20"/>
        <v>23</v>
      </c>
      <c r="L1310" s="1004"/>
      <c r="M1310" s="1003"/>
      <c r="N1310" s="1003">
        <v>14</v>
      </c>
      <c r="O1310" s="1005">
        <v>32</v>
      </c>
    </row>
    <row r="1311" spans="1:15" collapsed="1" x14ac:dyDescent="0.2">
      <c r="A1311"/>
      <c r="B1311" s="1002">
        <v>105</v>
      </c>
      <c r="C1311" s="1003"/>
      <c r="D1311" s="1003">
        <v>5</v>
      </c>
      <c r="E1311" s="1003">
        <v>17</v>
      </c>
      <c r="F1311" s="1003"/>
      <c r="G1311" s="1003"/>
      <c r="H1311" s="1003"/>
      <c r="I1311" s="1003"/>
      <c r="J1311" s="1003"/>
      <c r="K1311" s="1003">
        <f t="shared" si="20"/>
        <v>22</v>
      </c>
      <c r="L1311" s="1004"/>
      <c r="M1311" s="1003"/>
      <c r="N1311" s="1003">
        <v>12</v>
      </c>
      <c r="O1311" s="1005">
        <v>32</v>
      </c>
    </row>
    <row r="1312" spans="1:15" collapsed="1" x14ac:dyDescent="0.2">
      <c r="A1312"/>
      <c r="B1312" s="1002">
        <v>105</v>
      </c>
      <c r="C1312" s="1003"/>
      <c r="D1312" s="1003"/>
      <c r="E1312" s="1003">
        <v>21</v>
      </c>
      <c r="F1312" s="1003"/>
      <c r="G1312" s="1003"/>
      <c r="H1312" s="1003"/>
      <c r="I1312" s="1003"/>
      <c r="J1312" s="1003"/>
      <c r="K1312" s="1003">
        <f t="shared" si="20"/>
        <v>21</v>
      </c>
      <c r="L1312" s="1004"/>
      <c r="M1312" s="1003"/>
      <c r="N1312" s="1003">
        <v>10</v>
      </c>
      <c r="O1312" s="1005">
        <v>32</v>
      </c>
    </row>
    <row r="1313" spans="1:15" collapsed="1" x14ac:dyDescent="0.2">
      <c r="A1313"/>
      <c r="B1313" s="1002">
        <v>105</v>
      </c>
      <c r="C1313" s="1003"/>
      <c r="D1313" s="1003"/>
      <c r="E1313" s="1003">
        <v>15</v>
      </c>
      <c r="F1313" s="1003">
        <v>5</v>
      </c>
      <c r="G1313" s="1003"/>
      <c r="H1313" s="1003"/>
      <c r="I1313" s="1003"/>
      <c r="J1313" s="1003"/>
      <c r="K1313" s="1003">
        <f t="shared" si="20"/>
        <v>20</v>
      </c>
      <c r="L1313" s="1004"/>
      <c r="M1313" s="1003"/>
      <c r="N1313" s="1003">
        <v>8</v>
      </c>
      <c r="O1313" s="1005">
        <v>32</v>
      </c>
    </row>
    <row r="1314" spans="1:15" collapsed="1" x14ac:dyDescent="0.2">
      <c r="A1314"/>
      <c r="B1314" s="1002">
        <v>105</v>
      </c>
      <c r="C1314" s="1003"/>
      <c r="D1314" s="1003"/>
      <c r="E1314" s="1003">
        <v>9</v>
      </c>
      <c r="F1314" s="1003">
        <v>10</v>
      </c>
      <c r="G1314" s="1003"/>
      <c r="H1314" s="1003"/>
      <c r="I1314" s="1003"/>
      <c r="J1314" s="1003"/>
      <c r="K1314" s="1003">
        <f t="shared" si="20"/>
        <v>19</v>
      </c>
      <c r="L1314" s="1004"/>
      <c r="M1314" s="1003"/>
      <c r="N1314" s="1003">
        <v>6</v>
      </c>
      <c r="O1314" s="1005">
        <v>32</v>
      </c>
    </row>
    <row r="1315" spans="1:15" collapsed="1" x14ac:dyDescent="0.2">
      <c r="A1315"/>
      <c r="B1315" s="1002">
        <v>105</v>
      </c>
      <c r="C1315" s="1003"/>
      <c r="D1315" s="1003"/>
      <c r="E1315" s="1003">
        <v>3</v>
      </c>
      <c r="F1315" s="1003">
        <v>15</v>
      </c>
      <c r="G1315" s="1003"/>
      <c r="H1315" s="1003"/>
      <c r="I1315" s="1003"/>
      <c r="J1315" s="1003"/>
      <c r="K1315" s="1003">
        <f t="shared" si="20"/>
        <v>18</v>
      </c>
      <c r="L1315" s="1004"/>
      <c r="M1315" s="1003"/>
      <c r="N1315" s="1003">
        <v>4</v>
      </c>
      <c r="O1315" s="1005">
        <v>32</v>
      </c>
    </row>
    <row r="1316" spans="1:15" collapsed="1" x14ac:dyDescent="0.2">
      <c r="A1316"/>
      <c r="B1316" s="1002">
        <v>105</v>
      </c>
      <c r="C1316" s="1003"/>
      <c r="D1316" s="1003"/>
      <c r="E1316" s="1003"/>
      <c r="F1316" s="1003">
        <v>14</v>
      </c>
      <c r="G1316" s="1003">
        <v>3</v>
      </c>
      <c r="H1316" s="1003"/>
      <c r="I1316" s="1003"/>
      <c r="J1316" s="1003"/>
      <c r="K1316" s="1003">
        <f t="shared" si="20"/>
        <v>17</v>
      </c>
      <c r="L1316" s="1004"/>
      <c r="M1316" s="1003"/>
      <c r="N1316" s="1003">
        <v>2</v>
      </c>
      <c r="O1316" s="1005">
        <v>32</v>
      </c>
    </row>
    <row r="1317" spans="1:15" collapsed="1" x14ac:dyDescent="0.2">
      <c r="A1317"/>
      <c r="B1317" s="1002">
        <v>105</v>
      </c>
      <c r="C1317" s="1003"/>
      <c r="D1317" s="1003"/>
      <c r="E1317" s="1003"/>
      <c r="F1317" s="1003">
        <v>7</v>
      </c>
      <c r="G1317" s="1003">
        <v>9</v>
      </c>
      <c r="H1317" s="1003"/>
      <c r="I1317" s="1003"/>
      <c r="J1317" s="1003"/>
      <c r="K1317" s="1003">
        <f t="shared" si="20"/>
        <v>16</v>
      </c>
      <c r="L1317" s="1004"/>
      <c r="M1317" s="1003"/>
      <c r="N1317" s="1003"/>
      <c r="O1317" s="1005">
        <v>32</v>
      </c>
    </row>
    <row r="1318" spans="1:15" collapsed="1" x14ac:dyDescent="0.2">
      <c r="A1318"/>
      <c r="B1318" s="1002">
        <v>105</v>
      </c>
      <c r="C1318" s="1003"/>
      <c r="D1318" s="1003"/>
      <c r="E1318" s="1003"/>
      <c r="F1318" s="1003">
        <v>1</v>
      </c>
      <c r="G1318" s="1003">
        <v>14</v>
      </c>
      <c r="H1318" s="1003"/>
      <c r="I1318" s="1003"/>
      <c r="J1318" s="1003"/>
      <c r="K1318" s="1003">
        <f t="shared" si="20"/>
        <v>15</v>
      </c>
      <c r="L1318" s="1004"/>
      <c r="M1318" s="1003"/>
      <c r="N1318" s="1003">
        <v>14</v>
      </c>
      <c r="O1318" s="1005">
        <v>16</v>
      </c>
    </row>
    <row r="1319" spans="1:15" x14ac:dyDescent="0.2">
      <c r="A1319"/>
      <c r="B1319" s="1002">
        <v>105</v>
      </c>
      <c r="C1319" s="1003"/>
      <c r="D1319" s="1003"/>
      <c r="E1319" s="1003"/>
      <c r="F1319" s="1003"/>
      <c r="G1319" s="1003">
        <v>7</v>
      </c>
      <c r="H1319" s="1003">
        <v>7</v>
      </c>
      <c r="I1319" s="1003"/>
      <c r="J1319" s="1003"/>
      <c r="K1319" s="1003">
        <f t="shared" si="20"/>
        <v>14</v>
      </c>
      <c r="L1319" s="1004"/>
      <c r="M1319" s="1003"/>
      <c r="N1319" s="1003">
        <v>12</v>
      </c>
      <c r="O1319" s="1005">
        <v>16</v>
      </c>
    </row>
    <row r="1320" spans="1:15" collapsed="1" x14ac:dyDescent="0.2">
      <c r="A1320"/>
      <c r="B1320" s="1002">
        <v>105</v>
      </c>
      <c r="C1320" s="1003"/>
      <c r="D1320" s="1003"/>
      <c r="E1320" s="1003"/>
      <c r="F1320" s="1003"/>
      <c r="G1320" s="1003"/>
      <c r="H1320" s="1003">
        <v>12</v>
      </c>
      <c r="I1320" s="1003">
        <v>1</v>
      </c>
      <c r="J1320" s="1003"/>
      <c r="K1320" s="1003">
        <f t="shared" si="20"/>
        <v>13</v>
      </c>
      <c r="L1320" s="1004"/>
      <c r="M1320" s="1003"/>
      <c r="N1320" s="1003">
        <v>10</v>
      </c>
      <c r="O1320" s="1005">
        <v>16</v>
      </c>
    </row>
    <row r="1321" spans="1:15" collapsed="1" x14ac:dyDescent="0.2">
      <c r="A1321"/>
      <c r="B1321" s="1002">
        <v>105</v>
      </c>
      <c r="C1321" s="1003"/>
      <c r="D1321" s="1003"/>
      <c r="E1321" s="1003"/>
      <c r="F1321" s="1003"/>
      <c r="G1321" s="1003"/>
      <c r="H1321" s="1003">
        <v>3</v>
      </c>
      <c r="I1321" s="1003">
        <v>9</v>
      </c>
      <c r="J1321" s="1003"/>
      <c r="K1321" s="1003">
        <f t="shared" si="20"/>
        <v>12</v>
      </c>
      <c r="L1321" s="1004"/>
      <c r="M1321" s="1003"/>
      <c r="N1321" s="1003">
        <v>8</v>
      </c>
      <c r="O1321" s="1005">
        <v>16</v>
      </c>
    </row>
    <row r="1322" spans="1:15" x14ac:dyDescent="0.2">
      <c r="A1322"/>
      <c r="B1322" s="1002">
        <v>105</v>
      </c>
      <c r="C1322" s="1003"/>
      <c r="D1322" s="1003"/>
      <c r="E1322" s="1003"/>
      <c r="F1322" s="1003"/>
      <c r="G1322" s="1003"/>
      <c r="H1322" s="1003"/>
      <c r="I1322" s="1003">
        <v>5</v>
      </c>
      <c r="J1322" s="1003">
        <v>6</v>
      </c>
      <c r="K1322" s="1003">
        <f t="shared" si="20"/>
        <v>11</v>
      </c>
      <c r="L1322" s="1004"/>
      <c r="M1322" s="1003"/>
      <c r="N1322" s="1003">
        <v>6</v>
      </c>
      <c r="O1322" s="1005">
        <v>16</v>
      </c>
    </row>
    <row r="1323" spans="1:15" collapsed="1" x14ac:dyDescent="0.2">
      <c r="A1323"/>
      <c r="B1323" s="1002">
        <v>106</v>
      </c>
      <c r="C1323" s="1003">
        <v>32</v>
      </c>
      <c r="D1323" s="1003"/>
      <c r="E1323" s="1003"/>
      <c r="F1323" s="1003"/>
      <c r="G1323" s="1003"/>
      <c r="H1323" s="1003"/>
      <c r="I1323" s="1003"/>
      <c r="J1323" s="1003"/>
      <c r="K1323" s="1003">
        <f t="shared" si="20"/>
        <v>32</v>
      </c>
      <c r="L1323" s="1004"/>
      <c r="M1323" s="1003">
        <v>1</v>
      </c>
      <c r="N1323" s="1003">
        <v>1</v>
      </c>
      <c r="O1323" s="1005">
        <v>64</v>
      </c>
    </row>
    <row r="1324" spans="1:15" collapsed="1" x14ac:dyDescent="0.2">
      <c r="A1324"/>
      <c r="B1324" s="1002">
        <v>106</v>
      </c>
      <c r="C1324" s="1003">
        <v>22</v>
      </c>
      <c r="D1324" s="1003">
        <v>10</v>
      </c>
      <c r="E1324" s="1003"/>
      <c r="F1324" s="1003"/>
      <c r="G1324" s="1003"/>
      <c r="H1324" s="1003"/>
      <c r="I1324" s="1003"/>
      <c r="J1324" s="1003"/>
      <c r="K1324" s="1003">
        <f t="shared" si="20"/>
        <v>32</v>
      </c>
      <c r="L1324" s="1004"/>
      <c r="M1324" s="1003"/>
      <c r="N1324" s="1003"/>
      <c r="O1324" s="1005">
        <v>64</v>
      </c>
    </row>
    <row r="1325" spans="1:15" collapsed="1" x14ac:dyDescent="0.2">
      <c r="A1325"/>
      <c r="B1325" s="1002">
        <v>106</v>
      </c>
      <c r="C1325" s="1003">
        <v>18</v>
      </c>
      <c r="D1325" s="1003">
        <v>13</v>
      </c>
      <c r="E1325" s="1003"/>
      <c r="F1325" s="1003"/>
      <c r="G1325" s="1003"/>
      <c r="H1325" s="1003"/>
      <c r="I1325" s="1003"/>
      <c r="J1325" s="1003"/>
      <c r="K1325" s="1003">
        <f t="shared" si="20"/>
        <v>31</v>
      </c>
      <c r="L1325" s="1004"/>
      <c r="M1325" s="1003"/>
      <c r="N1325" s="1003">
        <v>30</v>
      </c>
      <c r="O1325" s="1005">
        <v>32</v>
      </c>
    </row>
    <row r="1326" spans="1:15" collapsed="1" x14ac:dyDescent="0.2">
      <c r="A1326"/>
      <c r="B1326" s="1002">
        <v>106</v>
      </c>
      <c r="C1326" s="1003">
        <v>14</v>
      </c>
      <c r="D1326" s="1003">
        <v>16</v>
      </c>
      <c r="E1326" s="1003"/>
      <c r="F1326" s="1003"/>
      <c r="G1326" s="1003"/>
      <c r="H1326" s="1003"/>
      <c r="I1326" s="1003"/>
      <c r="J1326" s="1003"/>
      <c r="K1326" s="1003">
        <f t="shared" si="20"/>
        <v>30</v>
      </c>
      <c r="L1326" s="1004"/>
      <c r="M1326" s="1003"/>
      <c r="N1326" s="1003">
        <v>28</v>
      </c>
      <c r="O1326" s="1005">
        <v>32</v>
      </c>
    </row>
    <row r="1327" spans="1:15" collapsed="1" x14ac:dyDescent="0.2">
      <c r="A1327"/>
      <c r="B1327" s="1002">
        <v>106</v>
      </c>
      <c r="C1327" s="1003">
        <v>10</v>
      </c>
      <c r="D1327" s="1003">
        <v>19</v>
      </c>
      <c r="E1327" s="1003"/>
      <c r="F1327" s="1003"/>
      <c r="G1327" s="1003"/>
      <c r="H1327" s="1003"/>
      <c r="I1327" s="1003"/>
      <c r="J1327" s="1003"/>
      <c r="K1327" s="1003">
        <f t="shared" si="20"/>
        <v>29</v>
      </c>
      <c r="L1327" s="1004"/>
      <c r="M1327" s="1003"/>
      <c r="N1327" s="1003">
        <v>26</v>
      </c>
      <c r="O1327" s="1005">
        <v>32</v>
      </c>
    </row>
    <row r="1328" spans="1:15" collapsed="1" x14ac:dyDescent="0.2">
      <c r="A1328"/>
      <c r="B1328" s="1002">
        <v>106</v>
      </c>
      <c r="C1328" s="1003">
        <v>6</v>
      </c>
      <c r="D1328" s="1003">
        <v>22</v>
      </c>
      <c r="E1328" s="1003"/>
      <c r="F1328" s="1003"/>
      <c r="G1328" s="1003"/>
      <c r="H1328" s="1003"/>
      <c r="I1328" s="1003"/>
      <c r="J1328" s="1003"/>
      <c r="K1328" s="1003">
        <f t="shared" si="20"/>
        <v>28</v>
      </c>
      <c r="L1328" s="1004"/>
      <c r="M1328" s="1003"/>
      <c r="N1328" s="1003">
        <v>24</v>
      </c>
      <c r="O1328" s="1005">
        <v>32</v>
      </c>
    </row>
    <row r="1329" spans="1:15" collapsed="1" x14ac:dyDescent="0.2">
      <c r="A1329"/>
      <c r="B1329" s="1002">
        <v>106</v>
      </c>
      <c r="C1329" s="1003">
        <v>2</v>
      </c>
      <c r="D1329" s="1003">
        <v>25</v>
      </c>
      <c r="E1329" s="1003"/>
      <c r="F1329" s="1003"/>
      <c r="G1329" s="1003"/>
      <c r="H1329" s="1003"/>
      <c r="I1329" s="1003"/>
      <c r="J1329" s="1003"/>
      <c r="K1329" s="1003">
        <f t="shared" si="20"/>
        <v>27</v>
      </c>
      <c r="L1329" s="1004"/>
      <c r="M1329" s="1003"/>
      <c r="N1329" s="1003">
        <v>22</v>
      </c>
      <c r="O1329" s="1005">
        <v>32</v>
      </c>
    </row>
    <row r="1330" spans="1:15" collapsed="1" x14ac:dyDescent="0.2">
      <c r="A1330"/>
      <c r="B1330" s="1002">
        <v>106</v>
      </c>
      <c r="C1330" s="1003"/>
      <c r="D1330" s="1003">
        <v>24</v>
      </c>
      <c r="E1330" s="1003">
        <v>2</v>
      </c>
      <c r="F1330" s="1003"/>
      <c r="G1330" s="1003"/>
      <c r="H1330" s="1003"/>
      <c r="I1330" s="1003"/>
      <c r="J1330" s="1003"/>
      <c r="K1330" s="1003">
        <f t="shared" si="20"/>
        <v>26</v>
      </c>
      <c r="L1330" s="1004"/>
      <c r="M1330" s="1003"/>
      <c r="N1330" s="1003">
        <v>20</v>
      </c>
      <c r="O1330" s="1005">
        <v>32</v>
      </c>
    </row>
    <row r="1331" spans="1:15" collapsed="1" x14ac:dyDescent="0.2">
      <c r="A1331"/>
      <c r="B1331" s="1002">
        <v>106</v>
      </c>
      <c r="C1331" s="1003"/>
      <c r="D1331" s="1003">
        <v>19</v>
      </c>
      <c r="E1331" s="1003">
        <v>6</v>
      </c>
      <c r="F1331" s="1003"/>
      <c r="G1331" s="1003"/>
      <c r="H1331" s="1003"/>
      <c r="I1331" s="1003"/>
      <c r="J1331" s="1003"/>
      <c r="K1331" s="1003">
        <f t="shared" si="20"/>
        <v>25</v>
      </c>
      <c r="L1331" s="1004"/>
      <c r="M1331" s="1003"/>
      <c r="N1331" s="1003">
        <v>18</v>
      </c>
      <c r="O1331" s="1005">
        <v>32</v>
      </c>
    </row>
    <row r="1332" spans="1:15" collapsed="1" x14ac:dyDescent="0.2">
      <c r="A1332"/>
      <c r="B1332" s="1002">
        <v>106</v>
      </c>
      <c r="C1332" s="1003"/>
      <c r="D1332" s="1003">
        <v>14</v>
      </c>
      <c r="E1332" s="1003">
        <v>10</v>
      </c>
      <c r="F1332" s="1003"/>
      <c r="G1332" s="1003"/>
      <c r="H1332" s="1003"/>
      <c r="I1332" s="1003"/>
      <c r="J1332" s="1003"/>
      <c r="K1332" s="1003">
        <f t="shared" si="20"/>
        <v>24</v>
      </c>
      <c r="L1332" s="1004"/>
      <c r="M1332" s="1003"/>
      <c r="N1332" s="1003">
        <v>16</v>
      </c>
      <c r="O1332" s="1005">
        <v>32</v>
      </c>
    </row>
    <row r="1333" spans="1:15" collapsed="1" x14ac:dyDescent="0.2">
      <c r="A1333"/>
      <c r="B1333" s="1002">
        <v>106</v>
      </c>
      <c r="C1333" s="1003"/>
      <c r="D1333" s="1003">
        <v>9</v>
      </c>
      <c r="E1333" s="1003">
        <v>14</v>
      </c>
      <c r="F1333" s="1003"/>
      <c r="G1333" s="1003"/>
      <c r="H1333" s="1003"/>
      <c r="I1333" s="1003"/>
      <c r="J1333" s="1003"/>
      <c r="K1333" s="1003">
        <f t="shared" si="20"/>
        <v>23</v>
      </c>
      <c r="L1333" s="1004"/>
      <c r="M1333" s="1003"/>
      <c r="N1333" s="1003">
        <v>14</v>
      </c>
      <c r="O1333" s="1005">
        <v>32</v>
      </c>
    </row>
    <row r="1334" spans="1:15" collapsed="1" x14ac:dyDescent="0.2">
      <c r="A1334"/>
      <c r="B1334" s="1002">
        <v>106</v>
      </c>
      <c r="C1334" s="1003"/>
      <c r="D1334" s="1003">
        <v>4</v>
      </c>
      <c r="E1334" s="1003">
        <v>18</v>
      </c>
      <c r="F1334" s="1003"/>
      <c r="G1334" s="1003"/>
      <c r="H1334" s="1003"/>
      <c r="I1334" s="1003"/>
      <c r="J1334" s="1003"/>
      <c r="K1334" s="1003">
        <f t="shared" si="20"/>
        <v>22</v>
      </c>
      <c r="L1334" s="1004"/>
      <c r="M1334" s="1003"/>
      <c r="N1334" s="1003">
        <v>12</v>
      </c>
      <c r="O1334" s="1005">
        <v>32</v>
      </c>
    </row>
    <row r="1335" spans="1:15" collapsed="1" x14ac:dyDescent="0.2">
      <c r="A1335"/>
      <c r="B1335" s="1002">
        <v>106</v>
      </c>
      <c r="C1335" s="1003"/>
      <c r="D1335" s="1003"/>
      <c r="E1335" s="1003">
        <v>20</v>
      </c>
      <c r="F1335" s="1003">
        <v>1</v>
      </c>
      <c r="G1335" s="1003"/>
      <c r="H1335" s="1003"/>
      <c r="I1335" s="1003"/>
      <c r="J1335" s="1003"/>
      <c r="K1335" s="1003">
        <f t="shared" si="20"/>
        <v>21</v>
      </c>
      <c r="L1335" s="1004"/>
      <c r="M1335" s="1003"/>
      <c r="N1335" s="1003">
        <v>10</v>
      </c>
      <c r="O1335" s="1005">
        <v>32</v>
      </c>
    </row>
    <row r="1336" spans="1:15" collapsed="1" x14ac:dyDescent="0.2">
      <c r="A1336"/>
      <c r="B1336" s="1002">
        <v>106</v>
      </c>
      <c r="C1336" s="1003"/>
      <c r="D1336" s="1003"/>
      <c r="E1336" s="1003">
        <v>14</v>
      </c>
      <c r="F1336" s="1003">
        <v>6</v>
      </c>
      <c r="G1336" s="1003"/>
      <c r="H1336" s="1003"/>
      <c r="I1336" s="1003"/>
      <c r="J1336" s="1003"/>
      <c r="K1336" s="1003">
        <f t="shared" si="20"/>
        <v>20</v>
      </c>
      <c r="L1336" s="1004"/>
      <c r="M1336" s="1003"/>
      <c r="N1336" s="1003">
        <v>8</v>
      </c>
      <c r="O1336" s="1005">
        <v>32</v>
      </c>
    </row>
    <row r="1337" spans="1:15" collapsed="1" x14ac:dyDescent="0.2">
      <c r="A1337"/>
      <c r="B1337" s="1002">
        <v>106</v>
      </c>
      <c r="C1337" s="1003"/>
      <c r="D1337" s="1003"/>
      <c r="E1337" s="1003">
        <v>8</v>
      </c>
      <c r="F1337" s="1003">
        <v>11</v>
      </c>
      <c r="G1337" s="1003"/>
      <c r="H1337" s="1003"/>
      <c r="I1337" s="1003"/>
      <c r="J1337" s="1003"/>
      <c r="K1337" s="1003">
        <f t="shared" si="20"/>
        <v>19</v>
      </c>
      <c r="L1337" s="1004"/>
      <c r="M1337" s="1003"/>
      <c r="N1337" s="1003">
        <v>6</v>
      </c>
      <c r="O1337" s="1005">
        <v>32</v>
      </c>
    </row>
    <row r="1338" spans="1:15" collapsed="1" x14ac:dyDescent="0.2">
      <c r="A1338"/>
      <c r="B1338" s="1002">
        <v>106</v>
      </c>
      <c r="C1338" s="1003"/>
      <c r="D1338" s="1003"/>
      <c r="E1338" s="1003">
        <v>2</v>
      </c>
      <c r="F1338" s="1003">
        <v>16</v>
      </c>
      <c r="G1338" s="1003"/>
      <c r="H1338" s="1003"/>
      <c r="I1338" s="1003"/>
      <c r="J1338" s="1003"/>
      <c r="K1338" s="1003">
        <f t="shared" si="20"/>
        <v>18</v>
      </c>
      <c r="L1338" s="1004"/>
      <c r="M1338" s="1003"/>
      <c r="N1338" s="1003">
        <v>4</v>
      </c>
      <c r="O1338" s="1005">
        <v>32</v>
      </c>
    </row>
    <row r="1339" spans="1:15" collapsed="1" x14ac:dyDescent="0.2">
      <c r="A1339"/>
      <c r="B1339" s="1002">
        <v>106</v>
      </c>
      <c r="C1339" s="1003"/>
      <c r="D1339" s="1003"/>
      <c r="E1339" s="1003"/>
      <c r="F1339" s="1003">
        <v>13</v>
      </c>
      <c r="G1339" s="1003">
        <v>4</v>
      </c>
      <c r="H1339" s="1003"/>
      <c r="I1339" s="1003"/>
      <c r="J1339" s="1003"/>
      <c r="K1339" s="1003">
        <f t="shared" si="20"/>
        <v>17</v>
      </c>
      <c r="L1339" s="1004"/>
      <c r="M1339" s="1003"/>
      <c r="N1339" s="1003">
        <v>2</v>
      </c>
      <c r="O1339" s="1005">
        <v>32</v>
      </c>
    </row>
    <row r="1340" spans="1:15" collapsed="1" x14ac:dyDescent="0.2">
      <c r="A1340"/>
      <c r="B1340" s="1002">
        <v>106</v>
      </c>
      <c r="C1340" s="1003"/>
      <c r="D1340" s="1003"/>
      <c r="E1340" s="1003"/>
      <c r="F1340" s="1003">
        <v>6</v>
      </c>
      <c r="G1340" s="1003">
        <v>10</v>
      </c>
      <c r="H1340" s="1003"/>
      <c r="I1340" s="1003"/>
      <c r="J1340" s="1003"/>
      <c r="K1340" s="1003">
        <f t="shared" si="20"/>
        <v>16</v>
      </c>
      <c r="L1340" s="1004"/>
      <c r="M1340" s="1003"/>
      <c r="N1340" s="1003"/>
      <c r="O1340" s="1005">
        <v>32</v>
      </c>
    </row>
    <row r="1341" spans="1:15" collapsed="1" x14ac:dyDescent="0.2">
      <c r="A1341"/>
      <c r="B1341" s="1002">
        <v>106</v>
      </c>
      <c r="C1341" s="1003"/>
      <c r="D1341" s="1003"/>
      <c r="E1341" s="1003"/>
      <c r="F1341" s="1003"/>
      <c r="G1341" s="1003">
        <v>15</v>
      </c>
      <c r="H1341" s="1003"/>
      <c r="I1341" s="1003"/>
      <c r="J1341" s="1003"/>
      <c r="K1341" s="1003">
        <f t="shared" si="20"/>
        <v>15</v>
      </c>
      <c r="L1341" s="1004"/>
      <c r="M1341" s="1003"/>
      <c r="N1341" s="1003">
        <v>14</v>
      </c>
      <c r="O1341" s="1005">
        <v>16</v>
      </c>
    </row>
    <row r="1342" spans="1:15" x14ac:dyDescent="0.2">
      <c r="A1342"/>
      <c r="B1342" s="1002">
        <v>106</v>
      </c>
      <c r="C1342" s="1003"/>
      <c r="D1342" s="1003"/>
      <c r="E1342" s="1003"/>
      <c r="F1342" s="1003"/>
      <c r="G1342" s="1003">
        <v>6</v>
      </c>
      <c r="H1342" s="1003">
        <v>8</v>
      </c>
      <c r="I1342" s="1003"/>
      <c r="J1342" s="1003"/>
      <c r="K1342" s="1003">
        <f t="shared" si="20"/>
        <v>14</v>
      </c>
      <c r="L1342" s="1004"/>
      <c r="M1342" s="1003"/>
      <c r="N1342" s="1003">
        <v>12</v>
      </c>
      <c r="O1342" s="1005">
        <v>16</v>
      </c>
    </row>
    <row r="1343" spans="1:15" collapsed="1" x14ac:dyDescent="0.2">
      <c r="A1343"/>
      <c r="B1343" s="1002">
        <v>106</v>
      </c>
      <c r="C1343" s="1003"/>
      <c r="D1343" s="1003"/>
      <c r="E1343" s="1003"/>
      <c r="F1343" s="1003"/>
      <c r="G1343" s="1003"/>
      <c r="H1343" s="1003">
        <v>11</v>
      </c>
      <c r="I1343" s="1003">
        <v>2</v>
      </c>
      <c r="J1343" s="1003"/>
      <c r="K1343" s="1003">
        <f t="shared" si="20"/>
        <v>13</v>
      </c>
      <c r="L1343" s="1004"/>
      <c r="M1343" s="1003"/>
      <c r="N1343" s="1003">
        <v>10</v>
      </c>
      <c r="O1343" s="1005">
        <v>16</v>
      </c>
    </row>
    <row r="1344" spans="1:15" collapsed="1" x14ac:dyDescent="0.2">
      <c r="A1344"/>
      <c r="B1344" s="1002">
        <v>106</v>
      </c>
      <c r="C1344" s="1003"/>
      <c r="D1344" s="1003"/>
      <c r="E1344" s="1003"/>
      <c r="F1344" s="1003"/>
      <c r="G1344" s="1003"/>
      <c r="H1344" s="1003">
        <v>2</v>
      </c>
      <c r="I1344" s="1003">
        <v>10</v>
      </c>
      <c r="J1344" s="1003"/>
      <c r="K1344" s="1003">
        <f t="shared" si="20"/>
        <v>12</v>
      </c>
      <c r="L1344" s="1004"/>
      <c r="M1344" s="1003"/>
      <c r="N1344" s="1003">
        <v>8</v>
      </c>
      <c r="O1344" s="1005">
        <v>16</v>
      </c>
    </row>
    <row r="1345" spans="1:15" x14ac:dyDescent="0.2">
      <c r="A1345"/>
      <c r="B1345" s="1002">
        <v>106</v>
      </c>
      <c r="C1345" s="1003"/>
      <c r="D1345" s="1003"/>
      <c r="E1345" s="1003"/>
      <c r="F1345" s="1003"/>
      <c r="G1345" s="1003"/>
      <c r="H1345" s="1003"/>
      <c r="I1345" s="1003">
        <v>4</v>
      </c>
      <c r="J1345" s="1003">
        <v>7</v>
      </c>
      <c r="K1345" s="1003">
        <f t="shared" si="20"/>
        <v>11</v>
      </c>
      <c r="L1345" s="1004"/>
      <c r="M1345" s="1003"/>
      <c r="N1345" s="1003">
        <v>6</v>
      </c>
      <c r="O1345" s="1005">
        <v>16</v>
      </c>
    </row>
    <row r="1346" spans="1:15" collapsed="1" x14ac:dyDescent="0.2">
      <c r="A1346"/>
      <c r="B1346" s="1002">
        <v>107</v>
      </c>
      <c r="C1346" s="1003">
        <v>32</v>
      </c>
      <c r="D1346" s="1003"/>
      <c r="E1346" s="1003"/>
      <c r="F1346" s="1003"/>
      <c r="G1346" s="1003"/>
      <c r="H1346" s="1003"/>
      <c r="I1346" s="1003"/>
      <c r="J1346" s="1003"/>
      <c r="K1346" s="1003">
        <f t="shared" si="20"/>
        <v>32</v>
      </c>
      <c r="L1346" s="1004"/>
      <c r="M1346" s="1003">
        <v>11</v>
      </c>
      <c r="N1346" s="1003">
        <v>11</v>
      </c>
      <c r="O1346" s="1005">
        <v>64</v>
      </c>
    </row>
    <row r="1347" spans="1:15" collapsed="1" x14ac:dyDescent="0.2">
      <c r="A1347"/>
      <c r="B1347" s="1002">
        <v>107</v>
      </c>
      <c r="C1347" s="1003">
        <v>21</v>
      </c>
      <c r="D1347" s="1003">
        <v>11</v>
      </c>
      <c r="E1347" s="1003"/>
      <c r="F1347" s="1003"/>
      <c r="G1347" s="1003"/>
      <c r="H1347" s="1003"/>
      <c r="I1347" s="1003"/>
      <c r="J1347" s="1003"/>
      <c r="K1347" s="1003">
        <f t="shared" si="20"/>
        <v>32</v>
      </c>
      <c r="L1347" s="1004"/>
      <c r="M1347" s="1003"/>
      <c r="N1347" s="1003"/>
      <c r="O1347" s="1005">
        <v>64</v>
      </c>
    </row>
    <row r="1348" spans="1:15" collapsed="1" x14ac:dyDescent="0.2">
      <c r="A1348"/>
      <c r="B1348" s="1002">
        <v>107</v>
      </c>
      <c r="C1348" s="1003">
        <v>17</v>
      </c>
      <c r="D1348" s="1003">
        <v>14</v>
      </c>
      <c r="E1348" s="1003"/>
      <c r="F1348" s="1003"/>
      <c r="G1348" s="1003"/>
      <c r="H1348" s="1003"/>
      <c r="I1348" s="1003"/>
      <c r="J1348" s="1003"/>
      <c r="K1348" s="1003">
        <f t="shared" si="20"/>
        <v>31</v>
      </c>
      <c r="L1348" s="1004"/>
      <c r="M1348" s="1003"/>
      <c r="N1348" s="1003">
        <v>30</v>
      </c>
      <c r="O1348" s="1005">
        <v>32</v>
      </c>
    </row>
    <row r="1349" spans="1:15" collapsed="1" x14ac:dyDescent="0.2">
      <c r="A1349"/>
      <c r="B1349" s="1002">
        <v>107</v>
      </c>
      <c r="C1349" s="1003">
        <v>13</v>
      </c>
      <c r="D1349" s="1003">
        <v>17</v>
      </c>
      <c r="E1349" s="1003"/>
      <c r="F1349" s="1003"/>
      <c r="G1349" s="1003"/>
      <c r="H1349" s="1003"/>
      <c r="I1349" s="1003"/>
      <c r="J1349" s="1003"/>
      <c r="K1349" s="1003">
        <f t="shared" si="20"/>
        <v>30</v>
      </c>
      <c r="L1349" s="1004"/>
      <c r="M1349" s="1003"/>
      <c r="N1349" s="1003">
        <v>28</v>
      </c>
      <c r="O1349" s="1005">
        <v>32</v>
      </c>
    </row>
    <row r="1350" spans="1:15" collapsed="1" x14ac:dyDescent="0.2">
      <c r="A1350"/>
      <c r="B1350" s="1002">
        <v>107</v>
      </c>
      <c r="C1350" s="1003">
        <v>9</v>
      </c>
      <c r="D1350" s="1003">
        <v>20</v>
      </c>
      <c r="E1350" s="1003"/>
      <c r="F1350" s="1003"/>
      <c r="G1350" s="1003"/>
      <c r="H1350" s="1003"/>
      <c r="I1350" s="1003"/>
      <c r="J1350" s="1003"/>
      <c r="K1350" s="1003">
        <f t="shared" ref="K1350:K1413" si="21">SUM(C1350:J1350)</f>
        <v>29</v>
      </c>
      <c r="L1350" s="1004"/>
      <c r="M1350" s="1003"/>
      <c r="N1350" s="1003">
        <v>26</v>
      </c>
      <c r="O1350" s="1005">
        <v>32</v>
      </c>
    </row>
    <row r="1351" spans="1:15" collapsed="1" x14ac:dyDescent="0.2">
      <c r="A1351"/>
      <c r="B1351" s="1002">
        <v>107</v>
      </c>
      <c r="C1351" s="1003">
        <v>5</v>
      </c>
      <c r="D1351" s="1003">
        <v>23</v>
      </c>
      <c r="E1351" s="1003"/>
      <c r="F1351" s="1003"/>
      <c r="G1351" s="1003"/>
      <c r="H1351" s="1003"/>
      <c r="I1351" s="1003"/>
      <c r="J1351" s="1003"/>
      <c r="K1351" s="1003">
        <f t="shared" si="21"/>
        <v>28</v>
      </c>
      <c r="L1351" s="1004"/>
      <c r="M1351" s="1003"/>
      <c r="N1351" s="1003">
        <v>24</v>
      </c>
      <c r="O1351" s="1005">
        <v>32</v>
      </c>
    </row>
    <row r="1352" spans="1:15" collapsed="1" x14ac:dyDescent="0.2">
      <c r="A1352"/>
      <c r="B1352" s="1002">
        <v>107</v>
      </c>
      <c r="C1352" s="1003">
        <v>1</v>
      </c>
      <c r="D1352" s="1003">
        <v>26</v>
      </c>
      <c r="E1352" s="1003"/>
      <c r="F1352" s="1003"/>
      <c r="G1352" s="1003"/>
      <c r="H1352" s="1003"/>
      <c r="I1352" s="1003"/>
      <c r="J1352" s="1003"/>
      <c r="K1352" s="1003">
        <f t="shared" si="21"/>
        <v>27</v>
      </c>
      <c r="L1352" s="1004"/>
      <c r="M1352" s="1003"/>
      <c r="N1352" s="1003">
        <v>22</v>
      </c>
      <c r="O1352" s="1005">
        <v>32</v>
      </c>
    </row>
    <row r="1353" spans="1:15" collapsed="1" x14ac:dyDescent="0.2">
      <c r="A1353"/>
      <c r="B1353" s="1002">
        <v>107</v>
      </c>
      <c r="C1353" s="1003"/>
      <c r="D1353" s="1003">
        <v>23</v>
      </c>
      <c r="E1353" s="1003">
        <v>3</v>
      </c>
      <c r="F1353" s="1003"/>
      <c r="G1353" s="1003"/>
      <c r="H1353" s="1003"/>
      <c r="I1353" s="1003"/>
      <c r="J1353" s="1003"/>
      <c r="K1353" s="1003">
        <f t="shared" si="21"/>
        <v>26</v>
      </c>
      <c r="L1353" s="1004"/>
      <c r="M1353" s="1003"/>
      <c r="N1353" s="1003">
        <v>20</v>
      </c>
      <c r="O1353" s="1005">
        <v>32</v>
      </c>
    </row>
    <row r="1354" spans="1:15" collapsed="1" x14ac:dyDescent="0.2">
      <c r="A1354"/>
      <c r="B1354" s="1002">
        <v>107</v>
      </c>
      <c r="C1354" s="1003"/>
      <c r="D1354" s="1003">
        <v>18</v>
      </c>
      <c r="E1354" s="1003">
        <v>7</v>
      </c>
      <c r="F1354" s="1003"/>
      <c r="G1354" s="1003"/>
      <c r="H1354" s="1003"/>
      <c r="I1354" s="1003"/>
      <c r="J1354" s="1003"/>
      <c r="K1354" s="1003">
        <f t="shared" si="21"/>
        <v>25</v>
      </c>
      <c r="L1354" s="1004"/>
      <c r="M1354" s="1003"/>
      <c r="N1354" s="1003">
        <v>18</v>
      </c>
      <c r="O1354" s="1005">
        <v>32</v>
      </c>
    </row>
    <row r="1355" spans="1:15" collapsed="1" x14ac:dyDescent="0.2">
      <c r="A1355"/>
      <c r="B1355" s="1002">
        <v>107</v>
      </c>
      <c r="C1355" s="1003"/>
      <c r="D1355" s="1003">
        <v>13</v>
      </c>
      <c r="E1355" s="1003">
        <v>11</v>
      </c>
      <c r="F1355" s="1003"/>
      <c r="G1355" s="1003"/>
      <c r="H1355" s="1003"/>
      <c r="I1355" s="1003"/>
      <c r="J1355" s="1003"/>
      <c r="K1355" s="1003">
        <f t="shared" si="21"/>
        <v>24</v>
      </c>
      <c r="L1355" s="1004"/>
      <c r="M1355" s="1003"/>
      <c r="N1355" s="1003">
        <v>16</v>
      </c>
      <c r="O1355" s="1005">
        <v>32</v>
      </c>
    </row>
    <row r="1356" spans="1:15" collapsed="1" x14ac:dyDescent="0.2">
      <c r="A1356"/>
      <c r="B1356" s="1002">
        <v>107</v>
      </c>
      <c r="C1356" s="1003"/>
      <c r="D1356" s="1003">
        <v>8</v>
      </c>
      <c r="E1356" s="1003">
        <v>15</v>
      </c>
      <c r="F1356" s="1003"/>
      <c r="G1356" s="1003"/>
      <c r="H1356" s="1003"/>
      <c r="I1356" s="1003"/>
      <c r="J1356" s="1003"/>
      <c r="K1356" s="1003">
        <f t="shared" si="21"/>
        <v>23</v>
      </c>
      <c r="L1356" s="1004"/>
      <c r="M1356" s="1003"/>
      <c r="N1356" s="1003">
        <v>14</v>
      </c>
      <c r="O1356" s="1005">
        <v>32</v>
      </c>
    </row>
    <row r="1357" spans="1:15" collapsed="1" x14ac:dyDescent="0.2">
      <c r="A1357"/>
      <c r="B1357" s="1002">
        <v>107</v>
      </c>
      <c r="C1357" s="1003"/>
      <c r="D1357" s="1003">
        <v>3</v>
      </c>
      <c r="E1357" s="1003">
        <v>19</v>
      </c>
      <c r="F1357" s="1003"/>
      <c r="G1357" s="1003"/>
      <c r="H1357" s="1003"/>
      <c r="I1357" s="1003"/>
      <c r="J1357" s="1003"/>
      <c r="K1357" s="1003">
        <f t="shared" si="21"/>
        <v>22</v>
      </c>
      <c r="L1357" s="1004"/>
      <c r="M1357" s="1003"/>
      <c r="N1357" s="1003">
        <v>12</v>
      </c>
      <c r="O1357" s="1005">
        <v>32</v>
      </c>
    </row>
    <row r="1358" spans="1:15" collapsed="1" x14ac:dyDescent="0.2">
      <c r="A1358"/>
      <c r="B1358" s="1002">
        <v>107</v>
      </c>
      <c r="C1358" s="1003"/>
      <c r="D1358" s="1003"/>
      <c r="E1358" s="1003">
        <v>19</v>
      </c>
      <c r="F1358" s="1003">
        <v>2</v>
      </c>
      <c r="G1358" s="1003"/>
      <c r="H1358" s="1003"/>
      <c r="I1358" s="1003"/>
      <c r="J1358" s="1003"/>
      <c r="K1358" s="1003">
        <f t="shared" si="21"/>
        <v>21</v>
      </c>
      <c r="L1358" s="1004"/>
      <c r="M1358" s="1003"/>
      <c r="N1358" s="1003">
        <v>10</v>
      </c>
      <c r="O1358" s="1005">
        <v>32</v>
      </c>
    </row>
    <row r="1359" spans="1:15" collapsed="1" x14ac:dyDescent="0.2">
      <c r="A1359"/>
      <c r="B1359" s="1002">
        <v>107</v>
      </c>
      <c r="C1359" s="1003"/>
      <c r="D1359" s="1003"/>
      <c r="E1359" s="1003">
        <v>13</v>
      </c>
      <c r="F1359" s="1003">
        <v>7</v>
      </c>
      <c r="G1359" s="1003"/>
      <c r="H1359" s="1003"/>
      <c r="I1359" s="1003"/>
      <c r="J1359" s="1003"/>
      <c r="K1359" s="1003">
        <f t="shared" si="21"/>
        <v>20</v>
      </c>
      <c r="L1359" s="1004"/>
      <c r="M1359" s="1003"/>
      <c r="N1359" s="1003">
        <v>8</v>
      </c>
      <c r="O1359" s="1005">
        <v>32</v>
      </c>
    </row>
    <row r="1360" spans="1:15" collapsed="1" x14ac:dyDescent="0.2">
      <c r="A1360"/>
      <c r="B1360" s="1002">
        <v>107</v>
      </c>
      <c r="C1360" s="1003"/>
      <c r="D1360" s="1003"/>
      <c r="E1360" s="1003">
        <v>7</v>
      </c>
      <c r="F1360" s="1003">
        <v>12</v>
      </c>
      <c r="G1360" s="1003"/>
      <c r="H1360" s="1003"/>
      <c r="I1360" s="1003"/>
      <c r="J1360" s="1003"/>
      <c r="K1360" s="1003">
        <f t="shared" si="21"/>
        <v>19</v>
      </c>
      <c r="L1360" s="1004"/>
      <c r="M1360" s="1003"/>
      <c r="N1360" s="1003">
        <v>6</v>
      </c>
      <c r="O1360" s="1005">
        <v>32</v>
      </c>
    </row>
    <row r="1361" spans="1:15" collapsed="1" x14ac:dyDescent="0.2">
      <c r="A1361"/>
      <c r="B1361" s="1002">
        <v>107</v>
      </c>
      <c r="C1361" s="1003"/>
      <c r="D1361" s="1003"/>
      <c r="E1361" s="1003">
        <v>1</v>
      </c>
      <c r="F1361" s="1003">
        <v>17</v>
      </c>
      <c r="G1361" s="1003"/>
      <c r="H1361" s="1003"/>
      <c r="I1361" s="1003"/>
      <c r="J1361" s="1003"/>
      <c r="K1361" s="1003">
        <f t="shared" si="21"/>
        <v>18</v>
      </c>
      <c r="L1361" s="1004"/>
      <c r="M1361" s="1003"/>
      <c r="N1361" s="1003">
        <v>4</v>
      </c>
      <c r="O1361" s="1005">
        <v>32</v>
      </c>
    </row>
    <row r="1362" spans="1:15" collapsed="1" x14ac:dyDescent="0.2">
      <c r="A1362"/>
      <c r="B1362" s="1002">
        <v>107</v>
      </c>
      <c r="C1362" s="1003"/>
      <c r="D1362" s="1003"/>
      <c r="E1362" s="1003"/>
      <c r="F1362" s="1003">
        <v>12</v>
      </c>
      <c r="G1362" s="1003">
        <v>5</v>
      </c>
      <c r="H1362" s="1003"/>
      <c r="I1362" s="1003"/>
      <c r="J1362" s="1003"/>
      <c r="K1362" s="1003">
        <f t="shared" si="21"/>
        <v>17</v>
      </c>
      <c r="L1362" s="1004"/>
      <c r="M1362" s="1003"/>
      <c r="N1362" s="1003">
        <v>2</v>
      </c>
      <c r="O1362" s="1005">
        <v>32</v>
      </c>
    </row>
    <row r="1363" spans="1:15" collapsed="1" x14ac:dyDescent="0.2">
      <c r="A1363"/>
      <c r="B1363" s="1002">
        <v>107</v>
      </c>
      <c r="C1363" s="1003"/>
      <c r="D1363" s="1003"/>
      <c r="E1363" s="1003"/>
      <c r="F1363" s="1003">
        <v>5</v>
      </c>
      <c r="G1363" s="1003">
        <v>11</v>
      </c>
      <c r="H1363" s="1003"/>
      <c r="I1363" s="1003"/>
      <c r="J1363" s="1003"/>
      <c r="K1363" s="1003">
        <f t="shared" si="21"/>
        <v>16</v>
      </c>
      <c r="L1363" s="1004"/>
      <c r="M1363" s="1003"/>
      <c r="N1363" s="1003"/>
      <c r="O1363" s="1005">
        <v>32</v>
      </c>
    </row>
    <row r="1364" spans="1:15" collapsed="1" x14ac:dyDescent="0.2">
      <c r="A1364"/>
      <c r="B1364" s="1002">
        <v>107</v>
      </c>
      <c r="C1364" s="1003"/>
      <c r="D1364" s="1003"/>
      <c r="E1364" s="1003"/>
      <c r="F1364" s="1003"/>
      <c r="G1364" s="1003">
        <v>14</v>
      </c>
      <c r="H1364" s="1003">
        <v>1</v>
      </c>
      <c r="I1364" s="1003"/>
      <c r="J1364" s="1003"/>
      <c r="K1364" s="1003">
        <f t="shared" si="21"/>
        <v>15</v>
      </c>
      <c r="L1364" s="1004"/>
      <c r="M1364" s="1003"/>
      <c r="N1364" s="1003">
        <v>14</v>
      </c>
      <c r="O1364" s="1005">
        <v>16</v>
      </c>
    </row>
    <row r="1365" spans="1:15" x14ac:dyDescent="0.2">
      <c r="A1365"/>
      <c r="B1365" s="1002">
        <v>107</v>
      </c>
      <c r="C1365" s="1003"/>
      <c r="D1365" s="1003"/>
      <c r="E1365" s="1003"/>
      <c r="F1365" s="1003"/>
      <c r="G1365" s="1003">
        <v>5</v>
      </c>
      <c r="H1365" s="1003">
        <v>9</v>
      </c>
      <c r="I1365" s="1003"/>
      <c r="J1365" s="1003"/>
      <c r="K1365" s="1003">
        <f t="shared" si="21"/>
        <v>14</v>
      </c>
      <c r="L1365" s="1004"/>
      <c r="M1365" s="1003"/>
      <c r="N1365" s="1003">
        <v>12</v>
      </c>
      <c r="O1365" s="1005">
        <v>16</v>
      </c>
    </row>
    <row r="1366" spans="1:15" collapsed="1" x14ac:dyDescent="0.2">
      <c r="A1366"/>
      <c r="B1366" s="1002">
        <v>107</v>
      </c>
      <c r="C1366" s="1003"/>
      <c r="D1366" s="1003"/>
      <c r="E1366" s="1003"/>
      <c r="F1366" s="1003"/>
      <c r="G1366" s="1003"/>
      <c r="H1366" s="1003">
        <v>10</v>
      </c>
      <c r="I1366" s="1003">
        <v>3</v>
      </c>
      <c r="J1366" s="1003"/>
      <c r="K1366" s="1003">
        <f t="shared" si="21"/>
        <v>13</v>
      </c>
      <c r="L1366" s="1004"/>
      <c r="M1366" s="1003"/>
      <c r="N1366" s="1003">
        <v>10</v>
      </c>
      <c r="O1366" s="1005">
        <v>16</v>
      </c>
    </row>
    <row r="1367" spans="1:15" collapsed="1" x14ac:dyDescent="0.2">
      <c r="A1367"/>
      <c r="B1367" s="1002">
        <v>107</v>
      </c>
      <c r="C1367" s="1003"/>
      <c r="D1367" s="1003"/>
      <c r="E1367" s="1003"/>
      <c r="F1367" s="1003"/>
      <c r="G1367" s="1003"/>
      <c r="H1367" s="1003">
        <v>1</v>
      </c>
      <c r="I1367" s="1003">
        <v>11</v>
      </c>
      <c r="J1367" s="1003"/>
      <c r="K1367" s="1003">
        <f t="shared" si="21"/>
        <v>12</v>
      </c>
      <c r="L1367" s="1004"/>
      <c r="M1367" s="1003"/>
      <c r="N1367" s="1003">
        <v>8</v>
      </c>
      <c r="O1367" s="1005">
        <v>16</v>
      </c>
    </row>
    <row r="1368" spans="1:15" x14ac:dyDescent="0.2">
      <c r="A1368"/>
      <c r="B1368" s="1002">
        <v>107</v>
      </c>
      <c r="C1368" s="1003"/>
      <c r="D1368" s="1003"/>
      <c r="E1368" s="1003"/>
      <c r="F1368" s="1003"/>
      <c r="G1368" s="1003"/>
      <c r="H1368" s="1003"/>
      <c r="I1368" s="1003">
        <v>3</v>
      </c>
      <c r="J1368" s="1003">
        <v>8</v>
      </c>
      <c r="K1368" s="1003">
        <f t="shared" si="21"/>
        <v>11</v>
      </c>
      <c r="L1368" s="1004"/>
      <c r="M1368" s="1003"/>
      <c r="N1368" s="1003">
        <v>6</v>
      </c>
      <c r="O1368" s="1005">
        <v>16</v>
      </c>
    </row>
    <row r="1369" spans="1:15" collapsed="1" x14ac:dyDescent="0.2">
      <c r="A1369"/>
      <c r="B1369" s="1002">
        <v>108</v>
      </c>
      <c r="C1369" s="1003">
        <v>32</v>
      </c>
      <c r="D1369" s="1003"/>
      <c r="E1369" s="1003"/>
      <c r="F1369" s="1003"/>
      <c r="G1369" s="1003"/>
      <c r="H1369" s="1003"/>
      <c r="I1369" s="1003"/>
      <c r="J1369" s="1003"/>
      <c r="K1369" s="1003">
        <f t="shared" si="21"/>
        <v>32</v>
      </c>
      <c r="L1369" s="1004"/>
      <c r="M1369" s="1003">
        <v>12</v>
      </c>
      <c r="N1369" s="1003">
        <v>12</v>
      </c>
      <c r="O1369" s="1005">
        <v>64</v>
      </c>
    </row>
    <row r="1370" spans="1:15" collapsed="1" x14ac:dyDescent="0.2">
      <c r="A1370"/>
      <c r="B1370" s="1002">
        <v>108</v>
      </c>
      <c r="C1370" s="1003">
        <v>20</v>
      </c>
      <c r="D1370" s="1003">
        <v>12</v>
      </c>
      <c r="E1370" s="1003"/>
      <c r="F1370" s="1003"/>
      <c r="G1370" s="1003"/>
      <c r="H1370" s="1003"/>
      <c r="I1370" s="1003"/>
      <c r="J1370" s="1003"/>
      <c r="K1370" s="1003">
        <f t="shared" si="21"/>
        <v>32</v>
      </c>
      <c r="L1370" s="1004"/>
      <c r="M1370" s="1003"/>
      <c r="N1370" s="1003"/>
      <c r="O1370" s="1005">
        <v>64</v>
      </c>
    </row>
    <row r="1371" spans="1:15" collapsed="1" x14ac:dyDescent="0.2">
      <c r="A1371"/>
      <c r="B1371" s="1002">
        <v>108</v>
      </c>
      <c r="C1371" s="1003">
        <v>16</v>
      </c>
      <c r="D1371" s="1003">
        <v>15</v>
      </c>
      <c r="E1371" s="1003"/>
      <c r="F1371" s="1003"/>
      <c r="G1371" s="1003"/>
      <c r="H1371" s="1003"/>
      <c r="I1371" s="1003"/>
      <c r="J1371" s="1003"/>
      <c r="K1371" s="1003">
        <f t="shared" si="21"/>
        <v>31</v>
      </c>
      <c r="L1371" s="1004"/>
      <c r="M1371" s="1003"/>
      <c r="N1371" s="1003">
        <v>30</v>
      </c>
      <c r="O1371" s="1005">
        <v>32</v>
      </c>
    </row>
    <row r="1372" spans="1:15" collapsed="1" x14ac:dyDescent="0.2">
      <c r="A1372"/>
      <c r="B1372" s="1002">
        <v>108</v>
      </c>
      <c r="C1372" s="1003">
        <v>12</v>
      </c>
      <c r="D1372" s="1003">
        <v>18</v>
      </c>
      <c r="E1372" s="1003"/>
      <c r="F1372" s="1003"/>
      <c r="G1372" s="1003"/>
      <c r="H1372" s="1003"/>
      <c r="I1372" s="1003"/>
      <c r="J1372" s="1003"/>
      <c r="K1372" s="1003">
        <f t="shared" si="21"/>
        <v>30</v>
      </c>
      <c r="L1372" s="1004"/>
      <c r="M1372" s="1003"/>
      <c r="N1372" s="1003">
        <v>28</v>
      </c>
      <c r="O1372" s="1005">
        <v>32</v>
      </c>
    </row>
    <row r="1373" spans="1:15" collapsed="1" x14ac:dyDescent="0.2">
      <c r="A1373"/>
      <c r="B1373" s="1002">
        <v>108</v>
      </c>
      <c r="C1373" s="1003">
        <v>8</v>
      </c>
      <c r="D1373" s="1003">
        <v>21</v>
      </c>
      <c r="E1373" s="1003"/>
      <c r="F1373" s="1003"/>
      <c r="G1373" s="1003"/>
      <c r="H1373" s="1003"/>
      <c r="I1373" s="1003"/>
      <c r="J1373" s="1003"/>
      <c r="K1373" s="1003">
        <f t="shared" si="21"/>
        <v>29</v>
      </c>
      <c r="L1373" s="1004"/>
      <c r="M1373" s="1003"/>
      <c r="N1373" s="1003">
        <v>26</v>
      </c>
      <c r="O1373" s="1005">
        <v>32</v>
      </c>
    </row>
    <row r="1374" spans="1:15" collapsed="1" x14ac:dyDescent="0.2">
      <c r="A1374"/>
      <c r="B1374" s="1002">
        <v>108</v>
      </c>
      <c r="C1374" s="1003">
        <v>4</v>
      </c>
      <c r="D1374" s="1003">
        <v>24</v>
      </c>
      <c r="E1374" s="1003"/>
      <c r="F1374" s="1003"/>
      <c r="G1374" s="1003"/>
      <c r="H1374" s="1003"/>
      <c r="I1374" s="1003"/>
      <c r="J1374" s="1003"/>
      <c r="K1374" s="1003">
        <f t="shared" si="21"/>
        <v>28</v>
      </c>
      <c r="L1374" s="1004"/>
      <c r="M1374" s="1003"/>
      <c r="N1374" s="1003">
        <v>24</v>
      </c>
      <c r="O1374" s="1005">
        <v>32</v>
      </c>
    </row>
    <row r="1375" spans="1:15" collapsed="1" x14ac:dyDescent="0.2">
      <c r="A1375"/>
      <c r="B1375" s="1002">
        <v>108</v>
      </c>
      <c r="C1375" s="1003"/>
      <c r="D1375" s="1003">
        <v>27</v>
      </c>
      <c r="E1375" s="1003"/>
      <c r="F1375" s="1003"/>
      <c r="G1375" s="1003"/>
      <c r="H1375" s="1003"/>
      <c r="I1375" s="1003"/>
      <c r="J1375" s="1003"/>
      <c r="K1375" s="1003">
        <f t="shared" si="21"/>
        <v>27</v>
      </c>
      <c r="L1375" s="1004"/>
      <c r="M1375" s="1003"/>
      <c r="N1375" s="1003">
        <v>22</v>
      </c>
      <c r="O1375" s="1005">
        <v>32</v>
      </c>
    </row>
    <row r="1376" spans="1:15" collapsed="1" x14ac:dyDescent="0.2">
      <c r="A1376"/>
      <c r="B1376" s="1002">
        <v>108</v>
      </c>
      <c r="C1376" s="1003"/>
      <c r="D1376" s="1003">
        <v>22</v>
      </c>
      <c r="E1376" s="1003">
        <v>4</v>
      </c>
      <c r="F1376" s="1003"/>
      <c r="G1376" s="1003"/>
      <c r="H1376" s="1003"/>
      <c r="I1376" s="1003"/>
      <c r="J1376" s="1003"/>
      <c r="K1376" s="1003">
        <f t="shared" si="21"/>
        <v>26</v>
      </c>
      <c r="L1376" s="1004"/>
      <c r="M1376" s="1003"/>
      <c r="N1376" s="1003">
        <v>20</v>
      </c>
      <c r="O1376" s="1005">
        <v>32</v>
      </c>
    </row>
    <row r="1377" spans="1:15" collapsed="1" x14ac:dyDescent="0.2">
      <c r="A1377"/>
      <c r="B1377" s="1002">
        <v>108</v>
      </c>
      <c r="C1377" s="1003"/>
      <c r="D1377" s="1003">
        <v>17</v>
      </c>
      <c r="E1377" s="1003">
        <v>8</v>
      </c>
      <c r="F1377" s="1003"/>
      <c r="G1377" s="1003"/>
      <c r="H1377" s="1003"/>
      <c r="I1377" s="1003"/>
      <c r="J1377" s="1003"/>
      <c r="K1377" s="1003">
        <f t="shared" si="21"/>
        <v>25</v>
      </c>
      <c r="L1377" s="1004"/>
      <c r="M1377" s="1003"/>
      <c r="N1377" s="1003">
        <v>18</v>
      </c>
      <c r="O1377" s="1005">
        <v>32</v>
      </c>
    </row>
    <row r="1378" spans="1:15" collapsed="1" x14ac:dyDescent="0.2">
      <c r="A1378"/>
      <c r="B1378" s="1002">
        <v>108</v>
      </c>
      <c r="C1378" s="1003"/>
      <c r="D1378" s="1003">
        <v>12</v>
      </c>
      <c r="E1378" s="1003">
        <v>12</v>
      </c>
      <c r="F1378" s="1003"/>
      <c r="G1378" s="1003"/>
      <c r="H1378" s="1003"/>
      <c r="I1378" s="1003"/>
      <c r="J1378" s="1003"/>
      <c r="K1378" s="1003">
        <f t="shared" si="21"/>
        <v>24</v>
      </c>
      <c r="L1378" s="1004"/>
      <c r="M1378" s="1003"/>
      <c r="N1378" s="1003">
        <v>16</v>
      </c>
      <c r="O1378" s="1005">
        <v>32</v>
      </c>
    </row>
    <row r="1379" spans="1:15" collapsed="1" x14ac:dyDescent="0.2">
      <c r="A1379"/>
      <c r="B1379" s="1002">
        <v>108</v>
      </c>
      <c r="C1379" s="1003"/>
      <c r="D1379" s="1003">
        <v>7</v>
      </c>
      <c r="E1379" s="1003">
        <v>16</v>
      </c>
      <c r="F1379" s="1003"/>
      <c r="G1379" s="1003"/>
      <c r="H1379" s="1003"/>
      <c r="I1379" s="1003"/>
      <c r="J1379" s="1003"/>
      <c r="K1379" s="1003">
        <f t="shared" si="21"/>
        <v>23</v>
      </c>
      <c r="L1379" s="1004"/>
      <c r="M1379" s="1003"/>
      <c r="N1379" s="1003">
        <v>14</v>
      </c>
      <c r="O1379" s="1005">
        <v>32</v>
      </c>
    </row>
    <row r="1380" spans="1:15" collapsed="1" x14ac:dyDescent="0.2">
      <c r="A1380"/>
      <c r="B1380" s="1002">
        <v>108</v>
      </c>
      <c r="C1380" s="1003"/>
      <c r="D1380" s="1003">
        <v>2</v>
      </c>
      <c r="E1380" s="1003">
        <v>20</v>
      </c>
      <c r="F1380" s="1003"/>
      <c r="G1380" s="1003"/>
      <c r="H1380" s="1003"/>
      <c r="I1380" s="1003"/>
      <c r="J1380" s="1003"/>
      <c r="K1380" s="1003">
        <f t="shared" si="21"/>
        <v>22</v>
      </c>
      <c r="L1380" s="1004"/>
      <c r="M1380" s="1003"/>
      <c r="N1380" s="1003">
        <v>12</v>
      </c>
      <c r="O1380" s="1005">
        <v>32</v>
      </c>
    </row>
    <row r="1381" spans="1:15" collapsed="1" x14ac:dyDescent="0.2">
      <c r="A1381"/>
      <c r="B1381" s="1002">
        <v>108</v>
      </c>
      <c r="C1381" s="1003"/>
      <c r="D1381" s="1003"/>
      <c r="E1381" s="1003">
        <v>18</v>
      </c>
      <c r="F1381" s="1003">
        <v>3</v>
      </c>
      <c r="G1381" s="1003"/>
      <c r="H1381" s="1003"/>
      <c r="I1381" s="1003"/>
      <c r="J1381" s="1003"/>
      <c r="K1381" s="1003">
        <f t="shared" si="21"/>
        <v>21</v>
      </c>
      <c r="L1381" s="1004"/>
      <c r="M1381" s="1003"/>
      <c r="N1381" s="1003">
        <v>10</v>
      </c>
      <c r="O1381" s="1005">
        <v>32</v>
      </c>
    </row>
    <row r="1382" spans="1:15" collapsed="1" x14ac:dyDescent="0.2">
      <c r="A1382"/>
      <c r="B1382" s="1002">
        <v>108</v>
      </c>
      <c r="C1382" s="1003"/>
      <c r="D1382" s="1003"/>
      <c r="E1382" s="1003">
        <v>12</v>
      </c>
      <c r="F1382" s="1003">
        <v>8</v>
      </c>
      <c r="G1382" s="1003"/>
      <c r="H1382" s="1003"/>
      <c r="I1382" s="1003"/>
      <c r="J1382" s="1003"/>
      <c r="K1382" s="1003">
        <f t="shared" si="21"/>
        <v>20</v>
      </c>
      <c r="L1382" s="1004"/>
      <c r="M1382" s="1003"/>
      <c r="N1382" s="1003">
        <v>8</v>
      </c>
      <c r="O1382" s="1005">
        <v>32</v>
      </c>
    </row>
    <row r="1383" spans="1:15" collapsed="1" x14ac:dyDescent="0.2">
      <c r="A1383"/>
      <c r="B1383" s="1002">
        <v>108</v>
      </c>
      <c r="C1383" s="1003"/>
      <c r="D1383" s="1003"/>
      <c r="E1383" s="1003">
        <v>6</v>
      </c>
      <c r="F1383" s="1003">
        <v>13</v>
      </c>
      <c r="G1383" s="1003"/>
      <c r="H1383" s="1003"/>
      <c r="I1383" s="1003"/>
      <c r="J1383" s="1003"/>
      <c r="K1383" s="1003">
        <f t="shared" si="21"/>
        <v>19</v>
      </c>
      <c r="L1383" s="1004"/>
      <c r="M1383" s="1003"/>
      <c r="N1383" s="1003">
        <v>6</v>
      </c>
      <c r="O1383" s="1005">
        <v>32</v>
      </c>
    </row>
    <row r="1384" spans="1:15" collapsed="1" x14ac:dyDescent="0.2">
      <c r="A1384"/>
      <c r="B1384" s="1002">
        <v>108</v>
      </c>
      <c r="C1384" s="1003"/>
      <c r="D1384" s="1003"/>
      <c r="E1384" s="1003"/>
      <c r="F1384" s="1003">
        <v>18</v>
      </c>
      <c r="G1384" s="1003"/>
      <c r="H1384" s="1003"/>
      <c r="I1384" s="1003"/>
      <c r="J1384" s="1003"/>
      <c r="K1384" s="1003">
        <f t="shared" si="21"/>
        <v>18</v>
      </c>
      <c r="L1384" s="1004"/>
      <c r="M1384" s="1003"/>
      <c r="N1384" s="1003">
        <v>4</v>
      </c>
      <c r="O1384" s="1005">
        <v>32</v>
      </c>
    </row>
    <row r="1385" spans="1:15" collapsed="1" x14ac:dyDescent="0.2">
      <c r="A1385"/>
      <c r="B1385" s="1002">
        <v>108</v>
      </c>
      <c r="C1385" s="1003"/>
      <c r="D1385" s="1003"/>
      <c r="E1385" s="1003"/>
      <c r="F1385" s="1003">
        <v>11</v>
      </c>
      <c r="G1385" s="1003">
        <v>6</v>
      </c>
      <c r="H1385" s="1003"/>
      <c r="I1385" s="1003"/>
      <c r="J1385" s="1003"/>
      <c r="K1385" s="1003">
        <f t="shared" si="21"/>
        <v>17</v>
      </c>
      <c r="L1385" s="1004"/>
      <c r="M1385" s="1003"/>
      <c r="N1385" s="1003">
        <v>2</v>
      </c>
      <c r="O1385" s="1005">
        <v>32</v>
      </c>
    </row>
    <row r="1386" spans="1:15" collapsed="1" x14ac:dyDescent="0.2">
      <c r="A1386"/>
      <c r="B1386" s="1002">
        <v>108</v>
      </c>
      <c r="C1386" s="1003"/>
      <c r="D1386" s="1003"/>
      <c r="E1386" s="1003"/>
      <c r="F1386" s="1003">
        <v>4</v>
      </c>
      <c r="G1386" s="1003">
        <v>12</v>
      </c>
      <c r="H1386" s="1003"/>
      <c r="I1386" s="1003"/>
      <c r="J1386" s="1003"/>
      <c r="K1386" s="1003">
        <f t="shared" si="21"/>
        <v>16</v>
      </c>
      <c r="L1386" s="1004"/>
      <c r="M1386" s="1003"/>
      <c r="N1386" s="1003"/>
      <c r="O1386" s="1005">
        <v>32</v>
      </c>
    </row>
    <row r="1387" spans="1:15" collapsed="1" x14ac:dyDescent="0.2">
      <c r="A1387"/>
      <c r="B1387" s="1002">
        <v>108</v>
      </c>
      <c r="C1387" s="1003"/>
      <c r="D1387" s="1003"/>
      <c r="E1387" s="1003"/>
      <c r="F1387" s="1003"/>
      <c r="G1387" s="1003">
        <v>13</v>
      </c>
      <c r="H1387" s="1003">
        <v>2</v>
      </c>
      <c r="I1387" s="1003"/>
      <c r="J1387" s="1003"/>
      <c r="K1387" s="1003">
        <f t="shared" si="21"/>
        <v>15</v>
      </c>
      <c r="L1387" s="1004"/>
      <c r="M1387" s="1003"/>
      <c r="N1387" s="1003">
        <v>14</v>
      </c>
      <c r="O1387" s="1005">
        <v>16</v>
      </c>
    </row>
    <row r="1388" spans="1:15" x14ac:dyDescent="0.2">
      <c r="A1388"/>
      <c r="B1388" s="1002">
        <v>108</v>
      </c>
      <c r="C1388" s="1003"/>
      <c r="D1388" s="1003"/>
      <c r="E1388" s="1003"/>
      <c r="F1388" s="1003"/>
      <c r="G1388" s="1003">
        <v>4</v>
      </c>
      <c r="H1388" s="1003">
        <v>10</v>
      </c>
      <c r="I1388" s="1003"/>
      <c r="J1388" s="1003"/>
      <c r="K1388" s="1003">
        <f t="shared" si="21"/>
        <v>14</v>
      </c>
      <c r="L1388" s="1004"/>
      <c r="M1388" s="1003"/>
      <c r="N1388" s="1003">
        <v>12</v>
      </c>
      <c r="O1388" s="1005">
        <v>16</v>
      </c>
    </row>
    <row r="1389" spans="1:15" collapsed="1" x14ac:dyDescent="0.2">
      <c r="A1389"/>
      <c r="B1389" s="1002">
        <v>108</v>
      </c>
      <c r="C1389" s="1003"/>
      <c r="D1389" s="1003"/>
      <c r="E1389" s="1003"/>
      <c r="F1389" s="1003"/>
      <c r="G1389" s="1003"/>
      <c r="H1389" s="1003">
        <v>9</v>
      </c>
      <c r="I1389" s="1003">
        <v>4</v>
      </c>
      <c r="J1389" s="1003"/>
      <c r="K1389" s="1003">
        <f t="shared" si="21"/>
        <v>13</v>
      </c>
      <c r="L1389" s="1004"/>
      <c r="M1389" s="1003"/>
      <c r="N1389" s="1003">
        <v>10</v>
      </c>
      <c r="O1389" s="1005">
        <v>16</v>
      </c>
    </row>
    <row r="1390" spans="1:15" collapsed="1" x14ac:dyDescent="0.2">
      <c r="A1390"/>
      <c r="B1390" s="1002">
        <v>108</v>
      </c>
      <c r="C1390" s="1003"/>
      <c r="D1390" s="1003"/>
      <c r="E1390" s="1003"/>
      <c r="F1390" s="1003"/>
      <c r="G1390" s="1003"/>
      <c r="H1390" s="1003"/>
      <c r="I1390" s="1003">
        <v>12</v>
      </c>
      <c r="J1390" s="1003"/>
      <c r="K1390" s="1003">
        <f t="shared" si="21"/>
        <v>12</v>
      </c>
      <c r="L1390" s="1004"/>
      <c r="M1390" s="1003"/>
      <c r="N1390" s="1003">
        <v>8</v>
      </c>
      <c r="O1390" s="1005">
        <v>16</v>
      </c>
    </row>
    <row r="1391" spans="1:15" x14ac:dyDescent="0.2">
      <c r="A1391"/>
      <c r="B1391" s="1002">
        <v>108</v>
      </c>
      <c r="C1391" s="1003"/>
      <c r="D1391" s="1003"/>
      <c r="E1391" s="1003"/>
      <c r="F1391" s="1003"/>
      <c r="G1391" s="1003"/>
      <c r="H1391" s="1003"/>
      <c r="I1391" s="1003">
        <v>2</v>
      </c>
      <c r="J1391" s="1003">
        <v>9</v>
      </c>
      <c r="K1391" s="1003">
        <f t="shared" si="21"/>
        <v>11</v>
      </c>
      <c r="L1391" s="1004"/>
      <c r="M1391" s="1003"/>
      <c r="N1391" s="1003">
        <v>6</v>
      </c>
      <c r="O1391" s="1005">
        <v>16</v>
      </c>
    </row>
    <row r="1392" spans="1:15" collapsed="1" x14ac:dyDescent="0.2">
      <c r="A1392"/>
      <c r="B1392" s="1002">
        <v>109</v>
      </c>
      <c r="C1392" s="1003">
        <v>32</v>
      </c>
      <c r="D1392" s="1003"/>
      <c r="E1392" s="1003"/>
      <c r="F1392" s="1003"/>
      <c r="G1392" s="1003"/>
      <c r="H1392" s="1003"/>
      <c r="I1392" s="1003"/>
      <c r="J1392" s="1003"/>
      <c r="K1392" s="1003">
        <f t="shared" si="21"/>
        <v>32</v>
      </c>
      <c r="L1392" s="1004"/>
      <c r="M1392" s="1003">
        <v>13</v>
      </c>
      <c r="N1392" s="1003">
        <v>13</v>
      </c>
      <c r="O1392" s="1005">
        <v>64</v>
      </c>
    </row>
    <row r="1393" spans="1:15" collapsed="1" x14ac:dyDescent="0.2">
      <c r="A1393"/>
      <c r="B1393" s="1002">
        <v>109</v>
      </c>
      <c r="C1393" s="1003">
        <v>19</v>
      </c>
      <c r="D1393" s="1003">
        <v>13</v>
      </c>
      <c r="E1393" s="1003"/>
      <c r="F1393" s="1003"/>
      <c r="G1393" s="1003"/>
      <c r="H1393" s="1003"/>
      <c r="I1393" s="1003"/>
      <c r="J1393" s="1003"/>
      <c r="K1393" s="1003">
        <f t="shared" si="21"/>
        <v>32</v>
      </c>
      <c r="L1393" s="1004"/>
      <c r="M1393" s="1003"/>
      <c r="N1393" s="1003"/>
      <c r="O1393" s="1005">
        <v>64</v>
      </c>
    </row>
    <row r="1394" spans="1:15" collapsed="1" x14ac:dyDescent="0.2">
      <c r="A1394"/>
      <c r="B1394" s="1002">
        <v>109</v>
      </c>
      <c r="C1394" s="1003">
        <v>15</v>
      </c>
      <c r="D1394" s="1003">
        <v>16</v>
      </c>
      <c r="E1394" s="1003"/>
      <c r="F1394" s="1003"/>
      <c r="G1394" s="1003"/>
      <c r="H1394" s="1003"/>
      <c r="I1394" s="1003"/>
      <c r="J1394" s="1003"/>
      <c r="K1394" s="1003">
        <f t="shared" si="21"/>
        <v>31</v>
      </c>
      <c r="L1394" s="1004"/>
      <c r="M1394" s="1003"/>
      <c r="N1394" s="1003">
        <v>30</v>
      </c>
      <c r="O1394" s="1005">
        <v>32</v>
      </c>
    </row>
    <row r="1395" spans="1:15" collapsed="1" x14ac:dyDescent="0.2">
      <c r="A1395"/>
      <c r="B1395" s="1002">
        <v>109</v>
      </c>
      <c r="C1395" s="1003">
        <v>11</v>
      </c>
      <c r="D1395" s="1003">
        <v>19</v>
      </c>
      <c r="E1395" s="1003"/>
      <c r="F1395" s="1003"/>
      <c r="G1395" s="1003"/>
      <c r="H1395" s="1003"/>
      <c r="I1395" s="1003"/>
      <c r="J1395" s="1003"/>
      <c r="K1395" s="1003">
        <f t="shared" si="21"/>
        <v>30</v>
      </c>
      <c r="L1395" s="1004"/>
      <c r="M1395" s="1003"/>
      <c r="N1395" s="1003">
        <v>28</v>
      </c>
      <c r="O1395" s="1005">
        <v>32</v>
      </c>
    </row>
    <row r="1396" spans="1:15" collapsed="1" x14ac:dyDescent="0.2">
      <c r="A1396"/>
      <c r="B1396" s="1002">
        <v>109</v>
      </c>
      <c r="C1396" s="1003">
        <v>7</v>
      </c>
      <c r="D1396" s="1003">
        <v>22</v>
      </c>
      <c r="E1396" s="1003"/>
      <c r="F1396" s="1003"/>
      <c r="G1396" s="1003"/>
      <c r="H1396" s="1003"/>
      <c r="I1396" s="1003"/>
      <c r="J1396" s="1003"/>
      <c r="K1396" s="1003">
        <f t="shared" si="21"/>
        <v>29</v>
      </c>
      <c r="L1396" s="1004"/>
      <c r="M1396" s="1003"/>
      <c r="N1396" s="1003">
        <v>26</v>
      </c>
      <c r="O1396" s="1005">
        <v>32</v>
      </c>
    </row>
    <row r="1397" spans="1:15" collapsed="1" x14ac:dyDescent="0.2">
      <c r="A1397"/>
      <c r="B1397" s="1002">
        <v>109</v>
      </c>
      <c r="C1397" s="1003">
        <v>3</v>
      </c>
      <c r="D1397" s="1003">
        <v>25</v>
      </c>
      <c r="E1397" s="1003"/>
      <c r="F1397" s="1003"/>
      <c r="G1397" s="1003"/>
      <c r="H1397" s="1003"/>
      <c r="I1397" s="1003"/>
      <c r="J1397" s="1003"/>
      <c r="K1397" s="1003">
        <f t="shared" si="21"/>
        <v>28</v>
      </c>
      <c r="L1397" s="1004"/>
      <c r="M1397" s="1003"/>
      <c r="N1397" s="1003">
        <v>24</v>
      </c>
      <c r="O1397" s="1005">
        <v>32</v>
      </c>
    </row>
    <row r="1398" spans="1:15" collapsed="1" x14ac:dyDescent="0.2">
      <c r="A1398"/>
      <c r="B1398" s="1002">
        <v>109</v>
      </c>
      <c r="C1398" s="1003"/>
      <c r="D1398" s="1003">
        <v>26</v>
      </c>
      <c r="E1398" s="1003">
        <v>1</v>
      </c>
      <c r="F1398" s="1003"/>
      <c r="G1398" s="1003"/>
      <c r="H1398" s="1003"/>
      <c r="I1398" s="1003"/>
      <c r="J1398" s="1003"/>
      <c r="K1398" s="1003">
        <f t="shared" si="21"/>
        <v>27</v>
      </c>
      <c r="L1398" s="1004"/>
      <c r="M1398" s="1003"/>
      <c r="N1398" s="1003">
        <v>22</v>
      </c>
      <c r="O1398" s="1005">
        <v>32</v>
      </c>
    </row>
    <row r="1399" spans="1:15" collapsed="1" x14ac:dyDescent="0.2">
      <c r="A1399"/>
      <c r="B1399" s="1002">
        <v>109</v>
      </c>
      <c r="C1399" s="1003"/>
      <c r="D1399" s="1003">
        <v>21</v>
      </c>
      <c r="E1399" s="1003">
        <v>5</v>
      </c>
      <c r="F1399" s="1003"/>
      <c r="G1399" s="1003"/>
      <c r="H1399" s="1003"/>
      <c r="I1399" s="1003"/>
      <c r="J1399" s="1003"/>
      <c r="K1399" s="1003">
        <f t="shared" si="21"/>
        <v>26</v>
      </c>
      <c r="L1399" s="1004"/>
      <c r="M1399" s="1003"/>
      <c r="N1399" s="1003">
        <v>20</v>
      </c>
      <c r="O1399" s="1005">
        <v>32</v>
      </c>
    </row>
    <row r="1400" spans="1:15" collapsed="1" x14ac:dyDescent="0.2">
      <c r="A1400"/>
      <c r="B1400" s="1002">
        <v>109</v>
      </c>
      <c r="C1400" s="1003"/>
      <c r="D1400" s="1003">
        <v>16</v>
      </c>
      <c r="E1400" s="1003">
        <v>9</v>
      </c>
      <c r="F1400" s="1003"/>
      <c r="G1400" s="1003"/>
      <c r="H1400" s="1003"/>
      <c r="I1400" s="1003"/>
      <c r="J1400" s="1003"/>
      <c r="K1400" s="1003">
        <f t="shared" si="21"/>
        <v>25</v>
      </c>
      <c r="L1400" s="1004"/>
      <c r="M1400" s="1003"/>
      <c r="N1400" s="1003">
        <v>18</v>
      </c>
      <c r="O1400" s="1005">
        <v>32</v>
      </c>
    </row>
    <row r="1401" spans="1:15" collapsed="1" x14ac:dyDescent="0.2">
      <c r="A1401"/>
      <c r="B1401" s="1002">
        <v>109</v>
      </c>
      <c r="C1401" s="1003"/>
      <c r="D1401" s="1003">
        <v>11</v>
      </c>
      <c r="E1401" s="1003">
        <v>13</v>
      </c>
      <c r="F1401" s="1003"/>
      <c r="G1401" s="1003"/>
      <c r="H1401" s="1003"/>
      <c r="I1401" s="1003"/>
      <c r="J1401" s="1003"/>
      <c r="K1401" s="1003">
        <f t="shared" si="21"/>
        <v>24</v>
      </c>
      <c r="L1401" s="1004"/>
      <c r="M1401" s="1003"/>
      <c r="N1401" s="1003">
        <v>16</v>
      </c>
      <c r="O1401" s="1005">
        <v>32</v>
      </c>
    </row>
    <row r="1402" spans="1:15" collapsed="1" x14ac:dyDescent="0.2">
      <c r="A1402"/>
      <c r="B1402" s="1002">
        <v>109</v>
      </c>
      <c r="C1402" s="1003"/>
      <c r="D1402" s="1003">
        <v>6</v>
      </c>
      <c r="E1402" s="1003">
        <v>17</v>
      </c>
      <c r="F1402" s="1003"/>
      <c r="G1402" s="1003"/>
      <c r="H1402" s="1003"/>
      <c r="I1402" s="1003"/>
      <c r="J1402" s="1003"/>
      <c r="K1402" s="1003">
        <f t="shared" si="21"/>
        <v>23</v>
      </c>
      <c r="L1402" s="1004"/>
      <c r="M1402" s="1003"/>
      <c r="N1402" s="1003">
        <v>14</v>
      </c>
      <c r="O1402" s="1005">
        <v>32</v>
      </c>
    </row>
    <row r="1403" spans="1:15" collapsed="1" x14ac:dyDescent="0.2">
      <c r="A1403"/>
      <c r="B1403" s="1002">
        <v>109</v>
      </c>
      <c r="C1403" s="1003"/>
      <c r="D1403" s="1003">
        <v>1</v>
      </c>
      <c r="E1403" s="1003">
        <v>21</v>
      </c>
      <c r="F1403" s="1003"/>
      <c r="G1403" s="1003"/>
      <c r="H1403" s="1003"/>
      <c r="I1403" s="1003"/>
      <c r="J1403" s="1003"/>
      <c r="K1403" s="1003">
        <f t="shared" si="21"/>
        <v>22</v>
      </c>
      <c r="L1403" s="1004"/>
      <c r="M1403" s="1003"/>
      <c r="N1403" s="1003">
        <v>12</v>
      </c>
      <c r="O1403" s="1005">
        <v>32</v>
      </c>
    </row>
    <row r="1404" spans="1:15" collapsed="1" x14ac:dyDescent="0.2">
      <c r="A1404"/>
      <c r="B1404" s="1002">
        <v>109</v>
      </c>
      <c r="C1404" s="1003"/>
      <c r="D1404" s="1003"/>
      <c r="E1404" s="1003">
        <v>17</v>
      </c>
      <c r="F1404" s="1003">
        <v>4</v>
      </c>
      <c r="G1404" s="1003"/>
      <c r="H1404" s="1003"/>
      <c r="I1404" s="1003"/>
      <c r="J1404" s="1003"/>
      <c r="K1404" s="1003">
        <f t="shared" si="21"/>
        <v>21</v>
      </c>
      <c r="L1404" s="1004"/>
      <c r="M1404" s="1003"/>
      <c r="N1404" s="1003">
        <v>10</v>
      </c>
      <c r="O1404" s="1005">
        <v>32</v>
      </c>
    </row>
    <row r="1405" spans="1:15" collapsed="1" x14ac:dyDescent="0.2">
      <c r="A1405"/>
      <c r="B1405" s="1002">
        <v>109</v>
      </c>
      <c r="C1405" s="1003"/>
      <c r="D1405" s="1003"/>
      <c r="E1405" s="1003">
        <v>11</v>
      </c>
      <c r="F1405" s="1003">
        <v>9</v>
      </c>
      <c r="G1405" s="1003"/>
      <c r="H1405" s="1003"/>
      <c r="I1405" s="1003"/>
      <c r="J1405" s="1003"/>
      <c r="K1405" s="1003">
        <f t="shared" si="21"/>
        <v>20</v>
      </c>
      <c r="L1405" s="1004"/>
      <c r="M1405" s="1003"/>
      <c r="N1405" s="1003">
        <v>8</v>
      </c>
      <c r="O1405" s="1005">
        <v>32</v>
      </c>
    </row>
    <row r="1406" spans="1:15" collapsed="1" x14ac:dyDescent="0.2">
      <c r="A1406"/>
      <c r="B1406" s="1002">
        <v>109</v>
      </c>
      <c r="C1406" s="1003"/>
      <c r="D1406" s="1003"/>
      <c r="E1406" s="1003">
        <v>5</v>
      </c>
      <c r="F1406" s="1003">
        <v>14</v>
      </c>
      <c r="G1406" s="1003"/>
      <c r="H1406" s="1003"/>
      <c r="I1406" s="1003"/>
      <c r="J1406" s="1003"/>
      <c r="K1406" s="1003">
        <f t="shared" si="21"/>
        <v>19</v>
      </c>
      <c r="L1406" s="1004"/>
      <c r="M1406" s="1003"/>
      <c r="N1406" s="1003">
        <v>6</v>
      </c>
      <c r="O1406" s="1005">
        <v>32</v>
      </c>
    </row>
    <row r="1407" spans="1:15" collapsed="1" x14ac:dyDescent="0.2">
      <c r="A1407"/>
      <c r="B1407" s="1002">
        <v>109</v>
      </c>
      <c r="C1407" s="1003"/>
      <c r="D1407" s="1003"/>
      <c r="E1407" s="1003"/>
      <c r="F1407" s="1003">
        <v>17</v>
      </c>
      <c r="G1407" s="1003">
        <v>1</v>
      </c>
      <c r="H1407" s="1003"/>
      <c r="I1407" s="1003"/>
      <c r="J1407" s="1003"/>
      <c r="K1407" s="1003">
        <f t="shared" si="21"/>
        <v>18</v>
      </c>
      <c r="L1407" s="1004"/>
      <c r="M1407" s="1003"/>
      <c r="N1407" s="1003">
        <v>4</v>
      </c>
      <c r="O1407" s="1005">
        <v>32</v>
      </c>
    </row>
    <row r="1408" spans="1:15" collapsed="1" x14ac:dyDescent="0.2">
      <c r="A1408"/>
      <c r="B1408" s="1002">
        <v>109</v>
      </c>
      <c r="C1408" s="1003"/>
      <c r="D1408" s="1003"/>
      <c r="E1408" s="1003"/>
      <c r="F1408" s="1003">
        <v>10</v>
      </c>
      <c r="G1408" s="1003">
        <v>7</v>
      </c>
      <c r="H1408" s="1003"/>
      <c r="I1408" s="1003"/>
      <c r="J1408" s="1003"/>
      <c r="K1408" s="1003">
        <f t="shared" si="21"/>
        <v>17</v>
      </c>
      <c r="L1408" s="1004"/>
      <c r="M1408" s="1003"/>
      <c r="N1408" s="1003">
        <v>2</v>
      </c>
      <c r="O1408" s="1005">
        <v>32</v>
      </c>
    </row>
    <row r="1409" spans="1:15" collapsed="1" x14ac:dyDescent="0.2">
      <c r="A1409"/>
      <c r="B1409" s="1002">
        <v>109</v>
      </c>
      <c r="C1409" s="1003"/>
      <c r="D1409" s="1003"/>
      <c r="E1409" s="1003"/>
      <c r="F1409" s="1003">
        <v>3</v>
      </c>
      <c r="G1409" s="1003">
        <v>13</v>
      </c>
      <c r="H1409" s="1003"/>
      <c r="I1409" s="1003"/>
      <c r="J1409" s="1003"/>
      <c r="K1409" s="1003">
        <f t="shared" si="21"/>
        <v>16</v>
      </c>
      <c r="L1409" s="1004"/>
      <c r="M1409" s="1003"/>
      <c r="N1409" s="1003"/>
      <c r="O1409" s="1005">
        <v>32</v>
      </c>
    </row>
    <row r="1410" spans="1:15" collapsed="1" x14ac:dyDescent="0.2">
      <c r="A1410"/>
      <c r="B1410" s="1002">
        <v>109</v>
      </c>
      <c r="C1410" s="1003"/>
      <c r="D1410" s="1003"/>
      <c r="E1410" s="1003"/>
      <c r="F1410" s="1003"/>
      <c r="G1410" s="1003">
        <v>12</v>
      </c>
      <c r="H1410" s="1003">
        <v>3</v>
      </c>
      <c r="I1410" s="1003"/>
      <c r="J1410" s="1003"/>
      <c r="K1410" s="1003">
        <f t="shared" si="21"/>
        <v>15</v>
      </c>
      <c r="L1410" s="1004"/>
      <c r="M1410" s="1003"/>
      <c r="N1410" s="1003">
        <v>14</v>
      </c>
      <c r="O1410" s="1005">
        <v>16</v>
      </c>
    </row>
    <row r="1411" spans="1:15" x14ac:dyDescent="0.2">
      <c r="A1411"/>
      <c r="B1411" s="1002">
        <v>109</v>
      </c>
      <c r="C1411" s="1003"/>
      <c r="D1411" s="1003"/>
      <c r="E1411" s="1003"/>
      <c r="F1411" s="1003"/>
      <c r="G1411" s="1003">
        <v>3</v>
      </c>
      <c r="H1411" s="1003">
        <v>11</v>
      </c>
      <c r="I1411" s="1003"/>
      <c r="J1411" s="1003"/>
      <c r="K1411" s="1003">
        <f t="shared" si="21"/>
        <v>14</v>
      </c>
      <c r="L1411" s="1004"/>
      <c r="M1411" s="1003"/>
      <c r="N1411" s="1003">
        <v>12</v>
      </c>
      <c r="O1411" s="1005">
        <v>16</v>
      </c>
    </row>
    <row r="1412" spans="1:15" collapsed="1" x14ac:dyDescent="0.2">
      <c r="A1412"/>
      <c r="B1412" s="1002">
        <v>109</v>
      </c>
      <c r="C1412" s="1003"/>
      <c r="D1412" s="1003"/>
      <c r="E1412" s="1003"/>
      <c r="F1412" s="1003"/>
      <c r="G1412" s="1003"/>
      <c r="H1412" s="1003">
        <v>8</v>
      </c>
      <c r="I1412" s="1003">
        <v>5</v>
      </c>
      <c r="J1412" s="1003"/>
      <c r="K1412" s="1003">
        <f t="shared" si="21"/>
        <v>13</v>
      </c>
      <c r="L1412" s="1004"/>
      <c r="M1412" s="1003"/>
      <c r="N1412" s="1003">
        <v>10</v>
      </c>
      <c r="O1412" s="1005">
        <v>16</v>
      </c>
    </row>
    <row r="1413" spans="1:15" collapsed="1" x14ac:dyDescent="0.2">
      <c r="A1413"/>
      <c r="B1413" s="1002">
        <v>109</v>
      </c>
      <c r="C1413" s="1003"/>
      <c r="D1413" s="1003"/>
      <c r="E1413" s="1003"/>
      <c r="F1413" s="1003"/>
      <c r="G1413" s="1003"/>
      <c r="H1413" s="1003"/>
      <c r="I1413" s="1003">
        <v>11</v>
      </c>
      <c r="J1413" s="1003">
        <v>1</v>
      </c>
      <c r="K1413" s="1003">
        <f t="shared" si="21"/>
        <v>12</v>
      </c>
      <c r="L1413" s="1004"/>
      <c r="M1413" s="1003"/>
      <c r="N1413" s="1003">
        <v>8</v>
      </c>
      <c r="O1413" s="1005">
        <v>16</v>
      </c>
    </row>
    <row r="1414" spans="1:15" x14ac:dyDescent="0.2">
      <c r="A1414"/>
      <c r="B1414" s="1002">
        <v>109</v>
      </c>
      <c r="C1414" s="1003"/>
      <c r="D1414" s="1003"/>
      <c r="E1414" s="1003"/>
      <c r="F1414" s="1003"/>
      <c r="G1414" s="1003"/>
      <c r="H1414" s="1003"/>
      <c r="I1414" s="1003">
        <v>1</v>
      </c>
      <c r="J1414" s="1003">
        <v>10</v>
      </c>
      <c r="K1414" s="1003">
        <f t="shared" ref="K1414:K1477" si="22">SUM(C1414:J1414)</f>
        <v>11</v>
      </c>
      <c r="L1414" s="1004"/>
      <c r="M1414" s="1003"/>
      <c r="N1414" s="1003">
        <v>6</v>
      </c>
      <c r="O1414" s="1005">
        <v>16</v>
      </c>
    </row>
    <row r="1415" spans="1:15" collapsed="1" x14ac:dyDescent="0.2">
      <c r="A1415"/>
      <c r="B1415" s="1002">
        <v>110</v>
      </c>
      <c r="C1415" s="1003">
        <v>32</v>
      </c>
      <c r="D1415" s="1003"/>
      <c r="E1415" s="1003"/>
      <c r="F1415" s="1003"/>
      <c r="G1415" s="1003"/>
      <c r="H1415" s="1003"/>
      <c r="I1415" s="1003"/>
      <c r="J1415" s="1003"/>
      <c r="K1415" s="1003">
        <f t="shared" si="22"/>
        <v>32</v>
      </c>
      <c r="L1415" s="1004"/>
      <c r="M1415" s="1003">
        <v>14</v>
      </c>
      <c r="N1415" s="1003">
        <v>14</v>
      </c>
      <c r="O1415" s="1005">
        <v>64</v>
      </c>
    </row>
    <row r="1416" spans="1:15" collapsed="1" x14ac:dyDescent="0.2">
      <c r="A1416"/>
      <c r="B1416" s="1002">
        <v>110</v>
      </c>
      <c r="C1416" s="1003">
        <v>18</v>
      </c>
      <c r="D1416" s="1003">
        <v>14</v>
      </c>
      <c r="E1416" s="1003"/>
      <c r="F1416" s="1003"/>
      <c r="G1416" s="1003"/>
      <c r="H1416" s="1003"/>
      <c r="I1416" s="1003"/>
      <c r="J1416" s="1003"/>
      <c r="K1416" s="1003">
        <f t="shared" si="22"/>
        <v>32</v>
      </c>
      <c r="L1416" s="1004"/>
      <c r="M1416" s="1003"/>
      <c r="N1416" s="1003"/>
      <c r="O1416" s="1005">
        <v>64</v>
      </c>
    </row>
    <row r="1417" spans="1:15" collapsed="1" x14ac:dyDescent="0.2">
      <c r="A1417"/>
      <c r="B1417" s="1002">
        <v>110</v>
      </c>
      <c r="C1417" s="1003">
        <v>14</v>
      </c>
      <c r="D1417" s="1003">
        <v>17</v>
      </c>
      <c r="E1417" s="1003"/>
      <c r="F1417" s="1003"/>
      <c r="G1417" s="1003"/>
      <c r="H1417" s="1003"/>
      <c r="I1417" s="1003"/>
      <c r="J1417" s="1003"/>
      <c r="K1417" s="1003">
        <f t="shared" si="22"/>
        <v>31</v>
      </c>
      <c r="L1417" s="1004"/>
      <c r="M1417" s="1003"/>
      <c r="N1417" s="1003">
        <v>30</v>
      </c>
      <c r="O1417" s="1005">
        <v>32</v>
      </c>
    </row>
    <row r="1418" spans="1:15" collapsed="1" x14ac:dyDescent="0.2">
      <c r="A1418"/>
      <c r="B1418" s="1002">
        <v>110</v>
      </c>
      <c r="C1418" s="1003">
        <v>10</v>
      </c>
      <c r="D1418" s="1003">
        <v>20</v>
      </c>
      <c r="E1418" s="1003"/>
      <c r="F1418" s="1003"/>
      <c r="G1418" s="1003"/>
      <c r="H1418" s="1003"/>
      <c r="I1418" s="1003"/>
      <c r="J1418" s="1003"/>
      <c r="K1418" s="1003">
        <f t="shared" si="22"/>
        <v>30</v>
      </c>
      <c r="L1418" s="1004"/>
      <c r="M1418" s="1003"/>
      <c r="N1418" s="1003">
        <v>28</v>
      </c>
      <c r="O1418" s="1005">
        <v>32</v>
      </c>
    </row>
    <row r="1419" spans="1:15" collapsed="1" x14ac:dyDescent="0.2">
      <c r="A1419"/>
      <c r="B1419" s="1002">
        <v>110</v>
      </c>
      <c r="C1419" s="1003">
        <v>6</v>
      </c>
      <c r="D1419" s="1003">
        <v>23</v>
      </c>
      <c r="E1419" s="1003"/>
      <c r="F1419" s="1003"/>
      <c r="G1419" s="1003"/>
      <c r="H1419" s="1003"/>
      <c r="I1419" s="1003"/>
      <c r="J1419" s="1003"/>
      <c r="K1419" s="1003">
        <f t="shared" si="22"/>
        <v>29</v>
      </c>
      <c r="L1419" s="1004"/>
      <c r="M1419" s="1003"/>
      <c r="N1419" s="1003">
        <v>26</v>
      </c>
      <c r="O1419" s="1005">
        <v>32</v>
      </c>
    </row>
    <row r="1420" spans="1:15" collapsed="1" x14ac:dyDescent="0.2">
      <c r="A1420"/>
      <c r="B1420" s="1002">
        <v>110</v>
      </c>
      <c r="C1420" s="1003">
        <v>2</v>
      </c>
      <c r="D1420" s="1003">
        <v>26</v>
      </c>
      <c r="E1420" s="1003"/>
      <c r="F1420" s="1003"/>
      <c r="G1420" s="1003"/>
      <c r="H1420" s="1003"/>
      <c r="I1420" s="1003"/>
      <c r="J1420" s="1003"/>
      <c r="K1420" s="1003">
        <f t="shared" si="22"/>
        <v>28</v>
      </c>
      <c r="L1420" s="1004"/>
      <c r="M1420" s="1003"/>
      <c r="N1420" s="1003">
        <v>24</v>
      </c>
      <c r="O1420" s="1005">
        <v>32</v>
      </c>
    </row>
    <row r="1421" spans="1:15" collapsed="1" x14ac:dyDescent="0.2">
      <c r="A1421"/>
      <c r="B1421" s="1002">
        <v>110</v>
      </c>
      <c r="C1421" s="1003"/>
      <c r="D1421" s="1003">
        <v>25</v>
      </c>
      <c r="E1421" s="1003">
        <v>2</v>
      </c>
      <c r="F1421" s="1003"/>
      <c r="G1421" s="1003"/>
      <c r="H1421" s="1003"/>
      <c r="I1421" s="1003"/>
      <c r="J1421" s="1003"/>
      <c r="K1421" s="1003">
        <f t="shared" si="22"/>
        <v>27</v>
      </c>
      <c r="L1421" s="1004"/>
      <c r="M1421" s="1003"/>
      <c r="N1421" s="1003">
        <v>22</v>
      </c>
      <c r="O1421" s="1005">
        <v>32</v>
      </c>
    </row>
    <row r="1422" spans="1:15" collapsed="1" x14ac:dyDescent="0.2">
      <c r="A1422"/>
      <c r="B1422" s="1002">
        <v>110</v>
      </c>
      <c r="C1422" s="1003"/>
      <c r="D1422" s="1003">
        <v>20</v>
      </c>
      <c r="E1422" s="1003">
        <v>6</v>
      </c>
      <c r="F1422" s="1003"/>
      <c r="G1422" s="1003"/>
      <c r="H1422" s="1003"/>
      <c r="I1422" s="1003"/>
      <c r="J1422" s="1003"/>
      <c r="K1422" s="1003">
        <f t="shared" si="22"/>
        <v>26</v>
      </c>
      <c r="L1422" s="1004"/>
      <c r="M1422" s="1003"/>
      <c r="N1422" s="1003">
        <v>20</v>
      </c>
      <c r="O1422" s="1005">
        <v>32</v>
      </c>
    </row>
    <row r="1423" spans="1:15" collapsed="1" x14ac:dyDescent="0.2">
      <c r="A1423"/>
      <c r="B1423" s="1002">
        <v>110</v>
      </c>
      <c r="C1423" s="1003"/>
      <c r="D1423" s="1003">
        <v>15</v>
      </c>
      <c r="E1423" s="1003">
        <v>10</v>
      </c>
      <c r="F1423" s="1003"/>
      <c r="G1423" s="1003"/>
      <c r="H1423" s="1003"/>
      <c r="I1423" s="1003"/>
      <c r="J1423" s="1003"/>
      <c r="K1423" s="1003">
        <f t="shared" si="22"/>
        <v>25</v>
      </c>
      <c r="L1423" s="1004"/>
      <c r="M1423" s="1003"/>
      <c r="N1423" s="1003">
        <v>18</v>
      </c>
      <c r="O1423" s="1005">
        <v>32</v>
      </c>
    </row>
    <row r="1424" spans="1:15" collapsed="1" x14ac:dyDescent="0.2">
      <c r="A1424"/>
      <c r="B1424" s="1002">
        <v>110</v>
      </c>
      <c r="C1424" s="1003"/>
      <c r="D1424" s="1003">
        <v>10</v>
      </c>
      <c r="E1424" s="1003">
        <v>14</v>
      </c>
      <c r="F1424" s="1003"/>
      <c r="G1424" s="1003"/>
      <c r="H1424" s="1003"/>
      <c r="I1424" s="1003"/>
      <c r="J1424" s="1003"/>
      <c r="K1424" s="1003">
        <f t="shared" si="22"/>
        <v>24</v>
      </c>
      <c r="L1424" s="1004"/>
      <c r="M1424" s="1003"/>
      <c r="N1424" s="1003">
        <v>16</v>
      </c>
      <c r="O1424" s="1005">
        <v>32</v>
      </c>
    </row>
    <row r="1425" spans="1:15" collapsed="1" x14ac:dyDescent="0.2">
      <c r="A1425"/>
      <c r="B1425" s="1002">
        <v>110</v>
      </c>
      <c r="C1425" s="1003"/>
      <c r="D1425" s="1003">
        <v>5</v>
      </c>
      <c r="E1425" s="1003">
        <v>18</v>
      </c>
      <c r="F1425" s="1003"/>
      <c r="G1425" s="1003"/>
      <c r="H1425" s="1003"/>
      <c r="I1425" s="1003"/>
      <c r="J1425" s="1003"/>
      <c r="K1425" s="1003">
        <f t="shared" si="22"/>
        <v>23</v>
      </c>
      <c r="L1425" s="1004"/>
      <c r="M1425" s="1003"/>
      <c r="N1425" s="1003">
        <v>14</v>
      </c>
      <c r="O1425" s="1005">
        <v>32</v>
      </c>
    </row>
    <row r="1426" spans="1:15" collapsed="1" x14ac:dyDescent="0.2">
      <c r="A1426"/>
      <c r="B1426" s="1002">
        <v>110</v>
      </c>
      <c r="C1426" s="1003"/>
      <c r="D1426" s="1003"/>
      <c r="E1426" s="1003">
        <v>22</v>
      </c>
      <c r="F1426" s="1003"/>
      <c r="G1426" s="1003"/>
      <c r="H1426" s="1003"/>
      <c r="I1426" s="1003"/>
      <c r="J1426" s="1003"/>
      <c r="K1426" s="1003">
        <f t="shared" si="22"/>
        <v>22</v>
      </c>
      <c r="L1426" s="1004"/>
      <c r="M1426" s="1003"/>
      <c r="N1426" s="1003">
        <v>12</v>
      </c>
      <c r="O1426" s="1005">
        <v>32</v>
      </c>
    </row>
    <row r="1427" spans="1:15" collapsed="1" x14ac:dyDescent="0.2">
      <c r="A1427"/>
      <c r="B1427" s="1002">
        <v>110</v>
      </c>
      <c r="C1427" s="1003"/>
      <c r="D1427" s="1003"/>
      <c r="E1427" s="1003">
        <v>16</v>
      </c>
      <c r="F1427" s="1003">
        <v>5</v>
      </c>
      <c r="G1427" s="1003"/>
      <c r="H1427" s="1003"/>
      <c r="I1427" s="1003"/>
      <c r="J1427" s="1003"/>
      <c r="K1427" s="1003">
        <f t="shared" si="22"/>
        <v>21</v>
      </c>
      <c r="L1427" s="1004"/>
      <c r="M1427" s="1003"/>
      <c r="N1427" s="1003">
        <v>10</v>
      </c>
      <c r="O1427" s="1005">
        <v>32</v>
      </c>
    </row>
    <row r="1428" spans="1:15" collapsed="1" x14ac:dyDescent="0.2">
      <c r="A1428"/>
      <c r="B1428" s="1002">
        <v>110</v>
      </c>
      <c r="C1428" s="1003"/>
      <c r="D1428" s="1003"/>
      <c r="E1428" s="1003">
        <v>10</v>
      </c>
      <c r="F1428" s="1003">
        <v>10</v>
      </c>
      <c r="G1428" s="1003"/>
      <c r="H1428" s="1003"/>
      <c r="I1428" s="1003"/>
      <c r="J1428" s="1003"/>
      <c r="K1428" s="1003">
        <f t="shared" si="22"/>
        <v>20</v>
      </c>
      <c r="L1428" s="1004"/>
      <c r="M1428" s="1003"/>
      <c r="N1428" s="1003">
        <v>8</v>
      </c>
      <c r="O1428" s="1005">
        <v>32</v>
      </c>
    </row>
    <row r="1429" spans="1:15" collapsed="1" x14ac:dyDescent="0.2">
      <c r="A1429"/>
      <c r="B1429" s="1002">
        <v>110</v>
      </c>
      <c r="C1429" s="1003"/>
      <c r="D1429" s="1003"/>
      <c r="E1429" s="1003">
        <v>4</v>
      </c>
      <c r="F1429" s="1003">
        <v>15</v>
      </c>
      <c r="G1429" s="1003"/>
      <c r="H1429" s="1003"/>
      <c r="I1429" s="1003"/>
      <c r="J1429" s="1003"/>
      <c r="K1429" s="1003">
        <f t="shared" si="22"/>
        <v>19</v>
      </c>
      <c r="L1429" s="1004"/>
      <c r="M1429" s="1003"/>
      <c r="N1429" s="1003">
        <v>6</v>
      </c>
      <c r="O1429" s="1005">
        <v>32</v>
      </c>
    </row>
    <row r="1430" spans="1:15" collapsed="1" x14ac:dyDescent="0.2">
      <c r="A1430"/>
      <c r="B1430" s="1002">
        <v>110</v>
      </c>
      <c r="C1430" s="1003"/>
      <c r="D1430" s="1003"/>
      <c r="E1430" s="1003"/>
      <c r="F1430" s="1003">
        <v>16</v>
      </c>
      <c r="G1430" s="1003">
        <v>2</v>
      </c>
      <c r="H1430" s="1003"/>
      <c r="I1430" s="1003"/>
      <c r="J1430" s="1003"/>
      <c r="K1430" s="1003">
        <f t="shared" si="22"/>
        <v>18</v>
      </c>
      <c r="L1430" s="1004"/>
      <c r="M1430" s="1003"/>
      <c r="N1430" s="1003">
        <v>4</v>
      </c>
      <c r="O1430" s="1005">
        <v>32</v>
      </c>
    </row>
    <row r="1431" spans="1:15" collapsed="1" x14ac:dyDescent="0.2">
      <c r="A1431"/>
      <c r="B1431" s="1002">
        <v>110</v>
      </c>
      <c r="C1431" s="1003"/>
      <c r="D1431" s="1003"/>
      <c r="E1431" s="1003"/>
      <c r="F1431" s="1003">
        <v>9</v>
      </c>
      <c r="G1431" s="1003">
        <v>8</v>
      </c>
      <c r="H1431" s="1003"/>
      <c r="I1431" s="1003"/>
      <c r="J1431" s="1003"/>
      <c r="K1431" s="1003">
        <f t="shared" si="22"/>
        <v>17</v>
      </c>
      <c r="L1431" s="1004"/>
      <c r="M1431" s="1003"/>
      <c r="N1431" s="1003">
        <v>2</v>
      </c>
      <c r="O1431" s="1005">
        <v>32</v>
      </c>
    </row>
    <row r="1432" spans="1:15" collapsed="1" x14ac:dyDescent="0.2">
      <c r="A1432"/>
      <c r="B1432" s="1002">
        <v>110</v>
      </c>
      <c r="C1432" s="1003"/>
      <c r="D1432" s="1003"/>
      <c r="E1432" s="1003"/>
      <c r="F1432" s="1003">
        <v>2</v>
      </c>
      <c r="G1432" s="1003">
        <v>14</v>
      </c>
      <c r="H1432" s="1003"/>
      <c r="I1432" s="1003"/>
      <c r="J1432" s="1003"/>
      <c r="K1432" s="1003">
        <f t="shared" si="22"/>
        <v>16</v>
      </c>
      <c r="L1432" s="1004"/>
      <c r="M1432" s="1003"/>
      <c r="N1432" s="1003"/>
      <c r="O1432" s="1005">
        <v>32</v>
      </c>
    </row>
    <row r="1433" spans="1:15" collapsed="1" x14ac:dyDescent="0.2">
      <c r="A1433"/>
      <c r="B1433" s="1002">
        <v>110</v>
      </c>
      <c r="C1433" s="1003"/>
      <c r="D1433" s="1003"/>
      <c r="E1433" s="1003"/>
      <c r="F1433" s="1003"/>
      <c r="G1433" s="1003">
        <v>11</v>
      </c>
      <c r="H1433" s="1003">
        <v>4</v>
      </c>
      <c r="I1433" s="1003"/>
      <c r="J1433" s="1003"/>
      <c r="K1433" s="1003">
        <f t="shared" si="22"/>
        <v>15</v>
      </c>
      <c r="L1433" s="1004"/>
      <c r="M1433" s="1003"/>
      <c r="N1433" s="1003">
        <v>14</v>
      </c>
      <c r="O1433" s="1005">
        <v>16</v>
      </c>
    </row>
    <row r="1434" spans="1:15" x14ac:dyDescent="0.2">
      <c r="A1434"/>
      <c r="B1434" s="1002">
        <v>110</v>
      </c>
      <c r="C1434" s="1003"/>
      <c r="D1434" s="1003"/>
      <c r="E1434" s="1003"/>
      <c r="F1434" s="1003"/>
      <c r="G1434" s="1003">
        <v>2</v>
      </c>
      <c r="H1434" s="1003">
        <v>12</v>
      </c>
      <c r="I1434" s="1003"/>
      <c r="J1434" s="1003"/>
      <c r="K1434" s="1003">
        <f t="shared" si="22"/>
        <v>14</v>
      </c>
      <c r="L1434" s="1004"/>
      <c r="M1434" s="1003"/>
      <c r="N1434" s="1003">
        <v>12</v>
      </c>
      <c r="O1434" s="1005">
        <v>16</v>
      </c>
    </row>
    <row r="1435" spans="1:15" collapsed="1" x14ac:dyDescent="0.2">
      <c r="A1435"/>
      <c r="B1435" s="1002">
        <v>110</v>
      </c>
      <c r="C1435" s="1003"/>
      <c r="D1435" s="1003"/>
      <c r="E1435" s="1003"/>
      <c r="F1435" s="1003"/>
      <c r="G1435" s="1003"/>
      <c r="H1435" s="1003">
        <v>7</v>
      </c>
      <c r="I1435" s="1003">
        <v>6</v>
      </c>
      <c r="J1435" s="1003"/>
      <c r="K1435" s="1003">
        <f t="shared" si="22"/>
        <v>13</v>
      </c>
      <c r="L1435" s="1004"/>
      <c r="M1435" s="1003"/>
      <c r="N1435" s="1003">
        <v>10</v>
      </c>
      <c r="O1435" s="1005">
        <v>16</v>
      </c>
    </row>
    <row r="1436" spans="1:15" collapsed="1" x14ac:dyDescent="0.2">
      <c r="A1436"/>
      <c r="B1436" s="1002">
        <v>110</v>
      </c>
      <c r="C1436" s="1003"/>
      <c r="D1436" s="1003"/>
      <c r="E1436" s="1003"/>
      <c r="F1436" s="1003"/>
      <c r="G1436" s="1003"/>
      <c r="H1436" s="1003"/>
      <c r="I1436" s="1003">
        <v>10</v>
      </c>
      <c r="J1436" s="1003">
        <v>2</v>
      </c>
      <c r="K1436" s="1003">
        <f t="shared" si="22"/>
        <v>12</v>
      </c>
      <c r="L1436" s="1004"/>
      <c r="M1436" s="1003"/>
      <c r="N1436" s="1003">
        <v>8</v>
      </c>
      <c r="O1436" s="1005">
        <v>16</v>
      </c>
    </row>
    <row r="1437" spans="1:15" x14ac:dyDescent="0.2">
      <c r="A1437"/>
      <c r="B1437" s="1002">
        <v>110</v>
      </c>
      <c r="C1437" s="1003"/>
      <c r="D1437" s="1003"/>
      <c r="E1437" s="1003"/>
      <c r="F1437" s="1003"/>
      <c r="G1437" s="1003"/>
      <c r="H1437" s="1003"/>
      <c r="I1437" s="1003"/>
      <c r="J1437" s="1003">
        <v>11</v>
      </c>
      <c r="K1437" s="1003">
        <f t="shared" si="22"/>
        <v>11</v>
      </c>
      <c r="L1437" s="1004"/>
      <c r="M1437" s="1003"/>
      <c r="N1437" s="1003">
        <v>6</v>
      </c>
      <c r="O1437" s="1005">
        <v>16</v>
      </c>
    </row>
    <row r="1438" spans="1:15" collapsed="1" x14ac:dyDescent="0.2">
      <c r="A1438"/>
      <c r="B1438" s="1002">
        <v>111</v>
      </c>
      <c r="C1438" s="1003">
        <v>32</v>
      </c>
      <c r="D1438" s="1003"/>
      <c r="E1438" s="1003"/>
      <c r="F1438" s="1003"/>
      <c r="G1438" s="1003"/>
      <c r="H1438" s="1003"/>
      <c r="I1438" s="1003"/>
      <c r="J1438" s="1003"/>
      <c r="K1438" s="1003">
        <f t="shared" si="22"/>
        <v>32</v>
      </c>
      <c r="L1438" s="1004"/>
      <c r="M1438" s="1003">
        <v>15</v>
      </c>
      <c r="N1438" s="1003">
        <v>15</v>
      </c>
      <c r="O1438" s="1005">
        <v>64</v>
      </c>
    </row>
    <row r="1439" spans="1:15" collapsed="1" x14ac:dyDescent="0.2">
      <c r="A1439"/>
      <c r="B1439" s="1002">
        <v>111</v>
      </c>
      <c r="C1439" s="1003">
        <v>17</v>
      </c>
      <c r="D1439" s="1003">
        <v>15</v>
      </c>
      <c r="E1439" s="1003"/>
      <c r="F1439" s="1003"/>
      <c r="G1439" s="1003"/>
      <c r="H1439" s="1003"/>
      <c r="I1439" s="1003"/>
      <c r="J1439" s="1003"/>
      <c r="K1439" s="1003">
        <f t="shared" si="22"/>
        <v>32</v>
      </c>
      <c r="L1439" s="1004"/>
      <c r="M1439" s="1003"/>
      <c r="N1439" s="1003"/>
      <c r="O1439" s="1005">
        <v>64</v>
      </c>
    </row>
    <row r="1440" spans="1:15" collapsed="1" x14ac:dyDescent="0.2">
      <c r="A1440"/>
      <c r="B1440" s="1002">
        <v>111</v>
      </c>
      <c r="C1440" s="1003">
        <v>13</v>
      </c>
      <c r="D1440" s="1003">
        <v>18</v>
      </c>
      <c r="E1440" s="1003"/>
      <c r="F1440" s="1003"/>
      <c r="G1440" s="1003"/>
      <c r="H1440" s="1003"/>
      <c r="I1440" s="1003"/>
      <c r="J1440" s="1003"/>
      <c r="K1440" s="1003">
        <f t="shared" si="22"/>
        <v>31</v>
      </c>
      <c r="L1440" s="1004"/>
      <c r="M1440" s="1003"/>
      <c r="N1440" s="1003">
        <v>30</v>
      </c>
      <c r="O1440" s="1005">
        <v>32</v>
      </c>
    </row>
    <row r="1441" spans="1:15" collapsed="1" x14ac:dyDescent="0.2">
      <c r="A1441"/>
      <c r="B1441" s="1002">
        <v>111</v>
      </c>
      <c r="C1441" s="1003">
        <v>9</v>
      </c>
      <c r="D1441" s="1003">
        <v>21</v>
      </c>
      <c r="E1441" s="1003"/>
      <c r="F1441" s="1003"/>
      <c r="G1441" s="1003"/>
      <c r="H1441" s="1003"/>
      <c r="I1441" s="1003"/>
      <c r="J1441" s="1003"/>
      <c r="K1441" s="1003">
        <f t="shared" si="22"/>
        <v>30</v>
      </c>
      <c r="L1441" s="1004"/>
      <c r="M1441" s="1003"/>
      <c r="N1441" s="1003">
        <v>28</v>
      </c>
      <c r="O1441" s="1005">
        <v>32</v>
      </c>
    </row>
    <row r="1442" spans="1:15" collapsed="1" x14ac:dyDescent="0.2">
      <c r="A1442"/>
      <c r="B1442" s="1002">
        <v>111</v>
      </c>
      <c r="C1442" s="1003">
        <v>5</v>
      </c>
      <c r="D1442" s="1003">
        <v>24</v>
      </c>
      <c r="E1442" s="1003"/>
      <c r="F1442" s="1003"/>
      <c r="G1442" s="1003"/>
      <c r="H1442" s="1003"/>
      <c r="I1442" s="1003"/>
      <c r="J1442" s="1003"/>
      <c r="K1442" s="1003">
        <f t="shared" si="22"/>
        <v>29</v>
      </c>
      <c r="L1442" s="1004"/>
      <c r="M1442" s="1003"/>
      <c r="N1442" s="1003">
        <v>26</v>
      </c>
      <c r="O1442" s="1005">
        <v>32</v>
      </c>
    </row>
    <row r="1443" spans="1:15" collapsed="1" x14ac:dyDescent="0.2">
      <c r="A1443"/>
      <c r="B1443" s="1002">
        <v>111</v>
      </c>
      <c r="C1443" s="1003">
        <v>1</v>
      </c>
      <c r="D1443" s="1003">
        <v>27</v>
      </c>
      <c r="E1443" s="1003"/>
      <c r="F1443" s="1003"/>
      <c r="G1443" s="1003"/>
      <c r="H1443" s="1003"/>
      <c r="I1443" s="1003"/>
      <c r="J1443" s="1003"/>
      <c r="K1443" s="1003">
        <f t="shared" si="22"/>
        <v>28</v>
      </c>
      <c r="L1443" s="1004"/>
      <c r="M1443" s="1003"/>
      <c r="N1443" s="1003">
        <v>24</v>
      </c>
      <c r="O1443" s="1005">
        <v>32</v>
      </c>
    </row>
    <row r="1444" spans="1:15" collapsed="1" x14ac:dyDescent="0.2">
      <c r="A1444"/>
      <c r="B1444" s="1002">
        <v>111</v>
      </c>
      <c r="C1444" s="1003"/>
      <c r="D1444" s="1003">
        <v>24</v>
      </c>
      <c r="E1444" s="1003">
        <v>3</v>
      </c>
      <c r="F1444" s="1003"/>
      <c r="G1444" s="1003"/>
      <c r="H1444" s="1003"/>
      <c r="I1444" s="1003"/>
      <c r="J1444" s="1003"/>
      <c r="K1444" s="1003">
        <f t="shared" si="22"/>
        <v>27</v>
      </c>
      <c r="L1444" s="1004"/>
      <c r="M1444" s="1003"/>
      <c r="N1444" s="1003">
        <v>22</v>
      </c>
      <c r="O1444" s="1005">
        <v>32</v>
      </c>
    </row>
    <row r="1445" spans="1:15" collapsed="1" x14ac:dyDescent="0.2">
      <c r="A1445"/>
      <c r="B1445" s="1002">
        <v>111</v>
      </c>
      <c r="C1445" s="1003"/>
      <c r="D1445" s="1003">
        <v>19</v>
      </c>
      <c r="E1445" s="1003">
        <v>7</v>
      </c>
      <c r="F1445" s="1003"/>
      <c r="G1445" s="1003"/>
      <c r="H1445" s="1003"/>
      <c r="I1445" s="1003"/>
      <c r="J1445" s="1003"/>
      <c r="K1445" s="1003">
        <f t="shared" si="22"/>
        <v>26</v>
      </c>
      <c r="L1445" s="1004"/>
      <c r="M1445" s="1003"/>
      <c r="N1445" s="1003">
        <v>20</v>
      </c>
      <c r="O1445" s="1005">
        <v>32</v>
      </c>
    </row>
    <row r="1446" spans="1:15" collapsed="1" x14ac:dyDescent="0.2">
      <c r="A1446"/>
      <c r="B1446" s="1002">
        <v>111</v>
      </c>
      <c r="C1446" s="1003"/>
      <c r="D1446" s="1003">
        <v>14</v>
      </c>
      <c r="E1446" s="1003">
        <v>11</v>
      </c>
      <c r="F1446" s="1003"/>
      <c r="G1446" s="1003"/>
      <c r="H1446" s="1003"/>
      <c r="I1446" s="1003"/>
      <c r="J1446" s="1003"/>
      <c r="K1446" s="1003">
        <f t="shared" si="22"/>
        <v>25</v>
      </c>
      <c r="L1446" s="1004"/>
      <c r="M1446" s="1003"/>
      <c r="N1446" s="1003">
        <v>18</v>
      </c>
      <c r="O1446" s="1005">
        <v>32</v>
      </c>
    </row>
    <row r="1447" spans="1:15" collapsed="1" x14ac:dyDescent="0.2">
      <c r="A1447"/>
      <c r="B1447" s="1002">
        <v>111</v>
      </c>
      <c r="C1447" s="1003"/>
      <c r="D1447" s="1003">
        <v>9</v>
      </c>
      <c r="E1447" s="1003">
        <v>15</v>
      </c>
      <c r="F1447" s="1003"/>
      <c r="G1447" s="1003"/>
      <c r="H1447" s="1003"/>
      <c r="I1447" s="1003"/>
      <c r="J1447" s="1003"/>
      <c r="K1447" s="1003">
        <f t="shared" si="22"/>
        <v>24</v>
      </c>
      <c r="L1447" s="1004"/>
      <c r="M1447" s="1003"/>
      <c r="N1447" s="1003">
        <v>16</v>
      </c>
      <c r="O1447" s="1005">
        <v>32</v>
      </c>
    </row>
    <row r="1448" spans="1:15" collapsed="1" x14ac:dyDescent="0.2">
      <c r="A1448"/>
      <c r="B1448" s="1002">
        <v>111</v>
      </c>
      <c r="C1448" s="1003"/>
      <c r="D1448" s="1003">
        <v>4</v>
      </c>
      <c r="E1448" s="1003">
        <v>19</v>
      </c>
      <c r="F1448" s="1003"/>
      <c r="G1448" s="1003"/>
      <c r="H1448" s="1003"/>
      <c r="I1448" s="1003"/>
      <c r="J1448" s="1003"/>
      <c r="K1448" s="1003">
        <f t="shared" si="22"/>
        <v>23</v>
      </c>
      <c r="L1448" s="1004"/>
      <c r="M1448" s="1003"/>
      <c r="N1448" s="1003">
        <v>14</v>
      </c>
      <c r="O1448" s="1005">
        <v>32</v>
      </c>
    </row>
    <row r="1449" spans="1:15" collapsed="1" x14ac:dyDescent="0.2">
      <c r="A1449"/>
      <c r="B1449" s="1002">
        <v>111</v>
      </c>
      <c r="C1449" s="1003"/>
      <c r="D1449" s="1003"/>
      <c r="E1449" s="1003">
        <v>21</v>
      </c>
      <c r="F1449" s="1003">
        <v>1</v>
      </c>
      <c r="G1449" s="1003"/>
      <c r="H1449" s="1003"/>
      <c r="I1449" s="1003"/>
      <c r="J1449" s="1003"/>
      <c r="K1449" s="1003">
        <f t="shared" si="22"/>
        <v>22</v>
      </c>
      <c r="L1449" s="1004"/>
      <c r="M1449" s="1003"/>
      <c r="N1449" s="1003">
        <v>12</v>
      </c>
      <c r="O1449" s="1005">
        <v>32</v>
      </c>
    </row>
    <row r="1450" spans="1:15" collapsed="1" x14ac:dyDescent="0.2">
      <c r="A1450"/>
      <c r="B1450" s="1002">
        <v>111</v>
      </c>
      <c r="C1450" s="1003"/>
      <c r="D1450" s="1003"/>
      <c r="E1450" s="1003">
        <v>15</v>
      </c>
      <c r="F1450" s="1003">
        <v>6</v>
      </c>
      <c r="G1450" s="1003"/>
      <c r="H1450" s="1003"/>
      <c r="I1450" s="1003"/>
      <c r="J1450" s="1003"/>
      <c r="K1450" s="1003">
        <f t="shared" si="22"/>
        <v>21</v>
      </c>
      <c r="L1450" s="1004"/>
      <c r="M1450" s="1003"/>
      <c r="N1450" s="1003">
        <v>10</v>
      </c>
      <c r="O1450" s="1005">
        <v>32</v>
      </c>
    </row>
    <row r="1451" spans="1:15" collapsed="1" x14ac:dyDescent="0.2">
      <c r="A1451"/>
      <c r="B1451" s="1002">
        <v>111</v>
      </c>
      <c r="C1451" s="1003"/>
      <c r="D1451" s="1003"/>
      <c r="E1451" s="1003">
        <v>9</v>
      </c>
      <c r="F1451" s="1003">
        <v>11</v>
      </c>
      <c r="G1451" s="1003"/>
      <c r="H1451" s="1003"/>
      <c r="I1451" s="1003"/>
      <c r="J1451" s="1003"/>
      <c r="K1451" s="1003">
        <f t="shared" si="22"/>
        <v>20</v>
      </c>
      <c r="L1451" s="1004"/>
      <c r="M1451" s="1003"/>
      <c r="N1451" s="1003">
        <v>8</v>
      </c>
      <c r="O1451" s="1005">
        <v>32</v>
      </c>
    </row>
    <row r="1452" spans="1:15" collapsed="1" x14ac:dyDescent="0.2">
      <c r="A1452"/>
      <c r="B1452" s="1002">
        <v>111</v>
      </c>
      <c r="C1452" s="1003"/>
      <c r="D1452" s="1003"/>
      <c r="E1452" s="1003">
        <v>3</v>
      </c>
      <c r="F1452" s="1003">
        <v>16</v>
      </c>
      <c r="G1452" s="1003"/>
      <c r="H1452" s="1003"/>
      <c r="I1452" s="1003"/>
      <c r="J1452" s="1003"/>
      <c r="K1452" s="1003">
        <f t="shared" si="22"/>
        <v>19</v>
      </c>
      <c r="L1452" s="1004"/>
      <c r="M1452" s="1003"/>
      <c r="N1452" s="1003">
        <v>6</v>
      </c>
      <c r="O1452" s="1005">
        <v>32</v>
      </c>
    </row>
    <row r="1453" spans="1:15" collapsed="1" x14ac:dyDescent="0.2">
      <c r="A1453"/>
      <c r="B1453" s="1002">
        <v>111</v>
      </c>
      <c r="C1453" s="1003"/>
      <c r="D1453" s="1003"/>
      <c r="E1453" s="1003"/>
      <c r="F1453" s="1003">
        <v>15</v>
      </c>
      <c r="G1453" s="1003">
        <v>3</v>
      </c>
      <c r="H1453" s="1003"/>
      <c r="I1453" s="1003"/>
      <c r="J1453" s="1003"/>
      <c r="K1453" s="1003">
        <f t="shared" si="22"/>
        <v>18</v>
      </c>
      <c r="L1453" s="1004"/>
      <c r="M1453" s="1003"/>
      <c r="N1453" s="1003">
        <v>4</v>
      </c>
      <c r="O1453" s="1005">
        <v>32</v>
      </c>
    </row>
    <row r="1454" spans="1:15" collapsed="1" x14ac:dyDescent="0.2">
      <c r="A1454"/>
      <c r="B1454" s="1002">
        <v>111</v>
      </c>
      <c r="C1454" s="1003"/>
      <c r="D1454" s="1003"/>
      <c r="E1454" s="1003"/>
      <c r="F1454" s="1003">
        <v>8</v>
      </c>
      <c r="G1454" s="1003">
        <v>9</v>
      </c>
      <c r="H1454" s="1003"/>
      <c r="I1454" s="1003"/>
      <c r="J1454" s="1003"/>
      <c r="K1454" s="1003">
        <f t="shared" si="22"/>
        <v>17</v>
      </c>
      <c r="L1454" s="1004"/>
      <c r="M1454" s="1003"/>
      <c r="N1454" s="1003">
        <v>2</v>
      </c>
      <c r="O1454" s="1005">
        <v>32</v>
      </c>
    </row>
    <row r="1455" spans="1:15" collapsed="1" x14ac:dyDescent="0.2">
      <c r="A1455"/>
      <c r="B1455" s="1002">
        <v>111</v>
      </c>
      <c r="C1455" s="1003"/>
      <c r="D1455" s="1003"/>
      <c r="E1455" s="1003"/>
      <c r="F1455" s="1003">
        <v>1</v>
      </c>
      <c r="G1455" s="1003">
        <v>15</v>
      </c>
      <c r="H1455" s="1003"/>
      <c r="I1455" s="1003"/>
      <c r="J1455" s="1003"/>
      <c r="K1455" s="1003">
        <f t="shared" si="22"/>
        <v>16</v>
      </c>
      <c r="L1455" s="1004"/>
      <c r="M1455" s="1003"/>
      <c r="N1455" s="1003"/>
      <c r="O1455" s="1005">
        <v>32</v>
      </c>
    </row>
    <row r="1456" spans="1:15" collapsed="1" x14ac:dyDescent="0.2">
      <c r="A1456"/>
      <c r="B1456" s="1002">
        <v>111</v>
      </c>
      <c r="C1456" s="1003"/>
      <c r="D1456" s="1003"/>
      <c r="E1456" s="1003"/>
      <c r="F1456" s="1003"/>
      <c r="G1456" s="1003">
        <v>10</v>
      </c>
      <c r="H1456" s="1003">
        <v>5</v>
      </c>
      <c r="I1456" s="1003"/>
      <c r="J1456" s="1003"/>
      <c r="K1456" s="1003">
        <f t="shared" si="22"/>
        <v>15</v>
      </c>
      <c r="L1456" s="1004"/>
      <c r="M1456" s="1003"/>
      <c r="N1456" s="1003">
        <v>14</v>
      </c>
      <c r="O1456" s="1005">
        <v>16</v>
      </c>
    </row>
    <row r="1457" spans="1:15" x14ac:dyDescent="0.2">
      <c r="A1457"/>
      <c r="B1457" s="1002">
        <v>111</v>
      </c>
      <c r="C1457" s="1003"/>
      <c r="D1457" s="1003"/>
      <c r="E1457" s="1003"/>
      <c r="F1457" s="1003"/>
      <c r="G1457" s="1003">
        <v>1</v>
      </c>
      <c r="H1457" s="1003">
        <v>13</v>
      </c>
      <c r="I1457" s="1003"/>
      <c r="J1457" s="1003"/>
      <c r="K1457" s="1003">
        <f t="shared" si="22"/>
        <v>14</v>
      </c>
      <c r="L1457" s="1004"/>
      <c r="M1457" s="1003"/>
      <c r="N1457" s="1003">
        <v>12</v>
      </c>
      <c r="O1457" s="1005">
        <v>16</v>
      </c>
    </row>
    <row r="1458" spans="1:15" collapsed="1" x14ac:dyDescent="0.2">
      <c r="A1458"/>
      <c r="B1458" s="1002">
        <v>111</v>
      </c>
      <c r="C1458" s="1003"/>
      <c r="D1458" s="1003"/>
      <c r="E1458" s="1003"/>
      <c r="F1458" s="1003"/>
      <c r="G1458" s="1003"/>
      <c r="H1458" s="1003">
        <v>6</v>
      </c>
      <c r="I1458" s="1003">
        <v>7</v>
      </c>
      <c r="J1458" s="1003"/>
      <c r="K1458" s="1003">
        <f t="shared" si="22"/>
        <v>13</v>
      </c>
      <c r="L1458" s="1004"/>
      <c r="M1458" s="1003"/>
      <c r="N1458" s="1003">
        <v>10</v>
      </c>
      <c r="O1458" s="1005">
        <v>16</v>
      </c>
    </row>
    <row r="1459" spans="1:15" collapsed="1" x14ac:dyDescent="0.2">
      <c r="A1459"/>
      <c r="B1459" s="1002">
        <v>111</v>
      </c>
      <c r="C1459" s="1003"/>
      <c r="D1459" s="1003"/>
      <c r="E1459" s="1003"/>
      <c r="F1459" s="1003"/>
      <c r="G1459" s="1003"/>
      <c r="H1459" s="1003"/>
      <c r="I1459" s="1003">
        <v>9</v>
      </c>
      <c r="J1459" s="1003">
        <v>3</v>
      </c>
      <c r="K1459" s="1003">
        <f t="shared" si="22"/>
        <v>12</v>
      </c>
      <c r="L1459" s="1004"/>
      <c r="M1459" s="1003"/>
      <c r="N1459" s="1003">
        <v>8</v>
      </c>
      <c r="O1459" s="1005">
        <v>16</v>
      </c>
    </row>
    <row r="1460" spans="1:15" collapsed="1" x14ac:dyDescent="0.2">
      <c r="A1460"/>
      <c r="B1460" s="1002">
        <v>112</v>
      </c>
      <c r="C1460" s="1003">
        <v>32</v>
      </c>
      <c r="D1460" s="1003"/>
      <c r="E1460" s="1003"/>
      <c r="F1460" s="1003"/>
      <c r="G1460" s="1003"/>
      <c r="H1460" s="1003"/>
      <c r="I1460" s="1003"/>
      <c r="J1460" s="1003"/>
      <c r="K1460" s="1003">
        <f t="shared" si="22"/>
        <v>32</v>
      </c>
      <c r="L1460" s="1004"/>
      <c r="M1460" s="1003">
        <v>16</v>
      </c>
      <c r="N1460" s="1003">
        <v>16</v>
      </c>
      <c r="O1460" s="1005">
        <v>64</v>
      </c>
    </row>
    <row r="1461" spans="1:15" collapsed="1" x14ac:dyDescent="0.2">
      <c r="A1461"/>
      <c r="B1461" s="1002">
        <v>112</v>
      </c>
      <c r="C1461" s="1003">
        <v>16</v>
      </c>
      <c r="D1461" s="1003">
        <v>16</v>
      </c>
      <c r="E1461" s="1003"/>
      <c r="F1461" s="1003"/>
      <c r="G1461" s="1003"/>
      <c r="H1461" s="1003"/>
      <c r="I1461" s="1003"/>
      <c r="J1461" s="1003"/>
      <c r="K1461" s="1003">
        <f t="shared" si="22"/>
        <v>32</v>
      </c>
      <c r="L1461" s="1004"/>
      <c r="M1461" s="1003"/>
      <c r="N1461" s="1003"/>
      <c r="O1461" s="1005">
        <v>64</v>
      </c>
    </row>
    <row r="1462" spans="1:15" collapsed="1" x14ac:dyDescent="0.2">
      <c r="A1462"/>
      <c r="B1462" s="1002">
        <v>112</v>
      </c>
      <c r="C1462" s="1003">
        <v>12</v>
      </c>
      <c r="D1462" s="1003">
        <v>19</v>
      </c>
      <c r="E1462" s="1003"/>
      <c r="F1462" s="1003"/>
      <c r="G1462" s="1003"/>
      <c r="H1462" s="1003"/>
      <c r="I1462" s="1003"/>
      <c r="J1462" s="1003"/>
      <c r="K1462" s="1003">
        <f t="shared" si="22"/>
        <v>31</v>
      </c>
      <c r="L1462" s="1004"/>
      <c r="M1462" s="1003"/>
      <c r="N1462" s="1003">
        <v>30</v>
      </c>
      <c r="O1462" s="1005">
        <v>32</v>
      </c>
    </row>
    <row r="1463" spans="1:15" collapsed="1" x14ac:dyDescent="0.2">
      <c r="A1463"/>
      <c r="B1463" s="1002">
        <v>112</v>
      </c>
      <c r="C1463" s="1003">
        <v>8</v>
      </c>
      <c r="D1463" s="1003">
        <v>22</v>
      </c>
      <c r="E1463" s="1003"/>
      <c r="F1463" s="1003"/>
      <c r="G1463" s="1003"/>
      <c r="H1463" s="1003"/>
      <c r="I1463" s="1003"/>
      <c r="J1463" s="1003"/>
      <c r="K1463" s="1003">
        <f t="shared" si="22"/>
        <v>30</v>
      </c>
      <c r="L1463" s="1004"/>
      <c r="M1463" s="1003"/>
      <c r="N1463" s="1003">
        <v>28</v>
      </c>
      <c r="O1463" s="1005">
        <v>32</v>
      </c>
    </row>
    <row r="1464" spans="1:15" collapsed="1" x14ac:dyDescent="0.2">
      <c r="A1464"/>
      <c r="B1464" s="1002">
        <v>112</v>
      </c>
      <c r="C1464" s="1003">
        <v>4</v>
      </c>
      <c r="D1464" s="1003">
        <v>25</v>
      </c>
      <c r="E1464" s="1003"/>
      <c r="F1464" s="1003"/>
      <c r="G1464" s="1003"/>
      <c r="H1464" s="1003"/>
      <c r="I1464" s="1003"/>
      <c r="J1464" s="1003"/>
      <c r="K1464" s="1003">
        <f t="shared" si="22"/>
        <v>29</v>
      </c>
      <c r="L1464" s="1004"/>
      <c r="M1464" s="1003"/>
      <c r="N1464" s="1003">
        <v>26</v>
      </c>
      <c r="O1464" s="1005">
        <v>32</v>
      </c>
    </row>
    <row r="1465" spans="1:15" collapsed="1" x14ac:dyDescent="0.2">
      <c r="A1465"/>
      <c r="B1465" s="1002">
        <v>112</v>
      </c>
      <c r="C1465" s="1003"/>
      <c r="D1465" s="1003">
        <v>28</v>
      </c>
      <c r="E1465" s="1003"/>
      <c r="F1465" s="1003"/>
      <c r="G1465" s="1003"/>
      <c r="H1465" s="1003"/>
      <c r="I1465" s="1003"/>
      <c r="J1465" s="1003"/>
      <c r="K1465" s="1003">
        <f t="shared" si="22"/>
        <v>28</v>
      </c>
      <c r="L1465" s="1004"/>
      <c r="M1465" s="1003"/>
      <c r="N1465" s="1003">
        <v>24</v>
      </c>
      <c r="O1465" s="1005">
        <v>32</v>
      </c>
    </row>
    <row r="1466" spans="1:15" collapsed="1" x14ac:dyDescent="0.2">
      <c r="A1466"/>
      <c r="B1466" s="1002">
        <v>112</v>
      </c>
      <c r="C1466" s="1003"/>
      <c r="D1466" s="1003">
        <v>23</v>
      </c>
      <c r="E1466" s="1003">
        <v>4</v>
      </c>
      <c r="F1466" s="1003"/>
      <c r="G1466" s="1003"/>
      <c r="H1466" s="1003"/>
      <c r="I1466" s="1003"/>
      <c r="J1466" s="1003"/>
      <c r="K1466" s="1003">
        <f t="shared" si="22"/>
        <v>27</v>
      </c>
      <c r="L1466" s="1004"/>
      <c r="M1466" s="1003"/>
      <c r="N1466" s="1003">
        <v>22</v>
      </c>
      <c r="O1466" s="1005">
        <v>32</v>
      </c>
    </row>
    <row r="1467" spans="1:15" collapsed="1" x14ac:dyDescent="0.2">
      <c r="A1467"/>
      <c r="B1467" s="1002">
        <v>112</v>
      </c>
      <c r="C1467" s="1003"/>
      <c r="D1467" s="1003">
        <v>18</v>
      </c>
      <c r="E1467" s="1003">
        <v>8</v>
      </c>
      <c r="F1467" s="1003"/>
      <c r="G1467" s="1003"/>
      <c r="H1467" s="1003"/>
      <c r="I1467" s="1003"/>
      <c r="J1467" s="1003"/>
      <c r="K1467" s="1003">
        <f t="shared" si="22"/>
        <v>26</v>
      </c>
      <c r="L1467" s="1004"/>
      <c r="M1467" s="1003"/>
      <c r="N1467" s="1003">
        <v>20</v>
      </c>
      <c r="O1467" s="1005">
        <v>32</v>
      </c>
    </row>
    <row r="1468" spans="1:15" collapsed="1" x14ac:dyDescent="0.2">
      <c r="A1468"/>
      <c r="B1468" s="1002">
        <v>112</v>
      </c>
      <c r="C1468" s="1003"/>
      <c r="D1468" s="1003">
        <v>13</v>
      </c>
      <c r="E1468" s="1003">
        <v>12</v>
      </c>
      <c r="F1468" s="1003"/>
      <c r="G1468" s="1003"/>
      <c r="H1468" s="1003"/>
      <c r="I1468" s="1003"/>
      <c r="J1468" s="1003"/>
      <c r="K1468" s="1003">
        <f t="shared" si="22"/>
        <v>25</v>
      </c>
      <c r="L1468" s="1004"/>
      <c r="M1468" s="1003"/>
      <c r="N1468" s="1003">
        <v>18</v>
      </c>
      <c r="O1468" s="1005">
        <v>32</v>
      </c>
    </row>
    <row r="1469" spans="1:15" collapsed="1" x14ac:dyDescent="0.2">
      <c r="A1469"/>
      <c r="B1469" s="1002">
        <v>112</v>
      </c>
      <c r="C1469" s="1003"/>
      <c r="D1469" s="1003">
        <v>8</v>
      </c>
      <c r="E1469" s="1003">
        <v>16</v>
      </c>
      <c r="F1469" s="1003"/>
      <c r="G1469" s="1003"/>
      <c r="H1469" s="1003"/>
      <c r="I1469" s="1003"/>
      <c r="J1469" s="1003"/>
      <c r="K1469" s="1003">
        <f t="shared" si="22"/>
        <v>24</v>
      </c>
      <c r="L1469" s="1004"/>
      <c r="M1469" s="1003"/>
      <c r="N1469" s="1003">
        <v>16</v>
      </c>
      <c r="O1469" s="1005">
        <v>32</v>
      </c>
    </row>
    <row r="1470" spans="1:15" collapsed="1" x14ac:dyDescent="0.2">
      <c r="A1470"/>
      <c r="B1470" s="1002">
        <v>112</v>
      </c>
      <c r="C1470" s="1003"/>
      <c r="D1470" s="1003">
        <v>3</v>
      </c>
      <c r="E1470" s="1003">
        <v>20</v>
      </c>
      <c r="F1470" s="1003"/>
      <c r="G1470" s="1003"/>
      <c r="H1470" s="1003"/>
      <c r="I1470" s="1003"/>
      <c r="J1470" s="1003"/>
      <c r="K1470" s="1003">
        <f t="shared" si="22"/>
        <v>23</v>
      </c>
      <c r="L1470" s="1004"/>
      <c r="M1470" s="1003"/>
      <c r="N1470" s="1003">
        <v>14</v>
      </c>
      <c r="O1470" s="1005">
        <v>32</v>
      </c>
    </row>
    <row r="1471" spans="1:15" collapsed="1" x14ac:dyDescent="0.2">
      <c r="A1471"/>
      <c r="B1471" s="1002">
        <v>112</v>
      </c>
      <c r="C1471" s="1003"/>
      <c r="D1471" s="1003"/>
      <c r="E1471" s="1003">
        <v>20</v>
      </c>
      <c r="F1471" s="1003">
        <v>2</v>
      </c>
      <c r="G1471" s="1003"/>
      <c r="H1471" s="1003"/>
      <c r="I1471" s="1003"/>
      <c r="J1471" s="1003"/>
      <c r="K1471" s="1003">
        <f t="shared" si="22"/>
        <v>22</v>
      </c>
      <c r="L1471" s="1004"/>
      <c r="M1471" s="1003"/>
      <c r="N1471" s="1003">
        <v>12</v>
      </c>
      <c r="O1471" s="1005">
        <v>32</v>
      </c>
    </row>
    <row r="1472" spans="1:15" collapsed="1" x14ac:dyDescent="0.2">
      <c r="A1472"/>
      <c r="B1472" s="1002">
        <v>112</v>
      </c>
      <c r="C1472" s="1003"/>
      <c r="D1472" s="1003"/>
      <c r="E1472" s="1003">
        <v>14</v>
      </c>
      <c r="F1472" s="1003">
        <v>7</v>
      </c>
      <c r="G1472" s="1003"/>
      <c r="H1472" s="1003"/>
      <c r="I1472" s="1003"/>
      <c r="J1472" s="1003"/>
      <c r="K1472" s="1003">
        <f t="shared" si="22"/>
        <v>21</v>
      </c>
      <c r="L1472" s="1004"/>
      <c r="M1472" s="1003"/>
      <c r="N1472" s="1003">
        <v>10</v>
      </c>
      <c r="O1472" s="1005">
        <v>32</v>
      </c>
    </row>
    <row r="1473" spans="1:15" collapsed="1" x14ac:dyDescent="0.2">
      <c r="A1473"/>
      <c r="B1473" s="1002">
        <v>112</v>
      </c>
      <c r="C1473" s="1003"/>
      <c r="D1473" s="1003"/>
      <c r="E1473" s="1003">
        <v>8</v>
      </c>
      <c r="F1473" s="1003">
        <v>12</v>
      </c>
      <c r="G1473" s="1003"/>
      <c r="H1473" s="1003"/>
      <c r="I1473" s="1003"/>
      <c r="J1473" s="1003"/>
      <c r="K1473" s="1003">
        <f t="shared" si="22"/>
        <v>20</v>
      </c>
      <c r="L1473" s="1004"/>
      <c r="M1473" s="1003"/>
      <c r="N1473" s="1003">
        <v>8</v>
      </c>
      <c r="O1473" s="1005">
        <v>32</v>
      </c>
    </row>
    <row r="1474" spans="1:15" collapsed="1" x14ac:dyDescent="0.2">
      <c r="A1474"/>
      <c r="B1474" s="1002">
        <v>112</v>
      </c>
      <c r="C1474" s="1003"/>
      <c r="D1474" s="1003"/>
      <c r="E1474" s="1003">
        <v>2</v>
      </c>
      <c r="F1474" s="1003">
        <v>17</v>
      </c>
      <c r="G1474" s="1003"/>
      <c r="H1474" s="1003"/>
      <c r="I1474" s="1003"/>
      <c r="J1474" s="1003"/>
      <c r="K1474" s="1003">
        <f t="shared" si="22"/>
        <v>19</v>
      </c>
      <c r="L1474" s="1004"/>
      <c r="M1474" s="1003"/>
      <c r="N1474" s="1003">
        <v>6</v>
      </c>
      <c r="O1474" s="1005">
        <v>32</v>
      </c>
    </row>
    <row r="1475" spans="1:15" collapsed="1" x14ac:dyDescent="0.2">
      <c r="A1475"/>
      <c r="B1475" s="1002">
        <v>112</v>
      </c>
      <c r="C1475" s="1003"/>
      <c r="D1475" s="1003"/>
      <c r="E1475" s="1003"/>
      <c r="F1475" s="1003">
        <v>14</v>
      </c>
      <c r="G1475" s="1003">
        <v>4</v>
      </c>
      <c r="H1475" s="1003"/>
      <c r="I1475" s="1003"/>
      <c r="J1475" s="1003"/>
      <c r="K1475" s="1003">
        <f t="shared" si="22"/>
        <v>18</v>
      </c>
      <c r="L1475" s="1004"/>
      <c r="M1475" s="1003"/>
      <c r="N1475" s="1003">
        <v>4</v>
      </c>
      <c r="O1475" s="1005">
        <v>32</v>
      </c>
    </row>
    <row r="1476" spans="1:15" collapsed="1" x14ac:dyDescent="0.2">
      <c r="A1476"/>
      <c r="B1476" s="1002">
        <v>112</v>
      </c>
      <c r="C1476" s="1003"/>
      <c r="D1476" s="1003"/>
      <c r="E1476" s="1003"/>
      <c r="F1476" s="1003">
        <v>7</v>
      </c>
      <c r="G1476" s="1003">
        <v>10</v>
      </c>
      <c r="H1476" s="1003"/>
      <c r="I1476" s="1003"/>
      <c r="J1476" s="1003"/>
      <c r="K1476" s="1003">
        <f t="shared" si="22"/>
        <v>17</v>
      </c>
      <c r="L1476" s="1004"/>
      <c r="M1476" s="1003"/>
      <c r="N1476" s="1003">
        <v>2</v>
      </c>
      <c r="O1476" s="1005">
        <v>32</v>
      </c>
    </row>
    <row r="1477" spans="1:15" collapsed="1" x14ac:dyDescent="0.2">
      <c r="A1477"/>
      <c r="B1477" s="1002">
        <v>112</v>
      </c>
      <c r="C1477" s="1003"/>
      <c r="D1477" s="1003"/>
      <c r="E1477" s="1003"/>
      <c r="F1477" s="1003"/>
      <c r="G1477" s="1003">
        <v>16</v>
      </c>
      <c r="H1477" s="1003"/>
      <c r="I1477" s="1003"/>
      <c r="J1477" s="1003"/>
      <c r="K1477" s="1003">
        <f t="shared" si="22"/>
        <v>16</v>
      </c>
      <c r="L1477" s="1004"/>
      <c r="M1477" s="1003"/>
      <c r="N1477" s="1003"/>
      <c r="O1477" s="1005">
        <v>32</v>
      </c>
    </row>
    <row r="1478" spans="1:15" collapsed="1" x14ac:dyDescent="0.2">
      <c r="A1478"/>
      <c r="B1478" s="1002">
        <v>112</v>
      </c>
      <c r="C1478" s="1003"/>
      <c r="D1478" s="1003"/>
      <c r="E1478" s="1003"/>
      <c r="F1478" s="1003"/>
      <c r="G1478" s="1003">
        <v>9</v>
      </c>
      <c r="H1478" s="1003">
        <v>6</v>
      </c>
      <c r="I1478" s="1003"/>
      <c r="J1478" s="1003"/>
      <c r="K1478" s="1003">
        <f t="shared" ref="K1478:K1541" si="23">SUM(C1478:J1478)</f>
        <v>15</v>
      </c>
      <c r="L1478" s="1004"/>
      <c r="M1478" s="1003"/>
      <c r="N1478" s="1003">
        <v>14</v>
      </c>
      <c r="O1478" s="1005">
        <v>16</v>
      </c>
    </row>
    <row r="1479" spans="1:15" x14ac:dyDescent="0.2">
      <c r="A1479"/>
      <c r="B1479" s="1002">
        <v>112</v>
      </c>
      <c r="C1479" s="1003"/>
      <c r="D1479" s="1003"/>
      <c r="E1479" s="1003"/>
      <c r="F1479" s="1003"/>
      <c r="G1479" s="1003"/>
      <c r="H1479" s="1003">
        <v>14</v>
      </c>
      <c r="I1479" s="1003"/>
      <c r="J1479" s="1003"/>
      <c r="K1479" s="1003">
        <f t="shared" si="23"/>
        <v>14</v>
      </c>
      <c r="L1479" s="1004"/>
      <c r="M1479" s="1003"/>
      <c r="N1479" s="1003">
        <v>12</v>
      </c>
      <c r="O1479" s="1005">
        <v>16</v>
      </c>
    </row>
    <row r="1480" spans="1:15" collapsed="1" x14ac:dyDescent="0.2">
      <c r="A1480"/>
      <c r="B1480" s="1002">
        <v>112</v>
      </c>
      <c r="C1480" s="1003"/>
      <c r="D1480" s="1003"/>
      <c r="E1480" s="1003"/>
      <c r="F1480" s="1003"/>
      <c r="G1480" s="1003"/>
      <c r="H1480" s="1003">
        <v>5</v>
      </c>
      <c r="I1480" s="1003">
        <v>8</v>
      </c>
      <c r="J1480" s="1003"/>
      <c r="K1480" s="1003">
        <f t="shared" si="23"/>
        <v>13</v>
      </c>
      <c r="L1480" s="1004"/>
      <c r="M1480" s="1003"/>
      <c r="N1480" s="1003">
        <v>10</v>
      </c>
      <c r="O1480" s="1005">
        <v>16</v>
      </c>
    </row>
    <row r="1481" spans="1:15" collapsed="1" x14ac:dyDescent="0.2">
      <c r="A1481"/>
      <c r="B1481" s="1002">
        <v>112</v>
      </c>
      <c r="C1481" s="1003"/>
      <c r="D1481" s="1003"/>
      <c r="E1481" s="1003"/>
      <c r="F1481" s="1003"/>
      <c r="G1481" s="1003"/>
      <c r="H1481" s="1003"/>
      <c r="I1481" s="1003">
        <v>8</v>
      </c>
      <c r="J1481" s="1003">
        <v>4</v>
      </c>
      <c r="K1481" s="1003">
        <f t="shared" si="23"/>
        <v>12</v>
      </c>
      <c r="L1481" s="1004"/>
      <c r="M1481" s="1003"/>
      <c r="N1481" s="1003">
        <v>8</v>
      </c>
      <c r="O1481" s="1005">
        <v>16</v>
      </c>
    </row>
    <row r="1482" spans="1:15" collapsed="1" x14ac:dyDescent="0.2">
      <c r="A1482"/>
      <c r="B1482" s="1002">
        <v>113</v>
      </c>
      <c r="C1482" s="1003">
        <v>32</v>
      </c>
      <c r="D1482" s="1003"/>
      <c r="E1482" s="1003"/>
      <c r="F1482" s="1003"/>
      <c r="G1482" s="1003"/>
      <c r="H1482" s="1003"/>
      <c r="I1482" s="1003"/>
      <c r="J1482" s="1003"/>
      <c r="K1482" s="1003">
        <f t="shared" si="23"/>
        <v>32</v>
      </c>
      <c r="L1482" s="1004"/>
      <c r="M1482" s="1003">
        <v>17</v>
      </c>
      <c r="N1482" s="1003">
        <v>17</v>
      </c>
      <c r="O1482" s="1005">
        <v>64</v>
      </c>
    </row>
    <row r="1483" spans="1:15" collapsed="1" x14ac:dyDescent="0.2">
      <c r="A1483"/>
      <c r="B1483" s="1002">
        <v>113</v>
      </c>
      <c r="C1483" s="1003">
        <v>15</v>
      </c>
      <c r="D1483" s="1003">
        <v>17</v>
      </c>
      <c r="E1483" s="1003"/>
      <c r="F1483" s="1003"/>
      <c r="G1483" s="1003"/>
      <c r="H1483" s="1003"/>
      <c r="I1483" s="1003"/>
      <c r="J1483" s="1003"/>
      <c r="K1483" s="1003">
        <f t="shared" si="23"/>
        <v>32</v>
      </c>
      <c r="L1483" s="1004"/>
      <c r="M1483" s="1003"/>
      <c r="N1483" s="1003"/>
      <c r="O1483" s="1005">
        <v>64</v>
      </c>
    </row>
    <row r="1484" spans="1:15" collapsed="1" x14ac:dyDescent="0.2">
      <c r="A1484"/>
      <c r="B1484" s="1002">
        <v>113</v>
      </c>
      <c r="C1484" s="1003">
        <v>11</v>
      </c>
      <c r="D1484" s="1003">
        <v>20</v>
      </c>
      <c r="E1484" s="1003"/>
      <c r="F1484" s="1003"/>
      <c r="G1484" s="1003"/>
      <c r="H1484" s="1003"/>
      <c r="I1484" s="1003"/>
      <c r="J1484" s="1003"/>
      <c r="K1484" s="1003">
        <f t="shared" si="23"/>
        <v>31</v>
      </c>
      <c r="L1484" s="1004"/>
      <c r="M1484" s="1003"/>
      <c r="N1484" s="1003">
        <v>30</v>
      </c>
      <c r="O1484" s="1005">
        <v>32</v>
      </c>
    </row>
    <row r="1485" spans="1:15" collapsed="1" x14ac:dyDescent="0.2">
      <c r="A1485"/>
      <c r="B1485" s="1002">
        <v>113</v>
      </c>
      <c r="C1485" s="1003">
        <v>7</v>
      </c>
      <c r="D1485" s="1003">
        <v>23</v>
      </c>
      <c r="E1485" s="1003"/>
      <c r="F1485" s="1003"/>
      <c r="G1485" s="1003"/>
      <c r="H1485" s="1003"/>
      <c r="I1485" s="1003"/>
      <c r="J1485" s="1003"/>
      <c r="K1485" s="1003">
        <f t="shared" si="23"/>
        <v>30</v>
      </c>
      <c r="L1485" s="1004"/>
      <c r="M1485" s="1003"/>
      <c r="N1485" s="1003">
        <v>28</v>
      </c>
      <c r="O1485" s="1005">
        <v>32</v>
      </c>
    </row>
    <row r="1486" spans="1:15" collapsed="1" x14ac:dyDescent="0.2">
      <c r="A1486"/>
      <c r="B1486" s="1002">
        <v>113</v>
      </c>
      <c r="C1486" s="1003">
        <v>3</v>
      </c>
      <c r="D1486" s="1003">
        <v>26</v>
      </c>
      <c r="E1486" s="1003"/>
      <c r="F1486" s="1003"/>
      <c r="G1486" s="1003"/>
      <c r="H1486" s="1003"/>
      <c r="I1486" s="1003"/>
      <c r="J1486" s="1003"/>
      <c r="K1486" s="1003">
        <f t="shared" si="23"/>
        <v>29</v>
      </c>
      <c r="L1486" s="1004"/>
      <c r="M1486" s="1003"/>
      <c r="N1486" s="1003">
        <v>26</v>
      </c>
      <c r="O1486" s="1005">
        <v>32</v>
      </c>
    </row>
    <row r="1487" spans="1:15" collapsed="1" x14ac:dyDescent="0.2">
      <c r="A1487"/>
      <c r="B1487" s="1002">
        <v>113</v>
      </c>
      <c r="C1487" s="1003"/>
      <c r="D1487" s="1003">
        <v>27</v>
      </c>
      <c r="E1487" s="1003">
        <v>1</v>
      </c>
      <c r="F1487" s="1003"/>
      <c r="G1487" s="1003"/>
      <c r="H1487" s="1003"/>
      <c r="I1487" s="1003"/>
      <c r="J1487" s="1003"/>
      <c r="K1487" s="1003">
        <f t="shared" si="23"/>
        <v>28</v>
      </c>
      <c r="L1487" s="1004"/>
      <c r="M1487" s="1003"/>
      <c r="N1487" s="1003">
        <v>24</v>
      </c>
      <c r="O1487" s="1005">
        <v>32</v>
      </c>
    </row>
    <row r="1488" spans="1:15" collapsed="1" x14ac:dyDescent="0.2">
      <c r="A1488"/>
      <c r="B1488" s="1002">
        <v>113</v>
      </c>
      <c r="C1488" s="1003"/>
      <c r="D1488" s="1003">
        <v>22</v>
      </c>
      <c r="E1488" s="1003">
        <v>5</v>
      </c>
      <c r="F1488" s="1003"/>
      <c r="G1488" s="1003"/>
      <c r="H1488" s="1003"/>
      <c r="I1488" s="1003"/>
      <c r="J1488" s="1003"/>
      <c r="K1488" s="1003">
        <f t="shared" si="23"/>
        <v>27</v>
      </c>
      <c r="L1488" s="1004"/>
      <c r="M1488" s="1003"/>
      <c r="N1488" s="1003">
        <v>22</v>
      </c>
      <c r="O1488" s="1005">
        <v>32</v>
      </c>
    </row>
    <row r="1489" spans="1:15" collapsed="1" x14ac:dyDescent="0.2">
      <c r="A1489"/>
      <c r="B1489" s="1002">
        <v>113</v>
      </c>
      <c r="C1489" s="1003"/>
      <c r="D1489" s="1003">
        <v>17</v>
      </c>
      <c r="E1489" s="1003">
        <v>9</v>
      </c>
      <c r="F1489" s="1003"/>
      <c r="G1489" s="1003"/>
      <c r="H1489" s="1003"/>
      <c r="I1489" s="1003"/>
      <c r="J1489" s="1003"/>
      <c r="K1489" s="1003">
        <f t="shared" si="23"/>
        <v>26</v>
      </c>
      <c r="L1489" s="1004"/>
      <c r="M1489" s="1003"/>
      <c r="N1489" s="1003">
        <v>20</v>
      </c>
      <c r="O1489" s="1005">
        <v>32</v>
      </c>
    </row>
    <row r="1490" spans="1:15" collapsed="1" x14ac:dyDescent="0.2">
      <c r="A1490"/>
      <c r="B1490" s="1002">
        <v>113</v>
      </c>
      <c r="C1490" s="1003"/>
      <c r="D1490" s="1003">
        <v>12</v>
      </c>
      <c r="E1490" s="1003">
        <v>13</v>
      </c>
      <c r="F1490" s="1003"/>
      <c r="G1490" s="1003"/>
      <c r="H1490" s="1003"/>
      <c r="I1490" s="1003"/>
      <c r="J1490" s="1003"/>
      <c r="K1490" s="1003">
        <f t="shared" si="23"/>
        <v>25</v>
      </c>
      <c r="L1490" s="1004"/>
      <c r="M1490" s="1003"/>
      <c r="N1490" s="1003">
        <v>18</v>
      </c>
      <c r="O1490" s="1005">
        <v>32</v>
      </c>
    </row>
    <row r="1491" spans="1:15" collapsed="1" x14ac:dyDescent="0.2">
      <c r="A1491"/>
      <c r="B1491" s="1002">
        <v>113</v>
      </c>
      <c r="C1491" s="1003"/>
      <c r="D1491" s="1003">
        <v>7</v>
      </c>
      <c r="E1491" s="1003">
        <v>17</v>
      </c>
      <c r="F1491" s="1003"/>
      <c r="G1491" s="1003"/>
      <c r="H1491" s="1003"/>
      <c r="I1491" s="1003"/>
      <c r="J1491" s="1003"/>
      <c r="K1491" s="1003">
        <f t="shared" si="23"/>
        <v>24</v>
      </c>
      <c r="L1491" s="1004"/>
      <c r="M1491" s="1003"/>
      <c r="N1491" s="1003">
        <v>16</v>
      </c>
      <c r="O1491" s="1005">
        <v>32</v>
      </c>
    </row>
    <row r="1492" spans="1:15" collapsed="1" x14ac:dyDescent="0.2">
      <c r="A1492"/>
      <c r="B1492" s="1002">
        <v>113</v>
      </c>
      <c r="C1492" s="1003"/>
      <c r="D1492" s="1003">
        <v>2</v>
      </c>
      <c r="E1492" s="1003">
        <v>21</v>
      </c>
      <c r="F1492" s="1003"/>
      <c r="G1492" s="1003"/>
      <c r="H1492" s="1003"/>
      <c r="I1492" s="1003"/>
      <c r="J1492" s="1003"/>
      <c r="K1492" s="1003">
        <f t="shared" si="23"/>
        <v>23</v>
      </c>
      <c r="L1492" s="1004"/>
      <c r="M1492" s="1003"/>
      <c r="N1492" s="1003">
        <v>14</v>
      </c>
      <c r="O1492" s="1005">
        <v>32</v>
      </c>
    </row>
    <row r="1493" spans="1:15" collapsed="1" x14ac:dyDescent="0.2">
      <c r="A1493"/>
      <c r="B1493" s="1002">
        <v>113</v>
      </c>
      <c r="C1493" s="1003"/>
      <c r="D1493" s="1003"/>
      <c r="E1493" s="1003">
        <v>19</v>
      </c>
      <c r="F1493" s="1003">
        <v>3</v>
      </c>
      <c r="G1493" s="1003"/>
      <c r="H1493" s="1003"/>
      <c r="I1493" s="1003"/>
      <c r="J1493" s="1003"/>
      <c r="K1493" s="1003">
        <f t="shared" si="23"/>
        <v>22</v>
      </c>
      <c r="L1493" s="1004"/>
      <c r="M1493" s="1003"/>
      <c r="N1493" s="1003">
        <v>12</v>
      </c>
      <c r="O1493" s="1005">
        <v>32</v>
      </c>
    </row>
    <row r="1494" spans="1:15" collapsed="1" x14ac:dyDescent="0.2">
      <c r="A1494"/>
      <c r="B1494" s="1002">
        <v>113</v>
      </c>
      <c r="C1494" s="1003"/>
      <c r="D1494" s="1003"/>
      <c r="E1494" s="1003">
        <v>13</v>
      </c>
      <c r="F1494" s="1003">
        <v>8</v>
      </c>
      <c r="G1494" s="1003"/>
      <c r="H1494" s="1003"/>
      <c r="I1494" s="1003"/>
      <c r="J1494" s="1003"/>
      <c r="K1494" s="1003">
        <f t="shared" si="23"/>
        <v>21</v>
      </c>
      <c r="L1494" s="1004"/>
      <c r="M1494" s="1003"/>
      <c r="N1494" s="1003">
        <v>10</v>
      </c>
      <c r="O1494" s="1005">
        <v>32</v>
      </c>
    </row>
    <row r="1495" spans="1:15" collapsed="1" x14ac:dyDescent="0.2">
      <c r="A1495"/>
      <c r="B1495" s="1002">
        <v>113</v>
      </c>
      <c r="C1495" s="1003"/>
      <c r="D1495" s="1003"/>
      <c r="E1495" s="1003">
        <v>7</v>
      </c>
      <c r="F1495" s="1003">
        <v>13</v>
      </c>
      <c r="G1495" s="1003"/>
      <c r="H1495" s="1003"/>
      <c r="I1495" s="1003"/>
      <c r="J1495" s="1003"/>
      <c r="K1495" s="1003">
        <f t="shared" si="23"/>
        <v>20</v>
      </c>
      <c r="L1495" s="1004"/>
      <c r="M1495" s="1003"/>
      <c r="N1495" s="1003">
        <v>8</v>
      </c>
      <c r="O1495" s="1005">
        <v>32</v>
      </c>
    </row>
    <row r="1496" spans="1:15" collapsed="1" x14ac:dyDescent="0.2">
      <c r="A1496"/>
      <c r="B1496" s="1002">
        <v>113</v>
      </c>
      <c r="C1496" s="1003"/>
      <c r="D1496" s="1003"/>
      <c r="E1496" s="1003">
        <v>1</v>
      </c>
      <c r="F1496" s="1003">
        <v>18</v>
      </c>
      <c r="G1496" s="1003"/>
      <c r="H1496" s="1003"/>
      <c r="I1496" s="1003"/>
      <c r="J1496" s="1003"/>
      <c r="K1496" s="1003">
        <f t="shared" si="23"/>
        <v>19</v>
      </c>
      <c r="L1496" s="1004"/>
      <c r="M1496" s="1003"/>
      <c r="N1496" s="1003">
        <v>6</v>
      </c>
      <c r="O1496" s="1005">
        <v>32</v>
      </c>
    </row>
    <row r="1497" spans="1:15" collapsed="1" x14ac:dyDescent="0.2">
      <c r="A1497"/>
      <c r="B1497" s="1002">
        <v>113</v>
      </c>
      <c r="C1497" s="1003"/>
      <c r="D1497" s="1003"/>
      <c r="E1497" s="1003"/>
      <c r="F1497" s="1003">
        <v>13</v>
      </c>
      <c r="G1497" s="1003">
        <v>5</v>
      </c>
      <c r="H1497" s="1003"/>
      <c r="I1497" s="1003"/>
      <c r="J1497" s="1003"/>
      <c r="K1497" s="1003">
        <f t="shared" si="23"/>
        <v>18</v>
      </c>
      <c r="L1497" s="1004"/>
      <c r="M1497" s="1003"/>
      <c r="N1497" s="1003">
        <v>4</v>
      </c>
      <c r="O1497" s="1005">
        <v>32</v>
      </c>
    </row>
    <row r="1498" spans="1:15" collapsed="1" x14ac:dyDescent="0.2">
      <c r="A1498"/>
      <c r="B1498" s="1002">
        <v>113</v>
      </c>
      <c r="C1498" s="1003"/>
      <c r="D1498" s="1003"/>
      <c r="E1498" s="1003"/>
      <c r="F1498" s="1003">
        <v>6</v>
      </c>
      <c r="G1498" s="1003">
        <v>11</v>
      </c>
      <c r="H1498" s="1003"/>
      <c r="I1498" s="1003"/>
      <c r="J1498" s="1003"/>
      <c r="K1498" s="1003">
        <f t="shared" si="23"/>
        <v>17</v>
      </c>
      <c r="L1498" s="1004"/>
      <c r="M1498" s="1003"/>
      <c r="N1498" s="1003">
        <v>2</v>
      </c>
      <c r="O1498" s="1005">
        <v>32</v>
      </c>
    </row>
    <row r="1499" spans="1:15" collapsed="1" x14ac:dyDescent="0.2">
      <c r="A1499"/>
      <c r="B1499" s="1002">
        <v>113</v>
      </c>
      <c r="C1499" s="1003"/>
      <c r="D1499" s="1003"/>
      <c r="E1499" s="1003"/>
      <c r="F1499" s="1003"/>
      <c r="G1499" s="1003">
        <v>15</v>
      </c>
      <c r="H1499" s="1003">
        <v>1</v>
      </c>
      <c r="I1499" s="1003"/>
      <c r="J1499" s="1003"/>
      <c r="K1499" s="1003">
        <f t="shared" si="23"/>
        <v>16</v>
      </c>
      <c r="L1499" s="1004"/>
      <c r="M1499" s="1003"/>
      <c r="N1499" s="1003"/>
      <c r="O1499" s="1005">
        <v>32</v>
      </c>
    </row>
    <row r="1500" spans="1:15" collapsed="1" x14ac:dyDescent="0.2">
      <c r="A1500"/>
      <c r="B1500" s="1002">
        <v>113</v>
      </c>
      <c r="C1500" s="1003"/>
      <c r="D1500" s="1003"/>
      <c r="E1500" s="1003"/>
      <c r="F1500" s="1003"/>
      <c r="G1500" s="1003">
        <v>8</v>
      </c>
      <c r="H1500" s="1003">
        <v>7</v>
      </c>
      <c r="I1500" s="1003"/>
      <c r="J1500" s="1003"/>
      <c r="K1500" s="1003">
        <f t="shared" si="23"/>
        <v>15</v>
      </c>
      <c r="L1500" s="1004"/>
      <c r="M1500" s="1003"/>
      <c r="N1500" s="1003">
        <v>14</v>
      </c>
      <c r="O1500" s="1005">
        <v>16</v>
      </c>
    </row>
    <row r="1501" spans="1:15" x14ac:dyDescent="0.2">
      <c r="A1501"/>
      <c r="B1501" s="1002">
        <v>113</v>
      </c>
      <c r="C1501" s="1003"/>
      <c r="D1501" s="1003"/>
      <c r="E1501" s="1003"/>
      <c r="F1501" s="1003"/>
      <c r="G1501" s="1003"/>
      <c r="H1501" s="1003">
        <v>13</v>
      </c>
      <c r="I1501" s="1003">
        <v>1</v>
      </c>
      <c r="J1501" s="1003"/>
      <c r="K1501" s="1003">
        <f t="shared" si="23"/>
        <v>14</v>
      </c>
      <c r="L1501" s="1004"/>
      <c r="M1501" s="1003"/>
      <c r="N1501" s="1003">
        <v>12</v>
      </c>
      <c r="O1501" s="1005">
        <v>16</v>
      </c>
    </row>
    <row r="1502" spans="1:15" collapsed="1" x14ac:dyDescent="0.2">
      <c r="A1502"/>
      <c r="B1502" s="1002">
        <v>113</v>
      </c>
      <c r="C1502" s="1003"/>
      <c r="D1502" s="1003"/>
      <c r="E1502" s="1003"/>
      <c r="F1502" s="1003"/>
      <c r="G1502" s="1003"/>
      <c r="H1502" s="1003">
        <v>4</v>
      </c>
      <c r="I1502" s="1003">
        <v>9</v>
      </c>
      <c r="J1502" s="1003"/>
      <c r="K1502" s="1003">
        <f t="shared" si="23"/>
        <v>13</v>
      </c>
      <c r="L1502" s="1004"/>
      <c r="M1502" s="1003"/>
      <c r="N1502" s="1003">
        <v>10</v>
      </c>
      <c r="O1502" s="1005">
        <v>16</v>
      </c>
    </row>
    <row r="1503" spans="1:15" collapsed="1" x14ac:dyDescent="0.2">
      <c r="A1503"/>
      <c r="B1503" s="1002">
        <v>113</v>
      </c>
      <c r="C1503" s="1003"/>
      <c r="D1503" s="1003"/>
      <c r="E1503" s="1003"/>
      <c r="F1503" s="1003"/>
      <c r="G1503" s="1003"/>
      <c r="H1503" s="1003"/>
      <c r="I1503" s="1003">
        <v>7</v>
      </c>
      <c r="J1503" s="1003">
        <v>5</v>
      </c>
      <c r="K1503" s="1003">
        <f t="shared" si="23"/>
        <v>12</v>
      </c>
      <c r="L1503" s="1004"/>
      <c r="M1503" s="1003"/>
      <c r="N1503" s="1003">
        <v>8</v>
      </c>
      <c r="O1503" s="1005">
        <v>16</v>
      </c>
    </row>
    <row r="1504" spans="1:15" collapsed="1" x14ac:dyDescent="0.2">
      <c r="A1504"/>
      <c r="B1504" s="1002">
        <v>114</v>
      </c>
      <c r="C1504" s="1003">
        <v>32</v>
      </c>
      <c r="D1504" s="1003"/>
      <c r="E1504" s="1003"/>
      <c r="F1504" s="1003"/>
      <c r="G1504" s="1003"/>
      <c r="H1504" s="1003"/>
      <c r="I1504" s="1003"/>
      <c r="J1504" s="1003"/>
      <c r="K1504" s="1003">
        <f t="shared" si="23"/>
        <v>32</v>
      </c>
      <c r="L1504" s="1004"/>
      <c r="M1504" s="1003">
        <v>18</v>
      </c>
      <c r="N1504" s="1003">
        <v>18</v>
      </c>
      <c r="O1504" s="1005">
        <v>64</v>
      </c>
    </row>
    <row r="1505" spans="1:15" collapsed="1" x14ac:dyDescent="0.2">
      <c r="A1505"/>
      <c r="B1505" s="1002">
        <v>114</v>
      </c>
      <c r="C1505" s="1003">
        <v>14</v>
      </c>
      <c r="D1505" s="1003">
        <v>18</v>
      </c>
      <c r="E1505" s="1003"/>
      <c r="F1505" s="1003"/>
      <c r="G1505" s="1003"/>
      <c r="H1505" s="1003"/>
      <c r="I1505" s="1003"/>
      <c r="J1505" s="1003"/>
      <c r="K1505" s="1003">
        <f t="shared" si="23"/>
        <v>32</v>
      </c>
      <c r="L1505" s="1004"/>
      <c r="M1505" s="1003"/>
      <c r="N1505" s="1003"/>
      <c r="O1505" s="1005">
        <v>64</v>
      </c>
    </row>
    <row r="1506" spans="1:15" collapsed="1" x14ac:dyDescent="0.2">
      <c r="A1506"/>
      <c r="B1506" s="1002">
        <v>114</v>
      </c>
      <c r="C1506" s="1003">
        <v>10</v>
      </c>
      <c r="D1506" s="1003">
        <v>21</v>
      </c>
      <c r="E1506" s="1003"/>
      <c r="F1506" s="1003"/>
      <c r="G1506" s="1003"/>
      <c r="H1506" s="1003"/>
      <c r="I1506" s="1003"/>
      <c r="J1506" s="1003"/>
      <c r="K1506" s="1003">
        <f t="shared" si="23"/>
        <v>31</v>
      </c>
      <c r="L1506" s="1004"/>
      <c r="M1506" s="1003"/>
      <c r="N1506" s="1003">
        <v>30</v>
      </c>
      <c r="O1506" s="1005">
        <v>32</v>
      </c>
    </row>
    <row r="1507" spans="1:15" collapsed="1" x14ac:dyDescent="0.2">
      <c r="A1507"/>
      <c r="B1507" s="1002">
        <v>114</v>
      </c>
      <c r="C1507" s="1003">
        <v>6</v>
      </c>
      <c r="D1507" s="1003">
        <v>24</v>
      </c>
      <c r="E1507" s="1003"/>
      <c r="F1507" s="1003"/>
      <c r="G1507" s="1003"/>
      <c r="H1507" s="1003"/>
      <c r="I1507" s="1003"/>
      <c r="J1507" s="1003"/>
      <c r="K1507" s="1003">
        <f t="shared" si="23"/>
        <v>30</v>
      </c>
      <c r="L1507" s="1004"/>
      <c r="M1507" s="1003"/>
      <c r="N1507" s="1003">
        <v>28</v>
      </c>
      <c r="O1507" s="1005">
        <v>32</v>
      </c>
    </row>
    <row r="1508" spans="1:15" collapsed="1" x14ac:dyDescent="0.2">
      <c r="A1508"/>
      <c r="B1508" s="1002">
        <v>114</v>
      </c>
      <c r="C1508" s="1003">
        <v>2</v>
      </c>
      <c r="D1508" s="1003">
        <v>27</v>
      </c>
      <c r="E1508" s="1003"/>
      <c r="F1508" s="1003"/>
      <c r="G1508" s="1003"/>
      <c r="H1508" s="1003"/>
      <c r="I1508" s="1003"/>
      <c r="J1508" s="1003"/>
      <c r="K1508" s="1003">
        <f t="shared" si="23"/>
        <v>29</v>
      </c>
      <c r="L1508" s="1004"/>
      <c r="M1508" s="1003"/>
      <c r="N1508" s="1003">
        <v>26</v>
      </c>
      <c r="O1508" s="1005">
        <v>32</v>
      </c>
    </row>
    <row r="1509" spans="1:15" collapsed="1" x14ac:dyDescent="0.2">
      <c r="A1509"/>
      <c r="B1509" s="1002">
        <v>114</v>
      </c>
      <c r="C1509" s="1003"/>
      <c r="D1509" s="1003">
        <v>26</v>
      </c>
      <c r="E1509" s="1003">
        <v>2</v>
      </c>
      <c r="F1509" s="1003"/>
      <c r="G1509" s="1003"/>
      <c r="H1509" s="1003"/>
      <c r="I1509" s="1003"/>
      <c r="J1509" s="1003"/>
      <c r="K1509" s="1003">
        <f t="shared" si="23"/>
        <v>28</v>
      </c>
      <c r="L1509" s="1004"/>
      <c r="M1509" s="1003"/>
      <c r="N1509" s="1003">
        <v>24</v>
      </c>
      <c r="O1509" s="1005">
        <v>32</v>
      </c>
    </row>
    <row r="1510" spans="1:15" collapsed="1" x14ac:dyDescent="0.2">
      <c r="A1510"/>
      <c r="B1510" s="1002">
        <v>114</v>
      </c>
      <c r="C1510" s="1003"/>
      <c r="D1510" s="1003">
        <v>21</v>
      </c>
      <c r="E1510" s="1003">
        <v>6</v>
      </c>
      <c r="F1510" s="1003"/>
      <c r="G1510" s="1003"/>
      <c r="H1510" s="1003"/>
      <c r="I1510" s="1003"/>
      <c r="J1510" s="1003"/>
      <c r="K1510" s="1003">
        <f t="shared" si="23"/>
        <v>27</v>
      </c>
      <c r="L1510" s="1004"/>
      <c r="M1510" s="1003"/>
      <c r="N1510" s="1003">
        <v>22</v>
      </c>
      <c r="O1510" s="1005">
        <v>32</v>
      </c>
    </row>
    <row r="1511" spans="1:15" collapsed="1" x14ac:dyDescent="0.2">
      <c r="A1511"/>
      <c r="B1511" s="1002">
        <v>114</v>
      </c>
      <c r="C1511" s="1003"/>
      <c r="D1511" s="1003">
        <v>16</v>
      </c>
      <c r="E1511" s="1003">
        <v>10</v>
      </c>
      <c r="F1511" s="1003"/>
      <c r="G1511" s="1003"/>
      <c r="H1511" s="1003"/>
      <c r="I1511" s="1003"/>
      <c r="J1511" s="1003"/>
      <c r="K1511" s="1003">
        <f t="shared" si="23"/>
        <v>26</v>
      </c>
      <c r="L1511" s="1004"/>
      <c r="M1511" s="1003"/>
      <c r="N1511" s="1003">
        <v>20</v>
      </c>
      <c r="O1511" s="1005">
        <v>32</v>
      </c>
    </row>
    <row r="1512" spans="1:15" collapsed="1" x14ac:dyDescent="0.2">
      <c r="A1512"/>
      <c r="B1512" s="1002">
        <v>114</v>
      </c>
      <c r="C1512" s="1003"/>
      <c r="D1512" s="1003">
        <v>11</v>
      </c>
      <c r="E1512" s="1003">
        <v>14</v>
      </c>
      <c r="F1512" s="1003"/>
      <c r="G1512" s="1003"/>
      <c r="H1512" s="1003"/>
      <c r="I1512" s="1003"/>
      <c r="J1512" s="1003"/>
      <c r="K1512" s="1003">
        <f t="shared" si="23"/>
        <v>25</v>
      </c>
      <c r="L1512" s="1004"/>
      <c r="M1512" s="1003"/>
      <c r="N1512" s="1003">
        <v>18</v>
      </c>
      <c r="O1512" s="1005">
        <v>32</v>
      </c>
    </row>
    <row r="1513" spans="1:15" collapsed="1" x14ac:dyDescent="0.2">
      <c r="A1513"/>
      <c r="B1513" s="1002">
        <v>114</v>
      </c>
      <c r="C1513" s="1003"/>
      <c r="D1513" s="1003">
        <v>6</v>
      </c>
      <c r="E1513" s="1003">
        <v>18</v>
      </c>
      <c r="F1513" s="1003"/>
      <c r="G1513" s="1003"/>
      <c r="H1513" s="1003"/>
      <c r="I1513" s="1003"/>
      <c r="J1513" s="1003"/>
      <c r="K1513" s="1003">
        <f t="shared" si="23"/>
        <v>24</v>
      </c>
      <c r="L1513" s="1004"/>
      <c r="M1513" s="1003"/>
      <c r="N1513" s="1003">
        <v>16</v>
      </c>
      <c r="O1513" s="1005">
        <v>32</v>
      </c>
    </row>
    <row r="1514" spans="1:15" collapsed="1" x14ac:dyDescent="0.2">
      <c r="A1514"/>
      <c r="B1514" s="1002">
        <v>114</v>
      </c>
      <c r="C1514" s="1003"/>
      <c r="D1514" s="1003">
        <v>1</v>
      </c>
      <c r="E1514" s="1003">
        <v>22</v>
      </c>
      <c r="F1514" s="1003"/>
      <c r="G1514" s="1003"/>
      <c r="H1514" s="1003"/>
      <c r="I1514" s="1003"/>
      <c r="J1514" s="1003"/>
      <c r="K1514" s="1003">
        <f t="shared" si="23"/>
        <v>23</v>
      </c>
      <c r="L1514" s="1004"/>
      <c r="M1514" s="1003"/>
      <c r="N1514" s="1003">
        <v>14</v>
      </c>
      <c r="O1514" s="1005">
        <v>32</v>
      </c>
    </row>
    <row r="1515" spans="1:15" collapsed="1" x14ac:dyDescent="0.2">
      <c r="A1515"/>
      <c r="B1515" s="1002">
        <v>114</v>
      </c>
      <c r="C1515" s="1003"/>
      <c r="D1515" s="1003"/>
      <c r="E1515" s="1003">
        <v>18</v>
      </c>
      <c r="F1515" s="1003">
        <v>4</v>
      </c>
      <c r="G1515" s="1003"/>
      <c r="H1515" s="1003"/>
      <c r="I1515" s="1003"/>
      <c r="J1515" s="1003"/>
      <c r="K1515" s="1003">
        <f t="shared" si="23"/>
        <v>22</v>
      </c>
      <c r="L1515" s="1004"/>
      <c r="M1515" s="1003"/>
      <c r="N1515" s="1003">
        <v>12</v>
      </c>
      <c r="O1515" s="1005">
        <v>32</v>
      </c>
    </row>
    <row r="1516" spans="1:15" collapsed="1" x14ac:dyDescent="0.2">
      <c r="A1516"/>
      <c r="B1516" s="1002">
        <v>114</v>
      </c>
      <c r="C1516" s="1003"/>
      <c r="D1516" s="1003"/>
      <c r="E1516" s="1003">
        <v>12</v>
      </c>
      <c r="F1516" s="1003">
        <v>9</v>
      </c>
      <c r="G1516" s="1003"/>
      <c r="H1516" s="1003"/>
      <c r="I1516" s="1003"/>
      <c r="J1516" s="1003"/>
      <c r="K1516" s="1003">
        <f t="shared" si="23"/>
        <v>21</v>
      </c>
      <c r="L1516" s="1004"/>
      <c r="M1516" s="1003"/>
      <c r="N1516" s="1003">
        <v>10</v>
      </c>
      <c r="O1516" s="1005">
        <v>32</v>
      </c>
    </row>
    <row r="1517" spans="1:15" collapsed="1" x14ac:dyDescent="0.2">
      <c r="A1517"/>
      <c r="B1517" s="1002">
        <v>114</v>
      </c>
      <c r="C1517" s="1003"/>
      <c r="D1517" s="1003"/>
      <c r="E1517" s="1003">
        <v>6</v>
      </c>
      <c r="F1517" s="1003">
        <v>14</v>
      </c>
      <c r="G1517" s="1003"/>
      <c r="H1517" s="1003"/>
      <c r="I1517" s="1003"/>
      <c r="J1517" s="1003"/>
      <c r="K1517" s="1003">
        <f t="shared" si="23"/>
        <v>20</v>
      </c>
      <c r="L1517" s="1004"/>
      <c r="M1517" s="1003"/>
      <c r="N1517" s="1003">
        <v>8</v>
      </c>
      <c r="O1517" s="1005">
        <v>32</v>
      </c>
    </row>
    <row r="1518" spans="1:15" collapsed="1" x14ac:dyDescent="0.2">
      <c r="A1518"/>
      <c r="B1518" s="1002">
        <v>114</v>
      </c>
      <c r="C1518" s="1003"/>
      <c r="D1518" s="1003"/>
      <c r="E1518" s="1003"/>
      <c r="F1518" s="1003">
        <v>19</v>
      </c>
      <c r="G1518" s="1003"/>
      <c r="H1518" s="1003"/>
      <c r="I1518" s="1003"/>
      <c r="J1518" s="1003"/>
      <c r="K1518" s="1003">
        <f t="shared" si="23"/>
        <v>19</v>
      </c>
      <c r="L1518" s="1004"/>
      <c r="M1518" s="1003"/>
      <c r="N1518" s="1003">
        <v>6</v>
      </c>
      <c r="O1518" s="1005">
        <v>32</v>
      </c>
    </row>
    <row r="1519" spans="1:15" collapsed="1" x14ac:dyDescent="0.2">
      <c r="A1519"/>
      <c r="B1519" s="1002">
        <v>114</v>
      </c>
      <c r="C1519" s="1003"/>
      <c r="D1519" s="1003"/>
      <c r="E1519" s="1003"/>
      <c r="F1519" s="1003">
        <v>12</v>
      </c>
      <c r="G1519" s="1003">
        <v>6</v>
      </c>
      <c r="H1519" s="1003"/>
      <c r="I1519" s="1003"/>
      <c r="J1519" s="1003"/>
      <c r="K1519" s="1003">
        <f t="shared" si="23"/>
        <v>18</v>
      </c>
      <c r="L1519" s="1004"/>
      <c r="M1519" s="1003"/>
      <c r="N1519" s="1003">
        <v>4</v>
      </c>
      <c r="O1519" s="1005">
        <v>32</v>
      </c>
    </row>
    <row r="1520" spans="1:15" collapsed="1" x14ac:dyDescent="0.2">
      <c r="A1520"/>
      <c r="B1520" s="1002">
        <v>114</v>
      </c>
      <c r="C1520" s="1003"/>
      <c r="D1520" s="1003"/>
      <c r="E1520" s="1003"/>
      <c r="F1520" s="1003">
        <v>5</v>
      </c>
      <c r="G1520" s="1003">
        <v>12</v>
      </c>
      <c r="H1520" s="1003"/>
      <c r="I1520" s="1003"/>
      <c r="J1520" s="1003"/>
      <c r="K1520" s="1003">
        <f t="shared" si="23"/>
        <v>17</v>
      </c>
      <c r="L1520" s="1004"/>
      <c r="M1520" s="1003"/>
      <c r="N1520" s="1003">
        <v>2</v>
      </c>
      <c r="O1520" s="1005">
        <v>32</v>
      </c>
    </row>
    <row r="1521" spans="1:15" collapsed="1" x14ac:dyDescent="0.2">
      <c r="A1521"/>
      <c r="B1521" s="1002">
        <v>114</v>
      </c>
      <c r="C1521" s="1003"/>
      <c r="D1521" s="1003"/>
      <c r="E1521" s="1003"/>
      <c r="F1521" s="1003"/>
      <c r="G1521" s="1003">
        <v>14</v>
      </c>
      <c r="H1521" s="1003">
        <v>2</v>
      </c>
      <c r="I1521" s="1003"/>
      <c r="J1521" s="1003"/>
      <c r="K1521" s="1003">
        <f t="shared" si="23"/>
        <v>16</v>
      </c>
      <c r="L1521" s="1004"/>
      <c r="M1521" s="1003"/>
      <c r="N1521" s="1003"/>
      <c r="O1521" s="1005">
        <v>32</v>
      </c>
    </row>
    <row r="1522" spans="1:15" collapsed="1" x14ac:dyDescent="0.2">
      <c r="A1522"/>
      <c r="B1522" s="1002">
        <v>114</v>
      </c>
      <c r="C1522" s="1003"/>
      <c r="D1522" s="1003"/>
      <c r="E1522" s="1003"/>
      <c r="F1522" s="1003"/>
      <c r="G1522" s="1003">
        <v>7</v>
      </c>
      <c r="H1522" s="1003">
        <v>8</v>
      </c>
      <c r="I1522" s="1003"/>
      <c r="J1522" s="1003"/>
      <c r="K1522" s="1003">
        <f t="shared" si="23"/>
        <v>15</v>
      </c>
      <c r="L1522" s="1004"/>
      <c r="M1522" s="1003"/>
      <c r="N1522" s="1003">
        <v>14</v>
      </c>
      <c r="O1522" s="1005">
        <v>16</v>
      </c>
    </row>
    <row r="1523" spans="1:15" x14ac:dyDescent="0.2">
      <c r="A1523"/>
      <c r="B1523" s="1002">
        <v>114</v>
      </c>
      <c r="C1523" s="1003"/>
      <c r="D1523" s="1003"/>
      <c r="E1523" s="1003"/>
      <c r="F1523" s="1003"/>
      <c r="G1523" s="1003"/>
      <c r="H1523" s="1003">
        <v>12</v>
      </c>
      <c r="I1523" s="1003">
        <v>2</v>
      </c>
      <c r="J1523" s="1003"/>
      <c r="K1523" s="1003">
        <f t="shared" si="23"/>
        <v>14</v>
      </c>
      <c r="L1523" s="1004"/>
      <c r="M1523" s="1003"/>
      <c r="N1523" s="1003">
        <v>12</v>
      </c>
      <c r="O1523" s="1005">
        <v>16</v>
      </c>
    </row>
    <row r="1524" spans="1:15" collapsed="1" x14ac:dyDescent="0.2">
      <c r="A1524"/>
      <c r="B1524" s="1002">
        <v>114</v>
      </c>
      <c r="C1524" s="1003"/>
      <c r="D1524" s="1003"/>
      <c r="E1524" s="1003"/>
      <c r="F1524" s="1003"/>
      <c r="G1524" s="1003"/>
      <c r="H1524" s="1003">
        <v>3</v>
      </c>
      <c r="I1524" s="1003">
        <v>10</v>
      </c>
      <c r="J1524" s="1003"/>
      <c r="K1524" s="1003">
        <f t="shared" si="23"/>
        <v>13</v>
      </c>
      <c r="L1524" s="1004"/>
      <c r="M1524" s="1003"/>
      <c r="N1524" s="1003">
        <v>10</v>
      </c>
      <c r="O1524" s="1005">
        <v>16</v>
      </c>
    </row>
    <row r="1525" spans="1:15" collapsed="1" x14ac:dyDescent="0.2">
      <c r="A1525"/>
      <c r="B1525" s="1002">
        <v>114</v>
      </c>
      <c r="C1525" s="1003"/>
      <c r="D1525" s="1003"/>
      <c r="E1525" s="1003"/>
      <c r="F1525" s="1003"/>
      <c r="G1525" s="1003"/>
      <c r="H1525" s="1003"/>
      <c r="I1525" s="1003">
        <v>6</v>
      </c>
      <c r="J1525" s="1003">
        <v>6</v>
      </c>
      <c r="K1525" s="1003">
        <f t="shared" si="23"/>
        <v>12</v>
      </c>
      <c r="L1525" s="1004"/>
      <c r="M1525" s="1003"/>
      <c r="N1525" s="1003">
        <v>8</v>
      </c>
      <c r="O1525" s="1005">
        <v>16</v>
      </c>
    </row>
    <row r="1526" spans="1:15" collapsed="1" x14ac:dyDescent="0.2">
      <c r="A1526"/>
      <c r="B1526" s="1002">
        <v>115</v>
      </c>
      <c r="C1526" s="1003">
        <v>32</v>
      </c>
      <c r="D1526" s="1003"/>
      <c r="E1526" s="1003"/>
      <c r="F1526" s="1003"/>
      <c r="G1526" s="1003"/>
      <c r="H1526" s="1003"/>
      <c r="I1526" s="1003"/>
      <c r="J1526" s="1003"/>
      <c r="K1526" s="1003">
        <f t="shared" si="23"/>
        <v>32</v>
      </c>
      <c r="L1526" s="1004"/>
      <c r="M1526" s="1003">
        <v>19</v>
      </c>
      <c r="N1526" s="1003">
        <v>19</v>
      </c>
      <c r="O1526" s="1005">
        <v>64</v>
      </c>
    </row>
    <row r="1527" spans="1:15" collapsed="1" x14ac:dyDescent="0.2">
      <c r="A1527"/>
      <c r="B1527" s="1002">
        <v>115</v>
      </c>
      <c r="C1527" s="1003">
        <v>13</v>
      </c>
      <c r="D1527" s="1003">
        <v>19</v>
      </c>
      <c r="E1527" s="1003"/>
      <c r="F1527" s="1003"/>
      <c r="G1527" s="1003"/>
      <c r="H1527" s="1003"/>
      <c r="I1527" s="1003"/>
      <c r="J1527" s="1003"/>
      <c r="K1527" s="1003">
        <f t="shared" si="23"/>
        <v>32</v>
      </c>
      <c r="L1527" s="1004"/>
      <c r="M1527" s="1003"/>
      <c r="N1527" s="1003"/>
      <c r="O1527" s="1005">
        <v>64</v>
      </c>
    </row>
    <row r="1528" spans="1:15" collapsed="1" x14ac:dyDescent="0.2">
      <c r="A1528"/>
      <c r="B1528" s="1002">
        <v>115</v>
      </c>
      <c r="C1528" s="1003">
        <v>9</v>
      </c>
      <c r="D1528" s="1003">
        <v>22</v>
      </c>
      <c r="E1528" s="1003"/>
      <c r="F1528" s="1003"/>
      <c r="G1528" s="1003"/>
      <c r="H1528" s="1003"/>
      <c r="I1528" s="1003"/>
      <c r="J1528" s="1003"/>
      <c r="K1528" s="1003">
        <f t="shared" si="23"/>
        <v>31</v>
      </c>
      <c r="L1528" s="1004"/>
      <c r="M1528" s="1003"/>
      <c r="N1528" s="1003">
        <v>30</v>
      </c>
      <c r="O1528" s="1005">
        <v>32</v>
      </c>
    </row>
    <row r="1529" spans="1:15" collapsed="1" x14ac:dyDescent="0.2">
      <c r="A1529"/>
      <c r="B1529" s="1002">
        <v>115</v>
      </c>
      <c r="C1529" s="1003">
        <v>5</v>
      </c>
      <c r="D1529" s="1003">
        <v>25</v>
      </c>
      <c r="E1529" s="1003"/>
      <c r="F1529" s="1003"/>
      <c r="G1529" s="1003"/>
      <c r="H1529" s="1003"/>
      <c r="I1529" s="1003"/>
      <c r="J1529" s="1003"/>
      <c r="K1529" s="1003">
        <f t="shared" si="23"/>
        <v>30</v>
      </c>
      <c r="L1529" s="1004"/>
      <c r="M1529" s="1003"/>
      <c r="N1529" s="1003">
        <v>28</v>
      </c>
      <c r="O1529" s="1005">
        <v>32</v>
      </c>
    </row>
    <row r="1530" spans="1:15" collapsed="1" x14ac:dyDescent="0.2">
      <c r="A1530"/>
      <c r="B1530" s="1002">
        <v>115</v>
      </c>
      <c r="C1530" s="1003">
        <v>1</v>
      </c>
      <c r="D1530" s="1003">
        <v>28</v>
      </c>
      <c r="E1530" s="1003"/>
      <c r="F1530" s="1003"/>
      <c r="G1530" s="1003"/>
      <c r="H1530" s="1003"/>
      <c r="I1530" s="1003"/>
      <c r="J1530" s="1003"/>
      <c r="K1530" s="1003">
        <f t="shared" si="23"/>
        <v>29</v>
      </c>
      <c r="L1530" s="1004"/>
      <c r="M1530" s="1003"/>
      <c r="N1530" s="1003">
        <v>26</v>
      </c>
      <c r="O1530" s="1005">
        <v>32</v>
      </c>
    </row>
    <row r="1531" spans="1:15" collapsed="1" x14ac:dyDescent="0.2">
      <c r="A1531"/>
      <c r="B1531" s="1002">
        <v>115</v>
      </c>
      <c r="C1531" s="1003"/>
      <c r="D1531" s="1003">
        <v>25</v>
      </c>
      <c r="E1531" s="1003">
        <v>3</v>
      </c>
      <c r="F1531" s="1003"/>
      <c r="G1531" s="1003"/>
      <c r="H1531" s="1003"/>
      <c r="I1531" s="1003"/>
      <c r="J1531" s="1003"/>
      <c r="K1531" s="1003">
        <f t="shared" si="23"/>
        <v>28</v>
      </c>
      <c r="L1531" s="1004"/>
      <c r="M1531" s="1003"/>
      <c r="N1531" s="1003">
        <v>24</v>
      </c>
      <c r="O1531" s="1005">
        <v>32</v>
      </c>
    </row>
    <row r="1532" spans="1:15" collapsed="1" x14ac:dyDescent="0.2">
      <c r="A1532"/>
      <c r="B1532" s="1002">
        <v>115</v>
      </c>
      <c r="C1532" s="1003"/>
      <c r="D1532" s="1003">
        <v>20</v>
      </c>
      <c r="E1532" s="1003">
        <v>7</v>
      </c>
      <c r="F1532" s="1003"/>
      <c r="G1532" s="1003"/>
      <c r="H1532" s="1003"/>
      <c r="I1532" s="1003"/>
      <c r="J1532" s="1003"/>
      <c r="K1532" s="1003">
        <f t="shared" si="23"/>
        <v>27</v>
      </c>
      <c r="L1532" s="1004"/>
      <c r="M1532" s="1003"/>
      <c r="N1532" s="1003">
        <v>22</v>
      </c>
      <c r="O1532" s="1005">
        <v>32</v>
      </c>
    </row>
    <row r="1533" spans="1:15" collapsed="1" x14ac:dyDescent="0.2">
      <c r="A1533"/>
      <c r="B1533" s="1002">
        <v>115</v>
      </c>
      <c r="C1533" s="1003"/>
      <c r="D1533" s="1003">
        <v>15</v>
      </c>
      <c r="E1533" s="1003">
        <v>11</v>
      </c>
      <c r="F1533" s="1003"/>
      <c r="G1533" s="1003"/>
      <c r="H1533" s="1003"/>
      <c r="I1533" s="1003"/>
      <c r="J1533" s="1003"/>
      <c r="K1533" s="1003">
        <f t="shared" si="23"/>
        <v>26</v>
      </c>
      <c r="L1533" s="1004"/>
      <c r="M1533" s="1003"/>
      <c r="N1533" s="1003">
        <v>20</v>
      </c>
      <c r="O1533" s="1005">
        <v>32</v>
      </c>
    </row>
    <row r="1534" spans="1:15" collapsed="1" x14ac:dyDescent="0.2">
      <c r="A1534"/>
      <c r="B1534" s="1002">
        <v>115</v>
      </c>
      <c r="C1534" s="1003"/>
      <c r="D1534" s="1003">
        <v>10</v>
      </c>
      <c r="E1534" s="1003">
        <v>15</v>
      </c>
      <c r="F1534" s="1003"/>
      <c r="G1534" s="1003"/>
      <c r="H1534" s="1003"/>
      <c r="I1534" s="1003"/>
      <c r="J1534" s="1003"/>
      <c r="K1534" s="1003">
        <f t="shared" si="23"/>
        <v>25</v>
      </c>
      <c r="L1534" s="1004"/>
      <c r="M1534" s="1003"/>
      <c r="N1534" s="1003">
        <v>18</v>
      </c>
      <c r="O1534" s="1005">
        <v>32</v>
      </c>
    </row>
    <row r="1535" spans="1:15" collapsed="1" x14ac:dyDescent="0.2">
      <c r="A1535"/>
      <c r="B1535" s="1002">
        <v>115</v>
      </c>
      <c r="C1535" s="1003"/>
      <c r="D1535" s="1003">
        <v>5</v>
      </c>
      <c r="E1535" s="1003">
        <v>19</v>
      </c>
      <c r="F1535" s="1003"/>
      <c r="G1535" s="1003"/>
      <c r="H1535" s="1003"/>
      <c r="I1535" s="1003"/>
      <c r="J1535" s="1003"/>
      <c r="K1535" s="1003">
        <f t="shared" si="23"/>
        <v>24</v>
      </c>
      <c r="L1535" s="1004"/>
      <c r="M1535" s="1003"/>
      <c r="N1535" s="1003">
        <v>16</v>
      </c>
      <c r="O1535" s="1005">
        <v>32</v>
      </c>
    </row>
    <row r="1536" spans="1:15" collapsed="1" x14ac:dyDescent="0.2">
      <c r="A1536"/>
      <c r="B1536" s="1002">
        <v>115</v>
      </c>
      <c r="C1536" s="1003"/>
      <c r="D1536" s="1003"/>
      <c r="E1536" s="1003">
        <v>23</v>
      </c>
      <c r="F1536" s="1003"/>
      <c r="G1536" s="1003"/>
      <c r="H1536" s="1003"/>
      <c r="I1536" s="1003"/>
      <c r="J1536" s="1003"/>
      <c r="K1536" s="1003">
        <f t="shared" si="23"/>
        <v>23</v>
      </c>
      <c r="L1536" s="1004"/>
      <c r="M1536" s="1003"/>
      <c r="N1536" s="1003">
        <v>14</v>
      </c>
      <c r="O1536" s="1005">
        <v>32</v>
      </c>
    </row>
    <row r="1537" spans="1:15" collapsed="1" x14ac:dyDescent="0.2">
      <c r="A1537"/>
      <c r="B1537" s="1002">
        <v>115</v>
      </c>
      <c r="C1537" s="1003"/>
      <c r="D1537" s="1003"/>
      <c r="E1537" s="1003">
        <v>17</v>
      </c>
      <c r="F1537" s="1003">
        <v>5</v>
      </c>
      <c r="G1537" s="1003"/>
      <c r="H1537" s="1003"/>
      <c r="I1537" s="1003"/>
      <c r="J1537" s="1003"/>
      <c r="K1537" s="1003">
        <f t="shared" si="23"/>
        <v>22</v>
      </c>
      <c r="L1537" s="1004"/>
      <c r="M1537" s="1003"/>
      <c r="N1537" s="1003">
        <v>12</v>
      </c>
      <c r="O1537" s="1005">
        <v>32</v>
      </c>
    </row>
    <row r="1538" spans="1:15" collapsed="1" x14ac:dyDescent="0.2">
      <c r="A1538"/>
      <c r="B1538" s="1002">
        <v>115</v>
      </c>
      <c r="C1538" s="1003"/>
      <c r="D1538" s="1003"/>
      <c r="E1538" s="1003">
        <v>11</v>
      </c>
      <c r="F1538" s="1003">
        <v>10</v>
      </c>
      <c r="G1538" s="1003"/>
      <c r="H1538" s="1003"/>
      <c r="I1538" s="1003"/>
      <c r="J1538" s="1003"/>
      <c r="K1538" s="1003">
        <f t="shared" si="23"/>
        <v>21</v>
      </c>
      <c r="L1538" s="1004"/>
      <c r="M1538" s="1003"/>
      <c r="N1538" s="1003">
        <v>10</v>
      </c>
      <c r="O1538" s="1005">
        <v>32</v>
      </c>
    </row>
    <row r="1539" spans="1:15" collapsed="1" x14ac:dyDescent="0.2">
      <c r="A1539"/>
      <c r="B1539" s="1002">
        <v>115</v>
      </c>
      <c r="C1539" s="1003"/>
      <c r="D1539" s="1003"/>
      <c r="E1539" s="1003">
        <v>5</v>
      </c>
      <c r="F1539" s="1003">
        <v>15</v>
      </c>
      <c r="G1539" s="1003"/>
      <c r="H1539" s="1003"/>
      <c r="I1539" s="1003"/>
      <c r="J1539" s="1003"/>
      <c r="K1539" s="1003">
        <f t="shared" si="23"/>
        <v>20</v>
      </c>
      <c r="L1539" s="1004"/>
      <c r="M1539" s="1003"/>
      <c r="N1539" s="1003">
        <v>8</v>
      </c>
      <c r="O1539" s="1005">
        <v>32</v>
      </c>
    </row>
    <row r="1540" spans="1:15" collapsed="1" x14ac:dyDescent="0.2">
      <c r="A1540"/>
      <c r="B1540" s="1002">
        <v>115</v>
      </c>
      <c r="C1540" s="1003"/>
      <c r="D1540" s="1003"/>
      <c r="E1540" s="1003"/>
      <c r="F1540" s="1003">
        <v>18</v>
      </c>
      <c r="G1540" s="1003">
        <v>1</v>
      </c>
      <c r="H1540" s="1003"/>
      <c r="I1540" s="1003"/>
      <c r="J1540" s="1003"/>
      <c r="K1540" s="1003">
        <f t="shared" si="23"/>
        <v>19</v>
      </c>
      <c r="L1540" s="1004"/>
      <c r="M1540" s="1003"/>
      <c r="N1540" s="1003">
        <v>6</v>
      </c>
      <c r="O1540" s="1005">
        <v>32</v>
      </c>
    </row>
    <row r="1541" spans="1:15" collapsed="1" x14ac:dyDescent="0.2">
      <c r="A1541"/>
      <c r="B1541" s="1002">
        <v>115</v>
      </c>
      <c r="C1541" s="1003"/>
      <c r="D1541" s="1003"/>
      <c r="E1541" s="1003"/>
      <c r="F1541" s="1003">
        <v>11</v>
      </c>
      <c r="G1541" s="1003">
        <v>7</v>
      </c>
      <c r="H1541" s="1003"/>
      <c r="I1541" s="1003"/>
      <c r="J1541" s="1003"/>
      <c r="K1541" s="1003">
        <f t="shared" si="23"/>
        <v>18</v>
      </c>
      <c r="L1541" s="1004"/>
      <c r="M1541" s="1003"/>
      <c r="N1541" s="1003">
        <v>4</v>
      </c>
      <c r="O1541" s="1005">
        <v>32</v>
      </c>
    </row>
    <row r="1542" spans="1:15" collapsed="1" x14ac:dyDescent="0.2">
      <c r="A1542"/>
      <c r="B1542" s="1002">
        <v>115</v>
      </c>
      <c r="C1542" s="1003"/>
      <c r="D1542" s="1003"/>
      <c r="E1542" s="1003"/>
      <c r="F1542" s="1003">
        <v>4</v>
      </c>
      <c r="G1542" s="1003">
        <v>13</v>
      </c>
      <c r="H1542" s="1003"/>
      <c r="I1542" s="1003"/>
      <c r="J1542" s="1003"/>
      <c r="K1542" s="1003">
        <f t="shared" ref="K1542:K1605" si="24">SUM(C1542:J1542)</f>
        <v>17</v>
      </c>
      <c r="L1542" s="1004"/>
      <c r="M1542" s="1003"/>
      <c r="N1542" s="1003">
        <v>2</v>
      </c>
      <c r="O1542" s="1005">
        <v>32</v>
      </c>
    </row>
    <row r="1543" spans="1:15" collapsed="1" x14ac:dyDescent="0.2">
      <c r="A1543"/>
      <c r="B1543" s="1002">
        <v>115</v>
      </c>
      <c r="C1543" s="1003"/>
      <c r="D1543" s="1003"/>
      <c r="E1543" s="1003"/>
      <c r="F1543" s="1003"/>
      <c r="G1543" s="1003">
        <v>13</v>
      </c>
      <c r="H1543" s="1003">
        <v>3</v>
      </c>
      <c r="I1543" s="1003"/>
      <c r="J1543" s="1003"/>
      <c r="K1543" s="1003">
        <f t="shared" si="24"/>
        <v>16</v>
      </c>
      <c r="L1543" s="1004"/>
      <c r="M1543" s="1003"/>
      <c r="N1543" s="1003"/>
      <c r="O1543" s="1005">
        <v>32</v>
      </c>
    </row>
    <row r="1544" spans="1:15" collapsed="1" x14ac:dyDescent="0.2">
      <c r="A1544"/>
      <c r="B1544" s="1002">
        <v>115</v>
      </c>
      <c r="C1544" s="1003"/>
      <c r="D1544" s="1003"/>
      <c r="E1544" s="1003"/>
      <c r="F1544" s="1003"/>
      <c r="G1544" s="1003">
        <v>6</v>
      </c>
      <c r="H1544" s="1003">
        <v>9</v>
      </c>
      <c r="I1544" s="1003"/>
      <c r="J1544" s="1003"/>
      <c r="K1544" s="1003">
        <f t="shared" si="24"/>
        <v>15</v>
      </c>
      <c r="L1544" s="1004"/>
      <c r="M1544" s="1003"/>
      <c r="N1544" s="1003">
        <v>14</v>
      </c>
      <c r="O1544" s="1005">
        <v>16</v>
      </c>
    </row>
    <row r="1545" spans="1:15" x14ac:dyDescent="0.2">
      <c r="A1545"/>
      <c r="B1545" s="1002">
        <v>115</v>
      </c>
      <c r="C1545" s="1003"/>
      <c r="D1545" s="1003"/>
      <c r="E1545" s="1003"/>
      <c r="F1545" s="1003"/>
      <c r="G1545" s="1003"/>
      <c r="H1545" s="1003">
        <v>11</v>
      </c>
      <c r="I1545" s="1003">
        <v>3</v>
      </c>
      <c r="J1545" s="1003"/>
      <c r="K1545" s="1003">
        <f t="shared" si="24"/>
        <v>14</v>
      </c>
      <c r="L1545" s="1004"/>
      <c r="M1545" s="1003"/>
      <c r="N1545" s="1003">
        <v>12</v>
      </c>
      <c r="O1545" s="1005">
        <v>16</v>
      </c>
    </row>
    <row r="1546" spans="1:15" collapsed="1" x14ac:dyDescent="0.2">
      <c r="A1546"/>
      <c r="B1546" s="1002">
        <v>115</v>
      </c>
      <c r="C1546" s="1003"/>
      <c r="D1546" s="1003"/>
      <c r="E1546" s="1003"/>
      <c r="F1546" s="1003"/>
      <c r="G1546" s="1003"/>
      <c r="H1546" s="1003">
        <v>2</v>
      </c>
      <c r="I1546" s="1003">
        <v>11</v>
      </c>
      <c r="J1546" s="1003"/>
      <c r="K1546" s="1003">
        <f t="shared" si="24"/>
        <v>13</v>
      </c>
      <c r="L1546" s="1004"/>
      <c r="M1546" s="1003"/>
      <c r="N1546" s="1003">
        <v>10</v>
      </c>
      <c r="O1546" s="1005">
        <v>16</v>
      </c>
    </row>
    <row r="1547" spans="1:15" collapsed="1" x14ac:dyDescent="0.2">
      <c r="A1547"/>
      <c r="B1547" s="1002">
        <v>115</v>
      </c>
      <c r="C1547" s="1003"/>
      <c r="D1547" s="1003"/>
      <c r="E1547" s="1003"/>
      <c r="F1547" s="1003"/>
      <c r="G1547" s="1003"/>
      <c r="H1547" s="1003"/>
      <c r="I1547" s="1003">
        <v>5</v>
      </c>
      <c r="J1547" s="1003">
        <v>7</v>
      </c>
      <c r="K1547" s="1003">
        <f t="shared" si="24"/>
        <v>12</v>
      </c>
      <c r="L1547" s="1004"/>
      <c r="M1547" s="1003"/>
      <c r="N1547" s="1003">
        <v>8</v>
      </c>
      <c r="O1547" s="1005">
        <v>16</v>
      </c>
    </row>
    <row r="1548" spans="1:15" collapsed="1" x14ac:dyDescent="0.2">
      <c r="A1548"/>
      <c r="B1548" s="1002">
        <v>116</v>
      </c>
      <c r="C1548" s="1003">
        <v>32</v>
      </c>
      <c r="D1548" s="1003"/>
      <c r="E1548" s="1003"/>
      <c r="F1548" s="1003"/>
      <c r="G1548" s="1003"/>
      <c r="H1548" s="1003"/>
      <c r="I1548" s="1003"/>
      <c r="J1548" s="1003"/>
      <c r="K1548" s="1003">
        <f t="shared" si="24"/>
        <v>32</v>
      </c>
      <c r="L1548" s="1004"/>
      <c r="M1548" s="1003">
        <v>2</v>
      </c>
      <c r="N1548" s="1003">
        <v>2</v>
      </c>
      <c r="O1548" s="1005">
        <v>64</v>
      </c>
    </row>
    <row r="1549" spans="1:15" collapsed="1" x14ac:dyDescent="0.2">
      <c r="A1549"/>
      <c r="B1549" s="1002">
        <v>116</v>
      </c>
      <c r="C1549" s="1003">
        <v>12</v>
      </c>
      <c r="D1549" s="1003">
        <v>20</v>
      </c>
      <c r="E1549" s="1003"/>
      <c r="F1549" s="1003"/>
      <c r="G1549" s="1003"/>
      <c r="H1549" s="1003"/>
      <c r="I1549" s="1003"/>
      <c r="J1549" s="1003"/>
      <c r="K1549" s="1003">
        <f t="shared" si="24"/>
        <v>32</v>
      </c>
      <c r="L1549" s="1004"/>
      <c r="M1549" s="1003"/>
      <c r="N1549" s="1003"/>
      <c r="O1549" s="1005">
        <v>64</v>
      </c>
    </row>
    <row r="1550" spans="1:15" collapsed="1" x14ac:dyDescent="0.2">
      <c r="A1550"/>
      <c r="B1550" s="1002">
        <v>116</v>
      </c>
      <c r="C1550" s="1003">
        <v>8</v>
      </c>
      <c r="D1550" s="1003">
        <v>23</v>
      </c>
      <c r="E1550" s="1003"/>
      <c r="F1550" s="1003"/>
      <c r="G1550" s="1003"/>
      <c r="H1550" s="1003"/>
      <c r="I1550" s="1003"/>
      <c r="J1550" s="1003"/>
      <c r="K1550" s="1003">
        <f t="shared" si="24"/>
        <v>31</v>
      </c>
      <c r="L1550" s="1004"/>
      <c r="M1550" s="1003"/>
      <c r="N1550" s="1003">
        <v>30</v>
      </c>
      <c r="O1550" s="1005">
        <v>32</v>
      </c>
    </row>
    <row r="1551" spans="1:15" collapsed="1" x14ac:dyDescent="0.2">
      <c r="A1551"/>
      <c r="B1551" s="1002">
        <v>116</v>
      </c>
      <c r="C1551" s="1003">
        <v>4</v>
      </c>
      <c r="D1551" s="1003">
        <v>26</v>
      </c>
      <c r="E1551" s="1003"/>
      <c r="F1551" s="1003"/>
      <c r="G1551" s="1003"/>
      <c r="H1551" s="1003"/>
      <c r="I1551" s="1003"/>
      <c r="J1551" s="1003"/>
      <c r="K1551" s="1003">
        <f t="shared" si="24"/>
        <v>30</v>
      </c>
      <c r="L1551" s="1004"/>
      <c r="M1551" s="1003"/>
      <c r="N1551" s="1003">
        <v>28</v>
      </c>
      <c r="O1551" s="1005">
        <v>32</v>
      </c>
    </row>
    <row r="1552" spans="1:15" collapsed="1" x14ac:dyDescent="0.2">
      <c r="A1552"/>
      <c r="B1552" s="1002">
        <v>116</v>
      </c>
      <c r="C1552" s="1003"/>
      <c r="D1552" s="1003">
        <v>29</v>
      </c>
      <c r="E1552" s="1003"/>
      <c r="F1552" s="1003"/>
      <c r="G1552" s="1003"/>
      <c r="H1552" s="1003"/>
      <c r="I1552" s="1003"/>
      <c r="J1552" s="1003"/>
      <c r="K1552" s="1003">
        <f t="shared" si="24"/>
        <v>29</v>
      </c>
      <c r="L1552" s="1004"/>
      <c r="M1552" s="1003"/>
      <c r="N1552" s="1003">
        <v>26</v>
      </c>
      <c r="O1552" s="1005">
        <v>32</v>
      </c>
    </row>
    <row r="1553" spans="1:15" collapsed="1" x14ac:dyDescent="0.2">
      <c r="A1553"/>
      <c r="B1553" s="1002">
        <v>116</v>
      </c>
      <c r="C1553" s="1003"/>
      <c r="D1553" s="1003">
        <v>24</v>
      </c>
      <c r="E1553" s="1003">
        <v>4</v>
      </c>
      <c r="F1553" s="1003"/>
      <c r="G1553" s="1003"/>
      <c r="H1553" s="1003"/>
      <c r="I1553" s="1003"/>
      <c r="J1553" s="1003"/>
      <c r="K1553" s="1003">
        <f t="shared" si="24"/>
        <v>28</v>
      </c>
      <c r="L1553" s="1004"/>
      <c r="M1553" s="1003"/>
      <c r="N1553" s="1003">
        <v>24</v>
      </c>
      <c r="O1553" s="1005">
        <v>32</v>
      </c>
    </row>
    <row r="1554" spans="1:15" collapsed="1" x14ac:dyDescent="0.2">
      <c r="A1554"/>
      <c r="B1554" s="1002">
        <v>116</v>
      </c>
      <c r="C1554" s="1003"/>
      <c r="D1554" s="1003">
        <v>19</v>
      </c>
      <c r="E1554" s="1003">
        <v>8</v>
      </c>
      <c r="F1554" s="1003"/>
      <c r="G1554" s="1003"/>
      <c r="H1554" s="1003"/>
      <c r="I1554" s="1003"/>
      <c r="J1554" s="1003"/>
      <c r="K1554" s="1003">
        <f t="shared" si="24"/>
        <v>27</v>
      </c>
      <c r="L1554" s="1004"/>
      <c r="M1554" s="1003"/>
      <c r="N1554" s="1003">
        <v>22</v>
      </c>
      <c r="O1554" s="1005">
        <v>32</v>
      </c>
    </row>
    <row r="1555" spans="1:15" collapsed="1" x14ac:dyDescent="0.2">
      <c r="A1555"/>
      <c r="B1555" s="1002">
        <v>116</v>
      </c>
      <c r="C1555" s="1003"/>
      <c r="D1555" s="1003">
        <v>14</v>
      </c>
      <c r="E1555" s="1003">
        <v>12</v>
      </c>
      <c r="F1555" s="1003"/>
      <c r="G1555" s="1003"/>
      <c r="H1555" s="1003"/>
      <c r="I1555" s="1003"/>
      <c r="J1555" s="1003"/>
      <c r="K1555" s="1003">
        <f t="shared" si="24"/>
        <v>26</v>
      </c>
      <c r="L1555" s="1004"/>
      <c r="M1555" s="1003"/>
      <c r="N1555" s="1003">
        <v>20</v>
      </c>
      <c r="O1555" s="1005">
        <v>32</v>
      </c>
    </row>
    <row r="1556" spans="1:15" collapsed="1" x14ac:dyDescent="0.2">
      <c r="A1556"/>
      <c r="B1556" s="1002">
        <v>116</v>
      </c>
      <c r="C1556" s="1003"/>
      <c r="D1556" s="1003">
        <v>9</v>
      </c>
      <c r="E1556" s="1003">
        <v>16</v>
      </c>
      <c r="F1556" s="1003"/>
      <c r="G1556" s="1003"/>
      <c r="H1556" s="1003"/>
      <c r="I1556" s="1003"/>
      <c r="J1556" s="1003"/>
      <c r="K1556" s="1003">
        <f t="shared" si="24"/>
        <v>25</v>
      </c>
      <c r="L1556" s="1004"/>
      <c r="M1556" s="1003"/>
      <c r="N1556" s="1003">
        <v>18</v>
      </c>
      <c r="O1556" s="1005">
        <v>32</v>
      </c>
    </row>
    <row r="1557" spans="1:15" collapsed="1" x14ac:dyDescent="0.2">
      <c r="A1557"/>
      <c r="B1557" s="1002">
        <v>116</v>
      </c>
      <c r="C1557" s="1003"/>
      <c r="D1557" s="1003">
        <v>4</v>
      </c>
      <c r="E1557" s="1003">
        <v>20</v>
      </c>
      <c r="F1557" s="1003"/>
      <c r="G1557" s="1003"/>
      <c r="H1557" s="1003"/>
      <c r="I1557" s="1003"/>
      <c r="J1557" s="1003"/>
      <c r="K1557" s="1003">
        <f t="shared" si="24"/>
        <v>24</v>
      </c>
      <c r="L1557" s="1004"/>
      <c r="M1557" s="1003"/>
      <c r="N1557" s="1003">
        <v>16</v>
      </c>
      <c r="O1557" s="1005">
        <v>32</v>
      </c>
    </row>
    <row r="1558" spans="1:15" collapsed="1" x14ac:dyDescent="0.2">
      <c r="A1558"/>
      <c r="B1558" s="1002">
        <v>116</v>
      </c>
      <c r="C1558" s="1003"/>
      <c r="D1558" s="1003"/>
      <c r="E1558" s="1003">
        <v>22</v>
      </c>
      <c r="F1558" s="1003">
        <v>1</v>
      </c>
      <c r="G1558" s="1003"/>
      <c r="H1558" s="1003"/>
      <c r="I1558" s="1003"/>
      <c r="J1558" s="1003"/>
      <c r="K1558" s="1003">
        <f t="shared" si="24"/>
        <v>23</v>
      </c>
      <c r="L1558" s="1004"/>
      <c r="M1558" s="1003"/>
      <c r="N1558" s="1003">
        <v>14</v>
      </c>
      <c r="O1558" s="1005">
        <v>32</v>
      </c>
    </row>
    <row r="1559" spans="1:15" collapsed="1" x14ac:dyDescent="0.2">
      <c r="A1559"/>
      <c r="B1559" s="1002">
        <v>116</v>
      </c>
      <c r="C1559" s="1003"/>
      <c r="D1559" s="1003"/>
      <c r="E1559" s="1003">
        <v>16</v>
      </c>
      <c r="F1559" s="1003">
        <v>6</v>
      </c>
      <c r="G1559" s="1003"/>
      <c r="H1559" s="1003"/>
      <c r="I1559" s="1003"/>
      <c r="J1559" s="1003"/>
      <c r="K1559" s="1003">
        <f t="shared" si="24"/>
        <v>22</v>
      </c>
      <c r="L1559" s="1004"/>
      <c r="M1559" s="1003"/>
      <c r="N1559" s="1003">
        <v>12</v>
      </c>
      <c r="O1559" s="1005">
        <v>32</v>
      </c>
    </row>
    <row r="1560" spans="1:15" collapsed="1" x14ac:dyDescent="0.2">
      <c r="A1560"/>
      <c r="B1560" s="1002">
        <v>116</v>
      </c>
      <c r="C1560" s="1003"/>
      <c r="D1560" s="1003"/>
      <c r="E1560" s="1003">
        <v>10</v>
      </c>
      <c r="F1560" s="1003">
        <v>11</v>
      </c>
      <c r="G1560" s="1003"/>
      <c r="H1560" s="1003"/>
      <c r="I1560" s="1003"/>
      <c r="J1560" s="1003"/>
      <c r="K1560" s="1003">
        <f t="shared" si="24"/>
        <v>21</v>
      </c>
      <c r="L1560" s="1004"/>
      <c r="M1560" s="1003"/>
      <c r="N1560" s="1003">
        <v>10</v>
      </c>
      <c r="O1560" s="1005">
        <v>32</v>
      </c>
    </row>
    <row r="1561" spans="1:15" collapsed="1" x14ac:dyDescent="0.2">
      <c r="A1561"/>
      <c r="B1561" s="1002">
        <v>116</v>
      </c>
      <c r="C1561" s="1003"/>
      <c r="D1561" s="1003"/>
      <c r="E1561" s="1003">
        <v>4</v>
      </c>
      <c r="F1561" s="1003">
        <v>16</v>
      </c>
      <c r="G1561" s="1003"/>
      <c r="H1561" s="1003"/>
      <c r="I1561" s="1003"/>
      <c r="J1561" s="1003"/>
      <c r="K1561" s="1003">
        <f t="shared" si="24"/>
        <v>20</v>
      </c>
      <c r="L1561" s="1004"/>
      <c r="M1561" s="1003"/>
      <c r="N1561" s="1003">
        <v>8</v>
      </c>
      <c r="O1561" s="1005">
        <v>32</v>
      </c>
    </row>
    <row r="1562" spans="1:15" collapsed="1" x14ac:dyDescent="0.2">
      <c r="A1562"/>
      <c r="B1562" s="1002">
        <v>116</v>
      </c>
      <c r="C1562" s="1003"/>
      <c r="D1562" s="1003"/>
      <c r="E1562" s="1003"/>
      <c r="F1562" s="1003">
        <v>17</v>
      </c>
      <c r="G1562" s="1003">
        <v>2</v>
      </c>
      <c r="H1562" s="1003"/>
      <c r="I1562" s="1003"/>
      <c r="J1562" s="1003"/>
      <c r="K1562" s="1003">
        <f t="shared" si="24"/>
        <v>19</v>
      </c>
      <c r="L1562" s="1004"/>
      <c r="M1562" s="1003"/>
      <c r="N1562" s="1003">
        <v>6</v>
      </c>
      <c r="O1562" s="1005">
        <v>32</v>
      </c>
    </row>
    <row r="1563" spans="1:15" collapsed="1" x14ac:dyDescent="0.2">
      <c r="A1563"/>
      <c r="B1563" s="1002">
        <v>116</v>
      </c>
      <c r="C1563" s="1003"/>
      <c r="D1563" s="1003"/>
      <c r="E1563" s="1003"/>
      <c r="F1563" s="1003">
        <v>10</v>
      </c>
      <c r="G1563" s="1003">
        <v>8</v>
      </c>
      <c r="H1563" s="1003"/>
      <c r="I1563" s="1003"/>
      <c r="J1563" s="1003"/>
      <c r="K1563" s="1003">
        <f t="shared" si="24"/>
        <v>18</v>
      </c>
      <c r="L1563" s="1004"/>
      <c r="M1563" s="1003"/>
      <c r="N1563" s="1003">
        <v>4</v>
      </c>
      <c r="O1563" s="1005">
        <v>32</v>
      </c>
    </row>
    <row r="1564" spans="1:15" collapsed="1" x14ac:dyDescent="0.2">
      <c r="A1564"/>
      <c r="B1564" s="1002">
        <v>116</v>
      </c>
      <c r="C1564" s="1003"/>
      <c r="D1564" s="1003"/>
      <c r="E1564" s="1003"/>
      <c r="F1564" s="1003">
        <v>3</v>
      </c>
      <c r="G1564" s="1003">
        <v>14</v>
      </c>
      <c r="H1564" s="1003"/>
      <c r="I1564" s="1003"/>
      <c r="J1564" s="1003"/>
      <c r="K1564" s="1003">
        <f t="shared" si="24"/>
        <v>17</v>
      </c>
      <c r="L1564" s="1004"/>
      <c r="M1564" s="1003"/>
      <c r="N1564" s="1003">
        <v>2</v>
      </c>
      <c r="O1564" s="1005">
        <v>32</v>
      </c>
    </row>
    <row r="1565" spans="1:15" collapsed="1" x14ac:dyDescent="0.2">
      <c r="A1565"/>
      <c r="B1565" s="1002">
        <v>116</v>
      </c>
      <c r="C1565" s="1003"/>
      <c r="D1565" s="1003"/>
      <c r="E1565" s="1003"/>
      <c r="F1565" s="1003"/>
      <c r="G1565" s="1003">
        <v>12</v>
      </c>
      <c r="H1565" s="1003">
        <v>4</v>
      </c>
      <c r="I1565" s="1003"/>
      <c r="J1565" s="1003"/>
      <c r="K1565" s="1003">
        <f t="shared" si="24"/>
        <v>16</v>
      </c>
      <c r="L1565" s="1004"/>
      <c r="M1565" s="1003"/>
      <c r="N1565" s="1003"/>
      <c r="O1565" s="1005">
        <v>32</v>
      </c>
    </row>
    <row r="1566" spans="1:15" collapsed="1" x14ac:dyDescent="0.2">
      <c r="A1566"/>
      <c r="B1566" s="1002">
        <v>116</v>
      </c>
      <c r="C1566" s="1003"/>
      <c r="D1566" s="1003"/>
      <c r="E1566" s="1003"/>
      <c r="F1566" s="1003"/>
      <c r="G1566" s="1003">
        <v>5</v>
      </c>
      <c r="H1566" s="1003">
        <v>10</v>
      </c>
      <c r="I1566" s="1003"/>
      <c r="J1566" s="1003"/>
      <c r="K1566" s="1003">
        <f t="shared" si="24"/>
        <v>15</v>
      </c>
      <c r="L1566" s="1004"/>
      <c r="M1566" s="1003"/>
      <c r="N1566" s="1003">
        <v>14</v>
      </c>
      <c r="O1566" s="1005">
        <v>16</v>
      </c>
    </row>
    <row r="1567" spans="1:15" x14ac:dyDescent="0.2">
      <c r="A1567"/>
      <c r="B1567" s="1002">
        <v>116</v>
      </c>
      <c r="C1567" s="1003"/>
      <c r="D1567" s="1003"/>
      <c r="E1567" s="1003"/>
      <c r="F1567" s="1003"/>
      <c r="G1567" s="1003"/>
      <c r="H1567" s="1003">
        <v>10</v>
      </c>
      <c r="I1567" s="1003">
        <v>4</v>
      </c>
      <c r="J1567" s="1003"/>
      <c r="K1567" s="1003">
        <f t="shared" si="24"/>
        <v>14</v>
      </c>
      <c r="L1567" s="1004"/>
      <c r="M1567" s="1003"/>
      <c r="N1567" s="1003">
        <v>12</v>
      </c>
      <c r="O1567" s="1005">
        <v>16</v>
      </c>
    </row>
    <row r="1568" spans="1:15" collapsed="1" x14ac:dyDescent="0.2">
      <c r="A1568"/>
      <c r="B1568" s="1002">
        <v>116</v>
      </c>
      <c r="C1568" s="1003"/>
      <c r="D1568" s="1003"/>
      <c r="E1568" s="1003"/>
      <c r="F1568" s="1003"/>
      <c r="G1568" s="1003"/>
      <c r="H1568" s="1003">
        <v>1</v>
      </c>
      <c r="I1568" s="1003">
        <v>12</v>
      </c>
      <c r="J1568" s="1003"/>
      <c r="K1568" s="1003">
        <f t="shared" si="24"/>
        <v>13</v>
      </c>
      <c r="L1568" s="1004"/>
      <c r="M1568" s="1003"/>
      <c r="N1568" s="1003">
        <v>10</v>
      </c>
      <c r="O1568" s="1005">
        <v>16</v>
      </c>
    </row>
    <row r="1569" spans="1:15" collapsed="1" x14ac:dyDescent="0.2">
      <c r="A1569"/>
      <c r="B1569" s="1002">
        <v>116</v>
      </c>
      <c r="C1569" s="1003"/>
      <c r="D1569" s="1003"/>
      <c r="E1569" s="1003"/>
      <c r="F1569" s="1003"/>
      <c r="G1569" s="1003"/>
      <c r="H1569" s="1003"/>
      <c r="I1569" s="1003">
        <v>4</v>
      </c>
      <c r="J1569" s="1003">
        <v>8</v>
      </c>
      <c r="K1569" s="1003">
        <f t="shared" si="24"/>
        <v>12</v>
      </c>
      <c r="L1569" s="1004"/>
      <c r="M1569" s="1003"/>
      <c r="N1569" s="1003">
        <v>8</v>
      </c>
      <c r="O1569" s="1005">
        <v>16</v>
      </c>
    </row>
    <row r="1570" spans="1:15" collapsed="1" x14ac:dyDescent="0.2">
      <c r="A1570"/>
      <c r="B1570" s="1002">
        <v>117</v>
      </c>
      <c r="C1570" s="1003">
        <v>32</v>
      </c>
      <c r="D1570" s="1003"/>
      <c r="E1570" s="1003"/>
      <c r="F1570" s="1003"/>
      <c r="G1570" s="1003"/>
      <c r="H1570" s="1003"/>
      <c r="I1570" s="1003"/>
      <c r="J1570" s="1003"/>
      <c r="K1570" s="1003">
        <f t="shared" si="24"/>
        <v>32</v>
      </c>
      <c r="L1570" s="1004"/>
      <c r="M1570" s="1003">
        <v>21</v>
      </c>
      <c r="N1570" s="1003">
        <v>21</v>
      </c>
      <c r="O1570" s="1005">
        <v>64</v>
      </c>
    </row>
    <row r="1571" spans="1:15" collapsed="1" x14ac:dyDescent="0.2">
      <c r="A1571"/>
      <c r="B1571" s="1002">
        <v>117</v>
      </c>
      <c r="C1571" s="1003">
        <v>11</v>
      </c>
      <c r="D1571" s="1003">
        <v>21</v>
      </c>
      <c r="E1571" s="1003"/>
      <c r="F1571" s="1003"/>
      <c r="G1571" s="1003"/>
      <c r="H1571" s="1003"/>
      <c r="I1571" s="1003"/>
      <c r="J1571" s="1003"/>
      <c r="K1571" s="1003">
        <f t="shared" si="24"/>
        <v>32</v>
      </c>
      <c r="L1571" s="1004"/>
      <c r="M1571" s="1003"/>
      <c r="N1571" s="1003"/>
      <c r="O1571" s="1005">
        <v>64</v>
      </c>
    </row>
    <row r="1572" spans="1:15" collapsed="1" x14ac:dyDescent="0.2">
      <c r="A1572"/>
      <c r="B1572" s="1002">
        <v>117</v>
      </c>
      <c r="C1572" s="1003">
        <v>7</v>
      </c>
      <c r="D1572" s="1003">
        <v>24</v>
      </c>
      <c r="E1572" s="1003"/>
      <c r="F1572" s="1003"/>
      <c r="G1572" s="1003"/>
      <c r="H1572" s="1003"/>
      <c r="I1572" s="1003"/>
      <c r="J1572" s="1003"/>
      <c r="K1572" s="1003">
        <f t="shared" si="24"/>
        <v>31</v>
      </c>
      <c r="L1572" s="1004"/>
      <c r="M1572" s="1003"/>
      <c r="N1572" s="1003">
        <v>30</v>
      </c>
      <c r="O1572" s="1005">
        <v>32</v>
      </c>
    </row>
    <row r="1573" spans="1:15" collapsed="1" x14ac:dyDescent="0.2">
      <c r="A1573"/>
      <c r="B1573" s="1002">
        <v>117</v>
      </c>
      <c r="C1573" s="1003">
        <v>3</v>
      </c>
      <c r="D1573" s="1003">
        <v>27</v>
      </c>
      <c r="E1573" s="1003"/>
      <c r="F1573" s="1003"/>
      <c r="G1573" s="1003"/>
      <c r="H1573" s="1003"/>
      <c r="I1573" s="1003"/>
      <c r="J1573" s="1003"/>
      <c r="K1573" s="1003">
        <f t="shared" si="24"/>
        <v>30</v>
      </c>
      <c r="L1573" s="1004"/>
      <c r="M1573" s="1003"/>
      <c r="N1573" s="1003">
        <v>28</v>
      </c>
      <c r="O1573" s="1005">
        <v>32</v>
      </c>
    </row>
    <row r="1574" spans="1:15" collapsed="1" x14ac:dyDescent="0.2">
      <c r="A1574"/>
      <c r="B1574" s="1002">
        <v>117</v>
      </c>
      <c r="C1574" s="1003"/>
      <c r="D1574" s="1003">
        <v>28</v>
      </c>
      <c r="E1574" s="1003">
        <v>1</v>
      </c>
      <c r="F1574" s="1003"/>
      <c r="G1574" s="1003"/>
      <c r="H1574" s="1003"/>
      <c r="I1574" s="1003"/>
      <c r="J1574" s="1003"/>
      <c r="K1574" s="1003">
        <f t="shared" si="24"/>
        <v>29</v>
      </c>
      <c r="L1574" s="1004"/>
      <c r="M1574" s="1003"/>
      <c r="N1574" s="1003">
        <v>26</v>
      </c>
      <c r="O1574" s="1005">
        <v>32</v>
      </c>
    </row>
    <row r="1575" spans="1:15" collapsed="1" x14ac:dyDescent="0.2">
      <c r="A1575"/>
      <c r="B1575" s="1002">
        <v>117</v>
      </c>
      <c r="C1575" s="1003"/>
      <c r="D1575" s="1003">
        <v>23</v>
      </c>
      <c r="E1575" s="1003">
        <v>5</v>
      </c>
      <c r="F1575" s="1003"/>
      <c r="G1575" s="1003"/>
      <c r="H1575" s="1003"/>
      <c r="I1575" s="1003"/>
      <c r="J1575" s="1003"/>
      <c r="K1575" s="1003">
        <f t="shared" si="24"/>
        <v>28</v>
      </c>
      <c r="L1575" s="1004"/>
      <c r="M1575" s="1003"/>
      <c r="N1575" s="1003">
        <v>24</v>
      </c>
      <c r="O1575" s="1005">
        <v>32</v>
      </c>
    </row>
    <row r="1576" spans="1:15" collapsed="1" x14ac:dyDescent="0.2">
      <c r="A1576"/>
      <c r="B1576" s="1002">
        <v>117</v>
      </c>
      <c r="C1576" s="1003"/>
      <c r="D1576" s="1003">
        <v>18</v>
      </c>
      <c r="E1576" s="1003">
        <v>9</v>
      </c>
      <c r="F1576" s="1003"/>
      <c r="G1576" s="1003"/>
      <c r="H1576" s="1003"/>
      <c r="I1576" s="1003"/>
      <c r="J1576" s="1003"/>
      <c r="K1576" s="1003">
        <f t="shared" si="24"/>
        <v>27</v>
      </c>
      <c r="L1576" s="1004"/>
      <c r="M1576" s="1003"/>
      <c r="N1576" s="1003">
        <v>22</v>
      </c>
      <c r="O1576" s="1005">
        <v>32</v>
      </c>
    </row>
    <row r="1577" spans="1:15" collapsed="1" x14ac:dyDescent="0.2">
      <c r="A1577"/>
      <c r="B1577" s="1002">
        <v>117</v>
      </c>
      <c r="C1577" s="1003"/>
      <c r="D1577" s="1003">
        <v>13</v>
      </c>
      <c r="E1577" s="1003">
        <v>13</v>
      </c>
      <c r="F1577" s="1003"/>
      <c r="G1577" s="1003"/>
      <c r="H1577" s="1003"/>
      <c r="I1577" s="1003"/>
      <c r="J1577" s="1003"/>
      <c r="K1577" s="1003">
        <f t="shared" si="24"/>
        <v>26</v>
      </c>
      <c r="L1577" s="1004"/>
      <c r="M1577" s="1003"/>
      <c r="N1577" s="1003">
        <v>20</v>
      </c>
      <c r="O1577" s="1005">
        <v>32</v>
      </c>
    </row>
    <row r="1578" spans="1:15" collapsed="1" x14ac:dyDescent="0.2">
      <c r="A1578"/>
      <c r="B1578" s="1002">
        <v>117</v>
      </c>
      <c r="C1578" s="1003"/>
      <c r="D1578" s="1003">
        <v>8</v>
      </c>
      <c r="E1578" s="1003">
        <v>17</v>
      </c>
      <c r="F1578" s="1003"/>
      <c r="G1578" s="1003"/>
      <c r="H1578" s="1003"/>
      <c r="I1578" s="1003"/>
      <c r="J1578" s="1003"/>
      <c r="K1578" s="1003">
        <f t="shared" si="24"/>
        <v>25</v>
      </c>
      <c r="L1578" s="1004"/>
      <c r="M1578" s="1003"/>
      <c r="N1578" s="1003">
        <v>18</v>
      </c>
      <c r="O1578" s="1005">
        <v>32</v>
      </c>
    </row>
    <row r="1579" spans="1:15" collapsed="1" x14ac:dyDescent="0.2">
      <c r="A1579"/>
      <c r="B1579" s="1002">
        <v>117</v>
      </c>
      <c r="C1579" s="1003"/>
      <c r="D1579" s="1003">
        <v>3</v>
      </c>
      <c r="E1579" s="1003">
        <v>21</v>
      </c>
      <c r="F1579" s="1003"/>
      <c r="G1579" s="1003"/>
      <c r="H1579" s="1003"/>
      <c r="I1579" s="1003"/>
      <c r="J1579" s="1003"/>
      <c r="K1579" s="1003">
        <f t="shared" si="24"/>
        <v>24</v>
      </c>
      <c r="L1579" s="1004"/>
      <c r="M1579" s="1003"/>
      <c r="N1579" s="1003">
        <v>16</v>
      </c>
      <c r="O1579" s="1005">
        <v>32</v>
      </c>
    </row>
    <row r="1580" spans="1:15" collapsed="1" x14ac:dyDescent="0.2">
      <c r="A1580"/>
      <c r="B1580" s="1002">
        <v>117</v>
      </c>
      <c r="C1580" s="1003"/>
      <c r="D1580" s="1003"/>
      <c r="E1580" s="1003">
        <v>21</v>
      </c>
      <c r="F1580" s="1003">
        <v>2</v>
      </c>
      <c r="G1580" s="1003"/>
      <c r="H1580" s="1003"/>
      <c r="I1580" s="1003"/>
      <c r="J1580" s="1003"/>
      <c r="K1580" s="1003">
        <f t="shared" si="24"/>
        <v>23</v>
      </c>
      <c r="L1580" s="1004"/>
      <c r="M1580" s="1003"/>
      <c r="N1580" s="1003">
        <v>14</v>
      </c>
      <c r="O1580" s="1005">
        <v>32</v>
      </c>
    </row>
    <row r="1581" spans="1:15" collapsed="1" x14ac:dyDescent="0.2">
      <c r="A1581"/>
      <c r="B1581" s="1002">
        <v>117</v>
      </c>
      <c r="C1581" s="1003"/>
      <c r="D1581" s="1003"/>
      <c r="E1581" s="1003">
        <v>15</v>
      </c>
      <c r="F1581" s="1003">
        <v>7</v>
      </c>
      <c r="G1581" s="1003"/>
      <c r="H1581" s="1003"/>
      <c r="I1581" s="1003"/>
      <c r="J1581" s="1003"/>
      <c r="K1581" s="1003">
        <f t="shared" si="24"/>
        <v>22</v>
      </c>
      <c r="L1581" s="1004"/>
      <c r="M1581" s="1003"/>
      <c r="N1581" s="1003">
        <v>12</v>
      </c>
      <c r="O1581" s="1005">
        <v>32</v>
      </c>
    </row>
    <row r="1582" spans="1:15" collapsed="1" x14ac:dyDescent="0.2">
      <c r="A1582"/>
      <c r="B1582" s="1002">
        <v>117</v>
      </c>
      <c r="C1582" s="1003"/>
      <c r="D1582" s="1003"/>
      <c r="E1582" s="1003">
        <v>9</v>
      </c>
      <c r="F1582" s="1003">
        <v>12</v>
      </c>
      <c r="G1582" s="1003"/>
      <c r="H1582" s="1003"/>
      <c r="I1582" s="1003"/>
      <c r="J1582" s="1003"/>
      <c r="K1582" s="1003">
        <f t="shared" si="24"/>
        <v>21</v>
      </c>
      <c r="L1582" s="1004"/>
      <c r="M1582" s="1003"/>
      <c r="N1582" s="1003">
        <v>10</v>
      </c>
      <c r="O1582" s="1005">
        <v>32</v>
      </c>
    </row>
    <row r="1583" spans="1:15" collapsed="1" x14ac:dyDescent="0.2">
      <c r="A1583"/>
      <c r="B1583" s="1002">
        <v>117</v>
      </c>
      <c r="C1583" s="1003"/>
      <c r="D1583" s="1003"/>
      <c r="E1583" s="1003">
        <v>3</v>
      </c>
      <c r="F1583" s="1003">
        <v>17</v>
      </c>
      <c r="G1583" s="1003"/>
      <c r="H1583" s="1003"/>
      <c r="I1583" s="1003"/>
      <c r="J1583" s="1003"/>
      <c r="K1583" s="1003">
        <f t="shared" si="24"/>
        <v>20</v>
      </c>
      <c r="L1583" s="1004"/>
      <c r="M1583" s="1003"/>
      <c r="N1583" s="1003">
        <v>8</v>
      </c>
      <c r="O1583" s="1005">
        <v>32</v>
      </c>
    </row>
    <row r="1584" spans="1:15" collapsed="1" x14ac:dyDescent="0.2">
      <c r="A1584"/>
      <c r="B1584" s="1002">
        <v>117</v>
      </c>
      <c r="C1584" s="1003"/>
      <c r="D1584" s="1003"/>
      <c r="E1584" s="1003"/>
      <c r="F1584" s="1003">
        <v>16</v>
      </c>
      <c r="G1584" s="1003">
        <v>3</v>
      </c>
      <c r="H1584" s="1003"/>
      <c r="I1584" s="1003"/>
      <c r="J1584" s="1003"/>
      <c r="K1584" s="1003">
        <f t="shared" si="24"/>
        <v>19</v>
      </c>
      <c r="L1584" s="1004"/>
      <c r="M1584" s="1003"/>
      <c r="N1584" s="1003">
        <v>6</v>
      </c>
      <c r="O1584" s="1005">
        <v>32</v>
      </c>
    </row>
    <row r="1585" spans="1:15" collapsed="1" x14ac:dyDescent="0.2">
      <c r="A1585"/>
      <c r="B1585" s="1002">
        <v>117</v>
      </c>
      <c r="C1585" s="1003"/>
      <c r="D1585" s="1003"/>
      <c r="E1585" s="1003"/>
      <c r="F1585" s="1003">
        <v>9</v>
      </c>
      <c r="G1585" s="1003">
        <v>9</v>
      </c>
      <c r="H1585" s="1003"/>
      <c r="I1585" s="1003"/>
      <c r="J1585" s="1003"/>
      <c r="K1585" s="1003">
        <f t="shared" si="24"/>
        <v>18</v>
      </c>
      <c r="L1585" s="1004"/>
      <c r="M1585" s="1003"/>
      <c r="N1585" s="1003">
        <v>4</v>
      </c>
      <c r="O1585" s="1005">
        <v>32</v>
      </c>
    </row>
    <row r="1586" spans="1:15" collapsed="1" x14ac:dyDescent="0.2">
      <c r="A1586"/>
      <c r="B1586" s="1002">
        <v>117</v>
      </c>
      <c r="C1586" s="1003"/>
      <c r="D1586" s="1003"/>
      <c r="E1586" s="1003"/>
      <c r="F1586" s="1003">
        <v>2</v>
      </c>
      <c r="G1586" s="1003">
        <v>15</v>
      </c>
      <c r="H1586" s="1003"/>
      <c r="I1586" s="1003"/>
      <c r="J1586" s="1003"/>
      <c r="K1586" s="1003">
        <f t="shared" si="24"/>
        <v>17</v>
      </c>
      <c r="L1586" s="1004"/>
      <c r="M1586" s="1003"/>
      <c r="N1586" s="1003">
        <v>2</v>
      </c>
      <c r="O1586" s="1005">
        <v>32</v>
      </c>
    </row>
    <row r="1587" spans="1:15" collapsed="1" x14ac:dyDescent="0.2">
      <c r="A1587"/>
      <c r="B1587" s="1002">
        <v>117</v>
      </c>
      <c r="C1587" s="1003"/>
      <c r="D1587" s="1003"/>
      <c r="E1587" s="1003"/>
      <c r="F1587" s="1003"/>
      <c r="G1587" s="1003">
        <v>11</v>
      </c>
      <c r="H1587" s="1003">
        <v>5</v>
      </c>
      <c r="I1587" s="1003"/>
      <c r="J1587" s="1003"/>
      <c r="K1587" s="1003">
        <f t="shared" si="24"/>
        <v>16</v>
      </c>
      <c r="L1587" s="1004"/>
      <c r="M1587" s="1003"/>
      <c r="N1587" s="1003"/>
      <c r="O1587" s="1005">
        <v>32</v>
      </c>
    </row>
    <row r="1588" spans="1:15" collapsed="1" x14ac:dyDescent="0.2">
      <c r="A1588"/>
      <c r="B1588" s="1002">
        <v>117</v>
      </c>
      <c r="C1588" s="1003"/>
      <c r="D1588" s="1003"/>
      <c r="E1588" s="1003"/>
      <c r="F1588" s="1003"/>
      <c r="G1588" s="1003">
        <v>4</v>
      </c>
      <c r="H1588" s="1003">
        <v>11</v>
      </c>
      <c r="I1588" s="1003"/>
      <c r="J1588" s="1003"/>
      <c r="K1588" s="1003">
        <f t="shared" si="24"/>
        <v>15</v>
      </c>
      <c r="L1588" s="1004"/>
      <c r="M1588" s="1003"/>
      <c r="N1588" s="1003">
        <v>14</v>
      </c>
      <c r="O1588" s="1005">
        <v>16</v>
      </c>
    </row>
    <row r="1589" spans="1:15" x14ac:dyDescent="0.2">
      <c r="A1589"/>
      <c r="B1589" s="1002">
        <v>117</v>
      </c>
      <c r="C1589" s="1003"/>
      <c r="D1589" s="1003"/>
      <c r="E1589" s="1003"/>
      <c r="F1589" s="1003"/>
      <c r="G1589" s="1003"/>
      <c r="H1589" s="1003">
        <v>9</v>
      </c>
      <c r="I1589" s="1003">
        <v>5</v>
      </c>
      <c r="J1589" s="1003"/>
      <c r="K1589" s="1003">
        <f t="shared" si="24"/>
        <v>14</v>
      </c>
      <c r="L1589" s="1004"/>
      <c r="M1589" s="1003"/>
      <c r="N1589" s="1003">
        <v>12</v>
      </c>
      <c r="O1589" s="1005">
        <v>16</v>
      </c>
    </row>
    <row r="1590" spans="1:15" collapsed="1" x14ac:dyDescent="0.2">
      <c r="A1590"/>
      <c r="B1590" s="1002">
        <v>117</v>
      </c>
      <c r="C1590" s="1003"/>
      <c r="D1590" s="1003"/>
      <c r="E1590" s="1003"/>
      <c r="F1590" s="1003"/>
      <c r="G1590" s="1003"/>
      <c r="H1590" s="1003"/>
      <c r="I1590" s="1003">
        <v>13</v>
      </c>
      <c r="J1590" s="1003"/>
      <c r="K1590" s="1003">
        <f t="shared" si="24"/>
        <v>13</v>
      </c>
      <c r="L1590" s="1004"/>
      <c r="M1590" s="1003"/>
      <c r="N1590" s="1003">
        <v>10</v>
      </c>
      <c r="O1590" s="1005">
        <v>16</v>
      </c>
    </row>
    <row r="1591" spans="1:15" collapsed="1" x14ac:dyDescent="0.2">
      <c r="A1591"/>
      <c r="B1591" s="1002">
        <v>117</v>
      </c>
      <c r="C1591" s="1003"/>
      <c r="D1591" s="1003"/>
      <c r="E1591" s="1003"/>
      <c r="F1591" s="1003"/>
      <c r="G1591" s="1003"/>
      <c r="H1591" s="1003"/>
      <c r="I1591" s="1003">
        <v>3</v>
      </c>
      <c r="J1591" s="1003">
        <v>9</v>
      </c>
      <c r="K1591" s="1003">
        <f t="shared" si="24"/>
        <v>12</v>
      </c>
      <c r="L1591" s="1004"/>
      <c r="M1591" s="1003"/>
      <c r="N1591" s="1003">
        <v>8</v>
      </c>
      <c r="O1591" s="1005">
        <v>16</v>
      </c>
    </row>
    <row r="1592" spans="1:15" collapsed="1" x14ac:dyDescent="0.2">
      <c r="A1592"/>
      <c r="B1592" s="1002">
        <v>118</v>
      </c>
      <c r="C1592" s="1003">
        <v>32</v>
      </c>
      <c r="D1592" s="1003"/>
      <c r="E1592" s="1003"/>
      <c r="F1592" s="1003"/>
      <c r="G1592" s="1003"/>
      <c r="H1592" s="1003"/>
      <c r="I1592" s="1003"/>
      <c r="J1592" s="1003"/>
      <c r="K1592" s="1003">
        <f t="shared" si="24"/>
        <v>32</v>
      </c>
      <c r="L1592" s="1004"/>
      <c r="M1592" s="1003">
        <v>22</v>
      </c>
      <c r="N1592" s="1003">
        <v>22</v>
      </c>
      <c r="O1592" s="1005">
        <v>64</v>
      </c>
    </row>
    <row r="1593" spans="1:15" collapsed="1" x14ac:dyDescent="0.2">
      <c r="A1593"/>
      <c r="B1593" s="1002">
        <v>118</v>
      </c>
      <c r="C1593" s="1003">
        <v>10</v>
      </c>
      <c r="D1593" s="1003">
        <v>22</v>
      </c>
      <c r="E1593" s="1003"/>
      <c r="F1593" s="1003"/>
      <c r="G1593" s="1003"/>
      <c r="H1593" s="1003"/>
      <c r="I1593" s="1003"/>
      <c r="J1593" s="1003"/>
      <c r="K1593" s="1003">
        <f t="shared" si="24"/>
        <v>32</v>
      </c>
      <c r="L1593" s="1004"/>
      <c r="M1593" s="1003"/>
      <c r="N1593" s="1003"/>
      <c r="O1593" s="1005">
        <v>64</v>
      </c>
    </row>
    <row r="1594" spans="1:15" collapsed="1" x14ac:dyDescent="0.2">
      <c r="A1594"/>
      <c r="B1594" s="1002">
        <v>118</v>
      </c>
      <c r="C1594" s="1003">
        <v>6</v>
      </c>
      <c r="D1594" s="1003">
        <v>25</v>
      </c>
      <c r="E1594" s="1003"/>
      <c r="F1594" s="1003"/>
      <c r="G1594" s="1003"/>
      <c r="H1594" s="1003"/>
      <c r="I1594" s="1003"/>
      <c r="J1594" s="1003"/>
      <c r="K1594" s="1003">
        <f t="shared" si="24"/>
        <v>31</v>
      </c>
      <c r="L1594" s="1004"/>
      <c r="M1594" s="1003"/>
      <c r="N1594" s="1003">
        <v>30</v>
      </c>
      <c r="O1594" s="1005">
        <v>32</v>
      </c>
    </row>
    <row r="1595" spans="1:15" collapsed="1" x14ac:dyDescent="0.2">
      <c r="A1595"/>
      <c r="B1595" s="1002">
        <v>118</v>
      </c>
      <c r="C1595" s="1003">
        <v>2</v>
      </c>
      <c r="D1595" s="1003">
        <v>28</v>
      </c>
      <c r="E1595" s="1003"/>
      <c r="F1595" s="1003"/>
      <c r="G1595" s="1003"/>
      <c r="H1595" s="1003"/>
      <c r="I1595" s="1003"/>
      <c r="J1595" s="1003"/>
      <c r="K1595" s="1003">
        <f t="shared" si="24"/>
        <v>30</v>
      </c>
      <c r="L1595" s="1004"/>
      <c r="M1595" s="1003"/>
      <c r="N1595" s="1003">
        <v>28</v>
      </c>
      <c r="O1595" s="1005">
        <v>32</v>
      </c>
    </row>
    <row r="1596" spans="1:15" collapsed="1" x14ac:dyDescent="0.2">
      <c r="A1596"/>
      <c r="B1596" s="1002">
        <v>118</v>
      </c>
      <c r="C1596" s="1003"/>
      <c r="D1596" s="1003">
        <v>27</v>
      </c>
      <c r="E1596" s="1003">
        <v>2</v>
      </c>
      <c r="F1596" s="1003"/>
      <c r="G1596" s="1003"/>
      <c r="H1596" s="1003"/>
      <c r="I1596" s="1003"/>
      <c r="J1596" s="1003"/>
      <c r="K1596" s="1003">
        <f t="shared" si="24"/>
        <v>29</v>
      </c>
      <c r="L1596" s="1004"/>
      <c r="M1596" s="1003"/>
      <c r="N1596" s="1003">
        <v>26</v>
      </c>
      <c r="O1596" s="1005">
        <v>32</v>
      </c>
    </row>
    <row r="1597" spans="1:15" collapsed="1" x14ac:dyDescent="0.2">
      <c r="A1597"/>
      <c r="B1597" s="1002">
        <v>118</v>
      </c>
      <c r="C1597" s="1003"/>
      <c r="D1597" s="1003">
        <v>22</v>
      </c>
      <c r="E1597" s="1003">
        <v>6</v>
      </c>
      <c r="F1597" s="1003"/>
      <c r="G1597" s="1003"/>
      <c r="H1597" s="1003"/>
      <c r="I1597" s="1003"/>
      <c r="J1597" s="1003"/>
      <c r="K1597" s="1003">
        <f t="shared" si="24"/>
        <v>28</v>
      </c>
      <c r="L1597" s="1004"/>
      <c r="M1597" s="1003"/>
      <c r="N1597" s="1003">
        <v>24</v>
      </c>
      <c r="O1597" s="1005">
        <v>32</v>
      </c>
    </row>
    <row r="1598" spans="1:15" collapsed="1" x14ac:dyDescent="0.2">
      <c r="A1598"/>
      <c r="B1598" s="1002">
        <v>118</v>
      </c>
      <c r="C1598" s="1003"/>
      <c r="D1598" s="1003">
        <v>17</v>
      </c>
      <c r="E1598" s="1003">
        <v>10</v>
      </c>
      <c r="F1598" s="1003"/>
      <c r="G1598" s="1003"/>
      <c r="H1598" s="1003"/>
      <c r="I1598" s="1003"/>
      <c r="J1598" s="1003"/>
      <c r="K1598" s="1003">
        <f t="shared" si="24"/>
        <v>27</v>
      </c>
      <c r="L1598" s="1004"/>
      <c r="M1598" s="1003"/>
      <c r="N1598" s="1003">
        <v>22</v>
      </c>
      <c r="O1598" s="1005">
        <v>32</v>
      </c>
    </row>
    <row r="1599" spans="1:15" collapsed="1" x14ac:dyDescent="0.2">
      <c r="A1599"/>
      <c r="B1599" s="1002">
        <v>118</v>
      </c>
      <c r="C1599" s="1003"/>
      <c r="D1599" s="1003">
        <v>12</v>
      </c>
      <c r="E1599" s="1003">
        <v>14</v>
      </c>
      <c r="F1599" s="1003"/>
      <c r="G1599" s="1003"/>
      <c r="H1599" s="1003"/>
      <c r="I1599" s="1003"/>
      <c r="J1599" s="1003"/>
      <c r="K1599" s="1003">
        <f t="shared" si="24"/>
        <v>26</v>
      </c>
      <c r="L1599" s="1004"/>
      <c r="M1599" s="1003"/>
      <c r="N1599" s="1003">
        <v>20</v>
      </c>
      <c r="O1599" s="1005">
        <v>32</v>
      </c>
    </row>
    <row r="1600" spans="1:15" collapsed="1" x14ac:dyDescent="0.2">
      <c r="A1600"/>
      <c r="B1600" s="1002">
        <v>118</v>
      </c>
      <c r="C1600" s="1003"/>
      <c r="D1600" s="1003">
        <v>7</v>
      </c>
      <c r="E1600" s="1003">
        <v>18</v>
      </c>
      <c r="F1600" s="1003"/>
      <c r="G1600" s="1003"/>
      <c r="H1600" s="1003"/>
      <c r="I1600" s="1003"/>
      <c r="J1600" s="1003"/>
      <c r="K1600" s="1003">
        <f t="shared" si="24"/>
        <v>25</v>
      </c>
      <c r="L1600" s="1004"/>
      <c r="M1600" s="1003"/>
      <c r="N1600" s="1003">
        <v>18</v>
      </c>
      <c r="O1600" s="1005">
        <v>32</v>
      </c>
    </row>
    <row r="1601" spans="1:15" collapsed="1" x14ac:dyDescent="0.2">
      <c r="A1601"/>
      <c r="B1601" s="1002">
        <v>118</v>
      </c>
      <c r="C1601" s="1003"/>
      <c r="D1601" s="1003">
        <v>2</v>
      </c>
      <c r="E1601" s="1003">
        <v>22</v>
      </c>
      <c r="F1601" s="1003"/>
      <c r="G1601" s="1003"/>
      <c r="H1601" s="1003"/>
      <c r="I1601" s="1003"/>
      <c r="J1601" s="1003"/>
      <c r="K1601" s="1003">
        <f t="shared" si="24"/>
        <v>24</v>
      </c>
      <c r="L1601" s="1004"/>
      <c r="M1601" s="1003"/>
      <c r="N1601" s="1003">
        <v>16</v>
      </c>
      <c r="O1601" s="1005">
        <v>32</v>
      </c>
    </row>
    <row r="1602" spans="1:15" collapsed="1" x14ac:dyDescent="0.2">
      <c r="A1602"/>
      <c r="B1602" s="1002">
        <v>118</v>
      </c>
      <c r="C1602" s="1003"/>
      <c r="D1602" s="1003"/>
      <c r="E1602" s="1003">
        <v>20</v>
      </c>
      <c r="F1602" s="1003">
        <v>3</v>
      </c>
      <c r="G1602" s="1003"/>
      <c r="H1602" s="1003"/>
      <c r="I1602" s="1003"/>
      <c r="J1602" s="1003"/>
      <c r="K1602" s="1003">
        <f t="shared" si="24"/>
        <v>23</v>
      </c>
      <c r="L1602" s="1004"/>
      <c r="M1602" s="1003"/>
      <c r="N1602" s="1003">
        <v>14</v>
      </c>
      <c r="O1602" s="1005">
        <v>32</v>
      </c>
    </row>
    <row r="1603" spans="1:15" collapsed="1" x14ac:dyDescent="0.2">
      <c r="A1603"/>
      <c r="B1603" s="1002">
        <v>118</v>
      </c>
      <c r="C1603" s="1003"/>
      <c r="D1603" s="1003"/>
      <c r="E1603" s="1003">
        <v>14</v>
      </c>
      <c r="F1603" s="1003">
        <v>8</v>
      </c>
      <c r="G1603" s="1003"/>
      <c r="H1603" s="1003"/>
      <c r="I1603" s="1003"/>
      <c r="J1603" s="1003"/>
      <c r="K1603" s="1003">
        <f t="shared" si="24"/>
        <v>22</v>
      </c>
      <c r="L1603" s="1004"/>
      <c r="M1603" s="1003"/>
      <c r="N1603" s="1003">
        <v>12</v>
      </c>
      <c r="O1603" s="1005">
        <v>32</v>
      </c>
    </row>
    <row r="1604" spans="1:15" collapsed="1" x14ac:dyDescent="0.2">
      <c r="A1604"/>
      <c r="B1604" s="1002">
        <v>118</v>
      </c>
      <c r="C1604" s="1003"/>
      <c r="D1604" s="1003"/>
      <c r="E1604" s="1003">
        <v>8</v>
      </c>
      <c r="F1604" s="1003">
        <v>13</v>
      </c>
      <c r="G1604" s="1003"/>
      <c r="H1604" s="1003"/>
      <c r="I1604" s="1003"/>
      <c r="J1604" s="1003"/>
      <c r="K1604" s="1003">
        <f t="shared" si="24"/>
        <v>21</v>
      </c>
      <c r="L1604" s="1004"/>
      <c r="M1604" s="1003"/>
      <c r="N1604" s="1003">
        <v>10</v>
      </c>
      <c r="O1604" s="1005">
        <v>32</v>
      </c>
    </row>
    <row r="1605" spans="1:15" collapsed="1" x14ac:dyDescent="0.2">
      <c r="A1605"/>
      <c r="B1605" s="1002">
        <v>118</v>
      </c>
      <c r="C1605" s="1003"/>
      <c r="D1605" s="1003"/>
      <c r="E1605" s="1003">
        <v>2</v>
      </c>
      <c r="F1605" s="1003">
        <v>18</v>
      </c>
      <c r="G1605" s="1003"/>
      <c r="H1605" s="1003"/>
      <c r="I1605" s="1003"/>
      <c r="J1605" s="1003"/>
      <c r="K1605" s="1003">
        <f t="shared" si="24"/>
        <v>20</v>
      </c>
      <c r="L1605" s="1004"/>
      <c r="M1605" s="1003"/>
      <c r="N1605" s="1003">
        <v>8</v>
      </c>
      <c r="O1605" s="1005">
        <v>32</v>
      </c>
    </row>
    <row r="1606" spans="1:15" collapsed="1" x14ac:dyDescent="0.2">
      <c r="A1606"/>
      <c r="B1606" s="1002">
        <v>118</v>
      </c>
      <c r="C1606" s="1003"/>
      <c r="D1606" s="1003"/>
      <c r="E1606" s="1003"/>
      <c r="F1606" s="1003">
        <v>15</v>
      </c>
      <c r="G1606" s="1003">
        <v>4</v>
      </c>
      <c r="H1606" s="1003"/>
      <c r="I1606" s="1003"/>
      <c r="J1606" s="1003"/>
      <c r="K1606" s="1003">
        <f t="shared" ref="K1606:K1669" si="25">SUM(C1606:J1606)</f>
        <v>19</v>
      </c>
      <c r="L1606" s="1004"/>
      <c r="M1606" s="1003"/>
      <c r="N1606" s="1003">
        <v>6</v>
      </c>
      <c r="O1606" s="1005">
        <v>32</v>
      </c>
    </row>
    <row r="1607" spans="1:15" collapsed="1" x14ac:dyDescent="0.2">
      <c r="A1607"/>
      <c r="B1607" s="1002">
        <v>118</v>
      </c>
      <c r="C1607" s="1003"/>
      <c r="D1607" s="1003"/>
      <c r="E1607" s="1003"/>
      <c r="F1607" s="1003">
        <v>8</v>
      </c>
      <c r="G1607" s="1003">
        <v>10</v>
      </c>
      <c r="H1607" s="1003"/>
      <c r="I1607" s="1003"/>
      <c r="J1607" s="1003"/>
      <c r="K1607" s="1003">
        <f t="shared" si="25"/>
        <v>18</v>
      </c>
      <c r="L1607" s="1004"/>
      <c r="M1607" s="1003"/>
      <c r="N1607" s="1003">
        <v>4</v>
      </c>
      <c r="O1607" s="1005">
        <v>32</v>
      </c>
    </row>
    <row r="1608" spans="1:15" collapsed="1" x14ac:dyDescent="0.2">
      <c r="A1608"/>
      <c r="B1608" s="1002">
        <v>118</v>
      </c>
      <c r="C1608" s="1003"/>
      <c r="D1608" s="1003"/>
      <c r="E1608" s="1003"/>
      <c r="F1608" s="1003">
        <v>1</v>
      </c>
      <c r="G1608" s="1003">
        <v>16</v>
      </c>
      <c r="H1608" s="1003"/>
      <c r="I1608" s="1003"/>
      <c r="J1608" s="1003"/>
      <c r="K1608" s="1003">
        <f t="shared" si="25"/>
        <v>17</v>
      </c>
      <c r="L1608" s="1004"/>
      <c r="M1608" s="1003"/>
      <c r="N1608" s="1003">
        <v>2</v>
      </c>
      <c r="O1608" s="1005">
        <v>32</v>
      </c>
    </row>
    <row r="1609" spans="1:15" collapsed="1" x14ac:dyDescent="0.2">
      <c r="A1609"/>
      <c r="B1609" s="1002">
        <v>118</v>
      </c>
      <c r="C1609" s="1003"/>
      <c r="D1609" s="1003"/>
      <c r="E1609" s="1003"/>
      <c r="F1609" s="1003"/>
      <c r="G1609" s="1003">
        <v>10</v>
      </c>
      <c r="H1609" s="1003">
        <v>6</v>
      </c>
      <c r="I1609" s="1003"/>
      <c r="J1609" s="1003"/>
      <c r="K1609" s="1003">
        <f t="shared" si="25"/>
        <v>16</v>
      </c>
      <c r="L1609" s="1004"/>
      <c r="M1609" s="1003"/>
      <c r="N1609" s="1003"/>
      <c r="O1609" s="1005">
        <v>32</v>
      </c>
    </row>
    <row r="1610" spans="1:15" collapsed="1" x14ac:dyDescent="0.2">
      <c r="A1610"/>
      <c r="B1610" s="1002">
        <v>118</v>
      </c>
      <c r="C1610" s="1003"/>
      <c r="D1610" s="1003"/>
      <c r="E1610" s="1003"/>
      <c r="F1610" s="1003"/>
      <c r="G1610" s="1003">
        <v>3</v>
      </c>
      <c r="H1610" s="1003">
        <v>12</v>
      </c>
      <c r="I1610" s="1003"/>
      <c r="J1610" s="1003"/>
      <c r="K1610" s="1003">
        <f t="shared" si="25"/>
        <v>15</v>
      </c>
      <c r="L1610" s="1004"/>
      <c r="M1610" s="1003"/>
      <c r="N1610" s="1003">
        <v>14</v>
      </c>
      <c r="O1610" s="1005">
        <v>16</v>
      </c>
    </row>
    <row r="1611" spans="1:15" x14ac:dyDescent="0.2">
      <c r="A1611"/>
      <c r="B1611" s="1002">
        <v>118</v>
      </c>
      <c r="C1611" s="1003"/>
      <c r="D1611" s="1003"/>
      <c r="E1611" s="1003"/>
      <c r="F1611" s="1003"/>
      <c r="G1611" s="1003"/>
      <c r="H1611" s="1003">
        <v>8</v>
      </c>
      <c r="I1611" s="1003">
        <v>6</v>
      </c>
      <c r="J1611" s="1003"/>
      <c r="K1611" s="1003">
        <f t="shared" si="25"/>
        <v>14</v>
      </c>
      <c r="L1611" s="1004"/>
      <c r="M1611" s="1003"/>
      <c r="N1611" s="1003">
        <v>12</v>
      </c>
      <c r="O1611" s="1005">
        <v>16</v>
      </c>
    </row>
    <row r="1612" spans="1:15" collapsed="1" x14ac:dyDescent="0.2">
      <c r="A1612"/>
      <c r="B1612" s="1002">
        <v>118</v>
      </c>
      <c r="C1612" s="1003"/>
      <c r="D1612" s="1003"/>
      <c r="E1612" s="1003"/>
      <c r="F1612" s="1003"/>
      <c r="G1612" s="1003"/>
      <c r="H1612" s="1003"/>
      <c r="I1612" s="1003">
        <v>12</v>
      </c>
      <c r="J1612" s="1003">
        <v>1</v>
      </c>
      <c r="K1612" s="1003">
        <f t="shared" si="25"/>
        <v>13</v>
      </c>
      <c r="L1612" s="1004"/>
      <c r="M1612" s="1003"/>
      <c r="N1612" s="1003">
        <v>10</v>
      </c>
      <c r="O1612" s="1005">
        <v>16</v>
      </c>
    </row>
    <row r="1613" spans="1:15" collapsed="1" x14ac:dyDescent="0.2">
      <c r="A1613"/>
      <c r="B1613" s="1002">
        <v>118</v>
      </c>
      <c r="C1613" s="1003"/>
      <c r="D1613" s="1003"/>
      <c r="E1613" s="1003"/>
      <c r="F1613" s="1003"/>
      <c r="G1613" s="1003"/>
      <c r="H1613" s="1003"/>
      <c r="I1613" s="1003">
        <v>2</v>
      </c>
      <c r="J1613" s="1003">
        <v>10</v>
      </c>
      <c r="K1613" s="1003">
        <f t="shared" si="25"/>
        <v>12</v>
      </c>
      <c r="L1613" s="1004"/>
      <c r="M1613" s="1003"/>
      <c r="N1613" s="1003">
        <v>8</v>
      </c>
      <c r="O1613" s="1005">
        <v>16</v>
      </c>
    </row>
    <row r="1614" spans="1:15" collapsed="1" x14ac:dyDescent="0.2">
      <c r="A1614"/>
      <c r="B1614" s="1002">
        <v>119</v>
      </c>
      <c r="C1614" s="1003">
        <v>32</v>
      </c>
      <c r="D1614" s="1003"/>
      <c r="E1614" s="1003"/>
      <c r="F1614" s="1003"/>
      <c r="G1614" s="1003"/>
      <c r="H1614" s="1003"/>
      <c r="I1614" s="1003"/>
      <c r="J1614" s="1003"/>
      <c r="K1614" s="1003">
        <f t="shared" si="25"/>
        <v>32</v>
      </c>
      <c r="L1614" s="1004"/>
      <c r="M1614" s="1003">
        <v>23</v>
      </c>
      <c r="N1614" s="1003">
        <v>23</v>
      </c>
      <c r="O1614" s="1005">
        <v>64</v>
      </c>
    </row>
    <row r="1615" spans="1:15" collapsed="1" x14ac:dyDescent="0.2">
      <c r="A1615"/>
      <c r="B1615" s="1002">
        <v>119</v>
      </c>
      <c r="C1615" s="1003">
        <v>9</v>
      </c>
      <c r="D1615" s="1003">
        <v>23</v>
      </c>
      <c r="E1615" s="1003"/>
      <c r="F1615" s="1003"/>
      <c r="G1615" s="1003"/>
      <c r="H1615" s="1003"/>
      <c r="I1615" s="1003"/>
      <c r="J1615" s="1003"/>
      <c r="K1615" s="1003">
        <f t="shared" si="25"/>
        <v>32</v>
      </c>
      <c r="L1615" s="1004"/>
      <c r="M1615" s="1003"/>
      <c r="N1615" s="1003"/>
      <c r="O1615" s="1005">
        <v>64</v>
      </c>
    </row>
    <row r="1616" spans="1:15" collapsed="1" x14ac:dyDescent="0.2">
      <c r="A1616"/>
      <c r="B1616" s="1002">
        <v>119</v>
      </c>
      <c r="C1616" s="1003">
        <v>5</v>
      </c>
      <c r="D1616" s="1003">
        <v>26</v>
      </c>
      <c r="E1616" s="1003"/>
      <c r="F1616" s="1003"/>
      <c r="G1616" s="1003"/>
      <c r="H1616" s="1003"/>
      <c r="I1616" s="1003"/>
      <c r="J1616" s="1003"/>
      <c r="K1616" s="1003">
        <f t="shared" si="25"/>
        <v>31</v>
      </c>
      <c r="L1616" s="1004"/>
      <c r="M1616" s="1003"/>
      <c r="N1616" s="1003">
        <v>30</v>
      </c>
      <c r="O1616" s="1005">
        <v>32</v>
      </c>
    </row>
    <row r="1617" spans="1:15" collapsed="1" x14ac:dyDescent="0.2">
      <c r="A1617"/>
      <c r="B1617" s="1002">
        <v>119</v>
      </c>
      <c r="C1617" s="1003">
        <v>1</v>
      </c>
      <c r="D1617" s="1003">
        <v>29</v>
      </c>
      <c r="E1617" s="1003"/>
      <c r="F1617" s="1003"/>
      <c r="G1617" s="1003"/>
      <c r="H1617" s="1003"/>
      <c r="I1617" s="1003"/>
      <c r="J1617" s="1003"/>
      <c r="K1617" s="1003">
        <f t="shared" si="25"/>
        <v>30</v>
      </c>
      <c r="L1617" s="1004"/>
      <c r="M1617" s="1003"/>
      <c r="N1617" s="1003">
        <v>28</v>
      </c>
      <c r="O1617" s="1005">
        <v>32</v>
      </c>
    </row>
    <row r="1618" spans="1:15" collapsed="1" x14ac:dyDescent="0.2">
      <c r="A1618"/>
      <c r="B1618" s="1002">
        <v>119</v>
      </c>
      <c r="C1618" s="1003"/>
      <c r="D1618" s="1003">
        <v>26</v>
      </c>
      <c r="E1618" s="1003">
        <v>3</v>
      </c>
      <c r="F1618" s="1003"/>
      <c r="G1618" s="1003"/>
      <c r="H1618" s="1003"/>
      <c r="I1618" s="1003"/>
      <c r="J1618" s="1003"/>
      <c r="K1618" s="1003">
        <f t="shared" si="25"/>
        <v>29</v>
      </c>
      <c r="L1618" s="1004"/>
      <c r="M1618" s="1003"/>
      <c r="N1618" s="1003">
        <v>26</v>
      </c>
      <c r="O1618" s="1005">
        <v>32</v>
      </c>
    </row>
    <row r="1619" spans="1:15" collapsed="1" x14ac:dyDescent="0.2">
      <c r="A1619"/>
      <c r="B1619" s="1002">
        <v>119</v>
      </c>
      <c r="C1619" s="1003"/>
      <c r="D1619" s="1003">
        <v>21</v>
      </c>
      <c r="E1619" s="1003">
        <v>7</v>
      </c>
      <c r="F1619" s="1003"/>
      <c r="G1619" s="1003"/>
      <c r="H1619" s="1003"/>
      <c r="I1619" s="1003"/>
      <c r="J1619" s="1003"/>
      <c r="K1619" s="1003">
        <f t="shared" si="25"/>
        <v>28</v>
      </c>
      <c r="L1619" s="1004"/>
      <c r="M1619" s="1003"/>
      <c r="N1619" s="1003">
        <v>24</v>
      </c>
      <c r="O1619" s="1005">
        <v>32</v>
      </c>
    </row>
    <row r="1620" spans="1:15" collapsed="1" x14ac:dyDescent="0.2">
      <c r="A1620"/>
      <c r="B1620" s="1002">
        <v>119</v>
      </c>
      <c r="C1620" s="1003"/>
      <c r="D1620" s="1003">
        <v>16</v>
      </c>
      <c r="E1620" s="1003">
        <v>11</v>
      </c>
      <c r="F1620" s="1003"/>
      <c r="G1620" s="1003"/>
      <c r="H1620" s="1003"/>
      <c r="I1620" s="1003"/>
      <c r="J1620" s="1003"/>
      <c r="K1620" s="1003">
        <f t="shared" si="25"/>
        <v>27</v>
      </c>
      <c r="L1620" s="1004"/>
      <c r="M1620" s="1003"/>
      <c r="N1620" s="1003">
        <v>22</v>
      </c>
      <c r="O1620" s="1005">
        <v>32</v>
      </c>
    </row>
    <row r="1621" spans="1:15" collapsed="1" x14ac:dyDescent="0.2">
      <c r="A1621"/>
      <c r="B1621" s="1002">
        <v>119</v>
      </c>
      <c r="C1621" s="1003"/>
      <c r="D1621" s="1003">
        <v>11</v>
      </c>
      <c r="E1621" s="1003">
        <v>15</v>
      </c>
      <c r="F1621" s="1003"/>
      <c r="G1621" s="1003"/>
      <c r="H1621" s="1003"/>
      <c r="I1621" s="1003"/>
      <c r="J1621" s="1003"/>
      <c r="K1621" s="1003">
        <f t="shared" si="25"/>
        <v>26</v>
      </c>
      <c r="L1621" s="1004"/>
      <c r="M1621" s="1003"/>
      <c r="N1621" s="1003">
        <v>20</v>
      </c>
      <c r="O1621" s="1005">
        <v>32</v>
      </c>
    </row>
    <row r="1622" spans="1:15" collapsed="1" x14ac:dyDescent="0.2">
      <c r="A1622"/>
      <c r="B1622" s="1002">
        <v>119</v>
      </c>
      <c r="C1622" s="1003"/>
      <c r="D1622" s="1003">
        <v>6</v>
      </c>
      <c r="E1622" s="1003">
        <v>19</v>
      </c>
      <c r="F1622" s="1003"/>
      <c r="G1622" s="1003"/>
      <c r="H1622" s="1003"/>
      <c r="I1622" s="1003"/>
      <c r="J1622" s="1003"/>
      <c r="K1622" s="1003">
        <f t="shared" si="25"/>
        <v>25</v>
      </c>
      <c r="L1622" s="1004"/>
      <c r="M1622" s="1003"/>
      <c r="N1622" s="1003">
        <v>18</v>
      </c>
      <c r="O1622" s="1005">
        <v>32</v>
      </c>
    </row>
    <row r="1623" spans="1:15" collapsed="1" x14ac:dyDescent="0.2">
      <c r="A1623"/>
      <c r="B1623" s="1002">
        <v>119</v>
      </c>
      <c r="C1623" s="1003"/>
      <c r="D1623" s="1003">
        <v>1</v>
      </c>
      <c r="E1623" s="1003">
        <v>23</v>
      </c>
      <c r="F1623" s="1003"/>
      <c r="G1623" s="1003"/>
      <c r="H1623" s="1003"/>
      <c r="I1623" s="1003"/>
      <c r="J1623" s="1003"/>
      <c r="K1623" s="1003">
        <f t="shared" si="25"/>
        <v>24</v>
      </c>
      <c r="L1623" s="1004"/>
      <c r="M1623" s="1003"/>
      <c r="N1623" s="1003">
        <v>16</v>
      </c>
      <c r="O1623" s="1005">
        <v>32</v>
      </c>
    </row>
    <row r="1624" spans="1:15" collapsed="1" x14ac:dyDescent="0.2">
      <c r="A1624"/>
      <c r="B1624" s="1002">
        <v>119</v>
      </c>
      <c r="C1624" s="1003"/>
      <c r="D1624" s="1003"/>
      <c r="E1624" s="1003">
        <v>19</v>
      </c>
      <c r="F1624" s="1003">
        <v>4</v>
      </c>
      <c r="G1624" s="1003"/>
      <c r="H1624" s="1003"/>
      <c r="I1624" s="1003"/>
      <c r="J1624" s="1003"/>
      <c r="K1624" s="1003">
        <f t="shared" si="25"/>
        <v>23</v>
      </c>
      <c r="L1624" s="1004"/>
      <c r="M1624" s="1003"/>
      <c r="N1624" s="1003">
        <v>14</v>
      </c>
      <c r="O1624" s="1005">
        <v>32</v>
      </c>
    </row>
    <row r="1625" spans="1:15" collapsed="1" x14ac:dyDescent="0.2">
      <c r="A1625"/>
      <c r="B1625" s="1002">
        <v>119</v>
      </c>
      <c r="C1625" s="1003"/>
      <c r="D1625" s="1003"/>
      <c r="E1625" s="1003">
        <v>13</v>
      </c>
      <c r="F1625" s="1003">
        <v>9</v>
      </c>
      <c r="G1625" s="1003"/>
      <c r="H1625" s="1003"/>
      <c r="I1625" s="1003"/>
      <c r="J1625" s="1003"/>
      <c r="K1625" s="1003">
        <f t="shared" si="25"/>
        <v>22</v>
      </c>
      <c r="L1625" s="1004"/>
      <c r="M1625" s="1003"/>
      <c r="N1625" s="1003">
        <v>12</v>
      </c>
      <c r="O1625" s="1005">
        <v>32</v>
      </c>
    </row>
    <row r="1626" spans="1:15" collapsed="1" x14ac:dyDescent="0.2">
      <c r="A1626"/>
      <c r="B1626" s="1002">
        <v>119</v>
      </c>
      <c r="C1626" s="1003"/>
      <c r="D1626" s="1003"/>
      <c r="E1626" s="1003">
        <v>7</v>
      </c>
      <c r="F1626" s="1003">
        <v>14</v>
      </c>
      <c r="G1626" s="1003"/>
      <c r="H1626" s="1003"/>
      <c r="I1626" s="1003"/>
      <c r="J1626" s="1003"/>
      <c r="K1626" s="1003">
        <f t="shared" si="25"/>
        <v>21</v>
      </c>
      <c r="L1626" s="1004"/>
      <c r="M1626" s="1003"/>
      <c r="N1626" s="1003">
        <v>10</v>
      </c>
      <c r="O1626" s="1005">
        <v>32</v>
      </c>
    </row>
    <row r="1627" spans="1:15" collapsed="1" x14ac:dyDescent="0.2">
      <c r="A1627"/>
      <c r="B1627" s="1002">
        <v>119</v>
      </c>
      <c r="C1627" s="1003"/>
      <c r="D1627" s="1003"/>
      <c r="E1627" s="1003">
        <v>1</v>
      </c>
      <c r="F1627" s="1003">
        <v>19</v>
      </c>
      <c r="G1627" s="1003"/>
      <c r="H1627" s="1003"/>
      <c r="I1627" s="1003"/>
      <c r="J1627" s="1003"/>
      <c r="K1627" s="1003">
        <f t="shared" si="25"/>
        <v>20</v>
      </c>
      <c r="L1627" s="1004"/>
      <c r="M1627" s="1003"/>
      <c r="N1627" s="1003">
        <v>8</v>
      </c>
      <c r="O1627" s="1005">
        <v>32</v>
      </c>
    </row>
    <row r="1628" spans="1:15" collapsed="1" x14ac:dyDescent="0.2">
      <c r="A1628"/>
      <c r="B1628" s="1002">
        <v>119</v>
      </c>
      <c r="C1628" s="1003"/>
      <c r="D1628" s="1003"/>
      <c r="E1628" s="1003"/>
      <c r="F1628" s="1003">
        <v>14</v>
      </c>
      <c r="G1628" s="1003">
        <v>5</v>
      </c>
      <c r="H1628" s="1003"/>
      <c r="I1628" s="1003"/>
      <c r="J1628" s="1003"/>
      <c r="K1628" s="1003">
        <f t="shared" si="25"/>
        <v>19</v>
      </c>
      <c r="L1628" s="1004"/>
      <c r="M1628" s="1003"/>
      <c r="N1628" s="1003">
        <v>6</v>
      </c>
      <c r="O1628" s="1005">
        <v>32</v>
      </c>
    </row>
    <row r="1629" spans="1:15" collapsed="1" x14ac:dyDescent="0.2">
      <c r="A1629"/>
      <c r="B1629" s="1002">
        <v>119</v>
      </c>
      <c r="C1629" s="1003"/>
      <c r="D1629" s="1003"/>
      <c r="E1629" s="1003"/>
      <c r="F1629" s="1003">
        <v>7</v>
      </c>
      <c r="G1629" s="1003">
        <v>11</v>
      </c>
      <c r="H1629" s="1003"/>
      <c r="I1629" s="1003"/>
      <c r="J1629" s="1003"/>
      <c r="K1629" s="1003">
        <f t="shared" si="25"/>
        <v>18</v>
      </c>
      <c r="L1629" s="1004"/>
      <c r="M1629" s="1003"/>
      <c r="N1629" s="1003">
        <v>4</v>
      </c>
      <c r="O1629" s="1005">
        <v>32</v>
      </c>
    </row>
    <row r="1630" spans="1:15" collapsed="1" x14ac:dyDescent="0.2">
      <c r="A1630"/>
      <c r="B1630" s="1002">
        <v>119</v>
      </c>
      <c r="C1630" s="1003"/>
      <c r="D1630" s="1003"/>
      <c r="E1630" s="1003"/>
      <c r="F1630" s="1003"/>
      <c r="G1630" s="1003">
        <v>17</v>
      </c>
      <c r="H1630" s="1003"/>
      <c r="I1630" s="1003"/>
      <c r="J1630" s="1003"/>
      <c r="K1630" s="1003">
        <f t="shared" si="25"/>
        <v>17</v>
      </c>
      <c r="L1630" s="1004"/>
      <c r="M1630" s="1003"/>
      <c r="N1630" s="1003">
        <v>2</v>
      </c>
      <c r="O1630" s="1005">
        <v>32</v>
      </c>
    </row>
    <row r="1631" spans="1:15" collapsed="1" x14ac:dyDescent="0.2">
      <c r="A1631"/>
      <c r="B1631" s="1002">
        <v>119</v>
      </c>
      <c r="C1631" s="1003"/>
      <c r="D1631" s="1003"/>
      <c r="E1631" s="1003"/>
      <c r="F1631" s="1003"/>
      <c r="G1631" s="1003">
        <v>9</v>
      </c>
      <c r="H1631" s="1003">
        <v>7</v>
      </c>
      <c r="I1631" s="1003"/>
      <c r="J1631" s="1003"/>
      <c r="K1631" s="1003">
        <f t="shared" si="25"/>
        <v>16</v>
      </c>
      <c r="L1631" s="1004"/>
      <c r="M1631" s="1003"/>
      <c r="N1631" s="1003"/>
      <c r="O1631" s="1005">
        <v>32</v>
      </c>
    </row>
    <row r="1632" spans="1:15" collapsed="1" x14ac:dyDescent="0.2">
      <c r="A1632"/>
      <c r="B1632" s="1002">
        <v>119</v>
      </c>
      <c r="C1632" s="1003"/>
      <c r="D1632" s="1003"/>
      <c r="E1632" s="1003"/>
      <c r="F1632" s="1003"/>
      <c r="G1632" s="1003">
        <v>2</v>
      </c>
      <c r="H1632" s="1003">
        <v>13</v>
      </c>
      <c r="I1632" s="1003"/>
      <c r="J1632" s="1003"/>
      <c r="K1632" s="1003">
        <f t="shared" si="25"/>
        <v>15</v>
      </c>
      <c r="L1632" s="1004"/>
      <c r="M1632" s="1003"/>
      <c r="N1632" s="1003">
        <v>14</v>
      </c>
      <c r="O1632" s="1005">
        <v>16</v>
      </c>
    </row>
    <row r="1633" spans="1:15" x14ac:dyDescent="0.2">
      <c r="A1633"/>
      <c r="B1633" s="1002">
        <v>119</v>
      </c>
      <c r="C1633" s="1003"/>
      <c r="D1633" s="1003"/>
      <c r="E1633" s="1003"/>
      <c r="F1633" s="1003"/>
      <c r="G1633" s="1003"/>
      <c r="H1633" s="1003">
        <v>7</v>
      </c>
      <c r="I1633" s="1003">
        <v>7</v>
      </c>
      <c r="J1633" s="1003"/>
      <c r="K1633" s="1003">
        <f t="shared" si="25"/>
        <v>14</v>
      </c>
      <c r="L1633" s="1004"/>
      <c r="M1633" s="1003"/>
      <c r="N1633" s="1003">
        <v>12</v>
      </c>
      <c r="O1633" s="1005">
        <v>16</v>
      </c>
    </row>
    <row r="1634" spans="1:15" collapsed="1" x14ac:dyDescent="0.2">
      <c r="A1634"/>
      <c r="B1634" s="1002">
        <v>119</v>
      </c>
      <c r="C1634" s="1003"/>
      <c r="D1634" s="1003"/>
      <c r="E1634" s="1003"/>
      <c r="F1634" s="1003"/>
      <c r="G1634" s="1003"/>
      <c r="H1634" s="1003"/>
      <c r="I1634" s="1003">
        <v>11</v>
      </c>
      <c r="J1634" s="1003">
        <v>2</v>
      </c>
      <c r="K1634" s="1003">
        <f t="shared" si="25"/>
        <v>13</v>
      </c>
      <c r="L1634" s="1004"/>
      <c r="M1634" s="1003"/>
      <c r="N1634" s="1003">
        <v>10</v>
      </c>
      <c r="O1634" s="1005">
        <v>16</v>
      </c>
    </row>
    <row r="1635" spans="1:15" collapsed="1" x14ac:dyDescent="0.2">
      <c r="A1635"/>
      <c r="B1635" s="1002">
        <v>119</v>
      </c>
      <c r="C1635" s="1003"/>
      <c r="D1635" s="1003"/>
      <c r="E1635" s="1003"/>
      <c r="F1635" s="1003"/>
      <c r="G1635" s="1003"/>
      <c r="H1635" s="1003"/>
      <c r="I1635" s="1003">
        <v>1</v>
      </c>
      <c r="J1635" s="1003">
        <v>11</v>
      </c>
      <c r="K1635" s="1003">
        <f t="shared" si="25"/>
        <v>12</v>
      </c>
      <c r="L1635" s="1004"/>
      <c r="M1635" s="1003"/>
      <c r="N1635" s="1003">
        <v>8</v>
      </c>
      <c r="O1635" s="1005">
        <v>16</v>
      </c>
    </row>
    <row r="1636" spans="1:15" collapsed="1" x14ac:dyDescent="0.2">
      <c r="A1636"/>
      <c r="B1636" s="1002">
        <v>120</v>
      </c>
      <c r="C1636" s="1003">
        <v>32</v>
      </c>
      <c r="D1636" s="1003"/>
      <c r="E1636" s="1003"/>
      <c r="F1636" s="1003"/>
      <c r="G1636" s="1003"/>
      <c r="H1636" s="1003"/>
      <c r="I1636" s="1003"/>
      <c r="J1636" s="1003"/>
      <c r="K1636" s="1003">
        <f t="shared" si="25"/>
        <v>32</v>
      </c>
      <c r="L1636" s="1004"/>
      <c r="M1636" s="1003">
        <v>24</v>
      </c>
      <c r="N1636" s="1003">
        <v>24</v>
      </c>
      <c r="O1636" s="1005">
        <v>64</v>
      </c>
    </row>
    <row r="1637" spans="1:15" collapsed="1" x14ac:dyDescent="0.2">
      <c r="A1637"/>
      <c r="B1637" s="1002">
        <v>120</v>
      </c>
      <c r="C1637" s="1003">
        <v>8</v>
      </c>
      <c r="D1637" s="1003">
        <v>24</v>
      </c>
      <c r="E1637" s="1003"/>
      <c r="F1637" s="1003"/>
      <c r="G1637" s="1003"/>
      <c r="H1637" s="1003"/>
      <c r="I1637" s="1003"/>
      <c r="J1637" s="1003"/>
      <c r="K1637" s="1003">
        <f t="shared" si="25"/>
        <v>32</v>
      </c>
      <c r="L1637" s="1004"/>
      <c r="M1637" s="1003"/>
      <c r="N1637" s="1003"/>
      <c r="O1637" s="1005">
        <v>64</v>
      </c>
    </row>
    <row r="1638" spans="1:15" collapsed="1" x14ac:dyDescent="0.2">
      <c r="A1638"/>
      <c r="B1638" s="1002">
        <v>120</v>
      </c>
      <c r="C1638" s="1003">
        <v>4</v>
      </c>
      <c r="D1638" s="1003">
        <v>27</v>
      </c>
      <c r="E1638" s="1003"/>
      <c r="F1638" s="1003"/>
      <c r="G1638" s="1003"/>
      <c r="H1638" s="1003"/>
      <c r="I1638" s="1003"/>
      <c r="J1638" s="1003"/>
      <c r="K1638" s="1003">
        <f t="shared" si="25"/>
        <v>31</v>
      </c>
      <c r="L1638" s="1004"/>
      <c r="M1638" s="1003"/>
      <c r="N1638" s="1003">
        <v>30</v>
      </c>
      <c r="O1638" s="1005">
        <v>32</v>
      </c>
    </row>
    <row r="1639" spans="1:15" collapsed="1" x14ac:dyDescent="0.2">
      <c r="A1639"/>
      <c r="B1639" s="1002">
        <v>120</v>
      </c>
      <c r="C1639" s="1003"/>
      <c r="D1639" s="1003">
        <v>30</v>
      </c>
      <c r="E1639" s="1003"/>
      <c r="F1639" s="1003"/>
      <c r="G1639" s="1003"/>
      <c r="H1639" s="1003"/>
      <c r="I1639" s="1003"/>
      <c r="J1639" s="1003"/>
      <c r="K1639" s="1003">
        <f t="shared" si="25"/>
        <v>30</v>
      </c>
      <c r="L1639" s="1004"/>
      <c r="M1639" s="1003"/>
      <c r="N1639" s="1003">
        <v>28</v>
      </c>
      <c r="O1639" s="1005">
        <v>32</v>
      </c>
    </row>
    <row r="1640" spans="1:15" collapsed="1" x14ac:dyDescent="0.2">
      <c r="A1640"/>
      <c r="B1640" s="1002">
        <v>120</v>
      </c>
      <c r="C1640" s="1003"/>
      <c r="D1640" s="1003">
        <v>25</v>
      </c>
      <c r="E1640" s="1003">
        <v>4</v>
      </c>
      <c r="F1640" s="1003"/>
      <c r="G1640" s="1003"/>
      <c r="H1640" s="1003"/>
      <c r="I1640" s="1003"/>
      <c r="J1640" s="1003"/>
      <c r="K1640" s="1003">
        <f t="shared" si="25"/>
        <v>29</v>
      </c>
      <c r="L1640" s="1004"/>
      <c r="M1640" s="1003"/>
      <c r="N1640" s="1003">
        <v>26</v>
      </c>
      <c r="O1640" s="1005">
        <v>32</v>
      </c>
    </row>
    <row r="1641" spans="1:15" collapsed="1" x14ac:dyDescent="0.2">
      <c r="A1641"/>
      <c r="B1641" s="1002">
        <v>120</v>
      </c>
      <c r="C1641" s="1003"/>
      <c r="D1641" s="1003">
        <v>20</v>
      </c>
      <c r="E1641" s="1003">
        <v>8</v>
      </c>
      <c r="F1641" s="1003"/>
      <c r="G1641" s="1003"/>
      <c r="H1641" s="1003"/>
      <c r="I1641" s="1003"/>
      <c r="J1641" s="1003"/>
      <c r="K1641" s="1003">
        <f t="shared" si="25"/>
        <v>28</v>
      </c>
      <c r="L1641" s="1004"/>
      <c r="M1641" s="1003"/>
      <c r="N1641" s="1003">
        <v>24</v>
      </c>
      <c r="O1641" s="1005">
        <v>32</v>
      </c>
    </row>
    <row r="1642" spans="1:15" collapsed="1" x14ac:dyDescent="0.2">
      <c r="A1642"/>
      <c r="B1642" s="1002">
        <v>120</v>
      </c>
      <c r="C1642" s="1003"/>
      <c r="D1642" s="1003">
        <v>15</v>
      </c>
      <c r="E1642" s="1003">
        <v>12</v>
      </c>
      <c r="F1642" s="1003"/>
      <c r="G1642" s="1003"/>
      <c r="H1642" s="1003"/>
      <c r="I1642" s="1003"/>
      <c r="J1642" s="1003"/>
      <c r="K1642" s="1003">
        <f t="shared" si="25"/>
        <v>27</v>
      </c>
      <c r="L1642" s="1004"/>
      <c r="M1642" s="1003"/>
      <c r="N1642" s="1003">
        <v>22</v>
      </c>
      <c r="O1642" s="1005">
        <v>32</v>
      </c>
    </row>
    <row r="1643" spans="1:15" collapsed="1" x14ac:dyDescent="0.2">
      <c r="A1643"/>
      <c r="B1643" s="1002">
        <v>120</v>
      </c>
      <c r="C1643" s="1003"/>
      <c r="D1643" s="1003">
        <v>10</v>
      </c>
      <c r="E1643" s="1003">
        <v>16</v>
      </c>
      <c r="F1643" s="1003"/>
      <c r="G1643" s="1003"/>
      <c r="H1643" s="1003"/>
      <c r="I1643" s="1003"/>
      <c r="J1643" s="1003"/>
      <c r="K1643" s="1003">
        <f t="shared" si="25"/>
        <v>26</v>
      </c>
      <c r="L1643" s="1004"/>
      <c r="M1643" s="1003"/>
      <c r="N1643" s="1003">
        <v>20</v>
      </c>
      <c r="O1643" s="1005">
        <v>32</v>
      </c>
    </row>
    <row r="1644" spans="1:15" collapsed="1" x14ac:dyDescent="0.2">
      <c r="A1644"/>
      <c r="B1644" s="1002">
        <v>120</v>
      </c>
      <c r="C1644" s="1003"/>
      <c r="D1644" s="1003">
        <v>5</v>
      </c>
      <c r="E1644" s="1003">
        <v>20</v>
      </c>
      <c r="F1644" s="1003"/>
      <c r="G1644" s="1003"/>
      <c r="H1644" s="1003"/>
      <c r="I1644" s="1003"/>
      <c r="J1644" s="1003"/>
      <c r="K1644" s="1003">
        <f t="shared" si="25"/>
        <v>25</v>
      </c>
      <c r="L1644" s="1004"/>
      <c r="M1644" s="1003"/>
      <c r="N1644" s="1003">
        <v>18</v>
      </c>
      <c r="O1644" s="1005">
        <v>32</v>
      </c>
    </row>
    <row r="1645" spans="1:15" collapsed="1" x14ac:dyDescent="0.2">
      <c r="A1645"/>
      <c r="B1645" s="1002">
        <v>120</v>
      </c>
      <c r="C1645" s="1003"/>
      <c r="D1645" s="1003"/>
      <c r="E1645" s="1003">
        <v>24</v>
      </c>
      <c r="F1645" s="1003"/>
      <c r="G1645" s="1003"/>
      <c r="H1645" s="1003"/>
      <c r="I1645" s="1003"/>
      <c r="J1645" s="1003"/>
      <c r="K1645" s="1003">
        <f t="shared" si="25"/>
        <v>24</v>
      </c>
      <c r="L1645" s="1004"/>
      <c r="M1645" s="1003"/>
      <c r="N1645" s="1003">
        <v>16</v>
      </c>
      <c r="O1645" s="1005">
        <v>32</v>
      </c>
    </row>
    <row r="1646" spans="1:15" collapsed="1" x14ac:dyDescent="0.2">
      <c r="A1646"/>
      <c r="B1646" s="1002">
        <v>120</v>
      </c>
      <c r="C1646" s="1003"/>
      <c r="D1646" s="1003"/>
      <c r="E1646" s="1003">
        <v>18</v>
      </c>
      <c r="F1646" s="1003">
        <v>5</v>
      </c>
      <c r="G1646" s="1003"/>
      <c r="H1646" s="1003"/>
      <c r="I1646" s="1003"/>
      <c r="J1646" s="1003"/>
      <c r="K1646" s="1003">
        <f t="shared" si="25"/>
        <v>23</v>
      </c>
      <c r="L1646" s="1004"/>
      <c r="M1646" s="1003"/>
      <c r="N1646" s="1003">
        <v>14</v>
      </c>
      <c r="O1646" s="1005">
        <v>32</v>
      </c>
    </row>
    <row r="1647" spans="1:15" collapsed="1" x14ac:dyDescent="0.2">
      <c r="A1647"/>
      <c r="B1647" s="1002">
        <v>120</v>
      </c>
      <c r="C1647" s="1003"/>
      <c r="D1647" s="1003"/>
      <c r="E1647" s="1003">
        <v>12</v>
      </c>
      <c r="F1647" s="1003">
        <v>10</v>
      </c>
      <c r="G1647" s="1003"/>
      <c r="H1647" s="1003"/>
      <c r="I1647" s="1003"/>
      <c r="J1647" s="1003"/>
      <c r="K1647" s="1003">
        <f t="shared" si="25"/>
        <v>22</v>
      </c>
      <c r="L1647" s="1004"/>
      <c r="M1647" s="1003"/>
      <c r="N1647" s="1003">
        <v>12</v>
      </c>
      <c r="O1647" s="1005">
        <v>32</v>
      </c>
    </row>
    <row r="1648" spans="1:15" collapsed="1" x14ac:dyDescent="0.2">
      <c r="A1648"/>
      <c r="B1648" s="1002">
        <v>120</v>
      </c>
      <c r="C1648" s="1003"/>
      <c r="D1648" s="1003"/>
      <c r="E1648" s="1003">
        <v>6</v>
      </c>
      <c r="F1648" s="1003">
        <v>15</v>
      </c>
      <c r="G1648" s="1003"/>
      <c r="H1648" s="1003"/>
      <c r="I1648" s="1003"/>
      <c r="J1648" s="1003"/>
      <c r="K1648" s="1003">
        <f t="shared" si="25"/>
        <v>21</v>
      </c>
      <c r="L1648" s="1004"/>
      <c r="M1648" s="1003"/>
      <c r="N1648" s="1003">
        <v>10</v>
      </c>
      <c r="O1648" s="1005">
        <v>32</v>
      </c>
    </row>
    <row r="1649" spans="1:15" collapsed="1" x14ac:dyDescent="0.2">
      <c r="A1649"/>
      <c r="B1649" s="1002">
        <v>120</v>
      </c>
      <c r="C1649" s="1003"/>
      <c r="D1649" s="1003"/>
      <c r="E1649" s="1003"/>
      <c r="F1649" s="1003">
        <v>20</v>
      </c>
      <c r="G1649" s="1003"/>
      <c r="H1649" s="1003"/>
      <c r="I1649" s="1003"/>
      <c r="J1649" s="1003"/>
      <c r="K1649" s="1003">
        <f t="shared" si="25"/>
        <v>20</v>
      </c>
      <c r="L1649" s="1004"/>
      <c r="M1649" s="1003"/>
      <c r="N1649" s="1003">
        <v>8</v>
      </c>
      <c r="O1649" s="1005">
        <v>32</v>
      </c>
    </row>
    <row r="1650" spans="1:15" collapsed="1" x14ac:dyDescent="0.2">
      <c r="A1650"/>
      <c r="B1650" s="1002">
        <v>120</v>
      </c>
      <c r="C1650" s="1003"/>
      <c r="D1650" s="1003"/>
      <c r="E1650" s="1003"/>
      <c r="F1650" s="1003">
        <v>13</v>
      </c>
      <c r="G1650" s="1003">
        <v>6</v>
      </c>
      <c r="H1650" s="1003"/>
      <c r="I1650" s="1003"/>
      <c r="J1650" s="1003"/>
      <c r="K1650" s="1003">
        <f t="shared" si="25"/>
        <v>19</v>
      </c>
      <c r="L1650" s="1004"/>
      <c r="M1650" s="1003"/>
      <c r="N1650" s="1003">
        <v>6</v>
      </c>
      <c r="O1650" s="1005">
        <v>32</v>
      </c>
    </row>
    <row r="1651" spans="1:15" collapsed="1" x14ac:dyDescent="0.2">
      <c r="A1651"/>
      <c r="B1651" s="1002">
        <v>120</v>
      </c>
      <c r="C1651" s="1003"/>
      <c r="D1651" s="1003"/>
      <c r="E1651" s="1003"/>
      <c r="F1651" s="1003">
        <v>6</v>
      </c>
      <c r="G1651" s="1003">
        <v>12</v>
      </c>
      <c r="H1651" s="1003"/>
      <c r="I1651" s="1003"/>
      <c r="J1651" s="1003"/>
      <c r="K1651" s="1003">
        <f t="shared" si="25"/>
        <v>18</v>
      </c>
      <c r="L1651" s="1004"/>
      <c r="M1651" s="1003"/>
      <c r="N1651" s="1003">
        <v>4</v>
      </c>
      <c r="O1651" s="1005">
        <v>32</v>
      </c>
    </row>
    <row r="1652" spans="1:15" collapsed="1" x14ac:dyDescent="0.2">
      <c r="A1652"/>
      <c r="B1652" s="1002">
        <v>120</v>
      </c>
      <c r="C1652" s="1003"/>
      <c r="D1652" s="1003"/>
      <c r="E1652" s="1003"/>
      <c r="F1652" s="1003"/>
      <c r="G1652" s="1003">
        <v>16</v>
      </c>
      <c r="H1652" s="1003">
        <v>1</v>
      </c>
      <c r="I1652" s="1003"/>
      <c r="J1652" s="1003"/>
      <c r="K1652" s="1003">
        <f t="shared" si="25"/>
        <v>17</v>
      </c>
      <c r="L1652" s="1004"/>
      <c r="M1652" s="1003"/>
      <c r="N1652" s="1003">
        <v>2</v>
      </c>
      <c r="O1652" s="1005">
        <v>32</v>
      </c>
    </row>
    <row r="1653" spans="1:15" collapsed="1" x14ac:dyDescent="0.2">
      <c r="A1653"/>
      <c r="B1653" s="1002">
        <v>120</v>
      </c>
      <c r="C1653" s="1003"/>
      <c r="D1653" s="1003"/>
      <c r="E1653" s="1003"/>
      <c r="F1653" s="1003"/>
      <c r="G1653" s="1003">
        <v>8</v>
      </c>
      <c r="H1653" s="1003">
        <v>8</v>
      </c>
      <c r="I1653" s="1003"/>
      <c r="J1653" s="1003"/>
      <c r="K1653" s="1003">
        <f t="shared" si="25"/>
        <v>16</v>
      </c>
      <c r="L1653" s="1004"/>
      <c r="M1653" s="1003"/>
      <c r="N1653" s="1003"/>
      <c r="O1653" s="1005">
        <v>32</v>
      </c>
    </row>
    <row r="1654" spans="1:15" collapsed="1" x14ac:dyDescent="0.2">
      <c r="A1654"/>
      <c r="B1654" s="1002">
        <v>120</v>
      </c>
      <c r="C1654" s="1003"/>
      <c r="D1654" s="1003"/>
      <c r="E1654" s="1003"/>
      <c r="F1654" s="1003"/>
      <c r="G1654" s="1003">
        <v>1</v>
      </c>
      <c r="H1654" s="1003">
        <v>14</v>
      </c>
      <c r="I1654" s="1003"/>
      <c r="J1654" s="1003"/>
      <c r="K1654" s="1003">
        <f t="shared" si="25"/>
        <v>15</v>
      </c>
      <c r="L1654" s="1004"/>
      <c r="M1654" s="1003"/>
      <c r="N1654" s="1003">
        <v>14</v>
      </c>
      <c r="O1654" s="1005">
        <v>16</v>
      </c>
    </row>
    <row r="1655" spans="1:15" x14ac:dyDescent="0.2">
      <c r="A1655"/>
      <c r="B1655" s="1002">
        <v>120</v>
      </c>
      <c r="C1655" s="1003"/>
      <c r="D1655" s="1003"/>
      <c r="E1655" s="1003"/>
      <c r="F1655" s="1003"/>
      <c r="G1655" s="1003"/>
      <c r="H1655" s="1003">
        <v>6</v>
      </c>
      <c r="I1655" s="1003">
        <v>8</v>
      </c>
      <c r="J1655" s="1003"/>
      <c r="K1655" s="1003">
        <f t="shared" si="25"/>
        <v>14</v>
      </c>
      <c r="L1655" s="1004"/>
      <c r="M1655" s="1003"/>
      <c r="N1655" s="1003">
        <v>12</v>
      </c>
      <c r="O1655" s="1005">
        <v>16</v>
      </c>
    </row>
    <row r="1656" spans="1:15" collapsed="1" x14ac:dyDescent="0.2">
      <c r="A1656"/>
      <c r="B1656" s="1002">
        <v>120</v>
      </c>
      <c r="C1656" s="1003"/>
      <c r="D1656" s="1003"/>
      <c r="E1656" s="1003"/>
      <c r="F1656" s="1003"/>
      <c r="G1656" s="1003"/>
      <c r="H1656" s="1003"/>
      <c r="I1656" s="1003">
        <v>10</v>
      </c>
      <c r="J1656" s="1003">
        <v>3</v>
      </c>
      <c r="K1656" s="1003">
        <f t="shared" si="25"/>
        <v>13</v>
      </c>
      <c r="L1656" s="1004"/>
      <c r="M1656" s="1003"/>
      <c r="N1656" s="1003">
        <v>10</v>
      </c>
      <c r="O1656" s="1005">
        <v>16</v>
      </c>
    </row>
    <row r="1657" spans="1:15" collapsed="1" x14ac:dyDescent="0.2">
      <c r="A1657"/>
      <c r="B1657" s="1002">
        <v>120</v>
      </c>
      <c r="C1657" s="1003"/>
      <c r="D1657" s="1003"/>
      <c r="E1657" s="1003"/>
      <c r="F1657" s="1003"/>
      <c r="G1657" s="1003"/>
      <c r="H1657" s="1003"/>
      <c r="I1657" s="1003"/>
      <c r="J1657" s="1003">
        <v>12</v>
      </c>
      <c r="K1657" s="1003">
        <f t="shared" si="25"/>
        <v>12</v>
      </c>
      <c r="L1657" s="1004"/>
      <c r="M1657" s="1003"/>
      <c r="N1657" s="1003">
        <v>8</v>
      </c>
      <c r="O1657" s="1005">
        <v>16</v>
      </c>
    </row>
    <row r="1658" spans="1:15" collapsed="1" x14ac:dyDescent="0.2">
      <c r="A1658"/>
      <c r="B1658" s="1002">
        <v>121</v>
      </c>
      <c r="C1658" s="1003">
        <v>32</v>
      </c>
      <c r="D1658" s="1003"/>
      <c r="E1658" s="1003"/>
      <c r="F1658" s="1003"/>
      <c r="G1658" s="1003"/>
      <c r="H1658" s="1003"/>
      <c r="I1658" s="1003"/>
      <c r="J1658" s="1003"/>
      <c r="K1658" s="1003">
        <f t="shared" si="25"/>
        <v>32</v>
      </c>
      <c r="L1658" s="1004"/>
      <c r="M1658" s="1003">
        <v>25</v>
      </c>
      <c r="N1658" s="1003">
        <v>25</v>
      </c>
      <c r="O1658" s="1005">
        <v>64</v>
      </c>
    </row>
    <row r="1659" spans="1:15" collapsed="1" x14ac:dyDescent="0.2">
      <c r="A1659"/>
      <c r="B1659" s="1002">
        <v>121</v>
      </c>
      <c r="C1659" s="1003">
        <v>7</v>
      </c>
      <c r="D1659" s="1003">
        <v>25</v>
      </c>
      <c r="E1659" s="1003"/>
      <c r="F1659" s="1003"/>
      <c r="G1659" s="1003"/>
      <c r="H1659" s="1003"/>
      <c r="I1659" s="1003"/>
      <c r="J1659" s="1003"/>
      <c r="K1659" s="1003">
        <f t="shared" si="25"/>
        <v>32</v>
      </c>
      <c r="L1659" s="1004"/>
      <c r="M1659" s="1003"/>
      <c r="N1659" s="1003"/>
      <c r="O1659" s="1005">
        <v>64</v>
      </c>
    </row>
    <row r="1660" spans="1:15" collapsed="1" x14ac:dyDescent="0.2">
      <c r="A1660"/>
      <c r="B1660" s="1002">
        <v>121</v>
      </c>
      <c r="C1660" s="1003">
        <v>3</v>
      </c>
      <c r="D1660" s="1003">
        <v>28</v>
      </c>
      <c r="E1660" s="1003"/>
      <c r="F1660" s="1003"/>
      <c r="G1660" s="1003"/>
      <c r="H1660" s="1003"/>
      <c r="I1660" s="1003"/>
      <c r="J1660" s="1003"/>
      <c r="K1660" s="1003">
        <f t="shared" si="25"/>
        <v>31</v>
      </c>
      <c r="L1660" s="1004"/>
      <c r="M1660" s="1003"/>
      <c r="N1660" s="1003">
        <v>30</v>
      </c>
      <c r="O1660" s="1005">
        <v>32</v>
      </c>
    </row>
    <row r="1661" spans="1:15" collapsed="1" x14ac:dyDescent="0.2">
      <c r="A1661"/>
      <c r="B1661" s="1002">
        <v>121</v>
      </c>
      <c r="C1661" s="1003"/>
      <c r="D1661" s="1003">
        <v>29</v>
      </c>
      <c r="E1661" s="1003">
        <v>1</v>
      </c>
      <c r="F1661" s="1003"/>
      <c r="G1661" s="1003"/>
      <c r="H1661" s="1003"/>
      <c r="I1661" s="1003"/>
      <c r="J1661" s="1003"/>
      <c r="K1661" s="1003">
        <f t="shared" si="25"/>
        <v>30</v>
      </c>
      <c r="L1661" s="1004"/>
      <c r="M1661" s="1003"/>
      <c r="N1661" s="1003">
        <v>28</v>
      </c>
      <c r="O1661" s="1005">
        <v>32</v>
      </c>
    </row>
    <row r="1662" spans="1:15" collapsed="1" x14ac:dyDescent="0.2">
      <c r="A1662"/>
      <c r="B1662" s="1002">
        <v>121</v>
      </c>
      <c r="C1662" s="1003"/>
      <c r="D1662" s="1003">
        <v>24</v>
      </c>
      <c r="E1662" s="1003">
        <v>5</v>
      </c>
      <c r="F1662" s="1003"/>
      <c r="G1662" s="1003"/>
      <c r="H1662" s="1003"/>
      <c r="I1662" s="1003"/>
      <c r="J1662" s="1003"/>
      <c r="K1662" s="1003">
        <f t="shared" si="25"/>
        <v>29</v>
      </c>
      <c r="L1662" s="1004"/>
      <c r="M1662" s="1003"/>
      <c r="N1662" s="1003">
        <v>26</v>
      </c>
      <c r="O1662" s="1005">
        <v>32</v>
      </c>
    </row>
    <row r="1663" spans="1:15" collapsed="1" x14ac:dyDescent="0.2">
      <c r="A1663"/>
      <c r="B1663" s="1002">
        <v>121</v>
      </c>
      <c r="C1663" s="1003"/>
      <c r="D1663" s="1003">
        <v>19</v>
      </c>
      <c r="E1663" s="1003">
        <v>9</v>
      </c>
      <c r="F1663" s="1003"/>
      <c r="G1663" s="1003"/>
      <c r="H1663" s="1003"/>
      <c r="I1663" s="1003"/>
      <c r="J1663" s="1003"/>
      <c r="K1663" s="1003">
        <f t="shared" si="25"/>
        <v>28</v>
      </c>
      <c r="L1663" s="1004"/>
      <c r="M1663" s="1003"/>
      <c r="N1663" s="1003">
        <v>24</v>
      </c>
      <c r="O1663" s="1005">
        <v>32</v>
      </c>
    </row>
    <row r="1664" spans="1:15" collapsed="1" x14ac:dyDescent="0.2">
      <c r="A1664"/>
      <c r="B1664" s="1002">
        <v>121</v>
      </c>
      <c r="C1664" s="1003"/>
      <c r="D1664" s="1003">
        <v>14</v>
      </c>
      <c r="E1664" s="1003">
        <v>13</v>
      </c>
      <c r="F1664" s="1003"/>
      <c r="G1664" s="1003"/>
      <c r="H1664" s="1003"/>
      <c r="I1664" s="1003"/>
      <c r="J1664" s="1003"/>
      <c r="K1664" s="1003">
        <f t="shared" si="25"/>
        <v>27</v>
      </c>
      <c r="L1664" s="1004"/>
      <c r="M1664" s="1003"/>
      <c r="N1664" s="1003">
        <v>22</v>
      </c>
      <c r="O1664" s="1005">
        <v>32</v>
      </c>
    </row>
    <row r="1665" spans="1:15" collapsed="1" x14ac:dyDescent="0.2">
      <c r="A1665"/>
      <c r="B1665" s="1002">
        <v>121</v>
      </c>
      <c r="C1665" s="1003"/>
      <c r="D1665" s="1003">
        <v>9</v>
      </c>
      <c r="E1665" s="1003">
        <v>17</v>
      </c>
      <c r="F1665" s="1003"/>
      <c r="G1665" s="1003"/>
      <c r="H1665" s="1003"/>
      <c r="I1665" s="1003"/>
      <c r="J1665" s="1003"/>
      <c r="K1665" s="1003">
        <f t="shared" si="25"/>
        <v>26</v>
      </c>
      <c r="L1665" s="1004"/>
      <c r="M1665" s="1003"/>
      <c r="N1665" s="1003">
        <v>20</v>
      </c>
      <c r="O1665" s="1005">
        <v>32</v>
      </c>
    </row>
    <row r="1666" spans="1:15" collapsed="1" x14ac:dyDescent="0.2">
      <c r="A1666"/>
      <c r="B1666" s="1002">
        <v>121</v>
      </c>
      <c r="C1666" s="1003"/>
      <c r="D1666" s="1003">
        <v>4</v>
      </c>
      <c r="E1666" s="1003">
        <v>21</v>
      </c>
      <c r="F1666" s="1003"/>
      <c r="G1666" s="1003"/>
      <c r="H1666" s="1003"/>
      <c r="I1666" s="1003"/>
      <c r="J1666" s="1003"/>
      <c r="K1666" s="1003">
        <f t="shared" si="25"/>
        <v>25</v>
      </c>
      <c r="L1666" s="1004"/>
      <c r="M1666" s="1003"/>
      <c r="N1666" s="1003">
        <v>18</v>
      </c>
      <c r="O1666" s="1005">
        <v>32</v>
      </c>
    </row>
    <row r="1667" spans="1:15" collapsed="1" x14ac:dyDescent="0.2">
      <c r="A1667"/>
      <c r="B1667" s="1002">
        <v>121</v>
      </c>
      <c r="C1667" s="1003"/>
      <c r="D1667" s="1003"/>
      <c r="E1667" s="1003">
        <v>23</v>
      </c>
      <c r="F1667" s="1003">
        <v>1</v>
      </c>
      <c r="G1667" s="1003"/>
      <c r="H1667" s="1003"/>
      <c r="I1667" s="1003"/>
      <c r="J1667" s="1003"/>
      <c r="K1667" s="1003">
        <f t="shared" si="25"/>
        <v>24</v>
      </c>
      <c r="L1667" s="1004"/>
      <c r="M1667" s="1003"/>
      <c r="N1667" s="1003">
        <v>16</v>
      </c>
      <c r="O1667" s="1005">
        <v>32</v>
      </c>
    </row>
    <row r="1668" spans="1:15" collapsed="1" x14ac:dyDescent="0.2">
      <c r="A1668"/>
      <c r="B1668" s="1002">
        <v>121</v>
      </c>
      <c r="C1668" s="1003"/>
      <c r="D1668" s="1003"/>
      <c r="E1668" s="1003">
        <v>17</v>
      </c>
      <c r="F1668" s="1003">
        <v>6</v>
      </c>
      <c r="G1668" s="1003"/>
      <c r="H1668" s="1003"/>
      <c r="I1668" s="1003"/>
      <c r="J1668" s="1003"/>
      <c r="K1668" s="1003">
        <f t="shared" si="25"/>
        <v>23</v>
      </c>
      <c r="L1668" s="1004"/>
      <c r="M1668" s="1003"/>
      <c r="N1668" s="1003">
        <v>14</v>
      </c>
      <c r="O1668" s="1005">
        <v>32</v>
      </c>
    </row>
    <row r="1669" spans="1:15" collapsed="1" x14ac:dyDescent="0.2">
      <c r="A1669"/>
      <c r="B1669" s="1002">
        <v>121</v>
      </c>
      <c r="C1669" s="1003"/>
      <c r="D1669" s="1003"/>
      <c r="E1669" s="1003">
        <v>11</v>
      </c>
      <c r="F1669" s="1003">
        <v>11</v>
      </c>
      <c r="G1669" s="1003"/>
      <c r="H1669" s="1003"/>
      <c r="I1669" s="1003"/>
      <c r="J1669" s="1003"/>
      <c r="K1669" s="1003">
        <f t="shared" si="25"/>
        <v>22</v>
      </c>
      <c r="L1669" s="1004"/>
      <c r="M1669" s="1003"/>
      <c r="N1669" s="1003">
        <v>12</v>
      </c>
      <c r="O1669" s="1005">
        <v>32</v>
      </c>
    </row>
    <row r="1670" spans="1:15" collapsed="1" x14ac:dyDescent="0.2">
      <c r="A1670"/>
      <c r="B1670" s="1002">
        <v>121</v>
      </c>
      <c r="C1670" s="1003"/>
      <c r="D1670" s="1003"/>
      <c r="E1670" s="1003">
        <v>5</v>
      </c>
      <c r="F1670" s="1003">
        <v>16</v>
      </c>
      <c r="G1670" s="1003"/>
      <c r="H1670" s="1003"/>
      <c r="I1670" s="1003"/>
      <c r="J1670" s="1003"/>
      <c r="K1670" s="1003">
        <f t="shared" ref="K1670:K1733" si="26">SUM(C1670:J1670)</f>
        <v>21</v>
      </c>
      <c r="L1670" s="1004"/>
      <c r="M1670" s="1003"/>
      <c r="N1670" s="1003">
        <v>10</v>
      </c>
      <c r="O1670" s="1005">
        <v>32</v>
      </c>
    </row>
    <row r="1671" spans="1:15" collapsed="1" x14ac:dyDescent="0.2">
      <c r="A1671"/>
      <c r="B1671" s="1002">
        <v>121</v>
      </c>
      <c r="C1671" s="1003"/>
      <c r="D1671" s="1003"/>
      <c r="E1671" s="1003"/>
      <c r="F1671" s="1003">
        <v>19</v>
      </c>
      <c r="G1671" s="1003">
        <v>1</v>
      </c>
      <c r="H1671" s="1003"/>
      <c r="I1671" s="1003"/>
      <c r="J1671" s="1003"/>
      <c r="K1671" s="1003">
        <f t="shared" si="26"/>
        <v>20</v>
      </c>
      <c r="L1671" s="1004"/>
      <c r="M1671" s="1003"/>
      <c r="N1671" s="1003">
        <v>8</v>
      </c>
      <c r="O1671" s="1005">
        <v>32</v>
      </c>
    </row>
    <row r="1672" spans="1:15" collapsed="1" x14ac:dyDescent="0.2">
      <c r="A1672"/>
      <c r="B1672" s="1002">
        <v>121</v>
      </c>
      <c r="C1672" s="1003"/>
      <c r="D1672" s="1003"/>
      <c r="E1672" s="1003"/>
      <c r="F1672" s="1003">
        <v>12</v>
      </c>
      <c r="G1672" s="1003">
        <v>7</v>
      </c>
      <c r="H1672" s="1003"/>
      <c r="I1672" s="1003"/>
      <c r="J1672" s="1003"/>
      <c r="K1672" s="1003">
        <f t="shared" si="26"/>
        <v>19</v>
      </c>
      <c r="L1672" s="1004"/>
      <c r="M1672" s="1003"/>
      <c r="N1672" s="1003">
        <v>6</v>
      </c>
      <c r="O1672" s="1005">
        <v>32</v>
      </c>
    </row>
    <row r="1673" spans="1:15" collapsed="1" x14ac:dyDescent="0.2">
      <c r="A1673"/>
      <c r="B1673" s="1002">
        <v>121</v>
      </c>
      <c r="C1673" s="1003"/>
      <c r="D1673" s="1003"/>
      <c r="E1673" s="1003"/>
      <c r="F1673" s="1003">
        <v>5</v>
      </c>
      <c r="G1673" s="1003">
        <v>13</v>
      </c>
      <c r="H1673" s="1003"/>
      <c r="I1673" s="1003"/>
      <c r="J1673" s="1003"/>
      <c r="K1673" s="1003">
        <f t="shared" si="26"/>
        <v>18</v>
      </c>
      <c r="L1673" s="1004"/>
      <c r="M1673" s="1003"/>
      <c r="N1673" s="1003">
        <v>4</v>
      </c>
      <c r="O1673" s="1005">
        <v>32</v>
      </c>
    </row>
    <row r="1674" spans="1:15" collapsed="1" x14ac:dyDescent="0.2">
      <c r="A1674"/>
      <c r="B1674" s="1002">
        <v>121</v>
      </c>
      <c r="C1674" s="1003"/>
      <c r="D1674" s="1003"/>
      <c r="E1674" s="1003"/>
      <c r="F1674" s="1003"/>
      <c r="G1674" s="1003">
        <v>15</v>
      </c>
      <c r="H1674" s="1003">
        <v>2</v>
      </c>
      <c r="I1674" s="1003"/>
      <c r="J1674" s="1003"/>
      <c r="K1674" s="1003">
        <f t="shared" si="26"/>
        <v>17</v>
      </c>
      <c r="L1674" s="1004"/>
      <c r="M1674" s="1003"/>
      <c r="N1674" s="1003">
        <v>2</v>
      </c>
      <c r="O1674" s="1005">
        <v>32</v>
      </c>
    </row>
    <row r="1675" spans="1:15" collapsed="1" x14ac:dyDescent="0.2">
      <c r="A1675"/>
      <c r="B1675" s="1002">
        <v>121</v>
      </c>
      <c r="C1675" s="1003"/>
      <c r="D1675" s="1003"/>
      <c r="E1675" s="1003"/>
      <c r="F1675" s="1003"/>
      <c r="G1675" s="1003">
        <v>7</v>
      </c>
      <c r="H1675" s="1003">
        <v>9</v>
      </c>
      <c r="I1675" s="1003"/>
      <c r="J1675" s="1003"/>
      <c r="K1675" s="1003">
        <f t="shared" si="26"/>
        <v>16</v>
      </c>
      <c r="L1675" s="1004"/>
      <c r="M1675" s="1003"/>
      <c r="N1675" s="1003"/>
      <c r="O1675" s="1005">
        <v>32</v>
      </c>
    </row>
    <row r="1676" spans="1:15" collapsed="1" x14ac:dyDescent="0.2">
      <c r="A1676"/>
      <c r="B1676" s="1002">
        <v>121</v>
      </c>
      <c r="C1676" s="1003"/>
      <c r="D1676" s="1003"/>
      <c r="E1676" s="1003"/>
      <c r="F1676" s="1003"/>
      <c r="G1676" s="1003"/>
      <c r="H1676" s="1003">
        <v>15</v>
      </c>
      <c r="I1676" s="1003"/>
      <c r="J1676" s="1003"/>
      <c r="K1676" s="1003">
        <f t="shared" si="26"/>
        <v>15</v>
      </c>
      <c r="L1676" s="1004"/>
      <c r="M1676" s="1003"/>
      <c r="N1676" s="1003">
        <v>14</v>
      </c>
      <c r="O1676" s="1005">
        <v>16</v>
      </c>
    </row>
    <row r="1677" spans="1:15" x14ac:dyDescent="0.2">
      <c r="A1677"/>
      <c r="B1677" s="1002">
        <v>121</v>
      </c>
      <c r="C1677" s="1003"/>
      <c r="D1677" s="1003"/>
      <c r="E1677" s="1003"/>
      <c r="F1677" s="1003"/>
      <c r="G1677" s="1003"/>
      <c r="H1677" s="1003">
        <v>5</v>
      </c>
      <c r="I1677" s="1003">
        <v>9</v>
      </c>
      <c r="J1677" s="1003"/>
      <c r="K1677" s="1003">
        <f t="shared" si="26"/>
        <v>14</v>
      </c>
      <c r="L1677" s="1004"/>
      <c r="M1677" s="1003"/>
      <c r="N1677" s="1003">
        <v>12</v>
      </c>
      <c r="O1677" s="1005">
        <v>16</v>
      </c>
    </row>
    <row r="1678" spans="1:15" collapsed="1" x14ac:dyDescent="0.2">
      <c r="A1678"/>
      <c r="B1678" s="1002">
        <v>121</v>
      </c>
      <c r="C1678" s="1003"/>
      <c r="D1678" s="1003"/>
      <c r="E1678" s="1003"/>
      <c r="F1678" s="1003"/>
      <c r="G1678" s="1003"/>
      <c r="H1678" s="1003"/>
      <c r="I1678" s="1003">
        <v>9</v>
      </c>
      <c r="J1678" s="1003">
        <v>4</v>
      </c>
      <c r="K1678" s="1003">
        <f t="shared" si="26"/>
        <v>13</v>
      </c>
      <c r="L1678" s="1004"/>
      <c r="M1678" s="1003"/>
      <c r="N1678" s="1003">
        <v>10</v>
      </c>
      <c r="O1678" s="1005">
        <v>16</v>
      </c>
    </row>
    <row r="1679" spans="1:15" collapsed="1" x14ac:dyDescent="0.2">
      <c r="A1679"/>
      <c r="B1679" s="1002">
        <v>122</v>
      </c>
      <c r="C1679" s="1003">
        <v>32</v>
      </c>
      <c r="D1679" s="1003"/>
      <c r="E1679" s="1003"/>
      <c r="F1679" s="1003"/>
      <c r="G1679" s="1003"/>
      <c r="H1679" s="1003"/>
      <c r="I1679" s="1003"/>
      <c r="J1679" s="1003"/>
      <c r="K1679" s="1003">
        <f t="shared" si="26"/>
        <v>32</v>
      </c>
      <c r="L1679" s="1004"/>
      <c r="M1679" s="1003">
        <v>26</v>
      </c>
      <c r="N1679" s="1003">
        <v>26</v>
      </c>
      <c r="O1679" s="1005">
        <v>64</v>
      </c>
    </row>
    <row r="1680" spans="1:15" collapsed="1" x14ac:dyDescent="0.2">
      <c r="A1680"/>
      <c r="B1680" s="1002">
        <v>122</v>
      </c>
      <c r="C1680" s="1003">
        <v>6</v>
      </c>
      <c r="D1680" s="1003">
        <v>26</v>
      </c>
      <c r="E1680" s="1003"/>
      <c r="F1680" s="1003"/>
      <c r="G1680" s="1003"/>
      <c r="H1680" s="1003"/>
      <c r="I1680" s="1003"/>
      <c r="J1680" s="1003"/>
      <c r="K1680" s="1003">
        <f t="shared" si="26"/>
        <v>32</v>
      </c>
      <c r="L1680" s="1004"/>
      <c r="M1680" s="1003"/>
      <c r="N1680" s="1003"/>
      <c r="O1680" s="1005">
        <v>64</v>
      </c>
    </row>
    <row r="1681" spans="1:15" collapsed="1" x14ac:dyDescent="0.2">
      <c r="A1681"/>
      <c r="B1681" s="1002">
        <v>122</v>
      </c>
      <c r="C1681" s="1003">
        <v>2</v>
      </c>
      <c r="D1681" s="1003">
        <v>29</v>
      </c>
      <c r="E1681" s="1003"/>
      <c r="F1681" s="1003"/>
      <c r="G1681" s="1003"/>
      <c r="H1681" s="1003"/>
      <c r="I1681" s="1003"/>
      <c r="J1681" s="1003"/>
      <c r="K1681" s="1003">
        <f t="shared" si="26"/>
        <v>31</v>
      </c>
      <c r="L1681" s="1004"/>
      <c r="M1681" s="1003"/>
      <c r="N1681" s="1003">
        <v>30</v>
      </c>
      <c r="O1681" s="1005">
        <v>32</v>
      </c>
    </row>
    <row r="1682" spans="1:15" collapsed="1" x14ac:dyDescent="0.2">
      <c r="A1682"/>
      <c r="B1682" s="1002">
        <v>122</v>
      </c>
      <c r="C1682" s="1003"/>
      <c r="D1682" s="1003">
        <v>28</v>
      </c>
      <c r="E1682" s="1003">
        <v>2</v>
      </c>
      <c r="F1682" s="1003"/>
      <c r="G1682" s="1003"/>
      <c r="H1682" s="1003"/>
      <c r="I1682" s="1003"/>
      <c r="J1682" s="1003"/>
      <c r="K1682" s="1003">
        <f t="shared" si="26"/>
        <v>30</v>
      </c>
      <c r="L1682" s="1004"/>
      <c r="M1682" s="1003"/>
      <c r="N1682" s="1003">
        <v>28</v>
      </c>
      <c r="O1682" s="1005">
        <v>32</v>
      </c>
    </row>
    <row r="1683" spans="1:15" collapsed="1" x14ac:dyDescent="0.2">
      <c r="A1683"/>
      <c r="B1683" s="1002">
        <v>122</v>
      </c>
      <c r="C1683" s="1003"/>
      <c r="D1683" s="1003">
        <v>23</v>
      </c>
      <c r="E1683" s="1003">
        <v>6</v>
      </c>
      <c r="F1683" s="1003"/>
      <c r="G1683" s="1003"/>
      <c r="H1683" s="1003"/>
      <c r="I1683" s="1003"/>
      <c r="J1683" s="1003"/>
      <c r="K1683" s="1003">
        <f t="shared" si="26"/>
        <v>29</v>
      </c>
      <c r="L1683" s="1004"/>
      <c r="M1683" s="1003"/>
      <c r="N1683" s="1003">
        <v>26</v>
      </c>
      <c r="O1683" s="1005">
        <v>32</v>
      </c>
    </row>
    <row r="1684" spans="1:15" collapsed="1" x14ac:dyDescent="0.2">
      <c r="A1684"/>
      <c r="B1684" s="1002">
        <v>122</v>
      </c>
      <c r="C1684" s="1003"/>
      <c r="D1684" s="1003">
        <v>18</v>
      </c>
      <c r="E1684" s="1003">
        <v>10</v>
      </c>
      <c r="F1684" s="1003"/>
      <c r="G1684" s="1003"/>
      <c r="H1684" s="1003"/>
      <c r="I1684" s="1003"/>
      <c r="J1684" s="1003"/>
      <c r="K1684" s="1003">
        <f t="shared" si="26"/>
        <v>28</v>
      </c>
      <c r="L1684" s="1004"/>
      <c r="M1684" s="1003"/>
      <c r="N1684" s="1003">
        <v>24</v>
      </c>
      <c r="O1684" s="1005">
        <v>32</v>
      </c>
    </row>
    <row r="1685" spans="1:15" collapsed="1" x14ac:dyDescent="0.2">
      <c r="A1685"/>
      <c r="B1685" s="1002">
        <v>122</v>
      </c>
      <c r="C1685" s="1003"/>
      <c r="D1685" s="1003">
        <v>13</v>
      </c>
      <c r="E1685" s="1003">
        <v>14</v>
      </c>
      <c r="F1685" s="1003"/>
      <c r="G1685" s="1003"/>
      <c r="H1685" s="1003"/>
      <c r="I1685" s="1003"/>
      <c r="J1685" s="1003"/>
      <c r="K1685" s="1003">
        <f t="shared" si="26"/>
        <v>27</v>
      </c>
      <c r="L1685" s="1004"/>
      <c r="M1685" s="1003"/>
      <c r="N1685" s="1003">
        <v>22</v>
      </c>
      <c r="O1685" s="1005">
        <v>32</v>
      </c>
    </row>
    <row r="1686" spans="1:15" collapsed="1" x14ac:dyDescent="0.2">
      <c r="A1686"/>
      <c r="B1686" s="1002">
        <v>122</v>
      </c>
      <c r="C1686" s="1003"/>
      <c r="D1686" s="1003">
        <v>8</v>
      </c>
      <c r="E1686" s="1003">
        <v>18</v>
      </c>
      <c r="F1686" s="1003"/>
      <c r="G1686" s="1003"/>
      <c r="H1686" s="1003"/>
      <c r="I1686" s="1003"/>
      <c r="J1686" s="1003"/>
      <c r="K1686" s="1003">
        <f t="shared" si="26"/>
        <v>26</v>
      </c>
      <c r="L1686" s="1004"/>
      <c r="M1686" s="1003"/>
      <c r="N1686" s="1003">
        <v>20</v>
      </c>
      <c r="O1686" s="1005">
        <v>32</v>
      </c>
    </row>
    <row r="1687" spans="1:15" collapsed="1" x14ac:dyDescent="0.2">
      <c r="A1687"/>
      <c r="B1687" s="1002">
        <v>122</v>
      </c>
      <c r="C1687" s="1003"/>
      <c r="D1687" s="1003">
        <v>3</v>
      </c>
      <c r="E1687" s="1003">
        <v>22</v>
      </c>
      <c r="F1687" s="1003"/>
      <c r="G1687" s="1003"/>
      <c r="H1687" s="1003"/>
      <c r="I1687" s="1003"/>
      <c r="J1687" s="1003"/>
      <c r="K1687" s="1003">
        <f t="shared" si="26"/>
        <v>25</v>
      </c>
      <c r="L1687" s="1004"/>
      <c r="M1687" s="1003"/>
      <c r="N1687" s="1003">
        <v>18</v>
      </c>
      <c r="O1687" s="1005">
        <v>32</v>
      </c>
    </row>
    <row r="1688" spans="1:15" collapsed="1" x14ac:dyDescent="0.2">
      <c r="A1688"/>
      <c r="B1688" s="1002">
        <v>122</v>
      </c>
      <c r="C1688" s="1003"/>
      <c r="D1688" s="1003"/>
      <c r="E1688" s="1003">
        <v>22</v>
      </c>
      <c r="F1688" s="1003">
        <v>2</v>
      </c>
      <c r="G1688" s="1003"/>
      <c r="H1688" s="1003"/>
      <c r="I1688" s="1003"/>
      <c r="J1688" s="1003"/>
      <c r="K1688" s="1003">
        <f t="shared" si="26"/>
        <v>24</v>
      </c>
      <c r="L1688" s="1004"/>
      <c r="M1688" s="1003"/>
      <c r="N1688" s="1003">
        <v>16</v>
      </c>
      <c r="O1688" s="1005">
        <v>32</v>
      </c>
    </row>
    <row r="1689" spans="1:15" collapsed="1" x14ac:dyDescent="0.2">
      <c r="A1689"/>
      <c r="B1689" s="1002">
        <v>122</v>
      </c>
      <c r="C1689" s="1003"/>
      <c r="D1689" s="1003"/>
      <c r="E1689" s="1003">
        <v>16</v>
      </c>
      <c r="F1689" s="1003">
        <v>7</v>
      </c>
      <c r="G1689" s="1003"/>
      <c r="H1689" s="1003"/>
      <c r="I1689" s="1003"/>
      <c r="J1689" s="1003"/>
      <c r="K1689" s="1003">
        <f t="shared" si="26"/>
        <v>23</v>
      </c>
      <c r="L1689" s="1004"/>
      <c r="M1689" s="1003"/>
      <c r="N1689" s="1003">
        <v>14</v>
      </c>
      <c r="O1689" s="1005">
        <v>32</v>
      </c>
    </row>
    <row r="1690" spans="1:15" collapsed="1" x14ac:dyDescent="0.2">
      <c r="A1690"/>
      <c r="B1690" s="1002">
        <v>122</v>
      </c>
      <c r="C1690" s="1003"/>
      <c r="D1690" s="1003"/>
      <c r="E1690" s="1003">
        <v>10</v>
      </c>
      <c r="F1690" s="1003">
        <v>12</v>
      </c>
      <c r="G1690" s="1003"/>
      <c r="H1690" s="1003"/>
      <c r="I1690" s="1003"/>
      <c r="J1690" s="1003"/>
      <c r="K1690" s="1003">
        <f t="shared" si="26"/>
        <v>22</v>
      </c>
      <c r="L1690" s="1004"/>
      <c r="M1690" s="1003"/>
      <c r="N1690" s="1003">
        <v>12</v>
      </c>
      <c r="O1690" s="1005">
        <v>32</v>
      </c>
    </row>
    <row r="1691" spans="1:15" collapsed="1" x14ac:dyDescent="0.2">
      <c r="A1691"/>
      <c r="B1691" s="1002">
        <v>122</v>
      </c>
      <c r="C1691" s="1003"/>
      <c r="D1691" s="1003"/>
      <c r="E1691" s="1003">
        <v>4</v>
      </c>
      <c r="F1691" s="1003">
        <v>17</v>
      </c>
      <c r="G1691" s="1003"/>
      <c r="H1691" s="1003"/>
      <c r="I1691" s="1003"/>
      <c r="J1691" s="1003"/>
      <c r="K1691" s="1003">
        <f t="shared" si="26"/>
        <v>21</v>
      </c>
      <c r="L1691" s="1004"/>
      <c r="M1691" s="1003"/>
      <c r="N1691" s="1003">
        <v>10</v>
      </c>
      <c r="O1691" s="1005">
        <v>32</v>
      </c>
    </row>
    <row r="1692" spans="1:15" collapsed="1" x14ac:dyDescent="0.2">
      <c r="A1692"/>
      <c r="B1692" s="1002">
        <v>122</v>
      </c>
      <c r="C1692" s="1003"/>
      <c r="D1692" s="1003"/>
      <c r="E1692" s="1003"/>
      <c r="F1692" s="1003">
        <v>18</v>
      </c>
      <c r="G1692" s="1003">
        <v>2</v>
      </c>
      <c r="H1692" s="1003"/>
      <c r="I1692" s="1003"/>
      <c r="J1692" s="1003"/>
      <c r="K1692" s="1003">
        <f t="shared" si="26"/>
        <v>20</v>
      </c>
      <c r="L1692" s="1004"/>
      <c r="M1692" s="1003"/>
      <c r="N1692" s="1003">
        <v>8</v>
      </c>
      <c r="O1692" s="1005">
        <v>32</v>
      </c>
    </row>
    <row r="1693" spans="1:15" collapsed="1" x14ac:dyDescent="0.2">
      <c r="A1693"/>
      <c r="B1693" s="1002">
        <v>122</v>
      </c>
      <c r="C1693" s="1003"/>
      <c r="D1693" s="1003"/>
      <c r="E1693" s="1003"/>
      <c r="F1693" s="1003">
        <v>11</v>
      </c>
      <c r="G1693" s="1003">
        <v>8</v>
      </c>
      <c r="H1693" s="1003"/>
      <c r="I1693" s="1003"/>
      <c r="J1693" s="1003"/>
      <c r="K1693" s="1003">
        <f t="shared" si="26"/>
        <v>19</v>
      </c>
      <c r="L1693" s="1004"/>
      <c r="M1693" s="1003"/>
      <c r="N1693" s="1003">
        <v>6</v>
      </c>
      <c r="O1693" s="1005">
        <v>32</v>
      </c>
    </row>
    <row r="1694" spans="1:15" collapsed="1" x14ac:dyDescent="0.2">
      <c r="A1694"/>
      <c r="B1694" s="1002">
        <v>122</v>
      </c>
      <c r="C1694" s="1003"/>
      <c r="D1694" s="1003"/>
      <c r="E1694" s="1003"/>
      <c r="F1694" s="1003">
        <v>4</v>
      </c>
      <c r="G1694" s="1003">
        <v>14</v>
      </c>
      <c r="H1694" s="1003"/>
      <c r="I1694" s="1003"/>
      <c r="J1694" s="1003"/>
      <c r="K1694" s="1003">
        <f t="shared" si="26"/>
        <v>18</v>
      </c>
      <c r="L1694" s="1004"/>
      <c r="M1694" s="1003"/>
      <c r="N1694" s="1003">
        <v>4</v>
      </c>
      <c r="O1694" s="1005">
        <v>32</v>
      </c>
    </row>
    <row r="1695" spans="1:15" collapsed="1" x14ac:dyDescent="0.2">
      <c r="A1695"/>
      <c r="B1695" s="1002">
        <v>122</v>
      </c>
      <c r="C1695" s="1003"/>
      <c r="D1695" s="1003"/>
      <c r="E1695" s="1003"/>
      <c r="F1695" s="1003"/>
      <c r="G1695" s="1003">
        <v>14</v>
      </c>
      <c r="H1695" s="1003">
        <v>3</v>
      </c>
      <c r="I1695" s="1003"/>
      <c r="J1695" s="1003"/>
      <c r="K1695" s="1003">
        <f t="shared" si="26"/>
        <v>17</v>
      </c>
      <c r="L1695" s="1004"/>
      <c r="M1695" s="1003"/>
      <c r="N1695" s="1003">
        <v>2</v>
      </c>
      <c r="O1695" s="1005">
        <v>32</v>
      </c>
    </row>
    <row r="1696" spans="1:15" collapsed="1" x14ac:dyDescent="0.2">
      <c r="A1696"/>
      <c r="B1696" s="1002">
        <v>122</v>
      </c>
      <c r="C1696" s="1003"/>
      <c r="D1696" s="1003"/>
      <c r="E1696" s="1003"/>
      <c r="F1696" s="1003"/>
      <c r="G1696" s="1003">
        <v>6</v>
      </c>
      <c r="H1696" s="1003">
        <v>10</v>
      </c>
      <c r="I1696" s="1003"/>
      <c r="J1696" s="1003"/>
      <c r="K1696" s="1003">
        <f t="shared" si="26"/>
        <v>16</v>
      </c>
      <c r="L1696" s="1004"/>
      <c r="M1696" s="1003"/>
      <c r="N1696" s="1003"/>
      <c r="O1696" s="1005">
        <v>32</v>
      </c>
    </row>
    <row r="1697" spans="1:15" collapsed="1" x14ac:dyDescent="0.2">
      <c r="A1697"/>
      <c r="B1697" s="1002">
        <v>122</v>
      </c>
      <c r="C1697" s="1003"/>
      <c r="D1697" s="1003"/>
      <c r="E1697" s="1003"/>
      <c r="F1697" s="1003"/>
      <c r="G1697" s="1003"/>
      <c r="H1697" s="1003">
        <v>14</v>
      </c>
      <c r="I1697" s="1003">
        <v>1</v>
      </c>
      <c r="J1697" s="1003"/>
      <c r="K1697" s="1003">
        <f t="shared" si="26"/>
        <v>15</v>
      </c>
      <c r="L1697" s="1004"/>
      <c r="M1697" s="1003"/>
      <c r="N1697" s="1003">
        <v>14</v>
      </c>
      <c r="O1697" s="1005">
        <v>16</v>
      </c>
    </row>
    <row r="1698" spans="1:15" x14ac:dyDescent="0.2">
      <c r="A1698"/>
      <c r="B1698" s="1002">
        <v>122</v>
      </c>
      <c r="C1698" s="1003"/>
      <c r="D1698" s="1003"/>
      <c r="E1698" s="1003"/>
      <c r="F1698" s="1003"/>
      <c r="G1698" s="1003"/>
      <c r="H1698" s="1003">
        <v>4</v>
      </c>
      <c r="I1698" s="1003">
        <v>10</v>
      </c>
      <c r="J1698" s="1003"/>
      <c r="K1698" s="1003">
        <f t="shared" si="26"/>
        <v>14</v>
      </c>
      <c r="L1698" s="1004"/>
      <c r="M1698" s="1003"/>
      <c r="N1698" s="1003">
        <v>12</v>
      </c>
      <c r="O1698" s="1005">
        <v>16</v>
      </c>
    </row>
    <row r="1699" spans="1:15" collapsed="1" x14ac:dyDescent="0.2">
      <c r="A1699"/>
      <c r="B1699" s="1002">
        <v>122</v>
      </c>
      <c r="C1699" s="1003"/>
      <c r="D1699" s="1003"/>
      <c r="E1699" s="1003"/>
      <c r="F1699" s="1003"/>
      <c r="G1699" s="1003"/>
      <c r="H1699" s="1003"/>
      <c r="I1699" s="1003">
        <v>8</v>
      </c>
      <c r="J1699" s="1003">
        <v>5</v>
      </c>
      <c r="K1699" s="1003">
        <f t="shared" si="26"/>
        <v>13</v>
      </c>
      <c r="L1699" s="1004"/>
      <c r="M1699" s="1003"/>
      <c r="N1699" s="1003">
        <v>10</v>
      </c>
      <c r="O1699" s="1005">
        <v>16</v>
      </c>
    </row>
    <row r="1700" spans="1:15" collapsed="1" x14ac:dyDescent="0.2">
      <c r="A1700"/>
      <c r="B1700" s="1002">
        <v>123</v>
      </c>
      <c r="C1700" s="1003">
        <v>32</v>
      </c>
      <c r="D1700" s="1003"/>
      <c r="E1700" s="1003"/>
      <c r="F1700" s="1003"/>
      <c r="G1700" s="1003"/>
      <c r="H1700" s="1003"/>
      <c r="I1700" s="1003"/>
      <c r="J1700" s="1003"/>
      <c r="K1700" s="1003">
        <f t="shared" si="26"/>
        <v>32</v>
      </c>
      <c r="L1700" s="1004"/>
      <c r="M1700" s="1003">
        <v>27</v>
      </c>
      <c r="N1700" s="1003">
        <v>27</v>
      </c>
      <c r="O1700" s="1005">
        <v>64</v>
      </c>
    </row>
    <row r="1701" spans="1:15" collapsed="1" x14ac:dyDescent="0.2">
      <c r="A1701"/>
      <c r="B1701" s="1002">
        <v>123</v>
      </c>
      <c r="C1701" s="1003">
        <v>5</v>
      </c>
      <c r="D1701" s="1003">
        <v>27</v>
      </c>
      <c r="E1701" s="1003"/>
      <c r="F1701" s="1003"/>
      <c r="G1701" s="1003"/>
      <c r="H1701" s="1003"/>
      <c r="I1701" s="1003"/>
      <c r="J1701" s="1003"/>
      <c r="K1701" s="1003">
        <f t="shared" si="26"/>
        <v>32</v>
      </c>
      <c r="L1701" s="1004"/>
      <c r="M1701" s="1003"/>
      <c r="N1701" s="1003"/>
      <c r="O1701" s="1005">
        <v>64</v>
      </c>
    </row>
    <row r="1702" spans="1:15" collapsed="1" x14ac:dyDescent="0.2">
      <c r="A1702"/>
      <c r="B1702" s="1002">
        <v>123</v>
      </c>
      <c r="C1702" s="1003">
        <v>1</v>
      </c>
      <c r="D1702" s="1003">
        <v>30</v>
      </c>
      <c r="E1702" s="1003"/>
      <c r="F1702" s="1003"/>
      <c r="G1702" s="1003"/>
      <c r="H1702" s="1003"/>
      <c r="I1702" s="1003"/>
      <c r="J1702" s="1003"/>
      <c r="K1702" s="1003">
        <f t="shared" si="26"/>
        <v>31</v>
      </c>
      <c r="L1702" s="1004"/>
      <c r="M1702" s="1003"/>
      <c r="N1702" s="1003">
        <v>30</v>
      </c>
      <c r="O1702" s="1005">
        <v>32</v>
      </c>
    </row>
    <row r="1703" spans="1:15" collapsed="1" x14ac:dyDescent="0.2">
      <c r="A1703"/>
      <c r="B1703" s="1002">
        <v>123</v>
      </c>
      <c r="C1703" s="1003"/>
      <c r="D1703" s="1003">
        <v>27</v>
      </c>
      <c r="E1703" s="1003">
        <v>3</v>
      </c>
      <c r="F1703" s="1003"/>
      <c r="G1703" s="1003"/>
      <c r="H1703" s="1003"/>
      <c r="I1703" s="1003"/>
      <c r="J1703" s="1003"/>
      <c r="K1703" s="1003">
        <f t="shared" si="26"/>
        <v>30</v>
      </c>
      <c r="L1703" s="1004"/>
      <c r="M1703" s="1003"/>
      <c r="N1703" s="1003">
        <v>28</v>
      </c>
      <c r="O1703" s="1005">
        <v>32</v>
      </c>
    </row>
    <row r="1704" spans="1:15" collapsed="1" x14ac:dyDescent="0.2">
      <c r="A1704"/>
      <c r="B1704" s="1002">
        <v>123</v>
      </c>
      <c r="C1704" s="1003"/>
      <c r="D1704" s="1003">
        <v>22</v>
      </c>
      <c r="E1704" s="1003">
        <v>7</v>
      </c>
      <c r="F1704" s="1003"/>
      <c r="G1704" s="1003"/>
      <c r="H1704" s="1003"/>
      <c r="I1704" s="1003"/>
      <c r="J1704" s="1003"/>
      <c r="K1704" s="1003">
        <f t="shared" si="26"/>
        <v>29</v>
      </c>
      <c r="L1704" s="1004"/>
      <c r="M1704" s="1003"/>
      <c r="N1704" s="1003">
        <v>26</v>
      </c>
      <c r="O1704" s="1005">
        <v>32</v>
      </c>
    </row>
    <row r="1705" spans="1:15" collapsed="1" x14ac:dyDescent="0.2">
      <c r="A1705"/>
      <c r="B1705" s="1002">
        <v>123</v>
      </c>
      <c r="C1705" s="1003"/>
      <c r="D1705" s="1003">
        <v>17</v>
      </c>
      <c r="E1705" s="1003">
        <v>11</v>
      </c>
      <c r="F1705" s="1003"/>
      <c r="G1705" s="1003"/>
      <c r="H1705" s="1003"/>
      <c r="I1705" s="1003"/>
      <c r="J1705" s="1003"/>
      <c r="K1705" s="1003">
        <f t="shared" si="26"/>
        <v>28</v>
      </c>
      <c r="L1705" s="1004"/>
      <c r="M1705" s="1003"/>
      <c r="N1705" s="1003">
        <v>24</v>
      </c>
      <c r="O1705" s="1005">
        <v>32</v>
      </c>
    </row>
    <row r="1706" spans="1:15" collapsed="1" x14ac:dyDescent="0.2">
      <c r="A1706"/>
      <c r="B1706" s="1002">
        <v>123</v>
      </c>
      <c r="C1706" s="1003"/>
      <c r="D1706" s="1003">
        <v>12</v>
      </c>
      <c r="E1706" s="1003">
        <v>15</v>
      </c>
      <c r="F1706" s="1003"/>
      <c r="G1706" s="1003"/>
      <c r="H1706" s="1003"/>
      <c r="I1706" s="1003"/>
      <c r="J1706" s="1003"/>
      <c r="K1706" s="1003">
        <f t="shared" si="26"/>
        <v>27</v>
      </c>
      <c r="L1706" s="1004"/>
      <c r="M1706" s="1003"/>
      <c r="N1706" s="1003">
        <v>22</v>
      </c>
      <c r="O1706" s="1005">
        <v>32</v>
      </c>
    </row>
    <row r="1707" spans="1:15" collapsed="1" x14ac:dyDescent="0.2">
      <c r="A1707"/>
      <c r="B1707" s="1002">
        <v>123</v>
      </c>
      <c r="C1707" s="1003"/>
      <c r="D1707" s="1003">
        <v>7</v>
      </c>
      <c r="E1707" s="1003">
        <v>19</v>
      </c>
      <c r="F1707" s="1003"/>
      <c r="G1707" s="1003"/>
      <c r="H1707" s="1003"/>
      <c r="I1707" s="1003"/>
      <c r="J1707" s="1003"/>
      <c r="K1707" s="1003">
        <f t="shared" si="26"/>
        <v>26</v>
      </c>
      <c r="L1707" s="1004"/>
      <c r="M1707" s="1003"/>
      <c r="N1707" s="1003">
        <v>20</v>
      </c>
      <c r="O1707" s="1005">
        <v>32</v>
      </c>
    </row>
    <row r="1708" spans="1:15" collapsed="1" x14ac:dyDescent="0.2">
      <c r="A1708"/>
      <c r="B1708" s="1002">
        <v>123</v>
      </c>
      <c r="C1708" s="1003"/>
      <c r="D1708" s="1003">
        <v>2</v>
      </c>
      <c r="E1708" s="1003">
        <v>23</v>
      </c>
      <c r="F1708" s="1003"/>
      <c r="G1708" s="1003"/>
      <c r="H1708" s="1003"/>
      <c r="I1708" s="1003"/>
      <c r="J1708" s="1003"/>
      <c r="K1708" s="1003">
        <f t="shared" si="26"/>
        <v>25</v>
      </c>
      <c r="L1708" s="1004"/>
      <c r="M1708" s="1003"/>
      <c r="N1708" s="1003">
        <v>18</v>
      </c>
      <c r="O1708" s="1005">
        <v>32</v>
      </c>
    </row>
    <row r="1709" spans="1:15" collapsed="1" x14ac:dyDescent="0.2">
      <c r="A1709"/>
      <c r="B1709" s="1002">
        <v>123</v>
      </c>
      <c r="C1709" s="1003"/>
      <c r="D1709" s="1003"/>
      <c r="E1709" s="1003">
        <v>21</v>
      </c>
      <c r="F1709" s="1003">
        <v>3</v>
      </c>
      <c r="G1709" s="1003"/>
      <c r="H1709" s="1003"/>
      <c r="I1709" s="1003"/>
      <c r="J1709" s="1003"/>
      <c r="K1709" s="1003">
        <f t="shared" si="26"/>
        <v>24</v>
      </c>
      <c r="L1709" s="1004"/>
      <c r="M1709" s="1003"/>
      <c r="N1709" s="1003">
        <v>16</v>
      </c>
      <c r="O1709" s="1005">
        <v>32</v>
      </c>
    </row>
    <row r="1710" spans="1:15" collapsed="1" x14ac:dyDescent="0.2">
      <c r="A1710"/>
      <c r="B1710" s="1002">
        <v>123</v>
      </c>
      <c r="C1710" s="1003"/>
      <c r="D1710" s="1003"/>
      <c r="E1710" s="1003">
        <v>15</v>
      </c>
      <c r="F1710" s="1003">
        <v>8</v>
      </c>
      <c r="G1710" s="1003"/>
      <c r="H1710" s="1003"/>
      <c r="I1710" s="1003"/>
      <c r="J1710" s="1003"/>
      <c r="K1710" s="1003">
        <f t="shared" si="26"/>
        <v>23</v>
      </c>
      <c r="L1710" s="1004"/>
      <c r="M1710" s="1003"/>
      <c r="N1710" s="1003">
        <v>14</v>
      </c>
      <c r="O1710" s="1005">
        <v>32</v>
      </c>
    </row>
    <row r="1711" spans="1:15" collapsed="1" x14ac:dyDescent="0.2">
      <c r="A1711"/>
      <c r="B1711" s="1002">
        <v>123</v>
      </c>
      <c r="C1711" s="1003"/>
      <c r="D1711" s="1003"/>
      <c r="E1711" s="1003">
        <v>9</v>
      </c>
      <c r="F1711" s="1003">
        <v>13</v>
      </c>
      <c r="G1711" s="1003"/>
      <c r="H1711" s="1003"/>
      <c r="I1711" s="1003"/>
      <c r="J1711" s="1003"/>
      <c r="K1711" s="1003">
        <f t="shared" si="26"/>
        <v>22</v>
      </c>
      <c r="L1711" s="1004"/>
      <c r="M1711" s="1003"/>
      <c r="N1711" s="1003">
        <v>12</v>
      </c>
      <c r="O1711" s="1005">
        <v>32</v>
      </c>
    </row>
    <row r="1712" spans="1:15" collapsed="1" x14ac:dyDescent="0.2">
      <c r="A1712"/>
      <c r="B1712" s="1002">
        <v>123</v>
      </c>
      <c r="C1712" s="1003"/>
      <c r="D1712" s="1003"/>
      <c r="E1712" s="1003">
        <v>3</v>
      </c>
      <c r="F1712" s="1003">
        <v>18</v>
      </c>
      <c r="G1712" s="1003"/>
      <c r="H1712" s="1003"/>
      <c r="I1712" s="1003"/>
      <c r="J1712" s="1003"/>
      <c r="K1712" s="1003">
        <f t="shared" si="26"/>
        <v>21</v>
      </c>
      <c r="L1712" s="1004"/>
      <c r="M1712" s="1003"/>
      <c r="N1712" s="1003">
        <v>10</v>
      </c>
      <c r="O1712" s="1005">
        <v>32</v>
      </c>
    </row>
    <row r="1713" spans="1:15" collapsed="1" x14ac:dyDescent="0.2">
      <c r="A1713"/>
      <c r="B1713" s="1002">
        <v>123</v>
      </c>
      <c r="C1713" s="1003"/>
      <c r="D1713" s="1003"/>
      <c r="E1713" s="1003"/>
      <c r="F1713" s="1003">
        <v>17</v>
      </c>
      <c r="G1713" s="1003">
        <v>3</v>
      </c>
      <c r="H1713" s="1003"/>
      <c r="I1713" s="1003"/>
      <c r="J1713" s="1003"/>
      <c r="K1713" s="1003">
        <f t="shared" si="26"/>
        <v>20</v>
      </c>
      <c r="L1713" s="1004"/>
      <c r="M1713" s="1003"/>
      <c r="N1713" s="1003">
        <v>8</v>
      </c>
      <c r="O1713" s="1005">
        <v>32</v>
      </c>
    </row>
    <row r="1714" spans="1:15" collapsed="1" x14ac:dyDescent="0.2">
      <c r="A1714"/>
      <c r="B1714" s="1002">
        <v>123</v>
      </c>
      <c r="C1714" s="1003"/>
      <c r="D1714" s="1003"/>
      <c r="E1714" s="1003"/>
      <c r="F1714" s="1003">
        <v>10</v>
      </c>
      <c r="G1714" s="1003">
        <v>9</v>
      </c>
      <c r="H1714" s="1003"/>
      <c r="I1714" s="1003"/>
      <c r="J1714" s="1003"/>
      <c r="K1714" s="1003">
        <f t="shared" si="26"/>
        <v>19</v>
      </c>
      <c r="L1714" s="1004"/>
      <c r="M1714" s="1003"/>
      <c r="N1714" s="1003">
        <v>6</v>
      </c>
      <c r="O1714" s="1005">
        <v>32</v>
      </c>
    </row>
    <row r="1715" spans="1:15" collapsed="1" x14ac:dyDescent="0.2">
      <c r="A1715"/>
      <c r="B1715" s="1002">
        <v>123</v>
      </c>
      <c r="C1715" s="1003"/>
      <c r="D1715" s="1003"/>
      <c r="E1715" s="1003"/>
      <c r="F1715" s="1003">
        <v>3</v>
      </c>
      <c r="G1715" s="1003">
        <v>15</v>
      </c>
      <c r="H1715" s="1003"/>
      <c r="I1715" s="1003"/>
      <c r="J1715" s="1003"/>
      <c r="K1715" s="1003">
        <f t="shared" si="26"/>
        <v>18</v>
      </c>
      <c r="L1715" s="1004"/>
      <c r="M1715" s="1003"/>
      <c r="N1715" s="1003">
        <v>4</v>
      </c>
      <c r="O1715" s="1005">
        <v>32</v>
      </c>
    </row>
    <row r="1716" spans="1:15" collapsed="1" x14ac:dyDescent="0.2">
      <c r="A1716"/>
      <c r="B1716" s="1002">
        <v>123</v>
      </c>
      <c r="C1716" s="1003"/>
      <c r="D1716" s="1003"/>
      <c r="E1716" s="1003"/>
      <c r="F1716" s="1003"/>
      <c r="G1716" s="1003">
        <v>13</v>
      </c>
      <c r="H1716" s="1003">
        <v>4</v>
      </c>
      <c r="I1716" s="1003"/>
      <c r="J1716" s="1003"/>
      <c r="K1716" s="1003">
        <f t="shared" si="26"/>
        <v>17</v>
      </c>
      <c r="L1716" s="1004"/>
      <c r="M1716" s="1003"/>
      <c r="N1716" s="1003">
        <v>2</v>
      </c>
      <c r="O1716" s="1005">
        <v>32</v>
      </c>
    </row>
    <row r="1717" spans="1:15" collapsed="1" x14ac:dyDescent="0.2">
      <c r="A1717"/>
      <c r="B1717" s="1002">
        <v>123</v>
      </c>
      <c r="C1717" s="1003"/>
      <c r="D1717" s="1003"/>
      <c r="E1717" s="1003"/>
      <c r="F1717" s="1003"/>
      <c r="G1717" s="1003">
        <v>5</v>
      </c>
      <c r="H1717" s="1003">
        <v>11</v>
      </c>
      <c r="I1717" s="1003"/>
      <c r="J1717" s="1003"/>
      <c r="K1717" s="1003">
        <f t="shared" si="26"/>
        <v>16</v>
      </c>
      <c r="L1717" s="1004"/>
      <c r="M1717" s="1003"/>
      <c r="N1717" s="1003"/>
      <c r="O1717" s="1005">
        <v>32</v>
      </c>
    </row>
    <row r="1718" spans="1:15" collapsed="1" x14ac:dyDescent="0.2">
      <c r="A1718"/>
      <c r="B1718" s="1002">
        <v>123</v>
      </c>
      <c r="C1718" s="1003"/>
      <c r="D1718" s="1003"/>
      <c r="E1718" s="1003"/>
      <c r="F1718" s="1003"/>
      <c r="G1718" s="1003"/>
      <c r="H1718" s="1003">
        <v>13</v>
      </c>
      <c r="I1718" s="1003">
        <v>2</v>
      </c>
      <c r="J1718" s="1003"/>
      <c r="K1718" s="1003">
        <f t="shared" si="26"/>
        <v>15</v>
      </c>
      <c r="L1718" s="1004"/>
      <c r="M1718" s="1003"/>
      <c r="N1718" s="1003">
        <v>14</v>
      </c>
      <c r="O1718" s="1005">
        <v>16</v>
      </c>
    </row>
    <row r="1719" spans="1:15" x14ac:dyDescent="0.2">
      <c r="A1719"/>
      <c r="B1719" s="1002">
        <v>123</v>
      </c>
      <c r="C1719" s="1003"/>
      <c r="D1719" s="1003"/>
      <c r="E1719" s="1003"/>
      <c r="F1719" s="1003"/>
      <c r="G1719" s="1003"/>
      <c r="H1719" s="1003">
        <v>3</v>
      </c>
      <c r="I1719" s="1003">
        <v>11</v>
      </c>
      <c r="J1719" s="1003"/>
      <c r="K1719" s="1003">
        <f t="shared" si="26"/>
        <v>14</v>
      </c>
      <c r="L1719" s="1004"/>
      <c r="M1719" s="1003"/>
      <c r="N1719" s="1003">
        <v>12</v>
      </c>
      <c r="O1719" s="1005">
        <v>16</v>
      </c>
    </row>
    <row r="1720" spans="1:15" collapsed="1" x14ac:dyDescent="0.2">
      <c r="A1720"/>
      <c r="B1720" s="1002">
        <v>123</v>
      </c>
      <c r="C1720" s="1003"/>
      <c r="D1720" s="1003"/>
      <c r="E1720" s="1003"/>
      <c r="F1720" s="1003"/>
      <c r="G1720" s="1003"/>
      <c r="H1720" s="1003"/>
      <c r="I1720" s="1003">
        <v>7</v>
      </c>
      <c r="J1720" s="1003">
        <v>6</v>
      </c>
      <c r="K1720" s="1003">
        <f t="shared" si="26"/>
        <v>13</v>
      </c>
      <c r="L1720" s="1004"/>
      <c r="M1720" s="1003"/>
      <c r="N1720" s="1003">
        <v>10</v>
      </c>
      <c r="O1720" s="1005">
        <v>16</v>
      </c>
    </row>
    <row r="1721" spans="1:15" collapsed="1" x14ac:dyDescent="0.2">
      <c r="A1721"/>
      <c r="B1721" s="1002">
        <v>124</v>
      </c>
      <c r="C1721" s="1003">
        <v>32</v>
      </c>
      <c r="D1721" s="1003"/>
      <c r="E1721" s="1003"/>
      <c r="F1721" s="1003"/>
      <c r="G1721" s="1003"/>
      <c r="H1721" s="1003"/>
      <c r="I1721" s="1003"/>
      <c r="J1721" s="1003"/>
      <c r="K1721" s="1003">
        <f t="shared" si="26"/>
        <v>32</v>
      </c>
      <c r="L1721" s="1004"/>
      <c r="M1721" s="1003">
        <v>28</v>
      </c>
      <c r="N1721" s="1003">
        <v>28</v>
      </c>
      <c r="O1721" s="1005">
        <v>64</v>
      </c>
    </row>
    <row r="1722" spans="1:15" collapsed="1" x14ac:dyDescent="0.2">
      <c r="A1722"/>
      <c r="B1722" s="1002">
        <v>124</v>
      </c>
      <c r="C1722" s="1003">
        <v>4</v>
      </c>
      <c r="D1722" s="1003">
        <v>28</v>
      </c>
      <c r="E1722" s="1003"/>
      <c r="F1722" s="1003"/>
      <c r="G1722" s="1003"/>
      <c r="H1722" s="1003"/>
      <c r="I1722" s="1003"/>
      <c r="J1722" s="1003"/>
      <c r="K1722" s="1003">
        <f t="shared" si="26"/>
        <v>32</v>
      </c>
      <c r="L1722" s="1004"/>
      <c r="M1722" s="1003"/>
      <c r="N1722" s="1003"/>
      <c r="O1722" s="1005">
        <v>64</v>
      </c>
    </row>
    <row r="1723" spans="1:15" collapsed="1" x14ac:dyDescent="0.2">
      <c r="A1723"/>
      <c r="B1723" s="1002">
        <v>124</v>
      </c>
      <c r="C1723" s="1003"/>
      <c r="D1723" s="1003">
        <v>31</v>
      </c>
      <c r="E1723" s="1003"/>
      <c r="F1723" s="1003"/>
      <c r="G1723" s="1003"/>
      <c r="H1723" s="1003"/>
      <c r="I1723" s="1003"/>
      <c r="J1723" s="1003"/>
      <c r="K1723" s="1003">
        <f t="shared" si="26"/>
        <v>31</v>
      </c>
      <c r="L1723" s="1004"/>
      <c r="M1723" s="1003"/>
      <c r="N1723" s="1003">
        <v>30</v>
      </c>
      <c r="O1723" s="1005">
        <v>32</v>
      </c>
    </row>
    <row r="1724" spans="1:15" collapsed="1" x14ac:dyDescent="0.2">
      <c r="A1724"/>
      <c r="B1724" s="1002">
        <v>124</v>
      </c>
      <c r="C1724" s="1003"/>
      <c r="D1724" s="1003">
        <v>26</v>
      </c>
      <c r="E1724" s="1003">
        <v>4</v>
      </c>
      <c r="F1724" s="1003"/>
      <c r="G1724" s="1003"/>
      <c r="H1724" s="1003"/>
      <c r="I1724" s="1003"/>
      <c r="J1724" s="1003"/>
      <c r="K1724" s="1003">
        <f t="shared" si="26"/>
        <v>30</v>
      </c>
      <c r="L1724" s="1004"/>
      <c r="M1724" s="1003"/>
      <c r="N1724" s="1003">
        <v>28</v>
      </c>
      <c r="O1724" s="1005">
        <v>32</v>
      </c>
    </row>
    <row r="1725" spans="1:15" collapsed="1" x14ac:dyDescent="0.2">
      <c r="A1725"/>
      <c r="B1725" s="1002">
        <v>124</v>
      </c>
      <c r="C1725" s="1003"/>
      <c r="D1725" s="1003">
        <v>21</v>
      </c>
      <c r="E1725" s="1003">
        <v>8</v>
      </c>
      <c r="F1725" s="1003"/>
      <c r="G1725" s="1003"/>
      <c r="H1725" s="1003"/>
      <c r="I1725" s="1003"/>
      <c r="J1725" s="1003"/>
      <c r="K1725" s="1003">
        <f t="shared" si="26"/>
        <v>29</v>
      </c>
      <c r="L1725" s="1004"/>
      <c r="M1725" s="1003"/>
      <c r="N1725" s="1003">
        <v>26</v>
      </c>
      <c r="O1725" s="1005">
        <v>32</v>
      </c>
    </row>
    <row r="1726" spans="1:15" collapsed="1" x14ac:dyDescent="0.2">
      <c r="A1726"/>
      <c r="B1726" s="1002">
        <v>124</v>
      </c>
      <c r="C1726" s="1003"/>
      <c r="D1726" s="1003">
        <v>16</v>
      </c>
      <c r="E1726" s="1003">
        <v>12</v>
      </c>
      <c r="F1726" s="1003"/>
      <c r="G1726" s="1003"/>
      <c r="H1726" s="1003"/>
      <c r="I1726" s="1003"/>
      <c r="J1726" s="1003"/>
      <c r="K1726" s="1003">
        <f t="shared" si="26"/>
        <v>28</v>
      </c>
      <c r="L1726" s="1004"/>
      <c r="M1726" s="1003"/>
      <c r="N1726" s="1003">
        <v>24</v>
      </c>
      <c r="O1726" s="1005">
        <v>32</v>
      </c>
    </row>
    <row r="1727" spans="1:15" collapsed="1" x14ac:dyDescent="0.2">
      <c r="A1727"/>
      <c r="B1727" s="1002">
        <v>124</v>
      </c>
      <c r="C1727" s="1003"/>
      <c r="D1727" s="1003">
        <v>11</v>
      </c>
      <c r="E1727" s="1003">
        <v>16</v>
      </c>
      <c r="F1727" s="1003"/>
      <c r="G1727" s="1003"/>
      <c r="H1727" s="1003"/>
      <c r="I1727" s="1003"/>
      <c r="J1727" s="1003"/>
      <c r="K1727" s="1003">
        <f t="shared" si="26"/>
        <v>27</v>
      </c>
      <c r="L1727" s="1004"/>
      <c r="M1727" s="1003"/>
      <c r="N1727" s="1003">
        <v>22</v>
      </c>
      <c r="O1727" s="1005">
        <v>32</v>
      </c>
    </row>
    <row r="1728" spans="1:15" collapsed="1" x14ac:dyDescent="0.2">
      <c r="A1728"/>
      <c r="B1728" s="1002">
        <v>124</v>
      </c>
      <c r="C1728" s="1003"/>
      <c r="D1728" s="1003">
        <v>6</v>
      </c>
      <c r="E1728" s="1003">
        <v>20</v>
      </c>
      <c r="F1728" s="1003"/>
      <c r="G1728" s="1003"/>
      <c r="H1728" s="1003"/>
      <c r="I1728" s="1003"/>
      <c r="J1728" s="1003"/>
      <c r="K1728" s="1003">
        <f t="shared" si="26"/>
        <v>26</v>
      </c>
      <c r="L1728" s="1004"/>
      <c r="M1728" s="1003"/>
      <c r="N1728" s="1003">
        <v>20</v>
      </c>
      <c r="O1728" s="1005">
        <v>32</v>
      </c>
    </row>
    <row r="1729" spans="1:15" collapsed="1" x14ac:dyDescent="0.2">
      <c r="A1729"/>
      <c r="B1729" s="1002">
        <v>124</v>
      </c>
      <c r="C1729" s="1003"/>
      <c r="D1729" s="1003">
        <v>1</v>
      </c>
      <c r="E1729" s="1003">
        <v>24</v>
      </c>
      <c r="F1729" s="1003"/>
      <c r="G1729" s="1003"/>
      <c r="H1729" s="1003"/>
      <c r="I1729" s="1003"/>
      <c r="J1729" s="1003"/>
      <c r="K1729" s="1003">
        <f t="shared" si="26"/>
        <v>25</v>
      </c>
      <c r="L1729" s="1004"/>
      <c r="M1729" s="1003"/>
      <c r="N1729" s="1003">
        <v>18</v>
      </c>
      <c r="O1729" s="1005">
        <v>32</v>
      </c>
    </row>
    <row r="1730" spans="1:15" collapsed="1" x14ac:dyDescent="0.2">
      <c r="A1730"/>
      <c r="B1730" s="1002">
        <v>124</v>
      </c>
      <c r="C1730" s="1003"/>
      <c r="D1730" s="1003"/>
      <c r="E1730" s="1003">
        <v>20</v>
      </c>
      <c r="F1730" s="1003">
        <v>4</v>
      </c>
      <c r="G1730" s="1003"/>
      <c r="H1730" s="1003"/>
      <c r="I1730" s="1003"/>
      <c r="J1730" s="1003"/>
      <c r="K1730" s="1003">
        <f t="shared" si="26"/>
        <v>24</v>
      </c>
      <c r="L1730" s="1004"/>
      <c r="M1730" s="1003"/>
      <c r="N1730" s="1003">
        <v>16</v>
      </c>
      <c r="O1730" s="1005">
        <v>32</v>
      </c>
    </row>
    <row r="1731" spans="1:15" collapsed="1" x14ac:dyDescent="0.2">
      <c r="A1731"/>
      <c r="B1731" s="1002">
        <v>124</v>
      </c>
      <c r="C1731" s="1003"/>
      <c r="D1731" s="1003"/>
      <c r="E1731" s="1003">
        <v>14</v>
      </c>
      <c r="F1731" s="1003">
        <v>9</v>
      </c>
      <c r="G1731" s="1003"/>
      <c r="H1731" s="1003"/>
      <c r="I1731" s="1003"/>
      <c r="J1731" s="1003"/>
      <c r="K1731" s="1003">
        <f t="shared" si="26"/>
        <v>23</v>
      </c>
      <c r="L1731" s="1004"/>
      <c r="M1731" s="1003"/>
      <c r="N1731" s="1003">
        <v>14</v>
      </c>
      <c r="O1731" s="1005">
        <v>32</v>
      </c>
    </row>
    <row r="1732" spans="1:15" collapsed="1" x14ac:dyDescent="0.2">
      <c r="A1732"/>
      <c r="B1732" s="1002">
        <v>124</v>
      </c>
      <c r="C1732" s="1003"/>
      <c r="D1732" s="1003"/>
      <c r="E1732" s="1003">
        <v>8</v>
      </c>
      <c r="F1732" s="1003">
        <v>14</v>
      </c>
      <c r="G1732" s="1003"/>
      <c r="H1732" s="1003"/>
      <c r="I1732" s="1003"/>
      <c r="J1732" s="1003"/>
      <c r="K1732" s="1003">
        <f t="shared" si="26"/>
        <v>22</v>
      </c>
      <c r="L1732" s="1004"/>
      <c r="M1732" s="1003"/>
      <c r="N1732" s="1003">
        <v>12</v>
      </c>
      <c r="O1732" s="1005">
        <v>32</v>
      </c>
    </row>
    <row r="1733" spans="1:15" collapsed="1" x14ac:dyDescent="0.2">
      <c r="A1733"/>
      <c r="B1733" s="1002">
        <v>124</v>
      </c>
      <c r="C1733" s="1003"/>
      <c r="D1733" s="1003"/>
      <c r="E1733" s="1003">
        <v>2</v>
      </c>
      <c r="F1733" s="1003">
        <v>19</v>
      </c>
      <c r="G1733" s="1003"/>
      <c r="H1733" s="1003"/>
      <c r="I1733" s="1003"/>
      <c r="J1733" s="1003"/>
      <c r="K1733" s="1003">
        <f t="shared" si="26"/>
        <v>21</v>
      </c>
      <c r="L1733" s="1004"/>
      <c r="M1733" s="1003"/>
      <c r="N1733" s="1003">
        <v>10</v>
      </c>
      <c r="O1733" s="1005">
        <v>32</v>
      </c>
    </row>
    <row r="1734" spans="1:15" collapsed="1" x14ac:dyDescent="0.2">
      <c r="A1734"/>
      <c r="B1734" s="1002">
        <v>124</v>
      </c>
      <c r="C1734" s="1003"/>
      <c r="D1734" s="1003"/>
      <c r="E1734" s="1003"/>
      <c r="F1734" s="1003">
        <v>16</v>
      </c>
      <c r="G1734" s="1003">
        <v>4</v>
      </c>
      <c r="H1734" s="1003"/>
      <c r="I1734" s="1003"/>
      <c r="J1734" s="1003"/>
      <c r="K1734" s="1003">
        <f t="shared" ref="K1734:K1797" si="27">SUM(C1734:J1734)</f>
        <v>20</v>
      </c>
      <c r="L1734" s="1004"/>
      <c r="M1734" s="1003"/>
      <c r="N1734" s="1003">
        <v>8</v>
      </c>
      <c r="O1734" s="1005">
        <v>32</v>
      </c>
    </row>
    <row r="1735" spans="1:15" collapsed="1" x14ac:dyDescent="0.2">
      <c r="A1735"/>
      <c r="B1735" s="1002">
        <v>124</v>
      </c>
      <c r="C1735" s="1003"/>
      <c r="D1735" s="1003"/>
      <c r="E1735" s="1003"/>
      <c r="F1735" s="1003">
        <v>9</v>
      </c>
      <c r="G1735" s="1003">
        <v>10</v>
      </c>
      <c r="H1735" s="1003"/>
      <c r="I1735" s="1003"/>
      <c r="J1735" s="1003"/>
      <c r="K1735" s="1003">
        <f t="shared" si="27"/>
        <v>19</v>
      </c>
      <c r="L1735" s="1004"/>
      <c r="M1735" s="1003"/>
      <c r="N1735" s="1003">
        <v>6</v>
      </c>
      <c r="O1735" s="1005">
        <v>32</v>
      </c>
    </row>
    <row r="1736" spans="1:15" collapsed="1" x14ac:dyDescent="0.2">
      <c r="A1736"/>
      <c r="B1736" s="1002">
        <v>124</v>
      </c>
      <c r="C1736" s="1003"/>
      <c r="D1736" s="1003"/>
      <c r="E1736" s="1003"/>
      <c r="F1736" s="1003">
        <v>2</v>
      </c>
      <c r="G1736" s="1003">
        <v>16</v>
      </c>
      <c r="H1736" s="1003"/>
      <c r="I1736" s="1003"/>
      <c r="J1736" s="1003"/>
      <c r="K1736" s="1003">
        <f t="shared" si="27"/>
        <v>18</v>
      </c>
      <c r="L1736" s="1004"/>
      <c r="M1736" s="1003"/>
      <c r="N1736" s="1003">
        <v>4</v>
      </c>
      <c r="O1736" s="1005">
        <v>32</v>
      </c>
    </row>
    <row r="1737" spans="1:15" collapsed="1" x14ac:dyDescent="0.2">
      <c r="A1737"/>
      <c r="B1737" s="1002">
        <v>124</v>
      </c>
      <c r="C1737" s="1003"/>
      <c r="D1737" s="1003"/>
      <c r="E1737" s="1003"/>
      <c r="F1737" s="1003"/>
      <c r="G1737" s="1003">
        <v>12</v>
      </c>
      <c r="H1737" s="1003">
        <v>5</v>
      </c>
      <c r="I1737" s="1003"/>
      <c r="J1737" s="1003"/>
      <c r="K1737" s="1003">
        <f t="shared" si="27"/>
        <v>17</v>
      </c>
      <c r="L1737" s="1004"/>
      <c r="M1737" s="1003"/>
      <c r="N1737" s="1003">
        <v>2</v>
      </c>
      <c r="O1737" s="1005">
        <v>32</v>
      </c>
    </row>
    <row r="1738" spans="1:15" collapsed="1" x14ac:dyDescent="0.2">
      <c r="A1738"/>
      <c r="B1738" s="1002">
        <v>124</v>
      </c>
      <c r="C1738" s="1003"/>
      <c r="D1738" s="1003"/>
      <c r="E1738" s="1003"/>
      <c r="F1738" s="1003"/>
      <c r="G1738" s="1003">
        <v>4</v>
      </c>
      <c r="H1738" s="1003">
        <v>12</v>
      </c>
      <c r="I1738" s="1003"/>
      <c r="J1738" s="1003"/>
      <c r="K1738" s="1003">
        <f t="shared" si="27"/>
        <v>16</v>
      </c>
      <c r="L1738" s="1004"/>
      <c r="M1738" s="1003"/>
      <c r="N1738" s="1003"/>
      <c r="O1738" s="1005">
        <v>32</v>
      </c>
    </row>
    <row r="1739" spans="1:15" collapsed="1" x14ac:dyDescent="0.2">
      <c r="A1739"/>
      <c r="B1739" s="1002">
        <v>124</v>
      </c>
      <c r="C1739" s="1003"/>
      <c r="D1739" s="1003"/>
      <c r="E1739" s="1003"/>
      <c r="F1739" s="1003"/>
      <c r="G1739" s="1003"/>
      <c r="H1739" s="1003">
        <v>12</v>
      </c>
      <c r="I1739" s="1003">
        <v>3</v>
      </c>
      <c r="J1739" s="1003"/>
      <c r="K1739" s="1003">
        <f t="shared" si="27"/>
        <v>15</v>
      </c>
      <c r="L1739" s="1004"/>
      <c r="M1739" s="1003"/>
      <c r="N1739" s="1003">
        <v>14</v>
      </c>
      <c r="O1739" s="1005">
        <v>16</v>
      </c>
    </row>
    <row r="1740" spans="1:15" x14ac:dyDescent="0.2">
      <c r="A1740"/>
      <c r="B1740" s="1002">
        <v>124</v>
      </c>
      <c r="C1740" s="1003"/>
      <c r="D1740" s="1003"/>
      <c r="E1740" s="1003"/>
      <c r="F1740" s="1003"/>
      <c r="G1740" s="1003"/>
      <c r="H1740" s="1003">
        <v>2</v>
      </c>
      <c r="I1740" s="1003">
        <v>12</v>
      </c>
      <c r="J1740" s="1003"/>
      <c r="K1740" s="1003">
        <f t="shared" si="27"/>
        <v>14</v>
      </c>
      <c r="L1740" s="1004"/>
      <c r="M1740" s="1003"/>
      <c r="N1740" s="1003">
        <v>12</v>
      </c>
      <c r="O1740" s="1005">
        <v>16</v>
      </c>
    </row>
    <row r="1741" spans="1:15" collapsed="1" x14ac:dyDescent="0.2">
      <c r="A1741"/>
      <c r="B1741" s="1002">
        <v>124</v>
      </c>
      <c r="C1741" s="1003"/>
      <c r="D1741" s="1003"/>
      <c r="E1741" s="1003"/>
      <c r="F1741" s="1003"/>
      <c r="G1741" s="1003"/>
      <c r="H1741" s="1003"/>
      <c r="I1741" s="1003">
        <v>6</v>
      </c>
      <c r="J1741" s="1003">
        <v>7</v>
      </c>
      <c r="K1741" s="1003">
        <f t="shared" si="27"/>
        <v>13</v>
      </c>
      <c r="L1741" s="1004"/>
      <c r="M1741" s="1003"/>
      <c r="N1741" s="1003">
        <v>10</v>
      </c>
      <c r="O1741" s="1005">
        <v>16</v>
      </c>
    </row>
    <row r="1742" spans="1:15" collapsed="1" x14ac:dyDescent="0.2">
      <c r="A1742"/>
      <c r="B1742" s="1002">
        <v>125</v>
      </c>
      <c r="C1742" s="1003">
        <v>32</v>
      </c>
      <c r="D1742" s="1003"/>
      <c r="E1742" s="1003"/>
      <c r="F1742" s="1003"/>
      <c r="G1742" s="1003"/>
      <c r="H1742" s="1003"/>
      <c r="I1742" s="1003"/>
      <c r="J1742" s="1003"/>
      <c r="K1742" s="1003">
        <f t="shared" si="27"/>
        <v>32</v>
      </c>
      <c r="L1742" s="1004"/>
      <c r="M1742" s="1003">
        <v>29</v>
      </c>
      <c r="N1742" s="1003">
        <v>29</v>
      </c>
      <c r="O1742" s="1005">
        <v>64</v>
      </c>
    </row>
    <row r="1743" spans="1:15" collapsed="1" x14ac:dyDescent="0.2">
      <c r="A1743"/>
      <c r="B1743" s="1002">
        <v>125</v>
      </c>
      <c r="C1743" s="1003">
        <v>3</v>
      </c>
      <c r="D1743" s="1003">
        <v>29</v>
      </c>
      <c r="E1743" s="1003"/>
      <c r="F1743" s="1003"/>
      <c r="G1743" s="1003"/>
      <c r="H1743" s="1003"/>
      <c r="I1743" s="1003"/>
      <c r="J1743" s="1003"/>
      <c r="K1743" s="1003">
        <f t="shared" si="27"/>
        <v>32</v>
      </c>
      <c r="L1743" s="1004"/>
      <c r="M1743" s="1003"/>
      <c r="N1743" s="1003"/>
      <c r="O1743" s="1005">
        <v>64</v>
      </c>
    </row>
    <row r="1744" spans="1:15" collapsed="1" x14ac:dyDescent="0.2">
      <c r="A1744"/>
      <c r="B1744" s="1002">
        <v>125</v>
      </c>
      <c r="C1744" s="1003"/>
      <c r="D1744" s="1003">
        <v>30</v>
      </c>
      <c r="E1744" s="1003">
        <v>1</v>
      </c>
      <c r="F1744" s="1003"/>
      <c r="G1744" s="1003"/>
      <c r="H1744" s="1003"/>
      <c r="I1744" s="1003"/>
      <c r="J1744" s="1003"/>
      <c r="K1744" s="1003">
        <f t="shared" si="27"/>
        <v>31</v>
      </c>
      <c r="L1744" s="1004"/>
      <c r="M1744" s="1003"/>
      <c r="N1744" s="1003">
        <v>30</v>
      </c>
      <c r="O1744" s="1005">
        <v>32</v>
      </c>
    </row>
    <row r="1745" spans="1:15" collapsed="1" x14ac:dyDescent="0.2">
      <c r="A1745"/>
      <c r="B1745" s="1002">
        <v>125</v>
      </c>
      <c r="C1745" s="1003"/>
      <c r="D1745" s="1003">
        <v>25</v>
      </c>
      <c r="E1745" s="1003">
        <v>5</v>
      </c>
      <c r="F1745" s="1003"/>
      <c r="G1745" s="1003"/>
      <c r="H1745" s="1003"/>
      <c r="I1745" s="1003"/>
      <c r="J1745" s="1003"/>
      <c r="K1745" s="1003">
        <f t="shared" si="27"/>
        <v>30</v>
      </c>
      <c r="L1745" s="1004"/>
      <c r="M1745" s="1003"/>
      <c r="N1745" s="1003">
        <v>28</v>
      </c>
      <c r="O1745" s="1005">
        <v>32</v>
      </c>
    </row>
    <row r="1746" spans="1:15" collapsed="1" x14ac:dyDescent="0.2">
      <c r="A1746"/>
      <c r="B1746" s="1002">
        <v>125</v>
      </c>
      <c r="C1746" s="1003"/>
      <c r="D1746" s="1003">
        <v>20</v>
      </c>
      <c r="E1746" s="1003">
        <v>9</v>
      </c>
      <c r="F1746" s="1003"/>
      <c r="G1746" s="1003"/>
      <c r="H1746" s="1003"/>
      <c r="I1746" s="1003"/>
      <c r="J1746" s="1003"/>
      <c r="K1746" s="1003">
        <f t="shared" si="27"/>
        <v>29</v>
      </c>
      <c r="L1746" s="1004"/>
      <c r="M1746" s="1003"/>
      <c r="N1746" s="1003">
        <v>26</v>
      </c>
      <c r="O1746" s="1005">
        <v>32</v>
      </c>
    </row>
    <row r="1747" spans="1:15" collapsed="1" x14ac:dyDescent="0.2">
      <c r="A1747"/>
      <c r="B1747" s="1002">
        <v>125</v>
      </c>
      <c r="C1747" s="1003"/>
      <c r="D1747" s="1003">
        <v>15</v>
      </c>
      <c r="E1747" s="1003">
        <v>13</v>
      </c>
      <c r="F1747" s="1003"/>
      <c r="G1747" s="1003"/>
      <c r="H1747" s="1003"/>
      <c r="I1747" s="1003"/>
      <c r="J1747" s="1003"/>
      <c r="K1747" s="1003">
        <f t="shared" si="27"/>
        <v>28</v>
      </c>
      <c r="L1747" s="1004"/>
      <c r="M1747" s="1003"/>
      <c r="N1747" s="1003">
        <v>24</v>
      </c>
      <c r="O1747" s="1005">
        <v>32</v>
      </c>
    </row>
    <row r="1748" spans="1:15" collapsed="1" x14ac:dyDescent="0.2">
      <c r="A1748"/>
      <c r="B1748" s="1002">
        <v>125</v>
      </c>
      <c r="C1748" s="1003"/>
      <c r="D1748" s="1003">
        <v>10</v>
      </c>
      <c r="E1748" s="1003">
        <v>17</v>
      </c>
      <c r="F1748" s="1003"/>
      <c r="G1748" s="1003"/>
      <c r="H1748" s="1003"/>
      <c r="I1748" s="1003"/>
      <c r="J1748" s="1003"/>
      <c r="K1748" s="1003">
        <f t="shared" si="27"/>
        <v>27</v>
      </c>
      <c r="L1748" s="1004"/>
      <c r="M1748" s="1003"/>
      <c r="N1748" s="1003">
        <v>22</v>
      </c>
      <c r="O1748" s="1005">
        <v>32</v>
      </c>
    </row>
    <row r="1749" spans="1:15" collapsed="1" x14ac:dyDescent="0.2">
      <c r="A1749"/>
      <c r="B1749" s="1002">
        <v>125</v>
      </c>
      <c r="C1749" s="1003"/>
      <c r="D1749" s="1003">
        <v>5</v>
      </c>
      <c r="E1749" s="1003">
        <v>21</v>
      </c>
      <c r="F1749" s="1003"/>
      <c r="G1749" s="1003"/>
      <c r="H1749" s="1003"/>
      <c r="I1749" s="1003"/>
      <c r="J1749" s="1003"/>
      <c r="K1749" s="1003">
        <f t="shared" si="27"/>
        <v>26</v>
      </c>
      <c r="L1749" s="1004"/>
      <c r="M1749" s="1003"/>
      <c r="N1749" s="1003">
        <v>20</v>
      </c>
      <c r="O1749" s="1005">
        <v>32</v>
      </c>
    </row>
    <row r="1750" spans="1:15" collapsed="1" x14ac:dyDescent="0.2">
      <c r="A1750"/>
      <c r="B1750" s="1002">
        <v>125</v>
      </c>
      <c r="C1750" s="1003"/>
      <c r="D1750" s="1003"/>
      <c r="E1750" s="1003">
        <v>25</v>
      </c>
      <c r="F1750" s="1003"/>
      <c r="G1750" s="1003"/>
      <c r="H1750" s="1003"/>
      <c r="I1750" s="1003"/>
      <c r="J1750" s="1003"/>
      <c r="K1750" s="1003">
        <f t="shared" si="27"/>
        <v>25</v>
      </c>
      <c r="L1750" s="1004"/>
      <c r="M1750" s="1003"/>
      <c r="N1750" s="1003">
        <v>18</v>
      </c>
      <c r="O1750" s="1005">
        <v>32</v>
      </c>
    </row>
    <row r="1751" spans="1:15" collapsed="1" x14ac:dyDescent="0.2">
      <c r="A1751"/>
      <c r="B1751" s="1002">
        <v>125</v>
      </c>
      <c r="C1751" s="1003"/>
      <c r="D1751" s="1003"/>
      <c r="E1751" s="1003">
        <v>19</v>
      </c>
      <c r="F1751" s="1003">
        <v>5</v>
      </c>
      <c r="G1751" s="1003"/>
      <c r="H1751" s="1003"/>
      <c r="I1751" s="1003"/>
      <c r="J1751" s="1003"/>
      <c r="K1751" s="1003">
        <f t="shared" si="27"/>
        <v>24</v>
      </c>
      <c r="L1751" s="1004"/>
      <c r="M1751" s="1003"/>
      <c r="N1751" s="1003">
        <v>16</v>
      </c>
      <c r="O1751" s="1005">
        <v>32</v>
      </c>
    </row>
    <row r="1752" spans="1:15" collapsed="1" x14ac:dyDescent="0.2">
      <c r="A1752"/>
      <c r="B1752" s="1002">
        <v>125</v>
      </c>
      <c r="C1752" s="1003"/>
      <c r="D1752" s="1003"/>
      <c r="E1752" s="1003">
        <v>13</v>
      </c>
      <c r="F1752" s="1003">
        <v>10</v>
      </c>
      <c r="G1752" s="1003"/>
      <c r="H1752" s="1003"/>
      <c r="I1752" s="1003"/>
      <c r="J1752" s="1003"/>
      <c r="K1752" s="1003">
        <f t="shared" si="27"/>
        <v>23</v>
      </c>
      <c r="L1752" s="1004"/>
      <c r="M1752" s="1003"/>
      <c r="N1752" s="1003">
        <v>14</v>
      </c>
      <c r="O1752" s="1005">
        <v>32</v>
      </c>
    </row>
    <row r="1753" spans="1:15" collapsed="1" x14ac:dyDescent="0.2">
      <c r="A1753"/>
      <c r="B1753" s="1002">
        <v>125</v>
      </c>
      <c r="C1753" s="1003"/>
      <c r="D1753" s="1003"/>
      <c r="E1753" s="1003">
        <v>7</v>
      </c>
      <c r="F1753" s="1003">
        <v>15</v>
      </c>
      <c r="G1753" s="1003"/>
      <c r="H1753" s="1003"/>
      <c r="I1753" s="1003"/>
      <c r="J1753" s="1003"/>
      <c r="K1753" s="1003">
        <f t="shared" si="27"/>
        <v>22</v>
      </c>
      <c r="L1753" s="1004"/>
      <c r="M1753" s="1003"/>
      <c r="N1753" s="1003">
        <v>12</v>
      </c>
      <c r="O1753" s="1005">
        <v>32</v>
      </c>
    </row>
    <row r="1754" spans="1:15" collapsed="1" x14ac:dyDescent="0.2">
      <c r="A1754"/>
      <c r="B1754" s="1002">
        <v>125</v>
      </c>
      <c r="C1754" s="1003"/>
      <c r="D1754" s="1003"/>
      <c r="E1754" s="1003">
        <v>1</v>
      </c>
      <c r="F1754" s="1003">
        <v>20</v>
      </c>
      <c r="G1754" s="1003"/>
      <c r="H1754" s="1003"/>
      <c r="I1754" s="1003"/>
      <c r="J1754" s="1003"/>
      <c r="K1754" s="1003">
        <f t="shared" si="27"/>
        <v>21</v>
      </c>
      <c r="L1754" s="1004"/>
      <c r="M1754" s="1003"/>
      <c r="N1754" s="1003">
        <v>10</v>
      </c>
      <c r="O1754" s="1005">
        <v>32</v>
      </c>
    </row>
    <row r="1755" spans="1:15" collapsed="1" x14ac:dyDescent="0.2">
      <c r="A1755"/>
      <c r="B1755" s="1002">
        <v>125</v>
      </c>
      <c r="C1755" s="1003"/>
      <c r="D1755" s="1003"/>
      <c r="E1755" s="1003"/>
      <c r="F1755" s="1003">
        <v>15</v>
      </c>
      <c r="G1755" s="1003">
        <v>5</v>
      </c>
      <c r="H1755" s="1003"/>
      <c r="I1755" s="1003"/>
      <c r="J1755" s="1003"/>
      <c r="K1755" s="1003">
        <f t="shared" si="27"/>
        <v>20</v>
      </c>
      <c r="L1755" s="1004"/>
      <c r="M1755" s="1003"/>
      <c r="N1755" s="1003">
        <v>8</v>
      </c>
      <c r="O1755" s="1005">
        <v>32</v>
      </c>
    </row>
    <row r="1756" spans="1:15" collapsed="1" x14ac:dyDescent="0.2">
      <c r="A1756"/>
      <c r="B1756" s="1002">
        <v>125</v>
      </c>
      <c r="C1756" s="1003"/>
      <c r="D1756" s="1003"/>
      <c r="E1756" s="1003"/>
      <c r="F1756" s="1003">
        <v>8</v>
      </c>
      <c r="G1756" s="1003">
        <v>11</v>
      </c>
      <c r="H1756" s="1003"/>
      <c r="I1756" s="1003"/>
      <c r="J1756" s="1003"/>
      <c r="K1756" s="1003">
        <f t="shared" si="27"/>
        <v>19</v>
      </c>
      <c r="L1756" s="1004"/>
      <c r="M1756" s="1003"/>
      <c r="N1756" s="1003">
        <v>6</v>
      </c>
      <c r="O1756" s="1005">
        <v>32</v>
      </c>
    </row>
    <row r="1757" spans="1:15" collapsed="1" x14ac:dyDescent="0.2">
      <c r="A1757"/>
      <c r="B1757" s="1002">
        <v>125</v>
      </c>
      <c r="C1757" s="1003"/>
      <c r="D1757" s="1003"/>
      <c r="E1757" s="1003"/>
      <c r="F1757" s="1003">
        <v>1</v>
      </c>
      <c r="G1757" s="1003">
        <v>17</v>
      </c>
      <c r="H1757" s="1003"/>
      <c r="I1757" s="1003"/>
      <c r="J1757" s="1003"/>
      <c r="K1757" s="1003">
        <f t="shared" si="27"/>
        <v>18</v>
      </c>
      <c r="L1757" s="1004"/>
      <c r="M1757" s="1003"/>
      <c r="N1757" s="1003">
        <v>4</v>
      </c>
      <c r="O1757" s="1005">
        <v>32</v>
      </c>
    </row>
    <row r="1758" spans="1:15" collapsed="1" x14ac:dyDescent="0.2">
      <c r="A1758"/>
      <c r="B1758" s="1002">
        <v>125</v>
      </c>
      <c r="C1758" s="1003"/>
      <c r="D1758" s="1003"/>
      <c r="E1758" s="1003"/>
      <c r="F1758" s="1003"/>
      <c r="G1758" s="1003">
        <v>11</v>
      </c>
      <c r="H1758" s="1003">
        <v>6</v>
      </c>
      <c r="I1758" s="1003"/>
      <c r="J1758" s="1003"/>
      <c r="K1758" s="1003">
        <f t="shared" si="27"/>
        <v>17</v>
      </c>
      <c r="L1758" s="1004"/>
      <c r="M1758" s="1003"/>
      <c r="N1758" s="1003">
        <v>2</v>
      </c>
      <c r="O1758" s="1005">
        <v>32</v>
      </c>
    </row>
    <row r="1759" spans="1:15" collapsed="1" x14ac:dyDescent="0.2">
      <c r="A1759"/>
      <c r="B1759" s="1002">
        <v>125</v>
      </c>
      <c r="C1759" s="1003"/>
      <c r="D1759" s="1003"/>
      <c r="E1759" s="1003"/>
      <c r="F1759" s="1003"/>
      <c r="G1759" s="1003">
        <v>3</v>
      </c>
      <c r="H1759" s="1003">
        <v>13</v>
      </c>
      <c r="I1759" s="1003"/>
      <c r="J1759" s="1003"/>
      <c r="K1759" s="1003">
        <f t="shared" si="27"/>
        <v>16</v>
      </c>
      <c r="L1759" s="1004"/>
      <c r="M1759" s="1003"/>
      <c r="N1759" s="1003"/>
      <c r="O1759" s="1005">
        <v>32</v>
      </c>
    </row>
    <row r="1760" spans="1:15" collapsed="1" x14ac:dyDescent="0.2">
      <c r="A1760"/>
      <c r="B1760" s="1002">
        <v>125</v>
      </c>
      <c r="C1760" s="1003"/>
      <c r="D1760" s="1003"/>
      <c r="E1760" s="1003"/>
      <c r="F1760" s="1003"/>
      <c r="G1760" s="1003"/>
      <c r="H1760" s="1003">
        <v>11</v>
      </c>
      <c r="I1760" s="1003">
        <v>4</v>
      </c>
      <c r="J1760" s="1003"/>
      <c r="K1760" s="1003">
        <f t="shared" si="27"/>
        <v>15</v>
      </c>
      <c r="L1760" s="1004"/>
      <c r="M1760" s="1003"/>
      <c r="N1760" s="1003">
        <v>14</v>
      </c>
      <c r="O1760" s="1005">
        <v>16</v>
      </c>
    </row>
    <row r="1761" spans="1:15" x14ac:dyDescent="0.2">
      <c r="A1761"/>
      <c r="B1761" s="1002">
        <v>125</v>
      </c>
      <c r="C1761" s="1003"/>
      <c r="D1761" s="1003"/>
      <c r="E1761" s="1003"/>
      <c r="F1761" s="1003"/>
      <c r="G1761" s="1003"/>
      <c r="H1761" s="1003">
        <v>1</v>
      </c>
      <c r="I1761" s="1003">
        <v>13</v>
      </c>
      <c r="J1761" s="1003"/>
      <c r="K1761" s="1003">
        <f t="shared" si="27"/>
        <v>14</v>
      </c>
      <c r="L1761" s="1004"/>
      <c r="M1761" s="1003"/>
      <c r="N1761" s="1003">
        <v>12</v>
      </c>
      <c r="O1761" s="1005">
        <v>16</v>
      </c>
    </row>
    <row r="1762" spans="1:15" collapsed="1" x14ac:dyDescent="0.2">
      <c r="A1762"/>
      <c r="B1762" s="1002">
        <v>125</v>
      </c>
      <c r="C1762" s="1003"/>
      <c r="D1762" s="1003"/>
      <c r="E1762" s="1003"/>
      <c r="F1762" s="1003"/>
      <c r="G1762" s="1003"/>
      <c r="H1762" s="1003"/>
      <c r="I1762" s="1003">
        <v>5</v>
      </c>
      <c r="J1762" s="1003">
        <v>8</v>
      </c>
      <c r="K1762" s="1003">
        <f t="shared" si="27"/>
        <v>13</v>
      </c>
      <c r="L1762" s="1004"/>
      <c r="M1762" s="1003"/>
      <c r="N1762" s="1003">
        <v>10</v>
      </c>
      <c r="O1762" s="1005">
        <v>16</v>
      </c>
    </row>
    <row r="1763" spans="1:15" collapsed="1" x14ac:dyDescent="0.2">
      <c r="A1763"/>
      <c r="B1763" s="1002">
        <v>126</v>
      </c>
      <c r="C1763" s="1003">
        <v>32</v>
      </c>
      <c r="D1763" s="1003"/>
      <c r="E1763" s="1003"/>
      <c r="F1763" s="1003"/>
      <c r="G1763" s="1003"/>
      <c r="H1763" s="1003"/>
      <c r="I1763" s="1003"/>
      <c r="J1763" s="1003"/>
      <c r="K1763" s="1003">
        <f t="shared" si="27"/>
        <v>32</v>
      </c>
      <c r="L1763" s="1004"/>
      <c r="M1763" s="1003">
        <v>3</v>
      </c>
      <c r="N1763" s="1003">
        <v>3</v>
      </c>
      <c r="O1763" s="1005">
        <v>64</v>
      </c>
    </row>
    <row r="1764" spans="1:15" collapsed="1" x14ac:dyDescent="0.2">
      <c r="A1764"/>
      <c r="B1764" s="1002">
        <v>126</v>
      </c>
      <c r="C1764" s="1003">
        <v>2</v>
      </c>
      <c r="D1764" s="1003">
        <v>30</v>
      </c>
      <c r="E1764" s="1003"/>
      <c r="F1764" s="1003"/>
      <c r="G1764" s="1003"/>
      <c r="H1764" s="1003"/>
      <c r="I1764" s="1003"/>
      <c r="J1764" s="1003"/>
      <c r="K1764" s="1003">
        <f t="shared" si="27"/>
        <v>32</v>
      </c>
      <c r="L1764" s="1004"/>
      <c r="M1764" s="1003"/>
      <c r="N1764" s="1003"/>
      <c r="O1764" s="1005">
        <v>64</v>
      </c>
    </row>
    <row r="1765" spans="1:15" collapsed="1" x14ac:dyDescent="0.2">
      <c r="A1765"/>
      <c r="B1765" s="1002">
        <v>126</v>
      </c>
      <c r="C1765" s="1003"/>
      <c r="D1765" s="1003">
        <v>29</v>
      </c>
      <c r="E1765" s="1003">
        <v>2</v>
      </c>
      <c r="F1765" s="1003"/>
      <c r="G1765" s="1003"/>
      <c r="H1765" s="1003"/>
      <c r="I1765" s="1003"/>
      <c r="J1765" s="1003"/>
      <c r="K1765" s="1003">
        <f t="shared" si="27"/>
        <v>31</v>
      </c>
      <c r="L1765" s="1004"/>
      <c r="M1765" s="1003"/>
      <c r="N1765" s="1003">
        <v>30</v>
      </c>
      <c r="O1765" s="1005">
        <v>32</v>
      </c>
    </row>
    <row r="1766" spans="1:15" collapsed="1" x14ac:dyDescent="0.2">
      <c r="A1766"/>
      <c r="B1766" s="1002">
        <v>126</v>
      </c>
      <c r="C1766" s="1003"/>
      <c r="D1766" s="1003">
        <v>24</v>
      </c>
      <c r="E1766" s="1003">
        <v>6</v>
      </c>
      <c r="F1766" s="1003"/>
      <c r="G1766" s="1003"/>
      <c r="H1766" s="1003"/>
      <c r="I1766" s="1003"/>
      <c r="J1766" s="1003"/>
      <c r="K1766" s="1003">
        <f t="shared" si="27"/>
        <v>30</v>
      </c>
      <c r="L1766" s="1004"/>
      <c r="M1766" s="1003"/>
      <c r="N1766" s="1003">
        <v>28</v>
      </c>
      <c r="O1766" s="1005">
        <v>32</v>
      </c>
    </row>
    <row r="1767" spans="1:15" collapsed="1" x14ac:dyDescent="0.2">
      <c r="A1767"/>
      <c r="B1767" s="1002">
        <v>126</v>
      </c>
      <c r="C1767" s="1003"/>
      <c r="D1767" s="1003">
        <v>19</v>
      </c>
      <c r="E1767" s="1003">
        <v>10</v>
      </c>
      <c r="F1767" s="1003"/>
      <c r="G1767" s="1003"/>
      <c r="H1767" s="1003"/>
      <c r="I1767" s="1003"/>
      <c r="J1767" s="1003"/>
      <c r="K1767" s="1003">
        <f t="shared" si="27"/>
        <v>29</v>
      </c>
      <c r="L1767" s="1004"/>
      <c r="M1767" s="1003"/>
      <c r="N1767" s="1003">
        <v>26</v>
      </c>
      <c r="O1767" s="1005">
        <v>32</v>
      </c>
    </row>
    <row r="1768" spans="1:15" collapsed="1" x14ac:dyDescent="0.2">
      <c r="A1768"/>
      <c r="B1768" s="1002">
        <v>126</v>
      </c>
      <c r="C1768" s="1003"/>
      <c r="D1768" s="1003">
        <v>14</v>
      </c>
      <c r="E1768" s="1003">
        <v>14</v>
      </c>
      <c r="F1768" s="1003"/>
      <c r="G1768" s="1003"/>
      <c r="H1768" s="1003"/>
      <c r="I1768" s="1003"/>
      <c r="J1768" s="1003"/>
      <c r="K1768" s="1003">
        <f t="shared" si="27"/>
        <v>28</v>
      </c>
      <c r="L1768" s="1004"/>
      <c r="M1768" s="1003"/>
      <c r="N1768" s="1003">
        <v>24</v>
      </c>
      <c r="O1768" s="1005">
        <v>32</v>
      </c>
    </row>
    <row r="1769" spans="1:15" collapsed="1" x14ac:dyDescent="0.2">
      <c r="A1769"/>
      <c r="B1769" s="1002">
        <v>126</v>
      </c>
      <c r="C1769" s="1003"/>
      <c r="D1769" s="1003">
        <v>9</v>
      </c>
      <c r="E1769" s="1003">
        <v>18</v>
      </c>
      <c r="F1769" s="1003"/>
      <c r="G1769" s="1003"/>
      <c r="H1769" s="1003"/>
      <c r="I1769" s="1003"/>
      <c r="J1769" s="1003"/>
      <c r="K1769" s="1003">
        <f t="shared" si="27"/>
        <v>27</v>
      </c>
      <c r="L1769" s="1004"/>
      <c r="M1769" s="1003"/>
      <c r="N1769" s="1003">
        <v>22</v>
      </c>
      <c r="O1769" s="1005">
        <v>32</v>
      </c>
    </row>
    <row r="1770" spans="1:15" collapsed="1" x14ac:dyDescent="0.2">
      <c r="A1770"/>
      <c r="B1770" s="1002">
        <v>126</v>
      </c>
      <c r="C1770" s="1003"/>
      <c r="D1770" s="1003">
        <v>4</v>
      </c>
      <c r="E1770" s="1003">
        <v>22</v>
      </c>
      <c r="F1770" s="1003"/>
      <c r="G1770" s="1003"/>
      <c r="H1770" s="1003"/>
      <c r="I1770" s="1003"/>
      <c r="J1770" s="1003"/>
      <c r="K1770" s="1003">
        <f t="shared" si="27"/>
        <v>26</v>
      </c>
      <c r="L1770" s="1004"/>
      <c r="M1770" s="1003"/>
      <c r="N1770" s="1003">
        <v>20</v>
      </c>
      <c r="O1770" s="1005">
        <v>32</v>
      </c>
    </row>
    <row r="1771" spans="1:15" collapsed="1" x14ac:dyDescent="0.2">
      <c r="A1771"/>
      <c r="B1771" s="1002">
        <v>126</v>
      </c>
      <c r="C1771" s="1003"/>
      <c r="D1771" s="1003"/>
      <c r="E1771" s="1003">
        <v>24</v>
      </c>
      <c r="F1771" s="1003">
        <v>1</v>
      </c>
      <c r="G1771" s="1003"/>
      <c r="H1771" s="1003"/>
      <c r="I1771" s="1003"/>
      <c r="J1771" s="1003"/>
      <c r="K1771" s="1003">
        <f t="shared" si="27"/>
        <v>25</v>
      </c>
      <c r="L1771" s="1004"/>
      <c r="M1771" s="1003"/>
      <c r="N1771" s="1003">
        <v>18</v>
      </c>
      <c r="O1771" s="1005">
        <v>32</v>
      </c>
    </row>
    <row r="1772" spans="1:15" collapsed="1" x14ac:dyDescent="0.2">
      <c r="A1772"/>
      <c r="B1772" s="1002">
        <v>126</v>
      </c>
      <c r="C1772" s="1003"/>
      <c r="D1772" s="1003"/>
      <c r="E1772" s="1003">
        <v>18</v>
      </c>
      <c r="F1772" s="1003">
        <v>6</v>
      </c>
      <c r="G1772" s="1003"/>
      <c r="H1772" s="1003"/>
      <c r="I1772" s="1003"/>
      <c r="J1772" s="1003"/>
      <c r="K1772" s="1003">
        <f t="shared" si="27"/>
        <v>24</v>
      </c>
      <c r="L1772" s="1004"/>
      <c r="M1772" s="1003"/>
      <c r="N1772" s="1003">
        <v>16</v>
      </c>
      <c r="O1772" s="1005">
        <v>32</v>
      </c>
    </row>
    <row r="1773" spans="1:15" collapsed="1" x14ac:dyDescent="0.2">
      <c r="A1773"/>
      <c r="B1773" s="1002">
        <v>126</v>
      </c>
      <c r="C1773" s="1003"/>
      <c r="D1773" s="1003"/>
      <c r="E1773" s="1003">
        <v>12</v>
      </c>
      <c r="F1773" s="1003">
        <v>11</v>
      </c>
      <c r="G1773" s="1003"/>
      <c r="H1773" s="1003"/>
      <c r="I1773" s="1003"/>
      <c r="J1773" s="1003"/>
      <c r="K1773" s="1003">
        <f t="shared" si="27"/>
        <v>23</v>
      </c>
      <c r="L1773" s="1004"/>
      <c r="M1773" s="1003"/>
      <c r="N1773" s="1003">
        <v>14</v>
      </c>
      <c r="O1773" s="1005">
        <v>32</v>
      </c>
    </row>
    <row r="1774" spans="1:15" collapsed="1" x14ac:dyDescent="0.2">
      <c r="A1774"/>
      <c r="B1774" s="1002">
        <v>126</v>
      </c>
      <c r="C1774" s="1003"/>
      <c r="D1774" s="1003"/>
      <c r="E1774" s="1003">
        <v>6</v>
      </c>
      <c r="F1774" s="1003">
        <v>16</v>
      </c>
      <c r="G1774" s="1003"/>
      <c r="H1774" s="1003"/>
      <c r="I1774" s="1003"/>
      <c r="J1774" s="1003"/>
      <c r="K1774" s="1003">
        <f t="shared" si="27"/>
        <v>22</v>
      </c>
      <c r="L1774" s="1004"/>
      <c r="M1774" s="1003"/>
      <c r="N1774" s="1003">
        <v>12</v>
      </c>
      <c r="O1774" s="1005">
        <v>32</v>
      </c>
    </row>
    <row r="1775" spans="1:15" collapsed="1" x14ac:dyDescent="0.2">
      <c r="A1775"/>
      <c r="B1775" s="1002">
        <v>126</v>
      </c>
      <c r="C1775" s="1003"/>
      <c r="D1775" s="1003"/>
      <c r="E1775" s="1003"/>
      <c r="F1775" s="1003">
        <v>21</v>
      </c>
      <c r="G1775" s="1003"/>
      <c r="H1775" s="1003"/>
      <c r="I1775" s="1003"/>
      <c r="J1775" s="1003"/>
      <c r="K1775" s="1003">
        <f t="shared" si="27"/>
        <v>21</v>
      </c>
      <c r="L1775" s="1004"/>
      <c r="M1775" s="1003"/>
      <c r="N1775" s="1003">
        <v>10</v>
      </c>
      <c r="O1775" s="1005">
        <v>32</v>
      </c>
    </row>
    <row r="1776" spans="1:15" collapsed="1" x14ac:dyDescent="0.2">
      <c r="A1776"/>
      <c r="B1776" s="1002">
        <v>126</v>
      </c>
      <c r="C1776" s="1003"/>
      <c r="D1776" s="1003"/>
      <c r="E1776" s="1003"/>
      <c r="F1776" s="1003">
        <v>14</v>
      </c>
      <c r="G1776" s="1003">
        <v>6</v>
      </c>
      <c r="H1776" s="1003"/>
      <c r="I1776" s="1003"/>
      <c r="J1776" s="1003"/>
      <c r="K1776" s="1003">
        <f t="shared" si="27"/>
        <v>20</v>
      </c>
      <c r="L1776" s="1004"/>
      <c r="M1776" s="1003"/>
      <c r="N1776" s="1003">
        <v>8</v>
      </c>
      <c r="O1776" s="1005">
        <v>32</v>
      </c>
    </row>
    <row r="1777" spans="1:15" collapsed="1" x14ac:dyDescent="0.2">
      <c r="A1777"/>
      <c r="B1777" s="1002">
        <v>126</v>
      </c>
      <c r="C1777" s="1003"/>
      <c r="D1777" s="1003"/>
      <c r="E1777" s="1003"/>
      <c r="F1777" s="1003">
        <v>7</v>
      </c>
      <c r="G1777" s="1003">
        <v>12</v>
      </c>
      <c r="H1777" s="1003"/>
      <c r="I1777" s="1003"/>
      <c r="J1777" s="1003"/>
      <c r="K1777" s="1003">
        <f t="shared" si="27"/>
        <v>19</v>
      </c>
      <c r="L1777" s="1004"/>
      <c r="M1777" s="1003"/>
      <c r="N1777" s="1003">
        <v>6</v>
      </c>
      <c r="O1777" s="1005">
        <v>32</v>
      </c>
    </row>
    <row r="1778" spans="1:15" collapsed="1" x14ac:dyDescent="0.2">
      <c r="A1778"/>
      <c r="B1778" s="1002">
        <v>126</v>
      </c>
      <c r="C1778" s="1003"/>
      <c r="D1778" s="1003"/>
      <c r="E1778" s="1003"/>
      <c r="F1778" s="1003"/>
      <c r="G1778" s="1003">
        <v>18</v>
      </c>
      <c r="H1778" s="1003"/>
      <c r="I1778" s="1003"/>
      <c r="J1778" s="1003"/>
      <c r="K1778" s="1003">
        <f t="shared" si="27"/>
        <v>18</v>
      </c>
      <c r="L1778" s="1004"/>
      <c r="M1778" s="1003"/>
      <c r="N1778" s="1003">
        <v>4</v>
      </c>
      <c r="O1778" s="1005">
        <v>32</v>
      </c>
    </row>
    <row r="1779" spans="1:15" collapsed="1" x14ac:dyDescent="0.2">
      <c r="A1779"/>
      <c r="B1779" s="1002">
        <v>126</v>
      </c>
      <c r="C1779" s="1003"/>
      <c r="D1779" s="1003"/>
      <c r="E1779" s="1003"/>
      <c r="F1779" s="1003"/>
      <c r="G1779" s="1003">
        <v>10</v>
      </c>
      <c r="H1779" s="1003">
        <v>7</v>
      </c>
      <c r="I1779" s="1003"/>
      <c r="J1779" s="1003"/>
      <c r="K1779" s="1003">
        <f t="shared" si="27"/>
        <v>17</v>
      </c>
      <c r="L1779" s="1004"/>
      <c r="M1779" s="1003"/>
      <c r="N1779" s="1003">
        <v>2</v>
      </c>
      <c r="O1779" s="1005">
        <v>32</v>
      </c>
    </row>
    <row r="1780" spans="1:15" collapsed="1" x14ac:dyDescent="0.2">
      <c r="A1780"/>
      <c r="B1780" s="1002">
        <v>126</v>
      </c>
      <c r="C1780" s="1003"/>
      <c r="D1780" s="1003"/>
      <c r="E1780" s="1003"/>
      <c r="F1780" s="1003"/>
      <c r="G1780" s="1003">
        <v>2</v>
      </c>
      <c r="H1780" s="1003">
        <v>14</v>
      </c>
      <c r="I1780" s="1003"/>
      <c r="J1780" s="1003"/>
      <c r="K1780" s="1003">
        <f t="shared" si="27"/>
        <v>16</v>
      </c>
      <c r="L1780" s="1004"/>
      <c r="M1780" s="1003"/>
      <c r="N1780" s="1003"/>
      <c r="O1780" s="1005">
        <v>32</v>
      </c>
    </row>
    <row r="1781" spans="1:15" collapsed="1" x14ac:dyDescent="0.2">
      <c r="A1781"/>
      <c r="B1781" s="1002">
        <v>126</v>
      </c>
      <c r="C1781" s="1003"/>
      <c r="D1781" s="1003"/>
      <c r="E1781" s="1003"/>
      <c r="F1781" s="1003"/>
      <c r="G1781" s="1003"/>
      <c r="H1781" s="1003">
        <v>10</v>
      </c>
      <c r="I1781" s="1003">
        <v>5</v>
      </c>
      <c r="J1781" s="1003"/>
      <c r="K1781" s="1003">
        <f t="shared" si="27"/>
        <v>15</v>
      </c>
      <c r="L1781" s="1004"/>
      <c r="M1781" s="1003"/>
      <c r="N1781" s="1003">
        <v>14</v>
      </c>
      <c r="O1781" s="1005">
        <v>16</v>
      </c>
    </row>
    <row r="1782" spans="1:15" x14ac:dyDescent="0.2">
      <c r="A1782"/>
      <c r="B1782" s="1002">
        <v>126</v>
      </c>
      <c r="C1782" s="1003"/>
      <c r="D1782" s="1003"/>
      <c r="E1782" s="1003"/>
      <c r="F1782" s="1003"/>
      <c r="G1782" s="1003"/>
      <c r="H1782" s="1003"/>
      <c r="I1782" s="1003">
        <v>14</v>
      </c>
      <c r="J1782" s="1003"/>
      <c r="K1782" s="1003">
        <f t="shared" si="27"/>
        <v>14</v>
      </c>
      <c r="L1782" s="1004"/>
      <c r="M1782" s="1003"/>
      <c r="N1782" s="1003">
        <v>12</v>
      </c>
      <c r="O1782" s="1005">
        <v>16</v>
      </c>
    </row>
    <row r="1783" spans="1:15" collapsed="1" x14ac:dyDescent="0.2">
      <c r="A1783"/>
      <c r="B1783" s="1002">
        <v>126</v>
      </c>
      <c r="C1783" s="1003"/>
      <c r="D1783" s="1003"/>
      <c r="E1783" s="1003"/>
      <c r="F1783" s="1003"/>
      <c r="G1783" s="1003"/>
      <c r="H1783" s="1003"/>
      <c r="I1783" s="1003">
        <v>4</v>
      </c>
      <c r="J1783" s="1003">
        <v>9</v>
      </c>
      <c r="K1783" s="1003">
        <f t="shared" si="27"/>
        <v>13</v>
      </c>
      <c r="L1783" s="1004"/>
      <c r="M1783" s="1003"/>
      <c r="N1783" s="1003">
        <v>10</v>
      </c>
      <c r="O1783" s="1005">
        <v>16</v>
      </c>
    </row>
    <row r="1784" spans="1:15" collapsed="1" x14ac:dyDescent="0.2">
      <c r="A1784"/>
      <c r="B1784" s="1002">
        <v>127</v>
      </c>
      <c r="C1784" s="1003">
        <v>32</v>
      </c>
      <c r="D1784" s="1003"/>
      <c r="E1784" s="1003"/>
      <c r="F1784" s="1003"/>
      <c r="G1784" s="1003"/>
      <c r="H1784" s="1003"/>
      <c r="I1784" s="1003"/>
      <c r="J1784" s="1003"/>
      <c r="K1784" s="1003">
        <f t="shared" si="27"/>
        <v>32</v>
      </c>
      <c r="L1784" s="1004"/>
      <c r="M1784" s="1003">
        <v>31</v>
      </c>
      <c r="N1784" s="1003">
        <v>31</v>
      </c>
      <c r="O1784" s="1005">
        <v>64</v>
      </c>
    </row>
    <row r="1785" spans="1:15" collapsed="1" x14ac:dyDescent="0.2">
      <c r="A1785"/>
      <c r="B1785" s="1002">
        <v>127</v>
      </c>
      <c r="C1785" s="1003">
        <v>1</v>
      </c>
      <c r="D1785" s="1003">
        <v>31</v>
      </c>
      <c r="E1785" s="1003"/>
      <c r="F1785" s="1003"/>
      <c r="G1785" s="1003"/>
      <c r="H1785" s="1003"/>
      <c r="I1785" s="1003"/>
      <c r="J1785" s="1003"/>
      <c r="K1785" s="1003">
        <f t="shared" si="27"/>
        <v>32</v>
      </c>
      <c r="L1785" s="1004"/>
      <c r="M1785" s="1003"/>
      <c r="N1785" s="1003"/>
      <c r="O1785" s="1005">
        <v>64</v>
      </c>
    </row>
    <row r="1786" spans="1:15" collapsed="1" x14ac:dyDescent="0.2">
      <c r="A1786"/>
      <c r="B1786" s="1002">
        <v>127</v>
      </c>
      <c r="C1786" s="1003"/>
      <c r="D1786" s="1003">
        <v>28</v>
      </c>
      <c r="E1786" s="1003">
        <v>3</v>
      </c>
      <c r="F1786" s="1003"/>
      <c r="G1786" s="1003"/>
      <c r="H1786" s="1003"/>
      <c r="I1786" s="1003"/>
      <c r="J1786" s="1003"/>
      <c r="K1786" s="1003">
        <f t="shared" si="27"/>
        <v>31</v>
      </c>
      <c r="L1786" s="1004"/>
      <c r="M1786" s="1003"/>
      <c r="N1786" s="1003">
        <v>30</v>
      </c>
      <c r="O1786" s="1005">
        <v>32</v>
      </c>
    </row>
    <row r="1787" spans="1:15" collapsed="1" x14ac:dyDescent="0.2">
      <c r="A1787"/>
      <c r="B1787" s="1002">
        <v>127</v>
      </c>
      <c r="C1787" s="1003"/>
      <c r="D1787" s="1003">
        <v>23</v>
      </c>
      <c r="E1787" s="1003">
        <v>7</v>
      </c>
      <c r="F1787" s="1003"/>
      <c r="G1787" s="1003"/>
      <c r="H1787" s="1003"/>
      <c r="I1787" s="1003"/>
      <c r="J1787" s="1003"/>
      <c r="K1787" s="1003">
        <f t="shared" si="27"/>
        <v>30</v>
      </c>
      <c r="L1787" s="1004"/>
      <c r="M1787" s="1003"/>
      <c r="N1787" s="1003">
        <v>28</v>
      </c>
      <c r="O1787" s="1005">
        <v>32</v>
      </c>
    </row>
    <row r="1788" spans="1:15" collapsed="1" x14ac:dyDescent="0.2">
      <c r="A1788"/>
      <c r="B1788" s="1002">
        <v>127</v>
      </c>
      <c r="C1788" s="1003"/>
      <c r="D1788" s="1003">
        <v>18</v>
      </c>
      <c r="E1788" s="1003">
        <v>11</v>
      </c>
      <c r="F1788" s="1003"/>
      <c r="G1788" s="1003"/>
      <c r="H1788" s="1003"/>
      <c r="I1788" s="1003"/>
      <c r="J1788" s="1003"/>
      <c r="K1788" s="1003">
        <f t="shared" si="27"/>
        <v>29</v>
      </c>
      <c r="L1788" s="1004"/>
      <c r="M1788" s="1003"/>
      <c r="N1788" s="1003">
        <v>26</v>
      </c>
      <c r="O1788" s="1005">
        <v>32</v>
      </c>
    </row>
    <row r="1789" spans="1:15" collapsed="1" x14ac:dyDescent="0.2">
      <c r="A1789"/>
      <c r="B1789" s="1002">
        <v>127</v>
      </c>
      <c r="C1789" s="1003"/>
      <c r="D1789" s="1003">
        <v>13</v>
      </c>
      <c r="E1789" s="1003">
        <v>15</v>
      </c>
      <c r="F1789" s="1003"/>
      <c r="G1789" s="1003"/>
      <c r="H1789" s="1003"/>
      <c r="I1789" s="1003"/>
      <c r="J1789" s="1003"/>
      <c r="K1789" s="1003">
        <f t="shared" si="27"/>
        <v>28</v>
      </c>
      <c r="L1789" s="1004"/>
      <c r="M1789" s="1003"/>
      <c r="N1789" s="1003">
        <v>24</v>
      </c>
      <c r="O1789" s="1005">
        <v>32</v>
      </c>
    </row>
    <row r="1790" spans="1:15" collapsed="1" x14ac:dyDescent="0.2">
      <c r="A1790"/>
      <c r="B1790" s="1002">
        <v>127</v>
      </c>
      <c r="C1790" s="1003"/>
      <c r="D1790" s="1003">
        <v>8</v>
      </c>
      <c r="E1790" s="1003">
        <v>19</v>
      </c>
      <c r="F1790" s="1003"/>
      <c r="G1790" s="1003"/>
      <c r="H1790" s="1003"/>
      <c r="I1790" s="1003"/>
      <c r="J1790" s="1003"/>
      <c r="K1790" s="1003">
        <f t="shared" si="27"/>
        <v>27</v>
      </c>
      <c r="L1790" s="1004"/>
      <c r="M1790" s="1003"/>
      <c r="N1790" s="1003">
        <v>22</v>
      </c>
      <c r="O1790" s="1005">
        <v>32</v>
      </c>
    </row>
    <row r="1791" spans="1:15" collapsed="1" x14ac:dyDescent="0.2">
      <c r="A1791"/>
      <c r="B1791" s="1002">
        <v>127</v>
      </c>
      <c r="C1791" s="1003"/>
      <c r="D1791" s="1003">
        <v>3</v>
      </c>
      <c r="E1791" s="1003">
        <v>23</v>
      </c>
      <c r="F1791" s="1003"/>
      <c r="G1791" s="1003"/>
      <c r="H1791" s="1003"/>
      <c r="I1791" s="1003"/>
      <c r="J1791" s="1003"/>
      <c r="K1791" s="1003">
        <f t="shared" si="27"/>
        <v>26</v>
      </c>
      <c r="L1791" s="1004"/>
      <c r="M1791" s="1003"/>
      <c r="N1791" s="1003">
        <v>20</v>
      </c>
      <c r="O1791" s="1005">
        <v>32</v>
      </c>
    </row>
    <row r="1792" spans="1:15" collapsed="1" x14ac:dyDescent="0.2">
      <c r="A1792"/>
      <c r="B1792" s="1002">
        <v>127</v>
      </c>
      <c r="C1792" s="1003"/>
      <c r="D1792" s="1003"/>
      <c r="E1792" s="1003">
        <v>23</v>
      </c>
      <c r="F1792" s="1003">
        <v>2</v>
      </c>
      <c r="G1792" s="1003"/>
      <c r="H1792" s="1003"/>
      <c r="I1792" s="1003"/>
      <c r="J1792" s="1003"/>
      <c r="K1792" s="1003">
        <f t="shared" si="27"/>
        <v>25</v>
      </c>
      <c r="L1792" s="1004"/>
      <c r="M1792" s="1003"/>
      <c r="N1792" s="1003">
        <v>18</v>
      </c>
      <c r="O1792" s="1005">
        <v>32</v>
      </c>
    </row>
    <row r="1793" spans="1:15" collapsed="1" x14ac:dyDescent="0.2">
      <c r="A1793"/>
      <c r="B1793" s="1002">
        <v>127</v>
      </c>
      <c r="C1793" s="1003"/>
      <c r="D1793" s="1003"/>
      <c r="E1793" s="1003">
        <v>17</v>
      </c>
      <c r="F1793" s="1003">
        <v>7</v>
      </c>
      <c r="G1793" s="1003"/>
      <c r="H1793" s="1003"/>
      <c r="I1793" s="1003"/>
      <c r="J1793" s="1003"/>
      <c r="K1793" s="1003">
        <f t="shared" si="27"/>
        <v>24</v>
      </c>
      <c r="L1793" s="1004"/>
      <c r="M1793" s="1003"/>
      <c r="N1793" s="1003">
        <v>16</v>
      </c>
      <c r="O1793" s="1005">
        <v>32</v>
      </c>
    </row>
    <row r="1794" spans="1:15" collapsed="1" x14ac:dyDescent="0.2">
      <c r="A1794"/>
      <c r="B1794" s="1002">
        <v>127</v>
      </c>
      <c r="C1794" s="1003"/>
      <c r="D1794" s="1003"/>
      <c r="E1794" s="1003">
        <v>11</v>
      </c>
      <c r="F1794" s="1003">
        <v>12</v>
      </c>
      <c r="G1794" s="1003"/>
      <c r="H1794" s="1003"/>
      <c r="I1794" s="1003"/>
      <c r="J1794" s="1003"/>
      <c r="K1794" s="1003">
        <f t="shared" si="27"/>
        <v>23</v>
      </c>
      <c r="L1794" s="1004"/>
      <c r="M1794" s="1003"/>
      <c r="N1794" s="1003">
        <v>14</v>
      </c>
      <c r="O1794" s="1005">
        <v>32</v>
      </c>
    </row>
    <row r="1795" spans="1:15" collapsed="1" x14ac:dyDescent="0.2">
      <c r="A1795"/>
      <c r="B1795" s="1002">
        <v>127</v>
      </c>
      <c r="C1795" s="1003"/>
      <c r="D1795" s="1003"/>
      <c r="E1795" s="1003">
        <v>5</v>
      </c>
      <c r="F1795" s="1003">
        <v>17</v>
      </c>
      <c r="G1795" s="1003"/>
      <c r="H1795" s="1003"/>
      <c r="I1795" s="1003"/>
      <c r="J1795" s="1003"/>
      <c r="K1795" s="1003">
        <f t="shared" si="27"/>
        <v>22</v>
      </c>
      <c r="L1795" s="1004"/>
      <c r="M1795" s="1003"/>
      <c r="N1795" s="1003">
        <v>12</v>
      </c>
      <c r="O1795" s="1005">
        <v>32</v>
      </c>
    </row>
    <row r="1796" spans="1:15" collapsed="1" x14ac:dyDescent="0.2">
      <c r="A1796"/>
      <c r="B1796" s="1002">
        <v>127</v>
      </c>
      <c r="C1796" s="1003"/>
      <c r="D1796" s="1003"/>
      <c r="E1796" s="1003"/>
      <c r="F1796" s="1003">
        <v>20</v>
      </c>
      <c r="G1796" s="1003">
        <v>1</v>
      </c>
      <c r="H1796" s="1003"/>
      <c r="I1796" s="1003"/>
      <c r="J1796" s="1003"/>
      <c r="K1796" s="1003">
        <f t="shared" si="27"/>
        <v>21</v>
      </c>
      <c r="L1796" s="1004"/>
      <c r="M1796" s="1003"/>
      <c r="N1796" s="1003">
        <v>10</v>
      </c>
      <c r="O1796" s="1005">
        <v>32</v>
      </c>
    </row>
    <row r="1797" spans="1:15" collapsed="1" x14ac:dyDescent="0.2">
      <c r="A1797"/>
      <c r="B1797" s="1002">
        <v>127</v>
      </c>
      <c r="C1797" s="1003"/>
      <c r="D1797" s="1003"/>
      <c r="E1797" s="1003"/>
      <c r="F1797" s="1003">
        <v>13</v>
      </c>
      <c r="G1797" s="1003">
        <v>7</v>
      </c>
      <c r="H1797" s="1003"/>
      <c r="I1797" s="1003"/>
      <c r="J1797" s="1003"/>
      <c r="K1797" s="1003">
        <f t="shared" si="27"/>
        <v>20</v>
      </c>
      <c r="L1797" s="1004"/>
      <c r="M1797" s="1003"/>
      <c r="N1797" s="1003">
        <v>8</v>
      </c>
      <c r="O1797" s="1005">
        <v>32</v>
      </c>
    </row>
    <row r="1798" spans="1:15" collapsed="1" x14ac:dyDescent="0.2">
      <c r="A1798"/>
      <c r="B1798" s="1002">
        <v>127</v>
      </c>
      <c r="C1798" s="1003"/>
      <c r="D1798" s="1003"/>
      <c r="E1798" s="1003"/>
      <c r="F1798" s="1003">
        <v>6</v>
      </c>
      <c r="G1798" s="1003">
        <v>13</v>
      </c>
      <c r="H1798" s="1003"/>
      <c r="I1798" s="1003"/>
      <c r="J1798" s="1003"/>
      <c r="K1798" s="1003">
        <f t="shared" ref="K1798:K1825" si="28">SUM(C1798:J1798)</f>
        <v>19</v>
      </c>
      <c r="L1798" s="1004"/>
      <c r="M1798" s="1003"/>
      <c r="N1798" s="1003">
        <v>6</v>
      </c>
      <c r="O1798" s="1005">
        <v>32</v>
      </c>
    </row>
    <row r="1799" spans="1:15" collapsed="1" x14ac:dyDescent="0.2">
      <c r="A1799"/>
      <c r="B1799" s="1002">
        <v>127</v>
      </c>
      <c r="C1799" s="1003"/>
      <c r="D1799" s="1003"/>
      <c r="E1799" s="1003"/>
      <c r="F1799" s="1003"/>
      <c r="G1799" s="1003">
        <v>17</v>
      </c>
      <c r="H1799" s="1003">
        <v>1</v>
      </c>
      <c r="I1799" s="1003"/>
      <c r="J1799" s="1003"/>
      <c r="K1799" s="1003">
        <f t="shared" si="28"/>
        <v>18</v>
      </c>
      <c r="L1799" s="1004"/>
      <c r="M1799" s="1003"/>
      <c r="N1799" s="1003">
        <v>4</v>
      </c>
      <c r="O1799" s="1005">
        <v>32</v>
      </c>
    </row>
    <row r="1800" spans="1:15" collapsed="1" x14ac:dyDescent="0.2">
      <c r="A1800"/>
      <c r="B1800" s="1002">
        <v>127</v>
      </c>
      <c r="C1800" s="1003"/>
      <c r="D1800" s="1003"/>
      <c r="E1800" s="1003"/>
      <c r="F1800" s="1003"/>
      <c r="G1800" s="1003">
        <v>9</v>
      </c>
      <c r="H1800" s="1003">
        <v>8</v>
      </c>
      <c r="I1800" s="1003"/>
      <c r="J1800" s="1003"/>
      <c r="K1800" s="1003">
        <f t="shared" si="28"/>
        <v>17</v>
      </c>
      <c r="L1800" s="1004"/>
      <c r="M1800" s="1003"/>
      <c r="N1800" s="1003">
        <v>2</v>
      </c>
      <c r="O1800" s="1005">
        <v>32</v>
      </c>
    </row>
    <row r="1801" spans="1:15" collapsed="1" x14ac:dyDescent="0.2">
      <c r="A1801"/>
      <c r="B1801" s="1002">
        <v>127</v>
      </c>
      <c r="C1801" s="1003"/>
      <c r="D1801" s="1003"/>
      <c r="E1801" s="1003"/>
      <c r="F1801" s="1003"/>
      <c r="G1801" s="1003">
        <v>1</v>
      </c>
      <c r="H1801" s="1003">
        <v>15</v>
      </c>
      <c r="I1801" s="1003"/>
      <c r="J1801" s="1003"/>
      <c r="K1801" s="1003">
        <f t="shared" si="28"/>
        <v>16</v>
      </c>
      <c r="L1801" s="1004"/>
      <c r="M1801" s="1003"/>
      <c r="N1801" s="1003"/>
      <c r="O1801" s="1005">
        <v>32</v>
      </c>
    </row>
    <row r="1802" spans="1:15" collapsed="1" x14ac:dyDescent="0.2">
      <c r="A1802"/>
      <c r="B1802" s="1002">
        <v>127</v>
      </c>
      <c r="C1802" s="1003"/>
      <c r="D1802" s="1003"/>
      <c r="E1802" s="1003"/>
      <c r="F1802" s="1003"/>
      <c r="G1802" s="1003"/>
      <c r="H1802" s="1003">
        <v>9</v>
      </c>
      <c r="I1802" s="1003">
        <v>6</v>
      </c>
      <c r="J1802" s="1003"/>
      <c r="K1802" s="1003">
        <f t="shared" si="28"/>
        <v>15</v>
      </c>
      <c r="L1802" s="1004"/>
      <c r="M1802" s="1003"/>
      <c r="N1802" s="1003">
        <v>14</v>
      </c>
      <c r="O1802" s="1005">
        <v>16</v>
      </c>
    </row>
    <row r="1803" spans="1:15" x14ac:dyDescent="0.2">
      <c r="A1803"/>
      <c r="B1803" s="1002">
        <v>127</v>
      </c>
      <c r="C1803" s="1003"/>
      <c r="D1803" s="1003"/>
      <c r="E1803" s="1003"/>
      <c r="F1803" s="1003"/>
      <c r="G1803" s="1003"/>
      <c r="H1803" s="1003"/>
      <c r="I1803" s="1003">
        <v>13</v>
      </c>
      <c r="J1803" s="1003">
        <v>1</v>
      </c>
      <c r="K1803" s="1003">
        <f t="shared" si="28"/>
        <v>14</v>
      </c>
      <c r="L1803" s="1004"/>
      <c r="M1803" s="1003"/>
      <c r="N1803" s="1003">
        <v>12</v>
      </c>
      <c r="O1803" s="1005">
        <v>16</v>
      </c>
    </row>
    <row r="1804" spans="1:15" collapsed="1" x14ac:dyDescent="0.2">
      <c r="A1804"/>
      <c r="B1804" s="1002">
        <v>127</v>
      </c>
      <c r="C1804" s="1003"/>
      <c r="D1804" s="1003"/>
      <c r="E1804" s="1003"/>
      <c r="F1804" s="1003"/>
      <c r="G1804" s="1003"/>
      <c r="H1804" s="1003"/>
      <c r="I1804" s="1003">
        <v>3</v>
      </c>
      <c r="J1804" s="1003">
        <v>10</v>
      </c>
      <c r="K1804" s="1003">
        <f t="shared" si="28"/>
        <v>13</v>
      </c>
      <c r="L1804" s="1004"/>
      <c r="M1804" s="1003"/>
      <c r="N1804" s="1003">
        <v>10</v>
      </c>
      <c r="O1804" s="1005">
        <v>16</v>
      </c>
    </row>
    <row r="1805" spans="1:15" collapsed="1" x14ac:dyDescent="0.2">
      <c r="A1805"/>
      <c r="B1805" s="1002">
        <v>128</v>
      </c>
      <c r="C1805" s="1003">
        <v>32</v>
      </c>
      <c r="D1805" s="1003"/>
      <c r="E1805" s="1003"/>
      <c r="F1805" s="1003"/>
      <c r="G1805" s="1003"/>
      <c r="H1805" s="1003"/>
      <c r="I1805" s="1003"/>
      <c r="J1805" s="1003"/>
      <c r="K1805" s="1003">
        <f t="shared" si="28"/>
        <v>32</v>
      </c>
      <c r="L1805" s="1004"/>
      <c r="M1805" s="1003">
        <v>32</v>
      </c>
      <c r="N1805" s="1003">
        <v>32</v>
      </c>
      <c r="O1805" s="1005">
        <v>64</v>
      </c>
    </row>
    <row r="1806" spans="1:15" collapsed="1" x14ac:dyDescent="0.2">
      <c r="A1806"/>
      <c r="B1806" s="1002">
        <v>128</v>
      </c>
      <c r="C1806" s="1003"/>
      <c r="D1806" s="1003">
        <v>32</v>
      </c>
      <c r="E1806" s="1003"/>
      <c r="F1806" s="1003"/>
      <c r="G1806" s="1003"/>
      <c r="H1806" s="1003"/>
      <c r="I1806" s="1003"/>
      <c r="J1806" s="1003"/>
      <c r="K1806" s="1003">
        <f t="shared" si="28"/>
        <v>32</v>
      </c>
      <c r="L1806" s="1004"/>
      <c r="M1806" s="1003"/>
      <c r="N1806" s="1003"/>
      <c r="O1806" s="1005">
        <v>64</v>
      </c>
    </row>
    <row r="1807" spans="1:15" collapsed="1" x14ac:dyDescent="0.2">
      <c r="A1807"/>
      <c r="B1807" s="1002">
        <v>128</v>
      </c>
      <c r="C1807" s="1003"/>
      <c r="D1807" s="1003">
        <v>27</v>
      </c>
      <c r="E1807" s="1003">
        <v>4</v>
      </c>
      <c r="F1807" s="1003"/>
      <c r="G1807" s="1003"/>
      <c r="H1807" s="1003"/>
      <c r="I1807" s="1003"/>
      <c r="J1807" s="1003"/>
      <c r="K1807" s="1003">
        <f t="shared" si="28"/>
        <v>31</v>
      </c>
      <c r="L1807" s="1004"/>
      <c r="M1807" s="1003"/>
      <c r="N1807" s="1003">
        <v>30</v>
      </c>
      <c r="O1807" s="1005">
        <v>32</v>
      </c>
    </row>
    <row r="1808" spans="1:15" collapsed="1" x14ac:dyDescent="0.2">
      <c r="A1808"/>
      <c r="B1808" s="1002">
        <v>128</v>
      </c>
      <c r="C1808" s="1003"/>
      <c r="D1808" s="1003">
        <v>22</v>
      </c>
      <c r="E1808" s="1003">
        <v>8</v>
      </c>
      <c r="F1808" s="1003"/>
      <c r="G1808" s="1003"/>
      <c r="H1808" s="1003"/>
      <c r="I1808" s="1003"/>
      <c r="J1808" s="1003"/>
      <c r="K1808" s="1003">
        <f t="shared" si="28"/>
        <v>30</v>
      </c>
      <c r="L1808" s="1004"/>
      <c r="M1808" s="1003"/>
      <c r="N1808" s="1003">
        <v>28</v>
      </c>
      <c r="O1808" s="1005">
        <v>32</v>
      </c>
    </row>
    <row r="1809" spans="1:15" collapsed="1" x14ac:dyDescent="0.2">
      <c r="A1809"/>
      <c r="B1809" s="1002">
        <v>128</v>
      </c>
      <c r="C1809" s="1003"/>
      <c r="D1809" s="1003">
        <v>17</v>
      </c>
      <c r="E1809" s="1003">
        <v>12</v>
      </c>
      <c r="F1809" s="1003"/>
      <c r="G1809" s="1003"/>
      <c r="H1809" s="1003"/>
      <c r="I1809" s="1003"/>
      <c r="J1809" s="1003"/>
      <c r="K1809" s="1003">
        <f t="shared" si="28"/>
        <v>29</v>
      </c>
      <c r="L1809" s="1004"/>
      <c r="M1809" s="1003"/>
      <c r="N1809" s="1003">
        <v>26</v>
      </c>
      <c r="O1809" s="1005">
        <v>32</v>
      </c>
    </row>
    <row r="1810" spans="1:15" collapsed="1" x14ac:dyDescent="0.2">
      <c r="A1810"/>
      <c r="B1810" s="1002">
        <v>128</v>
      </c>
      <c r="C1810" s="1003"/>
      <c r="D1810" s="1003">
        <v>12</v>
      </c>
      <c r="E1810" s="1003">
        <v>16</v>
      </c>
      <c r="F1810" s="1003"/>
      <c r="G1810" s="1003"/>
      <c r="H1810" s="1003"/>
      <c r="I1810" s="1003"/>
      <c r="J1810" s="1003"/>
      <c r="K1810" s="1003">
        <f t="shared" si="28"/>
        <v>28</v>
      </c>
      <c r="L1810" s="1004"/>
      <c r="M1810" s="1003"/>
      <c r="N1810" s="1003">
        <v>24</v>
      </c>
      <c r="O1810" s="1005">
        <v>32</v>
      </c>
    </row>
    <row r="1811" spans="1:15" collapsed="1" x14ac:dyDescent="0.2">
      <c r="A1811"/>
      <c r="B1811" s="1002">
        <v>128</v>
      </c>
      <c r="C1811" s="1003"/>
      <c r="D1811" s="1003">
        <v>7</v>
      </c>
      <c r="E1811" s="1003">
        <v>20</v>
      </c>
      <c r="F1811" s="1003"/>
      <c r="G1811" s="1003"/>
      <c r="H1811" s="1003"/>
      <c r="I1811" s="1003"/>
      <c r="J1811" s="1003"/>
      <c r="K1811" s="1003">
        <f t="shared" si="28"/>
        <v>27</v>
      </c>
      <c r="L1811" s="1004"/>
      <c r="M1811" s="1003"/>
      <c r="N1811" s="1003">
        <v>22</v>
      </c>
      <c r="O1811" s="1005">
        <v>32</v>
      </c>
    </row>
    <row r="1812" spans="1:15" collapsed="1" x14ac:dyDescent="0.2">
      <c r="A1812"/>
      <c r="B1812" s="1002">
        <v>128</v>
      </c>
      <c r="C1812" s="1003"/>
      <c r="D1812" s="1003">
        <v>2</v>
      </c>
      <c r="E1812" s="1003">
        <v>24</v>
      </c>
      <c r="F1812" s="1003"/>
      <c r="G1812" s="1003"/>
      <c r="H1812" s="1003"/>
      <c r="I1812" s="1003"/>
      <c r="J1812" s="1003"/>
      <c r="K1812" s="1003">
        <f t="shared" si="28"/>
        <v>26</v>
      </c>
      <c r="L1812" s="1004"/>
      <c r="M1812" s="1003"/>
      <c r="N1812" s="1003">
        <v>20</v>
      </c>
      <c r="O1812" s="1005">
        <v>32</v>
      </c>
    </row>
    <row r="1813" spans="1:15" collapsed="1" x14ac:dyDescent="0.2">
      <c r="A1813"/>
      <c r="B1813" s="1002">
        <v>128</v>
      </c>
      <c r="C1813" s="1003"/>
      <c r="D1813" s="1003"/>
      <c r="E1813" s="1003">
        <v>22</v>
      </c>
      <c r="F1813" s="1003">
        <v>3</v>
      </c>
      <c r="G1813" s="1003"/>
      <c r="H1813" s="1003"/>
      <c r="I1813" s="1003"/>
      <c r="J1813" s="1003"/>
      <c r="K1813" s="1003">
        <f t="shared" si="28"/>
        <v>25</v>
      </c>
      <c r="L1813" s="1004"/>
      <c r="M1813" s="1003"/>
      <c r="N1813" s="1003">
        <v>18</v>
      </c>
      <c r="O1813" s="1005">
        <v>32</v>
      </c>
    </row>
    <row r="1814" spans="1:15" collapsed="1" x14ac:dyDescent="0.2">
      <c r="A1814"/>
      <c r="B1814" s="1002">
        <v>128</v>
      </c>
      <c r="C1814" s="1003"/>
      <c r="D1814" s="1003"/>
      <c r="E1814" s="1003">
        <v>16</v>
      </c>
      <c r="F1814" s="1003">
        <v>8</v>
      </c>
      <c r="G1814" s="1003"/>
      <c r="H1814" s="1003"/>
      <c r="I1814" s="1003"/>
      <c r="J1814" s="1003"/>
      <c r="K1814" s="1003">
        <f t="shared" si="28"/>
        <v>24</v>
      </c>
      <c r="L1814" s="1004"/>
      <c r="M1814" s="1003"/>
      <c r="N1814" s="1003">
        <v>16</v>
      </c>
      <c r="O1814" s="1005">
        <v>32</v>
      </c>
    </row>
    <row r="1815" spans="1:15" collapsed="1" x14ac:dyDescent="0.2">
      <c r="A1815"/>
      <c r="B1815" s="1002">
        <v>128</v>
      </c>
      <c r="C1815" s="1003"/>
      <c r="D1815" s="1003"/>
      <c r="E1815" s="1003">
        <v>10</v>
      </c>
      <c r="F1815" s="1003">
        <v>13</v>
      </c>
      <c r="G1815" s="1003"/>
      <c r="H1815" s="1003"/>
      <c r="I1815" s="1003"/>
      <c r="J1815" s="1003"/>
      <c r="K1815" s="1003">
        <f t="shared" si="28"/>
        <v>23</v>
      </c>
      <c r="L1815" s="1004"/>
      <c r="M1815" s="1003"/>
      <c r="N1815" s="1003">
        <v>14</v>
      </c>
      <c r="O1815" s="1005">
        <v>32</v>
      </c>
    </row>
    <row r="1816" spans="1:15" collapsed="1" x14ac:dyDescent="0.2">
      <c r="A1816"/>
      <c r="B1816" s="1002">
        <v>128</v>
      </c>
      <c r="C1816" s="1003"/>
      <c r="D1816" s="1003"/>
      <c r="E1816" s="1003">
        <v>4</v>
      </c>
      <c r="F1816" s="1003">
        <v>18</v>
      </c>
      <c r="G1816" s="1003"/>
      <c r="H1816" s="1003"/>
      <c r="I1816" s="1003"/>
      <c r="J1816" s="1003"/>
      <c r="K1816" s="1003">
        <f t="shared" si="28"/>
        <v>22</v>
      </c>
      <c r="L1816" s="1004"/>
      <c r="M1816" s="1003"/>
      <c r="N1816" s="1003">
        <v>12</v>
      </c>
      <c r="O1816" s="1005">
        <v>32</v>
      </c>
    </row>
    <row r="1817" spans="1:15" collapsed="1" x14ac:dyDescent="0.2">
      <c r="A1817"/>
      <c r="B1817" s="1002">
        <v>128</v>
      </c>
      <c r="C1817" s="1003"/>
      <c r="D1817" s="1003"/>
      <c r="E1817" s="1003"/>
      <c r="F1817" s="1003">
        <v>19</v>
      </c>
      <c r="G1817" s="1003">
        <v>2</v>
      </c>
      <c r="H1817" s="1003"/>
      <c r="I1817" s="1003"/>
      <c r="J1817" s="1003"/>
      <c r="K1817" s="1003">
        <f t="shared" si="28"/>
        <v>21</v>
      </c>
      <c r="L1817" s="1004"/>
      <c r="M1817" s="1003"/>
      <c r="N1817" s="1003">
        <v>10</v>
      </c>
      <c r="O1817" s="1005">
        <v>32</v>
      </c>
    </row>
    <row r="1818" spans="1:15" collapsed="1" x14ac:dyDescent="0.2">
      <c r="A1818"/>
      <c r="B1818" s="1002">
        <v>128</v>
      </c>
      <c r="C1818" s="1003"/>
      <c r="D1818" s="1003"/>
      <c r="E1818" s="1003"/>
      <c r="F1818" s="1003">
        <v>12</v>
      </c>
      <c r="G1818" s="1003">
        <v>8</v>
      </c>
      <c r="H1818" s="1003"/>
      <c r="I1818" s="1003"/>
      <c r="J1818" s="1003"/>
      <c r="K1818" s="1003">
        <f t="shared" si="28"/>
        <v>20</v>
      </c>
      <c r="L1818" s="1004"/>
      <c r="M1818" s="1003"/>
      <c r="N1818" s="1003">
        <v>8</v>
      </c>
      <c r="O1818" s="1005">
        <v>32</v>
      </c>
    </row>
    <row r="1819" spans="1:15" collapsed="1" x14ac:dyDescent="0.2">
      <c r="A1819"/>
      <c r="B1819" s="1002">
        <v>128</v>
      </c>
      <c r="C1819" s="1003"/>
      <c r="D1819" s="1003"/>
      <c r="E1819" s="1003"/>
      <c r="F1819" s="1003">
        <v>5</v>
      </c>
      <c r="G1819" s="1003">
        <v>14</v>
      </c>
      <c r="H1819" s="1003"/>
      <c r="I1819" s="1003"/>
      <c r="J1819" s="1003"/>
      <c r="K1819" s="1003">
        <f t="shared" si="28"/>
        <v>19</v>
      </c>
      <c r="L1819" s="1004"/>
      <c r="M1819" s="1003"/>
      <c r="N1819" s="1003">
        <v>6</v>
      </c>
      <c r="O1819" s="1005">
        <v>32</v>
      </c>
    </row>
    <row r="1820" spans="1:15" collapsed="1" x14ac:dyDescent="0.2">
      <c r="A1820"/>
      <c r="B1820" s="1002">
        <v>128</v>
      </c>
      <c r="C1820" s="1003"/>
      <c r="D1820" s="1003"/>
      <c r="E1820" s="1003"/>
      <c r="F1820" s="1003"/>
      <c r="G1820" s="1003">
        <v>16</v>
      </c>
      <c r="H1820" s="1003">
        <v>2</v>
      </c>
      <c r="I1820" s="1003"/>
      <c r="J1820" s="1003"/>
      <c r="K1820" s="1003">
        <f t="shared" si="28"/>
        <v>18</v>
      </c>
      <c r="L1820" s="1004"/>
      <c r="M1820" s="1003"/>
      <c r="N1820" s="1003">
        <v>4</v>
      </c>
      <c r="O1820" s="1005">
        <v>32</v>
      </c>
    </row>
    <row r="1821" spans="1:15" collapsed="1" x14ac:dyDescent="0.2">
      <c r="A1821"/>
      <c r="B1821" s="1002">
        <v>128</v>
      </c>
      <c r="C1821" s="1003"/>
      <c r="D1821" s="1003"/>
      <c r="E1821" s="1003"/>
      <c r="F1821" s="1003"/>
      <c r="G1821" s="1003">
        <v>8</v>
      </c>
      <c r="H1821" s="1003">
        <v>9</v>
      </c>
      <c r="I1821" s="1003"/>
      <c r="J1821" s="1003"/>
      <c r="K1821" s="1003">
        <f t="shared" si="28"/>
        <v>17</v>
      </c>
      <c r="L1821" s="1004"/>
      <c r="M1821" s="1003"/>
      <c r="N1821" s="1003">
        <v>2</v>
      </c>
      <c r="O1821" s="1005">
        <v>32</v>
      </c>
    </row>
    <row r="1822" spans="1:15" collapsed="1" x14ac:dyDescent="0.2">
      <c r="A1822"/>
      <c r="B1822" s="1002">
        <v>128</v>
      </c>
      <c r="C1822" s="1003"/>
      <c r="D1822" s="1003"/>
      <c r="E1822" s="1003"/>
      <c r="F1822" s="1003"/>
      <c r="G1822" s="1003"/>
      <c r="H1822" s="1003">
        <v>16</v>
      </c>
      <c r="I1822" s="1003"/>
      <c r="J1822" s="1003"/>
      <c r="K1822" s="1003">
        <f t="shared" si="28"/>
        <v>16</v>
      </c>
      <c r="L1822" s="1004"/>
      <c r="M1822" s="1003"/>
      <c r="N1822" s="1003"/>
      <c r="O1822" s="1005">
        <v>32</v>
      </c>
    </row>
    <row r="1823" spans="1:15" collapsed="1" x14ac:dyDescent="0.2">
      <c r="A1823"/>
      <c r="B1823" s="1002">
        <v>128</v>
      </c>
      <c r="C1823" s="1003"/>
      <c r="D1823" s="1003"/>
      <c r="E1823" s="1003"/>
      <c r="F1823" s="1003"/>
      <c r="G1823" s="1003"/>
      <c r="H1823" s="1003">
        <v>8</v>
      </c>
      <c r="I1823" s="1003">
        <v>7</v>
      </c>
      <c r="J1823" s="1003"/>
      <c r="K1823" s="1003">
        <f t="shared" si="28"/>
        <v>15</v>
      </c>
      <c r="L1823" s="1004"/>
      <c r="M1823" s="1003"/>
      <c r="N1823" s="1003">
        <v>14</v>
      </c>
      <c r="O1823" s="1005">
        <v>16</v>
      </c>
    </row>
    <row r="1824" spans="1:15" x14ac:dyDescent="0.2">
      <c r="A1824"/>
      <c r="B1824" s="1002">
        <v>128</v>
      </c>
      <c r="C1824" s="1003"/>
      <c r="D1824" s="1003"/>
      <c r="E1824" s="1003"/>
      <c r="F1824" s="1003"/>
      <c r="G1824" s="1003"/>
      <c r="H1824" s="1003"/>
      <c r="I1824" s="1003">
        <v>12</v>
      </c>
      <c r="J1824" s="1003">
        <v>2</v>
      </c>
      <c r="K1824" s="1003">
        <f t="shared" si="28"/>
        <v>14</v>
      </c>
      <c r="L1824" s="1004"/>
      <c r="M1824" s="1003"/>
      <c r="N1824" s="1003">
        <v>12</v>
      </c>
      <c r="O1824" s="1005">
        <v>16</v>
      </c>
    </row>
    <row r="1825" spans="1:15" collapsed="1" x14ac:dyDescent="0.2">
      <c r="A1825"/>
      <c r="B1825" s="1002">
        <v>128</v>
      </c>
      <c r="C1825" s="1003"/>
      <c r="D1825" s="1003"/>
      <c r="E1825" s="1003"/>
      <c r="F1825" s="1003"/>
      <c r="G1825" s="1003"/>
      <c r="H1825" s="1003"/>
      <c r="I1825" s="1003">
        <v>2</v>
      </c>
      <c r="J1825" s="1003">
        <v>11</v>
      </c>
      <c r="K1825" s="1003">
        <f t="shared" si="28"/>
        <v>13</v>
      </c>
      <c r="L1825" s="1004"/>
      <c r="M1825" s="1003"/>
      <c r="N1825" s="1003">
        <v>10</v>
      </c>
      <c r="O1825" s="1005">
        <v>16</v>
      </c>
    </row>
  </sheetData>
  <sheetProtection sheet="1" objects="1" scenarios="1" formatColumns="0" formatRows="0"/>
  <sortState xmlns:xlrd2="http://schemas.microsoft.com/office/spreadsheetml/2017/richdata2" ref="B6:O1825">
    <sortCondition ref="B6"/>
    <sortCondition descending="1" ref="K6"/>
  </sortState>
  <dataConsolidate/>
  <customSheetViews>
    <customSheetView guid="{13F24B0A-7740-483A-BEF7-5257F8522605}" scale="130" showGridLines="0" state="hidden">
      <pane ySplit="5" topLeftCell="A1514" activePane="bottomLeft" state="frozen"/>
      <selection pane="bottomLeft" activeCell="S1819" sqref="S1819"/>
      <pageMargins left="0.7" right="0.7" top="0.75" bottom="0.75" header="0.3" footer="0.3"/>
      <pageSetup paperSize="9" orientation="portrait" r:id="rId1"/>
      <headerFooter alignWithMargins="0"/>
    </customSheetView>
  </customSheetViews>
  <mergeCells count="8">
    <mergeCell ref="B1:O1"/>
    <mergeCell ref="B3:O3"/>
    <mergeCell ref="B4:B5"/>
    <mergeCell ref="C4:J4"/>
    <mergeCell ref="M4:M5"/>
    <mergeCell ref="N4:N5"/>
    <mergeCell ref="O4:O5"/>
    <mergeCell ref="K4:K5"/>
  </mergeCells>
  <phoneticPr fontId="61" type="noConversion"/>
  <pageMargins left="0.7" right="0.7" top="0.75" bottom="0.75" header="0.3" footer="0.3"/>
  <pageSetup paperSize="9" orientation="portrait"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_PlanningModel">
    <tabColor theme="0" tint="-0.249977111117893"/>
    <outlinePr summaryBelow="0"/>
    <pageSetUpPr fitToPage="1"/>
  </sheetPr>
  <dimension ref="A1:AP75"/>
  <sheetViews>
    <sheetView showGridLines="0" zoomScaleNormal="100" workbookViewId="0">
      <pane ySplit="3" topLeftCell="A34" activePane="bottomLeft" state="frozen"/>
      <selection activeCell="N33" sqref="N33"/>
      <selection pane="bottomLeft" activeCell="S61" sqref="S61"/>
    </sheetView>
  </sheetViews>
  <sheetFormatPr baseColWidth="10" defaultColWidth="4.85546875" defaultRowHeight="12.75" outlineLevelRow="2" x14ac:dyDescent="0.2"/>
  <cols>
    <col min="1" max="1" width="8.140625" style="7" bestFit="1" customWidth="1"/>
    <col min="2" max="2" width="1.42578125" style="7" customWidth="1"/>
    <col min="3" max="3" width="29.28515625" style="7" customWidth="1"/>
    <col min="4" max="4" width="2" style="7" customWidth="1"/>
    <col min="5" max="5" width="7.140625" style="7" customWidth="1"/>
    <col min="6" max="6" width="2.42578125" style="7" customWidth="1"/>
    <col min="7" max="7" width="5.42578125" style="7" hidden="1" customWidth="1"/>
    <col min="8" max="11" width="11.5703125" style="7" hidden="1" customWidth="1"/>
    <col min="12" max="12" width="22.5703125" style="7" customWidth="1"/>
    <col min="13" max="13" width="3.140625" style="7" bestFit="1" customWidth="1"/>
    <col min="14" max="14" width="1.5703125" style="7" bestFit="1" customWidth="1"/>
    <col min="15" max="15" width="3.140625" style="7" bestFit="1" customWidth="1"/>
    <col min="16" max="16" width="27.140625" style="7" bestFit="1" customWidth="1"/>
    <col min="17" max="17" width="4.140625" style="7" bestFit="1" customWidth="1"/>
    <col min="18" max="18" width="2.28515625" style="7" bestFit="1" customWidth="1"/>
    <col min="19" max="19" width="1.5703125" style="7" bestFit="1" customWidth="1"/>
    <col min="20" max="20" width="2.28515625" style="7" bestFit="1" customWidth="1"/>
    <col min="21" max="21" width="1.7109375" style="7" customWidth="1"/>
    <col min="22" max="26" width="2.5703125" style="7" hidden="1" customWidth="1"/>
    <col min="27" max="27" width="14.5703125" style="7" bestFit="1" customWidth="1"/>
    <col min="28" max="28" width="3" style="7" customWidth="1"/>
    <col min="29" max="29" width="3.85546875" style="7" customWidth="1"/>
    <col min="30" max="30" width="6" style="7" customWidth="1"/>
    <col min="31" max="31" width="9.7109375" style="7" customWidth="1"/>
    <col min="32" max="255" width="11.42578125" style="7" customWidth="1"/>
    <col min="256" max="16383" width="4.85546875" style="7"/>
    <col min="16384" max="16384" width="3" style="7" customWidth="1"/>
  </cols>
  <sheetData>
    <row r="1" spans="1:42" ht="33" customHeight="1" thickTop="1" x14ac:dyDescent="0.2">
      <c r="A1" s="417"/>
      <c r="B1" s="418"/>
      <c r="C1" s="418"/>
      <c r="D1" s="418"/>
      <c r="E1" s="418"/>
      <c r="F1" s="418"/>
      <c r="G1" s="419"/>
      <c r="H1" s="418"/>
      <c r="I1" s="418"/>
      <c r="J1" s="418"/>
      <c r="K1" s="418"/>
      <c r="L1" s="2320" t="s">
        <v>829</v>
      </c>
      <c r="M1" s="2320"/>
      <c r="N1" s="2320"/>
      <c r="O1" s="2320"/>
      <c r="P1" s="2320"/>
      <c r="Q1" s="2320"/>
      <c r="R1" s="2320"/>
      <c r="S1" s="2320"/>
      <c r="T1" s="2320"/>
      <c r="U1" s="418"/>
      <c r="V1" s="418"/>
      <c r="W1" s="418"/>
      <c r="X1" s="418"/>
      <c r="Y1" s="418"/>
      <c r="Z1" s="418"/>
      <c r="AA1" s="1314"/>
      <c r="AB1" s="420"/>
      <c r="AC1"/>
      <c r="AD1"/>
      <c r="AE1"/>
      <c r="AF1"/>
      <c r="AG1"/>
      <c r="AH1"/>
      <c r="AI1"/>
      <c r="AJ1"/>
      <c r="AK1"/>
      <c r="AL1" s="2329" t="str">
        <f>N_CheckReferee_Club_InGroup</f>
        <v>Arbitre du même Club qu'un des joueurs de la poule</v>
      </c>
      <c r="AM1" s="2329" t="str">
        <f>N_CheckReferee_Nat_InGroup</f>
        <v>Arbitre de même Nationalité qu'un des joueurs de la poule</v>
      </c>
      <c r="AN1" s="2329" t="str">
        <f>N_CheckReferee_SameClub</f>
        <v>Arbitre du même Club qu'un des joueurs</v>
      </c>
      <c r="AO1" s="2329" t="str">
        <f>N_CheckReferee_SameNat</f>
        <v>Arbitre de même Nationalité qu'un des joueurs</v>
      </c>
      <c r="AP1" s="2329" t="str">
        <f>N_CheckReferee_SameGroup</f>
        <v>Arbitre dans la même Poule qu'un des joueurs</v>
      </c>
    </row>
    <row r="2" spans="1:42" x14ac:dyDescent="0.2">
      <c r="A2" s="421"/>
      <c r="B2" s="422"/>
      <c r="C2" s="422"/>
      <c r="D2" s="422"/>
      <c r="E2" s="2324" t="str">
        <f>N_N__de_table</f>
        <v>N° de table</v>
      </c>
      <c r="F2" s="423"/>
      <c r="G2" s="424"/>
      <c r="H2" s="422"/>
      <c r="I2" s="422"/>
      <c r="J2" s="422"/>
      <c r="K2" s="422"/>
      <c r="L2" s="2321" t="str">
        <f>N_Matches</f>
        <v>Matches</v>
      </c>
      <c r="M2" s="2322"/>
      <c r="N2" s="2322"/>
      <c r="O2" s="2322"/>
      <c r="P2" s="2322"/>
      <c r="Q2" s="425"/>
      <c r="R2" s="425"/>
      <c r="S2" s="426"/>
      <c r="T2" s="427"/>
      <c r="U2" s="422"/>
      <c r="V2" s="422"/>
      <c r="W2" s="422"/>
      <c r="X2" s="422"/>
      <c r="Y2" s="422"/>
      <c r="Z2" s="422"/>
      <c r="AA2" s="1315"/>
      <c r="AB2" s="1316"/>
      <c r="AC2" s="1890"/>
      <c r="AD2" s="1395"/>
      <c r="AE2" s="2323" t="s">
        <v>2110</v>
      </c>
      <c r="AF2" s="2323"/>
      <c r="AG2" s="2323"/>
      <c r="AH2" s="2323" t="s">
        <v>3822</v>
      </c>
      <c r="AI2" s="2323"/>
      <c r="AJ2" s="2323"/>
      <c r="AK2" s="2323"/>
      <c r="AL2" s="2330"/>
      <c r="AM2" s="2330"/>
      <c r="AN2" s="2330"/>
      <c r="AO2" s="2330"/>
      <c r="AP2" s="2330"/>
    </row>
    <row r="3" spans="1:42" ht="13.5" thickBot="1" x14ac:dyDescent="0.25">
      <c r="A3" s="428" t="str">
        <f>N_Heure</f>
        <v>Heure</v>
      </c>
      <c r="B3" s="429"/>
      <c r="C3" s="430" t="str">
        <f>N_Catégorie</f>
        <v>Stade de l'épreuve</v>
      </c>
      <c r="D3" s="431"/>
      <c r="E3" s="2325"/>
      <c r="F3" s="432"/>
      <c r="G3" s="429"/>
      <c r="H3" s="429"/>
      <c r="I3" s="429"/>
      <c r="J3" s="429"/>
      <c r="K3" s="432"/>
      <c r="L3" s="433" t="str">
        <f>N_Player1</f>
        <v>Joueur N° 1</v>
      </c>
      <c r="M3" s="434"/>
      <c r="N3" s="430" t="s">
        <v>769</v>
      </c>
      <c r="O3" s="434"/>
      <c r="P3" s="433" t="str">
        <f>N_Player2</f>
        <v>Joueur N° 2</v>
      </c>
      <c r="Q3" s="435" t="str">
        <f>N_MS</f>
        <v>MS</v>
      </c>
      <c r="R3" s="2326" t="str">
        <f>N_Diff</f>
        <v>Diff</v>
      </c>
      <c r="S3" s="2327"/>
      <c r="T3" s="2328"/>
      <c r="U3" s="431"/>
      <c r="V3" s="431"/>
      <c r="W3" s="431"/>
      <c r="X3" s="431"/>
      <c r="Y3" s="431"/>
      <c r="Z3" s="431"/>
      <c r="AA3" s="1313" t="str">
        <f>N_Arbitre</f>
        <v>Arbitre</v>
      </c>
      <c r="AB3" s="1313"/>
      <c r="AC3" s="1891"/>
      <c r="AD3" s="1395" t="s">
        <v>2109</v>
      </c>
      <c r="AE3" s="1395" t="s">
        <v>1568</v>
      </c>
      <c r="AF3" s="1395" t="s">
        <v>1589</v>
      </c>
      <c r="AG3" s="1395" t="s">
        <v>1554</v>
      </c>
      <c r="AH3" s="1395" t="str">
        <f>N_Winner</f>
        <v>Vainqueur</v>
      </c>
      <c r="AI3" s="1395" t="str">
        <f>N_Draw &amp; "1"</f>
        <v>Nul1</v>
      </c>
      <c r="AJ3" s="1395" t="str">
        <f>N_Draw &amp; "2"</f>
        <v>Nul2</v>
      </c>
      <c r="AK3" s="1395" t="str">
        <f>N_Loser</f>
        <v>Perdant</v>
      </c>
      <c r="AL3" s="2330"/>
      <c r="AM3" s="2330"/>
      <c r="AN3" s="2330"/>
      <c r="AO3" s="2330"/>
      <c r="AP3" s="2330"/>
    </row>
    <row r="4" spans="1:42" ht="15.75" thickBot="1" x14ac:dyDescent="0.25">
      <c r="A4" s="776">
        <v>0.375</v>
      </c>
      <c r="B4" s="777"/>
      <c r="C4" s="778" t="str">
        <f t="shared" ref="C4:C20" si="0">N_Session</f>
        <v xml:space="preserve">Session N° </v>
      </c>
      <c r="D4" s="779"/>
      <c r="E4" s="780">
        <v>1</v>
      </c>
      <c r="F4" s="781"/>
      <c r="G4" s="782" t="s">
        <v>554</v>
      </c>
      <c r="H4" s="781"/>
      <c r="I4" s="781"/>
      <c r="J4" s="781"/>
      <c r="K4" s="781"/>
      <c r="L4" s="778" t="str">
        <f t="shared" ref="L4:L20" si="1">N_Duration</f>
        <v>Durée</v>
      </c>
      <c r="M4" s="783"/>
      <c r="N4" s="784" t="s">
        <v>1714</v>
      </c>
      <c r="O4" s="783"/>
      <c r="P4" s="785">
        <v>2.7777777777777776E-2</v>
      </c>
      <c r="Q4" s="786"/>
      <c r="R4" s="787"/>
      <c r="S4" s="783"/>
      <c r="T4" s="787"/>
      <c r="U4" s="783"/>
      <c r="V4" s="783"/>
      <c r="W4" s="783"/>
      <c r="X4" s="783"/>
      <c r="Y4" s="783"/>
      <c r="Z4" s="783"/>
      <c r="AA4" s="799"/>
      <c r="AB4" s="801"/>
      <c r="AC4" s="1394"/>
      <c r="AD4" s="1394"/>
      <c r="AE4" s="1394"/>
      <c r="AF4" s="1394"/>
      <c r="AG4" s="1394"/>
      <c r="AH4" s="1394"/>
      <c r="AI4" s="1394"/>
      <c r="AJ4" s="1394"/>
      <c r="AK4" s="1394"/>
      <c r="AL4" s="2219"/>
      <c r="AM4" s="2219"/>
      <c r="AN4" s="2219"/>
      <c r="AO4" s="2219"/>
      <c r="AP4" s="2219"/>
    </row>
    <row r="5" spans="1:42" ht="15.75" thickBot="1" x14ac:dyDescent="0.25">
      <c r="A5" s="789">
        <f t="shared" ref="A5:A19" si="2">A4+P4</f>
        <v>0.40277777777777779</v>
      </c>
      <c r="B5" s="790"/>
      <c r="C5" s="791" t="str">
        <f t="shared" si="0"/>
        <v xml:space="preserve">Session N° </v>
      </c>
      <c r="D5" s="792"/>
      <c r="E5" s="793">
        <f t="shared" ref="E5:E19" si="3">E4+1</f>
        <v>2</v>
      </c>
      <c r="F5" s="794"/>
      <c r="G5" s="795" t="str">
        <f>"S" &amp; RIGHT(G4, LEN(G4)-1) + 1</f>
        <v>S2</v>
      </c>
      <c r="H5" s="794"/>
      <c r="I5" s="794"/>
      <c r="J5" s="794"/>
      <c r="K5" s="794"/>
      <c r="L5" s="791" t="str">
        <f t="shared" si="1"/>
        <v>Durée</v>
      </c>
      <c r="M5" s="796"/>
      <c r="N5" s="797" t="s">
        <v>1714</v>
      </c>
      <c r="O5" s="796"/>
      <c r="P5" s="798">
        <v>2.7777777777777776E-2</v>
      </c>
      <c r="Q5" s="799"/>
      <c r="R5" s="800"/>
      <c r="S5" s="796"/>
      <c r="T5" s="800"/>
      <c r="U5" s="796"/>
      <c r="V5" s="796"/>
      <c r="W5" s="796"/>
      <c r="X5" s="796"/>
      <c r="Y5" s="796"/>
      <c r="Z5" s="796"/>
      <c r="AA5" s="799"/>
      <c r="AB5" s="801"/>
      <c r="AC5" s="1394"/>
      <c r="AD5" s="1394"/>
      <c r="AE5" s="1394"/>
      <c r="AF5" s="1394"/>
      <c r="AG5" s="1394"/>
      <c r="AH5" s="1394"/>
      <c r="AI5" s="1394"/>
      <c r="AJ5" s="1394"/>
      <c r="AK5" s="1394"/>
      <c r="AL5" s="2219"/>
      <c r="AM5" s="2219"/>
      <c r="AN5" s="2219"/>
      <c r="AO5" s="2219"/>
      <c r="AP5" s="2219"/>
    </row>
    <row r="6" spans="1:42" ht="15.75" thickBot="1" x14ac:dyDescent="0.25">
      <c r="A6" s="802">
        <f t="shared" si="2"/>
        <v>0.43055555555555558</v>
      </c>
      <c r="B6" s="803"/>
      <c r="C6" s="804" t="str">
        <f t="shared" si="0"/>
        <v xml:space="preserve">Session N° </v>
      </c>
      <c r="D6" s="805"/>
      <c r="E6" s="806">
        <f t="shared" si="3"/>
        <v>3</v>
      </c>
      <c r="F6" s="807"/>
      <c r="G6" s="808" t="str">
        <f t="shared" ref="G6:G20" si="4">"S" &amp; RIGHT(G5, LEN(G5)-1) + 1</f>
        <v>S3</v>
      </c>
      <c r="H6" s="807"/>
      <c r="I6" s="807"/>
      <c r="J6" s="807"/>
      <c r="K6" s="807"/>
      <c r="L6" s="804" t="str">
        <f t="shared" si="1"/>
        <v>Durée</v>
      </c>
      <c r="M6" s="809"/>
      <c r="N6" s="810" t="s">
        <v>1714</v>
      </c>
      <c r="O6" s="809"/>
      <c r="P6" s="811">
        <v>2.7777777777777776E-2</v>
      </c>
      <c r="Q6" s="812"/>
      <c r="R6" s="813"/>
      <c r="S6" s="809"/>
      <c r="T6" s="813"/>
      <c r="U6" s="809"/>
      <c r="V6" s="809"/>
      <c r="W6" s="809"/>
      <c r="X6" s="809"/>
      <c r="Y6" s="809"/>
      <c r="Z6" s="809"/>
      <c r="AA6" s="812"/>
      <c r="AB6" s="801"/>
      <c r="AC6" s="1394"/>
      <c r="AD6" s="1394"/>
      <c r="AE6" s="1394"/>
      <c r="AF6" s="1394"/>
      <c r="AG6" s="1394"/>
      <c r="AH6" s="1394"/>
      <c r="AI6" s="1394"/>
      <c r="AJ6" s="1394"/>
      <c r="AK6" s="1394"/>
      <c r="AL6" s="2219"/>
      <c r="AM6" s="2219"/>
      <c r="AN6" s="2219"/>
      <c r="AO6" s="2219"/>
      <c r="AP6" s="2219"/>
    </row>
    <row r="7" spans="1:42" ht="15.75" thickBot="1" x14ac:dyDescent="0.25">
      <c r="A7" s="802">
        <f t="shared" si="2"/>
        <v>0.45833333333333337</v>
      </c>
      <c r="B7" s="803"/>
      <c r="C7" s="804" t="str">
        <f t="shared" si="0"/>
        <v xml:space="preserve">Session N° </v>
      </c>
      <c r="D7" s="805"/>
      <c r="E7" s="806">
        <f t="shared" si="3"/>
        <v>4</v>
      </c>
      <c r="F7" s="807"/>
      <c r="G7" s="808" t="str">
        <f t="shared" si="4"/>
        <v>S4</v>
      </c>
      <c r="H7" s="807"/>
      <c r="I7" s="807"/>
      <c r="J7" s="807"/>
      <c r="K7" s="807"/>
      <c r="L7" s="804" t="str">
        <f t="shared" si="1"/>
        <v>Durée</v>
      </c>
      <c r="M7" s="809"/>
      <c r="N7" s="810" t="s">
        <v>1714</v>
      </c>
      <c r="O7" s="809"/>
      <c r="P7" s="811">
        <v>2.7777777777777776E-2</v>
      </c>
      <c r="Q7" s="812"/>
      <c r="R7" s="813"/>
      <c r="S7" s="809"/>
      <c r="T7" s="813"/>
      <c r="U7" s="809"/>
      <c r="V7" s="809"/>
      <c r="W7" s="809"/>
      <c r="X7" s="809"/>
      <c r="Y7" s="809"/>
      <c r="Z7" s="809"/>
      <c r="AA7" s="812"/>
      <c r="AB7" s="801"/>
      <c r="AC7" s="1394"/>
      <c r="AD7" s="1394"/>
      <c r="AE7" s="1394"/>
      <c r="AF7" s="1394"/>
      <c r="AG7" s="1394"/>
      <c r="AH7" s="1394"/>
      <c r="AI7" s="1394"/>
      <c r="AJ7" s="1394"/>
      <c r="AK7" s="1394"/>
      <c r="AL7" s="2219"/>
      <c r="AM7" s="2219"/>
      <c r="AN7" s="2219"/>
      <c r="AO7" s="2219"/>
      <c r="AP7" s="2219"/>
    </row>
    <row r="8" spans="1:42" ht="15.75" thickBot="1" x14ac:dyDescent="0.25">
      <c r="A8" s="802">
        <f t="shared" si="2"/>
        <v>0.48611111111111116</v>
      </c>
      <c r="B8" s="803"/>
      <c r="C8" s="804" t="str">
        <f t="shared" si="0"/>
        <v xml:space="preserve">Session N° </v>
      </c>
      <c r="D8" s="805"/>
      <c r="E8" s="806">
        <f t="shared" si="3"/>
        <v>5</v>
      </c>
      <c r="F8" s="807"/>
      <c r="G8" s="808" t="str">
        <f t="shared" si="4"/>
        <v>S5</v>
      </c>
      <c r="H8" s="807"/>
      <c r="I8" s="807"/>
      <c r="J8" s="807"/>
      <c r="K8" s="807"/>
      <c r="L8" s="804" t="str">
        <f t="shared" si="1"/>
        <v>Durée</v>
      </c>
      <c r="M8" s="809"/>
      <c r="N8" s="810" t="s">
        <v>1714</v>
      </c>
      <c r="O8" s="809"/>
      <c r="P8" s="811">
        <v>2.7777777777777776E-2</v>
      </c>
      <c r="Q8" s="812"/>
      <c r="R8" s="813"/>
      <c r="S8" s="809"/>
      <c r="T8" s="813"/>
      <c r="U8" s="809"/>
      <c r="V8" s="809"/>
      <c r="W8" s="809"/>
      <c r="X8" s="809"/>
      <c r="Y8" s="809"/>
      <c r="Z8" s="809"/>
      <c r="AA8" s="812"/>
      <c r="AB8" s="801"/>
      <c r="AC8" s="1394"/>
      <c r="AD8" s="1394"/>
      <c r="AE8" s="1394"/>
      <c r="AF8" s="1394"/>
      <c r="AG8" s="1394"/>
      <c r="AH8" s="1394"/>
      <c r="AI8" s="1394"/>
      <c r="AJ8" s="1394"/>
      <c r="AK8" s="1394"/>
      <c r="AL8" s="2219"/>
      <c r="AM8" s="2219"/>
      <c r="AN8" s="2219"/>
      <c r="AO8" s="2219"/>
      <c r="AP8" s="2219"/>
    </row>
    <row r="9" spans="1:42" ht="15.75" thickBot="1" x14ac:dyDescent="0.25">
      <c r="A9" s="802">
        <f t="shared" si="2"/>
        <v>0.51388888888888895</v>
      </c>
      <c r="B9" s="803"/>
      <c r="C9" s="804" t="str">
        <f t="shared" si="0"/>
        <v xml:space="preserve">Session N° </v>
      </c>
      <c r="D9" s="805"/>
      <c r="E9" s="806">
        <f t="shared" si="3"/>
        <v>6</v>
      </c>
      <c r="F9" s="807"/>
      <c r="G9" s="808" t="str">
        <f t="shared" si="4"/>
        <v>S6</v>
      </c>
      <c r="H9" s="807"/>
      <c r="I9" s="807"/>
      <c r="J9" s="807"/>
      <c r="K9" s="807"/>
      <c r="L9" s="804" t="str">
        <f t="shared" si="1"/>
        <v>Durée</v>
      </c>
      <c r="M9" s="809"/>
      <c r="N9" s="810" t="s">
        <v>1714</v>
      </c>
      <c r="O9" s="809"/>
      <c r="P9" s="811">
        <v>2.7777777777777776E-2</v>
      </c>
      <c r="Q9" s="812"/>
      <c r="R9" s="813"/>
      <c r="S9" s="809"/>
      <c r="T9" s="813"/>
      <c r="U9" s="809"/>
      <c r="V9" s="809"/>
      <c r="W9" s="809"/>
      <c r="X9" s="809"/>
      <c r="Y9" s="809"/>
      <c r="Z9" s="809"/>
      <c r="AA9" s="812"/>
      <c r="AB9" s="801"/>
      <c r="AC9" s="1394"/>
      <c r="AD9" s="1394"/>
      <c r="AE9" s="1394"/>
      <c r="AF9" s="1394"/>
      <c r="AG9" s="1394"/>
      <c r="AH9" s="1394"/>
      <c r="AI9" s="1394"/>
      <c r="AJ9" s="1394"/>
      <c r="AK9" s="1394"/>
      <c r="AL9" s="2219"/>
      <c r="AM9" s="2219"/>
      <c r="AN9" s="2219"/>
      <c r="AO9" s="2219"/>
      <c r="AP9" s="2219"/>
    </row>
    <row r="10" spans="1:42" ht="15.75" thickBot="1" x14ac:dyDescent="0.25">
      <c r="A10" s="802">
        <f t="shared" si="2"/>
        <v>0.54166666666666674</v>
      </c>
      <c r="B10" s="803"/>
      <c r="C10" s="804" t="str">
        <f t="shared" si="0"/>
        <v xml:space="preserve">Session N° </v>
      </c>
      <c r="D10" s="805"/>
      <c r="E10" s="806">
        <f t="shared" si="3"/>
        <v>7</v>
      </c>
      <c r="F10" s="807"/>
      <c r="G10" s="808" t="str">
        <f t="shared" si="4"/>
        <v>S7</v>
      </c>
      <c r="H10" s="807"/>
      <c r="I10" s="807"/>
      <c r="J10" s="807"/>
      <c r="K10" s="807"/>
      <c r="L10" s="804" t="str">
        <f t="shared" si="1"/>
        <v>Durée</v>
      </c>
      <c r="M10" s="809"/>
      <c r="N10" s="810" t="s">
        <v>1714</v>
      </c>
      <c r="O10" s="809"/>
      <c r="P10" s="811">
        <v>2.7777777777777776E-2</v>
      </c>
      <c r="Q10" s="812"/>
      <c r="R10" s="813"/>
      <c r="S10" s="809"/>
      <c r="T10" s="813"/>
      <c r="U10" s="809"/>
      <c r="V10" s="809"/>
      <c r="W10" s="809"/>
      <c r="X10" s="809"/>
      <c r="Y10" s="809"/>
      <c r="Z10" s="809"/>
      <c r="AA10" s="812"/>
      <c r="AB10" s="801"/>
      <c r="AC10" s="1394"/>
      <c r="AD10" s="1394"/>
      <c r="AE10" s="1394"/>
      <c r="AF10" s="1394"/>
      <c r="AG10" s="1394"/>
      <c r="AH10" s="1394"/>
      <c r="AI10" s="1394"/>
      <c r="AJ10" s="1394"/>
      <c r="AK10" s="1394"/>
      <c r="AL10" s="2219"/>
      <c r="AM10" s="2219"/>
      <c r="AN10" s="2219"/>
      <c r="AO10" s="2219"/>
      <c r="AP10" s="2219"/>
    </row>
    <row r="11" spans="1:42" ht="15.75" thickBot="1" x14ac:dyDescent="0.25">
      <c r="A11" s="802">
        <f t="shared" si="2"/>
        <v>0.56944444444444453</v>
      </c>
      <c r="B11" s="803"/>
      <c r="C11" s="804" t="str">
        <f t="shared" si="0"/>
        <v xml:space="preserve">Session N° </v>
      </c>
      <c r="D11" s="805"/>
      <c r="E11" s="806">
        <f t="shared" si="3"/>
        <v>8</v>
      </c>
      <c r="F11" s="807"/>
      <c r="G11" s="808" t="str">
        <f t="shared" si="4"/>
        <v>S8</v>
      </c>
      <c r="H11" s="807"/>
      <c r="I11" s="807"/>
      <c r="J11" s="807"/>
      <c r="K11" s="807"/>
      <c r="L11" s="804" t="str">
        <f t="shared" si="1"/>
        <v>Durée</v>
      </c>
      <c r="M11" s="809"/>
      <c r="N11" s="810" t="s">
        <v>1714</v>
      </c>
      <c r="O11" s="809"/>
      <c r="P11" s="811">
        <v>2.7777777777777776E-2</v>
      </c>
      <c r="Q11" s="812"/>
      <c r="R11" s="813"/>
      <c r="S11" s="809"/>
      <c r="T11" s="813"/>
      <c r="U11" s="809"/>
      <c r="V11" s="809"/>
      <c r="W11" s="809"/>
      <c r="X11" s="809"/>
      <c r="Y11" s="809"/>
      <c r="Z11" s="809"/>
      <c r="AA11" s="812"/>
      <c r="AB11" s="801"/>
      <c r="AC11" s="1394"/>
      <c r="AD11" s="1394"/>
      <c r="AE11" s="1394"/>
      <c r="AF11" s="1394"/>
      <c r="AG11" s="1394"/>
      <c r="AH11" s="1394"/>
      <c r="AI11" s="1394"/>
      <c r="AJ11" s="1394"/>
      <c r="AK11" s="1394"/>
      <c r="AL11" s="2219"/>
      <c r="AM11" s="2219"/>
      <c r="AN11" s="2219"/>
      <c r="AO11" s="2219"/>
      <c r="AP11" s="2219"/>
    </row>
    <row r="12" spans="1:42" ht="15.75" thickBot="1" x14ac:dyDescent="0.25">
      <c r="A12" s="802">
        <f t="shared" si="2"/>
        <v>0.59722222222222232</v>
      </c>
      <c r="B12" s="803"/>
      <c r="C12" s="804" t="str">
        <f t="shared" si="0"/>
        <v xml:space="preserve">Session N° </v>
      </c>
      <c r="D12" s="805"/>
      <c r="E12" s="806">
        <f t="shared" si="3"/>
        <v>9</v>
      </c>
      <c r="F12" s="807"/>
      <c r="G12" s="808" t="str">
        <f t="shared" si="4"/>
        <v>S9</v>
      </c>
      <c r="H12" s="807"/>
      <c r="I12" s="807"/>
      <c r="J12" s="807"/>
      <c r="K12" s="807"/>
      <c r="L12" s="804" t="str">
        <f t="shared" si="1"/>
        <v>Durée</v>
      </c>
      <c r="M12" s="809"/>
      <c r="N12" s="810" t="s">
        <v>1714</v>
      </c>
      <c r="O12" s="809"/>
      <c r="P12" s="811">
        <v>2.7777777777777776E-2</v>
      </c>
      <c r="Q12" s="812"/>
      <c r="R12" s="813"/>
      <c r="S12" s="809"/>
      <c r="T12" s="813"/>
      <c r="U12" s="809"/>
      <c r="V12" s="809"/>
      <c r="W12" s="809"/>
      <c r="X12" s="809"/>
      <c r="Y12" s="809"/>
      <c r="Z12" s="809"/>
      <c r="AA12" s="812"/>
      <c r="AB12" s="801"/>
      <c r="AC12" s="1394"/>
      <c r="AD12" s="1394"/>
      <c r="AE12" s="1394"/>
      <c r="AF12" s="1394"/>
      <c r="AG12" s="1394"/>
      <c r="AH12" s="1394"/>
      <c r="AI12" s="1394"/>
      <c r="AJ12" s="1394"/>
      <c r="AK12" s="1394"/>
      <c r="AL12" s="2219"/>
      <c r="AM12" s="2219"/>
      <c r="AN12" s="2219"/>
      <c r="AO12" s="2219"/>
      <c r="AP12" s="2219"/>
    </row>
    <row r="13" spans="1:42" ht="15.75" thickBot="1" x14ac:dyDescent="0.25">
      <c r="A13" s="802">
        <f t="shared" si="2"/>
        <v>0.62500000000000011</v>
      </c>
      <c r="B13" s="803"/>
      <c r="C13" s="804" t="str">
        <f t="shared" si="0"/>
        <v xml:space="preserve">Session N° </v>
      </c>
      <c r="D13" s="805"/>
      <c r="E13" s="806">
        <f t="shared" si="3"/>
        <v>10</v>
      </c>
      <c r="F13" s="807"/>
      <c r="G13" s="808" t="str">
        <f t="shared" si="4"/>
        <v>S10</v>
      </c>
      <c r="H13" s="807"/>
      <c r="I13" s="807"/>
      <c r="J13" s="807"/>
      <c r="K13" s="807"/>
      <c r="L13" s="804" t="str">
        <f t="shared" si="1"/>
        <v>Durée</v>
      </c>
      <c r="M13" s="809"/>
      <c r="N13" s="810" t="s">
        <v>1714</v>
      </c>
      <c r="O13" s="809"/>
      <c r="P13" s="811">
        <v>2.7777777777777776E-2</v>
      </c>
      <c r="Q13" s="812"/>
      <c r="R13" s="813"/>
      <c r="S13" s="809"/>
      <c r="T13" s="813"/>
      <c r="U13" s="809"/>
      <c r="V13" s="809"/>
      <c r="W13" s="809"/>
      <c r="X13" s="809"/>
      <c r="Y13" s="809"/>
      <c r="Z13" s="809"/>
      <c r="AA13" s="812"/>
      <c r="AB13" s="801"/>
      <c r="AC13" s="1394"/>
      <c r="AD13" s="1394"/>
      <c r="AE13" s="1394"/>
      <c r="AF13" s="1394"/>
      <c r="AG13" s="1394"/>
      <c r="AH13" s="1394"/>
      <c r="AI13" s="1394"/>
      <c r="AJ13" s="1394"/>
      <c r="AK13" s="1394"/>
      <c r="AL13" s="2219"/>
      <c r="AM13" s="2219"/>
      <c r="AN13" s="2219"/>
      <c r="AO13" s="2219"/>
      <c r="AP13" s="2219"/>
    </row>
    <row r="14" spans="1:42" ht="15.75" thickBot="1" x14ac:dyDescent="0.25">
      <c r="A14" s="802">
        <f t="shared" si="2"/>
        <v>0.6527777777777779</v>
      </c>
      <c r="B14" s="803"/>
      <c r="C14" s="804" t="str">
        <f t="shared" si="0"/>
        <v xml:space="preserve">Session N° </v>
      </c>
      <c r="D14" s="805"/>
      <c r="E14" s="806">
        <f t="shared" si="3"/>
        <v>11</v>
      </c>
      <c r="F14" s="807"/>
      <c r="G14" s="808" t="str">
        <f t="shared" si="4"/>
        <v>S11</v>
      </c>
      <c r="H14" s="807"/>
      <c r="I14" s="807"/>
      <c r="J14" s="807"/>
      <c r="K14" s="807"/>
      <c r="L14" s="804" t="str">
        <f t="shared" si="1"/>
        <v>Durée</v>
      </c>
      <c r="M14" s="809"/>
      <c r="N14" s="810" t="s">
        <v>1714</v>
      </c>
      <c r="O14" s="809"/>
      <c r="P14" s="811">
        <v>2.7777777777777776E-2</v>
      </c>
      <c r="Q14" s="812"/>
      <c r="R14" s="813"/>
      <c r="S14" s="809"/>
      <c r="T14" s="813"/>
      <c r="U14" s="809"/>
      <c r="V14" s="809"/>
      <c r="W14" s="809"/>
      <c r="X14" s="809"/>
      <c r="Y14" s="809"/>
      <c r="Z14" s="809"/>
      <c r="AA14" s="812"/>
      <c r="AB14" s="801"/>
      <c r="AC14" s="1394"/>
      <c r="AD14" s="1394"/>
      <c r="AE14" s="1394"/>
      <c r="AF14" s="1394"/>
      <c r="AG14" s="1394"/>
      <c r="AH14" s="1394"/>
      <c r="AI14" s="1394"/>
      <c r="AJ14" s="1394"/>
      <c r="AK14" s="1394"/>
      <c r="AL14" s="2219"/>
      <c r="AM14" s="2219"/>
      <c r="AN14" s="2219"/>
      <c r="AO14" s="2219"/>
      <c r="AP14" s="2219"/>
    </row>
    <row r="15" spans="1:42" ht="15.75" thickBot="1" x14ac:dyDescent="0.25">
      <c r="A15" s="802">
        <f t="shared" si="2"/>
        <v>0.68055555555555569</v>
      </c>
      <c r="B15" s="803"/>
      <c r="C15" s="804" t="str">
        <f t="shared" si="0"/>
        <v xml:space="preserve">Session N° </v>
      </c>
      <c r="D15" s="805"/>
      <c r="E15" s="806">
        <f t="shared" si="3"/>
        <v>12</v>
      </c>
      <c r="F15" s="807"/>
      <c r="G15" s="808" t="str">
        <f t="shared" si="4"/>
        <v>S12</v>
      </c>
      <c r="H15" s="807"/>
      <c r="I15" s="807"/>
      <c r="J15" s="807"/>
      <c r="K15" s="807"/>
      <c r="L15" s="804" t="str">
        <f t="shared" si="1"/>
        <v>Durée</v>
      </c>
      <c r="M15" s="809"/>
      <c r="N15" s="810" t="s">
        <v>1714</v>
      </c>
      <c r="O15" s="809"/>
      <c r="P15" s="811">
        <v>2.7777777777777776E-2</v>
      </c>
      <c r="Q15" s="812"/>
      <c r="R15" s="813"/>
      <c r="S15" s="809"/>
      <c r="T15" s="813"/>
      <c r="U15" s="809"/>
      <c r="V15" s="809"/>
      <c r="W15" s="809"/>
      <c r="X15" s="809"/>
      <c r="Y15" s="809"/>
      <c r="Z15" s="809"/>
      <c r="AA15" s="812"/>
      <c r="AB15" s="801"/>
      <c r="AC15" s="1394"/>
      <c r="AD15" s="1394"/>
      <c r="AE15" s="1394"/>
      <c r="AF15" s="1394"/>
      <c r="AG15" s="1394"/>
      <c r="AH15" s="1394"/>
      <c r="AI15" s="1394"/>
      <c r="AJ15" s="1394"/>
      <c r="AK15" s="1394"/>
      <c r="AL15" s="2219"/>
      <c r="AM15" s="2219"/>
      <c r="AN15" s="2219"/>
      <c r="AO15" s="2219"/>
      <c r="AP15" s="2219"/>
    </row>
    <row r="16" spans="1:42" ht="15.75" thickBot="1" x14ac:dyDescent="0.25">
      <c r="A16" s="802">
        <f t="shared" si="2"/>
        <v>0.70833333333333348</v>
      </c>
      <c r="B16" s="803"/>
      <c r="C16" s="804" t="str">
        <f t="shared" si="0"/>
        <v xml:space="preserve">Session N° </v>
      </c>
      <c r="D16" s="805"/>
      <c r="E16" s="806">
        <f t="shared" si="3"/>
        <v>13</v>
      </c>
      <c r="F16" s="807"/>
      <c r="G16" s="808" t="str">
        <f t="shared" si="4"/>
        <v>S13</v>
      </c>
      <c r="H16" s="807"/>
      <c r="I16" s="807"/>
      <c r="J16" s="807"/>
      <c r="K16" s="807"/>
      <c r="L16" s="804" t="str">
        <f t="shared" si="1"/>
        <v>Durée</v>
      </c>
      <c r="M16" s="809"/>
      <c r="N16" s="810" t="s">
        <v>1714</v>
      </c>
      <c r="O16" s="809"/>
      <c r="P16" s="811">
        <v>2.7777777777777776E-2</v>
      </c>
      <c r="Q16" s="812"/>
      <c r="R16" s="813"/>
      <c r="S16" s="809"/>
      <c r="T16" s="813"/>
      <c r="U16" s="809"/>
      <c r="V16" s="809"/>
      <c r="W16" s="809"/>
      <c r="X16" s="809"/>
      <c r="Y16" s="809"/>
      <c r="Z16" s="809"/>
      <c r="AA16" s="812"/>
      <c r="AB16" s="801"/>
      <c r="AC16" s="1394"/>
      <c r="AD16" s="1394"/>
      <c r="AE16" s="1394"/>
      <c r="AF16" s="1394"/>
      <c r="AG16" s="1394"/>
      <c r="AH16" s="1394"/>
      <c r="AI16" s="1394"/>
      <c r="AJ16" s="1394"/>
      <c r="AK16" s="1394"/>
      <c r="AL16" s="2219"/>
      <c r="AM16" s="2219"/>
      <c r="AN16" s="2219"/>
      <c r="AO16" s="2219"/>
      <c r="AP16" s="2219"/>
    </row>
    <row r="17" spans="1:42" ht="15.75" thickBot="1" x14ac:dyDescent="0.25">
      <c r="A17" s="802">
        <f t="shared" si="2"/>
        <v>0.73611111111111127</v>
      </c>
      <c r="B17" s="803"/>
      <c r="C17" s="804" t="str">
        <f t="shared" si="0"/>
        <v xml:space="preserve">Session N° </v>
      </c>
      <c r="D17" s="805"/>
      <c r="E17" s="806">
        <f t="shared" si="3"/>
        <v>14</v>
      </c>
      <c r="F17" s="807"/>
      <c r="G17" s="808" t="str">
        <f t="shared" si="4"/>
        <v>S14</v>
      </c>
      <c r="H17" s="807"/>
      <c r="I17" s="807"/>
      <c r="J17" s="807"/>
      <c r="K17" s="807"/>
      <c r="L17" s="804" t="str">
        <f t="shared" si="1"/>
        <v>Durée</v>
      </c>
      <c r="M17" s="809"/>
      <c r="N17" s="810" t="s">
        <v>1714</v>
      </c>
      <c r="O17" s="809"/>
      <c r="P17" s="811">
        <v>2.7777777777777776E-2</v>
      </c>
      <c r="Q17" s="812"/>
      <c r="R17" s="813"/>
      <c r="S17" s="809"/>
      <c r="T17" s="813"/>
      <c r="U17" s="809"/>
      <c r="V17" s="809"/>
      <c r="W17" s="809"/>
      <c r="X17" s="809"/>
      <c r="Y17" s="809"/>
      <c r="Z17" s="809"/>
      <c r="AA17" s="812"/>
      <c r="AB17" s="801"/>
      <c r="AC17" s="1394"/>
      <c r="AD17" s="1394"/>
      <c r="AE17" s="1394"/>
      <c r="AF17" s="1394"/>
      <c r="AG17" s="1394"/>
      <c r="AH17" s="1394"/>
      <c r="AI17" s="1394"/>
      <c r="AJ17" s="1394"/>
      <c r="AK17" s="1394"/>
      <c r="AL17" s="2219"/>
      <c r="AM17" s="2219"/>
      <c r="AN17" s="2219"/>
      <c r="AO17" s="2219"/>
      <c r="AP17" s="2219"/>
    </row>
    <row r="18" spans="1:42" ht="15.75" thickBot="1" x14ac:dyDescent="0.25">
      <c r="A18" s="802">
        <f t="shared" si="2"/>
        <v>0.76388888888888906</v>
      </c>
      <c r="B18" s="803"/>
      <c r="C18" s="804" t="str">
        <f t="shared" si="0"/>
        <v xml:space="preserve">Session N° </v>
      </c>
      <c r="D18" s="805"/>
      <c r="E18" s="806">
        <f t="shared" si="3"/>
        <v>15</v>
      </c>
      <c r="F18" s="807"/>
      <c r="G18" s="808" t="str">
        <f t="shared" si="4"/>
        <v>S15</v>
      </c>
      <c r="H18" s="807"/>
      <c r="I18" s="807"/>
      <c r="J18" s="807"/>
      <c r="K18" s="807"/>
      <c r="L18" s="804" t="str">
        <f t="shared" si="1"/>
        <v>Durée</v>
      </c>
      <c r="M18" s="809"/>
      <c r="N18" s="810" t="s">
        <v>1714</v>
      </c>
      <c r="O18" s="809"/>
      <c r="P18" s="811">
        <v>2.7777777777777776E-2</v>
      </c>
      <c r="Q18" s="812"/>
      <c r="R18" s="813"/>
      <c r="S18" s="809"/>
      <c r="T18" s="813"/>
      <c r="U18" s="809"/>
      <c r="V18" s="809"/>
      <c r="W18" s="809"/>
      <c r="X18" s="809"/>
      <c r="Y18" s="809"/>
      <c r="Z18" s="809"/>
      <c r="AA18" s="812"/>
      <c r="AB18" s="801"/>
      <c r="AC18" s="1394"/>
      <c r="AD18" s="1394"/>
      <c r="AE18" s="1394"/>
      <c r="AF18" s="1394"/>
      <c r="AG18" s="1394"/>
      <c r="AH18" s="1394"/>
      <c r="AI18" s="1394"/>
      <c r="AJ18" s="1394"/>
      <c r="AK18" s="1394"/>
      <c r="AL18" s="2219"/>
      <c r="AM18" s="2219"/>
      <c r="AN18" s="2219"/>
      <c r="AO18" s="2219"/>
      <c r="AP18" s="2219"/>
    </row>
    <row r="19" spans="1:42" ht="15.75" thickBot="1" x14ac:dyDescent="0.25">
      <c r="A19" s="802">
        <f t="shared" si="2"/>
        <v>0.79166666666666685</v>
      </c>
      <c r="B19" s="803"/>
      <c r="C19" s="804" t="str">
        <f t="shared" si="0"/>
        <v xml:space="preserve">Session N° </v>
      </c>
      <c r="D19" s="805"/>
      <c r="E19" s="806">
        <f t="shared" si="3"/>
        <v>16</v>
      </c>
      <c r="F19" s="807"/>
      <c r="G19" s="808" t="str">
        <f t="shared" si="4"/>
        <v>S16</v>
      </c>
      <c r="H19" s="807"/>
      <c r="I19" s="807"/>
      <c r="J19" s="807"/>
      <c r="K19" s="807"/>
      <c r="L19" s="804" t="str">
        <f t="shared" si="1"/>
        <v>Durée</v>
      </c>
      <c r="M19" s="809"/>
      <c r="N19" s="810" t="s">
        <v>1714</v>
      </c>
      <c r="O19" s="809"/>
      <c r="P19" s="811">
        <v>2.7777777777777776E-2</v>
      </c>
      <c r="Q19" s="812"/>
      <c r="R19" s="813"/>
      <c r="S19" s="809"/>
      <c r="T19" s="813"/>
      <c r="U19" s="809"/>
      <c r="V19" s="809"/>
      <c r="W19" s="809"/>
      <c r="X19" s="809"/>
      <c r="Y19" s="809"/>
      <c r="Z19" s="809"/>
      <c r="AA19" s="812"/>
      <c r="AB19" s="801"/>
      <c r="AC19" s="1394"/>
      <c r="AD19" s="1394"/>
      <c r="AE19" s="1394"/>
      <c r="AF19" s="1394"/>
      <c r="AG19" s="1394"/>
      <c r="AH19" s="1394"/>
      <c r="AI19" s="1394"/>
      <c r="AJ19" s="1394"/>
      <c r="AK19" s="1394"/>
      <c r="AL19" s="2219"/>
      <c r="AM19" s="2219"/>
      <c r="AN19" s="2219"/>
      <c r="AO19" s="2219"/>
      <c r="AP19" s="2219"/>
    </row>
    <row r="20" spans="1:42" ht="15" x14ac:dyDescent="0.2">
      <c r="A20" s="789">
        <f>A19+P19</f>
        <v>0.81944444444444464</v>
      </c>
      <c r="B20" s="790"/>
      <c r="C20" s="791" t="str">
        <f t="shared" si="0"/>
        <v xml:space="preserve">Session N° </v>
      </c>
      <c r="D20" s="792"/>
      <c r="E20" s="793">
        <f>E19+1</f>
        <v>17</v>
      </c>
      <c r="F20" s="794"/>
      <c r="G20" s="795" t="str">
        <f t="shared" si="4"/>
        <v>S17</v>
      </c>
      <c r="H20" s="794"/>
      <c r="I20" s="794"/>
      <c r="J20" s="794"/>
      <c r="K20" s="794"/>
      <c r="L20" s="791" t="str">
        <f t="shared" si="1"/>
        <v>Durée</v>
      </c>
      <c r="M20" s="796"/>
      <c r="N20" s="797" t="s">
        <v>1714</v>
      </c>
      <c r="O20" s="796"/>
      <c r="P20" s="798">
        <v>2.7777777777777776E-2</v>
      </c>
      <c r="Q20" s="799"/>
      <c r="R20" s="800"/>
      <c r="S20" s="796"/>
      <c r="T20" s="800"/>
      <c r="U20" s="796"/>
      <c r="V20" s="796"/>
      <c r="W20" s="796"/>
      <c r="X20" s="796"/>
      <c r="Y20" s="796"/>
      <c r="Z20" s="796"/>
      <c r="AA20" s="799"/>
      <c r="AB20" s="801"/>
      <c r="AC20" s="1394"/>
      <c r="AD20" s="1394"/>
      <c r="AE20" s="1394"/>
      <c r="AF20" s="1394"/>
      <c r="AG20" s="1394"/>
      <c r="AH20" s="1394"/>
      <c r="AI20" s="1394"/>
      <c r="AJ20" s="1394"/>
      <c r="AK20" s="1394"/>
      <c r="AL20" s="2219"/>
      <c r="AM20" s="2219"/>
      <c r="AN20" s="2219"/>
      <c r="AO20" s="2219"/>
      <c r="AP20" s="2219"/>
    </row>
    <row r="21" spans="1:42" outlineLevel="1" x14ac:dyDescent="0.2">
      <c r="A21" s="814">
        <f ca="1">OFFSET(A21,-1,0)</f>
        <v>0.81944444444444464</v>
      </c>
      <c r="B21" s="815"/>
      <c r="C21" s="816"/>
      <c r="D21" s="872"/>
      <c r="E21" s="327"/>
      <c r="F21" s="815"/>
      <c r="G21" s="817" t="s">
        <v>1715</v>
      </c>
      <c r="H21" s="817" t="str">
        <f>IF(K21="","",SUBSTITUTE(MID(K21,1,SEARCH("!",K21,1)-1),"'",""))</f>
        <v/>
      </c>
      <c r="I21" s="817" t="str">
        <f ca="1">IF(K21="","",CELL("row",INDIRECT(K21)))</f>
        <v/>
      </c>
      <c r="J21" s="817" t="str">
        <f ca="1">IF(K21="","",CELL("col",INDIRECT(K21)))</f>
        <v/>
      </c>
      <c r="K21" s="817" t="str">
        <f>MID(Lire_Formule(L21),2,10000)</f>
        <v/>
      </c>
      <c r="L21" s="818"/>
      <c r="M21" s="10"/>
      <c r="N21" s="394" t="s">
        <v>769</v>
      </c>
      <c r="O21" s="10"/>
      <c r="P21" s="818" t="str">
        <f ca="1">IF(K21="","",IF(G21="IT",INDIRECT(ADDRESS(I21+2,J21,4,TRUE,H21)),INDIRECT(ADDRESS(I21,J21+4,4,TRUE,H21))))</f>
        <v/>
      </c>
      <c r="Q21" s="819"/>
      <c r="R21" s="397"/>
      <c r="S21" s="397"/>
      <c r="T21" s="397"/>
      <c r="U21" s="397"/>
      <c r="V21" s="820" t="str">
        <f ca="1">L21&amp;TEXT(A21,"hh:mm")</f>
        <v>19:40</v>
      </c>
      <c r="W21" s="820" t="str">
        <f ca="1">P21&amp;TEXT(A21,"hh:mm")</f>
        <v>19:40</v>
      </c>
      <c r="X21" s="362">
        <f>IF(L21="",0,COUNTIF(PlayersAndHoursCol1,L21&amp;TEXT($A21,"hh:mm"))+COUNTIF(PlayersAndHoursCol2,L21&amp;TEXT($A21,"hh:mm")))</f>
        <v>0</v>
      </c>
      <c r="Y21" s="362">
        <f ca="1">IF(P21="",0,COUNTIF(PlayersAndHoursCol1,P21&amp;TEXT($A21,"hh:mm"))+COUNTIF(PlayersAndHoursCol2,P21&amp;TEXT($A21,"hh:mm")))</f>
        <v>0</v>
      </c>
      <c r="Z21" s="821" t="b">
        <f>IF(AA21="",FALSE,NOT(AND(ISNA(MATCH(AA21&amp;TEXT($A21,"hh:mm"),PlayersAndHoursCol1,0)),ISNA(MATCH(AA21&amp;TEXT($A21,"hh:mm"),PlayersAndHoursCol2,0)),COUNTIF(AD:AD,AA21&amp;$A21)&lt;=1)))</f>
        <v>0</v>
      </c>
      <c r="AA21" s="1317"/>
      <c r="AB21" s="1327"/>
      <c r="AC21"/>
      <c r="AD21" s="1395" t="str">
        <f ca="1">AA21&amp;A21</f>
        <v>0,819444444444445</v>
      </c>
      <c r="AE21" s="1395"/>
      <c r="AF21" s="1395"/>
      <c r="AG21" s="1395"/>
      <c r="AH21" s="1395" t="str">
        <f>IF(OR(M21&gt;O21,R21&gt;T21),L21,IF(OR(M21&lt;O21,R21&lt;T21),P21,""))</f>
        <v/>
      </c>
      <c r="AI21" s="1395" t="str">
        <f>IF(AND(M21&lt;&gt;"",M21=O21,R21=T21),L21,"")</f>
        <v/>
      </c>
      <c r="AJ21" s="1395" t="str">
        <f>IF(AND(M21&lt;&gt;"",M21=O21,R21=T21),P21,"")</f>
        <v/>
      </c>
      <c r="AK21" s="1395" t="str">
        <f>IF(OR(M21&lt;O21,R21&lt;T21),L21,IF(OR(M21&gt;O21,R21&gt;T21),P21,""))</f>
        <v/>
      </c>
      <c r="AL21" s="2220" t="str">
        <f>IF(OR($AB21="",$AB21="V"),"",IF(MOD($AB21,10)=1,"XXX",""))</f>
        <v/>
      </c>
      <c r="AM21" s="2220" t="str">
        <f>IF(OR($AB21="",$AB21="V"),"",IF(MOD($AB21,100)&gt;=10,"XXX",""))</f>
        <v/>
      </c>
      <c r="AN21" s="2220" t="str">
        <f>IF(OR($AB21="",$AB21="V"),"",IF(MOD($AB21,1000)&gt;=100,"XXX",""))</f>
        <v/>
      </c>
      <c r="AO21" s="2220" t="str">
        <f>IF(OR($AB21="",$AB21="V"),"",IF(MOD($AB21,10000)&gt;=1000,"XXX",""))</f>
        <v/>
      </c>
      <c r="AP21" s="2220" t="str">
        <f>IF(OR($AB21="",$AB21="V"),"",IF(MOD($AB21,100000)&gt;=10000,"XXX",""))</f>
        <v/>
      </c>
    </row>
    <row r="22" spans="1:42" outlineLevel="1" x14ac:dyDescent="0.2">
      <c r="A22" s="822"/>
      <c r="B22" s="393"/>
      <c r="C22" s="393"/>
      <c r="D22" s="393"/>
      <c r="E22" s="823"/>
      <c r="F22" s="393"/>
      <c r="G22" s="393"/>
      <c r="H22" s="393"/>
      <c r="I22" s="393"/>
      <c r="J22" s="393"/>
      <c r="K22" s="393"/>
      <c r="L22" s="824"/>
      <c r="M22" s="825"/>
      <c r="N22" s="393"/>
      <c r="O22" s="825"/>
      <c r="P22" s="393"/>
      <c r="Q22" s="825"/>
      <c r="R22" s="826"/>
      <c r="S22" s="393"/>
      <c r="T22" s="826"/>
      <c r="U22" s="363"/>
      <c r="V22" s="362"/>
      <c r="W22" s="362"/>
      <c r="X22" s="362"/>
      <c r="Y22" s="362"/>
      <c r="Z22" s="362"/>
      <c r="AA22" s="825"/>
      <c r="AB22" s="1328"/>
      <c r="AC22"/>
      <c r="AD22" s="1395"/>
      <c r="AE22" s="1395"/>
      <c r="AF22" s="1395"/>
      <c r="AG22" s="1395"/>
      <c r="AH22" s="1395"/>
      <c r="AI22" s="1395"/>
      <c r="AJ22" s="1395"/>
      <c r="AK22" s="1395"/>
      <c r="AL22" s="2221"/>
      <c r="AM22" s="2221"/>
      <c r="AN22" s="2221"/>
      <c r="AO22" s="2221"/>
      <c r="AP22" s="2221"/>
    </row>
    <row r="23" spans="1:42" outlineLevel="1" x14ac:dyDescent="0.2">
      <c r="A23" s="814">
        <f ca="1">OFFSET(A23,-1,0)</f>
        <v>0</v>
      </c>
      <c r="B23" s="815"/>
      <c r="C23" s="816"/>
      <c r="D23" s="872"/>
      <c r="E23" s="327"/>
      <c r="F23" s="815"/>
      <c r="G23" s="817" t="s">
        <v>1719</v>
      </c>
      <c r="H23" s="817" t="str">
        <f>IF(K23="","",SUBSTITUTE(MID(K23,1,SEARCH("!",K23,1)-1),"'",""))</f>
        <v/>
      </c>
      <c r="I23" s="817" t="str">
        <f ca="1">IF(K23="","",CELL("row",INDIRECT(K23)))</f>
        <v/>
      </c>
      <c r="J23" s="817" t="str">
        <f ca="1">IF(K23="","",CELL("col",INDIRECT(K23)))</f>
        <v/>
      </c>
      <c r="K23" s="817" t="str">
        <f>MID(Lire_Formule(L23),2,10000)</f>
        <v/>
      </c>
      <c r="L23" s="818"/>
      <c r="M23" s="10"/>
      <c r="N23" s="394" t="s">
        <v>769</v>
      </c>
      <c r="O23" s="10"/>
      <c r="P23" s="818" t="str">
        <f ca="1">IF(K23="","",IF(G23="IT",INDIRECT(ADDRESS(I23+2,J23,4,TRUE,H23)),INDIRECT(ADDRESS(I23,J23+4,4,TRUE,H23))))</f>
        <v/>
      </c>
      <c r="Q23" s="10"/>
      <c r="R23" s="10"/>
      <c r="S23" s="394" t="s">
        <v>769</v>
      </c>
      <c r="T23" s="10"/>
      <c r="U23" s="397"/>
      <c r="V23" s="820" t="str">
        <f ca="1">L23&amp;TEXT(A23,"hh:mm")</f>
        <v>00:00</v>
      </c>
      <c r="W23" s="820" t="str">
        <f ca="1">P23&amp;TEXT(A23,"hh:mm")</f>
        <v>00:00</v>
      </c>
      <c r="X23" s="362">
        <f>IF(L23="",0,COUNTIF(PlayersAndHoursCol1,L23&amp;TEXT($A23,"hh:mm"))+COUNTIF(PlayersAndHoursCol2,L23&amp;TEXT($A23,"hh:mm")))</f>
        <v>0</v>
      </c>
      <c r="Y23" s="362">
        <f ca="1">IF(P23="",0,COUNTIF(PlayersAndHoursCol1,P23&amp;TEXT($A23,"hh:mm"))+COUNTIF(PlayersAndHoursCol2,P23&amp;TEXT($A23,"hh:mm")))</f>
        <v>0</v>
      </c>
      <c r="Z23" s="821" t="b">
        <f>IF(AA23="",FALSE,NOT(AND(ISNA(MATCH(AA23&amp;TEXT($A23,"hh:mm"),PlayersAndHoursCol1,0)),ISNA(MATCH(AA23&amp;TEXT($A23,"hh:mm"),PlayersAndHoursCol2,0)),COUNTIF(AD:AD,AA23&amp;$A23)&lt;=1)))</f>
        <v>0</v>
      </c>
      <c r="AA23" s="1317"/>
      <c r="AB23" s="1327"/>
      <c r="AC23"/>
      <c r="AD23" s="1395" t="str">
        <f ca="1">AA23&amp;A23</f>
        <v>0</v>
      </c>
      <c r="AE23" s="1395"/>
      <c r="AF23" s="1395"/>
      <c r="AG23" s="1395"/>
      <c r="AH23" s="1395" t="str">
        <f>IF(OR(M23&gt;O23,R23&gt;T23),L23,IF(OR(M23&lt;O23,R23&lt;T23),P23,""))</f>
        <v/>
      </c>
      <c r="AI23" s="1395" t="str">
        <f>IF(AND(M23&lt;&gt;"",M23=O23,R23=T23),L23,"")</f>
        <v/>
      </c>
      <c r="AJ23" s="1395" t="str">
        <f>IF(AND(M23&lt;&gt;"",M23=O23,R23=T23),P23,"")</f>
        <v/>
      </c>
      <c r="AK23" s="1395" t="str">
        <f>IF(OR(M23&lt;O23,R23&lt;T23),L23,IF(OR(M23&gt;O23,R23&gt;T23),P23,""))</f>
        <v/>
      </c>
      <c r="AL23" s="2222" t="str">
        <f>IF(OR($AB23="",$AB23="V"),"",IF(MOD($AB23,10)=1,"XXX",""))</f>
        <v/>
      </c>
      <c r="AM23" s="2222" t="str">
        <f>IF(OR($AB23="",$AB23="V"),"",IF(MOD($AB23,100)&gt;=10,"XXX",""))</f>
        <v/>
      </c>
      <c r="AN23" s="2222" t="str">
        <f>IF(OR($AB23="",$AB23="V"),"",IF(MOD($AB23,1000)&gt;=100,"XXX",""))</f>
        <v/>
      </c>
      <c r="AO23" s="2222" t="str">
        <f>IF(OR($AB23="",$AB23="V"),"",IF(MOD($AB23,10000)&gt;=1000,"XXX",""))</f>
        <v/>
      </c>
      <c r="AP23" s="2222" t="str">
        <f>IF(OR($AB23="",$AB23="V"),"",IF(MOD($AB23,100000)&gt;=10000,"XXX",""))</f>
        <v/>
      </c>
    </row>
    <row r="24" spans="1:42" outlineLevel="1" x14ac:dyDescent="0.2">
      <c r="A24" s="822"/>
      <c r="B24" s="393"/>
      <c r="C24" s="393"/>
      <c r="D24" s="393"/>
      <c r="E24" s="823"/>
      <c r="F24" s="393"/>
      <c r="G24" s="393"/>
      <c r="H24" s="393"/>
      <c r="I24" s="393"/>
      <c r="J24" s="393"/>
      <c r="K24" s="393"/>
      <c r="L24" s="824"/>
      <c r="M24" s="825"/>
      <c r="N24" s="393"/>
      <c r="O24" s="825"/>
      <c r="P24" s="393"/>
      <c r="Q24" s="825"/>
      <c r="R24" s="826"/>
      <c r="S24" s="393"/>
      <c r="T24" s="826"/>
      <c r="U24" s="363"/>
      <c r="V24" s="362"/>
      <c r="W24" s="362"/>
      <c r="X24" s="362"/>
      <c r="Y24" s="362"/>
      <c r="Z24" s="362"/>
      <c r="AA24" s="825"/>
      <c r="AB24" s="1328"/>
      <c r="AC24"/>
      <c r="AD24" s="1395"/>
      <c r="AE24" s="1395"/>
      <c r="AF24" s="1395"/>
      <c r="AG24" s="1395"/>
      <c r="AH24" s="1395"/>
      <c r="AI24" s="1395"/>
      <c r="AJ24" s="1395"/>
      <c r="AK24" s="1395"/>
      <c r="AL24" s="2221"/>
      <c r="AM24" s="2221"/>
      <c r="AN24" s="2221"/>
      <c r="AO24" s="2221"/>
      <c r="AP24" s="2221"/>
    </row>
    <row r="25" spans="1:42" outlineLevel="1" x14ac:dyDescent="0.2">
      <c r="A25" s="814">
        <f ca="1">OFFSET(A25,-1,0)</f>
        <v>0</v>
      </c>
      <c r="B25" s="815"/>
      <c r="C25" s="816"/>
      <c r="D25" s="872"/>
      <c r="E25" s="327"/>
      <c r="F25" s="815"/>
      <c r="G25" s="817" t="s">
        <v>1716</v>
      </c>
      <c r="H25" s="817" t="str">
        <f>IF(K25="","",SUBSTITUTE(MID(K25,1,SEARCH("!",K25,1)-1),"'",""))</f>
        <v/>
      </c>
      <c r="I25" s="817" t="str">
        <f ca="1">IF(K25="","",CELL("row",INDIRECT(K25)))</f>
        <v/>
      </c>
      <c r="J25" s="817" t="str">
        <f ca="1">IF(K25="","",CELL("col",INDIRECT(K25)))</f>
        <v/>
      </c>
      <c r="K25" s="817" t="str">
        <f>MID(Lire_Formule(L25),2,10000)</f>
        <v/>
      </c>
      <c r="L25" s="818"/>
      <c r="M25" s="10"/>
      <c r="N25" s="394" t="s">
        <v>769</v>
      </c>
      <c r="O25" s="10"/>
      <c r="P25" s="818" t="str">
        <f ca="1">IF(K25="","",IF(G25="IT",INDIRECT(ADDRESS(I25+2,J25,4,TRUE,H25)),INDIRECT(ADDRESS(I25,J25+4,4,TRUE,H25))))</f>
        <v/>
      </c>
      <c r="Q25" s="10"/>
      <c r="R25" s="10"/>
      <c r="S25" s="394" t="s">
        <v>769</v>
      </c>
      <c r="T25" s="10"/>
      <c r="U25" s="397"/>
      <c r="V25" s="820" t="str">
        <f ca="1">L25&amp;TEXT(A25,"hh:mm")</f>
        <v>00:00</v>
      </c>
      <c r="W25" s="820" t="str">
        <f ca="1">P25&amp;TEXT(A25,"hh:mm")</f>
        <v>00:00</v>
      </c>
      <c r="X25" s="362">
        <f>IF(L25="",0,COUNTIF(PlayersAndHoursCol1,L25&amp;TEXT($A25,"hh:mm"))+COUNTIF(PlayersAndHoursCol2,L25&amp;TEXT($A25,"hh:mm")))</f>
        <v>0</v>
      </c>
      <c r="Y25" s="362">
        <f ca="1">IF(P25="",0,COUNTIF(PlayersAndHoursCol1,P25&amp;TEXT($A25,"hh:mm"))+COUNTIF(PlayersAndHoursCol2,P25&amp;TEXT($A25,"hh:mm")))</f>
        <v>0</v>
      </c>
      <c r="Z25" s="821" t="b">
        <f>IF(AA25="",FALSE,NOT(AND(ISNA(MATCH(AA25&amp;TEXT($A25,"hh:mm"),PlayersAndHoursCol1,0)),ISNA(MATCH(AA25&amp;TEXT($A25,"hh:mm"),PlayersAndHoursCol2,0)),COUNTIF(AD:AD,AA25&amp;$A25)&lt;=1)))</f>
        <v>0</v>
      </c>
      <c r="AA25" s="1317"/>
      <c r="AB25" s="1327"/>
      <c r="AC25"/>
      <c r="AD25" s="1395" t="str">
        <f ca="1">AA25&amp;A25</f>
        <v>0</v>
      </c>
      <c r="AE25" s="1395"/>
      <c r="AF25" s="1395"/>
      <c r="AG25" s="1395"/>
      <c r="AH25" s="1395" t="str">
        <f>IF(OR(M25&gt;O25,R25&gt;T25),L25,IF(OR(M25&lt;O25,R25&lt;T25),P25,""))</f>
        <v/>
      </c>
      <c r="AI25" s="1395" t="str">
        <f>IF(AND(M25&lt;&gt;"",M25=O25,R25=T25),L25,"")</f>
        <v/>
      </c>
      <c r="AJ25" s="1395" t="str">
        <f>IF(AND(M25&lt;&gt;"",M25=O25,R25=T25),P25,"")</f>
        <v/>
      </c>
      <c r="AK25" s="1395" t="str">
        <f>IF(OR(M25&lt;O25,R25&lt;T25),L25,IF(OR(M25&gt;O25,R25&gt;T25),P25,""))</f>
        <v/>
      </c>
      <c r="AL25" s="2222" t="str">
        <f>IF(OR($AB25="",$AB25="V"),"",IF(MOD($AB25,10)=1,"XXX",""))</f>
        <v/>
      </c>
      <c r="AM25" s="2222" t="str">
        <f>IF(OR($AB25="",$AB25="V"),"",IF(MOD($AB25,100)&gt;=10,"XXX",""))</f>
        <v/>
      </c>
      <c r="AN25" s="2222" t="str">
        <f>IF(OR($AB25="",$AB25="V"),"",IF(MOD($AB25,1000)&gt;=100,"XXX",""))</f>
        <v/>
      </c>
      <c r="AO25" s="2222" t="str">
        <f>IF(OR($AB25="",$AB25="V"),"",IF(MOD($AB25,10000)&gt;=1000,"XXX",""))</f>
        <v/>
      </c>
      <c r="AP25" s="2222" t="str">
        <f>IF(OR($AB25="",$AB25="V"),"",IF(MOD($AB25,100000)&gt;=10000,"XXX",""))</f>
        <v/>
      </c>
    </row>
    <row r="26" spans="1:42" outlineLevel="1" x14ac:dyDescent="0.2">
      <c r="A26" s="822"/>
      <c r="B26" s="393"/>
      <c r="C26" s="393"/>
      <c r="D26" s="393"/>
      <c r="E26" s="823"/>
      <c r="F26" s="393"/>
      <c r="G26" s="393"/>
      <c r="H26" s="393"/>
      <c r="I26" s="393"/>
      <c r="J26" s="393"/>
      <c r="K26" s="393"/>
      <c r="L26" s="824"/>
      <c r="M26" s="825"/>
      <c r="N26" s="393"/>
      <c r="O26" s="825"/>
      <c r="P26" s="393"/>
      <c r="Q26" s="825"/>
      <c r="R26" s="826"/>
      <c r="S26" s="393"/>
      <c r="T26" s="826"/>
      <c r="U26" s="363"/>
      <c r="V26" s="362"/>
      <c r="W26" s="362"/>
      <c r="X26" s="362"/>
      <c r="Y26" s="362"/>
      <c r="Z26" s="362"/>
      <c r="AA26" s="825"/>
      <c r="AB26" s="1328"/>
      <c r="AC26"/>
      <c r="AD26" s="1395"/>
      <c r="AE26" s="1395"/>
      <c r="AF26" s="1395"/>
      <c r="AG26" s="1395"/>
      <c r="AH26" s="1395"/>
      <c r="AI26" s="1395"/>
      <c r="AJ26" s="1395"/>
      <c r="AK26" s="1395"/>
      <c r="AL26" s="2221"/>
      <c r="AM26" s="2221"/>
      <c r="AN26" s="2221"/>
      <c r="AO26" s="2221"/>
      <c r="AP26" s="2221"/>
    </row>
    <row r="27" spans="1:42" outlineLevel="1" x14ac:dyDescent="0.2">
      <c r="A27" s="814">
        <f ca="1">OFFSET(A27,-1,0)</f>
        <v>0</v>
      </c>
      <c r="B27" s="815"/>
      <c r="C27" s="816"/>
      <c r="D27" s="872"/>
      <c r="E27" s="327"/>
      <c r="F27" s="815"/>
      <c r="G27" s="817" t="s">
        <v>1717</v>
      </c>
      <c r="H27" s="817" t="str">
        <f>IF(K27="","",SUBSTITUTE(MID(K27,1,SEARCH("!",K27,1)-1),"'",""))</f>
        <v/>
      </c>
      <c r="I27" s="817" t="str">
        <f ca="1">IF(K27="","",CELL("row",INDIRECT(K27)))</f>
        <v/>
      </c>
      <c r="J27" s="817" t="str">
        <f ca="1">IF(K27="","",CELL("col",INDIRECT(K27)))</f>
        <v/>
      </c>
      <c r="K27" s="817" t="str">
        <f>MID(Lire_Formule(L27),2,10000)</f>
        <v/>
      </c>
      <c r="L27" s="818"/>
      <c r="M27" s="10"/>
      <c r="N27" s="394" t="s">
        <v>769</v>
      </c>
      <c r="O27" s="10"/>
      <c r="P27" s="818" t="str">
        <f ca="1">IF(K27="","",IF(G27="IT",INDIRECT(ADDRESS(I27+2,J27,4,TRUE,H27)),INDIRECT(ADDRESS(I27,J27+4,4,TRUE,H27))))</f>
        <v/>
      </c>
      <c r="Q27" s="819"/>
      <c r="R27" s="397"/>
      <c r="S27" s="397"/>
      <c r="T27" s="397"/>
      <c r="U27" s="397"/>
      <c r="V27" s="820" t="str">
        <f ca="1">L27&amp;TEXT(A27,"hh:mm")</f>
        <v>00:00</v>
      </c>
      <c r="W27" s="820" t="str">
        <f ca="1">P27&amp;TEXT(A27,"hh:mm")</f>
        <v>00:00</v>
      </c>
      <c r="X27" s="362">
        <f>IF(L27="",0,COUNTIF(PlayersAndHoursCol1,L27&amp;TEXT($A27,"hh:mm"))+COUNTIF(PlayersAndHoursCol2,L27&amp;TEXT($A27,"hh:mm")))</f>
        <v>0</v>
      </c>
      <c r="Y27" s="362">
        <f ca="1">IF(P27="",0,COUNTIF(PlayersAndHoursCol1,P27&amp;TEXT($A27,"hh:mm"))+COUNTIF(PlayersAndHoursCol2,P27&amp;TEXT($A27,"hh:mm")))</f>
        <v>0</v>
      </c>
      <c r="Z27" s="821" t="b">
        <f ca="1">IF(AA27="",FALSE,NOT(AND(ISNA(MATCH(AA27&amp;TEXT($A27,"hh:mm"),PlayersAndHoursCol1,0)),ISNA(MATCH(AA27&amp;TEXT($A27,"hh:mm"),PlayersAndHoursCol2,0)),COUNTIF(AD:AD,AA27&amp;$A27)&lt;=1)))</f>
        <v>1</v>
      </c>
      <c r="AA27" s="1317" t="str">
        <f ca="1">IF(K27="","Auto-Arbitrage",IF(G27="Ind. Tableau",INDIRECT(ADDRESS(I27,J27+3,4,TRUE,H27)),INDIRECT(ADDRESS(I27,J27-1,4,TRUE,H27))))</f>
        <v>Auto-Arbitrage</v>
      </c>
      <c r="AB27" s="1327"/>
      <c r="AC27"/>
      <c r="AD27" s="1395" t="str">
        <f ca="1">AA27&amp;A27</f>
        <v>Auto-Arbitrage0</v>
      </c>
      <c r="AE27" s="1395"/>
      <c r="AF27" s="1395"/>
      <c r="AG27" s="1395"/>
      <c r="AH27" s="1395" t="str">
        <f>IF(OR(M27&gt;O27,R27&gt;T27),L27,IF(OR(M27&lt;O27,R27&lt;T27),P27,""))</f>
        <v/>
      </c>
      <c r="AI27" s="1395" t="str">
        <f>IF(AND(M27&lt;&gt;"",M27=O27,R27=T27),L27,"")</f>
        <v/>
      </c>
      <c r="AJ27" s="1395" t="str">
        <f>IF(AND(M27&lt;&gt;"",M27=O27,R27=T27),P27,"")</f>
        <v/>
      </c>
      <c r="AK27" s="1395" t="str">
        <f>IF(OR(M27&lt;O27,R27&lt;T27),L27,IF(OR(M27&gt;O27,R27&gt;T27),P27,""))</f>
        <v/>
      </c>
      <c r="AL27" s="2222" t="str">
        <f>IF(OR($AB27="",$AB27="V"),"",IF(MOD($AB27,10)=1,"XXX",""))</f>
        <v/>
      </c>
      <c r="AM27" s="2222" t="str">
        <f>IF(OR($AB27="",$AB27="V"),"",IF(MOD($AB27,100)&gt;=10,"XXX",""))</f>
        <v/>
      </c>
      <c r="AN27" s="2222" t="str">
        <f>IF(OR($AB27="",$AB27="V"),"",IF(MOD($AB27,1000)&gt;=100,"XXX",""))</f>
        <v/>
      </c>
      <c r="AO27" s="2222" t="str">
        <f>IF(OR($AB27="",$AB27="V"),"",IF(MOD($AB27,10000)&gt;=1000,"XXX",""))</f>
        <v/>
      </c>
      <c r="AP27" s="2222" t="str">
        <f>IF(OR($AB27="",$AB27="V"),"",IF(MOD($AB27,100000)&gt;=10000,"XXX",""))</f>
        <v/>
      </c>
    </row>
    <row r="28" spans="1:42" outlineLevel="1" x14ac:dyDescent="0.2">
      <c r="A28" s="822"/>
      <c r="B28" s="393"/>
      <c r="C28" s="393"/>
      <c r="D28" s="393"/>
      <c r="E28" s="823"/>
      <c r="F28" s="393"/>
      <c r="G28" s="393"/>
      <c r="H28" s="393"/>
      <c r="I28" s="393"/>
      <c r="J28" s="393"/>
      <c r="K28" s="393"/>
      <c r="L28" s="824"/>
      <c r="M28" s="825"/>
      <c r="N28" s="393"/>
      <c r="O28" s="825"/>
      <c r="P28" s="393"/>
      <c r="Q28" s="825"/>
      <c r="R28" s="826"/>
      <c r="S28" s="393"/>
      <c r="T28" s="826"/>
      <c r="U28" s="363"/>
      <c r="V28" s="362"/>
      <c r="W28" s="362"/>
      <c r="X28" s="362"/>
      <c r="Y28" s="362"/>
      <c r="Z28" s="362"/>
      <c r="AA28" s="825"/>
      <c r="AB28" s="1328"/>
      <c r="AC28"/>
      <c r="AD28" s="1395"/>
      <c r="AE28" s="1395"/>
      <c r="AF28" s="1395"/>
      <c r="AG28" s="1395"/>
      <c r="AH28" s="1395"/>
      <c r="AI28" s="1395"/>
      <c r="AJ28" s="1395"/>
      <c r="AK28" s="1395"/>
      <c r="AL28" s="2221"/>
      <c r="AM28" s="2221"/>
      <c r="AN28" s="2221"/>
      <c r="AO28" s="2221"/>
      <c r="AP28" s="2221"/>
    </row>
    <row r="29" spans="1:42" outlineLevel="1" x14ac:dyDescent="0.2">
      <c r="A29" s="814">
        <f ca="1">OFFSET(A29,-1,0)</f>
        <v>0</v>
      </c>
      <c r="B29" s="815"/>
      <c r="C29" s="816"/>
      <c r="D29" s="872"/>
      <c r="E29" s="327"/>
      <c r="F29" s="815"/>
      <c r="G29" s="817" t="s">
        <v>1718</v>
      </c>
      <c r="H29" s="817" t="str">
        <f>IF(K29="","",SUBSTITUTE(MID(K29,1,SEARCH("!",K29,1)-1),"'",""))</f>
        <v/>
      </c>
      <c r="I29" s="817" t="str">
        <f ca="1">IF(K29="","",CELL("row",INDIRECT(K29)))</f>
        <v/>
      </c>
      <c r="J29" s="817" t="str">
        <f ca="1">IF(K29="","",CELL("col",INDIRECT(K29)))</f>
        <v/>
      </c>
      <c r="K29" s="817" t="str">
        <f>MID(Lire_Formule(L29),2,10000)</f>
        <v/>
      </c>
      <c r="L29" s="818"/>
      <c r="M29" s="10"/>
      <c r="N29" s="394" t="s">
        <v>769</v>
      </c>
      <c r="O29" s="10"/>
      <c r="P29" s="818" t="str">
        <f ca="1">IF(K29="","",IF(G29="IT",INDIRECT(ADDRESS(I29+2,J29,4,TRUE,H29)),INDIRECT(ADDRESS(I29,J29+4,4,TRUE,H29))))</f>
        <v/>
      </c>
      <c r="Q29" s="10"/>
      <c r="R29" s="10"/>
      <c r="S29" s="394" t="s">
        <v>769</v>
      </c>
      <c r="T29" s="10"/>
      <c r="U29" s="397"/>
      <c r="V29" s="820" t="str">
        <f ca="1">L29&amp;TEXT(A29,"hh:mm")</f>
        <v>00:00</v>
      </c>
      <c r="W29" s="820" t="str">
        <f ca="1">P29&amp;TEXT(A29,"hh:mm")</f>
        <v>00:00</v>
      </c>
      <c r="X29" s="362">
        <f>IF(L29="",0,COUNTIF(PlayersAndHoursCol1,L29&amp;TEXT($A29,"hh:mm"))+COUNTIF(PlayersAndHoursCol2,L29&amp;TEXT($A29,"hh:mm")))</f>
        <v>0</v>
      </c>
      <c r="Y29" s="362">
        <f ca="1">IF(P29="",0,COUNTIF(PlayersAndHoursCol1,P29&amp;TEXT($A29,"hh:mm"))+COUNTIF(PlayersAndHoursCol2,P29&amp;TEXT($A29,"hh:mm")))</f>
        <v>0</v>
      </c>
      <c r="Z29" s="821" t="b">
        <f ca="1">IF(AA29="",FALSE,NOT(AND(ISNA(MATCH(AA29&amp;TEXT($A29,"hh:mm"),PlayersAndHoursCol1,0)),ISNA(MATCH(AA29&amp;TEXT($A29,"hh:mm"),PlayersAndHoursCol2,0)),COUNTIF(AD:AD,AA29&amp;$A29)&lt;=1)))</f>
        <v>1</v>
      </c>
      <c r="AA29" s="1317" t="str">
        <f ca="1">IF(K29="","Auto-Arbitrage",IF(G29="Ind. Tableau",INDIRECT(ADDRESS(I29,J29+3,4,TRUE,H29)),INDIRECT(ADDRESS(I29,J29-1,4,TRUE,H29))))</f>
        <v>Auto-Arbitrage</v>
      </c>
      <c r="AB29" s="1327"/>
      <c r="AC29"/>
      <c r="AD29" s="1395" t="str">
        <f ca="1">AA29&amp;A29</f>
        <v>Auto-Arbitrage0</v>
      </c>
      <c r="AE29" s="1395"/>
      <c r="AF29" s="1395"/>
      <c r="AG29" s="1395"/>
      <c r="AH29" s="1395" t="str">
        <f>IF(OR(M29&gt;O29,R29&gt;T29),L29,IF(OR(M29&lt;O29,R29&lt;T29),P29,""))</f>
        <v/>
      </c>
      <c r="AI29" s="1395" t="str">
        <f>IF(AND(M29&lt;&gt;"",M29=O29,R29=T29),L29,"")</f>
        <v/>
      </c>
      <c r="AJ29" s="1395" t="str">
        <f>IF(AND(M29&lt;&gt;"",M29=O29,R29=T29),P29,"")</f>
        <v/>
      </c>
      <c r="AK29" s="1395" t="str">
        <f>IF(OR(M29&lt;O29,R29&lt;T29),L29,IF(OR(M29&gt;O29,R29&gt;T29),P29,""))</f>
        <v/>
      </c>
      <c r="AL29" s="2222" t="str">
        <f>IF(OR($AB29="",$AB29="V"),"",IF(MOD($AB29,10)=1,"XXX",""))</f>
        <v/>
      </c>
      <c r="AM29" s="2222" t="str">
        <f>IF(OR($AB29="",$AB29="V"),"",IF(MOD($AB29,100)&gt;=10,"XXX",""))</f>
        <v/>
      </c>
      <c r="AN29" s="2222" t="str">
        <f>IF(OR($AB29="",$AB29="V"),"",IF(MOD($AB29,1000)&gt;=100,"XXX",""))</f>
        <v/>
      </c>
      <c r="AO29" s="2222" t="str">
        <f>IF(OR($AB29="",$AB29="V"),"",IF(MOD($AB29,10000)&gt;=1000,"XXX",""))</f>
        <v/>
      </c>
      <c r="AP29" s="2222" t="str">
        <f>IF(OR($AB29="",$AB29="V"),"",IF(MOD($AB29,100000)&gt;=10000,"XXX",""))</f>
        <v/>
      </c>
    </row>
    <row r="30" spans="1:42" outlineLevel="1" x14ac:dyDescent="0.2">
      <c r="A30" s="822"/>
      <c r="B30" s="393"/>
      <c r="C30" s="393"/>
      <c r="D30" s="393"/>
      <c r="E30" s="823"/>
      <c r="F30" s="393"/>
      <c r="G30" s="393"/>
      <c r="H30" s="393"/>
      <c r="I30" s="393"/>
      <c r="J30" s="393"/>
      <c r="K30" s="393"/>
      <c r="L30" s="824"/>
      <c r="M30" s="825"/>
      <c r="N30" s="393"/>
      <c r="O30" s="825"/>
      <c r="P30" s="393"/>
      <c r="Q30" s="825"/>
      <c r="R30" s="826"/>
      <c r="S30" s="393"/>
      <c r="T30" s="826"/>
      <c r="U30" s="363"/>
      <c r="V30" s="362"/>
      <c r="W30" s="362"/>
      <c r="X30" s="362"/>
      <c r="Y30" s="362"/>
      <c r="Z30" s="362"/>
      <c r="AA30" s="825"/>
      <c r="AB30" s="1328"/>
      <c r="AC30"/>
      <c r="AD30" s="1395"/>
      <c r="AE30" s="1395"/>
      <c r="AF30" s="1395"/>
      <c r="AG30" s="1395"/>
      <c r="AH30" s="1395"/>
      <c r="AI30" s="1395"/>
      <c r="AJ30" s="1395"/>
      <c r="AK30" s="1395"/>
      <c r="AL30" s="2221"/>
      <c r="AM30" s="2221"/>
      <c r="AN30" s="2221"/>
      <c r="AO30" s="2221"/>
      <c r="AP30" s="2221"/>
    </row>
    <row r="31" spans="1:42" outlineLevel="1" x14ac:dyDescent="0.2">
      <c r="A31" s="814">
        <f ca="1">OFFSET(A31,-1,0)</f>
        <v>0</v>
      </c>
      <c r="B31" s="815"/>
      <c r="C31" s="816"/>
      <c r="D31" s="872"/>
      <c r="E31" s="327"/>
      <c r="F31" s="815"/>
      <c r="G31" s="817" t="s">
        <v>1746</v>
      </c>
      <c r="H31" s="817" t="str">
        <f>IF(K31="","",SUBSTITUTE(MID(K31,1,SEARCH("!",K31,1)-1),"'",""))</f>
        <v/>
      </c>
      <c r="I31" s="817" t="str">
        <f ca="1">IF(K31="","",CELL("row",INDIRECT(K31)))</f>
        <v/>
      </c>
      <c r="J31" s="817" t="str">
        <f ca="1">IF(K31="","",CELL("col",INDIRECT(K31)))</f>
        <v/>
      </c>
      <c r="K31" s="817" t="str">
        <f>MID(Lire_Formule(L31),2,10000)</f>
        <v/>
      </c>
      <c r="L31" s="818"/>
      <c r="M31" s="10"/>
      <c r="N31" s="394" t="s">
        <v>769</v>
      </c>
      <c r="O31" s="10"/>
      <c r="P31" s="818" t="str">
        <f ca="1">IF(K31="","",IF(G31="IT",INDIRECT(ADDRESS(I31+2,J31,4,TRUE,H31)),INDIRECT(ADDRESS(I31,J31+4,4,TRUE,H31))))</f>
        <v/>
      </c>
      <c r="Q31" s="10"/>
      <c r="R31" s="10"/>
      <c r="S31" s="394" t="s">
        <v>769</v>
      </c>
      <c r="T31" s="10"/>
      <c r="U31" s="397"/>
      <c r="V31" s="820" t="str">
        <f ca="1">L31&amp;TEXT(A31,"hh:mm")</f>
        <v>00:00</v>
      </c>
      <c r="W31" s="820" t="str">
        <f ca="1">P31&amp;TEXT(A31,"hh:mm")</f>
        <v>00:00</v>
      </c>
      <c r="X31" s="362">
        <f>IF(L31="",0,COUNTIF(PlayersAndHoursCol1,L31&amp;TEXT($A31,"hh:mm"))+COUNTIF(PlayersAndHoursCol2,L31&amp;TEXT($A31,"hh:mm")))</f>
        <v>0</v>
      </c>
      <c r="Y31" s="362">
        <f ca="1">IF(P31="",0,COUNTIF(PlayersAndHoursCol1,P31&amp;TEXT($A31,"hh:mm"))+COUNTIF(PlayersAndHoursCol2,P31&amp;TEXT($A31,"hh:mm")))</f>
        <v>0</v>
      </c>
      <c r="Z31" s="821" t="b">
        <f ca="1">IF(AA31="",FALSE,NOT(AND(ISNA(MATCH(AA31&amp;TEXT($A31,"hh:mm"),PlayersAndHoursCol1,0)),ISNA(MATCH(AA31&amp;TEXT($A31,"hh:mm"),PlayersAndHoursCol2,0)),COUNTIF(AD:AD,AA31&amp;$A31)&lt;=1)))</f>
        <v>1</v>
      </c>
      <c r="AA31" s="1317" t="str">
        <f ca="1">IF(K31="","Auto-Arbitrage",IF(G31="Ind. Tableau",INDIRECT(ADDRESS(I31,J31+3,4,TRUE,H31)),INDIRECT(ADDRESS(I31,J31-1,4,TRUE,H31))))</f>
        <v>Auto-Arbitrage</v>
      </c>
      <c r="AB31" s="1327"/>
      <c r="AC31"/>
      <c r="AD31" s="1395" t="str">
        <f ca="1">AA31&amp;A31</f>
        <v>Auto-Arbitrage0</v>
      </c>
      <c r="AE31" s="1395"/>
      <c r="AF31" s="1395"/>
      <c r="AG31" s="1395"/>
      <c r="AH31" s="1395" t="str">
        <f>IF(OR(M31&gt;O31,R31&gt;T31),L31,IF(OR(M31&lt;O31,R31&lt;T31),P31,""))</f>
        <v/>
      </c>
      <c r="AI31" s="1395" t="str">
        <f>IF(AND(M31&lt;&gt;"",M31=O31,R31=T31),L31,"")</f>
        <v/>
      </c>
      <c r="AJ31" s="1395" t="str">
        <f>IF(AND(M31&lt;&gt;"",M31=O31,R31=T31),P31,"")</f>
        <v/>
      </c>
      <c r="AK31" s="1395" t="str">
        <f>IF(OR(M31&lt;O31,R31&lt;T31),L31,IF(OR(M31&gt;O31,R31&gt;T31),P31,""))</f>
        <v/>
      </c>
      <c r="AL31" s="2222" t="str">
        <f>IF(OR($AB31="",$AB31="V"),"",IF(MOD($AB31,10)=1,"XXX",""))</f>
        <v/>
      </c>
      <c r="AM31" s="2222" t="str">
        <f>IF(OR($AB31="",$AB31="V"),"",IF(MOD($AB31,100)&gt;=10,"XXX",""))</f>
        <v/>
      </c>
      <c r="AN31" s="2222" t="str">
        <f>IF(OR($AB31="",$AB31="V"),"",IF(MOD($AB31,1000)&gt;=100,"XXX",""))</f>
        <v/>
      </c>
      <c r="AO31" s="2222" t="str">
        <f>IF(OR($AB31="",$AB31="V"),"",IF(MOD($AB31,10000)&gt;=1000,"XXX",""))</f>
        <v/>
      </c>
      <c r="AP31" s="2222" t="str">
        <f>IF(OR($AB31="",$AB31="V"),"",IF(MOD($AB31,100000)&gt;=10000,"XXX",""))</f>
        <v/>
      </c>
    </row>
    <row r="32" spans="1:42" outlineLevel="1" x14ac:dyDescent="0.2">
      <c r="A32" s="822"/>
      <c r="B32" s="393"/>
      <c r="C32" s="393"/>
      <c r="D32" s="393"/>
      <c r="E32" s="823"/>
      <c r="F32" s="393"/>
      <c r="G32" s="393"/>
      <c r="H32" s="393"/>
      <c r="I32" s="393"/>
      <c r="J32" s="393"/>
      <c r="K32" s="393"/>
      <c r="L32" s="824"/>
      <c r="M32" s="825"/>
      <c r="N32" s="393"/>
      <c r="O32" s="825"/>
      <c r="P32" s="393"/>
      <c r="Q32" s="825"/>
      <c r="R32" s="826"/>
      <c r="S32" s="393"/>
      <c r="T32" s="826"/>
      <c r="U32" s="363"/>
      <c r="V32" s="362"/>
      <c r="W32" s="362"/>
      <c r="X32" s="362"/>
      <c r="Y32" s="362"/>
      <c r="Z32" s="362"/>
      <c r="AA32" s="825"/>
      <c r="AB32" s="1328"/>
      <c r="AC32"/>
      <c r="AD32" s="1395"/>
      <c r="AE32" s="1395"/>
      <c r="AF32" s="1395"/>
      <c r="AG32" s="1395"/>
      <c r="AH32" s="1395"/>
      <c r="AI32" s="1395"/>
      <c r="AJ32" s="1395"/>
      <c r="AK32" s="1395"/>
      <c r="AL32" s="2221"/>
      <c r="AM32" s="2221"/>
      <c r="AN32" s="2221"/>
      <c r="AO32" s="2221"/>
      <c r="AP32" s="2221"/>
    </row>
    <row r="33" spans="1:42" outlineLevel="1" x14ac:dyDescent="0.2">
      <c r="A33" s="814">
        <f ca="1">OFFSET(A33,-1,0)</f>
        <v>0</v>
      </c>
      <c r="B33" s="815"/>
      <c r="C33" s="827"/>
      <c r="D33" s="873"/>
      <c r="E33" s="327"/>
      <c r="F33" s="397"/>
      <c r="G33" s="395" t="s">
        <v>1742</v>
      </c>
      <c r="H33" s="395" t="str">
        <f>IF(K33="","",SUBSTITUTE(MID(K33,1,SEARCH("!",K33,1)-1),"'",""))</f>
        <v/>
      </c>
      <c r="I33" s="395" t="str">
        <f ca="1">IF(K33="","",CELL("row",INDIRECT(K33)))</f>
        <v/>
      </c>
      <c r="J33" s="395" t="str">
        <f ca="1">IF(K33="","",CELL("col",INDIRECT(K33)))</f>
        <v/>
      </c>
      <c r="K33" s="395" t="str">
        <f>MID(Lire_Formule(L33),2,10000)</f>
        <v/>
      </c>
      <c r="L33" s="818"/>
      <c r="M33" s="831" t="str">
        <f ca="1">IF(K33="","",INDIRECT(ADDRESS(I33,J33+1,4,TRUE,H33)))</f>
        <v/>
      </c>
      <c r="N33" s="832" t="s">
        <v>769</v>
      </c>
      <c r="O33" s="831" t="str">
        <f ca="1">IF(K33="","",INDIRECT(ADDRESS(I33,J33+3,4,TRUE,H33)))</f>
        <v/>
      </c>
      <c r="P33" s="818" t="str">
        <f ca="1">IF(K33="","",IF(RIGHT(G33,1)="T",INDIRECT(ADDRESS(I33+2,J33,4,TRUE,H33)),INDIRECT(ADDRESS(I33,J33+4,4,TRUE,H33))))</f>
        <v/>
      </c>
      <c r="Q33" s="819"/>
      <c r="R33" s="2223" t="str">
        <f ca="1">IF(M33="","",SUM(M34:M37))</f>
        <v/>
      </c>
      <c r="S33" s="397"/>
      <c r="T33" s="2223" t="str">
        <f ca="1">IF(O33="","",SUM(O34:O37))</f>
        <v/>
      </c>
      <c r="U33" s="397"/>
      <c r="V33" s="820" t="str">
        <f t="shared" ref="V33:V39" ca="1" si="5">L33&amp;TEXT(A33,"hh:mm")</f>
        <v>00:00</v>
      </c>
      <c r="W33" s="820" t="str">
        <f t="shared" ref="W33:W39" ca="1" si="6">P33&amp;TEXT(A33,"hh:mm")</f>
        <v>00:00</v>
      </c>
      <c r="X33" s="362">
        <f t="shared" ref="X33:X39" si="7">IF(L33="",0,COUNTIF(PlayersAndHoursCol1,L33&amp;TEXT($A33,"hh:mm"))+COUNTIF(PlayersAndHoursCol2,L33&amp;TEXT($A33,"hh:mm")))</f>
        <v>0</v>
      </c>
      <c r="Y33" s="362">
        <f t="shared" ref="Y33:Y39" ca="1" si="8">IF(P33="",0,COUNTIF(PlayersAndHoursCol1,P33&amp;TEXT($A33,"hh:mm"))+COUNTIF(PlayersAndHoursCol2,P33&amp;TEXT($A33,"hh:mm")))</f>
        <v>0</v>
      </c>
      <c r="Z33" s="821" t="b">
        <f>IF(AA33="",FALSE,NOT(AND(ISNA(MATCH(AA33&amp;TEXT($A33,"hh:mm"),PlayersAndHoursCol1,0)),ISNA(MATCH(AA33&amp;TEXT($A33,"hh:mm"),PlayersAndHoursCol2,0)),COUNTIF(AD:AD,AA33&amp;$A33)&lt;=1)))</f>
        <v>0</v>
      </c>
      <c r="AA33" s="1317"/>
      <c r="AB33" s="1327"/>
      <c r="AC33"/>
      <c r="AD33" s="1395" t="str">
        <f ca="1">AA33&amp;A33</f>
        <v>0</v>
      </c>
      <c r="AE33" s="1395"/>
      <c r="AF33" s="1395"/>
      <c r="AG33" s="1395"/>
      <c r="AH33" s="1395" t="str">
        <f ca="1">IF(OR(M33&gt;O33,R33&gt;T33),L33,IF(OR(M33&lt;O33,R33&lt;T33),P33,""))</f>
        <v/>
      </c>
      <c r="AI33" s="1395" t="str">
        <f ca="1">IF(AND(M33&lt;&gt;"",M33=O33,R33=T33),L33,"")</f>
        <v/>
      </c>
      <c r="AJ33" s="1395" t="str">
        <f ca="1">IF(AND(M33&lt;&gt;"",M33=O33,R33=T33),P33,"")</f>
        <v/>
      </c>
      <c r="AK33" s="1395" t="str">
        <f ca="1">IF(OR(M33&lt;O33,R33&lt;T33),L33,IF(OR(M33&gt;O33,R33&gt;T33),P33,""))</f>
        <v/>
      </c>
      <c r="AL33" s="2222" t="str">
        <f>IF(OR($AB33="",$AB33="V"),"",IF(MOD($AB33,10)=1,"XXX",""))</f>
        <v/>
      </c>
      <c r="AM33" s="2222" t="str">
        <f>IF(OR($AB33="",$AB33="V"),"",IF(MOD($AB33,100)&gt;=10,"XXX",""))</f>
        <v/>
      </c>
      <c r="AN33" s="2222" t="str">
        <f>IF(OR($AB33="",$AB33="V"),"",IF(MOD($AB33,1000)&gt;=100,"XXX",""))</f>
        <v/>
      </c>
      <c r="AO33" s="2222" t="str">
        <f>IF(OR($AB33="",$AB33="V"),"",IF(MOD($AB33,10000)&gt;=1000,"XXX",""))</f>
        <v/>
      </c>
      <c r="AP33" s="2222" t="str">
        <f>IF(OR($AB33="",$AB33="V"),"",IF(MOD($AB33,100000)&gt;=10000,"XXX",""))</f>
        <v/>
      </c>
    </row>
    <row r="34" spans="1:42" outlineLevel="2" x14ac:dyDescent="0.2">
      <c r="A34" s="828">
        <f ca="1">A33</f>
        <v>0</v>
      </c>
      <c r="B34" s="393"/>
      <c r="C34" s="1577">
        <f>C33</f>
        <v>0</v>
      </c>
      <c r="D34" s="393"/>
      <c r="E34" s="327"/>
      <c r="F34" s="393"/>
      <c r="G34" s="395" t="str">
        <f>G33&amp;1</f>
        <v>TG1</v>
      </c>
      <c r="H34" s="393"/>
      <c r="I34" s="393"/>
      <c r="J34" s="393"/>
      <c r="K34" s="393"/>
      <c r="L34" s="398"/>
      <c r="M34" s="10"/>
      <c r="N34" s="394" t="s">
        <v>769</v>
      </c>
      <c r="O34" s="10"/>
      <c r="P34" s="398"/>
      <c r="Q34" s="819"/>
      <c r="R34" s="397"/>
      <c r="S34" s="397"/>
      <c r="T34" s="397"/>
      <c r="U34" s="397"/>
      <c r="V34" s="820" t="str">
        <f t="shared" ca="1" si="5"/>
        <v>00:00</v>
      </c>
      <c r="W34" s="820" t="str">
        <f t="shared" ca="1" si="6"/>
        <v>00:00</v>
      </c>
      <c r="X34" s="362">
        <f t="shared" si="7"/>
        <v>0</v>
      </c>
      <c r="Y34" s="362">
        <f t="shared" si="8"/>
        <v>0</v>
      </c>
      <c r="Z34" s="821" t="b">
        <f>IF(AA34="",FALSE,NOT(AND(ISNA(MATCH(AA34&amp;TEXT($A34,"hh:mm"),PlayersAndHoursCol1,0)),ISNA(MATCH(AA34&amp;TEXT($A34,"hh:mm"),PlayersAndHoursCol2,0)),COUNTIF(AD:AD,AA34&amp;$A34)&lt;=1)))</f>
        <v>0</v>
      </c>
      <c r="AA34" s="1317"/>
      <c r="AB34" s="1327"/>
      <c r="AC34"/>
      <c r="AD34" s="1395"/>
      <c r="AE34" s="1395"/>
      <c r="AF34" s="1395"/>
      <c r="AG34" s="1395"/>
      <c r="AH34" s="1395" t="str">
        <f>IF(OR(M34&gt;O34,R34&gt;T34),L34,IF(OR(M34&lt;O34,R34&lt;T34),P34,""))</f>
        <v/>
      </c>
      <c r="AI34" s="1395" t="str">
        <f>IF(AND(M34&lt;&gt;"",M34=O34,R34=T34),L34,"")</f>
        <v/>
      </c>
      <c r="AJ34" s="1395" t="str">
        <f>IF(AND(M34&lt;&gt;"",M34=O34,R34=T34),P34,"")</f>
        <v/>
      </c>
      <c r="AK34" s="1395" t="str">
        <f>IF(OR(M34&lt;O34,R34&lt;T34),L34,IF(OR(M34&gt;O34,R34&gt;T34),P34,""))</f>
        <v/>
      </c>
      <c r="AL34" s="2222" t="str">
        <f>IF(OR($AB34="",$AB34="V"),"",IF(MOD($AB34,10)=1,"XXX",""))</f>
        <v/>
      </c>
      <c r="AM34" s="2222" t="str">
        <f>IF(OR($AB34="",$AB34="V"),"",IF(MOD($AB34,100)&gt;=10,"XXX",""))</f>
        <v/>
      </c>
      <c r="AN34" s="2222" t="str">
        <f>IF(OR($AB34="",$AB34="V"),"",IF(MOD($AB34,1000)&gt;=100,"XXX",""))</f>
        <v/>
      </c>
      <c r="AO34" s="2222" t="str">
        <f>IF(OR($AB34="",$AB34="V"),"",IF(MOD($AB34,10000)&gt;=1000,"XXX",""))</f>
        <v/>
      </c>
      <c r="AP34" s="2222" t="str">
        <f>IF(OR($AB34="",$AB34="V"),"",IF(MOD($AB34,100000)&gt;=10000,"XXX",""))</f>
        <v/>
      </c>
    </row>
    <row r="35" spans="1:42" outlineLevel="2" x14ac:dyDescent="0.2">
      <c r="A35" s="828">
        <f ca="1">A34</f>
        <v>0</v>
      </c>
      <c r="B35" s="393"/>
      <c r="C35" s="1577">
        <f>C34</f>
        <v>0</v>
      </c>
      <c r="D35" s="393"/>
      <c r="E35" s="327"/>
      <c r="F35" s="393"/>
      <c r="G35" s="395" t="str">
        <f>G33&amp;2</f>
        <v>TG2</v>
      </c>
      <c r="H35" s="393"/>
      <c r="I35" s="393"/>
      <c r="J35" s="393"/>
      <c r="K35" s="393"/>
      <c r="L35" s="398"/>
      <c r="M35" s="10"/>
      <c r="N35" s="394" t="s">
        <v>769</v>
      </c>
      <c r="O35" s="10"/>
      <c r="P35" s="398"/>
      <c r="Q35" s="819"/>
      <c r="R35" s="397"/>
      <c r="S35" s="397"/>
      <c r="T35" s="397"/>
      <c r="U35" s="397"/>
      <c r="V35" s="820" t="str">
        <f t="shared" ca="1" si="5"/>
        <v>00:00</v>
      </c>
      <c r="W35" s="820" t="str">
        <f t="shared" ca="1" si="6"/>
        <v>00:00</v>
      </c>
      <c r="X35" s="362">
        <f t="shared" si="7"/>
        <v>0</v>
      </c>
      <c r="Y35" s="362">
        <f t="shared" si="8"/>
        <v>0</v>
      </c>
      <c r="Z35" s="821" t="b">
        <f>IF(AA35="",FALSE,NOT(AND(ISNA(MATCH(AA35&amp;TEXT($A35,"hh:mm"),PlayersAndHoursCol1,0)),ISNA(MATCH(AA35&amp;TEXT($A35,"hh:mm"),PlayersAndHoursCol2,0)),COUNTIF(AD:AD,AA35&amp;$A35)&lt;=1)))</f>
        <v>0</v>
      </c>
      <c r="AA35" s="1317"/>
      <c r="AB35" s="1327"/>
      <c r="AC35"/>
      <c r="AD35" s="1395"/>
      <c r="AE35" s="1395"/>
      <c r="AF35" s="1395"/>
      <c r="AG35" s="1395"/>
      <c r="AH35" s="1395" t="str">
        <f>IF(OR(M35&gt;O35,R35&gt;T35),L35,IF(OR(M35&lt;O35,R35&lt;T35),P35,""))</f>
        <v/>
      </c>
      <c r="AI35" s="1395" t="str">
        <f>IF(AND(M35&lt;&gt;"",M35=O35,R35=T35),L35,"")</f>
        <v/>
      </c>
      <c r="AJ35" s="1395" t="str">
        <f>IF(AND(M35&lt;&gt;"",M35=O35,R35=T35),P35,"")</f>
        <v/>
      </c>
      <c r="AK35" s="1395" t="str">
        <f>IF(OR(M35&lt;O35,R35&lt;T35),L35,IF(OR(M35&gt;O35,R35&gt;T35),P35,""))</f>
        <v/>
      </c>
      <c r="AL35" s="2222" t="str">
        <f>IF(OR($AB35="",$AB35="V"),"",IF(MOD($AB35,10)=1,"XXX",""))</f>
        <v/>
      </c>
      <c r="AM35" s="2222" t="str">
        <f>IF(OR($AB35="",$AB35="V"),"",IF(MOD($AB35,100)&gt;=10,"XXX",""))</f>
        <v/>
      </c>
      <c r="AN35" s="2222" t="str">
        <f>IF(OR($AB35="",$AB35="V"),"",IF(MOD($AB35,1000)&gt;=100,"XXX",""))</f>
        <v/>
      </c>
      <c r="AO35" s="2222" t="str">
        <f>IF(OR($AB35="",$AB35="V"),"",IF(MOD($AB35,10000)&gt;=1000,"XXX",""))</f>
        <v/>
      </c>
      <c r="AP35" s="2222" t="str">
        <f>IF(OR($AB35="",$AB35="V"),"",IF(MOD($AB35,100000)&gt;=10000,"XXX",""))</f>
        <v/>
      </c>
    </row>
    <row r="36" spans="1:42" outlineLevel="2" x14ac:dyDescent="0.2">
      <c r="A36" s="828">
        <f ca="1">A35</f>
        <v>0</v>
      </c>
      <c r="B36" s="393"/>
      <c r="C36" s="1577">
        <f>C35</f>
        <v>0</v>
      </c>
      <c r="D36" s="393"/>
      <c r="E36" s="327"/>
      <c r="F36" s="393"/>
      <c r="G36" s="395" t="str">
        <f>G33&amp;3</f>
        <v>TG3</v>
      </c>
      <c r="H36" s="393"/>
      <c r="I36" s="393"/>
      <c r="J36" s="393"/>
      <c r="K36" s="393"/>
      <c r="L36" s="398"/>
      <c r="M36" s="10"/>
      <c r="N36" s="394" t="s">
        <v>769</v>
      </c>
      <c r="O36" s="10"/>
      <c r="P36" s="398"/>
      <c r="Q36" s="819"/>
      <c r="R36" s="397"/>
      <c r="S36" s="397"/>
      <c r="T36" s="397"/>
      <c r="U36" s="397"/>
      <c r="V36" s="820" t="str">
        <f t="shared" ca="1" si="5"/>
        <v>00:00</v>
      </c>
      <c r="W36" s="820" t="str">
        <f t="shared" ca="1" si="6"/>
        <v>00:00</v>
      </c>
      <c r="X36" s="362">
        <f t="shared" si="7"/>
        <v>0</v>
      </c>
      <c r="Y36" s="362">
        <f t="shared" si="8"/>
        <v>0</v>
      </c>
      <c r="Z36" s="821" t="b">
        <f>IF(AA36="",FALSE,NOT(AND(ISNA(MATCH(AA36&amp;TEXT($A36,"hh:mm"),PlayersAndHoursCol1,0)),ISNA(MATCH(AA36&amp;TEXT($A36,"hh:mm"),PlayersAndHoursCol2,0)),COUNTIF(AD:AD,AA36&amp;$A36)&lt;=1)))</f>
        <v>0</v>
      </c>
      <c r="AA36" s="1317"/>
      <c r="AB36" s="1327"/>
      <c r="AC36"/>
      <c r="AD36" s="1395"/>
      <c r="AE36" s="1395"/>
      <c r="AF36" s="1395"/>
      <c r="AG36" s="1395"/>
      <c r="AH36" s="1395" t="str">
        <f>IF(OR(M36&gt;O36,R36&gt;T36),L36,IF(OR(M36&lt;O36,R36&lt;T36),P36,""))</f>
        <v/>
      </c>
      <c r="AI36" s="1395" t="str">
        <f>IF(AND(M36&lt;&gt;"",M36=O36,R36=T36),L36,"")</f>
        <v/>
      </c>
      <c r="AJ36" s="1395" t="str">
        <f>IF(AND(M36&lt;&gt;"",M36=O36,R36=T36),P36,"")</f>
        <v/>
      </c>
      <c r="AK36" s="1395" t="str">
        <f>IF(OR(M36&lt;O36,R36&lt;T36),L36,IF(OR(M36&gt;O36,R36&gt;T36),P36,""))</f>
        <v/>
      </c>
      <c r="AL36" s="2222" t="str">
        <f>IF(OR($AB36="",$AB36="V"),"",IF(MOD($AB36,10)=1,"XXX",""))</f>
        <v/>
      </c>
      <c r="AM36" s="2222" t="str">
        <f>IF(OR($AB36="",$AB36="V"),"",IF(MOD($AB36,100)&gt;=10,"XXX",""))</f>
        <v/>
      </c>
      <c r="AN36" s="2222" t="str">
        <f>IF(OR($AB36="",$AB36="V"),"",IF(MOD($AB36,1000)&gt;=100,"XXX",""))</f>
        <v/>
      </c>
      <c r="AO36" s="2222" t="str">
        <f>IF(OR($AB36="",$AB36="V"),"",IF(MOD($AB36,10000)&gt;=1000,"XXX",""))</f>
        <v/>
      </c>
      <c r="AP36" s="2222" t="str">
        <f>IF(OR($AB36="",$AB36="V"),"",IF(MOD($AB36,100000)&gt;=10000,"XXX",""))</f>
        <v/>
      </c>
    </row>
    <row r="37" spans="1:42" outlineLevel="2" x14ac:dyDescent="0.2">
      <c r="A37" s="828">
        <f ca="1">A36</f>
        <v>0</v>
      </c>
      <c r="B37" s="393"/>
      <c r="C37" s="1577">
        <f>C36</f>
        <v>0</v>
      </c>
      <c r="D37" s="393"/>
      <c r="E37" s="327"/>
      <c r="F37" s="393"/>
      <c r="G37" s="395" t="str">
        <f>G33&amp;4</f>
        <v>TG4</v>
      </c>
      <c r="H37" s="393"/>
      <c r="I37" s="393"/>
      <c r="J37" s="393"/>
      <c r="K37" s="393"/>
      <c r="L37" s="398"/>
      <c r="M37" s="10"/>
      <c r="N37" s="394" t="s">
        <v>769</v>
      </c>
      <c r="O37" s="10"/>
      <c r="P37" s="398"/>
      <c r="Q37" s="819"/>
      <c r="R37" s="397"/>
      <c r="S37" s="397"/>
      <c r="T37" s="397"/>
      <c r="U37" s="397"/>
      <c r="V37" s="820" t="str">
        <f t="shared" ca="1" si="5"/>
        <v>00:00</v>
      </c>
      <c r="W37" s="820" t="str">
        <f t="shared" ca="1" si="6"/>
        <v>00:00</v>
      </c>
      <c r="X37" s="362">
        <f t="shared" si="7"/>
        <v>0</v>
      </c>
      <c r="Y37" s="362">
        <f t="shared" si="8"/>
        <v>0</v>
      </c>
      <c r="Z37" s="821" t="b">
        <f>IF(AA37="",FALSE,NOT(AND(ISNA(MATCH(AA37&amp;TEXT($A37,"hh:mm"),PlayersAndHoursCol1,0)),ISNA(MATCH(AA37&amp;TEXT($A37,"hh:mm"),PlayersAndHoursCol2,0)),COUNTIF(AD:AD,AA37&amp;$A37)&lt;=1)))</f>
        <v>0</v>
      </c>
      <c r="AA37" s="1317"/>
      <c r="AB37" s="1327"/>
      <c r="AC37"/>
      <c r="AD37" s="1395"/>
      <c r="AE37" s="1395"/>
      <c r="AF37" s="1395"/>
      <c r="AG37" s="1395"/>
      <c r="AH37" s="1395" t="str">
        <f>IF(OR(M37&gt;O37,R37&gt;T37),L37,IF(OR(M37&lt;O37,R37&lt;T37),P37,""))</f>
        <v/>
      </c>
      <c r="AI37" s="1395" t="str">
        <f>IF(AND(M37&lt;&gt;"",M37=O37,R37=T37),L37,"")</f>
        <v/>
      </c>
      <c r="AJ37" s="1395" t="str">
        <f>IF(AND(M37&lt;&gt;"",M37=O37,R37=T37),P37,"")</f>
        <v/>
      </c>
      <c r="AK37" s="1395" t="str">
        <f>IF(OR(M37&lt;O37,R37&lt;T37),L37,IF(OR(M37&gt;O37,R37&gt;T37),P37,""))</f>
        <v/>
      </c>
      <c r="AL37" s="2222" t="str">
        <f>IF(OR($AB37="",$AB37="V"),"",IF(MOD($AB37,10)=1,"XXX",""))</f>
        <v/>
      </c>
      <c r="AM37" s="2222" t="str">
        <f>IF(OR($AB37="",$AB37="V"),"",IF(MOD($AB37,100)&gt;=10,"XXX",""))</f>
        <v/>
      </c>
      <c r="AN37" s="2222" t="str">
        <f>IF(OR($AB37="",$AB37="V"),"",IF(MOD($AB37,1000)&gt;=100,"XXX",""))</f>
        <v/>
      </c>
      <c r="AO37" s="2222" t="str">
        <f>IF(OR($AB37="",$AB37="V"),"",IF(MOD($AB37,10000)&gt;=1000,"XXX",""))</f>
        <v/>
      </c>
      <c r="AP37" s="2222" t="str">
        <f>IF(OR($AB37="",$AB37="V"),"",IF(MOD($AB37,100000)&gt;=10000,"XXX",""))</f>
        <v/>
      </c>
    </row>
    <row r="38" spans="1:42" outlineLevel="2" x14ac:dyDescent="0.2">
      <c r="A38" s="828">
        <f ca="1">A37</f>
        <v>0</v>
      </c>
      <c r="B38" s="393"/>
      <c r="C38" s="1577"/>
      <c r="D38" s="393"/>
      <c r="E38" s="829" t="str">
        <f>N_Substitute</f>
        <v>Remplaçant</v>
      </c>
      <c r="F38" s="393"/>
      <c r="G38" s="395" t="str">
        <f>G33&amp;"SB1"</f>
        <v>TGSB1</v>
      </c>
      <c r="H38" s="393"/>
      <c r="I38" s="393"/>
      <c r="J38" s="393"/>
      <c r="K38" s="393"/>
      <c r="L38" s="398"/>
      <c r="M38" s="10"/>
      <c r="N38" s="830"/>
      <c r="O38" s="10"/>
      <c r="P38" s="398"/>
      <c r="Q38" s="819"/>
      <c r="R38" s="397"/>
      <c r="S38" s="397"/>
      <c r="T38" s="397"/>
      <c r="U38" s="397"/>
      <c r="V38" s="820" t="str">
        <f t="shared" ca="1" si="5"/>
        <v>00:00</v>
      </c>
      <c r="W38" s="820" t="str">
        <f t="shared" ca="1" si="6"/>
        <v>00:00</v>
      </c>
      <c r="X38" s="362">
        <f t="shared" si="7"/>
        <v>0</v>
      </c>
      <c r="Y38" s="362">
        <f t="shared" si="8"/>
        <v>0</v>
      </c>
      <c r="Z38" s="821"/>
      <c r="AA38" s="825"/>
      <c r="AB38" s="1331"/>
      <c r="AC38"/>
      <c r="AD38" s="1395"/>
      <c r="AE38" s="1395"/>
      <c r="AF38" s="1395"/>
      <c r="AG38" s="1395"/>
      <c r="AH38" s="1395"/>
      <c r="AI38" s="1395"/>
      <c r="AJ38" s="1395"/>
      <c r="AK38" s="1395"/>
      <c r="AL38" s="2221"/>
      <c r="AM38" s="2221"/>
      <c r="AN38" s="2221"/>
      <c r="AO38" s="2221"/>
      <c r="AP38" s="2221"/>
    </row>
    <row r="39" spans="1:42" outlineLevel="2" x14ac:dyDescent="0.2">
      <c r="A39" s="828">
        <f ca="1">A33</f>
        <v>0</v>
      </c>
      <c r="B39" s="393"/>
      <c r="C39" s="1577"/>
      <c r="D39" s="393"/>
      <c r="E39" s="829" t="str">
        <f>N_Substitute</f>
        <v>Remplaçant</v>
      </c>
      <c r="F39" s="393"/>
      <c r="G39" s="395" t="str">
        <f>G33&amp;"SB2"</f>
        <v>TGSB2</v>
      </c>
      <c r="H39" s="393"/>
      <c r="I39" s="393"/>
      <c r="J39" s="393"/>
      <c r="K39" s="393"/>
      <c r="L39" s="398"/>
      <c r="M39" s="10"/>
      <c r="N39" s="830"/>
      <c r="O39" s="10"/>
      <c r="P39" s="398"/>
      <c r="Q39" s="819"/>
      <c r="R39" s="397"/>
      <c r="S39" s="397"/>
      <c r="T39" s="397"/>
      <c r="U39" s="397"/>
      <c r="V39" s="820" t="str">
        <f t="shared" ca="1" si="5"/>
        <v>00:00</v>
      </c>
      <c r="W39" s="820" t="str">
        <f t="shared" ca="1" si="6"/>
        <v>00:00</v>
      </c>
      <c r="X39" s="362">
        <f t="shared" si="7"/>
        <v>0</v>
      </c>
      <c r="Y39" s="362">
        <f t="shared" si="8"/>
        <v>0</v>
      </c>
      <c r="Z39" s="821"/>
      <c r="AA39" s="825"/>
      <c r="AB39" s="1333"/>
      <c r="AC39"/>
      <c r="AD39" s="1395"/>
      <c r="AE39" s="1395"/>
      <c r="AF39" s="1395"/>
      <c r="AG39" s="1395"/>
      <c r="AH39" s="1395"/>
      <c r="AI39" s="1395"/>
      <c r="AJ39" s="1395"/>
      <c r="AK39" s="1395"/>
      <c r="AL39" s="2221"/>
      <c r="AM39" s="2221"/>
      <c r="AN39" s="2221"/>
      <c r="AO39" s="2221"/>
      <c r="AP39" s="2221"/>
    </row>
    <row r="40" spans="1:42" outlineLevel="1" x14ac:dyDescent="0.2">
      <c r="A40" s="822"/>
      <c r="B40" s="393"/>
      <c r="C40" s="393"/>
      <c r="D40" s="393"/>
      <c r="E40" s="823"/>
      <c r="F40" s="393"/>
      <c r="G40" s="393"/>
      <c r="H40" s="393"/>
      <c r="I40" s="393"/>
      <c r="J40" s="393"/>
      <c r="K40" s="393"/>
      <c r="L40" s="824"/>
      <c r="M40" s="825"/>
      <c r="N40" s="393"/>
      <c r="O40" s="825"/>
      <c r="P40" s="393"/>
      <c r="Q40" s="825"/>
      <c r="R40" s="826"/>
      <c r="S40" s="393"/>
      <c r="T40" s="826"/>
      <c r="U40" s="363"/>
      <c r="V40" s="362"/>
      <c r="W40" s="362"/>
      <c r="X40" s="362"/>
      <c r="Y40" s="362"/>
      <c r="Z40" s="362"/>
      <c r="AA40" s="825"/>
      <c r="AB40" s="1332"/>
      <c r="AC40"/>
      <c r="AD40" s="1395"/>
      <c r="AE40" s="1395"/>
      <c r="AF40" s="1395"/>
      <c r="AG40" s="1395"/>
      <c r="AH40" s="1395"/>
      <c r="AI40" s="1395"/>
      <c r="AJ40" s="1395"/>
      <c r="AK40" s="1395"/>
      <c r="AL40" s="2221"/>
      <c r="AM40" s="2221"/>
      <c r="AN40" s="2221"/>
      <c r="AO40" s="2221"/>
      <c r="AP40" s="2221"/>
    </row>
    <row r="41" spans="1:42" outlineLevel="1" x14ac:dyDescent="0.2">
      <c r="A41" s="814">
        <f ca="1">OFFSET(A41,-1,0)</f>
        <v>0</v>
      </c>
      <c r="B41" s="815"/>
      <c r="C41" s="827"/>
      <c r="D41" s="873"/>
      <c r="E41" s="327"/>
      <c r="F41" s="397"/>
      <c r="G41" s="395" t="s">
        <v>1743</v>
      </c>
      <c r="H41" s="395" t="str">
        <f>IF(K41="","",SUBSTITUTE(MID(K41,1,SEARCH("!",K41,1)-1),"'",""))</f>
        <v/>
      </c>
      <c r="I41" s="395" t="str">
        <f ca="1">IF(K41="","",CELL("row",INDIRECT(K41)))</f>
        <v/>
      </c>
      <c r="J41" s="395" t="str">
        <f ca="1">IF(K41="","",CELL("col",INDIRECT(K41)))</f>
        <v/>
      </c>
      <c r="K41" s="395" t="str">
        <f>MID(Lire_Formule(L41),2,10000)</f>
        <v/>
      </c>
      <c r="L41" s="818"/>
      <c r="M41" s="831" t="str">
        <f ca="1">IF(K41="","",IF(RIGHT(G41,1)="T",INDIRECT(ADDRESS(I41,J41+1,4,TRUE,H41)),INDIRECT(ADDRESS(I41,J41+1,4,TRUE,H41))))</f>
        <v/>
      </c>
      <c r="N41" s="832" t="s">
        <v>769</v>
      </c>
      <c r="O41" s="831" t="str">
        <f ca="1">IF(K41="","",IF(RIGHT(G41,1)="T",INDIRECT(ADDRESS(I41+2,J41+1,4,TRUE,H41)),INDIRECT(ADDRESS(I41,J41+3,4,TRUE,H41))))</f>
        <v/>
      </c>
      <c r="P41" s="818" t="str">
        <f ca="1">IF(K41="","",IF(RIGHT(G41,1)="T",INDIRECT(ADDRESS(I41+2,J41,4,TRUE,H41)),INDIRECT(ADDRESS(I41,J41+4,4,TRUE,H41))))</f>
        <v/>
      </c>
      <c r="Q41" s="831" t="str">
        <f ca="1">IF(K41="","",IF(RIGHT(G41,1)="T",INDIRECT(ADDRESS(I41+1,J41+3,4,TRUE,H41)),INDIRECT(ADDRESS(I41,J41+5,4,TRUE,H41))))</f>
        <v/>
      </c>
      <c r="R41" s="831" t="str">
        <f ca="1">IF(K41="","",IF(RIGHT(G41,1)="T",INDIRECT(ADDRESS(I41,J41+4,4,TRUE,H41)),INDIRECT(ADDRESS(I41+1,J41+1,4,TRUE,H41))))</f>
        <v/>
      </c>
      <c r="S41" s="832" t="s">
        <v>769</v>
      </c>
      <c r="T41" s="831" t="str">
        <f ca="1">IF(K41="","",IF(RIGHT(G41,1)="T",INDIRECT(ADDRESS(I41+2,J41+4,4,TRUE,H41)),INDIRECT(ADDRESS(I41+1,J41+3,4,TRUE,H41))))</f>
        <v/>
      </c>
      <c r="U41" s="819"/>
      <c r="V41" s="820" t="str">
        <f t="shared" ref="V41:V48" ca="1" si="9">L41&amp;TEXT(A41,"hh:mm")</f>
        <v>00:00</v>
      </c>
      <c r="W41" s="820" t="str">
        <f t="shared" ref="W41:W48" ca="1" si="10">P41&amp;TEXT(A41,"hh:mm")</f>
        <v>00:00</v>
      </c>
      <c r="X41" s="362">
        <f t="shared" ref="X41:X48" si="11">IF(L41="",0,COUNTIF(PlayersAndHoursCol1,L41&amp;TEXT($A41,"hh:mm"))+COUNTIF(PlayersAndHoursCol2,L41&amp;TEXT($A41,"hh:mm")))</f>
        <v>0</v>
      </c>
      <c r="Y41" s="362">
        <f t="shared" ref="Y41:Y48" ca="1" si="12">IF(P41="",0,COUNTIF(PlayersAndHoursCol1,P41&amp;TEXT($A41,"hh:mm"))+COUNTIF(PlayersAndHoursCol2,P41&amp;TEXT($A41,"hh:mm")))</f>
        <v>0</v>
      </c>
      <c r="Z41" s="821" t="b">
        <f t="shared" ref="Z41:Z46" si="13">IF(AA41="",FALSE,NOT(AND(ISNA(MATCH(AA41&amp;TEXT($A41,"hh:mm"),PlayersAndHoursCol1,0)),ISNA(MATCH(AA41&amp;TEXT($A41,"hh:mm"),PlayersAndHoursCol2,0)),COUNTIF(AD:AD,AA41&amp;$A41)&lt;=1)))</f>
        <v>0</v>
      </c>
      <c r="AA41" s="1317"/>
      <c r="AB41" s="1327"/>
      <c r="AC41"/>
      <c r="AD41" s="1395" t="str">
        <f ca="1">AA41&amp;A41</f>
        <v>0</v>
      </c>
      <c r="AE41" s="1395"/>
      <c r="AF41" s="1395"/>
      <c r="AG41" s="1395"/>
      <c r="AH41" s="1395" t="str">
        <f ca="1">IF(OR(M41&gt;O41,R41&gt;T41),L41,IF(OR(M41&lt;O41,R41&lt;T41),P41,""))</f>
        <v/>
      </c>
      <c r="AI41" s="1395" t="str">
        <f ca="1">IF(AND(M41&lt;&gt;"",M41=O41,R41=T41),L41,"")</f>
        <v/>
      </c>
      <c r="AJ41" s="1395" t="str">
        <f ca="1">IF(AND(M41&lt;&gt;"",M41=O41,R41=T41),P41,"")</f>
        <v/>
      </c>
      <c r="AK41" s="1395" t="str">
        <f ca="1">IF(OR(M41&lt;O41,R41&lt;T41),L41,IF(OR(M41&gt;O41,R41&gt;T41),P41,""))</f>
        <v/>
      </c>
      <c r="AL41" s="2222" t="str">
        <f t="shared" ref="AL41:AL46" si="14">IF(OR($AB41="",$AB41="V"),"",IF(MOD($AB41,10)=1,"XXX",""))</f>
        <v/>
      </c>
      <c r="AM41" s="2222" t="str">
        <f t="shared" ref="AM41:AM46" si="15">IF(OR($AB41="",$AB41="V"),"",IF(MOD($AB41,100)&gt;=10,"XXX",""))</f>
        <v/>
      </c>
      <c r="AN41" s="2222" t="str">
        <f t="shared" ref="AN41:AN46" si="16">IF(OR($AB41="",$AB41="V"),"",IF(MOD($AB41,1000)&gt;=100,"XXX",""))</f>
        <v/>
      </c>
      <c r="AO41" s="2222" t="str">
        <f t="shared" ref="AO41:AO46" si="17">IF(OR($AB41="",$AB41="V"),"",IF(MOD($AB41,10000)&gt;=1000,"XXX",""))</f>
        <v/>
      </c>
      <c r="AP41" s="2222" t="str">
        <f t="shared" ref="AP41:AP46" si="18">IF(OR($AB41="",$AB41="V"),"",IF(MOD($AB41,100000)&gt;=10000,"XXX",""))</f>
        <v/>
      </c>
    </row>
    <row r="42" spans="1:42" outlineLevel="2" x14ac:dyDescent="0.2">
      <c r="A42" s="828">
        <f ca="1">A41</f>
        <v>0</v>
      </c>
      <c r="B42" s="393"/>
      <c r="C42" s="1577">
        <f>C41</f>
        <v>0</v>
      </c>
      <c r="D42" s="393"/>
      <c r="E42" s="327"/>
      <c r="F42" s="393"/>
      <c r="G42" s="395" t="str">
        <f>G41&amp;1</f>
        <v>TE1</v>
      </c>
      <c r="H42" s="393"/>
      <c r="I42" s="393"/>
      <c r="J42" s="393"/>
      <c r="K42" s="393"/>
      <c r="L42" s="398"/>
      <c r="M42" s="10"/>
      <c r="N42" s="394" t="s">
        <v>769</v>
      </c>
      <c r="O42" s="10"/>
      <c r="P42" s="398"/>
      <c r="Q42" s="10"/>
      <c r="R42" s="397"/>
      <c r="S42" s="397"/>
      <c r="T42" s="397"/>
      <c r="U42" s="397"/>
      <c r="V42" s="820" t="str">
        <f t="shared" ca="1" si="9"/>
        <v>00:00</v>
      </c>
      <c r="W42" s="820" t="str">
        <f t="shared" ca="1" si="10"/>
        <v>00:00</v>
      </c>
      <c r="X42" s="362">
        <f t="shared" si="11"/>
        <v>0</v>
      </c>
      <c r="Y42" s="362">
        <f t="shared" si="12"/>
        <v>0</v>
      </c>
      <c r="Z42" s="821" t="b">
        <f t="shared" si="13"/>
        <v>0</v>
      </c>
      <c r="AA42" s="1317"/>
      <c r="AB42" s="1327"/>
      <c r="AC42"/>
      <c r="AD42" s="1395"/>
      <c r="AE42" s="1395"/>
      <c r="AF42" s="1395"/>
      <c r="AG42" s="1395"/>
      <c r="AH42" s="1395" t="str">
        <f>IF(OR(M42&gt;O42,R42&gt;T42),L42,IF(OR(M42&lt;O42,R42&lt;T42),P42,""))</f>
        <v/>
      </c>
      <c r="AI42" s="1395" t="str">
        <f>IF(AND(M42&lt;&gt;"",M42=O42,R42=T42),L42,"")</f>
        <v/>
      </c>
      <c r="AJ42" s="1395" t="str">
        <f>IF(AND(M42&lt;&gt;"",M42=O42,R42=T42),P42,"")</f>
        <v/>
      </c>
      <c r="AK42" s="1395" t="str">
        <f>IF(OR(M42&lt;O42,R42&lt;T42),L42,IF(OR(M42&gt;O42,R42&gt;T42),P42,""))</f>
        <v/>
      </c>
      <c r="AL42" s="2222" t="str">
        <f t="shared" si="14"/>
        <v/>
      </c>
      <c r="AM42" s="2222" t="str">
        <f t="shared" si="15"/>
        <v/>
      </c>
      <c r="AN42" s="2222" t="str">
        <f t="shared" si="16"/>
        <v/>
      </c>
      <c r="AO42" s="2222" t="str">
        <f t="shared" si="17"/>
        <v/>
      </c>
      <c r="AP42" s="2222" t="str">
        <f t="shared" si="18"/>
        <v/>
      </c>
    </row>
    <row r="43" spans="1:42" outlineLevel="2" x14ac:dyDescent="0.2">
      <c r="A43" s="828">
        <f ca="1">A42</f>
        <v>0</v>
      </c>
      <c r="B43" s="393"/>
      <c r="C43" s="1577">
        <f>C42</f>
        <v>0</v>
      </c>
      <c r="D43" s="393"/>
      <c r="E43" s="327"/>
      <c r="F43" s="393"/>
      <c r="G43" s="395" t="str">
        <f>G41&amp;2</f>
        <v>TE2</v>
      </c>
      <c r="H43" s="393"/>
      <c r="I43" s="393"/>
      <c r="J43" s="393"/>
      <c r="K43" s="393"/>
      <c r="L43" s="398"/>
      <c r="M43" s="10"/>
      <c r="N43" s="394" t="s">
        <v>769</v>
      </c>
      <c r="O43" s="10"/>
      <c r="P43" s="398"/>
      <c r="Q43" s="10"/>
      <c r="R43" s="397"/>
      <c r="S43" s="397"/>
      <c r="T43" s="397"/>
      <c r="U43" s="397"/>
      <c r="V43" s="820" t="str">
        <f t="shared" ca="1" si="9"/>
        <v>00:00</v>
      </c>
      <c r="W43" s="820" t="str">
        <f t="shared" ca="1" si="10"/>
        <v>00:00</v>
      </c>
      <c r="X43" s="362">
        <f t="shared" si="11"/>
        <v>0</v>
      </c>
      <c r="Y43" s="362">
        <f t="shared" si="12"/>
        <v>0</v>
      </c>
      <c r="Z43" s="821" t="b">
        <f t="shared" si="13"/>
        <v>0</v>
      </c>
      <c r="AA43" s="1317"/>
      <c r="AB43" s="1327"/>
      <c r="AC43"/>
      <c r="AD43" s="1395"/>
      <c r="AE43" s="1395"/>
      <c r="AF43" s="1395"/>
      <c r="AG43" s="1395"/>
      <c r="AH43" s="1395" t="str">
        <f>IF(OR(M43&gt;O43,R43&gt;T43),L43,IF(OR(M43&lt;O43,R43&lt;T43),P43,""))</f>
        <v/>
      </c>
      <c r="AI43" s="1395" t="str">
        <f>IF(AND(M43&lt;&gt;"",M43=O43,R43=T43),L43,"")</f>
        <v/>
      </c>
      <c r="AJ43" s="1395" t="str">
        <f>IF(AND(M43&lt;&gt;"",M43=O43,R43=T43),P43,"")</f>
        <v/>
      </c>
      <c r="AK43" s="1395" t="str">
        <f>IF(OR(M43&lt;O43,R43&lt;T43),L43,IF(OR(M43&gt;O43,R43&gt;T43),P43,""))</f>
        <v/>
      </c>
      <c r="AL43" s="2222" t="str">
        <f t="shared" si="14"/>
        <v/>
      </c>
      <c r="AM43" s="2222" t="str">
        <f t="shared" si="15"/>
        <v/>
      </c>
      <c r="AN43" s="2222" t="str">
        <f t="shared" si="16"/>
        <v/>
      </c>
      <c r="AO43" s="2222" t="str">
        <f t="shared" si="17"/>
        <v/>
      </c>
      <c r="AP43" s="2222" t="str">
        <f t="shared" si="18"/>
        <v/>
      </c>
    </row>
    <row r="44" spans="1:42" outlineLevel="2" x14ac:dyDescent="0.2">
      <c r="A44" s="828">
        <f ca="1">A43</f>
        <v>0</v>
      </c>
      <c r="B44" s="393"/>
      <c r="C44" s="1577">
        <f>C43</f>
        <v>0</v>
      </c>
      <c r="D44" s="393"/>
      <c r="E44" s="327"/>
      <c r="F44" s="393"/>
      <c r="G44" s="395" t="str">
        <f>G41&amp;3</f>
        <v>TE3</v>
      </c>
      <c r="H44" s="393"/>
      <c r="I44" s="393"/>
      <c r="J44" s="393"/>
      <c r="K44" s="393"/>
      <c r="L44" s="398"/>
      <c r="M44" s="10"/>
      <c r="N44" s="394" t="s">
        <v>769</v>
      </c>
      <c r="O44" s="10"/>
      <c r="P44" s="398"/>
      <c r="Q44" s="10"/>
      <c r="R44" s="397"/>
      <c r="S44" s="397"/>
      <c r="T44" s="397"/>
      <c r="U44" s="397"/>
      <c r="V44" s="820" t="str">
        <f t="shared" ca="1" si="9"/>
        <v>00:00</v>
      </c>
      <c r="W44" s="820" t="str">
        <f t="shared" ca="1" si="10"/>
        <v>00:00</v>
      </c>
      <c r="X44" s="362">
        <f t="shared" si="11"/>
        <v>0</v>
      </c>
      <c r="Y44" s="362">
        <f t="shared" si="12"/>
        <v>0</v>
      </c>
      <c r="Z44" s="821" t="b">
        <f t="shared" si="13"/>
        <v>0</v>
      </c>
      <c r="AA44" s="1317"/>
      <c r="AB44" s="1327"/>
      <c r="AC44"/>
      <c r="AD44" s="1395"/>
      <c r="AE44" s="1395"/>
      <c r="AF44" s="1395"/>
      <c r="AG44" s="1395"/>
      <c r="AH44" s="1395" t="str">
        <f>IF(OR(M44&gt;O44,R44&gt;T44),L44,IF(OR(M44&lt;O44,R44&lt;T44),P44,""))</f>
        <v/>
      </c>
      <c r="AI44" s="1395" t="str">
        <f>IF(AND(M44&lt;&gt;"",M44=O44,R44=T44),L44,"")</f>
        <v/>
      </c>
      <c r="AJ44" s="1395" t="str">
        <f>IF(AND(M44&lt;&gt;"",M44=O44,R44=T44),P44,"")</f>
        <v/>
      </c>
      <c r="AK44" s="1395" t="str">
        <f>IF(OR(M44&lt;O44,R44&lt;T44),L44,IF(OR(M44&gt;O44,R44&gt;T44),P44,""))</f>
        <v/>
      </c>
      <c r="AL44" s="2222" t="str">
        <f t="shared" si="14"/>
        <v/>
      </c>
      <c r="AM44" s="2222" t="str">
        <f t="shared" si="15"/>
        <v/>
      </c>
      <c r="AN44" s="2222" t="str">
        <f t="shared" si="16"/>
        <v/>
      </c>
      <c r="AO44" s="2222" t="str">
        <f t="shared" si="17"/>
        <v/>
      </c>
      <c r="AP44" s="2222" t="str">
        <f t="shared" si="18"/>
        <v/>
      </c>
    </row>
    <row r="45" spans="1:42" outlineLevel="2" x14ac:dyDescent="0.2">
      <c r="A45" s="828">
        <f ca="1">A44</f>
        <v>0</v>
      </c>
      <c r="B45" s="393"/>
      <c r="C45" s="1577">
        <f>C44</f>
        <v>0</v>
      </c>
      <c r="D45" s="393"/>
      <c r="E45" s="327"/>
      <c r="F45" s="393"/>
      <c r="G45" s="395" t="str">
        <f>G41&amp;4</f>
        <v>TE4</v>
      </c>
      <c r="H45" s="393"/>
      <c r="I45" s="393"/>
      <c r="J45" s="393"/>
      <c r="K45" s="393"/>
      <c r="L45" s="398"/>
      <c r="M45" s="10"/>
      <c r="N45" s="394" t="s">
        <v>769</v>
      </c>
      <c r="O45" s="10"/>
      <c r="P45" s="398"/>
      <c r="Q45" s="10"/>
      <c r="R45" s="397"/>
      <c r="S45" s="397"/>
      <c r="T45" s="397"/>
      <c r="U45" s="397"/>
      <c r="V45" s="820" t="str">
        <f t="shared" ca="1" si="9"/>
        <v>00:00</v>
      </c>
      <c r="W45" s="820" t="str">
        <f t="shared" ca="1" si="10"/>
        <v>00:00</v>
      </c>
      <c r="X45" s="362">
        <f t="shared" si="11"/>
        <v>0</v>
      </c>
      <c r="Y45" s="362">
        <f t="shared" si="12"/>
        <v>0</v>
      </c>
      <c r="Z45" s="821" t="b">
        <f t="shared" si="13"/>
        <v>0</v>
      </c>
      <c r="AA45" s="1317"/>
      <c r="AB45" s="1327"/>
      <c r="AC45"/>
      <c r="AD45" s="1395"/>
      <c r="AE45" s="1395"/>
      <c r="AF45" s="1395"/>
      <c r="AG45" s="1395"/>
      <c r="AH45" s="1395" t="str">
        <f>IF(OR(M45&gt;O45,R45&gt;T45),L45,IF(OR(M45&lt;O45,R45&lt;T45),P45,""))</f>
        <v/>
      </c>
      <c r="AI45" s="1395" t="str">
        <f>IF(AND(M45&lt;&gt;"",M45=O45,R45=T45),L45,"")</f>
        <v/>
      </c>
      <c r="AJ45" s="1395" t="str">
        <f>IF(AND(M45&lt;&gt;"",M45=O45,R45=T45),P45,"")</f>
        <v/>
      </c>
      <c r="AK45" s="1395" t="str">
        <f>IF(OR(M45&lt;O45,R45&lt;T45),L45,IF(OR(M45&gt;O45,R45&gt;T45),P45,""))</f>
        <v/>
      </c>
      <c r="AL45" s="2222" t="str">
        <f t="shared" si="14"/>
        <v/>
      </c>
      <c r="AM45" s="2222" t="str">
        <f t="shared" si="15"/>
        <v/>
      </c>
      <c r="AN45" s="2222" t="str">
        <f t="shared" si="16"/>
        <v/>
      </c>
      <c r="AO45" s="2222" t="str">
        <f t="shared" si="17"/>
        <v/>
      </c>
      <c r="AP45" s="2222" t="str">
        <f t="shared" si="18"/>
        <v/>
      </c>
    </row>
    <row r="46" spans="1:42" outlineLevel="2" x14ac:dyDescent="0.2">
      <c r="A46" s="828">
        <f ca="1">A45</f>
        <v>0</v>
      </c>
      <c r="B46" s="393"/>
      <c r="C46" s="1577"/>
      <c r="D46" s="393"/>
      <c r="E46" s="829" t="str">
        <f>N_Différentiel</f>
        <v>Différentiel</v>
      </c>
      <c r="F46" s="393"/>
      <c r="G46" s="395" t="str">
        <f>G41&amp;5</f>
        <v>TE5</v>
      </c>
      <c r="H46" s="393"/>
      <c r="I46" s="393"/>
      <c r="J46" s="393"/>
      <c r="K46" s="396"/>
      <c r="L46" s="398"/>
      <c r="M46" s="10"/>
      <c r="N46" s="394" t="s">
        <v>769</v>
      </c>
      <c r="O46" s="10"/>
      <c r="P46" s="398"/>
      <c r="Q46" s="397"/>
      <c r="R46" s="397"/>
      <c r="S46" s="397"/>
      <c r="T46" s="397"/>
      <c r="U46" s="397"/>
      <c r="V46" s="820" t="str">
        <f t="shared" ca="1" si="9"/>
        <v>00:00</v>
      </c>
      <c r="W46" s="820" t="str">
        <f t="shared" ca="1" si="10"/>
        <v>00:00</v>
      </c>
      <c r="X46" s="362">
        <f t="shared" si="11"/>
        <v>0</v>
      </c>
      <c r="Y46" s="362">
        <f t="shared" si="12"/>
        <v>0</v>
      </c>
      <c r="Z46" s="821" t="b">
        <f t="shared" si="13"/>
        <v>0</v>
      </c>
      <c r="AA46" s="1317"/>
      <c r="AB46" s="1327"/>
      <c r="AC46"/>
      <c r="AD46" s="1395"/>
      <c r="AE46" s="1395"/>
      <c r="AF46" s="1395"/>
      <c r="AG46" s="1395"/>
      <c r="AH46" s="1395"/>
      <c r="AI46" s="1395"/>
      <c r="AJ46" s="1395"/>
      <c r="AK46" s="1395"/>
      <c r="AL46" s="2222" t="str">
        <f t="shared" si="14"/>
        <v/>
      </c>
      <c r="AM46" s="2222" t="str">
        <f t="shared" si="15"/>
        <v/>
      </c>
      <c r="AN46" s="2222" t="str">
        <f t="shared" si="16"/>
        <v/>
      </c>
      <c r="AO46" s="2222" t="str">
        <f t="shared" si="17"/>
        <v/>
      </c>
      <c r="AP46" s="2222" t="str">
        <f t="shared" si="18"/>
        <v/>
      </c>
    </row>
    <row r="47" spans="1:42" outlineLevel="2" x14ac:dyDescent="0.2">
      <c r="A47" s="828">
        <f ca="1">A41</f>
        <v>0</v>
      </c>
      <c r="B47" s="393"/>
      <c r="C47" s="1577"/>
      <c r="D47" s="393"/>
      <c r="E47" s="829" t="str">
        <f>N_Substitute</f>
        <v>Remplaçant</v>
      </c>
      <c r="F47" s="393"/>
      <c r="G47" s="395" t="str">
        <f>G41&amp;"SB1"</f>
        <v>TESB1</v>
      </c>
      <c r="H47" s="393"/>
      <c r="I47" s="393"/>
      <c r="J47" s="393"/>
      <c r="K47" s="393"/>
      <c r="L47" s="398"/>
      <c r="M47" s="10"/>
      <c r="N47" s="830"/>
      <c r="O47" s="10"/>
      <c r="P47" s="398"/>
      <c r="Q47" s="819"/>
      <c r="R47" s="397"/>
      <c r="S47" s="397"/>
      <c r="T47" s="397"/>
      <c r="U47" s="397"/>
      <c r="V47" s="820" t="str">
        <f t="shared" ca="1" si="9"/>
        <v>00:00</v>
      </c>
      <c r="W47" s="820" t="str">
        <f t="shared" ca="1" si="10"/>
        <v>00:00</v>
      </c>
      <c r="X47" s="362">
        <f t="shared" si="11"/>
        <v>0</v>
      </c>
      <c r="Y47" s="362">
        <f t="shared" si="12"/>
        <v>0</v>
      </c>
      <c r="Z47" s="821"/>
      <c r="AA47" s="825"/>
      <c r="AB47" s="1328"/>
      <c r="AC47"/>
      <c r="AD47" s="1395"/>
      <c r="AE47" s="1395"/>
      <c r="AF47" s="1395"/>
      <c r="AG47" s="1395"/>
      <c r="AH47" s="1395"/>
      <c r="AI47" s="1395"/>
      <c r="AJ47" s="1395"/>
      <c r="AK47" s="1395"/>
      <c r="AL47" s="2221"/>
      <c r="AM47" s="2221"/>
      <c r="AN47" s="2221"/>
      <c r="AO47" s="2221"/>
      <c r="AP47" s="2221"/>
    </row>
    <row r="48" spans="1:42" outlineLevel="2" x14ac:dyDescent="0.2">
      <c r="A48" s="828">
        <f ca="1">A41</f>
        <v>0</v>
      </c>
      <c r="B48" s="393"/>
      <c r="C48" s="1577"/>
      <c r="D48" s="393"/>
      <c r="E48" s="829" t="str">
        <f>N_Substitute</f>
        <v>Remplaçant</v>
      </c>
      <c r="F48" s="393"/>
      <c r="G48" s="395" t="str">
        <f>G41&amp;"SB2"</f>
        <v>TESB2</v>
      </c>
      <c r="H48" s="393"/>
      <c r="I48" s="393"/>
      <c r="J48" s="393"/>
      <c r="K48" s="393"/>
      <c r="L48" s="398"/>
      <c r="M48" s="10"/>
      <c r="N48" s="830"/>
      <c r="O48" s="10"/>
      <c r="P48" s="398"/>
      <c r="Q48" s="819"/>
      <c r="R48" s="397"/>
      <c r="S48" s="397"/>
      <c r="T48" s="397"/>
      <c r="U48" s="397"/>
      <c r="V48" s="820" t="str">
        <f t="shared" ca="1" si="9"/>
        <v>00:00</v>
      </c>
      <c r="W48" s="820" t="str">
        <f t="shared" ca="1" si="10"/>
        <v>00:00</v>
      </c>
      <c r="X48" s="362">
        <f t="shared" si="11"/>
        <v>0</v>
      </c>
      <c r="Y48" s="362">
        <f t="shared" si="12"/>
        <v>0</v>
      </c>
      <c r="Z48" s="821"/>
      <c r="AA48" s="825"/>
      <c r="AB48" s="1333"/>
      <c r="AC48"/>
      <c r="AD48" s="1395"/>
      <c r="AE48" s="1395"/>
      <c r="AF48" s="1395"/>
      <c r="AG48" s="1395"/>
      <c r="AH48" s="1395"/>
      <c r="AI48" s="1395"/>
      <c r="AJ48" s="1395"/>
      <c r="AK48" s="1395"/>
      <c r="AL48" s="2221"/>
      <c r="AM48" s="2221"/>
      <c r="AN48" s="2221"/>
      <c r="AO48" s="2221"/>
      <c r="AP48" s="2221"/>
    </row>
    <row r="49" spans="1:42" outlineLevel="1" x14ac:dyDescent="0.2">
      <c r="A49" s="822"/>
      <c r="B49" s="393"/>
      <c r="C49" s="393"/>
      <c r="D49" s="393"/>
      <c r="E49" s="823"/>
      <c r="F49" s="393"/>
      <c r="G49" s="393"/>
      <c r="H49" s="393"/>
      <c r="I49" s="393"/>
      <c r="J49" s="393"/>
      <c r="K49" s="393"/>
      <c r="L49" s="824"/>
      <c r="M49" s="825"/>
      <c r="N49" s="393"/>
      <c r="O49" s="825"/>
      <c r="P49" s="393"/>
      <c r="Q49" s="825"/>
      <c r="R49" s="826"/>
      <c r="S49" s="393"/>
      <c r="T49" s="826"/>
      <c r="U49" s="363"/>
      <c r="V49" s="362"/>
      <c r="W49" s="362"/>
      <c r="X49" s="362"/>
      <c r="Y49" s="362"/>
      <c r="Z49" s="362"/>
      <c r="AA49" s="825"/>
      <c r="AB49" s="1328"/>
      <c r="AC49"/>
      <c r="AD49" s="1395"/>
      <c r="AE49" s="1395"/>
      <c r="AF49" s="1395"/>
      <c r="AG49" s="1395"/>
      <c r="AH49" s="1395"/>
      <c r="AI49" s="1395"/>
      <c r="AJ49" s="1395"/>
      <c r="AK49" s="1395"/>
      <c r="AL49" s="2221"/>
      <c r="AM49" s="2221"/>
      <c r="AN49" s="2221"/>
      <c r="AO49" s="2221"/>
      <c r="AP49" s="2221"/>
    </row>
    <row r="50" spans="1:42" outlineLevel="1" x14ac:dyDescent="0.2">
      <c r="A50" s="814">
        <f ca="1">OFFSET(A50,-1,0)</f>
        <v>0</v>
      </c>
      <c r="B50" s="815"/>
      <c r="C50" s="827"/>
      <c r="D50" s="873"/>
      <c r="E50" s="327"/>
      <c r="F50" s="397"/>
      <c r="G50" s="395" t="s">
        <v>1741</v>
      </c>
      <c r="H50" s="395" t="str">
        <f>IF(K50="","",SUBSTITUTE(MID(K50,1,SEARCH("!",K50,1)-1),"'",""))</f>
        <v/>
      </c>
      <c r="I50" s="395" t="str">
        <f ca="1">IF(K50="","",CELL("row",INDIRECT(K50)))</f>
        <v/>
      </c>
      <c r="J50" s="395" t="str">
        <f ca="1">IF(K50="","",CELL("col",INDIRECT(K50)))</f>
        <v/>
      </c>
      <c r="K50" s="395" t="str">
        <f>MID(Lire_Formule(L50),2,10000)</f>
        <v/>
      </c>
      <c r="L50" s="818"/>
      <c r="M50" s="831" t="str">
        <f ca="1">IF(K50="","",IF(RIGHT(G50,1)="T",INDIRECT(ADDRESS(I50,J50+1,4,TRUE,H50)),INDIRECT(ADDRESS(I50,J50+4,4,TRUE,H50))))</f>
        <v/>
      </c>
      <c r="N50" s="832" t="s">
        <v>769</v>
      </c>
      <c r="O50" s="831" t="str">
        <f ca="1">IF(K50="","",IF(RIGHT(G50,1)="T",INDIRECT(ADDRESS(I50+2,J50+1,4,TRUE,H50)),INDIRECT(ADDRESS(I50,J50+4,4,TRUE,H50))))</f>
        <v/>
      </c>
      <c r="P50" s="818" t="str">
        <f ca="1">IF(K50="","",IF(RIGHT(G50,1)="T",INDIRECT(ADDRESS(I50+2,J50,4,TRUE,H50)),INDIRECT(ADDRESS(I50,J50+4,4,TRUE,H50))))</f>
        <v/>
      </c>
      <c r="Q50" s="831" t="str">
        <f ca="1">IF(K50="","",IF(RIGHT(G50,1)="T",INDIRECT(ADDRESS(I50+1,J50+3,4,TRUE,H50)),INDIRECT(ADDRESS(I50,J50+5,4,TRUE,H50))))</f>
        <v/>
      </c>
      <c r="R50" s="831" t="str">
        <f ca="1">IF(K50="","",IF(RIGHT(G50,1)="T",INDIRECT(ADDRESS(I50,J50+4,4,TRUE,H50)),INDIRECT(ADDRESS(I50+1,J50+1,4,TRUE,H50))))</f>
        <v/>
      </c>
      <c r="S50" s="832" t="s">
        <v>769</v>
      </c>
      <c r="T50" s="831" t="str">
        <f ca="1">IF(K50="","",IF(RIGHT(G50,1)="T",INDIRECT(ADDRESS(I50+2,J50+4,4,TRUE,H50)),INDIRECT(ADDRESS(I50+1,J50+3,4,TRUE,H50))))</f>
        <v/>
      </c>
      <c r="U50" s="819"/>
      <c r="V50" s="820" t="str">
        <f t="shared" ref="V50:V57" ca="1" si="19">L50&amp;TEXT(A50,"hh:mm")</f>
        <v>00:00</v>
      </c>
      <c r="W50" s="820" t="str">
        <f t="shared" ref="W50:W57" ca="1" si="20">P50&amp;TEXT(A50,"hh:mm")</f>
        <v>00:00</v>
      </c>
      <c r="X50" s="362">
        <f t="shared" ref="X50:X57" si="21">IF(L50="",0,COUNTIF(PlayersAndHoursCol1,L50&amp;TEXT($A50,"hh:mm"))+COUNTIF(PlayersAndHoursCol2,L50&amp;TEXT($A50,"hh:mm")))</f>
        <v>0</v>
      </c>
      <c r="Y50" s="362">
        <f t="shared" ref="Y50:Y57" ca="1" si="22">IF(P50="",0,COUNTIF(PlayersAndHoursCol1,P50&amp;TEXT($A50,"hh:mm"))+COUNTIF(PlayersAndHoursCol2,P50&amp;TEXT($A50,"hh:mm")))</f>
        <v>0</v>
      </c>
      <c r="Z50" s="821" t="b">
        <f t="shared" ref="Z50:Z55" si="23">IF(AA50="",FALSE,NOT(AND(ISNA(MATCH(AA50&amp;TEXT($A50,"hh:mm"),PlayersAndHoursCol1,0)),ISNA(MATCH(AA50&amp;TEXT($A50,"hh:mm"),PlayersAndHoursCol2,0)),COUNTIF(AD:AD,AA50&amp;$A50)&lt;=1)))</f>
        <v>0</v>
      </c>
      <c r="AA50" s="1317"/>
      <c r="AB50" s="1327"/>
      <c r="AC50"/>
      <c r="AD50" s="1395" t="str">
        <f ca="1">AA50&amp;A50</f>
        <v>0</v>
      </c>
      <c r="AE50" s="1395"/>
      <c r="AF50" s="1395"/>
      <c r="AG50" s="1395"/>
      <c r="AH50" s="1395" t="str">
        <f ca="1">IF(OR(M50&gt;O50,R50&gt;T50),L50,IF(OR(M50&lt;O50,R50&lt;T50),P50,""))</f>
        <v/>
      </c>
      <c r="AI50" s="1395" t="str">
        <f ca="1">IF(AND(M50&lt;&gt;"",M50=O50,R50=T50),L50,"")</f>
        <v/>
      </c>
      <c r="AJ50" s="1395" t="str">
        <f ca="1">IF(AND(M50&lt;&gt;"",M50=O50,R50=T50),P50,"")</f>
        <v/>
      </c>
      <c r="AK50" s="1395" t="str">
        <f ca="1">IF(OR(M50&lt;O50,R50&lt;T50),L50,IF(OR(M50&gt;O50,R50&gt;T50),P50,""))</f>
        <v/>
      </c>
      <c r="AL50" s="2222" t="str">
        <f t="shared" ref="AL50:AL55" si="24">IF(OR($AB50="",$AB50="V"),"",IF(MOD($AB50,10)=1,"XXX",""))</f>
        <v/>
      </c>
      <c r="AM50" s="2222" t="str">
        <f t="shared" ref="AM50:AM55" si="25">IF(OR($AB50="",$AB50="V"),"",IF(MOD($AB50,100)&gt;=10,"XXX",""))</f>
        <v/>
      </c>
      <c r="AN50" s="2222" t="str">
        <f t="shared" ref="AN50:AN55" si="26">IF(OR($AB50="",$AB50="V"),"",IF(MOD($AB50,1000)&gt;=100,"XXX",""))</f>
        <v/>
      </c>
      <c r="AO50" s="2222" t="str">
        <f t="shared" ref="AO50:AO55" si="27">IF(OR($AB50="",$AB50="V"),"",IF(MOD($AB50,10000)&gt;=1000,"XXX",""))</f>
        <v/>
      </c>
      <c r="AP50" s="2222" t="str">
        <f t="shared" ref="AP50:AP55" si="28">IF(OR($AB50="",$AB50="V"),"",IF(MOD($AB50,100000)&gt;=10000,"XXX",""))</f>
        <v/>
      </c>
    </row>
    <row r="51" spans="1:42" outlineLevel="2" x14ac:dyDescent="0.2">
      <c r="A51" s="828">
        <f ca="1">A50</f>
        <v>0</v>
      </c>
      <c r="B51" s="393"/>
      <c r="C51" s="1577">
        <f>C50</f>
        <v>0</v>
      </c>
      <c r="D51" s="393"/>
      <c r="E51" s="327"/>
      <c r="F51" s="393"/>
      <c r="G51" s="395" t="str">
        <f>G50&amp;1</f>
        <v>TT1</v>
      </c>
      <c r="H51" s="393"/>
      <c r="I51" s="393"/>
      <c r="J51" s="393"/>
      <c r="K51" s="393"/>
      <c r="L51" s="398"/>
      <c r="M51" s="10"/>
      <c r="N51" s="394" t="s">
        <v>769</v>
      </c>
      <c r="O51" s="10"/>
      <c r="P51" s="398"/>
      <c r="Q51" s="10"/>
      <c r="R51" s="397"/>
      <c r="S51" s="397"/>
      <c r="T51" s="397"/>
      <c r="U51" s="397"/>
      <c r="V51" s="820" t="str">
        <f t="shared" ca="1" si="19"/>
        <v>00:00</v>
      </c>
      <c r="W51" s="820" t="str">
        <f t="shared" ca="1" si="20"/>
        <v>00:00</v>
      </c>
      <c r="X51" s="362">
        <f t="shared" si="21"/>
        <v>0</v>
      </c>
      <c r="Y51" s="362">
        <f t="shared" si="22"/>
        <v>0</v>
      </c>
      <c r="Z51" s="821" t="b">
        <f t="shared" si="23"/>
        <v>0</v>
      </c>
      <c r="AA51" s="1317"/>
      <c r="AB51" s="1327"/>
      <c r="AC51"/>
      <c r="AD51" s="1395"/>
      <c r="AE51" s="1395"/>
      <c r="AF51" s="1395"/>
      <c r="AG51" s="1395"/>
      <c r="AH51" s="1395" t="str">
        <f>IF(OR(M51&gt;O51,R51&gt;T51),L51,IF(OR(M51&lt;O51,R51&lt;T51),P51,""))</f>
        <v/>
      </c>
      <c r="AI51" s="1395" t="str">
        <f>IF(AND(M51&lt;&gt;"",M51=O51,R51=T51),L51,"")</f>
        <v/>
      </c>
      <c r="AJ51" s="1395" t="str">
        <f>IF(AND(M51&lt;&gt;"",M51=O51,R51=T51),P51,"")</f>
        <v/>
      </c>
      <c r="AK51" s="1395" t="str">
        <f>IF(OR(M51&lt;O51,R51&lt;T51),L51,IF(OR(M51&gt;O51,R51&gt;T51),P51,""))</f>
        <v/>
      </c>
      <c r="AL51" s="2222" t="str">
        <f t="shared" si="24"/>
        <v/>
      </c>
      <c r="AM51" s="2222" t="str">
        <f t="shared" si="25"/>
        <v/>
      </c>
      <c r="AN51" s="2222" t="str">
        <f t="shared" si="26"/>
        <v/>
      </c>
      <c r="AO51" s="2222" t="str">
        <f t="shared" si="27"/>
        <v/>
      </c>
      <c r="AP51" s="2222" t="str">
        <f t="shared" si="28"/>
        <v/>
      </c>
    </row>
    <row r="52" spans="1:42" outlineLevel="2" x14ac:dyDescent="0.2">
      <c r="A52" s="828">
        <f ca="1">A51</f>
        <v>0</v>
      </c>
      <c r="B52" s="393"/>
      <c r="C52" s="1577">
        <f>C51</f>
        <v>0</v>
      </c>
      <c r="D52" s="393"/>
      <c r="E52" s="327"/>
      <c r="F52" s="393"/>
      <c r="G52" s="395" t="str">
        <f>G50&amp;2</f>
        <v>TT2</v>
      </c>
      <c r="H52" s="393"/>
      <c r="I52" s="393"/>
      <c r="J52" s="393"/>
      <c r="K52" s="393"/>
      <c r="L52" s="398"/>
      <c r="M52" s="10"/>
      <c r="N52" s="394" t="s">
        <v>769</v>
      </c>
      <c r="O52" s="10"/>
      <c r="P52" s="398"/>
      <c r="Q52" s="10"/>
      <c r="R52" s="397"/>
      <c r="S52" s="397"/>
      <c r="T52" s="397"/>
      <c r="U52" s="397"/>
      <c r="V52" s="820" t="str">
        <f t="shared" ca="1" si="19"/>
        <v>00:00</v>
      </c>
      <c r="W52" s="820" t="str">
        <f t="shared" ca="1" si="20"/>
        <v>00:00</v>
      </c>
      <c r="X52" s="362">
        <f t="shared" si="21"/>
        <v>0</v>
      </c>
      <c r="Y52" s="362">
        <f t="shared" si="22"/>
        <v>0</v>
      </c>
      <c r="Z52" s="821" t="b">
        <f t="shared" si="23"/>
        <v>0</v>
      </c>
      <c r="AA52" s="1317"/>
      <c r="AB52" s="1327"/>
      <c r="AC52"/>
      <c r="AD52" s="1395"/>
      <c r="AE52" s="1395"/>
      <c r="AF52" s="1395"/>
      <c r="AG52" s="1395"/>
      <c r="AH52" s="1395" t="str">
        <f>IF(OR(M52&gt;O52,R52&gt;T52),L52,IF(OR(M52&lt;O52,R52&lt;T52),P52,""))</f>
        <v/>
      </c>
      <c r="AI52" s="1395" t="str">
        <f>IF(AND(M52&lt;&gt;"",M52=O52,R52=T52),L52,"")</f>
        <v/>
      </c>
      <c r="AJ52" s="1395" t="str">
        <f>IF(AND(M52&lt;&gt;"",M52=O52,R52=T52),P52,"")</f>
        <v/>
      </c>
      <c r="AK52" s="1395" t="str">
        <f>IF(OR(M52&lt;O52,R52&lt;T52),L52,IF(OR(M52&gt;O52,R52&gt;T52),P52,""))</f>
        <v/>
      </c>
      <c r="AL52" s="2222" t="str">
        <f t="shared" si="24"/>
        <v/>
      </c>
      <c r="AM52" s="2222" t="str">
        <f t="shared" si="25"/>
        <v/>
      </c>
      <c r="AN52" s="2222" t="str">
        <f t="shared" si="26"/>
        <v/>
      </c>
      <c r="AO52" s="2222" t="str">
        <f t="shared" si="27"/>
        <v/>
      </c>
      <c r="AP52" s="2222" t="str">
        <f t="shared" si="28"/>
        <v/>
      </c>
    </row>
    <row r="53" spans="1:42" outlineLevel="2" x14ac:dyDescent="0.2">
      <c r="A53" s="828">
        <f ca="1">A52</f>
        <v>0</v>
      </c>
      <c r="B53" s="393"/>
      <c r="C53" s="1577">
        <f>C52</f>
        <v>0</v>
      </c>
      <c r="D53" s="393"/>
      <c r="E53" s="327"/>
      <c r="F53" s="393"/>
      <c r="G53" s="395" t="str">
        <f>G50&amp;3</f>
        <v>TT3</v>
      </c>
      <c r="H53" s="393"/>
      <c r="I53" s="393"/>
      <c r="J53" s="393"/>
      <c r="K53" s="393"/>
      <c r="L53" s="398"/>
      <c r="M53" s="10"/>
      <c r="N53" s="394" t="s">
        <v>769</v>
      </c>
      <c r="O53" s="10"/>
      <c r="P53" s="398"/>
      <c r="Q53" s="10"/>
      <c r="R53" s="397"/>
      <c r="S53" s="397"/>
      <c r="T53" s="397"/>
      <c r="U53" s="397"/>
      <c r="V53" s="820" t="str">
        <f t="shared" ca="1" si="19"/>
        <v>00:00</v>
      </c>
      <c r="W53" s="820" t="str">
        <f t="shared" ca="1" si="20"/>
        <v>00:00</v>
      </c>
      <c r="X53" s="362">
        <f t="shared" si="21"/>
        <v>0</v>
      </c>
      <c r="Y53" s="362">
        <f t="shared" si="22"/>
        <v>0</v>
      </c>
      <c r="Z53" s="821" t="b">
        <f t="shared" si="23"/>
        <v>0</v>
      </c>
      <c r="AA53" s="1317"/>
      <c r="AB53" s="1327"/>
      <c r="AC53"/>
      <c r="AD53" s="1395"/>
      <c r="AE53" s="1395"/>
      <c r="AF53" s="1395"/>
      <c r="AG53" s="1395"/>
      <c r="AH53" s="1395" t="str">
        <f>IF(OR(M53&gt;O53,R53&gt;T53),L53,IF(OR(M53&lt;O53,R53&lt;T53),P53,""))</f>
        <v/>
      </c>
      <c r="AI53" s="1395" t="str">
        <f>IF(AND(M53&lt;&gt;"",M53=O53,R53=T53),L53,"")</f>
        <v/>
      </c>
      <c r="AJ53" s="1395" t="str">
        <f>IF(AND(M53&lt;&gt;"",M53=O53,R53=T53),P53,"")</f>
        <v/>
      </c>
      <c r="AK53" s="1395" t="str">
        <f>IF(OR(M53&lt;O53,R53&lt;T53),L53,IF(OR(M53&gt;O53,R53&gt;T53),P53,""))</f>
        <v/>
      </c>
      <c r="AL53" s="2222" t="str">
        <f t="shared" si="24"/>
        <v/>
      </c>
      <c r="AM53" s="2222" t="str">
        <f t="shared" si="25"/>
        <v/>
      </c>
      <c r="AN53" s="2222" t="str">
        <f t="shared" si="26"/>
        <v/>
      </c>
      <c r="AO53" s="2222" t="str">
        <f t="shared" si="27"/>
        <v/>
      </c>
      <c r="AP53" s="2222" t="str">
        <f t="shared" si="28"/>
        <v/>
      </c>
    </row>
    <row r="54" spans="1:42" outlineLevel="2" x14ac:dyDescent="0.2">
      <c r="A54" s="828">
        <f ca="1">A53</f>
        <v>0</v>
      </c>
      <c r="B54" s="393"/>
      <c r="C54" s="1577">
        <f>C53</f>
        <v>0</v>
      </c>
      <c r="D54" s="393"/>
      <c r="E54" s="327"/>
      <c r="F54" s="393"/>
      <c r="G54" s="395" t="str">
        <f>G50&amp;4</f>
        <v>TT4</v>
      </c>
      <c r="H54" s="393"/>
      <c r="I54" s="393"/>
      <c r="J54" s="393"/>
      <c r="K54" s="393"/>
      <c r="L54" s="398"/>
      <c r="M54" s="10"/>
      <c r="N54" s="394" t="s">
        <v>769</v>
      </c>
      <c r="O54" s="10"/>
      <c r="P54" s="398"/>
      <c r="Q54" s="10"/>
      <c r="R54" s="397"/>
      <c r="S54" s="397"/>
      <c r="T54" s="397"/>
      <c r="U54" s="397"/>
      <c r="V54" s="820" t="str">
        <f t="shared" ca="1" si="19"/>
        <v>00:00</v>
      </c>
      <c r="W54" s="820" t="str">
        <f t="shared" ca="1" si="20"/>
        <v>00:00</v>
      </c>
      <c r="X54" s="362">
        <f t="shared" si="21"/>
        <v>0</v>
      </c>
      <c r="Y54" s="362">
        <f t="shared" si="22"/>
        <v>0</v>
      </c>
      <c r="Z54" s="821" t="b">
        <f t="shared" si="23"/>
        <v>0</v>
      </c>
      <c r="AA54" s="1317"/>
      <c r="AB54" s="1327"/>
      <c r="AC54"/>
      <c r="AD54" s="1395"/>
      <c r="AE54" s="1395"/>
      <c r="AF54" s="1395"/>
      <c r="AG54" s="1395"/>
      <c r="AH54" s="1395" t="str">
        <f>IF(OR(M54&gt;O54,R54&gt;T54),L54,IF(OR(M54&lt;O54,R54&lt;T54),P54,""))</f>
        <v/>
      </c>
      <c r="AI54" s="1395" t="str">
        <f>IF(AND(M54&lt;&gt;"",M54=O54,R54=T54),L54,"")</f>
        <v/>
      </c>
      <c r="AJ54" s="1395" t="str">
        <f>IF(AND(M54&lt;&gt;"",M54=O54,R54=T54),P54,"")</f>
        <v/>
      </c>
      <c r="AK54" s="1395" t="str">
        <f>IF(OR(M54&lt;O54,R54&lt;T54),L54,IF(OR(M54&gt;O54,R54&gt;T54),P54,""))</f>
        <v/>
      </c>
      <c r="AL54" s="2222" t="str">
        <f t="shared" si="24"/>
        <v/>
      </c>
      <c r="AM54" s="2222" t="str">
        <f t="shared" si="25"/>
        <v/>
      </c>
      <c r="AN54" s="2222" t="str">
        <f t="shared" si="26"/>
        <v/>
      </c>
      <c r="AO54" s="2222" t="str">
        <f t="shared" si="27"/>
        <v/>
      </c>
      <c r="AP54" s="2222" t="str">
        <f t="shared" si="28"/>
        <v/>
      </c>
    </row>
    <row r="55" spans="1:42" outlineLevel="2" x14ac:dyDescent="0.2">
      <c r="A55" s="828">
        <f ca="1">A54</f>
        <v>0</v>
      </c>
      <c r="B55" s="393"/>
      <c r="C55" s="1577"/>
      <c r="D55" s="393"/>
      <c r="E55" s="829" t="str">
        <f>N_Différentiel</f>
        <v>Différentiel</v>
      </c>
      <c r="F55" s="393"/>
      <c r="G55" s="395" t="str">
        <f>G50&amp;5</f>
        <v>TT5</v>
      </c>
      <c r="H55" s="393"/>
      <c r="I55" s="393"/>
      <c r="J55" s="393"/>
      <c r="K55" s="396"/>
      <c r="L55" s="398"/>
      <c r="M55" s="10"/>
      <c r="N55" s="394" t="s">
        <v>769</v>
      </c>
      <c r="O55" s="10"/>
      <c r="P55" s="398"/>
      <c r="Q55" s="397"/>
      <c r="R55" s="397"/>
      <c r="S55" s="397"/>
      <c r="T55" s="397"/>
      <c r="U55" s="397"/>
      <c r="V55" s="820" t="str">
        <f t="shared" ca="1" si="19"/>
        <v>00:00</v>
      </c>
      <c r="W55" s="820" t="str">
        <f t="shared" ca="1" si="20"/>
        <v>00:00</v>
      </c>
      <c r="X55" s="362">
        <f t="shared" si="21"/>
        <v>0</v>
      </c>
      <c r="Y55" s="362">
        <f t="shared" si="22"/>
        <v>0</v>
      </c>
      <c r="Z55" s="821" t="b">
        <f t="shared" si="23"/>
        <v>0</v>
      </c>
      <c r="AA55" s="1317"/>
      <c r="AB55" s="1327"/>
      <c r="AC55"/>
      <c r="AD55" s="1395"/>
      <c r="AE55" s="1395"/>
      <c r="AF55" s="1395"/>
      <c r="AG55" s="1395"/>
      <c r="AH55" s="1395"/>
      <c r="AI55" s="1395"/>
      <c r="AJ55" s="1395"/>
      <c r="AK55" s="1395"/>
      <c r="AL55" s="2222" t="str">
        <f t="shared" si="24"/>
        <v/>
      </c>
      <c r="AM55" s="2222" t="str">
        <f t="shared" si="25"/>
        <v/>
      </c>
      <c r="AN55" s="2222" t="str">
        <f t="shared" si="26"/>
        <v/>
      </c>
      <c r="AO55" s="2222" t="str">
        <f t="shared" si="27"/>
        <v/>
      </c>
      <c r="AP55" s="2222" t="str">
        <f t="shared" si="28"/>
        <v/>
      </c>
    </row>
    <row r="56" spans="1:42" outlineLevel="2" x14ac:dyDescent="0.2">
      <c r="A56" s="828">
        <f ca="1">A50</f>
        <v>0</v>
      </c>
      <c r="B56" s="393"/>
      <c r="C56" s="1577"/>
      <c r="D56" s="393"/>
      <c r="E56" s="829" t="str">
        <f>N_Substitute</f>
        <v>Remplaçant</v>
      </c>
      <c r="F56" s="393"/>
      <c r="G56" s="395" t="str">
        <f>G50&amp;"SB1"</f>
        <v>TTSB1</v>
      </c>
      <c r="H56" s="393"/>
      <c r="I56" s="393"/>
      <c r="J56" s="393"/>
      <c r="K56" s="393"/>
      <c r="L56" s="398"/>
      <c r="M56" s="10"/>
      <c r="N56" s="830"/>
      <c r="O56" s="10"/>
      <c r="P56" s="398"/>
      <c r="Q56" s="819"/>
      <c r="R56" s="397"/>
      <c r="S56" s="397"/>
      <c r="T56" s="397"/>
      <c r="U56" s="397"/>
      <c r="V56" s="820" t="str">
        <f t="shared" ca="1" si="19"/>
        <v>00:00</v>
      </c>
      <c r="W56" s="820" t="str">
        <f t="shared" ca="1" si="20"/>
        <v>00:00</v>
      </c>
      <c r="X56" s="362">
        <f t="shared" si="21"/>
        <v>0</v>
      </c>
      <c r="Y56" s="362">
        <f t="shared" si="22"/>
        <v>0</v>
      </c>
      <c r="Z56" s="821"/>
      <c r="AA56" s="825"/>
      <c r="AB56" s="1328"/>
      <c r="AC56"/>
      <c r="AD56" s="1395"/>
      <c r="AE56" s="1395"/>
      <c r="AF56" s="1395"/>
      <c r="AG56" s="1395"/>
      <c r="AH56" s="1395"/>
      <c r="AI56" s="1395"/>
      <c r="AJ56" s="1395"/>
      <c r="AK56" s="1395"/>
      <c r="AL56" s="2221"/>
      <c r="AM56" s="2221"/>
      <c r="AN56" s="2221"/>
      <c r="AO56" s="2221"/>
      <c r="AP56" s="2221"/>
    </row>
    <row r="57" spans="1:42" outlineLevel="2" x14ac:dyDescent="0.2">
      <c r="A57" s="828">
        <f ca="1">A50</f>
        <v>0</v>
      </c>
      <c r="B57" s="393"/>
      <c r="C57" s="1577"/>
      <c r="D57" s="393"/>
      <c r="E57" s="829" t="str">
        <f>N_Substitute</f>
        <v>Remplaçant</v>
      </c>
      <c r="F57" s="393"/>
      <c r="G57" s="395" t="str">
        <f>G50&amp;"SB2"</f>
        <v>TTSB2</v>
      </c>
      <c r="H57" s="393"/>
      <c r="I57" s="393"/>
      <c r="J57" s="393"/>
      <c r="K57" s="393"/>
      <c r="L57" s="398"/>
      <c r="M57" s="10"/>
      <c r="N57" s="830"/>
      <c r="O57" s="10"/>
      <c r="P57" s="398"/>
      <c r="Q57" s="819"/>
      <c r="R57" s="397"/>
      <c r="S57" s="397"/>
      <c r="T57" s="397"/>
      <c r="U57" s="397"/>
      <c r="V57" s="820" t="str">
        <f t="shared" ca="1" si="19"/>
        <v>00:00</v>
      </c>
      <c r="W57" s="820" t="str">
        <f t="shared" ca="1" si="20"/>
        <v>00:00</v>
      </c>
      <c r="X57" s="362">
        <f t="shared" si="21"/>
        <v>0</v>
      </c>
      <c r="Y57" s="362">
        <f t="shared" si="22"/>
        <v>0</v>
      </c>
      <c r="Z57" s="821"/>
      <c r="AA57" s="825"/>
      <c r="AB57" s="1333"/>
      <c r="AC57"/>
      <c r="AD57" s="1395"/>
      <c r="AE57" s="1395"/>
      <c r="AF57" s="1395"/>
      <c r="AG57" s="1395"/>
      <c r="AH57" s="1395"/>
      <c r="AI57" s="1395"/>
      <c r="AJ57" s="1395"/>
      <c r="AK57" s="1395"/>
      <c r="AL57" s="2221"/>
      <c r="AM57" s="2221"/>
      <c r="AN57" s="2221"/>
      <c r="AO57" s="2221"/>
      <c r="AP57" s="2221"/>
    </row>
    <row r="58" spans="1:42" outlineLevel="1" x14ac:dyDescent="0.2">
      <c r="A58" s="822"/>
      <c r="B58" s="393"/>
      <c r="C58" s="393"/>
      <c r="D58" s="393"/>
      <c r="E58" s="823"/>
      <c r="F58" s="393"/>
      <c r="G58" s="393"/>
      <c r="H58" s="393"/>
      <c r="I58" s="393"/>
      <c r="J58" s="393"/>
      <c r="K58" s="393"/>
      <c r="L58" s="824"/>
      <c r="M58" s="825"/>
      <c r="N58" s="393"/>
      <c r="O58" s="825"/>
      <c r="P58" s="393"/>
      <c r="Q58" s="825"/>
      <c r="R58" s="826"/>
      <c r="S58" s="393"/>
      <c r="T58" s="826"/>
      <c r="U58" s="363"/>
      <c r="V58" s="362"/>
      <c r="W58" s="362"/>
      <c r="X58" s="362"/>
      <c r="Y58" s="362"/>
      <c r="Z58" s="362"/>
      <c r="AA58" s="825"/>
      <c r="AB58" s="1328"/>
      <c r="AC58"/>
      <c r="AD58" s="1395"/>
      <c r="AE58" s="1395"/>
      <c r="AF58" s="1395"/>
      <c r="AG58" s="1395"/>
      <c r="AH58" s="1395"/>
      <c r="AI58" s="1395"/>
      <c r="AJ58" s="1395"/>
      <c r="AK58" s="1395"/>
      <c r="AL58" s="2221"/>
      <c r="AM58" s="2221"/>
      <c r="AN58" s="2221"/>
      <c r="AO58" s="2221"/>
      <c r="AP58" s="2221"/>
    </row>
    <row r="59" spans="1:42" outlineLevel="1" x14ac:dyDescent="0.2">
      <c r="A59" s="814">
        <f ca="1">OFFSET(A59,-1,0)</f>
        <v>0</v>
      </c>
      <c r="B59" s="815"/>
      <c r="C59" s="827"/>
      <c r="D59" s="873"/>
      <c r="E59" s="327"/>
      <c r="F59" s="397"/>
      <c r="G59" s="395" t="s">
        <v>1745</v>
      </c>
      <c r="H59" s="395" t="str">
        <f>IF(K59="","",SUBSTITUTE(MID(K59,1,SEARCH("!",K59,1)-1),"'",""))</f>
        <v/>
      </c>
      <c r="I59" s="395" t="str">
        <f ca="1">IF(K59="","",CELL("row",INDIRECT(K59)))</f>
        <v/>
      </c>
      <c r="J59" s="395" t="str">
        <f ca="1">IF(K59="","",CELL("col",INDIRECT(K59)))</f>
        <v/>
      </c>
      <c r="K59" s="395" t="str">
        <f>MID(Lire_Formule(L59),2,10000)</f>
        <v/>
      </c>
      <c r="L59" s="818"/>
      <c r="M59" s="831" t="str">
        <f ca="1">IF(K59="","",INDIRECT(ADDRESS(I59,J59+1,4,TRUE,H59)))</f>
        <v/>
      </c>
      <c r="N59" s="832" t="s">
        <v>769</v>
      </c>
      <c r="O59" s="831" t="str">
        <f ca="1">IF(K59="","",INDIRECT(ADDRESS(I59,J59+3,4,TRUE,H59)))</f>
        <v/>
      </c>
      <c r="P59" s="818" t="str">
        <f ca="1">IF(K59="","",IF(RIGHT(G59,1)="T",INDIRECT(ADDRESS(I59+2,J59,4,TRUE,H59)),INDIRECT(ADDRESS(I59,J59+4,4,TRUE,H59))))</f>
        <v/>
      </c>
      <c r="Q59" s="819"/>
      <c r="R59" s="2223" t="str">
        <f ca="1">IF(M59="","",SUM(M60:M61))</f>
        <v/>
      </c>
      <c r="S59" s="397"/>
      <c r="T59" s="2223" t="str">
        <f ca="1">IF(O59="","",SUM(O60:O61))</f>
        <v/>
      </c>
      <c r="U59" s="397"/>
      <c r="V59" s="820" t="str">
        <f ca="1">L59&amp;TEXT(A59,"hh:mm")</f>
        <v>00:00</v>
      </c>
      <c r="W59" s="820" t="str">
        <f ca="1">P59&amp;TEXT(A59,"hh:mm")</f>
        <v>00:00</v>
      </c>
      <c r="X59" s="362">
        <f>IF(L59="",0,COUNTIF(PlayersAndHoursCol1,L59&amp;TEXT($A59,"hh:mm"))+COUNTIF(PlayersAndHoursCol2,L59&amp;TEXT($A59,"hh:mm")))</f>
        <v>0</v>
      </c>
      <c r="Y59" s="362">
        <f ca="1">IF(P59="",0,COUNTIF(PlayersAndHoursCol1,P59&amp;TEXT($A59,"hh:mm"))+COUNTIF(PlayersAndHoursCol2,P59&amp;TEXT($A59,"hh:mm")))</f>
        <v>0</v>
      </c>
      <c r="Z59" s="821" t="b">
        <f>IF(AA59="",FALSE,NOT(AND(ISNA(MATCH(AA59&amp;TEXT($A59,"hh:mm"),PlayersAndHoursCol1,0)),ISNA(MATCH(AA59&amp;TEXT($A59,"hh:mm"),PlayersAndHoursCol2,0)),COUNTIF(AD:AD,AA59&amp;$A59)&lt;=1)))</f>
        <v>0</v>
      </c>
      <c r="AA59" s="1317"/>
      <c r="AB59" s="1327"/>
      <c r="AC59"/>
      <c r="AD59" s="1395" t="str">
        <f ca="1">AA59&amp;A59</f>
        <v>0</v>
      </c>
      <c r="AE59" s="1395"/>
      <c r="AF59" s="1395"/>
      <c r="AG59" s="1395"/>
      <c r="AH59" s="1395" t="str">
        <f ca="1">IF(OR(M59&gt;O59,R59&gt;T59),L59,IF(OR(M59&lt;O59,R59&lt;T59),P59,""))</f>
        <v/>
      </c>
      <c r="AI59" s="1395" t="str">
        <f ca="1">IF(AND(M59&lt;&gt;"",M59=O59,R59=T59),L59,"")</f>
        <v/>
      </c>
      <c r="AJ59" s="1395" t="str">
        <f ca="1">IF(AND(M59&lt;&gt;"",M59=O59,R59=T59),P59,"")</f>
        <v/>
      </c>
      <c r="AK59" s="1395" t="str">
        <f ca="1">IF(OR(M59&lt;O59,R59&lt;T59),L59,IF(OR(M59&gt;O59,R59&gt;T59),P59,""))</f>
        <v/>
      </c>
      <c r="AL59" s="2222" t="str">
        <f>IF(OR($AB59="",$AB59="V"),"",IF(MOD($AB59,10)=1,"XXX",""))</f>
        <v/>
      </c>
      <c r="AM59" s="2222" t="str">
        <f>IF(OR($AB59="",$AB59="V"),"",IF(MOD($AB59,100)&gt;=10,"XXX",""))</f>
        <v/>
      </c>
      <c r="AN59" s="2222" t="str">
        <f>IF(OR($AB59="",$AB59="V"),"",IF(MOD($AB59,1000)&gt;=100,"XXX",""))</f>
        <v/>
      </c>
      <c r="AO59" s="2222" t="str">
        <f>IF(OR($AB59="",$AB59="V"),"",IF(MOD($AB59,10000)&gt;=1000,"XXX",""))</f>
        <v/>
      </c>
      <c r="AP59" s="2222" t="str">
        <f>IF(OR($AB59="",$AB59="V"),"",IF(MOD($AB59,100000)&gt;=10000,"XXX",""))</f>
        <v/>
      </c>
    </row>
    <row r="60" spans="1:42" outlineLevel="2" x14ac:dyDescent="0.2">
      <c r="A60" s="828">
        <f ca="1">A59</f>
        <v>0</v>
      </c>
      <c r="B60" s="393"/>
      <c r="C60" s="1577">
        <f>C59</f>
        <v>0</v>
      </c>
      <c r="D60" s="393"/>
      <c r="E60" s="327"/>
      <c r="F60" s="393"/>
      <c r="G60" s="395" t="str">
        <f>G59&amp;1</f>
        <v>DG1</v>
      </c>
      <c r="H60" s="393"/>
      <c r="I60" s="393"/>
      <c r="J60" s="393"/>
      <c r="K60" s="393"/>
      <c r="L60" s="398"/>
      <c r="M60" s="10"/>
      <c r="N60" s="394" t="s">
        <v>769</v>
      </c>
      <c r="O60" s="10"/>
      <c r="P60" s="398"/>
      <c r="Q60" s="397"/>
      <c r="R60" s="397"/>
      <c r="S60" s="397"/>
      <c r="T60" s="397"/>
      <c r="U60" s="397"/>
      <c r="V60" s="820" t="str">
        <f ca="1">L60&amp;TEXT(A60,"hh:mm")</f>
        <v>00:00</v>
      </c>
      <c r="W60" s="820" t="str">
        <f ca="1">P60&amp;TEXT(A60,"hh:mm")</f>
        <v>00:00</v>
      </c>
      <c r="X60" s="362">
        <f>IF(L60="",0,COUNTIF(PlayersAndHoursCol1,L60&amp;TEXT($A60,"hh:mm"))+COUNTIF(PlayersAndHoursCol2,L60&amp;TEXT($A60,"hh:mm")))</f>
        <v>0</v>
      </c>
      <c r="Y60" s="362">
        <f>IF(P60="",0,COUNTIF(PlayersAndHoursCol1,P60&amp;TEXT($A60,"hh:mm"))+COUNTIF(PlayersAndHoursCol2,P60&amp;TEXT($A60,"hh:mm")))</f>
        <v>0</v>
      </c>
      <c r="Z60" s="821" t="b">
        <f>IF(AA60="",FALSE,NOT(AND(ISNA(MATCH(AA60&amp;TEXT($A60,"hh:mm"),PlayersAndHoursCol1,0)),ISNA(MATCH(AA60&amp;TEXT($A60,"hh:mm"),PlayersAndHoursCol2,0)),COUNTIF(AD:AD,AA60&amp;$A60)&lt;=1)))</f>
        <v>0</v>
      </c>
      <c r="AA60" s="1317"/>
      <c r="AB60" s="1327"/>
      <c r="AC60"/>
      <c r="AD60" s="1395"/>
      <c r="AE60" s="1395"/>
      <c r="AF60" s="1395"/>
      <c r="AG60" s="1395"/>
      <c r="AH60" s="1395" t="str">
        <f>IF(OR(M60&gt;O60,R60&gt;T60),L60,IF(OR(M60&lt;O60,R60&lt;T60),P60,""))</f>
        <v/>
      </c>
      <c r="AI60" s="1395" t="str">
        <f>IF(AND(M60&lt;&gt;"",M60=O60,R60=T60),L60,"")</f>
        <v/>
      </c>
      <c r="AJ60" s="1395" t="str">
        <f>IF(AND(M60&lt;&gt;"",M60=O60,R60=T60),P60,"")</f>
        <v/>
      </c>
      <c r="AK60" s="1395" t="str">
        <f>IF(OR(M60&lt;O60,R60&lt;T60),L60,IF(OR(M60&gt;O60,R60&gt;T60),P60,""))</f>
        <v/>
      </c>
      <c r="AL60" s="2222" t="str">
        <f>IF(OR($AB60="",$AB60="V"),"",IF(MOD($AB60,10)=1,"XXX",""))</f>
        <v/>
      </c>
      <c r="AM60" s="2222" t="str">
        <f>IF(OR($AB60="",$AB60="V"),"",IF(MOD($AB60,100)&gt;=10,"XXX",""))</f>
        <v/>
      </c>
      <c r="AN60" s="2222" t="str">
        <f>IF(OR($AB60="",$AB60="V"),"",IF(MOD($AB60,1000)&gt;=100,"XXX",""))</f>
        <v/>
      </c>
      <c r="AO60" s="2222" t="str">
        <f>IF(OR($AB60="",$AB60="V"),"",IF(MOD($AB60,10000)&gt;=1000,"XXX",""))</f>
        <v/>
      </c>
      <c r="AP60" s="2222" t="str">
        <f>IF(OR($AB60="",$AB60="V"),"",IF(MOD($AB60,100000)&gt;=10000,"XXX",""))</f>
        <v/>
      </c>
    </row>
    <row r="61" spans="1:42" outlineLevel="2" x14ac:dyDescent="0.2">
      <c r="A61" s="828">
        <f ca="1">A60</f>
        <v>0</v>
      </c>
      <c r="B61" s="393"/>
      <c r="C61" s="1577">
        <f>C60</f>
        <v>0</v>
      </c>
      <c r="D61" s="393"/>
      <c r="E61" s="327"/>
      <c r="F61" s="393"/>
      <c r="G61" s="395" t="str">
        <f>G59&amp;2</f>
        <v>DG2</v>
      </c>
      <c r="H61" s="393"/>
      <c r="I61" s="393"/>
      <c r="J61" s="393"/>
      <c r="K61" s="393"/>
      <c r="L61" s="398"/>
      <c r="M61" s="10"/>
      <c r="N61" s="394" t="s">
        <v>769</v>
      </c>
      <c r="O61" s="10"/>
      <c r="P61" s="398"/>
      <c r="Q61" s="397"/>
      <c r="R61" s="397"/>
      <c r="S61" s="397"/>
      <c r="T61" s="397"/>
      <c r="U61" s="397"/>
      <c r="V61" s="820" t="str">
        <f ca="1">L61&amp;TEXT(A61,"hh:mm")</f>
        <v>00:00</v>
      </c>
      <c r="W61" s="820" t="str">
        <f ca="1">P61&amp;TEXT(A61,"hh:mm")</f>
        <v>00:00</v>
      </c>
      <c r="X61" s="362">
        <f>IF(L61="",0,COUNTIF(PlayersAndHoursCol1,L61&amp;TEXT($A61,"hh:mm"))+COUNTIF(PlayersAndHoursCol2,L61&amp;TEXT($A61,"hh:mm")))</f>
        <v>0</v>
      </c>
      <c r="Y61" s="362">
        <f>IF(P61="",0,COUNTIF(PlayersAndHoursCol1,P61&amp;TEXT($A61,"hh:mm"))+COUNTIF(PlayersAndHoursCol2,P61&amp;TEXT($A61,"hh:mm")))</f>
        <v>0</v>
      </c>
      <c r="Z61" s="821" t="b">
        <f>IF(AA61="",FALSE,NOT(AND(ISNA(MATCH(AA61&amp;TEXT($A61,"hh:mm"),PlayersAndHoursCol1,0)),ISNA(MATCH(AA61&amp;TEXT($A61,"hh:mm"),PlayersAndHoursCol2,0)),COUNTIF(AD:AD,AA61&amp;$A61)&lt;=1)))</f>
        <v>0</v>
      </c>
      <c r="AA61" s="1317"/>
      <c r="AB61" s="1327"/>
      <c r="AC61"/>
      <c r="AD61" s="1395"/>
      <c r="AE61" s="1395"/>
      <c r="AF61" s="1395"/>
      <c r="AG61" s="1395"/>
      <c r="AH61" s="1395" t="str">
        <f>IF(OR(M61&gt;O61,R61&gt;T61),L61,IF(OR(M61&lt;O61,R61&lt;T61),P61,""))</f>
        <v/>
      </c>
      <c r="AI61" s="1395" t="str">
        <f>IF(AND(M61&lt;&gt;"",M61=O61,R61=T61),L61,"")</f>
        <v/>
      </c>
      <c r="AJ61" s="1395" t="str">
        <f>IF(AND(M61&lt;&gt;"",M61=O61,R61=T61),P61,"")</f>
        <v/>
      </c>
      <c r="AK61" s="1395" t="str">
        <f>IF(OR(M61&lt;O61,R61&lt;T61),L61,IF(OR(M61&gt;O61,R61&gt;T61),P61,""))</f>
        <v/>
      </c>
      <c r="AL61" s="2222" t="str">
        <f>IF(OR($AB61="",$AB61="V"),"",IF(MOD($AB61,10)=1,"XXX",""))</f>
        <v/>
      </c>
      <c r="AM61" s="2222" t="str">
        <f>IF(OR($AB61="",$AB61="V"),"",IF(MOD($AB61,100)&gt;=10,"XXX",""))</f>
        <v/>
      </c>
      <c r="AN61" s="2222" t="str">
        <f>IF(OR($AB61="",$AB61="V"),"",IF(MOD($AB61,1000)&gt;=100,"XXX",""))</f>
        <v/>
      </c>
      <c r="AO61" s="2222" t="str">
        <f>IF(OR($AB61="",$AB61="V"),"",IF(MOD($AB61,10000)&gt;=1000,"XXX",""))</f>
        <v/>
      </c>
      <c r="AP61" s="2222" t="str">
        <f>IF(OR($AB61="",$AB61="V"),"",IF(MOD($AB61,100000)&gt;=10000,"XXX",""))</f>
        <v/>
      </c>
    </row>
    <row r="62" spans="1:42" outlineLevel="1" x14ac:dyDescent="0.2">
      <c r="A62" s="822"/>
      <c r="B62" s="393"/>
      <c r="C62" s="393"/>
      <c r="D62" s="393"/>
      <c r="E62" s="823"/>
      <c r="F62" s="393"/>
      <c r="G62" s="393"/>
      <c r="H62" s="393"/>
      <c r="I62" s="393"/>
      <c r="J62" s="393"/>
      <c r="K62" s="393"/>
      <c r="L62" s="824"/>
      <c r="M62" s="825"/>
      <c r="N62" s="393"/>
      <c r="O62" s="825"/>
      <c r="P62" s="393"/>
      <c r="Q62" s="825"/>
      <c r="R62" s="826"/>
      <c r="S62" s="393"/>
      <c r="T62" s="826"/>
      <c r="U62" s="363"/>
      <c r="V62" s="362"/>
      <c r="W62" s="362"/>
      <c r="X62" s="362"/>
      <c r="Y62" s="362"/>
      <c r="Z62" s="362"/>
      <c r="AA62" s="825"/>
      <c r="AB62" s="1328"/>
      <c r="AC62"/>
      <c r="AD62" s="1395"/>
      <c r="AE62" s="1395"/>
      <c r="AF62" s="1395"/>
      <c r="AG62" s="1395"/>
      <c r="AH62" s="1395"/>
      <c r="AI62" s="1395"/>
      <c r="AJ62" s="1395"/>
      <c r="AK62" s="1395"/>
      <c r="AL62" s="2221"/>
      <c r="AM62" s="2221"/>
      <c r="AN62" s="2221"/>
      <c r="AO62" s="2221"/>
      <c r="AP62" s="2221"/>
    </row>
    <row r="63" spans="1:42" outlineLevel="1" x14ac:dyDescent="0.2">
      <c r="A63" s="814">
        <f ca="1">OFFSET(A63,-1,0)</f>
        <v>0</v>
      </c>
      <c r="B63" s="815"/>
      <c r="C63" s="827"/>
      <c r="D63" s="873"/>
      <c r="E63" s="327"/>
      <c r="F63" s="397"/>
      <c r="G63" s="395" t="s">
        <v>1599</v>
      </c>
      <c r="H63" s="395" t="str">
        <f>IF(K63="","",SUBSTITUTE(MID(K63,1,SEARCH("!",K63,1)-1),"'",""))</f>
        <v/>
      </c>
      <c r="I63" s="395" t="str">
        <f ca="1">IF(K63="","",CELL("row",INDIRECT(K63)))</f>
        <v/>
      </c>
      <c r="J63" s="395" t="str">
        <f ca="1">IF(K63="","",CELL("col",INDIRECT(K63)))</f>
        <v/>
      </c>
      <c r="K63" s="395" t="str">
        <f>MID(Lire_Formule(L63),2,10000)</f>
        <v/>
      </c>
      <c r="L63" s="818"/>
      <c r="M63" s="831" t="str">
        <f ca="1">IF(K63="","",IF(RIGHT(G63,1)="T",INDIRECT(ADDRESS(I63,J63+1,4,TRUE,H63)),INDIRECT(ADDRESS(I63,J63+1,4,TRUE,H63))))</f>
        <v/>
      </c>
      <c r="N63" s="832" t="s">
        <v>769</v>
      </c>
      <c r="O63" s="831" t="str">
        <f ca="1">IF(K63="","",IF(RIGHT(G63,1)="T",INDIRECT(ADDRESS(I63+2,J63+1,4,TRUE,H63)),INDIRECT(ADDRESS(I63,J63+3,4,TRUE,H63))))</f>
        <v/>
      </c>
      <c r="P63" s="818" t="str">
        <f ca="1">IF(K63="","",IF(RIGHT(G63,1)="T",INDIRECT(ADDRESS(I63+2,J63,4,TRUE,H63)),INDIRECT(ADDRESS(I63,J63+4,4,TRUE,H63))))</f>
        <v/>
      </c>
      <c r="Q63" s="831" t="str">
        <f ca="1">IF(K63="","",IF(RIGHT(G63,1)="T",INDIRECT(ADDRESS(I63+1,J63+3,4,TRUE,H63)),INDIRECT(ADDRESS(I63,J63+5,4,TRUE,H63))))</f>
        <v/>
      </c>
      <c r="R63" s="831" t="str">
        <f ca="1">IF(K63="","",IF(RIGHT(G63,1)="T",INDIRECT(ADDRESS(I63,J63+4,4,TRUE,H63)),INDIRECT(ADDRESS(I63+1,J63+1,4,TRUE,H63))))</f>
        <v/>
      </c>
      <c r="S63" s="832" t="s">
        <v>769</v>
      </c>
      <c r="T63" s="831" t="str">
        <f ca="1">IF(K63="","",IF(RIGHT(G63,1)="T",INDIRECT(ADDRESS(I63+2,J63+4,4,TRUE,H63)),INDIRECT(ADDRESS(I63+1,J63+3,4,TRUE,H63))))</f>
        <v/>
      </c>
      <c r="U63" s="819"/>
      <c r="V63" s="820" t="str">
        <f ca="1">L63&amp;TEXT(A63,"hh:mm")</f>
        <v>00:00</v>
      </c>
      <c r="W63" s="820" t="str">
        <f ca="1">P63&amp;TEXT(A63,"hh:mm")</f>
        <v>00:00</v>
      </c>
      <c r="X63" s="362">
        <f>IF(L63="",0,COUNTIF(PlayersAndHoursCol1,L63&amp;TEXT($A63,"hh:mm"))+COUNTIF(PlayersAndHoursCol2,L63&amp;TEXT($A63,"hh:mm")))</f>
        <v>0</v>
      </c>
      <c r="Y63" s="362">
        <f ca="1">IF(P63="",0,COUNTIF(PlayersAndHoursCol1,P63&amp;TEXT($A63,"hh:mm"))+COUNTIF(PlayersAndHoursCol2,P63&amp;TEXT($A63,"hh:mm")))</f>
        <v>0</v>
      </c>
      <c r="Z63" s="821" t="b">
        <f>IF(AA63="",FALSE,NOT(AND(ISNA(MATCH(AA63&amp;TEXT($A63,"hh:mm"),PlayersAndHoursCol1,0)),ISNA(MATCH(AA63&amp;TEXT($A63,"hh:mm"),PlayersAndHoursCol2,0)),COUNTIF(AD:AD,AA63&amp;$A63)&lt;=1)))</f>
        <v>0</v>
      </c>
      <c r="AA63" s="1317"/>
      <c r="AB63" s="1327"/>
      <c r="AC63"/>
      <c r="AD63" s="1395" t="str">
        <f ca="1">AA63&amp;A63</f>
        <v>0</v>
      </c>
      <c r="AE63" s="1395"/>
      <c r="AF63" s="1395"/>
      <c r="AG63" s="1395"/>
      <c r="AH63" s="1395" t="str">
        <f ca="1">IF(OR(M63&gt;O63,R63&gt;T63),L63,IF(OR(M63&lt;O63,R63&lt;T63),P63,""))</f>
        <v/>
      </c>
      <c r="AI63" s="1395" t="str">
        <f ca="1">IF(AND(M63&lt;&gt;"",M63=O63,R63=T63),L63,"")</f>
        <v/>
      </c>
      <c r="AJ63" s="1395" t="str">
        <f ca="1">IF(AND(M63&lt;&gt;"",M63=O63,R63=T63),P63,"")</f>
        <v/>
      </c>
      <c r="AK63" s="1395" t="str">
        <f ca="1">IF(OR(M63&lt;O63,R63&lt;T63),L63,IF(OR(M63&gt;O63,R63&gt;T63),P63,""))</f>
        <v/>
      </c>
      <c r="AL63" s="2222" t="str">
        <f>IF(OR($AB63="",$AB63="V"),"",IF(MOD($AB63,10)=1,"XXX",""))</f>
        <v/>
      </c>
      <c r="AM63" s="2222" t="str">
        <f>IF(OR($AB63="",$AB63="V"),"",IF(MOD($AB63,100)&gt;=10,"XXX",""))</f>
        <v/>
      </c>
      <c r="AN63" s="2222" t="str">
        <f>IF(OR($AB63="",$AB63="V"),"",IF(MOD($AB63,1000)&gt;=100,"XXX",""))</f>
        <v/>
      </c>
      <c r="AO63" s="2222" t="str">
        <f>IF(OR($AB63="",$AB63="V"),"",IF(MOD($AB63,10000)&gt;=1000,"XXX",""))</f>
        <v/>
      </c>
      <c r="AP63" s="2222" t="str">
        <f>IF(OR($AB63="",$AB63="V"),"",IF(MOD($AB63,100000)&gt;=10000,"XXX",""))</f>
        <v/>
      </c>
    </row>
    <row r="64" spans="1:42" outlineLevel="2" x14ac:dyDescent="0.2">
      <c r="A64" s="828">
        <f ca="1">A63</f>
        <v>0</v>
      </c>
      <c r="B64" s="393"/>
      <c r="C64" s="1577">
        <f>C63</f>
        <v>0</v>
      </c>
      <c r="D64" s="393"/>
      <c r="E64" s="327"/>
      <c r="F64" s="393"/>
      <c r="G64" s="395" t="str">
        <f>G63&amp;1</f>
        <v>DE1</v>
      </c>
      <c r="H64" s="393"/>
      <c r="I64" s="393"/>
      <c r="J64" s="393"/>
      <c r="K64" s="393"/>
      <c r="L64" s="398"/>
      <c r="M64" s="10"/>
      <c r="N64" s="394" t="s">
        <v>769</v>
      </c>
      <c r="O64" s="10"/>
      <c r="P64" s="398"/>
      <c r="Q64" s="10"/>
      <c r="R64" s="397"/>
      <c r="S64" s="397"/>
      <c r="T64" s="397"/>
      <c r="U64" s="397"/>
      <c r="V64" s="820" t="str">
        <f ca="1">L64&amp;TEXT(A64,"hh:mm")</f>
        <v>00:00</v>
      </c>
      <c r="W64" s="820" t="str">
        <f ca="1">P64&amp;TEXT(A64,"hh:mm")</f>
        <v>00:00</v>
      </c>
      <c r="X64" s="362">
        <f>IF(L64="",0,COUNTIF(PlayersAndHoursCol1,L64&amp;TEXT($A64,"hh:mm"))+COUNTIF(PlayersAndHoursCol2,L64&amp;TEXT($A64,"hh:mm")))</f>
        <v>0</v>
      </c>
      <c r="Y64" s="362">
        <f>IF(P64="",0,COUNTIF(PlayersAndHoursCol1,P64&amp;TEXT($A64,"hh:mm"))+COUNTIF(PlayersAndHoursCol2,P64&amp;TEXT($A64,"hh:mm")))</f>
        <v>0</v>
      </c>
      <c r="Z64" s="821" t="b">
        <f>IF(AA64="",FALSE,NOT(AND(ISNA(MATCH(AA64&amp;TEXT($A64,"hh:mm"),PlayersAndHoursCol1,0)),ISNA(MATCH(AA64&amp;TEXT($A64,"hh:mm"),PlayersAndHoursCol2,0)),COUNTIF(AD:AD,AA64&amp;$A64)&lt;=1)))</f>
        <v>0</v>
      </c>
      <c r="AA64" s="1317"/>
      <c r="AB64" s="1327"/>
      <c r="AC64"/>
      <c r="AD64" s="1395"/>
      <c r="AE64" s="1395"/>
      <c r="AF64" s="1395"/>
      <c r="AG64" s="1395"/>
      <c r="AH64" s="1395" t="str">
        <f>IF(OR(M64&gt;O64,R64&gt;T64),L64,IF(OR(M64&lt;O64,R64&lt;T64),P64,""))</f>
        <v/>
      </c>
      <c r="AI64" s="1395" t="str">
        <f>IF(AND(M64&lt;&gt;"",M64=O64,R64=T64),L64,"")</f>
        <v/>
      </c>
      <c r="AJ64" s="1395" t="str">
        <f>IF(AND(M64&lt;&gt;"",M64=O64,R64=T64),P64,"")</f>
        <v/>
      </c>
      <c r="AK64" s="1395" t="str">
        <f>IF(OR(M64&lt;O64,R64&lt;T64),L64,IF(OR(M64&gt;O64,R64&gt;T64),P64,""))</f>
        <v/>
      </c>
      <c r="AL64" s="2222" t="str">
        <f>IF(OR($AB64="",$AB64="V"),"",IF(MOD($AB64,10)=1,"XXX",""))</f>
        <v/>
      </c>
      <c r="AM64" s="2222" t="str">
        <f>IF(OR($AB64="",$AB64="V"),"",IF(MOD($AB64,100)&gt;=10,"XXX",""))</f>
        <v/>
      </c>
      <c r="AN64" s="2222" t="str">
        <f>IF(OR($AB64="",$AB64="V"),"",IF(MOD($AB64,1000)&gt;=100,"XXX",""))</f>
        <v/>
      </c>
      <c r="AO64" s="2222" t="str">
        <f>IF(OR($AB64="",$AB64="V"),"",IF(MOD($AB64,10000)&gt;=1000,"XXX",""))</f>
        <v/>
      </c>
      <c r="AP64" s="2222" t="str">
        <f>IF(OR($AB64="",$AB64="V"),"",IF(MOD($AB64,100000)&gt;=10000,"XXX",""))</f>
        <v/>
      </c>
    </row>
    <row r="65" spans="1:42" outlineLevel="2" x14ac:dyDescent="0.2">
      <c r="A65" s="828">
        <f ca="1">A64</f>
        <v>0</v>
      </c>
      <c r="B65" s="393"/>
      <c r="C65" s="1577">
        <f>C64</f>
        <v>0</v>
      </c>
      <c r="D65" s="393"/>
      <c r="E65" s="327"/>
      <c r="F65" s="393"/>
      <c r="G65" s="395" t="str">
        <f>G63&amp;2</f>
        <v>DE2</v>
      </c>
      <c r="H65" s="393"/>
      <c r="I65" s="393"/>
      <c r="J65" s="393"/>
      <c r="K65" s="393"/>
      <c r="L65" s="398"/>
      <c r="M65" s="10"/>
      <c r="N65" s="394" t="s">
        <v>769</v>
      </c>
      <c r="O65" s="10"/>
      <c r="P65" s="398"/>
      <c r="Q65" s="10"/>
      <c r="R65" s="397"/>
      <c r="S65" s="397"/>
      <c r="T65" s="397"/>
      <c r="U65" s="397"/>
      <c r="V65" s="820" t="str">
        <f ca="1">L65&amp;TEXT(A65,"hh:mm")</f>
        <v>00:00</v>
      </c>
      <c r="W65" s="820" t="str">
        <f ca="1">P65&amp;TEXT(A65,"hh:mm")</f>
        <v>00:00</v>
      </c>
      <c r="X65" s="362">
        <f>IF(L65="",0,COUNTIF(PlayersAndHoursCol1,L65&amp;TEXT($A65,"hh:mm"))+COUNTIF(PlayersAndHoursCol2,L65&amp;TEXT($A65,"hh:mm")))</f>
        <v>0</v>
      </c>
      <c r="Y65" s="362">
        <f>IF(P65="",0,COUNTIF(PlayersAndHoursCol1,P65&amp;TEXT($A65,"hh:mm"))+COUNTIF(PlayersAndHoursCol2,P65&amp;TEXT($A65,"hh:mm")))</f>
        <v>0</v>
      </c>
      <c r="Z65" s="821" t="b">
        <f>IF(AA65="",FALSE,NOT(AND(ISNA(MATCH(AA65&amp;TEXT($A65,"hh:mm"),PlayersAndHoursCol1,0)),ISNA(MATCH(AA65&amp;TEXT($A65,"hh:mm"),PlayersAndHoursCol2,0)),COUNTIF(AD:AD,AA65&amp;$A65)&lt;=1)))</f>
        <v>0</v>
      </c>
      <c r="AA65" s="1317"/>
      <c r="AB65" s="1327"/>
      <c r="AC65"/>
      <c r="AD65" s="1395"/>
      <c r="AE65" s="1395"/>
      <c r="AF65" s="1395"/>
      <c r="AG65" s="1395"/>
      <c r="AH65" s="1395" t="str">
        <f>IF(OR(M65&gt;O65,R65&gt;T65),L65,IF(OR(M65&lt;O65,R65&lt;T65),P65,""))</f>
        <v/>
      </c>
      <c r="AI65" s="1395" t="str">
        <f>IF(AND(M65&lt;&gt;"",M65=O65,R65=T65),L65,"")</f>
        <v/>
      </c>
      <c r="AJ65" s="1395" t="str">
        <f>IF(AND(M65&lt;&gt;"",M65=O65,R65=T65),P65,"")</f>
        <v/>
      </c>
      <c r="AK65" s="1395" t="str">
        <f>IF(OR(M65&lt;O65,R65&lt;T65),L65,IF(OR(M65&gt;O65,R65&gt;T65),P65,""))</f>
        <v/>
      </c>
      <c r="AL65" s="2222" t="str">
        <f>IF(OR($AB65="",$AB65="V"),"",IF(MOD($AB65,10)=1,"XXX",""))</f>
        <v/>
      </c>
      <c r="AM65" s="2222" t="str">
        <f>IF(OR($AB65="",$AB65="V"),"",IF(MOD($AB65,100)&gt;=10,"XXX",""))</f>
        <v/>
      </c>
      <c r="AN65" s="2222" t="str">
        <f>IF(OR($AB65="",$AB65="V"),"",IF(MOD($AB65,1000)&gt;=100,"XXX",""))</f>
        <v/>
      </c>
      <c r="AO65" s="2222" t="str">
        <f>IF(OR($AB65="",$AB65="V"),"",IF(MOD($AB65,10000)&gt;=1000,"XXX",""))</f>
        <v/>
      </c>
      <c r="AP65" s="2222" t="str">
        <f>IF(OR($AB65="",$AB65="V"),"",IF(MOD($AB65,100000)&gt;=10000,"XXX",""))</f>
        <v/>
      </c>
    </row>
    <row r="66" spans="1:42" outlineLevel="2" x14ac:dyDescent="0.2">
      <c r="A66" s="828">
        <f ca="1">A65</f>
        <v>0</v>
      </c>
      <c r="B66" s="393"/>
      <c r="C66" s="1577"/>
      <c r="D66" s="393"/>
      <c r="E66" s="829" t="str">
        <f>N_Différentiel</f>
        <v>Différentiel</v>
      </c>
      <c r="F66" s="393"/>
      <c r="G66" s="395" t="str">
        <f>G63&amp;3</f>
        <v>DE3</v>
      </c>
      <c r="H66" s="393"/>
      <c r="I66" s="393"/>
      <c r="J66" s="393"/>
      <c r="K66" s="396"/>
      <c r="L66" s="398"/>
      <c r="M66" s="10"/>
      <c r="N66" s="394" t="s">
        <v>769</v>
      </c>
      <c r="O66" s="10"/>
      <c r="P66" s="398"/>
      <c r="Q66" s="397"/>
      <c r="R66" s="397"/>
      <c r="S66" s="397"/>
      <c r="T66" s="397"/>
      <c r="U66" s="397"/>
      <c r="V66" s="820" t="str">
        <f ca="1">L66&amp;TEXT(A66,"hh:mm")</f>
        <v>00:00</v>
      </c>
      <c r="W66" s="820" t="str">
        <f ca="1">P66&amp;TEXT(A66,"hh:mm")</f>
        <v>00:00</v>
      </c>
      <c r="X66" s="362">
        <f>IF(L66="",0,COUNTIF(PlayersAndHoursCol1,L66&amp;TEXT($A66,"hh:mm"))+COUNTIF(PlayersAndHoursCol2,L66&amp;TEXT($A66,"hh:mm")))</f>
        <v>0</v>
      </c>
      <c r="Y66" s="362">
        <f>IF(P66="",0,COUNTIF(PlayersAndHoursCol1,P66&amp;TEXT($A66,"hh:mm"))+COUNTIF(PlayersAndHoursCol2,P66&amp;TEXT($A66,"hh:mm")))</f>
        <v>0</v>
      </c>
      <c r="Z66" s="821" t="b">
        <f>IF(AA66="",FALSE,NOT(AND(ISNA(MATCH(AA66&amp;TEXT($A66,"hh:mm"),PlayersAndHoursCol1,0)),ISNA(MATCH(AA66&amp;TEXT($A66,"hh:mm"),PlayersAndHoursCol2,0)),COUNTIF(AD:AD,AA66&amp;$A66)&lt;=1)))</f>
        <v>0</v>
      </c>
      <c r="AA66" s="1317"/>
      <c r="AB66" s="1327"/>
      <c r="AC66"/>
      <c r="AD66" s="1395"/>
      <c r="AE66" s="1395"/>
      <c r="AF66" s="1395"/>
      <c r="AG66" s="1395"/>
      <c r="AH66" s="1395"/>
      <c r="AI66" s="1395"/>
      <c r="AJ66" s="1395"/>
      <c r="AK66" s="1395"/>
      <c r="AL66" s="2222" t="str">
        <f>IF(OR($AB66="",$AB66="V"),"",IF(MOD($AB66,10)=1,"XXX",""))</f>
        <v/>
      </c>
      <c r="AM66" s="2222" t="str">
        <f>IF(OR($AB66="",$AB66="V"),"",IF(MOD($AB66,100)&gt;=10,"XXX",""))</f>
        <v/>
      </c>
      <c r="AN66" s="2222" t="str">
        <f>IF(OR($AB66="",$AB66="V"),"",IF(MOD($AB66,1000)&gt;=100,"XXX",""))</f>
        <v/>
      </c>
      <c r="AO66" s="2222" t="str">
        <f>IF(OR($AB66="",$AB66="V"),"",IF(MOD($AB66,10000)&gt;=1000,"XXX",""))</f>
        <v/>
      </c>
      <c r="AP66" s="2222" t="str">
        <f>IF(OR($AB66="",$AB66="V"),"",IF(MOD($AB66,100000)&gt;=10000,"XXX",""))</f>
        <v/>
      </c>
    </row>
    <row r="67" spans="1:42" outlineLevel="1" x14ac:dyDescent="0.2">
      <c r="A67" s="822"/>
      <c r="B67" s="393"/>
      <c r="C67" s="393"/>
      <c r="D67" s="393"/>
      <c r="E67" s="823"/>
      <c r="F67" s="393"/>
      <c r="G67" s="393"/>
      <c r="H67" s="393"/>
      <c r="I67" s="393"/>
      <c r="J67" s="393"/>
      <c r="K67" s="393"/>
      <c r="L67" s="824"/>
      <c r="M67" s="825"/>
      <c r="N67" s="393"/>
      <c r="O67" s="825"/>
      <c r="P67" s="393"/>
      <c r="Q67" s="825"/>
      <c r="R67" s="826"/>
      <c r="S67" s="393"/>
      <c r="T67" s="826"/>
      <c r="U67" s="363"/>
      <c r="V67" s="362"/>
      <c r="W67" s="362"/>
      <c r="X67" s="362"/>
      <c r="Y67" s="362"/>
      <c r="Z67" s="362"/>
      <c r="AA67" s="825"/>
      <c r="AB67" s="1328"/>
      <c r="AC67"/>
      <c r="AD67" s="1395"/>
      <c r="AE67" s="1395"/>
      <c r="AF67" s="1395"/>
      <c r="AG67" s="1395"/>
      <c r="AH67" s="1395"/>
      <c r="AI67" s="1395"/>
      <c r="AJ67" s="1395"/>
      <c r="AK67" s="1395"/>
      <c r="AL67" s="2221"/>
      <c r="AM67" s="2221"/>
      <c r="AN67" s="2221"/>
      <c r="AO67" s="2221"/>
      <c r="AP67" s="2221"/>
    </row>
    <row r="68" spans="1:42" outlineLevel="1" x14ac:dyDescent="0.2">
      <c r="A68" s="814">
        <f ca="1">OFFSET(A68,-1,0)</f>
        <v>0</v>
      </c>
      <c r="B68" s="815"/>
      <c r="C68" s="827"/>
      <c r="D68" s="873"/>
      <c r="E68" s="327"/>
      <c r="F68" s="397"/>
      <c r="G68" s="395" t="s">
        <v>1744</v>
      </c>
      <c r="H68" s="395" t="str">
        <f>IF(K68="","",SUBSTITUTE(MID(K68,1,SEARCH("!",K68,1)-1),"'",""))</f>
        <v/>
      </c>
      <c r="I68" s="395" t="str">
        <f ca="1">IF(K68="","",CELL("row",INDIRECT(K68)))</f>
        <v/>
      </c>
      <c r="J68" s="395" t="str">
        <f ca="1">IF(K68="","",CELL("col",INDIRECT(K68)))</f>
        <v/>
      </c>
      <c r="K68" s="395" t="str">
        <f>MID(Lire_Formule(L68),2,10000)</f>
        <v/>
      </c>
      <c r="L68" s="818"/>
      <c r="M68" s="831" t="str">
        <f ca="1">IF(K68="","",IF(RIGHT(G68,1)="T",INDIRECT(ADDRESS(I68,J68+1,4,TRUE,H68)),INDIRECT(ADDRESS(I68,J68+1,4,TRUE,H68))))</f>
        <v/>
      </c>
      <c r="N68" s="832" t="s">
        <v>769</v>
      </c>
      <c r="O68" s="831" t="str">
        <f ca="1">IF(K68="","",IF(RIGHT(G68,1)="T",INDIRECT(ADDRESS(I68+2,J68+1,4,TRUE,H68)),INDIRECT(ADDRESS(I68,J68+3,4,TRUE,H68))))</f>
        <v/>
      </c>
      <c r="P68" s="818" t="str">
        <f ca="1">IF(K68="","",IF(RIGHT(G68,1)="T",INDIRECT(ADDRESS(I68+2,J68,4,TRUE,H68)),INDIRECT(ADDRESS(I68,J68+4,4,TRUE,H68))))</f>
        <v/>
      </c>
      <c r="Q68" s="831" t="str">
        <f ca="1">IF(K68="","",IF(RIGHT(G68,1)="T",INDIRECT(ADDRESS(I68+1,J68+3,4,TRUE,H68)),INDIRECT(ADDRESS(I68,J68+5,4,TRUE,H68))))</f>
        <v/>
      </c>
      <c r="R68" s="831" t="str">
        <f ca="1">IF(K68="","",IF(RIGHT(G68,1)="T",INDIRECT(ADDRESS(I68,J68+4,4,TRUE,H68)),INDIRECT(ADDRESS(I68+1,J68+1,4,TRUE,H68))))</f>
        <v/>
      </c>
      <c r="S68" s="832" t="s">
        <v>769</v>
      </c>
      <c r="T68" s="831" t="str">
        <f ca="1">IF(K68="","",IF(RIGHT(G68,1)="T",INDIRECT(ADDRESS(I68+2,J68+4,4,TRUE,H68)),INDIRECT(ADDRESS(I68+1,J68+3,4,TRUE,H68))))</f>
        <v/>
      </c>
      <c r="U68" s="819"/>
      <c r="V68" s="820" t="str">
        <f ca="1">L68&amp;A68</f>
        <v>0</v>
      </c>
      <c r="W68" s="820" t="str">
        <f ca="1">P68&amp;A68</f>
        <v>0</v>
      </c>
      <c r="X68" s="362">
        <f>IF(L68="",0,COUNTIF(PlayersAndHoursCol1,L68&amp;$A68)+COUNTIF(PlayersAndHoursCol2,L68&amp;$A68))</f>
        <v>0</v>
      </c>
      <c r="Y68" s="362">
        <f ca="1">IF(P68="",0,COUNTIF(PlayersAndHoursCol1,P68&amp;$A68)+COUNTIF(PlayersAndHoursCol2,P68&amp;$A68))</f>
        <v>0</v>
      </c>
      <c r="Z68" s="821" t="b">
        <f>IF(AA68="",FALSE,NOT(AND(ISNA(MATCH(AA68&amp;TEXT($A68,"hh:mm"),PlayersAndHoursCol1,0)),ISNA(MATCH(AA68&amp;TEXT($A68,"hh:mm"),PlayersAndHoursCol2,0)),COUNTIF(AD:AD,AA68&amp;$A68)&lt;=1)))</f>
        <v>0</v>
      </c>
      <c r="AA68" s="1317"/>
      <c r="AB68" s="1327"/>
      <c r="AC68"/>
      <c r="AD68" s="1395" t="str">
        <f ca="1">AA68&amp;A68</f>
        <v>0</v>
      </c>
      <c r="AE68" s="1395"/>
      <c r="AF68" s="1395"/>
      <c r="AG68" s="1395"/>
      <c r="AH68" s="1395" t="str">
        <f ca="1">IF(OR(M68&gt;O68,R68&gt;T68),L68,IF(OR(M68&lt;O68,R68&lt;T68),P68,""))</f>
        <v/>
      </c>
      <c r="AI68" s="1395" t="str">
        <f ca="1">IF(AND(M68&lt;&gt;"",M68=O68,R68=T68),L68,"")</f>
        <v/>
      </c>
      <c r="AJ68" s="1395" t="str">
        <f ca="1">IF(AND(M68&lt;&gt;"",M68=O68,R68=T68),P68,"")</f>
        <v/>
      </c>
      <c r="AK68" s="1395" t="str">
        <f ca="1">IF(OR(M68&lt;O68,R68&lt;T68),L68,IF(OR(M68&gt;O68,R68&gt;T68),P68,""))</f>
        <v/>
      </c>
      <c r="AL68" s="2222" t="str">
        <f>IF(OR($AB68="",$AB68="V"),"",IF(MOD($AB68,10)=1,"XXX",""))</f>
        <v/>
      </c>
      <c r="AM68" s="2222" t="str">
        <f>IF(OR($AB68="",$AB68="V"),"",IF(MOD($AB68,100)&gt;=10,"XXX",""))</f>
        <v/>
      </c>
      <c r="AN68" s="2222" t="str">
        <f>IF(OR($AB68="",$AB68="V"),"",IF(MOD($AB68,1000)&gt;=100,"XXX",""))</f>
        <v/>
      </c>
      <c r="AO68" s="2222" t="str">
        <f>IF(OR($AB68="",$AB68="V"),"",IF(MOD($AB68,10000)&gt;=1000,"XXX",""))</f>
        <v/>
      </c>
      <c r="AP68" s="2222" t="str">
        <f>IF(OR($AB68="",$AB68="V"),"",IF(MOD($AB68,100000)&gt;=10000,"XXX",""))</f>
        <v/>
      </c>
    </row>
    <row r="69" spans="1:42" outlineLevel="2" x14ac:dyDescent="0.2">
      <c r="A69" s="828">
        <f ca="1">A68</f>
        <v>0</v>
      </c>
      <c r="B69" s="393"/>
      <c r="C69" s="1577">
        <f>C68</f>
        <v>0</v>
      </c>
      <c r="D69" s="393"/>
      <c r="E69" s="327"/>
      <c r="F69" s="393"/>
      <c r="G69" s="395" t="str">
        <f>G68&amp;1</f>
        <v>DT1</v>
      </c>
      <c r="H69" s="393"/>
      <c r="I69" s="393"/>
      <c r="J69" s="393"/>
      <c r="K69" s="393"/>
      <c r="L69" s="398"/>
      <c r="M69" s="10"/>
      <c r="N69" s="394" t="s">
        <v>769</v>
      </c>
      <c r="O69" s="10"/>
      <c r="P69" s="398"/>
      <c r="Q69" s="10"/>
      <c r="R69" s="397"/>
      <c r="S69" s="397"/>
      <c r="T69" s="397"/>
      <c r="U69" s="397"/>
      <c r="V69" s="821" t="str">
        <f ca="1">L69&amp;A68</f>
        <v>0</v>
      </c>
      <c r="W69" s="821" t="str">
        <f ca="1">P69&amp;A68</f>
        <v>0</v>
      </c>
      <c r="X69" s="362">
        <f>IF(L69="",0,COUNTIF(PlayersAndHoursCol1,L69&amp;$A69)+COUNTIF(PlayersAndHoursCol2,L69&amp;$A69))</f>
        <v>0</v>
      </c>
      <c r="Y69" s="362">
        <f>IF(P69="",0,COUNTIF(PlayersAndHoursCol1,P69&amp;$A69)+COUNTIF(PlayersAndHoursCol2,P69&amp;$A69))</f>
        <v>0</v>
      </c>
      <c r="Z69" s="821" t="b">
        <f>IF(AA69="",FALSE,NOT(AND(ISNA(MATCH(AA69&amp;TEXT($A69,"hh:mm"),PlayersAndHoursCol1,0)),ISNA(MATCH(AA69&amp;TEXT($A69,"hh:mm"),PlayersAndHoursCol2,0)),COUNTIF(AD:AD,AA69&amp;$A69)&lt;=1)))</f>
        <v>0</v>
      </c>
      <c r="AA69" s="1317"/>
      <c r="AB69" s="1327"/>
      <c r="AC69"/>
      <c r="AD69"/>
      <c r="AE69"/>
      <c r="AF69"/>
      <c r="AG69"/>
      <c r="AH69" t="str">
        <f>IF(OR(M69&gt;O69,R69&gt;T69),L69,IF(OR(M69&lt;O69,R69&lt;T69),P69,""))</f>
        <v/>
      </c>
      <c r="AI69" t="str">
        <f>IF(AND(M69&lt;&gt;"",M69=O69,R69=T69),L69,"")</f>
        <v/>
      </c>
      <c r="AJ69" t="str">
        <f>IF(AND(M69&lt;&gt;"",M69=O69,R69=T69),P69,"")</f>
        <v/>
      </c>
      <c r="AK69" t="str">
        <f>IF(OR(M69&lt;O69,R69&lt;T69),L69,IF(OR(M69&gt;O69,R69&gt;T69),P69,""))</f>
        <v/>
      </c>
      <c r="AL69" s="2222" t="str">
        <f>IF(OR($AB69="",$AB69="V"),"",IF(MOD($AB69,10)=1,"XXX",""))</f>
        <v/>
      </c>
      <c r="AM69" s="2222" t="str">
        <f>IF(OR($AB69="",$AB69="V"),"",IF(MOD($AB69,100)&gt;=10,"XXX",""))</f>
        <v/>
      </c>
      <c r="AN69" s="2222" t="str">
        <f>IF(OR($AB69="",$AB69="V"),"",IF(MOD($AB69,1000)&gt;=100,"XXX",""))</f>
        <v/>
      </c>
      <c r="AO69" s="2222" t="str">
        <f>IF(OR($AB69="",$AB69="V"),"",IF(MOD($AB69,10000)&gt;=1000,"XXX",""))</f>
        <v/>
      </c>
      <c r="AP69" s="2222" t="str">
        <f>IF(OR($AB69="",$AB69="V"),"",IF(MOD($AB69,100000)&gt;=10000,"XXX",""))</f>
        <v/>
      </c>
    </row>
    <row r="70" spans="1:42" outlineLevel="2" x14ac:dyDescent="0.2">
      <c r="A70" s="828">
        <f ca="1">A69</f>
        <v>0</v>
      </c>
      <c r="B70" s="393"/>
      <c r="C70" s="1577">
        <f>C69</f>
        <v>0</v>
      </c>
      <c r="D70" s="393"/>
      <c r="E70" s="327"/>
      <c r="F70" s="393"/>
      <c r="G70" s="395" t="str">
        <f>G68&amp;2</f>
        <v>DT2</v>
      </c>
      <c r="H70" s="393"/>
      <c r="I70" s="393"/>
      <c r="J70" s="393"/>
      <c r="K70" s="393"/>
      <c r="L70" s="398"/>
      <c r="M70" s="10"/>
      <c r="N70" s="394" t="s">
        <v>769</v>
      </c>
      <c r="O70" s="10"/>
      <c r="P70" s="398"/>
      <c r="Q70" s="10"/>
      <c r="R70" s="397"/>
      <c r="S70" s="397"/>
      <c r="T70" s="397"/>
      <c r="U70" s="397"/>
      <c r="V70" s="821" t="str">
        <f ca="1">L70&amp;A68</f>
        <v>0</v>
      </c>
      <c r="W70" s="821" t="str">
        <f ca="1">P70&amp;A68</f>
        <v>0</v>
      </c>
      <c r="X70" s="362">
        <f>IF(L70="",0,COUNTIF(PlayersAndHoursCol1,L70&amp;$A70)+COUNTIF(PlayersAndHoursCol2,L70&amp;$A70))</f>
        <v>0</v>
      </c>
      <c r="Y70" s="362">
        <f>IF(P70="",0,COUNTIF(PlayersAndHoursCol1,P70&amp;$A70)+COUNTIF(PlayersAndHoursCol2,P70&amp;$A70))</f>
        <v>0</v>
      </c>
      <c r="Z70" s="821" t="b">
        <f>IF(AA70="",FALSE,NOT(AND(ISNA(MATCH(AA70&amp;TEXT($A70,"hh:mm"),PlayersAndHoursCol1,0)),ISNA(MATCH(AA70&amp;TEXT($A70,"hh:mm"),PlayersAndHoursCol2,0)),COUNTIF(AD:AD,AA70&amp;$A70)&lt;=1)))</f>
        <v>0</v>
      </c>
      <c r="AA70" s="1317"/>
      <c r="AB70" s="1327"/>
      <c r="AC70"/>
      <c r="AD70"/>
      <c r="AE70"/>
      <c r="AF70"/>
      <c r="AG70"/>
      <c r="AH70" t="str">
        <f>IF(OR(M70&gt;O70,R70&gt;T70),L70,IF(OR(M70&lt;O70,R70&lt;T70),P70,""))</f>
        <v/>
      </c>
      <c r="AI70" t="str">
        <f>IF(AND(M70&lt;&gt;"",M70=O70,R70=T70),L70,"")</f>
        <v/>
      </c>
      <c r="AJ70" t="str">
        <f>IF(AND(M70&lt;&gt;"",M70=O70,R70=T70),P70,"")</f>
        <v/>
      </c>
      <c r="AK70" t="str">
        <f>IF(OR(M70&lt;O70,R70&lt;T70),L70,IF(OR(M70&gt;O70,R70&gt;T70),P70,""))</f>
        <v/>
      </c>
      <c r="AL70" s="2222" t="str">
        <f>IF(OR($AB70="",$AB70="V"),"",IF(MOD($AB70,10)=1,"XXX",""))</f>
        <v/>
      </c>
      <c r="AM70" s="2222" t="str">
        <f>IF(OR($AB70="",$AB70="V"),"",IF(MOD($AB70,100)&gt;=10,"XXX",""))</f>
        <v/>
      </c>
      <c r="AN70" s="2222" t="str">
        <f>IF(OR($AB70="",$AB70="V"),"",IF(MOD($AB70,1000)&gt;=100,"XXX",""))</f>
        <v/>
      </c>
      <c r="AO70" s="2222" t="str">
        <f>IF(OR($AB70="",$AB70="V"),"",IF(MOD($AB70,10000)&gt;=1000,"XXX",""))</f>
        <v/>
      </c>
      <c r="AP70" s="2222" t="str">
        <f>IF(OR($AB70="",$AB70="V"),"",IF(MOD($AB70,100000)&gt;=10000,"XXX",""))</f>
        <v/>
      </c>
    </row>
    <row r="71" spans="1:42" outlineLevel="2" x14ac:dyDescent="0.2">
      <c r="A71" s="828">
        <f ca="1">A70</f>
        <v>0</v>
      </c>
      <c r="B71" s="393"/>
      <c r="C71" s="1577"/>
      <c r="D71" s="393"/>
      <c r="E71" s="829" t="str">
        <f>N_Différentiel</f>
        <v>Différentiel</v>
      </c>
      <c r="F71" s="393"/>
      <c r="G71" s="395" t="str">
        <f>G68&amp;3</f>
        <v>DT3</v>
      </c>
      <c r="H71" s="393"/>
      <c r="I71" s="393"/>
      <c r="J71" s="393"/>
      <c r="K71" s="396"/>
      <c r="L71" s="398"/>
      <c r="M71" s="10"/>
      <c r="N71" s="394" t="s">
        <v>769</v>
      </c>
      <c r="O71" s="10"/>
      <c r="P71" s="398"/>
      <c r="Q71" s="397"/>
      <c r="R71" s="397"/>
      <c r="S71" s="397"/>
      <c r="T71" s="397"/>
      <c r="U71" s="397"/>
      <c r="V71" s="821" t="str">
        <f ca="1">L71&amp;A68</f>
        <v>0</v>
      </c>
      <c r="W71" s="821" t="str">
        <f ca="1">P71&amp;A68</f>
        <v>0</v>
      </c>
      <c r="X71" s="362">
        <f>IF(L71="",0,COUNTIF(PlayersAndHoursCol1,L71&amp;$A71)+COUNTIF(PlayersAndHoursCol2,L71&amp;$A71))</f>
        <v>0</v>
      </c>
      <c r="Y71" s="362">
        <f>IF(P71="",0,COUNTIF(PlayersAndHoursCol1,P71&amp;$A71)+COUNTIF(PlayersAndHoursCol2,P71&amp;$A71))</f>
        <v>0</v>
      </c>
      <c r="Z71" s="821" t="b">
        <f>IF(AA71="",FALSE,NOT(AND(ISNA(MATCH(AA71&amp;TEXT($A71,"hh:mm"),PlayersAndHoursCol1,0)),ISNA(MATCH(AA71&amp;TEXT($A71,"hh:mm"),PlayersAndHoursCol2,0)),COUNTIF(AD:AD,AA71&amp;$A71)&lt;=1)))</f>
        <v>0</v>
      </c>
      <c r="AA71" s="1317"/>
      <c r="AB71" s="1327"/>
      <c r="AC71"/>
      <c r="AD71"/>
      <c r="AE71"/>
      <c r="AF71"/>
      <c r="AG71"/>
      <c r="AH71"/>
      <c r="AI71"/>
      <c r="AJ71"/>
      <c r="AK71"/>
      <c r="AL71" s="2222" t="str">
        <f>IF(OR($AB71="",$AB71="V"),"",IF(MOD($AB71,10)=1,"XXX",""))</f>
        <v/>
      </c>
      <c r="AM71" s="2222" t="str">
        <f>IF(OR($AB71="",$AB71="V"),"",IF(MOD($AB71,100)&gt;=10,"XXX",""))</f>
        <v/>
      </c>
      <c r="AN71" s="2222" t="str">
        <f>IF(OR($AB71="",$AB71="V"),"",IF(MOD($AB71,1000)&gt;=100,"XXX",""))</f>
        <v/>
      </c>
      <c r="AO71" s="2222" t="str">
        <f>IF(OR($AB71="",$AB71="V"),"",IF(MOD($AB71,10000)&gt;=1000,"XXX",""))</f>
        <v/>
      </c>
      <c r="AP71" s="2222" t="str">
        <f>IF(OR($AB71="",$AB71="V"),"",IF(MOD($AB71,100000)&gt;=10000,"XXX",""))</f>
        <v/>
      </c>
    </row>
    <row r="72" spans="1:42" ht="13.5" outlineLevel="1" thickBot="1" x14ac:dyDescent="0.25">
      <c r="A72" s="822"/>
      <c r="B72" s="393"/>
      <c r="C72" s="393"/>
      <c r="D72" s="393"/>
      <c r="E72" s="823"/>
      <c r="F72" s="393"/>
      <c r="G72" s="393"/>
      <c r="H72" s="393"/>
      <c r="I72" s="393"/>
      <c r="J72" s="393"/>
      <c r="K72" s="393"/>
      <c r="L72" s="824"/>
      <c r="M72" s="825"/>
      <c r="N72" s="393"/>
      <c r="O72" s="825"/>
      <c r="P72" s="393"/>
      <c r="Q72" s="825"/>
      <c r="R72" s="826"/>
      <c r="S72" s="393"/>
      <c r="T72" s="826"/>
      <c r="U72" s="363"/>
      <c r="V72" s="363"/>
      <c r="W72" s="363"/>
      <c r="X72" s="363"/>
      <c r="Y72" s="363"/>
      <c r="Z72" s="363"/>
      <c r="AA72" s="1329"/>
      <c r="AB72" s="1330"/>
      <c r="AC72"/>
      <c r="AD72"/>
      <c r="AE72"/>
      <c r="AF72"/>
      <c r="AG72"/>
      <c r="AH72"/>
      <c r="AI72"/>
      <c r="AJ72"/>
      <c r="AK72"/>
      <c r="AL72" s="2221"/>
      <c r="AM72" s="2221"/>
      <c r="AN72" s="2221"/>
      <c r="AO72" s="2221"/>
      <c r="AP72" s="2221"/>
    </row>
    <row r="73" spans="1:42" ht="21.75" customHeight="1" thickTop="1" thickBot="1" x14ac:dyDescent="0.25">
      <c r="A73" s="2314" t="str">
        <f>N_End_Planning</f>
        <v>FIN DU PLANNING</v>
      </c>
      <c r="B73" s="2315"/>
      <c r="C73" s="2315"/>
      <c r="D73" s="2315"/>
      <c r="E73" s="2315"/>
      <c r="F73" s="2315"/>
      <c r="G73" s="2315"/>
      <c r="H73" s="2315"/>
      <c r="I73" s="2315"/>
      <c r="J73" s="2315"/>
      <c r="K73" s="2315"/>
      <c r="L73" s="2315"/>
      <c r="M73" s="2315"/>
      <c r="N73" s="2315"/>
      <c r="O73" s="2315"/>
      <c r="P73" s="2315"/>
      <c r="Q73" s="2315"/>
      <c r="R73" s="2315"/>
      <c r="S73" s="2315"/>
      <c r="T73" s="2315"/>
      <c r="U73" s="2315"/>
      <c r="V73" s="2315"/>
      <c r="W73" s="2315"/>
      <c r="X73" s="2315"/>
      <c r="Y73" s="2315"/>
      <c r="Z73" s="2315"/>
      <c r="AA73" s="2315"/>
      <c r="AB73" s="2316"/>
      <c r="AC73"/>
      <c r="AD73"/>
      <c r="AE73"/>
      <c r="AF73"/>
      <c r="AG73"/>
      <c r="AH73"/>
      <c r="AI73"/>
      <c r="AJ73"/>
      <c r="AK73"/>
    </row>
    <row r="74" spans="1:42" ht="15.75" customHeight="1" thickTop="1" thickBot="1" x14ac:dyDescent="0.25">
      <c r="A74" s="2317" t="str">
        <f>N_Insert_above</f>
        <v>Insérez des lignes au dessus de cette zone</v>
      </c>
      <c r="B74" s="2318"/>
      <c r="C74" s="2318"/>
      <c r="D74" s="2318"/>
      <c r="E74" s="2318"/>
      <c r="F74" s="2318"/>
      <c r="G74" s="2318"/>
      <c r="H74" s="2318"/>
      <c r="I74" s="2318"/>
      <c r="J74" s="2318"/>
      <c r="K74" s="2318"/>
      <c r="L74" s="2318"/>
      <c r="M74" s="2318"/>
      <c r="N74" s="2318"/>
      <c r="O74" s="2318"/>
      <c r="P74" s="2318"/>
      <c r="Q74" s="2318"/>
      <c r="R74" s="2318"/>
      <c r="S74" s="2318"/>
      <c r="T74" s="2318"/>
      <c r="U74" s="2318"/>
      <c r="V74" s="2318"/>
      <c r="W74" s="2318"/>
      <c r="X74" s="2318"/>
      <c r="Y74" s="2318"/>
      <c r="Z74" s="2318"/>
      <c r="AA74" s="2318"/>
      <c r="AB74" s="2319"/>
      <c r="AC74"/>
      <c r="AD74"/>
      <c r="AE74"/>
      <c r="AF74"/>
      <c r="AG74"/>
      <c r="AH74"/>
      <c r="AI74"/>
      <c r="AJ74"/>
      <c r="AK74"/>
    </row>
    <row r="75" spans="1:42" ht="13.5" thickTop="1" x14ac:dyDescent="0.2">
      <c r="A75" s="13"/>
      <c r="B75" s="1396"/>
      <c r="C75" s="1396"/>
      <c r="D75" s="1396"/>
      <c r="E75" s="1396"/>
      <c r="F75" s="1396"/>
      <c r="G75" s="1397"/>
      <c r="H75" s="1396"/>
      <c r="I75" s="1396"/>
      <c r="J75" s="1396"/>
      <c r="K75" s="1396"/>
      <c r="L75" s="15"/>
      <c r="M75" s="15"/>
      <c r="N75" s="1396"/>
      <c r="O75" s="15"/>
      <c r="P75" s="1396"/>
      <c r="Q75" s="15"/>
      <c r="R75" s="15"/>
      <c r="S75" s="1396"/>
      <c r="T75" s="15"/>
      <c r="U75" s="1396"/>
      <c r="V75" s="1396"/>
      <c r="W75" s="1396"/>
      <c r="X75" s="1396"/>
      <c r="Y75" s="1396"/>
      <c r="Z75" s="1396"/>
      <c r="AA75" s="15"/>
      <c r="AB75" s="1396"/>
      <c r="AC75" s="1396"/>
      <c r="AD75" s="1396"/>
      <c r="AE75" s="1396"/>
      <c r="AF75" s="1396"/>
      <c r="AG75" s="1396"/>
      <c r="AH75" s="1396"/>
      <c r="AI75" s="1396"/>
      <c r="AJ75" s="1396"/>
      <c r="AK75" s="1396"/>
    </row>
  </sheetData>
  <sheetProtection formatColumns="0" formatRows="0"/>
  <dataConsolidate/>
  <customSheetViews>
    <customSheetView guid="{13F24B0A-7740-483A-BEF7-5257F8522605}" showGridLines="0" fitToPage="1" hiddenRows="1" hiddenColumns="1">
      <pane ySplit="3" topLeftCell="A4" activePane="bottomLeft" state="frozen"/>
      <selection pane="bottomLeft" activeCell="AF15" sqref="AF15"/>
      <pageMargins left="0.39370078740157483" right="0.31496062992125984" top="0.94488188976377963" bottom="0.70866141732283472" header="0.31496062992125984" footer="0.31496062992125984"/>
      <printOptions horizontalCentered="1"/>
      <pageSetup paperSize="9" scale="72" fitToHeight="3" orientation="portrait" r:id="rId1"/>
      <headerFooter alignWithMargins="0"/>
    </customSheetView>
  </customSheetViews>
  <mergeCells count="13">
    <mergeCell ref="AL1:AL3"/>
    <mergeCell ref="AM1:AM3"/>
    <mergeCell ref="AN1:AN3"/>
    <mergeCell ref="AO1:AO3"/>
    <mergeCell ref="AP1:AP3"/>
    <mergeCell ref="A73:AB73"/>
    <mergeCell ref="A74:AB74"/>
    <mergeCell ref="L1:T1"/>
    <mergeCell ref="L2:P2"/>
    <mergeCell ref="AH2:AK2"/>
    <mergeCell ref="AE2:AG2"/>
    <mergeCell ref="E2:E3"/>
    <mergeCell ref="R3:T3"/>
  </mergeCells>
  <phoneticPr fontId="0" type="noConversion"/>
  <conditionalFormatting sqref="AA27">
    <cfRule type="expression" dxfId="101" priority="185" stopIfTrue="1">
      <formula>IF($AA27="Auto-Arbitrage",TRUE,FALSE)</formula>
    </cfRule>
  </conditionalFormatting>
  <conditionalFormatting sqref="AA29">
    <cfRule type="expression" dxfId="100" priority="25" stopIfTrue="1">
      <formula>IF($AA29="Auto-Arbitrage",TRUE,FALSE)</formula>
    </cfRule>
  </conditionalFormatting>
  <conditionalFormatting sqref="AA31">
    <cfRule type="expression" dxfId="99" priority="21" stopIfTrue="1">
      <formula>IF($AA31="Auto-Arbitrage",TRUE,FALSE)</formula>
    </cfRule>
  </conditionalFormatting>
  <dataValidations count="19">
    <dataValidation type="list" allowBlank="1" showInputMessage="1" showErrorMessage="1" sqref="AA60" xr:uid="{00000000-0002-0000-0F00-000000000000}">
      <formula1>OFFSET(Liste_Doubles,MATCH(AA59,Liste_Doubles,0)-1,1,1,OFFSET(Liste_Nb_Equipiers_Doubles,MATCH(AA59,Liste_Doubles,0)-1,0,1,1))</formula1>
    </dataValidation>
    <dataValidation type="list" allowBlank="1" showInputMessage="1" sqref="L70 AA61 AA65 AA70 P61 P65 P70 L61 L65" xr:uid="{00000000-0002-0000-0F00-000001000000}">
      <formula1>OFFSET(Liste_Doubles,MATCH(L59,Liste_Doubles,0)-1,1,1,OFFSET(Liste_Nb_Equipiers_Doubles,MATCH(L59,Liste_Doubles,0)-1,0,1,1))</formula1>
    </dataValidation>
    <dataValidation type="list" allowBlank="1" showInputMessage="1" sqref="L71 AA66 AA71 P66 P71 L66" xr:uid="{00000000-0002-0000-0F00-000002000000}">
      <formula1>OFFSET(Liste_Doubles,MATCH(L63,Liste_Doubles,0)-1,1,1,OFFSET(Liste_Nb_Equipiers_Doubles,MATCH(L63,Liste_Doubles,0)-1,0,1,1))</formula1>
    </dataValidation>
    <dataValidation type="list" allowBlank="1" showInputMessage="1" sqref="L55 AA46 AA55 L38 P38 P46 P55 L46" xr:uid="{00000000-0002-0000-0F00-000003000000}">
      <formula1>OFFSET(Liste_Equipes,MATCH(L33,Liste_Equipes,0)-1,1,1,OFFSET(Liste_Nb_Equipiers,MATCH(L33,Liste_Equipes,0)-1,0,1,1))</formula1>
    </dataValidation>
    <dataValidation type="list" allowBlank="1" showInputMessage="1" sqref="L52 AA35 AA43 AA52 L35 P35 P43 P52 L43" xr:uid="{00000000-0002-0000-0F00-000004000000}">
      <formula1>OFFSET(Liste_Equipes,MATCH(L33,Liste_Equipes,0)-1,1,1,OFFSET(Liste_Nb_Equipiers,MATCH(L33,Liste_Equipes,0)-1,0,1,1))</formula1>
    </dataValidation>
    <dataValidation type="list" allowBlank="1" showInputMessage="1" sqref="L53 AA53 AA44 AA36 L36 P36 P44 P53 L44" xr:uid="{00000000-0002-0000-0F00-000005000000}">
      <formula1>OFFSET(Liste_Equipes,MATCH(L33,Liste_Equipes,0)-1,1,1,OFFSET(Liste_Nb_Equipiers,MATCH(L33,Liste_Equipes,0)-1,0,1,1))</formula1>
    </dataValidation>
    <dataValidation type="list" allowBlank="1" showInputMessage="1" sqref="L54 AA54 AA45 AA37 L37 P37 P45 P54 L45" xr:uid="{00000000-0002-0000-0F00-000006000000}">
      <formula1>OFFSET(Liste_Equipes,MATCH(L33,Liste_Equipes,0)-1,1,1,OFFSET(Liste_Nb_Equipiers,MATCH(L33,Liste_Equipes,0)-1,0,1,1))</formula1>
    </dataValidation>
    <dataValidation type="list" allowBlank="1" showInputMessage="1" sqref="L51 AA34 AA42 AA51 L34 P34 P42 P51 L42" xr:uid="{00000000-0002-0000-0F00-000007000000}">
      <formula1>OFFSET(Liste_Equipes,MATCH(L33,Liste_Equipes,0)-1,1,1,OFFSET(Liste_Nb_Equipiers,MATCH(L33,Liste_Equipes,0)-1,0,1,1))</formula1>
    </dataValidation>
    <dataValidation type="list" allowBlank="1" showInputMessage="1" sqref="AA64 AA69 P60 P64 P69 L60 L64 L69" xr:uid="{00000000-0002-0000-0F00-000008000000}">
      <formula1>OFFSET(Liste_Doubles,MATCH(L59,Liste_Doubles,0)-1,1,1,OFFSET(Liste_Nb_Equipiers_Doubles,MATCH(L59,Liste_Doubles,0)-1,0,1,1))</formula1>
    </dataValidation>
    <dataValidation type="list" allowBlank="1" showInputMessage="1" sqref="L56 L39 P39 P47 P56 L47" xr:uid="{00000000-0002-0000-0F00-000009000000}">
      <formula1>OFFSET(Liste_Equipes,MATCH(L33,Liste_Equipes,0)-1,1,1,OFFSET(Liste_Nb_Equipiers,MATCH(L33,Liste_Equipes,0)-1,0,1,1))</formula1>
    </dataValidation>
    <dataValidation type="list" allowBlank="1" showInputMessage="1" sqref="L57 P48 P57 L48" xr:uid="{00000000-0002-0000-0F00-00000A000000}">
      <formula1>OFFSET(Liste_Equipes,MATCH(L41,Liste_Equipes,0)-1,1,1,OFFSET(Liste_Nb_Equipiers,MATCH(L41,Liste_Equipes,0)-1,0,1,1))</formula1>
    </dataValidation>
    <dataValidation type="list" allowBlank="1" showInputMessage="1" sqref="AA21 AA23 AA25 AA31 AA29 AA27" xr:uid="{00000000-0002-0000-0F00-00000B000000}">
      <formula1>OFFSET(Sessions_Hours,1,MATCH(A21,Sessions_Hours,0)-1,Nb_Referees,1)</formula1>
    </dataValidation>
    <dataValidation type="list" allowBlank="1" showInputMessage="1" sqref="AA68 AA33 AA41 AA50 AA59 AA63" xr:uid="{00000000-0002-0000-0F00-00000C000000}">
      <formula1>OFFSET(Sessions_Hours_Teams,1,MATCH(A33,Sessions_Hours_Teams,0)-1,NbTeams,1)</formula1>
    </dataValidation>
    <dataValidation type="whole" allowBlank="1" showInputMessage="1" showErrorMessage="1" errorTitle="Erreur de saisie" error="Vous devez tapez un nombre entier entre 0 et 100" sqref="O69:O71 O3 M3 M42:M46 O29 T29 T23 M21 M25 O25 M23 O23 M31 O31 T25 R25 M27 O27 O21 O51:O55 R23 M51:M55 R31 O34:O37 R29 T31 M34:M37 M29 O42:O46 O60:O61 M60:M61 O64:O66 M64:M66 M69:M71" xr:uid="{00000000-0002-0000-0F00-00000D000000}">
      <formula1>0</formula1>
      <formula2>100</formula2>
    </dataValidation>
    <dataValidation type="list" allowBlank="1" showInputMessage="1" showErrorMessage="1" sqref="Q69:Q70 Q31 Q23 Q29 Q25 Q42:Q45 Q64:Q65 Q51:Q54" xr:uid="{00000000-0002-0000-0F00-00000E000000}">
      <formula1>"x"</formula1>
    </dataValidation>
    <dataValidation type="list" allowBlank="1" showInputMessage="1" showErrorMessage="1" sqref="P4:P20" xr:uid="{00000000-0002-0000-0F00-00000F000000}">
      <formula1>Durations_List</formula1>
    </dataValidation>
    <dataValidation allowBlank="1" showInputMessage="1" showErrorMessage="1" promptTitle="Format" prompt="HH:MM_x000a_ex. : 09:15" sqref="A4" xr:uid="{00000000-0002-0000-0F00-000010000000}"/>
    <dataValidation type="list" allowBlank="1" showInputMessage="1" showErrorMessage="1" errorTitle="Erreur de saisie" error="Vous devez tapez un nombre entier entre 0 et 100" sqref="M38:M39 O56:O57 M56:M57 O47:O48 M47:M48 O38:O39" xr:uid="{00000000-0002-0000-0F00-000011000000}">
      <formula1>Substitute_Codes</formula1>
    </dataValidation>
    <dataValidation allowBlank="1" showInputMessage="1" sqref="L49 L62" xr:uid="{00000000-0002-0000-0F00-000012000000}"/>
  </dataValidations>
  <printOptions horizontalCentered="1"/>
  <pageMargins left="0.39370078740157483" right="0.31496062992125984" top="0.94488188976377963" bottom="0.70866141732283472" header="0.31496062992125984" footer="0.31496062992125984"/>
  <pageSetup paperSize="9" scale="72" fitToHeight="3" orientation="portrait" r:id="rId2"/>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_ExportScorerTable">
    <tabColor theme="0" tint="-0.249977111117893"/>
    <outlinePr summaryBelow="0"/>
  </sheetPr>
  <dimension ref="A1:AB31"/>
  <sheetViews>
    <sheetView showGridLines="0" workbookViewId="0">
      <pane ySplit="2" topLeftCell="A3" activePane="bottomLeft" state="frozen"/>
      <selection activeCell="N33" sqref="N33"/>
      <selection pane="bottomLeft" activeCell="AC1" sqref="AC1"/>
    </sheetView>
  </sheetViews>
  <sheetFormatPr baseColWidth="10" defaultColWidth="3.28515625" defaultRowHeight="12.75" outlineLevelRow="1" x14ac:dyDescent="0.2"/>
  <cols>
    <col min="1" max="1" width="8.140625" style="13" bestFit="1" customWidth="1"/>
    <col min="2" max="2" width="3.140625" style="1396" hidden="1" customWidth="1"/>
    <col min="3" max="3" width="24.42578125" style="1396" bestFit="1" customWidth="1"/>
    <col min="4" max="4" width="3.42578125" style="15" hidden="1" customWidth="1"/>
    <col min="5" max="5" width="16.140625" style="15" bestFit="1" customWidth="1"/>
    <col min="6" max="6" width="3" style="1396" customWidth="1"/>
    <col min="7" max="7" width="11" style="1396" hidden="1" customWidth="1"/>
    <col min="8" max="8" width="9.28515625" style="15" hidden="1" customWidth="1"/>
    <col min="9" max="11" width="9.28515625" style="1396" hidden="1" customWidth="1"/>
    <col min="12" max="12" width="20.42578125" style="1396" customWidth="1"/>
    <col min="13" max="13" width="6.140625" style="1396" customWidth="1"/>
    <col min="14" max="14" width="6.140625" style="1396" hidden="1" customWidth="1"/>
    <col min="15" max="15" width="6.140625" style="1396" customWidth="1"/>
    <col min="16" max="16" width="22" style="1396" customWidth="1"/>
    <col min="17" max="17" width="5.7109375" style="1396" customWidth="1"/>
    <col min="18" max="18" width="5.85546875" style="1396" customWidth="1"/>
    <col min="19" max="19" width="5.85546875" style="1396" hidden="1" customWidth="1"/>
    <col min="20" max="20" width="5.85546875" style="1396" customWidth="1"/>
    <col min="21" max="26" width="11.42578125" style="1396" hidden="1" customWidth="1"/>
    <col min="27" max="27" width="20.7109375" style="1396" customWidth="1"/>
    <col min="28" max="28" width="5.28515625" style="1396" customWidth="1"/>
    <col min="29" max="32" width="11.42578125" style="1397" customWidth="1"/>
    <col min="33" max="33" width="4" style="1397" customWidth="1"/>
    <col min="34" max="255" width="11.42578125" style="1397" customWidth="1"/>
    <col min="256" max="16383" width="3.28515625" style="1397"/>
    <col min="16384" max="16384" width="4" style="1397" customWidth="1"/>
  </cols>
  <sheetData>
    <row r="1" spans="1:28" ht="45" thickBot="1" x14ac:dyDescent="0.6">
      <c r="A1" s="1893" t="s">
        <v>2851</v>
      </c>
      <c r="B1" s="1892"/>
      <c r="C1" s="1892"/>
      <c r="D1" s="1892"/>
      <c r="E1" s="1892"/>
      <c r="F1" s="1892"/>
      <c r="G1" s="1892"/>
      <c r="H1" s="1892"/>
      <c r="I1" s="1878"/>
      <c r="J1" s="1878"/>
      <c r="K1" s="1878"/>
      <c r="L1" s="1878"/>
      <c r="M1" s="1878"/>
      <c r="N1" s="1878"/>
      <c r="O1" s="1878"/>
      <c r="P1" s="1878"/>
      <c r="Q1" s="1878"/>
      <c r="R1" s="1878"/>
      <c r="S1" s="1878"/>
      <c r="T1" s="1878"/>
      <c r="U1" s="1878"/>
      <c r="V1" s="1878"/>
      <c r="W1" s="1878"/>
      <c r="X1" s="1878"/>
      <c r="Y1" s="1878"/>
      <c r="Z1" s="1878"/>
      <c r="AA1" s="1878"/>
      <c r="AB1" s="7"/>
    </row>
    <row r="2" spans="1:28" ht="13.5" thickTop="1" x14ac:dyDescent="0.2">
      <c r="A2" s="710" t="s">
        <v>766</v>
      </c>
      <c r="B2" s="711"/>
      <c r="C2" s="712" t="s">
        <v>901</v>
      </c>
      <c r="D2" s="712"/>
      <c r="E2" s="712" t="s">
        <v>784</v>
      </c>
      <c r="F2" s="713"/>
      <c r="G2" s="714"/>
      <c r="H2" s="715"/>
      <c r="I2" s="715"/>
      <c r="J2" s="715"/>
      <c r="K2" s="716"/>
      <c r="L2" s="717" t="s">
        <v>1591</v>
      </c>
      <c r="M2" s="2337" t="s">
        <v>807</v>
      </c>
      <c r="N2" s="2338"/>
      <c r="O2" s="2339"/>
      <c r="P2" s="717" t="s">
        <v>1593</v>
      </c>
      <c r="Q2" s="740" t="s">
        <v>777</v>
      </c>
      <c r="R2" s="2337" t="s">
        <v>778</v>
      </c>
      <c r="S2" s="2338"/>
      <c r="T2" s="2339"/>
      <c r="U2" s="740"/>
      <c r="V2" s="740"/>
      <c r="W2" s="740"/>
      <c r="X2" s="740"/>
      <c r="Y2" s="740"/>
      <c r="Z2" s="740"/>
      <c r="AA2" s="718" t="s">
        <v>768</v>
      </c>
      <c r="AB2" s="629"/>
    </row>
    <row r="3" spans="1:28" x14ac:dyDescent="0.2">
      <c r="A3" s="729"/>
      <c r="B3" s="678"/>
      <c r="C3" s="678"/>
      <c r="D3" s="678"/>
      <c r="E3" s="678"/>
      <c r="F3" s="725"/>
      <c r="G3" s="725"/>
      <c r="H3" s="725"/>
      <c r="I3" s="725"/>
      <c r="J3" s="725"/>
      <c r="K3" s="725"/>
      <c r="L3" s="726"/>
      <c r="M3" s="726"/>
      <c r="N3" s="726"/>
      <c r="O3" s="726"/>
      <c r="P3" s="726"/>
      <c r="Q3" s="726"/>
      <c r="R3" s="726"/>
      <c r="S3" s="726"/>
      <c r="T3" s="726"/>
      <c r="U3" s="726"/>
      <c r="V3" s="726"/>
      <c r="W3" s="726"/>
      <c r="X3" s="726"/>
      <c r="Y3" s="726"/>
      <c r="Z3" s="726"/>
      <c r="AA3" s="730"/>
      <c r="AB3" s="629"/>
    </row>
    <row r="4" spans="1:28" ht="20.25" x14ac:dyDescent="0.2">
      <c r="A4" s="743"/>
      <c r="B4" s="719"/>
      <c r="C4" s="720"/>
      <c r="D4" s="720"/>
      <c r="E4" s="720"/>
      <c r="F4" s="727"/>
      <c r="G4" s="683" t="s">
        <v>1715</v>
      </c>
      <c r="H4" s="744"/>
      <c r="I4" s="690"/>
      <c r="J4" s="680"/>
      <c r="K4" s="728"/>
      <c r="L4" s="722"/>
      <c r="M4" s="741"/>
      <c r="N4" s="733" t="s">
        <v>769</v>
      </c>
      <c r="O4" s="741"/>
      <c r="P4" s="723"/>
      <c r="Q4" s="684"/>
      <c r="R4" s="682"/>
      <c r="S4" s="682"/>
      <c r="T4" s="682"/>
      <c r="U4" s="680"/>
      <c r="V4" s="680"/>
      <c r="W4" s="680"/>
      <c r="X4" s="680"/>
      <c r="Y4" s="680"/>
      <c r="Z4" s="728"/>
      <c r="AA4" s="724"/>
      <c r="AB4" s="7"/>
    </row>
    <row r="5" spans="1:28" ht="20.25" x14ac:dyDescent="0.2">
      <c r="A5" s="745"/>
      <c r="B5" s="688"/>
      <c r="C5" s="681"/>
      <c r="D5" s="681"/>
      <c r="E5" s="681"/>
      <c r="F5" s="727"/>
      <c r="G5" s="683" t="s">
        <v>1719</v>
      </c>
      <c r="H5" s="744"/>
      <c r="I5" s="690"/>
      <c r="J5" s="680"/>
      <c r="K5" s="728"/>
      <c r="L5" s="708"/>
      <c r="M5" s="742"/>
      <c r="N5" s="733" t="s">
        <v>769</v>
      </c>
      <c r="O5" s="742"/>
      <c r="P5" s="709"/>
      <c r="Q5" s="742"/>
      <c r="R5" s="741"/>
      <c r="S5" s="757"/>
      <c r="T5" s="741"/>
      <c r="U5" s="680"/>
      <c r="V5" s="680"/>
      <c r="W5" s="680"/>
      <c r="X5" s="680"/>
      <c r="Y5" s="680"/>
      <c r="Z5" s="680"/>
      <c r="AA5" s="694"/>
      <c r="AB5" s="7"/>
    </row>
    <row r="6" spans="1:28" ht="20.25" x14ac:dyDescent="0.2">
      <c r="A6" s="746"/>
      <c r="B6" s="688"/>
      <c r="C6" s="747"/>
      <c r="D6" s="681"/>
      <c r="E6" s="721"/>
      <c r="F6" s="682"/>
      <c r="G6" s="683" t="s">
        <v>1742</v>
      </c>
      <c r="H6" s="683" t="str">
        <f>IF(K6="","",SUBSTITUTE(MID(K6,1,SEARCH("!",K6,1)-1),"'",""))</f>
        <v/>
      </c>
      <c r="I6" s="683" t="str">
        <f ca="1">IF(K6="","",CELL("ligne",INDIRECT(K6)))</f>
        <v/>
      </c>
      <c r="J6" s="683" t="str">
        <f ca="1">IF(K6="","",CELL("colonne",INDIRECT(K6)))</f>
        <v/>
      </c>
      <c r="K6" s="683" t="str">
        <f>MID(Lire_Formule(L6),2,10000)</f>
        <v/>
      </c>
      <c r="L6" s="691"/>
      <c r="M6" s="731"/>
      <c r="N6" s="678" t="s">
        <v>769</v>
      </c>
      <c r="O6" s="732"/>
      <c r="P6" s="691"/>
      <c r="Q6" s="684"/>
      <c r="R6" s="682"/>
      <c r="S6" s="682"/>
      <c r="T6" s="682"/>
      <c r="U6" s="682"/>
      <c r="V6" s="685" t="str">
        <f>L6&amp;A6</f>
        <v/>
      </c>
      <c r="W6" s="685" t="str">
        <f>P6&amp;A6</f>
        <v/>
      </c>
      <c r="X6" s="685">
        <f t="shared" ref="X6:X12" si="0">IF(L6="",0,COUNTIF(PlayersAndHoursCol1,L6&amp;$A6)+COUNTIF(PlayersAndHoursCol2,L6&amp;$A6))</f>
        <v>0</v>
      </c>
      <c r="Y6" s="685">
        <f t="shared" ref="Y6:Y12" si="1">IF(P6="",0,COUNTIF(PlayersAndHoursCol1,P6&amp;$A6)+COUNTIF(PlayersAndHoursCol2,P6&amp;$A6))</f>
        <v>0</v>
      </c>
      <c r="Z6" s="685" t="b">
        <f>IF(AA6="",FALSE,NOT(AND(ISNA(MATCH(AA6&amp;A6,PlayersAndHoursCol1,0)),ISNA(MATCH(AA6&amp;A6,PlayersAndHoursCol2,0)),COUNTIF(#REF!,AA6&amp;A6)&lt;=1)))</f>
        <v>0</v>
      </c>
      <c r="AA6" s="739"/>
      <c r="AB6" s="1894"/>
    </row>
    <row r="7" spans="1:28" ht="20.25" outlineLevel="1" x14ac:dyDescent="0.2">
      <c r="A7" s="748">
        <f>A6</f>
        <v>0</v>
      </c>
      <c r="B7" s="689"/>
      <c r="C7" s="678"/>
      <c r="D7" s="678"/>
      <c r="E7" s="681"/>
      <c r="F7" s="678"/>
      <c r="G7" s="683" t="str">
        <f>G6&amp;1</f>
        <v>TG1</v>
      </c>
      <c r="H7" s="678"/>
      <c r="I7" s="678"/>
      <c r="J7" s="678"/>
      <c r="K7" s="678"/>
      <c r="L7" s="686"/>
      <c r="M7" s="272"/>
      <c r="N7" s="733" t="s">
        <v>769</v>
      </c>
      <c r="O7" s="272"/>
      <c r="P7" s="686"/>
      <c r="Q7" s="682"/>
      <c r="R7" s="682"/>
      <c r="S7" s="682"/>
      <c r="T7" s="682"/>
      <c r="U7" s="682"/>
      <c r="V7" s="685" t="str">
        <f>L7&amp;A6</f>
        <v/>
      </c>
      <c r="W7" s="685" t="str">
        <f>P7&amp;A6</f>
        <v/>
      </c>
      <c r="X7" s="685">
        <f t="shared" si="0"/>
        <v>0</v>
      </c>
      <c r="Y7" s="685">
        <f t="shared" si="1"/>
        <v>0</v>
      </c>
      <c r="Z7" s="685" t="b">
        <f>IF(AA7="",FALSE,NOT(AND(ISNA(MATCH(AA7&amp;A6,PlayersAndHoursCol1,0)),ISNA(MATCH(AA7&amp;A6,PlayersAndHoursCol2,0)))))</f>
        <v>0</v>
      </c>
      <c r="AA7" s="695"/>
      <c r="AB7" s="1894"/>
    </row>
    <row r="8" spans="1:28" ht="20.25" outlineLevel="1" x14ac:dyDescent="0.2">
      <c r="A8" s="748">
        <f>A7</f>
        <v>0</v>
      </c>
      <c r="B8" s="689"/>
      <c r="C8" s="678"/>
      <c r="D8" s="678"/>
      <c r="E8" s="681"/>
      <c r="F8" s="678"/>
      <c r="G8" s="683" t="str">
        <f>G6&amp;2</f>
        <v>TG2</v>
      </c>
      <c r="H8" s="678"/>
      <c r="I8" s="678"/>
      <c r="J8" s="678"/>
      <c r="K8" s="678"/>
      <c r="L8" s="686"/>
      <c r="M8" s="272"/>
      <c r="N8" s="733" t="s">
        <v>769</v>
      </c>
      <c r="O8" s="272"/>
      <c r="P8" s="686"/>
      <c r="Q8" s="682"/>
      <c r="R8" s="682"/>
      <c r="S8" s="682"/>
      <c r="T8" s="682"/>
      <c r="U8" s="682"/>
      <c r="V8" s="685" t="str">
        <f>L8&amp;A6</f>
        <v/>
      </c>
      <c r="W8" s="685" t="str">
        <f>P8&amp;A6</f>
        <v/>
      </c>
      <c r="X8" s="685">
        <f t="shared" si="0"/>
        <v>0</v>
      </c>
      <c r="Y8" s="685">
        <f t="shared" si="1"/>
        <v>0</v>
      </c>
      <c r="Z8" s="685" t="b">
        <f>IF(AA8="",FALSE,NOT(AND(ISNA(MATCH(AA8&amp;A6,PlayersAndHoursCol1,0)),ISNA(MATCH(AA8&amp;A6,PlayersAndHoursCol2,0)))))</f>
        <v>0</v>
      </c>
      <c r="AA8" s="695"/>
      <c r="AB8" s="1894"/>
    </row>
    <row r="9" spans="1:28" ht="20.25" outlineLevel="1" x14ac:dyDescent="0.2">
      <c r="A9" s="748">
        <f>A8</f>
        <v>0</v>
      </c>
      <c r="B9" s="689"/>
      <c r="C9" s="678"/>
      <c r="D9" s="678"/>
      <c r="E9" s="681"/>
      <c r="F9" s="678"/>
      <c r="G9" s="683" t="str">
        <f>G6&amp;3</f>
        <v>TG3</v>
      </c>
      <c r="H9" s="678"/>
      <c r="I9" s="678"/>
      <c r="J9" s="678"/>
      <c r="K9" s="678"/>
      <c r="L9" s="686"/>
      <c r="M9" s="272"/>
      <c r="N9" s="733" t="s">
        <v>769</v>
      </c>
      <c r="O9" s="272"/>
      <c r="P9" s="686"/>
      <c r="Q9" s="682"/>
      <c r="R9" s="682"/>
      <c r="S9" s="682"/>
      <c r="T9" s="682"/>
      <c r="U9" s="682"/>
      <c r="V9" s="685" t="str">
        <f>L9&amp;A6</f>
        <v/>
      </c>
      <c r="W9" s="685" t="str">
        <f>P9&amp;A6</f>
        <v/>
      </c>
      <c r="X9" s="685">
        <f t="shared" si="0"/>
        <v>0</v>
      </c>
      <c r="Y9" s="685">
        <f t="shared" si="1"/>
        <v>0</v>
      </c>
      <c r="Z9" s="685" t="b">
        <f>IF(AA9="",FALSE,NOT(AND(ISNA(MATCH(AA9&amp;A6,PlayersAndHoursCol1,0)),ISNA(MATCH(AA9&amp;A6,PlayersAndHoursCol2,0)))))</f>
        <v>0</v>
      </c>
      <c r="AA9" s="695"/>
      <c r="AB9" s="1894"/>
    </row>
    <row r="10" spans="1:28" ht="20.25" outlineLevel="1" x14ac:dyDescent="0.2">
      <c r="A10" s="748">
        <f>A9</f>
        <v>0</v>
      </c>
      <c r="B10" s="689"/>
      <c r="C10" s="678"/>
      <c r="D10" s="678"/>
      <c r="E10" s="681"/>
      <c r="F10" s="678"/>
      <c r="G10" s="683" t="str">
        <f>G6&amp;4</f>
        <v>TG4</v>
      </c>
      <c r="H10" s="678"/>
      <c r="I10" s="678"/>
      <c r="J10" s="678"/>
      <c r="K10" s="678"/>
      <c r="L10" s="686"/>
      <c r="M10" s="272"/>
      <c r="N10" s="733" t="s">
        <v>769</v>
      </c>
      <c r="O10" s="272"/>
      <c r="P10" s="686"/>
      <c r="Q10" s="682"/>
      <c r="R10" s="682"/>
      <c r="S10" s="682"/>
      <c r="T10" s="682"/>
      <c r="U10" s="682"/>
      <c r="V10" s="685" t="str">
        <f>L10&amp;A20</f>
        <v/>
      </c>
      <c r="W10" s="685" t="str">
        <f>P10&amp;A20</f>
        <v/>
      </c>
      <c r="X10" s="685">
        <f t="shared" si="0"/>
        <v>0</v>
      </c>
      <c r="Y10" s="685">
        <f t="shared" si="1"/>
        <v>0</v>
      </c>
      <c r="Z10" s="685" t="b">
        <f>IF(AA10="",FALSE,NOT(AND(ISNA(MATCH(AA10&amp;A20,PlayersAndHoursCol1,0)),ISNA(MATCH(AA10&amp;A20,PlayersAndHoursCol2,0)))))</f>
        <v>0</v>
      </c>
      <c r="AA10" s="695"/>
      <c r="AB10" s="1894"/>
    </row>
    <row r="11" spans="1:28" ht="20.25" outlineLevel="1" x14ac:dyDescent="0.2">
      <c r="A11" s="748">
        <f>A10</f>
        <v>0</v>
      </c>
      <c r="B11" s="689"/>
      <c r="C11" s="678"/>
      <c r="D11" s="678"/>
      <c r="E11" s="749" t="str">
        <f>N_Substitute</f>
        <v>Remplaçant</v>
      </c>
      <c r="F11" s="678"/>
      <c r="G11" s="683" t="str">
        <f>G6&amp;"SB1"</f>
        <v>TGSB1</v>
      </c>
      <c r="H11" s="678"/>
      <c r="I11" s="678"/>
      <c r="J11" s="678"/>
      <c r="K11" s="678"/>
      <c r="L11" s="686"/>
      <c r="M11" s="272"/>
      <c r="N11" s="733"/>
      <c r="O11" s="272"/>
      <c r="P11" s="686"/>
      <c r="Q11" s="684"/>
      <c r="R11" s="682"/>
      <c r="S11" s="682"/>
      <c r="T11" s="682"/>
      <c r="U11" s="682"/>
      <c r="V11" s="685" t="str">
        <f>L11&amp;A20</f>
        <v/>
      </c>
      <c r="W11" s="685" t="str">
        <f>P11&amp;A20</f>
        <v/>
      </c>
      <c r="X11" s="685">
        <f t="shared" si="0"/>
        <v>0</v>
      </c>
      <c r="Y11" s="685">
        <f t="shared" si="1"/>
        <v>0</v>
      </c>
      <c r="Z11" s="685" t="b">
        <f>IF(AA11="",FALSE,NOT(AND(ISNA(MATCH(AA11&amp;A20,PlayersAndHoursCol1,0)),ISNA(MATCH(AA11&amp;A20,PlayersAndHoursCol2,0)))))</f>
        <v>0</v>
      </c>
      <c r="AA11" s="750"/>
      <c r="AB11" s="1894"/>
    </row>
    <row r="12" spans="1:28" ht="21" outlineLevel="1" thickBot="1" x14ac:dyDescent="0.25">
      <c r="A12" s="751">
        <f>A6</f>
        <v>0</v>
      </c>
      <c r="B12" s="692"/>
      <c r="C12" s="693"/>
      <c r="D12" s="678"/>
      <c r="E12" s="749" t="str">
        <f>N_Substitute</f>
        <v>Remplaçant</v>
      </c>
      <c r="F12" s="678"/>
      <c r="G12" s="683" t="str">
        <f>G6&amp;"SB2"</f>
        <v>TGSB2</v>
      </c>
      <c r="H12" s="678"/>
      <c r="I12" s="678"/>
      <c r="J12" s="678"/>
      <c r="K12" s="678"/>
      <c r="L12" s="707"/>
      <c r="M12" s="469"/>
      <c r="N12" s="733"/>
      <c r="O12" s="469"/>
      <c r="P12" s="707"/>
      <c r="Q12" s="684"/>
      <c r="R12" s="682"/>
      <c r="S12" s="682"/>
      <c r="T12" s="682"/>
      <c r="U12" s="682"/>
      <c r="V12" s="685" t="str">
        <f>L12&amp;A6</f>
        <v/>
      </c>
      <c r="W12" s="685" t="str">
        <f>P12&amp;A6</f>
        <v/>
      </c>
      <c r="X12" s="685">
        <f t="shared" si="0"/>
        <v>0</v>
      </c>
      <c r="Y12" s="685">
        <f t="shared" si="1"/>
        <v>0</v>
      </c>
      <c r="Z12" s="685" t="b">
        <f>IF(AA12="",FALSE,NOT(AND(ISNA(MATCH(AA12&amp;A6,PlayersAndHoursCol1,0)),ISNA(MATCH(AA12&amp;A6,PlayersAndHoursCol2,0)))))</f>
        <v>0</v>
      </c>
      <c r="AA12" s="752"/>
      <c r="AB12" s="1894"/>
    </row>
    <row r="13" spans="1:28" ht="20.25" x14ac:dyDescent="0.2">
      <c r="A13" s="746"/>
      <c r="B13" s="688"/>
      <c r="C13" s="747"/>
      <c r="D13" s="681"/>
      <c r="E13" s="679"/>
      <c r="F13" s="682"/>
      <c r="G13" s="683"/>
      <c r="H13" s="683"/>
      <c r="I13" s="683"/>
      <c r="J13" s="683"/>
      <c r="K13" s="683"/>
      <c r="L13" s="691"/>
      <c r="M13" s="731"/>
      <c r="N13" s="678"/>
      <c r="O13" s="732"/>
      <c r="P13" s="691"/>
      <c r="Q13" s="684"/>
      <c r="R13" s="682"/>
      <c r="S13" s="682"/>
      <c r="T13" s="682"/>
      <c r="U13" s="682"/>
      <c r="V13" s="685"/>
      <c r="W13" s="685"/>
      <c r="X13" s="685"/>
      <c r="Y13" s="685"/>
      <c r="Z13" s="685"/>
      <c r="AA13" s="739"/>
      <c r="AB13" s="1894"/>
    </row>
    <row r="14" spans="1:28" ht="20.25" outlineLevel="1" x14ac:dyDescent="0.2">
      <c r="A14" s="748"/>
      <c r="B14" s="689"/>
      <c r="C14" s="678"/>
      <c r="D14" s="678"/>
      <c r="E14" s="681"/>
      <c r="F14" s="678"/>
      <c r="G14" s="395"/>
      <c r="H14" s="678"/>
      <c r="I14" s="678"/>
      <c r="J14" s="678"/>
      <c r="K14" s="678"/>
      <c r="L14" s="686"/>
      <c r="M14" s="272"/>
      <c r="N14" s="733"/>
      <c r="O14" s="272"/>
      <c r="P14" s="686"/>
      <c r="Q14" s="272"/>
      <c r="R14" s="682"/>
      <c r="S14" s="682"/>
      <c r="T14" s="682"/>
      <c r="U14" s="682"/>
      <c r="V14" s="685"/>
      <c r="W14" s="685"/>
      <c r="X14" s="685"/>
      <c r="Y14" s="685"/>
      <c r="Z14" s="685"/>
      <c r="AA14" s="695"/>
      <c r="AB14" s="1894"/>
    </row>
    <row r="15" spans="1:28" ht="20.25" outlineLevel="1" x14ac:dyDescent="0.2">
      <c r="A15" s="748"/>
      <c r="B15" s="689"/>
      <c r="C15" s="678"/>
      <c r="D15" s="678"/>
      <c r="E15" s="681"/>
      <c r="F15" s="678"/>
      <c r="G15" s="395"/>
      <c r="H15" s="678"/>
      <c r="I15" s="678"/>
      <c r="J15" s="678"/>
      <c r="K15" s="678"/>
      <c r="L15" s="686"/>
      <c r="M15" s="272"/>
      <c r="N15" s="733"/>
      <c r="O15" s="272"/>
      <c r="P15" s="686"/>
      <c r="Q15" s="272"/>
      <c r="R15" s="682"/>
      <c r="S15" s="682"/>
      <c r="T15" s="682"/>
      <c r="U15" s="682"/>
      <c r="V15" s="685"/>
      <c r="W15" s="685"/>
      <c r="X15" s="685"/>
      <c r="Y15" s="685"/>
      <c r="Z15" s="685"/>
      <c r="AA15" s="695"/>
      <c r="AB15" s="1894"/>
    </row>
    <row r="16" spans="1:28" ht="20.25" outlineLevel="1" x14ac:dyDescent="0.2">
      <c r="A16" s="748"/>
      <c r="B16" s="689"/>
      <c r="C16" s="678"/>
      <c r="D16" s="678"/>
      <c r="E16" s="681"/>
      <c r="F16" s="678"/>
      <c r="G16" s="395"/>
      <c r="H16" s="678"/>
      <c r="I16" s="678"/>
      <c r="J16" s="678"/>
      <c r="K16" s="678"/>
      <c r="L16" s="686"/>
      <c r="M16" s="272"/>
      <c r="N16" s="733"/>
      <c r="O16" s="272"/>
      <c r="P16" s="686"/>
      <c r="Q16" s="272"/>
      <c r="R16" s="682"/>
      <c r="S16" s="682"/>
      <c r="T16" s="682"/>
      <c r="U16" s="682"/>
      <c r="V16" s="685"/>
      <c r="W16" s="685"/>
      <c r="X16" s="685"/>
      <c r="Y16" s="685"/>
      <c r="Z16" s="685"/>
      <c r="AA16" s="695"/>
      <c r="AB16" s="1894"/>
    </row>
    <row r="17" spans="1:28" ht="20.25" outlineLevel="1" x14ac:dyDescent="0.2">
      <c r="A17" s="748"/>
      <c r="B17" s="689"/>
      <c r="C17" s="678"/>
      <c r="D17" s="678"/>
      <c r="E17" s="681"/>
      <c r="F17" s="678"/>
      <c r="G17" s="395"/>
      <c r="H17" s="678"/>
      <c r="I17" s="678"/>
      <c r="J17" s="678"/>
      <c r="K17" s="678"/>
      <c r="L17" s="686"/>
      <c r="M17" s="272"/>
      <c r="N17" s="733"/>
      <c r="O17" s="272"/>
      <c r="P17" s="686"/>
      <c r="Q17" s="272"/>
      <c r="R17" s="682"/>
      <c r="S17" s="682"/>
      <c r="T17" s="682"/>
      <c r="U17" s="682"/>
      <c r="V17" s="685"/>
      <c r="W17" s="685"/>
      <c r="X17" s="685"/>
      <c r="Y17" s="685"/>
      <c r="Z17" s="685"/>
      <c r="AA17" s="695"/>
      <c r="AB17" s="1894"/>
    </row>
    <row r="18" spans="1:28" ht="20.25" outlineLevel="1" x14ac:dyDescent="0.2">
      <c r="A18" s="753"/>
      <c r="B18" s="689"/>
      <c r="C18" s="678"/>
      <c r="D18" s="678"/>
      <c r="E18" s="754"/>
      <c r="F18" s="678"/>
      <c r="G18" s="395"/>
      <c r="H18" s="678"/>
      <c r="I18" s="678"/>
      <c r="J18" s="678"/>
      <c r="K18" s="687"/>
      <c r="L18" s="686"/>
      <c r="M18" s="272"/>
      <c r="N18" s="733"/>
      <c r="O18" s="272"/>
      <c r="P18" s="686"/>
      <c r="Q18" s="682"/>
      <c r="R18" s="682"/>
      <c r="S18" s="682"/>
      <c r="T18" s="682"/>
      <c r="U18" s="682"/>
      <c r="V18" s="685"/>
      <c r="W18" s="685"/>
      <c r="X18" s="685"/>
      <c r="Y18" s="685"/>
      <c r="Z18" s="685"/>
      <c r="AA18" s="695"/>
      <c r="AB18" s="1894"/>
    </row>
    <row r="19" spans="1:28" ht="20.25" outlineLevel="1" x14ac:dyDescent="0.2">
      <c r="A19" s="748"/>
      <c r="B19" s="689"/>
      <c r="C19" s="678"/>
      <c r="D19" s="678"/>
      <c r="E19" s="754"/>
      <c r="F19" s="678"/>
      <c r="G19" s="395"/>
      <c r="H19" s="678"/>
      <c r="I19" s="678"/>
      <c r="J19" s="678"/>
      <c r="K19" s="678"/>
      <c r="L19" s="686"/>
      <c r="M19" s="272"/>
      <c r="N19" s="733"/>
      <c r="O19" s="272"/>
      <c r="P19" s="686"/>
      <c r="Q19" s="684"/>
      <c r="R19" s="682"/>
      <c r="S19" s="682"/>
      <c r="T19" s="682"/>
      <c r="U19" s="682"/>
      <c r="V19" s="685"/>
      <c r="W19" s="685"/>
      <c r="X19" s="685"/>
      <c r="Y19" s="685"/>
      <c r="Z19" s="685"/>
      <c r="AA19" s="750"/>
      <c r="AB19" s="1894"/>
    </row>
    <row r="20" spans="1:28" ht="20.25" outlineLevel="1" x14ac:dyDescent="0.2">
      <c r="A20" s="748"/>
      <c r="B20" s="689"/>
      <c r="C20" s="678"/>
      <c r="D20" s="678"/>
      <c r="E20" s="754"/>
      <c r="F20" s="678"/>
      <c r="G20" s="395"/>
      <c r="H20" s="678"/>
      <c r="I20" s="678"/>
      <c r="J20" s="678"/>
      <c r="K20" s="678"/>
      <c r="L20" s="686"/>
      <c r="M20" s="272"/>
      <c r="N20" s="733"/>
      <c r="O20" s="272"/>
      <c r="P20" s="686"/>
      <c r="Q20" s="684"/>
      <c r="R20" s="682"/>
      <c r="S20" s="682"/>
      <c r="T20" s="682"/>
      <c r="U20" s="682"/>
      <c r="V20" s="685"/>
      <c r="W20" s="685"/>
      <c r="X20" s="685"/>
      <c r="Y20" s="685"/>
      <c r="Z20" s="685"/>
      <c r="AA20" s="750"/>
      <c r="AB20" s="1894"/>
    </row>
    <row r="21" spans="1:28" ht="20.25" x14ac:dyDescent="0.2">
      <c r="A21" s="746"/>
      <c r="B21" s="688"/>
      <c r="C21" s="747"/>
      <c r="D21" s="681"/>
      <c r="E21" s="679"/>
      <c r="F21" s="682"/>
      <c r="G21" s="683" t="s">
        <v>1742</v>
      </c>
      <c r="H21" s="683" t="str">
        <f>IF(K21="","",SUBSTITUTE(MID(K21,1,SEARCH("!",K21,1)-1),"'",""))</f>
        <v/>
      </c>
      <c r="I21" s="683" t="str">
        <f ca="1">IF(K21="","",CELL("ligne",INDIRECT(K21)))</f>
        <v/>
      </c>
      <c r="J21" s="683" t="str">
        <f ca="1">IF(K21="","",CELL("colonne",INDIRECT(K21)))</f>
        <v/>
      </c>
      <c r="K21" s="683" t="str">
        <f>MID(Lire_Formule(L21),2,10000)</f>
        <v/>
      </c>
      <c r="L21" s="691"/>
      <c r="M21" s="731"/>
      <c r="N21" s="678" t="s">
        <v>769</v>
      </c>
      <c r="O21" s="732"/>
      <c r="P21" s="691"/>
      <c r="Q21" s="684"/>
      <c r="R21" s="682"/>
      <c r="S21" s="682"/>
      <c r="T21" s="682"/>
      <c r="U21" s="682"/>
      <c r="V21" s="685" t="str">
        <f>L21&amp;A21</f>
        <v/>
      </c>
      <c r="W21" s="685" t="str">
        <f>P21&amp;A21</f>
        <v/>
      </c>
      <c r="X21" s="685">
        <f t="shared" ref="X21:X27" si="2">IF(L21="",0,COUNTIF(PlayersAndHoursCol1,L21&amp;$A21)+COUNTIF(PlayersAndHoursCol2,L21&amp;$A21))</f>
        <v>0</v>
      </c>
      <c r="Y21" s="685">
        <f t="shared" ref="Y21:Y27" si="3">IF(P21="",0,COUNTIF(PlayersAndHoursCol1,P21&amp;$A21)+COUNTIF(PlayersAndHoursCol2,P21&amp;$A21))</f>
        <v>0</v>
      </c>
      <c r="Z21" s="755" t="b">
        <f>IF(AA21="",FALSE,NOT(AND(ISNA(MATCH(AA21&amp;A21,PlayersAndHoursCol1,0)),ISNA(MATCH(AA21&amp;A21,PlayersAndHoursCol2,0)),COUNTIF(#REF!,AA21&amp;A21)&lt;=1)))</f>
        <v>0</v>
      </c>
      <c r="AA21" s="739"/>
      <c r="AB21" s="1287"/>
    </row>
    <row r="22" spans="1:28" ht="20.25" outlineLevel="1" x14ac:dyDescent="0.2">
      <c r="A22" s="756">
        <f>A21</f>
        <v>0</v>
      </c>
      <c r="B22" s="689"/>
      <c r="C22" s="393"/>
      <c r="D22" s="393"/>
      <c r="E22" s="327"/>
      <c r="F22" s="393"/>
      <c r="G22" s="395" t="str">
        <f>G21&amp;1</f>
        <v>TG1</v>
      </c>
      <c r="H22" s="393"/>
      <c r="I22" s="393"/>
      <c r="J22" s="393"/>
      <c r="K22" s="393"/>
      <c r="L22" s="398"/>
      <c r="M22" s="10"/>
      <c r="N22" s="734" t="s">
        <v>769</v>
      </c>
      <c r="O22" s="10"/>
      <c r="P22" s="398"/>
      <c r="Q22" s="397"/>
      <c r="R22" s="397"/>
      <c r="S22" s="397"/>
      <c r="T22" s="397"/>
      <c r="U22" s="397"/>
      <c r="V22" s="362" t="str">
        <f>L22&amp;A21</f>
        <v/>
      </c>
      <c r="W22" s="362" t="str">
        <f>P22&amp;A21</f>
        <v/>
      </c>
      <c r="X22" s="362">
        <f t="shared" si="2"/>
        <v>0</v>
      </c>
      <c r="Y22" s="362">
        <f t="shared" si="3"/>
        <v>0</v>
      </c>
      <c r="Z22" s="362" t="b">
        <f>IF(AA22="",FALSE,NOT(AND(ISNA(MATCH(AA22&amp;A21,PlayersAndHoursCol1,0)),ISNA(MATCH(AA22&amp;A21,PlayersAndHoursCol2,0)))))</f>
        <v>0</v>
      </c>
      <c r="AA22" s="737"/>
      <c r="AB22" s="1287"/>
    </row>
    <row r="23" spans="1:28" ht="20.25" outlineLevel="1" x14ac:dyDescent="0.2">
      <c r="A23" s="756">
        <f>A22</f>
        <v>0</v>
      </c>
      <c r="B23" s="689"/>
      <c r="C23" s="393"/>
      <c r="D23" s="393"/>
      <c r="E23" s="327"/>
      <c r="F23" s="393"/>
      <c r="G23" s="395" t="str">
        <f>G21&amp;2</f>
        <v>TG2</v>
      </c>
      <c r="H23" s="393"/>
      <c r="I23" s="393"/>
      <c r="J23" s="393"/>
      <c r="K23" s="393"/>
      <c r="L23" s="398"/>
      <c r="M23" s="10"/>
      <c r="N23" s="734" t="s">
        <v>769</v>
      </c>
      <c r="O23" s="10"/>
      <c r="P23" s="398"/>
      <c r="Q23" s="397"/>
      <c r="R23" s="397"/>
      <c r="S23" s="397"/>
      <c r="T23" s="397"/>
      <c r="U23" s="397"/>
      <c r="V23" s="362" t="str">
        <f>L23&amp;A21</f>
        <v/>
      </c>
      <c r="W23" s="362" t="str">
        <f>P23&amp;A21</f>
        <v/>
      </c>
      <c r="X23" s="362">
        <f t="shared" si="2"/>
        <v>0</v>
      </c>
      <c r="Y23" s="362">
        <f t="shared" si="3"/>
        <v>0</v>
      </c>
      <c r="Z23" s="362" t="b">
        <f>IF(AA23="",FALSE,NOT(AND(ISNA(MATCH(AA23&amp;A21,PlayersAndHoursCol1,0)),ISNA(MATCH(AA23&amp;A21,PlayersAndHoursCol2,0)))))</f>
        <v>0</v>
      </c>
      <c r="AA23" s="737"/>
      <c r="AB23" s="1287"/>
    </row>
    <row r="24" spans="1:28" ht="20.25" x14ac:dyDescent="0.2">
      <c r="A24" s="746"/>
      <c r="B24" s="688"/>
      <c r="C24" s="747"/>
      <c r="D24" s="681"/>
      <c r="E24" s="721"/>
      <c r="F24" s="682"/>
      <c r="G24" s="683" t="s">
        <v>1743</v>
      </c>
      <c r="H24" s="683" t="str">
        <f>IF(K24="","",SUBSTITUTE(MID(K24,1,SEARCH("!",K24,1)-1),"'",""))</f>
        <v/>
      </c>
      <c r="I24" s="683" t="str">
        <f ca="1">IF(K24="","",CELL("ligne",INDIRECT(K24)))</f>
        <v/>
      </c>
      <c r="J24" s="683" t="str">
        <f ca="1">IF(K24="","",CELL("colonne",INDIRECT(K24)))</f>
        <v/>
      </c>
      <c r="K24" s="683" t="str">
        <f>MID(Lire_Formule(L24),2,10000)</f>
        <v/>
      </c>
      <c r="L24" s="691"/>
      <c r="M24" s="731"/>
      <c r="N24" s="678"/>
      <c r="O24" s="732"/>
      <c r="P24" s="691"/>
      <c r="Q24" s="684"/>
      <c r="R24" s="682"/>
      <c r="S24" s="682"/>
      <c r="T24" s="682"/>
      <c r="U24" s="682"/>
      <c r="V24" s="685" t="str">
        <f>L24&amp;A24</f>
        <v/>
      </c>
      <c r="W24" s="685" t="str">
        <f>P24&amp;A24</f>
        <v/>
      </c>
      <c r="X24" s="685">
        <f t="shared" si="2"/>
        <v>0</v>
      </c>
      <c r="Y24" s="685">
        <f t="shared" si="3"/>
        <v>0</v>
      </c>
      <c r="Z24" s="685" t="b">
        <f>IF(AA24="",FALSE,NOT(AND(ISNA(MATCH(AA24&amp;A24,PlayersAndHoursCol1,0)),ISNA(MATCH(AA24&amp;A24,PlayersAndHoursCol2,0)),COUNTIF(#REF!,AA24&amp;A24)&lt;=1)))</f>
        <v>0</v>
      </c>
      <c r="AA24" s="739"/>
      <c r="AB24" s="1287"/>
    </row>
    <row r="25" spans="1:28" ht="20.25" outlineLevel="1" x14ac:dyDescent="0.2">
      <c r="A25" s="756">
        <f>A24</f>
        <v>0</v>
      </c>
      <c r="B25" s="689"/>
      <c r="C25" s="393"/>
      <c r="D25" s="393"/>
      <c r="E25" s="327"/>
      <c r="F25" s="393"/>
      <c r="G25" s="395" t="str">
        <f>G24&amp;1</f>
        <v>TE1</v>
      </c>
      <c r="H25" s="393"/>
      <c r="I25" s="393"/>
      <c r="J25" s="393"/>
      <c r="K25" s="393"/>
      <c r="L25" s="398"/>
      <c r="M25" s="10"/>
      <c r="N25" s="734" t="s">
        <v>769</v>
      </c>
      <c r="O25" s="10"/>
      <c r="P25" s="398"/>
      <c r="Q25" s="10"/>
      <c r="R25" s="397"/>
      <c r="S25" s="397"/>
      <c r="T25" s="397"/>
      <c r="U25" s="397"/>
      <c r="V25" s="362" t="str">
        <f>L25&amp;A24</f>
        <v/>
      </c>
      <c r="W25" s="362" t="str">
        <f>P25&amp;A24</f>
        <v/>
      </c>
      <c r="X25" s="362">
        <f t="shared" si="2"/>
        <v>0</v>
      </c>
      <c r="Y25" s="362">
        <f t="shared" si="3"/>
        <v>0</v>
      </c>
      <c r="Z25" s="362" t="b">
        <f>IF(AA25="",FALSE,NOT(AND(ISNA(MATCH(AA25&amp;A24,PlayersAndHoursCol1,0)),ISNA(MATCH(AA25&amp;A24,PlayersAndHoursCol2,0)))))</f>
        <v>0</v>
      </c>
      <c r="AA25" s="737"/>
      <c r="AB25" s="1287"/>
    </row>
    <row r="26" spans="1:28" ht="20.25" outlineLevel="1" x14ac:dyDescent="0.2">
      <c r="A26" s="756">
        <f>A25</f>
        <v>0</v>
      </c>
      <c r="B26" s="689"/>
      <c r="C26" s="393"/>
      <c r="D26" s="393"/>
      <c r="E26" s="327"/>
      <c r="F26" s="393"/>
      <c r="G26" s="395" t="str">
        <f>G24&amp;2</f>
        <v>TE2</v>
      </c>
      <c r="H26" s="393"/>
      <c r="I26" s="393"/>
      <c r="J26" s="393"/>
      <c r="K26" s="393"/>
      <c r="L26" s="735"/>
      <c r="M26" s="736"/>
      <c r="N26" s="734" t="s">
        <v>769</v>
      </c>
      <c r="O26" s="736"/>
      <c r="P26" s="735"/>
      <c r="Q26" s="10"/>
      <c r="R26" s="397"/>
      <c r="S26" s="397"/>
      <c r="T26" s="397"/>
      <c r="U26" s="397"/>
      <c r="V26" s="362" t="str">
        <f>L26&amp;A24</f>
        <v/>
      </c>
      <c r="W26" s="362" t="str">
        <f>P26&amp;A24</f>
        <v/>
      </c>
      <c r="X26" s="362">
        <f t="shared" si="2"/>
        <v>0</v>
      </c>
      <c r="Y26" s="362">
        <f t="shared" si="3"/>
        <v>0</v>
      </c>
      <c r="Z26" s="362" t="b">
        <f>IF(AA26="",FALSE,NOT(AND(ISNA(MATCH(AA26&amp;A24,PlayersAndHoursCol1,0)),ISNA(MATCH(AA26&amp;A24,PlayersAndHoursCol2,0)))))</f>
        <v>0</v>
      </c>
      <c r="AA26" s="737"/>
      <c r="AB26" s="1287"/>
    </row>
    <row r="27" spans="1:28" ht="20.25" outlineLevel="1" x14ac:dyDescent="0.2">
      <c r="A27" s="756">
        <f>A26</f>
        <v>0</v>
      </c>
      <c r="B27" s="689"/>
      <c r="C27" s="393"/>
      <c r="D27" s="393"/>
      <c r="E27" s="754" t="str">
        <f>N_Différentiel</f>
        <v>Différentiel</v>
      </c>
      <c r="F27" s="393"/>
      <c r="G27" s="395" t="str">
        <f>G24&amp;3</f>
        <v>TE3</v>
      </c>
      <c r="H27" s="393"/>
      <c r="I27" s="393"/>
      <c r="J27" s="393"/>
      <c r="K27" s="396"/>
      <c r="L27" s="398"/>
      <c r="M27" s="10"/>
      <c r="N27" s="394" t="s">
        <v>769</v>
      </c>
      <c r="O27" s="10"/>
      <c r="P27" s="398"/>
      <c r="Q27" s="397"/>
      <c r="R27" s="397"/>
      <c r="S27" s="397"/>
      <c r="T27" s="397"/>
      <c r="U27" s="397"/>
      <c r="V27" s="362" t="str">
        <f>L27&amp;A24</f>
        <v/>
      </c>
      <c r="W27" s="362" t="str">
        <f>P27&amp;A24</f>
        <v/>
      </c>
      <c r="X27" s="362">
        <f t="shared" si="2"/>
        <v>0</v>
      </c>
      <c r="Y27" s="362">
        <f t="shared" si="3"/>
        <v>0</v>
      </c>
      <c r="Z27" s="362" t="b">
        <f>IF(AA27="",FALSE,NOT(AND(ISNA(MATCH(AA27&amp;A24,PlayersAndHoursCol1,0)),ISNA(MATCH(AA27&amp;A24,PlayersAndHoursCol2,0)))))</f>
        <v>0</v>
      </c>
      <c r="AA27" s="738"/>
      <c r="AB27" s="1287"/>
    </row>
    <row r="28" spans="1:28" ht="13.5" thickBot="1" x14ac:dyDescent="0.25">
      <c r="A28" s="729"/>
      <c r="B28" s="678"/>
      <c r="C28" s="678"/>
      <c r="D28" s="678"/>
      <c r="E28" s="678"/>
      <c r="F28" s="725"/>
      <c r="G28" s="725"/>
      <c r="H28" s="725"/>
      <c r="I28" s="725"/>
      <c r="J28" s="725"/>
      <c r="K28" s="725"/>
      <c r="L28" s="726"/>
      <c r="M28" s="726"/>
      <c r="N28" s="726"/>
      <c r="O28" s="726"/>
      <c r="P28" s="726"/>
      <c r="Q28" s="726"/>
      <c r="R28" s="726"/>
      <c r="S28" s="726"/>
      <c r="T28" s="726"/>
      <c r="U28" s="726"/>
      <c r="V28" s="726"/>
      <c r="W28" s="726"/>
      <c r="X28" s="726"/>
      <c r="Y28" s="726"/>
      <c r="Z28" s="726"/>
      <c r="AA28" s="730"/>
      <c r="AB28" s="629"/>
    </row>
    <row r="29" spans="1:28" ht="13.5" customHeight="1" thickBot="1" x14ac:dyDescent="0.25">
      <c r="A29" s="2331"/>
      <c r="B29" s="2332"/>
      <c r="C29" s="2332"/>
      <c r="D29" s="2332"/>
      <c r="E29" s="2332"/>
      <c r="F29" s="2332"/>
      <c r="G29" s="2332"/>
      <c r="H29" s="2332"/>
      <c r="I29" s="2332"/>
      <c r="J29" s="2332"/>
      <c r="K29" s="2332"/>
      <c r="L29" s="2332"/>
      <c r="M29" s="2332"/>
      <c r="N29" s="2332"/>
      <c r="O29" s="2332"/>
      <c r="P29" s="2332"/>
      <c r="Q29" s="2332"/>
      <c r="R29" s="2332"/>
      <c r="S29" s="2332"/>
      <c r="T29" s="2332"/>
      <c r="U29" s="2332"/>
      <c r="V29" s="2332"/>
      <c r="W29" s="2332"/>
      <c r="X29" s="2332"/>
      <c r="Y29" s="2332"/>
      <c r="Z29" s="2332"/>
      <c r="AA29" s="2333"/>
      <c r="AB29" s="436"/>
    </row>
    <row r="30" spans="1:28" ht="13.5" customHeight="1" thickBot="1" x14ac:dyDescent="0.25">
      <c r="A30" s="2334"/>
      <c r="B30" s="2335"/>
      <c r="C30" s="2335"/>
      <c r="D30" s="2335"/>
      <c r="E30" s="2335"/>
      <c r="F30" s="2335"/>
      <c r="G30" s="2335"/>
      <c r="H30" s="2335"/>
      <c r="I30" s="2335"/>
      <c r="J30" s="2335"/>
      <c r="K30" s="2335"/>
      <c r="L30" s="2335"/>
      <c r="M30" s="2335"/>
      <c r="N30" s="2335"/>
      <c r="O30" s="2335"/>
      <c r="P30" s="2335"/>
      <c r="Q30" s="2335"/>
      <c r="R30" s="2335"/>
      <c r="S30" s="2335"/>
      <c r="T30" s="2335"/>
      <c r="U30" s="2335"/>
      <c r="V30" s="2335"/>
      <c r="W30" s="2335"/>
      <c r="X30" s="2335"/>
      <c r="Y30" s="2335"/>
      <c r="Z30" s="2335"/>
      <c r="AA30" s="2336"/>
      <c r="AB30" s="436"/>
    </row>
    <row r="31" spans="1:28" ht="13.5" thickTop="1" x14ac:dyDescent="0.2">
      <c r="A31" s="1495"/>
      <c r="B31"/>
      <c r="C31"/>
      <c r="D31" s="14"/>
      <c r="E31" s="14"/>
      <c r="F31"/>
      <c r="G31"/>
      <c r="H31" s="14"/>
      <c r="I31"/>
      <c r="J31"/>
      <c r="K31"/>
      <c r="L31"/>
      <c r="M31"/>
      <c r="N31"/>
      <c r="O31"/>
      <c r="P31"/>
      <c r="Q31"/>
      <c r="R31"/>
      <c r="S31"/>
      <c r="T31"/>
      <c r="U31"/>
      <c r="V31"/>
      <c r="W31"/>
      <c r="X31"/>
      <c r="Y31"/>
      <c r="Z31"/>
      <c r="AA31"/>
      <c r="AB31"/>
    </row>
  </sheetData>
  <sheetProtection sheet="1" objects="1" scenarios="1" formatColumns="0" formatRows="0" selectLockedCells="1"/>
  <dataConsolidate/>
  <customSheetViews>
    <customSheetView guid="{13F24B0A-7740-483A-BEF7-5257F8522605}" showGridLines="0" hiddenColumns="1" state="hidden">
      <pane ySplit="2" topLeftCell="A3" activePane="bottomLeft" state="frozen"/>
      <selection pane="bottomLeft" activeCell="AF14" sqref="AF14"/>
      <pageMargins left="0.23622047244094491" right="0.23622047244094491" top="0.86614173228346458" bottom="0.59055118110236227" header="0.31496062992125984" footer="0.31496062992125984"/>
      <printOptions horizontalCentered="1"/>
      <pageSetup paperSize="9" fitToHeight="3" orientation="landscape" r:id="rId1"/>
      <headerFooter alignWithMargins="0">
        <oddHeader>&amp;C&amp;24PLANNING</oddHeader>
        <oddFooter>&amp;C&amp;P / &amp;N</oddFooter>
      </headerFooter>
    </customSheetView>
  </customSheetViews>
  <mergeCells count="4">
    <mergeCell ref="A29:AA29"/>
    <mergeCell ref="A30:AA30"/>
    <mergeCell ref="R2:T2"/>
    <mergeCell ref="M2:O2"/>
  </mergeCells>
  <conditionalFormatting sqref="M22 O22">
    <cfRule type="expression" dxfId="98" priority="28" stopIfTrue="1">
      <formula>$AB21="V"</formula>
    </cfRule>
  </conditionalFormatting>
  <conditionalFormatting sqref="M25:M27 O23 M23 O25:O27">
    <cfRule type="expression" dxfId="97" priority="27" stopIfTrue="1">
      <formula>$AB21="V"</formula>
    </cfRule>
  </conditionalFormatting>
  <conditionalFormatting sqref="AA22:AA23 AA25:AA27">
    <cfRule type="expression" dxfId="96" priority="22" stopIfTrue="1">
      <formula>Z22</formula>
    </cfRule>
  </conditionalFormatting>
  <conditionalFormatting sqref="E22">
    <cfRule type="expression" dxfId="95" priority="17" stopIfTrue="1">
      <formula>$AB21="V"</formula>
    </cfRule>
  </conditionalFormatting>
  <conditionalFormatting sqref="E23 E25:E26">
    <cfRule type="expression" dxfId="94" priority="16" stopIfTrue="1">
      <formula>$AB21="V"</formula>
    </cfRule>
  </conditionalFormatting>
  <conditionalFormatting sqref="Q25 M25 O25">
    <cfRule type="expression" dxfId="93" priority="14" stopIfTrue="1">
      <formula>$AB24="V"</formula>
    </cfRule>
  </conditionalFormatting>
  <conditionalFormatting sqref="Q26 M26 O26">
    <cfRule type="expression" dxfId="92" priority="13" stopIfTrue="1">
      <formula>$AB24="V"</formula>
    </cfRule>
  </conditionalFormatting>
  <conditionalFormatting sqref="O27 M27">
    <cfRule type="expression" dxfId="91" priority="12" stopIfTrue="1">
      <formula>$AB24="V"</formula>
    </cfRule>
  </conditionalFormatting>
  <conditionalFormatting sqref="AA25:AA27">
    <cfRule type="expression" dxfId="90" priority="7" stopIfTrue="1">
      <formula>Z25</formula>
    </cfRule>
  </conditionalFormatting>
  <conditionalFormatting sqref="E25">
    <cfRule type="expression" dxfId="89" priority="2" stopIfTrue="1">
      <formula>$AB24="V"</formula>
    </cfRule>
  </conditionalFormatting>
  <conditionalFormatting sqref="E26">
    <cfRule type="expression" dxfId="88" priority="1" stopIfTrue="1">
      <formula>$AB24="V"</formula>
    </cfRule>
  </conditionalFormatting>
  <dataValidations count="14">
    <dataValidation type="whole" allowBlank="1" showInputMessage="1" showErrorMessage="1" errorTitle="Erreur de saisie" error="Vous devez tapez un nombre entier entre 0 et 100" sqref="M25:M27 M7:M10 M22:M23 O22:O23 O14:O18 M14:M18 O7:O10 O25:O27" xr:uid="{00000000-0002-0000-1000-000000000000}">
      <formula1>0</formula1>
      <formula2>100</formula2>
    </dataValidation>
    <dataValidation type="list" allowBlank="1" showInputMessage="1" showErrorMessage="1" sqref="AA22" xr:uid="{00000000-0002-0000-1000-000001000000}">
      <formula1>OFFSET(Liste_Doubles,MATCH(AA21,Liste_Doubles,0)-1,1,1,OFFSET(Liste_Nb_Equipiers_Doubles,MATCH(AA21,Liste_Doubles,0)-1,0,1,1))</formula1>
    </dataValidation>
    <dataValidation type="list" allowBlank="1" showInputMessage="1" sqref="P23 L23 AA23 AA26 P26 L26" xr:uid="{00000000-0002-0000-1000-000002000000}">
      <formula1>OFFSET(Liste_Doubles,MATCH(L21,Liste_Doubles,0)-1,1,1,OFFSET(Liste_Nb_Equipiers_Doubles,MATCH(L21,Liste_Doubles,0)-1,0,1,1))</formula1>
    </dataValidation>
    <dataValidation type="list" allowBlank="1" showInputMessage="1" sqref="P22 L22 AA25 P25 L25" xr:uid="{00000000-0002-0000-1000-000003000000}">
      <formula1>OFFSET(Liste_Doubles,MATCH(L21,Liste_Doubles,0)-1,1,1,OFFSET(Liste_Nb_Equipiers_Doubles,MATCH(L21,Liste_Doubles,0)-1,0,1,1))</formula1>
    </dataValidation>
    <dataValidation type="list" allowBlank="1" showInputMessage="1" sqref="P27 L27 AA27" xr:uid="{00000000-0002-0000-1000-000004000000}">
      <formula1>OFFSET(Liste_Doubles,MATCH(L24,Liste_Doubles,0)-1,1,1,OFFSET(Liste_Nb_Equipiers_Doubles,MATCH(L24,Liste_Doubles,0)-1,0,1,1))</formula1>
    </dataValidation>
    <dataValidation type="list" allowBlank="1" showInputMessage="1" showErrorMessage="1" sqref="Q25:Q26 Q5 Q14:Q17" xr:uid="{00000000-0002-0000-1000-000005000000}">
      <formula1>"x"</formula1>
    </dataValidation>
    <dataValidation type="list" allowBlank="1" showInputMessage="1" showErrorMessage="1" errorTitle="Erreur de saisie" error="Vous devez tapez un nombre entier entre 0 et 100" sqref="M11:M12 O19:O20 M19:M20 O11:O12" xr:uid="{00000000-0002-0000-1000-000006000000}">
      <formula1>Substitute_Codes</formula1>
    </dataValidation>
    <dataValidation type="list" allowBlank="1" showInputMessage="1" sqref="L8 P8 AA8 L15 P15 AA15" xr:uid="{00000000-0002-0000-1000-000007000000}">
      <formula1>OFFSET(Liste_Equipes,MATCH(L6,Liste_Equipes,0)-1,1,1,OFFSET(Liste_Nb_Equipiers,MATCH(L6,Liste_Equipes,0)-1,0,1,1))</formula1>
    </dataValidation>
    <dataValidation type="list" allowBlank="1" showInputMessage="1" sqref="L7 P7 AA7 L14 P14 AA14" xr:uid="{00000000-0002-0000-1000-000008000000}">
      <formula1>OFFSET(Liste_Equipes,MATCH(L6,Liste_Equipes,0)-1,1,1,OFFSET(Liste_Nb_Equipiers,MATCH(L6,Liste_Equipes,0)-1,0,1,1))</formula1>
    </dataValidation>
    <dataValidation type="list" allowBlank="1" showInputMessage="1" sqref="L9 P9 AA9 L16 P16 AA16" xr:uid="{00000000-0002-0000-1000-000009000000}">
      <formula1>OFFSET(Liste_Equipes,MATCH(L6,Liste_Equipes,0)-1,1,1,OFFSET(Liste_Nb_Equipiers,MATCH(L6,Liste_Equipes,0)-1,0,1,1))</formula1>
    </dataValidation>
    <dataValidation type="list" allowBlank="1" showInputMessage="1" sqref="L10 P10 AA10 L17 P17 AA17" xr:uid="{00000000-0002-0000-1000-00000A000000}">
      <formula1>OFFSET(Liste_Equipes,MATCH(L6,Liste_Equipes,0)-1,1,1,OFFSET(Liste_Nb_Equipiers,MATCH(L6,Liste_Equipes,0)-1,0,1,1))</formula1>
    </dataValidation>
    <dataValidation type="list" allowBlank="1" showInputMessage="1" sqref="L11 P11 L18 P18 AA18" xr:uid="{00000000-0002-0000-1000-00000B000000}">
      <formula1>OFFSET(Liste_Equipes,MATCH(L6,Liste_Equipes,0)-1,1,1,OFFSET(Liste_Nb_Equipiers,MATCH(L6,Liste_Equipes,0)-1,0,1,1))</formula1>
    </dataValidation>
    <dataValidation type="list" allowBlank="1" showInputMessage="1" sqref="L12 P12 L19 P19" xr:uid="{00000000-0002-0000-1000-00000C000000}">
      <formula1>OFFSET(Liste_Equipes,MATCH(L6,Liste_Equipes,0)-1,1,1,OFFSET(Liste_Nb_Equipiers,MATCH(L6,Liste_Equipes,0)-1,0,1,1))</formula1>
    </dataValidation>
    <dataValidation type="list" allowBlank="1" showInputMessage="1" sqref="L20 P20" xr:uid="{00000000-0002-0000-1000-00000D000000}">
      <formula1>OFFSET(Liste_Equipes,MATCH(L13,Liste_Equipes,0)-1,1,1,OFFSET(Liste_Nb_Equipiers,MATCH(L13,Liste_Equipes,0)-1,0,1,1))</formula1>
    </dataValidation>
  </dataValidations>
  <printOptions horizontalCentered="1"/>
  <pageMargins left="0.23622047244094491" right="0.23622047244094491" top="0.86614173228346458" bottom="0.59055118110236227" header="0.31496062992125984" footer="0.31496062992125984"/>
  <pageSetup paperSize="9" fitToHeight="3" orientation="landscape" r:id="rId2"/>
  <headerFooter alignWithMargins="0">
    <oddHeader>&amp;C&amp;24PLANNING</oddHeader>
    <oddFooter>&amp;C&amp;P /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t_ExportPlanning">
    <tabColor theme="0" tint="-0.249977111117893"/>
    <outlinePr summaryBelow="0"/>
  </sheetPr>
  <dimension ref="A2:M35"/>
  <sheetViews>
    <sheetView showGridLines="0" workbookViewId="0">
      <selection activeCell="N30" sqref="N30"/>
    </sheetView>
  </sheetViews>
  <sheetFormatPr baseColWidth="10" defaultColWidth="11.42578125" defaultRowHeight="12.75" x14ac:dyDescent="0.2"/>
  <cols>
    <col min="1" max="1" width="8.85546875" customWidth="1"/>
    <col min="2" max="2" width="8.140625" style="13" bestFit="1" customWidth="1"/>
    <col min="3" max="3" width="9.5703125" style="13" customWidth="1"/>
    <col min="4" max="6" width="8.140625" style="13" hidden="1" customWidth="1"/>
    <col min="7" max="7" width="10.140625" customWidth="1"/>
    <col min="8" max="8" width="11" bestFit="1" customWidth="1"/>
    <col min="9" max="9" width="29.28515625" style="14" customWidth="1"/>
    <col min="10" max="10" width="1.5703125" bestFit="1" customWidth="1"/>
    <col min="11" max="11" width="29.28515625" customWidth="1"/>
    <col min="12" max="12" width="28.7109375" style="15" customWidth="1"/>
    <col min="13" max="13" width="11.42578125" customWidth="1"/>
    <col min="14" max="14" width="7.28515625" customWidth="1"/>
    <col min="15" max="15" width="9.7109375" customWidth="1"/>
  </cols>
  <sheetData>
    <row r="2" spans="1:13" ht="20.25" x14ac:dyDescent="0.3">
      <c r="H2" s="1289"/>
      <c r="I2" s="1290"/>
      <c r="J2" s="1289"/>
      <c r="K2" s="1289"/>
    </row>
    <row r="3" spans="1:13" ht="20.25" x14ac:dyDescent="0.3">
      <c r="H3" s="1289"/>
      <c r="I3" s="1290"/>
      <c r="J3" s="1289"/>
      <c r="K3" s="1289"/>
    </row>
    <row r="4" spans="1:13" ht="90.75" thickBot="1" x14ac:dyDescent="1.2">
      <c r="B4" s="1308"/>
      <c r="C4" s="1308"/>
      <c r="D4" s="1308"/>
      <c r="E4" s="1308"/>
      <c r="F4" s="1308"/>
      <c r="G4" s="1309" t="str">
        <f>Tournament_Title &amp; " Timetable"</f>
        <v>&lt;FEDERATION&gt; &lt;Event Name&gt;&lt;YYYY&gt; - &lt;Location&gt; - &lt;Individuals/Teams&gt; Competition Timetable</v>
      </c>
      <c r="H4" s="1309"/>
      <c r="I4" s="1309"/>
      <c r="J4" s="1309"/>
      <c r="K4" s="1309"/>
      <c r="L4" s="1308"/>
      <c r="M4" s="1291"/>
    </row>
    <row r="5" spans="1:13" ht="13.5" thickBot="1" x14ac:dyDescent="0.25">
      <c r="A5" s="1288" t="str">
        <f>N_Row</f>
        <v>Série</v>
      </c>
      <c r="B5" s="1288" t="str">
        <f>N_Heure</f>
        <v>Heure</v>
      </c>
      <c r="C5" s="1288" t="str">
        <f>N_Category</f>
        <v>Catégorie</v>
      </c>
      <c r="D5" s="1288" t="str">
        <f>N_Stade_Epreuve</f>
        <v>Stade</v>
      </c>
      <c r="E5" s="1288" t="str">
        <f>N_Group</f>
        <v>Poule</v>
      </c>
      <c r="F5" s="1288" t="str">
        <f>N_Round</f>
        <v>Tr</v>
      </c>
      <c r="G5" s="1288" t="str">
        <f>N_Round</f>
        <v>Tr</v>
      </c>
      <c r="H5" s="1288" t="str">
        <f>N_N__de_table</f>
        <v>N° de table</v>
      </c>
      <c r="I5" s="1310" t="str">
        <f>N_Player1</f>
        <v>Joueur N° 1</v>
      </c>
      <c r="J5" s="1306" t="s">
        <v>769</v>
      </c>
      <c r="K5" s="1311" t="str">
        <f>N_Player2</f>
        <v>Joueur N° 2</v>
      </c>
      <c r="L5" s="1307" t="str">
        <f>N_Arbitre</f>
        <v>Arbitre</v>
      </c>
      <c r="M5" s="8"/>
    </row>
    <row r="6" spans="1:13" ht="16.5" thickBot="1" x14ac:dyDescent="0.3">
      <c r="A6" s="2141"/>
      <c r="B6" s="2142"/>
      <c r="C6" s="2218"/>
      <c r="D6" s="2143"/>
      <c r="E6" s="2143"/>
      <c r="F6" s="2143"/>
      <c r="G6" s="2144" t="str">
        <f ca="1">IF(GetStage="=N_Groups","G"&amp;E6&amp;"/R"&amp;F6,IF(LEFT(GetStage,6)="=N__1_","L"&amp;2*MID(GetStage,7,LEN(GetStage)-16),IF(GetStage="=N_BARRAGES","BR",IF(GetStage="=N_QUART_DE_FINALE", "QF",IF(GetStage="=N_DEMI_FINALE","SF",IF(GetStage="=N_FINALE","F",""))))))</f>
        <v/>
      </c>
      <c r="H6" s="2145"/>
      <c r="I6" s="2146"/>
      <c r="J6" s="2147" t="s">
        <v>769</v>
      </c>
      <c r="K6" s="2148"/>
      <c r="L6" s="2149"/>
      <c r="M6" s="2140"/>
    </row>
    <row r="7" spans="1:13" s="1301" customFormat="1" ht="6.75" thickBot="1" x14ac:dyDescent="0.2">
      <c r="A7" s="2343"/>
      <c r="B7" s="2344"/>
      <c r="C7" s="2344"/>
      <c r="D7" s="2344"/>
      <c r="E7" s="2344"/>
      <c r="F7" s="2344"/>
      <c r="G7" s="2344"/>
      <c r="H7" s="2344"/>
      <c r="I7" s="2344"/>
      <c r="J7" s="2344"/>
      <c r="K7" s="2344"/>
      <c r="L7" s="2345"/>
    </row>
    <row r="8" spans="1:13" s="436" customFormat="1" ht="12.75" customHeight="1" thickBot="1" x14ac:dyDescent="0.2">
      <c r="A8" s="2340"/>
      <c r="B8" s="2341"/>
      <c r="C8" s="2341"/>
      <c r="D8" s="2341"/>
      <c r="E8" s="2341"/>
      <c r="F8" s="2341"/>
      <c r="G8" s="2341"/>
      <c r="H8" s="2341"/>
      <c r="I8" s="2341"/>
      <c r="J8" s="2341"/>
      <c r="K8" s="2341"/>
      <c r="L8" s="2342"/>
    </row>
    <row r="11" spans="1:13" ht="13.5" thickBot="1" x14ac:dyDescent="0.25"/>
    <row r="12" spans="1:13" ht="26.25" thickBot="1" x14ac:dyDescent="0.25">
      <c r="B12" s="926" t="s">
        <v>3866</v>
      </c>
      <c r="C12" s="1298"/>
      <c r="D12" s="1298"/>
      <c r="E12" s="1298"/>
      <c r="F12" s="1298"/>
      <c r="G12" s="1298"/>
      <c r="H12" s="1298"/>
      <c r="I12" s="1299"/>
      <c r="J12" s="1298"/>
      <c r="K12" s="1299"/>
      <c r="L12" s="1300"/>
    </row>
    <row r="13" spans="1:13" x14ac:dyDescent="0.2">
      <c r="B13" s="1292" t="s">
        <v>3724</v>
      </c>
      <c r="C13" s="856"/>
      <c r="D13" s="856"/>
      <c r="E13" s="856"/>
      <c r="F13" s="856"/>
      <c r="G13" s="856"/>
      <c r="H13" s="856"/>
      <c r="I13" s="856"/>
      <c r="J13" s="856"/>
      <c r="K13" s="856"/>
      <c r="L13" s="858"/>
    </row>
    <row r="14" spans="1:13" x14ac:dyDescent="0.2">
      <c r="B14" s="1293" t="s">
        <v>3865</v>
      </c>
      <c r="C14" s="846"/>
      <c r="D14" s="846"/>
      <c r="E14" s="846"/>
      <c r="F14" s="846"/>
      <c r="G14" s="846"/>
      <c r="H14" s="846"/>
      <c r="I14" s="846"/>
      <c r="J14" s="846"/>
      <c r="K14" s="846"/>
      <c r="L14" s="861"/>
    </row>
    <row r="15" spans="1:13" x14ac:dyDescent="0.2">
      <c r="B15" s="1294"/>
      <c r="C15" s="846"/>
      <c r="D15" s="846"/>
      <c r="E15" s="846"/>
      <c r="F15" s="846"/>
      <c r="G15" s="846"/>
      <c r="H15" s="846"/>
      <c r="I15" s="862"/>
      <c r="J15" s="846"/>
      <c r="K15" s="862"/>
      <c r="L15" s="861"/>
    </row>
    <row r="16" spans="1:13" x14ac:dyDescent="0.2">
      <c r="B16" s="1295" t="s">
        <v>3795</v>
      </c>
      <c r="C16" s="846"/>
      <c r="D16" s="846"/>
      <c r="E16" s="846"/>
      <c r="F16" s="846"/>
      <c r="G16" s="846"/>
      <c r="H16" s="846"/>
      <c r="I16" s="846"/>
      <c r="J16" s="846"/>
      <c r="K16" s="846"/>
      <c r="L16" s="861"/>
    </row>
    <row r="17" spans="2:12" x14ac:dyDescent="0.2">
      <c r="B17" s="1294"/>
      <c r="C17" s="846"/>
      <c r="D17" s="846"/>
      <c r="E17" s="846"/>
      <c r="F17" s="846"/>
      <c r="G17" s="846"/>
      <c r="H17" s="846"/>
      <c r="I17" s="862"/>
      <c r="J17" s="846"/>
      <c r="K17" s="862"/>
      <c r="L17" s="861"/>
    </row>
    <row r="18" spans="2:12" x14ac:dyDescent="0.2">
      <c r="B18" s="1296" t="s">
        <v>3868</v>
      </c>
      <c r="C18" s="846"/>
      <c r="D18" s="846"/>
      <c r="E18" s="846"/>
      <c r="F18" s="846"/>
      <c r="G18" s="846"/>
      <c r="H18" s="846"/>
      <c r="I18" s="862" t="s">
        <v>3867</v>
      </c>
      <c r="J18" s="846"/>
      <c r="K18" s="862"/>
      <c r="L18" s="861"/>
    </row>
    <row r="19" spans="2:12" x14ac:dyDescent="0.2">
      <c r="B19" s="1296" t="s">
        <v>3875</v>
      </c>
      <c r="C19" s="846"/>
      <c r="D19" s="846"/>
      <c r="E19" s="846"/>
      <c r="F19" s="846"/>
      <c r="G19" s="846"/>
      <c r="H19" s="846"/>
      <c r="I19" s="862" t="s">
        <v>3876</v>
      </c>
      <c r="J19" s="846"/>
      <c r="K19" s="862"/>
      <c r="L19" s="861"/>
    </row>
    <row r="20" spans="2:12" x14ac:dyDescent="0.2">
      <c r="B20" s="1296" t="s">
        <v>3869</v>
      </c>
      <c r="C20" s="846"/>
      <c r="D20" s="846"/>
      <c r="E20" s="846"/>
      <c r="F20" s="846"/>
      <c r="G20" s="846"/>
      <c r="H20" s="846"/>
      <c r="I20" s="862" t="s">
        <v>3870</v>
      </c>
      <c r="J20" s="846"/>
      <c r="K20" s="862"/>
      <c r="L20" s="861"/>
    </row>
    <row r="21" spans="2:12" x14ac:dyDescent="0.2">
      <c r="B21" s="1296" t="s">
        <v>3871</v>
      </c>
      <c r="C21" s="846"/>
      <c r="D21" s="846"/>
      <c r="E21" s="846"/>
      <c r="F21" s="846"/>
      <c r="G21" s="846"/>
      <c r="H21" s="846"/>
      <c r="I21" s="862" t="s">
        <v>3872</v>
      </c>
      <c r="J21" s="846"/>
      <c r="K21" s="862"/>
      <c r="L21" s="861"/>
    </row>
    <row r="22" spans="2:12" x14ac:dyDescent="0.2">
      <c r="B22" s="1296" t="s">
        <v>3873</v>
      </c>
      <c r="C22" s="862"/>
      <c r="D22" s="862"/>
      <c r="E22" s="862"/>
      <c r="F22" s="862"/>
      <c r="G22" s="862"/>
      <c r="H22" s="862"/>
      <c r="I22" s="862" t="s">
        <v>3874</v>
      </c>
      <c r="J22" s="846"/>
      <c r="K22" s="862"/>
      <c r="L22" s="861"/>
    </row>
    <row r="23" spans="2:12" x14ac:dyDescent="0.2">
      <c r="B23" s="1296" t="s">
        <v>5500</v>
      </c>
      <c r="C23" s="846"/>
      <c r="D23" s="846"/>
      <c r="E23" s="846"/>
      <c r="F23" s="846"/>
      <c r="G23" s="846"/>
      <c r="H23" s="846"/>
      <c r="I23" s="862" t="s">
        <v>5499</v>
      </c>
      <c r="J23" s="846"/>
      <c r="K23" s="862"/>
      <c r="L23" s="861"/>
    </row>
    <row r="24" spans="2:12" x14ac:dyDescent="0.2">
      <c r="B24" s="1296" t="s">
        <v>3877</v>
      </c>
      <c r="C24" s="846"/>
      <c r="D24" s="846"/>
      <c r="E24" s="846"/>
      <c r="F24" s="846"/>
      <c r="G24" s="846"/>
      <c r="H24" s="846"/>
      <c r="I24" s="862" t="s">
        <v>5490</v>
      </c>
      <c r="J24" s="846"/>
      <c r="K24" s="862"/>
      <c r="L24" s="861"/>
    </row>
    <row r="25" spans="2:12" x14ac:dyDescent="0.2">
      <c r="B25" s="1296" t="s">
        <v>5501</v>
      </c>
      <c r="C25" s="846"/>
      <c r="D25" s="846"/>
      <c r="E25" s="846"/>
      <c r="F25" s="846"/>
      <c r="G25" s="846"/>
      <c r="H25" s="846"/>
      <c r="I25" s="862" t="s">
        <v>5502</v>
      </c>
      <c r="J25" s="846"/>
      <c r="K25" s="862"/>
      <c r="L25" s="861"/>
    </row>
    <row r="26" spans="2:12" x14ac:dyDescent="0.2">
      <c r="B26" s="1296" t="s">
        <v>3878</v>
      </c>
      <c r="C26" s="846"/>
      <c r="D26" s="846"/>
      <c r="E26" s="846"/>
      <c r="F26" s="846"/>
      <c r="G26" s="846"/>
      <c r="H26" s="846"/>
      <c r="I26" s="862" t="s">
        <v>5493</v>
      </c>
      <c r="J26" s="846"/>
      <c r="K26" s="862"/>
      <c r="L26" s="861"/>
    </row>
    <row r="27" spans="2:12" x14ac:dyDescent="0.2">
      <c r="B27" s="1296" t="s">
        <v>5491</v>
      </c>
      <c r="C27" s="846"/>
      <c r="D27" s="846"/>
      <c r="E27" s="846"/>
      <c r="F27" s="846"/>
      <c r="G27" s="846"/>
      <c r="H27" s="846"/>
      <c r="I27" s="862" t="s">
        <v>5494</v>
      </c>
      <c r="J27" s="846"/>
      <c r="K27" s="862"/>
      <c r="L27" s="861"/>
    </row>
    <row r="28" spans="2:12" x14ac:dyDescent="0.2">
      <c r="B28" s="1296" t="s">
        <v>5492</v>
      </c>
      <c r="C28" s="846"/>
      <c r="D28" s="846"/>
      <c r="E28" s="846"/>
      <c r="F28" s="846"/>
      <c r="G28" s="846"/>
      <c r="H28" s="846"/>
      <c r="I28" s="862" t="s">
        <v>5495</v>
      </c>
      <c r="J28" s="846"/>
      <c r="K28" s="862"/>
      <c r="L28" s="861"/>
    </row>
    <row r="29" spans="2:12" x14ac:dyDescent="0.2">
      <c r="B29" s="1296" t="s">
        <v>3879</v>
      </c>
      <c r="C29" s="846"/>
      <c r="D29" s="846"/>
      <c r="E29" s="846"/>
      <c r="F29" s="846"/>
      <c r="G29" s="846"/>
      <c r="H29" s="846"/>
      <c r="I29" s="862" t="s">
        <v>1542</v>
      </c>
      <c r="J29" s="846"/>
      <c r="K29" s="862"/>
      <c r="L29" s="861"/>
    </row>
    <row r="30" spans="2:12" x14ac:dyDescent="0.2">
      <c r="B30" s="1296" t="s">
        <v>3880</v>
      </c>
      <c r="C30" s="862"/>
      <c r="D30" s="862"/>
      <c r="E30" s="862"/>
      <c r="F30" s="862"/>
      <c r="G30" s="862"/>
      <c r="H30" s="862"/>
      <c r="I30" s="862" t="s">
        <v>5496</v>
      </c>
      <c r="J30" s="846"/>
      <c r="K30" s="862"/>
      <c r="L30" s="861"/>
    </row>
    <row r="31" spans="2:12" x14ac:dyDescent="0.2">
      <c r="B31" s="1296" t="s">
        <v>3882</v>
      </c>
      <c r="C31" s="862"/>
      <c r="D31" s="862"/>
      <c r="E31" s="862"/>
      <c r="F31" s="862"/>
      <c r="G31" s="862"/>
      <c r="H31" s="862"/>
      <c r="I31" s="862" t="s">
        <v>5497</v>
      </c>
      <c r="J31" s="846"/>
      <c r="K31" s="862"/>
      <c r="L31" s="861"/>
    </row>
    <row r="32" spans="2:12" x14ac:dyDescent="0.2">
      <c r="B32" s="1296" t="s">
        <v>3881</v>
      </c>
      <c r="C32" s="862"/>
      <c r="D32" s="862"/>
      <c r="E32" s="862"/>
      <c r="F32" s="862"/>
      <c r="G32" s="862"/>
      <c r="H32" s="862"/>
      <c r="I32" s="862" t="s">
        <v>5498</v>
      </c>
      <c r="J32" s="846"/>
      <c r="K32" s="862"/>
      <c r="L32" s="861"/>
    </row>
    <row r="33" spans="2:12" x14ac:dyDescent="0.2">
      <c r="B33" s="1294"/>
      <c r="C33" s="846"/>
      <c r="D33" s="846"/>
      <c r="E33" s="846"/>
      <c r="F33" s="846"/>
      <c r="G33" s="846"/>
      <c r="H33" s="846"/>
      <c r="I33" s="862"/>
      <c r="J33" s="846"/>
      <c r="K33" s="862"/>
      <c r="L33" s="861"/>
    </row>
    <row r="34" spans="2:12" ht="102" x14ac:dyDescent="0.2">
      <c r="B34" s="1302" t="s">
        <v>5505</v>
      </c>
      <c r="C34" s="1303"/>
      <c r="D34" s="1303"/>
      <c r="E34" s="1303"/>
      <c r="F34" s="1303"/>
      <c r="G34" s="1303"/>
      <c r="H34" s="1303"/>
      <c r="I34" s="1304"/>
      <c r="J34" s="1303"/>
      <c r="K34" s="1304"/>
      <c r="L34" s="1305"/>
    </row>
    <row r="35" spans="2:12" ht="13.5" thickBot="1" x14ac:dyDescent="0.25">
      <c r="B35" s="1297"/>
      <c r="C35" s="867"/>
      <c r="D35" s="867"/>
      <c r="E35" s="867"/>
      <c r="F35" s="867"/>
      <c r="G35" s="867"/>
      <c r="H35" s="867"/>
      <c r="I35" s="866"/>
      <c r="J35" s="866"/>
      <c r="K35" s="866"/>
      <c r="L35" s="869"/>
    </row>
  </sheetData>
  <sheetProtection formatColumns="0" formatRows="0"/>
  <dataConsolidate/>
  <customSheetViews>
    <customSheetView guid="{13F24B0A-7740-483A-BEF7-5257F8522605}" showGridLines="0" hiddenColumns="1" state="hidden">
      <selection activeCell="O12" sqref="O12"/>
      <pageMargins left="0.23622047244094491" right="0.23622047244094491" top="0.49" bottom="0.59055118110236227" header="0.31496062992125984" footer="0.31496062992125984"/>
      <printOptions horizontalCentered="1"/>
      <pageSetup paperSize="9" fitToHeight="3" orientation="landscape" r:id="rId1"/>
      <headerFooter alignWithMargins="0">
        <oddFooter>&amp;C&amp;P / &amp;N</oddFooter>
      </headerFooter>
    </customSheetView>
  </customSheetViews>
  <mergeCells count="2">
    <mergeCell ref="A8:L8"/>
    <mergeCell ref="A7:L7"/>
  </mergeCells>
  <phoneticPr fontId="0" type="noConversion"/>
  <hyperlinks>
    <hyperlink ref="B18" location="ExpPlanning_Header" display="ExpPlanning_Header" xr:uid="{00000000-0004-0000-1100-000000000000}"/>
    <hyperlink ref="B21" location="ExportPlanningBreak" display="ExportPlanningBreak" xr:uid="{00000000-0004-0000-1100-000001000000}"/>
    <hyperlink ref="B20" location="ExportPlanningMatch" display="ExportPlanningMatch" xr:uid="{00000000-0004-0000-1100-000002000000}"/>
    <hyperlink ref="B22" location="ExportPlanningFooter" display="ExportPlanningFooter" xr:uid="{00000000-0004-0000-1100-000003000000}"/>
    <hyperlink ref="B19" location="ExportPlanningHeader" display="ExportPlanningHeader" xr:uid="{00000000-0004-0000-1100-000004000000}"/>
    <hyperlink ref="B29" location="ExportPlanning_Table" display="ExportPlanning_Table" xr:uid="{00000000-0004-0000-1100-000005000000}"/>
    <hyperlink ref="B26" location="ExportPlanning_Stage" display="ExportPlanning_Stage" xr:uid="{00000000-0004-0000-1100-000006000000}"/>
    <hyperlink ref="B30" location="ExportPlanning_Player1" display="ExportPlanning_Player1" xr:uid="{00000000-0004-0000-1100-000007000000}"/>
    <hyperlink ref="B25" location="ExportPlanning_Category" display="ExportPlanning_Category" xr:uid="{00000000-0004-0000-1100-000008000000}"/>
    <hyperlink ref="B31" location="ExportPlanning_Player2" display="ExportPlanning_Player2" xr:uid="{00000000-0004-0000-1100-000009000000}"/>
    <hyperlink ref="B32" location="ExportPlanning_Referee" display="ExportPlanning_Referee" xr:uid="{00000000-0004-0000-1100-00000A000000}"/>
    <hyperlink ref="B28" location="ExportPlanning_Round" display="ExportPlanning_Round" xr:uid="{00000000-0004-0000-1100-00000B000000}"/>
    <hyperlink ref="B27" location="ExportPlanning_Group" display="ExportPlanning_Group" xr:uid="{00000000-0004-0000-1100-00000C000000}"/>
    <hyperlink ref="B24" location="ExportPlanning_Time" display="ExportPlanning_Time" xr:uid="{00000000-0004-0000-1100-00000D000000}"/>
    <hyperlink ref="B23" location="ExportPlanning_Session" display="ExportPlanning_Session" xr:uid="{00000000-0004-0000-1100-00000E000000}"/>
  </hyperlinks>
  <printOptions horizontalCentered="1"/>
  <pageMargins left="0.23622047244094491" right="0.23622047244094491" top="0.49" bottom="0.59055118110236227" header="0.31496062992125984" footer="0.31496062992125984"/>
  <pageSetup paperSize="9" fitToHeight="3" orientation="landscape" r:id="rId2"/>
  <headerFooter alignWithMargins="0">
    <oddFooter>&amp;C&amp;P / &amp;N</oddFooter>
  </headerFooter>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t_IndGroups">
    <tabColor theme="0" tint="-0.249977111117893"/>
    <outlinePr summaryBelow="0" summaryRight="0"/>
    <pageSetUpPr fitToPage="1"/>
  </sheetPr>
  <dimension ref="A1:CE1992"/>
  <sheetViews>
    <sheetView showGridLines="0" defaultGridColor="0" topLeftCell="A36" colorId="18" zoomScale="130" zoomScaleNormal="130" workbookViewId="0">
      <selection activeCell="AP48" sqref="AP48"/>
    </sheetView>
  </sheetViews>
  <sheetFormatPr baseColWidth="10" defaultColWidth="11.42578125" defaultRowHeight="12.75" outlineLevelRow="2" outlineLevelCol="1" x14ac:dyDescent="0.2"/>
  <cols>
    <col min="1" max="1" width="3.7109375" style="7" customWidth="1"/>
    <col min="2" max="2" width="5.85546875" style="7" bestFit="1" customWidth="1"/>
    <col min="3" max="3" width="4.5703125" style="7" hidden="1" customWidth="1"/>
    <col min="4" max="4" width="5" style="7" hidden="1" customWidth="1"/>
    <col min="5" max="5" width="4.85546875" style="7" hidden="1" customWidth="1"/>
    <col min="6" max="6" width="5" style="7" hidden="1" customWidth="1"/>
    <col min="7" max="7" width="10.28515625" style="7" bestFit="1" customWidth="1"/>
    <col min="8" max="8" width="6.42578125" style="7" bestFit="1" customWidth="1"/>
    <col min="9" max="9" width="8.5703125" style="7" bestFit="1" customWidth="1"/>
    <col min="10" max="10" width="4.140625" style="7" hidden="1" customWidth="1"/>
    <col min="11" max="11" width="4" style="7" hidden="1" customWidth="1"/>
    <col min="12" max="12" width="2.85546875" style="7" hidden="1" customWidth="1"/>
    <col min="13" max="14" width="2.28515625" style="7" hidden="1" customWidth="1"/>
    <col min="15" max="15" width="3.5703125" style="7" hidden="1" customWidth="1"/>
    <col min="16" max="16" width="3.7109375" style="7" hidden="1" customWidth="1"/>
    <col min="17" max="17" width="4.140625" style="7" hidden="1" customWidth="1"/>
    <col min="18" max="18" width="6.42578125" style="7" bestFit="1" customWidth="1" collapsed="1"/>
    <col min="19" max="19" width="5.85546875" style="7" hidden="1" customWidth="1" outlineLevel="1"/>
    <col min="20" max="20" width="6.140625" style="7" hidden="1" customWidth="1" outlineLevel="1"/>
    <col min="21" max="21" width="8.5703125" style="7" hidden="1" customWidth="1" outlineLevel="1"/>
    <col min="22" max="22" width="9.5703125" style="7" bestFit="1" customWidth="1"/>
    <col min="23" max="23" width="4" style="7" customWidth="1"/>
    <col min="24" max="24" width="1.85546875" style="7" bestFit="1" customWidth="1"/>
    <col min="25" max="25" width="3.7109375" style="7" customWidth="1"/>
    <col min="26" max="26" width="9" style="7" customWidth="1"/>
    <col min="27" max="27" width="4.140625" style="7" hidden="1" customWidth="1"/>
    <col min="28" max="28" width="2.140625" style="7" hidden="1" customWidth="1"/>
    <col min="29" max="29" width="1.85546875" style="7" hidden="1" customWidth="1"/>
    <col min="30" max="30" width="2.140625" style="7" hidden="1" customWidth="1"/>
    <col min="31" max="31" width="2.85546875" style="7" hidden="1" customWidth="1"/>
    <col min="32" max="33" width="2.28515625" style="7" hidden="1" customWidth="1"/>
    <col min="34" max="34" width="2.140625" style="7" hidden="1" customWidth="1"/>
    <col min="35" max="35" width="8.5703125" style="7" hidden="1" customWidth="1"/>
    <col min="36" max="36" width="9.5703125" style="7" hidden="1" customWidth="1"/>
    <col min="37" max="37" width="6.140625" style="7" hidden="1" customWidth="1"/>
    <col min="38" max="39" width="3.42578125" style="7" customWidth="1"/>
    <col min="40" max="40" width="5.7109375" style="7" bestFit="1" customWidth="1"/>
    <col min="41" max="41" width="8" style="7" bestFit="1" customWidth="1"/>
    <col min="42" max="42" width="4.140625" style="7" bestFit="1" customWidth="1"/>
    <col min="43" max="43" width="4" style="7" bestFit="1" customWidth="1"/>
    <col min="44" max="44" width="2.85546875" style="7" bestFit="1" customWidth="1"/>
    <col min="45" max="46" width="2.28515625" style="7" bestFit="1" customWidth="1"/>
    <col min="47" max="48" width="3" style="7" bestFit="1" customWidth="1"/>
    <col min="49" max="49" width="4.140625" style="7" bestFit="1" customWidth="1" collapsed="1"/>
    <col min="50" max="50" width="3.7109375" style="7" hidden="1" customWidth="1" outlineLevel="1"/>
    <col min="51" max="77" width="3.5703125" style="7" hidden="1" customWidth="1" outlineLevel="1"/>
    <col min="78" max="80" width="11.5703125" style="7" hidden="1" customWidth="1"/>
    <col min="81" max="81" width="3.28515625" style="7" customWidth="1"/>
    <col min="82" max="82" width="3" style="7" customWidth="1"/>
    <col min="83" max="16384" width="11.42578125" style="7"/>
  </cols>
  <sheetData>
    <row r="1" spans="1:83" x14ac:dyDescent="0.2">
      <c r="A1"/>
      <c r="B1" s="1"/>
      <c r="D1" s="1268" t="str">
        <f>Event1</f>
        <v>Open</v>
      </c>
      <c r="E1"/>
      <c r="F1"/>
      <c r="G1" s="1"/>
      <c r="H1" s="1"/>
      <c r="I1"/>
      <c r="J1"/>
      <c r="K1"/>
      <c r="L1"/>
      <c r="M1"/>
      <c r="N1"/>
      <c r="O1"/>
      <c r="P1"/>
      <c r="Q1" s="334"/>
      <c r="R1" s="1"/>
      <c r="S1" s="1"/>
      <c r="T1"/>
      <c r="U1" s="871"/>
      <c r="V1" s="123"/>
      <c r="W1" s="123"/>
      <c r="X1" s="123"/>
      <c r="Y1" s="123"/>
      <c r="Z1" s="123"/>
      <c r="AA1" s="963"/>
      <c r="AB1" s="963"/>
      <c r="AC1" s="963"/>
      <c r="AD1" s="964"/>
      <c r="AE1" s="964"/>
      <c r="AF1" s="964"/>
      <c r="AG1" s="964"/>
      <c r="AH1" s="964"/>
      <c r="AI1" s="964"/>
      <c r="AJ1" s="964"/>
      <c r="AK1"/>
      <c r="AL1"/>
      <c r="AN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c r="BZ1" s="1396"/>
      <c r="CA1" s="1396"/>
      <c r="CB1"/>
      <c r="CC1"/>
      <c r="CD1"/>
      <c r="CE1"/>
    </row>
    <row r="2" spans="1:83" ht="20.25" x14ac:dyDescent="0.3">
      <c r="A2"/>
      <c r="B2" s="1"/>
      <c r="C2" s="1495"/>
      <c r="D2" s="833" t="s">
        <v>954</v>
      </c>
      <c r="E2"/>
      <c r="F2"/>
      <c r="G2" s="1"/>
      <c r="H2" s="1"/>
      <c r="I2"/>
      <c r="J2"/>
      <c r="K2"/>
      <c r="L2"/>
      <c r="M2"/>
      <c r="N2"/>
      <c r="O2"/>
      <c r="P2"/>
      <c r="Q2" s="334"/>
      <c r="R2" s="1"/>
      <c r="S2" s="1"/>
      <c r="T2"/>
      <c r="U2" s="6"/>
      <c r="V2" s="2086" t="str">
        <f>SHEETNAME(A1)</f>
        <v>Ind Groups</v>
      </c>
      <c r="W2" s="2086"/>
      <c r="X2" s="2086"/>
      <c r="Y2" s="2086"/>
      <c r="Z2" s="2086"/>
      <c r="AA2" s="123"/>
      <c r="AB2" s="963"/>
      <c r="AC2" s="963"/>
      <c r="AD2" s="964"/>
      <c r="AE2" s="964"/>
      <c r="AF2" s="964"/>
      <c r="AG2" s="964"/>
      <c r="AH2" s="964"/>
      <c r="AI2" s="964"/>
      <c r="AJ2" s="964"/>
      <c r="AK2" s="964"/>
      <c r="AL2"/>
      <c r="AN2"/>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c r="BZ2"/>
      <c r="CA2" s="1396"/>
      <c r="CB2" s="1396"/>
      <c r="CC2"/>
      <c r="CD2"/>
      <c r="CE2"/>
    </row>
    <row r="3" spans="1:83" ht="13.5" thickBot="1" x14ac:dyDescent="0.25">
      <c r="A3"/>
      <c r="B3" s="1"/>
      <c r="C3" s="2085" t="b">
        <v>1</v>
      </c>
      <c r="D3"/>
      <c r="E3"/>
      <c r="F3"/>
      <c r="G3" s="1"/>
      <c r="H3" s="1"/>
      <c r="I3" s="1"/>
      <c r="J3"/>
      <c r="K3"/>
      <c r="L3"/>
      <c r="M3"/>
      <c r="N3"/>
      <c r="O3"/>
      <c r="P3"/>
      <c r="Q3"/>
      <c r="R3" s="334"/>
      <c r="S3" s="1"/>
      <c r="T3" s="1"/>
      <c r="U3"/>
      <c r="V3" s="6"/>
      <c r="W3" s="1"/>
      <c r="X3" s="1"/>
      <c r="Y3" s="1"/>
      <c r="Z3" s="16"/>
      <c r="AA3" s="123"/>
      <c r="AB3" s="963"/>
      <c r="AC3" s="963"/>
      <c r="AD3" s="963"/>
      <c r="AE3" s="964"/>
      <c r="AF3" s="964"/>
      <c r="AG3" s="964"/>
      <c r="AH3" s="964"/>
      <c r="AI3" s="964"/>
      <c r="AJ3" s="964"/>
      <c r="AK3" s="964"/>
      <c r="AL3"/>
      <c r="AM3"/>
      <c r="AO3"/>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c r="CA3" s="1396"/>
      <c r="CB3" s="1396"/>
      <c r="CC3"/>
      <c r="CD3"/>
      <c r="CE3"/>
    </row>
    <row r="4" spans="1:83" ht="13.5" thickBot="1" x14ac:dyDescent="0.25">
      <c r="A4"/>
      <c r="B4" s="282" t="str">
        <f>N_Group_3</f>
        <v>Group of 3</v>
      </c>
      <c r="C4" s="283"/>
      <c r="D4" s="283"/>
      <c r="E4" s="283"/>
      <c r="F4" s="283"/>
      <c r="G4" s="283"/>
      <c r="H4" s="283"/>
      <c r="I4" s="283"/>
      <c r="J4" s="283"/>
      <c r="K4" s="283"/>
      <c r="L4" s="283"/>
      <c r="M4" s="283"/>
      <c r="N4" s="283"/>
      <c r="O4" s="283"/>
      <c r="P4" s="283"/>
      <c r="Q4" s="283"/>
      <c r="R4" s="357"/>
      <c r="S4" s="283"/>
      <c r="T4" s="283"/>
      <c r="U4" s="283"/>
      <c r="V4" s="283"/>
      <c r="W4" s="992"/>
      <c r="X4" s="992"/>
      <c r="Y4" s="992"/>
      <c r="Z4" s="283"/>
      <c r="AA4" s="283"/>
      <c r="AB4" s="965"/>
      <c r="AC4" s="965"/>
      <c r="AD4" s="965"/>
      <c r="AE4" s="966"/>
      <c r="AF4" s="966"/>
      <c r="AG4" s="966"/>
      <c r="AH4" s="966"/>
      <c r="AI4" s="966"/>
      <c r="AJ4" s="966"/>
      <c r="AK4" s="965"/>
      <c r="AL4" s="283"/>
      <c r="AM4" s="282" t="str">
        <f>B4</f>
        <v>Group of 3</v>
      </c>
      <c r="AN4" s="283"/>
      <c r="AO4" s="283"/>
      <c r="AP4" s="283"/>
      <c r="AQ4" s="283"/>
      <c r="AR4" s="283"/>
      <c r="AS4" s="283"/>
      <c r="AT4" s="283"/>
      <c r="AU4" s="283"/>
      <c r="AV4" s="283"/>
      <c r="AW4" s="283"/>
      <c r="AX4" s="283"/>
      <c r="AY4" s="283"/>
      <c r="AZ4" s="283"/>
      <c r="BA4" s="283"/>
      <c r="BB4" s="283"/>
      <c r="BC4" s="283"/>
      <c r="BD4" s="283"/>
      <c r="BE4" s="283"/>
      <c r="BF4" s="283"/>
      <c r="BG4" s="283"/>
      <c r="BH4" s="283"/>
      <c r="BI4" s="283"/>
      <c r="BJ4" s="283"/>
      <c r="BK4" s="283"/>
      <c r="BL4" s="283"/>
      <c r="BM4" s="283"/>
      <c r="BN4" s="283"/>
      <c r="BO4" s="283"/>
      <c r="BP4" s="283"/>
      <c r="BQ4" s="283"/>
      <c r="BR4" s="283"/>
      <c r="BS4" s="283"/>
      <c r="BT4" s="283"/>
      <c r="BU4" s="283"/>
      <c r="BV4" s="283"/>
      <c r="BW4" s="283"/>
      <c r="BX4" s="283"/>
      <c r="BY4" s="283"/>
      <c r="BZ4" s="1395" t="s">
        <v>7639</v>
      </c>
      <c r="CA4" s="1450"/>
      <c r="CB4" s="1450"/>
      <c r="CC4" s="284"/>
      <c r="CD4"/>
      <c r="CE4"/>
    </row>
    <row r="5" spans="1:83" ht="13.5" outlineLevel="1" thickBot="1" x14ac:dyDescent="0.25">
      <c r="A5"/>
      <c r="B5" s="1"/>
      <c r="C5"/>
      <c r="D5"/>
      <c r="E5"/>
      <c r="F5"/>
      <c r="G5" s="1"/>
      <c r="H5" s="1"/>
      <c r="I5" s="1"/>
      <c r="J5"/>
      <c r="K5"/>
      <c r="L5"/>
      <c r="M5"/>
      <c r="N5"/>
      <c r="O5"/>
      <c r="P5"/>
      <c r="Q5"/>
      <c r="R5" s="334"/>
      <c r="S5" s="1"/>
      <c r="T5" s="1"/>
      <c r="U5"/>
      <c r="V5" s="6"/>
      <c r="W5" s="1"/>
      <c r="X5" s="1"/>
      <c r="Y5" s="1"/>
      <c r="Z5" s="16"/>
      <c r="AA5" s="123"/>
      <c r="AB5" s="963"/>
      <c r="AC5" s="963"/>
      <c r="AD5" s="963"/>
      <c r="AE5" s="964"/>
      <c r="AF5" s="964"/>
      <c r="AG5" s="964"/>
      <c r="AH5" s="964"/>
      <c r="AI5" s="964"/>
      <c r="AJ5" s="964"/>
      <c r="AK5" s="964"/>
      <c r="AL5"/>
      <c r="AM5"/>
      <c r="AN5" s="833"/>
      <c r="AO5"/>
      <c r="AP5" s="1"/>
      <c r="AQ5" s="1"/>
      <c r="AR5" s="1"/>
      <c r="AS5" s="1"/>
      <c r="AT5" s="1"/>
      <c r="AU5" s="1"/>
      <c r="AV5" s="1"/>
      <c r="AW5" s="1"/>
      <c r="AX5" s="1"/>
      <c r="AY5" s="1"/>
      <c r="AZ5" s="1"/>
      <c r="BA5"/>
      <c r="BB5"/>
      <c r="BC5"/>
      <c r="BD5"/>
      <c r="BE5"/>
      <c r="BF5"/>
      <c r="BG5"/>
      <c r="BH5"/>
      <c r="BI5"/>
      <c r="BJ5"/>
      <c r="BK5"/>
      <c r="BL5"/>
      <c r="BM5"/>
      <c r="BN5"/>
      <c r="BO5"/>
      <c r="BP5"/>
      <c r="BQ5"/>
      <c r="BR5"/>
      <c r="BS5"/>
      <c r="BT5"/>
      <c r="BU5"/>
      <c r="BV5"/>
      <c r="BW5"/>
      <c r="BX5"/>
      <c r="BY5"/>
      <c r="BZ5" s="1395"/>
      <c r="CA5" s="1450"/>
      <c r="CB5" s="1450"/>
      <c r="CC5"/>
      <c r="CD5"/>
      <c r="CE5"/>
    </row>
    <row r="6" spans="1:83" ht="13.5" outlineLevel="1" thickBot="1" x14ac:dyDescent="0.25">
      <c r="A6"/>
      <c r="B6" s="18" t="str">
        <f>N_Tirage</f>
        <v>Tirage</v>
      </c>
      <c r="C6" s="307" t="s">
        <v>787</v>
      </c>
      <c r="D6" s="308" t="s">
        <v>831</v>
      </c>
      <c r="E6" s="308" t="s">
        <v>832</v>
      </c>
      <c r="F6" s="309" t="s">
        <v>833</v>
      </c>
      <c r="G6" s="22" t="str">
        <f>N_Joueurs</f>
        <v>Joueurs</v>
      </c>
      <c r="H6" s="3" t="str">
        <f>N_RankPoints</f>
        <v>Pt. Clas.</v>
      </c>
      <c r="I6" s="3" t="str">
        <f>N_Diff_Part</f>
        <v>Diff-Part</v>
      </c>
      <c r="J6" s="311" t="str">
        <f>N_Pts</f>
        <v>Pts</v>
      </c>
      <c r="K6" s="311" t="str">
        <f>N_J</f>
        <v>J</v>
      </c>
      <c r="L6" s="308" t="str">
        <f>N_G</f>
        <v>G</v>
      </c>
      <c r="M6" s="308" t="str">
        <f>N_N</f>
        <v>N</v>
      </c>
      <c r="N6" s="308" t="str">
        <f>N_P</f>
        <v>P</v>
      </c>
      <c r="O6" s="308" t="str">
        <f>N_BP</f>
        <v>BP</v>
      </c>
      <c r="P6" s="308" t="str">
        <f>N_BC</f>
        <v>BC</v>
      </c>
      <c r="Q6" s="309" t="str">
        <f>N_Diff.</f>
        <v>Diff.</v>
      </c>
      <c r="R6" s="334"/>
      <c r="S6" s="3" t="str">
        <f>N_Heure</f>
        <v>Heure</v>
      </c>
      <c r="T6" s="22" t="str">
        <f>N_Table</f>
        <v>Table</v>
      </c>
      <c r="U6" s="22" t="str">
        <f>N_Arbitre</f>
        <v>Arbitre</v>
      </c>
      <c r="V6" s="293" t="str">
        <f>N_Matches</f>
        <v>Matches</v>
      </c>
      <c r="W6" s="294"/>
      <c r="X6" s="294"/>
      <c r="Y6" s="294"/>
      <c r="Z6" s="295"/>
      <c r="AA6" s="8"/>
      <c r="AB6" s="1461" t="str">
        <f>IF(MaxScore,N_MaxScore,"")</f>
        <v>Score Max</v>
      </c>
      <c r="AC6" s="1461"/>
      <c r="AD6" s="1461"/>
      <c r="AE6" s="964" t="str">
        <f>N_G</f>
        <v>G</v>
      </c>
      <c r="AF6" s="964" t="str">
        <f>N_N</f>
        <v>N</v>
      </c>
      <c r="AG6" s="964" t="str">
        <f>N_N</f>
        <v>N</v>
      </c>
      <c r="AH6" s="964" t="str">
        <f>N_P</f>
        <v>P</v>
      </c>
      <c r="AI6" s="964" t="s">
        <v>1560</v>
      </c>
      <c r="AJ6" s="964" t="s">
        <v>3714</v>
      </c>
      <c r="AK6" s="964" t="str">
        <f>IF(COUNTA(W7:W9)=0,"","OK")</f>
        <v/>
      </c>
      <c r="AL6"/>
      <c r="AM6"/>
      <c r="AN6" s="24" t="str">
        <f>N_Cla.</f>
        <v>Cla.</v>
      </c>
      <c r="AO6" s="70" t="str">
        <f>N_Joueurs</f>
        <v>Joueurs</v>
      </c>
      <c r="AP6" s="23" t="str">
        <f>N_Pts</f>
        <v>Pts</v>
      </c>
      <c r="AQ6" s="23" t="str">
        <f>N_J</f>
        <v>J</v>
      </c>
      <c r="AR6" s="20" t="str">
        <f>N_G</f>
        <v>G</v>
      </c>
      <c r="AS6" s="20" t="str">
        <f>N_N</f>
        <v>N</v>
      </c>
      <c r="AT6" s="20" t="str">
        <f>N_P</f>
        <v>P</v>
      </c>
      <c r="AU6" s="20" t="str">
        <f>N_BP</f>
        <v>BP</v>
      </c>
      <c r="AV6" s="20" t="str">
        <f>N_BC</f>
        <v>BC</v>
      </c>
      <c r="AW6" s="21" t="str">
        <f>N_Diff.</f>
        <v>Diff.</v>
      </c>
      <c r="AX6" s="286" t="str">
        <f>N_Matches</f>
        <v>Matches</v>
      </c>
      <c r="AY6" s="287"/>
      <c r="AZ6" s="288"/>
      <c r="BA6"/>
      <c r="BB6"/>
      <c r="BC6"/>
      <c r="BD6"/>
      <c r="BE6"/>
      <c r="BF6"/>
      <c r="BG6"/>
      <c r="BH6"/>
      <c r="BI6"/>
      <c r="BJ6"/>
      <c r="BK6"/>
      <c r="BL6"/>
      <c r="BM6"/>
      <c r="BN6"/>
      <c r="BO6"/>
      <c r="BP6"/>
      <c r="BQ6"/>
      <c r="BR6"/>
      <c r="BS6"/>
      <c r="BT6"/>
      <c r="BU6"/>
      <c r="BV6"/>
      <c r="BW6"/>
      <c r="BX6"/>
      <c r="BY6"/>
      <c r="BZ6" s="1395"/>
      <c r="CA6" s="1450"/>
      <c r="CB6" s="1450"/>
      <c r="CC6"/>
      <c r="CD6"/>
      <c r="CE6"/>
    </row>
    <row r="7" spans="1:83" outlineLevel="1" x14ac:dyDescent="0.2">
      <c r="A7" s="270"/>
      <c r="B7" s="543">
        <v>1</v>
      </c>
      <c r="C7" s="549" t="str">
        <f>IF(AK6="","",RANK(F7,F7:F9)*1000+ROW())</f>
        <v/>
      </c>
      <c r="D7" s="550" t="str">
        <f>IF(L7="","",CritClassInd1_Points*J7+CritClassInd1_Matches*L7+CritClassInd1_Attaque*O7+CritClassInd1_DiffButs*Q7)</f>
        <v/>
      </c>
      <c r="E7" s="550" t="str">
        <f>IF(L7="","",Nb_Diff_Part(D7,D7:D9,G7,G7:G9,AI7:AI9)*CritClassInd_DiffPart+Nb_Goal_Part(D7,D7:D9,G7,G7:G9,V7:Z9)*CritClassInd_GoalPart+Nb_Score_Part(D7,D7:D9,G7,G7:G9,V7:Z9)*CritClassInd_ScorePart)</f>
        <v/>
      </c>
      <c r="F7" s="551" t="str">
        <f>IF(L7="","",D7+E7+CritClassInd2_Points*J7+CritClassInd2_Matches*L7+CritClassInd2_Attaque*O7+CritClassInd2_DiffButs*Q7+CritClassInd_Ranking*H7+I7)</f>
        <v/>
      </c>
      <c r="G7" s="552" t="s">
        <v>903</v>
      </c>
      <c r="H7" s="553">
        <f>GMFTRANKINGPOINTS(G7,Particular_Category)</f>
        <v>0</v>
      </c>
      <c r="I7" s="554"/>
      <c r="J7" s="555" t="str">
        <f>IF(AK6="","",(L7*Points_Victoire)+M7*Points_Null)</f>
        <v/>
      </c>
      <c r="K7" s="556" t="str">
        <f>IF(L7="","",SUM(L7:N7))</f>
        <v/>
      </c>
      <c r="L7" s="556" t="str">
        <f>IF(AK6="","",COUNTIF(AE7:AE9,G7))</f>
        <v/>
      </c>
      <c r="M7" s="556" t="str">
        <f>IF(AK6="","",COUNTIF(AF7:AG9,G7))</f>
        <v/>
      </c>
      <c r="N7" s="556" t="str">
        <f>IF(AK6="","",COUNTIF(AH7:AH9,G7))</f>
        <v/>
      </c>
      <c r="O7" s="556" t="str">
        <f>IF(AK6="","",SUMIF(V7:V9,G7,AB7:AB9)+SUMIF(Z7:Z9,G7,AD7:AD9))</f>
        <v/>
      </c>
      <c r="P7" s="556" t="str">
        <f>IF(AK6="","",SUMIF(V7:V9,G7,AD7:AD9)+SUMIF(Z7:Z9,G7,AB7:AB9))</f>
        <v/>
      </c>
      <c r="Q7" s="557" t="str">
        <f>IF(AK6="","",O7-P7)</f>
        <v/>
      </c>
      <c r="R7" s="558" t="s">
        <v>1726</v>
      </c>
      <c r="S7" s="611"/>
      <c r="T7" s="612"/>
      <c r="U7" s="1496"/>
      <c r="V7" s="455" t="str">
        <f>IF(COUNTA(G7:G9) =3,GMFTGROUPORDERIND(G7:G9,V7:V9,Z7:Z9),"")</f>
        <v>A3</v>
      </c>
      <c r="W7" s="456"/>
      <c r="X7" s="457" t="s">
        <v>769</v>
      </c>
      <c r="Y7" s="456"/>
      <c r="Z7" s="458" t="str">
        <f>IF(COUNTA(G7:G9) =3,GMFTGROUPORDERIND(G7:G9,V7:V9,Z7:Z9),"")</f>
        <v>A1</v>
      </c>
      <c r="AA7" s="839"/>
      <c r="AB7" s="1459">
        <f>IF(MaxScore,MaxGoals(W7,Y7,MaxGoalsValue),IF(W7="","",W7))</f>
        <v>0</v>
      </c>
      <c r="AC7" s="1460" t="str">
        <f>IF(MaxScore,"-",IF(W7="","","-"))</f>
        <v>-</v>
      </c>
      <c r="AD7" s="1459">
        <f>IF(MaxScore,MaxGoals(Y7,W7,MaxGoalsValue),IF(Y7="","",Y7))</f>
        <v>0</v>
      </c>
      <c r="AE7" s="968" t="str">
        <f>IF(W7="","",IF(W7&gt;Y7,V7,IF(W7=Y7,"",Z7)))</f>
        <v/>
      </c>
      <c r="AF7" s="968" t="str">
        <f>IF(W7="","",IF(W7=Y7,V7,""))</f>
        <v/>
      </c>
      <c r="AG7" s="968" t="str">
        <f>IF(W7="","",IF(W7=Y7,Z7,""))</f>
        <v/>
      </c>
      <c r="AH7" s="968" t="str">
        <f>IF(W7="","",IF(W7&lt;Y7,V7,IF(W7=Y7,"",Z7)))</f>
        <v/>
      </c>
      <c r="AI7" s="968" t="str">
        <f>CONCATENATE(AE7,AH7)</f>
        <v/>
      </c>
      <c r="AJ7" s="968"/>
      <c r="AK7" s="968" t="str">
        <f>IF(AK6="","",SMALL(C7:C9,1))</f>
        <v/>
      </c>
      <c r="AL7" s="270"/>
      <c r="AM7" s="270"/>
      <c r="AN7" s="505" t="str">
        <f>IF(AK6="","",INT(AK7/1000))</f>
        <v/>
      </c>
      <c r="AO7" s="506" t="str">
        <f>IF(AK6="",IF(HidePlayerFormulas,"","("&amp;G7&amp;")"),VLOOKUP(AK7,C7:Q9,5,FALSE))</f>
        <v/>
      </c>
      <c r="AP7" s="507" t="str">
        <f>VLOOKUP(AK7,$C7:$Q9,8,FALSE)</f>
        <v/>
      </c>
      <c r="AQ7" s="507" t="str">
        <f>VLOOKUP(AK7,$C7:$Q9,9,FALSE)</f>
        <v/>
      </c>
      <c r="AR7" s="507" t="str">
        <f>VLOOKUP(AK7,$C7:$Q9,10,FALSE)</f>
        <v/>
      </c>
      <c r="AS7" s="507" t="str">
        <f>VLOOKUP(AK7,$C7:$Q9,11,FALSE)</f>
        <v/>
      </c>
      <c r="AT7" s="507" t="str">
        <f>VLOOKUP(AK7,$C7:$Q9,12,FALSE)</f>
        <v/>
      </c>
      <c r="AU7" s="507" t="str">
        <f>VLOOKUP(AK7,$C7:$Q9,13,FALSE)</f>
        <v/>
      </c>
      <c r="AV7" s="507" t="str">
        <f>VLOOKUP(AK7,$C7:$Q9,14,FALSE)</f>
        <v/>
      </c>
      <c r="AW7" s="508" t="str">
        <f>VLOOKUP(AK7,$C7:$Q9,15,FALSE)</f>
        <v/>
      </c>
      <c r="AX7" s="517" t="str">
        <f>IF(W7="","",IF(AO7=V7,W7,IF(AO7=Z7,Y7,"")))</f>
        <v/>
      </c>
      <c r="AY7" s="518" t="str">
        <f>IF(W8="","",IF(AO7=V8,W8,IF(AO7=Z8,Y8,"")))</f>
        <v/>
      </c>
      <c r="AZ7" s="519" t="str">
        <f>IF(W9="","",IF(AO7=V9,W9,IF(AO7=Z9,Y9,"")))</f>
        <v/>
      </c>
      <c r="BA7" s="270"/>
      <c r="BB7" s="270"/>
      <c r="BC7" s="270"/>
      <c r="BD7" s="270"/>
      <c r="BE7" s="270"/>
      <c r="BF7" s="270"/>
      <c r="BG7" s="270"/>
      <c r="BH7" s="270"/>
      <c r="BI7" s="270"/>
      <c r="BJ7" s="270"/>
      <c r="BK7" s="270"/>
      <c r="BL7" s="270"/>
      <c r="BM7" s="270"/>
      <c r="BN7" s="270"/>
      <c r="BO7" s="270"/>
      <c r="BP7" s="270"/>
      <c r="BQ7" s="270"/>
      <c r="BR7" s="270"/>
      <c r="BS7" s="270"/>
      <c r="BT7" s="270"/>
      <c r="BU7" s="270"/>
      <c r="BV7" s="270"/>
      <c r="BW7" s="270"/>
      <c r="BX7" s="270"/>
      <c r="BY7" s="270"/>
      <c r="BZ7" s="1395" t="b">
        <f>IF(G7="[---WithDraw---]",FALSE,IF(COUNTIF(PlayerNamesWithinGroups,G7)&gt;1,TRUE,FALSE))</f>
        <v>1</v>
      </c>
      <c r="CA7" s="1450" t="b">
        <f>AND(LEFT($AO7,1) = "(", RIGHT($AO7,1) =")")</f>
        <v>0</v>
      </c>
      <c r="CB7" s="1450" t="b">
        <f>IF(OR($AN7=$AN6,$AN7=$AN8),TRUE,FALSE)</f>
        <v>1</v>
      </c>
      <c r="CC7" s="270"/>
      <c r="CD7" s="270"/>
      <c r="CE7"/>
    </row>
    <row r="8" spans="1:83" outlineLevel="1" x14ac:dyDescent="0.2">
      <c r="A8" s="270"/>
      <c r="B8" s="545">
        <v>2</v>
      </c>
      <c r="C8" s="560" t="str">
        <f>IF(AK6="","",RANK(F8,F7:F9)*1000+ROW())</f>
        <v/>
      </c>
      <c r="D8" s="561" t="str">
        <f>IF(L8="","",CritClassInd1_Points*J8+CritClassInd1_Matches*L8+CritClassInd1_Attaque*O8+CritClassInd1_DiffButs*Q8)</f>
        <v/>
      </c>
      <c r="E8" s="561" t="str">
        <f>IF(L8="","",Nb_Diff_Part(D8,D7:D9,G8,G7:G9,AI7:AI9)*CritClassInd_DiffPart+Nb_Goal_Part(D8,D7:D9,G8,G7:G9,V7:Z9)*CritClassInd_GoalPart+Nb_Score_Part(D8,D7:D9,G8,G7:G9,V7:Z9)*CritClassInd_ScorePart)</f>
        <v/>
      </c>
      <c r="F8" s="562" t="str">
        <f>IF(L8="","",D8+E8+CritClassInd2_Points*J8+CritClassInd2_Matches*L8+CritClassInd2_Attaque*O8+CritClassInd2_DiffButs*Q8+CritClassInd_Ranking*H8+I8)</f>
        <v/>
      </c>
      <c r="G8" s="502" t="s">
        <v>904</v>
      </c>
      <c r="H8" s="501">
        <f>GMFTRANKINGPOINTS(G8,Particular_Category)</f>
        <v>0</v>
      </c>
      <c r="I8" s="502"/>
      <c r="J8" s="560" t="str">
        <f>IF(AK6="","",(L8*Points_Victoire)+M8*Points_Null)</f>
        <v/>
      </c>
      <c r="K8" s="563" t="str">
        <f>IF(L8="","",SUM(L8:N8))</f>
        <v/>
      </c>
      <c r="L8" s="563" t="str">
        <f>IF(AK6="","",COUNTIF(AE7:AE9,G8))</f>
        <v/>
      </c>
      <c r="M8" s="563" t="str">
        <f>IF(AK6="","",COUNTIF(AF7:AG9,G8))</f>
        <v/>
      </c>
      <c r="N8" s="563" t="str">
        <f>IF(AK6="","",COUNTIF(AH7:AH9,G8))</f>
        <v/>
      </c>
      <c r="O8" s="563" t="str">
        <f>IF(AK6="","",SUMIF(V7:V9,G8,AB7:AB9)+SUMIF(Z7:Z9,G8,AD7:AD9))</f>
        <v/>
      </c>
      <c r="P8" s="563" t="str">
        <f>IF(AK6="","",SUMIF(V7:V9,G8,AD7:AD9)+SUMIF(Z7:Z9,G8,AB7:AB9))</f>
        <v/>
      </c>
      <c r="Q8" s="564" t="str">
        <f>IF(AK6="","",O8-P8)</f>
        <v/>
      </c>
      <c r="R8" s="558" t="s">
        <v>1727</v>
      </c>
      <c r="S8" s="613"/>
      <c r="T8" s="614"/>
      <c r="U8" s="1497"/>
      <c r="V8" s="459" t="str">
        <f>IF(COUNTA(G7:G9) =3,GMFTGROUPORDERIND(G7:G9,V7:V9,Z7:Z9),"")</f>
        <v>A2</v>
      </c>
      <c r="W8" s="272"/>
      <c r="X8" s="273" t="s">
        <v>769</v>
      </c>
      <c r="Y8" s="272"/>
      <c r="Z8" s="460" t="str">
        <f>IF(COUNTA(G7:G9) =3,GMFTGROUPORDERIND(G7:G9,V7:V9,Z7:Z9),"")</f>
        <v>A3</v>
      </c>
      <c r="AA8" s="839"/>
      <c r="AB8" s="1459">
        <f>IF(MaxScore,MaxGoals(W8,Y8,MaxGoalsValue),IF(W8="","",W8))</f>
        <v>0</v>
      </c>
      <c r="AC8" s="1460" t="str">
        <f>IF(MaxScore,"-",IF(W8="","","-"))</f>
        <v>-</v>
      </c>
      <c r="AD8" s="1459">
        <f>IF(MaxScore,MaxGoals(Y8,W8,MaxGoalsValue),IF(Y8="","",Y8))</f>
        <v>0</v>
      </c>
      <c r="AE8" s="968" t="str">
        <f>IF(W8="","",IF(W8&gt;Y8,V8,IF(W8=Y8,"",Z8)))</f>
        <v/>
      </c>
      <c r="AF8" s="968" t="str">
        <f>IF(W8="","",IF(W8=Y8,V8,""))</f>
        <v/>
      </c>
      <c r="AG8" s="968" t="str">
        <f>IF(W8="","",IF(W8=Y8,Z8,""))</f>
        <v/>
      </c>
      <c r="AH8" s="968" t="str">
        <f>IF(W8="","",IF(W8&lt;Y8,V8,IF(W8=Y8,"",Z8)))</f>
        <v/>
      </c>
      <c r="AI8" s="968" t="str">
        <f>CONCATENATE(AE8,AH8)</f>
        <v/>
      </c>
      <c r="AJ8" s="968"/>
      <c r="AK8" s="968" t="str">
        <f>IF(AK6="","",SMALL(C7:C9,2))</f>
        <v/>
      </c>
      <c r="AL8" s="270"/>
      <c r="AM8" s="270"/>
      <c r="AN8" s="509" t="str">
        <f>IF(AK6="","",INT(AK8/1000))</f>
        <v/>
      </c>
      <c r="AO8" s="510" t="str">
        <f>IF(AK6="",IF(HidePlayerFormulas,"","("&amp;G8&amp;")"),VLOOKUP(AK8,C7:Q9,5,FALSE))</f>
        <v/>
      </c>
      <c r="AP8" s="511" t="str">
        <f>VLOOKUP(AK8,$C7:$Q9,8,FALSE)</f>
        <v/>
      </c>
      <c r="AQ8" s="511" t="str">
        <f>VLOOKUP(AK8,$C7:$Q9,9,FALSE)</f>
        <v/>
      </c>
      <c r="AR8" s="511" t="str">
        <f>VLOOKUP(AK8,$C7:$Q9,10,FALSE)</f>
        <v/>
      </c>
      <c r="AS8" s="511" t="str">
        <f>VLOOKUP(AK8,$C7:$Q9,11,FALSE)</f>
        <v/>
      </c>
      <c r="AT8" s="511" t="str">
        <f>VLOOKUP(AK8,$C7:$Q9,12,FALSE)</f>
        <v/>
      </c>
      <c r="AU8" s="511" t="str">
        <f>VLOOKUP(AK8,$C7:$Q9,13,FALSE)</f>
        <v/>
      </c>
      <c r="AV8" s="511" t="str">
        <f>VLOOKUP(AK8,$C7:$Q9,14,FALSE)</f>
        <v/>
      </c>
      <c r="AW8" s="512" t="str">
        <f>VLOOKUP(AK8,$C7:$Q9,15,FALSE)</f>
        <v/>
      </c>
      <c r="AX8" s="520" t="str">
        <f>IF(W7="","",IF(AO8=V7,W7,IF(AO8=Z7,Y7,"")))</f>
        <v/>
      </c>
      <c r="AY8" s="521" t="str">
        <f>IF(W8="","",IF(AO8=V8,W8,IF(AO8=Z8,Y8,"")))</f>
        <v/>
      </c>
      <c r="AZ8" s="522" t="str">
        <f>IF(W9="","",IF(AO8=V9,W9,IF(AO8=Z9,Y9,"")))</f>
        <v/>
      </c>
      <c r="BA8" s="270"/>
      <c r="BB8" s="270"/>
      <c r="BC8" s="270"/>
      <c r="BD8" s="270"/>
      <c r="BE8" s="270"/>
      <c r="BF8" s="270"/>
      <c r="BG8" s="270"/>
      <c r="BH8" s="270"/>
      <c r="BI8" s="270"/>
      <c r="BJ8" s="270"/>
      <c r="BK8" s="270"/>
      <c r="BL8" s="270"/>
      <c r="BM8" s="270"/>
      <c r="BN8" s="270"/>
      <c r="BO8" s="270"/>
      <c r="BP8" s="270"/>
      <c r="BQ8" s="270"/>
      <c r="BR8" s="270"/>
      <c r="BS8" s="270"/>
      <c r="BT8" s="270"/>
      <c r="BU8" s="270"/>
      <c r="BV8" s="270"/>
      <c r="BW8" s="270"/>
      <c r="BX8" s="270"/>
      <c r="BY8" s="270"/>
      <c r="BZ8" s="1395" t="b">
        <f>IF(G8="[---WithDraw---]",FALSE,IF(COUNTIF(PlayerNamesWithinGroups,G8)&gt;1,TRUE,FALSE))</f>
        <v>1</v>
      </c>
      <c r="CA8" s="1450" t="b">
        <f>AND(LEFT($AO8,1) = "(", RIGHT($AO8,1) =")")</f>
        <v>0</v>
      </c>
      <c r="CB8" s="1450" t="b">
        <f>IF(OR($AN8=$AN7,$AN8=$AN9),TRUE,FALSE)</f>
        <v>1</v>
      </c>
      <c r="CC8" s="270"/>
      <c r="CD8" s="270"/>
      <c r="CE8"/>
    </row>
    <row r="9" spans="1:83" ht="13.5" outlineLevel="1" thickBot="1" x14ac:dyDescent="0.25">
      <c r="A9" s="270"/>
      <c r="B9" s="547">
        <v>3</v>
      </c>
      <c r="C9" s="565" t="str">
        <f>IF(AK6="","",RANK(F9,F7:F9)*1000+ROW())</f>
        <v/>
      </c>
      <c r="D9" s="566" t="str">
        <f>IF(L9="","",CritClassInd1_Points*J9+CritClassInd1_Matches*L9+CritClassInd1_Attaque*O9+CritClassInd1_DiffButs*Q9)</f>
        <v/>
      </c>
      <c r="E9" s="566" t="str">
        <f>IF(L9="","",Nb_Diff_Part(D9,D7:D9,G9,G7:G9,AI7:AI9)*CritClassInd_DiffPart+Nb_Goal_Part(D9,D7:D9,G9,G7:G9,V7:Z9)*CritClassInd_GoalPart+Nb_Score_Part(D9,D7:D9,G9,G7:G9,V7:Z9)*CritClassInd_ScorePart)</f>
        <v/>
      </c>
      <c r="F9" s="567" t="str">
        <f>IF(L9="","",D9+E9+CritClassInd2_Points*J9+CritClassInd2_Matches*L9+CritClassInd2_Attaque*O9+CritClassInd2_DiffButs*Q9+CritClassInd_Ranking*H9+I9)</f>
        <v/>
      </c>
      <c r="G9" s="500" t="s">
        <v>905</v>
      </c>
      <c r="H9" s="568">
        <f>GMFTRANKINGPOINTS(G9,Particular_Category)</f>
        <v>0</v>
      </c>
      <c r="I9" s="569"/>
      <c r="J9" s="565" t="str">
        <f>IF(AK6="","",(L9*Points_Victoire)+M9*Points_Null)</f>
        <v/>
      </c>
      <c r="K9" s="570" t="str">
        <f>IF(L9="","",SUM(L9:N9))</f>
        <v/>
      </c>
      <c r="L9" s="570" t="str">
        <f>IF(AK6="","",COUNTIF(AE7:AE9,G9))</f>
        <v/>
      </c>
      <c r="M9" s="570" t="str">
        <f>IF(AK6="","",COUNTIF(AF7:AG9,G9))</f>
        <v/>
      </c>
      <c r="N9" s="570" t="str">
        <f>IF(AK6="","",COUNTIF(AH7:AH9,G9))</f>
        <v/>
      </c>
      <c r="O9" s="570" t="str">
        <f>IF(AK6="","",SUMIF(V7:V9,G9,AB7:AB9)+SUMIF(Z7:Z9,G9,AD7:AD9))</f>
        <v/>
      </c>
      <c r="P9" s="570" t="str">
        <f>IF(AK6="","",SUMIF(V7:V9,G9,AD7:AD9)+SUMIF(Z7:Z9,G9,AB7:AB9))</f>
        <v/>
      </c>
      <c r="Q9" s="571" t="str">
        <f>IF(AK6="","",O9-P9)</f>
        <v/>
      </c>
      <c r="R9" s="558" t="s">
        <v>1728</v>
      </c>
      <c r="S9" s="615"/>
      <c r="T9" s="616"/>
      <c r="U9" s="1498"/>
      <c r="V9" s="461" t="str">
        <f>IF(COUNTA(G7:G9) =3,GMFTGROUPORDERIND(G7:G9,V7:V9,Z7:Z9),"")</f>
        <v>A1</v>
      </c>
      <c r="W9" s="450"/>
      <c r="X9" s="462" t="s">
        <v>769</v>
      </c>
      <c r="Y9" s="450"/>
      <c r="Z9" s="463" t="str">
        <f>IF(COUNTA(G7:G9) =3,GMFTGROUPORDERIND(G7:G9,V7:V9,Z7:Z9),"")</f>
        <v>A2</v>
      </c>
      <c r="AA9" s="839"/>
      <c r="AB9" s="1459">
        <f>IF(MaxScore,MaxGoals(W9,Y9,MaxGoalsValue),IF(W9="","",W9))</f>
        <v>0</v>
      </c>
      <c r="AC9" s="1460" t="str">
        <f>IF(MaxScore,"-",IF(W9="","","-"))</f>
        <v>-</v>
      </c>
      <c r="AD9" s="1459">
        <f>IF(MaxScore,MaxGoals(Y9,W9,MaxGoalsValue),IF(Y9="","",Y9))</f>
        <v>0</v>
      </c>
      <c r="AE9" s="968" t="str">
        <f>IF(W9="","",IF(W9&gt;Y9,V9,IF(W9=Y9,"",Z9)))</f>
        <v/>
      </c>
      <c r="AF9" s="968" t="str">
        <f>IF(W9="","",IF(W9=Y9,V9,""))</f>
        <v/>
      </c>
      <c r="AG9" s="968" t="str">
        <f>IF(W9="","",IF(W9=Y9,Z9,""))</f>
        <v/>
      </c>
      <c r="AH9" s="968" t="str">
        <f>IF(W9="","",IF(W9&lt;Y9,V9,IF(W9=Y9,"",Z9)))</f>
        <v/>
      </c>
      <c r="AI9" s="968" t="str">
        <f>CONCATENATE(AE9,AH9)</f>
        <v/>
      </c>
      <c r="AJ9" s="968"/>
      <c r="AK9" s="968" t="str">
        <f>IF(AK6="","",SMALL(C7:C9,3))</f>
        <v/>
      </c>
      <c r="AL9" s="270"/>
      <c r="AM9" s="270"/>
      <c r="AN9" s="513" t="str">
        <f>IF(AK6="","",INT(AK9/1000))</f>
        <v/>
      </c>
      <c r="AO9" s="514" t="str">
        <f>IF(AK6="",IF(HidePlayerFormulas,"","("&amp;G9&amp;")"),VLOOKUP(AK9,C7:Q9,5,FALSE))</f>
        <v/>
      </c>
      <c r="AP9" s="515" t="str">
        <f>VLOOKUP(AK9,$C7:$Q9,8,FALSE)</f>
        <v/>
      </c>
      <c r="AQ9" s="515" t="str">
        <f>VLOOKUP(AK9,$C7:$Q9,9,FALSE)</f>
        <v/>
      </c>
      <c r="AR9" s="515" t="str">
        <f>VLOOKUP(AK9,$C7:$Q9,10,FALSE)</f>
        <v/>
      </c>
      <c r="AS9" s="515" t="str">
        <f>VLOOKUP(AK9,$C7:$Q9,11,FALSE)</f>
        <v/>
      </c>
      <c r="AT9" s="515" t="str">
        <f>VLOOKUP(AK9,$C7:$Q9,12,FALSE)</f>
        <v/>
      </c>
      <c r="AU9" s="515" t="str">
        <f>VLOOKUP(AK9,$C7:$Q9,13,FALSE)</f>
        <v/>
      </c>
      <c r="AV9" s="515" t="str">
        <f>VLOOKUP(AK9,$C7:$Q9,14,FALSE)</f>
        <v/>
      </c>
      <c r="AW9" s="516" t="str">
        <f>VLOOKUP(AK9,$C7:$Q9,15,FALSE)</f>
        <v/>
      </c>
      <c r="AX9" s="523" t="str">
        <f>IF(W7="","",IF(AO9=V7,W7,IF(AO9=Z7,Y7,"")))</f>
        <v/>
      </c>
      <c r="AY9" s="524" t="str">
        <f>IF(W8="","",IF(AO9=V8,W8,IF(AO9=Z8,Y8,"")))</f>
        <v/>
      </c>
      <c r="AZ9" s="525" t="str">
        <f>IF(W9="","",IF(AO9=V9,W9,IF(AO9=Z9,Y9,"")))</f>
        <v/>
      </c>
      <c r="BA9" s="270"/>
      <c r="BB9" s="270"/>
      <c r="BC9" s="270"/>
      <c r="BD9" s="270"/>
      <c r="BE9" s="270"/>
      <c r="BF9" s="270"/>
      <c r="BG9" s="270"/>
      <c r="BH9" s="270"/>
      <c r="BI9" s="270"/>
      <c r="BJ9" s="270"/>
      <c r="BK9" s="270"/>
      <c r="BL9" s="270"/>
      <c r="BM9" s="270"/>
      <c r="BN9" s="270"/>
      <c r="BO9" s="270"/>
      <c r="BP9" s="270"/>
      <c r="BQ9" s="270"/>
      <c r="BR9" s="270"/>
      <c r="BS9" s="270"/>
      <c r="BT9" s="270"/>
      <c r="BU9" s="270"/>
      <c r="BV9" s="270"/>
      <c r="BW9" s="270"/>
      <c r="BX9" s="270"/>
      <c r="BY9" s="270"/>
      <c r="BZ9" s="1395" t="b">
        <f>IF(G9="[---WithDraw---]",FALSE,IF(COUNTIF(PlayerNamesWithinGroups,G9)&gt;1,TRUE,FALSE))</f>
        <v>1</v>
      </c>
      <c r="CA9" s="1450" t="b">
        <f>AND(LEFT($AO9,1) = "(", RIGHT($AO9,1) =")")</f>
        <v>0</v>
      </c>
      <c r="CB9" s="1450" t="b">
        <f>IF(OR($AN9=$AN8,$AN9=$AN10),TRUE,FALSE)</f>
        <v>1</v>
      </c>
      <c r="CC9" s="270"/>
      <c r="CD9" s="270"/>
      <c r="CE9"/>
    </row>
    <row r="10" spans="1:83" outlineLevel="1" x14ac:dyDescent="0.2">
      <c r="A10"/>
      <c r="B10" s="1"/>
      <c r="C10"/>
      <c r="D10"/>
      <c r="E10"/>
      <c r="F10"/>
      <c r="G10" s="1"/>
      <c r="H10" s="1"/>
      <c r="I10" s="1"/>
      <c r="J10"/>
      <c r="K10"/>
      <c r="L10"/>
      <c r="M10"/>
      <c r="N10"/>
      <c r="O10"/>
      <c r="P10"/>
      <c r="Q10"/>
      <c r="R10" s="334"/>
      <c r="S10" s="1"/>
      <c r="T10" s="1"/>
      <c r="U10"/>
      <c r="V10" s="6"/>
      <c r="W10" s="1"/>
      <c r="X10" s="1"/>
      <c r="Y10" s="1"/>
      <c r="Z10" s="16"/>
      <c r="AA10" s="123"/>
      <c r="AB10" s="963"/>
      <c r="AC10" s="963"/>
      <c r="AD10" s="963"/>
      <c r="AE10" s="964"/>
      <c r="AF10" s="964"/>
      <c r="AG10" s="964"/>
      <c r="AH10" s="964"/>
      <c r="AI10" s="964"/>
      <c r="AJ10" s="964"/>
      <c r="AK10" s="964"/>
      <c r="AL10"/>
      <c r="AM10"/>
      <c r="AO10"/>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395"/>
      <c r="CA10" s="1450"/>
      <c r="CB10" s="1450"/>
      <c r="CC10"/>
      <c r="CD10"/>
      <c r="CE10"/>
    </row>
    <row r="11" spans="1:83" ht="13.5" thickBot="1" x14ac:dyDescent="0.25">
      <c r="A11"/>
      <c r="B11" s="1"/>
      <c r="C11"/>
      <c r="D11"/>
      <c r="E11"/>
      <c r="F11"/>
      <c r="G11" s="1"/>
      <c r="H11" s="1"/>
      <c r="I11" s="1"/>
      <c r="J11"/>
      <c r="K11"/>
      <c r="L11"/>
      <c r="M11"/>
      <c r="N11"/>
      <c r="O11"/>
      <c r="P11"/>
      <c r="Q11"/>
      <c r="R11" s="334"/>
      <c r="S11" s="1"/>
      <c r="T11" s="1"/>
      <c r="U11"/>
      <c r="V11" s="6"/>
      <c r="W11" s="1"/>
      <c r="X11" s="1"/>
      <c r="Y11" s="1"/>
      <c r="Z11" s="16"/>
      <c r="AA11" s="123"/>
      <c r="AB11" s="963"/>
      <c r="AC11" s="963"/>
      <c r="AD11" s="963"/>
      <c r="AE11" s="964"/>
      <c r="AF11" s="964"/>
      <c r="AG11" s="964"/>
      <c r="AH11" s="964"/>
      <c r="AI11" s="964"/>
      <c r="AJ11" s="964"/>
      <c r="AK11" s="964"/>
      <c r="AL11"/>
      <c r="AM11"/>
      <c r="AO1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395"/>
      <c r="CA11" s="1450"/>
      <c r="CB11" s="1450"/>
      <c r="CC11"/>
      <c r="CD11"/>
      <c r="CE11"/>
    </row>
    <row r="12" spans="1:83" ht="13.5" thickBot="1" x14ac:dyDescent="0.25">
      <c r="A12"/>
      <c r="B12" s="282" t="str">
        <f>N_Group_3_2Leg</f>
        <v>Poule de 3 en A/R</v>
      </c>
      <c r="C12" s="283"/>
      <c r="D12" s="283"/>
      <c r="E12" s="283"/>
      <c r="F12" s="283"/>
      <c r="G12" s="283"/>
      <c r="H12" s="283"/>
      <c r="I12" s="283"/>
      <c r="J12" s="283"/>
      <c r="K12" s="283"/>
      <c r="L12" s="283"/>
      <c r="M12" s="283"/>
      <c r="N12" s="283"/>
      <c r="O12" s="283"/>
      <c r="P12" s="283"/>
      <c r="Q12" s="283"/>
      <c r="R12" s="357"/>
      <c r="S12" s="283"/>
      <c r="T12" s="283"/>
      <c r="U12" s="283"/>
      <c r="V12" s="283"/>
      <c r="W12" s="992"/>
      <c r="X12" s="992"/>
      <c r="Y12" s="992"/>
      <c r="Z12" s="283"/>
      <c r="AA12" s="283"/>
      <c r="AB12" s="965"/>
      <c r="AC12" s="965"/>
      <c r="AD12" s="965"/>
      <c r="AE12" s="966"/>
      <c r="AF12" s="966"/>
      <c r="AG12" s="966"/>
      <c r="AH12" s="966"/>
      <c r="AI12" s="966"/>
      <c r="AJ12" s="966"/>
      <c r="AK12" s="965"/>
      <c r="AL12" s="283"/>
      <c r="AM12" s="282" t="str">
        <f>B12</f>
        <v>Poule de 3 en A/R</v>
      </c>
      <c r="AN12" s="283"/>
      <c r="AO12" s="283"/>
      <c r="AP12" s="283"/>
      <c r="AQ12" s="283"/>
      <c r="AR12" s="283"/>
      <c r="AS12" s="283"/>
      <c r="AT12" s="283"/>
      <c r="AU12" s="283"/>
      <c r="AV12" s="283"/>
      <c r="AW12" s="283"/>
      <c r="AX12" s="283"/>
      <c r="AY12" s="283"/>
      <c r="AZ12" s="283"/>
      <c r="BA12" s="283"/>
      <c r="BB12" s="283"/>
      <c r="BC12" s="283"/>
      <c r="BD12" s="283"/>
      <c r="BE12" s="283"/>
      <c r="BF12" s="283"/>
      <c r="BG12" s="283"/>
      <c r="BH12" s="283"/>
      <c r="BI12" s="283"/>
      <c r="BJ12" s="283"/>
      <c r="BK12" s="283"/>
      <c r="BL12" s="283"/>
      <c r="BM12" s="283"/>
      <c r="BN12" s="283"/>
      <c r="BO12" s="283"/>
      <c r="BP12" s="283"/>
      <c r="BQ12" s="283"/>
      <c r="BR12" s="283"/>
      <c r="BS12" s="283"/>
      <c r="BT12" s="283"/>
      <c r="BU12" s="283"/>
      <c r="BV12" s="283"/>
      <c r="BW12" s="283"/>
      <c r="BX12" s="283"/>
      <c r="BY12" s="283"/>
      <c r="BZ12" s="1395"/>
      <c r="CA12" s="1450"/>
      <c r="CB12" s="1450"/>
      <c r="CC12" s="284"/>
      <c r="CD12"/>
      <c r="CE12"/>
    </row>
    <row r="13" spans="1:83" ht="13.5" outlineLevel="1" thickBot="1" x14ac:dyDescent="0.25">
      <c r="A13"/>
      <c r="B13" s="1"/>
      <c r="C13"/>
      <c r="D13"/>
      <c r="E13"/>
      <c r="F13"/>
      <c r="G13" s="1"/>
      <c r="H13" s="1"/>
      <c r="I13" s="1"/>
      <c r="J13"/>
      <c r="K13"/>
      <c r="L13"/>
      <c r="M13"/>
      <c r="N13"/>
      <c r="O13"/>
      <c r="P13"/>
      <c r="Q13"/>
      <c r="R13" s="334"/>
      <c r="S13" s="1"/>
      <c r="T13" s="1"/>
      <c r="U13"/>
      <c r="V13" s="6"/>
      <c r="W13" s="1"/>
      <c r="X13" s="1"/>
      <c r="Y13" s="1"/>
      <c r="Z13" s="16"/>
      <c r="AA13" s="123"/>
      <c r="AB13" s="963"/>
      <c r="AC13" s="963"/>
      <c r="AD13" s="963"/>
      <c r="AE13" s="964"/>
      <c r="AF13" s="964"/>
      <c r="AG13" s="964"/>
      <c r="AH13" s="964"/>
      <c r="AI13" s="964"/>
      <c r="AJ13" s="964"/>
      <c r="AK13" s="964"/>
      <c r="AL13"/>
      <c r="AM13"/>
      <c r="AN13" s="833"/>
      <c r="AO13"/>
      <c r="AP13" s="1"/>
      <c r="AQ13" s="1"/>
      <c r="AR13" s="1"/>
      <c r="AS13" s="1"/>
      <c r="AT13" s="1"/>
      <c r="AU13" s="1"/>
      <c r="AV13" s="1"/>
      <c r="AW13" s="1"/>
      <c r="AX13" s="1"/>
      <c r="AY13" s="1"/>
      <c r="AZ13" s="1"/>
      <c r="BA13" s="1"/>
      <c r="BB13" s="1"/>
      <c r="BC13" s="1"/>
      <c r="BD13"/>
      <c r="BE13"/>
      <c r="BF13"/>
      <c r="BG13"/>
      <c r="BH13"/>
      <c r="BI13"/>
      <c r="BJ13"/>
      <c r="BK13"/>
      <c r="BL13"/>
      <c r="BM13"/>
      <c r="BN13"/>
      <c r="BO13"/>
      <c r="BP13"/>
      <c r="BQ13"/>
      <c r="BR13"/>
      <c r="BS13"/>
      <c r="BT13"/>
      <c r="BU13"/>
      <c r="BV13"/>
      <c r="BW13"/>
      <c r="BX13"/>
      <c r="BY13"/>
      <c r="BZ13" s="1395"/>
      <c r="CA13" s="1450"/>
      <c r="CB13" s="1450"/>
      <c r="CC13"/>
      <c r="CD13"/>
      <c r="CE13"/>
    </row>
    <row r="14" spans="1:83" ht="13.5" outlineLevel="1" thickBot="1" x14ac:dyDescent="0.25">
      <c r="A14"/>
      <c r="B14" s="18" t="str">
        <f>N_Tirage</f>
        <v>Tirage</v>
      </c>
      <c r="C14" s="307" t="s">
        <v>787</v>
      </c>
      <c r="D14" s="308" t="s">
        <v>831</v>
      </c>
      <c r="E14" s="308" t="s">
        <v>832</v>
      </c>
      <c r="F14" s="309" t="s">
        <v>833</v>
      </c>
      <c r="G14" s="22" t="str">
        <f>N_Joueurs</f>
        <v>Joueurs</v>
      </c>
      <c r="H14" s="3" t="str">
        <f>N_RankPoints</f>
        <v>Pt. Clas.</v>
      </c>
      <c r="I14" s="3" t="str">
        <f>N_Diff_Part</f>
        <v>Diff-Part</v>
      </c>
      <c r="J14" s="311" t="str">
        <f>N_Pts</f>
        <v>Pts</v>
      </c>
      <c r="K14" s="311" t="str">
        <f>N_J</f>
        <v>J</v>
      </c>
      <c r="L14" s="308" t="str">
        <f>N_G</f>
        <v>G</v>
      </c>
      <c r="M14" s="308" t="str">
        <f>N_N</f>
        <v>N</v>
      </c>
      <c r="N14" s="308" t="str">
        <f>N_P</f>
        <v>P</v>
      </c>
      <c r="O14" s="308" t="str">
        <f>N_BP</f>
        <v>BP</v>
      </c>
      <c r="P14" s="308" t="str">
        <f>N_BC</f>
        <v>BC</v>
      </c>
      <c r="Q14" s="309" t="str">
        <f>N_Diff.</f>
        <v>Diff.</v>
      </c>
      <c r="R14" s="334"/>
      <c r="S14" s="3" t="str">
        <f>N_Heure</f>
        <v>Heure</v>
      </c>
      <c r="T14" s="22" t="str">
        <f>N_Table</f>
        <v>Table</v>
      </c>
      <c r="U14" s="22" t="str">
        <f>N_Arbitre</f>
        <v>Arbitre</v>
      </c>
      <c r="V14" s="293" t="str">
        <f>N_Matches</f>
        <v>Matches</v>
      </c>
      <c r="W14" s="294"/>
      <c r="X14" s="294"/>
      <c r="Y14" s="294"/>
      <c r="Z14" s="295"/>
      <c r="AA14" s="8"/>
      <c r="AB14" s="1461" t="str">
        <f>IF(MaxScore,N_MaxScore,"")</f>
        <v>Score Max</v>
      </c>
      <c r="AC14" s="1461"/>
      <c r="AD14" s="1461"/>
      <c r="AE14" s="964" t="str">
        <f>N_G</f>
        <v>G</v>
      </c>
      <c r="AF14" s="964" t="str">
        <f>N_N</f>
        <v>N</v>
      </c>
      <c r="AG14" s="964" t="str">
        <f>N_N</f>
        <v>N</v>
      </c>
      <c r="AH14" s="964" t="str">
        <f>N_P</f>
        <v>P</v>
      </c>
      <c r="AI14" s="964" t="s">
        <v>1560</v>
      </c>
      <c r="AJ14" s="964" t="s">
        <v>3714</v>
      </c>
      <c r="AK14" s="964" t="str">
        <f>IF(COUNTA(W15:W20)=0,"","OK")</f>
        <v/>
      </c>
      <c r="AL14"/>
      <c r="AM14"/>
      <c r="AN14" s="24" t="str">
        <f>N_Cla.</f>
        <v>Cla.</v>
      </c>
      <c r="AO14" s="4" t="str">
        <f>N_Joueurs</f>
        <v>Joueurs</v>
      </c>
      <c r="AP14" s="25" t="str">
        <f>N_Pts</f>
        <v>Pts</v>
      </c>
      <c r="AQ14" s="25" t="str">
        <f>N_J</f>
        <v>J</v>
      </c>
      <c r="AR14" s="26" t="str">
        <f>N_G</f>
        <v>G</v>
      </c>
      <c r="AS14" s="26" t="str">
        <f>N_N</f>
        <v>N</v>
      </c>
      <c r="AT14" s="26" t="str">
        <f>N_P</f>
        <v>P</v>
      </c>
      <c r="AU14" s="26" t="str">
        <f>N_BP</f>
        <v>BP</v>
      </c>
      <c r="AV14" s="26" t="str">
        <f>N_BC</f>
        <v>BC</v>
      </c>
      <c r="AW14" s="5" t="str">
        <f>N_Diff.</f>
        <v>Diff.</v>
      </c>
      <c r="AX14" s="286" t="str">
        <f>N_Matches</f>
        <v>Matches</v>
      </c>
      <c r="AY14" s="287"/>
      <c r="AZ14" s="287"/>
      <c r="BA14" s="287"/>
      <c r="BB14" s="287"/>
      <c r="BC14" s="288"/>
      <c r="BD14"/>
      <c r="BE14"/>
      <c r="BF14"/>
      <c r="BG14"/>
      <c r="BH14"/>
      <c r="BI14"/>
      <c r="BJ14"/>
      <c r="BK14"/>
      <c r="BL14"/>
      <c r="BM14"/>
      <c r="BN14"/>
      <c r="BO14"/>
      <c r="BP14"/>
      <c r="BQ14"/>
      <c r="BR14"/>
      <c r="BS14"/>
      <c r="BT14"/>
      <c r="BU14"/>
      <c r="BV14"/>
      <c r="BW14"/>
      <c r="BX14"/>
      <c r="BY14"/>
      <c r="BZ14" s="1395"/>
      <c r="CA14" s="1450"/>
      <c r="CB14" s="1450"/>
      <c r="CC14"/>
      <c r="CD14"/>
      <c r="CE14"/>
    </row>
    <row r="15" spans="1:83" outlineLevel="1" x14ac:dyDescent="0.2">
      <c r="A15" s="270"/>
      <c r="B15" s="505">
        <v>1</v>
      </c>
      <c r="C15" s="572" t="str">
        <f>IF(AK14="","",RANK(F15,F15:F17)*1000+ROW())</f>
        <v/>
      </c>
      <c r="D15" s="550" t="str">
        <f>IF(L15="","",CritClassInd1_Points*J15+CritClassInd1_Matches*L15+CritClassInd1_Attaque*O15+CritClassInd1_DiffButs*Q15)</f>
        <v/>
      </c>
      <c r="E15" s="550" t="str">
        <f>IF(L15="","",Nb_Diff_Part(D15,D15:D17,G15,G15:G17,AI15:AI20)*CritClassInd_DiffPart+Nb_Goal_Part(D15,D15:D17,G15,G15:G17,V15:Z20)*CritClassInd_GoalPart+Nb_Score_Part(D15,D15:D17,G15,G15:G17,V15:Z20)*CritClassInd_ScorePart)</f>
        <v/>
      </c>
      <c r="F15" s="551" t="str">
        <f>IF(L15="","",D15+E15+CritClassInd2_Points*J15+CritClassInd2_Matches*L15+CritClassInd2_Attaque*O15+CritClassInd2_DiffButs*Q15+CritClassInd_Ranking*H15+I15)</f>
        <v/>
      </c>
      <c r="G15" s="552" t="s">
        <v>903</v>
      </c>
      <c r="H15" s="553">
        <f>GMFTRANKINGPOINTS(G15,Particular_Category)</f>
        <v>0</v>
      </c>
      <c r="I15" s="500"/>
      <c r="J15" s="555" t="str">
        <f>IF(AK14="","",(L15*Points_Victoire)+M15*Points_Null)</f>
        <v/>
      </c>
      <c r="K15" s="556" t="str">
        <f>IF(L15="","",SUM(L15:N15))</f>
        <v/>
      </c>
      <c r="L15" s="556" t="str">
        <f>IF(AK14="","",COUNTIF(AE15:AE20,G15))</f>
        <v/>
      </c>
      <c r="M15" s="556" t="str">
        <f>IF(AK14="","",COUNTIF(AF15:AG20,G15))</f>
        <v/>
      </c>
      <c r="N15" s="556" t="str">
        <f>IF(AK14="","",COUNTIF(AH15:AH20,G15))</f>
        <v/>
      </c>
      <c r="O15" s="556" t="str">
        <f>IF(AK14="","",SUMIF(V15:V20,G15,AB15:AB20)+SUMIF(Z15:Z20,G15,AD15:AD20))</f>
        <v/>
      </c>
      <c r="P15" s="556" t="str">
        <f>IF(AK14="","",SUMIF(V15:V20,G15,AD15:AD20)+SUMIF(Z15:Z20,G15,AB15:AB20))</f>
        <v/>
      </c>
      <c r="Q15" s="557" t="str">
        <f>IF(AK14="","",O15-P15)</f>
        <v/>
      </c>
      <c r="R15" s="558" t="s">
        <v>1726</v>
      </c>
      <c r="S15" s="611"/>
      <c r="T15" s="617"/>
      <c r="U15" s="1499"/>
      <c r="V15" s="455" t="str">
        <f>IF(COUNTA(G15:G17) =3,GMFTGROUPORDERIND(G15:G17,V15:V17,Z15:Z17),"")</f>
        <v>A3</v>
      </c>
      <c r="W15" s="456"/>
      <c r="X15" s="457" t="s">
        <v>769</v>
      </c>
      <c r="Y15" s="456"/>
      <c r="Z15" s="458" t="str">
        <f>IF(COUNTA(G15:G17) =3,GMFTGROUPORDERIND(G15:G17,V15:V17,Z15:Z17),"")</f>
        <v>A1</v>
      </c>
      <c r="AA15" s="839"/>
      <c r="AB15" s="1459">
        <f t="shared" ref="AB15:AB20" si="0">IF(MaxScore,MaxGoals(W15,Y15,MaxGoalsValue),IF(W15="","",W15))</f>
        <v>0</v>
      </c>
      <c r="AC15" s="1460" t="str">
        <f t="shared" ref="AC15:AC20" si="1">IF(MaxScore,"-",IF(W15="","","-"))</f>
        <v>-</v>
      </c>
      <c r="AD15" s="1459">
        <f t="shared" ref="AD15:AD20" si="2">IF(MaxScore,MaxGoals(Y15,W15,MaxGoalsValue),IF(Y15="","",Y15))</f>
        <v>0</v>
      </c>
      <c r="AE15" s="968" t="str">
        <f t="shared" ref="AE15:AE20" si="3">IF(W15="","",IF(W15&gt;Y15,V15,IF(W15=Y15,"",Z15)))</f>
        <v/>
      </c>
      <c r="AF15" s="968" t="str">
        <f t="shared" ref="AF15:AF20" si="4">IF(W15="","",IF(W15=Y15,V15,""))</f>
        <v/>
      </c>
      <c r="AG15" s="968" t="str">
        <f t="shared" ref="AG15:AG20" si="5">IF(W15="","",IF(W15=Y15,Z15,""))</f>
        <v/>
      </c>
      <c r="AH15" s="968" t="str">
        <f t="shared" ref="AH15:AH20" si="6">IF(W15="","",IF(W15&lt;Y15,V15,IF(W15=Y15,"",Z15)))</f>
        <v/>
      </c>
      <c r="AI15" s="968" t="str">
        <f t="shared" ref="AI15:AI20" si="7">CONCATENATE(AE15,AH15)</f>
        <v/>
      </c>
      <c r="AJ15" s="968"/>
      <c r="AK15" s="968" t="str">
        <f>IF(AK14="","",SMALL(C15:C17,1))</f>
        <v/>
      </c>
      <c r="AL15" s="270"/>
      <c r="AM15" s="270"/>
      <c r="AN15" s="505" t="str">
        <f>IF(AK14="","",INT(AK15/1000))</f>
        <v/>
      </c>
      <c r="AO15" s="506" t="str">
        <f>IF(AK14="",IF(HidePlayerFormulas,"","("&amp;G15&amp;")"),VLOOKUP(AK15,C15:Q17,5,FALSE))</f>
        <v/>
      </c>
      <c r="AP15" s="507" t="str">
        <f>VLOOKUP(AK15,$C15:$Q17,8,FALSE)</f>
        <v/>
      </c>
      <c r="AQ15" s="507" t="str">
        <f>VLOOKUP(AK15,$C15:$Q17,9,FALSE)</f>
        <v/>
      </c>
      <c r="AR15" s="507" t="str">
        <f>VLOOKUP(AK15,$C15:$Q17,10,FALSE)</f>
        <v/>
      </c>
      <c r="AS15" s="507" t="str">
        <f>VLOOKUP(AK15,$C15:$Q17,11,FALSE)</f>
        <v/>
      </c>
      <c r="AT15" s="507" t="str">
        <f>VLOOKUP(AK15,$C15:$Q17,12,FALSE)</f>
        <v/>
      </c>
      <c r="AU15" s="507" t="str">
        <f>VLOOKUP(AK15,$C15:$Q17,13,FALSE)</f>
        <v/>
      </c>
      <c r="AV15" s="507" t="str">
        <f>VLOOKUP(AK15,$C15:$Q17,14,FALSE)</f>
        <v/>
      </c>
      <c r="AW15" s="508" t="str">
        <f>VLOOKUP(AK15,$C15:$Q17,15,FALSE)</f>
        <v/>
      </c>
      <c r="AX15" s="517" t="str">
        <f>IF(W15="","",IF(AO15=V15,W15,IF(AO15=Z15,Y15,"")))</f>
        <v/>
      </c>
      <c r="AY15" s="518" t="str">
        <f>IF(W16="","",IF(AO15=V16,W16,IF(AO15=Z16,Y16,"")))</f>
        <v/>
      </c>
      <c r="AZ15" s="518" t="str">
        <f>IF(W17="","",IF(AO15=V17,W17,IF(AO15=Z17,Y17,"")))</f>
        <v/>
      </c>
      <c r="BA15" s="518" t="str">
        <f>IF(W18="","",IF(AO15=V18,W18,IF(AO15=Z18,Y18,"")))</f>
        <v/>
      </c>
      <c r="BB15" s="518" t="str">
        <f>IF(W19="","",IF(AO15=V19,W19,IF(AO15=Z19,Y19,"")))</f>
        <v/>
      </c>
      <c r="BC15" s="519" t="str">
        <f>IF(W20="","",IF(AO15=V20,W20,IF(AO15=Z20,Y20,"")))</f>
        <v/>
      </c>
      <c r="BD15" s="270"/>
      <c r="BE15" s="270"/>
      <c r="BF15" s="270"/>
      <c r="BG15" s="270"/>
      <c r="BH15" s="270"/>
      <c r="BI15" s="270"/>
      <c r="BJ15" s="270"/>
      <c r="BK15" s="270"/>
      <c r="BL15" s="270"/>
      <c r="BM15" s="270"/>
      <c r="BN15" s="270"/>
      <c r="BO15" s="270"/>
      <c r="BP15" s="270"/>
      <c r="BQ15" s="270"/>
      <c r="BR15" s="270"/>
      <c r="BS15" s="270"/>
      <c r="BT15" s="270"/>
      <c r="BU15" s="270"/>
      <c r="BV15" s="270"/>
      <c r="BW15" s="270"/>
      <c r="BX15" s="270"/>
      <c r="BY15" s="270"/>
      <c r="BZ15" s="1395" t="b">
        <f>IF(G15="[---WithDraw---]",FALSE,IF(COUNTIF(PlayerNamesWithinGroups,G15)&gt;1,TRUE,FALSE))</f>
        <v>1</v>
      </c>
      <c r="CA15" s="1450" t="b">
        <f>AND(LEFT($AO15,1) = "(", RIGHT($AO15,1) =")")</f>
        <v>0</v>
      </c>
      <c r="CB15" s="1450" t="b">
        <f>IF(OR($AN15=$AN14,$AN15=$AN16),TRUE,FALSE)</f>
        <v>1</v>
      </c>
      <c r="CC15" s="270"/>
      <c r="CD15" s="270"/>
      <c r="CE15"/>
    </row>
    <row r="16" spans="1:83" outlineLevel="1" x14ac:dyDescent="0.2">
      <c r="A16" s="270"/>
      <c r="B16" s="509">
        <v>2</v>
      </c>
      <c r="C16" s="573" t="str">
        <f>IF(AK14="","",RANK(F16,F15:F17)*1000+ROW())</f>
        <v/>
      </c>
      <c r="D16" s="561" t="str">
        <f>IF(L16="","",CritClassInd1_Points*J16+CritClassInd1_Matches*L16+CritClassInd1_Attaque*O16+CritClassInd1_DiffButs*Q16)</f>
        <v/>
      </c>
      <c r="E16" s="561" t="str">
        <f>IF(L16="","",Nb_Diff_Part(D16,D15:D17,G16,G15:G17,AI15:AI20)*CritClassInd_DiffPart+Nb_Goal_Part(D16,D15:D17,G16,G15:G17,V15:Z20)*CritClassInd_GoalPart+Nb_Score_Part(D16,D15:D17,G16,G15:G17,V15:Z20)*CritClassInd_ScorePart)</f>
        <v/>
      </c>
      <c r="F16" s="562" t="str">
        <f>IF(L16="","",D16+E16+CritClassInd2_Points*J16+CritClassInd2_Matches*L16+CritClassInd2_Attaque*O16+CritClassInd2_DiffButs*Q16+CritClassInd_Ranking*H16+I16)</f>
        <v/>
      </c>
      <c r="G16" s="502" t="s">
        <v>904</v>
      </c>
      <c r="H16" s="501">
        <f>GMFTRANKINGPOINTS(G16,Particular_Category)</f>
        <v>0</v>
      </c>
      <c r="I16" s="502"/>
      <c r="J16" s="560" t="str">
        <f>IF(AK14="","",(L16*Points_Victoire)+M16*Points_Null)</f>
        <v/>
      </c>
      <c r="K16" s="563" t="str">
        <f>IF(L16="","",SUM(L16:N16))</f>
        <v/>
      </c>
      <c r="L16" s="563" t="str">
        <f>IF(AK14="","",COUNTIF(AE15:AE20,G16))</f>
        <v/>
      </c>
      <c r="M16" s="563" t="str">
        <f>IF(AK14="","",COUNTIF(AF15:AG20,G16))</f>
        <v/>
      </c>
      <c r="N16" s="563" t="str">
        <f>IF(AK14="","",COUNTIF(AH15:AH20,G16))</f>
        <v/>
      </c>
      <c r="O16" s="563" t="str">
        <f>IF(AK14="","",SUMIF(V15:V20,G16,AB15:AB20)+SUMIF(Z15:Z20,G16,AD15:AD20))</f>
        <v/>
      </c>
      <c r="P16" s="563" t="str">
        <f>IF(AK14="","",SUMIF(V15:V20,G16,AD15:AD20)+SUMIF(Z15:Z20,G16,AB15:AB20))</f>
        <v/>
      </c>
      <c r="Q16" s="564" t="str">
        <f>IF(AK14="","",O16-P16)</f>
        <v/>
      </c>
      <c r="R16" s="558" t="s">
        <v>1727</v>
      </c>
      <c r="S16" s="613"/>
      <c r="T16" s="618"/>
      <c r="U16" s="1500"/>
      <c r="V16" s="459" t="str">
        <f>IF(COUNTA(G15:G17) =3,GMFTGROUPORDERIND(G15:G17,V15:V17,Z15:Z17),"")</f>
        <v>A2</v>
      </c>
      <c r="W16" s="272"/>
      <c r="X16" s="273" t="s">
        <v>769</v>
      </c>
      <c r="Y16" s="272"/>
      <c r="Z16" s="460" t="str">
        <f>IF(COUNTA(G15:G17) =3,GMFTGROUPORDERIND(G15:G17,V15:V17,Z15:Z17),"")</f>
        <v>A3</v>
      </c>
      <c r="AA16" s="839"/>
      <c r="AB16" s="1459">
        <f t="shared" si="0"/>
        <v>0</v>
      </c>
      <c r="AC16" s="1460" t="str">
        <f t="shared" si="1"/>
        <v>-</v>
      </c>
      <c r="AD16" s="1459">
        <f t="shared" si="2"/>
        <v>0</v>
      </c>
      <c r="AE16" s="968" t="str">
        <f t="shared" si="3"/>
        <v/>
      </c>
      <c r="AF16" s="968" t="str">
        <f t="shared" si="4"/>
        <v/>
      </c>
      <c r="AG16" s="968" t="str">
        <f t="shared" si="5"/>
        <v/>
      </c>
      <c r="AH16" s="968" t="str">
        <f t="shared" si="6"/>
        <v/>
      </c>
      <c r="AI16" s="968" t="str">
        <f t="shared" si="7"/>
        <v/>
      </c>
      <c r="AJ16" s="968"/>
      <c r="AK16" s="968" t="str">
        <f>IF(AK14="","",SMALL(C15:C17,2))</f>
        <v/>
      </c>
      <c r="AL16" s="270"/>
      <c r="AM16" s="270"/>
      <c r="AN16" s="509" t="str">
        <f>IF(AK14="","",INT(AK16/1000))</f>
        <v/>
      </c>
      <c r="AO16" s="510" t="str">
        <f>IF(AK14="",IF(HidePlayerFormulas,"","("&amp;G16&amp;")"),VLOOKUP(AK16,C15:Q17,5,FALSE))</f>
        <v/>
      </c>
      <c r="AP16" s="511" t="str">
        <f>VLOOKUP(AK16,$C15:$Q17,8,FALSE)</f>
        <v/>
      </c>
      <c r="AQ16" s="511" t="str">
        <f>VLOOKUP(AK16,$C15:$Q17,9,FALSE)</f>
        <v/>
      </c>
      <c r="AR16" s="511" t="str">
        <f>VLOOKUP(AK16,$C15:$Q17,10,FALSE)</f>
        <v/>
      </c>
      <c r="AS16" s="511" t="str">
        <f>VLOOKUP(AK16,$C15:$Q17,11,FALSE)</f>
        <v/>
      </c>
      <c r="AT16" s="511" t="str">
        <f>VLOOKUP(AK16,$C15:$Q17,12,FALSE)</f>
        <v/>
      </c>
      <c r="AU16" s="511" t="str">
        <f>VLOOKUP(AK16,$C15:$Q17,13,FALSE)</f>
        <v/>
      </c>
      <c r="AV16" s="511" t="str">
        <f>VLOOKUP(AK16,$C15:$Q17,14,FALSE)</f>
        <v/>
      </c>
      <c r="AW16" s="512" t="str">
        <f>VLOOKUP(AK16,$C15:$Q17,15,FALSE)</f>
        <v/>
      </c>
      <c r="AX16" s="520" t="str">
        <f>IF(W15="","",IF(AO16=V15,W15,IF(AO16=Z15,Y15,"")))</f>
        <v/>
      </c>
      <c r="AY16" s="521" t="str">
        <f>IF(W16="","",IF(AO16=V16,W16,IF(AO16=Z16,Y16,"")))</f>
        <v/>
      </c>
      <c r="AZ16" s="521" t="str">
        <f>IF(W17="","",IF(AO16=V17,W17,IF(AO16=Z17,Y17,"")))</f>
        <v/>
      </c>
      <c r="BA16" s="521" t="str">
        <f>IF(W18="","",IF(AO16=V18,W18,IF(AO16=Z18,Y18,"")))</f>
        <v/>
      </c>
      <c r="BB16" s="521" t="str">
        <f>IF(W19="","",IF(AO16=V19,W19,IF(AO16=Z19,Y19,"")))</f>
        <v/>
      </c>
      <c r="BC16" s="522" t="str">
        <f>IF(W20="","",IF(AO16=V20,W20,IF(AO16=Z20,Y20,"")))</f>
        <v/>
      </c>
      <c r="BD16" s="270"/>
      <c r="BE16" s="270"/>
      <c r="BF16" s="270"/>
      <c r="BG16" s="270"/>
      <c r="BH16" s="270"/>
      <c r="BI16" s="270"/>
      <c r="BJ16" s="270"/>
      <c r="BK16" s="270"/>
      <c r="BL16" s="270"/>
      <c r="BM16" s="270"/>
      <c r="BN16" s="270"/>
      <c r="BO16" s="270"/>
      <c r="BP16" s="270"/>
      <c r="BQ16" s="270"/>
      <c r="BR16" s="270"/>
      <c r="BS16" s="270"/>
      <c r="BT16" s="270"/>
      <c r="BU16" s="270"/>
      <c r="BV16" s="270"/>
      <c r="BW16" s="270"/>
      <c r="BX16" s="270"/>
      <c r="BY16" s="270"/>
      <c r="BZ16" s="1395" t="b">
        <f>IF(G16="[---WithDraw---]",FALSE,IF(COUNTIF(PlayerNamesWithinGroups,G16)&gt;1,TRUE,FALSE))</f>
        <v>1</v>
      </c>
      <c r="CA16" s="1450" t="b">
        <f>AND(LEFT($AO16,1) = "(", RIGHT($AO16,1) =")")</f>
        <v>0</v>
      </c>
      <c r="CB16" s="1450" t="b">
        <f>IF(OR($AN16=$AN15,$AN16=$AN17),TRUE,FALSE)</f>
        <v>1</v>
      </c>
      <c r="CC16" s="270"/>
      <c r="CD16" s="270"/>
      <c r="CE16"/>
    </row>
    <row r="17" spans="1:83" ht="13.5" outlineLevel="1" thickBot="1" x14ac:dyDescent="0.25">
      <c r="A17" s="270"/>
      <c r="B17" s="513">
        <v>3</v>
      </c>
      <c r="C17" s="574" t="str">
        <f>IF(AK14="","",RANK(F17,F15:F17)*1000+ROW())</f>
        <v/>
      </c>
      <c r="D17" s="566" t="str">
        <f>IF(L17="","",CritClassInd1_Points*J17+CritClassInd1_Matches*L17+CritClassInd1_Attaque*O17+CritClassInd1_DiffButs*Q17)</f>
        <v/>
      </c>
      <c r="E17" s="566" t="str">
        <f>IF(L17="","",Nb_Diff_Part(D17,D15:D17,G17,G15:G17,AI15:AI20)*CritClassInd_DiffPart+Nb_Goal_Part(D17,D15:D17,G17,G15:G17,V15:Z20)*CritClassInd_GoalPart+Nb_Score_Part(D17,D15:D17,G17,G15:G17,V15:Z20)*CritClassInd_ScorePart)</f>
        <v/>
      </c>
      <c r="F17" s="567" t="str">
        <f>IF(L17="","",D17+E17+CritClassInd2_Points*J17+CritClassInd2_Matches*L17+CritClassInd2_Attaque*O17+CritClassInd2_DiffButs*Q17+CritClassInd_Ranking*H17+I17)</f>
        <v/>
      </c>
      <c r="G17" s="500" t="s">
        <v>905</v>
      </c>
      <c r="H17" s="568">
        <f>GMFTRANKINGPOINTS(G17,Particular_Category)</f>
        <v>0</v>
      </c>
      <c r="I17" s="569"/>
      <c r="J17" s="565" t="str">
        <f>IF(AK14="","",(L17*Points_Victoire)+M17*Points_Null)</f>
        <v/>
      </c>
      <c r="K17" s="570" t="str">
        <f>IF(L17="","",SUM(L17:N17))</f>
        <v/>
      </c>
      <c r="L17" s="570" t="str">
        <f>IF(AK14="","",COUNTIF(AE15:AE20,G17))</f>
        <v/>
      </c>
      <c r="M17" s="570" t="str">
        <f>IF(AK14="","",COUNTIF(AF15:AG20,G17))</f>
        <v/>
      </c>
      <c r="N17" s="570" t="str">
        <f>IF(AK14="","",COUNTIF(AH15:AH20,G17))</f>
        <v/>
      </c>
      <c r="O17" s="570" t="str">
        <f>IF(AK14="","",SUMIF(V15:V20,G17,AB15:AB18)+SUMIF(Z15:Z18,G17,AD15:AD18))</f>
        <v/>
      </c>
      <c r="P17" s="570" t="str">
        <f>IF(AK14="","",SUMIF(V15:V20,G17,AD15:AD20)+SUMIF(Z15:Z20,G17,AB15:AB20))</f>
        <v/>
      </c>
      <c r="Q17" s="571" t="str">
        <f>IF(AK14="","",O17-P17)</f>
        <v/>
      </c>
      <c r="R17" s="558" t="s">
        <v>1728</v>
      </c>
      <c r="S17" s="615"/>
      <c r="T17" s="619"/>
      <c r="U17" s="1501"/>
      <c r="V17" s="461" t="str">
        <f>IF(COUNTA(G15:G17) =3,GMFTGROUPORDERIND(G15:G17,V15:V17,Z15:Z17),"")</f>
        <v>A1</v>
      </c>
      <c r="W17" s="450"/>
      <c r="X17" s="462" t="s">
        <v>769</v>
      </c>
      <c r="Y17" s="450"/>
      <c r="Z17" s="463" t="str">
        <f>IF(COUNTA(G15:G17) =3,GMFTGROUPORDERIND(G15:G17,V15:V17,Z15:Z17),"")</f>
        <v>A2</v>
      </c>
      <c r="AA17" s="839"/>
      <c r="AB17" s="1459">
        <f t="shared" si="0"/>
        <v>0</v>
      </c>
      <c r="AC17" s="1460" t="str">
        <f t="shared" si="1"/>
        <v>-</v>
      </c>
      <c r="AD17" s="1459">
        <f t="shared" si="2"/>
        <v>0</v>
      </c>
      <c r="AE17" s="968" t="str">
        <f t="shared" si="3"/>
        <v/>
      </c>
      <c r="AF17" s="968" t="str">
        <f t="shared" si="4"/>
        <v/>
      </c>
      <c r="AG17" s="968" t="str">
        <f t="shared" si="5"/>
        <v/>
      </c>
      <c r="AH17" s="968" t="str">
        <f t="shared" si="6"/>
        <v/>
      </c>
      <c r="AI17" s="968" t="str">
        <f t="shared" si="7"/>
        <v/>
      </c>
      <c r="AJ17" s="968"/>
      <c r="AK17" s="968" t="str">
        <f>IF(AK14="","",SMALL(C15:C17,3))</f>
        <v/>
      </c>
      <c r="AL17" s="270"/>
      <c r="AM17" s="270"/>
      <c r="AN17" s="513" t="str">
        <f>IF(AK14="","",INT(AK17/1000))</f>
        <v/>
      </c>
      <c r="AO17" s="514" t="str">
        <f>IF(AK14="",IF(HidePlayerFormulas,"","("&amp;G17&amp;")"),VLOOKUP(AK17,C15:Q17,5,FALSE))</f>
        <v/>
      </c>
      <c r="AP17" s="515" t="str">
        <f>VLOOKUP(AK17,$C15:$Q17,8,FALSE)</f>
        <v/>
      </c>
      <c r="AQ17" s="515" t="str">
        <f>VLOOKUP(AK17,$C15:$Q17,9,FALSE)</f>
        <v/>
      </c>
      <c r="AR17" s="515" t="str">
        <f>VLOOKUP(AK17,$C15:$Q17,10,FALSE)</f>
        <v/>
      </c>
      <c r="AS17" s="515" t="str">
        <f>VLOOKUP(AK17,$C15:$Q17,11,FALSE)</f>
        <v/>
      </c>
      <c r="AT17" s="515" t="str">
        <f>VLOOKUP(AK17,$C15:$Q17,12,FALSE)</f>
        <v/>
      </c>
      <c r="AU17" s="515" t="str">
        <f>VLOOKUP(AK17,$C15:$Q17,13,FALSE)</f>
        <v/>
      </c>
      <c r="AV17" s="515" t="str">
        <f>VLOOKUP(AK17,$C15:$Q17,14,FALSE)</f>
        <v/>
      </c>
      <c r="AW17" s="516" t="str">
        <f>VLOOKUP(AK17,$C15:$Q17,15,FALSE)</f>
        <v/>
      </c>
      <c r="AX17" s="523" t="str">
        <f>IF(W15="","",IF(AO17=V15,W15,IF(AO17=Z15,Y15,"")))</f>
        <v/>
      </c>
      <c r="AY17" s="524" t="str">
        <f>IF(W16="","",IF(AO17=V16,W16,IF(AO17=Z16,Y16,"")))</f>
        <v/>
      </c>
      <c r="AZ17" s="524" t="str">
        <f>IF(W17="","",IF(AO17=V17,W17,IF(AO17=Z17,Y17,"")))</f>
        <v/>
      </c>
      <c r="BA17" s="524" t="str">
        <f>IF(W18="","",IF(AO17=V18,W18,IF(AO17=Z18,Y18,"")))</f>
        <v/>
      </c>
      <c r="BB17" s="524" t="str">
        <f>IF(W19="","",IF(AO17=V19,W19,IF(AO17=Z19,Y19,"")))</f>
        <v/>
      </c>
      <c r="BC17" s="525" t="str">
        <f>IF(W20="","",IF(AO17=V20,W20,IF(AO17=Z20,Y20,"")))</f>
        <v/>
      </c>
      <c r="BD17" s="270"/>
      <c r="BE17" s="270"/>
      <c r="BF17" s="270"/>
      <c r="BG17" s="270"/>
      <c r="BH17" s="270"/>
      <c r="BI17" s="270"/>
      <c r="BJ17" s="270"/>
      <c r="BK17" s="270"/>
      <c r="BL17" s="270"/>
      <c r="BM17" s="270"/>
      <c r="BN17" s="270"/>
      <c r="BO17" s="270"/>
      <c r="BP17" s="270"/>
      <c r="BQ17" s="270"/>
      <c r="BR17" s="270"/>
      <c r="BS17" s="270"/>
      <c r="BT17" s="270"/>
      <c r="BU17" s="270"/>
      <c r="BV17" s="270"/>
      <c r="BW17" s="270"/>
      <c r="BX17" s="270"/>
      <c r="BY17" s="270"/>
      <c r="BZ17" s="1395" t="b">
        <f>IF(G17="[---WithDraw---]",FALSE,IF(COUNTIF(PlayerNamesWithinGroups,G17)&gt;1,TRUE,FALSE))</f>
        <v>1</v>
      </c>
      <c r="CA17" s="1450" t="b">
        <f>AND(LEFT($AO17,1) = "(", RIGHT($AO17,1) =")")</f>
        <v>0</v>
      </c>
      <c r="CB17" s="1450" t="b">
        <f>IF(OR($AN17=$AN16,$AN17=$AN18),TRUE,FALSE)</f>
        <v>1</v>
      </c>
      <c r="CC17" s="270"/>
      <c r="CD17" s="270"/>
      <c r="CE17"/>
    </row>
    <row r="18" spans="1:83" outlineLevel="2" x14ac:dyDescent="0.2">
      <c r="A18" s="270"/>
      <c r="B18" s="271"/>
      <c r="C18" s="270"/>
      <c r="D18" s="270"/>
      <c r="E18" s="270"/>
      <c r="F18" s="270"/>
      <c r="G18" s="271"/>
      <c r="H18" s="271"/>
      <c r="I18" s="271"/>
      <c r="J18" s="270"/>
      <c r="K18" s="270"/>
      <c r="L18" s="270"/>
      <c r="M18" s="270"/>
      <c r="N18" s="270"/>
      <c r="O18" s="270"/>
      <c r="P18" s="270"/>
      <c r="Q18" s="270"/>
      <c r="R18" s="558" t="s">
        <v>1729</v>
      </c>
      <c r="S18" s="620"/>
      <c r="T18" s="621"/>
      <c r="U18" s="1499"/>
      <c r="V18" s="455" t="str">
        <f>IF(COUNTA(G15:G17) =3,GMFTGROUPORDERIND(G15:G17,V18:V20,Z18:Z20),"")</f>
        <v>A3</v>
      </c>
      <c r="W18" s="456"/>
      <c r="X18" s="457" t="s">
        <v>769</v>
      </c>
      <c r="Y18" s="456"/>
      <c r="Z18" s="458" t="str">
        <f>IF(COUNTA(G15:G17) =3,GMFTGROUPORDERIND(G15:G17,V18:V20,Z18:Z20),"")</f>
        <v>A1</v>
      </c>
      <c r="AA18" s="839"/>
      <c r="AB18" s="1459">
        <f t="shared" si="0"/>
        <v>0</v>
      </c>
      <c r="AC18" s="1460" t="str">
        <f t="shared" si="1"/>
        <v>-</v>
      </c>
      <c r="AD18" s="1459">
        <f t="shared" si="2"/>
        <v>0</v>
      </c>
      <c r="AE18" s="968" t="str">
        <f t="shared" si="3"/>
        <v/>
      </c>
      <c r="AF18" s="968" t="str">
        <f t="shared" si="4"/>
        <v/>
      </c>
      <c r="AG18" s="968" t="str">
        <f t="shared" si="5"/>
        <v/>
      </c>
      <c r="AH18" s="968" t="str">
        <f t="shared" si="6"/>
        <v/>
      </c>
      <c r="AI18" s="968" t="str">
        <f t="shared" si="7"/>
        <v/>
      </c>
      <c r="AJ18" s="968"/>
      <c r="AK18" s="968"/>
      <c r="AL18" s="270"/>
      <c r="AM18" s="270"/>
      <c r="AN18" s="575"/>
      <c r="AO18" s="270"/>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1395"/>
      <c r="CA18" s="1450"/>
      <c r="CB18" s="1450"/>
      <c r="CC18" s="270"/>
      <c r="CD18" s="270"/>
      <c r="CE18"/>
    </row>
    <row r="19" spans="1:83" outlineLevel="2" x14ac:dyDescent="0.2">
      <c r="A19" s="270"/>
      <c r="B19" s="271"/>
      <c r="C19" s="270"/>
      <c r="D19" s="270"/>
      <c r="E19" s="270"/>
      <c r="F19" s="270"/>
      <c r="G19" s="271"/>
      <c r="H19" s="271"/>
      <c r="I19" s="271"/>
      <c r="J19" s="270"/>
      <c r="K19" s="270"/>
      <c r="L19" s="270"/>
      <c r="M19" s="270"/>
      <c r="N19" s="270"/>
      <c r="O19" s="270"/>
      <c r="P19" s="270"/>
      <c r="Q19" s="270"/>
      <c r="R19" s="558" t="s">
        <v>1730</v>
      </c>
      <c r="S19" s="613"/>
      <c r="T19" s="618"/>
      <c r="U19" s="1500"/>
      <c r="V19" s="459" t="str">
        <f>IF(COUNTA(G15:G17) =3,GMFTGROUPORDERIND(G15:G17,V18:V20,Z18:Z20),"")</f>
        <v>A2</v>
      </c>
      <c r="W19" s="272"/>
      <c r="X19" s="273" t="s">
        <v>769</v>
      </c>
      <c r="Y19" s="272"/>
      <c r="Z19" s="460" t="str">
        <f>IF(COUNTA(G15:G17) =3,GMFTGROUPORDERIND(G15:G17,V18:V20,Z18:Z20),"")</f>
        <v>A3</v>
      </c>
      <c r="AA19" s="839"/>
      <c r="AB19" s="1459">
        <f t="shared" si="0"/>
        <v>0</v>
      </c>
      <c r="AC19" s="1460" t="str">
        <f t="shared" si="1"/>
        <v>-</v>
      </c>
      <c r="AD19" s="1459">
        <f t="shared" si="2"/>
        <v>0</v>
      </c>
      <c r="AE19" s="968" t="str">
        <f t="shared" si="3"/>
        <v/>
      </c>
      <c r="AF19" s="968" t="str">
        <f t="shared" si="4"/>
        <v/>
      </c>
      <c r="AG19" s="968" t="str">
        <f t="shared" si="5"/>
        <v/>
      </c>
      <c r="AH19" s="968" t="str">
        <f t="shared" si="6"/>
        <v/>
      </c>
      <c r="AI19" s="968" t="str">
        <f t="shared" si="7"/>
        <v/>
      </c>
      <c r="AJ19" s="968"/>
      <c r="AK19" s="968"/>
      <c r="AL19" s="270"/>
      <c r="AM19" s="270"/>
      <c r="AN19" s="575"/>
      <c r="AO19" s="270"/>
      <c r="AP19" s="271"/>
      <c r="AQ19" s="271"/>
      <c r="AR19" s="271"/>
      <c r="AS19" s="271"/>
      <c r="AT19" s="271"/>
      <c r="AU19" s="271"/>
      <c r="AV19" s="271"/>
      <c r="AW19" s="271"/>
      <c r="AX19" s="271"/>
      <c r="AY19" s="271"/>
      <c r="AZ19" s="271"/>
      <c r="BA19" s="271"/>
      <c r="BB19" s="271"/>
      <c r="BC19" s="271"/>
      <c r="BD19" s="271"/>
      <c r="BE19" s="271"/>
      <c r="BF19" s="271"/>
      <c r="BG19" s="271"/>
      <c r="BH19" s="271"/>
      <c r="BI19" s="271"/>
      <c r="BJ19" s="271"/>
      <c r="BK19" s="271"/>
      <c r="BL19" s="271"/>
      <c r="BM19" s="271"/>
      <c r="BN19" s="271"/>
      <c r="BO19" s="271"/>
      <c r="BP19" s="271"/>
      <c r="BQ19" s="271"/>
      <c r="BR19" s="271"/>
      <c r="BS19" s="271"/>
      <c r="BT19" s="271"/>
      <c r="BU19" s="271"/>
      <c r="BV19" s="271"/>
      <c r="BW19" s="271"/>
      <c r="BX19" s="271"/>
      <c r="BY19" s="271"/>
      <c r="BZ19" s="1395"/>
      <c r="CA19" s="1450"/>
      <c r="CB19" s="1450"/>
      <c r="CC19" s="270"/>
      <c r="CD19" s="270"/>
      <c r="CE19"/>
    </row>
    <row r="20" spans="1:83" ht="13.5" outlineLevel="2" thickBot="1" x14ac:dyDescent="0.25">
      <c r="A20" s="270"/>
      <c r="B20" s="271"/>
      <c r="C20" s="270"/>
      <c r="D20" s="270"/>
      <c r="E20" s="270"/>
      <c r="F20" s="270"/>
      <c r="G20" s="271"/>
      <c r="H20" s="271"/>
      <c r="I20" s="271"/>
      <c r="J20" s="270"/>
      <c r="K20" s="270"/>
      <c r="L20" s="270"/>
      <c r="M20" s="270"/>
      <c r="N20" s="270"/>
      <c r="O20" s="270"/>
      <c r="P20" s="270"/>
      <c r="Q20" s="270"/>
      <c r="R20" s="558" t="s">
        <v>1731</v>
      </c>
      <c r="S20" s="615"/>
      <c r="T20" s="619"/>
      <c r="U20" s="1501"/>
      <c r="V20" s="461" t="str">
        <f>IF(COUNTA(G15:G17) =3,GMFTGROUPORDERIND(G15:G17,V18:V20,Z18:Z20),"")</f>
        <v>A1</v>
      </c>
      <c r="W20" s="450"/>
      <c r="X20" s="462" t="s">
        <v>769</v>
      </c>
      <c r="Y20" s="450"/>
      <c r="Z20" s="463" t="str">
        <f>IF(COUNTA(G15:G17) =3,GMFTGROUPORDERIND(G15:G17,V18:V20,Z18:Z20),"")</f>
        <v>A2</v>
      </c>
      <c r="AA20" s="839"/>
      <c r="AB20" s="1459">
        <f t="shared" si="0"/>
        <v>0</v>
      </c>
      <c r="AC20" s="1460" t="str">
        <f t="shared" si="1"/>
        <v>-</v>
      </c>
      <c r="AD20" s="1459">
        <f t="shared" si="2"/>
        <v>0</v>
      </c>
      <c r="AE20" s="968" t="str">
        <f t="shared" si="3"/>
        <v/>
      </c>
      <c r="AF20" s="968" t="str">
        <f t="shared" si="4"/>
        <v/>
      </c>
      <c r="AG20" s="968" t="str">
        <f t="shared" si="5"/>
        <v/>
      </c>
      <c r="AH20" s="968" t="str">
        <f t="shared" si="6"/>
        <v/>
      </c>
      <c r="AI20" s="968" t="str">
        <f t="shared" si="7"/>
        <v/>
      </c>
      <c r="AJ20" s="968"/>
      <c r="AK20" s="968"/>
      <c r="AL20" s="270"/>
      <c r="AM20" s="270"/>
      <c r="AN20" s="575"/>
      <c r="AO20" s="270"/>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s="1395"/>
      <c r="CA20" s="1450"/>
      <c r="CB20" s="1450"/>
      <c r="CC20" s="270"/>
      <c r="CD20" s="270"/>
      <c r="CE20"/>
    </row>
    <row r="21" spans="1:83" outlineLevel="1" x14ac:dyDescent="0.2">
      <c r="A21"/>
      <c r="B21" s="1"/>
      <c r="C21"/>
      <c r="D21"/>
      <c r="E21"/>
      <c r="F21"/>
      <c r="G21" s="1"/>
      <c r="H21" s="1"/>
      <c r="I21" s="1"/>
      <c r="J21"/>
      <c r="K21"/>
      <c r="L21"/>
      <c r="M21"/>
      <c r="N21"/>
      <c r="O21"/>
      <c r="P21"/>
      <c r="Q21"/>
      <c r="R21" s="334"/>
      <c r="S21" s="1"/>
      <c r="T21" s="1"/>
      <c r="U21"/>
      <c r="V21" s="6"/>
      <c r="W21" s="1"/>
      <c r="X21" s="1"/>
      <c r="Y21" s="1"/>
      <c r="Z21" s="16"/>
      <c r="AA21" s="123"/>
      <c r="AB21" s="963"/>
      <c r="AC21" s="963"/>
      <c r="AD21" s="963"/>
      <c r="AE21" s="964"/>
      <c r="AF21" s="964"/>
      <c r="AG21" s="964"/>
      <c r="AH21" s="964"/>
      <c r="AI21" s="964"/>
      <c r="AJ21" s="964"/>
      <c r="AK21" s="964"/>
      <c r="AL21"/>
      <c r="AM21"/>
      <c r="AO2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395"/>
      <c r="CA21" s="1450"/>
      <c r="CB21" s="1450"/>
      <c r="CC21"/>
      <c r="CD21"/>
      <c r="CE21"/>
    </row>
    <row r="22" spans="1:83" ht="13.5" thickBot="1" x14ac:dyDescent="0.25">
      <c r="A22"/>
      <c r="B22" s="1"/>
      <c r="C22"/>
      <c r="D22"/>
      <c r="E22"/>
      <c r="F22"/>
      <c r="G22" s="1"/>
      <c r="H22" s="1"/>
      <c r="I22" s="1"/>
      <c r="J22"/>
      <c r="K22"/>
      <c r="L22"/>
      <c r="M22"/>
      <c r="N22"/>
      <c r="O22"/>
      <c r="P22"/>
      <c r="Q22"/>
      <c r="R22" s="334"/>
      <c r="S22" s="1"/>
      <c r="T22" s="1"/>
      <c r="U22"/>
      <c r="V22" s="6"/>
      <c r="W22" s="1"/>
      <c r="X22" s="1"/>
      <c r="Y22" s="1"/>
      <c r="Z22" s="16"/>
      <c r="AA22" s="123"/>
      <c r="AB22" s="963"/>
      <c r="AC22" s="963"/>
      <c r="AD22" s="963"/>
      <c r="AE22" s="964"/>
      <c r="AF22" s="964"/>
      <c r="AG22" s="964"/>
      <c r="AH22" s="964"/>
      <c r="AI22" s="964"/>
      <c r="AJ22" s="964"/>
      <c r="AK22" s="964"/>
      <c r="AL22"/>
      <c r="AM22"/>
      <c r="AO22"/>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395"/>
      <c r="CA22" s="1450"/>
      <c r="CB22" s="1450"/>
      <c r="CC22"/>
      <c r="CD22"/>
      <c r="CE22"/>
    </row>
    <row r="23" spans="1:83" ht="13.5" thickBot="1" x14ac:dyDescent="0.25">
      <c r="A23"/>
      <c r="B23" s="282" t="str">
        <f>N_Group_4</f>
        <v>Poule de 4</v>
      </c>
      <c r="C23" s="283"/>
      <c r="D23" s="283"/>
      <c r="E23" s="283"/>
      <c r="F23" s="283"/>
      <c r="G23" s="283"/>
      <c r="H23" s="283"/>
      <c r="I23" s="283"/>
      <c r="J23" s="283"/>
      <c r="K23" s="283"/>
      <c r="L23" s="283"/>
      <c r="M23" s="283"/>
      <c r="N23" s="283"/>
      <c r="O23" s="283"/>
      <c r="P23" s="283"/>
      <c r="Q23" s="283"/>
      <c r="R23" s="357"/>
      <c r="S23" s="283"/>
      <c r="T23" s="283"/>
      <c r="U23" s="283"/>
      <c r="V23" s="283"/>
      <c r="W23" s="992"/>
      <c r="X23" s="992"/>
      <c r="Y23" s="992"/>
      <c r="Z23" s="283"/>
      <c r="AA23" s="283"/>
      <c r="AB23" s="965"/>
      <c r="AC23" s="965"/>
      <c r="AD23" s="965"/>
      <c r="AE23" s="966"/>
      <c r="AF23" s="966"/>
      <c r="AG23" s="966"/>
      <c r="AH23" s="966"/>
      <c r="AI23" s="966"/>
      <c r="AJ23" s="966"/>
      <c r="AK23" s="965"/>
      <c r="AL23" s="283"/>
      <c r="AM23" s="282" t="str">
        <f>B23</f>
        <v>Poule de 4</v>
      </c>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1395"/>
      <c r="CA23" s="1450"/>
      <c r="CB23" s="1450"/>
      <c r="CC23" s="284"/>
      <c r="CD23"/>
      <c r="CE23"/>
    </row>
    <row r="24" spans="1:83" ht="13.5" outlineLevel="1" thickBot="1" x14ac:dyDescent="0.25">
      <c r="A24"/>
      <c r="B24" s="1"/>
      <c r="C24"/>
      <c r="D24"/>
      <c r="E24"/>
      <c r="F24"/>
      <c r="G24" s="1"/>
      <c r="H24" s="1"/>
      <c r="I24" s="1"/>
      <c r="J24"/>
      <c r="K24"/>
      <c r="L24"/>
      <c r="M24"/>
      <c r="N24"/>
      <c r="O24"/>
      <c r="P24"/>
      <c r="Q24"/>
      <c r="R24" s="334"/>
      <c r="S24" s="1"/>
      <c r="T24" s="1"/>
      <c r="U24"/>
      <c r="V24" s="6"/>
      <c r="W24" s="1"/>
      <c r="X24" s="1"/>
      <c r="Y24" s="1"/>
      <c r="Z24" s="16"/>
      <c r="AA24" s="123"/>
      <c r="AB24" s="963"/>
      <c r="AC24" s="963"/>
      <c r="AD24" s="963"/>
      <c r="AE24" s="964"/>
      <c r="AF24" s="964"/>
      <c r="AG24" s="964"/>
      <c r="AH24" s="964"/>
      <c r="AI24" s="964"/>
      <c r="AJ24" s="964"/>
      <c r="AK24" s="964"/>
      <c r="AL24"/>
      <c r="AM24"/>
      <c r="AN24" s="833"/>
      <c r="AO24"/>
      <c r="AP24" s="1"/>
      <c r="AQ24" s="1"/>
      <c r="AR24" s="1"/>
      <c r="AS24" s="1"/>
      <c r="AT24" s="1"/>
      <c r="AU24" s="1"/>
      <c r="AV24" s="1"/>
      <c r="AW24" s="1"/>
      <c r="AX24" s="1"/>
      <c r="AY24" s="1"/>
      <c r="AZ24" s="1"/>
      <c r="BA24" s="1"/>
      <c r="BB24" s="1"/>
      <c r="BC24" s="1"/>
      <c r="BD24"/>
      <c r="BE24"/>
      <c r="BF24"/>
      <c r="BG24"/>
      <c r="BH24"/>
      <c r="BI24"/>
      <c r="BJ24"/>
      <c r="BK24"/>
      <c r="BL24"/>
      <c r="BM24"/>
      <c r="BN24"/>
      <c r="BO24"/>
      <c r="BP24"/>
      <c r="BQ24"/>
      <c r="BR24"/>
      <c r="BS24"/>
      <c r="BT24"/>
      <c r="BU24"/>
      <c r="BV24"/>
      <c r="BW24"/>
      <c r="BX24"/>
      <c r="BY24"/>
      <c r="BZ24" s="1395"/>
      <c r="CA24" s="1450"/>
      <c r="CB24" s="1450"/>
      <c r="CC24"/>
      <c r="CD24"/>
      <c r="CE24"/>
    </row>
    <row r="25" spans="1:83" ht="13.5" outlineLevel="1" thickBot="1" x14ac:dyDescent="0.25">
      <c r="A25"/>
      <c r="B25" s="18" t="str">
        <f>N_Tirage</f>
        <v>Tirage</v>
      </c>
      <c r="C25" s="307" t="s">
        <v>787</v>
      </c>
      <c r="D25" s="308" t="s">
        <v>831</v>
      </c>
      <c r="E25" s="308" t="s">
        <v>832</v>
      </c>
      <c r="F25" s="309" t="s">
        <v>833</v>
      </c>
      <c r="G25" s="22" t="str">
        <f>N_Joueurs</f>
        <v>Joueurs</v>
      </c>
      <c r="H25" s="3" t="str">
        <f>N_RankPoints</f>
        <v>Pt. Clas.</v>
      </c>
      <c r="I25" s="3" t="str">
        <f>N_Diff_Part</f>
        <v>Diff-Part</v>
      </c>
      <c r="J25" s="23" t="str">
        <f>N_Pts</f>
        <v>Pts</v>
      </c>
      <c r="K25" s="23" t="str">
        <f>N_J</f>
        <v>J</v>
      </c>
      <c r="L25" s="20" t="str">
        <f>N_G</f>
        <v>G</v>
      </c>
      <c r="M25" s="20" t="str">
        <f>N_N</f>
        <v>N</v>
      </c>
      <c r="N25" s="20" t="str">
        <f>N_P</f>
        <v>P</v>
      </c>
      <c r="O25" s="20" t="str">
        <f>N_BP</f>
        <v>BP</v>
      </c>
      <c r="P25" s="20" t="str">
        <f>N_BC</f>
        <v>BC</v>
      </c>
      <c r="Q25" s="21" t="str">
        <f>N_Diff.</f>
        <v>Diff.</v>
      </c>
      <c r="R25" s="334"/>
      <c r="S25" s="3" t="str">
        <f>N_Heure</f>
        <v>Heure</v>
      </c>
      <c r="T25" s="22" t="str">
        <f>N_Table</f>
        <v>Table</v>
      </c>
      <c r="U25" s="22" t="str">
        <f>N_Arbitre</f>
        <v>Arbitre</v>
      </c>
      <c r="V25" s="293" t="str">
        <f>N_Matches</f>
        <v>Matches</v>
      </c>
      <c r="W25" s="294"/>
      <c r="X25" s="294"/>
      <c r="Y25" s="294"/>
      <c r="Z25" s="295"/>
      <c r="AA25" s="8"/>
      <c r="AB25" s="1461" t="str">
        <f>IF(MaxScore,N_MaxScore,"")</f>
        <v>Score Max</v>
      </c>
      <c r="AC25" s="1461"/>
      <c r="AD25" s="1461"/>
      <c r="AE25" s="964" t="str">
        <f>N_G</f>
        <v>G</v>
      </c>
      <c r="AF25" s="964" t="str">
        <f>N_N</f>
        <v>N</v>
      </c>
      <c r="AG25" s="964" t="str">
        <f>N_N</f>
        <v>N</v>
      </c>
      <c r="AH25" s="964" t="str">
        <f>N_P</f>
        <v>P</v>
      </c>
      <c r="AI25" s="964" t="s">
        <v>1560</v>
      </c>
      <c r="AJ25" s="964" t="s">
        <v>3714</v>
      </c>
      <c r="AK25" s="964" t="str">
        <f>IF(COUNTA(W26:W31)=0,"","OK")</f>
        <v/>
      </c>
      <c r="AL25"/>
      <c r="AM25"/>
      <c r="AN25" s="24" t="str">
        <f>N_Cla.</f>
        <v>Cla.</v>
      </c>
      <c r="AO25" s="70" t="str">
        <f>N_Joueurs</f>
        <v>Joueurs</v>
      </c>
      <c r="AP25" s="23" t="str">
        <f>N_Pts</f>
        <v>Pts</v>
      </c>
      <c r="AQ25" s="23" t="str">
        <f>N_J</f>
        <v>J</v>
      </c>
      <c r="AR25" s="20" t="str">
        <f>N_G</f>
        <v>G</v>
      </c>
      <c r="AS25" s="20" t="str">
        <f>N_N</f>
        <v>N</v>
      </c>
      <c r="AT25" s="20" t="str">
        <f>N_P</f>
        <v>P</v>
      </c>
      <c r="AU25" s="20" t="str">
        <f>N_BP</f>
        <v>BP</v>
      </c>
      <c r="AV25" s="20" t="str">
        <f>N_BC</f>
        <v>BC</v>
      </c>
      <c r="AW25" s="21" t="str">
        <f>N_Diff.</f>
        <v>Diff.</v>
      </c>
      <c r="AX25" s="286" t="str">
        <f>N_Matches</f>
        <v>Matches</v>
      </c>
      <c r="AY25" s="287"/>
      <c r="AZ25" s="287"/>
      <c r="BA25" s="287"/>
      <c r="BB25" s="287"/>
      <c r="BC25" s="288"/>
      <c r="BD25"/>
      <c r="BE25"/>
      <c r="BF25"/>
      <c r="BG25"/>
      <c r="BH25"/>
      <c r="BI25"/>
      <c r="BJ25"/>
      <c r="BK25"/>
      <c r="BL25"/>
      <c r="BM25"/>
      <c r="BN25"/>
      <c r="BO25"/>
      <c r="BP25"/>
      <c r="BQ25"/>
      <c r="BR25"/>
      <c r="BS25"/>
      <c r="BT25"/>
      <c r="BU25"/>
      <c r="BV25"/>
      <c r="BW25"/>
      <c r="BX25"/>
      <c r="BY25"/>
      <c r="BZ25" s="1395"/>
      <c r="CA25" s="1450"/>
      <c r="CB25" s="1450"/>
      <c r="CC25"/>
      <c r="CD25"/>
      <c r="CE25"/>
    </row>
    <row r="26" spans="1:83" outlineLevel="1" x14ac:dyDescent="0.2">
      <c r="A26" s="270"/>
      <c r="B26" s="505">
        <v>1</v>
      </c>
      <c r="C26" s="549" t="str">
        <f>IF(AK25="","",RANK(F26,F26:F29)*1000+ROW())</f>
        <v/>
      </c>
      <c r="D26" s="550" t="str">
        <f>IF(L26="","",CritClassInd1_Points*J26+CritClassInd1_Matches*L26+CritClassInd1_Attaque*O26+CritClassInd1_DiffButs*Q26)</f>
        <v/>
      </c>
      <c r="E26" s="550" t="str">
        <f>IF(L26="","",Nb_Diff_Part(D26,D26:D29,G26,G26:G29,AI26:AI31)*CritClassInd_DiffPart+Nb_Goal_Part(D26,D26:D29,G26,G26:G29,V26:Z31)*CritClassInd_GoalPart+Nb_Score_Part(D26,D26:D29,G26,G26:G29,V26:Z31)*CritClassInd_ScorePart)</f>
        <v/>
      </c>
      <c r="F26" s="551" t="str">
        <f>IF(L26="","",D26+E26+CritClassInd2_Points*J26+CritClassInd2_Matches*L26+CritClassInd2_Attaque*O26+CritClassInd2_DiffButs*Q26+CritClassInd_Ranking*H26+I26)</f>
        <v/>
      </c>
      <c r="G26" s="552" t="s">
        <v>903</v>
      </c>
      <c r="H26" s="499">
        <f>GMFTRANKINGPOINTS(G26,Particular_Category)</f>
        <v>0</v>
      </c>
      <c r="I26" s="500"/>
      <c r="J26" s="576" t="str">
        <f>IF(AK25="","",(L26*Points_Victoire)+M26*Points_Null)</f>
        <v/>
      </c>
      <c r="K26" s="577" t="str">
        <f>IF(L26="","",SUM(L26:N26))</f>
        <v/>
      </c>
      <c r="L26" s="577" t="str">
        <f>IF(AK25="","",COUNTIF(AE26:AE31,G26))</f>
        <v/>
      </c>
      <c r="M26" s="577" t="str">
        <f>IF(AK25="","",COUNTIF(AF26:AG31,G26))</f>
        <v/>
      </c>
      <c r="N26" s="577" t="str">
        <f>IF(AK25="","",COUNTIF(AH26:AH31,G26))</f>
        <v/>
      </c>
      <c r="O26" s="577" t="str">
        <f>IF(AK25="","",SUMIF(V26:V31,G26,AB26:AB31)+SUMIF(Z26:Z31,G26,AD26:AD31))</f>
        <v/>
      </c>
      <c r="P26" s="577" t="str">
        <f>IF(AK25="","",SUMIF(V26:V31,G26,AD26:AD31)+SUMIF(Z26:Z31,G26,AB26:AB31))</f>
        <v/>
      </c>
      <c r="Q26" s="578" t="str">
        <f>IF(AK25="","",O26-P26)</f>
        <v/>
      </c>
      <c r="R26" s="558" t="s">
        <v>1726</v>
      </c>
      <c r="S26" s="611"/>
      <c r="T26" s="617"/>
      <c r="U26" s="1502"/>
      <c r="V26" s="2200" t="str">
        <f>IF(COUNTA(G26:G29) =4,GMFTGROUPORDERIND(G26:G29,V26:V31,Z26:Z31),"")</f>
        <v>A1</v>
      </c>
      <c r="W26" s="2201"/>
      <c r="X26" s="2202" t="s">
        <v>769</v>
      </c>
      <c r="Y26" s="2201"/>
      <c r="Z26" s="2203" t="str">
        <f>IF(COUNTA(G26:G29) =4,GMFTGROUPORDERIND(G26:G29,V26:V31,Z26:Z31),"")</f>
        <v>A4</v>
      </c>
      <c r="AA26" s="839"/>
      <c r="AB26" s="1459">
        <f t="shared" ref="AB26:AB31" si="8">IF(MaxScore,MaxGoals(W26,Y26,MaxGoalsValue),IF(W26="","",W26))</f>
        <v>0</v>
      </c>
      <c r="AC26" s="1460" t="str">
        <f t="shared" ref="AC26:AC31" si="9">IF(MaxScore,"-",IF(W26="","","-"))</f>
        <v>-</v>
      </c>
      <c r="AD26" s="1459">
        <f t="shared" ref="AD26:AD31" si="10">IF(MaxScore,MaxGoals(Y26,W26,MaxGoalsValue),IF(Y26="","",Y26))</f>
        <v>0</v>
      </c>
      <c r="AE26" s="968" t="str">
        <f t="shared" ref="AE26:AE31" si="11">IF(W26="","",IF(W26&gt;Y26,V26,IF(W26=Y26,"",Z26)))</f>
        <v/>
      </c>
      <c r="AF26" s="968" t="str">
        <f t="shared" ref="AF26:AF31" si="12">IF(W26="","",IF(W26=Y26,V26,""))</f>
        <v/>
      </c>
      <c r="AG26" s="968" t="str">
        <f t="shared" ref="AG26:AG31" si="13">IF(W26="","",IF(W26=Y26,Z26,""))</f>
        <v/>
      </c>
      <c r="AH26" s="968" t="str">
        <f t="shared" ref="AH26:AH31" si="14">IF(W26="","",IF(W26&lt;Y26,V26,IF(W26=Y26,"",Z26)))</f>
        <v/>
      </c>
      <c r="AI26" s="968" t="str">
        <f t="shared" ref="AI26:AI31" si="15">CONCATENATE(AE26,AH26)</f>
        <v/>
      </c>
      <c r="AJ26" s="968"/>
      <c r="AK26" s="968" t="str">
        <f>IF(AK25="","",SMALL(C26:C29,1))</f>
        <v/>
      </c>
      <c r="AL26" s="270"/>
      <c r="AM26" s="270"/>
      <c r="AN26" s="505" t="str">
        <f>IF(AK25="","",INT(AK26/1000))</f>
        <v/>
      </c>
      <c r="AO26" s="506" t="str">
        <f>IF(AK25="",IF(HidePlayerFormulas,"","("&amp;G26&amp;")"),VLOOKUP(AK26,C26:Q29,5,FALSE))</f>
        <v/>
      </c>
      <c r="AP26" s="507" t="str">
        <f>VLOOKUP(AK26,$C26:$Q29,8,FALSE)</f>
        <v/>
      </c>
      <c r="AQ26" s="507" t="str">
        <f>VLOOKUP(AK26,$C26:$Q29,9,FALSE)</f>
        <v/>
      </c>
      <c r="AR26" s="507" t="str">
        <f>VLOOKUP(AK26,$C26:$Q29,10,FALSE)</f>
        <v/>
      </c>
      <c r="AS26" s="507" t="str">
        <f>VLOOKUP(AK26,$C26:$Q29,11,FALSE)</f>
        <v/>
      </c>
      <c r="AT26" s="507" t="str">
        <f>VLOOKUP(AK26,$C26:$Q29,12,FALSE)</f>
        <v/>
      </c>
      <c r="AU26" s="507" t="str">
        <f>VLOOKUP(AK26,$C26:$Q29,13,FALSE)</f>
        <v/>
      </c>
      <c r="AV26" s="507" t="str">
        <f>VLOOKUP(AK26,$C26:$Q29,14,FALSE)</f>
        <v/>
      </c>
      <c r="AW26" s="508" t="str">
        <f>VLOOKUP(AK26,$C26:$Q29,15,FALSE)</f>
        <v/>
      </c>
      <c r="AX26" s="517" t="str">
        <f>IF(W26="","",IF(AO26=V26,W26,IF(AO26=Z26,Y26,"")))</f>
        <v/>
      </c>
      <c r="AY26" s="518" t="str">
        <f>IF(W27="","",IF(AO26=V27,W27,IF(AO26=Z27,Y27,"")))</f>
        <v/>
      </c>
      <c r="AZ26" s="518" t="str">
        <f>IF(W28="","",IF(AO26=V28,W28,IF(AO26=Z28,Y28,"")))</f>
        <v/>
      </c>
      <c r="BA26" s="518" t="str">
        <f>IF(W29="","",IF(AO26=V29,W29,IF(AO26=Z29,Y29,"")))</f>
        <v/>
      </c>
      <c r="BB26" s="518" t="str">
        <f>IF(W30="","",IF(AO26=V30,W30,IF(AO26=Z30,Y30,"")))</f>
        <v/>
      </c>
      <c r="BC26" s="519" t="str">
        <f>IF(W31="","",IF(AO26=V31,W31,IF(AO26=Z31,Y31,"")))</f>
        <v/>
      </c>
      <c r="BD26" s="270"/>
      <c r="BE26" s="270"/>
      <c r="BF26" s="270"/>
      <c r="BG26" s="270"/>
      <c r="BH26" s="270"/>
      <c r="BI26" s="270"/>
      <c r="BJ26" s="270"/>
      <c r="BK26" s="270"/>
      <c r="BL26" s="270"/>
      <c r="BM26" s="270"/>
      <c r="BN26" s="270"/>
      <c r="BO26" s="270"/>
      <c r="BP26" s="270"/>
      <c r="BQ26" s="270"/>
      <c r="BR26" s="270"/>
      <c r="BS26" s="270"/>
      <c r="BT26" s="270"/>
      <c r="BU26" s="270"/>
      <c r="BV26" s="270"/>
      <c r="BW26" s="270"/>
      <c r="BX26" s="270"/>
      <c r="BY26" s="270"/>
      <c r="BZ26" s="1395" t="b">
        <f>IF(G26="[---WithDraw---]",FALSE,IF(COUNTIF(PlayerNamesWithinGroups,G26)&gt;1,TRUE,FALSE))</f>
        <v>1</v>
      </c>
      <c r="CA26" s="1450" t="b">
        <f>AND(LEFT($AO26,1) = "(", RIGHT($AO26,1) =")")</f>
        <v>0</v>
      </c>
      <c r="CB26" s="1450" t="b">
        <f>IF(OR($AN26=$AN25,$AN26=$AN27),TRUE,FALSE)</f>
        <v>1</v>
      </c>
      <c r="CC26" s="270"/>
      <c r="CD26" s="270"/>
      <c r="CE26"/>
    </row>
    <row r="27" spans="1:83" ht="13.5" outlineLevel="1" thickBot="1" x14ac:dyDescent="0.25">
      <c r="A27" s="270"/>
      <c r="B27" s="509">
        <v>2</v>
      </c>
      <c r="C27" s="560" t="str">
        <f>IF(AK25="","",RANK(F27,F26:F29)*1000+ROW())</f>
        <v/>
      </c>
      <c r="D27" s="561" t="str">
        <f>IF(L27="","",CritClassInd1_Points*J27+CritClassInd1_Matches*L27+CritClassInd1_Attaque*O27+CritClassInd1_DiffButs*Q27)</f>
        <v/>
      </c>
      <c r="E27" s="561" t="str">
        <f>IF(L27="","",Nb_Diff_Part(D27,D26:D29,G27,G26:G29,AI26:AI31)*CritClassInd_DiffPart+Nb_Goal_Part(D27,D26:D29,G27,G26:G29,V26:Z31)*CritClassInd_GoalPart+Nb_Score_Part(D27,D26:D29,G27,G26:G29,V26:Z31)*CritClassInd_ScorePart)</f>
        <v/>
      </c>
      <c r="F27" s="562" t="str">
        <f>IF(L27="","",D27+E27+CritClassInd2_Points*J27+CritClassInd2_Matches*L27+CritClassInd2_Attaque*O27+CritClassInd2_DiffButs*Q27+CritClassInd_Ranking*H27+I27)</f>
        <v/>
      </c>
      <c r="G27" s="502" t="s">
        <v>904</v>
      </c>
      <c r="H27" s="501">
        <f>GMFTRANKINGPOINTS(G27,Particular_Category)</f>
        <v>0</v>
      </c>
      <c r="I27" s="502"/>
      <c r="J27" s="579" t="str">
        <f>IF(AK25="","",(L27*Points_Victoire)+M27*Points_Null)</f>
        <v/>
      </c>
      <c r="K27" s="580" t="str">
        <f>IF(L27="","",SUM(L27:N27))</f>
        <v/>
      </c>
      <c r="L27" s="580" t="str">
        <f>IF(AK25="","",COUNTIF(AE26:AE31,G27))</f>
        <v/>
      </c>
      <c r="M27" s="580" t="str">
        <f>IF(AK25="","",COUNTIF(AF26:AG31,G27))</f>
        <v/>
      </c>
      <c r="N27" s="580" t="str">
        <f>IF(AK25="","",COUNTIF(AH26:AH31,G27))</f>
        <v/>
      </c>
      <c r="O27" s="580" t="str">
        <f>IF(AK25="","",SUMIF(V26:V31,G27,AB26:AB31)+SUMIF(Z26:Z31,G27,AD26:AD31))</f>
        <v/>
      </c>
      <c r="P27" s="580" t="str">
        <f>IF(AK25="","",SUMIF(V26:V31,G27,AD26:AD31)+SUMIF(Z26:Z31,G27,AB26:AB31))</f>
        <v/>
      </c>
      <c r="Q27" s="581" t="str">
        <f>IF(AK25="","",O27-P27)</f>
        <v/>
      </c>
      <c r="R27" s="558" t="s">
        <v>1726</v>
      </c>
      <c r="S27" s="615"/>
      <c r="T27" s="619"/>
      <c r="U27" s="1503"/>
      <c r="V27" s="461" t="str">
        <f>IF(COUNTA(G26:G29) =4,GMFTGROUPORDERIND(G26:G29,V26:V31,Z26:Z31),"")</f>
        <v>A2</v>
      </c>
      <c r="W27" s="450"/>
      <c r="X27" s="462" t="s">
        <v>769</v>
      </c>
      <c r="Y27" s="450"/>
      <c r="Z27" s="463" t="str">
        <f>IF(COUNTA(G26:G29) =4,GMFTGROUPORDERIND(G26:G29,V26:V31,Z26:Z31),"")</f>
        <v>A3</v>
      </c>
      <c r="AA27" s="839"/>
      <c r="AB27" s="1459">
        <f t="shared" si="8"/>
        <v>0</v>
      </c>
      <c r="AC27" s="1460" t="str">
        <f t="shared" si="9"/>
        <v>-</v>
      </c>
      <c r="AD27" s="1459">
        <f t="shared" si="10"/>
        <v>0</v>
      </c>
      <c r="AE27" s="968" t="str">
        <f t="shared" si="11"/>
        <v/>
      </c>
      <c r="AF27" s="968" t="str">
        <f t="shared" si="12"/>
        <v/>
      </c>
      <c r="AG27" s="968" t="str">
        <f t="shared" si="13"/>
        <v/>
      </c>
      <c r="AH27" s="968" t="str">
        <f t="shared" si="14"/>
        <v/>
      </c>
      <c r="AI27" s="968" t="str">
        <f t="shared" si="15"/>
        <v/>
      </c>
      <c r="AJ27" s="968"/>
      <c r="AK27" s="968" t="str">
        <f>IF(AK25="","",SMALL(C26:C29,2))</f>
        <v/>
      </c>
      <c r="AL27" s="270"/>
      <c r="AM27" s="270"/>
      <c r="AN27" s="509" t="str">
        <f>IF(AK25="","",INT(AK27/1000))</f>
        <v/>
      </c>
      <c r="AO27" s="510" t="str">
        <f>IF(AK25="",IF(HidePlayerFormulas,"","("&amp;G27&amp;")"),VLOOKUP(AK27,C26:Q29,5,FALSE))</f>
        <v/>
      </c>
      <c r="AP27" s="511" t="str">
        <f>VLOOKUP(AK27,$C26:$Q29,8,FALSE)</f>
        <v/>
      </c>
      <c r="AQ27" s="511" t="str">
        <f>VLOOKUP(AK27,$C26:$Q29,9,FALSE)</f>
        <v/>
      </c>
      <c r="AR27" s="511" t="str">
        <f>VLOOKUP(AK27,$C26:$Q29,10,FALSE)</f>
        <v/>
      </c>
      <c r="AS27" s="511" t="str">
        <f>VLOOKUP(AK27,$C26:$Q29,11,FALSE)</f>
        <v/>
      </c>
      <c r="AT27" s="511" t="str">
        <f>VLOOKUP(AK27,$C26:$Q29,12,FALSE)</f>
        <v/>
      </c>
      <c r="AU27" s="511" t="str">
        <f>VLOOKUP(AK27,$C26:$Q29,13,FALSE)</f>
        <v/>
      </c>
      <c r="AV27" s="511" t="str">
        <f>VLOOKUP(AK27,$C26:$Q29,14,FALSE)</f>
        <v/>
      </c>
      <c r="AW27" s="512" t="str">
        <f>VLOOKUP(AK27,$C26:$Q29,15,FALSE)</f>
        <v/>
      </c>
      <c r="AX27" s="520" t="str">
        <f>IF(W26="","",IF(AO27=V26,W26,IF(AO27=Z26,Y26,"")))</f>
        <v/>
      </c>
      <c r="AY27" s="521" t="str">
        <f>IF(W27="","",IF(AO27=V27,W27,IF(AO27=Z27,Y27,"")))</f>
        <v/>
      </c>
      <c r="AZ27" s="521" t="str">
        <f>IF(W28="","",IF(AO27=V28,W28,IF(AO27=Z28,Y28,"")))</f>
        <v/>
      </c>
      <c r="BA27" s="521" t="str">
        <f>IF(W29="","",IF(AO27=V29,W29,IF(AO27=Z29,Y29,"")))</f>
        <v/>
      </c>
      <c r="BB27" s="521" t="str">
        <f>IF(W30="","",IF(AO27=V30,W30,IF(AO27=Z30,Y30,"")))</f>
        <v/>
      </c>
      <c r="BC27" s="522" t="str">
        <f>IF(W31="","",IF(AO27=V31,W31,IF(AO27=Z31,Y31,"")))</f>
        <v/>
      </c>
      <c r="BD27" s="270"/>
      <c r="BE27" s="270"/>
      <c r="BF27" s="270"/>
      <c r="BG27" s="270"/>
      <c r="BH27" s="270"/>
      <c r="BI27" s="270"/>
      <c r="BJ27" s="270"/>
      <c r="BK27" s="270"/>
      <c r="BL27" s="270"/>
      <c r="BM27" s="270"/>
      <c r="BN27" s="270"/>
      <c r="BO27" s="270"/>
      <c r="BP27" s="270"/>
      <c r="BQ27" s="270"/>
      <c r="BR27" s="270"/>
      <c r="BS27" s="270"/>
      <c r="BT27" s="270"/>
      <c r="BU27" s="270"/>
      <c r="BV27" s="270"/>
      <c r="BW27" s="270"/>
      <c r="BX27" s="270"/>
      <c r="BY27" s="270"/>
      <c r="BZ27" s="1395" t="b">
        <f>IF(G27="[---WithDraw---]",FALSE,IF(COUNTIF(PlayerNamesWithinGroups,G27)&gt;1,TRUE,FALSE))</f>
        <v>1</v>
      </c>
      <c r="CA27" s="1450" t="b">
        <f>AND(LEFT($AO27,1) = "(", RIGHT($AO27,1) =")")</f>
        <v>0</v>
      </c>
      <c r="CB27" s="1450" t="b">
        <f>IF(OR($AN27=$AN26,$AN27=$AN28),TRUE,FALSE)</f>
        <v>1</v>
      </c>
      <c r="CC27" s="270"/>
      <c r="CD27" s="270"/>
      <c r="CE27"/>
    </row>
    <row r="28" spans="1:83" outlineLevel="1" x14ac:dyDescent="0.2">
      <c r="A28" s="270"/>
      <c r="B28" s="509">
        <v>3</v>
      </c>
      <c r="C28" s="560" t="str">
        <f>IF(AK25="","",RANK(F28,F26:F29)*1000+ROW())</f>
        <v/>
      </c>
      <c r="D28" s="561" t="str">
        <f>IF(L28="","",CritClassInd1_Points*J28+CritClassInd1_Matches*L28+CritClassInd1_Attaque*O28+CritClassInd1_DiffButs*Q28)</f>
        <v/>
      </c>
      <c r="E28" s="561" t="str">
        <f>IF(L28="","",Nb_Diff_Part(D28,D26:D29,G28,G26:G29,AI26:AI31)*CritClassInd_DiffPart+Nb_Goal_Part(D28,D26:D29,G28,G26:G29,V26:Z31)*CritClassInd_GoalPart+Nb_Score_Part(D28,D26:D29,G28,G26:G29,V26:Z31)*CritClassInd_ScorePart)</f>
        <v/>
      </c>
      <c r="F28" s="562" t="str">
        <f>IF(L28="","",D28+E28+CritClassInd2_Points*J28+CritClassInd2_Matches*L28+CritClassInd2_Attaque*O28+CritClassInd2_DiffButs*Q28+CritClassInd_Ranking*H28+I28)</f>
        <v/>
      </c>
      <c r="G28" s="502" t="s">
        <v>905</v>
      </c>
      <c r="H28" s="501">
        <f>GMFTRANKINGPOINTS(G28,Particular_Category)</f>
        <v>0</v>
      </c>
      <c r="I28" s="502"/>
      <c r="J28" s="579" t="str">
        <f>IF(AK25="","",(L28*Points_Victoire)+M28*Points_Null)</f>
        <v/>
      </c>
      <c r="K28" s="580" t="str">
        <f>IF(L28="","",SUM(L28:N28))</f>
        <v/>
      </c>
      <c r="L28" s="580" t="str">
        <f>IF(AK25="","",COUNTIF(AE26:AE31,G28))</f>
        <v/>
      </c>
      <c r="M28" s="580" t="str">
        <f>IF(AK25="","",COUNTIF(AF26:AG31,G28))</f>
        <v/>
      </c>
      <c r="N28" s="580" t="str">
        <f>IF(AK25="","",COUNTIF(AH26:AH31,G28))</f>
        <v/>
      </c>
      <c r="O28" s="580" t="str">
        <f>IF(AK25="","",SUMIF(V26:V31,G28,AB26:AB31)+SUMIF(Z26:Z31,G28,AD26:AD31))</f>
        <v/>
      </c>
      <c r="P28" s="580" t="str">
        <f>IF(AK25="","",SUMIF(V26:V31,G28,AD26:AD31)+SUMIF(Z26:Z31,G28,AB26:AB31))</f>
        <v/>
      </c>
      <c r="Q28" s="581" t="str">
        <f>IF(AK25="","",O28-P28)</f>
        <v/>
      </c>
      <c r="R28" s="558" t="s">
        <v>1727</v>
      </c>
      <c r="S28" s="611"/>
      <c r="T28" s="617"/>
      <c r="U28" s="1502"/>
      <c r="V28" s="2200" t="str">
        <f>IF(COUNTA(G26:G29) =4,GMFTGROUPORDERIND(G26:G29,V26:V31,Z26:Z31),"")</f>
        <v>A3</v>
      </c>
      <c r="W28" s="2201"/>
      <c r="X28" s="2202" t="s">
        <v>769</v>
      </c>
      <c r="Y28" s="2201"/>
      <c r="Z28" s="2203" t="str">
        <f>IF(COUNTA(G26:G29) =4,GMFTGROUPORDERIND(G26:G29,V26:V31,Z26:Z31),"")</f>
        <v>A1</v>
      </c>
      <c r="AA28" s="839"/>
      <c r="AB28" s="1459">
        <f t="shared" si="8"/>
        <v>0</v>
      </c>
      <c r="AC28" s="1460" t="str">
        <f t="shared" si="9"/>
        <v>-</v>
      </c>
      <c r="AD28" s="1459">
        <f t="shared" si="10"/>
        <v>0</v>
      </c>
      <c r="AE28" s="968" t="str">
        <f t="shared" si="11"/>
        <v/>
      </c>
      <c r="AF28" s="968" t="str">
        <f t="shared" si="12"/>
        <v/>
      </c>
      <c r="AG28" s="968" t="str">
        <f t="shared" si="13"/>
        <v/>
      </c>
      <c r="AH28" s="968" t="str">
        <f t="shared" si="14"/>
        <v/>
      </c>
      <c r="AI28" s="968" t="str">
        <f t="shared" si="15"/>
        <v/>
      </c>
      <c r="AJ28" s="968"/>
      <c r="AK28" s="968" t="str">
        <f>IF(AK25="","",SMALL(C26:C29,3))</f>
        <v/>
      </c>
      <c r="AL28" s="270"/>
      <c r="AM28" s="270"/>
      <c r="AN28" s="509" t="str">
        <f>IF(AK25="","",INT(AK28/1000))</f>
        <v/>
      </c>
      <c r="AO28" s="510" t="str">
        <f>IF(AK25="",IF(HidePlayerFormulas,"","("&amp;G28&amp;")"),VLOOKUP(AK28,C26:Q29,5,FALSE))</f>
        <v/>
      </c>
      <c r="AP28" s="511" t="str">
        <f>VLOOKUP(AK28,$C26:$Q29,8,FALSE)</f>
        <v/>
      </c>
      <c r="AQ28" s="511" t="str">
        <f>VLOOKUP(AK28,$C26:$Q29,9,FALSE)</f>
        <v/>
      </c>
      <c r="AR28" s="511" t="str">
        <f>VLOOKUP(AK28,$C26:$Q29,10,FALSE)</f>
        <v/>
      </c>
      <c r="AS28" s="511" t="str">
        <f>VLOOKUP(AK28,$C26:$Q29,11,FALSE)</f>
        <v/>
      </c>
      <c r="AT28" s="511" t="str">
        <f>VLOOKUP(AK28,$C26:$Q29,12,FALSE)</f>
        <v/>
      </c>
      <c r="AU28" s="511" t="str">
        <f>VLOOKUP(AK28,$C26:$Q29,13,FALSE)</f>
        <v/>
      </c>
      <c r="AV28" s="511" t="str">
        <f>VLOOKUP(AK28,$C26:$Q29,14,FALSE)</f>
        <v/>
      </c>
      <c r="AW28" s="512" t="str">
        <f>VLOOKUP(AK28,$C26:$Q29,15,FALSE)</f>
        <v/>
      </c>
      <c r="AX28" s="520" t="str">
        <f>IF(W26="","",IF(AO28=V26,W26,IF(AO28=Z26,Y26,"")))</f>
        <v/>
      </c>
      <c r="AY28" s="521" t="str">
        <f>IF(W27="","",IF(AO28=V27,W27,IF(AO28=Z27,Y27,"")))</f>
        <v/>
      </c>
      <c r="AZ28" s="521" t="str">
        <f>IF(W28="","",IF(AO28=V28,W28,IF(AO28=Z28,Y28,"")))</f>
        <v/>
      </c>
      <c r="BA28" s="521" t="str">
        <f>IF(W29="","",IF(AO28=V29,W29,IF(AO28=Z29,Y29,"")))</f>
        <v/>
      </c>
      <c r="BB28" s="521" t="str">
        <f>IF(W30="","",IF(AO28=V30,W30,IF(AO28=Z30,Y30,"")))</f>
        <v/>
      </c>
      <c r="BC28" s="522" t="str">
        <f>IF(W31="","",IF(AO28=V31,W31,IF(AO28=Z31,Y31,"")))</f>
        <v/>
      </c>
      <c r="BD28" s="270"/>
      <c r="BE28" s="270"/>
      <c r="BF28" s="270"/>
      <c r="BG28" s="270"/>
      <c r="BH28" s="270"/>
      <c r="BI28" s="270"/>
      <c r="BJ28" s="270"/>
      <c r="BK28" s="270"/>
      <c r="BL28" s="270"/>
      <c r="BM28" s="270"/>
      <c r="BN28" s="270"/>
      <c r="BO28" s="270"/>
      <c r="BP28" s="270"/>
      <c r="BQ28" s="270"/>
      <c r="BR28" s="270"/>
      <c r="BS28" s="270"/>
      <c r="BT28" s="270"/>
      <c r="BU28" s="270"/>
      <c r="BV28" s="270"/>
      <c r="BW28" s="270"/>
      <c r="BX28" s="270"/>
      <c r="BY28" s="270"/>
      <c r="BZ28" s="1395" t="b">
        <f>IF(G28="[---WithDraw---]",FALSE,IF(COUNTIF(PlayerNamesWithinGroups,G28)&gt;1,TRUE,FALSE))</f>
        <v>1</v>
      </c>
      <c r="CA28" s="1450" t="b">
        <f>AND(LEFT($AO28,1) = "(", RIGHT($AO28,1) =")")</f>
        <v>0</v>
      </c>
      <c r="CB28" s="1450" t="b">
        <f>IF(OR($AN28=$AN27,$AN28=$AN29),TRUE,FALSE)</f>
        <v>1</v>
      </c>
      <c r="CC28" s="270"/>
      <c r="CD28" s="270"/>
      <c r="CE28"/>
    </row>
    <row r="29" spans="1:83" ht="13.5" outlineLevel="1" thickBot="1" x14ac:dyDescent="0.25">
      <c r="A29" s="270"/>
      <c r="B29" s="513">
        <v>4</v>
      </c>
      <c r="C29" s="565" t="str">
        <f>IF(AK25="","",RANK(F29,F26:F29)*1000+ROW())</f>
        <v/>
      </c>
      <c r="D29" s="566" t="str">
        <f>IF(L29="","",CritClassInd1_Points*J29+CritClassInd1_Matches*L29+CritClassInd1_Attaque*O29+CritClassInd1_DiffButs*Q29)</f>
        <v/>
      </c>
      <c r="E29" s="566" t="str">
        <f>IF(L29="","",Nb_Diff_Part(D29,D26:D29,G29,G26:G29,AI26:AI31)*CritClassInd_DiffPart+Nb_Goal_Part(D29,D26:D29,G29,G26:G29,V26:Z31)*CritClassInd_GoalPart+Nb_Score_Part(D29,D26:D29,G29,G26:G29,V26:Z31)*CritClassInd_ScorePart)</f>
        <v/>
      </c>
      <c r="F29" s="567" t="str">
        <f>IF(L29="","",D29+E29+CritClassInd2_Points*J29+CritClassInd2_Matches*L29+CritClassInd2_Attaque*O29+CritClassInd2_DiffButs*Q29+CritClassInd_Ranking*H29+I29)</f>
        <v/>
      </c>
      <c r="G29" s="500" t="s">
        <v>906</v>
      </c>
      <c r="H29" s="568">
        <f>GMFTRANKINGPOINTS(G29,Particular_Category)</f>
        <v>0</v>
      </c>
      <c r="I29" s="569"/>
      <c r="J29" s="582" t="str">
        <f>IF(AK25="","",(L29*Points_Victoire)+M29*Points_Null)</f>
        <v/>
      </c>
      <c r="K29" s="583" t="str">
        <f>IF(L29="","",SUM(L29:N29))</f>
        <v/>
      </c>
      <c r="L29" s="583" t="str">
        <f>IF(AK25="","",COUNTIF(AE26:AE31,G29))</f>
        <v/>
      </c>
      <c r="M29" s="583" t="str">
        <f>IF(AK25="","",COUNTIF(AF26:AG31,G29))</f>
        <v/>
      </c>
      <c r="N29" s="583" t="str">
        <f>IF(AK25="","",COUNTIF(AH26:AH31,G29))</f>
        <v/>
      </c>
      <c r="O29" s="583" t="str">
        <f>IF(AK25="","",SUMIF(V26:V31,G29,AB26:AB31)+SUMIF(Z26:Z31,G29,AD26:AD31))</f>
        <v/>
      </c>
      <c r="P29" s="583" t="str">
        <f>IF(AK25="","",SUMIF(V26:V31,G29,AD26:AD31)+SUMIF(Z26:Z31,G29,AB26:AB31))</f>
        <v/>
      </c>
      <c r="Q29" s="584" t="str">
        <f>IF(AK25="","",O29-P29)</f>
        <v/>
      </c>
      <c r="R29" s="558" t="s">
        <v>1727</v>
      </c>
      <c r="S29" s="615"/>
      <c r="T29" s="619"/>
      <c r="U29" s="1503"/>
      <c r="V29" s="461" t="str">
        <f>IF(COUNTA(G26:G29) =4,GMFTGROUPORDERIND(G26:G29,V26:V31,Z26:Z31),"")</f>
        <v>A4</v>
      </c>
      <c r="W29" s="450"/>
      <c r="X29" s="462" t="s">
        <v>769</v>
      </c>
      <c r="Y29" s="450"/>
      <c r="Z29" s="463" t="str">
        <f>IF(COUNTA(G26:G29) =4,GMFTGROUPORDERIND(G26:G29,V26:V31,Z26:Z31),"")</f>
        <v>A2</v>
      </c>
      <c r="AA29" s="839"/>
      <c r="AB29" s="1459">
        <f t="shared" si="8"/>
        <v>0</v>
      </c>
      <c r="AC29" s="1460" t="str">
        <f t="shared" si="9"/>
        <v>-</v>
      </c>
      <c r="AD29" s="1459">
        <f t="shared" si="10"/>
        <v>0</v>
      </c>
      <c r="AE29" s="968" t="str">
        <f t="shared" si="11"/>
        <v/>
      </c>
      <c r="AF29" s="968" t="str">
        <f t="shared" si="12"/>
        <v/>
      </c>
      <c r="AG29" s="968" t="str">
        <f t="shared" si="13"/>
        <v/>
      </c>
      <c r="AH29" s="968" t="str">
        <f t="shared" si="14"/>
        <v/>
      </c>
      <c r="AI29" s="968" t="str">
        <f t="shared" si="15"/>
        <v/>
      </c>
      <c r="AJ29" s="968"/>
      <c r="AK29" s="968" t="str">
        <f>IF(AK25="","",SMALL(C26:C29,4))</f>
        <v/>
      </c>
      <c r="AL29" s="270"/>
      <c r="AM29" s="270"/>
      <c r="AN29" s="513" t="str">
        <f>IF(AK25="","",INT(AK29/1000))</f>
        <v/>
      </c>
      <c r="AO29" s="514" t="str">
        <f>IF(AK25="",IF(HidePlayerFormulas,"","("&amp;G29&amp;")"),VLOOKUP(AK29,C26:Q29,5,FALSE))</f>
        <v/>
      </c>
      <c r="AP29" s="515" t="str">
        <f>VLOOKUP(AK29,$C26:$Q29,8,FALSE)</f>
        <v/>
      </c>
      <c r="AQ29" s="515" t="str">
        <f>VLOOKUP(AK29,$C26:$Q29,9,FALSE)</f>
        <v/>
      </c>
      <c r="AR29" s="515" t="str">
        <f>VLOOKUP(AK29,$C26:$Q29,10,FALSE)</f>
        <v/>
      </c>
      <c r="AS29" s="515" t="str">
        <f>VLOOKUP(AK29,$C26:$Q29,11,FALSE)</f>
        <v/>
      </c>
      <c r="AT29" s="515" t="str">
        <f>VLOOKUP(AK29,$C26:$Q29,12,FALSE)</f>
        <v/>
      </c>
      <c r="AU29" s="515" t="str">
        <f>VLOOKUP(AK29,$C26:$Q29,13,FALSE)</f>
        <v/>
      </c>
      <c r="AV29" s="515" t="str">
        <f>VLOOKUP(AK29,$C26:$Q29,14,FALSE)</f>
        <v/>
      </c>
      <c r="AW29" s="516" t="str">
        <f>VLOOKUP(AK29,$C26:$Q29,15,FALSE)</f>
        <v/>
      </c>
      <c r="AX29" s="523" t="str">
        <f>IF(W26="","",IF(AO29=V26,W26,IF(AO29=Z26,Y26,"")))</f>
        <v/>
      </c>
      <c r="AY29" s="524" t="str">
        <f>IF(W27="","",IF(AO29=V27,W27,IF(AO29=Z27,Y27,"")))</f>
        <v/>
      </c>
      <c r="AZ29" s="524" t="str">
        <f>IF(W28="","",IF(AO29=V28,W28,IF(AO29=Z28,Y28,"")))</f>
        <v/>
      </c>
      <c r="BA29" s="524" t="str">
        <f>IF(W29="","",IF(AO29=V29,W29,IF(AO29=Z29,Y29,"")))</f>
        <v/>
      </c>
      <c r="BB29" s="524" t="str">
        <f>IF(W30="","",IF(AO29=V30,W30,IF(AO29=Z30,Y30,"")))</f>
        <v/>
      </c>
      <c r="BC29" s="525" t="str">
        <f>IF(W31="","",IF(AO29=V31,W31,IF(AO29=Z31,Y31,"")))</f>
        <v/>
      </c>
      <c r="BD29" s="270"/>
      <c r="BE29" s="270"/>
      <c r="BF29" s="270"/>
      <c r="BG29" s="270"/>
      <c r="BH29" s="270"/>
      <c r="BI29" s="270"/>
      <c r="BJ29" s="270"/>
      <c r="BK29" s="270"/>
      <c r="BL29" s="270"/>
      <c r="BM29" s="270"/>
      <c r="BN29" s="270"/>
      <c r="BO29" s="270"/>
      <c r="BP29" s="270"/>
      <c r="BQ29" s="270"/>
      <c r="BR29" s="270"/>
      <c r="BS29" s="270"/>
      <c r="BT29" s="270"/>
      <c r="BU29" s="270"/>
      <c r="BV29" s="270"/>
      <c r="BW29" s="270"/>
      <c r="BX29" s="270"/>
      <c r="BY29" s="270"/>
      <c r="BZ29" s="1395" t="b">
        <f>IF(G29="[---WithDraw---]",FALSE,IF(COUNTIF(PlayerNamesWithinGroups,G29)&gt;1,TRUE,FALSE))</f>
        <v>1</v>
      </c>
      <c r="CA29" s="1450" t="b">
        <f>AND(LEFT($AO29,1) = "(", RIGHT($AO29,1) =")")</f>
        <v>0</v>
      </c>
      <c r="CB29" s="1450" t="b">
        <f>IF(OR($AN29=$AN28,$AN29=$AN30),TRUE,FALSE)</f>
        <v>1</v>
      </c>
      <c r="CC29" s="270"/>
      <c r="CD29" s="270"/>
      <c r="CE29"/>
    </row>
    <row r="30" spans="1:83" outlineLevel="2" x14ac:dyDescent="0.2">
      <c r="A30" s="270"/>
      <c r="B30" s="271"/>
      <c r="C30" s="270"/>
      <c r="D30" s="270"/>
      <c r="E30" s="270"/>
      <c r="F30" s="270"/>
      <c r="G30" s="271"/>
      <c r="H30" s="271"/>
      <c r="I30" s="271"/>
      <c r="J30" s="270"/>
      <c r="K30" s="270"/>
      <c r="L30" s="270"/>
      <c r="M30" s="270"/>
      <c r="N30" s="270"/>
      <c r="O30" s="270"/>
      <c r="P30" s="270"/>
      <c r="Q30" s="270"/>
      <c r="R30" s="558" t="s">
        <v>1728</v>
      </c>
      <c r="S30" s="620"/>
      <c r="T30" s="621"/>
      <c r="U30" s="1504"/>
      <c r="V30" s="464" t="str">
        <f>IF(COUNTA(G26:G29) =4,GMFTGROUPORDERIND(G26:G29,V26:V31,Z26:Z31),"")</f>
        <v>A1</v>
      </c>
      <c r="W30" s="465"/>
      <c r="X30" s="466" t="s">
        <v>769</v>
      </c>
      <c r="Y30" s="465"/>
      <c r="Z30" s="467" t="str">
        <f>IF(COUNTA(G26:G29) =4,GMFTGROUPORDERIND(G26:G29,V26:V31,Z26:Z31),"")</f>
        <v>A2</v>
      </c>
      <c r="AA30" s="839"/>
      <c r="AB30" s="1459">
        <f t="shared" si="8"/>
        <v>0</v>
      </c>
      <c r="AC30" s="1460" t="str">
        <f t="shared" si="9"/>
        <v>-</v>
      </c>
      <c r="AD30" s="1459">
        <f t="shared" si="10"/>
        <v>0</v>
      </c>
      <c r="AE30" s="968" t="str">
        <f t="shared" si="11"/>
        <v/>
      </c>
      <c r="AF30" s="968" t="str">
        <f t="shared" si="12"/>
        <v/>
      </c>
      <c r="AG30" s="968" t="str">
        <f t="shared" si="13"/>
        <v/>
      </c>
      <c r="AH30" s="968" t="str">
        <f t="shared" si="14"/>
        <v/>
      </c>
      <c r="AI30" s="968" t="str">
        <f t="shared" si="15"/>
        <v/>
      </c>
      <c r="AJ30" s="968"/>
      <c r="AK30" s="968"/>
      <c r="AL30" s="270"/>
      <c r="AM30" s="270"/>
      <c r="AN30" s="575"/>
      <c r="AO30" s="270"/>
      <c r="AP30" s="271"/>
      <c r="AQ30" s="271"/>
      <c r="AR30" s="271"/>
      <c r="AS30" s="271"/>
      <c r="AT30" s="271"/>
      <c r="AU30" s="271"/>
      <c r="AV30" s="271"/>
      <c r="AW30" s="271"/>
      <c r="AX30" s="271"/>
      <c r="AY30" s="271"/>
      <c r="AZ30" s="271"/>
      <c r="BA30" s="271"/>
      <c r="BB30" s="271"/>
      <c r="BC30" s="271"/>
      <c r="BD30" s="271"/>
      <c r="BE30" s="271"/>
      <c r="BF30" s="271"/>
      <c r="BG30" s="271"/>
      <c r="BH30" s="271"/>
      <c r="BI30" s="271"/>
      <c r="BJ30" s="271"/>
      <c r="BK30" s="271"/>
      <c r="BL30" s="271"/>
      <c r="BM30" s="271"/>
      <c r="BN30" s="271"/>
      <c r="BO30" s="271"/>
      <c r="BP30" s="271"/>
      <c r="BQ30" s="271"/>
      <c r="BR30" s="271"/>
      <c r="BS30" s="271"/>
      <c r="BT30" s="271"/>
      <c r="BU30" s="271"/>
      <c r="BV30" s="271"/>
      <c r="BW30" s="271"/>
      <c r="BX30" s="271"/>
      <c r="BY30" s="271"/>
      <c r="BZ30" s="1395"/>
      <c r="CA30" s="1450"/>
      <c r="CB30" s="1450"/>
      <c r="CC30" s="270"/>
      <c r="CD30" s="270"/>
      <c r="CE30"/>
    </row>
    <row r="31" spans="1:83" ht="13.5" outlineLevel="2" thickBot="1" x14ac:dyDescent="0.25">
      <c r="A31" s="270"/>
      <c r="B31" s="271"/>
      <c r="C31" s="270"/>
      <c r="D31" s="270"/>
      <c r="E31" s="270"/>
      <c r="F31" s="270"/>
      <c r="G31" s="271"/>
      <c r="H31" s="271"/>
      <c r="I31" s="271"/>
      <c r="J31" s="270"/>
      <c r="K31" s="270"/>
      <c r="L31" s="270"/>
      <c r="M31" s="270"/>
      <c r="N31" s="270"/>
      <c r="O31" s="270"/>
      <c r="P31" s="270"/>
      <c r="Q31" s="270"/>
      <c r="R31" s="558" t="s">
        <v>1728</v>
      </c>
      <c r="S31" s="615"/>
      <c r="T31" s="619"/>
      <c r="U31" s="1503"/>
      <c r="V31" s="461" t="str">
        <f>IF(COUNTA(G26:G29) =4,GMFTGROUPORDERIND(G26:G29,V26:V31,Z26:Z31),"")</f>
        <v>A3</v>
      </c>
      <c r="W31" s="450"/>
      <c r="X31" s="462" t="s">
        <v>769</v>
      </c>
      <c r="Y31" s="450"/>
      <c r="Z31" s="463" t="str">
        <f>IF(COUNTA(G26:G29) =4,GMFTGROUPORDERIND(G26:G29,V26:V31,Z26:Z31),"")</f>
        <v>A4</v>
      </c>
      <c r="AA31" s="839"/>
      <c r="AB31" s="1459">
        <f t="shared" si="8"/>
        <v>0</v>
      </c>
      <c r="AC31" s="1460" t="str">
        <f t="shared" si="9"/>
        <v>-</v>
      </c>
      <c r="AD31" s="1459">
        <f t="shared" si="10"/>
        <v>0</v>
      </c>
      <c r="AE31" s="968" t="str">
        <f t="shared" si="11"/>
        <v/>
      </c>
      <c r="AF31" s="968" t="str">
        <f t="shared" si="12"/>
        <v/>
      </c>
      <c r="AG31" s="968" t="str">
        <f t="shared" si="13"/>
        <v/>
      </c>
      <c r="AH31" s="968" t="str">
        <f t="shared" si="14"/>
        <v/>
      </c>
      <c r="AI31" s="968" t="str">
        <f t="shared" si="15"/>
        <v/>
      </c>
      <c r="AJ31" s="968"/>
      <c r="AK31" s="968"/>
      <c r="AL31" s="270"/>
      <c r="AM31" s="270"/>
      <c r="AN31" s="575"/>
      <c r="AO31" s="270"/>
      <c r="AP31" s="271"/>
      <c r="AQ31" s="271"/>
      <c r="AR31" s="271"/>
      <c r="AS31" s="271"/>
      <c r="AT31" s="271"/>
      <c r="AU31" s="271"/>
      <c r="AV31" s="271"/>
      <c r="AW31" s="271"/>
      <c r="AX31" s="271"/>
      <c r="AY31" s="271"/>
      <c r="AZ31" s="271"/>
      <c r="BA31" s="271"/>
      <c r="BB31" s="271"/>
      <c r="BC31" s="271"/>
      <c r="BD31" s="271"/>
      <c r="BE31" s="271"/>
      <c r="BF31" s="271"/>
      <c r="BG31" s="271"/>
      <c r="BH31" s="271"/>
      <c r="BI31" s="271"/>
      <c r="BJ31" s="271"/>
      <c r="BK31" s="271"/>
      <c r="BL31" s="271"/>
      <c r="BM31" s="271"/>
      <c r="BN31" s="271"/>
      <c r="BO31" s="271"/>
      <c r="BP31" s="271"/>
      <c r="BQ31" s="271"/>
      <c r="BR31" s="271"/>
      <c r="BS31" s="271"/>
      <c r="BT31" s="271"/>
      <c r="BU31" s="271"/>
      <c r="BV31" s="271"/>
      <c r="BW31" s="271"/>
      <c r="BX31" s="271"/>
      <c r="BY31" s="271"/>
      <c r="BZ31" s="1395"/>
      <c r="CA31" s="1450"/>
      <c r="CB31" s="1450"/>
      <c r="CC31" s="270"/>
      <c r="CD31" s="270"/>
      <c r="CE31"/>
    </row>
    <row r="32" spans="1:83" outlineLevel="1" x14ac:dyDescent="0.2">
      <c r="A32"/>
      <c r="B32" s="1"/>
      <c r="C32"/>
      <c r="D32"/>
      <c r="E32"/>
      <c r="F32"/>
      <c r="G32" s="1"/>
      <c r="H32" s="1"/>
      <c r="I32" s="1"/>
      <c r="J32"/>
      <c r="K32"/>
      <c r="L32"/>
      <c r="M32"/>
      <c r="N32"/>
      <c r="O32"/>
      <c r="P32"/>
      <c r="Q32"/>
      <c r="R32" s="334"/>
      <c r="S32" s="1"/>
      <c r="T32" s="1"/>
      <c r="U32"/>
      <c r="V32" s="6"/>
      <c r="W32" s="1"/>
      <c r="X32" s="1"/>
      <c r="Y32" s="1"/>
      <c r="Z32" s="16"/>
      <c r="AA32" s="123"/>
      <c r="AB32" s="963"/>
      <c r="AC32" s="963"/>
      <c r="AD32" s="963"/>
      <c r="AE32" s="964"/>
      <c r="AF32" s="964"/>
      <c r="AG32" s="964"/>
      <c r="AH32" s="964"/>
      <c r="AI32" s="964"/>
      <c r="AJ32" s="964"/>
      <c r="AK32" s="964"/>
      <c r="AL32"/>
      <c r="AM32"/>
      <c r="AO32"/>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395"/>
      <c r="CA32" s="1450"/>
      <c r="CB32" s="1450"/>
      <c r="CC32"/>
      <c r="CD32"/>
      <c r="CE32"/>
    </row>
    <row r="33" spans="1:83" ht="13.5" thickBot="1" x14ac:dyDescent="0.25">
      <c r="A33"/>
      <c r="B33" s="1"/>
      <c r="C33"/>
      <c r="D33"/>
      <c r="E33"/>
      <c r="F33"/>
      <c r="G33" s="1"/>
      <c r="H33" s="1"/>
      <c r="I33" s="1"/>
      <c r="J33"/>
      <c r="K33"/>
      <c r="L33"/>
      <c r="M33"/>
      <c r="N33"/>
      <c r="O33"/>
      <c r="P33"/>
      <c r="Q33"/>
      <c r="R33" s="334"/>
      <c r="S33" s="1"/>
      <c r="T33" s="1"/>
      <c r="U33"/>
      <c r="V33" s="6"/>
      <c r="W33" s="1"/>
      <c r="X33" s="1"/>
      <c r="Y33" s="1"/>
      <c r="Z33" s="16"/>
      <c r="AA33" s="123"/>
      <c r="AB33" s="963"/>
      <c r="AC33" s="963"/>
      <c r="AD33" s="963"/>
      <c r="AE33" s="964"/>
      <c r="AF33" s="964"/>
      <c r="AG33" s="964"/>
      <c r="AH33" s="964"/>
      <c r="AI33" s="964"/>
      <c r="AJ33" s="964"/>
      <c r="AK33" s="964"/>
      <c r="AL33"/>
      <c r="AM33"/>
      <c r="AO33"/>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395"/>
      <c r="CA33" s="1450"/>
      <c r="CB33" s="1450"/>
      <c r="CC33"/>
      <c r="CD33"/>
      <c r="CE33"/>
    </row>
    <row r="34" spans="1:83" ht="13.5" thickBot="1" x14ac:dyDescent="0.25">
      <c r="A34"/>
      <c r="B34" s="282" t="str">
        <f>N_Group_4_2leg</f>
        <v>Poule de 4 en A/R</v>
      </c>
      <c r="C34" s="283"/>
      <c r="D34" s="283"/>
      <c r="E34" s="283"/>
      <c r="F34" s="283"/>
      <c r="G34" s="283"/>
      <c r="H34" s="283"/>
      <c r="I34" s="283"/>
      <c r="J34" s="283"/>
      <c r="K34" s="283"/>
      <c r="L34" s="283"/>
      <c r="M34" s="283"/>
      <c r="N34" s="283"/>
      <c r="O34" s="283"/>
      <c r="P34" s="283"/>
      <c r="Q34" s="283"/>
      <c r="R34" s="357"/>
      <c r="S34" s="283"/>
      <c r="T34" s="283"/>
      <c r="U34" s="283"/>
      <c r="V34" s="283"/>
      <c r="W34" s="992"/>
      <c r="X34" s="992"/>
      <c r="Y34" s="992"/>
      <c r="Z34" s="283"/>
      <c r="AA34" s="283"/>
      <c r="AB34" s="965"/>
      <c r="AC34" s="965"/>
      <c r="AD34" s="965"/>
      <c r="AE34" s="966"/>
      <c r="AF34" s="966"/>
      <c r="AG34" s="966"/>
      <c r="AH34" s="966"/>
      <c r="AI34" s="966"/>
      <c r="AJ34" s="966"/>
      <c r="AK34" s="965"/>
      <c r="AL34" s="283"/>
      <c r="AM34" s="282" t="str">
        <f>B34</f>
        <v>Poule de 4 en A/R</v>
      </c>
      <c r="AN34" s="283"/>
      <c r="AO34" s="283"/>
      <c r="AP34" s="283"/>
      <c r="AQ34" s="283"/>
      <c r="AR34" s="283"/>
      <c r="AS34" s="283"/>
      <c r="AT34" s="283"/>
      <c r="AU34" s="283"/>
      <c r="AV34" s="283"/>
      <c r="AW34" s="283"/>
      <c r="AX34" s="283"/>
      <c r="AY34" s="283"/>
      <c r="AZ34" s="283"/>
      <c r="BA34" s="283"/>
      <c r="BB34" s="283"/>
      <c r="BC34" s="283"/>
      <c r="BD34" s="283"/>
      <c r="BE34" s="283"/>
      <c r="BF34" s="283"/>
      <c r="BG34" s="283"/>
      <c r="BH34" s="283"/>
      <c r="BI34" s="283"/>
      <c r="BJ34" s="283"/>
      <c r="BK34" s="283"/>
      <c r="BL34" s="283"/>
      <c r="BM34" s="283"/>
      <c r="BN34" s="283"/>
      <c r="BO34" s="283"/>
      <c r="BP34" s="283"/>
      <c r="BQ34" s="283"/>
      <c r="BR34" s="283"/>
      <c r="BS34" s="283"/>
      <c r="BT34" s="283"/>
      <c r="BU34" s="283"/>
      <c r="BV34" s="283"/>
      <c r="BW34" s="283"/>
      <c r="BX34" s="283"/>
      <c r="BY34" s="283"/>
      <c r="BZ34" s="1395"/>
      <c r="CA34" s="1450"/>
      <c r="CB34" s="1450"/>
      <c r="CC34" s="284"/>
      <c r="CD34"/>
      <c r="CE34"/>
    </row>
    <row r="35" spans="1:83" ht="13.5" outlineLevel="1" thickBot="1" x14ac:dyDescent="0.25">
      <c r="A35"/>
      <c r="B35" s="1"/>
      <c r="C35"/>
      <c r="D35"/>
      <c r="E35"/>
      <c r="F35"/>
      <c r="G35" s="1"/>
      <c r="H35" s="1"/>
      <c r="I35" s="1"/>
      <c r="J35"/>
      <c r="K35"/>
      <c r="L35"/>
      <c r="M35"/>
      <c r="N35"/>
      <c r="O35"/>
      <c r="P35"/>
      <c r="Q35"/>
      <c r="R35" s="334"/>
      <c r="S35" s="1"/>
      <c r="T35" s="1"/>
      <c r="U35"/>
      <c r="V35" s="6"/>
      <c r="W35" s="1"/>
      <c r="X35" s="1"/>
      <c r="Y35" s="1"/>
      <c r="Z35" s="16"/>
      <c r="AA35" s="123"/>
      <c r="AB35" s="963"/>
      <c r="AC35" s="963"/>
      <c r="AD35" s="963"/>
      <c r="AE35" s="964"/>
      <c r="AF35" s="964"/>
      <c r="AG35" s="964"/>
      <c r="AH35" s="964"/>
      <c r="AI35" s="964"/>
      <c r="AJ35" s="964"/>
      <c r="AK35" s="964"/>
      <c r="AL35"/>
      <c r="AM35"/>
      <c r="AN35" s="833"/>
      <c r="AO35"/>
      <c r="AP35" s="1"/>
      <c r="AQ35" s="1"/>
      <c r="AR35" s="1"/>
      <c r="AS35" s="1"/>
      <c r="AT35" s="1"/>
      <c r="AU35" s="1"/>
      <c r="AV35" s="1"/>
      <c r="AW35" s="1"/>
      <c r="AX35" s="1"/>
      <c r="AY35" s="1"/>
      <c r="AZ35" s="1"/>
      <c r="BA35" s="1"/>
      <c r="BB35" s="1"/>
      <c r="BC35" s="1"/>
      <c r="BD35" s="1"/>
      <c r="BE35" s="1"/>
      <c r="BF35" s="1"/>
      <c r="BG35" s="1"/>
      <c r="BH35" s="1"/>
      <c r="BI35" s="1"/>
      <c r="BJ35"/>
      <c r="BK35"/>
      <c r="BL35"/>
      <c r="BM35"/>
      <c r="BN35"/>
      <c r="BO35"/>
      <c r="BP35"/>
      <c r="BQ35"/>
      <c r="BR35"/>
      <c r="BS35"/>
      <c r="BT35"/>
      <c r="BU35"/>
      <c r="BV35"/>
      <c r="BW35"/>
      <c r="BX35"/>
      <c r="BY35"/>
      <c r="BZ35" s="1395"/>
      <c r="CA35" s="1450"/>
      <c r="CB35" s="1450"/>
      <c r="CC35"/>
      <c r="CD35"/>
      <c r="CE35"/>
    </row>
    <row r="36" spans="1:83" ht="13.5" outlineLevel="1" thickBot="1" x14ac:dyDescent="0.25">
      <c r="A36"/>
      <c r="B36" s="18" t="str">
        <f>N_Tirage</f>
        <v>Tirage</v>
      </c>
      <c r="C36" s="307" t="s">
        <v>787</v>
      </c>
      <c r="D36" s="308" t="s">
        <v>831</v>
      </c>
      <c r="E36" s="308" t="s">
        <v>832</v>
      </c>
      <c r="F36" s="309" t="s">
        <v>833</v>
      </c>
      <c r="G36" s="22" t="str">
        <f>N_Joueurs</f>
        <v>Joueurs</v>
      </c>
      <c r="H36" s="3" t="str">
        <f>N_RankPoints</f>
        <v>Pt. Clas.</v>
      </c>
      <c r="I36" s="3" t="str">
        <f>N_Diff_Part</f>
        <v>Diff-Part</v>
      </c>
      <c r="J36" s="311" t="str">
        <f>N_Pts</f>
        <v>Pts</v>
      </c>
      <c r="K36" s="311" t="str">
        <f>N_J</f>
        <v>J</v>
      </c>
      <c r="L36" s="308" t="str">
        <f>N_G</f>
        <v>G</v>
      </c>
      <c r="M36" s="308" t="str">
        <f>N_N</f>
        <v>N</v>
      </c>
      <c r="N36" s="308" t="str">
        <f>N_P</f>
        <v>P</v>
      </c>
      <c r="O36" s="308" t="str">
        <f>N_BP</f>
        <v>BP</v>
      </c>
      <c r="P36" s="308" t="str">
        <f>N_BC</f>
        <v>BC</v>
      </c>
      <c r="Q36" s="309" t="str">
        <f>N_Diff.</f>
        <v>Diff.</v>
      </c>
      <c r="R36" s="334"/>
      <c r="S36" s="3" t="str">
        <f>N_Heure</f>
        <v>Heure</v>
      </c>
      <c r="T36" s="22" t="str">
        <f>N_Table</f>
        <v>Table</v>
      </c>
      <c r="U36" s="22" t="str">
        <f>N_Arbitre</f>
        <v>Arbitre</v>
      </c>
      <c r="V36" s="293" t="str">
        <f>N_Matches</f>
        <v>Matches</v>
      </c>
      <c r="W36" s="294"/>
      <c r="X36" s="294"/>
      <c r="Y36" s="294"/>
      <c r="Z36" s="295"/>
      <c r="AA36" s="8"/>
      <c r="AB36" s="1461" t="str">
        <f>IF(MaxScore,N_MaxScore,"")</f>
        <v>Score Max</v>
      </c>
      <c r="AC36" s="1461"/>
      <c r="AD36" s="1461"/>
      <c r="AE36" s="964" t="str">
        <f>N_G</f>
        <v>G</v>
      </c>
      <c r="AF36" s="964" t="str">
        <f>N_N</f>
        <v>N</v>
      </c>
      <c r="AG36" s="964" t="str">
        <f>N_N</f>
        <v>N</v>
      </c>
      <c r="AH36" s="964" t="str">
        <f>N_P</f>
        <v>P</v>
      </c>
      <c r="AI36" s="964" t="s">
        <v>1560</v>
      </c>
      <c r="AJ36" s="964" t="s">
        <v>3714</v>
      </c>
      <c r="AK36" s="964" t="str">
        <f>IF(COUNTA(W37:W48)=0,"","OK")</f>
        <v/>
      </c>
      <c r="AL36" s="310"/>
      <c r="AM36"/>
      <c r="AN36" s="24" t="str">
        <f>N_Cla.</f>
        <v>Cla.</v>
      </c>
      <c r="AO36" s="70" t="str">
        <f>N_Joueurs</f>
        <v>Joueurs</v>
      </c>
      <c r="AP36" s="23" t="str">
        <f>N_Pts</f>
        <v>Pts</v>
      </c>
      <c r="AQ36" s="23" t="str">
        <f>N_J</f>
        <v>J</v>
      </c>
      <c r="AR36" s="20" t="str">
        <f>N_G</f>
        <v>G</v>
      </c>
      <c r="AS36" s="20" t="str">
        <f>N_N</f>
        <v>N</v>
      </c>
      <c r="AT36" s="20" t="str">
        <f>N_P</f>
        <v>P</v>
      </c>
      <c r="AU36" s="20" t="str">
        <f>N_BP</f>
        <v>BP</v>
      </c>
      <c r="AV36" s="20" t="str">
        <f>N_BC</f>
        <v>BC</v>
      </c>
      <c r="AW36" s="21" t="str">
        <f>N_Diff.</f>
        <v>Diff.</v>
      </c>
      <c r="AX36" s="286" t="str">
        <f>N_Matches</f>
        <v>Matches</v>
      </c>
      <c r="AY36" s="287"/>
      <c r="AZ36" s="287"/>
      <c r="BA36" s="287"/>
      <c r="BB36" s="287"/>
      <c r="BC36" s="287"/>
      <c r="BD36" s="287"/>
      <c r="BE36" s="287"/>
      <c r="BF36" s="287"/>
      <c r="BG36" s="287"/>
      <c r="BH36" s="287"/>
      <c r="BI36" s="288"/>
      <c r="BJ36"/>
      <c r="BK36"/>
      <c r="BL36"/>
      <c r="BM36"/>
      <c r="BN36"/>
      <c r="BO36"/>
      <c r="BP36"/>
      <c r="BQ36"/>
      <c r="BR36"/>
      <c r="BS36"/>
      <c r="BT36"/>
      <c r="BU36"/>
      <c r="BV36"/>
      <c r="BW36"/>
      <c r="BX36"/>
      <c r="BY36"/>
      <c r="BZ36" s="1395"/>
      <c r="CA36" s="1450"/>
      <c r="CB36" s="1450"/>
      <c r="CC36"/>
      <c r="CD36"/>
      <c r="CE36"/>
    </row>
    <row r="37" spans="1:83" outlineLevel="1" x14ac:dyDescent="0.2">
      <c r="A37" s="270"/>
      <c r="B37" s="505">
        <v>1</v>
      </c>
      <c r="C37" s="549" t="str">
        <f>IF(AK36="","",RANK(F37,F37:F40)*1000+ROW())</f>
        <v/>
      </c>
      <c r="D37" s="550" t="str">
        <f>IF(L37="","",CritClassInd1_Points*J37+CritClassInd1_Matches*L37+CritClassInd1_Attaque*O37+CritClassInd1_DiffButs*Q37)</f>
        <v/>
      </c>
      <c r="E37" s="550" t="str">
        <f>IF(L37="","",Nb_Diff_Part(D37,D37:D40,G37,G37:G40,AI37:AI48)*CritClassInd_DiffPart+Nb_Goal_Part(D37,D37:D40,G37,G37:G40,V37:Z48)*CritClassInd_GoalPart+Nb_Score_Part(D37,D37:D40,G37,G37:G40,V37:Z48)*CritClassInd_ScorePart)</f>
        <v/>
      </c>
      <c r="F37" s="551" t="str">
        <f>IF(L37="","",D37+E37+CritClassInd2_Points*J37+CritClassInd2_Matches*L37+CritClassInd2_Attaque*O37+CritClassInd2_DiffButs*Q37+CritClassInd_Ranking*H37+I37)</f>
        <v/>
      </c>
      <c r="G37" s="552" t="s">
        <v>903</v>
      </c>
      <c r="H37" s="499">
        <f>GMFTRANKINGPOINTS(G37,Particular_Category)</f>
        <v>0</v>
      </c>
      <c r="I37" s="500"/>
      <c r="J37" s="555" t="str">
        <f>IF(AK36="","",(L37*Points_Victoire)+M37*Points_Null)</f>
        <v/>
      </c>
      <c r="K37" s="556" t="str">
        <f>IF(L37="","",SUM(L37:N37))</f>
        <v/>
      </c>
      <c r="L37" s="556" t="str">
        <f>IF(AK36="","",COUNTIF(AE37:AE48,G37))</f>
        <v/>
      </c>
      <c r="M37" s="556" t="str">
        <f>IF(AK36="","",COUNTIF(AF37:AG48,G37))</f>
        <v/>
      </c>
      <c r="N37" s="556" t="str">
        <f>IF(AK36="","",COUNTIF(AH37:AH48,G37))</f>
        <v/>
      </c>
      <c r="O37" s="556" t="str">
        <f>IF(AK36="","",SUMIF(V37:V48,G37,AB37:AB48)+SUMIF(Z37:Z48,G37,AD37:AD48))</f>
        <v/>
      </c>
      <c r="P37" s="556" t="str">
        <f>IF(AK36="","",SUMIF(V37:V48,G37,AD37:AD48)+SUMIF(Z37:Z48,G37,AB37:AB48))</f>
        <v/>
      </c>
      <c r="Q37" s="557" t="str">
        <f>IF(AK36="","",O37-P37)</f>
        <v/>
      </c>
      <c r="R37" s="558" t="s">
        <v>1726</v>
      </c>
      <c r="S37" s="611"/>
      <c r="T37" s="617"/>
      <c r="U37" s="1502"/>
      <c r="V37" s="2200" t="str">
        <f>IF(COUNTA(G37:G40) =4,GMFTGROUPORDERIND(G37:G40,V37:V42,Z37:Z42),"")</f>
        <v>A1</v>
      </c>
      <c r="W37" s="2201"/>
      <c r="X37" s="2202" t="s">
        <v>769</v>
      </c>
      <c r="Y37" s="2201"/>
      <c r="Z37" s="2203" t="str">
        <f>IF(COUNTA(G37:G40) =4,GMFTGROUPORDERIND(G37:G40,V37:V42,Z37:Z42),"")</f>
        <v>A4</v>
      </c>
      <c r="AA37" s="839"/>
      <c r="AB37" s="1459">
        <f t="shared" ref="AB37:AB48" si="16">IF(MaxScore,MaxGoals(W37,Y37,MaxGoalsValue),IF(W37="","",W37))</f>
        <v>0</v>
      </c>
      <c r="AC37" s="1460" t="str">
        <f t="shared" ref="AC37:AC48" si="17">IF(MaxScore,"-",IF(W37="","","-"))</f>
        <v>-</v>
      </c>
      <c r="AD37" s="1459">
        <f t="shared" ref="AD37:AD48" si="18">IF(MaxScore,MaxGoals(Y37,W37,MaxGoalsValue),IF(Y37="","",Y37))</f>
        <v>0</v>
      </c>
      <c r="AE37" s="968" t="str">
        <f t="shared" ref="AE37:AE48" si="19">IF(W37="","",IF(W37&gt;Y37,V37,IF(W37=Y37,"",Z37)))</f>
        <v/>
      </c>
      <c r="AF37" s="968" t="str">
        <f t="shared" ref="AF37:AF48" si="20">IF(W37="","",IF(W37=Y37,V37,""))</f>
        <v/>
      </c>
      <c r="AG37" s="968" t="str">
        <f t="shared" ref="AG37:AG48" si="21">IF(W37="","",IF(W37=Y37,Z37,""))</f>
        <v/>
      </c>
      <c r="AH37" s="968" t="str">
        <f t="shared" ref="AH37:AH48" si="22">IF(W37="","",IF(W37&lt;Y37,V37,IF(W37=Y37,"",Z37)))</f>
        <v/>
      </c>
      <c r="AI37" s="968" t="str">
        <f t="shared" ref="AI37:AI48" si="23">CONCATENATE(AE37,AH37)</f>
        <v/>
      </c>
      <c r="AJ37" s="968"/>
      <c r="AK37" s="968" t="str">
        <f>IF(AK36="","",SMALL(C37:C40,1))</f>
        <v/>
      </c>
      <c r="AL37" s="559"/>
      <c r="AM37" s="270"/>
      <c r="AN37" s="505" t="str">
        <f>IF(AK36="","",INT(AK37/1000))</f>
        <v/>
      </c>
      <c r="AO37" s="506" t="str">
        <f>IF(AK36="",IF(HidePlayerFormulas,"","("&amp;G37&amp;")"),VLOOKUP(AK37,C37:Q40,5,FALSE))</f>
        <v/>
      </c>
      <c r="AP37" s="507" t="str">
        <f>VLOOKUP(AK37,$C37:$Q40,8,FALSE)</f>
        <v/>
      </c>
      <c r="AQ37" s="507" t="str">
        <f>VLOOKUP(AK37,$C37:$Q40,9,FALSE)</f>
        <v/>
      </c>
      <c r="AR37" s="507" t="str">
        <f>VLOOKUP(AK37,$C37:$Q40,10,FALSE)</f>
        <v/>
      </c>
      <c r="AS37" s="507" t="str">
        <f>VLOOKUP(AK37,$C37:$Q40,11,FALSE)</f>
        <v/>
      </c>
      <c r="AT37" s="507" t="str">
        <f>VLOOKUP(AK37,$C37:$Q40,12,FALSE)</f>
        <v/>
      </c>
      <c r="AU37" s="507" t="str">
        <f>VLOOKUP(AK37,$C37:$Q40,13,FALSE)</f>
        <v/>
      </c>
      <c r="AV37" s="507" t="str">
        <f>VLOOKUP(AK37,$C37:$Q40,14,FALSE)</f>
        <v/>
      </c>
      <c r="AW37" s="508" t="str">
        <f>VLOOKUP(AK37,$C37:$Q40,15,FALSE)</f>
        <v/>
      </c>
      <c r="AX37" s="517" t="str">
        <f>IF(W37="","",IF(AO37=V37,W37,IF(AO37=Z37,Y37,"")))</f>
        <v/>
      </c>
      <c r="AY37" s="518" t="str">
        <f>IF(W38="","",IF(AO37=V38,W38,IF(AO37=Z38,Y38,"")))</f>
        <v/>
      </c>
      <c r="AZ37" s="518" t="str">
        <f>IF(W39="","",IF(AO37=V39,W39,IF(AO37=Z39,Y39,"")))</f>
        <v/>
      </c>
      <c r="BA37" s="518" t="str">
        <f>IF(W40="","",IF(AO37=V40,W40,IF(AO37=Z40,Y40,"")))</f>
        <v/>
      </c>
      <c r="BB37" s="518" t="str">
        <f>IF(W41="","",IF(AO37=V41,W41,IF(AO37=Z41,Y41,"")))</f>
        <v/>
      </c>
      <c r="BC37" s="518" t="str">
        <f>IF(W42="","",IF(AO37=V42,W42,IF(AO37=Z42,Y42,"")))</f>
        <v/>
      </c>
      <c r="BD37" s="518" t="str">
        <f>IF(W43="","",IF(AO37=V43,W43,IF(AO37=Z43,Y43,"")))</f>
        <v/>
      </c>
      <c r="BE37" s="518" t="str">
        <f>IF(W44="","",IF(AO37=V44,W44,IF(AO37=Z44,Y44,"")))</f>
        <v/>
      </c>
      <c r="BF37" s="518" t="str">
        <f>IF(W45="","",IF(AO37=V45,W45,IF(AO37=Z45,Y45,"")))</f>
        <v/>
      </c>
      <c r="BG37" s="518" t="str">
        <f>IF(W46="","",IF(AO37=V46,W46,IF(AO37=Z46,Y46,"")))</f>
        <v/>
      </c>
      <c r="BH37" s="518" t="str">
        <f>IF(W47="","",IF(AO37=V47,W47,IF(AO37=Z47,Y47,"")))</f>
        <v/>
      </c>
      <c r="BI37" s="519" t="str">
        <f>IF(W48="","",IF(AO37=V48,W48,IF(AO37=Z48,Y48,"")))</f>
        <v/>
      </c>
      <c r="BJ37" s="270"/>
      <c r="BK37" s="270"/>
      <c r="BL37" s="270"/>
      <c r="BM37" s="270"/>
      <c r="BN37" s="270"/>
      <c r="BO37" s="270"/>
      <c r="BP37" s="270"/>
      <c r="BQ37" s="270"/>
      <c r="BR37" s="270"/>
      <c r="BS37" s="270"/>
      <c r="BT37" s="270"/>
      <c r="BU37" s="270"/>
      <c r="BV37" s="270"/>
      <c r="BW37" s="270"/>
      <c r="BX37" s="270"/>
      <c r="BY37" s="270"/>
      <c r="BZ37" s="1395" t="b">
        <f>IF(G37="[---WithDraw---]",FALSE,IF(COUNTIF(PlayerNamesWithinGroups,G37)&gt;1,TRUE,FALSE))</f>
        <v>1</v>
      </c>
      <c r="CA37" s="1450" t="b">
        <f>AND(LEFT($AO37,1) = "(", RIGHT($AO37,1) =")")</f>
        <v>0</v>
      </c>
      <c r="CB37" s="1450" t="b">
        <f>IF(OR($AN37=$AN36,$AN37=$AN38),TRUE,FALSE)</f>
        <v>1</v>
      </c>
      <c r="CC37" s="270"/>
      <c r="CD37" s="270"/>
      <c r="CE37"/>
    </row>
    <row r="38" spans="1:83" ht="13.5" outlineLevel="1" thickBot="1" x14ac:dyDescent="0.25">
      <c r="A38" s="270"/>
      <c r="B38" s="509">
        <v>2</v>
      </c>
      <c r="C38" s="560" t="str">
        <f>IF(AK36="","",RANK(F38,F37:F40)*1000+ROW())</f>
        <v/>
      </c>
      <c r="D38" s="561" t="str">
        <f>IF(L38="","",CritClassInd1_Points*J38+CritClassInd1_Matches*L38+CritClassInd1_Attaque*O38+CritClassInd1_DiffButs*Q38)</f>
        <v/>
      </c>
      <c r="E38" s="561" t="str">
        <f>IF(L38="","",Nb_Diff_Part(D38,D37:D40,G38,G37:G40,AI37:AI48)*CritClassInd_DiffPart+Nb_Goal_Part(D38,D37:D40,G38,G37:G40,V37:Z48)*CritClassInd_GoalPart+Nb_Score_Part(D38,D37:D40,G38,G37:G40,V37:Z48)*CritClassInd_ScorePart)</f>
        <v/>
      </c>
      <c r="F38" s="562" t="str">
        <f>IF(L38="","",D38+E38+CritClassInd2_Points*J38+CritClassInd2_Matches*L38+CritClassInd2_Attaque*O38+CritClassInd2_DiffButs*Q38+CritClassInd_Ranking*H38+I38)</f>
        <v/>
      </c>
      <c r="G38" s="502" t="s">
        <v>904</v>
      </c>
      <c r="H38" s="501">
        <f>GMFTRANKINGPOINTS(G38,Particular_Category)</f>
        <v>0</v>
      </c>
      <c r="I38" s="502"/>
      <c r="J38" s="560" t="str">
        <f>IF(AK36="","",(L38*Points_Victoire)+M38*Points_Null)</f>
        <v/>
      </c>
      <c r="K38" s="563" t="str">
        <f>IF(L38="","",SUM(L38:N38))</f>
        <v/>
      </c>
      <c r="L38" s="563" t="str">
        <f>IF(AK36="","",COUNTIF(AE37:AE48,G38))</f>
        <v/>
      </c>
      <c r="M38" s="563" t="str">
        <f>IF(AK36="","",COUNTIF(AF37:AG48,G38))</f>
        <v/>
      </c>
      <c r="N38" s="563" t="str">
        <f>IF(AK36="","",COUNTIF(AH37:AH48,G38))</f>
        <v/>
      </c>
      <c r="O38" s="563" t="str">
        <f>IF(AK36="","",SUMIF(V37:V48,G38,AB37:AB48)+SUMIF(Z37:Z48,G38,AD37:AD48))</f>
        <v/>
      </c>
      <c r="P38" s="563" t="str">
        <f>IF(AK36="","",SUMIF(V37:V48,G38,AD37:AD48)+SUMIF(Z37:Z48,G38,AB37:AB48))</f>
        <v/>
      </c>
      <c r="Q38" s="564" t="str">
        <f>IF(AK36="","",O38-P38)</f>
        <v/>
      </c>
      <c r="R38" s="558" t="s">
        <v>1726</v>
      </c>
      <c r="S38" s="615"/>
      <c r="T38" s="619"/>
      <c r="U38" s="1503"/>
      <c r="V38" s="461" t="str">
        <f>IF(COUNTA(G37:G40) =4,GMFTGROUPORDERIND(G37:G40,V37:V42,Z37:Z42),"")</f>
        <v>A2</v>
      </c>
      <c r="W38" s="450"/>
      <c r="X38" s="462" t="s">
        <v>769</v>
      </c>
      <c r="Y38" s="450"/>
      <c r="Z38" s="463" t="str">
        <f>IF(COUNTA(G37:G40) =4,GMFTGROUPORDERIND(G37:G40,V37:V42,Z37:Z42),"")</f>
        <v>A3</v>
      </c>
      <c r="AA38" s="839"/>
      <c r="AB38" s="1459">
        <f t="shared" si="16"/>
        <v>0</v>
      </c>
      <c r="AC38" s="1460" t="str">
        <f t="shared" si="17"/>
        <v>-</v>
      </c>
      <c r="AD38" s="1459">
        <f t="shared" si="18"/>
        <v>0</v>
      </c>
      <c r="AE38" s="968" t="str">
        <f t="shared" si="19"/>
        <v/>
      </c>
      <c r="AF38" s="968" t="str">
        <f t="shared" si="20"/>
        <v/>
      </c>
      <c r="AG38" s="968" t="str">
        <f t="shared" si="21"/>
        <v/>
      </c>
      <c r="AH38" s="968" t="str">
        <f t="shared" si="22"/>
        <v/>
      </c>
      <c r="AI38" s="968" t="str">
        <f t="shared" si="23"/>
        <v/>
      </c>
      <c r="AJ38" s="968"/>
      <c r="AK38" s="968" t="str">
        <f>IF(AK36="","",SMALL(C37:C40,2))</f>
        <v/>
      </c>
      <c r="AL38" s="559"/>
      <c r="AM38" s="270"/>
      <c r="AN38" s="509" t="str">
        <f>IF(AK36="","",INT(AK38/1000))</f>
        <v/>
      </c>
      <c r="AO38" s="510" t="str">
        <f>IF(AK36="",IF(HidePlayerFormulas,"","("&amp;G38&amp;")"),VLOOKUP(AK38,C37:Q40,5,FALSE))</f>
        <v/>
      </c>
      <c r="AP38" s="511" t="str">
        <f>VLOOKUP(AK38,$C37:$Q40,8,FALSE)</f>
        <v/>
      </c>
      <c r="AQ38" s="511" t="str">
        <f>VLOOKUP(AK38,$C37:$Q40,9,FALSE)</f>
        <v/>
      </c>
      <c r="AR38" s="511" t="str">
        <f>VLOOKUP(AK38,$C37:$Q40,10,FALSE)</f>
        <v/>
      </c>
      <c r="AS38" s="511" t="str">
        <f>VLOOKUP(AK38,$C37:$Q40,11,FALSE)</f>
        <v/>
      </c>
      <c r="AT38" s="511" t="str">
        <f>VLOOKUP(AK38,$C37:$Q40,12,FALSE)</f>
        <v/>
      </c>
      <c r="AU38" s="511" t="str">
        <f>VLOOKUP(AK38,$C37:$Q40,13,FALSE)</f>
        <v/>
      </c>
      <c r="AV38" s="511" t="str">
        <f>VLOOKUP(AK38,$C37:$Q40,14,FALSE)</f>
        <v/>
      </c>
      <c r="AW38" s="512" t="str">
        <f>VLOOKUP(AK38,$C37:$Q40,15,FALSE)</f>
        <v/>
      </c>
      <c r="AX38" s="520" t="str">
        <f>IF(W37="","",IF(AO38=V37,W37,IF(AO38=Z37,Y37,"")))</f>
        <v/>
      </c>
      <c r="AY38" s="521" t="str">
        <f>IF(W38="","",IF(AO38=V38,W38,IF(AO38=Z38,Y38,"")))</f>
        <v/>
      </c>
      <c r="AZ38" s="521" t="str">
        <f>IF(W39="","",IF(AO38=V39,W39,IF(AO38=Z39,Y39,"")))</f>
        <v/>
      </c>
      <c r="BA38" s="521" t="str">
        <f>IF(W40="","",IF(AO38=V40,W40,IF(AO38=Z40,Y40,"")))</f>
        <v/>
      </c>
      <c r="BB38" s="521" t="str">
        <f>IF(W41="","",IF(AO38=V41,W41,IF(AO38=Z41,Y41,"")))</f>
        <v/>
      </c>
      <c r="BC38" s="521" t="str">
        <f>IF(W42="","",IF(AO38=V42,W42,IF(AO38=Z42,Y42,"")))</f>
        <v/>
      </c>
      <c r="BD38" s="521" t="str">
        <f>IF(W43="","",IF(AO38=V43,W43,IF(AO38=Z43,Y43,"")))</f>
        <v/>
      </c>
      <c r="BE38" s="521" t="str">
        <f>IF(W44="","",IF(AO38=V44,W44,IF(AO38=Z44,Y44,"")))</f>
        <v/>
      </c>
      <c r="BF38" s="521" t="str">
        <f>IF(W45="","",IF(AO38=V45,W45,IF(AO38=Z45,Y45,"")))</f>
        <v/>
      </c>
      <c r="BG38" s="521" t="str">
        <f>IF(W46="","",IF(AO38=V46,W46,IF(AO38=Z46,Y46,"")))</f>
        <v/>
      </c>
      <c r="BH38" s="521" t="str">
        <f>IF(W47="","",IF(AO38=V47,W47,IF(AO38=Z47,Y47,"")))</f>
        <v/>
      </c>
      <c r="BI38" s="522" t="str">
        <f>IF(W48="","",IF(AO38=V48,W48,IF(AO38=Z48,Y48,"")))</f>
        <v/>
      </c>
      <c r="BJ38" s="270"/>
      <c r="BK38" s="270"/>
      <c r="BL38" s="270"/>
      <c r="BM38" s="270"/>
      <c r="BN38" s="270"/>
      <c r="BO38" s="270"/>
      <c r="BP38" s="270"/>
      <c r="BQ38" s="270"/>
      <c r="BR38" s="270"/>
      <c r="BS38" s="270"/>
      <c r="BT38" s="270"/>
      <c r="BU38" s="270"/>
      <c r="BV38" s="270"/>
      <c r="BW38" s="270"/>
      <c r="BX38" s="270"/>
      <c r="BY38" s="270"/>
      <c r="BZ38" s="1395" t="b">
        <f>IF(G38="[---WithDraw---]",FALSE,IF(COUNTIF(PlayerNamesWithinGroups,G38)&gt;1,TRUE,FALSE))</f>
        <v>1</v>
      </c>
      <c r="CA38" s="1450" t="b">
        <f>AND(LEFT($AO38,1) = "(", RIGHT($AO38,1) =")")</f>
        <v>0</v>
      </c>
      <c r="CB38" s="1450" t="b">
        <f>IF(OR($AN38=$AN37,$AN38=$AN39),TRUE,FALSE)</f>
        <v>1</v>
      </c>
      <c r="CC38" s="270"/>
      <c r="CD38" s="270"/>
      <c r="CE38"/>
    </row>
    <row r="39" spans="1:83" outlineLevel="1" x14ac:dyDescent="0.2">
      <c r="A39" s="270"/>
      <c r="B39" s="509">
        <v>3</v>
      </c>
      <c r="C39" s="560" t="str">
        <f>IF(AK36="","",RANK(F39,F37:F40)*1000+ROW())</f>
        <v/>
      </c>
      <c r="D39" s="561" t="str">
        <f>IF(L39="","",CritClassInd1_Points*J39+CritClassInd1_Matches*L39+CritClassInd1_Attaque*O39+CritClassInd1_DiffButs*Q39)</f>
        <v/>
      </c>
      <c r="E39" s="561" t="str">
        <f>IF(L39="","",Nb_Diff_Part(D39,D37:D40,G39,G37:G40,AI37:AI48)*CritClassInd_DiffPart+Nb_Goal_Part(D39,D37:D40,G39,G37:G40,V37:Z48)*CritClassInd_GoalPart+Nb_Score_Part(D39,D37:D40,G39,G37:G40,V37:Z48)*CritClassInd_ScorePart)</f>
        <v/>
      </c>
      <c r="F39" s="562" t="str">
        <f>IF(L39="","",D39+E39+CritClassInd2_Points*J39+CritClassInd2_Matches*L39+CritClassInd2_Attaque*O39+CritClassInd2_DiffButs*Q39+CritClassInd_Ranking*H39+I39)</f>
        <v/>
      </c>
      <c r="G39" s="502" t="s">
        <v>905</v>
      </c>
      <c r="H39" s="501">
        <f>GMFTRANKINGPOINTS(G39,Particular_Category)</f>
        <v>0</v>
      </c>
      <c r="I39" s="502"/>
      <c r="J39" s="560" t="str">
        <f>IF(AK36="","",(L39*Points_Victoire)+M39*Points_Null)</f>
        <v/>
      </c>
      <c r="K39" s="563" t="str">
        <f>IF(L39="","",SUM(L39:N39))</f>
        <v/>
      </c>
      <c r="L39" s="563" t="str">
        <f>IF(AK36="","",COUNTIF(AE37:AE48,G39))</f>
        <v/>
      </c>
      <c r="M39" s="563" t="str">
        <f>IF(AK36="","",COUNTIF(AF37:AG48,G39))</f>
        <v/>
      </c>
      <c r="N39" s="563" t="str">
        <f>IF(AK36="","",COUNTIF(AH37:AH48,G39))</f>
        <v/>
      </c>
      <c r="O39" s="563" t="str">
        <f>IF(AK36="","",SUMIF(V37:V48,G39,AB37:AB48)+SUMIF(Z37:Z48,G39,AD37:AD48))</f>
        <v/>
      </c>
      <c r="P39" s="563" t="str">
        <f>IF(AK36="","",SUMIF(V37:V48,G39,AD37:AD48)+SUMIF(Z37:Z48,G39,AB37:AB48))</f>
        <v/>
      </c>
      <c r="Q39" s="564" t="str">
        <f>IF(AK36="","",O39-P39)</f>
        <v/>
      </c>
      <c r="R39" s="558" t="s">
        <v>1727</v>
      </c>
      <c r="S39" s="611"/>
      <c r="T39" s="617"/>
      <c r="U39" s="1502"/>
      <c r="V39" s="2200" t="str">
        <f>IF(COUNTA(G37:G40) =4,GMFTGROUPORDERIND(G37:G40,V37:V42,Z37:Z42),"")</f>
        <v>A3</v>
      </c>
      <c r="W39" s="2201"/>
      <c r="X39" s="2202" t="s">
        <v>769</v>
      </c>
      <c r="Y39" s="2201"/>
      <c r="Z39" s="2203" t="str">
        <f>IF(COUNTA(G37:G40) =4,GMFTGROUPORDERIND(G37:G40,V37:V42,Z37:Z42),"")</f>
        <v>A1</v>
      </c>
      <c r="AA39" s="839"/>
      <c r="AB39" s="1459">
        <f t="shared" si="16"/>
        <v>0</v>
      </c>
      <c r="AC39" s="1460" t="str">
        <f t="shared" si="17"/>
        <v>-</v>
      </c>
      <c r="AD39" s="1459">
        <f t="shared" si="18"/>
        <v>0</v>
      </c>
      <c r="AE39" s="968" t="str">
        <f t="shared" si="19"/>
        <v/>
      </c>
      <c r="AF39" s="968" t="str">
        <f t="shared" si="20"/>
        <v/>
      </c>
      <c r="AG39" s="968" t="str">
        <f t="shared" si="21"/>
        <v/>
      </c>
      <c r="AH39" s="968" t="str">
        <f t="shared" si="22"/>
        <v/>
      </c>
      <c r="AI39" s="968" t="str">
        <f t="shared" si="23"/>
        <v/>
      </c>
      <c r="AJ39" s="968"/>
      <c r="AK39" s="968" t="str">
        <f>IF(AK36="","",SMALL(C37:C40,3))</f>
        <v/>
      </c>
      <c r="AL39" s="559"/>
      <c r="AM39" s="270"/>
      <c r="AN39" s="509" t="str">
        <f>IF(AK36="","",INT(AK39/1000))</f>
        <v/>
      </c>
      <c r="AO39" s="510" t="str">
        <f>IF(AK36="",IF(HidePlayerFormulas,"","("&amp;G39&amp;")"),VLOOKUP(AK39,C37:Q40,5,FALSE))</f>
        <v/>
      </c>
      <c r="AP39" s="511" t="str">
        <f>VLOOKUP(AK39,$C37:$Q40,8,FALSE)</f>
        <v/>
      </c>
      <c r="AQ39" s="511" t="str">
        <f>VLOOKUP(AK39,$C37:$Q40,9,FALSE)</f>
        <v/>
      </c>
      <c r="AR39" s="511" t="str">
        <f>VLOOKUP(AK39,$C37:$Q40,10,FALSE)</f>
        <v/>
      </c>
      <c r="AS39" s="511" t="str">
        <f>VLOOKUP(AK39,$C37:$Q40,11,FALSE)</f>
        <v/>
      </c>
      <c r="AT39" s="511" t="str">
        <f>VLOOKUP(AK39,$C37:$Q40,12,FALSE)</f>
        <v/>
      </c>
      <c r="AU39" s="511" t="str">
        <f>VLOOKUP(AK39,$C37:$Q40,13,FALSE)</f>
        <v/>
      </c>
      <c r="AV39" s="511" t="str">
        <f>VLOOKUP(AK39,$C37:$Q40,14,FALSE)</f>
        <v/>
      </c>
      <c r="AW39" s="512" t="str">
        <f>VLOOKUP(AK39,$C37:$Q40,15,FALSE)</f>
        <v/>
      </c>
      <c r="AX39" s="520" t="str">
        <f>IF(W37="","",IF(AO39=V37,W37,IF(AO39=Z37,Y37,"")))</f>
        <v/>
      </c>
      <c r="AY39" s="521" t="str">
        <f>IF(W38="","",IF(AO39=V38,W38,IF(AO39=Z38,Y38,"")))</f>
        <v/>
      </c>
      <c r="AZ39" s="521" t="str">
        <f>IF(W39="","",IF(AO39=V39,W39,IF(AO39=Z39,Y39,"")))</f>
        <v/>
      </c>
      <c r="BA39" s="521" t="str">
        <f>IF(W40="","",IF(AO39=V40,W40,IF(AO39=Z40,Y40,"")))</f>
        <v/>
      </c>
      <c r="BB39" s="521" t="str">
        <f>IF(W41="","",IF(AO39=V41,W41,IF(AO39=Z41,Y41,"")))</f>
        <v/>
      </c>
      <c r="BC39" s="521" t="str">
        <f>IF(W42="","",IF(AO39=V42,W42,IF(AO39=Z42,Y42,"")))</f>
        <v/>
      </c>
      <c r="BD39" s="521" t="str">
        <f>IF(W43="","",IF(AO39=V43,W43,IF(AO39=Z43,Y43,"")))</f>
        <v/>
      </c>
      <c r="BE39" s="521" t="str">
        <f>IF(W44="","",IF(AO39=V44,W44,IF(AO39=Z44,Y44,"")))</f>
        <v/>
      </c>
      <c r="BF39" s="521" t="str">
        <f>IF(W45="","",IF(AO39=V45,W45,IF(AO39=Z45,Y45,"")))</f>
        <v/>
      </c>
      <c r="BG39" s="521" t="str">
        <f>IF(W46="","",IF(AO39=V46,W46,IF(AO39=Z46,Y46,"")))</f>
        <v/>
      </c>
      <c r="BH39" s="521" t="str">
        <f>IF(W47="","",IF(AO39=V47,W47,IF(AO39=Z47,Y47,"")))</f>
        <v/>
      </c>
      <c r="BI39" s="522" t="str">
        <f>IF(W48="","",IF(AO39=V48,W48,IF(AO39=Z48,Y48,"")))</f>
        <v/>
      </c>
      <c r="BJ39" s="270"/>
      <c r="BK39" s="270"/>
      <c r="BL39" s="270"/>
      <c r="BM39" s="270"/>
      <c r="BN39" s="270"/>
      <c r="BO39" s="270"/>
      <c r="BP39" s="270"/>
      <c r="BQ39" s="270"/>
      <c r="BR39" s="270"/>
      <c r="BS39" s="270"/>
      <c r="BT39" s="270"/>
      <c r="BU39" s="270"/>
      <c r="BV39" s="270"/>
      <c r="BW39" s="270"/>
      <c r="BX39" s="270"/>
      <c r="BY39" s="270"/>
      <c r="BZ39" s="1395" t="b">
        <f>IF(G39="[---WithDraw---]",FALSE,IF(COUNTIF(PlayerNamesWithinGroups,G39)&gt;1,TRUE,FALSE))</f>
        <v>1</v>
      </c>
      <c r="CA39" s="1450" t="b">
        <f>AND(LEFT($AO39,1) = "(", RIGHT($AO39,1) =")")</f>
        <v>0</v>
      </c>
      <c r="CB39" s="1450" t="b">
        <f>IF(OR($AN39=$AN38,$AN39=$AN40),TRUE,FALSE)</f>
        <v>1</v>
      </c>
      <c r="CC39" s="270"/>
      <c r="CD39" s="270"/>
      <c r="CE39"/>
    </row>
    <row r="40" spans="1:83" ht="13.5" outlineLevel="1" thickBot="1" x14ac:dyDescent="0.25">
      <c r="A40" s="270"/>
      <c r="B40" s="513">
        <v>4</v>
      </c>
      <c r="C40" s="565" t="str">
        <f>IF(AK36="","",RANK(F40,F37:F40)*1000+ROW())</f>
        <v/>
      </c>
      <c r="D40" s="566" t="str">
        <f>IF(L40="","",CritClassInd1_Points*J40+CritClassInd1_Matches*L40+CritClassInd1_Attaque*O40+CritClassInd1_DiffButs*Q40)</f>
        <v/>
      </c>
      <c r="E40" s="566" t="str">
        <f>IF(L40="","",Nb_Diff_Part(D40,D37:D40,G40,G37:G40,AI37:AI48)*CritClassInd_DiffPart+Nb_Goal_Part(D40,D37:D40,G40,G37:G40,V37:Z48)*CritClassInd_GoalPart+Nb_Score_Part(D40,D37:D40,G40,G37:G40,V37:Z48)*CritClassInd_ScorePart)</f>
        <v/>
      </c>
      <c r="F40" s="567" t="str">
        <f>IF(L40="","",D40+E40+CritClassInd2_Points*J40+CritClassInd2_Matches*L40+CritClassInd2_Attaque*O40+CritClassInd2_DiffButs*Q40+CritClassInd_Ranking*H40+I40)</f>
        <v/>
      </c>
      <c r="G40" s="500" t="s">
        <v>906</v>
      </c>
      <c r="H40" s="568">
        <f>GMFTRANKINGPOINTS(G40,Particular_Category)</f>
        <v>0</v>
      </c>
      <c r="I40" s="569"/>
      <c r="J40" s="565" t="str">
        <f>IF(AK36="","",(L40*Points_Victoire)+M40*Points_Null)</f>
        <v/>
      </c>
      <c r="K40" s="570" t="str">
        <f>IF(L40="","",SUM(L40:N40))</f>
        <v/>
      </c>
      <c r="L40" s="570" t="str">
        <f>IF(AK36="","",COUNTIF(AE37:AE48,G40))</f>
        <v/>
      </c>
      <c r="M40" s="570" t="str">
        <f>IF(AK36="","",COUNTIF(AF37:AG48,G40))</f>
        <v/>
      </c>
      <c r="N40" s="570" t="str">
        <f>IF(AK36="","",COUNTIF(AH37:AH48,G40))</f>
        <v/>
      </c>
      <c r="O40" s="570" t="str">
        <f>IF(AK36="","",SUMIF(V37:V48,G40,AB37:AB48)+SUMIF(Z37:Z48,G40,AD37:AD48))</f>
        <v/>
      </c>
      <c r="P40" s="570" t="str">
        <f>IF(AK36="","",SUMIF(V37:V48,G40,AD37:AD48)+SUMIF(Z37:Z48,G40,AB37:AB48))</f>
        <v/>
      </c>
      <c r="Q40" s="571" t="str">
        <f>IF(AK36="","",O40-P40)</f>
        <v/>
      </c>
      <c r="R40" s="558" t="s">
        <v>1727</v>
      </c>
      <c r="S40" s="615"/>
      <c r="T40" s="619"/>
      <c r="U40" s="1503"/>
      <c r="V40" s="461" t="str">
        <f>IF(COUNTA(G37:G40) =4,GMFTGROUPORDERIND(G37:G40,V37:V42,Z37:Z42),"")</f>
        <v>A4</v>
      </c>
      <c r="W40" s="450"/>
      <c r="X40" s="462" t="s">
        <v>769</v>
      </c>
      <c r="Y40" s="450"/>
      <c r="Z40" s="463" t="str">
        <f>IF(COUNTA(G37:G40) =4,GMFTGROUPORDERIND(G37:G40,V37:V42,Z37:Z42),"")</f>
        <v>A2</v>
      </c>
      <c r="AA40" s="839"/>
      <c r="AB40" s="1459">
        <f t="shared" si="16"/>
        <v>0</v>
      </c>
      <c r="AC40" s="1460" t="str">
        <f t="shared" si="17"/>
        <v>-</v>
      </c>
      <c r="AD40" s="1459">
        <f t="shared" si="18"/>
        <v>0</v>
      </c>
      <c r="AE40" s="968" t="str">
        <f t="shared" si="19"/>
        <v/>
      </c>
      <c r="AF40" s="968" t="str">
        <f t="shared" si="20"/>
        <v/>
      </c>
      <c r="AG40" s="968" t="str">
        <f t="shared" si="21"/>
        <v/>
      </c>
      <c r="AH40" s="968" t="str">
        <f t="shared" si="22"/>
        <v/>
      </c>
      <c r="AI40" s="968" t="str">
        <f t="shared" si="23"/>
        <v/>
      </c>
      <c r="AJ40" s="968"/>
      <c r="AK40" s="968" t="str">
        <f>IF(AK36="","",SMALL(C37:C40,4))</f>
        <v/>
      </c>
      <c r="AL40" s="559"/>
      <c r="AM40" s="270"/>
      <c r="AN40" s="513" t="str">
        <f>IF(AK36="","",INT(AK40/1000))</f>
        <v/>
      </c>
      <c r="AO40" s="514" t="str">
        <f>IF(AK36="",IF(HidePlayerFormulas,"","("&amp;G40&amp;")"),VLOOKUP(AK40,C37:Q40,5,FALSE))</f>
        <v/>
      </c>
      <c r="AP40" s="515" t="str">
        <f>VLOOKUP(AK40,$C37:$Q40,8,FALSE)</f>
        <v/>
      </c>
      <c r="AQ40" s="515" t="str">
        <f>VLOOKUP(AK40,$C37:$Q40,9,FALSE)</f>
        <v/>
      </c>
      <c r="AR40" s="515" t="str">
        <f>VLOOKUP(AK40,$C37:$Q40,10,FALSE)</f>
        <v/>
      </c>
      <c r="AS40" s="515" t="str">
        <f>VLOOKUP(AK40,$C37:$Q40,11,FALSE)</f>
        <v/>
      </c>
      <c r="AT40" s="515" t="str">
        <f>VLOOKUP(AK40,$C37:$Q40,12,FALSE)</f>
        <v/>
      </c>
      <c r="AU40" s="515" t="str">
        <f>VLOOKUP(AK40,$C37:$Q40,13,FALSE)</f>
        <v/>
      </c>
      <c r="AV40" s="515" t="str">
        <f>VLOOKUP(AK40,$C37:$Q40,14,FALSE)</f>
        <v/>
      </c>
      <c r="AW40" s="516" t="str">
        <f>VLOOKUP(AK40,$C37:$Q40,15,FALSE)</f>
        <v/>
      </c>
      <c r="AX40" s="523" t="str">
        <f>IF(W37="","",IF(AO40=V37,W37,IF(AO40=Z37,Y37,"")))</f>
        <v/>
      </c>
      <c r="AY40" s="524" t="str">
        <f>IF(W38="","",IF(AO40=V38,W38,IF(AO40=Z38,Y38,"")))</f>
        <v/>
      </c>
      <c r="AZ40" s="524" t="str">
        <f>IF(W39="","",IF(AO40=V39,W39,IF(AO40=Z39,Y39,"")))</f>
        <v/>
      </c>
      <c r="BA40" s="524" t="str">
        <f>IF(W40="","",IF(AO40=V40,W40,IF(AO40=Z40,Y40,"")))</f>
        <v/>
      </c>
      <c r="BB40" s="524" t="str">
        <f>IF(W41="","",IF(AO40=V41,W41,IF(AO40=Z41,Y41,"")))</f>
        <v/>
      </c>
      <c r="BC40" s="524" t="str">
        <f>IF(W42="","",IF(AO40=V42,W42,IF(AO40=Z42,Y42,"")))</f>
        <v/>
      </c>
      <c r="BD40" s="524" t="str">
        <f>IF(W43="","",IF(AO40=V43,W43,IF(AO40=Z43,Y43,"")))</f>
        <v/>
      </c>
      <c r="BE40" s="524" t="str">
        <f>IF(W44="","",IF(AO40=V44,W44,IF(AO40=Z44,Y44,"")))</f>
        <v/>
      </c>
      <c r="BF40" s="524" t="str">
        <f>IF(W45="","",IF(AO40=V45,W45,IF(AO40=Z45,Y45,"")))</f>
        <v/>
      </c>
      <c r="BG40" s="524" t="str">
        <f>IF(W46="","",IF(AO40=V46,W46,IF(AO40=Z46,Y46,"")))</f>
        <v/>
      </c>
      <c r="BH40" s="524" t="str">
        <f>IF(W47="","",IF(AO40=V47,W47,IF(AO40=Z47,Y47,"")))</f>
        <v/>
      </c>
      <c r="BI40" s="525" t="str">
        <f>IF(W48="","",IF(AO40=V48,W48,IF(AO40=Z48,Y48,"")))</f>
        <v/>
      </c>
      <c r="BJ40" s="270"/>
      <c r="BK40" s="270"/>
      <c r="BL40" s="270"/>
      <c r="BM40" s="270"/>
      <c r="BN40" s="270"/>
      <c r="BO40" s="270"/>
      <c r="BP40" s="270"/>
      <c r="BQ40" s="270"/>
      <c r="BR40" s="270"/>
      <c r="BS40" s="270"/>
      <c r="BT40" s="270"/>
      <c r="BU40" s="270"/>
      <c r="BV40" s="270"/>
      <c r="BW40" s="270"/>
      <c r="BX40" s="270"/>
      <c r="BY40" s="270"/>
      <c r="BZ40" s="1395" t="b">
        <f>IF(G40="[---WithDraw---]",FALSE,IF(COUNTIF(PlayerNamesWithinGroups,G40)&gt;1,TRUE,FALSE))</f>
        <v>1</v>
      </c>
      <c r="CA40" s="1450" t="b">
        <f>AND(LEFT($AO40,1) = "(", RIGHT($AO40,1) =")")</f>
        <v>0</v>
      </c>
      <c r="CB40" s="1450" t="b">
        <f>IF(OR($AN40=$AN39,$AN40=$AN41),TRUE,FALSE)</f>
        <v>1</v>
      </c>
      <c r="CC40" s="270"/>
      <c r="CD40" s="270"/>
      <c r="CE40"/>
    </row>
    <row r="41" spans="1:83" outlineLevel="2" x14ac:dyDescent="0.2">
      <c r="A41" s="270"/>
      <c r="B41" s="271"/>
      <c r="C41" s="270"/>
      <c r="D41" s="270"/>
      <c r="E41" s="270"/>
      <c r="F41" s="270"/>
      <c r="G41" s="271"/>
      <c r="H41" s="271"/>
      <c r="I41" s="271"/>
      <c r="J41" s="270"/>
      <c r="K41" s="270"/>
      <c r="L41" s="270"/>
      <c r="M41" s="270"/>
      <c r="N41" s="270"/>
      <c r="O41" s="270"/>
      <c r="P41" s="270"/>
      <c r="Q41" s="270"/>
      <c r="R41" s="558" t="s">
        <v>1728</v>
      </c>
      <c r="S41" s="620"/>
      <c r="T41" s="621"/>
      <c r="U41" s="1504"/>
      <c r="V41" s="464" t="str">
        <f>IF(COUNTA(G37:G40) =4,GMFTGROUPORDERIND(G37:G40,V37:V42,Z37:Z42),"")</f>
        <v>A1</v>
      </c>
      <c r="W41" s="465"/>
      <c r="X41" s="466" t="s">
        <v>769</v>
      </c>
      <c r="Y41" s="465"/>
      <c r="Z41" s="467" t="str">
        <f>IF(COUNTA(G37:G40) =4,GMFTGROUPORDERIND(G37:G40,V37:V42,Z37:Z42),"")</f>
        <v>A2</v>
      </c>
      <c r="AA41" s="839"/>
      <c r="AB41" s="1459">
        <f t="shared" si="16"/>
        <v>0</v>
      </c>
      <c r="AC41" s="1460" t="str">
        <f t="shared" si="17"/>
        <v>-</v>
      </c>
      <c r="AD41" s="1459">
        <f t="shared" si="18"/>
        <v>0</v>
      </c>
      <c r="AE41" s="968" t="str">
        <f t="shared" si="19"/>
        <v/>
      </c>
      <c r="AF41" s="968" t="str">
        <f t="shared" si="20"/>
        <v/>
      </c>
      <c r="AG41" s="968" t="str">
        <f t="shared" si="21"/>
        <v/>
      </c>
      <c r="AH41" s="968" t="str">
        <f t="shared" si="22"/>
        <v/>
      </c>
      <c r="AI41" s="968" t="str">
        <f t="shared" si="23"/>
        <v/>
      </c>
      <c r="AJ41" s="968"/>
      <c r="AK41" s="968"/>
      <c r="AL41" s="559"/>
      <c r="AM41" s="270"/>
      <c r="AN41" s="575"/>
      <c r="AO41" s="270"/>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1395"/>
      <c r="CA41" s="1450"/>
      <c r="CB41" s="1450"/>
      <c r="CC41" s="270"/>
      <c r="CD41" s="270"/>
      <c r="CE41"/>
    </row>
    <row r="42" spans="1:83" ht="13.5" outlineLevel="2" thickBot="1" x14ac:dyDescent="0.25">
      <c r="A42" s="270"/>
      <c r="B42" s="271"/>
      <c r="C42" s="270"/>
      <c r="D42" s="270"/>
      <c r="E42" s="270"/>
      <c r="F42" s="270"/>
      <c r="G42" s="271"/>
      <c r="H42" s="271"/>
      <c r="I42" s="271"/>
      <c r="J42" s="270"/>
      <c r="K42" s="270"/>
      <c r="L42" s="270"/>
      <c r="M42" s="270"/>
      <c r="N42" s="270"/>
      <c r="O42" s="270"/>
      <c r="P42" s="270"/>
      <c r="Q42" s="270"/>
      <c r="R42" s="558" t="s">
        <v>1728</v>
      </c>
      <c r="S42" s="615"/>
      <c r="T42" s="619"/>
      <c r="U42" s="1503"/>
      <c r="V42" s="461" t="str">
        <f>IF(COUNTA(G37:G40) =4,GMFTGROUPORDERIND(G37:G40,V37:V42,Z37:Z42),"")</f>
        <v>A3</v>
      </c>
      <c r="W42" s="450"/>
      <c r="X42" s="462" t="s">
        <v>769</v>
      </c>
      <c r="Y42" s="450"/>
      <c r="Z42" s="463" t="str">
        <f>IF(COUNTA(G37:G40) =4,GMFTGROUPORDERIND(G37:G40,V37:V42,Z37:Z42),"")</f>
        <v>A4</v>
      </c>
      <c r="AA42" s="839"/>
      <c r="AB42" s="1459">
        <f t="shared" si="16"/>
        <v>0</v>
      </c>
      <c r="AC42" s="1460" t="str">
        <f t="shared" si="17"/>
        <v>-</v>
      </c>
      <c r="AD42" s="1459">
        <f t="shared" si="18"/>
        <v>0</v>
      </c>
      <c r="AE42" s="968" t="str">
        <f t="shared" si="19"/>
        <v/>
      </c>
      <c r="AF42" s="968" t="str">
        <f t="shared" si="20"/>
        <v/>
      </c>
      <c r="AG42" s="968" t="str">
        <f t="shared" si="21"/>
        <v/>
      </c>
      <c r="AH42" s="968" t="str">
        <f t="shared" si="22"/>
        <v/>
      </c>
      <c r="AI42" s="968" t="str">
        <f t="shared" si="23"/>
        <v/>
      </c>
      <c r="AJ42" s="968"/>
      <c r="AK42" s="968"/>
      <c r="AL42" s="559"/>
      <c r="AM42" s="270"/>
      <c r="AN42" s="575"/>
      <c r="AO42" s="270"/>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1395"/>
      <c r="CA42" s="1450"/>
      <c r="CB42" s="1450"/>
      <c r="CC42" s="270"/>
      <c r="CD42" s="270"/>
      <c r="CE42"/>
    </row>
    <row r="43" spans="1:83" outlineLevel="2" x14ac:dyDescent="0.2">
      <c r="A43" s="270"/>
      <c r="B43" s="271"/>
      <c r="C43" s="270"/>
      <c r="D43" s="270"/>
      <c r="E43" s="270"/>
      <c r="F43" s="270"/>
      <c r="G43" s="271"/>
      <c r="H43" s="271"/>
      <c r="I43" s="271"/>
      <c r="J43" s="270"/>
      <c r="K43" s="270"/>
      <c r="L43" s="270"/>
      <c r="M43" s="270"/>
      <c r="N43" s="270"/>
      <c r="O43" s="270"/>
      <c r="P43" s="270"/>
      <c r="Q43" s="270"/>
      <c r="R43" s="558" t="s">
        <v>1729</v>
      </c>
      <c r="S43" s="620"/>
      <c r="T43" s="621"/>
      <c r="U43" s="1504"/>
      <c r="V43" s="464" t="str">
        <f t="shared" ref="V43:V48" si="24">Z37</f>
        <v>A4</v>
      </c>
      <c r="W43" s="465"/>
      <c r="X43" s="466" t="s">
        <v>769</v>
      </c>
      <c r="Y43" s="465"/>
      <c r="Z43" s="467" t="str">
        <f t="shared" ref="Z43:Z48" si="25">V37</f>
        <v>A1</v>
      </c>
      <c r="AA43" s="839"/>
      <c r="AB43" s="1459">
        <f t="shared" si="16"/>
        <v>0</v>
      </c>
      <c r="AC43" s="1460" t="str">
        <f t="shared" si="17"/>
        <v>-</v>
      </c>
      <c r="AD43" s="1459">
        <f t="shared" si="18"/>
        <v>0</v>
      </c>
      <c r="AE43" s="968" t="str">
        <f t="shared" si="19"/>
        <v/>
      </c>
      <c r="AF43" s="968" t="str">
        <f t="shared" si="20"/>
        <v/>
      </c>
      <c r="AG43" s="968" t="str">
        <f t="shared" si="21"/>
        <v/>
      </c>
      <c r="AH43" s="968" t="str">
        <f t="shared" si="22"/>
        <v/>
      </c>
      <c r="AI43" s="968" t="str">
        <f t="shared" si="23"/>
        <v/>
      </c>
      <c r="AJ43" s="968"/>
      <c r="AK43" s="968"/>
      <c r="AL43" s="559"/>
      <c r="AM43" s="270"/>
      <c r="AN43" s="575"/>
      <c r="AO43" s="270"/>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1395"/>
      <c r="CA43" s="1450"/>
      <c r="CB43" s="1450"/>
      <c r="CC43" s="270"/>
      <c r="CD43" s="270"/>
      <c r="CE43"/>
    </row>
    <row r="44" spans="1:83" ht="13.5" outlineLevel="2" thickBot="1" x14ac:dyDescent="0.25">
      <c r="A44" s="270"/>
      <c r="B44" s="271"/>
      <c r="C44" s="270"/>
      <c r="D44" s="270"/>
      <c r="E44" s="270"/>
      <c r="F44" s="270"/>
      <c r="G44" s="271"/>
      <c r="H44" s="271"/>
      <c r="I44" s="271"/>
      <c r="J44" s="270"/>
      <c r="K44" s="270"/>
      <c r="L44" s="270"/>
      <c r="M44" s="270"/>
      <c r="N44" s="270"/>
      <c r="O44" s="270"/>
      <c r="P44" s="270"/>
      <c r="Q44" s="270"/>
      <c r="R44" s="558" t="s">
        <v>1729</v>
      </c>
      <c r="S44" s="615"/>
      <c r="T44" s="619"/>
      <c r="U44" s="1503"/>
      <c r="V44" s="461" t="str">
        <f t="shared" si="24"/>
        <v>A3</v>
      </c>
      <c r="W44" s="450"/>
      <c r="X44" s="462" t="s">
        <v>769</v>
      </c>
      <c r="Y44" s="450"/>
      <c r="Z44" s="463" t="str">
        <f t="shared" si="25"/>
        <v>A2</v>
      </c>
      <c r="AA44" s="839"/>
      <c r="AB44" s="1459">
        <f t="shared" si="16"/>
        <v>0</v>
      </c>
      <c r="AC44" s="1460" t="str">
        <f t="shared" si="17"/>
        <v>-</v>
      </c>
      <c r="AD44" s="1459">
        <f t="shared" si="18"/>
        <v>0</v>
      </c>
      <c r="AE44" s="968" t="str">
        <f t="shared" si="19"/>
        <v/>
      </c>
      <c r="AF44" s="968" t="str">
        <f t="shared" si="20"/>
        <v/>
      </c>
      <c r="AG44" s="968" t="str">
        <f t="shared" si="21"/>
        <v/>
      </c>
      <c r="AH44" s="968" t="str">
        <f t="shared" si="22"/>
        <v/>
      </c>
      <c r="AI44" s="968" t="str">
        <f t="shared" si="23"/>
        <v/>
      </c>
      <c r="AJ44" s="968"/>
      <c r="AK44" s="968"/>
      <c r="AL44" s="559"/>
      <c r="AM44" s="270"/>
      <c r="AN44" s="575"/>
      <c r="AO44" s="270"/>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1395"/>
      <c r="CA44" s="1450"/>
      <c r="CB44" s="1450"/>
      <c r="CC44" s="270"/>
      <c r="CD44" s="270"/>
      <c r="CE44"/>
    </row>
    <row r="45" spans="1:83" outlineLevel="2" x14ac:dyDescent="0.2">
      <c r="A45" s="270"/>
      <c r="B45" s="271"/>
      <c r="C45" s="270"/>
      <c r="D45" s="270"/>
      <c r="E45" s="270"/>
      <c r="F45" s="270"/>
      <c r="G45" s="271"/>
      <c r="H45" s="271"/>
      <c r="I45" s="271"/>
      <c r="J45" s="270"/>
      <c r="K45" s="270"/>
      <c r="L45" s="270"/>
      <c r="M45" s="270"/>
      <c r="N45" s="270"/>
      <c r="O45" s="270"/>
      <c r="P45" s="270"/>
      <c r="Q45" s="270"/>
      <c r="R45" s="558" t="s">
        <v>1730</v>
      </c>
      <c r="S45" s="620"/>
      <c r="T45" s="621"/>
      <c r="U45" s="1504"/>
      <c r="V45" s="464" t="str">
        <f t="shared" si="24"/>
        <v>A1</v>
      </c>
      <c r="W45" s="465"/>
      <c r="X45" s="466" t="s">
        <v>769</v>
      </c>
      <c r="Y45" s="465"/>
      <c r="Z45" s="467" t="str">
        <f t="shared" si="25"/>
        <v>A3</v>
      </c>
      <c r="AA45" s="839"/>
      <c r="AB45" s="1459">
        <f t="shared" si="16"/>
        <v>0</v>
      </c>
      <c r="AC45" s="1460" t="str">
        <f t="shared" si="17"/>
        <v>-</v>
      </c>
      <c r="AD45" s="1459">
        <f t="shared" si="18"/>
        <v>0</v>
      </c>
      <c r="AE45" s="968" t="str">
        <f t="shared" si="19"/>
        <v/>
      </c>
      <c r="AF45" s="968" t="str">
        <f t="shared" si="20"/>
        <v/>
      </c>
      <c r="AG45" s="968" t="str">
        <f t="shared" si="21"/>
        <v/>
      </c>
      <c r="AH45" s="968" t="str">
        <f t="shared" si="22"/>
        <v/>
      </c>
      <c r="AI45" s="968" t="str">
        <f t="shared" si="23"/>
        <v/>
      </c>
      <c r="AJ45" s="968"/>
      <c r="AK45" s="968"/>
      <c r="AL45" s="559"/>
      <c r="AM45" s="270"/>
      <c r="AN45" s="575"/>
      <c r="AO45" s="270"/>
      <c r="AP45" s="271"/>
      <c r="AQ45" s="271"/>
      <c r="AR45" s="271"/>
      <c r="AS45" s="271"/>
      <c r="AT45" s="271"/>
      <c r="AU45" s="271"/>
      <c r="AV45" s="271"/>
      <c r="AW45" s="271"/>
      <c r="AX45" s="271"/>
      <c r="AY45" s="271"/>
      <c r="AZ45" s="271"/>
      <c r="BA45" s="271"/>
      <c r="BB45" s="271"/>
      <c r="BC45" s="271"/>
      <c r="BD45" s="271"/>
      <c r="BE45" s="271"/>
      <c r="BF45" s="271"/>
      <c r="BG45" s="271"/>
      <c r="BH45" s="271"/>
      <c r="BI45" s="271"/>
      <c r="BJ45" s="271"/>
      <c r="BK45" s="271"/>
      <c r="BL45" s="271"/>
      <c r="BM45" s="271"/>
      <c r="BN45" s="271"/>
      <c r="BO45" s="271"/>
      <c r="BP45" s="271"/>
      <c r="BQ45" s="271"/>
      <c r="BR45" s="271"/>
      <c r="BS45" s="271"/>
      <c r="BT45" s="271"/>
      <c r="BU45" s="271"/>
      <c r="BV45" s="271"/>
      <c r="BW45" s="271"/>
      <c r="BX45" s="271"/>
      <c r="BY45" s="271"/>
      <c r="BZ45" s="1395"/>
      <c r="CA45" s="1450"/>
      <c r="CB45" s="1450"/>
      <c r="CC45" s="270"/>
      <c r="CD45" s="270"/>
      <c r="CE45"/>
    </row>
    <row r="46" spans="1:83" ht="13.5" outlineLevel="2" thickBot="1" x14ac:dyDescent="0.25">
      <c r="A46" s="270"/>
      <c r="B46" s="271"/>
      <c r="C46" s="270"/>
      <c r="D46" s="270"/>
      <c r="E46" s="270"/>
      <c r="F46" s="270"/>
      <c r="G46" s="271"/>
      <c r="H46" s="271"/>
      <c r="I46" s="271"/>
      <c r="J46" s="270"/>
      <c r="K46" s="270"/>
      <c r="L46" s="270"/>
      <c r="M46" s="270"/>
      <c r="N46" s="270"/>
      <c r="O46" s="270"/>
      <c r="P46" s="270"/>
      <c r="Q46" s="270"/>
      <c r="R46" s="558" t="s">
        <v>1730</v>
      </c>
      <c r="S46" s="615"/>
      <c r="T46" s="619"/>
      <c r="U46" s="1503"/>
      <c r="V46" s="461" t="str">
        <f t="shared" si="24"/>
        <v>A2</v>
      </c>
      <c r="W46" s="450"/>
      <c r="X46" s="462" t="s">
        <v>769</v>
      </c>
      <c r="Y46" s="450"/>
      <c r="Z46" s="463" t="str">
        <f t="shared" si="25"/>
        <v>A4</v>
      </c>
      <c r="AA46" s="839"/>
      <c r="AB46" s="1459">
        <f t="shared" si="16"/>
        <v>0</v>
      </c>
      <c r="AC46" s="1460" t="str">
        <f t="shared" si="17"/>
        <v>-</v>
      </c>
      <c r="AD46" s="1459">
        <f t="shared" si="18"/>
        <v>0</v>
      </c>
      <c r="AE46" s="968" t="str">
        <f t="shared" si="19"/>
        <v/>
      </c>
      <c r="AF46" s="968" t="str">
        <f t="shared" si="20"/>
        <v/>
      </c>
      <c r="AG46" s="968" t="str">
        <f t="shared" si="21"/>
        <v/>
      </c>
      <c r="AH46" s="968" t="str">
        <f t="shared" si="22"/>
        <v/>
      </c>
      <c r="AI46" s="968" t="str">
        <f t="shared" si="23"/>
        <v/>
      </c>
      <c r="AJ46" s="968"/>
      <c r="AK46" s="968"/>
      <c r="AL46" s="559"/>
      <c r="AM46" s="270"/>
      <c r="AN46" s="575"/>
      <c r="AO46" s="270"/>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1395"/>
      <c r="CA46" s="1450"/>
      <c r="CB46" s="1450"/>
      <c r="CC46" s="270"/>
      <c r="CD46" s="270"/>
      <c r="CE46"/>
    </row>
    <row r="47" spans="1:83" outlineLevel="2" x14ac:dyDescent="0.2">
      <c r="A47" s="270"/>
      <c r="B47" s="271"/>
      <c r="C47" s="270"/>
      <c r="D47" s="270"/>
      <c r="E47" s="270"/>
      <c r="F47" s="270"/>
      <c r="G47" s="271"/>
      <c r="H47" s="271"/>
      <c r="I47" s="271"/>
      <c r="J47" s="270"/>
      <c r="K47" s="270"/>
      <c r="L47" s="270"/>
      <c r="M47" s="270"/>
      <c r="N47" s="270"/>
      <c r="O47" s="270"/>
      <c r="P47" s="270"/>
      <c r="Q47" s="270"/>
      <c r="R47" s="558" t="s">
        <v>1731</v>
      </c>
      <c r="S47" s="620"/>
      <c r="T47" s="621"/>
      <c r="U47" s="1504"/>
      <c r="V47" s="464" t="str">
        <f t="shared" si="24"/>
        <v>A2</v>
      </c>
      <c r="W47" s="465"/>
      <c r="X47" s="466" t="s">
        <v>769</v>
      </c>
      <c r="Y47" s="465"/>
      <c r="Z47" s="467" t="str">
        <f t="shared" si="25"/>
        <v>A1</v>
      </c>
      <c r="AA47" s="839"/>
      <c r="AB47" s="1459">
        <f t="shared" si="16"/>
        <v>0</v>
      </c>
      <c r="AC47" s="1460" t="str">
        <f t="shared" si="17"/>
        <v>-</v>
      </c>
      <c r="AD47" s="1459">
        <f t="shared" si="18"/>
        <v>0</v>
      </c>
      <c r="AE47" s="968" t="str">
        <f t="shared" si="19"/>
        <v/>
      </c>
      <c r="AF47" s="968" t="str">
        <f t="shared" si="20"/>
        <v/>
      </c>
      <c r="AG47" s="968" t="str">
        <f t="shared" si="21"/>
        <v/>
      </c>
      <c r="AH47" s="968" t="str">
        <f t="shared" si="22"/>
        <v/>
      </c>
      <c r="AI47" s="968" t="str">
        <f t="shared" si="23"/>
        <v/>
      </c>
      <c r="AJ47" s="968"/>
      <c r="AK47" s="968"/>
      <c r="AL47" s="559"/>
      <c r="AM47" s="270"/>
      <c r="AN47" s="575"/>
      <c r="AO47" s="270"/>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1395"/>
      <c r="CA47" s="1450"/>
      <c r="CB47" s="1450"/>
      <c r="CC47" s="270"/>
      <c r="CD47" s="270"/>
      <c r="CE47"/>
    </row>
    <row r="48" spans="1:83" ht="13.5" outlineLevel="2" thickBot="1" x14ac:dyDescent="0.25">
      <c r="A48" s="270"/>
      <c r="B48" s="271"/>
      <c r="C48" s="270"/>
      <c r="D48" s="270"/>
      <c r="E48" s="270"/>
      <c r="F48" s="270"/>
      <c r="G48" s="271"/>
      <c r="H48" s="271"/>
      <c r="I48" s="271"/>
      <c r="J48" s="270"/>
      <c r="K48" s="270"/>
      <c r="L48" s="270"/>
      <c r="M48" s="270"/>
      <c r="N48" s="270"/>
      <c r="O48" s="270"/>
      <c r="P48" s="270"/>
      <c r="Q48" s="270"/>
      <c r="R48" s="558" t="s">
        <v>1731</v>
      </c>
      <c r="S48" s="615"/>
      <c r="T48" s="619"/>
      <c r="U48" s="1503"/>
      <c r="V48" s="461" t="str">
        <f t="shared" si="24"/>
        <v>A4</v>
      </c>
      <c r="W48" s="450"/>
      <c r="X48" s="462" t="s">
        <v>769</v>
      </c>
      <c r="Y48" s="450"/>
      <c r="Z48" s="463" t="str">
        <f t="shared" si="25"/>
        <v>A3</v>
      </c>
      <c r="AA48" s="839"/>
      <c r="AB48" s="1459">
        <f t="shared" si="16"/>
        <v>0</v>
      </c>
      <c r="AC48" s="1460" t="str">
        <f t="shared" si="17"/>
        <v>-</v>
      </c>
      <c r="AD48" s="1459">
        <f t="shared" si="18"/>
        <v>0</v>
      </c>
      <c r="AE48" s="968" t="str">
        <f t="shared" si="19"/>
        <v/>
      </c>
      <c r="AF48" s="968" t="str">
        <f t="shared" si="20"/>
        <v/>
      </c>
      <c r="AG48" s="968" t="str">
        <f t="shared" si="21"/>
        <v/>
      </c>
      <c r="AH48" s="968" t="str">
        <f t="shared" si="22"/>
        <v/>
      </c>
      <c r="AI48" s="968" t="str">
        <f t="shared" si="23"/>
        <v/>
      </c>
      <c r="AJ48" s="968"/>
      <c r="AK48" s="968"/>
      <c r="AL48" s="559"/>
      <c r="AM48" s="270"/>
      <c r="AN48" s="575"/>
      <c r="AO48" s="270"/>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1395"/>
      <c r="CA48" s="1450"/>
      <c r="CB48" s="1450"/>
      <c r="CC48" s="270"/>
      <c r="CD48" s="270"/>
      <c r="CE48"/>
    </row>
    <row r="49" spans="1:83" outlineLevel="1" x14ac:dyDescent="0.2">
      <c r="A49"/>
      <c r="B49" s="1"/>
      <c r="C49"/>
      <c r="D49"/>
      <c r="E49"/>
      <c r="F49"/>
      <c r="G49" s="1"/>
      <c r="H49" s="1"/>
      <c r="I49" s="1"/>
      <c r="J49"/>
      <c r="K49"/>
      <c r="L49"/>
      <c r="M49"/>
      <c r="N49"/>
      <c r="O49"/>
      <c r="P49"/>
      <c r="Q49"/>
      <c r="R49" s="334"/>
      <c r="S49" s="1"/>
      <c r="T49" s="1"/>
      <c r="U49"/>
      <c r="V49" s="6"/>
      <c r="W49" s="1"/>
      <c r="X49" s="1"/>
      <c r="Y49" s="1"/>
      <c r="Z49" s="16"/>
      <c r="AA49" s="123"/>
      <c r="AB49" s="963"/>
      <c r="AC49" s="963"/>
      <c r="AD49" s="963"/>
      <c r="AE49" s="964"/>
      <c r="AF49" s="964"/>
      <c r="AG49" s="964"/>
      <c r="AH49" s="964"/>
      <c r="AI49" s="964"/>
      <c r="AJ49" s="964"/>
      <c r="AK49" s="964"/>
      <c r="AL49"/>
      <c r="AM49"/>
      <c r="AO49"/>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395"/>
      <c r="CA49" s="1450"/>
      <c r="CB49" s="1450"/>
      <c r="CC49"/>
      <c r="CD49"/>
      <c r="CE49"/>
    </row>
    <row r="50" spans="1:83" ht="13.5" thickBot="1" x14ac:dyDescent="0.25">
      <c r="A50"/>
      <c r="B50" s="1"/>
      <c r="C50"/>
      <c r="D50"/>
      <c r="E50"/>
      <c r="F50"/>
      <c r="G50" s="1"/>
      <c r="H50" s="1"/>
      <c r="I50" s="1"/>
      <c r="J50"/>
      <c r="K50"/>
      <c r="L50"/>
      <c r="M50"/>
      <c r="N50"/>
      <c r="O50"/>
      <c r="P50"/>
      <c r="Q50"/>
      <c r="R50" s="334"/>
      <c r="S50" s="1"/>
      <c r="T50" s="1"/>
      <c r="U50"/>
      <c r="V50" s="6"/>
      <c r="W50" s="1"/>
      <c r="X50" s="1"/>
      <c r="Y50" s="1"/>
      <c r="Z50" s="16"/>
      <c r="AA50" s="123"/>
      <c r="AB50" s="963"/>
      <c r="AC50" s="963"/>
      <c r="AD50" s="963"/>
      <c r="AE50" s="964"/>
      <c r="AF50" s="964"/>
      <c r="AG50" s="964"/>
      <c r="AH50" s="964"/>
      <c r="AI50" s="964"/>
      <c r="AJ50" s="964"/>
      <c r="AK50" s="964"/>
      <c r="AL50"/>
      <c r="AM50"/>
      <c r="AO50"/>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395"/>
      <c r="CA50" s="1450"/>
      <c r="CB50" s="1450"/>
      <c r="CC50"/>
      <c r="CD50"/>
      <c r="CE50"/>
    </row>
    <row r="51" spans="1:83" ht="13.5" thickBot="1" x14ac:dyDescent="0.25">
      <c r="A51"/>
      <c r="B51" s="320" t="str">
        <f>N_Group_5</f>
        <v>Poule de 5</v>
      </c>
      <c r="C51" s="283"/>
      <c r="D51" s="283"/>
      <c r="E51" s="283"/>
      <c r="F51" s="283"/>
      <c r="G51" s="283"/>
      <c r="H51" s="283"/>
      <c r="I51" s="283"/>
      <c r="J51" s="283"/>
      <c r="K51" s="283"/>
      <c r="L51" s="283"/>
      <c r="M51" s="283"/>
      <c r="N51" s="283"/>
      <c r="O51" s="283"/>
      <c r="P51" s="283"/>
      <c r="Q51" s="283"/>
      <c r="R51" s="357"/>
      <c r="S51" s="283"/>
      <c r="T51" s="283"/>
      <c r="U51" s="283"/>
      <c r="V51" s="283"/>
      <c r="W51" s="992"/>
      <c r="X51" s="992"/>
      <c r="Y51" s="992"/>
      <c r="Z51" s="283"/>
      <c r="AA51" s="283"/>
      <c r="AB51" s="965"/>
      <c r="AC51" s="965"/>
      <c r="AD51" s="965"/>
      <c r="AE51" s="966"/>
      <c r="AF51" s="966"/>
      <c r="AG51" s="966"/>
      <c r="AH51" s="966"/>
      <c r="AI51" s="966"/>
      <c r="AJ51" s="966"/>
      <c r="AK51" s="965"/>
      <c r="AL51" s="283"/>
      <c r="AM51" s="282" t="str">
        <f>B51</f>
        <v>Poule de 5</v>
      </c>
      <c r="AN51" s="283"/>
      <c r="AO51" s="283"/>
      <c r="AP51" s="283"/>
      <c r="AQ51" s="283"/>
      <c r="AR51" s="283"/>
      <c r="AS51" s="283"/>
      <c r="AT51" s="283"/>
      <c r="AU51" s="283"/>
      <c r="AV51" s="283"/>
      <c r="AW51" s="283"/>
      <c r="AX51" s="283"/>
      <c r="AY51" s="283"/>
      <c r="AZ51" s="283"/>
      <c r="BA51" s="283"/>
      <c r="BB51" s="283"/>
      <c r="BC51" s="283"/>
      <c r="BD51" s="283"/>
      <c r="BE51" s="283"/>
      <c r="BF51" s="283"/>
      <c r="BG51" s="283"/>
      <c r="BH51" s="283"/>
      <c r="BI51" s="283"/>
      <c r="BJ51" s="283"/>
      <c r="BK51" s="283"/>
      <c r="BL51" s="283"/>
      <c r="BM51" s="283"/>
      <c r="BN51" s="283"/>
      <c r="BO51" s="283"/>
      <c r="BP51" s="283"/>
      <c r="BQ51" s="283"/>
      <c r="BR51" s="283"/>
      <c r="BS51" s="283"/>
      <c r="BT51" s="283"/>
      <c r="BU51" s="283"/>
      <c r="BV51" s="283"/>
      <c r="BW51" s="283"/>
      <c r="BX51" s="283"/>
      <c r="BY51" s="283"/>
      <c r="BZ51" s="1395"/>
      <c r="CA51" s="1450"/>
      <c r="CB51" s="1450"/>
      <c r="CC51" s="284"/>
      <c r="CD51"/>
      <c r="CE51"/>
    </row>
    <row r="52" spans="1:83" ht="13.5" outlineLevel="1" thickBot="1" x14ac:dyDescent="0.25">
      <c r="A52"/>
      <c r="B52" s="1"/>
      <c r="C52"/>
      <c r="D52"/>
      <c r="E52"/>
      <c r="F52"/>
      <c r="G52" s="1"/>
      <c r="H52" s="1"/>
      <c r="I52" s="1"/>
      <c r="J52"/>
      <c r="K52"/>
      <c r="L52"/>
      <c r="M52"/>
      <c r="N52"/>
      <c r="O52"/>
      <c r="P52"/>
      <c r="Q52"/>
      <c r="R52" s="334"/>
      <c r="S52" s="1"/>
      <c r="T52" s="1"/>
      <c r="U52"/>
      <c r="V52" s="6"/>
      <c r="W52" s="1"/>
      <c r="X52" s="1"/>
      <c r="Y52" s="1"/>
      <c r="Z52" s="16"/>
      <c r="AA52" s="123"/>
      <c r="AB52" s="963"/>
      <c r="AC52" s="963"/>
      <c r="AD52" s="963"/>
      <c r="AE52" s="964"/>
      <c r="AF52" s="964"/>
      <c r="AG52" s="964"/>
      <c r="AH52" s="964"/>
      <c r="AI52" s="964"/>
      <c r="AJ52" s="964"/>
      <c r="AK52" s="964"/>
      <c r="AL52"/>
      <c r="AM52"/>
      <c r="AN52" s="833"/>
      <c r="AO52"/>
      <c r="AP52" s="1"/>
      <c r="AQ52" s="1"/>
      <c r="AR52" s="1"/>
      <c r="AS52" s="1"/>
      <c r="AT52" s="1"/>
      <c r="AU52" s="1"/>
      <c r="AV52" s="1"/>
      <c r="AW52" s="1"/>
      <c r="AX52" s="1"/>
      <c r="AY52" s="1"/>
      <c r="AZ52" s="1"/>
      <c r="BA52" s="1"/>
      <c r="BB52" s="1"/>
      <c r="BC52" s="1"/>
      <c r="BD52" s="1"/>
      <c r="BE52" s="1"/>
      <c r="BF52" s="1"/>
      <c r="BG52" s="1"/>
      <c r="BH52"/>
      <c r="BI52"/>
      <c r="BJ52"/>
      <c r="BK52"/>
      <c r="BL52"/>
      <c r="BM52"/>
      <c r="BN52"/>
      <c r="BO52"/>
      <c r="BP52"/>
      <c r="BQ52"/>
      <c r="BR52"/>
      <c r="BS52"/>
      <c r="BT52"/>
      <c r="BU52"/>
      <c r="BV52"/>
      <c r="BW52"/>
      <c r="BX52"/>
      <c r="BY52"/>
      <c r="BZ52" s="1395"/>
      <c r="CA52" s="1450"/>
      <c r="CB52" s="1450"/>
      <c r="CC52"/>
      <c r="CD52"/>
      <c r="CE52"/>
    </row>
    <row r="53" spans="1:83" ht="13.5" outlineLevel="1" thickBot="1" x14ac:dyDescent="0.25">
      <c r="A53"/>
      <c r="B53" s="18" t="str">
        <f>N_Tirage</f>
        <v>Tirage</v>
      </c>
      <c r="C53" s="307" t="s">
        <v>787</v>
      </c>
      <c r="D53" s="308" t="s">
        <v>831</v>
      </c>
      <c r="E53" s="308" t="s">
        <v>832</v>
      </c>
      <c r="F53" s="309" t="s">
        <v>833</v>
      </c>
      <c r="G53" s="22" t="str">
        <f>N_Joueurs</f>
        <v>Joueurs</v>
      </c>
      <c r="H53" s="3" t="str">
        <f>N_RankPoints</f>
        <v>Pt. Clas.</v>
      </c>
      <c r="I53" s="3" t="str">
        <f>N_Diff_Part</f>
        <v>Diff-Part</v>
      </c>
      <c r="J53" s="311" t="str">
        <f>N_Pts</f>
        <v>Pts</v>
      </c>
      <c r="K53" s="311" t="str">
        <f>N_J</f>
        <v>J</v>
      </c>
      <c r="L53" s="308" t="str">
        <f>N_G</f>
        <v>G</v>
      </c>
      <c r="M53" s="308" t="str">
        <f>N_N</f>
        <v>N</v>
      </c>
      <c r="N53" s="308" t="str">
        <f>N_P</f>
        <v>P</v>
      </c>
      <c r="O53" s="308" t="str">
        <f>N_BP</f>
        <v>BP</v>
      </c>
      <c r="P53" s="308" t="str">
        <f>N_BC</f>
        <v>BC</v>
      </c>
      <c r="Q53" s="309" t="str">
        <f>N_Diff.</f>
        <v>Diff.</v>
      </c>
      <c r="R53" s="334"/>
      <c r="S53" s="3" t="str">
        <f>N_Heure</f>
        <v>Heure</v>
      </c>
      <c r="T53" s="22" t="str">
        <f>N_Table</f>
        <v>Table</v>
      </c>
      <c r="U53" s="22" t="str">
        <f>N_Arbitre</f>
        <v>Arbitre</v>
      </c>
      <c r="V53" s="293" t="str">
        <f>N_Matches</f>
        <v>Matches</v>
      </c>
      <c r="W53" s="294"/>
      <c r="X53" s="294"/>
      <c r="Y53" s="294"/>
      <c r="Z53" s="295"/>
      <c r="AA53" s="8"/>
      <c r="AB53" s="1461" t="str">
        <f>IF(MaxScore,N_MaxScore,"")</f>
        <v>Score Max</v>
      </c>
      <c r="AC53" s="1461"/>
      <c r="AD53" s="1461"/>
      <c r="AE53" s="964" t="str">
        <f>N_G</f>
        <v>G</v>
      </c>
      <c r="AF53" s="964" t="str">
        <f>N_N</f>
        <v>N</v>
      </c>
      <c r="AG53" s="964" t="str">
        <f>N_N</f>
        <v>N</v>
      </c>
      <c r="AH53" s="964" t="str">
        <f>N_P</f>
        <v>P</v>
      </c>
      <c r="AI53" s="964" t="s">
        <v>1560</v>
      </c>
      <c r="AJ53" s="964" t="s">
        <v>3714</v>
      </c>
      <c r="AK53" s="964" t="str">
        <f>IF(COUNTA(W54:W63)=0,"","OK")</f>
        <v/>
      </c>
      <c r="AL53"/>
      <c r="AM53"/>
      <c r="AN53" s="24" t="str">
        <f>N_Cla.</f>
        <v>Cla.</v>
      </c>
      <c r="AO53" s="70" t="str">
        <f>N_Joueurs</f>
        <v>Joueurs</v>
      </c>
      <c r="AP53" s="23" t="str">
        <f>N_Pts</f>
        <v>Pts</v>
      </c>
      <c r="AQ53" s="23" t="str">
        <f>N_J</f>
        <v>J</v>
      </c>
      <c r="AR53" s="20" t="str">
        <f>N_G</f>
        <v>G</v>
      </c>
      <c r="AS53" s="20" t="str">
        <f>N_N</f>
        <v>N</v>
      </c>
      <c r="AT53" s="20" t="str">
        <f>N_P</f>
        <v>P</v>
      </c>
      <c r="AU53" s="20" t="str">
        <f>N_BP</f>
        <v>BP</v>
      </c>
      <c r="AV53" s="20" t="str">
        <f>N_BC</f>
        <v>BC</v>
      </c>
      <c r="AW53" s="21" t="str">
        <f>N_Diff.</f>
        <v>Diff.</v>
      </c>
      <c r="AX53" s="286" t="str">
        <f>N_Matches</f>
        <v>Matches</v>
      </c>
      <c r="AY53" s="287"/>
      <c r="AZ53" s="287"/>
      <c r="BA53" s="287"/>
      <c r="BB53" s="287"/>
      <c r="BC53" s="287"/>
      <c r="BD53" s="287"/>
      <c r="BE53" s="287"/>
      <c r="BF53" s="287"/>
      <c r="BG53" s="288"/>
      <c r="BH53"/>
      <c r="BI53"/>
      <c r="BJ53"/>
      <c r="BK53"/>
      <c r="BL53"/>
      <c r="BM53"/>
      <c r="BN53"/>
      <c r="BO53"/>
      <c r="BP53"/>
      <c r="BQ53"/>
      <c r="BR53"/>
      <c r="BS53"/>
      <c r="BT53"/>
      <c r="BU53"/>
      <c r="BV53"/>
      <c r="BW53"/>
      <c r="BX53"/>
      <c r="BY53"/>
      <c r="BZ53" s="1395"/>
      <c r="CA53" s="1450"/>
      <c r="CB53" s="1450"/>
      <c r="CC53"/>
      <c r="CD53"/>
      <c r="CE53"/>
    </row>
    <row r="54" spans="1:83" outlineLevel="1" x14ac:dyDescent="0.2">
      <c r="A54" s="270"/>
      <c r="B54" s="505">
        <v>1</v>
      </c>
      <c r="C54" s="549" t="str">
        <f>IF(AK53="","",RANK(F54,F54:F58)*1000+ROW())</f>
        <v/>
      </c>
      <c r="D54" s="550" t="str">
        <f>IF(L54="","",CritClassInd1_Points*J54+CritClassInd1_Matches*L54+CritClassInd1_Attaque*O54+CritClassInd1_DiffButs*Q54)</f>
        <v/>
      </c>
      <c r="E54" s="550" t="str">
        <f>IF(L54="","",Nb_Diff_Part(D54,D54:D58,G54,G54:G58,AI54:AI63)*CritClassInd_DiffPart+Nb_Goal_Part(D54,D54:D58,G54,G54:G58,V54:Z63)*CritClassInd_GoalPart+Nb_Score_Part(D54,D54:D58,G54,G54:G58,V54:Z63)*CritClassInd_ScorePart)</f>
        <v/>
      </c>
      <c r="F54" s="551" t="str">
        <f>IF(L54="","",D54+E54+CritClassInd2_Points*J54+CritClassInd2_Matches*L54+CritClassInd2_Attaque*O54+CritClassInd2_DiffButs*Q54+CritClassInd_Ranking*H54+I54)</f>
        <v/>
      </c>
      <c r="G54" s="552" t="s">
        <v>903</v>
      </c>
      <c r="H54" s="499">
        <f>GMFTRANKINGPOINTS(G54,Particular_Category)</f>
        <v>0</v>
      </c>
      <c r="I54" s="500"/>
      <c r="J54" s="555" t="str">
        <f>IF(AK53="","",(L54*Points_Victoire)+M54*Points_Null)</f>
        <v/>
      </c>
      <c r="K54" s="556" t="str">
        <f>IF(L54="","",SUM(L54:N54))</f>
        <v/>
      </c>
      <c r="L54" s="556" t="str">
        <f>IF(AK53="","",COUNTIF(AE54:AE63,G54))</f>
        <v/>
      </c>
      <c r="M54" s="556" t="str">
        <f>IF(AK53="","",COUNTIF(AF54:AG63,G54))</f>
        <v/>
      </c>
      <c r="N54" s="556" t="str">
        <f>IF(AK53="","",COUNTIF(AH54:AH63,G54))</f>
        <v/>
      </c>
      <c r="O54" s="556" t="str">
        <f>IF(AK53="","",SUMIF(V54:V63,G54,AB54:AB63)+SUMIF(Z54:Z63,G54,AD54:AD63))</f>
        <v/>
      </c>
      <c r="P54" s="556" t="str">
        <f>IF(AK53="","",SUMIF(V54:V63,G54,AD54:AD63)+SUMIF(Z54:Z63,G54,AB54:AB63))</f>
        <v/>
      </c>
      <c r="Q54" s="557" t="str">
        <f>IF(AK53="","",O54-P54)</f>
        <v/>
      </c>
      <c r="R54" s="558" t="s">
        <v>1726</v>
      </c>
      <c r="S54" s="611"/>
      <c r="T54" s="617"/>
      <c r="U54" s="1502"/>
      <c r="V54" s="455" t="str">
        <f>IF(G58="","",G58)</f>
        <v>A5</v>
      </c>
      <c r="W54" s="456"/>
      <c r="X54" s="457" t="s">
        <v>769</v>
      </c>
      <c r="Y54" s="456"/>
      <c r="Z54" s="458" t="str">
        <f>IF(G54="","",G54)</f>
        <v>A1</v>
      </c>
      <c r="AA54" s="839"/>
      <c r="AB54" s="1459">
        <f t="shared" ref="AB54:AB63" si="26">IF(MaxScore,MaxGoals(W54,Y54,MaxGoalsValue),IF(W54="","",W54))</f>
        <v>0</v>
      </c>
      <c r="AC54" s="1460" t="str">
        <f t="shared" ref="AC54:AC63" si="27">IF(MaxScore,"-",IF(W54="","","-"))</f>
        <v>-</v>
      </c>
      <c r="AD54" s="1459">
        <f t="shared" ref="AD54:AD63" si="28">IF(MaxScore,MaxGoals(Y54,W54,MaxGoalsValue),IF(Y54="","",Y54))</f>
        <v>0</v>
      </c>
      <c r="AE54" s="968" t="str">
        <f t="shared" ref="AE54:AE63" si="29">IF(W54="","",IF(W54&gt;Y54,V54,IF(W54=Y54,"",Z54)))</f>
        <v/>
      </c>
      <c r="AF54" s="968" t="str">
        <f t="shared" ref="AF54:AF63" si="30">IF(W54="","",IF(W54=Y54,V54,""))</f>
        <v/>
      </c>
      <c r="AG54" s="968" t="str">
        <f t="shared" ref="AG54:AG63" si="31">IF(W54="","",IF(W54=Y54,Z54,""))</f>
        <v/>
      </c>
      <c r="AH54" s="968" t="str">
        <f t="shared" ref="AH54:AH63" si="32">IF(W54="","",IF(W54&lt;Y54,V54,IF(W54=Y54,"",Z54)))</f>
        <v/>
      </c>
      <c r="AI54" s="968" t="str">
        <f t="shared" ref="AI54:AI63" si="33">CONCATENATE(AE54,AH54)</f>
        <v/>
      </c>
      <c r="AJ54" s="968"/>
      <c r="AK54" s="968" t="str">
        <f>IF(AK53="","",SMALL(C54:C58,1))</f>
        <v/>
      </c>
      <c r="AL54" s="270"/>
      <c r="AM54" s="270"/>
      <c r="AN54" s="505" t="str">
        <f>IF(AK53="","",INT(AK54/1000))</f>
        <v/>
      </c>
      <c r="AO54" s="506" t="str">
        <f>IF(AK53="",IF(HidePlayerFormulas,"","("&amp;G54&amp;")"),VLOOKUP(AK54,C54:Q58,5,FALSE))</f>
        <v/>
      </c>
      <c r="AP54" s="507" t="str">
        <f>VLOOKUP(AK54,C54:Q58,8,FALSE)</f>
        <v/>
      </c>
      <c r="AQ54" s="507" t="str">
        <f>VLOOKUP(AK54,C54:Q58,9,FALSE)</f>
        <v/>
      </c>
      <c r="AR54" s="507" t="str">
        <f>VLOOKUP(AK54,C54:Q58,10,FALSE)</f>
        <v/>
      </c>
      <c r="AS54" s="507" t="str">
        <f>VLOOKUP(AK54,C54:Q58,11,FALSE)</f>
        <v/>
      </c>
      <c r="AT54" s="507" t="str">
        <f>VLOOKUP(AK54,C54:Q58,12,FALSE)</f>
        <v/>
      </c>
      <c r="AU54" s="507" t="str">
        <f>VLOOKUP(AK54,C54:Q58,13,FALSE)</f>
        <v/>
      </c>
      <c r="AV54" s="507" t="str">
        <f>VLOOKUP(AK54,C54:Q58,14,FALSE)</f>
        <v/>
      </c>
      <c r="AW54" s="508" t="str">
        <f>VLOOKUP(AK54,C54:Q58,15,FALSE)</f>
        <v/>
      </c>
      <c r="AX54" s="517" t="str">
        <f>IF(W54="","",IF(AO54=V54,W54,IF(AO54=Z54,Y54,"")))</f>
        <v/>
      </c>
      <c r="AY54" s="518" t="str">
        <f>IF(W55="","",IF(AO54=V55,W55,IF(AO54=Z55,Y55,"")))</f>
        <v/>
      </c>
      <c r="AZ54" s="518" t="str">
        <f>IF(W56="","",IF(AO54=V56,W56,IF(AO54=Z56,Y56,"")))</f>
        <v/>
      </c>
      <c r="BA54" s="518" t="str">
        <f>IF(W57="","",IF(AO54=V57,W57,IF(AO54=Z57,Y57,"")))</f>
        <v/>
      </c>
      <c r="BB54" s="518" t="str">
        <f>IF(W58="","",IF(AO54=V58,W58,IF(AO54=Z58,Y58,"")))</f>
        <v/>
      </c>
      <c r="BC54" s="518" t="str">
        <f>IF(W59="","",IF(AO54=V59,W59,IF(AO54=Z59,Y59,"")))</f>
        <v/>
      </c>
      <c r="BD54" s="518" t="str">
        <f>IF(W60="","",IF(AO54=V60,W60,IF(AO54=Z60,Y60,"")))</f>
        <v/>
      </c>
      <c r="BE54" s="518" t="str">
        <f>IF(W61="","",IF(AO54=V61,W61,IF(AO54=Z61,Y61,"")))</f>
        <v/>
      </c>
      <c r="BF54" s="518" t="str">
        <f>IF(W62="","",IF(AO54=V62,W62,IF(AO54=Z62,Y62,"")))</f>
        <v/>
      </c>
      <c r="BG54" s="519" t="str">
        <f>IF(W63="","",IF(AO54=V63,W63,IF(AO54=Z63,Y63,"")))</f>
        <v/>
      </c>
      <c r="BH54" s="270"/>
      <c r="BI54" s="270"/>
      <c r="BJ54" s="270"/>
      <c r="BK54" s="270"/>
      <c r="BL54" s="270"/>
      <c r="BM54" s="270"/>
      <c r="BN54" s="270"/>
      <c r="BO54" s="270"/>
      <c r="BP54" s="270"/>
      <c r="BQ54" s="270"/>
      <c r="BR54" s="270"/>
      <c r="BS54" s="270"/>
      <c r="BT54" s="270"/>
      <c r="BU54" s="270"/>
      <c r="BV54" s="270"/>
      <c r="BW54" s="270"/>
      <c r="BX54" s="270"/>
      <c r="BY54" s="270"/>
      <c r="BZ54" s="1395" t="b">
        <f>IF(G54="[---WithDraw---]",FALSE,IF(COUNTIF(PlayerNamesWithinGroups,G54)&gt;1,TRUE,FALSE))</f>
        <v>1</v>
      </c>
      <c r="CA54" s="1450" t="b">
        <f>AND(LEFT($AO54,1) = "(", RIGHT($AO54,1) =")")</f>
        <v>0</v>
      </c>
      <c r="CB54" s="1450" t="b">
        <f>IF(OR($AN54=$AN53,$AN54=$AN55),TRUE,FALSE)</f>
        <v>1</v>
      </c>
      <c r="CC54" s="270"/>
      <c r="CD54" s="270"/>
      <c r="CE54"/>
    </row>
    <row r="55" spans="1:83" ht="13.5" outlineLevel="1" thickBot="1" x14ac:dyDescent="0.25">
      <c r="A55" s="270"/>
      <c r="B55" s="509">
        <v>2</v>
      </c>
      <c r="C55" s="560" t="str">
        <f>IF(AK53="","",RANK(F55,F54:F58)*1000+ROW())</f>
        <v/>
      </c>
      <c r="D55" s="561" t="str">
        <f>IF(L55="","",CritClassInd1_Points*J55+CritClassInd1_Matches*L55+CritClassInd1_Attaque*O55+CritClassInd1_DiffButs*Q55)</f>
        <v/>
      </c>
      <c r="E55" s="561" t="str">
        <f>IF(L55="","",Nb_Diff_Part(D55,D54:D58,G55,G54:G58,AI54:AI63)*CritClassInd_DiffPart+Nb_Goal_Part(D55,D54:D58,G55,G54:G58,V54:Z63)*CritClassInd_GoalPart+Nb_Score_Part(D55,D54:D58,G55,G54:G58,V54:Z63)*CritClassInd_ScorePart)</f>
        <v/>
      </c>
      <c r="F55" s="562" t="str">
        <f>IF(L55="","",D55+E55+CritClassInd2_Points*J55+CritClassInd2_Matches*L55+CritClassInd2_Attaque*O55+CritClassInd2_DiffButs*Q55+CritClassInd_Ranking*H55+I55)</f>
        <v/>
      </c>
      <c r="G55" s="502" t="s">
        <v>904</v>
      </c>
      <c r="H55" s="501">
        <f>GMFTRANKINGPOINTS(G55,Particular_Category)</f>
        <v>0</v>
      </c>
      <c r="I55" s="502"/>
      <c r="J55" s="560" t="str">
        <f>IF(AK53="","",(L55*Points_Victoire)+M55*Points_Null)</f>
        <v/>
      </c>
      <c r="K55" s="563" t="str">
        <f>IF(L55="","",SUM(L55:N55))</f>
        <v/>
      </c>
      <c r="L55" s="563" t="str">
        <f>IF(AK53="","",COUNTIF(AE54:AE63,G55))</f>
        <v/>
      </c>
      <c r="M55" s="563" t="str">
        <f>IF(AK53="","",COUNTIF(AF54:AG63,G55))</f>
        <v/>
      </c>
      <c r="N55" s="563" t="str">
        <f>IF(AK53="","",COUNTIF(AH54:AH63,G55))</f>
        <v/>
      </c>
      <c r="O55" s="563" t="str">
        <f>IF(AK53="","",SUMIF(V54:V63,G55,AB54:AB63)+SUMIF(Z54:Z63,G55,AD54:AD63))</f>
        <v/>
      </c>
      <c r="P55" s="563" t="str">
        <f>IF(AK53="","",SUMIF(V54:V63,G55,AD54:AD63)+SUMIF(Z54:Z63,G55,AB54:AB63))</f>
        <v/>
      </c>
      <c r="Q55" s="564" t="str">
        <f>IF(AK53="","",O55-P55)</f>
        <v/>
      </c>
      <c r="R55" s="558" t="s">
        <v>1726</v>
      </c>
      <c r="S55" s="615"/>
      <c r="T55" s="619"/>
      <c r="U55" s="1503"/>
      <c r="V55" s="468" t="str">
        <f>IF(G55="","",G55)</f>
        <v>A2</v>
      </c>
      <c r="W55" s="469"/>
      <c r="X55" s="470" t="s">
        <v>769</v>
      </c>
      <c r="Y55" s="469"/>
      <c r="Z55" s="471" t="str">
        <f>IF(G56="","",G56)</f>
        <v>A3</v>
      </c>
      <c r="AA55" s="839"/>
      <c r="AB55" s="1459">
        <f t="shared" si="26"/>
        <v>0</v>
      </c>
      <c r="AC55" s="1460" t="str">
        <f t="shared" si="27"/>
        <v>-</v>
      </c>
      <c r="AD55" s="1459">
        <f t="shared" si="28"/>
        <v>0</v>
      </c>
      <c r="AE55" s="968" t="str">
        <f t="shared" si="29"/>
        <v/>
      </c>
      <c r="AF55" s="968" t="str">
        <f t="shared" si="30"/>
        <v/>
      </c>
      <c r="AG55" s="968" t="str">
        <f t="shared" si="31"/>
        <v/>
      </c>
      <c r="AH55" s="968" t="str">
        <f t="shared" si="32"/>
        <v/>
      </c>
      <c r="AI55" s="968" t="str">
        <f t="shared" si="33"/>
        <v/>
      </c>
      <c r="AJ55" s="968"/>
      <c r="AK55" s="968" t="str">
        <f>IF(AK53="","",SMALL(C54:C58,2))</f>
        <v/>
      </c>
      <c r="AL55" s="270"/>
      <c r="AM55" s="270"/>
      <c r="AN55" s="526" t="str">
        <f>IF(AK53="","",INT(AK55/1000))</f>
        <v/>
      </c>
      <c r="AO55" s="527" t="str">
        <f>IF(AK53="",IF(HidePlayerFormulas,"","("&amp;G55&amp;")"),VLOOKUP(AK55,C54:Q58,5,FALSE))</f>
        <v/>
      </c>
      <c r="AP55" s="528" t="str">
        <f>VLOOKUP(AK55,C54:Q58,8,FALSE)</f>
        <v/>
      </c>
      <c r="AQ55" s="528" t="str">
        <f>VLOOKUP(AK55,C54:Q58,9,FALSE)</f>
        <v/>
      </c>
      <c r="AR55" s="528" t="str">
        <f>VLOOKUP(AK55,C54:Q58,10,FALSE)</f>
        <v/>
      </c>
      <c r="AS55" s="528" t="str">
        <f>VLOOKUP(AK55,C54:Q58,11,FALSE)</f>
        <v/>
      </c>
      <c r="AT55" s="528" t="str">
        <f>VLOOKUP(AK55,C54:Q58,12,FALSE)</f>
        <v/>
      </c>
      <c r="AU55" s="528" t="str">
        <f>VLOOKUP(AK55,C54:Q58,13,FALSE)</f>
        <v/>
      </c>
      <c r="AV55" s="528" t="str">
        <f>VLOOKUP(AK55,C54:Q58,14,FALSE)</f>
        <v/>
      </c>
      <c r="AW55" s="529" t="str">
        <f>VLOOKUP(AK55,C54:Q58,15,FALSE)</f>
        <v/>
      </c>
      <c r="AX55" s="520" t="str">
        <f>IF(W54="","",IF(AO55=V54,W54,IF(AO55=Z54,Y54,"")))</f>
        <v/>
      </c>
      <c r="AY55" s="521" t="str">
        <f>IF(W55="","",IF(AO55=V55,W55,IF(AO55=Z55,Y55,"")))</f>
        <v/>
      </c>
      <c r="AZ55" s="521" t="str">
        <f>IF(W56="","",IF(AO55=V56,W56,IF(AO55=Z56,Y56,"")))</f>
        <v/>
      </c>
      <c r="BA55" s="521" t="str">
        <f>IF(W57="","",IF(AO55=V57,W57,IF(AO55=Z57,Y57,"")))</f>
        <v/>
      </c>
      <c r="BB55" s="521" t="str">
        <f>IF(W58="","",IF(AO55=V58,W58,IF(AO55=Z58,Y58,"")))</f>
        <v/>
      </c>
      <c r="BC55" s="521" t="str">
        <f>IF(W59="","",IF(AO55=V59,W59,IF(AO55=Z59,Y59,"")))</f>
        <v/>
      </c>
      <c r="BD55" s="521" t="str">
        <f>IF(W60="","",IF(AO55=V60,W60,IF(AO55=Z60,Y60,"")))</f>
        <v/>
      </c>
      <c r="BE55" s="521" t="str">
        <f>IF(W61="","",IF(AO55=V61,W61,IF(AO55=Z61,Y61,"")))</f>
        <v/>
      </c>
      <c r="BF55" s="521" t="str">
        <f>IF(W62="","",IF(AO55=V62,W62,IF(AO55=Z62,Y62,"")))</f>
        <v/>
      </c>
      <c r="BG55" s="522" t="str">
        <f>IF(W63="","",IF(AO55=V63,W63,IF(AO55=Z63,Y63,"")))</f>
        <v/>
      </c>
      <c r="BH55" s="270"/>
      <c r="BI55" s="270"/>
      <c r="BJ55" s="270"/>
      <c r="BK55" s="270"/>
      <c r="BL55" s="270"/>
      <c r="BM55" s="270"/>
      <c r="BN55" s="270"/>
      <c r="BO55" s="270"/>
      <c r="BP55" s="270"/>
      <c r="BQ55" s="270"/>
      <c r="BR55" s="270"/>
      <c r="BS55" s="270"/>
      <c r="BT55" s="270"/>
      <c r="BU55" s="270"/>
      <c r="BV55" s="270"/>
      <c r="BW55" s="270"/>
      <c r="BX55" s="270"/>
      <c r="BY55" s="270"/>
      <c r="BZ55" s="1395" t="b">
        <f>IF(G55="[---WithDraw---]",FALSE,IF(COUNTIF(PlayerNamesWithinGroups,G55)&gt;1,TRUE,FALSE))</f>
        <v>1</v>
      </c>
      <c r="CA55" s="1450" t="b">
        <f>AND(LEFT($AO55,1) = "(", RIGHT($AO55,1) =")")</f>
        <v>0</v>
      </c>
      <c r="CB55" s="1450" t="b">
        <f>IF(OR($AN55=$AN54,$AN55=$AN56),TRUE,FALSE)</f>
        <v>1</v>
      </c>
      <c r="CC55" s="270"/>
      <c r="CD55" s="270"/>
      <c r="CE55"/>
    </row>
    <row r="56" spans="1:83" outlineLevel="1" x14ac:dyDescent="0.2">
      <c r="A56" s="270"/>
      <c r="B56" s="509">
        <v>3</v>
      </c>
      <c r="C56" s="560" t="str">
        <f>IF(AK53="","",RANK(F56,F54:F58)*1000+ROW())</f>
        <v/>
      </c>
      <c r="D56" s="561" t="str">
        <f>IF(L56="","",CritClassInd1_Points*J56+CritClassInd1_Matches*L56+CritClassInd1_Attaque*O56+CritClassInd1_DiffButs*Q56)</f>
        <v/>
      </c>
      <c r="E56" s="561" t="str">
        <f>IF(L56="","",Nb_Diff_Part(D56,D54:D58,G56,G54:G58,AI54:AI63)*CritClassInd_DiffPart+Nb_Goal_Part(D56,D54:D58,G56,G54:G58,V54:Z63)*CritClassInd_GoalPart+Nb_Score_Part(D56,D54:D58,G56,G54:G58,V54:Z63)*CritClassInd_ScorePart)</f>
        <v/>
      </c>
      <c r="F56" s="562" t="str">
        <f>IF(L56="","",D56+E56+CritClassInd2_Points*J56+CritClassInd2_Matches*L56+CritClassInd2_Attaque*O56+CritClassInd2_DiffButs*Q56+CritClassInd_Ranking*H56+I56)</f>
        <v/>
      </c>
      <c r="G56" s="502" t="s">
        <v>905</v>
      </c>
      <c r="H56" s="501">
        <f>GMFTRANKINGPOINTS(G56,Particular_Category)</f>
        <v>0</v>
      </c>
      <c r="I56" s="502"/>
      <c r="J56" s="560" t="str">
        <f>IF(AK53="","",(L56*Points_Victoire)+M56*Points_Null)</f>
        <v/>
      </c>
      <c r="K56" s="563" t="str">
        <f>IF(L56="","",SUM(L56:N56))</f>
        <v/>
      </c>
      <c r="L56" s="563" t="str">
        <f>IF(AK53="","",COUNTIF(AE54:AE63,G56))</f>
        <v/>
      </c>
      <c r="M56" s="563" t="str">
        <f>IF(AK53="","",COUNTIF(AF54:AG63,G56))</f>
        <v/>
      </c>
      <c r="N56" s="563" t="str">
        <f>IF(AK53="","",COUNTIF(AH54:AH63,G56))</f>
        <v/>
      </c>
      <c r="O56" s="563" t="str">
        <f>IF(AK53="","",SUMIF(V54:V63,G56,AB54:AB63)+SUMIF(Z54:Z63,G56,AD54:AD63))</f>
        <v/>
      </c>
      <c r="P56" s="563" t="str">
        <f>IF(AK53="","",SUMIF(V54:V63,G56,AD54:AD63)+SUMIF(Z54:Z63,G56,AB54:AB63))</f>
        <v/>
      </c>
      <c r="Q56" s="564" t="str">
        <f>IF(AK53="","",O56-P56)</f>
        <v/>
      </c>
      <c r="R56" s="558" t="s">
        <v>1727</v>
      </c>
      <c r="S56" s="611"/>
      <c r="T56" s="617"/>
      <c r="U56" s="1502"/>
      <c r="V56" s="455" t="str">
        <f>IF(G55="","",G55)</f>
        <v>A2</v>
      </c>
      <c r="W56" s="456"/>
      <c r="X56" s="457" t="s">
        <v>769</v>
      </c>
      <c r="Y56" s="456"/>
      <c r="Z56" s="458" t="str">
        <f>IF(G57="","",G57)</f>
        <v>A4</v>
      </c>
      <c r="AA56" s="839"/>
      <c r="AB56" s="1459">
        <f t="shared" si="26"/>
        <v>0</v>
      </c>
      <c r="AC56" s="1460" t="str">
        <f t="shared" si="27"/>
        <v>-</v>
      </c>
      <c r="AD56" s="1459">
        <f t="shared" si="28"/>
        <v>0</v>
      </c>
      <c r="AE56" s="968" t="str">
        <f t="shared" si="29"/>
        <v/>
      </c>
      <c r="AF56" s="968" t="str">
        <f t="shared" si="30"/>
        <v/>
      </c>
      <c r="AG56" s="968" t="str">
        <f t="shared" si="31"/>
        <v/>
      </c>
      <c r="AH56" s="968" t="str">
        <f t="shared" si="32"/>
        <v/>
      </c>
      <c r="AI56" s="968" t="str">
        <f t="shared" si="33"/>
        <v/>
      </c>
      <c r="AJ56" s="968"/>
      <c r="AK56" s="968" t="str">
        <f>IF(AK53="","",SMALL(C54:C58,3))</f>
        <v/>
      </c>
      <c r="AL56" s="270"/>
      <c r="AM56" s="270"/>
      <c r="AN56" s="526" t="str">
        <f>IF(AK53="","",INT(AK56/1000))</f>
        <v/>
      </c>
      <c r="AO56" s="527" t="str">
        <f>IF(AK53="",IF(HidePlayerFormulas,"","("&amp;G56&amp;")"),VLOOKUP(AK56,C54:Q58,5,FALSE))</f>
        <v/>
      </c>
      <c r="AP56" s="528" t="str">
        <f>VLOOKUP(AK56,C54:Q58,8,FALSE)</f>
        <v/>
      </c>
      <c r="AQ56" s="528" t="str">
        <f>VLOOKUP(AK56,C54:Q58,9,FALSE)</f>
        <v/>
      </c>
      <c r="AR56" s="528" t="str">
        <f>VLOOKUP(AK56,C54:Q58,10,FALSE)</f>
        <v/>
      </c>
      <c r="AS56" s="528" t="str">
        <f>VLOOKUP(AK56,C54:Q58,11,FALSE)</f>
        <v/>
      </c>
      <c r="AT56" s="528" t="str">
        <f>VLOOKUP(AK56,C54:Q58,12,FALSE)</f>
        <v/>
      </c>
      <c r="AU56" s="528" t="str">
        <f>VLOOKUP(AK56,C54:Q58,13,FALSE)</f>
        <v/>
      </c>
      <c r="AV56" s="528" t="str">
        <f>VLOOKUP(AK56,C54:Q58,14,FALSE)</f>
        <v/>
      </c>
      <c r="AW56" s="529" t="str">
        <f>VLOOKUP(AK56,C54:Q58,15,FALSE)</f>
        <v/>
      </c>
      <c r="AX56" s="520" t="str">
        <f>IF(W54="","",IF(AO56=V54,W54,IF(AO56=Z54,Y54,"")))</f>
        <v/>
      </c>
      <c r="AY56" s="521" t="str">
        <f>IF(W55="","",IF(AO56=V55,W55,IF(AO56=Z55,Y55,"")))</f>
        <v/>
      </c>
      <c r="AZ56" s="521" t="str">
        <f>IF(W56="","",IF(AO56=V56,W56,IF(AO56=Z56,Y56,"")))</f>
        <v/>
      </c>
      <c r="BA56" s="521" t="str">
        <f>IF(W57="","",IF(AO56=V57,W57,IF(AO56=Z57,Y57,"")))</f>
        <v/>
      </c>
      <c r="BB56" s="521" t="str">
        <f>IF(W58="","",IF(AO56=V58,W58,IF(AO56=Z58,Y58,"")))</f>
        <v/>
      </c>
      <c r="BC56" s="521" t="str">
        <f>IF(W59="","",IF(AO56=V59,W59,IF(AO56=Z59,Y59,"")))</f>
        <v/>
      </c>
      <c r="BD56" s="521" t="str">
        <f>IF(W60="","",IF(AO56=V60,W60,IF(AO56=Z60,Y60,"")))</f>
        <v/>
      </c>
      <c r="BE56" s="521" t="str">
        <f>IF(W61="","",IF(AO56=V61,W61,IF(AO56=Z61,Y61,"")))</f>
        <v/>
      </c>
      <c r="BF56" s="521" t="str">
        <f>IF(W62="","",IF(AO56=V62,W62,IF(AO56=Z62,Y62,"")))</f>
        <v/>
      </c>
      <c r="BG56" s="522" t="str">
        <f>IF(W63="","",IF(AO56=V63,W63,IF(AO56=Z63,Y63,"")))</f>
        <v/>
      </c>
      <c r="BH56" s="270"/>
      <c r="BI56" s="270"/>
      <c r="BJ56" s="270"/>
      <c r="BK56" s="270"/>
      <c r="BL56" s="270"/>
      <c r="BM56" s="270"/>
      <c r="BN56" s="270"/>
      <c r="BO56" s="270"/>
      <c r="BP56" s="270"/>
      <c r="BQ56" s="270"/>
      <c r="BR56" s="270"/>
      <c r="BS56" s="270"/>
      <c r="BT56" s="270"/>
      <c r="BU56" s="270"/>
      <c r="BV56" s="270"/>
      <c r="BW56" s="270"/>
      <c r="BX56" s="270"/>
      <c r="BY56" s="270"/>
      <c r="BZ56" s="1395" t="b">
        <f>IF(G56="[---WithDraw---]",FALSE,IF(COUNTIF(PlayerNamesWithinGroups,G56)&gt;1,TRUE,FALSE))</f>
        <v>1</v>
      </c>
      <c r="CA56" s="1450" t="b">
        <f>AND(LEFT($AO56,1) = "(", RIGHT($AO56,1) =")")</f>
        <v>0</v>
      </c>
      <c r="CB56" s="1450" t="b">
        <f>IF(OR($AN56=$AN55,$AN56=$AN57),TRUE,FALSE)</f>
        <v>1</v>
      </c>
      <c r="CC56" s="270"/>
      <c r="CD56" s="270"/>
      <c r="CE56"/>
    </row>
    <row r="57" spans="1:83" ht="13.5" outlineLevel="1" thickBot="1" x14ac:dyDescent="0.25">
      <c r="A57" s="270"/>
      <c r="B57" s="509">
        <v>4</v>
      </c>
      <c r="C57" s="560" t="str">
        <f>IF(AK53="","",RANK(F57,F54:F58)*1000+ROW())</f>
        <v/>
      </c>
      <c r="D57" s="561" t="str">
        <f>IF(L57="","",CritClassInd1_Points*J57+CritClassInd1_Matches*L57+CritClassInd1_Attaque*O57+CritClassInd1_DiffButs*Q57)</f>
        <v/>
      </c>
      <c r="E57" s="561" t="str">
        <f>IF(L57="","",Nb_Diff_Part(D57,D54:D58,G57,G54:G58,AI54:AI63)*CritClassInd_DiffPart+Nb_Goal_Part(D57,D54:D58,G57,G54:G58,V54:Z63)*CritClassInd_GoalPart+Nb_Score_Part(D57,D54:D58,G57,G54:G58,V54:Z63)*CritClassInd_ScorePart)</f>
        <v/>
      </c>
      <c r="F57" s="562" t="str">
        <f>IF(L57="","",D57+E57+CritClassInd2_Points*J57+CritClassInd2_Matches*L57+CritClassInd2_Attaque*O57+CritClassInd2_DiffButs*Q57+CritClassInd_Ranking*H57+I57)</f>
        <v/>
      </c>
      <c r="G57" s="502" t="s">
        <v>906</v>
      </c>
      <c r="H57" s="501">
        <f>GMFTRANKINGPOINTS(G57,Particular_Category)</f>
        <v>0</v>
      </c>
      <c r="I57" s="502"/>
      <c r="J57" s="560" t="str">
        <f>IF(AK53="","",(L57*Points_Victoire)+M57*Points_Null)</f>
        <v/>
      </c>
      <c r="K57" s="563" t="str">
        <f>IF(L57="","",SUM(L57:N57))</f>
        <v/>
      </c>
      <c r="L57" s="563" t="str">
        <f>IF(AK53="","",COUNTIF(AE54:AE63,G57))</f>
        <v/>
      </c>
      <c r="M57" s="563" t="str">
        <f>IF(AK53="","",COUNTIF(AF54:AG63,G57))</f>
        <v/>
      </c>
      <c r="N57" s="563" t="str">
        <f>IF(AK53="","",COUNTIF(AH54:AH63,G57))</f>
        <v/>
      </c>
      <c r="O57" s="563" t="str">
        <f>IF(AK53="","",SUMIF(V54:V63,G57,AB54:AB63)+SUMIF(Z54:Z63,G57,AD54:AD63))</f>
        <v/>
      </c>
      <c r="P57" s="563" t="str">
        <f>IF(AK53="","",SUMIF(V54:V63,G57,AD54:AD63)+SUMIF(Z54:Z63,G57,AB54:AB63))</f>
        <v/>
      </c>
      <c r="Q57" s="564" t="str">
        <f>IF(AK53="","",O57-P57)</f>
        <v/>
      </c>
      <c r="R57" s="558" t="s">
        <v>1727</v>
      </c>
      <c r="S57" s="615"/>
      <c r="T57" s="619"/>
      <c r="U57" s="1503"/>
      <c r="V57" s="461" t="str">
        <f>IF(G56="","",G56)</f>
        <v>A3</v>
      </c>
      <c r="W57" s="450"/>
      <c r="X57" s="462" t="s">
        <v>769</v>
      </c>
      <c r="Y57" s="450"/>
      <c r="Z57" s="463" t="str">
        <f>IF(G58="","",G58)</f>
        <v>A5</v>
      </c>
      <c r="AA57" s="839"/>
      <c r="AB57" s="1459">
        <f t="shared" si="26"/>
        <v>0</v>
      </c>
      <c r="AC57" s="1460" t="str">
        <f t="shared" si="27"/>
        <v>-</v>
      </c>
      <c r="AD57" s="1459">
        <f t="shared" si="28"/>
        <v>0</v>
      </c>
      <c r="AE57" s="968" t="str">
        <f t="shared" si="29"/>
        <v/>
      </c>
      <c r="AF57" s="968" t="str">
        <f t="shared" si="30"/>
        <v/>
      </c>
      <c r="AG57" s="968" t="str">
        <f t="shared" si="31"/>
        <v/>
      </c>
      <c r="AH57" s="968" t="str">
        <f t="shared" si="32"/>
        <v/>
      </c>
      <c r="AI57" s="968" t="str">
        <f t="shared" si="33"/>
        <v/>
      </c>
      <c r="AJ57" s="968"/>
      <c r="AK57" s="968" t="str">
        <f>IF(AK53="","",SMALL(C54:C58,4))</f>
        <v/>
      </c>
      <c r="AL57" s="270"/>
      <c r="AM57" s="270"/>
      <c r="AN57" s="526" t="str">
        <f>IF(AK53="","",INT(AK57/1000))</f>
        <v/>
      </c>
      <c r="AO57" s="527" t="str">
        <f>IF(AK53="",IF(HidePlayerFormulas,"","("&amp;G57&amp;")"),VLOOKUP(AK57,C54:Q58,5,FALSE))</f>
        <v/>
      </c>
      <c r="AP57" s="528" t="str">
        <f>VLOOKUP(AK57,C54:Q58,8,FALSE)</f>
        <v/>
      </c>
      <c r="AQ57" s="528" t="str">
        <f>VLOOKUP(AK57,C54:Q58,9,FALSE)</f>
        <v/>
      </c>
      <c r="AR57" s="528" t="str">
        <f>VLOOKUP(AK57,C54:Q58,10,FALSE)</f>
        <v/>
      </c>
      <c r="AS57" s="528" t="str">
        <f>VLOOKUP(AK57,C54:Q58,11,FALSE)</f>
        <v/>
      </c>
      <c r="AT57" s="528" t="str">
        <f>VLOOKUP(AK57,C54:Q58,12,FALSE)</f>
        <v/>
      </c>
      <c r="AU57" s="528" t="str">
        <f>VLOOKUP(AK57,C54:Q58,13,FALSE)</f>
        <v/>
      </c>
      <c r="AV57" s="528" t="str">
        <f>VLOOKUP(AK57,C54:Q58,14,FALSE)</f>
        <v/>
      </c>
      <c r="AW57" s="529" t="str">
        <f>VLOOKUP(AK57,C54:Q58,15,FALSE)</f>
        <v/>
      </c>
      <c r="AX57" s="520" t="str">
        <f>IF(W54="","",IF(AO57=V54,W54,IF(AO57=Z54,Y54,"")))</f>
        <v/>
      </c>
      <c r="AY57" s="521" t="str">
        <f>IF(W55="","",IF(AO57=V55,W55,IF(AO57=Z55,Y55,"")))</f>
        <v/>
      </c>
      <c r="AZ57" s="521" t="str">
        <f>IF(W56="","",IF(AO57=V56,W56,IF(AO57=Z56,Y56,"")))</f>
        <v/>
      </c>
      <c r="BA57" s="521" t="str">
        <f>IF(W57="","",IF(AO57=V57,W57,IF(AO57=Z57,Y57,"")))</f>
        <v/>
      </c>
      <c r="BB57" s="521" t="str">
        <f>IF(W58="","",IF(AO57=V58,W58,IF(AO57=Z58,Y58,"")))</f>
        <v/>
      </c>
      <c r="BC57" s="521" t="str">
        <f>IF(W59="","",IF(AO57=V59,W59,IF(AO57=Z59,Y59,"")))</f>
        <v/>
      </c>
      <c r="BD57" s="521" t="str">
        <f>IF(W60="","",IF(AO57=V60,W60,IF(AO57=Z60,Y60,"")))</f>
        <v/>
      </c>
      <c r="BE57" s="521" t="str">
        <f>IF(W61="","",IF(AO57=V61,W61,IF(AO57=Z61,Y61,"")))</f>
        <v/>
      </c>
      <c r="BF57" s="521" t="str">
        <f>IF(W62="","",IF(AO57=V62,W62,IF(AO57=Z62,Y62,"")))</f>
        <v/>
      </c>
      <c r="BG57" s="522" t="str">
        <f>IF(W63="","",IF(AO57=V63,W63,IF(AO57=Z63,Y63,"")))</f>
        <v/>
      </c>
      <c r="BH57" s="270"/>
      <c r="BI57" s="270"/>
      <c r="BJ57" s="270"/>
      <c r="BK57" s="270"/>
      <c r="BL57" s="270"/>
      <c r="BM57" s="270"/>
      <c r="BN57" s="270"/>
      <c r="BO57" s="270"/>
      <c r="BP57" s="270"/>
      <c r="BQ57" s="270"/>
      <c r="BR57" s="270"/>
      <c r="BS57" s="270"/>
      <c r="BT57" s="270"/>
      <c r="BU57" s="270"/>
      <c r="BV57" s="270"/>
      <c r="BW57" s="270"/>
      <c r="BX57" s="270"/>
      <c r="BY57" s="270"/>
      <c r="BZ57" s="1395" t="b">
        <f>IF(G57="[---WithDraw---]",FALSE,IF(COUNTIF(PlayerNamesWithinGroups,G57)&gt;1,TRUE,FALSE))</f>
        <v>1</v>
      </c>
      <c r="CA57" s="1450" t="b">
        <f>AND(LEFT($AO57,1) = "(", RIGHT($AO57,1) =")")</f>
        <v>0</v>
      </c>
      <c r="CB57" s="1450" t="b">
        <f>IF(OR($AN57=$AN56,$AN57=$AN58),TRUE,FALSE)</f>
        <v>1</v>
      </c>
      <c r="CC57" s="270"/>
      <c r="CD57" s="270"/>
      <c r="CE57"/>
    </row>
    <row r="58" spans="1:83" ht="13.5" outlineLevel="1" thickBot="1" x14ac:dyDescent="0.25">
      <c r="A58" s="270"/>
      <c r="B58" s="513">
        <v>5</v>
      </c>
      <c r="C58" s="565" t="str">
        <f>IF(AK53="","",RANK(F58,F54:F58)*1000+ROW())</f>
        <v/>
      </c>
      <c r="D58" s="566" t="str">
        <f>IF(L58="","",CritClassInd1_Points*J58+CritClassInd1_Matches*L58+CritClassInd1_Attaque*O58+CritClassInd1_DiffButs*Q58)</f>
        <v/>
      </c>
      <c r="E58" s="566" t="str">
        <f>IF(L58="","",Nb_Diff_Part(D58,D54:D58,G58,G54:G58,AI54:AI63)*CritClassInd_DiffPart+Nb_Goal_Part(D58,D54:D58,G58,G54:G58,V54:Z63)*CritClassInd_GoalPart+Nb_Score_Part(D58,D54:D58,G58,G54:G58,V54:Z63)*CritClassInd_ScorePart)</f>
        <v/>
      </c>
      <c r="F58" s="567" t="str">
        <f>IF(L58="","",D58+E58+CritClassInd2_Points*J58+CritClassInd2_Matches*L58+CritClassInd2_Attaque*O58+CritClassInd2_DiffButs*Q58+CritClassInd_Ranking*H58+I58)</f>
        <v/>
      </c>
      <c r="G58" s="500" t="s">
        <v>907</v>
      </c>
      <c r="H58" s="568">
        <f>GMFTRANKINGPOINTS(G58,Particular_Category)</f>
        <v>0</v>
      </c>
      <c r="I58" s="569"/>
      <c r="J58" s="565" t="str">
        <f>IF(AK53="","",(L58*Points_Victoire)+M58*Points_Null)</f>
        <v/>
      </c>
      <c r="K58" s="570" t="str">
        <f>IF(L58="","",SUM(L58:N58))</f>
        <v/>
      </c>
      <c r="L58" s="570" t="str">
        <f>IF(AK53="","",COUNTIF(AE54:AE63,G58))</f>
        <v/>
      </c>
      <c r="M58" s="570" t="str">
        <f>IF(AK53="","",COUNTIF(AF54:AG63,G58))</f>
        <v/>
      </c>
      <c r="N58" s="570" t="str">
        <f>IF(AK53="","",COUNTIF(AH54:AH63,G58))</f>
        <v/>
      </c>
      <c r="O58" s="570" t="str">
        <f>IF(AK53="","",SUMIF(V54:V63,G58,AB54:AB63)+SUMIF(Z54:Z63,G58,AD54:AD63))</f>
        <v/>
      </c>
      <c r="P58" s="570" t="str">
        <f>IF(AK53="","",SUMIF(V54:V63,G58,AD54:AD63)+SUMIF(Z54:Z63,G58,AB54:AB63))</f>
        <v/>
      </c>
      <c r="Q58" s="571" t="str">
        <f>IF(AK53="","",O58-P58)</f>
        <v/>
      </c>
      <c r="R58" s="558" t="s">
        <v>1728</v>
      </c>
      <c r="S58" s="611"/>
      <c r="T58" s="621"/>
      <c r="U58" s="1504"/>
      <c r="V58" s="455" t="str">
        <f>IF(G57="","",G57)</f>
        <v>A4</v>
      </c>
      <c r="W58" s="456"/>
      <c r="X58" s="457" t="s">
        <v>769</v>
      </c>
      <c r="Y58" s="456"/>
      <c r="Z58" s="458" t="str">
        <f>IF(G54="","",G54)</f>
        <v>A1</v>
      </c>
      <c r="AA58" s="839"/>
      <c r="AB58" s="1459">
        <f t="shared" si="26"/>
        <v>0</v>
      </c>
      <c r="AC58" s="1460" t="str">
        <f t="shared" si="27"/>
        <v>-</v>
      </c>
      <c r="AD58" s="1459">
        <f t="shared" si="28"/>
        <v>0</v>
      </c>
      <c r="AE58" s="968" t="str">
        <f t="shared" si="29"/>
        <v/>
      </c>
      <c r="AF58" s="968" t="str">
        <f t="shared" si="30"/>
        <v/>
      </c>
      <c r="AG58" s="968" t="str">
        <f t="shared" si="31"/>
        <v/>
      </c>
      <c r="AH58" s="968" t="str">
        <f t="shared" si="32"/>
        <v/>
      </c>
      <c r="AI58" s="968" t="str">
        <f t="shared" si="33"/>
        <v/>
      </c>
      <c r="AJ58" s="968"/>
      <c r="AK58" s="968" t="str">
        <f>IF(AK53="","",SMALL(C54:C58,5))</f>
        <v/>
      </c>
      <c r="AL58" s="270"/>
      <c r="AM58" s="270"/>
      <c r="AN58" s="530" t="str">
        <f>IF(AK53="","",INT(AK58/1000))</f>
        <v/>
      </c>
      <c r="AO58" s="531" t="str">
        <f>IF(AK53="",IF(HidePlayerFormulas,"","("&amp;G58&amp;")"),VLOOKUP(AK58,C54:Q58,5,FALSE))</f>
        <v/>
      </c>
      <c r="AP58" s="532" t="str">
        <f>VLOOKUP(AK58,C54:Q58,8,FALSE)</f>
        <v/>
      </c>
      <c r="AQ58" s="532" t="str">
        <f>VLOOKUP(AK58,C54:Q58,9,FALSE)</f>
        <v/>
      </c>
      <c r="AR58" s="532" t="str">
        <f>VLOOKUP(AK58,C54:Q58,10,FALSE)</f>
        <v/>
      </c>
      <c r="AS58" s="532" t="str">
        <f>VLOOKUP(AK58,C54:Q58,11,FALSE)</f>
        <v/>
      </c>
      <c r="AT58" s="532" t="str">
        <f>VLOOKUP(AK58,C54:Q58,12,FALSE)</f>
        <v/>
      </c>
      <c r="AU58" s="532" t="str">
        <f>VLOOKUP(AK58,C54:Q58,13,FALSE)</f>
        <v/>
      </c>
      <c r="AV58" s="532" t="str">
        <f>VLOOKUP(AK58,C54:Q58,14,FALSE)</f>
        <v/>
      </c>
      <c r="AW58" s="533" t="str">
        <f>VLOOKUP(AK58,C54:Q58,15,FALSE)</f>
        <v/>
      </c>
      <c r="AX58" s="523" t="str">
        <f>IF(W54="","",IF(AO58=V54,W54,IF(AO58=Z54,Y54,"")))</f>
        <v/>
      </c>
      <c r="AY58" s="524" t="str">
        <f>IF(W55="","",IF(AO58=V55,W55,IF(AO58=Z55,Y55,"")))</f>
        <v/>
      </c>
      <c r="AZ58" s="524" t="str">
        <f>IF(W56="","",IF(AO58=V56,W56,IF(AO58=Z56,Y56,"")))</f>
        <v/>
      </c>
      <c r="BA58" s="524" t="str">
        <f>IF(W57="","",IF(AO58=V57,W57,IF(AO58=Z57,Y57,"")))</f>
        <v/>
      </c>
      <c r="BB58" s="524" t="str">
        <f>IF(W58="","",IF(AO58=V58,W58,IF(AO58=Z58,Y58,"")))</f>
        <v/>
      </c>
      <c r="BC58" s="524" t="str">
        <f>IF(W59="","",IF(AO58=V59,W59,IF(AO58=Z59,Y59,"")))</f>
        <v/>
      </c>
      <c r="BD58" s="524" t="str">
        <f>IF(W60="","",IF(AO58=V60,W60,IF(AO58=Z60,Y60,"")))</f>
        <v/>
      </c>
      <c r="BE58" s="524" t="str">
        <f>IF(W61="","",IF(AO58=V61,W61,IF(AO58=Z61,Y61,"")))</f>
        <v/>
      </c>
      <c r="BF58" s="524" t="str">
        <f>IF(W62="","",IF(AO58=V62,W62,IF(AO58=Z62,Y62,"")))</f>
        <v/>
      </c>
      <c r="BG58" s="525" t="str">
        <f>IF(W63="","",IF(AO58=V63,W63,IF(AO58=Z63,Y63,"")))</f>
        <v/>
      </c>
      <c r="BH58" s="270"/>
      <c r="BI58" s="270"/>
      <c r="BJ58" s="270"/>
      <c r="BK58" s="270"/>
      <c r="BL58" s="270"/>
      <c r="BM58" s="270"/>
      <c r="BN58" s="270"/>
      <c r="BO58" s="270"/>
      <c r="BP58" s="270"/>
      <c r="BQ58" s="270"/>
      <c r="BR58" s="270"/>
      <c r="BS58" s="270"/>
      <c r="BT58" s="270"/>
      <c r="BU58" s="270"/>
      <c r="BV58" s="270"/>
      <c r="BW58" s="270"/>
      <c r="BX58" s="270"/>
      <c r="BY58" s="270"/>
      <c r="BZ58" s="1395" t="b">
        <f>IF(G58="[---WithDraw---]",FALSE,IF(COUNTIF(PlayerNamesWithinGroups,G58)&gt;1,TRUE,FALSE))</f>
        <v>1</v>
      </c>
      <c r="CA58" s="1450" t="b">
        <f>AND(LEFT($AO58,1) = "(", RIGHT($AO58,1) =")")</f>
        <v>0</v>
      </c>
      <c r="CB58" s="1450" t="b">
        <f>IF(OR($AN58=$AN57,$AN58=$AN59),TRUE,FALSE)</f>
        <v>1</v>
      </c>
      <c r="CC58" s="270"/>
      <c r="CD58" s="270"/>
      <c r="CE58"/>
    </row>
    <row r="59" spans="1:83" ht="13.5" outlineLevel="2" thickBot="1" x14ac:dyDescent="0.25">
      <c r="A59" s="270"/>
      <c r="B59" s="271"/>
      <c r="C59" s="270"/>
      <c r="D59" s="270"/>
      <c r="E59" s="270"/>
      <c r="F59" s="270"/>
      <c r="G59" s="271"/>
      <c r="H59" s="271"/>
      <c r="I59" s="271"/>
      <c r="J59" s="270"/>
      <c r="K59" s="270"/>
      <c r="L59" s="270"/>
      <c r="M59" s="270"/>
      <c r="N59" s="270"/>
      <c r="O59" s="270"/>
      <c r="P59" s="270"/>
      <c r="Q59" s="270"/>
      <c r="R59" s="558" t="s">
        <v>1728</v>
      </c>
      <c r="S59" s="615"/>
      <c r="T59" s="619"/>
      <c r="U59" s="1503"/>
      <c r="V59" s="461" t="str">
        <f>IF(G58="","",G58)</f>
        <v>A5</v>
      </c>
      <c r="W59" s="450"/>
      <c r="X59" s="462" t="s">
        <v>769</v>
      </c>
      <c r="Y59" s="450"/>
      <c r="Z59" s="463" t="str">
        <f>IF(G55="","",G55)</f>
        <v>A2</v>
      </c>
      <c r="AA59" s="839"/>
      <c r="AB59" s="1459">
        <f t="shared" si="26"/>
        <v>0</v>
      </c>
      <c r="AC59" s="1460" t="str">
        <f t="shared" si="27"/>
        <v>-</v>
      </c>
      <c r="AD59" s="1459">
        <f t="shared" si="28"/>
        <v>0</v>
      </c>
      <c r="AE59" s="968" t="str">
        <f t="shared" si="29"/>
        <v/>
      </c>
      <c r="AF59" s="968" t="str">
        <f t="shared" si="30"/>
        <v/>
      </c>
      <c r="AG59" s="968" t="str">
        <f t="shared" si="31"/>
        <v/>
      </c>
      <c r="AH59" s="968" t="str">
        <f t="shared" si="32"/>
        <v/>
      </c>
      <c r="AI59" s="968" t="str">
        <f t="shared" si="33"/>
        <v/>
      </c>
      <c r="AJ59" s="968"/>
      <c r="AK59" s="968"/>
      <c r="AL59" s="270"/>
      <c r="AM59" s="270"/>
      <c r="AN59" s="575"/>
      <c r="AO59" s="270"/>
      <c r="AP59" s="271"/>
      <c r="AQ59" s="271"/>
      <c r="AR59" s="271"/>
      <c r="AS59" s="271"/>
      <c r="AT59" s="271"/>
      <c r="AU59" s="271"/>
      <c r="AV59" s="271"/>
      <c r="AW59" s="271"/>
      <c r="AX59" s="271"/>
      <c r="AY59" s="271"/>
      <c r="AZ59" s="271"/>
      <c r="BA59" s="271"/>
      <c r="BB59" s="271"/>
      <c r="BC59" s="271"/>
      <c r="BD59" s="271"/>
      <c r="BE59" s="271"/>
      <c r="BF59" s="271"/>
      <c r="BG59" s="271"/>
      <c r="BH59" s="271"/>
      <c r="BI59" s="271"/>
      <c r="BJ59" s="271"/>
      <c r="BK59" s="271"/>
      <c r="BL59" s="271"/>
      <c r="BM59" s="271"/>
      <c r="BN59" s="271"/>
      <c r="BO59" s="271"/>
      <c r="BP59" s="271"/>
      <c r="BQ59" s="271"/>
      <c r="BR59" s="271"/>
      <c r="BS59" s="271"/>
      <c r="BT59" s="271"/>
      <c r="BU59" s="271"/>
      <c r="BV59" s="271"/>
      <c r="BW59" s="271"/>
      <c r="BX59" s="271"/>
      <c r="BY59" s="271"/>
      <c r="BZ59" s="1395"/>
      <c r="CA59" s="1450"/>
      <c r="CB59" s="1450"/>
      <c r="CC59" s="270"/>
      <c r="CD59" s="270"/>
      <c r="CE59"/>
    </row>
    <row r="60" spans="1:83" outlineLevel="2" x14ac:dyDescent="0.2">
      <c r="A60" s="270"/>
      <c r="B60" s="271"/>
      <c r="C60" s="270"/>
      <c r="D60" s="270"/>
      <c r="E60" s="270"/>
      <c r="F60" s="270"/>
      <c r="G60" s="271"/>
      <c r="H60" s="271"/>
      <c r="I60" s="271"/>
      <c r="J60" s="270"/>
      <c r="K60" s="270"/>
      <c r="L60" s="270"/>
      <c r="M60" s="270"/>
      <c r="N60" s="270"/>
      <c r="O60" s="270"/>
      <c r="P60" s="270"/>
      <c r="Q60" s="270"/>
      <c r="R60" s="558" t="s">
        <v>1729</v>
      </c>
      <c r="S60" s="611"/>
      <c r="T60" s="617"/>
      <c r="U60" s="1502"/>
      <c r="V60" s="455" t="str">
        <f>IF(G54="","",G54)</f>
        <v>A1</v>
      </c>
      <c r="W60" s="456"/>
      <c r="X60" s="457" t="s">
        <v>769</v>
      </c>
      <c r="Y60" s="456"/>
      <c r="Z60" s="458" t="str">
        <f>IF(G56="","",G56)</f>
        <v>A3</v>
      </c>
      <c r="AA60" s="839"/>
      <c r="AB60" s="1459">
        <f t="shared" si="26"/>
        <v>0</v>
      </c>
      <c r="AC60" s="1460" t="str">
        <f t="shared" si="27"/>
        <v>-</v>
      </c>
      <c r="AD60" s="1459">
        <f t="shared" si="28"/>
        <v>0</v>
      </c>
      <c r="AE60" s="968" t="str">
        <f t="shared" si="29"/>
        <v/>
      </c>
      <c r="AF60" s="968" t="str">
        <f t="shared" si="30"/>
        <v/>
      </c>
      <c r="AG60" s="968" t="str">
        <f t="shared" si="31"/>
        <v/>
      </c>
      <c r="AH60" s="968" t="str">
        <f t="shared" si="32"/>
        <v/>
      </c>
      <c r="AI60" s="968" t="str">
        <f t="shared" si="33"/>
        <v/>
      </c>
      <c r="AJ60" s="968"/>
      <c r="AK60" s="968"/>
      <c r="AL60" s="270"/>
      <c r="AM60" s="270"/>
      <c r="AN60" s="575"/>
      <c r="AO60" s="270"/>
      <c r="AP60" s="271"/>
      <c r="AQ60" s="271"/>
      <c r="AR60" s="271"/>
      <c r="AS60" s="271"/>
      <c r="AT60" s="271"/>
      <c r="AU60" s="271"/>
      <c r="AV60" s="271"/>
      <c r="AW60" s="271"/>
      <c r="AX60" s="271"/>
      <c r="AY60" s="271"/>
      <c r="AZ60" s="271"/>
      <c r="BA60" s="271"/>
      <c r="BB60" s="271"/>
      <c r="BC60" s="271"/>
      <c r="BD60" s="271"/>
      <c r="BE60" s="271"/>
      <c r="BF60" s="271"/>
      <c r="BG60" s="271"/>
      <c r="BH60" s="271"/>
      <c r="BI60" s="271"/>
      <c r="BJ60" s="271"/>
      <c r="BK60" s="271"/>
      <c r="BL60" s="271"/>
      <c r="BM60" s="271"/>
      <c r="BN60" s="271"/>
      <c r="BO60" s="271"/>
      <c r="BP60" s="271"/>
      <c r="BQ60" s="271"/>
      <c r="BR60" s="271"/>
      <c r="BS60" s="271"/>
      <c r="BT60" s="271"/>
      <c r="BU60" s="271"/>
      <c r="BV60" s="271"/>
      <c r="BW60" s="271"/>
      <c r="BX60" s="271"/>
      <c r="BY60" s="271"/>
      <c r="BZ60" s="1395"/>
      <c r="CA60" s="1450"/>
      <c r="CB60" s="1450"/>
      <c r="CC60" s="270"/>
      <c r="CD60" s="270"/>
      <c r="CE60"/>
    </row>
    <row r="61" spans="1:83" ht="13.5" outlineLevel="2" thickBot="1" x14ac:dyDescent="0.25">
      <c r="A61" s="270"/>
      <c r="B61" s="271"/>
      <c r="C61" s="270"/>
      <c r="D61" s="270"/>
      <c r="E61" s="270"/>
      <c r="F61" s="270"/>
      <c r="G61" s="271"/>
      <c r="H61" s="271"/>
      <c r="I61" s="271"/>
      <c r="J61" s="270"/>
      <c r="K61" s="270"/>
      <c r="L61" s="270"/>
      <c r="M61" s="270"/>
      <c r="N61" s="270"/>
      <c r="O61" s="270"/>
      <c r="P61" s="270"/>
      <c r="Q61" s="270"/>
      <c r="R61" s="558" t="s">
        <v>1729</v>
      </c>
      <c r="S61" s="615"/>
      <c r="T61" s="619"/>
      <c r="U61" s="1503"/>
      <c r="V61" s="461" t="str">
        <f>IF(G57="","",G57)</f>
        <v>A4</v>
      </c>
      <c r="W61" s="450"/>
      <c r="X61" s="462" t="s">
        <v>769</v>
      </c>
      <c r="Y61" s="450"/>
      <c r="Z61" s="463" t="str">
        <f>IF(G58="","",G58)</f>
        <v>A5</v>
      </c>
      <c r="AA61" s="839"/>
      <c r="AB61" s="1459">
        <f t="shared" si="26"/>
        <v>0</v>
      </c>
      <c r="AC61" s="1460" t="str">
        <f t="shared" si="27"/>
        <v>-</v>
      </c>
      <c r="AD61" s="1459">
        <f t="shared" si="28"/>
        <v>0</v>
      </c>
      <c r="AE61" s="968" t="str">
        <f t="shared" si="29"/>
        <v/>
      </c>
      <c r="AF61" s="968" t="str">
        <f t="shared" si="30"/>
        <v/>
      </c>
      <c r="AG61" s="968" t="str">
        <f t="shared" si="31"/>
        <v/>
      </c>
      <c r="AH61" s="968" t="str">
        <f t="shared" si="32"/>
        <v/>
      </c>
      <c r="AI61" s="968" t="str">
        <f t="shared" si="33"/>
        <v/>
      </c>
      <c r="AJ61" s="968"/>
      <c r="AK61" s="968"/>
      <c r="AL61" s="270"/>
      <c r="AM61" s="270"/>
      <c r="AN61" s="575"/>
      <c r="AO61" s="270"/>
      <c r="AP61" s="271"/>
      <c r="AQ61" s="271"/>
      <c r="AR61" s="271"/>
      <c r="AS61" s="271"/>
      <c r="AT61" s="271"/>
      <c r="AU61" s="271"/>
      <c r="AV61" s="271"/>
      <c r="AW61" s="271"/>
      <c r="AX61" s="271"/>
      <c r="AY61" s="271"/>
      <c r="AZ61" s="271"/>
      <c r="BA61" s="271"/>
      <c r="BB61" s="271"/>
      <c r="BC61" s="271"/>
      <c r="BD61" s="271"/>
      <c r="BE61" s="271"/>
      <c r="BF61" s="271"/>
      <c r="BG61" s="271"/>
      <c r="BH61" s="271"/>
      <c r="BI61" s="271"/>
      <c r="BJ61" s="271"/>
      <c r="BK61" s="271"/>
      <c r="BL61" s="271"/>
      <c r="BM61" s="271"/>
      <c r="BN61" s="271"/>
      <c r="BO61" s="271"/>
      <c r="BP61" s="271"/>
      <c r="BQ61" s="271"/>
      <c r="BR61" s="271"/>
      <c r="BS61" s="271"/>
      <c r="BT61" s="271"/>
      <c r="BU61" s="271"/>
      <c r="BV61" s="271"/>
      <c r="BW61" s="271"/>
      <c r="BX61" s="271"/>
      <c r="BY61" s="271"/>
      <c r="BZ61" s="1395"/>
      <c r="CA61" s="1450"/>
      <c r="CB61" s="1450"/>
      <c r="CC61" s="270"/>
      <c r="CD61" s="270"/>
      <c r="CE61"/>
    </row>
    <row r="62" spans="1:83" outlineLevel="2" x14ac:dyDescent="0.2">
      <c r="A62" s="270"/>
      <c r="B62" s="271"/>
      <c r="C62" s="270"/>
      <c r="D62" s="270"/>
      <c r="E62" s="270"/>
      <c r="F62" s="270"/>
      <c r="G62" s="271"/>
      <c r="H62" s="271"/>
      <c r="I62" s="271"/>
      <c r="J62" s="270"/>
      <c r="K62" s="270"/>
      <c r="L62" s="270"/>
      <c r="M62" s="270"/>
      <c r="N62" s="270"/>
      <c r="O62" s="270"/>
      <c r="P62" s="270"/>
      <c r="Q62" s="270"/>
      <c r="R62" s="558" t="s">
        <v>1730</v>
      </c>
      <c r="S62" s="611"/>
      <c r="T62" s="621"/>
      <c r="U62" s="1504"/>
      <c r="V62" s="464" t="str">
        <f>IF(G54="","",G54)</f>
        <v>A1</v>
      </c>
      <c r="W62" s="465"/>
      <c r="X62" s="466" t="s">
        <v>769</v>
      </c>
      <c r="Y62" s="465"/>
      <c r="Z62" s="467" t="str">
        <f>IF(G55="","",G55)</f>
        <v>A2</v>
      </c>
      <c r="AA62" s="839"/>
      <c r="AB62" s="1459">
        <f t="shared" si="26"/>
        <v>0</v>
      </c>
      <c r="AC62" s="1460" t="str">
        <f t="shared" si="27"/>
        <v>-</v>
      </c>
      <c r="AD62" s="1459">
        <f t="shared" si="28"/>
        <v>0</v>
      </c>
      <c r="AE62" s="968" t="str">
        <f t="shared" si="29"/>
        <v/>
      </c>
      <c r="AF62" s="968" t="str">
        <f t="shared" si="30"/>
        <v/>
      </c>
      <c r="AG62" s="968" t="str">
        <f t="shared" si="31"/>
        <v/>
      </c>
      <c r="AH62" s="968" t="str">
        <f t="shared" si="32"/>
        <v/>
      </c>
      <c r="AI62" s="968" t="str">
        <f t="shared" si="33"/>
        <v/>
      </c>
      <c r="AJ62" s="968"/>
      <c r="AK62" s="968"/>
      <c r="AL62" s="270"/>
      <c r="AM62" s="270"/>
      <c r="AN62" s="575"/>
      <c r="AO62" s="270"/>
      <c r="AP62" s="271"/>
      <c r="AQ62" s="271"/>
      <c r="AR62" s="271"/>
      <c r="AS62" s="271"/>
      <c r="AT62" s="271"/>
      <c r="AU62" s="271"/>
      <c r="AV62" s="271"/>
      <c r="AW62" s="271"/>
      <c r="AX62" s="271"/>
      <c r="AY62" s="271"/>
      <c r="AZ62" s="271"/>
      <c r="BA62" s="271"/>
      <c r="BB62" s="271"/>
      <c r="BC62" s="271"/>
      <c r="BD62" s="271"/>
      <c r="BE62" s="271"/>
      <c r="BF62" s="271"/>
      <c r="BG62" s="271"/>
      <c r="BH62" s="271"/>
      <c r="BI62" s="271"/>
      <c r="BJ62" s="271"/>
      <c r="BK62" s="271"/>
      <c r="BL62" s="271"/>
      <c r="BM62" s="271"/>
      <c r="BN62" s="271"/>
      <c r="BO62" s="271"/>
      <c r="BP62" s="271"/>
      <c r="BQ62" s="271"/>
      <c r="BR62" s="271"/>
      <c r="BS62" s="271"/>
      <c r="BT62" s="271"/>
      <c r="BU62" s="271"/>
      <c r="BV62" s="271"/>
      <c r="BW62" s="271"/>
      <c r="BX62" s="271"/>
      <c r="BY62" s="271"/>
      <c r="BZ62" s="1395"/>
      <c r="CA62" s="1450"/>
      <c r="CB62" s="1450"/>
      <c r="CC62" s="270"/>
      <c r="CD62" s="270"/>
      <c r="CE62"/>
    </row>
    <row r="63" spans="1:83" ht="13.5" outlineLevel="2" thickBot="1" x14ac:dyDescent="0.25">
      <c r="A63" s="270"/>
      <c r="B63" s="271"/>
      <c r="C63" s="270"/>
      <c r="D63" s="270"/>
      <c r="E63" s="270"/>
      <c r="F63" s="270"/>
      <c r="G63" s="271"/>
      <c r="H63" s="271"/>
      <c r="I63" s="271"/>
      <c r="J63" s="270"/>
      <c r="K63" s="270"/>
      <c r="L63" s="270"/>
      <c r="M63" s="270"/>
      <c r="N63" s="270"/>
      <c r="O63" s="270"/>
      <c r="P63" s="270"/>
      <c r="Q63" s="270"/>
      <c r="R63" s="558" t="s">
        <v>1730</v>
      </c>
      <c r="S63" s="615"/>
      <c r="T63" s="619"/>
      <c r="U63" s="1503"/>
      <c r="V63" s="461" t="str">
        <f>IF(G56="","",G56)</f>
        <v>A3</v>
      </c>
      <c r="W63" s="450"/>
      <c r="X63" s="462" t="s">
        <v>769</v>
      </c>
      <c r="Y63" s="450"/>
      <c r="Z63" s="463" t="str">
        <f>IF(G57="","",G57)</f>
        <v>A4</v>
      </c>
      <c r="AA63" s="839"/>
      <c r="AB63" s="1459">
        <f t="shared" si="26"/>
        <v>0</v>
      </c>
      <c r="AC63" s="1460" t="str">
        <f t="shared" si="27"/>
        <v>-</v>
      </c>
      <c r="AD63" s="1459">
        <f t="shared" si="28"/>
        <v>0</v>
      </c>
      <c r="AE63" s="968" t="str">
        <f t="shared" si="29"/>
        <v/>
      </c>
      <c r="AF63" s="968" t="str">
        <f t="shared" si="30"/>
        <v/>
      </c>
      <c r="AG63" s="968" t="str">
        <f t="shared" si="31"/>
        <v/>
      </c>
      <c r="AH63" s="968" t="str">
        <f t="shared" si="32"/>
        <v/>
      </c>
      <c r="AI63" s="968" t="str">
        <f t="shared" si="33"/>
        <v/>
      </c>
      <c r="AJ63" s="968"/>
      <c r="AK63" s="968"/>
      <c r="AL63" s="270"/>
      <c r="AM63" s="270"/>
      <c r="AN63" s="575"/>
      <c r="AO63" s="270"/>
      <c r="AP63" s="271"/>
      <c r="AQ63" s="271"/>
      <c r="AR63" s="271"/>
      <c r="AS63" s="271"/>
      <c r="AT63" s="271"/>
      <c r="AU63" s="271"/>
      <c r="AV63" s="271"/>
      <c r="AW63" s="271"/>
      <c r="AX63" s="271"/>
      <c r="AY63" s="271"/>
      <c r="AZ63" s="271"/>
      <c r="BA63" s="271"/>
      <c r="BB63" s="271"/>
      <c r="BC63" s="271"/>
      <c r="BD63" s="271"/>
      <c r="BE63" s="271"/>
      <c r="BF63" s="271"/>
      <c r="BG63" s="271"/>
      <c r="BH63" s="271"/>
      <c r="BI63" s="271"/>
      <c r="BJ63" s="271"/>
      <c r="BK63" s="271"/>
      <c r="BL63" s="271"/>
      <c r="BM63" s="271"/>
      <c r="BN63" s="271"/>
      <c r="BO63" s="271"/>
      <c r="BP63" s="271"/>
      <c r="BQ63" s="271"/>
      <c r="BR63" s="271"/>
      <c r="BS63" s="271"/>
      <c r="BT63" s="271"/>
      <c r="BU63" s="271"/>
      <c r="BV63" s="271"/>
      <c r="BW63" s="271"/>
      <c r="BX63" s="271"/>
      <c r="BY63" s="271"/>
      <c r="BZ63" s="1395"/>
      <c r="CA63" s="1450"/>
      <c r="CB63" s="1450"/>
      <c r="CC63" s="270"/>
      <c r="CD63" s="270"/>
      <c r="CE63"/>
    </row>
    <row r="64" spans="1:83" outlineLevel="1" x14ac:dyDescent="0.2">
      <c r="A64"/>
      <c r="B64" s="1"/>
      <c r="C64"/>
      <c r="D64"/>
      <c r="E64"/>
      <c r="F64"/>
      <c r="G64" s="1"/>
      <c r="H64" s="1"/>
      <c r="I64" s="1"/>
      <c r="J64"/>
      <c r="K64"/>
      <c r="L64"/>
      <c r="M64"/>
      <c r="N64"/>
      <c r="O64"/>
      <c r="P64"/>
      <c r="Q64"/>
      <c r="R64" s="334"/>
      <c r="S64" s="1"/>
      <c r="T64" s="1"/>
      <c r="U64"/>
      <c r="V64" s="6"/>
      <c r="W64" s="1"/>
      <c r="X64" s="1"/>
      <c r="Y64" s="1"/>
      <c r="Z64" s="16"/>
      <c r="AA64" s="123"/>
      <c r="AB64" s="963"/>
      <c r="AC64" s="963"/>
      <c r="AD64" s="963"/>
      <c r="AE64" s="964"/>
      <c r="AF64" s="964"/>
      <c r="AG64" s="964"/>
      <c r="AH64" s="964"/>
      <c r="AI64" s="964"/>
      <c r="AJ64" s="964"/>
      <c r="AK64" s="964"/>
      <c r="AL64"/>
      <c r="AM64"/>
      <c r="AO64"/>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395"/>
      <c r="CA64" s="1450"/>
      <c r="CB64" s="1450"/>
      <c r="CC64"/>
      <c r="CD64"/>
      <c r="CE64"/>
    </row>
    <row r="65" spans="1:83" ht="13.5" thickBot="1" x14ac:dyDescent="0.25">
      <c r="A65"/>
      <c r="B65" s="1"/>
      <c r="C65"/>
      <c r="D65"/>
      <c r="E65"/>
      <c r="F65"/>
      <c r="G65" s="1"/>
      <c r="H65" s="1"/>
      <c r="I65" s="1"/>
      <c r="J65"/>
      <c r="K65"/>
      <c r="L65"/>
      <c r="M65"/>
      <c r="N65"/>
      <c r="O65"/>
      <c r="P65"/>
      <c r="Q65"/>
      <c r="R65" s="334"/>
      <c r="S65" s="1"/>
      <c r="T65" s="1"/>
      <c r="U65"/>
      <c r="V65" s="6"/>
      <c r="W65" s="1"/>
      <c r="X65" s="1"/>
      <c r="Y65" s="1"/>
      <c r="Z65" s="16"/>
      <c r="AA65" s="123"/>
      <c r="AB65" s="963"/>
      <c r="AC65" s="963"/>
      <c r="AD65" s="963"/>
      <c r="AE65" s="964"/>
      <c r="AF65" s="964"/>
      <c r="AG65" s="964"/>
      <c r="AH65" s="964"/>
      <c r="AI65" s="964"/>
      <c r="AJ65" s="964"/>
      <c r="AK65" s="964"/>
      <c r="AL65"/>
      <c r="AM65"/>
      <c r="AO65"/>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395"/>
      <c r="CA65" s="1450"/>
      <c r="CB65" s="1450"/>
      <c r="CC65"/>
      <c r="CD65"/>
      <c r="CE65"/>
    </row>
    <row r="66" spans="1:83" ht="13.5" thickBot="1" x14ac:dyDescent="0.25">
      <c r="A66"/>
      <c r="B66" s="320" t="str">
        <f>N_Group_5_2leg</f>
        <v>Poule de 5 en A/R</v>
      </c>
      <c r="C66" s="283"/>
      <c r="D66" s="283"/>
      <c r="E66" s="283"/>
      <c r="F66" s="283"/>
      <c r="G66" s="283"/>
      <c r="H66" s="283"/>
      <c r="I66" s="283"/>
      <c r="J66" s="283"/>
      <c r="K66" s="283"/>
      <c r="L66" s="283"/>
      <c r="M66" s="283"/>
      <c r="N66" s="283"/>
      <c r="O66" s="283"/>
      <c r="P66" s="283"/>
      <c r="Q66" s="283"/>
      <c r="R66" s="357"/>
      <c r="S66" s="283"/>
      <c r="T66" s="283"/>
      <c r="U66" s="283"/>
      <c r="V66" s="283"/>
      <c r="W66" s="992"/>
      <c r="X66" s="992"/>
      <c r="Y66" s="992"/>
      <c r="Z66" s="283"/>
      <c r="AA66" s="283"/>
      <c r="AB66" s="965"/>
      <c r="AC66" s="965"/>
      <c r="AD66" s="965"/>
      <c r="AE66" s="966"/>
      <c r="AF66" s="966"/>
      <c r="AG66" s="966"/>
      <c r="AH66" s="966"/>
      <c r="AI66" s="966"/>
      <c r="AJ66" s="966"/>
      <c r="AK66" s="965"/>
      <c r="AL66" s="283"/>
      <c r="AM66" s="282" t="str">
        <f>B66</f>
        <v>Poule de 5 en A/R</v>
      </c>
      <c r="AN66" s="283"/>
      <c r="AO66" s="283"/>
      <c r="AP66" s="283"/>
      <c r="AQ66" s="283"/>
      <c r="AR66" s="283"/>
      <c r="AS66" s="283"/>
      <c r="AT66" s="283"/>
      <c r="AU66" s="283"/>
      <c r="AV66" s="283"/>
      <c r="AW66" s="283"/>
      <c r="AX66" s="283"/>
      <c r="AY66" s="283"/>
      <c r="AZ66" s="283"/>
      <c r="BA66" s="283"/>
      <c r="BB66" s="283"/>
      <c r="BC66" s="283"/>
      <c r="BD66" s="283"/>
      <c r="BE66" s="283"/>
      <c r="BF66" s="283"/>
      <c r="BG66" s="283"/>
      <c r="BH66" s="283"/>
      <c r="BI66" s="283"/>
      <c r="BJ66" s="283"/>
      <c r="BK66" s="283"/>
      <c r="BL66" s="283"/>
      <c r="BM66" s="283"/>
      <c r="BN66" s="283"/>
      <c r="BO66" s="283"/>
      <c r="BP66" s="283"/>
      <c r="BQ66" s="283"/>
      <c r="BR66" s="283"/>
      <c r="BS66" s="283"/>
      <c r="BT66" s="283"/>
      <c r="BU66" s="283"/>
      <c r="BV66" s="283"/>
      <c r="BW66" s="283"/>
      <c r="BX66" s="283"/>
      <c r="BY66" s="283"/>
      <c r="BZ66" s="1395"/>
      <c r="CA66" s="1450"/>
      <c r="CB66" s="1450"/>
      <c r="CC66" s="284"/>
      <c r="CD66"/>
      <c r="CE66"/>
    </row>
    <row r="67" spans="1:83" ht="13.5" outlineLevel="1" thickBot="1" x14ac:dyDescent="0.25">
      <c r="A67"/>
      <c r="B67" s="1"/>
      <c r="C67"/>
      <c r="D67"/>
      <c r="E67"/>
      <c r="F67"/>
      <c r="G67" s="1"/>
      <c r="H67" s="1"/>
      <c r="I67" s="1"/>
      <c r="J67"/>
      <c r="K67"/>
      <c r="L67"/>
      <c r="M67"/>
      <c r="N67"/>
      <c r="O67"/>
      <c r="P67"/>
      <c r="Q67"/>
      <c r="R67" s="334"/>
      <c r="S67" s="1"/>
      <c r="T67" s="1"/>
      <c r="U67"/>
      <c r="V67" s="6"/>
      <c r="W67" s="1"/>
      <c r="X67" s="1"/>
      <c r="Y67" s="1"/>
      <c r="Z67" s="16"/>
      <c r="AA67" s="123"/>
      <c r="AB67" s="963"/>
      <c r="AC67" s="963"/>
      <c r="AD67" s="963"/>
      <c r="AE67" s="964"/>
      <c r="AF67" s="964"/>
      <c r="AG67" s="964"/>
      <c r="AH67" s="964"/>
      <c r="AI67" s="964"/>
      <c r="AJ67" s="964"/>
      <c r="AK67" s="964"/>
      <c r="AL67"/>
      <c r="AM67"/>
      <c r="AN67" s="833"/>
      <c r="AO67"/>
      <c r="AP67" s="1"/>
      <c r="AQ67" s="1"/>
      <c r="AR67" s="1"/>
      <c r="AS67" s="1"/>
      <c r="AT67" s="1"/>
      <c r="AU67" s="1"/>
      <c r="AV67" s="1"/>
      <c r="AW67" s="1"/>
      <c r="AX67" s="1"/>
      <c r="AY67" s="1"/>
      <c r="AZ67" s="1"/>
      <c r="BA67" s="1"/>
      <c r="BB67" s="1"/>
      <c r="BC67" s="1"/>
      <c r="BD67" s="1"/>
      <c r="BE67" s="1"/>
      <c r="BF67" s="1"/>
      <c r="BG67" s="1"/>
      <c r="BH67"/>
      <c r="BI67"/>
      <c r="BJ67"/>
      <c r="BK67"/>
      <c r="BL67"/>
      <c r="BM67"/>
      <c r="BN67"/>
      <c r="BO67"/>
      <c r="BP67"/>
      <c r="BQ67"/>
      <c r="BR67"/>
      <c r="BS67"/>
      <c r="BT67"/>
      <c r="BU67"/>
      <c r="BV67"/>
      <c r="BW67"/>
      <c r="BX67"/>
      <c r="BY67"/>
      <c r="BZ67" s="1395"/>
      <c r="CA67" s="1450"/>
      <c r="CB67" s="1450"/>
      <c r="CC67"/>
      <c r="CD67"/>
      <c r="CE67"/>
    </row>
    <row r="68" spans="1:83" ht="13.5" outlineLevel="1" thickBot="1" x14ac:dyDescent="0.25">
      <c r="A68"/>
      <c r="B68" s="18" t="str">
        <f>N_Tirage</f>
        <v>Tirage</v>
      </c>
      <c r="C68" s="307" t="s">
        <v>787</v>
      </c>
      <c r="D68" s="308" t="s">
        <v>831</v>
      </c>
      <c r="E68" s="308" t="s">
        <v>832</v>
      </c>
      <c r="F68" s="309" t="s">
        <v>833</v>
      </c>
      <c r="G68" s="22" t="str">
        <f>N_Joueurs</f>
        <v>Joueurs</v>
      </c>
      <c r="H68" s="3" t="str">
        <f>N_RankPoints</f>
        <v>Pt. Clas.</v>
      </c>
      <c r="I68" s="3" t="str">
        <f>N_Diff_Part</f>
        <v>Diff-Part</v>
      </c>
      <c r="J68" s="311" t="str">
        <f>N_Pts</f>
        <v>Pts</v>
      </c>
      <c r="K68" s="311" t="str">
        <f>N_J</f>
        <v>J</v>
      </c>
      <c r="L68" s="308" t="str">
        <f>N_G</f>
        <v>G</v>
      </c>
      <c r="M68" s="308" t="str">
        <f>N_N</f>
        <v>N</v>
      </c>
      <c r="N68" s="308" t="str">
        <f>N_P</f>
        <v>P</v>
      </c>
      <c r="O68" s="308" t="str">
        <f>N_BP</f>
        <v>BP</v>
      </c>
      <c r="P68" s="308" t="str">
        <f>N_BC</f>
        <v>BC</v>
      </c>
      <c r="Q68" s="309" t="str">
        <f>N_Diff.</f>
        <v>Diff.</v>
      </c>
      <c r="R68" s="334"/>
      <c r="S68" s="3" t="str">
        <f>N_Heure</f>
        <v>Heure</v>
      </c>
      <c r="T68" s="22" t="str">
        <f>N_Table</f>
        <v>Table</v>
      </c>
      <c r="U68" s="22" t="str">
        <f>N_Arbitre</f>
        <v>Arbitre</v>
      </c>
      <c r="V68" s="293" t="str">
        <f>N_Matches</f>
        <v>Matches</v>
      </c>
      <c r="W68" s="294"/>
      <c r="X68" s="294"/>
      <c r="Y68" s="294"/>
      <c r="Z68" s="295"/>
      <c r="AA68" s="8"/>
      <c r="AB68" s="1461" t="str">
        <f>IF(MaxScore,N_MaxScore,"")</f>
        <v>Score Max</v>
      </c>
      <c r="AC68" s="1461"/>
      <c r="AD68" s="1461"/>
      <c r="AE68" s="964" t="str">
        <f>N_G</f>
        <v>G</v>
      </c>
      <c r="AF68" s="964" t="str">
        <f>N_N</f>
        <v>N</v>
      </c>
      <c r="AG68" s="964" t="str">
        <f>N_N</f>
        <v>N</v>
      </c>
      <c r="AH68" s="964" t="str">
        <f>N_P</f>
        <v>P</v>
      </c>
      <c r="AI68" s="964" t="s">
        <v>1560</v>
      </c>
      <c r="AJ68" s="964" t="s">
        <v>3714</v>
      </c>
      <c r="AK68" s="964" t="str">
        <f>IF(COUNTA(W69:W88)=0,"","OK")</f>
        <v/>
      </c>
      <c r="AL68"/>
      <c r="AM68"/>
      <c r="AN68" s="24" t="str">
        <f>N_Cla.</f>
        <v>Cla.</v>
      </c>
      <c r="AO68" s="70" t="str">
        <f>N_Joueurs</f>
        <v>Joueurs</v>
      </c>
      <c r="AP68" s="23" t="str">
        <f>N_Pts</f>
        <v>Pts</v>
      </c>
      <c r="AQ68" s="23" t="str">
        <f>N_J</f>
        <v>J</v>
      </c>
      <c r="AR68" s="20" t="str">
        <f>N_G</f>
        <v>G</v>
      </c>
      <c r="AS68" s="20" t="str">
        <f>N_N</f>
        <v>N</v>
      </c>
      <c r="AT68" s="20" t="str">
        <f>N_P</f>
        <v>P</v>
      </c>
      <c r="AU68" s="20" t="str">
        <f>N_BP</f>
        <v>BP</v>
      </c>
      <c r="AV68" s="20" t="str">
        <f>N_BC</f>
        <v>BC</v>
      </c>
      <c r="AW68" s="21" t="str">
        <f>N_Diff.</f>
        <v>Diff.</v>
      </c>
      <c r="AX68" s="286" t="str">
        <f>N_Matches</f>
        <v>Matches</v>
      </c>
      <c r="AY68" s="287"/>
      <c r="AZ68" s="287"/>
      <c r="BA68" s="287"/>
      <c r="BB68" s="287"/>
      <c r="BC68" s="287"/>
      <c r="BD68" s="287"/>
      <c r="BE68" s="287"/>
      <c r="BF68" s="287"/>
      <c r="BG68" s="287"/>
      <c r="BH68" s="286"/>
      <c r="BI68" s="287"/>
      <c r="BJ68" s="287"/>
      <c r="BK68" s="287"/>
      <c r="BL68" s="287"/>
      <c r="BM68" s="287"/>
      <c r="BN68" s="287"/>
      <c r="BO68" s="287"/>
      <c r="BP68" s="287"/>
      <c r="BQ68" s="288"/>
      <c r="BR68"/>
      <c r="BS68"/>
      <c r="BT68"/>
      <c r="BU68"/>
      <c r="BV68"/>
      <c r="BW68"/>
      <c r="BX68"/>
      <c r="BY68"/>
      <c r="BZ68" s="1395"/>
      <c r="CA68" s="1450"/>
      <c r="CB68" s="1450"/>
      <c r="CC68"/>
      <c r="CD68"/>
      <c r="CE68"/>
    </row>
    <row r="69" spans="1:83" outlineLevel="1" x14ac:dyDescent="0.2">
      <c r="A69" s="270"/>
      <c r="B69" s="505">
        <v>1</v>
      </c>
      <c r="C69" s="549" t="str">
        <f>IF(AK68="","",RANK(F69,F69:F73)*1000+ROW())</f>
        <v/>
      </c>
      <c r="D69" s="550" t="str">
        <f>IF(L69="","",CritClassInd1_Points*J69+CritClassInd1_Matches*L69+CritClassInd1_Attaque*O69+CritClassInd1_DiffButs*Q69)</f>
        <v/>
      </c>
      <c r="E69" s="550" t="str">
        <f>IF(L69="","",Nb_Diff_Part(D69,D69:D73,G69,G69:G73,AI69:AI88)*CritClassInd_DiffPart+Nb_Goal_Part(D69,D69:D73,G69,G69:G73,V69:Z88)*CritClassInd_GoalPart+Nb_Score_Part(D69,D69:D73,G69,G69:G73,V69:Z88)*CritClassInd_ScorePart)</f>
        <v/>
      </c>
      <c r="F69" s="551" t="str">
        <f>IF(L69="","",D69+E69+CritClassInd2_Points*J69+CritClassInd2_Matches*L69+CritClassInd2_Attaque*O69+CritClassInd2_DiffButs*Q69+CritClassInd_Ranking*H69+I69)</f>
        <v/>
      </c>
      <c r="G69" s="552" t="s">
        <v>903</v>
      </c>
      <c r="H69" s="499">
        <f>GMFTRANKINGPOINTS(G69,Particular_Category)</f>
        <v>0</v>
      </c>
      <c r="I69" s="500"/>
      <c r="J69" s="555" t="str">
        <f>IF(AK68="","",(L69*Points_Victoire)+M69*Points_Null)</f>
        <v/>
      </c>
      <c r="K69" s="556" t="str">
        <f>IF(L69="","",SUM(L69:N69))</f>
        <v/>
      </c>
      <c r="L69" s="556" t="str">
        <f>IF(AK68="","",COUNTIF(AE69:AE88,G69))</f>
        <v/>
      </c>
      <c r="M69" s="556" t="str">
        <f>IF(AK68="","",COUNTIF(AF69:AG88,G69))</f>
        <v/>
      </c>
      <c r="N69" s="556" t="str">
        <f>IF(AK68="","",COUNTIF(AH69:AH88,G69))</f>
        <v/>
      </c>
      <c r="O69" s="556" t="str">
        <f>IF(AK68="","",SUMIF(V69:V88,G69,AB69:AB88)+SUMIF(Z69:Z88,G69,AD69:AD88))</f>
        <v/>
      </c>
      <c r="P69" s="556" t="str">
        <f>IF(AK68="","",SUMIF(V69:V88,G69,AD69:AD88)+SUMIF(Z69:Z88,G69,AB69:AB88))</f>
        <v/>
      </c>
      <c r="Q69" s="557" t="str">
        <f>IF(AK68="","",O69-P69)</f>
        <v/>
      </c>
      <c r="R69" s="558" t="s">
        <v>1726</v>
      </c>
      <c r="S69" s="611"/>
      <c r="T69" s="617"/>
      <c r="U69" s="1502"/>
      <c r="V69" s="455" t="str">
        <f>IF(G73="","",G73)</f>
        <v>A5</v>
      </c>
      <c r="W69" s="456"/>
      <c r="X69" s="457" t="s">
        <v>769</v>
      </c>
      <c r="Y69" s="456"/>
      <c r="Z69" s="458" t="str">
        <f>IF(G69="","",G69)</f>
        <v>A1</v>
      </c>
      <c r="AA69" s="839"/>
      <c r="AB69" s="1459">
        <f t="shared" ref="AB69:AB78" si="34">IF(MaxScore,MaxGoals(W69,Y69,MaxGoalsValue),IF(W69="","",W69))</f>
        <v>0</v>
      </c>
      <c r="AC69" s="1460" t="str">
        <f t="shared" ref="AC69:AC78" si="35">IF(MaxScore,"-",IF(W69="","","-"))</f>
        <v>-</v>
      </c>
      <c r="AD69" s="1459">
        <f t="shared" ref="AD69:AD78" si="36">IF(MaxScore,MaxGoals(Y69,W69,MaxGoalsValue),IF(Y69="","",Y69))</f>
        <v>0</v>
      </c>
      <c r="AE69" s="968" t="str">
        <f t="shared" ref="AE69:AE78" si="37">IF(W69="","",IF(W69&gt;Y69,V69,IF(W69=Y69,"",Z69)))</f>
        <v/>
      </c>
      <c r="AF69" s="968" t="str">
        <f t="shared" ref="AF69:AF78" si="38">IF(W69="","",IF(W69=Y69,V69,""))</f>
        <v/>
      </c>
      <c r="AG69" s="968" t="str">
        <f t="shared" ref="AG69:AG78" si="39">IF(W69="","",IF(W69=Y69,Z69,""))</f>
        <v/>
      </c>
      <c r="AH69" s="968" t="str">
        <f t="shared" ref="AH69:AH78" si="40">IF(W69="","",IF(W69&lt;Y69,V69,IF(W69=Y69,"",Z69)))</f>
        <v/>
      </c>
      <c r="AI69" s="968" t="str">
        <f t="shared" ref="AI69:AI78" si="41">CONCATENATE(AE69,AH69)</f>
        <v/>
      </c>
      <c r="AJ69" s="968"/>
      <c r="AK69" s="968" t="str">
        <f>IF(AK68="","",SMALL(C69:C73,1))</f>
        <v/>
      </c>
      <c r="AL69" s="270"/>
      <c r="AM69" s="270"/>
      <c r="AN69" s="505" t="str">
        <f>IF(AK68="","",INT(AK69/1000))</f>
        <v/>
      </c>
      <c r="AO69" s="506" t="str">
        <f>IF(AK68="",IF(HidePlayerFormulas,"","("&amp;G69&amp;")"),VLOOKUP(AK69,C69:Q73,5,FALSE))</f>
        <v/>
      </c>
      <c r="AP69" s="507" t="str">
        <f>VLOOKUP(AK69,C69:Q73,8,FALSE)</f>
        <v/>
      </c>
      <c r="AQ69" s="507" t="str">
        <f>VLOOKUP(AK69,C69:Q73,9,FALSE)</f>
        <v/>
      </c>
      <c r="AR69" s="507" t="str">
        <f>VLOOKUP(AK69,C69:Q73,10,FALSE)</f>
        <v/>
      </c>
      <c r="AS69" s="507" t="str">
        <f>VLOOKUP(AK69,C69:Q73,11,FALSE)</f>
        <v/>
      </c>
      <c r="AT69" s="507" t="str">
        <f>VLOOKUP(AK69,C69:Q73,12,FALSE)</f>
        <v/>
      </c>
      <c r="AU69" s="507" t="str">
        <f>VLOOKUP(AK69,C69:Q73,13,FALSE)</f>
        <v/>
      </c>
      <c r="AV69" s="507" t="str">
        <f>VLOOKUP(AK69,C69:Q73,14,FALSE)</f>
        <v/>
      </c>
      <c r="AW69" s="508" t="str">
        <f>VLOOKUP(AK69,C69:Q73,15,FALSE)</f>
        <v/>
      </c>
      <c r="AX69" s="517" t="str">
        <f>IF(W69="","",IF(AO69=V69,W69,IF(AO69=Z69,Y69,"")))</f>
        <v/>
      </c>
      <c r="AY69" s="518" t="str">
        <f>IF(W70="","",IF(AO69=V70,W70,IF(AO69=Z70,Y70,"")))</f>
        <v/>
      </c>
      <c r="AZ69" s="518" t="str">
        <f>IF(W71="","",IF(AO69=V71,W71,IF(AO69=Z71,Y71,"")))</f>
        <v/>
      </c>
      <c r="BA69" s="518" t="str">
        <f>IF(W72="","",IF(AO69=V72,W72,IF(AO69=Z72,Y72,"")))</f>
        <v/>
      </c>
      <c r="BB69" s="518" t="str">
        <f>IF(W73="","",IF(AO69=V73,W73,IF(AO69=Z73,Y73,"")))</f>
        <v/>
      </c>
      <c r="BC69" s="518" t="str">
        <f>IF(W74="","",IF(AO69=V74,W74,IF(AO69=Z74,Y74,"")))</f>
        <v/>
      </c>
      <c r="BD69" s="518" t="str">
        <f>IF(W75="","",IF(AO69=V75,W75,IF(AO69=Z75,Y75,"")))</f>
        <v/>
      </c>
      <c r="BE69" s="518" t="str">
        <f>IF(W76="","",IF(AO69=V76,W76,IF(AO69=Z76,Y76,"")))</f>
        <v/>
      </c>
      <c r="BF69" s="518" t="str">
        <f>IF(W77="","",IF(AO69=V77,W77,IF(AO69=Z77,Y77,"")))</f>
        <v/>
      </c>
      <c r="BG69" s="518" t="str">
        <f>IF(W78="","",IF(AO69=V78,W78,IF(AO69=Z78,Y78,"")))</f>
        <v/>
      </c>
      <c r="BH69" s="518" t="str">
        <f>IF(W79="","",IF(AO69=V79,W79,IF(AO69=Z79,Y79,"")))</f>
        <v/>
      </c>
      <c r="BI69" s="518" t="str">
        <f>IF(W80="","",IF(AO69=V80,W80,IF(AO69=Z80,Y80,"")))</f>
        <v/>
      </c>
      <c r="BJ69" s="518" t="str">
        <f>IF(W81="","",IF(AO69=V81,W81,IF(AO69=Z81,Y81,"")))</f>
        <v/>
      </c>
      <c r="BK69" s="518" t="str">
        <f>IF(W82="","",IF(AO69=V82,W82,IF(AO69=Z82,Y82,"")))</f>
        <v/>
      </c>
      <c r="BL69" s="518" t="str">
        <f>IF(W83="","",IF(AO69=V83,W83,IF(AO69=Z83,Y83,"")))</f>
        <v/>
      </c>
      <c r="BM69" s="518" t="str">
        <f>IF(W84="","",IF(AO69=V84,W84,IF(AO69=Z84,Y84,"")))</f>
        <v/>
      </c>
      <c r="BN69" s="518" t="str">
        <f>IF(W85="","",IF(AO69=V85,W85,IF(AO69=Z85,Y85,"")))</f>
        <v/>
      </c>
      <c r="BO69" s="518" t="str">
        <f>IF(W86="","",IF(AO69=V86,W86,IF(AO69=Z86,Y86,"")))</f>
        <v/>
      </c>
      <c r="BP69" s="518" t="str">
        <f>IF(W87="","",IF(AO69=V87,W87,IF(AO69=Z87,Y87,"")))</f>
        <v/>
      </c>
      <c r="BQ69" s="519" t="str">
        <f>IF(W88="","",IF(AO69=V88,W88,IF(AO69=Z88,Y88,"")))</f>
        <v/>
      </c>
      <c r="BR69" s="270"/>
      <c r="BS69" s="270"/>
      <c r="BT69" s="270"/>
      <c r="BU69" s="270"/>
      <c r="BV69" s="270"/>
      <c r="BW69" s="270"/>
      <c r="BX69" s="270"/>
      <c r="BY69" s="270"/>
      <c r="BZ69" s="1395" t="b">
        <f>IF(G69="[---WithDraw---]",FALSE,IF(COUNTIF(PlayerNamesWithinGroups,G69)&gt;1,TRUE,FALSE))</f>
        <v>1</v>
      </c>
      <c r="CA69" s="1450" t="b">
        <f>AND(LEFT($AO69,1) = "(", RIGHT($AO69,1) =")")</f>
        <v>0</v>
      </c>
      <c r="CB69" s="1450" t="b">
        <f>IF(OR($AN69=$AN68,$AN69=$AN70),TRUE,FALSE)</f>
        <v>1</v>
      </c>
      <c r="CC69" s="270"/>
      <c r="CD69" s="270"/>
      <c r="CE69"/>
    </row>
    <row r="70" spans="1:83" ht="13.5" outlineLevel="1" thickBot="1" x14ac:dyDescent="0.25">
      <c r="A70" s="270"/>
      <c r="B70" s="509">
        <v>2</v>
      </c>
      <c r="C70" s="560" t="str">
        <f>IF(AK68="","",RANK(F70,F69:F73)*1000+ROW())</f>
        <v/>
      </c>
      <c r="D70" s="561" t="str">
        <f>IF(L70="","",CritClassInd1_Points*J70+CritClassInd1_Matches*L70+CritClassInd1_Attaque*O70+CritClassInd1_DiffButs*Q70)</f>
        <v/>
      </c>
      <c r="E70" s="561" t="str">
        <f>IF(L70="","",Nb_Diff_Part(D70,D69:D73,G70,G69:G73,AI69:AI88)*CritClassInd_DiffPart+Nb_Goal_Part(D70,D69:D73,G70,G69:G73,V69:Z88)*CritClassInd_GoalPart+Nb_Score_Part(D70,D69:D73,G70,G69:G73,V69:Z88)*CritClassInd_ScorePart)</f>
        <v/>
      </c>
      <c r="F70" s="562" t="str">
        <f>IF(L70="","",D70+E70+CritClassInd2_Points*J70+CritClassInd2_Matches*L70+CritClassInd2_Attaque*O70+CritClassInd2_DiffButs*Q70+CritClassInd_Ranking*H70+I70)</f>
        <v/>
      </c>
      <c r="G70" s="502" t="s">
        <v>904</v>
      </c>
      <c r="H70" s="501">
        <f>GMFTRANKINGPOINTS(G70,Particular_Category)</f>
        <v>0</v>
      </c>
      <c r="I70" s="502"/>
      <c r="J70" s="560" t="str">
        <f>IF(AK68="","",(L70*Points_Victoire)+M70*Points_Null)</f>
        <v/>
      </c>
      <c r="K70" s="563" t="str">
        <f>IF(L70="","",SUM(L70:N70))</f>
        <v/>
      </c>
      <c r="L70" s="563" t="str">
        <f>IF(AK68="","",COUNTIF(AE69:AE88,G70))</f>
        <v/>
      </c>
      <c r="M70" s="563" t="str">
        <f>IF(AK68="","",COUNTIF(AF69:AG88,G70))</f>
        <v/>
      </c>
      <c r="N70" s="563" t="str">
        <f>IF(AK68="","",COUNTIF(AH69:AH88,G70))</f>
        <v/>
      </c>
      <c r="O70" s="563" t="str">
        <f>IF(AK68="","",SUMIF(V69:V88,G70,AB69:AB88)+SUMIF(Z69:Z88,G70,AD69:AD88))</f>
        <v/>
      </c>
      <c r="P70" s="563" t="str">
        <f>IF(AK68="","",SUMIF(V69:V88,G70,AD69:AD88)+SUMIF(Z69:Z88,G70,AB69:AB88))</f>
        <v/>
      </c>
      <c r="Q70" s="564" t="str">
        <f>IF(AK68="","",O70-P70)</f>
        <v/>
      </c>
      <c r="R70" s="558" t="s">
        <v>1726</v>
      </c>
      <c r="S70" s="615"/>
      <c r="T70" s="619"/>
      <c r="U70" s="1503"/>
      <c r="V70" s="468" t="str">
        <f>IF(G70="","",G70)</f>
        <v>A2</v>
      </c>
      <c r="W70" s="469"/>
      <c r="X70" s="470" t="s">
        <v>769</v>
      </c>
      <c r="Y70" s="469"/>
      <c r="Z70" s="471" t="str">
        <f>IF(G71="","",G71)</f>
        <v>A3</v>
      </c>
      <c r="AA70" s="839"/>
      <c r="AB70" s="1459">
        <f t="shared" si="34"/>
        <v>0</v>
      </c>
      <c r="AC70" s="1460" t="str">
        <f t="shared" si="35"/>
        <v>-</v>
      </c>
      <c r="AD70" s="1459">
        <f t="shared" si="36"/>
        <v>0</v>
      </c>
      <c r="AE70" s="968" t="str">
        <f t="shared" si="37"/>
        <v/>
      </c>
      <c r="AF70" s="968" t="str">
        <f t="shared" si="38"/>
        <v/>
      </c>
      <c r="AG70" s="968" t="str">
        <f t="shared" si="39"/>
        <v/>
      </c>
      <c r="AH70" s="968" t="str">
        <f t="shared" si="40"/>
        <v/>
      </c>
      <c r="AI70" s="968" t="str">
        <f t="shared" si="41"/>
        <v/>
      </c>
      <c r="AJ70" s="968"/>
      <c r="AK70" s="968" t="str">
        <f>IF(AK68="","",SMALL(C69:C73,2))</f>
        <v/>
      </c>
      <c r="AL70" s="270"/>
      <c r="AM70" s="270"/>
      <c r="AN70" s="526" t="str">
        <f>IF(AK68="","",INT(AK70/1000))</f>
        <v/>
      </c>
      <c r="AO70" s="527" t="str">
        <f>IF(AK68="",IF(HidePlayerFormulas,"","("&amp;G70&amp;")"),VLOOKUP(AK70,C69:Q73,5,FALSE))</f>
        <v/>
      </c>
      <c r="AP70" s="528" t="str">
        <f>VLOOKUP(AK70,C69:Q73,8,FALSE)</f>
        <v/>
      </c>
      <c r="AQ70" s="528" t="str">
        <f>VLOOKUP(AK70,C69:Q73,9,FALSE)</f>
        <v/>
      </c>
      <c r="AR70" s="528" t="str">
        <f>VLOOKUP(AK70,C69:Q73,10,FALSE)</f>
        <v/>
      </c>
      <c r="AS70" s="528" t="str">
        <f>VLOOKUP(AK70,C69:Q73,11,FALSE)</f>
        <v/>
      </c>
      <c r="AT70" s="528" t="str">
        <f>VLOOKUP(AK70,C69:Q73,12,FALSE)</f>
        <v/>
      </c>
      <c r="AU70" s="528" t="str">
        <f>VLOOKUP(AK70,C69:Q73,13,FALSE)</f>
        <v/>
      </c>
      <c r="AV70" s="528" t="str">
        <f>VLOOKUP(AK70,C69:Q73,14,FALSE)</f>
        <v/>
      </c>
      <c r="AW70" s="529" t="str">
        <f>VLOOKUP(AK70,C69:Q73,15,FALSE)</f>
        <v/>
      </c>
      <c r="AX70" s="520" t="str">
        <f>IF(W69="","",IF(AO70=V69,W69,IF(AO70=Z69,Y69,"")))</f>
        <v/>
      </c>
      <c r="AY70" s="521" t="str">
        <f>IF(W70="","",IF(AO70=V70,W70,IF(AO70=Z70,Y70,"")))</f>
        <v/>
      </c>
      <c r="AZ70" s="521" t="str">
        <f>IF(W71="","",IF(AO70=V71,W71,IF(AO70=Z71,Y71,"")))</f>
        <v/>
      </c>
      <c r="BA70" s="521" t="str">
        <f>IF(W72="","",IF(AO70=V72,W72,IF(AO70=Z72,Y72,"")))</f>
        <v/>
      </c>
      <c r="BB70" s="521" t="str">
        <f>IF(W73="","",IF(AO70=V73,W73,IF(AO70=Z73,Y73,"")))</f>
        <v/>
      </c>
      <c r="BC70" s="521" t="str">
        <f>IF(W74="","",IF(AO70=V74,W74,IF(AO70=Z74,Y74,"")))</f>
        <v/>
      </c>
      <c r="BD70" s="521" t="str">
        <f>IF(W75="","",IF(AO70=V75,W75,IF(AO70=Z75,Y75,"")))</f>
        <v/>
      </c>
      <c r="BE70" s="521" t="str">
        <f>IF(W76="","",IF(AO70=V76,W76,IF(AO70=Z76,Y76,"")))</f>
        <v/>
      </c>
      <c r="BF70" s="521" t="str">
        <f>IF(W77="","",IF(AO70=V77,W77,IF(AO70=Z77,Y77,"")))</f>
        <v/>
      </c>
      <c r="BG70" s="521" t="str">
        <f>IF(W78="","",IF(AO70=V78,W78,IF(AO70=Z78,Y78,"")))</f>
        <v/>
      </c>
      <c r="BH70" s="521" t="str">
        <f>IF(W79="","",IF(AO70=V79,W79,IF(AO70=Z79,Y79,"")))</f>
        <v/>
      </c>
      <c r="BI70" s="521" t="str">
        <f>IF(W80="","",IF(AO70=V80,W80,IF(AO70=Z80,Y80,"")))</f>
        <v/>
      </c>
      <c r="BJ70" s="521" t="str">
        <f>IF(W81="","",IF(AO70=V81,W81,IF(AO70=Z81,Y81,"")))</f>
        <v/>
      </c>
      <c r="BK70" s="521" t="str">
        <f>IF(W82="","",IF(AO70=V82,W82,IF(AO70=Z82,Y82,"")))</f>
        <v/>
      </c>
      <c r="BL70" s="521" t="str">
        <f>IF(W83="","",IF(AO70=V83,W83,IF(AO70=Z83,Y83,"")))</f>
        <v/>
      </c>
      <c r="BM70" s="521" t="str">
        <f>IF(W84="","",IF(AO70=V84,W84,IF(AO70=Z84,Y84,"")))</f>
        <v/>
      </c>
      <c r="BN70" s="521" t="str">
        <f>IF(W85="","",IF(AO70=V85,W85,IF(AO70=Z85,Y85,"")))</f>
        <v/>
      </c>
      <c r="BO70" s="521" t="str">
        <f>IF(W86="","",IF(AO70=V86,W86,IF(AO70=Z86,Y86,"")))</f>
        <v/>
      </c>
      <c r="BP70" s="521" t="str">
        <f>IF(W87="","",IF(AO70=V87,W87,IF(AO70=Z87,Y87,"")))</f>
        <v/>
      </c>
      <c r="BQ70" s="522" t="str">
        <f>IF(W88="","",IF(AO70=V88,W88,IF(AO70=Z88,Y88,"")))</f>
        <v/>
      </c>
      <c r="BR70" s="270"/>
      <c r="BS70" s="270"/>
      <c r="BT70" s="270"/>
      <c r="BU70" s="270"/>
      <c r="BV70" s="270"/>
      <c r="BW70" s="270"/>
      <c r="BX70" s="270"/>
      <c r="BY70" s="270"/>
      <c r="BZ70" s="1395" t="b">
        <f>IF(G70="[---WithDraw---]",FALSE,IF(COUNTIF(PlayerNamesWithinGroups,G70)&gt;1,TRUE,FALSE))</f>
        <v>1</v>
      </c>
      <c r="CA70" s="1450" t="b">
        <f>AND(LEFT($AO70,1) = "(", RIGHT($AO70,1) =")")</f>
        <v>0</v>
      </c>
      <c r="CB70" s="1450" t="b">
        <f>IF(OR($AN70=$AN69,$AN70=$AN71),TRUE,FALSE)</f>
        <v>1</v>
      </c>
      <c r="CC70" s="270"/>
      <c r="CD70" s="270"/>
      <c r="CE70"/>
    </row>
    <row r="71" spans="1:83" outlineLevel="1" x14ac:dyDescent="0.2">
      <c r="A71" s="270"/>
      <c r="B71" s="509">
        <v>3</v>
      </c>
      <c r="C71" s="560" t="str">
        <f>IF(AK68="","",RANK(F71,F69:F73)*1000+ROW())</f>
        <v/>
      </c>
      <c r="D71" s="561" t="str">
        <f>IF(L71="","",CritClassInd1_Points*J71+CritClassInd1_Matches*L71+CritClassInd1_Attaque*O71+CritClassInd1_DiffButs*Q71)</f>
        <v/>
      </c>
      <c r="E71" s="561" t="str">
        <f>IF(L71="","",Nb_Diff_Part(D71,D69:D73,G71,G69:G73,AI69:AI88)*CritClassInd_DiffPart+Nb_Goal_Part(D71,D69:D73,G71,G69:G73,V69:Z88)*CritClassInd_GoalPart+Nb_Score_Part(D71,D69:D73,G71,G69:G73,V69:Z88)*CritClassInd_ScorePart)</f>
        <v/>
      </c>
      <c r="F71" s="562" t="str">
        <f>IF(L71="","",D71+E71+CritClassInd2_Points*J71+CritClassInd2_Matches*L71+CritClassInd2_Attaque*O71+CritClassInd2_DiffButs*Q71+CritClassInd_Ranking*H71+I71)</f>
        <v/>
      </c>
      <c r="G71" s="502" t="s">
        <v>905</v>
      </c>
      <c r="H71" s="501">
        <f>GMFTRANKINGPOINTS(G71,Particular_Category)</f>
        <v>0</v>
      </c>
      <c r="I71" s="502"/>
      <c r="J71" s="560" t="str">
        <f>IF(AK68="","",(L71*Points_Victoire)+M71*Points_Null)</f>
        <v/>
      </c>
      <c r="K71" s="563" t="str">
        <f>IF(L71="","",SUM(L71:N71))</f>
        <v/>
      </c>
      <c r="L71" s="563" t="str">
        <f>IF(AK68="","",COUNTIF(AE69:AE88,G71))</f>
        <v/>
      </c>
      <c r="M71" s="563" t="str">
        <f>IF(AK68="","",COUNTIF(AF69:AG88,G71))</f>
        <v/>
      </c>
      <c r="N71" s="563" t="str">
        <f>IF(AK68="","",COUNTIF(AH69:AH88,G71))</f>
        <v/>
      </c>
      <c r="O71" s="563" t="str">
        <f>IF(AK68="","",SUMIF(V69:V88,G71,AB69:AB88)+SUMIF(Z69:Z88,G71,AD69:AD88))</f>
        <v/>
      </c>
      <c r="P71" s="563" t="str">
        <f>IF(AK68="","",SUMIF(V69:V88,G71,AD69:AD88)+SUMIF(Z69:Z88,G71,AB69:AB88))</f>
        <v/>
      </c>
      <c r="Q71" s="564" t="str">
        <f>IF(AK68="","",O71-P71)</f>
        <v/>
      </c>
      <c r="R71" s="558" t="s">
        <v>1727</v>
      </c>
      <c r="S71" s="611"/>
      <c r="T71" s="617"/>
      <c r="U71" s="1502"/>
      <c r="V71" s="455" t="str">
        <f>IF(G70="","",G70)</f>
        <v>A2</v>
      </c>
      <c r="W71" s="456"/>
      <c r="X71" s="457" t="s">
        <v>769</v>
      </c>
      <c r="Y71" s="456"/>
      <c r="Z71" s="458" t="str">
        <f>IF(G72="","",G72)</f>
        <v>A4</v>
      </c>
      <c r="AA71" s="839"/>
      <c r="AB71" s="1459">
        <f t="shared" si="34"/>
        <v>0</v>
      </c>
      <c r="AC71" s="1460" t="str">
        <f t="shared" si="35"/>
        <v>-</v>
      </c>
      <c r="AD71" s="1459">
        <f t="shared" si="36"/>
        <v>0</v>
      </c>
      <c r="AE71" s="968" t="str">
        <f t="shared" si="37"/>
        <v/>
      </c>
      <c r="AF71" s="968" t="str">
        <f t="shared" si="38"/>
        <v/>
      </c>
      <c r="AG71" s="968" t="str">
        <f t="shared" si="39"/>
        <v/>
      </c>
      <c r="AH71" s="968" t="str">
        <f t="shared" si="40"/>
        <v/>
      </c>
      <c r="AI71" s="968" t="str">
        <f t="shared" si="41"/>
        <v/>
      </c>
      <c r="AJ71" s="968"/>
      <c r="AK71" s="968" t="str">
        <f>IF(AK68="","",SMALL(C69:C73,3))</f>
        <v/>
      </c>
      <c r="AL71" s="270"/>
      <c r="AM71" s="270"/>
      <c r="AN71" s="526" t="str">
        <f>IF(AK68="","",INT(AK71/1000))</f>
        <v/>
      </c>
      <c r="AO71" s="527" t="str">
        <f>IF(AK68="",IF(HidePlayerFormulas,"","("&amp;G71&amp;")"),VLOOKUP(AK71,C69:Q73,5,FALSE))</f>
        <v/>
      </c>
      <c r="AP71" s="528" t="str">
        <f>VLOOKUP(AK71,C69:Q73,8,FALSE)</f>
        <v/>
      </c>
      <c r="AQ71" s="528" t="str">
        <f>VLOOKUP(AK71,C69:Q73,9,FALSE)</f>
        <v/>
      </c>
      <c r="AR71" s="528" t="str">
        <f>VLOOKUP(AK71,C69:Q73,10,FALSE)</f>
        <v/>
      </c>
      <c r="AS71" s="528" t="str">
        <f>VLOOKUP(AK71,C69:Q73,11,FALSE)</f>
        <v/>
      </c>
      <c r="AT71" s="528" t="str">
        <f>VLOOKUP(AK71,C69:Q73,12,FALSE)</f>
        <v/>
      </c>
      <c r="AU71" s="528" t="str">
        <f>VLOOKUP(AK71,C69:Q73,13,FALSE)</f>
        <v/>
      </c>
      <c r="AV71" s="528" t="str">
        <f>VLOOKUP(AK71,C69:Q73,14,FALSE)</f>
        <v/>
      </c>
      <c r="AW71" s="529" t="str">
        <f>VLOOKUP(AK71,C69:Q73,15,FALSE)</f>
        <v/>
      </c>
      <c r="AX71" s="520" t="str">
        <f>IF(W69="","",IF(AO71=V69,W69,IF(AO71=Z69,Y69,"")))</f>
        <v/>
      </c>
      <c r="AY71" s="521" t="str">
        <f>IF(W70="","",IF(AO71=V70,W70,IF(AO71=Z70,Y70,"")))</f>
        <v/>
      </c>
      <c r="AZ71" s="521" t="str">
        <f>IF(W71="","",IF(AO71=V71,W71,IF(AO71=Z71,Y71,"")))</f>
        <v/>
      </c>
      <c r="BA71" s="521" t="str">
        <f>IF(W72="","",IF(AO71=V72,W72,IF(AO71=Z72,Y72,"")))</f>
        <v/>
      </c>
      <c r="BB71" s="521" t="str">
        <f>IF(W73="","",IF(AO71=V73,W73,IF(AO71=Z73,Y73,"")))</f>
        <v/>
      </c>
      <c r="BC71" s="521" t="str">
        <f>IF(W74="","",IF(AO71=V74,W74,IF(AO71=Z74,Y74,"")))</f>
        <v/>
      </c>
      <c r="BD71" s="521" t="str">
        <f>IF(W75="","",IF(AO71=V75,W75,IF(AO71=Z75,Y75,"")))</f>
        <v/>
      </c>
      <c r="BE71" s="521" t="str">
        <f>IF(W76="","",IF(AO71=V76,W76,IF(AO71=Z76,Y76,"")))</f>
        <v/>
      </c>
      <c r="BF71" s="521" t="str">
        <f>IF(W77="","",IF(AO71=V77,W77,IF(AO71=Z77,Y77,"")))</f>
        <v/>
      </c>
      <c r="BG71" s="521" t="str">
        <f>IF(W78="","",IF(AO71=V78,W78,IF(AO71=Z78,Y78,"")))</f>
        <v/>
      </c>
      <c r="BH71" s="521" t="str">
        <f>IF(W79="","",IF(AO71=V79,W79,IF(AO71=Z79,Y79,"")))</f>
        <v/>
      </c>
      <c r="BI71" s="521" t="str">
        <f>IF(W80="","",IF(AO71=V80,W80,IF(AO71=Z80,Y80,"")))</f>
        <v/>
      </c>
      <c r="BJ71" s="521" t="str">
        <f>IF(W81="","",IF(AO71=V81,W81,IF(AO71=Z81,Y81,"")))</f>
        <v/>
      </c>
      <c r="BK71" s="521" t="str">
        <f>IF(W82="","",IF(AO71=V82,W82,IF(AO71=Z82,Y82,"")))</f>
        <v/>
      </c>
      <c r="BL71" s="521" t="str">
        <f>IF(W83="","",IF(AO71=V83,W83,IF(AO71=Z83,Y83,"")))</f>
        <v/>
      </c>
      <c r="BM71" s="521" t="str">
        <f>IF(W84="","",IF(AO71=V84,W84,IF(AO71=Z84,Y84,"")))</f>
        <v/>
      </c>
      <c r="BN71" s="521" t="str">
        <f>IF(W85="","",IF(AO71=V85,W85,IF(AO71=Z85,Y85,"")))</f>
        <v/>
      </c>
      <c r="BO71" s="521" t="str">
        <f>IF(W86="","",IF(AO71=V86,W86,IF(AO71=Z86,Y86,"")))</f>
        <v/>
      </c>
      <c r="BP71" s="521" t="str">
        <f>IF(W87="","",IF(AO71=V87,W87,IF(AO71=Z87,Y87,"")))</f>
        <v/>
      </c>
      <c r="BQ71" s="522" t="str">
        <f>IF(W88="","",IF(AO71=V88,W88,IF(AO71=Z88,Y88,"")))</f>
        <v/>
      </c>
      <c r="BR71" s="270"/>
      <c r="BS71" s="270"/>
      <c r="BT71" s="270"/>
      <c r="BU71" s="270"/>
      <c r="BV71" s="270"/>
      <c r="BW71" s="270"/>
      <c r="BX71" s="270"/>
      <c r="BY71" s="270"/>
      <c r="BZ71" s="1395" t="b">
        <f>IF(G71="[---WithDraw---]",FALSE,IF(COUNTIF(PlayerNamesWithinGroups,G71)&gt;1,TRUE,FALSE))</f>
        <v>1</v>
      </c>
      <c r="CA71" s="1450" t="b">
        <f>AND(LEFT($AO71,1) = "(", RIGHT($AO71,1) =")")</f>
        <v>0</v>
      </c>
      <c r="CB71" s="1450" t="b">
        <f>IF(OR($AN71=$AN70,$AN71=$AN72),TRUE,FALSE)</f>
        <v>1</v>
      </c>
      <c r="CC71" s="270"/>
      <c r="CD71" s="270"/>
      <c r="CE71"/>
    </row>
    <row r="72" spans="1:83" ht="13.5" outlineLevel="1" thickBot="1" x14ac:dyDescent="0.25">
      <c r="A72" s="270"/>
      <c r="B72" s="509">
        <v>4</v>
      </c>
      <c r="C72" s="560" t="str">
        <f>IF(AK68="","",RANK(F72,F69:F73)*1000+ROW())</f>
        <v/>
      </c>
      <c r="D72" s="561" t="str">
        <f>IF(L72="","",CritClassInd1_Points*J72+CritClassInd1_Matches*L72+CritClassInd1_Attaque*O72+CritClassInd1_DiffButs*Q72)</f>
        <v/>
      </c>
      <c r="E72" s="561" t="str">
        <f>IF(L72="","",Nb_Diff_Part(D72,D69:D73,G72,G69:G73,AI69:AI88)*CritClassInd_DiffPart+Nb_Goal_Part(D72,D69:D73,G72,G69:G73,V69:Z88)*CritClassInd_GoalPart+Nb_Score_Part(D72,D69:D73,G72,G69:G73,V69:Z88)*CritClassInd_ScorePart)</f>
        <v/>
      </c>
      <c r="F72" s="562" t="str">
        <f>IF(L72="","",D72+E72+CritClassInd2_Points*J72+CritClassInd2_Matches*L72+CritClassInd2_Attaque*O72+CritClassInd2_DiffButs*Q72+CritClassInd_Ranking*H72+I72)</f>
        <v/>
      </c>
      <c r="G72" s="502" t="s">
        <v>906</v>
      </c>
      <c r="H72" s="501">
        <f>GMFTRANKINGPOINTS(G72,Particular_Category)</f>
        <v>0</v>
      </c>
      <c r="I72" s="502"/>
      <c r="J72" s="560" t="str">
        <f>IF(AK68="","",(L72*Points_Victoire)+M72*Points_Null)</f>
        <v/>
      </c>
      <c r="K72" s="563" t="str">
        <f>IF(L72="","",SUM(L72:N72))</f>
        <v/>
      </c>
      <c r="L72" s="563" t="str">
        <f>IF(AK68="","",COUNTIF(AE69:AE88,G72))</f>
        <v/>
      </c>
      <c r="M72" s="563" t="str">
        <f>IF(AK68="","",COUNTIF(AF69:AG88,G72))</f>
        <v/>
      </c>
      <c r="N72" s="563" t="str">
        <f>IF(AK68="","",COUNTIF(AH69:AH88,G72))</f>
        <v/>
      </c>
      <c r="O72" s="563" t="str">
        <f>IF(AK68="","",SUMIF(V69:V88,G72,AB69:AB88)+SUMIF(Z69:Z88,G72,AD69:AD88))</f>
        <v/>
      </c>
      <c r="P72" s="563" t="str">
        <f>IF(AK68="","",SUMIF(V69:V88,G72,AD69:AD88)+SUMIF(Z69:Z88,G72,AB69:AB88))</f>
        <v/>
      </c>
      <c r="Q72" s="564" t="str">
        <f>IF(AK68="","",O72-P72)</f>
        <v/>
      </c>
      <c r="R72" s="558" t="s">
        <v>1727</v>
      </c>
      <c r="S72" s="615"/>
      <c r="T72" s="619"/>
      <c r="U72" s="1503"/>
      <c r="V72" s="461" t="str">
        <f>IF(G71="","",G71)</f>
        <v>A3</v>
      </c>
      <c r="W72" s="450"/>
      <c r="X72" s="462" t="s">
        <v>769</v>
      </c>
      <c r="Y72" s="450"/>
      <c r="Z72" s="463" t="str">
        <f>IF(G73="","",G73)</f>
        <v>A5</v>
      </c>
      <c r="AA72" s="839"/>
      <c r="AB72" s="1459">
        <f t="shared" si="34"/>
        <v>0</v>
      </c>
      <c r="AC72" s="1460" t="str">
        <f t="shared" si="35"/>
        <v>-</v>
      </c>
      <c r="AD72" s="1459">
        <f t="shared" si="36"/>
        <v>0</v>
      </c>
      <c r="AE72" s="968" t="str">
        <f t="shared" si="37"/>
        <v/>
      </c>
      <c r="AF72" s="968" t="str">
        <f t="shared" si="38"/>
        <v/>
      </c>
      <c r="AG72" s="968" t="str">
        <f t="shared" si="39"/>
        <v/>
      </c>
      <c r="AH72" s="968" t="str">
        <f t="shared" si="40"/>
        <v/>
      </c>
      <c r="AI72" s="968" t="str">
        <f t="shared" si="41"/>
        <v/>
      </c>
      <c r="AJ72" s="968"/>
      <c r="AK72" s="968" t="str">
        <f>IF(AK68="","",SMALL(C69:C73,4))</f>
        <v/>
      </c>
      <c r="AL72" s="270"/>
      <c r="AM72" s="270"/>
      <c r="AN72" s="526" t="str">
        <f>IF(AK68="","",INT(AK72/1000))</f>
        <v/>
      </c>
      <c r="AO72" s="527" t="str">
        <f>IF(AK68="",IF(HidePlayerFormulas,"","("&amp;G72&amp;")"),VLOOKUP(AK72,C69:Q73,5,FALSE))</f>
        <v/>
      </c>
      <c r="AP72" s="528" t="str">
        <f>VLOOKUP(AK72,C69:Q73,8,FALSE)</f>
        <v/>
      </c>
      <c r="AQ72" s="528" t="str">
        <f>VLOOKUP(AK72,C69:Q73,9,FALSE)</f>
        <v/>
      </c>
      <c r="AR72" s="528" t="str">
        <f>VLOOKUP(AK72,C69:Q73,10,FALSE)</f>
        <v/>
      </c>
      <c r="AS72" s="528" t="str">
        <f>VLOOKUP(AK72,C69:Q73,11,FALSE)</f>
        <v/>
      </c>
      <c r="AT72" s="528" t="str">
        <f>VLOOKUP(AK72,C69:Q73,12,FALSE)</f>
        <v/>
      </c>
      <c r="AU72" s="528" t="str">
        <f>VLOOKUP(AK72,C69:Q73,13,FALSE)</f>
        <v/>
      </c>
      <c r="AV72" s="528" t="str">
        <f>VLOOKUP(AK72,C69:Q73,14,FALSE)</f>
        <v/>
      </c>
      <c r="AW72" s="529" t="str">
        <f>VLOOKUP(AK72,C69:Q73,15,FALSE)</f>
        <v/>
      </c>
      <c r="AX72" s="520" t="str">
        <f>IF(W69="","",IF(AO72=V69,W69,IF(AO72=Z69,Y69,"")))</f>
        <v/>
      </c>
      <c r="AY72" s="521" t="str">
        <f>IF(W70="","",IF(AO72=V70,W70,IF(AO72=Z70,Y70,"")))</f>
        <v/>
      </c>
      <c r="AZ72" s="521" t="str">
        <f>IF(W71="","",IF(AO72=V71,W71,IF(AO72=Z71,Y71,"")))</f>
        <v/>
      </c>
      <c r="BA72" s="521" t="str">
        <f>IF(W72="","",IF(AO72=V72,W72,IF(AO72=Z72,Y72,"")))</f>
        <v/>
      </c>
      <c r="BB72" s="521" t="str">
        <f>IF(W73="","",IF(AO72=V73,W73,IF(AO72=Z73,Y73,"")))</f>
        <v/>
      </c>
      <c r="BC72" s="521" t="str">
        <f>IF(W74="","",IF(AO72=V74,W74,IF(AO72=Z74,Y74,"")))</f>
        <v/>
      </c>
      <c r="BD72" s="521" t="str">
        <f>IF(W75="","",IF(AO72=V75,W75,IF(AO72=Z75,Y75,"")))</f>
        <v/>
      </c>
      <c r="BE72" s="521" t="str">
        <f>IF(W76="","",IF(AO72=V76,W76,IF(AO72=Z76,Y76,"")))</f>
        <v/>
      </c>
      <c r="BF72" s="521" t="str">
        <f>IF(W77="","",IF(AO72=V77,W77,IF(AO72=Z77,Y77,"")))</f>
        <v/>
      </c>
      <c r="BG72" s="521" t="str">
        <f>IF(W78="","",IF(AO72=V78,W78,IF(AO72=Z78,Y78,"")))</f>
        <v/>
      </c>
      <c r="BH72" s="521" t="str">
        <f>IF(W79="","",IF(AO72=V79,W79,IF(AO72=Z79,Y79,"")))</f>
        <v/>
      </c>
      <c r="BI72" s="521" t="str">
        <f>IF(W80="","",IF(AO72=V80,W80,IF(AO72=Z80,Y80,"")))</f>
        <v/>
      </c>
      <c r="BJ72" s="521" t="str">
        <f>IF(W81="","",IF(AO72=V81,W81,IF(AO72=Z81,Y81,"")))</f>
        <v/>
      </c>
      <c r="BK72" s="521" t="str">
        <f>IF(W82="","",IF(AO72=V82,W82,IF(AO72=Z82,Y82,"")))</f>
        <v/>
      </c>
      <c r="BL72" s="521" t="str">
        <f>IF(W83="","",IF(AO72=V83,W83,IF(AO72=Z83,Y83,"")))</f>
        <v/>
      </c>
      <c r="BM72" s="521" t="str">
        <f>IF(W84="","",IF(AO72=V84,W84,IF(AO72=Z84,Y84,"")))</f>
        <v/>
      </c>
      <c r="BN72" s="521" t="str">
        <f>IF(W85="","",IF(AO72=V85,W85,IF(AO72=Z85,Y85,"")))</f>
        <v/>
      </c>
      <c r="BO72" s="521" t="str">
        <f>IF(W86="","",IF(AO72=V86,W86,IF(AO72=Z86,Y86,"")))</f>
        <v/>
      </c>
      <c r="BP72" s="521" t="str">
        <f>IF(W87="","",IF(AO72=V87,W87,IF(AO72=Z87,Y87,"")))</f>
        <v/>
      </c>
      <c r="BQ72" s="522" t="str">
        <f>IF(W88="","",IF(AO72=V88,W88,IF(AO72=Z88,Y88,"")))</f>
        <v/>
      </c>
      <c r="BR72" s="270"/>
      <c r="BS72" s="270"/>
      <c r="BT72" s="270"/>
      <c r="BU72" s="270"/>
      <c r="BV72" s="270"/>
      <c r="BW72" s="270"/>
      <c r="BX72" s="270"/>
      <c r="BY72" s="270"/>
      <c r="BZ72" s="1395" t="b">
        <f>IF(G72="[---WithDraw---]",FALSE,IF(COUNTIF(PlayerNamesWithinGroups,G72)&gt;1,TRUE,FALSE))</f>
        <v>1</v>
      </c>
      <c r="CA72" s="1450" t="b">
        <f>AND(LEFT($AO72,1) = "(", RIGHT($AO72,1) =")")</f>
        <v>0</v>
      </c>
      <c r="CB72" s="1450" t="b">
        <f>IF(OR($AN72=$AN71,$AN72=$AN73),TRUE,FALSE)</f>
        <v>1</v>
      </c>
      <c r="CC72" s="270"/>
      <c r="CD72" s="270"/>
      <c r="CE72"/>
    </row>
    <row r="73" spans="1:83" ht="13.5" outlineLevel="1" thickBot="1" x14ac:dyDescent="0.25">
      <c r="A73" s="270"/>
      <c r="B73" s="513">
        <v>5</v>
      </c>
      <c r="C73" s="565" t="str">
        <f>IF(AK68="","",RANK(F73,F69:F73)*1000+ROW())</f>
        <v/>
      </c>
      <c r="D73" s="566" t="str">
        <f>IF(L73="","",CritClassInd1_Points*J73+CritClassInd1_Matches*L73+CritClassInd1_Attaque*O73+CritClassInd1_DiffButs*Q73)</f>
        <v/>
      </c>
      <c r="E73" s="566" t="str">
        <f>IF(L73="","",Nb_Diff_Part(D73,D69:D73,G73,G69:G73,AI69:AI88)*CritClassInd_DiffPart+Nb_Goal_Part(D73,D69:D73,G73,G69:G73,V69:Z88)*CritClassInd_GoalPart+Nb_Score_Part(D73,D69:D73,G73,G69:G73,V69:Z88)*CritClassInd_ScorePart)</f>
        <v/>
      </c>
      <c r="F73" s="567" t="str">
        <f>IF(L73="","",D73+E73+CritClassInd2_Points*J73+CritClassInd2_Matches*L73+CritClassInd2_Attaque*O73+CritClassInd2_DiffButs*Q73+CritClassInd_Ranking*H73+I73)</f>
        <v/>
      </c>
      <c r="G73" s="500" t="s">
        <v>907</v>
      </c>
      <c r="H73" s="568">
        <f>GMFTRANKINGPOINTS(G73,Particular_Category)</f>
        <v>0</v>
      </c>
      <c r="I73" s="569"/>
      <c r="J73" s="565" t="str">
        <f>IF(AK68="","",(L73*Points_Victoire)+M73*Points_Null)</f>
        <v/>
      </c>
      <c r="K73" s="570" t="str">
        <f>IF(L73="","",SUM(L73:N73))</f>
        <v/>
      </c>
      <c r="L73" s="570" t="str">
        <f>IF(AK68="","",COUNTIF(AE69:AE88,G73))</f>
        <v/>
      </c>
      <c r="M73" s="570" t="str">
        <f>IF(AK68="","",COUNTIF(AF69:AG88,G73))</f>
        <v/>
      </c>
      <c r="N73" s="570" t="str">
        <f>IF(AK68="","",COUNTIF(AH69:AH88,G73))</f>
        <v/>
      </c>
      <c r="O73" s="570" t="str">
        <f>IF(AK68="","",SUMIF(V69:V88,G73,AB69:AB88)+SUMIF(Z69:Z88,G73,AD69:AD88))</f>
        <v/>
      </c>
      <c r="P73" s="570" t="str">
        <f>IF(AK68="","",SUMIF(V69:V88,G73,AD69:AD88)+SUMIF(Z69:Z88,G73,AB69:AB88))</f>
        <v/>
      </c>
      <c r="Q73" s="571" t="str">
        <f>IF(AK68="","",O73-P73)</f>
        <v/>
      </c>
      <c r="R73" s="558" t="s">
        <v>1728</v>
      </c>
      <c r="S73" s="611"/>
      <c r="T73" s="621"/>
      <c r="U73" s="1504"/>
      <c r="V73" s="455" t="str">
        <f>IF(G72="","",G72)</f>
        <v>A4</v>
      </c>
      <c r="W73" s="456"/>
      <c r="X73" s="457" t="s">
        <v>769</v>
      </c>
      <c r="Y73" s="456"/>
      <c r="Z73" s="458" t="str">
        <f>IF(G69="","",G69)</f>
        <v>A1</v>
      </c>
      <c r="AA73" s="839"/>
      <c r="AB73" s="1459">
        <f t="shared" si="34"/>
        <v>0</v>
      </c>
      <c r="AC73" s="1460" t="str">
        <f t="shared" si="35"/>
        <v>-</v>
      </c>
      <c r="AD73" s="1459">
        <f t="shared" si="36"/>
        <v>0</v>
      </c>
      <c r="AE73" s="968" t="str">
        <f t="shared" si="37"/>
        <v/>
      </c>
      <c r="AF73" s="968" t="str">
        <f t="shared" si="38"/>
        <v/>
      </c>
      <c r="AG73" s="968" t="str">
        <f t="shared" si="39"/>
        <v/>
      </c>
      <c r="AH73" s="968" t="str">
        <f t="shared" si="40"/>
        <v/>
      </c>
      <c r="AI73" s="968" t="str">
        <f t="shared" si="41"/>
        <v/>
      </c>
      <c r="AJ73" s="968"/>
      <c r="AK73" s="968" t="str">
        <f>IF(AK68="","",SMALL(C69:C73,5))</f>
        <v/>
      </c>
      <c r="AL73" s="270"/>
      <c r="AM73" s="270"/>
      <c r="AN73" s="530" t="str">
        <f>IF(AK68="","",INT(AK73/1000))</f>
        <v/>
      </c>
      <c r="AO73" s="531" t="str">
        <f>IF(AK68="",IF(HidePlayerFormulas,"","("&amp;G73&amp;")"),VLOOKUP(AK73,C69:Q73,5,FALSE))</f>
        <v/>
      </c>
      <c r="AP73" s="532" t="str">
        <f>VLOOKUP(AK73,C69:Q73,8,FALSE)</f>
        <v/>
      </c>
      <c r="AQ73" s="532" t="str">
        <f>VLOOKUP(AK73,C69:Q73,9,FALSE)</f>
        <v/>
      </c>
      <c r="AR73" s="532" t="str">
        <f>VLOOKUP(AK73,C69:Q73,10,FALSE)</f>
        <v/>
      </c>
      <c r="AS73" s="532" t="str">
        <f>VLOOKUP(AK73,C69:Q73,11,FALSE)</f>
        <v/>
      </c>
      <c r="AT73" s="532" t="str">
        <f>VLOOKUP(AK73,C69:Q73,12,FALSE)</f>
        <v/>
      </c>
      <c r="AU73" s="532" t="str">
        <f>VLOOKUP(AK73,C69:Q73,13,FALSE)</f>
        <v/>
      </c>
      <c r="AV73" s="532" t="str">
        <f>VLOOKUP(AK73,C69:Q73,14,FALSE)</f>
        <v/>
      </c>
      <c r="AW73" s="533" t="str">
        <f>VLOOKUP(AK73,C69:Q73,15,FALSE)</f>
        <v/>
      </c>
      <c r="AX73" s="523" t="str">
        <f>IF(W69="","",IF(AO73=V69,W69,IF(AO73=Z69,Y69,"")))</f>
        <v/>
      </c>
      <c r="AY73" s="524" t="str">
        <f>IF(W70="","",IF(AO73=V70,W70,IF(AO73=Z70,Y70,"")))</f>
        <v/>
      </c>
      <c r="AZ73" s="524" t="str">
        <f>IF(W71="","",IF(AO73=V71,W71,IF(AO73=Z71,Y71,"")))</f>
        <v/>
      </c>
      <c r="BA73" s="524" t="str">
        <f>IF(W72="","",IF(AO73=V72,W72,IF(AO73=Z72,Y72,"")))</f>
        <v/>
      </c>
      <c r="BB73" s="524" t="str">
        <f>IF(W73="","",IF(AO73=V73,W73,IF(AO73=Z73,Y73,"")))</f>
        <v/>
      </c>
      <c r="BC73" s="524" t="str">
        <f>IF(W74="","",IF(AO73=V74,W74,IF(AO73=Z74,Y74,"")))</f>
        <v/>
      </c>
      <c r="BD73" s="524" t="str">
        <f>IF(W75="","",IF(AO73=V75,W75,IF(AO73=Z75,Y75,"")))</f>
        <v/>
      </c>
      <c r="BE73" s="524" t="str">
        <f>IF(W76="","",IF(AO73=V76,W76,IF(AO73=Z76,Y76,"")))</f>
        <v/>
      </c>
      <c r="BF73" s="524" t="str">
        <f>IF(W77="","",IF(AO73=V77,W77,IF(AO73=Z77,Y77,"")))</f>
        <v/>
      </c>
      <c r="BG73" s="524" t="str">
        <f>IF(W78="","",IF(AO73=V78,W78,IF(AO73=Z78,Y78,"")))</f>
        <v/>
      </c>
      <c r="BH73" s="524" t="str">
        <f>IF(W79="","",IF(AO73=V79,W79,IF(AO73=Z79,Y79,"")))</f>
        <v/>
      </c>
      <c r="BI73" s="524" t="str">
        <f>IF(W80="","",IF(AO73=V80,W80,IF(AO73=Z80,Y80,"")))</f>
        <v/>
      </c>
      <c r="BJ73" s="524" t="str">
        <f>IF(W81="","",IF(AO73=V81,W81,IF(AO73=Z81,Y81,"")))</f>
        <v/>
      </c>
      <c r="BK73" s="524" t="str">
        <f>IF(W82="","",IF(AO73=V82,W82,IF(AO73=Z82,Y82,"")))</f>
        <v/>
      </c>
      <c r="BL73" s="524" t="str">
        <f>IF(W83="","",IF(AO73=V83,W83,IF(AO73=Z83,Y83,"")))</f>
        <v/>
      </c>
      <c r="BM73" s="524" t="str">
        <f>IF(W84="","",IF(AO73=V84,W84,IF(AO73=Z84,Y84,"")))</f>
        <v/>
      </c>
      <c r="BN73" s="524" t="str">
        <f>IF(W85="","",IF(AO73=V85,W85,IF(AO73=Z85,Y85,"")))</f>
        <v/>
      </c>
      <c r="BO73" s="524" t="str">
        <f>IF(W86="","",IF(AO73=V86,W86,IF(AO73=Z86,Y86,"")))</f>
        <v/>
      </c>
      <c r="BP73" s="524" t="str">
        <f>IF(W87="","",IF(AO73=V87,W87,IF(AO73=Z87,Y87,"")))</f>
        <v/>
      </c>
      <c r="BQ73" s="525" t="str">
        <f>IF(W88="","",IF(AO73=V88,W88,IF(AO73=Z88,Y88,"")))</f>
        <v/>
      </c>
      <c r="BR73" s="270"/>
      <c r="BS73" s="270"/>
      <c r="BT73" s="270"/>
      <c r="BU73" s="270"/>
      <c r="BV73" s="270"/>
      <c r="BW73" s="270"/>
      <c r="BX73" s="270"/>
      <c r="BY73" s="270"/>
      <c r="BZ73" s="1395" t="b">
        <f>IF(G73="[---WithDraw---]",FALSE,IF(COUNTIF(PlayerNamesWithinGroups,G73)&gt;1,TRUE,FALSE))</f>
        <v>1</v>
      </c>
      <c r="CA73" s="1450" t="b">
        <f>AND(LEFT($AO73,1) = "(", RIGHT($AO73,1) =")")</f>
        <v>0</v>
      </c>
      <c r="CB73" s="1450" t="b">
        <f>IF(OR($AN73=$AN72,$AN73=$AN74),TRUE,FALSE)</f>
        <v>1</v>
      </c>
      <c r="CC73" s="270"/>
      <c r="CD73" s="270"/>
      <c r="CE73"/>
    </row>
    <row r="74" spans="1:83" ht="13.5" outlineLevel="2" thickBot="1" x14ac:dyDescent="0.25">
      <c r="A74" s="270"/>
      <c r="B74" s="271"/>
      <c r="C74" s="270"/>
      <c r="D74" s="270"/>
      <c r="E74" s="270"/>
      <c r="F74" s="270"/>
      <c r="G74" s="271"/>
      <c r="H74" s="271"/>
      <c r="I74" s="271"/>
      <c r="J74" s="270"/>
      <c r="K74" s="270"/>
      <c r="L74" s="270"/>
      <c r="M74" s="270"/>
      <c r="N74" s="270"/>
      <c r="O74" s="270"/>
      <c r="P74" s="270"/>
      <c r="Q74" s="270"/>
      <c r="R74" s="558" t="s">
        <v>1728</v>
      </c>
      <c r="S74" s="615"/>
      <c r="T74" s="619"/>
      <c r="U74" s="1503"/>
      <c r="V74" s="461" t="str">
        <f>IF(G73="","",G73)</f>
        <v>A5</v>
      </c>
      <c r="W74" s="450"/>
      <c r="X74" s="462" t="s">
        <v>769</v>
      </c>
      <c r="Y74" s="450"/>
      <c r="Z74" s="463" t="str">
        <f>IF(G70="","",G70)</f>
        <v>A2</v>
      </c>
      <c r="AA74" s="839"/>
      <c r="AB74" s="1459">
        <f t="shared" si="34"/>
        <v>0</v>
      </c>
      <c r="AC74" s="1460" t="str">
        <f t="shared" si="35"/>
        <v>-</v>
      </c>
      <c r="AD74" s="1459">
        <f t="shared" si="36"/>
        <v>0</v>
      </c>
      <c r="AE74" s="968" t="str">
        <f t="shared" si="37"/>
        <v/>
      </c>
      <c r="AF74" s="968" t="str">
        <f t="shared" si="38"/>
        <v/>
      </c>
      <c r="AG74" s="968" t="str">
        <f t="shared" si="39"/>
        <v/>
      </c>
      <c r="AH74" s="968" t="str">
        <f t="shared" si="40"/>
        <v/>
      </c>
      <c r="AI74" s="968" t="str">
        <f t="shared" si="41"/>
        <v/>
      </c>
      <c r="AJ74" s="968"/>
      <c r="AK74" s="968"/>
      <c r="AL74" s="270"/>
      <c r="AM74" s="270"/>
      <c r="AN74" s="575"/>
      <c r="AO74" s="270"/>
      <c r="AP74" s="271"/>
      <c r="AQ74" s="271"/>
      <c r="AR74" s="271"/>
      <c r="AS74" s="271"/>
      <c r="AT74" s="271"/>
      <c r="AU74" s="271"/>
      <c r="AV74" s="271"/>
      <c r="AW74" s="271"/>
      <c r="AX74" s="271"/>
      <c r="AY74" s="271"/>
      <c r="AZ74" s="271"/>
      <c r="BA74" s="271"/>
      <c r="BB74" s="271"/>
      <c r="BC74" s="271"/>
      <c r="BD74" s="271"/>
      <c r="BE74" s="271"/>
      <c r="BF74" s="271"/>
      <c r="BG74" s="271"/>
      <c r="BH74" s="271"/>
      <c r="BI74" s="271"/>
      <c r="BJ74" s="271"/>
      <c r="BK74" s="271"/>
      <c r="BL74" s="271"/>
      <c r="BM74" s="271"/>
      <c r="BN74" s="271"/>
      <c r="BO74" s="271"/>
      <c r="BP74" s="271"/>
      <c r="BQ74" s="271"/>
      <c r="BR74" s="271"/>
      <c r="BS74" s="271"/>
      <c r="BT74" s="271"/>
      <c r="BU74" s="271"/>
      <c r="BV74" s="271"/>
      <c r="BW74" s="271"/>
      <c r="BX74" s="271"/>
      <c r="BY74" s="271"/>
      <c r="BZ74" s="1395"/>
      <c r="CA74" s="1450"/>
      <c r="CB74" s="1450"/>
      <c r="CC74" s="270"/>
      <c r="CD74" s="270"/>
      <c r="CE74"/>
    </row>
    <row r="75" spans="1:83" outlineLevel="2" x14ac:dyDescent="0.2">
      <c r="A75" s="270"/>
      <c r="B75" s="271"/>
      <c r="C75" s="270"/>
      <c r="D75" s="270"/>
      <c r="E75" s="270"/>
      <c r="F75" s="270"/>
      <c r="G75" s="271"/>
      <c r="H75" s="271"/>
      <c r="I75" s="271"/>
      <c r="J75" s="270"/>
      <c r="K75" s="270"/>
      <c r="L75" s="270"/>
      <c r="M75" s="270"/>
      <c r="N75" s="270"/>
      <c r="O75" s="270"/>
      <c r="P75" s="270"/>
      <c r="Q75" s="270"/>
      <c r="R75" s="558" t="s">
        <v>1729</v>
      </c>
      <c r="S75" s="611"/>
      <c r="T75" s="617"/>
      <c r="U75" s="1502"/>
      <c r="V75" s="455" t="str">
        <f>IF(G69="","",G69)</f>
        <v>A1</v>
      </c>
      <c r="W75" s="456"/>
      <c r="X75" s="457" t="s">
        <v>769</v>
      </c>
      <c r="Y75" s="456"/>
      <c r="Z75" s="458" t="str">
        <f>IF(G71="","",G71)</f>
        <v>A3</v>
      </c>
      <c r="AA75" s="839"/>
      <c r="AB75" s="1459">
        <f t="shared" si="34"/>
        <v>0</v>
      </c>
      <c r="AC75" s="1460" t="str">
        <f t="shared" si="35"/>
        <v>-</v>
      </c>
      <c r="AD75" s="1459">
        <f t="shared" si="36"/>
        <v>0</v>
      </c>
      <c r="AE75" s="968" t="str">
        <f t="shared" si="37"/>
        <v/>
      </c>
      <c r="AF75" s="968" t="str">
        <f t="shared" si="38"/>
        <v/>
      </c>
      <c r="AG75" s="968" t="str">
        <f t="shared" si="39"/>
        <v/>
      </c>
      <c r="AH75" s="968" t="str">
        <f t="shared" si="40"/>
        <v/>
      </c>
      <c r="AI75" s="968" t="str">
        <f t="shared" si="41"/>
        <v/>
      </c>
      <c r="AJ75" s="968"/>
      <c r="AK75" s="968"/>
      <c r="AL75" s="270"/>
      <c r="AM75" s="270"/>
      <c r="AN75" s="575"/>
      <c r="AO75" s="270"/>
      <c r="AP75" s="271"/>
      <c r="AQ75" s="271"/>
      <c r="AR75" s="271"/>
      <c r="AS75" s="271"/>
      <c r="AT75" s="271"/>
      <c r="AU75" s="271"/>
      <c r="AV75" s="271"/>
      <c r="AW75" s="271"/>
      <c r="AX75" s="271"/>
      <c r="AY75" s="271"/>
      <c r="AZ75" s="271"/>
      <c r="BA75" s="271"/>
      <c r="BB75" s="271"/>
      <c r="BC75" s="271"/>
      <c r="BD75" s="271"/>
      <c r="BE75" s="271"/>
      <c r="BF75" s="271"/>
      <c r="BG75" s="271"/>
      <c r="BH75" s="271"/>
      <c r="BI75" s="271"/>
      <c r="BJ75" s="271"/>
      <c r="BK75" s="271"/>
      <c r="BL75" s="271"/>
      <c r="BM75" s="271"/>
      <c r="BN75" s="271"/>
      <c r="BO75" s="271"/>
      <c r="BP75" s="271"/>
      <c r="BQ75" s="271"/>
      <c r="BR75" s="271"/>
      <c r="BS75" s="271"/>
      <c r="BT75" s="271"/>
      <c r="BU75" s="271"/>
      <c r="BV75" s="271"/>
      <c r="BW75" s="271"/>
      <c r="BX75" s="271"/>
      <c r="BY75" s="271"/>
      <c r="BZ75" s="1395"/>
      <c r="CA75" s="1450"/>
      <c r="CB75" s="1450"/>
      <c r="CC75" s="270"/>
      <c r="CD75" s="270"/>
      <c r="CE75"/>
    </row>
    <row r="76" spans="1:83" ht="13.5" outlineLevel="2" thickBot="1" x14ac:dyDescent="0.25">
      <c r="A76" s="270"/>
      <c r="B76" s="271"/>
      <c r="C76" s="270"/>
      <c r="D76" s="270"/>
      <c r="E76" s="270"/>
      <c r="F76" s="270"/>
      <c r="G76" s="271"/>
      <c r="H76" s="271"/>
      <c r="I76" s="271"/>
      <c r="J76" s="270"/>
      <c r="K76" s="270"/>
      <c r="L76" s="270"/>
      <c r="M76" s="270"/>
      <c r="N76" s="270"/>
      <c r="O76" s="270"/>
      <c r="P76" s="270"/>
      <c r="Q76" s="270"/>
      <c r="R76" s="558" t="s">
        <v>1729</v>
      </c>
      <c r="S76" s="615"/>
      <c r="T76" s="619"/>
      <c r="U76" s="1503"/>
      <c r="V76" s="461" t="str">
        <f>IF(G72="","",G72)</f>
        <v>A4</v>
      </c>
      <c r="W76" s="450"/>
      <c r="X76" s="462" t="s">
        <v>769</v>
      </c>
      <c r="Y76" s="450"/>
      <c r="Z76" s="463" t="str">
        <f>IF(G73="","",G73)</f>
        <v>A5</v>
      </c>
      <c r="AA76" s="839"/>
      <c r="AB76" s="1459">
        <f t="shared" si="34"/>
        <v>0</v>
      </c>
      <c r="AC76" s="1460" t="str">
        <f t="shared" si="35"/>
        <v>-</v>
      </c>
      <c r="AD76" s="1459">
        <f t="shared" si="36"/>
        <v>0</v>
      </c>
      <c r="AE76" s="968" t="str">
        <f t="shared" si="37"/>
        <v/>
      </c>
      <c r="AF76" s="968" t="str">
        <f t="shared" si="38"/>
        <v/>
      </c>
      <c r="AG76" s="968" t="str">
        <f t="shared" si="39"/>
        <v/>
      </c>
      <c r="AH76" s="968" t="str">
        <f t="shared" si="40"/>
        <v/>
      </c>
      <c r="AI76" s="968" t="str">
        <f t="shared" si="41"/>
        <v/>
      </c>
      <c r="AJ76" s="968"/>
      <c r="AK76" s="968"/>
      <c r="AL76" s="270"/>
      <c r="AM76" s="270"/>
      <c r="AN76" s="575"/>
      <c r="AO76" s="270"/>
      <c r="AP76" s="271"/>
      <c r="AQ76" s="271"/>
      <c r="AR76" s="271"/>
      <c r="AS76" s="271"/>
      <c r="AT76" s="271"/>
      <c r="AU76" s="271"/>
      <c r="AV76" s="271"/>
      <c r="AW76" s="271"/>
      <c r="AX76" s="271"/>
      <c r="AY76" s="271"/>
      <c r="AZ76" s="271"/>
      <c r="BA76" s="271"/>
      <c r="BB76" s="271"/>
      <c r="BC76" s="271"/>
      <c r="BD76" s="271"/>
      <c r="BE76" s="271"/>
      <c r="BF76" s="271"/>
      <c r="BG76" s="271"/>
      <c r="BH76" s="271"/>
      <c r="BI76" s="271"/>
      <c r="BJ76" s="271"/>
      <c r="BK76" s="271"/>
      <c r="BL76" s="271"/>
      <c r="BM76" s="271"/>
      <c r="BN76" s="271"/>
      <c r="BO76" s="271"/>
      <c r="BP76" s="271"/>
      <c r="BQ76" s="271"/>
      <c r="BR76" s="271"/>
      <c r="BS76" s="271"/>
      <c r="BT76" s="271"/>
      <c r="BU76" s="271"/>
      <c r="BV76" s="271"/>
      <c r="BW76" s="271"/>
      <c r="BX76" s="271"/>
      <c r="BY76" s="271"/>
      <c r="BZ76" s="1395"/>
      <c r="CA76" s="1450"/>
      <c r="CB76" s="1450"/>
      <c r="CC76" s="270"/>
      <c r="CD76" s="270"/>
      <c r="CE76"/>
    </row>
    <row r="77" spans="1:83" outlineLevel="2" x14ac:dyDescent="0.2">
      <c r="A77" s="270"/>
      <c r="B77" s="271"/>
      <c r="C77" s="270"/>
      <c r="D77" s="270"/>
      <c r="E77" s="270"/>
      <c r="F77" s="270"/>
      <c r="G77" s="271"/>
      <c r="H77" s="271"/>
      <c r="I77" s="271"/>
      <c r="J77" s="270"/>
      <c r="K77" s="270"/>
      <c r="L77" s="270"/>
      <c r="M77" s="270"/>
      <c r="N77" s="270"/>
      <c r="O77" s="270"/>
      <c r="P77" s="270"/>
      <c r="Q77" s="270"/>
      <c r="R77" s="558" t="s">
        <v>1730</v>
      </c>
      <c r="S77" s="611"/>
      <c r="T77" s="621"/>
      <c r="U77" s="1504"/>
      <c r="V77" s="464" t="str">
        <f>IF(G69="","",G69)</f>
        <v>A1</v>
      </c>
      <c r="W77" s="465"/>
      <c r="X77" s="466" t="s">
        <v>769</v>
      </c>
      <c r="Y77" s="465"/>
      <c r="Z77" s="467" t="str">
        <f>IF(G70="","",G70)</f>
        <v>A2</v>
      </c>
      <c r="AA77" s="839"/>
      <c r="AB77" s="1459">
        <f t="shared" si="34"/>
        <v>0</v>
      </c>
      <c r="AC77" s="1460" t="str">
        <f t="shared" si="35"/>
        <v>-</v>
      </c>
      <c r="AD77" s="1459">
        <f t="shared" si="36"/>
        <v>0</v>
      </c>
      <c r="AE77" s="968" t="str">
        <f t="shared" si="37"/>
        <v/>
      </c>
      <c r="AF77" s="968" t="str">
        <f t="shared" si="38"/>
        <v/>
      </c>
      <c r="AG77" s="968" t="str">
        <f t="shared" si="39"/>
        <v/>
      </c>
      <c r="AH77" s="968" t="str">
        <f t="shared" si="40"/>
        <v/>
      </c>
      <c r="AI77" s="968" t="str">
        <f t="shared" si="41"/>
        <v/>
      </c>
      <c r="AJ77" s="968"/>
      <c r="AK77" s="968"/>
      <c r="AL77" s="270"/>
      <c r="AM77" s="270"/>
      <c r="AN77" s="575"/>
      <c r="AO77" s="270"/>
      <c r="AP77" s="271"/>
      <c r="AQ77" s="271"/>
      <c r="AR77" s="271"/>
      <c r="AS77" s="271"/>
      <c r="AT77" s="271"/>
      <c r="AU77" s="271"/>
      <c r="AV77" s="271"/>
      <c r="AW77" s="271"/>
      <c r="AX77" s="271"/>
      <c r="AY77" s="271"/>
      <c r="AZ77" s="271"/>
      <c r="BA77" s="271"/>
      <c r="BB77" s="271"/>
      <c r="BC77" s="271"/>
      <c r="BD77" s="271"/>
      <c r="BE77" s="271"/>
      <c r="BF77" s="271"/>
      <c r="BG77" s="271"/>
      <c r="BH77" s="271"/>
      <c r="BI77" s="271"/>
      <c r="BJ77" s="271"/>
      <c r="BK77" s="271"/>
      <c r="BL77" s="271"/>
      <c r="BM77" s="271"/>
      <c r="BN77" s="271"/>
      <c r="BO77" s="271"/>
      <c r="BP77" s="271"/>
      <c r="BQ77" s="271"/>
      <c r="BR77" s="271"/>
      <c r="BS77" s="271"/>
      <c r="BT77" s="271"/>
      <c r="BU77" s="271"/>
      <c r="BV77" s="271"/>
      <c r="BW77" s="271"/>
      <c r="BX77" s="271"/>
      <c r="BY77" s="271"/>
      <c r="BZ77" s="1395"/>
      <c r="CA77" s="1450"/>
      <c r="CB77" s="1450"/>
      <c r="CC77" s="270"/>
      <c r="CD77" s="270"/>
      <c r="CE77"/>
    </row>
    <row r="78" spans="1:83" ht="13.5" outlineLevel="2" thickBot="1" x14ac:dyDescent="0.25">
      <c r="A78" s="270"/>
      <c r="B78" s="271"/>
      <c r="C78" s="270"/>
      <c r="D78" s="270"/>
      <c r="E78" s="270"/>
      <c r="F78" s="270"/>
      <c r="G78" s="271"/>
      <c r="H78" s="271"/>
      <c r="I78" s="271"/>
      <c r="J78" s="270"/>
      <c r="K78" s="270"/>
      <c r="L78" s="270"/>
      <c r="M78" s="270"/>
      <c r="N78" s="270"/>
      <c r="O78" s="270"/>
      <c r="P78" s="270"/>
      <c r="Q78" s="270"/>
      <c r="R78" s="558" t="s">
        <v>1730</v>
      </c>
      <c r="S78" s="615"/>
      <c r="T78" s="619"/>
      <c r="U78" s="1503"/>
      <c r="V78" s="461" t="str">
        <f>IF(G71="","",G71)</f>
        <v>A3</v>
      </c>
      <c r="W78" s="450"/>
      <c r="X78" s="462" t="s">
        <v>769</v>
      </c>
      <c r="Y78" s="450"/>
      <c r="Z78" s="463" t="str">
        <f>IF(G72="","",G72)</f>
        <v>A4</v>
      </c>
      <c r="AA78" s="839"/>
      <c r="AB78" s="1459">
        <f t="shared" si="34"/>
        <v>0</v>
      </c>
      <c r="AC78" s="1460" t="str">
        <f t="shared" si="35"/>
        <v>-</v>
      </c>
      <c r="AD78" s="1459">
        <f t="shared" si="36"/>
        <v>0</v>
      </c>
      <c r="AE78" s="968" t="str">
        <f t="shared" si="37"/>
        <v/>
      </c>
      <c r="AF78" s="968" t="str">
        <f t="shared" si="38"/>
        <v/>
      </c>
      <c r="AG78" s="968" t="str">
        <f t="shared" si="39"/>
        <v/>
      </c>
      <c r="AH78" s="968" t="str">
        <f t="shared" si="40"/>
        <v/>
      </c>
      <c r="AI78" s="968" t="str">
        <f t="shared" si="41"/>
        <v/>
      </c>
      <c r="AJ78" s="968"/>
      <c r="AK78" s="968"/>
      <c r="AL78" s="270"/>
      <c r="AM78" s="270"/>
      <c r="AN78" s="575"/>
      <c r="AO78" s="270"/>
      <c r="AP78" s="271"/>
      <c r="AQ78" s="271"/>
      <c r="AR78" s="271"/>
      <c r="AS78" s="271"/>
      <c r="AT78" s="271"/>
      <c r="AU78" s="271"/>
      <c r="AV78" s="271"/>
      <c r="AW78" s="271"/>
      <c r="AX78" s="271"/>
      <c r="AY78" s="271"/>
      <c r="AZ78" s="271"/>
      <c r="BA78" s="271"/>
      <c r="BB78" s="271"/>
      <c r="BC78" s="271"/>
      <c r="BD78" s="271"/>
      <c r="BE78" s="271"/>
      <c r="BF78" s="271"/>
      <c r="BG78" s="271"/>
      <c r="BH78" s="271"/>
      <c r="BI78" s="271"/>
      <c r="BJ78" s="271"/>
      <c r="BK78" s="271"/>
      <c r="BL78" s="271"/>
      <c r="BM78" s="271"/>
      <c r="BN78" s="271"/>
      <c r="BO78" s="271"/>
      <c r="BP78" s="271"/>
      <c r="BQ78" s="271"/>
      <c r="BR78" s="271"/>
      <c r="BS78" s="271"/>
      <c r="BT78" s="271"/>
      <c r="BU78" s="271"/>
      <c r="BV78" s="271"/>
      <c r="BW78" s="271"/>
      <c r="BX78" s="271"/>
      <c r="BY78" s="271"/>
      <c r="BZ78" s="1395"/>
      <c r="CA78" s="1450"/>
      <c r="CB78" s="1450"/>
      <c r="CC78" s="270"/>
      <c r="CD78" s="270"/>
      <c r="CE78"/>
    </row>
    <row r="79" spans="1:83" outlineLevel="2" x14ac:dyDescent="0.2">
      <c r="A79" s="270"/>
      <c r="B79" s="271"/>
      <c r="C79" s="270"/>
      <c r="D79" s="270"/>
      <c r="E79" s="270"/>
      <c r="F79" s="270"/>
      <c r="G79" s="271"/>
      <c r="H79" s="271"/>
      <c r="I79" s="271"/>
      <c r="J79" s="270"/>
      <c r="K79" s="270"/>
      <c r="L79" s="270"/>
      <c r="M79" s="270"/>
      <c r="N79" s="270"/>
      <c r="O79" s="270"/>
      <c r="P79" s="270"/>
      <c r="Q79" s="270"/>
      <c r="R79" s="558" t="s">
        <v>1731</v>
      </c>
      <c r="S79" s="611"/>
      <c r="T79" s="617"/>
      <c r="U79" s="1502"/>
      <c r="V79" s="455" t="str">
        <f>IF(G69="","",G69)</f>
        <v>A1</v>
      </c>
      <c r="W79" s="456"/>
      <c r="X79" s="457" t="s">
        <v>769</v>
      </c>
      <c r="Y79" s="456"/>
      <c r="Z79" s="458" t="str">
        <f>IF(G73="","",G73)</f>
        <v>A5</v>
      </c>
      <c r="AA79" s="839"/>
      <c r="AB79" s="1459">
        <f t="shared" ref="AB79:AB88" si="42">IF(MaxScore,MaxGoals(W79,Y79,MaxGoalsValue),IF(W79="","",W79))</f>
        <v>0</v>
      </c>
      <c r="AC79" s="1460" t="str">
        <f t="shared" ref="AC79:AC88" si="43">IF(MaxScore,"-",IF(W79="","","-"))</f>
        <v>-</v>
      </c>
      <c r="AD79" s="1459">
        <f t="shared" ref="AD79:AD88" si="44">IF(MaxScore,MaxGoals(Y79,W79,MaxGoalsValue),IF(Y79="","",Y79))</f>
        <v>0</v>
      </c>
      <c r="AE79" s="968" t="str">
        <f t="shared" ref="AE79:AE88" si="45">IF(W79="","",IF(W79&gt;Y79,V79,IF(W79=Y79,"",Z79)))</f>
        <v/>
      </c>
      <c r="AF79" s="968" t="str">
        <f t="shared" ref="AF79:AF88" si="46">IF(W79="","",IF(W79=Y79,V79,""))</f>
        <v/>
      </c>
      <c r="AG79" s="968" t="str">
        <f t="shared" ref="AG79:AG88" si="47">IF(W79="","",IF(W79=Y79,Z79,""))</f>
        <v/>
      </c>
      <c r="AH79" s="968" t="str">
        <f t="shared" ref="AH79:AH88" si="48">IF(W79="","",IF(W79&lt;Y79,V79,IF(W79=Y79,"",Z79)))</f>
        <v/>
      </c>
      <c r="AI79" s="968" t="str">
        <f t="shared" ref="AI79:AI88" si="49">CONCATENATE(AE79,AH79)</f>
        <v/>
      </c>
      <c r="AJ79" s="968"/>
      <c r="AK79" s="968" t="str">
        <f>IF(AK78="","",SMALL(C79:C83,1))</f>
        <v/>
      </c>
      <c r="AL79" s="270"/>
      <c r="AM79" s="270"/>
      <c r="AN79" s="575"/>
      <c r="AO79" s="270"/>
      <c r="AP79" s="271"/>
      <c r="AQ79" s="271"/>
      <c r="AR79" s="271"/>
      <c r="AS79" s="271"/>
      <c r="AT79" s="271"/>
      <c r="AU79" s="271"/>
      <c r="AV79" s="271"/>
      <c r="AW79" s="271"/>
      <c r="AX79" s="271"/>
      <c r="AY79" s="271"/>
      <c r="AZ79" s="271"/>
      <c r="BA79" s="271"/>
      <c r="BB79" s="271"/>
      <c r="BC79" s="271"/>
      <c r="BD79" s="271"/>
      <c r="BE79" s="271"/>
      <c r="BF79" s="271"/>
      <c r="BG79" s="271"/>
      <c r="BH79" s="271"/>
      <c r="BI79" s="271"/>
      <c r="BJ79" s="271"/>
      <c r="BK79" s="271"/>
      <c r="BL79" s="271"/>
      <c r="BM79" s="271"/>
      <c r="BN79" s="271"/>
      <c r="BO79" s="271"/>
      <c r="BP79" s="271"/>
      <c r="BQ79" s="271"/>
      <c r="BR79" s="271"/>
      <c r="BS79" s="271"/>
      <c r="BT79" s="271"/>
      <c r="BU79" s="271"/>
      <c r="BV79" s="271"/>
      <c r="BW79" s="271"/>
      <c r="BX79" s="271"/>
      <c r="BY79" s="271"/>
      <c r="BZ79" s="1395"/>
      <c r="CA79" s="1450"/>
      <c r="CB79" s="1450"/>
      <c r="CC79" s="270"/>
      <c r="CD79" s="270"/>
      <c r="CE79"/>
    </row>
    <row r="80" spans="1:83" ht="13.5" outlineLevel="2" thickBot="1" x14ac:dyDescent="0.25">
      <c r="A80" s="270"/>
      <c r="B80" s="271"/>
      <c r="C80" s="270"/>
      <c r="D80" s="270"/>
      <c r="E80" s="270"/>
      <c r="F80" s="270"/>
      <c r="G80" s="271"/>
      <c r="H80" s="271"/>
      <c r="I80" s="271"/>
      <c r="J80" s="270"/>
      <c r="K80" s="270"/>
      <c r="L80" s="270"/>
      <c r="M80" s="270"/>
      <c r="N80" s="270"/>
      <c r="O80" s="270"/>
      <c r="P80" s="270"/>
      <c r="Q80" s="270"/>
      <c r="R80" s="558" t="s">
        <v>1731</v>
      </c>
      <c r="S80" s="615"/>
      <c r="T80" s="619"/>
      <c r="U80" s="1503"/>
      <c r="V80" s="468" t="str">
        <f>IF(G71="","",G71)</f>
        <v>A3</v>
      </c>
      <c r="W80" s="469"/>
      <c r="X80" s="470" t="s">
        <v>769</v>
      </c>
      <c r="Y80" s="469"/>
      <c r="Z80" s="471" t="str">
        <f>IF(G70="","",G70)</f>
        <v>A2</v>
      </c>
      <c r="AA80" s="839"/>
      <c r="AB80" s="1459">
        <f t="shared" si="42"/>
        <v>0</v>
      </c>
      <c r="AC80" s="1460" t="str">
        <f t="shared" si="43"/>
        <v>-</v>
      </c>
      <c r="AD80" s="1459">
        <f t="shared" si="44"/>
        <v>0</v>
      </c>
      <c r="AE80" s="968" t="str">
        <f t="shared" si="45"/>
        <v/>
      </c>
      <c r="AF80" s="968" t="str">
        <f t="shared" si="46"/>
        <v/>
      </c>
      <c r="AG80" s="968" t="str">
        <f t="shared" si="47"/>
        <v/>
      </c>
      <c r="AH80" s="968" t="str">
        <f t="shared" si="48"/>
        <v/>
      </c>
      <c r="AI80" s="968" t="str">
        <f t="shared" si="49"/>
        <v/>
      </c>
      <c r="AJ80" s="968"/>
      <c r="AK80" s="968" t="str">
        <f>IF(AK78="","",SMALL(C79:C83,2))</f>
        <v/>
      </c>
      <c r="AL80" s="270"/>
      <c r="AM80" s="270"/>
      <c r="AN80" s="575"/>
      <c r="AO80" s="270"/>
      <c r="AP80" s="271"/>
      <c r="AQ80" s="271"/>
      <c r="AR80" s="271"/>
      <c r="AS80" s="271"/>
      <c r="AT80" s="271"/>
      <c r="AU80" s="271"/>
      <c r="AV80" s="271"/>
      <c r="AW80" s="271"/>
      <c r="AX80" s="271"/>
      <c r="AY80" s="271"/>
      <c r="AZ80" s="271"/>
      <c r="BA80" s="271"/>
      <c r="BB80" s="271"/>
      <c r="BC80" s="271"/>
      <c r="BD80" s="271"/>
      <c r="BE80" s="271"/>
      <c r="BF80" s="271"/>
      <c r="BG80" s="271"/>
      <c r="BH80" s="271"/>
      <c r="BI80" s="271"/>
      <c r="BJ80" s="271"/>
      <c r="BK80" s="271"/>
      <c r="BL80" s="271"/>
      <c r="BM80" s="271"/>
      <c r="BN80" s="271"/>
      <c r="BO80" s="271"/>
      <c r="BP80" s="271"/>
      <c r="BQ80" s="271"/>
      <c r="BR80" s="271"/>
      <c r="BS80" s="271"/>
      <c r="BT80" s="271"/>
      <c r="BU80" s="271"/>
      <c r="BV80" s="271"/>
      <c r="BW80" s="271"/>
      <c r="BX80" s="271"/>
      <c r="BY80" s="271"/>
      <c r="BZ80" s="1395"/>
      <c r="CA80" s="1450"/>
      <c r="CB80" s="1450"/>
      <c r="CC80" s="270"/>
      <c r="CD80" s="270"/>
      <c r="CE80"/>
    </row>
    <row r="81" spans="1:83" outlineLevel="2" x14ac:dyDescent="0.2">
      <c r="A81" s="270"/>
      <c r="B81" s="271"/>
      <c r="C81" s="270"/>
      <c r="D81" s="270"/>
      <c r="E81" s="270"/>
      <c r="F81" s="270"/>
      <c r="G81" s="271"/>
      <c r="H81" s="271"/>
      <c r="I81" s="271"/>
      <c r="J81" s="270"/>
      <c r="K81" s="270"/>
      <c r="L81" s="270"/>
      <c r="M81" s="270"/>
      <c r="N81" s="270"/>
      <c r="O81" s="270"/>
      <c r="P81" s="270"/>
      <c r="Q81" s="270"/>
      <c r="R81" s="558" t="s">
        <v>1740</v>
      </c>
      <c r="S81" s="611"/>
      <c r="T81" s="617"/>
      <c r="U81" s="1502"/>
      <c r="V81" s="455" t="str">
        <f>IF(G72="","",G72)</f>
        <v>A4</v>
      </c>
      <c r="W81" s="456"/>
      <c r="X81" s="457" t="s">
        <v>769</v>
      </c>
      <c r="Y81" s="456"/>
      <c r="Z81" s="458" t="str">
        <f>IF(G70="","",G70)</f>
        <v>A2</v>
      </c>
      <c r="AA81" s="839"/>
      <c r="AB81" s="1459">
        <f t="shared" si="42"/>
        <v>0</v>
      </c>
      <c r="AC81" s="1460" t="str">
        <f t="shared" si="43"/>
        <v>-</v>
      </c>
      <c r="AD81" s="1459">
        <f t="shared" si="44"/>
        <v>0</v>
      </c>
      <c r="AE81" s="968" t="str">
        <f t="shared" si="45"/>
        <v/>
      </c>
      <c r="AF81" s="968" t="str">
        <f t="shared" si="46"/>
        <v/>
      </c>
      <c r="AG81" s="968" t="str">
        <f t="shared" si="47"/>
        <v/>
      </c>
      <c r="AH81" s="968" t="str">
        <f t="shared" si="48"/>
        <v/>
      </c>
      <c r="AI81" s="968" t="str">
        <f t="shared" si="49"/>
        <v/>
      </c>
      <c r="AJ81" s="968"/>
      <c r="AK81" s="968" t="str">
        <f>IF(AK78="","",SMALL(C79:C83,3))</f>
        <v/>
      </c>
      <c r="AL81" s="270"/>
      <c r="AM81" s="270"/>
      <c r="AN81" s="575"/>
      <c r="AO81" s="270"/>
      <c r="AP81" s="271"/>
      <c r="AQ81" s="271"/>
      <c r="AR81" s="271"/>
      <c r="AS81" s="271"/>
      <c r="AT81" s="271"/>
      <c r="AU81" s="271"/>
      <c r="AV81" s="271"/>
      <c r="AW81" s="271"/>
      <c r="AX81" s="271"/>
      <c r="AY81" s="271"/>
      <c r="AZ81" s="271"/>
      <c r="BA81" s="271"/>
      <c r="BB81" s="271"/>
      <c r="BC81" s="271"/>
      <c r="BD81" s="271"/>
      <c r="BE81" s="271"/>
      <c r="BF81" s="271"/>
      <c r="BG81" s="271"/>
      <c r="BH81" s="271"/>
      <c r="BI81" s="271"/>
      <c r="BJ81" s="271"/>
      <c r="BK81" s="271"/>
      <c r="BL81" s="271"/>
      <c r="BM81" s="271"/>
      <c r="BN81" s="271"/>
      <c r="BO81" s="271"/>
      <c r="BP81" s="271"/>
      <c r="BQ81" s="271"/>
      <c r="BR81" s="271"/>
      <c r="BS81" s="271"/>
      <c r="BT81" s="271"/>
      <c r="BU81" s="271"/>
      <c r="BV81" s="271"/>
      <c r="BW81" s="271"/>
      <c r="BX81" s="271"/>
      <c r="BY81" s="271"/>
      <c r="BZ81" s="1395"/>
      <c r="CA81" s="1450"/>
      <c r="CB81" s="1450"/>
      <c r="CC81" s="270"/>
      <c r="CD81" s="270"/>
      <c r="CE81"/>
    </row>
    <row r="82" spans="1:83" ht="13.5" outlineLevel="2" thickBot="1" x14ac:dyDescent="0.25">
      <c r="A82" s="270"/>
      <c r="B82" s="271"/>
      <c r="C82" s="270"/>
      <c r="D82" s="270"/>
      <c r="E82" s="270"/>
      <c r="F82" s="270"/>
      <c r="G82" s="271"/>
      <c r="H82" s="271"/>
      <c r="I82" s="271"/>
      <c r="J82" s="270"/>
      <c r="K82" s="270"/>
      <c r="L82" s="270"/>
      <c r="M82" s="270"/>
      <c r="N82" s="270"/>
      <c r="O82" s="270"/>
      <c r="P82" s="270"/>
      <c r="Q82" s="270"/>
      <c r="R82" s="558" t="s">
        <v>1740</v>
      </c>
      <c r="S82" s="615"/>
      <c r="T82" s="619"/>
      <c r="U82" s="1503"/>
      <c r="V82" s="461" t="str">
        <f>IF(G73="","",G73)</f>
        <v>A5</v>
      </c>
      <c r="W82" s="450"/>
      <c r="X82" s="462" t="s">
        <v>769</v>
      </c>
      <c r="Y82" s="450"/>
      <c r="Z82" s="463" t="str">
        <f>IF(G71="","",G71)</f>
        <v>A3</v>
      </c>
      <c r="AA82" s="839"/>
      <c r="AB82" s="1459">
        <f t="shared" si="42"/>
        <v>0</v>
      </c>
      <c r="AC82" s="1460" t="str">
        <f t="shared" si="43"/>
        <v>-</v>
      </c>
      <c r="AD82" s="1459">
        <f t="shared" si="44"/>
        <v>0</v>
      </c>
      <c r="AE82" s="968" t="str">
        <f t="shared" si="45"/>
        <v/>
      </c>
      <c r="AF82" s="968" t="str">
        <f t="shared" si="46"/>
        <v/>
      </c>
      <c r="AG82" s="968" t="str">
        <f t="shared" si="47"/>
        <v/>
      </c>
      <c r="AH82" s="968" t="str">
        <f t="shared" si="48"/>
        <v/>
      </c>
      <c r="AI82" s="968" t="str">
        <f t="shared" si="49"/>
        <v/>
      </c>
      <c r="AJ82" s="968"/>
      <c r="AK82" s="968" t="str">
        <f>IF(AK78="","",SMALL(C79:C83,4))</f>
        <v/>
      </c>
      <c r="AL82" s="270"/>
      <c r="AM82" s="270"/>
      <c r="AN82" s="575"/>
      <c r="AO82" s="270"/>
      <c r="AP82" s="271"/>
      <c r="AQ82" s="271"/>
      <c r="AR82" s="271"/>
      <c r="AS82" s="271"/>
      <c r="AT82" s="271"/>
      <c r="AU82" s="271"/>
      <c r="AV82" s="271"/>
      <c r="AW82" s="271"/>
      <c r="AX82" s="271"/>
      <c r="AY82" s="271"/>
      <c r="AZ82" s="271"/>
      <c r="BA82" s="271"/>
      <c r="BB82" s="271"/>
      <c r="BC82" s="271"/>
      <c r="BD82" s="271"/>
      <c r="BE82" s="271"/>
      <c r="BF82" s="271"/>
      <c r="BG82" s="271"/>
      <c r="BH82" s="271"/>
      <c r="BI82" s="271"/>
      <c r="BJ82" s="271"/>
      <c r="BK82" s="271"/>
      <c r="BL82" s="271"/>
      <c r="BM82" s="271"/>
      <c r="BN82" s="271"/>
      <c r="BO82" s="271"/>
      <c r="BP82" s="271"/>
      <c r="BQ82" s="271"/>
      <c r="BR82" s="271"/>
      <c r="BS82" s="271"/>
      <c r="BT82" s="271"/>
      <c r="BU82" s="271"/>
      <c r="BV82" s="271"/>
      <c r="BW82" s="271"/>
      <c r="BX82" s="271"/>
      <c r="BY82" s="271"/>
      <c r="BZ82" s="1395"/>
      <c r="CA82" s="1450"/>
      <c r="CB82" s="1450"/>
      <c r="CC82" s="270"/>
      <c r="CD82" s="270"/>
      <c r="CE82"/>
    </row>
    <row r="83" spans="1:83" outlineLevel="2" x14ac:dyDescent="0.2">
      <c r="A83" s="270"/>
      <c r="B83" s="271"/>
      <c r="C83" s="270"/>
      <c r="D83" s="270"/>
      <c r="E83" s="270"/>
      <c r="F83" s="270"/>
      <c r="G83" s="271"/>
      <c r="H83" s="271"/>
      <c r="I83" s="271"/>
      <c r="J83" s="270"/>
      <c r="K83" s="270"/>
      <c r="L83" s="270"/>
      <c r="M83" s="270"/>
      <c r="N83" s="270"/>
      <c r="O83" s="270"/>
      <c r="P83" s="270"/>
      <c r="Q83" s="270"/>
      <c r="R83" s="558" t="s">
        <v>930</v>
      </c>
      <c r="S83" s="611"/>
      <c r="T83" s="621"/>
      <c r="U83" s="1504"/>
      <c r="V83" s="455" t="str">
        <f>IF(G69="","",G69)</f>
        <v>A1</v>
      </c>
      <c r="W83" s="456"/>
      <c r="X83" s="457" t="s">
        <v>769</v>
      </c>
      <c r="Y83" s="456"/>
      <c r="Z83" s="458" t="str">
        <f>IF(G72="","",G72)</f>
        <v>A4</v>
      </c>
      <c r="AA83" s="839"/>
      <c r="AB83" s="1459">
        <f t="shared" si="42"/>
        <v>0</v>
      </c>
      <c r="AC83" s="1460" t="str">
        <f t="shared" si="43"/>
        <v>-</v>
      </c>
      <c r="AD83" s="1459">
        <f t="shared" si="44"/>
        <v>0</v>
      </c>
      <c r="AE83" s="968" t="str">
        <f t="shared" si="45"/>
        <v/>
      </c>
      <c r="AF83" s="968" t="str">
        <f t="shared" si="46"/>
        <v/>
      </c>
      <c r="AG83" s="968" t="str">
        <f t="shared" si="47"/>
        <v/>
      </c>
      <c r="AH83" s="968" t="str">
        <f t="shared" si="48"/>
        <v/>
      </c>
      <c r="AI83" s="968" t="str">
        <f t="shared" si="49"/>
        <v/>
      </c>
      <c r="AJ83" s="968"/>
      <c r="AK83" s="968" t="str">
        <f>IF(AK78="","",SMALL(C79:C83,5))</f>
        <v/>
      </c>
      <c r="AL83" s="270"/>
      <c r="AM83" s="270"/>
      <c r="AN83" s="575"/>
      <c r="AO83" s="270"/>
      <c r="AP83" s="271"/>
      <c r="AQ83" s="271"/>
      <c r="AR83" s="271"/>
      <c r="AS83" s="271"/>
      <c r="AT83" s="271"/>
      <c r="AU83" s="271"/>
      <c r="AV83" s="271"/>
      <c r="AW83" s="271"/>
      <c r="AX83" s="271"/>
      <c r="AY83" s="271"/>
      <c r="AZ83" s="271"/>
      <c r="BA83" s="271"/>
      <c r="BB83" s="271"/>
      <c r="BC83" s="271"/>
      <c r="BD83" s="271"/>
      <c r="BE83" s="271"/>
      <c r="BF83" s="271"/>
      <c r="BG83" s="271"/>
      <c r="BH83" s="271"/>
      <c r="BI83" s="271"/>
      <c r="BJ83" s="271"/>
      <c r="BK83" s="271"/>
      <c r="BL83" s="271"/>
      <c r="BM83" s="271"/>
      <c r="BN83" s="271"/>
      <c r="BO83" s="271"/>
      <c r="BP83" s="271"/>
      <c r="BQ83" s="271"/>
      <c r="BR83" s="271"/>
      <c r="BS83" s="271"/>
      <c r="BT83" s="271"/>
      <c r="BU83" s="271"/>
      <c r="BV83" s="271"/>
      <c r="BW83" s="271"/>
      <c r="BX83" s="271"/>
      <c r="BY83" s="271"/>
      <c r="BZ83" s="1395"/>
      <c r="CA83" s="1450"/>
      <c r="CB83" s="1450"/>
      <c r="CC83" s="270"/>
      <c r="CD83" s="270"/>
      <c r="CE83"/>
    </row>
    <row r="84" spans="1:83" ht="13.5" outlineLevel="2" thickBot="1" x14ac:dyDescent="0.25">
      <c r="A84" s="270"/>
      <c r="B84" s="271"/>
      <c r="C84" s="270"/>
      <c r="D84" s="270"/>
      <c r="E84" s="270"/>
      <c r="F84" s="270"/>
      <c r="G84" s="271"/>
      <c r="H84" s="271"/>
      <c r="I84" s="271"/>
      <c r="J84" s="270"/>
      <c r="K84" s="270"/>
      <c r="L84" s="270"/>
      <c r="M84" s="270"/>
      <c r="N84" s="270"/>
      <c r="O84" s="270"/>
      <c r="P84" s="270"/>
      <c r="Q84" s="270"/>
      <c r="R84" s="558" t="s">
        <v>930</v>
      </c>
      <c r="S84" s="615"/>
      <c r="T84" s="619"/>
      <c r="U84" s="1503"/>
      <c r="V84" s="461" t="str">
        <f>IF(G70="","",G70)</f>
        <v>A2</v>
      </c>
      <c r="W84" s="450"/>
      <c r="X84" s="462" t="s">
        <v>769</v>
      </c>
      <c r="Y84" s="450"/>
      <c r="Z84" s="463" t="str">
        <f>IF(G73="","",G73)</f>
        <v>A5</v>
      </c>
      <c r="AA84" s="839"/>
      <c r="AB84" s="1459">
        <f t="shared" si="42"/>
        <v>0</v>
      </c>
      <c r="AC84" s="1460" t="str">
        <f t="shared" si="43"/>
        <v>-</v>
      </c>
      <c r="AD84" s="1459">
        <f t="shared" si="44"/>
        <v>0</v>
      </c>
      <c r="AE84" s="968" t="str">
        <f t="shared" si="45"/>
        <v/>
      </c>
      <c r="AF84" s="968" t="str">
        <f t="shared" si="46"/>
        <v/>
      </c>
      <c r="AG84" s="968" t="str">
        <f t="shared" si="47"/>
        <v/>
      </c>
      <c r="AH84" s="968" t="str">
        <f t="shared" si="48"/>
        <v/>
      </c>
      <c r="AI84" s="968" t="str">
        <f t="shared" si="49"/>
        <v/>
      </c>
      <c r="AJ84" s="968"/>
      <c r="AK84" s="968"/>
      <c r="AL84" s="270"/>
      <c r="AM84" s="270"/>
      <c r="AN84" s="575"/>
      <c r="AO84" s="270"/>
      <c r="AP84" s="271"/>
      <c r="AQ84" s="271"/>
      <c r="AR84" s="271"/>
      <c r="AS84" s="271"/>
      <c r="AT84" s="271"/>
      <c r="AU84" s="271"/>
      <c r="AV84" s="271"/>
      <c r="AW84" s="271"/>
      <c r="AX84" s="271"/>
      <c r="AY84" s="271"/>
      <c r="AZ84" s="271"/>
      <c r="BA84" s="271"/>
      <c r="BB84" s="271"/>
      <c r="BC84" s="271"/>
      <c r="BD84" s="271"/>
      <c r="BE84" s="271"/>
      <c r="BF84" s="271"/>
      <c r="BG84" s="271"/>
      <c r="BH84" s="271"/>
      <c r="BI84" s="271"/>
      <c r="BJ84" s="271"/>
      <c r="BK84" s="271"/>
      <c r="BL84" s="271"/>
      <c r="BM84" s="271"/>
      <c r="BN84" s="271"/>
      <c r="BO84" s="271"/>
      <c r="BP84" s="271"/>
      <c r="BQ84" s="271"/>
      <c r="BR84" s="271"/>
      <c r="BS84" s="271"/>
      <c r="BT84" s="271"/>
      <c r="BU84" s="271"/>
      <c r="BV84" s="271"/>
      <c r="BW84" s="271"/>
      <c r="BX84" s="271"/>
      <c r="BY84" s="271"/>
      <c r="BZ84" s="1395"/>
      <c r="CA84" s="1450"/>
      <c r="CB84" s="1450"/>
      <c r="CC84" s="270"/>
      <c r="CD84" s="270"/>
      <c r="CE84"/>
    </row>
    <row r="85" spans="1:83" outlineLevel="2" x14ac:dyDescent="0.2">
      <c r="A85" s="270"/>
      <c r="B85" s="271"/>
      <c r="C85" s="270"/>
      <c r="D85" s="270"/>
      <c r="E85" s="270"/>
      <c r="F85" s="270"/>
      <c r="G85" s="271"/>
      <c r="H85" s="271"/>
      <c r="I85" s="271"/>
      <c r="J85" s="270"/>
      <c r="K85" s="270"/>
      <c r="L85" s="270"/>
      <c r="M85" s="270"/>
      <c r="N85" s="270"/>
      <c r="O85" s="270"/>
      <c r="P85" s="270"/>
      <c r="Q85" s="270"/>
      <c r="R85" s="558" t="s">
        <v>3971</v>
      </c>
      <c r="S85" s="611"/>
      <c r="T85" s="617"/>
      <c r="U85" s="1502"/>
      <c r="V85" s="455" t="str">
        <f>IF(G71="","",G71)</f>
        <v>A3</v>
      </c>
      <c r="W85" s="456"/>
      <c r="X85" s="457" t="s">
        <v>769</v>
      </c>
      <c r="Y85" s="456"/>
      <c r="Z85" s="458" t="str">
        <f>IF(G69="","",G69)</f>
        <v>A1</v>
      </c>
      <c r="AA85" s="839"/>
      <c r="AB85" s="1459">
        <f t="shared" si="42"/>
        <v>0</v>
      </c>
      <c r="AC85" s="1460" t="str">
        <f t="shared" si="43"/>
        <v>-</v>
      </c>
      <c r="AD85" s="1459">
        <f t="shared" si="44"/>
        <v>0</v>
      </c>
      <c r="AE85" s="968" t="str">
        <f t="shared" si="45"/>
        <v/>
      </c>
      <c r="AF85" s="968" t="str">
        <f t="shared" si="46"/>
        <v/>
      </c>
      <c r="AG85" s="968" t="str">
        <f t="shared" si="47"/>
        <v/>
      </c>
      <c r="AH85" s="968" t="str">
        <f t="shared" si="48"/>
        <v/>
      </c>
      <c r="AI85" s="968" t="str">
        <f t="shared" si="49"/>
        <v/>
      </c>
      <c r="AJ85" s="968"/>
      <c r="AK85" s="968"/>
      <c r="AL85" s="270"/>
      <c r="AM85" s="270"/>
      <c r="AN85" s="575"/>
      <c r="AO85" s="270"/>
      <c r="AP85" s="271"/>
      <c r="AQ85" s="271"/>
      <c r="AR85" s="271"/>
      <c r="AS85" s="271"/>
      <c r="AT85" s="271"/>
      <c r="AU85" s="271"/>
      <c r="AV85" s="271"/>
      <c r="AW85" s="271"/>
      <c r="AX85" s="271"/>
      <c r="AY85" s="271"/>
      <c r="AZ85" s="271"/>
      <c r="BA85" s="271"/>
      <c r="BB85" s="271"/>
      <c r="BC85" s="271"/>
      <c r="BD85" s="271"/>
      <c r="BE85" s="271"/>
      <c r="BF85" s="271"/>
      <c r="BG85" s="271"/>
      <c r="BH85" s="271"/>
      <c r="BI85" s="271"/>
      <c r="BJ85" s="271"/>
      <c r="BK85" s="271"/>
      <c r="BL85" s="271"/>
      <c r="BM85" s="271"/>
      <c r="BN85" s="271"/>
      <c r="BO85" s="271"/>
      <c r="BP85" s="271"/>
      <c r="BQ85" s="271"/>
      <c r="BR85" s="271"/>
      <c r="BS85" s="271"/>
      <c r="BT85" s="271"/>
      <c r="BU85" s="271"/>
      <c r="BV85" s="271"/>
      <c r="BW85" s="271"/>
      <c r="BX85" s="271"/>
      <c r="BY85" s="271"/>
      <c r="BZ85" s="1395"/>
      <c r="CA85" s="1450"/>
      <c r="CB85" s="1450"/>
      <c r="CC85" s="270"/>
      <c r="CD85" s="270"/>
      <c r="CE85"/>
    </row>
    <row r="86" spans="1:83" ht="13.5" outlineLevel="2" thickBot="1" x14ac:dyDescent="0.25">
      <c r="A86" s="270"/>
      <c r="B86" s="271"/>
      <c r="C86" s="270"/>
      <c r="D86" s="270"/>
      <c r="E86" s="270"/>
      <c r="F86" s="270"/>
      <c r="G86" s="271"/>
      <c r="H86" s="271"/>
      <c r="I86" s="271"/>
      <c r="J86" s="270"/>
      <c r="K86" s="270"/>
      <c r="L86" s="270"/>
      <c r="M86" s="270"/>
      <c r="N86" s="270"/>
      <c r="O86" s="270"/>
      <c r="P86" s="270"/>
      <c r="Q86" s="270"/>
      <c r="R86" s="558" t="s">
        <v>3971</v>
      </c>
      <c r="S86" s="615"/>
      <c r="T86" s="619"/>
      <c r="U86" s="1503"/>
      <c r="V86" s="461" t="str">
        <f>IF(G73="","",G73)</f>
        <v>A5</v>
      </c>
      <c r="W86" s="450"/>
      <c r="X86" s="462" t="s">
        <v>769</v>
      </c>
      <c r="Y86" s="450"/>
      <c r="Z86" s="463" t="str">
        <f>IF(G72="","",G72)</f>
        <v>A4</v>
      </c>
      <c r="AA86" s="839"/>
      <c r="AB86" s="1459">
        <f t="shared" si="42"/>
        <v>0</v>
      </c>
      <c r="AC86" s="1460" t="str">
        <f t="shared" si="43"/>
        <v>-</v>
      </c>
      <c r="AD86" s="1459">
        <f t="shared" si="44"/>
        <v>0</v>
      </c>
      <c r="AE86" s="968" t="str">
        <f t="shared" si="45"/>
        <v/>
      </c>
      <c r="AF86" s="968" t="str">
        <f t="shared" si="46"/>
        <v/>
      </c>
      <c r="AG86" s="968" t="str">
        <f t="shared" si="47"/>
        <v/>
      </c>
      <c r="AH86" s="968" t="str">
        <f t="shared" si="48"/>
        <v/>
      </c>
      <c r="AI86" s="968" t="str">
        <f t="shared" si="49"/>
        <v/>
      </c>
      <c r="AJ86" s="968"/>
      <c r="AK86" s="968"/>
      <c r="AL86" s="270"/>
      <c r="AM86" s="270"/>
      <c r="AN86" s="575"/>
      <c r="AO86" s="270"/>
      <c r="AP86" s="271"/>
      <c r="AQ86" s="271"/>
      <c r="AR86" s="271"/>
      <c r="AS86" s="271"/>
      <c r="AT86" s="271"/>
      <c r="AU86" s="271"/>
      <c r="AV86" s="271"/>
      <c r="AW86" s="271"/>
      <c r="AX86" s="271"/>
      <c r="AY86" s="271"/>
      <c r="AZ86" s="271"/>
      <c r="BA86" s="271"/>
      <c r="BB86" s="271"/>
      <c r="BC86" s="271"/>
      <c r="BD86" s="271"/>
      <c r="BE86" s="271"/>
      <c r="BF86" s="271"/>
      <c r="BG86" s="271"/>
      <c r="BH86" s="271"/>
      <c r="BI86" s="271"/>
      <c r="BJ86" s="271"/>
      <c r="BK86" s="271"/>
      <c r="BL86" s="271"/>
      <c r="BM86" s="271"/>
      <c r="BN86" s="271"/>
      <c r="BO86" s="271"/>
      <c r="BP86" s="271"/>
      <c r="BQ86" s="271"/>
      <c r="BR86" s="271"/>
      <c r="BS86" s="271"/>
      <c r="BT86" s="271"/>
      <c r="BU86" s="271"/>
      <c r="BV86" s="271"/>
      <c r="BW86" s="271"/>
      <c r="BX86" s="271"/>
      <c r="BY86" s="271"/>
      <c r="BZ86" s="1395"/>
      <c r="CA86" s="1450"/>
      <c r="CB86" s="1450"/>
      <c r="CC86" s="270"/>
      <c r="CD86" s="270"/>
      <c r="CE86"/>
    </row>
    <row r="87" spans="1:83" outlineLevel="2" x14ac:dyDescent="0.2">
      <c r="A87" s="270"/>
      <c r="B87" s="271"/>
      <c r="C87" s="270"/>
      <c r="D87" s="270"/>
      <c r="E87" s="270"/>
      <c r="F87" s="270"/>
      <c r="G87" s="271"/>
      <c r="H87" s="271"/>
      <c r="I87" s="271"/>
      <c r="J87" s="270"/>
      <c r="K87" s="270"/>
      <c r="L87" s="270"/>
      <c r="M87" s="270"/>
      <c r="N87" s="270"/>
      <c r="O87" s="270"/>
      <c r="P87" s="270"/>
      <c r="Q87" s="270"/>
      <c r="R87" s="558" t="s">
        <v>3972</v>
      </c>
      <c r="S87" s="611"/>
      <c r="T87" s="621"/>
      <c r="U87" s="1504"/>
      <c r="V87" s="464" t="str">
        <f>IF(G70="","",G70)</f>
        <v>A2</v>
      </c>
      <c r="W87" s="465"/>
      <c r="X87" s="466" t="s">
        <v>769</v>
      </c>
      <c r="Y87" s="465"/>
      <c r="Z87" s="467" t="str">
        <f>IF(G69="","",G69)</f>
        <v>A1</v>
      </c>
      <c r="AA87" s="839"/>
      <c r="AB87" s="1459">
        <f t="shared" si="42"/>
        <v>0</v>
      </c>
      <c r="AC87" s="1460" t="str">
        <f t="shared" si="43"/>
        <v>-</v>
      </c>
      <c r="AD87" s="1459">
        <f t="shared" si="44"/>
        <v>0</v>
      </c>
      <c r="AE87" s="968" t="str">
        <f t="shared" si="45"/>
        <v/>
      </c>
      <c r="AF87" s="968" t="str">
        <f t="shared" si="46"/>
        <v/>
      </c>
      <c r="AG87" s="968" t="str">
        <f t="shared" si="47"/>
        <v/>
      </c>
      <c r="AH87" s="968" t="str">
        <f t="shared" si="48"/>
        <v/>
      </c>
      <c r="AI87" s="968" t="str">
        <f t="shared" si="49"/>
        <v/>
      </c>
      <c r="AJ87" s="968"/>
      <c r="AK87" s="968"/>
      <c r="AL87" s="270"/>
      <c r="AM87" s="270"/>
      <c r="AN87" s="575"/>
      <c r="AO87" s="270"/>
      <c r="AP87" s="271"/>
      <c r="AQ87" s="271"/>
      <c r="AR87" s="271"/>
      <c r="AS87" s="271"/>
      <c r="AT87" s="271"/>
      <c r="AU87" s="271"/>
      <c r="AV87" s="271"/>
      <c r="AW87" s="271"/>
      <c r="AX87" s="271"/>
      <c r="AY87" s="271"/>
      <c r="AZ87" s="271"/>
      <c r="BA87" s="271"/>
      <c r="BB87" s="271"/>
      <c r="BC87" s="271"/>
      <c r="BD87" s="271"/>
      <c r="BE87" s="271"/>
      <c r="BF87" s="271"/>
      <c r="BG87" s="271"/>
      <c r="BH87" s="271"/>
      <c r="BI87" s="271"/>
      <c r="BJ87" s="271"/>
      <c r="BK87" s="271"/>
      <c r="BL87" s="271"/>
      <c r="BM87" s="271"/>
      <c r="BN87" s="271"/>
      <c r="BO87" s="271"/>
      <c r="BP87" s="271"/>
      <c r="BQ87" s="271"/>
      <c r="BR87" s="271"/>
      <c r="BS87" s="271"/>
      <c r="BT87" s="271"/>
      <c r="BU87" s="271"/>
      <c r="BV87" s="271"/>
      <c r="BW87" s="271"/>
      <c r="BX87" s="271"/>
      <c r="BY87" s="271"/>
      <c r="BZ87" s="1395"/>
      <c r="CA87" s="1450"/>
      <c r="CB87" s="1450"/>
      <c r="CC87" s="270"/>
      <c r="CD87" s="270"/>
      <c r="CE87"/>
    </row>
    <row r="88" spans="1:83" ht="13.5" outlineLevel="2" thickBot="1" x14ac:dyDescent="0.25">
      <c r="A88" s="270"/>
      <c r="B88" s="271"/>
      <c r="C88" s="270"/>
      <c r="D88" s="270"/>
      <c r="E88" s="270"/>
      <c r="F88" s="270"/>
      <c r="G88" s="271"/>
      <c r="H88" s="271"/>
      <c r="I88" s="271"/>
      <c r="J88" s="270"/>
      <c r="K88" s="270"/>
      <c r="L88" s="270"/>
      <c r="M88" s="270"/>
      <c r="N88" s="270"/>
      <c r="O88" s="270"/>
      <c r="P88" s="270"/>
      <c r="Q88" s="270"/>
      <c r="R88" s="558" t="s">
        <v>3972</v>
      </c>
      <c r="S88" s="615"/>
      <c r="T88" s="619"/>
      <c r="U88" s="1503"/>
      <c r="V88" s="461" t="str">
        <f>IF(G72="","",G72)</f>
        <v>A4</v>
      </c>
      <c r="W88" s="450"/>
      <c r="X88" s="462" t="s">
        <v>769</v>
      </c>
      <c r="Y88" s="450"/>
      <c r="Z88" s="463" t="str">
        <f>IF(G71="","",G71)</f>
        <v>A3</v>
      </c>
      <c r="AA88" s="839"/>
      <c r="AB88" s="1459">
        <f t="shared" si="42"/>
        <v>0</v>
      </c>
      <c r="AC88" s="1460" t="str">
        <f t="shared" si="43"/>
        <v>-</v>
      </c>
      <c r="AD88" s="1459">
        <f t="shared" si="44"/>
        <v>0</v>
      </c>
      <c r="AE88" s="968" t="str">
        <f t="shared" si="45"/>
        <v/>
      </c>
      <c r="AF88" s="968" t="str">
        <f t="shared" si="46"/>
        <v/>
      </c>
      <c r="AG88" s="968" t="str">
        <f t="shared" si="47"/>
        <v/>
      </c>
      <c r="AH88" s="968" t="str">
        <f t="shared" si="48"/>
        <v/>
      </c>
      <c r="AI88" s="968" t="str">
        <f t="shared" si="49"/>
        <v/>
      </c>
      <c r="AJ88" s="968"/>
      <c r="AK88" s="968"/>
      <c r="AL88" s="270"/>
      <c r="AM88" s="270"/>
      <c r="AN88" s="575"/>
      <c r="AO88" s="270"/>
      <c r="AP88" s="271"/>
      <c r="AQ88" s="271"/>
      <c r="AR88" s="271"/>
      <c r="AS88" s="271"/>
      <c r="AT88" s="271"/>
      <c r="AU88" s="271"/>
      <c r="AV88" s="271"/>
      <c r="AW88" s="271"/>
      <c r="AX88" s="271"/>
      <c r="AY88" s="271"/>
      <c r="AZ88" s="271"/>
      <c r="BA88" s="271"/>
      <c r="BB88" s="271"/>
      <c r="BC88" s="271"/>
      <c r="BD88" s="271"/>
      <c r="BE88" s="271"/>
      <c r="BF88" s="271"/>
      <c r="BG88" s="271"/>
      <c r="BH88" s="271"/>
      <c r="BI88" s="271"/>
      <c r="BJ88" s="271"/>
      <c r="BK88" s="271"/>
      <c r="BL88" s="271"/>
      <c r="BM88" s="271"/>
      <c r="BN88" s="271"/>
      <c r="BO88" s="271"/>
      <c r="BP88" s="271"/>
      <c r="BQ88" s="271"/>
      <c r="BR88" s="271"/>
      <c r="BS88" s="271"/>
      <c r="BT88" s="271"/>
      <c r="BU88" s="271"/>
      <c r="BV88" s="271"/>
      <c r="BW88" s="271"/>
      <c r="BX88" s="271"/>
      <c r="BY88" s="271"/>
      <c r="BZ88" s="1395"/>
      <c r="CA88" s="1450"/>
      <c r="CB88" s="1450"/>
      <c r="CC88" s="270"/>
      <c r="CD88" s="270"/>
      <c r="CE88"/>
    </row>
    <row r="89" spans="1:83" outlineLevel="1" x14ac:dyDescent="0.2">
      <c r="A89"/>
      <c r="B89" s="1"/>
      <c r="C89"/>
      <c r="D89"/>
      <c r="E89"/>
      <c r="F89"/>
      <c r="G89" s="1"/>
      <c r="H89" s="1"/>
      <c r="I89" s="1"/>
      <c r="J89"/>
      <c r="K89"/>
      <c r="L89"/>
      <c r="M89"/>
      <c r="N89"/>
      <c r="O89"/>
      <c r="P89"/>
      <c r="Q89"/>
      <c r="R89" s="334"/>
      <c r="S89" s="1"/>
      <c r="T89" s="1"/>
      <c r="U89"/>
      <c r="V89" s="6"/>
      <c r="W89" s="1"/>
      <c r="X89" s="1"/>
      <c r="Y89" s="1"/>
      <c r="Z89" s="16"/>
      <c r="AA89" s="123"/>
      <c r="AB89" s="963"/>
      <c r="AC89" s="963"/>
      <c r="AD89" s="963"/>
      <c r="AE89" s="964"/>
      <c r="AF89" s="964"/>
      <c r="AG89" s="964"/>
      <c r="AH89" s="964"/>
      <c r="AI89" s="964"/>
      <c r="AJ89" s="964"/>
      <c r="AK89" s="964"/>
      <c r="AL89"/>
      <c r="AM89"/>
      <c r="AO89"/>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395"/>
      <c r="CA89" s="1450"/>
      <c r="CB89" s="1450"/>
      <c r="CC89"/>
      <c r="CD89"/>
      <c r="CE89"/>
    </row>
    <row r="90" spans="1:83" ht="13.5" thickBot="1" x14ac:dyDescent="0.25">
      <c r="A90"/>
      <c r="B90" s="1"/>
      <c r="C90"/>
      <c r="D90"/>
      <c r="E90"/>
      <c r="F90"/>
      <c r="G90" s="1"/>
      <c r="H90" s="1"/>
      <c r="I90" s="1"/>
      <c r="J90"/>
      <c r="K90"/>
      <c r="L90"/>
      <c r="M90"/>
      <c r="N90"/>
      <c r="O90"/>
      <c r="P90"/>
      <c r="Q90"/>
      <c r="R90" s="334"/>
      <c r="S90" s="1"/>
      <c r="T90" s="1"/>
      <c r="U90"/>
      <c r="V90" s="6"/>
      <c r="W90" s="1"/>
      <c r="X90" s="1"/>
      <c r="Y90" s="1"/>
      <c r="Z90" s="16"/>
      <c r="AA90" s="123"/>
      <c r="AB90" s="963"/>
      <c r="AC90" s="963"/>
      <c r="AD90" s="963"/>
      <c r="AE90" s="964"/>
      <c r="AF90" s="964"/>
      <c r="AG90" s="964"/>
      <c r="AH90" s="964"/>
      <c r="AI90" s="964"/>
      <c r="AJ90" s="964"/>
      <c r="AK90" s="964"/>
      <c r="AL90"/>
      <c r="AM90"/>
      <c r="AO90"/>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395"/>
      <c r="CA90" s="1450"/>
      <c r="CB90" s="1450"/>
      <c r="CC90"/>
      <c r="CD90"/>
      <c r="CE90"/>
    </row>
    <row r="91" spans="1:83" ht="13.5" thickBot="1" x14ac:dyDescent="0.25">
      <c r="A91"/>
      <c r="B91" s="282" t="str">
        <f>N_Group_6</f>
        <v>Poule de 6</v>
      </c>
      <c r="C91" s="283"/>
      <c r="D91" s="283"/>
      <c r="E91" s="283"/>
      <c r="F91" s="283"/>
      <c r="G91" s="283"/>
      <c r="H91" s="283"/>
      <c r="I91" s="283"/>
      <c r="J91" s="283"/>
      <c r="K91" s="283"/>
      <c r="L91" s="283"/>
      <c r="M91" s="283"/>
      <c r="N91" s="283"/>
      <c r="O91" s="283"/>
      <c r="P91" s="283"/>
      <c r="Q91" s="283"/>
      <c r="R91" s="357"/>
      <c r="S91" s="283"/>
      <c r="T91" s="283"/>
      <c r="U91" s="283"/>
      <c r="V91" s="283"/>
      <c r="W91" s="992"/>
      <c r="X91" s="992"/>
      <c r="Y91" s="992"/>
      <c r="Z91" s="283"/>
      <c r="AA91" s="283"/>
      <c r="AB91" s="965"/>
      <c r="AC91" s="965"/>
      <c r="AD91" s="965"/>
      <c r="AE91" s="966"/>
      <c r="AF91" s="966"/>
      <c r="AG91" s="966"/>
      <c r="AH91" s="966"/>
      <c r="AI91" s="966"/>
      <c r="AJ91" s="966"/>
      <c r="AK91" s="965"/>
      <c r="AL91" s="283"/>
      <c r="AM91" s="282" t="str">
        <f>B91</f>
        <v>Poule de 6</v>
      </c>
      <c r="AN91" s="283"/>
      <c r="AO91" s="283"/>
      <c r="AP91" s="283"/>
      <c r="AQ91" s="283"/>
      <c r="AR91" s="283"/>
      <c r="AS91" s="283"/>
      <c r="AT91" s="283"/>
      <c r="AU91" s="283"/>
      <c r="AV91" s="283"/>
      <c r="AW91" s="283"/>
      <c r="AX91" s="283"/>
      <c r="AY91" s="283"/>
      <c r="AZ91" s="283"/>
      <c r="BA91" s="283"/>
      <c r="BB91" s="283"/>
      <c r="BC91" s="283"/>
      <c r="BD91" s="283"/>
      <c r="BE91" s="283"/>
      <c r="BF91" s="283"/>
      <c r="BG91" s="283"/>
      <c r="BH91" s="283"/>
      <c r="BI91" s="283"/>
      <c r="BJ91" s="283"/>
      <c r="BK91" s="283"/>
      <c r="BL91" s="283"/>
      <c r="BM91" s="283"/>
      <c r="BN91" s="283"/>
      <c r="BO91" s="283"/>
      <c r="BP91" s="283"/>
      <c r="BQ91" s="283"/>
      <c r="BR91" s="283"/>
      <c r="BS91" s="283"/>
      <c r="BT91" s="283"/>
      <c r="BU91" s="283"/>
      <c r="BV91" s="283"/>
      <c r="BW91" s="283"/>
      <c r="BX91" s="283"/>
      <c r="BY91" s="283"/>
      <c r="BZ91" s="1395"/>
      <c r="CA91" s="1450"/>
      <c r="CB91" s="1450"/>
      <c r="CC91" s="284"/>
      <c r="CD91"/>
      <c r="CE91"/>
    </row>
    <row r="92" spans="1:83" ht="13.5" outlineLevel="1" thickBot="1" x14ac:dyDescent="0.25">
      <c r="A92"/>
      <c r="B92" s="1"/>
      <c r="C92"/>
      <c r="D92"/>
      <c r="E92"/>
      <c r="F92"/>
      <c r="G92" s="1"/>
      <c r="H92" s="1"/>
      <c r="I92" s="1"/>
      <c r="J92"/>
      <c r="K92"/>
      <c r="L92"/>
      <c r="M92"/>
      <c r="N92"/>
      <c r="O92"/>
      <c r="P92"/>
      <c r="Q92"/>
      <c r="R92" s="334"/>
      <c r="S92" s="1"/>
      <c r="T92" s="1"/>
      <c r="U92"/>
      <c r="V92" s="6"/>
      <c r="W92" s="1"/>
      <c r="X92" s="1"/>
      <c r="Y92" s="1"/>
      <c r="Z92" s="16"/>
      <c r="AA92" s="123"/>
      <c r="AB92" s="963"/>
      <c r="AC92" s="963"/>
      <c r="AD92" s="963"/>
      <c r="AE92" s="964"/>
      <c r="AF92" s="964"/>
      <c r="AG92" s="964"/>
      <c r="AH92" s="964"/>
      <c r="AI92" s="964"/>
      <c r="AJ92" s="964"/>
      <c r="AK92" s="964"/>
      <c r="AL92"/>
      <c r="AM92"/>
      <c r="AN92" s="833"/>
      <c r="AO92"/>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395"/>
      <c r="CA92" s="1450"/>
      <c r="CB92" s="1450"/>
      <c r="CC92"/>
      <c r="CD92"/>
      <c r="CE92"/>
    </row>
    <row r="93" spans="1:83" ht="13.5" outlineLevel="1" thickBot="1" x14ac:dyDescent="0.25">
      <c r="A93"/>
      <c r="B93" s="18" t="str">
        <f>N_Tirage</f>
        <v>Tirage</v>
      </c>
      <c r="C93" s="307" t="s">
        <v>787</v>
      </c>
      <c r="D93" s="308" t="s">
        <v>831</v>
      </c>
      <c r="E93" s="308" t="s">
        <v>832</v>
      </c>
      <c r="F93" s="309" t="s">
        <v>833</v>
      </c>
      <c r="G93" s="22" t="str">
        <f>N_Joueurs</f>
        <v>Joueurs</v>
      </c>
      <c r="H93" s="3" t="str">
        <f>N_RankPoints</f>
        <v>Pt. Clas.</v>
      </c>
      <c r="I93" s="3" t="str">
        <f>N_Diff_Part</f>
        <v>Diff-Part</v>
      </c>
      <c r="J93" s="311" t="str">
        <f>N_Pts</f>
        <v>Pts</v>
      </c>
      <c r="K93" s="311" t="str">
        <f>N_J</f>
        <v>J</v>
      </c>
      <c r="L93" s="308" t="str">
        <f>N_G</f>
        <v>G</v>
      </c>
      <c r="M93" s="308" t="str">
        <f>N_N</f>
        <v>N</v>
      </c>
      <c r="N93" s="308" t="str">
        <f>N_P</f>
        <v>P</v>
      </c>
      <c r="O93" s="308" t="str">
        <f>N_BP</f>
        <v>BP</v>
      </c>
      <c r="P93" s="308" t="str">
        <f>N_BC</f>
        <v>BC</v>
      </c>
      <c r="Q93" s="309" t="str">
        <f>N_Diff.</f>
        <v>Diff.</v>
      </c>
      <c r="R93" s="334"/>
      <c r="S93" s="3" t="str">
        <f>N_Heure</f>
        <v>Heure</v>
      </c>
      <c r="T93" s="22" t="str">
        <f>N_Table</f>
        <v>Table</v>
      </c>
      <c r="U93" s="22" t="str">
        <f>N_Arbitre</f>
        <v>Arbitre</v>
      </c>
      <c r="V93" s="293" t="str">
        <f>N_Matches</f>
        <v>Matches</v>
      </c>
      <c r="W93" s="294"/>
      <c r="X93" s="294"/>
      <c r="Y93" s="294"/>
      <c r="Z93" s="295"/>
      <c r="AA93" s="8"/>
      <c r="AB93" s="1461" t="str">
        <f>IF(MaxScore,N_MaxScore,"")</f>
        <v>Score Max</v>
      </c>
      <c r="AC93" s="1461"/>
      <c r="AD93" s="1461"/>
      <c r="AE93" s="964" t="str">
        <f>N_G</f>
        <v>G</v>
      </c>
      <c r="AF93" s="964" t="str">
        <f>N_N</f>
        <v>N</v>
      </c>
      <c r="AG93" s="964" t="str">
        <f>N_N</f>
        <v>N</v>
      </c>
      <c r="AH93" s="964" t="str">
        <f>N_P</f>
        <v>P</v>
      </c>
      <c r="AI93" s="964" t="s">
        <v>1560</v>
      </c>
      <c r="AJ93" s="964" t="s">
        <v>3714</v>
      </c>
      <c r="AK93" s="964" t="str">
        <f>IF(COUNTA(W94:W110)=0,"","OK")</f>
        <v/>
      </c>
      <c r="AL93"/>
      <c r="AM93"/>
      <c r="AN93" s="24" t="str">
        <f>N_Cla.</f>
        <v>Cla.</v>
      </c>
      <c r="AO93" s="70" t="str">
        <f>N_Joueurs</f>
        <v>Joueurs</v>
      </c>
      <c r="AP93" s="23" t="str">
        <f>N_Pts</f>
        <v>Pts</v>
      </c>
      <c r="AQ93" s="23" t="str">
        <f>N_J</f>
        <v>J</v>
      </c>
      <c r="AR93" s="20" t="str">
        <f>N_G</f>
        <v>G</v>
      </c>
      <c r="AS93" s="20" t="str">
        <f>N_N</f>
        <v>N</v>
      </c>
      <c r="AT93" s="20" t="str">
        <f>N_P</f>
        <v>P</v>
      </c>
      <c r="AU93" s="20" t="str">
        <f>N_BP</f>
        <v>BP</v>
      </c>
      <c r="AV93" s="20" t="str">
        <f>N_BC</f>
        <v>BC</v>
      </c>
      <c r="AW93" s="21" t="str">
        <f>N_Diff.</f>
        <v>Diff.</v>
      </c>
      <c r="AX93" s="287" t="str">
        <f>N_Matches</f>
        <v>Matches</v>
      </c>
      <c r="AY93" s="287"/>
      <c r="AZ93" s="287"/>
      <c r="BA93" s="287"/>
      <c r="BB93" s="287"/>
      <c r="BC93" s="287"/>
      <c r="BD93" s="287"/>
      <c r="BE93" s="287"/>
      <c r="BF93" s="287"/>
      <c r="BG93" s="287"/>
      <c r="BH93" s="287"/>
      <c r="BI93" s="287"/>
      <c r="BJ93" s="287"/>
      <c r="BK93" s="287"/>
      <c r="BL93" s="288"/>
      <c r="BM93"/>
      <c r="BN93"/>
      <c r="BO93"/>
      <c r="BP93"/>
      <c r="BQ93"/>
      <c r="BR93"/>
      <c r="BS93"/>
      <c r="BT93"/>
      <c r="BU93"/>
      <c r="BV93"/>
      <c r="BW93"/>
      <c r="BX93"/>
      <c r="BY93"/>
      <c r="BZ93" s="1395"/>
      <c r="CA93" s="1450"/>
      <c r="CB93" s="1450"/>
      <c r="CC93"/>
      <c r="CD93"/>
      <c r="CE93"/>
    </row>
    <row r="94" spans="1:83" outlineLevel="1" x14ac:dyDescent="0.2">
      <c r="A94" s="270"/>
      <c r="B94" s="505">
        <v>1</v>
      </c>
      <c r="C94" s="549" t="str">
        <f>IF(AK93="","",RANK(F94,F94:F99)*1000+ROW())</f>
        <v/>
      </c>
      <c r="D94" s="550" t="str">
        <f t="shared" ref="D94:D99" si="50">IF(L94="","",CritClassInd1_Points*J94+CritClassInd1_Matches*L94+CritClassInd1_Attaque*O94+CritClassInd1_DiffButs*Q94)</f>
        <v/>
      </c>
      <c r="E94" s="550" t="str">
        <f>IF(L94="","",Nb_Diff_Part(D94,D94:D99,G94,G94:G99,AI94:AI110)*CritClassInd_DiffPart+Nb_Goal_Part(D94,D94:D99,G94,G94:G99,V94:Z110)*CritClassInd_GoalPart+Nb_Score_Part(D94,D94:D99,G94,G94:G99,V94:Z110)*CritClassInd_ScorePart)</f>
        <v/>
      </c>
      <c r="F94" s="551" t="str">
        <f t="shared" ref="F94:F99" si="51">IF(L94="","",D94+E94+CritClassInd2_Points*J94+CritClassInd2_Matches*L94+CritClassInd2_Attaque*O94+CritClassInd2_DiffButs*Q94+CritClassInd_Ranking*H94+I94)</f>
        <v/>
      </c>
      <c r="G94" s="552" t="s">
        <v>903</v>
      </c>
      <c r="H94" s="499">
        <f t="shared" ref="H94:H99" si="52">GMFTRANKINGPOINTS(G94,Particular_Category)</f>
        <v>0</v>
      </c>
      <c r="I94" s="500"/>
      <c r="J94" s="555" t="str">
        <f>IF(AK93="","",(L94*Points_Victoire)+M94*Points_Null)</f>
        <v/>
      </c>
      <c r="K94" s="556" t="str">
        <f t="shared" ref="K94:K99" si="53">IF(L94="","",SUM(L94:N94))</f>
        <v/>
      </c>
      <c r="L94" s="556" t="str">
        <f>IF(AK93="","",COUNTIF(AE94:AE110,G94))</f>
        <v/>
      </c>
      <c r="M94" s="556" t="str">
        <f>IF(AK93="","",COUNTIF(AF94:AG110,G94))</f>
        <v/>
      </c>
      <c r="N94" s="556" t="str">
        <f>IF(AK93="","",COUNTIF(AH94:AH110,G94))</f>
        <v/>
      </c>
      <c r="O94" s="556" t="str">
        <f>IF(AK93="","",SUMIF(V94:V110,G94,AB94:AB110)+SUMIF(Z94:Z110,G94,AD94:AD110))</f>
        <v/>
      </c>
      <c r="P94" s="556" t="str">
        <f>IF(AK93="","",SUMIF(V94:V110,G94,AD94:AD110)+SUMIF(Z94:Z110,G94,AB94:AB110))</f>
        <v/>
      </c>
      <c r="Q94" s="557" t="str">
        <f>IF(AK93="","",O94-P94)</f>
        <v/>
      </c>
      <c r="R94" s="558" t="s">
        <v>1726</v>
      </c>
      <c r="S94" s="611"/>
      <c r="T94" s="617"/>
      <c r="U94" s="1499"/>
      <c r="V94" s="455" t="str">
        <f>IF(G94="","",G94)</f>
        <v>A1</v>
      </c>
      <c r="W94" s="456"/>
      <c r="X94" s="457" t="s">
        <v>769</v>
      </c>
      <c r="Y94" s="456"/>
      <c r="Z94" s="458" t="str">
        <f>IF(G98="","",G98)</f>
        <v>A5</v>
      </c>
      <c r="AA94" s="839"/>
      <c r="AB94" s="1459">
        <f>IF(MaxScore,MaxGoals(W94,Y94,MaxGoalsValue),IF(W94="","",W94))</f>
        <v>0</v>
      </c>
      <c r="AC94" s="1460" t="str">
        <f t="shared" ref="AC94:AC104" si="54">IF(MaxScore,"-",IF(W94="","","-"))</f>
        <v>-</v>
      </c>
      <c r="AD94" s="1459">
        <f>IF(MaxScore,MaxGoals(Y94,W94,MaxGoalsValue),IF(Y94="","",Y94))</f>
        <v>0</v>
      </c>
      <c r="AE94" s="968" t="str">
        <f t="shared" ref="AE94:AE104" si="55">IF(W94="","",IF(W94&gt;Y94,V94,IF(W94=Y94,"",Z94)))</f>
        <v/>
      </c>
      <c r="AF94" s="968" t="str">
        <f t="shared" ref="AF94:AF104" si="56">IF(W94="","",IF(W94=Y94,V94,""))</f>
        <v/>
      </c>
      <c r="AG94" s="968" t="str">
        <f t="shared" ref="AG94:AG104" si="57">IF(W94="","",IF(W94=Y94,Z94,""))</f>
        <v/>
      </c>
      <c r="AH94" s="968" t="str">
        <f t="shared" ref="AH94:AH104" si="58">IF(W94="","",IF(W94&lt;Y94,V94,IF(W94=Y94,"",Z94)))</f>
        <v/>
      </c>
      <c r="AI94" s="968" t="str">
        <f t="shared" ref="AI94:AI104" si="59">CONCATENATE(AE94,AH94)</f>
        <v/>
      </c>
      <c r="AJ94" s="968"/>
      <c r="AK94" s="968" t="str">
        <f>IF(AK93="","",SMALL(C94:C99,1))</f>
        <v/>
      </c>
      <c r="AL94" s="270"/>
      <c r="AM94" s="270"/>
      <c r="AN94" s="534" t="str">
        <f>IF(AK93="","",INT(AK94/1000))</f>
        <v/>
      </c>
      <c r="AO94" s="535" t="str">
        <f>IF(AK93="",IF(HidePlayerFormulas,"","("&amp;G94&amp;")"),VLOOKUP(AK94,C94:Q99,5,FALSE))</f>
        <v/>
      </c>
      <c r="AP94" s="507" t="str">
        <f>VLOOKUP(AK94,C94:Q99,8,FALSE)</f>
        <v/>
      </c>
      <c r="AQ94" s="507" t="str">
        <f>VLOOKUP(AK94,C94:Q99,9,FALSE)</f>
        <v/>
      </c>
      <c r="AR94" s="507" t="str">
        <f>VLOOKUP(AK94,C94:Q99,10,FALSE)</f>
        <v/>
      </c>
      <c r="AS94" s="507" t="str">
        <f>VLOOKUP(AK94,C94:Q99,11,FALSE)</f>
        <v/>
      </c>
      <c r="AT94" s="507" t="str">
        <f>VLOOKUP(AK94,C94:Q99,12,FALSE)</f>
        <v/>
      </c>
      <c r="AU94" s="507" t="str">
        <f>VLOOKUP(AK94,C94:Q99,13,FALSE)</f>
        <v/>
      </c>
      <c r="AV94" s="507" t="str">
        <f>VLOOKUP(AK94,C94:Q99,14,FALSE)</f>
        <v/>
      </c>
      <c r="AW94" s="508" t="str">
        <f>VLOOKUP(AK94,C94:Q99,15,FALSE)</f>
        <v/>
      </c>
      <c r="AX94" s="517" t="str">
        <f>IF(W99="","",IF(AO94=V99,W99,IF(AO94=Z99,Y99,"")))</f>
        <v/>
      </c>
      <c r="AY94" s="518" t="str">
        <f>IF(W98="","",IF(AO94=V98,W98,IF(AO94=Z98,Y98,"")))</f>
        <v/>
      </c>
      <c r="AZ94" s="518" t="str">
        <f>IF(W97="","",IF(AO94=V97,W97,IF(AO94=Z97,Y97,"")))</f>
        <v/>
      </c>
      <c r="BA94" s="518" t="str">
        <f>IF(W102="","",IF(AO94=V102,W102,IF(AO94=Z102,Y102,"")))</f>
        <v/>
      </c>
      <c r="BB94" s="518" t="str">
        <f>IF(W101="","",IF(AO94=V101,W101,IF(AO94=Z101,Y101,"")))</f>
        <v/>
      </c>
      <c r="BC94" s="518" t="str">
        <f>IF(W100="","",IF(AO94=V100,W100,IF(AO94=Z100,Y100,"")))</f>
        <v/>
      </c>
      <c r="BD94" s="518" t="str">
        <f>IF(W94="","",IF(AO94=V94,W94,IF(AO94=Z94,Y94,"")))</f>
        <v/>
      </c>
      <c r="BE94" s="518" t="str">
        <f>IF(W95="","",IF(AO94=V95,W95,IF(AO94=Z95,Y95,"")))</f>
        <v/>
      </c>
      <c r="BF94" s="518" t="str">
        <f>IF(W96="","",IF(AO94=V96,W96,IF(AO94=Z96,Y96,"")))</f>
        <v/>
      </c>
      <c r="BG94" s="518" t="str">
        <f>IF(W104="","",IF(AO94=V104,W104,IF(AO94=Z104,Y104,"")))</f>
        <v/>
      </c>
      <c r="BH94" s="518" t="str">
        <f>IF(W103="","",IF(AO94=V103,W103,IF(AO94=Z103,Y103,"")))</f>
        <v/>
      </c>
      <c r="BI94" s="518" t="str">
        <f>IF(W105="","",IF(AO94=V105,W105,IF(AO94=Z105,Y105,"")))</f>
        <v/>
      </c>
      <c r="BJ94" s="518" t="str">
        <f>IF(W108="","",IF(AO94=V108,W108,IF(AO94=Z108,Y108,"")))</f>
        <v/>
      </c>
      <c r="BK94" s="518" t="str">
        <f>IF(W107="","",IF(AO94=V107,W107,IF(AO94=Z107,Y107,"")))</f>
        <v/>
      </c>
      <c r="BL94" s="519" t="str">
        <f>IF(W106="","",IF(AO94=V106,W106,IF(AO94=Z106,Y106,"")))</f>
        <v/>
      </c>
      <c r="BM94" s="270"/>
      <c r="BN94" s="270"/>
      <c r="BO94" s="270"/>
      <c r="BP94" s="270"/>
      <c r="BQ94" s="270"/>
      <c r="BR94" s="270"/>
      <c r="BS94" s="270"/>
      <c r="BT94" s="270"/>
      <c r="BU94" s="270"/>
      <c r="BV94" s="270"/>
      <c r="BW94" s="270"/>
      <c r="BX94" s="270"/>
      <c r="BY94" s="270"/>
      <c r="BZ94" s="1395" t="b">
        <f t="shared" ref="BZ94:BZ99" si="60">IF(G94="[---WithDraw---]",FALSE,IF(COUNTIF(PlayerNamesWithinGroups,G94)&gt;1,TRUE,FALSE))</f>
        <v>1</v>
      </c>
      <c r="CA94" s="1450" t="b">
        <f t="shared" ref="CA94:CA99" si="61">AND(LEFT($AO94,1) = "(", RIGHT($AO94,1) =")")</f>
        <v>0</v>
      </c>
      <c r="CB94" s="1450" t="b">
        <f t="shared" ref="CB94:CB99" si="62">IF(OR($AN94=$AN93,$AN94=$AN95),TRUE,FALSE)</f>
        <v>1</v>
      </c>
      <c r="CC94" s="270"/>
      <c r="CD94" s="270"/>
      <c r="CE94"/>
    </row>
    <row r="95" spans="1:83" outlineLevel="1" x14ac:dyDescent="0.2">
      <c r="A95" s="270"/>
      <c r="B95" s="509">
        <v>2</v>
      </c>
      <c r="C95" s="560" t="str">
        <f>IF(AK93="","",RANK(F95,F94:F99)*1000+ROW())</f>
        <v/>
      </c>
      <c r="D95" s="561" t="str">
        <f t="shared" si="50"/>
        <v/>
      </c>
      <c r="E95" s="561" t="str">
        <f>IF(L95="","",Nb_Diff_Part(D95,D94:D99,G95,G94:G99,AI94:AI110)*CritClassInd_DiffPart+Nb_Goal_Part(D95,D94:D99,G95,G94:G99,V94:Z110)*CritClassInd_GoalPart+Nb_Score_Part(D95,D94:D99,G95,G94:G99,V94:Z110)*CritClassInd_ScorePart)</f>
        <v/>
      </c>
      <c r="F95" s="562" t="str">
        <f t="shared" si="51"/>
        <v/>
      </c>
      <c r="G95" s="502" t="s">
        <v>904</v>
      </c>
      <c r="H95" s="501">
        <f t="shared" si="52"/>
        <v>0</v>
      </c>
      <c r="I95" s="502"/>
      <c r="J95" s="560" t="str">
        <f>IF(AK93="","",(L95*Points_Victoire)+M95*Points_Null)</f>
        <v/>
      </c>
      <c r="K95" s="563" t="str">
        <f t="shared" si="53"/>
        <v/>
      </c>
      <c r="L95" s="563" t="str">
        <f>IF(AK93="","",COUNTIF(AE94:AE110,G95))</f>
        <v/>
      </c>
      <c r="M95" s="563" t="str">
        <f>IF(AK93="","",COUNTIF(AF94:AG110,G95))</f>
        <v/>
      </c>
      <c r="N95" s="563" t="str">
        <f>IF(AK93="","",COUNTIF(AH94:AH110,G95))</f>
        <v/>
      </c>
      <c r="O95" s="563" t="str">
        <f>IF(AK93="","",SUMIF(V94:V110,G95,AB94:AB110)+SUMIF(Z94:Z110,G95,AD94:AD110))</f>
        <v/>
      </c>
      <c r="P95" s="563" t="str">
        <f>IF(AK93="","",SUMIF(V94:V110,G95,AD94:AD110)+SUMIF(Z94:Z110,G95,AB94:AB110))</f>
        <v/>
      </c>
      <c r="Q95" s="564" t="str">
        <f>IF(AK93="","",O95-P95)</f>
        <v/>
      </c>
      <c r="R95" s="558" t="s">
        <v>1726</v>
      </c>
      <c r="S95" s="613"/>
      <c r="T95" s="618"/>
      <c r="U95" s="1500"/>
      <c r="V95" s="459" t="str">
        <f>IF(G95="","",G95)</f>
        <v>A2</v>
      </c>
      <c r="W95" s="272"/>
      <c r="X95" s="273" t="s">
        <v>769</v>
      </c>
      <c r="Y95" s="272"/>
      <c r="Z95" s="460" t="str">
        <f>IF(G96="","",G96)</f>
        <v>A3</v>
      </c>
      <c r="AA95" s="839"/>
      <c r="AB95" s="1459">
        <f>IF(MaxScore,MaxGoals(W95,Y95,MaxGoalsValue),IF(W95="","",W95))</f>
        <v>0</v>
      </c>
      <c r="AC95" s="1460" t="str">
        <f t="shared" si="54"/>
        <v>-</v>
      </c>
      <c r="AD95" s="1459">
        <f>IF(MaxScore,MaxGoals(Y95,W95,MaxGoalsValue),IF(Y95="","",Y95))</f>
        <v>0</v>
      </c>
      <c r="AE95" s="968" t="str">
        <f t="shared" si="55"/>
        <v/>
      </c>
      <c r="AF95" s="968" t="str">
        <f t="shared" si="56"/>
        <v/>
      </c>
      <c r="AG95" s="968" t="str">
        <f t="shared" si="57"/>
        <v/>
      </c>
      <c r="AH95" s="968" t="str">
        <f t="shared" si="58"/>
        <v/>
      </c>
      <c r="AI95" s="968" t="str">
        <f t="shared" si="59"/>
        <v/>
      </c>
      <c r="AJ95" s="968"/>
      <c r="AK95" s="968" t="str">
        <f>IF(AK93="","",SMALL(C94:C99,2))</f>
        <v/>
      </c>
      <c r="AL95" s="270"/>
      <c r="AM95" s="270"/>
      <c r="AN95" s="536" t="str">
        <f>IF(AK93="","",INT(AK95/1000))</f>
        <v/>
      </c>
      <c r="AO95" s="537" t="str">
        <f>IF(AK93="",IF(HidePlayerFormulas,"","("&amp;G95&amp;")"),VLOOKUP(AK95,C94:Q99,5,FALSE))</f>
        <v/>
      </c>
      <c r="AP95" s="511" t="str">
        <f>VLOOKUP(AK95,C94:Q99,8,FALSE)</f>
        <v/>
      </c>
      <c r="AQ95" s="511" t="str">
        <f>VLOOKUP(AK95,C94:Q99,9,FALSE)</f>
        <v/>
      </c>
      <c r="AR95" s="511" t="str">
        <f>VLOOKUP(AK95,C94:Q99,10,FALSE)</f>
        <v/>
      </c>
      <c r="AS95" s="511" t="str">
        <f>VLOOKUP(AK95,C94:Q99,11,FALSE)</f>
        <v/>
      </c>
      <c r="AT95" s="511" t="str">
        <f>VLOOKUP(AK95,C94:Q99,12,FALSE)</f>
        <v/>
      </c>
      <c r="AU95" s="511" t="str">
        <f>VLOOKUP(AK95,C94:Q99,13,FALSE)</f>
        <v/>
      </c>
      <c r="AV95" s="511" t="str">
        <f>VLOOKUP(AK95,C94:Q99,14,FALSE)</f>
        <v/>
      </c>
      <c r="AW95" s="512" t="str">
        <f>VLOOKUP(AK95,C94:Q99,15,FALSE)</f>
        <v/>
      </c>
      <c r="AX95" s="520" t="str">
        <f>IF(W99="","",IF(AO95=V99,W99,IF(AO95=Z99,Y99,"")))</f>
        <v/>
      </c>
      <c r="AY95" s="521" t="str">
        <f>IF(W98="","",IF(AO95=V98,W98,IF(AO95=Z98,Y98,"")))</f>
        <v/>
      </c>
      <c r="AZ95" s="521" t="str">
        <f>IF(W97="","",IF(AO95=V97,W97,IF(AO95=Z97,Y97,"")))</f>
        <v/>
      </c>
      <c r="BA95" s="521" t="str">
        <f>IF(W102="","",IF(AO95=V102,W102,IF(AO95=Z102,Y102,"")))</f>
        <v/>
      </c>
      <c r="BB95" s="521" t="str">
        <f>IF(W101="","",IF(AO95=V101,W101,IF(AO95=Z101,Y101,"")))</f>
        <v/>
      </c>
      <c r="BC95" s="521" t="str">
        <f>IF(W100="","",IF(AO95=V100,W100,IF(AO95=Z100,Y100,"")))</f>
        <v/>
      </c>
      <c r="BD95" s="521" t="str">
        <f>IF(W94="","",IF(AO95=V94,W94,IF(AO95=Z94,Y94,"")))</f>
        <v/>
      </c>
      <c r="BE95" s="521" t="str">
        <f>IF(W95="","",IF(AO95=V95,W95,IF(AO95=Z95,Y95,"")))</f>
        <v/>
      </c>
      <c r="BF95" s="521" t="str">
        <f>IF(W96="","",IF(AO95=V96,W96,IF(AO95=Z96,Y96,"")))</f>
        <v/>
      </c>
      <c r="BG95" s="521" t="str">
        <f>IF(W104="","",IF(AO95=V104,W104,IF(AO95=Z104,Y104,"")))</f>
        <v/>
      </c>
      <c r="BH95" s="521" t="str">
        <f>IF(W103="","",IF(AO95=V103,W103,IF(AO95=Z103,Y103,"")))</f>
        <v/>
      </c>
      <c r="BI95" s="521" t="str">
        <f>IF(W105="","",IF(AO95=V105,W105,IF(AO95=Z105,Y105,"")))</f>
        <v/>
      </c>
      <c r="BJ95" s="521" t="str">
        <f>IF(W108="","",IF(AO95=V108,W108,IF(AO95=Z108,Y108,"")))</f>
        <v/>
      </c>
      <c r="BK95" s="521" t="str">
        <f>IF(W107="","",IF(AO95=V107,W107,IF(AO95=Z107,Y107,"")))</f>
        <v/>
      </c>
      <c r="BL95" s="522" t="str">
        <f>IF(W106="","",IF(AO95=V106,W106,IF(AO95=Z106,Y106,"")))</f>
        <v/>
      </c>
      <c r="BM95" s="270"/>
      <c r="BN95" s="270"/>
      <c r="BO95" s="270"/>
      <c r="BP95" s="270"/>
      <c r="BQ95" s="270"/>
      <c r="BR95" s="270"/>
      <c r="BS95" s="270"/>
      <c r="BT95" s="270"/>
      <c r="BU95" s="270"/>
      <c r="BV95" s="270"/>
      <c r="BW95" s="270"/>
      <c r="BX95" s="270"/>
      <c r="BY95" s="270"/>
      <c r="BZ95" s="1395" t="b">
        <f t="shared" si="60"/>
        <v>1</v>
      </c>
      <c r="CA95" s="1450" t="b">
        <f t="shared" si="61"/>
        <v>0</v>
      </c>
      <c r="CB95" s="1450" t="b">
        <f t="shared" si="62"/>
        <v>1</v>
      </c>
      <c r="CC95" s="270"/>
      <c r="CD95" s="270"/>
      <c r="CE95"/>
    </row>
    <row r="96" spans="1:83" ht="13.5" outlineLevel="1" thickBot="1" x14ac:dyDescent="0.25">
      <c r="A96" s="270"/>
      <c r="B96" s="509">
        <v>3</v>
      </c>
      <c r="C96" s="560" t="str">
        <f>IF(AK93="","",RANK(F96,F94:F99)*1000+ROW())</f>
        <v/>
      </c>
      <c r="D96" s="561" t="str">
        <f t="shared" si="50"/>
        <v/>
      </c>
      <c r="E96" s="561" t="str">
        <f>IF(L96="","",Nb_Diff_Part(D96,D94:D99,G96,G94:G99,AI94:AI110)*CritClassInd_DiffPart+Nb_Goal_Part(D96,D94:D99,G96,G94:G99,V94:Z110)*CritClassInd_GoalPart+Nb_Score_Part(D96,D94:D99,G96,G94:G99,V94:Z110)*CritClassInd_ScorePart)</f>
        <v/>
      </c>
      <c r="F96" s="562" t="str">
        <f t="shared" si="51"/>
        <v/>
      </c>
      <c r="G96" s="502" t="s">
        <v>905</v>
      </c>
      <c r="H96" s="501">
        <f t="shared" si="52"/>
        <v>0</v>
      </c>
      <c r="I96" s="502"/>
      <c r="J96" s="560" t="str">
        <f>IF(AK93="","",(L96*Points_Victoire)+M96*Points_Null)</f>
        <v/>
      </c>
      <c r="K96" s="563" t="str">
        <f t="shared" si="53"/>
        <v/>
      </c>
      <c r="L96" s="563" t="str">
        <f>IF(AK93="","",COUNTIF(AE94:AE110,G96))</f>
        <v/>
      </c>
      <c r="M96" s="563" t="str">
        <f>IF(AK93="","",COUNTIF(AF94:AG110,G96))</f>
        <v/>
      </c>
      <c r="N96" s="563" t="str">
        <f>IF(AK93="","",COUNTIF(AH94:AH110,G96))</f>
        <v/>
      </c>
      <c r="O96" s="563" t="str">
        <f>IF(AK93="","",SUMIF(V94:V110,G96,AB94:AB110)+SUMIF(Z94:Z110,G96,AD94:AD110))</f>
        <v/>
      </c>
      <c r="P96" s="563" t="str">
        <f>IF(AK93="","",SUMIF(V94:V110,G96,AD94:AD110)+SUMIF(Z94:Z110,G96,AB94:AB110))</f>
        <v/>
      </c>
      <c r="Q96" s="564" t="str">
        <f>IF(AK93="","",O96-P96)</f>
        <v/>
      </c>
      <c r="R96" s="558" t="s">
        <v>1726</v>
      </c>
      <c r="S96" s="615"/>
      <c r="T96" s="619"/>
      <c r="U96" s="1501"/>
      <c r="V96" s="461" t="str">
        <f>IF(G97="","",G97)</f>
        <v>A4</v>
      </c>
      <c r="W96" s="450"/>
      <c r="X96" s="462" t="s">
        <v>769</v>
      </c>
      <c r="Y96" s="450"/>
      <c r="Z96" s="463" t="str">
        <f>IF(G99="","",G99)</f>
        <v>A6</v>
      </c>
      <c r="AA96" s="839"/>
      <c r="AB96" s="1459">
        <f>IF(MaxScore,MaxGoals(W96,Y96,MaxGoalsValue),IF(W96="","",W96))</f>
        <v>0</v>
      </c>
      <c r="AC96" s="1460" t="str">
        <f t="shared" si="54"/>
        <v>-</v>
      </c>
      <c r="AD96" s="1459">
        <f>IF(MaxScore,MaxGoals(Y96,W96,MaxGoalsValue),IF(Y96="","",Y96))</f>
        <v>0</v>
      </c>
      <c r="AE96" s="968" t="str">
        <f t="shared" si="55"/>
        <v/>
      </c>
      <c r="AF96" s="968" t="str">
        <f t="shared" si="56"/>
        <v/>
      </c>
      <c r="AG96" s="968" t="str">
        <f t="shared" si="57"/>
        <v/>
      </c>
      <c r="AH96" s="968" t="str">
        <f t="shared" si="58"/>
        <v/>
      </c>
      <c r="AI96" s="968" t="str">
        <f t="shared" si="59"/>
        <v/>
      </c>
      <c r="AJ96" s="968"/>
      <c r="AK96" s="968" t="str">
        <f>IF(AK93="","",SMALL(C94:C99,3))</f>
        <v/>
      </c>
      <c r="AL96" s="270"/>
      <c r="AM96" s="270"/>
      <c r="AN96" s="536" t="str">
        <f>IF(AK93="","",INT(AK96/1000))</f>
        <v/>
      </c>
      <c r="AO96" s="537" t="str">
        <f>IF(AK93="",IF(HidePlayerFormulas,"","("&amp;G96&amp;")"),VLOOKUP(AK96,C94:Q99,5,FALSE))</f>
        <v/>
      </c>
      <c r="AP96" s="511" t="str">
        <f>VLOOKUP(AK96,C94:Q99,8,FALSE)</f>
        <v/>
      </c>
      <c r="AQ96" s="511" t="str">
        <f>VLOOKUP(AK96,C94:Q99,9,FALSE)</f>
        <v/>
      </c>
      <c r="AR96" s="511" t="str">
        <f>VLOOKUP(AK96,C94:Q99,10,FALSE)</f>
        <v/>
      </c>
      <c r="AS96" s="511" t="str">
        <f>VLOOKUP(AK96,C94:Q99,11,FALSE)</f>
        <v/>
      </c>
      <c r="AT96" s="511" t="str">
        <f>VLOOKUP(AK96,C94:Q99,12,FALSE)</f>
        <v/>
      </c>
      <c r="AU96" s="511" t="str">
        <f>VLOOKUP(AK96,C94:Q99,13,FALSE)</f>
        <v/>
      </c>
      <c r="AV96" s="511" t="str">
        <f>VLOOKUP(AK96,C94:Q99,14,FALSE)</f>
        <v/>
      </c>
      <c r="AW96" s="512" t="str">
        <f>VLOOKUP(AK96,C94:Q99,15,FALSE)</f>
        <v/>
      </c>
      <c r="AX96" s="520" t="str">
        <f>IF(W99="","",IF(AO96=V99,W99,IF(AO96=Z99,Y99,"")))</f>
        <v/>
      </c>
      <c r="AY96" s="521" t="str">
        <f>IF(W98="","",IF(AO96=V98,W98,IF(AO96=Z98,Y98,"")))</f>
        <v/>
      </c>
      <c r="AZ96" s="521" t="str">
        <f>IF(W97="","",IF(AO96=V97,W97,IF(AO96=Z97,Y97,"")))</f>
        <v/>
      </c>
      <c r="BA96" s="521" t="str">
        <f>IF(W102="","",IF(AO96=V102,W102,IF(AO96=Z102,Y102,"")))</f>
        <v/>
      </c>
      <c r="BB96" s="521" t="str">
        <f>IF(W101="","",IF(AO96=V101,W101,IF(AO96=Z101,Y101,"")))</f>
        <v/>
      </c>
      <c r="BC96" s="521" t="str">
        <f>IF(W100="","",IF(AO96=V100,W100,IF(AO96=Z100,Y100,"")))</f>
        <v/>
      </c>
      <c r="BD96" s="521" t="str">
        <f>IF(W94="","",IF(AO96=V94,W94,IF(AO96=Z94,Y94,"")))</f>
        <v/>
      </c>
      <c r="BE96" s="521" t="str">
        <f>IF(W95="","",IF(AO96=V95,W95,IF(AO96=Z95,Y95,"")))</f>
        <v/>
      </c>
      <c r="BF96" s="521" t="str">
        <f>IF(W96="","",IF(AO96=V96,W96,IF(AO96=Z96,Y96,"")))</f>
        <v/>
      </c>
      <c r="BG96" s="521" t="str">
        <f>IF(W104="","",IF(AO96=V104,W104,IF(AO96=Z104,Y104,"")))</f>
        <v/>
      </c>
      <c r="BH96" s="521" t="str">
        <f>IF(W103="","",IF(AO96=V103,W103,IF(AO96=Z103,Y103,"")))</f>
        <v/>
      </c>
      <c r="BI96" s="521" t="str">
        <f>IF(W105="","",IF(AO96=V105,W105,IF(AO96=Z105,Y105,"")))</f>
        <v/>
      </c>
      <c r="BJ96" s="521" t="str">
        <f>IF(W108="","",IF(AO96=V108,W108,IF(AO96=Z108,Y108,"")))</f>
        <v/>
      </c>
      <c r="BK96" s="521" t="str">
        <f>IF(W107="","",IF(AO96=V107,W107,IF(AO96=Z107,Y107,"")))</f>
        <v/>
      </c>
      <c r="BL96" s="522" t="str">
        <f>IF(W106="","",IF(AO96=V106,W106,IF(AO96=Z106,Y106,"")))</f>
        <v/>
      </c>
      <c r="BM96" s="270"/>
      <c r="BN96" s="270"/>
      <c r="BO96" s="270"/>
      <c r="BP96" s="270"/>
      <c r="BQ96" s="270"/>
      <c r="BR96" s="270"/>
      <c r="BS96" s="270"/>
      <c r="BT96" s="270"/>
      <c r="BU96" s="270"/>
      <c r="BV96" s="270"/>
      <c r="BW96" s="270"/>
      <c r="BX96" s="270"/>
      <c r="BY96" s="270"/>
      <c r="BZ96" s="1395" t="b">
        <f t="shared" si="60"/>
        <v>1</v>
      </c>
      <c r="CA96" s="1450" t="b">
        <f t="shared" si="61"/>
        <v>0</v>
      </c>
      <c r="CB96" s="1450" t="b">
        <f t="shared" si="62"/>
        <v>1</v>
      </c>
      <c r="CC96" s="270"/>
      <c r="CD96" s="270"/>
      <c r="CE96"/>
    </row>
    <row r="97" spans="1:83" outlineLevel="1" x14ac:dyDescent="0.2">
      <c r="A97" s="270"/>
      <c r="B97" s="509">
        <v>4</v>
      </c>
      <c r="C97" s="560" t="str">
        <f>IF(AK93="","",RANK(F97,F94:F99)*1000+ROW())</f>
        <v/>
      </c>
      <c r="D97" s="561" t="str">
        <f t="shared" si="50"/>
        <v/>
      </c>
      <c r="E97" s="561" t="str">
        <f>IF(L97="","",Nb_Diff_Part(D97,D94:D99,G97,G94:G99,AI94:AI110)*CritClassInd_DiffPart+Nb_Goal_Part(D97,D94:D99,G97,G94:G99,V94:Z110)*CritClassInd_GoalPart+Nb_Score_Part(D97,D94:D99,G97,G94:G99,V94:Z110)*CritClassInd_ScorePart)</f>
        <v/>
      </c>
      <c r="F97" s="562" t="str">
        <f t="shared" si="51"/>
        <v/>
      </c>
      <c r="G97" s="502" t="s">
        <v>906</v>
      </c>
      <c r="H97" s="501">
        <f t="shared" si="52"/>
        <v>0</v>
      </c>
      <c r="I97" s="502"/>
      <c r="J97" s="560" t="str">
        <f>IF(AK93="","",(L97*Points_Victoire)+M97*Points_Null)</f>
        <v/>
      </c>
      <c r="K97" s="563" t="str">
        <f t="shared" si="53"/>
        <v/>
      </c>
      <c r="L97" s="563" t="str">
        <f>IF(AK93="","",COUNTIF(AE94:AE110,G97))</f>
        <v/>
      </c>
      <c r="M97" s="563" t="str">
        <f>IF(AK93="","",COUNTIF(AF94:AG110,G97))</f>
        <v/>
      </c>
      <c r="N97" s="563" t="str">
        <f>IF(AK93="","",COUNTIF(AH94:AH110,G97))</f>
        <v/>
      </c>
      <c r="O97" s="563" t="str">
        <f>IF(AK93="","",SUMIF(V94:V110,G97,AB94:AB110)+SUMIF(Z94:Z110,G97,AD94:AD110))</f>
        <v/>
      </c>
      <c r="P97" s="563" t="str">
        <f>IF(AK93="","",SUMIF(V94:V110,G97,AD94:AD110)+SUMIF(Z94:Z110,G97,AB94:AB110))</f>
        <v/>
      </c>
      <c r="Q97" s="564" t="str">
        <f>IF(AK93="","",O97-P97)</f>
        <v/>
      </c>
      <c r="R97" s="558" t="s">
        <v>1727</v>
      </c>
      <c r="S97" s="611"/>
      <c r="T97" s="617"/>
      <c r="U97" s="1499"/>
      <c r="V97" s="2200" t="str">
        <f>IF(G95="","",G95)</f>
        <v>A2</v>
      </c>
      <c r="W97" s="2201"/>
      <c r="X97" s="2202" t="s">
        <v>769</v>
      </c>
      <c r="Y97" s="2201"/>
      <c r="Z97" s="2203" t="str">
        <f>IF(G97="","",G97)</f>
        <v>A4</v>
      </c>
      <c r="AA97" s="839"/>
      <c r="AB97" s="1459">
        <f>IF(MaxScore,MaxGoals(W97,Y97,MaxGoalsValue),IF(W97="","",W97))</f>
        <v>0</v>
      </c>
      <c r="AC97" s="1460" t="str">
        <f t="shared" si="54"/>
        <v>-</v>
      </c>
      <c r="AD97" s="1459">
        <f>IF(MaxScore,MaxGoals(Y97,W97,MaxGoalsValue),IF(Y97="","",Y97))</f>
        <v>0</v>
      </c>
      <c r="AE97" s="968" t="str">
        <f t="shared" si="55"/>
        <v/>
      </c>
      <c r="AF97" s="968" t="str">
        <f t="shared" si="56"/>
        <v/>
      </c>
      <c r="AG97" s="968" t="str">
        <f t="shared" si="57"/>
        <v/>
      </c>
      <c r="AH97" s="968" t="str">
        <f t="shared" si="58"/>
        <v/>
      </c>
      <c r="AI97" s="968" t="str">
        <f t="shared" si="59"/>
        <v/>
      </c>
      <c r="AK97" s="968" t="str">
        <f>IF(AK93="","",SMALL(C94:C99,4))</f>
        <v/>
      </c>
      <c r="AL97" s="270"/>
      <c r="AM97" s="270"/>
      <c r="AN97" s="536" t="str">
        <f>IF(AK93="","",INT(AK97/1000))</f>
        <v/>
      </c>
      <c r="AO97" s="537" t="str">
        <f>IF(AK93="",IF(HidePlayerFormulas,"","("&amp;G97&amp;")"),VLOOKUP(AK97,C94:Q99,5,FALSE))</f>
        <v/>
      </c>
      <c r="AP97" s="511" t="str">
        <f>VLOOKUP(AK97,C94:Q99,8,FALSE)</f>
        <v/>
      </c>
      <c r="AQ97" s="511" t="str">
        <f>VLOOKUP(AK97,C94:Q99,9,FALSE)</f>
        <v/>
      </c>
      <c r="AR97" s="511" t="str">
        <f>VLOOKUP(AK97,C94:Q99,10,FALSE)</f>
        <v/>
      </c>
      <c r="AS97" s="511" t="str">
        <f>VLOOKUP(AK97,C94:Q99,11,FALSE)</f>
        <v/>
      </c>
      <c r="AT97" s="511" t="str">
        <f>VLOOKUP(AK97,C94:Q99,12,FALSE)</f>
        <v/>
      </c>
      <c r="AU97" s="511" t="str">
        <f>VLOOKUP(AK97,C94:Q99,13,FALSE)</f>
        <v/>
      </c>
      <c r="AV97" s="511" t="str">
        <f>VLOOKUP(AK97,C94:Q99,14,FALSE)</f>
        <v/>
      </c>
      <c r="AW97" s="512" t="str">
        <f>VLOOKUP(AK97,C94:Q99,15,FALSE)</f>
        <v/>
      </c>
      <c r="AX97" s="520" t="str">
        <f>IF(W99="","",IF(AO97=V99,W99,IF(AO97=Z99,Y99,"")))</f>
        <v/>
      </c>
      <c r="AY97" s="521" t="str">
        <f>IF(W98="","",IF(AO97=V98,W98,IF(AO97=Z98,Y98,"")))</f>
        <v/>
      </c>
      <c r="AZ97" s="521" t="str">
        <f>IF(W97="","",IF(AO97=V97,W97,IF(AO97=Z97,Y97,"")))</f>
        <v/>
      </c>
      <c r="BA97" s="521" t="str">
        <f>IF(W102="","",IF(AO97=V102,W102,IF(AO97=Z102,Y102,"")))</f>
        <v/>
      </c>
      <c r="BB97" s="521" t="str">
        <f>IF(W101="","",IF(AO97=V101,W101,IF(AO97=Z101,Y101,"")))</f>
        <v/>
      </c>
      <c r="BC97" s="521" t="str">
        <f>IF(W100="","",IF(AO97=V100,W100,IF(AO97=Z100,Y100,"")))</f>
        <v/>
      </c>
      <c r="BD97" s="521" t="str">
        <f>IF(W94="","",IF(AO97=V94,W94,IF(AO97=Z94,Y94,"")))</f>
        <v/>
      </c>
      <c r="BE97" s="521" t="str">
        <f>IF(W95="","",IF(AO97=V95,W95,IF(AO97=Z95,Y95,"")))</f>
        <v/>
      </c>
      <c r="BF97" s="521" t="str">
        <f>IF(W96="","",IF(AO97=V96,W96,IF(AO97=Z96,Y96,"")))</f>
        <v/>
      </c>
      <c r="BG97" s="521" t="str">
        <f>IF(W104="","",IF(AO97=V104,W104,IF(AO97=Z104,Y104,"")))</f>
        <v/>
      </c>
      <c r="BH97" s="521" t="str">
        <f>IF(W103="","",IF(AO97=V103,W103,IF(AO97=Z103,Y103,"")))</f>
        <v/>
      </c>
      <c r="BI97" s="521" t="str">
        <f>IF(W105="","",IF(AO97=V105,W105,IF(AO97=Z105,Y105,"")))</f>
        <v/>
      </c>
      <c r="BJ97" s="521" t="str">
        <f>IF(W108="","",IF(AO97=V108,W108,IF(AO97=Z108,Y108,"")))</f>
        <v/>
      </c>
      <c r="BK97" s="521" t="str">
        <f>IF(W107="","",IF(AO97=V107,W107,IF(AO97=Z107,Y107,"")))</f>
        <v/>
      </c>
      <c r="BL97" s="522" t="str">
        <f>IF(W106="","",IF(AO97=V106,W106,IF(AO97=Z106,Y106,"")))</f>
        <v/>
      </c>
      <c r="BM97" s="270"/>
      <c r="BN97" s="270"/>
      <c r="BO97" s="270"/>
      <c r="BP97" s="270"/>
      <c r="BQ97" s="270"/>
      <c r="BR97" s="270"/>
      <c r="BS97" s="270"/>
      <c r="BT97" s="270"/>
      <c r="BU97" s="270"/>
      <c r="BV97" s="270"/>
      <c r="BW97" s="270"/>
      <c r="BX97" s="270"/>
      <c r="BY97" s="270"/>
      <c r="BZ97" s="1395" t="b">
        <f t="shared" si="60"/>
        <v>1</v>
      </c>
      <c r="CA97" s="1450" t="b">
        <f t="shared" si="61"/>
        <v>0</v>
      </c>
      <c r="CB97" s="1450" t="b">
        <f t="shared" si="62"/>
        <v>1</v>
      </c>
      <c r="CC97" s="270"/>
      <c r="CD97" s="270"/>
      <c r="CE97"/>
    </row>
    <row r="98" spans="1:83" outlineLevel="1" x14ac:dyDescent="0.2">
      <c r="A98" s="270"/>
      <c r="B98" s="509">
        <v>5</v>
      </c>
      <c r="C98" s="560" t="str">
        <f>IF(AK93="","",RANK(F98,F94:F99)*1000+ROW())</f>
        <v/>
      </c>
      <c r="D98" s="561" t="str">
        <f t="shared" si="50"/>
        <v/>
      </c>
      <c r="E98" s="561" t="str">
        <f>IF(L98="","",Nb_Diff_Part(D98,D94:D99,G98,G94:G99,AI94:AI110)*CritClassInd_DiffPart+Nb_Goal_Part(D98,D94:D99,G98,G94:G99,V94:Z110)*CritClassInd_GoalPart+Nb_Score_Part(D98,D94:D99,G98,G94:G99,V94:Z110)*CritClassInd_ScorePart)</f>
        <v/>
      </c>
      <c r="F98" s="562" t="str">
        <f t="shared" si="51"/>
        <v/>
      </c>
      <c r="G98" s="502" t="s">
        <v>907</v>
      </c>
      <c r="H98" s="501">
        <f t="shared" si="52"/>
        <v>0</v>
      </c>
      <c r="I98" s="502"/>
      <c r="J98" s="560" t="str">
        <f>IF(AK93="","",(L98*Points_Victoire)+M98*Points_Null)</f>
        <v/>
      </c>
      <c r="K98" s="563" t="str">
        <f t="shared" si="53"/>
        <v/>
      </c>
      <c r="L98" s="563" t="str">
        <f>IF(AK93="","",COUNTIF(AE94:AE110,G98))</f>
        <v/>
      </c>
      <c r="M98" s="563" t="str">
        <f>IF(AK93="","",COUNTIF(AF94:AG110,G98))</f>
        <v/>
      </c>
      <c r="N98" s="563" t="str">
        <f>IF(AK93="","",COUNTIF(AH94:AH110,G98))</f>
        <v/>
      </c>
      <c r="O98" s="563" t="str">
        <f>IF(AK93="","",SUMIF(V94:V110,G98,AB94:AB110)+SUMIF(Z94:Z110,G98,AD94:AD110))</f>
        <v/>
      </c>
      <c r="P98" s="563" t="str">
        <f>IF(AK93="","",SUMIF(V94:V110,G98,AD94:AD110)+SUMIF(Z94:Z110,G98,AB94:AB110))</f>
        <v/>
      </c>
      <c r="Q98" s="564" t="str">
        <f>IF(AK93="","",O98-P98)</f>
        <v/>
      </c>
      <c r="R98" s="558" t="s">
        <v>1727</v>
      </c>
      <c r="S98" s="613"/>
      <c r="T98" s="618"/>
      <c r="U98" s="1500"/>
      <c r="V98" s="459" t="str">
        <f>IF(G96="","",G96)</f>
        <v>A3</v>
      </c>
      <c r="W98" s="272"/>
      <c r="X98" s="273" t="s">
        <v>769</v>
      </c>
      <c r="Y98" s="272"/>
      <c r="Z98" s="460" t="str">
        <f>IF(G98="","",G98)</f>
        <v>A5</v>
      </c>
      <c r="AA98" s="839"/>
      <c r="AB98" s="1459">
        <f>IF(MaxScore,MaxGoals(W98,Y98,MaxGoalsValue),IF(W98="","",W98))</f>
        <v>0</v>
      </c>
      <c r="AC98" s="1460" t="str">
        <f t="shared" si="54"/>
        <v>-</v>
      </c>
      <c r="AD98" s="1459">
        <f>IF(MaxScore,MaxGoals(Y98,W98,MaxGoalsValue),IF(Y98="","",Y98))</f>
        <v>0</v>
      </c>
      <c r="AE98" s="968" t="str">
        <f t="shared" si="55"/>
        <v/>
      </c>
      <c r="AF98" s="968" t="str">
        <f t="shared" si="56"/>
        <v/>
      </c>
      <c r="AG98" s="968" t="str">
        <f t="shared" si="57"/>
        <v/>
      </c>
      <c r="AH98" s="968" t="str">
        <f t="shared" si="58"/>
        <v/>
      </c>
      <c r="AI98" s="968" t="str">
        <f t="shared" si="59"/>
        <v/>
      </c>
      <c r="AK98" s="968" t="str">
        <f>IF(AK93="","",SMALL(C94:C99,5))</f>
        <v/>
      </c>
      <c r="AL98" s="270"/>
      <c r="AM98" s="270"/>
      <c r="AN98" s="536" t="str">
        <f>IF(AK93="","",INT(AK98/1000))</f>
        <v/>
      </c>
      <c r="AO98" s="537" t="str">
        <f>IF(AK93="",IF(HidePlayerFormulas,"","("&amp;G98&amp;")"),VLOOKUP(AK98,C94:Q99,5,FALSE))</f>
        <v/>
      </c>
      <c r="AP98" s="511" t="str">
        <f>VLOOKUP(AK98,C94:Q99,8,FALSE)</f>
        <v/>
      </c>
      <c r="AQ98" s="511" t="str">
        <f>VLOOKUP(AK98,C94:Q99,9,FALSE)</f>
        <v/>
      </c>
      <c r="AR98" s="511" t="str">
        <f>VLOOKUP(AK98,C94:Q99,10,FALSE)</f>
        <v/>
      </c>
      <c r="AS98" s="511" t="str">
        <f>VLOOKUP(AK98,C94:Q99,11,FALSE)</f>
        <v/>
      </c>
      <c r="AT98" s="511" t="str">
        <f>VLOOKUP(AK98,C94:Q99,12,FALSE)</f>
        <v/>
      </c>
      <c r="AU98" s="511" t="str">
        <f>VLOOKUP(AK98,C94:Q99,13,FALSE)</f>
        <v/>
      </c>
      <c r="AV98" s="511" t="str">
        <f>VLOOKUP(AK98,C94:Q99,14,FALSE)</f>
        <v/>
      </c>
      <c r="AW98" s="512" t="str">
        <f>VLOOKUP(AK98,C94:Q99,15,FALSE)</f>
        <v/>
      </c>
      <c r="AX98" s="520" t="str">
        <f>IF(W99="","",IF(AO98=V99,W99,IF(AO98=Z99,Y99,"")))</f>
        <v/>
      </c>
      <c r="AY98" s="521" t="str">
        <f>IF(W98="","",IF(AO98=V98,W98,IF(AO98=Z98,Y98,"")))</f>
        <v/>
      </c>
      <c r="AZ98" s="521" t="str">
        <f>IF(W97="","",IF(AO98=V97,W97,IF(AO98=Z97,Y97,"")))</f>
        <v/>
      </c>
      <c r="BA98" s="521" t="str">
        <f>IF(W102="","",IF(AO98=V102,W102,IF(AO98=Z102,Y102,"")))</f>
        <v/>
      </c>
      <c r="BB98" s="521" t="str">
        <f>IF(W101="","",IF(AO98=V101,W101,IF(AO98=Z101,Y101,"")))</f>
        <v/>
      </c>
      <c r="BC98" s="521" t="str">
        <f>IF(W100="","",IF(AO98=V100,W100,IF(AO98=Z100,Y100,"")))</f>
        <v/>
      </c>
      <c r="BD98" s="521" t="str">
        <f>IF(W94="","",IF(AO98=V94,W94,IF(AO98=Z94,Y94,"")))</f>
        <v/>
      </c>
      <c r="BE98" s="521" t="str">
        <f>IF(W95="","",IF(AO98=V95,W95,IF(AO98=Z95,Y95,"")))</f>
        <v/>
      </c>
      <c r="BF98" s="521" t="str">
        <f>IF(W96="","",IF(AO98=V96,W96,IF(AO98=Z96,Y96,"")))</f>
        <v/>
      </c>
      <c r="BG98" s="521" t="str">
        <f>IF(W104="","",IF(AO98=V104,W104,IF(AO98=Z104,Y104,"")))</f>
        <v/>
      </c>
      <c r="BH98" s="521" t="str">
        <f>IF(W103="","",IF(AO98=V103,W103,IF(AO98=Z103,Y103,"")))</f>
        <v/>
      </c>
      <c r="BI98" s="521" t="str">
        <f>IF(W105="","",IF(AO98=V105,W105,IF(AO98=Z105,Y105,"")))</f>
        <v/>
      </c>
      <c r="BJ98" s="521" t="str">
        <f>IF(W108="","",IF(AO98=V108,W108,IF(AO98=Z108,Y108,"")))</f>
        <v/>
      </c>
      <c r="BK98" s="521" t="str">
        <f>IF(W107="","",IF(AO98=V107,W107,IF(AO98=Z107,Y107,"")))</f>
        <v/>
      </c>
      <c r="BL98" s="522" t="str">
        <f>IF(W106="","",IF(AO98=V106,W106,IF(AO98=Z106,Y106,"")))</f>
        <v/>
      </c>
      <c r="BM98" s="270"/>
      <c r="BN98" s="270"/>
      <c r="BO98" s="270"/>
      <c r="BP98" s="270"/>
      <c r="BQ98" s="270"/>
      <c r="BR98" s="270"/>
      <c r="BS98" s="270"/>
      <c r="BT98" s="270"/>
      <c r="BU98" s="270"/>
      <c r="BV98" s="270"/>
      <c r="BW98" s="270"/>
      <c r="BX98" s="270"/>
      <c r="BY98" s="270"/>
      <c r="BZ98" s="1395" t="b">
        <f t="shared" si="60"/>
        <v>1</v>
      </c>
      <c r="CA98" s="1450" t="b">
        <f t="shared" si="61"/>
        <v>0</v>
      </c>
      <c r="CB98" s="1450" t="b">
        <f t="shared" si="62"/>
        <v>1</v>
      </c>
      <c r="CC98" s="270"/>
      <c r="CD98" s="270"/>
      <c r="CE98"/>
    </row>
    <row r="99" spans="1:83" ht="13.5" outlineLevel="1" thickBot="1" x14ac:dyDescent="0.25">
      <c r="A99" s="270"/>
      <c r="B99" s="530">
        <v>6</v>
      </c>
      <c r="C99" s="565" t="str">
        <f>IF(AK93="","",RANK(F99,F94:F99)*1000+ROW())</f>
        <v/>
      </c>
      <c r="D99" s="566" t="str">
        <f t="shared" si="50"/>
        <v/>
      </c>
      <c r="E99" s="566" t="str">
        <f>IF(L99="","",Nb_Diff_Part(D99,D94:D99,G99,G94:G99,AI94:AI110)*CritClassInd_DiffPart+Nb_Goal_Part(D99,D94:D99,G99,G94:G99,V94:Z110)*CritClassInd_GoalPart+Nb_Score_Part(D99,D94:D99,G99,G94:G99,V94:Z110)*CritClassInd_ScorePart)</f>
        <v/>
      </c>
      <c r="F99" s="567" t="str">
        <f t="shared" si="51"/>
        <v/>
      </c>
      <c r="G99" s="500" t="s">
        <v>908</v>
      </c>
      <c r="H99" s="503">
        <f t="shared" si="52"/>
        <v>0</v>
      </c>
      <c r="I99" s="504"/>
      <c r="J99" s="585" t="str">
        <f>IF(AK93="","",(L99*Points_Victoire)+M99*Points_Null)</f>
        <v/>
      </c>
      <c r="K99" s="586" t="str">
        <f t="shared" si="53"/>
        <v/>
      </c>
      <c r="L99" s="586" t="str">
        <f>IF(AK93="","",COUNTIF(AE94:AE110,G99))</f>
        <v/>
      </c>
      <c r="M99" s="586" t="str">
        <f>IF(AK93="","",COUNTIF(AF94:AG110,G99))</f>
        <v/>
      </c>
      <c r="N99" s="586" t="str">
        <f>IF(AK93="","",COUNTIF(AH94:AH110,G99))</f>
        <v/>
      </c>
      <c r="O99" s="586" t="str">
        <f>IF(AK93="","",SUMIF(V94:V110,G99,AB94:AB110)+SUMIF(Z94:Z110,G99,AD94:AD110))</f>
        <v/>
      </c>
      <c r="P99" s="586" t="str">
        <f>IF(AK93="","",SUMIF(V94:V110,G99,AD94:AD110)+SUMIF(Z94:Z110,G99,AB94:AB110))</f>
        <v/>
      </c>
      <c r="Q99" s="587" t="str">
        <f>IF(AK93="","",O99-P99)</f>
        <v/>
      </c>
      <c r="R99" s="558" t="s">
        <v>1727</v>
      </c>
      <c r="S99" s="615"/>
      <c r="T99" s="619"/>
      <c r="U99" s="1501"/>
      <c r="V99" s="461" t="str">
        <f>IF(G99="","",G99)</f>
        <v>A6</v>
      </c>
      <c r="W99" s="450"/>
      <c r="X99" s="462" t="s">
        <v>769</v>
      </c>
      <c r="Y99" s="450"/>
      <c r="Z99" s="463" t="str">
        <f>IF(G94="","",G94)</f>
        <v>A1</v>
      </c>
      <c r="AA99" s="839"/>
      <c r="AB99" s="1459">
        <f>IF(MaxScore,MaxGoals(W99,Y99,MaxGoalsValue),IF(W99="","",W99))</f>
        <v>0</v>
      </c>
      <c r="AC99" s="1460" t="str">
        <f t="shared" si="54"/>
        <v>-</v>
      </c>
      <c r="AD99" s="1459">
        <f>IF(MaxScore,MaxGoals(Y99,W99,MaxGoalsValue),IF(Y99="","",Y99))</f>
        <v>0</v>
      </c>
      <c r="AE99" s="968" t="str">
        <f t="shared" si="55"/>
        <v/>
      </c>
      <c r="AF99" s="968" t="str">
        <f t="shared" si="56"/>
        <v/>
      </c>
      <c r="AG99" s="968" t="str">
        <f t="shared" si="57"/>
        <v/>
      </c>
      <c r="AH99" s="968" t="str">
        <f t="shared" si="58"/>
        <v/>
      </c>
      <c r="AI99" s="968" t="str">
        <f t="shared" si="59"/>
        <v/>
      </c>
      <c r="AK99" s="968" t="str">
        <f>IF(AK93="","",SMALL(C94:C99,6))</f>
        <v/>
      </c>
      <c r="AL99" s="270"/>
      <c r="AM99" s="270"/>
      <c r="AN99" s="538" t="str">
        <f>IF(AK93="","",INT(AK99/1000))</f>
        <v/>
      </c>
      <c r="AO99" s="539" t="str">
        <f>IF(AK93="",IF(HidePlayerFormulas,"","("&amp;G99&amp;")"),VLOOKUP(AK99,C94:Q99,5,FALSE))</f>
        <v/>
      </c>
      <c r="AP99" s="515" t="str">
        <f>VLOOKUP(AK99,C94:Q99,8,FALSE)</f>
        <v/>
      </c>
      <c r="AQ99" s="515" t="str">
        <f>VLOOKUP(AK99,C94:Q99,9,FALSE)</f>
        <v/>
      </c>
      <c r="AR99" s="515" t="str">
        <f>VLOOKUP(AK99,C94:Q99,10,FALSE)</f>
        <v/>
      </c>
      <c r="AS99" s="515" t="str">
        <f>VLOOKUP(AK99,C94:Q99,11,FALSE)</f>
        <v/>
      </c>
      <c r="AT99" s="515" t="str">
        <f>VLOOKUP(AK99,C94:Q99,12,FALSE)</f>
        <v/>
      </c>
      <c r="AU99" s="515" t="str">
        <f>VLOOKUP(AK99,C94:Q99,13,FALSE)</f>
        <v/>
      </c>
      <c r="AV99" s="515" t="str">
        <f>VLOOKUP(AK99,C94:Q99,14,FALSE)</f>
        <v/>
      </c>
      <c r="AW99" s="516" t="str">
        <f>VLOOKUP(AK99,C94:Q99,15,FALSE)</f>
        <v/>
      </c>
      <c r="AX99" s="523" t="str">
        <f>IF(W99="","",IF(AO99=V99,W99,IF(AO99=Z99,Y99,"")))</f>
        <v/>
      </c>
      <c r="AY99" s="524" t="str">
        <f>IF(W98="","",IF(AO99=V98,W98,IF(AO99=Z98,Y98,"")))</f>
        <v/>
      </c>
      <c r="AZ99" s="524" t="str">
        <f>IF(W97="","",IF(AO99=V97,W97,IF(AO99=Z97,Y97,"")))</f>
        <v/>
      </c>
      <c r="BA99" s="524" t="str">
        <f>IF(W102="","",IF(AO99=V102,W102,IF(AO99=Z102,Y102,"")))</f>
        <v/>
      </c>
      <c r="BB99" s="524" t="str">
        <f>IF(W101="","",IF(AO99=V101,W101,IF(AO99=Z101,Y101,"")))</f>
        <v/>
      </c>
      <c r="BC99" s="524" t="str">
        <f>IF(W100="","",IF(AO99=V100,W100,IF(AO99=Z100,Y100,"")))</f>
        <v/>
      </c>
      <c r="BD99" s="524" t="str">
        <f>IF(W94="","",IF(AO99=V94,W94,IF(AO99=Z94,Y94,"")))</f>
        <v/>
      </c>
      <c r="BE99" s="524" t="str">
        <f>IF(W95="","",IF(AO99=V95,W95,IF(AO99=Z95,Y95,"")))</f>
        <v/>
      </c>
      <c r="BF99" s="524" t="str">
        <f>IF(W96="","",IF(AO99=V96,W96,IF(AO99=Z96,Y96,"")))</f>
        <v/>
      </c>
      <c r="BG99" s="524" t="str">
        <f>IF(W104="","",IF(AO99=V104,W104,IF(AO99=Z104,Y104,"")))</f>
        <v/>
      </c>
      <c r="BH99" s="524" t="str">
        <f>IF(W103="","",IF(AO99=V103,W103,IF(AO99=Z103,Y103,"")))</f>
        <v/>
      </c>
      <c r="BI99" s="524" t="str">
        <f>IF(W105="","",IF(AO99=V105,W105,IF(AO99=Z105,Y105,"")))</f>
        <v/>
      </c>
      <c r="BJ99" s="524" t="str">
        <f>IF(W108="","",IF(AO99=V108,W108,IF(AO99=Z108,Y108,"")))</f>
        <v/>
      </c>
      <c r="BK99" s="524" t="str">
        <f>IF(W107="","",IF(AO99=V107,W107,IF(AO99=Z107,Y107,"")))</f>
        <v/>
      </c>
      <c r="BL99" s="525" t="str">
        <f>IF(W106="","",IF(AO99=V106,W106,IF(AO99=Z106,Y106,"")))</f>
        <v/>
      </c>
      <c r="BM99" s="270"/>
      <c r="BN99" s="270"/>
      <c r="BO99" s="270"/>
      <c r="BP99" s="270"/>
      <c r="BQ99" s="270"/>
      <c r="BR99" s="270"/>
      <c r="BS99" s="270"/>
      <c r="BT99" s="270"/>
      <c r="BU99" s="270"/>
      <c r="BV99" s="270"/>
      <c r="BW99" s="270"/>
      <c r="BX99" s="270"/>
      <c r="BY99" s="270"/>
      <c r="BZ99" s="1395" t="b">
        <f t="shared" si="60"/>
        <v>1</v>
      </c>
      <c r="CA99" s="1450" t="b">
        <f t="shared" si="61"/>
        <v>0</v>
      </c>
      <c r="CB99" s="1450" t="b">
        <f t="shared" si="62"/>
        <v>1</v>
      </c>
      <c r="CC99" s="270"/>
      <c r="CD99" s="270"/>
      <c r="CE99"/>
    </row>
    <row r="100" spans="1:83" outlineLevel="2" x14ac:dyDescent="0.2">
      <c r="A100" s="270"/>
      <c r="B100" s="271"/>
      <c r="C100" s="270"/>
      <c r="D100" s="270"/>
      <c r="E100" s="270"/>
      <c r="F100" s="270"/>
      <c r="G100" s="271"/>
      <c r="H100" s="271"/>
      <c r="I100" s="271"/>
      <c r="J100" s="270"/>
      <c r="K100" s="270"/>
      <c r="L100" s="270"/>
      <c r="M100" s="270"/>
      <c r="N100" s="270"/>
      <c r="O100" s="270"/>
      <c r="P100" s="270"/>
      <c r="Q100" s="270"/>
      <c r="R100" s="558" t="s">
        <v>1728</v>
      </c>
      <c r="S100" s="611"/>
      <c r="T100" s="617"/>
      <c r="U100" s="1499"/>
      <c r="V100" s="468" t="str">
        <f>IF(G94="","",G94)</f>
        <v>A1</v>
      </c>
      <c r="W100" s="469"/>
      <c r="X100" s="470" t="s">
        <v>769</v>
      </c>
      <c r="Y100" s="469"/>
      <c r="Z100" s="471" t="str">
        <f>IF(G97="","",G97)</f>
        <v>A4</v>
      </c>
      <c r="AA100" s="839"/>
      <c r="AB100" s="1459">
        <f>IF(MaxScore,MaxGoals(W100,Y100,MaxGoalsValue),IF(W100="","",W100))</f>
        <v>0</v>
      </c>
      <c r="AC100" s="1460" t="str">
        <f t="shared" si="54"/>
        <v>-</v>
      </c>
      <c r="AD100" s="1459">
        <f>IF(MaxScore,MaxGoals(Y100,W100,MaxGoalsValue),IF(Y100="","",Y100))</f>
        <v>0</v>
      </c>
      <c r="AE100" s="968" t="str">
        <f t="shared" si="55"/>
        <v/>
      </c>
      <c r="AF100" s="968" t="str">
        <f t="shared" si="56"/>
        <v/>
      </c>
      <c r="AG100" s="968" t="str">
        <f t="shared" si="57"/>
        <v/>
      </c>
      <c r="AH100" s="968" t="str">
        <f t="shared" si="58"/>
        <v/>
      </c>
      <c r="AI100" s="968" t="str">
        <f t="shared" si="59"/>
        <v/>
      </c>
      <c r="AJ100" s="968"/>
      <c r="AM100" s="270"/>
      <c r="AN100" s="575"/>
      <c r="AO100" s="270"/>
      <c r="AP100" s="271"/>
      <c r="AQ100" s="271"/>
      <c r="AR100" s="271"/>
      <c r="AS100" s="271"/>
      <c r="AT100" s="271"/>
      <c r="AU100" s="271"/>
      <c r="AV100" s="271"/>
      <c r="AW100" s="271"/>
      <c r="AX100" s="271"/>
      <c r="AY100" s="271"/>
      <c r="AZ100" s="271"/>
      <c r="BA100" s="271"/>
      <c r="BB100" s="271"/>
      <c r="BC100" s="271"/>
      <c r="BD100" s="271"/>
      <c r="BE100" s="271"/>
      <c r="BF100" s="271"/>
      <c r="BG100" s="271"/>
      <c r="BH100" s="271"/>
      <c r="BI100" s="271"/>
      <c r="BJ100" s="271"/>
      <c r="BK100" s="271"/>
      <c r="BL100" s="271"/>
      <c r="BM100" s="271"/>
      <c r="BN100" s="271"/>
      <c r="BO100" s="271"/>
      <c r="BP100" s="271"/>
      <c r="BQ100" s="271"/>
      <c r="BR100" s="271"/>
      <c r="BS100" s="271"/>
      <c r="BT100" s="271"/>
      <c r="BU100" s="271"/>
      <c r="BV100" s="271"/>
      <c r="BW100" s="271"/>
      <c r="BX100" s="271"/>
      <c r="BY100" s="271"/>
      <c r="BZ100" s="1395"/>
      <c r="CA100" s="1450"/>
      <c r="CB100" s="1450"/>
      <c r="CC100" s="270"/>
      <c r="CD100" s="270"/>
    </row>
    <row r="101" spans="1:83" outlineLevel="2" x14ac:dyDescent="0.2">
      <c r="A101" s="270"/>
      <c r="B101" s="271"/>
      <c r="C101" s="270"/>
      <c r="D101" s="270"/>
      <c r="E101" s="270"/>
      <c r="F101" s="270"/>
      <c r="G101" s="271"/>
      <c r="H101" s="271"/>
      <c r="I101" s="271"/>
      <c r="J101" s="270"/>
      <c r="K101" s="270"/>
      <c r="L101" s="270"/>
      <c r="M101" s="270"/>
      <c r="N101" s="270"/>
      <c r="O101" s="270"/>
      <c r="P101" s="270"/>
      <c r="Q101" s="270"/>
      <c r="R101" s="558" t="s">
        <v>1728</v>
      </c>
      <c r="S101" s="613"/>
      <c r="T101" s="618"/>
      <c r="U101" s="1500"/>
      <c r="V101" s="459" t="str">
        <f>IF(G98="","",G98)</f>
        <v>A5</v>
      </c>
      <c r="W101" s="272"/>
      <c r="X101" s="273" t="s">
        <v>769</v>
      </c>
      <c r="Y101" s="272"/>
      <c r="Z101" s="460" t="str">
        <f>IF(G95="","",G95)</f>
        <v>A2</v>
      </c>
      <c r="AA101" s="839"/>
      <c r="AB101" s="1459">
        <f>IF(MaxScore,MaxGoals(W101,Y101,MaxGoalsValue),IF(W101="","",W101))</f>
        <v>0</v>
      </c>
      <c r="AC101" s="1460" t="str">
        <f t="shared" si="54"/>
        <v>-</v>
      </c>
      <c r="AD101" s="1459">
        <f>IF(MaxScore,MaxGoals(Y101,W101,MaxGoalsValue),IF(Y101="","",Y101))</f>
        <v>0</v>
      </c>
      <c r="AE101" s="968" t="str">
        <f t="shared" si="55"/>
        <v/>
      </c>
      <c r="AF101" s="968" t="str">
        <f t="shared" si="56"/>
        <v/>
      </c>
      <c r="AG101" s="968" t="str">
        <f t="shared" si="57"/>
        <v/>
      </c>
      <c r="AH101" s="968" t="str">
        <f t="shared" si="58"/>
        <v/>
      </c>
      <c r="AI101" s="968" t="str">
        <f t="shared" si="59"/>
        <v/>
      </c>
      <c r="AJ101" s="968"/>
      <c r="AM101" s="270"/>
      <c r="AN101" s="575"/>
      <c r="AO101" s="270"/>
      <c r="AP101" s="271"/>
      <c r="AQ101" s="271"/>
      <c r="AR101" s="271"/>
      <c r="AS101" s="271"/>
      <c r="AT101" s="271"/>
      <c r="AU101" s="271"/>
      <c r="AV101" s="271"/>
      <c r="AW101" s="271"/>
      <c r="AX101" s="271"/>
      <c r="AY101" s="271"/>
      <c r="AZ101" s="271"/>
      <c r="BA101" s="271"/>
      <c r="BB101" s="271"/>
      <c r="BC101" s="271"/>
      <c r="BD101" s="271"/>
      <c r="BE101" s="271"/>
      <c r="BF101" s="271"/>
      <c r="BG101" s="271"/>
      <c r="BH101" s="271"/>
      <c r="BI101" s="271"/>
      <c r="BJ101" s="271"/>
      <c r="BK101" s="271"/>
      <c r="BL101" s="271"/>
      <c r="BM101" s="271"/>
      <c r="BN101" s="271"/>
      <c r="BO101" s="271"/>
      <c r="BP101" s="271"/>
      <c r="BQ101" s="271"/>
      <c r="BR101" s="271"/>
      <c r="BS101" s="271"/>
      <c r="BT101" s="271"/>
      <c r="BU101" s="271"/>
      <c r="BV101" s="271"/>
      <c r="BW101" s="271"/>
      <c r="BX101" s="271"/>
      <c r="BY101" s="271"/>
      <c r="BZ101" s="1395"/>
      <c r="CA101" s="1450"/>
      <c r="CB101" s="1450"/>
      <c r="CC101" s="270"/>
      <c r="CD101" s="270"/>
    </row>
    <row r="102" spans="1:83" ht="13.5" outlineLevel="2" thickBot="1" x14ac:dyDescent="0.25">
      <c r="A102" s="270"/>
      <c r="B102" s="271"/>
      <c r="C102" s="270"/>
      <c r="D102" s="270"/>
      <c r="E102" s="270"/>
      <c r="F102" s="270"/>
      <c r="G102" s="271"/>
      <c r="H102" s="271"/>
      <c r="I102" s="271"/>
      <c r="J102" s="270"/>
      <c r="K102" s="270"/>
      <c r="L102" s="270"/>
      <c r="M102" s="270"/>
      <c r="N102" s="270"/>
      <c r="O102" s="270"/>
      <c r="P102" s="270"/>
      <c r="Q102" s="270"/>
      <c r="R102" s="558" t="s">
        <v>1728</v>
      </c>
      <c r="S102" s="615"/>
      <c r="T102" s="619"/>
      <c r="U102" s="1501"/>
      <c r="V102" s="2204" t="str">
        <f>IF(G99="","",G99)</f>
        <v>A6</v>
      </c>
      <c r="W102" s="2205"/>
      <c r="X102" s="2206" t="s">
        <v>769</v>
      </c>
      <c r="Y102" s="2205"/>
      <c r="Z102" s="2207" t="str">
        <f>IF(G96="","",G96)</f>
        <v>A3</v>
      </c>
      <c r="AA102" s="839"/>
      <c r="AB102" s="1459">
        <f>IF(MaxScore,MaxGoals(W102,Y102,MaxGoalsValue),IF(W102="","",W102))</f>
        <v>0</v>
      </c>
      <c r="AC102" s="1460" t="str">
        <f t="shared" si="54"/>
        <v>-</v>
      </c>
      <c r="AD102" s="1459">
        <f>IF(MaxScore,MaxGoals(Y102,W102,MaxGoalsValue),IF(Y102="","",Y102))</f>
        <v>0</v>
      </c>
      <c r="AE102" s="968" t="str">
        <f t="shared" si="55"/>
        <v/>
      </c>
      <c r="AF102" s="968" t="str">
        <f t="shared" si="56"/>
        <v/>
      </c>
      <c r="AG102" s="968" t="str">
        <f t="shared" si="57"/>
        <v/>
      </c>
      <c r="AH102" s="968" t="str">
        <f t="shared" si="58"/>
        <v/>
      </c>
      <c r="AI102" s="968" t="str">
        <f t="shared" si="59"/>
        <v/>
      </c>
      <c r="AJ102" s="968"/>
      <c r="AM102" s="270"/>
      <c r="AN102" s="575"/>
      <c r="AO102" s="270"/>
      <c r="AP102" s="271"/>
      <c r="AQ102" s="271"/>
      <c r="AR102" s="271"/>
      <c r="AS102" s="271"/>
      <c r="AT102" s="271"/>
      <c r="AU102" s="271"/>
      <c r="AV102" s="271"/>
      <c r="AW102" s="271"/>
      <c r="AX102" s="271"/>
      <c r="AY102" s="271"/>
      <c r="AZ102" s="271"/>
      <c r="BA102" s="271"/>
      <c r="BB102" s="271"/>
      <c r="BC102" s="271"/>
      <c r="BD102" s="271"/>
      <c r="BE102" s="271"/>
      <c r="BF102" s="271"/>
      <c r="BG102" s="271"/>
      <c r="BH102" s="271"/>
      <c r="BI102" s="271"/>
      <c r="BJ102" s="271"/>
      <c r="BK102" s="271"/>
      <c r="BL102" s="271"/>
      <c r="BM102" s="271"/>
      <c r="BN102" s="271"/>
      <c r="BO102" s="271"/>
      <c r="BP102" s="271"/>
      <c r="BQ102" s="271"/>
      <c r="BR102" s="271"/>
      <c r="BS102" s="271"/>
      <c r="BT102" s="271"/>
      <c r="BU102" s="271"/>
      <c r="BV102" s="271"/>
      <c r="BW102" s="271"/>
      <c r="BX102" s="271"/>
      <c r="BY102" s="271"/>
      <c r="BZ102" s="1395"/>
      <c r="CA102" s="1450"/>
      <c r="CB102" s="1450"/>
      <c r="CC102" s="270"/>
      <c r="CD102" s="270"/>
    </row>
    <row r="103" spans="1:83" outlineLevel="2" x14ac:dyDescent="0.2">
      <c r="A103" s="270"/>
      <c r="B103" s="271"/>
      <c r="C103" s="270"/>
      <c r="D103" s="270"/>
      <c r="E103" s="270"/>
      <c r="F103" s="270"/>
      <c r="G103" s="271"/>
      <c r="H103" s="271"/>
      <c r="I103" s="271"/>
      <c r="J103" s="270"/>
      <c r="K103" s="270"/>
      <c r="L103" s="270"/>
      <c r="M103" s="270"/>
      <c r="N103" s="270"/>
      <c r="O103" s="270"/>
      <c r="P103" s="270"/>
      <c r="Q103" s="270"/>
      <c r="R103" s="558" t="s">
        <v>1729</v>
      </c>
      <c r="S103" s="611"/>
      <c r="T103" s="617"/>
      <c r="U103" s="1499"/>
      <c r="V103" s="2200" t="str">
        <f>IF(G95="","",G95)</f>
        <v>A2</v>
      </c>
      <c r="W103" s="2201"/>
      <c r="X103" s="2202" t="s">
        <v>769</v>
      </c>
      <c r="Y103" s="2201"/>
      <c r="Z103" s="2203" t="str">
        <f>IF(G99="","",G99)</f>
        <v>A6</v>
      </c>
      <c r="AA103" s="839"/>
      <c r="AB103" s="1459">
        <f>IF(MaxScore,MaxGoals(W103,Y103,MaxGoalsValue),IF(W103="","",W103))</f>
        <v>0</v>
      </c>
      <c r="AC103" s="1460" t="str">
        <f t="shared" si="54"/>
        <v>-</v>
      </c>
      <c r="AD103" s="1459">
        <f>IF(MaxScore,MaxGoals(Y103,W103,MaxGoalsValue),IF(Y103="","",Y103))</f>
        <v>0</v>
      </c>
      <c r="AE103" s="968" t="str">
        <f t="shared" si="55"/>
        <v/>
      </c>
      <c r="AF103" s="968" t="str">
        <f t="shared" si="56"/>
        <v/>
      </c>
      <c r="AG103" s="968" t="str">
        <f t="shared" si="57"/>
        <v/>
      </c>
      <c r="AH103" s="968" t="str">
        <f t="shared" si="58"/>
        <v/>
      </c>
      <c r="AI103" s="968" t="str">
        <f t="shared" si="59"/>
        <v/>
      </c>
      <c r="AJ103" s="968"/>
      <c r="AK103" s="968"/>
      <c r="AL103" s="270"/>
      <c r="AM103" s="270"/>
      <c r="AN103" s="575"/>
      <c r="AO103" s="270"/>
      <c r="AP103" s="271"/>
      <c r="AQ103" s="271"/>
      <c r="AR103" s="271"/>
      <c r="AS103" s="271"/>
      <c r="AT103" s="271"/>
      <c r="AU103" s="271"/>
      <c r="AV103" s="271"/>
      <c r="AW103" s="271"/>
      <c r="AX103" s="271"/>
      <c r="AY103" s="271"/>
      <c r="AZ103" s="271"/>
      <c r="BA103" s="271"/>
      <c r="BB103" s="271"/>
      <c r="BC103" s="271"/>
      <c r="BD103" s="271"/>
      <c r="BE103" s="271"/>
      <c r="BF103" s="271"/>
      <c r="BG103" s="271"/>
      <c r="BH103" s="271"/>
      <c r="BI103" s="271"/>
      <c r="BJ103" s="271"/>
      <c r="BK103" s="271"/>
      <c r="BL103" s="271"/>
      <c r="BM103" s="271"/>
      <c r="BN103" s="271"/>
      <c r="BO103" s="271"/>
      <c r="BP103" s="271"/>
      <c r="BQ103" s="271"/>
      <c r="BR103" s="271"/>
      <c r="BS103" s="271"/>
      <c r="BT103" s="271"/>
      <c r="BU103" s="271"/>
      <c r="BV103" s="271"/>
      <c r="BW103" s="271"/>
      <c r="BX103" s="271"/>
      <c r="BY103" s="271"/>
      <c r="BZ103" s="1395"/>
      <c r="CA103" s="1450"/>
      <c r="CB103" s="1450"/>
      <c r="CC103" s="270"/>
      <c r="CD103" s="270"/>
      <c r="CE103"/>
    </row>
    <row r="104" spans="1:83" outlineLevel="2" x14ac:dyDescent="0.2">
      <c r="A104" s="270"/>
      <c r="B104" s="271"/>
      <c r="C104" s="270"/>
      <c r="D104" s="270"/>
      <c r="E104" s="270"/>
      <c r="F104" s="270"/>
      <c r="G104" s="271"/>
      <c r="H104" s="271"/>
      <c r="I104" s="271"/>
      <c r="J104" s="270"/>
      <c r="K104" s="270"/>
      <c r="L104" s="270"/>
      <c r="M104" s="270"/>
      <c r="N104" s="270"/>
      <c r="O104" s="270"/>
      <c r="P104" s="270"/>
      <c r="Q104" s="270"/>
      <c r="R104" s="558" t="s">
        <v>1729</v>
      </c>
      <c r="S104" s="613"/>
      <c r="T104" s="618"/>
      <c r="U104" s="1500"/>
      <c r="V104" s="459" t="str">
        <f>IF(G96="","",G96)</f>
        <v>A3</v>
      </c>
      <c r="W104" s="272"/>
      <c r="X104" s="273" t="s">
        <v>769</v>
      </c>
      <c r="Y104" s="272"/>
      <c r="Z104" s="460" t="str">
        <f>IF(G94="","",G94)</f>
        <v>A1</v>
      </c>
      <c r="AA104" s="839"/>
      <c r="AB104" s="1459">
        <f>IF(MaxScore,MaxGoals(W104,Y104,MaxGoalsValue),IF(W104="","",W104))</f>
        <v>0</v>
      </c>
      <c r="AC104" s="1460" t="str">
        <f t="shared" si="54"/>
        <v>-</v>
      </c>
      <c r="AD104" s="1459">
        <f>IF(MaxScore,MaxGoals(Y104,W104,MaxGoalsValue),IF(Y104="","",Y104))</f>
        <v>0</v>
      </c>
      <c r="AE104" s="968" t="str">
        <f t="shared" si="55"/>
        <v/>
      </c>
      <c r="AF104" s="968" t="str">
        <f t="shared" si="56"/>
        <v/>
      </c>
      <c r="AG104" s="968" t="str">
        <f t="shared" si="57"/>
        <v/>
      </c>
      <c r="AH104" s="968" t="str">
        <f t="shared" si="58"/>
        <v/>
      </c>
      <c r="AI104" s="968" t="str">
        <f t="shared" si="59"/>
        <v/>
      </c>
      <c r="AJ104" s="968"/>
      <c r="AK104" s="968"/>
      <c r="AL104" s="270"/>
      <c r="AM104" s="270"/>
      <c r="AN104" s="575"/>
      <c r="AO104" s="270"/>
      <c r="AP104" s="271"/>
      <c r="AQ104" s="271"/>
      <c r="AR104" s="271"/>
      <c r="AS104" s="271"/>
      <c r="AT104" s="271"/>
      <c r="AU104" s="271"/>
      <c r="AV104" s="271"/>
      <c r="AW104" s="271"/>
      <c r="AX104" s="271"/>
      <c r="AY104" s="271"/>
      <c r="AZ104" s="271"/>
      <c r="BA104" s="271"/>
      <c r="BB104" s="271"/>
      <c r="BC104" s="271"/>
      <c r="BD104" s="271"/>
      <c r="BE104" s="271"/>
      <c r="BF104" s="271"/>
      <c r="BG104" s="271"/>
      <c r="BH104" s="271"/>
      <c r="BI104" s="271"/>
      <c r="BJ104" s="271"/>
      <c r="BK104" s="271"/>
      <c r="BL104" s="271"/>
      <c r="BM104" s="271"/>
      <c r="BN104" s="271"/>
      <c r="BO104" s="271"/>
      <c r="BP104" s="271"/>
      <c r="BQ104" s="271"/>
      <c r="BR104" s="271"/>
      <c r="BS104" s="271"/>
      <c r="BT104" s="271"/>
      <c r="BU104" s="271"/>
      <c r="BV104" s="271"/>
      <c r="BW104" s="271"/>
      <c r="BX104" s="271"/>
      <c r="BY104" s="271"/>
      <c r="BZ104" s="1395"/>
      <c r="CA104" s="1450"/>
      <c r="CB104" s="1450"/>
      <c r="CC104" s="270"/>
      <c r="CD104" s="270"/>
      <c r="CE104"/>
    </row>
    <row r="105" spans="1:83" ht="13.5" outlineLevel="2" thickBot="1" x14ac:dyDescent="0.25">
      <c r="A105" s="270"/>
      <c r="B105" s="271"/>
      <c r="C105" s="270"/>
      <c r="D105" s="270"/>
      <c r="E105" s="270"/>
      <c r="F105" s="270"/>
      <c r="G105" s="271"/>
      <c r="H105" s="271"/>
      <c r="I105" s="271"/>
      <c r="J105" s="270"/>
      <c r="K105" s="270"/>
      <c r="L105" s="270"/>
      <c r="M105" s="270"/>
      <c r="N105" s="270"/>
      <c r="O105" s="270"/>
      <c r="P105" s="270"/>
      <c r="Q105" s="270"/>
      <c r="R105" s="558" t="s">
        <v>1729</v>
      </c>
      <c r="S105" s="615"/>
      <c r="T105" s="619"/>
      <c r="U105" s="1501"/>
      <c r="V105" s="461" t="str">
        <f>IF(G97="","",G97)</f>
        <v>A4</v>
      </c>
      <c r="W105" s="450"/>
      <c r="X105" s="462" t="s">
        <v>769</v>
      </c>
      <c r="Y105" s="450"/>
      <c r="Z105" s="463" t="str">
        <f>IF(G98="","",G98)</f>
        <v>A5</v>
      </c>
      <c r="AA105" s="839"/>
      <c r="AB105" s="1459">
        <f t="shared" ref="AB105:AB107" si="63">IF(MaxScore,MaxGoals(W105,Y105,MaxGoalsValue),IF(W105="","",W105))</f>
        <v>0</v>
      </c>
      <c r="AC105" s="1460" t="str">
        <f t="shared" ref="AC105:AC107" si="64">IF(MaxScore,"-",IF(W105="","","-"))</f>
        <v>-</v>
      </c>
      <c r="AD105" s="1459">
        <f t="shared" ref="AD105:AD107" si="65">IF(MaxScore,MaxGoals(Y105,W105,MaxGoalsValue),IF(Y105="","",Y105))</f>
        <v>0</v>
      </c>
      <c r="AE105" s="968" t="str">
        <f t="shared" ref="AE105:AE107" si="66">IF(W105="","",IF(W105&gt;Y105,V105,IF(W105=Y105,"",Z105)))</f>
        <v/>
      </c>
      <c r="AF105" s="968" t="str">
        <f t="shared" ref="AF105:AF107" si="67">IF(W105="","",IF(W105=Y105,V105,""))</f>
        <v/>
      </c>
      <c r="AG105" s="968" t="str">
        <f t="shared" ref="AG105:AG107" si="68">IF(W105="","",IF(W105=Y105,Z105,""))</f>
        <v/>
      </c>
      <c r="AH105" s="968" t="str">
        <f t="shared" ref="AH105:AH107" si="69">IF(W105="","",IF(W105&lt;Y105,V105,IF(W105=Y105,"",Z105)))</f>
        <v/>
      </c>
      <c r="AI105" s="968" t="str">
        <f t="shared" ref="AI105:AI107" si="70">CONCATENATE(AE105,AH105)</f>
        <v/>
      </c>
      <c r="AJ105" s="968"/>
      <c r="AK105" s="968"/>
      <c r="AL105" s="270"/>
      <c r="AM105" s="270"/>
      <c r="AN105" s="575"/>
      <c r="AO105" s="270"/>
      <c r="AP105" s="271"/>
      <c r="AQ105" s="271"/>
      <c r="AR105" s="271"/>
      <c r="AS105" s="271"/>
      <c r="AT105" s="271"/>
      <c r="AU105" s="271"/>
      <c r="AV105" s="271"/>
      <c r="AW105" s="271"/>
      <c r="AX105" s="271"/>
      <c r="AY105" s="271"/>
      <c r="AZ105" s="271"/>
      <c r="BA105" s="271"/>
      <c r="BB105" s="271"/>
      <c r="BC105" s="271"/>
      <c r="BD105" s="271"/>
      <c r="BE105" s="271"/>
      <c r="BF105" s="271"/>
      <c r="BG105" s="271"/>
      <c r="BH105" s="271"/>
      <c r="BI105" s="271"/>
      <c r="BJ105" s="271"/>
      <c r="BK105" s="271"/>
      <c r="BL105" s="271"/>
      <c r="BM105" s="271"/>
      <c r="BN105" s="271"/>
      <c r="BO105" s="271"/>
      <c r="BP105" s="271"/>
      <c r="BQ105" s="271"/>
      <c r="BR105" s="271"/>
      <c r="BS105" s="271"/>
      <c r="BT105" s="271"/>
      <c r="BU105" s="271"/>
      <c r="BV105" s="271"/>
      <c r="BW105" s="271"/>
      <c r="BX105" s="271"/>
      <c r="BY105" s="271"/>
      <c r="BZ105" s="1395"/>
      <c r="CA105" s="1450"/>
      <c r="CB105" s="1450"/>
      <c r="CC105" s="270"/>
      <c r="CD105" s="270"/>
      <c r="CE105"/>
    </row>
    <row r="106" spans="1:83" outlineLevel="2" x14ac:dyDescent="0.2">
      <c r="A106" s="270"/>
      <c r="B106" s="271"/>
      <c r="C106" s="270"/>
      <c r="D106" s="270"/>
      <c r="E106" s="270"/>
      <c r="F106" s="270"/>
      <c r="G106" s="271"/>
      <c r="H106" s="271"/>
      <c r="I106" s="271"/>
      <c r="J106" s="270"/>
      <c r="K106" s="270"/>
      <c r="L106" s="270"/>
      <c r="M106" s="270"/>
      <c r="N106" s="270"/>
      <c r="O106" s="270"/>
      <c r="P106" s="270"/>
      <c r="Q106" s="270"/>
      <c r="R106" s="558" t="s">
        <v>1730</v>
      </c>
      <c r="S106" s="611"/>
      <c r="T106" s="617"/>
      <c r="U106" s="1499"/>
      <c r="V106" s="455" t="str">
        <f>IF(G94="","",G94)</f>
        <v>A1</v>
      </c>
      <c r="W106" s="456"/>
      <c r="X106" s="457" t="s">
        <v>769</v>
      </c>
      <c r="Y106" s="456"/>
      <c r="Z106" s="458" t="str">
        <f>IF(G95="","",G95)</f>
        <v>A2</v>
      </c>
      <c r="AA106" s="839"/>
      <c r="AB106" s="1459">
        <f>IF(MaxScore,MaxGoals(W106,Y106,MaxGoalsValue),IF(W106="","",W106))</f>
        <v>0</v>
      </c>
      <c r="AC106" s="1460" t="str">
        <f>IF(MaxScore,"-",IF(W106="","","-"))</f>
        <v>-</v>
      </c>
      <c r="AD106" s="1459">
        <f>IF(MaxScore,MaxGoals(Y106,W106,MaxGoalsValue),IF(Y106="","",Y106))</f>
        <v>0</v>
      </c>
      <c r="AE106" s="968" t="str">
        <f>IF(W106="","",IF(W106&gt;Y106,V106,IF(W106=Y106,"",Z106)))</f>
        <v/>
      </c>
      <c r="AF106" s="968" t="str">
        <f>IF(W106="","",IF(W106=Y106,V106,""))</f>
        <v/>
      </c>
      <c r="AG106" s="968" t="str">
        <f>IF(W106="","",IF(W106=Y106,Z106,""))</f>
        <v/>
      </c>
      <c r="AH106" s="968" t="str">
        <f>IF(W106="","",IF(W106&lt;Y106,V106,IF(W106=Y106,"",Z106)))</f>
        <v/>
      </c>
      <c r="AI106" s="968" t="str">
        <f>CONCATENATE(AE106,AH106)</f>
        <v/>
      </c>
      <c r="AJ106" s="968"/>
      <c r="AK106" s="968"/>
      <c r="AL106" s="270"/>
      <c r="AM106" s="270"/>
      <c r="AN106" s="575"/>
      <c r="AO106" s="270"/>
      <c r="AP106" s="271"/>
      <c r="AQ106" s="271"/>
      <c r="AR106" s="271"/>
      <c r="AS106" s="271"/>
      <c r="AT106" s="271"/>
      <c r="AU106" s="271"/>
      <c r="AV106" s="271"/>
      <c r="AW106" s="271"/>
      <c r="AX106" s="271"/>
      <c r="AY106" s="271"/>
      <c r="AZ106" s="271"/>
      <c r="BA106" s="271"/>
      <c r="BB106" s="271"/>
      <c r="BC106" s="271"/>
      <c r="BD106" s="271"/>
      <c r="BE106" s="271"/>
      <c r="BF106" s="271"/>
      <c r="BG106" s="271"/>
      <c r="BH106" s="271"/>
      <c r="BI106" s="271"/>
      <c r="BJ106" s="271"/>
      <c r="BK106" s="271"/>
      <c r="BL106" s="271"/>
      <c r="BM106" s="271"/>
      <c r="BN106" s="271"/>
      <c r="BO106" s="271"/>
      <c r="BP106" s="271"/>
      <c r="BQ106" s="271"/>
      <c r="BR106" s="271"/>
      <c r="BS106" s="271"/>
      <c r="BT106" s="271"/>
      <c r="BU106" s="271"/>
      <c r="BV106" s="271"/>
      <c r="BW106" s="271"/>
      <c r="BX106" s="271"/>
      <c r="BY106" s="271"/>
      <c r="BZ106" s="1395"/>
      <c r="CA106" s="1450"/>
      <c r="CB106" s="1450"/>
      <c r="CC106" s="270"/>
      <c r="CD106" s="270"/>
      <c r="CE106"/>
    </row>
    <row r="107" spans="1:83" outlineLevel="2" x14ac:dyDescent="0.2">
      <c r="A107" s="270"/>
      <c r="B107" s="271"/>
      <c r="C107" s="270"/>
      <c r="D107" s="270"/>
      <c r="E107" s="270"/>
      <c r="F107" s="270"/>
      <c r="G107" s="271"/>
      <c r="H107" s="271"/>
      <c r="I107" s="271"/>
      <c r="J107" s="270"/>
      <c r="K107" s="270"/>
      <c r="L107" s="270"/>
      <c r="M107" s="270"/>
      <c r="N107" s="270"/>
      <c r="O107" s="270"/>
      <c r="P107" s="270"/>
      <c r="Q107" s="270"/>
      <c r="R107" s="558" t="s">
        <v>1730</v>
      </c>
      <c r="S107" s="613"/>
      <c r="T107" s="618"/>
      <c r="U107" s="1500"/>
      <c r="V107" s="459" t="str">
        <f>IF(G96="","",G96)</f>
        <v>A3</v>
      </c>
      <c r="W107" s="272"/>
      <c r="X107" s="273" t="s">
        <v>769</v>
      </c>
      <c r="Y107" s="272"/>
      <c r="Z107" s="460" t="str">
        <f>IF(G97="","",G97)</f>
        <v>A4</v>
      </c>
      <c r="AA107" s="839"/>
      <c r="AB107" s="1459">
        <f t="shared" si="63"/>
        <v>0</v>
      </c>
      <c r="AC107" s="1460" t="str">
        <f t="shared" si="64"/>
        <v>-</v>
      </c>
      <c r="AD107" s="1459">
        <f t="shared" si="65"/>
        <v>0</v>
      </c>
      <c r="AE107" s="968" t="str">
        <f t="shared" si="66"/>
        <v/>
      </c>
      <c r="AF107" s="968" t="str">
        <f t="shared" si="67"/>
        <v/>
      </c>
      <c r="AG107" s="968" t="str">
        <f t="shared" si="68"/>
        <v/>
      </c>
      <c r="AH107" s="968" t="str">
        <f t="shared" si="69"/>
        <v/>
      </c>
      <c r="AI107" s="968" t="str">
        <f t="shared" si="70"/>
        <v/>
      </c>
      <c r="AJ107" s="968"/>
      <c r="AK107" s="968"/>
      <c r="AL107" s="270"/>
      <c r="AM107" s="270"/>
      <c r="AN107" s="575"/>
      <c r="AO107" s="270"/>
      <c r="AP107" s="271"/>
      <c r="AQ107" s="271"/>
      <c r="AR107" s="271"/>
      <c r="AS107" s="271"/>
      <c r="AT107" s="271"/>
      <c r="AU107" s="271"/>
      <c r="AV107" s="271"/>
      <c r="AW107" s="271"/>
      <c r="AX107" s="271"/>
      <c r="AY107" s="271"/>
      <c r="AZ107" s="271"/>
      <c r="BA107" s="271"/>
      <c r="BB107" s="271"/>
      <c r="BC107" s="271"/>
      <c r="BD107" s="271"/>
      <c r="BE107" s="271"/>
      <c r="BF107" s="271"/>
      <c r="BG107" s="271"/>
      <c r="BH107" s="271"/>
      <c r="BI107" s="271"/>
      <c r="BJ107" s="271"/>
      <c r="BK107" s="271"/>
      <c r="BL107" s="271"/>
      <c r="BM107" s="271"/>
      <c r="BN107" s="271"/>
      <c r="BO107" s="271"/>
      <c r="BP107" s="271"/>
      <c r="BQ107" s="271"/>
      <c r="BR107" s="271"/>
      <c r="BS107" s="271"/>
      <c r="BT107" s="271"/>
      <c r="BU107" s="271"/>
      <c r="BV107" s="271"/>
      <c r="BW107" s="271"/>
      <c r="BX107" s="271"/>
      <c r="BY107" s="271"/>
      <c r="BZ107" s="1395"/>
      <c r="CA107" s="1450"/>
      <c r="CB107" s="1450"/>
      <c r="CC107" s="270"/>
      <c r="CD107" s="270"/>
      <c r="CE107"/>
    </row>
    <row r="108" spans="1:83" ht="13.5" outlineLevel="2" thickBot="1" x14ac:dyDescent="0.25">
      <c r="A108" s="270"/>
      <c r="B108" s="271"/>
      <c r="C108" s="270"/>
      <c r="D108" s="270"/>
      <c r="E108" s="270"/>
      <c r="F108" s="270"/>
      <c r="G108" s="271"/>
      <c r="H108" s="271"/>
      <c r="I108" s="271"/>
      <c r="J108" s="270"/>
      <c r="K108" s="270"/>
      <c r="L108" s="270"/>
      <c r="M108" s="270"/>
      <c r="N108" s="270"/>
      <c r="O108" s="270"/>
      <c r="P108" s="270"/>
      <c r="Q108" s="270"/>
      <c r="R108" s="558" t="s">
        <v>1730</v>
      </c>
      <c r="S108" s="615"/>
      <c r="T108" s="619"/>
      <c r="U108" s="1501"/>
      <c r="V108" s="461" t="str">
        <f>IF(G98="","",G98)</f>
        <v>A5</v>
      </c>
      <c r="W108" s="450"/>
      <c r="X108" s="462" t="s">
        <v>769</v>
      </c>
      <c r="Y108" s="450"/>
      <c r="Z108" s="463" t="str">
        <f>IF(G99="","",G99)</f>
        <v>A6</v>
      </c>
      <c r="AA108" s="839"/>
      <c r="AB108" s="1459">
        <f>IF(MaxScore,MaxGoals(W108,Y108,MaxGoalsValue),IF(W108="","",W108))</f>
        <v>0</v>
      </c>
      <c r="AC108" s="1460" t="str">
        <f>IF(MaxScore,"-",IF(W108="","","-"))</f>
        <v>-</v>
      </c>
      <c r="AD108" s="1459">
        <f>IF(MaxScore,MaxGoals(Y108,W108,MaxGoalsValue),IF(Y108="","",Y108))</f>
        <v>0</v>
      </c>
      <c r="AE108" s="968" t="str">
        <f>IF(W108="","",IF(W108&gt;Y108,V108,IF(W108=Y108,"",Z108)))</f>
        <v/>
      </c>
      <c r="AF108" s="968" t="str">
        <f>IF(W108="","",IF(W108=Y108,V108,""))</f>
        <v/>
      </c>
      <c r="AG108" s="968" t="str">
        <f>IF(W108="","",IF(W108=Y108,Z108,""))</f>
        <v/>
      </c>
      <c r="AH108" s="968" t="str">
        <f>IF(W108="","",IF(W108&lt;Y108,V108,IF(W108=Y108,"",Z108)))</f>
        <v/>
      </c>
      <c r="AI108" s="968" t="str">
        <f>CONCATENATE(AE108,AH108)</f>
        <v/>
      </c>
      <c r="AJ108" s="968"/>
      <c r="AK108" s="968"/>
      <c r="AL108" s="270"/>
      <c r="AM108" s="270"/>
      <c r="AN108" s="575"/>
      <c r="AO108" s="270"/>
      <c r="AP108" s="271"/>
      <c r="AQ108" s="271"/>
      <c r="AR108" s="271"/>
      <c r="AS108" s="271"/>
      <c r="AT108" s="271"/>
      <c r="AU108" s="271"/>
      <c r="AV108" s="271"/>
      <c r="AW108" s="271"/>
      <c r="AX108" s="271"/>
      <c r="AY108" s="271"/>
      <c r="AZ108" s="271"/>
      <c r="BA108" s="271"/>
      <c r="BB108" s="271"/>
      <c r="BC108" s="271"/>
      <c r="BD108" s="271"/>
      <c r="BE108" s="271"/>
      <c r="BF108" s="271"/>
      <c r="BG108" s="271"/>
      <c r="BH108" s="271"/>
      <c r="BI108" s="271"/>
      <c r="BJ108" s="271"/>
      <c r="BK108" s="271"/>
      <c r="BL108" s="271"/>
      <c r="BM108" s="271"/>
      <c r="BN108" s="271"/>
      <c r="BO108" s="271"/>
      <c r="BP108" s="271"/>
      <c r="BQ108" s="271"/>
      <c r="BR108" s="271"/>
      <c r="BS108" s="271"/>
      <c r="BT108" s="271"/>
      <c r="BU108" s="271"/>
      <c r="BV108" s="271"/>
      <c r="BW108" s="271"/>
      <c r="BX108" s="271"/>
      <c r="BY108" s="271"/>
      <c r="BZ108" s="1395"/>
      <c r="CA108" s="1450"/>
      <c r="CB108" s="1450"/>
      <c r="CC108" s="270"/>
      <c r="CD108" s="270"/>
      <c r="CE108"/>
    </row>
    <row r="109" spans="1:83" outlineLevel="1" x14ac:dyDescent="0.2">
      <c r="A109"/>
      <c r="B109" s="1"/>
      <c r="C109"/>
      <c r="D109"/>
      <c r="E109"/>
      <c r="F109"/>
      <c r="G109" s="1"/>
      <c r="H109" s="1"/>
      <c r="I109" s="1"/>
      <c r="J109"/>
      <c r="K109"/>
      <c r="L109"/>
      <c r="M109"/>
      <c r="N109"/>
      <c r="O109"/>
      <c r="P109"/>
      <c r="Q109"/>
      <c r="R109" s="334"/>
      <c r="S109" s="1"/>
      <c r="T109" s="1"/>
      <c r="U109"/>
      <c r="V109" s="6"/>
      <c r="W109" s="1"/>
      <c r="X109" s="1"/>
      <c r="Y109" s="1"/>
      <c r="Z109" s="16"/>
      <c r="AA109" s="123"/>
      <c r="AB109" s="963"/>
      <c r="AC109" s="963"/>
      <c r="AD109" s="963"/>
      <c r="AE109" s="964"/>
      <c r="AF109" s="964"/>
      <c r="AG109" s="964"/>
      <c r="AH109" s="964"/>
      <c r="AI109" s="964"/>
      <c r="AJ109" s="964"/>
      <c r="AK109" s="964"/>
      <c r="AL109"/>
      <c r="AM109"/>
      <c r="AO109"/>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395"/>
      <c r="CA109" s="1450"/>
      <c r="CB109" s="1450"/>
      <c r="CC109"/>
      <c r="CD109"/>
      <c r="CE109"/>
    </row>
    <row r="110" spans="1:83" ht="13.5" thickBot="1" x14ac:dyDescent="0.25">
      <c r="A110"/>
      <c r="B110" s="1"/>
      <c r="C110"/>
      <c r="D110"/>
      <c r="E110"/>
      <c r="F110"/>
      <c r="G110" s="1"/>
      <c r="H110" s="1"/>
      <c r="I110" s="1"/>
      <c r="J110"/>
      <c r="K110"/>
      <c r="L110"/>
      <c r="M110"/>
      <c r="N110"/>
      <c r="O110"/>
      <c r="P110"/>
      <c r="Q110"/>
      <c r="R110" s="334"/>
      <c r="S110" s="1"/>
      <c r="T110" s="1"/>
      <c r="U110"/>
      <c r="V110" s="6"/>
      <c r="W110" s="1"/>
      <c r="X110" s="1"/>
      <c r="Y110" s="1"/>
      <c r="Z110" s="16"/>
      <c r="AA110" s="123"/>
      <c r="AB110" s="963"/>
      <c r="AC110" s="963"/>
      <c r="AD110" s="963"/>
      <c r="AE110" s="964"/>
      <c r="AF110" s="964"/>
      <c r="AG110" s="964"/>
      <c r="AH110" s="964"/>
      <c r="AI110" s="964"/>
      <c r="AJ110" s="964"/>
      <c r="AK110" s="964"/>
      <c r="AL110"/>
      <c r="AM110"/>
      <c r="AO110"/>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395"/>
      <c r="CA110" s="1450"/>
      <c r="CB110" s="1450"/>
      <c r="CC110"/>
      <c r="CD110"/>
      <c r="CE110"/>
    </row>
    <row r="111" spans="1:83" ht="13.5" thickBot="1" x14ac:dyDescent="0.25">
      <c r="A111"/>
      <c r="B111" s="282" t="str">
        <f>N_Group_6_Self_Refereeing</f>
        <v>Poule de 6 en auto-arbitrage</v>
      </c>
      <c r="C111" s="283"/>
      <c r="D111" s="283"/>
      <c r="E111" s="283"/>
      <c r="F111" s="283"/>
      <c r="G111" s="283"/>
      <c r="H111" s="283"/>
      <c r="I111" s="283"/>
      <c r="J111" s="283"/>
      <c r="K111" s="283"/>
      <c r="L111" s="283"/>
      <c r="M111" s="283"/>
      <c r="N111" s="283"/>
      <c r="O111" s="283"/>
      <c r="P111" s="283"/>
      <c r="Q111" s="283"/>
      <c r="R111" s="357"/>
      <c r="S111" s="283"/>
      <c r="T111" s="283"/>
      <c r="U111" s="283"/>
      <c r="V111" s="283"/>
      <c r="W111" s="992"/>
      <c r="X111" s="992"/>
      <c r="Y111" s="992"/>
      <c r="Z111" s="283"/>
      <c r="AA111" s="283"/>
      <c r="AB111" s="965"/>
      <c r="AC111" s="965"/>
      <c r="AD111" s="965"/>
      <c r="AE111" s="966"/>
      <c r="AF111" s="966"/>
      <c r="AG111" s="966"/>
      <c r="AH111" s="966"/>
      <c r="AI111" s="966"/>
      <c r="AJ111" s="966"/>
      <c r="AK111" s="965"/>
      <c r="AL111" s="283"/>
      <c r="AM111" s="282" t="str">
        <f>B111</f>
        <v>Poule de 6 en auto-arbitrage</v>
      </c>
      <c r="AN111" s="283"/>
      <c r="AO111" s="283"/>
      <c r="AP111" s="283"/>
      <c r="AQ111" s="283"/>
      <c r="AR111" s="283"/>
      <c r="AS111" s="283"/>
      <c r="AT111" s="283"/>
      <c r="AU111" s="283"/>
      <c r="AV111" s="283"/>
      <c r="AW111" s="283"/>
      <c r="AX111" s="283"/>
      <c r="AY111" s="283"/>
      <c r="AZ111" s="283"/>
      <c r="BA111" s="283"/>
      <c r="BB111" s="283"/>
      <c r="BC111" s="283"/>
      <c r="BD111" s="283"/>
      <c r="BE111" s="283"/>
      <c r="BF111" s="283"/>
      <c r="BG111" s="283"/>
      <c r="BH111" s="283"/>
      <c r="BI111" s="283"/>
      <c r="BJ111" s="283"/>
      <c r="BK111" s="283"/>
      <c r="BL111" s="283"/>
      <c r="BM111" s="283"/>
      <c r="BN111" s="283"/>
      <c r="BO111" s="283"/>
      <c r="BP111" s="283"/>
      <c r="BQ111" s="283"/>
      <c r="BR111" s="283"/>
      <c r="BS111" s="283"/>
      <c r="BT111" s="283"/>
      <c r="BU111" s="283"/>
      <c r="BV111" s="283"/>
      <c r="BW111" s="283"/>
      <c r="BX111" s="283"/>
      <c r="BY111" s="283"/>
      <c r="BZ111" s="1395"/>
      <c r="CA111" s="1450"/>
      <c r="CB111" s="1450"/>
      <c r="CC111" s="284"/>
      <c r="CD111"/>
      <c r="CE111"/>
    </row>
    <row r="112" spans="1:83" ht="13.5" outlineLevel="1" thickBot="1" x14ac:dyDescent="0.25">
      <c r="A112"/>
      <c r="B112" s="1"/>
      <c r="C112"/>
      <c r="D112"/>
      <c r="E112"/>
      <c r="F112"/>
      <c r="G112" s="1"/>
      <c r="H112" s="1"/>
      <c r="I112" s="1"/>
      <c r="J112"/>
      <c r="K112"/>
      <c r="L112"/>
      <c r="M112"/>
      <c r="N112"/>
      <c r="O112"/>
      <c r="P112"/>
      <c r="Q112"/>
      <c r="R112" s="334"/>
      <c r="S112" s="1"/>
      <c r="T112" s="1"/>
      <c r="U112"/>
      <c r="V112" s="6"/>
      <c r="W112" s="1"/>
      <c r="X112" s="1"/>
      <c r="Y112" s="1"/>
      <c r="Z112" s="16"/>
      <c r="AA112" s="123"/>
      <c r="AB112" s="963"/>
      <c r="AC112" s="963"/>
      <c r="AD112" s="963"/>
      <c r="AE112" s="964"/>
      <c r="AF112" s="964"/>
      <c r="AG112" s="964"/>
      <c r="AH112" s="964"/>
      <c r="AI112" s="964"/>
      <c r="AJ112" s="964"/>
      <c r="AK112" s="964"/>
      <c r="AL112"/>
      <c r="AM112"/>
      <c r="AN112" s="833"/>
      <c r="AO112"/>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c r="BN112"/>
      <c r="BO112"/>
      <c r="BP112"/>
      <c r="BQ112"/>
      <c r="BR112"/>
      <c r="BS112"/>
      <c r="BT112"/>
      <c r="BU112"/>
      <c r="BV112"/>
      <c r="BW112"/>
      <c r="BX112"/>
      <c r="BY112"/>
      <c r="BZ112" s="1395"/>
      <c r="CA112" s="1450"/>
      <c r="CB112" s="1450"/>
      <c r="CC112"/>
      <c r="CD112"/>
      <c r="CE112"/>
    </row>
    <row r="113" spans="1:83" ht="13.5" outlineLevel="1" thickBot="1" x14ac:dyDescent="0.25">
      <c r="A113"/>
      <c r="B113" s="18" t="str">
        <f>N_Tirage</f>
        <v>Tirage</v>
      </c>
      <c r="C113" s="307" t="s">
        <v>787</v>
      </c>
      <c r="D113" s="308" t="s">
        <v>831</v>
      </c>
      <c r="E113" s="308" t="s">
        <v>832</v>
      </c>
      <c r="F113" s="309" t="s">
        <v>833</v>
      </c>
      <c r="G113" s="22" t="str">
        <f>N_Joueurs</f>
        <v>Joueurs</v>
      </c>
      <c r="H113" s="3" t="str">
        <f>N_RankPoints</f>
        <v>Pt. Clas.</v>
      </c>
      <c r="I113" s="3" t="str">
        <f>N_Diff_Part</f>
        <v>Diff-Part</v>
      </c>
      <c r="J113" s="335" t="str">
        <f>N_Pts</f>
        <v>Pts</v>
      </c>
      <c r="K113" s="311" t="str">
        <f>N_J</f>
        <v>J</v>
      </c>
      <c r="L113" s="308" t="str">
        <f>N_G</f>
        <v>G</v>
      </c>
      <c r="M113" s="308" t="str">
        <f>N_N</f>
        <v>N</v>
      </c>
      <c r="N113" s="308" t="str">
        <f>N_P</f>
        <v>P</v>
      </c>
      <c r="O113" s="308" t="str">
        <f>N_BP</f>
        <v>BP</v>
      </c>
      <c r="P113" s="308" t="str">
        <f>N_BC</f>
        <v>BC</v>
      </c>
      <c r="Q113" s="309" t="str">
        <f>N_Diff.</f>
        <v>Diff.</v>
      </c>
      <c r="R113" s="334"/>
      <c r="S113" s="22" t="str">
        <f>N_Heure</f>
        <v>Heure</v>
      </c>
      <c r="T113" s="22" t="str">
        <f>N_Table</f>
        <v>Table</v>
      </c>
      <c r="U113" s="22" t="str">
        <f>N_Arbitre</f>
        <v>Arbitre</v>
      </c>
      <c r="V113" s="293" t="str">
        <f>N_Matches</f>
        <v>Matches</v>
      </c>
      <c r="W113" s="294"/>
      <c r="X113" s="294"/>
      <c r="Y113" s="294"/>
      <c r="Z113" s="295"/>
      <c r="AA113" s="8"/>
      <c r="AB113" s="1461" t="str">
        <f>IF(MaxScore,N_MaxScore,"")</f>
        <v>Score Max</v>
      </c>
      <c r="AC113" s="1461"/>
      <c r="AD113" s="1461"/>
      <c r="AE113" s="964" t="str">
        <f>N_G</f>
        <v>G</v>
      </c>
      <c r="AF113" s="964" t="str">
        <f>N_N</f>
        <v>N</v>
      </c>
      <c r="AG113" s="964" t="str">
        <f>N_N</f>
        <v>N</v>
      </c>
      <c r="AH113" s="964" t="str">
        <f>N_P</f>
        <v>P</v>
      </c>
      <c r="AI113" s="964" t="s">
        <v>1560</v>
      </c>
      <c r="AJ113" s="964" t="s">
        <v>3714</v>
      </c>
      <c r="AK113" s="964" t="str">
        <f>IF(COUNTA(W114:W128)=0,"","OK")</f>
        <v/>
      </c>
      <c r="AL113"/>
      <c r="AM113"/>
      <c r="AN113" s="289" t="str">
        <f>N_Cla.</f>
        <v>Cla.</v>
      </c>
      <c r="AO113" s="70" t="str">
        <f>N_Joueurs</f>
        <v>Joueurs</v>
      </c>
      <c r="AP113" s="23" t="str">
        <f>N_Pts</f>
        <v>Pts</v>
      </c>
      <c r="AQ113" s="23" t="str">
        <f>N_J</f>
        <v>J</v>
      </c>
      <c r="AR113" s="20" t="str">
        <f>N_G</f>
        <v>G</v>
      </c>
      <c r="AS113" s="20" t="str">
        <f>N_N</f>
        <v>N</v>
      </c>
      <c r="AT113" s="20" t="str">
        <f>N_P</f>
        <v>P</v>
      </c>
      <c r="AU113" s="20" t="str">
        <f>N_BP</f>
        <v>BP</v>
      </c>
      <c r="AV113" s="20" t="str">
        <f>N_BC</f>
        <v>BC</v>
      </c>
      <c r="AW113" s="21" t="str">
        <f>N_Diff.</f>
        <v>Diff.</v>
      </c>
      <c r="AX113" s="287" t="str">
        <f>N_Matches</f>
        <v>Matches</v>
      </c>
      <c r="AY113" s="287"/>
      <c r="AZ113" s="287"/>
      <c r="BA113" s="287"/>
      <c r="BB113" s="287"/>
      <c r="BC113" s="287"/>
      <c r="BD113" s="287"/>
      <c r="BE113" s="287"/>
      <c r="BF113" s="287"/>
      <c r="BG113" s="287"/>
      <c r="BH113" s="287"/>
      <c r="BI113" s="287"/>
      <c r="BJ113" s="287"/>
      <c r="BK113" s="287"/>
      <c r="BL113" s="288"/>
      <c r="BM113"/>
      <c r="BN113"/>
      <c r="BO113"/>
      <c r="BP113"/>
      <c r="BQ113"/>
      <c r="BR113"/>
      <c r="BS113"/>
      <c r="BT113"/>
      <c r="BU113"/>
      <c r="BV113"/>
      <c r="BW113"/>
      <c r="BX113"/>
      <c r="BY113"/>
      <c r="BZ113" s="1395"/>
      <c r="CA113" s="1450"/>
      <c r="CB113" s="1450"/>
      <c r="CC113"/>
      <c r="CD113"/>
      <c r="CE113"/>
    </row>
    <row r="114" spans="1:83" outlineLevel="1" x14ac:dyDescent="0.2">
      <c r="A114" s="270"/>
      <c r="B114" s="505">
        <v>1</v>
      </c>
      <c r="C114" s="549" t="str">
        <f>IF(AK113="","",RANK(F114,F114:F119)*1000+ROW())</f>
        <v/>
      </c>
      <c r="D114" s="550" t="str">
        <f t="shared" ref="D114:D119" si="71">IF(L114="","",CritClassInd1_Points*J114+CritClassInd1_Matches*L114+CritClassInd1_Attaque*O114+CritClassInd1_DiffButs*Q114)</f>
        <v/>
      </c>
      <c r="E114" s="550" t="str">
        <f>IF(L114="","",Nb_Diff_Part(D114,D114:D119,G114,G114:G119,AI114:AI128)*CritClassInd_DiffPart+Nb_Goal_Part(D114,D114:D119,G114,G114:G119,V114:Z128)*CritClassInd_GoalPart+Nb_Score_Part(D114,D114:D119,G114,G114:G119,V114:Z128)*CritClassInd_ScorePart)</f>
        <v/>
      </c>
      <c r="F114" s="551" t="str">
        <f t="shared" ref="F114:F119" si="72">IF(L114="","",D114+E114+CritClassInd2_Points*J114+CritClassInd2_Matches*L114+CritClassInd2_Attaque*O114+CritClassInd2_DiffButs*Q114+CritClassInd_Ranking*H114+I114)</f>
        <v/>
      </c>
      <c r="G114" s="552" t="s">
        <v>903</v>
      </c>
      <c r="H114" s="553">
        <f t="shared" ref="H114:H119" si="73">GMFTRANKINGPOINTS(G114,Particular_Category)</f>
        <v>0</v>
      </c>
      <c r="I114" s="554"/>
      <c r="J114" s="555" t="str">
        <f>IF(AK113="","",(L114*Points_Victoire)+M114*Points_Null)</f>
        <v/>
      </c>
      <c r="K114" s="556" t="str">
        <f t="shared" ref="K114:K119" si="74">IF(L114="","",SUM(L114:N114))</f>
        <v/>
      </c>
      <c r="L114" s="556" t="str">
        <f>IF(AK113="","",COUNTIF(AE114:AE128,G114))</f>
        <v/>
      </c>
      <c r="M114" s="556" t="str">
        <f>IF(AK113="","",COUNTIF(AF114:AG128,G114))</f>
        <v/>
      </c>
      <c r="N114" s="556" t="str">
        <f>IF(AK113="","",COUNTIF(AH114:AH128,G114))</f>
        <v/>
      </c>
      <c r="O114" s="556" t="str">
        <f>IF(AK113="","",SUMIF(V114:V128,G114,AB114:AB128)+SUMIF(Z114:Z128,G114,AD114:AD128))</f>
        <v/>
      </c>
      <c r="P114" s="556" t="str">
        <f>IF(AK113="","",SUMIF(V114:V128,G114,AD114:AD128)+SUMIF(Z114:Z128,G114,AB114:AB128))</f>
        <v/>
      </c>
      <c r="Q114" s="557" t="str">
        <f>IF(AK113="","",O114-P114)</f>
        <v/>
      </c>
      <c r="R114" s="558" t="s">
        <v>1732</v>
      </c>
      <c r="S114" s="611"/>
      <c r="T114" s="617"/>
      <c r="U114" s="1499"/>
      <c r="V114" s="455" t="str">
        <f>IF(G114="","",G114)</f>
        <v>A1</v>
      </c>
      <c r="W114" s="456"/>
      <c r="X114" s="457" t="s">
        <v>769</v>
      </c>
      <c r="Y114" s="456"/>
      <c r="Z114" s="458" t="str">
        <f>IF(G119="","",G119)</f>
        <v>A6</v>
      </c>
      <c r="AA114" s="839"/>
      <c r="AB114" s="1459">
        <f t="shared" ref="AB114:AB128" si="75">IF(MaxScore,MaxGoals(W114,Y114,MaxGoalsValue),IF(W114="","",W114))</f>
        <v>0</v>
      </c>
      <c r="AC114" s="1460" t="str">
        <f t="shared" ref="AC114:AC128" si="76">IF(MaxScore,"-",IF(W114="","","-"))</f>
        <v>-</v>
      </c>
      <c r="AD114" s="1459">
        <f t="shared" ref="AD114:AD128" si="77">IF(MaxScore,MaxGoals(Y114,W114,MaxGoalsValue),IF(Y114="","",Y114))</f>
        <v>0</v>
      </c>
      <c r="AE114" s="968" t="str">
        <f t="shared" ref="AE114:AE128" si="78">IF(W114="","",IF(W114&gt;Y114,V114,IF(W114=Y114,"",Z114)))</f>
        <v/>
      </c>
      <c r="AF114" s="968" t="str">
        <f t="shared" ref="AF114:AF128" si="79">IF(W114="","",IF(W114=Y114,V114,""))</f>
        <v/>
      </c>
      <c r="AG114" s="968" t="str">
        <f t="shared" ref="AG114:AG128" si="80">IF(W114="","",IF(W114=Y114,Z114,""))</f>
        <v/>
      </c>
      <c r="AH114" s="968" t="str">
        <f t="shared" ref="AH114:AH128" si="81">IF(W114="","",IF(W114&lt;Y114,V114,IF(W114=Y114,"",Z114)))</f>
        <v/>
      </c>
      <c r="AI114" s="968" t="str">
        <f t="shared" ref="AI114:AI128" si="82">CONCATENATE(AE114,AH114)</f>
        <v/>
      </c>
      <c r="AJ114" s="968"/>
      <c r="AK114" s="968" t="str">
        <f>IF(AK113="","",SMALL(C114:C119,1))</f>
        <v/>
      </c>
      <c r="AL114" s="270"/>
      <c r="AM114" s="270"/>
      <c r="AN114" s="534" t="str">
        <f>IF(AK113="","",INT(AK114/1000))</f>
        <v/>
      </c>
      <c r="AO114" s="535" t="str">
        <f>IF(AK113="",IF(HidePlayerFormulas,"","("&amp;G114&amp;")"),VLOOKUP(AK114,C114:Q119,5,FALSE))</f>
        <v/>
      </c>
      <c r="AP114" s="540" t="str">
        <f>VLOOKUP(AK114,C114:Q119,8,FALSE)</f>
        <v/>
      </c>
      <c r="AQ114" s="528" t="str">
        <f>VLOOKUP(AK114,C114:Q119,9,FALSE)</f>
        <v/>
      </c>
      <c r="AR114" s="528" t="str">
        <f>VLOOKUP(AK114,C114:Q119,10,FALSE)</f>
        <v/>
      </c>
      <c r="AS114" s="528" t="str">
        <f>VLOOKUP(AK114,C114:Q119,11,FALSE)</f>
        <v/>
      </c>
      <c r="AT114" s="528" t="str">
        <f>VLOOKUP(AK114,C114:Q119,12,FALSE)</f>
        <v/>
      </c>
      <c r="AU114" s="528" t="str">
        <f>VLOOKUP(AK114,C114:Q119,13,FALSE)</f>
        <v/>
      </c>
      <c r="AV114" s="528" t="str">
        <f>VLOOKUP(AK114,C114:Q119,14,FALSE)</f>
        <v/>
      </c>
      <c r="AW114" s="529" t="str">
        <f>VLOOKUP(AK114,C114:Q119,15,FALSE)</f>
        <v/>
      </c>
      <c r="AX114" s="517" t="str">
        <f>IF(W114="","",IF(AO114=V114,W114,IF(AO114=Z114,Y114,"")))</f>
        <v/>
      </c>
      <c r="AY114" s="518" t="str">
        <f>IF(W115="","",IF(AO114=V115,W115,IF(AO114=Z115,Y115,"")))</f>
        <v/>
      </c>
      <c r="AZ114" s="518" t="str">
        <f>IF(W116="","",IF(AO114=V116,W116,IF(AO114=Z116,Y116,"")))</f>
        <v/>
      </c>
      <c r="BA114" s="518" t="str">
        <f>IF(W117="","",IF(AO114=V117,W117,IF(AO114=Z117,Y117,"")))</f>
        <v/>
      </c>
      <c r="BB114" s="518" t="str">
        <f>IF(W118="","",IF(AO114=V118,W118,IF(AO114=Z118,Y118,"")))</f>
        <v/>
      </c>
      <c r="BC114" s="518" t="str">
        <f>IF(W119="","",IF(AO114=V119,W119,IF(AO114=Z119,Y119,"")))</f>
        <v/>
      </c>
      <c r="BD114" s="518" t="str">
        <f>IF(W120="","",IF(AO114=V120,W120,IF(AO114=Z120,Y120,"")))</f>
        <v/>
      </c>
      <c r="BE114" s="518" t="str">
        <f>IF(W121="","",IF(AO114=V121,W121,IF(AO114=Z121,Y121,"")))</f>
        <v/>
      </c>
      <c r="BF114" s="518" t="str">
        <f>IF(W122="","",IF(AO114=V122,W122,IF(AO114=Z122,Y122,"")))</f>
        <v/>
      </c>
      <c r="BG114" s="518" t="str">
        <f>IF(W123="","",IF(AO114=V123,W123,IF(AO114=Z123,Y123,"")))</f>
        <v/>
      </c>
      <c r="BH114" s="518" t="str">
        <f>IF(W124="","",IF(AO114=V124,W124,IF(AO114=Z124,Y124,"")))</f>
        <v/>
      </c>
      <c r="BI114" s="518" t="str">
        <f>IF(W125="","",IF(AO114=V125,W125,IF(AO114=Z125,Y125,"")))</f>
        <v/>
      </c>
      <c r="BJ114" s="518" t="str">
        <f>IF(W126="","",IF(AO114=V126,W126,IF(AO114=Z126,Y126,"")))</f>
        <v/>
      </c>
      <c r="BK114" s="518" t="str">
        <f>IF(W127="","",IF(AO114=V127,W127,IF(AO114=Z127,Y127,"")))</f>
        <v/>
      </c>
      <c r="BL114" s="519" t="str">
        <f>IF(W128="","",IF(AO114=V128,W128,IF(AO114=Z128,Y128,"")))</f>
        <v/>
      </c>
      <c r="BM114" s="270"/>
      <c r="BN114" s="270"/>
      <c r="BO114" s="270"/>
      <c r="BP114" s="270"/>
      <c r="BQ114" s="270"/>
      <c r="BR114" s="270"/>
      <c r="BS114" s="270"/>
      <c r="BT114" s="270"/>
      <c r="BU114" s="270"/>
      <c r="BV114" s="270"/>
      <c r="BW114" s="270"/>
      <c r="BX114" s="270"/>
      <c r="BY114" s="270"/>
      <c r="BZ114" s="1395" t="b">
        <f t="shared" ref="BZ114:BZ119" si="83">IF(G114="[---WithDraw---]",FALSE,IF(COUNTIF(PlayerNamesWithinGroups,G114)&gt;1,TRUE,FALSE))</f>
        <v>1</v>
      </c>
      <c r="CA114" s="1450" t="b">
        <f t="shared" ref="CA114:CA119" si="84">AND(LEFT($AO114,1) = "(", RIGHT($AO114,1) =")")</f>
        <v>0</v>
      </c>
      <c r="CB114" s="1450" t="b">
        <f t="shared" ref="CB114:CB119" si="85">IF(OR($AN114=$AN113,$AN114=$AN115),TRUE,FALSE)</f>
        <v>1</v>
      </c>
      <c r="CC114" s="270"/>
      <c r="CD114" s="270"/>
      <c r="CE114"/>
    </row>
    <row r="115" spans="1:83" ht="13.5" outlineLevel="1" thickBot="1" x14ac:dyDescent="0.25">
      <c r="A115" s="270"/>
      <c r="B115" s="509">
        <v>2</v>
      </c>
      <c r="C115" s="560" t="str">
        <f>IF(AK113="","",RANK(F115,F114:F119)*1000+ROW())</f>
        <v/>
      </c>
      <c r="D115" s="561" t="str">
        <f t="shared" si="71"/>
        <v/>
      </c>
      <c r="E115" s="561" t="str">
        <f>IF(L115="","",Nb_Diff_Part(D115,D114:D119,G115,G114:G119,AI114:AI128)*CritClassInd_DiffPart+Nb_Goal_Part(D115,D114:D119,G115,G114:G119,V114:Z128)*CritClassInd_GoalPart+Nb_Score_Part(D115,D114:D119,G115,G114:G119,V114:Z128)*CritClassInd_ScorePart)</f>
        <v/>
      </c>
      <c r="F115" s="562" t="str">
        <f t="shared" si="72"/>
        <v/>
      </c>
      <c r="G115" s="502" t="s">
        <v>904</v>
      </c>
      <c r="H115" s="501">
        <f t="shared" si="73"/>
        <v>0</v>
      </c>
      <c r="I115" s="502"/>
      <c r="J115" s="560" t="str">
        <f>IF(AK113="","",(L115*Points_Victoire)+M115*Points_Null)</f>
        <v/>
      </c>
      <c r="K115" s="563" t="str">
        <f t="shared" si="74"/>
        <v/>
      </c>
      <c r="L115" s="563" t="str">
        <f>IF(AK113="","",COUNTIF(AE114:AE128,G115))</f>
        <v/>
      </c>
      <c r="M115" s="563" t="str">
        <f>IF(AK113="","",COUNTIF(AF114:AG128,G115))</f>
        <v/>
      </c>
      <c r="N115" s="563" t="str">
        <f>IF(AK113="","",COUNTIF(AH114:AH128,G115))</f>
        <v/>
      </c>
      <c r="O115" s="563" t="str">
        <f>IF(AK113="","",SUMIF(V114:V128,G115,AB114:AB128)+SUMIF(Z114:Z128,G115,AD114:AD128))</f>
        <v/>
      </c>
      <c r="P115" s="563" t="str">
        <f>IF(AK113="","",SUMIF(V114:V128,G115,AD114:AD128)+SUMIF(Z114:Z128,G115,AB114:AB128))</f>
        <v/>
      </c>
      <c r="Q115" s="564" t="str">
        <f>IF(AK113="","",O115-P115)</f>
        <v/>
      </c>
      <c r="R115" s="558" t="s">
        <v>1732</v>
      </c>
      <c r="S115" s="615"/>
      <c r="T115" s="619"/>
      <c r="U115" s="1501"/>
      <c r="V115" s="461" t="str">
        <f>IF(G116="","",G116)</f>
        <v>A3</v>
      </c>
      <c r="W115" s="450"/>
      <c r="X115" s="462" t="s">
        <v>769</v>
      </c>
      <c r="Y115" s="450"/>
      <c r="Z115" s="463" t="str">
        <f>IF(G118="","",G118)</f>
        <v>A5</v>
      </c>
      <c r="AA115" s="839"/>
      <c r="AB115" s="1459">
        <f t="shared" si="75"/>
        <v>0</v>
      </c>
      <c r="AC115" s="1460" t="str">
        <f t="shared" si="76"/>
        <v>-</v>
      </c>
      <c r="AD115" s="1459">
        <f t="shared" si="77"/>
        <v>0</v>
      </c>
      <c r="AE115" s="968" t="str">
        <f t="shared" si="78"/>
        <v/>
      </c>
      <c r="AF115" s="968" t="str">
        <f t="shared" si="79"/>
        <v/>
      </c>
      <c r="AG115" s="968" t="str">
        <f t="shared" si="80"/>
        <v/>
      </c>
      <c r="AH115" s="968" t="str">
        <f t="shared" si="81"/>
        <v/>
      </c>
      <c r="AI115" s="968" t="str">
        <f t="shared" si="82"/>
        <v/>
      </c>
      <c r="AJ115" s="968"/>
      <c r="AK115" s="968" t="str">
        <f>IF(AK113="","",SMALL(C114:C119,2))</f>
        <v/>
      </c>
      <c r="AL115" s="270"/>
      <c r="AM115" s="270"/>
      <c r="AN115" s="536" t="str">
        <f>IF(AK113="","",INT(AK115/1000))</f>
        <v/>
      </c>
      <c r="AO115" s="537" t="str">
        <f>IF(AK113="",IF(HidePlayerFormulas,"","("&amp;G115&amp;")"),VLOOKUP(AK115,C114:Q119,5,FALSE))</f>
        <v/>
      </c>
      <c r="AP115" s="541" t="str">
        <f>VLOOKUP(AK115,C114:Q119,8,FALSE)</f>
        <v/>
      </c>
      <c r="AQ115" s="511" t="str">
        <f>VLOOKUP(AK115,C114:Q119,9,FALSE)</f>
        <v/>
      </c>
      <c r="AR115" s="511" t="str">
        <f>VLOOKUP(AK115,C114:Q119,10,FALSE)</f>
        <v/>
      </c>
      <c r="AS115" s="511" t="str">
        <f>VLOOKUP(AK115,C114:Q119,11,FALSE)</f>
        <v/>
      </c>
      <c r="AT115" s="511" t="str">
        <f>VLOOKUP(AK115,C114:Q119,12,FALSE)</f>
        <v/>
      </c>
      <c r="AU115" s="511" t="str">
        <f>VLOOKUP(AK115,C114:Q119,13,FALSE)</f>
        <v/>
      </c>
      <c r="AV115" s="511" t="str">
        <f>VLOOKUP(AK115,C114:Q119,14,FALSE)</f>
        <v/>
      </c>
      <c r="AW115" s="512" t="str">
        <f>VLOOKUP(AK115,C114:Q119,15,FALSE)</f>
        <v/>
      </c>
      <c r="AX115" s="520" t="str">
        <f>IF(W114="","",IF(AO115=V114,W114,IF(AO115=Z114,Y114,"")))</f>
        <v/>
      </c>
      <c r="AY115" s="521" t="str">
        <f>IF(W115="","",IF(AO115=V115,W115,IF(AO115=Z115,Y115,"")))</f>
        <v/>
      </c>
      <c r="AZ115" s="521" t="str">
        <f>IF(W116="","",IF(AO115=V116,W116,IF(AO115=Z116,Y116,"")))</f>
        <v/>
      </c>
      <c r="BA115" s="521" t="str">
        <f>IF(W117="","",IF(AO115=V117,W117,IF(AO115=Z117,Y117,"")))</f>
        <v/>
      </c>
      <c r="BB115" s="521" t="str">
        <f>IF(W118="","",IF(AO115=V118,W118,IF(AO115=Z118,Y118,"")))</f>
        <v/>
      </c>
      <c r="BC115" s="521" t="str">
        <f>IF(W119="","",IF(AO115=V119,W119,IF(AO115=Z119,Y119,"")))</f>
        <v/>
      </c>
      <c r="BD115" s="521" t="str">
        <f>IF(W120="","",IF(AO115=V120,W120,IF(AO115=Z120,Y120,"")))</f>
        <v/>
      </c>
      <c r="BE115" s="521" t="str">
        <f>IF(W121="","",IF(AO115=V121,W121,IF(AO115=Z121,Y121,"")))</f>
        <v/>
      </c>
      <c r="BF115" s="521" t="str">
        <f>IF(W122="","",IF(AO115=V122,W122,IF(AO115=Z122,Y122,"")))</f>
        <v/>
      </c>
      <c r="BG115" s="521" t="str">
        <f>IF(W123="","",IF(AO115=V123,W123,IF(AO115=Z123,Y123,"")))</f>
        <v/>
      </c>
      <c r="BH115" s="521" t="str">
        <f>IF(W124="","",IF(AO115=V124,W124,IF(AO115=Z124,Y124,"")))</f>
        <v/>
      </c>
      <c r="BI115" s="521" t="str">
        <f>IF(W125="","",IF(AO115=V125,W125,IF(AO115=Z125,Y125,"")))</f>
        <v/>
      </c>
      <c r="BJ115" s="521" t="str">
        <f>IF(W126="","",IF(AO115=V126,W126,IF(AO115=Z126,Y126,"")))</f>
        <v/>
      </c>
      <c r="BK115" s="521" t="str">
        <f>IF(W127="","",IF(AO115=V127,W127,IF(AO115=Z127,Y127,"")))</f>
        <v/>
      </c>
      <c r="BL115" s="522" t="str">
        <f>IF(W128="","",IF(AO115=V128,W128,IF(AO115=Z128,Y128,"")))</f>
        <v/>
      </c>
      <c r="BM115" s="270"/>
      <c r="BN115" s="270"/>
      <c r="BO115" s="270"/>
      <c r="BP115" s="270"/>
      <c r="BQ115" s="270"/>
      <c r="BR115" s="270"/>
      <c r="BS115" s="270"/>
      <c r="BT115" s="270"/>
      <c r="BU115" s="270"/>
      <c r="BV115" s="270"/>
      <c r="BW115" s="270"/>
      <c r="BX115" s="270"/>
      <c r="BY115" s="270"/>
      <c r="BZ115" s="1395" t="b">
        <f t="shared" si="83"/>
        <v>1</v>
      </c>
      <c r="CA115" s="1450" t="b">
        <f t="shared" si="84"/>
        <v>0</v>
      </c>
      <c r="CB115" s="1450" t="b">
        <f t="shared" si="85"/>
        <v>1</v>
      </c>
      <c r="CC115" s="270"/>
      <c r="CD115" s="270"/>
      <c r="CE115"/>
    </row>
    <row r="116" spans="1:83" outlineLevel="1" x14ac:dyDescent="0.2">
      <c r="A116" s="270"/>
      <c r="B116" s="509">
        <v>3</v>
      </c>
      <c r="C116" s="560" t="str">
        <f>IF(AK113="","",RANK(F116,F114:F119)*1000+ROW())</f>
        <v/>
      </c>
      <c r="D116" s="561" t="str">
        <f t="shared" si="71"/>
        <v/>
      </c>
      <c r="E116" s="561" t="str">
        <f>IF(L116="","",Nb_Diff_Part(D116,D114:D119,G116,G114:G119,AI114:AI128)*CritClassInd_DiffPart+Nb_Goal_Part(D116,D114:D119,G116,G114:G119,V114:Z128)*CritClassInd_GoalPart+Nb_Score_Part(D116,D114:D119,G116,G114:G119,V114:Z128)*CritClassInd_ScorePart)</f>
        <v/>
      </c>
      <c r="F116" s="562" t="str">
        <f t="shared" si="72"/>
        <v/>
      </c>
      <c r="G116" s="502" t="s">
        <v>905</v>
      </c>
      <c r="H116" s="501">
        <f t="shared" si="73"/>
        <v>0</v>
      </c>
      <c r="I116" s="502"/>
      <c r="J116" s="560" t="str">
        <f>IF(AK113="","",(L116*Points_Victoire)+M116*Points_Null)</f>
        <v/>
      </c>
      <c r="K116" s="563" t="str">
        <f t="shared" si="74"/>
        <v/>
      </c>
      <c r="L116" s="563" t="str">
        <f>IF(AK113="","",COUNTIF(AE114:AE128,G116))</f>
        <v/>
      </c>
      <c r="M116" s="563" t="str">
        <f>IF(AK113="","",COUNTIF(AF114:AG128,G116))</f>
        <v/>
      </c>
      <c r="N116" s="563" t="str">
        <f>IF(AK113="","",COUNTIF(AH114:AH128,G116))</f>
        <v/>
      </c>
      <c r="O116" s="563" t="str">
        <f>IF(AK113="","",SUMIF(V114:V128,G116,AB114:AB128)+SUMIF(Z114:Z128,G116,AD114:AD128))</f>
        <v/>
      </c>
      <c r="P116" s="563" t="str">
        <f>IF(AK113="","",SUMIF(V114:V128,G116,AD114:AD128)+SUMIF(Z114:Z128,G116,AB114:AB128))</f>
        <v/>
      </c>
      <c r="Q116" s="564" t="str">
        <f>IF(AK113="","",O116-P116)</f>
        <v/>
      </c>
      <c r="R116" s="558" t="s">
        <v>1733</v>
      </c>
      <c r="S116" s="611"/>
      <c r="T116" s="617"/>
      <c r="U116" s="1499"/>
      <c r="V116" s="455" t="str">
        <f>IF(G115="","",G115)</f>
        <v>A2</v>
      </c>
      <c r="W116" s="456"/>
      <c r="X116" s="457" t="s">
        <v>769</v>
      </c>
      <c r="Y116" s="456"/>
      <c r="Z116" s="458" t="str">
        <f>IF(G117="","",G117)</f>
        <v>A4</v>
      </c>
      <c r="AA116" s="839"/>
      <c r="AB116" s="1459">
        <f t="shared" si="75"/>
        <v>0</v>
      </c>
      <c r="AC116" s="1460" t="str">
        <f t="shared" si="76"/>
        <v>-</v>
      </c>
      <c r="AD116" s="1459">
        <f t="shared" si="77"/>
        <v>0</v>
      </c>
      <c r="AE116" s="968" t="str">
        <f t="shared" si="78"/>
        <v/>
      </c>
      <c r="AF116" s="968" t="str">
        <f t="shared" si="79"/>
        <v/>
      </c>
      <c r="AG116" s="968" t="str">
        <f t="shared" si="80"/>
        <v/>
      </c>
      <c r="AH116" s="968" t="str">
        <f t="shared" si="81"/>
        <v/>
      </c>
      <c r="AI116" s="968" t="str">
        <f t="shared" si="82"/>
        <v/>
      </c>
      <c r="AJ116" s="968"/>
      <c r="AK116" s="968" t="str">
        <f>IF(AK113="","",SMALL(C114:C119,3))</f>
        <v/>
      </c>
      <c r="AL116" s="270"/>
      <c r="AM116" s="270"/>
      <c r="AN116" s="536" t="str">
        <f>IF(AK113="","",INT(AK116/1000))</f>
        <v/>
      </c>
      <c r="AO116" s="537" t="str">
        <f>IF(AK113="",IF(HidePlayerFormulas,"","("&amp;G116&amp;")"),VLOOKUP(AK116,C114:Q119,5,FALSE))</f>
        <v/>
      </c>
      <c r="AP116" s="541" t="str">
        <f>VLOOKUP(AK116,C114:Q119,8,FALSE)</f>
        <v/>
      </c>
      <c r="AQ116" s="511" t="str">
        <f>VLOOKUP(AK116,C114:Q119,9,FALSE)</f>
        <v/>
      </c>
      <c r="AR116" s="511" t="str">
        <f>VLOOKUP(AK116,C114:Q119,10,FALSE)</f>
        <v/>
      </c>
      <c r="AS116" s="511" t="str">
        <f>VLOOKUP(AK116,C114:Q119,11,FALSE)</f>
        <v/>
      </c>
      <c r="AT116" s="511" t="str">
        <f>VLOOKUP(AK116,C114:Q119,12,FALSE)</f>
        <v/>
      </c>
      <c r="AU116" s="511" t="str">
        <f>VLOOKUP(AK116,C114:Q119,13,FALSE)</f>
        <v/>
      </c>
      <c r="AV116" s="511" t="str">
        <f>VLOOKUP(AK116,C114:Q119,14,FALSE)</f>
        <v/>
      </c>
      <c r="AW116" s="512" t="str">
        <f>VLOOKUP(AK116,C114:Q119,15,FALSE)</f>
        <v/>
      </c>
      <c r="AX116" s="520" t="str">
        <f>IF(W114="","",IF(AO116=V114,W114,IF(AO116=Z114,Y114,"")))</f>
        <v/>
      </c>
      <c r="AY116" s="521" t="str">
        <f>IF(W115="","",IF(AO116=V115,W115,IF(AO116=Z115,Y115,"")))</f>
        <v/>
      </c>
      <c r="AZ116" s="521" t="str">
        <f>IF(W116="","",IF(AO116=V116,W116,IF(AO116=Z116,Y116,"")))</f>
        <v/>
      </c>
      <c r="BA116" s="521" t="str">
        <f>IF(W117="","",IF(AO116=V117,W117,IF(AO116=Z117,Y117,"")))</f>
        <v/>
      </c>
      <c r="BB116" s="521" t="str">
        <f>IF(W118="","",IF(AO116=V118,W118,IF(AO116=Z118,Y118,"")))</f>
        <v/>
      </c>
      <c r="BC116" s="521" t="str">
        <f>IF(W119="","",IF(AO116=V119,W119,IF(AO116=Z119,Y119,"")))</f>
        <v/>
      </c>
      <c r="BD116" s="521" t="str">
        <f>IF(W120="","",IF(AO116=V120,W120,IF(AO116=Z120,Y120,"")))</f>
        <v/>
      </c>
      <c r="BE116" s="521" t="str">
        <f>IF(W121="","",IF(AO116=V121,W121,IF(AO116=Z121,Y121,"")))</f>
        <v/>
      </c>
      <c r="BF116" s="521" t="str">
        <f>IF(W122="","",IF(AO116=V122,W122,IF(AO116=Z122,Y122,"")))</f>
        <v/>
      </c>
      <c r="BG116" s="521" t="str">
        <f>IF(W123="","",IF(AO116=V123,W123,IF(AO116=Z123,Y123,"")))</f>
        <v/>
      </c>
      <c r="BH116" s="521" t="str">
        <f>IF(W124="","",IF(AO116=V124,W124,IF(AO116=Z124,Y124,"")))</f>
        <v/>
      </c>
      <c r="BI116" s="521" t="str">
        <f>IF(W125="","",IF(AO116=V125,W125,IF(AO116=Z125,Y125,"")))</f>
        <v/>
      </c>
      <c r="BJ116" s="521" t="str">
        <f>IF(W126="","",IF(AO116=V126,W126,IF(AO116=Z126,Y126,"")))</f>
        <v/>
      </c>
      <c r="BK116" s="521" t="str">
        <f>IF(W127="","",IF(AO116=V127,W127,IF(AO116=Z127,Y127,"")))</f>
        <v/>
      </c>
      <c r="BL116" s="522" t="str">
        <f>IF(W128="","",IF(AO116=V128,W128,IF(AO116=Z128,Y128,"")))</f>
        <v/>
      </c>
      <c r="BM116" s="270"/>
      <c r="BN116" s="270"/>
      <c r="BO116" s="270"/>
      <c r="BP116" s="270"/>
      <c r="BQ116" s="270"/>
      <c r="BR116" s="270"/>
      <c r="BS116" s="270"/>
      <c r="BT116" s="270"/>
      <c r="BU116" s="270"/>
      <c r="BV116" s="270"/>
      <c r="BW116" s="270"/>
      <c r="BX116" s="270"/>
      <c r="BY116" s="270"/>
      <c r="BZ116" s="1395" t="b">
        <f t="shared" si="83"/>
        <v>1</v>
      </c>
      <c r="CA116" s="1450" t="b">
        <f t="shared" si="84"/>
        <v>0</v>
      </c>
      <c r="CB116" s="1450" t="b">
        <f t="shared" si="85"/>
        <v>1</v>
      </c>
      <c r="CC116" s="270"/>
      <c r="CD116" s="270"/>
      <c r="CE116"/>
    </row>
    <row r="117" spans="1:83" ht="13.5" outlineLevel="1" thickBot="1" x14ac:dyDescent="0.25">
      <c r="A117" s="270"/>
      <c r="B117" s="509">
        <v>4</v>
      </c>
      <c r="C117" s="560" t="str">
        <f>IF(AK113="","",RANK(F117,F114:F119)*1000+ROW())</f>
        <v/>
      </c>
      <c r="D117" s="561" t="str">
        <f t="shared" si="71"/>
        <v/>
      </c>
      <c r="E117" s="561" t="str">
        <f>IF(L117="","",Nb_Diff_Part(D117,D114:D119,G117,G114:G119,AI114:AI128)*CritClassInd_DiffPart+Nb_Goal_Part(D117,D114:D119,G117,G114:G119,V114:Z128)*CritClassInd_GoalPart+Nb_Score_Part(D117,D114:D119,G117,G114:G119,V114:Z128)*CritClassInd_ScorePart)</f>
        <v/>
      </c>
      <c r="F117" s="562" t="str">
        <f t="shared" si="72"/>
        <v/>
      </c>
      <c r="G117" s="502" t="s">
        <v>906</v>
      </c>
      <c r="H117" s="501">
        <f t="shared" si="73"/>
        <v>0</v>
      </c>
      <c r="I117" s="502"/>
      <c r="J117" s="560" t="str">
        <f>IF(AK113="","",(L117*Points_Victoire)+M117*Points_Null)</f>
        <v/>
      </c>
      <c r="K117" s="563" t="str">
        <f t="shared" si="74"/>
        <v/>
      </c>
      <c r="L117" s="563" t="str">
        <f>IF(AK113="","",COUNTIF(AE114:AE128,G117))</f>
        <v/>
      </c>
      <c r="M117" s="563" t="str">
        <f>IF(AK113="","",COUNTIF(AF114:AG128,G117))</f>
        <v/>
      </c>
      <c r="N117" s="563" t="str">
        <f>IF(AK113="","",COUNTIF(AH114:AH128,G117))</f>
        <v/>
      </c>
      <c r="O117" s="563" t="str">
        <f>IF(AK113="","",SUMIF(V114:V128,G117,AB114:AB128)+SUMIF(Z114:Z128,G117,AD114:AD128))</f>
        <v/>
      </c>
      <c r="P117" s="563" t="str">
        <f>IF(AK113="","",SUMIF(V114:V128,G117,AD114:AD128)+SUMIF(Z114:Z128,G117,AB114:AB128))</f>
        <v/>
      </c>
      <c r="Q117" s="564" t="str">
        <f>IF(AK113="","",O117-P117)</f>
        <v/>
      </c>
      <c r="R117" s="558" t="s">
        <v>1733</v>
      </c>
      <c r="S117" s="615"/>
      <c r="T117" s="619"/>
      <c r="U117" s="1501"/>
      <c r="V117" s="461" t="str">
        <f>IF(G116="","",G116)</f>
        <v>A3</v>
      </c>
      <c r="W117" s="450"/>
      <c r="X117" s="462" t="s">
        <v>769</v>
      </c>
      <c r="Y117" s="450"/>
      <c r="Z117" s="463" t="str">
        <f>IF(G119="","",G119)</f>
        <v>A6</v>
      </c>
      <c r="AA117" s="839"/>
      <c r="AB117" s="1459">
        <f t="shared" si="75"/>
        <v>0</v>
      </c>
      <c r="AC117" s="1460" t="str">
        <f t="shared" si="76"/>
        <v>-</v>
      </c>
      <c r="AD117" s="1459">
        <f t="shared" si="77"/>
        <v>0</v>
      </c>
      <c r="AE117" s="968" t="str">
        <f t="shared" si="78"/>
        <v/>
      </c>
      <c r="AF117" s="968" t="str">
        <f t="shared" si="79"/>
        <v/>
      </c>
      <c r="AG117" s="968" t="str">
        <f t="shared" si="80"/>
        <v/>
      </c>
      <c r="AH117" s="968" t="str">
        <f t="shared" si="81"/>
        <v/>
      </c>
      <c r="AI117" s="968" t="str">
        <f t="shared" si="82"/>
        <v/>
      </c>
      <c r="AJ117" s="968"/>
      <c r="AK117" s="968" t="str">
        <f>IF(AK113="","",SMALL(C114:C119,4))</f>
        <v/>
      </c>
      <c r="AL117" s="270"/>
      <c r="AM117" s="270"/>
      <c r="AN117" s="536" t="str">
        <f>IF(AK113="","",INT(AK117/1000))</f>
        <v/>
      </c>
      <c r="AO117" s="537" t="str">
        <f>IF(AK113="",IF(HidePlayerFormulas,"","("&amp;G117&amp;")"),VLOOKUP(AK117,C114:Q119,5,FALSE))</f>
        <v/>
      </c>
      <c r="AP117" s="541" t="str">
        <f>VLOOKUP(AK117,C114:Q119,8,FALSE)</f>
        <v/>
      </c>
      <c r="AQ117" s="511" t="str">
        <f>VLOOKUP(AK117,C114:Q119,9,FALSE)</f>
        <v/>
      </c>
      <c r="AR117" s="511" t="str">
        <f>VLOOKUP(AK117,C114:Q119,10,FALSE)</f>
        <v/>
      </c>
      <c r="AS117" s="511" t="str">
        <f>VLOOKUP(AK117,C114:Q119,11,FALSE)</f>
        <v/>
      </c>
      <c r="AT117" s="511" t="str">
        <f>VLOOKUP(AK117,C114:Q119,12,FALSE)</f>
        <v/>
      </c>
      <c r="AU117" s="511" t="str">
        <f>VLOOKUP(AK117,C114:Q119,13,FALSE)</f>
        <v/>
      </c>
      <c r="AV117" s="511" t="str">
        <f>VLOOKUP(AK117,C114:Q119,14,FALSE)</f>
        <v/>
      </c>
      <c r="AW117" s="512" t="str">
        <f>VLOOKUP(AK117,C114:Q119,15,FALSE)</f>
        <v/>
      </c>
      <c r="AX117" s="520" t="str">
        <f>IF(W114="","",IF(AO117=V114,W114,IF(AO117=Z114,Y114,"")))</f>
        <v/>
      </c>
      <c r="AY117" s="521" t="str">
        <f>IF(W115="","",IF(AO117=V115,W115,IF(AO117=Z115,Y115,"")))</f>
        <v/>
      </c>
      <c r="AZ117" s="521" t="str">
        <f>IF(W116="","",IF(AO117=V116,W116,IF(AO117=Z116,Y116,"")))</f>
        <v/>
      </c>
      <c r="BA117" s="521" t="str">
        <f>IF(W117="","",IF(AO117=V117,W117,IF(AO117=Z117,Y117,"")))</f>
        <v/>
      </c>
      <c r="BB117" s="521" t="str">
        <f>IF(W118="","",IF(AO117=V118,W118,IF(AO117=Z118,Y118,"")))</f>
        <v/>
      </c>
      <c r="BC117" s="521" t="str">
        <f>IF(W119="","",IF(AO117=V119,W119,IF(AO117=Z119,Y119,"")))</f>
        <v/>
      </c>
      <c r="BD117" s="521" t="str">
        <f>IF(W120="","",IF(AO117=V120,W120,IF(AO117=Z120,Y120,"")))</f>
        <v/>
      </c>
      <c r="BE117" s="521" t="str">
        <f>IF(W121="","",IF(AO117=V121,W121,IF(AO117=Z121,Y121,"")))</f>
        <v/>
      </c>
      <c r="BF117" s="521" t="str">
        <f>IF(W122="","",IF(AO117=V122,W122,IF(AO117=Z122,Y122,"")))</f>
        <v/>
      </c>
      <c r="BG117" s="521" t="str">
        <f>IF(W123="","",IF(AO117=V123,W123,IF(AO117=Z123,Y123,"")))</f>
        <v/>
      </c>
      <c r="BH117" s="521" t="str">
        <f>IF(W124="","",IF(AO117=V124,W124,IF(AO117=Z124,Y124,"")))</f>
        <v/>
      </c>
      <c r="BI117" s="521" t="str">
        <f>IF(W125="","",IF(AO117=V125,W125,IF(AO117=Z125,Y125,"")))</f>
        <v/>
      </c>
      <c r="BJ117" s="521" t="str">
        <f>IF(W126="","",IF(AO117=V126,W126,IF(AO117=Z126,Y126,"")))</f>
        <v/>
      </c>
      <c r="BK117" s="521" t="str">
        <f>IF(W127="","",IF(AO117=V127,W127,IF(AO117=Z127,Y127,"")))</f>
        <v/>
      </c>
      <c r="BL117" s="522" t="str">
        <f>IF(W128="","",IF(AO117=V128,W128,IF(AO117=Z128,Y128,"")))</f>
        <v/>
      </c>
      <c r="BM117" s="270"/>
      <c r="BN117" s="270"/>
      <c r="BO117" s="270"/>
      <c r="BP117" s="270"/>
      <c r="BQ117" s="270"/>
      <c r="BR117" s="270"/>
      <c r="BS117" s="270"/>
      <c r="BT117" s="270"/>
      <c r="BU117" s="270"/>
      <c r="BV117" s="270"/>
      <c r="BW117" s="270"/>
      <c r="BX117" s="270"/>
      <c r="BY117" s="270"/>
      <c r="BZ117" s="1395" t="b">
        <f t="shared" si="83"/>
        <v>1</v>
      </c>
      <c r="CA117" s="1450" t="b">
        <f t="shared" si="84"/>
        <v>0</v>
      </c>
      <c r="CB117" s="1450" t="b">
        <f t="shared" si="85"/>
        <v>1</v>
      </c>
      <c r="CC117" s="270"/>
      <c r="CD117" s="270"/>
      <c r="CE117"/>
    </row>
    <row r="118" spans="1:83" outlineLevel="1" x14ac:dyDescent="0.2">
      <c r="A118" s="270"/>
      <c r="B118" s="509">
        <v>5</v>
      </c>
      <c r="C118" s="560" t="str">
        <f>IF(AK113="","",RANK(F118,F114:F119)*1000+ROW())</f>
        <v/>
      </c>
      <c r="D118" s="561" t="str">
        <f t="shared" si="71"/>
        <v/>
      </c>
      <c r="E118" s="561" t="str">
        <f>IF(L118="","",Nb_Diff_Part(D118,D114:D119,G118,G114:G119,AI114:AI128)*CritClassInd_DiffPart+Nb_Goal_Part(D118,D114:D119,G118,G114:G119,V114:Z128)*CritClassInd_GoalPart+Nb_Score_Part(D118,D114:D119,G118,G114:G119,V114:Z128)*CritClassInd_ScorePart)</f>
        <v/>
      </c>
      <c r="F118" s="562" t="str">
        <f t="shared" si="72"/>
        <v/>
      </c>
      <c r="G118" s="502" t="s">
        <v>907</v>
      </c>
      <c r="H118" s="501">
        <f t="shared" si="73"/>
        <v>0</v>
      </c>
      <c r="I118" s="502"/>
      <c r="J118" s="560" t="str">
        <f>IF(AK113="","",(L118*Points_Victoire)+M118*Points_Null)</f>
        <v/>
      </c>
      <c r="K118" s="563" t="str">
        <f t="shared" si="74"/>
        <v/>
      </c>
      <c r="L118" s="563" t="str">
        <f>IF(AK113="","",COUNTIF(AE114:AE128,G118))</f>
        <v/>
      </c>
      <c r="M118" s="563" t="str">
        <f>IF(AK113="","",COUNTIF(AF114:AG128,G118))</f>
        <v/>
      </c>
      <c r="N118" s="563" t="str">
        <f>IF(AK113="","",COUNTIF(AH114:AH128,G118))</f>
        <v/>
      </c>
      <c r="O118" s="563" t="str">
        <f>IF(AK113="","",SUMIF(V114:V128,G118,AB114:AB128)+SUMIF(Z114:Z128,G118,AD114:AD128))</f>
        <v/>
      </c>
      <c r="P118" s="563" t="str">
        <f>IF(AK113="","",SUMIF(V114:V128,G118,AD114:AD128)+SUMIF(Z114:Z128,G118,AB114:AB128))</f>
        <v/>
      </c>
      <c r="Q118" s="564" t="str">
        <f>IF(AK113="","",O118-P118)</f>
        <v/>
      </c>
      <c r="R118" s="558" t="s">
        <v>1734</v>
      </c>
      <c r="S118" s="611"/>
      <c r="T118" s="617"/>
      <c r="U118" s="1499"/>
      <c r="V118" s="455" t="str">
        <f>IF(G115="","",G115)</f>
        <v>A2</v>
      </c>
      <c r="W118" s="456"/>
      <c r="X118" s="457" t="s">
        <v>769</v>
      </c>
      <c r="Y118" s="456"/>
      <c r="Z118" s="458" t="str">
        <f>IF(G118="","",G118)</f>
        <v>A5</v>
      </c>
      <c r="AA118" s="839"/>
      <c r="AB118" s="1459">
        <f t="shared" si="75"/>
        <v>0</v>
      </c>
      <c r="AC118" s="1460" t="str">
        <f t="shared" si="76"/>
        <v>-</v>
      </c>
      <c r="AD118" s="1459">
        <f t="shared" si="77"/>
        <v>0</v>
      </c>
      <c r="AE118" s="968" t="str">
        <f t="shared" si="78"/>
        <v/>
      </c>
      <c r="AF118" s="968" t="str">
        <f t="shared" si="79"/>
        <v/>
      </c>
      <c r="AG118" s="968" t="str">
        <f t="shared" si="80"/>
        <v/>
      </c>
      <c r="AH118" s="968" t="str">
        <f t="shared" si="81"/>
        <v/>
      </c>
      <c r="AI118" s="968" t="str">
        <f t="shared" si="82"/>
        <v/>
      </c>
      <c r="AJ118" s="968"/>
      <c r="AK118" s="968" t="str">
        <f>IF(AK113="","",SMALL(C114:C119,5))</f>
        <v/>
      </c>
      <c r="AL118" s="270"/>
      <c r="AM118" s="270"/>
      <c r="AN118" s="536" t="str">
        <f>IF(AK113="","",INT(AK118/1000))</f>
        <v/>
      </c>
      <c r="AO118" s="537" t="str">
        <f>IF(AK113="",IF(HidePlayerFormulas,"","("&amp;G118&amp;")"),VLOOKUP(AK118,C114:Q119,5,FALSE))</f>
        <v/>
      </c>
      <c r="AP118" s="541" t="str">
        <f>VLOOKUP(AK118,C114:Q119,8,FALSE)</f>
        <v/>
      </c>
      <c r="AQ118" s="511" t="str">
        <f>VLOOKUP(AK118,C114:Q119,9,FALSE)</f>
        <v/>
      </c>
      <c r="AR118" s="511" t="str">
        <f>VLOOKUP(AK118,C114:Q119,10,FALSE)</f>
        <v/>
      </c>
      <c r="AS118" s="511" t="str">
        <f>VLOOKUP(AK118,C114:Q119,11,FALSE)</f>
        <v/>
      </c>
      <c r="AT118" s="511" t="str">
        <f>VLOOKUP(AK118,C114:Q119,12,FALSE)</f>
        <v/>
      </c>
      <c r="AU118" s="511" t="str">
        <f>VLOOKUP(AK118,C114:Q119,13,FALSE)</f>
        <v/>
      </c>
      <c r="AV118" s="511" t="str">
        <f>VLOOKUP(AK118,C114:Q119,14,FALSE)</f>
        <v/>
      </c>
      <c r="AW118" s="512" t="str">
        <f>VLOOKUP(AK118,C114:Q119,15,FALSE)</f>
        <v/>
      </c>
      <c r="AX118" s="520" t="str">
        <f>IF(W114="","",IF(AO118=V114,W114,IF(AO118=Z114,Y114,"")))</f>
        <v/>
      </c>
      <c r="AY118" s="521" t="str">
        <f>IF(W115="","",IF(AO118=V115,W115,IF(AO118=Z115,Y115,"")))</f>
        <v/>
      </c>
      <c r="AZ118" s="521" t="str">
        <f>IF(W116="","",IF(AO118=V116,W116,IF(AO118=Z116,Y116,"")))</f>
        <v/>
      </c>
      <c r="BA118" s="521" t="str">
        <f>IF(W117="","",IF(AO118=V117,W117,IF(AO118=Z117,Y117,"")))</f>
        <v/>
      </c>
      <c r="BB118" s="521" t="str">
        <f>IF(W118="","",IF(AO118=V118,W118,IF(AO118=Z118,Y118,"")))</f>
        <v/>
      </c>
      <c r="BC118" s="521" t="str">
        <f>IF(W119="","",IF(AO118=V119,W119,IF(AO118=Z119,Y119,"")))</f>
        <v/>
      </c>
      <c r="BD118" s="521" t="str">
        <f>IF(W120="","",IF(AO118=V120,W120,IF(AO118=Z120,Y120,"")))</f>
        <v/>
      </c>
      <c r="BE118" s="521" t="str">
        <f>IF(W121="","",IF(AO118=V121,W121,IF(AO118=Z121,Y121,"")))</f>
        <v/>
      </c>
      <c r="BF118" s="521" t="str">
        <f>IF(W122="","",IF(AO118=V122,W122,IF(AO118=Z122,Y122,"")))</f>
        <v/>
      </c>
      <c r="BG118" s="521" t="str">
        <f>IF(W123="","",IF(AO118=V123,W123,IF(AO118=Z123,Y123,"")))</f>
        <v/>
      </c>
      <c r="BH118" s="521" t="str">
        <f>IF(W124="","",IF(AO118=V124,W124,IF(AO118=Z124,Y124,"")))</f>
        <v/>
      </c>
      <c r="BI118" s="521" t="str">
        <f>IF(W125="","",IF(AO118=V125,W125,IF(AO118=Z125,Y125,"")))</f>
        <v/>
      </c>
      <c r="BJ118" s="521" t="str">
        <f>IF(W126="","",IF(AO118=V126,W126,IF(AO118=Z126,Y126,"")))</f>
        <v/>
      </c>
      <c r="BK118" s="521" t="str">
        <f>IF(W127="","",IF(AO118=V127,W127,IF(AO118=Z127,Y127,"")))</f>
        <v/>
      </c>
      <c r="BL118" s="522" t="str">
        <f>IF(W128="","",IF(AO118=V128,W128,IF(AO118=Z128,Y128,"")))</f>
        <v/>
      </c>
      <c r="BM118" s="270"/>
      <c r="BN118" s="270"/>
      <c r="BO118" s="270"/>
      <c r="BP118" s="270"/>
      <c r="BQ118" s="270"/>
      <c r="BR118" s="270"/>
      <c r="BS118" s="270"/>
      <c r="BT118" s="270"/>
      <c r="BU118" s="270"/>
      <c r="BV118" s="270"/>
      <c r="BW118" s="270"/>
      <c r="BX118" s="270"/>
      <c r="BY118" s="270"/>
      <c r="BZ118" s="1395" t="b">
        <f t="shared" si="83"/>
        <v>1</v>
      </c>
      <c r="CA118" s="1450" t="b">
        <f t="shared" si="84"/>
        <v>0</v>
      </c>
      <c r="CB118" s="1450" t="b">
        <f t="shared" si="85"/>
        <v>1</v>
      </c>
      <c r="CC118" s="270"/>
      <c r="CD118" s="270"/>
      <c r="CE118"/>
    </row>
    <row r="119" spans="1:83" ht="13.5" outlineLevel="1" thickBot="1" x14ac:dyDescent="0.25">
      <c r="A119" s="270"/>
      <c r="B119" s="530">
        <v>6</v>
      </c>
      <c r="C119" s="585" t="str">
        <f>IF(AK113="","",RANK(F119,F114:F119)*1000+ROW())</f>
        <v/>
      </c>
      <c r="D119" s="566" t="str">
        <f t="shared" si="71"/>
        <v/>
      </c>
      <c r="E119" s="566" t="str">
        <f>IF(L119="","",Nb_Diff_Part(D119,D114:D119,G119,G114:G119,AI114:AI128)*CritClassInd_DiffPart+Nb_Goal_Part(D119,D114:D119,G119,G114:G119,V114:Z128)*CritClassInd_GoalPart+Nb_Score_Part(D119,D114:D119,G119,G114:G119,V114:Z128)*CritClassInd_ScorePart)</f>
        <v/>
      </c>
      <c r="F119" s="567" t="str">
        <f t="shared" si="72"/>
        <v/>
      </c>
      <c r="G119" s="500" t="s">
        <v>908</v>
      </c>
      <c r="H119" s="503">
        <f t="shared" si="73"/>
        <v>0</v>
      </c>
      <c r="I119" s="504"/>
      <c r="J119" s="585" t="str">
        <f>IF(AK113="","",(L119*Points_Victoire)+M119*Points_Null)</f>
        <v/>
      </c>
      <c r="K119" s="586" t="str">
        <f t="shared" si="74"/>
        <v/>
      </c>
      <c r="L119" s="586" t="str">
        <f>IF(AK113="","",COUNTIF(AE114:AE128,G119))</f>
        <v/>
      </c>
      <c r="M119" s="586" t="str">
        <f>IF(AK113="","",COUNTIF(AF114:AG128,G119))</f>
        <v/>
      </c>
      <c r="N119" s="586" t="str">
        <f>IF(AK113="","",COUNTIF(AH114:AH128,G119))</f>
        <v/>
      </c>
      <c r="O119" s="586" t="str">
        <f>IF(AK113="","",SUMIF(V114:V128,G119,AB114:AB128)+SUMIF(Z114:Z128,G119,AD114:AD128))</f>
        <v/>
      </c>
      <c r="P119" s="586" t="str">
        <f>IF(AK113="","",SUMIF(V114:V128,G119,AD114:AD128)+SUMIF(Z114:Z128,G119,AB114:AB128))</f>
        <v/>
      </c>
      <c r="Q119" s="587" t="str">
        <f>IF(AK113="","",O119-P119)</f>
        <v/>
      </c>
      <c r="R119" s="558" t="s">
        <v>1734</v>
      </c>
      <c r="S119" s="615"/>
      <c r="T119" s="619"/>
      <c r="U119" s="1501"/>
      <c r="V119" s="461" t="str">
        <f>IF(G114="","",G114)</f>
        <v>A1</v>
      </c>
      <c r="W119" s="450"/>
      <c r="X119" s="462" t="s">
        <v>769</v>
      </c>
      <c r="Y119" s="450"/>
      <c r="Z119" s="463" t="str">
        <f>IF(G117="","",G117)</f>
        <v>A4</v>
      </c>
      <c r="AA119" s="839"/>
      <c r="AB119" s="1459">
        <f t="shared" si="75"/>
        <v>0</v>
      </c>
      <c r="AC119" s="1460" t="str">
        <f t="shared" si="76"/>
        <v>-</v>
      </c>
      <c r="AD119" s="1459">
        <f t="shared" si="77"/>
        <v>0</v>
      </c>
      <c r="AE119" s="968" t="str">
        <f t="shared" si="78"/>
        <v/>
      </c>
      <c r="AF119" s="968" t="str">
        <f t="shared" si="79"/>
        <v/>
      </c>
      <c r="AG119" s="968" t="str">
        <f t="shared" si="80"/>
        <v/>
      </c>
      <c r="AH119" s="968" t="str">
        <f t="shared" si="81"/>
        <v/>
      </c>
      <c r="AI119" s="968" t="str">
        <f t="shared" si="82"/>
        <v/>
      </c>
      <c r="AJ119" s="968"/>
      <c r="AK119" s="968" t="str">
        <f>IF(AK113="","",SMALL(C114:C119,6))</f>
        <v/>
      </c>
      <c r="AL119" s="270"/>
      <c r="AM119" s="270"/>
      <c r="AN119" s="538" t="str">
        <f>IF(AK113="","",INT(AK119/1000))</f>
        <v/>
      </c>
      <c r="AO119" s="539" t="str">
        <f>IF(AK113="",IF(HidePlayerFormulas,"","("&amp;G119&amp;")"),VLOOKUP(AK119,C114:Q119,5,FALSE))</f>
        <v/>
      </c>
      <c r="AP119" s="542" t="str">
        <f>VLOOKUP(AK119,C114:Q119,8,FALSE)</f>
        <v/>
      </c>
      <c r="AQ119" s="515" t="str">
        <f>VLOOKUP(AK119,C114:Q119,9,FALSE)</f>
        <v/>
      </c>
      <c r="AR119" s="515" t="str">
        <f>VLOOKUP(AK119,C114:Q119,10,FALSE)</f>
        <v/>
      </c>
      <c r="AS119" s="515" t="str">
        <f>VLOOKUP(AK119,C114:Q119,11,FALSE)</f>
        <v/>
      </c>
      <c r="AT119" s="515" t="str">
        <f>VLOOKUP(AK119,C114:Q119,12,FALSE)</f>
        <v/>
      </c>
      <c r="AU119" s="515" t="str">
        <f>VLOOKUP(AK119,C114:Q119,13,FALSE)</f>
        <v/>
      </c>
      <c r="AV119" s="515" t="str">
        <f>VLOOKUP(AK119,C114:Q119,14,FALSE)</f>
        <v/>
      </c>
      <c r="AW119" s="516" t="str">
        <f>VLOOKUP(AK119,C114:Q119,15,FALSE)</f>
        <v/>
      </c>
      <c r="AX119" s="523" t="str">
        <f>IF(W114="","",IF(AO119=V114,W114,IF(AO119=Z114,Y114,"")))</f>
        <v/>
      </c>
      <c r="AY119" s="524" t="str">
        <f>IF(W115="","",IF(AO119=V115,W115,IF(AO119=Z115,Y115,"")))</f>
        <v/>
      </c>
      <c r="AZ119" s="524" t="str">
        <f>IF(W116="","",IF(AO119=V116,W116,IF(AO119=Z116,Y116,"")))</f>
        <v/>
      </c>
      <c r="BA119" s="524" t="str">
        <f>IF(W117="","",IF(AO119=V117,W117,IF(AO119=Z117,Y117,"")))</f>
        <v/>
      </c>
      <c r="BB119" s="524" t="str">
        <f>IF(W118="","",IF(AO119=V118,W118,IF(AO119=Z118,Y118,"")))</f>
        <v/>
      </c>
      <c r="BC119" s="524" t="str">
        <f>IF(W119="","",IF(AO119=V119,W119,IF(AO119=Z119,Y119,"")))</f>
        <v/>
      </c>
      <c r="BD119" s="524" t="str">
        <f>IF(W120="","",IF(AO119=V120,W120,IF(AO119=Z120,Y120,"")))</f>
        <v/>
      </c>
      <c r="BE119" s="524" t="str">
        <f>IF(W121="","",IF(AO119=V121,W121,IF(AO119=Z121,Y121,"")))</f>
        <v/>
      </c>
      <c r="BF119" s="524" t="str">
        <f>IF(W122="","",IF(AO119=V122,W122,IF(AO119=Z122,Y122,"")))</f>
        <v/>
      </c>
      <c r="BG119" s="524" t="str">
        <f>IF(W123="","",IF(AO119=V123,W123,IF(AO119=Z123,Y123,"")))</f>
        <v/>
      </c>
      <c r="BH119" s="524" t="str">
        <f>IF(W124="","",IF(AO119=V124,W124,IF(AO119=Z124,Y124,"")))</f>
        <v/>
      </c>
      <c r="BI119" s="524" t="str">
        <f>IF(W125="","",IF(AO119=V125,W125,IF(AO119=Z125,Y125,"")))</f>
        <v/>
      </c>
      <c r="BJ119" s="524" t="str">
        <f>IF(W126="","",IF(AO119=V126,W126,IF(AO119=Z126,Y126,"")))</f>
        <v/>
      </c>
      <c r="BK119" s="524" t="str">
        <f>IF(W127="","",IF(AO119=V127,W127,IF(AO119=Z127,Y127,"")))</f>
        <v/>
      </c>
      <c r="BL119" s="525" t="str">
        <f>IF(W128="","",IF(AO119=V128,W128,IF(AO119=Z128,Y128,"")))</f>
        <v/>
      </c>
      <c r="BM119" s="270"/>
      <c r="BN119" s="270"/>
      <c r="BO119" s="270"/>
      <c r="BP119" s="270"/>
      <c r="BQ119" s="270"/>
      <c r="BR119" s="270"/>
      <c r="BS119" s="270"/>
      <c r="BT119" s="270"/>
      <c r="BU119" s="270"/>
      <c r="BV119" s="270"/>
      <c r="BW119" s="270"/>
      <c r="BX119" s="270"/>
      <c r="BY119" s="270"/>
      <c r="BZ119" s="1395" t="b">
        <f t="shared" si="83"/>
        <v>1</v>
      </c>
      <c r="CA119" s="1450" t="b">
        <f t="shared" si="84"/>
        <v>0</v>
      </c>
      <c r="CB119" s="1450" t="b">
        <f t="shared" si="85"/>
        <v>1</v>
      </c>
      <c r="CC119" s="270"/>
      <c r="CD119" s="270"/>
      <c r="CE119"/>
    </row>
    <row r="120" spans="1:83" outlineLevel="2" x14ac:dyDescent="0.2">
      <c r="A120" s="270"/>
      <c r="B120" s="271"/>
      <c r="C120" s="270"/>
      <c r="D120" s="270"/>
      <c r="E120" s="270"/>
      <c r="F120" s="270"/>
      <c r="G120" s="271"/>
      <c r="H120" s="271"/>
      <c r="I120" s="271"/>
      <c r="J120" s="270"/>
      <c r="K120" s="270"/>
      <c r="L120" s="270"/>
      <c r="M120" s="270"/>
      <c r="N120" s="270"/>
      <c r="O120" s="270"/>
      <c r="P120" s="270"/>
      <c r="Q120" s="270"/>
      <c r="R120" s="558" t="s">
        <v>1735</v>
      </c>
      <c r="S120" s="611"/>
      <c r="T120" s="617"/>
      <c r="U120" s="1499"/>
      <c r="V120" s="455" t="str">
        <f>IF(G114="","",G114)</f>
        <v>A1</v>
      </c>
      <c r="W120" s="456"/>
      <c r="X120" s="457" t="s">
        <v>769</v>
      </c>
      <c r="Y120" s="456"/>
      <c r="Z120" s="458" t="str">
        <f>IF(G118="","",G118)</f>
        <v>A5</v>
      </c>
      <c r="AA120" s="839"/>
      <c r="AB120" s="1459">
        <f t="shared" si="75"/>
        <v>0</v>
      </c>
      <c r="AC120" s="1460" t="str">
        <f t="shared" si="76"/>
        <v>-</v>
      </c>
      <c r="AD120" s="1459">
        <f t="shared" si="77"/>
        <v>0</v>
      </c>
      <c r="AE120" s="968" t="str">
        <f t="shared" si="78"/>
        <v/>
      </c>
      <c r="AF120" s="968" t="str">
        <f t="shared" si="79"/>
        <v/>
      </c>
      <c r="AG120" s="968" t="str">
        <f t="shared" si="80"/>
        <v/>
      </c>
      <c r="AH120" s="968" t="str">
        <f t="shared" si="81"/>
        <v/>
      </c>
      <c r="AI120" s="968" t="str">
        <f t="shared" si="82"/>
        <v/>
      </c>
      <c r="AJ120" s="968"/>
      <c r="AK120" s="968"/>
      <c r="AL120" s="270"/>
      <c r="AM120" s="270"/>
      <c r="AN120" s="575"/>
      <c r="AO120" s="270"/>
      <c r="AP120" s="271"/>
      <c r="AQ120" s="271"/>
      <c r="AR120" s="271"/>
      <c r="AS120" s="271"/>
      <c r="AT120" s="271"/>
      <c r="AU120" s="271"/>
      <c r="AV120" s="271"/>
      <c r="AW120" s="271"/>
      <c r="AX120" s="271"/>
      <c r="AY120" s="271"/>
      <c r="AZ120" s="271"/>
      <c r="BA120" s="271"/>
      <c r="BB120" s="271"/>
      <c r="BC120" s="271"/>
      <c r="BD120" s="271"/>
      <c r="BE120" s="271"/>
      <c r="BF120" s="271"/>
      <c r="BG120" s="271"/>
      <c r="BH120" s="271"/>
      <c r="BI120" s="271"/>
      <c r="BJ120" s="271"/>
      <c r="BK120" s="271"/>
      <c r="BL120" s="271"/>
      <c r="BM120" s="271"/>
      <c r="BN120" s="271"/>
      <c r="BO120" s="271"/>
      <c r="BP120" s="271"/>
      <c r="BQ120" s="271"/>
      <c r="BR120" s="271"/>
      <c r="BS120" s="271"/>
      <c r="BT120" s="271"/>
      <c r="BU120" s="271"/>
      <c r="BV120" s="271"/>
      <c r="BW120" s="271"/>
      <c r="BX120" s="271"/>
      <c r="BY120" s="271"/>
      <c r="BZ120" s="1395"/>
      <c r="CA120" s="1450"/>
      <c r="CB120" s="1450"/>
      <c r="CC120" s="270"/>
      <c r="CD120" s="270"/>
      <c r="CE120"/>
    </row>
    <row r="121" spans="1:83" ht="13.5" outlineLevel="2" thickBot="1" x14ac:dyDescent="0.25">
      <c r="A121" s="270"/>
      <c r="B121" s="271"/>
      <c r="C121" s="270"/>
      <c r="D121" s="270"/>
      <c r="E121" s="270"/>
      <c r="F121" s="270"/>
      <c r="G121" s="271"/>
      <c r="H121" s="271"/>
      <c r="I121" s="271"/>
      <c r="J121" s="270"/>
      <c r="K121" s="270"/>
      <c r="L121" s="270"/>
      <c r="M121" s="270"/>
      <c r="N121" s="270"/>
      <c r="O121" s="270"/>
      <c r="P121" s="270"/>
      <c r="Q121" s="270"/>
      <c r="R121" s="558" t="s">
        <v>1735</v>
      </c>
      <c r="S121" s="615"/>
      <c r="T121" s="619"/>
      <c r="U121" s="1501"/>
      <c r="V121" s="461" t="str">
        <f>IF(G115="","",G115)</f>
        <v>A2</v>
      </c>
      <c r="W121" s="450"/>
      <c r="X121" s="462" t="s">
        <v>769</v>
      </c>
      <c r="Y121" s="450"/>
      <c r="Z121" s="463" t="str">
        <f>IF(G116="","",G116)</f>
        <v>A3</v>
      </c>
      <c r="AA121" s="839"/>
      <c r="AB121" s="1459">
        <f t="shared" si="75"/>
        <v>0</v>
      </c>
      <c r="AC121" s="1460" t="str">
        <f t="shared" si="76"/>
        <v>-</v>
      </c>
      <c r="AD121" s="1459">
        <f t="shared" si="77"/>
        <v>0</v>
      </c>
      <c r="AE121" s="968" t="str">
        <f t="shared" si="78"/>
        <v/>
      </c>
      <c r="AF121" s="968" t="str">
        <f t="shared" si="79"/>
        <v/>
      </c>
      <c r="AG121" s="968" t="str">
        <f t="shared" si="80"/>
        <v/>
      </c>
      <c r="AH121" s="968" t="str">
        <f t="shared" si="81"/>
        <v/>
      </c>
      <c r="AI121" s="968" t="str">
        <f t="shared" si="82"/>
        <v/>
      </c>
      <c r="AJ121" s="968"/>
      <c r="AK121" s="968"/>
      <c r="AL121" s="270"/>
      <c r="AM121" s="270"/>
      <c r="AN121" s="575"/>
      <c r="AO121" s="270"/>
      <c r="AP121" s="271"/>
      <c r="AQ121" s="271"/>
      <c r="AR121" s="271"/>
      <c r="AS121" s="271"/>
      <c r="AT121" s="271"/>
      <c r="AU121" s="271"/>
      <c r="AV121" s="271"/>
      <c r="AW121" s="271"/>
      <c r="AX121" s="271"/>
      <c r="AY121" s="271"/>
      <c r="AZ121" s="271"/>
      <c r="BA121" s="271"/>
      <c r="BB121" s="271"/>
      <c r="BC121" s="271"/>
      <c r="BD121" s="271"/>
      <c r="BE121" s="271"/>
      <c r="BF121" s="271"/>
      <c r="BG121" s="271"/>
      <c r="BH121" s="271"/>
      <c r="BI121" s="271"/>
      <c r="BJ121" s="271"/>
      <c r="BK121" s="271"/>
      <c r="BL121" s="271"/>
      <c r="BM121" s="271"/>
      <c r="BN121" s="271"/>
      <c r="BO121" s="271"/>
      <c r="BP121" s="271"/>
      <c r="BQ121" s="271"/>
      <c r="BR121" s="271"/>
      <c r="BS121" s="271"/>
      <c r="BT121" s="271"/>
      <c r="BU121" s="271"/>
      <c r="BV121" s="271"/>
      <c r="BW121" s="271"/>
      <c r="BX121" s="271"/>
      <c r="BY121" s="271"/>
      <c r="BZ121" s="1395"/>
      <c r="CA121" s="1450"/>
      <c r="CB121" s="1450"/>
      <c r="CC121" s="270"/>
      <c r="CD121" s="270"/>
      <c r="CE121"/>
    </row>
    <row r="122" spans="1:83" outlineLevel="2" x14ac:dyDescent="0.2">
      <c r="A122" s="270"/>
      <c r="B122" s="271"/>
      <c r="C122" s="270"/>
      <c r="D122" s="270"/>
      <c r="E122" s="270"/>
      <c r="F122" s="270"/>
      <c r="G122" s="271"/>
      <c r="H122" s="271"/>
      <c r="I122" s="271"/>
      <c r="J122" s="270"/>
      <c r="K122" s="270"/>
      <c r="L122" s="270"/>
      <c r="M122" s="270"/>
      <c r="N122" s="270"/>
      <c r="O122" s="270"/>
      <c r="P122" s="270"/>
      <c r="Q122" s="270"/>
      <c r="R122" s="558" t="s">
        <v>1736</v>
      </c>
      <c r="S122" s="611"/>
      <c r="T122" s="617"/>
      <c r="U122" s="1499"/>
      <c r="V122" s="455" t="str">
        <f>IF(G117="","",G117)</f>
        <v>A4</v>
      </c>
      <c r="W122" s="456"/>
      <c r="X122" s="457" t="s">
        <v>769</v>
      </c>
      <c r="Y122" s="456"/>
      <c r="Z122" s="458" t="str">
        <f>IF(G119="","",G119)</f>
        <v>A6</v>
      </c>
      <c r="AA122" s="839"/>
      <c r="AB122" s="1459">
        <f t="shared" si="75"/>
        <v>0</v>
      </c>
      <c r="AC122" s="1460" t="str">
        <f t="shared" si="76"/>
        <v>-</v>
      </c>
      <c r="AD122" s="1459">
        <f t="shared" si="77"/>
        <v>0</v>
      </c>
      <c r="AE122" s="968" t="str">
        <f t="shared" si="78"/>
        <v/>
      </c>
      <c r="AF122" s="968" t="str">
        <f t="shared" si="79"/>
        <v/>
      </c>
      <c r="AG122" s="968" t="str">
        <f t="shared" si="80"/>
        <v/>
      </c>
      <c r="AH122" s="968" t="str">
        <f t="shared" si="81"/>
        <v/>
      </c>
      <c r="AI122" s="968" t="str">
        <f t="shared" si="82"/>
        <v/>
      </c>
      <c r="AJ122" s="968"/>
      <c r="AK122" s="968"/>
      <c r="AL122" s="270"/>
      <c r="AM122" s="270"/>
      <c r="AN122" s="575"/>
      <c r="AO122" s="270"/>
      <c r="AP122" s="271"/>
      <c r="AQ122" s="271"/>
      <c r="AR122" s="271"/>
      <c r="AS122" s="271"/>
      <c r="AT122" s="271"/>
      <c r="AU122" s="271"/>
      <c r="AV122" s="271"/>
      <c r="AW122" s="271"/>
      <c r="AX122" s="271"/>
      <c r="AY122" s="271"/>
      <c r="AZ122" s="271"/>
      <c r="BA122" s="271"/>
      <c r="BB122" s="271"/>
      <c r="BC122" s="271"/>
      <c r="BD122" s="271"/>
      <c r="BE122" s="271"/>
      <c r="BF122" s="271"/>
      <c r="BG122" s="271"/>
      <c r="BH122" s="271"/>
      <c r="BI122" s="271"/>
      <c r="BJ122" s="271"/>
      <c r="BK122" s="271"/>
      <c r="BL122" s="271"/>
      <c r="BM122" s="271"/>
      <c r="BN122" s="271"/>
      <c r="BO122" s="271"/>
      <c r="BP122" s="271"/>
      <c r="BQ122" s="271"/>
      <c r="BR122" s="271"/>
      <c r="BS122" s="271"/>
      <c r="BT122" s="271"/>
      <c r="BU122" s="271"/>
      <c r="BV122" s="271"/>
      <c r="BW122" s="271"/>
      <c r="BX122" s="271"/>
      <c r="BY122" s="271"/>
      <c r="BZ122" s="1395"/>
      <c r="CA122" s="1450"/>
      <c r="CB122" s="1450"/>
      <c r="CC122" s="270"/>
      <c r="CD122" s="270"/>
      <c r="CE122"/>
    </row>
    <row r="123" spans="1:83" ht="13.5" outlineLevel="2" thickBot="1" x14ac:dyDescent="0.25">
      <c r="A123" s="270"/>
      <c r="B123" s="271"/>
      <c r="C123" s="270"/>
      <c r="D123" s="270"/>
      <c r="E123" s="270"/>
      <c r="F123" s="270"/>
      <c r="G123" s="271"/>
      <c r="H123" s="271"/>
      <c r="I123" s="271"/>
      <c r="J123" s="270"/>
      <c r="K123" s="270"/>
      <c r="L123" s="270"/>
      <c r="M123" s="270"/>
      <c r="N123" s="270"/>
      <c r="O123" s="270"/>
      <c r="P123" s="270"/>
      <c r="Q123" s="270"/>
      <c r="R123" s="558" t="s">
        <v>1736</v>
      </c>
      <c r="S123" s="615"/>
      <c r="T123" s="619"/>
      <c r="U123" s="1501"/>
      <c r="V123" s="461" t="str">
        <f>IF(G114="","",G114)</f>
        <v>A1</v>
      </c>
      <c r="W123" s="450"/>
      <c r="X123" s="462" t="s">
        <v>769</v>
      </c>
      <c r="Y123" s="450"/>
      <c r="Z123" s="463" t="str">
        <f>IF(G116="","",G116)</f>
        <v>A3</v>
      </c>
      <c r="AA123" s="839"/>
      <c r="AB123" s="1459">
        <f t="shared" si="75"/>
        <v>0</v>
      </c>
      <c r="AC123" s="1460" t="str">
        <f t="shared" si="76"/>
        <v>-</v>
      </c>
      <c r="AD123" s="1459">
        <f t="shared" si="77"/>
        <v>0</v>
      </c>
      <c r="AE123" s="968" t="str">
        <f t="shared" si="78"/>
        <v/>
      </c>
      <c r="AF123" s="968" t="str">
        <f t="shared" si="79"/>
        <v/>
      </c>
      <c r="AG123" s="968" t="str">
        <f t="shared" si="80"/>
        <v/>
      </c>
      <c r="AH123" s="968" t="str">
        <f t="shared" si="81"/>
        <v/>
      </c>
      <c r="AI123" s="968" t="str">
        <f t="shared" si="82"/>
        <v/>
      </c>
      <c r="AJ123" s="968"/>
      <c r="AK123" s="968"/>
      <c r="AL123" s="270"/>
      <c r="AM123" s="270"/>
      <c r="AN123" s="575"/>
      <c r="AO123" s="270"/>
      <c r="AP123" s="271"/>
      <c r="AQ123" s="271"/>
      <c r="AR123" s="271"/>
      <c r="AS123" s="271"/>
      <c r="AT123" s="271"/>
      <c r="AU123" s="271"/>
      <c r="AV123" s="271"/>
      <c r="AW123" s="271"/>
      <c r="AX123" s="271"/>
      <c r="AY123" s="271"/>
      <c r="AZ123" s="271"/>
      <c r="BA123" s="271"/>
      <c r="BB123" s="271"/>
      <c r="BC123" s="271"/>
      <c r="BD123" s="271"/>
      <c r="BE123" s="271"/>
      <c r="BF123" s="271"/>
      <c r="BG123" s="271"/>
      <c r="BH123" s="271"/>
      <c r="BI123" s="271"/>
      <c r="BJ123" s="271"/>
      <c r="BK123" s="271"/>
      <c r="BL123" s="271"/>
      <c r="BM123" s="271"/>
      <c r="BN123" s="271"/>
      <c r="BO123" s="271"/>
      <c r="BP123" s="271"/>
      <c r="BQ123" s="271"/>
      <c r="BR123" s="271"/>
      <c r="BS123" s="271"/>
      <c r="BT123" s="271"/>
      <c r="BU123" s="271"/>
      <c r="BV123" s="271"/>
      <c r="BW123" s="271"/>
      <c r="BX123" s="271"/>
      <c r="BY123" s="271"/>
      <c r="BZ123" s="1395"/>
      <c r="CA123" s="1450"/>
      <c r="CB123" s="1450"/>
      <c r="CC123" s="270"/>
      <c r="CD123" s="270"/>
      <c r="CE123"/>
    </row>
    <row r="124" spans="1:83" outlineLevel="2" x14ac:dyDescent="0.2">
      <c r="A124" s="270"/>
      <c r="B124" s="271"/>
      <c r="C124" s="270"/>
      <c r="D124" s="270"/>
      <c r="E124" s="270"/>
      <c r="F124" s="270"/>
      <c r="G124" s="271"/>
      <c r="H124" s="271"/>
      <c r="I124" s="271"/>
      <c r="J124" s="270"/>
      <c r="K124" s="270"/>
      <c r="L124" s="270"/>
      <c r="M124" s="270"/>
      <c r="N124" s="270"/>
      <c r="O124" s="270"/>
      <c r="P124" s="270"/>
      <c r="Q124" s="270"/>
      <c r="R124" s="558" t="s">
        <v>1737</v>
      </c>
      <c r="S124" s="611"/>
      <c r="T124" s="617"/>
      <c r="U124" s="1499"/>
      <c r="V124" s="455" t="str">
        <f>IF(G115="","",G115)</f>
        <v>A2</v>
      </c>
      <c r="W124" s="456"/>
      <c r="X124" s="457" t="s">
        <v>769</v>
      </c>
      <c r="Y124" s="456"/>
      <c r="Z124" s="458" t="str">
        <f>IF(G119="","",G119)</f>
        <v>A6</v>
      </c>
      <c r="AA124" s="839"/>
      <c r="AB124" s="1459">
        <f t="shared" si="75"/>
        <v>0</v>
      </c>
      <c r="AC124" s="1460" t="str">
        <f t="shared" si="76"/>
        <v>-</v>
      </c>
      <c r="AD124" s="1459">
        <f t="shared" si="77"/>
        <v>0</v>
      </c>
      <c r="AE124" s="968" t="str">
        <f t="shared" si="78"/>
        <v/>
      </c>
      <c r="AF124" s="968" t="str">
        <f t="shared" si="79"/>
        <v/>
      </c>
      <c r="AG124" s="968" t="str">
        <f t="shared" si="80"/>
        <v/>
      </c>
      <c r="AH124" s="968" t="str">
        <f t="shared" si="81"/>
        <v/>
      </c>
      <c r="AI124" s="968" t="str">
        <f t="shared" si="82"/>
        <v/>
      </c>
      <c r="AJ124" s="968"/>
      <c r="AK124" s="968"/>
      <c r="AL124" s="270"/>
      <c r="AM124" s="270"/>
      <c r="AN124" s="575"/>
      <c r="AO124" s="270"/>
      <c r="AP124" s="271"/>
      <c r="AQ124" s="271"/>
      <c r="AR124" s="271"/>
      <c r="AS124" s="271"/>
      <c r="AT124" s="271"/>
      <c r="AU124" s="271"/>
      <c r="AV124" s="271"/>
      <c r="AW124" s="271"/>
      <c r="AX124" s="271"/>
      <c r="AY124" s="271"/>
      <c r="AZ124" s="271"/>
      <c r="BA124" s="271"/>
      <c r="BB124" s="271"/>
      <c r="BC124" s="271"/>
      <c r="BD124" s="271"/>
      <c r="BE124" s="271"/>
      <c r="BF124" s="271"/>
      <c r="BG124" s="271"/>
      <c r="BH124" s="271"/>
      <c r="BI124" s="271"/>
      <c r="BJ124" s="271"/>
      <c r="BK124" s="271"/>
      <c r="BL124" s="271"/>
      <c r="BM124" s="271"/>
      <c r="BN124" s="271"/>
      <c r="BO124" s="271"/>
      <c r="BP124" s="271"/>
      <c r="BQ124" s="271"/>
      <c r="BR124" s="271"/>
      <c r="BS124" s="271"/>
      <c r="BT124" s="271"/>
      <c r="BU124" s="271"/>
      <c r="BV124" s="271"/>
      <c r="BW124" s="271"/>
      <c r="BX124" s="271"/>
      <c r="BY124" s="271"/>
      <c r="BZ124" s="1395"/>
      <c r="CA124" s="1450"/>
      <c r="CB124" s="1450"/>
      <c r="CC124" s="270"/>
      <c r="CD124" s="270"/>
      <c r="CE124"/>
    </row>
    <row r="125" spans="1:83" ht="13.5" outlineLevel="2" thickBot="1" x14ac:dyDescent="0.25">
      <c r="A125" s="270"/>
      <c r="B125" s="271"/>
      <c r="C125" s="270"/>
      <c r="D125" s="270"/>
      <c r="E125" s="270"/>
      <c r="F125" s="270"/>
      <c r="G125" s="271"/>
      <c r="H125" s="271"/>
      <c r="I125" s="271"/>
      <c r="J125" s="270"/>
      <c r="K125" s="270"/>
      <c r="L125" s="270"/>
      <c r="M125" s="270"/>
      <c r="N125" s="270"/>
      <c r="O125" s="270"/>
      <c r="P125" s="270"/>
      <c r="Q125" s="270"/>
      <c r="R125" s="558" t="s">
        <v>1737</v>
      </c>
      <c r="S125" s="615"/>
      <c r="T125" s="619"/>
      <c r="U125" s="1501"/>
      <c r="V125" s="461" t="str">
        <f>IF(G117="","",G117)</f>
        <v>A4</v>
      </c>
      <c r="W125" s="450"/>
      <c r="X125" s="462" t="s">
        <v>769</v>
      </c>
      <c r="Y125" s="450"/>
      <c r="Z125" s="463" t="str">
        <f>IF(G118="","",G118)</f>
        <v>A5</v>
      </c>
      <c r="AA125" s="839"/>
      <c r="AB125" s="1459">
        <f t="shared" si="75"/>
        <v>0</v>
      </c>
      <c r="AC125" s="1460" t="str">
        <f t="shared" si="76"/>
        <v>-</v>
      </c>
      <c r="AD125" s="1459">
        <f t="shared" si="77"/>
        <v>0</v>
      </c>
      <c r="AE125" s="968" t="str">
        <f t="shared" si="78"/>
        <v/>
      </c>
      <c r="AF125" s="968" t="str">
        <f t="shared" si="79"/>
        <v/>
      </c>
      <c r="AG125" s="968" t="str">
        <f t="shared" si="80"/>
        <v/>
      </c>
      <c r="AH125" s="968" t="str">
        <f t="shared" si="81"/>
        <v/>
      </c>
      <c r="AI125" s="968" t="str">
        <f t="shared" si="82"/>
        <v/>
      </c>
      <c r="AJ125" s="968"/>
      <c r="AK125" s="968"/>
      <c r="AL125" s="270"/>
      <c r="AM125" s="270"/>
      <c r="AN125" s="575"/>
      <c r="AO125" s="270"/>
      <c r="AP125" s="271"/>
      <c r="AQ125" s="271"/>
      <c r="AR125" s="271"/>
      <c r="AS125" s="271"/>
      <c r="AT125" s="271"/>
      <c r="AU125" s="271"/>
      <c r="AV125" s="271"/>
      <c r="AW125" s="271"/>
      <c r="AX125" s="271"/>
      <c r="AY125" s="271"/>
      <c r="AZ125" s="271"/>
      <c r="BA125" s="271"/>
      <c r="BB125" s="271"/>
      <c r="BC125" s="271"/>
      <c r="BD125" s="271"/>
      <c r="BE125" s="271"/>
      <c r="BF125" s="271"/>
      <c r="BG125" s="271"/>
      <c r="BH125" s="271"/>
      <c r="BI125" s="271"/>
      <c r="BJ125" s="271"/>
      <c r="BK125" s="271"/>
      <c r="BL125" s="271"/>
      <c r="BM125" s="271"/>
      <c r="BN125" s="271"/>
      <c r="BO125" s="271"/>
      <c r="BP125" s="271"/>
      <c r="BQ125" s="271"/>
      <c r="BR125" s="271"/>
      <c r="BS125" s="271"/>
      <c r="BT125" s="271"/>
      <c r="BU125" s="271"/>
      <c r="BV125" s="271"/>
      <c r="BW125" s="271"/>
      <c r="BX125" s="271"/>
      <c r="BY125" s="271"/>
      <c r="BZ125" s="1395"/>
      <c r="CA125" s="1450"/>
      <c r="CB125" s="1450"/>
      <c r="CC125" s="270"/>
      <c r="CD125" s="270"/>
      <c r="CE125"/>
    </row>
    <row r="126" spans="1:83" outlineLevel="2" x14ac:dyDescent="0.2">
      <c r="A126" s="270"/>
      <c r="B126" s="271"/>
      <c r="C126" s="270"/>
      <c r="D126" s="270"/>
      <c r="E126" s="270"/>
      <c r="F126" s="270"/>
      <c r="G126" s="271"/>
      <c r="H126" s="271"/>
      <c r="I126" s="271"/>
      <c r="J126" s="270"/>
      <c r="K126" s="270"/>
      <c r="L126" s="270"/>
      <c r="M126" s="270"/>
      <c r="N126" s="270"/>
      <c r="O126" s="270"/>
      <c r="P126" s="270"/>
      <c r="Q126" s="270"/>
      <c r="R126" s="558" t="s">
        <v>1738</v>
      </c>
      <c r="S126" s="620"/>
      <c r="T126" s="621"/>
      <c r="U126" s="1499"/>
      <c r="V126" s="464" t="str">
        <f>IF(G118="","",G118)</f>
        <v>A5</v>
      </c>
      <c r="W126" s="465"/>
      <c r="X126" s="466" t="s">
        <v>769</v>
      </c>
      <c r="Y126" s="465"/>
      <c r="Z126" s="467" t="str">
        <f>IF(G119="","",G119)</f>
        <v>A6</v>
      </c>
      <c r="AA126" s="839"/>
      <c r="AB126" s="1459">
        <f t="shared" si="75"/>
        <v>0</v>
      </c>
      <c r="AC126" s="1460" t="str">
        <f t="shared" si="76"/>
        <v>-</v>
      </c>
      <c r="AD126" s="1459">
        <f t="shared" si="77"/>
        <v>0</v>
      </c>
      <c r="AE126" s="968" t="str">
        <f t="shared" si="78"/>
        <v/>
      </c>
      <c r="AF126" s="968" t="str">
        <f t="shared" si="79"/>
        <v/>
      </c>
      <c r="AG126" s="968" t="str">
        <f t="shared" si="80"/>
        <v/>
      </c>
      <c r="AH126" s="968" t="str">
        <f t="shared" si="81"/>
        <v/>
      </c>
      <c r="AI126" s="968" t="str">
        <f t="shared" si="82"/>
        <v/>
      </c>
      <c r="AJ126" s="968"/>
      <c r="AK126" s="968"/>
      <c r="AL126" s="270"/>
      <c r="AM126" s="270"/>
      <c r="AN126" s="575"/>
      <c r="AO126" s="270"/>
      <c r="AP126" s="271"/>
      <c r="AQ126" s="271"/>
      <c r="AR126" s="271"/>
      <c r="AS126" s="271"/>
      <c r="AT126" s="271"/>
      <c r="AU126" s="271"/>
      <c r="AV126" s="271"/>
      <c r="AW126" s="271"/>
      <c r="AX126" s="271"/>
      <c r="AY126" s="271"/>
      <c r="AZ126" s="271"/>
      <c r="BA126" s="271"/>
      <c r="BB126" s="271"/>
      <c r="BC126" s="271"/>
      <c r="BD126" s="271"/>
      <c r="BE126" s="271"/>
      <c r="BF126" s="271"/>
      <c r="BG126" s="271"/>
      <c r="BH126" s="271"/>
      <c r="BI126" s="271"/>
      <c r="BJ126" s="271"/>
      <c r="BK126" s="271"/>
      <c r="BL126" s="271"/>
      <c r="BM126" s="271"/>
      <c r="BN126" s="271"/>
      <c r="BO126" s="271"/>
      <c r="BP126" s="271"/>
      <c r="BQ126" s="271"/>
      <c r="BR126" s="271"/>
      <c r="BS126" s="271"/>
      <c r="BT126" s="271"/>
      <c r="BU126" s="271"/>
      <c r="BV126" s="271"/>
      <c r="BW126" s="271"/>
      <c r="BX126" s="271"/>
      <c r="BY126" s="271"/>
      <c r="BZ126" s="1395"/>
      <c r="CA126" s="1450"/>
      <c r="CB126" s="1450"/>
      <c r="CC126" s="270"/>
      <c r="CD126" s="270"/>
      <c r="CE126"/>
    </row>
    <row r="127" spans="1:83" ht="13.5" outlineLevel="2" thickBot="1" x14ac:dyDescent="0.25">
      <c r="A127" s="270"/>
      <c r="B127" s="271"/>
      <c r="C127" s="270"/>
      <c r="D127" s="270"/>
      <c r="E127" s="270"/>
      <c r="F127" s="270"/>
      <c r="G127" s="271"/>
      <c r="H127" s="271"/>
      <c r="I127" s="271"/>
      <c r="J127" s="270"/>
      <c r="K127" s="270"/>
      <c r="L127" s="270"/>
      <c r="M127" s="270"/>
      <c r="N127" s="270"/>
      <c r="O127" s="270"/>
      <c r="P127" s="270"/>
      <c r="Q127" s="270"/>
      <c r="R127" s="558" t="s">
        <v>1738</v>
      </c>
      <c r="S127" s="622"/>
      <c r="T127" s="623"/>
      <c r="U127" s="1501"/>
      <c r="V127" s="468" t="str">
        <f>IF(G116="","",G116)</f>
        <v>A3</v>
      </c>
      <c r="W127" s="469"/>
      <c r="X127" s="470" t="s">
        <v>769</v>
      </c>
      <c r="Y127" s="469"/>
      <c r="Z127" s="471" t="str">
        <f>IF(G117="","",G117)</f>
        <v>A4</v>
      </c>
      <c r="AA127" s="839"/>
      <c r="AB127" s="1459">
        <f t="shared" si="75"/>
        <v>0</v>
      </c>
      <c r="AC127" s="1460" t="str">
        <f t="shared" si="76"/>
        <v>-</v>
      </c>
      <c r="AD127" s="1459">
        <f t="shared" si="77"/>
        <v>0</v>
      </c>
      <c r="AE127" s="968" t="str">
        <f t="shared" si="78"/>
        <v/>
      </c>
      <c r="AF127" s="968" t="str">
        <f t="shared" si="79"/>
        <v/>
      </c>
      <c r="AG127" s="968" t="str">
        <f t="shared" si="80"/>
        <v/>
      </c>
      <c r="AH127" s="968" t="str">
        <f t="shared" si="81"/>
        <v/>
      </c>
      <c r="AI127" s="968" t="str">
        <f t="shared" si="82"/>
        <v/>
      </c>
      <c r="AJ127" s="968"/>
      <c r="AK127" s="968"/>
      <c r="AL127" s="270"/>
      <c r="AM127" s="270"/>
      <c r="AN127" s="575"/>
      <c r="AO127" s="270"/>
      <c r="AP127" s="271"/>
      <c r="AQ127" s="271"/>
      <c r="AR127" s="271"/>
      <c r="AS127" s="271"/>
      <c r="AT127" s="271"/>
      <c r="AU127" s="271"/>
      <c r="AV127" s="271"/>
      <c r="AW127" s="271"/>
      <c r="AX127" s="271"/>
      <c r="AY127" s="271"/>
      <c r="AZ127" s="271"/>
      <c r="BA127" s="271"/>
      <c r="BB127" s="271"/>
      <c r="BC127" s="271"/>
      <c r="BD127" s="271"/>
      <c r="BE127" s="271"/>
      <c r="BF127" s="271"/>
      <c r="BG127" s="271"/>
      <c r="BH127" s="271"/>
      <c r="BI127" s="271"/>
      <c r="BJ127" s="271"/>
      <c r="BK127" s="271"/>
      <c r="BL127" s="271"/>
      <c r="BM127" s="271"/>
      <c r="BN127" s="271"/>
      <c r="BO127" s="271"/>
      <c r="BP127" s="271"/>
      <c r="BQ127" s="271"/>
      <c r="BR127" s="271"/>
      <c r="BS127" s="271"/>
      <c r="BT127" s="271"/>
      <c r="BU127" s="271"/>
      <c r="BV127" s="271"/>
      <c r="BW127" s="271"/>
      <c r="BX127" s="271"/>
      <c r="BY127" s="271"/>
      <c r="BZ127" s="1395"/>
      <c r="CA127" s="1450"/>
      <c r="CB127" s="1450"/>
      <c r="CC127" s="270"/>
      <c r="CD127" s="270"/>
      <c r="CE127"/>
    </row>
    <row r="128" spans="1:83" ht="13.5" outlineLevel="2" thickBot="1" x14ac:dyDescent="0.25">
      <c r="A128" s="270"/>
      <c r="B128" s="271"/>
      <c r="C128" s="270"/>
      <c r="D128" s="270"/>
      <c r="E128" s="270"/>
      <c r="F128" s="270"/>
      <c r="G128" s="271"/>
      <c r="H128" s="271"/>
      <c r="I128" s="271"/>
      <c r="J128" s="270"/>
      <c r="K128" s="270"/>
      <c r="L128" s="270"/>
      <c r="M128" s="270"/>
      <c r="N128" s="270"/>
      <c r="O128" s="270"/>
      <c r="P128" s="270"/>
      <c r="Q128" s="270"/>
      <c r="R128" s="558" t="s">
        <v>1739</v>
      </c>
      <c r="S128" s="624"/>
      <c r="T128" s="625"/>
      <c r="U128" s="1505"/>
      <c r="V128" s="472" t="str">
        <f>IF(G114="","",G114)</f>
        <v>A1</v>
      </c>
      <c r="W128" s="473"/>
      <c r="X128" s="474" t="s">
        <v>769</v>
      </c>
      <c r="Y128" s="473"/>
      <c r="Z128" s="475" t="str">
        <f>IF(G115="","",G115)</f>
        <v>A2</v>
      </c>
      <c r="AA128" s="839"/>
      <c r="AB128" s="1459">
        <f t="shared" si="75"/>
        <v>0</v>
      </c>
      <c r="AC128" s="1460" t="str">
        <f t="shared" si="76"/>
        <v>-</v>
      </c>
      <c r="AD128" s="1459">
        <f t="shared" si="77"/>
        <v>0</v>
      </c>
      <c r="AE128" s="968" t="str">
        <f t="shared" si="78"/>
        <v/>
      </c>
      <c r="AF128" s="968" t="str">
        <f t="shared" si="79"/>
        <v/>
      </c>
      <c r="AG128" s="968" t="str">
        <f t="shared" si="80"/>
        <v/>
      </c>
      <c r="AH128" s="968" t="str">
        <f t="shared" si="81"/>
        <v/>
      </c>
      <c r="AI128" s="968" t="str">
        <f t="shared" si="82"/>
        <v/>
      </c>
      <c r="AJ128" s="968"/>
      <c r="AK128" s="968"/>
      <c r="AL128" s="270"/>
      <c r="AM128" s="270"/>
      <c r="AN128" s="575"/>
      <c r="AO128" s="270"/>
      <c r="AP128" s="271"/>
      <c r="AQ128" s="271"/>
      <c r="AR128" s="271"/>
      <c r="AS128" s="271"/>
      <c r="AT128" s="271"/>
      <c r="AU128" s="271"/>
      <c r="AV128" s="271"/>
      <c r="AW128" s="271"/>
      <c r="AX128" s="271"/>
      <c r="AY128" s="271"/>
      <c r="AZ128" s="271"/>
      <c r="BA128" s="271"/>
      <c r="BB128" s="271"/>
      <c r="BC128" s="271"/>
      <c r="BD128" s="271"/>
      <c r="BE128" s="271"/>
      <c r="BF128" s="271"/>
      <c r="BG128" s="271"/>
      <c r="BH128" s="271"/>
      <c r="BI128" s="271"/>
      <c r="BJ128" s="271"/>
      <c r="BK128" s="271"/>
      <c r="BL128" s="271"/>
      <c r="BM128" s="271"/>
      <c r="BN128" s="271"/>
      <c r="BO128" s="271"/>
      <c r="BP128" s="271"/>
      <c r="BQ128" s="271"/>
      <c r="BR128" s="271"/>
      <c r="BS128" s="271"/>
      <c r="BT128" s="271"/>
      <c r="BU128" s="271"/>
      <c r="BV128" s="271"/>
      <c r="BW128" s="271"/>
      <c r="BX128" s="271"/>
      <c r="BY128" s="271"/>
      <c r="BZ128" s="1395"/>
      <c r="CA128" s="1450"/>
      <c r="CB128" s="1450"/>
      <c r="CC128" s="270"/>
      <c r="CD128" s="270"/>
      <c r="CE128"/>
    </row>
    <row r="129" spans="1:83" outlineLevel="1" x14ac:dyDescent="0.2">
      <c r="A129"/>
      <c r="B129" s="1"/>
      <c r="C129"/>
      <c r="D129"/>
      <c r="E129"/>
      <c r="F129"/>
      <c r="G129" s="1"/>
      <c r="H129" s="1"/>
      <c r="I129" s="1"/>
      <c r="J129"/>
      <c r="K129"/>
      <c r="L129"/>
      <c r="M129"/>
      <c r="N129"/>
      <c r="O129"/>
      <c r="P129"/>
      <c r="Q129"/>
      <c r="R129" s="334"/>
      <c r="S129" s="1"/>
      <c r="T129" s="1"/>
      <c r="U129"/>
      <c r="V129" s="6"/>
      <c r="W129" s="1"/>
      <c r="X129" s="1"/>
      <c r="Y129" s="1"/>
      <c r="Z129" s="16"/>
      <c r="AA129" s="123"/>
      <c r="AB129" s="963"/>
      <c r="AC129" s="963"/>
      <c r="AD129" s="963"/>
      <c r="AE129" s="964"/>
      <c r="AF129" s="964"/>
      <c r="AG129" s="964"/>
      <c r="AH129" s="964"/>
      <c r="AI129" s="964"/>
      <c r="AJ129" s="964"/>
      <c r="AK129" s="964"/>
      <c r="AL129"/>
      <c r="AM129"/>
      <c r="AO129"/>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395"/>
      <c r="CA129" s="1450"/>
      <c r="CB129" s="1450"/>
      <c r="CC129"/>
      <c r="CD129"/>
      <c r="CE129"/>
    </row>
    <row r="130" spans="1:83" ht="13.5" thickBot="1" x14ac:dyDescent="0.25">
      <c r="A130"/>
      <c r="B130" s="1"/>
      <c r="C130"/>
      <c r="D130"/>
      <c r="E130"/>
      <c r="F130"/>
      <c r="G130" s="1"/>
      <c r="H130" s="1"/>
      <c r="I130" s="1"/>
      <c r="J130"/>
      <c r="K130"/>
      <c r="L130"/>
      <c r="M130"/>
      <c r="N130"/>
      <c r="O130"/>
      <c r="P130"/>
      <c r="Q130"/>
      <c r="R130" s="334"/>
      <c r="S130" s="1"/>
      <c r="T130" s="1"/>
      <c r="U130"/>
      <c r="V130" s="6"/>
      <c r="W130" s="1"/>
      <c r="X130" s="1"/>
      <c r="Y130" s="1"/>
      <c r="Z130" s="16"/>
      <c r="AA130" s="123"/>
      <c r="AB130" s="963"/>
      <c r="AC130" s="963"/>
      <c r="AD130" s="963"/>
      <c r="AE130" s="964"/>
      <c r="AF130" s="964"/>
      <c r="AG130" s="964"/>
      <c r="AH130" s="964"/>
      <c r="AI130" s="964"/>
      <c r="AJ130" s="964"/>
      <c r="AK130" s="964"/>
      <c r="AL130"/>
      <c r="AM130"/>
      <c r="AO130"/>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395"/>
      <c r="CA130" s="1450"/>
      <c r="CB130" s="1450"/>
      <c r="CC130"/>
      <c r="CD130"/>
      <c r="CE130"/>
    </row>
    <row r="131" spans="1:83" ht="13.5" thickBot="1" x14ac:dyDescent="0.25">
      <c r="A131"/>
      <c r="B131" s="282" t="str">
        <f>N_Group_7</f>
        <v>Poule de 7</v>
      </c>
      <c r="C131" s="283"/>
      <c r="D131" s="283"/>
      <c r="E131" s="283"/>
      <c r="F131" s="283"/>
      <c r="G131" s="283"/>
      <c r="H131" s="283"/>
      <c r="I131" s="283"/>
      <c r="J131" s="283"/>
      <c r="K131" s="283"/>
      <c r="L131" s="283"/>
      <c r="M131" s="283"/>
      <c r="N131" s="283"/>
      <c r="O131" s="283"/>
      <c r="P131" s="283"/>
      <c r="Q131" s="283"/>
      <c r="R131" s="357"/>
      <c r="S131" s="283"/>
      <c r="T131" s="283"/>
      <c r="U131" s="283"/>
      <c r="V131" s="283"/>
      <c r="W131" s="992"/>
      <c r="X131" s="992"/>
      <c r="Y131" s="992"/>
      <c r="Z131" s="283"/>
      <c r="AA131" s="283"/>
      <c r="AB131" s="965"/>
      <c r="AC131" s="965"/>
      <c r="AD131" s="965"/>
      <c r="AE131" s="966"/>
      <c r="AF131" s="966"/>
      <c r="AG131" s="966"/>
      <c r="AH131" s="966"/>
      <c r="AI131" s="966"/>
      <c r="AJ131" s="966"/>
      <c r="AK131" s="965"/>
      <c r="AL131" s="283"/>
      <c r="AM131" s="282" t="str">
        <f>B131</f>
        <v>Poule de 7</v>
      </c>
      <c r="AN131" s="283"/>
      <c r="AO131" s="283"/>
      <c r="AP131" s="283"/>
      <c r="AQ131" s="283"/>
      <c r="AR131" s="283"/>
      <c r="AS131" s="283"/>
      <c r="AT131" s="283"/>
      <c r="AU131" s="283"/>
      <c r="AV131" s="283"/>
      <c r="AW131" s="283"/>
      <c r="AX131" s="283"/>
      <c r="AY131" s="283"/>
      <c r="AZ131" s="283"/>
      <c r="BA131" s="283"/>
      <c r="BB131" s="283"/>
      <c r="BC131" s="283"/>
      <c r="BD131" s="283"/>
      <c r="BE131" s="283"/>
      <c r="BF131" s="283"/>
      <c r="BG131" s="283"/>
      <c r="BH131" s="283"/>
      <c r="BI131" s="283"/>
      <c r="BJ131" s="283"/>
      <c r="BK131" s="283"/>
      <c r="BL131" s="283"/>
      <c r="BM131" s="283"/>
      <c r="BN131" s="283"/>
      <c r="BO131" s="283"/>
      <c r="BP131" s="283"/>
      <c r="BQ131" s="283"/>
      <c r="BR131" s="283"/>
      <c r="BS131" s="283"/>
      <c r="BT131" s="283"/>
      <c r="BU131" s="283"/>
      <c r="BV131" s="283"/>
      <c r="BW131" s="283"/>
      <c r="BX131" s="283"/>
      <c r="BY131" s="283"/>
      <c r="BZ131" s="1395"/>
      <c r="CA131" s="1450"/>
      <c r="CB131" s="1450"/>
      <c r="CC131" s="284"/>
      <c r="CD131"/>
      <c r="CE131"/>
    </row>
    <row r="132" spans="1:83" ht="13.5" outlineLevel="1" thickBot="1" x14ac:dyDescent="0.25">
      <c r="A132"/>
      <c r="B132" s="1"/>
      <c r="C132"/>
      <c r="D132"/>
      <c r="E132"/>
      <c r="F132"/>
      <c r="G132" s="1"/>
      <c r="H132" s="1"/>
      <c r="I132" s="1"/>
      <c r="J132"/>
      <c r="K132"/>
      <c r="L132"/>
      <c r="M132"/>
      <c r="N132"/>
      <c r="O132"/>
      <c r="P132"/>
      <c r="Q132"/>
      <c r="R132" s="334"/>
      <c r="S132" s="1"/>
      <c r="T132" s="1"/>
      <c r="U132"/>
      <c r="V132" s="6"/>
      <c r="W132" s="1"/>
      <c r="X132" s="1"/>
      <c r="Y132" s="1"/>
      <c r="Z132" s="16"/>
      <c r="AA132" s="123"/>
      <c r="AB132" s="963"/>
      <c r="AC132" s="963"/>
      <c r="AD132" s="963"/>
      <c r="AE132" s="964"/>
      <c r="AF132" s="964"/>
      <c r="AG132" s="964"/>
      <c r="AH132" s="964"/>
      <c r="AI132" s="964"/>
      <c r="AJ132" s="964"/>
      <c r="AK132" s="964"/>
      <c r="AL132"/>
      <c r="AM132"/>
      <c r="AN132" s="833"/>
      <c r="AO132"/>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c r="BT132"/>
      <c r="BU132"/>
      <c r="BV132"/>
      <c r="BW132"/>
      <c r="BX132"/>
      <c r="BY132"/>
      <c r="BZ132" s="1395"/>
      <c r="CA132" s="1450"/>
      <c r="CB132" s="1450"/>
      <c r="CC132"/>
      <c r="CD132"/>
      <c r="CE132"/>
    </row>
    <row r="133" spans="1:83" ht="13.5" outlineLevel="1" thickBot="1" x14ac:dyDescent="0.25">
      <c r="A133"/>
      <c r="B133" s="18" t="str">
        <f>N_Tirage</f>
        <v>Tirage</v>
      </c>
      <c r="C133" s="307" t="s">
        <v>787</v>
      </c>
      <c r="D133" s="308" t="s">
        <v>831</v>
      </c>
      <c r="E133" s="308" t="s">
        <v>832</v>
      </c>
      <c r="F133" s="309" t="s">
        <v>833</v>
      </c>
      <c r="G133" s="22" t="str">
        <f>N_Joueurs</f>
        <v>Joueurs</v>
      </c>
      <c r="H133" s="3" t="str">
        <f>N_RankPoints</f>
        <v>Pt. Clas.</v>
      </c>
      <c r="I133" s="3" t="str">
        <f>N_Diff_Part</f>
        <v>Diff-Part</v>
      </c>
      <c r="J133" s="311" t="str">
        <f>N_Pts</f>
        <v>Pts</v>
      </c>
      <c r="K133" s="311" t="str">
        <f>N_J</f>
        <v>J</v>
      </c>
      <c r="L133" s="308" t="str">
        <f>N_G</f>
        <v>G</v>
      </c>
      <c r="M133" s="308" t="str">
        <f>N_N</f>
        <v>N</v>
      </c>
      <c r="N133" s="308" t="str">
        <f>N_P</f>
        <v>P</v>
      </c>
      <c r="O133" s="308" t="str">
        <f>N_BP</f>
        <v>BP</v>
      </c>
      <c r="P133" s="308" t="str">
        <f>N_BC</f>
        <v>BC</v>
      </c>
      <c r="Q133" s="309" t="str">
        <f>N_Diff.</f>
        <v>Diff.</v>
      </c>
      <c r="R133" s="334"/>
      <c r="S133" s="3" t="str">
        <f>N_Heure</f>
        <v>Heure</v>
      </c>
      <c r="T133" s="22" t="str">
        <f>N_Table</f>
        <v>Table</v>
      </c>
      <c r="U133" s="22" t="str">
        <f>N_Arbitre</f>
        <v>Arbitre</v>
      </c>
      <c r="V133" s="293" t="str">
        <f>N_Matches</f>
        <v>Matches</v>
      </c>
      <c r="W133" s="294"/>
      <c r="X133" s="294"/>
      <c r="Y133" s="294"/>
      <c r="Z133" s="295"/>
      <c r="AA133" s="8"/>
      <c r="AB133" s="1461" t="str">
        <f>IF(MaxScore,N_MaxScore,"")</f>
        <v>Score Max</v>
      </c>
      <c r="AC133" s="1461"/>
      <c r="AD133" s="1461"/>
      <c r="AE133" s="964" t="str">
        <f>N_G</f>
        <v>G</v>
      </c>
      <c r="AF133" s="964" t="str">
        <f>N_N</f>
        <v>N</v>
      </c>
      <c r="AG133" s="964" t="str">
        <f>N_N</f>
        <v>N</v>
      </c>
      <c r="AH133" s="964" t="str">
        <f>N_P</f>
        <v>P</v>
      </c>
      <c r="AI133" s="964" t="s">
        <v>1560</v>
      </c>
      <c r="AJ133" s="964" t="s">
        <v>3714</v>
      </c>
      <c r="AK133" s="964" t="str">
        <f>IF(COUNTA(W134:W154)=0,"","OK")</f>
        <v/>
      </c>
      <c r="AL133"/>
      <c r="AM133"/>
      <c r="AN133" s="24" t="str">
        <f>N_Cla.</f>
        <v>Cla.</v>
      </c>
      <c r="AO133" s="70" t="str">
        <f>N_Joueurs</f>
        <v>Joueurs</v>
      </c>
      <c r="AP133" s="23" t="str">
        <f>N_Pts</f>
        <v>Pts</v>
      </c>
      <c r="AQ133" s="23" t="str">
        <f>N_J</f>
        <v>J</v>
      </c>
      <c r="AR133" s="20" t="str">
        <f>N_G</f>
        <v>G</v>
      </c>
      <c r="AS133" s="20" t="str">
        <f>N_N</f>
        <v>N</v>
      </c>
      <c r="AT133" s="20" t="str">
        <f>N_P</f>
        <v>P</v>
      </c>
      <c r="AU133" s="20" t="str">
        <f>N_BP</f>
        <v>BP</v>
      </c>
      <c r="AV133" s="20" t="str">
        <f>N_BC</f>
        <v>BC</v>
      </c>
      <c r="AW133" s="21" t="str">
        <f>N_Diff.</f>
        <v>Diff.</v>
      </c>
      <c r="AX133" s="286" t="str">
        <f>N_Matches</f>
        <v>Matches</v>
      </c>
      <c r="AY133" s="287"/>
      <c r="AZ133" s="287"/>
      <c r="BA133" s="287"/>
      <c r="BB133" s="287"/>
      <c r="BC133" s="287"/>
      <c r="BD133" s="287"/>
      <c r="BE133" s="287"/>
      <c r="BF133" s="287"/>
      <c r="BG133" s="287"/>
      <c r="BH133" s="287"/>
      <c r="BI133" s="287"/>
      <c r="BJ133" s="287"/>
      <c r="BK133" s="287"/>
      <c r="BL133" s="287"/>
      <c r="BM133" s="287"/>
      <c r="BN133" s="287"/>
      <c r="BO133" s="287"/>
      <c r="BP133" s="287"/>
      <c r="BQ133" s="287"/>
      <c r="BR133" s="285"/>
      <c r="BS133"/>
      <c r="BT133"/>
      <c r="BU133"/>
      <c r="BV133"/>
      <c r="BW133"/>
      <c r="BX133"/>
      <c r="BY133"/>
      <c r="BZ133" s="1395"/>
      <c r="CA133" s="1450"/>
      <c r="CB133" s="1450"/>
      <c r="CC133"/>
      <c r="CD133"/>
      <c r="CE133"/>
    </row>
    <row r="134" spans="1:83" outlineLevel="1" x14ac:dyDescent="0.2">
      <c r="A134" s="270"/>
      <c r="B134" s="543">
        <v>1</v>
      </c>
      <c r="C134" s="549" t="str">
        <f>IF(AK133="","",RANK(F134,F134:F140)*1000+ROW())</f>
        <v/>
      </c>
      <c r="D134" s="550" t="str">
        <f t="shared" ref="D134:D140" si="86">IF(L134="","",CritClassInd1_Points*J134+CritClassInd1_Matches*L134+CritClassInd1_Attaque*O134+CritClassInd1_DiffButs*Q134)</f>
        <v/>
      </c>
      <c r="E134" s="550" t="str">
        <f>IF(L134="","",Nb_Diff_Part(D134,D134:D140,G134,G134:G140,AI134:AI154)*CritClassInd_DiffPart+Nb_Goal_Part(D134,D134:D140,G134,G134:G140,V134:Z154)*CritClassInd_GoalPart+Nb_Score_Part(D134,D134:D140,G134,G134:G140,V134:Z154)*CritClassInd_ScorePart)</f>
        <v/>
      </c>
      <c r="F134" s="551" t="str">
        <f t="shared" ref="F134:F140" si="87">IF(L134="","",D134+E134+CritClassInd2_Points*J134+CritClassInd2_Matches*L134+CritClassInd2_Attaque*O134+CritClassInd2_DiffButs*Q134+CritClassInd_Ranking*H134+I134)</f>
        <v/>
      </c>
      <c r="G134" s="552" t="s">
        <v>903</v>
      </c>
      <c r="H134" s="499">
        <f t="shared" ref="H134:H140" si="88">GMFTRANKINGPOINTS(G134,Particular_Category)</f>
        <v>0</v>
      </c>
      <c r="I134" s="500"/>
      <c r="J134" s="555" t="str">
        <f>IF(AK133="","",(L134*Points_Victoire)+M134*Points_Null)</f>
        <v/>
      </c>
      <c r="K134" s="556" t="str">
        <f t="shared" ref="K134:K140" si="89">IF(L134="","",SUM(L134:N134))</f>
        <v/>
      </c>
      <c r="L134" s="556" t="str">
        <f>IF(AK133="","",COUNTIF(AE134:AE154,G134))</f>
        <v/>
      </c>
      <c r="M134" s="556" t="str">
        <f>IF(AK133="","",COUNTIF(AF134:AG154,G134))</f>
        <v/>
      </c>
      <c r="N134" s="556" t="str">
        <f>IF(AK133="","",COUNTIF(AH134:AH154,G134))</f>
        <v/>
      </c>
      <c r="O134" s="556" t="str">
        <f>IF(AK133="","",SUMIF(V134:V154,G134,AB134:AB154)+SUMIF(Z134:Z154,G134,AD134:AD154))</f>
        <v/>
      </c>
      <c r="P134" s="556" t="str">
        <f>IF(AK133="","",SUMIF(V134:V154,G134,AD134:AD154)+SUMIF(Z134:Z154,G134,AB134:AB154))</f>
        <v/>
      </c>
      <c r="Q134" s="557" t="str">
        <f>IF(AK133="","",O134-P134)</f>
        <v/>
      </c>
      <c r="R134" s="558" t="s">
        <v>1726</v>
      </c>
      <c r="S134" s="611"/>
      <c r="T134" s="617"/>
      <c r="U134" s="1502"/>
      <c r="V134" s="455" t="str">
        <f>IF(G134="","",G134)</f>
        <v>A1</v>
      </c>
      <c r="W134" s="456"/>
      <c r="X134" s="457" t="s">
        <v>769</v>
      </c>
      <c r="Y134" s="456"/>
      <c r="Z134" s="458" t="str">
        <f>IF(G136="","",G136)</f>
        <v>A3</v>
      </c>
      <c r="AA134" s="839"/>
      <c r="AB134" s="1459">
        <f t="shared" ref="AB134:AB154" si="90">IF(MaxScore,MaxGoals(W134,Y134,MaxGoalsValue),IF(W134="","",W134))</f>
        <v>0</v>
      </c>
      <c r="AC134" s="1460" t="str">
        <f t="shared" ref="AC134:AC154" si="91">IF(MaxScore,"-",IF(W134="","","-"))</f>
        <v>-</v>
      </c>
      <c r="AD134" s="1459">
        <f t="shared" ref="AD134:AD154" si="92">IF(MaxScore,MaxGoals(Y134,W134,MaxGoalsValue),IF(Y134="","",Y134))</f>
        <v>0</v>
      </c>
      <c r="AE134" s="968" t="str">
        <f>IF(W134="","",IF(W134&gt;Y134,V134,IF(W134=Y134,"",Z134)))</f>
        <v/>
      </c>
      <c r="AF134" s="968" t="str">
        <f>IF(W134="","",IF(W134=Y134,V134,""))</f>
        <v/>
      </c>
      <c r="AG134" s="968" t="str">
        <f>IF(W134="","",IF(W134=Y134,Z134,""))</f>
        <v/>
      </c>
      <c r="AH134" s="968" t="str">
        <f>IF(W134="","",IF(W134&lt;Y134,V134,IF(W134=Y134,"",Z134)))</f>
        <v/>
      </c>
      <c r="AI134" s="968" t="str">
        <f>CONCATENATE(AE134,AH134)</f>
        <v/>
      </c>
      <c r="AJ134" s="968"/>
      <c r="AK134" s="968" t="str">
        <f>IF(AK133="","",SMALL(C134:C140,1))</f>
        <v/>
      </c>
      <c r="AL134" s="270"/>
      <c r="AM134" s="270"/>
      <c r="AN134" s="534" t="str">
        <f>IF(AK133="","",INT(AK134/1000))</f>
        <v/>
      </c>
      <c r="AO134" s="535" t="str">
        <f>IF(AK133="",IF(HidePlayerFormulas,"","("&amp;G134&amp;")"),VLOOKUP(AK134,C134:Q140,5,FALSE))</f>
        <v/>
      </c>
      <c r="AP134" s="507" t="str">
        <f>VLOOKUP(AK134,C134:Q140,8,FALSE)</f>
        <v/>
      </c>
      <c r="AQ134" s="507" t="str">
        <f>VLOOKUP(AK134,C134:Q140,9,FALSE)</f>
        <v/>
      </c>
      <c r="AR134" s="507" t="str">
        <f>VLOOKUP(AK134,C134:Q140,10,FALSE)</f>
        <v/>
      </c>
      <c r="AS134" s="507" t="str">
        <f>VLOOKUP(AK134,C134:Q140,11,FALSE)</f>
        <v/>
      </c>
      <c r="AT134" s="507" t="str">
        <f>VLOOKUP(AK134,C134:Q140,12,FALSE)</f>
        <v/>
      </c>
      <c r="AU134" s="507" t="str">
        <f>VLOOKUP(AK134,C134:Q140,13,FALSE)</f>
        <v/>
      </c>
      <c r="AV134" s="507" t="str">
        <f>VLOOKUP(AK134,C134:Q140,14,FALSE)</f>
        <v/>
      </c>
      <c r="AW134" s="508" t="str">
        <f>VLOOKUP(AK134,C134:Q140,15,FALSE)</f>
        <v/>
      </c>
      <c r="AX134" s="517" t="str">
        <f>IF(W134="","",IF(AO134=V134,W134,IF(AO134=Z134,Y134,"")))</f>
        <v/>
      </c>
      <c r="AY134" s="518" t="str">
        <f>IF(W135="","",IF(AO134=V135,W135,IF(AO134=Z135,Y135,"")))</f>
        <v/>
      </c>
      <c r="AZ134" s="518" t="str">
        <f>IF(W136="","",IF(AO134=V136,W136,IF(AO134=Z136,Y136,"")))</f>
        <v/>
      </c>
      <c r="BA134" s="518" t="str">
        <f>IF(W137="","",IF(AO134=V137,W137,IF(AO134=Z137,Y137,"")))</f>
        <v/>
      </c>
      <c r="BB134" s="518" t="str">
        <f>IF(W138="","",IF(AO134=V138,W138,IF(AO134=Z138,Y138,"")))</f>
        <v/>
      </c>
      <c r="BC134" s="518" t="str">
        <f>IF(W139="","",IF(AO134=V139,W139,IF(AO134=Z139,Y139,"")))</f>
        <v/>
      </c>
      <c r="BD134" s="518" t="str">
        <f>IF(W140="","",IF(AO134=V140,W140,IF(AO134=Z140,Y140,"")))</f>
        <v/>
      </c>
      <c r="BE134" s="518" t="str">
        <f>IF(W141="","",IF(AO134=V141,W141,IF(AO134=Z141,Y141,"")))</f>
        <v/>
      </c>
      <c r="BF134" s="518" t="str">
        <f>IF(W142="","",IF(AO134=V142,W142,IF(AO134=Z142,Y142,"")))</f>
        <v/>
      </c>
      <c r="BG134" s="518" t="str">
        <f>IF(W143="","",IF(AO134=V143,W143,IF(AO134=Z143,Y143,"")))</f>
        <v/>
      </c>
      <c r="BH134" s="518" t="str">
        <f>IF(W145="","",IF(AO134=V145,W145,IF(AO134=Z145,Y145,"")))</f>
        <v/>
      </c>
      <c r="BI134" s="518" t="str">
        <f>IF(W144="","",IF(AO134=V144,W144,IF(AO134=Z144,Y144,"")))</f>
        <v/>
      </c>
      <c r="BJ134" s="518" t="str">
        <f>IF(W146="","",IF(AO134=V146,W146,IF(AO134=Z146,Y146,"")))</f>
        <v/>
      </c>
      <c r="BK134" s="518" t="str">
        <f>IF(W147="","",IF(AO134=V147,W147,IF(AO134=Z147,Y147,"")))</f>
        <v/>
      </c>
      <c r="BL134" s="518" t="str">
        <f>IF(W148="","",IF(AO134=V148,W148,IF(AO134=Z148,Y148,"")))</f>
        <v/>
      </c>
      <c r="BM134" s="518" t="str">
        <f>IF(W149="","",IF(AO134=V149,W149,IF(AO134=Z149,Y149,"")))</f>
        <v/>
      </c>
      <c r="BN134" s="518" t="str">
        <f>IF(W150="","",IF(AO134=V150,W150,IF(AO134=Z150,Y150,"")))</f>
        <v/>
      </c>
      <c r="BO134" s="518" t="str">
        <f>IF(W151="","",IF(AO134=V151,W151,IF(AO134=Z151,Y151,"")))</f>
        <v/>
      </c>
      <c r="BP134" s="518" t="str">
        <f>IF(W152="","",IF(AO134=V152,W152,IF(AO134=Z152,Y152,"")))</f>
        <v/>
      </c>
      <c r="BQ134" s="518" t="str">
        <f>IF(W153="","",IF(AO134=V153,W153,IF(AO134=Z153,Y153,"")))</f>
        <v/>
      </c>
      <c r="BR134" s="519" t="str">
        <f>IF(W154="","",IF(AO134=V154,W154,IF(AO134=Z154,Y154,"")))</f>
        <v/>
      </c>
      <c r="BS134" s="270"/>
      <c r="BT134" s="270"/>
      <c r="BU134" s="270"/>
      <c r="BV134" s="270"/>
      <c r="BW134" s="270"/>
      <c r="BX134" s="270"/>
      <c r="BY134" s="270"/>
      <c r="BZ134" s="1395" t="b">
        <f t="shared" ref="BZ134:BZ140" si="93">IF(G134="[---WithDraw---]",FALSE,IF(COUNTIF(PlayerNamesWithinGroups,G134)&gt;1,TRUE,FALSE))</f>
        <v>1</v>
      </c>
      <c r="CA134" s="1450" t="b">
        <f t="shared" ref="CA134:CA140" si="94">AND(LEFT($AO134,1) = "(", RIGHT($AO134,1) =")")</f>
        <v>0</v>
      </c>
      <c r="CB134" s="1450" t="b">
        <f t="shared" ref="CB134:CB140" si="95">IF(OR($AN134=$AN133,$AN134=$AN135),TRUE,FALSE)</f>
        <v>1</v>
      </c>
      <c r="CC134" s="270"/>
      <c r="CD134" s="270"/>
      <c r="CE134"/>
    </row>
    <row r="135" spans="1:83" outlineLevel="1" x14ac:dyDescent="0.2">
      <c r="A135" s="270"/>
      <c r="B135" s="545">
        <v>2</v>
      </c>
      <c r="C135" s="560" t="str">
        <f>IF(AK133="","",RANK(F135,F134:F140)*1000+ROW())</f>
        <v/>
      </c>
      <c r="D135" s="561" t="str">
        <f t="shared" si="86"/>
        <v/>
      </c>
      <c r="E135" s="561" t="str">
        <f>IF(L135="","",Nb_Diff_Part(D135,D134:D140,G135,G134:G140,AI134:AI154)*CritClassInd_DiffPart+Nb_Goal_Part(D135,D134:D140,G135,G134:G140,V134:Z154)*CritClassInd_GoalPart+Nb_Score_Part(D135,D134:D140,G135,G134:G140,V134:Z154)*CritClassInd_ScorePart)</f>
        <v/>
      </c>
      <c r="F135" s="562" t="str">
        <f t="shared" si="87"/>
        <v/>
      </c>
      <c r="G135" s="502" t="s">
        <v>904</v>
      </c>
      <c r="H135" s="501">
        <f t="shared" si="88"/>
        <v>0</v>
      </c>
      <c r="I135" s="502"/>
      <c r="J135" s="560" t="str">
        <f>IF(AK133="","",(L135*Points_Victoire)+M135*Points_Null)</f>
        <v/>
      </c>
      <c r="K135" s="556" t="str">
        <f t="shared" si="89"/>
        <v/>
      </c>
      <c r="L135" s="563" t="str">
        <f>IF(AK133="","",COUNTIF(AE134:AE154,G135))</f>
        <v/>
      </c>
      <c r="M135" s="563" t="str">
        <f>IF(AK133="","",COUNTIF(AF134:AG154,G135))</f>
        <v/>
      </c>
      <c r="N135" s="563" t="str">
        <f>IF(AK133="","",COUNTIF(AH134:AH154,G135))</f>
        <v/>
      </c>
      <c r="O135" s="563" t="str">
        <f>IF(AK133="","",SUMIF(V134:V154,G135,AB134:AB154)+SUMIF(Z134:Z154,G135,AD134:AD154))</f>
        <v/>
      </c>
      <c r="P135" s="563" t="str">
        <f>IF(AK133="","",SUMIF(V134:V154,G135,AD134:AD154)+SUMIF(Z134:Z154,G135,AB134:AB154))</f>
        <v/>
      </c>
      <c r="Q135" s="557" t="str">
        <f>IF(AK133="","",O135-P135)</f>
        <v/>
      </c>
      <c r="R135" s="558" t="s">
        <v>1726</v>
      </c>
      <c r="S135" s="613"/>
      <c r="T135" s="618"/>
      <c r="U135" s="1504"/>
      <c r="V135" s="459" t="str">
        <f>IF(G137="","",G137)</f>
        <v>A4</v>
      </c>
      <c r="W135" s="272"/>
      <c r="X135" s="273" t="s">
        <v>769</v>
      </c>
      <c r="Y135" s="272"/>
      <c r="Z135" s="460" t="str">
        <f>IF(G140="","",G140)</f>
        <v>A7</v>
      </c>
      <c r="AA135" s="839"/>
      <c r="AB135" s="1459">
        <f t="shared" si="90"/>
        <v>0</v>
      </c>
      <c r="AC135" s="1460" t="str">
        <f t="shared" si="91"/>
        <v>-</v>
      </c>
      <c r="AD135" s="1459">
        <f t="shared" si="92"/>
        <v>0</v>
      </c>
      <c r="AE135" s="968" t="str">
        <f>IF(W135="","",IF(W135&gt;Y135,V135,IF(W135=Y135,"",Z135)))</f>
        <v/>
      </c>
      <c r="AF135" s="968" t="str">
        <f>IF(W135="","",IF(W135=Y135,V135,""))</f>
        <v/>
      </c>
      <c r="AG135" s="968" t="str">
        <f>IF(W135="","",IF(W135=Y135,Z135,""))</f>
        <v/>
      </c>
      <c r="AH135" s="968" t="str">
        <f>IF(W135="","",IF(W135&lt;Y135,V135,IF(W135=Y135,"",Z135)))</f>
        <v/>
      </c>
      <c r="AI135" s="968" t="str">
        <f>CONCATENATE(AE135,AH135)</f>
        <v/>
      </c>
      <c r="AJ135" s="968"/>
      <c r="AK135" s="968" t="str">
        <f>IF(AK133="","",SMALL(C134:C140,2))</f>
        <v/>
      </c>
      <c r="AL135" s="270"/>
      <c r="AM135" s="270"/>
      <c r="AN135" s="536" t="str">
        <f>IF(AK133="","",INT(AK135/1000))</f>
        <v/>
      </c>
      <c r="AO135" s="537" t="str">
        <f>IF(AK133="",IF(HidePlayerFormulas,"","("&amp;G135&amp;")"),VLOOKUP(AK135,C134:Q140,5,FALSE))</f>
        <v/>
      </c>
      <c r="AP135" s="511" t="str">
        <f>VLOOKUP(AK135,C134:Q140,8,FALSE)</f>
        <v/>
      </c>
      <c r="AQ135" s="511" t="str">
        <f>VLOOKUP(AK135,C134:Q140,9,FALSE)</f>
        <v/>
      </c>
      <c r="AR135" s="511" t="str">
        <f>VLOOKUP(AK135,C134:Q140,10,FALSE)</f>
        <v/>
      </c>
      <c r="AS135" s="511" t="str">
        <f>VLOOKUP(AK135,C134:Q140,11,FALSE)</f>
        <v/>
      </c>
      <c r="AT135" s="511" t="str">
        <f>VLOOKUP(AK135,C134:Q140,12,FALSE)</f>
        <v/>
      </c>
      <c r="AU135" s="511" t="str">
        <f>VLOOKUP(AK135,C134:Q140,13,FALSE)</f>
        <v/>
      </c>
      <c r="AV135" s="511" t="str">
        <f>VLOOKUP(AK135,C134:Q140,14,FALSE)</f>
        <v/>
      </c>
      <c r="AW135" s="512" t="str">
        <f>VLOOKUP(AK135,C134:Q140,15,FALSE)</f>
        <v/>
      </c>
      <c r="AX135" s="520" t="str">
        <f>IF(W134="","",IF(AO135=V134,W134,IF(AO135=Z134,Y134,"")))</f>
        <v/>
      </c>
      <c r="AY135" s="521" t="str">
        <f>IF(W135="","",IF(AO135=V135,W135,IF(AO135=Z135,Y135,"")))</f>
        <v/>
      </c>
      <c r="AZ135" s="521" t="str">
        <f>IF(W136="","",IF(AO135=V136,W136,IF(AO135=Z136,Y136,"")))</f>
        <v/>
      </c>
      <c r="BA135" s="521" t="str">
        <f>IF(W137="","",IF(AO135=V137,W137,IF(AO135=Z137,Y137,"")))</f>
        <v/>
      </c>
      <c r="BB135" s="521" t="str">
        <f>IF(W138="","",IF(AO135=V138,W138,IF(AO135=Z138,Y138,"")))</f>
        <v/>
      </c>
      <c r="BC135" s="521" t="str">
        <f>IF(W139="","",IF(AO135=V139,W139,IF(AO135=Z139,Y139,"")))</f>
        <v/>
      </c>
      <c r="BD135" s="521" t="str">
        <f>IF(W140="","",IF(AO135=V140,W140,IF(AO135=Z140,Y140,"")))</f>
        <v/>
      </c>
      <c r="BE135" s="521" t="str">
        <f>IF(W141="","",IF(AO135=V141,W141,IF(AO135=Z141,Y141,"")))</f>
        <v/>
      </c>
      <c r="BF135" s="521" t="str">
        <f>IF(W142="","",IF(AO135=V142,W142,IF(AO135=Z142,Y142,"")))</f>
        <v/>
      </c>
      <c r="BG135" s="521" t="str">
        <f>IF(W143="","",IF(AO135=V143,W143,IF(AO135=Z143,Y143,"")))</f>
        <v/>
      </c>
      <c r="BH135" s="521" t="str">
        <f>IF(W145="","",IF(AO135=V145,W145,IF(AO135=Z145,Y145,"")))</f>
        <v/>
      </c>
      <c r="BI135" s="521" t="str">
        <f>IF(W144="","",IF(AO135=V144,W144,IF(AO135=Z144,Y144,"")))</f>
        <v/>
      </c>
      <c r="BJ135" s="521" t="str">
        <f>IF(W146="","",IF(AO135=V146,W146,IF(AO135=Z146,Y146,"")))</f>
        <v/>
      </c>
      <c r="BK135" s="521" t="str">
        <f>IF(W147="","",IF(AO135=V147,W147,IF(AO135=Z147,Y147,"")))</f>
        <v/>
      </c>
      <c r="BL135" s="521" t="str">
        <f>IF(W148="","",IF(AO135=V148,W148,IF(AO135=Z148,Y148,"")))</f>
        <v/>
      </c>
      <c r="BM135" s="521" t="str">
        <f>IF(W149="","",IF(AO135=V149,W149,IF(AO135=Z149,Y149,"")))</f>
        <v/>
      </c>
      <c r="BN135" s="521" t="str">
        <f>IF(W150="","",IF(AO135=V150,W150,IF(AO135=Z150,Y150,"")))</f>
        <v/>
      </c>
      <c r="BO135" s="521" t="str">
        <f>IF(W151="","",IF(AO135=V151,W151,IF(AO135=Z151,Y151,"")))</f>
        <v/>
      </c>
      <c r="BP135" s="521" t="str">
        <f>IF(W152="","",IF(AO135=V152,W152,IF(AO135=Z152,Y152,"")))</f>
        <v/>
      </c>
      <c r="BQ135" s="521" t="str">
        <f>IF(W153="","",IF(AO135=V153,W153,IF(AO135=Z153,Y153,"")))</f>
        <v/>
      </c>
      <c r="BR135" s="522" t="str">
        <f>IF(W154="","",IF(AO135=V154,W154,IF(AO135=Z154,Y154,"")))</f>
        <v/>
      </c>
      <c r="BS135" s="270"/>
      <c r="BT135" s="270"/>
      <c r="BU135" s="270"/>
      <c r="BV135" s="270"/>
      <c r="BW135" s="270"/>
      <c r="BX135" s="270"/>
      <c r="BY135" s="270"/>
      <c r="BZ135" s="1395" t="b">
        <f t="shared" si="93"/>
        <v>1</v>
      </c>
      <c r="CA135" s="1450" t="b">
        <f t="shared" si="94"/>
        <v>0</v>
      </c>
      <c r="CB135" s="1450" t="b">
        <f t="shared" si="95"/>
        <v>1</v>
      </c>
      <c r="CC135" s="270"/>
      <c r="CD135" s="270"/>
      <c r="CE135"/>
    </row>
    <row r="136" spans="1:83" ht="13.5" outlineLevel="1" thickBot="1" x14ac:dyDescent="0.25">
      <c r="A136" s="270"/>
      <c r="B136" s="545">
        <v>3</v>
      </c>
      <c r="C136" s="560" t="str">
        <f>IF(AK133="","",RANK(F136,F134:F140)*1000+ROW())</f>
        <v/>
      </c>
      <c r="D136" s="561" t="str">
        <f t="shared" si="86"/>
        <v/>
      </c>
      <c r="E136" s="561" t="str">
        <f>IF(L136="","",Nb_Diff_Part(D136,D134:D140,G136,G134:G140,AI134:AI154)*CritClassInd_DiffPart+Nb_Goal_Part(D136,D134:D140,G136,G134:G140,V134:Z154)*CritClassInd_GoalPart+Nb_Score_Part(D136,D134:D140,G136,G134:G140,V134:Z154)*CritClassInd_ScorePart)</f>
        <v/>
      </c>
      <c r="F136" s="562" t="str">
        <f t="shared" si="87"/>
        <v/>
      </c>
      <c r="G136" s="502" t="s">
        <v>905</v>
      </c>
      <c r="H136" s="501">
        <f t="shared" si="88"/>
        <v>0</v>
      </c>
      <c r="I136" s="502"/>
      <c r="J136" s="560" t="str">
        <f>IF(AK133="","",(L136*Points_Victoire)+M136*Points_Null)</f>
        <v/>
      </c>
      <c r="K136" s="563" t="str">
        <f t="shared" si="89"/>
        <v/>
      </c>
      <c r="L136" s="563" t="str">
        <f>IF(AK133="","",COUNTIF(AE134:AE154,G136))</f>
        <v/>
      </c>
      <c r="M136" s="563" t="str">
        <f>IF(AK133="","",COUNTIF(AF134:AG154,G136))</f>
        <v/>
      </c>
      <c r="N136" s="563" t="str">
        <f>IF(AK133="","",COUNTIF(AH134:AH154,G136))</f>
        <v/>
      </c>
      <c r="O136" s="563" t="str">
        <f>IF(AK133="","",SUMIF(V134:V154,G136,AB134:AB154)+SUMIF(Z134:Z154,G136,AD134:AD154))</f>
        <v/>
      </c>
      <c r="P136" s="563" t="str">
        <f>IF(AK133="","",SUMIF(V134:V154,G136,AD134:AD154)+SUMIF(Z134:Z154,G136,AB134:AB154))</f>
        <v/>
      </c>
      <c r="Q136" s="564" t="str">
        <f>IF(AK133="","",O136-P136)</f>
        <v/>
      </c>
      <c r="R136" s="558" t="s">
        <v>1726</v>
      </c>
      <c r="S136" s="615"/>
      <c r="T136" s="619"/>
      <c r="U136" s="1503"/>
      <c r="V136" s="461" t="str">
        <f>IF(G138="","",G138)</f>
        <v>A5</v>
      </c>
      <c r="W136" s="450"/>
      <c r="X136" s="462" t="s">
        <v>769</v>
      </c>
      <c r="Y136" s="450"/>
      <c r="Z136" s="463" t="str">
        <f>IF(G139="","",G139)</f>
        <v>A6</v>
      </c>
      <c r="AA136" s="839"/>
      <c r="AB136" s="1459">
        <f t="shared" si="90"/>
        <v>0</v>
      </c>
      <c r="AC136" s="1460" t="str">
        <f t="shared" si="91"/>
        <v>-</v>
      </c>
      <c r="AD136" s="1459">
        <f t="shared" si="92"/>
        <v>0</v>
      </c>
      <c r="AE136" s="968" t="str">
        <f>IF(W136="","",IF(W136&gt;Y136,V136,IF(W136=Y136,"",Z136)))</f>
        <v/>
      </c>
      <c r="AF136" s="968" t="str">
        <f>IF(W136="","",IF(W136=Y136,V136,""))</f>
        <v/>
      </c>
      <c r="AG136" s="968" t="str">
        <f>IF(W136="","",IF(W136=Y136,Z136,""))</f>
        <v/>
      </c>
      <c r="AH136" s="968" t="str">
        <f>IF(W136="","",IF(W136&lt;Y136,V136,IF(W136=Y136,"",Z136)))</f>
        <v/>
      </c>
      <c r="AI136" s="968" t="str">
        <f>CONCATENATE(AE136,AH136)</f>
        <v/>
      </c>
      <c r="AJ136" s="968"/>
      <c r="AK136" s="968" t="str">
        <f>IF(AK133="","",SMALL(C134:C140,3))</f>
        <v/>
      </c>
      <c r="AL136" s="270"/>
      <c r="AM136" s="270"/>
      <c r="AN136" s="536" t="str">
        <f>IF(AK133="","",INT(AK136/1000))</f>
        <v/>
      </c>
      <c r="AO136" s="537" t="str">
        <f>IF(AK133="",IF(HidePlayerFormulas,"","("&amp;G136&amp;")"),VLOOKUP(AK136,C134:Q140,5,FALSE))</f>
        <v/>
      </c>
      <c r="AP136" s="511" t="str">
        <f>VLOOKUP(AK136,C134:Q140,8,FALSE)</f>
        <v/>
      </c>
      <c r="AQ136" s="511" t="str">
        <f>VLOOKUP(AK136,C134:Q140,9,FALSE)</f>
        <v/>
      </c>
      <c r="AR136" s="511" t="str">
        <f>VLOOKUP(AK136,C134:Q140,10,FALSE)</f>
        <v/>
      </c>
      <c r="AS136" s="511" t="str">
        <f>VLOOKUP(AK136,C134:Q140,11,FALSE)</f>
        <v/>
      </c>
      <c r="AT136" s="511" t="str">
        <f>VLOOKUP(AK136,C134:Q140,12,FALSE)</f>
        <v/>
      </c>
      <c r="AU136" s="511" t="str">
        <f>VLOOKUP(AK136,C134:Q140,13,FALSE)</f>
        <v/>
      </c>
      <c r="AV136" s="511" t="str">
        <f>VLOOKUP(AK136,C134:Q140,14,FALSE)</f>
        <v/>
      </c>
      <c r="AW136" s="512" t="str">
        <f>VLOOKUP(AK136,C134:Q140,15,FALSE)</f>
        <v/>
      </c>
      <c r="AX136" s="520" t="str">
        <f>IF(W134="","",IF(AO136=V134,W134,IF(AO136=Z134,Y134,"")))</f>
        <v/>
      </c>
      <c r="AY136" s="521" t="str">
        <f>IF(W135="","",IF(AO136=V135,W135,IF(AO136=Z135,Y135,"")))</f>
        <v/>
      </c>
      <c r="AZ136" s="521" t="str">
        <f>IF(W136="","",IF(AO136=V136,W136,IF(AO136=Z136,Y136,"")))</f>
        <v/>
      </c>
      <c r="BA136" s="521" t="str">
        <f>IF(W137="","",IF(AO136=V137,W137,IF(AO136=Z137,Y137,"")))</f>
        <v/>
      </c>
      <c r="BB136" s="521" t="str">
        <f>IF(W138="","",IF(AO136=V138,W138,IF(AO136=Z138,Y138,"")))</f>
        <v/>
      </c>
      <c r="BC136" s="521" t="str">
        <f>IF(W139="","",IF(AO136=V139,W139,IF(AO136=Z139,Y139,"")))</f>
        <v/>
      </c>
      <c r="BD136" s="521" t="str">
        <f>IF(W140="","",IF(AO136=V140,W140,IF(AO136=Z140,Y140,"")))</f>
        <v/>
      </c>
      <c r="BE136" s="521" t="str">
        <f>IF(W141="","",IF(AO136=V141,W141,IF(AO136=Z141,Y141,"")))</f>
        <v/>
      </c>
      <c r="BF136" s="521" t="str">
        <f>IF(W142="","",IF(AO136=V142,W142,IF(AO136=Z142,Y142,"")))</f>
        <v/>
      </c>
      <c r="BG136" s="521" t="str">
        <f>IF(W143="","",IF(AO136=V143,W143,IF(AO136=Z143,Y143,"")))</f>
        <v/>
      </c>
      <c r="BH136" s="521" t="str">
        <f>IF(W145="","",IF(AO136=V145,W145,IF(AO136=Z145,Y145,"")))</f>
        <v/>
      </c>
      <c r="BI136" s="521" t="str">
        <f>IF(W144="","",IF(AO136=V144,W144,IF(AO136=Z144,Y144,"")))</f>
        <v/>
      </c>
      <c r="BJ136" s="521" t="str">
        <f>IF(W146="","",IF(AO136=V146,W146,IF(AO136=Z146,Y146,"")))</f>
        <v/>
      </c>
      <c r="BK136" s="521" t="str">
        <f>IF(W147="","",IF(AO136=V147,W147,IF(AO136=Z147,Y147,"")))</f>
        <v/>
      </c>
      <c r="BL136" s="521" t="str">
        <f>IF(W148="","",IF(AO136=V148,W148,IF(AO136=Z148,Y148,"")))</f>
        <v/>
      </c>
      <c r="BM136" s="521" t="str">
        <f>IF(W149="","",IF(AO136=V149,W149,IF(AO136=Z149,Y149,"")))</f>
        <v/>
      </c>
      <c r="BN136" s="521" t="str">
        <f>IF(W150="","",IF(AO136=V150,W150,IF(AO136=Z150,Y150,"")))</f>
        <v/>
      </c>
      <c r="BO136" s="521" t="str">
        <f>IF(W151="","",IF(AO136=V151,W151,IF(AO136=Z151,Y151,"")))</f>
        <v/>
      </c>
      <c r="BP136" s="521" t="str">
        <f>IF(W152="","",IF(AO136=V152,W152,IF(AO136=Z152,Y152,"")))</f>
        <v/>
      </c>
      <c r="BQ136" s="521" t="str">
        <f>IF(W153="","",IF(AO136=V153,W153,IF(AO136=Z153,Y153,"")))</f>
        <v/>
      </c>
      <c r="BR136" s="522" t="str">
        <f>IF(W154="","",IF(AO136=V154,W154,IF(AO136=Z154,Y154,"")))</f>
        <v/>
      </c>
      <c r="BS136" s="270"/>
      <c r="BT136" s="270"/>
      <c r="BU136" s="270"/>
      <c r="BV136" s="270"/>
      <c r="BW136" s="270"/>
      <c r="BX136" s="270"/>
      <c r="BY136" s="270"/>
      <c r="BZ136" s="1395" t="b">
        <f t="shared" si="93"/>
        <v>1</v>
      </c>
      <c r="CA136" s="1450" t="b">
        <f t="shared" si="94"/>
        <v>0</v>
      </c>
      <c r="CB136" s="1450" t="b">
        <f t="shared" si="95"/>
        <v>1</v>
      </c>
      <c r="CC136" s="270"/>
      <c r="CD136" s="270"/>
      <c r="CE136"/>
    </row>
    <row r="137" spans="1:83" outlineLevel="1" x14ac:dyDescent="0.2">
      <c r="A137" s="270"/>
      <c r="B137" s="545">
        <v>4</v>
      </c>
      <c r="C137" s="560" t="str">
        <f>IF(AK133="","",RANK(F137,F134:F140)*1000+ROW())</f>
        <v/>
      </c>
      <c r="D137" s="561" t="str">
        <f t="shared" si="86"/>
        <v/>
      </c>
      <c r="E137" s="561" t="str">
        <f>IF(L137="","",Nb_Diff_Part(D137,D134:D140,G137,G134:G140,AI134:AI154)*CritClassInd_DiffPart+Nb_Goal_Part(D137,D134:D140,G137,G134:G140,V134:Z154)*CritClassInd_GoalPart+Nb_Score_Part(D137,D134:D140,G137,G134:G140,V134:Z154)*CritClassInd_ScorePart)</f>
        <v/>
      </c>
      <c r="F137" s="562" t="str">
        <f t="shared" si="87"/>
        <v/>
      </c>
      <c r="G137" s="502" t="s">
        <v>906</v>
      </c>
      <c r="H137" s="501">
        <f t="shared" si="88"/>
        <v>0</v>
      </c>
      <c r="I137" s="502"/>
      <c r="J137" s="560" t="str">
        <f>IF(AK133="","",(L137*Points_Victoire)+M137*Points_Null)</f>
        <v/>
      </c>
      <c r="K137" s="563" t="str">
        <f t="shared" si="89"/>
        <v/>
      </c>
      <c r="L137" s="563" t="str">
        <f>IF(AK133="","",COUNTIF(AE134:AE154,G137))</f>
        <v/>
      </c>
      <c r="M137" s="563" t="str">
        <f>IF(AK133="","",COUNTIF(AF134:AG154,G137))</f>
        <v/>
      </c>
      <c r="N137" s="563" t="str">
        <f>IF(AK133="","",COUNTIF(AH134:AH154,G137))</f>
        <v/>
      </c>
      <c r="O137" s="563" t="str">
        <f>IF(AK133="","",SUMIF(V134:V154,G137,AB134:AB154)+SUMIF(Z134:Z154,G137,AD134:AD154))</f>
        <v/>
      </c>
      <c r="P137" s="563" t="str">
        <f>IF(AK133="","",SUMIF(V134:V154,G137,AD134:AD154)+SUMIF(Z134:Z154,G137,AB134:AB154))</f>
        <v/>
      </c>
      <c r="Q137" s="564" t="str">
        <f>IF(AK133="","",O137-P137)</f>
        <v/>
      </c>
      <c r="R137" s="558" t="s">
        <v>1727</v>
      </c>
      <c r="S137" s="611"/>
      <c r="T137" s="617"/>
      <c r="U137" s="1502"/>
      <c r="V137" s="455" t="str">
        <f>IF(G134="","",G134)</f>
        <v>A1</v>
      </c>
      <c r="W137" s="456"/>
      <c r="X137" s="457" t="s">
        <v>769</v>
      </c>
      <c r="Y137" s="456"/>
      <c r="Z137" s="458" t="str">
        <f>IF(G138="","",G138)</f>
        <v>A5</v>
      </c>
      <c r="AA137" s="839"/>
      <c r="AB137" s="1459">
        <f t="shared" si="90"/>
        <v>0</v>
      </c>
      <c r="AC137" s="1460" t="str">
        <f t="shared" si="91"/>
        <v>-</v>
      </c>
      <c r="AD137" s="1459">
        <f t="shared" si="92"/>
        <v>0</v>
      </c>
      <c r="AE137" s="968" t="str">
        <f t="shared" ref="AE137:AE154" si="96">IF(W137="","",IF(W137&gt;Y137,V137,IF(W137=Y137,"",Z137)))</f>
        <v/>
      </c>
      <c r="AF137" s="968" t="str">
        <f t="shared" ref="AF137:AF154" si="97">IF(W137="","",IF(W137=Y137,V137,""))</f>
        <v/>
      </c>
      <c r="AG137" s="968" t="str">
        <f t="shared" ref="AG137:AG154" si="98">IF(W137="","",IF(W137=Y137,Z137,""))</f>
        <v/>
      </c>
      <c r="AH137" s="968" t="str">
        <f t="shared" ref="AH137:AH154" si="99">IF(W137="","",IF(W137&lt;Y137,V137,IF(W137=Y137,"",Z137)))</f>
        <v/>
      </c>
      <c r="AI137" s="968" t="str">
        <f t="shared" ref="AI137:AI154" si="100">CONCATENATE(AE137,AH137)</f>
        <v/>
      </c>
      <c r="AJ137" s="968"/>
      <c r="AK137" s="968" t="str">
        <f>IF(AK133="","",SMALL(C134:C140,4))</f>
        <v/>
      </c>
      <c r="AL137" s="270"/>
      <c r="AM137" s="270"/>
      <c r="AN137" s="536" t="str">
        <f>IF(AK133="","",INT(AK137/1000))</f>
        <v/>
      </c>
      <c r="AO137" s="537" t="str">
        <f>IF(AK133="",IF(HidePlayerFormulas,"","("&amp;G137&amp;")"),VLOOKUP(AK137,C134:Q140,5,FALSE))</f>
        <v/>
      </c>
      <c r="AP137" s="511" t="str">
        <f>VLOOKUP(AK137,C134:Q140,8,FALSE)</f>
        <v/>
      </c>
      <c r="AQ137" s="511" t="str">
        <f>VLOOKUP(AK137,C134:Q140,9,FALSE)</f>
        <v/>
      </c>
      <c r="AR137" s="511" t="str">
        <f>VLOOKUP(AK137,C134:Q140,10,FALSE)</f>
        <v/>
      </c>
      <c r="AS137" s="511" t="str">
        <f>VLOOKUP(AK137,C134:Q140,11,FALSE)</f>
        <v/>
      </c>
      <c r="AT137" s="511" t="str">
        <f>VLOOKUP(AK137,C134:Q140,12,FALSE)</f>
        <v/>
      </c>
      <c r="AU137" s="511" t="str">
        <f>VLOOKUP(AK137,C134:Q140,13,FALSE)</f>
        <v/>
      </c>
      <c r="AV137" s="511" t="str">
        <f>VLOOKUP(AK137,C134:Q140,14,FALSE)</f>
        <v/>
      </c>
      <c r="AW137" s="512" t="str">
        <f>VLOOKUP(AK137,C134:Q140,15,FALSE)</f>
        <v/>
      </c>
      <c r="AX137" s="520" t="str">
        <f>IF(W134="","",IF(AO137=V134,W134,IF(AO137=Z134,Y134,"")))</f>
        <v/>
      </c>
      <c r="AY137" s="521" t="str">
        <f>IF(W135="","",IF(AO137=V135,W135,IF(AO137=Z135,Y135,"")))</f>
        <v/>
      </c>
      <c r="AZ137" s="521" t="str">
        <f>IF(W136="","",IF(AO137=V136,W136,IF(AO137=Z136,Y136,"")))</f>
        <v/>
      </c>
      <c r="BA137" s="521" t="str">
        <f>IF(W137="","",IF(AO137=V137,W137,IF(AO137=Z137,Y137,"")))</f>
        <v/>
      </c>
      <c r="BB137" s="521" t="str">
        <f>IF(W138="","",IF(AO137=V138,W138,IF(AO137=Z138,Y138,"")))</f>
        <v/>
      </c>
      <c r="BC137" s="521" t="str">
        <f>IF(W139="","",IF(AO137=V139,W139,IF(AO137=Z139,Y139,"")))</f>
        <v/>
      </c>
      <c r="BD137" s="521" t="str">
        <f>IF(W140="","",IF(AO137=V140,W140,IF(AO137=Z140,Y140,"")))</f>
        <v/>
      </c>
      <c r="BE137" s="521" t="str">
        <f>IF(W141="","",IF(AO137=V141,W141,IF(AO137=Z141,Y141,"")))</f>
        <v/>
      </c>
      <c r="BF137" s="521" t="str">
        <f>IF(W142="","",IF(AO137=V142,W142,IF(AO137=Z142,Y142,"")))</f>
        <v/>
      </c>
      <c r="BG137" s="521" t="str">
        <f>IF(W143="","",IF(AO137=V143,W143,IF(AO137=Z143,Y143,"")))</f>
        <v/>
      </c>
      <c r="BH137" s="521" t="str">
        <f>IF(W145="","",IF(AO137=V145,W145,IF(AO137=Z145,Y145,"")))</f>
        <v/>
      </c>
      <c r="BI137" s="521" t="str">
        <f>IF(W144="","",IF(AO137=V144,W144,IF(AO137=Z144,Y144,"")))</f>
        <v/>
      </c>
      <c r="BJ137" s="521" t="str">
        <f>IF(W146="","",IF(AO137=V146,W146,IF(AO137=Z146,Y146,"")))</f>
        <v/>
      </c>
      <c r="BK137" s="521" t="str">
        <f>IF(W147="","",IF(AO137=V147,W147,IF(AO137=Z147,Y147,"")))</f>
        <v/>
      </c>
      <c r="BL137" s="521" t="str">
        <f>IF(W148="","",IF(AO137=V148,W148,IF(AO137=Z148,Y148,"")))</f>
        <v/>
      </c>
      <c r="BM137" s="521" t="str">
        <f>IF(W149="","",IF(AO137=V149,W149,IF(AO137=Z149,Y149,"")))</f>
        <v/>
      </c>
      <c r="BN137" s="521" t="str">
        <f>IF(W150="","",IF(AO137=V150,W150,IF(AO137=Z150,Y150,"")))</f>
        <v/>
      </c>
      <c r="BO137" s="521" t="str">
        <f>IF(W151="","",IF(AO137=V151,W151,IF(AO137=Z151,Y151,"")))</f>
        <v/>
      </c>
      <c r="BP137" s="521" t="str">
        <f>IF(W152="","",IF(AO137=V152,W152,IF(AO137=Z152,Y152,"")))</f>
        <v/>
      </c>
      <c r="BQ137" s="521" t="str">
        <f>IF(W153="","",IF(AO137=V153,W153,IF(AO137=Z153,Y153,"")))</f>
        <v/>
      </c>
      <c r="BR137" s="522" t="str">
        <f>IF(W154="","",IF(AO137=V154,W154,IF(AO137=Z154,Y154,"")))</f>
        <v/>
      </c>
      <c r="BS137" s="270"/>
      <c r="BT137" s="270"/>
      <c r="BU137" s="270"/>
      <c r="BV137" s="270"/>
      <c r="BW137" s="270"/>
      <c r="BX137" s="270"/>
      <c r="BY137" s="270"/>
      <c r="BZ137" s="1395" t="b">
        <f t="shared" si="93"/>
        <v>1</v>
      </c>
      <c r="CA137" s="1450" t="b">
        <f t="shared" si="94"/>
        <v>0</v>
      </c>
      <c r="CB137" s="1450" t="b">
        <f t="shared" si="95"/>
        <v>1</v>
      </c>
      <c r="CC137" s="270"/>
      <c r="CD137" s="270"/>
      <c r="CE137"/>
    </row>
    <row r="138" spans="1:83" outlineLevel="1" x14ac:dyDescent="0.2">
      <c r="A138" s="270"/>
      <c r="B138" s="545">
        <v>5</v>
      </c>
      <c r="C138" s="560" t="str">
        <f>IF(AK133="","",RANK(F138,F134:F140)*1000+ROW())</f>
        <v/>
      </c>
      <c r="D138" s="561" t="str">
        <f t="shared" si="86"/>
        <v/>
      </c>
      <c r="E138" s="561" t="str">
        <f>IF(L138="","",Nb_Diff_Part(D138,D134:D140,G138,G134:G140,AI134:AI154)*CritClassInd_DiffPart+Nb_Goal_Part(D138,D134:D140,G138,G134:G140,V134:Z154)*CritClassInd_GoalPart+Nb_Score_Part(D138,D134:D140,G138,G134:G140,V134:Z154)*CritClassInd_ScorePart)</f>
        <v/>
      </c>
      <c r="F138" s="562" t="str">
        <f t="shared" si="87"/>
        <v/>
      </c>
      <c r="G138" s="502" t="s">
        <v>907</v>
      </c>
      <c r="H138" s="501">
        <f t="shared" si="88"/>
        <v>0</v>
      </c>
      <c r="I138" s="502"/>
      <c r="J138" s="560" t="str">
        <f>IF(AK133="","",(L138*Points_Victoire)+M138*Points_Null)</f>
        <v/>
      </c>
      <c r="K138" s="563" t="str">
        <f t="shared" si="89"/>
        <v/>
      </c>
      <c r="L138" s="563" t="str">
        <f>IF(AK133="","",COUNTIF(AE134:AE154,G138))</f>
        <v/>
      </c>
      <c r="M138" s="563" t="str">
        <f>IF(AK133="","",COUNTIF(AF134:AG154,G138))</f>
        <v/>
      </c>
      <c r="N138" s="563" t="str">
        <f>IF(AK133="","",COUNTIF(AH134:AH154,G138))</f>
        <v/>
      </c>
      <c r="O138" s="563" t="str">
        <f>IF(AK133="","",SUMIF(V134:V154,G138,AB134:AB154)+SUMIF(Z134:Z154,G138,AD134:AD154))</f>
        <v/>
      </c>
      <c r="P138" s="563" t="str">
        <f>IF(AK133="","",SUMIF(V134:V154,G138,AD134:AD154)+SUMIF(Z134:Z154,G138,AB134:AB154))</f>
        <v/>
      </c>
      <c r="Q138" s="564" t="str">
        <f>IF(AK133="","",O138-P138)</f>
        <v/>
      </c>
      <c r="R138" s="558" t="s">
        <v>1727</v>
      </c>
      <c r="S138" s="613"/>
      <c r="T138" s="618"/>
      <c r="U138" s="1504"/>
      <c r="V138" s="459" t="str">
        <f>IF(G135="","",G135)</f>
        <v>A2</v>
      </c>
      <c r="W138" s="272"/>
      <c r="X138" s="273" t="s">
        <v>769</v>
      </c>
      <c r="Y138" s="272"/>
      <c r="Z138" s="460" t="str">
        <f>IF(G137="","",G137)</f>
        <v>A4</v>
      </c>
      <c r="AA138" s="839"/>
      <c r="AB138" s="1459">
        <f t="shared" si="90"/>
        <v>0</v>
      </c>
      <c r="AC138" s="1460" t="str">
        <f t="shared" si="91"/>
        <v>-</v>
      </c>
      <c r="AD138" s="1459">
        <f t="shared" si="92"/>
        <v>0</v>
      </c>
      <c r="AE138" s="968" t="str">
        <f t="shared" si="96"/>
        <v/>
      </c>
      <c r="AF138" s="968" t="str">
        <f t="shared" si="97"/>
        <v/>
      </c>
      <c r="AG138" s="968" t="str">
        <f t="shared" si="98"/>
        <v/>
      </c>
      <c r="AH138" s="968" t="str">
        <f t="shared" si="99"/>
        <v/>
      </c>
      <c r="AI138" s="968" t="str">
        <f t="shared" si="100"/>
        <v/>
      </c>
      <c r="AJ138" s="968"/>
      <c r="AK138" s="968" t="str">
        <f>IF(AK133="","",SMALL(C134:C140,5))</f>
        <v/>
      </c>
      <c r="AL138" s="270"/>
      <c r="AM138" s="270"/>
      <c r="AN138" s="536" t="str">
        <f>IF(AK133="","",INT(AK138/1000))</f>
        <v/>
      </c>
      <c r="AO138" s="537" t="str">
        <f>IF(AK133="",IF(HidePlayerFormulas,"","("&amp;G138&amp;")"),VLOOKUP(AK138,C134:Q140,5,FALSE))</f>
        <v/>
      </c>
      <c r="AP138" s="511" t="str">
        <f>VLOOKUP(AK138,C134:Q140,8,FALSE)</f>
        <v/>
      </c>
      <c r="AQ138" s="511" t="str">
        <f>VLOOKUP(AK138,C134:Q140,9,FALSE)</f>
        <v/>
      </c>
      <c r="AR138" s="511" t="str">
        <f>VLOOKUP(AK138,C134:Q140,10,FALSE)</f>
        <v/>
      </c>
      <c r="AS138" s="511" t="str">
        <f>VLOOKUP(AK138,C134:Q140,11,FALSE)</f>
        <v/>
      </c>
      <c r="AT138" s="511" t="str">
        <f>VLOOKUP(AK138,C134:Q140,12,FALSE)</f>
        <v/>
      </c>
      <c r="AU138" s="511" t="str">
        <f>VLOOKUP(AK138,C134:Q140,13,FALSE)</f>
        <v/>
      </c>
      <c r="AV138" s="511" t="str">
        <f>VLOOKUP(AK138,C134:Q140,14,FALSE)</f>
        <v/>
      </c>
      <c r="AW138" s="512" t="str">
        <f>VLOOKUP(AK138,C134:Q140,15,FALSE)</f>
        <v/>
      </c>
      <c r="AX138" s="520" t="str">
        <f>IF(W134="","",IF(AO138=V134,W134,IF(AO138=Z134,Y134,"")))</f>
        <v/>
      </c>
      <c r="AY138" s="521" t="str">
        <f>IF(W135="","",IF(AO138=V135,W135,IF(AO138=Z135,Y135,"")))</f>
        <v/>
      </c>
      <c r="AZ138" s="521" t="str">
        <f>IF(W136="","",IF(AO138=V136,W136,IF(AO138=Z136,Y136,"")))</f>
        <v/>
      </c>
      <c r="BA138" s="521" t="str">
        <f>IF(W137="","",IF(AO138=V137,W137,IF(AO138=Z137,Y137,"")))</f>
        <v/>
      </c>
      <c r="BB138" s="521" t="str">
        <f>IF(W138="","",IF(AO138=V138,W138,IF(AO138=Z138,Y138,"")))</f>
        <v/>
      </c>
      <c r="BC138" s="521" t="str">
        <f>IF(W139="","",IF(AO138=V139,W139,IF(AO138=Z139,Y139,"")))</f>
        <v/>
      </c>
      <c r="BD138" s="521" t="str">
        <f>IF(W140="","",IF(AO138=V140,W140,IF(AO138=Z140,Y140,"")))</f>
        <v/>
      </c>
      <c r="BE138" s="521" t="str">
        <f>IF(W141="","",IF(AO138=V141,W141,IF(AO138=Z141,Y141,"")))</f>
        <v/>
      </c>
      <c r="BF138" s="521" t="str">
        <f>IF(W142="","",IF(AO138=V142,W142,IF(AO138=Z142,Y142,"")))</f>
        <v/>
      </c>
      <c r="BG138" s="521" t="str">
        <f>IF(W143="","",IF(AO138=V143,W143,IF(AO138=Z143,Y143,"")))</f>
        <v/>
      </c>
      <c r="BH138" s="521" t="str">
        <f>IF(W145="","",IF(AO138=V145,W145,IF(AO138=Z145,Y145,"")))</f>
        <v/>
      </c>
      <c r="BI138" s="521" t="str">
        <f>IF(W144="","",IF(AO138=V144,W144,IF(AO138=Z144,Y144,"")))</f>
        <v/>
      </c>
      <c r="BJ138" s="521" t="str">
        <f>IF(W146="","",IF(AO138=V146,W146,IF(AO138=Z146,Y146,"")))</f>
        <v/>
      </c>
      <c r="BK138" s="521" t="str">
        <f>IF(W147="","",IF(AO138=V147,W147,IF(AO138=Z147,Y147,"")))</f>
        <v/>
      </c>
      <c r="BL138" s="521" t="str">
        <f>IF(W148="","",IF(AO138=V148,W148,IF(AO138=Z148,Y148,"")))</f>
        <v/>
      </c>
      <c r="BM138" s="521" t="str">
        <f>IF(W149="","",IF(AO138=V149,W149,IF(AO138=Z149,Y149,"")))</f>
        <v/>
      </c>
      <c r="BN138" s="521" t="str">
        <f>IF(W150="","",IF(AO138=V150,W150,IF(AO138=Z150,Y150,"")))</f>
        <v/>
      </c>
      <c r="BO138" s="521" t="str">
        <f>IF(W151="","",IF(AO138=V151,W151,IF(AO138=Z151,Y151,"")))</f>
        <v/>
      </c>
      <c r="BP138" s="521" t="str">
        <f>IF(W152="","",IF(AO138=V152,W152,IF(AO138=Z152,Y152,"")))</f>
        <v/>
      </c>
      <c r="BQ138" s="521" t="str">
        <f>IF(W153="","",IF(AO138=V153,W153,IF(AO138=Z153,Y153,"")))</f>
        <v/>
      </c>
      <c r="BR138" s="522" t="str">
        <f>IF(W154="","",IF(AO138=V154,W154,IF(AO138=Z154,Y154,"")))</f>
        <v/>
      </c>
      <c r="BS138" s="270"/>
      <c r="BT138" s="270"/>
      <c r="BU138" s="270"/>
      <c r="BV138" s="270"/>
      <c r="BW138" s="270"/>
      <c r="BX138" s="270"/>
      <c r="BY138" s="270"/>
      <c r="BZ138" s="1395" t="b">
        <f t="shared" si="93"/>
        <v>1</v>
      </c>
      <c r="CA138" s="1450" t="b">
        <f t="shared" si="94"/>
        <v>0</v>
      </c>
      <c r="CB138" s="1450" t="b">
        <f t="shared" si="95"/>
        <v>1</v>
      </c>
      <c r="CC138" s="270"/>
      <c r="CD138" s="270"/>
      <c r="CE138"/>
    </row>
    <row r="139" spans="1:83" ht="13.5" outlineLevel="1" thickBot="1" x14ac:dyDescent="0.25">
      <c r="A139" s="270"/>
      <c r="B139" s="545">
        <v>6</v>
      </c>
      <c r="C139" s="560" t="str">
        <f>IF(AK133="","",RANK(F139,F134:F140)*1000+ROW())</f>
        <v/>
      </c>
      <c r="D139" s="561" t="str">
        <f t="shared" si="86"/>
        <v/>
      </c>
      <c r="E139" s="561" t="str">
        <f>IF(L139="","",Nb_Diff_Part(D139,D134:D140,G139,G134:G140,AI134:AI154)*CritClassInd_DiffPart+Nb_Goal_Part(D139,D134:D140,G139,G134:G140,V134:Z154)*CritClassInd_GoalPart+Nb_Score_Part(D139,D134:D140,G139,G134:G140,V134:Z154)*CritClassInd_ScorePart)</f>
        <v/>
      </c>
      <c r="F139" s="562" t="str">
        <f t="shared" si="87"/>
        <v/>
      </c>
      <c r="G139" s="502" t="s">
        <v>908</v>
      </c>
      <c r="H139" s="501">
        <f t="shared" si="88"/>
        <v>0</v>
      </c>
      <c r="I139" s="502"/>
      <c r="J139" s="560" t="str">
        <f>IF(AK133="","",(L139*Points_Victoire)+M139*Points_Null)</f>
        <v/>
      </c>
      <c r="K139" s="563" t="str">
        <f t="shared" si="89"/>
        <v/>
      </c>
      <c r="L139" s="563" t="str">
        <f>IF(AK133="","",COUNTIF(AE134:AE154,G139))</f>
        <v/>
      </c>
      <c r="M139" s="563" t="str">
        <f>IF(AK133="","",COUNTIF(AF134:AG154,G139))</f>
        <v/>
      </c>
      <c r="N139" s="563" t="str">
        <f>IF(AK133="","",COUNTIF(AH134:AH154,G139))</f>
        <v/>
      </c>
      <c r="O139" s="563" t="str">
        <f>IF(AK133="","",SUMIF(V134:V154,G139,AB134:AB154)+SUMIF(Z134:Z154,G139,AD134:AD154))</f>
        <v/>
      </c>
      <c r="P139" s="563" t="str">
        <f>IF(AK133="","",SUMIF(V134:V154,G139,AD134:AD154)+SUMIF(Z134:Z154,G139,AB134:AB154))</f>
        <v/>
      </c>
      <c r="Q139" s="564" t="str">
        <f>IF(AK133="","",O139-P139)</f>
        <v/>
      </c>
      <c r="R139" s="558" t="s">
        <v>1727</v>
      </c>
      <c r="S139" s="615"/>
      <c r="T139" s="619"/>
      <c r="U139" s="1503"/>
      <c r="V139" s="461" t="str">
        <f>IF(G139="","",G139)</f>
        <v>A6</v>
      </c>
      <c r="W139" s="450"/>
      <c r="X139" s="462" t="s">
        <v>769</v>
      </c>
      <c r="Y139" s="450"/>
      <c r="Z139" s="463" t="str">
        <f>IF(G140="","",G140)</f>
        <v>A7</v>
      </c>
      <c r="AA139" s="839"/>
      <c r="AB139" s="1459">
        <f t="shared" si="90"/>
        <v>0</v>
      </c>
      <c r="AC139" s="1460" t="str">
        <f t="shared" si="91"/>
        <v>-</v>
      </c>
      <c r="AD139" s="1459">
        <f t="shared" si="92"/>
        <v>0</v>
      </c>
      <c r="AE139" s="968" t="str">
        <f t="shared" si="96"/>
        <v/>
      </c>
      <c r="AF139" s="968" t="str">
        <f t="shared" si="97"/>
        <v/>
      </c>
      <c r="AG139" s="968" t="str">
        <f t="shared" si="98"/>
        <v/>
      </c>
      <c r="AH139" s="968" t="str">
        <f t="shared" si="99"/>
        <v/>
      </c>
      <c r="AI139" s="968" t="str">
        <f t="shared" si="100"/>
        <v/>
      </c>
      <c r="AJ139" s="968"/>
      <c r="AK139" s="968" t="str">
        <f>IF(AK133="","",SMALL(C134:C140,6))</f>
        <v/>
      </c>
      <c r="AL139" s="270"/>
      <c r="AM139" s="270"/>
      <c r="AN139" s="536" t="str">
        <f>IF(AK133="","",INT(AK139/1000))</f>
        <v/>
      </c>
      <c r="AO139" s="537" t="str">
        <f>IF(AK133="",IF(HidePlayerFormulas,"","("&amp;G139&amp;")"),VLOOKUP(AK139,C134:Q140,5,FALSE))</f>
        <v/>
      </c>
      <c r="AP139" s="511" t="str">
        <f>VLOOKUP(AK139,C134:Q140,8,FALSE)</f>
        <v/>
      </c>
      <c r="AQ139" s="511" t="str">
        <f>VLOOKUP(AK139,C134:Q140,9,FALSE)</f>
        <v/>
      </c>
      <c r="AR139" s="511" t="str">
        <f>VLOOKUP(AK139,C134:Q140,10,FALSE)</f>
        <v/>
      </c>
      <c r="AS139" s="511" t="str">
        <f>VLOOKUP(AK139,C134:Q140,11,FALSE)</f>
        <v/>
      </c>
      <c r="AT139" s="511" t="str">
        <f>VLOOKUP(AK139,C134:Q140,12,FALSE)</f>
        <v/>
      </c>
      <c r="AU139" s="511" t="str">
        <f>VLOOKUP(AK139,C134:Q140,13,FALSE)</f>
        <v/>
      </c>
      <c r="AV139" s="511" t="str">
        <f>VLOOKUP(AK139,C134:Q140,14,FALSE)</f>
        <v/>
      </c>
      <c r="AW139" s="512" t="str">
        <f>VLOOKUP(AK139,C134:Q140,15,FALSE)</f>
        <v/>
      </c>
      <c r="AX139" s="520" t="str">
        <f>IF(W134="","",IF(AO139=V134,W134,IF(AO139=Z134,Y134,"")))</f>
        <v/>
      </c>
      <c r="AY139" s="521" t="str">
        <f>IF(W135="","",IF(AO139=V135,W135,IF(AO139=Z135,Y135,"")))</f>
        <v/>
      </c>
      <c r="AZ139" s="521" t="str">
        <f>IF(W136="","",IF(AO139=V136,W136,IF(AO139=Z136,Y136,"")))</f>
        <v/>
      </c>
      <c r="BA139" s="521" t="str">
        <f>IF(W137="","",IF(AO139=V137,W137,IF(AO139=Z137,Y137,"")))</f>
        <v/>
      </c>
      <c r="BB139" s="521" t="str">
        <f>IF(W138="","",IF(AO139=V138,W138,IF(AO139=Z138,Y138,"")))</f>
        <v/>
      </c>
      <c r="BC139" s="521" t="str">
        <f>IF(W139="","",IF(AO139=V139,W139,IF(AO139=Z139,Y139,"")))</f>
        <v/>
      </c>
      <c r="BD139" s="521" t="str">
        <f>IF(W140="","",IF(AO139=V140,W140,IF(AO139=Z140,Y140,"")))</f>
        <v/>
      </c>
      <c r="BE139" s="521" t="str">
        <f>IF(W141="","",IF(AO139=V141,W141,IF(AO139=Z141,Y141,"")))</f>
        <v/>
      </c>
      <c r="BF139" s="521" t="str">
        <f>IF(W142="","",IF(AO139=V142,W142,IF(AO139=Z142,Y142,"")))</f>
        <v/>
      </c>
      <c r="BG139" s="521" t="str">
        <f>IF(W143="","",IF(AO139=V143,W143,IF(AO139=Z143,Y143,"")))</f>
        <v/>
      </c>
      <c r="BH139" s="521" t="str">
        <f>IF(W145="","",IF(AO139=V145,W145,IF(AO139=Z145,Y145,"")))</f>
        <v/>
      </c>
      <c r="BI139" s="521" t="str">
        <f>IF(W144="","",IF(AO139=V144,W144,IF(AO139=Z144,Y144,"")))</f>
        <v/>
      </c>
      <c r="BJ139" s="521" t="str">
        <f>IF(W146="","",IF(AO139=V146,W146,IF(AO139=Z146,Y146,"")))</f>
        <v/>
      </c>
      <c r="BK139" s="521" t="str">
        <f>IF(W147="","",IF(AO139=V147,W147,IF(AO139=Z147,Y147,"")))</f>
        <v/>
      </c>
      <c r="BL139" s="521" t="str">
        <f>IF(W148="","",IF(AO139=V148,W148,IF(AO139=Z148,Y148,"")))</f>
        <v/>
      </c>
      <c r="BM139" s="521" t="str">
        <f>IF(W149="","",IF(AO139=V149,W149,IF(AO139=Z149,Y149,"")))</f>
        <v/>
      </c>
      <c r="BN139" s="521" t="str">
        <f>IF(W150="","",IF(AO139=V150,W150,IF(AO139=Z150,Y150,"")))</f>
        <v/>
      </c>
      <c r="BO139" s="521" t="str">
        <f>IF(W151="","",IF(AO139=V151,W151,IF(AO139=Z151,Y151,"")))</f>
        <v/>
      </c>
      <c r="BP139" s="521" t="str">
        <f>IF(W152="","",IF(AO139=V152,W152,IF(AO139=Z152,Y152,"")))</f>
        <v/>
      </c>
      <c r="BQ139" s="521" t="str">
        <f>IF(W153="","",IF(AO139=V153,W153,IF(AO139=Z153,Y153,"")))</f>
        <v/>
      </c>
      <c r="BR139" s="522" t="str">
        <f>IF(W154="","",IF(AO139=V154,W154,IF(AO139=Z154,Y154,"")))</f>
        <v/>
      </c>
      <c r="BS139" s="270"/>
      <c r="BT139" s="270"/>
      <c r="BU139" s="270"/>
      <c r="BV139" s="270"/>
      <c r="BW139" s="270"/>
      <c r="BX139" s="270"/>
      <c r="BY139" s="270"/>
      <c r="BZ139" s="1395" t="b">
        <f t="shared" si="93"/>
        <v>1</v>
      </c>
      <c r="CA139" s="1450" t="b">
        <f t="shared" si="94"/>
        <v>0</v>
      </c>
      <c r="CB139" s="1450" t="b">
        <f t="shared" si="95"/>
        <v>1</v>
      </c>
      <c r="CC139" s="270"/>
      <c r="CD139" s="270"/>
      <c r="CE139"/>
    </row>
    <row r="140" spans="1:83" ht="13.5" outlineLevel="1" thickBot="1" x14ac:dyDescent="0.25">
      <c r="A140" s="270"/>
      <c r="B140" s="588">
        <v>7</v>
      </c>
      <c r="C140" s="565" t="str">
        <f>IF(AK133="","",RANK(F140,F134:F140)*1000+ROW())</f>
        <v/>
      </c>
      <c r="D140" s="566" t="str">
        <f t="shared" si="86"/>
        <v/>
      </c>
      <c r="E140" s="566" t="str">
        <f>IF(L140="","",Nb_Diff_Part(D140,D134:D140,G140,G134:G140,AI134:AI154)*CritClassInd_DiffPart+Nb_Goal_Part(D140,D134:D140,G140,G134:G140,V134:Z154)*CritClassInd_GoalPart+Nb_Score_Part(D140,D134:D140,G140,G134:G140,V134:Z154)*CritClassInd_ScorePart)</f>
        <v/>
      </c>
      <c r="F140" s="567" t="str">
        <f t="shared" si="87"/>
        <v/>
      </c>
      <c r="G140" s="500" t="s">
        <v>909</v>
      </c>
      <c r="H140" s="503">
        <f t="shared" si="88"/>
        <v>0</v>
      </c>
      <c r="I140" s="504"/>
      <c r="J140" s="585" t="str">
        <f>IF(AK133="","",(L140*Points_Victoire)+M140*Points_Null)</f>
        <v/>
      </c>
      <c r="K140" s="586" t="str">
        <f t="shared" si="89"/>
        <v/>
      </c>
      <c r="L140" s="586" t="str">
        <f>IF(AK133="","",COUNTIF(AE134:AE154,G140))</f>
        <v/>
      </c>
      <c r="M140" s="586" t="str">
        <f>IF(AK133="","",COUNTIF(AF134:AG154,G140))</f>
        <v/>
      </c>
      <c r="N140" s="586" t="str">
        <f>IF(AK133="","",COUNTIF(AH134:AH154,G140))</f>
        <v/>
      </c>
      <c r="O140" s="586" t="str">
        <f>IF(AK133="","",SUMIF(V134:V154,G140,AB134:AB154)+SUMIF(Z134:Z154,G140,AD134:AD154))</f>
        <v/>
      </c>
      <c r="P140" s="586" t="str">
        <f>IF(AK133="","",SUMIF(V134:V154,G140,AD134:AD154)+SUMIF(Z134:Z154,G140,AB134:AB154))</f>
        <v/>
      </c>
      <c r="Q140" s="587" t="str">
        <f>IF(AK133="","",O140-P140)</f>
        <v/>
      </c>
      <c r="R140" s="558" t="s">
        <v>1728</v>
      </c>
      <c r="S140" s="611"/>
      <c r="T140" s="617"/>
      <c r="U140" s="1502"/>
      <c r="V140" s="455" t="str">
        <f>IF(G135="","",G135)</f>
        <v>A2</v>
      </c>
      <c r="W140" s="456"/>
      <c r="X140" s="457" t="s">
        <v>769</v>
      </c>
      <c r="Y140" s="456"/>
      <c r="Z140" s="458" t="str">
        <f>IF(G139="","",G139)</f>
        <v>A6</v>
      </c>
      <c r="AA140" s="839"/>
      <c r="AB140" s="1459">
        <f t="shared" si="90"/>
        <v>0</v>
      </c>
      <c r="AC140" s="1460" t="str">
        <f t="shared" si="91"/>
        <v>-</v>
      </c>
      <c r="AD140" s="1459">
        <f t="shared" si="92"/>
        <v>0</v>
      </c>
      <c r="AE140" s="968" t="str">
        <f t="shared" si="96"/>
        <v/>
      </c>
      <c r="AF140" s="968" t="str">
        <f t="shared" si="97"/>
        <v/>
      </c>
      <c r="AG140" s="968" t="str">
        <f t="shared" si="98"/>
        <v/>
      </c>
      <c r="AH140" s="968" t="str">
        <f t="shared" si="99"/>
        <v/>
      </c>
      <c r="AI140" s="968" t="str">
        <f t="shared" si="100"/>
        <v/>
      </c>
      <c r="AJ140" s="968"/>
      <c r="AK140" s="968" t="str">
        <f>IF(AK133="","",SMALL(C134:C140,7))</f>
        <v/>
      </c>
      <c r="AL140" s="270"/>
      <c r="AM140" s="270"/>
      <c r="AN140" s="538" t="str">
        <f>IF(AK133="","",INT(AK140/1000))</f>
        <v/>
      </c>
      <c r="AO140" s="539" t="str">
        <f>IF(AK133="",IF(HidePlayerFormulas,"","("&amp;G140&amp;")"),VLOOKUP(AK140,C134:Q140,5,FALSE))</f>
        <v/>
      </c>
      <c r="AP140" s="515" t="str">
        <f>VLOOKUP(AK140,C134:Q140,8,FALSE)</f>
        <v/>
      </c>
      <c r="AQ140" s="515" t="str">
        <f>VLOOKUP(AK140,C134:Q140,9,FALSE)</f>
        <v/>
      </c>
      <c r="AR140" s="515" t="str">
        <f>VLOOKUP(AK140,C134:Q140,10,FALSE)</f>
        <v/>
      </c>
      <c r="AS140" s="515" t="str">
        <f>VLOOKUP(AK140,C134:Q140,11,FALSE)</f>
        <v/>
      </c>
      <c r="AT140" s="515" t="str">
        <f>VLOOKUP(AK140,C134:Q140,12,FALSE)</f>
        <v/>
      </c>
      <c r="AU140" s="515" t="str">
        <f>VLOOKUP(AK140,C134:Q140,13,FALSE)</f>
        <v/>
      </c>
      <c r="AV140" s="515" t="str">
        <f>VLOOKUP(AK140,C134:Q140,14,FALSE)</f>
        <v/>
      </c>
      <c r="AW140" s="516" t="str">
        <f>VLOOKUP(AK140,C134:Q140,15,FALSE)</f>
        <v/>
      </c>
      <c r="AX140" s="523" t="str">
        <f>IF(W134="","",IF(AO140=V134,W134,IF(AO140=Z134,Y134,"")))</f>
        <v/>
      </c>
      <c r="AY140" s="524" t="str">
        <f>IF(W135="","",IF(AO140=V135,W135,IF(AO140=Z135,Y135,"")))</f>
        <v/>
      </c>
      <c r="AZ140" s="524" t="str">
        <f>IF(W136="","",IF(AO140=V136,W136,IF(AO140=Z136,Y136,"")))</f>
        <v/>
      </c>
      <c r="BA140" s="524" t="str">
        <f>IF(W137="","",IF(AO140=V137,W137,IF(AO140=Z137,Y137,"")))</f>
        <v/>
      </c>
      <c r="BB140" s="524" t="str">
        <f>IF(W138="","",IF(AO140=V138,W138,IF(AO140=Z138,Y138,"")))</f>
        <v/>
      </c>
      <c r="BC140" s="524" t="str">
        <f>IF(W139="","",IF(AO140=V139,W139,IF(AO140=Z139,Y139,"")))</f>
        <v/>
      </c>
      <c r="BD140" s="524" t="str">
        <f>IF(W140="","",IF(AO140=V140,W140,IF(AO140=Z140,Y140,"")))</f>
        <v/>
      </c>
      <c r="BE140" s="524" t="str">
        <f>IF(W141="","",IF(AO140=V141,W141,IF(AO140=Z141,Y141,"")))</f>
        <v/>
      </c>
      <c r="BF140" s="524" t="str">
        <f>IF(W142="","",IF(AO140=V142,W142,IF(AO140=Z142,Y142,"")))</f>
        <v/>
      </c>
      <c r="BG140" s="524" t="str">
        <f>IF(W143="","",IF(AO140=V143,W143,IF(AO140=Z143,Y143,"")))</f>
        <v/>
      </c>
      <c r="BH140" s="524" t="str">
        <f>IF(W145="","",IF(AO140=V145,W145,IF(AO140=Z145,Y145,"")))</f>
        <v/>
      </c>
      <c r="BI140" s="524" t="str">
        <f>IF(W144="","",IF(AO140=V144,W144,IF(AO140=Z144,Y144,"")))</f>
        <v/>
      </c>
      <c r="BJ140" s="524" t="str">
        <f>IF(W146="","",IF(AO140=V146,W146,IF(AO140=Z146,Y146,"")))</f>
        <v/>
      </c>
      <c r="BK140" s="524" t="str">
        <f>IF(W147="","",IF(AO140=V147,W147,IF(AO140=Z147,Y147,"")))</f>
        <v/>
      </c>
      <c r="BL140" s="524" t="str">
        <f>IF(W148="","",IF(AO140=V148,W148,IF(AO140=Z148,Y148,"")))</f>
        <v/>
      </c>
      <c r="BM140" s="524" t="str">
        <f>IF(W149="","",IF(AO140=V149,W149,IF(AO140=Z149,Y149,"")))</f>
        <v/>
      </c>
      <c r="BN140" s="524" t="str">
        <f>IF(W150="","",IF(AO140=V150,W150,IF(AO140=Z150,Y150,"")))</f>
        <v/>
      </c>
      <c r="BO140" s="524" t="str">
        <f>IF(W151="","",IF(AO140=V151,W151,IF(AO140=Z151,Y151,"")))</f>
        <v/>
      </c>
      <c r="BP140" s="524" t="str">
        <f>IF(W152="","",IF(AO140=V152,W152,IF(AO140=Z152,Y152,"")))</f>
        <v/>
      </c>
      <c r="BQ140" s="524" t="str">
        <f>IF(W153="","",IF(AO140=V153,W153,IF(AO140=Z153,Y153,"")))</f>
        <v/>
      </c>
      <c r="BR140" s="525" t="str">
        <f>IF(W154="","",IF(AO140=V154,W154,IF(AO140=Z154,Y154,"")))</f>
        <v/>
      </c>
      <c r="BS140" s="270"/>
      <c r="BT140" s="270"/>
      <c r="BU140" s="270"/>
      <c r="BV140" s="270"/>
      <c r="BW140" s="270"/>
      <c r="BX140" s="270"/>
      <c r="BY140" s="270"/>
      <c r="BZ140" s="1395" t="b">
        <f t="shared" si="93"/>
        <v>1</v>
      </c>
      <c r="CA140" s="1450" t="b">
        <f t="shared" si="94"/>
        <v>0</v>
      </c>
      <c r="CB140" s="1450" t="b">
        <f t="shared" si="95"/>
        <v>1</v>
      </c>
      <c r="CC140" s="270"/>
      <c r="CD140" s="270"/>
      <c r="CE140"/>
    </row>
    <row r="141" spans="1:83" outlineLevel="2" x14ac:dyDescent="0.2">
      <c r="A141" s="270"/>
      <c r="B141" s="271"/>
      <c r="C141" s="270"/>
      <c r="D141" s="270"/>
      <c r="E141" s="270"/>
      <c r="F141" s="270"/>
      <c r="G141" s="271"/>
      <c r="H141" s="271"/>
      <c r="I141" s="271"/>
      <c r="J141" s="270"/>
      <c r="K141" s="270"/>
      <c r="L141" s="270"/>
      <c r="M141" s="270"/>
      <c r="N141" s="270"/>
      <c r="O141" s="270"/>
      <c r="P141" s="270"/>
      <c r="Q141" s="270"/>
      <c r="R141" s="558" t="s">
        <v>1728</v>
      </c>
      <c r="S141" s="613"/>
      <c r="T141" s="618"/>
      <c r="U141" s="1504"/>
      <c r="V141" s="459" t="str">
        <f>IF(G136="","",G136)</f>
        <v>A3</v>
      </c>
      <c r="W141" s="272"/>
      <c r="X141" s="273" t="s">
        <v>769</v>
      </c>
      <c r="Y141" s="272"/>
      <c r="Z141" s="460" t="str">
        <f>IF(G138="","",G138)</f>
        <v>A5</v>
      </c>
      <c r="AA141" s="839"/>
      <c r="AB141" s="1459">
        <f t="shared" si="90"/>
        <v>0</v>
      </c>
      <c r="AC141" s="1460" t="str">
        <f t="shared" si="91"/>
        <v>-</v>
      </c>
      <c r="AD141" s="1459">
        <f t="shared" si="92"/>
        <v>0</v>
      </c>
      <c r="AE141" s="968" t="str">
        <f t="shared" si="96"/>
        <v/>
      </c>
      <c r="AF141" s="968" t="str">
        <f t="shared" si="97"/>
        <v/>
      </c>
      <c r="AG141" s="968" t="str">
        <f t="shared" si="98"/>
        <v/>
      </c>
      <c r="AH141" s="968" t="str">
        <f t="shared" si="99"/>
        <v/>
      </c>
      <c r="AI141" s="968" t="str">
        <f t="shared" si="100"/>
        <v/>
      </c>
      <c r="AJ141" s="968"/>
      <c r="AK141" s="968"/>
      <c r="AL141" s="270"/>
      <c r="AM141" s="270"/>
      <c r="AN141" s="575"/>
      <c r="AO141" s="270"/>
      <c r="AP141" s="271"/>
      <c r="AQ141" s="271"/>
      <c r="AR141" s="271"/>
      <c r="AS141" s="271"/>
      <c r="AT141" s="271"/>
      <c r="AU141" s="271"/>
      <c r="AV141" s="271"/>
      <c r="AW141" s="271"/>
      <c r="AX141" s="271"/>
      <c r="AY141" s="271"/>
      <c r="AZ141" s="271"/>
      <c r="BA141" s="271"/>
      <c r="BB141" s="271"/>
      <c r="BC141" s="271"/>
      <c r="BD141" s="271"/>
      <c r="BE141" s="271"/>
      <c r="BF141" s="271"/>
      <c r="BG141" s="271"/>
      <c r="BH141" s="271"/>
      <c r="BI141" s="271"/>
      <c r="BJ141" s="271"/>
      <c r="BK141" s="271"/>
      <c r="BL141" s="271"/>
      <c r="BM141" s="271"/>
      <c r="BN141" s="271"/>
      <c r="BO141" s="271"/>
      <c r="BP141" s="271"/>
      <c r="BQ141" s="271"/>
      <c r="BR141" s="271"/>
      <c r="BS141" s="271"/>
      <c r="BT141" s="271"/>
      <c r="BU141" s="271"/>
      <c r="BV141" s="271"/>
      <c r="BW141" s="271"/>
      <c r="BX141" s="271"/>
      <c r="BY141" s="271"/>
      <c r="BZ141" s="1395"/>
      <c r="CA141" s="1450"/>
      <c r="CB141" s="1450"/>
      <c r="CC141" s="270"/>
      <c r="CD141" s="270"/>
      <c r="CE141"/>
    </row>
    <row r="142" spans="1:83" ht="13.5" outlineLevel="2" thickBot="1" x14ac:dyDescent="0.25">
      <c r="A142" s="270"/>
      <c r="B142" s="271"/>
      <c r="C142" s="270"/>
      <c r="D142" s="270"/>
      <c r="E142" s="270"/>
      <c r="F142" s="270"/>
      <c r="G142" s="271"/>
      <c r="H142" s="271"/>
      <c r="I142" s="271"/>
      <c r="J142" s="270"/>
      <c r="K142" s="270"/>
      <c r="L142" s="270"/>
      <c r="M142" s="270"/>
      <c r="N142" s="270"/>
      <c r="O142" s="270"/>
      <c r="P142" s="270"/>
      <c r="Q142" s="270"/>
      <c r="R142" s="558" t="s">
        <v>1728</v>
      </c>
      <c r="S142" s="615"/>
      <c r="T142" s="619"/>
      <c r="U142" s="1503"/>
      <c r="V142" s="461" t="str">
        <f>IF(G140="","",G140)</f>
        <v>A7</v>
      </c>
      <c r="W142" s="450"/>
      <c r="X142" s="462" t="s">
        <v>769</v>
      </c>
      <c r="Y142" s="450"/>
      <c r="Z142" s="463" t="str">
        <f>IF(G134="","",G134)</f>
        <v>A1</v>
      </c>
      <c r="AA142" s="839"/>
      <c r="AB142" s="1459">
        <f t="shared" si="90"/>
        <v>0</v>
      </c>
      <c r="AC142" s="1460" t="str">
        <f t="shared" si="91"/>
        <v>-</v>
      </c>
      <c r="AD142" s="1459">
        <f t="shared" si="92"/>
        <v>0</v>
      </c>
      <c r="AE142" s="968" t="str">
        <f t="shared" si="96"/>
        <v/>
      </c>
      <c r="AF142" s="968" t="str">
        <f t="shared" si="97"/>
        <v/>
      </c>
      <c r="AG142" s="968" t="str">
        <f t="shared" si="98"/>
        <v/>
      </c>
      <c r="AH142" s="968" t="str">
        <f t="shared" si="99"/>
        <v/>
      </c>
      <c r="AI142" s="968" t="str">
        <f t="shared" si="100"/>
        <v/>
      </c>
      <c r="AJ142" s="968"/>
      <c r="AK142" s="968"/>
      <c r="AL142" s="270"/>
      <c r="AM142" s="270"/>
      <c r="AN142" s="575"/>
      <c r="AO142" s="270"/>
      <c r="AP142" s="271"/>
      <c r="AQ142" s="271"/>
      <c r="AR142" s="271"/>
      <c r="AS142" s="271"/>
      <c r="AT142" s="271"/>
      <c r="AU142" s="271"/>
      <c r="AV142" s="271"/>
      <c r="AW142" s="271"/>
      <c r="AX142" s="271"/>
      <c r="AY142" s="271"/>
      <c r="AZ142" s="271"/>
      <c r="BA142" s="271"/>
      <c r="BB142" s="271"/>
      <c r="BC142" s="271"/>
      <c r="BD142" s="271"/>
      <c r="BE142" s="271"/>
      <c r="BF142" s="271"/>
      <c r="BG142" s="271"/>
      <c r="BH142" s="271"/>
      <c r="BI142" s="271"/>
      <c r="BJ142" s="271"/>
      <c r="BK142" s="271"/>
      <c r="BL142" s="271"/>
      <c r="BM142" s="271"/>
      <c r="BN142" s="271"/>
      <c r="BO142" s="271"/>
      <c r="BP142" s="271"/>
      <c r="BQ142" s="271"/>
      <c r="BR142" s="271"/>
      <c r="BS142" s="271"/>
      <c r="BT142" s="271"/>
      <c r="BU142" s="271"/>
      <c r="BV142" s="271"/>
      <c r="BW142" s="271"/>
      <c r="BX142" s="271"/>
      <c r="BY142" s="271"/>
      <c r="BZ142" s="1395"/>
      <c r="CA142" s="1450"/>
      <c r="CB142" s="1450"/>
      <c r="CC142" s="270"/>
      <c r="CD142" s="270"/>
      <c r="CE142"/>
    </row>
    <row r="143" spans="1:83" outlineLevel="2" x14ac:dyDescent="0.2">
      <c r="A143" s="270"/>
      <c r="B143" s="271"/>
      <c r="C143" s="270"/>
      <c r="D143" s="270"/>
      <c r="E143" s="270"/>
      <c r="F143" s="270"/>
      <c r="G143" s="271"/>
      <c r="H143" s="271"/>
      <c r="I143" s="271"/>
      <c r="J143" s="270"/>
      <c r="K143" s="270"/>
      <c r="L143" s="270"/>
      <c r="M143" s="270"/>
      <c r="N143" s="270"/>
      <c r="O143" s="270"/>
      <c r="P143" s="270"/>
      <c r="Q143" s="270"/>
      <c r="R143" s="558" t="s">
        <v>1729</v>
      </c>
      <c r="S143" s="611"/>
      <c r="T143" s="617"/>
      <c r="U143" s="1502"/>
      <c r="V143" s="455" t="str">
        <f>IF(G134="","",G134)</f>
        <v>A1</v>
      </c>
      <c r="W143" s="456"/>
      <c r="X143" s="457" t="s">
        <v>769</v>
      </c>
      <c r="Y143" s="456"/>
      <c r="Z143" s="458" t="str">
        <f>IF(G135="","",G135)</f>
        <v>A2</v>
      </c>
      <c r="AA143" s="839"/>
      <c r="AB143" s="1459">
        <f t="shared" si="90"/>
        <v>0</v>
      </c>
      <c r="AC143" s="1460" t="str">
        <f t="shared" si="91"/>
        <v>-</v>
      </c>
      <c r="AD143" s="1459">
        <f t="shared" si="92"/>
        <v>0</v>
      </c>
      <c r="AE143" s="968" t="str">
        <f t="shared" si="96"/>
        <v/>
      </c>
      <c r="AF143" s="968" t="str">
        <f t="shared" si="97"/>
        <v/>
      </c>
      <c r="AG143" s="968" t="str">
        <f t="shared" si="98"/>
        <v/>
      </c>
      <c r="AH143" s="968" t="str">
        <f t="shared" si="99"/>
        <v/>
      </c>
      <c r="AI143" s="968" t="str">
        <f t="shared" si="100"/>
        <v/>
      </c>
      <c r="AJ143" s="968"/>
      <c r="AK143" s="968"/>
      <c r="AL143" s="270"/>
      <c r="AM143" s="270"/>
      <c r="AN143" s="575"/>
      <c r="AO143" s="270"/>
      <c r="AP143" s="271"/>
      <c r="AQ143" s="271"/>
      <c r="AR143" s="271"/>
      <c r="AS143" s="271"/>
      <c r="AT143" s="271"/>
      <c r="AU143" s="271"/>
      <c r="AV143" s="271"/>
      <c r="AW143" s="271"/>
      <c r="AX143" s="271"/>
      <c r="AY143" s="271"/>
      <c r="AZ143" s="271"/>
      <c r="BA143" s="271"/>
      <c r="BB143" s="271"/>
      <c r="BC143" s="271"/>
      <c r="BD143" s="271"/>
      <c r="BE143" s="271"/>
      <c r="BF143" s="271"/>
      <c r="BG143" s="271"/>
      <c r="BH143" s="271"/>
      <c r="BI143" s="271"/>
      <c r="BJ143" s="271"/>
      <c r="BK143" s="271"/>
      <c r="BL143" s="271"/>
      <c r="BM143" s="271"/>
      <c r="BN143" s="271"/>
      <c r="BO143" s="271"/>
      <c r="BP143" s="271"/>
      <c r="BQ143" s="271"/>
      <c r="BR143" s="271"/>
      <c r="BS143" s="271"/>
      <c r="BT143" s="271"/>
      <c r="BU143" s="271"/>
      <c r="BV143" s="271"/>
      <c r="BW143" s="271"/>
      <c r="BX143" s="271"/>
      <c r="BY143" s="271"/>
      <c r="BZ143" s="1395"/>
      <c r="CA143" s="1450"/>
      <c r="CB143" s="1450"/>
      <c r="CC143" s="270"/>
      <c r="CD143" s="270"/>
      <c r="CE143"/>
    </row>
    <row r="144" spans="1:83" outlineLevel="2" x14ac:dyDescent="0.2">
      <c r="A144" s="270"/>
      <c r="B144" s="271"/>
      <c r="C144" s="270"/>
      <c r="D144" s="270"/>
      <c r="E144" s="270"/>
      <c r="F144" s="270"/>
      <c r="G144" s="271"/>
      <c r="H144" s="271"/>
      <c r="I144" s="271"/>
      <c r="J144" s="270"/>
      <c r="K144" s="270"/>
      <c r="L144" s="270"/>
      <c r="M144" s="270"/>
      <c r="N144" s="270"/>
      <c r="O144" s="270"/>
      <c r="P144" s="270"/>
      <c r="Q144" s="270"/>
      <c r="R144" s="558" t="s">
        <v>1729</v>
      </c>
      <c r="S144" s="613"/>
      <c r="T144" s="618"/>
      <c r="U144" s="1504"/>
      <c r="V144" s="459" t="str">
        <f>IF(G136="","",G136)</f>
        <v>A3</v>
      </c>
      <c r="W144" s="272"/>
      <c r="X144" s="273" t="s">
        <v>769</v>
      </c>
      <c r="Y144" s="272"/>
      <c r="Z144" s="460" t="str">
        <f>IF(G140="","",G140)</f>
        <v>A7</v>
      </c>
      <c r="AA144" s="839"/>
      <c r="AB144" s="1459">
        <f>IF(MaxScore,MaxGoals(W144,Y144,MaxGoalsValue),IF(W144="","",W144))</f>
        <v>0</v>
      </c>
      <c r="AC144" s="1460" t="str">
        <f>IF(MaxScore,"-",IF(W144="","","-"))</f>
        <v>-</v>
      </c>
      <c r="AD144" s="1459">
        <f>IF(MaxScore,MaxGoals(Y144,W144,MaxGoalsValue),IF(Y144="","",Y144))</f>
        <v>0</v>
      </c>
      <c r="AE144" s="968" t="str">
        <f>IF(W144="","",IF(W144&gt;Y144,V144,IF(W144=Y144,"",Z144)))</f>
        <v/>
      </c>
      <c r="AF144" s="968" t="str">
        <f>IF(W144="","",IF(W144=Y144,V144,""))</f>
        <v/>
      </c>
      <c r="AG144" s="968" t="str">
        <f>IF(W144="","",IF(W144=Y144,Z144,""))</f>
        <v/>
      </c>
      <c r="AH144" s="968" t="str">
        <f>IF(W144="","",IF(W144&lt;Y144,V144,IF(W144=Y144,"",Z144)))</f>
        <v/>
      </c>
      <c r="AI144" s="968" t="str">
        <f>CONCATENATE(AE144,AH144)</f>
        <v/>
      </c>
      <c r="AJ144" s="968"/>
      <c r="AK144" s="968"/>
      <c r="AL144" s="270"/>
      <c r="AM144" s="270"/>
      <c r="AN144" s="575"/>
      <c r="AO144" s="270"/>
      <c r="AP144" s="271"/>
      <c r="AQ144" s="271"/>
      <c r="AR144" s="271"/>
      <c r="AS144" s="271"/>
      <c r="AT144" s="271"/>
      <c r="AU144" s="271"/>
      <c r="AV144" s="271"/>
      <c r="AW144" s="271"/>
      <c r="AX144" s="271"/>
      <c r="AY144" s="271"/>
      <c r="AZ144" s="271"/>
      <c r="BA144" s="271"/>
      <c r="BB144" s="271"/>
      <c r="BC144" s="271"/>
      <c r="BD144" s="271"/>
      <c r="BE144" s="271"/>
      <c r="BF144" s="271"/>
      <c r="BG144" s="271"/>
      <c r="BH144" s="271"/>
      <c r="BI144" s="271"/>
      <c r="BJ144" s="271"/>
      <c r="BK144" s="271"/>
      <c r="BL144" s="271"/>
      <c r="BM144" s="271"/>
      <c r="BN144" s="271"/>
      <c r="BO144" s="271"/>
      <c r="BP144" s="271"/>
      <c r="BQ144" s="271"/>
      <c r="BR144" s="271"/>
      <c r="BS144" s="271"/>
      <c r="BT144" s="271"/>
      <c r="BU144" s="271"/>
      <c r="BV144" s="271"/>
      <c r="BW144" s="271"/>
      <c r="BX144" s="271"/>
      <c r="BY144" s="271"/>
      <c r="BZ144" s="1395"/>
      <c r="CA144" s="1450"/>
      <c r="CB144" s="1450"/>
      <c r="CC144" s="270"/>
      <c r="CD144" s="270"/>
      <c r="CE144"/>
    </row>
    <row r="145" spans="1:83" ht="13.5" outlineLevel="2" thickBot="1" x14ac:dyDescent="0.25">
      <c r="A145" s="270"/>
      <c r="B145" s="271"/>
      <c r="C145" s="270"/>
      <c r="D145" s="270"/>
      <c r="E145" s="270"/>
      <c r="F145" s="270"/>
      <c r="G145" s="271"/>
      <c r="H145" s="271"/>
      <c r="I145" s="271"/>
      <c r="J145" s="270"/>
      <c r="K145" s="270"/>
      <c r="L145" s="270"/>
      <c r="M145" s="270"/>
      <c r="N145" s="270"/>
      <c r="O145" s="270"/>
      <c r="P145" s="270"/>
      <c r="Q145" s="270"/>
      <c r="R145" s="558" t="s">
        <v>1729</v>
      </c>
      <c r="S145" s="615"/>
      <c r="T145" s="619"/>
      <c r="U145" s="1503"/>
      <c r="V145" s="461" t="str">
        <f>IF(G137="","",G137)</f>
        <v>A4</v>
      </c>
      <c r="W145" s="450"/>
      <c r="X145" s="462" t="s">
        <v>769</v>
      </c>
      <c r="Y145" s="450"/>
      <c r="Z145" s="463" t="str">
        <f>IF(G139="","",G139)</f>
        <v>A6</v>
      </c>
      <c r="AA145" s="839"/>
      <c r="AB145" s="1459">
        <f>IF(MaxScore,MaxGoals(W145,Y145,MaxGoalsValue),IF(W145="","",W145))</f>
        <v>0</v>
      </c>
      <c r="AC145" s="1460" t="str">
        <f>IF(MaxScore,"-",IF(W145="","","-"))</f>
        <v>-</v>
      </c>
      <c r="AD145" s="1459">
        <f>IF(MaxScore,MaxGoals(Y145,W145,MaxGoalsValue),IF(Y145="","",Y145))</f>
        <v>0</v>
      </c>
      <c r="AE145" s="968" t="str">
        <f>IF(W145="","",IF(W145&gt;Y145,V145,IF(W145=Y145,"",Z145)))</f>
        <v/>
      </c>
      <c r="AF145" s="968" t="str">
        <f>IF(W145="","",IF(W145=Y145,V145,""))</f>
        <v/>
      </c>
      <c r="AG145" s="968" t="str">
        <f>IF(W145="","",IF(W145=Y145,Z145,""))</f>
        <v/>
      </c>
      <c r="AH145" s="968" t="str">
        <f>IF(W145="","",IF(W145&lt;Y145,V145,IF(W145=Y145,"",Z145)))</f>
        <v/>
      </c>
      <c r="AI145" s="968" t="str">
        <f>CONCATENATE(AE145,AH145)</f>
        <v/>
      </c>
      <c r="AJ145" s="968"/>
      <c r="AK145" s="968"/>
      <c r="AL145" s="270"/>
      <c r="AM145" s="270"/>
      <c r="AN145" s="575"/>
      <c r="AO145" s="270"/>
      <c r="AP145" s="271"/>
      <c r="AQ145" s="271"/>
      <c r="AR145" s="271"/>
      <c r="AS145" s="271"/>
      <c r="AT145" s="271"/>
      <c r="AU145" s="271"/>
      <c r="AV145" s="271"/>
      <c r="AW145" s="271"/>
      <c r="AX145" s="271"/>
      <c r="AY145" s="271"/>
      <c r="AZ145" s="271"/>
      <c r="BA145" s="271"/>
      <c r="BB145" s="271"/>
      <c r="BC145" s="271"/>
      <c r="BD145" s="271"/>
      <c r="BE145" s="271"/>
      <c r="BF145" s="271"/>
      <c r="BG145" s="271"/>
      <c r="BH145" s="271"/>
      <c r="BI145" s="271"/>
      <c r="BJ145" s="271"/>
      <c r="BK145" s="271"/>
      <c r="BL145" s="271"/>
      <c r="BM145" s="271"/>
      <c r="BN145" s="271"/>
      <c r="BO145" s="271"/>
      <c r="BP145" s="271"/>
      <c r="BQ145" s="271"/>
      <c r="BR145" s="271"/>
      <c r="BS145" s="271"/>
      <c r="BT145" s="271"/>
      <c r="BU145" s="271"/>
      <c r="BV145" s="271"/>
      <c r="BW145" s="271"/>
      <c r="BX145" s="271"/>
      <c r="BY145" s="271"/>
      <c r="BZ145" s="1395"/>
      <c r="CA145" s="1450"/>
      <c r="CB145" s="1450"/>
      <c r="CC145" s="270"/>
      <c r="CD145" s="270"/>
      <c r="CE145"/>
    </row>
    <row r="146" spans="1:83" outlineLevel="2" x14ac:dyDescent="0.2">
      <c r="A146" s="270"/>
      <c r="B146" s="271"/>
      <c r="C146" s="270"/>
      <c r="D146" s="270"/>
      <c r="E146" s="270"/>
      <c r="F146" s="270"/>
      <c r="G146" s="271"/>
      <c r="H146" s="271"/>
      <c r="I146" s="271"/>
      <c r="J146" s="270"/>
      <c r="K146" s="270"/>
      <c r="L146" s="270"/>
      <c r="M146" s="270"/>
      <c r="N146" s="270"/>
      <c r="O146" s="270"/>
      <c r="P146" s="270"/>
      <c r="Q146" s="270"/>
      <c r="R146" s="558" t="s">
        <v>1730</v>
      </c>
      <c r="S146" s="611"/>
      <c r="T146" s="617"/>
      <c r="U146" s="1502"/>
      <c r="V146" s="455" t="str">
        <f>IF(G135="","",G135)</f>
        <v>A2</v>
      </c>
      <c r="W146" s="456"/>
      <c r="X146" s="457" t="s">
        <v>769</v>
      </c>
      <c r="Y146" s="456"/>
      <c r="Z146" s="458" t="str">
        <f>IF(G136="","",G136)</f>
        <v>A3</v>
      </c>
      <c r="AA146" s="839"/>
      <c r="AB146" s="1459">
        <f t="shared" si="90"/>
        <v>0</v>
      </c>
      <c r="AC146" s="1460" t="str">
        <f t="shared" si="91"/>
        <v>-</v>
      </c>
      <c r="AD146" s="1459">
        <f t="shared" si="92"/>
        <v>0</v>
      </c>
      <c r="AE146" s="968" t="str">
        <f t="shared" si="96"/>
        <v/>
      </c>
      <c r="AF146" s="968" t="str">
        <f t="shared" si="97"/>
        <v/>
      </c>
      <c r="AG146" s="968" t="str">
        <f t="shared" si="98"/>
        <v/>
      </c>
      <c r="AH146" s="968" t="str">
        <f t="shared" si="99"/>
        <v/>
      </c>
      <c r="AI146" s="968" t="str">
        <f t="shared" si="100"/>
        <v/>
      </c>
      <c r="AJ146" s="968"/>
      <c r="AK146" s="968"/>
      <c r="AL146" s="270"/>
      <c r="AM146" s="270"/>
      <c r="AN146" s="575"/>
      <c r="AO146" s="270"/>
      <c r="AP146" s="271"/>
      <c r="AQ146" s="271"/>
      <c r="AR146" s="271"/>
      <c r="AS146" s="271"/>
      <c r="AT146" s="271"/>
      <c r="AU146" s="271"/>
      <c r="AV146" s="271"/>
      <c r="AW146" s="271"/>
      <c r="AX146" s="271"/>
      <c r="AY146" s="271"/>
      <c r="AZ146" s="271"/>
      <c r="BA146" s="271"/>
      <c r="BB146" s="271"/>
      <c r="BC146" s="271"/>
      <c r="BD146" s="271"/>
      <c r="BE146" s="271"/>
      <c r="BF146" s="271"/>
      <c r="BG146" s="271"/>
      <c r="BH146" s="271"/>
      <c r="BI146" s="271"/>
      <c r="BJ146" s="271"/>
      <c r="BK146" s="271"/>
      <c r="BL146" s="271"/>
      <c r="BM146" s="271"/>
      <c r="BN146" s="271"/>
      <c r="BO146" s="271"/>
      <c r="BP146" s="271"/>
      <c r="BQ146" s="271"/>
      <c r="BR146" s="271"/>
      <c r="BS146" s="271"/>
      <c r="BT146" s="271"/>
      <c r="BU146" s="271"/>
      <c r="BV146" s="271"/>
      <c r="BW146" s="271"/>
      <c r="BX146" s="271"/>
      <c r="BY146" s="271"/>
      <c r="BZ146" s="1395"/>
      <c r="CA146" s="1450"/>
      <c r="CB146" s="1450"/>
      <c r="CC146" s="270"/>
      <c r="CD146" s="270"/>
      <c r="CE146"/>
    </row>
    <row r="147" spans="1:83" outlineLevel="2" x14ac:dyDescent="0.2">
      <c r="A147" s="270"/>
      <c r="B147" s="271"/>
      <c r="C147" s="270"/>
      <c r="D147" s="270"/>
      <c r="E147" s="270"/>
      <c r="F147" s="270"/>
      <c r="G147" s="271"/>
      <c r="H147" s="271"/>
      <c r="I147" s="271"/>
      <c r="J147" s="270"/>
      <c r="K147" s="270"/>
      <c r="L147" s="270"/>
      <c r="M147" s="270"/>
      <c r="N147" s="270"/>
      <c r="O147" s="270"/>
      <c r="P147" s="270"/>
      <c r="Q147" s="270"/>
      <c r="R147" s="558" t="s">
        <v>1730</v>
      </c>
      <c r="S147" s="613"/>
      <c r="T147" s="618"/>
      <c r="U147" s="1504"/>
      <c r="V147" s="459" t="str">
        <f>IF(G137="","",G137)</f>
        <v>A4</v>
      </c>
      <c r="W147" s="272"/>
      <c r="X147" s="273" t="s">
        <v>769</v>
      </c>
      <c r="Y147" s="272"/>
      <c r="Z147" s="460" t="str">
        <f>IF(G134="","",G134)</f>
        <v>A1</v>
      </c>
      <c r="AA147" s="839"/>
      <c r="AB147" s="1459">
        <f t="shared" si="90"/>
        <v>0</v>
      </c>
      <c r="AC147" s="1460" t="str">
        <f t="shared" si="91"/>
        <v>-</v>
      </c>
      <c r="AD147" s="1459">
        <f t="shared" si="92"/>
        <v>0</v>
      </c>
      <c r="AE147" s="968" t="str">
        <f t="shared" si="96"/>
        <v/>
      </c>
      <c r="AF147" s="968" t="str">
        <f t="shared" si="97"/>
        <v/>
      </c>
      <c r="AG147" s="968" t="str">
        <f t="shared" si="98"/>
        <v/>
      </c>
      <c r="AH147" s="968" t="str">
        <f t="shared" si="99"/>
        <v/>
      </c>
      <c r="AI147" s="968" t="str">
        <f t="shared" si="100"/>
        <v/>
      </c>
      <c r="AJ147" s="968"/>
      <c r="AK147" s="968"/>
      <c r="AL147" s="270"/>
      <c r="AM147" s="270"/>
      <c r="AN147" s="575"/>
      <c r="AO147" s="270"/>
      <c r="AP147" s="271"/>
      <c r="AQ147" s="271"/>
      <c r="AR147" s="271"/>
      <c r="AS147" s="271"/>
      <c r="AT147" s="271"/>
      <c r="AU147" s="271"/>
      <c r="AV147" s="271"/>
      <c r="AW147" s="271"/>
      <c r="AX147" s="271"/>
      <c r="AY147" s="271"/>
      <c r="AZ147" s="271"/>
      <c r="BA147" s="271"/>
      <c r="BB147" s="271"/>
      <c r="BC147" s="271"/>
      <c r="BD147" s="271"/>
      <c r="BE147" s="271"/>
      <c r="BF147" s="271"/>
      <c r="BG147" s="271"/>
      <c r="BH147" s="271"/>
      <c r="BI147" s="271"/>
      <c r="BJ147" s="271"/>
      <c r="BK147" s="271"/>
      <c r="BL147" s="271"/>
      <c r="BM147" s="271"/>
      <c r="BN147" s="271"/>
      <c r="BO147" s="271"/>
      <c r="BP147" s="271"/>
      <c r="BQ147" s="271"/>
      <c r="BR147" s="271"/>
      <c r="BS147" s="271"/>
      <c r="BT147" s="271"/>
      <c r="BU147" s="271"/>
      <c r="BV147" s="271"/>
      <c r="BW147" s="271"/>
      <c r="BX147" s="271"/>
      <c r="BY147" s="271"/>
      <c r="BZ147" s="1395"/>
      <c r="CA147" s="1450"/>
      <c r="CB147" s="1450"/>
      <c r="CC147" s="270"/>
      <c r="CD147" s="270"/>
      <c r="CE147"/>
    </row>
    <row r="148" spans="1:83" ht="13.5" outlineLevel="2" thickBot="1" x14ac:dyDescent="0.25">
      <c r="A148" s="270"/>
      <c r="B148" s="271"/>
      <c r="C148" s="270"/>
      <c r="D148" s="270"/>
      <c r="E148" s="270"/>
      <c r="F148" s="270"/>
      <c r="G148" s="271"/>
      <c r="H148" s="271"/>
      <c r="I148" s="271"/>
      <c r="J148" s="270"/>
      <c r="K148" s="270"/>
      <c r="L148" s="270"/>
      <c r="M148" s="270"/>
      <c r="N148" s="270"/>
      <c r="O148" s="270"/>
      <c r="P148" s="270"/>
      <c r="Q148" s="270"/>
      <c r="R148" s="558" t="s">
        <v>1730</v>
      </c>
      <c r="S148" s="615"/>
      <c r="T148" s="619"/>
      <c r="U148" s="1503"/>
      <c r="V148" s="461" t="str">
        <f>IF(G140="","",G140)</f>
        <v>A7</v>
      </c>
      <c r="W148" s="450"/>
      <c r="X148" s="462" t="s">
        <v>769</v>
      </c>
      <c r="Y148" s="450"/>
      <c r="Z148" s="463" t="str">
        <f>IF(G138="","",G138)</f>
        <v>A5</v>
      </c>
      <c r="AA148" s="839"/>
      <c r="AB148" s="1459">
        <f t="shared" si="90"/>
        <v>0</v>
      </c>
      <c r="AC148" s="1460" t="str">
        <f t="shared" si="91"/>
        <v>-</v>
      </c>
      <c r="AD148" s="1459">
        <f t="shared" si="92"/>
        <v>0</v>
      </c>
      <c r="AE148" s="968" t="str">
        <f t="shared" si="96"/>
        <v/>
      </c>
      <c r="AF148" s="968" t="str">
        <f t="shared" si="97"/>
        <v/>
      </c>
      <c r="AG148" s="968" t="str">
        <f t="shared" si="98"/>
        <v/>
      </c>
      <c r="AH148" s="968" t="str">
        <f t="shared" si="99"/>
        <v/>
      </c>
      <c r="AI148" s="968" t="str">
        <f t="shared" si="100"/>
        <v/>
      </c>
      <c r="AJ148" s="968"/>
      <c r="AK148" s="968"/>
      <c r="AL148" s="270"/>
      <c r="AM148" s="270"/>
      <c r="AN148" s="575"/>
      <c r="AO148" s="270"/>
      <c r="AP148" s="271"/>
      <c r="AQ148" s="271"/>
      <c r="AR148" s="271"/>
      <c r="AS148" s="271"/>
      <c r="AT148" s="271"/>
      <c r="AU148" s="271"/>
      <c r="AV148" s="271"/>
      <c r="AW148" s="271"/>
      <c r="AX148" s="271"/>
      <c r="AY148" s="271"/>
      <c r="AZ148" s="271"/>
      <c r="BA148" s="271"/>
      <c r="BB148" s="271"/>
      <c r="BC148" s="271"/>
      <c r="BD148" s="271"/>
      <c r="BE148" s="271"/>
      <c r="BF148" s="271"/>
      <c r="BG148" s="271"/>
      <c r="BH148" s="271"/>
      <c r="BI148" s="271"/>
      <c r="BJ148" s="271"/>
      <c r="BK148" s="271"/>
      <c r="BL148" s="271"/>
      <c r="BM148" s="271"/>
      <c r="BN148" s="271"/>
      <c r="BO148" s="271"/>
      <c r="BP148" s="271"/>
      <c r="BQ148" s="271"/>
      <c r="BR148" s="271"/>
      <c r="BS148" s="271"/>
      <c r="BT148" s="271"/>
      <c r="BU148" s="271"/>
      <c r="BV148" s="271"/>
      <c r="BW148" s="271"/>
      <c r="BX148" s="271"/>
      <c r="BY148" s="271"/>
      <c r="BZ148" s="1395"/>
      <c r="CA148" s="1450"/>
      <c r="CB148" s="1450"/>
      <c r="CC148" s="270"/>
      <c r="CD148" s="270"/>
      <c r="CE148"/>
    </row>
    <row r="149" spans="1:83" outlineLevel="2" x14ac:dyDescent="0.2">
      <c r="A149" s="270"/>
      <c r="B149" s="271"/>
      <c r="C149" s="270"/>
      <c r="D149" s="270"/>
      <c r="E149" s="270"/>
      <c r="F149" s="270"/>
      <c r="G149" s="271"/>
      <c r="H149" s="271"/>
      <c r="I149" s="271"/>
      <c r="J149" s="270"/>
      <c r="K149" s="270"/>
      <c r="L149" s="270"/>
      <c r="M149" s="270"/>
      <c r="N149" s="270"/>
      <c r="O149" s="270"/>
      <c r="P149" s="270"/>
      <c r="Q149" s="270"/>
      <c r="R149" s="558" t="s">
        <v>1731</v>
      </c>
      <c r="S149" s="611"/>
      <c r="T149" s="617"/>
      <c r="U149" s="1502"/>
      <c r="V149" s="455" t="str">
        <f>IF(G136="","",G136)</f>
        <v>A3</v>
      </c>
      <c r="W149" s="456"/>
      <c r="X149" s="457" t="s">
        <v>769</v>
      </c>
      <c r="Y149" s="456"/>
      <c r="Z149" s="458" t="str">
        <f>IF(G137="","",G137)</f>
        <v>A4</v>
      </c>
      <c r="AA149" s="839"/>
      <c r="AB149" s="1459">
        <f t="shared" si="90"/>
        <v>0</v>
      </c>
      <c r="AC149" s="1460" t="str">
        <f t="shared" si="91"/>
        <v>-</v>
      </c>
      <c r="AD149" s="1459">
        <f t="shared" si="92"/>
        <v>0</v>
      </c>
      <c r="AE149" s="968" t="str">
        <f t="shared" si="96"/>
        <v/>
      </c>
      <c r="AF149" s="968" t="str">
        <f t="shared" si="97"/>
        <v/>
      </c>
      <c r="AG149" s="968" t="str">
        <f t="shared" si="98"/>
        <v/>
      </c>
      <c r="AH149" s="968" t="str">
        <f t="shared" si="99"/>
        <v/>
      </c>
      <c r="AI149" s="968" t="str">
        <f t="shared" si="100"/>
        <v/>
      </c>
      <c r="AJ149" s="968"/>
      <c r="AK149" s="968"/>
      <c r="AL149" s="270"/>
      <c r="AM149" s="270"/>
      <c r="AN149" s="575"/>
      <c r="AO149" s="270"/>
      <c r="AP149" s="271"/>
      <c r="AQ149" s="271"/>
      <c r="AR149" s="271"/>
      <c r="AS149" s="271"/>
      <c r="AT149" s="271"/>
      <c r="AU149" s="271"/>
      <c r="AV149" s="271"/>
      <c r="AW149" s="271"/>
      <c r="AX149" s="271"/>
      <c r="AY149" s="271"/>
      <c r="AZ149" s="271"/>
      <c r="BA149" s="271"/>
      <c r="BB149" s="271"/>
      <c r="BC149" s="271"/>
      <c r="BD149" s="271"/>
      <c r="BE149" s="271"/>
      <c r="BF149" s="271"/>
      <c r="BG149" s="271"/>
      <c r="BH149" s="271"/>
      <c r="BI149" s="271"/>
      <c r="BJ149" s="271"/>
      <c r="BK149" s="271"/>
      <c r="BL149" s="271"/>
      <c r="BM149" s="271"/>
      <c r="BN149" s="271"/>
      <c r="BO149" s="271"/>
      <c r="BP149" s="271"/>
      <c r="BQ149" s="271"/>
      <c r="BR149" s="271"/>
      <c r="BS149" s="271"/>
      <c r="BT149" s="271"/>
      <c r="BU149" s="271"/>
      <c r="BV149" s="271"/>
      <c r="BW149" s="271"/>
      <c r="BX149" s="271"/>
      <c r="BY149" s="271"/>
      <c r="BZ149" s="1395"/>
      <c r="CA149" s="1450"/>
      <c r="CB149" s="1450"/>
      <c r="CC149" s="270"/>
      <c r="CD149" s="270"/>
      <c r="CE149"/>
    </row>
    <row r="150" spans="1:83" outlineLevel="2" x14ac:dyDescent="0.2">
      <c r="A150" s="270"/>
      <c r="B150" s="271"/>
      <c r="C150" s="270"/>
      <c r="D150" s="270"/>
      <c r="E150" s="270"/>
      <c r="F150" s="270"/>
      <c r="G150" s="271"/>
      <c r="H150" s="271"/>
      <c r="I150" s="271"/>
      <c r="J150" s="270"/>
      <c r="K150" s="270"/>
      <c r="L150" s="270"/>
      <c r="M150" s="270"/>
      <c r="N150" s="270"/>
      <c r="O150" s="270"/>
      <c r="P150" s="270"/>
      <c r="Q150" s="270"/>
      <c r="R150" s="558" t="s">
        <v>1731</v>
      </c>
      <c r="S150" s="613"/>
      <c r="T150" s="618"/>
      <c r="U150" s="1504"/>
      <c r="V150" s="459" t="str">
        <f>IF(G138="","",G138)</f>
        <v>A5</v>
      </c>
      <c r="W150" s="272"/>
      <c r="X150" s="273" t="s">
        <v>769</v>
      </c>
      <c r="Y150" s="272"/>
      <c r="Z150" s="460" t="str">
        <f>IF(G135="","",G135)</f>
        <v>A2</v>
      </c>
      <c r="AA150" s="839"/>
      <c r="AB150" s="1459">
        <f t="shared" si="90"/>
        <v>0</v>
      </c>
      <c r="AC150" s="1460" t="str">
        <f t="shared" si="91"/>
        <v>-</v>
      </c>
      <c r="AD150" s="1459">
        <f t="shared" si="92"/>
        <v>0</v>
      </c>
      <c r="AE150" s="968" t="str">
        <f t="shared" si="96"/>
        <v/>
      </c>
      <c r="AF150" s="968" t="str">
        <f t="shared" si="97"/>
        <v/>
      </c>
      <c r="AG150" s="968" t="str">
        <f t="shared" si="98"/>
        <v/>
      </c>
      <c r="AH150" s="968" t="str">
        <f t="shared" si="99"/>
        <v/>
      </c>
      <c r="AI150" s="968" t="str">
        <f t="shared" si="100"/>
        <v/>
      </c>
      <c r="AJ150" s="968"/>
      <c r="AK150" s="968"/>
      <c r="AL150" s="270"/>
      <c r="AM150" s="270"/>
      <c r="AN150" s="575"/>
      <c r="AO150" s="270"/>
      <c r="AP150" s="271"/>
      <c r="AQ150" s="271"/>
      <c r="AR150" s="271"/>
      <c r="AS150" s="271"/>
      <c r="AT150" s="271"/>
      <c r="AU150" s="271"/>
      <c r="AV150" s="271"/>
      <c r="AW150" s="271"/>
      <c r="AX150" s="271"/>
      <c r="AY150" s="271"/>
      <c r="AZ150" s="271"/>
      <c r="BA150" s="271"/>
      <c r="BB150" s="271"/>
      <c r="BC150" s="271"/>
      <c r="BD150" s="271"/>
      <c r="BE150" s="271"/>
      <c r="BF150" s="271"/>
      <c r="BG150" s="271"/>
      <c r="BH150" s="271"/>
      <c r="BI150" s="271"/>
      <c r="BJ150" s="271"/>
      <c r="BK150" s="271"/>
      <c r="BL150" s="271"/>
      <c r="BM150" s="271"/>
      <c r="BN150" s="271"/>
      <c r="BO150" s="271"/>
      <c r="BP150" s="271"/>
      <c r="BQ150" s="271"/>
      <c r="BR150" s="271"/>
      <c r="BS150" s="271"/>
      <c r="BT150" s="271"/>
      <c r="BU150" s="271"/>
      <c r="BV150" s="271"/>
      <c r="BW150" s="271"/>
      <c r="BX150" s="271"/>
      <c r="BY150" s="271"/>
      <c r="BZ150" s="1395"/>
      <c r="CA150" s="1450"/>
      <c r="CB150" s="1450"/>
      <c r="CC150" s="270"/>
      <c r="CD150" s="270"/>
      <c r="CE150"/>
    </row>
    <row r="151" spans="1:83" ht="13.5" outlineLevel="2" thickBot="1" x14ac:dyDescent="0.25">
      <c r="A151" s="270"/>
      <c r="B151" s="271"/>
      <c r="C151" s="270"/>
      <c r="D151" s="270"/>
      <c r="E151" s="270"/>
      <c r="F151" s="270"/>
      <c r="G151" s="271"/>
      <c r="H151" s="271"/>
      <c r="I151" s="271"/>
      <c r="J151" s="270"/>
      <c r="K151" s="270"/>
      <c r="L151" s="270"/>
      <c r="M151" s="270"/>
      <c r="N151" s="270"/>
      <c r="O151" s="270"/>
      <c r="P151" s="270"/>
      <c r="Q151" s="270"/>
      <c r="R151" s="558" t="s">
        <v>1731</v>
      </c>
      <c r="S151" s="615"/>
      <c r="T151" s="619"/>
      <c r="U151" s="1503"/>
      <c r="V151" s="461" t="str">
        <f>IF(G139="","",G139)</f>
        <v>A6</v>
      </c>
      <c r="W151" s="450"/>
      <c r="X151" s="462" t="s">
        <v>769</v>
      </c>
      <c r="Y151" s="450"/>
      <c r="Z151" s="463" t="str">
        <f>IF(G134="","",G134)</f>
        <v>A1</v>
      </c>
      <c r="AA151" s="839"/>
      <c r="AB151" s="1459">
        <f t="shared" si="90"/>
        <v>0</v>
      </c>
      <c r="AC151" s="1460" t="str">
        <f t="shared" si="91"/>
        <v>-</v>
      </c>
      <c r="AD151" s="1459">
        <f t="shared" si="92"/>
        <v>0</v>
      </c>
      <c r="AE151" s="968" t="str">
        <f t="shared" si="96"/>
        <v/>
      </c>
      <c r="AF151" s="968" t="str">
        <f t="shared" si="97"/>
        <v/>
      </c>
      <c r="AG151" s="968" t="str">
        <f t="shared" si="98"/>
        <v/>
      </c>
      <c r="AH151" s="968" t="str">
        <f t="shared" si="99"/>
        <v/>
      </c>
      <c r="AI151" s="968" t="str">
        <f t="shared" si="100"/>
        <v/>
      </c>
      <c r="AJ151" s="968"/>
      <c r="AK151" s="968"/>
      <c r="AL151" s="270"/>
      <c r="AM151" s="270"/>
      <c r="AN151" s="575"/>
      <c r="AO151" s="270"/>
      <c r="AP151" s="271"/>
      <c r="AQ151" s="271"/>
      <c r="AR151" s="271"/>
      <c r="AS151" s="271"/>
      <c r="AT151" s="271"/>
      <c r="AU151" s="271"/>
      <c r="AV151" s="271"/>
      <c r="AW151" s="271"/>
      <c r="AX151" s="271"/>
      <c r="AY151" s="271"/>
      <c r="AZ151" s="271"/>
      <c r="BA151" s="271"/>
      <c r="BB151" s="271"/>
      <c r="BC151" s="271"/>
      <c r="BD151" s="271"/>
      <c r="BE151" s="271"/>
      <c r="BF151" s="271"/>
      <c r="BG151" s="271"/>
      <c r="BH151" s="271"/>
      <c r="BI151" s="271"/>
      <c r="BJ151" s="271"/>
      <c r="BK151" s="271"/>
      <c r="BL151" s="271"/>
      <c r="BM151" s="271"/>
      <c r="BN151" s="271"/>
      <c r="BO151" s="271"/>
      <c r="BP151" s="271"/>
      <c r="BQ151" s="271"/>
      <c r="BR151" s="271"/>
      <c r="BS151" s="271"/>
      <c r="BT151" s="271"/>
      <c r="BU151" s="271"/>
      <c r="BV151" s="271"/>
      <c r="BW151" s="271"/>
      <c r="BX151" s="271"/>
      <c r="BY151" s="271"/>
      <c r="BZ151" s="1395"/>
      <c r="CA151" s="1450"/>
      <c r="CB151" s="1450"/>
      <c r="CC151" s="270"/>
      <c r="CD151" s="270"/>
      <c r="CE151"/>
    </row>
    <row r="152" spans="1:83" outlineLevel="2" x14ac:dyDescent="0.2">
      <c r="A152" s="270"/>
      <c r="B152" s="271"/>
      <c r="C152" s="270"/>
      <c r="D152" s="270"/>
      <c r="E152" s="270"/>
      <c r="F152" s="270"/>
      <c r="G152" s="271"/>
      <c r="H152" s="271"/>
      <c r="I152" s="271"/>
      <c r="J152" s="270"/>
      <c r="K152" s="270"/>
      <c r="L152" s="270"/>
      <c r="M152" s="270"/>
      <c r="N152" s="270"/>
      <c r="O152" s="270"/>
      <c r="P152" s="270"/>
      <c r="Q152" s="270"/>
      <c r="R152" s="558" t="s">
        <v>1740</v>
      </c>
      <c r="S152" s="611"/>
      <c r="T152" s="617"/>
      <c r="U152" s="1502"/>
      <c r="V152" s="455" t="str">
        <f>IF(G138="","",G138)</f>
        <v>A5</v>
      </c>
      <c r="W152" s="456"/>
      <c r="X152" s="457" t="s">
        <v>769</v>
      </c>
      <c r="Y152" s="456"/>
      <c r="Z152" s="458" t="str">
        <f>IF(G137="","",G137)</f>
        <v>A4</v>
      </c>
      <c r="AA152" s="839"/>
      <c r="AB152" s="1459">
        <f t="shared" si="90"/>
        <v>0</v>
      </c>
      <c r="AC152" s="1460" t="str">
        <f t="shared" si="91"/>
        <v>-</v>
      </c>
      <c r="AD152" s="1459">
        <f t="shared" si="92"/>
        <v>0</v>
      </c>
      <c r="AE152" s="968" t="str">
        <f t="shared" si="96"/>
        <v/>
      </c>
      <c r="AF152" s="968" t="str">
        <f t="shared" si="97"/>
        <v/>
      </c>
      <c r="AG152" s="968" t="str">
        <f t="shared" si="98"/>
        <v/>
      </c>
      <c r="AH152" s="968" t="str">
        <f t="shared" si="99"/>
        <v/>
      </c>
      <c r="AI152" s="968" t="str">
        <f t="shared" si="100"/>
        <v/>
      </c>
      <c r="AJ152" s="968"/>
      <c r="AK152" s="968"/>
      <c r="AL152" s="270"/>
      <c r="AM152" s="270"/>
      <c r="AN152" s="575"/>
      <c r="AO152" s="270"/>
      <c r="AP152" s="271"/>
      <c r="AQ152" s="271"/>
      <c r="AR152" s="271"/>
      <c r="AS152" s="271"/>
      <c r="AT152" s="271"/>
      <c r="AU152" s="271"/>
      <c r="AV152" s="271"/>
      <c r="AW152" s="271"/>
      <c r="AX152" s="271"/>
      <c r="AY152" s="271"/>
      <c r="AZ152" s="271"/>
      <c r="BA152" s="271"/>
      <c r="BB152" s="271"/>
      <c r="BC152" s="271"/>
      <c r="BD152" s="271"/>
      <c r="BE152" s="271"/>
      <c r="BF152" s="271"/>
      <c r="BG152" s="271"/>
      <c r="BH152" s="271"/>
      <c r="BI152" s="271"/>
      <c r="BJ152" s="271"/>
      <c r="BK152" s="271"/>
      <c r="BL152" s="271"/>
      <c r="BM152" s="271"/>
      <c r="BN152" s="271"/>
      <c r="BO152" s="271"/>
      <c r="BP152" s="271"/>
      <c r="BQ152" s="271"/>
      <c r="BR152" s="271"/>
      <c r="BS152" s="271"/>
      <c r="BT152" s="271"/>
      <c r="BU152" s="271"/>
      <c r="BV152" s="271"/>
      <c r="BW152" s="271"/>
      <c r="BX152" s="271"/>
      <c r="BY152" s="271"/>
      <c r="BZ152" s="1395"/>
      <c r="CA152" s="1450"/>
      <c r="CB152" s="1450"/>
      <c r="CC152" s="270"/>
      <c r="CD152" s="270"/>
      <c r="CE152"/>
    </row>
    <row r="153" spans="1:83" outlineLevel="2" x14ac:dyDescent="0.2">
      <c r="A153" s="270"/>
      <c r="B153" s="271"/>
      <c r="C153" s="270"/>
      <c r="D153" s="270"/>
      <c r="E153" s="270"/>
      <c r="F153" s="270"/>
      <c r="G153" s="271"/>
      <c r="H153" s="271"/>
      <c r="I153" s="271"/>
      <c r="J153" s="270"/>
      <c r="K153" s="270"/>
      <c r="L153" s="270"/>
      <c r="M153" s="270"/>
      <c r="N153" s="270"/>
      <c r="O153" s="270"/>
      <c r="P153" s="270"/>
      <c r="Q153" s="270"/>
      <c r="R153" s="558" t="s">
        <v>1740</v>
      </c>
      <c r="S153" s="613"/>
      <c r="T153" s="618"/>
      <c r="U153" s="1504"/>
      <c r="V153" s="459" t="str">
        <f>IF(G139="","",G139)</f>
        <v>A6</v>
      </c>
      <c r="W153" s="272"/>
      <c r="X153" s="273" t="s">
        <v>769</v>
      </c>
      <c r="Y153" s="272"/>
      <c r="Z153" s="460" t="str">
        <f>IF(G136="","",G136)</f>
        <v>A3</v>
      </c>
      <c r="AA153" s="839"/>
      <c r="AB153" s="1459">
        <f t="shared" si="90"/>
        <v>0</v>
      </c>
      <c r="AC153" s="1460" t="str">
        <f t="shared" si="91"/>
        <v>-</v>
      </c>
      <c r="AD153" s="1459">
        <f t="shared" si="92"/>
        <v>0</v>
      </c>
      <c r="AE153" s="968" t="str">
        <f t="shared" si="96"/>
        <v/>
      </c>
      <c r="AF153" s="968" t="str">
        <f t="shared" si="97"/>
        <v/>
      </c>
      <c r="AG153" s="968" t="str">
        <f t="shared" si="98"/>
        <v/>
      </c>
      <c r="AH153" s="968" t="str">
        <f t="shared" si="99"/>
        <v/>
      </c>
      <c r="AI153" s="968" t="str">
        <f t="shared" si="100"/>
        <v/>
      </c>
      <c r="AJ153" s="968"/>
      <c r="AK153" s="968"/>
      <c r="AL153" s="270"/>
      <c r="AM153" s="270"/>
      <c r="AN153" s="575"/>
      <c r="AO153" s="270"/>
      <c r="AP153" s="271"/>
      <c r="AQ153" s="271"/>
      <c r="AR153" s="271"/>
      <c r="AS153" s="271"/>
      <c r="AT153" s="271"/>
      <c r="AU153" s="271"/>
      <c r="AV153" s="271"/>
      <c r="AW153" s="271"/>
      <c r="AX153" s="271"/>
      <c r="AY153" s="271"/>
      <c r="AZ153" s="271"/>
      <c r="BA153" s="271"/>
      <c r="BB153" s="271"/>
      <c r="BC153" s="271"/>
      <c r="BD153" s="271"/>
      <c r="BE153" s="271"/>
      <c r="BF153" s="271"/>
      <c r="BG153" s="271"/>
      <c r="BH153" s="271"/>
      <c r="BI153" s="271"/>
      <c r="BJ153" s="271"/>
      <c r="BK153" s="271"/>
      <c r="BL153" s="271"/>
      <c r="BM153" s="271"/>
      <c r="BN153" s="271"/>
      <c r="BO153" s="271"/>
      <c r="BP153" s="271"/>
      <c r="BQ153" s="271"/>
      <c r="BR153" s="271"/>
      <c r="BS153" s="271"/>
      <c r="BT153" s="271"/>
      <c r="BU153" s="271"/>
      <c r="BV153" s="271"/>
      <c r="BW153" s="271"/>
      <c r="BX153" s="271"/>
      <c r="BY153" s="271"/>
      <c r="BZ153" s="1395"/>
      <c r="CA153" s="1450"/>
      <c r="CB153" s="1450"/>
      <c r="CC153" s="270"/>
      <c r="CD153" s="270"/>
      <c r="CE153"/>
    </row>
    <row r="154" spans="1:83" ht="13.5" outlineLevel="2" thickBot="1" x14ac:dyDescent="0.25">
      <c r="A154" s="270"/>
      <c r="B154" s="271"/>
      <c r="C154" s="270"/>
      <c r="D154" s="270"/>
      <c r="E154" s="270"/>
      <c r="F154" s="270"/>
      <c r="G154" s="271"/>
      <c r="H154" s="271"/>
      <c r="I154" s="271"/>
      <c r="J154" s="270"/>
      <c r="K154" s="270"/>
      <c r="L154" s="270"/>
      <c r="M154" s="270"/>
      <c r="N154" s="270"/>
      <c r="O154" s="270"/>
      <c r="P154" s="270"/>
      <c r="Q154" s="270"/>
      <c r="R154" s="558" t="s">
        <v>1740</v>
      </c>
      <c r="S154" s="615"/>
      <c r="T154" s="619"/>
      <c r="U154" s="1503"/>
      <c r="V154" s="461" t="str">
        <f>IF(G140="","",G140)</f>
        <v>A7</v>
      </c>
      <c r="W154" s="450"/>
      <c r="X154" s="462" t="s">
        <v>769</v>
      </c>
      <c r="Y154" s="450"/>
      <c r="Z154" s="463" t="str">
        <f>IF(G135="","",G135)</f>
        <v>A2</v>
      </c>
      <c r="AA154" s="839"/>
      <c r="AB154" s="1459">
        <f t="shared" si="90"/>
        <v>0</v>
      </c>
      <c r="AC154" s="1460" t="str">
        <f t="shared" si="91"/>
        <v>-</v>
      </c>
      <c r="AD154" s="1459">
        <f t="shared" si="92"/>
        <v>0</v>
      </c>
      <c r="AE154" s="968" t="str">
        <f t="shared" si="96"/>
        <v/>
      </c>
      <c r="AF154" s="968" t="str">
        <f t="shared" si="97"/>
        <v/>
      </c>
      <c r="AG154" s="968" t="str">
        <f t="shared" si="98"/>
        <v/>
      </c>
      <c r="AH154" s="968" t="str">
        <f t="shared" si="99"/>
        <v/>
      </c>
      <c r="AI154" s="968" t="str">
        <f t="shared" si="100"/>
        <v/>
      </c>
      <c r="AJ154" s="968"/>
      <c r="AK154" s="968"/>
      <c r="AL154" s="270"/>
      <c r="AM154" s="270"/>
      <c r="AN154" s="575"/>
      <c r="AO154" s="270"/>
      <c r="AP154" s="271"/>
      <c r="AQ154" s="271"/>
      <c r="AR154" s="271"/>
      <c r="AS154" s="271"/>
      <c r="AT154" s="271"/>
      <c r="AU154" s="271"/>
      <c r="AV154" s="271"/>
      <c r="AW154" s="271"/>
      <c r="AX154" s="271"/>
      <c r="AY154" s="271"/>
      <c r="AZ154" s="271"/>
      <c r="BA154" s="271"/>
      <c r="BB154" s="271"/>
      <c r="BC154" s="271"/>
      <c r="BD154" s="271"/>
      <c r="BE154" s="271"/>
      <c r="BF154" s="271"/>
      <c r="BG154" s="271"/>
      <c r="BH154" s="271"/>
      <c r="BI154" s="271"/>
      <c r="BJ154" s="271"/>
      <c r="BK154" s="271"/>
      <c r="BL154" s="271"/>
      <c r="BM154" s="271"/>
      <c r="BN154" s="271"/>
      <c r="BO154" s="271"/>
      <c r="BP154" s="271"/>
      <c r="BQ154" s="271"/>
      <c r="BR154" s="271"/>
      <c r="BS154" s="271"/>
      <c r="BT154" s="271"/>
      <c r="BU154" s="271"/>
      <c r="BV154" s="271"/>
      <c r="BW154" s="271"/>
      <c r="BX154" s="271"/>
      <c r="BY154" s="271"/>
      <c r="BZ154" s="1395"/>
      <c r="CA154" s="1450"/>
      <c r="CB154" s="1450"/>
      <c r="CC154" s="270"/>
      <c r="CD154" s="270"/>
      <c r="CE154"/>
    </row>
    <row r="155" spans="1:83" outlineLevel="1" x14ac:dyDescent="0.2">
      <c r="A155"/>
      <c r="B155" s="1"/>
      <c r="C155"/>
      <c r="D155"/>
      <c r="E155"/>
      <c r="F155"/>
      <c r="G155" s="1"/>
      <c r="H155" s="1"/>
      <c r="I155" s="1"/>
      <c r="J155"/>
      <c r="K155"/>
      <c r="L155"/>
      <c r="M155"/>
      <c r="N155"/>
      <c r="O155"/>
      <c r="P155"/>
      <c r="Q155"/>
      <c r="R155" s="334"/>
      <c r="S155" s="1"/>
      <c r="T155" s="1"/>
      <c r="U155"/>
      <c r="V155" s="6"/>
      <c r="W155" s="1"/>
      <c r="X155" s="1"/>
      <c r="Y155" s="1"/>
      <c r="Z155" s="16"/>
      <c r="AA155" s="123"/>
      <c r="AB155" s="963"/>
      <c r="AC155" s="963"/>
      <c r="AD155" s="963"/>
      <c r="AE155" s="964"/>
      <c r="AF155" s="964"/>
      <c r="AG155" s="964"/>
      <c r="AH155" s="964"/>
      <c r="AI155" s="964"/>
      <c r="AJ155" s="964"/>
      <c r="AK155" s="964"/>
      <c r="AL155"/>
      <c r="AM155"/>
      <c r="AO155"/>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395"/>
      <c r="CA155" s="1450"/>
      <c r="CB155" s="1450"/>
      <c r="CC155"/>
      <c r="CD155"/>
      <c r="CE155"/>
    </row>
    <row r="156" spans="1:83" ht="13.5" thickBot="1" x14ac:dyDescent="0.25">
      <c r="A156"/>
      <c r="B156" s="1"/>
      <c r="C156"/>
      <c r="D156"/>
      <c r="E156"/>
      <c r="F156"/>
      <c r="G156" s="1"/>
      <c r="H156" s="1"/>
      <c r="I156" s="1"/>
      <c r="J156"/>
      <c r="K156"/>
      <c r="L156"/>
      <c r="M156"/>
      <c r="N156"/>
      <c r="O156"/>
      <c r="P156"/>
      <c r="Q156"/>
      <c r="R156" s="334"/>
      <c r="S156" s="1"/>
      <c r="T156" s="1"/>
      <c r="U156"/>
      <c r="V156" s="6"/>
      <c r="W156" s="1"/>
      <c r="X156" s="1"/>
      <c r="Y156" s="1"/>
      <c r="Z156" s="16"/>
      <c r="AA156" s="123"/>
      <c r="AB156" s="963"/>
      <c r="AC156" s="963"/>
      <c r="AD156" s="963"/>
      <c r="AE156" s="964"/>
      <c r="AF156" s="964"/>
      <c r="AG156" s="964"/>
      <c r="AH156" s="964"/>
      <c r="AI156" s="964"/>
      <c r="AJ156" s="964"/>
      <c r="AK156" s="964"/>
      <c r="AL156"/>
      <c r="AM156"/>
      <c r="AO156"/>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395"/>
      <c r="CA156" s="1450"/>
      <c r="CB156" s="1450"/>
      <c r="CC156"/>
      <c r="CD156"/>
      <c r="CE156"/>
    </row>
    <row r="157" spans="1:83" ht="13.5" thickBot="1" x14ac:dyDescent="0.25">
      <c r="A157"/>
      <c r="B157" s="282" t="str">
        <f>N_Group_8</f>
        <v>Poule de 8</v>
      </c>
      <c r="C157" s="283"/>
      <c r="D157" s="283"/>
      <c r="E157" s="283"/>
      <c r="F157" s="283"/>
      <c r="G157" s="283"/>
      <c r="H157" s="283"/>
      <c r="I157" s="283"/>
      <c r="J157" s="283"/>
      <c r="K157" s="283"/>
      <c r="L157" s="283"/>
      <c r="M157" s="283"/>
      <c r="N157" s="283"/>
      <c r="O157" s="283"/>
      <c r="P157" s="283"/>
      <c r="Q157" s="283"/>
      <c r="R157" s="357"/>
      <c r="S157" s="283"/>
      <c r="T157" s="283"/>
      <c r="U157" s="283"/>
      <c r="V157" s="283"/>
      <c r="W157" s="992"/>
      <c r="X157" s="992"/>
      <c r="Y157" s="992"/>
      <c r="Z157" s="283"/>
      <c r="AA157" s="283"/>
      <c r="AB157" s="965"/>
      <c r="AC157" s="965"/>
      <c r="AD157" s="965"/>
      <c r="AE157" s="966"/>
      <c r="AF157" s="966"/>
      <c r="AG157" s="966"/>
      <c r="AH157" s="966"/>
      <c r="AI157" s="966"/>
      <c r="AJ157" s="966"/>
      <c r="AK157" s="965"/>
      <c r="AL157" s="283"/>
      <c r="AM157" s="282" t="str">
        <f>B157</f>
        <v>Poule de 8</v>
      </c>
      <c r="AN157" s="283"/>
      <c r="AO157" s="283"/>
      <c r="AP157" s="283"/>
      <c r="AQ157" s="283"/>
      <c r="AR157" s="283"/>
      <c r="AS157" s="283"/>
      <c r="AT157" s="283"/>
      <c r="AU157" s="283"/>
      <c r="AV157" s="283"/>
      <c r="AW157" s="283"/>
      <c r="AX157" s="283"/>
      <c r="AY157" s="283"/>
      <c r="AZ157" s="283"/>
      <c r="BA157" s="283"/>
      <c r="BB157" s="283"/>
      <c r="BC157" s="283"/>
      <c r="BD157" s="283"/>
      <c r="BE157" s="283"/>
      <c r="BF157" s="283"/>
      <c r="BG157" s="283"/>
      <c r="BH157" s="283"/>
      <c r="BI157" s="283"/>
      <c r="BJ157" s="283"/>
      <c r="BK157" s="283"/>
      <c r="BL157" s="283"/>
      <c r="BM157" s="283"/>
      <c r="BN157" s="283"/>
      <c r="BO157" s="283"/>
      <c r="BP157" s="283"/>
      <c r="BQ157" s="283"/>
      <c r="BR157" s="283"/>
      <c r="BS157" s="283"/>
      <c r="BT157" s="283"/>
      <c r="BU157" s="283"/>
      <c r="BV157" s="283"/>
      <c r="BW157" s="283"/>
      <c r="BX157" s="283"/>
      <c r="BY157" s="283"/>
      <c r="BZ157" s="1395"/>
      <c r="CA157" s="1450"/>
      <c r="CB157" s="1450"/>
      <c r="CC157" s="284"/>
      <c r="CD157"/>
      <c r="CE157"/>
    </row>
    <row r="158" spans="1:83" ht="13.5" outlineLevel="1" thickBot="1" x14ac:dyDescent="0.25">
      <c r="A158"/>
      <c r="B158" s="1"/>
      <c r="C158"/>
      <c r="D158"/>
      <c r="E158"/>
      <c r="F158"/>
      <c r="G158" s="1"/>
      <c r="H158" s="1"/>
      <c r="I158" s="1"/>
      <c r="J158"/>
      <c r="K158"/>
      <c r="L158"/>
      <c r="M158"/>
      <c r="N158"/>
      <c r="O158"/>
      <c r="P158"/>
      <c r="Q158"/>
      <c r="R158" s="334"/>
      <c r="S158" s="1"/>
      <c r="T158" s="1"/>
      <c r="U158"/>
      <c r="V158" s="6"/>
      <c r="W158" s="1"/>
      <c r="X158" s="1"/>
      <c r="Y158" s="1"/>
      <c r="Z158" s="16"/>
      <c r="AA158" s="123"/>
      <c r="AB158" s="963"/>
      <c r="AC158" s="963"/>
      <c r="AD158" s="963"/>
      <c r="AE158" s="964"/>
      <c r="AF158" s="964"/>
      <c r="AG158" s="964"/>
      <c r="AH158" s="964"/>
      <c r="AI158" s="964"/>
      <c r="AJ158" s="964"/>
      <c r="AK158" s="964"/>
      <c r="AL158"/>
      <c r="AM158"/>
      <c r="AN158" s="833"/>
      <c r="AO158"/>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395"/>
      <c r="CA158" s="1450"/>
      <c r="CB158" s="1450"/>
      <c r="CC158"/>
      <c r="CD158"/>
      <c r="CE158"/>
    </row>
    <row r="159" spans="1:83" ht="13.5" outlineLevel="1" thickBot="1" x14ac:dyDescent="0.25">
      <c r="A159"/>
      <c r="B159" s="18" t="str">
        <f>N_Tirage</f>
        <v>Tirage</v>
      </c>
      <c r="C159" s="307" t="s">
        <v>787</v>
      </c>
      <c r="D159" s="308" t="s">
        <v>831</v>
      </c>
      <c r="E159" s="308" t="s">
        <v>832</v>
      </c>
      <c r="F159" s="309" t="s">
        <v>833</v>
      </c>
      <c r="G159" s="22" t="str">
        <f>N_Joueurs</f>
        <v>Joueurs</v>
      </c>
      <c r="H159" s="3" t="str">
        <f>N_RankPoints</f>
        <v>Pt. Clas.</v>
      </c>
      <c r="I159" s="3" t="str">
        <f>N_Diff_Part</f>
        <v>Diff-Part</v>
      </c>
      <c r="J159" s="311" t="str">
        <f>N_Pts</f>
        <v>Pts</v>
      </c>
      <c r="K159" s="311" t="str">
        <f>N_J</f>
        <v>J</v>
      </c>
      <c r="L159" s="308" t="str">
        <f>N_G</f>
        <v>G</v>
      </c>
      <c r="M159" s="308" t="str">
        <f>N_N</f>
        <v>N</v>
      </c>
      <c r="N159" s="308" t="str">
        <f>N_P</f>
        <v>P</v>
      </c>
      <c r="O159" s="308" t="str">
        <f>N_BP</f>
        <v>BP</v>
      </c>
      <c r="P159" s="308" t="str">
        <f>N_BC</f>
        <v>BC</v>
      </c>
      <c r="Q159" s="309" t="str">
        <f>N_Diff.</f>
        <v>Diff.</v>
      </c>
      <c r="R159" s="334"/>
      <c r="S159" s="3" t="str">
        <f>N_Heure</f>
        <v>Heure</v>
      </c>
      <c r="T159" s="22" t="str">
        <f>N_Table</f>
        <v>Table</v>
      </c>
      <c r="U159" s="22" t="str">
        <f>N_Arbitre</f>
        <v>Arbitre</v>
      </c>
      <c r="V159" s="293" t="str">
        <f>N_Matches</f>
        <v>Matches</v>
      </c>
      <c r="W159" s="294"/>
      <c r="X159" s="294"/>
      <c r="Y159" s="294"/>
      <c r="Z159" s="295"/>
      <c r="AA159" s="8"/>
      <c r="AB159" s="1461" t="str">
        <f>IF(MaxScore,N_MaxScore,"")</f>
        <v>Score Max</v>
      </c>
      <c r="AC159" s="1461"/>
      <c r="AD159" s="1461"/>
      <c r="AE159" s="964" t="str">
        <f>N_G</f>
        <v>G</v>
      </c>
      <c r="AF159" s="964" t="str">
        <f>N_N</f>
        <v>N</v>
      </c>
      <c r="AG159" s="964" t="str">
        <f>N_N</f>
        <v>N</v>
      </c>
      <c r="AH159" s="964" t="str">
        <f>N_P</f>
        <v>P</v>
      </c>
      <c r="AI159" s="964" t="s">
        <v>1560</v>
      </c>
      <c r="AJ159" s="964" t="s">
        <v>3714</v>
      </c>
      <c r="AK159" s="964" t="str">
        <f>IF(COUNTA(W160:W187)=0,"","OK")</f>
        <v/>
      </c>
      <c r="AL159"/>
      <c r="AM159"/>
      <c r="AN159" s="289" t="str">
        <f>N_Cla.</f>
        <v>Cla.</v>
      </c>
      <c r="AO159" s="70" t="str">
        <f>N_Joueurs</f>
        <v>Joueurs</v>
      </c>
      <c r="AP159" s="23" t="str">
        <f>N_Pts</f>
        <v>Pts</v>
      </c>
      <c r="AQ159" s="23" t="str">
        <f>N_J</f>
        <v>J</v>
      </c>
      <c r="AR159" s="20" t="str">
        <f>N_G</f>
        <v>G</v>
      </c>
      <c r="AS159" s="20" t="str">
        <f>N_N</f>
        <v>N</v>
      </c>
      <c r="AT159" s="20" t="str">
        <f>N_P</f>
        <v>P</v>
      </c>
      <c r="AU159" s="20" t="str">
        <f>N_BP</f>
        <v>BP</v>
      </c>
      <c r="AV159" s="20" t="str">
        <f>N_BC</f>
        <v>BC</v>
      </c>
      <c r="AW159" s="21" t="str">
        <f>N_Diff.</f>
        <v>Diff.</v>
      </c>
      <c r="AX159" s="287" t="str">
        <f>N_Matches</f>
        <v>Matches</v>
      </c>
      <c r="AY159" s="287"/>
      <c r="AZ159" s="287"/>
      <c r="BA159" s="287"/>
      <c r="BB159" s="287"/>
      <c r="BC159" s="287"/>
      <c r="BD159" s="287"/>
      <c r="BE159" s="287"/>
      <c r="BF159" s="287"/>
      <c r="BG159" s="287"/>
      <c r="BH159" s="287"/>
      <c r="BI159" s="287"/>
      <c r="BJ159" s="287"/>
      <c r="BK159" s="287"/>
      <c r="BL159" s="287"/>
      <c r="BM159" s="287"/>
      <c r="BN159" s="287"/>
      <c r="BO159" s="287"/>
      <c r="BP159" s="287"/>
      <c r="BQ159" s="287"/>
      <c r="BR159" s="287"/>
      <c r="BS159" s="287"/>
      <c r="BT159" s="287"/>
      <c r="BU159" s="287"/>
      <c r="BV159" s="287"/>
      <c r="BW159" s="287"/>
      <c r="BX159" s="287"/>
      <c r="BY159" s="288"/>
      <c r="BZ159" s="1395"/>
      <c r="CA159" s="1450"/>
      <c r="CB159" s="1450"/>
      <c r="CC159"/>
      <c r="CD159"/>
      <c r="CE159"/>
    </row>
    <row r="160" spans="1:83" outlineLevel="1" x14ac:dyDescent="0.2">
      <c r="A160" s="270"/>
      <c r="B160" s="543">
        <v>1</v>
      </c>
      <c r="C160" s="549" t="str">
        <f>IF(AK159="","",RANK(F160,F160:F167)*1000+ROW())</f>
        <v/>
      </c>
      <c r="D160" s="550" t="str">
        <f t="shared" ref="D160:D167" si="101">IF(L160="","",CritClassInd1_Points*J160+CritClassInd1_Matches*L160+CritClassInd1_Attaque*O160+CritClassInd1_DiffButs*Q160)</f>
        <v/>
      </c>
      <c r="E160" s="550" t="str">
        <f>IF(L160="","",Nb_Diff_Part(D160,D160:D167,G160,G160:G167,AI160:AI187)*CritClassInd_DiffPart+Nb_Goal_Part(D160,D160:D167,G160,G160:G167,V160:Z187)*CritClassInd_GoalPart+Nb_Score_Part(D160,D160:D167,G160,G160:G167,V160:Z187)*CritClassInd_ScorePart)</f>
        <v/>
      </c>
      <c r="F160" s="551" t="str">
        <f t="shared" ref="F160:F167" si="102">IF(L160="","",D160+E160+CritClassInd2_Points*J160+CritClassInd2_Matches*L160+CritClassInd2_Attaque*O160+CritClassInd2_DiffButs*Q160+CritClassInd_Ranking*H160+I160)</f>
        <v/>
      </c>
      <c r="G160" s="476" t="s">
        <v>903</v>
      </c>
      <c r="H160" s="499">
        <f t="shared" ref="H160:H167" si="103">GMFTRANKINGPOINTS(G160,Particular_Category)</f>
        <v>0</v>
      </c>
      <c r="I160" s="500"/>
      <c r="J160" s="555" t="str">
        <f>IF(AK159="","",(L160*Points_Victoire)+M160*Points_Null)</f>
        <v/>
      </c>
      <c r="K160" s="556" t="str">
        <f t="shared" ref="K160:K167" si="104">IF(L160="","",SUM(L160:N160))</f>
        <v/>
      </c>
      <c r="L160" s="556" t="str">
        <f>IF(AK159="","",COUNTIF(AE160:AE187,G160))</f>
        <v/>
      </c>
      <c r="M160" s="556" t="str">
        <f>IF(AK159="","",COUNTIF(AF160:AG187,G160))</f>
        <v/>
      </c>
      <c r="N160" s="556" t="str">
        <f>IF(AK159="","",COUNTIF(AH160:AH187,G160))</f>
        <v/>
      </c>
      <c r="O160" s="556" t="str">
        <f>IF(AK159="","",SUMIF(V160:V187,G160,AB160:AB187)+SUMIF(Z160:Z187,G160,AD160:AD187))</f>
        <v/>
      </c>
      <c r="P160" s="556" t="str">
        <f>IF(AK159="","",SUMIF(V160:V187,G160,AD160:AD187)+SUMIF(Z160:Z187,G160,AB160:AB187))</f>
        <v/>
      </c>
      <c r="Q160" s="557" t="str">
        <f>IF(AK159="","",O160-P160)</f>
        <v/>
      </c>
      <c r="R160" s="558" t="s">
        <v>1726</v>
      </c>
      <c r="S160" s="611"/>
      <c r="T160" s="617"/>
      <c r="U160" s="1502"/>
      <c r="V160" s="479" t="str">
        <f>IF(G160="","",G160)</f>
        <v>A1</v>
      </c>
      <c r="W160" s="480"/>
      <c r="X160" s="481" t="s">
        <v>769</v>
      </c>
      <c r="Y160" s="480"/>
      <c r="Z160" s="482" t="str">
        <f>IF(G162="","",G162)</f>
        <v>A3</v>
      </c>
      <c r="AA160" s="839"/>
      <c r="AB160" s="1459">
        <f t="shared" ref="AB160:AB187" si="105">IF(MaxScore,MaxGoals(W160,Y160,MaxGoalsValue),IF(W160="","",W160))</f>
        <v>0</v>
      </c>
      <c r="AC160" s="1460" t="str">
        <f t="shared" ref="AC160:AC187" si="106">IF(MaxScore,"-",IF(W160="","","-"))</f>
        <v>-</v>
      </c>
      <c r="AD160" s="1459">
        <f t="shared" ref="AD160:AD187" si="107">IF(MaxScore,MaxGoals(Y160,W160,MaxGoalsValue),IF(Y160="","",Y160))</f>
        <v>0</v>
      </c>
      <c r="AE160" s="968" t="str">
        <f t="shared" ref="AE160:AE187" si="108">IF(W160="","",IF(W160&gt;Y160,V160,IF(W160=Y160,"",Z160)))</f>
        <v/>
      </c>
      <c r="AF160" s="968" t="str">
        <f t="shared" ref="AF160:AF187" si="109">IF(W160="","",IF(W160=Y160,V160,""))</f>
        <v/>
      </c>
      <c r="AG160" s="968" t="str">
        <f t="shared" ref="AG160:AG187" si="110">IF(W160="","",IF(W160=Y160,Z160,""))</f>
        <v/>
      </c>
      <c r="AH160" s="968" t="str">
        <f t="shared" ref="AH160:AH187" si="111">IF(W160="","",IF(W160&lt;Y160,V160,IF(W160=Y160,"",Z160)))</f>
        <v/>
      </c>
      <c r="AI160" s="968" t="str">
        <f t="shared" ref="AI160:AI187" si="112">CONCATENATE(AE160,AH160)</f>
        <v/>
      </c>
      <c r="AJ160" s="968"/>
      <c r="AK160" s="968" t="str">
        <f>IF(AK159="","",SMALL(C160:C167,1))</f>
        <v/>
      </c>
      <c r="AL160" s="270"/>
      <c r="AM160" s="270"/>
      <c r="AN160" s="543" t="str">
        <f>IF(AK159="","",INT(AK160/1000))</f>
        <v/>
      </c>
      <c r="AO160" s="527" t="str">
        <f>IF(AK159="",IF(HidePlayerFormulas,"","("&amp;G160&amp;")"),VLOOKUP(AK160,C160:Q167,5,FALSE))</f>
        <v/>
      </c>
      <c r="AP160" s="528" t="str">
        <f>VLOOKUP(AK160,C160:Q167,8,FALSE)</f>
        <v/>
      </c>
      <c r="AQ160" s="528" t="str">
        <f>VLOOKUP(AK160,C160:Q167,9,FALSE)</f>
        <v/>
      </c>
      <c r="AR160" s="528" t="str">
        <f>VLOOKUP(AK160,C160:Q167,10,FALSE)</f>
        <v/>
      </c>
      <c r="AS160" s="528" t="str">
        <f>VLOOKUP(AK160,C160:Q167,11,FALSE)</f>
        <v/>
      </c>
      <c r="AT160" s="528" t="str">
        <f>VLOOKUP(AK160,C160:Q167,12,FALSE)</f>
        <v/>
      </c>
      <c r="AU160" s="528" t="str">
        <f>VLOOKUP(AK160,C160:Q167,13,FALSE)</f>
        <v/>
      </c>
      <c r="AV160" s="528" t="str">
        <f>VLOOKUP(AK160,C160:Q167,14,FALSE)</f>
        <v/>
      </c>
      <c r="AW160" s="529" t="str">
        <f>VLOOKUP(AK160,C160:Q167,15,FALSE)</f>
        <v/>
      </c>
      <c r="AX160" s="544" t="str">
        <f>IF(W184="","",IF(AO160=V184,W184,IF(AO160=Z184,Y184,"")))</f>
        <v/>
      </c>
      <c r="AY160" s="518" t="str">
        <f>IF(W185="","",IF(AO160=V185,W185,IF(AO160=Z185,Y185,"")))</f>
        <v/>
      </c>
      <c r="AZ160" s="518" t="str">
        <f>IF(W186="","",IF(AO160=V186,W186,IF(AO160=Z186,Y186,"")))</f>
        <v/>
      </c>
      <c r="BA160" s="518" t="str">
        <f>IF(W187="","",IF(AO160=V187,W187,IF(AO160=Z187,Y187,"")))</f>
        <v/>
      </c>
      <c r="BB160" s="518" t="str">
        <f>IF(W180="","",IF(AO160=V180,W180,IF(AO160=Z180,Y180,"")))</f>
        <v/>
      </c>
      <c r="BC160" s="518" t="str">
        <f>IF(W181="","",IF(AO160=V181,W181,IF(AO160=Z181,Y181,"")))</f>
        <v/>
      </c>
      <c r="BD160" s="518" t="str">
        <f>IF(W182="","",IF(AO160=V182,W182,IF(AO160=Z182,Y182,"")))</f>
        <v/>
      </c>
      <c r="BE160" s="518" t="str">
        <f>IF(W183="","",IF(AO160=V183,W183,IF(AO160=Z183,Y183,"")))</f>
        <v/>
      </c>
      <c r="BF160" s="518" t="str">
        <f>IF(W176="","",IF(AO160=V176,W176,IF(AO160=Z176,Y176,"")))</f>
        <v/>
      </c>
      <c r="BG160" s="518" t="str">
        <f>IF(W177="","",IF(AO160=V177,W177,IF(AO160=Z177,Y177,"")))</f>
        <v/>
      </c>
      <c r="BH160" s="518" t="str">
        <f>IF(W178="","",IF(AO160=V178,W178,IF(AO160=Z178,Y178,"")))</f>
        <v/>
      </c>
      <c r="BI160" s="518" t="str">
        <f>IF(W179="","",IF(AO160=V179,W179,IF(AO160=Z179,Y179,"")))</f>
        <v/>
      </c>
      <c r="BJ160" s="518" t="str">
        <f>IF(W172="","",IF(AO160=V172,W172,IF(AO160=Z172,Y172,"")))</f>
        <v/>
      </c>
      <c r="BK160" s="518" t="str">
        <f>IF(W173="","",IF(AO160=V173,W173,IF(AO160=Z173,Y173,"")))</f>
        <v/>
      </c>
      <c r="BL160" s="518" t="str">
        <f>IF(W174="","",IF(AO160=V174,W174,IF(AO160=Z174,Y174,"")))</f>
        <v/>
      </c>
      <c r="BM160" s="518" t="str">
        <f>IF(W175="","",IF(AO160=V175,W175,IF(AO160=Z175,Y175,"")))</f>
        <v/>
      </c>
      <c r="BN160" s="518" t="str">
        <f>IF(W168="","",IF(AO160=V168,W168,IF(AO160=Z168,Y168,"")))</f>
        <v/>
      </c>
      <c r="BO160" s="518" t="str">
        <f>IF(W169="","",IF(AO160=V169,W169,IF(AO160=Z169,Y169,"")))</f>
        <v/>
      </c>
      <c r="BP160" s="518" t="str">
        <f>IF(W170="","",IF(AO160=V170,W170,IF(AO160=Z170,Y170,"")))</f>
        <v/>
      </c>
      <c r="BQ160" s="518" t="str">
        <f>IF(W171="","",IF(AO160=V171,W171,IF(AO160=Z171,Y171,"")))</f>
        <v/>
      </c>
      <c r="BR160" s="518" t="str">
        <f>IF(W164="","",IF(AO160=V164,W164,IF(AO160=Z164,Y164,"")))</f>
        <v/>
      </c>
      <c r="BS160" s="518" t="str">
        <f>IF(W165="","",IF(AO160=V165,W165,IF(AO160=Z165,Y165,"")))</f>
        <v/>
      </c>
      <c r="BT160" s="518" t="str">
        <f>IF(W166="","",IF(AO160=V166,W166,IF(AO160=Z166,Y166,"")))</f>
        <v/>
      </c>
      <c r="BU160" s="518" t="str">
        <f>IF(W167="","",IF(AO160=V167,W167,IF(AO160=Z167,Y167,"")))</f>
        <v/>
      </c>
      <c r="BV160" s="518" t="str">
        <f>IF(W160="","",IF(AO160=V160,W160,IF(AO160=Z160,Y160,"")))</f>
        <v/>
      </c>
      <c r="BW160" s="518" t="str">
        <f>IF(W161="","",IF(AO160=V161,W161,IF(AO160=Z161,Y161,"")))</f>
        <v/>
      </c>
      <c r="BX160" s="518" t="str">
        <f>IF(W162="","",IF(AO160=V162,W162,IF(AO160=Z162,Y162,"")))</f>
        <v/>
      </c>
      <c r="BY160" s="519" t="str">
        <f>IF(W163="","",IF(AO160=V163,W163,IF(AO160=Z163,Y163,"")))</f>
        <v/>
      </c>
      <c r="BZ160" s="1395" t="b">
        <f t="shared" ref="BZ160:BZ167" si="113">IF(G160="[---WithDraw---]",FALSE,IF(COUNTIF(PlayerNamesWithinGroups,G160)&gt;1,TRUE,FALSE))</f>
        <v>1</v>
      </c>
      <c r="CA160" s="1450" t="b">
        <f t="shared" ref="CA160:CA167" si="114">AND(LEFT($AO160,1) = "(", RIGHT($AO160,1) =")")</f>
        <v>0</v>
      </c>
      <c r="CB160" s="1450" t="b">
        <f t="shared" ref="CB160:CB167" si="115">IF(OR($AN160=$AN159,$AN160=$AN161),TRUE,FALSE)</f>
        <v>1</v>
      </c>
      <c r="CC160" s="270"/>
      <c r="CD160" s="270"/>
      <c r="CE160"/>
    </row>
    <row r="161" spans="1:83" outlineLevel="1" x14ac:dyDescent="0.2">
      <c r="A161" s="270"/>
      <c r="B161" s="545">
        <v>2</v>
      </c>
      <c r="C161" s="560" t="str">
        <f>IF(AK159="","",RANK(F161,F160:F167)*1000+ROW())</f>
        <v/>
      </c>
      <c r="D161" s="561" t="str">
        <f t="shared" si="101"/>
        <v/>
      </c>
      <c r="E161" s="561" t="str">
        <f>IF(L161="","",Nb_Diff_Part(D161,D160:D167,G161,G160:G167,AI160:AI187)*CritClassInd_DiffPart+Nb_Goal_Part(D161,D160:D167,G161,G160:G167,V160:Z187)*CritClassInd_GoalPart+Nb_Score_Part(D161,D160:D167,G161,G160:G167,V160:Z187)*CritClassInd_ScorePart)</f>
        <v/>
      </c>
      <c r="F161" s="562" t="str">
        <f t="shared" si="102"/>
        <v/>
      </c>
      <c r="G161" s="477" t="s">
        <v>904</v>
      </c>
      <c r="H161" s="501">
        <f t="shared" si="103"/>
        <v>0</v>
      </c>
      <c r="I161" s="502"/>
      <c r="J161" s="560" t="str">
        <f>IF(AK159="","",(L161*Points_Victoire)+M161*Points_Null)</f>
        <v/>
      </c>
      <c r="K161" s="556" t="str">
        <f t="shared" si="104"/>
        <v/>
      </c>
      <c r="L161" s="563" t="str">
        <f>IF(AK159="","",COUNTIF(AE160:AE187,G161))</f>
        <v/>
      </c>
      <c r="M161" s="563" t="str">
        <f>IF(AK159="","",COUNTIF(AF160:AG187,G161))</f>
        <v/>
      </c>
      <c r="N161" s="563" t="str">
        <f>IF(AK159="","",COUNTIF(AH160:AH187,G161))</f>
        <v/>
      </c>
      <c r="O161" s="563" t="str">
        <f>IF(AK159="","",SUMIF(V160:V187,G161,AB160:AB187)+SUMIF(Z160:Z187,G161,AD160:AD187))</f>
        <v/>
      </c>
      <c r="P161" s="563" t="str">
        <f>IF(AK159="","",SUMIF(V160:V187,G161,AD160:AD187)+SUMIF(Z160:Z187,G161,AB160:AB187))</f>
        <v/>
      </c>
      <c r="Q161" s="557" t="str">
        <f>IF(AK159="","",O161-P161)</f>
        <v/>
      </c>
      <c r="R161" s="558" t="s">
        <v>1726</v>
      </c>
      <c r="S161" s="613"/>
      <c r="T161" s="618"/>
      <c r="U161" s="1504"/>
      <c r="V161" s="483" t="str">
        <f>IF(G161="","",G161)</f>
        <v>A2</v>
      </c>
      <c r="W161" s="484"/>
      <c r="X161" s="485" t="s">
        <v>769</v>
      </c>
      <c r="Y161" s="484"/>
      <c r="Z161" s="486" t="str">
        <f>IF(G167="","",G167)</f>
        <v>A8</v>
      </c>
      <c r="AA161" s="839"/>
      <c r="AB161" s="1459">
        <f t="shared" si="105"/>
        <v>0</v>
      </c>
      <c r="AC161" s="1460" t="str">
        <f t="shared" si="106"/>
        <v>-</v>
      </c>
      <c r="AD161" s="1459">
        <f t="shared" si="107"/>
        <v>0</v>
      </c>
      <c r="AE161" s="968" t="str">
        <f t="shared" si="108"/>
        <v/>
      </c>
      <c r="AF161" s="968" t="str">
        <f t="shared" si="109"/>
        <v/>
      </c>
      <c r="AG161" s="968" t="str">
        <f t="shared" si="110"/>
        <v/>
      </c>
      <c r="AH161" s="968" t="str">
        <f t="shared" si="111"/>
        <v/>
      </c>
      <c r="AI161" s="968" t="str">
        <f t="shared" si="112"/>
        <v/>
      </c>
      <c r="AJ161" s="968"/>
      <c r="AK161" s="968" t="str">
        <f>IF(AK159="","",SMALL(C160:C167,2))</f>
        <v/>
      </c>
      <c r="AL161" s="270"/>
      <c r="AM161" s="270"/>
      <c r="AN161" s="545" t="str">
        <f>IF(AK159="","",INT(AK161/1000))</f>
        <v/>
      </c>
      <c r="AO161" s="510" t="str">
        <f>IF(AK159="",IF(HidePlayerFormulas,"","("&amp;G161&amp;")"),VLOOKUP(AK161,C160:Q167,5,FALSE))</f>
        <v/>
      </c>
      <c r="AP161" s="511" t="str">
        <f>VLOOKUP(AK161,C160:Q167,8,FALSE)</f>
        <v/>
      </c>
      <c r="AQ161" s="511" t="str">
        <f>VLOOKUP(AK161,C160:Q167,9,FALSE)</f>
        <v/>
      </c>
      <c r="AR161" s="511" t="str">
        <f>VLOOKUP(AK161,C160:Q167,10,FALSE)</f>
        <v/>
      </c>
      <c r="AS161" s="511" t="str">
        <f>VLOOKUP(AK161,C160:Q167,11,FALSE)</f>
        <v/>
      </c>
      <c r="AT161" s="511" t="str">
        <f>VLOOKUP(AK161,C160:Q167,12,FALSE)</f>
        <v/>
      </c>
      <c r="AU161" s="511" t="str">
        <f>VLOOKUP(AK161,C160:Q167,13,FALSE)</f>
        <v/>
      </c>
      <c r="AV161" s="511" t="str">
        <f>VLOOKUP(AK161,C160:Q167,14,FALSE)</f>
        <v/>
      </c>
      <c r="AW161" s="512" t="str">
        <f>VLOOKUP(AK161,C160:Q167,15,FALSE)</f>
        <v/>
      </c>
      <c r="AX161" s="546" t="str">
        <f>IF(W184="","",IF(AO161=V184,W184,IF(AO161=Z184,Y184,"")))</f>
        <v/>
      </c>
      <c r="AY161" s="521" t="str">
        <f>IF(W185="","",IF(AO161=V185,W185,IF(AO161=Z185,Y185,"")))</f>
        <v/>
      </c>
      <c r="AZ161" s="521" t="str">
        <f>IF(W186="","",IF(AO161=V186,W186,IF(AO161=Z186,Y186,"")))</f>
        <v/>
      </c>
      <c r="BA161" s="521" t="str">
        <f>IF(W187="","",IF(AO161=V187,W187,IF(AO161=Z187,Y187,"")))</f>
        <v/>
      </c>
      <c r="BB161" s="521" t="str">
        <f>IF(W180="","",IF(AO161=V180,W180,IF(AO161=Z180,Y180,"")))</f>
        <v/>
      </c>
      <c r="BC161" s="521" t="str">
        <f>IF(W181="","",IF(AO161=V181,W181,IF(AO161=Z181,Y181,"")))</f>
        <v/>
      </c>
      <c r="BD161" s="521" t="str">
        <f>IF(W182="","",IF(AO161=V182,W182,IF(AO161=Z182,Y182,"")))</f>
        <v/>
      </c>
      <c r="BE161" s="521" t="str">
        <f>IF(W183="","",IF(AO161=V183,W183,IF(AO161=Z183,Y183,"")))</f>
        <v/>
      </c>
      <c r="BF161" s="521" t="str">
        <f>IF(W176="","",IF(AO161=V176,W176,IF(AO161=Z176,Y176,"")))</f>
        <v/>
      </c>
      <c r="BG161" s="521" t="str">
        <f>IF(W177="","",IF(AO161=V177,W177,IF(AO161=Z177,Y177,"")))</f>
        <v/>
      </c>
      <c r="BH161" s="521" t="str">
        <f>IF(W178="","",IF(AO161=V178,W178,IF(AO161=Z178,Y178,"")))</f>
        <v/>
      </c>
      <c r="BI161" s="521" t="str">
        <f>IF(W179="","",IF(AO161=V179,W179,IF(AO161=Z179,Y179,"")))</f>
        <v/>
      </c>
      <c r="BJ161" s="521" t="str">
        <f>IF(W172="","",IF(AO161=V172,W172,IF(AO161=Z172,Y172,"")))</f>
        <v/>
      </c>
      <c r="BK161" s="521" t="str">
        <f>IF(W173="","",IF(AO161=V173,W173,IF(AO161=Z173,Y173,"")))</f>
        <v/>
      </c>
      <c r="BL161" s="521" t="str">
        <f>IF(W174="","",IF(AO161=V174,W174,IF(AO161=Z174,Y174,"")))</f>
        <v/>
      </c>
      <c r="BM161" s="521" t="str">
        <f>IF(W175="","",IF(AO161=V175,W175,IF(AO161=Z175,Y175,"")))</f>
        <v/>
      </c>
      <c r="BN161" s="521" t="str">
        <f>IF(W168="","",IF(AO161=V168,W168,IF(AO161=Z168,Y168,"")))</f>
        <v/>
      </c>
      <c r="BO161" s="521" t="str">
        <f>IF(W169="","",IF(AO161=V169,W169,IF(AO161=Z169,Y169,"")))</f>
        <v/>
      </c>
      <c r="BP161" s="521" t="str">
        <f>IF(W170="","",IF(AO161=V170,W170,IF(AO161=Z170,Y170,"")))</f>
        <v/>
      </c>
      <c r="BQ161" s="521" t="str">
        <f>IF(W171="","",IF(AO161=V171,W171,IF(AO161=Z171,Y171,"")))</f>
        <v/>
      </c>
      <c r="BR161" s="521" t="str">
        <f>IF(W164="","",IF(AO161=V164,W164,IF(AO161=Z164,Y164,"")))</f>
        <v/>
      </c>
      <c r="BS161" s="521" t="str">
        <f>IF(W165="","",IF(AO161=V165,W165,IF(AO161=Z165,Y165,"")))</f>
        <v/>
      </c>
      <c r="BT161" s="521" t="str">
        <f>IF(W166="","",IF(AO161=V166,W166,IF(AO161=Z166,Y166,"")))</f>
        <v/>
      </c>
      <c r="BU161" s="521" t="str">
        <f>IF(W167="","",IF(AO161=V167,W167,IF(AO161=Z167,Y167,"")))</f>
        <v/>
      </c>
      <c r="BV161" s="521" t="str">
        <f>IF(W160="","",IF(AO161=V160,W160,IF(AO161=Z160,Y160,"")))</f>
        <v/>
      </c>
      <c r="BW161" s="521" t="str">
        <f>IF(W161="","",IF(AO161=V161,W161,IF(AO161=Z161,Y161,"")))</f>
        <v/>
      </c>
      <c r="BX161" s="521" t="str">
        <f>IF(W162="","",IF(AO161=V162,W162,IF(AO161=Z162,Y162,"")))</f>
        <v/>
      </c>
      <c r="BY161" s="522" t="str">
        <f>IF(W163="","",IF(AO161=V163,W163,IF(AO161=Z163,Y163,"")))</f>
        <v/>
      </c>
      <c r="BZ161" s="1395" t="b">
        <f t="shared" si="113"/>
        <v>1</v>
      </c>
      <c r="CA161" s="1450" t="b">
        <f t="shared" si="114"/>
        <v>0</v>
      </c>
      <c r="CB161" s="1450" t="b">
        <f t="shared" si="115"/>
        <v>1</v>
      </c>
      <c r="CC161" s="270"/>
      <c r="CD161" s="270"/>
      <c r="CE161"/>
    </row>
    <row r="162" spans="1:83" outlineLevel="1" x14ac:dyDescent="0.2">
      <c r="A162" s="270"/>
      <c r="B162" s="545">
        <v>3</v>
      </c>
      <c r="C162" s="560" t="str">
        <f>IF(AK159="","",RANK(F162,F160:F167)*1000+ROW())</f>
        <v/>
      </c>
      <c r="D162" s="561" t="str">
        <f t="shared" si="101"/>
        <v/>
      </c>
      <c r="E162" s="561" t="str">
        <f>IF(L162="","",Nb_Diff_Part(D162,D160:D167,G162,G160:G167,AI160:AI187)*CritClassInd_DiffPart+Nb_Goal_Part(D162,D160:D167,G162,G160:G167,V160:Z187)*CritClassInd_GoalPart+Nb_Score_Part(D162,D160:D167,G162,G160:G167,V160:Z187)*CritClassInd_ScorePart)</f>
        <v/>
      </c>
      <c r="F162" s="562" t="str">
        <f t="shared" si="102"/>
        <v/>
      </c>
      <c r="G162" s="477" t="s">
        <v>905</v>
      </c>
      <c r="H162" s="501">
        <f t="shared" si="103"/>
        <v>0</v>
      </c>
      <c r="I162" s="502"/>
      <c r="J162" s="560" t="str">
        <f>IF(AK159="","",(L162*Points_Victoire)+M162*Points_Null)</f>
        <v/>
      </c>
      <c r="K162" s="563" t="str">
        <f t="shared" si="104"/>
        <v/>
      </c>
      <c r="L162" s="563" t="str">
        <f>IF(AK159="","",COUNTIF(AE160:AE187,G162))</f>
        <v/>
      </c>
      <c r="M162" s="563" t="str">
        <f>IF(AK159="","",COUNTIF(AF160:AG187,G162))</f>
        <v/>
      </c>
      <c r="N162" s="563" t="str">
        <f>IF(AK159="","",COUNTIF(AH160:AH187,G162))</f>
        <v/>
      </c>
      <c r="O162" s="563" t="str">
        <f>IF(AK159="","",SUMIF(V160:V187,G162,AB160:AB187)+SUMIF(Z160:Z187,G162,AD160:AD187))</f>
        <v/>
      </c>
      <c r="P162" s="563" t="str">
        <f>IF(AK159="","",SUMIF(V160:V187,G162,AD160:AD187)+SUMIF(Z160:Z187,G162,AB160:AB187))</f>
        <v/>
      </c>
      <c r="Q162" s="564" t="str">
        <f>IF(AK159="","",O162-P162)</f>
        <v/>
      </c>
      <c r="R162" s="558" t="s">
        <v>1726</v>
      </c>
      <c r="S162" s="613"/>
      <c r="T162" s="618"/>
      <c r="U162" s="1504"/>
      <c r="V162" s="483" t="str">
        <f>IF(G163="","",G163)</f>
        <v>A4</v>
      </c>
      <c r="W162" s="484"/>
      <c r="X162" s="485" t="s">
        <v>769</v>
      </c>
      <c r="Y162" s="484"/>
      <c r="Z162" s="486" t="str">
        <f>IF(G166="","",G166)</f>
        <v>A7</v>
      </c>
      <c r="AA162" s="839"/>
      <c r="AB162" s="1459">
        <f t="shared" si="105"/>
        <v>0</v>
      </c>
      <c r="AC162" s="1460" t="str">
        <f t="shared" si="106"/>
        <v>-</v>
      </c>
      <c r="AD162" s="1459">
        <f t="shared" si="107"/>
        <v>0</v>
      </c>
      <c r="AE162" s="968" t="str">
        <f t="shared" si="108"/>
        <v/>
      </c>
      <c r="AF162" s="968" t="str">
        <f t="shared" si="109"/>
        <v/>
      </c>
      <c r="AG162" s="968" t="str">
        <f t="shared" si="110"/>
        <v/>
      </c>
      <c r="AH162" s="968" t="str">
        <f t="shared" si="111"/>
        <v/>
      </c>
      <c r="AI162" s="968" t="str">
        <f t="shared" si="112"/>
        <v/>
      </c>
      <c r="AJ162" s="968"/>
      <c r="AK162" s="968" t="str">
        <f>IF(AK159="","",SMALL(C160:C167,3))</f>
        <v/>
      </c>
      <c r="AL162" s="270"/>
      <c r="AM162" s="270"/>
      <c r="AN162" s="545" t="str">
        <f>IF(AK159="","",INT(AK162/1000))</f>
        <v/>
      </c>
      <c r="AO162" s="510" t="str">
        <f>IF(AK159="",IF(HidePlayerFormulas,"","("&amp;G162&amp;")"),VLOOKUP(AK162,C160:Q167,5,FALSE))</f>
        <v/>
      </c>
      <c r="AP162" s="511" t="str">
        <f>VLOOKUP(AK162,C160:Q167,8,FALSE)</f>
        <v/>
      </c>
      <c r="AQ162" s="511" t="str">
        <f>VLOOKUP(AK162,C160:Q167,9,FALSE)</f>
        <v/>
      </c>
      <c r="AR162" s="511" t="str">
        <f>VLOOKUP(AK162,C160:Q167,10,FALSE)</f>
        <v/>
      </c>
      <c r="AS162" s="511" t="str">
        <f>VLOOKUP(AK162,C160:Q167,11,FALSE)</f>
        <v/>
      </c>
      <c r="AT162" s="511" t="str">
        <f>VLOOKUP(AK162,C160:Q167,12,FALSE)</f>
        <v/>
      </c>
      <c r="AU162" s="511" t="str">
        <f>VLOOKUP(AK162,C160:Q167,13,FALSE)</f>
        <v/>
      </c>
      <c r="AV162" s="511" t="str">
        <f>VLOOKUP(AK162,C160:Q167,14,FALSE)</f>
        <v/>
      </c>
      <c r="AW162" s="512" t="str">
        <f>VLOOKUP(AK162,C160:Q167,15,FALSE)</f>
        <v/>
      </c>
      <c r="AX162" s="546" t="str">
        <f>IF(W184="","",IF(AO162=V184,W184,IF(AO162=Z184,Y184,"")))</f>
        <v/>
      </c>
      <c r="AY162" s="521" t="str">
        <f>IF(W185="","",IF(AO162=V185,W185,IF(AO162=Z185,Y185,"")))</f>
        <v/>
      </c>
      <c r="AZ162" s="521" t="str">
        <f>IF(W186="","",IF(AO162=V186,W186,IF(AO162=Z186,Y186,"")))</f>
        <v/>
      </c>
      <c r="BA162" s="521" t="str">
        <f>IF(W187="","",IF(AO162=V187,W187,IF(AO162=Z187,Y187,"")))</f>
        <v/>
      </c>
      <c r="BB162" s="521" t="str">
        <f>IF(W180="","",IF(AO162=V180,W180,IF(AO162=Z180,Y180,"")))</f>
        <v/>
      </c>
      <c r="BC162" s="521" t="str">
        <f>IF(W181="","",IF(AO162=V181,W181,IF(AO162=Z181,Y181,"")))</f>
        <v/>
      </c>
      <c r="BD162" s="521" t="str">
        <f>IF(W182="","",IF(AO162=V182,W182,IF(AO162=Z182,Y182,"")))</f>
        <v/>
      </c>
      <c r="BE162" s="521" t="str">
        <f>IF(W183="","",IF(AO162=V183,W183,IF(AO162=Z183,Y183,"")))</f>
        <v/>
      </c>
      <c r="BF162" s="521" t="str">
        <f>IF(W176="","",IF(AO162=V176,W176,IF(AO162=Z176,Y176,"")))</f>
        <v/>
      </c>
      <c r="BG162" s="521" t="str">
        <f>IF(W177="","",IF(AO162=V177,W177,IF(AO162=Z177,Y177,"")))</f>
        <v/>
      </c>
      <c r="BH162" s="521" t="str">
        <f>IF(W178="","",IF(AO162=V178,W178,IF(AO162=Z178,Y178,"")))</f>
        <v/>
      </c>
      <c r="BI162" s="521" t="str">
        <f>IF(W179="","",IF(AO162=V179,W179,IF(AO162=Z179,Y179,"")))</f>
        <v/>
      </c>
      <c r="BJ162" s="521" t="str">
        <f>IF(W172="","",IF(AO162=V172,W172,IF(AO162=Z172,Y172,"")))</f>
        <v/>
      </c>
      <c r="BK162" s="521" t="str">
        <f>IF(W173="","",IF(AO162=V173,W173,IF(AO162=Z173,Y173,"")))</f>
        <v/>
      </c>
      <c r="BL162" s="521" t="str">
        <f>IF(W174="","",IF(AO162=V174,W174,IF(AO162=Z174,Y174,"")))</f>
        <v/>
      </c>
      <c r="BM162" s="521" t="str">
        <f>IF(W175="","",IF(AO162=V175,W175,IF(AO162=Z175,Y175,"")))</f>
        <v/>
      </c>
      <c r="BN162" s="521" t="str">
        <f>IF(W168="","",IF(AO162=V168,W168,IF(AO162=Z168,Y168,"")))</f>
        <v/>
      </c>
      <c r="BO162" s="521" t="str">
        <f>IF(W169="","",IF(AO162=V169,W169,IF(AO162=Z169,Y169,"")))</f>
        <v/>
      </c>
      <c r="BP162" s="521" t="str">
        <f>IF(W170="","",IF(AO162=V170,W170,IF(AO162=Z170,Y170,"")))</f>
        <v/>
      </c>
      <c r="BQ162" s="521" t="str">
        <f>IF(W171="","",IF(AO162=V171,W171,IF(AO162=Z171,Y171,"")))</f>
        <v/>
      </c>
      <c r="BR162" s="521" t="str">
        <f>IF(W164="","",IF(AO162=V164,W164,IF(AO162=Z164,Y164,"")))</f>
        <v/>
      </c>
      <c r="BS162" s="521" t="str">
        <f>IF(W165="","",IF(AO162=V165,W165,IF(AO162=Z165,Y165,"")))</f>
        <v/>
      </c>
      <c r="BT162" s="521" t="str">
        <f>IF(W166="","",IF(AO162=V166,W166,IF(AO162=Z166,Y166,"")))</f>
        <v/>
      </c>
      <c r="BU162" s="521" t="str">
        <f>IF(W167="","",IF(AO162=V167,W167,IF(AO162=Z167,Y167,"")))</f>
        <v/>
      </c>
      <c r="BV162" s="521" t="str">
        <f>IF(W160="","",IF(AO162=V160,W160,IF(AO162=Z160,Y160,"")))</f>
        <v/>
      </c>
      <c r="BW162" s="521" t="str">
        <f>IF(W161="","",IF(AO162=V161,W161,IF(AO162=Z161,Y161,"")))</f>
        <v/>
      </c>
      <c r="BX162" s="521" t="str">
        <f>IF(W162="","",IF(AO162=V162,W162,IF(AO162=Z162,Y162,"")))</f>
        <v/>
      </c>
      <c r="BY162" s="522" t="str">
        <f>IF(W163="","",IF(AO162=V163,W163,IF(AO162=Z163,Y163,"")))</f>
        <v/>
      </c>
      <c r="BZ162" s="1395" t="b">
        <f t="shared" si="113"/>
        <v>1</v>
      </c>
      <c r="CA162" s="1450" t="b">
        <f t="shared" si="114"/>
        <v>0</v>
      </c>
      <c r="CB162" s="1450" t="b">
        <f t="shared" si="115"/>
        <v>1</v>
      </c>
      <c r="CC162" s="270"/>
      <c r="CD162" s="270"/>
      <c r="CE162"/>
    </row>
    <row r="163" spans="1:83" ht="13.5" outlineLevel="1" thickBot="1" x14ac:dyDescent="0.25">
      <c r="A163" s="270"/>
      <c r="B163" s="545">
        <v>4</v>
      </c>
      <c r="C163" s="560" t="str">
        <f>IF(AK159="","",RANK(F163,F160:F167)*1000+ROW())</f>
        <v/>
      </c>
      <c r="D163" s="561" t="str">
        <f t="shared" si="101"/>
        <v/>
      </c>
      <c r="E163" s="561" t="str">
        <f>IF(L163="","",Nb_Diff_Part(D163,D160:D167,G163,G160:G167,AI160:AI187)*CritClassInd_DiffPart+Nb_Goal_Part(D163,D160:D167,G163,G160:G167,V160:Z187)*CritClassInd_GoalPart+Nb_Score_Part(D163,D160:D167,G163,G160:G167,V160:Z187)*CritClassInd_ScorePart)</f>
        <v/>
      </c>
      <c r="F163" s="562" t="str">
        <f t="shared" si="102"/>
        <v/>
      </c>
      <c r="G163" s="477" t="s">
        <v>906</v>
      </c>
      <c r="H163" s="501">
        <f t="shared" si="103"/>
        <v>0</v>
      </c>
      <c r="I163" s="502"/>
      <c r="J163" s="560" t="str">
        <f>IF(AK159="","",(L163*Points_Victoire)+M163*Points_Null)</f>
        <v/>
      </c>
      <c r="K163" s="563" t="str">
        <f t="shared" si="104"/>
        <v/>
      </c>
      <c r="L163" s="563" t="str">
        <f>IF(AK159="","",COUNTIF(AE160:AE187,G163))</f>
        <v/>
      </c>
      <c r="M163" s="563" t="str">
        <f>IF(AK159="","",COUNTIF(AF160:AG187,G163))</f>
        <v/>
      </c>
      <c r="N163" s="563" t="str">
        <f>IF(AK159="","",COUNTIF(AH160:AH187,G163))</f>
        <v/>
      </c>
      <c r="O163" s="563" t="str">
        <f>IF(AK159="","",SUMIF(V160:V187,G163,AB160:AB187)+SUMIF(Z160:Z187,G163,AD160:AD187))</f>
        <v/>
      </c>
      <c r="P163" s="563" t="str">
        <f>IF(AK159="","",SUMIF(V160:V187,G163,AD160:AD187)+SUMIF(Z160:Z187,G163,AB160:AB187))</f>
        <v/>
      </c>
      <c r="Q163" s="564" t="str">
        <f>IF(AK159="","",O163-P163)</f>
        <v/>
      </c>
      <c r="R163" s="558" t="s">
        <v>1726</v>
      </c>
      <c r="S163" s="615"/>
      <c r="T163" s="619"/>
      <c r="U163" s="1503"/>
      <c r="V163" s="487" t="str">
        <f>IF(G164="","",G164)</f>
        <v>A5</v>
      </c>
      <c r="W163" s="488"/>
      <c r="X163" s="489" t="s">
        <v>769</v>
      </c>
      <c r="Y163" s="488"/>
      <c r="Z163" s="490" t="str">
        <f>IF(G165="","",G165)</f>
        <v>A6</v>
      </c>
      <c r="AA163" s="839"/>
      <c r="AB163" s="1459">
        <f t="shared" si="105"/>
        <v>0</v>
      </c>
      <c r="AC163" s="1460" t="str">
        <f t="shared" si="106"/>
        <v>-</v>
      </c>
      <c r="AD163" s="1459">
        <f t="shared" si="107"/>
        <v>0</v>
      </c>
      <c r="AE163" s="968" t="str">
        <f t="shared" si="108"/>
        <v/>
      </c>
      <c r="AF163" s="968" t="str">
        <f t="shared" si="109"/>
        <v/>
      </c>
      <c r="AG163" s="968" t="str">
        <f t="shared" si="110"/>
        <v/>
      </c>
      <c r="AH163" s="968" t="str">
        <f t="shared" si="111"/>
        <v/>
      </c>
      <c r="AI163" s="968" t="str">
        <f t="shared" si="112"/>
        <v/>
      </c>
      <c r="AJ163" s="968"/>
      <c r="AK163" s="968" t="str">
        <f>IF(AK159="","",SMALL(C160:C167,4))</f>
        <v/>
      </c>
      <c r="AL163" s="270"/>
      <c r="AM163" s="270"/>
      <c r="AN163" s="545" t="str">
        <f>IF(AK159="","",INT(AK163/1000))</f>
        <v/>
      </c>
      <c r="AO163" s="510" t="str">
        <f>IF(AK159="",IF(HidePlayerFormulas,"","("&amp;G163&amp;")"),VLOOKUP(AK163,C160:Q167,5,FALSE))</f>
        <v/>
      </c>
      <c r="AP163" s="511" t="str">
        <f>VLOOKUP(AK163,C160:Q167,8,FALSE)</f>
        <v/>
      </c>
      <c r="AQ163" s="511" t="str">
        <f>VLOOKUP(AK163,C160:Q167,9,FALSE)</f>
        <v/>
      </c>
      <c r="AR163" s="511" t="str">
        <f>VLOOKUP(AK163,C160:Q167,10,FALSE)</f>
        <v/>
      </c>
      <c r="AS163" s="511" t="str">
        <f>VLOOKUP(AK163,C160:Q167,11,FALSE)</f>
        <v/>
      </c>
      <c r="AT163" s="511" t="str">
        <f>VLOOKUP(AK163,C160:Q167,12,FALSE)</f>
        <v/>
      </c>
      <c r="AU163" s="511" t="str">
        <f>VLOOKUP(AK163,C160:Q167,13,FALSE)</f>
        <v/>
      </c>
      <c r="AV163" s="511" t="str">
        <f>VLOOKUP(AK163,C160:Q167,14,FALSE)</f>
        <v/>
      </c>
      <c r="AW163" s="512" t="str">
        <f>VLOOKUP(AK163,C160:Q167,15,FALSE)</f>
        <v/>
      </c>
      <c r="AX163" s="546" t="str">
        <f>IF(W184="","",IF(AO163=V184,W184,IF(AO163=Z184,Y184,"")))</f>
        <v/>
      </c>
      <c r="AY163" s="521" t="str">
        <f>IF(W185="","",IF(AO163=V185,W185,IF(AO163=Z185,Y185,"")))</f>
        <v/>
      </c>
      <c r="AZ163" s="521" t="str">
        <f>IF(W186="","",IF(AO163=V186,W186,IF(AO163=Z186,Y186,"")))</f>
        <v/>
      </c>
      <c r="BA163" s="521" t="str">
        <f>IF(W187="","",IF(AO163=V187,W187,IF(AO163=Z187,Y187,"")))</f>
        <v/>
      </c>
      <c r="BB163" s="521" t="str">
        <f>IF(W180="","",IF(AO163=V180,W180,IF(AO163=Z180,Y180,"")))</f>
        <v/>
      </c>
      <c r="BC163" s="521" t="str">
        <f>IF(W181="","",IF(AO163=V181,W181,IF(AO163=Z181,Y181,"")))</f>
        <v/>
      </c>
      <c r="BD163" s="521" t="str">
        <f>IF(W182="","",IF(AO163=V182,W182,IF(AO163=Z182,Y182,"")))</f>
        <v/>
      </c>
      <c r="BE163" s="521" t="str">
        <f>IF(W183="","",IF(AO163=V183,W183,IF(AO163=Z183,Y183,"")))</f>
        <v/>
      </c>
      <c r="BF163" s="521" t="str">
        <f>IF(W176="","",IF(AO163=V176,W176,IF(AO163=Z176,Y176,"")))</f>
        <v/>
      </c>
      <c r="BG163" s="521" t="str">
        <f>IF(W177="","",IF(AO163=V177,W177,IF(AO163=Z177,Y177,"")))</f>
        <v/>
      </c>
      <c r="BH163" s="521" t="str">
        <f>IF(W178="","",IF(AO163=V178,W178,IF(AO163=Z178,Y178,"")))</f>
        <v/>
      </c>
      <c r="BI163" s="521" t="str">
        <f>IF(W179="","",IF(AO163=V179,W179,IF(AO163=Z179,Y179,"")))</f>
        <v/>
      </c>
      <c r="BJ163" s="521" t="str">
        <f>IF(W172="","",IF(AO163=V172,W172,IF(AO163=Z172,Y172,"")))</f>
        <v/>
      </c>
      <c r="BK163" s="521" t="str">
        <f>IF(W173="","",IF(AO163=V173,W173,IF(AO163=Z173,Y173,"")))</f>
        <v/>
      </c>
      <c r="BL163" s="521" t="str">
        <f>IF(W174="","",IF(AO163=V174,W174,IF(AO163=Z174,Y174,"")))</f>
        <v/>
      </c>
      <c r="BM163" s="521" t="str">
        <f>IF(W175="","",IF(AO163=V175,W175,IF(AO163=Z175,Y175,"")))</f>
        <v/>
      </c>
      <c r="BN163" s="521" t="str">
        <f>IF(W168="","",IF(AO163=V168,W168,IF(AO163=Z168,Y168,"")))</f>
        <v/>
      </c>
      <c r="BO163" s="521" t="str">
        <f>IF(W169="","",IF(AO163=V169,W169,IF(AO163=Z169,Y169,"")))</f>
        <v/>
      </c>
      <c r="BP163" s="521" t="str">
        <f>IF(W170="","",IF(AO163=V170,W170,IF(AO163=Z170,Y170,"")))</f>
        <v/>
      </c>
      <c r="BQ163" s="521" t="str">
        <f>IF(W171="","",IF(AO163=V171,W171,IF(AO163=Z171,Y171,"")))</f>
        <v/>
      </c>
      <c r="BR163" s="521" t="str">
        <f>IF(W164="","",IF(AO163=V164,W164,IF(AO163=Z164,Y164,"")))</f>
        <v/>
      </c>
      <c r="BS163" s="521" t="str">
        <f>IF(W165="","",IF(AO163=V165,W165,IF(AO163=Z165,Y165,"")))</f>
        <v/>
      </c>
      <c r="BT163" s="521" t="str">
        <f>IF(W166="","",IF(AO163=V166,W166,IF(AO163=Z166,Y166,"")))</f>
        <v/>
      </c>
      <c r="BU163" s="521" t="str">
        <f>IF(W167="","",IF(AO163=V167,W167,IF(AO163=Z167,Y167,"")))</f>
        <v/>
      </c>
      <c r="BV163" s="521" t="str">
        <f>IF(W160="","",IF(AO163=V160,W160,IF(AO163=Z160,Y160,"")))</f>
        <v/>
      </c>
      <c r="BW163" s="521" t="str">
        <f>IF(W161="","",IF(AO163=V161,W161,IF(AO163=Z161,Y161,"")))</f>
        <v/>
      </c>
      <c r="BX163" s="521" t="str">
        <f>IF(W162="","",IF(AO163=V162,W162,IF(AO163=Z162,Y162,"")))</f>
        <v/>
      </c>
      <c r="BY163" s="522" t="str">
        <f>IF(W163="","",IF(AO163=V163,W163,IF(AO163=Z163,Y163,"")))</f>
        <v/>
      </c>
      <c r="BZ163" s="1395" t="b">
        <f t="shared" si="113"/>
        <v>1</v>
      </c>
      <c r="CA163" s="1450" t="b">
        <f t="shared" si="114"/>
        <v>0</v>
      </c>
      <c r="CB163" s="1450" t="b">
        <f t="shared" si="115"/>
        <v>1</v>
      </c>
      <c r="CC163" s="270"/>
      <c r="CD163" s="270"/>
      <c r="CE163"/>
    </row>
    <row r="164" spans="1:83" outlineLevel="1" x14ac:dyDescent="0.2">
      <c r="A164" s="270"/>
      <c r="B164" s="545">
        <v>5</v>
      </c>
      <c r="C164" s="560" t="str">
        <f>IF(AK159="","",RANK(F164,F160:F167)*1000+ROW())</f>
        <v/>
      </c>
      <c r="D164" s="561" t="str">
        <f t="shared" si="101"/>
        <v/>
      </c>
      <c r="E164" s="561" t="str">
        <f>IF(L164="","",Nb_Diff_Part(D164,D160:D167,G164,G160:G167,AI160:AI187)*CritClassInd_DiffPart+Nb_Goal_Part(D164,D160:D167,G164,G160:G167,V160:Z187)*CritClassInd_GoalPart+Nb_Score_Part(D164,D160:D167,G164,G160:G167,V160:Z187)*CritClassInd_ScorePart)</f>
        <v/>
      </c>
      <c r="F164" s="562" t="str">
        <f t="shared" si="102"/>
        <v/>
      </c>
      <c r="G164" s="477" t="s">
        <v>907</v>
      </c>
      <c r="H164" s="501">
        <f t="shared" si="103"/>
        <v>0</v>
      </c>
      <c r="I164" s="502"/>
      <c r="J164" s="560" t="str">
        <f>IF(AK159="","",(L164*Points_Victoire)+M164*Points_Null)</f>
        <v/>
      </c>
      <c r="K164" s="563" t="str">
        <f t="shared" si="104"/>
        <v/>
      </c>
      <c r="L164" s="563" t="str">
        <f>IF(AK159="","",COUNTIF(AE160:AE187,G164))</f>
        <v/>
      </c>
      <c r="M164" s="563" t="str">
        <f>IF(AK159="","",COUNTIF(AF160:AG187,G164))</f>
        <v/>
      </c>
      <c r="N164" s="563" t="str">
        <f>IF(AK159="","",COUNTIF(AH160:AH187,G164))</f>
        <v/>
      </c>
      <c r="O164" s="563" t="str">
        <f>IF(AK159="","",SUMIF(V160:V187,G164,AB160:AB187)+SUMIF(Z160:Z187,G164,AD160:AD187))</f>
        <v/>
      </c>
      <c r="P164" s="563" t="str">
        <f>IF(AK159="","",SUMIF(V160:V187,G164,AD160:AD187)+SUMIF(Z160:Z187,G164,AB160:AB187))</f>
        <v/>
      </c>
      <c r="Q164" s="564" t="str">
        <f>IF(AK159="","",O164-P164)</f>
        <v/>
      </c>
      <c r="R164" s="558" t="s">
        <v>1727</v>
      </c>
      <c r="S164" s="611"/>
      <c r="T164" s="617"/>
      <c r="U164" s="1502"/>
      <c r="V164" s="479" t="str">
        <f>IF(G160="","",G160)</f>
        <v>A1</v>
      </c>
      <c r="W164" s="480"/>
      <c r="X164" s="481" t="s">
        <v>769</v>
      </c>
      <c r="Y164" s="480"/>
      <c r="Z164" s="482" t="str">
        <f>IF(G164="","",G164)</f>
        <v>A5</v>
      </c>
      <c r="AA164" s="839"/>
      <c r="AB164" s="1459">
        <f t="shared" si="105"/>
        <v>0</v>
      </c>
      <c r="AC164" s="1460" t="str">
        <f t="shared" si="106"/>
        <v>-</v>
      </c>
      <c r="AD164" s="1459">
        <f t="shared" si="107"/>
        <v>0</v>
      </c>
      <c r="AE164" s="968" t="str">
        <f t="shared" si="108"/>
        <v/>
      </c>
      <c r="AF164" s="968" t="str">
        <f t="shared" si="109"/>
        <v/>
      </c>
      <c r="AG164" s="968" t="str">
        <f t="shared" si="110"/>
        <v/>
      </c>
      <c r="AH164" s="968" t="str">
        <f t="shared" si="111"/>
        <v/>
      </c>
      <c r="AI164" s="968" t="str">
        <f t="shared" si="112"/>
        <v/>
      </c>
      <c r="AJ164" s="968"/>
      <c r="AK164" s="968" t="str">
        <f>IF(AK159="","",SMALL(C160:C167,5))</f>
        <v/>
      </c>
      <c r="AL164" s="270"/>
      <c r="AM164" s="270"/>
      <c r="AN164" s="545" t="str">
        <f>IF(AK159="","",INT(AK164/1000))</f>
        <v/>
      </c>
      <c r="AO164" s="510" t="str">
        <f>IF(AK159="",IF(HidePlayerFormulas,"","("&amp;G164&amp;")"),VLOOKUP(AK164,C160:Q167,5,FALSE))</f>
        <v/>
      </c>
      <c r="AP164" s="511" t="str">
        <f>VLOOKUP(AK164,C160:Q167,8,FALSE)</f>
        <v/>
      </c>
      <c r="AQ164" s="511" t="str">
        <f>VLOOKUP(AK164,C160:Q167,9,FALSE)</f>
        <v/>
      </c>
      <c r="AR164" s="511" t="str">
        <f>VLOOKUP(AK164,C160:Q167,10,FALSE)</f>
        <v/>
      </c>
      <c r="AS164" s="511" t="str">
        <f>VLOOKUP(AK164,C160:Q167,11,FALSE)</f>
        <v/>
      </c>
      <c r="AT164" s="511" t="str">
        <f>VLOOKUP(AK164,C160:Q167,12,FALSE)</f>
        <v/>
      </c>
      <c r="AU164" s="511" t="str">
        <f>VLOOKUP(AK164,C160:Q167,13,FALSE)</f>
        <v/>
      </c>
      <c r="AV164" s="511" t="str">
        <f>VLOOKUP(AK164,C160:Q167,14,FALSE)</f>
        <v/>
      </c>
      <c r="AW164" s="512" t="str">
        <f>VLOOKUP(AK164,C160:Q167,15,FALSE)</f>
        <v/>
      </c>
      <c r="AX164" s="546" t="str">
        <f>IF(W184="","",IF(AO164=V184,W184,IF(AO164=Z184,Y184,"")))</f>
        <v/>
      </c>
      <c r="AY164" s="521" t="str">
        <f>IF(W185="","",IF(AO164=V185,W185,IF(AO164=Z185,Y185,"")))</f>
        <v/>
      </c>
      <c r="AZ164" s="521" t="str">
        <f>IF(W186="","",IF(AO164=V186,W186,IF(AO164=Z186,Y186,"")))</f>
        <v/>
      </c>
      <c r="BA164" s="521" t="str">
        <f>IF(W187="","",IF(AO164=V187,W187,IF(AO164=Z187,Y187,"")))</f>
        <v/>
      </c>
      <c r="BB164" s="521" t="str">
        <f>IF(W180="","",IF(AO164=V180,W180,IF(AO164=Z180,Y180,"")))</f>
        <v/>
      </c>
      <c r="BC164" s="521" t="str">
        <f>IF(W181="","",IF(AO164=V181,W181,IF(AO164=Z181,Y181,"")))</f>
        <v/>
      </c>
      <c r="BD164" s="521" t="str">
        <f>IF(W182="","",IF(AO164=V182,W182,IF(AO164=Z182,Y182,"")))</f>
        <v/>
      </c>
      <c r="BE164" s="521" t="str">
        <f>IF(W183="","",IF(AO164=V183,W183,IF(AO164=Z183,Y183,"")))</f>
        <v/>
      </c>
      <c r="BF164" s="521" t="str">
        <f>IF(W176="","",IF(AO164=V176,W176,IF(AO164=Z176,Y176,"")))</f>
        <v/>
      </c>
      <c r="BG164" s="521" t="str">
        <f>IF(W177="","",IF(AO164=V177,W177,IF(AO164=Z177,Y177,"")))</f>
        <v/>
      </c>
      <c r="BH164" s="521" t="str">
        <f>IF(W178="","",IF(AO164=V178,W178,IF(AO164=Z178,Y178,"")))</f>
        <v/>
      </c>
      <c r="BI164" s="521" t="str">
        <f>IF(W179="","",IF(AO164=V179,W179,IF(AO164=Z179,Y179,"")))</f>
        <v/>
      </c>
      <c r="BJ164" s="521" t="str">
        <f>IF(W172="","",IF(AO164=V172,W172,IF(AO164=Z172,Y172,"")))</f>
        <v/>
      </c>
      <c r="BK164" s="521" t="str">
        <f>IF(W173="","",IF(AO164=V173,W173,IF(AO164=Z173,Y173,"")))</f>
        <v/>
      </c>
      <c r="BL164" s="521" t="str">
        <f>IF(W174="","",IF(AO164=V174,W174,IF(AO164=Z174,Y174,"")))</f>
        <v/>
      </c>
      <c r="BM164" s="521" t="str">
        <f>IF(W175="","",IF(AO164=V175,W175,IF(AO164=Z175,Y175,"")))</f>
        <v/>
      </c>
      <c r="BN164" s="521" t="str">
        <f>IF(W168="","",IF(AO164=V168,W168,IF(AO164=Z168,Y168,"")))</f>
        <v/>
      </c>
      <c r="BO164" s="521" t="str">
        <f>IF(W169="","",IF(AO164=V169,W169,IF(AO164=Z169,Y169,"")))</f>
        <v/>
      </c>
      <c r="BP164" s="521" t="str">
        <f>IF(W170="","",IF(AO164=V170,W170,IF(AO164=Z170,Y170,"")))</f>
        <v/>
      </c>
      <c r="BQ164" s="521" t="str">
        <f>IF(W171="","",IF(AO164=V171,W171,IF(AO164=Z171,Y171,"")))</f>
        <v/>
      </c>
      <c r="BR164" s="521" t="str">
        <f>IF(W164="","",IF(AO164=V164,W164,IF(AO164=Z164,Y164,"")))</f>
        <v/>
      </c>
      <c r="BS164" s="521" t="str">
        <f>IF(W165="","",IF(AO164=V165,W165,IF(AO164=Z165,Y165,"")))</f>
        <v/>
      </c>
      <c r="BT164" s="521" t="str">
        <f>IF(W166="","",IF(AO164=V166,W166,IF(AO164=Z166,Y166,"")))</f>
        <v/>
      </c>
      <c r="BU164" s="521" t="str">
        <f>IF(W167="","",IF(AO164=V167,W167,IF(AO164=Z167,Y167,"")))</f>
        <v/>
      </c>
      <c r="BV164" s="521" t="str">
        <f>IF(W160="","",IF(AO164=V160,W160,IF(AO164=Z160,Y160,"")))</f>
        <v/>
      </c>
      <c r="BW164" s="521" t="str">
        <f>IF(W161="","",IF(AO164=V161,W161,IF(AO164=Z161,Y161,"")))</f>
        <v/>
      </c>
      <c r="BX164" s="521" t="str">
        <f>IF(W162="","",IF(AO164=V162,W162,IF(AO164=Z162,Y162,"")))</f>
        <v/>
      </c>
      <c r="BY164" s="522" t="str">
        <f>IF(W163="","",IF(AO164=V163,W163,IF(AO164=Z163,Y163,"")))</f>
        <v/>
      </c>
      <c r="BZ164" s="1395" t="b">
        <f t="shared" si="113"/>
        <v>1</v>
      </c>
      <c r="CA164" s="1450" t="b">
        <f t="shared" si="114"/>
        <v>0</v>
      </c>
      <c r="CB164" s="1450" t="b">
        <f t="shared" si="115"/>
        <v>1</v>
      </c>
      <c r="CC164" s="270"/>
      <c r="CD164" s="270"/>
      <c r="CE164"/>
    </row>
    <row r="165" spans="1:83" outlineLevel="1" x14ac:dyDescent="0.2">
      <c r="A165" s="270"/>
      <c r="B165" s="545">
        <v>6</v>
      </c>
      <c r="C165" s="560" t="str">
        <f>IF(AK159="","",RANK(F165,F160:F167)*1000+ROW())</f>
        <v/>
      </c>
      <c r="D165" s="561" t="str">
        <f t="shared" si="101"/>
        <v/>
      </c>
      <c r="E165" s="561" t="str">
        <f>IF(L165="","",Nb_Diff_Part(D165,D160:D167,G165,G160:G167,AI160:AI187)*CritClassInd_DiffPart+Nb_Goal_Part(D165,D160:D167,G165,G160:G167,V160:Z187)*CritClassInd_GoalPart+Nb_Score_Part(D165,D160:D167,G165,G160:G167,V160:Z187)*CritClassInd_ScorePart)</f>
        <v/>
      </c>
      <c r="F165" s="562" t="str">
        <f t="shared" si="102"/>
        <v/>
      </c>
      <c r="G165" s="477" t="s">
        <v>908</v>
      </c>
      <c r="H165" s="501">
        <f t="shared" si="103"/>
        <v>0</v>
      </c>
      <c r="I165" s="502"/>
      <c r="J165" s="560" t="str">
        <f>IF(AK159="","",(L165*Points_Victoire)+M165*Points_Null)</f>
        <v/>
      </c>
      <c r="K165" s="563" t="str">
        <f t="shared" si="104"/>
        <v/>
      </c>
      <c r="L165" s="563" t="str">
        <f>IF(AK159="","",COUNTIF(AE160:AE187,G165))</f>
        <v/>
      </c>
      <c r="M165" s="563" t="str">
        <f>IF(AK159="","",COUNTIF(AF160:AG187,G165))</f>
        <v/>
      </c>
      <c r="N165" s="563" t="str">
        <f>IF(AK159="","",COUNTIF(AH160:AH187,G165))</f>
        <v/>
      </c>
      <c r="O165" s="563" t="str">
        <f>IF(AK159="","",SUMIF(V160:V187,G165,AB160:AB187)+SUMIF(Z160:Z187,G165,AD160:AD187))</f>
        <v/>
      </c>
      <c r="P165" s="563" t="str">
        <f>IF(AK159="","",SUMIF(V160:V187,G165,AD160:AD187)+SUMIF(Z160:Z187,G165,AB160:AB187))</f>
        <v/>
      </c>
      <c r="Q165" s="564" t="str">
        <f>IF(AK159="","",O165-P165)</f>
        <v/>
      </c>
      <c r="R165" s="558" t="s">
        <v>1727</v>
      </c>
      <c r="S165" s="613"/>
      <c r="T165" s="618"/>
      <c r="U165" s="1504"/>
      <c r="V165" s="483" t="str">
        <f>IF(G161="","",G161)</f>
        <v>A2</v>
      </c>
      <c r="W165" s="484"/>
      <c r="X165" s="485" t="s">
        <v>769</v>
      </c>
      <c r="Y165" s="484"/>
      <c r="Z165" s="486" t="str">
        <f>IF(G163="","",G163)</f>
        <v>A4</v>
      </c>
      <c r="AA165" s="839"/>
      <c r="AB165" s="1459">
        <f t="shared" si="105"/>
        <v>0</v>
      </c>
      <c r="AC165" s="1460" t="str">
        <f t="shared" si="106"/>
        <v>-</v>
      </c>
      <c r="AD165" s="1459">
        <f t="shared" si="107"/>
        <v>0</v>
      </c>
      <c r="AE165" s="968" t="str">
        <f t="shared" si="108"/>
        <v/>
      </c>
      <c r="AF165" s="968" t="str">
        <f t="shared" si="109"/>
        <v/>
      </c>
      <c r="AG165" s="968" t="str">
        <f t="shared" si="110"/>
        <v/>
      </c>
      <c r="AH165" s="968" t="str">
        <f t="shared" si="111"/>
        <v/>
      </c>
      <c r="AI165" s="968" t="str">
        <f t="shared" si="112"/>
        <v/>
      </c>
      <c r="AJ165" s="968"/>
      <c r="AK165" s="968" t="str">
        <f>IF(AK159="","",SMALL(C160:C167,6))</f>
        <v/>
      </c>
      <c r="AL165" s="270"/>
      <c r="AM165" s="270"/>
      <c r="AN165" s="545" t="str">
        <f>IF(AK159="","",INT(AK165/1000))</f>
        <v/>
      </c>
      <c r="AO165" s="510" t="str">
        <f>IF(AK159="",IF(HidePlayerFormulas,"","("&amp;G165&amp;")"),VLOOKUP(AK165,C160:Q167,5,FALSE))</f>
        <v/>
      </c>
      <c r="AP165" s="511" t="str">
        <f>VLOOKUP(AK165,C160:Q167,8,FALSE)</f>
        <v/>
      </c>
      <c r="AQ165" s="511" t="str">
        <f>VLOOKUP(AK165,C160:Q167,9,FALSE)</f>
        <v/>
      </c>
      <c r="AR165" s="511" t="str">
        <f>VLOOKUP(AK165,C160:Q167,10,FALSE)</f>
        <v/>
      </c>
      <c r="AS165" s="511" t="str">
        <f>VLOOKUP(AK165,C160:Q167,11,FALSE)</f>
        <v/>
      </c>
      <c r="AT165" s="511" t="str">
        <f>VLOOKUP(AK165,C160:Q167,12,FALSE)</f>
        <v/>
      </c>
      <c r="AU165" s="511" t="str">
        <f>VLOOKUP(AK165,C160:Q167,13,FALSE)</f>
        <v/>
      </c>
      <c r="AV165" s="511" t="str">
        <f>VLOOKUP(AK165,C160:Q167,14,FALSE)</f>
        <v/>
      </c>
      <c r="AW165" s="512" t="str">
        <f>VLOOKUP(AK165,C160:Q167,15,FALSE)</f>
        <v/>
      </c>
      <c r="AX165" s="546" t="str">
        <f>IF(W184="","",IF(AO165=V184,W184,IF(AO165=Z184,Y184,"")))</f>
        <v/>
      </c>
      <c r="AY165" s="521" t="str">
        <f>IF(W185="","",IF(AO165=V185,W185,IF(AO165=Z185,Y185,"")))</f>
        <v/>
      </c>
      <c r="AZ165" s="521" t="str">
        <f>IF(W186="","",IF(AO165=V186,W186,IF(AO165=Z186,Y186,"")))</f>
        <v/>
      </c>
      <c r="BA165" s="521" t="str">
        <f>IF(W187="","",IF(AO165=V187,W187,IF(AO165=Z187,Y187,"")))</f>
        <v/>
      </c>
      <c r="BB165" s="521" t="str">
        <f>IF(W180="","",IF(AO165=V180,W180,IF(AO165=Z180,Y180,"")))</f>
        <v/>
      </c>
      <c r="BC165" s="521" t="str">
        <f>IF(W181="","",IF(AO165=V181,W181,IF(AO165=Z181,Y181,"")))</f>
        <v/>
      </c>
      <c r="BD165" s="521" t="str">
        <f>IF(W182="","",IF(AO165=V182,W182,IF(AO165=Z182,Y182,"")))</f>
        <v/>
      </c>
      <c r="BE165" s="521" t="str">
        <f>IF(W183="","",IF(AO165=V183,W183,IF(AO165=Z183,Y183,"")))</f>
        <v/>
      </c>
      <c r="BF165" s="521" t="str">
        <f>IF(W176="","",IF(AO165=V176,W176,IF(AO165=Z176,Y176,"")))</f>
        <v/>
      </c>
      <c r="BG165" s="521" t="str">
        <f>IF(W177="","",IF(AO165=V177,W177,IF(AO165=Z177,Y177,"")))</f>
        <v/>
      </c>
      <c r="BH165" s="521" t="str">
        <f>IF(W178="","",IF(AO165=V178,W178,IF(AO165=Z178,Y178,"")))</f>
        <v/>
      </c>
      <c r="BI165" s="521" t="str">
        <f>IF(W179="","",IF(AO165=V179,W179,IF(AO165=Z179,Y179,"")))</f>
        <v/>
      </c>
      <c r="BJ165" s="521" t="str">
        <f>IF(W172="","",IF(AO165=V172,W172,IF(AO165=Z172,Y172,"")))</f>
        <v/>
      </c>
      <c r="BK165" s="521" t="str">
        <f>IF(W173="","",IF(AO165=V173,W173,IF(AO165=Z173,Y173,"")))</f>
        <v/>
      </c>
      <c r="BL165" s="521" t="str">
        <f>IF(W174="","",IF(AO165=V174,W174,IF(AO165=Z174,Y174,"")))</f>
        <v/>
      </c>
      <c r="BM165" s="521" t="str">
        <f>IF(W175="","",IF(AO165=V175,W175,IF(AO165=Z175,Y175,"")))</f>
        <v/>
      </c>
      <c r="BN165" s="521" t="str">
        <f>IF(W168="","",IF(AO165=V168,W168,IF(AO165=Z168,Y168,"")))</f>
        <v/>
      </c>
      <c r="BO165" s="521" t="str">
        <f>IF(W169="","",IF(AO165=V169,W169,IF(AO165=Z169,Y169,"")))</f>
        <v/>
      </c>
      <c r="BP165" s="521" t="str">
        <f>IF(W170="","",IF(AO165=V170,W170,IF(AO165=Z170,Y170,"")))</f>
        <v/>
      </c>
      <c r="BQ165" s="521" t="str">
        <f>IF(W171="","",IF(AO165=V171,W171,IF(AO165=Z171,Y171,"")))</f>
        <v/>
      </c>
      <c r="BR165" s="521" t="str">
        <f>IF(W164="","",IF(AO165=V164,W164,IF(AO165=Z164,Y164,"")))</f>
        <v/>
      </c>
      <c r="BS165" s="521" t="str">
        <f>IF(W165="","",IF(AO165=V165,W165,IF(AO165=Z165,Y165,"")))</f>
        <v/>
      </c>
      <c r="BT165" s="521" t="str">
        <f>IF(W166="","",IF(AO165=V166,W166,IF(AO165=Z166,Y166,"")))</f>
        <v/>
      </c>
      <c r="BU165" s="521" t="str">
        <f>IF(W167="","",IF(AO165=V167,W167,IF(AO165=Z167,Y167,"")))</f>
        <v/>
      </c>
      <c r="BV165" s="521" t="str">
        <f>IF(W160="","",IF(AO165=V160,W160,IF(AO165=Z160,Y160,"")))</f>
        <v/>
      </c>
      <c r="BW165" s="521" t="str">
        <f>IF(W161="","",IF(AO165=V161,W161,IF(AO165=Z161,Y161,"")))</f>
        <v/>
      </c>
      <c r="BX165" s="521" t="str">
        <f>IF(W162="","",IF(AO165=V162,W162,IF(AO165=Z162,Y162,"")))</f>
        <v/>
      </c>
      <c r="BY165" s="522" t="str">
        <f>IF(W163="","",IF(AO165=V163,W163,IF(AO165=Z163,Y163,"")))</f>
        <v/>
      </c>
      <c r="BZ165" s="1395" t="b">
        <f t="shared" si="113"/>
        <v>1</v>
      </c>
      <c r="CA165" s="1450" t="b">
        <f t="shared" si="114"/>
        <v>0</v>
      </c>
      <c r="CB165" s="1450" t="b">
        <f t="shared" si="115"/>
        <v>1</v>
      </c>
      <c r="CC165" s="270"/>
      <c r="CD165" s="270"/>
      <c r="CE165"/>
    </row>
    <row r="166" spans="1:83" outlineLevel="1" x14ac:dyDescent="0.2">
      <c r="A166" s="270"/>
      <c r="B166" s="545">
        <v>7</v>
      </c>
      <c r="C166" s="560" t="str">
        <f>IF(AK159="","",RANK(F166,F160:F167)*1000+ROW())</f>
        <v/>
      </c>
      <c r="D166" s="561" t="str">
        <f t="shared" si="101"/>
        <v/>
      </c>
      <c r="E166" s="561" t="str">
        <f>IF(L166="","",Nb_Diff_Part(D166,D160:D167,G166,G160:G167,AI160:AI187)*CritClassInd_DiffPart+Nb_Goal_Part(D166,D160:D167,G166,G160:G167,V160:Z187)*CritClassInd_GoalPart+Nb_Score_Part(D166,D160:D167,G166,G160:G167,V160:Z187)*CritClassInd_ScorePart)</f>
        <v/>
      </c>
      <c r="F166" s="562" t="str">
        <f t="shared" si="102"/>
        <v/>
      </c>
      <c r="G166" s="477" t="s">
        <v>909</v>
      </c>
      <c r="H166" s="501">
        <f t="shared" si="103"/>
        <v>0</v>
      </c>
      <c r="I166" s="502"/>
      <c r="J166" s="560" t="str">
        <f>IF(AK159="","",(L166*Points_Victoire)+M166*Points_Null)</f>
        <v/>
      </c>
      <c r="K166" s="563" t="str">
        <f t="shared" si="104"/>
        <v/>
      </c>
      <c r="L166" s="563" t="str">
        <f>IF(AK159="","",COUNTIF(AE160:AE187,G166))</f>
        <v/>
      </c>
      <c r="M166" s="563" t="str">
        <f>IF(AK159="","",COUNTIF(AF160:AG187,G166))</f>
        <v/>
      </c>
      <c r="N166" s="563" t="str">
        <f>IF(AK159="","",COUNTIF(AH160:AH187,G166))</f>
        <v/>
      </c>
      <c r="O166" s="563" t="str">
        <f>IF(AK159="","",SUMIF(V160:V187,G166,AB160:AB187)+SUMIF(Z160:Z187,G166,AD160:AD187))</f>
        <v/>
      </c>
      <c r="P166" s="563" t="str">
        <f>IF(AK159="","",SUMIF(V160:V187,G166,AD160:AD187)+SUMIF(Z160:Z187,G166,AB160:AB187))</f>
        <v/>
      </c>
      <c r="Q166" s="564" t="str">
        <f>IF(AK159="","",O166-P166)</f>
        <v/>
      </c>
      <c r="R166" s="558" t="s">
        <v>1727</v>
      </c>
      <c r="S166" s="613"/>
      <c r="T166" s="618"/>
      <c r="U166" s="1504"/>
      <c r="V166" s="483" t="str">
        <f>IF(G162="","",G162)</f>
        <v>A3</v>
      </c>
      <c r="W166" s="484"/>
      <c r="X166" s="485" t="s">
        <v>769</v>
      </c>
      <c r="Y166" s="484"/>
      <c r="Z166" s="486" t="str">
        <f>IF(G167="","",G167)</f>
        <v>A8</v>
      </c>
      <c r="AA166" s="839"/>
      <c r="AB166" s="1459">
        <f t="shared" si="105"/>
        <v>0</v>
      </c>
      <c r="AC166" s="1460" t="str">
        <f t="shared" si="106"/>
        <v>-</v>
      </c>
      <c r="AD166" s="1459">
        <f t="shared" si="107"/>
        <v>0</v>
      </c>
      <c r="AE166" s="968" t="str">
        <f t="shared" si="108"/>
        <v/>
      </c>
      <c r="AF166" s="968" t="str">
        <f t="shared" si="109"/>
        <v/>
      </c>
      <c r="AG166" s="968" t="str">
        <f t="shared" si="110"/>
        <v/>
      </c>
      <c r="AH166" s="968" t="str">
        <f t="shared" si="111"/>
        <v/>
      </c>
      <c r="AI166" s="968" t="str">
        <f t="shared" si="112"/>
        <v/>
      </c>
      <c r="AJ166" s="968"/>
      <c r="AK166" s="968" t="str">
        <f>IF(AK159="","",SMALL(C160:C167,7))</f>
        <v/>
      </c>
      <c r="AL166" s="270"/>
      <c r="AM166" s="270"/>
      <c r="AN166" s="545" t="str">
        <f>IF(AK159="","",INT(AK166/1000))</f>
        <v/>
      </c>
      <c r="AO166" s="510" t="str">
        <f>IF(AK159="",IF(HidePlayerFormulas,"","("&amp;G166&amp;")"),VLOOKUP(AK166,C160:Q167,5,FALSE))</f>
        <v/>
      </c>
      <c r="AP166" s="511" t="str">
        <f>VLOOKUP(AK166,C160:Q167,8,FALSE)</f>
        <v/>
      </c>
      <c r="AQ166" s="511" t="str">
        <f>VLOOKUP(AK166,C160:Q167,9,FALSE)</f>
        <v/>
      </c>
      <c r="AR166" s="511" t="str">
        <f>VLOOKUP(AK166,C160:Q167,10,FALSE)</f>
        <v/>
      </c>
      <c r="AS166" s="511" t="str">
        <f>VLOOKUP(AK166,C160:Q167,11,FALSE)</f>
        <v/>
      </c>
      <c r="AT166" s="511" t="str">
        <f>VLOOKUP(AK166,C160:Q167,12,FALSE)</f>
        <v/>
      </c>
      <c r="AU166" s="511" t="str">
        <f>VLOOKUP(AK166,C160:Q167,13,FALSE)</f>
        <v/>
      </c>
      <c r="AV166" s="511" t="str">
        <f>VLOOKUP(AK166,C160:Q167,14,FALSE)</f>
        <v/>
      </c>
      <c r="AW166" s="512" t="str">
        <f>VLOOKUP(AK166,C160:Q167,15,FALSE)</f>
        <v/>
      </c>
      <c r="AX166" s="546" t="str">
        <f>IF(W184="","",IF(AO166=V184,W184,IF(AO166=Z184,Y184,"")))</f>
        <v/>
      </c>
      <c r="AY166" s="521" t="str">
        <f>IF(W185="","",IF(AO166=V185,W185,IF(AO166=Z185,Y185,"")))</f>
        <v/>
      </c>
      <c r="AZ166" s="521" t="str">
        <f>IF(W186="","",IF(AO166=V186,W186,IF(AO166=Z186,Y186,"")))</f>
        <v/>
      </c>
      <c r="BA166" s="521" t="str">
        <f>IF(W187="","",IF(AO166=V187,W187,IF(AO166=Z187,Y187,"")))</f>
        <v/>
      </c>
      <c r="BB166" s="521" t="str">
        <f>IF(W180="","",IF(AO166=V180,W180,IF(AO166=Z180,Y180,"")))</f>
        <v/>
      </c>
      <c r="BC166" s="521" t="str">
        <f>IF(W181="","",IF(AO166=V181,W181,IF(AO166=Z181,Y181,"")))</f>
        <v/>
      </c>
      <c r="BD166" s="521" t="str">
        <f>IF(W182="","",IF(AO166=V182,W182,IF(AO166=Z182,Y182,"")))</f>
        <v/>
      </c>
      <c r="BE166" s="521" t="str">
        <f>IF(W183="","",IF(AO166=V183,W183,IF(AO166=Z183,Y183,"")))</f>
        <v/>
      </c>
      <c r="BF166" s="521" t="str">
        <f>IF(W176="","",IF(AO166=V176,W176,IF(AO166=Z176,Y176,"")))</f>
        <v/>
      </c>
      <c r="BG166" s="521" t="str">
        <f>IF(W177="","",IF(AO166=V177,W177,IF(AO166=Z177,Y177,"")))</f>
        <v/>
      </c>
      <c r="BH166" s="521" t="str">
        <f>IF(W178="","",IF(AO166=V178,W178,IF(AO166=Z178,Y178,"")))</f>
        <v/>
      </c>
      <c r="BI166" s="521" t="str">
        <f>IF(W179="","",IF(AO166=V179,W179,IF(AO166=Z179,Y179,"")))</f>
        <v/>
      </c>
      <c r="BJ166" s="521" t="str">
        <f>IF(W172="","",IF(AO166=V172,W172,IF(AO166=Z172,Y172,"")))</f>
        <v/>
      </c>
      <c r="BK166" s="521" t="str">
        <f>IF(W173="","",IF(AO166=V173,W173,IF(AO166=Z173,Y173,"")))</f>
        <v/>
      </c>
      <c r="BL166" s="521" t="str">
        <f>IF(W174="","",IF(AO166=V174,W174,IF(AO166=Z174,Y174,"")))</f>
        <v/>
      </c>
      <c r="BM166" s="521" t="str">
        <f>IF(W175="","",IF(AO166=V175,W175,IF(AO166=Z175,Y175,"")))</f>
        <v/>
      </c>
      <c r="BN166" s="521" t="str">
        <f>IF(W168="","",IF(AO166=V168,W168,IF(AO166=Z168,Y168,"")))</f>
        <v/>
      </c>
      <c r="BO166" s="521" t="str">
        <f>IF(W169="","",IF(AO166=V169,W169,IF(AO166=Z169,Y169,"")))</f>
        <v/>
      </c>
      <c r="BP166" s="521" t="str">
        <f>IF(W170="","",IF(AO166=V170,W170,IF(AO166=Z170,Y170,"")))</f>
        <v/>
      </c>
      <c r="BQ166" s="521" t="str">
        <f>IF(W171="","",IF(AO166=V171,W171,IF(AO166=Z171,Y171,"")))</f>
        <v/>
      </c>
      <c r="BR166" s="521" t="str">
        <f>IF(W164="","",IF(AO166=V164,W164,IF(AO166=Z164,Y164,"")))</f>
        <v/>
      </c>
      <c r="BS166" s="521" t="str">
        <f>IF(W165="","",IF(AO166=V165,W165,IF(AO166=Z165,Y165,"")))</f>
        <v/>
      </c>
      <c r="BT166" s="521" t="str">
        <f>IF(W166="","",IF(AO166=V166,W166,IF(AO166=Z166,Y166,"")))</f>
        <v/>
      </c>
      <c r="BU166" s="521" t="str">
        <f>IF(W167="","",IF(AO166=V167,W167,IF(AO166=Z167,Y167,"")))</f>
        <v/>
      </c>
      <c r="BV166" s="521" t="str">
        <f>IF(W160="","",IF(AO166=V160,W160,IF(AO166=Z160,Y160,"")))</f>
        <v/>
      </c>
      <c r="BW166" s="521" t="str">
        <f>IF(W161="","",IF(AO166=V161,W161,IF(AO166=Z161,Y161,"")))</f>
        <v/>
      </c>
      <c r="BX166" s="521" t="str">
        <f>IF(W162="","",IF(AO166=V162,W162,IF(AO166=Z162,Y162,"")))</f>
        <v/>
      </c>
      <c r="BY166" s="522" t="str">
        <f>IF(W163="","",IF(AO166=V163,W163,IF(AO166=Z163,Y163,"")))</f>
        <v/>
      </c>
      <c r="BZ166" s="1395" t="b">
        <f t="shared" si="113"/>
        <v>1</v>
      </c>
      <c r="CA166" s="1450" t="b">
        <f t="shared" si="114"/>
        <v>0</v>
      </c>
      <c r="CB166" s="1450" t="b">
        <f t="shared" si="115"/>
        <v>1</v>
      </c>
      <c r="CC166" s="270"/>
      <c r="CD166" s="270"/>
      <c r="CE166"/>
    </row>
    <row r="167" spans="1:83" ht="13.5" outlineLevel="1" thickBot="1" x14ac:dyDescent="0.25">
      <c r="A167" s="270"/>
      <c r="B167" s="588">
        <v>8</v>
      </c>
      <c r="C167" s="565" t="str">
        <f>IF(AK159="","",RANK(F167,F160:F167)*1000+ROW())</f>
        <v/>
      </c>
      <c r="D167" s="566" t="str">
        <f t="shared" si="101"/>
        <v/>
      </c>
      <c r="E167" s="566" t="str">
        <f>IF(L167="","",Nb_Diff_Part(D167,D160:D167,G167,G160:G167,AI160:AI187)*CritClassInd_DiffPart+Nb_Goal_Part(D167,D160:D167,G167,G160:G167,V160:Z187)*CritClassInd_GoalPart+Nb_Score_Part(D167,D160:D167,G167,G160:G167,V160:Z187)*CritClassInd_ScorePart)</f>
        <v/>
      </c>
      <c r="F167" s="567" t="str">
        <f t="shared" si="102"/>
        <v/>
      </c>
      <c r="G167" s="478" t="s">
        <v>910</v>
      </c>
      <c r="H167" s="503">
        <f t="shared" si="103"/>
        <v>0</v>
      </c>
      <c r="I167" s="504"/>
      <c r="J167" s="585" t="str">
        <f>IF(AK159="","",(L167*Points_Victoire)+M167*Points_Null)</f>
        <v/>
      </c>
      <c r="K167" s="586" t="str">
        <f t="shared" si="104"/>
        <v/>
      </c>
      <c r="L167" s="586" t="str">
        <f>IF(AK159="","",COUNTIF(AE160:AE187,G167))</f>
        <v/>
      </c>
      <c r="M167" s="586" t="str">
        <f>IF(AK159="","",COUNTIF(AF160:AG187,G167))</f>
        <v/>
      </c>
      <c r="N167" s="586" t="str">
        <f>IF(AK159="","",COUNTIF(AH160:AH187,G167))</f>
        <v/>
      </c>
      <c r="O167" s="586" t="str">
        <f>IF(AK159="","",SUMIF(V160:V187,G167,AB160:AB187)+SUMIF(Z160:Z187,G167,AD160:AD187))</f>
        <v/>
      </c>
      <c r="P167" s="586" t="str">
        <f>IF(AK159="","",SUMIF(V160:V187,G167,AD160:AD187)+SUMIF(Z160:Z187,G167,AB160:AB187))</f>
        <v/>
      </c>
      <c r="Q167" s="587" t="str">
        <f>IF(AK159="","",O167-P167)</f>
        <v/>
      </c>
      <c r="R167" s="558" t="s">
        <v>1727</v>
      </c>
      <c r="S167" s="615"/>
      <c r="T167" s="619"/>
      <c r="U167" s="1503"/>
      <c r="V167" s="487" t="str">
        <f>IF(G165="","",G165)</f>
        <v>A6</v>
      </c>
      <c r="W167" s="488"/>
      <c r="X167" s="489" t="s">
        <v>769</v>
      </c>
      <c r="Y167" s="488"/>
      <c r="Z167" s="490" t="str">
        <f>IF(G166="","",G166)</f>
        <v>A7</v>
      </c>
      <c r="AA167" s="839"/>
      <c r="AB167" s="1459">
        <f t="shared" si="105"/>
        <v>0</v>
      </c>
      <c r="AC167" s="1460" t="str">
        <f t="shared" si="106"/>
        <v>-</v>
      </c>
      <c r="AD167" s="1459">
        <f t="shared" si="107"/>
        <v>0</v>
      </c>
      <c r="AE167" s="968" t="str">
        <f t="shared" si="108"/>
        <v/>
      </c>
      <c r="AF167" s="968" t="str">
        <f t="shared" si="109"/>
        <v/>
      </c>
      <c r="AG167" s="968" t="str">
        <f t="shared" si="110"/>
        <v/>
      </c>
      <c r="AH167" s="968" t="str">
        <f t="shared" si="111"/>
        <v/>
      </c>
      <c r="AI167" s="968" t="str">
        <f t="shared" si="112"/>
        <v/>
      </c>
      <c r="AJ167" s="968"/>
      <c r="AK167" s="968" t="str">
        <f>IF(AK159="","",SMALL(C160:C167,8))</f>
        <v/>
      </c>
      <c r="AL167" s="270"/>
      <c r="AM167" s="270"/>
      <c r="AN167" s="547" t="str">
        <f>IF(AK159="","",INT(AK167/1000))</f>
        <v/>
      </c>
      <c r="AO167" s="514" t="str">
        <f>IF(AK159="",IF(HidePlayerFormulas,"","("&amp;G167&amp;")"),VLOOKUP(AK167,C160:Q167,5,FALSE))</f>
        <v/>
      </c>
      <c r="AP167" s="515" t="str">
        <f>VLOOKUP(AK167,C160:Q167,8,FALSE)</f>
        <v/>
      </c>
      <c r="AQ167" s="515" t="str">
        <f>VLOOKUP(AK167,C160:Q167,9,FALSE)</f>
        <v/>
      </c>
      <c r="AR167" s="515" t="str">
        <f>VLOOKUP(AK167,C160:Q167,10,FALSE)</f>
        <v/>
      </c>
      <c r="AS167" s="515" t="str">
        <f>VLOOKUP(AK167,C160:Q167,11,FALSE)</f>
        <v/>
      </c>
      <c r="AT167" s="515" t="str">
        <f>VLOOKUP(AK167,C160:Q167,12,FALSE)</f>
        <v/>
      </c>
      <c r="AU167" s="515" t="str">
        <f>VLOOKUP(AK167,C160:Q167,13,FALSE)</f>
        <v/>
      </c>
      <c r="AV167" s="515" t="str">
        <f>VLOOKUP(AK167,C160:Q167,14,FALSE)</f>
        <v/>
      </c>
      <c r="AW167" s="516" t="str">
        <f>VLOOKUP(AK167,C160:Q167,15,FALSE)</f>
        <v/>
      </c>
      <c r="AX167" s="548" t="str">
        <f>IF(W184="","",IF(AO167=V184,W184,IF(AO167=Z184,Y184,"")))</f>
        <v/>
      </c>
      <c r="AY167" s="524" t="str">
        <f>IF(W185="","",IF(AO167=V185,W185,IF(AO167=Z185,Y185,"")))</f>
        <v/>
      </c>
      <c r="AZ167" s="524" t="str">
        <f>IF(W186="","",IF(AO167=V186,W186,IF(AO167=Z186,Y186,"")))</f>
        <v/>
      </c>
      <c r="BA167" s="524" t="str">
        <f>IF(W187="","",IF(AO167=V187,W187,IF(AO167=Z187,Y187,"")))</f>
        <v/>
      </c>
      <c r="BB167" s="524" t="str">
        <f>IF(W180="","",IF(AO167=V180,W180,IF(AO167=Z180,Y180,"")))</f>
        <v/>
      </c>
      <c r="BC167" s="524" t="str">
        <f>IF(W181="","",IF(AO167=V181,W181,IF(AO167=Z181,Y181,"")))</f>
        <v/>
      </c>
      <c r="BD167" s="524" t="str">
        <f>IF(W182="","",IF(AO167=V182,W182,IF(AO167=Z182,Y182,"")))</f>
        <v/>
      </c>
      <c r="BE167" s="524" t="str">
        <f>IF(W183="","",IF(AO167=V183,W183,IF(AO167=Z183,Y183,"")))</f>
        <v/>
      </c>
      <c r="BF167" s="524" t="str">
        <f>IF(W176="","",IF(AO167=V176,W176,IF(AO167=Z176,Y176,"")))</f>
        <v/>
      </c>
      <c r="BG167" s="524" t="str">
        <f>IF(W177="","",IF(AO167=V177,W177,IF(AO167=Z177,Y177,"")))</f>
        <v/>
      </c>
      <c r="BH167" s="524" t="str">
        <f>IF(W178="","",IF(AO167=V178,W178,IF(AO167=Z178,Y178,"")))</f>
        <v/>
      </c>
      <c r="BI167" s="524" t="str">
        <f>IF(W179="","",IF(AO167=V179,W179,IF(AO167=Z179,Y179,"")))</f>
        <v/>
      </c>
      <c r="BJ167" s="524" t="str">
        <f>IF(W172="","",IF(AO167=V172,W172,IF(AO167=Z172,Y172,"")))</f>
        <v/>
      </c>
      <c r="BK167" s="524" t="str">
        <f>IF(W173="","",IF(AO167=V173,W173,IF(AO167=Z173,Y173,"")))</f>
        <v/>
      </c>
      <c r="BL167" s="524" t="str">
        <f>IF(W174="","",IF(AO167=V174,W174,IF(AO167=Z174,Y174,"")))</f>
        <v/>
      </c>
      <c r="BM167" s="524" t="str">
        <f>IF(W175="","",IF(AO167=V175,W175,IF(AO167=Z175,Y175,"")))</f>
        <v/>
      </c>
      <c r="BN167" s="524" t="str">
        <f>IF(W168="","",IF(AO167=V168,W168,IF(AO167=Z168,Y168,"")))</f>
        <v/>
      </c>
      <c r="BO167" s="524" t="str">
        <f>IF(W169="","",IF(AO167=V169,W169,IF(AO167=Z169,Y169,"")))</f>
        <v/>
      </c>
      <c r="BP167" s="524" t="str">
        <f>IF(W170="","",IF(AO167=V170,W170,IF(AO167=Z170,Y170,"")))</f>
        <v/>
      </c>
      <c r="BQ167" s="524" t="str">
        <f>IF(W171="","",IF(AO167=V171,W171,IF(AO167=Z171,Y171,"")))</f>
        <v/>
      </c>
      <c r="BR167" s="524" t="str">
        <f>IF(W164="","",IF(AO167=V164,W164,IF(AO167=Z164,Y164,"")))</f>
        <v/>
      </c>
      <c r="BS167" s="524" t="str">
        <f>IF(W165="","",IF(AO167=V165,W165,IF(AO167=Z165,Y165,"")))</f>
        <v/>
      </c>
      <c r="BT167" s="524" t="str">
        <f>IF(W166="","",IF(AO167=V166,W166,IF(AO167=Z166,Y166,"")))</f>
        <v/>
      </c>
      <c r="BU167" s="524" t="str">
        <f>IF(W167="","",IF(AO167=V167,W167,IF(AO167=Z167,Y167,"")))</f>
        <v/>
      </c>
      <c r="BV167" s="524" t="str">
        <f>IF(W160="","",IF(AO167=V160,W160,IF(AO167=Z160,Y160,"")))</f>
        <v/>
      </c>
      <c r="BW167" s="524" t="str">
        <f>IF(W161="","",IF(AO167=V161,W161,IF(AO167=Z161,Y161,"")))</f>
        <v/>
      </c>
      <c r="BX167" s="524" t="str">
        <f>IF(W162="","",IF(AO167=V162,W162,IF(AO167=Z162,Y162,"")))</f>
        <v/>
      </c>
      <c r="BY167" s="525" t="str">
        <f>IF(W163="","",IF(AO167=V163,W163,IF(AO167=Z163,Y163,"")))</f>
        <v/>
      </c>
      <c r="BZ167" s="1395" t="b">
        <f t="shared" si="113"/>
        <v>0</v>
      </c>
      <c r="CA167" s="1450" t="b">
        <f t="shared" si="114"/>
        <v>0</v>
      </c>
      <c r="CB167" s="1450" t="b">
        <f t="shared" si="115"/>
        <v>1</v>
      </c>
      <c r="CC167" s="270"/>
      <c r="CD167" s="270"/>
      <c r="CE167"/>
    </row>
    <row r="168" spans="1:83" outlineLevel="2" x14ac:dyDescent="0.2">
      <c r="A168" s="270"/>
      <c r="B168" s="271"/>
      <c r="C168" s="270"/>
      <c r="D168" s="270"/>
      <c r="E168" s="270"/>
      <c r="F168" s="270"/>
      <c r="G168" s="271"/>
      <c r="H168" s="271"/>
      <c r="I168" s="271"/>
      <c r="J168" s="270"/>
      <c r="K168" s="270"/>
      <c r="L168" s="270"/>
      <c r="M168" s="270"/>
      <c r="N168" s="270"/>
      <c r="O168" s="270"/>
      <c r="P168" s="270"/>
      <c r="Q168" s="270"/>
      <c r="R168" s="558" t="s">
        <v>1728</v>
      </c>
      <c r="S168" s="611"/>
      <c r="T168" s="617"/>
      <c r="U168" s="1502"/>
      <c r="V168" s="479" t="str">
        <f>IF(G162="","",G162)</f>
        <v>A3</v>
      </c>
      <c r="W168" s="480"/>
      <c r="X168" s="481" t="s">
        <v>769</v>
      </c>
      <c r="Y168" s="480"/>
      <c r="Z168" s="482" t="str">
        <f>IF(G164="","",G164)</f>
        <v>A5</v>
      </c>
      <c r="AA168" s="839"/>
      <c r="AB168" s="1459">
        <f t="shared" si="105"/>
        <v>0</v>
      </c>
      <c r="AC168" s="1460" t="str">
        <f t="shared" si="106"/>
        <v>-</v>
      </c>
      <c r="AD168" s="1459">
        <f t="shared" si="107"/>
        <v>0</v>
      </c>
      <c r="AE168" s="968" t="str">
        <f t="shared" si="108"/>
        <v/>
      </c>
      <c r="AF168" s="968" t="str">
        <f t="shared" si="109"/>
        <v/>
      </c>
      <c r="AG168" s="968" t="str">
        <f t="shared" si="110"/>
        <v/>
      </c>
      <c r="AH168" s="968" t="str">
        <f t="shared" si="111"/>
        <v/>
      </c>
      <c r="AI168" s="968" t="str">
        <f t="shared" si="112"/>
        <v/>
      </c>
      <c r="AJ168" s="968"/>
      <c r="AK168" s="968"/>
      <c r="AL168" s="270"/>
      <c r="AM168" s="270"/>
      <c r="AN168" s="575"/>
      <c r="AO168" s="270"/>
      <c r="AP168" s="271"/>
      <c r="AQ168" s="271"/>
      <c r="AR168" s="271"/>
      <c r="AS168" s="271"/>
      <c r="AT168" s="271"/>
      <c r="AU168" s="271"/>
      <c r="AV168" s="271"/>
      <c r="AW168" s="271"/>
      <c r="AX168" s="271"/>
      <c r="AY168" s="271"/>
      <c r="AZ168" s="271"/>
      <c r="BA168" s="271"/>
      <c r="BB168" s="271"/>
      <c r="BC168" s="271"/>
      <c r="BD168" s="271"/>
      <c r="BE168" s="271"/>
      <c r="BF168" s="271"/>
      <c r="BG168" s="271"/>
      <c r="BH168" s="271"/>
      <c r="BI168" s="271"/>
      <c r="BJ168" s="271"/>
      <c r="BK168" s="271"/>
      <c r="BL168" s="271"/>
      <c r="BM168" s="271"/>
      <c r="BN168" s="271"/>
      <c r="BO168" s="271"/>
      <c r="BP168" s="271"/>
      <c r="BQ168" s="271"/>
      <c r="BR168" s="271"/>
      <c r="BS168" s="271"/>
      <c r="BT168" s="271"/>
      <c r="BU168" s="271"/>
      <c r="BV168" s="271"/>
      <c r="BW168" s="271"/>
      <c r="BX168" s="271"/>
      <c r="BY168" s="271"/>
      <c r="BZ168"/>
      <c r="CA168" s="1396"/>
      <c r="CB168" s="1396"/>
      <c r="CC168" s="270"/>
      <c r="CD168" s="270"/>
      <c r="CE168"/>
    </row>
    <row r="169" spans="1:83" outlineLevel="2" x14ac:dyDescent="0.2">
      <c r="A169" s="270"/>
      <c r="B169" s="271"/>
      <c r="C169" s="270"/>
      <c r="D169" s="270"/>
      <c r="E169" s="270"/>
      <c r="F169" s="270"/>
      <c r="G169" s="271"/>
      <c r="H169" s="271"/>
      <c r="I169" s="271"/>
      <c r="J169" s="270"/>
      <c r="K169" s="270"/>
      <c r="L169" s="270"/>
      <c r="M169" s="270"/>
      <c r="N169" s="270"/>
      <c r="O169" s="270"/>
      <c r="P169" s="270"/>
      <c r="Q169" s="270"/>
      <c r="R169" s="558" t="s">
        <v>1728</v>
      </c>
      <c r="S169" s="613"/>
      <c r="T169" s="618"/>
      <c r="U169" s="1504"/>
      <c r="V169" s="491" t="str">
        <f>IF(G165="","",G165)</f>
        <v>A6</v>
      </c>
      <c r="W169" s="492"/>
      <c r="X169" s="493" t="s">
        <v>769</v>
      </c>
      <c r="Y169" s="492"/>
      <c r="Z169" s="494" t="str">
        <f>IF(G161="","",G161)</f>
        <v>A2</v>
      </c>
      <c r="AA169" s="839"/>
      <c r="AB169" s="1459">
        <f t="shared" si="105"/>
        <v>0</v>
      </c>
      <c r="AC169" s="1460" t="str">
        <f t="shared" si="106"/>
        <v>-</v>
      </c>
      <c r="AD169" s="1459">
        <f t="shared" si="107"/>
        <v>0</v>
      </c>
      <c r="AE169" s="968" t="str">
        <f t="shared" si="108"/>
        <v/>
      </c>
      <c r="AF169" s="968" t="str">
        <f t="shared" si="109"/>
        <v/>
      </c>
      <c r="AG169" s="968" t="str">
        <f t="shared" si="110"/>
        <v/>
      </c>
      <c r="AH169" s="968" t="str">
        <f t="shared" si="111"/>
        <v/>
      </c>
      <c r="AI169" s="968" t="str">
        <f t="shared" si="112"/>
        <v/>
      </c>
      <c r="AJ169" s="968"/>
      <c r="AK169" s="968"/>
      <c r="AL169" s="270"/>
      <c r="AM169" s="270"/>
      <c r="AN169" s="575"/>
      <c r="AO169" s="270"/>
      <c r="AP169" s="271"/>
      <c r="AQ169" s="271"/>
      <c r="AR169" s="271"/>
      <c r="AS169" s="271"/>
      <c r="AT169" s="271"/>
      <c r="AU169" s="271"/>
      <c r="AV169" s="271"/>
      <c r="AW169" s="271"/>
      <c r="AX169" s="271"/>
      <c r="AY169" s="271"/>
      <c r="AZ169" s="271"/>
      <c r="BA169" s="271"/>
      <c r="BB169" s="271"/>
      <c r="BC169" s="271"/>
      <c r="BD169" s="271"/>
      <c r="BE169" s="271"/>
      <c r="BF169" s="271"/>
      <c r="BG169" s="271"/>
      <c r="BH169" s="271"/>
      <c r="BI169" s="271"/>
      <c r="BJ169" s="271"/>
      <c r="BK169" s="271"/>
      <c r="BL169" s="271"/>
      <c r="BM169" s="271"/>
      <c r="BN169" s="271"/>
      <c r="BO169" s="271"/>
      <c r="BP169" s="271"/>
      <c r="BQ169" s="271"/>
      <c r="BR169" s="271"/>
      <c r="BS169" s="271"/>
      <c r="BT169" s="271"/>
      <c r="BU169" s="271"/>
      <c r="BV169" s="271"/>
      <c r="BW169" s="271"/>
      <c r="BX169" s="271"/>
      <c r="BY169" s="271"/>
      <c r="BZ169"/>
      <c r="CA169" s="1396"/>
      <c r="CB169" s="1396"/>
      <c r="CC169" s="270"/>
      <c r="CD169" s="270"/>
      <c r="CE169"/>
    </row>
    <row r="170" spans="1:83" outlineLevel="2" x14ac:dyDescent="0.2">
      <c r="A170" s="270"/>
      <c r="B170" s="271"/>
      <c r="C170" s="270"/>
      <c r="D170" s="270"/>
      <c r="E170" s="270"/>
      <c r="F170" s="270"/>
      <c r="G170" s="271"/>
      <c r="H170" s="271"/>
      <c r="I170" s="271"/>
      <c r="J170" s="270"/>
      <c r="K170" s="270"/>
      <c r="L170" s="270"/>
      <c r="M170" s="270"/>
      <c r="N170" s="270"/>
      <c r="O170" s="270"/>
      <c r="P170" s="270"/>
      <c r="Q170" s="270"/>
      <c r="R170" s="558" t="s">
        <v>1728</v>
      </c>
      <c r="S170" s="613"/>
      <c r="T170" s="618"/>
      <c r="U170" s="1504"/>
      <c r="V170" s="491" t="str">
        <f>IF(G166="","",G166)</f>
        <v>A7</v>
      </c>
      <c r="W170" s="492"/>
      <c r="X170" s="493" t="s">
        <v>769</v>
      </c>
      <c r="Y170" s="492"/>
      <c r="Z170" s="494" t="str">
        <f>IF(G160="","",G160)</f>
        <v>A1</v>
      </c>
      <c r="AA170" s="839"/>
      <c r="AB170" s="1459">
        <f t="shared" si="105"/>
        <v>0</v>
      </c>
      <c r="AC170" s="1460" t="str">
        <f t="shared" si="106"/>
        <v>-</v>
      </c>
      <c r="AD170" s="1459">
        <f t="shared" si="107"/>
        <v>0</v>
      </c>
      <c r="AE170" s="968" t="str">
        <f t="shared" si="108"/>
        <v/>
      </c>
      <c r="AF170" s="968" t="str">
        <f t="shared" si="109"/>
        <v/>
      </c>
      <c r="AG170" s="968" t="str">
        <f t="shared" si="110"/>
        <v/>
      </c>
      <c r="AH170" s="968" t="str">
        <f t="shared" si="111"/>
        <v/>
      </c>
      <c r="AI170" s="968" t="str">
        <f t="shared" si="112"/>
        <v/>
      </c>
      <c r="AJ170" s="968"/>
      <c r="AK170" s="968"/>
      <c r="AL170" s="270"/>
      <c r="AM170" s="270"/>
      <c r="AN170" s="575"/>
      <c r="AO170" s="270"/>
      <c r="AP170" s="271"/>
      <c r="AQ170" s="271"/>
      <c r="AR170" s="271"/>
      <c r="AS170" s="271"/>
      <c r="AT170" s="271"/>
      <c r="AU170" s="271"/>
      <c r="AV170" s="271"/>
      <c r="AW170" s="271"/>
      <c r="AX170" s="271"/>
      <c r="AY170" s="271"/>
      <c r="AZ170" s="271"/>
      <c r="BA170" s="271"/>
      <c r="BB170" s="271"/>
      <c r="BC170" s="271"/>
      <c r="BD170" s="271"/>
      <c r="BE170" s="271"/>
      <c r="BF170" s="271"/>
      <c r="BG170" s="271"/>
      <c r="BH170" s="271"/>
      <c r="BI170" s="271"/>
      <c r="BJ170" s="271"/>
      <c r="BK170" s="271"/>
      <c r="BL170" s="271"/>
      <c r="BM170" s="271"/>
      <c r="BN170" s="271"/>
      <c r="BO170" s="271"/>
      <c r="BP170" s="271"/>
      <c r="BQ170" s="271"/>
      <c r="BR170" s="271"/>
      <c r="BS170" s="271"/>
      <c r="BT170" s="271"/>
      <c r="BU170" s="271"/>
      <c r="BV170" s="271"/>
      <c r="BW170" s="271"/>
      <c r="BX170" s="271"/>
      <c r="BY170" s="271"/>
      <c r="BZ170"/>
      <c r="CA170" s="1396"/>
      <c r="CB170" s="1396"/>
      <c r="CC170" s="270"/>
      <c r="CD170" s="270"/>
      <c r="CE170"/>
    </row>
    <row r="171" spans="1:83" ht="13.5" outlineLevel="2" thickBot="1" x14ac:dyDescent="0.25">
      <c r="A171" s="270"/>
      <c r="B171" s="271"/>
      <c r="C171" s="270"/>
      <c r="D171" s="270"/>
      <c r="E171" s="270"/>
      <c r="F171" s="270"/>
      <c r="G171" s="271"/>
      <c r="H171" s="271"/>
      <c r="I171" s="271"/>
      <c r="J171" s="270"/>
      <c r="K171" s="270"/>
      <c r="L171" s="270"/>
      <c r="M171" s="270"/>
      <c r="N171" s="270"/>
      <c r="O171" s="270"/>
      <c r="P171" s="270"/>
      <c r="Q171" s="270"/>
      <c r="R171" s="558" t="s">
        <v>1728</v>
      </c>
      <c r="S171" s="615"/>
      <c r="T171" s="619"/>
      <c r="U171" s="1503"/>
      <c r="V171" s="495" t="str">
        <f>IF(G167="","",G167)</f>
        <v>A8</v>
      </c>
      <c r="W171" s="496"/>
      <c r="X171" s="497" t="s">
        <v>769</v>
      </c>
      <c r="Y171" s="496"/>
      <c r="Z171" s="498" t="str">
        <f>IF(G163="","",G163)</f>
        <v>A4</v>
      </c>
      <c r="AA171" s="839"/>
      <c r="AB171" s="1459">
        <f t="shared" si="105"/>
        <v>0</v>
      </c>
      <c r="AC171" s="1460" t="str">
        <f t="shared" si="106"/>
        <v>-</v>
      </c>
      <c r="AD171" s="1459">
        <f t="shared" si="107"/>
        <v>0</v>
      </c>
      <c r="AE171" s="968" t="str">
        <f t="shared" si="108"/>
        <v/>
      </c>
      <c r="AF171" s="968" t="str">
        <f t="shared" si="109"/>
        <v/>
      </c>
      <c r="AG171" s="968" t="str">
        <f t="shared" si="110"/>
        <v/>
      </c>
      <c r="AH171" s="968" t="str">
        <f t="shared" si="111"/>
        <v/>
      </c>
      <c r="AI171" s="968" t="str">
        <f t="shared" si="112"/>
        <v/>
      </c>
      <c r="AJ171" s="968"/>
      <c r="AK171" s="968"/>
      <c r="AL171" s="270"/>
      <c r="AM171" s="270"/>
      <c r="AN171" s="575"/>
      <c r="AO171" s="270"/>
      <c r="AP171" s="271"/>
      <c r="AQ171" s="271"/>
      <c r="AR171" s="271"/>
      <c r="AS171" s="271"/>
      <c r="AT171" s="271"/>
      <c r="AU171" s="271"/>
      <c r="AV171" s="271"/>
      <c r="AW171" s="271"/>
      <c r="AX171" s="271"/>
      <c r="AY171" s="271"/>
      <c r="AZ171" s="271"/>
      <c r="BA171" s="271"/>
      <c r="BB171" s="271"/>
      <c r="BC171" s="271"/>
      <c r="BD171" s="271"/>
      <c r="BE171" s="271"/>
      <c r="BF171" s="271"/>
      <c r="BG171" s="271"/>
      <c r="BH171" s="271"/>
      <c r="BI171" s="271"/>
      <c r="BJ171" s="271"/>
      <c r="BK171" s="271"/>
      <c r="BL171" s="271"/>
      <c r="BM171" s="271"/>
      <c r="BN171" s="271"/>
      <c r="BO171" s="271"/>
      <c r="BP171" s="271"/>
      <c r="BQ171" s="271"/>
      <c r="BR171" s="271"/>
      <c r="BS171" s="271"/>
      <c r="BT171" s="271"/>
      <c r="BU171" s="271"/>
      <c r="BV171" s="271"/>
      <c r="BW171" s="271"/>
      <c r="BX171" s="271"/>
      <c r="BY171" s="271"/>
      <c r="BZ171"/>
      <c r="CA171" s="1396"/>
      <c r="CB171" s="1396"/>
      <c r="CC171" s="270"/>
      <c r="CD171" s="270"/>
      <c r="CE171"/>
    </row>
    <row r="172" spans="1:83" outlineLevel="2" x14ac:dyDescent="0.2">
      <c r="A172" s="270"/>
      <c r="B172" s="271"/>
      <c r="C172" s="270"/>
      <c r="D172" s="270"/>
      <c r="E172" s="270"/>
      <c r="F172" s="270"/>
      <c r="G172" s="271"/>
      <c r="H172" s="271"/>
      <c r="I172" s="271"/>
      <c r="J172" s="270"/>
      <c r="K172" s="270"/>
      <c r="L172" s="270"/>
      <c r="M172" s="270"/>
      <c r="N172" s="270"/>
      <c r="O172" s="270"/>
      <c r="P172" s="270"/>
      <c r="Q172" s="270"/>
      <c r="R172" s="558" t="s">
        <v>1729</v>
      </c>
      <c r="S172" s="611"/>
      <c r="T172" s="617"/>
      <c r="U172" s="1502"/>
      <c r="V172" s="479" t="str">
        <f>IF(G160="","",G160)</f>
        <v>A1</v>
      </c>
      <c r="W172" s="480"/>
      <c r="X172" s="481" t="s">
        <v>769</v>
      </c>
      <c r="Y172" s="480"/>
      <c r="Z172" s="482" t="str">
        <f>IF(G161="","",G161)</f>
        <v>A2</v>
      </c>
      <c r="AA172" s="839"/>
      <c r="AB172" s="1459">
        <f t="shared" si="105"/>
        <v>0</v>
      </c>
      <c r="AC172" s="1460" t="str">
        <f t="shared" si="106"/>
        <v>-</v>
      </c>
      <c r="AD172" s="1459">
        <f t="shared" si="107"/>
        <v>0</v>
      </c>
      <c r="AE172" s="968" t="str">
        <f t="shared" si="108"/>
        <v/>
      </c>
      <c r="AF172" s="968" t="str">
        <f t="shared" si="109"/>
        <v/>
      </c>
      <c r="AG172" s="968" t="str">
        <f t="shared" si="110"/>
        <v/>
      </c>
      <c r="AH172" s="968" t="str">
        <f t="shared" si="111"/>
        <v/>
      </c>
      <c r="AI172" s="968" t="str">
        <f t="shared" si="112"/>
        <v/>
      </c>
      <c r="AJ172" s="968"/>
      <c r="AK172" s="968"/>
      <c r="AL172" s="270"/>
      <c r="AM172" s="270"/>
      <c r="AN172" s="575"/>
      <c r="AO172" s="270"/>
      <c r="AP172" s="271"/>
      <c r="AQ172" s="271"/>
      <c r="AR172" s="271"/>
      <c r="AS172" s="271"/>
      <c r="AT172" s="271"/>
      <c r="AU172" s="271"/>
      <c r="AV172" s="271"/>
      <c r="AW172" s="271"/>
      <c r="AX172" s="271"/>
      <c r="AY172" s="271"/>
      <c r="AZ172" s="271"/>
      <c r="BA172" s="271"/>
      <c r="BB172" s="271"/>
      <c r="BC172" s="271"/>
      <c r="BD172" s="271"/>
      <c r="BE172" s="271"/>
      <c r="BF172" s="271"/>
      <c r="BG172" s="271"/>
      <c r="BH172" s="271"/>
      <c r="BI172" s="271"/>
      <c r="BJ172" s="271"/>
      <c r="BK172" s="271"/>
      <c r="BL172" s="271"/>
      <c r="BM172" s="271"/>
      <c r="BN172" s="271"/>
      <c r="BO172" s="271"/>
      <c r="BP172" s="271"/>
      <c r="BQ172" s="271"/>
      <c r="BR172" s="271"/>
      <c r="BS172" s="271"/>
      <c r="BT172" s="271"/>
      <c r="BU172" s="271"/>
      <c r="BV172" s="271"/>
      <c r="BW172" s="271"/>
      <c r="BX172" s="271"/>
      <c r="BY172" s="271"/>
      <c r="BZ172"/>
      <c r="CA172" s="1396"/>
      <c r="CB172" s="1396"/>
      <c r="CC172" s="270"/>
      <c r="CD172" s="270"/>
      <c r="CE172"/>
    </row>
    <row r="173" spans="1:83" outlineLevel="2" x14ac:dyDescent="0.2">
      <c r="A173" s="270"/>
      <c r="B173" s="271"/>
      <c r="C173" s="270"/>
      <c r="D173" s="270"/>
      <c r="E173" s="270"/>
      <c r="F173" s="270"/>
      <c r="G173" s="271"/>
      <c r="H173" s="271"/>
      <c r="I173" s="271"/>
      <c r="J173" s="270"/>
      <c r="K173" s="270"/>
      <c r="L173" s="270"/>
      <c r="M173" s="270"/>
      <c r="N173" s="270"/>
      <c r="O173" s="270"/>
      <c r="P173" s="270"/>
      <c r="Q173" s="270"/>
      <c r="R173" s="558" t="s">
        <v>1729</v>
      </c>
      <c r="S173" s="613"/>
      <c r="T173" s="618"/>
      <c r="U173" s="1504"/>
      <c r="V173" s="491" t="str">
        <f>IF(G163="","",G163)</f>
        <v>A4</v>
      </c>
      <c r="W173" s="492"/>
      <c r="X173" s="493" t="s">
        <v>769</v>
      </c>
      <c r="Y173" s="492"/>
      <c r="Z173" s="494" t="str">
        <f>IF(G165="","",G165)</f>
        <v>A6</v>
      </c>
      <c r="AA173" s="839"/>
      <c r="AB173" s="1459">
        <f t="shared" si="105"/>
        <v>0</v>
      </c>
      <c r="AC173" s="1460" t="str">
        <f t="shared" si="106"/>
        <v>-</v>
      </c>
      <c r="AD173" s="1459">
        <f t="shared" si="107"/>
        <v>0</v>
      </c>
      <c r="AE173" s="968" t="str">
        <f t="shared" si="108"/>
        <v/>
      </c>
      <c r="AF173" s="968" t="str">
        <f t="shared" si="109"/>
        <v/>
      </c>
      <c r="AG173" s="968" t="str">
        <f t="shared" si="110"/>
        <v/>
      </c>
      <c r="AH173" s="968" t="str">
        <f t="shared" si="111"/>
        <v/>
      </c>
      <c r="AI173" s="968" t="str">
        <f t="shared" si="112"/>
        <v/>
      </c>
      <c r="AJ173" s="968"/>
      <c r="AK173" s="968"/>
      <c r="AL173" s="270"/>
      <c r="AM173" s="270"/>
      <c r="AN173" s="575"/>
      <c r="AO173" s="270"/>
      <c r="AP173" s="271"/>
      <c r="AQ173" s="271"/>
      <c r="AR173" s="271"/>
      <c r="AS173" s="271"/>
      <c r="AT173" s="271"/>
      <c r="AU173" s="271"/>
      <c r="AV173" s="271"/>
      <c r="AW173" s="271"/>
      <c r="AX173" s="271"/>
      <c r="AY173" s="271"/>
      <c r="AZ173" s="271"/>
      <c r="BA173" s="271"/>
      <c r="BB173" s="271"/>
      <c r="BC173" s="271"/>
      <c r="BD173" s="271"/>
      <c r="BE173" s="271"/>
      <c r="BF173" s="271"/>
      <c r="BG173" s="271"/>
      <c r="BH173" s="271"/>
      <c r="BI173" s="271"/>
      <c r="BJ173" s="271"/>
      <c r="BK173" s="271"/>
      <c r="BL173" s="271"/>
      <c r="BM173" s="271"/>
      <c r="BN173" s="271"/>
      <c r="BO173" s="271"/>
      <c r="BP173" s="271"/>
      <c r="BQ173" s="271"/>
      <c r="BR173" s="271"/>
      <c r="BS173" s="271"/>
      <c r="BT173" s="271"/>
      <c r="BU173" s="271"/>
      <c r="BV173" s="271"/>
      <c r="BW173" s="271"/>
      <c r="BX173" s="271"/>
      <c r="BY173" s="271"/>
      <c r="BZ173"/>
      <c r="CA173" s="1396"/>
      <c r="CB173" s="1396"/>
      <c r="CC173" s="270"/>
      <c r="CD173" s="270"/>
      <c r="CE173"/>
    </row>
    <row r="174" spans="1:83" outlineLevel="2" x14ac:dyDescent="0.2">
      <c r="A174" s="270"/>
      <c r="B174" s="271"/>
      <c r="C174" s="270"/>
      <c r="D174" s="270"/>
      <c r="E174" s="270"/>
      <c r="F174" s="270"/>
      <c r="G174" s="271"/>
      <c r="H174" s="271"/>
      <c r="I174" s="271"/>
      <c r="J174" s="270"/>
      <c r="K174" s="270"/>
      <c r="L174" s="270"/>
      <c r="M174" s="270"/>
      <c r="N174" s="270"/>
      <c r="O174" s="270"/>
      <c r="P174" s="270"/>
      <c r="Q174" s="270"/>
      <c r="R174" s="558" t="s">
        <v>1729</v>
      </c>
      <c r="S174" s="613"/>
      <c r="T174" s="618"/>
      <c r="U174" s="1504"/>
      <c r="V174" s="491" t="str">
        <f>IF(G164="","",G164)</f>
        <v>A5</v>
      </c>
      <c r="W174" s="492"/>
      <c r="X174" s="493" t="s">
        <v>769</v>
      </c>
      <c r="Y174" s="492"/>
      <c r="Z174" s="494" t="str">
        <f>IF(G167="","",G167)</f>
        <v>A8</v>
      </c>
      <c r="AA174" s="839"/>
      <c r="AB174" s="1459">
        <f t="shared" si="105"/>
        <v>0</v>
      </c>
      <c r="AC174" s="1460" t="str">
        <f t="shared" si="106"/>
        <v>-</v>
      </c>
      <c r="AD174" s="1459">
        <f t="shared" si="107"/>
        <v>0</v>
      </c>
      <c r="AE174" s="968" t="str">
        <f t="shared" si="108"/>
        <v/>
      </c>
      <c r="AF174" s="968" t="str">
        <f t="shared" si="109"/>
        <v/>
      </c>
      <c r="AG174" s="968" t="str">
        <f t="shared" si="110"/>
        <v/>
      </c>
      <c r="AH174" s="968" t="str">
        <f t="shared" si="111"/>
        <v/>
      </c>
      <c r="AI174" s="968" t="str">
        <f t="shared" si="112"/>
        <v/>
      </c>
      <c r="AJ174" s="968"/>
      <c r="AK174" s="968"/>
      <c r="AL174" s="270"/>
      <c r="AM174" s="270"/>
      <c r="AN174" s="575"/>
      <c r="AO174" s="270"/>
      <c r="AP174" s="271"/>
      <c r="AQ174" s="271"/>
      <c r="AR174" s="271"/>
      <c r="AS174" s="271"/>
      <c r="AT174" s="271"/>
      <c r="AU174" s="271"/>
      <c r="AV174" s="271"/>
      <c r="AW174" s="271"/>
      <c r="AX174" s="271"/>
      <c r="AY174" s="271"/>
      <c r="AZ174" s="271"/>
      <c r="BA174" s="271"/>
      <c r="BB174" s="271"/>
      <c r="BC174" s="271"/>
      <c r="BD174" s="271"/>
      <c r="BE174" s="271"/>
      <c r="BF174" s="271"/>
      <c r="BG174" s="271"/>
      <c r="BH174" s="271"/>
      <c r="BI174" s="271"/>
      <c r="BJ174" s="271"/>
      <c r="BK174" s="271"/>
      <c r="BL174" s="271"/>
      <c r="BM174" s="271"/>
      <c r="BN174" s="271"/>
      <c r="BO174" s="271"/>
      <c r="BP174" s="271"/>
      <c r="BQ174" s="271"/>
      <c r="BR174" s="271"/>
      <c r="BS174" s="271"/>
      <c r="BT174" s="271"/>
      <c r="BU174" s="271"/>
      <c r="BV174" s="271"/>
      <c r="BW174" s="271"/>
      <c r="BX174" s="271"/>
      <c r="BY174" s="271"/>
      <c r="BZ174"/>
      <c r="CA174" s="1396"/>
      <c r="CB174" s="1396"/>
      <c r="CC174" s="270"/>
      <c r="CD174" s="270"/>
      <c r="CE174"/>
    </row>
    <row r="175" spans="1:83" ht="13.5" outlineLevel="2" thickBot="1" x14ac:dyDescent="0.25">
      <c r="A175" s="270"/>
      <c r="B175" s="271"/>
      <c r="C175" s="270"/>
      <c r="D175" s="270"/>
      <c r="E175" s="270"/>
      <c r="F175" s="270"/>
      <c r="G175" s="271"/>
      <c r="H175" s="271"/>
      <c r="I175" s="271"/>
      <c r="J175" s="270"/>
      <c r="K175" s="270"/>
      <c r="L175" s="270"/>
      <c r="M175" s="270"/>
      <c r="N175" s="270"/>
      <c r="O175" s="270"/>
      <c r="P175" s="270"/>
      <c r="Q175" s="270"/>
      <c r="R175" s="558" t="s">
        <v>1729</v>
      </c>
      <c r="S175" s="615"/>
      <c r="T175" s="619"/>
      <c r="U175" s="1503"/>
      <c r="V175" s="495" t="str">
        <f>IF(G166="","",G166)</f>
        <v>A7</v>
      </c>
      <c r="W175" s="496"/>
      <c r="X175" s="497" t="s">
        <v>769</v>
      </c>
      <c r="Y175" s="496"/>
      <c r="Z175" s="498" t="str">
        <f>IF(G162="","",G162)</f>
        <v>A3</v>
      </c>
      <c r="AA175" s="839"/>
      <c r="AB175" s="1459">
        <f t="shared" si="105"/>
        <v>0</v>
      </c>
      <c r="AC175" s="1460" t="str">
        <f t="shared" si="106"/>
        <v>-</v>
      </c>
      <c r="AD175" s="1459">
        <f t="shared" si="107"/>
        <v>0</v>
      </c>
      <c r="AE175" s="968" t="str">
        <f t="shared" si="108"/>
        <v/>
      </c>
      <c r="AF175" s="968" t="str">
        <f t="shared" si="109"/>
        <v/>
      </c>
      <c r="AG175" s="968" t="str">
        <f t="shared" si="110"/>
        <v/>
      </c>
      <c r="AH175" s="968" t="str">
        <f t="shared" si="111"/>
        <v/>
      </c>
      <c r="AI175" s="968" t="str">
        <f t="shared" si="112"/>
        <v/>
      </c>
      <c r="AJ175" s="968"/>
      <c r="AK175" s="968"/>
      <c r="AL175" s="270"/>
      <c r="AM175" s="270"/>
      <c r="AN175" s="575"/>
      <c r="AO175" s="270"/>
      <c r="AP175" s="271"/>
      <c r="AQ175" s="271"/>
      <c r="AR175" s="271"/>
      <c r="AS175" s="271"/>
      <c r="AT175" s="271"/>
      <c r="AU175" s="271"/>
      <c r="AV175" s="271"/>
      <c r="AW175" s="271"/>
      <c r="AX175" s="271"/>
      <c r="AY175" s="271"/>
      <c r="AZ175" s="271"/>
      <c r="BA175" s="271"/>
      <c r="BB175" s="271"/>
      <c r="BC175" s="271"/>
      <c r="BD175" s="271"/>
      <c r="BE175" s="271"/>
      <c r="BF175" s="271"/>
      <c r="BG175" s="271"/>
      <c r="BH175" s="271"/>
      <c r="BI175" s="271"/>
      <c r="BJ175" s="271"/>
      <c r="BK175" s="271"/>
      <c r="BL175" s="271"/>
      <c r="BM175" s="271"/>
      <c r="BN175" s="271"/>
      <c r="BO175" s="271"/>
      <c r="BP175" s="271"/>
      <c r="BQ175" s="271"/>
      <c r="BR175" s="271"/>
      <c r="BS175" s="271"/>
      <c r="BT175" s="271"/>
      <c r="BU175" s="271"/>
      <c r="BV175" s="271"/>
      <c r="BW175" s="271"/>
      <c r="BX175" s="271"/>
      <c r="BY175" s="271"/>
      <c r="BZ175"/>
      <c r="CA175" s="1396"/>
      <c r="CB175" s="1396"/>
      <c r="CC175" s="270"/>
      <c r="CD175" s="270"/>
      <c r="CE175"/>
    </row>
    <row r="176" spans="1:83" outlineLevel="2" x14ac:dyDescent="0.2">
      <c r="A176" s="270"/>
      <c r="B176" s="271"/>
      <c r="C176" s="270"/>
      <c r="D176" s="270"/>
      <c r="E176" s="270"/>
      <c r="F176" s="270"/>
      <c r="G176" s="271"/>
      <c r="H176" s="271"/>
      <c r="I176" s="271"/>
      <c r="J176" s="270"/>
      <c r="K176" s="270"/>
      <c r="L176" s="270"/>
      <c r="M176" s="270"/>
      <c r="N176" s="270"/>
      <c r="O176" s="270"/>
      <c r="P176" s="270"/>
      <c r="Q176" s="270"/>
      <c r="R176" s="558" t="s">
        <v>1730</v>
      </c>
      <c r="S176" s="611"/>
      <c r="T176" s="617"/>
      <c r="U176" s="1502"/>
      <c r="V176" s="479" t="str">
        <f>IF(G160="","",G160)</f>
        <v>A1</v>
      </c>
      <c r="W176" s="480"/>
      <c r="X176" s="481" t="s">
        <v>769</v>
      </c>
      <c r="Y176" s="480"/>
      <c r="Z176" s="482" t="str">
        <f>IF(G163="","",G163)</f>
        <v>A4</v>
      </c>
      <c r="AA176" s="839"/>
      <c r="AB176" s="1459">
        <f t="shared" si="105"/>
        <v>0</v>
      </c>
      <c r="AC176" s="1460" t="str">
        <f t="shared" si="106"/>
        <v>-</v>
      </c>
      <c r="AD176" s="1459">
        <f t="shared" si="107"/>
        <v>0</v>
      </c>
      <c r="AE176" s="968" t="str">
        <f t="shared" si="108"/>
        <v/>
      </c>
      <c r="AF176" s="968" t="str">
        <f t="shared" si="109"/>
        <v/>
      </c>
      <c r="AG176" s="968" t="str">
        <f t="shared" si="110"/>
        <v/>
      </c>
      <c r="AH176" s="968" t="str">
        <f t="shared" si="111"/>
        <v/>
      </c>
      <c r="AI176" s="968" t="str">
        <f t="shared" si="112"/>
        <v/>
      </c>
      <c r="AJ176" s="968"/>
      <c r="AK176" s="968"/>
      <c r="AL176" s="270"/>
      <c r="AM176" s="270"/>
      <c r="AN176" s="575"/>
      <c r="AO176" s="270"/>
      <c r="AP176" s="271"/>
      <c r="AQ176" s="271"/>
      <c r="AR176" s="271"/>
      <c r="AS176" s="271"/>
      <c r="AT176" s="271"/>
      <c r="AU176" s="271"/>
      <c r="AV176" s="271"/>
      <c r="AW176" s="271"/>
      <c r="AX176" s="271"/>
      <c r="AY176" s="271"/>
      <c r="AZ176" s="271"/>
      <c r="BA176" s="271"/>
      <c r="BB176" s="271"/>
      <c r="BC176" s="271"/>
      <c r="BD176" s="271"/>
      <c r="BE176" s="271"/>
      <c r="BF176" s="271"/>
      <c r="BG176" s="271"/>
      <c r="BH176" s="271"/>
      <c r="BI176" s="271"/>
      <c r="BJ176" s="271"/>
      <c r="BK176" s="271"/>
      <c r="BL176" s="271"/>
      <c r="BM176" s="271"/>
      <c r="BN176" s="271"/>
      <c r="BO176" s="271"/>
      <c r="BP176" s="271"/>
      <c r="BQ176" s="271"/>
      <c r="BR176" s="271"/>
      <c r="BS176" s="271"/>
      <c r="BT176" s="271"/>
      <c r="BU176" s="271"/>
      <c r="BV176" s="271"/>
      <c r="BW176" s="271"/>
      <c r="BX176" s="271"/>
      <c r="BY176" s="271"/>
      <c r="BZ176"/>
      <c r="CA176" s="1396"/>
      <c r="CB176" s="1396"/>
      <c r="CC176" s="270"/>
      <c r="CD176" s="270"/>
      <c r="CE176"/>
    </row>
    <row r="177" spans="1:83" outlineLevel="2" x14ac:dyDescent="0.2">
      <c r="A177" s="270"/>
      <c r="B177" s="271"/>
      <c r="C177" s="270"/>
      <c r="D177" s="270"/>
      <c r="E177" s="270"/>
      <c r="F177" s="270"/>
      <c r="G177" s="271"/>
      <c r="H177" s="271"/>
      <c r="I177" s="271"/>
      <c r="J177" s="270"/>
      <c r="K177" s="270"/>
      <c r="L177" s="270"/>
      <c r="M177" s="270"/>
      <c r="N177" s="270"/>
      <c r="O177" s="270"/>
      <c r="P177" s="270"/>
      <c r="Q177" s="270"/>
      <c r="R177" s="558" t="s">
        <v>1730</v>
      </c>
      <c r="S177" s="613"/>
      <c r="T177" s="618"/>
      <c r="U177" s="1504"/>
      <c r="V177" s="491" t="str">
        <f>IF(G161="","",G161)</f>
        <v>A2</v>
      </c>
      <c r="W177" s="492"/>
      <c r="X177" s="493" t="s">
        <v>769</v>
      </c>
      <c r="Y177" s="492"/>
      <c r="Z177" s="494" t="str">
        <f>IF(G162="","",G162)</f>
        <v>A3</v>
      </c>
      <c r="AA177" s="839"/>
      <c r="AB177" s="1459">
        <f t="shared" si="105"/>
        <v>0</v>
      </c>
      <c r="AC177" s="1460" t="str">
        <f t="shared" si="106"/>
        <v>-</v>
      </c>
      <c r="AD177" s="1459">
        <f t="shared" si="107"/>
        <v>0</v>
      </c>
      <c r="AE177" s="968" t="str">
        <f t="shared" si="108"/>
        <v/>
      </c>
      <c r="AF177" s="968" t="str">
        <f t="shared" si="109"/>
        <v/>
      </c>
      <c r="AG177" s="968" t="str">
        <f t="shared" si="110"/>
        <v/>
      </c>
      <c r="AH177" s="968" t="str">
        <f t="shared" si="111"/>
        <v/>
      </c>
      <c r="AI177" s="968" t="str">
        <f t="shared" si="112"/>
        <v/>
      </c>
      <c r="AJ177" s="968"/>
      <c r="AK177" s="968"/>
      <c r="AL177" s="270"/>
      <c r="AM177" s="270"/>
      <c r="AN177" s="575"/>
      <c r="AO177" s="270"/>
      <c r="AP177" s="271"/>
      <c r="AQ177" s="271"/>
      <c r="AR177" s="271"/>
      <c r="AS177" s="271"/>
      <c r="AT177" s="271"/>
      <c r="AU177" s="271"/>
      <c r="AV177" s="271"/>
      <c r="AW177" s="271"/>
      <c r="AX177" s="271"/>
      <c r="AY177" s="271"/>
      <c r="AZ177" s="271"/>
      <c r="BA177" s="271"/>
      <c r="BB177" s="271"/>
      <c r="BC177" s="271"/>
      <c r="BD177" s="271"/>
      <c r="BE177" s="271"/>
      <c r="BF177" s="271"/>
      <c r="BG177" s="271"/>
      <c r="BH177" s="271"/>
      <c r="BI177" s="271"/>
      <c r="BJ177" s="271"/>
      <c r="BK177" s="271"/>
      <c r="BL177" s="271"/>
      <c r="BM177" s="271"/>
      <c r="BN177" s="271"/>
      <c r="BO177" s="271"/>
      <c r="BP177" s="271"/>
      <c r="BQ177" s="271"/>
      <c r="BR177" s="271"/>
      <c r="BS177" s="271"/>
      <c r="BT177" s="271"/>
      <c r="BU177" s="271"/>
      <c r="BV177" s="271"/>
      <c r="BW177" s="271"/>
      <c r="BX177" s="271"/>
      <c r="BY177" s="271"/>
      <c r="BZ177"/>
      <c r="CA177" s="1396"/>
      <c r="CB177" s="1396"/>
      <c r="CC177" s="270"/>
      <c r="CD177" s="270"/>
      <c r="CE177"/>
    </row>
    <row r="178" spans="1:83" outlineLevel="2" x14ac:dyDescent="0.2">
      <c r="A178" s="270"/>
      <c r="B178" s="271"/>
      <c r="C178" s="270"/>
      <c r="D178" s="270"/>
      <c r="E178" s="270"/>
      <c r="F178" s="270"/>
      <c r="G178" s="271"/>
      <c r="H178" s="271"/>
      <c r="I178" s="271"/>
      <c r="J178" s="270"/>
      <c r="K178" s="270"/>
      <c r="L178" s="270"/>
      <c r="M178" s="270"/>
      <c r="N178" s="270"/>
      <c r="O178" s="270"/>
      <c r="P178" s="270"/>
      <c r="Q178" s="270"/>
      <c r="R178" s="558" t="s">
        <v>1730</v>
      </c>
      <c r="S178" s="613"/>
      <c r="T178" s="618"/>
      <c r="U178" s="1504"/>
      <c r="V178" s="491" t="str">
        <f>IF(G164="","",G164)</f>
        <v>A5</v>
      </c>
      <c r="W178" s="492"/>
      <c r="X178" s="493" t="s">
        <v>769</v>
      </c>
      <c r="Y178" s="492"/>
      <c r="Z178" s="494" t="str">
        <f>IF(G166="","",G166)</f>
        <v>A7</v>
      </c>
      <c r="AA178" s="839"/>
      <c r="AB178" s="1459">
        <f t="shared" si="105"/>
        <v>0</v>
      </c>
      <c r="AC178" s="1460" t="str">
        <f t="shared" si="106"/>
        <v>-</v>
      </c>
      <c r="AD178" s="1459">
        <f t="shared" si="107"/>
        <v>0</v>
      </c>
      <c r="AE178" s="968" t="str">
        <f t="shared" si="108"/>
        <v/>
      </c>
      <c r="AF178" s="968" t="str">
        <f t="shared" si="109"/>
        <v/>
      </c>
      <c r="AG178" s="968" t="str">
        <f t="shared" si="110"/>
        <v/>
      </c>
      <c r="AH178" s="968" t="str">
        <f t="shared" si="111"/>
        <v/>
      </c>
      <c r="AI178" s="968" t="str">
        <f t="shared" si="112"/>
        <v/>
      </c>
      <c r="AJ178" s="968"/>
      <c r="AK178" s="968"/>
      <c r="AL178" s="270"/>
      <c r="AM178" s="270"/>
      <c r="AN178" s="575"/>
      <c r="AO178" s="270"/>
      <c r="AP178" s="271"/>
      <c r="AQ178" s="271"/>
      <c r="AR178" s="271"/>
      <c r="AS178" s="271"/>
      <c r="AT178" s="271"/>
      <c r="AU178" s="271"/>
      <c r="AV178" s="271"/>
      <c r="AW178" s="271"/>
      <c r="AX178" s="271"/>
      <c r="AY178" s="271"/>
      <c r="AZ178" s="271"/>
      <c r="BA178" s="271"/>
      <c r="BB178" s="271"/>
      <c r="BC178" s="271"/>
      <c r="BD178" s="271"/>
      <c r="BE178" s="271"/>
      <c r="BF178" s="271"/>
      <c r="BG178" s="271"/>
      <c r="BH178" s="271"/>
      <c r="BI178" s="271"/>
      <c r="BJ178" s="271"/>
      <c r="BK178" s="271"/>
      <c r="BL178" s="271"/>
      <c r="BM178" s="271"/>
      <c r="BN178" s="271"/>
      <c r="BO178" s="271"/>
      <c r="BP178" s="271"/>
      <c r="BQ178" s="271"/>
      <c r="BR178" s="271"/>
      <c r="BS178" s="271"/>
      <c r="BT178" s="271"/>
      <c r="BU178" s="271"/>
      <c r="BV178" s="271"/>
      <c r="BW178" s="271"/>
      <c r="BX178" s="271"/>
      <c r="BY178" s="271"/>
      <c r="BZ178"/>
      <c r="CA178" s="1396"/>
      <c r="CB178" s="1396"/>
      <c r="CC178" s="270"/>
      <c r="CD178" s="270"/>
      <c r="CE178"/>
    </row>
    <row r="179" spans="1:83" ht="13.5" outlineLevel="2" thickBot="1" x14ac:dyDescent="0.25">
      <c r="A179" s="270"/>
      <c r="B179" s="271"/>
      <c r="C179" s="270"/>
      <c r="D179" s="270"/>
      <c r="E179" s="270"/>
      <c r="F179" s="270"/>
      <c r="G179" s="271"/>
      <c r="H179" s="271"/>
      <c r="I179" s="271"/>
      <c r="J179" s="270"/>
      <c r="K179" s="270"/>
      <c r="L179" s="270"/>
      <c r="M179" s="270"/>
      <c r="N179" s="270"/>
      <c r="O179" s="270"/>
      <c r="P179" s="270"/>
      <c r="Q179" s="270"/>
      <c r="R179" s="558" t="s">
        <v>1730</v>
      </c>
      <c r="S179" s="615"/>
      <c r="T179" s="619"/>
      <c r="U179" s="1503"/>
      <c r="V179" s="495" t="str">
        <f>IF(G167="","",G167)</f>
        <v>A8</v>
      </c>
      <c r="W179" s="496"/>
      <c r="X179" s="497" t="s">
        <v>769</v>
      </c>
      <c r="Y179" s="496"/>
      <c r="Z179" s="498" t="str">
        <f>IF(G165="","",G165)</f>
        <v>A6</v>
      </c>
      <c r="AA179" s="839"/>
      <c r="AB179" s="1459">
        <f t="shared" si="105"/>
        <v>0</v>
      </c>
      <c r="AC179" s="1460" t="str">
        <f t="shared" si="106"/>
        <v>-</v>
      </c>
      <c r="AD179" s="1459">
        <f t="shared" si="107"/>
        <v>0</v>
      </c>
      <c r="AE179" s="968" t="str">
        <f t="shared" si="108"/>
        <v/>
      </c>
      <c r="AF179" s="968" t="str">
        <f t="shared" si="109"/>
        <v/>
      </c>
      <c r="AG179" s="968" t="str">
        <f t="shared" si="110"/>
        <v/>
      </c>
      <c r="AH179" s="968" t="str">
        <f t="shared" si="111"/>
        <v/>
      </c>
      <c r="AI179" s="968" t="str">
        <f t="shared" si="112"/>
        <v/>
      </c>
      <c r="AJ179" s="968"/>
      <c r="AK179" s="968"/>
      <c r="AL179" s="270"/>
      <c r="AM179" s="270"/>
      <c r="AN179" s="575"/>
      <c r="AO179" s="270"/>
      <c r="AP179" s="271"/>
      <c r="AQ179" s="271"/>
      <c r="AR179" s="271"/>
      <c r="AS179" s="271"/>
      <c r="AT179" s="271"/>
      <c r="AU179" s="271"/>
      <c r="AV179" s="271"/>
      <c r="AW179" s="271"/>
      <c r="AX179" s="271"/>
      <c r="AY179" s="271"/>
      <c r="AZ179" s="271"/>
      <c r="BA179" s="271"/>
      <c r="BB179" s="271"/>
      <c r="BC179" s="271"/>
      <c r="BD179" s="271"/>
      <c r="BE179" s="271"/>
      <c r="BF179" s="271"/>
      <c r="BG179" s="271"/>
      <c r="BH179" s="271"/>
      <c r="BI179" s="271"/>
      <c r="BJ179" s="271"/>
      <c r="BK179" s="271"/>
      <c r="BL179" s="271"/>
      <c r="BM179" s="271"/>
      <c r="BN179" s="271"/>
      <c r="BO179" s="271"/>
      <c r="BP179" s="271"/>
      <c r="BQ179" s="271"/>
      <c r="BR179" s="271"/>
      <c r="BS179" s="271"/>
      <c r="BT179" s="271"/>
      <c r="BU179" s="271"/>
      <c r="BV179" s="271"/>
      <c r="BW179" s="271"/>
      <c r="BX179" s="271"/>
      <c r="BY179" s="271"/>
      <c r="BZ179"/>
      <c r="CA179" s="1396"/>
      <c r="CB179" s="1396"/>
      <c r="CC179" s="270"/>
      <c r="CD179" s="270"/>
      <c r="CE179"/>
    </row>
    <row r="180" spans="1:83" outlineLevel="2" x14ac:dyDescent="0.2">
      <c r="A180" s="270"/>
      <c r="B180" s="271"/>
      <c r="C180" s="270"/>
      <c r="D180" s="270"/>
      <c r="E180" s="270"/>
      <c r="F180" s="270"/>
      <c r="G180" s="271"/>
      <c r="H180" s="271"/>
      <c r="I180" s="271"/>
      <c r="J180" s="270"/>
      <c r="K180" s="270"/>
      <c r="L180" s="270"/>
      <c r="M180" s="270"/>
      <c r="N180" s="270"/>
      <c r="O180" s="270"/>
      <c r="P180" s="270"/>
      <c r="Q180" s="270"/>
      <c r="R180" s="558" t="s">
        <v>1731</v>
      </c>
      <c r="S180" s="611"/>
      <c r="T180" s="617"/>
      <c r="U180" s="1502"/>
      <c r="V180" s="479" t="str">
        <f>IF(G162="","",G162)</f>
        <v>A3</v>
      </c>
      <c r="W180" s="480"/>
      <c r="X180" s="481" t="s">
        <v>769</v>
      </c>
      <c r="Y180" s="480"/>
      <c r="Z180" s="482" t="str">
        <f>IF(G163="","",G163)</f>
        <v>A4</v>
      </c>
      <c r="AA180" s="839"/>
      <c r="AB180" s="1459">
        <f t="shared" si="105"/>
        <v>0</v>
      </c>
      <c r="AC180" s="1460" t="str">
        <f t="shared" si="106"/>
        <v>-</v>
      </c>
      <c r="AD180" s="1459">
        <f t="shared" si="107"/>
        <v>0</v>
      </c>
      <c r="AE180" s="968" t="str">
        <f t="shared" si="108"/>
        <v/>
      </c>
      <c r="AF180" s="968" t="str">
        <f t="shared" si="109"/>
        <v/>
      </c>
      <c r="AG180" s="968" t="str">
        <f t="shared" si="110"/>
        <v/>
      </c>
      <c r="AH180" s="968" t="str">
        <f t="shared" si="111"/>
        <v/>
      </c>
      <c r="AI180" s="968" t="str">
        <f t="shared" si="112"/>
        <v/>
      </c>
      <c r="AJ180" s="968"/>
      <c r="AK180" s="968"/>
      <c r="AL180" s="270"/>
      <c r="AM180" s="270"/>
      <c r="AN180" s="575"/>
      <c r="AO180" s="270"/>
      <c r="AP180" s="271"/>
      <c r="AQ180" s="271"/>
      <c r="AR180" s="271"/>
      <c r="AS180" s="271"/>
      <c r="AT180" s="271"/>
      <c r="AU180" s="271"/>
      <c r="AV180" s="271"/>
      <c r="AW180" s="271"/>
      <c r="AX180" s="271"/>
      <c r="AY180" s="271"/>
      <c r="AZ180" s="271"/>
      <c r="BA180" s="271"/>
      <c r="BB180" s="271"/>
      <c r="BC180" s="271"/>
      <c r="BD180" s="271"/>
      <c r="BE180" s="271"/>
      <c r="BF180" s="271"/>
      <c r="BG180" s="271"/>
      <c r="BH180" s="271"/>
      <c r="BI180" s="271"/>
      <c r="BJ180" s="271"/>
      <c r="BK180" s="271"/>
      <c r="BL180" s="271"/>
      <c r="BM180" s="271"/>
      <c r="BN180" s="271"/>
      <c r="BO180" s="271"/>
      <c r="BP180" s="271"/>
      <c r="BQ180" s="271"/>
      <c r="BR180" s="271"/>
      <c r="BS180" s="271"/>
      <c r="BT180" s="271"/>
      <c r="BU180" s="271"/>
      <c r="BV180" s="271"/>
      <c r="BW180" s="271"/>
      <c r="BX180" s="271"/>
      <c r="BY180" s="271"/>
      <c r="BZ180"/>
      <c r="CA180" s="1396"/>
      <c r="CB180" s="1396"/>
      <c r="CC180" s="270"/>
      <c r="CD180" s="270"/>
      <c r="CE180"/>
    </row>
    <row r="181" spans="1:83" outlineLevel="2" x14ac:dyDescent="0.2">
      <c r="A181" s="270"/>
      <c r="B181" s="271"/>
      <c r="C181" s="270"/>
      <c r="D181" s="270"/>
      <c r="E181" s="270"/>
      <c r="F181" s="270"/>
      <c r="G181" s="271"/>
      <c r="H181" s="271"/>
      <c r="I181" s="271"/>
      <c r="J181" s="270"/>
      <c r="K181" s="270"/>
      <c r="L181" s="270"/>
      <c r="M181" s="270"/>
      <c r="N181" s="270"/>
      <c r="O181" s="270"/>
      <c r="P181" s="270"/>
      <c r="Q181" s="270"/>
      <c r="R181" s="558" t="s">
        <v>1731</v>
      </c>
      <c r="S181" s="613"/>
      <c r="T181" s="618"/>
      <c r="U181" s="1504"/>
      <c r="V181" s="491" t="str">
        <f>IF(G164="","",G164)</f>
        <v>A5</v>
      </c>
      <c r="W181" s="492"/>
      <c r="X181" s="493" t="s">
        <v>769</v>
      </c>
      <c r="Y181" s="492"/>
      <c r="Z181" s="494" t="str">
        <f>IF(G161="","",G161)</f>
        <v>A2</v>
      </c>
      <c r="AA181" s="839"/>
      <c r="AB181" s="1459">
        <f t="shared" si="105"/>
        <v>0</v>
      </c>
      <c r="AC181" s="1460" t="str">
        <f t="shared" si="106"/>
        <v>-</v>
      </c>
      <c r="AD181" s="1459">
        <f t="shared" si="107"/>
        <v>0</v>
      </c>
      <c r="AE181" s="968" t="str">
        <f t="shared" si="108"/>
        <v/>
      </c>
      <c r="AF181" s="968" t="str">
        <f t="shared" si="109"/>
        <v/>
      </c>
      <c r="AG181" s="968" t="str">
        <f t="shared" si="110"/>
        <v/>
      </c>
      <c r="AH181" s="968" t="str">
        <f t="shared" si="111"/>
        <v/>
      </c>
      <c r="AI181" s="968" t="str">
        <f t="shared" si="112"/>
        <v/>
      </c>
      <c r="AJ181" s="968"/>
      <c r="AK181" s="968"/>
      <c r="AL181" s="270"/>
      <c r="AM181" s="270"/>
      <c r="AN181" s="575"/>
      <c r="AO181" s="270"/>
      <c r="AP181" s="271"/>
      <c r="AQ181" s="271"/>
      <c r="AR181" s="271"/>
      <c r="AS181" s="271"/>
      <c r="AT181" s="271"/>
      <c r="AU181" s="271"/>
      <c r="AV181" s="271"/>
      <c r="AW181" s="271"/>
      <c r="AX181" s="271"/>
      <c r="AY181" s="271"/>
      <c r="AZ181" s="271"/>
      <c r="BA181" s="271"/>
      <c r="BB181" s="271"/>
      <c r="BC181" s="271"/>
      <c r="BD181" s="271"/>
      <c r="BE181" s="271"/>
      <c r="BF181" s="271"/>
      <c r="BG181" s="271"/>
      <c r="BH181" s="271"/>
      <c r="BI181" s="271"/>
      <c r="BJ181" s="271"/>
      <c r="BK181" s="271"/>
      <c r="BL181" s="271"/>
      <c r="BM181" s="271"/>
      <c r="BN181" s="271"/>
      <c r="BO181" s="271"/>
      <c r="BP181" s="271"/>
      <c r="BQ181" s="271"/>
      <c r="BR181" s="271"/>
      <c r="BS181" s="271"/>
      <c r="BT181" s="271"/>
      <c r="BU181" s="271"/>
      <c r="BV181" s="271"/>
      <c r="BW181" s="271"/>
      <c r="BX181" s="271"/>
      <c r="BY181" s="271"/>
      <c r="BZ181"/>
      <c r="CA181" s="1396"/>
      <c r="CB181" s="1396"/>
      <c r="CC181" s="270"/>
      <c r="CD181" s="270"/>
      <c r="CE181"/>
    </row>
    <row r="182" spans="1:83" outlineLevel="2" x14ac:dyDescent="0.2">
      <c r="A182" s="270"/>
      <c r="B182" s="271"/>
      <c r="C182" s="270"/>
      <c r="D182" s="270"/>
      <c r="E182" s="270"/>
      <c r="F182" s="270"/>
      <c r="G182" s="271"/>
      <c r="H182" s="271"/>
      <c r="I182" s="271"/>
      <c r="J182" s="270"/>
      <c r="K182" s="270"/>
      <c r="L182" s="270"/>
      <c r="M182" s="270"/>
      <c r="N182" s="270"/>
      <c r="O182" s="270"/>
      <c r="P182" s="270"/>
      <c r="Q182" s="270"/>
      <c r="R182" s="558" t="s">
        <v>1731</v>
      </c>
      <c r="S182" s="613"/>
      <c r="T182" s="623"/>
      <c r="U182" s="1504"/>
      <c r="V182" s="491" t="str">
        <f>IF(G165="","",G165)</f>
        <v>A6</v>
      </c>
      <c r="W182" s="492"/>
      <c r="X182" s="493" t="s">
        <v>769</v>
      </c>
      <c r="Y182" s="492"/>
      <c r="Z182" s="494" t="str">
        <f>IF(G160="","",G160)</f>
        <v>A1</v>
      </c>
      <c r="AA182" s="839"/>
      <c r="AB182" s="1459">
        <f t="shared" si="105"/>
        <v>0</v>
      </c>
      <c r="AC182" s="1460" t="str">
        <f t="shared" si="106"/>
        <v>-</v>
      </c>
      <c r="AD182" s="1459">
        <f t="shared" si="107"/>
        <v>0</v>
      </c>
      <c r="AE182" s="968" t="str">
        <f t="shared" si="108"/>
        <v/>
      </c>
      <c r="AF182" s="968" t="str">
        <f t="shared" si="109"/>
        <v/>
      </c>
      <c r="AG182" s="968" t="str">
        <f t="shared" si="110"/>
        <v/>
      </c>
      <c r="AH182" s="968" t="str">
        <f t="shared" si="111"/>
        <v/>
      </c>
      <c r="AI182" s="968" t="str">
        <f t="shared" si="112"/>
        <v/>
      </c>
      <c r="AJ182" s="968"/>
      <c r="AK182" s="968"/>
      <c r="AL182" s="270"/>
      <c r="AM182" s="270"/>
      <c r="AN182" s="575"/>
      <c r="AO182" s="270"/>
      <c r="AP182" s="271"/>
      <c r="AQ182" s="271"/>
      <c r="AR182" s="271"/>
      <c r="AS182" s="271"/>
      <c r="AT182" s="271"/>
      <c r="AU182" s="271"/>
      <c r="AV182" s="271"/>
      <c r="AW182" s="271"/>
      <c r="AX182" s="271"/>
      <c r="AY182" s="271"/>
      <c r="AZ182" s="271"/>
      <c r="BA182" s="271"/>
      <c r="BB182" s="271"/>
      <c r="BC182" s="271"/>
      <c r="BD182" s="271"/>
      <c r="BE182" s="271"/>
      <c r="BF182" s="271"/>
      <c r="BG182" s="271"/>
      <c r="BH182" s="271"/>
      <c r="BI182" s="271"/>
      <c r="BJ182" s="271"/>
      <c r="BK182" s="271"/>
      <c r="BL182" s="271"/>
      <c r="BM182" s="271"/>
      <c r="BN182" s="271"/>
      <c r="BO182" s="271"/>
      <c r="BP182" s="271"/>
      <c r="BQ182" s="271"/>
      <c r="BR182" s="271"/>
      <c r="BS182" s="271"/>
      <c r="BT182" s="271"/>
      <c r="BU182" s="271"/>
      <c r="BV182" s="271"/>
      <c r="BW182" s="271"/>
      <c r="BX182" s="271"/>
      <c r="BY182" s="271"/>
      <c r="BZ182"/>
      <c r="CA182" s="1396"/>
      <c r="CB182" s="1396"/>
      <c r="CC182" s="270"/>
      <c r="CD182" s="270"/>
      <c r="CE182"/>
    </row>
    <row r="183" spans="1:83" ht="13.5" outlineLevel="2" thickBot="1" x14ac:dyDescent="0.25">
      <c r="A183" s="270"/>
      <c r="B183" s="271"/>
      <c r="C183" s="270"/>
      <c r="D183" s="270"/>
      <c r="E183" s="270"/>
      <c r="F183" s="270"/>
      <c r="G183" s="271"/>
      <c r="H183" s="271"/>
      <c r="I183" s="271"/>
      <c r="J183" s="270"/>
      <c r="K183" s="270"/>
      <c r="L183" s="270"/>
      <c r="M183" s="270"/>
      <c r="N183" s="270"/>
      <c r="O183" s="270"/>
      <c r="P183" s="270"/>
      <c r="Q183" s="270"/>
      <c r="R183" s="558" t="s">
        <v>1731</v>
      </c>
      <c r="S183" s="615"/>
      <c r="T183" s="619"/>
      <c r="U183" s="1503"/>
      <c r="V183" s="495" t="str">
        <f>IF(G166="","",G166)</f>
        <v>A7</v>
      </c>
      <c r="W183" s="496"/>
      <c r="X183" s="497" t="s">
        <v>769</v>
      </c>
      <c r="Y183" s="496"/>
      <c r="Z183" s="498" t="str">
        <f>IF(G167="","",G167)</f>
        <v>A8</v>
      </c>
      <c r="AA183" s="839"/>
      <c r="AB183" s="1459">
        <f t="shared" si="105"/>
        <v>0</v>
      </c>
      <c r="AC183" s="1460" t="str">
        <f t="shared" si="106"/>
        <v>-</v>
      </c>
      <c r="AD183" s="1459">
        <f t="shared" si="107"/>
        <v>0</v>
      </c>
      <c r="AE183" s="968" t="str">
        <f t="shared" si="108"/>
        <v/>
      </c>
      <c r="AF183" s="968" t="str">
        <f t="shared" si="109"/>
        <v/>
      </c>
      <c r="AG183" s="968" t="str">
        <f t="shared" si="110"/>
        <v/>
      </c>
      <c r="AH183" s="968" t="str">
        <f t="shared" si="111"/>
        <v/>
      </c>
      <c r="AI183" s="968" t="str">
        <f t="shared" si="112"/>
        <v/>
      </c>
      <c r="AJ183" s="968"/>
      <c r="AK183" s="968"/>
      <c r="AL183" s="270"/>
      <c r="AM183" s="270"/>
      <c r="AN183" s="575"/>
      <c r="AO183" s="270"/>
      <c r="AP183" s="271"/>
      <c r="AQ183" s="271"/>
      <c r="AR183" s="271"/>
      <c r="AS183" s="271"/>
      <c r="AT183" s="271"/>
      <c r="AU183" s="271"/>
      <c r="AV183" s="271"/>
      <c r="AW183" s="271"/>
      <c r="AX183" s="271"/>
      <c r="AY183" s="271"/>
      <c r="AZ183" s="271"/>
      <c r="BA183" s="271"/>
      <c r="BB183" s="271"/>
      <c r="BC183" s="271"/>
      <c r="BD183" s="271"/>
      <c r="BE183" s="271"/>
      <c r="BF183" s="271"/>
      <c r="BG183" s="271"/>
      <c r="BH183" s="271"/>
      <c r="BI183" s="271"/>
      <c r="BJ183" s="271"/>
      <c r="BK183" s="271"/>
      <c r="BL183" s="271"/>
      <c r="BM183" s="271"/>
      <c r="BN183" s="271"/>
      <c r="BO183" s="271"/>
      <c r="BP183" s="271"/>
      <c r="BQ183" s="271"/>
      <c r="BR183" s="271"/>
      <c r="BS183" s="271"/>
      <c r="BT183" s="271"/>
      <c r="BU183" s="271"/>
      <c r="BV183" s="271"/>
      <c r="BW183" s="271"/>
      <c r="BX183" s="271"/>
      <c r="BY183" s="271"/>
      <c r="BZ183"/>
      <c r="CA183" s="1396"/>
      <c r="CB183" s="1396"/>
      <c r="CC183" s="270"/>
      <c r="CD183" s="270"/>
      <c r="CE183"/>
    </row>
    <row r="184" spans="1:83" outlineLevel="2" x14ac:dyDescent="0.2">
      <c r="A184" s="270"/>
      <c r="B184" s="271"/>
      <c r="C184" s="270"/>
      <c r="D184" s="270"/>
      <c r="E184" s="270"/>
      <c r="F184" s="270"/>
      <c r="G184" s="271"/>
      <c r="H184" s="271"/>
      <c r="I184" s="271"/>
      <c r="J184" s="270"/>
      <c r="K184" s="270"/>
      <c r="L184" s="270"/>
      <c r="M184" s="270"/>
      <c r="N184" s="270"/>
      <c r="O184" s="270"/>
      <c r="P184" s="270"/>
      <c r="Q184" s="270"/>
      <c r="R184" s="558" t="s">
        <v>1740</v>
      </c>
      <c r="S184" s="611"/>
      <c r="T184" s="617"/>
      <c r="U184" s="1502"/>
      <c r="V184" s="479" t="str">
        <f>IF(G161="","",G161)</f>
        <v>A2</v>
      </c>
      <c r="W184" s="480"/>
      <c r="X184" s="481" t="s">
        <v>769</v>
      </c>
      <c r="Y184" s="480"/>
      <c r="Z184" s="482" t="str">
        <f>IF(G166="","",G166)</f>
        <v>A7</v>
      </c>
      <c r="AA184" s="839"/>
      <c r="AB184" s="1459">
        <f t="shared" si="105"/>
        <v>0</v>
      </c>
      <c r="AC184" s="1460" t="str">
        <f t="shared" si="106"/>
        <v>-</v>
      </c>
      <c r="AD184" s="1459">
        <f t="shared" si="107"/>
        <v>0</v>
      </c>
      <c r="AE184" s="968" t="str">
        <f t="shared" si="108"/>
        <v/>
      </c>
      <c r="AF184" s="968" t="str">
        <f t="shared" si="109"/>
        <v/>
      </c>
      <c r="AG184" s="968" t="str">
        <f t="shared" si="110"/>
        <v/>
      </c>
      <c r="AH184" s="968" t="str">
        <f t="shared" si="111"/>
        <v/>
      </c>
      <c r="AI184" s="968" t="str">
        <f t="shared" si="112"/>
        <v/>
      </c>
      <c r="AJ184" s="968"/>
      <c r="AK184" s="968"/>
      <c r="AL184" s="270"/>
      <c r="AM184" s="270"/>
      <c r="AN184" s="575"/>
      <c r="AO184" s="270"/>
      <c r="AP184" s="271"/>
      <c r="AQ184" s="271"/>
      <c r="AR184" s="271"/>
      <c r="AS184" s="271"/>
      <c r="AT184" s="271"/>
      <c r="AU184" s="271"/>
      <c r="AV184" s="271"/>
      <c r="AW184" s="271"/>
      <c r="AX184" s="271"/>
      <c r="AY184" s="271"/>
      <c r="AZ184" s="271"/>
      <c r="BA184" s="271"/>
      <c r="BB184" s="271"/>
      <c r="BC184" s="271"/>
      <c r="BD184" s="271"/>
      <c r="BE184" s="271"/>
      <c r="BF184" s="271"/>
      <c r="BG184" s="271"/>
      <c r="BH184" s="271"/>
      <c r="BI184" s="271"/>
      <c r="BJ184" s="271"/>
      <c r="BK184" s="271"/>
      <c r="BL184" s="271"/>
      <c r="BM184" s="271"/>
      <c r="BN184" s="271"/>
      <c r="BO184" s="271"/>
      <c r="BP184" s="271"/>
      <c r="BQ184" s="271"/>
      <c r="BR184" s="271"/>
      <c r="BS184" s="271"/>
      <c r="BT184" s="271"/>
      <c r="BU184" s="271"/>
      <c r="BV184" s="271"/>
      <c r="BW184" s="271"/>
      <c r="BX184" s="271"/>
      <c r="BY184" s="271"/>
      <c r="BZ184"/>
      <c r="CA184" s="1396"/>
      <c r="CB184" s="1396"/>
      <c r="CC184" s="270"/>
      <c r="CD184" s="270"/>
      <c r="CE184"/>
    </row>
    <row r="185" spans="1:83" outlineLevel="2" x14ac:dyDescent="0.2">
      <c r="A185" s="270"/>
      <c r="B185" s="271"/>
      <c r="C185" s="270"/>
      <c r="D185" s="270"/>
      <c r="E185" s="270"/>
      <c r="F185" s="270"/>
      <c r="G185" s="271"/>
      <c r="H185" s="271"/>
      <c r="I185" s="271"/>
      <c r="J185" s="270"/>
      <c r="K185" s="270"/>
      <c r="L185" s="270"/>
      <c r="M185" s="270"/>
      <c r="N185" s="270"/>
      <c r="O185" s="270"/>
      <c r="P185" s="270"/>
      <c r="Q185" s="270"/>
      <c r="R185" s="558" t="s">
        <v>1740</v>
      </c>
      <c r="S185" s="613"/>
      <c r="T185" s="618"/>
      <c r="U185" s="1504"/>
      <c r="V185" s="491" t="str">
        <f>IF(G162="","",G162)</f>
        <v>A3</v>
      </c>
      <c r="W185" s="492"/>
      <c r="X185" s="493" t="s">
        <v>769</v>
      </c>
      <c r="Y185" s="492"/>
      <c r="Z185" s="494" t="str">
        <f>IF(G165="","",G165)</f>
        <v>A6</v>
      </c>
      <c r="AA185" s="839"/>
      <c r="AB185" s="1459">
        <f t="shared" si="105"/>
        <v>0</v>
      </c>
      <c r="AC185" s="1460" t="str">
        <f t="shared" si="106"/>
        <v>-</v>
      </c>
      <c r="AD185" s="1459">
        <f t="shared" si="107"/>
        <v>0</v>
      </c>
      <c r="AE185" s="968" t="str">
        <f t="shared" si="108"/>
        <v/>
      </c>
      <c r="AF185" s="968" t="str">
        <f t="shared" si="109"/>
        <v/>
      </c>
      <c r="AG185" s="968" t="str">
        <f t="shared" si="110"/>
        <v/>
      </c>
      <c r="AH185" s="968" t="str">
        <f t="shared" si="111"/>
        <v/>
      </c>
      <c r="AI185" s="968" t="str">
        <f t="shared" si="112"/>
        <v/>
      </c>
      <c r="AJ185" s="968"/>
      <c r="AK185" s="968"/>
      <c r="AL185" s="270"/>
      <c r="AM185" s="270"/>
      <c r="AN185" s="575"/>
      <c r="AO185" s="270"/>
      <c r="AP185" s="271"/>
      <c r="AQ185" s="271"/>
      <c r="AR185" s="271"/>
      <c r="AS185" s="271"/>
      <c r="AT185" s="271"/>
      <c r="AU185" s="271"/>
      <c r="AV185" s="271"/>
      <c r="AW185" s="271"/>
      <c r="AX185" s="271"/>
      <c r="AY185" s="271"/>
      <c r="AZ185" s="271"/>
      <c r="BA185" s="271"/>
      <c r="BB185" s="271"/>
      <c r="BC185" s="271"/>
      <c r="BD185" s="271"/>
      <c r="BE185" s="271"/>
      <c r="BF185" s="271"/>
      <c r="BG185" s="271"/>
      <c r="BH185" s="271"/>
      <c r="BI185" s="271"/>
      <c r="BJ185" s="271"/>
      <c r="BK185" s="271"/>
      <c r="BL185" s="271"/>
      <c r="BM185" s="271"/>
      <c r="BN185" s="271"/>
      <c r="BO185" s="271"/>
      <c r="BP185" s="271"/>
      <c r="BQ185" s="271"/>
      <c r="BR185" s="271"/>
      <c r="BS185" s="271"/>
      <c r="BT185" s="271"/>
      <c r="BU185" s="271"/>
      <c r="BV185" s="271"/>
      <c r="BW185" s="271"/>
      <c r="BX185" s="271"/>
      <c r="BY185" s="271"/>
      <c r="BZ185"/>
      <c r="CA185" s="1396"/>
      <c r="CB185" s="1396"/>
      <c r="CC185" s="270"/>
      <c r="CD185" s="270"/>
      <c r="CE185"/>
    </row>
    <row r="186" spans="1:83" outlineLevel="2" x14ac:dyDescent="0.2">
      <c r="A186" s="270"/>
      <c r="B186" s="271"/>
      <c r="C186" s="270"/>
      <c r="D186" s="270"/>
      <c r="E186" s="270"/>
      <c r="F186" s="270"/>
      <c r="G186" s="271"/>
      <c r="H186" s="271"/>
      <c r="I186" s="271"/>
      <c r="J186" s="270"/>
      <c r="K186" s="270"/>
      <c r="L186" s="270"/>
      <c r="M186" s="270"/>
      <c r="N186" s="270"/>
      <c r="O186" s="270"/>
      <c r="P186" s="270"/>
      <c r="Q186" s="270"/>
      <c r="R186" s="558" t="s">
        <v>1740</v>
      </c>
      <c r="S186" s="613"/>
      <c r="T186" s="618"/>
      <c r="U186" s="1504"/>
      <c r="V186" s="491" t="str">
        <f>IF(G163="","",G163)</f>
        <v>A4</v>
      </c>
      <c r="W186" s="492"/>
      <c r="X186" s="493" t="s">
        <v>769</v>
      </c>
      <c r="Y186" s="492"/>
      <c r="Z186" s="494" t="str">
        <f>IF(G164="","",G164)</f>
        <v>A5</v>
      </c>
      <c r="AA186" s="839"/>
      <c r="AB186" s="1459">
        <f t="shared" si="105"/>
        <v>0</v>
      </c>
      <c r="AC186" s="1460" t="str">
        <f t="shared" si="106"/>
        <v>-</v>
      </c>
      <c r="AD186" s="1459">
        <f t="shared" si="107"/>
        <v>0</v>
      </c>
      <c r="AE186" s="968" t="str">
        <f t="shared" si="108"/>
        <v/>
      </c>
      <c r="AF186" s="968" t="str">
        <f t="shared" si="109"/>
        <v/>
      </c>
      <c r="AG186" s="968" t="str">
        <f t="shared" si="110"/>
        <v/>
      </c>
      <c r="AH186" s="968" t="str">
        <f t="shared" si="111"/>
        <v/>
      </c>
      <c r="AI186" s="968" t="str">
        <f t="shared" si="112"/>
        <v/>
      </c>
      <c r="AJ186" s="968"/>
      <c r="AK186" s="968"/>
      <c r="AL186" s="270"/>
      <c r="AM186" s="270"/>
      <c r="AN186" s="575"/>
      <c r="AO186" s="270"/>
      <c r="AP186" s="271"/>
      <c r="AQ186" s="271"/>
      <c r="AR186" s="271"/>
      <c r="AS186" s="271"/>
      <c r="AT186" s="271"/>
      <c r="AU186" s="271"/>
      <c r="AV186" s="271"/>
      <c r="AW186" s="271"/>
      <c r="AX186" s="271"/>
      <c r="AY186" s="271"/>
      <c r="AZ186" s="271"/>
      <c r="BA186" s="271"/>
      <c r="BB186" s="271"/>
      <c r="BC186" s="271"/>
      <c r="BD186" s="271"/>
      <c r="BE186" s="271"/>
      <c r="BF186" s="271"/>
      <c r="BG186" s="271"/>
      <c r="BH186" s="271"/>
      <c r="BI186" s="271"/>
      <c r="BJ186" s="271"/>
      <c r="BK186" s="271"/>
      <c r="BL186" s="271"/>
      <c r="BM186" s="271"/>
      <c r="BN186" s="271"/>
      <c r="BO186" s="271"/>
      <c r="BP186" s="271"/>
      <c r="BQ186" s="271"/>
      <c r="BR186" s="271"/>
      <c r="BS186" s="271"/>
      <c r="BT186" s="271"/>
      <c r="BU186" s="271"/>
      <c r="BV186" s="271"/>
      <c r="BW186" s="271"/>
      <c r="BX186" s="271"/>
      <c r="BY186" s="271"/>
      <c r="BZ186"/>
      <c r="CA186" s="1396"/>
      <c r="CB186" s="1396"/>
      <c r="CC186" s="270"/>
      <c r="CD186" s="270"/>
      <c r="CE186"/>
    </row>
    <row r="187" spans="1:83" ht="13.5" outlineLevel="2" thickBot="1" x14ac:dyDescent="0.25">
      <c r="A187" s="270"/>
      <c r="B187" s="271"/>
      <c r="C187" s="270"/>
      <c r="D187" s="270"/>
      <c r="E187" s="270"/>
      <c r="F187" s="270"/>
      <c r="G187" s="271"/>
      <c r="H187" s="271"/>
      <c r="I187" s="271"/>
      <c r="J187" s="270"/>
      <c r="K187" s="270"/>
      <c r="L187" s="270"/>
      <c r="M187" s="270"/>
      <c r="N187" s="270"/>
      <c r="O187" s="270"/>
      <c r="P187" s="270"/>
      <c r="Q187" s="270"/>
      <c r="R187" s="558" t="s">
        <v>1740</v>
      </c>
      <c r="S187" s="615"/>
      <c r="T187" s="619"/>
      <c r="U187" s="1503"/>
      <c r="V187" s="495" t="str">
        <f>IF(G167="","",G167)</f>
        <v>A8</v>
      </c>
      <c r="W187" s="496"/>
      <c r="X187" s="497" t="s">
        <v>769</v>
      </c>
      <c r="Y187" s="496"/>
      <c r="Z187" s="498" t="str">
        <f>IF(G160="","",G160)</f>
        <v>A1</v>
      </c>
      <c r="AA187" s="839"/>
      <c r="AB187" s="1459">
        <f t="shared" si="105"/>
        <v>0</v>
      </c>
      <c r="AC187" s="1460" t="str">
        <f t="shared" si="106"/>
        <v>-</v>
      </c>
      <c r="AD187" s="1459">
        <f t="shared" si="107"/>
        <v>0</v>
      </c>
      <c r="AE187" s="968" t="str">
        <f t="shared" si="108"/>
        <v/>
      </c>
      <c r="AF187" s="968" t="str">
        <f t="shared" si="109"/>
        <v/>
      </c>
      <c r="AG187" s="968" t="str">
        <f t="shared" si="110"/>
        <v/>
      </c>
      <c r="AH187" s="968" t="str">
        <f t="shared" si="111"/>
        <v/>
      </c>
      <c r="AI187" s="968" t="str">
        <f t="shared" si="112"/>
        <v/>
      </c>
      <c r="AJ187" s="968"/>
      <c r="AK187" s="968"/>
      <c r="AL187" s="270"/>
      <c r="AM187" s="270"/>
      <c r="AN187" s="575"/>
      <c r="AO187" s="270"/>
      <c r="AP187" s="271"/>
      <c r="AQ187" s="271"/>
      <c r="AR187" s="271"/>
      <c r="AS187" s="271"/>
      <c r="AT187" s="271"/>
      <c r="AU187" s="271"/>
      <c r="AV187" s="271"/>
      <c r="AW187" s="271"/>
      <c r="AX187" s="271"/>
      <c r="AY187" s="271"/>
      <c r="AZ187" s="271"/>
      <c r="BA187" s="271"/>
      <c r="BB187" s="271"/>
      <c r="BC187" s="271"/>
      <c r="BD187" s="271"/>
      <c r="BE187" s="271"/>
      <c r="BF187" s="271"/>
      <c r="BG187" s="271"/>
      <c r="BH187" s="271"/>
      <c r="BI187" s="271"/>
      <c r="BJ187" s="271"/>
      <c r="BK187" s="271"/>
      <c r="BL187" s="271"/>
      <c r="BM187" s="271"/>
      <c r="BN187" s="271"/>
      <c r="BO187" s="271"/>
      <c r="BP187" s="271"/>
      <c r="BQ187" s="271"/>
      <c r="BR187" s="271"/>
      <c r="BS187" s="271"/>
      <c r="BT187" s="271"/>
      <c r="BU187" s="271"/>
      <c r="BV187" s="271"/>
      <c r="BW187" s="271"/>
      <c r="BX187" s="271"/>
      <c r="BY187" s="271"/>
      <c r="BZ187"/>
      <c r="CA187" s="1396"/>
      <c r="CB187" s="1396"/>
      <c r="CC187" s="270"/>
      <c r="CD187" s="270"/>
      <c r="CE187"/>
    </row>
    <row r="188" spans="1:83" outlineLevel="1" x14ac:dyDescent="0.2">
      <c r="A188"/>
      <c r="B188" s="1"/>
      <c r="C188"/>
      <c r="D188"/>
      <c r="E188"/>
      <c r="F188"/>
      <c r="G188" s="1"/>
      <c r="H188" s="1"/>
      <c r="I188" s="1"/>
      <c r="J188"/>
      <c r="K188"/>
      <c r="L188"/>
      <c r="M188"/>
      <c r="N188"/>
      <c r="O188"/>
      <c r="P188"/>
      <c r="Q188"/>
      <c r="R188" s="334"/>
      <c r="S188" s="1"/>
      <c r="T188" s="1"/>
      <c r="U188"/>
      <c r="V188" s="6"/>
      <c r="W188" s="1"/>
      <c r="X188" s="1"/>
      <c r="Y188" s="1"/>
      <c r="Z188" s="16"/>
      <c r="AA188" s="123"/>
      <c r="AB188" s="963"/>
      <c r="AC188" s="963"/>
      <c r="AD188" s="963"/>
      <c r="AE188" s="964"/>
      <c r="AF188" s="964"/>
      <c r="AG188" s="964"/>
      <c r="AH188" s="964"/>
      <c r="AI188" s="964"/>
      <c r="AJ188" s="964"/>
      <c r="AK188" s="964"/>
      <c r="AL188"/>
      <c r="AM188"/>
      <c r="AO188"/>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c r="CA188" s="1396"/>
      <c r="CB188" s="1396"/>
      <c r="CC188"/>
      <c r="CD188"/>
      <c r="CE188"/>
    </row>
    <row r="189" spans="1:83" ht="13.5" thickBot="1" x14ac:dyDescent="0.25">
      <c r="A189"/>
      <c r="B189" s="1"/>
      <c r="C189"/>
      <c r="D189"/>
      <c r="E189"/>
      <c r="F189"/>
      <c r="G189" s="1"/>
      <c r="H189" s="1"/>
      <c r="I189" s="1"/>
      <c r="J189"/>
      <c r="K189"/>
      <c r="L189"/>
      <c r="M189"/>
      <c r="N189"/>
      <c r="O189"/>
      <c r="P189"/>
      <c r="Q189"/>
      <c r="R189" s="334"/>
      <c r="S189" s="1"/>
      <c r="T189" s="1"/>
      <c r="U189"/>
      <c r="V189" s="6"/>
      <c r="W189" s="1"/>
      <c r="X189" s="1"/>
      <c r="Y189" s="1"/>
      <c r="Z189" s="16"/>
      <c r="AA189" s="123"/>
      <c r="AB189" s="963"/>
      <c r="AC189" s="963"/>
      <c r="AD189" s="963"/>
      <c r="AE189" s="964"/>
      <c r="AF189" s="964"/>
      <c r="AG189" s="964"/>
      <c r="AH189" s="964"/>
      <c r="AI189" s="964"/>
      <c r="AJ189" s="964"/>
      <c r="AK189" s="964"/>
      <c r="AL189"/>
      <c r="AM189"/>
      <c r="AO189"/>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c r="CA189" s="1396"/>
      <c r="CB189" s="1396"/>
      <c r="CC189"/>
      <c r="CD189"/>
      <c r="CE189"/>
    </row>
    <row r="190" spans="1:83" ht="13.5" thickBot="1" x14ac:dyDescent="0.25">
      <c r="A190"/>
      <c r="B190" s="282" t="str">
        <f>N_Group_9</f>
        <v>Poule de 9</v>
      </c>
      <c r="C190" s="283"/>
      <c r="D190" s="283"/>
      <c r="E190" s="283"/>
      <c r="F190" s="283"/>
      <c r="G190" s="283"/>
      <c r="H190" s="283"/>
      <c r="I190" s="283"/>
      <c r="J190" s="283"/>
      <c r="K190" s="283"/>
      <c r="L190" s="283"/>
      <c r="M190" s="283"/>
      <c r="N190" s="283"/>
      <c r="O190" s="283"/>
      <c r="P190" s="283"/>
      <c r="Q190" s="283"/>
      <c r="R190" s="357"/>
      <c r="S190" s="283"/>
      <c r="T190" s="283"/>
      <c r="U190" s="283"/>
      <c r="V190" s="283"/>
      <c r="W190" s="992"/>
      <c r="X190" s="992"/>
      <c r="Y190" s="992"/>
      <c r="Z190" s="283"/>
      <c r="AA190" s="283"/>
      <c r="AB190" s="965"/>
      <c r="AC190" s="965"/>
      <c r="AD190" s="965"/>
      <c r="AE190" s="966"/>
      <c r="AF190" s="966"/>
      <c r="AG190" s="966"/>
      <c r="AH190" s="966"/>
      <c r="AI190" s="966"/>
      <c r="AJ190" s="966"/>
      <c r="AK190" s="965"/>
      <c r="AL190" s="283"/>
      <c r="AM190" s="282" t="str">
        <f>B190</f>
        <v>Poule de 9</v>
      </c>
      <c r="AN190" s="283"/>
      <c r="AO190" s="283"/>
      <c r="AP190" s="283"/>
      <c r="AQ190" s="283"/>
      <c r="AR190" s="283"/>
      <c r="AS190" s="283"/>
      <c r="AT190" s="283"/>
      <c r="AU190" s="283"/>
      <c r="AV190" s="283"/>
      <c r="AW190" s="283"/>
      <c r="AX190" s="283"/>
      <c r="AY190" s="283"/>
      <c r="AZ190" s="283"/>
      <c r="BA190" s="283"/>
      <c r="BB190" s="283"/>
      <c r="BC190" s="283"/>
      <c r="BD190" s="283"/>
      <c r="BE190" s="283"/>
      <c r="BF190" s="283"/>
      <c r="BG190" s="283"/>
      <c r="BH190" s="283"/>
      <c r="BI190" s="283"/>
      <c r="BJ190" s="283"/>
      <c r="BK190" s="283"/>
      <c r="BL190" s="283"/>
      <c r="BM190" s="283"/>
      <c r="BN190" s="283"/>
      <c r="BO190" s="283"/>
      <c r="BP190" s="283"/>
      <c r="BQ190" s="283"/>
      <c r="BR190" s="283"/>
      <c r="BS190" s="283"/>
      <c r="BT190" s="283"/>
      <c r="BU190" s="283"/>
      <c r="BV190" s="283"/>
      <c r="BW190" s="283"/>
      <c r="BX190" s="283"/>
      <c r="BY190" s="283"/>
      <c r="BZ190"/>
      <c r="CA190" s="1396"/>
      <c r="CB190" s="1396"/>
      <c r="CC190" s="284"/>
      <c r="CD190"/>
      <c r="CE190"/>
    </row>
    <row r="191" spans="1:83" ht="13.5" outlineLevel="1" thickBot="1" x14ac:dyDescent="0.25">
      <c r="A191"/>
      <c r="B191" s="1"/>
      <c r="C191"/>
      <c r="D191"/>
      <c r="E191"/>
      <c r="F191"/>
      <c r="G191" s="1"/>
      <c r="H191" s="1"/>
      <c r="I191"/>
      <c r="J191"/>
      <c r="K191"/>
      <c r="L191"/>
      <c r="M191"/>
      <c r="N191"/>
      <c r="O191"/>
      <c r="P191"/>
      <c r="Q191"/>
      <c r="S191"/>
      <c r="T191"/>
      <c r="U191"/>
      <c r="V191"/>
      <c r="W191" s="1"/>
      <c r="X191" s="1"/>
      <c r="Y191" s="1"/>
      <c r="Z191"/>
      <c r="AB191" s="964"/>
      <c r="AC191" s="964"/>
      <c r="AD191" s="969"/>
      <c r="AE191" s="969"/>
      <c r="AF191" s="964"/>
      <c r="AG191" s="970"/>
      <c r="AH191" s="964"/>
      <c r="AI191" s="969"/>
      <c r="AJ191" s="964"/>
      <c r="AK191" s="963"/>
      <c r="AL191" s="16"/>
      <c r="AM191" s="16"/>
      <c r="AN191" s="16"/>
      <c r="AO191" s="16"/>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s="1396"/>
      <c r="CB191" s="1396"/>
      <c r="CC191"/>
      <c r="CD191"/>
      <c r="CE191"/>
    </row>
    <row r="192" spans="1:83" ht="13.5" outlineLevel="1" thickBot="1" x14ac:dyDescent="0.25">
      <c r="A192"/>
      <c r="B192" s="18" t="str">
        <f>N_Tirage</f>
        <v>Tirage</v>
      </c>
      <c r="C192" s="971" t="s">
        <v>787</v>
      </c>
      <c r="D192" s="972" t="s">
        <v>831</v>
      </c>
      <c r="E192" s="972" t="s">
        <v>832</v>
      </c>
      <c r="F192" s="973" t="s">
        <v>833</v>
      </c>
      <c r="G192" s="22" t="str">
        <f>N_Joueurs</f>
        <v>Joueurs</v>
      </c>
      <c r="H192" s="3" t="str">
        <f>N_RankPoints</f>
        <v>Pt. Clas.</v>
      </c>
      <c r="I192" s="22" t="str">
        <f>N_Diff_Part</f>
        <v>Diff-Part</v>
      </c>
      <c r="J192" s="983" t="s">
        <v>788</v>
      </c>
      <c r="K192" s="984" t="s">
        <v>789</v>
      </c>
      <c r="L192" s="972" t="s">
        <v>790</v>
      </c>
      <c r="M192" s="972" t="s">
        <v>791</v>
      </c>
      <c r="N192" s="972" t="s">
        <v>792</v>
      </c>
      <c r="O192" s="972" t="s">
        <v>793</v>
      </c>
      <c r="P192" s="972" t="s">
        <v>794</v>
      </c>
      <c r="Q192" s="973" t="s">
        <v>781</v>
      </c>
      <c r="R192"/>
      <c r="S192"/>
      <c r="T192"/>
      <c r="U192"/>
      <c r="V192"/>
      <c r="W192" s="1"/>
      <c r="X192" s="1"/>
      <c r="Y192" s="1"/>
      <c r="Z192"/>
      <c r="AB192" s="964"/>
      <c r="AC192" s="964"/>
      <c r="AD192" s="964"/>
      <c r="AE192" s="964" t="str">
        <f>N_G</f>
        <v>G</v>
      </c>
      <c r="AF192" s="964" t="str">
        <f>N_N</f>
        <v>N</v>
      </c>
      <c r="AG192" s="964" t="str">
        <f>N_N</f>
        <v>N</v>
      </c>
      <c r="AH192" s="964" t="str">
        <f>N_P</f>
        <v>P</v>
      </c>
      <c r="AI192" s="964" t="s">
        <v>1560</v>
      </c>
      <c r="AJ192" s="964" t="s">
        <v>3714</v>
      </c>
      <c r="AK192" s="964" t="str">
        <f>IF(COUNTA(W204:W255)=0,"","OK")</f>
        <v/>
      </c>
      <c r="AL192"/>
      <c r="AM192" s="16"/>
      <c r="AN192" s="24" t="str">
        <f>N_Cla.</f>
        <v>Cla.</v>
      </c>
      <c r="AO192" s="4" t="str">
        <f>N_Joueurs</f>
        <v>Joueurs</v>
      </c>
      <c r="AP192" s="25" t="str">
        <f>N_Pts</f>
        <v>Pts</v>
      </c>
      <c r="AQ192" s="25" t="str">
        <f>N_J</f>
        <v>J</v>
      </c>
      <c r="AR192" s="26" t="str">
        <f>N_G</f>
        <v>G</v>
      </c>
      <c r="AS192" s="26" t="str">
        <f>N_N</f>
        <v>N</v>
      </c>
      <c r="AT192" s="26" t="str">
        <f>N_P</f>
        <v>P</v>
      </c>
      <c r="AU192" s="26" t="str">
        <f>N_BP</f>
        <v>BP</v>
      </c>
      <c r="AV192" s="26" t="str">
        <f>N_BC</f>
        <v>BC</v>
      </c>
      <c r="AW192" s="5" t="str">
        <f>N_Diff.</f>
        <v>Diff.</v>
      </c>
      <c r="AX192"/>
      <c r="AY192"/>
      <c r="AZ192" s="1"/>
      <c r="BA192" s="1"/>
      <c r="BB192"/>
      <c r="BC192" s="6"/>
      <c r="BD192"/>
      <c r="BE192" s="1"/>
      <c r="BF192"/>
      <c r="BG192" s="16"/>
      <c r="BH192"/>
      <c r="BI192"/>
      <c r="BJ192"/>
      <c r="BK192"/>
      <c r="BL192"/>
      <c r="BM192"/>
      <c r="BN192"/>
      <c r="BO192"/>
      <c r="BP192"/>
      <c r="BQ192"/>
      <c r="BR192"/>
      <c r="BS192"/>
      <c r="BT192"/>
      <c r="BU192"/>
      <c r="BV192"/>
      <c r="BW192"/>
      <c r="BX192"/>
      <c r="BY192"/>
      <c r="BZ192"/>
      <c r="CA192" s="1396"/>
      <c r="CB192" s="1396"/>
      <c r="CC192"/>
      <c r="CD192"/>
      <c r="CE192"/>
    </row>
    <row r="193" spans="1:83" outlineLevel="1" x14ac:dyDescent="0.2">
      <c r="A193"/>
      <c r="B193" s="941">
        <v>1</v>
      </c>
      <c r="C193" s="974" t="str">
        <f>IF(AK192="","",RANK(F193,F193:F201)*1000+ROW())</f>
        <v/>
      </c>
      <c r="D193" s="975" t="str">
        <f>IF(L193="","",CritClassInd1_Points*J193+CritClassInd1_Matches*L193+CritClassInd1_Attaque*O193+CritClassInd1_DiffButs*Q193)</f>
        <v/>
      </c>
      <c r="E193" s="975" t="str">
        <f>IF(L193="","",Nb_Diff_Part(D193,D193:D201,G193,G193:G201,AI204:AI255)*CritClassInd_DiffPart+Nb_Goal_Part(D193,D193:D201,G193,G193:G201,V204:Z255)*CritClassInd_GoalPart+Nb_Score_Part(D193,D193:D201,G193,G193:G201,V204:Z255)*CritClassInd_ScorePart)</f>
        <v/>
      </c>
      <c r="F193" s="976" t="str">
        <f>IF(L193="","",D193+E193+CritClassInd2_Points*J193+CritClassInd2_Matches*L193+CritClassInd2_Attaque*O193+CritClassInd2_DiffButs*Q193+CritClassInd_Ranking*H193+I193)</f>
        <v/>
      </c>
      <c r="G193" s="942" t="s">
        <v>903</v>
      </c>
      <c r="H193" s="499">
        <f t="shared" ref="H193:H201" si="116">GMFTRANKINGPOINTS(G193,Particular_Category)</f>
        <v>0</v>
      </c>
      <c r="I193" s="942"/>
      <c r="J193" s="974" t="str">
        <f>IF(AK192="","",(L193*Points_Victoire)+M193*Points_Null)</f>
        <v/>
      </c>
      <c r="K193" s="985" t="str">
        <f t="shared" ref="K193:K201" si="117">IF(L193="","",SUM(L193:N193))</f>
        <v/>
      </c>
      <c r="L193" s="986" t="str">
        <f>IF(AK192="","",COUNTIF(AE204:AE255,G193))</f>
        <v/>
      </c>
      <c r="M193" s="986" t="str">
        <f>IF(AK192="","",COUNTIF(AF204:AG255,G193))</f>
        <v/>
      </c>
      <c r="N193" s="986" t="str">
        <f>IF(AK192="","",COUNTIF(AH204:AH255,G193))</f>
        <v/>
      </c>
      <c r="O193" s="986" t="str">
        <f>IF(AK192="","",SUMIF(V204:V255,G193,AB204:AB255)+SUMIF(Z204:Z255,G193,AD204:AD255))</f>
        <v/>
      </c>
      <c r="P193" s="986" t="str">
        <f>IF(AK192="","",SUMIF(V204:V255,G193,AD204:AD255)+SUMIF(Z204:Z255,G193,AB204:AB255))</f>
        <v/>
      </c>
      <c r="Q193" s="987" t="str">
        <f>IF(AK192="","",O193-P193)</f>
        <v/>
      </c>
      <c r="R193"/>
      <c r="S193"/>
      <c r="T193"/>
      <c r="U193"/>
      <c r="V193"/>
      <c r="W193" s="1"/>
      <c r="X193" s="1"/>
      <c r="Y193" s="1"/>
      <c r="Z193"/>
      <c r="AB193" s="964"/>
      <c r="AC193" s="964"/>
      <c r="AD193" s="964"/>
      <c r="AE193" s="964"/>
      <c r="AF193" s="964"/>
      <c r="AG193" s="964"/>
      <c r="AH193" s="964"/>
      <c r="AI193" s="964"/>
      <c r="AJ193" s="964"/>
      <c r="AK193" s="968" t="str">
        <f>IF(AK192="","",SMALL(C193:C201,1))</f>
        <v/>
      </c>
      <c r="AL193"/>
      <c r="AM193" s="16"/>
      <c r="AN193" s="943" t="str">
        <f>IF(AK192="","",INT(AK193/1000))</f>
        <v/>
      </c>
      <c r="AO193" s="33" t="str">
        <f>IF(AK192="","",VLOOKUP(AK193,C193:Q201,5,FALSE))</f>
        <v/>
      </c>
      <c r="AP193" s="33" t="str">
        <f>VLOOKUP(AK193,C193:Q201,8,FALSE)</f>
        <v/>
      </c>
      <c r="AQ193" s="33" t="str">
        <f>VLOOKUP(AK193,C193:Q201,9,FALSE)</f>
        <v/>
      </c>
      <c r="AR193" s="33" t="str">
        <f>VLOOKUP(AK193,C193:Q201,10,FALSE)</f>
        <v/>
      </c>
      <c r="AS193" s="33" t="str">
        <f>VLOOKUP(AK193,C193:Q201,11,FALSE)</f>
        <v/>
      </c>
      <c r="AT193" s="33" t="str">
        <f>VLOOKUP(AK193,C193:Q201,12,FALSE)</f>
        <v/>
      </c>
      <c r="AU193" s="33" t="str">
        <f>VLOOKUP(AK193,C193:Q201,13,FALSE)</f>
        <v/>
      </c>
      <c r="AV193" s="33" t="str">
        <f>VLOOKUP(AK193,C193:Q201,14,FALSE)</f>
        <v/>
      </c>
      <c r="AW193" s="944" t="str">
        <f>VLOOKUP(AK193,C193:Q201,15,FALSE)</f>
        <v/>
      </c>
      <c r="AX193"/>
      <c r="AY193"/>
      <c r="AZ193" s="1"/>
      <c r="BA193" s="1"/>
      <c r="BB193"/>
      <c r="BC193" s="6"/>
      <c r="BD193"/>
      <c r="BE193" s="1"/>
      <c r="BF193"/>
      <c r="BG193" s="16"/>
      <c r="BH193"/>
      <c r="BI193"/>
      <c r="BJ193"/>
      <c r="BK193"/>
      <c r="BL193"/>
      <c r="BM193"/>
      <c r="BN193"/>
      <c r="BO193"/>
      <c r="BP193"/>
      <c r="BQ193"/>
      <c r="BR193"/>
      <c r="BS193"/>
      <c r="BT193"/>
      <c r="BU193"/>
      <c r="BV193"/>
      <c r="BW193"/>
      <c r="BX193"/>
      <c r="BY193"/>
      <c r="BZ193"/>
      <c r="CA193" s="1396"/>
      <c r="CB193" s="1396"/>
      <c r="CC193"/>
      <c r="CD193"/>
      <c r="CE193"/>
    </row>
    <row r="194" spans="1:83" outlineLevel="1" x14ac:dyDescent="0.2">
      <c r="A194"/>
      <c r="B194" s="945">
        <v>2</v>
      </c>
      <c r="C194" s="977" t="str">
        <f>IF(AK192="","",RANK(F194,F193:F201)*1000+ROW())</f>
        <v/>
      </c>
      <c r="D194" s="978" t="str">
        <f t="shared" ref="D194:D201" si="118">IF(L194="","",CritClassInd1_Points*J194+CritClassInd1_Matches*L194+CritClassInd1_Attaque*O194+CritClassInd1_DiffButs*Q194)</f>
        <v/>
      </c>
      <c r="E194" s="978" t="str">
        <f>IF(L194="","",Nb_Diff_Part(D194,D193:D201,G194,G193:G201,AI204:AI255)*CritClassInd_DiffPart+Nb_Goal_Part(D194,D193:D201,G194,G193:G201,V204:Z255)*CritClassInd_GoalPart+Nb_Score_Part(D194,D193:D201,G194,G193:G201,V204:Z255)*CritClassInd_ScorePart)</f>
        <v/>
      </c>
      <c r="F194" s="979" t="str">
        <f t="shared" ref="F194:F201" si="119">IF(L194="","",D194+E194+CritClassInd2_Points*J194+CritClassInd2_Matches*L194+CritClassInd2_Attaque*O194+CritClassInd2_DiffButs*Q194+CritClassInd_Ranking*H194+I194)</f>
        <v/>
      </c>
      <c r="G194" s="39" t="s">
        <v>904</v>
      </c>
      <c r="H194" s="501">
        <f t="shared" si="116"/>
        <v>0</v>
      </c>
      <c r="I194" s="39"/>
      <c r="J194" s="977" t="str">
        <f>IF(AK192="","",(L194*Points_Victoire)+M194*Points_Null)</f>
        <v/>
      </c>
      <c r="K194" s="988" t="str">
        <f t="shared" si="117"/>
        <v/>
      </c>
      <c r="L194" s="988" t="str">
        <f>IF(AK192="","",COUNTIF(AE204:AE255,G194))</f>
        <v/>
      </c>
      <c r="M194" s="988" t="str">
        <f>IF(AK192="","",COUNTIF(AF204:AG255,G194))</f>
        <v/>
      </c>
      <c r="N194" s="988" t="str">
        <f>IF(AK192="","",COUNTIF(AH204:AH255,G194))</f>
        <v/>
      </c>
      <c r="O194" s="988" t="str">
        <f>IF(AK192="","",SUMIF(V204:V255,G194,AB204:AB255)+SUMIF(Z204:Z255,G194,AD204:AD255))</f>
        <v/>
      </c>
      <c r="P194" s="988" t="str">
        <f>IF(AK192="","",SUMIF(V204:V255,G194,AD204:AD255)+SUMIF(Z204:Z255,G194,AB204:AB255))</f>
        <v/>
      </c>
      <c r="Q194" s="989" t="str">
        <f>IF(AK192="","",O194-P194)</f>
        <v/>
      </c>
      <c r="R194"/>
      <c r="S194"/>
      <c r="T194"/>
      <c r="U194"/>
      <c r="V194"/>
      <c r="W194" s="1"/>
      <c r="X194" s="1"/>
      <c r="Y194" s="1"/>
      <c r="Z194"/>
      <c r="AB194" s="964"/>
      <c r="AC194" s="964"/>
      <c r="AD194" s="964"/>
      <c r="AE194" s="964"/>
      <c r="AF194" s="964"/>
      <c r="AG194" s="964"/>
      <c r="AH194" s="964"/>
      <c r="AI194" s="964"/>
      <c r="AJ194" s="964"/>
      <c r="AK194" s="968" t="str">
        <f>IF(AK192="","",SMALL(C193:C201,2))</f>
        <v/>
      </c>
      <c r="AL194"/>
      <c r="AM194" s="16"/>
      <c r="AN194" s="946" t="str">
        <f>IF(AK192="","",INT(AK194/1000))</f>
        <v/>
      </c>
      <c r="AO194" s="42" t="str">
        <f>IF(AK192="","",VLOOKUP(AK194,C193:Q201,5,FALSE))</f>
        <v/>
      </c>
      <c r="AP194" s="42" t="str">
        <f>VLOOKUP(AK194,C193:Q201,8,FALSE)</f>
        <v/>
      </c>
      <c r="AQ194" s="42" t="str">
        <f>VLOOKUP(AK194,C193:Q201,9,FALSE)</f>
        <v/>
      </c>
      <c r="AR194" s="42" t="str">
        <f>VLOOKUP(AK194,C193:Q201,10,FALSE)</f>
        <v/>
      </c>
      <c r="AS194" s="42" t="str">
        <f>VLOOKUP(AK194,C193:Q201,11,FALSE)</f>
        <v/>
      </c>
      <c r="AT194" s="42" t="str">
        <f>VLOOKUP(AK194,C193:Q201,12,FALSE)</f>
        <v/>
      </c>
      <c r="AU194" s="42" t="str">
        <f>VLOOKUP(AK194,C193:Q201,13,FALSE)</f>
        <v/>
      </c>
      <c r="AV194" s="42" t="str">
        <f>VLOOKUP(AK194,C193:Q201,14,FALSE)</f>
        <v/>
      </c>
      <c r="AW194" s="947" t="str">
        <f>VLOOKUP(AK194,C193:Q201,15,FALSE)</f>
        <v/>
      </c>
      <c r="AX194"/>
      <c r="AY194"/>
      <c r="AZ194" s="1"/>
      <c r="BA194" s="1"/>
      <c r="BB194"/>
      <c r="BC194" s="6"/>
      <c r="BD194"/>
      <c r="BE194" s="1"/>
      <c r="BF194"/>
      <c r="BG194" s="16"/>
      <c r="BH194"/>
      <c r="BI194"/>
      <c r="BJ194"/>
      <c r="BK194"/>
      <c r="BL194"/>
      <c r="BM194"/>
      <c r="BN194"/>
      <c r="BO194"/>
      <c r="BP194"/>
      <c r="BQ194"/>
      <c r="BR194"/>
      <c r="BS194"/>
      <c r="BT194"/>
      <c r="BU194"/>
      <c r="BV194"/>
      <c r="BW194"/>
      <c r="BX194"/>
      <c r="BY194"/>
      <c r="BZ194"/>
      <c r="CA194" s="1396"/>
      <c r="CB194" s="1396"/>
      <c r="CC194"/>
      <c r="CD194"/>
      <c r="CE194"/>
    </row>
    <row r="195" spans="1:83" outlineLevel="1" x14ac:dyDescent="0.2">
      <c r="A195"/>
      <c r="B195" s="945">
        <v>3</v>
      </c>
      <c r="C195" s="977" t="str">
        <f>IF(AK192="","",RANK(F195,F193:F201)*1000+ROW())</f>
        <v/>
      </c>
      <c r="D195" s="978" t="str">
        <f t="shared" si="118"/>
        <v/>
      </c>
      <c r="E195" s="978" t="str">
        <f>IF(L195="","",Nb_Diff_Part(D195,D193:D201,G195,G193:G201,AI204:AI255)*CritClassInd_DiffPart+Nb_Goal_Part(D195,D193:D201,G195,G193:G201,V204:Z255)*CritClassInd_GoalPart+Nb_Score_Part(D195,D193:D201,G195,G193:G201,V204:Z255)*CritClassInd_ScorePart)</f>
        <v/>
      </c>
      <c r="F195" s="979" t="str">
        <f t="shared" si="119"/>
        <v/>
      </c>
      <c r="G195" s="39" t="s">
        <v>905</v>
      </c>
      <c r="H195" s="501">
        <f t="shared" si="116"/>
        <v>0</v>
      </c>
      <c r="I195" s="39"/>
      <c r="J195" s="977" t="str">
        <f>IF(AK192="","",(L195*Points_Victoire)+M195*Points_Null)</f>
        <v/>
      </c>
      <c r="K195" s="988" t="str">
        <f t="shared" si="117"/>
        <v/>
      </c>
      <c r="L195" s="988" t="str">
        <f>IF(AK192="","",COUNTIF(AE204:AE255,G195))</f>
        <v/>
      </c>
      <c r="M195" s="988" t="str">
        <f>IF(AK192="","",COUNTIF(AF204:AG255,G195))</f>
        <v/>
      </c>
      <c r="N195" s="988" t="str">
        <f>IF(AK192="","",COUNTIF(AH204:AH255,G195))</f>
        <v/>
      </c>
      <c r="O195" s="988" t="str">
        <f>IF(AK192="","",SUMIF(V204:V255,G195,AB204:AB255)+SUMIF(Z204:Z255,G195,AD204:AD255))</f>
        <v/>
      </c>
      <c r="P195" s="988" t="str">
        <f>IF(AK192="","",SUMIF(V204:V255,G195,AD204:AD255)+SUMIF(Z204:Z255,G195,AB204:AB255))</f>
        <v/>
      </c>
      <c r="Q195" s="989" t="str">
        <f>IF(AK192="","",O195-P195)</f>
        <v/>
      </c>
      <c r="R195"/>
      <c r="S195"/>
      <c r="T195"/>
      <c r="U195"/>
      <c r="V195"/>
      <c r="W195" s="1"/>
      <c r="X195" s="1"/>
      <c r="Y195" s="1"/>
      <c r="Z195"/>
      <c r="AB195" s="964"/>
      <c r="AC195" s="964"/>
      <c r="AD195" s="964"/>
      <c r="AE195" s="964"/>
      <c r="AF195" s="964"/>
      <c r="AG195" s="964"/>
      <c r="AH195" s="964"/>
      <c r="AI195" s="964"/>
      <c r="AJ195" s="964"/>
      <c r="AK195" s="968" t="str">
        <f>IF(AK192="","",SMALL(C193:C201,3))</f>
        <v/>
      </c>
      <c r="AL195"/>
      <c r="AM195" s="16"/>
      <c r="AN195" s="946" t="str">
        <f>IF(AK192="","",INT(AK195/1000))</f>
        <v/>
      </c>
      <c r="AO195" s="42" t="str">
        <f>IF(AK192="","",VLOOKUP(AK195,C193:Q201,5,FALSE))</f>
        <v/>
      </c>
      <c r="AP195" s="42" t="str">
        <f>VLOOKUP(AK195,C193:Q201,8,FALSE)</f>
        <v/>
      </c>
      <c r="AQ195" s="42" t="str">
        <f>VLOOKUP(AK195,C193:Q201,9,FALSE)</f>
        <v/>
      </c>
      <c r="AR195" s="42" t="str">
        <f>VLOOKUP(AK195,C193:Q201,10,FALSE)</f>
        <v/>
      </c>
      <c r="AS195" s="42" t="str">
        <f>VLOOKUP(AK195,C193:Q201,11,FALSE)</f>
        <v/>
      </c>
      <c r="AT195" s="42" t="str">
        <f>VLOOKUP(AK195,C193:Q201,12,FALSE)</f>
        <v/>
      </c>
      <c r="AU195" s="42" t="str">
        <f>VLOOKUP(AK195,C193:Q201,13,FALSE)</f>
        <v/>
      </c>
      <c r="AV195" s="42" t="str">
        <f>VLOOKUP(AK195,C193:Q201,14,FALSE)</f>
        <v/>
      </c>
      <c r="AW195" s="947" t="str">
        <f>VLOOKUP(AK195,C193:Q201,15,FALSE)</f>
        <v/>
      </c>
      <c r="AX195"/>
      <c r="AY195"/>
      <c r="AZ195" s="1"/>
      <c r="BA195" s="1"/>
      <c r="BB195"/>
      <c r="BC195" s="6"/>
      <c r="BD195"/>
      <c r="BE195" s="1"/>
      <c r="BF195"/>
      <c r="BG195" s="16"/>
      <c r="BH195"/>
      <c r="BI195"/>
      <c r="BJ195"/>
      <c r="BK195"/>
      <c r="BL195"/>
      <c r="BM195"/>
      <c r="BN195"/>
      <c r="BO195"/>
      <c r="BP195"/>
      <c r="BQ195"/>
      <c r="BR195"/>
      <c r="BS195"/>
      <c r="BT195"/>
      <c r="BU195"/>
      <c r="BV195"/>
      <c r="BW195"/>
      <c r="BX195"/>
      <c r="BY195"/>
      <c r="BZ195"/>
      <c r="CA195" s="1396"/>
      <c r="CB195" s="1396"/>
      <c r="CC195"/>
      <c r="CD195"/>
      <c r="CE195"/>
    </row>
    <row r="196" spans="1:83" outlineLevel="1" x14ac:dyDescent="0.2">
      <c r="A196"/>
      <c r="B196" s="945">
        <v>4</v>
      </c>
      <c r="C196" s="977" t="str">
        <f>IF(AK192="","",RANK(F196,F193:F201)*1000+ROW())</f>
        <v/>
      </c>
      <c r="D196" s="978" t="str">
        <f t="shared" si="118"/>
        <v/>
      </c>
      <c r="E196" s="978" t="str">
        <f>IF(L196="","",Nb_Diff_Part(D196,D193:D201,G196,G193:G201,AI204:AI255)*CritClassInd_DiffPart+Nb_Goal_Part(D196,D193:D201,G196,G193:G201,V204:Z255)*CritClassInd_GoalPart+Nb_Score_Part(D196,D193:D201,G196,G193:G201,V204:Z255)*CritClassInd_ScorePart)</f>
        <v/>
      </c>
      <c r="F196" s="979" t="str">
        <f t="shared" si="119"/>
        <v/>
      </c>
      <c r="G196" s="39" t="s">
        <v>906</v>
      </c>
      <c r="H196" s="501">
        <f t="shared" si="116"/>
        <v>0</v>
      </c>
      <c r="I196" s="39"/>
      <c r="J196" s="977" t="str">
        <f>IF(AK192="","",(L196*Points_Victoire)+M196*Points_Null)</f>
        <v/>
      </c>
      <c r="K196" s="988" t="str">
        <f t="shared" si="117"/>
        <v/>
      </c>
      <c r="L196" s="988" t="str">
        <f>IF(AK192="","",COUNTIF(AE204:AE255,G196))</f>
        <v/>
      </c>
      <c r="M196" s="988" t="str">
        <f>IF(AK192="","",COUNTIF(AF204:AG255,G196))</f>
        <v/>
      </c>
      <c r="N196" s="988" t="str">
        <f>IF(AK192="","",COUNTIF(AH204:AH255,G196))</f>
        <v/>
      </c>
      <c r="O196" s="988" t="str">
        <f>IF(AK192="","",SUMIF(V204:V255,G196,AB204:AB255)+SUMIF(Z204:Z255,G196,AD204:AD255))</f>
        <v/>
      </c>
      <c r="P196" s="988" t="str">
        <f>IF(AK192="","",SUMIF(V204:V255,G196,AD204:AD255)+SUMIF(Z204:Z255,G196,AB204:AB255))</f>
        <v/>
      </c>
      <c r="Q196" s="989" t="str">
        <f>IF(AK192="","",O196-P196)</f>
        <v/>
      </c>
      <c r="R196"/>
      <c r="S196"/>
      <c r="T196"/>
      <c r="U196"/>
      <c r="V196"/>
      <c r="W196" s="1"/>
      <c r="X196" s="1"/>
      <c r="Y196" s="1"/>
      <c r="Z196"/>
      <c r="AB196" s="964"/>
      <c r="AC196" s="964"/>
      <c r="AD196" s="964"/>
      <c r="AE196" s="964"/>
      <c r="AF196" s="964"/>
      <c r="AG196" s="964"/>
      <c r="AH196" s="964"/>
      <c r="AI196" s="964"/>
      <c r="AJ196" s="964"/>
      <c r="AK196" s="968" t="str">
        <f>IF(AK192="","",SMALL(C193:C201,4))</f>
        <v/>
      </c>
      <c r="AL196"/>
      <c r="AM196" s="16"/>
      <c r="AN196" s="946" t="str">
        <f>IF(AK192="","",INT(AK196/1000))</f>
        <v/>
      </c>
      <c r="AO196" s="42" t="str">
        <f>IF(AK192="","",VLOOKUP(AK196,C193:Q201,5,FALSE))</f>
        <v/>
      </c>
      <c r="AP196" s="42" t="str">
        <f>VLOOKUP(AK196,C193:Q201,8,FALSE)</f>
        <v/>
      </c>
      <c r="AQ196" s="42" t="str">
        <f>VLOOKUP(AK196,C193:Q201,9,FALSE)</f>
        <v/>
      </c>
      <c r="AR196" s="42" t="str">
        <f>VLOOKUP(AK196,C193:Q201,10,FALSE)</f>
        <v/>
      </c>
      <c r="AS196" s="42" t="str">
        <f>VLOOKUP(AK196,C193:Q201,11,FALSE)</f>
        <v/>
      </c>
      <c r="AT196" s="42" t="str">
        <f>VLOOKUP(AK196,C193:Q201,12,FALSE)</f>
        <v/>
      </c>
      <c r="AU196" s="42" t="str">
        <f>VLOOKUP(AK196,C193:Q201,13,FALSE)</f>
        <v/>
      </c>
      <c r="AV196" s="42" t="str">
        <f>VLOOKUP(AK196,C193:Q201,14,FALSE)</f>
        <v/>
      </c>
      <c r="AW196" s="947" t="str">
        <f>VLOOKUP(AK196,C193:Q201,15,FALSE)</f>
        <v/>
      </c>
      <c r="AX196"/>
      <c r="AY196"/>
      <c r="AZ196" s="1"/>
      <c r="BA196" s="1"/>
      <c r="BB196"/>
      <c r="BC196" s="6"/>
      <c r="BD196"/>
      <c r="BE196" s="1"/>
      <c r="BF196"/>
      <c r="BG196" s="16"/>
      <c r="BH196"/>
      <c r="BI196"/>
      <c r="BJ196"/>
      <c r="BK196"/>
      <c r="BL196"/>
      <c r="BM196"/>
      <c r="BN196"/>
      <c r="BO196"/>
      <c r="BP196"/>
      <c r="BQ196"/>
      <c r="BR196"/>
      <c r="BS196"/>
      <c r="BT196"/>
      <c r="BU196"/>
      <c r="BV196"/>
      <c r="BW196"/>
      <c r="BX196"/>
      <c r="BY196"/>
      <c r="BZ196"/>
      <c r="CA196" s="1396"/>
      <c r="CB196" s="1396"/>
      <c r="CC196"/>
      <c r="CD196"/>
      <c r="CE196"/>
    </row>
    <row r="197" spans="1:83" outlineLevel="1" x14ac:dyDescent="0.2">
      <c r="A197"/>
      <c r="B197" s="945">
        <v>5</v>
      </c>
      <c r="C197" s="977" t="str">
        <f>IF(AK192="","",RANK(F197,F193:F201)*1000+ROW())</f>
        <v/>
      </c>
      <c r="D197" s="978" t="str">
        <f t="shared" si="118"/>
        <v/>
      </c>
      <c r="E197" s="978" t="str">
        <f>IF(L197="","",Nb_Diff_Part(D197,D193:D201,G197,G193:G201,AI204:AI255)*CritClassInd_DiffPart+Nb_Goal_Part(D197,D193:D201,G197,G193:G201,V204:Z255)*CritClassInd_GoalPart+Nb_Score_Part(D197,D193:D201,G197,G193:G201,V204:Z255)*CritClassInd_ScorePart)</f>
        <v/>
      </c>
      <c r="F197" s="979" t="str">
        <f t="shared" si="119"/>
        <v/>
      </c>
      <c r="G197" s="39" t="s">
        <v>907</v>
      </c>
      <c r="H197" s="501">
        <f t="shared" si="116"/>
        <v>0</v>
      </c>
      <c r="I197" s="39"/>
      <c r="J197" s="977" t="str">
        <f>IF(AK192="","",(L197*Points_Victoire)+M197*Points_Null)</f>
        <v/>
      </c>
      <c r="K197" s="988" t="str">
        <f t="shared" si="117"/>
        <v/>
      </c>
      <c r="L197" s="988" t="str">
        <f>IF(AK192="","",COUNTIF(AE204:AE255,G197))</f>
        <v/>
      </c>
      <c r="M197" s="988" t="str">
        <f>IF(AK192="","",COUNTIF(AF204:AG255,G197))</f>
        <v/>
      </c>
      <c r="N197" s="988" t="str">
        <f>IF(AK192="","",COUNTIF(AH204:AH255,G197))</f>
        <v/>
      </c>
      <c r="O197" s="988" t="str">
        <f>IF(AK192="","",SUMIF(V204:V255,G197,AB204:AB255)+SUMIF(Z204:Z255,G197,AD204:AD255))</f>
        <v/>
      </c>
      <c r="P197" s="988" t="str">
        <f>IF(AK192="","",SUMIF(V204:V255,G197,AD204:AD255)+SUMIF(Z204:Z255,G197,AB204:AB255))</f>
        <v/>
      </c>
      <c r="Q197" s="989" t="str">
        <f>IF(AK192="","",O197-P197)</f>
        <v/>
      </c>
      <c r="R197"/>
      <c r="S197"/>
      <c r="T197"/>
      <c r="U197"/>
      <c r="V197"/>
      <c r="W197" s="1"/>
      <c r="X197" s="1"/>
      <c r="Y197" s="1"/>
      <c r="Z197"/>
      <c r="AB197" s="964"/>
      <c r="AC197" s="964"/>
      <c r="AD197" s="964"/>
      <c r="AE197" s="964"/>
      <c r="AF197" s="964"/>
      <c r="AG197" s="964"/>
      <c r="AH197" s="964"/>
      <c r="AI197" s="964"/>
      <c r="AJ197" s="964"/>
      <c r="AK197" s="968" t="str">
        <f>IF(AK192="","",SMALL(C193:C201,5))</f>
        <v/>
      </c>
      <c r="AL197"/>
      <c r="AM197" s="16"/>
      <c r="AN197" s="946" t="str">
        <f>IF(AK192="","",INT(AK197/1000))</f>
        <v/>
      </c>
      <c r="AO197" s="42" t="str">
        <f>IF(AK192="","",VLOOKUP(AK197,C193:Q201,5,FALSE))</f>
        <v/>
      </c>
      <c r="AP197" s="42" t="str">
        <f>VLOOKUP(AK197,C193:Q201,8,FALSE)</f>
        <v/>
      </c>
      <c r="AQ197" s="42" t="str">
        <f>VLOOKUP(AK197,C193:Q201,9,FALSE)</f>
        <v/>
      </c>
      <c r="AR197" s="42" t="str">
        <f>VLOOKUP(AK197,C193:Q201,10,FALSE)</f>
        <v/>
      </c>
      <c r="AS197" s="42" t="str">
        <f>VLOOKUP(AK197,C193:Q201,11,FALSE)</f>
        <v/>
      </c>
      <c r="AT197" s="42" t="str">
        <f>VLOOKUP(AK197,C193:Q201,12,FALSE)</f>
        <v/>
      </c>
      <c r="AU197" s="42" t="str">
        <f>VLOOKUP(AK197,C193:Q201,13,FALSE)</f>
        <v/>
      </c>
      <c r="AV197" s="42" t="str">
        <f>VLOOKUP(AK197,C193:Q201,14,FALSE)</f>
        <v/>
      </c>
      <c r="AW197" s="947" t="str">
        <f>VLOOKUP(AK197,C193:Q201,15,FALSE)</f>
        <v/>
      </c>
      <c r="AX197"/>
      <c r="AY197"/>
      <c r="AZ197" s="1"/>
      <c r="BA197" s="1"/>
      <c r="BB197"/>
      <c r="BC197" s="6"/>
      <c r="BD197"/>
      <c r="BE197" s="1"/>
      <c r="BF197"/>
      <c r="BG197" s="16"/>
      <c r="BH197"/>
      <c r="BI197"/>
      <c r="BJ197"/>
      <c r="BK197"/>
      <c r="BL197"/>
      <c r="BM197"/>
      <c r="BN197"/>
      <c r="BO197"/>
      <c r="BP197"/>
      <c r="BQ197"/>
      <c r="BR197"/>
      <c r="BS197"/>
      <c r="BT197"/>
      <c r="BU197"/>
      <c r="BV197"/>
      <c r="BW197"/>
      <c r="BX197"/>
      <c r="BY197"/>
      <c r="BZ197"/>
      <c r="CA197" s="1396"/>
      <c r="CB197" s="1396"/>
      <c r="CC197"/>
      <c r="CD197"/>
      <c r="CE197"/>
    </row>
    <row r="198" spans="1:83" outlineLevel="1" x14ac:dyDescent="0.2">
      <c r="A198"/>
      <c r="B198" s="945">
        <v>6</v>
      </c>
      <c r="C198" s="977" t="str">
        <f>IF(AK192="","",RANK(F198,F193:F201)*1000+ROW())</f>
        <v/>
      </c>
      <c r="D198" s="978" t="str">
        <f t="shared" si="118"/>
        <v/>
      </c>
      <c r="E198" s="978" t="str">
        <f>IF(L198="","",Nb_Diff_Part(D198,D193:D201,G198,G193:G201,AI204:AI255)*CritClassInd_DiffPart+Nb_Goal_Part(D198,D193:D201,G198,G193:G201,V204:Z255)*CritClassInd_GoalPart+Nb_Score_Part(D198,D193:D201,G198,G193:G201,V204:Z255)*CritClassInd_ScorePart)</f>
        <v/>
      </c>
      <c r="F198" s="979" t="str">
        <f t="shared" si="119"/>
        <v/>
      </c>
      <c r="G198" s="39" t="s">
        <v>908</v>
      </c>
      <c r="H198" s="501">
        <f t="shared" si="116"/>
        <v>0</v>
      </c>
      <c r="I198" s="39"/>
      <c r="J198" s="977" t="str">
        <f>IF(AK192="","",(L198*Points_Victoire)+M198*Points_Null)</f>
        <v/>
      </c>
      <c r="K198" s="988" t="str">
        <f t="shared" si="117"/>
        <v/>
      </c>
      <c r="L198" s="988" t="str">
        <f>IF(AK192="","",COUNTIF(AE204:AE255,G198))</f>
        <v/>
      </c>
      <c r="M198" s="988" t="str">
        <f>IF(AK192="","",COUNTIF(AF204:AG255,G198))</f>
        <v/>
      </c>
      <c r="N198" s="988" t="str">
        <f>IF(AK192="","",COUNTIF(AH204:AH255,G198))</f>
        <v/>
      </c>
      <c r="O198" s="988" t="str">
        <f>IF(AK192="","",SUMIF(V204:V255,G198,AB204:AB255)+SUMIF(Z204:Z255,G198,AD204:AD255))</f>
        <v/>
      </c>
      <c r="P198" s="988" t="str">
        <f>IF(AK192="","",SUMIF(V204:V255,G198,AD204:AD255)+SUMIF(Z204:Z255,G198,AB204:AB255))</f>
        <v/>
      </c>
      <c r="Q198" s="989" t="str">
        <f>IF(AK192="","",O198-P198)</f>
        <v/>
      </c>
      <c r="R198"/>
      <c r="S198"/>
      <c r="T198"/>
      <c r="U198"/>
      <c r="V198"/>
      <c r="W198" s="1"/>
      <c r="X198" s="1"/>
      <c r="Y198" s="1"/>
      <c r="Z198"/>
      <c r="AB198" s="964"/>
      <c r="AC198" s="964"/>
      <c r="AD198" s="964"/>
      <c r="AE198" s="964"/>
      <c r="AF198" s="964"/>
      <c r="AG198" s="964"/>
      <c r="AH198" s="964"/>
      <c r="AI198" s="964"/>
      <c r="AJ198" s="964"/>
      <c r="AK198" s="968" t="str">
        <f>IF(AK192="","",SMALL(C193:C201,6))</f>
        <v/>
      </c>
      <c r="AL198"/>
      <c r="AM198" s="16"/>
      <c r="AN198" s="946" t="str">
        <f>IF(AK192="","",INT(AK198/1000))</f>
        <v/>
      </c>
      <c r="AO198" s="42" t="str">
        <f>IF(AK192="","",VLOOKUP(AK198,C193:Q201,5,FALSE))</f>
        <v/>
      </c>
      <c r="AP198" s="42" t="str">
        <f>VLOOKUP(AK198,C193:Q201,8,FALSE)</f>
        <v/>
      </c>
      <c r="AQ198" s="42" t="str">
        <f>VLOOKUP(AK198,C193:Q201,9,FALSE)</f>
        <v/>
      </c>
      <c r="AR198" s="42" t="str">
        <f>VLOOKUP(AK198,C193:Q201,10,FALSE)</f>
        <v/>
      </c>
      <c r="AS198" s="42" t="str">
        <f>VLOOKUP(AK198,C193:Q201,11,FALSE)</f>
        <v/>
      </c>
      <c r="AT198" s="42" t="str">
        <f>VLOOKUP(AK198,C193:Q201,12,FALSE)</f>
        <v/>
      </c>
      <c r="AU198" s="42" t="str">
        <f>VLOOKUP(AK198,C193:Q201,13,FALSE)</f>
        <v/>
      </c>
      <c r="AV198" s="42" t="str">
        <f>VLOOKUP(AK198,C193:Q201,14,FALSE)</f>
        <v/>
      </c>
      <c r="AW198" s="947" t="str">
        <f>VLOOKUP(AK198,C193:Q201,15,FALSE)</f>
        <v/>
      </c>
      <c r="AX198"/>
      <c r="AY198"/>
      <c r="AZ198" s="1"/>
      <c r="BA198" s="1"/>
      <c r="BB198"/>
      <c r="BC198" s="6"/>
      <c r="BD198"/>
      <c r="BE198" s="1"/>
      <c r="BF198"/>
      <c r="BG198" s="16"/>
      <c r="BH198"/>
      <c r="BI198"/>
      <c r="BJ198"/>
      <c r="BK198"/>
      <c r="BL198"/>
      <c r="BM198"/>
      <c r="BN198"/>
      <c r="BO198"/>
      <c r="BP198"/>
      <c r="BQ198"/>
      <c r="BR198"/>
      <c r="BS198"/>
      <c r="BT198"/>
      <c r="BU198"/>
      <c r="BV198"/>
      <c r="BW198"/>
      <c r="BX198"/>
      <c r="BY198"/>
      <c r="BZ198"/>
      <c r="CA198" s="1396"/>
      <c r="CB198" s="1396"/>
      <c r="CC198"/>
      <c r="CD198"/>
      <c r="CE198"/>
    </row>
    <row r="199" spans="1:83" outlineLevel="1" x14ac:dyDescent="0.2">
      <c r="A199"/>
      <c r="B199" s="945">
        <v>7</v>
      </c>
      <c r="C199" s="977" t="str">
        <f>IF(AK192="","",RANK(F199,F193:F201)*1000+ROW())</f>
        <v/>
      </c>
      <c r="D199" s="978" t="str">
        <f t="shared" si="118"/>
        <v/>
      </c>
      <c r="E199" s="978" t="str">
        <f>IF(L199="","",Nb_Diff_Part(D199,D193:D201,G199,G193:G201,AI204:AI255)*CritClassInd_DiffPart+Nb_Goal_Part(D199,D193:D201,G199,G193:G201,V204:Z255)*CritClassInd_GoalPart+Nb_Score_Part(D199,D193:D201,G199,G193:G201,V204:Z255)*CritClassInd_ScorePart)</f>
        <v/>
      </c>
      <c r="F199" s="979" t="str">
        <f t="shared" si="119"/>
        <v/>
      </c>
      <c r="G199" s="39" t="s">
        <v>909</v>
      </c>
      <c r="H199" s="501">
        <f t="shared" si="116"/>
        <v>0</v>
      </c>
      <c r="I199" s="39"/>
      <c r="J199" s="977" t="str">
        <f>IF(AK192="","",(L199*Points_Victoire)+M199*Points_Null)</f>
        <v/>
      </c>
      <c r="K199" s="988" t="str">
        <f t="shared" si="117"/>
        <v/>
      </c>
      <c r="L199" s="988" t="str">
        <f>IF(AK192="","",COUNTIF(AE204:AE255,G199))</f>
        <v/>
      </c>
      <c r="M199" s="988" t="str">
        <f>IF(AK192="","",COUNTIF(AF204:AG255,G199))</f>
        <v/>
      </c>
      <c r="N199" s="988" t="str">
        <f>IF(AK192="","",COUNTIF(AH204:AH255,G199))</f>
        <v/>
      </c>
      <c r="O199" s="988" t="str">
        <f>IF(AK192="","",SUMIF(V204:V255,G199,AB204:AB255)+SUMIF(Z204:Z255,G199,AD204:AD255))</f>
        <v/>
      </c>
      <c r="P199" s="988" t="str">
        <f>IF(AK192="","",SUMIF(V204:V255,G199,AD204:AD255)+SUMIF(Z204:Z255,G199,AB204:AB255))</f>
        <v/>
      </c>
      <c r="Q199" s="989" t="str">
        <f>IF(AK192="","",O199-P199)</f>
        <v/>
      </c>
      <c r="R199"/>
      <c r="S199"/>
      <c r="T199"/>
      <c r="U199"/>
      <c r="V199"/>
      <c r="W199" s="1"/>
      <c r="X199" s="1"/>
      <c r="Y199" s="1"/>
      <c r="Z199"/>
      <c r="AB199" s="964"/>
      <c r="AC199" s="964"/>
      <c r="AD199" s="964"/>
      <c r="AE199" s="964"/>
      <c r="AF199" s="964"/>
      <c r="AG199" s="964"/>
      <c r="AH199" s="964"/>
      <c r="AI199" s="964"/>
      <c r="AJ199" s="964"/>
      <c r="AK199" s="968" t="str">
        <f>IF(AK192="","",SMALL(C193:C201,7))</f>
        <v/>
      </c>
      <c r="AL199"/>
      <c r="AM199" s="16"/>
      <c r="AN199" s="946" t="str">
        <f>IF(AK192="","",INT(AK199/1000))</f>
        <v/>
      </c>
      <c r="AO199" s="42" t="str">
        <f>IF(AK192="","",VLOOKUP(AK199,C193:Q201,5,FALSE))</f>
        <v/>
      </c>
      <c r="AP199" s="42" t="str">
        <f>VLOOKUP(AK199,C193:Q201,8,FALSE)</f>
        <v/>
      </c>
      <c r="AQ199" s="42" t="str">
        <f>VLOOKUP(AK199,C193:Q201,9,FALSE)</f>
        <v/>
      </c>
      <c r="AR199" s="42" t="str">
        <f>VLOOKUP(AK199,C193:Q201,10,FALSE)</f>
        <v/>
      </c>
      <c r="AS199" s="42" t="str">
        <f>VLOOKUP(AK199,C193:Q201,11,FALSE)</f>
        <v/>
      </c>
      <c r="AT199" s="42" t="str">
        <f>VLOOKUP(AK199,C193:Q201,12,FALSE)</f>
        <v/>
      </c>
      <c r="AU199" s="42" t="str">
        <f>VLOOKUP(AK199,C193:Q201,13,FALSE)</f>
        <v/>
      </c>
      <c r="AV199" s="42" t="str">
        <f>VLOOKUP(AK199,C193:Q201,14,FALSE)</f>
        <v/>
      </c>
      <c r="AW199" s="947" t="str">
        <f>VLOOKUP(AK199,C193:Q201,15,FALSE)</f>
        <v/>
      </c>
      <c r="AX199"/>
      <c r="AY199"/>
      <c r="AZ199" s="1"/>
      <c r="BA199" s="1"/>
      <c r="BB199"/>
      <c r="BC199" s="6"/>
      <c r="BD199"/>
      <c r="BE199" s="1"/>
      <c r="BF199"/>
      <c r="BG199" s="16"/>
      <c r="BH199"/>
      <c r="BI199"/>
      <c r="BJ199"/>
      <c r="BK199"/>
      <c r="BL199"/>
      <c r="BM199"/>
      <c r="BN199"/>
      <c r="BO199"/>
      <c r="BP199"/>
      <c r="BQ199"/>
      <c r="BR199"/>
      <c r="BS199"/>
      <c r="BT199"/>
      <c r="BU199"/>
      <c r="BV199"/>
      <c r="BW199"/>
      <c r="BX199"/>
      <c r="BY199"/>
      <c r="BZ199"/>
      <c r="CA199" s="1396"/>
      <c r="CB199" s="1396"/>
      <c r="CC199"/>
      <c r="CD199"/>
      <c r="CE199"/>
    </row>
    <row r="200" spans="1:83" outlineLevel="1" x14ac:dyDescent="0.2">
      <c r="A200"/>
      <c r="B200" s="945">
        <v>8</v>
      </c>
      <c r="C200" s="977" t="str">
        <f>IF(AK192="","",RANK(F200,F193:F201)*1000+ROW())</f>
        <v/>
      </c>
      <c r="D200" s="978" t="str">
        <f t="shared" si="118"/>
        <v/>
      </c>
      <c r="E200" s="978" t="str">
        <f>IF(L200="","",Nb_Diff_Part(D200,D193:D201,G200,G193:G201,AI204:AI255)*CritClassInd_DiffPart+Nb_Goal_Part(D200,D193:D201,G200,G193:G201,V204:Z255)*CritClassInd_GoalPart+Nb_Score_Part(D200,D193:D201,G200,G193:G201,V204:Z255)*CritClassInd_ScorePart)</f>
        <v/>
      </c>
      <c r="F200" s="979" t="str">
        <f t="shared" si="119"/>
        <v/>
      </c>
      <c r="G200" s="39" t="s">
        <v>910</v>
      </c>
      <c r="H200" s="501">
        <f t="shared" si="116"/>
        <v>0</v>
      </c>
      <c r="I200" s="39"/>
      <c r="J200" s="977" t="str">
        <f>IF(AK192="","",(L200*Points_Victoire)+M200*Points_Null)</f>
        <v/>
      </c>
      <c r="K200" s="988" t="str">
        <f t="shared" si="117"/>
        <v/>
      </c>
      <c r="L200" s="988" t="str">
        <f>IF(AK192="","",COUNTIF(AE204:AE255,G200))</f>
        <v/>
      </c>
      <c r="M200" s="988" t="str">
        <f>IF(AK192="","",COUNTIF(AF204:AG255,G200))</f>
        <v/>
      </c>
      <c r="N200" s="988" t="str">
        <f>IF(AK192="","",COUNTIF(AH204:AH255,G200))</f>
        <v/>
      </c>
      <c r="O200" s="988" t="str">
        <f>IF(AK192="","",SUMIF(V204:V255,G200,AB204:AB255)+SUMIF(Z204:Z255,G200,AD204:AD255))</f>
        <v/>
      </c>
      <c r="P200" s="988" t="str">
        <f>IF(AK192="","",SUMIF(V204:V255,G200,AD204:AD255)+SUMIF(Z204:Z255,G200,AB204:AB255))</f>
        <v/>
      </c>
      <c r="Q200" s="989" t="str">
        <f>IF(AK192="","",O200-P200)</f>
        <v/>
      </c>
      <c r="R200"/>
      <c r="S200"/>
      <c r="T200"/>
      <c r="U200"/>
      <c r="V200"/>
      <c r="W200" s="1"/>
      <c r="X200" s="1"/>
      <c r="Y200" s="1"/>
      <c r="Z200"/>
      <c r="AB200" s="964"/>
      <c r="AC200" s="964"/>
      <c r="AD200" s="964"/>
      <c r="AE200" s="964"/>
      <c r="AF200" s="964"/>
      <c r="AG200" s="964"/>
      <c r="AH200" s="964"/>
      <c r="AI200" s="964"/>
      <c r="AJ200" s="964"/>
      <c r="AK200" s="968" t="str">
        <f>IF(AK192="","",SMALL(C193:C201,8))</f>
        <v/>
      </c>
      <c r="AL200"/>
      <c r="AM200" s="16"/>
      <c r="AN200" s="946" t="str">
        <f>IF(AK192="","",INT(AK200/1000))</f>
        <v/>
      </c>
      <c r="AO200" s="42" t="str">
        <f>IF(AK192="","",VLOOKUP(AK200,C193:Q201,5,FALSE))</f>
        <v/>
      </c>
      <c r="AP200" s="42" t="str">
        <f>VLOOKUP(AK200,C193:Q201,8,FALSE)</f>
        <v/>
      </c>
      <c r="AQ200" s="42" t="str">
        <f>VLOOKUP(AK200,C193:Q201,9,FALSE)</f>
        <v/>
      </c>
      <c r="AR200" s="42" t="str">
        <f>VLOOKUP(AK200,C193:Q201,10,FALSE)</f>
        <v/>
      </c>
      <c r="AS200" s="42" t="str">
        <f>VLOOKUP(AK200,C193:Q201,11,FALSE)</f>
        <v/>
      </c>
      <c r="AT200" s="42" t="str">
        <f>VLOOKUP(AK200,C193:Q201,12,FALSE)</f>
        <v/>
      </c>
      <c r="AU200" s="42" t="str">
        <f>VLOOKUP(AK200,C193:Q201,13,FALSE)</f>
        <v/>
      </c>
      <c r="AV200" s="42" t="str">
        <f>VLOOKUP(AK200,C193:Q201,14,FALSE)</f>
        <v/>
      </c>
      <c r="AW200" s="947" t="str">
        <f>VLOOKUP(AK200,C193:Q201,15,FALSE)</f>
        <v/>
      </c>
      <c r="AX200"/>
      <c r="AY200"/>
      <c r="AZ200" s="1"/>
      <c r="BA200" s="1"/>
      <c r="BB200"/>
      <c r="BC200" s="6"/>
      <c r="BD200"/>
      <c r="BE200" s="1"/>
      <c r="BF200"/>
      <c r="BG200" s="16"/>
      <c r="BH200"/>
      <c r="BI200"/>
      <c r="BJ200"/>
      <c r="BK200"/>
      <c r="BL200"/>
      <c r="BM200"/>
      <c r="BN200"/>
      <c r="BO200"/>
      <c r="BP200"/>
      <c r="BQ200"/>
      <c r="BR200"/>
      <c r="BS200"/>
      <c r="BT200"/>
      <c r="BU200"/>
      <c r="BV200"/>
      <c r="BW200"/>
      <c r="BX200"/>
      <c r="BY200"/>
      <c r="BZ200"/>
      <c r="CA200" s="1396"/>
      <c r="CB200" s="1396"/>
      <c r="CC200"/>
      <c r="CD200"/>
      <c r="CE200"/>
    </row>
    <row r="201" spans="1:83" ht="13.5" outlineLevel="1" thickBot="1" x14ac:dyDescent="0.25">
      <c r="A201"/>
      <c r="B201" s="945">
        <v>9</v>
      </c>
      <c r="C201" s="977" t="str">
        <f>IF(AK192="","",RANK(F201,F193:F201)*1000+ROW())</f>
        <v/>
      </c>
      <c r="D201" s="978" t="str">
        <f t="shared" si="118"/>
        <v/>
      </c>
      <c r="E201" s="978" t="str">
        <f>IF(L201="","",Nb_Diff_Part(D201,D193:D201,G201,G193:G201,AI204:AI255)*CritClassInd_DiffPart+Nb_Goal_Part(D201,D193:D201,G201,G193:G201,V204:Z255)*CritClassInd_GoalPart+Nb_Score_Part(D201,D193:D201,G201,G193:G201,V204:Z255)*CritClassInd_ScorePart)</f>
        <v/>
      </c>
      <c r="F201" s="979" t="str">
        <f t="shared" si="119"/>
        <v/>
      </c>
      <c r="G201" s="39" t="s">
        <v>15002</v>
      </c>
      <c r="H201" s="501">
        <f t="shared" si="116"/>
        <v>0</v>
      </c>
      <c r="I201" s="39"/>
      <c r="J201" s="977" t="str">
        <f>IF(AK192="","",(L201*Points_Victoire)+M201*Points_Null)</f>
        <v/>
      </c>
      <c r="K201" s="988" t="str">
        <f t="shared" si="117"/>
        <v/>
      </c>
      <c r="L201" s="988" t="str">
        <f>IF(AK192="","",COUNTIF(AE204:AE255,G201))</f>
        <v/>
      </c>
      <c r="M201" s="988" t="str">
        <f>IF(AK192="","",COUNTIF(AF204:AG255,G201))</f>
        <v/>
      </c>
      <c r="N201" s="988" t="str">
        <f>IF(AK192="","",COUNTIF(AH204:AH255,G201))</f>
        <v/>
      </c>
      <c r="O201" s="988" t="str">
        <f>IF(AK192="","",SUMIF(V204:V255,G201,AB204:AB255)+SUMIF(Z204:Z255,G201,AD204:AD255))</f>
        <v/>
      </c>
      <c r="P201" s="988" t="str">
        <f>IF(AK192="","",SUMIF(V204:V255,G201,AD204:AD255)+SUMIF(Z204:Z255,G201,AB204:AB255))</f>
        <v/>
      </c>
      <c r="Q201" s="989" t="str">
        <f>IF(AK192="","",O201-P201)</f>
        <v/>
      </c>
      <c r="R201"/>
      <c r="S201"/>
      <c r="T201"/>
      <c r="U201"/>
      <c r="V201"/>
      <c r="W201" s="1"/>
      <c r="X201" s="1"/>
      <c r="Y201" s="1"/>
      <c r="Z201"/>
      <c r="AB201" s="1461"/>
      <c r="AC201" s="1461"/>
      <c r="AD201" s="1461"/>
      <c r="AE201" s="964"/>
      <c r="AF201" s="964"/>
      <c r="AG201" s="964"/>
      <c r="AH201" s="964"/>
      <c r="AI201" s="964"/>
      <c r="AJ201" s="964"/>
      <c r="AK201" s="968" t="str">
        <f>IF(AK192="","",SMALL(C193:C201,9))</f>
        <v/>
      </c>
      <c r="AL201"/>
      <c r="AM201" s="16"/>
      <c r="AN201" s="946" t="str">
        <f>IF(AK192="","",INT(AK201/1000))</f>
        <v/>
      </c>
      <c r="AO201" s="42" t="str">
        <f>IF(AK192="","",VLOOKUP(AK201,C193:Q201,5,FALSE))</f>
        <v/>
      </c>
      <c r="AP201" s="42" t="str">
        <f>VLOOKUP(AK201,C193:Q201,8,FALSE)</f>
        <v/>
      </c>
      <c r="AQ201" s="42" t="str">
        <f>VLOOKUP(AK201,C193:Q201,9,FALSE)</f>
        <v/>
      </c>
      <c r="AR201" s="42" t="str">
        <f>VLOOKUP(AK201,C193:Q201,10,FALSE)</f>
        <v/>
      </c>
      <c r="AS201" s="42" t="str">
        <f>VLOOKUP(AK201,C193:Q201,11,FALSE)</f>
        <v/>
      </c>
      <c r="AT201" s="42" t="str">
        <f>VLOOKUP(AK201,C193:Q201,12,FALSE)</f>
        <v/>
      </c>
      <c r="AU201" s="42" t="str">
        <f>VLOOKUP(AK201,C193:Q201,13,FALSE)</f>
        <v/>
      </c>
      <c r="AV201" s="42" t="str">
        <f>VLOOKUP(AK201,C193:Q201,14,FALSE)</f>
        <v/>
      </c>
      <c r="AW201" s="947" t="str">
        <f>VLOOKUP(AK201,C193:Q201,15,FALSE)</f>
        <v/>
      </c>
      <c r="AX201"/>
      <c r="AY201"/>
      <c r="AZ201" s="1"/>
      <c r="BA201" s="1"/>
      <c r="BB201"/>
      <c r="BC201" s="6"/>
      <c r="BD201"/>
      <c r="BE201" s="1"/>
      <c r="BF201"/>
      <c r="BG201" s="16"/>
      <c r="BH201"/>
      <c r="BI201"/>
      <c r="BJ201"/>
      <c r="BK201"/>
      <c r="BL201"/>
      <c r="BM201"/>
      <c r="BN201"/>
      <c r="BO201"/>
      <c r="BP201"/>
      <c r="BQ201"/>
      <c r="BR201"/>
      <c r="BS201"/>
      <c r="BT201"/>
      <c r="BU201"/>
      <c r="BV201"/>
      <c r="BW201"/>
      <c r="BX201"/>
      <c r="BY201"/>
      <c r="BZ201"/>
      <c r="CA201" s="1396"/>
      <c r="CB201" s="1396"/>
      <c r="CC201"/>
      <c r="CD201"/>
      <c r="CE201"/>
    </row>
    <row r="202" spans="1:83" ht="13.5" outlineLevel="1" thickBot="1" x14ac:dyDescent="0.25">
      <c r="A202"/>
      <c r="B202" s="1"/>
      <c r="C202" s="1"/>
      <c r="D202" s="76"/>
      <c r="E202" s="76"/>
      <c r="F202" s="76"/>
      <c r="G202" s="9"/>
      <c r="H202" s="9"/>
      <c r="I202" s="1"/>
      <c r="J202"/>
      <c r="K202"/>
      <c r="L202"/>
      <c r="M202"/>
      <c r="N202"/>
      <c r="O202"/>
      <c r="P202" s="89"/>
      <c r="Q202"/>
      <c r="R202" s="1"/>
      <c r="S202" s="993">
        <v>1</v>
      </c>
      <c r="T202" s="961"/>
      <c r="U202" s="961"/>
      <c r="V202" s="961"/>
      <c r="W202" s="960"/>
      <c r="X202" s="960"/>
      <c r="Y202" s="960"/>
      <c r="Z202" s="962"/>
      <c r="AA202" s="123"/>
      <c r="AB202" s="1461" t="str">
        <f>IF(MaxScore,N_MaxScore,"")</f>
        <v>Score Max</v>
      </c>
      <c r="AC202" s="1461"/>
      <c r="AD202" s="1461"/>
      <c r="AE202" s="964"/>
      <c r="AF202" s="964"/>
      <c r="AG202" s="964"/>
      <c r="AH202" s="964"/>
      <c r="AI202" s="964"/>
      <c r="AJ202" s="964"/>
      <c r="AK202" s="964"/>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s="1396"/>
      <c r="CB202" s="1396"/>
      <c r="CC202"/>
      <c r="CD202"/>
      <c r="CE202"/>
    </row>
    <row r="203" spans="1:83" ht="13.9" customHeight="1" outlineLevel="2" thickBot="1" x14ac:dyDescent="0.25">
      <c r="A203"/>
      <c r="B203" s="1"/>
      <c r="C203"/>
      <c r="D203"/>
      <c r="E203"/>
      <c r="F203"/>
      <c r="G203" s="1"/>
      <c r="H203" s="1"/>
      <c r="I203"/>
      <c r="J203"/>
      <c r="K203"/>
      <c r="L203"/>
      <c r="M203"/>
      <c r="N203"/>
      <c r="O203"/>
      <c r="P203"/>
      <c r="Q203"/>
      <c r="S203" s="18" t="str">
        <f>N_Heure</f>
        <v>Heure</v>
      </c>
      <c r="T203" s="22" t="str">
        <f>N_Table</f>
        <v>Table</v>
      </c>
      <c r="U203" s="952" t="str">
        <f>N_Arbitre</f>
        <v>Arbitre</v>
      </c>
      <c r="V203" s="293" t="str">
        <f>N_Matches</f>
        <v>Matches</v>
      </c>
      <c r="W203" s="294"/>
      <c r="X203" s="294"/>
      <c r="Y203" s="294"/>
      <c r="Z203" s="295"/>
      <c r="AA203" s="8"/>
      <c r="AB203" s="1461"/>
      <c r="AC203" s="1461"/>
      <c r="AD203" s="1461"/>
      <c r="AE203" s="964"/>
      <c r="AF203" s="964"/>
      <c r="AG203" s="964"/>
      <c r="AH203" s="964"/>
      <c r="AI203" s="964"/>
      <c r="AJ203" s="964"/>
      <c r="AK203" s="964"/>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s="1396"/>
      <c r="CB203" s="1396"/>
      <c r="CC203"/>
      <c r="CD203"/>
      <c r="CE203"/>
    </row>
    <row r="204" spans="1:83" ht="13.15" customHeight="1" outlineLevel="2" thickBot="1" x14ac:dyDescent="0.25">
      <c r="A204"/>
      <c r="B204" s="1"/>
      <c r="C204"/>
      <c r="D204"/>
      <c r="E204"/>
      <c r="F204"/>
      <c r="G204" s="1"/>
      <c r="H204" s="1"/>
      <c r="I204"/>
      <c r="J204"/>
      <c r="K204"/>
      <c r="L204"/>
      <c r="M204"/>
      <c r="N204"/>
      <c r="O204"/>
      <c r="P204"/>
      <c r="Q204"/>
      <c r="R204" s="558" t="s">
        <v>1726</v>
      </c>
      <c r="S204" s="65"/>
      <c r="T204" s="953"/>
      <c r="U204" s="954"/>
      <c r="V204" s="34" t="str">
        <f>IF(G193="","",G193)</f>
        <v>A1</v>
      </c>
      <c r="W204" s="148"/>
      <c r="X204" s="35" t="s">
        <v>769</v>
      </c>
      <c r="Y204" s="148"/>
      <c r="Z204" s="36" t="str">
        <f>IF(G195="","",G195)</f>
        <v>A3</v>
      </c>
      <c r="AA204" s="123"/>
      <c r="AB204" s="1459">
        <f>IF(MaxScore,MaxGoals(W204,Y204,MaxGoalsValue),IF(W204="","",W204))</f>
        <v>0</v>
      </c>
      <c r="AC204" s="1460" t="str">
        <f>IF(MaxScore,"-",IF(W204="","","-"))</f>
        <v>-</v>
      </c>
      <c r="AD204" s="1459">
        <f>IF(MaxScore,MaxGoals(Y204,W204,MaxGoalsValue),IF(Y204="","",Y204))</f>
        <v>0</v>
      </c>
      <c r="AE204" s="964" t="str">
        <f>IF(W204="","",IF(W204&gt;Y204,V204,IF(W204=Y204,"",Z204)))</f>
        <v/>
      </c>
      <c r="AF204" s="964" t="str">
        <f>IF(W204="","",IF(W204=Y204,V204,""))</f>
        <v/>
      </c>
      <c r="AG204" s="964" t="str">
        <f>IF(W204="","",IF(W204=Y204,Z204,""))</f>
        <v/>
      </c>
      <c r="AH204" s="964" t="str">
        <f>IF(W204="","",IF(W204&lt;Y204,V204,IF(W204=Y204,"",Z204)))</f>
        <v/>
      </c>
      <c r="AI204" s="964" t="str">
        <f>CONCATENATE(AE204,AH204)</f>
        <v/>
      </c>
      <c r="AJ204" s="964"/>
      <c r="AK204" s="96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s="1396"/>
      <c r="CB204" s="1396"/>
      <c r="CC204"/>
      <c r="CD204"/>
      <c r="CE204"/>
    </row>
    <row r="205" spans="1:83" ht="13.15" customHeight="1" outlineLevel="2" thickBot="1" x14ac:dyDescent="0.25">
      <c r="A205"/>
      <c r="B205" s="1"/>
      <c r="C205"/>
      <c r="D205"/>
      <c r="E205"/>
      <c r="F205"/>
      <c r="G205" s="1"/>
      <c r="H205" s="1"/>
      <c r="I205"/>
      <c r="J205"/>
      <c r="K205"/>
      <c r="L205"/>
      <c r="M205"/>
      <c r="N205"/>
      <c r="O205"/>
      <c r="P205"/>
      <c r="Q205"/>
      <c r="R205" s="558" t="s">
        <v>1726</v>
      </c>
      <c r="S205" s="83"/>
      <c r="T205" s="56"/>
      <c r="U205" s="955"/>
      <c r="V205" s="43" t="str">
        <f>IF(G196="","",G196)</f>
        <v>A4</v>
      </c>
      <c r="W205" s="148"/>
      <c r="X205" s="45" t="s">
        <v>769</v>
      </c>
      <c r="Y205" s="10"/>
      <c r="Z205" s="46" t="str">
        <f>IF(G201="","",G201)</f>
        <v>A9</v>
      </c>
      <c r="AA205" s="123"/>
      <c r="AB205" s="1459">
        <f>IF(MaxScore,MaxGoals(W205,Y205,MaxGoalsValue),IF(W205="","",W205))</f>
        <v>0</v>
      </c>
      <c r="AC205" s="1460" t="str">
        <f>IF(MaxScore,"-",IF(W205="","","-"))</f>
        <v>-</v>
      </c>
      <c r="AD205" s="1459">
        <f>IF(MaxScore,MaxGoals(Y205,W205,MaxGoalsValue),IF(Y205="","",Y205))</f>
        <v>0</v>
      </c>
      <c r="AE205" s="964" t="str">
        <f>IF(W205="","",IF(W205&gt;Y205,V205,IF(W205=Y205,"",Z205)))</f>
        <v/>
      </c>
      <c r="AF205" s="964" t="str">
        <f>IF(W205="","",IF(W205=Y205,V205,""))</f>
        <v/>
      </c>
      <c r="AG205" s="964" t="str">
        <f>IF(W205="","",IF(W205=Y205,Z205,""))</f>
        <v/>
      </c>
      <c r="AH205" s="964" t="str">
        <f>IF(W205="","",IF(W205&lt;Y205,V205,IF(W205=Y205,"",Z205)))</f>
        <v/>
      </c>
      <c r="AI205" s="964" t="str">
        <f>CONCATENATE(AE205,AH205)</f>
        <v/>
      </c>
      <c r="AJ205" s="964"/>
      <c r="AK205" s="964"/>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s="1396"/>
      <c r="CB205" s="1396"/>
      <c r="CC205"/>
      <c r="CD205"/>
      <c r="CE205"/>
    </row>
    <row r="206" spans="1:83" ht="13.15" customHeight="1" outlineLevel="2" thickBot="1" x14ac:dyDescent="0.25">
      <c r="A206"/>
      <c r="B206" s="1"/>
      <c r="C206"/>
      <c r="D206"/>
      <c r="E206"/>
      <c r="F206"/>
      <c r="G206" s="1"/>
      <c r="H206" s="1"/>
      <c r="I206"/>
      <c r="J206"/>
      <c r="K206"/>
      <c r="L206"/>
      <c r="M206"/>
      <c r="N206"/>
      <c r="O206"/>
      <c r="P206"/>
      <c r="Q206"/>
      <c r="R206" s="558" t="s">
        <v>1726</v>
      </c>
      <c r="S206" s="83"/>
      <c r="T206" s="56"/>
      <c r="U206" s="955"/>
      <c r="V206" s="43" t="str">
        <f>IF(G197="","",G197)</f>
        <v>A5</v>
      </c>
      <c r="W206" s="148"/>
      <c r="X206" s="45" t="s">
        <v>769</v>
      </c>
      <c r="Y206" s="10"/>
      <c r="Z206" s="46" t="str">
        <f>IF(G200="","",G200)</f>
        <v>A8</v>
      </c>
      <c r="AA206" s="123"/>
      <c r="AB206" s="1459">
        <f>IF(MaxScore,MaxGoals(W206,Y206,MaxGoalsValue),IF(W206="","",W206))</f>
        <v>0</v>
      </c>
      <c r="AC206" s="1460" t="str">
        <f>IF(MaxScore,"-",IF(W206="","","-"))</f>
        <v>-</v>
      </c>
      <c r="AD206" s="1459">
        <f>IF(MaxScore,MaxGoals(Y206,W206,MaxGoalsValue),IF(Y206="","",Y206))</f>
        <v>0</v>
      </c>
      <c r="AE206" s="964" t="str">
        <f>IF(W206="","",IF(W206&gt;Y206,V206,IF(W206=Y206,"",Z206)))</f>
        <v/>
      </c>
      <c r="AF206" s="964" t="str">
        <f>IF(W206="","",IF(W206=Y206,V206,""))</f>
        <v/>
      </c>
      <c r="AG206" s="964" t="str">
        <f>IF(W206="","",IF(W206=Y206,Z206,""))</f>
        <v/>
      </c>
      <c r="AH206" s="964" t="str">
        <f>IF(W206="","",IF(W206&lt;Y206,V206,IF(W206=Y206,"",Z206)))</f>
        <v/>
      </c>
      <c r="AI206" s="964" t="str">
        <f>CONCATENATE(AE206,AH206)</f>
        <v/>
      </c>
      <c r="AJ206" s="964"/>
      <c r="AK206" s="964"/>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s="1396"/>
      <c r="CB206" s="1396"/>
      <c r="CC206"/>
      <c r="CD206"/>
      <c r="CE206"/>
    </row>
    <row r="207" spans="1:83" ht="13.15" customHeight="1" outlineLevel="2" thickBot="1" x14ac:dyDescent="0.25">
      <c r="A207"/>
      <c r="B207" s="1"/>
      <c r="C207"/>
      <c r="D207"/>
      <c r="E207"/>
      <c r="F207"/>
      <c r="G207" s="1"/>
      <c r="H207" s="1"/>
      <c r="I207"/>
      <c r="J207"/>
      <c r="K207"/>
      <c r="L207"/>
      <c r="M207"/>
      <c r="N207"/>
      <c r="O207"/>
      <c r="P207"/>
      <c r="Q207"/>
      <c r="R207" s="558" t="s">
        <v>1726</v>
      </c>
      <c r="S207" s="83"/>
      <c r="T207" s="56"/>
      <c r="U207" s="955"/>
      <c r="V207" s="43" t="str">
        <f>IF(G198="","",G198)</f>
        <v>A6</v>
      </c>
      <c r="W207" s="148"/>
      <c r="X207" s="45" t="s">
        <v>769</v>
      </c>
      <c r="Y207" s="10"/>
      <c r="Z207" s="46" t="str">
        <f>IF(G199="","",G199)</f>
        <v>A7</v>
      </c>
      <c r="AA207" s="123"/>
      <c r="AB207" s="1459">
        <f>IF(MaxScore,MaxGoals(W207,Y207,MaxGoalsValue),IF(W207="","",W207))</f>
        <v>0</v>
      </c>
      <c r="AC207" s="1460" t="str">
        <f>IF(MaxScore,"-",IF(W207="","","-"))</f>
        <v>-</v>
      </c>
      <c r="AD207" s="1459">
        <f>IF(MaxScore,MaxGoals(Y207,W207,MaxGoalsValue),IF(Y207="","",Y207))</f>
        <v>0</v>
      </c>
      <c r="AE207" s="964" t="str">
        <f>IF(W207="","",IF(W207&gt;Y207,V207,IF(W207=Y207,"",Z207)))</f>
        <v/>
      </c>
      <c r="AF207" s="964" t="str">
        <f>IF(W207="","",IF(W207=Y207,V207,""))</f>
        <v/>
      </c>
      <c r="AG207" s="964" t="str">
        <f>IF(W207="","",IF(W207=Y207,Z207,""))</f>
        <v/>
      </c>
      <c r="AH207" s="964" t="str">
        <f>IF(W207="","",IF(W207&lt;Y207,V207,IF(W207=Y207,"",Z207)))</f>
        <v/>
      </c>
      <c r="AI207" s="964" t="str">
        <f>CONCATENATE(AE207,AH207)</f>
        <v/>
      </c>
      <c r="AJ207" s="964"/>
      <c r="AK207" s="964"/>
      <c r="AL207"/>
      <c r="AM207"/>
      <c r="AN207"/>
      <c r="AO207"/>
      <c r="AP207"/>
      <c r="AQ207"/>
      <c r="AR207"/>
      <c r="AS207"/>
      <c r="AT207"/>
      <c r="AU207"/>
      <c r="AV207"/>
      <c r="AW207"/>
      <c r="AX207" s="9"/>
      <c r="AY207"/>
      <c r="AZ207"/>
      <c r="BA207"/>
      <c r="BB207"/>
      <c r="BC207"/>
      <c r="BD207"/>
      <c r="BE207"/>
      <c r="BF207"/>
      <c r="BG207"/>
      <c r="BH207"/>
      <c r="BI207"/>
      <c r="BJ207"/>
      <c r="BK207"/>
      <c r="BL207"/>
      <c r="BM207"/>
      <c r="BN207"/>
      <c r="BO207"/>
      <c r="BP207"/>
      <c r="BQ207"/>
      <c r="BR207"/>
      <c r="BS207"/>
      <c r="BT207"/>
      <c r="BU207"/>
      <c r="BV207"/>
      <c r="BW207"/>
      <c r="BX207"/>
      <c r="BY207"/>
      <c r="BZ207"/>
      <c r="CA207" s="1396"/>
      <c r="CB207" s="1396"/>
      <c r="CC207"/>
      <c r="CD207"/>
      <c r="CE207"/>
    </row>
    <row r="208" spans="1:83" ht="13.5" outlineLevel="1" thickBot="1" x14ac:dyDescent="0.25">
      <c r="A208"/>
      <c r="B208" s="1"/>
      <c r="C208" s="1"/>
      <c r="D208" s="76"/>
      <c r="E208" s="76"/>
      <c r="F208" s="76"/>
      <c r="G208" s="9"/>
      <c r="H208" s="9"/>
      <c r="I208" s="1"/>
      <c r="J208"/>
      <c r="K208"/>
      <c r="L208"/>
      <c r="M208"/>
      <c r="N208"/>
      <c r="O208"/>
      <c r="P208" s="89"/>
      <c r="Q208"/>
      <c r="R208" s="1"/>
      <c r="S208" s="993">
        <f>S202+1</f>
        <v>2</v>
      </c>
      <c r="T208" s="961"/>
      <c r="U208" s="961"/>
      <c r="V208" s="961"/>
      <c r="W208" s="960"/>
      <c r="X208" s="960"/>
      <c r="Y208" s="960"/>
      <c r="Z208" s="962"/>
      <c r="AA208" s="123"/>
      <c r="AB208" s="963"/>
      <c r="AC208" s="963"/>
      <c r="AD208" s="963"/>
      <c r="AE208" s="964"/>
      <c r="AF208" s="964"/>
      <c r="AG208" s="964"/>
      <c r="AH208" s="964"/>
      <c r="AI208" s="964"/>
      <c r="AJ208" s="964"/>
      <c r="AK208" s="964"/>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s="1396"/>
      <c r="CB208" s="1396"/>
      <c r="CC208"/>
      <c r="CD208"/>
      <c r="CE208"/>
    </row>
    <row r="209" spans="1:83" ht="13.9" customHeight="1" outlineLevel="2" thickBot="1" x14ac:dyDescent="0.25">
      <c r="A209"/>
      <c r="B209" s="1"/>
      <c r="C209"/>
      <c r="D209"/>
      <c r="E209"/>
      <c r="F209"/>
      <c r="G209" s="1"/>
      <c r="H209" s="1"/>
      <c r="I209"/>
      <c r="J209"/>
      <c r="K209"/>
      <c r="L209"/>
      <c r="M209"/>
      <c r="N209"/>
      <c r="O209"/>
      <c r="P209"/>
      <c r="Q209"/>
      <c r="S209" s="22" t="str">
        <f>N_Heure</f>
        <v>Heure</v>
      </c>
      <c r="T209" s="22" t="str">
        <f>N_Table</f>
        <v>Table</v>
      </c>
      <c r="U209" s="22" t="str">
        <f>N_Arbitre</f>
        <v>Arbitre</v>
      </c>
      <c r="V209" s="293" t="str">
        <f>N_Matches</f>
        <v>Matches</v>
      </c>
      <c r="W209" s="294"/>
      <c r="X209" s="294"/>
      <c r="Y209" s="294"/>
      <c r="Z209" s="295"/>
      <c r="AA209" s="8"/>
      <c r="AB209" s="967"/>
      <c r="AC209" s="967"/>
      <c r="AD209" s="967"/>
      <c r="AE209" s="964"/>
      <c r="AF209" s="964"/>
      <c r="AG209" s="964"/>
      <c r="AH209" s="964"/>
      <c r="AI209" s="964"/>
      <c r="AJ209" s="964"/>
      <c r="AK209" s="964"/>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s="1396"/>
      <c r="CB209" s="1396"/>
      <c r="CC209"/>
      <c r="CD209"/>
      <c r="CE209"/>
    </row>
    <row r="210" spans="1:83" ht="13.15" customHeight="1" outlineLevel="2" thickBot="1" x14ac:dyDescent="0.25">
      <c r="A210"/>
      <c r="B210" s="1"/>
      <c r="C210"/>
      <c r="D210"/>
      <c r="E210"/>
      <c r="F210"/>
      <c r="G210" s="1"/>
      <c r="H210" s="1"/>
      <c r="I210"/>
      <c r="J210"/>
      <c r="K210"/>
      <c r="L210"/>
      <c r="M210"/>
      <c r="N210"/>
      <c r="O210"/>
      <c r="P210"/>
      <c r="Q210"/>
      <c r="R210" s="558" t="s">
        <v>1727</v>
      </c>
      <c r="S210" s="65"/>
      <c r="T210" s="953"/>
      <c r="U210" s="954"/>
      <c r="V210" s="34" t="str">
        <f>G193</f>
        <v>A1</v>
      </c>
      <c r="W210" s="148"/>
      <c r="X210" s="35" t="s">
        <v>769</v>
      </c>
      <c r="Y210" s="148"/>
      <c r="Z210" s="36" t="str">
        <f>G197</f>
        <v>A5</v>
      </c>
      <c r="AA210" s="123"/>
      <c r="AB210" s="1459">
        <f>IF(MaxScore,MaxGoals(W210,Y210,MaxGoalsValue),IF(W210="","",W210))</f>
        <v>0</v>
      </c>
      <c r="AC210" s="1460" t="str">
        <f>IF(MaxScore,"-",IF(W210="","","-"))</f>
        <v>-</v>
      </c>
      <c r="AD210" s="1459">
        <f>IF(MaxScore,MaxGoals(Y210,W210,MaxGoalsValue),IF(Y210="","",Y210))</f>
        <v>0</v>
      </c>
      <c r="AE210" s="964" t="str">
        <f>IF(W210="","",IF(W210&gt;Y210,V210,IF(W210=Y210,"",Z210)))</f>
        <v/>
      </c>
      <c r="AF210" s="964" t="str">
        <f>IF(W210="","",IF(W210=Y210,V210,""))</f>
        <v/>
      </c>
      <c r="AG210" s="964" t="str">
        <f>IF(W210="","",IF(W210=Y210,Z210,""))</f>
        <v/>
      </c>
      <c r="AH210" s="964" t="str">
        <f>IF(W210="","",IF(W210&lt;Y210,V210,IF(W210=Y210,"",Z210)))</f>
        <v/>
      </c>
      <c r="AI210" s="964" t="str">
        <f>CONCATENATE(AE210,AH210)</f>
        <v/>
      </c>
      <c r="AJ210" s="964"/>
      <c r="AK210" s="964"/>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s="1396"/>
      <c r="CB210" s="1396"/>
      <c r="CC210"/>
      <c r="CD210"/>
      <c r="CE210"/>
    </row>
    <row r="211" spans="1:83" ht="13.15" customHeight="1" outlineLevel="2" thickBot="1" x14ac:dyDescent="0.25">
      <c r="A211"/>
      <c r="B211" s="1"/>
      <c r="C211"/>
      <c r="D211"/>
      <c r="E211"/>
      <c r="F211"/>
      <c r="G211" s="1"/>
      <c r="H211" s="1"/>
      <c r="I211"/>
      <c r="J211"/>
      <c r="K211"/>
      <c r="L211"/>
      <c r="M211"/>
      <c r="N211"/>
      <c r="O211"/>
      <c r="P211"/>
      <c r="Q211"/>
      <c r="R211" s="558" t="s">
        <v>1727</v>
      </c>
      <c r="S211" s="83"/>
      <c r="T211" s="56"/>
      <c r="U211" s="955"/>
      <c r="V211" s="43" t="str">
        <f>G194</f>
        <v>A2</v>
      </c>
      <c r="W211" s="148"/>
      <c r="X211" s="45" t="s">
        <v>769</v>
      </c>
      <c r="Y211" s="10"/>
      <c r="Z211" s="46" t="str">
        <f>G196</f>
        <v>A4</v>
      </c>
      <c r="AA211" s="123"/>
      <c r="AB211" s="1459">
        <f>IF(MaxScore,MaxGoals(W211,Y211,MaxGoalsValue),IF(W211="","",W211))</f>
        <v>0</v>
      </c>
      <c r="AC211" s="1460" t="str">
        <f>IF(MaxScore,"-",IF(W211="","","-"))</f>
        <v>-</v>
      </c>
      <c r="AD211" s="1459">
        <f>IF(MaxScore,MaxGoals(Y211,W211,MaxGoalsValue),IF(Y211="","",Y211))</f>
        <v>0</v>
      </c>
      <c r="AE211" s="964" t="str">
        <f>IF(W211="","",IF(W211&gt;Y211,V211,IF(W211=Y211,"",Z211)))</f>
        <v/>
      </c>
      <c r="AF211" s="964" t="str">
        <f>IF(W211="","",IF(W211=Y211,V211,""))</f>
        <v/>
      </c>
      <c r="AG211" s="964" t="str">
        <f>IF(W211="","",IF(W211=Y211,Z211,""))</f>
        <v/>
      </c>
      <c r="AH211" s="964" t="str">
        <f>IF(W211="","",IF(W211&lt;Y211,V211,IF(W211=Y211,"",Z211)))</f>
        <v/>
      </c>
      <c r="AI211" s="964" t="str">
        <f>CONCATENATE(AE211,AH211)</f>
        <v/>
      </c>
      <c r="AJ211" s="964"/>
      <c r="AK211" s="964"/>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s="1396"/>
      <c r="CB211" s="1396"/>
      <c r="CC211"/>
      <c r="CD211"/>
      <c r="CE211"/>
    </row>
    <row r="212" spans="1:83" ht="13.15" customHeight="1" outlineLevel="2" thickBot="1" x14ac:dyDescent="0.25">
      <c r="A212"/>
      <c r="B212" s="1"/>
      <c r="C212"/>
      <c r="D212"/>
      <c r="E212"/>
      <c r="F212"/>
      <c r="G212" s="1"/>
      <c r="H212" s="1"/>
      <c r="I212"/>
      <c r="J212"/>
      <c r="K212"/>
      <c r="L212"/>
      <c r="M212"/>
      <c r="N212"/>
      <c r="O212"/>
      <c r="P212"/>
      <c r="Q212"/>
      <c r="R212" s="558" t="s">
        <v>1727</v>
      </c>
      <c r="S212" s="83"/>
      <c r="T212" s="56"/>
      <c r="U212" s="955"/>
      <c r="V212" s="43" t="str">
        <f>G199</f>
        <v>A7</v>
      </c>
      <c r="W212" s="148"/>
      <c r="X212" s="45" t="s">
        <v>769</v>
      </c>
      <c r="Y212" s="10"/>
      <c r="Z212" s="46" t="str">
        <f>G200</f>
        <v>A8</v>
      </c>
      <c r="AA212" s="123"/>
      <c r="AB212" s="1459">
        <f>IF(MaxScore,MaxGoals(W212,Y212,MaxGoalsValue),IF(W212="","",W212))</f>
        <v>0</v>
      </c>
      <c r="AC212" s="1460" t="str">
        <f>IF(MaxScore,"-",IF(W212="","","-"))</f>
        <v>-</v>
      </c>
      <c r="AD212" s="1459">
        <f>IF(MaxScore,MaxGoals(Y212,W212,MaxGoalsValue),IF(Y212="","",Y212))</f>
        <v>0</v>
      </c>
      <c r="AE212" s="964" t="str">
        <f>IF(W212="","",IF(W212&gt;Y212,V212,IF(W212=Y212,"",Z212)))</f>
        <v/>
      </c>
      <c r="AF212" s="964" t="str">
        <f>IF(W212="","",IF(W212=Y212,V212,""))</f>
        <v/>
      </c>
      <c r="AG212" s="964" t="str">
        <f>IF(W212="","",IF(W212=Y212,Z212,""))</f>
        <v/>
      </c>
      <c r="AH212" s="964" t="str">
        <f>IF(W212="","",IF(W212&lt;Y212,V212,IF(W212=Y212,"",Z212)))</f>
        <v/>
      </c>
      <c r="AI212" s="964" t="str">
        <f>CONCATENATE(AE212,AH212)</f>
        <v/>
      </c>
      <c r="AJ212" s="964"/>
      <c r="AK212" s="964"/>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s="1396"/>
      <c r="CB212" s="1396"/>
      <c r="CC212"/>
      <c r="CD212"/>
      <c r="CE212"/>
    </row>
    <row r="213" spans="1:83" ht="13.15" customHeight="1" outlineLevel="2" thickBot="1" x14ac:dyDescent="0.25">
      <c r="A213"/>
      <c r="B213" s="1"/>
      <c r="C213"/>
      <c r="D213"/>
      <c r="E213"/>
      <c r="F213"/>
      <c r="G213" s="1"/>
      <c r="H213" s="1"/>
      <c r="I213"/>
      <c r="J213"/>
      <c r="K213"/>
      <c r="L213"/>
      <c r="M213"/>
      <c r="N213"/>
      <c r="O213"/>
      <c r="P213"/>
      <c r="Q213"/>
      <c r="R213" s="558" t="s">
        <v>1727</v>
      </c>
      <c r="S213" s="83"/>
      <c r="T213" s="56"/>
      <c r="U213" s="955"/>
      <c r="V213" s="43" t="str">
        <f>G201</f>
        <v>A9</v>
      </c>
      <c r="W213" s="148"/>
      <c r="X213" s="45" t="s">
        <v>769</v>
      </c>
      <c r="Y213" s="10"/>
      <c r="Z213" s="46" t="str">
        <f>G198</f>
        <v>A6</v>
      </c>
      <c r="AA213" s="123"/>
      <c r="AB213" s="1459">
        <f>IF(MaxScore,MaxGoals(W213,Y213,MaxGoalsValue),IF(W213="","",W213))</f>
        <v>0</v>
      </c>
      <c r="AC213" s="1460" t="str">
        <f>IF(MaxScore,"-",IF(W213="","","-"))</f>
        <v>-</v>
      </c>
      <c r="AD213" s="1459">
        <f>IF(MaxScore,MaxGoals(Y213,W213,MaxGoalsValue),IF(Y213="","",Y213))</f>
        <v>0</v>
      </c>
      <c r="AE213" s="964" t="str">
        <f>IF(W213="","",IF(W213&gt;Y213,V213,IF(W213=Y213,"",Z213)))</f>
        <v/>
      </c>
      <c r="AF213" s="964" t="str">
        <f>IF(W213="","",IF(W213=Y213,V213,""))</f>
        <v/>
      </c>
      <c r="AG213" s="964" t="str">
        <f>IF(W213="","",IF(W213=Y213,Z213,""))</f>
        <v/>
      </c>
      <c r="AH213" s="964" t="str">
        <f>IF(W213="","",IF(W213&lt;Y213,V213,IF(W213=Y213,"",Z213)))</f>
        <v/>
      </c>
      <c r="AI213" s="964" t="str">
        <f>CONCATENATE(AE213,AH213)</f>
        <v/>
      </c>
      <c r="AJ213" s="964"/>
      <c r="AK213" s="964"/>
      <c r="AL213"/>
      <c r="AM213"/>
      <c r="AN213"/>
      <c r="AO213"/>
      <c r="AP213"/>
      <c r="AQ213"/>
      <c r="AR213"/>
      <c r="AS213"/>
      <c r="AT213"/>
      <c r="AU213"/>
      <c r="AV213"/>
      <c r="AW213"/>
      <c r="AX213" s="9"/>
      <c r="AY213"/>
      <c r="AZ213"/>
      <c r="BA213"/>
      <c r="BB213"/>
      <c r="BC213"/>
      <c r="BD213"/>
      <c r="BE213"/>
      <c r="BF213"/>
      <c r="BG213"/>
      <c r="BH213"/>
      <c r="BI213"/>
      <c r="BJ213"/>
      <c r="BK213"/>
      <c r="BL213"/>
      <c r="BM213"/>
      <c r="BN213"/>
      <c r="BO213"/>
      <c r="BP213"/>
      <c r="BQ213"/>
      <c r="BR213"/>
      <c r="BS213"/>
      <c r="BT213"/>
      <c r="BU213"/>
      <c r="BV213"/>
      <c r="BW213"/>
      <c r="BX213"/>
      <c r="BY213"/>
      <c r="BZ213"/>
      <c r="CA213" s="1396"/>
      <c r="CB213" s="1396"/>
      <c r="CC213"/>
      <c r="CD213"/>
      <c r="CE213"/>
    </row>
    <row r="214" spans="1:83" ht="13.5" outlineLevel="1" thickBot="1" x14ac:dyDescent="0.25">
      <c r="A214"/>
      <c r="B214" s="1"/>
      <c r="C214" s="1"/>
      <c r="D214" s="76"/>
      <c r="E214" s="76"/>
      <c r="F214" s="76"/>
      <c r="G214" s="9"/>
      <c r="H214" s="9"/>
      <c r="I214" s="1"/>
      <c r="J214"/>
      <c r="K214"/>
      <c r="L214"/>
      <c r="M214"/>
      <c r="N214"/>
      <c r="O214"/>
      <c r="P214" s="89"/>
      <c r="Q214"/>
      <c r="R214" s="1"/>
      <c r="S214" s="993">
        <f>S208+1</f>
        <v>3</v>
      </c>
      <c r="T214" s="961"/>
      <c r="U214" s="961"/>
      <c r="V214" s="961"/>
      <c r="W214" s="960"/>
      <c r="X214" s="960"/>
      <c r="Y214" s="960"/>
      <c r="Z214" s="962"/>
      <c r="AA214" s="123"/>
      <c r="AB214" s="963"/>
      <c r="AC214" s="963"/>
      <c r="AD214" s="963"/>
      <c r="AE214" s="964"/>
      <c r="AF214" s="964"/>
      <c r="AG214" s="964"/>
      <c r="AH214" s="964"/>
      <c r="AI214" s="964"/>
      <c r="AJ214" s="964"/>
      <c r="AK214" s="96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s="1396"/>
      <c r="CB214" s="1396"/>
      <c r="CC214"/>
      <c r="CD214"/>
      <c r="CE214"/>
    </row>
    <row r="215" spans="1:83" ht="13.9" customHeight="1" outlineLevel="2" thickBot="1" x14ac:dyDescent="0.25">
      <c r="A215"/>
      <c r="B215" s="1"/>
      <c r="C215"/>
      <c r="D215"/>
      <c r="E215"/>
      <c r="F215"/>
      <c r="G215" s="1"/>
      <c r="H215" s="1"/>
      <c r="I215"/>
      <c r="J215"/>
      <c r="K215"/>
      <c r="L215"/>
      <c r="M215"/>
      <c r="N215"/>
      <c r="O215"/>
      <c r="P215"/>
      <c r="Q215"/>
      <c r="S215" s="22" t="str">
        <f>N_Heure</f>
        <v>Heure</v>
      </c>
      <c r="T215" s="22" t="str">
        <f>N_Table</f>
        <v>Table</v>
      </c>
      <c r="U215" s="22" t="str">
        <f>N_Arbitre</f>
        <v>Arbitre</v>
      </c>
      <c r="V215" s="293" t="str">
        <f>N_Matches</f>
        <v>Matches</v>
      </c>
      <c r="W215" s="294"/>
      <c r="X215" s="294"/>
      <c r="Y215" s="294"/>
      <c r="Z215" s="295"/>
      <c r="AA215" s="8"/>
      <c r="AB215" s="967"/>
      <c r="AC215" s="967"/>
      <c r="AD215" s="967"/>
      <c r="AE215" s="964"/>
      <c r="AF215" s="964"/>
      <c r="AG215" s="964"/>
      <c r="AH215" s="964"/>
      <c r="AI215" s="964"/>
      <c r="AJ215" s="964"/>
      <c r="AK215" s="964"/>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s="1396"/>
      <c r="CB215" s="1396"/>
      <c r="CC215"/>
      <c r="CD215"/>
      <c r="CE215"/>
    </row>
    <row r="216" spans="1:83" ht="13.15" customHeight="1" outlineLevel="2" thickBot="1" x14ac:dyDescent="0.25">
      <c r="A216"/>
      <c r="B216" s="1"/>
      <c r="C216"/>
      <c r="D216"/>
      <c r="E216"/>
      <c r="F216"/>
      <c r="G216" s="1"/>
      <c r="H216" s="1"/>
      <c r="I216"/>
      <c r="J216"/>
      <c r="K216"/>
      <c r="L216"/>
      <c r="M216"/>
      <c r="N216"/>
      <c r="O216"/>
      <c r="P216"/>
      <c r="Q216"/>
      <c r="R216" s="558" t="s">
        <v>1728</v>
      </c>
      <c r="S216" s="65"/>
      <c r="T216" s="953"/>
      <c r="U216" s="954"/>
      <c r="V216" s="34" t="str">
        <f>G194</f>
        <v>A2</v>
      </c>
      <c r="W216" s="148"/>
      <c r="X216" s="35" t="s">
        <v>769</v>
      </c>
      <c r="Y216" s="148"/>
      <c r="Z216" s="36" t="str">
        <f>G198</f>
        <v>A6</v>
      </c>
      <c r="AA216" s="123"/>
      <c r="AB216" s="1459">
        <f>IF(MaxScore,MaxGoals(W216,Y216,MaxGoalsValue),IF(W216="","",W216))</f>
        <v>0</v>
      </c>
      <c r="AC216" s="1460" t="str">
        <f>IF(MaxScore,"-",IF(W216="","","-"))</f>
        <v>-</v>
      </c>
      <c r="AD216" s="1459">
        <f>IF(MaxScore,MaxGoals(Y216,W216,MaxGoalsValue),IF(Y216="","",Y216))</f>
        <v>0</v>
      </c>
      <c r="AE216" s="964" t="str">
        <f>IF(W216="","",IF(W216&gt;Y216,V216,IF(W216=Y216,"",Z216)))</f>
        <v/>
      </c>
      <c r="AF216" s="964" t="str">
        <f>IF(W216="","",IF(W216=Y216,V216,""))</f>
        <v/>
      </c>
      <c r="AG216" s="964" t="str">
        <f>IF(W216="","",IF(W216=Y216,Z216,""))</f>
        <v/>
      </c>
      <c r="AH216" s="964" t="str">
        <f>IF(W216="","",IF(W216&lt;Y216,V216,IF(W216=Y216,"",Z216)))</f>
        <v/>
      </c>
      <c r="AI216" s="964" t="str">
        <f>CONCATENATE(AE216,AH216)</f>
        <v/>
      </c>
      <c r="AJ216" s="964"/>
      <c r="AK216" s="964"/>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s="1396"/>
      <c r="CB216" s="1396"/>
      <c r="CC216"/>
      <c r="CD216"/>
      <c r="CE216"/>
    </row>
    <row r="217" spans="1:83" ht="13.15" customHeight="1" outlineLevel="2" thickBot="1" x14ac:dyDescent="0.25">
      <c r="A217"/>
      <c r="B217" s="1"/>
      <c r="C217"/>
      <c r="D217"/>
      <c r="E217"/>
      <c r="F217"/>
      <c r="G217" s="1"/>
      <c r="H217" s="1"/>
      <c r="I217"/>
      <c r="J217"/>
      <c r="K217"/>
      <c r="L217"/>
      <c r="M217"/>
      <c r="N217"/>
      <c r="O217"/>
      <c r="P217"/>
      <c r="Q217"/>
      <c r="R217" s="558" t="s">
        <v>1728</v>
      </c>
      <c r="S217" s="83"/>
      <c r="T217" s="56"/>
      <c r="U217" s="955"/>
      <c r="V217" s="43" t="str">
        <f>G195</f>
        <v>A3</v>
      </c>
      <c r="W217" s="148"/>
      <c r="X217" s="45" t="s">
        <v>769</v>
      </c>
      <c r="Y217" s="10"/>
      <c r="Z217" s="46" t="str">
        <f>G197</f>
        <v>A5</v>
      </c>
      <c r="AA217" s="123"/>
      <c r="AB217" s="1459">
        <f>IF(MaxScore,MaxGoals(W217,Y217,MaxGoalsValue),IF(W217="","",W217))</f>
        <v>0</v>
      </c>
      <c r="AC217" s="1460" t="str">
        <f>IF(MaxScore,"-",IF(W217="","","-"))</f>
        <v>-</v>
      </c>
      <c r="AD217" s="1459">
        <f>IF(MaxScore,MaxGoals(Y217,W217,MaxGoalsValue),IF(Y217="","",Y217))</f>
        <v>0</v>
      </c>
      <c r="AE217" s="964" t="str">
        <f>IF(W217="","",IF(W217&gt;Y217,V217,IF(W217=Y217,"",Z217)))</f>
        <v/>
      </c>
      <c r="AF217" s="964" t="str">
        <f>IF(W217="","",IF(W217=Y217,V217,""))</f>
        <v/>
      </c>
      <c r="AG217" s="964" t="str">
        <f>IF(W217="","",IF(W217=Y217,Z217,""))</f>
        <v/>
      </c>
      <c r="AH217" s="964" t="str">
        <f>IF(W217="","",IF(W217&lt;Y217,V217,IF(W217=Y217,"",Z217)))</f>
        <v/>
      </c>
      <c r="AI217" s="964" t="str">
        <f>CONCATENATE(AE217,AH217)</f>
        <v/>
      </c>
      <c r="AJ217" s="964"/>
      <c r="AK217" s="964"/>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s="1396"/>
      <c r="CB217" s="1396"/>
      <c r="CC217"/>
      <c r="CD217"/>
      <c r="CE217"/>
    </row>
    <row r="218" spans="1:83" ht="13.15" customHeight="1" outlineLevel="2" thickBot="1" x14ac:dyDescent="0.25">
      <c r="A218"/>
      <c r="B218" s="1"/>
      <c r="C218"/>
      <c r="D218"/>
      <c r="E218"/>
      <c r="F218"/>
      <c r="G218" s="1"/>
      <c r="H218" s="1"/>
      <c r="I218"/>
      <c r="J218"/>
      <c r="K218"/>
      <c r="L218"/>
      <c r="M218"/>
      <c r="N218"/>
      <c r="O218"/>
      <c r="P218"/>
      <c r="Q218"/>
      <c r="R218" s="558" t="s">
        <v>1728</v>
      </c>
      <c r="S218" s="83"/>
      <c r="T218" s="56"/>
      <c r="U218" s="955"/>
      <c r="V218" s="43" t="str">
        <f>G199</f>
        <v>A7</v>
      </c>
      <c r="W218" s="148"/>
      <c r="X218" s="45" t="s">
        <v>769</v>
      </c>
      <c r="Y218" s="10"/>
      <c r="Z218" s="46" t="str">
        <f>G193</f>
        <v>A1</v>
      </c>
      <c r="AA218" s="123"/>
      <c r="AB218" s="1459">
        <f>IF(MaxScore,MaxGoals(W218,Y218,MaxGoalsValue),IF(W218="","",W218))</f>
        <v>0</v>
      </c>
      <c r="AC218" s="1460" t="str">
        <f>IF(MaxScore,"-",IF(W218="","","-"))</f>
        <v>-</v>
      </c>
      <c r="AD218" s="1459">
        <f>IF(MaxScore,MaxGoals(Y218,W218,MaxGoalsValue),IF(Y218="","",Y218))</f>
        <v>0</v>
      </c>
      <c r="AE218" s="964" t="str">
        <f>IF(W218="","",IF(W218&gt;Y218,V218,IF(W218=Y218,"",Z218)))</f>
        <v/>
      </c>
      <c r="AF218" s="964" t="str">
        <f>IF(W218="","",IF(W218=Y218,V218,""))</f>
        <v/>
      </c>
      <c r="AG218" s="964" t="str">
        <f>IF(W218="","",IF(W218=Y218,Z218,""))</f>
        <v/>
      </c>
      <c r="AH218" s="964" t="str">
        <f>IF(W218="","",IF(W218&lt;Y218,V218,IF(W218=Y218,"",Z218)))</f>
        <v/>
      </c>
      <c r="AI218" s="964" t="str">
        <f>CONCATENATE(AE218,AH218)</f>
        <v/>
      </c>
      <c r="AJ218" s="964"/>
      <c r="AK218" s="964"/>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s="1396"/>
      <c r="CB218" s="1396"/>
      <c r="CC218"/>
      <c r="CD218"/>
      <c r="CE218"/>
    </row>
    <row r="219" spans="1:83" ht="13.9" customHeight="1" outlineLevel="2" thickBot="1" x14ac:dyDescent="0.25">
      <c r="A219"/>
      <c r="B219" s="1"/>
      <c r="C219"/>
      <c r="D219"/>
      <c r="E219"/>
      <c r="F219"/>
      <c r="G219" s="1"/>
      <c r="H219" s="1"/>
      <c r="I219"/>
      <c r="J219"/>
      <c r="K219"/>
      <c r="L219"/>
      <c r="M219"/>
      <c r="N219"/>
      <c r="O219"/>
      <c r="P219"/>
      <c r="Q219"/>
      <c r="R219" s="558" t="s">
        <v>1728</v>
      </c>
      <c r="S219" s="956"/>
      <c r="T219" s="58"/>
      <c r="U219" s="957"/>
      <c r="V219" s="958" t="str">
        <f>G200</f>
        <v>A8</v>
      </c>
      <c r="W219" s="148"/>
      <c r="X219" s="45" t="s">
        <v>769</v>
      </c>
      <c r="Y219" s="10"/>
      <c r="Z219" s="46" t="str">
        <f>G201</f>
        <v>A9</v>
      </c>
      <c r="AA219" s="123"/>
      <c r="AB219" s="1459">
        <f>IF(MaxScore,MaxGoals(W219,Y219,MaxGoalsValue),IF(W219="","",W219))</f>
        <v>0</v>
      </c>
      <c r="AC219" s="1460" t="str">
        <f>IF(MaxScore,"-",IF(W219="","","-"))</f>
        <v>-</v>
      </c>
      <c r="AD219" s="1459">
        <f>IF(MaxScore,MaxGoals(Y219,W219,MaxGoalsValue),IF(Y219="","",Y219))</f>
        <v>0</v>
      </c>
      <c r="AE219" s="964" t="str">
        <f>IF(W219="","",IF(W219&gt;Y219,V219,IF(W219=Y219,"",Z219)))</f>
        <v/>
      </c>
      <c r="AF219" s="964" t="str">
        <f>IF(W219="","",IF(W219=Y219,V219,""))</f>
        <v/>
      </c>
      <c r="AG219" s="964" t="str">
        <f>IF(W219="","",IF(W219=Y219,Z219,""))</f>
        <v/>
      </c>
      <c r="AH219" s="964" t="str">
        <f>IF(W219="","",IF(W219&lt;Y219,V219,IF(W219=Y219,"",Z219)))</f>
        <v/>
      </c>
      <c r="AI219" s="964" t="str">
        <f>CONCATENATE(AE219,AH219)</f>
        <v/>
      </c>
      <c r="AJ219" s="964"/>
      <c r="AK219" s="964"/>
      <c r="AL219"/>
      <c r="AM219"/>
      <c r="AN219"/>
      <c r="AO219"/>
      <c r="AP219"/>
      <c r="AQ219"/>
      <c r="AR219"/>
      <c r="AS219"/>
      <c r="AT219"/>
      <c r="AU219"/>
      <c r="AV219"/>
      <c r="AW219" s="9"/>
      <c r="AX219" s="9"/>
      <c r="AY219"/>
      <c r="AZ219"/>
      <c r="BA219"/>
      <c r="BB219"/>
      <c r="BC219"/>
      <c r="BD219"/>
      <c r="BE219"/>
      <c r="BF219"/>
      <c r="BG219"/>
      <c r="BH219"/>
      <c r="BI219"/>
      <c r="BJ219"/>
      <c r="BK219"/>
      <c r="BL219"/>
      <c r="BM219"/>
      <c r="BN219"/>
      <c r="BO219"/>
      <c r="BP219"/>
      <c r="BQ219"/>
      <c r="BR219"/>
      <c r="BS219"/>
      <c r="BT219"/>
      <c r="BU219"/>
      <c r="BV219"/>
      <c r="BW219"/>
      <c r="BX219"/>
      <c r="BY219"/>
      <c r="BZ219"/>
      <c r="CA219" s="1396"/>
      <c r="CB219" s="1396"/>
      <c r="CC219"/>
      <c r="CD219"/>
      <c r="CE219"/>
    </row>
    <row r="220" spans="1:83" ht="13.5" outlineLevel="1" thickBot="1" x14ac:dyDescent="0.25">
      <c r="A220"/>
      <c r="B220" s="1"/>
      <c r="C220" s="1"/>
      <c r="D220" s="76"/>
      <c r="E220" s="76"/>
      <c r="F220" s="76"/>
      <c r="G220" s="9"/>
      <c r="H220" s="9"/>
      <c r="I220" s="1"/>
      <c r="J220"/>
      <c r="K220"/>
      <c r="L220"/>
      <c r="M220"/>
      <c r="N220"/>
      <c r="O220"/>
      <c r="P220" s="89"/>
      <c r="Q220"/>
      <c r="R220" s="1"/>
      <c r="S220" s="993">
        <f>S214+1</f>
        <v>4</v>
      </c>
      <c r="T220" s="961"/>
      <c r="U220" s="961"/>
      <c r="V220" s="961"/>
      <c r="W220" s="960"/>
      <c r="X220" s="960"/>
      <c r="Y220" s="960"/>
      <c r="Z220" s="962"/>
      <c r="AA220" s="123"/>
      <c r="AB220" s="963"/>
      <c r="AC220" s="963"/>
      <c r="AD220" s="963"/>
      <c r="AE220" s="964"/>
      <c r="AF220" s="964"/>
      <c r="AG220" s="964"/>
      <c r="AH220" s="964"/>
      <c r="AI220" s="964"/>
      <c r="AJ220" s="964"/>
      <c r="AK220" s="964"/>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s="1396"/>
      <c r="CB220" s="1396"/>
      <c r="CC220"/>
      <c r="CD220"/>
      <c r="CE220"/>
    </row>
    <row r="221" spans="1:83" ht="13.9" customHeight="1" outlineLevel="2" thickBot="1" x14ac:dyDescent="0.25">
      <c r="A221"/>
      <c r="B221" s="1"/>
      <c r="C221"/>
      <c r="D221"/>
      <c r="E221"/>
      <c r="F221"/>
      <c r="G221" s="1"/>
      <c r="H221" s="1"/>
      <c r="I221"/>
      <c r="J221"/>
      <c r="K221"/>
      <c r="L221"/>
      <c r="M221"/>
      <c r="N221"/>
      <c r="O221"/>
      <c r="P221"/>
      <c r="Q221"/>
      <c r="S221" s="22" t="str">
        <f>N_Heure</f>
        <v>Heure</v>
      </c>
      <c r="T221" s="22" t="str">
        <f>N_Table</f>
        <v>Table</v>
      </c>
      <c r="U221" s="22" t="str">
        <f>N_Arbitre</f>
        <v>Arbitre</v>
      </c>
      <c r="V221" s="293" t="str">
        <f>N_Matches</f>
        <v>Matches</v>
      </c>
      <c r="W221" s="294"/>
      <c r="X221" s="294"/>
      <c r="Y221" s="294"/>
      <c r="Z221" s="295"/>
      <c r="AA221" s="8"/>
      <c r="AB221" s="967"/>
      <c r="AC221" s="967"/>
      <c r="AD221" s="967"/>
      <c r="AE221" s="964"/>
      <c r="AF221" s="964"/>
      <c r="AG221" s="964"/>
      <c r="AH221" s="964"/>
      <c r="AI221" s="964"/>
      <c r="AJ221" s="964"/>
      <c r="AK221" s="964"/>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s="1396"/>
      <c r="CB221" s="1396"/>
      <c r="CC221"/>
      <c r="CD221"/>
      <c r="CE221"/>
    </row>
    <row r="222" spans="1:83" ht="13.15" customHeight="1" outlineLevel="2" thickBot="1" x14ac:dyDescent="0.25">
      <c r="A222"/>
      <c r="B222" s="1"/>
      <c r="C222"/>
      <c r="D222"/>
      <c r="E222"/>
      <c r="F222"/>
      <c r="G222" s="1"/>
      <c r="H222" s="1"/>
      <c r="I222"/>
      <c r="J222"/>
      <c r="K222"/>
      <c r="L222"/>
      <c r="M222"/>
      <c r="N222"/>
      <c r="O222"/>
      <c r="P222"/>
      <c r="Q222"/>
      <c r="R222" s="558" t="s">
        <v>1729</v>
      </c>
      <c r="S222" s="65"/>
      <c r="T222" s="953"/>
      <c r="U222" s="954"/>
      <c r="V222" s="34" t="str">
        <f>G193</f>
        <v>A1</v>
      </c>
      <c r="W222" s="148"/>
      <c r="X222" s="35" t="s">
        <v>769</v>
      </c>
      <c r="Y222" s="148"/>
      <c r="Z222" s="36" t="str">
        <f>G201</f>
        <v>A9</v>
      </c>
      <c r="AA222" s="123"/>
      <c r="AB222" s="1459">
        <f>IF(MaxScore,MaxGoals(W222,Y222,MaxGoalsValue),IF(W222="","",W222))</f>
        <v>0</v>
      </c>
      <c r="AC222" s="1460" t="str">
        <f>IF(MaxScore,"-",IF(W222="","","-"))</f>
        <v>-</v>
      </c>
      <c r="AD222" s="1459">
        <f>IF(MaxScore,MaxGoals(Y222,W222,MaxGoalsValue),IF(Y222="","",Y222))</f>
        <v>0</v>
      </c>
      <c r="AE222" s="964" t="str">
        <f>IF(W222="","",IF(W222&gt;Y222,V222,IF(W222=Y222,"",Z222)))</f>
        <v/>
      </c>
      <c r="AF222" s="964" t="str">
        <f>IF(W222="","",IF(W222=Y222,V222,""))</f>
        <v/>
      </c>
      <c r="AG222" s="964" t="str">
        <f>IF(W222="","",IF(W222=Y222,Z222,""))</f>
        <v/>
      </c>
      <c r="AH222" s="964" t="str">
        <f>IF(W222="","",IF(W222&lt;Y222,V222,IF(W222=Y222,"",Z222)))</f>
        <v/>
      </c>
      <c r="AI222" s="964" t="str">
        <f>CONCATENATE(AE222,AH222)</f>
        <v/>
      </c>
      <c r="AJ222" s="964"/>
      <c r="AK222" s="964"/>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s="1396"/>
      <c r="CB222" s="1396"/>
      <c r="CC222"/>
      <c r="CD222"/>
      <c r="CE222"/>
    </row>
    <row r="223" spans="1:83" ht="13.15" customHeight="1" outlineLevel="2" thickBot="1" x14ac:dyDescent="0.25">
      <c r="A223"/>
      <c r="B223" s="1"/>
      <c r="C223"/>
      <c r="D223"/>
      <c r="E223"/>
      <c r="F223"/>
      <c r="G223" s="1"/>
      <c r="H223" s="1"/>
      <c r="I223"/>
      <c r="J223"/>
      <c r="K223"/>
      <c r="L223"/>
      <c r="M223"/>
      <c r="N223"/>
      <c r="O223"/>
      <c r="P223"/>
      <c r="Q223"/>
      <c r="R223" s="558" t="s">
        <v>1729</v>
      </c>
      <c r="S223" s="83"/>
      <c r="T223" s="56"/>
      <c r="U223" s="955"/>
      <c r="V223" s="43" t="str">
        <f>G198</f>
        <v>A6</v>
      </c>
      <c r="W223" s="148"/>
      <c r="X223" s="45" t="s">
        <v>769</v>
      </c>
      <c r="Y223" s="10"/>
      <c r="Z223" s="46" t="str">
        <f>G196</f>
        <v>A4</v>
      </c>
      <c r="AA223" s="123"/>
      <c r="AB223" s="1459">
        <f>IF(MaxScore,MaxGoals(W223,Y223,MaxGoalsValue),IF(W223="","",W223))</f>
        <v>0</v>
      </c>
      <c r="AC223" s="1460" t="str">
        <f>IF(MaxScore,"-",IF(W223="","","-"))</f>
        <v>-</v>
      </c>
      <c r="AD223" s="1459">
        <f>IF(MaxScore,MaxGoals(Y223,W223,MaxGoalsValue),IF(Y223="","",Y223))</f>
        <v>0</v>
      </c>
      <c r="AE223" s="964" t="str">
        <f>IF(W223="","",IF(W223&gt;Y223,V223,IF(W223=Y223,"",Z223)))</f>
        <v/>
      </c>
      <c r="AF223" s="964" t="str">
        <f>IF(W223="","",IF(W223=Y223,V223,""))</f>
        <v/>
      </c>
      <c r="AG223" s="964" t="str">
        <f>IF(W223="","",IF(W223=Y223,Z223,""))</f>
        <v/>
      </c>
      <c r="AH223" s="964" t="str">
        <f>IF(W223="","",IF(W223&lt;Y223,V223,IF(W223=Y223,"",Z223)))</f>
        <v/>
      </c>
      <c r="AI223" s="964" t="str">
        <f>CONCATENATE(AE223,AH223)</f>
        <v/>
      </c>
      <c r="AJ223" s="964"/>
      <c r="AK223" s="964"/>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s="1396"/>
      <c r="CB223" s="1396"/>
      <c r="CC223"/>
      <c r="CD223"/>
      <c r="CE223"/>
    </row>
    <row r="224" spans="1:83" ht="13.15" customHeight="1" outlineLevel="2" thickBot="1" x14ac:dyDescent="0.25">
      <c r="A224"/>
      <c r="B224" s="1"/>
      <c r="C224"/>
      <c r="D224"/>
      <c r="E224"/>
      <c r="F224"/>
      <c r="G224" s="1"/>
      <c r="H224" s="1"/>
      <c r="I224"/>
      <c r="J224"/>
      <c r="K224"/>
      <c r="L224"/>
      <c r="M224"/>
      <c r="N224"/>
      <c r="O224"/>
      <c r="P224"/>
      <c r="Q224"/>
      <c r="R224" s="558" t="s">
        <v>1729</v>
      </c>
      <c r="S224" s="83"/>
      <c r="T224" s="56"/>
      <c r="U224" s="955"/>
      <c r="V224" s="43" t="str">
        <f>G199</f>
        <v>A7</v>
      </c>
      <c r="W224" s="148"/>
      <c r="X224" s="45" t="s">
        <v>769</v>
      </c>
      <c r="Y224" s="10"/>
      <c r="Z224" s="46" t="str">
        <f>G195</f>
        <v>A3</v>
      </c>
      <c r="AA224" s="123"/>
      <c r="AB224" s="1459">
        <f>IF(MaxScore,MaxGoals(W224,Y224,MaxGoalsValue),IF(W224="","",W224))</f>
        <v>0</v>
      </c>
      <c r="AC224" s="1460" t="str">
        <f>IF(MaxScore,"-",IF(W224="","","-"))</f>
        <v>-</v>
      </c>
      <c r="AD224" s="1459">
        <f>IF(MaxScore,MaxGoals(Y224,W224,MaxGoalsValue),IF(Y224="","",Y224))</f>
        <v>0</v>
      </c>
      <c r="AE224" s="964" t="str">
        <f>IF(W224="","",IF(W224&gt;Y224,V224,IF(W224=Y224,"",Z224)))</f>
        <v/>
      </c>
      <c r="AF224" s="964" t="str">
        <f>IF(W224="","",IF(W224=Y224,V224,""))</f>
        <v/>
      </c>
      <c r="AG224" s="964" t="str">
        <f>IF(W224="","",IF(W224=Y224,Z224,""))</f>
        <v/>
      </c>
      <c r="AH224" s="964" t="str">
        <f>IF(W224="","",IF(W224&lt;Y224,V224,IF(W224=Y224,"",Z224)))</f>
        <v/>
      </c>
      <c r="AI224" s="964" t="str">
        <f>CONCATENATE(AE224,AH224)</f>
        <v/>
      </c>
      <c r="AJ224" s="964"/>
      <c r="AK224" s="964"/>
      <c r="AL224"/>
      <c r="AM224"/>
      <c r="AN224"/>
      <c r="AO224"/>
      <c r="AP224"/>
      <c r="AQ224"/>
      <c r="AR224"/>
      <c r="AS224"/>
      <c r="AT224"/>
      <c r="AU224"/>
      <c r="AV224"/>
      <c r="AW224"/>
      <c r="AX224" s="9"/>
      <c r="AY224"/>
      <c r="AZ224"/>
      <c r="BA224"/>
      <c r="BB224"/>
      <c r="BC224"/>
      <c r="BD224"/>
      <c r="BE224"/>
      <c r="BF224"/>
      <c r="BG224"/>
      <c r="BH224"/>
      <c r="BI224"/>
      <c r="BJ224"/>
      <c r="BK224"/>
      <c r="BL224"/>
      <c r="BM224"/>
      <c r="BN224"/>
      <c r="BO224"/>
      <c r="BP224"/>
      <c r="BQ224"/>
      <c r="BR224"/>
      <c r="BS224"/>
      <c r="BT224"/>
      <c r="BU224"/>
      <c r="BV224"/>
      <c r="BW224"/>
      <c r="BX224"/>
      <c r="BY224"/>
      <c r="BZ224"/>
      <c r="CA224" s="1396"/>
      <c r="CB224" s="1396"/>
      <c r="CC224"/>
      <c r="CD224"/>
      <c r="CE224"/>
    </row>
    <row r="225" spans="1:83" ht="13.9" customHeight="1" outlineLevel="2" thickBot="1" x14ac:dyDescent="0.25">
      <c r="A225"/>
      <c r="B225" s="1"/>
      <c r="C225"/>
      <c r="D225"/>
      <c r="E225"/>
      <c r="F225"/>
      <c r="G225" s="1"/>
      <c r="H225" s="1"/>
      <c r="I225"/>
      <c r="J225"/>
      <c r="K225"/>
      <c r="L225"/>
      <c r="M225"/>
      <c r="N225"/>
      <c r="O225"/>
      <c r="P225"/>
      <c r="Q225"/>
      <c r="R225" s="558" t="s">
        <v>1729</v>
      </c>
      <c r="S225" s="956"/>
      <c r="T225" s="58"/>
      <c r="U225" s="957"/>
      <c r="V225" s="43" t="str">
        <f>G200</f>
        <v>A8</v>
      </c>
      <c r="W225" s="148"/>
      <c r="X225" s="45" t="s">
        <v>769</v>
      </c>
      <c r="Y225" s="10"/>
      <c r="Z225" s="46" t="str">
        <f>G194</f>
        <v>A2</v>
      </c>
      <c r="AA225" s="123"/>
      <c r="AB225" s="1459">
        <f>IF(MaxScore,MaxGoals(W225,Y225,MaxGoalsValue),IF(W225="","",W225))</f>
        <v>0</v>
      </c>
      <c r="AC225" s="1460" t="str">
        <f>IF(MaxScore,"-",IF(W225="","","-"))</f>
        <v>-</v>
      </c>
      <c r="AD225" s="1459">
        <f>IF(MaxScore,MaxGoals(Y225,W225,MaxGoalsValue),IF(Y225="","",Y225))</f>
        <v>0</v>
      </c>
      <c r="AE225" s="964" t="str">
        <f>IF(W225="","",IF(W225&gt;Y225,V225,IF(W225=Y225,"",Z225)))</f>
        <v/>
      </c>
      <c r="AF225" s="964" t="str">
        <f>IF(W225="","",IF(W225=Y225,V225,""))</f>
        <v/>
      </c>
      <c r="AG225" s="964" t="str">
        <f>IF(W225="","",IF(W225=Y225,Z225,""))</f>
        <v/>
      </c>
      <c r="AH225" s="964" t="str">
        <f>IF(W225="","",IF(W225&lt;Y225,V225,IF(W225=Y225,"",Z225)))</f>
        <v/>
      </c>
      <c r="AI225" s="964" t="str">
        <f>CONCATENATE(AE225,AH225)</f>
        <v/>
      </c>
      <c r="AJ225" s="964"/>
      <c r="AK225" s="964"/>
      <c r="AL225"/>
      <c r="AM225"/>
      <c r="AN225"/>
      <c r="AO225"/>
      <c r="AP225"/>
      <c r="AQ225"/>
      <c r="AR225"/>
      <c r="AS225"/>
      <c r="AT225"/>
      <c r="AU225"/>
      <c r="AV225"/>
      <c r="AW225" s="9"/>
      <c r="AX225" s="9"/>
      <c r="AY225"/>
      <c r="AZ225"/>
      <c r="BA225"/>
      <c r="BB225"/>
      <c r="BC225"/>
      <c r="BD225"/>
      <c r="BE225"/>
      <c r="BF225"/>
      <c r="BG225"/>
      <c r="BH225"/>
      <c r="BI225"/>
      <c r="BJ225"/>
      <c r="BK225"/>
      <c r="BL225"/>
      <c r="BM225"/>
      <c r="BN225"/>
      <c r="BO225"/>
      <c r="BP225"/>
      <c r="BQ225"/>
      <c r="BR225"/>
      <c r="BS225"/>
      <c r="BT225"/>
      <c r="BU225"/>
      <c r="BV225"/>
      <c r="BW225"/>
      <c r="BX225"/>
      <c r="BY225"/>
      <c r="BZ225"/>
      <c r="CA225" s="1396"/>
      <c r="CB225" s="1396"/>
      <c r="CC225"/>
      <c r="CD225"/>
      <c r="CE225"/>
    </row>
    <row r="226" spans="1:83" ht="13.5" outlineLevel="1" thickBot="1" x14ac:dyDescent="0.25">
      <c r="A226"/>
      <c r="B226" s="1"/>
      <c r="C226" s="1"/>
      <c r="D226" s="76"/>
      <c r="E226" s="76"/>
      <c r="F226" s="76"/>
      <c r="G226" s="9"/>
      <c r="H226" s="9"/>
      <c r="I226" s="1"/>
      <c r="J226"/>
      <c r="K226"/>
      <c r="L226"/>
      <c r="M226"/>
      <c r="N226"/>
      <c r="O226"/>
      <c r="P226" s="89"/>
      <c r="Q226"/>
      <c r="R226" s="1"/>
      <c r="S226" s="993">
        <f>S220+1</f>
        <v>5</v>
      </c>
      <c r="T226" s="961"/>
      <c r="U226" s="961"/>
      <c r="V226" s="961"/>
      <c r="W226" s="960"/>
      <c r="X226" s="960"/>
      <c r="Y226" s="960"/>
      <c r="Z226" s="962"/>
      <c r="AA226" s="123"/>
      <c r="AB226" s="963"/>
      <c r="AC226" s="963"/>
      <c r="AD226" s="963"/>
      <c r="AE226" s="964"/>
      <c r="AF226" s="964"/>
      <c r="AG226" s="964"/>
      <c r="AH226" s="964"/>
      <c r="AI226" s="964"/>
      <c r="AJ226" s="964"/>
      <c r="AK226" s="964"/>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s="1396"/>
      <c r="CB226" s="1396"/>
      <c r="CC226"/>
      <c r="CD226"/>
      <c r="CE226"/>
    </row>
    <row r="227" spans="1:83" ht="13.9" customHeight="1" outlineLevel="2" thickBot="1" x14ac:dyDescent="0.25">
      <c r="A227"/>
      <c r="B227" s="1"/>
      <c r="C227"/>
      <c r="D227"/>
      <c r="E227"/>
      <c r="F227"/>
      <c r="G227" s="1"/>
      <c r="H227" s="1"/>
      <c r="I227"/>
      <c r="J227"/>
      <c r="K227"/>
      <c r="L227"/>
      <c r="M227"/>
      <c r="N227"/>
      <c r="O227"/>
      <c r="P227"/>
      <c r="Q227"/>
      <c r="S227" s="22" t="str">
        <f>N_Heure</f>
        <v>Heure</v>
      </c>
      <c r="T227" s="22" t="str">
        <f>N_Table</f>
        <v>Table</v>
      </c>
      <c r="U227" s="22" t="str">
        <f>N_Arbitre</f>
        <v>Arbitre</v>
      </c>
      <c r="V227" s="293" t="str">
        <f>N_Matches</f>
        <v>Matches</v>
      </c>
      <c r="W227" s="294"/>
      <c r="X227" s="294"/>
      <c r="Y227" s="294"/>
      <c r="Z227" s="295"/>
      <c r="AA227" s="8"/>
      <c r="AB227" s="967"/>
      <c r="AC227" s="967"/>
      <c r="AD227" s="967"/>
      <c r="AE227" s="964"/>
      <c r="AF227" s="964"/>
      <c r="AG227" s="964"/>
      <c r="AH227" s="964"/>
      <c r="AI227" s="964"/>
      <c r="AJ227" s="964"/>
      <c r="AK227" s="964"/>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s="1396"/>
      <c r="CB227" s="1396"/>
      <c r="CC227"/>
      <c r="CD227"/>
      <c r="CE227"/>
    </row>
    <row r="228" spans="1:83" ht="13.15" customHeight="1" outlineLevel="2" thickBot="1" x14ac:dyDescent="0.25">
      <c r="A228"/>
      <c r="B228" s="1"/>
      <c r="C228"/>
      <c r="D228"/>
      <c r="E228"/>
      <c r="F228"/>
      <c r="G228" s="1"/>
      <c r="H228" s="1"/>
      <c r="I228"/>
      <c r="J228"/>
      <c r="K228"/>
      <c r="L228"/>
      <c r="M228"/>
      <c r="N228"/>
      <c r="O228"/>
      <c r="P228"/>
      <c r="Q228"/>
      <c r="R228" s="558" t="s">
        <v>1730</v>
      </c>
      <c r="S228" s="65"/>
      <c r="T228" s="953"/>
      <c r="U228" s="954"/>
      <c r="V228" s="34" t="str">
        <f>G194</f>
        <v>A2</v>
      </c>
      <c r="W228" s="148"/>
      <c r="X228" s="35" t="s">
        <v>769</v>
      </c>
      <c r="Y228" s="148"/>
      <c r="Z228" s="36" t="str">
        <f>G193</f>
        <v>A1</v>
      </c>
      <c r="AA228" s="123"/>
      <c r="AB228" s="1459">
        <f>IF(MaxScore,MaxGoals(W228,Y228,MaxGoalsValue),IF(W228="","",W228))</f>
        <v>0</v>
      </c>
      <c r="AC228" s="1460" t="str">
        <f>IF(MaxScore,"-",IF(W228="","","-"))</f>
        <v>-</v>
      </c>
      <c r="AD228" s="1459">
        <f>IF(MaxScore,MaxGoals(Y228,W228,MaxGoalsValue),IF(Y228="","",Y228))</f>
        <v>0</v>
      </c>
      <c r="AE228" s="964" t="str">
        <f>IF(W228="","",IF(W228&gt;Y228,V228,IF(W228=Y228,"",Z228)))</f>
        <v/>
      </c>
      <c r="AF228" s="964" t="str">
        <f>IF(W228="","",IF(W228=Y228,V228,""))</f>
        <v/>
      </c>
      <c r="AG228" s="964" t="str">
        <f>IF(W228="","",IF(W228=Y228,Z228,""))</f>
        <v/>
      </c>
      <c r="AH228" s="964" t="str">
        <f>IF(W228="","",IF(W228&lt;Y228,V228,IF(W228=Y228,"",Z228)))</f>
        <v/>
      </c>
      <c r="AI228" s="964" t="str">
        <f>CONCATENATE(AE228,AH228)</f>
        <v/>
      </c>
      <c r="AJ228" s="964"/>
      <c r="AK228" s="964"/>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s="1396"/>
      <c r="CB228" s="1396"/>
      <c r="CC228"/>
      <c r="CD228"/>
      <c r="CE228"/>
    </row>
    <row r="229" spans="1:83" ht="13.15" customHeight="1" outlineLevel="2" thickBot="1" x14ac:dyDescent="0.25">
      <c r="A229"/>
      <c r="B229" s="1"/>
      <c r="C229"/>
      <c r="D229"/>
      <c r="E229"/>
      <c r="F229"/>
      <c r="G229" s="1"/>
      <c r="H229" s="1"/>
      <c r="I229"/>
      <c r="J229"/>
      <c r="K229"/>
      <c r="L229"/>
      <c r="M229"/>
      <c r="N229"/>
      <c r="O229"/>
      <c r="P229"/>
      <c r="Q229"/>
      <c r="R229" s="558" t="s">
        <v>1730</v>
      </c>
      <c r="S229" s="83"/>
      <c r="T229" s="56"/>
      <c r="U229" s="955"/>
      <c r="V229" s="43" t="str">
        <f>G196</f>
        <v>A4</v>
      </c>
      <c r="W229" s="148"/>
      <c r="X229" s="45" t="s">
        <v>769</v>
      </c>
      <c r="Y229" s="10"/>
      <c r="Z229" s="46" t="str">
        <f>G200</f>
        <v>A8</v>
      </c>
      <c r="AA229" s="123"/>
      <c r="AB229" s="1459">
        <f>IF(MaxScore,MaxGoals(W229,Y229,MaxGoalsValue),IF(W229="","",W229))</f>
        <v>0</v>
      </c>
      <c r="AC229" s="1460" t="str">
        <f>IF(MaxScore,"-",IF(W229="","","-"))</f>
        <v>-</v>
      </c>
      <c r="AD229" s="1459">
        <f>IF(MaxScore,MaxGoals(Y229,W229,MaxGoalsValue),IF(Y229="","",Y229))</f>
        <v>0</v>
      </c>
      <c r="AE229" s="964" t="str">
        <f>IF(W229="","",IF(W229&gt;Y229,V229,IF(W229=Y229,"",Z229)))</f>
        <v/>
      </c>
      <c r="AF229" s="964" t="str">
        <f>IF(W229="","",IF(W229=Y229,V229,""))</f>
        <v/>
      </c>
      <c r="AG229" s="964" t="str">
        <f>IF(W229="","",IF(W229=Y229,Z229,""))</f>
        <v/>
      </c>
      <c r="AH229" s="964" t="str">
        <f>IF(W229="","",IF(W229&lt;Y229,V229,IF(W229=Y229,"",Z229)))</f>
        <v/>
      </c>
      <c r="AI229" s="964" t="str">
        <f>CONCATENATE(AE229,AH229)</f>
        <v/>
      </c>
      <c r="AJ229" s="964"/>
      <c r="AK229" s="964"/>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s="1396"/>
      <c r="CB229" s="1396"/>
      <c r="CC229"/>
      <c r="CD229"/>
      <c r="CE229"/>
    </row>
    <row r="230" spans="1:83" ht="13.15" customHeight="1" outlineLevel="2" thickBot="1" x14ac:dyDescent="0.25">
      <c r="A230"/>
      <c r="B230" s="1"/>
      <c r="C230"/>
      <c r="D230"/>
      <c r="E230"/>
      <c r="F230"/>
      <c r="G230" s="1"/>
      <c r="H230" s="1"/>
      <c r="I230"/>
      <c r="J230"/>
      <c r="K230"/>
      <c r="L230"/>
      <c r="M230"/>
      <c r="N230"/>
      <c r="O230"/>
      <c r="P230"/>
      <c r="Q230"/>
      <c r="R230" s="558" t="s">
        <v>1730</v>
      </c>
      <c r="S230" s="83"/>
      <c r="T230" s="56"/>
      <c r="U230" s="955"/>
      <c r="V230" s="43" t="str">
        <f>G197</f>
        <v>A5</v>
      </c>
      <c r="W230" s="148"/>
      <c r="X230" s="45" t="s">
        <v>769</v>
      </c>
      <c r="Y230" s="10"/>
      <c r="Z230" s="46" t="str">
        <f>G199</f>
        <v>A7</v>
      </c>
      <c r="AA230" s="123"/>
      <c r="AB230" s="1459">
        <f>IF(MaxScore,MaxGoals(W230,Y230,MaxGoalsValue),IF(W230="","",W230))</f>
        <v>0</v>
      </c>
      <c r="AC230" s="1460" t="str">
        <f>IF(MaxScore,"-",IF(W230="","","-"))</f>
        <v>-</v>
      </c>
      <c r="AD230" s="1459">
        <f>IF(MaxScore,MaxGoals(Y230,W230,MaxGoalsValue),IF(Y230="","",Y230))</f>
        <v>0</v>
      </c>
      <c r="AE230" s="964" t="str">
        <f>IF(W230="","",IF(W230&gt;Y230,V230,IF(W230=Y230,"",Z230)))</f>
        <v/>
      </c>
      <c r="AF230" s="964" t="str">
        <f>IF(W230="","",IF(W230=Y230,V230,""))</f>
        <v/>
      </c>
      <c r="AG230" s="964" t="str">
        <f>IF(W230="","",IF(W230=Y230,Z230,""))</f>
        <v/>
      </c>
      <c r="AH230" s="964" t="str">
        <f>IF(W230="","",IF(W230&lt;Y230,V230,IF(W230=Y230,"",Z230)))</f>
        <v/>
      </c>
      <c r="AI230" s="964" t="str">
        <f>CONCATENATE(AE230,AH230)</f>
        <v/>
      </c>
      <c r="AJ230" s="964"/>
      <c r="AK230" s="964"/>
      <c r="AL230"/>
      <c r="AM230"/>
      <c r="AN230"/>
      <c r="AO230"/>
      <c r="AP230"/>
      <c r="AQ230"/>
      <c r="AR230"/>
      <c r="AS230"/>
      <c r="AT230"/>
      <c r="AU230"/>
      <c r="AV230"/>
      <c r="AW230"/>
      <c r="AX230" s="9"/>
      <c r="AY230"/>
      <c r="AZ230"/>
      <c r="BA230"/>
      <c r="BB230"/>
      <c r="BC230"/>
      <c r="BD230"/>
      <c r="BE230"/>
      <c r="BF230"/>
      <c r="BG230"/>
      <c r="BH230"/>
      <c r="BI230"/>
      <c r="BJ230"/>
      <c r="BK230"/>
      <c r="BL230"/>
      <c r="BM230"/>
      <c r="BN230"/>
      <c r="BO230"/>
      <c r="BP230"/>
      <c r="BQ230"/>
      <c r="BR230"/>
      <c r="BS230"/>
      <c r="BT230"/>
      <c r="BU230"/>
      <c r="BV230"/>
      <c r="BW230"/>
      <c r="BX230"/>
      <c r="BY230"/>
      <c r="BZ230"/>
      <c r="CA230" s="1396"/>
      <c r="CB230" s="1396"/>
      <c r="CC230"/>
      <c r="CD230"/>
      <c r="CE230"/>
    </row>
    <row r="231" spans="1:83" ht="13.9" customHeight="1" outlineLevel="2" thickBot="1" x14ac:dyDescent="0.25">
      <c r="A231"/>
      <c r="B231" s="1"/>
      <c r="C231"/>
      <c r="D231"/>
      <c r="E231"/>
      <c r="F231"/>
      <c r="G231" s="1"/>
      <c r="H231" s="1"/>
      <c r="I231"/>
      <c r="J231"/>
      <c r="K231"/>
      <c r="L231"/>
      <c r="M231"/>
      <c r="N231"/>
      <c r="O231"/>
      <c r="P231"/>
      <c r="Q231"/>
      <c r="R231" s="558" t="s">
        <v>1730</v>
      </c>
      <c r="S231" s="956"/>
      <c r="T231" s="58"/>
      <c r="U231" s="957"/>
      <c r="V231" s="958" t="str">
        <f>G201</f>
        <v>A9</v>
      </c>
      <c r="W231" s="148"/>
      <c r="X231" s="45" t="s">
        <v>769</v>
      </c>
      <c r="Y231" s="10"/>
      <c r="Z231" s="46" t="str">
        <f>G195</f>
        <v>A3</v>
      </c>
      <c r="AA231" s="123"/>
      <c r="AB231" s="1459">
        <f>IF(MaxScore,MaxGoals(W231,Y231,MaxGoalsValue),IF(W231="","",W231))</f>
        <v>0</v>
      </c>
      <c r="AC231" s="1460" t="str">
        <f>IF(MaxScore,"-",IF(W231="","","-"))</f>
        <v>-</v>
      </c>
      <c r="AD231" s="1459">
        <f>IF(MaxScore,MaxGoals(Y231,W231,MaxGoalsValue),IF(Y231="","",Y231))</f>
        <v>0</v>
      </c>
      <c r="AE231" s="964" t="str">
        <f>IF(W231="","",IF(W231&gt;Y231,V231,IF(W231=Y231,"",Z231)))</f>
        <v/>
      </c>
      <c r="AF231" s="964" t="str">
        <f>IF(W231="","",IF(W231=Y231,V231,""))</f>
        <v/>
      </c>
      <c r="AG231" s="964" t="str">
        <f>IF(W231="","",IF(W231=Y231,Z231,""))</f>
        <v/>
      </c>
      <c r="AH231" s="964" t="str">
        <f>IF(W231="","",IF(W231&lt;Y231,V231,IF(W231=Y231,"",Z231)))</f>
        <v/>
      </c>
      <c r="AI231" s="964" t="str">
        <f>CONCATENATE(AE231,AH231)</f>
        <v/>
      </c>
      <c r="AJ231" s="964"/>
      <c r="AK231" s="964"/>
      <c r="AL231"/>
      <c r="AM231"/>
      <c r="AN231"/>
      <c r="AO231"/>
      <c r="AP231"/>
      <c r="AQ231"/>
      <c r="AR231"/>
      <c r="AS231"/>
      <c r="AT231"/>
      <c r="AU231"/>
      <c r="AV231"/>
      <c r="AW231" s="9"/>
      <c r="AX231" s="9"/>
      <c r="AY231"/>
      <c r="AZ231"/>
      <c r="BA231"/>
      <c r="BB231"/>
      <c r="BC231"/>
      <c r="BD231"/>
      <c r="BE231"/>
      <c r="BF231"/>
      <c r="BG231"/>
      <c r="BH231"/>
      <c r="BI231"/>
      <c r="BJ231"/>
      <c r="BK231"/>
      <c r="BL231"/>
      <c r="BM231"/>
      <c r="BN231"/>
      <c r="BO231"/>
      <c r="BP231"/>
      <c r="BQ231"/>
      <c r="BR231"/>
      <c r="BS231"/>
      <c r="BT231"/>
      <c r="BU231"/>
      <c r="BV231"/>
      <c r="BW231"/>
      <c r="BX231"/>
      <c r="BY231"/>
      <c r="BZ231"/>
      <c r="CA231" s="1396"/>
      <c r="CB231" s="1396"/>
      <c r="CC231"/>
      <c r="CD231"/>
      <c r="CE231"/>
    </row>
    <row r="232" spans="1:83" ht="13.5" outlineLevel="1" thickBot="1" x14ac:dyDescent="0.25">
      <c r="A232"/>
      <c r="B232" s="1"/>
      <c r="C232" s="1"/>
      <c r="D232" s="76"/>
      <c r="E232" s="76"/>
      <c r="F232" s="76"/>
      <c r="G232" s="9"/>
      <c r="H232" s="9"/>
      <c r="I232" s="1"/>
      <c r="J232"/>
      <c r="K232"/>
      <c r="L232"/>
      <c r="M232"/>
      <c r="N232"/>
      <c r="O232"/>
      <c r="P232" s="89"/>
      <c r="Q232"/>
      <c r="R232" s="1"/>
      <c r="S232" s="993">
        <f>S226+1</f>
        <v>6</v>
      </c>
      <c r="T232" s="961"/>
      <c r="U232" s="961"/>
      <c r="V232" s="961"/>
      <c r="W232" s="960"/>
      <c r="X232" s="960"/>
      <c r="Y232" s="960"/>
      <c r="Z232" s="962"/>
      <c r="AA232" s="123"/>
      <c r="AB232" s="963"/>
      <c r="AC232" s="963"/>
      <c r="AD232" s="963"/>
      <c r="AE232" s="964"/>
      <c r="AF232" s="964"/>
      <c r="AG232" s="964"/>
      <c r="AH232" s="964"/>
      <c r="AI232" s="964"/>
      <c r="AJ232" s="964"/>
      <c r="AK232" s="964"/>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s="1396"/>
      <c r="CB232" s="1396"/>
      <c r="CC232"/>
      <c r="CD232"/>
      <c r="CE232"/>
    </row>
    <row r="233" spans="1:83" ht="13.9" customHeight="1" outlineLevel="2" thickBot="1" x14ac:dyDescent="0.25">
      <c r="A233"/>
      <c r="B233" s="1"/>
      <c r="C233"/>
      <c r="D233"/>
      <c r="E233"/>
      <c r="F233"/>
      <c r="G233" s="1"/>
      <c r="H233" s="1"/>
      <c r="I233"/>
      <c r="J233"/>
      <c r="K233"/>
      <c r="L233"/>
      <c r="M233"/>
      <c r="N233"/>
      <c r="O233"/>
      <c r="P233"/>
      <c r="Q233"/>
      <c r="S233" s="22" t="str">
        <f>N_Heure</f>
        <v>Heure</v>
      </c>
      <c r="T233" s="22" t="str">
        <f>N_Table</f>
        <v>Table</v>
      </c>
      <c r="U233" s="22" t="str">
        <f>N_Arbitre</f>
        <v>Arbitre</v>
      </c>
      <c r="V233" s="293" t="str">
        <f>N_Matches</f>
        <v>Matches</v>
      </c>
      <c r="W233" s="294"/>
      <c r="X233" s="294"/>
      <c r="Y233" s="294"/>
      <c r="Z233" s="295"/>
      <c r="AA233" s="8"/>
      <c r="AB233" s="967"/>
      <c r="AC233" s="967"/>
      <c r="AD233" s="967"/>
      <c r="AE233" s="964"/>
      <c r="AF233" s="964"/>
      <c r="AG233" s="964"/>
      <c r="AH233" s="964"/>
      <c r="AI233" s="964"/>
      <c r="AJ233" s="964"/>
      <c r="AK233" s="964"/>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s="1396"/>
      <c r="CB233" s="1396"/>
      <c r="CC233"/>
      <c r="CD233"/>
      <c r="CE233"/>
    </row>
    <row r="234" spans="1:83" ht="13.15" customHeight="1" outlineLevel="2" thickBot="1" x14ac:dyDescent="0.25">
      <c r="A234"/>
      <c r="B234" s="1"/>
      <c r="C234"/>
      <c r="D234"/>
      <c r="E234"/>
      <c r="F234"/>
      <c r="G234" s="1"/>
      <c r="H234" s="1"/>
      <c r="I234"/>
      <c r="J234"/>
      <c r="K234"/>
      <c r="L234"/>
      <c r="M234"/>
      <c r="N234"/>
      <c r="O234"/>
      <c r="P234"/>
      <c r="Q234"/>
      <c r="R234" s="558" t="s">
        <v>1731</v>
      </c>
      <c r="S234" s="83"/>
      <c r="T234" s="56"/>
      <c r="U234" s="955"/>
      <c r="V234" s="43" t="str">
        <f>G193</f>
        <v>A1</v>
      </c>
      <c r="W234" s="148"/>
      <c r="X234" s="45" t="s">
        <v>769</v>
      </c>
      <c r="Y234" s="10"/>
      <c r="Z234" s="46" t="str">
        <f>G196</f>
        <v>A4</v>
      </c>
      <c r="AA234" s="123"/>
      <c r="AB234" s="1459">
        <f>IF(MaxScore,MaxGoals(W234,Y234,MaxGoalsValue),IF(W234="","",W234))</f>
        <v>0</v>
      </c>
      <c r="AC234" s="1460" t="str">
        <f>IF(MaxScore,"-",IF(W234="","","-"))</f>
        <v>-</v>
      </c>
      <c r="AD234" s="1459">
        <f>IF(MaxScore,MaxGoals(Y234,W234,MaxGoalsValue),IF(Y234="","",Y234))</f>
        <v>0</v>
      </c>
      <c r="AE234" s="964" t="str">
        <f>IF(W234="","",IF(W234&gt;Y234,V234,IF(W234=Y234,"",Z234)))</f>
        <v/>
      </c>
      <c r="AF234" s="964" t="str">
        <f>IF(W234="","",IF(W234=Y234,V234,""))</f>
        <v/>
      </c>
      <c r="AG234" s="964" t="str">
        <f>IF(W234="","",IF(W234=Y234,Z234,""))</f>
        <v/>
      </c>
      <c r="AH234" s="964" t="str">
        <f>IF(W234="","",IF(W234&lt;Y234,V234,IF(W234=Y234,"",Z234)))</f>
        <v/>
      </c>
      <c r="AI234" s="964" t="str">
        <f>CONCATENATE(AE234,AH234)</f>
        <v/>
      </c>
      <c r="AJ234" s="964"/>
      <c r="AK234" s="96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s="1396"/>
      <c r="CB234" s="1396"/>
      <c r="CC234"/>
      <c r="CD234"/>
      <c r="CE234"/>
    </row>
    <row r="235" spans="1:83" ht="13.15" customHeight="1" outlineLevel="2" thickBot="1" x14ac:dyDescent="0.25">
      <c r="A235"/>
      <c r="B235" s="1"/>
      <c r="C235"/>
      <c r="D235"/>
      <c r="E235"/>
      <c r="F235"/>
      <c r="G235" s="1"/>
      <c r="H235" s="1"/>
      <c r="I235"/>
      <c r="J235"/>
      <c r="K235"/>
      <c r="L235"/>
      <c r="M235"/>
      <c r="N235"/>
      <c r="O235"/>
      <c r="P235"/>
      <c r="Q235"/>
      <c r="R235" s="558" t="s">
        <v>1731</v>
      </c>
      <c r="S235" s="83"/>
      <c r="T235" s="56"/>
      <c r="U235" s="955"/>
      <c r="V235" s="43" t="str">
        <f>G195</f>
        <v>A3</v>
      </c>
      <c r="W235" s="148"/>
      <c r="X235" s="45" t="s">
        <v>769</v>
      </c>
      <c r="Y235" s="10"/>
      <c r="Z235" s="46" t="str">
        <f>G194</f>
        <v>A2</v>
      </c>
      <c r="AA235" s="123"/>
      <c r="AB235" s="1459">
        <f>IF(MaxScore,MaxGoals(W235,Y235,MaxGoalsValue),IF(W235="","",W235))</f>
        <v>0</v>
      </c>
      <c r="AC235" s="1460" t="str">
        <f>IF(MaxScore,"-",IF(W235="","","-"))</f>
        <v>-</v>
      </c>
      <c r="AD235" s="1459">
        <f>IF(MaxScore,MaxGoals(Y235,W235,MaxGoalsValue),IF(Y235="","",Y235))</f>
        <v>0</v>
      </c>
      <c r="AE235" s="964" t="str">
        <f>IF(W235="","",IF(W235&gt;Y235,V235,IF(W235=Y235,"",Z235)))</f>
        <v/>
      </c>
      <c r="AF235" s="964" t="str">
        <f>IF(W235="","",IF(W235=Y235,V235,""))</f>
        <v/>
      </c>
      <c r="AG235" s="964" t="str">
        <f>IF(W235="","",IF(W235=Y235,Z235,""))</f>
        <v/>
      </c>
      <c r="AH235" s="964" t="str">
        <f>IF(W235="","",IF(W235&lt;Y235,V235,IF(W235=Y235,"",Z235)))</f>
        <v/>
      </c>
      <c r="AI235" s="964" t="str">
        <f>CONCATENATE(AE235,AH235)</f>
        <v/>
      </c>
      <c r="AJ235" s="964"/>
      <c r="AK235" s="964"/>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s="1396"/>
      <c r="CB235" s="1396"/>
      <c r="CC235"/>
      <c r="CD235"/>
      <c r="CE235"/>
    </row>
    <row r="236" spans="1:83" ht="13.15" customHeight="1" outlineLevel="2" thickBot="1" x14ac:dyDescent="0.25">
      <c r="A236"/>
      <c r="B236" s="1"/>
      <c r="C236"/>
      <c r="D236"/>
      <c r="E236"/>
      <c r="F236"/>
      <c r="G236" s="1"/>
      <c r="H236" s="1"/>
      <c r="I236"/>
      <c r="J236"/>
      <c r="K236"/>
      <c r="L236"/>
      <c r="M236"/>
      <c r="N236"/>
      <c r="O236"/>
      <c r="P236"/>
      <c r="Q236"/>
      <c r="R236" s="558" t="s">
        <v>1731</v>
      </c>
      <c r="S236" s="83"/>
      <c r="T236" s="56"/>
      <c r="U236" s="955"/>
      <c r="V236" s="43" t="str">
        <f>G197</f>
        <v>A5</v>
      </c>
      <c r="W236" s="148"/>
      <c r="X236" s="45" t="s">
        <v>769</v>
      </c>
      <c r="Y236" s="10"/>
      <c r="Z236" s="46" t="str">
        <f>G201</f>
        <v>A9</v>
      </c>
      <c r="AA236" s="123"/>
      <c r="AB236" s="1459">
        <f>IF(MaxScore,MaxGoals(W236,Y236,MaxGoalsValue),IF(W236="","",W236))</f>
        <v>0</v>
      </c>
      <c r="AC236" s="1460" t="str">
        <f>IF(MaxScore,"-",IF(W236="","","-"))</f>
        <v>-</v>
      </c>
      <c r="AD236" s="1459">
        <f>IF(MaxScore,MaxGoals(Y236,W236,MaxGoalsValue),IF(Y236="","",Y236))</f>
        <v>0</v>
      </c>
      <c r="AE236" s="964" t="str">
        <f>IF(W236="","",IF(W236&gt;Y236,V236,IF(W236=Y236,"",Z236)))</f>
        <v/>
      </c>
      <c r="AF236" s="964" t="str">
        <f>IF(W236="","",IF(W236=Y236,V236,""))</f>
        <v/>
      </c>
      <c r="AG236" s="964" t="str">
        <f>IF(W236="","",IF(W236=Y236,Z236,""))</f>
        <v/>
      </c>
      <c r="AH236" s="964" t="str">
        <f>IF(W236="","",IF(W236&lt;Y236,V236,IF(W236=Y236,"",Z236)))</f>
        <v/>
      </c>
      <c r="AI236" s="964" t="str">
        <f>CONCATENATE(AE236,AH236)</f>
        <v/>
      </c>
      <c r="AJ236" s="964"/>
      <c r="AK236" s="964"/>
      <c r="AL236"/>
      <c r="AM236"/>
      <c r="AN236"/>
      <c r="AO236"/>
      <c r="AP236"/>
      <c r="AQ236"/>
      <c r="AR236"/>
      <c r="AS236"/>
      <c r="AT236"/>
      <c r="AU236"/>
      <c r="AV236"/>
      <c r="AW236"/>
      <c r="AX236" s="9"/>
      <c r="AY236"/>
      <c r="AZ236"/>
      <c r="BA236"/>
      <c r="BB236"/>
      <c r="BC236"/>
      <c r="BD236"/>
      <c r="BE236"/>
      <c r="BF236"/>
      <c r="BG236"/>
      <c r="BH236"/>
      <c r="BI236"/>
      <c r="BJ236"/>
      <c r="BK236"/>
      <c r="BL236"/>
      <c r="BM236"/>
      <c r="BN236"/>
      <c r="BO236"/>
      <c r="BP236"/>
      <c r="BQ236"/>
      <c r="BR236"/>
      <c r="BS236"/>
      <c r="BT236"/>
      <c r="BU236"/>
      <c r="BV236"/>
      <c r="BW236"/>
      <c r="BX236"/>
      <c r="BY236"/>
      <c r="BZ236"/>
      <c r="CA236" s="1396"/>
      <c r="CB236" s="1396"/>
      <c r="CC236"/>
      <c r="CD236"/>
      <c r="CE236"/>
    </row>
    <row r="237" spans="1:83" ht="13.9" customHeight="1" outlineLevel="2" thickBot="1" x14ac:dyDescent="0.25">
      <c r="A237"/>
      <c r="B237" s="1"/>
      <c r="C237"/>
      <c r="D237"/>
      <c r="E237"/>
      <c r="F237"/>
      <c r="G237" s="1"/>
      <c r="H237" s="1"/>
      <c r="I237"/>
      <c r="J237"/>
      <c r="K237"/>
      <c r="L237"/>
      <c r="M237"/>
      <c r="N237"/>
      <c r="O237"/>
      <c r="P237"/>
      <c r="Q237"/>
      <c r="R237" s="558" t="s">
        <v>1731</v>
      </c>
      <c r="S237" s="956"/>
      <c r="T237" s="58"/>
      <c r="U237" s="957"/>
      <c r="V237" s="43" t="str">
        <f>G200</f>
        <v>A8</v>
      </c>
      <c r="W237" s="148"/>
      <c r="X237" s="45" t="s">
        <v>769</v>
      </c>
      <c r="Y237" s="10"/>
      <c r="Z237" s="46" t="str">
        <f>G198</f>
        <v>A6</v>
      </c>
      <c r="AA237" s="123"/>
      <c r="AB237" s="1459">
        <f>IF(MaxScore,MaxGoals(W237,Y237,MaxGoalsValue),IF(W237="","",W237))</f>
        <v>0</v>
      </c>
      <c r="AC237" s="1460" t="str">
        <f>IF(MaxScore,"-",IF(W237="","","-"))</f>
        <v>-</v>
      </c>
      <c r="AD237" s="1459">
        <f>IF(MaxScore,MaxGoals(Y237,W237,MaxGoalsValue),IF(Y237="","",Y237))</f>
        <v>0</v>
      </c>
      <c r="AE237" s="964" t="str">
        <f>IF(W237="","",IF(W237&gt;Y237,V237,IF(W237=Y237,"",Z237)))</f>
        <v/>
      </c>
      <c r="AF237" s="964" t="str">
        <f>IF(W237="","",IF(W237=Y237,V237,""))</f>
        <v/>
      </c>
      <c r="AG237" s="964" t="str">
        <f>IF(W237="","",IF(W237=Y237,Z237,""))</f>
        <v/>
      </c>
      <c r="AH237" s="964" t="str">
        <f>IF(W237="","",IF(W237&lt;Y237,V237,IF(W237=Y237,"",Z237)))</f>
        <v/>
      </c>
      <c r="AI237" s="964" t="str">
        <f>CONCATENATE(AE237,AH237)</f>
        <v/>
      </c>
      <c r="AJ237" s="964"/>
      <c r="AK237" s="964"/>
      <c r="AL237"/>
      <c r="AM237"/>
      <c r="AN237"/>
      <c r="AO237"/>
      <c r="AP237"/>
      <c r="AQ237"/>
      <c r="AR237"/>
      <c r="AS237"/>
      <c r="AT237"/>
      <c r="AU237"/>
      <c r="AV237"/>
      <c r="AW237" s="9"/>
      <c r="AX237" s="9"/>
      <c r="AY237"/>
      <c r="AZ237"/>
      <c r="BA237"/>
      <c r="BB237"/>
      <c r="BC237"/>
      <c r="BD237"/>
      <c r="BE237"/>
      <c r="BF237"/>
      <c r="BG237"/>
      <c r="BH237"/>
      <c r="BI237"/>
      <c r="BJ237"/>
      <c r="BK237"/>
      <c r="BL237"/>
      <c r="BM237"/>
      <c r="BN237"/>
      <c r="BO237"/>
      <c r="BP237"/>
      <c r="BQ237"/>
      <c r="BR237"/>
      <c r="BS237"/>
      <c r="BT237"/>
      <c r="BU237"/>
      <c r="BV237"/>
      <c r="BW237"/>
      <c r="BX237"/>
      <c r="BY237"/>
      <c r="BZ237"/>
      <c r="CA237" s="1396"/>
      <c r="CB237" s="1396"/>
      <c r="CC237"/>
      <c r="CD237"/>
      <c r="CE237"/>
    </row>
    <row r="238" spans="1:83" ht="13.5" outlineLevel="1" thickBot="1" x14ac:dyDescent="0.25">
      <c r="A238"/>
      <c r="B238" s="1"/>
      <c r="C238" s="1"/>
      <c r="D238" s="76"/>
      <c r="E238" s="76"/>
      <c r="F238" s="76"/>
      <c r="G238" s="9"/>
      <c r="H238" s="9"/>
      <c r="I238" s="1"/>
      <c r="J238"/>
      <c r="K238"/>
      <c r="L238"/>
      <c r="M238"/>
      <c r="N238"/>
      <c r="O238"/>
      <c r="P238" s="89"/>
      <c r="Q238"/>
      <c r="R238" s="1"/>
      <c r="S238" s="993">
        <f>S232+1</f>
        <v>7</v>
      </c>
      <c r="T238" s="961"/>
      <c r="U238" s="961"/>
      <c r="V238" s="961"/>
      <c r="W238" s="960"/>
      <c r="X238" s="960"/>
      <c r="Y238" s="960"/>
      <c r="Z238" s="962"/>
      <c r="AA238" s="123"/>
      <c r="AB238" s="963"/>
      <c r="AC238" s="963"/>
      <c r="AD238" s="963"/>
      <c r="AE238" s="964"/>
      <c r="AF238" s="964"/>
      <c r="AG238" s="964"/>
      <c r="AH238" s="964"/>
      <c r="AI238" s="964"/>
      <c r="AJ238" s="964"/>
      <c r="AK238" s="964"/>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s="1396"/>
      <c r="CB238" s="1396"/>
      <c r="CC238"/>
      <c r="CD238"/>
      <c r="CE238"/>
    </row>
    <row r="239" spans="1:83" ht="13.9" customHeight="1" outlineLevel="2" thickBot="1" x14ac:dyDescent="0.25">
      <c r="A239"/>
      <c r="B239" s="1"/>
      <c r="C239"/>
      <c r="D239"/>
      <c r="E239"/>
      <c r="F239"/>
      <c r="G239" s="1"/>
      <c r="H239" s="1"/>
      <c r="I239"/>
      <c r="J239"/>
      <c r="K239"/>
      <c r="L239"/>
      <c r="M239"/>
      <c r="N239"/>
      <c r="O239"/>
      <c r="P239"/>
      <c r="Q239"/>
      <c r="S239" s="22" t="str">
        <f>N_Heure</f>
        <v>Heure</v>
      </c>
      <c r="T239" s="22" t="str">
        <f>N_Table</f>
        <v>Table</v>
      </c>
      <c r="U239" s="22" t="str">
        <f>N_Arbitre</f>
        <v>Arbitre</v>
      </c>
      <c r="V239" s="293" t="str">
        <f>N_Matches</f>
        <v>Matches</v>
      </c>
      <c r="W239" s="294"/>
      <c r="X239" s="294"/>
      <c r="Y239" s="294"/>
      <c r="Z239" s="295"/>
      <c r="AA239" s="8"/>
      <c r="AB239" s="967"/>
      <c r="AC239" s="967"/>
      <c r="AD239" s="967"/>
      <c r="AE239" s="964"/>
      <c r="AF239" s="964"/>
      <c r="AG239" s="964"/>
      <c r="AH239" s="964"/>
      <c r="AI239" s="964"/>
      <c r="AJ239" s="964"/>
      <c r="AK239" s="964"/>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s="1396"/>
      <c r="CB239" s="1396"/>
      <c r="CC239"/>
      <c r="CD239"/>
      <c r="CE239"/>
    </row>
    <row r="240" spans="1:83" ht="13.15" customHeight="1" outlineLevel="2" thickBot="1" x14ac:dyDescent="0.25">
      <c r="A240"/>
      <c r="B240" s="1"/>
      <c r="C240"/>
      <c r="D240"/>
      <c r="E240"/>
      <c r="F240"/>
      <c r="G240" s="1"/>
      <c r="H240" s="1"/>
      <c r="I240"/>
      <c r="J240"/>
      <c r="K240"/>
      <c r="L240"/>
      <c r="M240"/>
      <c r="N240"/>
      <c r="O240"/>
      <c r="P240"/>
      <c r="Q240"/>
      <c r="R240" s="558" t="s">
        <v>1740</v>
      </c>
      <c r="S240" s="83"/>
      <c r="T240" s="56"/>
      <c r="U240" s="955"/>
      <c r="V240" s="34" t="str">
        <f>G194</f>
        <v>A2</v>
      </c>
      <c r="W240" s="148"/>
      <c r="X240" s="35" t="s">
        <v>769</v>
      </c>
      <c r="Y240" s="148"/>
      <c r="Z240" s="36" t="str">
        <f>G197</f>
        <v>A5</v>
      </c>
      <c r="AA240" s="123"/>
      <c r="AB240" s="1459">
        <f>IF(MaxScore,MaxGoals(W240,Y240,MaxGoalsValue),IF(W240="","",W240))</f>
        <v>0</v>
      </c>
      <c r="AC240" s="1460" t="str">
        <f>IF(MaxScore,"-",IF(W240="","","-"))</f>
        <v>-</v>
      </c>
      <c r="AD240" s="1459">
        <f>IF(MaxScore,MaxGoals(Y240,W240,MaxGoalsValue),IF(Y240="","",Y240))</f>
        <v>0</v>
      </c>
      <c r="AE240" s="964" t="str">
        <f>IF(W240="","",IF(W240&gt;Y240,V240,IF(W240=Y240,"",Z240)))</f>
        <v/>
      </c>
      <c r="AF240" s="964" t="str">
        <f>IF(W240="","",IF(W240=Y240,V240,""))</f>
        <v/>
      </c>
      <c r="AG240" s="964" t="str">
        <f>IF(W240="","",IF(W240=Y240,Z240,""))</f>
        <v/>
      </c>
      <c r="AH240" s="964" t="str">
        <f>IF(W240="","",IF(W240&lt;Y240,V240,IF(W240=Y240,"",Z240)))</f>
        <v/>
      </c>
      <c r="AI240" s="964" t="str">
        <f>CONCATENATE(AE240,AH240)</f>
        <v/>
      </c>
      <c r="AJ240" s="964"/>
      <c r="AK240" s="964"/>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s="1396"/>
      <c r="CB240" s="1396"/>
      <c r="CC240"/>
      <c r="CD240"/>
      <c r="CE240"/>
    </row>
    <row r="241" spans="1:83" ht="13.15" customHeight="1" outlineLevel="2" thickBot="1" x14ac:dyDescent="0.25">
      <c r="A241"/>
      <c r="B241" s="1"/>
      <c r="C241"/>
      <c r="D241"/>
      <c r="E241"/>
      <c r="F241"/>
      <c r="G241" s="1"/>
      <c r="H241" s="1"/>
      <c r="I241"/>
      <c r="J241"/>
      <c r="K241"/>
      <c r="L241"/>
      <c r="M241"/>
      <c r="N241"/>
      <c r="O241"/>
      <c r="P241"/>
      <c r="Q241"/>
      <c r="R241" s="558" t="s">
        <v>1740</v>
      </c>
      <c r="S241" s="83"/>
      <c r="T241" s="56"/>
      <c r="U241" s="955"/>
      <c r="V241" s="43" t="str">
        <f>G196</f>
        <v>A4</v>
      </c>
      <c r="W241" s="148"/>
      <c r="X241" s="45" t="s">
        <v>769</v>
      </c>
      <c r="Y241" s="10"/>
      <c r="Z241" s="46" t="str">
        <f>G195</f>
        <v>A3</v>
      </c>
      <c r="AA241" s="123"/>
      <c r="AB241" s="1459">
        <f>IF(MaxScore,MaxGoals(W241,Y241,MaxGoalsValue),IF(W241="","",W241))</f>
        <v>0</v>
      </c>
      <c r="AC241" s="1460" t="str">
        <f>IF(MaxScore,"-",IF(W241="","","-"))</f>
        <v>-</v>
      </c>
      <c r="AD241" s="1459">
        <f>IF(MaxScore,MaxGoals(Y241,W241,MaxGoalsValue),IF(Y241="","",Y241))</f>
        <v>0</v>
      </c>
      <c r="AE241" s="964" t="str">
        <f>IF(W241="","",IF(W241&gt;Y241,V241,IF(W241=Y241,"",Z241)))</f>
        <v/>
      </c>
      <c r="AF241" s="964" t="str">
        <f>IF(W241="","",IF(W241=Y241,V241,""))</f>
        <v/>
      </c>
      <c r="AG241" s="964" t="str">
        <f>IF(W241="","",IF(W241=Y241,Z241,""))</f>
        <v/>
      </c>
      <c r="AH241" s="964" t="str">
        <f>IF(W241="","",IF(W241&lt;Y241,V241,IF(W241=Y241,"",Z241)))</f>
        <v/>
      </c>
      <c r="AI241" s="964" t="str">
        <f>CONCATENATE(AE241,AH241)</f>
        <v/>
      </c>
      <c r="AJ241" s="964"/>
      <c r="AK241" s="964"/>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s="1396"/>
      <c r="CB241" s="1396"/>
      <c r="CC241"/>
      <c r="CD241"/>
      <c r="CE241"/>
    </row>
    <row r="242" spans="1:83" ht="13.15" customHeight="1" outlineLevel="2" thickBot="1" x14ac:dyDescent="0.25">
      <c r="A242"/>
      <c r="B242" s="1"/>
      <c r="C242"/>
      <c r="D242"/>
      <c r="E242"/>
      <c r="F242"/>
      <c r="G242" s="1"/>
      <c r="H242" s="1"/>
      <c r="I242"/>
      <c r="J242"/>
      <c r="K242"/>
      <c r="L242"/>
      <c r="M242"/>
      <c r="N242"/>
      <c r="O242"/>
      <c r="P242"/>
      <c r="Q242"/>
      <c r="R242" s="558" t="s">
        <v>1740</v>
      </c>
      <c r="S242" s="83"/>
      <c r="T242" s="56"/>
      <c r="U242" s="955"/>
      <c r="V242" s="43" t="str">
        <f>G198</f>
        <v>A6</v>
      </c>
      <c r="W242" s="148"/>
      <c r="X242" s="45" t="s">
        <v>769</v>
      </c>
      <c r="Y242" s="10"/>
      <c r="Z242" s="46" t="str">
        <f>G193</f>
        <v>A1</v>
      </c>
      <c r="AA242" s="123"/>
      <c r="AB242" s="1459">
        <f>IF(MaxScore,MaxGoals(W242,Y242,MaxGoalsValue),IF(W242="","",W242))</f>
        <v>0</v>
      </c>
      <c r="AC242" s="1460" t="str">
        <f>IF(MaxScore,"-",IF(W242="","","-"))</f>
        <v>-</v>
      </c>
      <c r="AD242" s="1459">
        <f>IF(MaxScore,MaxGoals(Y242,W242,MaxGoalsValue),IF(Y242="","",Y242))</f>
        <v>0</v>
      </c>
      <c r="AE242" s="964" t="str">
        <f>IF(W242="","",IF(W242&gt;Y242,V242,IF(W242=Y242,"",Z242)))</f>
        <v/>
      </c>
      <c r="AF242" s="964" t="str">
        <f>IF(W242="","",IF(W242=Y242,V242,""))</f>
        <v/>
      </c>
      <c r="AG242" s="964" t="str">
        <f>IF(W242="","",IF(W242=Y242,Z242,""))</f>
        <v/>
      </c>
      <c r="AH242" s="964" t="str">
        <f>IF(W242="","",IF(W242&lt;Y242,V242,IF(W242=Y242,"",Z242)))</f>
        <v/>
      </c>
      <c r="AI242" s="964" t="str">
        <f>CONCATENATE(AE242,AH242)</f>
        <v/>
      </c>
      <c r="AJ242" s="964"/>
      <c r="AK242" s="964"/>
      <c r="AL242"/>
      <c r="AM242"/>
      <c r="AN242"/>
      <c r="AO242"/>
      <c r="AP242"/>
      <c r="AQ242"/>
      <c r="AR242"/>
      <c r="AS242"/>
      <c r="AT242"/>
      <c r="AU242"/>
      <c r="AV242"/>
      <c r="AW242"/>
      <c r="AX242" s="9"/>
      <c r="AY242"/>
      <c r="AZ242"/>
      <c r="BA242"/>
      <c r="BB242"/>
      <c r="BC242"/>
      <c r="BD242"/>
      <c r="BE242"/>
      <c r="BF242"/>
      <c r="BG242"/>
      <c r="BH242"/>
      <c r="BI242"/>
      <c r="BJ242"/>
      <c r="BK242"/>
      <c r="BL242"/>
      <c r="BM242"/>
      <c r="BN242"/>
      <c r="BO242"/>
      <c r="BP242"/>
      <c r="BQ242"/>
      <c r="BR242"/>
      <c r="BS242"/>
      <c r="BT242"/>
      <c r="BU242"/>
      <c r="BV242"/>
      <c r="BW242"/>
      <c r="BX242"/>
      <c r="BY242"/>
      <c r="BZ242"/>
      <c r="CA242" s="1396"/>
      <c r="CB242" s="1396"/>
      <c r="CC242"/>
      <c r="CD242"/>
      <c r="CE242"/>
    </row>
    <row r="243" spans="1:83" ht="13.9" customHeight="1" outlineLevel="2" thickBot="1" x14ac:dyDescent="0.25">
      <c r="A243"/>
      <c r="B243" s="1"/>
      <c r="C243"/>
      <c r="D243"/>
      <c r="E243"/>
      <c r="F243"/>
      <c r="G243" s="1"/>
      <c r="H243" s="1"/>
      <c r="I243"/>
      <c r="J243"/>
      <c r="K243"/>
      <c r="L243"/>
      <c r="M243"/>
      <c r="N243"/>
      <c r="O243"/>
      <c r="P243"/>
      <c r="Q243"/>
      <c r="R243" s="558" t="s">
        <v>1740</v>
      </c>
      <c r="S243" s="956"/>
      <c r="T243" s="58"/>
      <c r="U243" s="957"/>
      <c r="V243" s="958" t="str">
        <f>G201</f>
        <v>A9</v>
      </c>
      <c r="W243" s="148"/>
      <c r="X243" s="45" t="s">
        <v>769</v>
      </c>
      <c r="Y243" s="10"/>
      <c r="Z243" s="46" t="str">
        <f>G199</f>
        <v>A7</v>
      </c>
      <c r="AA243" s="123"/>
      <c r="AB243" s="1459">
        <f>IF(MaxScore,MaxGoals(W243,Y243,MaxGoalsValue),IF(W243="","",W243))</f>
        <v>0</v>
      </c>
      <c r="AC243" s="1460" t="str">
        <f>IF(MaxScore,"-",IF(W243="","","-"))</f>
        <v>-</v>
      </c>
      <c r="AD243" s="1459">
        <f>IF(MaxScore,MaxGoals(Y243,W243,MaxGoalsValue),IF(Y243="","",Y243))</f>
        <v>0</v>
      </c>
      <c r="AE243" s="964" t="str">
        <f>IF(W243="","",IF(W243&gt;Y243,V243,IF(W243=Y243,"",Z243)))</f>
        <v/>
      </c>
      <c r="AF243" s="964" t="str">
        <f>IF(W243="","",IF(W243=Y243,V243,""))</f>
        <v/>
      </c>
      <c r="AG243" s="964" t="str">
        <f>IF(W243="","",IF(W243=Y243,Z243,""))</f>
        <v/>
      </c>
      <c r="AH243" s="964" t="str">
        <f>IF(W243="","",IF(W243&lt;Y243,V243,IF(W243=Y243,"",Z243)))</f>
        <v/>
      </c>
      <c r="AI243" s="964" t="str">
        <f>CONCATENATE(AE243,AH243)</f>
        <v/>
      </c>
      <c r="AJ243" s="964"/>
      <c r="AK243" s="964"/>
      <c r="AL243"/>
      <c r="AM243"/>
      <c r="AN243"/>
      <c r="AO243"/>
      <c r="AP243"/>
      <c r="AQ243"/>
      <c r="AR243"/>
      <c r="AS243"/>
      <c r="AT243"/>
      <c r="AU243"/>
      <c r="AV243"/>
      <c r="AW243" s="9"/>
      <c r="AX243" s="9"/>
      <c r="AY243"/>
      <c r="AZ243"/>
      <c r="BA243"/>
      <c r="BB243"/>
      <c r="BC243"/>
      <c r="BD243"/>
      <c r="BE243"/>
      <c r="BF243"/>
      <c r="BG243"/>
      <c r="BH243"/>
      <c r="BI243"/>
      <c r="BJ243"/>
      <c r="BK243"/>
      <c r="BL243"/>
      <c r="BM243"/>
      <c r="BN243"/>
      <c r="BO243"/>
      <c r="BP243"/>
      <c r="BQ243"/>
      <c r="BR243"/>
      <c r="BS243"/>
      <c r="BT243"/>
      <c r="BU243"/>
      <c r="BV243"/>
      <c r="BW243"/>
      <c r="BX243"/>
      <c r="BY243"/>
      <c r="BZ243"/>
      <c r="CA243" s="1396"/>
      <c r="CB243" s="1396"/>
      <c r="CC243"/>
      <c r="CD243"/>
      <c r="CE243"/>
    </row>
    <row r="244" spans="1:83" ht="13.5" outlineLevel="1" thickBot="1" x14ac:dyDescent="0.25">
      <c r="A244"/>
      <c r="B244" s="1"/>
      <c r="C244" s="1"/>
      <c r="D244" s="76"/>
      <c r="E244" s="76"/>
      <c r="F244" s="76"/>
      <c r="G244" s="9"/>
      <c r="H244" s="9"/>
      <c r="I244" s="1"/>
      <c r="J244"/>
      <c r="K244"/>
      <c r="L244"/>
      <c r="M244"/>
      <c r="N244"/>
      <c r="O244"/>
      <c r="P244" s="89"/>
      <c r="Q244"/>
      <c r="R244" s="1"/>
      <c r="S244" s="993">
        <f>S238+1</f>
        <v>8</v>
      </c>
      <c r="T244" s="961"/>
      <c r="U244" s="961"/>
      <c r="V244" s="961"/>
      <c r="W244" s="960"/>
      <c r="X244" s="960"/>
      <c r="Y244" s="960"/>
      <c r="Z244" s="962"/>
      <c r="AA244" s="123"/>
      <c r="AB244" s="963"/>
      <c r="AC244" s="963"/>
      <c r="AD244" s="963"/>
      <c r="AE244" s="964"/>
      <c r="AF244" s="964"/>
      <c r="AG244" s="964"/>
      <c r="AH244" s="964"/>
      <c r="AI244" s="964"/>
      <c r="AJ244" s="964"/>
      <c r="AK244" s="96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s="1396"/>
      <c r="CB244" s="1396"/>
      <c r="CC244"/>
      <c r="CD244"/>
      <c r="CE244"/>
    </row>
    <row r="245" spans="1:83" ht="13.9" customHeight="1" outlineLevel="2" thickBot="1" x14ac:dyDescent="0.25">
      <c r="A245"/>
      <c r="B245" s="1"/>
      <c r="C245"/>
      <c r="D245"/>
      <c r="E245"/>
      <c r="F245"/>
      <c r="G245" s="1"/>
      <c r="H245" s="1"/>
      <c r="I245"/>
      <c r="J245"/>
      <c r="K245"/>
      <c r="L245"/>
      <c r="M245"/>
      <c r="N245"/>
      <c r="O245"/>
      <c r="P245"/>
      <c r="Q245"/>
      <c r="S245" s="22" t="str">
        <f>N_Heure</f>
        <v>Heure</v>
      </c>
      <c r="T245" s="22" t="str">
        <f>N_Table</f>
        <v>Table</v>
      </c>
      <c r="U245" s="22" t="str">
        <f>N_Arbitre</f>
        <v>Arbitre</v>
      </c>
      <c r="V245" s="293" t="str">
        <f>N_Matches</f>
        <v>Matches</v>
      </c>
      <c r="W245" s="294"/>
      <c r="X245" s="294"/>
      <c r="Y245" s="294"/>
      <c r="Z245" s="295"/>
      <c r="AA245" s="8"/>
      <c r="AB245" s="967"/>
      <c r="AC245" s="967"/>
      <c r="AD245" s="967"/>
      <c r="AE245" s="964"/>
      <c r="AF245" s="964"/>
      <c r="AG245" s="964"/>
      <c r="AH245" s="964"/>
      <c r="AI245" s="964"/>
      <c r="AJ245" s="964"/>
      <c r="AK245" s="964"/>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s="1396"/>
      <c r="CB245" s="1396"/>
      <c r="CC245"/>
      <c r="CD245"/>
      <c r="CE245"/>
    </row>
    <row r="246" spans="1:83" ht="13.15" customHeight="1" outlineLevel="2" thickBot="1" x14ac:dyDescent="0.25">
      <c r="A246"/>
      <c r="B246" s="1"/>
      <c r="C246"/>
      <c r="D246"/>
      <c r="E246"/>
      <c r="F246"/>
      <c r="G246" s="1"/>
      <c r="H246" s="1"/>
      <c r="I246"/>
      <c r="J246"/>
      <c r="K246"/>
      <c r="L246"/>
      <c r="M246"/>
      <c r="N246"/>
      <c r="O246"/>
      <c r="P246"/>
      <c r="Q246"/>
      <c r="R246" s="558" t="s">
        <v>930</v>
      </c>
      <c r="S246" s="83"/>
      <c r="T246" s="56"/>
      <c r="U246" s="955"/>
      <c r="V246" s="34" t="str">
        <f>G195</f>
        <v>A3</v>
      </c>
      <c r="W246" s="148"/>
      <c r="X246" s="35" t="s">
        <v>769</v>
      </c>
      <c r="Y246" s="148"/>
      <c r="Z246" s="36" t="str">
        <f>G198</f>
        <v>A6</v>
      </c>
      <c r="AA246" s="123"/>
      <c r="AB246" s="1459">
        <f>IF(MaxScore,MaxGoals(W246,Y246,MaxGoalsValue),IF(W246="","",W246))</f>
        <v>0</v>
      </c>
      <c r="AC246" s="1460" t="str">
        <f>IF(MaxScore,"-",IF(W246="","","-"))</f>
        <v>-</v>
      </c>
      <c r="AD246" s="1459">
        <f>IF(MaxScore,MaxGoals(Y246,W246,MaxGoalsValue),IF(Y246="","",Y246))</f>
        <v>0</v>
      </c>
      <c r="AE246" s="964" t="str">
        <f>IF(W246="","",IF(W246&gt;Y246,V246,IF(W246=Y246,"",Z246)))</f>
        <v/>
      </c>
      <c r="AF246" s="964" t="str">
        <f>IF(W246="","",IF(W246=Y246,V246,""))</f>
        <v/>
      </c>
      <c r="AG246" s="964" t="str">
        <f>IF(W246="","",IF(W246=Y246,Z246,""))</f>
        <v/>
      </c>
      <c r="AH246" s="964" t="str">
        <f>IF(W246="","",IF(W246&lt;Y246,V246,IF(W246=Y246,"",Z246)))</f>
        <v/>
      </c>
      <c r="AI246" s="964" t="str">
        <f>CONCATENATE(AE246,AH246)</f>
        <v/>
      </c>
      <c r="AJ246" s="964"/>
      <c r="AK246" s="964"/>
      <c r="AL246"/>
      <c r="AM246"/>
      <c r="AN246"/>
      <c r="AO246"/>
      <c r="AP246"/>
      <c r="AQ246"/>
      <c r="AR246"/>
      <c r="AS246"/>
      <c r="AT246"/>
      <c r="AU246"/>
      <c r="AV246"/>
      <c r="AW246" s="9"/>
      <c r="AX246" s="9"/>
      <c r="AY246"/>
      <c r="AZ246"/>
      <c r="BA246"/>
      <c r="BB246"/>
      <c r="BC246"/>
      <c r="BD246"/>
      <c r="BE246"/>
      <c r="BF246"/>
      <c r="BG246"/>
      <c r="BH246"/>
      <c r="BI246"/>
      <c r="BJ246"/>
      <c r="BK246"/>
      <c r="BL246"/>
      <c r="BM246"/>
      <c r="BN246"/>
      <c r="BO246"/>
      <c r="BP246"/>
      <c r="BQ246"/>
      <c r="BR246"/>
      <c r="BS246"/>
      <c r="BT246"/>
      <c r="BU246"/>
      <c r="BV246"/>
      <c r="BW246"/>
      <c r="BX246"/>
      <c r="BY246"/>
      <c r="BZ246"/>
      <c r="CA246" s="1396"/>
      <c r="CB246" s="1396"/>
      <c r="CC246"/>
      <c r="CD246"/>
      <c r="CE246"/>
    </row>
    <row r="247" spans="1:83" ht="13.15" customHeight="1" outlineLevel="2" thickBot="1" x14ac:dyDescent="0.25">
      <c r="A247"/>
      <c r="B247" s="1"/>
      <c r="C247"/>
      <c r="D247"/>
      <c r="E247"/>
      <c r="F247"/>
      <c r="G247" s="1"/>
      <c r="H247" s="1"/>
      <c r="I247"/>
      <c r="J247"/>
      <c r="K247"/>
      <c r="L247"/>
      <c r="M247"/>
      <c r="N247"/>
      <c r="O247"/>
      <c r="P247"/>
      <c r="Q247"/>
      <c r="R247" s="558" t="s">
        <v>930</v>
      </c>
      <c r="S247" s="83"/>
      <c r="T247" s="56"/>
      <c r="U247" s="955"/>
      <c r="V247" s="43" t="str">
        <f>G197</f>
        <v>A5</v>
      </c>
      <c r="W247" s="148"/>
      <c r="X247" s="45" t="s">
        <v>769</v>
      </c>
      <c r="Y247" s="10"/>
      <c r="Z247" s="46" t="str">
        <f>G196</f>
        <v>A4</v>
      </c>
      <c r="AA247" s="123"/>
      <c r="AB247" s="1459">
        <f>IF(MaxScore,MaxGoals(W247,Y247,MaxGoalsValue),IF(W247="","",W247))</f>
        <v>0</v>
      </c>
      <c r="AC247" s="1460" t="str">
        <f>IF(MaxScore,"-",IF(W247="","","-"))</f>
        <v>-</v>
      </c>
      <c r="AD247" s="1459">
        <f>IF(MaxScore,MaxGoals(Y247,W247,MaxGoalsValue),IF(Y247="","",Y247))</f>
        <v>0</v>
      </c>
      <c r="AE247" s="964" t="str">
        <f>IF(W247="","",IF(W247&gt;Y247,V247,IF(W247=Y247,"",Z247)))</f>
        <v/>
      </c>
      <c r="AF247" s="964" t="str">
        <f>IF(W247="","",IF(W247=Y247,V247,""))</f>
        <v/>
      </c>
      <c r="AG247" s="964" t="str">
        <f>IF(W247="","",IF(W247=Y247,Z247,""))</f>
        <v/>
      </c>
      <c r="AH247" s="964" t="str">
        <f>IF(W247="","",IF(W247&lt;Y247,V247,IF(W247=Y247,"",Z247)))</f>
        <v/>
      </c>
      <c r="AI247" s="964" t="str">
        <f>CONCATENATE(AE247,AH247)</f>
        <v/>
      </c>
      <c r="AJ247" s="964"/>
      <c r="AK247" s="964"/>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s="1396"/>
      <c r="CB247" s="1396"/>
      <c r="CC247"/>
      <c r="CD247"/>
      <c r="CE247"/>
    </row>
    <row r="248" spans="1:83" ht="13.15" customHeight="1" outlineLevel="2" thickBot="1" x14ac:dyDescent="0.25">
      <c r="A248"/>
      <c r="B248" s="1"/>
      <c r="C248"/>
      <c r="D248"/>
      <c r="E248"/>
      <c r="F248"/>
      <c r="G248" s="1"/>
      <c r="H248" s="1"/>
      <c r="I248"/>
      <c r="J248"/>
      <c r="K248"/>
      <c r="L248"/>
      <c r="M248"/>
      <c r="N248"/>
      <c r="O248"/>
      <c r="P248"/>
      <c r="Q248"/>
      <c r="R248" s="558" t="s">
        <v>930</v>
      </c>
      <c r="S248" s="83"/>
      <c r="T248" s="56"/>
      <c r="U248" s="955"/>
      <c r="V248" s="43" t="str">
        <f>G199</f>
        <v>A7</v>
      </c>
      <c r="W248" s="148"/>
      <c r="X248" s="45" t="s">
        <v>769</v>
      </c>
      <c r="Y248" s="10"/>
      <c r="Z248" s="46" t="str">
        <f>G194</f>
        <v>A2</v>
      </c>
      <c r="AA248" s="123"/>
      <c r="AB248" s="1459">
        <f>IF(MaxScore,MaxGoals(W248,Y248,MaxGoalsValue),IF(W248="","",W248))</f>
        <v>0</v>
      </c>
      <c r="AC248" s="1460" t="str">
        <f>IF(MaxScore,"-",IF(W248="","","-"))</f>
        <v>-</v>
      </c>
      <c r="AD248" s="1459">
        <f>IF(MaxScore,MaxGoals(Y248,W248,MaxGoalsValue),IF(Y248="","",Y248))</f>
        <v>0</v>
      </c>
      <c r="AE248" s="964" t="str">
        <f>IF(W248="","",IF(W248&gt;Y248,V248,IF(W248=Y248,"",Z248)))</f>
        <v/>
      </c>
      <c r="AF248" s="964" t="str">
        <f>IF(W248="","",IF(W248=Y248,V248,""))</f>
        <v/>
      </c>
      <c r="AG248" s="964" t="str">
        <f>IF(W248="","",IF(W248=Y248,Z248,""))</f>
        <v/>
      </c>
      <c r="AH248" s="964" t="str">
        <f>IF(W248="","",IF(W248&lt;Y248,V248,IF(W248=Y248,"",Z248)))</f>
        <v/>
      </c>
      <c r="AI248" s="964" t="str">
        <f>CONCATENATE(AE248,AH248)</f>
        <v/>
      </c>
      <c r="AJ248" s="964"/>
      <c r="AK248" s="964"/>
      <c r="AL248"/>
      <c r="AM248"/>
      <c r="AN248"/>
      <c r="AO248"/>
      <c r="AP248"/>
      <c r="AQ248"/>
      <c r="AR248"/>
      <c r="AS248"/>
      <c r="AT248"/>
      <c r="AU248"/>
      <c r="AV248"/>
      <c r="AW248"/>
      <c r="AX248" s="9"/>
      <c r="AY248"/>
      <c r="AZ248"/>
      <c r="BA248"/>
      <c r="BB248"/>
      <c r="BC248"/>
      <c r="BD248"/>
      <c r="BE248"/>
      <c r="BF248"/>
      <c r="BG248"/>
      <c r="BH248"/>
      <c r="BI248"/>
      <c r="BJ248"/>
      <c r="BK248"/>
      <c r="BL248"/>
      <c r="BM248"/>
      <c r="BN248"/>
      <c r="BO248"/>
      <c r="BP248"/>
      <c r="BQ248"/>
      <c r="BR248"/>
      <c r="BS248"/>
      <c r="BT248"/>
      <c r="BU248"/>
      <c r="BV248"/>
      <c r="BW248"/>
      <c r="BX248"/>
      <c r="BY248"/>
      <c r="BZ248"/>
      <c r="CA248" s="1396"/>
      <c r="CB248" s="1396"/>
      <c r="CC248"/>
      <c r="CD248"/>
      <c r="CE248"/>
    </row>
    <row r="249" spans="1:83" ht="13.9" customHeight="1" outlineLevel="2" thickBot="1" x14ac:dyDescent="0.25">
      <c r="A249"/>
      <c r="B249" s="1"/>
      <c r="C249"/>
      <c r="D249"/>
      <c r="E249"/>
      <c r="F249"/>
      <c r="G249" s="1"/>
      <c r="H249" s="1"/>
      <c r="I249"/>
      <c r="J249"/>
      <c r="K249"/>
      <c r="L249"/>
      <c r="M249"/>
      <c r="N249"/>
      <c r="O249"/>
      <c r="P249"/>
      <c r="Q249"/>
      <c r="R249" s="558" t="s">
        <v>930</v>
      </c>
      <c r="S249" s="956"/>
      <c r="T249" s="58"/>
      <c r="U249" s="957"/>
      <c r="V249" s="43" t="str">
        <f>G200</f>
        <v>A8</v>
      </c>
      <c r="W249" s="148"/>
      <c r="X249" s="45" t="s">
        <v>769</v>
      </c>
      <c r="Y249" s="10"/>
      <c r="Z249" s="46" t="str">
        <f>G193</f>
        <v>A1</v>
      </c>
      <c r="AA249" s="123"/>
      <c r="AB249" s="1459">
        <f>IF(MaxScore,MaxGoals(W249,Y249,MaxGoalsValue),IF(W249="","",W249))</f>
        <v>0</v>
      </c>
      <c r="AC249" s="1460" t="str">
        <f>IF(MaxScore,"-",IF(W249="","","-"))</f>
        <v>-</v>
      </c>
      <c r="AD249" s="1459">
        <f>IF(MaxScore,MaxGoals(Y249,W249,MaxGoalsValue),IF(Y249="","",Y249))</f>
        <v>0</v>
      </c>
      <c r="AE249" s="964" t="str">
        <f>IF(W249="","",IF(W249&gt;Y249,V249,IF(W249=Y249,"",Z249)))</f>
        <v/>
      </c>
      <c r="AF249" s="964" t="str">
        <f>IF(W249="","",IF(W249=Y249,V249,""))</f>
        <v/>
      </c>
      <c r="AG249" s="964" t="str">
        <f>IF(W249="","",IF(W249=Y249,Z249,""))</f>
        <v/>
      </c>
      <c r="AH249" s="964" t="str">
        <f>IF(W249="","",IF(W249&lt;Y249,V249,IF(W249=Y249,"",Z249)))</f>
        <v/>
      </c>
      <c r="AI249" s="964" t="str">
        <f>CONCATENATE(AE249,AH249)</f>
        <v/>
      </c>
      <c r="AJ249" s="964"/>
      <c r="AK249" s="964"/>
      <c r="AL249"/>
      <c r="AM249"/>
      <c r="AN249"/>
      <c r="AO249"/>
      <c r="AP249"/>
      <c r="AQ249"/>
      <c r="AR249"/>
      <c r="AS249"/>
      <c r="AT249"/>
      <c r="AU249"/>
      <c r="AV249"/>
      <c r="AW249" s="9"/>
      <c r="AX249" s="9"/>
      <c r="AY249"/>
      <c r="AZ249"/>
      <c r="BA249"/>
      <c r="BB249"/>
      <c r="BC249"/>
      <c r="BD249"/>
      <c r="BE249"/>
      <c r="BF249"/>
      <c r="BG249"/>
      <c r="BH249"/>
      <c r="BI249"/>
      <c r="BJ249"/>
      <c r="BK249"/>
      <c r="BL249"/>
      <c r="BM249"/>
      <c r="BN249"/>
      <c r="BO249"/>
      <c r="BP249"/>
      <c r="BQ249"/>
      <c r="BR249"/>
      <c r="BS249"/>
      <c r="BT249"/>
      <c r="BU249"/>
      <c r="BV249"/>
      <c r="BW249"/>
      <c r="BX249"/>
      <c r="BY249"/>
      <c r="BZ249"/>
      <c r="CA249" s="1396"/>
      <c r="CB249" s="1396"/>
      <c r="CC249"/>
      <c r="CD249"/>
      <c r="CE249"/>
    </row>
    <row r="250" spans="1:83" ht="13.5" outlineLevel="1" thickBot="1" x14ac:dyDescent="0.25">
      <c r="A250"/>
      <c r="B250" s="1"/>
      <c r="C250" s="1"/>
      <c r="D250" s="76"/>
      <c r="E250" s="76"/>
      <c r="F250" s="76"/>
      <c r="G250" s="9"/>
      <c r="H250" s="9"/>
      <c r="I250" s="1"/>
      <c r="J250"/>
      <c r="K250"/>
      <c r="L250"/>
      <c r="M250"/>
      <c r="N250"/>
      <c r="O250"/>
      <c r="P250" s="89"/>
      <c r="Q250"/>
      <c r="R250" s="1"/>
      <c r="S250" s="993">
        <f>S244+1</f>
        <v>9</v>
      </c>
      <c r="T250" s="961"/>
      <c r="U250" s="961"/>
      <c r="V250" s="961"/>
      <c r="W250" s="960"/>
      <c r="X250" s="960"/>
      <c r="Y250" s="960"/>
      <c r="Z250" s="962"/>
      <c r="AA250" s="123"/>
      <c r="AB250" s="963"/>
      <c r="AC250" s="963"/>
      <c r="AD250" s="963"/>
      <c r="AE250" s="964"/>
      <c r="AF250" s="964"/>
      <c r="AG250" s="964"/>
      <c r="AH250" s="964"/>
      <c r="AI250" s="964"/>
      <c r="AJ250" s="964"/>
      <c r="AK250" s="964"/>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s="1396"/>
      <c r="CB250" s="1396"/>
      <c r="CC250"/>
      <c r="CD250"/>
      <c r="CE250"/>
    </row>
    <row r="251" spans="1:83" ht="13.9" customHeight="1" outlineLevel="2" thickBot="1" x14ac:dyDescent="0.25">
      <c r="A251"/>
      <c r="B251" s="1"/>
      <c r="C251"/>
      <c r="D251"/>
      <c r="E251"/>
      <c r="F251"/>
      <c r="G251" s="1"/>
      <c r="H251" s="1"/>
      <c r="I251"/>
      <c r="J251"/>
      <c r="K251"/>
      <c r="L251"/>
      <c r="M251"/>
      <c r="N251"/>
      <c r="O251"/>
      <c r="P251"/>
      <c r="Q251"/>
      <c r="S251" s="22" t="str">
        <f>N_Heure</f>
        <v>Heure</v>
      </c>
      <c r="T251" s="22" t="str">
        <f>N_Table</f>
        <v>Table</v>
      </c>
      <c r="U251" s="22" t="str">
        <f>N_Arbitre</f>
        <v>Arbitre</v>
      </c>
      <c r="V251" s="293" t="str">
        <f>N_Matches</f>
        <v>Matches</v>
      </c>
      <c r="W251" s="294"/>
      <c r="X251" s="294"/>
      <c r="Y251" s="294"/>
      <c r="Z251" s="295"/>
      <c r="AA251" s="8"/>
      <c r="AB251" s="967"/>
      <c r="AC251" s="967"/>
      <c r="AD251" s="967"/>
      <c r="AE251" s="964"/>
      <c r="AF251" s="964"/>
      <c r="AG251" s="964"/>
      <c r="AH251" s="964"/>
      <c r="AI251" s="964"/>
      <c r="AJ251" s="964"/>
      <c r="AK251" s="964"/>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s="1396"/>
      <c r="CB251" s="1396"/>
      <c r="CC251"/>
      <c r="CD251"/>
      <c r="CE251"/>
    </row>
    <row r="252" spans="1:83" ht="13.15" customHeight="1" outlineLevel="2" thickBot="1" x14ac:dyDescent="0.25">
      <c r="A252"/>
      <c r="B252" s="1"/>
      <c r="C252"/>
      <c r="D252"/>
      <c r="E252"/>
      <c r="F252"/>
      <c r="G252" s="1"/>
      <c r="H252" s="1"/>
      <c r="I252"/>
      <c r="J252"/>
      <c r="K252"/>
      <c r="L252"/>
      <c r="M252"/>
      <c r="N252"/>
      <c r="O252"/>
      <c r="P252"/>
      <c r="Q252"/>
      <c r="R252" s="558" t="s">
        <v>3971</v>
      </c>
      <c r="S252" s="83"/>
      <c r="T252" s="56"/>
      <c r="U252" s="955"/>
      <c r="V252" s="34" t="str">
        <f>G195</f>
        <v>A3</v>
      </c>
      <c r="W252" s="148"/>
      <c r="X252" s="35" t="s">
        <v>769</v>
      </c>
      <c r="Y252" s="148"/>
      <c r="Z252" s="36" t="str">
        <f>G200</f>
        <v>A8</v>
      </c>
      <c r="AA252" s="123"/>
      <c r="AB252" s="1459">
        <f>IF(MaxScore,MaxGoals(W252,Y252,MaxGoalsValue),IF(W252="","",W252))</f>
        <v>0</v>
      </c>
      <c r="AC252" s="1460" t="str">
        <f>IF(MaxScore,"-",IF(W252="","","-"))</f>
        <v>-</v>
      </c>
      <c r="AD252" s="1459">
        <f>IF(MaxScore,MaxGoals(Y252,W252,MaxGoalsValue),IF(Y252="","",Y252))</f>
        <v>0</v>
      </c>
      <c r="AE252" s="964" t="str">
        <f>IF(W252="","",IF(W252&gt;Y252,V252,IF(W252=Y252,"",Z252)))</f>
        <v/>
      </c>
      <c r="AF252" s="964" t="str">
        <f>IF(W252="","",IF(W252=Y252,V252,""))</f>
        <v/>
      </c>
      <c r="AG252" s="964" t="str">
        <f>IF(W252="","",IF(W252=Y252,Z252,""))</f>
        <v/>
      </c>
      <c r="AH252" s="964" t="str">
        <f>IF(W252="","",IF(W252&lt;Y252,V252,IF(W252=Y252,"",Z252)))</f>
        <v/>
      </c>
      <c r="AI252" s="964" t="str">
        <f>CONCATENATE(AE252,AH252)</f>
        <v/>
      </c>
      <c r="AJ252" s="964"/>
      <c r="AK252" s="964"/>
      <c r="AL252"/>
      <c r="AM252"/>
      <c r="AN252"/>
      <c r="AO252"/>
      <c r="AP252"/>
      <c r="AQ252"/>
      <c r="AR252"/>
      <c r="AS252"/>
      <c r="AT252"/>
      <c r="AU252"/>
      <c r="AV252"/>
      <c r="AW252"/>
      <c r="AX252" s="9"/>
      <c r="AY252"/>
      <c r="AZ252"/>
      <c r="BA252"/>
      <c r="BB252"/>
      <c r="BC252"/>
      <c r="BD252"/>
      <c r="BE252"/>
      <c r="BF252"/>
      <c r="BG252"/>
      <c r="BH252"/>
      <c r="BI252"/>
      <c r="BJ252"/>
      <c r="BK252"/>
      <c r="BL252"/>
      <c r="BM252"/>
      <c r="BN252"/>
      <c r="BO252"/>
      <c r="BP252"/>
      <c r="BQ252"/>
      <c r="BR252"/>
      <c r="BS252"/>
      <c r="BT252"/>
      <c r="BU252"/>
      <c r="BV252"/>
      <c r="BW252"/>
      <c r="BX252"/>
      <c r="BY252"/>
      <c r="BZ252"/>
      <c r="CA252" s="1396"/>
      <c r="CB252" s="1396"/>
      <c r="CC252"/>
      <c r="CD252"/>
      <c r="CE252"/>
    </row>
    <row r="253" spans="1:83" ht="13.15" customHeight="1" outlineLevel="2" thickBot="1" x14ac:dyDescent="0.25">
      <c r="A253"/>
      <c r="B253" s="1"/>
      <c r="C253"/>
      <c r="D253"/>
      <c r="E253"/>
      <c r="F253"/>
      <c r="G253" s="1"/>
      <c r="H253" s="1"/>
      <c r="I253"/>
      <c r="J253"/>
      <c r="K253"/>
      <c r="L253"/>
      <c r="M253"/>
      <c r="N253"/>
      <c r="O253"/>
      <c r="P253"/>
      <c r="Q253"/>
      <c r="R253" s="558" t="s">
        <v>3971</v>
      </c>
      <c r="S253" s="83"/>
      <c r="T253" s="56"/>
      <c r="U253" s="955"/>
      <c r="V253" s="43" t="str">
        <f>G196</f>
        <v>A4</v>
      </c>
      <c r="W253" s="148"/>
      <c r="X253" s="45" t="s">
        <v>769</v>
      </c>
      <c r="Y253" s="10"/>
      <c r="Z253" s="46" t="str">
        <f>G199</f>
        <v>A7</v>
      </c>
      <c r="AA253" s="123"/>
      <c r="AB253" s="1459">
        <f>IF(MaxScore,MaxGoals(W253,Y253,MaxGoalsValue),IF(W253="","",W253))</f>
        <v>0</v>
      </c>
      <c r="AC253" s="1460" t="str">
        <f>IF(MaxScore,"-",IF(W253="","","-"))</f>
        <v>-</v>
      </c>
      <c r="AD253" s="1459">
        <f>IF(MaxScore,MaxGoals(Y253,W253,MaxGoalsValue),IF(Y253="","",Y253))</f>
        <v>0</v>
      </c>
      <c r="AE253" s="964" t="str">
        <f>IF(W253="","",IF(W253&gt;Y253,V253,IF(W253=Y253,"",Z253)))</f>
        <v/>
      </c>
      <c r="AF253" s="964" t="str">
        <f>IF(W253="","",IF(W253=Y253,V253,""))</f>
        <v/>
      </c>
      <c r="AG253" s="964" t="str">
        <f>IF(W253="","",IF(W253=Y253,Z253,""))</f>
        <v/>
      </c>
      <c r="AH253" s="964" t="str">
        <f>IF(W253="","",IF(W253&lt;Y253,V253,IF(W253=Y253,"",Z253)))</f>
        <v/>
      </c>
      <c r="AI253" s="964" t="str">
        <f>CONCATENATE(AE253,AH253)</f>
        <v/>
      </c>
      <c r="AJ253" s="964"/>
      <c r="AK253" s="964"/>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s="1396"/>
      <c r="CB253" s="1396"/>
      <c r="CC253"/>
      <c r="CD253"/>
      <c r="CE253"/>
    </row>
    <row r="254" spans="1:83" ht="13.15" customHeight="1" outlineLevel="2" thickBot="1" x14ac:dyDescent="0.25">
      <c r="A254"/>
      <c r="B254" s="1"/>
      <c r="C254"/>
      <c r="D254"/>
      <c r="E254"/>
      <c r="F254"/>
      <c r="G254" s="1"/>
      <c r="H254" s="1"/>
      <c r="I254"/>
      <c r="J254"/>
      <c r="K254"/>
      <c r="L254"/>
      <c r="M254"/>
      <c r="N254"/>
      <c r="O254"/>
      <c r="P254"/>
      <c r="Q254"/>
      <c r="R254" s="558" t="s">
        <v>3971</v>
      </c>
      <c r="S254" s="83"/>
      <c r="T254" s="56"/>
      <c r="U254" s="955"/>
      <c r="V254" s="43" t="str">
        <f>G198</f>
        <v>A6</v>
      </c>
      <c r="W254" s="148"/>
      <c r="X254" s="45" t="s">
        <v>769</v>
      </c>
      <c r="Y254" s="10"/>
      <c r="Z254" s="46" t="str">
        <f>G197</f>
        <v>A5</v>
      </c>
      <c r="AA254" s="123"/>
      <c r="AB254" s="1459">
        <f>IF(MaxScore,MaxGoals(W254,Y254,MaxGoalsValue),IF(W254="","",W254))</f>
        <v>0</v>
      </c>
      <c r="AC254" s="1460" t="str">
        <f>IF(MaxScore,"-",IF(W254="","","-"))</f>
        <v>-</v>
      </c>
      <c r="AD254" s="1459">
        <f>IF(MaxScore,MaxGoals(Y254,W254,MaxGoalsValue),IF(Y254="","",Y254))</f>
        <v>0</v>
      </c>
      <c r="AE254" s="964" t="str">
        <f>IF(W254="","",IF(W254&gt;Y254,V254,IF(W254=Y254,"",Z254)))</f>
        <v/>
      </c>
      <c r="AF254" s="964" t="str">
        <f>IF(W254="","",IF(W254=Y254,V254,""))</f>
        <v/>
      </c>
      <c r="AG254" s="964" t="str">
        <f>IF(W254="","",IF(W254=Y254,Z254,""))</f>
        <v/>
      </c>
      <c r="AH254" s="964" t="str">
        <f>IF(W254="","",IF(W254&lt;Y254,V254,IF(W254=Y254,"",Z254)))</f>
        <v/>
      </c>
      <c r="AI254" s="964" t="str">
        <f>CONCATENATE(AE254,AH254)</f>
        <v/>
      </c>
      <c r="AJ254" s="964"/>
      <c r="AK254" s="96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s="1396"/>
      <c r="CB254" s="1396"/>
      <c r="CC254"/>
      <c r="CD254"/>
      <c r="CE254"/>
    </row>
    <row r="255" spans="1:83" ht="13.9" customHeight="1" outlineLevel="2" thickBot="1" x14ac:dyDescent="0.25">
      <c r="A255"/>
      <c r="B255" s="1"/>
      <c r="C255"/>
      <c r="D255"/>
      <c r="E255"/>
      <c r="F255"/>
      <c r="G255" s="1"/>
      <c r="H255" s="1"/>
      <c r="I255"/>
      <c r="J255"/>
      <c r="K255"/>
      <c r="L255"/>
      <c r="M255"/>
      <c r="N255"/>
      <c r="O255"/>
      <c r="P255"/>
      <c r="Q255"/>
      <c r="R255" s="558" t="s">
        <v>3971</v>
      </c>
      <c r="S255" s="956"/>
      <c r="T255" s="58"/>
      <c r="U255" s="957"/>
      <c r="V255" s="958" t="str">
        <f>G201</f>
        <v>A9</v>
      </c>
      <c r="W255" s="148"/>
      <c r="X255" s="45" t="s">
        <v>769</v>
      </c>
      <c r="Y255" s="10"/>
      <c r="Z255" s="46" t="str">
        <f>G194</f>
        <v>A2</v>
      </c>
      <c r="AA255" s="123"/>
      <c r="AB255" s="1459">
        <f>IF(MaxScore,MaxGoals(W255,Y255,MaxGoalsValue),IF(W255="","",W255))</f>
        <v>0</v>
      </c>
      <c r="AC255" s="1460" t="str">
        <f>IF(MaxScore,"-",IF(W255="","","-"))</f>
        <v>-</v>
      </c>
      <c r="AD255" s="1459">
        <f>IF(MaxScore,MaxGoals(Y255,W255,MaxGoalsValue),IF(Y255="","",Y255))</f>
        <v>0</v>
      </c>
      <c r="AE255" s="964" t="str">
        <f>IF(W255="","",IF(W255&gt;Y255,V255,IF(W255=Y255,"",Z255)))</f>
        <v/>
      </c>
      <c r="AF255" s="964" t="str">
        <f>IF(W255="","",IF(W255=Y255,V255,""))</f>
        <v/>
      </c>
      <c r="AG255" s="964" t="str">
        <f>IF(W255="","",IF(W255=Y255,Z255,""))</f>
        <v/>
      </c>
      <c r="AH255" s="964" t="str">
        <f>IF(W255="","",IF(W255&lt;Y255,V255,IF(W255=Y255,"",Z255)))</f>
        <v/>
      </c>
      <c r="AI255" s="964" t="str">
        <f>CONCATENATE(AE255,AH255)</f>
        <v/>
      </c>
      <c r="AJ255" s="964"/>
      <c r="AK255" s="964"/>
      <c r="AL255"/>
      <c r="AM255"/>
      <c r="AN255"/>
      <c r="AO255"/>
      <c r="AP255"/>
      <c r="AQ255"/>
      <c r="AR255"/>
      <c r="AS255"/>
      <c r="AT255"/>
      <c r="AU255"/>
      <c r="AV255"/>
      <c r="AW255" s="9"/>
      <c r="AX255" s="9"/>
      <c r="AY255"/>
      <c r="AZ255"/>
      <c r="BA255"/>
      <c r="BB255"/>
      <c r="BC255"/>
      <c r="BD255"/>
      <c r="BE255"/>
      <c r="BF255"/>
      <c r="BG255"/>
      <c r="BH255"/>
      <c r="BI255"/>
      <c r="BJ255"/>
      <c r="BK255"/>
      <c r="BL255"/>
      <c r="BM255"/>
      <c r="BN255"/>
      <c r="BO255"/>
      <c r="BP255"/>
      <c r="BQ255"/>
      <c r="BR255"/>
      <c r="BS255"/>
      <c r="BT255"/>
      <c r="BU255"/>
      <c r="BV255"/>
      <c r="BW255"/>
      <c r="BX255"/>
      <c r="BY255"/>
      <c r="BZ255"/>
      <c r="CA255" s="1396"/>
      <c r="CB255" s="1396"/>
      <c r="CC255"/>
      <c r="CD255"/>
      <c r="CE255"/>
    </row>
    <row r="256" spans="1:83" ht="13.5" thickBot="1" x14ac:dyDescent="0.25">
      <c r="A256"/>
      <c r="B256" s="1"/>
      <c r="C256"/>
      <c r="D256"/>
      <c r="E256"/>
      <c r="F256"/>
      <c r="G256" s="1"/>
      <c r="H256" s="1"/>
      <c r="I256"/>
      <c r="J256"/>
      <c r="K256"/>
      <c r="L256"/>
      <c r="M256"/>
      <c r="N256"/>
      <c r="O256"/>
      <c r="P256"/>
      <c r="Q256"/>
      <c r="S256"/>
      <c r="T256"/>
      <c r="U256"/>
      <c r="V256"/>
      <c r="W256" s="1"/>
      <c r="X256" s="1"/>
      <c r="Y256" s="1"/>
      <c r="Z256"/>
      <c r="AB256" s="964"/>
      <c r="AC256" s="964"/>
      <c r="AD256" s="969"/>
      <c r="AE256" s="969"/>
      <c r="AF256" s="964"/>
      <c r="AG256" s="970"/>
      <c r="AH256" s="964"/>
      <c r="AI256" s="969"/>
      <c r="AJ256" s="964"/>
      <c r="AK256" s="963"/>
      <c r="AL256" s="16"/>
      <c r="AM256" s="16"/>
      <c r="AN256" s="16"/>
      <c r="AO256" s="1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s="1396"/>
      <c r="CB256" s="1396"/>
      <c r="CC256"/>
      <c r="CD256"/>
      <c r="CE256"/>
    </row>
    <row r="257" spans="1:83" ht="13.5" thickBot="1" x14ac:dyDescent="0.25">
      <c r="A257"/>
      <c r="B257" s="282" t="str">
        <f>N_Group_10</f>
        <v>Poule de 10</v>
      </c>
      <c r="C257" s="283"/>
      <c r="D257" s="283"/>
      <c r="E257" s="283"/>
      <c r="F257" s="283"/>
      <c r="G257" s="283"/>
      <c r="H257" s="283"/>
      <c r="I257" s="283"/>
      <c r="J257" s="283"/>
      <c r="K257" s="283"/>
      <c r="L257" s="283"/>
      <c r="M257" s="283"/>
      <c r="N257" s="283"/>
      <c r="O257" s="283"/>
      <c r="P257" s="283"/>
      <c r="Q257" s="283"/>
      <c r="R257" s="357"/>
      <c r="S257" s="283"/>
      <c r="T257" s="283"/>
      <c r="U257" s="283"/>
      <c r="V257" s="283"/>
      <c r="W257" s="992"/>
      <c r="X257" s="992"/>
      <c r="Y257" s="992"/>
      <c r="Z257" s="283"/>
      <c r="AA257" s="283"/>
      <c r="AB257" s="965"/>
      <c r="AC257" s="965"/>
      <c r="AD257" s="965"/>
      <c r="AE257" s="966"/>
      <c r="AF257" s="966"/>
      <c r="AG257" s="966"/>
      <c r="AH257" s="966"/>
      <c r="AI257" s="966"/>
      <c r="AJ257" s="966"/>
      <c r="AK257" s="965"/>
      <c r="AL257" s="283"/>
      <c r="AM257" s="282" t="str">
        <f>B257</f>
        <v>Poule de 10</v>
      </c>
      <c r="AN257" s="283"/>
      <c r="AO257" s="283"/>
      <c r="AP257" s="283"/>
      <c r="AQ257" s="283"/>
      <c r="AR257" s="283"/>
      <c r="AS257" s="283"/>
      <c r="AT257" s="283"/>
      <c r="AU257" s="283"/>
      <c r="AV257" s="283"/>
      <c r="AW257" s="283"/>
      <c r="AX257" s="283"/>
      <c r="AY257" s="283"/>
      <c r="AZ257" s="283"/>
      <c r="BA257" s="283"/>
      <c r="BB257" s="283"/>
      <c r="BC257" s="283"/>
      <c r="BD257" s="283"/>
      <c r="BE257" s="283"/>
      <c r="BF257" s="283"/>
      <c r="BG257" s="283"/>
      <c r="BH257" s="283"/>
      <c r="BI257" s="283"/>
      <c r="BJ257" s="283"/>
      <c r="BK257" s="283"/>
      <c r="BL257" s="283"/>
      <c r="BM257" s="283"/>
      <c r="BN257" s="283"/>
      <c r="BO257" s="283"/>
      <c r="BP257" s="283"/>
      <c r="BQ257" s="283"/>
      <c r="BR257" s="283"/>
      <c r="BS257" s="283"/>
      <c r="BT257" s="283"/>
      <c r="BU257" s="283"/>
      <c r="BV257" s="283"/>
      <c r="BW257" s="283"/>
      <c r="BX257" s="283"/>
      <c r="BY257" s="283"/>
      <c r="BZ257"/>
      <c r="CA257" s="1396"/>
      <c r="CB257" s="1396"/>
      <c r="CC257" s="284"/>
      <c r="CD257"/>
      <c r="CE257"/>
    </row>
    <row r="258" spans="1:83" ht="13.5" outlineLevel="1" thickBot="1" x14ac:dyDescent="0.25">
      <c r="A258"/>
      <c r="B258" s="1"/>
      <c r="C258"/>
      <c r="D258"/>
      <c r="E258"/>
      <c r="F258"/>
      <c r="G258" s="1"/>
      <c r="H258" s="1"/>
      <c r="I258"/>
      <c r="J258"/>
      <c r="K258"/>
      <c r="L258"/>
      <c r="M258"/>
      <c r="N258"/>
      <c r="O258"/>
      <c r="P258"/>
      <c r="Q258"/>
      <c r="S258"/>
      <c r="T258"/>
      <c r="U258"/>
      <c r="V258"/>
      <c r="W258" s="1"/>
      <c r="X258" s="1"/>
      <c r="Y258" s="1"/>
      <c r="Z258"/>
      <c r="AB258" s="964"/>
      <c r="AC258" s="964"/>
      <c r="AD258" s="969"/>
      <c r="AE258" s="969"/>
      <c r="AF258" s="964"/>
      <c r="AG258" s="970"/>
      <c r="AH258" s="964"/>
      <c r="AI258" s="969"/>
      <c r="AJ258" s="964"/>
      <c r="AK258" s="963"/>
      <c r="AL258" s="16"/>
      <c r="AM258" s="16"/>
      <c r="AN258" s="16"/>
      <c r="AO258" s="16"/>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s="1396"/>
      <c r="CB258" s="1396"/>
      <c r="CC258"/>
      <c r="CD258"/>
      <c r="CE258"/>
    </row>
    <row r="259" spans="1:83" ht="13.5" outlineLevel="1" thickBot="1" x14ac:dyDescent="0.25">
      <c r="A259"/>
      <c r="B259" s="18" t="str">
        <f>N_Tirage</f>
        <v>Tirage</v>
      </c>
      <c r="C259" s="971" t="s">
        <v>787</v>
      </c>
      <c r="D259" s="972" t="s">
        <v>831</v>
      </c>
      <c r="E259" s="972" t="s">
        <v>832</v>
      </c>
      <c r="F259" s="973" t="s">
        <v>833</v>
      </c>
      <c r="G259" s="22" t="str">
        <f>N_Joueurs</f>
        <v>Joueurs</v>
      </c>
      <c r="H259" s="3" t="str">
        <f>N_RankPoints</f>
        <v>Pt. Clas.</v>
      </c>
      <c r="I259" s="22" t="str">
        <f>N_Diff_Part</f>
        <v>Diff-Part</v>
      </c>
      <c r="J259" s="983" t="s">
        <v>788</v>
      </c>
      <c r="K259" s="984" t="s">
        <v>789</v>
      </c>
      <c r="L259" s="972" t="s">
        <v>790</v>
      </c>
      <c r="M259" s="972" t="s">
        <v>791</v>
      </c>
      <c r="N259" s="972" t="s">
        <v>792</v>
      </c>
      <c r="O259" s="972" t="s">
        <v>793</v>
      </c>
      <c r="P259" s="972" t="s">
        <v>794</v>
      </c>
      <c r="Q259" s="973" t="s">
        <v>781</v>
      </c>
      <c r="R259"/>
      <c r="S259"/>
      <c r="T259"/>
      <c r="U259"/>
      <c r="V259"/>
      <c r="W259" s="1"/>
      <c r="X259" s="1"/>
      <c r="Y259" s="1"/>
      <c r="Z259"/>
      <c r="AB259" s="964"/>
      <c r="AC259" s="964"/>
      <c r="AD259" s="964"/>
      <c r="AE259" s="964" t="str">
        <f>N_G</f>
        <v>G</v>
      </c>
      <c r="AF259" s="964" t="str">
        <f>N_N</f>
        <v>N</v>
      </c>
      <c r="AG259" s="964" t="str">
        <f>N_N</f>
        <v>N</v>
      </c>
      <c r="AH259" s="964" t="str">
        <f>N_P</f>
        <v>P</v>
      </c>
      <c r="AI259" s="964" t="s">
        <v>1560</v>
      </c>
      <c r="AJ259" s="964" t="s">
        <v>3714</v>
      </c>
      <c r="AK259" s="964" t="str">
        <f>IF(COUNTA(W272:W332)=0,"","OK")</f>
        <v/>
      </c>
      <c r="AL259"/>
      <c r="AM259" s="16"/>
      <c r="AN259" s="24" t="str">
        <f>N_Cla.</f>
        <v>Cla.</v>
      </c>
      <c r="AO259" s="4" t="str">
        <f>N_Joueurs</f>
        <v>Joueurs</v>
      </c>
      <c r="AP259" s="25" t="str">
        <f>N_Pts</f>
        <v>Pts</v>
      </c>
      <c r="AQ259" s="25" t="str">
        <f>N_J</f>
        <v>J</v>
      </c>
      <c r="AR259" s="26" t="str">
        <f>N_G</f>
        <v>G</v>
      </c>
      <c r="AS259" s="26" t="str">
        <f>N_N</f>
        <v>N</v>
      </c>
      <c r="AT259" s="26" t="str">
        <f>N_P</f>
        <v>P</v>
      </c>
      <c r="AU259" s="26" t="str">
        <f>N_BP</f>
        <v>BP</v>
      </c>
      <c r="AV259" s="26" t="str">
        <f>N_BC</f>
        <v>BC</v>
      </c>
      <c r="AW259" s="5" t="str">
        <f>N_Diff.</f>
        <v>Diff.</v>
      </c>
      <c r="AX259"/>
      <c r="AY259"/>
      <c r="AZ259" s="1"/>
      <c r="BA259" s="1"/>
      <c r="BB259"/>
      <c r="BC259" s="6"/>
      <c r="BD259"/>
      <c r="BE259" s="1"/>
      <c r="BF259"/>
      <c r="BG259" s="16"/>
      <c r="BH259"/>
      <c r="BI259"/>
      <c r="BJ259"/>
      <c r="BK259"/>
      <c r="BL259"/>
      <c r="BM259"/>
      <c r="BN259"/>
      <c r="BO259"/>
      <c r="BP259"/>
      <c r="BQ259"/>
      <c r="BR259"/>
      <c r="BS259"/>
      <c r="BT259"/>
      <c r="BU259"/>
      <c r="BV259"/>
      <c r="BW259"/>
      <c r="BX259"/>
      <c r="BY259"/>
      <c r="BZ259"/>
      <c r="CA259" s="1396"/>
      <c r="CB259" s="1396"/>
      <c r="CC259"/>
      <c r="CD259"/>
      <c r="CE259"/>
    </row>
    <row r="260" spans="1:83" outlineLevel="1" x14ac:dyDescent="0.2">
      <c r="A260"/>
      <c r="B260" s="941">
        <v>1</v>
      </c>
      <c r="C260" s="974" t="str">
        <f>IF(AK259="","",RANK(F260,F260:F269)*1000+ROW())</f>
        <v/>
      </c>
      <c r="D260" s="975" t="str">
        <f>IF(L260="","",CritClassInd1_Points*J260+CritClassInd1_Matches*L260+CritClassInd1_Attaque*O260+CritClassInd1_DiffButs*Q260)</f>
        <v/>
      </c>
      <c r="E260" s="975" t="str">
        <f>IF(L260="","",Nb_Diff_Part(D260,D260:D269,G260,G260:G269,AI272:AI332)*CritClassInd_DiffPart+Nb_Goal_Part(D260,D260:D269,G260,G260:G269,V272:Z332)*CritClassInd_GoalPart+Nb_Score_Part(D260,D260:D269,G260,G260:G269,V272:Z332)*CritClassInd_ScorePart)</f>
        <v/>
      </c>
      <c r="F260" s="976" t="str">
        <f>IF(L260="","",D260+E260+CritClassInd2_Points*J260+CritClassInd2_Matches*L260+CritClassInd2_Attaque*O260+CritClassInd2_DiffButs*Q260+CritClassInd_Ranking*H260+I260)</f>
        <v/>
      </c>
      <c r="G260" s="942" t="s">
        <v>903</v>
      </c>
      <c r="H260" s="499">
        <f t="shared" ref="H260:H269" si="120">GMFTRANKINGPOINTS(G260,Particular_Category)</f>
        <v>0</v>
      </c>
      <c r="I260" s="942"/>
      <c r="J260" s="974" t="str">
        <f>IF(AK259="","",(L260*Points_Victoire)+M260*Points_Null)</f>
        <v/>
      </c>
      <c r="K260" s="985" t="str">
        <f t="shared" ref="K260:K269" si="121">IF(L260="","",SUM(L260:N260))</f>
        <v/>
      </c>
      <c r="L260" s="986" t="str">
        <f>IF(AK259="","",COUNTIF(AE272:AE332,G260))</f>
        <v/>
      </c>
      <c r="M260" s="986" t="str">
        <f>IF(AK259="","",COUNTIF(AF272:AG332,G260))</f>
        <v/>
      </c>
      <c r="N260" s="986" t="str">
        <f>IF(AK259="","",COUNTIF(AH272:AH332,G260))</f>
        <v/>
      </c>
      <c r="O260" s="986" t="str">
        <f>IF(AK259="","",SUMIF(V272:V332,G260,AB272:AB332)+SUMIF(Z272:Z332,G260,AD272:AD332))</f>
        <v/>
      </c>
      <c r="P260" s="986" t="str">
        <f>IF(AK259="","",SUMIF(V272:V332,G260,AD272:AD332)+SUMIF(Z272:Z332,G260,AB272:AB332))</f>
        <v/>
      </c>
      <c r="Q260" s="987" t="str">
        <f>IF(AK259="","",O260-P260)</f>
        <v/>
      </c>
      <c r="R260"/>
      <c r="S260"/>
      <c r="T260"/>
      <c r="U260"/>
      <c r="V260"/>
      <c r="W260" s="1"/>
      <c r="X260" s="1"/>
      <c r="Y260" s="1"/>
      <c r="Z260"/>
      <c r="AB260" s="964"/>
      <c r="AC260" s="964"/>
      <c r="AD260" s="964"/>
      <c r="AE260" s="964"/>
      <c r="AF260" s="964"/>
      <c r="AG260" s="964"/>
      <c r="AH260" s="964"/>
      <c r="AI260" s="964"/>
      <c r="AJ260" s="964"/>
      <c r="AK260" s="968" t="str">
        <f>IF(AK259="","",SMALL(C260:C269,1))</f>
        <v/>
      </c>
      <c r="AL260"/>
      <c r="AM260" s="16"/>
      <c r="AN260" s="943" t="str">
        <f>IF(AK259="","",INT(AK260/1000))</f>
        <v/>
      </c>
      <c r="AO260" s="33" t="str">
        <f>IF(AK259="","",VLOOKUP(AK260,C260:Q269,5,FALSE))</f>
        <v/>
      </c>
      <c r="AP260" s="33" t="str">
        <f>VLOOKUP(AK260,C260:Q269,8,FALSE)</f>
        <v/>
      </c>
      <c r="AQ260" s="33" t="str">
        <f>VLOOKUP(AK260,C260:Q269,9,FALSE)</f>
        <v/>
      </c>
      <c r="AR260" s="33" t="str">
        <f>VLOOKUP(AK260,C260:Q269,10,FALSE)</f>
        <v/>
      </c>
      <c r="AS260" s="33" t="str">
        <f>VLOOKUP(AK260,C260:Q269,11,FALSE)</f>
        <v/>
      </c>
      <c r="AT260" s="33" t="str">
        <f>VLOOKUP(AK260,C260:Q269,12,FALSE)</f>
        <v/>
      </c>
      <c r="AU260" s="33" t="str">
        <f>VLOOKUP(AK260,C260:Q269,13,FALSE)</f>
        <v/>
      </c>
      <c r="AV260" s="33" t="str">
        <f>VLOOKUP(AK260,C260:Q269,14,FALSE)</f>
        <v/>
      </c>
      <c r="AW260" s="944" t="str">
        <f>VLOOKUP(AK260,C260:Q269,15,FALSE)</f>
        <v/>
      </c>
      <c r="AX260"/>
      <c r="AY260"/>
      <c r="AZ260" s="1"/>
      <c r="BA260" s="1"/>
      <c r="BB260"/>
      <c r="BC260" s="6"/>
      <c r="BD260"/>
      <c r="BE260" s="1"/>
      <c r="BF260"/>
      <c r="BG260" s="16"/>
      <c r="BH260"/>
      <c r="BI260"/>
      <c r="BJ260"/>
      <c r="BK260"/>
      <c r="BL260"/>
      <c r="BM260"/>
      <c r="BN260"/>
      <c r="BO260"/>
      <c r="BP260"/>
      <c r="BQ260"/>
      <c r="BR260"/>
      <c r="BS260"/>
      <c r="BT260"/>
      <c r="BU260"/>
      <c r="BV260"/>
      <c r="BW260"/>
      <c r="BX260"/>
      <c r="BY260"/>
      <c r="BZ260"/>
      <c r="CA260" s="1396"/>
      <c r="CB260" s="1396"/>
      <c r="CC260"/>
      <c r="CD260"/>
      <c r="CE260"/>
    </row>
    <row r="261" spans="1:83" outlineLevel="1" x14ac:dyDescent="0.2">
      <c r="A261"/>
      <c r="B261" s="945">
        <v>2</v>
      </c>
      <c r="C261" s="977" t="str">
        <f>IF(AK259="","",RANK(F261,F260:F269)*1000+ROW())</f>
        <v/>
      </c>
      <c r="D261" s="978" t="str">
        <f t="shared" ref="D261:D269" si="122">IF(L261="","",CritClassInd1_Points*J261+CritClassInd1_Matches*L261+CritClassInd1_Attaque*O261+CritClassInd1_DiffButs*Q261)</f>
        <v/>
      </c>
      <c r="E261" s="978" t="str">
        <f>IF(L261="","",Nb_Diff_Part(D261,D260:D269,G261,G260:G269,AI272:AI332)*CritClassInd_DiffPart+Nb_Goal_Part(D261,D260:D269,G261,G260:G269,V272:Z332)*CritClassInd_GoalPart+Nb_Score_Part(D261,D260:D269,G261,G260:G269,V272:Z332)*CritClassInd_ScorePart)</f>
        <v/>
      </c>
      <c r="F261" s="979" t="str">
        <f t="shared" ref="F261:F269" si="123">IF(L261="","",D261+E261+CritClassInd2_Points*J261+CritClassInd2_Matches*L261+CritClassInd2_Attaque*O261+CritClassInd2_DiffButs*Q261+CritClassInd_Ranking*H261+I261)</f>
        <v/>
      </c>
      <c r="G261" s="39" t="s">
        <v>904</v>
      </c>
      <c r="H261" s="501">
        <f t="shared" si="120"/>
        <v>0</v>
      </c>
      <c r="I261" s="39"/>
      <c r="J261" s="977" t="str">
        <f>IF(AK259="","",(L261*Points_Victoire)+M261*Points_Null)</f>
        <v/>
      </c>
      <c r="K261" s="988" t="str">
        <f t="shared" si="121"/>
        <v/>
      </c>
      <c r="L261" s="988" t="str">
        <f>IF(AK259="","",COUNTIF(AE272:AE332,G261))</f>
        <v/>
      </c>
      <c r="M261" s="988" t="str">
        <f>IF(AK259="","",COUNTIF(AF272:AG332,G261))</f>
        <v/>
      </c>
      <c r="N261" s="988" t="str">
        <f>IF(AK259="","",COUNTIF(AH272:AH332,G261))</f>
        <v/>
      </c>
      <c r="O261" s="988" t="str">
        <f>IF(AK259="","",SUMIF(V272:V332,G261,AB272:AB332)+SUMIF(Z272:Z332,G261,AD272:AD332))</f>
        <v/>
      </c>
      <c r="P261" s="988" t="str">
        <f>IF(AK259="","",SUMIF(V272:V332,G261,AD272:AD332)+SUMIF(Z272:Z332,G261,AB272:AB332))</f>
        <v/>
      </c>
      <c r="Q261" s="989" t="str">
        <f>IF(AK259="","",O261-P261)</f>
        <v/>
      </c>
      <c r="R261"/>
      <c r="S261"/>
      <c r="T261"/>
      <c r="U261"/>
      <c r="V261"/>
      <c r="W261" s="1"/>
      <c r="X261" s="1"/>
      <c r="Y261" s="1"/>
      <c r="Z261"/>
      <c r="AB261" s="964"/>
      <c r="AC261" s="964"/>
      <c r="AD261" s="964"/>
      <c r="AE261" s="964"/>
      <c r="AF261" s="964"/>
      <c r="AG261" s="964"/>
      <c r="AH261" s="964"/>
      <c r="AI261" s="964"/>
      <c r="AJ261" s="964"/>
      <c r="AK261" s="968" t="str">
        <f>IF(AK259="","",SMALL(C260:C269,2))</f>
        <v/>
      </c>
      <c r="AL261"/>
      <c r="AM261" s="16"/>
      <c r="AN261" s="946" t="str">
        <f>IF(AK259="","",INT(AK261/1000))</f>
        <v/>
      </c>
      <c r="AO261" s="42" t="str">
        <f>IF(AK259="","",VLOOKUP(AK261,C260:Q269,5,FALSE))</f>
        <v/>
      </c>
      <c r="AP261" s="42" t="str">
        <f>VLOOKUP(AK261,C260:Q269,8,FALSE)</f>
        <v/>
      </c>
      <c r="AQ261" s="42" t="str">
        <f>VLOOKUP(AK261,C260:Q269,9,FALSE)</f>
        <v/>
      </c>
      <c r="AR261" s="42" t="str">
        <f>VLOOKUP(AK261,C260:Q269,10,FALSE)</f>
        <v/>
      </c>
      <c r="AS261" s="42" t="str">
        <f>VLOOKUP(AK261,C260:Q269,11,FALSE)</f>
        <v/>
      </c>
      <c r="AT261" s="42" t="str">
        <f>VLOOKUP(AK261,C260:Q269,12,FALSE)</f>
        <v/>
      </c>
      <c r="AU261" s="42" t="str">
        <f>VLOOKUP(AK261,C260:Q269,13,FALSE)</f>
        <v/>
      </c>
      <c r="AV261" s="42" t="str">
        <f>VLOOKUP(AK261,C260:Q269,14,FALSE)</f>
        <v/>
      </c>
      <c r="AW261" s="947" t="str">
        <f>VLOOKUP(AK261,C260:Q269,15,FALSE)</f>
        <v/>
      </c>
      <c r="AX261"/>
      <c r="AY261"/>
      <c r="AZ261" s="1"/>
      <c r="BA261" s="1"/>
      <c r="BB261"/>
      <c r="BC261" s="6"/>
      <c r="BD261"/>
      <c r="BE261" s="1"/>
      <c r="BF261"/>
      <c r="BG261" s="16"/>
      <c r="BH261"/>
      <c r="BI261"/>
      <c r="BJ261"/>
      <c r="BK261"/>
      <c r="BL261"/>
      <c r="BM261"/>
      <c r="BN261"/>
      <c r="BO261"/>
      <c r="BP261"/>
      <c r="BQ261"/>
      <c r="BR261"/>
      <c r="BS261"/>
      <c r="BT261"/>
      <c r="BU261"/>
      <c r="BV261"/>
      <c r="BW261"/>
      <c r="BX261"/>
      <c r="BY261"/>
      <c r="BZ261"/>
      <c r="CA261" s="1396"/>
      <c r="CB261" s="1396"/>
      <c r="CC261"/>
      <c r="CD261"/>
      <c r="CE261"/>
    </row>
    <row r="262" spans="1:83" outlineLevel="1" x14ac:dyDescent="0.2">
      <c r="A262"/>
      <c r="B262" s="945">
        <v>3</v>
      </c>
      <c r="C262" s="977" t="str">
        <f>IF(AK259="","",RANK(F262,F260:F269)*1000+ROW())</f>
        <v/>
      </c>
      <c r="D262" s="978" t="str">
        <f t="shared" si="122"/>
        <v/>
      </c>
      <c r="E262" s="978" t="str">
        <f>IF(L262="","",Nb_Diff_Part(D262,D260:D269,G262,G260:G269,AI272:AI332)*CritClassInd_DiffPart+Nb_Goal_Part(D262,D260:D269,G262,G260:G269,V272:Z332)*CritClassInd_GoalPart+Nb_Score_Part(D262,D260:D269,G262,G260:G269,V272:Z332)*CritClassInd_ScorePart)</f>
        <v/>
      </c>
      <c r="F262" s="979" t="str">
        <f t="shared" si="123"/>
        <v/>
      </c>
      <c r="G262" s="39" t="s">
        <v>905</v>
      </c>
      <c r="H262" s="501">
        <f t="shared" si="120"/>
        <v>0</v>
      </c>
      <c r="I262" s="39"/>
      <c r="J262" s="977" t="str">
        <f>IF(AK259="","",(L262*Points_Victoire)+M262*Points_Null)</f>
        <v/>
      </c>
      <c r="K262" s="988" t="str">
        <f t="shared" si="121"/>
        <v/>
      </c>
      <c r="L262" s="988" t="str">
        <f>IF(AK259="","",COUNTIF(AE272:AE332,G262))</f>
        <v/>
      </c>
      <c r="M262" s="988" t="str">
        <f>IF(AK259="","",COUNTIF(AF272:AG332,G262))</f>
        <v/>
      </c>
      <c r="N262" s="988" t="str">
        <f>IF(AK259="","",COUNTIF(AH272:AH332,G262))</f>
        <v/>
      </c>
      <c r="O262" s="988" t="str">
        <f>IF(AK259="","",SUMIF(V272:V332,G262,AB272:AB332)+SUMIF(Z272:Z332,G262,AD272:AD332))</f>
        <v/>
      </c>
      <c r="P262" s="988" t="str">
        <f>IF(AK259="","",SUMIF(V272:V332,G262,AD272:AD332)+SUMIF(Z272:Z332,G262,AB272:AB332))</f>
        <v/>
      </c>
      <c r="Q262" s="989" t="str">
        <f>IF(AK259="","",O262-P262)</f>
        <v/>
      </c>
      <c r="R262"/>
      <c r="S262"/>
      <c r="T262"/>
      <c r="U262"/>
      <c r="V262"/>
      <c r="W262" s="1"/>
      <c r="X262" s="1"/>
      <c r="Y262" s="1"/>
      <c r="Z262"/>
      <c r="AB262" s="964"/>
      <c r="AC262" s="964"/>
      <c r="AD262" s="964"/>
      <c r="AE262" s="964"/>
      <c r="AF262" s="964"/>
      <c r="AG262" s="964"/>
      <c r="AH262" s="964"/>
      <c r="AI262" s="964"/>
      <c r="AJ262" s="964"/>
      <c r="AK262" s="968" t="str">
        <f>IF(AK259="","",SMALL(C260:C269,3))</f>
        <v/>
      </c>
      <c r="AL262"/>
      <c r="AM262" s="16"/>
      <c r="AN262" s="946" t="str">
        <f>IF(AK259="","",INT(AK262/1000))</f>
        <v/>
      </c>
      <c r="AO262" s="42" t="str">
        <f>IF(AK259="","",VLOOKUP(AK262,C260:Q269,5,FALSE))</f>
        <v/>
      </c>
      <c r="AP262" s="42" t="str">
        <f>VLOOKUP(AK262,C260:Q269,8,FALSE)</f>
        <v/>
      </c>
      <c r="AQ262" s="42" t="str">
        <f>VLOOKUP(AK262,C260:Q269,9,FALSE)</f>
        <v/>
      </c>
      <c r="AR262" s="42" t="str">
        <f>VLOOKUP(AK262,C260:Q269,10,FALSE)</f>
        <v/>
      </c>
      <c r="AS262" s="42" t="str">
        <f>VLOOKUP(AK262,C260:Q269,11,FALSE)</f>
        <v/>
      </c>
      <c r="AT262" s="42" t="str">
        <f>VLOOKUP(AK262,C260:Q269,12,FALSE)</f>
        <v/>
      </c>
      <c r="AU262" s="42" t="str">
        <f>VLOOKUP(AK262,C260:Q269,13,FALSE)</f>
        <v/>
      </c>
      <c r="AV262" s="42" t="str">
        <f>VLOOKUP(AK262,C260:Q269,14,FALSE)</f>
        <v/>
      </c>
      <c r="AW262" s="947" t="str">
        <f>VLOOKUP(AK262,C260:Q269,15,FALSE)</f>
        <v/>
      </c>
      <c r="AX262"/>
      <c r="AY262"/>
      <c r="AZ262" s="1"/>
      <c r="BA262" s="1"/>
      <c r="BB262"/>
      <c r="BC262" s="6"/>
      <c r="BD262"/>
      <c r="BE262" s="1"/>
      <c r="BF262"/>
      <c r="BG262" s="16"/>
      <c r="BH262"/>
      <c r="BI262"/>
      <c r="BJ262"/>
      <c r="BK262"/>
      <c r="BL262"/>
      <c r="BM262"/>
      <c r="BN262"/>
      <c r="BO262"/>
      <c r="BP262"/>
      <c r="BQ262"/>
      <c r="BR262"/>
      <c r="BS262"/>
      <c r="BT262"/>
      <c r="BU262"/>
      <c r="BV262"/>
      <c r="BW262"/>
      <c r="BX262"/>
      <c r="BY262"/>
      <c r="BZ262"/>
      <c r="CA262" s="1396"/>
      <c r="CB262" s="1396"/>
      <c r="CC262"/>
      <c r="CD262"/>
      <c r="CE262"/>
    </row>
    <row r="263" spans="1:83" outlineLevel="1" x14ac:dyDescent="0.2">
      <c r="A263"/>
      <c r="B263" s="945">
        <v>4</v>
      </c>
      <c r="C263" s="977" t="str">
        <f>IF(AK259="","",RANK(F263,F260:F269)*1000+ROW())</f>
        <v/>
      </c>
      <c r="D263" s="978" t="str">
        <f t="shared" si="122"/>
        <v/>
      </c>
      <c r="E263" s="978" t="str">
        <f>IF(L263="","",Nb_Diff_Part(D263,D260:D269,G263,G260:G269,AI272:AI332)*CritClassInd_DiffPart+Nb_Goal_Part(D263,D260:D269,G263,G260:G269,V272:Z332)*CritClassInd_GoalPart+Nb_Score_Part(D263,D260:D269,G263,G260:G269,V272:Z332)*CritClassInd_ScorePart)</f>
        <v/>
      </c>
      <c r="F263" s="979" t="str">
        <f t="shared" si="123"/>
        <v/>
      </c>
      <c r="G263" s="39" t="s">
        <v>906</v>
      </c>
      <c r="H263" s="501">
        <f t="shared" si="120"/>
        <v>0</v>
      </c>
      <c r="I263" s="39"/>
      <c r="J263" s="977" t="str">
        <f>IF(AK259="","",(L263*Points_Victoire)+M263*Points_Null)</f>
        <v/>
      </c>
      <c r="K263" s="988" t="str">
        <f t="shared" si="121"/>
        <v/>
      </c>
      <c r="L263" s="988" t="str">
        <f>IF(AK259="","",COUNTIF(AE272:AE332,G263))</f>
        <v/>
      </c>
      <c r="M263" s="988" t="str">
        <f>IF(AK259="","",COUNTIF(AF272:AG332,G263))</f>
        <v/>
      </c>
      <c r="N263" s="988" t="str">
        <f>IF(AK259="","",COUNTIF(AH272:AH332,G263))</f>
        <v/>
      </c>
      <c r="O263" s="988" t="str">
        <f>IF(AK259="","",SUMIF(V272:V332,G263,AB272:AB332)+SUMIF(Z272:Z332,G263,AD272:AD332))</f>
        <v/>
      </c>
      <c r="P263" s="988" t="str">
        <f>IF(AK259="","",SUMIF(V272:V332,G263,AD272:AD332)+SUMIF(Z272:Z332,G263,AB272:AB332))</f>
        <v/>
      </c>
      <c r="Q263" s="989" t="str">
        <f>IF(AK259="","",O263-P263)</f>
        <v/>
      </c>
      <c r="R263"/>
      <c r="S263"/>
      <c r="T263"/>
      <c r="U263"/>
      <c r="V263"/>
      <c r="W263" s="1"/>
      <c r="X263" s="1"/>
      <c r="Y263" s="1"/>
      <c r="Z263"/>
      <c r="AB263" s="964"/>
      <c r="AC263" s="964"/>
      <c r="AD263" s="964"/>
      <c r="AE263" s="964"/>
      <c r="AF263" s="964"/>
      <c r="AG263" s="964"/>
      <c r="AH263" s="964"/>
      <c r="AI263" s="964"/>
      <c r="AJ263" s="964"/>
      <c r="AK263" s="968" t="str">
        <f>IF(AK259="","",SMALL(C260:C269,4))</f>
        <v/>
      </c>
      <c r="AL263"/>
      <c r="AM263" s="16"/>
      <c r="AN263" s="946" t="str">
        <f>IF(AK259="","",INT(AK263/1000))</f>
        <v/>
      </c>
      <c r="AO263" s="42" t="str">
        <f>IF(AK259="","",VLOOKUP(AK263,C260:Q269,5,FALSE))</f>
        <v/>
      </c>
      <c r="AP263" s="42" t="str">
        <f>VLOOKUP(AK263,C260:Q269,8,FALSE)</f>
        <v/>
      </c>
      <c r="AQ263" s="42" t="str">
        <f>VLOOKUP(AK263,C260:Q269,9,FALSE)</f>
        <v/>
      </c>
      <c r="AR263" s="42" t="str">
        <f>VLOOKUP(AK263,C260:Q269,10,FALSE)</f>
        <v/>
      </c>
      <c r="AS263" s="42" t="str">
        <f>VLOOKUP(AK263,C260:Q269,11,FALSE)</f>
        <v/>
      </c>
      <c r="AT263" s="42" t="str">
        <f>VLOOKUP(AK263,C260:Q269,12,FALSE)</f>
        <v/>
      </c>
      <c r="AU263" s="42" t="str">
        <f>VLOOKUP(AK263,C260:Q269,13,FALSE)</f>
        <v/>
      </c>
      <c r="AV263" s="42" t="str">
        <f>VLOOKUP(AK263,C260:Q269,14,FALSE)</f>
        <v/>
      </c>
      <c r="AW263" s="947" t="str">
        <f>VLOOKUP(AK263,C260:Q269,15,FALSE)</f>
        <v/>
      </c>
      <c r="AX263"/>
      <c r="AY263"/>
      <c r="AZ263" s="1"/>
      <c r="BA263" s="1"/>
      <c r="BB263"/>
      <c r="BC263" s="6"/>
      <c r="BD263"/>
      <c r="BE263" s="1"/>
      <c r="BF263"/>
      <c r="BG263" s="16"/>
      <c r="BH263"/>
      <c r="BI263"/>
      <c r="BJ263"/>
      <c r="BK263"/>
      <c r="BL263"/>
      <c r="BM263"/>
      <c r="BN263"/>
      <c r="BO263"/>
      <c r="BP263"/>
      <c r="BQ263"/>
      <c r="BR263"/>
      <c r="BS263"/>
      <c r="BT263"/>
      <c r="BU263"/>
      <c r="BV263"/>
      <c r="BW263"/>
      <c r="BX263"/>
      <c r="BY263"/>
      <c r="BZ263"/>
      <c r="CA263" s="1396"/>
      <c r="CB263" s="1396"/>
      <c r="CC263"/>
      <c r="CD263"/>
      <c r="CE263"/>
    </row>
    <row r="264" spans="1:83" outlineLevel="1" x14ac:dyDescent="0.2">
      <c r="A264"/>
      <c r="B264" s="945">
        <v>5</v>
      </c>
      <c r="C264" s="977" t="str">
        <f>IF(AK259="","",RANK(F264,F260:F269)*1000+ROW())</f>
        <v/>
      </c>
      <c r="D264" s="978" t="str">
        <f t="shared" si="122"/>
        <v/>
      </c>
      <c r="E264" s="978" t="str">
        <f>IF(L264="","",Nb_Diff_Part(D264,D260:D269,G264,G260:G269,AI272:AI332)*CritClassInd_DiffPart+Nb_Goal_Part(D264,D260:D269,G264,G260:G269,V272:Z332)*CritClassInd_GoalPart+Nb_Score_Part(D264,D260:D269,G264,G260:G269,V272:Z332)*CritClassInd_ScorePart)</f>
        <v/>
      </c>
      <c r="F264" s="979" t="str">
        <f t="shared" si="123"/>
        <v/>
      </c>
      <c r="G264" s="39" t="s">
        <v>907</v>
      </c>
      <c r="H264" s="501">
        <f t="shared" si="120"/>
        <v>0</v>
      </c>
      <c r="I264" s="39"/>
      <c r="J264" s="977" t="str">
        <f>IF(AK259="","",(L264*Points_Victoire)+M264*Points_Null)</f>
        <v/>
      </c>
      <c r="K264" s="988" t="str">
        <f t="shared" si="121"/>
        <v/>
      </c>
      <c r="L264" s="988" t="str">
        <f>IF(AK259="","",COUNTIF(AE272:AE332,G264))</f>
        <v/>
      </c>
      <c r="M264" s="988" t="str">
        <f>IF(AK259="","",COUNTIF(AF272:AG332,G264))</f>
        <v/>
      </c>
      <c r="N264" s="988" t="str">
        <f>IF(AK259="","",COUNTIF(AH272:AH332,G264))</f>
        <v/>
      </c>
      <c r="O264" s="988" t="str">
        <f>IF(AK259="","",SUMIF(V272:V332,G264,AB272:AB332)+SUMIF(Z272:Z332,G264,AD272:AD332))</f>
        <v/>
      </c>
      <c r="P264" s="988" t="str">
        <f>IF(AK259="","",SUMIF(V272:V332,G264,AD272:AD332)+SUMIF(Z272:Z332,G264,AB272:AB332))</f>
        <v/>
      </c>
      <c r="Q264" s="989" t="str">
        <f>IF(AK259="","",O264-P264)</f>
        <v/>
      </c>
      <c r="R264"/>
      <c r="S264"/>
      <c r="T264"/>
      <c r="U264"/>
      <c r="V264"/>
      <c r="W264" s="1"/>
      <c r="X264" s="1"/>
      <c r="Y264" s="1"/>
      <c r="Z264"/>
      <c r="AB264" s="964"/>
      <c r="AC264" s="964"/>
      <c r="AD264" s="964"/>
      <c r="AE264" s="964"/>
      <c r="AF264" s="964"/>
      <c r="AG264" s="964"/>
      <c r="AH264" s="964"/>
      <c r="AI264" s="964"/>
      <c r="AJ264" s="964"/>
      <c r="AK264" s="968" t="str">
        <f>IF(AK259="","",SMALL(C260:C269,5))</f>
        <v/>
      </c>
      <c r="AL264"/>
      <c r="AM264" s="16"/>
      <c r="AN264" s="946" t="str">
        <f>IF(AK259="","",INT(AK264/1000))</f>
        <v/>
      </c>
      <c r="AO264" s="42" t="str">
        <f>IF(AK259="","",VLOOKUP(AK264,C260:Q269,5,FALSE))</f>
        <v/>
      </c>
      <c r="AP264" s="42" t="str">
        <f>VLOOKUP(AK264,C260:Q269,8,FALSE)</f>
        <v/>
      </c>
      <c r="AQ264" s="42" t="str">
        <f>VLOOKUP(AK264,C260:Q269,9,FALSE)</f>
        <v/>
      </c>
      <c r="AR264" s="42" t="str">
        <f>VLOOKUP(AK264,C260:Q269,10,FALSE)</f>
        <v/>
      </c>
      <c r="AS264" s="42" t="str">
        <f>VLOOKUP(AK264,C260:Q269,11,FALSE)</f>
        <v/>
      </c>
      <c r="AT264" s="42" t="str">
        <f>VLOOKUP(AK264,C260:Q269,12,FALSE)</f>
        <v/>
      </c>
      <c r="AU264" s="42" t="str">
        <f>VLOOKUP(AK264,C260:Q269,13,FALSE)</f>
        <v/>
      </c>
      <c r="AV264" s="42" t="str">
        <f>VLOOKUP(AK264,C260:Q269,14,FALSE)</f>
        <v/>
      </c>
      <c r="AW264" s="947" t="str">
        <f>VLOOKUP(AK264,C260:Q269,15,FALSE)</f>
        <v/>
      </c>
      <c r="AX264"/>
      <c r="AY264"/>
      <c r="AZ264" s="1"/>
      <c r="BA264" s="1"/>
      <c r="BB264"/>
      <c r="BC264" s="6"/>
      <c r="BD264"/>
      <c r="BE264" s="1"/>
      <c r="BF264"/>
      <c r="BG264" s="16"/>
      <c r="BH264"/>
      <c r="BI264"/>
      <c r="BJ264"/>
      <c r="BK264"/>
      <c r="BL264"/>
      <c r="BM264"/>
      <c r="BN264"/>
      <c r="BO264"/>
      <c r="BP264"/>
      <c r="BQ264"/>
      <c r="BR264"/>
      <c r="BS264"/>
      <c r="BT264"/>
      <c r="BU264"/>
      <c r="BV264"/>
      <c r="BW264"/>
      <c r="BX264"/>
      <c r="BY264"/>
      <c r="BZ264"/>
      <c r="CA264" s="1396"/>
      <c r="CB264" s="1396"/>
      <c r="CC264"/>
      <c r="CD264"/>
      <c r="CE264"/>
    </row>
    <row r="265" spans="1:83" outlineLevel="1" x14ac:dyDescent="0.2">
      <c r="A265"/>
      <c r="B265" s="945">
        <v>6</v>
      </c>
      <c r="C265" s="977" t="str">
        <f>IF(AK259="","",RANK(F265,F260:F269)*1000+ROW())</f>
        <v/>
      </c>
      <c r="D265" s="978" t="str">
        <f t="shared" si="122"/>
        <v/>
      </c>
      <c r="E265" s="978" t="str">
        <f>IF(L265="","",Nb_Diff_Part(D265,D260:D269,G265,G260:G269,AI272:AI332)*CritClassInd_DiffPart+Nb_Goal_Part(D265,D260:D269,G265,G260:G269,V272:Z332)*CritClassInd_GoalPart+Nb_Score_Part(D265,D260:D269,G265,G260:G269,V272:Z332)*CritClassInd_ScorePart)</f>
        <v/>
      </c>
      <c r="F265" s="979" t="str">
        <f t="shared" si="123"/>
        <v/>
      </c>
      <c r="G265" s="39" t="s">
        <v>908</v>
      </c>
      <c r="H265" s="501">
        <f t="shared" si="120"/>
        <v>0</v>
      </c>
      <c r="I265" s="39"/>
      <c r="J265" s="977" t="str">
        <f>IF(AK259="","",(L265*Points_Victoire)+M265*Points_Null)</f>
        <v/>
      </c>
      <c r="K265" s="988" t="str">
        <f t="shared" si="121"/>
        <v/>
      </c>
      <c r="L265" s="988" t="str">
        <f>IF(AK259="","",COUNTIF(AE272:AE332,G265))</f>
        <v/>
      </c>
      <c r="M265" s="988" t="str">
        <f>IF(AK259="","",COUNTIF(AF272:AG332,G265))</f>
        <v/>
      </c>
      <c r="N265" s="988" t="str">
        <f>IF(AK259="","",COUNTIF(AH272:AH332,G265))</f>
        <v/>
      </c>
      <c r="O265" s="988" t="str">
        <f>IF(AK259="","",SUMIF(V272:V332,G265,AB272:AB332)+SUMIF(Z272:Z332,G265,AD272:AD332))</f>
        <v/>
      </c>
      <c r="P265" s="988" t="str">
        <f>IF(AK259="","",SUMIF(V272:V332,G265,AD272:AD332)+SUMIF(Z272:Z332,G265,AB272:AB332))</f>
        <v/>
      </c>
      <c r="Q265" s="989" t="str">
        <f>IF(AK259="","",O265-P265)</f>
        <v/>
      </c>
      <c r="R265"/>
      <c r="S265"/>
      <c r="T265"/>
      <c r="U265"/>
      <c r="V265"/>
      <c r="W265" s="1"/>
      <c r="X265" s="1"/>
      <c r="Y265" s="1"/>
      <c r="Z265"/>
      <c r="AB265" s="964"/>
      <c r="AC265" s="964"/>
      <c r="AD265" s="964"/>
      <c r="AE265" s="964"/>
      <c r="AF265" s="964"/>
      <c r="AG265" s="964"/>
      <c r="AH265" s="964"/>
      <c r="AI265" s="964"/>
      <c r="AJ265" s="964"/>
      <c r="AK265" s="968" t="str">
        <f>IF(AK259="","",SMALL(C260:C269,6))</f>
        <v/>
      </c>
      <c r="AL265"/>
      <c r="AM265" s="16"/>
      <c r="AN265" s="946" t="str">
        <f>IF(AK259="","",INT(AK265/1000))</f>
        <v/>
      </c>
      <c r="AO265" s="42" t="str">
        <f>IF(AK259="","",VLOOKUP(AK265,C260:Q269,5,FALSE))</f>
        <v/>
      </c>
      <c r="AP265" s="42" t="str">
        <f>VLOOKUP(AK265,C260:Q269,8,FALSE)</f>
        <v/>
      </c>
      <c r="AQ265" s="42" t="str">
        <f>VLOOKUP(AK265,C260:Q269,9,FALSE)</f>
        <v/>
      </c>
      <c r="AR265" s="42" t="str">
        <f>VLOOKUP(AK265,C260:Q269,10,FALSE)</f>
        <v/>
      </c>
      <c r="AS265" s="42" t="str">
        <f>VLOOKUP(AK265,C260:Q269,11,FALSE)</f>
        <v/>
      </c>
      <c r="AT265" s="42" t="str">
        <f>VLOOKUP(AK265,C260:Q269,12,FALSE)</f>
        <v/>
      </c>
      <c r="AU265" s="42" t="str">
        <f>VLOOKUP(AK265,C260:Q269,13,FALSE)</f>
        <v/>
      </c>
      <c r="AV265" s="42" t="str">
        <f>VLOOKUP(AK265,C260:Q269,14,FALSE)</f>
        <v/>
      </c>
      <c r="AW265" s="947" t="str">
        <f>VLOOKUP(AK265,C260:Q269,15,FALSE)</f>
        <v/>
      </c>
      <c r="AX265"/>
      <c r="AY265"/>
      <c r="AZ265" s="1"/>
      <c r="BA265" s="1"/>
      <c r="BB265"/>
      <c r="BC265" s="6"/>
      <c r="BD265"/>
      <c r="BE265" s="1"/>
      <c r="BF265"/>
      <c r="BG265" s="16"/>
      <c r="BH265"/>
      <c r="BI265"/>
      <c r="BJ265"/>
      <c r="BK265"/>
      <c r="BL265"/>
      <c r="BM265"/>
      <c r="BN265"/>
      <c r="BO265"/>
      <c r="BP265"/>
      <c r="BQ265"/>
      <c r="BR265"/>
      <c r="BS265"/>
      <c r="BT265"/>
      <c r="BU265"/>
      <c r="BV265"/>
      <c r="BW265"/>
      <c r="BX265"/>
      <c r="BY265"/>
      <c r="BZ265"/>
      <c r="CA265" s="1396"/>
      <c r="CB265" s="1396"/>
      <c r="CC265"/>
      <c r="CD265"/>
      <c r="CE265"/>
    </row>
    <row r="266" spans="1:83" outlineLevel="1" x14ac:dyDescent="0.2">
      <c r="A266"/>
      <c r="B266" s="945">
        <v>7</v>
      </c>
      <c r="C266" s="977" t="str">
        <f>IF(AK259="","",RANK(F266,F260:F269)*1000+ROW())</f>
        <v/>
      </c>
      <c r="D266" s="978" t="str">
        <f t="shared" si="122"/>
        <v/>
      </c>
      <c r="E266" s="978" t="str">
        <f>IF(L266="","",Nb_Diff_Part(D266,D260:D269,G266,G260:G269,AI272:AI332)*CritClassInd_DiffPart+Nb_Goal_Part(D266,D260:D269,G266,G260:G269,V272:Z332)*CritClassInd_GoalPart+Nb_Score_Part(D266,D260:D269,G266,G260:G269,V272:Z332)*CritClassInd_ScorePart)</f>
        <v/>
      </c>
      <c r="F266" s="979" t="str">
        <f t="shared" si="123"/>
        <v/>
      </c>
      <c r="G266" s="39" t="s">
        <v>909</v>
      </c>
      <c r="H266" s="501">
        <f t="shared" si="120"/>
        <v>0</v>
      </c>
      <c r="I266" s="39"/>
      <c r="J266" s="977" t="str">
        <f>IF(AK259="","",(L266*Points_Victoire)+M266*Points_Null)</f>
        <v/>
      </c>
      <c r="K266" s="988" t="str">
        <f t="shared" si="121"/>
        <v/>
      </c>
      <c r="L266" s="988" t="str">
        <f>IF(AK259="","",COUNTIF(AE272:AE332,G266))</f>
        <v/>
      </c>
      <c r="M266" s="988" t="str">
        <f>IF(AK259="","",COUNTIF(AF272:AG332,G266))</f>
        <v/>
      </c>
      <c r="N266" s="988" t="str">
        <f>IF(AK259="","",COUNTIF(AH272:AH332,G266))</f>
        <v/>
      </c>
      <c r="O266" s="988" t="str">
        <f>IF(AK259="","",SUMIF(V272:V332,G266,AB272:AB332)+SUMIF(Z272:Z332,G266,AD272:AD332))</f>
        <v/>
      </c>
      <c r="P266" s="988" t="str">
        <f>IF(AK259="","",SUMIF(V272:V332,G266,AD272:AD332)+SUMIF(Z272:Z332,G266,AB272:AB332))</f>
        <v/>
      </c>
      <c r="Q266" s="989" t="str">
        <f>IF(AK259="","",O266-P266)</f>
        <v/>
      </c>
      <c r="R266"/>
      <c r="S266"/>
      <c r="T266"/>
      <c r="U266"/>
      <c r="V266"/>
      <c r="W266" s="1"/>
      <c r="X266" s="1"/>
      <c r="Y266" s="1"/>
      <c r="Z266"/>
      <c r="AB266" s="964"/>
      <c r="AC266" s="964"/>
      <c r="AD266" s="964"/>
      <c r="AE266" s="964"/>
      <c r="AF266" s="964"/>
      <c r="AG266" s="964"/>
      <c r="AH266" s="964"/>
      <c r="AI266" s="964"/>
      <c r="AJ266" s="964"/>
      <c r="AK266" s="968" t="str">
        <f>IF(AK259="","",SMALL(C260:C269,7))</f>
        <v/>
      </c>
      <c r="AL266"/>
      <c r="AM266" s="16"/>
      <c r="AN266" s="946" t="str">
        <f>IF(AK259="","",INT(AK266/1000))</f>
        <v/>
      </c>
      <c r="AO266" s="42" t="str">
        <f>IF(AK259="","",VLOOKUP(AK266,C260:Q269,5,FALSE))</f>
        <v/>
      </c>
      <c r="AP266" s="42" t="str">
        <f>VLOOKUP(AK266,C260:Q269,8,FALSE)</f>
        <v/>
      </c>
      <c r="AQ266" s="42" t="str">
        <f>VLOOKUP(AK266,C260:Q269,9,FALSE)</f>
        <v/>
      </c>
      <c r="AR266" s="42" t="str">
        <f>VLOOKUP(AK266,C260:Q269,10,FALSE)</f>
        <v/>
      </c>
      <c r="AS266" s="42" t="str">
        <f>VLOOKUP(AK266,C260:Q269,11,FALSE)</f>
        <v/>
      </c>
      <c r="AT266" s="42" t="str">
        <f>VLOOKUP(AK266,C260:Q269,12,FALSE)</f>
        <v/>
      </c>
      <c r="AU266" s="42" t="str">
        <f>VLOOKUP(AK266,C260:Q269,13,FALSE)</f>
        <v/>
      </c>
      <c r="AV266" s="42" t="str">
        <f>VLOOKUP(AK266,C260:Q269,14,FALSE)</f>
        <v/>
      </c>
      <c r="AW266" s="947" t="str">
        <f>VLOOKUP(AK266,C260:Q269,15,FALSE)</f>
        <v/>
      </c>
      <c r="AX266"/>
      <c r="AY266"/>
      <c r="AZ266" s="1"/>
      <c r="BA266" s="1"/>
      <c r="BB266"/>
      <c r="BC266" s="6"/>
      <c r="BD266"/>
      <c r="BE266" s="1"/>
      <c r="BF266"/>
      <c r="BG266" s="16"/>
      <c r="BH266"/>
      <c r="BI266"/>
      <c r="BJ266"/>
      <c r="BK266"/>
      <c r="BL266"/>
      <c r="BM266"/>
      <c r="BN266"/>
      <c r="BO266"/>
      <c r="BP266"/>
      <c r="BQ266"/>
      <c r="BR266"/>
      <c r="BS266"/>
      <c r="BT266"/>
      <c r="BU266"/>
      <c r="BV266"/>
      <c r="BW266"/>
      <c r="BX266"/>
      <c r="BY266"/>
      <c r="BZ266"/>
      <c r="CA266" s="1396"/>
      <c r="CB266" s="1396"/>
      <c r="CC266"/>
      <c r="CD266"/>
      <c r="CE266"/>
    </row>
    <row r="267" spans="1:83" outlineLevel="1" x14ac:dyDescent="0.2">
      <c r="A267"/>
      <c r="B267" s="945">
        <v>8</v>
      </c>
      <c r="C267" s="977" t="str">
        <f>IF(AK259="","",RANK(F267,F260:F269)*1000+ROW())</f>
        <v/>
      </c>
      <c r="D267" s="978" t="str">
        <f t="shared" si="122"/>
        <v/>
      </c>
      <c r="E267" s="978" t="str">
        <f>IF(L267="","",Nb_Diff_Part(D267,D260:D269,G267,G260:G269,AI272:AI332)*CritClassInd_DiffPart+Nb_Goal_Part(D267,D260:D269,G267,G260:G269,V272:Z332)*CritClassInd_GoalPart+Nb_Score_Part(D267,D260:D269,G267,G260:G269,V272:Z332)*CritClassInd_ScorePart)</f>
        <v/>
      </c>
      <c r="F267" s="979" t="str">
        <f t="shared" si="123"/>
        <v/>
      </c>
      <c r="G267" s="39" t="s">
        <v>910</v>
      </c>
      <c r="H267" s="501">
        <f t="shared" si="120"/>
        <v>0</v>
      </c>
      <c r="I267" s="39"/>
      <c r="J267" s="977" t="str">
        <f>IF(AK259="","",(L267*Points_Victoire)+M267*Points_Null)</f>
        <v/>
      </c>
      <c r="K267" s="988" t="str">
        <f t="shared" si="121"/>
        <v/>
      </c>
      <c r="L267" s="988" t="str">
        <f>IF(AK259="","",COUNTIF(AE272:AE332,G267))</f>
        <v/>
      </c>
      <c r="M267" s="988" t="str">
        <f>IF(AK259="","",COUNTIF(AF272:AG332,G267))</f>
        <v/>
      </c>
      <c r="N267" s="988" t="str">
        <f>IF(AK259="","",COUNTIF(AH272:AH332,G267))</f>
        <v/>
      </c>
      <c r="O267" s="988" t="str">
        <f>IF(AK259="","",SUMIF(V272:V332,G267,AB272:AB332)+SUMIF(Z272:Z332,G267,AD272:AD332))</f>
        <v/>
      </c>
      <c r="P267" s="988" t="str">
        <f>IF(AK259="","",SUMIF(V272:V332,G267,AD272:AD332)+SUMIF(Z272:Z332,G267,AB272:AB332))</f>
        <v/>
      </c>
      <c r="Q267" s="989" t="str">
        <f>IF(AK259="","",O267-P267)</f>
        <v/>
      </c>
      <c r="R267"/>
      <c r="S267"/>
      <c r="T267"/>
      <c r="U267"/>
      <c r="V267"/>
      <c r="W267" s="1"/>
      <c r="X267" s="1"/>
      <c r="Y267" s="1"/>
      <c r="Z267"/>
      <c r="AB267" s="964"/>
      <c r="AC267" s="964"/>
      <c r="AD267" s="964"/>
      <c r="AE267" s="964"/>
      <c r="AF267" s="964"/>
      <c r="AG267" s="964"/>
      <c r="AH267" s="964"/>
      <c r="AI267" s="964"/>
      <c r="AJ267" s="964"/>
      <c r="AK267" s="968" t="str">
        <f>IF(AK259="","",SMALL(C260:C269,8))</f>
        <v/>
      </c>
      <c r="AL267"/>
      <c r="AM267" s="16"/>
      <c r="AN267" s="946" t="str">
        <f>IF(AK259="","",INT(AK267/1000))</f>
        <v/>
      </c>
      <c r="AO267" s="42" t="str">
        <f>IF(AK259="","",VLOOKUP(AK267,C260:Q269,5,FALSE))</f>
        <v/>
      </c>
      <c r="AP267" s="42" t="str">
        <f>VLOOKUP(AK267,C260:Q269,8,FALSE)</f>
        <v/>
      </c>
      <c r="AQ267" s="42" t="str">
        <f>VLOOKUP(AK267,C260:Q269,9,FALSE)</f>
        <v/>
      </c>
      <c r="AR267" s="42" t="str">
        <f>VLOOKUP(AK267,C260:Q269,10,FALSE)</f>
        <v/>
      </c>
      <c r="AS267" s="42" t="str">
        <f>VLOOKUP(AK267,C260:Q269,11,FALSE)</f>
        <v/>
      </c>
      <c r="AT267" s="42" t="str">
        <f>VLOOKUP(AK267,C260:Q269,12,FALSE)</f>
        <v/>
      </c>
      <c r="AU267" s="42" t="str">
        <f>VLOOKUP(AK267,C260:Q269,13,FALSE)</f>
        <v/>
      </c>
      <c r="AV267" s="42" t="str">
        <f>VLOOKUP(AK267,C260:Q269,14,FALSE)</f>
        <v/>
      </c>
      <c r="AW267" s="947" t="str">
        <f>VLOOKUP(AK267,C260:Q269,15,FALSE)</f>
        <v/>
      </c>
      <c r="AX267"/>
      <c r="AY267"/>
      <c r="AZ267" s="1"/>
      <c r="BA267" s="1"/>
      <c r="BB267"/>
      <c r="BC267" s="6"/>
      <c r="BD267"/>
      <c r="BE267" s="1"/>
      <c r="BF267"/>
      <c r="BG267" s="16"/>
      <c r="BH267"/>
      <c r="BI267"/>
      <c r="BJ267"/>
      <c r="BK267"/>
      <c r="BL267"/>
      <c r="BM267"/>
      <c r="BN267"/>
      <c r="BO267"/>
      <c r="BP267"/>
      <c r="BQ267"/>
      <c r="BR267"/>
      <c r="BS267"/>
      <c r="BT267"/>
      <c r="BU267"/>
      <c r="BV267"/>
      <c r="BW267"/>
      <c r="BX267"/>
      <c r="BY267"/>
      <c r="BZ267"/>
      <c r="CA267" s="1396"/>
      <c r="CB267" s="1396"/>
      <c r="CC267"/>
      <c r="CD267"/>
      <c r="CE267"/>
    </row>
    <row r="268" spans="1:83" outlineLevel="1" x14ac:dyDescent="0.2">
      <c r="A268"/>
      <c r="B268" s="945">
        <v>9</v>
      </c>
      <c r="C268" s="977" t="str">
        <f>IF(AK259="","",RANK(F268,F260:F269)*1000+ROW())</f>
        <v/>
      </c>
      <c r="D268" s="978" t="str">
        <f t="shared" si="122"/>
        <v/>
      </c>
      <c r="E268" s="978" t="str">
        <f>IF(L268="","",Nb_Diff_Part(D268,D260:D269,G268,G260:G269,AI272:AI332)*CritClassInd_DiffPart+Nb_Goal_Part(D268,D260:D269,G268,G260:G269,V272:Z332)*CritClassInd_GoalPart+Nb_Score_Part(D268,D260:D269,G268,G260:G269,V272:Z332)*CritClassInd_ScorePart)</f>
        <v/>
      </c>
      <c r="F268" s="979" t="str">
        <f t="shared" si="123"/>
        <v/>
      </c>
      <c r="G268" s="39" t="s">
        <v>15002</v>
      </c>
      <c r="H268" s="501">
        <f t="shared" si="120"/>
        <v>0</v>
      </c>
      <c r="I268" s="39"/>
      <c r="J268" s="977" t="str">
        <f>IF(AK259="","",(L268*Points_Victoire)+M268*Points_Null)</f>
        <v/>
      </c>
      <c r="K268" s="988" t="str">
        <f t="shared" si="121"/>
        <v/>
      </c>
      <c r="L268" s="988" t="str">
        <f>IF(AK259="","",COUNTIF(AE272:AE332,G268))</f>
        <v/>
      </c>
      <c r="M268" s="988" t="str">
        <f>IF(AK259="","",COUNTIF(AF272:AG332,G268))</f>
        <v/>
      </c>
      <c r="N268" s="988" t="str">
        <f>IF(AK259="","",COUNTIF(AH272:AH332,G268))</f>
        <v/>
      </c>
      <c r="O268" s="988" t="str">
        <f>IF(AK259="","",SUMIF(V272:V332,G268,AB272:AB332)+SUMIF(Z272:Z332,G268,AD272:AD332))</f>
        <v/>
      </c>
      <c r="P268" s="988" t="str">
        <f>IF(AK259="","",SUMIF(V272:V332,G268,AD272:AD332)+SUMIF(Z272:Z332,G268,AB272:AB332))</f>
        <v/>
      </c>
      <c r="Q268" s="989" t="str">
        <f>IF(AK259="","",O268-P268)</f>
        <v/>
      </c>
      <c r="R268"/>
      <c r="S268"/>
      <c r="T268"/>
      <c r="U268"/>
      <c r="V268"/>
      <c r="W268" s="1"/>
      <c r="X268" s="1"/>
      <c r="Y268" s="1"/>
      <c r="Z268"/>
      <c r="AB268" s="964"/>
      <c r="AC268" s="964"/>
      <c r="AD268" s="964"/>
      <c r="AE268" s="964"/>
      <c r="AF268" s="964"/>
      <c r="AG268" s="964"/>
      <c r="AH268" s="964"/>
      <c r="AI268" s="964"/>
      <c r="AJ268" s="964"/>
      <c r="AK268" s="968" t="str">
        <f>IF(AK259="","",SMALL(C260:C269,9))</f>
        <v/>
      </c>
      <c r="AL268"/>
      <c r="AM268" s="16"/>
      <c r="AN268" s="946" t="str">
        <f>IF(AK259="","",INT(AK268/1000))</f>
        <v/>
      </c>
      <c r="AO268" s="42" t="str">
        <f>IF(AK259="","",VLOOKUP(AK268,C260:Q269,5,FALSE))</f>
        <v/>
      </c>
      <c r="AP268" s="42" t="str">
        <f>VLOOKUP(AK268,C260:Q269,8,FALSE)</f>
        <v/>
      </c>
      <c r="AQ268" s="42" t="str">
        <f>VLOOKUP(AK268,C260:Q269,9,FALSE)</f>
        <v/>
      </c>
      <c r="AR268" s="42" t="str">
        <f>VLOOKUP(AK268,C260:Q269,10,FALSE)</f>
        <v/>
      </c>
      <c r="AS268" s="42" t="str">
        <f>VLOOKUP(AK268,C260:Q269,11,FALSE)</f>
        <v/>
      </c>
      <c r="AT268" s="42" t="str">
        <f>VLOOKUP(AK268,C260:Q269,12,FALSE)</f>
        <v/>
      </c>
      <c r="AU268" s="42" t="str">
        <f>VLOOKUP(AK268,C260:Q269,13,FALSE)</f>
        <v/>
      </c>
      <c r="AV268" s="42" t="str">
        <f>VLOOKUP(AK268,C260:Q269,14,FALSE)</f>
        <v/>
      </c>
      <c r="AW268" s="947" t="str">
        <f>VLOOKUP(AK268,C260:Q269,15,FALSE)</f>
        <v/>
      </c>
      <c r="AX268"/>
      <c r="AY268"/>
      <c r="AZ268" s="1"/>
      <c r="BA268" s="1"/>
      <c r="BB268"/>
      <c r="BC268" s="6"/>
      <c r="BD268"/>
      <c r="BE268" s="1"/>
      <c r="BF268"/>
      <c r="BG268" s="16"/>
      <c r="BH268"/>
      <c r="BI268"/>
      <c r="BJ268"/>
      <c r="BK268"/>
      <c r="BL268"/>
      <c r="BM268"/>
      <c r="BN268"/>
      <c r="BO268"/>
      <c r="BP268"/>
      <c r="BQ268"/>
      <c r="BR268"/>
      <c r="BS268"/>
      <c r="BT268"/>
      <c r="BU268"/>
      <c r="BV268"/>
      <c r="BW268"/>
      <c r="BX268"/>
      <c r="BY268"/>
      <c r="BZ268"/>
      <c r="CA268" s="1396"/>
      <c r="CB268" s="1396"/>
      <c r="CC268"/>
      <c r="CD268"/>
      <c r="CE268"/>
    </row>
    <row r="269" spans="1:83" ht="13.5" outlineLevel="1" thickBot="1" x14ac:dyDescent="0.25">
      <c r="A269"/>
      <c r="B269" s="945">
        <v>10</v>
      </c>
      <c r="C269" s="977" t="str">
        <f>IF(AK259="","",RANK(F269,F260:F269)*1000+ROW())</f>
        <v/>
      </c>
      <c r="D269" s="978" t="str">
        <f t="shared" si="122"/>
        <v/>
      </c>
      <c r="E269" s="978" t="str">
        <f>IF(L269="","",Nb_Diff_Part(D269,D260:D269,G269,G260:G269,AI272:AI332)*CritClassInd_DiffPart+Nb_Goal_Part(D269,D260:D269,G269,G260:G269,V272:Z332)*CritClassInd_GoalPart+Nb_Score_Part(D269,D260:D269,G269,G260:G269,V272:Z332)*CritClassInd_ScorePart)</f>
        <v/>
      </c>
      <c r="F269" s="979" t="str">
        <f t="shared" si="123"/>
        <v/>
      </c>
      <c r="G269" s="39" t="s">
        <v>15003</v>
      </c>
      <c r="H269" s="501">
        <f t="shared" si="120"/>
        <v>0</v>
      </c>
      <c r="I269" s="39"/>
      <c r="J269" s="977" t="str">
        <f>IF(AK259="","",(L269*Points_Victoire)+M269*Points_Null)</f>
        <v/>
      </c>
      <c r="K269" s="988" t="str">
        <f t="shared" si="121"/>
        <v/>
      </c>
      <c r="L269" s="988" t="str">
        <f>IF(AK259="","",COUNTIF(AE272:AE332,G269))</f>
        <v/>
      </c>
      <c r="M269" s="988" t="str">
        <f>IF(AK259="","",COUNTIF(AF272:AG332,G269))</f>
        <v/>
      </c>
      <c r="N269" s="988" t="str">
        <f>IF(AK259="","",COUNTIF(AH272:AH332,G269))</f>
        <v/>
      </c>
      <c r="O269" s="988" t="str">
        <f>IF(AK259="","",SUMIF(V272:V332,G269,AB272:AB332)+SUMIF(Z272:Z332,G269,AD272:AD332))</f>
        <v/>
      </c>
      <c r="P269" s="988" t="str">
        <f>IF(AK259="","",SUMIF(V272:V332,G269,AD272:AD332)+SUMIF(Z272:Z332,G269,AB272:AB332))</f>
        <v/>
      </c>
      <c r="Q269" s="989" t="str">
        <f>IF(AK259="","",O269-P269)</f>
        <v/>
      </c>
      <c r="R269"/>
      <c r="S269"/>
      <c r="T269"/>
      <c r="U269"/>
      <c r="V269"/>
      <c r="W269" s="1"/>
      <c r="X269" s="1"/>
      <c r="Y269" s="1"/>
      <c r="Z269"/>
      <c r="AB269" s="964"/>
      <c r="AC269" s="964"/>
      <c r="AD269" s="964"/>
      <c r="AE269" s="964"/>
      <c r="AF269" s="964"/>
      <c r="AG269" s="964"/>
      <c r="AH269" s="964"/>
      <c r="AI269" s="964"/>
      <c r="AJ269" s="964"/>
      <c r="AK269" s="968" t="str">
        <f>IF(AK259="","",SMALL(C260:C269,10))</f>
        <v/>
      </c>
      <c r="AL269"/>
      <c r="AM269" s="16"/>
      <c r="AN269" s="946" t="str">
        <f>IF(AK259="","",INT(AK269/1000))</f>
        <v/>
      </c>
      <c r="AO269" s="42" t="str">
        <f>IF(AK259="","",VLOOKUP(AK269,C260:Q269,5,FALSE))</f>
        <v/>
      </c>
      <c r="AP269" s="42" t="str">
        <f>VLOOKUP(AK269,C260:Q269,8,FALSE)</f>
        <v/>
      </c>
      <c r="AQ269" s="42" t="str">
        <f>VLOOKUP(AK269,C260:Q269,9,FALSE)</f>
        <v/>
      </c>
      <c r="AR269" s="42" t="str">
        <f>VLOOKUP(AK269,C260:Q269,10,FALSE)</f>
        <v/>
      </c>
      <c r="AS269" s="42" t="str">
        <f>VLOOKUP(AK269,C260:Q269,11,FALSE)</f>
        <v/>
      </c>
      <c r="AT269" s="42" t="str">
        <f>VLOOKUP(AK269,C260:Q269,12,FALSE)</f>
        <v/>
      </c>
      <c r="AU269" s="42" t="str">
        <f>VLOOKUP(AK269,C260:Q269,13,FALSE)</f>
        <v/>
      </c>
      <c r="AV269" s="42" t="str">
        <f>VLOOKUP(AK269,C260:Q269,14,FALSE)</f>
        <v/>
      </c>
      <c r="AW269" s="947" t="str">
        <f>VLOOKUP(AK269,C260:Q269,15,FALSE)</f>
        <v/>
      </c>
      <c r="AX269"/>
      <c r="AY269"/>
      <c r="AZ269" s="1"/>
      <c r="BA269" s="1"/>
      <c r="BB269"/>
      <c r="BC269" s="6"/>
      <c r="BD269"/>
      <c r="BE269" s="1"/>
      <c r="BF269"/>
      <c r="BG269" s="16"/>
      <c r="BH269"/>
      <c r="BI269"/>
      <c r="BJ269"/>
      <c r="BK269"/>
      <c r="BL269"/>
      <c r="BM269"/>
      <c r="BN269"/>
      <c r="BO269"/>
      <c r="BP269"/>
      <c r="BQ269"/>
      <c r="BR269"/>
      <c r="BS269"/>
      <c r="BT269"/>
      <c r="BU269"/>
      <c r="BV269"/>
      <c r="BW269"/>
      <c r="BX269"/>
      <c r="BY269"/>
      <c r="BZ269"/>
      <c r="CA269" s="1396"/>
      <c r="CB269" s="1396"/>
      <c r="CC269"/>
      <c r="CD269"/>
      <c r="CE269"/>
    </row>
    <row r="270" spans="1:83" ht="13.5" outlineLevel="1" thickBot="1" x14ac:dyDescent="0.25">
      <c r="A270"/>
      <c r="B270" s="1"/>
      <c r="C270" s="1"/>
      <c r="D270" s="76"/>
      <c r="E270" s="76"/>
      <c r="F270" s="76"/>
      <c r="G270" s="9"/>
      <c r="H270" s="9"/>
      <c r="I270" s="1"/>
      <c r="J270"/>
      <c r="K270"/>
      <c r="L270"/>
      <c r="M270"/>
      <c r="N270"/>
      <c r="O270"/>
      <c r="P270" s="89"/>
      <c r="Q270"/>
      <c r="R270" s="1"/>
      <c r="S270" s="993">
        <v>1</v>
      </c>
      <c r="T270" s="961"/>
      <c r="U270" s="961"/>
      <c r="V270" s="961"/>
      <c r="W270" s="960"/>
      <c r="X270" s="960"/>
      <c r="Y270" s="960"/>
      <c r="Z270" s="962"/>
      <c r="AA270" s="123"/>
      <c r="AB270" s="1461" t="str">
        <f>IF(MaxScore,N_MaxScore,"")</f>
        <v>Score Max</v>
      </c>
      <c r="AC270" s="1461"/>
      <c r="AD270" s="1461"/>
      <c r="AE270" s="964"/>
      <c r="AF270" s="964"/>
      <c r="AG270" s="964"/>
      <c r="AH270" s="964"/>
      <c r="AI270" s="964"/>
      <c r="AJ270" s="964"/>
      <c r="AK270" s="964"/>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s="1396"/>
      <c r="CB270" s="1396"/>
      <c r="CC270"/>
      <c r="CD270"/>
      <c r="CE270"/>
    </row>
    <row r="271" spans="1:83" ht="13.9" customHeight="1" outlineLevel="2" thickBot="1" x14ac:dyDescent="0.25">
      <c r="A271"/>
      <c r="B271" s="1"/>
      <c r="C271"/>
      <c r="D271"/>
      <c r="E271"/>
      <c r="F271"/>
      <c r="G271" s="1"/>
      <c r="H271" s="1"/>
      <c r="I271"/>
      <c r="J271"/>
      <c r="K271"/>
      <c r="L271"/>
      <c r="M271"/>
      <c r="N271"/>
      <c r="O271"/>
      <c r="P271"/>
      <c r="Q271"/>
      <c r="S271" s="18" t="str">
        <f>N_Heure</f>
        <v>Heure</v>
      </c>
      <c r="T271" s="22" t="str">
        <f>N_Table</f>
        <v>Table</v>
      </c>
      <c r="U271" s="952" t="str">
        <f>N_Arbitre</f>
        <v>Arbitre</v>
      </c>
      <c r="V271" s="293" t="str">
        <f>N_Matches</f>
        <v>Matches</v>
      </c>
      <c r="W271" s="294"/>
      <c r="X271" s="294"/>
      <c r="Y271" s="294"/>
      <c r="Z271" s="295"/>
      <c r="AA271" s="8"/>
      <c r="AB271" s="967"/>
      <c r="AC271" s="967"/>
      <c r="AD271" s="967"/>
      <c r="AE271" s="964"/>
      <c r="AF271" s="964"/>
      <c r="AG271" s="964"/>
      <c r="AH271" s="964"/>
      <c r="AI271" s="964"/>
      <c r="AJ271" s="964"/>
      <c r="AK271" s="964"/>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s="1396"/>
      <c r="CB271" s="1396"/>
      <c r="CC271"/>
      <c r="CD271"/>
      <c r="CE271"/>
    </row>
    <row r="272" spans="1:83" ht="13.15" customHeight="1" outlineLevel="2" x14ac:dyDescent="0.2">
      <c r="A272"/>
      <c r="B272" s="1"/>
      <c r="C272"/>
      <c r="D272"/>
      <c r="E272"/>
      <c r="F272"/>
      <c r="G272" s="1"/>
      <c r="H272" s="1"/>
      <c r="I272"/>
      <c r="J272"/>
      <c r="K272"/>
      <c r="L272"/>
      <c r="M272"/>
      <c r="N272"/>
      <c r="O272"/>
      <c r="P272"/>
      <c r="Q272"/>
      <c r="R272" s="558" t="s">
        <v>1726</v>
      </c>
      <c r="S272" s="65"/>
      <c r="T272" s="953"/>
      <c r="U272" s="954"/>
      <c r="V272" s="34" t="str">
        <f>IF(G260="","",G260)</f>
        <v>A1</v>
      </c>
      <c r="W272" s="148"/>
      <c r="X272" s="35" t="s">
        <v>769</v>
      </c>
      <c r="Y272" s="148"/>
      <c r="Z272" s="36" t="str">
        <f>G262</f>
        <v>A3</v>
      </c>
      <c r="AA272" s="123"/>
      <c r="AB272" s="1459">
        <f>IF(MaxScore,MaxGoals(W272,Y272,MaxGoalsValue),IF(W272="","",W272))</f>
        <v>0</v>
      </c>
      <c r="AC272" s="1460" t="str">
        <f>IF(MaxScore,"-",IF(W272="","","-"))</f>
        <v>-</v>
      </c>
      <c r="AD272" s="1459">
        <f>IF(MaxScore,MaxGoals(Y272,W272,MaxGoalsValue),IF(Y272="","",Y272))</f>
        <v>0</v>
      </c>
      <c r="AE272" s="964" t="str">
        <f>IF(W272="","",IF(W272&gt;Y272,V272,IF(W272=Y272,"",Z272)))</f>
        <v/>
      </c>
      <c r="AF272" s="964" t="str">
        <f>IF(W272="","",IF(W272=Y272,V272,""))</f>
        <v/>
      </c>
      <c r="AG272" s="964" t="str">
        <f>IF(W272="","",IF(W272=Y272,Z272,""))</f>
        <v/>
      </c>
      <c r="AH272" s="964" t="str">
        <f>IF(W272="","",IF(W272&lt;Y272,V272,IF(W272=Y272,"",Z272)))</f>
        <v/>
      </c>
      <c r="AI272" s="964" t="str">
        <f>CONCATENATE(AE272,AH272)</f>
        <v/>
      </c>
      <c r="AJ272" s="964"/>
      <c r="AK272" s="964"/>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s="1396"/>
      <c r="CB272" s="1396"/>
      <c r="CC272"/>
      <c r="CD272"/>
      <c r="CE272"/>
    </row>
    <row r="273" spans="1:83" ht="13.15" customHeight="1" outlineLevel="2" x14ac:dyDescent="0.2">
      <c r="A273"/>
      <c r="B273" s="1"/>
      <c r="C273"/>
      <c r="D273"/>
      <c r="E273"/>
      <c r="F273"/>
      <c r="G273" s="1"/>
      <c r="H273" s="1"/>
      <c r="I273"/>
      <c r="J273"/>
      <c r="K273"/>
      <c r="L273"/>
      <c r="M273"/>
      <c r="N273"/>
      <c r="O273"/>
      <c r="P273"/>
      <c r="Q273"/>
      <c r="R273" s="558" t="s">
        <v>1726</v>
      </c>
      <c r="S273" s="83"/>
      <c r="T273" s="56"/>
      <c r="U273" s="955"/>
      <c r="V273" s="43" t="str">
        <f>G261</f>
        <v>A2</v>
      </c>
      <c r="W273" s="10"/>
      <c r="X273" s="45" t="s">
        <v>769</v>
      </c>
      <c r="Y273" s="10"/>
      <c r="Z273" s="46" t="str">
        <f>G269</f>
        <v>A10</v>
      </c>
      <c r="AA273" s="123"/>
      <c r="AB273" s="1459">
        <f>IF(MaxScore,MaxGoals(W273,Y273,MaxGoalsValue),IF(W273="","",W273))</f>
        <v>0</v>
      </c>
      <c r="AC273" s="1460" t="str">
        <f>IF(MaxScore,"-",IF(W273="","","-"))</f>
        <v>-</v>
      </c>
      <c r="AD273" s="1459">
        <f>IF(MaxScore,MaxGoals(Y273,W273,MaxGoalsValue),IF(Y273="","",Y273))</f>
        <v>0</v>
      </c>
      <c r="AE273" s="964" t="str">
        <f>IF(W273="","",IF(W273&gt;Y273,V273,IF(W273=Y273,"",Z273)))</f>
        <v/>
      </c>
      <c r="AF273" s="964" t="str">
        <f>IF(W273="","",IF(W273=Y273,V273,""))</f>
        <v/>
      </c>
      <c r="AG273" s="964" t="str">
        <f>IF(W273="","",IF(W273=Y273,Z273,""))</f>
        <v/>
      </c>
      <c r="AH273" s="964" t="str">
        <f>IF(W273="","",IF(W273&lt;Y273,V273,IF(W273=Y273,"",Z273)))</f>
        <v/>
      </c>
      <c r="AI273" s="964" t="str">
        <f>CONCATENATE(AE273,AH273)</f>
        <v/>
      </c>
      <c r="AJ273" s="964"/>
      <c r="AK273" s="964"/>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s="1396"/>
      <c r="CB273" s="1396"/>
      <c r="CC273"/>
      <c r="CD273"/>
      <c r="CE273"/>
    </row>
    <row r="274" spans="1:83" ht="13.15" customHeight="1" outlineLevel="2" x14ac:dyDescent="0.2">
      <c r="A274"/>
      <c r="B274" s="1"/>
      <c r="C274"/>
      <c r="D274"/>
      <c r="E274"/>
      <c r="F274"/>
      <c r="G274" s="1"/>
      <c r="H274" s="1"/>
      <c r="I274"/>
      <c r="J274"/>
      <c r="K274"/>
      <c r="L274"/>
      <c r="M274"/>
      <c r="N274"/>
      <c r="O274"/>
      <c r="P274"/>
      <c r="Q274"/>
      <c r="R274" s="558" t="s">
        <v>1726</v>
      </c>
      <c r="S274" s="83"/>
      <c r="T274" s="56"/>
      <c r="U274" s="955"/>
      <c r="V274" s="43" t="str">
        <f>G263</f>
        <v>A4</v>
      </c>
      <c r="W274" s="10"/>
      <c r="X274" s="45" t="s">
        <v>769</v>
      </c>
      <c r="Y274" s="10"/>
      <c r="Z274" s="46" t="str">
        <f>G268</f>
        <v>A9</v>
      </c>
      <c r="AA274" s="123"/>
      <c r="AB274" s="1459">
        <f>IF(MaxScore,MaxGoals(W274,Y274,MaxGoalsValue),IF(W274="","",W274))</f>
        <v>0</v>
      </c>
      <c r="AC274" s="1460" t="str">
        <f>IF(MaxScore,"-",IF(W274="","","-"))</f>
        <v>-</v>
      </c>
      <c r="AD274" s="1459">
        <f>IF(MaxScore,MaxGoals(Y274,W274,MaxGoalsValue),IF(Y274="","",Y274))</f>
        <v>0</v>
      </c>
      <c r="AE274" s="964" t="str">
        <f>IF(W274="","",IF(W274&gt;Y274,V274,IF(W274=Y274,"",Z274)))</f>
        <v/>
      </c>
      <c r="AF274" s="964" t="str">
        <f>IF(W274="","",IF(W274=Y274,V274,""))</f>
        <v/>
      </c>
      <c r="AG274" s="964" t="str">
        <f>IF(W274="","",IF(W274=Y274,Z274,""))</f>
        <v/>
      </c>
      <c r="AH274" s="964" t="str">
        <f>IF(W274="","",IF(W274&lt;Y274,V274,IF(W274=Y274,"",Z274)))</f>
        <v/>
      </c>
      <c r="AI274" s="964" t="str">
        <f>CONCATENATE(AE274,AH274)</f>
        <v/>
      </c>
      <c r="AJ274" s="964"/>
      <c r="AK274" s="96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s="1396"/>
      <c r="CB274" s="1396"/>
      <c r="CC274"/>
      <c r="CD274"/>
      <c r="CE274"/>
    </row>
    <row r="275" spans="1:83" ht="13.15" customHeight="1" outlineLevel="2" x14ac:dyDescent="0.2">
      <c r="A275"/>
      <c r="B275" s="1"/>
      <c r="C275"/>
      <c r="D275"/>
      <c r="E275"/>
      <c r="F275"/>
      <c r="G275" s="1"/>
      <c r="H275" s="1"/>
      <c r="I275"/>
      <c r="J275"/>
      <c r="K275"/>
      <c r="L275"/>
      <c r="M275"/>
      <c r="N275"/>
      <c r="O275"/>
      <c r="P275"/>
      <c r="Q275"/>
      <c r="R275" s="558" t="s">
        <v>1726</v>
      </c>
      <c r="S275" s="83"/>
      <c r="T275" s="56"/>
      <c r="U275" s="955"/>
      <c r="V275" s="43" t="str">
        <f>G264</f>
        <v>A5</v>
      </c>
      <c r="W275" s="10"/>
      <c r="X275" s="45" t="s">
        <v>769</v>
      </c>
      <c r="Y275" s="10"/>
      <c r="Z275" s="46" t="str">
        <f>G267</f>
        <v>A8</v>
      </c>
      <c r="AA275" s="123"/>
      <c r="AB275" s="1459">
        <f>IF(MaxScore,MaxGoals(W275,Y275,MaxGoalsValue),IF(W275="","",W275))</f>
        <v>0</v>
      </c>
      <c r="AC275" s="1460" t="str">
        <f>IF(MaxScore,"-",IF(W275="","","-"))</f>
        <v>-</v>
      </c>
      <c r="AD275" s="1459">
        <f>IF(MaxScore,MaxGoals(Y275,W275,MaxGoalsValue),IF(Y275="","",Y275))</f>
        <v>0</v>
      </c>
      <c r="AE275" s="964" t="str">
        <f>IF(W275="","",IF(W275&gt;Y275,V275,IF(W275=Y275,"",Z275)))</f>
        <v/>
      </c>
      <c r="AF275" s="964" t="str">
        <f>IF(W275="","",IF(W275=Y275,V275,""))</f>
        <v/>
      </c>
      <c r="AG275" s="964" t="str">
        <f>IF(W275="","",IF(W275=Y275,Z275,""))</f>
        <v/>
      </c>
      <c r="AH275" s="964" t="str">
        <f>IF(W275="","",IF(W275&lt;Y275,V275,IF(W275=Y275,"",Z275)))</f>
        <v/>
      </c>
      <c r="AI275" s="964" t="str">
        <f>CONCATENATE(AE275,AH275)</f>
        <v/>
      </c>
      <c r="AJ275" s="964"/>
      <c r="AK275" s="964"/>
      <c r="AL275"/>
      <c r="AM275"/>
      <c r="AN275"/>
      <c r="AO275"/>
      <c r="AP275"/>
      <c r="AQ275"/>
      <c r="AR275"/>
      <c r="AS275"/>
      <c r="AT275"/>
      <c r="AU275"/>
      <c r="AV275"/>
      <c r="AW275"/>
      <c r="AX275" s="9"/>
      <c r="AY275"/>
      <c r="AZ275"/>
      <c r="BA275"/>
      <c r="BB275"/>
      <c r="BC275"/>
      <c r="BD275"/>
      <c r="BE275"/>
      <c r="BF275"/>
      <c r="BG275"/>
      <c r="BH275"/>
      <c r="BI275"/>
      <c r="BJ275"/>
      <c r="BK275"/>
      <c r="BL275"/>
      <c r="BM275"/>
      <c r="BN275"/>
      <c r="BO275"/>
      <c r="BP275"/>
      <c r="BQ275"/>
      <c r="BR275"/>
      <c r="BS275"/>
      <c r="BT275"/>
      <c r="BU275"/>
      <c r="BV275"/>
      <c r="BW275"/>
      <c r="BX275"/>
      <c r="BY275"/>
      <c r="BZ275"/>
      <c r="CA275" s="1396"/>
      <c r="CB275" s="1396"/>
      <c r="CC275"/>
      <c r="CD275"/>
      <c r="CE275"/>
    </row>
    <row r="276" spans="1:83" ht="13.15" customHeight="1" outlineLevel="2" thickBot="1" x14ac:dyDescent="0.25">
      <c r="A276"/>
      <c r="B276" s="1"/>
      <c r="C276"/>
      <c r="D276"/>
      <c r="E276"/>
      <c r="F276"/>
      <c r="G276" s="1"/>
      <c r="H276" s="1"/>
      <c r="I276"/>
      <c r="J276"/>
      <c r="K276"/>
      <c r="L276"/>
      <c r="M276"/>
      <c r="N276"/>
      <c r="O276"/>
      <c r="P276"/>
      <c r="Q276"/>
      <c r="R276" s="558" t="s">
        <v>1726</v>
      </c>
      <c r="S276" s="83"/>
      <c r="T276" s="56"/>
      <c r="U276" s="955"/>
      <c r="V276" s="43" t="str">
        <f>G265</f>
        <v>A6</v>
      </c>
      <c r="W276" s="10"/>
      <c r="X276" s="45" t="s">
        <v>769</v>
      </c>
      <c r="Y276" s="10"/>
      <c r="Z276" s="46" t="str">
        <f>G266</f>
        <v>A7</v>
      </c>
      <c r="AA276" s="123"/>
      <c r="AB276" s="1459">
        <f>IF(MaxScore,MaxGoals(W276,Y276,MaxGoalsValue),IF(W276="","",W276))</f>
        <v>0</v>
      </c>
      <c r="AC276" s="1460" t="str">
        <f>IF(MaxScore,"-",IF(W276="","","-"))</f>
        <v>-</v>
      </c>
      <c r="AD276" s="1459">
        <f>IF(MaxScore,MaxGoals(Y276,W276,MaxGoalsValue),IF(Y276="","",Y276))</f>
        <v>0</v>
      </c>
      <c r="AE276" s="964" t="str">
        <f>IF(W276="","",IF(W276&gt;Y276,V276,IF(W276=Y276,"",Z276)))</f>
        <v/>
      </c>
      <c r="AF276" s="964" t="str">
        <f>IF(W276="","",IF(W276=Y276,V276,""))</f>
        <v/>
      </c>
      <c r="AG276" s="964" t="str">
        <f>IF(W276="","",IF(W276=Y276,Z276,""))</f>
        <v/>
      </c>
      <c r="AH276" s="964" t="str">
        <f>IF(W276="","",IF(W276&lt;Y276,V276,IF(W276=Y276,"",Z276)))</f>
        <v/>
      </c>
      <c r="AI276" s="964" t="str">
        <f>CONCATENATE(AE276,AH276)</f>
        <v/>
      </c>
      <c r="AJ276" s="964"/>
      <c r="AK276" s="964"/>
      <c r="AL276"/>
      <c r="AM276"/>
      <c r="AN276"/>
      <c r="AO276"/>
      <c r="AP276"/>
      <c r="AQ276"/>
      <c r="AR276"/>
      <c r="AS276"/>
      <c r="AT276"/>
      <c r="AU276"/>
      <c r="AV276"/>
      <c r="AW276" s="9"/>
      <c r="AX276" s="9"/>
      <c r="AY276"/>
      <c r="AZ276"/>
      <c r="BA276"/>
      <c r="BB276"/>
      <c r="BC276"/>
      <c r="BD276"/>
      <c r="BE276"/>
      <c r="BF276"/>
      <c r="BG276"/>
      <c r="BH276"/>
      <c r="BI276"/>
      <c r="BJ276"/>
      <c r="BK276"/>
      <c r="BL276"/>
      <c r="BM276"/>
      <c r="BN276"/>
      <c r="BO276"/>
      <c r="BP276"/>
      <c r="BQ276"/>
      <c r="BR276"/>
      <c r="BS276"/>
      <c r="BT276"/>
      <c r="BU276"/>
      <c r="BV276"/>
      <c r="BW276"/>
      <c r="BX276"/>
      <c r="BY276"/>
      <c r="BZ276"/>
      <c r="CA276" s="1396"/>
      <c r="CB276" s="1396"/>
      <c r="CC276"/>
      <c r="CD276"/>
      <c r="CE276"/>
    </row>
    <row r="277" spans="1:83" ht="13.5" outlineLevel="1" thickBot="1" x14ac:dyDescent="0.25">
      <c r="A277"/>
      <c r="B277" s="1"/>
      <c r="C277" s="1"/>
      <c r="D277" s="76"/>
      <c r="E277" s="76"/>
      <c r="F277" s="76"/>
      <c r="G277" s="9"/>
      <c r="H277" s="9"/>
      <c r="I277" s="1"/>
      <c r="J277"/>
      <c r="K277"/>
      <c r="L277"/>
      <c r="M277"/>
      <c r="N277"/>
      <c r="O277"/>
      <c r="P277" s="89"/>
      <c r="Q277"/>
      <c r="R277" s="1"/>
      <c r="S277" s="993">
        <f>S270+1</f>
        <v>2</v>
      </c>
      <c r="T277" s="961"/>
      <c r="U277" s="961"/>
      <c r="V277" s="961"/>
      <c r="W277" s="960"/>
      <c r="X277" s="960"/>
      <c r="Y277" s="960"/>
      <c r="Z277" s="962"/>
      <c r="AA277" s="123"/>
      <c r="AB277" s="963"/>
      <c r="AC277" s="963"/>
      <c r="AD277" s="963"/>
      <c r="AE277" s="964"/>
      <c r="AF277" s="964"/>
      <c r="AG277" s="964"/>
      <c r="AH277" s="964"/>
      <c r="AI277" s="964"/>
      <c r="AJ277" s="964"/>
      <c r="AK277" s="964"/>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s="1396"/>
      <c r="CB277" s="1396"/>
      <c r="CC277"/>
      <c r="CD277"/>
      <c r="CE277"/>
    </row>
    <row r="278" spans="1:83" ht="13.9" customHeight="1" outlineLevel="2" thickBot="1" x14ac:dyDescent="0.25">
      <c r="A278"/>
      <c r="B278" s="1"/>
      <c r="C278"/>
      <c r="D278"/>
      <c r="E278"/>
      <c r="F278"/>
      <c r="G278" s="1"/>
      <c r="H278" s="1"/>
      <c r="I278"/>
      <c r="J278"/>
      <c r="K278"/>
      <c r="L278"/>
      <c r="M278"/>
      <c r="N278"/>
      <c r="O278"/>
      <c r="P278"/>
      <c r="Q278"/>
      <c r="S278" s="22" t="str">
        <f>N_Heure</f>
        <v>Heure</v>
      </c>
      <c r="T278" s="22" t="str">
        <f>N_Table</f>
        <v>Table</v>
      </c>
      <c r="U278" s="22" t="str">
        <f>N_Arbitre</f>
        <v>Arbitre</v>
      </c>
      <c r="V278" s="293" t="str">
        <f>N_Matches</f>
        <v>Matches</v>
      </c>
      <c r="W278" s="294"/>
      <c r="X278" s="294"/>
      <c r="Y278" s="294"/>
      <c r="Z278" s="295"/>
      <c r="AA278" s="8"/>
      <c r="AB278" s="967"/>
      <c r="AC278" s="967"/>
      <c r="AD278" s="967"/>
      <c r="AE278" s="964"/>
      <c r="AF278" s="964"/>
      <c r="AG278" s="964"/>
      <c r="AH278" s="964"/>
      <c r="AI278" s="964"/>
      <c r="AJ278" s="964"/>
      <c r="AK278" s="964"/>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s="1396"/>
      <c r="CB278" s="1396"/>
      <c r="CC278"/>
      <c r="CD278"/>
      <c r="CE278"/>
    </row>
    <row r="279" spans="1:83" ht="13.15" customHeight="1" outlineLevel="2" x14ac:dyDescent="0.2">
      <c r="A279"/>
      <c r="B279" s="1"/>
      <c r="C279"/>
      <c r="D279"/>
      <c r="E279"/>
      <c r="F279"/>
      <c r="G279" s="1"/>
      <c r="H279" s="1"/>
      <c r="I279"/>
      <c r="J279"/>
      <c r="K279"/>
      <c r="L279"/>
      <c r="M279"/>
      <c r="N279"/>
      <c r="O279"/>
      <c r="P279"/>
      <c r="Q279"/>
      <c r="R279" s="558" t="s">
        <v>1727</v>
      </c>
      <c r="S279" s="65"/>
      <c r="T279" s="953"/>
      <c r="U279" s="954"/>
      <c r="V279" s="34" t="str">
        <f>G261</f>
        <v>A2</v>
      </c>
      <c r="W279" s="148"/>
      <c r="X279" s="35" t="s">
        <v>769</v>
      </c>
      <c r="Y279" s="148"/>
      <c r="Z279" s="36" t="str">
        <f>G263</f>
        <v>A4</v>
      </c>
      <c r="AA279" s="123"/>
      <c r="AB279" s="1459">
        <f>IF(MaxScore,MaxGoals(W279,Y279,MaxGoalsValue),IF(W279="","",W279))</f>
        <v>0</v>
      </c>
      <c r="AC279" s="1460" t="str">
        <f>IF(MaxScore,"-",IF(W279="","","-"))</f>
        <v>-</v>
      </c>
      <c r="AD279" s="1459">
        <f>IF(MaxScore,MaxGoals(Y279,W279,MaxGoalsValue),IF(Y279="","",Y279))</f>
        <v>0</v>
      </c>
      <c r="AE279" s="964" t="str">
        <f>IF(W279="","",IF(W279&gt;Y279,V279,IF(W279=Y279,"",Z279)))</f>
        <v/>
      </c>
      <c r="AF279" s="964" t="str">
        <f>IF(W279="","",IF(W279=Y279,V279,""))</f>
        <v/>
      </c>
      <c r="AG279" s="964" t="str">
        <f>IF(W279="","",IF(W279=Y279,Z279,""))</f>
        <v/>
      </c>
      <c r="AH279" s="964" t="str">
        <f>IF(W279="","",IF(W279&lt;Y279,V279,IF(W279=Y279,"",Z279)))</f>
        <v/>
      </c>
      <c r="AI279" s="964" t="str">
        <f>CONCATENATE(AE279,AH279)</f>
        <v/>
      </c>
      <c r="AJ279" s="964"/>
      <c r="AK279" s="964"/>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s="1396"/>
      <c r="CB279" s="1396"/>
      <c r="CC279"/>
      <c r="CD279"/>
      <c r="CE279"/>
    </row>
    <row r="280" spans="1:83" ht="13.15" customHeight="1" outlineLevel="2" x14ac:dyDescent="0.2">
      <c r="A280"/>
      <c r="B280" s="1"/>
      <c r="C280"/>
      <c r="D280"/>
      <c r="E280"/>
      <c r="F280"/>
      <c r="G280" s="1"/>
      <c r="H280" s="1"/>
      <c r="I280"/>
      <c r="J280"/>
      <c r="K280"/>
      <c r="L280"/>
      <c r="M280"/>
      <c r="N280"/>
      <c r="O280"/>
      <c r="P280"/>
      <c r="Q280"/>
      <c r="R280" s="558" t="s">
        <v>1727</v>
      </c>
      <c r="S280" s="83"/>
      <c r="T280" s="56"/>
      <c r="U280" s="955"/>
      <c r="V280" s="43" t="str">
        <f>G262</f>
        <v>A3</v>
      </c>
      <c r="W280" s="10"/>
      <c r="X280" s="45" t="s">
        <v>769</v>
      </c>
      <c r="Y280" s="10"/>
      <c r="Z280" s="46" t="str">
        <f>G269</f>
        <v>A10</v>
      </c>
      <c r="AA280" s="123"/>
      <c r="AB280" s="1459">
        <f>IF(MaxScore,MaxGoals(W280,Y280,MaxGoalsValue),IF(W280="","",W280))</f>
        <v>0</v>
      </c>
      <c r="AC280" s="1460" t="str">
        <f>IF(MaxScore,"-",IF(W280="","","-"))</f>
        <v>-</v>
      </c>
      <c r="AD280" s="1459">
        <f>IF(MaxScore,MaxGoals(Y280,W280,MaxGoalsValue),IF(Y280="","",Y280))</f>
        <v>0</v>
      </c>
      <c r="AE280" s="964" t="str">
        <f>IF(W280="","",IF(W280&gt;Y280,V280,IF(W280=Y280,"",Z280)))</f>
        <v/>
      </c>
      <c r="AF280" s="964" t="str">
        <f>IF(W280="","",IF(W280=Y280,V280,""))</f>
        <v/>
      </c>
      <c r="AG280" s="964" t="str">
        <f>IF(W280="","",IF(W280=Y280,Z280,""))</f>
        <v/>
      </c>
      <c r="AH280" s="964" t="str">
        <f>IF(W280="","",IF(W280&lt;Y280,V280,IF(W280=Y280,"",Z280)))</f>
        <v/>
      </c>
      <c r="AI280" s="964" t="str">
        <f>CONCATENATE(AE280,AH280)</f>
        <v/>
      </c>
      <c r="AJ280" s="964"/>
      <c r="AK280" s="964"/>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s="1396"/>
      <c r="CB280" s="1396"/>
      <c r="CC280"/>
      <c r="CD280"/>
      <c r="CE280"/>
    </row>
    <row r="281" spans="1:83" ht="13.15" customHeight="1" outlineLevel="2" x14ac:dyDescent="0.2">
      <c r="A281"/>
      <c r="B281" s="1"/>
      <c r="C281"/>
      <c r="D281"/>
      <c r="E281"/>
      <c r="F281"/>
      <c r="G281" s="1"/>
      <c r="H281" s="1"/>
      <c r="I281"/>
      <c r="J281"/>
      <c r="K281"/>
      <c r="L281"/>
      <c r="M281"/>
      <c r="N281"/>
      <c r="O281"/>
      <c r="P281"/>
      <c r="Q281"/>
      <c r="R281" s="558" t="s">
        <v>1727</v>
      </c>
      <c r="S281" s="83"/>
      <c r="T281" s="56"/>
      <c r="U281" s="955"/>
      <c r="V281" s="43" t="str">
        <f>G264</f>
        <v>A5</v>
      </c>
      <c r="W281" s="10"/>
      <c r="X281" s="45" t="s">
        <v>769</v>
      </c>
      <c r="Y281" s="10"/>
      <c r="Z281" s="46" t="str">
        <f>G260</f>
        <v>A1</v>
      </c>
      <c r="AA281" s="123"/>
      <c r="AB281" s="1459">
        <f>IF(MaxScore,MaxGoals(W281,Y281,MaxGoalsValue),IF(W281="","",W281))</f>
        <v>0</v>
      </c>
      <c r="AC281" s="1460" t="str">
        <f>IF(MaxScore,"-",IF(W281="","","-"))</f>
        <v>-</v>
      </c>
      <c r="AD281" s="1459">
        <f>IF(MaxScore,MaxGoals(Y281,W281,MaxGoalsValue),IF(Y281="","",Y281))</f>
        <v>0</v>
      </c>
      <c r="AE281" s="964" t="str">
        <f>IF(W281="","",IF(W281&gt;Y281,V281,IF(W281=Y281,"",Z281)))</f>
        <v/>
      </c>
      <c r="AF281" s="964" t="str">
        <f>IF(W281="","",IF(W281=Y281,V281,""))</f>
        <v/>
      </c>
      <c r="AG281" s="964" t="str">
        <f>IF(W281="","",IF(W281=Y281,Z281,""))</f>
        <v/>
      </c>
      <c r="AH281" s="964" t="str">
        <f>IF(W281="","",IF(W281&lt;Y281,V281,IF(W281=Y281,"",Z281)))</f>
        <v/>
      </c>
      <c r="AI281" s="964" t="str">
        <f>CONCATENATE(AE281,AH281)</f>
        <v/>
      </c>
      <c r="AJ281" s="964"/>
      <c r="AK281" s="964"/>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s="1396"/>
      <c r="CB281" s="1396"/>
      <c r="CC281"/>
      <c r="CD281"/>
      <c r="CE281"/>
    </row>
    <row r="282" spans="1:83" ht="13.15" customHeight="1" outlineLevel="2" x14ac:dyDescent="0.2">
      <c r="A282"/>
      <c r="B282" s="1"/>
      <c r="C282"/>
      <c r="D282"/>
      <c r="E282"/>
      <c r="F282"/>
      <c r="G282" s="1"/>
      <c r="H282" s="1"/>
      <c r="I282"/>
      <c r="J282"/>
      <c r="K282"/>
      <c r="L282"/>
      <c r="M282"/>
      <c r="N282"/>
      <c r="O282"/>
      <c r="P282"/>
      <c r="Q282"/>
      <c r="R282" s="558" t="s">
        <v>1727</v>
      </c>
      <c r="S282" s="83"/>
      <c r="T282" s="56"/>
      <c r="U282" s="955"/>
      <c r="V282" s="43" t="str">
        <f>G266</f>
        <v>A7</v>
      </c>
      <c r="W282" s="10"/>
      <c r="X282" s="45" t="s">
        <v>769</v>
      </c>
      <c r="Y282" s="10"/>
      <c r="Z282" s="46" t="str">
        <f>G267</f>
        <v>A8</v>
      </c>
      <c r="AA282" s="123"/>
      <c r="AB282" s="1459">
        <f>IF(MaxScore,MaxGoals(W282,Y282,MaxGoalsValue),IF(W282="","",W282))</f>
        <v>0</v>
      </c>
      <c r="AC282" s="1460" t="str">
        <f>IF(MaxScore,"-",IF(W282="","","-"))</f>
        <v>-</v>
      </c>
      <c r="AD282" s="1459">
        <f>IF(MaxScore,MaxGoals(Y282,W282,MaxGoalsValue),IF(Y282="","",Y282))</f>
        <v>0</v>
      </c>
      <c r="AE282" s="964" t="str">
        <f>IF(W282="","",IF(W282&gt;Y282,V282,IF(W282=Y282,"",Z282)))</f>
        <v/>
      </c>
      <c r="AF282" s="964" t="str">
        <f>IF(W282="","",IF(W282=Y282,V282,""))</f>
        <v/>
      </c>
      <c r="AG282" s="964" t="str">
        <f>IF(W282="","",IF(W282=Y282,Z282,""))</f>
        <v/>
      </c>
      <c r="AH282" s="964" t="str">
        <f>IF(W282="","",IF(W282&lt;Y282,V282,IF(W282=Y282,"",Z282)))</f>
        <v/>
      </c>
      <c r="AI282" s="964" t="str">
        <f>CONCATENATE(AE282,AH282)</f>
        <v/>
      </c>
      <c r="AJ282" s="964"/>
      <c r="AK282" s="964"/>
      <c r="AL282"/>
      <c r="AM282"/>
      <c r="AN282"/>
      <c r="AO282"/>
      <c r="AP282"/>
      <c r="AQ282"/>
      <c r="AR282"/>
      <c r="AS282"/>
      <c r="AT282"/>
      <c r="AU282"/>
      <c r="AV282"/>
      <c r="AW282"/>
      <c r="AX282" s="9"/>
      <c r="AY282"/>
      <c r="AZ282"/>
      <c r="BA282"/>
      <c r="BB282"/>
      <c r="BC282"/>
      <c r="BD282"/>
      <c r="BE282"/>
      <c r="BF282"/>
      <c r="BG282"/>
      <c r="BH282"/>
      <c r="BI282"/>
      <c r="BJ282"/>
      <c r="BK282"/>
      <c r="BL282"/>
      <c r="BM282"/>
      <c r="BN282"/>
      <c r="BO282"/>
      <c r="BP282"/>
      <c r="BQ282"/>
      <c r="BR282"/>
      <c r="BS282"/>
      <c r="BT282"/>
      <c r="BU282"/>
      <c r="BV282"/>
      <c r="BW282"/>
      <c r="BX282"/>
      <c r="BY282"/>
      <c r="BZ282"/>
      <c r="CA282" s="1396"/>
      <c r="CB282" s="1396"/>
      <c r="CC282"/>
      <c r="CD282"/>
      <c r="CE282"/>
    </row>
    <row r="283" spans="1:83" ht="13.15" customHeight="1" outlineLevel="2" thickBot="1" x14ac:dyDescent="0.25">
      <c r="A283"/>
      <c r="B283" s="1"/>
      <c r="C283"/>
      <c r="D283"/>
      <c r="E283"/>
      <c r="F283"/>
      <c r="G283" s="1"/>
      <c r="H283" s="1"/>
      <c r="I283"/>
      <c r="J283"/>
      <c r="K283"/>
      <c r="L283"/>
      <c r="M283"/>
      <c r="N283"/>
      <c r="O283"/>
      <c r="P283"/>
      <c r="Q283"/>
      <c r="R283" s="558" t="s">
        <v>1727</v>
      </c>
      <c r="S283" s="83"/>
      <c r="T283" s="56"/>
      <c r="U283" s="955"/>
      <c r="V283" s="43" t="str">
        <f>G268</f>
        <v>A9</v>
      </c>
      <c r="W283" s="10"/>
      <c r="X283" s="45" t="s">
        <v>769</v>
      </c>
      <c r="Y283" s="10"/>
      <c r="Z283" s="46" t="str">
        <f>G265</f>
        <v>A6</v>
      </c>
      <c r="AA283" s="123"/>
      <c r="AB283" s="1459">
        <f>IF(MaxScore,MaxGoals(W283,Y283,MaxGoalsValue),IF(W283="","",W283))</f>
        <v>0</v>
      </c>
      <c r="AC283" s="1460" t="str">
        <f>IF(MaxScore,"-",IF(W283="","","-"))</f>
        <v>-</v>
      </c>
      <c r="AD283" s="1459">
        <f>IF(MaxScore,MaxGoals(Y283,W283,MaxGoalsValue),IF(Y283="","",Y283))</f>
        <v>0</v>
      </c>
      <c r="AE283" s="964" t="str">
        <f>IF(W283="","",IF(W283&gt;Y283,V283,IF(W283=Y283,"",Z283)))</f>
        <v/>
      </c>
      <c r="AF283" s="964" t="str">
        <f>IF(W283="","",IF(W283=Y283,V283,""))</f>
        <v/>
      </c>
      <c r="AG283" s="964" t="str">
        <f>IF(W283="","",IF(W283=Y283,Z283,""))</f>
        <v/>
      </c>
      <c r="AH283" s="964" t="str">
        <f>IF(W283="","",IF(W283&lt;Y283,V283,IF(W283=Y283,"",Z283)))</f>
        <v/>
      </c>
      <c r="AI283" s="964" t="str">
        <f>CONCATENATE(AE283,AH283)</f>
        <v/>
      </c>
      <c r="AJ283" s="964"/>
      <c r="AK283" s="964"/>
      <c r="AL283"/>
      <c r="AM283"/>
      <c r="AN283"/>
      <c r="AO283"/>
      <c r="AP283"/>
      <c r="AQ283"/>
      <c r="AR283"/>
      <c r="AS283"/>
      <c r="AT283"/>
      <c r="AU283"/>
      <c r="AV283"/>
      <c r="AW283" s="9"/>
      <c r="AX283" s="9"/>
      <c r="AY283"/>
      <c r="AZ283"/>
      <c r="BA283"/>
      <c r="BB283"/>
      <c r="BC283"/>
      <c r="BD283"/>
      <c r="BE283"/>
      <c r="BF283"/>
      <c r="BG283"/>
      <c r="BH283"/>
      <c r="BI283"/>
      <c r="BJ283"/>
      <c r="BK283"/>
      <c r="BL283"/>
      <c r="BM283"/>
      <c r="BN283"/>
      <c r="BO283"/>
      <c r="BP283"/>
      <c r="BQ283"/>
      <c r="BR283"/>
      <c r="BS283"/>
      <c r="BT283"/>
      <c r="BU283"/>
      <c r="BV283"/>
      <c r="BW283"/>
      <c r="BX283"/>
      <c r="BY283"/>
      <c r="BZ283"/>
      <c r="CA283" s="1396"/>
      <c r="CB283" s="1396"/>
      <c r="CC283"/>
      <c r="CD283"/>
      <c r="CE283"/>
    </row>
    <row r="284" spans="1:83" ht="13.5" outlineLevel="1" thickBot="1" x14ac:dyDescent="0.25">
      <c r="A284"/>
      <c r="B284" s="1"/>
      <c r="C284" s="1"/>
      <c r="D284" s="76"/>
      <c r="E284" s="76"/>
      <c r="F284" s="76"/>
      <c r="G284" s="9"/>
      <c r="H284" s="9"/>
      <c r="I284" s="1"/>
      <c r="J284"/>
      <c r="K284"/>
      <c r="L284"/>
      <c r="M284"/>
      <c r="N284"/>
      <c r="O284"/>
      <c r="P284" s="89"/>
      <c r="Q284"/>
      <c r="R284" s="1"/>
      <c r="S284" s="993">
        <f>S277+1</f>
        <v>3</v>
      </c>
      <c r="T284" s="961"/>
      <c r="U284" s="961"/>
      <c r="V284" s="961"/>
      <c r="W284" s="960"/>
      <c r="X284" s="960"/>
      <c r="Y284" s="960"/>
      <c r="Z284" s="962"/>
      <c r="AA284" s="123"/>
      <c r="AB284" s="963"/>
      <c r="AC284" s="963"/>
      <c r="AD284" s="963"/>
      <c r="AE284" s="964"/>
      <c r="AF284" s="964"/>
      <c r="AG284" s="964"/>
      <c r="AH284" s="964"/>
      <c r="AI284" s="964"/>
      <c r="AJ284" s="964"/>
      <c r="AK284" s="96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s="1396"/>
      <c r="CB284" s="1396"/>
      <c r="CC284"/>
      <c r="CD284"/>
      <c r="CE284"/>
    </row>
    <row r="285" spans="1:83" ht="13.9" customHeight="1" outlineLevel="2" thickBot="1" x14ac:dyDescent="0.25">
      <c r="A285"/>
      <c r="B285" s="1"/>
      <c r="C285"/>
      <c r="D285"/>
      <c r="E285"/>
      <c r="F285"/>
      <c r="G285" s="1"/>
      <c r="H285" s="1"/>
      <c r="I285"/>
      <c r="J285"/>
      <c r="K285"/>
      <c r="L285"/>
      <c r="M285"/>
      <c r="N285"/>
      <c r="O285"/>
      <c r="P285"/>
      <c r="Q285"/>
      <c r="S285" s="22" t="str">
        <f>N_Heure</f>
        <v>Heure</v>
      </c>
      <c r="T285" s="22" t="str">
        <f>N_Table</f>
        <v>Table</v>
      </c>
      <c r="U285" s="22" t="str">
        <f>N_Arbitre</f>
        <v>Arbitre</v>
      </c>
      <c r="V285" s="293" t="str">
        <f>N_Matches</f>
        <v>Matches</v>
      </c>
      <c r="W285" s="294"/>
      <c r="X285" s="294"/>
      <c r="Y285" s="294"/>
      <c r="Z285" s="295"/>
      <c r="AA285" s="8"/>
      <c r="AB285" s="967"/>
      <c r="AC285" s="967"/>
      <c r="AD285" s="967"/>
      <c r="AE285" s="964"/>
      <c r="AF285" s="964"/>
      <c r="AG285" s="964"/>
      <c r="AH285" s="964"/>
      <c r="AI285" s="964"/>
      <c r="AJ285" s="964"/>
      <c r="AK285" s="964"/>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s="1396"/>
      <c r="CB285" s="1396"/>
      <c r="CC285"/>
      <c r="CD285"/>
      <c r="CE285"/>
    </row>
    <row r="286" spans="1:83" ht="13.15" customHeight="1" outlineLevel="2" x14ac:dyDescent="0.2">
      <c r="A286"/>
      <c r="B286" s="1"/>
      <c r="C286"/>
      <c r="D286"/>
      <c r="E286"/>
      <c r="F286"/>
      <c r="G286" s="1"/>
      <c r="H286" s="1"/>
      <c r="I286"/>
      <c r="J286"/>
      <c r="K286"/>
      <c r="L286"/>
      <c r="M286"/>
      <c r="N286"/>
      <c r="O286"/>
      <c r="P286"/>
      <c r="Q286"/>
      <c r="R286" s="558" t="s">
        <v>1728</v>
      </c>
      <c r="S286" s="65"/>
      <c r="T286" s="953"/>
      <c r="U286" s="954"/>
      <c r="V286" s="34" t="str">
        <f>G262</f>
        <v>A3</v>
      </c>
      <c r="W286" s="148"/>
      <c r="X286" s="35" t="s">
        <v>769</v>
      </c>
      <c r="Y286" s="148"/>
      <c r="Z286" s="36" t="str">
        <f>G264</f>
        <v>A5</v>
      </c>
      <c r="AA286" s="123"/>
      <c r="AB286" s="1459">
        <f>IF(MaxScore,MaxGoals(W286,Y286,MaxGoalsValue),IF(W286="","",W286))</f>
        <v>0</v>
      </c>
      <c r="AC286" s="1460" t="str">
        <f>IF(MaxScore,"-",IF(W286="","","-"))</f>
        <v>-</v>
      </c>
      <c r="AD286" s="1459">
        <f>IF(MaxScore,MaxGoals(Y286,W286,MaxGoalsValue),IF(Y286="","",Y286))</f>
        <v>0</v>
      </c>
      <c r="AE286" s="964" t="str">
        <f>IF(W286="","",IF(W286&gt;Y286,V286,IF(W286=Y286,"",Z286)))</f>
        <v/>
      </c>
      <c r="AF286" s="964" t="str">
        <f>IF(W286="","",IF(W286=Y286,V286,""))</f>
        <v/>
      </c>
      <c r="AG286" s="964" t="str">
        <f>IF(W286="","",IF(W286=Y286,Z286,""))</f>
        <v/>
      </c>
      <c r="AH286" s="964" t="str">
        <f>IF(W286="","",IF(W286&lt;Y286,V286,IF(W286=Y286,"",Z286)))</f>
        <v/>
      </c>
      <c r="AI286" s="964" t="str">
        <f>CONCATENATE(AE286,AH286)</f>
        <v/>
      </c>
      <c r="AJ286" s="964"/>
      <c r="AK286" s="964"/>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s="1396"/>
      <c r="CB286" s="1396"/>
      <c r="CC286"/>
      <c r="CD286"/>
      <c r="CE286"/>
    </row>
    <row r="287" spans="1:83" ht="13.15" customHeight="1" outlineLevel="2" x14ac:dyDescent="0.2">
      <c r="A287"/>
      <c r="B287" s="1"/>
      <c r="C287"/>
      <c r="D287"/>
      <c r="E287"/>
      <c r="F287"/>
      <c r="G287" s="1"/>
      <c r="H287" s="1"/>
      <c r="I287"/>
      <c r="J287"/>
      <c r="K287"/>
      <c r="L287"/>
      <c r="M287"/>
      <c r="N287"/>
      <c r="O287"/>
      <c r="P287"/>
      <c r="Q287"/>
      <c r="R287" s="558" t="s">
        <v>1728</v>
      </c>
      <c r="S287" s="83"/>
      <c r="T287" s="56"/>
      <c r="U287" s="955"/>
      <c r="V287" s="43" t="str">
        <f>G263</f>
        <v>A4</v>
      </c>
      <c r="W287" s="10"/>
      <c r="X287" s="45" t="s">
        <v>769</v>
      </c>
      <c r="Y287" s="10"/>
      <c r="Z287" s="46" t="str">
        <f>G269</f>
        <v>A10</v>
      </c>
      <c r="AA287" s="123"/>
      <c r="AB287" s="1459">
        <f>IF(MaxScore,MaxGoals(W287,Y287,MaxGoalsValue),IF(W287="","",W287))</f>
        <v>0</v>
      </c>
      <c r="AC287" s="1460" t="str">
        <f>IF(MaxScore,"-",IF(W287="","","-"))</f>
        <v>-</v>
      </c>
      <c r="AD287" s="1459">
        <f>IF(MaxScore,MaxGoals(Y287,W287,MaxGoalsValue),IF(Y287="","",Y287))</f>
        <v>0</v>
      </c>
      <c r="AE287" s="964" t="str">
        <f>IF(W287="","",IF(W287&gt;Y287,V287,IF(W287=Y287,"",Z287)))</f>
        <v/>
      </c>
      <c r="AF287" s="964" t="str">
        <f>IF(W287="","",IF(W287=Y287,V287,""))</f>
        <v/>
      </c>
      <c r="AG287" s="964" t="str">
        <f>IF(W287="","",IF(W287=Y287,Z287,""))</f>
        <v/>
      </c>
      <c r="AH287" s="964" t="str">
        <f>IF(W287="","",IF(W287&lt;Y287,V287,IF(W287=Y287,"",Z287)))</f>
        <v/>
      </c>
      <c r="AI287" s="964" t="str">
        <f>CONCATENATE(AE287,AH287)</f>
        <v/>
      </c>
      <c r="AJ287" s="964"/>
      <c r="AK287" s="964"/>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s="1396"/>
      <c r="CB287" s="1396"/>
      <c r="CC287"/>
      <c r="CD287"/>
      <c r="CE287"/>
    </row>
    <row r="288" spans="1:83" ht="13.15" customHeight="1" outlineLevel="2" x14ac:dyDescent="0.2">
      <c r="A288"/>
      <c r="B288" s="1"/>
      <c r="C288"/>
      <c r="D288"/>
      <c r="E288"/>
      <c r="F288"/>
      <c r="G288" s="1"/>
      <c r="H288" s="1"/>
      <c r="I288"/>
      <c r="J288"/>
      <c r="K288"/>
      <c r="L288"/>
      <c r="M288"/>
      <c r="N288"/>
      <c r="O288"/>
      <c r="P288"/>
      <c r="Q288"/>
      <c r="R288" s="558" t="s">
        <v>1728</v>
      </c>
      <c r="S288" s="83"/>
      <c r="T288" s="56"/>
      <c r="U288" s="955"/>
      <c r="V288" s="43" t="str">
        <f>G265</f>
        <v>A6</v>
      </c>
      <c r="W288" s="10"/>
      <c r="X288" s="45" t="s">
        <v>769</v>
      </c>
      <c r="Y288" s="10"/>
      <c r="Z288" s="46" t="str">
        <f>G261</f>
        <v>A2</v>
      </c>
      <c r="AA288" s="123"/>
      <c r="AB288" s="1459">
        <f>IF(MaxScore,MaxGoals(W288,Y288,MaxGoalsValue),IF(W288="","",W288))</f>
        <v>0</v>
      </c>
      <c r="AC288" s="1460" t="str">
        <f>IF(MaxScore,"-",IF(W288="","","-"))</f>
        <v>-</v>
      </c>
      <c r="AD288" s="1459">
        <f>IF(MaxScore,MaxGoals(Y288,W288,MaxGoalsValue),IF(Y288="","",Y288))</f>
        <v>0</v>
      </c>
      <c r="AE288" s="964" t="str">
        <f>IF(W288="","",IF(W288&gt;Y288,V288,IF(W288=Y288,"",Z288)))</f>
        <v/>
      </c>
      <c r="AF288" s="964" t="str">
        <f>IF(W288="","",IF(W288=Y288,V288,""))</f>
        <v/>
      </c>
      <c r="AG288" s="964" t="str">
        <f>IF(W288="","",IF(W288=Y288,Z288,""))</f>
        <v/>
      </c>
      <c r="AH288" s="964" t="str">
        <f>IF(W288="","",IF(W288&lt;Y288,V288,IF(W288=Y288,"",Z288)))</f>
        <v/>
      </c>
      <c r="AI288" s="964" t="str">
        <f>CONCATENATE(AE288,AH288)</f>
        <v/>
      </c>
      <c r="AJ288" s="964"/>
      <c r="AK288" s="964"/>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s="1396"/>
      <c r="CB288" s="1396"/>
      <c r="CC288"/>
      <c r="CD288"/>
      <c r="CE288"/>
    </row>
    <row r="289" spans="1:83" ht="13.15" customHeight="1" outlineLevel="2" x14ac:dyDescent="0.2">
      <c r="A289"/>
      <c r="B289" s="1"/>
      <c r="C289"/>
      <c r="D289"/>
      <c r="E289"/>
      <c r="F289"/>
      <c r="G289" s="1"/>
      <c r="H289" s="1"/>
      <c r="I289"/>
      <c r="J289"/>
      <c r="K289"/>
      <c r="L289"/>
      <c r="M289"/>
      <c r="N289"/>
      <c r="O289"/>
      <c r="P289"/>
      <c r="Q289"/>
      <c r="R289" s="558" t="s">
        <v>1728</v>
      </c>
      <c r="S289" s="83"/>
      <c r="T289" s="56"/>
      <c r="U289" s="955"/>
      <c r="V289" s="43" t="str">
        <f>G266</f>
        <v>A7</v>
      </c>
      <c r="W289" s="10"/>
      <c r="X289" s="45" t="s">
        <v>769</v>
      </c>
      <c r="Y289" s="10"/>
      <c r="Z289" s="46" t="str">
        <f>G260</f>
        <v>A1</v>
      </c>
      <c r="AA289" s="123"/>
      <c r="AB289" s="1459">
        <f>IF(MaxScore,MaxGoals(W289,Y289,MaxGoalsValue),IF(W289="","",W289))</f>
        <v>0</v>
      </c>
      <c r="AC289" s="1460" t="str">
        <f>IF(MaxScore,"-",IF(W289="","","-"))</f>
        <v>-</v>
      </c>
      <c r="AD289" s="1459">
        <f>IF(MaxScore,MaxGoals(Y289,W289,MaxGoalsValue),IF(Y289="","",Y289))</f>
        <v>0</v>
      </c>
      <c r="AE289" s="964" t="str">
        <f>IF(W289="","",IF(W289&gt;Y289,V289,IF(W289=Y289,"",Z289)))</f>
        <v/>
      </c>
      <c r="AF289" s="964" t="str">
        <f>IF(W289="","",IF(W289=Y289,V289,""))</f>
        <v/>
      </c>
      <c r="AG289" s="964" t="str">
        <f>IF(W289="","",IF(W289=Y289,Z289,""))</f>
        <v/>
      </c>
      <c r="AH289" s="964" t="str">
        <f>IF(W289="","",IF(W289&lt;Y289,V289,IF(W289=Y289,"",Z289)))</f>
        <v/>
      </c>
      <c r="AI289" s="964" t="str">
        <f>CONCATENATE(AE289,AH289)</f>
        <v/>
      </c>
      <c r="AJ289" s="964"/>
      <c r="AK289" s="964"/>
      <c r="AL289"/>
      <c r="AM289"/>
      <c r="AN289"/>
      <c r="AO289"/>
      <c r="AP289"/>
      <c r="AQ289"/>
      <c r="AR289"/>
      <c r="AS289"/>
      <c r="AT289"/>
      <c r="AU289"/>
      <c r="AV289"/>
      <c r="AW289"/>
      <c r="AX289" s="9"/>
      <c r="AY289"/>
      <c r="AZ289"/>
      <c r="BA289"/>
      <c r="BB289"/>
      <c r="BC289"/>
      <c r="BD289"/>
      <c r="BE289"/>
      <c r="BF289"/>
      <c r="BG289"/>
      <c r="BH289"/>
      <c r="BI289"/>
      <c r="BJ289"/>
      <c r="BK289"/>
      <c r="BL289"/>
      <c r="BM289"/>
      <c r="BN289"/>
      <c r="BO289"/>
      <c r="BP289"/>
      <c r="BQ289"/>
      <c r="BR289"/>
      <c r="BS289"/>
      <c r="BT289"/>
      <c r="BU289"/>
      <c r="BV289"/>
      <c r="BW289"/>
      <c r="BX289"/>
      <c r="BY289"/>
      <c r="BZ289"/>
      <c r="CA289" s="1396"/>
      <c r="CB289" s="1396"/>
      <c r="CC289"/>
      <c r="CD289"/>
      <c r="CE289"/>
    </row>
    <row r="290" spans="1:83" ht="13.9" customHeight="1" outlineLevel="2" thickBot="1" x14ac:dyDescent="0.25">
      <c r="A290"/>
      <c r="B290" s="1"/>
      <c r="C290"/>
      <c r="D290"/>
      <c r="E290"/>
      <c r="F290"/>
      <c r="G290" s="1"/>
      <c r="H290" s="1"/>
      <c r="I290"/>
      <c r="J290"/>
      <c r="K290"/>
      <c r="L290"/>
      <c r="M290"/>
      <c r="N290"/>
      <c r="O290"/>
      <c r="P290"/>
      <c r="Q290"/>
      <c r="R290" s="558" t="s">
        <v>1728</v>
      </c>
      <c r="S290" s="956"/>
      <c r="T290" s="58"/>
      <c r="U290" s="957"/>
      <c r="V290" s="958" t="str">
        <f>G267</f>
        <v>A8</v>
      </c>
      <c r="W290" s="10"/>
      <c r="X290" s="45" t="s">
        <v>769</v>
      </c>
      <c r="Y290" s="10"/>
      <c r="Z290" s="46" t="str">
        <f>G268</f>
        <v>A9</v>
      </c>
      <c r="AA290" s="123"/>
      <c r="AB290" s="1459">
        <f>IF(MaxScore,MaxGoals(W290,Y290,MaxGoalsValue),IF(W290="","",W290))</f>
        <v>0</v>
      </c>
      <c r="AC290" s="1460" t="str">
        <f>IF(MaxScore,"-",IF(W290="","","-"))</f>
        <v>-</v>
      </c>
      <c r="AD290" s="1459">
        <f>IF(MaxScore,MaxGoals(Y290,W290,MaxGoalsValue),IF(Y290="","",Y290))</f>
        <v>0</v>
      </c>
      <c r="AE290" s="964" t="str">
        <f>IF(W290="","",IF(W290&gt;Y290,V290,IF(W290=Y290,"",Z290)))</f>
        <v/>
      </c>
      <c r="AF290" s="964" t="str">
        <f>IF(W290="","",IF(W290=Y290,V290,""))</f>
        <v/>
      </c>
      <c r="AG290" s="964" t="str">
        <f>IF(W290="","",IF(W290=Y290,Z290,""))</f>
        <v/>
      </c>
      <c r="AH290" s="964" t="str">
        <f>IF(W290="","",IF(W290&lt;Y290,V290,IF(W290=Y290,"",Z290)))</f>
        <v/>
      </c>
      <c r="AI290" s="964" t="str">
        <f>CONCATENATE(AE290,AH290)</f>
        <v/>
      </c>
      <c r="AJ290" s="964"/>
      <c r="AK290" s="964"/>
      <c r="AL290"/>
      <c r="AM290"/>
      <c r="AN290"/>
      <c r="AO290"/>
      <c r="AP290"/>
      <c r="AQ290"/>
      <c r="AR290"/>
      <c r="AS290"/>
      <c r="AT290"/>
      <c r="AU290"/>
      <c r="AV290"/>
      <c r="AW290" s="9"/>
      <c r="AX290" s="9"/>
      <c r="AY290"/>
      <c r="AZ290"/>
      <c r="BA290"/>
      <c r="BB290"/>
      <c r="BC290"/>
      <c r="BD290"/>
      <c r="BE290"/>
      <c r="BF290"/>
      <c r="BG290"/>
      <c r="BH290"/>
      <c r="BI290"/>
      <c r="BJ290"/>
      <c r="BK290"/>
      <c r="BL290"/>
      <c r="BM290"/>
      <c r="BN290"/>
      <c r="BO290"/>
      <c r="BP290"/>
      <c r="BQ290"/>
      <c r="BR290"/>
      <c r="BS290"/>
      <c r="BT290"/>
      <c r="BU290"/>
      <c r="BV290"/>
      <c r="BW290"/>
      <c r="BX290"/>
      <c r="BY290"/>
      <c r="BZ290"/>
      <c r="CA290" s="1396"/>
      <c r="CB290" s="1396"/>
      <c r="CC290"/>
      <c r="CD290"/>
      <c r="CE290"/>
    </row>
    <row r="291" spans="1:83" ht="13.5" outlineLevel="1" thickBot="1" x14ac:dyDescent="0.25">
      <c r="A291"/>
      <c r="B291" s="1"/>
      <c r="C291" s="1"/>
      <c r="D291" s="76"/>
      <c r="E291" s="76"/>
      <c r="F291" s="76"/>
      <c r="G291" s="9"/>
      <c r="H291" s="9"/>
      <c r="I291" s="1"/>
      <c r="J291"/>
      <c r="K291"/>
      <c r="L291"/>
      <c r="M291"/>
      <c r="N291"/>
      <c r="O291"/>
      <c r="P291" s="89"/>
      <c r="Q291"/>
      <c r="R291" s="1"/>
      <c r="S291" s="993">
        <f>S284+1</f>
        <v>4</v>
      </c>
      <c r="T291" s="961"/>
      <c r="U291" s="961"/>
      <c r="V291" s="961"/>
      <c r="W291" s="960"/>
      <c r="X291" s="960"/>
      <c r="Y291" s="960"/>
      <c r="Z291" s="962"/>
      <c r="AA291" s="123"/>
      <c r="AB291" s="963"/>
      <c r="AC291" s="963"/>
      <c r="AD291" s="963"/>
      <c r="AE291" s="964"/>
      <c r="AF291" s="964"/>
      <c r="AG291" s="964"/>
      <c r="AH291" s="964"/>
      <c r="AI291" s="964"/>
      <c r="AJ291" s="964"/>
      <c r="AK291" s="964"/>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s="1396"/>
      <c r="CB291" s="1396"/>
      <c r="CC291"/>
      <c r="CD291"/>
      <c r="CE291"/>
    </row>
    <row r="292" spans="1:83" ht="13.9" customHeight="1" outlineLevel="2" thickBot="1" x14ac:dyDescent="0.25">
      <c r="A292"/>
      <c r="B292" s="1"/>
      <c r="C292"/>
      <c r="D292"/>
      <c r="E292"/>
      <c r="F292"/>
      <c r="G292" s="1"/>
      <c r="H292" s="1"/>
      <c r="I292"/>
      <c r="J292"/>
      <c r="K292"/>
      <c r="L292"/>
      <c r="M292"/>
      <c r="N292"/>
      <c r="O292"/>
      <c r="P292"/>
      <c r="Q292"/>
      <c r="S292" s="22" t="str">
        <f>N_Heure</f>
        <v>Heure</v>
      </c>
      <c r="T292" s="22" t="str">
        <f>N_Table</f>
        <v>Table</v>
      </c>
      <c r="U292" s="22" t="str">
        <f>N_Arbitre</f>
        <v>Arbitre</v>
      </c>
      <c r="V292" s="293" t="str">
        <f>N_Matches</f>
        <v>Matches</v>
      </c>
      <c r="W292" s="294"/>
      <c r="X292" s="294"/>
      <c r="Y292" s="294"/>
      <c r="Z292" s="295"/>
      <c r="AA292" s="8"/>
      <c r="AB292" s="967"/>
      <c r="AC292" s="967"/>
      <c r="AD292" s="967"/>
      <c r="AE292" s="964"/>
      <c r="AF292" s="964"/>
      <c r="AG292" s="964"/>
      <c r="AH292" s="964"/>
      <c r="AI292" s="964"/>
      <c r="AJ292" s="964"/>
      <c r="AK292" s="964"/>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s="1396"/>
      <c r="CB292" s="1396"/>
      <c r="CC292"/>
      <c r="CD292"/>
      <c r="CE292"/>
    </row>
    <row r="293" spans="1:83" ht="13.15" customHeight="1" outlineLevel="2" x14ac:dyDescent="0.2">
      <c r="A293"/>
      <c r="B293" s="1"/>
      <c r="C293"/>
      <c r="D293"/>
      <c r="E293"/>
      <c r="F293"/>
      <c r="G293" s="1"/>
      <c r="H293" s="1"/>
      <c r="I293"/>
      <c r="J293"/>
      <c r="K293"/>
      <c r="L293"/>
      <c r="M293"/>
      <c r="N293"/>
      <c r="O293"/>
      <c r="P293"/>
      <c r="Q293"/>
      <c r="R293" s="558" t="s">
        <v>1729</v>
      </c>
      <c r="S293" s="65"/>
      <c r="T293" s="953"/>
      <c r="U293" s="954"/>
      <c r="V293" s="34" t="str">
        <f>G260</f>
        <v>A1</v>
      </c>
      <c r="W293" s="148"/>
      <c r="X293" s="35" t="s">
        <v>769</v>
      </c>
      <c r="Y293" s="148"/>
      <c r="Z293" s="36" t="str">
        <f>G268</f>
        <v>A9</v>
      </c>
      <c r="AA293" s="123"/>
      <c r="AB293" s="1459">
        <f>IF(MaxScore,MaxGoals(W293,Y293,MaxGoalsValue),IF(W293="","",W293))</f>
        <v>0</v>
      </c>
      <c r="AC293" s="1460" t="str">
        <f>IF(MaxScore,"-",IF(W293="","","-"))</f>
        <v>-</v>
      </c>
      <c r="AD293" s="1459">
        <f>IF(MaxScore,MaxGoals(Y293,W293,MaxGoalsValue),IF(Y293="","",Y293))</f>
        <v>0</v>
      </c>
      <c r="AE293" s="964" t="str">
        <f>IF(W293="","",IF(W293&gt;Y293,V293,IF(W293=Y293,"",Z293)))</f>
        <v/>
      </c>
      <c r="AF293" s="964" t="str">
        <f>IF(W293="","",IF(W293=Y293,V293,""))</f>
        <v/>
      </c>
      <c r="AG293" s="964" t="str">
        <f>IF(W293="","",IF(W293=Y293,Z293,""))</f>
        <v/>
      </c>
      <c r="AH293" s="964" t="str">
        <f>IF(W293="","",IF(W293&lt;Y293,V293,IF(W293=Y293,"",Z293)))</f>
        <v/>
      </c>
      <c r="AI293" s="964" t="str">
        <f>CONCATENATE(AE293,AH293)</f>
        <v/>
      </c>
      <c r="AJ293" s="964"/>
      <c r="AK293" s="964"/>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s="1396"/>
      <c r="CB293" s="1396"/>
      <c r="CC293"/>
      <c r="CD293"/>
      <c r="CE293"/>
    </row>
    <row r="294" spans="1:83" ht="13.15" customHeight="1" outlineLevel="2" x14ac:dyDescent="0.2">
      <c r="A294"/>
      <c r="B294" s="1"/>
      <c r="C294"/>
      <c r="D294"/>
      <c r="E294"/>
      <c r="F294"/>
      <c r="G294" s="1"/>
      <c r="H294" s="1"/>
      <c r="I294"/>
      <c r="J294"/>
      <c r="K294"/>
      <c r="L294"/>
      <c r="M294"/>
      <c r="N294"/>
      <c r="O294"/>
      <c r="P294"/>
      <c r="Q294"/>
      <c r="R294" s="558" t="s">
        <v>1729</v>
      </c>
      <c r="S294" s="83"/>
      <c r="T294" s="56"/>
      <c r="U294" s="955"/>
      <c r="V294" s="43" t="str">
        <f>G261</f>
        <v>A2</v>
      </c>
      <c r="W294" s="10"/>
      <c r="X294" s="45" t="s">
        <v>769</v>
      </c>
      <c r="Y294" s="10"/>
      <c r="Z294" s="46" t="str">
        <f>G267</f>
        <v>A8</v>
      </c>
      <c r="AA294" s="123"/>
      <c r="AB294" s="1459">
        <f>IF(MaxScore,MaxGoals(W294,Y294,MaxGoalsValue),IF(W294="","",W294))</f>
        <v>0</v>
      </c>
      <c r="AC294" s="1460" t="str">
        <f>IF(MaxScore,"-",IF(W294="","","-"))</f>
        <v>-</v>
      </c>
      <c r="AD294" s="1459">
        <f>IF(MaxScore,MaxGoals(Y294,W294,MaxGoalsValue),IF(Y294="","",Y294))</f>
        <v>0</v>
      </c>
      <c r="AE294" s="964" t="str">
        <f>IF(W294="","",IF(W294&gt;Y294,V294,IF(W294=Y294,"",Z294)))</f>
        <v/>
      </c>
      <c r="AF294" s="964" t="str">
        <f>IF(W294="","",IF(W294=Y294,V294,""))</f>
        <v/>
      </c>
      <c r="AG294" s="964" t="str">
        <f>IF(W294="","",IF(W294=Y294,Z294,""))</f>
        <v/>
      </c>
      <c r="AH294" s="964" t="str">
        <f>IF(W294="","",IF(W294&lt;Y294,V294,IF(W294=Y294,"",Z294)))</f>
        <v/>
      </c>
      <c r="AI294" s="964" t="str">
        <f>CONCATENATE(AE294,AH294)</f>
        <v/>
      </c>
      <c r="AJ294" s="964"/>
      <c r="AK294" s="96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s="1396"/>
      <c r="CB294" s="1396"/>
      <c r="CC294"/>
      <c r="CD294"/>
      <c r="CE294"/>
    </row>
    <row r="295" spans="1:83" ht="13.15" customHeight="1" outlineLevel="2" x14ac:dyDescent="0.2">
      <c r="A295"/>
      <c r="B295" s="1"/>
      <c r="C295"/>
      <c r="D295"/>
      <c r="E295"/>
      <c r="F295"/>
      <c r="G295" s="1"/>
      <c r="H295" s="1"/>
      <c r="I295"/>
      <c r="J295"/>
      <c r="K295"/>
      <c r="L295"/>
      <c r="M295"/>
      <c r="N295"/>
      <c r="O295"/>
      <c r="P295"/>
      <c r="Q295"/>
      <c r="R295" s="558" t="s">
        <v>1729</v>
      </c>
      <c r="S295" s="83"/>
      <c r="T295" s="56"/>
      <c r="U295" s="955"/>
      <c r="V295" s="43" t="str">
        <f>G262</f>
        <v>A3</v>
      </c>
      <c r="W295" s="10"/>
      <c r="X295" s="45" t="s">
        <v>769</v>
      </c>
      <c r="Y295" s="10"/>
      <c r="Z295" s="46" t="str">
        <f>G266</f>
        <v>A7</v>
      </c>
      <c r="AA295" s="123"/>
      <c r="AB295" s="1459">
        <f>IF(MaxScore,MaxGoals(W295,Y295,MaxGoalsValue),IF(W295="","",W295))</f>
        <v>0</v>
      </c>
      <c r="AC295" s="1460" t="str">
        <f>IF(MaxScore,"-",IF(W295="","","-"))</f>
        <v>-</v>
      </c>
      <c r="AD295" s="1459">
        <f>IF(MaxScore,MaxGoals(Y295,W295,MaxGoalsValue),IF(Y295="","",Y295))</f>
        <v>0</v>
      </c>
      <c r="AE295" s="964" t="str">
        <f>IF(W295="","",IF(W295&gt;Y295,V295,IF(W295=Y295,"",Z295)))</f>
        <v/>
      </c>
      <c r="AF295" s="964" t="str">
        <f>IF(W295="","",IF(W295=Y295,V295,""))</f>
        <v/>
      </c>
      <c r="AG295" s="964" t="str">
        <f>IF(W295="","",IF(W295=Y295,Z295,""))</f>
        <v/>
      </c>
      <c r="AH295" s="964" t="str">
        <f>IF(W295="","",IF(W295&lt;Y295,V295,IF(W295=Y295,"",Z295)))</f>
        <v/>
      </c>
      <c r="AI295" s="964" t="str">
        <f>CONCATENATE(AE295,AH295)</f>
        <v/>
      </c>
      <c r="AJ295" s="964"/>
      <c r="AK295" s="964"/>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s="1396"/>
      <c r="CB295" s="1396"/>
      <c r="CC295"/>
      <c r="CD295"/>
      <c r="CE295"/>
    </row>
    <row r="296" spans="1:83" ht="13.15" customHeight="1" outlineLevel="2" x14ac:dyDescent="0.2">
      <c r="A296"/>
      <c r="B296" s="1"/>
      <c r="C296"/>
      <c r="D296"/>
      <c r="E296"/>
      <c r="F296"/>
      <c r="G296" s="1"/>
      <c r="H296" s="1"/>
      <c r="I296"/>
      <c r="J296"/>
      <c r="K296"/>
      <c r="L296"/>
      <c r="M296"/>
      <c r="N296"/>
      <c r="O296"/>
      <c r="P296"/>
      <c r="Q296"/>
      <c r="R296" s="558" t="s">
        <v>1729</v>
      </c>
      <c r="S296" s="83"/>
      <c r="T296" s="56"/>
      <c r="U296" s="955"/>
      <c r="V296" s="43" t="str">
        <f>G263</f>
        <v>A4</v>
      </c>
      <c r="W296" s="10"/>
      <c r="X296" s="45" t="s">
        <v>769</v>
      </c>
      <c r="Y296" s="10"/>
      <c r="Z296" s="46" t="str">
        <f>G265</f>
        <v>A6</v>
      </c>
      <c r="AA296" s="123"/>
      <c r="AB296" s="1459">
        <f>IF(MaxScore,MaxGoals(W296,Y296,MaxGoalsValue),IF(W296="","",W296))</f>
        <v>0</v>
      </c>
      <c r="AC296" s="1460" t="str">
        <f>IF(MaxScore,"-",IF(W296="","","-"))</f>
        <v>-</v>
      </c>
      <c r="AD296" s="1459">
        <f>IF(MaxScore,MaxGoals(Y296,W296,MaxGoalsValue),IF(Y296="","",Y296))</f>
        <v>0</v>
      </c>
      <c r="AE296" s="964" t="str">
        <f>IF(W296="","",IF(W296&gt;Y296,V296,IF(W296=Y296,"",Z296)))</f>
        <v/>
      </c>
      <c r="AF296" s="964" t="str">
        <f>IF(W296="","",IF(W296=Y296,V296,""))</f>
        <v/>
      </c>
      <c r="AG296" s="964" t="str">
        <f>IF(W296="","",IF(W296=Y296,Z296,""))</f>
        <v/>
      </c>
      <c r="AH296" s="964" t="str">
        <f>IF(W296="","",IF(W296&lt;Y296,V296,IF(W296=Y296,"",Z296)))</f>
        <v/>
      </c>
      <c r="AI296" s="964" t="str">
        <f>CONCATENATE(AE296,AH296)</f>
        <v/>
      </c>
      <c r="AJ296" s="964"/>
      <c r="AK296" s="964"/>
      <c r="AL296"/>
      <c r="AM296"/>
      <c r="AN296"/>
      <c r="AO296"/>
      <c r="AP296"/>
      <c r="AQ296"/>
      <c r="AR296"/>
      <c r="AS296"/>
      <c r="AT296"/>
      <c r="AU296"/>
      <c r="AV296"/>
      <c r="AW296"/>
      <c r="AX296" s="9"/>
      <c r="AY296"/>
      <c r="AZ296"/>
      <c r="BA296"/>
      <c r="BB296"/>
      <c r="BC296"/>
      <c r="BD296"/>
      <c r="BE296"/>
      <c r="BF296"/>
      <c r="BG296"/>
      <c r="BH296"/>
      <c r="BI296"/>
      <c r="BJ296"/>
      <c r="BK296"/>
      <c r="BL296"/>
      <c r="BM296"/>
      <c r="BN296"/>
      <c r="BO296"/>
      <c r="BP296"/>
      <c r="BQ296"/>
      <c r="BR296"/>
      <c r="BS296"/>
      <c r="BT296"/>
      <c r="BU296"/>
      <c r="BV296"/>
      <c r="BW296"/>
      <c r="BX296"/>
      <c r="BY296"/>
      <c r="BZ296"/>
      <c r="CA296" s="1396"/>
      <c r="CB296" s="1396"/>
      <c r="CC296"/>
      <c r="CD296"/>
      <c r="CE296"/>
    </row>
    <row r="297" spans="1:83" ht="13.9" customHeight="1" outlineLevel="2" thickBot="1" x14ac:dyDescent="0.25">
      <c r="A297"/>
      <c r="B297" s="1"/>
      <c r="C297"/>
      <c r="D297"/>
      <c r="E297"/>
      <c r="F297"/>
      <c r="G297" s="1"/>
      <c r="H297" s="1"/>
      <c r="I297"/>
      <c r="J297"/>
      <c r="K297"/>
      <c r="L297"/>
      <c r="M297"/>
      <c r="N297"/>
      <c r="O297"/>
      <c r="P297"/>
      <c r="Q297"/>
      <c r="R297" s="558" t="s">
        <v>1729</v>
      </c>
      <c r="S297" s="956"/>
      <c r="T297" s="58"/>
      <c r="U297" s="957"/>
      <c r="V297" s="43" t="str">
        <f>G269</f>
        <v>A10</v>
      </c>
      <c r="W297" s="10"/>
      <c r="X297" s="45" t="s">
        <v>769</v>
      </c>
      <c r="Y297" s="10"/>
      <c r="Z297" s="46" t="str">
        <f>G264</f>
        <v>A5</v>
      </c>
      <c r="AA297" s="123"/>
      <c r="AB297" s="1459">
        <f>IF(MaxScore,MaxGoals(W297,Y297,MaxGoalsValue),IF(W297="","",W297))</f>
        <v>0</v>
      </c>
      <c r="AC297" s="1460" t="str">
        <f>IF(MaxScore,"-",IF(W297="","","-"))</f>
        <v>-</v>
      </c>
      <c r="AD297" s="1459">
        <f>IF(MaxScore,MaxGoals(Y297,W297,MaxGoalsValue),IF(Y297="","",Y297))</f>
        <v>0</v>
      </c>
      <c r="AE297" s="964" t="str">
        <f>IF(W297="","",IF(W297&gt;Y297,V297,IF(W297=Y297,"",Z297)))</f>
        <v/>
      </c>
      <c r="AF297" s="964" t="str">
        <f>IF(W297="","",IF(W297=Y297,V297,""))</f>
        <v/>
      </c>
      <c r="AG297" s="964" t="str">
        <f>IF(W297="","",IF(W297=Y297,Z297,""))</f>
        <v/>
      </c>
      <c r="AH297" s="964" t="str">
        <f>IF(W297="","",IF(W297&lt;Y297,V297,IF(W297=Y297,"",Z297)))</f>
        <v/>
      </c>
      <c r="AI297" s="964" t="str">
        <f>CONCATENATE(AE297,AH297)</f>
        <v/>
      </c>
      <c r="AJ297" s="964"/>
      <c r="AK297" s="964"/>
      <c r="AL297"/>
      <c r="AM297"/>
      <c r="AN297"/>
      <c r="AO297"/>
      <c r="AP297"/>
      <c r="AQ297"/>
      <c r="AR297"/>
      <c r="AS297"/>
      <c r="AT297"/>
      <c r="AU297"/>
      <c r="AV297"/>
      <c r="AW297" s="9"/>
      <c r="AX297" s="9"/>
      <c r="AY297"/>
      <c r="AZ297"/>
      <c r="BA297"/>
      <c r="BB297"/>
      <c r="BC297"/>
      <c r="BD297"/>
      <c r="BE297"/>
      <c r="BF297"/>
      <c r="BG297"/>
      <c r="BH297"/>
      <c r="BI297"/>
      <c r="BJ297"/>
      <c r="BK297"/>
      <c r="BL297"/>
      <c r="BM297"/>
      <c r="BN297"/>
      <c r="BO297"/>
      <c r="BP297"/>
      <c r="BQ297"/>
      <c r="BR297"/>
      <c r="BS297"/>
      <c r="BT297"/>
      <c r="BU297"/>
      <c r="BV297"/>
      <c r="BW297"/>
      <c r="BX297"/>
      <c r="BY297"/>
      <c r="BZ297"/>
      <c r="CA297" s="1396"/>
      <c r="CB297" s="1396"/>
      <c r="CC297"/>
      <c r="CD297"/>
      <c r="CE297"/>
    </row>
    <row r="298" spans="1:83" ht="13.5" outlineLevel="1" thickBot="1" x14ac:dyDescent="0.25">
      <c r="A298"/>
      <c r="B298" s="1"/>
      <c r="C298" s="1"/>
      <c r="D298" s="76"/>
      <c r="E298" s="76"/>
      <c r="F298" s="76"/>
      <c r="G298" s="9"/>
      <c r="H298" s="9"/>
      <c r="I298" s="1"/>
      <c r="J298"/>
      <c r="K298"/>
      <c r="L298"/>
      <c r="M298"/>
      <c r="N298"/>
      <c r="O298"/>
      <c r="P298" s="89"/>
      <c r="Q298"/>
      <c r="R298" s="1"/>
      <c r="S298" s="993">
        <f>S291+1</f>
        <v>5</v>
      </c>
      <c r="T298" s="961"/>
      <c r="U298" s="961"/>
      <c r="V298" s="961"/>
      <c r="W298" s="960"/>
      <c r="X298" s="960"/>
      <c r="Y298" s="960"/>
      <c r="Z298" s="962"/>
      <c r="AA298" s="123"/>
      <c r="AB298" s="963"/>
      <c r="AC298" s="963"/>
      <c r="AD298" s="963"/>
      <c r="AE298" s="964"/>
      <c r="AF298" s="964"/>
      <c r="AG298" s="964"/>
      <c r="AH298" s="964"/>
      <c r="AI298" s="964"/>
      <c r="AJ298" s="964"/>
      <c r="AK298" s="964"/>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s="1396"/>
      <c r="CB298" s="1396"/>
      <c r="CC298"/>
      <c r="CD298"/>
      <c r="CE298"/>
    </row>
    <row r="299" spans="1:83" ht="13.9" customHeight="1" outlineLevel="2" thickBot="1" x14ac:dyDescent="0.25">
      <c r="A299"/>
      <c r="B299" s="1"/>
      <c r="C299"/>
      <c r="D299"/>
      <c r="E299"/>
      <c r="F299"/>
      <c r="G299" s="1"/>
      <c r="H299" s="1"/>
      <c r="I299"/>
      <c r="J299"/>
      <c r="K299"/>
      <c r="L299"/>
      <c r="M299"/>
      <c r="N299"/>
      <c r="O299"/>
      <c r="P299"/>
      <c r="Q299"/>
      <c r="S299" s="22" t="str">
        <f>N_Heure</f>
        <v>Heure</v>
      </c>
      <c r="T299" s="22" t="str">
        <f>N_Table</f>
        <v>Table</v>
      </c>
      <c r="U299" s="22" t="str">
        <f>N_Arbitre</f>
        <v>Arbitre</v>
      </c>
      <c r="V299" s="293" t="str">
        <f>N_Matches</f>
        <v>Matches</v>
      </c>
      <c r="W299" s="294"/>
      <c r="X299" s="294"/>
      <c r="Y299" s="294"/>
      <c r="Z299" s="295"/>
      <c r="AA299" s="8"/>
      <c r="AB299" s="967"/>
      <c r="AC299" s="967"/>
      <c r="AD299" s="967"/>
      <c r="AE299" s="964"/>
      <c r="AF299" s="964"/>
      <c r="AG299" s="964"/>
      <c r="AH299" s="964"/>
      <c r="AI299" s="964"/>
      <c r="AJ299" s="964"/>
      <c r="AK299" s="964"/>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s="1396"/>
      <c r="CB299" s="1396"/>
      <c r="CC299"/>
      <c r="CD299"/>
      <c r="CE299"/>
    </row>
    <row r="300" spans="1:83" ht="13.15" customHeight="1" outlineLevel="2" x14ac:dyDescent="0.2">
      <c r="A300"/>
      <c r="B300" s="1"/>
      <c r="C300"/>
      <c r="D300"/>
      <c r="E300"/>
      <c r="F300"/>
      <c r="G300" s="1"/>
      <c r="H300" s="1"/>
      <c r="I300"/>
      <c r="J300"/>
      <c r="K300"/>
      <c r="L300"/>
      <c r="M300"/>
      <c r="N300"/>
      <c r="O300"/>
      <c r="P300"/>
      <c r="Q300"/>
      <c r="R300" s="558" t="s">
        <v>1730</v>
      </c>
      <c r="S300" s="65"/>
      <c r="T300" s="953"/>
      <c r="U300" s="954"/>
      <c r="V300" s="34" t="str">
        <f>G260</f>
        <v>A1</v>
      </c>
      <c r="W300" s="148"/>
      <c r="X300" s="35" t="s">
        <v>769</v>
      </c>
      <c r="Y300" s="148"/>
      <c r="Z300" s="36" t="str">
        <f>G261</f>
        <v>A2</v>
      </c>
      <c r="AA300" s="123"/>
      <c r="AB300" s="1459">
        <f>IF(MaxScore,MaxGoals(W300,Y300,MaxGoalsValue),IF(W300="","",W300))</f>
        <v>0</v>
      </c>
      <c r="AC300" s="1460" t="str">
        <f>IF(MaxScore,"-",IF(W300="","","-"))</f>
        <v>-</v>
      </c>
      <c r="AD300" s="1459">
        <f>IF(MaxScore,MaxGoals(Y300,W300,MaxGoalsValue),IF(Y300="","",Y300))</f>
        <v>0</v>
      </c>
      <c r="AE300" s="964" t="str">
        <f>IF(W300="","",IF(W300&gt;Y300,V300,IF(W300=Y300,"",Z300)))</f>
        <v/>
      </c>
      <c r="AF300" s="964" t="str">
        <f>IF(W300="","",IF(W300=Y300,V300,""))</f>
        <v/>
      </c>
      <c r="AG300" s="964" t="str">
        <f>IF(W300="","",IF(W300=Y300,Z300,""))</f>
        <v/>
      </c>
      <c r="AH300" s="964" t="str">
        <f>IF(W300="","",IF(W300&lt;Y300,V300,IF(W300=Y300,"",Z300)))</f>
        <v/>
      </c>
      <c r="AI300" s="964" t="str">
        <f>CONCATENATE(AE300,AH300)</f>
        <v/>
      </c>
      <c r="AJ300" s="964"/>
      <c r="AK300" s="964"/>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s="1396"/>
      <c r="CB300" s="1396"/>
      <c r="CC300"/>
      <c r="CD300"/>
      <c r="CE300"/>
    </row>
    <row r="301" spans="1:83" ht="13.15" customHeight="1" outlineLevel="2" x14ac:dyDescent="0.2">
      <c r="A301"/>
      <c r="B301" s="1"/>
      <c r="C301"/>
      <c r="D301"/>
      <c r="E301"/>
      <c r="F301"/>
      <c r="G301" s="1"/>
      <c r="H301" s="1"/>
      <c r="I301"/>
      <c r="J301"/>
      <c r="K301"/>
      <c r="L301"/>
      <c r="M301"/>
      <c r="N301"/>
      <c r="O301"/>
      <c r="P301"/>
      <c r="Q301"/>
      <c r="R301" s="558" t="s">
        <v>1730</v>
      </c>
      <c r="S301" s="83"/>
      <c r="T301" s="56"/>
      <c r="U301" s="955"/>
      <c r="V301" s="43" t="str">
        <f>G264</f>
        <v>A5</v>
      </c>
      <c r="W301" s="10"/>
      <c r="X301" s="45" t="s">
        <v>769</v>
      </c>
      <c r="Y301" s="10"/>
      <c r="Z301" s="46" t="str">
        <f>G266</f>
        <v>A7</v>
      </c>
      <c r="AA301" s="123"/>
      <c r="AB301" s="1459">
        <f>IF(MaxScore,MaxGoals(W301,Y301,MaxGoalsValue),IF(W301="","",W301))</f>
        <v>0</v>
      </c>
      <c r="AC301" s="1460" t="str">
        <f>IF(MaxScore,"-",IF(W301="","","-"))</f>
        <v>-</v>
      </c>
      <c r="AD301" s="1459">
        <f>IF(MaxScore,MaxGoals(Y301,W301,MaxGoalsValue),IF(Y301="","",Y301))</f>
        <v>0</v>
      </c>
      <c r="AE301" s="964" t="str">
        <f>IF(W301="","",IF(W301&gt;Y301,V301,IF(W301=Y301,"",Z301)))</f>
        <v/>
      </c>
      <c r="AF301" s="964" t="str">
        <f>IF(W301="","",IF(W301=Y301,V301,""))</f>
        <v/>
      </c>
      <c r="AG301" s="964" t="str">
        <f>IF(W301="","",IF(W301=Y301,Z301,""))</f>
        <v/>
      </c>
      <c r="AH301" s="964" t="str">
        <f>IF(W301="","",IF(W301&lt;Y301,V301,IF(W301=Y301,"",Z301)))</f>
        <v/>
      </c>
      <c r="AI301" s="964" t="str">
        <f>CONCATENATE(AE301,AH301)</f>
        <v/>
      </c>
      <c r="AJ301" s="964"/>
      <c r="AK301" s="964"/>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s="1396"/>
      <c r="CB301" s="1396"/>
      <c r="CC301"/>
      <c r="CD301"/>
      <c r="CE301"/>
    </row>
    <row r="302" spans="1:83" ht="13.15" customHeight="1" outlineLevel="2" x14ac:dyDescent="0.2">
      <c r="A302"/>
      <c r="B302" s="1"/>
      <c r="C302"/>
      <c r="D302"/>
      <c r="E302"/>
      <c r="F302"/>
      <c r="G302" s="1"/>
      <c r="H302" s="1"/>
      <c r="I302"/>
      <c r="J302"/>
      <c r="K302"/>
      <c r="L302"/>
      <c r="M302"/>
      <c r="N302"/>
      <c r="O302"/>
      <c r="P302"/>
      <c r="Q302"/>
      <c r="R302" s="558" t="s">
        <v>1730</v>
      </c>
      <c r="S302" s="83"/>
      <c r="T302" s="56"/>
      <c r="U302" s="955"/>
      <c r="V302" s="43" t="str">
        <f>G267</f>
        <v>A8</v>
      </c>
      <c r="W302" s="10"/>
      <c r="X302" s="45" t="s">
        <v>769</v>
      </c>
      <c r="Y302" s="10"/>
      <c r="Z302" s="46" t="str">
        <f>G263</f>
        <v>A4</v>
      </c>
      <c r="AA302" s="123"/>
      <c r="AB302" s="1459">
        <f>IF(MaxScore,MaxGoals(W302,Y302,MaxGoalsValue),IF(W302="","",W302))</f>
        <v>0</v>
      </c>
      <c r="AC302" s="1460" t="str">
        <f>IF(MaxScore,"-",IF(W302="","","-"))</f>
        <v>-</v>
      </c>
      <c r="AD302" s="1459">
        <f>IF(MaxScore,MaxGoals(Y302,W302,MaxGoalsValue),IF(Y302="","",Y302))</f>
        <v>0</v>
      </c>
      <c r="AE302" s="964" t="str">
        <f>IF(W302="","",IF(W302&gt;Y302,V302,IF(W302=Y302,"",Z302)))</f>
        <v/>
      </c>
      <c r="AF302" s="964" t="str">
        <f>IF(W302="","",IF(W302=Y302,V302,""))</f>
        <v/>
      </c>
      <c r="AG302" s="964" t="str">
        <f>IF(W302="","",IF(W302=Y302,Z302,""))</f>
        <v/>
      </c>
      <c r="AH302" s="964" t="str">
        <f>IF(W302="","",IF(W302&lt;Y302,V302,IF(W302=Y302,"",Z302)))</f>
        <v/>
      </c>
      <c r="AI302" s="964" t="str">
        <f>CONCATENATE(AE302,AH302)</f>
        <v/>
      </c>
      <c r="AJ302" s="964"/>
      <c r="AK302" s="964"/>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s="1396"/>
      <c r="CB302" s="1396"/>
      <c r="CC302"/>
      <c r="CD302"/>
      <c r="CE302"/>
    </row>
    <row r="303" spans="1:83" ht="13.15" customHeight="1" outlineLevel="2" x14ac:dyDescent="0.2">
      <c r="A303"/>
      <c r="B303" s="1"/>
      <c r="C303"/>
      <c r="D303"/>
      <c r="E303"/>
      <c r="F303"/>
      <c r="G303" s="1"/>
      <c r="H303" s="1"/>
      <c r="I303"/>
      <c r="J303"/>
      <c r="K303"/>
      <c r="L303"/>
      <c r="M303"/>
      <c r="N303"/>
      <c r="O303"/>
      <c r="P303"/>
      <c r="Q303"/>
      <c r="R303" s="558" t="s">
        <v>1730</v>
      </c>
      <c r="S303" s="83"/>
      <c r="T303" s="56"/>
      <c r="U303" s="955"/>
      <c r="V303" s="43" t="str">
        <f>G268</f>
        <v>A9</v>
      </c>
      <c r="W303" s="10"/>
      <c r="X303" s="45" t="s">
        <v>769</v>
      </c>
      <c r="Y303" s="10"/>
      <c r="Z303" s="46" t="str">
        <f>G262</f>
        <v>A3</v>
      </c>
      <c r="AA303" s="123"/>
      <c r="AB303" s="1459">
        <f>IF(MaxScore,MaxGoals(W303,Y303,MaxGoalsValue),IF(W303="","",W303))</f>
        <v>0</v>
      </c>
      <c r="AC303" s="1460" t="str">
        <f>IF(MaxScore,"-",IF(W303="","","-"))</f>
        <v>-</v>
      </c>
      <c r="AD303" s="1459">
        <f>IF(MaxScore,MaxGoals(Y303,W303,MaxGoalsValue),IF(Y303="","",Y303))</f>
        <v>0</v>
      </c>
      <c r="AE303" s="964" t="str">
        <f>IF(W303="","",IF(W303&gt;Y303,V303,IF(W303=Y303,"",Z303)))</f>
        <v/>
      </c>
      <c r="AF303" s="964" t="str">
        <f>IF(W303="","",IF(W303=Y303,V303,""))</f>
        <v/>
      </c>
      <c r="AG303" s="964" t="str">
        <f>IF(W303="","",IF(W303=Y303,Z303,""))</f>
        <v/>
      </c>
      <c r="AH303" s="964" t="str">
        <f>IF(W303="","",IF(W303&lt;Y303,V303,IF(W303=Y303,"",Z303)))</f>
        <v/>
      </c>
      <c r="AI303" s="964" t="str">
        <f>CONCATENATE(AE303,AH303)</f>
        <v/>
      </c>
      <c r="AJ303" s="964"/>
      <c r="AK303" s="964"/>
      <c r="AL303"/>
      <c r="AM303"/>
      <c r="AN303"/>
      <c r="AO303"/>
      <c r="AP303"/>
      <c r="AQ303"/>
      <c r="AR303"/>
      <c r="AS303"/>
      <c r="AT303"/>
      <c r="AU303"/>
      <c r="AV303"/>
      <c r="AW303"/>
      <c r="AX303" s="9"/>
      <c r="AY303"/>
      <c r="AZ303"/>
      <c r="BA303"/>
      <c r="BB303"/>
      <c r="BC303"/>
      <c r="BD303"/>
      <c r="BE303"/>
      <c r="BF303"/>
      <c r="BG303"/>
      <c r="BH303"/>
      <c r="BI303"/>
      <c r="BJ303"/>
      <c r="BK303"/>
      <c r="BL303"/>
      <c r="BM303"/>
      <c r="BN303"/>
      <c r="BO303"/>
      <c r="BP303"/>
      <c r="BQ303"/>
      <c r="BR303"/>
      <c r="BS303"/>
      <c r="BT303"/>
      <c r="BU303"/>
      <c r="BV303"/>
      <c r="BW303"/>
      <c r="BX303"/>
      <c r="BY303"/>
      <c r="BZ303"/>
      <c r="CA303" s="1396"/>
      <c r="CB303" s="1396"/>
      <c r="CC303"/>
      <c r="CD303"/>
      <c r="CE303"/>
    </row>
    <row r="304" spans="1:83" ht="13.9" customHeight="1" outlineLevel="2" thickBot="1" x14ac:dyDescent="0.25">
      <c r="A304"/>
      <c r="B304" s="1"/>
      <c r="C304"/>
      <c r="D304"/>
      <c r="E304"/>
      <c r="F304"/>
      <c r="G304" s="1"/>
      <c r="H304" s="1"/>
      <c r="I304"/>
      <c r="J304"/>
      <c r="K304"/>
      <c r="L304"/>
      <c r="M304"/>
      <c r="N304"/>
      <c r="O304"/>
      <c r="P304"/>
      <c r="Q304"/>
      <c r="R304" s="558" t="s">
        <v>1730</v>
      </c>
      <c r="S304" s="956"/>
      <c r="T304" s="58"/>
      <c r="U304" s="957"/>
      <c r="V304" s="958" t="str">
        <f>G269</f>
        <v>A10</v>
      </c>
      <c r="W304" s="10"/>
      <c r="X304" s="45" t="s">
        <v>769</v>
      </c>
      <c r="Y304" s="10"/>
      <c r="Z304" s="46" t="str">
        <f>G265</f>
        <v>A6</v>
      </c>
      <c r="AA304" s="123"/>
      <c r="AB304" s="1459">
        <f>IF(MaxScore,MaxGoals(W304,Y304,MaxGoalsValue),IF(W304="","",W304))</f>
        <v>0</v>
      </c>
      <c r="AC304" s="1460" t="str">
        <f>IF(MaxScore,"-",IF(W304="","","-"))</f>
        <v>-</v>
      </c>
      <c r="AD304" s="1459">
        <f>IF(MaxScore,MaxGoals(Y304,W304,MaxGoalsValue),IF(Y304="","",Y304))</f>
        <v>0</v>
      </c>
      <c r="AE304" s="964" t="str">
        <f>IF(W304="","",IF(W304&gt;Y304,V304,IF(W304=Y304,"",Z304)))</f>
        <v/>
      </c>
      <c r="AF304" s="964" t="str">
        <f>IF(W304="","",IF(W304=Y304,V304,""))</f>
        <v/>
      </c>
      <c r="AG304" s="964" t="str">
        <f>IF(W304="","",IF(W304=Y304,Z304,""))</f>
        <v/>
      </c>
      <c r="AH304" s="964" t="str">
        <f>IF(W304="","",IF(W304&lt;Y304,V304,IF(W304=Y304,"",Z304)))</f>
        <v/>
      </c>
      <c r="AI304" s="964" t="str">
        <f>CONCATENATE(AE304,AH304)</f>
        <v/>
      </c>
      <c r="AJ304" s="964"/>
      <c r="AK304" s="964"/>
      <c r="AL304"/>
      <c r="AM304"/>
      <c r="AN304"/>
      <c r="AO304"/>
      <c r="AP304"/>
      <c r="AQ304"/>
      <c r="AR304"/>
      <c r="AS304"/>
      <c r="AT304"/>
      <c r="AU304"/>
      <c r="AV304"/>
      <c r="AW304" s="9"/>
      <c r="AX304" s="9"/>
      <c r="AY304"/>
      <c r="AZ304"/>
      <c r="BA304"/>
      <c r="BB304"/>
      <c r="BC304"/>
      <c r="BD304"/>
      <c r="BE304"/>
      <c r="BF304"/>
      <c r="BG304"/>
      <c r="BH304"/>
      <c r="BI304"/>
      <c r="BJ304"/>
      <c r="BK304"/>
      <c r="BL304"/>
      <c r="BM304"/>
      <c r="BN304"/>
      <c r="BO304"/>
      <c r="BP304"/>
      <c r="BQ304"/>
      <c r="BR304"/>
      <c r="BS304"/>
      <c r="BT304"/>
      <c r="BU304"/>
      <c r="BV304"/>
      <c r="BW304"/>
      <c r="BX304"/>
      <c r="BY304"/>
      <c r="BZ304"/>
      <c r="CA304" s="1396"/>
      <c r="CB304" s="1396"/>
      <c r="CC304"/>
      <c r="CD304"/>
      <c r="CE304"/>
    </row>
    <row r="305" spans="1:83" ht="13.5" outlineLevel="1" thickBot="1" x14ac:dyDescent="0.25">
      <c r="A305"/>
      <c r="B305" s="1"/>
      <c r="C305" s="1"/>
      <c r="D305" s="76"/>
      <c r="E305" s="76"/>
      <c r="F305" s="76"/>
      <c r="G305" s="9"/>
      <c r="H305" s="9"/>
      <c r="I305" s="1"/>
      <c r="J305"/>
      <c r="K305"/>
      <c r="L305"/>
      <c r="M305"/>
      <c r="N305"/>
      <c r="O305"/>
      <c r="P305" s="89"/>
      <c r="Q305"/>
      <c r="R305" s="1"/>
      <c r="S305" s="993">
        <f>S298+1</f>
        <v>6</v>
      </c>
      <c r="T305" s="961"/>
      <c r="U305" s="961"/>
      <c r="V305" s="961"/>
      <c r="W305" s="960"/>
      <c r="X305" s="960"/>
      <c r="Y305" s="960"/>
      <c r="Z305" s="962"/>
      <c r="AA305" s="123"/>
      <c r="AB305" s="963"/>
      <c r="AC305" s="963"/>
      <c r="AD305" s="963"/>
      <c r="AE305" s="964"/>
      <c r="AF305" s="964"/>
      <c r="AG305" s="964"/>
      <c r="AH305" s="964"/>
      <c r="AI305" s="964"/>
      <c r="AJ305" s="964"/>
      <c r="AK305" s="964"/>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s="1396"/>
      <c r="CB305" s="1396"/>
      <c r="CC305"/>
      <c r="CD305"/>
      <c r="CE305"/>
    </row>
    <row r="306" spans="1:83" ht="13.9" customHeight="1" outlineLevel="2" thickBot="1" x14ac:dyDescent="0.25">
      <c r="A306"/>
      <c r="B306" s="1"/>
      <c r="C306"/>
      <c r="D306"/>
      <c r="E306"/>
      <c r="F306"/>
      <c r="G306" s="1"/>
      <c r="H306" s="1"/>
      <c r="I306"/>
      <c r="J306"/>
      <c r="K306"/>
      <c r="L306"/>
      <c r="M306"/>
      <c r="N306"/>
      <c r="O306"/>
      <c r="P306"/>
      <c r="Q306"/>
      <c r="S306" s="22" t="str">
        <f>N_Heure</f>
        <v>Heure</v>
      </c>
      <c r="T306" s="22" t="str">
        <f>N_Table</f>
        <v>Table</v>
      </c>
      <c r="U306" s="22" t="str">
        <f>N_Arbitre</f>
        <v>Arbitre</v>
      </c>
      <c r="V306" s="293" t="str">
        <f>N_Matches</f>
        <v>Matches</v>
      </c>
      <c r="W306" s="294"/>
      <c r="X306" s="294"/>
      <c r="Y306" s="294"/>
      <c r="Z306" s="295"/>
      <c r="AA306" s="8"/>
      <c r="AB306" s="967"/>
      <c r="AC306" s="967"/>
      <c r="AD306" s="967"/>
      <c r="AE306" s="964"/>
      <c r="AF306" s="964"/>
      <c r="AG306" s="964"/>
      <c r="AH306" s="964"/>
      <c r="AI306" s="964"/>
      <c r="AJ306" s="964"/>
      <c r="AK306" s="964"/>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s="1396"/>
      <c r="CB306" s="1396"/>
      <c r="CC306"/>
      <c r="CD306"/>
      <c r="CE306"/>
    </row>
    <row r="307" spans="1:83" ht="13.15" customHeight="1" outlineLevel="2" x14ac:dyDescent="0.2">
      <c r="A307"/>
      <c r="B307" s="1"/>
      <c r="C307"/>
      <c r="D307"/>
      <c r="E307"/>
      <c r="F307"/>
      <c r="G307" s="1"/>
      <c r="H307" s="1"/>
      <c r="I307"/>
      <c r="J307"/>
      <c r="K307"/>
      <c r="L307"/>
      <c r="M307"/>
      <c r="N307"/>
      <c r="O307"/>
      <c r="P307"/>
      <c r="Q307"/>
      <c r="R307" s="558" t="s">
        <v>1731</v>
      </c>
      <c r="S307" s="65"/>
      <c r="T307" s="953"/>
      <c r="U307" s="954"/>
      <c r="V307" s="34" t="str">
        <f>G260</f>
        <v>A1</v>
      </c>
      <c r="W307" s="148"/>
      <c r="X307" s="35" t="s">
        <v>769</v>
      </c>
      <c r="Y307" s="148"/>
      <c r="Z307" s="36" t="str">
        <f>G263</f>
        <v>A4</v>
      </c>
      <c r="AA307" s="123"/>
      <c r="AB307" s="1459">
        <f>IF(MaxScore,MaxGoals(W307,Y307,MaxGoalsValue),IF(W307="","",W307))</f>
        <v>0</v>
      </c>
      <c r="AC307" s="1460" t="str">
        <f>IF(MaxScore,"-",IF(W307="","","-"))</f>
        <v>-</v>
      </c>
      <c r="AD307" s="1459">
        <f>IF(MaxScore,MaxGoals(Y307,W307,MaxGoalsValue),IF(Y307="","",Y307))</f>
        <v>0</v>
      </c>
      <c r="AE307" s="964" t="str">
        <f>IF(W307="","",IF(W307&gt;Y307,V307,IF(W307=Y307,"",Z307)))</f>
        <v/>
      </c>
      <c r="AF307" s="964" t="str">
        <f>IF(W307="","",IF(W307=Y307,V307,""))</f>
        <v/>
      </c>
      <c r="AG307" s="964" t="str">
        <f>IF(W307="","",IF(W307=Y307,Z307,""))</f>
        <v/>
      </c>
      <c r="AH307" s="964" t="str">
        <f>IF(W307="","",IF(W307&lt;Y307,V307,IF(W307=Y307,"",Z307)))</f>
        <v/>
      </c>
      <c r="AI307" s="964" t="str">
        <f>CONCATENATE(AE307,AH307)</f>
        <v/>
      </c>
      <c r="AJ307" s="964"/>
      <c r="AK307" s="964"/>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s="1396"/>
      <c r="CB307" s="1396"/>
      <c r="CC307"/>
      <c r="CD307"/>
      <c r="CE307"/>
    </row>
    <row r="308" spans="1:83" ht="13.15" customHeight="1" outlineLevel="2" x14ac:dyDescent="0.2">
      <c r="A308"/>
      <c r="B308" s="1"/>
      <c r="C308"/>
      <c r="D308"/>
      <c r="E308"/>
      <c r="F308"/>
      <c r="G308" s="1"/>
      <c r="H308" s="1"/>
      <c r="I308"/>
      <c r="J308"/>
      <c r="K308"/>
      <c r="L308"/>
      <c r="M308"/>
      <c r="N308"/>
      <c r="O308"/>
      <c r="P308"/>
      <c r="Q308"/>
      <c r="R308" s="558" t="s">
        <v>1731</v>
      </c>
      <c r="S308" s="83"/>
      <c r="T308" s="56"/>
      <c r="U308" s="955"/>
      <c r="V308" s="43" t="str">
        <f>G261</f>
        <v>A2</v>
      </c>
      <c r="W308" s="10"/>
      <c r="X308" s="45" t="s">
        <v>769</v>
      </c>
      <c r="Y308" s="10"/>
      <c r="Z308" s="46" t="str">
        <f>G262</f>
        <v>A3</v>
      </c>
      <c r="AA308" s="123"/>
      <c r="AB308" s="1459">
        <f>IF(MaxScore,MaxGoals(W308,Y308,MaxGoalsValue),IF(W308="","",W308))</f>
        <v>0</v>
      </c>
      <c r="AC308" s="1460" t="str">
        <f>IF(MaxScore,"-",IF(W308="","","-"))</f>
        <v>-</v>
      </c>
      <c r="AD308" s="1459">
        <f>IF(MaxScore,MaxGoals(Y308,W308,MaxGoalsValue),IF(Y308="","",Y308))</f>
        <v>0</v>
      </c>
      <c r="AE308" s="964" t="str">
        <f>IF(W308="","",IF(W308&gt;Y308,V308,IF(W308=Y308,"",Z308)))</f>
        <v/>
      </c>
      <c r="AF308" s="964" t="str">
        <f>IF(W308="","",IF(W308=Y308,V308,""))</f>
        <v/>
      </c>
      <c r="AG308" s="964" t="str">
        <f>IF(W308="","",IF(W308=Y308,Z308,""))</f>
        <v/>
      </c>
      <c r="AH308" s="964" t="str">
        <f>IF(W308="","",IF(W308&lt;Y308,V308,IF(W308=Y308,"",Z308)))</f>
        <v/>
      </c>
      <c r="AI308" s="964" t="str">
        <f>CONCATENATE(AE308,AH308)</f>
        <v/>
      </c>
      <c r="AJ308" s="964"/>
      <c r="AK308" s="964"/>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s="1396"/>
      <c r="CB308" s="1396"/>
      <c r="CC308"/>
      <c r="CD308"/>
      <c r="CE308"/>
    </row>
    <row r="309" spans="1:83" ht="13.15" customHeight="1" outlineLevel="2" x14ac:dyDescent="0.2">
      <c r="A309"/>
      <c r="B309" s="1"/>
      <c r="C309"/>
      <c r="D309"/>
      <c r="E309"/>
      <c r="F309"/>
      <c r="G309" s="1"/>
      <c r="H309" s="1"/>
      <c r="I309"/>
      <c r="J309"/>
      <c r="K309"/>
      <c r="L309"/>
      <c r="M309"/>
      <c r="N309"/>
      <c r="O309"/>
      <c r="P309"/>
      <c r="Q309"/>
      <c r="R309" s="558" t="s">
        <v>1731</v>
      </c>
      <c r="S309" s="83"/>
      <c r="T309" s="56"/>
      <c r="U309" s="955"/>
      <c r="V309" s="43" t="str">
        <f>G264</f>
        <v>A5</v>
      </c>
      <c r="W309" s="10"/>
      <c r="X309" s="45" t="s">
        <v>769</v>
      </c>
      <c r="Y309" s="10"/>
      <c r="Z309" s="46" t="str">
        <f>G268</f>
        <v>A9</v>
      </c>
      <c r="AA309" s="123"/>
      <c r="AB309" s="1459">
        <f>IF(MaxScore,MaxGoals(W309,Y309,MaxGoalsValue),IF(W309="","",W309))</f>
        <v>0</v>
      </c>
      <c r="AC309" s="1460" t="str">
        <f>IF(MaxScore,"-",IF(W309="","","-"))</f>
        <v>-</v>
      </c>
      <c r="AD309" s="1459">
        <f>IF(MaxScore,MaxGoals(Y309,W309,MaxGoalsValue),IF(Y309="","",Y309))</f>
        <v>0</v>
      </c>
      <c r="AE309" s="964" t="str">
        <f>IF(W309="","",IF(W309&gt;Y309,V309,IF(W309=Y309,"",Z309)))</f>
        <v/>
      </c>
      <c r="AF309" s="964" t="str">
        <f>IF(W309="","",IF(W309=Y309,V309,""))</f>
        <v/>
      </c>
      <c r="AG309" s="964" t="str">
        <f>IF(W309="","",IF(W309=Y309,Z309,""))</f>
        <v/>
      </c>
      <c r="AH309" s="964" t="str">
        <f>IF(W309="","",IF(W309&lt;Y309,V309,IF(W309=Y309,"",Z309)))</f>
        <v/>
      </c>
      <c r="AI309" s="964" t="str">
        <f>CONCATENATE(AE309,AH309)</f>
        <v/>
      </c>
      <c r="AJ309" s="964"/>
      <c r="AK309" s="964"/>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s="1396"/>
      <c r="CB309" s="1396"/>
      <c r="CC309"/>
      <c r="CD309"/>
      <c r="CE309"/>
    </row>
    <row r="310" spans="1:83" ht="13.15" customHeight="1" outlineLevel="2" x14ac:dyDescent="0.2">
      <c r="A310"/>
      <c r="B310" s="1"/>
      <c r="C310"/>
      <c r="D310"/>
      <c r="E310"/>
      <c r="F310"/>
      <c r="G310" s="1"/>
      <c r="H310" s="1"/>
      <c r="I310"/>
      <c r="J310"/>
      <c r="K310"/>
      <c r="L310"/>
      <c r="M310"/>
      <c r="N310"/>
      <c r="O310"/>
      <c r="P310"/>
      <c r="Q310"/>
      <c r="R310" s="558" t="s">
        <v>1731</v>
      </c>
      <c r="S310" s="83"/>
      <c r="T310" s="56"/>
      <c r="U310" s="955"/>
      <c r="V310" s="43" t="str">
        <f>G265</f>
        <v>A6</v>
      </c>
      <c r="W310" s="10"/>
      <c r="X310" s="45" t="s">
        <v>769</v>
      </c>
      <c r="Y310" s="10"/>
      <c r="Z310" s="46" t="str">
        <f>G267</f>
        <v>A8</v>
      </c>
      <c r="AA310" s="123"/>
      <c r="AB310" s="1459">
        <f>IF(MaxScore,MaxGoals(W310,Y310,MaxGoalsValue),IF(W310="","",W310))</f>
        <v>0</v>
      </c>
      <c r="AC310" s="1460" t="str">
        <f>IF(MaxScore,"-",IF(W310="","","-"))</f>
        <v>-</v>
      </c>
      <c r="AD310" s="1459">
        <f>IF(MaxScore,MaxGoals(Y310,W310,MaxGoalsValue),IF(Y310="","",Y310))</f>
        <v>0</v>
      </c>
      <c r="AE310" s="964" t="str">
        <f>IF(W310="","",IF(W310&gt;Y310,V310,IF(W310=Y310,"",Z310)))</f>
        <v/>
      </c>
      <c r="AF310" s="964" t="str">
        <f>IF(W310="","",IF(W310=Y310,V310,""))</f>
        <v/>
      </c>
      <c r="AG310" s="964" t="str">
        <f>IF(W310="","",IF(W310=Y310,Z310,""))</f>
        <v/>
      </c>
      <c r="AH310" s="964" t="str">
        <f>IF(W310="","",IF(W310&lt;Y310,V310,IF(W310=Y310,"",Z310)))</f>
        <v/>
      </c>
      <c r="AI310" s="964" t="str">
        <f>CONCATENATE(AE310,AH310)</f>
        <v/>
      </c>
      <c r="AJ310" s="964"/>
      <c r="AK310" s="964"/>
      <c r="AL310"/>
      <c r="AM310"/>
      <c r="AN310"/>
      <c r="AO310"/>
      <c r="AP310"/>
      <c r="AQ310"/>
      <c r="AR310"/>
      <c r="AS310"/>
      <c r="AT310"/>
      <c r="AU310"/>
      <c r="AV310"/>
      <c r="AW310"/>
      <c r="AX310" s="9"/>
      <c r="AY310"/>
      <c r="AZ310"/>
      <c r="BA310"/>
      <c r="BB310"/>
      <c r="BC310"/>
      <c r="BD310"/>
      <c r="BE310"/>
      <c r="BF310"/>
      <c r="BG310"/>
      <c r="BH310"/>
      <c r="BI310"/>
      <c r="BJ310"/>
      <c r="BK310"/>
      <c r="BL310"/>
      <c r="BM310"/>
      <c r="BN310"/>
      <c r="BO310"/>
      <c r="BP310"/>
      <c r="BQ310"/>
      <c r="BR310"/>
      <c r="BS310"/>
      <c r="BT310"/>
      <c r="BU310"/>
      <c r="BV310"/>
      <c r="BW310"/>
      <c r="BX310"/>
      <c r="BY310"/>
      <c r="BZ310"/>
      <c r="CA310" s="1396"/>
      <c r="CB310" s="1396"/>
      <c r="CC310"/>
      <c r="CD310"/>
      <c r="CE310"/>
    </row>
    <row r="311" spans="1:83" ht="13.9" customHeight="1" outlineLevel="2" thickBot="1" x14ac:dyDescent="0.25">
      <c r="A311"/>
      <c r="B311" s="1"/>
      <c r="C311"/>
      <c r="D311"/>
      <c r="E311"/>
      <c r="F311"/>
      <c r="G311" s="1"/>
      <c r="H311" s="1"/>
      <c r="I311"/>
      <c r="J311"/>
      <c r="K311"/>
      <c r="L311"/>
      <c r="M311"/>
      <c r="N311"/>
      <c r="O311"/>
      <c r="P311"/>
      <c r="Q311"/>
      <c r="R311" s="558" t="s">
        <v>1731</v>
      </c>
      <c r="S311" s="956"/>
      <c r="T311" s="58"/>
      <c r="U311" s="957"/>
      <c r="V311" s="43" t="str">
        <f>G266</f>
        <v>A7</v>
      </c>
      <c r="W311" s="10"/>
      <c r="X311" s="45" t="s">
        <v>769</v>
      </c>
      <c r="Y311" s="10"/>
      <c r="Z311" s="46" t="str">
        <f>G269</f>
        <v>A10</v>
      </c>
      <c r="AA311" s="123"/>
      <c r="AB311" s="1459">
        <f>IF(MaxScore,MaxGoals(W311,Y311,MaxGoalsValue),IF(W311="","",W311))</f>
        <v>0</v>
      </c>
      <c r="AC311" s="1460" t="str">
        <f>IF(MaxScore,"-",IF(W311="","","-"))</f>
        <v>-</v>
      </c>
      <c r="AD311" s="1459">
        <f>IF(MaxScore,MaxGoals(Y311,W311,MaxGoalsValue),IF(Y311="","",Y311))</f>
        <v>0</v>
      </c>
      <c r="AE311" s="964" t="str">
        <f>IF(W311="","",IF(W311&gt;Y311,V311,IF(W311=Y311,"",Z311)))</f>
        <v/>
      </c>
      <c r="AF311" s="964" t="str">
        <f>IF(W311="","",IF(W311=Y311,V311,""))</f>
        <v/>
      </c>
      <c r="AG311" s="964" t="str">
        <f>IF(W311="","",IF(W311=Y311,Z311,""))</f>
        <v/>
      </c>
      <c r="AH311" s="964" t="str">
        <f>IF(W311="","",IF(W311&lt;Y311,V311,IF(W311=Y311,"",Z311)))</f>
        <v/>
      </c>
      <c r="AI311" s="964" t="str">
        <f>CONCATENATE(AE311,AH311)</f>
        <v/>
      </c>
      <c r="AJ311" s="964"/>
      <c r="AK311" s="964"/>
      <c r="AL311"/>
      <c r="AM311"/>
      <c r="AN311"/>
      <c r="AO311"/>
      <c r="AP311"/>
      <c r="AQ311"/>
      <c r="AR311"/>
      <c r="AS311"/>
      <c r="AT311"/>
      <c r="AU311"/>
      <c r="AV311"/>
      <c r="AW311" s="9"/>
      <c r="AX311" s="9"/>
      <c r="AY311"/>
      <c r="AZ311"/>
      <c r="BA311"/>
      <c r="BB311"/>
      <c r="BC311"/>
      <c r="BD311"/>
      <c r="BE311"/>
      <c r="BF311"/>
      <c r="BG311"/>
      <c r="BH311"/>
      <c r="BI311"/>
      <c r="BJ311"/>
      <c r="BK311"/>
      <c r="BL311"/>
      <c r="BM311"/>
      <c r="BN311"/>
      <c r="BO311"/>
      <c r="BP311"/>
      <c r="BQ311"/>
      <c r="BR311"/>
      <c r="BS311"/>
      <c r="BT311"/>
      <c r="BU311"/>
      <c r="BV311"/>
      <c r="BW311"/>
      <c r="BX311"/>
      <c r="BY311"/>
      <c r="BZ311"/>
      <c r="CA311" s="1396"/>
      <c r="CB311" s="1396"/>
      <c r="CC311"/>
      <c r="CD311"/>
      <c r="CE311"/>
    </row>
    <row r="312" spans="1:83" ht="13.5" outlineLevel="1" thickBot="1" x14ac:dyDescent="0.25">
      <c r="A312"/>
      <c r="B312" s="1"/>
      <c r="C312" s="1"/>
      <c r="D312" s="76"/>
      <c r="E312" s="76"/>
      <c r="F312" s="76"/>
      <c r="G312" s="9"/>
      <c r="H312" s="9"/>
      <c r="I312" s="1"/>
      <c r="J312"/>
      <c r="K312"/>
      <c r="L312"/>
      <c r="M312"/>
      <c r="N312"/>
      <c r="O312"/>
      <c r="P312" s="89"/>
      <c r="Q312"/>
      <c r="R312" s="1"/>
      <c r="S312" s="993">
        <f>S305+1</f>
        <v>7</v>
      </c>
      <c r="T312" s="961"/>
      <c r="U312" s="961"/>
      <c r="V312" s="961"/>
      <c r="W312" s="960"/>
      <c r="X312" s="960"/>
      <c r="Y312" s="960"/>
      <c r="Z312" s="962"/>
      <c r="AA312" s="123"/>
      <c r="AB312" s="963"/>
      <c r="AC312" s="963"/>
      <c r="AD312" s="963"/>
      <c r="AE312" s="964"/>
      <c r="AF312" s="964"/>
      <c r="AG312" s="964"/>
      <c r="AH312" s="964"/>
      <c r="AI312" s="964"/>
      <c r="AJ312" s="964"/>
      <c r="AK312" s="964"/>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s="1396"/>
      <c r="CB312" s="1396"/>
      <c r="CC312"/>
      <c r="CD312"/>
      <c r="CE312"/>
    </row>
    <row r="313" spans="1:83" ht="13.9" customHeight="1" outlineLevel="2" thickBot="1" x14ac:dyDescent="0.25">
      <c r="A313"/>
      <c r="B313" s="1"/>
      <c r="C313"/>
      <c r="D313"/>
      <c r="E313"/>
      <c r="F313"/>
      <c r="G313" s="1"/>
      <c r="H313" s="1"/>
      <c r="I313"/>
      <c r="J313"/>
      <c r="K313"/>
      <c r="L313"/>
      <c r="M313"/>
      <c r="N313"/>
      <c r="O313"/>
      <c r="P313"/>
      <c r="Q313"/>
      <c r="S313" s="22" t="str">
        <f>N_Heure</f>
        <v>Heure</v>
      </c>
      <c r="T313" s="22" t="str">
        <f>N_Table</f>
        <v>Table</v>
      </c>
      <c r="U313" s="22" t="str">
        <f>N_Arbitre</f>
        <v>Arbitre</v>
      </c>
      <c r="V313" s="293" t="str">
        <f>N_Matches</f>
        <v>Matches</v>
      </c>
      <c r="W313" s="294"/>
      <c r="X313" s="294"/>
      <c r="Y313" s="294"/>
      <c r="Z313" s="295"/>
      <c r="AA313" s="8"/>
      <c r="AB313" s="967"/>
      <c r="AC313" s="967"/>
      <c r="AD313" s="967"/>
      <c r="AE313" s="964"/>
      <c r="AF313" s="964"/>
      <c r="AG313" s="964"/>
      <c r="AH313" s="964"/>
      <c r="AI313" s="964"/>
      <c r="AJ313" s="964"/>
      <c r="AK313" s="964"/>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s="1396"/>
      <c r="CB313" s="1396"/>
      <c r="CC313"/>
      <c r="CD313"/>
      <c r="CE313"/>
    </row>
    <row r="314" spans="1:83" ht="13.15" customHeight="1" outlineLevel="2" x14ac:dyDescent="0.2">
      <c r="A314"/>
      <c r="B314" s="1"/>
      <c r="C314"/>
      <c r="D314"/>
      <c r="E314"/>
      <c r="F314"/>
      <c r="G314" s="1"/>
      <c r="H314" s="1"/>
      <c r="I314"/>
      <c r="J314"/>
      <c r="K314"/>
      <c r="L314"/>
      <c r="M314"/>
      <c r="N314"/>
      <c r="O314"/>
      <c r="P314"/>
      <c r="Q314"/>
      <c r="R314" s="558" t="s">
        <v>1740</v>
      </c>
      <c r="S314" s="83"/>
      <c r="T314" s="56"/>
      <c r="U314" s="955"/>
      <c r="V314" s="34" t="str">
        <f>G260</f>
        <v>A1</v>
      </c>
      <c r="W314" s="148"/>
      <c r="X314" s="35" t="s">
        <v>769</v>
      </c>
      <c r="Y314" s="148"/>
      <c r="Z314" s="36" t="str">
        <f>G265</f>
        <v>A6</v>
      </c>
      <c r="AA314" s="123"/>
      <c r="AB314" s="1459">
        <f>IF(MaxScore,MaxGoals(W314,Y314,MaxGoalsValue),IF(W314="","",W314))</f>
        <v>0</v>
      </c>
      <c r="AC314" s="1460" t="str">
        <f>IF(MaxScore,"-",IF(W314="","","-"))</f>
        <v>-</v>
      </c>
      <c r="AD314" s="1459">
        <f>IF(MaxScore,MaxGoals(Y314,W314,MaxGoalsValue),IF(Y314="","",Y314))</f>
        <v>0</v>
      </c>
      <c r="AE314" s="964" t="str">
        <f>IF(W314="","",IF(W314&gt;Y314,V314,IF(W314=Y314,"",Z314)))</f>
        <v/>
      </c>
      <c r="AF314" s="964" t="str">
        <f>IF(W314="","",IF(W314=Y314,V314,""))</f>
        <v/>
      </c>
      <c r="AG314" s="964" t="str">
        <f>IF(W314="","",IF(W314=Y314,Z314,""))</f>
        <v/>
      </c>
      <c r="AH314" s="964" t="str">
        <f>IF(W314="","",IF(W314&lt;Y314,V314,IF(W314=Y314,"",Z314)))</f>
        <v/>
      </c>
      <c r="AI314" s="964" t="str">
        <f>CONCATENATE(AE314,AH314)</f>
        <v/>
      </c>
      <c r="AJ314" s="964"/>
      <c r="AK314" s="96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s="1396"/>
      <c r="CB314" s="1396"/>
      <c r="CC314"/>
      <c r="CD314"/>
      <c r="CE314"/>
    </row>
    <row r="315" spans="1:83" ht="13.15" customHeight="1" outlineLevel="2" x14ac:dyDescent="0.2">
      <c r="A315"/>
      <c r="B315" s="1"/>
      <c r="C315"/>
      <c r="D315"/>
      <c r="E315"/>
      <c r="F315"/>
      <c r="G315" s="1"/>
      <c r="H315" s="1"/>
      <c r="I315"/>
      <c r="J315"/>
      <c r="K315"/>
      <c r="L315"/>
      <c r="M315"/>
      <c r="N315"/>
      <c r="O315"/>
      <c r="P315"/>
      <c r="Q315"/>
      <c r="R315" s="558" t="s">
        <v>1740</v>
      </c>
      <c r="S315" s="83"/>
      <c r="T315" s="56"/>
      <c r="U315" s="955"/>
      <c r="V315" s="43" t="str">
        <f>G261</f>
        <v>A2</v>
      </c>
      <c r="W315" s="10"/>
      <c r="X315" s="45" t="s">
        <v>769</v>
      </c>
      <c r="Y315" s="10"/>
      <c r="Z315" s="46" t="str">
        <f>G264</f>
        <v>A5</v>
      </c>
      <c r="AA315" s="123"/>
      <c r="AB315" s="1459">
        <f>IF(MaxScore,MaxGoals(W315,Y315,MaxGoalsValue),IF(W315="","",W315))</f>
        <v>0</v>
      </c>
      <c r="AC315" s="1460" t="str">
        <f>IF(MaxScore,"-",IF(W315="","","-"))</f>
        <v>-</v>
      </c>
      <c r="AD315" s="1459">
        <f>IF(MaxScore,MaxGoals(Y315,W315,MaxGoalsValue),IF(Y315="","",Y315))</f>
        <v>0</v>
      </c>
      <c r="AE315" s="964" t="str">
        <f>IF(W315="","",IF(W315&gt;Y315,V315,IF(W315=Y315,"",Z315)))</f>
        <v/>
      </c>
      <c r="AF315" s="964" t="str">
        <f>IF(W315="","",IF(W315=Y315,V315,""))</f>
        <v/>
      </c>
      <c r="AG315" s="964" t="str">
        <f>IF(W315="","",IF(W315=Y315,Z315,""))</f>
        <v/>
      </c>
      <c r="AH315" s="964" t="str">
        <f>IF(W315="","",IF(W315&lt;Y315,V315,IF(W315=Y315,"",Z315)))</f>
        <v/>
      </c>
      <c r="AI315" s="964" t="str">
        <f>CONCATENATE(AE315,AH315)</f>
        <v/>
      </c>
      <c r="AJ315" s="964"/>
      <c r="AK315" s="964"/>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s="1396"/>
      <c r="CB315" s="1396"/>
      <c r="CC315"/>
      <c r="CD315"/>
      <c r="CE315"/>
    </row>
    <row r="316" spans="1:83" ht="13.15" customHeight="1" outlineLevel="2" x14ac:dyDescent="0.2">
      <c r="A316"/>
      <c r="B316" s="1"/>
      <c r="C316"/>
      <c r="D316"/>
      <c r="E316"/>
      <c r="F316"/>
      <c r="G316" s="1"/>
      <c r="H316" s="1"/>
      <c r="I316"/>
      <c r="J316"/>
      <c r="K316"/>
      <c r="L316"/>
      <c r="M316"/>
      <c r="N316"/>
      <c r="O316"/>
      <c r="P316"/>
      <c r="Q316"/>
      <c r="R316" s="558" t="s">
        <v>1740</v>
      </c>
      <c r="S316" s="83"/>
      <c r="T316" s="56"/>
      <c r="U316" s="955"/>
      <c r="V316" s="43" t="str">
        <f>G262</f>
        <v>A3</v>
      </c>
      <c r="W316" s="10"/>
      <c r="X316" s="45" t="s">
        <v>769</v>
      </c>
      <c r="Y316" s="10"/>
      <c r="Z316" s="46" t="str">
        <f>G263</f>
        <v>A4</v>
      </c>
      <c r="AA316" s="123"/>
      <c r="AB316" s="1459">
        <f>IF(MaxScore,MaxGoals(W316,Y316,MaxGoalsValue),IF(W316="","",W316))</f>
        <v>0</v>
      </c>
      <c r="AC316" s="1460" t="str">
        <f>IF(MaxScore,"-",IF(W316="","","-"))</f>
        <v>-</v>
      </c>
      <c r="AD316" s="1459">
        <f>IF(MaxScore,MaxGoals(Y316,W316,MaxGoalsValue),IF(Y316="","",Y316))</f>
        <v>0</v>
      </c>
      <c r="AE316" s="964" t="str">
        <f>IF(W316="","",IF(W316&gt;Y316,V316,IF(W316=Y316,"",Z316)))</f>
        <v/>
      </c>
      <c r="AF316" s="964" t="str">
        <f>IF(W316="","",IF(W316=Y316,V316,""))</f>
        <v/>
      </c>
      <c r="AG316" s="964" t="str">
        <f>IF(W316="","",IF(W316=Y316,Z316,""))</f>
        <v/>
      </c>
      <c r="AH316" s="964" t="str">
        <f>IF(W316="","",IF(W316&lt;Y316,V316,IF(W316=Y316,"",Z316)))</f>
        <v/>
      </c>
      <c r="AI316" s="964" t="str">
        <f>CONCATENATE(AE316,AH316)</f>
        <v/>
      </c>
      <c r="AJ316" s="964"/>
      <c r="AK316" s="964"/>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s="1396"/>
      <c r="CB316" s="1396"/>
      <c r="CC316"/>
      <c r="CD316"/>
      <c r="CE316"/>
    </row>
    <row r="317" spans="1:83" ht="13.15" customHeight="1" outlineLevel="2" x14ac:dyDescent="0.2">
      <c r="A317"/>
      <c r="B317" s="1"/>
      <c r="C317"/>
      <c r="D317"/>
      <c r="E317"/>
      <c r="F317"/>
      <c r="G317" s="1"/>
      <c r="H317" s="1"/>
      <c r="I317"/>
      <c r="J317"/>
      <c r="K317"/>
      <c r="L317"/>
      <c r="M317"/>
      <c r="N317"/>
      <c r="O317"/>
      <c r="P317"/>
      <c r="Q317"/>
      <c r="R317" s="558" t="s">
        <v>1740</v>
      </c>
      <c r="S317" s="83"/>
      <c r="T317" s="56"/>
      <c r="U317" s="955"/>
      <c r="V317" s="43" t="str">
        <f>G267</f>
        <v>A8</v>
      </c>
      <c r="W317" s="10"/>
      <c r="X317" s="45" t="s">
        <v>769</v>
      </c>
      <c r="Y317" s="10"/>
      <c r="Z317" s="46" t="str">
        <f>G269</f>
        <v>A10</v>
      </c>
      <c r="AA317" s="123"/>
      <c r="AB317" s="1459">
        <f>IF(MaxScore,MaxGoals(W317,Y317,MaxGoalsValue),IF(W317="","",W317))</f>
        <v>0</v>
      </c>
      <c r="AC317" s="1460" t="str">
        <f>IF(MaxScore,"-",IF(W317="","","-"))</f>
        <v>-</v>
      </c>
      <c r="AD317" s="1459">
        <f>IF(MaxScore,MaxGoals(Y317,W317,MaxGoalsValue),IF(Y317="","",Y317))</f>
        <v>0</v>
      </c>
      <c r="AE317" s="964" t="str">
        <f>IF(W317="","",IF(W317&gt;Y317,V317,IF(W317=Y317,"",Z317)))</f>
        <v/>
      </c>
      <c r="AF317" s="964" t="str">
        <f>IF(W317="","",IF(W317=Y317,V317,""))</f>
        <v/>
      </c>
      <c r="AG317" s="964" t="str">
        <f>IF(W317="","",IF(W317=Y317,Z317,""))</f>
        <v/>
      </c>
      <c r="AH317" s="964" t="str">
        <f>IF(W317="","",IF(W317&lt;Y317,V317,IF(W317=Y317,"",Z317)))</f>
        <v/>
      </c>
      <c r="AI317" s="964" t="str">
        <f>CONCATENATE(AE317,AH317)</f>
        <v/>
      </c>
      <c r="AJ317" s="964"/>
      <c r="AK317" s="964"/>
      <c r="AL317"/>
      <c r="AM317"/>
      <c r="AN317"/>
      <c r="AO317"/>
      <c r="AP317"/>
      <c r="AQ317"/>
      <c r="AR317"/>
      <c r="AS317"/>
      <c r="AT317"/>
      <c r="AU317"/>
      <c r="AV317"/>
      <c r="AW317"/>
      <c r="AX317" s="9"/>
      <c r="AY317"/>
      <c r="AZ317"/>
      <c r="BA317"/>
      <c r="BB317"/>
      <c r="BC317"/>
      <c r="BD317"/>
      <c r="BE317"/>
      <c r="BF317"/>
      <c r="BG317"/>
      <c r="BH317"/>
      <c r="BI317"/>
      <c r="BJ317"/>
      <c r="BK317"/>
      <c r="BL317"/>
      <c r="BM317"/>
      <c r="BN317"/>
      <c r="BO317"/>
      <c r="BP317"/>
      <c r="BQ317"/>
      <c r="BR317"/>
      <c r="BS317"/>
      <c r="BT317"/>
      <c r="BU317"/>
      <c r="BV317"/>
      <c r="BW317"/>
      <c r="BX317"/>
      <c r="BY317"/>
      <c r="BZ317"/>
      <c r="CA317" s="1396"/>
      <c r="CB317" s="1396"/>
      <c r="CC317"/>
      <c r="CD317"/>
      <c r="CE317"/>
    </row>
    <row r="318" spans="1:83" ht="13.9" customHeight="1" outlineLevel="2" thickBot="1" x14ac:dyDescent="0.25">
      <c r="A318"/>
      <c r="B318" s="1"/>
      <c r="C318"/>
      <c r="D318"/>
      <c r="E318"/>
      <c r="F318"/>
      <c r="G318" s="1"/>
      <c r="H318" s="1"/>
      <c r="I318"/>
      <c r="J318"/>
      <c r="K318"/>
      <c r="L318"/>
      <c r="M318"/>
      <c r="N318"/>
      <c r="O318"/>
      <c r="P318"/>
      <c r="Q318"/>
      <c r="R318" s="558" t="s">
        <v>1740</v>
      </c>
      <c r="S318" s="956"/>
      <c r="T318" s="58"/>
      <c r="U318" s="957"/>
      <c r="V318" s="958" t="str">
        <f>G268</f>
        <v>A9</v>
      </c>
      <c r="W318" s="10"/>
      <c r="X318" s="45" t="s">
        <v>769</v>
      </c>
      <c r="Y318" s="10"/>
      <c r="Z318" s="46" t="str">
        <f>G266</f>
        <v>A7</v>
      </c>
      <c r="AA318" s="123"/>
      <c r="AB318" s="1459">
        <f>IF(MaxScore,MaxGoals(W318,Y318,MaxGoalsValue),IF(W318="","",W318))</f>
        <v>0</v>
      </c>
      <c r="AC318" s="1460" t="str">
        <f>IF(MaxScore,"-",IF(W318="","","-"))</f>
        <v>-</v>
      </c>
      <c r="AD318" s="1459">
        <f>IF(MaxScore,MaxGoals(Y318,W318,MaxGoalsValue),IF(Y318="","",Y318))</f>
        <v>0</v>
      </c>
      <c r="AE318" s="964" t="str">
        <f>IF(W318="","",IF(W318&gt;Y318,V318,IF(W318=Y318,"",Z318)))</f>
        <v/>
      </c>
      <c r="AF318" s="964" t="str">
        <f>IF(W318="","",IF(W318=Y318,V318,""))</f>
        <v/>
      </c>
      <c r="AG318" s="964" t="str">
        <f>IF(W318="","",IF(W318=Y318,Z318,""))</f>
        <v/>
      </c>
      <c r="AH318" s="964" t="str">
        <f>IF(W318="","",IF(W318&lt;Y318,V318,IF(W318=Y318,"",Z318)))</f>
        <v/>
      </c>
      <c r="AI318" s="964" t="str">
        <f>CONCATENATE(AE318,AH318)</f>
        <v/>
      </c>
      <c r="AJ318" s="964"/>
      <c r="AK318" s="964"/>
      <c r="AL318"/>
      <c r="AM318"/>
      <c r="AN318"/>
      <c r="AO318"/>
      <c r="AP318"/>
      <c r="AQ318"/>
      <c r="AR318"/>
      <c r="AS318"/>
      <c r="AT318"/>
      <c r="AU318"/>
      <c r="AV318"/>
      <c r="AW318" s="9"/>
      <c r="AX318" s="9"/>
      <c r="AY318"/>
      <c r="AZ318"/>
      <c r="BA318"/>
      <c r="BB318"/>
      <c r="BC318"/>
      <c r="BD318"/>
      <c r="BE318"/>
      <c r="BF318"/>
      <c r="BG318"/>
      <c r="BH318"/>
      <c r="BI318"/>
      <c r="BJ318"/>
      <c r="BK318"/>
      <c r="BL318"/>
      <c r="BM318"/>
      <c r="BN318"/>
      <c r="BO318"/>
      <c r="BP318"/>
      <c r="BQ318"/>
      <c r="BR318"/>
      <c r="BS318"/>
      <c r="BT318"/>
      <c r="BU318"/>
      <c r="BV318"/>
      <c r="BW318"/>
      <c r="BX318"/>
      <c r="BY318"/>
      <c r="BZ318"/>
      <c r="CA318" s="1396"/>
      <c r="CB318" s="1396"/>
      <c r="CC318"/>
      <c r="CD318"/>
      <c r="CE318"/>
    </row>
    <row r="319" spans="1:83" ht="13.5" outlineLevel="1" thickBot="1" x14ac:dyDescent="0.25">
      <c r="A319"/>
      <c r="B319" s="1"/>
      <c r="C319" s="1"/>
      <c r="D319" s="76"/>
      <c r="E319" s="76"/>
      <c r="F319" s="76"/>
      <c r="G319" s="9"/>
      <c r="H319" s="9"/>
      <c r="I319" s="1"/>
      <c r="J319"/>
      <c r="K319"/>
      <c r="L319"/>
      <c r="M319"/>
      <c r="N319"/>
      <c r="O319"/>
      <c r="P319" s="89"/>
      <c r="Q319"/>
      <c r="R319" s="1"/>
      <c r="S319" s="993">
        <f>S312+1</f>
        <v>8</v>
      </c>
      <c r="T319" s="961"/>
      <c r="U319" s="961"/>
      <c r="V319" s="961"/>
      <c r="W319" s="960"/>
      <c r="X319" s="960"/>
      <c r="Y319" s="960"/>
      <c r="Z319" s="962"/>
      <c r="AA319" s="123"/>
      <c r="AB319" s="963"/>
      <c r="AC319" s="963"/>
      <c r="AD319" s="963"/>
      <c r="AE319" s="964"/>
      <c r="AF319" s="964"/>
      <c r="AG319" s="964"/>
      <c r="AH319" s="964"/>
      <c r="AI319" s="964"/>
      <c r="AJ319" s="964"/>
      <c r="AK319" s="964"/>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s="1396"/>
      <c r="CB319" s="1396"/>
      <c r="CC319"/>
      <c r="CD319"/>
      <c r="CE319"/>
    </row>
    <row r="320" spans="1:83" ht="13.9" customHeight="1" outlineLevel="2" thickBot="1" x14ac:dyDescent="0.25">
      <c r="A320"/>
      <c r="B320" s="1"/>
      <c r="C320"/>
      <c r="D320"/>
      <c r="E320"/>
      <c r="F320"/>
      <c r="G320" s="1"/>
      <c r="H320" s="1"/>
      <c r="I320"/>
      <c r="J320"/>
      <c r="K320"/>
      <c r="L320"/>
      <c r="M320"/>
      <c r="N320"/>
      <c r="O320"/>
      <c r="P320"/>
      <c r="Q320"/>
      <c r="S320" s="22" t="str">
        <f>N_Heure</f>
        <v>Heure</v>
      </c>
      <c r="T320" s="22" t="str">
        <f>N_Table</f>
        <v>Table</v>
      </c>
      <c r="U320" s="22" t="str">
        <f>N_Arbitre</f>
        <v>Arbitre</v>
      </c>
      <c r="V320" s="293" t="str">
        <f>N_Matches</f>
        <v>Matches</v>
      </c>
      <c r="W320" s="294"/>
      <c r="X320" s="294"/>
      <c r="Y320" s="294"/>
      <c r="Z320" s="295"/>
      <c r="AA320" s="8"/>
      <c r="AB320" s="967"/>
      <c r="AC320" s="967"/>
      <c r="AD320" s="967"/>
      <c r="AE320" s="964"/>
      <c r="AF320" s="964"/>
      <c r="AG320" s="964"/>
      <c r="AH320" s="964"/>
      <c r="AI320" s="964"/>
      <c r="AJ320" s="964"/>
      <c r="AK320" s="964"/>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s="1396"/>
      <c r="CB320" s="1396"/>
      <c r="CC320"/>
      <c r="CD320"/>
      <c r="CE320"/>
    </row>
    <row r="321" spans="1:83" ht="13.15" customHeight="1" outlineLevel="2" x14ac:dyDescent="0.2">
      <c r="A321"/>
      <c r="B321" s="1"/>
      <c r="C321"/>
      <c r="D321"/>
      <c r="E321"/>
      <c r="F321"/>
      <c r="G321" s="1"/>
      <c r="H321" s="1"/>
      <c r="I321"/>
      <c r="J321"/>
      <c r="K321"/>
      <c r="L321"/>
      <c r="M321"/>
      <c r="N321"/>
      <c r="O321"/>
      <c r="P321"/>
      <c r="Q321"/>
      <c r="R321" s="558" t="s">
        <v>930</v>
      </c>
      <c r="S321" s="83"/>
      <c r="T321" s="56"/>
      <c r="U321" s="955"/>
      <c r="V321" s="34" t="str">
        <f>G263</f>
        <v>A4</v>
      </c>
      <c r="W321" s="148"/>
      <c r="X321" s="35" t="s">
        <v>769</v>
      </c>
      <c r="Y321" s="148"/>
      <c r="Z321" s="36" t="str">
        <f>G264</f>
        <v>A5</v>
      </c>
      <c r="AA321" s="123"/>
      <c r="AB321" s="1459">
        <f>IF(MaxScore,MaxGoals(W321,Y321,MaxGoalsValue),IF(W321="","",W321))</f>
        <v>0</v>
      </c>
      <c r="AC321" s="1460" t="str">
        <f>IF(MaxScore,"-",IF(W321="","","-"))</f>
        <v>-</v>
      </c>
      <c r="AD321" s="1459">
        <f>IF(MaxScore,MaxGoals(Y321,W321,MaxGoalsValue),IF(Y321="","",Y321))</f>
        <v>0</v>
      </c>
      <c r="AE321" s="964" t="str">
        <f>IF(W321="","",IF(W321&gt;Y321,V321,IF(W321=Y321,"",Z321)))</f>
        <v/>
      </c>
      <c r="AF321" s="964" t="str">
        <f>IF(W321="","",IF(W321=Y321,V321,""))</f>
        <v/>
      </c>
      <c r="AG321" s="964" t="str">
        <f>IF(W321="","",IF(W321=Y321,Z321,""))</f>
        <v/>
      </c>
      <c r="AH321" s="964" t="str">
        <f>IF(W321="","",IF(W321&lt;Y321,V321,IF(W321=Y321,"",Z321)))</f>
        <v/>
      </c>
      <c r="AI321" s="964" t="str">
        <f>CONCATENATE(AE321,AH321)</f>
        <v/>
      </c>
      <c r="AJ321" s="964"/>
      <c r="AK321" s="964"/>
      <c r="AL321"/>
      <c r="AM321"/>
      <c r="AN321"/>
      <c r="AO321"/>
      <c r="AP321"/>
      <c r="AQ321"/>
      <c r="AR321"/>
      <c r="AS321"/>
      <c r="AT321"/>
      <c r="AU321"/>
      <c r="AV321"/>
      <c r="AW321" s="9"/>
      <c r="AX321" s="9"/>
      <c r="AY321"/>
      <c r="AZ321"/>
      <c r="BA321"/>
      <c r="BB321"/>
      <c r="BC321"/>
      <c r="BD321"/>
      <c r="BE321"/>
      <c r="BF321"/>
      <c r="BG321"/>
      <c r="BH321"/>
      <c r="BI321"/>
      <c r="BJ321"/>
      <c r="BK321"/>
      <c r="BL321"/>
      <c r="BM321"/>
      <c r="BN321"/>
      <c r="BO321"/>
      <c r="BP321"/>
      <c r="BQ321"/>
      <c r="BR321"/>
      <c r="BS321"/>
      <c r="BT321"/>
      <c r="BU321"/>
      <c r="BV321"/>
      <c r="BW321"/>
      <c r="BX321"/>
      <c r="BY321"/>
      <c r="BZ321"/>
      <c r="CA321" s="1396"/>
      <c r="CB321" s="1396"/>
      <c r="CC321"/>
      <c r="CD321"/>
      <c r="CE321"/>
    </row>
    <row r="322" spans="1:83" ht="13.15" customHeight="1" outlineLevel="2" x14ac:dyDescent="0.2">
      <c r="A322"/>
      <c r="B322" s="1"/>
      <c r="C322"/>
      <c r="D322"/>
      <c r="E322"/>
      <c r="F322"/>
      <c r="G322" s="1"/>
      <c r="H322" s="1"/>
      <c r="I322"/>
      <c r="J322"/>
      <c r="K322"/>
      <c r="L322"/>
      <c r="M322"/>
      <c r="N322"/>
      <c r="O322"/>
      <c r="P322"/>
      <c r="Q322"/>
      <c r="R322" s="558" t="s">
        <v>930</v>
      </c>
      <c r="S322" s="83"/>
      <c r="T322" s="56"/>
      <c r="U322" s="955"/>
      <c r="V322" s="43" t="str">
        <f>G265</f>
        <v>A6</v>
      </c>
      <c r="W322" s="10"/>
      <c r="X322" s="45" t="s">
        <v>769</v>
      </c>
      <c r="Y322" s="10"/>
      <c r="Z322" s="46" t="str">
        <f>G262</f>
        <v>A3</v>
      </c>
      <c r="AA322" s="123"/>
      <c r="AB322" s="1459">
        <f>IF(MaxScore,MaxGoals(W322,Y322,MaxGoalsValue),IF(W322="","",W322))</f>
        <v>0</v>
      </c>
      <c r="AC322" s="1460" t="str">
        <f>IF(MaxScore,"-",IF(W322="","","-"))</f>
        <v>-</v>
      </c>
      <c r="AD322" s="1459">
        <f>IF(MaxScore,MaxGoals(Y322,W322,MaxGoalsValue),IF(Y322="","",Y322))</f>
        <v>0</v>
      </c>
      <c r="AE322" s="964" t="str">
        <f>IF(W322="","",IF(W322&gt;Y322,V322,IF(W322=Y322,"",Z322)))</f>
        <v/>
      </c>
      <c r="AF322" s="964" t="str">
        <f>IF(W322="","",IF(W322=Y322,V322,""))</f>
        <v/>
      </c>
      <c r="AG322" s="964" t="str">
        <f>IF(W322="","",IF(W322=Y322,Z322,""))</f>
        <v/>
      </c>
      <c r="AH322" s="964" t="str">
        <f>IF(W322="","",IF(W322&lt;Y322,V322,IF(W322=Y322,"",Z322)))</f>
        <v/>
      </c>
      <c r="AI322" s="964" t="str">
        <f>CONCATENATE(AE322,AH322)</f>
        <v/>
      </c>
      <c r="AJ322" s="964"/>
      <c r="AK322" s="964"/>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s="1396"/>
      <c r="CB322" s="1396"/>
      <c r="CC322"/>
      <c r="CD322"/>
      <c r="CE322"/>
    </row>
    <row r="323" spans="1:83" ht="13.15" customHeight="1" outlineLevel="2" x14ac:dyDescent="0.2">
      <c r="A323"/>
      <c r="B323" s="1"/>
      <c r="C323"/>
      <c r="D323"/>
      <c r="E323"/>
      <c r="F323"/>
      <c r="G323" s="1"/>
      <c r="H323" s="1"/>
      <c r="I323"/>
      <c r="J323"/>
      <c r="K323"/>
      <c r="L323"/>
      <c r="M323"/>
      <c r="N323"/>
      <c r="O323"/>
      <c r="P323"/>
      <c r="Q323"/>
      <c r="R323" s="558" t="s">
        <v>930</v>
      </c>
      <c r="S323" s="83"/>
      <c r="T323" s="56"/>
      <c r="U323" s="955"/>
      <c r="V323" s="43" t="str">
        <f>G266</f>
        <v>A7</v>
      </c>
      <c r="W323" s="10"/>
      <c r="X323" s="45" t="s">
        <v>769</v>
      </c>
      <c r="Y323" s="10"/>
      <c r="Z323" s="46" t="str">
        <f>G261</f>
        <v>A2</v>
      </c>
      <c r="AA323" s="123"/>
      <c r="AB323" s="1459">
        <f>IF(MaxScore,MaxGoals(W323,Y323,MaxGoalsValue),IF(W323="","",W323))</f>
        <v>0</v>
      </c>
      <c r="AC323" s="1460" t="str">
        <f>IF(MaxScore,"-",IF(W323="","","-"))</f>
        <v>-</v>
      </c>
      <c r="AD323" s="1459">
        <f>IF(MaxScore,MaxGoals(Y323,W323,MaxGoalsValue),IF(Y323="","",Y323))</f>
        <v>0</v>
      </c>
      <c r="AE323" s="964" t="str">
        <f>IF(W323="","",IF(W323&gt;Y323,V323,IF(W323=Y323,"",Z323)))</f>
        <v/>
      </c>
      <c r="AF323" s="964" t="str">
        <f>IF(W323="","",IF(W323=Y323,V323,""))</f>
        <v/>
      </c>
      <c r="AG323" s="964" t="str">
        <f>IF(W323="","",IF(W323=Y323,Z323,""))</f>
        <v/>
      </c>
      <c r="AH323" s="964" t="str">
        <f>IF(W323="","",IF(W323&lt;Y323,V323,IF(W323=Y323,"",Z323)))</f>
        <v/>
      </c>
      <c r="AI323" s="964" t="str">
        <f>CONCATENATE(AE323,AH323)</f>
        <v/>
      </c>
      <c r="AJ323" s="964"/>
      <c r="AK323" s="964"/>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s="1396"/>
      <c r="CB323" s="1396"/>
      <c r="CC323"/>
      <c r="CD323"/>
      <c r="CE323"/>
    </row>
    <row r="324" spans="1:83" ht="13.15" customHeight="1" outlineLevel="2" x14ac:dyDescent="0.2">
      <c r="A324"/>
      <c r="B324" s="1"/>
      <c r="C324"/>
      <c r="D324"/>
      <c r="E324"/>
      <c r="F324"/>
      <c r="G324" s="1"/>
      <c r="H324" s="1"/>
      <c r="I324"/>
      <c r="J324"/>
      <c r="K324"/>
      <c r="L324"/>
      <c r="M324"/>
      <c r="N324"/>
      <c r="O324"/>
      <c r="P324"/>
      <c r="Q324"/>
      <c r="R324" s="558" t="s">
        <v>930</v>
      </c>
      <c r="S324" s="83"/>
      <c r="T324" s="56"/>
      <c r="U324" s="955"/>
      <c r="V324" s="2208" t="str">
        <f>G267</f>
        <v>A8</v>
      </c>
      <c r="W324" s="10"/>
      <c r="X324" s="45" t="s">
        <v>769</v>
      </c>
      <c r="Y324" s="10"/>
      <c r="Z324" s="46" t="str">
        <f>G260</f>
        <v>A1</v>
      </c>
      <c r="AA324" s="123"/>
      <c r="AB324" s="1459">
        <f>IF(MaxScore,MaxGoals(W324,Y324,MaxGoalsValue),IF(W324="","",W324))</f>
        <v>0</v>
      </c>
      <c r="AC324" s="1460" t="str">
        <f>IF(MaxScore,"-",IF(W324="","","-"))</f>
        <v>-</v>
      </c>
      <c r="AD324" s="1459">
        <f>IF(MaxScore,MaxGoals(Y324,W324,MaxGoalsValue),IF(Y324="","",Y324))</f>
        <v>0</v>
      </c>
      <c r="AE324" s="964" t="str">
        <f>IF(W324="","",IF(W324&gt;Y324,V324,IF(W324=Y324,"",Z324)))</f>
        <v/>
      </c>
      <c r="AF324" s="964" t="str">
        <f>IF(W324="","",IF(W324=Y324,V324,""))</f>
        <v/>
      </c>
      <c r="AG324" s="964" t="str">
        <f>IF(W324="","",IF(W324=Y324,Z324,""))</f>
        <v/>
      </c>
      <c r="AH324" s="964" t="str">
        <f>IF(W324="","",IF(W324&lt;Y324,V324,IF(W324=Y324,"",Z324)))</f>
        <v/>
      </c>
      <c r="AI324" s="964" t="str">
        <f>CONCATENATE(AE324,AH324)</f>
        <v/>
      </c>
      <c r="AJ324" s="964"/>
      <c r="AK324" s="964"/>
      <c r="AL324"/>
      <c r="AM324"/>
      <c r="AN324"/>
      <c r="AO324"/>
      <c r="AP324"/>
      <c r="AQ324"/>
      <c r="AR324"/>
      <c r="AS324"/>
      <c r="AT324"/>
      <c r="AU324"/>
      <c r="AV324"/>
      <c r="AW324"/>
      <c r="AX324" s="9"/>
      <c r="AY324"/>
      <c r="AZ324"/>
      <c r="BA324"/>
      <c r="BB324"/>
      <c r="BC324"/>
      <c r="BD324"/>
      <c r="BE324"/>
      <c r="BF324"/>
      <c r="BG324"/>
      <c r="BH324"/>
      <c r="BI324"/>
      <c r="BJ324"/>
      <c r="BK324"/>
      <c r="BL324"/>
      <c r="BM324"/>
      <c r="BN324"/>
      <c r="BO324"/>
      <c r="BP324"/>
      <c r="BQ324"/>
      <c r="BR324"/>
      <c r="BS324"/>
      <c r="BT324"/>
      <c r="BU324"/>
      <c r="BV324"/>
      <c r="BW324"/>
      <c r="BX324"/>
      <c r="BY324"/>
      <c r="BZ324"/>
      <c r="CA324" s="1396"/>
      <c r="CB324" s="1396"/>
      <c r="CC324"/>
      <c r="CD324"/>
      <c r="CE324"/>
    </row>
    <row r="325" spans="1:83" ht="13.9" customHeight="1" outlineLevel="2" thickBot="1" x14ac:dyDescent="0.25">
      <c r="A325"/>
      <c r="B325" s="1"/>
      <c r="C325"/>
      <c r="D325"/>
      <c r="E325"/>
      <c r="F325"/>
      <c r="G325" s="1"/>
      <c r="H325" s="1"/>
      <c r="I325"/>
      <c r="J325"/>
      <c r="K325"/>
      <c r="L325"/>
      <c r="M325"/>
      <c r="N325"/>
      <c r="O325"/>
      <c r="P325"/>
      <c r="Q325"/>
      <c r="R325" s="558" t="s">
        <v>930</v>
      </c>
      <c r="S325" s="956"/>
      <c r="T325" s="58"/>
      <c r="U325" s="957"/>
      <c r="V325" s="43" t="str">
        <f>G269</f>
        <v>A10</v>
      </c>
      <c r="W325" s="10"/>
      <c r="X325" s="45" t="s">
        <v>769</v>
      </c>
      <c r="Y325" s="10"/>
      <c r="Z325" s="46" t="str">
        <f>G268</f>
        <v>A9</v>
      </c>
      <c r="AA325" s="123"/>
      <c r="AB325" s="1459">
        <f>IF(MaxScore,MaxGoals(W325,Y325,MaxGoalsValue),IF(W325="","",W325))</f>
        <v>0</v>
      </c>
      <c r="AC325" s="1460" t="str">
        <f>IF(MaxScore,"-",IF(W325="","","-"))</f>
        <v>-</v>
      </c>
      <c r="AD325" s="1459">
        <f>IF(MaxScore,MaxGoals(Y325,W325,MaxGoalsValue),IF(Y325="","",Y325))</f>
        <v>0</v>
      </c>
      <c r="AE325" s="964" t="str">
        <f>IF(W325="","",IF(W325&gt;Y325,V325,IF(W325=Y325,"",Z325)))</f>
        <v/>
      </c>
      <c r="AF325" s="964" t="str">
        <f>IF(W325="","",IF(W325=Y325,V325,""))</f>
        <v/>
      </c>
      <c r="AG325" s="964" t="str">
        <f>IF(W325="","",IF(W325=Y325,Z325,""))</f>
        <v/>
      </c>
      <c r="AH325" s="964" t="str">
        <f>IF(W325="","",IF(W325&lt;Y325,V325,IF(W325=Y325,"",Z325)))</f>
        <v/>
      </c>
      <c r="AI325" s="964" t="str">
        <f>CONCATENATE(AE325,AH325)</f>
        <v/>
      </c>
      <c r="AJ325" s="964"/>
      <c r="AK325" s="964"/>
      <c r="AL325"/>
      <c r="AM325"/>
      <c r="AN325"/>
      <c r="AO325"/>
      <c r="AP325"/>
      <c r="AQ325"/>
      <c r="AR325"/>
      <c r="AS325"/>
      <c r="AT325"/>
      <c r="AU325"/>
      <c r="AV325"/>
      <c r="AW325" s="9"/>
      <c r="AX325" s="9"/>
      <c r="AY325"/>
      <c r="AZ325"/>
      <c r="BA325"/>
      <c r="BB325"/>
      <c r="BC325"/>
      <c r="BD325"/>
      <c r="BE325"/>
      <c r="BF325"/>
      <c r="BG325"/>
      <c r="BH325"/>
      <c r="BI325"/>
      <c r="BJ325"/>
      <c r="BK325"/>
      <c r="BL325"/>
      <c r="BM325"/>
      <c r="BN325"/>
      <c r="BO325"/>
      <c r="BP325"/>
      <c r="BQ325"/>
      <c r="BR325"/>
      <c r="BS325"/>
      <c r="BT325"/>
      <c r="BU325"/>
      <c r="BV325"/>
      <c r="BW325"/>
      <c r="BX325"/>
      <c r="BY325"/>
      <c r="BZ325"/>
      <c r="CA325" s="1396"/>
      <c r="CB325" s="1396"/>
      <c r="CC325"/>
      <c r="CD325"/>
      <c r="CE325"/>
    </row>
    <row r="326" spans="1:83" ht="13.5" outlineLevel="1" thickBot="1" x14ac:dyDescent="0.25">
      <c r="A326"/>
      <c r="B326" s="1"/>
      <c r="C326" s="1"/>
      <c r="D326" s="76"/>
      <c r="E326" s="76"/>
      <c r="F326" s="76"/>
      <c r="G326" s="9"/>
      <c r="H326" s="9"/>
      <c r="I326" s="1"/>
      <c r="J326"/>
      <c r="K326"/>
      <c r="L326"/>
      <c r="M326"/>
      <c r="N326"/>
      <c r="O326"/>
      <c r="P326" s="89"/>
      <c r="Q326"/>
      <c r="R326" s="1"/>
      <c r="S326" s="993">
        <f>S319+1</f>
        <v>9</v>
      </c>
      <c r="T326" s="961"/>
      <c r="U326" s="961"/>
      <c r="V326" s="961"/>
      <c r="W326" s="960"/>
      <c r="X326" s="960"/>
      <c r="Y326" s="960"/>
      <c r="Z326" s="962"/>
      <c r="AA326" s="123"/>
      <c r="AB326" s="963"/>
      <c r="AC326" s="963"/>
      <c r="AD326" s="963"/>
      <c r="AE326" s="964"/>
      <c r="AF326" s="964"/>
      <c r="AG326" s="964"/>
      <c r="AH326" s="964"/>
      <c r="AI326" s="964"/>
      <c r="AJ326" s="964"/>
      <c r="AK326" s="964"/>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s="1396"/>
      <c r="CB326" s="1396"/>
      <c r="CC326"/>
      <c r="CD326"/>
      <c r="CE326"/>
    </row>
    <row r="327" spans="1:83" ht="13.9" customHeight="1" outlineLevel="2" thickBot="1" x14ac:dyDescent="0.25">
      <c r="A327"/>
      <c r="B327" s="1"/>
      <c r="C327"/>
      <c r="D327"/>
      <c r="E327"/>
      <c r="F327"/>
      <c r="G327" s="1"/>
      <c r="H327" s="1"/>
      <c r="I327"/>
      <c r="J327"/>
      <c r="K327"/>
      <c r="L327"/>
      <c r="M327"/>
      <c r="N327"/>
      <c r="O327"/>
      <c r="P327"/>
      <c r="Q327"/>
      <c r="S327" s="22" t="str">
        <f>N_Heure</f>
        <v>Heure</v>
      </c>
      <c r="T327" s="22" t="str">
        <f>N_Table</f>
        <v>Table</v>
      </c>
      <c r="U327" s="22" t="str">
        <f>N_Arbitre</f>
        <v>Arbitre</v>
      </c>
      <c r="V327" s="293" t="str">
        <f>N_Matches</f>
        <v>Matches</v>
      </c>
      <c r="W327" s="294"/>
      <c r="X327" s="294"/>
      <c r="Y327" s="294"/>
      <c r="Z327" s="295"/>
      <c r="AA327" s="8"/>
      <c r="AB327" s="967"/>
      <c r="AC327" s="967"/>
      <c r="AD327" s="967"/>
      <c r="AE327" s="964"/>
      <c r="AF327" s="964"/>
      <c r="AG327" s="964"/>
      <c r="AH327" s="964"/>
      <c r="AI327" s="964"/>
      <c r="AJ327" s="964"/>
      <c r="AK327" s="964"/>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s="1396"/>
      <c r="CB327" s="1396"/>
      <c r="CC327"/>
      <c r="CD327"/>
      <c r="CE327"/>
    </row>
    <row r="328" spans="1:83" ht="13.15" customHeight="1" outlineLevel="2" x14ac:dyDescent="0.2">
      <c r="A328"/>
      <c r="B328" s="1"/>
      <c r="C328"/>
      <c r="D328"/>
      <c r="E328"/>
      <c r="F328"/>
      <c r="G328" s="1"/>
      <c r="H328" s="1"/>
      <c r="I328"/>
      <c r="J328"/>
      <c r="K328"/>
      <c r="L328"/>
      <c r="M328"/>
      <c r="N328"/>
      <c r="O328"/>
      <c r="P328"/>
      <c r="Q328"/>
      <c r="R328" s="558" t="s">
        <v>3971</v>
      </c>
      <c r="S328" s="83"/>
      <c r="T328" s="56"/>
      <c r="U328" s="955"/>
      <c r="V328" s="34" t="str">
        <f>G262</f>
        <v>A3</v>
      </c>
      <c r="W328" s="148"/>
      <c r="X328" s="35" t="s">
        <v>769</v>
      </c>
      <c r="Y328" s="148"/>
      <c r="Z328" s="36" t="str">
        <f>G267</f>
        <v>A8</v>
      </c>
      <c r="AA328" s="123"/>
      <c r="AB328" s="1459">
        <f>IF(MaxScore,MaxGoals(W328,Y328,MaxGoalsValue),IF(W328="","",W328))</f>
        <v>0</v>
      </c>
      <c r="AC328" s="1460" t="str">
        <f>IF(MaxScore,"-",IF(W328="","","-"))</f>
        <v>-</v>
      </c>
      <c r="AD328" s="1459">
        <f>IF(MaxScore,MaxGoals(Y328,W328,MaxGoalsValue),IF(Y328="","",Y328))</f>
        <v>0</v>
      </c>
      <c r="AE328" s="964" t="str">
        <f>IF(W328="","",IF(W328&gt;Y328,V328,IF(W328=Y328,"",Z328)))</f>
        <v/>
      </c>
      <c r="AF328" s="964" t="str">
        <f>IF(W328="","",IF(W328=Y328,V328,""))</f>
        <v/>
      </c>
      <c r="AG328" s="964" t="str">
        <f>IF(W328="","",IF(W328=Y328,Z328,""))</f>
        <v/>
      </c>
      <c r="AH328" s="964" t="str">
        <f>IF(W328="","",IF(W328&lt;Y328,V328,IF(W328=Y328,"",Z328)))</f>
        <v/>
      </c>
      <c r="AI328" s="964" t="str">
        <f>CONCATENATE(AE328,AH328)</f>
        <v/>
      </c>
      <c r="AJ328" s="964"/>
      <c r="AK328" s="964"/>
      <c r="AL328"/>
      <c r="AM328"/>
      <c r="AN328"/>
      <c r="AO328"/>
      <c r="AP328"/>
      <c r="AQ328"/>
      <c r="AR328"/>
      <c r="AS328"/>
      <c r="AT328"/>
      <c r="AU328"/>
      <c r="AV328"/>
      <c r="AW328"/>
      <c r="AX328" s="9"/>
      <c r="AY328"/>
      <c r="AZ328"/>
      <c r="BA328"/>
      <c r="BB328"/>
      <c r="BC328"/>
      <c r="BD328"/>
      <c r="BE328"/>
      <c r="BF328"/>
      <c r="BG328"/>
      <c r="BH328"/>
      <c r="BI328"/>
      <c r="BJ328"/>
      <c r="BK328"/>
      <c r="BL328"/>
      <c r="BM328"/>
      <c r="BN328"/>
      <c r="BO328"/>
      <c r="BP328"/>
      <c r="BQ328"/>
      <c r="BR328"/>
      <c r="BS328"/>
      <c r="BT328"/>
      <c r="BU328"/>
      <c r="BV328"/>
      <c r="BW328"/>
      <c r="BX328"/>
      <c r="BY328"/>
      <c r="BZ328"/>
      <c r="CA328" s="1396"/>
      <c r="CB328" s="1396"/>
      <c r="CC328"/>
      <c r="CD328"/>
      <c r="CE328"/>
    </row>
    <row r="329" spans="1:83" ht="13.15" customHeight="1" outlineLevel="2" x14ac:dyDescent="0.2">
      <c r="A329"/>
      <c r="B329" s="1"/>
      <c r="C329"/>
      <c r="D329"/>
      <c r="E329"/>
      <c r="F329"/>
      <c r="G329" s="1"/>
      <c r="H329" s="1"/>
      <c r="I329"/>
      <c r="J329"/>
      <c r="K329"/>
      <c r="L329"/>
      <c r="M329"/>
      <c r="N329"/>
      <c r="O329"/>
      <c r="P329"/>
      <c r="Q329"/>
      <c r="R329" s="558" t="s">
        <v>3971</v>
      </c>
      <c r="S329" s="83"/>
      <c r="T329" s="56"/>
      <c r="U329" s="955"/>
      <c r="V329" s="43" t="str">
        <f>G263</f>
        <v>A4</v>
      </c>
      <c r="W329" s="10"/>
      <c r="X329" s="45" t="s">
        <v>769</v>
      </c>
      <c r="Y329" s="10"/>
      <c r="Z329" s="46" t="str">
        <f>G266</f>
        <v>A7</v>
      </c>
      <c r="AA329" s="123"/>
      <c r="AB329" s="1459">
        <f>IF(MaxScore,MaxGoals(W329,Y329,MaxGoalsValue),IF(W329="","",W329))</f>
        <v>0</v>
      </c>
      <c r="AC329" s="1460" t="str">
        <f>IF(MaxScore,"-",IF(W329="","","-"))</f>
        <v>-</v>
      </c>
      <c r="AD329" s="1459">
        <f>IF(MaxScore,MaxGoals(Y329,W329,MaxGoalsValue),IF(Y329="","",Y329))</f>
        <v>0</v>
      </c>
      <c r="AE329" s="964" t="str">
        <f>IF(W329="","",IF(W329&gt;Y329,V329,IF(W329=Y329,"",Z329)))</f>
        <v/>
      </c>
      <c r="AF329" s="964" t="str">
        <f>IF(W329="","",IF(W329=Y329,V329,""))</f>
        <v/>
      </c>
      <c r="AG329" s="964" t="str">
        <f>IF(W329="","",IF(W329=Y329,Z329,""))</f>
        <v/>
      </c>
      <c r="AH329" s="964" t="str">
        <f>IF(W329="","",IF(W329&lt;Y329,V329,IF(W329=Y329,"",Z329)))</f>
        <v/>
      </c>
      <c r="AI329" s="964" t="str">
        <f>CONCATENATE(AE329,AH329)</f>
        <v/>
      </c>
      <c r="AJ329" s="964"/>
      <c r="AK329" s="964"/>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s="1396"/>
      <c r="CB329" s="1396"/>
      <c r="CC329"/>
      <c r="CD329"/>
      <c r="CE329"/>
    </row>
    <row r="330" spans="1:83" ht="13.15" customHeight="1" outlineLevel="2" x14ac:dyDescent="0.2">
      <c r="A330"/>
      <c r="B330" s="1"/>
      <c r="C330"/>
      <c r="D330"/>
      <c r="E330"/>
      <c r="F330"/>
      <c r="G330" s="1"/>
      <c r="H330" s="1"/>
      <c r="I330"/>
      <c r="J330"/>
      <c r="K330"/>
      <c r="L330"/>
      <c r="M330"/>
      <c r="N330"/>
      <c r="O330"/>
      <c r="P330"/>
      <c r="Q330"/>
      <c r="R330" s="558" t="s">
        <v>3971</v>
      </c>
      <c r="S330" s="83"/>
      <c r="T330" s="56"/>
      <c r="U330" s="955"/>
      <c r="V330" s="43" t="str">
        <f>G264</f>
        <v>A5</v>
      </c>
      <c r="W330" s="10"/>
      <c r="X330" s="45" t="s">
        <v>769</v>
      </c>
      <c r="Y330" s="10"/>
      <c r="Z330" s="46" t="str">
        <f>G265</f>
        <v>A6</v>
      </c>
      <c r="AA330" s="123"/>
      <c r="AB330" s="1459">
        <f>IF(MaxScore,MaxGoals(W330,Y330,MaxGoalsValue),IF(W330="","",W330))</f>
        <v>0</v>
      </c>
      <c r="AC330" s="1460" t="str">
        <f>IF(MaxScore,"-",IF(W330="","","-"))</f>
        <v>-</v>
      </c>
      <c r="AD330" s="1459">
        <f>IF(MaxScore,MaxGoals(Y330,W330,MaxGoalsValue),IF(Y330="","",Y330))</f>
        <v>0</v>
      </c>
      <c r="AE330" s="964" t="str">
        <f>IF(W330="","",IF(W330&gt;Y330,V330,IF(W330=Y330,"",Z330)))</f>
        <v/>
      </c>
      <c r="AF330" s="964" t="str">
        <f>IF(W330="","",IF(W330=Y330,V330,""))</f>
        <v/>
      </c>
      <c r="AG330" s="964" t="str">
        <f>IF(W330="","",IF(W330=Y330,Z330,""))</f>
        <v/>
      </c>
      <c r="AH330" s="964" t="str">
        <f>IF(W330="","",IF(W330&lt;Y330,V330,IF(W330=Y330,"",Z330)))</f>
        <v/>
      </c>
      <c r="AI330" s="964" t="str">
        <f>CONCATENATE(AE330,AH330)</f>
        <v/>
      </c>
      <c r="AJ330" s="964"/>
      <c r="AK330" s="964"/>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s="1396"/>
      <c r="CB330" s="1396"/>
      <c r="CC330"/>
      <c r="CD330"/>
      <c r="CE330"/>
    </row>
    <row r="331" spans="1:83" ht="13.15" customHeight="1" outlineLevel="2" x14ac:dyDescent="0.2">
      <c r="A331"/>
      <c r="B331" s="1"/>
      <c r="C331"/>
      <c r="D331"/>
      <c r="E331"/>
      <c r="F331"/>
      <c r="G331" s="1"/>
      <c r="H331" s="1"/>
      <c r="I331"/>
      <c r="J331"/>
      <c r="K331"/>
      <c r="L331"/>
      <c r="M331"/>
      <c r="N331"/>
      <c r="O331"/>
      <c r="P331"/>
      <c r="Q331"/>
      <c r="R331" s="558" t="s">
        <v>3971</v>
      </c>
      <c r="S331" s="83"/>
      <c r="T331" s="56"/>
      <c r="U331" s="955"/>
      <c r="V331" s="43" t="str">
        <f>G268</f>
        <v>A9</v>
      </c>
      <c r="W331" s="10"/>
      <c r="X331" s="45" t="s">
        <v>769</v>
      </c>
      <c r="Y331" s="10"/>
      <c r="Z331" s="46" t="str">
        <f>G261</f>
        <v>A2</v>
      </c>
      <c r="AA331" s="123"/>
      <c r="AB331" s="1459">
        <f>IF(MaxScore,MaxGoals(W331,Y331,MaxGoalsValue),IF(W331="","",W331))</f>
        <v>0</v>
      </c>
      <c r="AC331" s="1460" t="str">
        <f>IF(MaxScore,"-",IF(W331="","","-"))</f>
        <v>-</v>
      </c>
      <c r="AD331" s="1459">
        <f>IF(MaxScore,MaxGoals(Y331,W331,MaxGoalsValue),IF(Y331="","",Y331))</f>
        <v>0</v>
      </c>
      <c r="AE331" s="964" t="str">
        <f>IF(W331="","",IF(W331&gt;Y331,V331,IF(W331=Y331,"",Z331)))</f>
        <v/>
      </c>
      <c r="AF331" s="964" t="str">
        <f>IF(W331="","",IF(W331=Y331,V331,""))</f>
        <v/>
      </c>
      <c r="AG331" s="964" t="str">
        <f>IF(W331="","",IF(W331=Y331,Z331,""))</f>
        <v/>
      </c>
      <c r="AH331" s="964" t="str">
        <f>IF(W331="","",IF(W331&lt;Y331,V331,IF(W331=Y331,"",Z331)))</f>
        <v/>
      </c>
      <c r="AI331" s="964" t="str">
        <f>CONCATENATE(AE331,AH331)</f>
        <v/>
      </c>
      <c r="AJ331" s="964"/>
      <c r="AK331" s="964"/>
      <c r="AL331"/>
      <c r="AM331"/>
      <c r="AN331"/>
      <c r="AO331"/>
      <c r="AP331"/>
      <c r="AQ331"/>
      <c r="AR331"/>
      <c r="AS331"/>
      <c r="AT331"/>
      <c r="AU331"/>
      <c r="AV331"/>
      <c r="AW331"/>
      <c r="AX331" s="9"/>
      <c r="AY331"/>
      <c r="AZ331"/>
      <c r="BA331"/>
      <c r="BB331"/>
      <c r="BC331"/>
      <c r="BD331"/>
      <c r="BE331"/>
      <c r="BF331"/>
      <c r="BG331"/>
      <c r="BH331"/>
      <c r="BI331"/>
      <c r="BJ331"/>
      <c r="BK331"/>
      <c r="BL331"/>
      <c r="BM331"/>
      <c r="BN331"/>
      <c r="BO331"/>
      <c r="BP331"/>
      <c r="BQ331"/>
      <c r="BR331"/>
      <c r="BS331"/>
      <c r="BT331"/>
      <c r="BU331"/>
      <c r="BV331"/>
      <c r="BW331"/>
      <c r="BX331"/>
      <c r="BY331"/>
      <c r="BZ331"/>
      <c r="CA331" s="1396"/>
      <c r="CB331" s="1396"/>
      <c r="CC331"/>
      <c r="CD331"/>
      <c r="CE331"/>
    </row>
    <row r="332" spans="1:83" ht="13.9" customHeight="1" outlineLevel="2" thickBot="1" x14ac:dyDescent="0.25">
      <c r="A332"/>
      <c r="B332" s="1"/>
      <c r="C332"/>
      <c r="D332"/>
      <c r="E332"/>
      <c r="F332"/>
      <c r="G332" s="1"/>
      <c r="H332" s="1"/>
      <c r="I332"/>
      <c r="J332"/>
      <c r="K332"/>
      <c r="L332"/>
      <c r="M332"/>
      <c r="N332"/>
      <c r="O332"/>
      <c r="P332"/>
      <c r="Q332"/>
      <c r="R332" s="558" t="s">
        <v>3971</v>
      </c>
      <c r="S332" s="956"/>
      <c r="T332" s="58"/>
      <c r="U332" s="957"/>
      <c r="V332" s="958" t="str">
        <f>G269</f>
        <v>A10</v>
      </c>
      <c r="W332" s="10"/>
      <c r="X332" s="45" t="s">
        <v>769</v>
      </c>
      <c r="Y332" s="10"/>
      <c r="Z332" s="46" t="str">
        <f>G260</f>
        <v>A1</v>
      </c>
      <c r="AA332" s="123"/>
      <c r="AB332" s="1459">
        <f>IF(MaxScore,MaxGoals(W332,Y332,MaxGoalsValue),IF(W332="","",W332))</f>
        <v>0</v>
      </c>
      <c r="AC332" s="1460" t="str">
        <f>IF(MaxScore,"-",IF(W332="","","-"))</f>
        <v>-</v>
      </c>
      <c r="AD332" s="1459">
        <f>IF(MaxScore,MaxGoals(Y332,W332,MaxGoalsValue),IF(Y332="","",Y332))</f>
        <v>0</v>
      </c>
      <c r="AE332" s="964" t="str">
        <f>IF(W332="","",IF(W332&gt;Y332,V332,IF(W332=Y332,"",Z332)))</f>
        <v/>
      </c>
      <c r="AF332" s="964" t="str">
        <f>IF(W332="","",IF(W332=Y332,V332,""))</f>
        <v/>
      </c>
      <c r="AG332" s="964" t="str">
        <f>IF(W332="","",IF(W332=Y332,Z332,""))</f>
        <v/>
      </c>
      <c r="AH332" s="964" t="str">
        <f>IF(W332="","",IF(W332&lt;Y332,V332,IF(W332=Y332,"",Z332)))</f>
        <v/>
      </c>
      <c r="AI332" s="964" t="str">
        <f>CONCATENATE(AE332,AH332)</f>
        <v/>
      </c>
      <c r="AJ332" s="964"/>
      <c r="AK332" s="964"/>
      <c r="AL332"/>
      <c r="AM332"/>
      <c r="AN332"/>
      <c r="AO332"/>
      <c r="AP332"/>
      <c r="AQ332"/>
      <c r="AR332"/>
      <c r="AS332"/>
      <c r="AT332"/>
      <c r="AU332"/>
      <c r="AV332"/>
      <c r="AW332" s="9"/>
      <c r="AX332" s="9"/>
      <c r="AY332"/>
      <c r="AZ332"/>
      <c r="BA332"/>
      <c r="BB332"/>
      <c r="BC332"/>
      <c r="BD332"/>
      <c r="BE332"/>
      <c r="BF332"/>
      <c r="BG332"/>
      <c r="BH332"/>
      <c r="BI332"/>
      <c r="BJ332"/>
      <c r="BK332"/>
      <c r="BL332"/>
      <c r="BM332"/>
      <c r="BN332"/>
      <c r="BO332"/>
      <c r="BP332"/>
      <c r="BQ332"/>
      <c r="BR332"/>
      <c r="BS332"/>
      <c r="BT332"/>
      <c r="BU332"/>
      <c r="BV332"/>
      <c r="BW332"/>
      <c r="BX332"/>
      <c r="BY332"/>
      <c r="BZ332"/>
      <c r="CA332" s="1396"/>
      <c r="CB332" s="1396"/>
      <c r="CC332"/>
      <c r="CD332"/>
      <c r="CE332"/>
    </row>
    <row r="333" spans="1:83" ht="13.5" thickBot="1" x14ac:dyDescent="0.25">
      <c r="A333"/>
      <c r="B333" s="1"/>
      <c r="C333"/>
      <c r="D333"/>
      <c r="E333"/>
      <c r="F333"/>
      <c r="G333" s="1"/>
      <c r="H333" s="1"/>
      <c r="I333"/>
      <c r="J333"/>
      <c r="K333"/>
      <c r="L333"/>
      <c r="M333"/>
      <c r="N333"/>
      <c r="O333"/>
      <c r="P333"/>
      <c r="Q333"/>
      <c r="S333"/>
      <c r="T333"/>
      <c r="U333"/>
      <c r="V333"/>
      <c r="W333" s="1"/>
      <c r="X333" s="1"/>
      <c r="Y333" s="1"/>
      <c r="Z333"/>
      <c r="AB333" s="964"/>
      <c r="AC333" s="964"/>
      <c r="AD333" s="969"/>
      <c r="AE333" s="969"/>
      <c r="AF333" s="964"/>
      <c r="AG333" s="970"/>
      <c r="AH333" s="964"/>
      <c r="AI333" s="969"/>
      <c r="AJ333" s="964"/>
      <c r="AK333" s="963"/>
      <c r="AL333" s="16"/>
      <c r="AM333" s="16"/>
      <c r="AN333" s="16"/>
      <c r="AO333" s="16"/>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s="1396"/>
      <c r="CB333" s="1396"/>
      <c r="CC333"/>
      <c r="CD333"/>
      <c r="CE333"/>
    </row>
    <row r="334" spans="1:83" ht="13.5" thickBot="1" x14ac:dyDescent="0.25">
      <c r="A334"/>
      <c r="B334" s="282" t="str">
        <f>N_Group_11</f>
        <v>Poule de 11</v>
      </c>
      <c r="C334" s="283"/>
      <c r="D334" s="283"/>
      <c r="E334" s="283"/>
      <c r="F334" s="283"/>
      <c r="G334" s="283"/>
      <c r="H334" s="283"/>
      <c r="I334" s="283"/>
      <c r="J334" s="283"/>
      <c r="K334" s="283"/>
      <c r="L334" s="283"/>
      <c r="M334" s="283"/>
      <c r="N334" s="283"/>
      <c r="O334" s="283"/>
      <c r="P334" s="283"/>
      <c r="Q334" s="283"/>
      <c r="R334" s="357"/>
      <c r="S334" s="283"/>
      <c r="T334" s="283"/>
      <c r="U334" s="283"/>
      <c r="V334" s="283"/>
      <c r="W334" s="992"/>
      <c r="X334" s="992"/>
      <c r="Y334" s="992"/>
      <c r="Z334" s="283"/>
      <c r="AA334" s="283"/>
      <c r="AB334" s="965"/>
      <c r="AC334" s="965"/>
      <c r="AD334" s="965"/>
      <c r="AE334" s="966"/>
      <c r="AF334" s="966"/>
      <c r="AG334" s="966"/>
      <c r="AH334" s="966"/>
      <c r="AI334" s="966"/>
      <c r="AJ334" s="966"/>
      <c r="AK334" s="965"/>
      <c r="AL334" s="283"/>
      <c r="AM334" s="282" t="str">
        <f>B334</f>
        <v>Poule de 11</v>
      </c>
      <c r="AN334" s="283"/>
      <c r="AO334" s="283"/>
      <c r="AP334" s="283"/>
      <c r="AQ334" s="283"/>
      <c r="AR334" s="283"/>
      <c r="AS334" s="283"/>
      <c r="AT334" s="283"/>
      <c r="AU334" s="283"/>
      <c r="AV334" s="283"/>
      <c r="AW334" s="283"/>
      <c r="AX334" s="283"/>
      <c r="AY334" s="283"/>
      <c r="AZ334" s="283"/>
      <c r="BA334" s="283"/>
      <c r="BB334" s="283"/>
      <c r="BC334" s="283"/>
      <c r="BD334" s="283"/>
      <c r="BE334" s="283"/>
      <c r="BF334" s="283"/>
      <c r="BG334" s="283"/>
      <c r="BH334" s="283"/>
      <c r="BI334" s="283"/>
      <c r="BJ334" s="283"/>
      <c r="BK334" s="283"/>
      <c r="BL334" s="283"/>
      <c r="BM334" s="283"/>
      <c r="BN334" s="283"/>
      <c r="BO334" s="283"/>
      <c r="BP334" s="283"/>
      <c r="BQ334" s="283"/>
      <c r="BR334" s="283"/>
      <c r="BS334" s="283"/>
      <c r="BT334" s="283"/>
      <c r="BU334" s="283"/>
      <c r="BV334" s="283"/>
      <c r="BW334" s="283"/>
      <c r="BX334" s="283"/>
      <c r="BY334" s="283"/>
      <c r="BZ334"/>
      <c r="CA334" s="1396"/>
      <c r="CB334" s="1396"/>
      <c r="CC334" s="284"/>
      <c r="CD334"/>
      <c r="CE334"/>
    </row>
    <row r="335" spans="1:83" ht="13.5" outlineLevel="1" thickBot="1" x14ac:dyDescent="0.25">
      <c r="A335"/>
      <c r="B335" s="1"/>
      <c r="C335"/>
      <c r="D335"/>
      <c r="E335"/>
      <c r="F335"/>
      <c r="G335" s="1"/>
      <c r="H335" s="1"/>
      <c r="I335"/>
      <c r="J335"/>
      <c r="K335"/>
      <c r="L335"/>
      <c r="M335"/>
      <c r="N335"/>
      <c r="O335"/>
      <c r="P335"/>
      <c r="Q335"/>
      <c r="S335"/>
      <c r="T335"/>
      <c r="U335"/>
      <c r="V335"/>
      <c r="W335" s="1"/>
      <c r="X335" s="1"/>
      <c r="Y335" s="1"/>
      <c r="Z335"/>
      <c r="AB335" s="964"/>
      <c r="AC335" s="964"/>
      <c r="AD335" s="969"/>
      <c r="AE335" s="969"/>
      <c r="AF335" s="964"/>
      <c r="AG335" s="970"/>
      <c r="AH335" s="964"/>
      <c r="AI335" s="969"/>
      <c r="AJ335" s="964"/>
      <c r="AK335" s="963"/>
      <c r="AL335" s="16"/>
      <c r="AM335" s="16"/>
      <c r="AN335" s="16"/>
      <c r="AO335" s="16"/>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s="1396"/>
      <c r="CB335" s="1396"/>
      <c r="CC335"/>
      <c r="CD335"/>
      <c r="CE335"/>
    </row>
    <row r="336" spans="1:83" ht="13.5" outlineLevel="1" thickBot="1" x14ac:dyDescent="0.25">
      <c r="A336"/>
      <c r="B336" s="18" t="str">
        <f>N_Tirage</f>
        <v>Tirage</v>
      </c>
      <c r="C336" s="971" t="s">
        <v>787</v>
      </c>
      <c r="D336" s="972" t="s">
        <v>831</v>
      </c>
      <c r="E336" s="972" t="s">
        <v>832</v>
      </c>
      <c r="F336" s="973" t="s">
        <v>833</v>
      </c>
      <c r="G336" s="22" t="str">
        <f>N_Joueurs</f>
        <v>Joueurs</v>
      </c>
      <c r="H336" s="3" t="str">
        <f>N_RankPoints</f>
        <v>Pt. Clas.</v>
      </c>
      <c r="I336" s="22" t="str">
        <f>N_Diff_Part</f>
        <v>Diff-Part</v>
      </c>
      <c r="J336" s="983" t="s">
        <v>788</v>
      </c>
      <c r="K336" s="984" t="s">
        <v>789</v>
      </c>
      <c r="L336" s="972" t="s">
        <v>790</v>
      </c>
      <c r="M336" s="972" t="s">
        <v>791</v>
      </c>
      <c r="N336" s="972" t="s">
        <v>792</v>
      </c>
      <c r="O336" s="972" t="s">
        <v>793</v>
      </c>
      <c r="P336" s="972" t="s">
        <v>794</v>
      </c>
      <c r="Q336" s="973" t="s">
        <v>781</v>
      </c>
      <c r="R336"/>
      <c r="S336"/>
      <c r="T336"/>
      <c r="U336"/>
      <c r="V336"/>
      <c r="W336" s="1"/>
      <c r="X336" s="1"/>
      <c r="Y336" s="1"/>
      <c r="Z336"/>
      <c r="AB336" s="964"/>
      <c r="AC336" s="964"/>
      <c r="AD336" s="964"/>
      <c r="AE336" s="964" t="str">
        <f>N_G</f>
        <v>G</v>
      </c>
      <c r="AF336" s="964" t="str">
        <f>N_N</f>
        <v>N</v>
      </c>
      <c r="AG336" s="964" t="str">
        <f>N_N</f>
        <v>N</v>
      </c>
      <c r="AH336" s="964" t="str">
        <f>N_P</f>
        <v>P</v>
      </c>
      <c r="AI336" s="964" t="s">
        <v>1560</v>
      </c>
      <c r="AJ336" s="964" t="s">
        <v>3714</v>
      </c>
      <c r="AK336" s="964" t="str">
        <f>IF(COUNTA(W350:W424)=0,"","OK")</f>
        <v/>
      </c>
      <c r="AL336"/>
      <c r="AM336" s="16"/>
      <c r="AN336" s="24" t="str">
        <f>N_Cla.</f>
        <v>Cla.</v>
      </c>
      <c r="AO336" s="4" t="str">
        <f>N_Joueurs</f>
        <v>Joueurs</v>
      </c>
      <c r="AP336" s="25" t="str">
        <f>N_Pts</f>
        <v>Pts</v>
      </c>
      <c r="AQ336" s="25" t="str">
        <f>N_J</f>
        <v>J</v>
      </c>
      <c r="AR336" s="26" t="str">
        <f>N_G</f>
        <v>G</v>
      </c>
      <c r="AS336" s="26" t="str">
        <f>N_N</f>
        <v>N</v>
      </c>
      <c r="AT336" s="26" t="str">
        <f>N_P</f>
        <v>P</v>
      </c>
      <c r="AU336" s="26" t="str">
        <f>N_BP</f>
        <v>BP</v>
      </c>
      <c r="AV336" s="26" t="str">
        <f>N_BC</f>
        <v>BC</v>
      </c>
      <c r="AW336" s="5" t="str">
        <f>N_Diff.</f>
        <v>Diff.</v>
      </c>
      <c r="AX336"/>
      <c r="AY336"/>
      <c r="AZ336" s="1"/>
      <c r="BA336" s="1"/>
      <c r="BB336"/>
      <c r="BC336" s="6"/>
      <c r="BD336"/>
      <c r="BE336" s="1"/>
      <c r="BF336"/>
      <c r="BG336" s="16"/>
      <c r="BH336"/>
      <c r="BI336"/>
      <c r="BJ336"/>
      <c r="BK336"/>
      <c r="BL336"/>
      <c r="BM336"/>
      <c r="BN336"/>
      <c r="BO336"/>
      <c r="BP336"/>
      <c r="BQ336"/>
      <c r="BR336"/>
      <c r="BS336"/>
      <c r="BT336"/>
      <c r="BU336"/>
      <c r="BV336"/>
      <c r="BW336"/>
      <c r="BX336"/>
      <c r="BY336"/>
      <c r="BZ336"/>
      <c r="CA336" s="1396"/>
      <c r="CB336" s="1396"/>
      <c r="CC336"/>
      <c r="CD336"/>
      <c r="CE336"/>
    </row>
    <row r="337" spans="1:83" outlineLevel="1" x14ac:dyDescent="0.2">
      <c r="A337"/>
      <c r="B337" s="941">
        <v>1</v>
      </c>
      <c r="C337" s="974" t="str">
        <f>IF(AK336="","",RANK(F337,F337:F347)*1000+ROW())</f>
        <v/>
      </c>
      <c r="D337" s="975" t="str">
        <f>IF(L337="","",CritClassInd1_Points*J337+CritClassInd1_Matches*L337+CritClassInd1_Attaque*O337+CritClassInd1_DiffButs*Q337)</f>
        <v/>
      </c>
      <c r="E337" s="975" t="str">
        <f>IF(L337="","",Nb_Diff_Part(D337,D337:D347,G337,G337:G347,AI350:AI424)*CritClassInd_DiffPart+Nb_Goal_Part(D337,D337:D347,G337,G337:G347,V350:Z424)*CritClassInd_GoalPart+Nb_Score_Part(D337,D337:D347,G337,G337:G347,V350:Z424)*CritClassInd_ScorePart)</f>
        <v/>
      </c>
      <c r="F337" s="976" t="str">
        <f>IF(L337="","",D337+E337+CritClassInd2_Points*J337+CritClassInd2_Matches*L337+CritClassInd2_Attaque*O337+CritClassInd2_DiffButs*Q337+CritClassInd_Ranking*H337+I337)</f>
        <v/>
      </c>
      <c r="G337" s="942" t="s">
        <v>2712</v>
      </c>
      <c r="H337" s="499">
        <f t="shared" ref="H337:H347" si="124">GMFTRANKINGPOINTS(G337,Particular_Category)</f>
        <v>0</v>
      </c>
      <c r="I337" s="942"/>
      <c r="J337" s="974" t="str">
        <f>IF(AK336="","",(L337*Points_Victoire)+M337*Points_Null)</f>
        <v/>
      </c>
      <c r="K337" s="985" t="str">
        <f t="shared" ref="K337:K347" si="125">IF(L337="","",SUM(L337:N337))</f>
        <v/>
      </c>
      <c r="L337" s="986" t="str">
        <f>IF(AK336="","",COUNTIF(AE350:AE424,G337))</f>
        <v/>
      </c>
      <c r="M337" s="986" t="str">
        <f>IF(AK336="","",COUNTIF(AF350:AG424,G337))</f>
        <v/>
      </c>
      <c r="N337" s="986" t="str">
        <f>IF(AK336="","",COUNTIF(AH350:AH424,G337))</f>
        <v/>
      </c>
      <c r="O337" s="986" t="str">
        <f>IF(AK336="","",SUMIF(V350:V424,G337,AB350:AB424)+SUMIF(Z350:Z424,G337,AD350:AD424))</f>
        <v/>
      </c>
      <c r="P337" s="986" t="str">
        <f>IF(AK336="","",SUMIF(V350:V424,G337,AD350:AD424)+SUMIF(Z350:Z424,G337,AB350:AB424))</f>
        <v/>
      </c>
      <c r="Q337" s="987" t="str">
        <f>IF(AK336="","",O337-P337)</f>
        <v/>
      </c>
      <c r="R337"/>
      <c r="S337"/>
      <c r="T337"/>
      <c r="U337"/>
      <c r="V337"/>
      <c r="W337" s="1"/>
      <c r="X337" s="1"/>
      <c r="Y337" s="1"/>
      <c r="Z337"/>
      <c r="AB337" s="964"/>
      <c r="AC337" s="964"/>
      <c r="AD337" s="964"/>
      <c r="AE337" s="964"/>
      <c r="AF337" s="964"/>
      <c r="AG337" s="964"/>
      <c r="AH337" s="964"/>
      <c r="AI337" s="964"/>
      <c r="AJ337" s="964"/>
      <c r="AK337" s="968" t="str">
        <f>IF(AK336="","",SMALL(C337:C347,1))</f>
        <v/>
      </c>
      <c r="AL337"/>
      <c r="AM337" s="16"/>
      <c r="AN337" s="943" t="str">
        <f>IF(AK336="","",INT(AK337/1000))</f>
        <v/>
      </c>
      <c r="AO337" s="33" t="str">
        <f>IF(AK336="","",VLOOKUP(AK337,C337:Q347,5,FALSE))</f>
        <v/>
      </c>
      <c r="AP337" s="33" t="str">
        <f>VLOOKUP(AK337,C337:Q347,8,FALSE)</f>
        <v/>
      </c>
      <c r="AQ337" s="33" t="str">
        <f>VLOOKUP(AK337,C337:Q347,9,FALSE)</f>
        <v/>
      </c>
      <c r="AR337" s="33" t="str">
        <f>VLOOKUP(AK337,C337:Q347,10,FALSE)</f>
        <v/>
      </c>
      <c r="AS337" s="33" t="str">
        <f>VLOOKUP(AK337,C337:Q347,11,FALSE)</f>
        <v/>
      </c>
      <c r="AT337" s="33" t="str">
        <f>VLOOKUP(AK337,C337:Q347,12,FALSE)</f>
        <v/>
      </c>
      <c r="AU337" s="33" t="str">
        <f>VLOOKUP(AK337,C337:Q347,13,FALSE)</f>
        <v/>
      </c>
      <c r="AV337" s="33" t="str">
        <f>VLOOKUP(AK337,C337:Q347,14,FALSE)</f>
        <v/>
      </c>
      <c r="AW337" s="944" t="str">
        <f>VLOOKUP(AK337,C337:Q347,15,FALSE)</f>
        <v/>
      </c>
      <c r="AX337"/>
      <c r="AY337"/>
      <c r="AZ337" s="1"/>
      <c r="BA337" s="1"/>
      <c r="BB337"/>
      <c r="BC337" s="6"/>
      <c r="BD337"/>
      <c r="BE337" s="1"/>
      <c r="BF337"/>
      <c r="BG337" s="16"/>
      <c r="BH337"/>
      <c r="BI337"/>
      <c r="BJ337"/>
      <c r="BK337"/>
      <c r="BL337"/>
      <c r="BM337"/>
      <c r="BN337"/>
      <c r="BO337"/>
      <c r="BP337"/>
      <c r="BQ337"/>
      <c r="BR337"/>
      <c r="BS337"/>
      <c r="BT337"/>
      <c r="BU337"/>
      <c r="BV337"/>
      <c r="BW337"/>
      <c r="BX337"/>
      <c r="BY337"/>
      <c r="BZ337"/>
      <c r="CA337" s="1396"/>
      <c r="CB337" s="1396"/>
      <c r="CC337"/>
      <c r="CD337"/>
      <c r="CE337"/>
    </row>
    <row r="338" spans="1:83" outlineLevel="1" x14ac:dyDescent="0.2">
      <c r="A338"/>
      <c r="B338" s="945">
        <v>2</v>
      </c>
      <c r="C338" s="977" t="str">
        <f>IF(AK336="","",RANK(F338,F337:F347)*1000+ROW())</f>
        <v/>
      </c>
      <c r="D338" s="978" t="str">
        <f t="shared" ref="D338:D347" si="126">IF(L338="","",CritClassInd1_Points*J338+CritClassInd1_Matches*L338+CritClassInd1_Attaque*O338+CritClassInd1_DiffButs*Q338)</f>
        <v/>
      </c>
      <c r="E338" s="978" t="str">
        <f>IF(L338="","",Nb_Diff_Part(D338,D337:D347,G338,G337:G347,AI350:AI424)*CritClassInd_DiffPart+Nb_Goal_Part(D338,D337:D347,G338,G337:G347,V350:Z424)*CritClassInd_GoalPart+Nb_Score_Part(D338,D337:D347,G338,G337:G347,V350:Z424)*CritClassInd_ScorePart)</f>
        <v/>
      </c>
      <c r="F338" s="979" t="str">
        <f t="shared" ref="F338:F347" si="127">IF(L338="","",D338+E338+CritClassInd2_Points*J338+CritClassInd2_Matches*L338+CritClassInd2_Attaque*O338+CritClassInd2_DiffButs*Q338+CritClassInd_Ranking*H338+I338)</f>
        <v/>
      </c>
      <c r="G338" s="39" t="s">
        <v>3911</v>
      </c>
      <c r="H338" s="501">
        <f t="shared" si="124"/>
        <v>0</v>
      </c>
      <c r="I338" s="39"/>
      <c r="J338" s="977" t="str">
        <f>IF(AK336="","",(L338*Points_Victoire)+M338*Points_Null)</f>
        <v/>
      </c>
      <c r="K338" s="988" t="str">
        <f t="shared" si="125"/>
        <v/>
      </c>
      <c r="L338" s="988" t="str">
        <f>IF(AK336="","",COUNTIF(AE350:AE424,G338))</f>
        <v/>
      </c>
      <c r="M338" s="988" t="str">
        <f>IF(AK336="","",COUNTIF(AF350:AG424,G338))</f>
        <v/>
      </c>
      <c r="N338" s="988" t="str">
        <f>IF(AK336="","",COUNTIF(AH350:AH424,G338))</f>
        <v/>
      </c>
      <c r="O338" s="988" t="str">
        <f>IF(AK336="","",SUMIF(V350:V424,G338,AB350:AB424)+SUMIF(Z350:Z424,G338,AD350:AD424))</f>
        <v/>
      </c>
      <c r="P338" s="988" t="str">
        <f>IF(AK336="","",SUMIF(V350:V424,G338,AD350:AD424)+SUMIF(Z350:Z424,G338,AB350:AB424))</f>
        <v/>
      </c>
      <c r="Q338" s="989" t="str">
        <f>IF(AK336="","",O338-P338)</f>
        <v/>
      </c>
      <c r="R338"/>
      <c r="S338"/>
      <c r="T338"/>
      <c r="U338"/>
      <c r="V338"/>
      <c r="W338" s="1"/>
      <c r="X338" s="1"/>
      <c r="Y338" s="1"/>
      <c r="Z338"/>
      <c r="AB338" s="964"/>
      <c r="AC338" s="964"/>
      <c r="AD338" s="964"/>
      <c r="AE338" s="964"/>
      <c r="AF338" s="964"/>
      <c r="AG338" s="964"/>
      <c r="AH338" s="964"/>
      <c r="AI338" s="964"/>
      <c r="AJ338" s="964"/>
      <c r="AK338" s="968" t="str">
        <f>IF(AK336="","",SMALL(C337:C347,2))</f>
        <v/>
      </c>
      <c r="AL338"/>
      <c r="AM338" s="16"/>
      <c r="AN338" s="946" t="str">
        <f>IF(AK336="","",INT(AK338/1000))</f>
        <v/>
      </c>
      <c r="AO338" s="42" t="str">
        <f>IF(AK336="","",VLOOKUP(AK338,C337:Q347,5,FALSE))</f>
        <v/>
      </c>
      <c r="AP338" s="42" t="str">
        <f>VLOOKUP(AK338,C337:Q347,8,FALSE)</f>
        <v/>
      </c>
      <c r="AQ338" s="42" t="str">
        <f>VLOOKUP(AK338,C337:Q347,9,FALSE)</f>
        <v/>
      </c>
      <c r="AR338" s="42" t="str">
        <f>VLOOKUP(AK338,C337:Q347,10,FALSE)</f>
        <v/>
      </c>
      <c r="AS338" s="42" t="str">
        <f>VLOOKUP(AK338,C337:Q347,11,FALSE)</f>
        <v/>
      </c>
      <c r="AT338" s="42" t="str">
        <f>VLOOKUP(AK338,C337:Q347,12,FALSE)</f>
        <v/>
      </c>
      <c r="AU338" s="42" t="str">
        <f>VLOOKUP(AK338,C337:Q347,13,FALSE)</f>
        <v/>
      </c>
      <c r="AV338" s="42" t="str">
        <f>VLOOKUP(AK338,C337:Q347,14,FALSE)</f>
        <v/>
      </c>
      <c r="AW338" s="947" t="str">
        <f>VLOOKUP(AK338,C337:Q347,15,FALSE)</f>
        <v/>
      </c>
      <c r="AX338"/>
      <c r="AY338"/>
      <c r="AZ338" s="1"/>
      <c r="BA338" s="1"/>
      <c r="BB338"/>
      <c r="BC338" s="6"/>
      <c r="BD338"/>
      <c r="BE338" s="1"/>
      <c r="BF338"/>
      <c r="BG338" s="16"/>
      <c r="BH338"/>
      <c r="BI338"/>
      <c r="BJ338"/>
      <c r="BK338"/>
      <c r="BL338"/>
      <c r="BM338"/>
      <c r="BN338"/>
      <c r="BO338"/>
      <c r="BP338"/>
      <c r="BQ338"/>
      <c r="BR338"/>
      <c r="BS338"/>
      <c r="BT338"/>
      <c r="BU338"/>
      <c r="BV338"/>
      <c r="BW338"/>
      <c r="BX338"/>
      <c r="BY338"/>
      <c r="BZ338"/>
      <c r="CA338" s="1396"/>
      <c r="CB338" s="1396"/>
      <c r="CC338"/>
      <c r="CD338"/>
      <c r="CE338"/>
    </row>
    <row r="339" spans="1:83" outlineLevel="1" x14ac:dyDescent="0.2">
      <c r="A339"/>
      <c r="B339" s="945">
        <v>3</v>
      </c>
      <c r="C339" s="977" t="str">
        <f>IF(AK336="","",RANK(F339,F337:F347)*1000+ROW())</f>
        <v/>
      </c>
      <c r="D339" s="978" t="str">
        <f t="shared" si="126"/>
        <v/>
      </c>
      <c r="E339" s="978" t="str">
        <f>IF(L339="","",Nb_Diff_Part(D339,D337:D347,G339,G337:G347,AI350:AI424)*CritClassInd_DiffPart+Nb_Goal_Part(D339,D337:D347,G339,G337:G347,V350:Z424)*CritClassInd_GoalPart+Nb_Score_Part(D339,D337:D347,G339,G337:G347,V350:Z424)*CritClassInd_ScorePart)</f>
        <v/>
      </c>
      <c r="F339" s="979" t="str">
        <f t="shared" si="127"/>
        <v/>
      </c>
      <c r="G339" s="39" t="s">
        <v>3912</v>
      </c>
      <c r="H339" s="501">
        <f t="shared" si="124"/>
        <v>0</v>
      </c>
      <c r="I339" s="39"/>
      <c r="J339" s="977" t="str">
        <f>IF(AK336="","",(L339*Points_Victoire)+M339*Points_Null)</f>
        <v/>
      </c>
      <c r="K339" s="988" t="str">
        <f t="shared" si="125"/>
        <v/>
      </c>
      <c r="L339" s="988" t="str">
        <f>IF(AK336="","",COUNTIF(AE350:AE424,G339))</f>
        <v/>
      </c>
      <c r="M339" s="988" t="str">
        <f>IF(AK336="","",COUNTIF(AF350:AG424,G339))</f>
        <v/>
      </c>
      <c r="N339" s="988" t="str">
        <f>IF(AK336="","",COUNTIF(AH350:AH424,G339))</f>
        <v/>
      </c>
      <c r="O339" s="988" t="str">
        <f>IF(AK336="","",SUMIF(V350:V424,G339,AB350:AB424)+SUMIF(Z350:Z424,G339,AD350:AD424))</f>
        <v/>
      </c>
      <c r="P339" s="988" t="str">
        <f>IF(AK336="","",SUMIF(V350:V424,G339,AD350:AD424)+SUMIF(Z350:Z424,G339,AB350:AB424))</f>
        <v/>
      </c>
      <c r="Q339" s="989" t="str">
        <f>IF(AK336="","",O339-P339)</f>
        <v/>
      </c>
      <c r="R339"/>
      <c r="S339"/>
      <c r="T339"/>
      <c r="U339"/>
      <c r="V339"/>
      <c r="W339" s="1"/>
      <c r="X339" s="1"/>
      <c r="Y339" s="1"/>
      <c r="Z339"/>
      <c r="AB339" s="964"/>
      <c r="AC339" s="964"/>
      <c r="AD339" s="964"/>
      <c r="AE339" s="964"/>
      <c r="AF339" s="964"/>
      <c r="AG339" s="964"/>
      <c r="AH339" s="964"/>
      <c r="AI339" s="964"/>
      <c r="AJ339" s="964"/>
      <c r="AK339" s="968" t="str">
        <f>IF(AK336="","",SMALL(C337:C347,3))</f>
        <v/>
      </c>
      <c r="AL339"/>
      <c r="AM339" s="16"/>
      <c r="AN339" s="946" t="str">
        <f>IF(AK336="","",INT(AK339/1000))</f>
        <v/>
      </c>
      <c r="AO339" s="42" t="str">
        <f>IF(AK336="","",VLOOKUP(AK339,C337:Q347,5,FALSE))</f>
        <v/>
      </c>
      <c r="AP339" s="42" t="str">
        <f>VLOOKUP(AK339,C337:Q347,8,FALSE)</f>
        <v/>
      </c>
      <c r="AQ339" s="42" t="str">
        <f>VLOOKUP(AK339,C337:Q347,9,FALSE)</f>
        <v/>
      </c>
      <c r="AR339" s="42" t="str">
        <f>VLOOKUP(AK339,C337:Q347,10,FALSE)</f>
        <v/>
      </c>
      <c r="AS339" s="42" t="str">
        <f>VLOOKUP(AK339,C337:Q347,11,FALSE)</f>
        <v/>
      </c>
      <c r="AT339" s="42" t="str">
        <f>VLOOKUP(AK339,C337:Q347,12,FALSE)</f>
        <v/>
      </c>
      <c r="AU339" s="42" t="str">
        <f>VLOOKUP(AK339,C337:Q347,13,FALSE)</f>
        <v/>
      </c>
      <c r="AV339" s="42" t="str">
        <f>VLOOKUP(AK339,C337:Q347,14,FALSE)</f>
        <v/>
      </c>
      <c r="AW339" s="947" t="str">
        <f>VLOOKUP(AK339,C337:Q347,15,FALSE)</f>
        <v/>
      </c>
      <c r="AX339"/>
      <c r="AY339"/>
      <c r="AZ339" s="1"/>
      <c r="BA339" s="1"/>
      <c r="BB339"/>
      <c r="BC339" s="6"/>
      <c r="BD339"/>
      <c r="BE339" s="1"/>
      <c r="BF339"/>
      <c r="BG339" s="16"/>
      <c r="BH339"/>
      <c r="BI339"/>
      <c r="BJ339"/>
      <c r="BK339"/>
      <c r="BL339"/>
      <c r="BM339"/>
      <c r="BN339"/>
      <c r="BO339"/>
      <c r="BP339"/>
      <c r="BQ339"/>
      <c r="BR339"/>
      <c r="BS339"/>
      <c r="BT339"/>
      <c r="BU339"/>
      <c r="BV339"/>
      <c r="BW339"/>
      <c r="BX339"/>
      <c r="BY339"/>
      <c r="BZ339"/>
      <c r="CA339" s="1396"/>
      <c r="CB339" s="1396"/>
      <c r="CC339"/>
      <c r="CD339"/>
      <c r="CE339"/>
    </row>
    <row r="340" spans="1:83" outlineLevel="1" x14ac:dyDescent="0.2">
      <c r="A340"/>
      <c r="B340" s="945">
        <v>4</v>
      </c>
      <c r="C340" s="977" t="str">
        <f>IF(AK336="","",RANK(F340,F337:F347)*1000+ROW())</f>
        <v/>
      </c>
      <c r="D340" s="978" t="str">
        <f t="shared" si="126"/>
        <v/>
      </c>
      <c r="E340" s="978" t="str">
        <f>IF(L340="","",Nb_Diff_Part(D340,D337:D347,G340,G337:G347,AI350:AI424)*CritClassInd_DiffPart+Nb_Goal_Part(D340,D337:D347,G340,G337:G347,V350:Z424)*CritClassInd_GoalPart+Nb_Score_Part(D340,D337:D347,G340,G337:G347,V350:Z424)*CritClassInd_ScorePart)</f>
        <v/>
      </c>
      <c r="F340" s="979" t="str">
        <f t="shared" si="127"/>
        <v/>
      </c>
      <c r="G340" s="39" t="s">
        <v>2710</v>
      </c>
      <c r="H340" s="501">
        <f t="shared" si="124"/>
        <v>0</v>
      </c>
      <c r="I340" s="39"/>
      <c r="J340" s="977" t="str">
        <f>IF(AK336="","",(L340*Points_Victoire)+M340*Points_Null)</f>
        <v/>
      </c>
      <c r="K340" s="988" t="str">
        <f t="shared" si="125"/>
        <v/>
      </c>
      <c r="L340" s="988" t="str">
        <f>IF(AK336="","",COUNTIF(AE350:AE424,G340))</f>
        <v/>
      </c>
      <c r="M340" s="988" t="str">
        <f>IF(AK336="","",COUNTIF(AF350:AG424,G340))</f>
        <v/>
      </c>
      <c r="N340" s="988" t="str">
        <f>IF(AK336="","",COUNTIF(AH350:AH424,G340))</f>
        <v/>
      </c>
      <c r="O340" s="988" t="str">
        <f>IF(AK336="","",SUMIF(V350:V424,G340,AB350:AB424)+SUMIF(Z350:Z424,G340,AD350:AD424))</f>
        <v/>
      </c>
      <c r="P340" s="988" t="str">
        <f>IF(AK336="","",SUMIF(V350:V424,G340,AD350:AD424)+SUMIF(Z350:Z424,G340,AB350:AB424))</f>
        <v/>
      </c>
      <c r="Q340" s="989" t="str">
        <f>IF(AK336="","",O340-P340)</f>
        <v/>
      </c>
      <c r="R340"/>
      <c r="S340"/>
      <c r="T340"/>
      <c r="U340"/>
      <c r="V340"/>
      <c r="W340" s="1"/>
      <c r="X340" s="1"/>
      <c r="Y340" s="1"/>
      <c r="Z340"/>
      <c r="AB340" s="964"/>
      <c r="AC340" s="964"/>
      <c r="AD340" s="964"/>
      <c r="AE340" s="964"/>
      <c r="AF340" s="964"/>
      <c r="AG340" s="964"/>
      <c r="AH340" s="964"/>
      <c r="AI340" s="964"/>
      <c r="AJ340" s="964"/>
      <c r="AK340" s="968" t="str">
        <f>IF(AK336="","",SMALL(C337:C347,4))</f>
        <v/>
      </c>
      <c r="AL340"/>
      <c r="AM340" s="16"/>
      <c r="AN340" s="946" t="str">
        <f>IF(AK336="","",INT(AK340/1000))</f>
        <v/>
      </c>
      <c r="AO340" s="42" t="str">
        <f>IF(AK336="","",VLOOKUP(AK340,C337:Q347,5,FALSE))</f>
        <v/>
      </c>
      <c r="AP340" s="42" t="str">
        <f>VLOOKUP(AK340,C337:Q347,8,FALSE)</f>
        <v/>
      </c>
      <c r="AQ340" s="42" t="str">
        <f>VLOOKUP(AK340,C337:Q347,9,FALSE)</f>
        <v/>
      </c>
      <c r="AR340" s="42" t="str">
        <f>VLOOKUP(AK340,C337:Q347,10,FALSE)</f>
        <v/>
      </c>
      <c r="AS340" s="42" t="str">
        <f>VLOOKUP(AK340,C337:Q347,11,FALSE)</f>
        <v/>
      </c>
      <c r="AT340" s="42" t="str">
        <f>VLOOKUP(AK340,C337:Q347,12,FALSE)</f>
        <v/>
      </c>
      <c r="AU340" s="42" t="str">
        <f>VLOOKUP(AK340,C337:Q347,13,FALSE)</f>
        <v/>
      </c>
      <c r="AV340" s="42" t="str">
        <f>VLOOKUP(AK340,C337:Q347,14,FALSE)</f>
        <v/>
      </c>
      <c r="AW340" s="947" t="str">
        <f>VLOOKUP(AK340,C337:Q347,15,FALSE)</f>
        <v/>
      </c>
      <c r="AX340"/>
      <c r="AY340"/>
      <c r="AZ340" s="1"/>
      <c r="BA340" s="1"/>
      <c r="BB340"/>
      <c r="BC340" s="6"/>
      <c r="BD340"/>
      <c r="BE340" s="1"/>
      <c r="BF340"/>
      <c r="BG340" s="16"/>
      <c r="BH340"/>
      <c r="BI340"/>
      <c r="BJ340"/>
      <c r="BK340"/>
      <c r="BL340"/>
      <c r="BM340"/>
      <c r="BN340"/>
      <c r="BO340"/>
      <c r="BP340"/>
      <c r="BQ340"/>
      <c r="BR340"/>
      <c r="BS340"/>
      <c r="BT340"/>
      <c r="BU340"/>
      <c r="BV340"/>
      <c r="BW340"/>
      <c r="BX340"/>
      <c r="BY340"/>
      <c r="BZ340"/>
      <c r="CA340" s="1396"/>
      <c r="CB340" s="1396"/>
      <c r="CC340"/>
      <c r="CD340"/>
      <c r="CE340"/>
    </row>
    <row r="341" spans="1:83" outlineLevel="1" x14ac:dyDescent="0.2">
      <c r="A341"/>
      <c r="B341" s="945">
        <v>5</v>
      </c>
      <c r="C341" s="977" t="str">
        <f>IF(AK336="","",RANK(F341,F337:F347)*1000+ROW())</f>
        <v/>
      </c>
      <c r="D341" s="978" t="str">
        <f t="shared" si="126"/>
        <v/>
      </c>
      <c r="E341" s="978" t="str">
        <f>IF(L341="","",Nb_Diff_Part(D341,D337:D347,G341,G337:G347,AI350:AI424)*CritClassInd_DiffPart+Nb_Goal_Part(D341,D337:D347,G341,G337:G347,V350:Z424)*CritClassInd_GoalPart+Nb_Score_Part(D341,D337:D347,G341,G337:G347,V350:Z424)*CritClassInd_ScorePart)</f>
        <v/>
      </c>
      <c r="F341" s="979" t="str">
        <f t="shared" si="127"/>
        <v/>
      </c>
      <c r="G341" s="39" t="s">
        <v>3913</v>
      </c>
      <c r="H341" s="501">
        <f t="shared" si="124"/>
        <v>0</v>
      </c>
      <c r="I341" s="39"/>
      <c r="J341" s="977" t="str">
        <f>IF(AK336="","",(L341*Points_Victoire)+M341*Points_Null)</f>
        <v/>
      </c>
      <c r="K341" s="988" t="str">
        <f t="shared" si="125"/>
        <v/>
      </c>
      <c r="L341" s="988" t="str">
        <f>IF(AK336="","",COUNTIF(AE350:AE424,G341))</f>
        <v/>
      </c>
      <c r="M341" s="988" t="str">
        <f>IF(AK336="","",COUNTIF(AF350:AG424,G341))</f>
        <v/>
      </c>
      <c r="N341" s="988" t="str">
        <f>IF(AK336="","",COUNTIF(AH350:AH424,G341))</f>
        <v/>
      </c>
      <c r="O341" s="988" t="str">
        <f>IF(AK336="","",SUMIF(V350:V424,G341,AB350:AB424)+SUMIF(Z350:Z424,G341,AD350:AD424))</f>
        <v/>
      </c>
      <c r="P341" s="988" t="str">
        <f>IF(AK336="","",SUMIF(V350:V424,G341,AD350:AD424)+SUMIF(Z350:Z424,G341,AB350:AB424))</f>
        <v/>
      </c>
      <c r="Q341" s="989" t="str">
        <f>IF(AK336="","",O341-P341)</f>
        <v/>
      </c>
      <c r="R341"/>
      <c r="S341"/>
      <c r="T341"/>
      <c r="U341"/>
      <c r="V341"/>
      <c r="W341" s="1"/>
      <c r="X341" s="1"/>
      <c r="Y341" s="1"/>
      <c r="Z341"/>
      <c r="AB341" s="964"/>
      <c r="AC341" s="964"/>
      <c r="AD341" s="964"/>
      <c r="AE341" s="964"/>
      <c r="AF341" s="964"/>
      <c r="AG341" s="964"/>
      <c r="AH341" s="964"/>
      <c r="AI341" s="964"/>
      <c r="AJ341" s="964"/>
      <c r="AK341" s="968" t="str">
        <f>IF(AK336="","",SMALL(C337:C347,5))</f>
        <v/>
      </c>
      <c r="AL341"/>
      <c r="AM341" s="16"/>
      <c r="AN341" s="946" t="str">
        <f>IF(AK336="","",INT(AK341/1000))</f>
        <v/>
      </c>
      <c r="AO341" s="42" t="str">
        <f>IF(AK336="","",VLOOKUP(AK341,C337:Q347,5,FALSE))</f>
        <v/>
      </c>
      <c r="AP341" s="42" t="str">
        <f>VLOOKUP(AK341,C337:Q347,8,FALSE)</f>
        <v/>
      </c>
      <c r="AQ341" s="42" t="str">
        <f>VLOOKUP(AK341,C337:Q347,9,FALSE)</f>
        <v/>
      </c>
      <c r="AR341" s="42" t="str">
        <f>VLOOKUP(AK341,C337:Q347,10,FALSE)</f>
        <v/>
      </c>
      <c r="AS341" s="42" t="str">
        <f>VLOOKUP(AK341,C337:Q347,11,FALSE)</f>
        <v/>
      </c>
      <c r="AT341" s="42" t="str">
        <f>VLOOKUP(AK341,C337:Q347,12,FALSE)</f>
        <v/>
      </c>
      <c r="AU341" s="42" t="str">
        <f>VLOOKUP(AK341,C337:Q347,13,FALSE)</f>
        <v/>
      </c>
      <c r="AV341" s="42" t="str">
        <f>VLOOKUP(AK341,C337:Q347,14,FALSE)</f>
        <v/>
      </c>
      <c r="AW341" s="947" t="str">
        <f>VLOOKUP(AK341,C337:Q347,15,FALSE)</f>
        <v/>
      </c>
      <c r="AX341"/>
      <c r="AY341"/>
      <c r="AZ341" s="1"/>
      <c r="BA341" s="1"/>
      <c r="BB341"/>
      <c r="BC341" s="6"/>
      <c r="BD341"/>
      <c r="BE341" s="1"/>
      <c r="BF341"/>
      <c r="BG341" s="16"/>
      <c r="BH341"/>
      <c r="BI341"/>
      <c r="BJ341"/>
      <c r="BK341"/>
      <c r="BL341"/>
      <c r="BM341"/>
      <c r="BN341"/>
      <c r="BO341"/>
      <c r="BP341"/>
      <c r="BQ341"/>
      <c r="BR341"/>
      <c r="BS341"/>
      <c r="BT341"/>
      <c r="BU341"/>
      <c r="BV341"/>
      <c r="BW341"/>
      <c r="BX341"/>
      <c r="BY341"/>
      <c r="BZ341"/>
      <c r="CA341" s="1396"/>
      <c r="CB341" s="1396"/>
      <c r="CC341"/>
      <c r="CD341"/>
      <c r="CE341"/>
    </row>
    <row r="342" spans="1:83" outlineLevel="1" x14ac:dyDescent="0.2">
      <c r="A342"/>
      <c r="B342" s="945">
        <v>6</v>
      </c>
      <c r="C342" s="977" t="str">
        <f>IF(AK336="","",RANK(F342,F337:F347)*1000+ROW())</f>
        <v/>
      </c>
      <c r="D342" s="978" t="str">
        <f t="shared" si="126"/>
        <v/>
      </c>
      <c r="E342" s="978" t="str">
        <f>IF(L342="","",Nb_Diff_Part(D342,D337:D347,G342,G337:G347,AI350:AI424)*CritClassInd_DiffPart+Nb_Goal_Part(D342,D337:D347,G342,G337:G347,V350:Z424)*CritClassInd_GoalPart+Nb_Score_Part(D342,D337:D347,G342,G337:G347,V350:Z424)*CritClassInd_ScorePart)</f>
        <v/>
      </c>
      <c r="F342" s="979" t="str">
        <f t="shared" si="127"/>
        <v/>
      </c>
      <c r="G342" s="39" t="s">
        <v>2711</v>
      </c>
      <c r="H342" s="501">
        <f t="shared" si="124"/>
        <v>0</v>
      </c>
      <c r="I342" s="39"/>
      <c r="J342" s="977" t="str">
        <f>IF(AK336="","",(L342*Points_Victoire)+M342*Points_Null)</f>
        <v/>
      </c>
      <c r="K342" s="988" t="str">
        <f t="shared" si="125"/>
        <v/>
      </c>
      <c r="L342" s="988" t="str">
        <f>IF(AK336="","",COUNTIF(AE350:AE424,G342))</f>
        <v/>
      </c>
      <c r="M342" s="988" t="str">
        <f>IF(AK336="","",COUNTIF(AF350:AG424,G342))</f>
        <v/>
      </c>
      <c r="N342" s="988" t="str">
        <f>IF(AK336="","",COUNTIF(AH350:AH424,G342))</f>
        <v/>
      </c>
      <c r="O342" s="988" t="str">
        <f>IF(AK336="","",SUMIF(V350:V424,G342,AB350:AB424)+SUMIF(Z350:Z424,G342,AD350:AD424))</f>
        <v/>
      </c>
      <c r="P342" s="988" t="str">
        <f>IF(AK336="","",SUMIF(V350:V424,G342,AD350:AD424)+SUMIF(Z350:Z424,G342,AB350:AB424))</f>
        <v/>
      </c>
      <c r="Q342" s="989" t="str">
        <f>IF(AK336="","",O342-P342)</f>
        <v/>
      </c>
      <c r="R342"/>
      <c r="S342"/>
      <c r="T342"/>
      <c r="U342"/>
      <c r="V342"/>
      <c r="W342" s="1"/>
      <c r="X342" s="1"/>
      <c r="Y342" s="1"/>
      <c r="Z342"/>
      <c r="AB342" s="964"/>
      <c r="AC342" s="964"/>
      <c r="AD342" s="964"/>
      <c r="AE342" s="964"/>
      <c r="AF342" s="964"/>
      <c r="AG342" s="964"/>
      <c r="AH342" s="964"/>
      <c r="AI342" s="964"/>
      <c r="AJ342" s="964"/>
      <c r="AK342" s="968" t="str">
        <f>IF(AK336="","",SMALL(C337:C347,6))</f>
        <v/>
      </c>
      <c r="AL342"/>
      <c r="AM342" s="16"/>
      <c r="AN342" s="946" t="str">
        <f>IF(AK336="","",INT(AK342/1000))</f>
        <v/>
      </c>
      <c r="AO342" s="42" t="str">
        <f>IF(AK336="","",VLOOKUP(AK342,C337:Q347,5,FALSE))</f>
        <v/>
      </c>
      <c r="AP342" s="42" t="str">
        <f>VLOOKUP(AK342,C337:Q347,8,FALSE)</f>
        <v/>
      </c>
      <c r="AQ342" s="42" t="str">
        <f>VLOOKUP(AK342,C337:Q347,9,FALSE)</f>
        <v/>
      </c>
      <c r="AR342" s="42" t="str">
        <f>VLOOKUP(AK342,C337:Q347,10,FALSE)</f>
        <v/>
      </c>
      <c r="AS342" s="42" t="str">
        <f>VLOOKUP(AK342,C337:Q347,11,FALSE)</f>
        <v/>
      </c>
      <c r="AT342" s="42" t="str">
        <f>VLOOKUP(AK342,C337:Q347,12,FALSE)</f>
        <v/>
      </c>
      <c r="AU342" s="42" t="str">
        <f>VLOOKUP(AK342,C337:Q347,13,FALSE)</f>
        <v/>
      </c>
      <c r="AV342" s="42" t="str">
        <f>VLOOKUP(AK342,C337:Q347,14,FALSE)</f>
        <v/>
      </c>
      <c r="AW342" s="947" t="str">
        <f>VLOOKUP(AK342,C337:Q347,15,FALSE)</f>
        <v/>
      </c>
      <c r="AX342"/>
      <c r="AY342"/>
      <c r="AZ342" s="1"/>
      <c r="BA342" s="1"/>
      <c r="BB342"/>
      <c r="BC342" s="6"/>
      <c r="BD342"/>
      <c r="BE342" s="1"/>
      <c r="BF342"/>
      <c r="BG342" s="16"/>
      <c r="BH342"/>
      <c r="BI342"/>
      <c r="BJ342"/>
      <c r="BK342"/>
      <c r="BL342"/>
      <c r="BM342"/>
      <c r="BN342"/>
      <c r="BO342"/>
      <c r="BP342"/>
      <c r="BQ342"/>
      <c r="BR342"/>
      <c r="BS342"/>
      <c r="BT342"/>
      <c r="BU342"/>
      <c r="BV342"/>
      <c r="BW342"/>
      <c r="BX342"/>
      <c r="BY342"/>
      <c r="BZ342"/>
      <c r="CA342" s="1396"/>
      <c r="CB342" s="1396"/>
      <c r="CC342"/>
      <c r="CD342"/>
      <c r="CE342"/>
    </row>
    <row r="343" spans="1:83" outlineLevel="1" x14ac:dyDescent="0.2">
      <c r="A343"/>
      <c r="B343" s="945">
        <v>7</v>
      </c>
      <c r="C343" s="977" t="str">
        <f>IF(AK336="","",RANK(F343,F337:F347)*1000+ROW())</f>
        <v/>
      </c>
      <c r="D343" s="978" t="str">
        <f t="shared" si="126"/>
        <v/>
      </c>
      <c r="E343" s="978" t="str">
        <f>IF(L343="","",Nb_Diff_Part(D343,D337:D347,G343,G337:G347,AI350:AI424)*CritClassInd_DiffPart+Nb_Goal_Part(D343,D337:D347,G343,G337:G347,V350:Z424)*CritClassInd_GoalPart+Nb_Score_Part(D343,D337:D347,G343,G337:G347,V350:Z424)*CritClassInd_ScorePart)</f>
        <v/>
      </c>
      <c r="F343" s="979" t="str">
        <f t="shared" si="127"/>
        <v/>
      </c>
      <c r="G343" s="39" t="s">
        <v>790</v>
      </c>
      <c r="H343" s="501">
        <f t="shared" si="124"/>
        <v>0</v>
      </c>
      <c r="I343" s="39"/>
      <c r="J343" s="977" t="str">
        <f>IF(AK336="","",(L343*Points_Victoire)+M343*Points_Null)</f>
        <v/>
      </c>
      <c r="K343" s="988" t="str">
        <f t="shared" si="125"/>
        <v/>
      </c>
      <c r="L343" s="988" t="str">
        <f>IF(AK336="","",COUNTIF(AE350:AE424,G343))</f>
        <v/>
      </c>
      <c r="M343" s="988" t="str">
        <f>IF(AK336="","",COUNTIF(AF350:AG424,G343))</f>
        <v/>
      </c>
      <c r="N343" s="988" t="str">
        <f>IF(AK336="","",COUNTIF(AH350:AH424,G343))</f>
        <v/>
      </c>
      <c r="O343" s="988" t="str">
        <f>IF(AK336="","",SUMIF(V350:V424,G343,AB350:AB424)+SUMIF(Z350:Z424,G343,AD350:AD424))</f>
        <v/>
      </c>
      <c r="P343" s="988" t="str">
        <f>IF(AK336="","",SUMIF(V350:V424,G343,AD350:AD424)+SUMIF(Z350:Z424,G343,AB350:AB424))</f>
        <v/>
      </c>
      <c r="Q343" s="989" t="str">
        <f>IF(AK336="","",O343-P343)</f>
        <v/>
      </c>
      <c r="R343"/>
      <c r="S343"/>
      <c r="T343"/>
      <c r="U343"/>
      <c r="V343"/>
      <c r="W343" s="1"/>
      <c r="X343" s="1"/>
      <c r="Y343" s="1"/>
      <c r="Z343"/>
      <c r="AB343" s="964"/>
      <c r="AC343" s="964"/>
      <c r="AD343" s="964"/>
      <c r="AE343" s="964"/>
      <c r="AF343" s="964"/>
      <c r="AG343" s="964"/>
      <c r="AH343" s="964"/>
      <c r="AI343" s="964"/>
      <c r="AJ343" s="964"/>
      <c r="AK343" s="968" t="str">
        <f>IF(AK336="","",SMALL(C337:C347,7))</f>
        <v/>
      </c>
      <c r="AL343"/>
      <c r="AM343" s="16"/>
      <c r="AN343" s="946" t="str">
        <f>IF(AK336="","",INT(AK343/1000))</f>
        <v/>
      </c>
      <c r="AO343" s="42" t="str">
        <f>IF(AK336="","",VLOOKUP(AK343,C337:Q347,5,FALSE))</f>
        <v/>
      </c>
      <c r="AP343" s="42" t="str">
        <f>VLOOKUP(AK343,C337:Q347,8,FALSE)</f>
        <v/>
      </c>
      <c r="AQ343" s="42" t="str">
        <f>VLOOKUP(AK343,C337:Q347,9,FALSE)</f>
        <v/>
      </c>
      <c r="AR343" s="42" t="str">
        <f>VLOOKUP(AK343,C337:Q347,10,FALSE)</f>
        <v/>
      </c>
      <c r="AS343" s="42" t="str">
        <f>VLOOKUP(AK343,C337:Q347,11,FALSE)</f>
        <v/>
      </c>
      <c r="AT343" s="42" t="str">
        <f>VLOOKUP(AK343,C337:Q347,12,FALSE)</f>
        <v/>
      </c>
      <c r="AU343" s="42" t="str">
        <f>VLOOKUP(AK343,C337:Q347,13,FALSE)</f>
        <v/>
      </c>
      <c r="AV343" s="42" t="str">
        <f>VLOOKUP(AK343,C337:Q347,14,FALSE)</f>
        <v/>
      </c>
      <c r="AW343" s="947" t="str">
        <f>VLOOKUP(AK343,C337:Q347,15,FALSE)</f>
        <v/>
      </c>
      <c r="AX343"/>
      <c r="AY343"/>
      <c r="AZ343" s="1"/>
      <c r="BA343" s="1"/>
      <c r="BB343"/>
      <c r="BC343" s="6"/>
      <c r="BD343"/>
      <c r="BE343" s="1"/>
      <c r="BF343"/>
      <c r="BG343" s="16"/>
      <c r="BH343"/>
      <c r="BI343"/>
      <c r="BJ343"/>
      <c r="BK343"/>
      <c r="BL343"/>
      <c r="BM343"/>
      <c r="BN343"/>
      <c r="BO343"/>
      <c r="BP343"/>
      <c r="BQ343"/>
      <c r="BR343"/>
      <c r="BS343"/>
      <c r="BT343"/>
      <c r="BU343"/>
      <c r="BV343"/>
      <c r="BW343"/>
      <c r="BX343"/>
      <c r="BY343"/>
      <c r="BZ343"/>
      <c r="CA343" s="1396"/>
      <c r="CB343" s="1396"/>
      <c r="CC343"/>
      <c r="CD343"/>
      <c r="CE343"/>
    </row>
    <row r="344" spans="1:83" outlineLevel="1" x14ac:dyDescent="0.2">
      <c r="A344"/>
      <c r="B344" s="945">
        <v>8</v>
      </c>
      <c r="C344" s="977" t="str">
        <f>IF(AK336="","",RANK(F344,F337:F347)*1000+ROW())</f>
        <v/>
      </c>
      <c r="D344" s="978" t="str">
        <f t="shared" si="126"/>
        <v/>
      </c>
      <c r="E344" s="978" t="str">
        <f>IF(L344="","",Nb_Diff_Part(D344,D337:D347,G344,G337:G347,AI350:AI424)*CritClassInd_DiffPart+Nb_Goal_Part(D344,D337:D347,G344,G337:G347,V350:Z424)*CritClassInd_GoalPart+Nb_Score_Part(D344,D337:D347,G344,G337:G347,V350:Z424)*CritClassInd_ScorePart)</f>
        <v/>
      </c>
      <c r="F344" s="979" t="str">
        <f t="shared" si="127"/>
        <v/>
      </c>
      <c r="G344" s="39" t="s">
        <v>3914</v>
      </c>
      <c r="H344" s="501">
        <f t="shared" si="124"/>
        <v>0</v>
      </c>
      <c r="I344" s="39"/>
      <c r="J344" s="977" t="str">
        <f>IF(AK336="","",(L344*Points_Victoire)+M344*Points_Null)</f>
        <v/>
      </c>
      <c r="K344" s="988" t="str">
        <f t="shared" si="125"/>
        <v/>
      </c>
      <c r="L344" s="988" t="str">
        <f>IF(AK336="","",COUNTIF(AE350:AE424,G344))</f>
        <v/>
      </c>
      <c r="M344" s="988" t="str">
        <f>IF(AK336="","",COUNTIF(AF350:AG424,G344))</f>
        <v/>
      </c>
      <c r="N344" s="988" t="str">
        <f>IF(AK336="","",COUNTIF(AH350:AH424,G344))</f>
        <v/>
      </c>
      <c r="O344" s="988" t="str">
        <f>IF(AK336="","",SUMIF(V350:V424,G344,AB350:AB424)+SUMIF(Z350:Z424,G344,AD350:AD424))</f>
        <v/>
      </c>
      <c r="P344" s="988" t="str">
        <f>IF(AK336="","",SUMIF(V350:V424,G344,AD350:AD424)+SUMIF(Z350:Z424,G344,AB350:AB424))</f>
        <v/>
      </c>
      <c r="Q344" s="989" t="str">
        <f>IF(AK336="","",O344-P344)</f>
        <v/>
      </c>
      <c r="R344"/>
      <c r="S344"/>
      <c r="T344"/>
      <c r="U344"/>
      <c r="V344"/>
      <c r="W344" s="1"/>
      <c r="X344" s="1"/>
      <c r="Y344" s="1"/>
      <c r="Z344"/>
      <c r="AB344" s="964"/>
      <c r="AC344" s="964"/>
      <c r="AD344" s="964"/>
      <c r="AE344" s="964"/>
      <c r="AF344" s="964"/>
      <c r="AG344" s="964"/>
      <c r="AH344" s="964"/>
      <c r="AI344" s="964"/>
      <c r="AJ344" s="964"/>
      <c r="AK344" s="968" t="str">
        <f>IF(AK336="","",SMALL(C337:C347,8))</f>
        <v/>
      </c>
      <c r="AL344"/>
      <c r="AM344" s="16"/>
      <c r="AN344" s="946" t="str">
        <f>IF(AK336="","",INT(AK344/1000))</f>
        <v/>
      </c>
      <c r="AO344" s="42" t="str">
        <f>IF(AK336="","",VLOOKUP(AK344,C337:Q347,5,FALSE))</f>
        <v/>
      </c>
      <c r="AP344" s="42" t="str">
        <f>VLOOKUP(AK344,C337:Q347,8,FALSE)</f>
        <v/>
      </c>
      <c r="AQ344" s="42" t="str">
        <f>VLOOKUP(AK344,C337:Q347,9,FALSE)</f>
        <v/>
      </c>
      <c r="AR344" s="42" t="str">
        <f>VLOOKUP(AK344,C337:Q347,10,FALSE)</f>
        <v/>
      </c>
      <c r="AS344" s="42" t="str">
        <f>VLOOKUP(AK344,C337:Q347,11,FALSE)</f>
        <v/>
      </c>
      <c r="AT344" s="42" t="str">
        <f>VLOOKUP(AK344,C337:Q347,12,FALSE)</f>
        <v/>
      </c>
      <c r="AU344" s="42" t="str">
        <f>VLOOKUP(AK344,C337:Q347,13,FALSE)</f>
        <v/>
      </c>
      <c r="AV344" s="42" t="str">
        <f>VLOOKUP(AK344,C337:Q347,14,FALSE)</f>
        <v/>
      </c>
      <c r="AW344" s="947" t="str">
        <f>VLOOKUP(AK344,C337:Q347,15,FALSE)</f>
        <v/>
      </c>
      <c r="AX344"/>
      <c r="AY344"/>
      <c r="AZ344" s="1"/>
      <c r="BA344" s="1"/>
      <c r="BB344"/>
      <c r="BC344" s="6"/>
      <c r="BD344"/>
      <c r="BE344" s="1"/>
      <c r="BF344"/>
      <c r="BG344" s="16"/>
      <c r="BH344"/>
      <c r="BI344"/>
      <c r="BJ344"/>
      <c r="BK344"/>
      <c r="BL344"/>
      <c r="BM344"/>
      <c r="BN344"/>
      <c r="BO344"/>
      <c r="BP344"/>
      <c r="BQ344"/>
      <c r="BR344"/>
      <c r="BS344"/>
      <c r="BT344"/>
      <c r="BU344"/>
      <c r="BV344"/>
      <c r="BW344"/>
      <c r="BX344"/>
      <c r="BY344"/>
      <c r="BZ344"/>
      <c r="CA344" s="1396"/>
      <c r="CB344" s="1396"/>
      <c r="CC344"/>
      <c r="CD344"/>
      <c r="CE344"/>
    </row>
    <row r="345" spans="1:83" outlineLevel="1" x14ac:dyDescent="0.2">
      <c r="A345"/>
      <c r="B345" s="945">
        <v>9</v>
      </c>
      <c r="C345" s="977" t="str">
        <f>IF(AK336="","",RANK(F345,F337:F347)*1000+ROW())</f>
        <v/>
      </c>
      <c r="D345" s="978" t="str">
        <f t="shared" si="126"/>
        <v/>
      </c>
      <c r="E345" s="978" t="str">
        <f>IF(L345="","",Nb_Diff_Part(D345,D337:D347,G345,G337:G347,AI350:AI424)*CritClassInd_DiffPart+Nb_Goal_Part(D345,D337:D347,G345,G337:G347,V350:Z424)*CritClassInd_GoalPart+Nb_Score_Part(D345,D337:D347,G345,G337:G347,V350:Z424)*CritClassInd_ScorePart)</f>
        <v/>
      </c>
      <c r="F345" s="979" t="str">
        <f t="shared" si="127"/>
        <v/>
      </c>
      <c r="G345" s="39" t="s">
        <v>3915</v>
      </c>
      <c r="H345" s="501">
        <f t="shared" si="124"/>
        <v>0</v>
      </c>
      <c r="I345" s="39"/>
      <c r="J345" s="977" t="str">
        <f>IF(AK336="","",(L345*Points_Victoire)+M345*Points_Null)</f>
        <v/>
      </c>
      <c r="K345" s="988" t="str">
        <f t="shared" si="125"/>
        <v/>
      </c>
      <c r="L345" s="988" t="str">
        <f>IF(AK336="","",COUNTIF(AE350:AE424,G345))</f>
        <v/>
      </c>
      <c r="M345" s="988" t="str">
        <f>IF(AK336="","",COUNTIF(AF350:AG424,G345))</f>
        <v/>
      </c>
      <c r="N345" s="988" t="str">
        <f>IF(AK336="","",COUNTIF(AH350:AH424,G345))</f>
        <v/>
      </c>
      <c r="O345" s="988" t="str">
        <f>IF(AK336="","",SUMIF(V350:V424,G345,AB350:AB424)+SUMIF(Z350:Z424,G345,AD350:AD424))</f>
        <v/>
      </c>
      <c r="P345" s="988" t="str">
        <f>IF(AK336="","",SUMIF(V350:V424,G345,AD350:AD424)+SUMIF(Z350:Z424,G345,AB350:AB424))</f>
        <v/>
      </c>
      <c r="Q345" s="989" t="str">
        <f>IF(AK336="","",O345-P345)</f>
        <v/>
      </c>
      <c r="R345"/>
      <c r="S345"/>
      <c r="T345"/>
      <c r="U345"/>
      <c r="V345"/>
      <c r="W345" s="1"/>
      <c r="X345" s="1"/>
      <c r="Y345" s="1"/>
      <c r="Z345"/>
      <c r="AB345" s="964"/>
      <c r="AC345" s="964"/>
      <c r="AD345" s="964"/>
      <c r="AE345" s="964"/>
      <c r="AF345" s="964"/>
      <c r="AG345" s="964"/>
      <c r="AH345" s="964"/>
      <c r="AI345" s="964"/>
      <c r="AJ345" s="964"/>
      <c r="AK345" s="968" t="str">
        <f>IF(AK336="","",SMALL(C337:C347,9))</f>
        <v/>
      </c>
      <c r="AL345"/>
      <c r="AM345" s="16"/>
      <c r="AN345" s="946" t="str">
        <f>IF(AK336="","",INT(AK345/1000))</f>
        <v/>
      </c>
      <c r="AO345" s="42" t="str">
        <f>IF(AK336="","",VLOOKUP(AK345,C337:Q347,5,FALSE))</f>
        <v/>
      </c>
      <c r="AP345" s="42" t="str">
        <f>VLOOKUP(AK345,C337:Q347,8,FALSE)</f>
        <v/>
      </c>
      <c r="AQ345" s="42" t="str">
        <f>VLOOKUP(AK345,C337:Q347,9,FALSE)</f>
        <v/>
      </c>
      <c r="AR345" s="42" t="str">
        <f>VLOOKUP(AK345,C337:Q347,10,FALSE)</f>
        <v/>
      </c>
      <c r="AS345" s="42" t="str">
        <f>VLOOKUP(AK345,C337:Q347,11,FALSE)</f>
        <v/>
      </c>
      <c r="AT345" s="42" t="str">
        <f>VLOOKUP(AK345,C337:Q347,12,FALSE)</f>
        <v/>
      </c>
      <c r="AU345" s="42" t="str">
        <f>VLOOKUP(AK345,C337:Q347,13,FALSE)</f>
        <v/>
      </c>
      <c r="AV345" s="42" t="str">
        <f>VLOOKUP(AK345,C337:Q347,14,FALSE)</f>
        <v/>
      </c>
      <c r="AW345" s="947" t="str">
        <f>VLOOKUP(AK345,C337:Q347,15,FALSE)</f>
        <v/>
      </c>
      <c r="AX345"/>
      <c r="AY345"/>
      <c r="AZ345" s="1"/>
      <c r="BA345" s="1"/>
      <c r="BB345"/>
      <c r="BC345" s="6"/>
      <c r="BD345"/>
      <c r="BE345" s="1"/>
      <c r="BF345"/>
      <c r="BG345" s="16"/>
      <c r="BH345"/>
      <c r="BI345"/>
      <c r="BJ345"/>
      <c r="BK345"/>
      <c r="BL345"/>
      <c r="BM345"/>
      <c r="BN345"/>
      <c r="BO345"/>
      <c r="BP345"/>
      <c r="BQ345"/>
      <c r="BR345"/>
      <c r="BS345"/>
      <c r="BT345"/>
      <c r="BU345"/>
      <c r="BV345"/>
      <c r="BW345"/>
      <c r="BX345"/>
      <c r="BY345"/>
      <c r="BZ345"/>
      <c r="CA345" s="1396"/>
      <c r="CB345" s="1396"/>
      <c r="CC345"/>
      <c r="CD345"/>
      <c r="CE345"/>
    </row>
    <row r="346" spans="1:83" outlineLevel="1" x14ac:dyDescent="0.2">
      <c r="A346"/>
      <c r="B346" s="945">
        <v>10</v>
      </c>
      <c r="C346" s="977" t="str">
        <f>IF(AK336="","",RANK(F346,F337:F347)*1000+ROW())</f>
        <v/>
      </c>
      <c r="D346" s="978" t="str">
        <f t="shared" si="126"/>
        <v/>
      </c>
      <c r="E346" s="978" t="str">
        <f>IF(L346="","",Nb_Diff_Part(D346,D337:D347,G346,G337:G347,AI350:AI424)*CritClassInd_DiffPart+Nb_Goal_Part(D346,D337:D347,G346,G337:G347,V350:Z424)*CritClassInd_GoalPart+Nb_Score_Part(D346,D337:D347,G346,G337:G347,V350:Z424)*CritClassInd_ScorePart)</f>
        <v/>
      </c>
      <c r="F346" s="979" t="str">
        <f t="shared" si="127"/>
        <v/>
      </c>
      <c r="G346" s="39" t="s">
        <v>789</v>
      </c>
      <c r="H346" s="501">
        <f t="shared" si="124"/>
        <v>0</v>
      </c>
      <c r="I346" s="39"/>
      <c r="J346" s="977" t="str">
        <f>IF(AK336="","",(L346*Points_Victoire)+M346*Points_Null)</f>
        <v/>
      </c>
      <c r="K346" s="988" t="str">
        <f t="shared" si="125"/>
        <v/>
      </c>
      <c r="L346" s="988" t="str">
        <f>IF(AK336="","",COUNTIF(AE350:AE424,G346))</f>
        <v/>
      </c>
      <c r="M346" s="988" t="str">
        <f>IF(AK336="","",COUNTIF(AF350:AG424,G346))</f>
        <v/>
      </c>
      <c r="N346" s="988" t="str">
        <f>IF(AK336="","",COUNTIF(AH350:AH424,G346))</f>
        <v/>
      </c>
      <c r="O346" s="988" t="str">
        <f>IF(AK336="","",SUMIF(V350:V424,G346,AB350:AB424)+SUMIF(Z350:Z424,G346,AD350:AD424))</f>
        <v/>
      </c>
      <c r="P346" s="988" t="str">
        <f>IF(AK336="","",SUMIF(V350:V424,G346,AD350:AD424)+SUMIF(Z350:Z424,G346,AB350:AB424))</f>
        <v/>
      </c>
      <c r="Q346" s="989" t="str">
        <f>IF(AK336="","",O346-P346)</f>
        <v/>
      </c>
      <c r="R346"/>
      <c r="S346"/>
      <c r="T346"/>
      <c r="U346"/>
      <c r="V346"/>
      <c r="W346" s="1"/>
      <c r="X346" s="1"/>
      <c r="Y346" s="1"/>
      <c r="Z346"/>
      <c r="AB346" s="964"/>
      <c r="AC346" s="964"/>
      <c r="AD346" s="964"/>
      <c r="AE346" s="964"/>
      <c r="AF346" s="964"/>
      <c r="AG346" s="964"/>
      <c r="AH346" s="964"/>
      <c r="AI346" s="964"/>
      <c r="AJ346" s="964"/>
      <c r="AK346" s="968" t="str">
        <f>IF(AK336="","",SMALL(C337:C347,10))</f>
        <v/>
      </c>
      <c r="AL346"/>
      <c r="AM346" s="16"/>
      <c r="AN346" s="946" t="str">
        <f>IF(AK336="","",INT(AK346/1000))</f>
        <v/>
      </c>
      <c r="AO346" s="42" t="str">
        <f>IF(AK336="","",VLOOKUP(AK346,C337:Q347,5,FALSE))</f>
        <v/>
      </c>
      <c r="AP346" s="42" t="str">
        <f>VLOOKUP(AK346,C337:Q347,8,FALSE)</f>
        <v/>
      </c>
      <c r="AQ346" s="42" t="str">
        <f>VLOOKUP(AK346,C337:Q347,9,FALSE)</f>
        <v/>
      </c>
      <c r="AR346" s="42" t="str">
        <f>VLOOKUP(AK346,C337:Q347,10,FALSE)</f>
        <v/>
      </c>
      <c r="AS346" s="42" t="str">
        <f>VLOOKUP(AK346,C337:Q347,11,FALSE)</f>
        <v/>
      </c>
      <c r="AT346" s="42" t="str">
        <f>VLOOKUP(AK346,C337:Q347,12,FALSE)</f>
        <v/>
      </c>
      <c r="AU346" s="42" t="str">
        <f>VLOOKUP(AK346,C337:Q347,13,FALSE)</f>
        <v/>
      </c>
      <c r="AV346" s="42" t="str">
        <f>VLOOKUP(AK346,C337:Q347,14,FALSE)</f>
        <v/>
      </c>
      <c r="AW346" s="947" t="str">
        <f>VLOOKUP(AK346,C337:Q347,15,FALSE)</f>
        <v/>
      </c>
      <c r="AX346"/>
      <c r="AY346"/>
      <c r="AZ346" s="1"/>
      <c r="BA346" s="1"/>
      <c r="BB346"/>
      <c r="BC346" s="6"/>
      <c r="BD346"/>
      <c r="BE346" s="1"/>
      <c r="BF346"/>
      <c r="BG346" s="16"/>
      <c r="BH346"/>
      <c r="BI346"/>
      <c r="BJ346"/>
      <c r="BK346"/>
      <c r="BL346"/>
      <c r="BM346"/>
      <c r="BN346"/>
      <c r="BO346"/>
      <c r="BP346"/>
      <c r="BQ346"/>
      <c r="BR346"/>
      <c r="BS346"/>
      <c r="BT346"/>
      <c r="BU346"/>
      <c r="BV346"/>
      <c r="BW346"/>
      <c r="BX346"/>
      <c r="BY346"/>
      <c r="BZ346"/>
      <c r="CA346" s="1396"/>
      <c r="CB346" s="1396"/>
      <c r="CC346"/>
      <c r="CD346"/>
      <c r="CE346"/>
    </row>
    <row r="347" spans="1:83" ht="13.5" outlineLevel="1" thickBot="1" x14ac:dyDescent="0.25">
      <c r="A347"/>
      <c r="B347" s="945">
        <v>11</v>
      </c>
      <c r="C347" s="977" t="str">
        <f>IF(AK336="","",RANK(F347,F337:F347)*1000+ROW())</f>
        <v/>
      </c>
      <c r="D347" s="978" t="str">
        <f t="shared" si="126"/>
        <v/>
      </c>
      <c r="E347" s="978" t="str">
        <f>IF(L347="","",Nb_Diff_Part(D347,D337:D347,G347,G337:G347,AI350:AI424)*CritClassInd_DiffPart+Nb_Goal_Part(D347,D337:D347,G347,G337:G347,V350:Z424)*CritClassInd_GoalPart+Nb_Score_Part(D347,D337:D347,G347,G337:G347,V350:Z424)*CritClassInd_ScorePart)</f>
        <v/>
      </c>
      <c r="F347" s="979" t="str">
        <f t="shared" si="127"/>
        <v/>
      </c>
      <c r="G347" s="39" t="s">
        <v>3916</v>
      </c>
      <c r="H347" s="501">
        <f t="shared" si="124"/>
        <v>0</v>
      </c>
      <c r="I347" s="39"/>
      <c r="J347" s="977" t="str">
        <f>IF(AK336="","",(L347*Points_Victoire)+M347*Points_Null)</f>
        <v/>
      </c>
      <c r="K347" s="988" t="str">
        <f t="shared" si="125"/>
        <v/>
      </c>
      <c r="L347" s="988" t="str">
        <f>IF(AK336="","",COUNTIF(AE350:AE424,G347))</f>
        <v/>
      </c>
      <c r="M347" s="988" t="str">
        <f>IF(AK336="","",COUNTIF(AF350:AG424,G347))</f>
        <v/>
      </c>
      <c r="N347" s="988" t="str">
        <f>IF(AK336="","",COUNTIF(AH350:AH424,G347))</f>
        <v/>
      </c>
      <c r="O347" s="988" t="str">
        <f>IF(AK336="","",SUMIF(V350:V424,G347,AB350:AB424)+SUMIF(Z350:Z424,G347,AD350:AD424))</f>
        <v/>
      </c>
      <c r="P347" s="988" t="str">
        <f>IF(AK336="","",SUMIF(V350:V424,G347,AD350:AD424)+SUMIF(Z350:Z424,G347,AB350:AB424))</f>
        <v/>
      </c>
      <c r="Q347" s="989" t="str">
        <f>IF(AK336="","",O347-P347)</f>
        <v/>
      </c>
      <c r="R347"/>
      <c r="S347"/>
      <c r="T347"/>
      <c r="U347"/>
      <c r="V347"/>
      <c r="W347" s="1"/>
      <c r="X347" s="1"/>
      <c r="Y347" s="1"/>
      <c r="Z347"/>
      <c r="AB347" s="964"/>
      <c r="AC347" s="964"/>
      <c r="AD347" s="964"/>
      <c r="AE347" s="964"/>
      <c r="AF347" s="964"/>
      <c r="AG347" s="964"/>
      <c r="AH347" s="964"/>
      <c r="AI347" s="964"/>
      <c r="AJ347" s="964"/>
      <c r="AK347" s="968" t="str">
        <f>IF(AK336="","",SMALL(C337:C347,11))</f>
        <v/>
      </c>
      <c r="AL347"/>
      <c r="AM347" s="16"/>
      <c r="AN347" s="946" t="str">
        <f>IF(AK336="","",INT(AK347/1000))</f>
        <v/>
      </c>
      <c r="AO347" s="42" t="str">
        <f>IF(AK336="","",VLOOKUP(AK347,C337:Q347,5,FALSE))</f>
        <v/>
      </c>
      <c r="AP347" s="42" t="str">
        <f>VLOOKUP(AK347,C337:Q347,8,FALSE)</f>
        <v/>
      </c>
      <c r="AQ347" s="42" t="str">
        <f>VLOOKUP(AK347,C337:Q347,9,FALSE)</f>
        <v/>
      </c>
      <c r="AR347" s="42" t="str">
        <f>VLOOKUP(AK347,C337:Q347,10,FALSE)</f>
        <v/>
      </c>
      <c r="AS347" s="42" t="str">
        <f>VLOOKUP(AK347,C337:Q347,11,FALSE)</f>
        <v/>
      </c>
      <c r="AT347" s="42" t="str">
        <f>VLOOKUP(AK347,C337:Q347,12,FALSE)</f>
        <v/>
      </c>
      <c r="AU347" s="42" t="str">
        <f>VLOOKUP(AK347,C337:Q347,13,FALSE)</f>
        <v/>
      </c>
      <c r="AV347" s="42" t="str">
        <f>VLOOKUP(AK347,C337:Q347,14,FALSE)</f>
        <v/>
      </c>
      <c r="AW347" s="947" t="str">
        <f>VLOOKUP(AK347,C337:Q347,15,FALSE)</f>
        <v/>
      </c>
      <c r="AX347"/>
      <c r="AY347"/>
      <c r="AZ347" s="1"/>
      <c r="BA347" s="1"/>
      <c r="BB347"/>
      <c r="BC347" s="6"/>
      <c r="BD347"/>
      <c r="BE347" s="1"/>
      <c r="BF347"/>
      <c r="BG347" s="16"/>
      <c r="BH347"/>
      <c r="BI347"/>
      <c r="BJ347"/>
      <c r="BK347"/>
      <c r="BL347"/>
      <c r="BM347"/>
      <c r="BN347"/>
      <c r="BO347"/>
      <c r="BP347"/>
      <c r="BQ347"/>
      <c r="BR347"/>
      <c r="BS347"/>
      <c r="BT347"/>
      <c r="BU347"/>
      <c r="BV347"/>
      <c r="BW347"/>
      <c r="BX347"/>
      <c r="BY347"/>
      <c r="BZ347"/>
      <c r="CA347" s="1396"/>
      <c r="CB347" s="1396"/>
      <c r="CC347"/>
      <c r="CD347"/>
      <c r="CE347"/>
    </row>
    <row r="348" spans="1:83" ht="13.5" outlineLevel="1" thickBot="1" x14ac:dyDescent="0.25">
      <c r="A348"/>
      <c r="B348" s="1"/>
      <c r="C348" s="1"/>
      <c r="D348" s="76"/>
      <c r="E348" s="76"/>
      <c r="F348" s="76"/>
      <c r="G348" s="9"/>
      <c r="H348" s="9"/>
      <c r="I348" s="1"/>
      <c r="J348"/>
      <c r="K348"/>
      <c r="L348"/>
      <c r="M348"/>
      <c r="N348"/>
      <c r="O348"/>
      <c r="P348" s="89"/>
      <c r="Q348"/>
      <c r="R348" s="1"/>
      <c r="S348" s="993">
        <v>1</v>
      </c>
      <c r="T348" s="961"/>
      <c r="U348" s="961"/>
      <c r="V348" s="961"/>
      <c r="W348" s="960"/>
      <c r="X348" s="960"/>
      <c r="Y348" s="960"/>
      <c r="Z348" s="962"/>
      <c r="AA348" s="123"/>
      <c r="AB348" s="1461" t="str">
        <f>IF(MaxScore,N_MaxScore,"")</f>
        <v>Score Max</v>
      </c>
      <c r="AC348" s="1461"/>
      <c r="AD348" s="1461"/>
      <c r="AE348" s="964"/>
      <c r="AF348" s="964"/>
      <c r="AG348" s="964"/>
      <c r="AH348" s="964"/>
      <c r="AI348" s="964"/>
      <c r="AJ348" s="964"/>
      <c r="AK348" s="964"/>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s="1396"/>
      <c r="CB348" s="1396"/>
      <c r="CC348"/>
      <c r="CD348"/>
      <c r="CE348"/>
    </row>
    <row r="349" spans="1:83" ht="13.9" customHeight="1" outlineLevel="2" thickBot="1" x14ac:dyDescent="0.25">
      <c r="A349"/>
      <c r="B349" s="1"/>
      <c r="C349"/>
      <c r="D349"/>
      <c r="E349"/>
      <c r="F349"/>
      <c r="G349" s="1"/>
      <c r="H349" s="1"/>
      <c r="I349"/>
      <c r="J349"/>
      <c r="K349"/>
      <c r="L349"/>
      <c r="M349"/>
      <c r="N349"/>
      <c r="O349"/>
      <c r="P349"/>
      <c r="Q349"/>
      <c r="S349" s="18" t="str">
        <f>N_Heure</f>
        <v>Heure</v>
      </c>
      <c r="T349" s="22" t="str">
        <f>N_Table</f>
        <v>Table</v>
      </c>
      <c r="U349" s="952" t="str">
        <f>N_Arbitre</f>
        <v>Arbitre</v>
      </c>
      <c r="V349" s="293" t="str">
        <f>N_Matches</f>
        <v>Matches</v>
      </c>
      <c r="W349" s="294"/>
      <c r="X349" s="294"/>
      <c r="Y349" s="294"/>
      <c r="Z349" s="295"/>
      <c r="AA349" s="8"/>
      <c r="AB349" s="967"/>
      <c r="AC349" s="967"/>
      <c r="AD349" s="967"/>
      <c r="AE349" s="964"/>
      <c r="AF349" s="964"/>
      <c r="AG349" s="964"/>
      <c r="AH349" s="964"/>
      <c r="AI349" s="964"/>
      <c r="AJ349" s="964"/>
      <c r="AK349" s="964"/>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s="1396"/>
      <c r="CB349" s="1396"/>
      <c r="CC349"/>
      <c r="CD349"/>
      <c r="CE349"/>
    </row>
    <row r="350" spans="1:83" ht="13.15" customHeight="1" outlineLevel="2" x14ac:dyDescent="0.2">
      <c r="A350"/>
      <c r="B350" s="1"/>
      <c r="C350"/>
      <c r="D350"/>
      <c r="E350"/>
      <c r="F350"/>
      <c r="G350" s="1"/>
      <c r="H350" s="1"/>
      <c r="I350"/>
      <c r="J350"/>
      <c r="K350"/>
      <c r="L350"/>
      <c r="M350"/>
      <c r="N350"/>
      <c r="O350"/>
      <c r="P350"/>
      <c r="Q350"/>
      <c r="R350" s="558" t="s">
        <v>1726</v>
      </c>
      <c r="S350" s="65"/>
      <c r="T350" s="953"/>
      <c r="U350" s="954"/>
      <c r="V350" s="34" t="str">
        <f>IF(G337="","",G337)</f>
        <v>A</v>
      </c>
      <c r="W350" s="148"/>
      <c r="X350" s="35" t="s">
        <v>769</v>
      </c>
      <c r="Y350" s="148"/>
      <c r="Z350" s="36" t="str">
        <f>IF(G338="","",G338)</f>
        <v>B</v>
      </c>
      <c r="AA350" s="123"/>
      <c r="AB350" s="1459">
        <f>IF(MaxScore,MaxGoals(W350,Y350,MaxGoalsValue),IF(W350="","",W350))</f>
        <v>0</v>
      </c>
      <c r="AC350" s="1460" t="str">
        <f>IF(MaxScore,"-",IF(W350="","","-"))</f>
        <v>-</v>
      </c>
      <c r="AD350" s="1459">
        <f>IF(MaxScore,MaxGoals(Y350,W350,MaxGoalsValue),IF(Y350="","",Y350))</f>
        <v>0</v>
      </c>
      <c r="AE350" s="964" t="str">
        <f>IF(W350="","",IF(W350&gt;Y350,V350,IF(W350=Y350,"",Z350)))</f>
        <v/>
      </c>
      <c r="AF350" s="964" t="str">
        <f>IF(W350="","",IF(W350=Y350,V350,""))</f>
        <v/>
      </c>
      <c r="AG350" s="964" t="str">
        <f>IF(W350="","",IF(W350=Y350,Z350,""))</f>
        <v/>
      </c>
      <c r="AH350" s="964" t="str">
        <f>IF(W350="","",IF(W350&lt;Y350,V350,IF(W350=Y350,"",Z350)))</f>
        <v/>
      </c>
      <c r="AI350" s="964" t="str">
        <f>CONCATENATE(AE350,AH350)</f>
        <v/>
      </c>
      <c r="AJ350" s="964"/>
      <c r="AK350" s="964"/>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s="1396"/>
      <c r="CB350" s="1396"/>
      <c r="CC350"/>
      <c r="CD350"/>
      <c r="CE350"/>
    </row>
    <row r="351" spans="1:83" ht="13.15" customHeight="1" outlineLevel="2" x14ac:dyDescent="0.2">
      <c r="A351"/>
      <c r="B351" s="1"/>
      <c r="C351"/>
      <c r="D351"/>
      <c r="E351"/>
      <c r="F351"/>
      <c r="G351" s="1"/>
      <c r="H351" s="1"/>
      <c r="I351"/>
      <c r="J351"/>
      <c r="K351"/>
      <c r="L351"/>
      <c r="M351"/>
      <c r="N351"/>
      <c r="O351"/>
      <c r="P351"/>
      <c r="Q351"/>
      <c r="R351" s="558" t="s">
        <v>1726</v>
      </c>
      <c r="S351" s="83"/>
      <c r="T351" s="56"/>
      <c r="U351" s="955"/>
      <c r="V351" s="43" t="str">
        <f>IF(G339="","",G339)</f>
        <v>C</v>
      </c>
      <c r="W351" s="10"/>
      <c r="X351" s="45" t="s">
        <v>769</v>
      </c>
      <c r="Y351" s="10"/>
      <c r="Z351" s="46" t="str">
        <f>IF(G340="","",G340)</f>
        <v>D</v>
      </c>
      <c r="AA351" s="123"/>
      <c r="AB351" s="1459">
        <f>IF(MaxScore,MaxGoals(W351,Y351,MaxGoalsValue),IF(W351="","",W351))</f>
        <v>0</v>
      </c>
      <c r="AC351" s="1460" t="str">
        <f>IF(MaxScore,"-",IF(W351="","","-"))</f>
        <v>-</v>
      </c>
      <c r="AD351" s="1459">
        <f>IF(MaxScore,MaxGoals(Y351,W351,MaxGoalsValue),IF(Y351="","",Y351))</f>
        <v>0</v>
      </c>
      <c r="AE351" s="964" t="str">
        <f>IF(W351="","",IF(W351&gt;Y351,V351,IF(W351=Y351,"",Z351)))</f>
        <v/>
      </c>
      <c r="AF351" s="964" t="str">
        <f>IF(W351="","",IF(W351=Y351,V351,""))</f>
        <v/>
      </c>
      <c r="AG351" s="964" t="str">
        <f>IF(W351="","",IF(W351=Y351,Z351,""))</f>
        <v/>
      </c>
      <c r="AH351" s="964" t="str">
        <f>IF(W351="","",IF(W351&lt;Y351,V351,IF(W351=Y351,"",Z351)))</f>
        <v/>
      </c>
      <c r="AI351" s="964" t="str">
        <f>CONCATENATE(AE351,AH351)</f>
        <v/>
      </c>
      <c r="AJ351" s="964"/>
      <c r="AK351" s="964"/>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s="1396"/>
      <c r="CB351" s="1396"/>
      <c r="CC351"/>
      <c r="CD351"/>
      <c r="CE351"/>
    </row>
    <row r="352" spans="1:83" ht="13.15" customHeight="1" outlineLevel="2" x14ac:dyDescent="0.2">
      <c r="A352"/>
      <c r="B352" s="1"/>
      <c r="C352"/>
      <c r="D352"/>
      <c r="E352"/>
      <c r="F352"/>
      <c r="G352" s="1"/>
      <c r="H352" s="1"/>
      <c r="I352"/>
      <c r="J352"/>
      <c r="K352"/>
      <c r="L352"/>
      <c r="M352"/>
      <c r="N352"/>
      <c r="O352"/>
      <c r="P352"/>
      <c r="Q352"/>
      <c r="R352" s="558" t="s">
        <v>1726</v>
      </c>
      <c r="S352" s="83"/>
      <c r="T352" s="56"/>
      <c r="U352" s="955"/>
      <c r="V352" s="43" t="str">
        <f>IF(G341="","",G341)</f>
        <v>E</v>
      </c>
      <c r="W352" s="10"/>
      <c r="X352" s="45" t="s">
        <v>769</v>
      </c>
      <c r="Y352" s="10"/>
      <c r="Z352" s="46" t="str">
        <f>IF(G342="","",G342)</f>
        <v>F</v>
      </c>
      <c r="AA352" s="123"/>
      <c r="AB352" s="1459">
        <f>IF(MaxScore,MaxGoals(W352,Y352,MaxGoalsValue),IF(W352="","",W352))</f>
        <v>0</v>
      </c>
      <c r="AC352" s="1460" t="str">
        <f>IF(MaxScore,"-",IF(W352="","","-"))</f>
        <v>-</v>
      </c>
      <c r="AD352" s="1459">
        <f>IF(MaxScore,MaxGoals(Y352,W352,MaxGoalsValue),IF(Y352="","",Y352))</f>
        <v>0</v>
      </c>
      <c r="AE352" s="964" t="str">
        <f>IF(W352="","",IF(W352&gt;Y352,V352,IF(W352=Y352,"",Z352)))</f>
        <v/>
      </c>
      <c r="AF352" s="964" t="str">
        <f>IF(W352="","",IF(W352=Y352,V352,""))</f>
        <v/>
      </c>
      <c r="AG352" s="964" t="str">
        <f>IF(W352="","",IF(W352=Y352,Z352,""))</f>
        <v/>
      </c>
      <c r="AH352" s="964" t="str">
        <f>IF(W352="","",IF(W352&lt;Y352,V352,IF(W352=Y352,"",Z352)))</f>
        <v/>
      </c>
      <c r="AI352" s="964" t="str">
        <f>CONCATENATE(AE352,AH352)</f>
        <v/>
      </c>
      <c r="AJ352" s="964"/>
      <c r="AK352" s="964"/>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s="1396"/>
      <c r="CB352" s="1396"/>
      <c r="CC352"/>
      <c r="CD352"/>
      <c r="CE352"/>
    </row>
    <row r="353" spans="1:83" ht="13.15" customHeight="1" outlineLevel="2" x14ac:dyDescent="0.2">
      <c r="A353"/>
      <c r="B353" s="1"/>
      <c r="C353"/>
      <c r="D353"/>
      <c r="E353"/>
      <c r="F353"/>
      <c r="G353" s="1"/>
      <c r="H353" s="1"/>
      <c r="I353"/>
      <c r="J353"/>
      <c r="K353"/>
      <c r="L353"/>
      <c r="M353"/>
      <c r="N353"/>
      <c r="O353"/>
      <c r="P353"/>
      <c r="Q353"/>
      <c r="R353" s="558" t="s">
        <v>1726</v>
      </c>
      <c r="S353" s="83"/>
      <c r="T353" s="56"/>
      <c r="U353" s="955"/>
      <c r="V353" s="43" t="str">
        <f>IF(G343="","",G343)</f>
        <v>G</v>
      </c>
      <c r="W353" s="10"/>
      <c r="X353" s="45" t="s">
        <v>769</v>
      </c>
      <c r="Y353" s="10"/>
      <c r="Z353" s="46" t="str">
        <f>IF(G344="","",G344)</f>
        <v>H</v>
      </c>
      <c r="AA353" s="123"/>
      <c r="AB353" s="1459">
        <f>IF(MaxScore,MaxGoals(W353,Y353,MaxGoalsValue),IF(W353="","",W353))</f>
        <v>0</v>
      </c>
      <c r="AC353" s="1460" t="str">
        <f>IF(MaxScore,"-",IF(W353="","","-"))</f>
        <v>-</v>
      </c>
      <c r="AD353" s="1459">
        <f>IF(MaxScore,MaxGoals(Y353,W353,MaxGoalsValue),IF(Y353="","",Y353))</f>
        <v>0</v>
      </c>
      <c r="AE353" s="964" t="str">
        <f>IF(W353="","",IF(W353&gt;Y353,V353,IF(W353=Y353,"",Z353)))</f>
        <v/>
      </c>
      <c r="AF353" s="964" t="str">
        <f>IF(W353="","",IF(W353=Y353,V353,""))</f>
        <v/>
      </c>
      <c r="AG353" s="964" t="str">
        <f>IF(W353="","",IF(W353=Y353,Z353,""))</f>
        <v/>
      </c>
      <c r="AH353" s="964" t="str">
        <f>IF(W353="","",IF(W353&lt;Y353,V353,IF(W353=Y353,"",Z353)))</f>
        <v/>
      </c>
      <c r="AI353" s="964" t="str">
        <f>CONCATENATE(AE353,AH353)</f>
        <v/>
      </c>
      <c r="AJ353" s="964"/>
      <c r="AK353" s="964"/>
      <c r="AL353"/>
      <c r="AM353"/>
      <c r="AN353"/>
      <c r="AO353"/>
      <c r="AP353"/>
      <c r="AQ353"/>
      <c r="AR353"/>
      <c r="AS353"/>
      <c r="AT353"/>
      <c r="AU353"/>
      <c r="AV353"/>
      <c r="AW353"/>
      <c r="AX353" s="9"/>
      <c r="AY353"/>
      <c r="AZ353"/>
      <c r="BA353"/>
      <c r="BB353"/>
      <c r="BC353"/>
      <c r="BD353"/>
      <c r="BE353"/>
      <c r="BF353"/>
      <c r="BG353"/>
      <c r="BH353"/>
      <c r="BI353"/>
      <c r="BJ353"/>
      <c r="BK353"/>
      <c r="BL353"/>
      <c r="BM353"/>
      <c r="BN353"/>
      <c r="BO353"/>
      <c r="BP353"/>
      <c r="BQ353"/>
      <c r="BR353"/>
      <c r="BS353"/>
      <c r="BT353"/>
      <c r="BU353"/>
      <c r="BV353"/>
      <c r="BW353"/>
      <c r="BX353"/>
      <c r="BY353"/>
      <c r="BZ353"/>
      <c r="CA353" s="1396"/>
      <c r="CB353" s="1396"/>
      <c r="CC353"/>
      <c r="CD353"/>
      <c r="CE353"/>
    </row>
    <row r="354" spans="1:83" ht="13.15" customHeight="1" outlineLevel="2" thickBot="1" x14ac:dyDescent="0.25">
      <c r="A354"/>
      <c r="B354" s="1"/>
      <c r="C354"/>
      <c r="D354"/>
      <c r="E354"/>
      <c r="F354"/>
      <c r="G354" s="1"/>
      <c r="H354" s="1"/>
      <c r="I354"/>
      <c r="J354"/>
      <c r="K354"/>
      <c r="L354"/>
      <c r="M354"/>
      <c r="N354"/>
      <c r="O354"/>
      <c r="P354"/>
      <c r="Q354"/>
      <c r="R354" s="558" t="s">
        <v>1726</v>
      </c>
      <c r="S354" s="83"/>
      <c r="T354" s="56"/>
      <c r="U354" s="955"/>
      <c r="V354" s="43" t="str">
        <f>IF(G345="","",G345)</f>
        <v>I</v>
      </c>
      <c r="W354" s="10"/>
      <c r="X354" s="45" t="s">
        <v>769</v>
      </c>
      <c r="Y354" s="10"/>
      <c r="Z354" s="46" t="str">
        <f>IF(G346="","",G346)</f>
        <v>J</v>
      </c>
      <c r="AA354" s="123"/>
      <c r="AB354" s="1459">
        <f>IF(MaxScore,MaxGoals(W354,Y354,MaxGoalsValue),IF(W354="","",W354))</f>
        <v>0</v>
      </c>
      <c r="AC354" s="1460" t="str">
        <f>IF(MaxScore,"-",IF(W354="","","-"))</f>
        <v>-</v>
      </c>
      <c r="AD354" s="1459">
        <f>IF(MaxScore,MaxGoals(Y354,W354,MaxGoalsValue),IF(Y354="","",Y354))</f>
        <v>0</v>
      </c>
      <c r="AE354" s="964" t="str">
        <f>IF(W354="","",IF(W354&gt;Y354,V354,IF(W354=Y354,"",Z354)))</f>
        <v/>
      </c>
      <c r="AF354" s="964" t="str">
        <f>IF(W354="","",IF(W354=Y354,V354,""))</f>
        <v/>
      </c>
      <c r="AG354" s="964" t="str">
        <f>IF(W354="","",IF(W354=Y354,Z354,""))</f>
        <v/>
      </c>
      <c r="AH354" s="964" t="str">
        <f>IF(W354="","",IF(W354&lt;Y354,V354,IF(W354=Y354,"",Z354)))</f>
        <v/>
      </c>
      <c r="AI354" s="964" t="str">
        <f>CONCATENATE(AE354,AH354)</f>
        <v/>
      </c>
      <c r="AJ354" s="964"/>
      <c r="AK354" s="964"/>
      <c r="AL354"/>
      <c r="AM354"/>
      <c r="AN354"/>
      <c r="AO354"/>
      <c r="AP354"/>
      <c r="AQ354"/>
      <c r="AR354"/>
      <c r="AS354"/>
      <c r="AT354"/>
      <c r="AU354"/>
      <c r="AV354"/>
      <c r="AW354" s="9"/>
      <c r="AX354" s="9"/>
      <c r="AY354"/>
      <c r="AZ354"/>
      <c r="BA354"/>
      <c r="BB354"/>
      <c r="BC354"/>
      <c r="BD354"/>
      <c r="BE354"/>
      <c r="BF354"/>
      <c r="BG354"/>
      <c r="BH354"/>
      <c r="BI354"/>
      <c r="BJ354"/>
      <c r="BK354"/>
      <c r="BL354"/>
      <c r="BM354"/>
      <c r="BN354"/>
      <c r="BO354"/>
      <c r="BP354"/>
      <c r="BQ354"/>
      <c r="BR354"/>
      <c r="BS354"/>
      <c r="BT354"/>
      <c r="BU354"/>
      <c r="BV354"/>
      <c r="BW354"/>
      <c r="BX354"/>
      <c r="BY354"/>
      <c r="BZ354"/>
      <c r="CA354" s="1396"/>
      <c r="CB354" s="1396"/>
      <c r="CC354"/>
      <c r="CD354"/>
      <c r="CE354"/>
    </row>
    <row r="355" spans="1:83" ht="13.5" outlineLevel="1" thickBot="1" x14ac:dyDescent="0.25">
      <c r="A355"/>
      <c r="B355" s="1"/>
      <c r="C355" s="1"/>
      <c r="D355" s="76"/>
      <c r="E355" s="76"/>
      <c r="F355" s="76"/>
      <c r="G355" s="9"/>
      <c r="H355" s="9"/>
      <c r="I355" s="1"/>
      <c r="J355"/>
      <c r="K355"/>
      <c r="L355"/>
      <c r="M355"/>
      <c r="N355"/>
      <c r="O355"/>
      <c r="P355" s="89"/>
      <c r="Q355"/>
      <c r="R355" s="1"/>
      <c r="S355" s="993">
        <f>S348+1</f>
        <v>2</v>
      </c>
      <c r="T355" s="961"/>
      <c r="U355" s="961"/>
      <c r="V355" s="961"/>
      <c r="W355" s="960"/>
      <c r="X355" s="960"/>
      <c r="Y355" s="960"/>
      <c r="Z355" s="962"/>
      <c r="AA355" s="123"/>
      <c r="AB355" s="963"/>
      <c r="AC355" s="963"/>
      <c r="AD355" s="963"/>
      <c r="AE355" s="964"/>
      <c r="AF355" s="964"/>
      <c r="AG355" s="964"/>
      <c r="AH355" s="964"/>
      <c r="AI355" s="964"/>
      <c r="AJ355" s="964"/>
      <c r="AK355" s="964"/>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s="1396"/>
      <c r="CB355" s="1396"/>
      <c r="CC355"/>
      <c r="CD355"/>
      <c r="CE355"/>
    </row>
    <row r="356" spans="1:83" ht="13.9" customHeight="1" outlineLevel="2" thickBot="1" x14ac:dyDescent="0.25">
      <c r="A356"/>
      <c r="B356" s="1"/>
      <c r="C356"/>
      <c r="D356"/>
      <c r="E356"/>
      <c r="F356"/>
      <c r="G356" s="1"/>
      <c r="H356" s="1"/>
      <c r="I356"/>
      <c r="J356"/>
      <c r="K356"/>
      <c r="L356"/>
      <c r="M356"/>
      <c r="N356"/>
      <c r="O356"/>
      <c r="P356"/>
      <c r="Q356"/>
      <c r="S356" s="22" t="str">
        <f>N_Heure</f>
        <v>Heure</v>
      </c>
      <c r="T356" s="22" t="str">
        <f>N_Table</f>
        <v>Table</v>
      </c>
      <c r="U356" s="22" t="str">
        <f>N_Arbitre</f>
        <v>Arbitre</v>
      </c>
      <c r="V356" s="293" t="str">
        <f>N_Matches</f>
        <v>Matches</v>
      </c>
      <c r="W356" s="294"/>
      <c r="X356" s="294"/>
      <c r="Y356" s="294"/>
      <c r="Z356" s="295"/>
      <c r="AA356" s="8"/>
      <c r="AB356" s="967"/>
      <c r="AC356" s="967"/>
      <c r="AD356" s="967"/>
      <c r="AE356" s="964"/>
      <c r="AF356" s="964"/>
      <c r="AG356" s="964"/>
      <c r="AH356" s="964"/>
      <c r="AI356" s="964"/>
      <c r="AJ356" s="964"/>
      <c r="AK356" s="964"/>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s="1396"/>
      <c r="CB356" s="1396"/>
      <c r="CC356"/>
      <c r="CD356"/>
      <c r="CE356"/>
    </row>
    <row r="357" spans="1:83" ht="13.15" customHeight="1" outlineLevel="2" x14ac:dyDescent="0.2">
      <c r="A357"/>
      <c r="B357" s="1"/>
      <c r="C357"/>
      <c r="D357"/>
      <c r="E357"/>
      <c r="F357"/>
      <c r="G357" s="1"/>
      <c r="H357" s="1"/>
      <c r="I357"/>
      <c r="J357"/>
      <c r="K357"/>
      <c r="L357"/>
      <c r="M357"/>
      <c r="N357"/>
      <c r="O357"/>
      <c r="P357"/>
      <c r="Q357"/>
      <c r="R357" s="558" t="s">
        <v>1727</v>
      </c>
      <c r="S357" s="65"/>
      <c r="T357" s="953"/>
      <c r="U357" s="954"/>
      <c r="V357" s="34" t="str">
        <f>V351</f>
        <v>C</v>
      </c>
      <c r="W357" s="148"/>
      <c r="X357" s="35" t="s">
        <v>769</v>
      </c>
      <c r="Y357" s="148"/>
      <c r="Z357" s="36" t="str">
        <f>V350</f>
        <v>A</v>
      </c>
      <c r="AA357" s="123"/>
      <c r="AB357" s="1459">
        <f>IF(MaxScore,MaxGoals(W357,Y357,MaxGoalsValue),IF(W357="","",W357))</f>
        <v>0</v>
      </c>
      <c r="AC357" s="1460" t="str">
        <f>IF(MaxScore,"-",IF(W357="","","-"))</f>
        <v>-</v>
      </c>
      <c r="AD357" s="1459">
        <f>IF(MaxScore,MaxGoals(Y357,W357,MaxGoalsValue),IF(Y357="","",Y357))</f>
        <v>0</v>
      </c>
      <c r="AE357" s="964" t="str">
        <f>IF(W357="","",IF(W357&gt;Y357,V357,IF(W357=Y357,"",Z357)))</f>
        <v/>
      </c>
      <c r="AF357" s="964" t="str">
        <f>IF(W357="","",IF(W357=Y357,V357,""))</f>
        <v/>
      </c>
      <c r="AG357" s="964" t="str">
        <f>IF(W357="","",IF(W357=Y357,Z357,""))</f>
        <v/>
      </c>
      <c r="AH357" s="964" t="str">
        <f>IF(W357="","",IF(W357&lt;Y357,V357,IF(W357=Y357,"",Z357)))</f>
        <v/>
      </c>
      <c r="AI357" s="964" t="str">
        <f>CONCATENATE(AE357,AH357)</f>
        <v/>
      </c>
      <c r="AJ357" s="964"/>
      <c r="AK357" s="964"/>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s="1396"/>
      <c r="CB357" s="1396"/>
      <c r="CC357"/>
      <c r="CD357"/>
      <c r="CE357"/>
    </row>
    <row r="358" spans="1:83" ht="13.15" customHeight="1" outlineLevel="2" x14ac:dyDescent="0.2">
      <c r="A358"/>
      <c r="B358" s="1"/>
      <c r="C358"/>
      <c r="D358"/>
      <c r="E358"/>
      <c r="F358"/>
      <c r="G358" s="1"/>
      <c r="H358" s="1"/>
      <c r="I358"/>
      <c r="J358"/>
      <c r="K358"/>
      <c r="L358"/>
      <c r="M358"/>
      <c r="N358"/>
      <c r="O358"/>
      <c r="P358"/>
      <c r="Q358"/>
      <c r="R358" s="558" t="s">
        <v>1727</v>
      </c>
      <c r="S358" s="83"/>
      <c r="T358" s="56"/>
      <c r="U358" s="955"/>
      <c r="V358" s="43" t="str">
        <f>Z350</f>
        <v>B</v>
      </c>
      <c r="W358" s="10"/>
      <c r="X358" s="45" t="s">
        <v>769</v>
      </c>
      <c r="Y358" s="10"/>
      <c r="Z358" s="46" t="str">
        <f>V352</f>
        <v>E</v>
      </c>
      <c r="AA358" s="123"/>
      <c r="AB358" s="1459">
        <f>IF(MaxScore,MaxGoals(W358,Y358,MaxGoalsValue),IF(W358="","",W358))</f>
        <v>0</v>
      </c>
      <c r="AC358" s="1460" t="str">
        <f>IF(MaxScore,"-",IF(W358="","","-"))</f>
        <v>-</v>
      </c>
      <c r="AD358" s="1459">
        <f>IF(MaxScore,MaxGoals(Y358,W358,MaxGoalsValue),IF(Y358="","",Y358))</f>
        <v>0</v>
      </c>
      <c r="AE358" s="964" t="str">
        <f>IF(W358="","",IF(W358&gt;Y358,V358,IF(W358=Y358,"",Z358)))</f>
        <v/>
      </c>
      <c r="AF358" s="964" t="str">
        <f>IF(W358="","",IF(W358=Y358,V358,""))</f>
        <v/>
      </c>
      <c r="AG358" s="964" t="str">
        <f>IF(W358="","",IF(W358=Y358,Z358,""))</f>
        <v/>
      </c>
      <c r="AH358" s="964" t="str">
        <f>IF(W358="","",IF(W358&lt;Y358,V358,IF(W358=Y358,"",Z358)))</f>
        <v/>
      </c>
      <c r="AI358" s="964" t="str">
        <f>CONCATENATE(AE358,AH358)</f>
        <v/>
      </c>
      <c r="AJ358" s="964"/>
      <c r="AK358" s="964"/>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s="1396"/>
      <c r="CB358" s="1396"/>
      <c r="CC358"/>
      <c r="CD358"/>
      <c r="CE358"/>
    </row>
    <row r="359" spans="1:83" ht="13.15" customHeight="1" outlineLevel="2" x14ac:dyDescent="0.2">
      <c r="A359"/>
      <c r="B359" s="1"/>
      <c r="C359"/>
      <c r="D359"/>
      <c r="E359"/>
      <c r="F359"/>
      <c r="G359" s="1"/>
      <c r="H359" s="1"/>
      <c r="I359"/>
      <c r="J359"/>
      <c r="K359"/>
      <c r="L359"/>
      <c r="M359"/>
      <c r="N359"/>
      <c r="O359"/>
      <c r="P359"/>
      <c r="Q359"/>
      <c r="R359" s="558" t="s">
        <v>1727</v>
      </c>
      <c r="S359" s="83"/>
      <c r="T359" s="56"/>
      <c r="U359" s="955"/>
      <c r="V359" s="43" t="str">
        <f>Z351</f>
        <v>D</v>
      </c>
      <c r="W359" s="10"/>
      <c r="X359" s="45" t="s">
        <v>769</v>
      </c>
      <c r="Y359" s="10"/>
      <c r="Z359" s="46" t="str">
        <f>V353</f>
        <v>G</v>
      </c>
      <c r="AA359" s="123"/>
      <c r="AB359" s="1459">
        <f>IF(MaxScore,MaxGoals(W359,Y359,MaxGoalsValue),IF(W359="","",W359))</f>
        <v>0</v>
      </c>
      <c r="AC359" s="1460" t="str">
        <f>IF(MaxScore,"-",IF(W359="","","-"))</f>
        <v>-</v>
      </c>
      <c r="AD359" s="1459">
        <f>IF(MaxScore,MaxGoals(Y359,W359,MaxGoalsValue),IF(Y359="","",Y359))</f>
        <v>0</v>
      </c>
      <c r="AE359" s="964" t="str">
        <f>IF(W359="","",IF(W359&gt;Y359,V359,IF(W359=Y359,"",Z359)))</f>
        <v/>
      </c>
      <c r="AF359" s="964" t="str">
        <f>IF(W359="","",IF(W359=Y359,V359,""))</f>
        <v/>
      </c>
      <c r="AG359" s="964" t="str">
        <f>IF(W359="","",IF(W359=Y359,Z359,""))</f>
        <v/>
      </c>
      <c r="AH359" s="964" t="str">
        <f>IF(W359="","",IF(W359&lt;Y359,V359,IF(W359=Y359,"",Z359)))</f>
        <v/>
      </c>
      <c r="AI359" s="964" t="str">
        <f>CONCATENATE(AE359,AH359)</f>
        <v/>
      </c>
      <c r="AJ359" s="964"/>
      <c r="AK359" s="964"/>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s="1396"/>
      <c r="CB359" s="1396"/>
      <c r="CC359"/>
      <c r="CD359"/>
      <c r="CE359"/>
    </row>
    <row r="360" spans="1:83" ht="13.15" customHeight="1" outlineLevel="2" x14ac:dyDescent="0.2">
      <c r="A360"/>
      <c r="B360" s="1"/>
      <c r="C360"/>
      <c r="D360"/>
      <c r="E360"/>
      <c r="F360"/>
      <c r="G360" s="1"/>
      <c r="H360" s="1"/>
      <c r="I360"/>
      <c r="J360"/>
      <c r="K360"/>
      <c r="L360"/>
      <c r="M360"/>
      <c r="N360"/>
      <c r="O360"/>
      <c r="P360"/>
      <c r="Q360"/>
      <c r="R360" s="558" t="s">
        <v>1727</v>
      </c>
      <c r="S360" s="83"/>
      <c r="T360" s="56"/>
      <c r="U360" s="955"/>
      <c r="V360" s="43" t="str">
        <f>Z352</f>
        <v>F</v>
      </c>
      <c r="W360" s="10"/>
      <c r="X360" s="45" t="s">
        <v>769</v>
      </c>
      <c r="Y360" s="10"/>
      <c r="Z360" s="46" t="str">
        <f>V354</f>
        <v>I</v>
      </c>
      <c r="AA360" s="123"/>
      <c r="AB360" s="1459">
        <f>IF(MaxScore,MaxGoals(W360,Y360,MaxGoalsValue),IF(W360="","",W360))</f>
        <v>0</v>
      </c>
      <c r="AC360" s="1460" t="str">
        <f>IF(MaxScore,"-",IF(W360="","","-"))</f>
        <v>-</v>
      </c>
      <c r="AD360" s="1459">
        <f>IF(MaxScore,MaxGoals(Y360,W360,MaxGoalsValue),IF(Y360="","",Y360))</f>
        <v>0</v>
      </c>
      <c r="AE360" s="964" t="str">
        <f>IF(W360="","",IF(W360&gt;Y360,V360,IF(W360=Y360,"",Z360)))</f>
        <v/>
      </c>
      <c r="AF360" s="964" t="str">
        <f>IF(W360="","",IF(W360=Y360,V360,""))</f>
        <v/>
      </c>
      <c r="AG360" s="964" t="str">
        <f>IF(W360="","",IF(W360=Y360,Z360,""))</f>
        <v/>
      </c>
      <c r="AH360" s="964" t="str">
        <f>IF(W360="","",IF(W360&lt;Y360,V360,IF(W360=Y360,"",Z360)))</f>
        <v/>
      </c>
      <c r="AI360" s="964" t="str">
        <f>CONCATENATE(AE360,AH360)</f>
        <v/>
      </c>
      <c r="AJ360" s="964"/>
      <c r="AK360" s="964"/>
      <c r="AL360"/>
      <c r="AM360"/>
      <c r="AN360"/>
      <c r="AO360"/>
      <c r="AP360"/>
      <c r="AQ360"/>
      <c r="AR360"/>
      <c r="AS360"/>
      <c r="AT360"/>
      <c r="AU360"/>
      <c r="AV360"/>
      <c r="AW360"/>
      <c r="AX360" s="9"/>
      <c r="AY360"/>
      <c r="AZ360"/>
      <c r="BA360"/>
      <c r="BB360"/>
      <c r="BC360"/>
      <c r="BD360"/>
      <c r="BE360"/>
      <c r="BF360"/>
      <c r="BG360"/>
      <c r="BH360"/>
      <c r="BI360"/>
      <c r="BJ360"/>
      <c r="BK360"/>
      <c r="BL360"/>
      <c r="BM360"/>
      <c r="BN360"/>
      <c r="BO360"/>
      <c r="BP360"/>
      <c r="BQ360"/>
      <c r="BR360"/>
      <c r="BS360"/>
      <c r="BT360"/>
      <c r="BU360"/>
      <c r="BV360"/>
      <c r="BW360"/>
      <c r="BX360"/>
      <c r="BY360"/>
      <c r="BZ360"/>
      <c r="CA360" s="1396"/>
      <c r="CB360" s="1396"/>
      <c r="CC360"/>
      <c r="CD360"/>
      <c r="CE360"/>
    </row>
    <row r="361" spans="1:83" ht="13.15" customHeight="1" outlineLevel="2" thickBot="1" x14ac:dyDescent="0.25">
      <c r="A361"/>
      <c r="B361" s="1"/>
      <c r="C361"/>
      <c r="D361"/>
      <c r="E361"/>
      <c r="F361"/>
      <c r="G361" s="1"/>
      <c r="H361" s="1"/>
      <c r="I361"/>
      <c r="J361"/>
      <c r="K361"/>
      <c r="L361"/>
      <c r="M361"/>
      <c r="N361"/>
      <c r="O361"/>
      <c r="P361"/>
      <c r="Q361"/>
      <c r="R361" s="558" t="s">
        <v>1727</v>
      </c>
      <c r="S361" s="83"/>
      <c r="T361" s="56"/>
      <c r="U361" s="955"/>
      <c r="V361" s="43" t="str">
        <f>Z353</f>
        <v>H</v>
      </c>
      <c r="W361" s="10"/>
      <c r="X361" s="45" t="s">
        <v>769</v>
      </c>
      <c r="Y361" s="10"/>
      <c r="Z361" s="46" t="str">
        <f>G347</f>
        <v>K</v>
      </c>
      <c r="AA361" s="123"/>
      <c r="AB361" s="1459">
        <f>IF(MaxScore,MaxGoals(W361,Y361,MaxGoalsValue),IF(W361="","",W361))</f>
        <v>0</v>
      </c>
      <c r="AC361" s="1460" t="str">
        <f>IF(MaxScore,"-",IF(W361="","","-"))</f>
        <v>-</v>
      </c>
      <c r="AD361" s="1459">
        <f>IF(MaxScore,MaxGoals(Y361,W361,MaxGoalsValue),IF(Y361="","",Y361))</f>
        <v>0</v>
      </c>
      <c r="AE361" s="964" t="str">
        <f>IF(W361="","",IF(W361&gt;Y361,V361,IF(W361=Y361,"",Z361)))</f>
        <v/>
      </c>
      <c r="AF361" s="964" t="str">
        <f>IF(W361="","",IF(W361=Y361,V361,""))</f>
        <v/>
      </c>
      <c r="AG361" s="964" t="str">
        <f>IF(W361="","",IF(W361=Y361,Z361,""))</f>
        <v/>
      </c>
      <c r="AH361" s="964" t="str">
        <f>IF(W361="","",IF(W361&lt;Y361,V361,IF(W361=Y361,"",Z361)))</f>
        <v/>
      </c>
      <c r="AI361" s="964" t="str">
        <f>CONCATENATE(AE361,AH361)</f>
        <v/>
      </c>
      <c r="AJ361" s="964"/>
      <c r="AK361" s="964"/>
      <c r="AL361"/>
      <c r="AM361"/>
      <c r="AN361"/>
      <c r="AO361"/>
      <c r="AP361"/>
      <c r="AQ361"/>
      <c r="AR361"/>
      <c r="AS361"/>
      <c r="AT361"/>
      <c r="AU361"/>
      <c r="AV361"/>
      <c r="AW361" s="9"/>
      <c r="AX361" s="9"/>
      <c r="AY361"/>
      <c r="AZ361"/>
      <c r="BA361"/>
      <c r="BB361"/>
      <c r="BC361"/>
      <c r="BD361"/>
      <c r="BE361"/>
      <c r="BF361"/>
      <c r="BG361"/>
      <c r="BH361"/>
      <c r="BI361"/>
      <c r="BJ361"/>
      <c r="BK361"/>
      <c r="BL361"/>
      <c r="BM361"/>
      <c r="BN361"/>
      <c r="BO361"/>
      <c r="BP361"/>
      <c r="BQ361"/>
      <c r="BR361"/>
      <c r="BS361"/>
      <c r="BT361"/>
      <c r="BU361"/>
      <c r="BV361"/>
      <c r="BW361"/>
      <c r="BX361"/>
      <c r="BY361"/>
      <c r="BZ361"/>
      <c r="CA361" s="1396"/>
      <c r="CB361" s="1396"/>
      <c r="CC361"/>
      <c r="CD361"/>
      <c r="CE361"/>
    </row>
    <row r="362" spans="1:83" ht="13.5" outlineLevel="1" thickBot="1" x14ac:dyDescent="0.25">
      <c r="A362"/>
      <c r="B362" s="1"/>
      <c r="C362" s="1"/>
      <c r="D362" s="76"/>
      <c r="E362" s="76"/>
      <c r="F362" s="76"/>
      <c r="G362" s="9"/>
      <c r="H362" s="9"/>
      <c r="I362" s="1"/>
      <c r="J362"/>
      <c r="K362"/>
      <c r="L362"/>
      <c r="M362"/>
      <c r="N362"/>
      <c r="O362"/>
      <c r="P362" s="89"/>
      <c r="Q362"/>
      <c r="R362" s="1"/>
      <c r="S362" s="993">
        <f>S355+1</f>
        <v>3</v>
      </c>
      <c r="T362" s="961"/>
      <c r="U362" s="961"/>
      <c r="V362" s="961"/>
      <c r="W362" s="960"/>
      <c r="X362" s="960"/>
      <c r="Y362" s="960"/>
      <c r="Z362" s="962"/>
      <c r="AA362" s="123"/>
      <c r="AB362" s="963"/>
      <c r="AC362" s="963"/>
      <c r="AD362" s="963"/>
      <c r="AE362" s="964"/>
      <c r="AF362" s="964"/>
      <c r="AG362" s="964"/>
      <c r="AH362" s="964"/>
      <c r="AI362" s="964"/>
      <c r="AJ362" s="964"/>
      <c r="AK362" s="964"/>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s="1396"/>
      <c r="CB362" s="1396"/>
      <c r="CC362"/>
      <c r="CD362"/>
      <c r="CE362"/>
    </row>
    <row r="363" spans="1:83" ht="13.9" customHeight="1" outlineLevel="2" thickBot="1" x14ac:dyDescent="0.25">
      <c r="A363"/>
      <c r="B363" s="1"/>
      <c r="C363"/>
      <c r="D363"/>
      <c r="E363"/>
      <c r="F363"/>
      <c r="G363" s="1"/>
      <c r="H363" s="1"/>
      <c r="I363"/>
      <c r="J363"/>
      <c r="K363"/>
      <c r="L363"/>
      <c r="M363"/>
      <c r="N363"/>
      <c r="O363"/>
      <c r="P363"/>
      <c r="Q363"/>
      <c r="S363" s="22" t="str">
        <f>N_Heure</f>
        <v>Heure</v>
      </c>
      <c r="T363" s="22" t="str">
        <f>N_Table</f>
        <v>Table</v>
      </c>
      <c r="U363" s="22" t="str">
        <f>N_Arbitre</f>
        <v>Arbitre</v>
      </c>
      <c r="V363" s="293" t="str">
        <f>N_Matches</f>
        <v>Matches</v>
      </c>
      <c r="W363" s="294"/>
      <c r="X363" s="294"/>
      <c r="Y363" s="294"/>
      <c r="Z363" s="295"/>
      <c r="AA363" s="8"/>
      <c r="AB363" s="967"/>
      <c r="AC363" s="967"/>
      <c r="AD363" s="967"/>
      <c r="AE363" s="964"/>
      <c r="AF363" s="964"/>
      <c r="AG363" s="964"/>
      <c r="AH363" s="964"/>
      <c r="AI363" s="964"/>
      <c r="AJ363" s="964"/>
      <c r="AK363" s="964"/>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s="1396"/>
      <c r="CB363" s="1396"/>
      <c r="CC363"/>
      <c r="CD363"/>
      <c r="CE363"/>
    </row>
    <row r="364" spans="1:83" ht="13.15" customHeight="1" outlineLevel="2" x14ac:dyDescent="0.2">
      <c r="A364"/>
      <c r="B364" s="1"/>
      <c r="C364"/>
      <c r="D364"/>
      <c r="E364"/>
      <c r="F364"/>
      <c r="G364" s="1"/>
      <c r="H364" s="1"/>
      <c r="I364"/>
      <c r="J364"/>
      <c r="K364"/>
      <c r="L364"/>
      <c r="M364"/>
      <c r="N364"/>
      <c r="O364"/>
      <c r="P364"/>
      <c r="Q364"/>
      <c r="R364" s="558" t="s">
        <v>1728</v>
      </c>
      <c r="S364" s="65"/>
      <c r="T364" s="953"/>
      <c r="U364" s="954"/>
      <c r="V364" s="34" t="str">
        <f>Z357</f>
        <v>A</v>
      </c>
      <c r="W364" s="148"/>
      <c r="X364" s="35" t="s">
        <v>769</v>
      </c>
      <c r="Y364" s="148"/>
      <c r="Z364" s="36" t="str">
        <f>Z358</f>
        <v>E</v>
      </c>
      <c r="AA364" s="123"/>
      <c r="AB364" s="1459">
        <f>IF(MaxScore,MaxGoals(W364,Y364,MaxGoalsValue),IF(W364="","",W364))</f>
        <v>0</v>
      </c>
      <c r="AC364" s="1460" t="str">
        <f>IF(MaxScore,"-",IF(W364="","","-"))</f>
        <v>-</v>
      </c>
      <c r="AD364" s="1459">
        <f>IF(MaxScore,MaxGoals(Y364,W364,MaxGoalsValue),IF(Y364="","",Y364))</f>
        <v>0</v>
      </c>
      <c r="AE364" s="964" t="str">
        <f>IF(W364="","",IF(W364&gt;Y364,V364,IF(W364=Y364,"",Z364)))</f>
        <v/>
      </c>
      <c r="AF364" s="964" t="str">
        <f>IF(W364="","",IF(W364=Y364,V364,""))</f>
        <v/>
      </c>
      <c r="AG364" s="964" t="str">
        <f>IF(W364="","",IF(W364=Y364,Z364,""))</f>
        <v/>
      </c>
      <c r="AH364" s="964" t="str">
        <f>IF(W364="","",IF(W364&lt;Y364,V364,IF(W364=Y364,"",Z364)))</f>
        <v/>
      </c>
      <c r="AI364" s="964" t="str">
        <f>CONCATENATE(AE364,AH364)</f>
        <v/>
      </c>
      <c r="AJ364" s="964"/>
      <c r="AK364" s="9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s="1396"/>
      <c r="CB364" s="1396"/>
      <c r="CC364"/>
      <c r="CD364"/>
      <c r="CE364"/>
    </row>
    <row r="365" spans="1:83" ht="13.15" customHeight="1" outlineLevel="2" x14ac:dyDescent="0.2">
      <c r="A365"/>
      <c r="B365" s="1"/>
      <c r="C365"/>
      <c r="D365"/>
      <c r="E365"/>
      <c r="F365"/>
      <c r="G365" s="1"/>
      <c r="H365" s="1"/>
      <c r="I365"/>
      <c r="J365"/>
      <c r="K365"/>
      <c r="L365"/>
      <c r="M365"/>
      <c r="N365"/>
      <c r="O365"/>
      <c r="P365"/>
      <c r="Q365"/>
      <c r="R365" s="558" t="s">
        <v>1728</v>
      </c>
      <c r="S365" s="83"/>
      <c r="T365" s="56"/>
      <c r="U365" s="955"/>
      <c r="V365" s="43" t="str">
        <f>Z359</f>
        <v>G</v>
      </c>
      <c r="W365" s="10"/>
      <c r="X365" s="45" t="s">
        <v>769</v>
      </c>
      <c r="Y365" s="10"/>
      <c r="Z365" s="46" t="str">
        <f>V357</f>
        <v>C</v>
      </c>
      <c r="AA365" s="123"/>
      <c r="AB365" s="1459">
        <f>IF(MaxScore,MaxGoals(W365,Y365,MaxGoalsValue),IF(W365="","",W365))</f>
        <v>0</v>
      </c>
      <c r="AC365" s="1460" t="str">
        <f>IF(MaxScore,"-",IF(W365="","","-"))</f>
        <v>-</v>
      </c>
      <c r="AD365" s="1459">
        <f>IF(MaxScore,MaxGoals(Y365,W365,MaxGoalsValue),IF(Y365="","",Y365))</f>
        <v>0</v>
      </c>
      <c r="AE365" s="964" t="str">
        <f>IF(W365="","",IF(W365&gt;Y365,V365,IF(W365=Y365,"",Z365)))</f>
        <v/>
      </c>
      <c r="AF365" s="964" t="str">
        <f>IF(W365="","",IF(W365=Y365,V365,""))</f>
        <v/>
      </c>
      <c r="AG365" s="964" t="str">
        <f>IF(W365="","",IF(W365=Y365,Z365,""))</f>
        <v/>
      </c>
      <c r="AH365" s="964" t="str">
        <f>IF(W365="","",IF(W365&lt;Y365,V365,IF(W365=Y365,"",Z365)))</f>
        <v/>
      </c>
      <c r="AI365" s="964" t="str">
        <f>CONCATENATE(AE365,AH365)</f>
        <v/>
      </c>
      <c r="AJ365" s="964"/>
      <c r="AK365" s="964"/>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s="1396"/>
      <c r="CB365" s="1396"/>
      <c r="CC365"/>
      <c r="CD365"/>
      <c r="CE365"/>
    </row>
    <row r="366" spans="1:83" ht="13.15" customHeight="1" outlineLevel="2" x14ac:dyDescent="0.2">
      <c r="A366"/>
      <c r="B366" s="1"/>
      <c r="C366"/>
      <c r="D366"/>
      <c r="E366"/>
      <c r="F366"/>
      <c r="G366" s="1"/>
      <c r="H366" s="1"/>
      <c r="I366"/>
      <c r="J366"/>
      <c r="K366"/>
      <c r="L366"/>
      <c r="M366"/>
      <c r="N366"/>
      <c r="O366"/>
      <c r="P366"/>
      <c r="Q366"/>
      <c r="R366" s="558" t="s">
        <v>1728</v>
      </c>
      <c r="S366" s="83"/>
      <c r="T366" s="56"/>
      <c r="U366" s="955"/>
      <c r="V366" s="43" t="str">
        <f>Z360</f>
        <v>I</v>
      </c>
      <c r="W366" s="10"/>
      <c r="X366" s="45" t="s">
        <v>769</v>
      </c>
      <c r="Y366" s="10"/>
      <c r="Z366" s="46" t="str">
        <f>V358</f>
        <v>B</v>
      </c>
      <c r="AA366" s="123"/>
      <c r="AB366" s="1459">
        <f>IF(MaxScore,MaxGoals(W366,Y366,MaxGoalsValue),IF(W366="","",W366))</f>
        <v>0</v>
      </c>
      <c r="AC366" s="1460" t="str">
        <f>IF(MaxScore,"-",IF(W366="","","-"))</f>
        <v>-</v>
      </c>
      <c r="AD366" s="1459">
        <f>IF(MaxScore,MaxGoals(Y366,W366,MaxGoalsValue),IF(Y366="","",Y366))</f>
        <v>0</v>
      </c>
      <c r="AE366" s="964" t="str">
        <f>IF(W366="","",IF(W366&gt;Y366,V366,IF(W366=Y366,"",Z366)))</f>
        <v/>
      </c>
      <c r="AF366" s="964" t="str">
        <f>IF(W366="","",IF(W366=Y366,V366,""))</f>
        <v/>
      </c>
      <c r="AG366" s="964" t="str">
        <f>IF(W366="","",IF(W366=Y366,Z366,""))</f>
        <v/>
      </c>
      <c r="AH366" s="964" t="str">
        <f>IF(W366="","",IF(W366&lt;Y366,V366,IF(W366=Y366,"",Z366)))</f>
        <v/>
      </c>
      <c r="AI366" s="964" t="str">
        <f>CONCATENATE(AE366,AH366)</f>
        <v/>
      </c>
      <c r="AJ366" s="964"/>
      <c r="AK366" s="964"/>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s="1396"/>
      <c r="CB366" s="1396"/>
      <c r="CC366"/>
      <c r="CD366"/>
      <c r="CE366"/>
    </row>
    <row r="367" spans="1:83" ht="13.15" customHeight="1" outlineLevel="2" x14ac:dyDescent="0.2">
      <c r="A367"/>
      <c r="B367" s="1"/>
      <c r="C367"/>
      <c r="D367"/>
      <c r="E367"/>
      <c r="F367"/>
      <c r="G367" s="1"/>
      <c r="H367" s="1"/>
      <c r="I367"/>
      <c r="J367"/>
      <c r="K367"/>
      <c r="L367"/>
      <c r="M367"/>
      <c r="N367"/>
      <c r="O367"/>
      <c r="P367"/>
      <c r="Q367"/>
      <c r="R367" s="558" t="s">
        <v>1728</v>
      </c>
      <c r="S367" s="83"/>
      <c r="T367" s="56"/>
      <c r="U367" s="955"/>
      <c r="V367" s="43" t="str">
        <f>Z361</f>
        <v>K</v>
      </c>
      <c r="W367" s="10"/>
      <c r="X367" s="45" t="s">
        <v>769</v>
      </c>
      <c r="Y367" s="10"/>
      <c r="Z367" s="46" t="str">
        <f>V359</f>
        <v>D</v>
      </c>
      <c r="AA367" s="123"/>
      <c r="AB367" s="1459">
        <f>IF(MaxScore,MaxGoals(W367,Y367,MaxGoalsValue),IF(W367="","",W367))</f>
        <v>0</v>
      </c>
      <c r="AC367" s="1460" t="str">
        <f>IF(MaxScore,"-",IF(W367="","","-"))</f>
        <v>-</v>
      </c>
      <c r="AD367" s="1459">
        <f>IF(MaxScore,MaxGoals(Y367,W367,MaxGoalsValue),IF(Y367="","",Y367))</f>
        <v>0</v>
      </c>
      <c r="AE367" s="964" t="str">
        <f>IF(W367="","",IF(W367&gt;Y367,V367,IF(W367=Y367,"",Z367)))</f>
        <v/>
      </c>
      <c r="AF367" s="964" t="str">
        <f>IF(W367="","",IF(W367=Y367,V367,""))</f>
        <v/>
      </c>
      <c r="AG367" s="964" t="str">
        <f>IF(W367="","",IF(W367=Y367,Z367,""))</f>
        <v/>
      </c>
      <c r="AH367" s="964" t="str">
        <f>IF(W367="","",IF(W367&lt;Y367,V367,IF(W367=Y367,"",Z367)))</f>
        <v/>
      </c>
      <c r="AI367" s="964" t="str">
        <f>CONCATENATE(AE367,AH367)</f>
        <v/>
      </c>
      <c r="AJ367" s="964"/>
      <c r="AK367" s="964"/>
      <c r="AL367"/>
      <c r="AM367"/>
      <c r="AN367"/>
      <c r="AO367"/>
      <c r="AP367"/>
      <c r="AQ367"/>
      <c r="AR367"/>
      <c r="AS367"/>
      <c r="AT367"/>
      <c r="AU367"/>
      <c r="AV367"/>
      <c r="AW367"/>
      <c r="AX367" s="9"/>
      <c r="AY367"/>
      <c r="AZ367"/>
      <c r="BA367"/>
      <c r="BB367"/>
      <c r="BC367"/>
      <c r="BD367"/>
      <c r="BE367"/>
      <c r="BF367"/>
      <c r="BG367"/>
      <c r="BH367"/>
      <c r="BI367"/>
      <c r="BJ367"/>
      <c r="BK367"/>
      <c r="BL367"/>
      <c r="BM367"/>
      <c r="BN367"/>
      <c r="BO367"/>
      <c r="BP367"/>
      <c r="BQ367"/>
      <c r="BR367"/>
      <c r="BS367"/>
      <c r="BT367"/>
      <c r="BU367"/>
      <c r="BV367"/>
      <c r="BW367"/>
      <c r="BX367"/>
      <c r="BY367"/>
      <c r="BZ367"/>
      <c r="CA367" s="1396"/>
      <c r="CB367" s="1396"/>
      <c r="CC367"/>
      <c r="CD367"/>
      <c r="CE367"/>
    </row>
    <row r="368" spans="1:83" ht="13.9" customHeight="1" outlineLevel="2" thickBot="1" x14ac:dyDescent="0.25">
      <c r="A368"/>
      <c r="B368" s="1"/>
      <c r="C368"/>
      <c r="D368"/>
      <c r="E368"/>
      <c r="F368"/>
      <c r="G368" s="1"/>
      <c r="H368" s="1"/>
      <c r="I368"/>
      <c r="J368"/>
      <c r="K368"/>
      <c r="L368"/>
      <c r="M368"/>
      <c r="N368"/>
      <c r="O368"/>
      <c r="P368"/>
      <c r="Q368"/>
      <c r="R368" s="558" t="s">
        <v>1728</v>
      </c>
      <c r="S368" s="956"/>
      <c r="T368" s="58"/>
      <c r="U368" s="957"/>
      <c r="V368" s="958" t="str">
        <f>Z354</f>
        <v>J</v>
      </c>
      <c r="W368" s="10"/>
      <c r="X368" s="45" t="s">
        <v>769</v>
      </c>
      <c r="Y368" s="10"/>
      <c r="Z368" s="46" t="str">
        <f>V361</f>
        <v>H</v>
      </c>
      <c r="AA368" s="123"/>
      <c r="AB368" s="1459">
        <f>IF(MaxScore,MaxGoals(W368,Y368,MaxGoalsValue),IF(W368="","",W368))</f>
        <v>0</v>
      </c>
      <c r="AC368" s="1460" t="str">
        <f>IF(MaxScore,"-",IF(W368="","","-"))</f>
        <v>-</v>
      </c>
      <c r="AD368" s="1459">
        <f>IF(MaxScore,MaxGoals(Y368,W368,MaxGoalsValue),IF(Y368="","",Y368))</f>
        <v>0</v>
      </c>
      <c r="AE368" s="964" t="str">
        <f>IF(W368="","",IF(W368&gt;Y368,V368,IF(W368=Y368,"",Z368)))</f>
        <v/>
      </c>
      <c r="AF368" s="964" t="str">
        <f>IF(W368="","",IF(W368=Y368,V368,""))</f>
        <v/>
      </c>
      <c r="AG368" s="964" t="str">
        <f>IF(W368="","",IF(W368=Y368,Z368,""))</f>
        <v/>
      </c>
      <c r="AH368" s="964" t="str">
        <f>IF(W368="","",IF(W368&lt;Y368,V368,IF(W368=Y368,"",Z368)))</f>
        <v/>
      </c>
      <c r="AI368" s="964" t="str">
        <f>CONCATENATE(AE368,AH368)</f>
        <v/>
      </c>
      <c r="AJ368" s="964"/>
      <c r="AK368" s="964"/>
      <c r="AL368"/>
      <c r="AM368"/>
      <c r="AN368"/>
      <c r="AO368"/>
      <c r="AP368"/>
      <c r="AQ368"/>
      <c r="AR368"/>
      <c r="AS368"/>
      <c r="AT368"/>
      <c r="AU368"/>
      <c r="AV368"/>
      <c r="AW368" s="9"/>
      <c r="AX368" s="9"/>
      <c r="AY368"/>
      <c r="AZ368"/>
      <c r="BA368"/>
      <c r="BB368"/>
      <c r="BC368"/>
      <c r="BD368"/>
      <c r="BE368"/>
      <c r="BF368"/>
      <c r="BG368"/>
      <c r="BH368"/>
      <c r="BI368"/>
      <c r="BJ368"/>
      <c r="BK368"/>
      <c r="BL368"/>
      <c r="BM368"/>
      <c r="BN368"/>
      <c r="BO368"/>
      <c r="BP368"/>
      <c r="BQ368"/>
      <c r="BR368"/>
      <c r="BS368"/>
      <c r="BT368"/>
      <c r="BU368"/>
      <c r="BV368"/>
      <c r="BW368"/>
      <c r="BX368"/>
      <c r="BY368"/>
      <c r="BZ368"/>
      <c r="CA368" s="1396"/>
      <c r="CB368" s="1396"/>
      <c r="CC368"/>
      <c r="CD368"/>
      <c r="CE368"/>
    </row>
    <row r="369" spans="1:83" ht="13.5" outlineLevel="1" thickBot="1" x14ac:dyDescent="0.25">
      <c r="A369"/>
      <c r="B369" s="1"/>
      <c r="C369" s="1"/>
      <c r="D369" s="76"/>
      <c r="E369" s="76"/>
      <c r="F369" s="76"/>
      <c r="G369" s="9"/>
      <c r="H369" s="9"/>
      <c r="I369" s="1"/>
      <c r="J369"/>
      <c r="K369"/>
      <c r="L369"/>
      <c r="M369"/>
      <c r="N369"/>
      <c r="O369"/>
      <c r="P369" s="89"/>
      <c r="Q369"/>
      <c r="R369" s="1"/>
      <c r="S369" s="993">
        <f>S362+1</f>
        <v>4</v>
      </c>
      <c r="T369" s="961"/>
      <c r="U369" s="961"/>
      <c r="V369" s="961"/>
      <c r="W369" s="960"/>
      <c r="X369" s="960"/>
      <c r="Y369" s="960"/>
      <c r="Z369" s="962"/>
      <c r="AA369" s="123"/>
      <c r="AB369" s="963"/>
      <c r="AC369" s="963"/>
      <c r="AD369" s="963"/>
      <c r="AE369" s="964"/>
      <c r="AF369" s="964"/>
      <c r="AG369" s="964"/>
      <c r="AH369" s="964"/>
      <c r="AI369" s="964"/>
      <c r="AJ369" s="964"/>
      <c r="AK369" s="964"/>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s="1396"/>
      <c r="CB369" s="1396"/>
      <c r="CC369"/>
      <c r="CD369"/>
      <c r="CE369"/>
    </row>
    <row r="370" spans="1:83" ht="13.9" customHeight="1" outlineLevel="2" thickBot="1" x14ac:dyDescent="0.25">
      <c r="A370"/>
      <c r="B370" s="1"/>
      <c r="C370"/>
      <c r="D370"/>
      <c r="E370"/>
      <c r="F370"/>
      <c r="G370" s="1"/>
      <c r="H370" s="1"/>
      <c r="I370"/>
      <c r="J370"/>
      <c r="K370"/>
      <c r="L370"/>
      <c r="M370"/>
      <c r="N370"/>
      <c r="O370"/>
      <c r="P370"/>
      <c r="Q370"/>
      <c r="S370" s="22" t="str">
        <f>N_Heure</f>
        <v>Heure</v>
      </c>
      <c r="T370" s="22" t="str">
        <f>N_Table</f>
        <v>Table</v>
      </c>
      <c r="U370" s="22" t="str">
        <f>N_Arbitre</f>
        <v>Arbitre</v>
      </c>
      <c r="V370" s="293" t="str">
        <f>N_Matches</f>
        <v>Matches</v>
      </c>
      <c r="W370" s="294"/>
      <c r="X370" s="294"/>
      <c r="Y370" s="294"/>
      <c r="Z370" s="295"/>
      <c r="AA370" s="8"/>
      <c r="AB370" s="967"/>
      <c r="AC370" s="967"/>
      <c r="AD370" s="967"/>
      <c r="AE370" s="964"/>
      <c r="AF370" s="964"/>
      <c r="AG370" s="964"/>
      <c r="AH370" s="964"/>
      <c r="AI370" s="964"/>
      <c r="AJ370" s="964"/>
      <c r="AK370" s="964"/>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s="1396"/>
      <c r="CB370" s="1396"/>
      <c r="CC370"/>
      <c r="CD370"/>
      <c r="CE370"/>
    </row>
    <row r="371" spans="1:83" ht="13.15" customHeight="1" outlineLevel="2" x14ac:dyDescent="0.2">
      <c r="A371"/>
      <c r="B371" s="1"/>
      <c r="C371"/>
      <c r="D371"/>
      <c r="E371"/>
      <c r="F371"/>
      <c r="G371" s="1"/>
      <c r="H371" s="1"/>
      <c r="I371"/>
      <c r="J371"/>
      <c r="K371"/>
      <c r="L371"/>
      <c r="M371"/>
      <c r="N371"/>
      <c r="O371"/>
      <c r="P371"/>
      <c r="Q371"/>
      <c r="R371" s="558" t="s">
        <v>1729</v>
      </c>
      <c r="S371" s="65"/>
      <c r="T371" s="953"/>
      <c r="U371" s="954"/>
      <c r="V371" s="34" t="str">
        <f>V365</f>
        <v>G</v>
      </c>
      <c r="W371" s="148"/>
      <c r="X371" s="35" t="s">
        <v>769</v>
      </c>
      <c r="Y371" s="148"/>
      <c r="Z371" s="36" t="str">
        <f>V364</f>
        <v>A</v>
      </c>
      <c r="AA371" s="123"/>
      <c r="AB371" s="1459">
        <f>IF(MaxScore,MaxGoals(W371,Y371,MaxGoalsValue),IF(W371="","",W371))</f>
        <v>0</v>
      </c>
      <c r="AC371" s="1460" t="str">
        <f>IF(MaxScore,"-",IF(W371="","","-"))</f>
        <v>-</v>
      </c>
      <c r="AD371" s="1459">
        <f>IF(MaxScore,MaxGoals(Y371,W371,MaxGoalsValue),IF(Y371="","",Y371))</f>
        <v>0</v>
      </c>
      <c r="AE371" s="964" t="str">
        <f>IF(W371="","",IF(W371&gt;Y371,V371,IF(W371=Y371,"",Z371)))</f>
        <v/>
      </c>
      <c r="AF371" s="964" t="str">
        <f>IF(W371="","",IF(W371=Y371,V371,""))</f>
        <v/>
      </c>
      <c r="AG371" s="964" t="str">
        <f>IF(W371="","",IF(W371=Y371,Z371,""))</f>
        <v/>
      </c>
      <c r="AH371" s="964" t="str">
        <f>IF(W371="","",IF(W371&lt;Y371,V371,IF(W371=Y371,"",Z371)))</f>
        <v/>
      </c>
      <c r="AI371" s="964" t="str">
        <f>CONCATENATE(AE371,AH371)</f>
        <v/>
      </c>
      <c r="AJ371" s="964"/>
      <c r="AK371" s="964"/>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s="1396"/>
      <c r="CB371" s="1396"/>
      <c r="CC371"/>
      <c r="CD371"/>
      <c r="CE371"/>
    </row>
    <row r="372" spans="1:83" ht="13.15" customHeight="1" outlineLevel="2" x14ac:dyDescent="0.2">
      <c r="A372"/>
      <c r="B372" s="1"/>
      <c r="C372"/>
      <c r="D372"/>
      <c r="E372"/>
      <c r="F372"/>
      <c r="G372" s="1"/>
      <c r="H372" s="1"/>
      <c r="I372"/>
      <c r="J372"/>
      <c r="K372"/>
      <c r="L372"/>
      <c r="M372"/>
      <c r="N372"/>
      <c r="O372"/>
      <c r="P372"/>
      <c r="Q372"/>
      <c r="R372" s="558" t="s">
        <v>1729</v>
      </c>
      <c r="S372" s="83"/>
      <c r="T372" s="56"/>
      <c r="U372" s="955"/>
      <c r="V372" s="43" t="str">
        <f>Z364</f>
        <v>E</v>
      </c>
      <c r="W372" s="10"/>
      <c r="X372" s="45" t="s">
        <v>769</v>
      </c>
      <c r="Y372" s="10"/>
      <c r="Z372" s="46" t="str">
        <f>V366</f>
        <v>I</v>
      </c>
      <c r="AA372" s="123"/>
      <c r="AB372" s="1459">
        <f>IF(MaxScore,MaxGoals(W372,Y372,MaxGoalsValue),IF(W372="","",W372))</f>
        <v>0</v>
      </c>
      <c r="AC372" s="1460" t="str">
        <f>IF(MaxScore,"-",IF(W372="","","-"))</f>
        <v>-</v>
      </c>
      <c r="AD372" s="1459">
        <f>IF(MaxScore,MaxGoals(Y372,W372,MaxGoalsValue),IF(Y372="","",Y372))</f>
        <v>0</v>
      </c>
      <c r="AE372" s="964" t="str">
        <f>IF(W372="","",IF(W372&gt;Y372,V372,IF(W372=Y372,"",Z372)))</f>
        <v/>
      </c>
      <c r="AF372" s="964" t="str">
        <f>IF(W372="","",IF(W372=Y372,V372,""))</f>
        <v/>
      </c>
      <c r="AG372" s="964" t="str">
        <f>IF(W372="","",IF(W372=Y372,Z372,""))</f>
        <v/>
      </c>
      <c r="AH372" s="964" t="str">
        <f>IF(W372="","",IF(W372&lt;Y372,V372,IF(W372=Y372,"",Z372)))</f>
        <v/>
      </c>
      <c r="AI372" s="964" t="str">
        <f>CONCATENATE(AE372,AH372)</f>
        <v/>
      </c>
      <c r="AJ372" s="964"/>
      <c r="AK372" s="964"/>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s="1396"/>
      <c r="CB372" s="1396"/>
      <c r="CC372"/>
      <c r="CD372"/>
      <c r="CE372"/>
    </row>
    <row r="373" spans="1:83" ht="13.15" customHeight="1" outlineLevel="2" x14ac:dyDescent="0.2">
      <c r="A373"/>
      <c r="B373" s="1"/>
      <c r="C373"/>
      <c r="D373"/>
      <c r="E373"/>
      <c r="F373"/>
      <c r="G373" s="1"/>
      <c r="H373" s="1"/>
      <c r="I373"/>
      <c r="J373"/>
      <c r="K373"/>
      <c r="L373"/>
      <c r="M373"/>
      <c r="N373"/>
      <c r="O373"/>
      <c r="P373"/>
      <c r="Q373"/>
      <c r="R373" s="558" t="s">
        <v>1729</v>
      </c>
      <c r="S373" s="83"/>
      <c r="T373" s="56"/>
      <c r="U373" s="955"/>
      <c r="V373" s="43" t="str">
        <f>Z365</f>
        <v>C</v>
      </c>
      <c r="W373" s="10"/>
      <c r="X373" s="45" t="s">
        <v>769</v>
      </c>
      <c r="Y373" s="10"/>
      <c r="Z373" s="46" t="str">
        <f>V367</f>
        <v>K</v>
      </c>
      <c r="AA373" s="123"/>
      <c r="AB373" s="1459">
        <f>IF(MaxScore,MaxGoals(W373,Y373,MaxGoalsValue),IF(W373="","",W373))</f>
        <v>0</v>
      </c>
      <c r="AC373" s="1460" t="str">
        <f>IF(MaxScore,"-",IF(W373="","","-"))</f>
        <v>-</v>
      </c>
      <c r="AD373" s="1459">
        <f>IF(MaxScore,MaxGoals(Y373,W373,MaxGoalsValue),IF(Y373="","",Y373))</f>
        <v>0</v>
      </c>
      <c r="AE373" s="964" t="str">
        <f>IF(W373="","",IF(W373&gt;Y373,V373,IF(W373=Y373,"",Z373)))</f>
        <v/>
      </c>
      <c r="AF373" s="964" t="str">
        <f>IF(W373="","",IF(W373=Y373,V373,""))</f>
        <v/>
      </c>
      <c r="AG373" s="964" t="str">
        <f>IF(W373="","",IF(W373=Y373,Z373,""))</f>
        <v/>
      </c>
      <c r="AH373" s="964" t="str">
        <f>IF(W373="","",IF(W373&lt;Y373,V373,IF(W373=Y373,"",Z373)))</f>
        <v/>
      </c>
      <c r="AI373" s="964" t="str">
        <f>CONCATENATE(AE373,AH373)</f>
        <v/>
      </c>
      <c r="AJ373" s="964"/>
      <c r="AK373" s="964"/>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s="1396"/>
      <c r="CB373" s="1396"/>
      <c r="CC373"/>
      <c r="CD373"/>
      <c r="CE373"/>
    </row>
    <row r="374" spans="1:83" ht="13.15" customHeight="1" outlineLevel="2" x14ac:dyDescent="0.2">
      <c r="A374"/>
      <c r="B374" s="1"/>
      <c r="C374"/>
      <c r="D374"/>
      <c r="E374"/>
      <c r="F374"/>
      <c r="G374" s="1"/>
      <c r="H374" s="1"/>
      <c r="I374"/>
      <c r="J374"/>
      <c r="K374"/>
      <c r="L374"/>
      <c r="M374"/>
      <c r="N374"/>
      <c r="O374"/>
      <c r="P374"/>
      <c r="Q374"/>
      <c r="R374" s="558" t="s">
        <v>1729</v>
      </c>
      <c r="S374" s="83"/>
      <c r="T374" s="56"/>
      <c r="U374" s="955"/>
      <c r="V374" s="43" t="str">
        <f>Z367</f>
        <v>D</v>
      </c>
      <c r="W374" s="10"/>
      <c r="X374" s="45" t="s">
        <v>769</v>
      </c>
      <c r="Y374" s="10"/>
      <c r="Z374" s="46" t="str">
        <f>V368</f>
        <v>J</v>
      </c>
      <c r="AA374" s="123"/>
      <c r="AB374" s="1459">
        <f>IF(MaxScore,MaxGoals(W374,Y374,MaxGoalsValue),IF(W374="","",W374))</f>
        <v>0</v>
      </c>
      <c r="AC374" s="1460" t="str">
        <f>IF(MaxScore,"-",IF(W374="","","-"))</f>
        <v>-</v>
      </c>
      <c r="AD374" s="1459">
        <f>IF(MaxScore,MaxGoals(Y374,W374,MaxGoalsValue),IF(Y374="","",Y374))</f>
        <v>0</v>
      </c>
      <c r="AE374" s="964" t="str">
        <f>IF(W374="","",IF(W374&gt;Y374,V374,IF(W374=Y374,"",Z374)))</f>
        <v/>
      </c>
      <c r="AF374" s="964" t="str">
        <f>IF(W374="","",IF(W374=Y374,V374,""))</f>
        <v/>
      </c>
      <c r="AG374" s="964" t="str">
        <f>IF(W374="","",IF(W374=Y374,Z374,""))</f>
        <v/>
      </c>
      <c r="AH374" s="964" t="str">
        <f>IF(W374="","",IF(W374&lt;Y374,V374,IF(W374=Y374,"",Z374)))</f>
        <v/>
      </c>
      <c r="AI374" s="964" t="str">
        <f>CONCATENATE(AE374,AH374)</f>
        <v/>
      </c>
      <c r="AJ374" s="964"/>
      <c r="AK374" s="964"/>
      <c r="AL374"/>
      <c r="AM374"/>
      <c r="AN374"/>
      <c r="AO374"/>
      <c r="AP374"/>
      <c r="AQ374"/>
      <c r="AR374"/>
      <c r="AS374"/>
      <c r="AT374"/>
      <c r="AU374"/>
      <c r="AV374"/>
      <c r="AW374"/>
      <c r="AX374" s="9"/>
      <c r="AY374"/>
      <c r="AZ374"/>
      <c r="BA374"/>
      <c r="BB374"/>
      <c r="BC374"/>
      <c r="BD374"/>
      <c r="BE374"/>
      <c r="BF374"/>
      <c r="BG374"/>
      <c r="BH374"/>
      <c r="BI374"/>
      <c r="BJ374"/>
      <c r="BK374"/>
      <c r="BL374"/>
      <c r="BM374"/>
      <c r="BN374"/>
      <c r="BO374"/>
      <c r="BP374"/>
      <c r="BQ374"/>
      <c r="BR374"/>
      <c r="BS374"/>
      <c r="BT374"/>
      <c r="BU374"/>
      <c r="BV374"/>
      <c r="BW374"/>
      <c r="BX374"/>
      <c r="BY374"/>
      <c r="BZ374"/>
      <c r="CA374" s="1396"/>
      <c r="CB374" s="1396"/>
      <c r="CC374"/>
      <c r="CD374"/>
      <c r="CE374"/>
    </row>
    <row r="375" spans="1:83" ht="13.9" customHeight="1" outlineLevel="2" thickBot="1" x14ac:dyDescent="0.25">
      <c r="A375"/>
      <c r="B375" s="1"/>
      <c r="C375"/>
      <c r="D375"/>
      <c r="E375"/>
      <c r="F375"/>
      <c r="G375" s="1"/>
      <c r="H375" s="1"/>
      <c r="I375"/>
      <c r="J375"/>
      <c r="K375"/>
      <c r="L375"/>
      <c r="M375"/>
      <c r="N375"/>
      <c r="O375"/>
      <c r="P375"/>
      <c r="Q375"/>
      <c r="R375" s="558" t="s">
        <v>1729</v>
      </c>
      <c r="S375" s="956"/>
      <c r="T375" s="58"/>
      <c r="U375" s="957"/>
      <c r="V375" s="43" t="str">
        <f>V360</f>
        <v>F</v>
      </c>
      <c r="W375" s="10"/>
      <c r="X375" s="45" t="s">
        <v>769</v>
      </c>
      <c r="Y375" s="10"/>
      <c r="Z375" s="46" t="str">
        <f>Z368</f>
        <v>H</v>
      </c>
      <c r="AA375" s="123"/>
      <c r="AB375" s="1459">
        <f>IF(MaxScore,MaxGoals(W375,Y375,MaxGoalsValue),IF(W375="","",W375))</f>
        <v>0</v>
      </c>
      <c r="AC375" s="1460" t="str">
        <f>IF(MaxScore,"-",IF(W375="","","-"))</f>
        <v>-</v>
      </c>
      <c r="AD375" s="1459">
        <f>IF(MaxScore,MaxGoals(Y375,W375,MaxGoalsValue),IF(Y375="","",Y375))</f>
        <v>0</v>
      </c>
      <c r="AE375" s="964" t="str">
        <f>IF(W375="","",IF(W375&gt;Y375,V375,IF(W375=Y375,"",Z375)))</f>
        <v/>
      </c>
      <c r="AF375" s="964" t="str">
        <f>IF(W375="","",IF(W375=Y375,V375,""))</f>
        <v/>
      </c>
      <c r="AG375" s="964" t="str">
        <f>IF(W375="","",IF(W375=Y375,Z375,""))</f>
        <v/>
      </c>
      <c r="AH375" s="964" t="str">
        <f>IF(W375="","",IF(W375&lt;Y375,V375,IF(W375=Y375,"",Z375)))</f>
        <v/>
      </c>
      <c r="AI375" s="964" t="str">
        <f>CONCATENATE(AE375,AH375)</f>
        <v/>
      </c>
      <c r="AJ375" s="964"/>
      <c r="AK375" s="964"/>
      <c r="AL375"/>
      <c r="AM375"/>
      <c r="AN375"/>
      <c r="AO375"/>
      <c r="AP375"/>
      <c r="AQ375"/>
      <c r="AR375"/>
      <c r="AS375"/>
      <c r="AT375"/>
      <c r="AU375"/>
      <c r="AV375"/>
      <c r="AW375" s="9"/>
      <c r="AX375" s="9"/>
      <c r="AY375"/>
      <c r="AZ375"/>
      <c r="BA375"/>
      <c r="BB375"/>
      <c r="BC375"/>
      <c r="BD375"/>
      <c r="BE375"/>
      <c r="BF375"/>
      <c r="BG375"/>
      <c r="BH375"/>
      <c r="BI375"/>
      <c r="BJ375"/>
      <c r="BK375"/>
      <c r="BL375"/>
      <c r="BM375"/>
      <c r="BN375"/>
      <c r="BO375"/>
      <c r="BP375"/>
      <c r="BQ375"/>
      <c r="BR375"/>
      <c r="BS375"/>
      <c r="BT375"/>
      <c r="BU375"/>
      <c r="BV375"/>
      <c r="BW375"/>
      <c r="BX375"/>
      <c r="BY375"/>
      <c r="BZ375"/>
      <c r="CA375" s="1396"/>
      <c r="CB375" s="1396"/>
      <c r="CC375"/>
      <c r="CD375"/>
      <c r="CE375"/>
    </row>
    <row r="376" spans="1:83" ht="13.5" outlineLevel="1" thickBot="1" x14ac:dyDescent="0.25">
      <c r="A376"/>
      <c r="B376" s="1"/>
      <c r="C376" s="1"/>
      <c r="D376" s="76"/>
      <c r="E376" s="76"/>
      <c r="F376" s="76"/>
      <c r="G376" s="9"/>
      <c r="H376" s="9"/>
      <c r="I376" s="1"/>
      <c r="J376"/>
      <c r="K376"/>
      <c r="L376"/>
      <c r="M376"/>
      <c r="N376"/>
      <c r="O376"/>
      <c r="P376" s="89"/>
      <c r="Q376"/>
      <c r="R376" s="1"/>
      <c r="S376" s="993">
        <f>S369+1</f>
        <v>5</v>
      </c>
      <c r="T376" s="961"/>
      <c r="U376" s="961"/>
      <c r="V376" s="961"/>
      <c r="W376" s="960"/>
      <c r="X376" s="960"/>
      <c r="Y376" s="960"/>
      <c r="Z376" s="962"/>
      <c r="AA376" s="123"/>
      <c r="AB376" s="963"/>
      <c r="AC376" s="963"/>
      <c r="AD376" s="963"/>
      <c r="AE376" s="964"/>
      <c r="AF376" s="964"/>
      <c r="AG376" s="964"/>
      <c r="AH376" s="964"/>
      <c r="AI376" s="964"/>
      <c r="AJ376" s="964"/>
      <c r="AK376" s="964"/>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s="1396"/>
      <c r="CB376" s="1396"/>
      <c r="CC376"/>
      <c r="CD376"/>
      <c r="CE376"/>
    </row>
    <row r="377" spans="1:83" ht="13.9" customHeight="1" outlineLevel="2" thickBot="1" x14ac:dyDescent="0.25">
      <c r="A377"/>
      <c r="B377" s="1"/>
      <c r="C377"/>
      <c r="D377"/>
      <c r="E377"/>
      <c r="F377"/>
      <c r="G377" s="1"/>
      <c r="H377" s="1"/>
      <c r="I377"/>
      <c r="J377"/>
      <c r="K377"/>
      <c r="L377"/>
      <c r="M377"/>
      <c r="N377"/>
      <c r="O377"/>
      <c r="P377"/>
      <c r="Q377"/>
      <c r="S377" s="22" t="str">
        <f>N_Heure</f>
        <v>Heure</v>
      </c>
      <c r="T377" s="22" t="str">
        <f>N_Table</f>
        <v>Table</v>
      </c>
      <c r="U377" s="22" t="str">
        <f>N_Arbitre</f>
        <v>Arbitre</v>
      </c>
      <c r="V377" s="293" t="str">
        <f>N_Matches</f>
        <v>Matches</v>
      </c>
      <c r="W377" s="294"/>
      <c r="X377" s="294"/>
      <c r="Y377" s="294"/>
      <c r="Z377" s="295"/>
      <c r="AA377" s="8"/>
      <c r="AB377" s="967"/>
      <c r="AC377" s="967"/>
      <c r="AD377" s="967"/>
      <c r="AE377" s="964"/>
      <c r="AF377" s="964"/>
      <c r="AG377" s="964"/>
      <c r="AH377" s="964"/>
      <c r="AI377" s="964"/>
      <c r="AJ377" s="964"/>
      <c r="AK377" s="964"/>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s="1396"/>
      <c r="CB377" s="1396"/>
      <c r="CC377"/>
      <c r="CD377"/>
      <c r="CE377"/>
    </row>
    <row r="378" spans="1:83" ht="13.15" customHeight="1" outlineLevel="2" x14ac:dyDescent="0.2">
      <c r="A378"/>
      <c r="B378" s="1"/>
      <c r="C378"/>
      <c r="D378"/>
      <c r="E378"/>
      <c r="F378"/>
      <c r="G378" s="1"/>
      <c r="H378" s="1"/>
      <c r="I378"/>
      <c r="J378"/>
      <c r="K378"/>
      <c r="L378"/>
      <c r="M378"/>
      <c r="N378"/>
      <c r="O378"/>
      <c r="P378"/>
      <c r="Q378"/>
      <c r="R378" s="558" t="s">
        <v>1730</v>
      </c>
      <c r="S378" s="65"/>
      <c r="T378" s="953"/>
      <c r="U378" s="954"/>
      <c r="V378" s="34" t="str">
        <f>Z371</f>
        <v>A</v>
      </c>
      <c r="W378" s="148"/>
      <c r="X378" s="35" t="s">
        <v>769</v>
      </c>
      <c r="Y378" s="148"/>
      <c r="Z378" s="36" t="str">
        <f>Z372</f>
        <v>I</v>
      </c>
      <c r="AA378" s="123"/>
      <c r="AB378" s="1459">
        <f>IF(MaxScore,MaxGoals(W378,Y378,MaxGoalsValue),IF(W378="","",W378))</f>
        <v>0</v>
      </c>
      <c r="AC378" s="1460" t="str">
        <f>IF(MaxScore,"-",IF(W378="","","-"))</f>
        <v>-</v>
      </c>
      <c r="AD378" s="1459">
        <f>IF(MaxScore,MaxGoals(Y378,W378,MaxGoalsValue),IF(Y378="","",Y378))</f>
        <v>0</v>
      </c>
      <c r="AE378" s="964" t="str">
        <f>IF(W378="","",IF(W378&gt;Y378,V378,IF(W378=Y378,"",Z378)))</f>
        <v/>
      </c>
      <c r="AF378" s="964" t="str">
        <f>IF(W378="","",IF(W378=Y378,V378,""))</f>
        <v/>
      </c>
      <c r="AG378" s="964" t="str">
        <f>IF(W378="","",IF(W378=Y378,Z378,""))</f>
        <v/>
      </c>
      <c r="AH378" s="964" t="str">
        <f>IF(W378="","",IF(W378&lt;Y378,V378,IF(W378=Y378,"",Z378)))</f>
        <v/>
      </c>
      <c r="AI378" s="964" t="str">
        <f>CONCATENATE(AE378,AH378)</f>
        <v/>
      </c>
      <c r="AJ378" s="964"/>
      <c r="AK378" s="964"/>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s="1396"/>
      <c r="CB378" s="1396"/>
      <c r="CC378"/>
      <c r="CD378"/>
      <c r="CE378"/>
    </row>
    <row r="379" spans="1:83" ht="13.15" customHeight="1" outlineLevel="2" x14ac:dyDescent="0.2">
      <c r="A379"/>
      <c r="B379" s="1"/>
      <c r="C379"/>
      <c r="D379"/>
      <c r="E379"/>
      <c r="F379"/>
      <c r="G379" s="1"/>
      <c r="H379" s="1"/>
      <c r="I379"/>
      <c r="J379"/>
      <c r="K379"/>
      <c r="L379"/>
      <c r="M379"/>
      <c r="N379"/>
      <c r="O379"/>
      <c r="P379"/>
      <c r="Q379"/>
      <c r="R379" s="558" t="s">
        <v>1730</v>
      </c>
      <c r="S379" s="83"/>
      <c r="T379" s="56"/>
      <c r="U379" s="955"/>
      <c r="V379" s="43" t="str">
        <f>Z373</f>
        <v>K</v>
      </c>
      <c r="W379" s="10"/>
      <c r="X379" s="45" t="s">
        <v>769</v>
      </c>
      <c r="Y379" s="10"/>
      <c r="Z379" s="46" t="str">
        <f>V371</f>
        <v>G</v>
      </c>
      <c r="AA379" s="123"/>
      <c r="AB379" s="1459">
        <f>IF(MaxScore,MaxGoals(W379,Y379,MaxGoalsValue),IF(W379="","",W379))</f>
        <v>0</v>
      </c>
      <c r="AC379" s="1460" t="str">
        <f>IF(MaxScore,"-",IF(W379="","","-"))</f>
        <v>-</v>
      </c>
      <c r="AD379" s="1459">
        <f>IF(MaxScore,MaxGoals(Y379,W379,MaxGoalsValue),IF(Y379="","",Y379))</f>
        <v>0</v>
      </c>
      <c r="AE379" s="964" t="str">
        <f>IF(W379="","",IF(W379&gt;Y379,V379,IF(W379=Y379,"",Z379)))</f>
        <v/>
      </c>
      <c r="AF379" s="964" t="str">
        <f>IF(W379="","",IF(W379=Y379,V379,""))</f>
        <v/>
      </c>
      <c r="AG379" s="964" t="str">
        <f>IF(W379="","",IF(W379=Y379,Z379,""))</f>
        <v/>
      </c>
      <c r="AH379" s="964" t="str">
        <f>IF(W379="","",IF(W379&lt;Y379,V379,IF(W379=Y379,"",Z379)))</f>
        <v/>
      </c>
      <c r="AI379" s="964" t="str">
        <f>CONCATENATE(AE379,AH379)</f>
        <v/>
      </c>
      <c r="AJ379" s="964"/>
      <c r="AK379" s="964"/>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s="1396"/>
      <c r="CB379" s="1396"/>
      <c r="CC379"/>
      <c r="CD379"/>
      <c r="CE379"/>
    </row>
    <row r="380" spans="1:83" ht="13.15" customHeight="1" outlineLevel="2" x14ac:dyDescent="0.2">
      <c r="A380"/>
      <c r="B380" s="1"/>
      <c r="C380"/>
      <c r="D380"/>
      <c r="E380"/>
      <c r="F380"/>
      <c r="G380" s="1"/>
      <c r="H380" s="1"/>
      <c r="I380"/>
      <c r="J380"/>
      <c r="K380"/>
      <c r="L380"/>
      <c r="M380"/>
      <c r="N380"/>
      <c r="O380"/>
      <c r="P380"/>
      <c r="Q380"/>
      <c r="R380" s="558" t="s">
        <v>1730</v>
      </c>
      <c r="S380" s="83"/>
      <c r="T380" s="56"/>
      <c r="U380" s="955"/>
      <c r="V380" s="43" t="str">
        <f>Z374</f>
        <v>J</v>
      </c>
      <c r="W380" s="10"/>
      <c r="X380" s="45" t="s">
        <v>769</v>
      </c>
      <c r="Y380" s="10"/>
      <c r="Z380" s="46" t="str">
        <f>V373</f>
        <v>C</v>
      </c>
      <c r="AA380" s="123"/>
      <c r="AB380" s="1459">
        <f>IF(MaxScore,MaxGoals(W380,Y380,MaxGoalsValue),IF(W380="","",W380))</f>
        <v>0</v>
      </c>
      <c r="AC380" s="1460" t="str">
        <f>IF(MaxScore,"-",IF(W380="","","-"))</f>
        <v>-</v>
      </c>
      <c r="AD380" s="1459">
        <f>IF(MaxScore,MaxGoals(Y380,W380,MaxGoalsValue),IF(Y380="","",Y380))</f>
        <v>0</v>
      </c>
      <c r="AE380" s="964" t="str">
        <f>IF(W380="","",IF(W380&gt;Y380,V380,IF(W380=Y380,"",Z380)))</f>
        <v/>
      </c>
      <c r="AF380" s="964" t="str">
        <f>IF(W380="","",IF(W380=Y380,V380,""))</f>
        <v/>
      </c>
      <c r="AG380" s="964" t="str">
        <f>IF(W380="","",IF(W380=Y380,Z380,""))</f>
        <v/>
      </c>
      <c r="AH380" s="964" t="str">
        <f>IF(W380="","",IF(W380&lt;Y380,V380,IF(W380=Y380,"",Z380)))</f>
        <v/>
      </c>
      <c r="AI380" s="964" t="str">
        <f>CONCATENATE(AE380,AH380)</f>
        <v/>
      </c>
      <c r="AJ380" s="964"/>
      <c r="AK380" s="964"/>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s="1396"/>
      <c r="CB380" s="1396"/>
      <c r="CC380"/>
      <c r="CD380"/>
      <c r="CE380"/>
    </row>
    <row r="381" spans="1:83" ht="13.15" customHeight="1" outlineLevel="2" x14ac:dyDescent="0.2">
      <c r="A381"/>
      <c r="B381" s="1"/>
      <c r="C381"/>
      <c r="D381"/>
      <c r="E381"/>
      <c r="F381"/>
      <c r="G381" s="1"/>
      <c r="H381" s="1"/>
      <c r="I381"/>
      <c r="J381"/>
      <c r="K381"/>
      <c r="L381"/>
      <c r="M381"/>
      <c r="N381"/>
      <c r="O381"/>
      <c r="P381"/>
      <c r="Q381"/>
      <c r="R381" s="558" t="s">
        <v>1730</v>
      </c>
      <c r="S381" s="83"/>
      <c r="T381" s="56"/>
      <c r="U381" s="955"/>
      <c r="V381" s="43" t="str">
        <f>Z375</f>
        <v>H</v>
      </c>
      <c r="W381" s="10"/>
      <c r="X381" s="45" t="s">
        <v>769</v>
      </c>
      <c r="Y381" s="10"/>
      <c r="Z381" s="46" t="str">
        <f>Z366</f>
        <v>B</v>
      </c>
      <c r="AA381" s="123"/>
      <c r="AB381" s="1459">
        <f>IF(MaxScore,MaxGoals(W381,Y381,MaxGoalsValue),IF(W381="","",W381))</f>
        <v>0</v>
      </c>
      <c r="AC381" s="1460" t="str">
        <f>IF(MaxScore,"-",IF(W381="","","-"))</f>
        <v>-</v>
      </c>
      <c r="AD381" s="1459">
        <f>IF(MaxScore,MaxGoals(Y381,W381,MaxGoalsValue),IF(Y381="","",Y381))</f>
        <v>0</v>
      </c>
      <c r="AE381" s="964" t="str">
        <f>IF(W381="","",IF(W381&gt;Y381,V381,IF(W381=Y381,"",Z381)))</f>
        <v/>
      </c>
      <c r="AF381" s="964" t="str">
        <f>IF(W381="","",IF(W381=Y381,V381,""))</f>
        <v/>
      </c>
      <c r="AG381" s="964" t="str">
        <f>IF(W381="","",IF(W381=Y381,Z381,""))</f>
        <v/>
      </c>
      <c r="AH381" s="964" t="str">
        <f>IF(W381="","",IF(W381&lt;Y381,V381,IF(W381=Y381,"",Z381)))</f>
        <v/>
      </c>
      <c r="AI381" s="964" t="str">
        <f>CONCATENATE(AE381,AH381)</f>
        <v/>
      </c>
      <c r="AJ381" s="964"/>
      <c r="AK381" s="964"/>
      <c r="AL381"/>
      <c r="AM381"/>
      <c r="AN381"/>
      <c r="AO381"/>
      <c r="AP381"/>
      <c r="AQ381"/>
      <c r="AR381"/>
      <c r="AS381"/>
      <c r="AT381"/>
      <c r="AU381"/>
      <c r="AV381"/>
      <c r="AW381"/>
      <c r="AX381" s="9"/>
      <c r="AY381"/>
      <c r="AZ381"/>
      <c r="BA381"/>
      <c r="BB381"/>
      <c r="BC381"/>
      <c r="BD381"/>
      <c r="BE381"/>
      <c r="BF381"/>
      <c r="BG381"/>
      <c r="BH381"/>
      <c r="BI381"/>
      <c r="BJ381"/>
      <c r="BK381"/>
      <c r="BL381"/>
      <c r="BM381"/>
      <c r="BN381"/>
      <c r="BO381"/>
      <c r="BP381"/>
      <c r="BQ381"/>
      <c r="BR381"/>
      <c r="BS381"/>
      <c r="BT381"/>
      <c r="BU381"/>
      <c r="BV381"/>
      <c r="BW381"/>
      <c r="BX381"/>
      <c r="BY381"/>
      <c r="BZ381"/>
      <c r="CA381" s="1396"/>
      <c r="CB381" s="1396"/>
      <c r="CC381"/>
      <c r="CD381"/>
      <c r="CE381"/>
    </row>
    <row r="382" spans="1:83" ht="13.9" customHeight="1" outlineLevel="2" thickBot="1" x14ac:dyDescent="0.25">
      <c r="A382"/>
      <c r="B382" s="1"/>
      <c r="C382"/>
      <c r="D382"/>
      <c r="E382"/>
      <c r="F382"/>
      <c r="G382" s="1"/>
      <c r="H382" s="1"/>
      <c r="I382"/>
      <c r="J382"/>
      <c r="K382"/>
      <c r="L382"/>
      <c r="M382"/>
      <c r="N382"/>
      <c r="O382"/>
      <c r="P382"/>
      <c r="Q382"/>
      <c r="R382" s="558" t="s">
        <v>1730</v>
      </c>
      <c r="S382" s="956"/>
      <c r="T382" s="58"/>
      <c r="U382" s="957"/>
      <c r="V382" s="958" t="str">
        <f>V375</f>
        <v>F</v>
      </c>
      <c r="W382" s="10"/>
      <c r="X382" s="45" t="s">
        <v>769</v>
      </c>
      <c r="Y382" s="10"/>
      <c r="Z382" s="46" t="str">
        <f>V374</f>
        <v>D</v>
      </c>
      <c r="AA382" s="123"/>
      <c r="AB382" s="1459">
        <f>IF(MaxScore,MaxGoals(W382,Y382,MaxGoalsValue),IF(W382="","",W382))</f>
        <v>0</v>
      </c>
      <c r="AC382" s="1460" t="str">
        <f>IF(MaxScore,"-",IF(W382="","","-"))</f>
        <v>-</v>
      </c>
      <c r="AD382" s="1459">
        <f>IF(MaxScore,MaxGoals(Y382,W382,MaxGoalsValue),IF(Y382="","",Y382))</f>
        <v>0</v>
      </c>
      <c r="AE382" s="964" t="str">
        <f>IF(W382="","",IF(W382&gt;Y382,V382,IF(W382=Y382,"",Z382)))</f>
        <v/>
      </c>
      <c r="AF382" s="964" t="str">
        <f>IF(W382="","",IF(W382=Y382,V382,""))</f>
        <v/>
      </c>
      <c r="AG382" s="964" t="str">
        <f>IF(W382="","",IF(W382=Y382,Z382,""))</f>
        <v/>
      </c>
      <c r="AH382" s="964" t="str">
        <f>IF(W382="","",IF(W382&lt;Y382,V382,IF(W382=Y382,"",Z382)))</f>
        <v/>
      </c>
      <c r="AI382" s="964" t="str">
        <f>CONCATENATE(AE382,AH382)</f>
        <v/>
      </c>
      <c r="AJ382" s="964"/>
      <c r="AK382" s="964"/>
      <c r="AL382"/>
      <c r="AM382"/>
      <c r="AN382"/>
      <c r="AO382"/>
      <c r="AP382"/>
      <c r="AQ382"/>
      <c r="AR382"/>
      <c r="AS382"/>
      <c r="AT382"/>
      <c r="AU382"/>
      <c r="AV382"/>
      <c r="AW382" s="9"/>
      <c r="AX382" s="9"/>
      <c r="AY382"/>
      <c r="AZ382"/>
      <c r="BA382"/>
      <c r="BB382"/>
      <c r="BC382"/>
      <c r="BD382"/>
      <c r="BE382"/>
      <c r="BF382"/>
      <c r="BG382"/>
      <c r="BH382"/>
      <c r="BI382"/>
      <c r="BJ382"/>
      <c r="BK382"/>
      <c r="BL382"/>
      <c r="BM382"/>
      <c r="BN382"/>
      <c r="BO382"/>
      <c r="BP382"/>
      <c r="BQ382"/>
      <c r="BR382"/>
      <c r="BS382"/>
      <c r="BT382"/>
      <c r="BU382"/>
      <c r="BV382"/>
      <c r="BW382"/>
      <c r="BX382"/>
      <c r="BY382"/>
      <c r="BZ382"/>
      <c r="CA382" s="1396"/>
      <c r="CB382" s="1396"/>
      <c r="CC382"/>
      <c r="CD382"/>
      <c r="CE382"/>
    </row>
    <row r="383" spans="1:83" ht="13.5" outlineLevel="1" thickBot="1" x14ac:dyDescent="0.25">
      <c r="A383"/>
      <c r="B383" s="1"/>
      <c r="C383" s="1"/>
      <c r="D383" s="76"/>
      <c r="E383" s="76"/>
      <c r="F383" s="76"/>
      <c r="G383" s="9"/>
      <c r="H383" s="9"/>
      <c r="I383" s="1"/>
      <c r="J383"/>
      <c r="K383"/>
      <c r="L383"/>
      <c r="M383"/>
      <c r="N383"/>
      <c r="O383"/>
      <c r="P383" s="89"/>
      <c r="Q383"/>
      <c r="R383" s="1"/>
      <c r="S383" s="993">
        <f>S376+1</f>
        <v>6</v>
      </c>
      <c r="T383" s="961"/>
      <c r="U383" s="961"/>
      <c r="V383" s="961"/>
      <c r="W383" s="960"/>
      <c r="X383" s="960"/>
      <c r="Y383" s="960"/>
      <c r="Z383" s="962"/>
      <c r="AA383" s="123"/>
      <c r="AB383" s="963"/>
      <c r="AC383" s="963"/>
      <c r="AD383" s="963"/>
      <c r="AE383" s="964"/>
      <c r="AF383" s="964"/>
      <c r="AG383" s="964"/>
      <c r="AH383" s="964"/>
      <c r="AI383" s="964"/>
      <c r="AJ383" s="964"/>
      <c r="AK383" s="964"/>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s="1396"/>
      <c r="CB383" s="1396"/>
      <c r="CC383"/>
      <c r="CD383"/>
      <c r="CE383"/>
    </row>
    <row r="384" spans="1:83" ht="13.9" customHeight="1" outlineLevel="2" thickBot="1" x14ac:dyDescent="0.25">
      <c r="A384"/>
      <c r="B384" s="1"/>
      <c r="C384"/>
      <c r="D384"/>
      <c r="E384"/>
      <c r="F384"/>
      <c r="G384" s="1"/>
      <c r="H384" s="1"/>
      <c r="I384"/>
      <c r="J384"/>
      <c r="K384"/>
      <c r="L384"/>
      <c r="M384"/>
      <c r="N384"/>
      <c r="O384"/>
      <c r="P384"/>
      <c r="Q384"/>
      <c r="S384" s="22" t="str">
        <f>N_Heure</f>
        <v>Heure</v>
      </c>
      <c r="T384" s="22" t="str">
        <f>N_Table</f>
        <v>Table</v>
      </c>
      <c r="U384" s="22" t="str">
        <f>N_Arbitre</f>
        <v>Arbitre</v>
      </c>
      <c r="V384" s="293" t="str">
        <f>N_Matches</f>
        <v>Matches</v>
      </c>
      <c r="W384" s="294"/>
      <c r="X384" s="294"/>
      <c r="Y384" s="294"/>
      <c r="Z384" s="295"/>
      <c r="AA384" s="8"/>
      <c r="AB384" s="967"/>
      <c r="AC384" s="967"/>
      <c r="AD384" s="967"/>
      <c r="AE384" s="964"/>
      <c r="AF384" s="964"/>
      <c r="AG384" s="964"/>
      <c r="AH384" s="964"/>
      <c r="AI384" s="964"/>
      <c r="AJ384" s="964"/>
      <c r="AK384" s="96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s="1396"/>
      <c r="CB384" s="1396"/>
      <c r="CC384"/>
      <c r="CD384"/>
      <c r="CE384"/>
    </row>
    <row r="385" spans="1:83" ht="13.15" customHeight="1" outlineLevel="2" x14ac:dyDescent="0.2">
      <c r="A385"/>
      <c r="B385" s="1"/>
      <c r="C385"/>
      <c r="D385"/>
      <c r="E385"/>
      <c r="F385"/>
      <c r="G385" s="1"/>
      <c r="H385" s="1"/>
      <c r="I385"/>
      <c r="J385"/>
      <c r="K385"/>
      <c r="L385"/>
      <c r="M385"/>
      <c r="N385"/>
      <c r="O385"/>
      <c r="P385"/>
      <c r="Q385"/>
      <c r="R385" s="558" t="s">
        <v>1731</v>
      </c>
      <c r="S385" s="65"/>
      <c r="T385" s="953"/>
      <c r="U385" s="954"/>
      <c r="V385" s="34" t="str">
        <f>V379</f>
        <v>K</v>
      </c>
      <c r="W385" s="148"/>
      <c r="X385" s="35" t="s">
        <v>769</v>
      </c>
      <c r="Y385" s="148"/>
      <c r="Z385" s="36" t="str">
        <f>V378</f>
        <v>A</v>
      </c>
      <c r="AA385" s="123"/>
      <c r="AB385" s="1459">
        <f>IF(MaxScore,MaxGoals(W385,Y385,MaxGoalsValue),IF(W385="","",W385))</f>
        <v>0</v>
      </c>
      <c r="AC385" s="1460" t="str">
        <f>IF(MaxScore,"-",IF(W385="","","-"))</f>
        <v>-</v>
      </c>
      <c r="AD385" s="1459">
        <f>IF(MaxScore,MaxGoals(Y385,W385,MaxGoalsValue),IF(Y385="","",Y385))</f>
        <v>0</v>
      </c>
      <c r="AE385" s="964" t="str">
        <f>IF(W385="","",IF(W385&gt;Y385,V385,IF(W385=Y385,"",Z385)))</f>
        <v/>
      </c>
      <c r="AF385" s="964" t="str">
        <f>IF(W385="","",IF(W385=Y385,V385,""))</f>
        <v/>
      </c>
      <c r="AG385" s="964" t="str">
        <f>IF(W385="","",IF(W385=Y385,Z385,""))</f>
        <v/>
      </c>
      <c r="AH385" s="964" t="str">
        <f>IF(W385="","",IF(W385&lt;Y385,V385,IF(W385=Y385,"",Z385)))</f>
        <v/>
      </c>
      <c r="AI385" s="964" t="str">
        <f>CONCATENATE(AE385,AH385)</f>
        <v/>
      </c>
      <c r="AJ385" s="964"/>
      <c r="AK385" s="964"/>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s="1396"/>
      <c r="CB385" s="1396"/>
      <c r="CC385"/>
      <c r="CD385"/>
      <c r="CE385"/>
    </row>
    <row r="386" spans="1:83" ht="13.15" customHeight="1" outlineLevel="2" x14ac:dyDescent="0.2">
      <c r="A386"/>
      <c r="B386" s="1"/>
      <c r="C386"/>
      <c r="D386"/>
      <c r="E386"/>
      <c r="F386"/>
      <c r="G386" s="1"/>
      <c r="H386" s="1"/>
      <c r="I386"/>
      <c r="J386"/>
      <c r="K386"/>
      <c r="L386"/>
      <c r="M386"/>
      <c r="N386"/>
      <c r="O386"/>
      <c r="P386"/>
      <c r="Q386"/>
      <c r="R386" s="558" t="s">
        <v>1731</v>
      </c>
      <c r="S386" s="83"/>
      <c r="T386" s="56"/>
      <c r="U386" s="955"/>
      <c r="V386" s="43" t="str">
        <f>Z379</f>
        <v>G</v>
      </c>
      <c r="W386" s="10"/>
      <c r="X386" s="45" t="s">
        <v>769</v>
      </c>
      <c r="Y386" s="10"/>
      <c r="Z386" s="46" t="str">
        <f>V380</f>
        <v>J</v>
      </c>
      <c r="AA386" s="123"/>
      <c r="AB386" s="1459">
        <f>IF(MaxScore,MaxGoals(W386,Y386,MaxGoalsValue),IF(W386="","",W386))</f>
        <v>0</v>
      </c>
      <c r="AC386" s="1460" t="str">
        <f>IF(MaxScore,"-",IF(W386="","","-"))</f>
        <v>-</v>
      </c>
      <c r="AD386" s="1459">
        <f>IF(MaxScore,MaxGoals(Y386,W386,MaxGoalsValue),IF(Y386="","",Y386))</f>
        <v>0</v>
      </c>
      <c r="AE386" s="964" t="str">
        <f>IF(W386="","",IF(W386&gt;Y386,V386,IF(W386=Y386,"",Z386)))</f>
        <v/>
      </c>
      <c r="AF386" s="964" t="str">
        <f>IF(W386="","",IF(W386=Y386,V386,""))</f>
        <v/>
      </c>
      <c r="AG386" s="964" t="str">
        <f>IF(W386="","",IF(W386=Y386,Z386,""))</f>
        <v/>
      </c>
      <c r="AH386" s="964" t="str">
        <f>IF(W386="","",IF(W386&lt;Y386,V386,IF(W386=Y386,"",Z386)))</f>
        <v/>
      </c>
      <c r="AI386" s="964" t="str">
        <f>CONCATENATE(AE386,AH386)</f>
        <v/>
      </c>
      <c r="AJ386" s="964"/>
      <c r="AK386" s="964"/>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s="1396"/>
      <c r="CB386" s="1396"/>
      <c r="CC386"/>
      <c r="CD386"/>
      <c r="CE386"/>
    </row>
    <row r="387" spans="1:83" ht="13.15" customHeight="1" outlineLevel="2" x14ac:dyDescent="0.2">
      <c r="A387"/>
      <c r="B387" s="1"/>
      <c r="C387"/>
      <c r="D387"/>
      <c r="E387"/>
      <c r="F387"/>
      <c r="G387" s="1"/>
      <c r="H387" s="1"/>
      <c r="I387"/>
      <c r="J387"/>
      <c r="K387"/>
      <c r="L387"/>
      <c r="M387"/>
      <c r="N387"/>
      <c r="O387"/>
      <c r="P387"/>
      <c r="Q387"/>
      <c r="R387" s="558" t="s">
        <v>1731</v>
      </c>
      <c r="S387" s="83"/>
      <c r="T387" s="56"/>
      <c r="U387" s="955"/>
      <c r="V387" s="43" t="str">
        <f>V372</f>
        <v>E</v>
      </c>
      <c r="W387" s="10"/>
      <c r="X387" s="45" t="s">
        <v>769</v>
      </c>
      <c r="Y387" s="10"/>
      <c r="Z387" s="46" t="str">
        <f>V381</f>
        <v>H</v>
      </c>
      <c r="AA387" s="123"/>
      <c r="AB387" s="1459">
        <f>IF(MaxScore,MaxGoals(W387,Y387,MaxGoalsValue),IF(W387="","",W387))</f>
        <v>0</v>
      </c>
      <c r="AC387" s="1460" t="str">
        <f>IF(MaxScore,"-",IF(W387="","","-"))</f>
        <v>-</v>
      </c>
      <c r="AD387" s="1459">
        <f>IF(MaxScore,MaxGoals(Y387,W387,MaxGoalsValue),IF(Y387="","",Y387))</f>
        <v>0</v>
      </c>
      <c r="AE387" s="964" t="str">
        <f>IF(W387="","",IF(W387&gt;Y387,V387,IF(W387=Y387,"",Z387)))</f>
        <v/>
      </c>
      <c r="AF387" s="964" t="str">
        <f>IF(W387="","",IF(W387=Y387,V387,""))</f>
        <v/>
      </c>
      <c r="AG387" s="964" t="str">
        <f>IF(W387="","",IF(W387=Y387,Z387,""))</f>
        <v/>
      </c>
      <c r="AH387" s="964" t="str">
        <f>IF(W387="","",IF(W387&lt;Y387,V387,IF(W387=Y387,"",Z387)))</f>
        <v/>
      </c>
      <c r="AI387" s="964" t="str">
        <f>CONCATENATE(AE387,AH387)</f>
        <v/>
      </c>
      <c r="AJ387" s="964"/>
      <c r="AK387" s="964"/>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s="1396"/>
      <c r="CB387" s="1396"/>
      <c r="CC387"/>
      <c r="CD387"/>
      <c r="CE387"/>
    </row>
    <row r="388" spans="1:83" ht="13.15" customHeight="1" outlineLevel="2" x14ac:dyDescent="0.2">
      <c r="A388"/>
      <c r="B388" s="1"/>
      <c r="C388"/>
      <c r="D388"/>
      <c r="E388"/>
      <c r="F388"/>
      <c r="G388" s="1"/>
      <c r="H388" s="1"/>
      <c r="I388"/>
      <c r="J388"/>
      <c r="K388"/>
      <c r="L388"/>
      <c r="M388"/>
      <c r="N388"/>
      <c r="O388"/>
      <c r="P388"/>
      <c r="Q388"/>
      <c r="R388" s="558" t="s">
        <v>1731</v>
      </c>
      <c r="S388" s="83"/>
      <c r="T388" s="56"/>
      <c r="U388" s="955"/>
      <c r="V388" s="43" t="str">
        <f>Z380</f>
        <v>C</v>
      </c>
      <c r="W388" s="10"/>
      <c r="X388" s="45" t="s">
        <v>769</v>
      </c>
      <c r="Y388" s="10"/>
      <c r="Z388" s="46" t="str">
        <f>V382</f>
        <v>F</v>
      </c>
      <c r="AA388" s="123"/>
      <c r="AB388" s="1459">
        <f>IF(MaxScore,MaxGoals(W388,Y388,MaxGoalsValue),IF(W388="","",W388))</f>
        <v>0</v>
      </c>
      <c r="AC388" s="1460" t="str">
        <f>IF(MaxScore,"-",IF(W388="","","-"))</f>
        <v>-</v>
      </c>
      <c r="AD388" s="1459">
        <f>IF(MaxScore,MaxGoals(Y388,W388,MaxGoalsValue),IF(Y388="","",Y388))</f>
        <v>0</v>
      </c>
      <c r="AE388" s="964" t="str">
        <f>IF(W388="","",IF(W388&gt;Y388,V388,IF(W388=Y388,"",Z388)))</f>
        <v/>
      </c>
      <c r="AF388" s="964" t="str">
        <f>IF(W388="","",IF(W388=Y388,V388,""))</f>
        <v/>
      </c>
      <c r="AG388" s="964" t="str">
        <f>IF(W388="","",IF(W388=Y388,Z388,""))</f>
        <v/>
      </c>
      <c r="AH388" s="964" t="str">
        <f>IF(W388="","",IF(W388&lt;Y388,V388,IF(W388=Y388,"",Z388)))</f>
        <v/>
      </c>
      <c r="AI388" s="964" t="str">
        <f>CONCATENATE(AE388,AH388)</f>
        <v/>
      </c>
      <c r="AJ388" s="964"/>
      <c r="AK388" s="964"/>
      <c r="AL388"/>
      <c r="AM388"/>
      <c r="AN388"/>
      <c r="AO388"/>
      <c r="AP388"/>
      <c r="AQ388"/>
      <c r="AR388"/>
      <c r="AS388"/>
      <c r="AT388"/>
      <c r="AU388"/>
      <c r="AV388"/>
      <c r="AW388"/>
      <c r="AX388" s="9"/>
      <c r="AY388"/>
      <c r="AZ388"/>
      <c r="BA388"/>
      <c r="BB388"/>
      <c r="BC388"/>
      <c r="BD388"/>
      <c r="BE388"/>
      <c r="BF388"/>
      <c r="BG388"/>
      <c r="BH388"/>
      <c r="BI388"/>
      <c r="BJ388"/>
      <c r="BK388"/>
      <c r="BL388"/>
      <c r="BM388"/>
      <c r="BN388"/>
      <c r="BO388"/>
      <c r="BP388"/>
      <c r="BQ388"/>
      <c r="BR388"/>
      <c r="BS388"/>
      <c r="BT388"/>
      <c r="BU388"/>
      <c r="BV388"/>
      <c r="BW388"/>
      <c r="BX388"/>
      <c r="BY388"/>
      <c r="BZ388"/>
      <c r="CA388" s="1396"/>
      <c r="CB388" s="1396"/>
      <c r="CC388"/>
      <c r="CD388"/>
      <c r="CE388"/>
    </row>
    <row r="389" spans="1:83" ht="13.9" customHeight="1" outlineLevel="2" thickBot="1" x14ac:dyDescent="0.25">
      <c r="A389"/>
      <c r="B389" s="1"/>
      <c r="C389"/>
      <c r="D389"/>
      <c r="E389"/>
      <c r="F389"/>
      <c r="G389" s="1"/>
      <c r="H389" s="1"/>
      <c r="I389"/>
      <c r="J389"/>
      <c r="K389"/>
      <c r="L389"/>
      <c r="M389"/>
      <c r="N389"/>
      <c r="O389"/>
      <c r="P389"/>
      <c r="Q389"/>
      <c r="R389" s="558" t="s">
        <v>1731</v>
      </c>
      <c r="S389" s="956"/>
      <c r="T389" s="58"/>
      <c r="U389" s="957"/>
      <c r="V389" s="43" t="str">
        <f>Z381</f>
        <v>B</v>
      </c>
      <c r="W389" s="10"/>
      <c r="X389" s="45" t="s">
        <v>769</v>
      </c>
      <c r="Y389" s="10"/>
      <c r="Z389" s="46" t="str">
        <f>Z382</f>
        <v>D</v>
      </c>
      <c r="AA389" s="123"/>
      <c r="AB389" s="1459">
        <f>IF(MaxScore,MaxGoals(W389,Y389,MaxGoalsValue),IF(W389="","",W389))</f>
        <v>0</v>
      </c>
      <c r="AC389" s="1460" t="str">
        <f>IF(MaxScore,"-",IF(W389="","","-"))</f>
        <v>-</v>
      </c>
      <c r="AD389" s="1459">
        <f>IF(MaxScore,MaxGoals(Y389,W389,MaxGoalsValue),IF(Y389="","",Y389))</f>
        <v>0</v>
      </c>
      <c r="AE389" s="964" t="str">
        <f>IF(W389="","",IF(W389&gt;Y389,V389,IF(W389=Y389,"",Z389)))</f>
        <v/>
      </c>
      <c r="AF389" s="964" t="str">
        <f>IF(W389="","",IF(W389=Y389,V389,""))</f>
        <v/>
      </c>
      <c r="AG389" s="964" t="str">
        <f>IF(W389="","",IF(W389=Y389,Z389,""))</f>
        <v/>
      </c>
      <c r="AH389" s="964" t="str">
        <f>IF(W389="","",IF(W389&lt;Y389,V389,IF(W389=Y389,"",Z389)))</f>
        <v/>
      </c>
      <c r="AI389" s="964" t="str">
        <f>CONCATENATE(AE389,AH389)</f>
        <v/>
      </c>
      <c r="AJ389" s="964"/>
      <c r="AK389" s="964"/>
      <c r="AL389"/>
      <c r="AM389"/>
      <c r="AN389"/>
      <c r="AO389"/>
      <c r="AP389"/>
      <c r="AQ389"/>
      <c r="AR389"/>
      <c r="AS389"/>
      <c r="AT389"/>
      <c r="AU389"/>
      <c r="AV389"/>
      <c r="AW389" s="9"/>
      <c r="AX389" s="9"/>
      <c r="AY389"/>
      <c r="AZ389"/>
      <c r="BA389"/>
      <c r="BB389"/>
      <c r="BC389"/>
      <c r="BD389"/>
      <c r="BE389"/>
      <c r="BF389"/>
      <c r="BG389"/>
      <c r="BH389"/>
      <c r="BI389"/>
      <c r="BJ389"/>
      <c r="BK389"/>
      <c r="BL389"/>
      <c r="BM389"/>
      <c r="BN389"/>
      <c r="BO389"/>
      <c r="BP389"/>
      <c r="BQ389"/>
      <c r="BR389"/>
      <c r="BS389"/>
      <c r="BT389"/>
      <c r="BU389"/>
      <c r="BV389"/>
      <c r="BW389"/>
      <c r="BX389"/>
      <c r="BY389"/>
      <c r="BZ389"/>
      <c r="CA389" s="1396"/>
      <c r="CB389" s="1396"/>
      <c r="CC389"/>
      <c r="CD389"/>
      <c r="CE389"/>
    </row>
    <row r="390" spans="1:83" ht="13.5" outlineLevel="1" thickBot="1" x14ac:dyDescent="0.25">
      <c r="A390"/>
      <c r="B390" s="1"/>
      <c r="C390" s="1"/>
      <c r="D390" s="76"/>
      <c r="E390" s="76"/>
      <c r="F390" s="76"/>
      <c r="G390" s="9"/>
      <c r="H390" s="9"/>
      <c r="I390" s="1"/>
      <c r="J390"/>
      <c r="K390"/>
      <c r="L390"/>
      <c r="M390"/>
      <c r="N390"/>
      <c r="O390"/>
      <c r="P390" s="89"/>
      <c r="Q390"/>
      <c r="R390" s="1"/>
      <c r="S390" s="993">
        <f>S383+1</f>
        <v>7</v>
      </c>
      <c r="T390" s="961"/>
      <c r="U390" s="961"/>
      <c r="V390" s="961"/>
      <c r="W390" s="960"/>
      <c r="X390" s="960"/>
      <c r="Y390" s="960"/>
      <c r="Z390" s="962"/>
      <c r="AA390" s="123"/>
      <c r="AB390" s="963"/>
      <c r="AC390" s="963"/>
      <c r="AD390" s="963"/>
      <c r="AE390" s="964"/>
      <c r="AF390" s="964"/>
      <c r="AG390" s="964"/>
      <c r="AH390" s="964"/>
      <c r="AI390" s="964"/>
      <c r="AJ390" s="964"/>
      <c r="AK390" s="964"/>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s="1396"/>
      <c r="CB390" s="1396"/>
      <c r="CC390"/>
      <c r="CD390"/>
      <c r="CE390"/>
    </row>
    <row r="391" spans="1:83" ht="13.9" customHeight="1" outlineLevel="2" x14ac:dyDescent="0.2">
      <c r="A391"/>
      <c r="B391" s="1"/>
      <c r="C391"/>
      <c r="D391"/>
      <c r="E391"/>
      <c r="F391"/>
      <c r="G391" s="1"/>
      <c r="H391" s="1"/>
      <c r="I391"/>
      <c r="J391"/>
      <c r="K391"/>
      <c r="L391"/>
      <c r="M391"/>
      <c r="N391"/>
      <c r="O391"/>
      <c r="P391"/>
      <c r="Q391"/>
      <c r="S391" s="22" t="str">
        <f>N_Heure</f>
        <v>Heure</v>
      </c>
      <c r="T391" s="22" t="str">
        <f>N_Table</f>
        <v>Table</v>
      </c>
      <c r="U391" s="22" t="str">
        <f>N_Arbitre</f>
        <v>Arbitre</v>
      </c>
      <c r="V391" s="293" t="str">
        <f>N_Matches</f>
        <v>Matches</v>
      </c>
      <c r="W391" s="294"/>
      <c r="X391" s="294"/>
      <c r="Y391" s="294"/>
      <c r="Z391" s="295"/>
      <c r="AA391" s="8"/>
      <c r="AB391" s="967"/>
      <c r="AC391" s="967"/>
      <c r="AD391" s="967"/>
      <c r="AE391" s="964"/>
      <c r="AF391" s="964"/>
      <c r="AG391" s="964"/>
      <c r="AH391" s="964"/>
      <c r="AI391" s="964"/>
      <c r="AJ391" s="964"/>
      <c r="AK391" s="964"/>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s="1396"/>
      <c r="CB391" s="1396"/>
      <c r="CC391"/>
      <c r="CD391"/>
      <c r="CE391"/>
    </row>
    <row r="392" spans="1:83" ht="13.15" customHeight="1" outlineLevel="2" x14ac:dyDescent="0.2">
      <c r="A392"/>
      <c r="B392" s="1"/>
      <c r="C392"/>
      <c r="D392"/>
      <c r="E392"/>
      <c r="F392"/>
      <c r="G392" s="1"/>
      <c r="H392" s="1"/>
      <c r="I392"/>
      <c r="J392"/>
      <c r="K392"/>
      <c r="L392"/>
      <c r="M392"/>
      <c r="N392"/>
      <c r="O392"/>
      <c r="P392"/>
      <c r="Q392"/>
      <c r="R392" s="558" t="s">
        <v>1740</v>
      </c>
      <c r="S392" s="83"/>
      <c r="T392" s="56"/>
      <c r="U392" s="955"/>
      <c r="V392" s="43" t="str">
        <f>Z386</f>
        <v>J</v>
      </c>
      <c r="W392" s="10"/>
      <c r="X392" s="45" t="s">
        <v>769</v>
      </c>
      <c r="Y392" s="10"/>
      <c r="Z392" s="46" t="str">
        <f>V385</f>
        <v>K</v>
      </c>
      <c r="AA392" s="123"/>
      <c r="AB392" s="1459">
        <f>IF(MaxScore,MaxGoals(W392,Y392,MaxGoalsValue),IF(W392="","",W392))</f>
        <v>0</v>
      </c>
      <c r="AC392" s="1460" t="str">
        <f>IF(MaxScore,"-",IF(W392="","","-"))</f>
        <v>-</v>
      </c>
      <c r="AD392" s="1459">
        <f>IF(MaxScore,MaxGoals(Y392,W392,MaxGoalsValue),IF(Y392="","",Y392))</f>
        <v>0</v>
      </c>
      <c r="AE392" s="964" t="str">
        <f>IF(W392="","",IF(W392&gt;Y392,V392,IF(W392=Y392,"",Z392)))</f>
        <v/>
      </c>
      <c r="AF392" s="964" t="str">
        <f>IF(W392="","",IF(W392=Y392,V392,""))</f>
        <v/>
      </c>
      <c r="AG392" s="964" t="str">
        <f>IF(W392="","",IF(W392=Y392,Z392,""))</f>
        <v/>
      </c>
      <c r="AH392" s="964" t="str">
        <f>IF(W392="","",IF(W392&lt;Y392,V392,IF(W392=Y392,"",Z392)))</f>
        <v/>
      </c>
      <c r="AI392" s="964" t="str">
        <f>CONCATENATE(AE392,AH392)</f>
        <v/>
      </c>
      <c r="AJ392" s="964"/>
      <c r="AK392" s="964"/>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s="1396"/>
      <c r="CB392" s="1396"/>
      <c r="CC392"/>
      <c r="CD392"/>
      <c r="CE392"/>
    </row>
    <row r="393" spans="1:83" ht="13.15" customHeight="1" outlineLevel="2" x14ac:dyDescent="0.2">
      <c r="A393"/>
      <c r="B393" s="1"/>
      <c r="C393"/>
      <c r="D393"/>
      <c r="E393"/>
      <c r="F393"/>
      <c r="G393" s="1"/>
      <c r="H393" s="1"/>
      <c r="I393"/>
      <c r="J393"/>
      <c r="K393"/>
      <c r="L393"/>
      <c r="M393"/>
      <c r="N393"/>
      <c r="O393"/>
      <c r="P393"/>
      <c r="Q393"/>
      <c r="R393" s="558" t="s">
        <v>1740</v>
      </c>
      <c r="S393" s="83"/>
      <c r="T393" s="56"/>
      <c r="U393" s="955"/>
      <c r="V393" s="43" t="str">
        <f>Z387</f>
        <v>H</v>
      </c>
      <c r="W393" s="10"/>
      <c r="X393" s="45" t="s">
        <v>769</v>
      </c>
      <c r="Y393" s="10"/>
      <c r="Z393" s="46" t="str">
        <f>Z378</f>
        <v>I</v>
      </c>
      <c r="AA393" s="123"/>
      <c r="AB393" s="1459">
        <f>IF(MaxScore,MaxGoals(W393,Y393,MaxGoalsValue),IF(W393="","",W393))</f>
        <v>0</v>
      </c>
      <c r="AC393" s="1460" t="str">
        <f>IF(MaxScore,"-",IF(W393="","","-"))</f>
        <v>-</v>
      </c>
      <c r="AD393" s="1459">
        <f>IF(MaxScore,MaxGoals(Y393,W393,MaxGoalsValue),IF(Y393="","",Y393))</f>
        <v>0</v>
      </c>
      <c r="AE393" s="964" t="str">
        <f>IF(W393="","",IF(W393&gt;Y393,V393,IF(W393=Y393,"",Z393)))</f>
        <v/>
      </c>
      <c r="AF393" s="964" t="str">
        <f>IF(W393="","",IF(W393=Y393,V393,""))</f>
        <v/>
      </c>
      <c r="AG393" s="964" t="str">
        <f>IF(W393="","",IF(W393=Y393,Z393,""))</f>
        <v/>
      </c>
      <c r="AH393" s="964" t="str">
        <f>IF(W393="","",IF(W393&lt;Y393,V393,IF(W393=Y393,"",Z393)))</f>
        <v/>
      </c>
      <c r="AI393" s="964" t="str">
        <f>CONCATENATE(AE393,AH393)</f>
        <v/>
      </c>
      <c r="AJ393" s="964"/>
      <c r="AK393" s="964"/>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s="1396"/>
      <c r="CB393" s="1396"/>
      <c r="CC393"/>
      <c r="CD393"/>
      <c r="CE393"/>
    </row>
    <row r="394" spans="1:83" ht="13.15" customHeight="1" outlineLevel="2" x14ac:dyDescent="0.2">
      <c r="A394"/>
      <c r="B394" s="1"/>
      <c r="C394"/>
      <c r="D394"/>
      <c r="E394"/>
      <c r="F394"/>
      <c r="G394" s="1"/>
      <c r="H394" s="1"/>
      <c r="I394"/>
      <c r="J394"/>
      <c r="K394"/>
      <c r="L394"/>
      <c r="M394"/>
      <c r="N394"/>
      <c r="O394"/>
      <c r="P394"/>
      <c r="Q394"/>
      <c r="R394" s="558" t="s">
        <v>1740</v>
      </c>
      <c r="S394" s="83"/>
      <c r="T394" s="56"/>
      <c r="U394" s="955"/>
      <c r="V394" s="43" t="str">
        <f>Z388</f>
        <v>F</v>
      </c>
      <c r="W394" s="10"/>
      <c r="X394" s="45" t="s">
        <v>769</v>
      </c>
      <c r="Y394" s="10"/>
      <c r="Z394" s="46" t="str">
        <f>V386</f>
        <v>G</v>
      </c>
      <c r="AA394" s="123"/>
      <c r="AB394" s="1459">
        <f>IF(MaxScore,MaxGoals(W394,Y394,MaxGoalsValue),IF(W394="","",W394))</f>
        <v>0</v>
      </c>
      <c r="AC394" s="1460" t="str">
        <f>IF(MaxScore,"-",IF(W394="","","-"))</f>
        <v>-</v>
      </c>
      <c r="AD394" s="1459">
        <f>IF(MaxScore,MaxGoals(Y394,W394,MaxGoalsValue),IF(Y394="","",Y394))</f>
        <v>0</v>
      </c>
      <c r="AE394" s="964" t="str">
        <f>IF(W394="","",IF(W394&gt;Y394,V394,IF(W394=Y394,"",Z394)))</f>
        <v/>
      </c>
      <c r="AF394" s="964" t="str">
        <f>IF(W394="","",IF(W394=Y394,V394,""))</f>
        <v/>
      </c>
      <c r="AG394" s="964" t="str">
        <f>IF(W394="","",IF(W394=Y394,Z394,""))</f>
        <v/>
      </c>
      <c r="AH394" s="964" t="str">
        <f>IF(W394="","",IF(W394&lt;Y394,V394,IF(W394=Y394,"",Z394)))</f>
        <v/>
      </c>
      <c r="AI394" s="964" t="str">
        <f>CONCATENATE(AE394,AH394)</f>
        <v/>
      </c>
      <c r="AJ394" s="964"/>
      <c r="AK394" s="96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s="1396"/>
      <c r="CB394" s="1396"/>
      <c r="CC394"/>
      <c r="CD394"/>
      <c r="CE394"/>
    </row>
    <row r="395" spans="1:83" ht="13.15" customHeight="1" outlineLevel="2" x14ac:dyDescent="0.2">
      <c r="A395"/>
      <c r="B395" s="1"/>
      <c r="C395"/>
      <c r="D395"/>
      <c r="E395"/>
      <c r="F395"/>
      <c r="G395" s="1"/>
      <c r="H395" s="1"/>
      <c r="I395"/>
      <c r="J395"/>
      <c r="K395"/>
      <c r="L395"/>
      <c r="M395"/>
      <c r="N395"/>
      <c r="O395"/>
      <c r="P395"/>
      <c r="Q395"/>
      <c r="R395" s="558" t="s">
        <v>1740</v>
      </c>
      <c r="S395" s="83"/>
      <c r="T395" s="56"/>
      <c r="U395" s="955"/>
      <c r="V395" s="43" t="str">
        <f>Z389</f>
        <v>D</v>
      </c>
      <c r="W395" s="10"/>
      <c r="X395" s="45" t="s">
        <v>769</v>
      </c>
      <c r="Y395" s="10"/>
      <c r="Z395" s="46" t="str">
        <f>V387</f>
        <v>E</v>
      </c>
      <c r="AA395" s="123"/>
      <c r="AB395" s="1459">
        <f>IF(MaxScore,MaxGoals(W395,Y395,MaxGoalsValue),IF(W395="","",W395))</f>
        <v>0</v>
      </c>
      <c r="AC395" s="1460" t="str">
        <f>IF(MaxScore,"-",IF(W395="","","-"))</f>
        <v>-</v>
      </c>
      <c r="AD395" s="1459">
        <f>IF(MaxScore,MaxGoals(Y395,W395,MaxGoalsValue),IF(Y395="","",Y395))</f>
        <v>0</v>
      </c>
      <c r="AE395" s="964" t="str">
        <f>IF(W395="","",IF(W395&gt;Y395,V395,IF(W395=Y395,"",Z395)))</f>
        <v/>
      </c>
      <c r="AF395" s="964" t="str">
        <f>IF(W395="","",IF(W395=Y395,V395,""))</f>
        <v/>
      </c>
      <c r="AG395" s="964" t="str">
        <f>IF(W395="","",IF(W395=Y395,Z395,""))</f>
        <v/>
      </c>
      <c r="AH395" s="964" t="str">
        <f>IF(W395="","",IF(W395&lt;Y395,V395,IF(W395=Y395,"",Z395)))</f>
        <v/>
      </c>
      <c r="AI395" s="964" t="str">
        <f>CONCATENATE(AE395,AH395)</f>
        <v/>
      </c>
      <c r="AJ395" s="964"/>
      <c r="AK395" s="964"/>
      <c r="AL395"/>
      <c r="AM395"/>
      <c r="AN395"/>
      <c r="AO395"/>
      <c r="AP395"/>
      <c r="AQ395"/>
      <c r="AR395"/>
      <c r="AS395"/>
      <c r="AT395"/>
      <c r="AU395"/>
      <c r="AV395"/>
      <c r="AW395"/>
      <c r="AX395" s="9"/>
      <c r="AY395"/>
      <c r="AZ395"/>
      <c r="BA395"/>
      <c r="BB395"/>
      <c r="BC395"/>
      <c r="BD395"/>
      <c r="BE395"/>
      <c r="BF395"/>
      <c r="BG395"/>
      <c r="BH395"/>
      <c r="BI395"/>
      <c r="BJ395"/>
      <c r="BK395"/>
      <c r="BL395"/>
      <c r="BM395"/>
      <c r="BN395"/>
      <c r="BO395"/>
      <c r="BP395"/>
      <c r="BQ395"/>
      <c r="BR395"/>
      <c r="BS395"/>
      <c r="BT395"/>
      <c r="BU395"/>
      <c r="BV395"/>
      <c r="BW395"/>
      <c r="BX395"/>
      <c r="BY395"/>
      <c r="BZ395"/>
      <c r="CA395" s="1396"/>
      <c r="CB395" s="1396"/>
      <c r="CC395"/>
      <c r="CD395"/>
      <c r="CE395"/>
    </row>
    <row r="396" spans="1:83" ht="13.9" customHeight="1" outlineLevel="2" thickBot="1" x14ac:dyDescent="0.25">
      <c r="A396"/>
      <c r="B396" s="1"/>
      <c r="C396"/>
      <c r="D396"/>
      <c r="E396"/>
      <c r="F396"/>
      <c r="G396" s="1"/>
      <c r="H396" s="1"/>
      <c r="I396"/>
      <c r="J396"/>
      <c r="K396"/>
      <c r="L396"/>
      <c r="M396"/>
      <c r="N396"/>
      <c r="O396"/>
      <c r="P396"/>
      <c r="Q396"/>
      <c r="R396" s="558" t="s">
        <v>1740</v>
      </c>
      <c r="S396" s="956"/>
      <c r="T396" s="58"/>
      <c r="U396" s="957"/>
      <c r="V396" s="958" t="str">
        <f>V389</f>
        <v>B</v>
      </c>
      <c r="W396" s="10"/>
      <c r="X396" s="45" t="s">
        <v>769</v>
      </c>
      <c r="Y396" s="10"/>
      <c r="Z396" s="46" t="str">
        <f>V388</f>
        <v>C</v>
      </c>
      <c r="AA396" s="123"/>
      <c r="AB396" s="1459">
        <f>IF(MaxScore,MaxGoals(W396,Y396,MaxGoalsValue),IF(W396="","",W396))</f>
        <v>0</v>
      </c>
      <c r="AC396" s="1460" t="str">
        <f>IF(MaxScore,"-",IF(W396="","","-"))</f>
        <v>-</v>
      </c>
      <c r="AD396" s="1459">
        <f>IF(MaxScore,MaxGoals(Y396,W396,MaxGoalsValue),IF(Y396="","",Y396))</f>
        <v>0</v>
      </c>
      <c r="AE396" s="964" t="str">
        <f>IF(W396="","",IF(W396&gt;Y396,V396,IF(W396=Y396,"",Z396)))</f>
        <v/>
      </c>
      <c r="AF396" s="964" t="str">
        <f>IF(W396="","",IF(W396=Y396,V396,""))</f>
        <v/>
      </c>
      <c r="AG396" s="964" t="str">
        <f>IF(W396="","",IF(W396=Y396,Z396,""))</f>
        <v/>
      </c>
      <c r="AH396" s="964" t="str">
        <f>IF(W396="","",IF(W396&lt;Y396,V396,IF(W396=Y396,"",Z396)))</f>
        <v/>
      </c>
      <c r="AI396" s="964" t="str">
        <f>CONCATENATE(AE396,AH396)</f>
        <v/>
      </c>
      <c r="AJ396" s="964"/>
      <c r="AK396" s="964"/>
      <c r="AL396"/>
      <c r="AM396"/>
      <c r="AN396"/>
      <c r="AO396"/>
      <c r="AP396"/>
      <c r="AQ396"/>
      <c r="AR396"/>
      <c r="AS396"/>
      <c r="AT396"/>
      <c r="AU396"/>
      <c r="AV396"/>
      <c r="AW396" s="9"/>
      <c r="AX396" s="9"/>
      <c r="AY396"/>
      <c r="AZ396"/>
      <c r="BA396"/>
      <c r="BB396"/>
      <c r="BC396"/>
      <c r="BD396"/>
      <c r="BE396"/>
      <c r="BF396"/>
      <c r="BG396"/>
      <c r="BH396"/>
      <c r="BI396"/>
      <c r="BJ396"/>
      <c r="BK396"/>
      <c r="BL396"/>
      <c r="BM396"/>
      <c r="BN396"/>
      <c r="BO396"/>
      <c r="BP396"/>
      <c r="BQ396"/>
      <c r="BR396"/>
      <c r="BS396"/>
      <c r="BT396"/>
      <c r="BU396"/>
      <c r="BV396"/>
      <c r="BW396"/>
      <c r="BX396"/>
      <c r="BY396"/>
      <c r="BZ396"/>
      <c r="CA396" s="1396"/>
      <c r="CB396" s="1396"/>
      <c r="CC396"/>
      <c r="CD396"/>
      <c r="CE396"/>
    </row>
    <row r="397" spans="1:83" ht="13.5" outlineLevel="1" thickBot="1" x14ac:dyDescent="0.25">
      <c r="A397"/>
      <c r="B397" s="1"/>
      <c r="C397" s="1"/>
      <c r="D397" s="76"/>
      <c r="E397" s="76"/>
      <c r="F397" s="76"/>
      <c r="G397" s="9"/>
      <c r="H397" s="9"/>
      <c r="I397" s="1"/>
      <c r="J397"/>
      <c r="K397"/>
      <c r="L397"/>
      <c r="M397"/>
      <c r="N397"/>
      <c r="O397"/>
      <c r="P397" s="89"/>
      <c r="Q397"/>
      <c r="R397" s="1"/>
      <c r="S397" s="993">
        <f>S390+1</f>
        <v>8</v>
      </c>
      <c r="T397" s="961"/>
      <c r="U397" s="961"/>
      <c r="V397" s="961"/>
      <c r="W397" s="960"/>
      <c r="X397" s="960"/>
      <c r="Y397" s="960"/>
      <c r="Z397" s="962"/>
      <c r="AA397" s="123"/>
      <c r="AB397" s="963"/>
      <c r="AC397" s="963"/>
      <c r="AD397" s="963"/>
      <c r="AE397" s="964"/>
      <c r="AF397" s="964"/>
      <c r="AG397" s="964"/>
      <c r="AH397" s="964"/>
      <c r="AI397" s="964"/>
      <c r="AJ397" s="964"/>
      <c r="AK397" s="964"/>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s="1396"/>
      <c r="CB397" s="1396"/>
      <c r="CC397"/>
      <c r="CD397"/>
      <c r="CE397"/>
    </row>
    <row r="398" spans="1:83" ht="13.9" customHeight="1" outlineLevel="2" thickBot="1" x14ac:dyDescent="0.25">
      <c r="A398"/>
      <c r="B398" s="1"/>
      <c r="C398"/>
      <c r="D398"/>
      <c r="E398"/>
      <c r="F398"/>
      <c r="G398" s="1"/>
      <c r="H398" s="1"/>
      <c r="I398"/>
      <c r="J398"/>
      <c r="K398"/>
      <c r="L398"/>
      <c r="M398"/>
      <c r="N398"/>
      <c r="O398"/>
      <c r="P398"/>
      <c r="Q398"/>
      <c r="S398" s="22" t="str">
        <f>N_Heure</f>
        <v>Heure</v>
      </c>
      <c r="T398" s="22" t="str">
        <f>N_Table</f>
        <v>Table</v>
      </c>
      <c r="U398" s="22" t="str">
        <f>N_Arbitre</f>
        <v>Arbitre</v>
      </c>
      <c r="V398" s="293" t="str">
        <f>N_Matches</f>
        <v>Matches</v>
      </c>
      <c r="W398" s="294"/>
      <c r="X398" s="294"/>
      <c r="Y398" s="294"/>
      <c r="Z398" s="295"/>
      <c r="AA398" s="8"/>
      <c r="AB398" s="967"/>
      <c r="AC398" s="967"/>
      <c r="AD398" s="967"/>
      <c r="AE398" s="964"/>
      <c r="AF398" s="964"/>
      <c r="AG398" s="964"/>
      <c r="AH398" s="964"/>
      <c r="AI398" s="964"/>
      <c r="AJ398" s="964"/>
      <c r="AK398" s="964"/>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s="1396"/>
      <c r="CB398" s="1396"/>
      <c r="CC398"/>
      <c r="CD398"/>
      <c r="CE398"/>
    </row>
    <row r="399" spans="1:83" ht="13.15" customHeight="1" outlineLevel="2" x14ac:dyDescent="0.2">
      <c r="A399"/>
      <c r="B399" s="1"/>
      <c r="C399"/>
      <c r="D399"/>
      <c r="E399"/>
      <c r="F399"/>
      <c r="G399" s="1"/>
      <c r="H399" s="1"/>
      <c r="I399"/>
      <c r="J399"/>
      <c r="K399"/>
      <c r="L399"/>
      <c r="M399"/>
      <c r="N399"/>
      <c r="O399"/>
      <c r="P399"/>
      <c r="Q399"/>
      <c r="R399" s="558" t="s">
        <v>930</v>
      </c>
      <c r="S399" s="83"/>
      <c r="T399" s="56"/>
      <c r="U399" s="955"/>
      <c r="V399" s="34" t="str">
        <f>V392</f>
        <v>J</v>
      </c>
      <c r="W399" s="148"/>
      <c r="X399" s="35" t="s">
        <v>769</v>
      </c>
      <c r="Y399" s="148"/>
      <c r="Z399" s="36" t="str">
        <f>Z385</f>
        <v>A</v>
      </c>
      <c r="AA399" s="123"/>
      <c r="AB399" s="1459">
        <f>IF(MaxScore,MaxGoals(W399,Y399,MaxGoalsValue),IF(W399="","",W399))</f>
        <v>0</v>
      </c>
      <c r="AC399" s="1460" t="str">
        <f>IF(MaxScore,"-",IF(W399="","","-"))</f>
        <v>-</v>
      </c>
      <c r="AD399" s="1459">
        <f>IF(MaxScore,MaxGoals(Y399,W399,MaxGoalsValue),IF(Y399="","",Y399))</f>
        <v>0</v>
      </c>
      <c r="AE399" s="964" t="str">
        <f>IF(W399="","",IF(W399&gt;Y399,V399,IF(W399=Y399,"",Z399)))</f>
        <v/>
      </c>
      <c r="AF399" s="964" t="str">
        <f>IF(W399="","",IF(W399=Y399,V399,""))</f>
        <v/>
      </c>
      <c r="AG399" s="964" t="str">
        <f>IF(W399="","",IF(W399=Y399,Z399,""))</f>
        <v/>
      </c>
      <c r="AH399" s="964" t="str">
        <f>IF(W399="","",IF(W399&lt;Y399,V399,IF(W399=Y399,"",Z399)))</f>
        <v/>
      </c>
      <c r="AI399" s="964" t="str">
        <f>CONCATENATE(AE399,AH399)</f>
        <v/>
      </c>
      <c r="AJ399" s="964"/>
      <c r="AK399" s="964"/>
      <c r="AL399"/>
      <c r="AM399"/>
      <c r="AN399"/>
      <c r="AO399"/>
      <c r="AP399"/>
      <c r="AQ399"/>
      <c r="AR399"/>
      <c r="AS399"/>
      <c r="AT399"/>
      <c r="AU399"/>
      <c r="AV399"/>
      <c r="AW399" s="9"/>
      <c r="AX399" s="9"/>
      <c r="AY399"/>
      <c r="AZ399"/>
      <c r="BA399"/>
      <c r="BB399"/>
      <c r="BC399"/>
      <c r="BD399"/>
      <c r="BE399"/>
      <c r="BF399"/>
      <c r="BG399"/>
      <c r="BH399"/>
      <c r="BI399"/>
      <c r="BJ399"/>
      <c r="BK399"/>
      <c r="BL399"/>
      <c r="BM399"/>
      <c r="BN399"/>
      <c r="BO399"/>
      <c r="BP399"/>
      <c r="BQ399"/>
      <c r="BR399"/>
      <c r="BS399"/>
      <c r="BT399"/>
      <c r="BU399"/>
      <c r="BV399"/>
      <c r="BW399"/>
      <c r="BX399"/>
      <c r="BY399"/>
      <c r="BZ399"/>
      <c r="CA399" s="1396"/>
      <c r="CB399" s="1396"/>
      <c r="CC399"/>
      <c r="CD399"/>
      <c r="CE399"/>
    </row>
    <row r="400" spans="1:83" ht="13.15" customHeight="1" outlineLevel="2" x14ac:dyDescent="0.2">
      <c r="A400"/>
      <c r="B400" s="1"/>
      <c r="C400"/>
      <c r="D400"/>
      <c r="E400"/>
      <c r="F400"/>
      <c r="G400" s="1"/>
      <c r="H400" s="1"/>
      <c r="I400"/>
      <c r="J400"/>
      <c r="K400"/>
      <c r="L400"/>
      <c r="M400"/>
      <c r="N400"/>
      <c r="O400"/>
      <c r="P400"/>
      <c r="Q400"/>
      <c r="R400" s="558" t="s">
        <v>930</v>
      </c>
      <c r="S400" s="83"/>
      <c r="T400" s="56"/>
      <c r="U400" s="955"/>
      <c r="V400" s="43" t="str">
        <f>Z392</f>
        <v>K</v>
      </c>
      <c r="W400" s="10"/>
      <c r="X400" s="45" t="s">
        <v>769</v>
      </c>
      <c r="Y400" s="10"/>
      <c r="Z400" s="46" t="str">
        <f>V394</f>
        <v>F</v>
      </c>
      <c r="AA400" s="123"/>
      <c r="AB400" s="1459">
        <f>IF(MaxScore,MaxGoals(W400,Y400,MaxGoalsValue),IF(W400="","",W400))</f>
        <v>0</v>
      </c>
      <c r="AC400" s="1460" t="str">
        <f>IF(MaxScore,"-",IF(W400="","","-"))</f>
        <v>-</v>
      </c>
      <c r="AD400" s="1459">
        <f>IF(MaxScore,MaxGoals(Y400,W400,MaxGoalsValue),IF(Y400="","",Y400))</f>
        <v>0</v>
      </c>
      <c r="AE400" s="964" t="str">
        <f>IF(W400="","",IF(W400&gt;Y400,V400,IF(W400=Y400,"",Z400)))</f>
        <v/>
      </c>
      <c r="AF400" s="964" t="str">
        <f>IF(W400="","",IF(W400=Y400,V400,""))</f>
        <v/>
      </c>
      <c r="AG400" s="964" t="str">
        <f>IF(W400="","",IF(W400=Y400,Z400,""))</f>
        <v/>
      </c>
      <c r="AH400" s="964" t="str">
        <f>IF(W400="","",IF(W400&lt;Y400,V400,IF(W400=Y400,"",Z400)))</f>
        <v/>
      </c>
      <c r="AI400" s="964" t="str">
        <f>CONCATENATE(AE400,AH400)</f>
        <v/>
      </c>
      <c r="AJ400" s="964"/>
      <c r="AK400" s="964"/>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s="1396"/>
      <c r="CB400" s="1396"/>
      <c r="CC400"/>
      <c r="CD400"/>
      <c r="CE400"/>
    </row>
    <row r="401" spans="1:83" ht="13.15" customHeight="1" outlineLevel="2" x14ac:dyDescent="0.2">
      <c r="A401"/>
      <c r="B401" s="1"/>
      <c r="C401"/>
      <c r="D401"/>
      <c r="E401"/>
      <c r="F401"/>
      <c r="G401" s="1"/>
      <c r="H401" s="1"/>
      <c r="I401"/>
      <c r="J401"/>
      <c r="K401"/>
      <c r="L401"/>
      <c r="M401"/>
      <c r="N401"/>
      <c r="O401"/>
      <c r="P401"/>
      <c r="Q401"/>
      <c r="R401" s="558" t="s">
        <v>930</v>
      </c>
      <c r="S401" s="83"/>
      <c r="T401" s="56"/>
      <c r="U401" s="955"/>
      <c r="V401" s="43" t="str">
        <f>Z393</f>
        <v>I</v>
      </c>
      <c r="W401" s="10"/>
      <c r="X401" s="45" t="s">
        <v>769</v>
      </c>
      <c r="Y401" s="10"/>
      <c r="Z401" s="46" t="str">
        <f>V395</f>
        <v>D</v>
      </c>
      <c r="AA401" s="123"/>
      <c r="AB401" s="1459">
        <f>IF(MaxScore,MaxGoals(W401,Y401,MaxGoalsValue),IF(W401="","",W401))</f>
        <v>0</v>
      </c>
      <c r="AC401" s="1460" t="str">
        <f>IF(MaxScore,"-",IF(W401="","","-"))</f>
        <v>-</v>
      </c>
      <c r="AD401" s="1459">
        <f>IF(MaxScore,MaxGoals(Y401,W401,MaxGoalsValue),IF(Y401="","",Y401))</f>
        <v>0</v>
      </c>
      <c r="AE401" s="964" t="str">
        <f>IF(W401="","",IF(W401&gt;Y401,V401,IF(W401=Y401,"",Z401)))</f>
        <v/>
      </c>
      <c r="AF401" s="964" t="str">
        <f>IF(W401="","",IF(W401=Y401,V401,""))</f>
        <v/>
      </c>
      <c r="AG401" s="964" t="str">
        <f>IF(W401="","",IF(W401=Y401,Z401,""))</f>
        <v/>
      </c>
      <c r="AH401" s="964" t="str">
        <f>IF(W401="","",IF(W401&lt;Y401,V401,IF(W401=Y401,"",Z401)))</f>
        <v/>
      </c>
      <c r="AI401" s="964" t="str">
        <f>CONCATENATE(AE401,AH401)</f>
        <v/>
      </c>
      <c r="AJ401" s="964"/>
      <c r="AK401" s="964"/>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s="1396"/>
      <c r="CB401" s="1396"/>
      <c r="CC401"/>
      <c r="CD401"/>
      <c r="CE401"/>
    </row>
    <row r="402" spans="1:83" ht="13.15" customHeight="1" outlineLevel="2" x14ac:dyDescent="0.2">
      <c r="A402"/>
      <c r="B402" s="1"/>
      <c r="C402"/>
      <c r="D402"/>
      <c r="E402"/>
      <c r="F402"/>
      <c r="G402" s="1"/>
      <c r="H402" s="1"/>
      <c r="I402"/>
      <c r="J402"/>
      <c r="K402"/>
      <c r="L402"/>
      <c r="M402"/>
      <c r="N402"/>
      <c r="O402"/>
      <c r="P402"/>
      <c r="Q402"/>
      <c r="R402" s="558" t="s">
        <v>930</v>
      </c>
      <c r="S402" s="83"/>
      <c r="T402" s="56"/>
      <c r="U402" s="955"/>
      <c r="V402" s="43" t="str">
        <f>Z394</f>
        <v>G</v>
      </c>
      <c r="W402" s="10"/>
      <c r="X402" s="45" t="s">
        <v>769</v>
      </c>
      <c r="Y402" s="10"/>
      <c r="Z402" s="46" t="str">
        <f>V396</f>
        <v>B</v>
      </c>
      <c r="AA402" s="123"/>
      <c r="AB402" s="1459">
        <f>IF(MaxScore,MaxGoals(W402,Y402,MaxGoalsValue),IF(W402="","",W402))</f>
        <v>0</v>
      </c>
      <c r="AC402" s="1460" t="str">
        <f>IF(MaxScore,"-",IF(W402="","","-"))</f>
        <v>-</v>
      </c>
      <c r="AD402" s="1459">
        <f>IF(MaxScore,MaxGoals(Y402,W402,MaxGoalsValue),IF(Y402="","",Y402))</f>
        <v>0</v>
      </c>
      <c r="AE402" s="964" t="str">
        <f>IF(W402="","",IF(W402&gt;Y402,V402,IF(W402=Y402,"",Z402)))</f>
        <v/>
      </c>
      <c r="AF402" s="964" t="str">
        <f>IF(W402="","",IF(W402=Y402,V402,""))</f>
        <v/>
      </c>
      <c r="AG402" s="964" t="str">
        <f>IF(W402="","",IF(W402=Y402,Z402,""))</f>
        <v/>
      </c>
      <c r="AH402" s="964" t="str">
        <f>IF(W402="","",IF(W402&lt;Y402,V402,IF(W402=Y402,"",Z402)))</f>
        <v/>
      </c>
      <c r="AI402" s="964" t="str">
        <f>CONCATENATE(AE402,AH402)</f>
        <v/>
      </c>
      <c r="AJ402" s="964"/>
      <c r="AK402" s="964"/>
      <c r="AL402"/>
      <c r="AM402"/>
      <c r="AN402"/>
      <c r="AO402"/>
      <c r="AP402"/>
      <c r="AQ402"/>
      <c r="AR402"/>
      <c r="AS402"/>
      <c r="AT402"/>
      <c r="AU402"/>
      <c r="AV402"/>
      <c r="AW402"/>
      <c r="AX402" s="9"/>
      <c r="AY402"/>
      <c r="AZ402"/>
      <c r="BA402"/>
      <c r="BB402"/>
      <c r="BC402"/>
      <c r="BD402"/>
      <c r="BE402"/>
      <c r="BF402"/>
      <c r="BG402"/>
      <c r="BH402"/>
      <c r="BI402"/>
      <c r="BJ402"/>
      <c r="BK402"/>
      <c r="BL402"/>
      <c r="BM402"/>
      <c r="BN402"/>
      <c r="BO402"/>
      <c r="BP402"/>
      <c r="BQ402"/>
      <c r="BR402"/>
      <c r="BS402"/>
      <c r="BT402"/>
      <c r="BU402"/>
      <c r="BV402"/>
      <c r="BW402"/>
      <c r="BX402"/>
      <c r="BY402"/>
      <c r="BZ402"/>
      <c r="CA402" s="1396"/>
      <c r="CB402" s="1396"/>
      <c r="CC402"/>
      <c r="CD402"/>
      <c r="CE402"/>
    </row>
    <row r="403" spans="1:83" ht="13.9" customHeight="1" outlineLevel="2" thickBot="1" x14ac:dyDescent="0.25">
      <c r="A403"/>
      <c r="B403" s="1"/>
      <c r="C403"/>
      <c r="D403"/>
      <c r="E403"/>
      <c r="F403"/>
      <c r="G403" s="1"/>
      <c r="H403" s="1"/>
      <c r="I403"/>
      <c r="J403"/>
      <c r="K403"/>
      <c r="L403"/>
      <c r="M403"/>
      <c r="N403"/>
      <c r="O403"/>
      <c r="P403"/>
      <c r="Q403"/>
      <c r="R403" s="558" t="s">
        <v>930</v>
      </c>
      <c r="S403" s="956"/>
      <c r="T403" s="58"/>
      <c r="U403" s="957"/>
      <c r="V403" s="43" t="str">
        <f>Z395</f>
        <v>E</v>
      </c>
      <c r="W403" s="10"/>
      <c r="X403" s="45" t="s">
        <v>769</v>
      </c>
      <c r="Y403" s="10"/>
      <c r="Z403" s="46" t="str">
        <f>Z396</f>
        <v>C</v>
      </c>
      <c r="AA403" s="123"/>
      <c r="AB403" s="1459">
        <f>IF(MaxScore,MaxGoals(W403,Y403,MaxGoalsValue),IF(W403="","",W403))</f>
        <v>0</v>
      </c>
      <c r="AC403" s="1460" t="str">
        <f>IF(MaxScore,"-",IF(W403="","","-"))</f>
        <v>-</v>
      </c>
      <c r="AD403" s="1459">
        <f>IF(MaxScore,MaxGoals(Y403,W403,MaxGoalsValue),IF(Y403="","",Y403))</f>
        <v>0</v>
      </c>
      <c r="AE403" s="964" t="str">
        <f>IF(W403="","",IF(W403&gt;Y403,V403,IF(W403=Y403,"",Z403)))</f>
        <v/>
      </c>
      <c r="AF403" s="964" t="str">
        <f>IF(W403="","",IF(W403=Y403,V403,""))</f>
        <v/>
      </c>
      <c r="AG403" s="964" t="str">
        <f>IF(W403="","",IF(W403=Y403,Z403,""))</f>
        <v/>
      </c>
      <c r="AH403" s="964" t="str">
        <f>IF(W403="","",IF(W403&lt;Y403,V403,IF(W403=Y403,"",Z403)))</f>
        <v/>
      </c>
      <c r="AI403" s="964" t="str">
        <f>CONCATENATE(AE403,AH403)</f>
        <v/>
      </c>
      <c r="AJ403" s="964"/>
      <c r="AK403" s="964"/>
      <c r="AL403"/>
      <c r="AM403"/>
      <c r="AN403"/>
      <c r="AO403"/>
      <c r="AP403"/>
      <c r="AQ403"/>
      <c r="AR403"/>
      <c r="AS403"/>
      <c r="AT403"/>
      <c r="AU403"/>
      <c r="AV403"/>
      <c r="AW403" s="9"/>
      <c r="AX403" s="9"/>
      <c r="AY403"/>
      <c r="AZ403"/>
      <c r="BA403"/>
      <c r="BB403"/>
      <c r="BC403"/>
      <c r="BD403"/>
      <c r="BE403"/>
      <c r="BF403"/>
      <c r="BG403"/>
      <c r="BH403"/>
      <c r="BI403"/>
      <c r="BJ403"/>
      <c r="BK403"/>
      <c r="BL403"/>
      <c r="BM403"/>
      <c r="BN403"/>
      <c r="BO403"/>
      <c r="BP403"/>
      <c r="BQ403"/>
      <c r="BR403"/>
      <c r="BS403"/>
      <c r="BT403"/>
      <c r="BU403"/>
      <c r="BV403"/>
      <c r="BW403"/>
      <c r="BX403"/>
      <c r="BY403"/>
      <c r="BZ403"/>
      <c r="CA403" s="1396"/>
      <c r="CB403" s="1396"/>
      <c r="CC403"/>
      <c r="CD403"/>
      <c r="CE403"/>
    </row>
    <row r="404" spans="1:83" ht="13.5" outlineLevel="1" thickBot="1" x14ac:dyDescent="0.25">
      <c r="A404"/>
      <c r="B404" s="1"/>
      <c r="C404" s="1"/>
      <c r="D404" s="76"/>
      <c r="E404" s="76"/>
      <c r="F404" s="76"/>
      <c r="G404" s="9"/>
      <c r="H404" s="9"/>
      <c r="I404" s="1"/>
      <c r="J404"/>
      <c r="K404"/>
      <c r="L404"/>
      <c r="M404"/>
      <c r="N404"/>
      <c r="O404"/>
      <c r="P404" s="89"/>
      <c r="Q404"/>
      <c r="R404" s="1"/>
      <c r="S404" s="993">
        <f>S397+1</f>
        <v>9</v>
      </c>
      <c r="T404" s="961"/>
      <c r="U404" s="961"/>
      <c r="V404" s="961"/>
      <c r="W404" s="960"/>
      <c r="X404" s="960"/>
      <c r="Y404" s="960"/>
      <c r="Z404" s="962"/>
      <c r="AA404" s="123"/>
      <c r="AB404" s="963"/>
      <c r="AC404" s="963"/>
      <c r="AD404" s="963"/>
      <c r="AE404" s="964"/>
      <c r="AF404" s="964"/>
      <c r="AG404" s="964"/>
      <c r="AH404" s="964"/>
      <c r="AI404" s="964"/>
      <c r="AJ404" s="964"/>
      <c r="AK404" s="96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s="1396"/>
      <c r="CB404" s="1396"/>
      <c r="CC404"/>
      <c r="CD404"/>
      <c r="CE404"/>
    </row>
    <row r="405" spans="1:83" ht="13.9" customHeight="1" outlineLevel="2" thickBot="1" x14ac:dyDescent="0.25">
      <c r="A405"/>
      <c r="B405" s="1"/>
      <c r="C405"/>
      <c r="D405"/>
      <c r="E405"/>
      <c r="F405"/>
      <c r="G405" s="1"/>
      <c r="H405" s="1"/>
      <c r="I405"/>
      <c r="J405"/>
      <c r="K405"/>
      <c r="L405"/>
      <c r="M405"/>
      <c r="N405"/>
      <c r="O405"/>
      <c r="P405"/>
      <c r="Q405"/>
      <c r="S405" s="22" t="str">
        <f>N_Heure</f>
        <v>Heure</v>
      </c>
      <c r="T405" s="22" t="str">
        <f>N_Table</f>
        <v>Table</v>
      </c>
      <c r="U405" s="22" t="str">
        <f>N_Arbitre</f>
        <v>Arbitre</v>
      </c>
      <c r="V405" s="293" t="str">
        <f>N_Matches</f>
        <v>Matches</v>
      </c>
      <c r="W405" s="294"/>
      <c r="X405" s="294"/>
      <c r="Y405" s="294"/>
      <c r="Z405" s="295"/>
      <c r="AA405" s="8"/>
      <c r="AB405" s="967"/>
      <c r="AC405" s="967"/>
      <c r="AD405" s="967"/>
      <c r="AE405" s="964"/>
      <c r="AF405" s="964"/>
      <c r="AG405" s="964"/>
      <c r="AH405" s="964"/>
      <c r="AI405" s="964"/>
      <c r="AJ405" s="964"/>
      <c r="AK405" s="964"/>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s="1396"/>
      <c r="CB405" s="1396"/>
      <c r="CC405"/>
      <c r="CD405"/>
      <c r="CE405"/>
    </row>
    <row r="406" spans="1:83" ht="13.15" customHeight="1" outlineLevel="2" x14ac:dyDescent="0.2">
      <c r="A406"/>
      <c r="B406" s="1"/>
      <c r="C406"/>
      <c r="D406"/>
      <c r="E406"/>
      <c r="F406"/>
      <c r="G406" s="1"/>
      <c r="H406" s="1"/>
      <c r="I406"/>
      <c r="J406"/>
      <c r="K406"/>
      <c r="L406"/>
      <c r="M406"/>
      <c r="N406"/>
      <c r="O406"/>
      <c r="P406"/>
      <c r="Q406"/>
      <c r="R406" s="558" t="s">
        <v>3971</v>
      </c>
      <c r="S406" s="83"/>
      <c r="T406" s="56"/>
      <c r="U406" s="955"/>
      <c r="V406" s="34" t="str">
        <f>Z399</f>
        <v>A</v>
      </c>
      <c r="W406" s="148"/>
      <c r="X406" s="35" t="s">
        <v>769</v>
      </c>
      <c r="Y406" s="148"/>
      <c r="Z406" s="36" t="str">
        <f>V393</f>
        <v>H</v>
      </c>
      <c r="AA406" s="123"/>
      <c r="AB406" s="1459">
        <f>IF(MaxScore,MaxGoals(W406,Y406,MaxGoalsValue),IF(W406="","",W406))</f>
        <v>0</v>
      </c>
      <c r="AC406" s="1460" t="str">
        <f>IF(MaxScore,"-",IF(W406="","","-"))</f>
        <v>-</v>
      </c>
      <c r="AD406" s="1459">
        <f>IF(MaxScore,MaxGoals(Y406,W406,MaxGoalsValue),IF(Y406="","",Y406))</f>
        <v>0</v>
      </c>
      <c r="AE406" s="964" t="str">
        <f>IF(W406="","",IF(W406&gt;Y406,V406,IF(W406=Y406,"",Z406)))</f>
        <v/>
      </c>
      <c r="AF406" s="964" t="str">
        <f>IF(W406="","",IF(W406=Y406,V406,""))</f>
        <v/>
      </c>
      <c r="AG406" s="964" t="str">
        <f>IF(W406="","",IF(W406=Y406,Z406,""))</f>
        <v/>
      </c>
      <c r="AH406" s="964" t="str">
        <f>IF(W406="","",IF(W406&lt;Y406,V406,IF(W406=Y406,"",Z406)))</f>
        <v/>
      </c>
      <c r="AI406" s="964" t="str">
        <f>CONCATENATE(AE406,AH406)</f>
        <v/>
      </c>
      <c r="AJ406" s="964"/>
      <c r="AK406" s="964"/>
      <c r="AL406"/>
      <c r="AM406"/>
      <c r="AN406"/>
      <c r="AO406"/>
      <c r="AP406"/>
      <c r="AQ406"/>
      <c r="AR406"/>
      <c r="AS406"/>
      <c r="AT406"/>
      <c r="AU406"/>
      <c r="AV406"/>
      <c r="AW406"/>
      <c r="AX406" s="9"/>
      <c r="AY406"/>
      <c r="AZ406"/>
      <c r="BA406"/>
      <c r="BB406"/>
      <c r="BC406"/>
      <c r="BD406"/>
      <c r="BE406"/>
      <c r="BF406"/>
      <c r="BG406"/>
      <c r="BH406"/>
      <c r="BI406"/>
      <c r="BJ406"/>
      <c r="BK406"/>
      <c r="BL406"/>
      <c r="BM406"/>
      <c r="BN406"/>
      <c r="BO406"/>
      <c r="BP406"/>
      <c r="BQ406"/>
      <c r="BR406"/>
      <c r="BS406"/>
      <c r="BT406"/>
      <c r="BU406"/>
      <c r="BV406"/>
      <c r="BW406"/>
      <c r="BX406"/>
      <c r="BY406"/>
      <c r="BZ406"/>
      <c r="CA406" s="1396"/>
      <c r="CB406" s="1396"/>
      <c r="CC406"/>
      <c r="CD406"/>
      <c r="CE406"/>
    </row>
    <row r="407" spans="1:83" ht="13.15" customHeight="1" outlineLevel="2" x14ac:dyDescent="0.2">
      <c r="A407"/>
      <c r="B407" s="1"/>
      <c r="C407"/>
      <c r="D407"/>
      <c r="E407"/>
      <c r="F407"/>
      <c r="G407" s="1"/>
      <c r="H407" s="1"/>
      <c r="I407"/>
      <c r="J407"/>
      <c r="K407"/>
      <c r="L407"/>
      <c r="M407"/>
      <c r="N407"/>
      <c r="O407"/>
      <c r="P407"/>
      <c r="Q407"/>
      <c r="R407" s="558" t="s">
        <v>3971</v>
      </c>
      <c r="S407" s="83"/>
      <c r="T407" s="56"/>
      <c r="U407" s="955"/>
      <c r="V407" s="43" t="str">
        <f>Z400</f>
        <v>F</v>
      </c>
      <c r="W407" s="10"/>
      <c r="X407" s="45" t="s">
        <v>769</v>
      </c>
      <c r="Y407" s="10"/>
      <c r="Z407" s="46" t="str">
        <f>V399</f>
        <v>J</v>
      </c>
      <c r="AA407" s="123"/>
      <c r="AB407" s="1459">
        <f>IF(MaxScore,MaxGoals(W407,Y407,MaxGoalsValue),IF(W407="","",W407))</f>
        <v>0</v>
      </c>
      <c r="AC407" s="1460" t="str">
        <f>IF(MaxScore,"-",IF(W407="","","-"))</f>
        <v>-</v>
      </c>
      <c r="AD407" s="1459">
        <f>IF(MaxScore,MaxGoals(Y407,W407,MaxGoalsValue),IF(Y407="","",Y407))</f>
        <v>0</v>
      </c>
      <c r="AE407" s="964" t="str">
        <f>IF(W407="","",IF(W407&gt;Y407,V407,IF(W407=Y407,"",Z407)))</f>
        <v/>
      </c>
      <c r="AF407" s="964" t="str">
        <f>IF(W407="","",IF(W407=Y407,V407,""))</f>
        <v/>
      </c>
      <c r="AG407" s="964" t="str">
        <f>IF(W407="","",IF(W407=Y407,Z407,""))</f>
        <v/>
      </c>
      <c r="AH407" s="964" t="str">
        <f>IF(W407="","",IF(W407&lt;Y407,V407,IF(W407=Y407,"",Z407)))</f>
        <v/>
      </c>
      <c r="AI407" s="964" t="str">
        <f>CONCATENATE(AE407,AH407)</f>
        <v/>
      </c>
      <c r="AJ407" s="964"/>
      <c r="AK407" s="964"/>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s="1396"/>
      <c r="CB407" s="1396"/>
      <c r="CC407"/>
      <c r="CD407"/>
      <c r="CE407"/>
    </row>
    <row r="408" spans="1:83" ht="13.15" customHeight="1" outlineLevel="2" x14ac:dyDescent="0.2">
      <c r="A408"/>
      <c r="B408" s="1"/>
      <c r="C408"/>
      <c r="D408"/>
      <c r="E408"/>
      <c r="F408"/>
      <c r="G408" s="1"/>
      <c r="H408" s="1"/>
      <c r="I408"/>
      <c r="J408"/>
      <c r="K408"/>
      <c r="L408"/>
      <c r="M408"/>
      <c r="N408"/>
      <c r="O408"/>
      <c r="P408"/>
      <c r="Q408"/>
      <c r="R408" s="558" t="s">
        <v>3971</v>
      </c>
      <c r="S408" s="83"/>
      <c r="T408" s="56"/>
      <c r="U408" s="955"/>
      <c r="V408" s="43" t="str">
        <f>Z402</f>
        <v>B</v>
      </c>
      <c r="W408" s="10"/>
      <c r="X408" s="45" t="s">
        <v>769</v>
      </c>
      <c r="Y408" s="10"/>
      <c r="Z408" s="46" t="str">
        <f>V400</f>
        <v>K</v>
      </c>
      <c r="AA408" s="123"/>
      <c r="AB408" s="1459">
        <f>IF(MaxScore,MaxGoals(W408,Y408,MaxGoalsValue),IF(W408="","",W408))</f>
        <v>0</v>
      </c>
      <c r="AC408" s="1460" t="str">
        <f>IF(MaxScore,"-",IF(W408="","","-"))</f>
        <v>-</v>
      </c>
      <c r="AD408" s="1459">
        <f>IF(MaxScore,MaxGoals(Y408,W408,MaxGoalsValue),IF(Y408="","",Y408))</f>
        <v>0</v>
      </c>
      <c r="AE408" s="964" t="str">
        <f>IF(W408="","",IF(W408&gt;Y408,V408,IF(W408=Y408,"",Z408)))</f>
        <v/>
      </c>
      <c r="AF408" s="964" t="str">
        <f>IF(W408="","",IF(W408=Y408,V408,""))</f>
        <v/>
      </c>
      <c r="AG408" s="964" t="str">
        <f>IF(W408="","",IF(W408=Y408,Z408,""))</f>
        <v/>
      </c>
      <c r="AH408" s="964" t="str">
        <f>IF(W408="","",IF(W408&lt;Y408,V408,IF(W408=Y408,"",Z408)))</f>
        <v/>
      </c>
      <c r="AI408" s="964" t="str">
        <f>CONCATENATE(AE408,AH408)</f>
        <v/>
      </c>
      <c r="AJ408" s="964"/>
      <c r="AK408" s="964"/>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s="1396"/>
      <c r="CB408" s="1396"/>
      <c r="CC408"/>
      <c r="CD408"/>
      <c r="CE408"/>
    </row>
    <row r="409" spans="1:83" ht="13.15" customHeight="1" outlineLevel="2" x14ac:dyDescent="0.2">
      <c r="A409"/>
      <c r="B409" s="1"/>
      <c r="C409"/>
      <c r="D409"/>
      <c r="E409"/>
      <c r="F409"/>
      <c r="G409" s="1"/>
      <c r="H409" s="1"/>
      <c r="I409"/>
      <c r="J409"/>
      <c r="K409"/>
      <c r="L409"/>
      <c r="M409"/>
      <c r="N409"/>
      <c r="O409"/>
      <c r="P409"/>
      <c r="Q409"/>
      <c r="R409" s="558" t="s">
        <v>3971</v>
      </c>
      <c r="S409" s="83"/>
      <c r="T409" s="56"/>
      <c r="U409" s="955"/>
      <c r="V409" s="43" t="str">
        <f>Z403</f>
        <v>C</v>
      </c>
      <c r="W409" s="10"/>
      <c r="X409" s="45" t="s">
        <v>769</v>
      </c>
      <c r="Y409" s="10"/>
      <c r="Z409" s="46" t="str">
        <f>V401</f>
        <v>I</v>
      </c>
      <c r="AA409" s="123"/>
      <c r="AB409" s="1459">
        <f>IF(MaxScore,MaxGoals(W409,Y409,MaxGoalsValue),IF(W409="","",W409))</f>
        <v>0</v>
      </c>
      <c r="AC409" s="1460" t="str">
        <f>IF(MaxScore,"-",IF(W409="","","-"))</f>
        <v>-</v>
      </c>
      <c r="AD409" s="1459">
        <f>IF(MaxScore,MaxGoals(Y409,W409,MaxGoalsValue),IF(Y409="","",Y409))</f>
        <v>0</v>
      </c>
      <c r="AE409" s="964" t="str">
        <f>IF(W409="","",IF(W409&gt;Y409,V409,IF(W409=Y409,"",Z409)))</f>
        <v/>
      </c>
      <c r="AF409" s="964" t="str">
        <f>IF(W409="","",IF(W409=Y409,V409,""))</f>
        <v/>
      </c>
      <c r="AG409" s="964" t="str">
        <f>IF(W409="","",IF(W409=Y409,Z409,""))</f>
        <v/>
      </c>
      <c r="AH409" s="964" t="str">
        <f>IF(W409="","",IF(W409&lt;Y409,V409,IF(W409=Y409,"",Z409)))</f>
        <v/>
      </c>
      <c r="AI409" s="964" t="str">
        <f>CONCATENATE(AE409,AH409)</f>
        <v/>
      </c>
      <c r="AJ409" s="964"/>
      <c r="AK409" s="964"/>
      <c r="AL409"/>
      <c r="AM409"/>
      <c r="AN409"/>
      <c r="AO409"/>
      <c r="AP409"/>
      <c r="AQ409"/>
      <c r="AR409"/>
      <c r="AS409"/>
      <c r="AT409"/>
      <c r="AU409"/>
      <c r="AV409"/>
      <c r="AW409"/>
      <c r="AX409" s="9"/>
      <c r="AY409"/>
      <c r="AZ409"/>
      <c r="BA409"/>
      <c r="BB409"/>
      <c r="BC409"/>
      <c r="BD409"/>
      <c r="BE409"/>
      <c r="BF409"/>
      <c r="BG409"/>
      <c r="BH409"/>
      <c r="BI409"/>
      <c r="BJ409"/>
      <c r="BK409"/>
      <c r="BL409"/>
      <c r="BM409"/>
      <c r="BN409"/>
      <c r="BO409"/>
      <c r="BP409"/>
      <c r="BQ409"/>
      <c r="BR409"/>
      <c r="BS409"/>
      <c r="BT409"/>
      <c r="BU409"/>
      <c r="BV409"/>
      <c r="BW409"/>
      <c r="BX409"/>
      <c r="BY409"/>
      <c r="BZ409"/>
      <c r="CA409" s="1396"/>
      <c r="CB409" s="1396"/>
      <c r="CC409"/>
      <c r="CD409"/>
      <c r="CE409"/>
    </row>
    <row r="410" spans="1:83" ht="13.9" customHeight="1" outlineLevel="2" thickBot="1" x14ac:dyDescent="0.25">
      <c r="A410"/>
      <c r="B410" s="1"/>
      <c r="C410"/>
      <c r="D410"/>
      <c r="E410"/>
      <c r="F410"/>
      <c r="G410" s="1"/>
      <c r="H410" s="1"/>
      <c r="I410"/>
      <c r="J410"/>
      <c r="K410"/>
      <c r="L410"/>
      <c r="M410"/>
      <c r="N410"/>
      <c r="O410"/>
      <c r="P410"/>
      <c r="Q410"/>
      <c r="R410" s="558" t="s">
        <v>3971</v>
      </c>
      <c r="S410" s="956"/>
      <c r="T410" s="58"/>
      <c r="U410" s="957"/>
      <c r="V410" s="958" t="str">
        <f>V403</f>
        <v>E</v>
      </c>
      <c r="W410" s="10"/>
      <c r="X410" s="45" t="s">
        <v>769</v>
      </c>
      <c r="Y410" s="10"/>
      <c r="Z410" s="46" t="str">
        <f>V402</f>
        <v>G</v>
      </c>
      <c r="AA410" s="123"/>
      <c r="AB410" s="1459">
        <f>IF(MaxScore,MaxGoals(W410,Y410,MaxGoalsValue),IF(W410="","",W410))</f>
        <v>0</v>
      </c>
      <c r="AC410" s="1460" t="str">
        <f>IF(MaxScore,"-",IF(W410="","","-"))</f>
        <v>-</v>
      </c>
      <c r="AD410" s="1459">
        <f>IF(MaxScore,MaxGoals(Y410,W410,MaxGoalsValue),IF(Y410="","",Y410))</f>
        <v>0</v>
      </c>
      <c r="AE410" s="964" t="str">
        <f>IF(W410="","",IF(W410&gt;Y410,V410,IF(W410=Y410,"",Z410)))</f>
        <v/>
      </c>
      <c r="AF410" s="964" t="str">
        <f>IF(W410="","",IF(W410=Y410,V410,""))</f>
        <v/>
      </c>
      <c r="AG410" s="964" t="str">
        <f>IF(W410="","",IF(W410=Y410,Z410,""))</f>
        <v/>
      </c>
      <c r="AH410" s="964" t="str">
        <f>IF(W410="","",IF(W410&lt;Y410,V410,IF(W410=Y410,"",Z410)))</f>
        <v/>
      </c>
      <c r="AI410" s="964" t="str">
        <f>CONCATENATE(AE410,AH410)</f>
        <v/>
      </c>
      <c r="AJ410" s="964"/>
      <c r="AK410" s="964"/>
      <c r="AL410"/>
      <c r="AM410"/>
      <c r="AN410"/>
      <c r="AO410"/>
      <c r="AP410"/>
      <c r="AQ410"/>
      <c r="AR410"/>
      <c r="AS410"/>
      <c r="AT410"/>
      <c r="AU410"/>
      <c r="AV410"/>
      <c r="AW410" s="9"/>
      <c r="AX410" s="9"/>
      <c r="AY410"/>
      <c r="AZ410"/>
      <c r="BA410"/>
      <c r="BB410"/>
      <c r="BC410"/>
      <c r="BD410"/>
      <c r="BE410"/>
      <c r="BF410"/>
      <c r="BG410"/>
      <c r="BH410"/>
      <c r="BI410"/>
      <c r="BJ410"/>
      <c r="BK410"/>
      <c r="BL410"/>
      <c r="BM410"/>
      <c r="BN410"/>
      <c r="BO410"/>
      <c r="BP410"/>
      <c r="BQ410"/>
      <c r="BR410"/>
      <c r="BS410"/>
      <c r="BT410"/>
      <c r="BU410"/>
      <c r="BV410"/>
      <c r="BW410"/>
      <c r="BX410"/>
      <c r="BY410"/>
      <c r="BZ410"/>
      <c r="CA410" s="1396"/>
      <c r="CB410" s="1396"/>
      <c r="CC410"/>
      <c r="CD410"/>
      <c r="CE410"/>
    </row>
    <row r="411" spans="1:83" ht="13.5" outlineLevel="1" thickBot="1" x14ac:dyDescent="0.25">
      <c r="A411"/>
      <c r="B411" s="1"/>
      <c r="C411" s="1"/>
      <c r="D411" s="76"/>
      <c r="E411" s="76"/>
      <c r="F411" s="76"/>
      <c r="G411" s="9"/>
      <c r="H411" s="9"/>
      <c r="I411" s="1"/>
      <c r="J411"/>
      <c r="K411"/>
      <c r="L411"/>
      <c r="M411"/>
      <c r="N411"/>
      <c r="O411"/>
      <c r="P411" s="89"/>
      <c r="Q411"/>
      <c r="R411" s="1"/>
      <c r="S411" s="993">
        <f>S404+1</f>
        <v>10</v>
      </c>
      <c r="T411" s="961"/>
      <c r="U411" s="961"/>
      <c r="V411" s="961"/>
      <c r="W411" s="960"/>
      <c r="X411" s="960"/>
      <c r="Y411" s="960"/>
      <c r="Z411" s="962"/>
      <c r="AA411" s="123"/>
      <c r="AB411" s="963"/>
      <c r="AC411" s="963"/>
      <c r="AD411" s="963"/>
      <c r="AE411" s="964"/>
      <c r="AF411" s="964"/>
      <c r="AG411" s="964"/>
      <c r="AH411" s="964"/>
      <c r="AI411" s="964"/>
      <c r="AJ411" s="964"/>
      <c r="AK411" s="964"/>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s="1396"/>
      <c r="CB411" s="1396"/>
      <c r="CC411"/>
      <c r="CD411"/>
      <c r="CE411"/>
    </row>
    <row r="412" spans="1:83" ht="13.9" customHeight="1" outlineLevel="2" thickBot="1" x14ac:dyDescent="0.25">
      <c r="A412"/>
      <c r="B412" s="1"/>
      <c r="C412"/>
      <c r="D412"/>
      <c r="E412"/>
      <c r="F412"/>
      <c r="G412" s="1"/>
      <c r="H412" s="1"/>
      <c r="I412"/>
      <c r="J412"/>
      <c r="K412"/>
      <c r="L412"/>
      <c r="M412"/>
      <c r="N412"/>
      <c r="O412"/>
      <c r="P412"/>
      <c r="Q412"/>
      <c r="S412" s="22" t="str">
        <f>N_Heure</f>
        <v>Heure</v>
      </c>
      <c r="T412" s="22" t="str">
        <f>N_Table</f>
        <v>Table</v>
      </c>
      <c r="U412" s="22" t="str">
        <f>N_Arbitre</f>
        <v>Arbitre</v>
      </c>
      <c r="V412" s="293" t="str">
        <f>N_Matches</f>
        <v>Matches</v>
      </c>
      <c r="W412" s="294"/>
      <c r="X412" s="294"/>
      <c r="Y412" s="294"/>
      <c r="Z412" s="295"/>
      <c r="AA412" s="8"/>
      <c r="AB412" s="967"/>
      <c r="AC412" s="967"/>
      <c r="AD412" s="967"/>
      <c r="AE412" s="964"/>
      <c r="AF412" s="964"/>
      <c r="AG412" s="964"/>
      <c r="AH412" s="964"/>
      <c r="AI412" s="964"/>
      <c r="AJ412" s="964"/>
      <c r="AK412" s="964"/>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s="1396"/>
      <c r="CB412" s="1396"/>
      <c r="CC412"/>
      <c r="CD412"/>
      <c r="CE412"/>
    </row>
    <row r="413" spans="1:83" ht="13.15" customHeight="1" outlineLevel="2" x14ac:dyDescent="0.2">
      <c r="A413"/>
      <c r="B413" s="1"/>
      <c r="C413"/>
      <c r="D413"/>
      <c r="E413"/>
      <c r="F413"/>
      <c r="G413" s="1"/>
      <c r="H413" s="1"/>
      <c r="I413"/>
      <c r="J413"/>
      <c r="K413"/>
      <c r="L413"/>
      <c r="M413"/>
      <c r="N413"/>
      <c r="O413"/>
      <c r="P413"/>
      <c r="Q413"/>
      <c r="R413" s="558" t="s">
        <v>3972</v>
      </c>
      <c r="S413" s="83"/>
      <c r="T413" s="56"/>
      <c r="U413" s="955"/>
      <c r="V413" s="34" t="str">
        <f>V407</f>
        <v>F</v>
      </c>
      <c r="W413" s="148"/>
      <c r="X413" s="35" t="s">
        <v>769</v>
      </c>
      <c r="Y413" s="148"/>
      <c r="Z413" s="36" t="str">
        <f>V406</f>
        <v>A</v>
      </c>
      <c r="AA413" s="123"/>
      <c r="AB413" s="1459">
        <f>IF(MaxScore,MaxGoals(W413,Y413,MaxGoalsValue),IF(W413="","",W413))</f>
        <v>0</v>
      </c>
      <c r="AC413" s="1460" t="str">
        <f>IF(MaxScore,"-",IF(W413="","","-"))</f>
        <v>-</v>
      </c>
      <c r="AD413" s="1459">
        <f>IF(MaxScore,MaxGoals(Y413,W413,MaxGoalsValue),IF(Y413="","",Y413))</f>
        <v>0</v>
      </c>
      <c r="AE413" s="964" t="str">
        <f>IF(W413="","",IF(W413&gt;Y413,V413,IF(W413=Y413,"",Z413)))</f>
        <v/>
      </c>
      <c r="AF413" s="964" t="str">
        <f>IF(W413="","",IF(W413=Y413,V413,""))</f>
        <v/>
      </c>
      <c r="AG413" s="964" t="str">
        <f>IF(W413="","",IF(W413=Y413,Z413,""))</f>
        <v/>
      </c>
      <c r="AH413" s="964" t="str">
        <f>IF(W413="","",IF(W413&lt;Y413,V413,IF(W413=Y413,"",Z413)))</f>
        <v/>
      </c>
      <c r="AI413" s="964" t="str">
        <f>CONCATENATE(AE413,AH413)</f>
        <v/>
      </c>
      <c r="AJ413" s="964"/>
      <c r="AK413" s="964"/>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s="1396"/>
      <c r="CB413" s="1396"/>
      <c r="CC413"/>
      <c r="CD413"/>
      <c r="CE413"/>
    </row>
    <row r="414" spans="1:83" ht="13.15" customHeight="1" outlineLevel="2" x14ac:dyDescent="0.2">
      <c r="A414"/>
      <c r="B414" s="1"/>
      <c r="C414"/>
      <c r="D414"/>
      <c r="E414"/>
      <c r="F414"/>
      <c r="G414" s="1"/>
      <c r="H414" s="1"/>
      <c r="I414"/>
      <c r="J414"/>
      <c r="K414"/>
      <c r="L414"/>
      <c r="M414"/>
      <c r="N414"/>
      <c r="O414"/>
      <c r="P414"/>
      <c r="Q414"/>
      <c r="R414" s="558" t="s">
        <v>3972</v>
      </c>
      <c r="S414" s="83"/>
      <c r="T414" s="56"/>
      <c r="U414" s="955"/>
      <c r="V414" s="43" t="str">
        <f>Z406</f>
        <v>H</v>
      </c>
      <c r="W414" s="10"/>
      <c r="X414" s="45" t="s">
        <v>769</v>
      </c>
      <c r="Y414" s="10"/>
      <c r="Z414" s="46" t="str">
        <f>Z401</f>
        <v>D</v>
      </c>
      <c r="AA414" s="123"/>
      <c r="AB414" s="1459">
        <f>IF(MaxScore,MaxGoals(W414,Y414,MaxGoalsValue),IF(W414="","",W414))</f>
        <v>0</v>
      </c>
      <c r="AC414" s="1460" t="str">
        <f>IF(MaxScore,"-",IF(W414="","","-"))</f>
        <v>-</v>
      </c>
      <c r="AD414" s="1459">
        <f>IF(MaxScore,MaxGoals(Y414,W414,MaxGoalsValue),IF(Y414="","",Y414))</f>
        <v>0</v>
      </c>
      <c r="AE414" s="964" t="str">
        <f>IF(W414="","",IF(W414&gt;Y414,V414,IF(W414=Y414,"",Z414)))</f>
        <v/>
      </c>
      <c r="AF414" s="964" t="str">
        <f>IF(W414="","",IF(W414=Y414,V414,""))</f>
        <v/>
      </c>
      <c r="AG414" s="964" t="str">
        <f>IF(W414="","",IF(W414=Y414,Z414,""))</f>
        <v/>
      </c>
      <c r="AH414" s="964" t="str">
        <f>IF(W414="","",IF(W414&lt;Y414,V414,IF(W414=Y414,"",Z414)))</f>
        <v/>
      </c>
      <c r="AI414" s="964" t="str">
        <f>CONCATENATE(AE414,AH414)</f>
        <v/>
      </c>
      <c r="AJ414" s="964"/>
      <c r="AK414" s="964"/>
      <c r="AL414"/>
      <c r="AM414"/>
      <c r="AN414"/>
      <c r="AO414"/>
      <c r="AP414"/>
      <c r="AQ414"/>
      <c r="AR414"/>
      <c r="AS414"/>
      <c r="AT414"/>
      <c r="AU414"/>
      <c r="AV414"/>
      <c r="AW414" s="9"/>
      <c r="AX414" s="9"/>
      <c r="AY414"/>
      <c r="AZ414"/>
      <c r="BA414"/>
      <c r="BB414"/>
      <c r="BC414"/>
      <c r="BD414"/>
      <c r="BE414"/>
      <c r="BF414"/>
      <c r="BG414"/>
      <c r="BH414"/>
      <c r="BI414"/>
      <c r="BJ414"/>
      <c r="BK414"/>
      <c r="BL414"/>
      <c r="BM414"/>
      <c r="BN414"/>
      <c r="BO414"/>
      <c r="BP414"/>
      <c r="BQ414"/>
      <c r="BR414"/>
      <c r="BS414"/>
      <c r="BT414"/>
      <c r="BU414"/>
      <c r="BV414"/>
      <c r="BW414"/>
      <c r="BX414"/>
      <c r="BY414"/>
      <c r="BZ414"/>
      <c r="CA414" s="1396"/>
      <c r="CB414" s="1396"/>
      <c r="CC414"/>
      <c r="CD414"/>
      <c r="CE414"/>
    </row>
    <row r="415" spans="1:83" ht="13.15" customHeight="1" outlineLevel="2" x14ac:dyDescent="0.2">
      <c r="A415"/>
      <c r="B415" s="1"/>
      <c r="C415"/>
      <c r="D415"/>
      <c r="E415"/>
      <c r="F415"/>
      <c r="G415" s="1"/>
      <c r="H415" s="1"/>
      <c r="I415"/>
      <c r="J415"/>
      <c r="K415"/>
      <c r="L415"/>
      <c r="M415"/>
      <c r="N415"/>
      <c r="O415"/>
      <c r="P415"/>
      <c r="Q415"/>
      <c r="R415" s="558" t="s">
        <v>3972</v>
      </c>
      <c r="S415" s="83"/>
      <c r="T415" s="56"/>
      <c r="U415" s="955"/>
      <c r="V415" s="43" t="str">
        <f>Z407</f>
        <v>J</v>
      </c>
      <c r="W415" s="10"/>
      <c r="X415" s="45" t="s">
        <v>769</v>
      </c>
      <c r="Y415" s="10"/>
      <c r="Z415" s="46" t="str">
        <f>V408</f>
        <v>B</v>
      </c>
      <c r="AA415" s="123"/>
      <c r="AB415" s="1459">
        <f>IF(MaxScore,MaxGoals(W415,Y415,MaxGoalsValue),IF(W415="","",W415))</f>
        <v>0</v>
      </c>
      <c r="AC415" s="1460" t="str">
        <f>IF(MaxScore,"-",IF(W415="","","-"))</f>
        <v>-</v>
      </c>
      <c r="AD415" s="1459">
        <f>IF(MaxScore,MaxGoals(Y415,W415,MaxGoalsValue),IF(Y415="","",Y415))</f>
        <v>0</v>
      </c>
      <c r="AE415" s="964" t="str">
        <f>IF(W415="","",IF(W415&gt;Y415,V415,IF(W415=Y415,"",Z415)))</f>
        <v/>
      </c>
      <c r="AF415" s="964" t="str">
        <f>IF(W415="","",IF(W415=Y415,V415,""))</f>
        <v/>
      </c>
      <c r="AG415" s="964" t="str">
        <f>IF(W415="","",IF(W415=Y415,Z415,""))</f>
        <v/>
      </c>
      <c r="AH415" s="964" t="str">
        <f>IF(W415="","",IF(W415&lt;Y415,V415,IF(W415=Y415,"",Z415)))</f>
        <v/>
      </c>
      <c r="AI415" s="964" t="str">
        <f>CONCATENATE(AE415,AH415)</f>
        <v/>
      </c>
      <c r="AJ415" s="964"/>
      <c r="AK415" s="964"/>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s="1396"/>
      <c r="CB415" s="1396"/>
      <c r="CC415"/>
      <c r="CD415"/>
      <c r="CE415"/>
    </row>
    <row r="416" spans="1:83" ht="13.15" customHeight="1" outlineLevel="2" x14ac:dyDescent="0.2">
      <c r="A416"/>
      <c r="B416" s="1"/>
      <c r="C416"/>
      <c r="D416"/>
      <c r="E416"/>
      <c r="F416"/>
      <c r="G416" s="1"/>
      <c r="H416" s="1"/>
      <c r="I416"/>
      <c r="J416"/>
      <c r="K416"/>
      <c r="L416"/>
      <c r="M416"/>
      <c r="N416"/>
      <c r="O416"/>
      <c r="P416"/>
      <c r="Q416"/>
      <c r="R416" s="558" t="s">
        <v>3972</v>
      </c>
      <c r="S416" s="83"/>
      <c r="T416" s="56"/>
      <c r="U416" s="955"/>
      <c r="V416" s="43" t="str">
        <f>Z408</f>
        <v>K</v>
      </c>
      <c r="W416" s="10"/>
      <c r="X416" s="45" t="s">
        <v>769</v>
      </c>
      <c r="Y416" s="10"/>
      <c r="Z416" s="46" t="str">
        <f>V410</f>
        <v>E</v>
      </c>
      <c r="AA416" s="123"/>
      <c r="AB416" s="1459">
        <f>IF(MaxScore,MaxGoals(W416,Y416,MaxGoalsValue),IF(W416="","",W416))</f>
        <v>0</v>
      </c>
      <c r="AC416" s="1460" t="str">
        <f>IF(MaxScore,"-",IF(W416="","","-"))</f>
        <v>-</v>
      </c>
      <c r="AD416" s="1459">
        <f>IF(MaxScore,MaxGoals(Y416,W416,MaxGoalsValue),IF(Y416="","",Y416))</f>
        <v>0</v>
      </c>
      <c r="AE416" s="964" t="str">
        <f>IF(W416="","",IF(W416&gt;Y416,V416,IF(W416=Y416,"",Z416)))</f>
        <v/>
      </c>
      <c r="AF416" s="964" t="str">
        <f>IF(W416="","",IF(W416=Y416,V416,""))</f>
        <v/>
      </c>
      <c r="AG416" s="964" t="str">
        <f>IF(W416="","",IF(W416=Y416,Z416,""))</f>
        <v/>
      </c>
      <c r="AH416" s="964" t="str">
        <f>IF(W416="","",IF(W416&lt;Y416,V416,IF(W416=Y416,"",Z416)))</f>
        <v/>
      </c>
      <c r="AI416" s="964" t="str">
        <f>CONCATENATE(AE416,AH416)</f>
        <v/>
      </c>
      <c r="AJ416" s="964"/>
      <c r="AK416" s="964"/>
      <c r="AL416"/>
      <c r="AM416"/>
      <c r="AN416"/>
      <c r="AO416"/>
      <c r="AP416"/>
      <c r="AQ416"/>
      <c r="AR416"/>
      <c r="AS416"/>
      <c r="AT416"/>
      <c r="AU416"/>
      <c r="AV416"/>
      <c r="AW416"/>
      <c r="AX416" s="9"/>
      <c r="AY416"/>
      <c r="AZ416"/>
      <c r="BA416"/>
      <c r="BB416"/>
      <c r="BC416"/>
      <c r="BD416"/>
      <c r="BE416"/>
      <c r="BF416"/>
      <c r="BG416"/>
      <c r="BH416"/>
      <c r="BI416"/>
      <c r="BJ416"/>
      <c r="BK416"/>
      <c r="BL416"/>
      <c r="BM416"/>
      <c r="BN416"/>
      <c r="BO416"/>
      <c r="BP416"/>
      <c r="BQ416"/>
      <c r="BR416"/>
      <c r="BS416"/>
      <c r="BT416"/>
      <c r="BU416"/>
      <c r="BV416"/>
      <c r="BW416"/>
      <c r="BX416"/>
      <c r="BY416"/>
      <c r="BZ416"/>
      <c r="CA416" s="1396"/>
      <c r="CB416" s="1396"/>
      <c r="CC416"/>
      <c r="CD416"/>
      <c r="CE416"/>
    </row>
    <row r="417" spans="1:83" ht="13.9" customHeight="1" outlineLevel="2" thickBot="1" x14ac:dyDescent="0.25">
      <c r="A417"/>
      <c r="B417" s="1"/>
      <c r="C417"/>
      <c r="D417"/>
      <c r="E417"/>
      <c r="F417"/>
      <c r="G417" s="1"/>
      <c r="H417" s="1"/>
      <c r="I417"/>
      <c r="J417"/>
      <c r="K417"/>
      <c r="L417"/>
      <c r="M417"/>
      <c r="N417"/>
      <c r="O417"/>
      <c r="P417"/>
      <c r="Q417"/>
      <c r="R417" s="558" t="s">
        <v>3972</v>
      </c>
      <c r="S417" s="956"/>
      <c r="T417" s="58"/>
      <c r="U417" s="957"/>
      <c r="V417" s="43" t="str">
        <f>Z409</f>
        <v>I</v>
      </c>
      <c r="W417" s="10"/>
      <c r="X417" s="45" t="s">
        <v>769</v>
      </c>
      <c r="Y417" s="10"/>
      <c r="Z417" s="46" t="str">
        <f>Z410</f>
        <v>G</v>
      </c>
      <c r="AA417" s="123"/>
      <c r="AB417" s="1459">
        <f>IF(MaxScore,MaxGoals(W417,Y417,MaxGoalsValue),IF(W417="","",W417))</f>
        <v>0</v>
      </c>
      <c r="AC417" s="1460" t="str">
        <f>IF(MaxScore,"-",IF(W417="","","-"))</f>
        <v>-</v>
      </c>
      <c r="AD417" s="1459">
        <f>IF(MaxScore,MaxGoals(Y417,W417,MaxGoalsValue),IF(Y417="","",Y417))</f>
        <v>0</v>
      </c>
      <c r="AE417" s="964" t="str">
        <f>IF(W417="","",IF(W417&gt;Y417,V417,IF(W417=Y417,"",Z417)))</f>
        <v/>
      </c>
      <c r="AF417" s="964" t="str">
        <f>IF(W417="","",IF(W417=Y417,V417,""))</f>
        <v/>
      </c>
      <c r="AG417" s="964" t="str">
        <f>IF(W417="","",IF(W417=Y417,Z417,""))</f>
        <v/>
      </c>
      <c r="AH417" s="964" t="str">
        <f>IF(W417="","",IF(W417&lt;Y417,V417,IF(W417=Y417,"",Z417)))</f>
        <v/>
      </c>
      <c r="AI417" s="964" t="str">
        <f>CONCATENATE(AE417,AH417)</f>
        <v/>
      </c>
      <c r="AJ417" s="964"/>
      <c r="AK417" s="964"/>
      <c r="AL417"/>
      <c r="AM417"/>
      <c r="AN417"/>
      <c r="AO417"/>
      <c r="AP417"/>
      <c r="AQ417"/>
      <c r="AR417"/>
      <c r="AS417"/>
      <c r="AT417"/>
      <c r="AU417"/>
      <c r="AV417"/>
      <c r="AW417" s="9"/>
      <c r="AX417" s="9"/>
      <c r="AY417"/>
      <c r="AZ417"/>
      <c r="BA417"/>
      <c r="BB417"/>
      <c r="BC417"/>
      <c r="BD417"/>
      <c r="BE417"/>
      <c r="BF417"/>
      <c r="BG417"/>
      <c r="BH417"/>
      <c r="BI417"/>
      <c r="BJ417"/>
      <c r="BK417"/>
      <c r="BL417"/>
      <c r="BM417"/>
      <c r="BN417"/>
      <c r="BO417"/>
      <c r="BP417"/>
      <c r="BQ417"/>
      <c r="BR417"/>
      <c r="BS417"/>
      <c r="BT417"/>
      <c r="BU417"/>
      <c r="BV417"/>
      <c r="BW417"/>
      <c r="BX417"/>
      <c r="BY417"/>
      <c r="BZ417"/>
      <c r="CA417" s="1396"/>
      <c r="CB417" s="1396"/>
      <c r="CC417"/>
      <c r="CD417"/>
      <c r="CE417"/>
    </row>
    <row r="418" spans="1:83" ht="13.5" outlineLevel="1" thickBot="1" x14ac:dyDescent="0.25">
      <c r="A418"/>
      <c r="B418" s="1"/>
      <c r="C418" s="1"/>
      <c r="D418" s="76"/>
      <c r="E418" s="76"/>
      <c r="F418" s="76"/>
      <c r="G418" s="9"/>
      <c r="H418" s="9"/>
      <c r="I418" s="1"/>
      <c r="J418"/>
      <c r="K418"/>
      <c r="L418"/>
      <c r="M418"/>
      <c r="N418"/>
      <c r="O418"/>
      <c r="P418" s="89"/>
      <c r="Q418"/>
      <c r="R418" s="1"/>
      <c r="S418" s="993">
        <f>S411+1</f>
        <v>11</v>
      </c>
      <c r="T418" s="961"/>
      <c r="U418" s="961"/>
      <c r="V418" s="961"/>
      <c r="W418" s="960"/>
      <c r="X418" s="960"/>
      <c r="Y418" s="960"/>
      <c r="Z418" s="962"/>
      <c r="AA418" s="123"/>
      <c r="AB418" s="963"/>
      <c r="AC418" s="963"/>
      <c r="AD418" s="963"/>
      <c r="AE418" s="964"/>
      <c r="AF418" s="964"/>
      <c r="AG418" s="964"/>
      <c r="AH418" s="964"/>
      <c r="AI418" s="964"/>
      <c r="AJ418" s="964"/>
      <c r="AK418" s="964"/>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s="1396"/>
      <c r="CB418" s="1396"/>
      <c r="CC418"/>
      <c r="CD418"/>
      <c r="CE418"/>
    </row>
    <row r="419" spans="1:83" ht="13.9" customHeight="1" outlineLevel="2" thickBot="1" x14ac:dyDescent="0.25">
      <c r="A419"/>
      <c r="B419" s="1"/>
      <c r="C419"/>
      <c r="D419"/>
      <c r="E419"/>
      <c r="F419"/>
      <c r="G419" s="1"/>
      <c r="H419" s="1"/>
      <c r="I419"/>
      <c r="J419"/>
      <c r="K419"/>
      <c r="L419"/>
      <c r="M419"/>
      <c r="N419"/>
      <c r="O419"/>
      <c r="P419"/>
      <c r="Q419"/>
      <c r="S419" s="22" t="str">
        <f>N_Heure</f>
        <v>Heure</v>
      </c>
      <c r="T419" s="22" t="str">
        <f>N_Table</f>
        <v>Table</v>
      </c>
      <c r="U419" s="22" t="str">
        <f>N_Arbitre</f>
        <v>Arbitre</v>
      </c>
      <c r="V419" s="293" t="str">
        <f>N_Matches</f>
        <v>Matches</v>
      </c>
      <c r="W419" s="294"/>
      <c r="X419" s="294"/>
      <c r="Y419" s="294"/>
      <c r="Z419" s="295"/>
      <c r="AA419" s="8"/>
      <c r="AB419" s="967"/>
      <c r="AC419" s="967"/>
      <c r="AD419" s="967"/>
      <c r="AE419" s="964"/>
      <c r="AF419" s="964"/>
      <c r="AG419" s="964"/>
      <c r="AH419" s="964"/>
      <c r="AI419" s="964"/>
      <c r="AJ419" s="964"/>
      <c r="AK419" s="964"/>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s="1396"/>
      <c r="CB419" s="1396"/>
      <c r="CC419"/>
      <c r="CD419"/>
      <c r="CE419"/>
    </row>
    <row r="420" spans="1:83" ht="13.15" customHeight="1" outlineLevel="2" x14ac:dyDescent="0.2">
      <c r="A420"/>
      <c r="B420" s="1"/>
      <c r="C420"/>
      <c r="D420"/>
      <c r="E420"/>
      <c r="F420"/>
      <c r="G420" s="1"/>
      <c r="H420" s="1"/>
      <c r="I420"/>
      <c r="J420"/>
      <c r="K420"/>
      <c r="L420"/>
      <c r="M420"/>
      <c r="N420"/>
      <c r="O420"/>
      <c r="P420"/>
      <c r="Q420"/>
      <c r="R420" s="558" t="s">
        <v>3973</v>
      </c>
      <c r="S420" s="83"/>
      <c r="T420" s="56"/>
      <c r="U420" s="955"/>
      <c r="V420" s="34" t="str">
        <f>Z413</f>
        <v>A</v>
      </c>
      <c r="W420" s="148"/>
      <c r="X420" s="35" t="s">
        <v>769</v>
      </c>
      <c r="Y420" s="148"/>
      <c r="Z420" s="36" t="str">
        <f>Z414</f>
        <v>D</v>
      </c>
      <c r="AA420" s="123"/>
      <c r="AB420" s="1459">
        <f>IF(MaxScore,MaxGoals(W420,Y420,MaxGoalsValue),IF(W420="","",W420))</f>
        <v>0</v>
      </c>
      <c r="AC420" s="1460" t="str">
        <f>IF(MaxScore,"-",IF(W420="","","-"))</f>
        <v>-</v>
      </c>
      <c r="AD420" s="1459">
        <f>IF(MaxScore,MaxGoals(Y420,W420,MaxGoalsValue),IF(Y420="","",Y420))</f>
        <v>0</v>
      </c>
      <c r="AE420" s="964" t="str">
        <f>IF(W420="","",IF(W420&gt;Y420,V420,IF(W420=Y420,"",Z420)))</f>
        <v/>
      </c>
      <c r="AF420" s="964" t="str">
        <f>IF(W420="","",IF(W420=Y420,V420,""))</f>
        <v/>
      </c>
      <c r="AG420" s="964" t="str">
        <f>IF(W420="","",IF(W420=Y420,Z420,""))</f>
        <v/>
      </c>
      <c r="AH420" s="964" t="str">
        <f>IF(W420="","",IF(W420&lt;Y420,V420,IF(W420=Y420,"",Z420)))</f>
        <v/>
      </c>
      <c r="AI420" s="964" t="str">
        <f>CONCATENATE(AE420,AH420)</f>
        <v/>
      </c>
      <c r="AJ420" s="964"/>
      <c r="AK420" s="964"/>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s="1396"/>
      <c r="CB420" s="1396"/>
      <c r="CC420"/>
      <c r="CD420"/>
      <c r="CE420"/>
    </row>
    <row r="421" spans="1:83" ht="13.15" customHeight="1" outlineLevel="2" x14ac:dyDescent="0.2">
      <c r="A421"/>
      <c r="B421" s="1"/>
      <c r="C421"/>
      <c r="D421"/>
      <c r="E421"/>
      <c r="F421"/>
      <c r="G421" s="1"/>
      <c r="H421" s="1"/>
      <c r="I421"/>
      <c r="J421"/>
      <c r="K421"/>
      <c r="L421"/>
      <c r="M421"/>
      <c r="N421"/>
      <c r="O421"/>
      <c r="P421"/>
      <c r="Q421"/>
      <c r="R421" s="558" t="s">
        <v>3973</v>
      </c>
      <c r="S421" s="83"/>
      <c r="T421" s="56"/>
      <c r="U421" s="955"/>
      <c r="V421" s="43" t="str">
        <f>Z415</f>
        <v>B</v>
      </c>
      <c r="W421" s="10"/>
      <c r="X421" s="45" t="s">
        <v>769</v>
      </c>
      <c r="Y421" s="10"/>
      <c r="Z421" s="46" t="str">
        <f>V413</f>
        <v>F</v>
      </c>
      <c r="AA421" s="123"/>
      <c r="AB421" s="1459">
        <f>IF(MaxScore,MaxGoals(W421,Y421,MaxGoalsValue),IF(W421="","",W421))</f>
        <v>0</v>
      </c>
      <c r="AC421" s="1460" t="str">
        <f>IF(MaxScore,"-",IF(W421="","","-"))</f>
        <v>-</v>
      </c>
      <c r="AD421" s="1459">
        <f>IF(MaxScore,MaxGoals(Y421,W421,MaxGoalsValue),IF(Y421="","",Y421))</f>
        <v>0</v>
      </c>
      <c r="AE421" s="964" t="str">
        <f>IF(W421="","",IF(W421&gt;Y421,V421,IF(W421=Y421,"",Z421)))</f>
        <v/>
      </c>
      <c r="AF421" s="964" t="str">
        <f>IF(W421="","",IF(W421=Y421,V421,""))</f>
        <v/>
      </c>
      <c r="AG421" s="964" t="str">
        <f>IF(W421="","",IF(W421=Y421,Z421,""))</f>
        <v/>
      </c>
      <c r="AH421" s="964" t="str">
        <f>IF(W421="","",IF(W421&lt;Y421,V421,IF(W421=Y421,"",Z421)))</f>
        <v/>
      </c>
      <c r="AI421" s="964" t="str">
        <f>CONCATENATE(AE421,AH421)</f>
        <v/>
      </c>
      <c r="AJ421" s="964"/>
      <c r="AK421" s="964"/>
      <c r="AL421"/>
      <c r="AM421"/>
      <c r="AN421"/>
      <c r="AO421"/>
      <c r="AP421"/>
      <c r="AQ421"/>
      <c r="AR421"/>
      <c r="AS421"/>
      <c r="AT421"/>
      <c r="AU421"/>
      <c r="AV421"/>
      <c r="AW421"/>
      <c r="AX421" s="9"/>
      <c r="AY421"/>
      <c r="AZ421"/>
      <c r="BA421"/>
      <c r="BB421"/>
      <c r="BC421"/>
      <c r="BD421"/>
      <c r="BE421"/>
      <c r="BF421"/>
      <c r="BG421"/>
      <c r="BH421"/>
      <c r="BI421"/>
      <c r="BJ421"/>
      <c r="BK421"/>
      <c r="BL421"/>
      <c r="BM421"/>
      <c r="BN421"/>
      <c r="BO421"/>
      <c r="BP421"/>
      <c r="BQ421"/>
      <c r="BR421"/>
      <c r="BS421"/>
      <c r="BT421"/>
      <c r="BU421"/>
      <c r="BV421"/>
      <c r="BW421"/>
      <c r="BX421"/>
      <c r="BY421"/>
      <c r="BZ421"/>
      <c r="CA421" s="1396"/>
      <c r="CB421" s="1396"/>
      <c r="CC421"/>
      <c r="CD421"/>
      <c r="CE421"/>
    </row>
    <row r="422" spans="1:83" ht="13.15" customHeight="1" outlineLevel="2" x14ac:dyDescent="0.2">
      <c r="A422"/>
      <c r="B422" s="1"/>
      <c r="C422"/>
      <c r="D422"/>
      <c r="E422"/>
      <c r="F422"/>
      <c r="G422" s="1"/>
      <c r="H422" s="1"/>
      <c r="I422"/>
      <c r="J422"/>
      <c r="K422"/>
      <c r="L422"/>
      <c r="M422"/>
      <c r="N422"/>
      <c r="O422"/>
      <c r="P422"/>
      <c r="Q422"/>
      <c r="R422" s="558" t="s">
        <v>3973</v>
      </c>
      <c r="S422" s="83"/>
      <c r="T422" s="56"/>
      <c r="U422" s="955"/>
      <c r="V422" s="43" t="str">
        <f>V409</f>
        <v>C</v>
      </c>
      <c r="W422" s="10"/>
      <c r="X422" s="45" t="s">
        <v>769</v>
      </c>
      <c r="Y422" s="10"/>
      <c r="Z422" s="46" t="str">
        <f>V414</f>
        <v>H</v>
      </c>
      <c r="AA422" s="123"/>
      <c r="AB422" s="1459">
        <f>IF(MaxScore,MaxGoals(W422,Y422,MaxGoalsValue),IF(W422="","",W422))</f>
        <v>0</v>
      </c>
      <c r="AC422" s="1460" t="str">
        <f>IF(MaxScore,"-",IF(W422="","","-"))</f>
        <v>-</v>
      </c>
      <c r="AD422" s="1459">
        <f>IF(MaxScore,MaxGoals(Y422,W422,MaxGoalsValue),IF(Y422="","",Y422))</f>
        <v>0</v>
      </c>
      <c r="AE422" s="964" t="str">
        <f>IF(W422="","",IF(W422&gt;Y422,V422,IF(W422=Y422,"",Z422)))</f>
        <v/>
      </c>
      <c r="AF422" s="964" t="str">
        <f>IF(W422="","",IF(W422=Y422,V422,""))</f>
        <v/>
      </c>
      <c r="AG422" s="964" t="str">
        <f>IF(W422="","",IF(W422=Y422,Z422,""))</f>
        <v/>
      </c>
      <c r="AH422" s="964" t="str">
        <f>IF(W422="","",IF(W422&lt;Y422,V422,IF(W422=Y422,"",Z422)))</f>
        <v/>
      </c>
      <c r="AI422" s="964" t="str">
        <f>CONCATENATE(AE422,AH422)</f>
        <v/>
      </c>
      <c r="AJ422" s="964"/>
      <c r="AK422" s="964"/>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s="1396"/>
      <c r="CB422" s="1396"/>
      <c r="CC422"/>
      <c r="CD422"/>
      <c r="CE422"/>
    </row>
    <row r="423" spans="1:83" ht="13.15" customHeight="1" outlineLevel="2" x14ac:dyDescent="0.2">
      <c r="A423"/>
      <c r="B423" s="1"/>
      <c r="C423"/>
      <c r="D423"/>
      <c r="E423"/>
      <c r="F423"/>
      <c r="G423" s="1"/>
      <c r="H423" s="1"/>
      <c r="I423"/>
      <c r="J423"/>
      <c r="K423"/>
      <c r="L423"/>
      <c r="M423"/>
      <c r="N423"/>
      <c r="O423"/>
      <c r="P423"/>
      <c r="Q423"/>
      <c r="R423" s="558" t="s">
        <v>3973</v>
      </c>
      <c r="S423" s="83"/>
      <c r="T423" s="56"/>
      <c r="U423" s="955"/>
      <c r="V423" s="43" t="str">
        <f>Z416</f>
        <v>E</v>
      </c>
      <c r="W423" s="10"/>
      <c r="X423" s="45" t="s">
        <v>769</v>
      </c>
      <c r="Y423" s="10"/>
      <c r="Z423" s="46" t="str">
        <f>V415</f>
        <v>J</v>
      </c>
      <c r="AA423" s="123"/>
      <c r="AB423" s="1459">
        <f>IF(MaxScore,MaxGoals(W423,Y423,MaxGoalsValue),IF(W423="","",W423))</f>
        <v>0</v>
      </c>
      <c r="AC423" s="1460" t="str">
        <f>IF(MaxScore,"-",IF(W423="","","-"))</f>
        <v>-</v>
      </c>
      <c r="AD423" s="1459">
        <f>IF(MaxScore,MaxGoals(Y423,W423,MaxGoalsValue),IF(Y423="","",Y423))</f>
        <v>0</v>
      </c>
      <c r="AE423" s="964" t="str">
        <f>IF(W423="","",IF(W423&gt;Y423,V423,IF(W423=Y423,"",Z423)))</f>
        <v/>
      </c>
      <c r="AF423" s="964" t="str">
        <f>IF(W423="","",IF(W423=Y423,V423,""))</f>
        <v/>
      </c>
      <c r="AG423" s="964" t="str">
        <f>IF(W423="","",IF(W423=Y423,Z423,""))</f>
        <v/>
      </c>
      <c r="AH423" s="964" t="str">
        <f>IF(W423="","",IF(W423&lt;Y423,V423,IF(W423=Y423,"",Z423)))</f>
        <v/>
      </c>
      <c r="AI423" s="964" t="str">
        <f>CONCATENATE(AE423,AH423)</f>
        <v/>
      </c>
      <c r="AJ423" s="964"/>
      <c r="AK423" s="964"/>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s="1396"/>
      <c r="CB423" s="1396"/>
      <c r="CC423"/>
      <c r="CD423"/>
      <c r="CE423"/>
    </row>
    <row r="424" spans="1:83" ht="13.9" customHeight="1" outlineLevel="2" thickBot="1" x14ac:dyDescent="0.25">
      <c r="A424"/>
      <c r="B424" s="1"/>
      <c r="C424"/>
      <c r="D424"/>
      <c r="E424"/>
      <c r="F424"/>
      <c r="G424" s="1"/>
      <c r="H424" s="1"/>
      <c r="I424"/>
      <c r="J424"/>
      <c r="K424"/>
      <c r="L424"/>
      <c r="M424"/>
      <c r="N424"/>
      <c r="O424"/>
      <c r="P424"/>
      <c r="Q424"/>
      <c r="R424" s="558" t="s">
        <v>3973</v>
      </c>
      <c r="S424" s="956"/>
      <c r="T424" s="58"/>
      <c r="U424" s="957"/>
      <c r="V424" s="958" t="str">
        <f>V417</f>
        <v>I</v>
      </c>
      <c r="W424" s="10"/>
      <c r="X424" s="45" t="s">
        <v>769</v>
      </c>
      <c r="Y424" s="10"/>
      <c r="Z424" s="46" t="str">
        <f>V416</f>
        <v>K</v>
      </c>
      <c r="AA424" s="123"/>
      <c r="AB424" s="1459">
        <f>IF(MaxScore,MaxGoals(W424,Y424,MaxGoalsValue),IF(W424="","",W424))</f>
        <v>0</v>
      </c>
      <c r="AC424" s="1460" t="str">
        <f>IF(MaxScore,"-",IF(W424="","","-"))</f>
        <v>-</v>
      </c>
      <c r="AD424" s="1459">
        <f>IF(MaxScore,MaxGoals(Y424,W424,MaxGoalsValue),IF(Y424="","",Y424))</f>
        <v>0</v>
      </c>
      <c r="AE424" s="964" t="str">
        <f>IF(W424="","",IF(W424&gt;Y424,V424,IF(W424=Y424,"",Z424)))</f>
        <v/>
      </c>
      <c r="AF424" s="964" t="str">
        <f>IF(W424="","",IF(W424=Y424,V424,""))</f>
        <v/>
      </c>
      <c r="AG424" s="964" t="str">
        <f>IF(W424="","",IF(W424=Y424,Z424,""))</f>
        <v/>
      </c>
      <c r="AH424" s="964" t="str">
        <f>IF(W424="","",IF(W424&lt;Y424,V424,IF(W424=Y424,"",Z424)))</f>
        <v/>
      </c>
      <c r="AI424" s="964" t="str">
        <f>CONCATENATE(AE424,AH424)</f>
        <v/>
      </c>
      <c r="AJ424" s="964"/>
      <c r="AK424" s="964"/>
      <c r="AL424"/>
      <c r="AM424"/>
      <c r="AN424"/>
      <c r="AO424"/>
      <c r="AP424"/>
      <c r="AQ424"/>
      <c r="AR424"/>
      <c r="AS424"/>
      <c r="AT424"/>
      <c r="AU424"/>
      <c r="AV424"/>
      <c r="AW424" s="9"/>
      <c r="AX424" s="9"/>
      <c r="AY424"/>
      <c r="AZ424"/>
      <c r="BA424"/>
      <c r="BB424"/>
      <c r="BC424"/>
      <c r="BD424"/>
      <c r="BE424"/>
      <c r="BF424"/>
      <c r="BG424"/>
      <c r="BH424"/>
      <c r="BI424"/>
      <c r="BJ424"/>
      <c r="BK424"/>
      <c r="BL424"/>
      <c r="BM424"/>
      <c r="BN424"/>
      <c r="BO424"/>
      <c r="BP424"/>
      <c r="BQ424"/>
      <c r="BR424"/>
      <c r="BS424"/>
      <c r="BT424"/>
      <c r="BU424"/>
      <c r="BV424"/>
      <c r="BW424"/>
      <c r="BX424"/>
      <c r="BY424"/>
      <c r="BZ424"/>
      <c r="CA424" s="1396"/>
      <c r="CB424" s="1396"/>
      <c r="CC424"/>
      <c r="CD424"/>
      <c r="CE424"/>
    </row>
    <row r="425" spans="1:83" ht="13.5" thickBot="1" x14ac:dyDescent="0.25">
      <c r="A425"/>
      <c r="B425" s="1"/>
      <c r="C425"/>
      <c r="D425"/>
      <c r="E425"/>
      <c r="F425"/>
      <c r="G425" s="1"/>
      <c r="H425" s="1"/>
      <c r="I425"/>
      <c r="J425"/>
      <c r="K425"/>
      <c r="L425"/>
      <c r="M425"/>
      <c r="N425"/>
      <c r="O425"/>
      <c r="P425"/>
      <c r="Q425"/>
      <c r="S425"/>
      <c r="T425"/>
      <c r="U425"/>
      <c r="V425"/>
      <c r="W425" s="1"/>
      <c r="X425" s="1"/>
      <c r="Y425" s="1"/>
      <c r="Z425"/>
      <c r="AB425" s="964"/>
      <c r="AC425" s="964"/>
      <c r="AD425" s="969"/>
      <c r="AE425" s="969"/>
      <c r="AF425" s="964"/>
      <c r="AG425" s="970"/>
      <c r="AH425" s="964"/>
      <c r="AI425" s="969"/>
      <c r="AJ425" s="964"/>
      <c r="AK425" s="963"/>
      <c r="AL425" s="16"/>
      <c r="AM425" s="16"/>
      <c r="AN425" s="16"/>
      <c r="AO425" s="16"/>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s="1396"/>
      <c r="CB425" s="1396"/>
      <c r="CC425"/>
      <c r="CD425"/>
      <c r="CE425"/>
    </row>
    <row r="426" spans="1:83" ht="13.5" thickBot="1" x14ac:dyDescent="0.25">
      <c r="A426"/>
      <c r="B426" s="282" t="str">
        <f>N_Group_12</f>
        <v>Poule de 12</v>
      </c>
      <c r="C426" s="283"/>
      <c r="D426" s="283"/>
      <c r="E426" s="283"/>
      <c r="F426" s="283"/>
      <c r="G426" s="283"/>
      <c r="H426" s="283"/>
      <c r="I426" s="283"/>
      <c r="J426" s="283"/>
      <c r="K426" s="283"/>
      <c r="L426" s="283"/>
      <c r="M426" s="283"/>
      <c r="N426" s="283"/>
      <c r="O426" s="283"/>
      <c r="P426" s="283"/>
      <c r="Q426" s="283"/>
      <c r="R426" s="357"/>
      <c r="S426" s="283"/>
      <c r="T426" s="283"/>
      <c r="U426" s="283"/>
      <c r="V426" s="283"/>
      <c r="W426" s="992"/>
      <c r="X426" s="992"/>
      <c r="Y426" s="992"/>
      <c r="Z426" s="283"/>
      <c r="AA426" s="283"/>
      <c r="AB426" s="965"/>
      <c r="AC426" s="965"/>
      <c r="AD426" s="965"/>
      <c r="AE426" s="966"/>
      <c r="AF426" s="966"/>
      <c r="AG426" s="966"/>
      <c r="AH426" s="966"/>
      <c r="AI426" s="966"/>
      <c r="AJ426" s="966"/>
      <c r="AK426" s="965"/>
      <c r="AL426" s="283"/>
      <c r="AM426" s="282" t="str">
        <f>B426</f>
        <v>Poule de 12</v>
      </c>
      <c r="AN426" s="283"/>
      <c r="AO426" s="283"/>
      <c r="AP426" s="283"/>
      <c r="AQ426" s="283"/>
      <c r="AR426" s="283"/>
      <c r="AS426" s="283"/>
      <c r="AT426" s="283"/>
      <c r="AU426" s="283"/>
      <c r="AV426" s="283"/>
      <c r="AW426" s="283"/>
      <c r="AX426" s="283"/>
      <c r="AY426" s="283"/>
      <c r="AZ426" s="283"/>
      <c r="BA426" s="283"/>
      <c r="BB426" s="283"/>
      <c r="BC426" s="283"/>
      <c r="BD426" s="283"/>
      <c r="BE426" s="283"/>
      <c r="BF426" s="283"/>
      <c r="BG426" s="283"/>
      <c r="BH426" s="283"/>
      <c r="BI426" s="283"/>
      <c r="BJ426" s="283"/>
      <c r="BK426" s="283"/>
      <c r="BL426" s="283"/>
      <c r="BM426" s="283"/>
      <c r="BN426" s="283"/>
      <c r="BO426" s="283"/>
      <c r="BP426" s="283"/>
      <c r="BQ426" s="283"/>
      <c r="BR426" s="283"/>
      <c r="BS426" s="283"/>
      <c r="BT426" s="283"/>
      <c r="BU426" s="283"/>
      <c r="BV426" s="283"/>
      <c r="BW426" s="283"/>
      <c r="BX426" s="283"/>
      <c r="BY426" s="283"/>
      <c r="BZ426"/>
      <c r="CA426" s="1396"/>
      <c r="CB426" s="1396"/>
      <c r="CC426" s="284"/>
      <c r="CD426"/>
      <c r="CE426"/>
    </row>
    <row r="427" spans="1:83" ht="13.5" outlineLevel="1" thickBot="1" x14ac:dyDescent="0.25">
      <c r="A427"/>
      <c r="B427" s="1"/>
      <c r="C427"/>
      <c r="D427"/>
      <c r="E427"/>
      <c r="F427"/>
      <c r="G427" s="1"/>
      <c r="H427" s="1"/>
      <c r="I427"/>
      <c r="J427"/>
      <c r="K427"/>
      <c r="L427"/>
      <c r="M427"/>
      <c r="N427"/>
      <c r="O427"/>
      <c r="P427"/>
      <c r="Q427"/>
      <c r="S427"/>
      <c r="T427"/>
      <c r="U427"/>
      <c r="V427"/>
      <c r="W427" s="1"/>
      <c r="X427" s="1"/>
      <c r="Y427" s="1"/>
      <c r="Z427"/>
      <c r="AB427" s="964"/>
      <c r="AC427" s="964"/>
      <c r="AD427" s="969"/>
      <c r="AE427" s="969"/>
      <c r="AF427" s="964"/>
      <c r="AG427" s="970"/>
      <c r="AH427" s="964"/>
      <c r="AI427" s="969"/>
      <c r="AJ427" s="964"/>
      <c r="AK427" s="963"/>
      <c r="AL427" s="16"/>
      <c r="AM427" s="16"/>
      <c r="AN427" s="16"/>
      <c r="AO427" s="16"/>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s="1396"/>
      <c r="CB427" s="1396"/>
      <c r="CC427"/>
      <c r="CD427"/>
      <c r="CE427"/>
    </row>
    <row r="428" spans="1:83" ht="13.5" outlineLevel="1" thickBot="1" x14ac:dyDescent="0.25">
      <c r="A428"/>
      <c r="B428" s="18" t="str">
        <f>N_Tirage</f>
        <v>Tirage</v>
      </c>
      <c r="C428" s="971" t="s">
        <v>787</v>
      </c>
      <c r="D428" s="972" t="s">
        <v>831</v>
      </c>
      <c r="E428" s="972" t="s">
        <v>832</v>
      </c>
      <c r="F428" s="973" t="s">
        <v>833</v>
      </c>
      <c r="G428" s="22" t="str">
        <f>N_Joueurs</f>
        <v>Joueurs</v>
      </c>
      <c r="H428" s="3" t="str">
        <f>N_RankPoints</f>
        <v>Pt. Clas.</v>
      </c>
      <c r="I428" s="22" t="str">
        <f>N_Diff_Part</f>
        <v>Diff-Part</v>
      </c>
      <c r="J428" s="983" t="s">
        <v>788</v>
      </c>
      <c r="K428" s="984" t="s">
        <v>789</v>
      </c>
      <c r="L428" s="972" t="s">
        <v>790</v>
      </c>
      <c r="M428" s="972" t="s">
        <v>791</v>
      </c>
      <c r="N428" s="972" t="s">
        <v>792</v>
      </c>
      <c r="O428" s="972" t="s">
        <v>793</v>
      </c>
      <c r="P428" s="972" t="s">
        <v>794</v>
      </c>
      <c r="Q428" s="973" t="s">
        <v>781</v>
      </c>
      <c r="R428"/>
      <c r="S428"/>
      <c r="T428"/>
      <c r="U428"/>
      <c r="V428"/>
      <c r="W428" s="1"/>
      <c r="X428" s="1"/>
      <c r="Y428" s="1"/>
      <c r="Z428"/>
      <c r="AB428" s="964"/>
      <c r="AC428" s="964"/>
      <c r="AD428" s="964"/>
      <c r="AE428" s="964" t="str">
        <f>N_G</f>
        <v>G</v>
      </c>
      <c r="AF428" s="964" t="str">
        <f>N_N</f>
        <v>N</v>
      </c>
      <c r="AG428" s="964" t="str">
        <f>N_N</f>
        <v>N</v>
      </c>
      <c r="AH428" s="964" t="str">
        <f>N_P</f>
        <v>P</v>
      </c>
      <c r="AI428" s="964" t="s">
        <v>1560</v>
      </c>
      <c r="AJ428" s="964" t="s">
        <v>3714</v>
      </c>
      <c r="AK428" s="964" t="str">
        <f>IF(COUNTA(W443:W528)=0,"","OK")</f>
        <v/>
      </c>
      <c r="AL428"/>
      <c r="AM428" s="16"/>
      <c r="AN428" s="24" t="str">
        <f>N_Cla.</f>
        <v>Cla.</v>
      </c>
      <c r="AO428" s="4" t="str">
        <f>N_Joueurs</f>
        <v>Joueurs</v>
      </c>
      <c r="AP428" s="25" t="str">
        <f>N_Pts</f>
        <v>Pts</v>
      </c>
      <c r="AQ428" s="25" t="str">
        <f>N_J</f>
        <v>J</v>
      </c>
      <c r="AR428" s="26" t="str">
        <f>N_G</f>
        <v>G</v>
      </c>
      <c r="AS428" s="26" t="str">
        <f>N_N</f>
        <v>N</v>
      </c>
      <c r="AT428" s="26" t="str">
        <f>N_P</f>
        <v>P</v>
      </c>
      <c r="AU428" s="26" t="str">
        <f>N_BP</f>
        <v>BP</v>
      </c>
      <c r="AV428" s="26" t="str">
        <f>N_BC</f>
        <v>BC</v>
      </c>
      <c r="AW428" s="5" t="str">
        <f>N_Diff.</f>
        <v>Diff.</v>
      </c>
      <c r="AX428"/>
      <c r="AY428"/>
      <c r="AZ428" s="1"/>
      <c r="BA428" s="1"/>
      <c r="BB428"/>
      <c r="BC428" s="6"/>
      <c r="BD428"/>
      <c r="BE428" s="1"/>
      <c r="BF428"/>
      <c r="BG428" s="16"/>
      <c r="BH428"/>
      <c r="BI428"/>
      <c r="BJ428"/>
      <c r="BK428"/>
      <c r="BL428"/>
      <c r="BM428"/>
      <c r="BN428"/>
      <c r="BO428"/>
      <c r="BP428"/>
      <c r="BQ428"/>
      <c r="BR428"/>
      <c r="BS428"/>
      <c r="BT428"/>
      <c r="BU428"/>
      <c r="BV428"/>
      <c r="BW428"/>
      <c r="BX428"/>
      <c r="BY428"/>
      <c r="BZ428"/>
      <c r="CA428" s="1396"/>
      <c r="CB428" s="1396"/>
      <c r="CC428"/>
      <c r="CD428"/>
      <c r="CE428"/>
    </row>
    <row r="429" spans="1:83" outlineLevel="1" x14ac:dyDescent="0.2">
      <c r="A429"/>
      <c r="B429" s="941">
        <v>1</v>
      </c>
      <c r="C429" s="974" t="str">
        <f>IF(AK428="","",RANK(F429,F429:F440)*1000+ROW())</f>
        <v/>
      </c>
      <c r="D429" s="975" t="str">
        <f>IF(L429="","",CritClassInd1_Points*J429+CritClassInd1_Matches*L429+CritClassInd1_Attaque*O429+CritClassInd1_DiffButs*Q429)</f>
        <v/>
      </c>
      <c r="E429" s="975" t="str">
        <f>IF(L429="","",Nb_Diff_Part(D429,D429:D440,G429,G429:G440,AI443:AI528)*CritClassInd_DiffPart+Nb_Goal_Part(D429,D429:D440,G429,G429:G440,V443:Z528)*CritClassInd_GoalPart+Nb_Score_Part(D429,D429:D440,G429,G429:G440,V443:Z528)*CritClassInd_ScorePart)</f>
        <v/>
      </c>
      <c r="F429" s="976" t="str">
        <f>IF(L429="","",D429+E429+CritClassInd2_Points*J429+CritClassInd2_Matches*L429+CritClassInd2_Attaque*O429+CritClassInd2_DiffButs*Q429+CritClassInd_Ranking*H429+I429)</f>
        <v/>
      </c>
      <c r="G429" s="942" t="s">
        <v>2712</v>
      </c>
      <c r="H429" s="499">
        <f t="shared" ref="H429:H440" si="128">GMFTRANKINGPOINTS(G429,Particular_Category)</f>
        <v>0</v>
      </c>
      <c r="I429" s="942"/>
      <c r="J429" s="974" t="str">
        <f>IF(AK428="","",(L429*Points_Victoire)+M429*Points_Null)</f>
        <v/>
      </c>
      <c r="K429" s="985" t="str">
        <f t="shared" ref="K429:K440" si="129">IF(L429="","",SUM(L429:N429))</f>
        <v/>
      </c>
      <c r="L429" s="986" t="str">
        <f>IF(AK428="","",COUNTIF(AE443:AE528,G429))</f>
        <v/>
      </c>
      <c r="M429" s="986" t="str">
        <f>IF(AK428="","",COUNTIF(AF443:AG528,G429))</f>
        <v/>
      </c>
      <c r="N429" s="986" t="str">
        <f>IF(AK428="","",COUNTIF(AH443:AH528,G429))</f>
        <v/>
      </c>
      <c r="O429" s="986" t="str">
        <f>IF(AK428="","",SUMIF(V443:V528,G429,AB443:AB528)+SUMIF(Z443:Z528,G429,AD443:AD528))</f>
        <v/>
      </c>
      <c r="P429" s="986" t="str">
        <f>IF(AK428="","",SUMIF(V443:V528,G429,AD443:AD528)+SUMIF(Z443:Z528,G429,AB443:AB528))</f>
        <v/>
      </c>
      <c r="Q429" s="987" t="str">
        <f>IF(AK428="","",O429-P429)</f>
        <v/>
      </c>
      <c r="R429"/>
      <c r="S429"/>
      <c r="T429"/>
      <c r="U429"/>
      <c r="V429"/>
      <c r="W429" s="1"/>
      <c r="X429" s="1"/>
      <c r="Y429" s="1"/>
      <c r="Z429"/>
      <c r="AB429" s="964"/>
      <c r="AC429" s="964"/>
      <c r="AD429" s="964"/>
      <c r="AE429" s="964"/>
      <c r="AF429" s="964"/>
      <c r="AG429" s="964"/>
      <c r="AH429" s="964"/>
      <c r="AI429" s="964"/>
      <c r="AJ429" s="964"/>
      <c r="AK429" s="968" t="str">
        <f>IF(AK428="","",SMALL(C429:C440,1))</f>
        <v/>
      </c>
      <c r="AL429"/>
      <c r="AM429" s="16"/>
      <c r="AN429" s="943" t="str">
        <f>IF(AK428="","",INT(AK429/1000))</f>
        <v/>
      </c>
      <c r="AO429" s="33" t="str">
        <f>IF(AK428="","",VLOOKUP(AK429,C429:Q440,5,FALSE))</f>
        <v/>
      </c>
      <c r="AP429" s="33" t="str">
        <f>VLOOKUP(AK429,C429:Q440,8,FALSE)</f>
        <v/>
      </c>
      <c r="AQ429" s="33" t="str">
        <f>VLOOKUP(AK429,C429:Q440,9,FALSE)</f>
        <v/>
      </c>
      <c r="AR429" s="33" t="str">
        <f>VLOOKUP(AK429,C429:Q440,10,FALSE)</f>
        <v/>
      </c>
      <c r="AS429" s="33" t="str">
        <f>VLOOKUP(AK429,C429:Q440,11,FALSE)</f>
        <v/>
      </c>
      <c r="AT429" s="33" t="str">
        <f>VLOOKUP(AK429,C429:Q440,12,FALSE)</f>
        <v/>
      </c>
      <c r="AU429" s="33" t="str">
        <f>VLOOKUP(AK429,C429:Q440,13,FALSE)</f>
        <v/>
      </c>
      <c r="AV429" s="33" t="str">
        <f>VLOOKUP(AK429,C429:Q440,14,FALSE)</f>
        <v/>
      </c>
      <c r="AW429" s="944" t="str">
        <f>VLOOKUP(AK429,C429:Q440,15,FALSE)</f>
        <v/>
      </c>
      <c r="AX429"/>
      <c r="AY429"/>
      <c r="AZ429" s="1"/>
      <c r="BA429" s="1"/>
      <c r="BB429"/>
      <c r="BC429" s="6"/>
      <c r="BD429"/>
      <c r="BE429" s="1"/>
      <c r="BF429"/>
      <c r="BG429" s="16"/>
      <c r="BH429"/>
      <c r="BI429"/>
      <c r="BJ429"/>
      <c r="BK429"/>
      <c r="BL429"/>
      <c r="BM429"/>
      <c r="BN429"/>
      <c r="BO429"/>
      <c r="BP429"/>
      <c r="BQ429"/>
      <c r="BR429"/>
      <c r="BS429"/>
      <c r="BT429"/>
      <c r="BU429"/>
      <c r="BV429"/>
      <c r="BW429"/>
      <c r="BX429"/>
      <c r="BY429"/>
      <c r="BZ429"/>
      <c r="CA429" s="1396"/>
      <c r="CB429" s="1396"/>
      <c r="CC429"/>
      <c r="CD429"/>
      <c r="CE429"/>
    </row>
    <row r="430" spans="1:83" outlineLevel="1" x14ac:dyDescent="0.2">
      <c r="A430"/>
      <c r="B430" s="945">
        <v>2</v>
      </c>
      <c r="C430" s="977" t="str">
        <f>IF(AK428="","",RANK(F430,F429:F440)*1000+ROW())</f>
        <v/>
      </c>
      <c r="D430" s="978" t="str">
        <f t="shared" ref="D430:D440" si="130">IF(L430="","",CritClassInd1_Points*J430+CritClassInd1_Matches*L430+CritClassInd1_Attaque*O430+CritClassInd1_DiffButs*Q430)</f>
        <v/>
      </c>
      <c r="E430" s="978" t="str">
        <f>IF(L430="","",Nb_Diff_Part(D430,D429:D440,G430,G429:G440,AI443:AI528)*CritClassInd_DiffPart+Nb_Goal_Part(D430,D429:D440,G430,G429:G440,V443:Z528)*CritClassInd_GoalPart+Nb_Score_Part(D430,D429:D440,G430,G429:G440,V443:Z528)*CritClassInd_ScorePart)</f>
        <v/>
      </c>
      <c r="F430" s="979" t="str">
        <f t="shared" ref="F430:F440" si="131">IF(L430="","",D430+E430+CritClassInd2_Points*J430+CritClassInd2_Matches*L430+CritClassInd2_Attaque*O430+CritClassInd2_DiffButs*Q430+CritClassInd_Ranking*H430+I430)</f>
        <v/>
      </c>
      <c r="G430" s="39" t="s">
        <v>3911</v>
      </c>
      <c r="H430" s="501">
        <f t="shared" si="128"/>
        <v>0</v>
      </c>
      <c r="I430" s="39"/>
      <c r="J430" s="977" t="str">
        <f>IF(AK428="","",(L430*Points_Victoire)+M430*Points_Null)</f>
        <v/>
      </c>
      <c r="K430" s="988" t="str">
        <f t="shared" si="129"/>
        <v/>
      </c>
      <c r="L430" s="988" t="str">
        <f>IF(AK428="","",COUNTIF(AE443:AE528,G430))</f>
        <v/>
      </c>
      <c r="M430" s="988" t="str">
        <f>IF(AK428="","",COUNTIF(AF443:AG528,G430))</f>
        <v/>
      </c>
      <c r="N430" s="988" t="str">
        <f>IF(AK428="","",COUNTIF(AH443:AH528,G430))</f>
        <v/>
      </c>
      <c r="O430" s="988" t="str">
        <f>IF(AK428="","",SUMIF(V443:V528,G430,AB443:AB528)+SUMIF(Z443:Z528,G430,AD443:AD528))</f>
        <v/>
      </c>
      <c r="P430" s="988" t="str">
        <f>IF(AK428="","",SUMIF(V443:V528,G430,AD443:AD528)+SUMIF(Z443:Z528,G430,AB443:AB528))</f>
        <v/>
      </c>
      <c r="Q430" s="989" t="str">
        <f>IF(AK428="","",O430-P430)</f>
        <v/>
      </c>
      <c r="R430"/>
      <c r="S430"/>
      <c r="T430"/>
      <c r="U430"/>
      <c r="V430"/>
      <c r="W430" s="1"/>
      <c r="X430" s="1"/>
      <c r="Y430" s="1"/>
      <c r="Z430"/>
      <c r="AB430" s="964"/>
      <c r="AC430" s="964"/>
      <c r="AD430" s="964"/>
      <c r="AE430" s="964"/>
      <c r="AF430" s="964"/>
      <c r="AG430" s="964"/>
      <c r="AH430" s="964"/>
      <c r="AI430" s="964"/>
      <c r="AJ430" s="964"/>
      <c r="AK430" s="968" t="str">
        <f>IF(AK428="","",SMALL(C429:C440,2))</f>
        <v/>
      </c>
      <c r="AL430"/>
      <c r="AM430" s="16"/>
      <c r="AN430" s="946" t="str">
        <f>IF(AK428="","",INT(AK430/1000))</f>
        <v/>
      </c>
      <c r="AO430" s="42" t="str">
        <f>IF(AK428="","",VLOOKUP(AK430,C429:Q440,5,FALSE))</f>
        <v/>
      </c>
      <c r="AP430" s="42" t="str">
        <f>VLOOKUP(AK430,C429:Q440,8,FALSE)</f>
        <v/>
      </c>
      <c r="AQ430" s="42" t="str">
        <f>VLOOKUP(AK430,C429:Q440,9,FALSE)</f>
        <v/>
      </c>
      <c r="AR430" s="42" t="str">
        <f>VLOOKUP(AK430,C429:Q440,10,FALSE)</f>
        <v/>
      </c>
      <c r="AS430" s="42" t="str">
        <f>VLOOKUP(AK430,C429:Q440,11,FALSE)</f>
        <v/>
      </c>
      <c r="AT430" s="42" t="str">
        <f>VLOOKUP(AK430,C429:Q440,12,FALSE)</f>
        <v/>
      </c>
      <c r="AU430" s="42" t="str">
        <f>VLOOKUP(AK430,C429:Q440,13,FALSE)</f>
        <v/>
      </c>
      <c r="AV430" s="42" t="str">
        <f>VLOOKUP(AK430,C429:Q440,14,FALSE)</f>
        <v/>
      </c>
      <c r="AW430" s="947" t="str">
        <f>VLOOKUP(AK430,C429:Q440,15,FALSE)</f>
        <v/>
      </c>
      <c r="AX430"/>
      <c r="AY430"/>
      <c r="AZ430" s="1"/>
      <c r="BA430" s="1"/>
      <c r="BB430"/>
      <c r="BC430" s="6"/>
      <c r="BD430"/>
      <c r="BE430" s="1"/>
      <c r="BF430"/>
      <c r="BG430" s="16"/>
      <c r="BH430"/>
      <c r="BI430"/>
      <c r="BJ430"/>
      <c r="BK430"/>
      <c r="BL430"/>
      <c r="BM430"/>
      <c r="BN430"/>
      <c r="BO430"/>
      <c r="BP430"/>
      <c r="BQ430"/>
      <c r="BR430"/>
      <c r="BS430"/>
      <c r="BT430"/>
      <c r="BU430"/>
      <c r="BV430"/>
      <c r="BW430"/>
      <c r="BX430"/>
      <c r="BY430"/>
      <c r="BZ430"/>
      <c r="CA430" s="1396"/>
      <c r="CB430" s="1396"/>
      <c r="CC430"/>
      <c r="CD430"/>
      <c r="CE430"/>
    </row>
    <row r="431" spans="1:83" outlineLevel="1" x14ac:dyDescent="0.2">
      <c r="A431"/>
      <c r="B431" s="945">
        <v>3</v>
      </c>
      <c r="C431" s="977" t="str">
        <f>IF(AK428="","",RANK(F431,F429:F440)*1000+ROW())</f>
        <v/>
      </c>
      <c r="D431" s="978" t="str">
        <f t="shared" si="130"/>
        <v/>
      </c>
      <c r="E431" s="978" t="str">
        <f>IF(L431="","",Nb_Diff_Part(D431,D429:D440,G431,G429:G440,AI443:AI528)*CritClassInd_DiffPart+Nb_Goal_Part(D431,D429:D440,G431,G429:G440,V443:Z528)*CritClassInd_GoalPart+Nb_Score_Part(D431,D429:D440,G431,G429:G440,V443:Z528)*CritClassInd_ScorePart)</f>
        <v/>
      </c>
      <c r="F431" s="979" t="str">
        <f t="shared" si="131"/>
        <v/>
      </c>
      <c r="G431" s="39" t="s">
        <v>3912</v>
      </c>
      <c r="H431" s="501">
        <f t="shared" si="128"/>
        <v>0</v>
      </c>
      <c r="I431" s="39"/>
      <c r="J431" s="977" t="str">
        <f>IF(AK428="","",(L431*Points_Victoire)+M431*Points_Null)</f>
        <v/>
      </c>
      <c r="K431" s="988" t="str">
        <f t="shared" si="129"/>
        <v/>
      </c>
      <c r="L431" s="988" t="str">
        <f>IF(AK428="","",COUNTIF(AE443:AE528,G431))</f>
        <v/>
      </c>
      <c r="M431" s="988" t="str">
        <f>IF(AK428="","",COUNTIF(AF443:AG528,G431))</f>
        <v/>
      </c>
      <c r="N431" s="988" t="str">
        <f>IF(AK428="","",COUNTIF(AH443:AH528,G431))</f>
        <v/>
      </c>
      <c r="O431" s="988" t="str">
        <f>IF(AK428="","",SUMIF(V443:V528,G431,AB443:AB528)+SUMIF(Z443:Z528,G431,AD443:AD528))</f>
        <v/>
      </c>
      <c r="P431" s="988" t="str">
        <f>IF(AK428="","",SUMIF(V443:V528,G431,AD443:AD528)+SUMIF(Z443:Z528,G431,AB443:AB528))</f>
        <v/>
      </c>
      <c r="Q431" s="989" t="str">
        <f>IF(AK428="","",O431-P431)</f>
        <v/>
      </c>
      <c r="R431"/>
      <c r="S431"/>
      <c r="T431"/>
      <c r="U431"/>
      <c r="V431"/>
      <c r="W431" s="1"/>
      <c r="X431" s="1"/>
      <c r="Y431" s="1"/>
      <c r="Z431"/>
      <c r="AB431" s="964"/>
      <c r="AC431" s="964"/>
      <c r="AD431" s="964"/>
      <c r="AE431" s="964"/>
      <c r="AF431" s="964"/>
      <c r="AG431" s="964"/>
      <c r="AH431" s="964"/>
      <c r="AI431" s="964"/>
      <c r="AJ431" s="964"/>
      <c r="AK431" s="968" t="str">
        <f>IF(AK428="","",SMALL(C429:C440,3))</f>
        <v/>
      </c>
      <c r="AL431"/>
      <c r="AM431" s="16"/>
      <c r="AN431" s="946" t="str">
        <f>IF(AK428="","",INT(AK431/1000))</f>
        <v/>
      </c>
      <c r="AO431" s="42" t="str">
        <f>IF(AK428="","",VLOOKUP(AK431,C429:Q440,5,FALSE))</f>
        <v/>
      </c>
      <c r="AP431" s="42" t="str">
        <f>VLOOKUP(AK431,C429:Q440,8,FALSE)</f>
        <v/>
      </c>
      <c r="AQ431" s="42" t="str">
        <f>VLOOKUP(AK431,C429:Q440,9,FALSE)</f>
        <v/>
      </c>
      <c r="AR431" s="42" t="str">
        <f>VLOOKUP(AK431,C429:Q440,10,FALSE)</f>
        <v/>
      </c>
      <c r="AS431" s="42" t="str">
        <f>VLOOKUP(AK431,C429:Q440,11,FALSE)</f>
        <v/>
      </c>
      <c r="AT431" s="42" t="str">
        <f>VLOOKUP(AK431,C429:Q440,12,FALSE)</f>
        <v/>
      </c>
      <c r="AU431" s="42" t="str">
        <f>VLOOKUP(AK431,C429:Q440,13,FALSE)</f>
        <v/>
      </c>
      <c r="AV431" s="42" t="str">
        <f>VLOOKUP(AK431,C429:Q440,14,FALSE)</f>
        <v/>
      </c>
      <c r="AW431" s="947" t="str">
        <f>VLOOKUP(AK431,C429:Q440,15,FALSE)</f>
        <v/>
      </c>
      <c r="AX431"/>
      <c r="AY431"/>
      <c r="AZ431" s="1"/>
      <c r="BA431" s="1"/>
      <c r="BB431"/>
      <c r="BC431" s="6"/>
      <c r="BD431"/>
      <c r="BE431" s="1"/>
      <c r="BF431"/>
      <c r="BG431" s="16"/>
      <c r="BH431"/>
      <c r="BI431"/>
      <c r="BJ431"/>
      <c r="BK431"/>
      <c r="BL431"/>
      <c r="BM431"/>
      <c r="BN431"/>
      <c r="BO431"/>
      <c r="BP431"/>
      <c r="BQ431"/>
      <c r="BR431"/>
      <c r="BS431"/>
      <c r="BT431"/>
      <c r="BU431"/>
      <c r="BV431"/>
      <c r="BW431"/>
      <c r="BX431"/>
      <c r="BY431"/>
      <c r="BZ431"/>
      <c r="CA431" s="1396"/>
      <c r="CB431" s="1396"/>
      <c r="CC431"/>
      <c r="CD431"/>
      <c r="CE431"/>
    </row>
    <row r="432" spans="1:83" outlineLevel="1" x14ac:dyDescent="0.2">
      <c r="A432"/>
      <c r="B432" s="945">
        <v>4</v>
      </c>
      <c r="C432" s="977" t="str">
        <f>IF(AK428="","",RANK(F432,F429:F440)*1000+ROW())</f>
        <v/>
      </c>
      <c r="D432" s="978" t="str">
        <f t="shared" si="130"/>
        <v/>
      </c>
      <c r="E432" s="978" t="str">
        <f>IF(L432="","",Nb_Diff_Part(D432,D429:D440,G432,G429:G440,AI443:AI528)*CritClassInd_DiffPart+Nb_Goal_Part(D432,D429:D440,G432,G429:G440,V443:Z528)*CritClassInd_GoalPart+Nb_Score_Part(D432,D429:D440,G432,G429:G440,V443:Z528)*CritClassInd_ScorePart)</f>
        <v/>
      </c>
      <c r="F432" s="979" t="str">
        <f t="shared" si="131"/>
        <v/>
      </c>
      <c r="G432" s="39" t="s">
        <v>2710</v>
      </c>
      <c r="H432" s="501">
        <f t="shared" si="128"/>
        <v>0</v>
      </c>
      <c r="I432" s="39"/>
      <c r="J432" s="977" t="str">
        <f>IF(AK428="","",(L432*Points_Victoire)+M432*Points_Null)</f>
        <v/>
      </c>
      <c r="K432" s="988" t="str">
        <f t="shared" si="129"/>
        <v/>
      </c>
      <c r="L432" s="988" t="str">
        <f>IF(AK428="","",COUNTIF(AE443:AE528,G432))</f>
        <v/>
      </c>
      <c r="M432" s="988" t="str">
        <f>IF(AK428="","",COUNTIF(AF443:AG528,G432))</f>
        <v/>
      </c>
      <c r="N432" s="988" t="str">
        <f>IF(AK428="","",COUNTIF(AH443:AH528,G432))</f>
        <v/>
      </c>
      <c r="O432" s="988" t="str">
        <f>IF(AK428="","",SUMIF(V443:V528,G432,AB443:AB528)+SUMIF(Z443:Z528,G432,AD443:AD528))</f>
        <v/>
      </c>
      <c r="P432" s="988" t="str">
        <f>IF(AK428="","",SUMIF(V443:V528,G432,AD443:AD528)+SUMIF(Z443:Z528,G432,AB443:AB528))</f>
        <v/>
      </c>
      <c r="Q432" s="989" t="str">
        <f>IF(AK428="","",O432-P432)</f>
        <v/>
      </c>
      <c r="R432"/>
      <c r="S432"/>
      <c r="T432"/>
      <c r="U432"/>
      <c r="V432"/>
      <c r="W432" s="1"/>
      <c r="X432" s="1"/>
      <c r="Y432" s="1"/>
      <c r="Z432"/>
      <c r="AB432" s="964"/>
      <c r="AC432" s="964"/>
      <c r="AD432" s="964"/>
      <c r="AE432" s="964"/>
      <c r="AF432" s="964"/>
      <c r="AG432" s="964"/>
      <c r="AH432" s="964"/>
      <c r="AI432" s="964"/>
      <c r="AJ432" s="964"/>
      <c r="AK432" s="968" t="str">
        <f>IF(AK428="","",SMALL(C429:C440,4))</f>
        <v/>
      </c>
      <c r="AL432"/>
      <c r="AM432" s="16"/>
      <c r="AN432" s="946" t="str">
        <f>IF(AK428="","",INT(AK432/1000))</f>
        <v/>
      </c>
      <c r="AO432" s="42" t="str">
        <f>IF(AK428="","",VLOOKUP(AK432,C429:Q440,5,FALSE))</f>
        <v/>
      </c>
      <c r="AP432" s="42" t="str">
        <f>VLOOKUP(AK432,C429:Q440,8,FALSE)</f>
        <v/>
      </c>
      <c r="AQ432" s="42" t="str">
        <f>VLOOKUP(AK432,C429:Q440,9,FALSE)</f>
        <v/>
      </c>
      <c r="AR432" s="42" t="str">
        <f>VLOOKUP(AK432,C429:Q440,10,FALSE)</f>
        <v/>
      </c>
      <c r="AS432" s="42" t="str">
        <f>VLOOKUP(AK432,C429:Q440,11,FALSE)</f>
        <v/>
      </c>
      <c r="AT432" s="42" t="str">
        <f>VLOOKUP(AK432,C429:Q440,12,FALSE)</f>
        <v/>
      </c>
      <c r="AU432" s="42" t="str">
        <f>VLOOKUP(AK432,C429:Q440,13,FALSE)</f>
        <v/>
      </c>
      <c r="AV432" s="42" t="str">
        <f>VLOOKUP(AK432,C429:Q440,14,FALSE)</f>
        <v/>
      </c>
      <c r="AW432" s="947" t="str">
        <f>VLOOKUP(AK432,C429:Q440,15,FALSE)</f>
        <v/>
      </c>
      <c r="AX432"/>
      <c r="AY432"/>
      <c r="AZ432" s="1"/>
      <c r="BA432" s="1"/>
      <c r="BB432"/>
      <c r="BC432" s="6"/>
      <c r="BD432"/>
      <c r="BE432" s="1"/>
      <c r="BF432"/>
      <c r="BG432" s="16"/>
      <c r="BH432"/>
      <c r="BI432"/>
      <c r="BJ432"/>
      <c r="BK432"/>
      <c r="BL432"/>
      <c r="BM432"/>
      <c r="BN432"/>
      <c r="BO432"/>
      <c r="BP432"/>
      <c r="BQ432"/>
      <c r="BR432"/>
      <c r="BS432"/>
      <c r="BT432"/>
      <c r="BU432"/>
      <c r="BV432"/>
      <c r="BW432"/>
      <c r="BX432"/>
      <c r="BY432"/>
      <c r="BZ432"/>
      <c r="CA432" s="1396"/>
      <c r="CB432" s="1396"/>
      <c r="CC432"/>
      <c r="CD432"/>
      <c r="CE432"/>
    </row>
    <row r="433" spans="1:83" outlineLevel="1" x14ac:dyDescent="0.2">
      <c r="A433"/>
      <c r="B433" s="945">
        <v>5</v>
      </c>
      <c r="C433" s="977" t="str">
        <f>IF(AK428="","",RANK(F433,F429:F440)*1000+ROW())</f>
        <v/>
      </c>
      <c r="D433" s="978" t="str">
        <f t="shared" si="130"/>
        <v/>
      </c>
      <c r="E433" s="978" t="str">
        <f>IF(L433="","",Nb_Diff_Part(D433,D429:D440,G433,G429:G440,AI443:AI528)*CritClassInd_DiffPart+Nb_Goal_Part(D433,D429:D440,G433,G429:G440,V443:Z528)*CritClassInd_GoalPart+Nb_Score_Part(D433,D429:D440,G433,G429:G440,V443:Z528)*CritClassInd_ScorePart)</f>
        <v/>
      </c>
      <c r="F433" s="979" t="str">
        <f t="shared" si="131"/>
        <v/>
      </c>
      <c r="G433" s="39" t="s">
        <v>3913</v>
      </c>
      <c r="H433" s="501">
        <f t="shared" si="128"/>
        <v>0</v>
      </c>
      <c r="I433" s="39"/>
      <c r="J433" s="977" t="str">
        <f>IF(AK428="","",(L433*Points_Victoire)+M433*Points_Null)</f>
        <v/>
      </c>
      <c r="K433" s="988" t="str">
        <f t="shared" si="129"/>
        <v/>
      </c>
      <c r="L433" s="988" t="str">
        <f>IF(AK428="","",COUNTIF(AE443:AE528,G433))</f>
        <v/>
      </c>
      <c r="M433" s="988" t="str">
        <f>IF(AK428="","",COUNTIF(AF443:AG528,G433))</f>
        <v/>
      </c>
      <c r="N433" s="988" t="str">
        <f>IF(AK428="","",COUNTIF(AH443:AH528,G433))</f>
        <v/>
      </c>
      <c r="O433" s="988" t="str">
        <f>IF(AK428="","",SUMIF(V443:V528,G433,AB443:AB528)+SUMIF(Z443:Z528,G433,AD443:AD528))</f>
        <v/>
      </c>
      <c r="P433" s="988" t="str">
        <f>IF(AK428="","",SUMIF(V443:V528,G433,AD443:AD528)+SUMIF(Z443:Z528,G433,AB443:AB528))</f>
        <v/>
      </c>
      <c r="Q433" s="989" t="str">
        <f>IF(AK428="","",O433-P433)</f>
        <v/>
      </c>
      <c r="R433"/>
      <c r="S433"/>
      <c r="T433"/>
      <c r="U433"/>
      <c r="V433"/>
      <c r="W433" s="1"/>
      <c r="X433" s="1"/>
      <c r="Y433" s="1"/>
      <c r="Z433"/>
      <c r="AB433" s="964"/>
      <c r="AC433" s="964"/>
      <c r="AD433" s="964"/>
      <c r="AE433" s="964"/>
      <c r="AF433" s="964"/>
      <c r="AG433" s="964"/>
      <c r="AH433" s="964"/>
      <c r="AI433" s="964"/>
      <c r="AJ433" s="964"/>
      <c r="AK433" s="968" t="str">
        <f>IF(AK428="","",SMALL(C429:C440,5))</f>
        <v/>
      </c>
      <c r="AL433"/>
      <c r="AM433" s="16"/>
      <c r="AN433" s="946" t="str">
        <f>IF(AK428="","",INT(AK433/1000))</f>
        <v/>
      </c>
      <c r="AO433" s="42" t="str">
        <f>IF(AK428="","",VLOOKUP(AK433,C429:Q440,5,FALSE))</f>
        <v/>
      </c>
      <c r="AP433" s="42" t="str">
        <f>VLOOKUP(AK433,C429:Q440,8,FALSE)</f>
        <v/>
      </c>
      <c r="AQ433" s="42" t="str">
        <f>VLOOKUP(AK433,C429:Q440,9,FALSE)</f>
        <v/>
      </c>
      <c r="AR433" s="42" t="str">
        <f>VLOOKUP(AK433,C429:Q440,10,FALSE)</f>
        <v/>
      </c>
      <c r="AS433" s="42" t="str">
        <f>VLOOKUP(AK433,C429:Q440,11,FALSE)</f>
        <v/>
      </c>
      <c r="AT433" s="42" t="str">
        <f>VLOOKUP(AK433,C429:Q440,12,FALSE)</f>
        <v/>
      </c>
      <c r="AU433" s="42" t="str">
        <f>VLOOKUP(AK433,C429:Q440,13,FALSE)</f>
        <v/>
      </c>
      <c r="AV433" s="42" t="str">
        <f>VLOOKUP(AK433,C429:Q440,14,FALSE)</f>
        <v/>
      </c>
      <c r="AW433" s="947" t="str">
        <f>VLOOKUP(AK433,C429:Q440,15,FALSE)</f>
        <v/>
      </c>
      <c r="AX433"/>
      <c r="AY433"/>
      <c r="AZ433" s="1"/>
      <c r="BA433" s="1"/>
      <c r="BB433"/>
      <c r="BC433" s="6"/>
      <c r="BD433"/>
      <c r="BE433" s="1"/>
      <c r="BF433"/>
      <c r="BG433" s="16"/>
      <c r="BH433"/>
      <c r="BI433"/>
      <c r="BJ433"/>
      <c r="BK433"/>
      <c r="BL433"/>
      <c r="BM433"/>
      <c r="BN433"/>
      <c r="BO433"/>
      <c r="BP433"/>
      <c r="BQ433"/>
      <c r="BR433"/>
      <c r="BS433"/>
      <c r="BT433"/>
      <c r="BU433"/>
      <c r="BV433"/>
      <c r="BW433"/>
      <c r="BX433"/>
      <c r="BY433"/>
      <c r="BZ433"/>
      <c r="CA433" s="1396"/>
      <c r="CB433" s="1396"/>
      <c r="CC433"/>
      <c r="CD433"/>
      <c r="CE433"/>
    </row>
    <row r="434" spans="1:83" outlineLevel="1" x14ac:dyDescent="0.2">
      <c r="A434"/>
      <c r="B434" s="945">
        <v>6</v>
      </c>
      <c r="C434" s="977" t="str">
        <f>IF(AK428="","",RANK(F434,F429:F440)*1000+ROW())</f>
        <v/>
      </c>
      <c r="D434" s="978" t="str">
        <f t="shared" si="130"/>
        <v/>
      </c>
      <c r="E434" s="978" t="str">
        <f>IF(L434="","",Nb_Diff_Part(D434,D429:D440,G434,G429:G440,AI443:AI528)*CritClassInd_DiffPart+Nb_Goal_Part(D434,D429:D440,G434,G429:G440,V443:Z528)*CritClassInd_GoalPart+Nb_Score_Part(D434,D429:D440,G434,G429:G440,V443:Z528)*CritClassInd_ScorePart)</f>
        <v/>
      </c>
      <c r="F434" s="979" t="str">
        <f t="shared" si="131"/>
        <v/>
      </c>
      <c r="G434" s="39" t="s">
        <v>2711</v>
      </c>
      <c r="H434" s="501">
        <f t="shared" si="128"/>
        <v>0</v>
      </c>
      <c r="I434" s="39"/>
      <c r="J434" s="977" t="str">
        <f>IF(AK428="","",(L434*Points_Victoire)+M434*Points_Null)</f>
        <v/>
      </c>
      <c r="K434" s="988" t="str">
        <f t="shared" si="129"/>
        <v/>
      </c>
      <c r="L434" s="988" t="str">
        <f>IF(AK428="","",COUNTIF(AE443:AE528,G434))</f>
        <v/>
      </c>
      <c r="M434" s="988" t="str">
        <f>IF(AK428="","",COUNTIF(AF443:AG528,G434))</f>
        <v/>
      </c>
      <c r="N434" s="988" t="str">
        <f>IF(AK428="","",COUNTIF(AH443:AH528,G434))</f>
        <v/>
      </c>
      <c r="O434" s="988" t="str">
        <f>IF(AK428="","",SUMIF(V443:V528,G434,AB443:AB528)+SUMIF(Z443:Z528,G434,AD443:AD528))</f>
        <v/>
      </c>
      <c r="P434" s="988" t="str">
        <f>IF(AK428="","",SUMIF(V443:V528,G434,AD443:AD528)+SUMIF(Z443:Z528,G434,AB443:AB528))</f>
        <v/>
      </c>
      <c r="Q434" s="989" t="str">
        <f>IF(AK428="","",O434-P434)</f>
        <v/>
      </c>
      <c r="R434"/>
      <c r="S434"/>
      <c r="T434"/>
      <c r="U434"/>
      <c r="V434"/>
      <c r="W434" s="1"/>
      <c r="X434" s="1"/>
      <c r="Y434" s="1"/>
      <c r="Z434"/>
      <c r="AB434" s="964"/>
      <c r="AC434" s="964"/>
      <c r="AD434" s="964"/>
      <c r="AE434" s="964"/>
      <c r="AF434" s="964"/>
      <c r="AG434" s="964"/>
      <c r="AH434" s="964"/>
      <c r="AI434" s="964"/>
      <c r="AJ434" s="964"/>
      <c r="AK434" s="968" t="str">
        <f>IF(AK428="","",SMALL(C429:C440,6))</f>
        <v/>
      </c>
      <c r="AL434"/>
      <c r="AM434" s="16"/>
      <c r="AN434" s="946" t="str">
        <f>IF(AK428="","",INT(AK434/1000))</f>
        <v/>
      </c>
      <c r="AO434" s="42" t="str">
        <f>IF(AK428="","",VLOOKUP(AK434,C429:Q440,5,FALSE))</f>
        <v/>
      </c>
      <c r="AP434" s="42" t="str">
        <f>VLOOKUP(AK434,C429:Q440,8,FALSE)</f>
        <v/>
      </c>
      <c r="AQ434" s="42" t="str">
        <f>VLOOKUP(AK434,C429:Q440,9,FALSE)</f>
        <v/>
      </c>
      <c r="AR434" s="42" t="str">
        <f>VLOOKUP(AK434,C429:Q440,10,FALSE)</f>
        <v/>
      </c>
      <c r="AS434" s="42" t="str">
        <f>VLOOKUP(AK434,C429:Q440,11,FALSE)</f>
        <v/>
      </c>
      <c r="AT434" s="42" t="str">
        <f>VLOOKUP(AK434,C429:Q440,12,FALSE)</f>
        <v/>
      </c>
      <c r="AU434" s="42" t="str">
        <f>VLOOKUP(AK434,C429:Q440,13,FALSE)</f>
        <v/>
      </c>
      <c r="AV434" s="42" t="str">
        <f>VLOOKUP(AK434,C429:Q440,14,FALSE)</f>
        <v/>
      </c>
      <c r="AW434" s="947" t="str">
        <f>VLOOKUP(AK434,C429:Q440,15,FALSE)</f>
        <v/>
      </c>
      <c r="AX434"/>
      <c r="AY434"/>
      <c r="AZ434" s="1"/>
      <c r="BA434" s="1"/>
      <c r="BB434"/>
      <c r="BC434" s="6"/>
      <c r="BD434"/>
      <c r="BE434" s="1"/>
      <c r="BF434"/>
      <c r="BG434" s="16"/>
      <c r="BH434"/>
      <c r="BI434"/>
      <c r="BJ434"/>
      <c r="BK434"/>
      <c r="BL434"/>
      <c r="BM434"/>
      <c r="BN434"/>
      <c r="BO434"/>
      <c r="BP434"/>
      <c r="BQ434"/>
      <c r="BR434"/>
      <c r="BS434"/>
      <c r="BT434"/>
      <c r="BU434"/>
      <c r="BV434"/>
      <c r="BW434"/>
      <c r="BX434"/>
      <c r="BY434"/>
      <c r="BZ434"/>
      <c r="CA434" s="1396"/>
      <c r="CB434" s="1396"/>
      <c r="CC434"/>
      <c r="CD434"/>
      <c r="CE434"/>
    </row>
    <row r="435" spans="1:83" outlineLevel="1" x14ac:dyDescent="0.2">
      <c r="A435"/>
      <c r="B435" s="945">
        <v>7</v>
      </c>
      <c r="C435" s="977" t="str">
        <f>IF(AK428="","",RANK(F435,F429:F440)*1000+ROW())</f>
        <v/>
      </c>
      <c r="D435" s="978" t="str">
        <f t="shared" si="130"/>
        <v/>
      </c>
      <c r="E435" s="978" t="str">
        <f>IF(L435="","",Nb_Diff_Part(D435,D429:D440,G435,G429:G440,AI443:AI528)*CritClassInd_DiffPart+Nb_Goal_Part(D435,D429:D440,G435,G429:G440,V443:Z528)*CritClassInd_GoalPart+Nb_Score_Part(D435,D429:D440,G435,G429:G440,V443:Z528)*CritClassInd_ScorePart)</f>
        <v/>
      </c>
      <c r="F435" s="979" t="str">
        <f t="shared" si="131"/>
        <v/>
      </c>
      <c r="G435" s="39" t="s">
        <v>790</v>
      </c>
      <c r="H435" s="501">
        <f t="shared" si="128"/>
        <v>0</v>
      </c>
      <c r="I435" s="39"/>
      <c r="J435" s="977" t="str">
        <f>IF(AK428="","",(L435*Points_Victoire)+M435*Points_Null)</f>
        <v/>
      </c>
      <c r="K435" s="988" t="str">
        <f t="shared" si="129"/>
        <v/>
      </c>
      <c r="L435" s="988" t="str">
        <f>IF(AK428="","",COUNTIF(AE443:AE528,G435))</f>
        <v/>
      </c>
      <c r="M435" s="988" t="str">
        <f>IF(AK428="","",COUNTIF(AF443:AG528,G435))</f>
        <v/>
      </c>
      <c r="N435" s="988" t="str">
        <f>IF(AK428="","",COUNTIF(AH443:AH528,G435))</f>
        <v/>
      </c>
      <c r="O435" s="988" t="str">
        <f>IF(AK428="","",SUMIF(V443:V528,G435,AB443:AB528)+SUMIF(Z443:Z528,G435,AD443:AD528))</f>
        <v/>
      </c>
      <c r="P435" s="988" t="str">
        <f>IF(AK428="","",SUMIF(V443:V528,G435,AD443:AD528)+SUMIF(Z443:Z528,G435,AB443:AB528))</f>
        <v/>
      </c>
      <c r="Q435" s="989" t="str">
        <f>IF(AK428="","",O435-P435)</f>
        <v/>
      </c>
      <c r="R435"/>
      <c r="S435"/>
      <c r="T435"/>
      <c r="U435"/>
      <c r="V435"/>
      <c r="W435" s="1"/>
      <c r="X435" s="1"/>
      <c r="Y435" s="1"/>
      <c r="Z435"/>
      <c r="AB435" s="964"/>
      <c r="AC435" s="964"/>
      <c r="AD435" s="964"/>
      <c r="AE435" s="964"/>
      <c r="AF435" s="964"/>
      <c r="AG435" s="964"/>
      <c r="AH435" s="964"/>
      <c r="AI435" s="964"/>
      <c r="AJ435" s="964"/>
      <c r="AK435" s="968" t="str">
        <f>IF(AK428="","",SMALL(C429:C440,7))</f>
        <v/>
      </c>
      <c r="AL435"/>
      <c r="AM435" s="16"/>
      <c r="AN435" s="946" t="str">
        <f>IF(AK428="","",INT(AK435/1000))</f>
        <v/>
      </c>
      <c r="AO435" s="42" t="str">
        <f>IF(AK428="","",VLOOKUP(AK435,C429:Q440,5,FALSE))</f>
        <v/>
      </c>
      <c r="AP435" s="42" t="str">
        <f>VLOOKUP(AK435,C429:Q440,8,FALSE)</f>
        <v/>
      </c>
      <c r="AQ435" s="42" t="str">
        <f>VLOOKUP(AK435,C429:Q440,9,FALSE)</f>
        <v/>
      </c>
      <c r="AR435" s="42" t="str">
        <f>VLOOKUP(AK435,C429:Q440,10,FALSE)</f>
        <v/>
      </c>
      <c r="AS435" s="42" t="str">
        <f>VLOOKUP(AK435,C429:Q440,11,FALSE)</f>
        <v/>
      </c>
      <c r="AT435" s="42" t="str">
        <f>VLOOKUP(AK435,C429:Q440,12,FALSE)</f>
        <v/>
      </c>
      <c r="AU435" s="42" t="str">
        <f>VLOOKUP(AK435,C429:Q440,13,FALSE)</f>
        <v/>
      </c>
      <c r="AV435" s="42" t="str">
        <f>VLOOKUP(AK435,C429:Q440,14,FALSE)</f>
        <v/>
      </c>
      <c r="AW435" s="947" t="str">
        <f>VLOOKUP(AK435,C429:Q440,15,FALSE)</f>
        <v/>
      </c>
      <c r="AX435"/>
      <c r="AY435"/>
      <c r="AZ435" s="1"/>
      <c r="BA435" s="1"/>
      <c r="BB435"/>
      <c r="BC435" s="6"/>
      <c r="BD435"/>
      <c r="BE435" s="1"/>
      <c r="BF435"/>
      <c r="BG435" s="16"/>
      <c r="BH435"/>
      <c r="BI435"/>
      <c r="BJ435"/>
      <c r="BK435"/>
      <c r="BL435"/>
      <c r="BM435"/>
      <c r="BN435"/>
      <c r="BO435"/>
      <c r="BP435"/>
      <c r="BQ435"/>
      <c r="BR435"/>
      <c r="BS435"/>
      <c r="BT435"/>
      <c r="BU435"/>
      <c r="BV435"/>
      <c r="BW435"/>
      <c r="BX435"/>
      <c r="BY435"/>
      <c r="BZ435"/>
      <c r="CA435" s="1396"/>
      <c r="CB435" s="1396"/>
      <c r="CC435"/>
      <c r="CD435"/>
      <c r="CE435"/>
    </row>
    <row r="436" spans="1:83" outlineLevel="1" x14ac:dyDescent="0.2">
      <c r="A436"/>
      <c r="B436" s="945">
        <v>8</v>
      </c>
      <c r="C436" s="977" t="str">
        <f>IF(AK428="","",RANK(F436,F429:F440)*1000+ROW())</f>
        <v/>
      </c>
      <c r="D436" s="978" t="str">
        <f t="shared" si="130"/>
        <v/>
      </c>
      <c r="E436" s="978" t="str">
        <f>IF(L436="","",Nb_Diff_Part(D436,D429:D440,G436,G429:G440,AI443:AI528)*CritClassInd_DiffPart+Nb_Goal_Part(D436,D429:D440,G436,G429:G440,V443:Z528)*CritClassInd_GoalPart+Nb_Score_Part(D436,D429:D440,G436,G429:G440,V443:Z528)*CritClassInd_ScorePart)</f>
        <v/>
      </c>
      <c r="F436" s="979" t="str">
        <f t="shared" si="131"/>
        <v/>
      </c>
      <c r="G436" s="39" t="s">
        <v>3914</v>
      </c>
      <c r="H436" s="501">
        <f t="shared" si="128"/>
        <v>0</v>
      </c>
      <c r="I436" s="39"/>
      <c r="J436" s="977" t="str">
        <f>IF(AK428="","",(L436*Points_Victoire)+M436*Points_Null)</f>
        <v/>
      </c>
      <c r="K436" s="988" t="str">
        <f t="shared" si="129"/>
        <v/>
      </c>
      <c r="L436" s="988" t="str">
        <f>IF(AK428="","",COUNTIF(AE443:AE528,G436))</f>
        <v/>
      </c>
      <c r="M436" s="988" t="str">
        <f>IF(AK428="","",COUNTIF(AF443:AG528,G436))</f>
        <v/>
      </c>
      <c r="N436" s="988" t="str">
        <f>IF(AK428="","",COUNTIF(AH443:AH528,G436))</f>
        <v/>
      </c>
      <c r="O436" s="988" t="str">
        <f>IF(AK428="","",SUMIF(V443:V528,G436,AB443:AB528)+SUMIF(Z443:Z528,G436,AD443:AD528))</f>
        <v/>
      </c>
      <c r="P436" s="988" t="str">
        <f>IF(AK428="","",SUMIF(V443:V528,G436,AD443:AD528)+SUMIF(Z443:Z528,G436,AB443:AB528))</f>
        <v/>
      </c>
      <c r="Q436" s="989" t="str">
        <f>IF(AK428="","",O436-P436)</f>
        <v/>
      </c>
      <c r="R436"/>
      <c r="S436"/>
      <c r="T436"/>
      <c r="U436"/>
      <c r="V436"/>
      <c r="W436" s="1"/>
      <c r="X436" s="1"/>
      <c r="Y436" s="1"/>
      <c r="Z436"/>
      <c r="AB436" s="964"/>
      <c r="AC436" s="964"/>
      <c r="AD436" s="964"/>
      <c r="AE436" s="964"/>
      <c r="AF436" s="964"/>
      <c r="AG436" s="964"/>
      <c r="AH436" s="964"/>
      <c r="AI436" s="964"/>
      <c r="AJ436" s="964"/>
      <c r="AK436" s="968" t="str">
        <f>IF(AK428="","",SMALL(C429:C440,8))</f>
        <v/>
      </c>
      <c r="AL436"/>
      <c r="AM436" s="16"/>
      <c r="AN436" s="946" t="str">
        <f>IF(AK428="","",INT(AK436/1000))</f>
        <v/>
      </c>
      <c r="AO436" s="42" t="str">
        <f>IF(AK428="","",VLOOKUP(AK436,C429:Q440,5,FALSE))</f>
        <v/>
      </c>
      <c r="AP436" s="42" t="str">
        <f>VLOOKUP(AK436,C429:Q440,8,FALSE)</f>
        <v/>
      </c>
      <c r="AQ436" s="42" t="str">
        <f>VLOOKUP(AK436,C429:Q440,9,FALSE)</f>
        <v/>
      </c>
      <c r="AR436" s="42" t="str">
        <f>VLOOKUP(AK436,C429:Q440,10,FALSE)</f>
        <v/>
      </c>
      <c r="AS436" s="42" t="str">
        <f>VLOOKUP(AK436,C429:Q440,11,FALSE)</f>
        <v/>
      </c>
      <c r="AT436" s="42" t="str">
        <f>VLOOKUP(AK436,C429:Q440,12,FALSE)</f>
        <v/>
      </c>
      <c r="AU436" s="42" t="str">
        <f>VLOOKUP(AK436,C429:Q440,13,FALSE)</f>
        <v/>
      </c>
      <c r="AV436" s="42" t="str">
        <f>VLOOKUP(AK436,C429:Q440,14,FALSE)</f>
        <v/>
      </c>
      <c r="AW436" s="947" t="str">
        <f>VLOOKUP(AK436,C429:Q440,15,FALSE)</f>
        <v/>
      </c>
      <c r="AX436"/>
      <c r="AY436"/>
      <c r="AZ436" s="1"/>
      <c r="BA436" s="1"/>
      <c r="BB436"/>
      <c r="BC436" s="6"/>
      <c r="BD436"/>
      <c r="BE436" s="1"/>
      <c r="BF436"/>
      <c r="BG436" s="16"/>
      <c r="BH436"/>
      <c r="BI436"/>
      <c r="BJ436"/>
      <c r="BK436"/>
      <c r="BL436"/>
      <c r="BM436"/>
      <c r="BN436"/>
      <c r="BO436"/>
      <c r="BP436"/>
      <c r="BQ436"/>
      <c r="BR436"/>
      <c r="BS436"/>
      <c r="BT436"/>
      <c r="BU436"/>
      <c r="BV436"/>
      <c r="BW436"/>
      <c r="BX436"/>
      <c r="BY436"/>
      <c r="BZ436"/>
      <c r="CA436" s="1396"/>
      <c r="CB436" s="1396"/>
      <c r="CC436"/>
      <c r="CD436"/>
      <c r="CE436"/>
    </row>
    <row r="437" spans="1:83" outlineLevel="1" x14ac:dyDescent="0.2">
      <c r="A437"/>
      <c r="B437" s="945">
        <v>9</v>
      </c>
      <c r="C437" s="977" t="str">
        <f>IF(AK428="","",RANK(F437,F429:F440)*1000+ROW())</f>
        <v/>
      </c>
      <c r="D437" s="978" t="str">
        <f t="shared" si="130"/>
        <v/>
      </c>
      <c r="E437" s="978" t="str">
        <f>IF(L437="","",Nb_Diff_Part(D437,D429:D440,G437,G429:G440,AI443:AI528)*CritClassInd_DiffPart+Nb_Goal_Part(D437,D429:D440,G437,G429:G440,V443:Z528)*CritClassInd_GoalPart+Nb_Score_Part(D437,D429:D440,G437,G429:G440,V443:Z528)*CritClassInd_ScorePart)</f>
        <v/>
      </c>
      <c r="F437" s="979" t="str">
        <f t="shared" si="131"/>
        <v/>
      </c>
      <c r="G437" s="39" t="s">
        <v>3915</v>
      </c>
      <c r="H437" s="501">
        <f t="shared" si="128"/>
        <v>0</v>
      </c>
      <c r="I437" s="39"/>
      <c r="J437" s="977" t="str">
        <f>IF(AK428="","",(L437*Points_Victoire)+M437*Points_Null)</f>
        <v/>
      </c>
      <c r="K437" s="988" t="str">
        <f t="shared" si="129"/>
        <v/>
      </c>
      <c r="L437" s="988" t="str">
        <f>IF(AK428="","",COUNTIF(AE443:AE528,G437))</f>
        <v/>
      </c>
      <c r="M437" s="988" t="str">
        <f>IF(AK428="","",COUNTIF(AF443:AG528,G437))</f>
        <v/>
      </c>
      <c r="N437" s="988" t="str">
        <f>IF(AK428="","",COUNTIF(AH443:AH528,G437))</f>
        <v/>
      </c>
      <c r="O437" s="988" t="str">
        <f>IF(AK428="","",SUMIF(V443:V528,G437,AB443:AB528)+SUMIF(Z443:Z528,G437,AD443:AD528))</f>
        <v/>
      </c>
      <c r="P437" s="988" t="str">
        <f>IF(AK428="","",SUMIF(V443:V528,G437,AD443:AD528)+SUMIF(Z443:Z528,G437,AB443:AB528))</f>
        <v/>
      </c>
      <c r="Q437" s="989" t="str">
        <f>IF(AK428="","",O437-P437)</f>
        <v/>
      </c>
      <c r="R437"/>
      <c r="S437"/>
      <c r="T437"/>
      <c r="U437"/>
      <c r="V437"/>
      <c r="W437" s="1"/>
      <c r="X437" s="1"/>
      <c r="Y437" s="1"/>
      <c r="Z437"/>
      <c r="AB437" s="964"/>
      <c r="AC437" s="964"/>
      <c r="AD437" s="964"/>
      <c r="AE437" s="964"/>
      <c r="AF437" s="964"/>
      <c r="AG437" s="964"/>
      <c r="AH437" s="964"/>
      <c r="AI437" s="964"/>
      <c r="AJ437" s="964"/>
      <c r="AK437" s="968" t="str">
        <f>IF(AK428="","",SMALL(C429:C440,9))</f>
        <v/>
      </c>
      <c r="AL437"/>
      <c r="AM437" s="16"/>
      <c r="AN437" s="946" t="str">
        <f>IF(AK428="","",INT(AK437/1000))</f>
        <v/>
      </c>
      <c r="AO437" s="42" t="str">
        <f>IF(AK428="","",VLOOKUP(AK437,C429:Q440,5,FALSE))</f>
        <v/>
      </c>
      <c r="AP437" s="42" t="str">
        <f>VLOOKUP(AK437,C429:Q440,8,FALSE)</f>
        <v/>
      </c>
      <c r="AQ437" s="42" t="str">
        <f>VLOOKUP(AK437,C429:Q440,9,FALSE)</f>
        <v/>
      </c>
      <c r="AR437" s="42" t="str">
        <f>VLOOKUP(AK437,C429:Q440,10,FALSE)</f>
        <v/>
      </c>
      <c r="AS437" s="42" t="str">
        <f>VLOOKUP(AK437,C429:Q440,11,FALSE)</f>
        <v/>
      </c>
      <c r="AT437" s="42" t="str">
        <f>VLOOKUP(AK437,C429:Q440,12,FALSE)</f>
        <v/>
      </c>
      <c r="AU437" s="42" t="str">
        <f>VLOOKUP(AK437,C429:Q440,13,FALSE)</f>
        <v/>
      </c>
      <c r="AV437" s="42" t="str">
        <f>VLOOKUP(AK437,C429:Q440,14,FALSE)</f>
        <v/>
      </c>
      <c r="AW437" s="947" t="str">
        <f>VLOOKUP(AK437,C429:Q440,15,FALSE)</f>
        <v/>
      </c>
      <c r="AX437"/>
      <c r="AY437"/>
      <c r="AZ437" s="1"/>
      <c r="BA437" s="1"/>
      <c r="BB437"/>
      <c r="BC437" s="6"/>
      <c r="BD437"/>
      <c r="BE437" s="1"/>
      <c r="BF437"/>
      <c r="BG437" s="16"/>
      <c r="BH437"/>
      <c r="BI437"/>
      <c r="BJ437"/>
      <c r="BK437"/>
      <c r="BL437"/>
      <c r="BM437"/>
      <c r="BN437"/>
      <c r="BO437"/>
      <c r="BP437"/>
      <c r="BQ437"/>
      <c r="BR437"/>
      <c r="BS437"/>
      <c r="BT437"/>
      <c r="BU437"/>
      <c r="BV437"/>
      <c r="BW437"/>
      <c r="BX437"/>
      <c r="BY437"/>
      <c r="BZ437"/>
      <c r="CA437" s="1396"/>
      <c r="CB437" s="1396"/>
      <c r="CC437"/>
      <c r="CD437"/>
      <c r="CE437"/>
    </row>
    <row r="438" spans="1:83" outlineLevel="1" x14ac:dyDescent="0.2">
      <c r="A438"/>
      <c r="B438" s="945">
        <v>10</v>
      </c>
      <c r="C438" s="977" t="str">
        <f>IF(AK428="","",RANK(F438,F429:F440)*1000+ROW())</f>
        <v/>
      </c>
      <c r="D438" s="978" t="str">
        <f t="shared" si="130"/>
        <v/>
      </c>
      <c r="E438" s="978" t="str">
        <f>IF(L438="","",Nb_Diff_Part(D438,D429:D440,G438,G429:G440,AI443:AI528)*CritClassInd_DiffPart+Nb_Goal_Part(D438,D429:D440,G438,G429:G440,V443:Z528)*CritClassInd_GoalPart+Nb_Score_Part(D438,D429:D440,G438,G429:G440,V443:Z528)*CritClassInd_ScorePart)</f>
        <v/>
      </c>
      <c r="F438" s="979" t="str">
        <f t="shared" si="131"/>
        <v/>
      </c>
      <c r="G438" s="39" t="s">
        <v>789</v>
      </c>
      <c r="H438" s="501">
        <f t="shared" si="128"/>
        <v>0</v>
      </c>
      <c r="I438" s="39"/>
      <c r="J438" s="977" t="str">
        <f>IF(AK428="","",(L438*Points_Victoire)+M438*Points_Null)</f>
        <v/>
      </c>
      <c r="K438" s="988" t="str">
        <f t="shared" si="129"/>
        <v/>
      </c>
      <c r="L438" s="988" t="str">
        <f>IF(AK428="","",COUNTIF(AE443:AE528,G438))</f>
        <v/>
      </c>
      <c r="M438" s="988" t="str">
        <f>IF(AK428="","",COUNTIF(AF443:AG528,G438))</f>
        <v/>
      </c>
      <c r="N438" s="988" t="str">
        <f>IF(AK428="","",COUNTIF(AH443:AH528,G438))</f>
        <v/>
      </c>
      <c r="O438" s="988" t="str">
        <f>IF(AK428="","",SUMIF(V443:V528,G438,AB443:AB528)+SUMIF(Z443:Z528,G438,AD443:AD528))</f>
        <v/>
      </c>
      <c r="P438" s="988" t="str">
        <f>IF(AK428="","",SUMIF(V443:V528,G438,AD443:AD528)+SUMIF(Z443:Z528,G438,AB443:AB528))</f>
        <v/>
      </c>
      <c r="Q438" s="989" t="str">
        <f>IF(AK428="","",O438-P438)</f>
        <v/>
      </c>
      <c r="R438"/>
      <c r="S438"/>
      <c r="T438"/>
      <c r="U438"/>
      <c r="V438"/>
      <c r="W438" s="1"/>
      <c r="X438" s="1"/>
      <c r="Y438" s="1"/>
      <c r="Z438"/>
      <c r="AB438" s="964"/>
      <c r="AC438" s="964"/>
      <c r="AD438" s="964"/>
      <c r="AE438" s="964"/>
      <c r="AF438" s="964"/>
      <c r="AG438" s="964"/>
      <c r="AH438" s="964"/>
      <c r="AI438" s="964"/>
      <c r="AJ438" s="964"/>
      <c r="AK438" s="968" t="str">
        <f>IF(AK428="","",SMALL(C429:C440,10))</f>
        <v/>
      </c>
      <c r="AL438"/>
      <c r="AM438" s="16"/>
      <c r="AN438" s="946" t="str">
        <f>IF(AK428="","",INT(AK438/1000))</f>
        <v/>
      </c>
      <c r="AO438" s="42" t="str">
        <f>IF(AK428="","",VLOOKUP(AK438,C429:Q440,5,FALSE))</f>
        <v/>
      </c>
      <c r="AP438" s="42" t="str">
        <f>VLOOKUP(AK438,C429:Q440,8,FALSE)</f>
        <v/>
      </c>
      <c r="AQ438" s="42" t="str">
        <f>VLOOKUP(AK438,C429:Q440,9,FALSE)</f>
        <v/>
      </c>
      <c r="AR438" s="42" t="str">
        <f>VLOOKUP(AK438,C429:Q440,10,FALSE)</f>
        <v/>
      </c>
      <c r="AS438" s="42" t="str">
        <f>VLOOKUP(AK438,C429:Q440,11,FALSE)</f>
        <v/>
      </c>
      <c r="AT438" s="42" t="str">
        <f>VLOOKUP(AK438,C429:Q440,12,FALSE)</f>
        <v/>
      </c>
      <c r="AU438" s="42" t="str">
        <f>VLOOKUP(AK438,C429:Q440,13,FALSE)</f>
        <v/>
      </c>
      <c r="AV438" s="42" t="str">
        <f>VLOOKUP(AK438,C429:Q440,14,FALSE)</f>
        <v/>
      </c>
      <c r="AW438" s="947" t="str">
        <f>VLOOKUP(AK438,C429:Q440,15,FALSE)</f>
        <v/>
      </c>
      <c r="AX438"/>
      <c r="AY438"/>
      <c r="AZ438" s="1"/>
      <c r="BA438" s="1"/>
      <c r="BB438"/>
      <c r="BC438" s="6"/>
      <c r="BD438"/>
      <c r="BE438" s="1"/>
      <c r="BF438"/>
      <c r="BG438" s="16"/>
      <c r="BH438"/>
      <c r="BI438"/>
      <c r="BJ438"/>
      <c r="BK438"/>
      <c r="BL438"/>
      <c r="BM438"/>
      <c r="BN438"/>
      <c r="BO438"/>
      <c r="BP438"/>
      <c r="BQ438"/>
      <c r="BR438"/>
      <c r="BS438"/>
      <c r="BT438"/>
      <c r="BU438"/>
      <c r="BV438"/>
      <c r="BW438"/>
      <c r="BX438"/>
      <c r="BY438"/>
      <c r="BZ438"/>
      <c r="CA438" s="1396"/>
      <c r="CB438" s="1396"/>
      <c r="CC438"/>
      <c r="CD438"/>
      <c r="CE438"/>
    </row>
    <row r="439" spans="1:83" outlineLevel="1" x14ac:dyDescent="0.2">
      <c r="A439"/>
      <c r="B439" s="945">
        <v>11</v>
      </c>
      <c r="C439" s="977" t="str">
        <f>IF(AK428="","",RANK(F439,F429:F440)*1000+ROW())</f>
        <v/>
      </c>
      <c r="D439" s="978" t="str">
        <f t="shared" si="130"/>
        <v/>
      </c>
      <c r="E439" s="978" t="str">
        <f>IF(L439="","",Nb_Diff_Part(D439,D429:D440,G439,G429:G440,AI443:AI528)*CritClassInd_DiffPart+Nb_Goal_Part(D439,D429:D440,G439,G429:G440,V443:Z528)*CritClassInd_GoalPart+Nb_Score_Part(D439,D429:D440,G439,G429:G440,V443:Z528)*CritClassInd_ScorePart)</f>
        <v/>
      </c>
      <c r="F439" s="979" t="str">
        <f t="shared" si="131"/>
        <v/>
      </c>
      <c r="G439" s="39" t="s">
        <v>3916</v>
      </c>
      <c r="H439" s="501">
        <f t="shared" si="128"/>
        <v>0</v>
      </c>
      <c r="I439" s="39"/>
      <c r="J439" s="977" t="str">
        <f>IF(AK428="","",(L439*Points_Victoire)+M439*Points_Null)</f>
        <v/>
      </c>
      <c r="K439" s="988" t="str">
        <f t="shared" si="129"/>
        <v/>
      </c>
      <c r="L439" s="988" t="str">
        <f>IF(AK428="","",COUNTIF(AE443:AE528,G439))</f>
        <v/>
      </c>
      <c r="M439" s="988" t="str">
        <f>IF(AK428="","",COUNTIF(AF443:AG528,G439))</f>
        <v/>
      </c>
      <c r="N439" s="988" t="str">
        <f>IF(AK428="","",COUNTIF(AH443:AH528,G439))</f>
        <v/>
      </c>
      <c r="O439" s="988" t="str">
        <f>IF(AK428="","",SUMIF(V443:V528,G439,AB443:AB528)+SUMIF(Z443:Z528,G439,AD443:AD528))</f>
        <v/>
      </c>
      <c r="P439" s="988" t="str">
        <f>IF(AK428="","",SUMIF(V443:V528,G439,AD443:AD528)+SUMIF(Z443:Z528,G439,AB443:AB528))</f>
        <v/>
      </c>
      <c r="Q439" s="989" t="str">
        <f>IF(AK428="","",O439-P439)</f>
        <v/>
      </c>
      <c r="R439"/>
      <c r="S439"/>
      <c r="T439"/>
      <c r="U439"/>
      <c r="V439"/>
      <c r="W439" s="1"/>
      <c r="X439" s="1"/>
      <c r="Y439" s="1"/>
      <c r="Z439"/>
      <c r="AB439" s="964"/>
      <c r="AC439" s="964"/>
      <c r="AD439" s="964"/>
      <c r="AE439" s="964"/>
      <c r="AF439" s="964"/>
      <c r="AG439" s="964"/>
      <c r="AH439" s="964"/>
      <c r="AI439" s="964"/>
      <c r="AJ439" s="964"/>
      <c r="AK439" s="968" t="str">
        <f>IF(AK428="","",SMALL(C429:C440,11))</f>
        <v/>
      </c>
      <c r="AL439"/>
      <c r="AM439" s="16"/>
      <c r="AN439" s="946" t="str">
        <f>IF(AK428="","",INT(AK439/1000))</f>
        <v/>
      </c>
      <c r="AO439" s="42" t="str">
        <f>IF(AK428="","",VLOOKUP(AK439,C429:Q440,5,FALSE))</f>
        <v/>
      </c>
      <c r="AP439" s="42" t="str">
        <f>VLOOKUP(AK439,C429:Q440,8,FALSE)</f>
        <v/>
      </c>
      <c r="AQ439" s="42" t="str">
        <f>VLOOKUP(AK439,C429:Q440,9,FALSE)</f>
        <v/>
      </c>
      <c r="AR439" s="42" t="str">
        <f>VLOOKUP(AK439,C429:Q440,10,FALSE)</f>
        <v/>
      </c>
      <c r="AS439" s="42" t="str">
        <f>VLOOKUP(AK439,C429:Q440,11,FALSE)</f>
        <v/>
      </c>
      <c r="AT439" s="42" t="str">
        <f>VLOOKUP(AK439,C429:Q440,12,FALSE)</f>
        <v/>
      </c>
      <c r="AU439" s="42" t="str">
        <f>VLOOKUP(AK439,C429:Q440,13,FALSE)</f>
        <v/>
      </c>
      <c r="AV439" s="42" t="str">
        <f>VLOOKUP(AK439,C429:Q440,14,FALSE)</f>
        <v/>
      </c>
      <c r="AW439" s="947" t="str">
        <f>VLOOKUP(AK439,C429:Q440,15,FALSE)</f>
        <v/>
      </c>
      <c r="AX439"/>
      <c r="AY439"/>
      <c r="AZ439" s="1"/>
      <c r="BA439" s="1"/>
      <c r="BB439"/>
      <c r="BC439" s="6"/>
      <c r="BD439"/>
      <c r="BE439" s="1"/>
      <c r="BF439"/>
      <c r="BG439" s="16"/>
      <c r="BH439"/>
      <c r="BI439"/>
      <c r="BJ439"/>
      <c r="BK439"/>
      <c r="BL439"/>
      <c r="BM439"/>
      <c r="BN439"/>
      <c r="BO439"/>
      <c r="BP439"/>
      <c r="BQ439"/>
      <c r="BR439"/>
      <c r="BS439"/>
      <c r="BT439"/>
      <c r="BU439"/>
      <c r="BV439"/>
      <c r="BW439"/>
      <c r="BX439"/>
      <c r="BY439"/>
      <c r="BZ439"/>
      <c r="CA439" s="1396"/>
      <c r="CB439" s="1396"/>
      <c r="CC439"/>
      <c r="CD439"/>
      <c r="CE439"/>
    </row>
    <row r="440" spans="1:83" ht="13.5" outlineLevel="1" thickBot="1" x14ac:dyDescent="0.25">
      <c r="A440"/>
      <c r="B440" s="945">
        <v>12</v>
      </c>
      <c r="C440" s="977" t="str">
        <f>IF(AK428="","",RANK(F440,F429:F440)*1000+ROW())</f>
        <v/>
      </c>
      <c r="D440" s="978" t="str">
        <f t="shared" si="130"/>
        <v/>
      </c>
      <c r="E440" s="978" t="str">
        <f>IF(L440="","",Nb_Diff_Part(D440,D429:D440,G440,G429:G440,AI443:AI528)*CritClassInd_DiffPart+Nb_Goal_Part(D440,D429:D440,G440,G429:G440,V443:Z528)*CritClassInd_GoalPart+Nb_Score_Part(D440,D429:D440,G440,G429:G440,V443:Z528)*CritClassInd_ScorePart)</f>
        <v/>
      </c>
      <c r="F440" s="979" t="str">
        <f t="shared" si="131"/>
        <v/>
      </c>
      <c r="G440" s="39" t="s">
        <v>1545</v>
      </c>
      <c r="H440" s="501">
        <f t="shared" si="128"/>
        <v>0</v>
      </c>
      <c r="I440" s="39"/>
      <c r="J440" s="977" t="str">
        <f>IF(AK428="","",(L440*Points_Victoire)+M440*Points_Null)</f>
        <v/>
      </c>
      <c r="K440" s="988" t="str">
        <f t="shared" si="129"/>
        <v/>
      </c>
      <c r="L440" s="988" t="str">
        <f>IF(AK428="","",COUNTIF(AE443:AE528,G440))</f>
        <v/>
      </c>
      <c r="M440" s="988" t="str">
        <f>IF(AK428="","",COUNTIF(AF443:AG528,G440))</f>
        <v/>
      </c>
      <c r="N440" s="988" t="str">
        <f>IF(AK428="","",COUNTIF(AH443:AH528,G440))</f>
        <v/>
      </c>
      <c r="O440" s="988" t="str">
        <f>IF(AK428="","",SUMIF(V443:V528,G440,AB443:AB528)+SUMIF(Z443:Z528,G440,AD443:AD528))</f>
        <v/>
      </c>
      <c r="P440" s="988" t="str">
        <f>IF(AK428="","",SUMIF(V443:V528,G440,AD443:AD528)+SUMIF(Z443:Z528,G440,AB443:AB528))</f>
        <v/>
      </c>
      <c r="Q440" s="989" t="str">
        <f>IF(AK428="","",O440-P440)</f>
        <v/>
      </c>
      <c r="R440"/>
      <c r="S440"/>
      <c r="T440"/>
      <c r="U440"/>
      <c r="V440"/>
      <c r="W440" s="1"/>
      <c r="X440" s="1"/>
      <c r="Y440" s="1"/>
      <c r="Z440"/>
      <c r="AB440" s="964"/>
      <c r="AC440" s="964"/>
      <c r="AD440" s="964"/>
      <c r="AE440" s="964"/>
      <c r="AF440" s="964"/>
      <c r="AG440" s="964"/>
      <c r="AH440" s="964"/>
      <c r="AI440" s="964"/>
      <c r="AJ440" s="964"/>
      <c r="AK440" s="968" t="str">
        <f>IF(AK428="","",SMALL(C429:C440,12))</f>
        <v/>
      </c>
      <c r="AL440"/>
      <c r="AM440" s="16"/>
      <c r="AN440" s="946" t="str">
        <f>IF(AK428="","",INT(AK440/1000))</f>
        <v/>
      </c>
      <c r="AO440" s="42" t="str">
        <f>IF(AK428="","",VLOOKUP(AK440,C429:Q440,5,FALSE))</f>
        <v/>
      </c>
      <c r="AP440" s="42" t="str">
        <f>VLOOKUP(AK440,C429:Q440,8,FALSE)</f>
        <v/>
      </c>
      <c r="AQ440" s="42" t="str">
        <f>VLOOKUP(AK440,C429:Q440,9,FALSE)</f>
        <v/>
      </c>
      <c r="AR440" s="42" t="str">
        <f>VLOOKUP(AK440,C429:Q440,10,FALSE)</f>
        <v/>
      </c>
      <c r="AS440" s="42" t="str">
        <f>VLOOKUP(AK440,C429:Q440,11,FALSE)</f>
        <v/>
      </c>
      <c r="AT440" s="42" t="str">
        <f>VLOOKUP(AK440,C429:Q440,12,FALSE)</f>
        <v/>
      </c>
      <c r="AU440" s="42" t="str">
        <f>VLOOKUP(AK440,C429:Q440,13,FALSE)</f>
        <v/>
      </c>
      <c r="AV440" s="42" t="str">
        <f>VLOOKUP(AK440,C429:Q440,14,FALSE)</f>
        <v/>
      </c>
      <c r="AW440" s="947" t="str">
        <f>VLOOKUP(AK440,C429:Q440,15,FALSE)</f>
        <v/>
      </c>
      <c r="AX440"/>
      <c r="AY440"/>
      <c r="AZ440" s="1"/>
      <c r="BA440" s="1"/>
      <c r="BB440"/>
      <c r="BC440" s="6"/>
      <c r="BD440"/>
      <c r="BE440" s="1"/>
      <c r="BF440"/>
      <c r="BG440" s="16"/>
      <c r="BH440"/>
      <c r="BI440"/>
      <c r="BJ440"/>
      <c r="BK440"/>
      <c r="BL440"/>
      <c r="BM440"/>
      <c r="BN440"/>
      <c r="BO440"/>
      <c r="BP440"/>
      <c r="BQ440"/>
      <c r="BR440"/>
      <c r="BS440"/>
      <c r="BT440"/>
      <c r="BU440"/>
      <c r="BV440"/>
      <c r="BW440"/>
      <c r="BX440"/>
      <c r="BY440"/>
      <c r="BZ440"/>
      <c r="CA440" s="1396"/>
      <c r="CB440" s="1396"/>
      <c r="CC440"/>
      <c r="CD440"/>
      <c r="CE440"/>
    </row>
    <row r="441" spans="1:83" ht="13.5" outlineLevel="1" thickBot="1" x14ac:dyDescent="0.25">
      <c r="A441"/>
      <c r="B441" s="1"/>
      <c r="C441" s="1"/>
      <c r="D441" s="76"/>
      <c r="E441" s="76"/>
      <c r="F441" s="76"/>
      <c r="G441" s="9"/>
      <c r="H441" s="9"/>
      <c r="I441" s="1"/>
      <c r="J441"/>
      <c r="K441"/>
      <c r="L441"/>
      <c r="M441"/>
      <c r="N441"/>
      <c r="O441"/>
      <c r="P441" s="89"/>
      <c r="Q441"/>
      <c r="R441" s="1"/>
      <c r="S441" s="993">
        <v>1</v>
      </c>
      <c r="T441" s="961"/>
      <c r="U441" s="961"/>
      <c r="V441" s="961"/>
      <c r="W441" s="960"/>
      <c r="X441" s="960"/>
      <c r="Y441" s="960"/>
      <c r="Z441" s="962"/>
      <c r="AA441" s="123"/>
      <c r="AB441" s="1461" t="str">
        <f>IF(MaxScore,N_MaxScore,"")</f>
        <v>Score Max</v>
      </c>
      <c r="AC441" s="1461"/>
      <c r="AD441" s="1461"/>
      <c r="AE441" s="964"/>
      <c r="AF441" s="964"/>
      <c r="AG441" s="964"/>
      <c r="AH441" s="964"/>
      <c r="AI441" s="964"/>
      <c r="AJ441" s="964"/>
      <c r="AK441" s="964"/>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s="1396"/>
      <c r="CB441" s="1396"/>
      <c r="CC441"/>
      <c r="CD441"/>
      <c r="CE441"/>
    </row>
    <row r="442" spans="1:83" ht="13.9" customHeight="1" outlineLevel="2" thickBot="1" x14ac:dyDescent="0.25">
      <c r="A442"/>
      <c r="B442" s="1"/>
      <c r="C442"/>
      <c r="D442"/>
      <c r="E442"/>
      <c r="F442"/>
      <c r="G442" s="1"/>
      <c r="H442" s="1"/>
      <c r="I442"/>
      <c r="J442"/>
      <c r="K442"/>
      <c r="L442"/>
      <c r="M442"/>
      <c r="N442"/>
      <c r="O442"/>
      <c r="P442"/>
      <c r="Q442"/>
      <c r="S442" s="18" t="str">
        <f>N_Heure</f>
        <v>Heure</v>
      </c>
      <c r="T442" s="22" t="str">
        <f>N_Table</f>
        <v>Table</v>
      </c>
      <c r="U442" s="952" t="str">
        <f>N_Arbitre</f>
        <v>Arbitre</v>
      </c>
      <c r="V442" s="293" t="str">
        <f>N_Matches</f>
        <v>Matches</v>
      </c>
      <c r="W442" s="294"/>
      <c r="X442" s="294"/>
      <c r="Y442" s="294"/>
      <c r="Z442" s="295"/>
      <c r="AA442" s="8"/>
      <c r="AB442" s="967"/>
      <c r="AC442" s="967"/>
      <c r="AD442" s="967"/>
      <c r="AE442" s="964"/>
      <c r="AF442" s="964"/>
      <c r="AG442" s="964"/>
      <c r="AH442" s="964"/>
      <c r="AI442" s="964"/>
      <c r="AJ442" s="964"/>
      <c r="AK442" s="964"/>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s="1396"/>
      <c r="CB442" s="1396"/>
      <c r="CC442"/>
      <c r="CD442"/>
      <c r="CE442"/>
    </row>
    <row r="443" spans="1:83" ht="13.15" customHeight="1" outlineLevel="2" x14ac:dyDescent="0.2">
      <c r="A443"/>
      <c r="B443" s="1"/>
      <c r="C443"/>
      <c r="D443"/>
      <c r="E443"/>
      <c r="F443"/>
      <c r="G443" s="1"/>
      <c r="H443" s="1"/>
      <c r="I443"/>
      <c r="J443"/>
      <c r="K443"/>
      <c r="L443"/>
      <c r="M443"/>
      <c r="N443"/>
      <c r="O443"/>
      <c r="P443"/>
      <c r="Q443"/>
      <c r="R443" s="558" t="s">
        <v>1726</v>
      </c>
      <c r="S443" s="65"/>
      <c r="T443" s="953"/>
      <c r="U443" s="954"/>
      <c r="V443" s="34" t="str">
        <f>IF(G429="","",G429)</f>
        <v>A</v>
      </c>
      <c r="W443" s="148"/>
      <c r="X443" s="35" t="s">
        <v>769</v>
      </c>
      <c r="Y443" s="148"/>
      <c r="Z443" s="36" t="str">
        <f>IF(G430="","",G430)</f>
        <v>B</v>
      </c>
      <c r="AA443" s="123"/>
      <c r="AB443" s="1459">
        <f t="shared" ref="AB443:AB448" si="132">IF(MaxScore,MaxGoals(W443,Y443,MaxGoalsValue),IF(W443="","",W443))</f>
        <v>0</v>
      </c>
      <c r="AC443" s="1460" t="str">
        <f t="shared" ref="AC443:AC448" si="133">IF(MaxScore,"-",IF(W443="","","-"))</f>
        <v>-</v>
      </c>
      <c r="AD443" s="1459">
        <f t="shared" ref="AD443:AD448" si="134">IF(MaxScore,MaxGoals(Y443,W443,MaxGoalsValue),IF(Y443="","",Y443))</f>
        <v>0</v>
      </c>
      <c r="AE443" s="964" t="str">
        <f t="shared" ref="AE443:AE448" si="135">IF(W443="","",IF(W443&gt;Y443,V443,IF(W443=Y443,"",Z443)))</f>
        <v/>
      </c>
      <c r="AF443" s="964" t="str">
        <f t="shared" ref="AF443:AF448" si="136">IF(W443="","",IF(W443=Y443,V443,""))</f>
        <v/>
      </c>
      <c r="AG443" s="964" t="str">
        <f t="shared" ref="AG443:AG448" si="137">IF(W443="","",IF(W443=Y443,Z443,""))</f>
        <v/>
      </c>
      <c r="AH443" s="964" t="str">
        <f t="shared" ref="AH443:AH448" si="138">IF(W443="","",IF(W443&lt;Y443,V443,IF(W443=Y443,"",Z443)))</f>
        <v/>
      </c>
      <c r="AI443" s="964" t="str">
        <f t="shared" ref="AI443:AI448" si="139">CONCATENATE(AE443,AH443)</f>
        <v/>
      </c>
      <c r="AJ443" s="964"/>
      <c r="AK443" s="964"/>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s="1396"/>
      <c r="CB443" s="1396"/>
      <c r="CC443"/>
      <c r="CD443"/>
      <c r="CE443"/>
    </row>
    <row r="444" spans="1:83" ht="13.15" customHeight="1" outlineLevel="2" x14ac:dyDescent="0.2">
      <c r="A444"/>
      <c r="B444" s="1"/>
      <c r="C444"/>
      <c r="D444"/>
      <c r="E444"/>
      <c r="F444"/>
      <c r="G444" s="1"/>
      <c r="H444" s="1"/>
      <c r="I444"/>
      <c r="J444"/>
      <c r="K444"/>
      <c r="L444"/>
      <c r="M444"/>
      <c r="N444"/>
      <c r="O444"/>
      <c r="P444"/>
      <c r="Q444"/>
      <c r="R444" s="558" t="s">
        <v>1726</v>
      </c>
      <c r="S444" s="83"/>
      <c r="T444" s="56"/>
      <c r="U444" s="955"/>
      <c r="V444" s="43" t="str">
        <f>IF(G431="","",G431)</f>
        <v>C</v>
      </c>
      <c r="W444" s="10"/>
      <c r="X444" s="45" t="s">
        <v>769</v>
      </c>
      <c r="Y444" s="10"/>
      <c r="Z444" s="46" t="str">
        <f>IF(G432="","",G432)</f>
        <v>D</v>
      </c>
      <c r="AA444" s="123"/>
      <c r="AB444" s="1459">
        <f t="shared" si="132"/>
        <v>0</v>
      </c>
      <c r="AC444" s="1460" t="str">
        <f t="shared" si="133"/>
        <v>-</v>
      </c>
      <c r="AD444" s="1459">
        <f t="shared" si="134"/>
        <v>0</v>
      </c>
      <c r="AE444" s="964" t="str">
        <f t="shared" si="135"/>
        <v/>
      </c>
      <c r="AF444" s="964" t="str">
        <f t="shared" si="136"/>
        <v/>
      </c>
      <c r="AG444" s="964" t="str">
        <f t="shared" si="137"/>
        <v/>
      </c>
      <c r="AH444" s="964" t="str">
        <f t="shared" si="138"/>
        <v/>
      </c>
      <c r="AI444" s="964" t="str">
        <f t="shared" si="139"/>
        <v/>
      </c>
      <c r="AJ444" s="964"/>
      <c r="AK444" s="96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s="1396"/>
      <c r="CB444" s="1396"/>
      <c r="CC444"/>
      <c r="CD444"/>
      <c r="CE444"/>
    </row>
    <row r="445" spans="1:83" ht="13.15" customHeight="1" outlineLevel="2" x14ac:dyDescent="0.2">
      <c r="A445"/>
      <c r="B445" s="1"/>
      <c r="C445"/>
      <c r="D445"/>
      <c r="E445"/>
      <c r="F445"/>
      <c r="G445" s="1"/>
      <c r="H445" s="1"/>
      <c r="I445"/>
      <c r="J445"/>
      <c r="K445"/>
      <c r="L445"/>
      <c r="M445"/>
      <c r="N445"/>
      <c r="O445"/>
      <c r="P445"/>
      <c r="Q445"/>
      <c r="R445" s="558" t="s">
        <v>1726</v>
      </c>
      <c r="S445" s="83"/>
      <c r="T445" s="56"/>
      <c r="U445" s="955"/>
      <c r="V445" s="43" t="str">
        <f>IF(G433="","",G433)</f>
        <v>E</v>
      </c>
      <c r="W445" s="10"/>
      <c r="X445" s="45" t="s">
        <v>769</v>
      </c>
      <c r="Y445" s="10"/>
      <c r="Z445" s="46" t="str">
        <f>IF(G434="","",G434)</f>
        <v>F</v>
      </c>
      <c r="AA445" s="123"/>
      <c r="AB445" s="1459">
        <f t="shared" si="132"/>
        <v>0</v>
      </c>
      <c r="AC445" s="1460" t="str">
        <f t="shared" si="133"/>
        <v>-</v>
      </c>
      <c r="AD445" s="1459">
        <f t="shared" si="134"/>
        <v>0</v>
      </c>
      <c r="AE445" s="964" t="str">
        <f t="shared" si="135"/>
        <v/>
      </c>
      <c r="AF445" s="964" t="str">
        <f t="shared" si="136"/>
        <v/>
      </c>
      <c r="AG445" s="964" t="str">
        <f t="shared" si="137"/>
        <v/>
      </c>
      <c r="AH445" s="964" t="str">
        <f t="shared" si="138"/>
        <v/>
      </c>
      <c r="AI445" s="964" t="str">
        <f t="shared" si="139"/>
        <v/>
      </c>
      <c r="AJ445" s="964"/>
      <c r="AK445" s="964"/>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s="1396"/>
      <c r="CB445" s="1396"/>
      <c r="CC445"/>
      <c r="CD445"/>
      <c r="CE445"/>
    </row>
    <row r="446" spans="1:83" ht="13.15" customHeight="1" outlineLevel="2" x14ac:dyDescent="0.2">
      <c r="A446"/>
      <c r="B446" s="1"/>
      <c r="C446"/>
      <c r="D446"/>
      <c r="E446"/>
      <c r="F446"/>
      <c r="G446" s="1"/>
      <c r="H446" s="1"/>
      <c r="I446"/>
      <c r="J446"/>
      <c r="K446"/>
      <c r="L446"/>
      <c r="M446"/>
      <c r="N446"/>
      <c r="O446"/>
      <c r="P446"/>
      <c r="Q446"/>
      <c r="R446" s="558" t="s">
        <v>1726</v>
      </c>
      <c r="S446" s="83"/>
      <c r="T446" s="56"/>
      <c r="U446" s="955"/>
      <c r="V446" s="43" t="str">
        <f>IF(G435="","",G435)</f>
        <v>G</v>
      </c>
      <c r="W446" s="10"/>
      <c r="X446" s="45" t="s">
        <v>769</v>
      </c>
      <c r="Y446" s="10"/>
      <c r="Z446" s="46" t="str">
        <f>IF(G436="","",G436)</f>
        <v>H</v>
      </c>
      <c r="AA446" s="123"/>
      <c r="AB446" s="1459">
        <f t="shared" si="132"/>
        <v>0</v>
      </c>
      <c r="AC446" s="1460" t="str">
        <f t="shared" si="133"/>
        <v>-</v>
      </c>
      <c r="AD446" s="1459">
        <f t="shared" si="134"/>
        <v>0</v>
      </c>
      <c r="AE446" s="964" t="str">
        <f t="shared" si="135"/>
        <v/>
      </c>
      <c r="AF446" s="964" t="str">
        <f t="shared" si="136"/>
        <v/>
      </c>
      <c r="AG446" s="964" t="str">
        <f t="shared" si="137"/>
        <v/>
      </c>
      <c r="AH446" s="964" t="str">
        <f t="shared" si="138"/>
        <v/>
      </c>
      <c r="AI446" s="964" t="str">
        <f t="shared" si="139"/>
        <v/>
      </c>
      <c r="AJ446" s="964"/>
      <c r="AK446" s="964"/>
      <c r="AL446"/>
      <c r="AM446"/>
      <c r="AN446"/>
      <c r="AO446"/>
      <c r="AP446"/>
      <c r="AQ446"/>
      <c r="AR446"/>
      <c r="AS446"/>
      <c r="AT446"/>
      <c r="AU446"/>
      <c r="AV446"/>
      <c r="AW446"/>
      <c r="AX446" s="9"/>
      <c r="AY446"/>
      <c r="AZ446"/>
      <c r="BA446"/>
      <c r="BB446"/>
      <c r="BC446"/>
      <c r="BD446"/>
      <c r="BE446"/>
      <c r="BF446"/>
      <c r="BG446"/>
      <c r="BH446"/>
      <c r="BI446"/>
      <c r="BJ446"/>
      <c r="BK446"/>
      <c r="BL446"/>
      <c r="BM446"/>
      <c r="BN446"/>
      <c r="BO446"/>
      <c r="BP446"/>
      <c r="BQ446"/>
      <c r="BR446"/>
      <c r="BS446"/>
      <c r="BT446"/>
      <c r="BU446"/>
      <c r="BV446"/>
      <c r="BW446"/>
      <c r="BX446"/>
      <c r="BY446"/>
      <c r="BZ446"/>
      <c r="CA446" s="1396"/>
      <c r="CB446" s="1396"/>
      <c r="CC446"/>
      <c r="CD446"/>
      <c r="CE446"/>
    </row>
    <row r="447" spans="1:83" ht="13.15" customHeight="1" outlineLevel="2" x14ac:dyDescent="0.2">
      <c r="A447"/>
      <c r="B447" s="1"/>
      <c r="C447"/>
      <c r="D447"/>
      <c r="E447"/>
      <c r="F447"/>
      <c r="G447" s="1"/>
      <c r="H447" s="1"/>
      <c r="I447"/>
      <c r="J447"/>
      <c r="K447"/>
      <c r="L447"/>
      <c r="M447"/>
      <c r="N447"/>
      <c r="O447"/>
      <c r="P447"/>
      <c r="Q447"/>
      <c r="R447" s="558" t="s">
        <v>1726</v>
      </c>
      <c r="S447" s="83"/>
      <c r="T447" s="56"/>
      <c r="U447" s="955"/>
      <c r="V447" s="43" t="str">
        <f>IF(G437="","",G437)</f>
        <v>I</v>
      </c>
      <c r="W447" s="10"/>
      <c r="X447" s="45" t="s">
        <v>769</v>
      </c>
      <c r="Y447" s="10"/>
      <c r="Z447" s="46" t="str">
        <f>IF(G438="","",G438)</f>
        <v>J</v>
      </c>
      <c r="AA447" s="123"/>
      <c r="AB447" s="1459">
        <f t="shared" si="132"/>
        <v>0</v>
      </c>
      <c r="AC447" s="1460" t="str">
        <f t="shared" si="133"/>
        <v>-</v>
      </c>
      <c r="AD447" s="1459">
        <f t="shared" si="134"/>
        <v>0</v>
      </c>
      <c r="AE447" s="964" t="str">
        <f t="shared" si="135"/>
        <v/>
      </c>
      <c r="AF447" s="964" t="str">
        <f t="shared" si="136"/>
        <v/>
      </c>
      <c r="AG447" s="964" t="str">
        <f t="shared" si="137"/>
        <v/>
      </c>
      <c r="AH447" s="964" t="str">
        <f t="shared" si="138"/>
        <v/>
      </c>
      <c r="AI447" s="964" t="str">
        <f t="shared" si="139"/>
        <v/>
      </c>
      <c r="AJ447" s="964"/>
      <c r="AK447" s="964"/>
      <c r="AL447"/>
      <c r="AM447"/>
      <c r="AN447"/>
      <c r="AO447"/>
      <c r="AP447"/>
      <c r="AQ447"/>
      <c r="AR447"/>
      <c r="AS447"/>
      <c r="AT447"/>
      <c r="AU447"/>
      <c r="AV447"/>
      <c r="AW447" s="9"/>
      <c r="AX447" s="9"/>
      <c r="AY447"/>
      <c r="AZ447"/>
      <c r="BA447"/>
      <c r="BB447"/>
      <c r="BC447"/>
      <c r="BD447"/>
      <c r="BE447"/>
      <c r="BF447"/>
      <c r="BG447"/>
      <c r="BH447"/>
      <c r="BI447"/>
      <c r="BJ447"/>
      <c r="BK447"/>
      <c r="BL447"/>
      <c r="BM447"/>
      <c r="BN447"/>
      <c r="BO447"/>
      <c r="BP447"/>
      <c r="BQ447"/>
      <c r="BR447"/>
      <c r="BS447"/>
      <c r="BT447"/>
      <c r="BU447"/>
      <c r="BV447"/>
      <c r="BW447"/>
      <c r="BX447"/>
      <c r="BY447"/>
      <c r="BZ447"/>
      <c r="CA447" s="1396"/>
      <c r="CB447" s="1396"/>
      <c r="CC447"/>
      <c r="CD447"/>
      <c r="CE447"/>
    </row>
    <row r="448" spans="1:83" ht="13.15" customHeight="1" outlineLevel="2" thickBot="1" x14ac:dyDescent="0.25">
      <c r="A448"/>
      <c r="B448" s="1"/>
      <c r="C448"/>
      <c r="D448"/>
      <c r="E448"/>
      <c r="F448"/>
      <c r="G448" s="1"/>
      <c r="H448" s="1"/>
      <c r="I448"/>
      <c r="J448"/>
      <c r="K448"/>
      <c r="L448"/>
      <c r="M448"/>
      <c r="N448"/>
      <c r="O448"/>
      <c r="P448"/>
      <c r="Q448"/>
      <c r="R448" s="558" t="s">
        <v>1726</v>
      </c>
      <c r="S448" s="83"/>
      <c r="T448" s="56"/>
      <c r="U448" s="955"/>
      <c r="V448" s="43" t="str">
        <f>IF(G439="","",G439)</f>
        <v>K</v>
      </c>
      <c r="W448" s="10"/>
      <c r="X448" s="45" t="s">
        <v>769</v>
      </c>
      <c r="Y448" s="10"/>
      <c r="Z448" s="46" t="str">
        <f>IF(G440="","",G440)</f>
        <v>L</v>
      </c>
      <c r="AA448" s="123"/>
      <c r="AB448" s="1459">
        <f t="shared" si="132"/>
        <v>0</v>
      </c>
      <c r="AC448" s="1460" t="str">
        <f t="shared" si="133"/>
        <v>-</v>
      </c>
      <c r="AD448" s="1459">
        <f t="shared" si="134"/>
        <v>0</v>
      </c>
      <c r="AE448" s="964" t="str">
        <f t="shared" si="135"/>
        <v/>
      </c>
      <c r="AF448" s="964" t="str">
        <f t="shared" si="136"/>
        <v/>
      </c>
      <c r="AG448" s="964" t="str">
        <f t="shared" si="137"/>
        <v/>
      </c>
      <c r="AH448" s="964" t="str">
        <f t="shared" si="138"/>
        <v/>
      </c>
      <c r="AI448" s="964" t="str">
        <f t="shared" si="139"/>
        <v/>
      </c>
      <c r="AJ448" s="964"/>
      <c r="AK448" s="964"/>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s="1396"/>
      <c r="CB448" s="1396"/>
      <c r="CC448"/>
      <c r="CD448"/>
      <c r="CE448"/>
    </row>
    <row r="449" spans="1:83" ht="13.5" outlineLevel="1" thickBot="1" x14ac:dyDescent="0.25">
      <c r="A449"/>
      <c r="B449" s="1"/>
      <c r="C449" s="1"/>
      <c r="D449" s="76"/>
      <c r="E449" s="76"/>
      <c r="F449" s="76"/>
      <c r="G449" s="9"/>
      <c r="H449" s="9"/>
      <c r="I449" s="1"/>
      <c r="J449"/>
      <c r="K449"/>
      <c r="L449"/>
      <c r="M449"/>
      <c r="N449"/>
      <c r="O449"/>
      <c r="P449" s="89"/>
      <c r="Q449"/>
      <c r="R449" s="1"/>
      <c r="S449" s="993">
        <f>S441+1</f>
        <v>2</v>
      </c>
      <c r="T449" s="961"/>
      <c r="U449" s="961"/>
      <c r="V449" s="961"/>
      <c r="W449" s="960"/>
      <c r="X449" s="960"/>
      <c r="Y449" s="960"/>
      <c r="Z449" s="962"/>
      <c r="AA449" s="123"/>
      <c r="AB449" s="963"/>
      <c r="AC449" s="963"/>
      <c r="AD449" s="963"/>
      <c r="AE449" s="964"/>
      <c r="AF449" s="964"/>
      <c r="AG449" s="964"/>
      <c r="AH449" s="964"/>
      <c r="AI449" s="964"/>
      <c r="AJ449" s="964"/>
      <c r="AK449" s="964"/>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s="1396"/>
      <c r="CB449" s="1396"/>
      <c r="CC449"/>
      <c r="CD449"/>
      <c r="CE449"/>
    </row>
    <row r="450" spans="1:83" ht="13.9" customHeight="1" outlineLevel="2" thickBot="1" x14ac:dyDescent="0.25">
      <c r="A450"/>
      <c r="B450" s="1"/>
      <c r="C450"/>
      <c r="D450"/>
      <c r="E450"/>
      <c r="F450"/>
      <c r="G450" s="1"/>
      <c r="H450" s="1"/>
      <c r="I450"/>
      <c r="J450"/>
      <c r="K450"/>
      <c r="L450"/>
      <c r="M450"/>
      <c r="N450"/>
      <c r="O450"/>
      <c r="P450"/>
      <c r="Q450"/>
      <c r="S450" s="22" t="str">
        <f>N_Heure</f>
        <v>Heure</v>
      </c>
      <c r="T450" s="22" t="str">
        <f>N_Table</f>
        <v>Table</v>
      </c>
      <c r="U450" s="22" t="str">
        <f>N_Arbitre</f>
        <v>Arbitre</v>
      </c>
      <c r="V450" s="293" t="str">
        <f>N_Matches</f>
        <v>Matches</v>
      </c>
      <c r="W450" s="294"/>
      <c r="X450" s="294"/>
      <c r="Y450" s="294"/>
      <c r="Z450" s="295"/>
      <c r="AA450" s="8"/>
      <c r="AB450" s="967"/>
      <c r="AC450" s="967"/>
      <c r="AD450" s="967"/>
      <c r="AE450" s="964"/>
      <c r="AF450" s="964"/>
      <c r="AG450" s="964"/>
      <c r="AH450" s="964"/>
      <c r="AI450" s="964"/>
      <c r="AJ450" s="964"/>
      <c r="AK450" s="964"/>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s="1396"/>
      <c r="CB450" s="1396"/>
      <c r="CC450"/>
      <c r="CD450"/>
      <c r="CE450"/>
    </row>
    <row r="451" spans="1:83" ht="13.15" customHeight="1" outlineLevel="2" x14ac:dyDescent="0.2">
      <c r="A451"/>
      <c r="B451" s="1"/>
      <c r="C451"/>
      <c r="D451"/>
      <c r="E451"/>
      <c r="F451"/>
      <c r="G451" s="1"/>
      <c r="H451" s="1"/>
      <c r="I451"/>
      <c r="J451"/>
      <c r="K451"/>
      <c r="L451"/>
      <c r="M451"/>
      <c r="N451"/>
      <c r="O451"/>
      <c r="P451"/>
      <c r="Q451"/>
      <c r="R451" s="558" t="s">
        <v>1727</v>
      </c>
      <c r="S451" s="65"/>
      <c r="T451" s="953"/>
      <c r="U451" s="954"/>
      <c r="V451" s="34" t="str">
        <f>V444</f>
        <v>C</v>
      </c>
      <c r="W451" s="148"/>
      <c r="X451" s="35" t="s">
        <v>769</v>
      </c>
      <c r="Y451" s="148"/>
      <c r="Z451" s="36" t="str">
        <f>V443</f>
        <v>A</v>
      </c>
      <c r="AA451" s="123"/>
      <c r="AB451" s="1459">
        <f t="shared" ref="AB451:AB456" si="140">IF(MaxScore,MaxGoals(W451,Y451,MaxGoalsValue),IF(W451="","",W451))</f>
        <v>0</v>
      </c>
      <c r="AC451" s="1460" t="str">
        <f t="shared" ref="AC451:AC456" si="141">IF(MaxScore,"-",IF(W451="","","-"))</f>
        <v>-</v>
      </c>
      <c r="AD451" s="1459">
        <f t="shared" ref="AD451:AD456" si="142">IF(MaxScore,MaxGoals(Y451,W451,MaxGoalsValue),IF(Y451="","",Y451))</f>
        <v>0</v>
      </c>
      <c r="AE451" s="964" t="str">
        <f t="shared" ref="AE451:AE456" si="143">IF(W451="","",IF(W451&gt;Y451,V451,IF(W451=Y451,"",Z451)))</f>
        <v/>
      </c>
      <c r="AF451" s="964" t="str">
        <f t="shared" ref="AF451:AF456" si="144">IF(W451="","",IF(W451=Y451,V451,""))</f>
        <v/>
      </c>
      <c r="AG451" s="964" t="str">
        <f t="shared" ref="AG451:AG456" si="145">IF(W451="","",IF(W451=Y451,Z451,""))</f>
        <v/>
      </c>
      <c r="AH451" s="964" t="str">
        <f t="shared" ref="AH451:AH456" si="146">IF(W451="","",IF(W451&lt;Y451,V451,IF(W451=Y451,"",Z451)))</f>
        <v/>
      </c>
      <c r="AI451" s="964" t="str">
        <f t="shared" ref="AI451:AI456" si="147">CONCATENATE(AE451,AH451)</f>
        <v/>
      </c>
      <c r="AJ451" s="964"/>
      <c r="AK451" s="964"/>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s="1396"/>
      <c r="CB451" s="1396"/>
      <c r="CC451"/>
      <c r="CD451"/>
      <c r="CE451"/>
    </row>
    <row r="452" spans="1:83" ht="13.15" customHeight="1" outlineLevel="2" x14ac:dyDescent="0.2">
      <c r="A452"/>
      <c r="B452" s="1"/>
      <c r="C452"/>
      <c r="D452"/>
      <c r="E452"/>
      <c r="F452"/>
      <c r="G452" s="1"/>
      <c r="H452" s="1"/>
      <c r="I452"/>
      <c r="J452"/>
      <c r="K452"/>
      <c r="L452"/>
      <c r="M452"/>
      <c r="N452"/>
      <c r="O452"/>
      <c r="P452"/>
      <c r="Q452"/>
      <c r="R452" s="558" t="s">
        <v>1727</v>
      </c>
      <c r="S452" s="83"/>
      <c r="T452" s="56"/>
      <c r="U452" s="955"/>
      <c r="V452" s="43" t="str">
        <f>Z443</f>
        <v>B</v>
      </c>
      <c r="W452" s="10"/>
      <c r="X452" s="45" t="s">
        <v>769</v>
      </c>
      <c r="Y452" s="10"/>
      <c r="Z452" s="46" t="str">
        <f>V445</f>
        <v>E</v>
      </c>
      <c r="AA452" s="123"/>
      <c r="AB452" s="1459">
        <f t="shared" si="140"/>
        <v>0</v>
      </c>
      <c r="AC452" s="1460" t="str">
        <f t="shared" si="141"/>
        <v>-</v>
      </c>
      <c r="AD452" s="1459">
        <f t="shared" si="142"/>
        <v>0</v>
      </c>
      <c r="AE452" s="964" t="str">
        <f t="shared" si="143"/>
        <v/>
      </c>
      <c r="AF452" s="964" t="str">
        <f t="shared" si="144"/>
        <v/>
      </c>
      <c r="AG452" s="964" t="str">
        <f t="shared" si="145"/>
        <v/>
      </c>
      <c r="AH452" s="964" t="str">
        <f t="shared" si="146"/>
        <v/>
      </c>
      <c r="AI452" s="964" t="str">
        <f t="shared" si="147"/>
        <v/>
      </c>
      <c r="AJ452" s="964"/>
      <c r="AK452" s="964"/>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s="1396"/>
      <c r="CB452" s="1396"/>
      <c r="CC452"/>
      <c r="CD452"/>
      <c r="CE452"/>
    </row>
    <row r="453" spans="1:83" ht="13.15" customHeight="1" outlineLevel="2" x14ac:dyDescent="0.2">
      <c r="A453"/>
      <c r="B453" s="1"/>
      <c r="C453"/>
      <c r="D453"/>
      <c r="E453"/>
      <c r="F453"/>
      <c r="G453" s="1"/>
      <c r="H453" s="1"/>
      <c r="I453"/>
      <c r="J453"/>
      <c r="K453"/>
      <c r="L453"/>
      <c r="M453"/>
      <c r="N453"/>
      <c r="O453"/>
      <c r="P453"/>
      <c r="Q453"/>
      <c r="R453" s="558" t="s">
        <v>1727</v>
      </c>
      <c r="S453" s="83"/>
      <c r="T453" s="56"/>
      <c r="U453" s="955"/>
      <c r="V453" s="43" t="str">
        <f>Z444</f>
        <v>D</v>
      </c>
      <c r="W453" s="10"/>
      <c r="X453" s="45" t="s">
        <v>769</v>
      </c>
      <c r="Y453" s="10"/>
      <c r="Z453" s="46" t="str">
        <f>V446</f>
        <v>G</v>
      </c>
      <c r="AA453" s="123"/>
      <c r="AB453" s="1459">
        <f t="shared" si="140"/>
        <v>0</v>
      </c>
      <c r="AC453" s="1460" t="str">
        <f t="shared" si="141"/>
        <v>-</v>
      </c>
      <c r="AD453" s="1459">
        <f t="shared" si="142"/>
        <v>0</v>
      </c>
      <c r="AE453" s="964" t="str">
        <f t="shared" si="143"/>
        <v/>
      </c>
      <c r="AF453" s="964" t="str">
        <f t="shared" si="144"/>
        <v/>
      </c>
      <c r="AG453" s="964" t="str">
        <f t="shared" si="145"/>
        <v/>
      </c>
      <c r="AH453" s="964" t="str">
        <f t="shared" si="146"/>
        <v/>
      </c>
      <c r="AI453" s="964" t="str">
        <f t="shared" si="147"/>
        <v/>
      </c>
      <c r="AJ453" s="964"/>
      <c r="AK453" s="964"/>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s="1396"/>
      <c r="CB453" s="1396"/>
      <c r="CC453"/>
      <c r="CD453"/>
      <c r="CE453"/>
    </row>
    <row r="454" spans="1:83" ht="13.15" customHeight="1" outlineLevel="2" x14ac:dyDescent="0.2">
      <c r="A454"/>
      <c r="B454" s="1"/>
      <c r="C454"/>
      <c r="D454"/>
      <c r="E454"/>
      <c r="F454"/>
      <c r="G454" s="1"/>
      <c r="H454" s="1"/>
      <c r="I454"/>
      <c r="J454"/>
      <c r="K454"/>
      <c r="L454"/>
      <c r="M454"/>
      <c r="N454"/>
      <c r="O454"/>
      <c r="P454"/>
      <c r="Q454"/>
      <c r="R454" s="558" t="s">
        <v>1727</v>
      </c>
      <c r="S454" s="83"/>
      <c r="T454" s="56"/>
      <c r="U454" s="955"/>
      <c r="V454" s="43" t="str">
        <f>Z445</f>
        <v>F</v>
      </c>
      <c r="W454" s="10"/>
      <c r="X454" s="45" t="s">
        <v>769</v>
      </c>
      <c r="Y454" s="10"/>
      <c r="Z454" s="46" t="str">
        <f>V447</f>
        <v>I</v>
      </c>
      <c r="AA454" s="123"/>
      <c r="AB454" s="1459">
        <f t="shared" si="140"/>
        <v>0</v>
      </c>
      <c r="AC454" s="1460" t="str">
        <f t="shared" si="141"/>
        <v>-</v>
      </c>
      <c r="AD454" s="1459">
        <f t="shared" si="142"/>
        <v>0</v>
      </c>
      <c r="AE454" s="964" t="str">
        <f t="shared" si="143"/>
        <v/>
      </c>
      <c r="AF454" s="964" t="str">
        <f t="shared" si="144"/>
        <v/>
      </c>
      <c r="AG454" s="964" t="str">
        <f t="shared" si="145"/>
        <v/>
      </c>
      <c r="AH454" s="964" t="str">
        <f t="shared" si="146"/>
        <v/>
      </c>
      <c r="AI454" s="964" t="str">
        <f t="shared" si="147"/>
        <v/>
      </c>
      <c r="AJ454" s="964"/>
      <c r="AK454" s="964"/>
      <c r="AL454"/>
      <c r="AM454"/>
      <c r="AN454"/>
      <c r="AO454"/>
      <c r="AP454"/>
      <c r="AQ454"/>
      <c r="AR454"/>
      <c r="AS454"/>
      <c r="AT454"/>
      <c r="AU454"/>
      <c r="AV454"/>
      <c r="AW454"/>
      <c r="AX454" s="9"/>
      <c r="AY454"/>
      <c r="AZ454"/>
      <c r="BA454"/>
      <c r="BB454"/>
      <c r="BC454"/>
      <c r="BD454"/>
      <c r="BE454"/>
      <c r="BF454"/>
      <c r="BG454"/>
      <c r="BH454"/>
      <c r="BI454"/>
      <c r="BJ454"/>
      <c r="BK454"/>
      <c r="BL454"/>
      <c r="BM454"/>
      <c r="BN454"/>
      <c r="BO454"/>
      <c r="BP454"/>
      <c r="BQ454"/>
      <c r="BR454"/>
      <c r="BS454"/>
      <c r="BT454"/>
      <c r="BU454"/>
      <c r="BV454"/>
      <c r="BW454"/>
      <c r="BX454"/>
      <c r="BY454"/>
      <c r="BZ454"/>
      <c r="CA454" s="1396"/>
      <c r="CB454" s="1396"/>
      <c r="CC454"/>
      <c r="CD454"/>
      <c r="CE454"/>
    </row>
    <row r="455" spans="1:83" ht="13.15" customHeight="1" outlineLevel="2" x14ac:dyDescent="0.2">
      <c r="A455"/>
      <c r="B455" s="1"/>
      <c r="C455"/>
      <c r="D455"/>
      <c r="E455"/>
      <c r="F455"/>
      <c r="G455" s="1"/>
      <c r="H455" s="1"/>
      <c r="I455"/>
      <c r="J455"/>
      <c r="K455"/>
      <c r="L455"/>
      <c r="M455"/>
      <c r="N455"/>
      <c r="O455"/>
      <c r="P455"/>
      <c r="Q455"/>
      <c r="R455" s="558" t="s">
        <v>1727</v>
      </c>
      <c r="S455" s="83"/>
      <c r="T455" s="56"/>
      <c r="U455" s="955"/>
      <c r="V455" s="43" t="str">
        <f>Z446</f>
        <v>H</v>
      </c>
      <c r="W455" s="10"/>
      <c r="X455" s="45" t="s">
        <v>769</v>
      </c>
      <c r="Y455" s="10"/>
      <c r="Z455" s="46" t="str">
        <f>V448</f>
        <v>K</v>
      </c>
      <c r="AA455" s="123"/>
      <c r="AB455" s="1459">
        <f t="shared" si="140"/>
        <v>0</v>
      </c>
      <c r="AC455" s="1460" t="str">
        <f t="shared" si="141"/>
        <v>-</v>
      </c>
      <c r="AD455" s="1459">
        <f t="shared" si="142"/>
        <v>0</v>
      </c>
      <c r="AE455" s="964" t="str">
        <f t="shared" si="143"/>
        <v/>
      </c>
      <c r="AF455" s="964" t="str">
        <f t="shared" si="144"/>
        <v/>
      </c>
      <c r="AG455" s="964" t="str">
        <f t="shared" si="145"/>
        <v/>
      </c>
      <c r="AH455" s="964" t="str">
        <f t="shared" si="146"/>
        <v/>
      </c>
      <c r="AI455" s="964" t="str">
        <f t="shared" si="147"/>
        <v/>
      </c>
      <c r="AJ455" s="964"/>
      <c r="AK455" s="964"/>
      <c r="AL455"/>
      <c r="AM455"/>
      <c r="AN455"/>
      <c r="AO455"/>
      <c r="AP455"/>
      <c r="AQ455"/>
      <c r="AR455"/>
      <c r="AS455"/>
      <c r="AT455"/>
      <c r="AU455"/>
      <c r="AV455"/>
      <c r="AW455" s="9"/>
      <c r="AX455" s="9"/>
      <c r="AY455"/>
      <c r="AZ455"/>
      <c r="BA455"/>
      <c r="BB455"/>
      <c r="BC455"/>
      <c r="BD455"/>
      <c r="BE455"/>
      <c r="BF455"/>
      <c r="BG455"/>
      <c r="BH455"/>
      <c r="BI455"/>
      <c r="BJ455"/>
      <c r="BK455"/>
      <c r="BL455"/>
      <c r="BM455"/>
      <c r="BN455"/>
      <c r="BO455"/>
      <c r="BP455"/>
      <c r="BQ455"/>
      <c r="BR455"/>
      <c r="BS455"/>
      <c r="BT455"/>
      <c r="BU455"/>
      <c r="BV455"/>
      <c r="BW455"/>
      <c r="BX455"/>
      <c r="BY455"/>
      <c r="BZ455"/>
      <c r="CA455" s="1396"/>
      <c r="CB455" s="1396"/>
      <c r="CC455"/>
      <c r="CD455"/>
      <c r="CE455"/>
    </row>
    <row r="456" spans="1:83" ht="13.15" customHeight="1" outlineLevel="2" thickBot="1" x14ac:dyDescent="0.25">
      <c r="A456"/>
      <c r="B456" s="1"/>
      <c r="C456"/>
      <c r="D456"/>
      <c r="E456"/>
      <c r="F456"/>
      <c r="G456" s="1"/>
      <c r="H456" s="1"/>
      <c r="I456"/>
      <c r="J456"/>
      <c r="K456"/>
      <c r="L456"/>
      <c r="M456"/>
      <c r="N456"/>
      <c r="O456"/>
      <c r="P456"/>
      <c r="Q456"/>
      <c r="R456" s="558" t="s">
        <v>1727</v>
      </c>
      <c r="S456" s="83"/>
      <c r="T456" s="56"/>
      <c r="U456" s="955"/>
      <c r="V456" s="43" t="str">
        <f>Z447</f>
        <v>J</v>
      </c>
      <c r="W456" s="10"/>
      <c r="X456" s="45" t="s">
        <v>769</v>
      </c>
      <c r="Y456" s="10"/>
      <c r="Z456" s="46" t="str">
        <f>Z448</f>
        <v>L</v>
      </c>
      <c r="AA456" s="123"/>
      <c r="AB456" s="1459">
        <f t="shared" si="140"/>
        <v>0</v>
      </c>
      <c r="AC456" s="1460" t="str">
        <f t="shared" si="141"/>
        <v>-</v>
      </c>
      <c r="AD456" s="1459">
        <f t="shared" si="142"/>
        <v>0</v>
      </c>
      <c r="AE456" s="964" t="str">
        <f t="shared" si="143"/>
        <v/>
      </c>
      <c r="AF456" s="964" t="str">
        <f t="shared" si="144"/>
        <v/>
      </c>
      <c r="AG456" s="964" t="str">
        <f t="shared" si="145"/>
        <v/>
      </c>
      <c r="AH456" s="964" t="str">
        <f t="shared" si="146"/>
        <v/>
      </c>
      <c r="AI456" s="964" t="str">
        <f t="shared" si="147"/>
        <v/>
      </c>
      <c r="AJ456" s="964"/>
      <c r="AK456" s="964"/>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s="1396"/>
      <c r="CB456" s="1396"/>
      <c r="CC456"/>
      <c r="CD456"/>
      <c r="CE456"/>
    </row>
    <row r="457" spans="1:83" ht="13.5" outlineLevel="1" thickBot="1" x14ac:dyDescent="0.25">
      <c r="A457"/>
      <c r="B457" s="1"/>
      <c r="C457" s="1"/>
      <c r="D457" s="76"/>
      <c r="E457" s="76"/>
      <c r="F457" s="76"/>
      <c r="G457" s="9"/>
      <c r="H457" s="9"/>
      <c r="I457" s="1"/>
      <c r="J457"/>
      <c r="K457"/>
      <c r="L457"/>
      <c r="M457"/>
      <c r="N457"/>
      <c r="O457"/>
      <c r="P457" s="89"/>
      <c r="Q457"/>
      <c r="R457" s="1"/>
      <c r="S457" s="993">
        <f>S449+1</f>
        <v>3</v>
      </c>
      <c r="T457" s="961"/>
      <c r="U457" s="961"/>
      <c r="V457" s="961"/>
      <c r="W457" s="960"/>
      <c r="X457" s="960"/>
      <c r="Y457" s="960"/>
      <c r="Z457" s="962"/>
      <c r="AA457" s="123"/>
      <c r="AB457" s="963"/>
      <c r="AC457" s="963"/>
      <c r="AD457" s="963"/>
      <c r="AE457" s="964"/>
      <c r="AF457" s="964"/>
      <c r="AG457" s="964"/>
      <c r="AH457" s="964"/>
      <c r="AI457" s="964"/>
      <c r="AJ457" s="964"/>
      <c r="AK457" s="964"/>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s="1396"/>
      <c r="CB457" s="1396"/>
      <c r="CC457"/>
      <c r="CD457"/>
      <c r="CE457"/>
    </row>
    <row r="458" spans="1:83" ht="13.9" customHeight="1" outlineLevel="2" thickBot="1" x14ac:dyDescent="0.25">
      <c r="A458"/>
      <c r="B458" s="1"/>
      <c r="C458"/>
      <c r="D458"/>
      <c r="E458"/>
      <c r="F458"/>
      <c r="G458" s="1"/>
      <c r="H458" s="1"/>
      <c r="I458"/>
      <c r="J458"/>
      <c r="K458"/>
      <c r="L458"/>
      <c r="M458"/>
      <c r="N458"/>
      <c r="O458"/>
      <c r="P458"/>
      <c r="Q458"/>
      <c r="S458" s="22" t="str">
        <f>N_Heure</f>
        <v>Heure</v>
      </c>
      <c r="T458" s="22" t="str">
        <f>N_Table</f>
        <v>Table</v>
      </c>
      <c r="U458" s="22" t="str">
        <f>N_Arbitre</f>
        <v>Arbitre</v>
      </c>
      <c r="V458" s="293" t="str">
        <f>N_Matches</f>
        <v>Matches</v>
      </c>
      <c r="W458" s="294"/>
      <c r="X458" s="294"/>
      <c r="Y458" s="294"/>
      <c r="Z458" s="295"/>
      <c r="AA458" s="8"/>
      <c r="AB458" s="967"/>
      <c r="AC458" s="967"/>
      <c r="AD458" s="967"/>
      <c r="AE458" s="964"/>
      <c r="AF458" s="964"/>
      <c r="AG458" s="964"/>
      <c r="AH458" s="964"/>
      <c r="AI458" s="964"/>
      <c r="AJ458" s="964"/>
      <c r="AK458" s="964"/>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s="1396"/>
      <c r="CB458" s="1396"/>
      <c r="CC458"/>
      <c r="CD458"/>
      <c r="CE458"/>
    </row>
    <row r="459" spans="1:83" ht="13.15" customHeight="1" outlineLevel="2" x14ac:dyDescent="0.2">
      <c r="A459"/>
      <c r="B459" s="1"/>
      <c r="C459"/>
      <c r="D459"/>
      <c r="E459"/>
      <c r="F459"/>
      <c r="G459" s="1"/>
      <c r="H459" s="1"/>
      <c r="I459"/>
      <c r="J459"/>
      <c r="K459"/>
      <c r="L459"/>
      <c r="M459"/>
      <c r="N459"/>
      <c r="O459"/>
      <c r="P459"/>
      <c r="Q459"/>
      <c r="R459" s="558" t="s">
        <v>1728</v>
      </c>
      <c r="S459" s="65"/>
      <c r="T459" s="953"/>
      <c r="U459" s="954"/>
      <c r="V459" s="34" t="str">
        <f>Z451</f>
        <v>A</v>
      </c>
      <c r="W459" s="148"/>
      <c r="X459" s="35" t="s">
        <v>769</v>
      </c>
      <c r="Y459" s="148"/>
      <c r="Z459" s="36" t="str">
        <f>Z452</f>
        <v>E</v>
      </c>
      <c r="AA459" s="123"/>
      <c r="AB459" s="1459">
        <f t="shared" ref="AB459:AB464" si="148">IF(MaxScore,MaxGoals(W459,Y459,MaxGoalsValue),IF(W459="","",W459))</f>
        <v>0</v>
      </c>
      <c r="AC459" s="1460" t="str">
        <f t="shared" ref="AC459:AC464" si="149">IF(MaxScore,"-",IF(W459="","","-"))</f>
        <v>-</v>
      </c>
      <c r="AD459" s="1459">
        <f t="shared" ref="AD459:AD464" si="150">IF(MaxScore,MaxGoals(Y459,W459,MaxGoalsValue),IF(Y459="","",Y459))</f>
        <v>0</v>
      </c>
      <c r="AE459" s="964" t="str">
        <f t="shared" ref="AE459:AE464" si="151">IF(W459="","",IF(W459&gt;Y459,V459,IF(W459=Y459,"",Z459)))</f>
        <v/>
      </c>
      <c r="AF459" s="964" t="str">
        <f t="shared" ref="AF459:AF464" si="152">IF(W459="","",IF(W459=Y459,V459,""))</f>
        <v/>
      </c>
      <c r="AG459" s="964" t="str">
        <f t="shared" ref="AG459:AG464" si="153">IF(W459="","",IF(W459=Y459,Z459,""))</f>
        <v/>
      </c>
      <c r="AH459" s="964" t="str">
        <f t="shared" ref="AH459:AH464" si="154">IF(W459="","",IF(W459&lt;Y459,V459,IF(W459=Y459,"",Z459)))</f>
        <v/>
      </c>
      <c r="AI459" s="964" t="str">
        <f t="shared" ref="AI459:AI464" si="155">CONCATENATE(AE459,AH459)</f>
        <v/>
      </c>
      <c r="AJ459" s="964"/>
      <c r="AK459" s="964"/>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s="1396"/>
      <c r="CB459" s="1396"/>
      <c r="CC459"/>
      <c r="CD459"/>
      <c r="CE459"/>
    </row>
    <row r="460" spans="1:83" ht="13.15" customHeight="1" outlineLevel="2" x14ac:dyDescent="0.2">
      <c r="A460"/>
      <c r="B460" s="1"/>
      <c r="C460"/>
      <c r="D460"/>
      <c r="E460"/>
      <c r="F460"/>
      <c r="G460" s="1"/>
      <c r="H460" s="1"/>
      <c r="I460"/>
      <c r="J460"/>
      <c r="K460"/>
      <c r="L460"/>
      <c r="M460"/>
      <c r="N460"/>
      <c r="O460"/>
      <c r="P460"/>
      <c r="Q460"/>
      <c r="R460" s="558" t="s">
        <v>1728</v>
      </c>
      <c r="S460" s="83"/>
      <c r="T460" s="56"/>
      <c r="U460" s="955"/>
      <c r="V460" s="43" t="str">
        <f>Z453</f>
        <v>G</v>
      </c>
      <c r="W460" s="10"/>
      <c r="X460" s="45" t="s">
        <v>769</v>
      </c>
      <c r="Y460" s="10"/>
      <c r="Z460" s="46" t="str">
        <f>V451</f>
        <v>C</v>
      </c>
      <c r="AA460" s="123"/>
      <c r="AB460" s="1459">
        <f t="shared" si="148"/>
        <v>0</v>
      </c>
      <c r="AC460" s="1460" t="str">
        <f t="shared" si="149"/>
        <v>-</v>
      </c>
      <c r="AD460" s="1459">
        <f t="shared" si="150"/>
        <v>0</v>
      </c>
      <c r="AE460" s="964" t="str">
        <f t="shared" si="151"/>
        <v/>
      </c>
      <c r="AF460" s="964" t="str">
        <f t="shared" si="152"/>
        <v/>
      </c>
      <c r="AG460" s="964" t="str">
        <f t="shared" si="153"/>
        <v/>
      </c>
      <c r="AH460" s="964" t="str">
        <f t="shared" si="154"/>
        <v/>
      </c>
      <c r="AI460" s="964" t="str">
        <f t="shared" si="155"/>
        <v/>
      </c>
      <c r="AJ460" s="964"/>
      <c r="AK460" s="964"/>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s="1396"/>
      <c r="CB460" s="1396"/>
      <c r="CC460"/>
      <c r="CD460"/>
      <c r="CE460"/>
    </row>
    <row r="461" spans="1:83" ht="13.15" customHeight="1" outlineLevel="2" x14ac:dyDescent="0.2">
      <c r="A461"/>
      <c r="B461" s="1"/>
      <c r="C461"/>
      <c r="D461"/>
      <c r="E461"/>
      <c r="F461"/>
      <c r="G461" s="1"/>
      <c r="H461" s="1"/>
      <c r="I461"/>
      <c r="J461"/>
      <c r="K461"/>
      <c r="L461"/>
      <c r="M461"/>
      <c r="N461"/>
      <c r="O461"/>
      <c r="P461"/>
      <c r="Q461"/>
      <c r="R461" s="558" t="s">
        <v>1728</v>
      </c>
      <c r="S461" s="83"/>
      <c r="T461" s="56"/>
      <c r="U461" s="955"/>
      <c r="V461" s="43" t="str">
        <f>Z454</f>
        <v>I</v>
      </c>
      <c r="W461" s="10"/>
      <c r="X461" s="45" t="s">
        <v>769</v>
      </c>
      <c r="Y461" s="10"/>
      <c r="Z461" s="46" t="str">
        <f>V452</f>
        <v>B</v>
      </c>
      <c r="AA461" s="123"/>
      <c r="AB461" s="1459">
        <f t="shared" si="148"/>
        <v>0</v>
      </c>
      <c r="AC461" s="1460" t="str">
        <f t="shared" si="149"/>
        <v>-</v>
      </c>
      <c r="AD461" s="1459">
        <f t="shared" si="150"/>
        <v>0</v>
      </c>
      <c r="AE461" s="964" t="str">
        <f t="shared" si="151"/>
        <v/>
      </c>
      <c r="AF461" s="964" t="str">
        <f t="shared" si="152"/>
        <v/>
      </c>
      <c r="AG461" s="964" t="str">
        <f t="shared" si="153"/>
        <v/>
      </c>
      <c r="AH461" s="964" t="str">
        <f t="shared" si="154"/>
        <v/>
      </c>
      <c r="AI461" s="964" t="str">
        <f t="shared" si="155"/>
        <v/>
      </c>
      <c r="AJ461" s="964"/>
      <c r="AK461" s="964"/>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s="1396"/>
      <c r="CB461" s="1396"/>
      <c r="CC461"/>
      <c r="CD461"/>
      <c r="CE461"/>
    </row>
    <row r="462" spans="1:83" ht="13.15" customHeight="1" outlineLevel="2" x14ac:dyDescent="0.2">
      <c r="A462"/>
      <c r="B462" s="1"/>
      <c r="C462"/>
      <c r="D462"/>
      <c r="E462"/>
      <c r="F462"/>
      <c r="G462" s="1"/>
      <c r="H462" s="1"/>
      <c r="I462"/>
      <c r="J462"/>
      <c r="K462"/>
      <c r="L462"/>
      <c r="M462"/>
      <c r="N462"/>
      <c r="O462"/>
      <c r="P462"/>
      <c r="Q462"/>
      <c r="R462" s="558" t="s">
        <v>1728</v>
      </c>
      <c r="S462" s="83"/>
      <c r="T462" s="56"/>
      <c r="U462" s="955"/>
      <c r="V462" s="43" t="str">
        <f>Z455</f>
        <v>K</v>
      </c>
      <c r="W462" s="10"/>
      <c r="X462" s="45" t="s">
        <v>769</v>
      </c>
      <c r="Y462" s="10"/>
      <c r="Z462" s="46" t="str">
        <f>V453</f>
        <v>D</v>
      </c>
      <c r="AA462" s="123"/>
      <c r="AB462" s="1459">
        <f t="shared" si="148"/>
        <v>0</v>
      </c>
      <c r="AC462" s="1460" t="str">
        <f t="shared" si="149"/>
        <v>-</v>
      </c>
      <c r="AD462" s="1459">
        <f t="shared" si="150"/>
        <v>0</v>
      </c>
      <c r="AE462" s="964" t="str">
        <f t="shared" si="151"/>
        <v/>
      </c>
      <c r="AF462" s="964" t="str">
        <f t="shared" si="152"/>
        <v/>
      </c>
      <c r="AG462" s="964" t="str">
        <f t="shared" si="153"/>
        <v/>
      </c>
      <c r="AH462" s="964" t="str">
        <f t="shared" si="154"/>
        <v/>
      </c>
      <c r="AI462" s="964" t="str">
        <f t="shared" si="155"/>
        <v/>
      </c>
      <c r="AJ462" s="964"/>
      <c r="AK462" s="964"/>
      <c r="AL462"/>
      <c r="AM462"/>
      <c r="AN462"/>
      <c r="AO462"/>
      <c r="AP462"/>
      <c r="AQ462"/>
      <c r="AR462"/>
      <c r="AS462"/>
      <c r="AT462"/>
      <c r="AU462"/>
      <c r="AV462"/>
      <c r="AW462"/>
      <c r="AX462" s="9"/>
      <c r="AY462"/>
      <c r="AZ462"/>
      <c r="BA462"/>
      <c r="BB462"/>
      <c r="BC462"/>
      <c r="BD462"/>
      <c r="BE462"/>
      <c r="BF462"/>
      <c r="BG462"/>
      <c r="BH462"/>
      <c r="BI462"/>
      <c r="BJ462"/>
      <c r="BK462"/>
      <c r="BL462"/>
      <c r="BM462"/>
      <c r="BN462"/>
      <c r="BO462"/>
      <c r="BP462"/>
      <c r="BQ462"/>
      <c r="BR462"/>
      <c r="BS462"/>
      <c r="BT462"/>
      <c r="BU462"/>
      <c r="BV462"/>
      <c r="BW462"/>
      <c r="BX462"/>
      <c r="BY462"/>
      <c r="BZ462"/>
      <c r="CA462" s="1396"/>
      <c r="CB462" s="1396"/>
      <c r="CC462"/>
      <c r="CD462"/>
      <c r="CE462"/>
    </row>
    <row r="463" spans="1:83" ht="13.15" customHeight="1" outlineLevel="2" x14ac:dyDescent="0.2">
      <c r="A463"/>
      <c r="B463" s="1"/>
      <c r="C463"/>
      <c r="D463"/>
      <c r="E463"/>
      <c r="F463"/>
      <c r="G463" s="1"/>
      <c r="H463" s="1"/>
      <c r="I463"/>
      <c r="J463"/>
      <c r="K463"/>
      <c r="L463"/>
      <c r="M463"/>
      <c r="N463"/>
      <c r="O463"/>
      <c r="P463"/>
      <c r="Q463"/>
      <c r="R463" s="558" t="s">
        <v>1728</v>
      </c>
      <c r="S463" s="83"/>
      <c r="T463" s="56"/>
      <c r="U463" s="955"/>
      <c r="V463" s="43" t="str">
        <f>Z456</f>
        <v>L</v>
      </c>
      <c r="W463" s="10"/>
      <c r="X463" s="45" t="s">
        <v>769</v>
      </c>
      <c r="Y463" s="10"/>
      <c r="Z463" s="46" t="str">
        <f>V454</f>
        <v>F</v>
      </c>
      <c r="AA463" s="123"/>
      <c r="AB463" s="1459">
        <f t="shared" si="148"/>
        <v>0</v>
      </c>
      <c r="AC463" s="1460" t="str">
        <f t="shared" si="149"/>
        <v>-</v>
      </c>
      <c r="AD463" s="1459">
        <f t="shared" si="150"/>
        <v>0</v>
      </c>
      <c r="AE463" s="964" t="str">
        <f t="shared" si="151"/>
        <v/>
      </c>
      <c r="AF463" s="964" t="str">
        <f t="shared" si="152"/>
        <v/>
      </c>
      <c r="AG463" s="964" t="str">
        <f t="shared" si="153"/>
        <v/>
      </c>
      <c r="AH463" s="964" t="str">
        <f t="shared" si="154"/>
        <v/>
      </c>
      <c r="AI463" s="964" t="str">
        <f t="shared" si="155"/>
        <v/>
      </c>
      <c r="AJ463" s="964"/>
      <c r="AK463" s="964"/>
      <c r="AL463"/>
      <c r="AM463"/>
      <c r="AN463"/>
      <c r="AO463"/>
      <c r="AP463"/>
      <c r="AQ463"/>
      <c r="AR463"/>
      <c r="AS463"/>
      <c r="AT463"/>
      <c r="AU463"/>
      <c r="AV463"/>
      <c r="AW463" s="9"/>
      <c r="AX463" s="9"/>
      <c r="AY463"/>
      <c r="AZ463"/>
      <c r="BA463"/>
      <c r="BB463"/>
      <c r="BC463"/>
      <c r="BD463"/>
      <c r="BE463"/>
      <c r="BF463"/>
      <c r="BG463"/>
      <c r="BH463"/>
      <c r="BI463"/>
      <c r="BJ463"/>
      <c r="BK463"/>
      <c r="BL463"/>
      <c r="BM463"/>
      <c r="BN463"/>
      <c r="BO463"/>
      <c r="BP463"/>
      <c r="BQ463"/>
      <c r="BR463"/>
      <c r="BS463"/>
      <c r="BT463"/>
      <c r="BU463"/>
      <c r="BV463"/>
      <c r="BW463"/>
      <c r="BX463"/>
      <c r="BY463"/>
      <c r="BZ463"/>
      <c r="CA463" s="1396"/>
      <c r="CB463" s="1396"/>
      <c r="CC463"/>
      <c r="CD463"/>
      <c r="CE463"/>
    </row>
    <row r="464" spans="1:83" ht="13.9" customHeight="1" outlineLevel="2" thickBot="1" x14ac:dyDescent="0.25">
      <c r="A464"/>
      <c r="B464" s="1"/>
      <c r="C464"/>
      <c r="D464"/>
      <c r="E464"/>
      <c r="F464"/>
      <c r="G464" s="1"/>
      <c r="H464" s="1"/>
      <c r="I464"/>
      <c r="J464"/>
      <c r="K464"/>
      <c r="L464"/>
      <c r="M464"/>
      <c r="N464"/>
      <c r="O464"/>
      <c r="P464"/>
      <c r="Q464"/>
      <c r="R464" s="558" t="s">
        <v>1728</v>
      </c>
      <c r="S464" s="956"/>
      <c r="T464" s="58"/>
      <c r="U464" s="957"/>
      <c r="V464" s="958" t="str">
        <f>V456</f>
        <v>J</v>
      </c>
      <c r="W464" s="10"/>
      <c r="X464" s="45" t="s">
        <v>769</v>
      </c>
      <c r="Y464" s="10"/>
      <c r="Z464" s="46" t="str">
        <f>V455</f>
        <v>H</v>
      </c>
      <c r="AA464" s="123"/>
      <c r="AB464" s="1459">
        <f t="shared" si="148"/>
        <v>0</v>
      </c>
      <c r="AC464" s="1460" t="str">
        <f t="shared" si="149"/>
        <v>-</v>
      </c>
      <c r="AD464" s="1459">
        <f t="shared" si="150"/>
        <v>0</v>
      </c>
      <c r="AE464" s="964" t="str">
        <f t="shared" si="151"/>
        <v/>
      </c>
      <c r="AF464" s="964" t="str">
        <f t="shared" si="152"/>
        <v/>
      </c>
      <c r="AG464" s="964" t="str">
        <f t="shared" si="153"/>
        <v/>
      </c>
      <c r="AH464" s="964" t="str">
        <f t="shared" si="154"/>
        <v/>
      </c>
      <c r="AI464" s="964" t="str">
        <f t="shared" si="155"/>
        <v/>
      </c>
      <c r="AJ464" s="964"/>
      <c r="AK464" s="964"/>
      <c r="AL464"/>
      <c r="AM464"/>
      <c r="AN464"/>
      <c r="AO464"/>
      <c r="AP464"/>
      <c r="AQ464"/>
      <c r="AR464"/>
      <c r="AS464"/>
      <c r="AT464"/>
      <c r="AU464"/>
      <c r="AV464"/>
      <c r="AW464" s="9"/>
      <c r="AX464" s="9"/>
      <c r="AY464"/>
      <c r="AZ464"/>
      <c r="BA464"/>
      <c r="BB464"/>
      <c r="BC464"/>
      <c r="BD464"/>
      <c r="BE464"/>
      <c r="BF464"/>
      <c r="BG464"/>
      <c r="BH464"/>
      <c r="BI464"/>
      <c r="BJ464"/>
      <c r="BK464"/>
      <c r="BL464"/>
      <c r="BM464"/>
      <c r="BN464"/>
      <c r="BO464"/>
      <c r="BP464"/>
      <c r="BQ464"/>
      <c r="BR464"/>
      <c r="BS464"/>
      <c r="BT464"/>
      <c r="BU464"/>
      <c r="BV464"/>
      <c r="BW464"/>
      <c r="BX464"/>
      <c r="BY464"/>
      <c r="BZ464"/>
      <c r="CA464" s="1396"/>
      <c r="CB464" s="1396"/>
      <c r="CC464"/>
      <c r="CD464"/>
      <c r="CE464"/>
    </row>
    <row r="465" spans="1:83" ht="13.5" outlineLevel="1" thickBot="1" x14ac:dyDescent="0.25">
      <c r="A465"/>
      <c r="B465" s="1"/>
      <c r="C465" s="1"/>
      <c r="D465" s="76"/>
      <c r="E465" s="76"/>
      <c r="F465" s="76"/>
      <c r="G465" s="9"/>
      <c r="H465" s="9"/>
      <c r="I465" s="1"/>
      <c r="J465"/>
      <c r="K465"/>
      <c r="L465"/>
      <c r="M465"/>
      <c r="N465"/>
      <c r="O465"/>
      <c r="P465" s="89"/>
      <c r="Q465"/>
      <c r="R465" s="1"/>
      <c r="S465" s="993">
        <f>S457+1</f>
        <v>4</v>
      </c>
      <c r="T465" s="961"/>
      <c r="U465" s="961"/>
      <c r="V465" s="961"/>
      <c r="W465" s="960"/>
      <c r="X465" s="960"/>
      <c r="Y465" s="960"/>
      <c r="Z465" s="962"/>
      <c r="AA465" s="123"/>
      <c r="AB465" s="963"/>
      <c r="AC465" s="963"/>
      <c r="AD465" s="963"/>
      <c r="AE465" s="964"/>
      <c r="AF465" s="964"/>
      <c r="AG465" s="964"/>
      <c r="AH465" s="964"/>
      <c r="AI465" s="964"/>
      <c r="AJ465" s="964"/>
      <c r="AK465" s="964"/>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s="1396"/>
      <c r="CB465" s="1396"/>
      <c r="CC465"/>
      <c r="CD465"/>
      <c r="CE465"/>
    </row>
    <row r="466" spans="1:83" ht="13.9" customHeight="1" outlineLevel="2" thickBot="1" x14ac:dyDescent="0.25">
      <c r="A466"/>
      <c r="B466" s="1"/>
      <c r="C466"/>
      <c r="D466"/>
      <c r="E466"/>
      <c r="F466"/>
      <c r="G466" s="1"/>
      <c r="H466" s="1"/>
      <c r="I466"/>
      <c r="J466"/>
      <c r="K466"/>
      <c r="L466"/>
      <c r="M466"/>
      <c r="N466"/>
      <c r="O466"/>
      <c r="P466"/>
      <c r="Q466"/>
      <c r="S466" s="22" t="str">
        <f>N_Heure</f>
        <v>Heure</v>
      </c>
      <c r="T466" s="22" t="str">
        <f>N_Table</f>
        <v>Table</v>
      </c>
      <c r="U466" s="22" t="str">
        <f>N_Arbitre</f>
        <v>Arbitre</v>
      </c>
      <c r="V466" s="293" t="str">
        <f>N_Matches</f>
        <v>Matches</v>
      </c>
      <c r="W466" s="294"/>
      <c r="X466" s="294"/>
      <c r="Y466" s="294"/>
      <c r="Z466" s="295"/>
      <c r="AA466" s="8"/>
      <c r="AB466" s="967"/>
      <c r="AC466" s="967"/>
      <c r="AD466" s="967"/>
      <c r="AE466" s="964"/>
      <c r="AF466" s="964"/>
      <c r="AG466" s="964"/>
      <c r="AH466" s="964"/>
      <c r="AI466" s="964"/>
      <c r="AJ466" s="964"/>
      <c r="AK466" s="964"/>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s="1396"/>
      <c r="CB466" s="1396"/>
      <c r="CC466"/>
      <c r="CD466"/>
      <c r="CE466"/>
    </row>
    <row r="467" spans="1:83" ht="13.15" customHeight="1" outlineLevel="2" x14ac:dyDescent="0.2">
      <c r="A467"/>
      <c r="B467" s="1"/>
      <c r="C467"/>
      <c r="D467"/>
      <c r="E467"/>
      <c r="F467"/>
      <c r="G467" s="1"/>
      <c r="H467" s="1"/>
      <c r="I467"/>
      <c r="J467"/>
      <c r="K467"/>
      <c r="L467"/>
      <c r="M467"/>
      <c r="N467"/>
      <c r="O467"/>
      <c r="P467"/>
      <c r="Q467"/>
      <c r="R467" s="558" t="s">
        <v>1729</v>
      </c>
      <c r="S467" s="65"/>
      <c r="T467" s="953"/>
      <c r="U467" s="954"/>
      <c r="V467" s="34" t="str">
        <f>V460</f>
        <v>G</v>
      </c>
      <c r="W467" s="148"/>
      <c r="X467" s="35" t="s">
        <v>769</v>
      </c>
      <c r="Y467" s="148"/>
      <c r="Z467" s="36" t="str">
        <f>V459</f>
        <v>A</v>
      </c>
      <c r="AA467" s="123"/>
      <c r="AB467" s="1459">
        <f t="shared" ref="AB467:AB472" si="156">IF(MaxScore,MaxGoals(W467,Y467,MaxGoalsValue),IF(W467="","",W467))</f>
        <v>0</v>
      </c>
      <c r="AC467" s="1460" t="str">
        <f t="shared" ref="AC467:AC472" si="157">IF(MaxScore,"-",IF(W467="","","-"))</f>
        <v>-</v>
      </c>
      <c r="AD467" s="1459">
        <f t="shared" ref="AD467:AD472" si="158">IF(MaxScore,MaxGoals(Y467,W467,MaxGoalsValue),IF(Y467="","",Y467))</f>
        <v>0</v>
      </c>
      <c r="AE467" s="964" t="str">
        <f t="shared" ref="AE467:AE472" si="159">IF(W467="","",IF(W467&gt;Y467,V467,IF(W467=Y467,"",Z467)))</f>
        <v/>
      </c>
      <c r="AF467" s="964" t="str">
        <f t="shared" ref="AF467:AF472" si="160">IF(W467="","",IF(W467=Y467,V467,""))</f>
        <v/>
      </c>
      <c r="AG467" s="964" t="str">
        <f t="shared" ref="AG467:AG472" si="161">IF(W467="","",IF(W467=Y467,Z467,""))</f>
        <v/>
      </c>
      <c r="AH467" s="964" t="str">
        <f t="shared" ref="AH467:AH472" si="162">IF(W467="","",IF(W467&lt;Y467,V467,IF(W467=Y467,"",Z467)))</f>
        <v/>
      </c>
      <c r="AI467" s="964" t="str">
        <f t="shared" ref="AI467:AI472" si="163">CONCATENATE(AE467,AH467)</f>
        <v/>
      </c>
      <c r="AJ467" s="964"/>
      <c r="AK467" s="964"/>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s="1396"/>
      <c r="CB467" s="1396"/>
      <c r="CC467"/>
      <c r="CD467"/>
      <c r="CE467"/>
    </row>
    <row r="468" spans="1:83" ht="13.15" customHeight="1" outlineLevel="2" x14ac:dyDescent="0.2">
      <c r="A468"/>
      <c r="B468" s="1"/>
      <c r="C468"/>
      <c r="D468"/>
      <c r="E468"/>
      <c r="F468"/>
      <c r="G468" s="1"/>
      <c r="H468" s="1"/>
      <c r="I468"/>
      <c r="J468"/>
      <c r="K468"/>
      <c r="L468"/>
      <c r="M468"/>
      <c r="N468"/>
      <c r="O468"/>
      <c r="P468"/>
      <c r="Q468"/>
      <c r="R468" s="558" t="s">
        <v>1729</v>
      </c>
      <c r="S468" s="83"/>
      <c r="T468" s="56"/>
      <c r="U468" s="955"/>
      <c r="V468" s="43" t="str">
        <f>Z459</f>
        <v>E</v>
      </c>
      <c r="W468" s="10"/>
      <c r="X468" s="45" t="s">
        <v>769</v>
      </c>
      <c r="Y468" s="10"/>
      <c r="Z468" s="46" t="str">
        <f>V461</f>
        <v>I</v>
      </c>
      <c r="AA468" s="123"/>
      <c r="AB468" s="1459">
        <f t="shared" si="156"/>
        <v>0</v>
      </c>
      <c r="AC468" s="1460" t="str">
        <f t="shared" si="157"/>
        <v>-</v>
      </c>
      <c r="AD468" s="1459">
        <f t="shared" si="158"/>
        <v>0</v>
      </c>
      <c r="AE468" s="964" t="str">
        <f t="shared" si="159"/>
        <v/>
      </c>
      <c r="AF468" s="964" t="str">
        <f t="shared" si="160"/>
        <v/>
      </c>
      <c r="AG468" s="964" t="str">
        <f t="shared" si="161"/>
        <v/>
      </c>
      <c r="AH468" s="964" t="str">
        <f t="shared" si="162"/>
        <v/>
      </c>
      <c r="AI468" s="964" t="str">
        <f t="shared" si="163"/>
        <v/>
      </c>
      <c r="AJ468" s="964"/>
      <c r="AK468" s="964"/>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s="1396"/>
      <c r="CB468" s="1396"/>
      <c r="CC468"/>
      <c r="CD468"/>
      <c r="CE468"/>
    </row>
    <row r="469" spans="1:83" ht="13.15" customHeight="1" outlineLevel="2" x14ac:dyDescent="0.2">
      <c r="A469"/>
      <c r="B469" s="1"/>
      <c r="C469"/>
      <c r="D469"/>
      <c r="E469"/>
      <c r="F469"/>
      <c r="G469" s="1"/>
      <c r="H469" s="1"/>
      <c r="I469"/>
      <c r="J469"/>
      <c r="K469"/>
      <c r="L469"/>
      <c r="M469"/>
      <c r="N469"/>
      <c r="O469"/>
      <c r="P469"/>
      <c r="Q469"/>
      <c r="R469" s="558" t="s">
        <v>1729</v>
      </c>
      <c r="S469" s="83"/>
      <c r="T469" s="56"/>
      <c r="U469" s="955"/>
      <c r="V469" s="43" t="str">
        <f>Z460</f>
        <v>C</v>
      </c>
      <c r="W469" s="10"/>
      <c r="X469" s="45" t="s">
        <v>769</v>
      </c>
      <c r="Y469" s="10"/>
      <c r="Z469" s="46" t="str">
        <f>V462</f>
        <v>K</v>
      </c>
      <c r="AA469" s="123"/>
      <c r="AB469" s="1459">
        <f t="shared" si="156"/>
        <v>0</v>
      </c>
      <c r="AC469" s="1460" t="str">
        <f t="shared" si="157"/>
        <v>-</v>
      </c>
      <c r="AD469" s="1459">
        <f t="shared" si="158"/>
        <v>0</v>
      </c>
      <c r="AE469" s="964" t="str">
        <f t="shared" si="159"/>
        <v/>
      </c>
      <c r="AF469" s="964" t="str">
        <f t="shared" si="160"/>
        <v/>
      </c>
      <c r="AG469" s="964" t="str">
        <f t="shared" si="161"/>
        <v/>
      </c>
      <c r="AH469" s="964" t="str">
        <f t="shared" si="162"/>
        <v/>
      </c>
      <c r="AI469" s="964" t="str">
        <f t="shared" si="163"/>
        <v/>
      </c>
      <c r="AJ469" s="964"/>
      <c r="AK469" s="964"/>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s="1396"/>
      <c r="CB469" s="1396"/>
      <c r="CC469"/>
      <c r="CD469"/>
      <c r="CE469"/>
    </row>
    <row r="470" spans="1:83" ht="13.15" customHeight="1" outlineLevel="2" x14ac:dyDescent="0.2">
      <c r="A470"/>
      <c r="B470" s="1"/>
      <c r="C470"/>
      <c r="D470"/>
      <c r="E470"/>
      <c r="F470"/>
      <c r="G470" s="1"/>
      <c r="H470" s="1"/>
      <c r="I470"/>
      <c r="J470"/>
      <c r="K470"/>
      <c r="L470"/>
      <c r="M470"/>
      <c r="N470"/>
      <c r="O470"/>
      <c r="P470"/>
      <c r="Q470"/>
      <c r="R470" s="558" t="s">
        <v>1729</v>
      </c>
      <c r="S470" s="83"/>
      <c r="T470" s="56"/>
      <c r="U470" s="955"/>
      <c r="V470" s="43" t="str">
        <f>Z461</f>
        <v>B</v>
      </c>
      <c r="W470" s="10"/>
      <c r="X470" s="45" t="s">
        <v>769</v>
      </c>
      <c r="Y470" s="10"/>
      <c r="Z470" s="46" t="str">
        <f>V463</f>
        <v>L</v>
      </c>
      <c r="AA470" s="123"/>
      <c r="AB470" s="1459">
        <f t="shared" si="156"/>
        <v>0</v>
      </c>
      <c r="AC470" s="1460" t="str">
        <f t="shared" si="157"/>
        <v>-</v>
      </c>
      <c r="AD470" s="1459">
        <f t="shared" si="158"/>
        <v>0</v>
      </c>
      <c r="AE470" s="964" t="str">
        <f t="shared" si="159"/>
        <v/>
      </c>
      <c r="AF470" s="964" t="str">
        <f t="shared" si="160"/>
        <v/>
      </c>
      <c r="AG470" s="964" t="str">
        <f t="shared" si="161"/>
        <v/>
      </c>
      <c r="AH470" s="964" t="str">
        <f t="shared" si="162"/>
        <v/>
      </c>
      <c r="AI470" s="964" t="str">
        <f t="shared" si="163"/>
        <v/>
      </c>
      <c r="AJ470" s="964"/>
      <c r="AK470" s="964"/>
      <c r="AL470"/>
      <c r="AM470"/>
      <c r="AN470"/>
      <c r="AO470"/>
      <c r="AP470"/>
      <c r="AQ470"/>
      <c r="AR470"/>
      <c r="AS470"/>
      <c r="AT470"/>
      <c r="AU470"/>
      <c r="AV470"/>
      <c r="AW470"/>
      <c r="AX470" s="9"/>
      <c r="AY470"/>
      <c r="AZ470"/>
      <c r="BA470"/>
      <c r="BB470"/>
      <c r="BC470"/>
      <c r="BD470"/>
      <c r="BE470"/>
      <c r="BF470"/>
      <c r="BG470"/>
      <c r="BH470"/>
      <c r="BI470"/>
      <c r="BJ470"/>
      <c r="BK470"/>
      <c r="BL470"/>
      <c r="BM470"/>
      <c r="BN470"/>
      <c r="BO470"/>
      <c r="BP470"/>
      <c r="BQ470"/>
      <c r="BR470"/>
      <c r="BS470"/>
      <c r="BT470"/>
      <c r="BU470"/>
      <c r="BV470"/>
      <c r="BW470"/>
      <c r="BX470"/>
      <c r="BY470"/>
      <c r="BZ470"/>
      <c r="CA470" s="1396"/>
      <c r="CB470" s="1396"/>
      <c r="CC470"/>
      <c r="CD470"/>
      <c r="CE470"/>
    </row>
    <row r="471" spans="1:83" ht="13.15" customHeight="1" outlineLevel="2" x14ac:dyDescent="0.2">
      <c r="A471"/>
      <c r="B471" s="1"/>
      <c r="C471"/>
      <c r="D471"/>
      <c r="E471"/>
      <c r="F471"/>
      <c r="G471" s="1"/>
      <c r="H471" s="1"/>
      <c r="I471"/>
      <c r="J471"/>
      <c r="K471"/>
      <c r="L471"/>
      <c r="M471"/>
      <c r="N471"/>
      <c r="O471"/>
      <c r="P471"/>
      <c r="Q471"/>
      <c r="R471" s="558" t="s">
        <v>1729</v>
      </c>
      <c r="S471" s="83"/>
      <c r="T471" s="56"/>
      <c r="U471" s="955"/>
      <c r="V471" s="43" t="str">
        <f>Z462</f>
        <v>D</v>
      </c>
      <c r="W471" s="10"/>
      <c r="X471" s="45" t="s">
        <v>769</v>
      </c>
      <c r="Y471" s="10"/>
      <c r="Z471" s="46" t="str">
        <f>V464</f>
        <v>J</v>
      </c>
      <c r="AA471" s="123"/>
      <c r="AB471" s="1459">
        <f t="shared" si="156"/>
        <v>0</v>
      </c>
      <c r="AC471" s="1460" t="str">
        <f t="shared" si="157"/>
        <v>-</v>
      </c>
      <c r="AD471" s="1459">
        <f t="shared" si="158"/>
        <v>0</v>
      </c>
      <c r="AE471" s="964" t="str">
        <f t="shared" si="159"/>
        <v/>
      </c>
      <c r="AF471" s="964" t="str">
        <f t="shared" si="160"/>
        <v/>
      </c>
      <c r="AG471" s="964" t="str">
        <f t="shared" si="161"/>
        <v/>
      </c>
      <c r="AH471" s="964" t="str">
        <f t="shared" si="162"/>
        <v/>
      </c>
      <c r="AI471" s="964" t="str">
        <f t="shared" si="163"/>
        <v/>
      </c>
      <c r="AJ471" s="964"/>
      <c r="AK471" s="964"/>
      <c r="AL471"/>
      <c r="AM471"/>
      <c r="AN471"/>
      <c r="AO471"/>
      <c r="AP471"/>
      <c r="AQ471"/>
      <c r="AR471"/>
      <c r="AS471"/>
      <c r="AT471"/>
      <c r="AU471"/>
      <c r="AV471"/>
      <c r="AW471"/>
      <c r="AX471" s="9"/>
      <c r="AY471"/>
      <c r="AZ471"/>
      <c r="BA471"/>
      <c r="BB471"/>
      <c r="BC471"/>
      <c r="BD471"/>
      <c r="BE471"/>
      <c r="BF471"/>
      <c r="BG471"/>
      <c r="BH471"/>
      <c r="BI471"/>
      <c r="BJ471"/>
      <c r="BK471"/>
      <c r="BL471"/>
      <c r="BM471"/>
      <c r="BN471"/>
      <c r="BO471"/>
      <c r="BP471"/>
      <c r="BQ471"/>
      <c r="BR471"/>
      <c r="BS471"/>
      <c r="BT471"/>
      <c r="BU471"/>
      <c r="BV471"/>
      <c r="BW471"/>
      <c r="BX471"/>
      <c r="BY471"/>
      <c r="BZ471"/>
      <c r="CA471" s="1396"/>
      <c r="CB471" s="1396"/>
      <c r="CC471"/>
      <c r="CD471"/>
      <c r="CE471"/>
    </row>
    <row r="472" spans="1:83" ht="13.9" customHeight="1" outlineLevel="2" thickBot="1" x14ac:dyDescent="0.25">
      <c r="A472"/>
      <c r="B472" s="1"/>
      <c r="C472"/>
      <c r="D472"/>
      <c r="E472"/>
      <c r="F472"/>
      <c r="G472" s="1"/>
      <c r="H472" s="1"/>
      <c r="I472"/>
      <c r="J472"/>
      <c r="K472"/>
      <c r="L472"/>
      <c r="M472"/>
      <c r="N472"/>
      <c r="O472"/>
      <c r="P472"/>
      <c r="Q472"/>
      <c r="R472" s="558" t="s">
        <v>1729</v>
      </c>
      <c r="S472" s="956"/>
      <c r="T472" s="58"/>
      <c r="U472" s="957"/>
      <c r="V472" s="43" t="str">
        <f>Z463</f>
        <v>F</v>
      </c>
      <c r="W472" s="10"/>
      <c r="X472" s="45" t="s">
        <v>769</v>
      </c>
      <c r="Y472" s="10"/>
      <c r="Z472" s="46" t="str">
        <f>Z464</f>
        <v>H</v>
      </c>
      <c r="AA472" s="123"/>
      <c r="AB472" s="1459">
        <f t="shared" si="156"/>
        <v>0</v>
      </c>
      <c r="AC472" s="1460" t="str">
        <f t="shared" si="157"/>
        <v>-</v>
      </c>
      <c r="AD472" s="1459">
        <f t="shared" si="158"/>
        <v>0</v>
      </c>
      <c r="AE472" s="964" t="str">
        <f t="shared" si="159"/>
        <v/>
      </c>
      <c r="AF472" s="964" t="str">
        <f t="shared" si="160"/>
        <v/>
      </c>
      <c r="AG472" s="964" t="str">
        <f t="shared" si="161"/>
        <v/>
      </c>
      <c r="AH472" s="964" t="str">
        <f t="shared" si="162"/>
        <v/>
      </c>
      <c r="AI472" s="964" t="str">
        <f t="shared" si="163"/>
        <v/>
      </c>
      <c r="AJ472" s="964"/>
      <c r="AK472" s="964"/>
      <c r="AL472"/>
      <c r="AM472"/>
      <c r="AN472"/>
      <c r="AO472"/>
      <c r="AP472"/>
      <c r="AQ472"/>
      <c r="AR472"/>
      <c r="AS472"/>
      <c r="AT472"/>
      <c r="AU472"/>
      <c r="AV472"/>
      <c r="AW472" s="9"/>
      <c r="AX472" s="9"/>
      <c r="AY472"/>
      <c r="AZ472"/>
      <c r="BA472"/>
      <c r="BB472"/>
      <c r="BC472"/>
      <c r="BD472"/>
      <c r="BE472"/>
      <c r="BF472"/>
      <c r="BG472"/>
      <c r="BH472"/>
      <c r="BI472"/>
      <c r="BJ472"/>
      <c r="BK472"/>
      <c r="BL472"/>
      <c r="BM472"/>
      <c r="BN472"/>
      <c r="BO472"/>
      <c r="BP472"/>
      <c r="BQ472"/>
      <c r="BR472"/>
      <c r="BS472"/>
      <c r="BT472"/>
      <c r="BU472"/>
      <c r="BV472"/>
      <c r="BW472"/>
      <c r="BX472"/>
      <c r="BY472"/>
      <c r="BZ472"/>
      <c r="CA472" s="1396"/>
      <c r="CB472" s="1396"/>
      <c r="CC472"/>
      <c r="CD472"/>
      <c r="CE472"/>
    </row>
    <row r="473" spans="1:83" ht="13.5" outlineLevel="1" thickBot="1" x14ac:dyDescent="0.25">
      <c r="A473"/>
      <c r="B473" s="1"/>
      <c r="C473" s="1"/>
      <c r="D473" s="76"/>
      <c r="E473" s="76"/>
      <c r="F473" s="76"/>
      <c r="G473" s="9"/>
      <c r="H473" s="9"/>
      <c r="I473" s="1"/>
      <c r="J473"/>
      <c r="K473"/>
      <c r="L473"/>
      <c r="M473"/>
      <c r="N473"/>
      <c r="O473"/>
      <c r="P473" s="89"/>
      <c r="Q473"/>
      <c r="R473" s="1"/>
      <c r="S473" s="993">
        <f>S465+1</f>
        <v>5</v>
      </c>
      <c r="T473" s="961"/>
      <c r="U473" s="961"/>
      <c r="V473" s="961"/>
      <c r="W473" s="960"/>
      <c r="X473" s="960"/>
      <c r="Y473" s="960"/>
      <c r="Z473" s="962"/>
      <c r="AA473" s="123"/>
      <c r="AB473" s="963"/>
      <c r="AC473" s="963"/>
      <c r="AD473" s="963"/>
      <c r="AE473" s="964"/>
      <c r="AF473" s="964"/>
      <c r="AG473" s="964"/>
      <c r="AH473" s="964"/>
      <c r="AI473" s="964"/>
      <c r="AJ473" s="964"/>
      <c r="AK473" s="964"/>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s="1396"/>
      <c r="CB473" s="1396"/>
      <c r="CC473"/>
      <c r="CD473"/>
      <c r="CE473"/>
    </row>
    <row r="474" spans="1:83" ht="13.9" customHeight="1" outlineLevel="2" thickBot="1" x14ac:dyDescent="0.25">
      <c r="A474"/>
      <c r="B474" s="1"/>
      <c r="C474"/>
      <c r="D474"/>
      <c r="E474"/>
      <c r="F474"/>
      <c r="G474" s="1"/>
      <c r="H474" s="1"/>
      <c r="I474"/>
      <c r="J474"/>
      <c r="K474"/>
      <c r="L474"/>
      <c r="M474"/>
      <c r="N474"/>
      <c r="O474"/>
      <c r="P474"/>
      <c r="Q474"/>
      <c r="S474" s="22" t="str">
        <f>N_Heure</f>
        <v>Heure</v>
      </c>
      <c r="T474" s="22" t="str">
        <f>N_Table</f>
        <v>Table</v>
      </c>
      <c r="U474" s="22" t="str">
        <f>N_Arbitre</f>
        <v>Arbitre</v>
      </c>
      <c r="V474" s="293" t="str">
        <f>N_Matches</f>
        <v>Matches</v>
      </c>
      <c r="W474" s="294"/>
      <c r="X474" s="294"/>
      <c r="Y474" s="294"/>
      <c r="Z474" s="295"/>
      <c r="AA474" s="8"/>
      <c r="AB474" s="967"/>
      <c r="AC474" s="967"/>
      <c r="AD474" s="967"/>
      <c r="AE474" s="964"/>
      <c r="AF474" s="964"/>
      <c r="AG474" s="964"/>
      <c r="AH474" s="964"/>
      <c r="AI474" s="964"/>
      <c r="AJ474" s="964"/>
      <c r="AK474" s="96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s="1396"/>
      <c r="CB474" s="1396"/>
      <c r="CC474"/>
      <c r="CD474"/>
      <c r="CE474"/>
    </row>
    <row r="475" spans="1:83" ht="13.15" customHeight="1" outlineLevel="2" x14ac:dyDescent="0.2">
      <c r="A475"/>
      <c r="B475" s="1"/>
      <c r="C475"/>
      <c r="D475"/>
      <c r="E475"/>
      <c r="F475"/>
      <c r="G475" s="1"/>
      <c r="H475" s="1"/>
      <c r="I475"/>
      <c r="J475"/>
      <c r="K475"/>
      <c r="L475"/>
      <c r="M475"/>
      <c r="N475"/>
      <c r="O475"/>
      <c r="P475"/>
      <c r="Q475"/>
      <c r="R475" s="558" t="s">
        <v>1730</v>
      </c>
      <c r="S475" s="65"/>
      <c r="T475" s="953"/>
      <c r="U475" s="954"/>
      <c r="V475" s="34" t="str">
        <f>Z467</f>
        <v>A</v>
      </c>
      <c r="W475" s="148"/>
      <c r="X475" s="35" t="s">
        <v>769</v>
      </c>
      <c r="Y475" s="148"/>
      <c r="Z475" s="36" t="str">
        <f>Z468</f>
        <v>I</v>
      </c>
      <c r="AA475" s="123"/>
      <c r="AB475" s="1459">
        <f t="shared" ref="AB475:AB480" si="164">IF(MaxScore,MaxGoals(W475,Y475,MaxGoalsValue),IF(W475="","",W475))</f>
        <v>0</v>
      </c>
      <c r="AC475" s="1460" t="str">
        <f t="shared" ref="AC475:AC480" si="165">IF(MaxScore,"-",IF(W475="","","-"))</f>
        <v>-</v>
      </c>
      <c r="AD475" s="1459">
        <f t="shared" ref="AD475:AD480" si="166">IF(MaxScore,MaxGoals(Y475,W475,MaxGoalsValue),IF(Y475="","",Y475))</f>
        <v>0</v>
      </c>
      <c r="AE475" s="964" t="str">
        <f t="shared" ref="AE475:AE480" si="167">IF(W475="","",IF(W475&gt;Y475,V475,IF(W475=Y475,"",Z475)))</f>
        <v/>
      </c>
      <c r="AF475" s="964" t="str">
        <f t="shared" ref="AF475:AF480" si="168">IF(W475="","",IF(W475=Y475,V475,""))</f>
        <v/>
      </c>
      <c r="AG475" s="964" t="str">
        <f t="shared" ref="AG475:AG480" si="169">IF(W475="","",IF(W475=Y475,Z475,""))</f>
        <v/>
      </c>
      <c r="AH475" s="964" t="str">
        <f t="shared" ref="AH475:AH480" si="170">IF(W475="","",IF(W475&lt;Y475,V475,IF(W475=Y475,"",Z475)))</f>
        <v/>
      </c>
      <c r="AI475" s="964" t="str">
        <f t="shared" ref="AI475:AI480" si="171">CONCATENATE(AE475,AH475)</f>
        <v/>
      </c>
      <c r="AJ475" s="964"/>
      <c r="AK475" s="964"/>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s="1396"/>
      <c r="CB475" s="1396"/>
      <c r="CC475"/>
      <c r="CD475"/>
      <c r="CE475"/>
    </row>
    <row r="476" spans="1:83" ht="13.15" customHeight="1" outlineLevel="2" x14ac:dyDescent="0.2">
      <c r="A476"/>
      <c r="B476" s="1"/>
      <c r="C476"/>
      <c r="D476"/>
      <c r="E476"/>
      <c r="F476"/>
      <c r="G476" s="1"/>
      <c r="H476" s="1"/>
      <c r="I476"/>
      <c r="J476"/>
      <c r="K476"/>
      <c r="L476"/>
      <c r="M476"/>
      <c r="N476"/>
      <c r="O476"/>
      <c r="P476"/>
      <c r="Q476"/>
      <c r="R476" s="558" t="s">
        <v>1730</v>
      </c>
      <c r="S476" s="83"/>
      <c r="T476" s="56"/>
      <c r="U476" s="955"/>
      <c r="V476" s="43" t="str">
        <f>Z469</f>
        <v>K</v>
      </c>
      <c r="W476" s="10"/>
      <c r="X476" s="45" t="s">
        <v>769</v>
      </c>
      <c r="Y476" s="10"/>
      <c r="Z476" s="46" t="str">
        <f>V467</f>
        <v>G</v>
      </c>
      <c r="AA476" s="123"/>
      <c r="AB476" s="1459">
        <f t="shared" si="164"/>
        <v>0</v>
      </c>
      <c r="AC476" s="1460" t="str">
        <f t="shared" si="165"/>
        <v>-</v>
      </c>
      <c r="AD476" s="1459">
        <f t="shared" si="166"/>
        <v>0</v>
      </c>
      <c r="AE476" s="964" t="str">
        <f t="shared" si="167"/>
        <v/>
      </c>
      <c r="AF476" s="964" t="str">
        <f t="shared" si="168"/>
        <v/>
      </c>
      <c r="AG476" s="964" t="str">
        <f t="shared" si="169"/>
        <v/>
      </c>
      <c r="AH476" s="964" t="str">
        <f t="shared" si="170"/>
        <v/>
      </c>
      <c r="AI476" s="964" t="str">
        <f t="shared" si="171"/>
        <v/>
      </c>
      <c r="AJ476" s="964"/>
      <c r="AK476" s="964"/>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s="1396"/>
      <c r="CB476" s="1396"/>
      <c r="CC476"/>
      <c r="CD476"/>
      <c r="CE476"/>
    </row>
    <row r="477" spans="1:83" ht="13.15" customHeight="1" outlineLevel="2" x14ac:dyDescent="0.2">
      <c r="A477"/>
      <c r="B477" s="1"/>
      <c r="C477"/>
      <c r="D477"/>
      <c r="E477"/>
      <c r="F477"/>
      <c r="G477" s="1"/>
      <c r="H477" s="1"/>
      <c r="I477"/>
      <c r="J477"/>
      <c r="K477"/>
      <c r="L477"/>
      <c r="M477"/>
      <c r="N477"/>
      <c r="O477"/>
      <c r="P477"/>
      <c r="Q477"/>
      <c r="R477" s="558" t="s">
        <v>1730</v>
      </c>
      <c r="S477" s="83"/>
      <c r="T477" s="56"/>
      <c r="U477" s="955"/>
      <c r="V477" s="43" t="str">
        <f>Z470</f>
        <v>L</v>
      </c>
      <c r="W477" s="10"/>
      <c r="X477" s="45" t="s">
        <v>769</v>
      </c>
      <c r="Y477" s="10"/>
      <c r="Z477" s="46" t="str">
        <f>V468</f>
        <v>E</v>
      </c>
      <c r="AA477" s="123"/>
      <c r="AB477" s="1459">
        <f t="shared" si="164"/>
        <v>0</v>
      </c>
      <c r="AC477" s="1460" t="str">
        <f t="shared" si="165"/>
        <v>-</v>
      </c>
      <c r="AD477" s="1459">
        <f t="shared" si="166"/>
        <v>0</v>
      </c>
      <c r="AE477" s="964" t="str">
        <f t="shared" si="167"/>
        <v/>
      </c>
      <c r="AF477" s="964" t="str">
        <f t="shared" si="168"/>
        <v/>
      </c>
      <c r="AG477" s="964" t="str">
        <f t="shared" si="169"/>
        <v/>
      </c>
      <c r="AH477" s="964" t="str">
        <f t="shared" si="170"/>
        <v/>
      </c>
      <c r="AI477" s="964" t="str">
        <f t="shared" si="171"/>
        <v/>
      </c>
      <c r="AJ477" s="964"/>
      <c r="AK477" s="964"/>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s="1396"/>
      <c r="CB477" s="1396"/>
      <c r="CC477"/>
      <c r="CD477"/>
      <c r="CE477"/>
    </row>
    <row r="478" spans="1:83" ht="13.15" customHeight="1" outlineLevel="2" x14ac:dyDescent="0.2">
      <c r="A478"/>
      <c r="B478" s="1"/>
      <c r="C478"/>
      <c r="D478"/>
      <c r="E478"/>
      <c r="F478"/>
      <c r="G478" s="1"/>
      <c r="H478" s="1"/>
      <c r="I478"/>
      <c r="J478"/>
      <c r="K478"/>
      <c r="L478"/>
      <c r="M478"/>
      <c r="N478"/>
      <c r="O478"/>
      <c r="P478"/>
      <c r="Q478"/>
      <c r="R478" s="558" t="s">
        <v>1730</v>
      </c>
      <c r="S478" s="83"/>
      <c r="T478" s="56"/>
      <c r="U478" s="955"/>
      <c r="V478" s="43" t="str">
        <f>Z471</f>
        <v>J</v>
      </c>
      <c r="W478" s="10"/>
      <c r="X478" s="45" t="s">
        <v>769</v>
      </c>
      <c r="Y478" s="10"/>
      <c r="Z478" s="46" t="str">
        <f>V469</f>
        <v>C</v>
      </c>
      <c r="AA478" s="123"/>
      <c r="AB478" s="1459">
        <f t="shared" si="164"/>
        <v>0</v>
      </c>
      <c r="AC478" s="1460" t="str">
        <f t="shared" si="165"/>
        <v>-</v>
      </c>
      <c r="AD478" s="1459">
        <f t="shared" si="166"/>
        <v>0</v>
      </c>
      <c r="AE478" s="964" t="str">
        <f t="shared" si="167"/>
        <v/>
      </c>
      <c r="AF478" s="964" t="str">
        <f t="shared" si="168"/>
        <v/>
      </c>
      <c r="AG478" s="964" t="str">
        <f t="shared" si="169"/>
        <v/>
      </c>
      <c r="AH478" s="964" t="str">
        <f t="shared" si="170"/>
        <v/>
      </c>
      <c r="AI478" s="964" t="str">
        <f t="shared" si="171"/>
        <v/>
      </c>
      <c r="AJ478" s="964"/>
      <c r="AK478" s="964"/>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s="1396"/>
      <c r="CB478" s="1396"/>
      <c r="CC478"/>
      <c r="CD478"/>
      <c r="CE478"/>
    </row>
    <row r="479" spans="1:83" ht="13.15" customHeight="1" outlineLevel="2" x14ac:dyDescent="0.2">
      <c r="A479"/>
      <c r="B479" s="1"/>
      <c r="C479"/>
      <c r="D479"/>
      <c r="E479"/>
      <c r="F479"/>
      <c r="G479" s="1"/>
      <c r="H479" s="1"/>
      <c r="I479"/>
      <c r="J479"/>
      <c r="K479"/>
      <c r="L479"/>
      <c r="M479"/>
      <c r="N479"/>
      <c r="O479"/>
      <c r="P479"/>
      <c r="Q479"/>
      <c r="R479" s="558" t="s">
        <v>1730</v>
      </c>
      <c r="S479" s="83"/>
      <c r="T479" s="56"/>
      <c r="U479" s="955"/>
      <c r="V479" s="43" t="str">
        <f>Z472</f>
        <v>H</v>
      </c>
      <c r="W479" s="10"/>
      <c r="X479" s="45" t="s">
        <v>769</v>
      </c>
      <c r="Y479" s="10"/>
      <c r="Z479" s="46" t="str">
        <f>V470</f>
        <v>B</v>
      </c>
      <c r="AA479" s="123"/>
      <c r="AB479" s="1459">
        <f t="shared" si="164"/>
        <v>0</v>
      </c>
      <c r="AC479" s="1460" t="str">
        <f t="shared" si="165"/>
        <v>-</v>
      </c>
      <c r="AD479" s="1459">
        <f t="shared" si="166"/>
        <v>0</v>
      </c>
      <c r="AE479" s="964" t="str">
        <f t="shared" si="167"/>
        <v/>
      </c>
      <c r="AF479" s="964" t="str">
        <f t="shared" si="168"/>
        <v/>
      </c>
      <c r="AG479" s="964" t="str">
        <f t="shared" si="169"/>
        <v/>
      </c>
      <c r="AH479" s="964" t="str">
        <f t="shared" si="170"/>
        <v/>
      </c>
      <c r="AI479" s="964" t="str">
        <f t="shared" si="171"/>
        <v/>
      </c>
      <c r="AJ479" s="964"/>
      <c r="AK479" s="964"/>
      <c r="AL479"/>
      <c r="AM479"/>
      <c r="AN479"/>
      <c r="AO479"/>
      <c r="AP479"/>
      <c r="AQ479"/>
      <c r="AR479"/>
      <c r="AS479"/>
      <c r="AT479"/>
      <c r="AU479"/>
      <c r="AV479"/>
      <c r="AW479"/>
      <c r="AX479" s="9"/>
      <c r="AY479"/>
      <c r="AZ479"/>
      <c r="BA479"/>
      <c r="BB479"/>
      <c r="BC479"/>
      <c r="BD479"/>
      <c r="BE479"/>
      <c r="BF479"/>
      <c r="BG479"/>
      <c r="BH479"/>
      <c r="BI479"/>
      <c r="BJ479"/>
      <c r="BK479"/>
      <c r="BL479"/>
      <c r="BM479"/>
      <c r="BN479"/>
      <c r="BO479"/>
      <c r="BP479"/>
      <c r="BQ479"/>
      <c r="BR479"/>
      <c r="BS479"/>
      <c r="BT479"/>
      <c r="BU479"/>
      <c r="BV479"/>
      <c r="BW479"/>
      <c r="BX479"/>
      <c r="BY479"/>
      <c r="BZ479"/>
      <c r="CA479" s="1396"/>
      <c r="CB479" s="1396"/>
      <c r="CC479"/>
      <c r="CD479"/>
      <c r="CE479"/>
    </row>
    <row r="480" spans="1:83" ht="13.9" customHeight="1" outlineLevel="2" thickBot="1" x14ac:dyDescent="0.25">
      <c r="A480"/>
      <c r="B480" s="1"/>
      <c r="C480"/>
      <c r="D480"/>
      <c r="E480"/>
      <c r="F480"/>
      <c r="G480" s="1"/>
      <c r="H480" s="1"/>
      <c r="I480"/>
      <c r="J480"/>
      <c r="K480"/>
      <c r="L480"/>
      <c r="M480"/>
      <c r="N480"/>
      <c r="O480"/>
      <c r="P480"/>
      <c r="Q480"/>
      <c r="R480" s="558" t="s">
        <v>1730</v>
      </c>
      <c r="S480" s="956"/>
      <c r="T480" s="58"/>
      <c r="U480" s="957"/>
      <c r="V480" s="958" t="str">
        <f>V472</f>
        <v>F</v>
      </c>
      <c r="W480" s="10"/>
      <c r="X480" s="45" t="s">
        <v>769</v>
      </c>
      <c r="Y480" s="10"/>
      <c r="Z480" s="46" t="str">
        <f>V471</f>
        <v>D</v>
      </c>
      <c r="AA480" s="123"/>
      <c r="AB480" s="1459">
        <f t="shared" si="164"/>
        <v>0</v>
      </c>
      <c r="AC480" s="1460" t="str">
        <f t="shared" si="165"/>
        <v>-</v>
      </c>
      <c r="AD480" s="1459">
        <f t="shared" si="166"/>
        <v>0</v>
      </c>
      <c r="AE480" s="964" t="str">
        <f t="shared" si="167"/>
        <v/>
      </c>
      <c r="AF480" s="964" t="str">
        <f t="shared" si="168"/>
        <v/>
      </c>
      <c r="AG480" s="964" t="str">
        <f t="shared" si="169"/>
        <v/>
      </c>
      <c r="AH480" s="964" t="str">
        <f t="shared" si="170"/>
        <v/>
      </c>
      <c r="AI480" s="964" t="str">
        <f t="shared" si="171"/>
        <v/>
      </c>
      <c r="AJ480" s="964"/>
      <c r="AK480" s="964"/>
      <c r="AL480"/>
      <c r="AM480"/>
      <c r="AN480"/>
      <c r="AO480"/>
      <c r="AP480"/>
      <c r="AQ480"/>
      <c r="AR480"/>
      <c r="AS480"/>
      <c r="AT480"/>
      <c r="AU480"/>
      <c r="AV480"/>
      <c r="AW480" s="9"/>
      <c r="AX480" s="9"/>
      <c r="AY480"/>
      <c r="AZ480"/>
      <c r="BA480"/>
      <c r="BB480"/>
      <c r="BC480"/>
      <c r="BD480"/>
      <c r="BE480"/>
      <c r="BF480"/>
      <c r="BG480"/>
      <c r="BH480"/>
      <c r="BI480"/>
      <c r="BJ480"/>
      <c r="BK480"/>
      <c r="BL480"/>
      <c r="BM480"/>
      <c r="BN480"/>
      <c r="BO480"/>
      <c r="BP480"/>
      <c r="BQ480"/>
      <c r="BR480"/>
      <c r="BS480"/>
      <c r="BT480"/>
      <c r="BU480"/>
      <c r="BV480"/>
      <c r="BW480"/>
      <c r="BX480"/>
      <c r="BY480"/>
      <c r="BZ480"/>
      <c r="CA480" s="1396"/>
      <c r="CB480" s="1396"/>
      <c r="CC480"/>
      <c r="CD480"/>
      <c r="CE480"/>
    </row>
    <row r="481" spans="1:83" ht="13.5" outlineLevel="1" thickBot="1" x14ac:dyDescent="0.25">
      <c r="A481"/>
      <c r="B481" s="1"/>
      <c r="C481" s="1"/>
      <c r="D481" s="76"/>
      <c r="E481" s="76"/>
      <c r="F481" s="76"/>
      <c r="G481" s="9"/>
      <c r="H481" s="9"/>
      <c r="I481" s="1"/>
      <c r="J481"/>
      <c r="K481"/>
      <c r="L481"/>
      <c r="M481"/>
      <c r="N481"/>
      <c r="O481"/>
      <c r="P481" s="89"/>
      <c r="Q481"/>
      <c r="R481" s="1"/>
      <c r="S481" s="993">
        <f>S473+1</f>
        <v>6</v>
      </c>
      <c r="T481" s="961"/>
      <c r="U481" s="961"/>
      <c r="V481" s="961"/>
      <c r="W481" s="960"/>
      <c r="X481" s="960"/>
      <c r="Y481" s="960"/>
      <c r="Z481" s="962"/>
      <c r="AA481" s="123"/>
      <c r="AB481" s="963"/>
      <c r="AC481" s="963"/>
      <c r="AD481" s="963"/>
      <c r="AE481" s="964"/>
      <c r="AF481" s="964"/>
      <c r="AG481" s="964"/>
      <c r="AH481" s="964"/>
      <c r="AI481" s="964"/>
      <c r="AJ481" s="964"/>
      <c r="AK481" s="964"/>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s="1396"/>
      <c r="CB481" s="1396"/>
      <c r="CC481"/>
      <c r="CD481"/>
      <c r="CE481"/>
    </row>
    <row r="482" spans="1:83" ht="13.9" customHeight="1" outlineLevel="2" thickBot="1" x14ac:dyDescent="0.25">
      <c r="A482"/>
      <c r="B482" s="1"/>
      <c r="C482"/>
      <c r="D482"/>
      <c r="E482"/>
      <c r="F482"/>
      <c r="G482" s="1"/>
      <c r="H482" s="1"/>
      <c r="I482"/>
      <c r="J482"/>
      <c r="K482"/>
      <c r="L482"/>
      <c r="M482"/>
      <c r="N482"/>
      <c r="O482"/>
      <c r="P482"/>
      <c r="Q482"/>
      <c r="S482" s="22" t="str">
        <f>N_Heure</f>
        <v>Heure</v>
      </c>
      <c r="T482" s="22" t="str">
        <f>N_Table</f>
        <v>Table</v>
      </c>
      <c r="U482" s="22" t="str">
        <f>N_Arbitre</f>
        <v>Arbitre</v>
      </c>
      <c r="V482" s="293" t="str">
        <f>N_Matches</f>
        <v>Matches</v>
      </c>
      <c r="W482" s="294"/>
      <c r="X482" s="294"/>
      <c r="Y482" s="294"/>
      <c r="Z482" s="295"/>
      <c r="AA482" s="8"/>
      <c r="AB482" s="967"/>
      <c r="AC482" s="967"/>
      <c r="AD482" s="967"/>
      <c r="AE482" s="964"/>
      <c r="AF482" s="964"/>
      <c r="AG482" s="964"/>
      <c r="AH482" s="964"/>
      <c r="AI482" s="964"/>
      <c r="AJ482" s="964"/>
      <c r="AK482" s="964"/>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s="1396"/>
      <c r="CB482" s="1396"/>
      <c r="CC482"/>
      <c r="CD482"/>
      <c r="CE482"/>
    </row>
    <row r="483" spans="1:83" ht="13.15" customHeight="1" outlineLevel="2" x14ac:dyDescent="0.2">
      <c r="A483"/>
      <c r="B483" s="1"/>
      <c r="C483"/>
      <c r="D483"/>
      <c r="E483"/>
      <c r="F483"/>
      <c r="G483" s="1"/>
      <c r="H483" s="1"/>
      <c r="I483"/>
      <c r="J483"/>
      <c r="K483"/>
      <c r="L483"/>
      <c r="M483"/>
      <c r="N483"/>
      <c r="O483"/>
      <c r="P483"/>
      <c r="Q483"/>
      <c r="R483" s="558" t="s">
        <v>1731</v>
      </c>
      <c r="S483" s="65"/>
      <c r="T483" s="953"/>
      <c r="U483" s="954"/>
      <c r="V483" s="34" t="str">
        <f>V476</f>
        <v>K</v>
      </c>
      <c r="W483" s="148"/>
      <c r="X483" s="35" t="s">
        <v>769</v>
      </c>
      <c r="Y483" s="148"/>
      <c r="Z483" s="36" t="str">
        <f>V475</f>
        <v>A</v>
      </c>
      <c r="AA483" s="123"/>
      <c r="AB483" s="1459">
        <f t="shared" ref="AB483:AB488" si="172">IF(MaxScore,MaxGoals(W483,Y483,MaxGoalsValue),IF(W483="","",W483))</f>
        <v>0</v>
      </c>
      <c r="AC483" s="1460" t="str">
        <f t="shared" ref="AC483:AC488" si="173">IF(MaxScore,"-",IF(W483="","","-"))</f>
        <v>-</v>
      </c>
      <c r="AD483" s="1459">
        <f t="shared" ref="AD483:AD488" si="174">IF(MaxScore,MaxGoals(Y483,W483,MaxGoalsValue),IF(Y483="","",Y483))</f>
        <v>0</v>
      </c>
      <c r="AE483" s="964" t="str">
        <f t="shared" ref="AE483:AE488" si="175">IF(W483="","",IF(W483&gt;Y483,V483,IF(W483=Y483,"",Z483)))</f>
        <v/>
      </c>
      <c r="AF483" s="964" t="str">
        <f t="shared" ref="AF483:AF488" si="176">IF(W483="","",IF(W483=Y483,V483,""))</f>
        <v/>
      </c>
      <c r="AG483" s="964" t="str">
        <f t="shared" ref="AG483:AG488" si="177">IF(W483="","",IF(W483=Y483,Z483,""))</f>
        <v/>
      </c>
      <c r="AH483" s="964" t="str">
        <f t="shared" ref="AH483:AH488" si="178">IF(W483="","",IF(W483&lt;Y483,V483,IF(W483=Y483,"",Z483)))</f>
        <v/>
      </c>
      <c r="AI483" s="964" t="str">
        <f t="shared" ref="AI483:AI488" si="179">CONCATENATE(AE483,AH483)</f>
        <v/>
      </c>
      <c r="AJ483" s="964"/>
      <c r="AK483" s="964"/>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s="1396"/>
      <c r="CB483" s="1396"/>
      <c r="CC483"/>
      <c r="CD483"/>
      <c r="CE483"/>
    </row>
    <row r="484" spans="1:83" ht="13.15" customHeight="1" outlineLevel="2" x14ac:dyDescent="0.2">
      <c r="A484"/>
      <c r="B484" s="1"/>
      <c r="C484"/>
      <c r="D484"/>
      <c r="E484"/>
      <c r="F484"/>
      <c r="G484" s="1"/>
      <c r="H484" s="1"/>
      <c r="I484"/>
      <c r="J484"/>
      <c r="K484"/>
      <c r="L484"/>
      <c r="M484"/>
      <c r="N484"/>
      <c r="O484"/>
      <c r="P484"/>
      <c r="Q484"/>
      <c r="R484" s="558" t="s">
        <v>1731</v>
      </c>
      <c r="S484" s="83"/>
      <c r="T484" s="56"/>
      <c r="U484" s="955"/>
      <c r="V484" s="43" t="str">
        <f>Z475</f>
        <v>I</v>
      </c>
      <c r="W484" s="10"/>
      <c r="X484" s="45" t="s">
        <v>769</v>
      </c>
      <c r="Y484" s="10"/>
      <c r="Z484" s="46" t="str">
        <f>V477</f>
        <v>L</v>
      </c>
      <c r="AA484" s="123"/>
      <c r="AB484" s="1459">
        <f t="shared" si="172"/>
        <v>0</v>
      </c>
      <c r="AC484" s="1460" t="str">
        <f t="shared" si="173"/>
        <v>-</v>
      </c>
      <c r="AD484" s="1459">
        <f t="shared" si="174"/>
        <v>0</v>
      </c>
      <c r="AE484" s="964" t="str">
        <f t="shared" si="175"/>
        <v/>
      </c>
      <c r="AF484" s="964" t="str">
        <f t="shared" si="176"/>
        <v/>
      </c>
      <c r="AG484" s="964" t="str">
        <f t="shared" si="177"/>
        <v/>
      </c>
      <c r="AH484" s="964" t="str">
        <f t="shared" si="178"/>
        <v/>
      </c>
      <c r="AI484" s="964" t="str">
        <f t="shared" si="179"/>
        <v/>
      </c>
      <c r="AJ484" s="964"/>
      <c r="AK484" s="96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s="1396"/>
      <c r="CB484" s="1396"/>
      <c r="CC484"/>
      <c r="CD484"/>
      <c r="CE484"/>
    </row>
    <row r="485" spans="1:83" ht="13.15" customHeight="1" outlineLevel="2" x14ac:dyDescent="0.2">
      <c r="A485"/>
      <c r="B485" s="1"/>
      <c r="C485"/>
      <c r="D485"/>
      <c r="E485"/>
      <c r="F485"/>
      <c r="G485" s="1"/>
      <c r="H485" s="1"/>
      <c r="I485"/>
      <c r="J485"/>
      <c r="K485"/>
      <c r="L485"/>
      <c r="M485"/>
      <c r="N485"/>
      <c r="O485"/>
      <c r="P485"/>
      <c r="Q485"/>
      <c r="R485" s="558" t="s">
        <v>1731</v>
      </c>
      <c r="S485" s="83"/>
      <c r="T485" s="56"/>
      <c r="U485" s="955"/>
      <c r="V485" s="43" t="str">
        <f>Z476</f>
        <v>G</v>
      </c>
      <c r="W485" s="10"/>
      <c r="X485" s="45" t="s">
        <v>769</v>
      </c>
      <c r="Y485" s="10"/>
      <c r="Z485" s="46" t="str">
        <f>V478</f>
        <v>J</v>
      </c>
      <c r="AA485" s="123"/>
      <c r="AB485" s="1459">
        <f t="shared" si="172"/>
        <v>0</v>
      </c>
      <c r="AC485" s="1460" t="str">
        <f t="shared" si="173"/>
        <v>-</v>
      </c>
      <c r="AD485" s="1459">
        <f t="shared" si="174"/>
        <v>0</v>
      </c>
      <c r="AE485" s="964" t="str">
        <f t="shared" si="175"/>
        <v/>
      </c>
      <c r="AF485" s="964" t="str">
        <f t="shared" si="176"/>
        <v/>
      </c>
      <c r="AG485" s="964" t="str">
        <f t="shared" si="177"/>
        <v/>
      </c>
      <c r="AH485" s="964" t="str">
        <f t="shared" si="178"/>
        <v/>
      </c>
      <c r="AI485" s="964" t="str">
        <f t="shared" si="179"/>
        <v/>
      </c>
      <c r="AJ485" s="964"/>
      <c r="AK485" s="964"/>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s="1396"/>
      <c r="CB485" s="1396"/>
      <c r="CC485"/>
      <c r="CD485"/>
      <c r="CE485"/>
    </row>
    <row r="486" spans="1:83" ht="13.15" customHeight="1" outlineLevel="2" x14ac:dyDescent="0.2">
      <c r="A486"/>
      <c r="B486" s="1"/>
      <c r="C486"/>
      <c r="D486"/>
      <c r="E486"/>
      <c r="F486"/>
      <c r="G486" s="1"/>
      <c r="H486" s="1"/>
      <c r="I486"/>
      <c r="J486"/>
      <c r="K486"/>
      <c r="L486"/>
      <c r="M486"/>
      <c r="N486"/>
      <c r="O486"/>
      <c r="P486"/>
      <c r="Q486"/>
      <c r="R486" s="558" t="s">
        <v>1731</v>
      </c>
      <c r="S486" s="83"/>
      <c r="T486" s="56"/>
      <c r="U486" s="955"/>
      <c r="V486" s="43" t="str">
        <f>Z477</f>
        <v>E</v>
      </c>
      <c r="W486" s="10"/>
      <c r="X486" s="45" t="s">
        <v>769</v>
      </c>
      <c r="Y486" s="10"/>
      <c r="Z486" s="46" t="str">
        <f>V479</f>
        <v>H</v>
      </c>
      <c r="AA486" s="123"/>
      <c r="AB486" s="1459">
        <f t="shared" si="172"/>
        <v>0</v>
      </c>
      <c r="AC486" s="1460" t="str">
        <f t="shared" si="173"/>
        <v>-</v>
      </c>
      <c r="AD486" s="1459">
        <f t="shared" si="174"/>
        <v>0</v>
      </c>
      <c r="AE486" s="964" t="str">
        <f t="shared" si="175"/>
        <v/>
      </c>
      <c r="AF486" s="964" t="str">
        <f t="shared" si="176"/>
        <v/>
      </c>
      <c r="AG486" s="964" t="str">
        <f t="shared" si="177"/>
        <v/>
      </c>
      <c r="AH486" s="964" t="str">
        <f t="shared" si="178"/>
        <v/>
      </c>
      <c r="AI486" s="964" t="str">
        <f t="shared" si="179"/>
        <v/>
      </c>
      <c r="AJ486" s="964"/>
      <c r="AK486" s="964"/>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s="1396"/>
      <c r="CB486" s="1396"/>
      <c r="CC486"/>
      <c r="CD486"/>
      <c r="CE486"/>
    </row>
    <row r="487" spans="1:83" ht="13.15" customHeight="1" outlineLevel="2" x14ac:dyDescent="0.2">
      <c r="A487"/>
      <c r="B487" s="1"/>
      <c r="C487"/>
      <c r="D487"/>
      <c r="E487"/>
      <c r="F487"/>
      <c r="G487" s="1"/>
      <c r="H487" s="1"/>
      <c r="I487"/>
      <c r="J487"/>
      <c r="K487"/>
      <c r="L487"/>
      <c r="M487"/>
      <c r="N487"/>
      <c r="O487"/>
      <c r="P487"/>
      <c r="Q487"/>
      <c r="R487" s="558" t="s">
        <v>1731</v>
      </c>
      <c r="S487" s="83"/>
      <c r="T487" s="56"/>
      <c r="U487" s="955"/>
      <c r="V487" s="43" t="str">
        <f>Z478</f>
        <v>C</v>
      </c>
      <c r="W487" s="10"/>
      <c r="X487" s="45" t="s">
        <v>769</v>
      </c>
      <c r="Y487" s="10"/>
      <c r="Z487" s="46" t="str">
        <f>V480</f>
        <v>F</v>
      </c>
      <c r="AA487" s="123"/>
      <c r="AB487" s="1459">
        <f t="shared" si="172"/>
        <v>0</v>
      </c>
      <c r="AC487" s="1460" t="str">
        <f t="shared" si="173"/>
        <v>-</v>
      </c>
      <c r="AD487" s="1459">
        <f t="shared" si="174"/>
        <v>0</v>
      </c>
      <c r="AE487" s="964" t="str">
        <f t="shared" si="175"/>
        <v/>
      </c>
      <c r="AF487" s="964" t="str">
        <f t="shared" si="176"/>
        <v/>
      </c>
      <c r="AG487" s="964" t="str">
        <f t="shared" si="177"/>
        <v/>
      </c>
      <c r="AH487" s="964" t="str">
        <f t="shared" si="178"/>
        <v/>
      </c>
      <c r="AI487" s="964" t="str">
        <f t="shared" si="179"/>
        <v/>
      </c>
      <c r="AJ487" s="964"/>
      <c r="AK487" s="964"/>
      <c r="AL487"/>
      <c r="AM487"/>
      <c r="AN487"/>
      <c r="AO487"/>
      <c r="AP487"/>
      <c r="AQ487"/>
      <c r="AR487"/>
      <c r="AS487"/>
      <c r="AT487"/>
      <c r="AU487"/>
      <c r="AV487"/>
      <c r="AW487"/>
      <c r="AX487" s="9"/>
      <c r="AY487"/>
      <c r="AZ487"/>
      <c r="BA487"/>
      <c r="BB487"/>
      <c r="BC487"/>
      <c r="BD487"/>
      <c r="BE487"/>
      <c r="BF487"/>
      <c r="BG487"/>
      <c r="BH487"/>
      <c r="BI487"/>
      <c r="BJ487"/>
      <c r="BK487"/>
      <c r="BL487"/>
      <c r="BM487"/>
      <c r="BN487"/>
      <c r="BO487"/>
      <c r="BP487"/>
      <c r="BQ487"/>
      <c r="BR487"/>
      <c r="BS487"/>
      <c r="BT487"/>
      <c r="BU487"/>
      <c r="BV487"/>
      <c r="BW487"/>
      <c r="BX487"/>
      <c r="BY487"/>
      <c r="BZ487"/>
      <c r="CA487" s="1396"/>
      <c r="CB487" s="1396"/>
      <c r="CC487"/>
      <c r="CD487"/>
      <c r="CE487"/>
    </row>
    <row r="488" spans="1:83" ht="13.9" customHeight="1" outlineLevel="2" thickBot="1" x14ac:dyDescent="0.25">
      <c r="A488"/>
      <c r="B488" s="1"/>
      <c r="C488"/>
      <c r="D488"/>
      <c r="E488"/>
      <c r="F488"/>
      <c r="G488" s="1"/>
      <c r="H488" s="1"/>
      <c r="I488"/>
      <c r="J488"/>
      <c r="K488"/>
      <c r="L488"/>
      <c r="M488"/>
      <c r="N488"/>
      <c r="O488"/>
      <c r="P488"/>
      <c r="Q488"/>
      <c r="R488" s="558" t="s">
        <v>1731</v>
      </c>
      <c r="S488" s="956"/>
      <c r="T488" s="58"/>
      <c r="U488" s="957"/>
      <c r="V488" s="43" t="str">
        <f>Z479</f>
        <v>B</v>
      </c>
      <c r="W488" s="10"/>
      <c r="X488" s="45" t="s">
        <v>769</v>
      </c>
      <c r="Y488" s="10"/>
      <c r="Z488" s="46" t="str">
        <f>Z480</f>
        <v>D</v>
      </c>
      <c r="AA488" s="123"/>
      <c r="AB488" s="1459">
        <f t="shared" si="172"/>
        <v>0</v>
      </c>
      <c r="AC488" s="1460" t="str">
        <f t="shared" si="173"/>
        <v>-</v>
      </c>
      <c r="AD488" s="1459">
        <f t="shared" si="174"/>
        <v>0</v>
      </c>
      <c r="AE488" s="964" t="str">
        <f t="shared" si="175"/>
        <v/>
      </c>
      <c r="AF488" s="964" t="str">
        <f t="shared" si="176"/>
        <v/>
      </c>
      <c r="AG488" s="964" t="str">
        <f t="shared" si="177"/>
        <v/>
      </c>
      <c r="AH488" s="964" t="str">
        <f t="shared" si="178"/>
        <v/>
      </c>
      <c r="AI488" s="964" t="str">
        <f t="shared" si="179"/>
        <v/>
      </c>
      <c r="AJ488" s="964"/>
      <c r="AK488" s="964"/>
      <c r="AL488"/>
      <c r="AM488"/>
      <c r="AN488"/>
      <c r="AO488"/>
      <c r="AP488"/>
      <c r="AQ488"/>
      <c r="AR488"/>
      <c r="AS488"/>
      <c r="AT488"/>
      <c r="AU488"/>
      <c r="AV488"/>
      <c r="AW488" s="9"/>
      <c r="AX488" s="9"/>
      <c r="AY488"/>
      <c r="AZ488"/>
      <c r="BA488"/>
      <c r="BB488"/>
      <c r="BC488"/>
      <c r="BD488"/>
      <c r="BE488"/>
      <c r="BF488"/>
      <c r="BG488"/>
      <c r="BH488"/>
      <c r="BI488"/>
      <c r="BJ488"/>
      <c r="BK488"/>
      <c r="BL488"/>
      <c r="BM488"/>
      <c r="BN488"/>
      <c r="BO488"/>
      <c r="BP488"/>
      <c r="BQ488"/>
      <c r="BR488"/>
      <c r="BS488"/>
      <c r="BT488"/>
      <c r="BU488"/>
      <c r="BV488"/>
      <c r="BW488"/>
      <c r="BX488"/>
      <c r="BY488"/>
      <c r="BZ488"/>
      <c r="CA488" s="1396"/>
      <c r="CB488" s="1396"/>
      <c r="CC488"/>
      <c r="CD488"/>
      <c r="CE488"/>
    </row>
    <row r="489" spans="1:83" ht="13.5" outlineLevel="1" thickBot="1" x14ac:dyDescent="0.25">
      <c r="A489"/>
      <c r="B489" s="1"/>
      <c r="C489" s="1"/>
      <c r="D489" s="76"/>
      <c r="E489" s="76"/>
      <c r="F489" s="76"/>
      <c r="G489" s="9"/>
      <c r="H489" s="9"/>
      <c r="I489" s="1"/>
      <c r="J489"/>
      <c r="K489"/>
      <c r="L489"/>
      <c r="M489"/>
      <c r="N489"/>
      <c r="O489"/>
      <c r="P489" s="89"/>
      <c r="Q489"/>
      <c r="R489" s="1"/>
      <c r="S489" s="993">
        <f>S481+1</f>
        <v>7</v>
      </c>
      <c r="T489" s="961"/>
      <c r="U489" s="961"/>
      <c r="V489" s="961"/>
      <c r="W489" s="960"/>
      <c r="X489" s="960"/>
      <c r="Y489" s="960"/>
      <c r="Z489" s="962"/>
      <c r="AA489" s="123"/>
      <c r="AB489" s="963"/>
      <c r="AC489" s="963"/>
      <c r="AD489" s="963"/>
      <c r="AE489" s="964"/>
      <c r="AF489" s="964"/>
      <c r="AG489" s="964"/>
      <c r="AH489" s="964"/>
      <c r="AI489" s="964"/>
      <c r="AJ489" s="964"/>
      <c r="AK489" s="964"/>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s="1396"/>
      <c r="CB489" s="1396"/>
      <c r="CC489"/>
      <c r="CD489"/>
      <c r="CE489"/>
    </row>
    <row r="490" spans="1:83" ht="13.9" customHeight="1" outlineLevel="2" thickBot="1" x14ac:dyDescent="0.25">
      <c r="A490"/>
      <c r="B490" s="1"/>
      <c r="C490"/>
      <c r="D490"/>
      <c r="E490"/>
      <c r="F490"/>
      <c r="G490" s="1"/>
      <c r="H490" s="1"/>
      <c r="I490"/>
      <c r="J490"/>
      <c r="K490"/>
      <c r="L490"/>
      <c r="M490"/>
      <c r="N490"/>
      <c r="O490"/>
      <c r="P490"/>
      <c r="Q490"/>
      <c r="S490" s="22" t="str">
        <f>N_Heure</f>
        <v>Heure</v>
      </c>
      <c r="T490" s="22" t="str">
        <f>N_Table</f>
        <v>Table</v>
      </c>
      <c r="U490" s="22" t="str">
        <f>N_Arbitre</f>
        <v>Arbitre</v>
      </c>
      <c r="V490" s="293" t="str">
        <f>N_Matches</f>
        <v>Matches</v>
      </c>
      <c r="W490" s="294"/>
      <c r="X490" s="294"/>
      <c r="Y490" s="294"/>
      <c r="Z490" s="295"/>
      <c r="AA490" s="8"/>
      <c r="AB490" s="967"/>
      <c r="AC490" s="967"/>
      <c r="AD490" s="967"/>
      <c r="AE490" s="964"/>
      <c r="AF490" s="964"/>
      <c r="AG490" s="964"/>
      <c r="AH490" s="964"/>
      <c r="AI490" s="964"/>
      <c r="AJ490" s="964"/>
      <c r="AK490" s="964"/>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s="1396"/>
      <c r="CB490" s="1396"/>
      <c r="CC490"/>
      <c r="CD490"/>
      <c r="CE490"/>
    </row>
    <row r="491" spans="1:83" ht="13.15" customHeight="1" outlineLevel="2" x14ac:dyDescent="0.2">
      <c r="A491"/>
      <c r="B491" s="1"/>
      <c r="C491"/>
      <c r="D491"/>
      <c r="E491"/>
      <c r="F491"/>
      <c r="G491" s="1"/>
      <c r="H491" s="1"/>
      <c r="I491"/>
      <c r="J491"/>
      <c r="K491"/>
      <c r="L491"/>
      <c r="M491"/>
      <c r="N491"/>
      <c r="O491"/>
      <c r="P491"/>
      <c r="Q491"/>
      <c r="R491" s="558" t="s">
        <v>1740</v>
      </c>
      <c r="S491" s="65"/>
      <c r="T491" s="953"/>
      <c r="U491" s="954"/>
      <c r="V491" s="34" t="str">
        <f>Z483</f>
        <v>A</v>
      </c>
      <c r="W491" s="148"/>
      <c r="X491" s="35" t="s">
        <v>769</v>
      </c>
      <c r="Y491" s="148"/>
      <c r="Z491" s="36" t="str">
        <f>Z484</f>
        <v>L</v>
      </c>
      <c r="AA491" s="123"/>
      <c r="AB491" s="1459">
        <f t="shared" ref="AB491:AB496" si="180">IF(MaxScore,MaxGoals(W491,Y491,MaxGoalsValue),IF(W491="","",W491))</f>
        <v>0</v>
      </c>
      <c r="AC491" s="1460" t="str">
        <f t="shared" ref="AC491:AC496" si="181">IF(MaxScore,"-",IF(W491="","","-"))</f>
        <v>-</v>
      </c>
      <c r="AD491" s="1459">
        <f t="shared" ref="AD491:AD496" si="182">IF(MaxScore,MaxGoals(Y491,W491,MaxGoalsValue),IF(Y491="","",Y491))</f>
        <v>0</v>
      </c>
      <c r="AE491" s="964" t="str">
        <f t="shared" ref="AE491:AE496" si="183">IF(W491="","",IF(W491&gt;Y491,V491,IF(W491=Y491,"",Z491)))</f>
        <v/>
      </c>
      <c r="AF491" s="964" t="str">
        <f t="shared" ref="AF491:AF496" si="184">IF(W491="","",IF(W491=Y491,V491,""))</f>
        <v/>
      </c>
      <c r="AG491" s="964" t="str">
        <f t="shared" ref="AG491:AG496" si="185">IF(W491="","",IF(W491=Y491,Z491,""))</f>
        <v/>
      </c>
      <c r="AH491" s="964" t="str">
        <f t="shared" ref="AH491:AH496" si="186">IF(W491="","",IF(W491&lt;Y491,V491,IF(W491=Y491,"",Z491)))</f>
        <v/>
      </c>
      <c r="AI491" s="964" t="str">
        <f t="shared" ref="AI491:AI496" si="187">CONCATENATE(AE491,AH491)</f>
        <v/>
      </c>
      <c r="AJ491" s="964"/>
      <c r="AK491" s="964"/>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s="1396"/>
      <c r="CB491" s="1396"/>
      <c r="CC491"/>
      <c r="CD491"/>
      <c r="CE491"/>
    </row>
    <row r="492" spans="1:83" ht="13.15" customHeight="1" outlineLevel="2" x14ac:dyDescent="0.2">
      <c r="A492"/>
      <c r="B492" s="1"/>
      <c r="C492"/>
      <c r="D492"/>
      <c r="E492"/>
      <c r="F492"/>
      <c r="G492" s="1"/>
      <c r="H492" s="1"/>
      <c r="I492"/>
      <c r="J492"/>
      <c r="K492"/>
      <c r="L492"/>
      <c r="M492"/>
      <c r="N492"/>
      <c r="O492"/>
      <c r="P492"/>
      <c r="Q492"/>
      <c r="R492" s="558" t="s">
        <v>1740</v>
      </c>
      <c r="S492" s="83"/>
      <c r="T492" s="56"/>
      <c r="U492" s="955"/>
      <c r="V492" s="43" t="str">
        <f>Z485</f>
        <v>J</v>
      </c>
      <c r="W492" s="10"/>
      <c r="X492" s="45" t="s">
        <v>769</v>
      </c>
      <c r="Y492" s="10"/>
      <c r="Z492" s="46" t="str">
        <f>V483</f>
        <v>K</v>
      </c>
      <c r="AA492" s="123"/>
      <c r="AB492" s="1459">
        <f t="shared" si="180"/>
        <v>0</v>
      </c>
      <c r="AC492" s="1460" t="str">
        <f t="shared" si="181"/>
        <v>-</v>
      </c>
      <c r="AD492" s="1459">
        <f t="shared" si="182"/>
        <v>0</v>
      </c>
      <c r="AE492" s="964" t="str">
        <f t="shared" si="183"/>
        <v/>
      </c>
      <c r="AF492" s="964" t="str">
        <f t="shared" si="184"/>
        <v/>
      </c>
      <c r="AG492" s="964" t="str">
        <f t="shared" si="185"/>
        <v/>
      </c>
      <c r="AH492" s="964" t="str">
        <f t="shared" si="186"/>
        <v/>
      </c>
      <c r="AI492" s="964" t="str">
        <f t="shared" si="187"/>
        <v/>
      </c>
      <c r="AJ492" s="964"/>
      <c r="AK492" s="964"/>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s="1396"/>
      <c r="CB492" s="1396"/>
      <c r="CC492"/>
      <c r="CD492"/>
      <c r="CE492"/>
    </row>
    <row r="493" spans="1:83" ht="13.15" customHeight="1" outlineLevel="2" x14ac:dyDescent="0.2">
      <c r="A493"/>
      <c r="B493" s="1"/>
      <c r="C493"/>
      <c r="D493"/>
      <c r="E493"/>
      <c r="F493"/>
      <c r="G493" s="1"/>
      <c r="H493" s="1"/>
      <c r="I493"/>
      <c r="J493"/>
      <c r="K493"/>
      <c r="L493"/>
      <c r="M493"/>
      <c r="N493"/>
      <c r="O493"/>
      <c r="P493"/>
      <c r="Q493"/>
      <c r="R493" s="558" t="s">
        <v>1740</v>
      </c>
      <c r="S493" s="83"/>
      <c r="T493" s="56"/>
      <c r="U493" s="955"/>
      <c r="V493" s="43" t="str">
        <f>Z486</f>
        <v>H</v>
      </c>
      <c r="W493" s="10"/>
      <c r="X493" s="45" t="s">
        <v>769</v>
      </c>
      <c r="Y493" s="10"/>
      <c r="Z493" s="46" t="str">
        <f>V484</f>
        <v>I</v>
      </c>
      <c r="AA493" s="123"/>
      <c r="AB493" s="1459">
        <f t="shared" si="180"/>
        <v>0</v>
      </c>
      <c r="AC493" s="1460" t="str">
        <f t="shared" si="181"/>
        <v>-</v>
      </c>
      <c r="AD493" s="1459">
        <f t="shared" si="182"/>
        <v>0</v>
      </c>
      <c r="AE493" s="964" t="str">
        <f t="shared" si="183"/>
        <v/>
      </c>
      <c r="AF493" s="964" t="str">
        <f t="shared" si="184"/>
        <v/>
      </c>
      <c r="AG493" s="964" t="str">
        <f t="shared" si="185"/>
        <v/>
      </c>
      <c r="AH493" s="964" t="str">
        <f t="shared" si="186"/>
        <v/>
      </c>
      <c r="AI493" s="964" t="str">
        <f t="shared" si="187"/>
        <v/>
      </c>
      <c r="AJ493" s="964"/>
      <c r="AK493" s="964"/>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s="1396"/>
      <c r="CB493" s="1396"/>
      <c r="CC493"/>
      <c r="CD493"/>
      <c r="CE493"/>
    </row>
    <row r="494" spans="1:83" ht="13.15" customHeight="1" outlineLevel="2" x14ac:dyDescent="0.2">
      <c r="A494"/>
      <c r="B494" s="1"/>
      <c r="C494"/>
      <c r="D494"/>
      <c r="E494"/>
      <c r="F494"/>
      <c r="G494" s="1"/>
      <c r="H494" s="1"/>
      <c r="I494"/>
      <c r="J494"/>
      <c r="K494"/>
      <c r="L494"/>
      <c r="M494"/>
      <c r="N494"/>
      <c r="O494"/>
      <c r="P494"/>
      <c r="Q494"/>
      <c r="R494" s="558" t="s">
        <v>1740</v>
      </c>
      <c r="S494" s="83"/>
      <c r="T494" s="56"/>
      <c r="U494" s="955"/>
      <c r="V494" s="43" t="str">
        <f>Z487</f>
        <v>F</v>
      </c>
      <c r="W494" s="10"/>
      <c r="X494" s="45" t="s">
        <v>769</v>
      </c>
      <c r="Y494" s="10"/>
      <c r="Z494" s="46" t="str">
        <f>V485</f>
        <v>G</v>
      </c>
      <c r="AA494" s="123"/>
      <c r="AB494" s="1459">
        <f t="shared" si="180"/>
        <v>0</v>
      </c>
      <c r="AC494" s="1460" t="str">
        <f t="shared" si="181"/>
        <v>-</v>
      </c>
      <c r="AD494" s="1459">
        <f t="shared" si="182"/>
        <v>0</v>
      </c>
      <c r="AE494" s="964" t="str">
        <f t="shared" si="183"/>
        <v/>
      </c>
      <c r="AF494" s="964" t="str">
        <f t="shared" si="184"/>
        <v/>
      </c>
      <c r="AG494" s="964" t="str">
        <f t="shared" si="185"/>
        <v/>
      </c>
      <c r="AH494" s="964" t="str">
        <f t="shared" si="186"/>
        <v/>
      </c>
      <c r="AI494" s="964" t="str">
        <f t="shared" si="187"/>
        <v/>
      </c>
      <c r="AJ494" s="964"/>
      <c r="AK494" s="96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s="1396"/>
      <c r="CB494" s="1396"/>
      <c r="CC494"/>
      <c r="CD494"/>
      <c r="CE494"/>
    </row>
    <row r="495" spans="1:83" ht="13.15" customHeight="1" outlineLevel="2" x14ac:dyDescent="0.2">
      <c r="A495"/>
      <c r="B495" s="1"/>
      <c r="C495"/>
      <c r="D495"/>
      <c r="E495"/>
      <c r="F495"/>
      <c r="G495" s="1"/>
      <c r="H495" s="1"/>
      <c r="I495"/>
      <c r="J495"/>
      <c r="K495"/>
      <c r="L495"/>
      <c r="M495"/>
      <c r="N495"/>
      <c r="O495"/>
      <c r="P495"/>
      <c r="Q495"/>
      <c r="R495" s="558" t="s">
        <v>1740</v>
      </c>
      <c r="S495" s="83"/>
      <c r="T495" s="56"/>
      <c r="U495" s="955"/>
      <c r="V495" s="43" t="str">
        <f>Z488</f>
        <v>D</v>
      </c>
      <c r="W495" s="10"/>
      <c r="X495" s="45" t="s">
        <v>769</v>
      </c>
      <c r="Y495" s="10"/>
      <c r="Z495" s="46" t="str">
        <f>V486</f>
        <v>E</v>
      </c>
      <c r="AA495" s="123"/>
      <c r="AB495" s="1459">
        <f t="shared" si="180"/>
        <v>0</v>
      </c>
      <c r="AC495" s="1460" t="str">
        <f t="shared" si="181"/>
        <v>-</v>
      </c>
      <c r="AD495" s="1459">
        <f t="shared" si="182"/>
        <v>0</v>
      </c>
      <c r="AE495" s="964" t="str">
        <f t="shared" si="183"/>
        <v/>
      </c>
      <c r="AF495" s="964" t="str">
        <f t="shared" si="184"/>
        <v/>
      </c>
      <c r="AG495" s="964" t="str">
        <f t="shared" si="185"/>
        <v/>
      </c>
      <c r="AH495" s="964" t="str">
        <f t="shared" si="186"/>
        <v/>
      </c>
      <c r="AI495" s="964" t="str">
        <f t="shared" si="187"/>
        <v/>
      </c>
      <c r="AJ495" s="964"/>
      <c r="AK495" s="964"/>
      <c r="AL495"/>
      <c r="AM495"/>
      <c r="AN495"/>
      <c r="AO495"/>
      <c r="AP495"/>
      <c r="AQ495"/>
      <c r="AR495"/>
      <c r="AS495"/>
      <c r="AT495"/>
      <c r="AU495"/>
      <c r="AV495"/>
      <c r="AW495"/>
      <c r="AX495" s="9"/>
      <c r="AY495"/>
      <c r="AZ495"/>
      <c r="BA495"/>
      <c r="BB495"/>
      <c r="BC495"/>
      <c r="BD495"/>
      <c r="BE495"/>
      <c r="BF495"/>
      <c r="BG495"/>
      <c r="BH495"/>
      <c r="BI495"/>
      <c r="BJ495"/>
      <c r="BK495"/>
      <c r="BL495"/>
      <c r="BM495"/>
      <c r="BN495"/>
      <c r="BO495"/>
      <c r="BP495"/>
      <c r="BQ495"/>
      <c r="BR495"/>
      <c r="BS495"/>
      <c r="BT495"/>
      <c r="BU495"/>
      <c r="BV495"/>
      <c r="BW495"/>
      <c r="BX495"/>
      <c r="BY495"/>
      <c r="BZ495"/>
      <c r="CA495" s="1396"/>
      <c r="CB495" s="1396"/>
      <c r="CC495"/>
      <c r="CD495"/>
      <c r="CE495"/>
    </row>
    <row r="496" spans="1:83" ht="13.9" customHeight="1" outlineLevel="2" thickBot="1" x14ac:dyDescent="0.25">
      <c r="A496"/>
      <c r="B496" s="1"/>
      <c r="C496"/>
      <c r="D496"/>
      <c r="E496"/>
      <c r="F496"/>
      <c r="G496" s="1"/>
      <c r="H496" s="1"/>
      <c r="I496"/>
      <c r="J496"/>
      <c r="K496"/>
      <c r="L496"/>
      <c r="M496"/>
      <c r="N496"/>
      <c r="O496"/>
      <c r="P496"/>
      <c r="Q496"/>
      <c r="R496" s="558" t="s">
        <v>1740</v>
      </c>
      <c r="S496" s="956"/>
      <c r="T496" s="58"/>
      <c r="U496" s="957"/>
      <c r="V496" s="958" t="str">
        <f>V488</f>
        <v>B</v>
      </c>
      <c r="W496" s="10"/>
      <c r="X496" s="45" t="s">
        <v>769</v>
      </c>
      <c r="Y496" s="10"/>
      <c r="Z496" s="46" t="str">
        <f>V487</f>
        <v>C</v>
      </c>
      <c r="AA496" s="123"/>
      <c r="AB496" s="1459">
        <f t="shared" si="180"/>
        <v>0</v>
      </c>
      <c r="AC496" s="1460" t="str">
        <f t="shared" si="181"/>
        <v>-</v>
      </c>
      <c r="AD496" s="1459">
        <f t="shared" si="182"/>
        <v>0</v>
      </c>
      <c r="AE496" s="964" t="str">
        <f t="shared" si="183"/>
        <v/>
      </c>
      <c r="AF496" s="964" t="str">
        <f t="shared" si="184"/>
        <v/>
      </c>
      <c r="AG496" s="964" t="str">
        <f t="shared" si="185"/>
        <v/>
      </c>
      <c r="AH496" s="964" t="str">
        <f t="shared" si="186"/>
        <v/>
      </c>
      <c r="AI496" s="964" t="str">
        <f t="shared" si="187"/>
        <v/>
      </c>
      <c r="AJ496" s="964"/>
      <c r="AK496" s="964"/>
      <c r="AL496"/>
      <c r="AM496"/>
      <c r="AN496"/>
      <c r="AO496"/>
      <c r="AP496"/>
      <c r="AQ496"/>
      <c r="AR496"/>
      <c r="AS496"/>
      <c r="AT496"/>
      <c r="AU496"/>
      <c r="AV496"/>
      <c r="AW496" s="9"/>
      <c r="AX496" s="9"/>
      <c r="AY496"/>
      <c r="AZ496"/>
      <c r="BA496"/>
      <c r="BB496"/>
      <c r="BC496"/>
      <c r="BD496"/>
      <c r="BE496"/>
      <c r="BF496"/>
      <c r="BG496"/>
      <c r="BH496"/>
      <c r="BI496"/>
      <c r="BJ496"/>
      <c r="BK496"/>
      <c r="BL496"/>
      <c r="BM496"/>
      <c r="BN496"/>
      <c r="BO496"/>
      <c r="BP496"/>
      <c r="BQ496"/>
      <c r="BR496"/>
      <c r="BS496"/>
      <c r="BT496"/>
      <c r="BU496"/>
      <c r="BV496"/>
      <c r="BW496"/>
      <c r="BX496"/>
      <c r="BY496"/>
      <c r="BZ496"/>
      <c r="CA496" s="1396"/>
      <c r="CB496" s="1396"/>
      <c r="CC496"/>
      <c r="CD496"/>
      <c r="CE496"/>
    </row>
    <row r="497" spans="1:83" ht="13.5" outlineLevel="1" thickBot="1" x14ac:dyDescent="0.25">
      <c r="A497"/>
      <c r="B497" s="1"/>
      <c r="C497" s="1"/>
      <c r="D497" s="76"/>
      <c r="E497" s="76"/>
      <c r="F497" s="76"/>
      <c r="G497" s="9"/>
      <c r="H497" s="9"/>
      <c r="I497" s="1"/>
      <c r="J497"/>
      <c r="K497"/>
      <c r="L497"/>
      <c r="M497"/>
      <c r="N497"/>
      <c r="O497"/>
      <c r="P497" s="89"/>
      <c r="Q497"/>
      <c r="R497" s="1"/>
      <c r="S497" s="993">
        <f>S489+1</f>
        <v>8</v>
      </c>
      <c r="T497" s="961"/>
      <c r="U497" s="961"/>
      <c r="V497" s="961"/>
      <c r="W497" s="960"/>
      <c r="X497" s="960"/>
      <c r="Y497" s="960"/>
      <c r="Z497" s="962"/>
      <c r="AA497" s="123"/>
      <c r="AB497" s="963"/>
      <c r="AC497" s="963"/>
      <c r="AD497" s="963"/>
      <c r="AE497" s="964"/>
      <c r="AF497" s="964"/>
      <c r="AG497" s="964"/>
      <c r="AH497" s="964"/>
      <c r="AI497" s="964"/>
      <c r="AJ497" s="964"/>
      <c r="AK497" s="964"/>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s="1396"/>
      <c r="CB497" s="1396"/>
      <c r="CC497"/>
      <c r="CD497"/>
      <c r="CE497"/>
    </row>
    <row r="498" spans="1:83" ht="13.9" customHeight="1" outlineLevel="2" thickBot="1" x14ac:dyDescent="0.25">
      <c r="A498"/>
      <c r="B498" s="1"/>
      <c r="C498"/>
      <c r="D498"/>
      <c r="E498"/>
      <c r="F498"/>
      <c r="G498" s="1"/>
      <c r="H498" s="1"/>
      <c r="I498"/>
      <c r="J498"/>
      <c r="K498"/>
      <c r="L498"/>
      <c r="M498"/>
      <c r="N498"/>
      <c r="O498"/>
      <c r="P498"/>
      <c r="Q498"/>
      <c r="S498" s="22" t="str">
        <f>N_Heure</f>
        <v>Heure</v>
      </c>
      <c r="T498" s="22" t="str">
        <f>N_Table</f>
        <v>Table</v>
      </c>
      <c r="U498" s="22" t="str">
        <f>N_Arbitre</f>
        <v>Arbitre</v>
      </c>
      <c r="V498" s="293" t="str">
        <f>N_Matches</f>
        <v>Matches</v>
      </c>
      <c r="W498" s="294"/>
      <c r="X498" s="294"/>
      <c r="Y498" s="294"/>
      <c r="Z498" s="295"/>
      <c r="AA498" s="8"/>
      <c r="AB498" s="967"/>
      <c r="AC498" s="967"/>
      <c r="AD498" s="967"/>
      <c r="AE498" s="964"/>
      <c r="AF498" s="964"/>
      <c r="AG498" s="964"/>
      <c r="AH498" s="964"/>
      <c r="AI498" s="964"/>
      <c r="AJ498" s="964"/>
      <c r="AK498" s="964"/>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s="1396"/>
      <c r="CB498" s="1396"/>
      <c r="CC498"/>
      <c r="CD498"/>
      <c r="CE498"/>
    </row>
    <row r="499" spans="1:83" ht="13.15" customHeight="1" outlineLevel="2" x14ac:dyDescent="0.2">
      <c r="A499"/>
      <c r="B499" s="1"/>
      <c r="C499"/>
      <c r="D499"/>
      <c r="E499"/>
      <c r="F499"/>
      <c r="G499" s="1"/>
      <c r="H499" s="1"/>
      <c r="I499"/>
      <c r="J499"/>
      <c r="K499"/>
      <c r="L499"/>
      <c r="M499"/>
      <c r="N499"/>
      <c r="O499"/>
      <c r="P499"/>
      <c r="Q499"/>
      <c r="R499" s="558" t="s">
        <v>930</v>
      </c>
      <c r="S499" s="83"/>
      <c r="T499" s="56"/>
      <c r="U499" s="955"/>
      <c r="V499" s="34" t="str">
        <f>V492</f>
        <v>J</v>
      </c>
      <c r="W499" s="148"/>
      <c r="X499" s="35" t="s">
        <v>769</v>
      </c>
      <c r="Y499" s="148"/>
      <c r="Z499" s="36" t="str">
        <f>V491</f>
        <v>A</v>
      </c>
      <c r="AA499" s="123"/>
      <c r="AB499" s="1459">
        <f t="shared" ref="AB499:AB504" si="188">IF(MaxScore,MaxGoals(W499,Y499,MaxGoalsValue),IF(W499="","",W499))</f>
        <v>0</v>
      </c>
      <c r="AC499" s="1460" t="str">
        <f t="shared" ref="AC499:AC504" si="189">IF(MaxScore,"-",IF(W499="","","-"))</f>
        <v>-</v>
      </c>
      <c r="AD499" s="1459">
        <f t="shared" ref="AD499:AD504" si="190">IF(MaxScore,MaxGoals(Y499,W499,MaxGoalsValue),IF(Y499="","",Y499))</f>
        <v>0</v>
      </c>
      <c r="AE499" s="964" t="str">
        <f t="shared" ref="AE499:AE504" si="191">IF(W499="","",IF(W499&gt;Y499,V499,IF(W499=Y499,"",Z499)))</f>
        <v/>
      </c>
      <c r="AF499" s="964" t="str">
        <f t="shared" ref="AF499:AF504" si="192">IF(W499="","",IF(W499=Y499,V499,""))</f>
        <v/>
      </c>
      <c r="AG499" s="964" t="str">
        <f t="shared" ref="AG499:AG504" si="193">IF(W499="","",IF(W499=Y499,Z499,""))</f>
        <v/>
      </c>
      <c r="AH499" s="964" t="str">
        <f t="shared" ref="AH499:AH504" si="194">IF(W499="","",IF(W499&lt;Y499,V499,IF(W499=Y499,"",Z499)))</f>
        <v/>
      </c>
      <c r="AI499" s="964" t="str">
        <f t="shared" ref="AI499:AI504" si="195">CONCATENATE(AE499,AH499)</f>
        <v/>
      </c>
      <c r="AJ499" s="964"/>
      <c r="AK499" s="964"/>
      <c r="AL499"/>
      <c r="AM499"/>
      <c r="AN499"/>
      <c r="AO499"/>
      <c r="AP499"/>
      <c r="AQ499"/>
      <c r="AR499"/>
      <c r="AS499"/>
      <c r="AT499"/>
      <c r="AU499"/>
      <c r="AV499"/>
      <c r="AW499" s="9"/>
      <c r="AX499" s="9"/>
      <c r="AY499"/>
      <c r="AZ499"/>
      <c r="BA499"/>
      <c r="BB499"/>
      <c r="BC499"/>
      <c r="BD499"/>
      <c r="BE499"/>
      <c r="BF499"/>
      <c r="BG499"/>
      <c r="BH499"/>
      <c r="BI499"/>
      <c r="BJ499"/>
      <c r="BK499"/>
      <c r="BL499"/>
      <c r="BM499"/>
      <c r="BN499"/>
      <c r="BO499"/>
      <c r="BP499"/>
      <c r="BQ499"/>
      <c r="BR499"/>
      <c r="BS499"/>
      <c r="BT499"/>
      <c r="BU499"/>
      <c r="BV499"/>
      <c r="BW499"/>
      <c r="BX499"/>
      <c r="BY499"/>
      <c r="BZ499"/>
      <c r="CA499" s="1396"/>
      <c r="CB499" s="1396"/>
      <c r="CC499"/>
      <c r="CD499"/>
      <c r="CE499"/>
    </row>
    <row r="500" spans="1:83" ht="13.15" customHeight="1" outlineLevel="2" x14ac:dyDescent="0.2">
      <c r="A500"/>
      <c r="B500" s="1"/>
      <c r="C500"/>
      <c r="D500"/>
      <c r="E500"/>
      <c r="F500"/>
      <c r="G500" s="1"/>
      <c r="H500" s="1"/>
      <c r="I500"/>
      <c r="J500"/>
      <c r="K500"/>
      <c r="L500"/>
      <c r="M500"/>
      <c r="N500"/>
      <c r="O500"/>
      <c r="P500"/>
      <c r="Q500"/>
      <c r="R500" s="558" t="s">
        <v>930</v>
      </c>
      <c r="S500" s="83"/>
      <c r="T500" s="56"/>
      <c r="U500" s="955"/>
      <c r="V500" s="43" t="str">
        <f>Z491</f>
        <v>L</v>
      </c>
      <c r="W500" s="10"/>
      <c r="X500" s="45" t="s">
        <v>769</v>
      </c>
      <c r="Y500" s="10"/>
      <c r="Z500" s="46" t="str">
        <f>V493</f>
        <v>H</v>
      </c>
      <c r="AA500" s="123"/>
      <c r="AB500" s="1459">
        <f t="shared" si="188"/>
        <v>0</v>
      </c>
      <c r="AC500" s="1460" t="str">
        <f t="shared" si="189"/>
        <v>-</v>
      </c>
      <c r="AD500" s="1459">
        <f t="shared" si="190"/>
        <v>0</v>
      </c>
      <c r="AE500" s="964" t="str">
        <f t="shared" si="191"/>
        <v/>
      </c>
      <c r="AF500" s="964" t="str">
        <f t="shared" si="192"/>
        <v/>
      </c>
      <c r="AG500" s="964" t="str">
        <f t="shared" si="193"/>
        <v/>
      </c>
      <c r="AH500" s="964" t="str">
        <f t="shared" si="194"/>
        <v/>
      </c>
      <c r="AI500" s="964" t="str">
        <f t="shared" si="195"/>
        <v/>
      </c>
      <c r="AJ500" s="964"/>
      <c r="AK500" s="964"/>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s="1396"/>
      <c r="CB500" s="1396"/>
      <c r="CC500"/>
      <c r="CD500"/>
      <c r="CE500"/>
    </row>
    <row r="501" spans="1:83" ht="13.15" customHeight="1" outlineLevel="2" x14ac:dyDescent="0.2">
      <c r="A501"/>
      <c r="B501" s="1"/>
      <c r="C501"/>
      <c r="D501"/>
      <c r="E501"/>
      <c r="F501"/>
      <c r="G501" s="1"/>
      <c r="H501" s="1"/>
      <c r="I501"/>
      <c r="J501"/>
      <c r="K501"/>
      <c r="L501"/>
      <c r="M501"/>
      <c r="N501"/>
      <c r="O501"/>
      <c r="P501"/>
      <c r="Q501"/>
      <c r="R501" s="558" t="s">
        <v>930</v>
      </c>
      <c r="S501" s="83"/>
      <c r="T501" s="56"/>
      <c r="U501" s="955"/>
      <c r="V501" s="43" t="str">
        <f>Z492</f>
        <v>K</v>
      </c>
      <c r="W501" s="10"/>
      <c r="X501" s="45" t="s">
        <v>769</v>
      </c>
      <c r="Y501" s="10"/>
      <c r="Z501" s="46" t="str">
        <f>V494</f>
        <v>F</v>
      </c>
      <c r="AA501" s="123"/>
      <c r="AB501" s="1459">
        <f t="shared" si="188"/>
        <v>0</v>
      </c>
      <c r="AC501" s="1460" t="str">
        <f t="shared" si="189"/>
        <v>-</v>
      </c>
      <c r="AD501" s="1459">
        <f t="shared" si="190"/>
        <v>0</v>
      </c>
      <c r="AE501" s="964" t="str">
        <f t="shared" si="191"/>
        <v/>
      </c>
      <c r="AF501" s="964" t="str">
        <f t="shared" si="192"/>
        <v/>
      </c>
      <c r="AG501" s="964" t="str">
        <f t="shared" si="193"/>
        <v/>
      </c>
      <c r="AH501" s="964" t="str">
        <f t="shared" si="194"/>
        <v/>
      </c>
      <c r="AI501" s="964" t="str">
        <f t="shared" si="195"/>
        <v/>
      </c>
      <c r="AJ501" s="964"/>
      <c r="AK501" s="964"/>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s="1396"/>
      <c r="CB501" s="1396"/>
      <c r="CC501"/>
      <c r="CD501"/>
      <c r="CE501"/>
    </row>
    <row r="502" spans="1:83" ht="13.15" customHeight="1" outlineLevel="2" x14ac:dyDescent="0.2">
      <c r="A502"/>
      <c r="B502" s="1"/>
      <c r="C502"/>
      <c r="D502"/>
      <c r="E502"/>
      <c r="F502"/>
      <c r="G502" s="1"/>
      <c r="H502" s="1"/>
      <c r="I502"/>
      <c r="J502"/>
      <c r="K502"/>
      <c r="L502"/>
      <c r="M502"/>
      <c r="N502"/>
      <c r="O502"/>
      <c r="P502"/>
      <c r="Q502"/>
      <c r="R502" s="558" t="s">
        <v>930</v>
      </c>
      <c r="S502" s="83"/>
      <c r="T502" s="56"/>
      <c r="U502" s="955"/>
      <c r="V502" s="43" t="str">
        <f>Z493</f>
        <v>I</v>
      </c>
      <c r="W502" s="10"/>
      <c r="X502" s="45" t="s">
        <v>769</v>
      </c>
      <c r="Y502" s="10"/>
      <c r="Z502" s="46" t="str">
        <f>V495</f>
        <v>D</v>
      </c>
      <c r="AA502" s="123"/>
      <c r="AB502" s="1459">
        <f t="shared" si="188"/>
        <v>0</v>
      </c>
      <c r="AC502" s="1460" t="str">
        <f t="shared" si="189"/>
        <v>-</v>
      </c>
      <c r="AD502" s="1459">
        <f t="shared" si="190"/>
        <v>0</v>
      </c>
      <c r="AE502" s="964" t="str">
        <f t="shared" si="191"/>
        <v/>
      </c>
      <c r="AF502" s="964" t="str">
        <f t="shared" si="192"/>
        <v/>
      </c>
      <c r="AG502" s="964" t="str">
        <f t="shared" si="193"/>
        <v/>
      </c>
      <c r="AH502" s="964" t="str">
        <f t="shared" si="194"/>
        <v/>
      </c>
      <c r="AI502" s="964" t="str">
        <f t="shared" si="195"/>
        <v/>
      </c>
      <c r="AJ502" s="964"/>
      <c r="AK502" s="964"/>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s="1396"/>
      <c r="CB502" s="1396"/>
      <c r="CC502"/>
      <c r="CD502"/>
      <c r="CE502"/>
    </row>
    <row r="503" spans="1:83" ht="13.15" customHeight="1" outlineLevel="2" x14ac:dyDescent="0.2">
      <c r="A503"/>
      <c r="B503" s="1"/>
      <c r="C503"/>
      <c r="D503"/>
      <c r="E503"/>
      <c r="F503"/>
      <c r="G503" s="1"/>
      <c r="H503" s="1"/>
      <c r="I503"/>
      <c r="J503"/>
      <c r="K503"/>
      <c r="L503"/>
      <c r="M503"/>
      <c r="N503"/>
      <c r="O503"/>
      <c r="P503"/>
      <c r="Q503"/>
      <c r="R503" s="558" t="s">
        <v>930</v>
      </c>
      <c r="S503" s="83"/>
      <c r="T503" s="56"/>
      <c r="U503" s="955"/>
      <c r="V503" s="43" t="str">
        <f>Z494</f>
        <v>G</v>
      </c>
      <c r="W503" s="10"/>
      <c r="X503" s="45" t="s">
        <v>769</v>
      </c>
      <c r="Y503" s="10"/>
      <c r="Z503" s="46" t="str">
        <f>V496</f>
        <v>B</v>
      </c>
      <c r="AA503" s="123"/>
      <c r="AB503" s="1459">
        <f t="shared" si="188"/>
        <v>0</v>
      </c>
      <c r="AC503" s="1460" t="str">
        <f t="shared" si="189"/>
        <v>-</v>
      </c>
      <c r="AD503" s="1459">
        <f t="shared" si="190"/>
        <v>0</v>
      </c>
      <c r="AE503" s="964" t="str">
        <f t="shared" si="191"/>
        <v/>
      </c>
      <c r="AF503" s="964" t="str">
        <f t="shared" si="192"/>
        <v/>
      </c>
      <c r="AG503" s="964" t="str">
        <f t="shared" si="193"/>
        <v/>
      </c>
      <c r="AH503" s="964" t="str">
        <f t="shared" si="194"/>
        <v/>
      </c>
      <c r="AI503" s="964" t="str">
        <f t="shared" si="195"/>
        <v/>
      </c>
      <c r="AJ503" s="964"/>
      <c r="AK503" s="964"/>
      <c r="AL503"/>
      <c r="AM503"/>
      <c r="AN503"/>
      <c r="AO503"/>
      <c r="AP503"/>
      <c r="AQ503"/>
      <c r="AR503"/>
      <c r="AS503"/>
      <c r="AT503"/>
      <c r="AU503"/>
      <c r="AV503"/>
      <c r="AW503"/>
      <c r="AX503" s="9"/>
      <c r="AY503"/>
      <c r="AZ503"/>
      <c r="BA503"/>
      <c r="BB503"/>
      <c r="BC503"/>
      <c r="BD503"/>
      <c r="BE503"/>
      <c r="BF503"/>
      <c r="BG503"/>
      <c r="BH503"/>
      <c r="BI503"/>
      <c r="BJ503"/>
      <c r="BK503"/>
      <c r="BL503"/>
      <c r="BM503"/>
      <c r="BN503"/>
      <c r="BO503"/>
      <c r="BP503"/>
      <c r="BQ503"/>
      <c r="BR503"/>
      <c r="BS503"/>
      <c r="BT503"/>
      <c r="BU503"/>
      <c r="BV503"/>
      <c r="BW503"/>
      <c r="BX503"/>
      <c r="BY503"/>
      <c r="BZ503"/>
      <c r="CA503" s="1396"/>
      <c r="CB503" s="1396"/>
      <c r="CC503"/>
      <c r="CD503"/>
      <c r="CE503"/>
    </row>
    <row r="504" spans="1:83" ht="13.9" customHeight="1" outlineLevel="2" thickBot="1" x14ac:dyDescent="0.25">
      <c r="A504"/>
      <c r="B504" s="1"/>
      <c r="C504"/>
      <c r="D504"/>
      <c r="E504"/>
      <c r="F504"/>
      <c r="G504" s="1"/>
      <c r="H504" s="1"/>
      <c r="I504"/>
      <c r="J504"/>
      <c r="K504"/>
      <c r="L504"/>
      <c r="M504"/>
      <c r="N504"/>
      <c r="O504"/>
      <c r="P504"/>
      <c r="Q504"/>
      <c r="R504" s="558" t="s">
        <v>930</v>
      </c>
      <c r="S504" s="956"/>
      <c r="T504" s="58"/>
      <c r="U504" s="957"/>
      <c r="V504" s="43" t="str">
        <f>Z495</f>
        <v>E</v>
      </c>
      <c r="W504" s="10"/>
      <c r="X504" s="45" t="s">
        <v>769</v>
      </c>
      <c r="Y504" s="10"/>
      <c r="Z504" s="46" t="str">
        <f>Z496</f>
        <v>C</v>
      </c>
      <c r="AA504" s="123"/>
      <c r="AB504" s="1459">
        <f t="shared" si="188"/>
        <v>0</v>
      </c>
      <c r="AC504" s="1460" t="str">
        <f t="shared" si="189"/>
        <v>-</v>
      </c>
      <c r="AD504" s="1459">
        <f t="shared" si="190"/>
        <v>0</v>
      </c>
      <c r="AE504" s="964" t="str">
        <f t="shared" si="191"/>
        <v/>
      </c>
      <c r="AF504" s="964" t="str">
        <f t="shared" si="192"/>
        <v/>
      </c>
      <c r="AG504" s="964" t="str">
        <f t="shared" si="193"/>
        <v/>
      </c>
      <c r="AH504" s="964" t="str">
        <f t="shared" si="194"/>
        <v/>
      </c>
      <c r="AI504" s="964" t="str">
        <f t="shared" si="195"/>
        <v/>
      </c>
      <c r="AJ504" s="964"/>
      <c r="AK504" s="964"/>
      <c r="AL504"/>
      <c r="AM504"/>
      <c r="AN504"/>
      <c r="AO504"/>
      <c r="AP504"/>
      <c r="AQ504"/>
      <c r="AR504"/>
      <c r="AS504"/>
      <c r="AT504"/>
      <c r="AU504"/>
      <c r="AV504"/>
      <c r="AW504" s="9"/>
      <c r="AX504" s="9"/>
      <c r="AY504"/>
      <c r="AZ504"/>
      <c r="BA504"/>
      <c r="BB504"/>
      <c r="BC504"/>
      <c r="BD504"/>
      <c r="BE504"/>
      <c r="BF504"/>
      <c r="BG504"/>
      <c r="BH504"/>
      <c r="BI504"/>
      <c r="BJ504"/>
      <c r="BK504"/>
      <c r="BL504"/>
      <c r="BM504"/>
      <c r="BN504"/>
      <c r="BO504"/>
      <c r="BP504"/>
      <c r="BQ504"/>
      <c r="BR504"/>
      <c r="BS504"/>
      <c r="BT504"/>
      <c r="BU504"/>
      <c r="BV504"/>
      <c r="BW504"/>
      <c r="BX504"/>
      <c r="BY504"/>
      <c r="BZ504"/>
      <c r="CA504" s="1396"/>
      <c r="CB504" s="1396"/>
      <c r="CC504"/>
      <c r="CD504"/>
      <c r="CE504"/>
    </row>
    <row r="505" spans="1:83" ht="13.5" outlineLevel="1" thickBot="1" x14ac:dyDescent="0.25">
      <c r="A505"/>
      <c r="B505" s="1"/>
      <c r="C505" s="1"/>
      <c r="D505" s="76"/>
      <c r="E505" s="76"/>
      <c r="F505" s="76"/>
      <c r="G505" s="9"/>
      <c r="H505" s="9"/>
      <c r="I505" s="1"/>
      <c r="J505"/>
      <c r="K505"/>
      <c r="L505"/>
      <c r="M505"/>
      <c r="N505"/>
      <c r="O505"/>
      <c r="P505" s="89"/>
      <c r="Q505"/>
      <c r="R505" s="1"/>
      <c r="S505" s="993">
        <f>S497+1</f>
        <v>9</v>
      </c>
      <c r="T505" s="961"/>
      <c r="U505" s="961"/>
      <c r="V505" s="961"/>
      <c r="W505" s="960"/>
      <c r="X505" s="960"/>
      <c r="Y505" s="960"/>
      <c r="Z505" s="962"/>
      <c r="AA505" s="123"/>
      <c r="AB505" s="963"/>
      <c r="AC505" s="963"/>
      <c r="AD505" s="963"/>
      <c r="AE505" s="964"/>
      <c r="AF505" s="964"/>
      <c r="AG505" s="964"/>
      <c r="AH505" s="964"/>
      <c r="AI505" s="964"/>
      <c r="AJ505" s="964"/>
      <c r="AK505" s="964"/>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s="1396"/>
      <c r="CB505" s="1396"/>
      <c r="CC505"/>
      <c r="CD505"/>
      <c r="CE505"/>
    </row>
    <row r="506" spans="1:83" ht="13.9" customHeight="1" outlineLevel="2" thickBot="1" x14ac:dyDescent="0.25">
      <c r="A506"/>
      <c r="B506" s="1"/>
      <c r="C506"/>
      <c r="D506"/>
      <c r="E506"/>
      <c r="F506"/>
      <c r="G506" s="1"/>
      <c r="H506" s="1"/>
      <c r="I506"/>
      <c r="J506"/>
      <c r="K506"/>
      <c r="L506"/>
      <c r="M506"/>
      <c r="N506"/>
      <c r="O506"/>
      <c r="P506"/>
      <c r="Q506"/>
      <c r="S506" s="22" t="str">
        <f>N_Heure</f>
        <v>Heure</v>
      </c>
      <c r="T506" s="22" t="str">
        <f>N_Table</f>
        <v>Table</v>
      </c>
      <c r="U506" s="22" t="str">
        <f>N_Arbitre</f>
        <v>Arbitre</v>
      </c>
      <c r="V506" s="293" t="str">
        <f>N_Matches</f>
        <v>Matches</v>
      </c>
      <c r="W506" s="294"/>
      <c r="X506" s="294"/>
      <c r="Y506" s="294"/>
      <c r="Z506" s="295"/>
      <c r="AA506" s="8"/>
      <c r="AB506" s="967"/>
      <c r="AC506" s="967"/>
      <c r="AD506" s="967"/>
      <c r="AE506" s="964"/>
      <c r="AF506" s="964"/>
      <c r="AG506" s="964"/>
      <c r="AH506" s="964"/>
      <c r="AI506" s="964"/>
      <c r="AJ506" s="964"/>
      <c r="AK506" s="964"/>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s="1396"/>
      <c r="CB506" s="1396"/>
      <c r="CC506"/>
      <c r="CD506"/>
      <c r="CE506"/>
    </row>
    <row r="507" spans="1:83" ht="13.15" customHeight="1" outlineLevel="2" x14ac:dyDescent="0.2">
      <c r="A507"/>
      <c r="B507" s="1"/>
      <c r="C507"/>
      <c r="D507"/>
      <c r="E507"/>
      <c r="F507"/>
      <c r="G507" s="1"/>
      <c r="H507" s="1"/>
      <c r="I507"/>
      <c r="J507"/>
      <c r="K507"/>
      <c r="L507"/>
      <c r="M507"/>
      <c r="N507"/>
      <c r="O507"/>
      <c r="P507"/>
      <c r="Q507"/>
      <c r="R507" s="558" t="s">
        <v>3971</v>
      </c>
      <c r="S507" s="83"/>
      <c r="T507" s="56"/>
      <c r="U507" s="955"/>
      <c r="V507" s="34" t="str">
        <f>Z499</f>
        <v>A</v>
      </c>
      <c r="W507" s="148"/>
      <c r="X507" s="35" t="s">
        <v>769</v>
      </c>
      <c r="Y507" s="148"/>
      <c r="Z507" s="36" t="str">
        <f>Z500</f>
        <v>H</v>
      </c>
      <c r="AA507" s="123"/>
      <c r="AB507" s="1459">
        <f t="shared" ref="AB507:AB512" si="196">IF(MaxScore,MaxGoals(W507,Y507,MaxGoalsValue),IF(W507="","",W507))</f>
        <v>0</v>
      </c>
      <c r="AC507" s="1460" t="str">
        <f t="shared" ref="AC507:AC512" si="197">IF(MaxScore,"-",IF(W507="","","-"))</f>
        <v>-</v>
      </c>
      <c r="AD507" s="1459">
        <f t="shared" ref="AD507:AD512" si="198">IF(MaxScore,MaxGoals(Y507,W507,MaxGoalsValue),IF(Y507="","",Y507))</f>
        <v>0</v>
      </c>
      <c r="AE507" s="964" t="str">
        <f t="shared" ref="AE507:AE512" si="199">IF(W507="","",IF(W507&gt;Y507,V507,IF(W507=Y507,"",Z507)))</f>
        <v/>
      </c>
      <c r="AF507" s="964" t="str">
        <f t="shared" ref="AF507:AF512" si="200">IF(W507="","",IF(W507=Y507,V507,""))</f>
        <v/>
      </c>
      <c r="AG507" s="964" t="str">
        <f t="shared" ref="AG507:AG512" si="201">IF(W507="","",IF(W507=Y507,Z507,""))</f>
        <v/>
      </c>
      <c r="AH507" s="964" t="str">
        <f t="shared" ref="AH507:AH512" si="202">IF(W507="","",IF(W507&lt;Y507,V507,IF(W507=Y507,"",Z507)))</f>
        <v/>
      </c>
      <c r="AI507" s="964" t="str">
        <f t="shared" ref="AI507:AI512" si="203">CONCATENATE(AE507,AH507)</f>
        <v/>
      </c>
      <c r="AJ507" s="964"/>
      <c r="AK507" s="964"/>
      <c r="AL507"/>
      <c r="AM507"/>
      <c r="AN507"/>
      <c r="AO507"/>
      <c r="AP507"/>
      <c r="AQ507"/>
      <c r="AR507"/>
      <c r="AS507"/>
      <c r="AT507"/>
      <c r="AU507"/>
      <c r="AV507"/>
      <c r="AW507"/>
      <c r="AX507" s="9"/>
      <c r="AY507"/>
      <c r="AZ507"/>
      <c r="BA507"/>
      <c r="BB507"/>
      <c r="BC507"/>
      <c r="BD507"/>
      <c r="BE507"/>
      <c r="BF507"/>
      <c r="BG507"/>
      <c r="BH507"/>
      <c r="BI507"/>
      <c r="BJ507"/>
      <c r="BK507"/>
      <c r="BL507"/>
      <c r="BM507"/>
      <c r="BN507"/>
      <c r="BO507"/>
      <c r="BP507"/>
      <c r="BQ507"/>
      <c r="BR507"/>
      <c r="BS507"/>
      <c r="BT507"/>
      <c r="BU507"/>
      <c r="BV507"/>
      <c r="BW507"/>
      <c r="BX507"/>
      <c r="BY507"/>
      <c r="BZ507"/>
      <c r="CA507" s="1396"/>
      <c r="CB507" s="1396"/>
      <c r="CC507"/>
      <c r="CD507"/>
      <c r="CE507"/>
    </row>
    <row r="508" spans="1:83" ht="13.15" customHeight="1" outlineLevel="2" x14ac:dyDescent="0.2">
      <c r="A508"/>
      <c r="B508" s="1"/>
      <c r="C508"/>
      <c r="D508"/>
      <c r="E508"/>
      <c r="F508"/>
      <c r="G508" s="1"/>
      <c r="H508" s="1"/>
      <c r="I508"/>
      <c r="J508"/>
      <c r="K508"/>
      <c r="L508"/>
      <c r="M508"/>
      <c r="N508"/>
      <c r="O508"/>
      <c r="P508"/>
      <c r="Q508"/>
      <c r="R508" s="558" t="s">
        <v>3971</v>
      </c>
      <c r="S508" s="83"/>
      <c r="T508" s="56"/>
      <c r="U508" s="955"/>
      <c r="V508" s="43" t="str">
        <f>Z501</f>
        <v>F</v>
      </c>
      <c r="W508" s="10"/>
      <c r="X508" s="45" t="s">
        <v>769</v>
      </c>
      <c r="Y508" s="10"/>
      <c r="Z508" s="46" t="str">
        <f>V499</f>
        <v>J</v>
      </c>
      <c r="AA508" s="123"/>
      <c r="AB508" s="1459">
        <f t="shared" si="196"/>
        <v>0</v>
      </c>
      <c r="AC508" s="1460" t="str">
        <f t="shared" si="197"/>
        <v>-</v>
      </c>
      <c r="AD508" s="1459">
        <f t="shared" si="198"/>
        <v>0</v>
      </c>
      <c r="AE508" s="964" t="str">
        <f t="shared" si="199"/>
        <v/>
      </c>
      <c r="AF508" s="964" t="str">
        <f t="shared" si="200"/>
        <v/>
      </c>
      <c r="AG508" s="964" t="str">
        <f t="shared" si="201"/>
        <v/>
      </c>
      <c r="AH508" s="964" t="str">
        <f t="shared" si="202"/>
        <v/>
      </c>
      <c r="AI508" s="964" t="str">
        <f t="shared" si="203"/>
        <v/>
      </c>
      <c r="AJ508" s="964"/>
      <c r="AK508" s="964"/>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s="1396"/>
      <c r="CB508" s="1396"/>
      <c r="CC508"/>
      <c r="CD508"/>
      <c r="CE508"/>
    </row>
    <row r="509" spans="1:83" ht="13.15" customHeight="1" outlineLevel="2" x14ac:dyDescent="0.2">
      <c r="A509"/>
      <c r="B509" s="1"/>
      <c r="C509"/>
      <c r="D509"/>
      <c r="E509"/>
      <c r="F509"/>
      <c r="G509" s="1"/>
      <c r="H509" s="1"/>
      <c r="I509"/>
      <c r="J509"/>
      <c r="K509"/>
      <c r="L509"/>
      <c r="M509"/>
      <c r="N509"/>
      <c r="O509"/>
      <c r="P509"/>
      <c r="Q509"/>
      <c r="R509" s="558" t="s">
        <v>3971</v>
      </c>
      <c r="S509" s="83"/>
      <c r="T509" s="56"/>
      <c r="U509" s="955"/>
      <c r="V509" s="43" t="str">
        <f>Z502</f>
        <v>D</v>
      </c>
      <c r="W509" s="10"/>
      <c r="X509" s="45" t="s">
        <v>769</v>
      </c>
      <c r="Y509" s="10"/>
      <c r="Z509" s="46" t="str">
        <f>V500</f>
        <v>L</v>
      </c>
      <c r="AA509" s="123"/>
      <c r="AB509" s="1459">
        <f t="shared" si="196"/>
        <v>0</v>
      </c>
      <c r="AC509" s="1460" t="str">
        <f t="shared" si="197"/>
        <v>-</v>
      </c>
      <c r="AD509" s="1459">
        <f t="shared" si="198"/>
        <v>0</v>
      </c>
      <c r="AE509" s="964" t="str">
        <f t="shared" si="199"/>
        <v/>
      </c>
      <c r="AF509" s="964" t="str">
        <f t="shared" si="200"/>
        <v/>
      </c>
      <c r="AG509" s="964" t="str">
        <f t="shared" si="201"/>
        <v/>
      </c>
      <c r="AH509" s="964" t="str">
        <f t="shared" si="202"/>
        <v/>
      </c>
      <c r="AI509" s="964" t="str">
        <f t="shared" si="203"/>
        <v/>
      </c>
      <c r="AJ509" s="964"/>
      <c r="AK509" s="964"/>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s="1396"/>
      <c r="CB509" s="1396"/>
      <c r="CC509"/>
      <c r="CD509"/>
      <c r="CE509"/>
    </row>
    <row r="510" spans="1:83" ht="13.15" customHeight="1" outlineLevel="2" x14ac:dyDescent="0.2">
      <c r="A510"/>
      <c r="B510" s="1"/>
      <c r="C510"/>
      <c r="D510"/>
      <c r="E510"/>
      <c r="F510"/>
      <c r="G510" s="1"/>
      <c r="H510" s="1"/>
      <c r="I510"/>
      <c r="J510"/>
      <c r="K510"/>
      <c r="L510"/>
      <c r="M510"/>
      <c r="N510"/>
      <c r="O510"/>
      <c r="P510"/>
      <c r="Q510"/>
      <c r="R510" s="558" t="s">
        <v>3971</v>
      </c>
      <c r="S510" s="83"/>
      <c r="T510" s="56"/>
      <c r="U510" s="955"/>
      <c r="V510" s="43" t="str">
        <f>Z503</f>
        <v>B</v>
      </c>
      <c r="W510" s="10"/>
      <c r="X510" s="45" t="s">
        <v>769</v>
      </c>
      <c r="Y510" s="10"/>
      <c r="Z510" s="46" t="str">
        <f>V501</f>
        <v>K</v>
      </c>
      <c r="AA510" s="123"/>
      <c r="AB510" s="1459">
        <f t="shared" si="196"/>
        <v>0</v>
      </c>
      <c r="AC510" s="1460" t="str">
        <f t="shared" si="197"/>
        <v>-</v>
      </c>
      <c r="AD510" s="1459">
        <f t="shared" si="198"/>
        <v>0</v>
      </c>
      <c r="AE510" s="964" t="str">
        <f t="shared" si="199"/>
        <v/>
      </c>
      <c r="AF510" s="964" t="str">
        <f t="shared" si="200"/>
        <v/>
      </c>
      <c r="AG510" s="964" t="str">
        <f t="shared" si="201"/>
        <v/>
      </c>
      <c r="AH510" s="964" t="str">
        <f t="shared" si="202"/>
        <v/>
      </c>
      <c r="AI510" s="964" t="str">
        <f t="shared" si="203"/>
        <v/>
      </c>
      <c r="AJ510" s="964"/>
      <c r="AK510" s="964"/>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s="1396"/>
      <c r="CB510" s="1396"/>
      <c r="CC510"/>
      <c r="CD510"/>
      <c r="CE510"/>
    </row>
    <row r="511" spans="1:83" ht="13.15" customHeight="1" outlineLevel="2" x14ac:dyDescent="0.2">
      <c r="A511"/>
      <c r="B511" s="1"/>
      <c r="C511"/>
      <c r="D511"/>
      <c r="E511"/>
      <c r="F511"/>
      <c r="G511" s="1"/>
      <c r="H511" s="1"/>
      <c r="I511"/>
      <c r="J511"/>
      <c r="K511"/>
      <c r="L511"/>
      <c r="M511"/>
      <c r="N511"/>
      <c r="O511"/>
      <c r="P511"/>
      <c r="Q511"/>
      <c r="R511" s="558" t="s">
        <v>3971</v>
      </c>
      <c r="S511" s="83"/>
      <c r="T511" s="56"/>
      <c r="U511" s="955"/>
      <c r="V511" s="43" t="str">
        <f>Z504</f>
        <v>C</v>
      </c>
      <c r="W511" s="10"/>
      <c r="X511" s="45" t="s">
        <v>769</v>
      </c>
      <c r="Y511" s="10"/>
      <c r="Z511" s="46" t="str">
        <f>V502</f>
        <v>I</v>
      </c>
      <c r="AA511" s="123"/>
      <c r="AB511" s="1459">
        <f t="shared" si="196"/>
        <v>0</v>
      </c>
      <c r="AC511" s="1460" t="str">
        <f t="shared" si="197"/>
        <v>-</v>
      </c>
      <c r="AD511" s="1459">
        <f t="shared" si="198"/>
        <v>0</v>
      </c>
      <c r="AE511" s="964" t="str">
        <f t="shared" si="199"/>
        <v/>
      </c>
      <c r="AF511" s="964" t="str">
        <f t="shared" si="200"/>
        <v/>
      </c>
      <c r="AG511" s="964" t="str">
        <f t="shared" si="201"/>
        <v/>
      </c>
      <c r="AH511" s="964" t="str">
        <f t="shared" si="202"/>
        <v/>
      </c>
      <c r="AI511" s="964" t="str">
        <f t="shared" si="203"/>
        <v/>
      </c>
      <c r="AJ511" s="964"/>
      <c r="AK511" s="964"/>
      <c r="AL511"/>
      <c r="AM511"/>
      <c r="AN511"/>
      <c r="AO511"/>
      <c r="AP511"/>
      <c r="AQ511"/>
      <c r="AR511"/>
      <c r="AS511"/>
      <c r="AT511"/>
      <c r="AU511"/>
      <c r="AV511"/>
      <c r="AW511"/>
      <c r="AX511" s="9"/>
      <c r="AY511"/>
      <c r="AZ511"/>
      <c r="BA511"/>
      <c r="BB511"/>
      <c r="BC511"/>
      <c r="BD511"/>
      <c r="BE511"/>
      <c r="BF511"/>
      <c r="BG511"/>
      <c r="BH511"/>
      <c r="BI511"/>
      <c r="BJ511"/>
      <c r="BK511"/>
      <c r="BL511"/>
      <c r="BM511"/>
      <c r="BN511"/>
      <c r="BO511"/>
      <c r="BP511"/>
      <c r="BQ511"/>
      <c r="BR511"/>
      <c r="BS511"/>
      <c r="BT511"/>
      <c r="BU511"/>
      <c r="BV511"/>
      <c r="BW511"/>
      <c r="BX511"/>
      <c r="BY511"/>
      <c r="BZ511"/>
      <c r="CA511" s="1396"/>
      <c r="CB511" s="1396"/>
      <c r="CC511"/>
      <c r="CD511"/>
      <c r="CE511"/>
    </row>
    <row r="512" spans="1:83" ht="13.9" customHeight="1" outlineLevel="2" thickBot="1" x14ac:dyDescent="0.25">
      <c r="A512"/>
      <c r="B512" s="1"/>
      <c r="C512"/>
      <c r="D512"/>
      <c r="E512"/>
      <c r="F512"/>
      <c r="G512" s="1"/>
      <c r="H512" s="1"/>
      <c r="I512"/>
      <c r="J512"/>
      <c r="K512"/>
      <c r="L512"/>
      <c r="M512"/>
      <c r="N512"/>
      <c r="O512"/>
      <c r="P512"/>
      <c r="Q512"/>
      <c r="R512" s="558" t="s">
        <v>3971</v>
      </c>
      <c r="S512" s="956"/>
      <c r="T512" s="58"/>
      <c r="U512" s="957"/>
      <c r="V512" s="958" t="str">
        <f>V504</f>
        <v>E</v>
      </c>
      <c r="W512" s="10"/>
      <c r="X512" s="45" t="s">
        <v>769</v>
      </c>
      <c r="Y512" s="10"/>
      <c r="Z512" s="46" t="str">
        <f>V503</f>
        <v>G</v>
      </c>
      <c r="AA512" s="123"/>
      <c r="AB512" s="1459">
        <f t="shared" si="196"/>
        <v>0</v>
      </c>
      <c r="AC512" s="1460" t="str">
        <f t="shared" si="197"/>
        <v>-</v>
      </c>
      <c r="AD512" s="1459">
        <f t="shared" si="198"/>
        <v>0</v>
      </c>
      <c r="AE512" s="964" t="str">
        <f t="shared" si="199"/>
        <v/>
      </c>
      <c r="AF512" s="964" t="str">
        <f t="shared" si="200"/>
        <v/>
      </c>
      <c r="AG512" s="964" t="str">
        <f t="shared" si="201"/>
        <v/>
      </c>
      <c r="AH512" s="964" t="str">
        <f t="shared" si="202"/>
        <v/>
      </c>
      <c r="AI512" s="964" t="str">
        <f t="shared" si="203"/>
        <v/>
      </c>
      <c r="AJ512" s="964"/>
      <c r="AK512" s="964"/>
      <c r="AL512"/>
      <c r="AM512"/>
      <c r="AN512"/>
      <c r="AO512"/>
      <c r="AP512"/>
      <c r="AQ512"/>
      <c r="AR512"/>
      <c r="AS512"/>
      <c r="AT512"/>
      <c r="AU512"/>
      <c r="AV512"/>
      <c r="AW512" s="9"/>
      <c r="AX512" s="9"/>
      <c r="AY512"/>
      <c r="AZ512"/>
      <c r="BA512"/>
      <c r="BB512"/>
      <c r="BC512"/>
      <c r="BD512"/>
      <c r="BE512"/>
      <c r="BF512"/>
      <c r="BG512"/>
      <c r="BH512"/>
      <c r="BI512"/>
      <c r="BJ512"/>
      <c r="BK512"/>
      <c r="BL512"/>
      <c r="BM512"/>
      <c r="BN512"/>
      <c r="BO512"/>
      <c r="BP512"/>
      <c r="BQ512"/>
      <c r="BR512"/>
      <c r="BS512"/>
      <c r="BT512"/>
      <c r="BU512"/>
      <c r="BV512"/>
      <c r="BW512"/>
      <c r="BX512"/>
      <c r="BY512"/>
      <c r="BZ512"/>
      <c r="CA512" s="1396"/>
      <c r="CB512" s="1396"/>
      <c r="CC512"/>
      <c r="CD512"/>
      <c r="CE512"/>
    </row>
    <row r="513" spans="1:83" ht="13.5" outlineLevel="1" thickBot="1" x14ac:dyDescent="0.25">
      <c r="A513"/>
      <c r="B513" s="1"/>
      <c r="C513" s="1"/>
      <c r="D513" s="76"/>
      <c r="E513" s="76"/>
      <c r="F513" s="76"/>
      <c r="G513" s="9"/>
      <c r="H513" s="9"/>
      <c r="I513" s="1"/>
      <c r="J513"/>
      <c r="K513"/>
      <c r="L513"/>
      <c r="M513"/>
      <c r="N513"/>
      <c r="O513"/>
      <c r="P513" s="89"/>
      <c r="Q513"/>
      <c r="R513" s="1"/>
      <c r="S513" s="993">
        <f>S505+1</f>
        <v>10</v>
      </c>
      <c r="T513" s="961"/>
      <c r="U513" s="961"/>
      <c r="V513" s="961"/>
      <c r="W513" s="960"/>
      <c r="X513" s="960"/>
      <c r="Y513" s="960"/>
      <c r="Z513" s="962"/>
      <c r="AA513" s="123"/>
      <c r="AB513" s="963"/>
      <c r="AC513" s="963"/>
      <c r="AD513" s="963"/>
      <c r="AE513" s="964"/>
      <c r="AF513" s="964"/>
      <c r="AG513" s="964"/>
      <c r="AH513" s="964"/>
      <c r="AI513" s="964"/>
      <c r="AJ513" s="964"/>
      <c r="AK513" s="964"/>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s="1396"/>
      <c r="CB513" s="1396"/>
      <c r="CC513"/>
      <c r="CD513"/>
      <c r="CE513"/>
    </row>
    <row r="514" spans="1:83" ht="13.9" customHeight="1" outlineLevel="2" thickBot="1" x14ac:dyDescent="0.25">
      <c r="A514"/>
      <c r="B514" s="1"/>
      <c r="C514"/>
      <c r="D514"/>
      <c r="E514"/>
      <c r="F514"/>
      <c r="G514" s="1"/>
      <c r="H514" s="1"/>
      <c r="I514"/>
      <c r="J514"/>
      <c r="K514"/>
      <c r="L514"/>
      <c r="M514"/>
      <c r="N514"/>
      <c r="O514"/>
      <c r="P514"/>
      <c r="Q514"/>
      <c r="S514" s="22" t="str">
        <f>N_Heure</f>
        <v>Heure</v>
      </c>
      <c r="T514" s="22" t="str">
        <f>N_Table</f>
        <v>Table</v>
      </c>
      <c r="U514" s="22" t="str">
        <f>N_Arbitre</f>
        <v>Arbitre</v>
      </c>
      <c r="V514" s="293" t="str">
        <f>N_Matches</f>
        <v>Matches</v>
      </c>
      <c r="W514" s="294"/>
      <c r="X514" s="294"/>
      <c r="Y514" s="294"/>
      <c r="Z514" s="295"/>
      <c r="AA514" s="8"/>
      <c r="AB514" s="967"/>
      <c r="AC514" s="967"/>
      <c r="AD514" s="967"/>
      <c r="AE514" s="964"/>
      <c r="AF514" s="964"/>
      <c r="AG514" s="964"/>
      <c r="AH514" s="964"/>
      <c r="AI514" s="964"/>
      <c r="AJ514" s="964"/>
      <c r="AK514" s="96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s="1396"/>
      <c r="CB514" s="1396"/>
      <c r="CC514"/>
      <c r="CD514"/>
      <c r="CE514"/>
    </row>
    <row r="515" spans="1:83" ht="13.15" customHeight="1" outlineLevel="2" x14ac:dyDescent="0.2">
      <c r="A515"/>
      <c r="B515" s="1"/>
      <c r="C515"/>
      <c r="D515"/>
      <c r="E515"/>
      <c r="F515"/>
      <c r="G515" s="1"/>
      <c r="H515" s="1"/>
      <c r="I515"/>
      <c r="J515"/>
      <c r="K515"/>
      <c r="L515"/>
      <c r="M515"/>
      <c r="N515"/>
      <c r="O515"/>
      <c r="P515"/>
      <c r="Q515"/>
      <c r="R515" s="558" t="s">
        <v>3972</v>
      </c>
      <c r="S515" s="83"/>
      <c r="T515" s="56"/>
      <c r="U515" s="955"/>
      <c r="V515" s="34" t="str">
        <f>V508</f>
        <v>F</v>
      </c>
      <c r="W515" s="148"/>
      <c r="X515" s="35" t="s">
        <v>769</v>
      </c>
      <c r="Y515" s="148"/>
      <c r="Z515" s="36" t="str">
        <f>V507</f>
        <v>A</v>
      </c>
      <c r="AA515" s="123"/>
      <c r="AB515" s="1459">
        <f t="shared" ref="AB515:AB520" si="204">IF(MaxScore,MaxGoals(W515,Y515,MaxGoalsValue),IF(W515="","",W515))</f>
        <v>0</v>
      </c>
      <c r="AC515" s="1460" t="str">
        <f t="shared" ref="AC515:AC520" si="205">IF(MaxScore,"-",IF(W515="","","-"))</f>
        <v>-</v>
      </c>
      <c r="AD515" s="1459">
        <f t="shared" ref="AD515:AD520" si="206">IF(MaxScore,MaxGoals(Y515,W515,MaxGoalsValue),IF(Y515="","",Y515))</f>
        <v>0</v>
      </c>
      <c r="AE515" s="964" t="str">
        <f t="shared" ref="AE515:AE520" si="207">IF(W515="","",IF(W515&gt;Y515,V515,IF(W515=Y515,"",Z515)))</f>
        <v/>
      </c>
      <c r="AF515" s="964" t="str">
        <f t="shared" ref="AF515:AF520" si="208">IF(W515="","",IF(W515=Y515,V515,""))</f>
        <v/>
      </c>
      <c r="AG515" s="964" t="str">
        <f t="shared" ref="AG515:AG520" si="209">IF(W515="","",IF(W515=Y515,Z515,""))</f>
        <v/>
      </c>
      <c r="AH515" s="964" t="str">
        <f t="shared" ref="AH515:AH520" si="210">IF(W515="","",IF(W515&lt;Y515,V515,IF(W515=Y515,"",Z515)))</f>
        <v/>
      </c>
      <c r="AI515" s="964" t="str">
        <f t="shared" ref="AI515:AI520" si="211">CONCATENATE(AE515,AH515)</f>
        <v/>
      </c>
      <c r="AJ515" s="964"/>
      <c r="AK515" s="964"/>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s="1396"/>
      <c r="CB515" s="1396"/>
      <c r="CC515"/>
      <c r="CD515"/>
      <c r="CE515"/>
    </row>
    <row r="516" spans="1:83" ht="13.15" customHeight="1" outlineLevel="2" x14ac:dyDescent="0.2">
      <c r="A516"/>
      <c r="B516" s="1"/>
      <c r="C516"/>
      <c r="D516"/>
      <c r="E516"/>
      <c r="F516"/>
      <c r="G516" s="1"/>
      <c r="H516" s="1"/>
      <c r="I516"/>
      <c r="J516"/>
      <c r="K516"/>
      <c r="L516"/>
      <c r="M516"/>
      <c r="N516"/>
      <c r="O516"/>
      <c r="P516"/>
      <c r="Q516"/>
      <c r="R516" s="558" t="s">
        <v>3972</v>
      </c>
      <c r="S516" s="83"/>
      <c r="T516" s="56"/>
      <c r="U516" s="955"/>
      <c r="V516" s="43" t="str">
        <f>Z507</f>
        <v>H</v>
      </c>
      <c r="W516" s="10"/>
      <c r="X516" s="45" t="s">
        <v>769</v>
      </c>
      <c r="Y516" s="10"/>
      <c r="Z516" s="46" t="str">
        <f>V509</f>
        <v>D</v>
      </c>
      <c r="AA516" s="123"/>
      <c r="AB516" s="1459">
        <f t="shared" si="204"/>
        <v>0</v>
      </c>
      <c r="AC516" s="1460" t="str">
        <f t="shared" si="205"/>
        <v>-</v>
      </c>
      <c r="AD516" s="1459">
        <f t="shared" si="206"/>
        <v>0</v>
      </c>
      <c r="AE516" s="964" t="str">
        <f t="shared" si="207"/>
        <v/>
      </c>
      <c r="AF516" s="964" t="str">
        <f t="shared" si="208"/>
        <v/>
      </c>
      <c r="AG516" s="964" t="str">
        <f t="shared" si="209"/>
        <v/>
      </c>
      <c r="AH516" s="964" t="str">
        <f t="shared" si="210"/>
        <v/>
      </c>
      <c r="AI516" s="964" t="str">
        <f t="shared" si="211"/>
        <v/>
      </c>
      <c r="AJ516" s="964"/>
      <c r="AK516" s="964"/>
      <c r="AL516"/>
      <c r="AM516"/>
      <c r="AN516"/>
      <c r="AO516"/>
      <c r="AP516"/>
      <c r="AQ516"/>
      <c r="AR516"/>
      <c r="AS516"/>
      <c r="AT516"/>
      <c r="AU516"/>
      <c r="AV516"/>
      <c r="AW516" s="9"/>
      <c r="AX516" s="9"/>
      <c r="AY516"/>
      <c r="AZ516"/>
      <c r="BA516"/>
      <c r="BB516"/>
      <c r="BC516"/>
      <c r="BD516"/>
      <c r="BE516"/>
      <c r="BF516"/>
      <c r="BG516"/>
      <c r="BH516"/>
      <c r="BI516"/>
      <c r="BJ516"/>
      <c r="BK516"/>
      <c r="BL516"/>
      <c r="BM516"/>
      <c r="BN516"/>
      <c r="BO516"/>
      <c r="BP516"/>
      <c r="BQ516"/>
      <c r="BR516"/>
      <c r="BS516"/>
      <c r="BT516"/>
      <c r="BU516"/>
      <c r="BV516"/>
      <c r="BW516"/>
      <c r="BX516"/>
      <c r="BY516"/>
      <c r="BZ516"/>
      <c r="CA516" s="1396"/>
      <c r="CB516" s="1396"/>
      <c r="CC516"/>
      <c r="CD516"/>
      <c r="CE516"/>
    </row>
    <row r="517" spans="1:83" ht="13.15" customHeight="1" outlineLevel="2" x14ac:dyDescent="0.2">
      <c r="A517"/>
      <c r="B517" s="1"/>
      <c r="C517"/>
      <c r="D517"/>
      <c r="E517"/>
      <c r="F517"/>
      <c r="G517" s="1"/>
      <c r="H517" s="1"/>
      <c r="I517"/>
      <c r="J517"/>
      <c r="K517"/>
      <c r="L517"/>
      <c r="M517"/>
      <c r="N517"/>
      <c r="O517"/>
      <c r="P517"/>
      <c r="Q517"/>
      <c r="R517" s="558" t="s">
        <v>3972</v>
      </c>
      <c r="S517" s="83"/>
      <c r="T517" s="56"/>
      <c r="U517" s="955"/>
      <c r="V517" s="43" t="str">
        <f>Z508</f>
        <v>J</v>
      </c>
      <c r="W517" s="10"/>
      <c r="X517" s="45" t="s">
        <v>769</v>
      </c>
      <c r="Y517" s="10"/>
      <c r="Z517" s="46" t="str">
        <f>V510</f>
        <v>B</v>
      </c>
      <c r="AA517" s="123"/>
      <c r="AB517" s="1459">
        <f t="shared" si="204"/>
        <v>0</v>
      </c>
      <c r="AC517" s="1460" t="str">
        <f t="shared" si="205"/>
        <v>-</v>
      </c>
      <c r="AD517" s="1459">
        <f t="shared" si="206"/>
        <v>0</v>
      </c>
      <c r="AE517" s="964" t="str">
        <f t="shared" si="207"/>
        <v/>
      </c>
      <c r="AF517" s="964" t="str">
        <f t="shared" si="208"/>
        <v/>
      </c>
      <c r="AG517" s="964" t="str">
        <f t="shared" si="209"/>
        <v/>
      </c>
      <c r="AH517" s="964" t="str">
        <f t="shared" si="210"/>
        <v/>
      </c>
      <c r="AI517" s="964" t="str">
        <f t="shared" si="211"/>
        <v/>
      </c>
      <c r="AJ517" s="964"/>
      <c r="AK517" s="964"/>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s="1396"/>
      <c r="CB517" s="1396"/>
      <c r="CC517"/>
      <c r="CD517"/>
      <c r="CE517"/>
    </row>
    <row r="518" spans="1:83" ht="13.15" customHeight="1" outlineLevel="2" x14ac:dyDescent="0.2">
      <c r="A518"/>
      <c r="B518" s="1"/>
      <c r="C518"/>
      <c r="D518"/>
      <c r="E518"/>
      <c r="F518"/>
      <c r="G518" s="1"/>
      <c r="H518" s="1"/>
      <c r="I518"/>
      <c r="J518"/>
      <c r="K518"/>
      <c r="L518"/>
      <c r="M518"/>
      <c r="N518"/>
      <c r="O518"/>
      <c r="P518"/>
      <c r="Q518"/>
      <c r="R518" s="558" t="s">
        <v>3972</v>
      </c>
      <c r="S518" s="83"/>
      <c r="T518" s="56"/>
      <c r="U518" s="955"/>
      <c r="V518" s="43" t="str">
        <f>Z509</f>
        <v>L</v>
      </c>
      <c r="W518" s="10"/>
      <c r="X518" s="45" t="s">
        <v>769</v>
      </c>
      <c r="Y518" s="10"/>
      <c r="Z518" s="46" t="str">
        <f>V511</f>
        <v>C</v>
      </c>
      <c r="AA518" s="123"/>
      <c r="AB518" s="1459">
        <f t="shared" si="204"/>
        <v>0</v>
      </c>
      <c r="AC518" s="1460" t="str">
        <f t="shared" si="205"/>
        <v>-</v>
      </c>
      <c r="AD518" s="1459">
        <f t="shared" si="206"/>
        <v>0</v>
      </c>
      <c r="AE518" s="964" t="str">
        <f t="shared" si="207"/>
        <v/>
      </c>
      <c r="AF518" s="964" t="str">
        <f t="shared" si="208"/>
        <v/>
      </c>
      <c r="AG518" s="964" t="str">
        <f t="shared" si="209"/>
        <v/>
      </c>
      <c r="AH518" s="964" t="str">
        <f t="shared" si="210"/>
        <v/>
      </c>
      <c r="AI518" s="964" t="str">
        <f t="shared" si="211"/>
        <v/>
      </c>
      <c r="AJ518" s="964"/>
      <c r="AK518" s="964"/>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s="1396"/>
      <c r="CB518" s="1396"/>
      <c r="CC518"/>
      <c r="CD518"/>
      <c r="CE518"/>
    </row>
    <row r="519" spans="1:83" ht="13.15" customHeight="1" outlineLevel="2" x14ac:dyDescent="0.2">
      <c r="A519"/>
      <c r="B519" s="1"/>
      <c r="C519"/>
      <c r="D519"/>
      <c r="E519"/>
      <c r="F519"/>
      <c r="G519" s="1"/>
      <c r="H519" s="1"/>
      <c r="I519"/>
      <c r="J519"/>
      <c r="K519"/>
      <c r="L519"/>
      <c r="M519"/>
      <c r="N519"/>
      <c r="O519"/>
      <c r="P519"/>
      <c r="Q519"/>
      <c r="R519" s="558" t="s">
        <v>3972</v>
      </c>
      <c r="S519" s="83"/>
      <c r="T519" s="56"/>
      <c r="U519" s="955"/>
      <c r="V519" s="43" t="str">
        <f>Z510</f>
        <v>K</v>
      </c>
      <c r="W519" s="10"/>
      <c r="X519" s="45" t="s">
        <v>769</v>
      </c>
      <c r="Y519" s="10"/>
      <c r="Z519" s="46" t="str">
        <f>V512</f>
        <v>E</v>
      </c>
      <c r="AA519" s="123"/>
      <c r="AB519" s="1459">
        <f t="shared" si="204"/>
        <v>0</v>
      </c>
      <c r="AC519" s="1460" t="str">
        <f t="shared" si="205"/>
        <v>-</v>
      </c>
      <c r="AD519" s="1459">
        <f t="shared" si="206"/>
        <v>0</v>
      </c>
      <c r="AE519" s="964" t="str">
        <f t="shared" si="207"/>
        <v/>
      </c>
      <c r="AF519" s="964" t="str">
        <f t="shared" si="208"/>
        <v/>
      </c>
      <c r="AG519" s="964" t="str">
        <f t="shared" si="209"/>
        <v/>
      </c>
      <c r="AH519" s="964" t="str">
        <f t="shared" si="210"/>
        <v/>
      </c>
      <c r="AI519" s="964" t="str">
        <f t="shared" si="211"/>
        <v/>
      </c>
      <c r="AJ519" s="964"/>
      <c r="AK519" s="964"/>
      <c r="AL519"/>
      <c r="AM519"/>
      <c r="AN519"/>
      <c r="AO519"/>
      <c r="AP519"/>
      <c r="AQ519"/>
      <c r="AR519"/>
      <c r="AS519"/>
      <c r="AT519"/>
      <c r="AU519"/>
      <c r="AV519"/>
      <c r="AW519"/>
      <c r="AX519" s="9"/>
      <c r="AY519"/>
      <c r="AZ519"/>
      <c r="BA519"/>
      <c r="BB519"/>
      <c r="BC519"/>
      <c r="BD519"/>
      <c r="BE519"/>
      <c r="BF519"/>
      <c r="BG519"/>
      <c r="BH519"/>
      <c r="BI519"/>
      <c r="BJ519"/>
      <c r="BK519"/>
      <c r="BL519"/>
      <c r="BM519"/>
      <c r="BN519"/>
      <c r="BO519"/>
      <c r="BP519"/>
      <c r="BQ519"/>
      <c r="BR519"/>
      <c r="BS519"/>
      <c r="BT519"/>
      <c r="BU519"/>
      <c r="BV519"/>
      <c r="BW519"/>
      <c r="BX519"/>
      <c r="BY519"/>
      <c r="BZ519"/>
      <c r="CA519" s="1396"/>
      <c r="CB519" s="1396"/>
      <c r="CC519"/>
      <c r="CD519"/>
      <c r="CE519"/>
    </row>
    <row r="520" spans="1:83" ht="13.9" customHeight="1" outlineLevel="2" thickBot="1" x14ac:dyDescent="0.25">
      <c r="A520"/>
      <c r="B520" s="1"/>
      <c r="C520"/>
      <c r="D520"/>
      <c r="E520"/>
      <c r="F520"/>
      <c r="G520" s="1"/>
      <c r="H520" s="1"/>
      <c r="I520"/>
      <c r="J520"/>
      <c r="K520"/>
      <c r="L520"/>
      <c r="M520"/>
      <c r="N520"/>
      <c r="O520"/>
      <c r="P520"/>
      <c r="Q520"/>
      <c r="R520" s="558" t="s">
        <v>3972</v>
      </c>
      <c r="S520" s="956"/>
      <c r="T520" s="58"/>
      <c r="U520" s="957"/>
      <c r="V520" s="43" t="str">
        <f>Z511</f>
        <v>I</v>
      </c>
      <c r="W520" s="10"/>
      <c r="X520" s="45" t="s">
        <v>769</v>
      </c>
      <c r="Y520" s="10"/>
      <c r="Z520" s="46" t="str">
        <f>Z512</f>
        <v>G</v>
      </c>
      <c r="AA520" s="123"/>
      <c r="AB520" s="1459">
        <f t="shared" si="204"/>
        <v>0</v>
      </c>
      <c r="AC520" s="1460" t="str">
        <f t="shared" si="205"/>
        <v>-</v>
      </c>
      <c r="AD520" s="1459">
        <f t="shared" si="206"/>
        <v>0</v>
      </c>
      <c r="AE520" s="964" t="str">
        <f t="shared" si="207"/>
        <v/>
      </c>
      <c r="AF520" s="964" t="str">
        <f t="shared" si="208"/>
        <v/>
      </c>
      <c r="AG520" s="964" t="str">
        <f t="shared" si="209"/>
        <v/>
      </c>
      <c r="AH520" s="964" t="str">
        <f t="shared" si="210"/>
        <v/>
      </c>
      <c r="AI520" s="964" t="str">
        <f t="shared" si="211"/>
        <v/>
      </c>
      <c r="AJ520" s="964"/>
      <c r="AK520" s="964"/>
      <c r="AL520"/>
      <c r="AM520"/>
      <c r="AN520"/>
      <c r="AO520"/>
      <c r="AP520"/>
      <c r="AQ520"/>
      <c r="AR520"/>
      <c r="AS520"/>
      <c r="AT520"/>
      <c r="AU520"/>
      <c r="AV520"/>
      <c r="AW520" s="9"/>
      <c r="AX520" s="9"/>
      <c r="AY520"/>
      <c r="AZ520"/>
      <c r="BA520"/>
      <c r="BB520"/>
      <c r="BC520"/>
      <c r="BD520"/>
      <c r="BE520"/>
      <c r="BF520"/>
      <c r="BG520"/>
      <c r="BH520"/>
      <c r="BI520"/>
      <c r="BJ520"/>
      <c r="BK520"/>
      <c r="BL520"/>
      <c r="BM520"/>
      <c r="BN520"/>
      <c r="BO520"/>
      <c r="BP520"/>
      <c r="BQ520"/>
      <c r="BR520"/>
      <c r="BS520"/>
      <c r="BT520"/>
      <c r="BU520"/>
      <c r="BV520"/>
      <c r="BW520"/>
      <c r="BX520"/>
      <c r="BY520"/>
      <c r="BZ520"/>
      <c r="CA520" s="1396"/>
      <c r="CB520" s="1396"/>
      <c r="CC520"/>
      <c r="CD520"/>
      <c r="CE520"/>
    </row>
    <row r="521" spans="1:83" ht="13.5" outlineLevel="1" thickBot="1" x14ac:dyDescent="0.25">
      <c r="A521"/>
      <c r="B521" s="1"/>
      <c r="C521" s="1"/>
      <c r="D521" s="76"/>
      <c r="E521" s="76"/>
      <c r="F521" s="76"/>
      <c r="G521" s="9"/>
      <c r="H521" s="9"/>
      <c r="I521" s="1"/>
      <c r="J521"/>
      <c r="K521"/>
      <c r="L521"/>
      <c r="M521"/>
      <c r="N521"/>
      <c r="O521"/>
      <c r="P521" s="89"/>
      <c r="Q521"/>
      <c r="R521" s="1"/>
      <c r="S521" s="993">
        <f>S513+1</f>
        <v>11</v>
      </c>
      <c r="T521" s="961"/>
      <c r="U521" s="961"/>
      <c r="V521" s="961"/>
      <c r="W521" s="960"/>
      <c r="X521" s="960"/>
      <c r="Y521" s="960"/>
      <c r="Z521" s="962"/>
      <c r="AA521" s="123"/>
      <c r="AB521" s="963"/>
      <c r="AC521" s="963"/>
      <c r="AD521" s="963"/>
      <c r="AE521" s="964"/>
      <c r="AF521" s="964"/>
      <c r="AG521" s="964"/>
      <c r="AH521" s="964"/>
      <c r="AI521" s="964"/>
      <c r="AJ521" s="964"/>
      <c r="AK521" s="964"/>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s="1396"/>
      <c r="CB521" s="1396"/>
      <c r="CC521"/>
      <c r="CD521"/>
      <c r="CE521"/>
    </row>
    <row r="522" spans="1:83" ht="13.9" customHeight="1" outlineLevel="2" thickBot="1" x14ac:dyDescent="0.25">
      <c r="A522"/>
      <c r="B522" s="1"/>
      <c r="C522"/>
      <c r="D522"/>
      <c r="E522"/>
      <c r="F522"/>
      <c r="G522" s="1"/>
      <c r="H522" s="1"/>
      <c r="I522"/>
      <c r="J522"/>
      <c r="K522"/>
      <c r="L522"/>
      <c r="M522"/>
      <c r="N522"/>
      <c r="O522"/>
      <c r="P522"/>
      <c r="Q522"/>
      <c r="S522" s="22" t="str">
        <f>N_Heure</f>
        <v>Heure</v>
      </c>
      <c r="T522" s="22" t="str">
        <f>N_Table</f>
        <v>Table</v>
      </c>
      <c r="U522" s="22" t="str">
        <f>N_Arbitre</f>
        <v>Arbitre</v>
      </c>
      <c r="V522" s="293" t="str">
        <f>N_Matches</f>
        <v>Matches</v>
      </c>
      <c r="W522" s="294"/>
      <c r="X522" s="294"/>
      <c r="Y522" s="294"/>
      <c r="Z522" s="295"/>
      <c r="AA522" s="8"/>
      <c r="AB522" s="967"/>
      <c r="AC522" s="967"/>
      <c r="AD522" s="967"/>
      <c r="AE522" s="964"/>
      <c r="AF522" s="964"/>
      <c r="AG522" s="964"/>
      <c r="AH522" s="964"/>
      <c r="AI522" s="964"/>
      <c r="AJ522" s="964"/>
      <c r="AK522" s="964"/>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s="1396"/>
      <c r="CB522" s="1396"/>
      <c r="CC522"/>
      <c r="CD522"/>
      <c r="CE522"/>
    </row>
    <row r="523" spans="1:83" ht="13.15" customHeight="1" outlineLevel="2" x14ac:dyDescent="0.2">
      <c r="A523"/>
      <c r="B523" s="1"/>
      <c r="C523"/>
      <c r="D523"/>
      <c r="E523"/>
      <c r="F523"/>
      <c r="G523" s="1"/>
      <c r="H523" s="1"/>
      <c r="I523"/>
      <c r="J523"/>
      <c r="K523"/>
      <c r="L523"/>
      <c r="M523"/>
      <c r="N523"/>
      <c r="O523"/>
      <c r="P523"/>
      <c r="Q523"/>
      <c r="R523" s="558" t="s">
        <v>3973</v>
      </c>
      <c r="S523" s="83"/>
      <c r="T523" s="56"/>
      <c r="U523" s="955"/>
      <c r="V523" s="34" t="str">
        <f>Z515</f>
        <v>A</v>
      </c>
      <c r="W523" s="148"/>
      <c r="X523" s="35" t="s">
        <v>769</v>
      </c>
      <c r="Y523" s="148"/>
      <c r="Z523" s="36" t="str">
        <f>Z516</f>
        <v>D</v>
      </c>
      <c r="AA523" s="123"/>
      <c r="AB523" s="1459">
        <f t="shared" ref="AB523:AB528" si="212">IF(MaxScore,MaxGoals(W523,Y523,MaxGoalsValue),IF(W523="","",W523))</f>
        <v>0</v>
      </c>
      <c r="AC523" s="1460" t="str">
        <f t="shared" ref="AC523:AC528" si="213">IF(MaxScore,"-",IF(W523="","","-"))</f>
        <v>-</v>
      </c>
      <c r="AD523" s="1459">
        <f t="shared" ref="AD523:AD528" si="214">IF(MaxScore,MaxGoals(Y523,W523,MaxGoalsValue),IF(Y523="","",Y523))</f>
        <v>0</v>
      </c>
      <c r="AE523" s="964" t="str">
        <f t="shared" ref="AE523:AE528" si="215">IF(W523="","",IF(W523&gt;Y523,V523,IF(W523=Y523,"",Z523)))</f>
        <v/>
      </c>
      <c r="AF523" s="964" t="str">
        <f t="shared" ref="AF523:AF528" si="216">IF(W523="","",IF(W523=Y523,V523,""))</f>
        <v/>
      </c>
      <c r="AG523" s="964" t="str">
        <f t="shared" ref="AG523:AG528" si="217">IF(W523="","",IF(W523=Y523,Z523,""))</f>
        <v/>
      </c>
      <c r="AH523" s="964" t="str">
        <f t="shared" ref="AH523:AH528" si="218">IF(W523="","",IF(W523&lt;Y523,V523,IF(W523=Y523,"",Z523)))</f>
        <v/>
      </c>
      <c r="AI523" s="964" t="str">
        <f t="shared" ref="AI523:AI528" si="219">CONCATENATE(AE523,AH523)</f>
        <v/>
      </c>
      <c r="AJ523" s="964"/>
      <c r="AK523" s="964"/>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s="1396"/>
      <c r="CB523" s="1396"/>
      <c r="CC523"/>
      <c r="CD523"/>
      <c r="CE523"/>
    </row>
    <row r="524" spans="1:83" ht="13.15" customHeight="1" outlineLevel="2" x14ac:dyDescent="0.2">
      <c r="A524"/>
      <c r="B524" s="1"/>
      <c r="C524"/>
      <c r="D524"/>
      <c r="E524"/>
      <c r="F524"/>
      <c r="G524" s="1"/>
      <c r="H524" s="1"/>
      <c r="I524"/>
      <c r="J524"/>
      <c r="K524"/>
      <c r="L524"/>
      <c r="M524"/>
      <c r="N524"/>
      <c r="O524"/>
      <c r="P524"/>
      <c r="Q524"/>
      <c r="R524" s="558" t="s">
        <v>3973</v>
      </c>
      <c r="S524" s="83"/>
      <c r="T524" s="56"/>
      <c r="U524" s="955"/>
      <c r="V524" s="43" t="str">
        <f>Z517</f>
        <v>B</v>
      </c>
      <c r="W524" s="10"/>
      <c r="X524" s="45" t="s">
        <v>769</v>
      </c>
      <c r="Y524" s="10"/>
      <c r="Z524" s="46" t="str">
        <f>V515</f>
        <v>F</v>
      </c>
      <c r="AA524" s="123"/>
      <c r="AB524" s="1459">
        <f t="shared" si="212"/>
        <v>0</v>
      </c>
      <c r="AC524" s="1460" t="str">
        <f t="shared" si="213"/>
        <v>-</v>
      </c>
      <c r="AD524" s="1459">
        <f t="shared" si="214"/>
        <v>0</v>
      </c>
      <c r="AE524" s="964" t="str">
        <f t="shared" si="215"/>
        <v/>
      </c>
      <c r="AF524" s="964" t="str">
        <f t="shared" si="216"/>
        <v/>
      </c>
      <c r="AG524" s="964" t="str">
        <f t="shared" si="217"/>
        <v/>
      </c>
      <c r="AH524" s="964" t="str">
        <f t="shared" si="218"/>
        <v/>
      </c>
      <c r="AI524" s="964" t="str">
        <f t="shared" si="219"/>
        <v/>
      </c>
      <c r="AJ524" s="964"/>
      <c r="AK524" s="964"/>
      <c r="AL524"/>
      <c r="AM524"/>
      <c r="AN524"/>
      <c r="AO524"/>
      <c r="AP524"/>
      <c r="AQ524"/>
      <c r="AR524"/>
      <c r="AS524"/>
      <c r="AT524"/>
      <c r="AU524"/>
      <c r="AV524"/>
      <c r="AW524"/>
      <c r="AX524" s="9"/>
      <c r="AY524"/>
      <c r="AZ524"/>
      <c r="BA524"/>
      <c r="BB524"/>
      <c r="BC524"/>
      <c r="BD524"/>
      <c r="BE524"/>
      <c r="BF524"/>
      <c r="BG524"/>
      <c r="BH524"/>
      <c r="BI524"/>
      <c r="BJ524"/>
      <c r="BK524"/>
      <c r="BL524"/>
      <c r="BM524"/>
      <c r="BN524"/>
      <c r="BO524"/>
      <c r="BP524"/>
      <c r="BQ524"/>
      <c r="BR524"/>
      <c r="BS524"/>
      <c r="BT524"/>
      <c r="BU524"/>
      <c r="BV524"/>
      <c r="BW524"/>
      <c r="BX524"/>
      <c r="BY524"/>
      <c r="BZ524"/>
      <c r="CA524" s="1396"/>
      <c r="CB524" s="1396"/>
      <c r="CC524"/>
      <c r="CD524"/>
      <c r="CE524"/>
    </row>
    <row r="525" spans="1:83" ht="13.15" customHeight="1" outlineLevel="2" x14ac:dyDescent="0.2">
      <c r="A525"/>
      <c r="B525" s="1"/>
      <c r="C525"/>
      <c r="D525"/>
      <c r="E525"/>
      <c r="F525"/>
      <c r="G525" s="1"/>
      <c r="H525" s="1"/>
      <c r="I525"/>
      <c r="J525"/>
      <c r="K525"/>
      <c r="L525"/>
      <c r="M525"/>
      <c r="N525"/>
      <c r="O525"/>
      <c r="P525"/>
      <c r="Q525"/>
      <c r="R525" s="558" t="s">
        <v>3973</v>
      </c>
      <c r="S525" s="83"/>
      <c r="T525" s="56"/>
      <c r="U525" s="955"/>
      <c r="V525" s="43" t="str">
        <f>Z518</f>
        <v>C</v>
      </c>
      <c r="W525" s="10"/>
      <c r="X525" s="45" t="s">
        <v>769</v>
      </c>
      <c r="Y525" s="10"/>
      <c r="Z525" s="46" t="str">
        <f>V516</f>
        <v>H</v>
      </c>
      <c r="AA525" s="123"/>
      <c r="AB525" s="1459">
        <f t="shared" si="212"/>
        <v>0</v>
      </c>
      <c r="AC525" s="1460" t="str">
        <f t="shared" si="213"/>
        <v>-</v>
      </c>
      <c r="AD525" s="1459">
        <f t="shared" si="214"/>
        <v>0</v>
      </c>
      <c r="AE525" s="964" t="str">
        <f t="shared" si="215"/>
        <v/>
      </c>
      <c r="AF525" s="964" t="str">
        <f t="shared" si="216"/>
        <v/>
      </c>
      <c r="AG525" s="964" t="str">
        <f t="shared" si="217"/>
        <v/>
      </c>
      <c r="AH525" s="964" t="str">
        <f t="shared" si="218"/>
        <v/>
      </c>
      <c r="AI525" s="964" t="str">
        <f t="shared" si="219"/>
        <v/>
      </c>
      <c r="AJ525" s="964"/>
      <c r="AK525" s="964"/>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s="1396"/>
      <c r="CB525" s="1396"/>
      <c r="CC525"/>
      <c r="CD525"/>
      <c r="CE525"/>
    </row>
    <row r="526" spans="1:83" ht="13.15" customHeight="1" outlineLevel="2" x14ac:dyDescent="0.2">
      <c r="A526"/>
      <c r="B526" s="1"/>
      <c r="C526"/>
      <c r="D526"/>
      <c r="E526"/>
      <c r="F526"/>
      <c r="G526" s="1"/>
      <c r="H526" s="1"/>
      <c r="I526"/>
      <c r="J526"/>
      <c r="K526"/>
      <c r="L526"/>
      <c r="M526"/>
      <c r="N526"/>
      <c r="O526"/>
      <c r="P526"/>
      <c r="Q526"/>
      <c r="R526" s="558" t="s">
        <v>3973</v>
      </c>
      <c r="S526" s="83"/>
      <c r="T526" s="56"/>
      <c r="U526" s="955"/>
      <c r="V526" s="43" t="str">
        <f>Z519</f>
        <v>E</v>
      </c>
      <c r="W526" s="10"/>
      <c r="X526" s="45" t="s">
        <v>769</v>
      </c>
      <c r="Y526" s="10"/>
      <c r="Z526" s="46" t="str">
        <f>V517</f>
        <v>J</v>
      </c>
      <c r="AA526" s="123"/>
      <c r="AB526" s="1459">
        <f t="shared" si="212"/>
        <v>0</v>
      </c>
      <c r="AC526" s="1460" t="str">
        <f t="shared" si="213"/>
        <v>-</v>
      </c>
      <c r="AD526" s="1459">
        <f t="shared" si="214"/>
        <v>0</v>
      </c>
      <c r="AE526" s="964" t="str">
        <f t="shared" si="215"/>
        <v/>
      </c>
      <c r="AF526" s="964" t="str">
        <f t="shared" si="216"/>
        <v/>
      </c>
      <c r="AG526" s="964" t="str">
        <f t="shared" si="217"/>
        <v/>
      </c>
      <c r="AH526" s="964" t="str">
        <f t="shared" si="218"/>
        <v/>
      </c>
      <c r="AI526" s="964" t="str">
        <f t="shared" si="219"/>
        <v/>
      </c>
      <c r="AJ526" s="964"/>
      <c r="AK526" s="964"/>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s="1396"/>
      <c r="CB526" s="1396"/>
      <c r="CC526"/>
      <c r="CD526"/>
      <c r="CE526"/>
    </row>
    <row r="527" spans="1:83" ht="13.15" customHeight="1" outlineLevel="2" x14ac:dyDescent="0.2">
      <c r="A527"/>
      <c r="B527" s="1"/>
      <c r="C527"/>
      <c r="D527"/>
      <c r="E527"/>
      <c r="F527"/>
      <c r="G527" s="1"/>
      <c r="H527" s="1"/>
      <c r="I527"/>
      <c r="J527"/>
      <c r="K527"/>
      <c r="L527"/>
      <c r="M527"/>
      <c r="N527"/>
      <c r="O527"/>
      <c r="P527"/>
      <c r="Q527"/>
      <c r="R527" s="558" t="s">
        <v>3973</v>
      </c>
      <c r="S527" s="83"/>
      <c r="T527" s="56"/>
      <c r="U527" s="955"/>
      <c r="V527" s="43" t="str">
        <f>Z520</f>
        <v>G</v>
      </c>
      <c r="W527" s="10"/>
      <c r="X527" s="45" t="s">
        <v>769</v>
      </c>
      <c r="Y527" s="10"/>
      <c r="Z527" s="46" t="str">
        <f>V518</f>
        <v>L</v>
      </c>
      <c r="AA527" s="123"/>
      <c r="AB527" s="1459">
        <f t="shared" si="212"/>
        <v>0</v>
      </c>
      <c r="AC527" s="1460" t="str">
        <f t="shared" si="213"/>
        <v>-</v>
      </c>
      <c r="AD527" s="1459">
        <f t="shared" si="214"/>
        <v>0</v>
      </c>
      <c r="AE527" s="964" t="str">
        <f t="shared" si="215"/>
        <v/>
      </c>
      <c r="AF527" s="964" t="str">
        <f t="shared" si="216"/>
        <v/>
      </c>
      <c r="AG527" s="964" t="str">
        <f t="shared" si="217"/>
        <v/>
      </c>
      <c r="AH527" s="964" t="str">
        <f t="shared" si="218"/>
        <v/>
      </c>
      <c r="AI527" s="964" t="str">
        <f t="shared" si="219"/>
        <v/>
      </c>
      <c r="AJ527" s="964"/>
      <c r="AK527" s="964"/>
      <c r="AL527"/>
      <c r="AM527"/>
      <c r="AN527"/>
      <c r="AO527"/>
      <c r="AP527"/>
      <c r="AQ527"/>
      <c r="AR527"/>
      <c r="AS527"/>
      <c r="AT527"/>
      <c r="AU527"/>
      <c r="AV527"/>
      <c r="AW527"/>
      <c r="AX527" s="9"/>
      <c r="AY527"/>
      <c r="AZ527"/>
      <c r="BA527"/>
      <c r="BB527"/>
      <c r="BC527"/>
      <c r="BD527"/>
      <c r="BE527"/>
      <c r="BF527"/>
      <c r="BG527"/>
      <c r="BH527"/>
      <c r="BI527"/>
      <c r="BJ527"/>
      <c r="BK527"/>
      <c r="BL527"/>
      <c r="BM527"/>
      <c r="BN527"/>
      <c r="BO527"/>
      <c r="BP527"/>
      <c r="BQ527"/>
      <c r="BR527"/>
      <c r="BS527"/>
      <c r="BT527"/>
      <c r="BU527"/>
      <c r="BV527"/>
      <c r="BW527"/>
      <c r="BX527"/>
      <c r="BY527"/>
      <c r="BZ527"/>
      <c r="CA527" s="1396"/>
      <c r="CB527" s="1396"/>
      <c r="CC527"/>
      <c r="CD527"/>
      <c r="CE527"/>
    </row>
    <row r="528" spans="1:83" ht="13.9" customHeight="1" outlineLevel="2" thickBot="1" x14ac:dyDescent="0.25">
      <c r="A528"/>
      <c r="B528" s="1"/>
      <c r="C528"/>
      <c r="D528"/>
      <c r="E528"/>
      <c r="F528"/>
      <c r="G528" s="1"/>
      <c r="H528" s="1"/>
      <c r="I528"/>
      <c r="J528"/>
      <c r="K528"/>
      <c r="L528"/>
      <c r="M528"/>
      <c r="N528"/>
      <c r="O528"/>
      <c r="P528"/>
      <c r="Q528"/>
      <c r="R528" s="558" t="s">
        <v>3973</v>
      </c>
      <c r="S528" s="956"/>
      <c r="T528" s="58"/>
      <c r="U528" s="957"/>
      <c r="V528" s="958" t="str">
        <f>V520</f>
        <v>I</v>
      </c>
      <c r="W528" s="10"/>
      <c r="X528" s="45" t="s">
        <v>769</v>
      </c>
      <c r="Y528" s="10"/>
      <c r="Z528" s="46" t="str">
        <f>V519</f>
        <v>K</v>
      </c>
      <c r="AA528" s="123"/>
      <c r="AB528" s="1459">
        <f t="shared" si="212"/>
        <v>0</v>
      </c>
      <c r="AC528" s="1460" t="str">
        <f t="shared" si="213"/>
        <v>-</v>
      </c>
      <c r="AD528" s="1459">
        <f t="shared" si="214"/>
        <v>0</v>
      </c>
      <c r="AE528" s="964" t="str">
        <f t="shared" si="215"/>
        <v/>
      </c>
      <c r="AF528" s="964" t="str">
        <f t="shared" si="216"/>
        <v/>
      </c>
      <c r="AG528" s="964" t="str">
        <f t="shared" si="217"/>
        <v/>
      </c>
      <c r="AH528" s="964" t="str">
        <f t="shared" si="218"/>
        <v/>
      </c>
      <c r="AI528" s="964" t="str">
        <f t="shared" si="219"/>
        <v/>
      </c>
      <c r="AJ528" s="964"/>
      <c r="AK528" s="964"/>
      <c r="AL528"/>
      <c r="AM528"/>
      <c r="AN528"/>
      <c r="AO528"/>
      <c r="AP528"/>
      <c r="AQ528"/>
      <c r="AR528"/>
      <c r="AS528"/>
      <c r="AT528"/>
      <c r="AU528"/>
      <c r="AV528"/>
      <c r="AW528" s="9"/>
      <c r="AX528" s="9"/>
      <c r="AY528"/>
      <c r="AZ528"/>
      <c r="BA528"/>
      <c r="BB528"/>
      <c r="BC528"/>
      <c r="BD528"/>
      <c r="BE528"/>
      <c r="BF528"/>
      <c r="BG528"/>
      <c r="BH528"/>
      <c r="BI528"/>
      <c r="BJ528"/>
      <c r="BK528"/>
      <c r="BL528"/>
      <c r="BM528"/>
      <c r="BN528"/>
      <c r="BO528"/>
      <c r="BP528"/>
      <c r="BQ528"/>
      <c r="BR528"/>
      <c r="BS528"/>
      <c r="BT528"/>
      <c r="BU528"/>
      <c r="BV528"/>
      <c r="BW528"/>
      <c r="BX528"/>
      <c r="BY528"/>
      <c r="BZ528"/>
      <c r="CA528" s="1396"/>
      <c r="CB528" s="1396"/>
      <c r="CC528"/>
      <c r="CD528"/>
      <c r="CE528"/>
    </row>
    <row r="529" spans="1:83" ht="13.5" thickBot="1" x14ac:dyDescent="0.25">
      <c r="A529"/>
      <c r="B529" s="1"/>
      <c r="C529"/>
      <c r="D529"/>
      <c r="E529"/>
      <c r="F529"/>
      <c r="G529" s="1"/>
      <c r="H529" s="1"/>
      <c r="I529"/>
      <c r="J529"/>
      <c r="K529"/>
      <c r="L529"/>
      <c r="M529"/>
      <c r="N529"/>
      <c r="O529"/>
      <c r="P529"/>
      <c r="Q529"/>
      <c r="S529"/>
      <c r="T529"/>
      <c r="U529"/>
      <c r="V529"/>
      <c r="W529" s="1"/>
      <c r="X529" s="1"/>
      <c r="Y529" s="1"/>
      <c r="Z529"/>
      <c r="AB529" s="964"/>
      <c r="AC529" s="964"/>
      <c r="AD529" s="969"/>
      <c r="AE529" s="969"/>
      <c r="AF529" s="964"/>
      <c r="AG529" s="970"/>
      <c r="AH529" s="964"/>
      <c r="AI529" s="969"/>
      <c r="AJ529" s="964"/>
      <c r="AK529" s="963"/>
      <c r="AL529" s="16"/>
      <c r="AM529" s="16"/>
      <c r="AN529" s="16"/>
      <c r="AO529" s="16"/>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s="1396"/>
      <c r="CB529" s="1396"/>
      <c r="CC529"/>
      <c r="CD529"/>
      <c r="CE529"/>
    </row>
    <row r="530" spans="1:83" ht="13.5" thickBot="1" x14ac:dyDescent="0.25">
      <c r="A530"/>
      <c r="B530" s="282" t="str">
        <f>N_Group_13</f>
        <v>Poule de 13</v>
      </c>
      <c r="C530" s="283"/>
      <c r="D530" s="283"/>
      <c r="E530" s="283"/>
      <c r="F530" s="283"/>
      <c r="G530" s="283"/>
      <c r="H530" s="283"/>
      <c r="I530" s="283"/>
      <c r="J530" s="283"/>
      <c r="K530" s="283"/>
      <c r="L530" s="283"/>
      <c r="M530" s="283"/>
      <c r="N530" s="283"/>
      <c r="O530" s="283"/>
      <c r="P530" s="283"/>
      <c r="Q530" s="283"/>
      <c r="R530" s="357"/>
      <c r="S530" s="283"/>
      <c r="T530" s="283"/>
      <c r="U530" s="283"/>
      <c r="V530" s="283"/>
      <c r="W530" s="992"/>
      <c r="X530" s="992"/>
      <c r="Y530" s="992"/>
      <c r="Z530" s="283"/>
      <c r="AA530" s="283"/>
      <c r="AB530" s="965"/>
      <c r="AC530" s="965"/>
      <c r="AD530" s="965"/>
      <c r="AE530" s="966"/>
      <c r="AF530" s="966"/>
      <c r="AG530" s="966"/>
      <c r="AH530" s="966"/>
      <c r="AI530" s="966"/>
      <c r="AJ530" s="966"/>
      <c r="AK530" s="965"/>
      <c r="AL530" s="283"/>
      <c r="AM530" s="282" t="str">
        <f>B530</f>
        <v>Poule de 13</v>
      </c>
      <c r="AN530" s="283"/>
      <c r="AO530" s="283"/>
      <c r="AP530" s="283"/>
      <c r="AQ530" s="283"/>
      <c r="AR530" s="283"/>
      <c r="AS530" s="283"/>
      <c r="AT530" s="283"/>
      <c r="AU530" s="283"/>
      <c r="AV530" s="283"/>
      <c r="AW530" s="283"/>
      <c r="AX530" s="283"/>
      <c r="AY530" s="283"/>
      <c r="AZ530" s="283"/>
      <c r="BA530" s="283"/>
      <c r="BB530" s="283"/>
      <c r="BC530" s="283"/>
      <c r="BD530" s="283"/>
      <c r="BE530" s="283"/>
      <c r="BF530" s="283"/>
      <c r="BG530" s="283"/>
      <c r="BH530" s="283"/>
      <c r="BI530" s="283"/>
      <c r="BJ530" s="283"/>
      <c r="BK530" s="283"/>
      <c r="BL530" s="283"/>
      <c r="BM530" s="283"/>
      <c r="BN530" s="283"/>
      <c r="BO530" s="283"/>
      <c r="BP530" s="283"/>
      <c r="BQ530" s="283"/>
      <c r="BR530" s="283"/>
      <c r="BS530" s="283"/>
      <c r="BT530" s="283"/>
      <c r="BU530" s="283"/>
      <c r="BV530" s="283"/>
      <c r="BW530" s="283"/>
      <c r="BX530" s="283"/>
      <c r="BY530" s="283"/>
      <c r="BZ530"/>
      <c r="CA530" s="1396"/>
      <c r="CB530" s="1396"/>
      <c r="CC530" s="284"/>
      <c r="CD530"/>
      <c r="CE530"/>
    </row>
    <row r="531" spans="1:83" ht="13.5" outlineLevel="1" thickBot="1" x14ac:dyDescent="0.25">
      <c r="A531"/>
      <c r="B531" s="1"/>
      <c r="C531"/>
      <c r="D531"/>
      <c r="E531"/>
      <c r="F531"/>
      <c r="G531" s="1"/>
      <c r="H531" s="1"/>
      <c r="I531"/>
      <c r="J531"/>
      <c r="K531"/>
      <c r="L531"/>
      <c r="M531"/>
      <c r="N531"/>
      <c r="O531"/>
      <c r="P531"/>
      <c r="Q531"/>
      <c r="S531"/>
      <c r="T531"/>
      <c r="U531"/>
      <c r="V531"/>
      <c r="W531" s="1"/>
      <c r="X531" s="1"/>
      <c r="Y531" s="1"/>
      <c r="Z531"/>
      <c r="AB531" s="964"/>
      <c r="AC531" s="964"/>
      <c r="AD531" s="969"/>
      <c r="AE531" s="969"/>
      <c r="AF531" s="964"/>
      <c r="AG531" s="970"/>
      <c r="AH531" s="964"/>
      <c r="AI531" s="969"/>
      <c r="AJ531" s="964"/>
      <c r="AK531" s="963"/>
      <c r="AL531" s="16"/>
      <c r="AM531" s="16"/>
      <c r="AN531" s="16"/>
      <c r="AO531" s="16"/>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s="1396"/>
      <c r="CB531" s="1396"/>
      <c r="CC531"/>
      <c r="CD531"/>
      <c r="CE531"/>
    </row>
    <row r="532" spans="1:83" ht="13.5" outlineLevel="1" thickBot="1" x14ac:dyDescent="0.25">
      <c r="A532"/>
      <c r="B532" s="18" t="str">
        <f>N_Tirage</f>
        <v>Tirage</v>
      </c>
      <c r="C532" s="971" t="s">
        <v>787</v>
      </c>
      <c r="D532" s="972" t="s">
        <v>831</v>
      </c>
      <c r="E532" s="972" t="s">
        <v>832</v>
      </c>
      <c r="F532" s="973" t="s">
        <v>833</v>
      </c>
      <c r="G532" s="22" t="str">
        <f>N_Joueurs</f>
        <v>Joueurs</v>
      </c>
      <c r="H532" s="3" t="str">
        <f>N_RankPoints</f>
        <v>Pt. Clas.</v>
      </c>
      <c r="I532" s="22" t="str">
        <f>N_Diff_Part</f>
        <v>Diff-Part</v>
      </c>
      <c r="J532" s="983" t="s">
        <v>788</v>
      </c>
      <c r="K532" s="984" t="s">
        <v>789</v>
      </c>
      <c r="L532" s="972" t="s">
        <v>790</v>
      </c>
      <c r="M532" s="972" t="s">
        <v>791</v>
      </c>
      <c r="N532" s="972" t="s">
        <v>792</v>
      </c>
      <c r="O532" s="972" t="s">
        <v>793</v>
      </c>
      <c r="P532" s="972" t="s">
        <v>794</v>
      </c>
      <c r="Q532" s="973" t="s">
        <v>781</v>
      </c>
      <c r="R532"/>
      <c r="S532"/>
      <c r="T532"/>
      <c r="U532"/>
      <c r="V532"/>
      <c r="W532" s="1"/>
      <c r="X532" s="1"/>
      <c r="Y532" s="1"/>
      <c r="Z532"/>
      <c r="AB532" s="964"/>
      <c r="AC532" s="964"/>
      <c r="AD532" s="964"/>
      <c r="AE532" s="964" t="str">
        <f>N_G</f>
        <v>G</v>
      </c>
      <c r="AF532" s="964" t="str">
        <f>N_N</f>
        <v>N</v>
      </c>
      <c r="AG532" s="964" t="str">
        <f>N_N</f>
        <v>N</v>
      </c>
      <c r="AH532" s="964" t="str">
        <f>N_P</f>
        <v>P</v>
      </c>
      <c r="AI532" s="964" t="s">
        <v>1560</v>
      </c>
      <c r="AJ532" s="964" t="s">
        <v>3714</v>
      </c>
      <c r="AK532" s="964" t="str">
        <f>IF(COUNTA(W548:W649)=0,"","OK")</f>
        <v/>
      </c>
      <c r="AL532"/>
      <c r="AM532" s="16"/>
      <c r="AN532" s="24" t="str">
        <f>N_Cla.</f>
        <v>Cla.</v>
      </c>
      <c r="AO532" s="4" t="str">
        <f>N_Joueurs</f>
        <v>Joueurs</v>
      </c>
      <c r="AP532" s="25" t="str">
        <f>N_Pts</f>
        <v>Pts</v>
      </c>
      <c r="AQ532" s="25" t="str">
        <f>N_J</f>
        <v>J</v>
      </c>
      <c r="AR532" s="26" t="str">
        <f>N_G</f>
        <v>G</v>
      </c>
      <c r="AS532" s="26" t="str">
        <f>N_N</f>
        <v>N</v>
      </c>
      <c r="AT532" s="26" t="str">
        <f>N_P</f>
        <v>P</v>
      </c>
      <c r="AU532" s="26" t="str">
        <f>N_BP</f>
        <v>BP</v>
      </c>
      <c r="AV532" s="26" t="str">
        <f>N_BC</f>
        <v>BC</v>
      </c>
      <c r="AW532" s="5" t="str">
        <f>N_Diff.</f>
        <v>Diff.</v>
      </c>
      <c r="AX532"/>
      <c r="AY532"/>
      <c r="AZ532" s="1"/>
      <c r="BA532" s="1"/>
      <c r="BB532"/>
      <c r="BC532" s="6"/>
      <c r="BD532"/>
      <c r="BE532" s="1"/>
      <c r="BF532"/>
      <c r="BG532" s="16"/>
      <c r="BH532"/>
      <c r="BI532"/>
      <c r="BJ532"/>
      <c r="BK532"/>
      <c r="BL532"/>
      <c r="BM532"/>
      <c r="BN532"/>
      <c r="BO532"/>
      <c r="BP532"/>
      <c r="BQ532"/>
      <c r="BR532"/>
      <c r="BS532"/>
      <c r="BT532"/>
      <c r="BU532"/>
      <c r="BV532"/>
      <c r="BW532"/>
      <c r="BX532"/>
      <c r="BY532"/>
      <c r="BZ532"/>
      <c r="CA532" s="1396"/>
      <c r="CB532" s="1396"/>
      <c r="CC532"/>
      <c r="CD532"/>
      <c r="CE532"/>
    </row>
    <row r="533" spans="1:83" outlineLevel="1" x14ac:dyDescent="0.2">
      <c r="A533"/>
      <c r="B533" s="941">
        <v>1</v>
      </c>
      <c r="C533" s="974" t="str">
        <f>IF(AK532="","",RANK(F533,F533:F545)*1000+ROW())</f>
        <v/>
      </c>
      <c r="D533" s="975" t="str">
        <f>IF(L533="","",CritClassInd1_Points*J533+CritClassInd1_Matches*L533+CritClassInd1_Attaque*O533+CritClassInd1_DiffButs*Q533)</f>
        <v/>
      </c>
      <c r="E533" s="975" t="str">
        <f>IF(L533="","",Nb_Diff_Part(D533,D533:D545,G533,G533:G545,AI548:AI649)*CritClassInd_DiffPart+Nb_Goal_Part(D533,D533:D545,G533,G533:G545,V548:Z649)*CritClassInd_GoalPart+Nb_Score_Part(D533,D533:D545,G533,G533:G545,V548:Z649)*CritClassInd_ScorePart)</f>
        <v/>
      </c>
      <c r="F533" s="976" t="str">
        <f>IF(L533="","",D533+E533+CritClassInd2_Points*J533+CritClassInd2_Matches*L533+CritClassInd2_Attaque*O533+CritClassInd2_DiffButs*Q533+CritClassInd_Ranking*H533+I533)</f>
        <v/>
      </c>
      <c r="G533" s="942" t="s">
        <v>2712</v>
      </c>
      <c r="H533" s="499">
        <f t="shared" ref="H533:H545" si="220">GMFTRANKINGPOINTS(G533,Particular_Category)</f>
        <v>0</v>
      </c>
      <c r="I533" s="942"/>
      <c r="J533" s="974" t="str">
        <f>IF(AK532="","",(L533*Points_Victoire)+M533*Points_Null)</f>
        <v/>
      </c>
      <c r="K533" s="985" t="str">
        <f t="shared" ref="K533:K545" si="221">IF(L533="","",SUM(L533:N533))</f>
        <v/>
      </c>
      <c r="L533" s="986" t="str">
        <f>IF(AK532="","",COUNTIF(AE548:AE649,G533))</f>
        <v/>
      </c>
      <c r="M533" s="986" t="str">
        <f>IF(AK532="","",COUNTIF(AF548:AG649,G533))</f>
        <v/>
      </c>
      <c r="N533" s="986" t="str">
        <f>IF(AK532="","",COUNTIF(AH548:AH649,G533))</f>
        <v/>
      </c>
      <c r="O533" s="986" t="str">
        <f>IF(AK532="","",SUMIF(V548:V649,G533,AB548:AB649)+SUMIF(Z548:Z649,G533,AD548:AD649))</f>
        <v/>
      </c>
      <c r="P533" s="986" t="str">
        <f>IF(AK532="","",SUMIF(V548:V649,G533,AD548:AD649)+SUMIF(Z548:Z649,G533,AB548:AB649))</f>
        <v/>
      </c>
      <c r="Q533" s="987" t="str">
        <f>IF(AK532="","",O533-P533)</f>
        <v/>
      </c>
      <c r="R533"/>
      <c r="S533"/>
      <c r="T533"/>
      <c r="U533"/>
      <c r="V533"/>
      <c r="W533" s="1"/>
      <c r="X533" s="1"/>
      <c r="Y533" s="1"/>
      <c r="Z533"/>
      <c r="AB533" s="964"/>
      <c r="AC533" s="964"/>
      <c r="AD533" s="964"/>
      <c r="AE533" s="964"/>
      <c r="AF533" s="964"/>
      <c r="AG533" s="964"/>
      <c r="AH533" s="964"/>
      <c r="AI533" s="964"/>
      <c r="AJ533" s="964"/>
      <c r="AK533" s="968" t="str">
        <f>IF(AK532="","",SMALL(C533:C545,1))</f>
        <v/>
      </c>
      <c r="AL533"/>
      <c r="AM533" s="16"/>
      <c r="AN533" s="943" t="str">
        <f>IF(AK532="","",INT(AK533/1000))</f>
        <v/>
      </c>
      <c r="AO533" s="33" t="str">
        <f>IF(AK532="","",VLOOKUP(AK533,C533:Q545,5,FALSE))</f>
        <v/>
      </c>
      <c r="AP533" s="33" t="str">
        <f>VLOOKUP(AK533,C533:Q545,8,FALSE)</f>
        <v/>
      </c>
      <c r="AQ533" s="33" t="str">
        <f>VLOOKUP(AK533,C533:Q545,9,FALSE)</f>
        <v/>
      </c>
      <c r="AR533" s="33" t="str">
        <f>VLOOKUP(AK533,C533:Q545,10,FALSE)</f>
        <v/>
      </c>
      <c r="AS533" s="33" t="str">
        <f>VLOOKUP(AK533,C533:Q545,11,FALSE)</f>
        <v/>
      </c>
      <c r="AT533" s="33" t="str">
        <f>VLOOKUP(AK533,C533:Q545,12,FALSE)</f>
        <v/>
      </c>
      <c r="AU533" s="33" t="str">
        <f>VLOOKUP(AK533,C533:Q545,13,FALSE)</f>
        <v/>
      </c>
      <c r="AV533" s="33" t="str">
        <f>VLOOKUP(AK533,C533:Q545,14,FALSE)</f>
        <v/>
      </c>
      <c r="AW533" s="944" t="str">
        <f>VLOOKUP(AK533,C533:Q545,15,FALSE)</f>
        <v/>
      </c>
      <c r="AX533"/>
      <c r="AY533"/>
      <c r="AZ533" s="1"/>
      <c r="BA533" s="1"/>
      <c r="BB533"/>
      <c r="BC533" s="6"/>
      <c r="BD533"/>
      <c r="BE533" s="1"/>
      <c r="BF533"/>
      <c r="BG533" s="16"/>
      <c r="BH533"/>
      <c r="BI533"/>
      <c r="BJ533"/>
      <c r="BK533"/>
      <c r="BL533"/>
      <c r="BM533"/>
      <c r="BN533"/>
      <c r="BO533"/>
      <c r="BP533"/>
      <c r="BQ533"/>
      <c r="BR533"/>
      <c r="BS533"/>
      <c r="BT533"/>
      <c r="BU533"/>
      <c r="BV533"/>
      <c r="BW533"/>
      <c r="BX533"/>
      <c r="BY533"/>
      <c r="BZ533"/>
      <c r="CA533" s="1396"/>
      <c r="CB533" s="1396"/>
      <c r="CC533"/>
      <c r="CD533"/>
      <c r="CE533"/>
    </row>
    <row r="534" spans="1:83" outlineLevel="1" x14ac:dyDescent="0.2">
      <c r="A534"/>
      <c r="B534" s="945">
        <v>2</v>
      </c>
      <c r="C534" s="977" t="str">
        <f>IF(AK532="","",RANK(F534,F533:F545)*1000+ROW())</f>
        <v/>
      </c>
      <c r="D534" s="978" t="str">
        <f t="shared" ref="D534:D545" si="222">IF(L534="","",CritClassInd1_Points*J534+CritClassInd1_Matches*L534+CritClassInd1_Attaque*O534+CritClassInd1_DiffButs*Q534)</f>
        <v/>
      </c>
      <c r="E534" s="978" t="str">
        <f>IF(L534="","",Nb_Diff_Part(D534,D533:D545,G534,G533:G545,AI548:AI649)*CritClassInd_DiffPart+Nb_Goal_Part(D534,D533:D545,G534,G533:G545,V548:Z649)*CritClassInd_GoalPart+Nb_Score_Part(D534,D533:D545,G534,G533:G545,V548:Z649)*CritClassInd_ScorePart)</f>
        <v/>
      </c>
      <c r="F534" s="979" t="str">
        <f t="shared" ref="F534:F545" si="223">IF(L534="","",D534+E534+CritClassInd2_Points*J534+CritClassInd2_Matches*L534+CritClassInd2_Attaque*O534+CritClassInd2_DiffButs*Q534+CritClassInd_Ranking*H534+I534)</f>
        <v/>
      </c>
      <c r="G534" s="39" t="s">
        <v>3911</v>
      </c>
      <c r="H534" s="501">
        <f t="shared" si="220"/>
        <v>0</v>
      </c>
      <c r="I534" s="39"/>
      <c r="J534" s="977" t="str">
        <f>IF(AK532="","",(L534*Points_Victoire)+M534*Points_Null)</f>
        <v/>
      </c>
      <c r="K534" s="988" t="str">
        <f t="shared" si="221"/>
        <v/>
      </c>
      <c r="L534" s="988" t="str">
        <f>IF(AK532="","",COUNTIF(AE548:AE649,G534))</f>
        <v/>
      </c>
      <c r="M534" s="988" t="str">
        <f>IF(AK532="","",COUNTIF(AF548:AG649,G534))</f>
        <v/>
      </c>
      <c r="N534" s="988" t="str">
        <f>IF(AK532="","",COUNTIF(AH548:AH649,G534))</f>
        <v/>
      </c>
      <c r="O534" s="988" t="str">
        <f>IF(AK532="","",SUMIF(V548:V649,G534,AB548:AB649)+SUMIF(Z548:Z649,G534,AD548:AD649))</f>
        <v/>
      </c>
      <c r="P534" s="988" t="str">
        <f>IF(AK532="","",SUMIF(V548:V649,G534,AD548:AD649)+SUMIF(Z548:Z649,G534,AB548:AB649))</f>
        <v/>
      </c>
      <c r="Q534" s="989" t="str">
        <f>IF(AK532="","",O534-P534)</f>
        <v/>
      </c>
      <c r="R534"/>
      <c r="S534"/>
      <c r="T534"/>
      <c r="U534"/>
      <c r="V534"/>
      <c r="W534" s="1"/>
      <c r="X534" s="1"/>
      <c r="Y534" s="1"/>
      <c r="Z534"/>
      <c r="AB534" s="964"/>
      <c r="AC534" s="964"/>
      <c r="AD534" s="964"/>
      <c r="AE534" s="964"/>
      <c r="AF534" s="964"/>
      <c r="AG534" s="964"/>
      <c r="AH534" s="964"/>
      <c r="AI534" s="964"/>
      <c r="AJ534" s="964"/>
      <c r="AK534" s="968" t="str">
        <f>IF(AK532="","",SMALL(C533:C545,2))</f>
        <v/>
      </c>
      <c r="AL534"/>
      <c r="AM534" s="16"/>
      <c r="AN534" s="946" t="str">
        <f>IF(AK532="","",INT(AK534/1000))</f>
        <v/>
      </c>
      <c r="AO534" s="42" t="str">
        <f>IF(AK532="","",VLOOKUP(AK534,C533:Q545,5,FALSE))</f>
        <v/>
      </c>
      <c r="AP534" s="42" t="str">
        <f>VLOOKUP(AK534,C533:Q545,8,FALSE)</f>
        <v/>
      </c>
      <c r="AQ534" s="42" t="str">
        <f>VLOOKUP(AK534,C533:Q545,9,FALSE)</f>
        <v/>
      </c>
      <c r="AR534" s="42" t="str">
        <f>VLOOKUP(AK534,C533:Q545,10,FALSE)</f>
        <v/>
      </c>
      <c r="AS534" s="42" t="str">
        <f>VLOOKUP(AK534,C533:Q545,11,FALSE)</f>
        <v/>
      </c>
      <c r="AT534" s="42" t="str">
        <f>VLOOKUP(AK534,C533:Q545,12,FALSE)</f>
        <v/>
      </c>
      <c r="AU534" s="42" t="str">
        <f>VLOOKUP(AK534,C533:Q545,13,FALSE)</f>
        <v/>
      </c>
      <c r="AV534" s="42" t="str">
        <f>VLOOKUP(AK534,C533:Q545,14,FALSE)</f>
        <v/>
      </c>
      <c r="AW534" s="947" t="str">
        <f>VLOOKUP(AK534,C533:Q545,15,FALSE)</f>
        <v/>
      </c>
      <c r="AX534"/>
      <c r="AY534"/>
      <c r="AZ534" s="1"/>
      <c r="BA534" s="1"/>
      <c r="BB534"/>
      <c r="BC534" s="6"/>
      <c r="BD534"/>
      <c r="BE534" s="1"/>
      <c r="BF534"/>
      <c r="BG534" s="16"/>
      <c r="BH534"/>
      <c r="BI534"/>
      <c r="BJ534"/>
      <c r="BK534"/>
      <c r="BL534"/>
      <c r="BM534"/>
      <c r="BN534"/>
      <c r="BO534"/>
      <c r="BP534"/>
      <c r="BQ534"/>
      <c r="BR534"/>
      <c r="BS534"/>
      <c r="BT534"/>
      <c r="BU534"/>
      <c r="BV534"/>
      <c r="BW534"/>
      <c r="BX534"/>
      <c r="BY534"/>
      <c r="BZ534"/>
      <c r="CA534" s="1396"/>
      <c r="CB534" s="1396"/>
      <c r="CC534"/>
      <c r="CD534"/>
      <c r="CE534"/>
    </row>
    <row r="535" spans="1:83" outlineLevel="1" x14ac:dyDescent="0.2">
      <c r="A535"/>
      <c r="B535" s="945">
        <v>3</v>
      </c>
      <c r="C535" s="977" t="str">
        <f>IF(AK532="","",RANK(F535,F533:F545)*1000+ROW())</f>
        <v/>
      </c>
      <c r="D535" s="978" t="str">
        <f t="shared" si="222"/>
        <v/>
      </c>
      <c r="E535" s="978" t="str">
        <f>IF(L535="","",Nb_Diff_Part(D535,D533:D545,G535,G533:G545,AI548:AI649)*CritClassInd_DiffPart+Nb_Goal_Part(D535,D533:D545,G535,G533:G545,V548:Z649)*CritClassInd_GoalPart+Nb_Score_Part(D535,D533:D545,G535,G533:G545,V548:Z649)*CritClassInd_ScorePart)</f>
        <v/>
      </c>
      <c r="F535" s="979" t="str">
        <f t="shared" si="223"/>
        <v/>
      </c>
      <c r="G535" s="39" t="s">
        <v>3912</v>
      </c>
      <c r="H535" s="501">
        <f t="shared" si="220"/>
        <v>0</v>
      </c>
      <c r="I535" s="39"/>
      <c r="J535" s="977" t="str">
        <f>IF(AK532="","",(L535*Points_Victoire)+M535*Points_Null)</f>
        <v/>
      </c>
      <c r="K535" s="988" t="str">
        <f t="shared" si="221"/>
        <v/>
      </c>
      <c r="L535" s="988" t="str">
        <f>IF(AK532="","",COUNTIF(AE548:AE649,G535))</f>
        <v/>
      </c>
      <c r="M535" s="988" t="str">
        <f>IF(AK532="","",COUNTIF(AF548:AG649,G535))</f>
        <v/>
      </c>
      <c r="N535" s="988" t="str">
        <f>IF(AK532="","",COUNTIF(AH548:AH649,G535))</f>
        <v/>
      </c>
      <c r="O535" s="988" t="str">
        <f>IF(AK532="","",SUMIF(V548:V649,G535,AB548:AB649)+SUMIF(Z548:Z649,G535,AD548:AD649))</f>
        <v/>
      </c>
      <c r="P535" s="988" t="str">
        <f>IF(AK532="","",SUMIF(V548:V649,G535,AD548:AD649)+SUMIF(Z548:Z649,G535,AB548:AB649))</f>
        <v/>
      </c>
      <c r="Q535" s="989" t="str">
        <f>IF(AK532="","",O535-P535)</f>
        <v/>
      </c>
      <c r="R535"/>
      <c r="S535"/>
      <c r="T535"/>
      <c r="U535"/>
      <c r="V535"/>
      <c r="W535" s="1"/>
      <c r="X535" s="1"/>
      <c r="Y535" s="1"/>
      <c r="Z535"/>
      <c r="AB535" s="964"/>
      <c r="AC535" s="964"/>
      <c r="AD535" s="964"/>
      <c r="AE535" s="964"/>
      <c r="AF535" s="964"/>
      <c r="AG535" s="964"/>
      <c r="AH535" s="964"/>
      <c r="AI535" s="964"/>
      <c r="AJ535" s="964"/>
      <c r="AK535" s="968" t="str">
        <f>IF(AK532="","",SMALL(C533:C545,3))</f>
        <v/>
      </c>
      <c r="AL535"/>
      <c r="AM535" s="16"/>
      <c r="AN535" s="946" t="str">
        <f>IF(AK532="","",INT(AK535/1000))</f>
        <v/>
      </c>
      <c r="AO535" s="42" t="str">
        <f>IF(AK532="","",VLOOKUP(AK535,C533:Q545,5,FALSE))</f>
        <v/>
      </c>
      <c r="AP535" s="42" t="str">
        <f>VLOOKUP(AK535,C533:Q545,8,FALSE)</f>
        <v/>
      </c>
      <c r="AQ535" s="42" t="str">
        <f>VLOOKUP(AK535,C533:Q545,9,FALSE)</f>
        <v/>
      </c>
      <c r="AR535" s="42" t="str">
        <f>VLOOKUP(AK535,C533:Q545,10,FALSE)</f>
        <v/>
      </c>
      <c r="AS535" s="42" t="str">
        <f>VLOOKUP(AK535,C533:Q545,11,FALSE)</f>
        <v/>
      </c>
      <c r="AT535" s="42" t="str">
        <f>VLOOKUP(AK535,C533:Q545,12,FALSE)</f>
        <v/>
      </c>
      <c r="AU535" s="42" t="str">
        <f>VLOOKUP(AK535,C533:Q545,13,FALSE)</f>
        <v/>
      </c>
      <c r="AV535" s="42" t="str">
        <f>VLOOKUP(AK535,C533:Q545,14,FALSE)</f>
        <v/>
      </c>
      <c r="AW535" s="947" t="str">
        <f>VLOOKUP(AK535,C533:Q545,15,FALSE)</f>
        <v/>
      </c>
      <c r="AX535"/>
      <c r="AY535"/>
      <c r="AZ535" s="1"/>
      <c r="BA535" s="1"/>
      <c r="BB535"/>
      <c r="BC535" s="6"/>
      <c r="BD535"/>
      <c r="BE535" s="1"/>
      <c r="BF535"/>
      <c r="BG535" s="16"/>
      <c r="BH535"/>
      <c r="BI535"/>
      <c r="BJ535"/>
      <c r="BK535"/>
      <c r="BL535"/>
      <c r="BM535"/>
      <c r="BN535"/>
      <c r="BO535"/>
      <c r="BP535"/>
      <c r="BQ535"/>
      <c r="BR535"/>
      <c r="BS535"/>
      <c r="BT535"/>
      <c r="BU535"/>
      <c r="BV535"/>
      <c r="BW535"/>
      <c r="BX535"/>
      <c r="BY535"/>
      <c r="BZ535"/>
      <c r="CA535" s="1396"/>
      <c r="CB535" s="1396"/>
      <c r="CC535"/>
      <c r="CD535"/>
      <c r="CE535"/>
    </row>
    <row r="536" spans="1:83" outlineLevel="1" x14ac:dyDescent="0.2">
      <c r="A536"/>
      <c r="B536" s="945">
        <v>4</v>
      </c>
      <c r="C536" s="977" t="str">
        <f>IF(AK532="","",RANK(F536,F533:F545)*1000+ROW())</f>
        <v/>
      </c>
      <c r="D536" s="978" t="str">
        <f t="shared" si="222"/>
        <v/>
      </c>
      <c r="E536" s="978" t="str">
        <f>IF(L536="","",Nb_Diff_Part(D536,D533:D545,G536,G533:G545,AI548:AI649)*CritClassInd_DiffPart+Nb_Goal_Part(D536,D533:D545,G536,G533:G545,V548:Z649)*CritClassInd_GoalPart+Nb_Score_Part(D536,D533:D545,G536,G533:G545,V548:Z649)*CritClassInd_ScorePart)</f>
        <v/>
      </c>
      <c r="F536" s="979" t="str">
        <f t="shared" si="223"/>
        <v/>
      </c>
      <c r="G536" s="39" t="s">
        <v>2710</v>
      </c>
      <c r="H536" s="501">
        <f t="shared" si="220"/>
        <v>0</v>
      </c>
      <c r="I536" s="39"/>
      <c r="J536" s="977" t="str">
        <f>IF(AK532="","",(L536*Points_Victoire)+M536*Points_Null)</f>
        <v/>
      </c>
      <c r="K536" s="988" t="str">
        <f t="shared" si="221"/>
        <v/>
      </c>
      <c r="L536" s="988" t="str">
        <f>IF(AK532="","",COUNTIF(AE548:AE649,G536))</f>
        <v/>
      </c>
      <c r="M536" s="988" t="str">
        <f>IF(AK532="","",COUNTIF(AF548:AG649,G536))</f>
        <v/>
      </c>
      <c r="N536" s="988" t="str">
        <f>IF(AK532="","",COUNTIF(AH548:AH649,G536))</f>
        <v/>
      </c>
      <c r="O536" s="988" t="str">
        <f>IF(AK532="","",SUMIF(V548:V649,G536,AB548:AB649)+SUMIF(Z548:Z649,G536,AD548:AD649))</f>
        <v/>
      </c>
      <c r="P536" s="988" t="str">
        <f>IF(AK532="","",SUMIF(V548:V649,G536,AD548:AD649)+SUMIF(Z548:Z649,G536,AB548:AB649))</f>
        <v/>
      </c>
      <c r="Q536" s="989" t="str">
        <f>IF(AK532="","",O536-P536)</f>
        <v/>
      </c>
      <c r="R536"/>
      <c r="S536"/>
      <c r="T536"/>
      <c r="U536"/>
      <c r="V536"/>
      <c r="W536" s="1"/>
      <c r="X536" s="1"/>
      <c r="Y536" s="1"/>
      <c r="Z536"/>
      <c r="AB536" s="964"/>
      <c r="AC536" s="964"/>
      <c r="AD536" s="964"/>
      <c r="AE536" s="964"/>
      <c r="AF536" s="964"/>
      <c r="AG536" s="964"/>
      <c r="AH536" s="964"/>
      <c r="AI536" s="964"/>
      <c r="AJ536" s="964"/>
      <c r="AK536" s="968" t="str">
        <f>IF(AK532="","",SMALL(C533:C545,4))</f>
        <v/>
      </c>
      <c r="AL536"/>
      <c r="AM536" s="16"/>
      <c r="AN536" s="946" t="str">
        <f>IF(AK532="","",INT(AK536/1000))</f>
        <v/>
      </c>
      <c r="AO536" s="42" t="str">
        <f>IF(AK532="","",VLOOKUP(AK536,C533:Q545,5,FALSE))</f>
        <v/>
      </c>
      <c r="AP536" s="42" t="str">
        <f>VLOOKUP(AK536,C533:Q545,8,FALSE)</f>
        <v/>
      </c>
      <c r="AQ536" s="42" t="str">
        <f>VLOOKUP(AK536,C533:Q545,9,FALSE)</f>
        <v/>
      </c>
      <c r="AR536" s="42" t="str">
        <f>VLOOKUP(AK536,C533:Q545,10,FALSE)</f>
        <v/>
      </c>
      <c r="AS536" s="42" t="str">
        <f>VLOOKUP(AK536,C533:Q545,11,FALSE)</f>
        <v/>
      </c>
      <c r="AT536" s="42" t="str">
        <f>VLOOKUP(AK536,C533:Q545,12,FALSE)</f>
        <v/>
      </c>
      <c r="AU536" s="42" t="str">
        <f>VLOOKUP(AK536,C533:Q545,13,FALSE)</f>
        <v/>
      </c>
      <c r="AV536" s="42" t="str">
        <f>VLOOKUP(AK536,C533:Q545,14,FALSE)</f>
        <v/>
      </c>
      <c r="AW536" s="947" t="str">
        <f>VLOOKUP(AK536,C533:Q545,15,FALSE)</f>
        <v/>
      </c>
      <c r="AX536"/>
      <c r="AY536"/>
      <c r="AZ536" s="1"/>
      <c r="BA536" s="1"/>
      <c r="BB536"/>
      <c r="BC536" s="6"/>
      <c r="BD536"/>
      <c r="BE536" s="1"/>
      <c r="BF536"/>
      <c r="BG536" s="16"/>
      <c r="BH536"/>
      <c r="BI536"/>
      <c r="BJ536"/>
      <c r="BK536"/>
      <c r="BL536"/>
      <c r="BM536"/>
      <c r="BN536"/>
      <c r="BO536"/>
      <c r="BP536"/>
      <c r="BQ536"/>
      <c r="BR536"/>
      <c r="BS536"/>
      <c r="BT536"/>
      <c r="BU536"/>
      <c r="BV536"/>
      <c r="BW536"/>
      <c r="BX536"/>
      <c r="BY536"/>
      <c r="BZ536"/>
      <c r="CA536" s="1396"/>
      <c r="CB536" s="1396"/>
      <c r="CC536"/>
      <c r="CD536"/>
      <c r="CE536"/>
    </row>
    <row r="537" spans="1:83" outlineLevel="1" x14ac:dyDescent="0.2">
      <c r="A537"/>
      <c r="B537" s="945">
        <v>5</v>
      </c>
      <c r="C537" s="977" t="str">
        <f>IF(AK532="","",RANK(F537,F533:F545)*1000+ROW())</f>
        <v/>
      </c>
      <c r="D537" s="978" t="str">
        <f t="shared" si="222"/>
        <v/>
      </c>
      <c r="E537" s="978" t="str">
        <f>IF(L537="","",Nb_Diff_Part(D537,D533:D545,G537,G533:G545,AI548:AI649)*CritClassInd_DiffPart+Nb_Goal_Part(D537,D533:D545,G537,G533:G545,V548:Z649)*CritClassInd_GoalPart+Nb_Score_Part(D537,D533:D545,G537,G533:G545,V548:Z649)*CritClassInd_ScorePart)</f>
        <v/>
      </c>
      <c r="F537" s="979" t="str">
        <f t="shared" si="223"/>
        <v/>
      </c>
      <c r="G537" s="39" t="s">
        <v>3913</v>
      </c>
      <c r="H537" s="501">
        <f t="shared" si="220"/>
        <v>0</v>
      </c>
      <c r="I537" s="39"/>
      <c r="J537" s="977" t="str">
        <f>IF(AK532="","",(L537*Points_Victoire)+M537*Points_Null)</f>
        <v/>
      </c>
      <c r="K537" s="988" t="str">
        <f t="shared" si="221"/>
        <v/>
      </c>
      <c r="L537" s="988" t="str">
        <f>IF(AK532="","",COUNTIF(AE548:AE649,G537))</f>
        <v/>
      </c>
      <c r="M537" s="988" t="str">
        <f>IF(AK532="","",COUNTIF(AF548:AG649,G537))</f>
        <v/>
      </c>
      <c r="N537" s="988" t="str">
        <f>IF(AK532="","",COUNTIF(AH548:AH649,G537))</f>
        <v/>
      </c>
      <c r="O537" s="988" t="str">
        <f>IF(AK532="","",SUMIF(V548:V649,G537,AB548:AB649)+SUMIF(Z548:Z649,G537,AD548:AD649))</f>
        <v/>
      </c>
      <c r="P537" s="988" t="str">
        <f>IF(AK532="","",SUMIF(V548:V649,G537,AD548:AD649)+SUMIF(Z548:Z649,G537,AB548:AB649))</f>
        <v/>
      </c>
      <c r="Q537" s="989" t="str">
        <f>IF(AK532="","",O537-P537)</f>
        <v/>
      </c>
      <c r="R537"/>
      <c r="S537"/>
      <c r="T537"/>
      <c r="U537"/>
      <c r="V537"/>
      <c r="W537" s="1"/>
      <c r="X537" s="1"/>
      <c r="Y537" s="1"/>
      <c r="Z537"/>
      <c r="AB537" s="964"/>
      <c r="AC537" s="964"/>
      <c r="AD537" s="964"/>
      <c r="AE537" s="964"/>
      <c r="AF537" s="964"/>
      <c r="AG537" s="964"/>
      <c r="AH537" s="964"/>
      <c r="AI537" s="964"/>
      <c r="AJ537" s="964"/>
      <c r="AK537" s="968" t="str">
        <f>IF(AK532="","",SMALL(C533:C545,5))</f>
        <v/>
      </c>
      <c r="AL537"/>
      <c r="AM537" s="16"/>
      <c r="AN537" s="946" t="str">
        <f>IF(AK532="","",INT(AK537/1000))</f>
        <v/>
      </c>
      <c r="AO537" s="42" t="str">
        <f>IF(AK532="","",VLOOKUP(AK537,C533:Q545,5,FALSE))</f>
        <v/>
      </c>
      <c r="AP537" s="42" t="str">
        <f>VLOOKUP(AK537,C533:Q545,8,FALSE)</f>
        <v/>
      </c>
      <c r="AQ537" s="42" t="str">
        <f>VLOOKUP(AK537,C533:Q545,9,FALSE)</f>
        <v/>
      </c>
      <c r="AR537" s="42" t="str">
        <f>VLOOKUP(AK537,C533:Q545,10,FALSE)</f>
        <v/>
      </c>
      <c r="AS537" s="42" t="str">
        <f>VLOOKUP(AK537,C533:Q545,11,FALSE)</f>
        <v/>
      </c>
      <c r="AT537" s="42" t="str">
        <f>VLOOKUP(AK537,C533:Q545,12,FALSE)</f>
        <v/>
      </c>
      <c r="AU537" s="42" t="str">
        <f>VLOOKUP(AK537,C533:Q545,13,FALSE)</f>
        <v/>
      </c>
      <c r="AV537" s="42" t="str">
        <f>VLOOKUP(AK537,C533:Q545,14,FALSE)</f>
        <v/>
      </c>
      <c r="AW537" s="947" t="str">
        <f>VLOOKUP(AK537,C533:Q545,15,FALSE)</f>
        <v/>
      </c>
      <c r="AX537"/>
      <c r="AY537"/>
      <c r="AZ537" s="1"/>
      <c r="BA537" s="1"/>
      <c r="BB537"/>
      <c r="BC537" s="6"/>
      <c r="BD537"/>
      <c r="BE537" s="1"/>
      <c r="BF537"/>
      <c r="BG537" s="16"/>
      <c r="BH537"/>
      <c r="BI537"/>
      <c r="BJ537"/>
      <c r="BK537"/>
      <c r="BL537"/>
      <c r="BM537"/>
      <c r="BN537"/>
      <c r="BO537"/>
      <c r="BP537"/>
      <c r="BQ537"/>
      <c r="BR537"/>
      <c r="BS537"/>
      <c r="BT537"/>
      <c r="BU537"/>
      <c r="BV537"/>
      <c r="BW537"/>
      <c r="BX537"/>
      <c r="BY537"/>
      <c r="BZ537"/>
      <c r="CA537" s="1396"/>
      <c r="CB537" s="1396"/>
      <c r="CC537"/>
      <c r="CD537"/>
      <c r="CE537"/>
    </row>
    <row r="538" spans="1:83" outlineLevel="1" x14ac:dyDescent="0.2">
      <c r="A538"/>
      <c r="B538" s="945">
        <v>6</v>
      </c>
      <c r="C538" s="977" t="str">
        <f>IF(AK532="","",RANK(F538,F533:F545)*1000+ROW())</f>
        <v/>
      </c>
      <c r="D538" s="978" t="str">
        <f t="shared" si="222"/>
        <v/>
      </c>
      <c r="E538" s="978" t="str">
        <f>IF(L538="","",Nb_Diff_Part(D538,D533:D545,G538,G533:G545,AI548:AI649)*CritClassInd_DiffPart+Nb_Goal_Part(D538,D533:D545,G538,G533:G545,V548:Z649)*CritClassInd_GoalPart+Nb_Score_Part(D538,D533:D545,G538,G533:G545,V548:Z649)*CritClassInd_ScorePart)</f>
        <v/>
      </c>
      <c r="F538" s="979" t="str">
        <f t="shared" si="223"/>
        <v/>
      </c>
      <c r="G538" s="39" t="s">
        <v>2711</v>
      </c>
      <c r="H538" s="501">
        <f t="shared" si="220"/>
        <v>0</v>
      </c>
      <c r="I538" s="39"/>
      <c r="J538" s="977" t="str">
        <f>IF(AK532="","",(L538*Points_Victoire)+M538*Points_Null)</f>
        <v/>
      </c>
      <c r="K538" s="988" t="str">
        <f t="shared" si="221"/>
        <v/>
      </c>
      <c r="L538" s="988" t="str">
        <f>IF(AK532="","",COUNTIF(AE548:AE649,G538))</f>
        <v/>
      </c>
      <c r="M538" s="988" t="str">
        <f>IF(AK532="","",COUNTIF(AF548:AG649,G538))</f>
        <v/>
      </c>
      <c r="N538" s="988" t="str">
        <f>IF(AK532="","",COUNTIF(AH548:AH649,G538))</f>
        <v/>
      </c>
      <c r="O538" s="988" t="str">
        <f>IF(AK532="","",SUMIF(V548:V649,G538,AB548:AB649)+SUMIF(Z548:Z649,G538,AD548:AD649))</f>
        <v/>
      </c>
      <c r="P538" s="988" t="str">
        <f>IF(AK532="","",SUMIF(V548:V649,G538,AD548:AD649)+SUMIF(Z548:Z649,G538,AB548:AB649))</f>
        <v/>
      </c>
      <c r="Q538" s="989" t="str">
        <f>IF(AK532="","",O538-P538)</f>
        <v/>
      </c>
      <c r="R538"/>
      <c r="S538"/>
      <c r="T538"/>
      <c r="U538"/>
      <c r="V538"/>
      <c r="W538" s="1"/>
      <c r="X538" s="1"/>
      <c r="Y538" s="1"/>
      <c r="Z538"/>
      <c r="AB538" s="964"/>
      <c r="AC538" s="964"/>
      <c r="AD538" s="964"/>
      <c r="AE538" s="964"/>
      <c r="AF538" s="964"/>
      <c r="AG538" s="964"/>
      <c r="AH538" s="964"/>
      <c r="AI538" s="964"/>
      <c r="AJ538" s="964"/>
      <c r="AK538" s="968" t="str">
        <f>IF(AK532="","",SMALL(C533:C545,6))</f>
        <v/>
      </c>
      <c r="AL538"/>
      <c r="AM538" s="16"/>
      <c r="AN538" s="946" t="str">
        <f>IF(AK532="","",INT(AK538/1000))</f>
        <v/>
      </c>
      <c r="AO538" s="42" t="str">
        <f>IF(AK532="","",VLOOKUP(AK538,C533:Q545,5,FALSE))</f>
        <v/>
      </c>
      <c r="AP538" s="42" t="str">
        <f>VLOOKUP(AK538,C533:Q545,8,FALSE)</f>
        <v/>
      </c>
      <c r="AQ538" s="42" t="str">
        <f>VLOOKUP(AK538,C533:Q545,9,FALSE)</f>
        <v/>
      </c>
      <c r="AR538" s="42" t="str">
        <f>VLOOKUP(AK538,C533:Q545,10,FALSE)</f>
        <v/>
      </c>
      <c r="AS538" s="42" t="str">
        <f>VLOOKUP(AK538,C533:Q545,11,FALSE)</f>
        <v/>
      </c>
      <c r="AT538" s="42" t="str">
        <f>VLOOKUP(AK538,C533:Q545,12,FALSE)</f>
        <v/>
      </c>
      <c r="AU538" s="42" t="str">
        <f>VLOOKUP(AK538,C533:Q545,13,FALSE)</f>
        <v/>
      </c>
      <c r="AV538" s="42" t="str">
        <f>VLOOKUP(AK538,C533:Q545,14,FALSE)</f>
        <v/>
      </c>
      <c r="AW538" s="947" t="str">
        <f>VLOOKUP(AK538,C533:Q545,15,FALSE)</f>
        <v/>
      </c>
      <c r="AX538"/>
      <c r="AY538"/>
      <c r="AZ538" s="1"/>
      <c r="BA538" s="1"/>
      <c r="BB538"/>
      <c r="BC538" s="6"/>
      <c r="BD538"/>
      <c r="BE538" s="1"/>
      <c r="BF538"/>
      <c r="BG538" s="16"/>
      <c r="BH538"/>
      <c r="BI538"/>
      <c r="BJ538"/>
      <c r="BK538"/>
      <c r="BL538"/>
      <c r="BM538"/>
      <c r="BN538"/>
      <c r="BO538"/>
      <c r="BP538"/>
      <c r="BQ538"/>
      <c r="BR538"/>
      <c r="BS538"/>
      <c r="BT538"/>
      <c r="BU538"/>
      <c r="BV538"/>
      <c r="BW538"/>
      <c r="BX538"/>
      <c r="BY538"/>
      <c r="BZ538"/>
      <c r="CA538" s="1396"/>
      <c r="CB538" s="1396"/>
      <c r="CC538"/>
      <c r="CD538"/>
      <c r="CE538"/>
    </row>
    <row r="539" spans="1:83" outlineLevel="1" x14ac:dyDescent="0.2">
      <c r="A539"/>
      <c r="B539" s="945">
        <v>7</v>
      </c>
      <c r="C539" s="977" t="str">
        <f>IF(AK532="","",RANK(F539,F533:F545)*1000+ROW())</f>
        <v/>
      </c>
      <c r="D539" s="978" t="str">
        <f t="shared" si="222"/>
        <v/>
      </c>
      <c r="E539" s="978" t="str">
        <f>IF(L539="","",Nb_Diff_Part(D539,D533:D545,G539,G533:G545,AI548:AI649)*CritClassInd_DiffPart+Nb_Goal_Part(D539,D533:D545,G539,G533:G545,V548:Z649)*CritClassInd_GoalPart+Nb_Score_Part(D539,D533:D545,G539,G533:G545,V548:Z649)*CritClassInd_ScorePart)</f>
        <v/>
      </c>
      <c r="F539" s="979" t="str">
        <f t="shared" si="223"/>
        <v/>
      </c>
      <c r="G539" s="39" t="s">
        <v>790</v>
      </c>
      <c r="H539" s="501">
        <f t="shared" si="220"/>
        <v>0</v>
      </c>
      <c r="I539" s="39"/>
      <c r="J539" s="977" t="str">
        <f>IF(AK532="","",(L539*Points_Victoire)+M539*Points_Null)</f>
        <v/>
      </c>
      <c r="K539" s="988" t="str">
        <f t="shared" si="221"/>
        <v/>
      </c>
      <c r="L539" s="988" t="str">
        <f>IF(AK532="","",COUNTIF(AE548:AE649,G539))</f>
        <v/>
      </c>
      <c r="M539" s="988" t="str">
        <f>IF(AK532="","",COUNTIF(AF548:AG649,G539))</f>
        <v/>
      </c>
      <c r="N539" s="988" t="str">
        <f>IF(AK532="","",COUNTIF(AH548:AH649,G539))</f>
        <v/>
      </c>
      <c r="O539" s="988" t="str">
        <f>IF(AK532="","",SUMIF(V548:V649,G539,AB548:AB649)+SUMIF(Z548:Z649,G539,AD548:AD649))</f>
        <v/>
      </c>
      <c r="P539" s="988" t="str">
        <f>IF(AK532="","",SUMIF(V548:V649,G539,AD548:AD649)+SUMIF(Z548:Z649,G539,AB548:AB649))</f>
        <v/>
      </c>
      <c r="Q539" s="989" t="str">
        <f>IF(AK532="","",O539-P539)</f>
        <v/>
      </c>
      <c r="R539"/>
      <c r="S539"/>
      <c r="T539"/>
      <c r="U539"/>
      <c r="V539"/>
      <c r="W539" s="1"/>
      <c r="X539" s="1"/>
      <c r="Y539" s="1"/>
      <c r="Z539"/>
      <c r="AB539" s="964"/>
      <c r="AC539" s="964"/>
      <c r="AD539" s="964"/>
      <c r="AE539" s="964"/>
      <c r="AF539" s="964"/>
      <c r="AG539" s="964"/>
      <c r="AH539" s="964"/>
      <c r="AI539" s="964"/>
      <c r="AJ539" s="964"/>
      <c r="AK539" s="968" t="str">
        <f>IF(AK532="","",SMALL(C533:C545,7))</f>
        <v/>
      </c>
      <c r="AL539"/>
      <c r="AM539" s="16"/>
      <c r="AN539" s="946" t="str">
        <f>IF(AK532="","",INT(AK539/1000))</f>
        <v/>
      </c>
      <c r="AO539" s="42" t="str">
        <f>IF(AK532="","",VLOOKUP(AK539,C533:Q545,5,FALSE))</f>
        <v/>
      </c>
      <c r="AP539" s="42" t="str">
        <f>VLOOKUP(AK539,C533:Q545,8,FALSE)</f>
        <v/>
      </c>
      <c r="AQ539" s="42" t="str">
        <f>VLOOKUP(AK539,C533:Q545,9,FALSE)</f>
        <v/>
      </c>
      <c r="AR539" s="42" t="str">
        <f>VLOOKUP(AK539,C533:Q545,10,FALSE)</f>
        <v/>
      </c>
      <c r="AS539" s="42" t="str">
        <f>VLOOKUP(AK539,C533:Q545,11,FALSE)</f>
        <v/>
      </c>
      <c r="AT539" s="42" t="str">
        <f>VLOOKUP(AK539,C533:Q545,12,FALSE)</f>
        <v/>
      </c>
      <c r="AU539" s="42" t="str">
        <f>VLOOKUP(AK539,C533:Q545,13,FALSE)</f>
        <v/>
      </c>
      <c r="AV539" s="42" t="str">
        <f>VLOOKUP(AK539,C533:Q545,14,FALSE)</f>
        <v/>
      </c>
      <c r="AW539" s="947" t="str">
        <f>VLOOKUP(AK539,C533:Q545,15,FALSE)</f>
        <v/>
      </c>
      <c r="AX539"/>
      <c r="AY539"/>
      <c r="AZ539" s="1"/>
      <c r="BA539" s="1"/>
      <c r="BB539"/>
      <c r="BC539" s="6"/>
      <c r="BD539"/>
      <c r="BE539" s="1"/>
      <c r="BF539"/>
      <c r="BG539" s="16"/>
      <c r="BH539"/>
      <c r="BI539"/>
      <c r="BJ539"/>
      <c r="BK539"/>
      <c r="BL539"/>
      <c r="BM539"/>
      <c r="BN539"/>
      <c r="BO539"/>
      <c r="BP539"/>
      <c r="BQ539"/>
      <c r="BR539"/>
      <c r="BS539"/>
      <c r="BT539"/>
      <c r="BU539"/>
      <c r="BV539"/>
      <c r="BW539"/>
      <c r="BX539"/>
      <c r="BY539"/>
      <c r="BZ539"/>
      <c r="CA539" s="1396"/>
      <c r="CB539" s="1396"/>
      <c r="CC539"/>
      <c r="CD539"/>
      <c r="CE539"/>
    </row>
    <row r="540" spans="1:83" outlineLevel="1" x14ac:dyDescent="0.2">
      <c r="A540"/>
      <c r="B540" s="945">
        <v>8</v>
      </c>
      <c r="C540" s="977" t="str">
        <f>IF(AK532="","",RANK(F540,F533:F545)*1000+ROW())</f>
        <v/>
      </c>
      <c r="D540" s="978" t="str">
        <f t="shared" si="222"/>
        <v/>
      </c>
      <c r="E540" s="978" t="str">
        <f>IF(L540="","",Nb_Diff_Part(D540,D533:D545,G540,G533:G545,AI548:AI649)*CritClassInd_DiffPart+Nb_Goal_Part(D540,D533:D545,G540,G533:G545,V548:Z649)*CritClassInd_GoalPart+Nb_Score_Part(D540,D533:D545,G540,G533:G545,V548:Z649)*CritClassInd_ScorePart)</f>
        <v/>
      </c>
      <c r="F540" s="979" t="str">
        <f t="shared" si="223"/>
        <v/>
      </c>
      <c r="G540" s="39" t="s">
        <v>3914</v>
      </c>
      <c r="H540" s="501">
        <f t="shared" si="220"/>
        <v>0</v>
      </c>
      <c r="I540" s="39"/>
      <c r="J540" s="977" t="str">
        <f>IF(AK532="","",(L540*Points_Victoire)+M540*Points_Null)</f>
        <v/>
      </c>
      <c r="K540" s="988" t="str">
        <f t="shared" si="221"/>
        <v/>
      </c>
      <c r="L540" s="988" t="str">
        <f>IF(AK532="","",COUNTIF(AE548:AE649,G540))</f>
        <v/>
      </c>
      <c r="M540" s="988" t="str">
        <f>IF(AK532="","",COUNTIF(AF548:AG649,G540))</f>
        <v/>
      </c>
      <c r="N540" s="988" t="str">
        <f>IF(AK532="","",COUNTIF(AH548:AH649,G540))</f>
        <v/>
      </c>
      <c r="O540" s="988" t="str">
        <f>IF(AK532="","",SUMIF(V548:V649,G540,AB548:AB649)+SUMIF(Z548:Z649,G540,AD548:AD649))</f>
        <v/>
      </c>
      <c r="P540" s="988" t="str">
        <f>IF(AK532="","",SUMIF(V548:V649,G540,AD548:AD649)+SUMIF(Z548:Z649,G540,AB548:AB649))</f>
        <v/>
      </c>
      <c r="Q540" s="989" t="str">
        <f>IF(AK532="","",O540-P540)</f>
        <v/>
      </c>
      <c r="R540"/>
      <c r="S540"/>
      <c r="T540"/>
      <c r="U540"/>
      <c r="V540"/>
      <c r="W540" s="1"/>
      <c r="X540" s="1"/>
      <c r="Y540" s="1"/>
      <c r="Z540"/>
      <c r="AB540" s="964"/>
      <c r="AC540" s="964"/>
      <c r="AD540" s="964"/>
      <c r="AE540" s="964"/>
      <c r="AF540" s="964"/>
      <c r="AG540" s="964"/>
      <c r="AH540" s="964"/>
      <c r="AI540" s="964"/>
      <c r="AJ540" s="964"/>
      <c r="AK540" s="968" t="str">
        <f>IF(AK532="","",SMALL(C533:C545,8))</f>
        <v/>
      </c>
      <c r="AL540"/>
      <c r="AM540" s="16"/>
      <c r="AN540" s="946" t="str">
        <f>IF(AK532="","",INT(AK540/1000))</f>
        <v/>
      </c>
      <c r="AO540" s="42" t="str">
        <f>IF(AK532="","",VLOOKUP(AK540,C533:Q545,5,FALSE))</f>
        <v/>
      </c>
      <c r="AP540" s="42" t="str">
        <f>VLOOKUP(AK540,C533:Q545,8,FALSE)</f>
        <v/>
      </c>
      <c r="AQ540" s="42" t="str">
        <f>VLOOKUP(AK540,C533:Q545,9,FALSE)</f>
        <v/>
      </c>
      <c r="AR540" s="42" t="str">
        <f>VLOOKUP(AK540,C533:Q545,10,FALSE)</f>
        <v/>
      </c>
      <c r="AS540" s="42" t="str">
        <f>VLOOKUP(AK540,C533:Q545,11,FALSE)</f>
        <v/>
      </c>
      <c r="AT540" s="42" t="str">
        <f>VLOOKUP(AK540,C533:Q545,12,FALSE)</f>
        <v/>
      </c>
      <c r="AU540" s="42" t="str">
        <f>VLOOKUP(AK540,C533:Q545,13,FALSE)</f>
        <v/>
      </c>
      <c r="AV540" s="42" t="str">
        <f>VLOOKUP(AK540,C533:Q545,14,FALSE)</f>
        <v/>
      </c>
      <c r="AW540" s="947" t="str">
        <f>VLOOKUP(AK540,C533:Q545,15,FALSE)</f>
        <v/>
      </c>
      <c r="AX540"/>
      <c r="AY540"/>
      <c r="AZ540" s="1"/>
      <c r="BA540" s="1"/>
      <c r="BB540"/>
      <c r="BC540" s="6"/>
      <c r="BD540"/>
      <c r="BE540" s="1"/>
      <c r="BF540"/>
      <c r="BG540" s="16"/>
      <c r="BH540"/>
      <c r="BI540"/>
      <c r="BJ540"/>
      <c r="BK540"/>
      <c r="BL540"/>
      <c r="BM540"/>
      <c r="BN540"/>
      <c r="BO540"/>
      <c r="BP540"/>
      <c r="BQ540"/>
      <c r="BR540"/>
      <c r="BS540"/>
      <c r="BT540"/>
      <c r="BU540"/>
      <c r="BV540"/>
      <c r="BW540"/>
      <c r="BX540"/>
      <c r="BY540"/>
      <c r="BZ540"/>
      <c r="CA540" s="1396"/>
      <c r="CB540" s="1396"/>
      <c r="CC540"/>
      <c r="CD540"/>
      <c r="CE540"/>
    </row>
    <row r="541" spans="1:83" outlineLevel="1" x14ac:dyDescent="0.2">
      <c r="A541"/>
      <c r="B541" s="945">
        <v>9</v>
      </c>
      <c r="C541" s="977" t="str">
        <f>IF(AK532="","",RANK(F541,F533:F545)*1000+ROW())</f>
        <v/>
      </c>
      <c r="D541" s="978" t="str">
        <f t="shared" si="222"/>
        <v/>
      </c>
      <c r="E541" s="978" t="str">
        <f>IF(L541="","",Nb_Diff_Part(D541,D533:D545,G541,G533:G545,AI548:AI649)*CritClassInd_DiffPart+Nb_Goal_Part(D541,D533:D545,G541,G533:G545,V548:Z649)*CritClassInd_GoalPart+Nb_Score_Part(D541,D533:D545,G541,G533:G545,V548:Z649)*CritClassInd_ScorePart)</f>
        <v/>
      </c>
      <c r="F541" s="979" t="str">
        <f t="shared" si="223"/>
        <v/>
      </c>
      <c r="G541" s="39" t="s">
        <v>3915</v>
      </c>
      <c r="H541" s="501">
        <f t="shared" si="220"/>
        <v>0</v>
      </c>
      <c r="I541" s="39"/>
      <c r="J541" s="977" t="str">
        <f>IF(AK532="","",(L541*Points_Victoire)+M541*Points_Null)</f>
        <v/>
      </c>
      <c r="K541" s="988" t="str">
        <f t="shared" si="221"/>
        <v/>
      </c>
      <c r="L541" s="988" t="str">
        <f>IF(AK532="","",COUNTIF(AE548:AE649,G541))</f>
        <v/>
      </c>
      <c r="M541" s="988" t="str">
        <f>IF(AK532="","",COUNTIF(AF548:AG649,G541))</f>
        <v/>
      </c>
      <c r="N541" s="988" t="str">
        <f>IF(AK532="","",COUNTIF(AH548:AH649,G541))</f>
        <v/>
      </c>
      <c r="O541" s="988" t="str">
        <f>IF(AK532="","",SUMIF(V548:V649,G541,AB548:AB649)+SUMIF(Z548:Z649,G541,AD548:AD649))</f>
        <v/>
      </c>
      <c r="P541" s="988" t="str">
        <f>IF(AK532="","",SUMIF(V548:V649,G541,AD548:AD649)+SUMIF(Z548:Z649,G541,AB548:AB649))</f>
        <v/>
      </c>
      <c r="Q541" s="989" t="str">
        <f>IF(AK532="","",O541-P541)</f>
        <v/>
      </c>
      <c r="R541"/>
      <c r="S541"/>
      <c r="T541"/>
      <c r="U541"/>
      <c r="V541"/>
      <c r="W541" s="1"/>
      <c r="X541" s="1"/>
      <c r="Y541" s="1"/>
      <c r="Z541"/>
      <c r="AB541" s="964"/>
      <c r="AC541" s="964"/>
      <c r="AD541" s="964"/>
      <c r="AE541" s="964"/>
      <c r="AF541" s="964"/>
      <c r="AG541" s="964"/>
      <c r="AH541" s="964"/>
      <c r="AI541" s="964"/>
      <c r="AJ541" s="964"/>
      <c r="AK541" s="968" t="str">
        <f>IF(AK532="","",SMALL(C533:C545,9))</f>
        <v/>
      </c>
      <c r="AL541"/>
      <c r="AM541" s="16"/>
      <c r="AN541" s="946" t="str">
        <f>IF(AK532="","",INT(AK541/1000))</f>
        <v/>
      </c>
      <c r="AO541" s="42" t="str">
        <f>IF(AK532="","",VLOOKUP(AK541,C533:Q545,5,FALSE))</f>
        <v/>
      </c>
      <c r="AP541" s="42" t="str">
        <f>VLOOKUP(AK541,C533:Q545,8,FALSE)</f>
        <v/>
      </c>
      <c r="AQ541" s="42" t="str">
        <f>VLOOKUP(AK541,C533:Q545,9,FALSE)</f>
        <v/>
      </c>
      <c r="AR541" s="42" t="str">
        <f>VLOOKUP(AK541,C533:Q545,10,FALSE)</f>
        <v/>
      </c>
      <c r="AS541" s="42" t="str">
        <f>VLOOKUP(AK541,C533:Q545,11,FALSE)</f>
        <v/>
      </c>
      <c r="AT541" s="42" t="str">
        <f>VLOOKUP(AK541,C533:Q545,12,FALSE)</f>
        <v/>
      </c>
      <c r="AU541" s="42" t="str">
        <f>VLOOKUP(AK541,C533:Q545,13,FALSE)</f>
        <v/>
      </c>
      <c r="AV541" s="42" t="str">
        <f>VLOOKUP(AK541,C533:Q545,14,FALSE)</f>
        <v/>
      </c>
      <c r="AW541" s="947" t="str">
        <f>VLOOKUP(AK541,C533:Q545,15,FALSE)</f>
        <v/>
      </c>
      <c r="AX541"/>
      <c r="AY541"/>
      <c r="AZ541" s="1"/>
      <c r="BA541" s="1"/>
      <c r="BB541"/>
      <c r="BC541" s="6"/>
      <c r="BD541"/>
      <c r="BE541" s="1"/>
      <c r="BF541"/>
      <c r="BG541" s="16"/>
      <c r="BH541"/>
      <c r="BI541"/>
      <c r="BJ541"/>
      <c r="BK541"/>
      <c r="BL541"/>
      <c r="BM541"/>
      <c r="BN541"/>
      <c r="BO541"/>
      <c r="BP541"/>
      <c r="BQ541"/>
      <c r="BR541"/>
      <c r="BS541"/>
      <c r="BT541"/>
      <c r="BU541"/>
      <c r="BV541"/>
      <c r="BW541"/>
      <c r="BX541"/>
      <c r="BY541"/>
      <c r="BZ541"/>
      <c r="CA541" s="1396"/>
      <c r="CB541" s="1396"/>
      <c r="CC541"/>
      <c r="CD541"/>
      <c r="CE541"/>
    </row>
    <row r="542" spans="1:83" outlineLevel="1" x14ac:dyDescent="0.2">
      <c r="A542"/>
      <c r="B542" s="945">
        <v>10</v>
      </c>
      <c r="C542" s="977" t="str">
        <f>IF(AK532="","",RANK(F542,F533:F545)*1000+ROW())</f>
        <v/>
      </c>
      <c r="D542" s="978" t="str">
        <f t="shared" si="222"/>
        <v/>
      </c>
      <c r="E542" s="978" t="str">
        <f>IF(L542="","",Nb_Diff_Part(D542,D533:D545,G542,G533:G545,AI548:AI649)*CritClassInd_DiffPart+Nb_Goal_Part(D542,D533:D545,G542,G533:G545,V548:Z649)*CritClassInd_GoalPart+Nb_Score_Part(D542,D533:D545,G542,G533:G545,V548:Z649)*CritClassInd_ScorePart)</f>
        <v/>
      </c>
      <c r="F542" s="979" t="str">
        <f t="shared" si="223"/>
        <v/>
      </c>
      <c r="G542" s="39" t="s">
        <v>789</v>
      </c>
      <c r="H542" s="501">
        <f t="shared" si="220"/>
        <v>0</v>
      </c>
      <c r="I542" s="39"/>
      <c r="J542" s="977" t="str">
        <f>IF(AK532="","",(L542*Points_Victoire)+M542*Points_Null)</f>
        <v/>
      </c>
      <c r="K542" s="988" t="str">
        <f t="shared" si="221"/>
        <v/>
      </c>
      <c r="L542" s="988" t="str">
        <f>IF(AK532="","",COUNTIF(AE548:AE649,G542))</f>
        <v/>
      </c>
      <c r="M542" s="988" t="str">
        <f>IF(AK532="","",COUNTIF(AF548:AG649,G542))</f>
        <v/>
      </c>
      <c r="N542" s="988" t="str">
        <f>IF(AK532="","",COUNTIF(AH548:AH649,G542))</f>
        <v/>
      </c>
      <c r="O542" s="988" t="str">
        <f>IF(AK532="","",SUMIF(V548:V649,G542,AB548:AB649)+SUMIF(Z548:Z649,G542,AD548:AD649))</f>
        <v/>
      </c>
      <c r="P542" s="988" t="str">
        <f>IF(AK532="","",SUMIF(V548:V649,G542,AD548:AD649)+SUMIF(Z548:Z649,G542,AB548:AB649))</f>
        <v/>
      </c>
      <c r="Q542" s="989" t="str">
        <f>IF(AK532="","",O542-P542)</f>
        <v/>
      </c>
      <c r="R542"/>
      <c r="S542"/>
      <c r="T542"/>
      <c r="U542"/>
      <c r="V542"/>
      <c r="W542" s="1"/>
      <c r="X542" s="1"/>
      <c r="Y542" s="1"/>
      <c r="Z542"/>
      <c r="AB542" s="964"/>
      <c r="AC542" s="964"/>
      <c r="AD542" s="964"/>
      <c r="AE542" s="964"/>
      <c r="AF542" s="964"/>
      <c r="AG542" s="964"/>
      <c r="AH542" s="964"/>
      <c r="AI542" s="964"/>
      <c r="AJ542" s="964"/>
      <c r="AK542" s="968" t="str">
        <f>IF(AK532="","",SMALL(C533:C545,10))</f>
        <v/>
      </c>
      <c r="AL542"/>
      <c r="AM542" s="16"/>
      <c r="AN542" s="946" t="str">
        <f>IF(AK532="","",INT(AK542/1000))</f>
        <v/>
      </c>
      <c r="AO542" s="42" t="str">
        <f>IF(AK532="","",VLOOKUP(AK542,C533:Q545,5,FALSE))</f>
        <v/>
      </c>
      <c r="AP542" s="42" t="str">
        <f>VLOOKUP(AK542,C533:Q545,8,FALSE)</f>
        <v/>
      </c>
      <c r="AQ542" s="42" t="str">
        <f>VLOOKUP(AK542,C533:Q545,9,FALSE)</f>
        <v/>
      </c>
      <c r="AR542" s="42" t="str">
        <f>VLOOKUP(AK542,C533:Q545,10,FALSE)</f>
        <v/>
      </c>
      <c r="AS542" s="42" t="str">
        <f>VLOOKUP(AK542,C533:Q545,11,FALSE)</f>
        <v/>
      </c>
      <c r="AT542" s="42" t="str">
        <f>VLOOKUP(AK542,C533:Q545,12,FALSE)</f>
        <v/>
      </c>
      <c r="AU542" s="42" t="str">
        <f>VLOOKUP(AK542,C533:Q545,13,FALSE)</f>
        <v/>
      </c>
      <c r="AV542" s="42" t="str">
        <f>VLOOKUP(AK542,C533:Q545,14,FALSE)</f>
        <v/>
      </c>
      <c r="AW542" s="947" t="str">
        <f>VLOOKUP(AK542,C533:Q545,15,FALSE)</f>
        <v/>
      </c>
      <c r="AX542"/>
      <c r="AY542"/>
      <c r="AZ542" s="1"/>
      <c r="BA542" s="1"/>
      <c r="BB542"/>
      <c r="BC542" s="6"/>
      <c r="BD542"/>
      <c r="BE542" s="1"/>
      <c r="BF542"/>
      <c r="BG542" s="16"/>
      <c r="BH542"/>
      <c r="BI542"/>
      <c r="BJ542"/>
      <c r="BK542"/>
      <c r="BL542"/>
      <c r="BM542"/>
      <c r="BN542"/>
      <c r="BO542"/>
      <c r="BP542"/>
      <c r="BQ542"/>
      <c r="BR542"/>
      <c r="BS542"/>
      <c r="BT542"/>
      <c r="BU542"/>
      <c r="BV542"/>
      <c r="BW542"/>
      <c r="BX542"/>
      <c r="BY542"/>
      <c r="BZ542"/>
      <c r="CA542" s="1396"/>
      <c r="CB542" s="1396"/>
      <c r="CC542"/>
      <c r="CD542"/>
      <c r="CE542"/>
    </row>
    <row r="543" spans="1:83" outlineLevel="1" x14ac:dyDescent="0.2">
      <c r="A543"/>
      <c r="B543" s="945">
        <v>11</v>
      </c>
      <c r="C543" s="977" t="str">
        <f>IF(AK532="","",RANK(F543,F533:F545)*1000+ROW())</f>
        <v/>
      </c>
      <c r="D543" s="978" t="str">
        <f t="shared" si="222"/>
        <v/>
      </c>
      <c r="E543" s="978" t="str">
        <f>IF(L543="","",Nb_Diff_Part(D543,D533:D545,G543,G533:G545,AI548:AI649)*CritClassInd_DiffPart+Nb_Goal_Part(D543,D533:D545,G543,G533:G545,V548:Z649)*CritClassInd_GoalPart+Nb_Score_Part(D543,D533:D545,G543,G533:G545,V548:Z649)*CritClassInd_ScorePart)</f>
        <v/>
      </c>
      <c r="F543" s="979" t="str">
        <f t="shared" si="223"/>
        <v/>
      </c>
      <c r="G543" s="39" t="s">
        <v>3916</v>
      </c>
      <c r="H543" s="501">
        <f t="shared" si="220"/>
        <v>0</v>
      </c>
      <c r="I543" s="39"/>
      <c r="J543" s="977" t="str">
        <f>IF(AK532="","",(L543*Points_Victoire)+M543*Points_Null)</f>
        <v/>
      </c>
      <c r="K543" s="988" t="str">
        <f t="shared" si="221"/>
        <v/>
      </c>
      <c r="L543" s="988" t="str">
        <f>IF(AK532="","",COUNTIF(AE548:AE649,G543))</f>
        <v/>
      </c>
      <c r="M543" s="988" t="str">
        <f>IF(AK532="","",COUNTIF(AF548:AG649,G543))</f>
        <v/>
      </c>
      <c r="N543" s="988" t="str">
        <f>IF(AK532="","",COUNTIF(AH548:AH649,G543))</f>
        <v/>
      </c>
      <c r="O543" s="988" t="str">
        <f>IF(AK532="","",SUMIF(V548:V649,G543,AB548:AB649)+SUMIF(Z548:Z649,G543,AD548:AD649))</f>
        <v/>
      </c>
      <c r="P543" s="988" t="str">
        <f>IF(AK532="","",SUMIF(V548:V649,G543,AD548:AD649)+SUMIF(Z548:Z649,G543,AB548:AB649))</f>
        <v/>
      </c>
      <c r="Q543" s="989" t="str">
        <f>IF(AK532="","",O543-P543)</f>
        <v/>
      </c>
      <c r="R543"/>
      <c r="S543"/>
      <c r="T543"/>
      <c r="U543"/>
      <c r="V543"/>
      <c r="W543" s="1"/>
      <c r="X543" s="1"/>
      <c r="Y543" s="1"/>
      <c r="Z543"/>
      <c r="AB543" s="964"/>
      <c r="AC543" s="964"/>
      <c r="AD543" s="964"/>
      <c r="AE543" s="964"/>
      <c r="AF543" s="964"/>
      <c r="AG543" s="964"/>
      <c r="AH543" s="964"/>
      <c r="AI543" s="964"/>
      <c r="AJ543" s="964"/>
      <c r="AK543" s="968" t="str">
        <f>IF(AK532="","",SMALL(C533:C545,11))</f>
        <v/>
      </c>
      <c r="AL543"/>
      <c r="AM543" s="16"/>
      <c r="AN543" s="946" t="str">
        <f>IF(AK532="","",INT(AK543/1000))</f>
        <v/>
      </c>
      <c r="AO543" s="42" t="str">
        <f>IF(AK532="","",VLOOKUP(AK543,C533:Q545,5,FALSE))</f>
        <v/>
      </c>
      <c r="AP543" s="42" t="str">
        <f>VLOOKUP(AK543,C533:Q545,8,FALSE)</f>
        <v/>
      </c>
      <c r="AQ543" s="42" t="str">
        <f>VLOOKUP(AK543,C533:Q545,9,FALSE)</f>
        <v/>
      </c>
      <c r="AR543" s="42" t="str">
        <f>VLOOKUP(AK543,C533:Q545,10,FALSE)</f>
        <v/>
      </c>
      <c r="AS543" s="42" t="str">
        <f>VLOOKUP(AK543,C533:Q545,11,FALSE)</f>
        <v/>
      </c>
      <c r="AT543" s="42" t="str">
        <f>VLOOKUP(AK543,C533:Q545,12,FALSE)</f>
        <v/>
      </c>
      <c r="AU543" s="42" t="str">
        <f>VLOOKUP(AK543,C533:Q545,13,FALSE)</f>
        <v/>
      </c>
      <c r="AV543" s="42" t="str">
        <f>VLOOKUP(AK543,C533:Q545,14,FALSE)</f>
        <v/>
      </c>
      <c r="AW543" s="947" t="str">
        <f>VLOOKUP(AK543,C533:Q545,15,FALSE)</f>
        <v/>
      </c>
      <c r="AX543"/>
      <c r="AY543"/>
      <c r="AZ543" s="1"/>
      <c r="BA543" s="1"/>
      <c r="BB543"/>
      <c r="BC543" s="6"/>
      <c r="BD543"/>
      <c r="BE543" s="1"/>
      <c r="BF543"/>
      <c r="BG543" s="16"/>
      <c r="BH543"/>
      <c r="BI543"/>
      <c r="BJ543"/>
      <c r="BK543"/>
      <c r="BL543"/>
      <c r="BM543"/>
      <c r="BN543"/>
      <c r="BO543"/>
      <c r="BP543"/>
      <c r="BQ543"/>
      <c r="BR543"/>
      <c r="BS543"/>
      <c r="BT543"/>
      <c r="BU543"/>
      <c r="BV543"/>
      <c r="BW543"/>
      <c r="BX543"/>
      <c r="BY543"/>
      <c r="BZ543"/>
      <c r="CA543" s="1396"/>
      <c r="CB543" s="1396"/>
      <c r="CC543"/>
      <c r="CD543"/>
      <c r="CE543"/>
    </row>
    <row r="544" spans="1:83" outlineLevel="1" x14ac:dyDescent="0.2">
      <c r="A544"/>
      <c r="B544" s="945">
        <v>12</v>
      </c>
      <c r="C544" s="977" t="str">
        <f>IF(AK532="","",RANK(F544,F533:F545)*1000+ROW())</f>
        <v/>
      </c>
      <c r="D544" s="978" t="str">
        <f t="shared" si="222"/>
        <v/>
      </c>
      <c r="E544" s="978" t="str">
        <f>IF(L544="","",Nb_Diff_Part(D544,D533:D545,G544,G533:G545,AI548:AI649)*CritClassInd_DiffPart+Nb_Goal_Part(D544,D533:D545,G544,G533:G545,V548:Z649)*CritClassInd_GoalPart+Nb_Score_Part(D544,D533:D545,G544,G533:G545,V548:Z649)*CritClassInd_ScorePart)</f>
        <v/>
      </c>
      <c r="F544" s="979" t="str">
        <f t="shared" si="223"/>
        <v/>
      </c>
      <c r="G544" s="39" t="s">
        <v>1545</v>
      </c>
      <c r="H544" s="501">
        <f t="shared" si="220"/>
        <v>0</v>
      </c>
      <c r="I544" s="39"/>
      <c r="J544" s="977" t="str">
        <f>IF(AK532="","",(L544*Points_Victoire)+M544*Points_Null)</f>
        <v/>
      </c>
      <c r="K544" s="988" t="str">
        <f t="shared" si="221"/>
        <v/>
      </c>
      <c r="L544" s="988" t="str">
        <f>IF(AK532="","",COUNTIF(AE548:AE649,G544))</f>
        <v/>
      </c>
      <c r="M544" s="988" t="str">
        <f>IF(AK532="","",COUNTIF(AF548:AG649,G544))</f>
        <v/>
      </c>
      <c r="N544" s="988" t="str">
        <f>IF(AK532="","",COUNTIF(AH548:AH649,G544))</f>
        <v/>
      </c>
      <c r="O544" s="988" t="str">
        <f>IF(AK532="","",SUMIF(V548:V649,G544,AB548:AB649)+SUMIF(Z548:Z649,G544,AD548:AD649))</f>
        <v/>
      </c>
      <c r="P544" s="988" t="str">
        <f>IF(AK532="","",SUMIF(V548:V649,G544,AD548:AD649)+SUMIF(Z548:Z649,G544,AB548:AB649))</f>
        <v/>
      </c>
      <c r="Q544" s="989" t="str">
        <f>IF(AK532="","",O544-P544)</f>
        <v/>
      </c>
      <c r="R544"/>
      <c r="S544"/>
      <c r="T544"/>
      <c r="U544"/>
      <c r="V544"/>
      <c r="W544" s="1"/>
      <c r="X544" s="1"/>
      <c r="Y544" s="1"/>
      <c r="Z544"/>
      <c r="AB544" s="964"/>
      <c r="AC544" s="964"/>
      <c r="AD544" s="964"/>
      <c r="AE544" s="964"/>
      <c r="AF544" s="964"/>
      <c r="AG544" s="964"/>
      <c r="AH544" s="964"/>
      <c r="AI544" s="964"/>
      <c r="AJ544" s="964"/>
      <c r="AK544" s="968" t="str">
        <f>IF(AK532="","",SMALL(C533:C545,12))</f>
        <v/>
      </c>
      <c r="AL544"/>
      <c r="AM544" s="16"/>
      <c r="AN544" s="946" t="str">
        <f>IF(AK532="","",INT(AK544/1000))</f>
        <v/>
      </c>
      <c r="AO544" s="42" t="str">
        <f>IF(AK532="","",VLOOKUP(AK544,C533:Q545,5,FALSE))</f>
        <v/>
      </c>
      <c r="AP544" s="42" t="str">
        <f>VLOOKUP(AK544,C533:Q545,8,FALSE)</f>
        <v/>
      </c>
      <c r="AQ544" s="42" t="str">
        <f>VLOOKUP(AK544,C533:Q545,9,FALSE)</f>
        <v/>
      </c>
      <c r="AR544" s="42" t="str">
        <f>VLOOKUP(AK544,C533:Q545,10,FALSE)</f>
        <v/>
      </c>
      <c r="AS544" s="42" t="str">
        <f>VLOOKUP(AK544,C533:Q545,11,FALSE)</f>
        <v/>
      </c>
      <c r="AT544" s="42" t="str">
        <f>VLOOKUP(AK544,C533:Q545,12,FALSE)</f>
        <v/>
      </c>
      <c r="AU544" s="42" t="str">
        <f>VLOOKUP(AK544,C533:Q545,13,FALSE)</f>
        <v/>
      </c>
      <c r="AV544" s="42" t="str">
        <f>VLOOKUP(AK544,C533:Q545,14,FALSE)</f>
        <v/>
      </c>
      <c r="AW544" s="947" t="str">
        <f>VLOOKUP(AK544,C533:Q545,15,FALSE)</f>
        <v/>
      </c>
      <c r="AX544"/>
      <c r="AY544"/>
      <c r="AZ544" s="1"/>
      <c r="BA544" s="1"/>
      <c r="BB544"/>
      <c r="BC544" s="6"/>
      <c r="BD544"/>
      <c r="BE544" s="1"/>
      <c r="BF544"/>
      <c r="BG544" s="16"/>
      <c r="BH544"/>
      <c r="BI544"/>
      <c r="BJ544"/>
      <c r="BK544"/>
      <c r="BL544"/>
      <c r="BM544"/>
      <c r="BN544"/>
      <c r="BO544"/>
      <c r="BP544"/>
      <c r="BQ544"/>
      <c r="BR544"/>
      <c r="BS544"/>
      <c r="BT544"/>
      <c r="BU544"/>
      <c r="BV544"/>
      <c r="BW544"/>
      <c r="BX544"/>
      <c r="BY544"/>
      <c r="BZ544"/>
      <c r="CA544" s="1396"/>
      <c r="CB544" s="1396"/>
      <c r="CC544"/>
      <c r="CD544"/>
      <c r="CE544"/>
    </row>
    <row r="545" spans="1:83" ht="13.5" outlineLevel="1" thickBot="1" x14ac:dyDescent="0.25">
      <c r="A545"/>
      <c r="B545" s="945">
        <v>13</v>
      </c>
      <c r="C545" s="977" t="str">
        <f>IF(AK532="","",RANK(F545,F533:F545)*1000+ROW())</f>
        <v/>
      </c>
      <c r="D545" s="978" t="str">
        <f t="shared" si="222"/>
        <v/>
      </c>
      <c r="E545" s="978" t="str">
        <f>IF(L545="","",Nb_Diff_Part(D545,D533:D545,G545,G533:G545,AI548:AI649)*CritClassInd_DiffPart+Nb_Goal_Part(D545,D533:D545,G545,G533:G545,V548:Z649)*CritClassInd_GoalPart+Nb_Score_Part(D545,D533:D545,G545,G533:G545,V548:Z649)*CritClassInd_ScorePart)</f>
        <v/>
      </c>
      <c r="F545" s="979" t="str">
        <f t="shared" si="223"/>
        <v/>
      </c>
      <c r="G545" s="39" t="s">
        <v>3917</v>
      </c>
      <c r="H545" s="501">
        <f t="shared" si="220"/>
        <v>0</v>
      </c>
      <c r="I545" s="39"/>
      <c r="J545" s="977" t="str">
        <f>IF(AK532="","",(L545*Points_Victoire)+M545*Points_Null)</f>
        <v/>
      </c>
      <c r="K545" s="988" t="str">
        <f t="shared" si="221"/>
        <v/>
      </c>
      <c r="L545" s="988" t="str">
        <f>IF(AK532="","",COUNTIF(AE548:AE649,G545))</f>
        <v/>
      </c>
      <c r="M545" s="988" t="str">
        <f>IF(AK532="","",COUNTIF(AF548:AG649,G545))</f>
        <v/>
      </c>
      <c r="N545" s="988" t="str">
        <f>IF(AK532="","",COUNTIF(AH548:AH649,G545))</f>
        <v/>
      </c>
      <c r="O545" s="988" t="str">
        <f>IF(AK532="","",SUMIF(V548:V649,G545,AB548:AB649)+SUMIF(Z548:Z649,G545,AD548:AD649))</f>
        <v/>
      </c>
      <c r="P545" s="988" t="str">
        <f>IF(AK532="","",SUMIF(V548:V649,G545,AD548:AD649)+SUMIF(Z548:Z649,G545,AB548:AB649))</f>
        <v/>
      </c>
      <c r="Q545" s="989" t="str">
        <f>IF(AK532="","",O545-P545)</f>
        <v/>
      </c>
      <c r="R545"/>
      <c r="S545"/>
      <c r="T545"/>
      <c r="U545"/>
      <c r="V545"/>
      <c r="W545" s="1"/>
      <c r="X545" s="1"/>
      <c r="Y545" s="1"/>
      <c r="Z545"/>
      <c r="AB545" s="964"/>
      <c r="AC545" s="964"/>
      <c r="AD545" s="964"/>
      <c r="AE545" s="964"/>
      <c r="AF545" s="964"/>
      <c r="AG545" s="964"/>
      <c r="AH545" s="964"/>
      <c r="AI545" s="964"/>
      <c r="AJ545" s="964"/>
      <c r="AK545" s="968" t="str">
        <f>IF(AK532="","",SMALL(C533:C545,13))</f>
        <v/>
      </c>
      <c r="AL545"/>
      <c r="AM545" s="16"/>
      <c r="AN545" s="946" t="str">
        <f>IF(AK532="","",INT(AK545/1000))</f>
        <v/>
      </c>
      <c r="AO545" s="42" t="str">
        <f>IF(AK532="","",VLOOKUP(AK545,C533:Q545,5,FALSE))</f>
        <v/>
      </c>
      <c r="AP545" s="42" t="str">
        <f>VLOOKUP(AK545,C533:Q545,8,FALSE)</f>
        <v/>
      </c>
      <c r="AQ545" s="42" t="str">
        <f>VLOOKUP(AK545,C533:Q545,9,FALSE)</f>
        <v/>
      </c>
      <c r="AR545" s="42" t="str">
        <f>VLOOKUP(AK545,C533:Q545,10,FALSE)</f>
        <v/>
      </c>
      <c r="AS545" s="42" t="str">
        <f>VLOOKUP(AK545,C533:Q545,11,FALSE)</f>
        <v/>
      </c>
      <c r="AT545" s="42" t="str">
        <f>VLOOKUP(AK545,C533:Q545,12,FALSE)</f>
        <v/>
      </c>
      <c r="AU545" s="42" t="str">
        <f>VLOOKUP(AK545,C533:Q545,13,FALSE)</f>
        <v/>
      </c>
      <c r="AV545" s="42" t="str">
        <f>VLOOKUP(AK545,C533:Q545,14,FALSE)</f>
        <v/>
      </c>
      <c r="AW545" s="947" t="str">
        <f>VLOOKUP(AK545,C533:Q545,15,FALSE)</f>
        <v/>
      </c>
      <c r="AX545"/>
      <c r="AY545"/>
      <c r="AZ545" s="1"/>
      <c r="BA545" s="1"/>
      <c r="BB545"/>
      <c r="BC545" s="6"/>
      <c r="BD545"/>
      <c r="BE545" s="1"/>
      <c r="BF545"/>
      <c r="BG545" s="16"/>
      <c r="BH545"/>
      <c r="BI545"/>
      <c r="BJ545"/>
      <c r="BK545"/>
      <c r="BL545"/>
      <c r="BM545"/>
      <c r="BN545"/>
      <c r="BO545"/>
      <c r="BP545"/>
      <c r="BQ545"/>
      <c r="BR545"/>
      <c r="BS545"/>
      <c r="BT545"/>
      <c r="BU545"/>
      <c r="BV545"/>
      <c r="BW545"/>
      <c r="BX545"/>
      <c r="BY545"/>
      <c r="BZ545"/>
      <c r="CA545" s="1396"/>
      <c r="CB545" s="1396"/>
      <c r="CC545"/>
      <c r="CD545"/>
      <c r="CE545"/>
    </row>
    <row r="546" spans="1:83" ht="13.5" outlineLevel="1" thickBot="1" x14ac:dyDescent="0.25">
      <c r="A546"/>
      <c r="B546" s="1"/>
      <c r="C546" s="1"/>
      <c r="D546" s="76"/>
      <c r="E546" s="76"/>
      <c r="F546" s="76"/>
      <c r="G546" s="9"/>
      <c r="H546" s="9"/>
      <c r="I546" s="1"/>
      <c r="J546"/>
      <c r="K546"/>
      <c r="L546"/>
      <c r="M546"/>
      <c r="N546"/>
      <c r="O546"/>
      <c r="P546" s="89"/>
      <c r="Q546"/>
      <c r="R546" s="1"/>
      <c r="S546" s="993">
        <v>1</v>
      </c>
      <c r="T546" s="961"/>
      <c r="U546" s="961"/>
      <c r="V546" s="961"/>
      <c r="W546" s="960"/>
      <c r="X546" s="960"/>
      <c r="Y546" s="960"/>
      <c r="Z546" s="962"/>
      <c r="AA546" s="123"/>
      <c r="AB546" s="1461" t="str">
        <f>IF(MaxScore,N_MaxScore,"")</f>
        <v>Score Max</v>
      </c>
      <c r="AC546" s="1461"/>
      <c r="AD546" s="1461"/>
      <c r="AE546" s="964"/>
      <c r="AF546" s="964"/>
      <c r="AG546" s="964"/>
      <c r="AH546" s="964"/>
      <c r="AI546" s="964"/>
      <c r="AJ546" s="964"/>
      <c r="AK546" s="964"/>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s="1396"/>
      <c r="CB546" s="1396"/>
      <c r="CC546"/>
      <c r="CD546"/>
      <c r="CE546"/>
    </row>
    <row r="547" spans="1:83" ht="13.9" customHeight="1" outlineLevel="2" thickBot="1" x14ac:dyDescent="0.25">
      <c r="A547"/>
      <c r="B547" s="1"/>
      <c r="C547"/>
      <c r="D547"/>
      <c r="E547"/>
      <c r="F547"/>
      <c r="G547" s="1"/>
      <c r="H547" s="1"/>
      <c r="I547"/>
      <c r="J547"/>
      <c r="K547"/>
      <c r="L547"/>
      <c r="M547"/>
      <c r="N547"/>
      <c r="O547"/>
      <c r="P547"/>
      <c r="Q547"/>
      <c r="S547" s="18" t="str">
        <f>N_Heure</f>
        <v>Heure</v>
      </c>
      <c r="T547" s="22" t="str">
        <f>N_Table</f>
        <v>Table</v>
      </c>
      <c r="U547" s="952" t="str">
        <f>N_Arbitre</f>
        <v>Arbitre</v>
      </c>
      <c r="V547" s="293" t="str">
        <f>N_Matches</f>
        <v>Matches</v>
      </c>
      <c r="W547" s="294"/>
      <c r="X547" s="294"/>
      <c r="Y547" s="294"/>
      <c r="Z547" s="295"/>
      <c r="AA547" s="8"/>
      <c r="AB547" s="967"/>
      <c r="AC547" s="967"/>
      <c r="AD547" s="967"/>
      <c r="AE547" s="964"/>
      <c r="AF547" s="964"/>
      <c r="AG547" s="964"/>
      <c r="AH547" s="964"/>
      <c r="AI547" s="964"/>
      <c r="AJ547" s="964"/>
      <c r="AK547" s="964"/>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s="1396"/>
      <c r="CB547" s="1396"/>
      <c r="CC547"/>
      <c r="CD547"/>
      <c r="CE547"/>
    </row>
    <row r="548" spans="1:83" ht="13.15" customHeight="1" outlineLevel="2" x14ac:dyDescent="0.2">
      <c r="A548"/>
      <c r="B548" s="1"/>
      <c r="C548"/>
      <c r="D548"/>
      <c r="E548"/>
      <c r="F548"/>
      <c r="G548" s="1"/>
      <c r="H548" s="1"/>
      <c r="I548"/>
      <c r="J548"/>
      <c r="K548"/>
      <c r="L548"/>
      <c r="M548"/>
      <c r="N548"/>
      <c r="O548"/>
      <c r="P548"/>
      <c r="Q548"/>
      <c r="R548" s="558" t="s">
        <v>1726</v>
      </c>
      <c r="S548" s="65"/>
      <c r="T548" s="953"/>
      <c r="U548" s="954"/>
      <c r="V548" s="34" t="str">
        <f>IF(G533="","",G533)</f>
        <v>A</v>
      </c>
      <c r="W548" s="148"/>
      <c r="X548" s="35" t="s">
        <v>769</v>
      </c>
      <c r="Y548" s="148"/>
      <c r="Z548" s="36" t="str">
        <f>IF(G534="","",G534)</f>
        <v>B</v>
      </c>
      <c r="AA548" s="123"/>
      <c r="AB548" s="1459">
        <f t="shared" ref="AB548:AB553" si="224">IF(MaxScore,MaxGoals(W548,Y548,MaxGoalsValue),IF(W548="","",W548))</f>
        <v>0</v>
      </c>
      <c r="AC548" s="1460" t="str">
        <f t="shared" ref="AC548:AC553" si="225">IF(MaxScore,"-",IF(W548="","","-"))</f>
        <v>-</v>
      </c>
      <c r="AD548" s="1459">
        <f t="shared" ref="AD548:AD553" si="226">IF(MaxScore,MaxGoals(Y548,W548,MaxGoalsValue),IF(Y548="","",Y548))</f>
        <v>0</v>
      </c>
      <c r="AE548" s="964" t="str">
        <f t="shared" ref="AE548:AE553" si="227">IF(W548="","",IF(W548&gt;Y548,V548,IF(W548=Y548,"",Z548)))</f>
        <v/>
      </c>
      <c r="AF548" s="964" t="str">
        <f t="shared" ref="AF548:AF553" si="228">IF(W548="","",IF(W548=Y548,V548,""))</f>
        <v/>
      </c>
      <c r="AG548" s="964" t="str">
        <f t="shared" ref="AG548:AG553" si="229">IF(W548="","",IF(W548=Y548,Z548,""))</f>
        <v/>
      </c>
      <c r="AH548" s="964" t="str">
        <f t="shared" ref="AH548:AH553" si="230">IF(W548="","",IF(W548&lt;Y548,V548,IF(W548=Y548,"",Z548)))</f>
        <v/>
      </c>
      <c r="AI548" s="964" t="str">
        <f t="shared" ref="AI548:AI553" si="231">CONCATENATE(AE548,AH548)</f>
        <v/>
      </c>
      <c r="AJ548" s="964"/>
      <c r="AK548" s="964"/>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s="1396"/>
      <c r="CB548" s="1396"/>
      <c r="CC548"/>
      <c r="CD548"/>
      <c r="CE548"/>
    </row>
    <row r="549" spans="1:83" ht="13.15" customHeight="1" outlineLevel="2" x14ac:dyDescent="0.2">
      <c r="A549"/>
      <c r="B549" s="1"/>
      <c r="C549"/>
      <c r="D549"/>
      <c r="E549"/>
      <c r="F549"/>
      <c r="G549" s="1"/>
      <c r="H549" s="1"/>
      <c r="I549"/>
      <c r="J549"/>
      <c r="K549"/>
      <c r="L549"/>
      <c r="M549"/>
      <c r="N549"/>
      <c r="O549"/>
      <c r="P549"/>
      <c r="Q549"/>
      <c r="R549" s="558" t="s">
        <v>1726</v>
      </c>
      <c r="S549" s="83"/>
      <c r="T549" s="56"/>
      <c r="U549" s="955"/>
      <c r="V549" s="43" t="str">
        <f>IF(G535="","",G535)</f>
        <v>C</v>
      </c>
      <c r="W549" s="10"/>
      <c r="X549" s="45" t="s">
        <v>769</v>
      </c>
      <c r="Y549" s="10"/>
      <c r="Z549" s="46" t="str">
        <f>IF(G536="","",G536)</f>
        <v>D</v>
      </c>
      <c r="AA549" s="123"/>
      <c r="AB549" s="1459">
        <f t="shared" si="224"/>
        <v>0</v>
      </c>
      <c r="AC549" s="1460" t="str">
        <f t="shared" si="225"/>
        <v>-</v>
      </c>
      <c r="AD549" s="1459">
        <f t="shared" si="226"/>
        <v>0</v>
      </c>
      <c r="AE549" s="964" t="str">
        <f t="shared" si="227"/>
        <v/>
      </c>
      <c r="AF549" s="964" t="str">
        <f t="shared" si="228"/>
        <v/>
      </c>
      <c r="AG549" s="964" t="str">
        <f t="shared" si="229"/>
        <v/>
      </c>
      <c r="AH549" s="964" t="str">
        <f t="shared" si="230"/>
        <v/>
      </c>
      <c r="AI549" s="964" t="str">
        <f t="shared" si="231"/>
        <v/>
      </c>
      <c r="AJ549" s="964"/>
      <c r="AK549" s="964"/>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s="1396"/>
      <c r="CB549" s="1396"/>
      <c r="CC549"/>
      <c r="CD549"/>
      <c r="CE549"/>
    </row>
    <row r="550" spans="1:83" ht="13.15" customHeight="1" outlineLevel="2" x14ac:dyDescent="0.2">
      <c r="A550"/>
      <c r="B550" s="1"/>
      <c r="C550"/>
      <c r="D550"/>
      <c r="E550"/>
      <c r="F550"/>
      <c r="G550" s="1"/>
      <c r="H550" s="1"/>
      <c r="I550"/>
      <c r="J550"/>
      <c r="K550"/>
      <c r="L550"/>
      <c r="M550"/>
      <c r="N550"/>
      <c r="O550"/>
      <c r="P550"/>
      <c r="Q550"/>
      <c r="R550" s="558" t="s">
        <v>1726</v>
      </c>
      <c r="S550" s="83"/>
      <c r="T550" s="56"/>
      <c r="U550" s="955"/>
      <c r="V550" s="43" t="str">
        <f>IF(G537="","",G537)</f>
        <v>E</v>
      </c>
      <c r="W550" s="10"/>
      <c r="X550" s="45" t="s">
        <v>769</v>
      </c>
      <c r="Y550" s="10"/>
      <c r="Z550" s="46" t="str">
        <f>IF(G538="","",G538)</f>
        <v>F</v>
      </c>
      <c r="AA550" s="123"/>
      <c r="AB550" s="1459">
        <f t="shared" si="224"/>
        <v>0</v>
      </c>
      <c r="AC550" s="1460" t="str">
        <f t="shared" si="225"/>
        <v>-</v>
      </c>
      <c r="AD550" s="1459">
        <f t="shared" si="226"/>
        <v>0</v>
      </c>
      <c r="AE550" s="964" t="str">
        <f t="shared" si="227"/>
        <v/>
      </c>
      <c r="AF550" s="964" t="str">
        <f t="shared" si="228"/>
        <v/>
      </c>
      <c r="AG550" s="964" t="str">
        <f t="shared" si="229"/>
        <v/>
      </c>
      <c r="AH550" s="964" t="str">
        <f t="shared" si="230"/>
        <v/>
      </c>
      <c r="AI550" s="964" t="str">
        <f t="shared" si="231"/>
        <v/>
      </c>
      <c r="AJ550" s="964"/>
      <c r="AK550" s="964"/>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s="1396"/>
      <c r="CB550" s="1396"/>
      <c r="CC550"/>
      <c r="CD550"/>
      <c r="CE550"/>
    </row>
    <row r="551" spans="1:83" ht="13.15" customHeight="1" outlineLevel="2" x14ac:dyDescent="0.2">
      <c r="A551"/>
      <c r="B551" s="1"/>
      <c r="C551"/>
      <c r="D551"/>
      <c r="E551"/>
      <c r="F551"/>
      <c r="G551" s="1"/>
      <c r="H551" s="1"/>
      <c r="I551"/>
      <c r="J551"/>
      <c r="K551"/>
      <c r="L551"/>
      <c r="M551"/>
      <c r="N551"/>
      <c r="O551"/>
      <c r="P551"/>
      <c r="Q551"/>
      <c r="R551" s="558" t="s">
        <v>1726</v>
      </c>
      <c r="S551" s="83"/>
      <c r="T551" s="56"/>
      <c r="U551" s="955"/>
      <c r="V551" s="43" t="str">
        <f>IF(G539="","",G539)</f>
        <v>G</v>
      </c>
      <c r="W551" s="10"/>
      <c r="X551" s="45" t="s">
        <v>769</v>
      </c>
      <c r="Y551" s="10"/>
      <c r="Z551" s="46" t="str">
        <f>IF(G540="","",G540)</f>
        <v>H</v>
      </c>
      <c r="AA551" s="123"/>
      <c r="AB551" s="1459">
        <f t="shared" si="224"/>
        <v>0</v>
      </c>
      <c r="AC551" s="1460" t="str">
        <f t="shared" si="225"/>
        <v>-</v>
      </c>
      <c r="AD551" s="1459">
        <f t="shared" si="226"/>
        <v>0</v>
      </c>
      <c r="AE551" s="964" t="str">
        <f t="shared" si="227"/>
        <v/>
      </c>
      <c r="AF551" s="964" t="str">
        <f t="shared" si="228"/>
        <v/>
      </c>
      <c r="AG551" s="964" t="str">
        <f t="shared" si="229"/>
        <v/>
      </c>
      <c r="AH551" s="964" t="str">
        <f t="shared" si="230"/>
        <v/>
      </c>
      <c r="AI551" s="964" t="str">
        <f t="shared" si="231"/>
        <v/>
      </c>
      <c r="AJ551" s="964"/>
      <c r="AK551" s="964"/>
      <c r="AL551"/>
      <c r="AM551"/>
      <c r="AN551"/>
      <c r="AO551"/>
      <c r="AP551"/>
      <c r="AQ551"/>
      <c r="AR551"/>
      <c r="AS551"/>
      <c r="AT551"/>
      <c r="AU551"/>
      <c r="AV551"/>
      <c r="AW551"/>
      <c r="AX551" s="9"/>
      <c r="AY551"/>
      <c r="AZ551"/>
      <c r="BA551"/>
      <c r="BB551"/>
      <c r="BC551"/>
      <c r="BD551"/>
      <c r="BE551"/>
      <c r="BF551"/>
      <c r="BG551"/>
      <c r="BH551"/>
      <c r="BI551"/>
      <c r="BJ551"/>
      <c r="BK551"/>
      <c r="BL551"/>
      <c r="BM551"/>
      <c r="BN551"/>
      <c r="BO551"/>
      <c r="BP551"/>
      <c r="BQ551"/>
      <c r="BR551"/>
      <c r="BS551"/>
      <c r="BT551"/>
      <c r="BU551"/>
      <c r="BV551"/>
      <c r="BW551"/>
      <c r="BX551"/>
      <c r="BY551"/>
      <c r="BZ551"/>
      <c r="CA551" s="1396"/>
      <c r="CB551" s="1396"/>
      <c r="CC551"/>
      <c r="CD551"/>
      <c r="CE551"/>
    </row>
    <row r="552" spans="1:83" ht="13.15" customHeight="1" outlineLevel="2" x14ac:dyDescent="0.2">
      <c r="A552"/>
      <c r="B552" s="1"/>
      <c r="C552"/>
      <c r="D552"/>
      <c r="E552"/>
      <c r="F552"/>
      <c r="G552" s="1"/>
      <c r="H552" s="1"/>
      <c r="I552"/>
      <c r="J552"/>
      <c r="K552"/>
      <c r="L552"/>
      <c r="M552"/>
      <c r="N552"/>
      <c r="O552"/>
      <c r="P552"/>
      <c r="Q552"/>
      <c r="R552" s="558" t="s">
        <v>1726</v>
      </c>
      <c r="S552" s="83"/>
      <c r="T552" s="56"/>
      <c r="U552" s="955"/>
      <c r="V552" s="43" t="str">
        <f>IF(G541="","",G541)</f>
        <v>I</v>
      </c>
      <c r="W552" s="10"/>
      <c r="X552" s="45" t="s">
        <v>769</v>
      </c>
      <c r="Y552" s="10"/>
      <c r="Z552" s="46" t="str">
        <f>IF(G542="","",G542)</f>
        <v>J</v>
      </c>
      <c r="AA552" s="123"/>
      <c r="AB552" s="1459">
        <f t="shared" si="224"/>
        <v>0</v>
      </c>
      <c r="AC552" s="1460" t="str">
        <f t="shared" si="225"/>
        <v>-</v>
      </c>
      <c r="AD552" s="1459">
        <f t="shared" si="226"/>
        <v>0</v>
      </c>
      <c r="AE552" s="964" t="str">
        <f t="shared" si="227"/>
        <v/>
      </c>
      <c r="AF552" s="964" t="str">
        <f t="shared" si="228"/>
        <v/>
      </c>
      <c r="AG552" s="964" t="str">
        <f t="shared" si="229"/>
        <v/>
      </c>
      <c r="AH552" s="964" t="str">
        <f t="shared" si="230"/>
        <v/>
      </c>
      <c r="AI552" s="964" t="str">
        <f t="shared" si="231"/>
        <v/>
      </c>
      <c r="AJ552" s="964"/>
      <c r="AK552" s="964"/>
      <c r="AL552"/>
      <c r="AM552"/>
      <c r="AN552"/>
      <c r="AO552"/>
      <c r="AP552"/>
      <c r="AQ552"/>
      <c r="AR552"/>
      <c r="AS552"/>
      <c r="AT552"/>
      <c r="AU552"/>
      <c r="AV552"/>
      <c r="AW552" s="9"/>
      <c r="AX552" s="9"/>
      <c r="AY552"/>
      <c r="AZ552"/>
      <c r="BA552"/>
      <c r="BB552"/>
      <c r="BC552"/>
      <c r="BD552"/>
      <c r="BE552"/>
      <c r="BF552"/>
      <c r="BG552"/>
      <c r="BH552"/>
      <c r="BI552"/>
      <c r="BJ552"/>
      <c r="BK552"/>
      <c r="BL552"/>
      <c r="BM552"/>
      <c r="BN552"/>
      <c r="BO552"/>
      <c r="BP552"/>
      <c r="BQ552"/>
      <c r="BR552"/>
      <c r="BS552"/>
      <c r="BT552"/>
      <c r="BU552"/>
      <c r="BV552"/>
      <c r="BW552"/>
      <c r="BX552"/>
      <c r="BY552"/>
      <c r="BZ552"/>
      <c r="CA552" s="1396"/>
      <c r="CB552" s="1396"/>
      <c r="CC552"/>
      <c r="CD552"/>
      <c r="CE552"/>
    </row>
    <row r="553" spans="1:83" ht="13.15" customHeight="1" outlineLevel="2" thickBot="1" x14ac:dyDescent="0.25">
      <c r="A553"/>
      <c r="B553" s="1"/>
      <c r="C553"/>
      <c r="D553"/>
      <c r="E553"/>
      <c r="F553"/>
      <c r="G553" s="1"/>
      <c r="H553" s="1"/>
      <c r="I553"/>
      <c r="J553"/>
      <c r="K553"/>
      <c r="L553"/>
      <c r="M553"/>
      <c r="N553"/>
      <c r="O553"/>
      <c r="P553"/>
      <c r="Q553"/>
      <c r="R553" s="558" t="s">
        <v>1726</v>
      </c>
      <c r="S553" s="83"/>
      <c r="T553" s="56"/>
      <c r="U553" s="955"/>
      <c r="V553" s="43" t="str">
        <f>IF(G543="","",G543)</f>
        <v>K</v>
      </c>
      <c r="W553" s="10"/>
      <c r="X553" s="45" t="s">
        <v>769</v>
      </c>
      <c r="Y553" s="10"/>
      <c r="Z553" s="46" t="str">
        <f>IF(G544="","",G544)</f>
        <v>L</v>
      </c>
      <c r="AA553" s="123"/>
      <c r="AB553" s="1459">
        <f t="shared" si="224"/>
        <v>0</v>
      </c>
      <c r="AC553" s="1460" t="str">
        <f t="shared" si="225"/>
        <v>-</v>
      </c>
      <c r="AD553" s="1459">
        <f t="shared" si="226"/>
        <v>0</v>
      </c>
      <c r="AE553" s="964" t="str">
        <f t="shared" si="227"/>
        <v/>
      </c>
      <c r="AF553" s="964" t="str">
        <f t="shared" si="228"/>
        <v/>
      </c>
      <c r="AG553" s="964" t="str">
        <f t="shared" si="229"/>
        <v/>
      </c>
      <c r="AH553" s="964" t="str">
        <f t="shared" si="230"/>
        <v/>
      </c>
      <c r="AI553" s="964" t="str">
        <f t="shared" si="231"/>
        <v/>
      </c>
      <c r="AJ553" s="964"/>
      <c r="AK553" s="964"/>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s="1396"/>
      <c r="CB553" s="1396"/>
      <c r="CC553"/>
      <c r="CD553"/>
      <c r="CE553"/>
    </row>
    <row r="554" spans="1:83" ht="13.5" outlineLevel="1" thickBot="1" x14ac:dyDescent="0.25">
      <c r="A554"/>
      <c r="B554" s="1"/>
      <c r="C554" s="1"/>
      <c r="D554" s="76"/>
      <c r="E554" s="76"/>
      <c r="F554" s="76"/>
      <c r="G554" s="9"/>
      <c r="H554" s="9"/>
      <c r="I554" s="1"/>
      <c r="J554"/>
      <c r="K554"/>
      <c r="L554"/>
      <c r="M554"/>
      <c r="N554"/>
      <c r="O554"/>
      <c r="P554" s="89"/>
      <c r="Q554"/>
      <c r="R554" s="1"/>
      <c r="S554" s="993">
        <f>S546+1</f>
        <v>2</v>
      </c>
      <c r="T554" s="961"/>
      <c r="U554" s="961"/>
      <c r="V554" s="961"/>
      <c r="W554" s="960"/>
      <c r="X554" s="960"/>
      <c r="Y554" s="960"/>
      <c r="Z554" s="962"/>
      <c r="AA554" s="123"/>
      <c r="AB554" s="963"/>
      <c r="AC554" s="963"/>
      <c r="AD554" s="963"/>
      <c r="AE554" s="964"/>
      <c r="AF554" s="964"/>
      <c r="AG554" s="964"/>
      <c r="AH554" s="964"/>
      <c r="AI554" s="964"/>
      <c r="AJ554" s="964"/>
      <c r="AK554" s="96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s="1396"/>
      <c r="CB554" s="1396"/>
      <c r="CC554"/>
      <c r="CD554"/>
      <c r="CE554"/>
    </row>
    <row r="555" spans="1:83" ht="13.9" customHeight="1" outlineLevel="2" thickBot="1" x14ac:dyDescent="0.25">
      <c r="A555"/>
      <c r="B555" s="1"/>
      <c r="C555"/>
      <c r="D555"/>
      <c r="E555"/>
      <c r="F555"/>
      <c r="G555" s="1"/>
      <c r="H555" s="1"/>
      <c r="I555"/>
      <c r="J555"/>
      <c r="K555"/>
      <c r="L555"/>
      <c r="M555"/>
      <c r="N555"/>
      <c r="O555"/>
      <c r="P555"/>
      <c r="Q555"/>
      <c r="S555" s="22" t="str">
        <f>N_Heure</f>
        <v>Heure</v>
      </c>
      <c r="T555" s="22" t="str">
        <f>N_Table</f>
        <v>Table</v>
      </c>
      <c r="U555" s="22" t="str">
        <f>N_Arbitre</f>
        <v>Arbitre</v>
      </c>
      <c r="V555" s="293" t="str">
        <f>N_Matches</f>
        <v>Matches</v>
      </c>
      <c r="W555" s="294"/>
      <c r="X555" s="294"/>
      <c r="Y555" s="294"/>
      <c r="Z555" s="295"/>
      <c r="AA555" s="8"/>
      <c r="AB555" s="967"/>
      <c r="AC555" s="967"/>
      <c r="AD555" s="967"/>
      <c r="AE555" s="964"/>
      <c r="AF555" s="964"/>
      <c r="AG555" s="964"/>
      <c r="AH555" s="964"/>
      <c r="AI555" s="964"/>
      <c r="AJ555" s="964"/>
      <c r="AK555" s="964"/>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s="1396"/>
      <c r="CB555" s="1396"/>
      <c r="CC555"/>
      <c r="CD555"/>
      <c r="CE555"/>
    </row>
    <row r="556" spans="1:83" ht="13.15" customHeight="1" outlineLevel="2" x14ac:dyDescent="0.2">
      <c r="A556"/>
      <c r="B556" s="1"/>
      <c r="C556"/>
      <c r="D556"/>
      <c r="E556"/>
      <c r="F556"/>
      <c r="G556" s="1"/>
      <c r="H556" s="1"/>
      <c r="I556"/>
      <c r="J556"/>
      <c r="K556"/>
      <c r="L556"/>
      <c r="M556"/>
      <c r="N556"/>
      <c r="O556"/>
      <c r="P556"/>
      <c r="Q556"/>
      <c r="R556" s="558" t="s">
        <v>1727</v>
      </c>
      <c r="S556" s="65"/>
      <c r="T556" s="953"/>
      <c r="U556" s="954"/>
      <c r="V556" s="34" t="str">
        <f>V549</f>
        <v>C</v>
      </c>
      <c r="W556" s="148"/>
      <c r="X556" s="35" t="s">
        <v>769</v>
      </c>
      <c r="Y556" s="148"/>
      <c r="Z556" s="36" t="str">
        <f>V548</f>
        <v>A</v>
      </c>
      <c r="AA556" s="123"/>
      <c r="AB556" s="1459">
        <f t="shared" ref="AB556:AB561" si="232">IF(MaxScore,MaxGoals(W556,Y556,MaxGoalsValue),IF(W556="","",W556))</f>
        <v>0</v>
      </c>
      <c r="AC556" s="1460" t="str">
        <f t="shared" ref="AC556:AC561" si="233">IF(MaxScore,"-",IF(W556="","","-"))</f>
        <v>-</v>
      </c>
      <c r="AD556" s="1459">
        <f t="shared" ref="AD556:AD561" si="234">IF(MaxScore,MaxGoals(Y556,W556,MaxGoalsValue),IF(Y556="","",Y556))</f>
        <v>0</v>
      </c>
      <c r="AE556" s="964" t="str">
        <f t="shared" ref="AE556:AE561" si="235">IF(W556="","",IF(W556&gt;Y556,V556,IF(W556=Y556,"",Z556)))</f>
        <v/>
      </c>
      <c r="AF556" s="964" t="str">
        <f t="shared" ref="AF556:AF561" si="236">IF(W556="","",IF(W556=Y556,V556,""))</f>
        <v/>
      </c>
      <c r="AG556" s="964" t="str">
        <f t="shared" ref="AG556:AG561" si="237">IF(W556="","",IF(W556=Y556,Z556,""))</f>
        <v/>
      </c>
      <c r="AH556" s="964" t="str">
        <f t="shared" ref="AH556:AH561" si="238">IF(W556="","",IF(W556&lt;Y556,V556,IF(W556=Y556,"",Z556)))</f>
        <v/>
      </c>
      <c r="AI556" s="964" t="str">
        <f t="shared" ref="AI556:AI561" si="239">CONCATENATE(AE556,AH556)</f>
        <v/>
      </c>
      <c r="AJ556" s="964"/>
      <c r="AK556" s="964"/>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s="1396"/>
      <c r="CB556" s="1396"/>
      <c r="CC556"/>
      <c r="CD556"/>
      <c r="CE556"/>
    </row>
    <row r="557" spans="1:83" ht="13.15" customHeight="1" outlineLevel="2" x14ac:dyDescent="0.2">
      <c r="A557"/>
      <c r="B557" s="1"/>
      <c r="C557"/>
      <c r="D557"/>
      <c r="E557"/>
      <c r="F557"/>
      <c r="G557" s="1"/>
      <c r="H557" s="1"/>
      <c r="I557"/>
      <c r="J557"/>
      <c r="K557"/>
      <c r="L557"/>
      <c r="M557"/>
      <c r="N557"/>
      <c r="O557"/>
      <c r="P557"/>
      <c r="Q557"/>
      <c r="R557" s="558" t="s">
        <v>1727</v>
      </c>
      <c r="S557" s="83"/>
      <c r="T557" s="56"/>
      <c r="U557" s="955"/>
      <c r="V557" s="43" t="str">
        <f>Z548</f>
        <v>B</v>
      </c>
      <c r="W557" s="10"/>
      <c r="X557" s="45" t="s">
        <v>769</v>
      </c>
      <c r="Y557" s="10"/>
      <c r="Z557" s="46" t="str">
        <f>V550</f>
        <v>E</v>
      </c>
      <c r="AA557" s="123"/>
      <c r="AB557" s="1459">
        <f t="shared" si="232"/>
        <v>0</v>
      </c>
      <c r="AC557" s="1460" t="str">
        <f t="shared" si="233"/>
        <v>-</v>
      </c>
      <c r="AD557" s="1459">
        <f t="shared" si="234"/>
        <v>0</v>
      </c>
      <c r="AE557" s="964" t="str">
        <f t="shared" si="235"/>
        <v/>
      </c>
      <c r="AF557" s="964" t="str">
        <f t="shared" si="236"/>
        <v/>
      </c>
      <c r="AG557" s="964" t="str">
        <f t="shared" si="237"/>
        <v/>
      </c>
      <c r="AH557" s="964" t="str">
        <f t="shared" si="238"/>
        <v/>
      </c>
      <c r="AI557" s="964" t="str">
        <f t="shared" si="239"/>
        <v/>
      </c>
      <c r="AJ557" s="964"/>
      <c r="AK557" s="964"/>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s="1396"/>
      <c r="CB557" s="1396"/>
      <c r="CC557"/>
      <c r="CD557"/>
      <c r="CE557"/>
    </row>
    <row r="558" spans="1:83" ht="13.15" customHeight="1" outlineLevel="2" x14ac:dyDescent="0.2">
      <c r="A558"/>
      <c r="B558" s="1"/>
      <c r="C558"/>
      <c r="D558"/>
      <c r="E558"/>
      <c r="F558"/>
      <c r="G558" s="1"/>
      <c r="H558" s="1"/>
      <c r="I558"/>
      <c r="J558"/>
      <c r="K558"/>
      <c r="L558"/>
      <c r="M558"/>
      <c r="N558"/>
      <c r="O558"/>
      <c r="P558"/>
      <c r="Q558"/>
      <c r="R558" s="558" t="s">
        <v>1727</v>
      </c>
      <c r="S558" s="83"/>
      <c r="T558" s="56"/>
      <c r="U558" s="955"/>
      <c r="V558" s="43" t="str">
        <f>Z549</f>
        <v>D</v>
      </c>
      <c r="W558" s="10"/>
      <c r="X558" s="45" t="s">
        <v>769</v>
      </c>
      <c r="Y558" s="10"/>
      <c r="Z558" s="46" t="str">
        <f>V551</f>
        <v>G</v>
      </c>
      <c r="AA558" s="123"/>
      <c r="AB558" s="1459">
        <f t="shared" si="232"/>
        <v>0</v>
      </c>
      <c r="AC558" s="1460" t="str">
        <f t="shared" si="233"/>
        <v>-</v>
      </c>
      <c r="AD558" s="1459">
        <f t="shared" si="234"/>
        <v>0</v>
      </c>
      <c r="AE558" s="964" t="str">
        <f t="shared" si="235"/>
        <v/>
      </c>
      <c r="AF558" s="964" t="str">
        <f t="shared" si="236"/>
        <v/>
      </c>
      <c r="AG558" s="964" t="str">
        <f t="shared" si="237"/>
        <v/>
      </c>
      <c r="AH558" s="964" t="str">
        <f t="shared" si="238"/>
        <v/>
      </c>
      <c r="AI558" s="964" t="str">
        <f t="shared" si="239"/>
        <v/>
      </c>
      <c r="AJ558" s="964"/>
      <c r="AK558" s="964"/>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s="1396"/>
      <c r="CB558" s="1396"/>
      <c r="CC558"/>
      <c r="CD558"/>
      <c r="CE558"/>
    </row>
    <row r="559" spans="1:83" ht="13.15" customHeight="1" outlineLevel="2" x14ac:dyDescent="0.2">
      <c r="A559"/>
      <c r="B559" s="1"/>
      <c r="C559"/>
      <c r="D559"/>
      <c r="E559"/>
      <c r="F559"/>
      <c r="G559" s="1"/>
      <c r="H559" s="1"/>
      <c r="I559"/>
      <c r="J559"/>
      <c r="K559"/>
      <c r="L559"/>
      <c r="M559"/>
      <c r="N559"/>
      <c r="O559"/>
      <c r="P559"/>
      <c r="Q559"/>
      <c r="R559" s="558" t="s">
        <v>1727</v>
      </c>
      <c r="S559" s="83"/>
      <c r="T559" s="56"/>
      <c r="U559" s="955"/>
      <c r="V559" s="43" t="str">
        <f>Z550</f>
        <v>F</v>
      </c>
      <c r="W559" s="10"/>
      <c r="X559" s="45" t="s">
        <v>769</v>
      </c>
      <c r="Y559" s="10"/>
      <c r="Z559" s="46" t="str">
        <f>V552</f>
        <v>I</v>
      </c>
      <c r="AA559" s="123"/>
      <c r="AB559" s="1459">
        <f t="shared" si="232"/>
        <v>0</v>
      </c>
      <c r="AC559" s="1460" t="str">
        <f t="shared" si="233"/>
        <v>-</v>
      </c>
      <c r="AD559" s="1459">
        <f t="shared" si="234"/>
        <v>0</v>
      </c>
      <c r="AE559" s="964" t="str">
        <f t="shared" si="235"/>
        <v/>
      </c>
      <c r="AF559" s="964" t="str">
        <f t="shared" si="236"/>
        <v/>
      </c>
      <c r="AG559" s="964" t="str">
        <f t="shared" si="237"/>
        <v/>
      </c>
      <c r="AH559" s="964" t="str">
        <f t="shared" si="238"/>
        <v/>
      </c>
      <c r="AI559" s="964" t="str">
        <f t="shared" si="239"/>
        <v/>
      </c>
      <c r="AJ559" s="964"/>
      <c r="AK559" s="964"/>
      <c r="AL559"/>
      <c r="AM559"/>
      <c r="AN559"/>
      <c r="AO559"/>
      <c r="AP559"/>
      <c r="AQ559"/>
      <c r="AR559"/>
      <c r="AS559"/>
      <c r="AT559"/>
      <c r="AU559"/>
      <c r="AV559"/>
      <c r="AW559"/>
      <c r="AX559" s="9"/>
      <c r="AY559"/>
      <c r="AZ559"/>
      <c r="BA559"/>
      <c r="BB559"/>
      <c r="BC559"/>
      <c r="BD559"/>
      <c r="BE559"/>
      <c r="BF559"/>
      <c r="BG559"/>
      <c r="BH559"/>
      <c r="BI559"/>
      <c r="BJ559"/>
      <c r="BK559"/>
      <c r="BL559"/>
      <c r="BM559"/>
      <c r="BN559"/>
      <c r="BO559"/>
      <c r="BP559"/>
      <c r="BQ559"/>
      <c r="BR559"/>
      <c r="BS559"/>
      <c r="BT559"/>
      <c r="BU559"/>
      <c r="BV559"/>
      <c r="BW559"/>
      <c r="BX559"/>
      <c r="BY559"/>
      <c r="BZ559"/>
      <c r="CA559" s="1396"/>
      <c r="CB559" s="1396"/>
      <c r="CC559"/>
      <c r="CD559"/>
      <c r="CE559"/>
    </row>
    <row r="560" spans="1:83" ht="13.15" customHeight="1" outlineLevel="2" x14ac:dyDescent="0.2">
      <c r="A560"/>
      <c r="B560" s="1"/>
      <c r="C560"/>
      <c r="D560"/>
      <c r="E560"/>
      <c r="F560"/>
      <c r="G560" s="1"/>
      <c r="H560" s="1"/>
      <c r="I560"/>
      <c r="J560"/>
      <c r="K560"/>
      <c r="L560"/>
      <c r="M560"/>
      <c r="N560"/>
      <c r="O560"/>
      <c r="P560"/>
      <c r="Q560"/>
      <c r="R560" s="558" t="s">
        <v>1727</v>
      </c>
      <c r="S560" s="83"/>
      <c r="T560" s="56"/>
      <c r="U560" s="955"/>
      <c r="V560" s="43" t="str">
        <f>Z551</f>
        <v>H</v>
      </c>
      <c r="W560" s="10"/>
      <c r="X560" s="45" t="s">
        <v>769</v>
      </c>
      <c r="Y560" s="10"/>
      <c r="Z560" s="46" t="str">
        <f>V553</f>
        <v>K</v>
      </c>
      <c r="AA560" s="123"/>
      <c r="AB560" s="1459">
        <f t="shared" si="232"/>
        <v>0</v>
      </c>
      <c r="AC560" s="1460" t="str">
        <f t="shared" si="233"/>
        <v>-</v>
      </c>
      <c r="AD560" s="1459">
        <f t="shared" si="234"/>
        <v>0</v>
      </c>
      <c r="AE560" s="964" t="str">
        <f t="shared" si="235"/>
        <v/>
      </c>
      <c r="AF560" s="964" t="str">
        <f t="shared" si="236"/>
        <v/>
      </c>
      <c r="AG560" s="964" t="str">
        <f t="shared" si="237"/>
        <v/>
      </c>
      <c r="AH560" s="964" t="str">
        <f t="shared" si="238"/>
        <v/>
      </c>
      <c r="AI560" s="964" t="str">
        <f t="shared" si="239"/>
        <v/>
      </c>
      <c r="AJ560" s="964"/>
      <c r="AK560" s="964"/>
      <c r="AL560"/>
      <c r="AM560"/>
      <c r="AN560"/>
      <c r="AO560"/>
      <c r="AP560"/>
      <c r="AQ560"/>
      <c r="AR560"/>
      <c r="AS560"/>
      <c r="AT560"/>
      <c r="AU560"/>
      <c r="AV560"/>
      <c r="AW560" s="9"/>
      <c r="AX560" s="9"/>
      <c r="AY560"/>
      <c r="AZ560"/>
      <c r="BA560"/>
      <c r="BB560"/>
      <c r="BC560"/>
      <c r="BD560"/>
      <c r="BE560"/>
      <c r="BF560"/>
      <c r="BG560"/>
      <c r="BH560"/>
      <c r="BI560"/>
      <c r="BJ560"/>
      <c r="BK560"/>
      <c r="BL560"/>
      <c r="BM560"/>
      <c r="BN560"/>
      <c r="BO560"/>
      <c r="BP560"/>
      <c r="BQ560"/>
      <c r="BR560"/>
      <c r="BS560"/>
      <c r="BT560"/>
      <c r="BU560"/>
      <c r="BV560"/>
      <c r="BW560"/>
      <c r="BX560"/>
      <c r="BY560"/>
      <c r="BZ560"/>
      <c r="CA560" s="1396"/>
      <c r="CB560" s="1396"/>
      <c r="CC560"/>
      <c r="CD560"/>
      <c r="CE560"/>
    </row>
    <row r="561" spans="1:83" ht="13.15" customHeight="1" outlineLevel="2" thickBot="1" x14ac:dyDescent="0.25">
      <c r="A561"/>
      <c r="B561" s="1"/>
      <c r="C561"/>
      <c r="D561"/>
      <c r="E561"/>
      <c r="F561"/>
      <c r="G561" s="1"/>
      <c r="H561" s="1"/>
      <c r="I561"/>
      <c r="J561"/>
      <c r="K561"/>
      <c r="L561"/>
      <c r="M561"/>
      <c r="N561"/>
      <c r="O561"/>
      <c r="P561"/>
      <c r="Q561"/>
      <c r="R561" s="558" t="s">
        <v>1727</v>
      </c>
      <c r="S561" s="83"/>
      <c r="T561" s="56"/>
      <c r="U561" s="955"/>
      <c r="V561" s="43" t="str">
        <f>Z552</f>
        <v>J</v>
      </c>
      <c r="W561" s="10"/>
      <c r="X561" s="45" t="s">
        <v>769</v>
      </c>
      <c r="Y561" s="10"/>
      <c r="Z561" s="46" t="str">
        <f>G545</f>
        <v>M</v>
      </c>
      <c r="AA561" s="123"/>
      <c r="AB561" s="1459">
        <f t="shared" si="232"/>
        <v>0</v>
      </c>
      <c r="AC561" s="1460" t="str">
        <f t="shared" si="233"/>
        <v>-</v>
      </c>
      <c r="AD561" s="1459">
        <f t="shared" si="234"/>
        <v>0</v>
      </c>
      <c r="AE561" s="964" t="str">
        <f t="shared" si="235"/>
        <v/>
      </c>
      <c r="AF561" s="964" t="str">
        <f t="shared" si="236"/>
        <v/>
      </c>
      <c r="AG561" s="964" t="str">
        <f t="shared" si="237"/>
        <v/>
      </c>
      <c r="AH561" s="964" t="str">
        <f t="shared" si="238"/>
        <v/>
      </c>
      <c r="AI561" s="964" t="str">
        <f t="shared" si="239"/>
        <v/>
      </c>
      <c r="AJ561" s="964"/>
      <c r="AK561" s="964"/>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s="1396"/>
      <c r="CB561" s="1396"/>
      <c r="CC561"/>
      <c r="CD561"/>
      <c r="CE561"/>
    </row>
    <row r="562" spans="1:83" ht="13.5" outlineLevel="1" thickBot="1" x14ac:dyDescent="0.25">
      <c r="A562"/>
      <c r="B562" s="1"/>
      <c r="C562" s="1"/>
      <c r="D562" s="76"/>
      <c r="E562" s="76"/>
      <c r="F562" s="76"/>
      <c r="G562" s="9"/>
      <c r="H562" s="9"/>
      <c r="I562" s="1"/>
      <c r="J562"/>
      <c r="K562"/>
      <c r="L562"/>
      <c r="M562"/>
      <c r="N562"/>
      <c r="O562"/>
      <c r="P562" s="89"/>
      <c r="Q562"/>
      <c r="R562" s="1"/>
      <c r="S562" s="993">
        <f>S554+1</f>
        <v>3</v>
      </c>
      <c r="T562" s="961"/>
      <c r="U562" s="961"/>
      <c r="V562" s="961"/>
      <c r="W562" s="960"/>
      <c r="X562" s="960"/>
      <c r="Y562" s="960"/>
      <c r="Z562" s="962"/>
      <c r="AA562" s="123"/>
      <c r="AB562" s="963"/>
      <c r="AC562" s="963"/>
      <c r="AD562" s="963"/>
      <c r="AE562" s="964"/>
      <c r="AF562" s="964"/>
      <c r="AG562" s="964"/>
      <c r="AH562" s="964"/>
      <c r="AI562" s="964"/>
      <c r="AJ562" s="964"/>
      <c r="AK562" s="964"/>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s="1396"/>
      <c r="CB562" s="1396"/>
      <c r="CC562"/>
      <c r="CD562"/>
      <c r="CE562"/>
    </row>
    <row r="563" spans="1:83" ht="13.9" customHeight="1" outlineLevel="2" thickBot="1" x14ac:dyDescent="0.25">
      <c r="A563"/>
      <c r="B563" s="1"/>
      <c r="C563"/>
      <c r="D563"/>
      <c r="E563"/>
      <c r="F563"/>
      <c r="G563" s="1"/>
      <c r="H563" s="1"/>
      <c r="I563"/>
      <c r="J563"/>
      <c r="K563"/>
      <c r="L563"/>
      <c r="M563"/>
      <c r="N563"/>
      <c r="O563"/>
      <c r="P563"/>
      <c r="Q563"/>
      <c r="S563" s="22" t="str">
        <f>N_Heure</f>
        <v>Heure</v>
      </c>
      <c r="T563" s="22" t="str">
        <f>N_Table</f>
        <v>Table</v>
      </c>
      <c r="U563" s="22" t="str">
        <f>N_Arbitre</f>
        <v>Arbitre</v>
      </c>
      <c r="V563" s="293" t="str">
        <f>N_Matches</f>
        <v>Matches</v>
      </c>
      <c r="W563" s="294"/>
      <c r="X563" s="294"/>
      <c r="Y563" s="294"/>
      <c r="Z563" s="295"/>
      <c r="AA563" s="8"/>
      <c r="AB563" s="967"/>
      <c r="AC563" s="967"/>
      <c r="AD563" s="967"/>
      <c r="AE563" s="964"/>
      <c r="AF563" s="964"/>
      <c r="AG563" s="964"/>
      <c r="AH563" s="964"/>
      <c r="AI563" s="964"/>
      <c r="AJ563" s="964"/>
      <c r="AK563" s="964"/>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s="1396"/>
      <c r="CB563" s="1396"/>
      <c r="CC563"/>
      <c r="CD563"/>
      <c r="CE563"/>
    </row>
    <row r="564" spans="1:83" ht="13.15" customHeight="1" outlineLevel="2" x14ac:dyDescent="0.2">
      <c r="A564"/>
      <c r="B564" s="1"/>
      <c r="C564"/>
      <c r="D564"/>
      <c r="E564"/>
      <c r="F564"/>
      <c r="G564" s="1"/>
      <c r="H564" s="1"/>
      <c r="I564"/>
      <c r="J564"/>
      <c r="K564"/>
      <c r="L564"/>
      <c r="M564"/>
      <c r="N564"/>
      <c r="O564"/>
      <c r="P564"/>
      <c r="Q564"/>
      <c r="R564" s="558" t="s">
        <v>1728</v>
      </c>
      <c r="S564" s="65"/>
      <c r="T564" s="953"/>
      <c r="U564" s="954"/>
      <c r="V564" s="34" t="str">
        <f>Z556</f>
        <v>A</v>
      </c>
      <c r="W564" s="148"/>
      <c r="X564" s="35" t="s">
        <v>769</v>
      </c>
      <c r="Y564" s="148"/>
      <c r="Z564" s="36" t="str">
        <f>Z557</f>
        <v>E</v>
      </c>
      <c r="AA564" s="123"/>
      <c r="AB564" s="1459">
        <f t="shared" ref="AB564:AB569" si="240">IF(MaxScore,MaxGoals(W564,Y564,MaxGoalsValue),IF(W564="","",W564))</f>
        <v>0</v>
      </c>
      <c r="AC564" s="1460" t="str">
        <f t="shared" ref="AC564:AC569" si="241">IF(MaxScore,"-",IF(W564="","","-"))</f>
        <v>-</v>
      </c>
      <c r="AD564" s="1459">
        <f t="shared" ref="AD564:AD569" si="242">IF(MaxScore,MaxGoals(Y564,W564,MaxGoalsValue),IF(Y564="","",Y564))</f>
        <v>0</v>
      </c>
      <c r="AE564" s="964" t="str">
        <f t="shared" ref="AE564:AE569" si="243">IF(W564="","",IF(W564&gt;Y564,V564,IF(W564=Y564,"",Z564)))</f>
        <v/>
      </c>
      <c r="AF564" s="964" t="str">
        <f t="shared" ref="AF564:AF569" si="244">IF(W564="","",IF(W564=Y564,V564,""))</f>
        <v/>
      </c>
      <c r="AG564" s="964" t="str">
        <f t="shared" ref="AG564:AG569" si="245">IF(W564="","",IF(W564=Y564,Z564,""))</f>
        <v/>
      </c>
      <c r="AH564" s="964" t="str">
        <f t="shared" ref="AH564:AH569" si="246">IF(W564="","",IF(W564&lt;Y564,V564,IF(W564=Y564,"",Z564)))</f>
        <v/>
      </c>
      <c r="AI564" s="964" t="str">
        <f t="shared" ref="AI564:AI569" si="247">CONCATENATE(AE564,AH564)</f>
        <v/>
      </c>
      <c r="AJ564" s="964"/>
      <c r="AK564" s="9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s="1396"/>
      <c r="CB564" s="1396"/>
      <c r="CC564"/>
      <c r="CD564"/>
      <c r="CE564"/>
    </row>
    <row r="565" spans="1:83" ht="13.15" customHeight="1" outlineLevel="2" x14ac:dyDescent="0.2">
      <c r="A565"/>
      <c r="B565" s="1"/>
      <c r="C565"/>
      <c r="D565"/>
      <c r="E565"/>
      <c r="F565"/>
      <c r="G565" s="1"/>
      <c r="H565" s="1"/>
      <c r="I565"/>
      <c r="J565"/>
      <c r="K565"/>
      <c r="L565"/>
      <c r="M565"/>
      <c r="N565"/>
      <c r="O565"/>
      <c r="P565"/>
      <c r="Q565"/>
      <c r="R565" s="558" t="s">
        <v>1728</v>
      </c>
      <c r="S565" s="83"/>
      <c r="T565" s="56"/>
      <c r="U565" s="955"/>
      <c r="V565" s="43" t="str">
        <f>Z558</f>
        <v>G</v>
      </c>
      <c r="W565" s="10"/>
      <c r="X565" s="45" t="s">
        <v>769</v>
      </c>
      <c r="Y565" s="10"/>
      <c r="Z565" s="46" t="str">
        <f>V556</f>
        <v>C</v>
      </c>
      <c r="AA565" s="123"/>
      <c r="AB565" s="1459">
        <f t="shared" si="240"/>
        <v>0</v>
      </c>
      <c r="AC565" s="1460" t="str">
        <f t="shared" si="241"/>
        <v>-</v>
      </c>
      <c r="AD565" s="1459">
        <f t="shared" si="242"/>
        <v>0</v>
      </c>
      <c r="AE565" s="964" t="str">
        <f t="shared" si="243"/>
        <v/>
      </c>
      <c r="AF565" s="964" t="str">
        <f t="shared" si="244"/>
        <v/>
      </c>
      <c r="AG565" s="964" t="str">
        <f t="shared" si="245"/>
        <v/>
      </c>
      <c r="AH565" s="964" t="str">
        <f t="shared" si="246"/>
        <v/>
      </c>
      <c r="AI565" s="964" t="str">
        <f t="shared" si="247"/>
        <v/>
      </c>
      <c r="AJ565" s="964"/>
      <c r="AK565" s="964"/>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s="1396"/>
      <c r="CB565" s="1396"/>
      <c r="CC565"/>
      <c r="CD565"/>
      <c r="CE565"/>
    </row>
    <row r="566" spans="1:83" ht="13.15" customHeight="1" outlineLevel="2" x14ac:dyDescent="0.2">
      <c r="A566"/>
      <c r="B566" s="1"/>
      <c r="C566"/>
      <c r="D566"/>
      <c r="E566"/>
      <c r="F566"/>
      <c r="G566" s="1"/>
      <c r="H566" s="1"/>
      <c r="I566"/>
      <c r="J566"/>
      <c r="K566"/>
      <c r="L566"/>
      <c r="M566"/>
      <c r="N566"/>
      <c r="O566"/>
      <c r="P566"/>
      <c r="Q566"/>
      <c r="R566" s="558" t="s">
        <v>1728</v>
      </c>
      <c r="S566" s="83"/>
      <c r="T566" s="56"/>
      <c r="U566" s="955"/>
      <c r="V566" s="43" t="str">
        <f>Z559</f>
        <v>I</v>
      </c>
      <c r="W566" s="10"/>
      <c r="X566" s="45" t="s">
        <v>769</v>
      </c>
      <c r="Y566" s="10"/>
      <c r="Z566" s="46" t="str">
        <f>V557</f>
        <v>B</v>
      </c>
      <c r="AA566" s="123"/>
      <c r="AB566" s="1459">
        <f t="shared" si="240"/>
        <v>0</v>
      </c>
      <c r="AC566" s="1460" t="str">
        <f t="shared" si="241"/>
        <v>-</v>
      </c>
      <c r="AD566" s="1459">
        <f t="shared" si="242"/>
        <v>0</v>
      </c>
      <c r="AE566" s="964" t="str">
        <f t="shared" si="243"/>
        <v/>
      </c>
      <c r="AF566" s="964" t="str">
        <f t="shared" si="244"/>
        <v/>
      </c>
      <c r="AG566" s="964" t="str">
        <f t="shared" si="245"/>
        <v/>
      </c>
      <c r="AH566" s="964" t="str">
        <f t="shared" si="246"/>
        <v/>
      </c>
      <c r="AI566" s="964" t="str">
        <f t="shared" si="247"/>
        <v/>
      </c>
      <c r="AJ566" s="964"/>
      <c r="AK566" s="964"/>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s="1396"/>
      <c r="CB566" s="1396"/>
      <c r="CC566"/>
      <c r="CD566"/>
      <c r="CE566"/>
    </row>
    <row r="567" spans="1:83" ht="13.15" customHeight="1" outlineLevel="2" x14ac:dyDescent="0.2">
      <c r="A567"/>
      <c r="B567" s="1"/>
      <c r="C567"/>
      <c r="D567"/>
      <c r="E567"/>
      <c r="F567"/>
      <c r="G567" s="1"/>
      <c r="H567" s="1"/>
      <c r="I567"/>
      <c r="J567"/>
      <c r="K567"/>
      <c r="L567"/>
      <c r="M567"/>
      <c r="N567"/>
      <c r="O567"/>
      <c r="P567"/>
      <c r="Q567"/>
      <c r="R567" s="558" t="s">
        <v>1728</v>
      </c>
      <c r="S567" s="83"/>
      <c r="T567" s="56"/>
      <c r="U567" s="955"/>
      <c r="V567" s="43" t="str">
        <f>Z560</f>
        <v>K</v>
      </c>
      <c r="W567" s="10"/>
      <c r="X567" s="45" t="s">
        <v>769</v>
      </c>
      <c r="Y567" s="10"/>
      <c r="Z567" s="46" t="str">
        <f>V558</f>
        <v>D</v>
      </c>
      <c r="AA567" s="123"/>
      <c r="AB567" s="1459">
        <f t="shared" si="240"/>
        <v>0</v>
      </c>
      <c r="AC567" s="1460" t="str">
        <f t="shared" si="241"/>
        <v>-</v>
      </c>
      <c r="AD567" s="1459">
        <f t="shared" si="242"/>
        <v>0</v>
      </c>
      <c r="AE567" s="964" t="str">
        <f t="shared" si="243"/>
        <v/>
      </c>
      <c r="AF567" s="964" t="str">
        <f t="shared" si="244"/>
        <v/>
      </c>
      <c r="AG567" s="964" t="str">
        <f t="shared" si="245"/>
        <v/>
      </c>
      <c r="AH567" s="964" t="str">
        <f t="shared" si="246"/>
        <v/>
      </c>
      <c r="AI567" s="964" t="str">
        <f t="shared" si="247"/>
        <v/>
      </c>
      <c r="AJ567" s="964"/>
      <c r="AK567" s="964"/>
      <c r="AL567"/>
      <c r="AM567"/>
      <c r="AN567"/>
      <c r="AO567"/>
      <c r="AP567"/>
      <c r="AQ567"/>
      <c r="AR567"/>
      <c r="AS567"/>
      <c r="AT567"/>
      <c r="AU567"/>
      <c r="AV567"/>
      <c r="AW567"/>
      <c r="AX567" s="9"/>
      <c r="AY567"/>
      <c r="AZ567"/>
      <c r="BA567"/>
      <c r="BB567"/>
      <c r="BC567"/>
      <c r="BD567"/>
      <c r="BE567"/>
      <c r="BF567"/>
      <c r="BG567"/>
      <c r="BH567"/>
      <c r="BI567"/>
      <c r="BJ567"/>
      <c r="BK567"/>
      <c r="BL567"/>
      <c r="BM567"/>
      <c r="BN567"/>
      <c r="BO567"/>
      <c r="BP567"/>
      <c r="BQ567"/>
      <c r="BR567"/>
      <c r="BS567"/>
      <c r="BT567"/>
      <c r="BU567"/>
      <c r="BV567"/>
      <c r="BW567"/>
      <c r="BX567"/>
      <c r="BY567"/>
      <c r="BZ567"/>
      <c r="CA567" s="1396"/>
      <c r="CB567" s="1396"/>
      <c r="CC567"/>
      <c r="CD567"/>
      <c r="CE567"/>
    </row>
    <row r="568" spans="1:83" ht="13.15" customHeight="1" outlineLevel="2" x14ac:dyDescent="0.2">
      <c r="A568"/>
      <c r="B568" s="1"/>
      <c r="C568"/>
      <c r="D568"/>
      <c r="E568"/>
      <c r="F568"/>
      <c r="G568" s="1"/>
      <c r="H568" s="1"/>
      <c r="I568"/>
      <c r="J568"/>
      <c r="K568"/>
      <c r="L568"/>
      <c r="M568"/>
      <c r="N568"/>
      <c r="O568"/>
      <c r="P568"/>
      <c r="Q568"/>
      <c r="R568" s="558" t="s">
        <v>1728</v>
      </c>
      <c r="S568" s="83"/>
      <c r="T568" s="56"/>
      <c r="U568" s="955"/>
      <c r="V568" s="43" t="str">
        <f>Z561</f>
        <v>M</v>
      </c>
      <c r="W568" s="10"/>
      <c r="X568" s="45" t="s">
        <v>769</v>
      </c>
      <c r="Y568" s="10"/>
      <c r="Z568" s="46" t="str">
        <f>V559</f>
        <v>F</v>
      </c>
      <c r="AA568" s="123"/>
      <c r="AB568" s="1459">
        <f t="shared" si="240"/>
        <v>0</v>
      </c>
      <c r="AC568" s="1460" t="str">
        <f t="shared" si="241"/>
        <v>-</v>
      </c>
      <c r="AD568" s="1459">
        <f t="shared" si="242"/>
        <v>0</v>
      </c>
      <c r="AE568" s="964" t="str">
        <f t="shared" si="243"/>
        <v/>
      </c>
      <c r="AF568" s="964" t="str">
        <f t="shared" si="244"/>
        <v/>
      </c>
      <c r="AG568" s="964" t="str">
        <f t="shared" si="245"/>
        <v/>
      </c>
      <c r="AH568" s="964" t="str">
        <f t="shared" si="246"/>
        <v/>
      </c>
      <c r="AI568" s="964" t="str">
        <f t="shared" si="247"/>
        <v/>
      </c>
      <c r="AJ568" s="964"/>
      <c r="AK568" s="964"/>
      <c r="AL568"/>
      <c r="AM568"/>
      <c r="AN568"/>
      <c r="AO568"/>
      <c r="AP568"/>
      <c r="AQ568"/>
      <c r="AR568"/>
      <c r="AS568"/>
      <c r="AT568"/>
      <c r="AU568"/>
      <c r="AV568"/>
      <c r="AW568" s="9"/>
      <c r="AX568" s="9"/>
      <c r="AY568"/>
      <c r="AZ568"/>
      <c r="BA568"/>
      <c r="BB568"/>
      <c r="BC568"/>
      <c r="BD568"/>
      <c r="BE568"/>
      <c r="BF568"/>
      <c r="BG568"/>
      <c r="BH568"/>
      <c r="BI568"/>
      <c r="BJ568"/>
      <c r="BK568"/>
      <c r="BL568"/>
      <c r="BM568"/>
      <c r="BN568"/>
      <c r="BO568"/>
      <c r="BP568"/>
      <c r="BQ568"/>
      <c r="BR568"/>
      <c r="BS568"/>
      <c r="BT568"/>
      <c r="BU568"/>
      <c r="BV568"/>
      <c r="BW568"/>
      <c r="BX568"/>
      <c r="BY568"/>
      <c r="BZ568"/>
      <c r="CA568" s="1396"/>
      <c r="CB568" s="1396"/>
      <c r="CC568"/>
      <c r="CD568"/>
      <c r="CE568"/>
    </row>
    <row r="569" spans="1:83" ht="13.9" customHeight="1" outlineLevel="2" thickBot="1" x14ac:dyDescent="0.25">
      <c r="A569"/>
      <c r="B569" s="1"/>
      <c r="C569"/>
      <c r="D569"/>
      <c r="E569"/>
      <c r="F569"/>
      <c r="G569" s="1"/>
      <c r="H569" s="1"/>
      <c r="I569"/>
      <c r="J569"/>
      <c r="K569"/>
      <c r="L569"/>
      <c r="M569"/>
      <c r="N569"/>
      <c r="O569"/>
      <c r="P569"/>
      <c r="Q569"/>
      <c r="R569" s="558" t="s">
        <v>1728</v>
      </c>
      <c r="S569" s="956"/>
      <c r="T569" s="58"/>
      <c r="U569" s="957"/>
      <c r="V569" s="958" t="str">
        <f>Z553</f>
        <v>L</v>
      </c>
      <c r="W569" s="10"/>
      <c r="X569" s="45" t="s">
        <v>769</v>
      </c>
      <c r="Y569" s="10"/>
      <c r="Z569" s="46" t="str">
        <f>+V561</f>
        <v>J</v>
      </c>
      <c r="AA569" s="123"/>
      <c r="AB569" s="1459">
        <f t="shared" si="240"/>
        <v>0</v>
      </c>
      <c r="AC569" s="1460" t="str">
        <f t="shared" si="241"/>
        <v>-</v>
      </c>
      <c r="AD569" s="1459">
        <f t="shared" si="242"/>
        <v>0</v>
      </c>
      <c r="AE569" s="964" t="str">
        <f t="shared" si="243"/>
        <v/>
      </c>
      <c r="AF569" s="964" t="str">
        <f t="shared" si="244"/>
        <v/>
      </c>
      <c r="AG569" s="964" t="str">
        <f t="shared" si="245"/>
        <v/>
      </c>
      <c r="AH569" s="964" t="str">
        <f t="shared" si="246"/>
        <v/>
      </c>
      <c r="AI569" s="964" t="str">
        <f t="shared" si="247"/>
        <v/>
      </c>
      <c r="AJ569" s="964"/>
      <c r="AK569" s="964"/>
      <c r="AL569"/>
      <c r="AM569"/>
      <c r="AN569"/>
      <c r="AO569"/>
      <c r="AP569"/>
      <c r="AQ569"/>
      <c r="AR569"/>
      <c r="AS569"/>
      <c r="AT569"/>
      <c r="AU569"/>
      <c r="AV569"/>
      <c r="AW569" s="9"/>
      <c r="AX569" s="9"/>
      <c r="AY569"/>
      <c r="AZ569"/>
      <c r="BA569"/>
      <c r="BB569"/>
      <c r="BC569"/>
      <c r="BD569"/>
      <c r="BE569"/>
      <c r="BF569"/>
      <c r="BG569"/>
      <c r="BH569"/>
      <c r="BI569"/>
      <c r="BJ569"/>
      <c r="BK569"/>
      <c r="BL569"/>
      <c r="BM569"/>
      <c r="BN569"/>
      <c r="BO569"/>
      <c r="BP569"/>
      <c r="BQ569"/>
      <c r="BR569"/>
      <c r="BS569"/>
      <c r="BT569"/>
      <c r="BU569"/>
      <c r="BV569"/>
      <c r="BW569"/>
      <c r="BX569"/>
      <c r="BY569"/>
      <c r="BZ569"/>
      <c r="CA569" s="1396"/>
      <c r="CB569" s="1396"/>
      <c r="CC569"/>
      <c r="CD569"/>
      <c r="CE569"/>
    </row>
    <row r="570" spans="1:83" ht="13.5" outlineLevel="1" thickBot="1" x14ac:dyDescent="0.25">
      <c r="A570"/>
      <c r="B570" s="1"/>
      <c r="C570" s="1"/>
      <c r="D570" s="76"/>
      <c r="E570" s="76"/>
      <c r="F570" s="76"/>
      <c r="G570" s="9"/>
      <c r="H570" s="9"/>
      <c r="I570" s="1"/>
      <c r="J570"/>
      <c r="K570"/>
      <c r="L570"/>
      <c r="M570"/>
      <c r="N570"/>
      <c r="O570"/>
      <c r="P570" s="89"/>
      <c r="Q570"/>
      <c r="R570" s="1"/>
      <c r="S570" s="993">
        <f>S562+1</f>
        <v>4</v>
      </c>
      <c r="T570" s="961"/>
      <c r="U570" s="961"/>
      <c r="V570" s="961"/>
      <c r="W570" s="960"/>
      <c r="X570" s="960"/>
      <c r="Y570" s="960"/>
      <c r="Z570" s="962"/>
      <c r="AA570" s="123"/>
      <c r="AB570" s="963"/>
      <c r="AC570" s="963"/>
      <c r="AD570" s="963"/>
      <c r="AE570" s="964"/>
      <c r="AF570" s="964"/>
      <c r="AG570" s="964"/>
      <c r="AH570" s="964"/>
      <c r="AI570" s="964"/>
      <c r="AJ570" s="964"/>
      <c r="AK570" s="964"/>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s="1396"/>
      <c r="CB570" s="1396"/>
      <c r="CC570"/>
      <c r="CD570"/>
      <c r="CE570"/>
    </row>
    <row r="571" spans="1:83" ht="13.9" customHeight="1" outlineLevel="2" thickBot="1" x14ac:dyDescent="0.25">
      <c r="A571"/>
      <c r="B571" s="1"/>
      <c r="C571"/>
      <c r="D571"/>
      <c r="E571"/>
      <c r="F571"/>
      <c r="G571" s="1"/>
      <c r="H571" s="1"/>
      <c r="I571"/>
      <c r="J571"/>
      <c r="K571"/>
      <c r="L571"/>
      <c r="M571"/>
      <c r="N571"/>
      <c r="O571"/>
      <c r="P571"/>
      <c r="Q571"/>
      <c r="S571" s="22" t="str">
        <f>N_Heure</f>
        <v>Heure</v>
      </c>
      <c r="T571" s="22" t="str">
        <f>N_Table</f>
        <v>Table</v>
      </c>
      <c r="U571" s="22" t="str">
        <f>N_Arbitre</f>
        <v>Arbitre</v>
      </c>
      <c r="V571" s="293" t="str">
        <f>N_Matches</f>
        <v>Matches</v>
      </c>
      <c r="W571" s="294"/>
      <c r="X571" s="294"/>
      <c r="Y571" s="294"/>
      <c r="Z571" s="295"/>
      <c r="AA571" s="8"/>
      <c r="AB571" s="967"/>
      <c r="AC571" s="967"/>
      <c r="AD571" s="967"/>
      <c r="AE571" s="964"/>
      <c r="AF571" s="964"/>
      <c r="AG571" s="964"/>
      <c r="AH571" s="964"/>
      <c r="AI571" s="964"/>
      <c r="AJ571" s="964"/>
      <c r="AK571" s="964"/>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s="1396"/>
      <c r="CB571" s="1396"/>
      <c r="CC571"/>
      <c r="CD571"/>
      <c r="CE571"/>
    </row>
    <row r="572" spans="1:83" ht="13.15" customHeight="1" outlineLevel="2" x14ac:dyDescent="0.2">
      <c r="A572"/>
      <c r="B572" s="1"/>
      <c r="C572"/>
      <c r="D572"/>
      <c r="E572"/>
      <c r="F572"/>
      <c r="G572" s="1"/>
      <c r="H572" s="1"/>
      <c r="I572"/>
      <c r="J572"/>
      <c r="K572"/>
      <c r="L572"/>
      <c r="M572"/>
      <c r="N572"/>
      <c r="O572"/>
      <c r="P572"/>
      <c r="Q572"/>
      <c r="R572" s="558" t="s">
        <v>1729</v>
      </c>
      <c r="S572" s="65"/>
      <c r="T572" s="953"/>
      <c r="U572" s="954"/>
      <c r="V572" s="34" t="str">
        <f>V565</f>
        <v>G</v>
      </c>
      <c r="W572" s="148"/>
      <c r="X572" s="35" t="s">
        <v>769</v>
      </c>
      <c r="Y572" s="148"/>
      <c r="Z572" s="36" t="str">
        <f>V564</f>
        <v>A</v>
      </c>
      <c r="AA572" s="123"/>
      <c r="AB572" s="1459">
        <f t="shared" ref="AB572:AB577" si="248">IF(MaxScore,MaxGoals(W572,Y572,MaxGoalsValue),IF(W572="","",W572))</f>
        <v>0</v>
      </c>
      <c r="AC572" s="1460" t="str">
        <f t="shared" ref="AC572:AC577" si="249">IF(MaxScore,"-",IF(W572="","","-"))</f>
        <v>-</v>
      </c>
      <c r="AD572" s="1459">
        <f t="shared" ref="AD572:AD577" si="250">IF(MaxScore,MaxGoals(Y572,W572,MaxGoalsValue),IF(Y572="","",Y572))</f>
        <v>0</v>
      </c>
      <c r="AE572" s="964" t="str">
        <f t="shared" ref="AE572:AE577" si="251">IF(W572="","",IF(W572&gt;Y572,V572,IF(W572=Y572,"",Z572)))</f>
        <v/>
      </c>
      <c r="AF572" s="964" t="str">
        <f t="shared" ref="AF572:AF577" si="252">IF(W572="","",IF(W572=Y572,V572,""))</f>
        <v/>
      </c>
      <c r="AG572" s="964" t="str">
        <f t="shared" ref="AG572:AG577" si="253">IF(W572="","",IF(W572=Y572,Z572,""))</f>
        <v/>
      </c>
      <c r="AH572" s="964" t="str">
        <f t="shared" ref="AH572:AH577" si="254">IF(W572="","",IF(W572&lt;Y572,V572,IF(W572=Y572,"",Z572)))</f>
        <v/>
      </c>
      <c r="AI572" s="964" t="str">
        <f t="shared" ref="AI572:AI577" si="255">CONCATENATE(AE572,AH572)</f>
        <v/>
      </c>
      <c r="AJ572" s="964"/>
      <c r="AK572" s="964"/>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s="1396"/>
      <c r="CB572" s="1396"/>
      <c r="CC572"/>
      <c r="CD572"/>
      <c r="CE572"/>
    </row>
    <row r="573" spans="1:83" ht="13.15" customHeight="1" outlineLevel="2" x14ac:dyDescent="0.2">
      <c r="A573"/>
      <c r="B573" s="1"/>
      <c r="C573"/>
      <c r="D573"/>
      <c r="E573"/>
      <c r="F573"/>
      <c r="G573" s="1"/>
      <c r="H573" s="1"/>
      <c r="I573"/>
      <c r="J573"/>
      <c r="K573"/>
      <c r="L573"/>
      <c r="M573"/>
      <c r="N573"/>
      <c r="O573"/>
      <c r="P573"/>
      <c r="Q573"/>
      <c r="R573" s="558" t="s">
        <v>1729</v>
      </c>
      <c r="S573" s="83"/>
      <c r="T573" s="56"/>
      <c r="U573" s="955"/>
      <c r="V573" s="43" t="str">
        <f>Z564</f>
        <v>E</v>
      </c>
      <c r="W573" s="10"/>
      <c r="X573" s="45" t="s">
        <v>769</v>
      </c>
      <c r="Y573" s="10"/>
      <c r="Z573" s="46" t="str">
        <f>V566</f>
        <v>I</v>
      </c>
      <c r="AA573" s="123"/>
      <c r="AB573" s="1459">
        <f t="shared" si="248"/>
        <v>0</v>
      </c>
      <c r="AC573" s="1460" t="str">
        <f t="shared" si="249"/>
        <v>-</v>
      </c>
      <c r="AD573" s="1459">
        <f t="shared" si="250"/>
        <v>0</v>
      </c>
      <c r="AE573" s="964" t="str">
        <f t="shared" si="251"/>
        <v/>
      </c>
      <c r="AF573" s="964" t="str">
        <f t="shared" si="252"/>
        <v/>
      </c>
      <c r="AG573" s="964" t="str">
        <f t="shared" si="253"/>
        <v/>
      </c>
      <c r="AH573" s="964" t="str">
        <f t="shared" si="254"/>
        <v/>
      </c>
      <c r="AI573" s="964" t="str">
        <f t="shared" si="255"/>
        <v/>
      </c>
      <c r="AJ573" s="964"/>
      <c r="AK573" s="964"/>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s="1396"/>
      <c r="CB573" s="1396"/>
      <c r="CC573"/>
      <c r="CD573"/>
      <c r="CE573"/>
    </row>
    <row r="574" spans="1:83" ht="13.15" customHeight="1" outlineLevel="2" x14ac:dyDescent="0.2">
      <c r="A574"/>
      <c r="B574" s="1"/>
      <c r="C574"/>
      <c r="D574"/>
      <c r="E574"/>
      <c r="F574"/>
      <c r="G574" s="1"/>
      <c r="H574" s="1"/>
      <c r="I574"/>
      <c r="J574"/>
      <c r="K574"/>
      <c r="L574"/>
      <c r="M574"/>
      <c r="N574"/>
      <c r="O574"/>
      <c r="P574"/>
      <c r="Q574"/>
      <c r="R574" s="558" t="s">
        <v>1729</v>
      </c>
      <c r="S574" s="83"/>
      <c r="T574" s="56"/>
      <c r="U574" s="955"/>
      <c r="V574" s="43" t="str">
        <f>Z565</f>
        <v>C</v>
      </c>
      <c r="W574" s="10"/>
      <c r="X574" s="45" t="s">
        <v>769</v>
      </c>
      <c r="Y574" s="10"/>
      <c r="Z574" s="46" t="str">
        <f>V567</f>
        <v>K</v>
      </c>
      <c r="AA574" s="123"/>
      <c r="AB574" s="1459">
        <f t="shared" si="248"/>
        <v>0</v>
      </c>
      <c r="AC574" s="1460" t="str">
        <f t="shared" si="249"/>
        <v>-</v>
      </c>
      <c r="AD574" s="1459">
        <f t="shared" si="250"/>
        <v>0</v>
      </c>
      <c r="AE574" s="964" t="str">
        <f t="shared" si="251"/>
        <v/>
      </c>
      <c r="AF574" s="964" t="str">
        <f t="shared" si="252"/>
        <v/>
      </c>
      <c r="AG574" s="964" t="str">
        <f t="shared" si="253"/>
        <v/>
      </c>
      <c r="AH574" s="964" t="str">
        <f t="shared" si="254"/>
        <v/>
      </c>
      <c r="AI574" s="964" t="str">
        <f t="shared" si="255"/>
        <v/>
      </c>
      <c r="AJ574" s="964"/>
      <c r="AK574" s="96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s="1396"/>
      <c r="CB574" s="1396"/>
      <c r="CC574"/>
      <c r="CD574"/>
      <c r="CE574"/>
    </row>
    <row r="575" spans="1:83" ht="13.15" customHeight="1" outlineLevel="2" x14ac:dyDescent="0.2">
      <c r="A575"/>
      <c r="B575" s="1"/>
      <c r="C575"/>
      <c r="D575"/>
      <c r="E575"/>
      <c r="F575"/>
      <c r="G575" s="1"/>
      <c r="H575" s="1"/>
      <c r="I575"/>
      <c r="J575"/>
      <c r="K575"/>
      <c r="L575"/>
      <c r="M575"/>
      <c r="N575"/>
      <c r="O575"/>
      <c r="P575"/>
      <c r="Q575"/>
      <c r="R575" s="558" t="s">
        <v>1729</v>
      </c>
      <c r="S575" s="83"/>
      <c r="T575" s="56"/>
      <c r="U575" s="955"/>
      <c r="V575" s="43" t="str">
        <f>Z566</f>
        <v>B</v>
      </c>
      <c r="W575" s="10"/>
      <c r="X575" s="45" t="s">
        <v>769</v>
      </c>
      <c r="Y575" s="10"/>
      <c r="Z575" s="46" t="str">
        <f>V568</f>
        <v>M</v>
      </c>
      <c r="AA575" s="123"/>
      <c r="AB575" s="1459">
        <f t="shared" si="248"/>
        <v>0</v>
      </c>
      <c r="AC575" s="1460" t="str">
        <f t="shared" si="249"/>
        <v>-</v>
      </c>
      <c r="AD575" s="1459">
        <f t="shared" si="250"/>
        <v>0</v>
      </c>
      <c r="AE575" s="964" t="str">
        <f t="shared" si="251"/>
        <v/>
      </c>
      <c r="AF575" s="964" t="str">
        <f t="shared" si="252"/>
        <v/>
      </c>
      <c r="AG575" s="964" t="str">
        <f t="shared" si="253"/>
        <v/>
      </c>
      <c r="AH575" s="964" t="str">
        <f t="shared" si="254"/>
        <v/>
      </c>
      <c r="AI575" s="964" t="str">
        <f t="shared" si="255"/>
        <v/>
      </c>
      <c r="AJ575" s="964"/>
      <c r="AK575" s="964"/>
      <c r="AL575"/>
      <c r="AM575"/>
      <c r="AN575"/>
      <c r="AO575"/>
      <c r="AP575"/>
      <c r="AQ575"/>
      <c r="AR575"/>
      <c r="AS575"/>
      <c r="AT575"/>
      <c r="AU575"/>
      <c r="AV575"/>
      <c r="AW575"/>
      <c r="AX575" s="9"/>
      <c r="AY575"/>
      <c r="AZ575"/>
      <c r="BA575"/>
      <c r="BB575"/>
      <c r="BC575"/>
      <c r="BD575"/>
      <c r="BE575"/>
      <c r="BF575"/>
      <c r="BG575"/>
      <c r="BH575"/>
      <c r="BI575"/>
      <c r="BJ575"/>
      <c r="BK575"/>
      <c r="BL575"/>
      <c r="BM575"/>
      <c r="BN575"/>
      <c r="BO575"/>
      <c r="BP575"/>
      <c r="BQ575"/>
      <c r="BR575"/>
      <c r="BS575"/>
      <c r="BT575"/>
      <c r="BU575"/>
      <c r="BV575"/>
      <c r="BW575"/>
      <c r="BX575"/>
      <c r="BY575"/>
      <c r="BZ575"/>
      <c r="CA575" s="1396"/>
      <c r="CB575" s="1396"/>
      <c r="CC575"/>
      <c r="CD575"/>
      <c r="CE575"/>
    </row>
    <row r="576" spans="1:83" ht="13.15" customHeight="1" outlineLevel="2" x14ac:dyDescent="0.2">
      <c r="A576"/>
      <c r="B576" s="1"/>
      <c r="C576"/>
      <c r="D576"/>
      <c r="E576"/>
      <c r="F576"/>
      <c r="G576" s="1"/>
      <c r="H576" s="1"/>
      <c r="I576"/>
      <c r="J576"/>
      <c r="K576"/>
      <c r="L576"/>
      <c r="M576"/>
      <c r="N576"/>
      <c r="O576"/>
      <c r="P576"/>
      <c r="Q576"/>
      <c r="R576" s="558" t="s">
        <v>1729</v>
      </c>
      <c r="S576" s="83"/>
      <c r="T576" s="56"/>
      <c r="U576" s="955"/>
      <c r="V576" s="43" t="str">
        <f>Z568</f>
        <v>F</v>
      </c>
      <c r="W576" s="10"/>
      <c r="X576" s="45" t="s">
        <v>769</v>
      </c>
      <c r="Y576" s="10"/>
      <c r="Z576" s="46" t="str">
        <f>V569</f>
        <v>L</v>
      </c>
      <c r="AA576" s="123"/>
      <c r="AB576" s="1459">
        <f t="shared" si="248"/>
        <v>0</v>
      </c>
      <c r="AC576" s="1460" t="str">
        <f t="shared" si="249"/>
        <v>-</v>
      </c>
      <c r="AD576" s="1459">
        <f t="shared" si="250"/>
        <v>0</v>
      </c>
      <c r="AE576" s="964" t="str">
        <f t="shared" si="251"/>
        <v/>
      </c>
      <c r="AF576" s="964" t="str">
        <f t="shared" si="252"/>
        <v/>
      </c>
      <c r="AG576" s="964" t="str">
        <f t="shared" si="253"/>
        <v/>
      </c>
      <c r="AH576" s="964" t="str">
        <f t="shared" si="254"/>
        <v/>
      </c>
      <c r="AI576" s="964" t="str">
        <f t="shared" si="255"/>
        <v/>
      </c>
      <c r="AJ576" s="964"/>
      <c r="AK576" s="964"/>
      <c r="AL576"/>
      <c r="AM576"/>
      <c r="AN576"/>
      <c r="AO576"/>
      <c r="AP576"/>
      <c r="AQ576"/>
      <c r="AR576"/>
      <c r="AS576"/>
      <c r="AT576"/>
      <c r="AU576"/>
      <c r="AV576"/>
      <c r="AW576"/>
      <c r="AX576" s="9"/>
      <c r="AY576"/>
      <c r="AZ576"/>
      <c r="BA576"/>
      <c r="BB576"/>
      <c r="BC576"/>
      <c r="BD576"/>
      <c r="BE576"/>
      <c r="BF576"/>
      <c r="BG576"/>
      <c r="BH576"/>
      <c r="BI576"/>
      <c r="BJ576"/>
      <c r="BK576"/>
      <c r="BL576"/>
      <c r="BM576"/>
      <c r="BN576"/>
      <c r="BO576"/>
      <c r="BP576"/>
      <c r="BQ576"/>
      <c r="BR576"/>
      <c r="BS576"/>
      <c r="BT576"/>
      <c r="BU576"/>
      <c r="BV576"/>
      <c r="BW576"/>
      <c r="BX576"/>
      <c r="BY576"/>
      <c r="BZ576"/>
      <c r="CA576" s="1396"/>
      <c r="CB576" s="1396"/>
      <c r="CC576"/>
      <c r="CD576"/>
      <c r="CE576"/>
    </row>
    <row r="577" spans="1:83" ht="13.9" customHeight="1" outlineLevel="2" thickBot="1" x14ac:dyDescent="0.25">
      <c r="A577"/>
      <c r="B577" s="1"/>
      <c r="C577"/>
      <c r="D577"/>
      <c r="E577"/>
      <c r="F577"/>
      <c r="G577" s="1"/>
      <c r="H577" s="1"/>
      <c r="I577"/>
      <c r="J577"/>
      <c r="K577"/>
      <c r="L577"/>
      <c r="M577"/>
      <c r="N577"/>
      <c r="O577"/>
      <c r="P577"/>
      <c r="Q577"/>
      <c r="R577" s="558" t="s">
        <v>1729</v>
      </c>
      <c r="S577" s="956"/>
      <c r="T577" s="58"/>
      <c r="U577" s="957"/>
      <c r="V577" s="43" t="str">
        <f>V560</f>
        <v>H</v>
      </c>
      <c r="W577" s="10"/>
      <c r="X577" s="45" t="s">
        <v>769</v>
      </c>
      <c r="Y577" s="10"/>
      <c r="Z577" s="46" t="str">
        <f>+Z569</f>
        <v>J</v>
      </c>
      <c r="AA577" s="123"/>
      <c r="AB577" s="1459">
        <f t="shared" si="248"/>
        <v>0</v>
      </c>
      <c r="AC577" s="1460" t="str">
        <f t="shared" si="249"/>
        <v>-</v>
      </c>
      <c r="AD577" s="1459">
        <f t="shared" si="250"/>
        <v>0</v>
      </c>
      <c r="AE577" s="964" t="str">
        <f t="shared" si="251"/>
        <v/>
      </c>
      <c r="AF577" s="964" t="str">
        <f t="shared" si="252"/>
        <v/>
      </c>
      <c r="AG577" s="964" t="str">
        <f t="shared" si="253"/>
        <v/>
      </c>
      <c r="AH577" s="964" t="str">
        <f t="shared" si="254"/>
        <v/>
      </c>
      <c r="AI577" s="964" t="str">
        <f t="shared" si="255"/>
        <v/>
      </c>
      <c r="AJ577" s="964"/>
      <c r="AK577" s="964"/>
      <c r="AL577"/>
      <c r="AM577"/>
      <c r="AN577"/>
      <c r="AO577"/>
      <c r="AP577"/>
      <c r="AQ577"/>
      <c r="AR577"/>
      <c r="AS577"/>
      <c r="AT577"/>
      <c r="AU577"/>
      <c r="AV577"/>
      <c r="AW577" s="9"/>
      <c r="AX577" s="9"/>
      <c r="AY577"/>
      <c r="AZ577"/>
      <c r="BA577"/>
      <c r="BB577"/>
      <c r="BC577"/>
      <c r="BD577"/>
      <c r="BE577"/>
      <c r="BF577"/>
      <c r="BG577"/>
      <c r="BH577"/>
      <c r="BI577"/>
      <c r="BJ577"/>
      <c r="BK577"/>
      <c r="BL577"/>
      <c r="BM577"/>
      <c r="BN577"/>
      <c r="BO577"/>
      <c r="BP577"/>
      <c r="BQ577"/>
      <c r="BR577"/>
      <c r="BS577"/>
      <c r="BT577"/>
      <c r="BU577"/>
      <c r="BV577"/>
      <c r="BW577"/>
      <c r="BX577"/>
      <c r="BY577"/>
      <c r="BZ577"/>
      <c r="CA577" s="1396"/>
      <c r="CB577" s="1396"/>
      <c r="CC577"/>
      <c r="CD577"/>
      <c r="CE577"/>
    </row>
    <row r="578" spans="1:83" ht="13.5" outlineLevel="1" thickBot="1" x14ac:dyDescent="0.25">
      <c r="A578"/>
      <c r="B578" s="1"/>
      <c r="C578" s="1"/>
      <c r="D578" s="76"/>
      <c r="E578" s="76"/>
      <c r="F578" s="76"/>
      <c r="G578" s="9"/>
      <c r="H578" s="9"/>
      <c r="I578" s="1"/>
      <c r="J578"/>
      <c r="K578"/>
      <c r="L578"/>
      <c r="M578"/>
      <c r="N578"/>
      <c r="O578"/>
      <c r="P578" s="89"/>
      <c r="Q578"/>
      <c r="R578" s="1"/>
      <c r="S578" s="993">
        <f>S570+1</f>
        <v>5</v>
      </c>
      <c r="T578" s="961"/>
      <c r="U578" s="961"/>
      <c r="V578" s="961"/>
      <c r="W578" s="960"/>
      <c r="X578" s="960"/>
      <c r="Y578" s="960"/>
      <c r="Z578" s="962"/>
      <c r="AA578" s="123"/>
      <c r="AB578" s="963"/>
      <c r="AC578" s="963"/>
      <c r="AD578" s="963"/>
      <c r="AE578" s="964"/>
      <c r="AF578" s="964"/>
      <c r="AG578" s="964"/>
      <c r="AH578" s="964"/>
      <c r="AI578" s="964"/>
      <c r="AJ578" s="964"/>
      <c r="AK578" s="964"/>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s="1396"/>
      <c r="CB578" s="1396"/>
      <c r="CC578"/>
      <c r="CD578"/>
      <c r="CE578"/>
    </row>
    <row r="579" spans="1:83" ht="13.9" customHeight="1" outlineLevel="2" thickBot="1" x14ac:dyDescent="0.25">
      <c r="A579"/>
      <c r="B579" s="1"/>
      <c r="C579"/>
      <c r="D579"/>
      <c r="E579"/>
      <c r="F579"/>
      <c r="G579" s="1"/>
      <c r="H579" s="1"/>
      <c r="I579"/>
      <c r="J579"/>
      <c r="K579"/>
      <c r="L579"/>
      <c r="M579"/>
      <c r="N579"/>
      <c r="O579"/>
      <c r="P579"/>
      <c r="Q579"/>
      <c r="S579" s="22" t="str">
        <f>N_Heure</f>
        <v>Heure</v>
      </c>
      <c r="T579" s="22" t="str">
        <f>N_Table</f>
        <v>Table</v>
      </c>
      <c r="U579" s="22" t="str">
        <f>N_Arbitre</f>
        <v>Arbitre</v>
      </c>
      <c r="V579" s="293" t="str">
        <f>N_Matches</f>
        <v>Matches</v>
      </c>
      <c r="W579" s="294"/>
      <c r="X579" s="294"/>
      <c r="Y579" s="294"/>
      <c r="Z579" s="295"/>
      <c r="AA579" s="8"/>
      <c r="AB579" s="967"/>
      <c r="AC579" s="967"/>
      <c r="AD579" s="967"/>
      <c r="AE579" s="964"/>
      <c r="AF579" s="964"/>
      <c r="AG579" s="964"/>
      <c r="AH579" s="964"/>
      <c r="AI579" s="964"/>
      <c r="AJ579" s="964"/>
      <c r="AK579" s="964"/>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s="1396"/>
      <c r="CB579" s="1396"/>
      <c r="CC579"/>
      <c r="CD579"/>
      <c r="CE579"/>
    </row>
    <row r="580" spans="1:83" ht="13.15" customHeight="1" outlineLevel="2" x14ac:dyDescent="0.2">
      <c r="A580"/>
      <c r="B580" s="1"/>
      <c r="C580"/>
      <c r="D580"/>
      <c r="E580"/>
      <c r="F580"/>
      <c r="G580" s="1"/>
      <c r="H580" s="1"/>
      <c r="I580"/>
      <c r="J580"/>
      <c r="K580"/>
      <c r="L580"/>
      <c r="M580"/>
      <c r="N580"/>
      <c r="O580"/>
      <c r="P580"/>
      <c r="Q580"/>
      <c r="R580" s="558" t="s">
        <v>1730</v>
      </c>
      <c r="S580" s="65"/>
      <c r="T580" s="953"/>
      <c r="U580" s="954"/>
      <c r="V580" s="34" t="str">
        <f>Z572</f>
        <v>A</v>
      </c>
      <c r="W580" s="148"/>
      <c r="X580" s="35" t="s">
        <v>769</v>
      </c>
      <c r="Y580" s="148"/>
      <c r="Z580" s="36" t="str">
        <f>Z573</f>
        <v>I</v>
      </c>
      <c r="AA580" s="123"/>
      <c r="AB580" s="1459">
        <f t="shared" ref="AB580:AB585" si="256">IF(MaxScore,MaxGoals(W580,Y580,MaxGoalsValue),IF(W580="","",W580))</f>
        <v>0</v>
      </c>
      <c r="AC580" s="1460" t="str">
        <f t="shared" ref="AC580:AC585" si="257">IF(MaxScore,"-",IF(W580="","","-"))</f>
        <v>-</v>
      </c>
      <c r="AD580" s="1459">
        <f t="shared" ref="AD580:AD585" si="258">IF(MaxScore,MaxGoals(Y580,W580,MaxGoalsValue),IF(Y580="","",Y580))</f>
        <v>0</v>
      </c>
      <c r="AE580" s="964" t="str">
        <f t="shared" ref="AE580:AE585" si="259">IF(W580="","",IF(W580&gt;Y580,V580,IF(W580=Y580,"",Z580)))</f>
        <v/>
      </c>
      <c r="AF580" s="964" t="str">
        <f t="shared" ref="AF580:AF585" si="260">IF(W580="","",IF(W580=Y580,V580,""))</f>
        <v/>
      </c>
      <c r="AG580" s="964" t="str">
        <f t="shared" ref="AG580:AG585" si="261">IF(W580="","",IF(W580=Y580,Z580,""))</f>
        <v/>
      </c>
      <c r="AH580" s="964" t="str">
        <f t="shared" ref="AH580:AH585" si="262">IF(W580="","",IF(W580&lt;Y580,V580,IF(W580=Y580,"",Z580)))</f>
        <v/>
      </c>
      <c r="AI580" s="964" t="str">
        <f t="shared" ref="AI580:AI585" si="263">CONCATENATE(AE580,AH580)</f>
        <v/>
      </c>
      <c r="AJ580" s="964"/>
      <c r="AK580" s="964"/>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s="1396"/>
      <c r="CB580" s="1396"/>
      <c r="CC580"/>
      <c r="CD580"/>
      <c r="CE580"/>
    </row>
    <row r="581" spans="1:83" ht="13.15" customHeight="1" outlineLevel="2" x14ac:dyDescent="0.2">
      <c r="A581"/>
      <c r="B581" s="1"/>
      <c r="C581"/>
      <c r="D581"/>
      <c r="E581"/>
      <c r="F581"/>
      <c r="G581" s="1"/>
      <c r="H581" s="1"/>
      <c r="I581"/>
      <c r="J581"/>
      <c r="K581"/>
      <c r="L581"/>
      <c r="M581"/>
      <c r="N581"/>
      <c r="O581"/>
      <c r="P581"/>
      <c r="Q581"/>
      <c r="R581" s="558" t="s">
        <v>1730</v>
      </c>
      <c r="S581" s="83"/>
      <c r="T581" s="56"/>
      <c r="U581" s="955"/>
      <c r="V581" s="43" t="str">
        <f>Z574</f>
        <v>K</v>
      </c>
      <c r="W581" s="10"/>
      <c r="X581" s="45" t="s">
        <v>769</v>
      </c>
      <c r="Y581" s="10"/>
      <c r="Z581" s="46" t="str">
        <f>V572</f>
        <v>G</v>
      </c>
      <c r="AA581" s="123"/>
      <c r="AB581" s="1459">
        <f t="shared" si="256"/>
        <v>0</v>
      </c>
      <c r="AC581" s="1460" t="str">
        <f t="shared" si="257"/>
        <v>-</v>
      </c>
      <c r="AD581" s="1459">
        <f t="shared" si="258"/>
        <v>0</v>
      </c>
      <c r="AE581" s="964" t="str">
        <f t="shared" si="259"/>
        <v/>
      </c>
      <c r="AF581" s="964" t="str">
        <f t="shared" si="260"/>
        <v/>
      </c>
      <c r="AG581" s="964" t="str">
        <f t="shared" si="261"/>
        <v/>
      </c>
      <c r="AH581" s="964" t="str">
        <f t="shared" si="262"/>
        <v/>
      </c>
      <c r="AI581" s="964" t="str">
        <f t="shared" si="263"/>
        <v/>
      </c>
      <c r="AJ581" s="964"/>
      <c r="AK581" s="964"/>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s="1396"/>
      <c r="CB581" s="1396"/>
      <c r="CC581"/>
      <c r="CD581"/>
      <c r="CE581"/>
    </row>
    <row r="582" spans="1:83" ht="13.15" customHeight="1" outlineLevel="2" x14ac:dyDescent="0.2">
      <c r="A582"/>
      <c r="B582" s="1"/>
      <c r="C582"/>
      <c r="D582"/>
      <c r="E582"/>
      <c r="F582"/>
      <c r="G582" s="1"/>
      <c r="H582" s="1"/>
      <c r="I582"/>
      <c r="J582"/>
      <c r="K582"/>
      <c r="L582"/>
      <c r="M582"/>
      <c r="N582"/>
      <c r="O582"/>
      <c r="P582"/>
      <c r="Q582"/>
      <c r="R582" s="558" t="s">
        <v>1730</v>
      </c>
      <c r="S582" s="83"/>
      <c r="T582" s="56"/>
      <c r="U582" s="955"/>
      <c r="V582" s="43" t="str">
        <f>Z575</f>
        <v>M</v>
      </c>
      <c r="W582" s="10"/>
      <c r="X582" s="45" t="s">
        <v>769</v>
      </c>
      <c r="Y582" s="10"/>
      <c r="Z582" s="46" t="str">
        <f>V573</f>
        <v>E</v>
      </c>
      <c r="AA582" s="123"/>
      <c r="AB582" s="1459">
        <f t="shared" si="256"/>
        <v>0</v>
      </c>
      <c r="AC582" s="1460" t="str">
        <f t="shared" si="257"/>
        <v>-</v>
      </c>
      <c r="AD582" s="1459">
        <f t="shared" si="258"/>
        <v>0</v>
      </c>
      <c r="AE582" s="964" t="str">
        <f t="shared" si="259"/>
        <v/>
      </c>
      <c r="AF582" s="964" t="str">
        <f t="shared" si="260"/>
        <v/>
      </c>
      <c r="AG582" s="964" t="str">
        <f t="shared" si="261"/>
        <v/>
      </c>
      <c r="AH582" s="964" t="str">
        <f t="shared" si="262"/>
        <v/>
      </c>
      <c r="AI582" s="964" t="str">
        <f t="shared" si="263"/>
        <v/>
      </c>
      <c r="AJ582" s="964"/>
      <c r="AK582" s="964"/>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s="1396"/>
      <c r="CB582" s="1396"/>
      <c r="CC582"/>
      <c r="CD582"/>
      <c r="CE582"/>
    </row>
    <row r="583" spans="1:83" ht="13.15" customHeight="1" outlineLevel="2" x14ac:dyDescent="0.2">
      <c r="A583"/>
      <c r="B583" s="1"/>
      <c r="C583"/>
      <c r="D583"/>
      <c r="E583"/>
      <c r="F583"/>
      <c r="G583" s="1"/>
      <c r="H583" s="1"/>
      <c r="I583"/>
      <c r="J583"/>
      <c r="K583"/>
      <c r="L583"/>
      <c r="M583"/>
      <c r="N583"/>
      <c r="O583"/>
      <c r="P583"/>
      <c r="Q583"/>
      <c r="R583" s="558" t="s">
        <v>1730</v>
      </c>
      <c r="S583" s="83"/>
      <c r="T583" s="56"/>
      <c r="U583" s="955"/>
      <c r="V583" s="43" t="str">
        <f>Z576</f>
        <v>L</v>
      </c>
      <c r="W583" s="10"/>
      <c r="X583" s="45" t="s">
        <v>769</v>
      </c>
      <c r="Y583" s="10"/>
      <c r="Z583" s="46" t="str">
        <f>V575</f>
        <v>B</v>
      </c>
      <c r="AA583" s="123"/>
      <c r="AB583" s="1459">
        <f t="shared" si="256"/>
        <v>0</v>
      </c>
      <c r="AC583" s="1460" t="str">
        <f t="shared" si="257"/>
        <v>-</v>
      </c>
      <c r="AD583" s="1459">
        <f t="shared" si="258"/>
        <v>0</v>
      </c>
      <c r="AE583" s="964" t="str">
        <f t="shared" si="259"/>
        <v/>
      </c>
      <c r="AF583" s="964" t="str">
        <f t="shared" si="260"/>
        <v/>
      </c>
      <c r="AG583" s="964" t="str">
        <f t="shared" si="261"/>
        <v/>
      </c>
      <c r="AH583" s="964" t="str">
        <f t="shared" si="262"/>
        <v/>
      </c>
      <c r="AI583" s="964" t="str">
        <f t="shared" si="263"/>
        <v/>
      </c>
      <c r="AJ583" s="964"/>
      <c r="AK583" s="964"/>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s="1396"/>
      <c r="CB583" s="1396"/>
      <c r="CC583"/>
      <c r="CD583"/>
      <c r="CE583"/>
    </row>
    <row r="584" spans="1:83" ht="13.15" customHeight="1" outlineLevel="2" x14ac:dyDescent="0.2">
      <c r="A584"/>
      <c r="B584" s="1"/>
      <c r="C584"/>
      <c r="D584"/>
      <c r="E584"/>
      <c r="F584"/>
      <c r="G584" s="1"/>
      <c r="H584" s="1"/>
      <c r="I584"/>
      <c r="J584"/>
      <c r="K584"/>
      <c r="L584"/>
      <c r="M584"/>
      <c r="N584"/>
      <c r="O584"/>
      <c r="P584"/>
      <c r="Q584"/>
      <c r="R584" s="558" t="s">
        <v>1730</v>
      </c>
      <c r="S584" s="83"/>
      <c r="T584" s="56"/>
      <c r="U584" s="955"/>
      <c r="V584" s="43" t="str">
        <f>Z577</f>
        <v>J</v>
      </c>
      <c r="W584" s="10"/>
      <c r="X584" s="45" t="s">
        <v>769</v>
      </c>
      <c r="Y584" s="10"/>
      <c r="Z584" s="46" t="str">
        <f>Z567</f>
        <v>D</v>
      </c>
      <c r="AA584" s="123"/>
      <c r="AB584" s="1459">
        <f t="shared" si="256"/>
        <v>0</v>
      </c>
      <c r="AC584" s="1460" t="str">
        <f t="shared" si="257"/>
        <v>-</v>
      </c>
      <c r="AD584" s="1459">
        <f t="shared" si="258"/>
        <v>0</v>
      </c>
      <c r="AE584" s="964" t="str">
        <f t="shared" si="259"/>
        <v/>
      </c>
      <c r="AF584" s="964" t="str">
        <f t="shared" si="260"/>
        <v/>
      </c>
      <c r="AG584" s="964" t="str">
        <f t="shared" si="261"/>
        <v/>
      </c>
      <c r="AH584" s="964" t="str">
        <f t="shared" si="262"/>
        <v/>
      </c>
      <c r="AI584" s="964" t="str">
        <f t="shared" si="263"/>
        <v/>
      </c>
      <c r="AJ584" s="964"/>
      <c r="AK584" s="964"/>
      <c r="AL584"/>
      <c r="AM584"/>
      <c r="AN584"/>
      <c r="AO584"/>
      <c r="AP584"/>
      <c r="AQ584"/>
      <c r="AR584"/>
      <c r="AS584"/>
      <c r="AT584"/>
      <c r="AU584"/>
      <c r="AV584"/>
      <c r="AW584"/>
      <c r="AX584" s="9"/>
      <c r="AY584"/>
      <c r="AZ584"/>
      <c r="BA584"/>
      <c r="BB584"/>
      <c r="BC584"/>
      <c r="BD584"/>
      <c r="BE584"/>
      <c r="BF584"/>
      <c r="BG584"/>
      <c r="BH584"/>
      <c r="BI584"/>
      <c r="BJ584"/>
      <c r="BK584"/>
      <c r="BL584"/>
      <c r="BM584"/>
      <c r="BN584"/>
      <c r="BO584"/>
      <c r="BP584"/>
      <c r="BQ584"/>
      <c r="BR584"/>
      <c r="BS584"/>
      <c r="BT584"/>
      <c r="BU584"/>
      <c r="BV584"/>
      <c r="BW584"/>
      <c r="BX584"/>
      <c r="BY584"/>
      <c r="BZ584"/>
      <c r="CA584" s="1396"/>
      <c r="CB584" s="1396"/>
      <c r="CC584"/>
      <c r="CD584"/>
      <c r="CE584"/>
    </row>
    <row r="585" spans="1:83" ht="13.9" customHeight="1" outlineLevel="2" thickBot="1" x14ac:dyDescent="0.25">
      <c r="A585"/>
      <c r="B585" s="1"/>
      <c r="C585"/>
      <c r="D585"/>
      <c r="E585"/>
      <c r="F585"/>
      <c r="G585" s="1"/>
      <c r="H585" s="1"/>
      <c r="I585"/>
      <c r="J585"/>
      <c r="K585"/>
      <c r="L585"/>
      <c r="M585"/>
      <c r="N585"/>
      <c r="O585"/>
      <c r="P585"/>
      <c r="Q585"/>
      <c r="R585" s="558" t="s">
        <v>1730</v>
      </c>
      <c r="S585" s="956"/>
      <c r="T585" s="58"/>
      <c r="U585" s="957"/>
      <c r="V585" s="958" t="str">
        <f>+V577</f>
        <v>H</v>
      </c>
      <c r="W585" s="10"/>
      <c r="X585" s="45" t="s">
        <v>769</v>
      </c>
      <c r="Y585" s="10"/>
      <c r="Z585" s="46" t="str">
        <f>+V576</f>
        <v>F</v>
      </c>
      <c r="AA585" s="123"/>
      <c r="AB585" s="1459">
        <f t="shared" si="256"/>
        <v>0</v>
      </c>
      <c r="AC585" s="1460" t="str">
        <f t="shared" si="257"/>
        <v>-</v>
      </c>
      <c r="AD585" s="1459">
        <f t="shared" si="258"/>
        <v>0</v>
      </c>
      <c r="AE585" s="964" t="str">
        <f t="shared" si="259"/>
        <v/>
      </c>
      <c r="AF585" s="964" t="str">
        <f t="shared" si="260"/>
        <v/>
      </c>
      <c r="AG585" s="964" t="str">
        <f t="shared" si="261"/>
        <v/>
      </c>
      <c r="AH585" s="964" t="str">
        <f t="shared" si="262"/>
        <v/>
      </c>
      <c r="AI585" s="964" t="str">
        <f t="shared" si="263"/>
        <v/>
      </c>
      <c r="AJ585" s="964"/>
      <c r="AK585" s="964"/>
      <c r="AL585"/>
      <c r="AM585"/>
      <c r="AN585"/>
      <c r="AO585"/>
      <c r="AP585"/>
      <c r="AQ585"/>
      <c r="AR585"/>
      <c r="AS585"/>
      <c r="AT585"/>
      <c r="AU585"/>
      <c r="AV585"/>
      <c r="AW585" s="9"/>
      <c r="AX585" s="9"/>
      <c r="AY585"/>
      <c r="AZ585"/>
      <c r="BA585"/>
      <c r="BB585"/>
      <c r="BC585"/>
      <c r="BD585"/>
      <c r="BE585"/>
      <c r="BF585"/>
      <c r="BG585"/>
      <c r="BH585"/>
      <c r="BI585"/>
      <c r="BJ585"/>
      <c r="BK585"/>
      <c r="BL585"/>
      <c r="BM585"/>
      <c r="BN585"/>
      <c r="BO585"/>
      <c r="BP585"/>
      <c r="BQ585"/>
      <c r="BR585"/>
      <c r="BS585"/>
      <c r="BT585"/>
      <c r="BU585"/>
      <c r="BV585"/>
      <c r="BW585"/>
      <c r="BX585"/>
      <c r="BY585"/>
      <c r="BZ585"/>
      <c r="CA585" s="1396"/>
      <c r="CB585" s="1396"/>
      <c r="CC585"/>
      <c r="CD585"/>
      <c r="CE585"/>
    </row>
    <row r="586" spans="1:83" ht="13.5" outlineLevel="1" thickBot="1" x14ac:dyDescent="0.25">
      <c r="A586"/>
      <c r="B586" s="1"/>
      <c r="C586" s="1"/>
      <c r="D586" s="76"/>
      <c r="E586" s="76"/>
      <c r="F586" s="76"/>
      <c r="G586" s="9"/>
      <c r="H586" s="9"/>
      <c r="I586" s="1"/>
      <c r="J586"/>
      <c r="K586"/>
      <c r="L586"/>
      <c r="M586"/>
      <c r="N586"/>
      <c r="O586"/>
      <c r="P586" s="89"/>
      <c r="Q586"/>
      <c r="R586" s="1"/>
      <c r="S586" s="993">
        <f>S578+1</f>
        <v>6</v>
      </c>
      <c r="T586" s="961"/>
      <c r="U586" s="961"/>
      <c r="V586" s="961"/>
      <c r="W586" s="960"/>
      <c r="X586" s="960"/>
      <c r="Y586" s="960"/>
      <c r="Z586" s="962"/>
      <c r="AA586" s="123"/>
      <c r="AB586" s="963"/>
      <c r="AC586" s="963"/>
      <c r="AD586" s="963"/>
      <c r="AE586" s="964"/>
      <c r="AF586" s="964"/>
      <c r="AG586" s="964"/>
      <c r="AH586" s="964"/>
      <c r="AI586" s="964"/>
      <c r="AJ586" s="964"/>
      <c r="AK586" s="964"/>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s="1396"/>
      <c r="CB586" s="1396"/>
      <c r="CC586"/>
      <c r="CD586"/>
      <c r="CE586"/>
    </row>
    <row r="587" spans="1:83" ht="13.9" customHeight="1" outlineLevel="2" thickBot="1" x14ac:dyDescent="0.25">
      <c r="A587"/>
      <c r="B587" s="1"/>
      <c r="C587"/>
      <c r="D587"/>
      <c r="E587"/>
      <c r="F587"/>
      <c r="G587" s="1"/>
      <c r="H587" s="1"/>
      <c r="I587"/>
      <c r="J587"/>
      <c r="K587"/>
      <c r="L587"/>
      <c r="M587"/>
      <c r="N587"/>
      <c r="O587"/>
      <c r="P587"/>
      <c r="Q587"/>
      <c r="S587" s="22" t="str">
        <f>N_Heure</f>
        <v>Heure</v>
      </c>
      <c r="T587" s="22" t="str">
        <f>N_Table</f>
        <v>Table</v>
      </c>
      <c r="U587" s="22" t="str">
        <f>N_Arbitre</f>
        <v>Arbitre</v>
      </c>
      <c r="V587" s="293" t="str">
        <f>N_Matches</f>
        <v>Matches</v>
      </c>
      <c r="W587" s="294"/>
      <c r="X587" s="294"/>
      <c r="Y587" s="294"/>
      <c r="Z587" s="295"/>
      <c r="AA587" s="8"/>
      <c r="AB587" s="967"/>
      <c r="AC587" s="967"/>
      <c r="AD587" s="967"/>
      <c r="AE587" s="964"/>
      <c r="AF587" s="964"/>
      <c r="AG587" s="964"/>
      <c r="AH587" s="964"/>
      <c r="AI587" s="964"/>
      <c r="AJ587" s="964"/>
      <c r="AK587" s="964"/>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s="1396"/>
      <c r="CB587" s="1396"/>
      <c r="CC587"/>
      <c r="CD587"/>
      <c r="CE587"/>
    </row>
    <row r="588" spans="1:83" ht="13.15" customHeight="1" outlineLevel="2" x14ac:dyDescent="0.2">
      <c r="A588"/>
      <c r="B588" s="1"/>
      <c r="C588"/>
      <c r="D588"/>
      <c r="E588"/>
      <c r="F588"/>
      <c r="G588" s="1"/>
      <c r="H588" s="1"/>
      <c r="I588"/>
      <c r="J588"/>
      <c r="K588"/>
      <c r="L588"/>
      <c r="M588"/>
      <c r="N588"/>
      <c r="O588"/>
      <c r="P588"/>
      <c r="Q588"/>
      <c r="R588" s="558" t="s">
        <v>1731</v>
      </c>
      <c r="S588" s="65"/>
      <c r="T588" s="953"/>
      <c r="U588" s="954"/>
      <c r="V588" s="34" t="str">
        <f>V581</f>
        <v>K</v>
      </c>
      <c r="W588" s="148"/>
      <c r="X588" s="35" t="s">
        <v>769</v>
      </c>
      <c r="Y588" s="148"/>
      <c r="Z588" s="36" t="str">
        <f>V580</f>
        <v>A</v>
      </c>
      <c r="AA588" s="123"/>
      <c r="AB588" s="1459">
        <f t="shared" ref="AB588:AB593" si="264">IF(MaxScore,MaxGoals(W588,Y588,MaxGoalsValue),IF(W588="","",W588))</f>
        <v>0</v>
      </c>
      <c r="AC588" s="1460" t="str">
        <f t="shared" ref="AC588:AC593" si="265">IF(MaxScore,"-",IF(W588="","","-"))</f>
        <v>-</v>
      </c>
      <c r="AD588" s="1459">
        <f t="shared" ref="AD588:AD593" si="266">IF(MaxScore,MaxGoals(Y588,W588,MaxGoalsValue),IF(Y588="","",Y588))</f>
        <v>0</v>
      </c>
      <c r="AE588" s="964" t="str">
        <f t="shared" ref="AE588:AE593" si="267">IF(W588="","",IF(W588&gt;Y588,V588,IF(W588=Y588,"",Z588)))</f>
        <v/>
      </c>
      <c r="AF588" s="964" t="str">
        <f t="shared" ref="AF588:AF593" si="268">IF(W588="","",IF(W588=Y588,V588,""))</f>
        <v/>
      </c>
      <c r="AG588" s="964" t="str">
        <f t="shared" ref="AG588:AG593" si="269">IF(W588="","",IF(W588=Y588,Z588,""))</f>
        <v/>
      </c>
      <c r="AH588" s="964" t="str">
        <f t="shared" ref="AH588:AH593" si="270">IF(W588="","",IF(W588&lt;Y588,V588,IF(W588=Y588,"",Z588)))</f>
        <v/>
      </c>
      <c r="AI588" s="964" t="str">
        <f t="shared" ref="AI588:AI593" si="271">CONCATENATE(AE588,AH588)</f>
        <v/>
      </c>
      <c r="AJ588" s="964"/>
      <c r="AK588" s="964"/>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s="1396"/>
      <c r="CB588" s="1396"/>
      <c r="CC588"/>
      <c r="CD588"/>
      <c r="CE588"/>
    </row>
    <row r="589" spans="1:83" ht="13.15" customHeight="1" outlineLevel="2" x14ac:dyDescent="0.2">
      <c r="A589"/>
      <c r="B589" s="1"/>
      <c r="C589"/>
      <c r="D589"/>
      <c r="E589"/>
      <c r="F589"/>
      <c r="G589" s="1"/>
      <c r="H589" s="1"/>
      <c r="I589"/>
      <c r="J589"/>
      <c r="K589"/>
      <c r="L589"/>
      <c r="M589"/>
      <c r="N589"/>
      <c r="O589"/>
      <c r="P589"/>
      <c r="Q589"/>
      <c r="R589" s="558" t="s">
        <v>1731</v>
      </c>
      <c r="S589" s="83"/>
      <c r="T589" s="56"/>
      <c r="U589" s="955"/>
      <c r="V589" s="43" t="str">
        <f>Z580</f>
        <v>I</v>
      </c>
      <c r="W589" s="10"/>
      <c r="X589" s="45" t="s">
        <v>769</v>
      </c>
      <c r="Y589" s="10"/>
      <c r="Z589" s="46" t="str">
        <f>V582</f>
        <v>M</v>
      </c>
      <c r="AA589" s="123"/>
      <c r="AB589" s="1459">
        <f t="shared" si="264"/>
        <v>0</v>
      </c>
      <c r="AC589" s="1460" t="str">
        <f t="shared" si="265"/>
        <v>-</v>
      </c>
      <c r="AD589" s="1459">
        <f t="shared" si="266"/>
        <v>0</v>
      </c>
      <c r="AE589" s="964" t="str">
        <f t="shared" si="267"/>
        <v/>
      </c>
      <c r="AF589" s="964" t="str">
        <f t="shared" si="268"/>
        <v/>
      </c>
      <c r="AG589" s="964" t="str">
        <f t="shared" si="269"/>
        <v/>
      </c>
      <c r="AH589" s="964" t="str">
        <f t="shared" si="270"/>
        <v/>
      </c>
      <c r="AI589" s="964" t="str">
        <f t="shared" si="271"/>
        <v/>
      </c>
      <c r="AJ589" s="964"/>
      <c r="AK589" s="964"/>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s="1396"/>
      <c r="CB589" s="1396"/>
      <c r="CC589"/>
      <c r="CD589"/>
      <c r="CE589"/>
    </row>
    <row r="590" spans="1:83" ht="13.15" customHeight="1" outlineLevel="2" x14ac:dyDescent="0.2">
      <c r="A590"/>
      <c r="B590" s="1"/>
      <c r="C590"/>
      <c r="D590"/>
      <c r="E590"/>
      <c r="F590"/>
      <c r="G590" s="1"/>
      <c r="H590" s="1"/>
      <c r="I590"/>
      <c r="J590"/>
      <c r="K590"/>
      <c r="L590"/>
      <c r="M590"/>
      <c r="N590"/>
      <c r="O590"/>
      <c r="P590"/>
      <c r="Q590"/>
      <c r="R590" s="558" t="s">
        <v>1731</v>
      </c>
      <c r="S590" s="83"/>
      <c r="T590" s="56"/>
      <c r="U590" s="955"/>
      <c r="V590" s="43" t="str">
        <f>Z582</f>
        <v>E</v>
      </c>
      <c r="W590" s="10"/>
      <c r="X590" s="45" t="s">
        <v>769</v>
      </c>
      <c r="Y590" s="10"/>
      <c r="Z590" s="46" t="str">
        <f>V583</f>
        <v>L</v>
      </c>
      <c r="AA590" s="123"/>
      <c r="AB590" s="1459">
        <f t="shared" si="264"/>
        <v>0</v>
      </c>
      <c r="AC590" s="1460" t="str">
        <f t="shared" si="265"/>
        <v>-</v>
      </c>
      <c r="AD590" s="1459">
        <f t="shared" si="266"/>
        <v>0</v>
      </c>
      <c r="AE590" s="964" t="str">
        <f t="shared" si="267"/>
        <v/>
      </c>
      <c r="AF590" s="964" t="str">
        <f t="shared" si="268"/>
        <v/>
      </c>
      <c r="AG590" s="964" t="str">
        <f t="shared" si="269"/>
        <v/>
      </c>
      <c r="AH590" s="964" t="str">
        <f t="shared" si="270"/>
        <v/>
      </c>
      <c r="AI590" s="964" t="str">
        <f t="shared" si="271"/>
        <v/>
      </c>
      <c r="AJ590" s="964"/>
      <c r="AK590" s="964"/>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s="1396"/>
      <c r="CB590" s="1396"/>
      <c r="CC590"/>
      <c r="CD590"/>
      <c r="CE590"/>
    </row>
    <row r="591" spans="1:83" ht="13.15" customHeight="1" outlineLevel="2" x14ac:dyDescent="0.2">
      <c r="A591"/>
      <c r="B591" s="1"/>
      <c r="C591"/>
      <c r="D591"/>
      <c r="E591"/>
      <c r="F591"/>
      <c r="G591" s="1"/>
      <c r="H591" s="1"/>
      <c r="I591"/>
      <c r="J591"/>
      <c r="K591"/>
      <c r="L591"/>
      <c r="M591"/>
      <c r="N591"/>
      <c r="O591"/>
      <c r="P591"/>
      <c r="Q591"/>
      <c r="R591" s="558" t="s">
        <v>1731</v>
      </c>
      <c r="S591" s="83"/>
      <c r="T591" s="56"/>
      <c r="U591" s="955"/>
      <c r="V591" s="43" t="str">
        <f>V574</f>
        <v>C</v>
      </c>
      <c r="W591" s="10"/>
      <c r="X591" s="45" t="s">
        <v>769</v>
      </c>
      <c r="Y591" s="10"/>
      <c r="Z591" s="46" t="str">
        <f>V584</f>
        <v>J</v>
      </c>
      <c r="AA591" s="123"/>
      <c r="AB591" s="1459">
        <f t="shared" si="264"/>
        <v>0</v>
      </c>
      <c r="AC591" s="1460" t="str">
        <f t="shared" si="265"/>
        <v>-</v>
      </c>
      <c r="AD591" s="1459">
        <f t="shared" si="266"/>
        <v>0</v>
      </c>
      <c r="AE591" s="964" t="str">
        <f t="shared" si="267"/>
        <v/>
      </c>
      <c r="AF591" s="964" t="str">
        <f t="shared" si="268"/>
        <v/>
      </c>
      <c r="AG591" s="964" t="str">
        <f t="shared" si="269"/>
        <v/>
      </c>
      <c r="AH591" s="964" t="str">
        <f t="shared" si="270"/>
        <v/>
      </c>
      <c r="AI591" s="964" t="str">
        <f t="shared" si="271"/>
        <v/>
      </c>
      <c r="AJ591" s="964"/>
      <c r="AK591" s="964"/>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s="1396"/>
      <c r="CB591" s="1396"/>
      <c r="CC591"/>
      <c r="CD591"/>
      <c r="CE591"/>
    </row>
    <row r="592" spans="1:83" ht="13.15" customHeight="1" outlineLevel="2" x14ac:dyDescent="0.2">
      <c r="A592"/>
      <c r="B592" s="1"/>
      <c r="C592"/>
      <c r="D592"/>
      <c r="E592"/>
      <c r="F592"/>
      <c r="G592" s="1"/>
      <c r="H592" s="1"/>
      <c r="I592"/>
      <c r="J592"/>
      <c r="K592"/>
      <c r="L592"/>
      <c r="M592"/>
      <c r="N592"/>
      <c r="O592"/>
      <c r="P592"/>
      <c r="Q592"/>
      <c r="R592" s="558" t="s">
        <v>1731</v>
      </c>
      <c r="S592" s="83"/>
      <c r="T592" s="56"/>
      <c r="U592" s="955"/>
      <c r="V592" s="43" t="str">
        <f>Z583</f>
        <v>B</v>
      </c>
      <c r="W592" s="10"/>
      <c r="X592" s="45" t="s">
        <v>769</v>
      </c>
      <c r="Y592" s="10"/>
      <c r="Z592" s="46" t="str">
        <f>V585</f>
        <v>H</v>
      </c>
      <c r="AA592" s="123"/>
      <c r="AB592" s="1459">
        <f t="shared" si="264"/>
        <v>0</v>
      </c>
      <c r="AC592" s="1460" t="str">
        <f t="shared" si="265"/>
        <v>-</v>
      </c>
      <c r="AD592" s="1459">
        <f t="shared" si="266"/>
        <v>0</v>
      </c>
      <c r="AE592" s="964" t="str">
        <f t="shared" si="267"/>
        <v/>
      </c>
      <c r="AF592" s="964" t="str">
        <f t="shared" si="268"/>
        <v/>
      </c>
      <c r="AG592" s="964" t="str">
        <f t="shared" si="269"/>
        <v/>
      </c>
      <c r="AH592" s="964" t="str">
        <f t="shared" si="270"/>
        <v/>
      </c>
      <c r="AI592" s="964" t="str">
        <f t="shared" si="271"/>
        <v/>
      </c>
      <c r="AJ592" s="964"/>
      <c r="AK592" s="964"/>
      <c r="AL592"/>
      <c r="AM592"/>
      <c r="AN592"/>
      <c r="AO592"/>
      <c r="AP592"/>
      <c r="AQ592"/>
      <c r="AR592"/>
      <c r="AS592"/>
      <c r="AT592"/>
      <c r="AU592"/>
      <c r="AV592"/>
      <c r="AW592"/>
      <c r="AX592" s="9"/>
      <c r="AY592"/>
      <c r="AZ592"/>
      <c r="BA592"/>
      <c r="BB592"/>
      <c r="BC592"/>
      <c r="BD592"/>
      <c r="BE592"/>
      <c r="BF592"/>
      <c r="BG592"/>
      <c r="BH592"/>
      <c r="BI592"/>
      <c r="BJ592"/>
      <c r="BK592"/>
      <c r="BL592"/>
      <c r="BM592"/>
      <c r="BN592"/>
      <c r="BO592"/>
      <c r="BP592"/>
      <c r="BQ592"/>
      <c r="BR592"/>
      <c r="BS592"/>
      <c r="BT592"/>
      <c r="BU592"/>
      <c r="BV592"/>
      <c r="BW592"/>
      <c r="BX592"/>
      <c r="BY592"/>
      <c r="BZ592"/>
      <c r="CA592" s="1396"/>
      <c r="CB592" s="1396"/>
      <c r="CC592"/>
      <c r="CD592"/>
      <c r="CE592"/>
    </row>
    <row r="593" spans="1:83" ht="13.9" customHeight="1" outlineLevel="2" thickBot="1" x14ac:dyDescent="0.25">
      <c r="A593"/>
      <c r="B593" s="1"/>
      <c r="C593"/>
      <c r="D593"/>
      <c r="E593"/>
      <c r="F593"/>
      <c r="G593" s="1"/>
      <c r="H593" s="1"/>
      <c r="I593"/>
      <c r="J593"/>
      <c r="K593"/>
      <c r="L593"/>
      <c r="M593"/>
      <c r="N593"/>
      <c r="O593"/>
      <c r="P593"/>
      <c r="Q593"/>
      <c r="R593" s="558" t="s">
        <v>1731</v>
      </c>
      <c r="S593" s="956"/>
      <c r="T593" s="58"/>
      <c r="U593" s="957"/>
      <c r="V593" s="43" t="str">
        <f>Z584</f>
        <v>D</v>
      </c>
      <c r="W593" s="10"/>
      <c r="X593" s="45" t="s">
        <v>769</v>
      </c>
      <c r="Y593" s="10"/>
      <c r="Z593" s="46" t="str">
        <f>+Z585</f>
        <v>F</v>
      </c>
      <c r="AA593" s="123"/>
      <c r="AB593" s="1459">
        <f t="shared" si="264"/>
        <v>0</v>
      </c>
      <c r="AC593" s="1460" t="str">
        <f t="shared" si="265"/>
        <v>-</v>
      </c>
      <c r="AD593" s="1459">
        <f t="shared" si="266"/>
        <v>0</v>
      </c>
      <c r="AE593" s="964" t="str">
        <f t="shared" si="267"/>
        <v/>
      </c>
      <c r="AF593" s="964" t="str">
        <f t="shared" si="268"/>
        <v/>
      </c>
      <c r="AG593" s="964" t="str">
        <f t="shared" si="269"/>
        <v/>
      </c>
      <c r="AH593" s="964" t="str">
        <f t="shared" si="270"/>
        <v/>
      </c>
      <c r="AI593" s="964" t="str">
        <f t="shared" si="271"/>
        <v/>
      </c>
      <c r="AJ593" s="964"/>
      <c r="AK593" s="964"/>
      <c r="AL593"/>
      <c r="AM593"/>
      <c r="AN593"/>
      <c r="AO593"/>
      <c r="AP593"/>
      <c r="AQ593"/>
      <c r="AR593"/>
      <c r="AS593"/>
      <c r="AT593"/>
      <c r="AU593"/>
      <c r="AV593"/>
      <c r="AW593" s="9"/>
      <c r="AX593" s="9"/>
      <c r="AY593"/>
      <c r="AZ593"/>
      <c r="BA593"/>
      <c r="BB593"/>
      <c r="BC593"/>
      <c r="BD593"/>
      <c r="BE593"/>
      <c r="BF593"/>
      <c r="BG593"/>
      <c r="BH593"/>
      <c r="BI593"/>
      <c r="BJ593"/>
      <c r="BK593"/>
      <c r="BL593"/>
      <c r="BM593"/>
      <c r="BN593"/>
      <c r="BO593"/>
      <c r="BP593"/>
      <c r="BQ593"/>
      <c r="BR593"/>
      <c r="BS593"/>
      <c r="BT593"/>
      <c r="BU593"/>
      <c r="BV593"/>
      <c r="BW593"/>
      <c r="BX593"/>
      <c r="BY593"/>
      <c r="BZ593"/>
      <c r="CA593" s="1396"/>
      <c r="CB593" s="1396"/>
      <c r="CC593"/>
      <c r="CD593"/>
      <c r="CE593"/>
    </row>
    <row r="594" spans="1:83" ht="13.5" outlineLevel="1" thickBot="1" x14ac:dyDescent="0.25">
      <c r="A594"/>
      <c r="B594" s="1"/>
      <c r="C594" s="1"/>
      <c r="D594" s="76"/>
      <c r="E594" s="76"/>
      <c r="F594" s="76"/>
      <c r="G594" s="9"/>
      <c r="H594" s="9"/>
      <c r="I594" s="1"/>
      <c r="J594"/>
      <c r="K594"/>
      <c r="L594"/>
      <c r="M594"/>
      <c r="N594"/>
      <c r="O594"/>
      <c r="P594" s="89"/>
      <c r="Q594"/>
      <c r="R594" s="1"/>
      <c r="S594" s="993">
        <f>S586+1</f>
        <v>7</v>
      </c>
      <c r="T594" s="961"/>
      <c r="U594" s="961"/>
      <c r="V594" s="961"/>
      <c r="W594" s="960"/>
      <c r="X594" s="960"/>
      <c r="Y594" s="960"/>
      <c r="Z594" s="962"/>
      <c r="AA594" s="123"/>
      <c r="AB594" s="963"/>
      <c r="AC594" s="963"/>
      <c r="AD594" s="963"/>
      <c r="AE594" s="964"/>
      <c r="AF594" s="964"/>
      <c r="AG594" s="964"/>
      <c r="AH594" s="964"/>
      <c r="AI594" s="964"/>
      <c r="AJ594" s="964"/>
      <c r="AK594" s="96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s="1396"/>
      <c r="CB594" s="1396"/>
      <c r="CC594"/>
      <c r="CD594"/>
      <c r="CE594"/>
    </row>
    <row r="595" spans="1:83" ht="13.9" customHeight="1" outlineLevel="2" thickBot="1" x14ac:dyDescent="0.25">
      <c r="A595"/>
      <c r="B595" s="1"/>
      <c r="C595"/>
      <c r="D595"/>
      <c r="E595"/>
      <c r="F595"/>
      <c r="G595" s="1"/>
      <c r="H595" s="1"/>
      <c r="I595"/>
      <c r="J595"/>
      <c r="K595"/>
      <c r="L595"/>
      <c r="M595"/>
      <c r="N595"/>
      <c r="O595"/>
      <c r="P595"/>
      <c r="Q595"/>
      <c r="S595" s="22" t="str">
        <f>N_Heure</f>
        <v>Heure</v>
      </c>
      <c r="T595" s="22" t="str">
        <f>N_Table</f>
        <v>Table</v>
      </c>
      <c r="U595" s="22" t="str">
        <f>N_Arbitre</f>
        <v>Arbitre</v>
      </c>
      <c r="V595" s="293" t="str">
        <f>N_Matches</f>
        <v>Matches</v>
      </c>
      <c r="W595" s="294"/>
      <c r="X595" s="294"/>
      <c r="Y595" s="294"/>
      <c r="Z595" s="295"/>
      <c r="AA595" s="8"/>
      <c r="AB595" s="967"/>
      <c r="AC595" s="967"/>
      <c r="AD595" s="967"/>
      <c r="AE595" s="964"/>
      <c r="AF595" s="964"/>
      <c r="AG595" s="964"/>
      <c r="AH595" s="964"/>
      <c r="AI595" s="964"/>
      <c r="AJ595" s="964"/>
      <c r="AK595" s="964"/>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s="1396"/>
      <c r="CB595" s="1396"/>
      <c r="CC595"/>
      <c r="CD595"/>
      <c r="CE595"/>
    </row>
    <row r="596" spans="1:83" ht="13.15" customHeight="1" outlineLevel="2" x14ac:dyDescent="0.2">
      <c r="A596"/>
      <c r="B596" s="1"/>
      <c r="C596"/>
      <c r="D596"/>
      <c r="E596"/>
      <c r="F596"/>
      <c r="G596" s="1"/>
      <c r="H596" s="1"/>
      <c r="I596"/>
      <c r="J596"/>
      <c r="K596"/>
      <c r="L596"/>
      <c r="M596"/>
      <c r="N596"/>
      <c r="O596"/>
      <c r="P596"/>
      <c r="Q596"/>
      <c r="R596" s="558" t="s">
        <v>1740</v>
      </c>
      <c r="S596" s="65"/>
      <c r="T596" s="953"/>
      <c r="U596" s="954"/>
      <c r="V596" s="34" t="str">
        <f>Z588</f>
        <v>A</v>
      </c>
      <c r="W596" s="148"/>
      <c r="X596" s="35" t="s">
        <v>769</v>
      </c>
      <c r="Y596" s="148"/>
      <c r="Z596" s="36" t="str">
        <f>Z589</f>
        <v>M</v>
      </c>
      <c r="AA596" s="123"/>
      <c r="AB596" s="1459">
        <f t="shared" ref="AB596:AB601" si="272">IF(MaxScore,MaxGoals(W596,Y596,MaxGoalsValue),IF(W596="","",W596))</f>
        <v>0</v>
      </c>
      <c r="AC596" s="1460" t="str">
        <f t="shared" ref="AC596:AC601" si="273">IF(MaxScore,"-",IF(W596="","","-"))</f>
        <v>-</v>
      </c>
      <c r="AD596" s="1459">
        <f t="shared" ref="AD596:AD601" si="274">IF(MaxScore,MaxGoals(Y596,W596,MaxGoalsValue),IF(Y596="","",Y596))</f>
        <v>0</v>
      </c>
      <c r="AE596" s="964" t="str">
        <f t="shared" ref="AE596:AE601" si="275">IF(W596="","",IF(W596&gt;Y596,V596,IF(W596=Y596,"",Z596)))</f>
        <v/>
      </c>
      <c r="AF596" s="964" t="str">
        <f t="shared" ref="AF596:AF601" si="276">IF(W596="","",IF(W596=Y596,V596,""))</f>
        <v/>
      </c>
      <c r="AG596" s="964" t="str">
        <f t="shared" ref="AG596:AG601" si="277">IF(W596="","",IF(W596=Y596,Z596,""))</f>
        <v/>
      </c>
      <c r="AH596" s="964" t="str">
        <f t="shared" ref="AH596:AH601" si="278">IF(W596="","",IF(W596&lt;Y596,V596,IF(W596=Y596,"",Z596)))</f>
        <v/>
      </c>
      <c r="AI596" s="964" t="str">
        <f t="shared" ref="AI596:AI601" si="279">CONCATENATE(AE596,AH596)</f>
        <v/>
      </c>
      <c r="AJ596" s="964"/>
      <c r="AK596" s="964"/>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s="1396"/>
      <c r="CB596" s="1396"/>
      <c r="CC596"/>
      <c r="CD596"/>
      <c r="CE596"/>
    </row>
    <row r="597" spans="1:83" ht="13.15" customHeight="1" outlineLevel="2" x14ac:dyDescent="0.2">
      <c r="A597"/>
      <c r="B597" s="1"/>
      <c r="C597"/>
      <c r="D597"/>
      <c r="E597"/>
      <c r="F597"/>
      <c r="G597" s="1"/>
      <c r="H597" s="1"/>
      <c r="I597"/>
      <c r="J597"/>
      <c r="K597"/>
      <c r="L597"/>
      <c r="M597"/>
      <c r="N597"/>
      <c r="O597"/>
      <c r="P597"/>
      <c r="Q597"/>
      <c r="R597" s="558" t="s">
        <v>1740</v>
      </c>
      <c r="S597" s="83"/>
      <c r="T597" s="56"/>
      <c r="U597" s="955"/>
      <c r="V597" s="43" t="str">
        <f>Z590</f>
        <v>L</v>
      </c>
      <c r="W597" s="10"/>
      <c r="X597" s="45" t="s">
        <v>769</v>
      </c>
      <c r="Y597" s="10"/>
      <c r="Z597" s="46" t="str">
        <f>V589</f>
        <v>I</v>
      </c>
      <c r="AA597" s="123"/>
      <c r="AB597" s="1459">
        <f t="shared" si="272"/>
        <v>0</v>
      </c>
      <c r="AC597" s="1460" t="str">
        <f t="shared" si="273"/>
        <v>-</v>
      </c>
      <c r="AD597" s="1459">
        <f t="shared" si="274"/>
        <v>0</v>
      </c>
      <c r="AE597" s="964" t="str">
        <f t="shared" si="275"/>
        <v/>
      </c>
      <c r="AF597" s="964" t="str">
        <f t="shared" si="276"/>
        <v/>
      </c>
      <c r="AG597" s="964" t="str">
        <f t="shared" si="277"/>
        <v/>
      </c>
      <c r="AH597" s="964" t="str">
        <f t="shared" si="278"/>
        <v/>
      </c>
      <c r="AI597" s="964" t="str">
        <f t="shared" si="279"/>
        <v/>
      </c>
      <c r="AJ597" s="964"/>
      <c r="AK597" s="964"/>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s="1396"/>
      <c r="CB597" s="1396"/>
      <c r="CC597"/>
      <c r="CD597"/>
      <c r="CE597"/>
    </row>
    <row r="598" spans="1:83" ht="13.15" customHeight="1" outlineLevel="2" x14ac:dyDescent="0.2">
      <c r="A598"/>
      <c r="B598" s="1"/>
      <c r="C598"/>
      <c r="D598"/>
      <c r="E598"/>
      <c r="F598"/>
      <c r="G598" s="1"/>
      <c r="H598" s="1"/>
      <c r="I598"/>
      <c r="J598"/>
      <c r="K598"/>
      <c r="L598"/>
      <c r="M598"/>
      <c r="N598"/>
      <c r="O598"/>
      <c r="P598"/>
      <c r="Q598"/>
      <c r="R598" s="558" t="s">
        <v>1740</v>
      </c>
      <c r="S598" s="83"/>
      <c r="T598" s="56"/>
      <c r="U598" s="955"/>
      <c r="V598" s="43" t="str">
        <f>Z591</f>
        <v>J</v>
      </c>
      <c r="W598" s="10"/>
      <c r="X598" s="45" t="s">
        <v>769</v>
      </c>
      <c r="Y598" s="10"/>
      <c r="Z598" s="46" t="str">
        <f>Z581</f>
        <v>G</v>
      </c>
      <c r="AA598" s="123"/>
      <c r="AB598" s="1459">
        <f t="shared" si="272"/>
        <v>0</v>
      </c>
      <c r="AC598" s="1460" t="str">
        <f t="shared" si="273"/>
        <v>-</v>
      </c>
      <c r="AD598" s="1459">
        <f t="shared" si="274"/>
        <v>0</v>
      </c>
      <c r="AE598" s="964" t="str">
        <f t="shared" si="275"/>
        <v/>
      </c>
      <c r="AF598" s="964" t="str">
        <f t="shared" si="276"/>
        <v/>
      </c>
      <c r="AG598" s="964" t="str">
        <f t="shared" si="277"/>
        <v/>
      </c>
      <c r="AH598" s="964" t="str">
        <f t="shared" si="278"/>
        <v/>
      </c>
      <c r="AI598" s="964" t="str">
        <f t="shared" si="279"/>
        <v/>
      </c>
      <c r="AJ598" s="964"/>
      <c r="AK598" s="964"/>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s="1396"/>
      <c r="CB598" s="1396"/>
      <c r="CC598"/>
      <c r="CD598"/>
      <c r="CE598"/>
    </row>
    <row r="599" spans="1:83" ht="13.15" customHeight="1" outlineLevel="2" x14ac:dyDescent="0.2">
      <c r="A599"/>
      <c r="B599" s="1"/>
      <c r="C599"/>
      <c r="D599"/>
      <c r="E599"/>
      <c r="F599"/>
      <c r="G599" s="1"/>
      <c r="H599" s="1"/>
      <c r="I599"/>
      <c r="J599"/>
      <c r="K599"/>
      <c r="L599"/>
      <c r="M599"/>
      <c r="N599"/>
      <c r="O599"/>
      <c r="P599"/>
      <c r="Q599"/>
      <c r="R599" s="558" t="s">
        <v>1740</v>
      </c>
      <c r="S599" s="83"/>
      <c r="T599" s="56"/>
      <c r="U599" s="955"/>
      <c r="V599" s="43" t="str">
        <f>Z592</f>
        <v>H</v>
      </c>
      <c r="W599" s="10"/>
      <c r="X599" s="45" t="s">
        <v>769</v>
      </c>
      <c r="Y599" s="10"/>
      <c r="Z599" s="46" t="str">
        <f>V590</f>
        <v>E</v>
      </c>
      <c r="AA599" s="123"/>
      <c r="AB599" s="1459">
        <f t="shared" si="272"/>
        <v>0</v>
      </c>
      <c r="AC599" s="1460" t="str">
        <f t="shared" si="273"/>
        <v>-</v>
      </c>
      <c r="AD599" s="1459">
        <f t="shared" si="274"/>
        <v>0</v>
      </c>
      <c r="AE599" s="964" t="str">
        <f t="shared" si="275"/>
        <v/>
      </c>
      <c r="AF599" s="964" t="str">
        <f t="shared" si="276"/>
        <v/>
      </c>
      <c r="AG599" s="964" t="str">
        <f t="shared" si="277"/>
        <v/>
      </c>
      <c r="AH599" s="964" t="str">
        <f t="shared" si="278"/>
        <v/>
      </c>
      <c r="AI599" s="964" t="str">
        <f t="shared" si="279"/>
        <v/>
      </c>
      <c r="AJ599" s="964"/>
      <c r="AK599" s="964"/>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s="1396"/>
      <c r="CB599" s="1396"/>
      <c r="CC599"/>
      <c r="CD599"/>
      <c r="CE599"/>
    </row>
    <row r="600" spans="1:83" ht="13.15" customHeight="1" outlineLevel="2" x14ac:dyDescent="0.2">
      <c r="A600"/>
      <c r="B600" s="1"/>
      <c r="C600"/>
      <c r="D600"/>
      <c r="E600"/>
      <c r="F600"/>
      <c r="G600" s="1"/>
      <c r="H600" s="1"/>
      <c r="I600"/>
      <c r="J600"/>
      <c r="K600"/>
      <c r="L600"/>
      <c r="M600"/>
      <c r="N600"/>
      <c r="O600"/>
      <c r="P600"/>
      <c r="Q600"/>
      <c r="R600" s="558" t="s">
        <v>1740</v>
      </c>
      <c r="S600" s="83"/>
      <c r="T600" s="56"/>
      <c r="U600" s="955"/>
      <c r="V600" s="43" t="str">
        <f>Z593</f>
        <v>F</v>
      </c>
      <c r="W600" s="10"/>
      <c r="X600" s="45" t="s">
        <v>769</v>
      </c>
      <c r="Y600" s="10"/>
      <c r="Z600" s="46" t="str">
        <f>V591</f>
        <v>C</v>
      </c>
      <c r="AA600" s="123"/>
      <c r="AB600" s="1459">
        <f t="shared" si="272"/>
        <v>0</v>
      </c>
      <c r="AC600" s="1460" t="str">
        <f t="shared" si="273"/>
        <v>-</v>
      </c>
      <c r="AD600" s="1459">
        <f t="shared" si="274"/>
        <v>0</v>
      </c>
      <c r="AE600" s="964" t="str">
        <f t="shared" si="275"/>
        <v/>
      </c>
      <c r="AF600" s="964" t="str">
        <f t="shared" si="276"/>
        <v/>
      </c>
      <c r="AG600" s="964" t="str">
        <f t="shared" si="277"/>
        <v/>
      </c>
      <c r="AH600" s="964" t="str">
        <f t="shared" si="278"/>
        <v/>
      </c>
      <c r="AI600" s="964" t="str">
        <f t="shared" si="279"/>
        <v/>
      </c>
      <c r="AJ600" s="964"/>
      <c r="AK600" s="964"/>
      <c r="AL600"/>
      <c r="AM600"/>
      <c r="AN600"/>
      <c r="AO600"/>
      <c r="AP600"/>
      <c r="AQ600"/>
      <c r="AR600"/>
      <c r="AS600"/>
      <c r="AT600"/>
      <c r="AU600"/>
      <c r="AV600"/>
      <c r="AW600"/>
      <c r="AX600" s="9"/>
      <c r="AY600"/>
      <c r="AZ600"/>
      <c r="BA600"/>
      <c r="BB600"/>
      <c r="BC600"/>
      <c r="BD600"/>
      <c r="BE600"/>
      <c r="BF600"/>
      <c r="BG600"/>
      <c r="BH600"/>
      <c r="BI600"/>
      <c r="BJ600"/>
      <c r="BK600"/>
      <c r="BL600"/>
      <c r="BM600"/>
      <c r="BN600"/>
      <c r="BO600"/>
      <c r="BP600"/>
      <c r="BQ600"/>
      <c r="BR600"/>
      <c r="BS600"/>
      <c r="BT600"/>
      <c r="BU600"/>
      <c r="BV600"/>
      <c r="BW600"/>
      <c r="BX600"/>
      <c r="BY600"/>
      <c r="BZ600"/>
      <c r="CA600" s="1396"/>
      <c r="CB600" s="1396"/>
      <c r="CC600"/>
      <c r="CD600"/>
      <c r="CE600"/>
    </row>
    <row r="601" spans="1:83" ht="13.9" customHeight="1" outlineLevel="2" thickBot="1" x14ac:dyDescent="0.25">
      <c r="A601"/>
      <c r="B601" s="1"/>
      <c r="C601"/>
      <c r="D601"/>
      <c r="E601"/>
      <c r="F601"/>
      <c r="G601" s="1"/>
      <c r="H601" s="1"/>
      <c r="I601"/>
      <c r="J601"/>
      <c r="K601"/>
      <c r="L601"/>
      <c r="M601"/>
      <c r="N601"/>
      <c r="O601"/>
      <c r="P601"/>
      <c r="Q601"/>
      <c r="R601" s="558" t="s">
        <v>1740</v>
      </c>
      <c r="S601" s="956"/>
      <c r="T601" s="58"/>
      <c r="U601" s="957"/>
      <c r="V601" s="958" t="str">
        <f>+V593</f>
        <v>D</v>
      </c>
      <c r="W601" s="10"/>
      <c r="X601" s="45" t="s">
        <v>769</v>
      </c>
      <c r="Y601" s="10"/>
      <c r="Z601" s="46" t="str">
        <f>+V592</f>
        <v>B</v>
      </c>
      <c r="AA601" s="123"/>
      <c r="AB601" s="1459">
        <f t="shared" si="272"/>
        <v>0</v>
      </c>
      <c r="AC601" s="1460" t="str">
        <f t="shared" si="273"/>
        <v>-</v>
      </c>
      <c r="AD601" s="1459">
        <f t="shared" si="274"/>
        <v>0</v>
      </c>
      <c r="AE601" s="964" t="str">
        <f t="shared" si="275"/>
        <v/>
      </c>
      <c r="AF601" s="964" t="str">
        <f t="shared" si="276"/>
        <v/>
      </c>
      <c r="AG601" s="964" t="str">
        <f t="shared" si="277"/>
        <v/>
      </c>
      <c r="AH601" s="964" t="str">
        <f t="shared" si="278"/>
        <v/>
      </c>
      <c r="AI601" s="964" t="str">
        <f t="shared" si="279"/>
        <v/>
      </c>
      <c r="AJ601" s="964"/>
      <c r="AK601" s="964"/>
      <c r="AL601"/>
      <c r="AM601"/>
      <c r="AN601"/>
      <c r="AO601"/>
      <c r="AP601"/>
      <c r="AQ601"/>
      <c r="AR601"/>
      <c r="AS601"/>
      <c r="AT601"/>
      <c r="AU601"/>
      <c r="AV601"/>
      <c r="AW601" s="9"/>
      <c r="AX601" s="9"/>
      <c r="AY601"/>
      <c r="AZ601"/>
      <c r="BA601"/>
      <c r="BB601"/>
      <c r="BC601"/>
      <c r="BD601"/>
      <c r="BE601"/>
      <c r="BF601"/>
      <c r="BG601"/>
      <c r="BH601"/>
      <c r="BI601"/>
      <c r="BJ601"/>
      <c r="BK601"/>
      <c r="BL601"/>
      <c r="BM601"/>
      <c r="BN601"/>
      <c r="BO601"/>
      <c r="BP601"/>
      <c r="BQ601"/>
      <c r="BR601"/>
      <c r="BS601"/>
      <c r="BT601"/>
      <c r="BU601"/>
      <c r="BV601"/>
      <c r="BW601"/>
      <c r="BX601"/>
      <c r="BY601"/>
      <c r="BZ601"/>
      <c r="CA601" s="1396"/>
      <c r="CB601" s="1396"/>
      <c r="CC601"/>
      <c r="CD601"/>
      <c r="CE601"/>
    </row>
    <row r="602" spans="1:83" ht="13.5" outlineLevel="1" thickBot="1" x14ac:dyDescent="0.25">
      <c r="A602"/>
      <c r="B602" s="1"/>
      <c r="C602" s="1"/>
      <c r="D602" s="76"/>
      <c r="E602" s="76"/>
      <c r="F602" s="76"/>
      <c r="G602" s="9"/>
      <c r="H602" s="9"/>
      <c r="I602" s="1"/>
      <c r="J602"/>
      <c r="K602"/>
      <c r="L602"/>
      <c r="M602"/>
      <c r="N602"/>
      <c r="O602"/>
      <c r="P602" s="89"/>
      <c r="Q602"/>
      <c r="R602" s="1"/>
      <c r="S602" s="993">
        <f>S594+1</f>
        <v>8</v>
      </c>
      <c r="T602" s="961"/>
      <c r="U602" s="961"/>
      <c r="V602" s="961"/>
      <c r="W602" s="960"/>
      <c r="X602" s="960"/>
      <c r="Y602" s="960"/>
      <c r="Z602" s="962"/>
      <c r="AA602" s="123"/>
      <c r="AB602" s="963"/>
      <c r="AC602" s="963"/>
      <c r="AD602" s="963"/>
      <c r="AE602" s="964"/>
      <c r="AF602" s="964"/>
      <c r="AG602" s="964"/>
      <c r="AH602" s="964"/>
      <c r="AI602" s="964"/>
      <c r="AJ602" s="964"/>
      <c r="AK602" s="964"/>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s="1396"/>
      <c r="CB602" s="1396"/>
      <c r="CC602"/>
      <c r="CD602"/>
      <c r="CE602"/>
    </row>
    <row r="603" spans="1:83" ht="13.9" customHeight="1" outlineLevel="2" x14ac:dyDescent="0.2">
      <c r="A603"/>
      <c r="B603" s="1"/>
      <c r="C603"/>
      <c r="D603"/>
      <c r="E603"/>
      <c r="F603"/>
      <c r="G603" s="1"/>
      <c r="H603" s="1"/>
      <c r="I603"/>
      <c r="J603"/>
      <c r="K603"/>
      <c r="L603"/>
      <c r="M603"/>
      <c r="N603"/>
      <c r="O603"/>
      <c r="P603"/>
      <c r="Q603"/>
      <c r="S603" s="22" t="str">
        <f>N_Heure</f>
        <v>Heure</v>
      </c>
      <c r="T603" s="22" t="str">
        <f>N_Table</f>
        <v>Table</v>
      </c>
      <c r="U603" s="22" t="str">
        <f>N_Arbitre</f>
        <v>Arbitre</v>
      </c>
      <c r="V603" s="293" t="str">
        <f>N_Matches</f>
        <v>Matches</v>
      </c>
      <c r="W603" s="294"/>
      <c r="X603" s="294"/>
      <c r="Y603" s="294"/>
      <c r="Z603" s="295"/>
      <c r="AA603" s="8"/>
      <c r="AB603" s="967"/>
      <c r="AC603" s="967"/>
      <c r="AD603" s="967"/>
      <c r="AE603" s="964"/>
      <c r="AF603" s="964"/>
      <c r="AG603" s="964"/>
      <c r="AH603" s="964"/>
      <c r="AI603" s="964"/>
      <c r="AJ603" s="964"/>
      <c r="AK603" s="964"/>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s="1396"/>
      <c r="CB603" s="1396"/>
      <c r="CC603"/>
      <c r="CD603"/>
      <c r="CE603"/>
    </row>
    <row r="604" spans="1:83" ht="13.15" customHeight="1" outlineLevel="2" x14ac:dyDescent="0.2">
      <c r="A604"/>
      <c r="B604" s="1"/>
      <c r="C604"/>
      <c r="D604"/>
      <c r="E604"/>
      <c r="F604"/>
      <c r="G604" s="1"/>
      <c r="H604" s="1"/>
      <c r="I604"/>
      <c r="J604"/>
      <c r="K604"/>
      <c r="L604"/>
      <c r="M604"/>
      <c r="N604"/>
      <c r="O604"/>
      <c r="P604"/>
      <c r="Q604"/>
      <c r="R604" s="558" t="s">
        <v>930</v>
      </c>
      <c r="S604" s="83"/>
      <c r="T604" s="56"/>
      <c r="U604" s="955"/>
      <c r="V604" s="43" t="str">
        <f>Z596</f>
        <v>M</v>
      </c>
      <c r="W604" s="10"/>
      <c r="X604" s="45" t="s">
        <v>769</v>
      </c>
      <c r="Y604" s="10"/>
      <c r="Z604" s="46" t="str">
        <f>V597</f>
        <v>L</v>
      </c>
      <c r="AA604" s="123"/>
      <c r="AB604" s="1459">
        <f t="shared" ref="AB604:AB609" si="280">IF(MaxScore,MaxGoals(W604,Y604,MaxGoalsValue),IF(W604="","",W604))</f>
        <v>0</v>
      </c>
      <c r="AC604" s="1460" t="str">
        <f t="shared" ref="AC604:AC609" si="281">IF(MaxScore,"-",IF(W604="","","-"))</f>
        <v>-</v>
      </c>
      <c r="AD604" s="1459">
        <f t="shared" ref="AD604:AD609" si="282">IF(MaxScore,MaxGoals(Y604,W604,MaxGoalsValue),IF(Y604="","",Y604))</f>
        <v>0</v>
      </c>
      <c r="AE604" s="964" t="str">
        <f t="shared" ref="AE604:AE609" si="283">IF(W604="","",IF(W604&gt;Y604,V604,IF(W604=Y604,"",Z604)))</f>
        <v/>
      </c>
      <c r="AF604" s="964" t="str">
        <f t="shared" ref="AF604:AF609" si="284">IF(W604="","",IF(W604=Y604,V604,""))</f>
        <v/>
      </c>
      <c r="AG604" s="964" t="str">
        <f t="shared" ref="AG604:AG609" si="285">IF(W604="","",IF(W604=Y604,Z604,""))</f>
        <v/>
      </c>
      <c r="AH604" s="964" t="str">
        <f t="shared" ref="AH604:AH609" si="286">IF(W604="","",IF(W604&lt;Y604,V604,IF(W604=Y604,"",Z604)))</f>
        <v/>
      </c>
      <c r="AI604" s="964" t="str">
        <f t="shared" ref="AI604:AI609" si="287">CONCATENATE(AE604,AH604)</f>
        <v/>
      </c>
      <c r="AJ604" s="964"/>
      <c r="AK604" s="964"/>
      <c r="AL604"/>
      <c r="AM604"/>
      <c r="AN604"/>
      <c r="AO604"/>
      <c r="AP604"/>
      <c r="AQ604"/>
      <c r="AR604"/>
      <c r="AS604"/>
      <c r="AT604"/>
      <c r="AU604"/>
      <c r="AV604"/>
      <c r="AW604" s="9"/>
      <c r="AX604" s="9"/>
      <c r="AY604"/>
      <c r="AZ604"/>
      <c r="BA604"/>
      <c r="BB604"/>
      <c r="BC604"/>
      <c r="BD604"/>
      <c r="BE604"/>
      <c r="BF604"/>
      <c r="BG604"/>
      <c r="BH604"/>
      <c r="BI604"/>
      <c r="BJ604"/>
      <c r="BK604"/>
      <c r="BL604"/>
      <c r="BM604"/>
      <c r="BN604"/>
      <c r="BO604"/>
      <c r="BP604"/>
      <c r="BQ604"/>
      <c r="BR604"/>
      <c r="BS604"/>
      <c r="BT604"/>
      <c r="BU604"/>
      <c r="BV604"/>
      <c r="BW604"/>
      <c r="BX604"/>
      <c r="BY604"/>
      <c r="BZ604"/>
      <c r="CA604" s="1396"/>
      <c r="CB604" s="1396"/>
      <c r="CC604"/>
      <c r="CD604"/>
      <c r="CE604"/>
    </row>
    <row r="605" spans="1:83" ht="13.15" customHeight="1" outlineLevel="2" x14ac:dyDescent="0.2">
      <c r="A605"/>
      <c r="B605" s="1"/>
      <c r="C605"/>
      <c r="D605"/>
      <c r="E605"/>
      <c r="F605"/>
      <c r="G605" s="1"/>
      <c r="H605" s="1"/>
      <c r="I605"/>
      <c r="J605"/>
      <c r="K605"/>
      <c r="L605"/>
      <c r="M605"/>
      <c r="N605"/>
      <c r="O605"/>
      <c r="P605"/>
      <c r="Q605"/>
      <c r="R605" s="558" t="s">
        <v>930</v>
      </c>
      <c r="S605" s="83"/>
      <c r="T605" s="56"/>
      <c r="U605" s="955"/>
      <c r="V605" s="43" t="str">
        <f>V588</f>
        <v>K</v>
      </c>
      <c r="W605" s="10"/>
      <c r="X605" s="45" t="s">
        <v>769</v>
      </c>
      <c r="Y605" s="10"/>
      <c r="Z605" s="46" t="str">
        <f>V598</f>
        <v>J</v>
      </c>
      <c r="AA605" s="123"/>
      <c r="AB605" s="1459">
        <f t="shared" si="280"/>
        <v>0</v>
      </c>
      <c r="AC605" s="1460" t="str">
        <f t="shared" si="281"/>
        <v>-</v>
      </c>
      <c r="AD605" s="1459">
        <f t="shared" si="282"/>
        <v>0</v>
      </c>
      <c r="AE605" s="964" t="str">
        <f t="shared" si="283"/>
        <v/>
      </c>
      <c r="AF605" s="964" t="str">
        <f t="shared" si="284"/>
        <v/>
      </c>
      <c r="AG605" s="964" t="str">
        <f t="shared" si="285"/>
        <v/>
      </c>
      <c r="AH605" s="964" t="str">
        <f t="shared" si="286"/>
        <v/>
      </c>
      <c r="AI605" s="964" t="str">
        <f t="shared" si="287"/>
        <v/>
      </c>
      <c r="AJ605" s="964"/>
      <c r="AK605" s="964"/>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s="1396"/>
      <c r="CB605" s="1396"/>
      <c r="CC605"/>
      <c r="CD605"/>
      <c r="CE605"/>
    </row>
    <row r="606" spans="1:83" ht="13.15" customHeight="1" outlineLevel="2" x14ac:dyDescent="0.2">
      <c r="A606"/>
      <c r="B606" s="1"/>
      <c r="C606"/>
      <c r="D606"/>
      <c r="E606"/>
      <c r="F606"/>
      <c r="G606" s="1"/>
      <c r="H606" s="1"/>
      <c r="I606"/>
      <c r="J606"/>
      <c r="K606"/>
      <c r="L606"/>
      <c r="M606"/>
      <c r="N606"/>
      <c r="O606"/>
      <c r="P606"/>
      <c r="Q606"/>
      <c r="R606" s="558" t="s">
        <v>930</v>
      </c>
      <c r="S606" s="83"/>
      <c r="T606" s="56"/>
      <c r="U606" s="955"/>
      <c r="V606" s="43" t="str">
        <f>Z597</f>
        <v>I</v>
      </c>
      <c r="W606" s="10"/>
      <c r="X606" s="45" t="s">
        <v>769</v>
      </c>
      <c r="Y606" s="10"/>
      <c r="Z606" s="46" t="str">
        <f>V599</f>
        <v>H</v>
      </c>
      <c r="AA606" s="123"/>
      <c r="AB606" s="1459">
        <f t="shared" si="280"/>
        <v>0</v>
      </c>
      <c r="AC606" s="1460" t="str">
        <f t="shared" si="281"/>
        <v>-</v>
      </c>
      <c r="AD606" s="1459">
        <f t="shared" si="282"/>
        <v>0</v>
      </c>
      <c r="AE606" s="964" t="str">
        <f t="shared" si="283"/>
        <v/>
      </c>
      <c r="AF606" s="964" t="str">
        <f t="shared" si="284"/>
        <v/>
      </c>
      <c r="AG606" s="964" t="str">
        <f t="shared" si="285"/>
        <v/>
      </c>
      <c r="AH606" s="964" t="str">
        <f t="shared" si="286"/>
        <v/>
      </c>
      <c r="AI606" s="964" t="str">
        <f t="shared" si="287"/>
        <v/>
      </c>
      <c r="AJ606" s="964"/>
      <c r="AK606" s="964"/>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s="1396"/>
      <c r="CB606" s="1396"/>
      <c r="CC606"/>
      <c r="CD606"/>
      <c r="CE606"/>
    </row>
    <row r="607" spans="1:83" ht="13.15" customHeight="1" outlineLevel="2" x14ac:dyDescent="0.2">
      <c r="A607"/>
      <c r="B607" s="1"/>
      <c r="C607"/>
      <c r="D607"/>
      <c r="E607"/>
      <c r="F607"/>
      <c r="G607" s="1"/>
      <c r="H607" s="1"/>
      <c r="I607"/>
      <c r="J607"/>
      <c r="K607"/>
      <c r="L607"/>
      <c r="M607"/>
      <c r="N607"/>
      <c r="O607"/>
      <c r="P607"/>
      <c r="Q607"/>
      <c r="R607" s="558" t="s">
        <v>930</v>
      </c>
      <c r="S607" s="83"/>
      <c r="T607" s="56"/>
      <c r="U607" s="955"/>
      <c r="V607" s="43" t="str">
        <f>Z598</f>
        <v>G</v>
      </c>
      <c r="W607" s="10"/>
      <c r="X607" s="45" t="s">
        <v>769</v>
      </c>
      <c r="Y607" s="10"/>
      <c r="Z607" s="46" t="str">
        <f>V600</f>
        <v>F</v>
      </c>
      <c r="AA607" s="123"/>
      <c r="AB607" s="1459">
        <f t="shared" si="280"/>
        <v>0</v>
      </c>
      <c r="AC607" s="1460" t="str">
        <f t="shared" si="281"/>
        <v>-</v>
      </c>
      <c r="AD607" s="1459">
        <f t="shared" si="282"/>
        <v>0</v>
      </c>
      <c r="AE607" s="964" t="str">
        <f t="shared" si="283"/>
        <v/>
      </c>
      <c r="AF607" s="964" t="str">
        <f t="shared" si="284"/>
        <v/>
      </c>
      <c r="AG607" s="964" t="str">
        <f t="shared" si="285"/>
        <v/>
      </c>
      <c r="AH607" s="964" t="str">
        <f t="shared" si="286"/>
        <v/>
      </c>
      <c r="AI607" s="964" t="str">
        <f t="shared" si="287"/>
        <v/>
      </c>
      <c r="AJ607" s="964"/>
      <c r="AK607" s="964"/>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s="1396"/>
      <c r="CB607" s="1396"/>
      <c r="CC607"/>
      <c r="CD607"/>
      <c r="CE607"/>
    </row>
    <row r="608" spans="1:83" ht="13.15" customHeight="1" outlineLevel="2" x14ac:dyDescent="0.2">
      <c r="A608"/>
      <c r="B608" s="1"/>
      <c r="C608"/>
      <c r="D608"/>
      <c r="E608"/>
      <c r="F608"/>
      <c r="G608" s="1"/>
      <c r="H608" s="1"/>
      <c r="I608"/>
      <c r="J608"/>
      <c r="K608"/>
      <c r="L608"/>
      <c r="M608"/>
      <c r="N608"/>
      <c r="O608"/>
      <c r="P608"/>
      <c r="Q608"/>
      <c r="R608" s="558" t="s">
        <v>930</v>
      </c>
      <c r="S608" s="83"/>
      <c r="T608" s="56"/>
      <c r="U608" s="955"/>
      <c r="V608" s="43" t="str">
        <f>Z599</f>
        <v>E</v>
      </c>
      <c r="W608" s="10"/>
      <c r="X608" s="45" t="s">
        <v>769</v>
      </c>
      <c r="Y608" s="10"/>
      <c r="Z608" s="46" t="str">
        <f>V601</f>
        <v>D</v>
      </c>
      <c r="AA608" s="123"/>
      <c r="AB608" s="1459">
        <f t="shared" si="280"/>
        <v>0</v>
      </c>
      <c r="AC608" s="1460" t="str">
        <f t="shared" si="281"/>
        <v>-</v>
      </c>
      <c r="AD608" s="1459">
        <f t="shared" si="282"/>
        <v>0</v>
      </c>
      <c r="AE608" s="964" t="str">
        <f t="shared" si="283"/>
        <v/>
      </c>
      <c r="AF608" s="964" t="str">
        <f t="shared" si="284"/>
        <v/>
      </c>
      <c r="AG608" s="964" t="str">
        <f t="shared" si="285"/>
        <v/>
      </c>
      <c r="AH608" s="964" t="str">
        <f t="shared" si="286"/>
        <v/>
      </c>
      <c r="AI608" s="964" t="str">
        <f t="shared" si="287"/>
        <v/>
      </c>
      <c r="AJ608" s="964"/>
      <c r="AK608" s="964"/>
      <c r="AL608"/>
      <c r="AM608"/>
      <c r="AN608"/>
      <c r="AO608"/>
      <c r="AP608"/>
      <c r="AQ608"/>
      <c r="AR608"/>
      <c r="AS608"/>
      <c r="AT608"/>
      <c r="AU608"/>
      <c r="AV608"/>
      <c r="AW608"/>
      <c r="AX608" s="9"/>
      <c r="AY608"/>
      <c r="AZ608"/>
      <c r="BA608"/>
      <c r="BB608"/>
      <c r="BC608"/>
      <c r="BD608"/>
      <c r="BE608"/>
      <c r="BF608"/>
      <c r="BG608"/>
      <c r="BH608"/>
      <c r="BI608"/>
      <c r="BJ608"/>
      <c r="BK608"/>
      <c r="BL608"/>
      <c r="BM608"/>
      <c r="BN608"/>
      <c r="BO608"/>
      <c r="BP608"/>
      <c r="BQ608"/>
      <c r="BR608"/>
      <c r="BS608"/>
      <c r="BT608"/>
      <c r="BU608"/>
      <c r="BV608"/>
      <c r="BW608"/>
      <c r="BX608"/>
      <c r="BY608"/>
      <c r="BZ608"/>
      <c r="CA608" s="1396"/>
      <c r="CB608" s="1396"/>
      <c r="CC608"/>
      <c r="CD608"/>
      <c r="CE608"/>
    </row>
    <row r="609" spans="1:83" ht="13.9" customHeight="1" outlineLevel="2" thickBot="1" x14ac:dyDescent="0.25">
      <c r="A609"/>
      <c r="B609" s="1"/>
      <c r="C609"/>
      <c r="D609"/>
      <c r="E609"/>
      <c r="F609"/>
      <c r="G609" s="1"/>
      <c r="H609" s="1"/>
      <c r="I609"/>
      <c r="J609"/>
      <c r="K609"/>
      <c r="L609"/>
      <c r="M609"/>
      <c r="N609"/>
      <c r="O609"/>
      <c r="P609"/>
      <c r="Q609"/>
      <c r="R609" s="558" t="s">
        <v>930</v>
      </c>
      <c r="S609" s="956"/>
      <c r="T609" s="58"/>
      <c r="U609" s="957"/>
      <c r="V609" s="43" t="str">
        <f>Z600</f>
        <v>C</v>
      </c>
      <c r="W609" s="10"/>
      <c r="X609" s="45" t="s">
        <v>769</v>
      </c>
      <c r="Y609" s="10"/>
      <c r="Z609" s="46" t="str">
        <f>+Z601</f>
        <v>B</v>
      </c>
      <c r="AA609" s="123"/>
      <c r="AB609" s="1459">
        <f t="shared" si="280"/>
        <v>0</v>
      </c>
      <c r="AC609" s="1460" t="str">
        <f t="shared" si="281"/>
        <v>-</v>
      </c>
      <c r="AD609" s="1459">
        <f t="shared" si="282"/>
        <v>0</v>
      </c>
      <c r="AE609" s="964" t="str">
        <f t="shared" si="283"/>
        <v/>
      </c>
      <c r="AF609" s="964" t="str">
        <f t="shared" si="284"/>
        <v/>
      </c>
      <c r="AG609" s="964" t="str">
        <f t="shared" si="285"/>
        <v/>
      </c>
      <c r="AH609" s="964" t="str">
        <f t="shared" si="286"/>
        <v/>
      </c>
      <c r="AI609" s="964" t="str">
        <f t="shared" si="287"/>
        <v/>
      </c>
      <c r="AJ609" s="964"/>
      <c r="AK609" s="964"/>
      <c r="AL609"/>
      <c r="AM609"/>
      <c r="AN609"/>
      <c r="AO609"/>
      <c r="AP609"/>
      <c r="AQ609"/>
      <c r="AR609"/>
      <c r="AS609"/>
      <c r="AT609"/>
      <c r="AU609"/>
      <c r="AV609"/>
      <c r="AW609" s="9"/>
      <c r="AX609" s="9"/>
      <c r="AY609"/>
      <c r="AZ609"/>
      <c r="BA609"/>
      <c r="BB609"/>
      <c r="BC609"/>
      <c r="BD609"/>
      <c r="BE609"/>
      <c r="BF609"/>
      <c r="BG609"/>
      <c r="BH609"/>
      <c r="BI609"/>
      <c r="BJ609"/>
      <c r="BK609"/>
      <c r="BL609"/>
      <c r="BM609"/>
      <c r="BN609"/>
      <c r="BO609"/>
      <c r="BP609"/>
      <c r="BQ609"/>
      <c r="BR609"/>
      <c r="BS609"/>
      <c r="BT609"/>
      <c r="BU609"/>
      <c r="BV609"/>
      <c r="BW609"/>
      <c r="BX609"/>
      <c r="BY609"/>
      <c r="BZ609"/>
      <c r="CA609" s="1396"/>
      <c r="CB609" s="1396"/>
      <c r="CC609"/>
      <c r="CD609"/>
      <c r="CE609"/>
    </row>
    <row r="610" spans="1:83" ht="13.5" outlineLevel="1" thickBot="1" x14ac:dyDescent="0.25">
      <c r="A610"/>
      <c r="B610" s="1"/>
      <c r="C610" s="1"/>
      <c r="D610" s="76"/>
      <c r="E610" s="76"/>
      <c r="F610" s="76"/>
      <c r="G610" s="9"/>
      <c r="H610" s="9"/>
      <c r="I610" s="1"/>
      <c r="J610"/>
      <c r="K610"/>
      <c r="L610"/>
      <c r="M610"/>
      <c r="N610"/>
      <c r="O610"/>
      <c r="P610" s="89"/>
      <c r="Q610"/>
      <c r="R610" s="1"/>
      <c r="S610" s="993">
        <f>S602+1</f>
        <v>9</v>
      </c>
      <c r="T610" s="961"/>
      <c r="U610" s="961"/>
      <c r="V610" s="961"/>
      <c r="W610" s="960"/>
      <c r="X610" s="960"/>
      <c r="Y610" s="960"/>
      <c r="Z610" s="962"/>
      <c r="AA610" s="123"/>
      <c r="AB610" s="963"/>
      <c r="AC610" s="963"/>
      <c r="AD610" s="963"/>
      <c r="AE610" s="964"/>
      <c r="AF610" s="964"/>
      <c r="AG610" s="964"/>
      <c r="AH610" s="964"/>
      <c r="AI610" s="964"/>
      <c r="AJ610" s="964"/>
      <c r="AK610" s="964"/>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s="1396"/>
      <c r="CB610" s="1396"/>
      <c r="CC610"/>
      <c r="CD610"/>
      <c r="CE610"/>
    </row>
    <row r="611" spans="1:83" ht="13.9" customHeight="1" outlineLevel="2" thickBot="1" x14ac:dyDescent="0.25">
      <c r="A611"/>
      <c r="B611" s="1"/>
      <c r="C611"/>
      <c r="D611"/>
      <c r="E611"/>
      <c r="F611"/>
      <c r="G611" s="1"/>
      <c r="H611" s="1"/>
      <c r="I611"/>
      <c r="J611"/>
      <c r="K611"/>
      <c r="L611"/>
      <c r="M611"/>
      <c r="N611"/>
      <c r="O611"/>
      <c r="P611"/>
      <c r="Q611"/>
      <c r="S611" s="22" t="str">
        <f>N_Heure</f>
        <v>Heure</v>
      </c>
      <c r="T611" s="22" t="str">
        <f>N_Table</f>
        <v>Table</v>
      </c>
      <c r="U611" s="22" t="str">
        <f>N_Arbitre</f>
        <v>Arbitre</v>
      </c>
      <c r="V611" s="293" t="str">
        <f>N_Matches</f>
        <v>Matches</v>
      </c>
      <c r="W611" s="294"/>
      <c r="X611" s="294"/>
      <c r="Y611" s="294"/>
      <c r="Z611" s="295"/>
      <c r="AA611" s="8"/>
      <c r="AB611" s="967"/>
      <c r="AC611" s="967"/>
      <c r="AD611" s="967"/>
      <c r="AE611" s="964"/>
      <c r="AF611" s="964"/>
      <c r="AG611" s="964"/>
      <c r="AH611" s="964"/>
      <c r="AI611" s="964"/>
      <c r="AJ611" s="964"/>
      <c r="AK611" s="964"/>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s="1396"/>
      <c r="CB611" s="1396"/>
      <c r="CC611"/>
      <c r="CD611"/>
      <c r="CE611"/>
    </row>
    <row r="612" spans="1:83" ht="13.15" customHeight="1" outlineLevel="2" x14ac:dyDescent="0.2">
      <c r="A612"/>
      <c r="B612" s="1"/>
      <c r="C612"/>
      <c r="D612"/>
      <c r="E612"/>
      <c r="F612"/>
      <c r="G612" s="1"/>
      <c r="H612" s="1"/>
      <c r="I612"/>
      <c r="J612"/>
      <c r="K612"/>
      <c r="L612"/>
      <c r="M612"/>
      <c r="N612"/>
      <c r="O612"/>
      <c r="P612"/>
      <c r="Q612"/>
      <c r="R612" s="558" t="s">
        <v>3971</v>
      </c>
      <c r="S612" s="83"/>
      <c r="T612" s="56"/>
      <c r="U612" s="955"/>
      <c r="V612" s="34" t="str">
        <f>V596</f>
        <v>A</v>
      </c>
      <c r="W612" s="148"/>
      <c r="X612" s="35" t="s">
        <v>769</v>
      </c>
      <c r="Y612" s="148"/>
      <c r="Z612" s="36" t="str">
        <f>Z604</f>
        <v>L</v>
      </c>
      <c r="AA612" s="123"/>
      <c r="AB612" s="1459">
        <f t="shared" ref="AB612:AB617" si="288">IF(MaxScore,MaxGoals(W612,Y612,MaxGoalsValue),IF(W612="","",W612))</f>
        <v>0</v>
      </c>
      <c r="AC612" s="1460" t="str">
        <f t="shared" ref="AC612:AC617" si="289">IF(MaxScore,"-",IF(W612="","","-"))</f>
        <v>-</v>
      </c>
      <c r="AD612" s="1459">
        <f t="shared" ref="AD612:AD617" si="290">IF(MaxScore,MaxGoals(Y612,W612,MaxGoalsValue),IF(Y612="","",Y612))</f>
        <v>0</v>
      </c>
      <c r="AE612" s="964" t="str">
        <f t="shared" ref="AE612:AE617" si="291">IF(W612="","",IF(W612&gt;Y612,V612,IF(W612=Y612,"",Z612)))</f>
        <v/>
      </c>
      <c r="AF612" s="964" t="str">
        <f t="shared" ref="AF612:AF617" si="292">IF(W612="","",IF(W612=Y612,V612,""))</f>
        <v/>
      </c>
      <c r="AG612" s="964" t="str">
        <f t="shared" ref="AG612:AG617" si="293">IF(W612="","",IF(W612=Y612,Z612,""))</f>
        <v/>
      </c>
      <c r="AH612" s="964" t="str">
        <f t="shared" ref="AH612:AH617" si="294">IF(W612="","",IF(W612&lt;Y612,V612,IF(W612=Y612,"",Z612)))</f>
        <v/>
      </c>
      <c r="AI612" s="964" t="str">
        <f t="shared" ref="AI612:AI617" si="295">CONCATENATE(AE612,AH612)</f>
        <v/>
      </c>
      <c r="AJ612" s="964"/>
      <c r="AK612" s="964"/>
      <c r="AL612"/>
      <c r="AM612"/>
      <c r="AN612"/>
      <c r="AO612"/>
      <c r="AP612"/>
      <c r="AQ612"/>
      <c r="AR612"/>
      <c r="AS612"/>
      <c r="AT612"/>
      <c r="AU612"/>
      <c r="AV612"/>
      <c r="AW612"/>
      <c r="AX612" s="9"/>
      <c r="AY612"/>
      <c r="AZ612"/>
      <c r="BA612"/>
      <c r="BB612"/>
      <c r="BC612"/>
      <c r="BD612"/>
      <c r="BE612"/>
      <c r="BF612"/>
      <c r="BG612"/>
      <c r="BH612"/>
      <c r="BI612"/>
      <c r="BJ612"/>
      <c r="BK612"/>
      <c r="BL612"/>
      <c r="BM612"/>
      <c r="BN612"/>
      <c r="BO612"/>
      <c r="BP612"/>
      <c r="BQ612"/>
      <c r="BR612"/>
      <c r="BS612"/>
      <c r="BT612"/>
      <c r="BU612"/>
      <c r="BV612"/>
      <c r="BW612"/>
      <c r="BX612"/>
      <c r="BY612"/>
      <c r="BZ612"/>
      <c r="CA612" s="1396"/>
      <c r="CB612" s="1396"/>
      <c r="CC612"/>
      <c r="CD612"/>
      <c r="CE612"/>
    </row>
    <row r="613" spans="1:83" ht="13.15" customHeight="1" outlineLevel="2" x14ac:dyDescent="0.2">
      <c r="A613"/>
      <c r="B613" s="1"/>
      <c r="C613"/>
      <c r="D613"/>
      <c r="E613"/>
      <c r="F613"/>
      <c r="G613" s="1"/>
      <c r="H613" s="1"/>
      <c r="I613"/>
      <c r="J613"/>
      <c r="K613"/>
      <c r="L613"/>
      <c r="M613"/>
      <c r="N613"/>
      <c r="O613"/>
      <c r="P613"/>
      <c r="Q613"/>
      <c r="R613" s="558" t="s">
        <v>3971</v>
      </c>
      <c r="S613" s="83"/>
      <c r="T613" s="56"/>
      <c r="U613" s="955"/>
      <c r="V613" s="43" t="str">
        <f>Z606</f>
        <v>H</v>
      </c>
      <c r="W613" s="10"/>
      <c r="X613" s="45" t="s">
        <v>769</v>
      </c>
      <c r="Y613" s="10"/>
      <c r="Z613" s="46" t="str">
        <f>V604</f>
        <v>M</v>
      </c>
      <c r="AA613" s="123"/>
      <c r="AB613" s="1459">
        <f t="shared" si="288"/>
        <v>0</v>
      </c>
      <c r="AC613" s="1460" t="str">
        <f t="shared" si="289"/>
        <v>-</v>
      </c>
      <c r="AD613" s="1459">
        <f t="shared" si="290"/>
        <v>0</v>
      </c>
      <c r="AE613" s="964" t="str">
        <f t="shared" si="291"/>
        <v/>
      </c>
      <c r="AF613" s="964" t="str">
        <f t="shared" si="292"/>
        <v/>
      </c>
      <c r="AG613" s="964" t="str">
        <f t="shared" si="293"/>
        <v/>
      </c>
      <c r="AH613" s="964" t="str">
        <f t="shared" si="294"/>
        <v/>
      </c>
      <c r="AI613" s="964" t="str">
        <f t="shared" si="295"/>
        <v/>
      </c>
      <c r="AJ613" s="964"/>
      <c r="AK613" s="964"/>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s="1396"/>
      <c r="CB613" s="1396"/>
      <c r="CC613"/>
      <c r="CD613"/>
      <c r="CE613"/>
    </row>
    <row r="614" spans="1:83" ht="13.15" customHeight="1" outlineLevel="2" x14ac:dyDescent="0.2">
      <c r="A614"/>
      <c r="B614" s="1"/>
      <c r="C614"/>
      <c r="D614"/>
      <c r="E614"/>
      <c r="F614"/>
      <c r="G614" s="1"/>
      <c r="H614" s="1"/>
      <c r="I614"/>
      <c r="J614"/>
      <c r="K614"/>
      <c r="L614"/>
      <c r="M614"/>
      <c r="N614"/>
      <c r="O614"/>
      <c r="P614"/>
      <c r="Q614"/>
      <c r="R614" s="558" t="s">
        <v>3971</v>
      </c>
      <c r="S614" s="83"/>
      <c r="T614" s="56"/>
      <c r="U614" s="955"/>
      <c r="V614" s="43" t="str">
        <f>Z607</f>
        <v>F</v>
      </c>
      <c r="W614" s="10"/>
      <c r="X614" s="45" t="s">
        <v>769</v>
      </c>
      <c r="Y614" s="10"/>
      <c r="Z614" s="46" t="str">
        <f>V605</f>
        <v>K</v>
      </c>
      <c r="AA614" s="123"/>
      <c r="AB614" s="1459">
        <f t="shared" si="288"/>
        <v>0</v>
      </c>
      <c r="AC614" s="1460" t="str">
        <f t="shared" si="289"/>
        <v>-</v>
      </c>
      <c r="AD614" s="1459">
        <f t="shared" si="290"/>
        <v>0</v>
      </c>
      <c r="AE614" s="964" t="str">
        <f t="shared" si="291"/>
        <v/>
      </c>
      <c r="AF614" s="964" t="str">
        <f t="shared" si="292"/>
        <v/>
      </c>
      <c r="AG614" s="964" t="str">
        <f t="shared" si="293"/>
        <v/>
      </c>
      <c r="AH614" s="964" t="str">
        <f t="shared" si="294"/>
        <v/>
      </c>
      <c r="AI614" s="964" t="str">
        <f t="shared" si="295"/>
        <v/>
      </c>
      <c r="AJ614" s="964"/>
      <c r="AK614" s="96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s="1396"/>
      <c r="CB614" s="1396"/>
      <c r="CC614"/>
      <c r="CD614"/>
      <c r="CE614"/>
    </row>
    <row r="615" spans="1:83" ht="13.15" customHeight="1" outlineLevel="2" x14ac:dyDescent="0.2">
      <c r="A615"/>
      <c r="B615" s="1"/>
      <c r="C615"/>
      <c r="D615"/>
      <c r="E615"/>
      <c r="F615"/>
      <c r="G615" s="1"/>
      <c r="H615" s="1"/>
      <c r="I615"/>
      <c r="J615"/>
      <c r="K615"/>
      <c r="L615"/>
      <c r="M615"/>
      <c r="N615"/>
      <c r="O615"/>
      <c r="P615"/>
      <c r="Q615"/>
      <c r="R615" s="558" t="s">
        <v>3971</v>
      </c>
      <c r="S615" s="83"/>
      <c r="T615" s="56"/>
      <c r="U615" s="955"/>
      <c r="V615" s="43" t="str">
        <f>Z608</f>
        <v>D</v>
      </c>
      <c r="W615" s="10"/>
      <c r="X615" s="45" t="s">
        <v>769</v>
      </c>
      <c r="Y615" s="10"/>
      <c r="Z615" s="46" t="str">
        <f>V606</f>
        <v>I</v>
      </c>
      <c r="AA615" s="123"/>
      <c r="AB615" s="1459">
        <f t="shared" si="288"/>
        <v>0</v>
      </c>
      <c r="AC615" s="1460" t="str">
        <f t="shared" si="289"/>
        <v>-</v>
      </c>
      <c r="AD615" s="1459">
        <f t="shared" si="290"/>
        <v>0</v>
      </c>
      <c r="AE615" s="964" t="str">
        <f t="shared" si="291"/>
        <v/>
      </c>
      <c r="AF615" s="964" t="str">
        <f t="shared" si="292"/>
        <v/>
      </c>
      <c r="AG615" s="964" t="str">
        <f t="shared" si="293"/>
        <v/>
      </c>
      <c r="AH615" s="964" t="str">
        <f t="shared" si="294"/>
        <v/>
      </c>
      <c r="AI615" s="964" t="str">
        <f t="shared" si="295"/>
        <v/>
      </c>
      <c r="AJ615" s="964"/>
      <c r="AK615" s="964"/>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s="1396"/>
      <c r="CB615" s="1396"/>
      <c r="CC615"/>
      <c r="CD615"/>
      <c r="CE615"/>
    </row>
    <row r="616" spans="1:83" ht="13.15" customHeight="1" outlineLevel="2" x14ac:dyDescent="0.2">
      <c r="A616"/>
      <c r="B616" s="1"/>
      <c r="C616"/>
      <c r="D616"/>
      <c r="E616"/>
      <c r="F616"/>
      <c r="G616" s="1"/>
      <c r="H616" s="1"/>
      <c r="I616"/>
      <c r="J616"/>
      <c r="K616"/>
      <c r="L616"/>
      <c r="M616"/>
      <c r="N616"/>
      <c r="O616"/>
      <c r="P616"/>
      <c r="Q616"/>
      <c r="R616" s="558" t="s">
        <v>3971</v>
      </c>
      <c r="S616" s="83"/>
      <c r="T616" s="56"/>
      <c r="U616" s="955"/>
      <c r="V616" s="43" t="str">
        <f>Z609</f>
        <v>B</v>
      </c>
      <c r="W616" s="10"/>
      <c r="X616" s="45" t="s">
        <v>769</v>
      </c>
      <c r="Y616" s="10"/>
      <c r="Z616" s="46" t="str">
        <f>V607</f>
        <v>G</v>
      </c>
      <c r="AA616" s="123"/>
      <c r="AB616" s="1459">
        <f t="shared" si="288"/>
        <v>0</v>
      </c>
      <c r="AC616" s="1460" t="str">
        <f t="shared" si="289"/>
        <v>-</v>
      </c>
      <c r="AD616" s="1459">
        <f t="shared" si="290"/>
        <v>0</v>
      </c>
      <c r="AE616" s="964" t="str">
        <f t="shared" si="291"/>
        <v/>
      </c>
      <c r="AF616" s="964" t="str">
        <f t="shared" si="292"/>
        <v/>
      </c>
      <c r="AG616" s="964" t="str">
        <f t="shared" si="293"/>
        <v/>
      </c>
      <c r="AH616" s="964" t="str">
        <f t="shared" si="294"/>
        <v/>
      </c>
      <c r="AI616" s="964" t="str">
        <f t="shared" si="295"/>
        <v/>
      </c>
      <c r="AJ616" s="964"/>
      <c r="AK616" s="964"/>
      <c r="AL616"/>
      <c r="AM616"/>
      <c r="AN616"/>
      <c r="AO616"/>
      <c r="AP616"/>
      <c r="AQ616"/>
      <c r="AR616"/>
      <c r="AS616"/>
      <c r="AT616"/>
      <c r="AU616"/>
      <c r="AV616"/>
      <c r="AW616"/>
      <c r="AX616" s="9"/>
      <c r="AY616"/>
      <c r="AZ616"/>
      <c r="BA616"/>
      <c r="BB616"/>
      <c r="BC616"/>
      <c r="BD616"/>
      <c r="BE616"/>
      <c r="BF616"/>
      <c r="BG616"/>
      <c r="BH616"/>
      <c r="BI616"/>
      <c r="BJ616"/>
      <c r="BK616"/>
      <c r="BL616"/>
      <c r="BM616"/>
      <c r="BN616"/>
      <c r="BO616"/>
      <c r="BP616"/>
      <c r="BQ616"/>
      <c r="BR616"/>
      <c r="BS616"/>
      <c r="BT616"/>
      <c r="BU616"/>
      <c r="BV616"/>
      <c r="BW616"/>
      <c r="BX616"/>
      <c r="BY616"/>
      <c r="BZ616"/>
      <c r="CA616" s="1396"/>
      <c r="CB616" s="1396"/>
      <c r="CC616"/>
      <c r="CD616"/>
      <c r="CE616"/>
    </row>
    <row r="617" spans="1:83" ht="13.9" customHeight="1" outlineLevel="2" thickBot="1" x14ac:dyDescent="0.25">
      <c r="A617"/>
      <c r="B617" s="1"/>
      <c r="C617"/>
      <c r="D617"/>
      <c r="E617"/>
      <c r="F617"/>
      <c r="G617" s="1"/>
      <c r="H617" s="1"/>
      <c r="I617"/>
      <c r="J617"/>
      <c r="K617"/>
      <c r="L617"/>
      <c r="M617"/>
      <c r="N617"/>
      <c r="O617"/>
      <c r="P617"/>
      <c r="Q617"/>
      <c r="R617" s="558" t="s">
        <v>3971</v>
      </c>
      <c r="S617" s="956"/>
      <c r="T617" s="58"/>
      <c r="U617" s="957"/>
      <c r="V617" s="958" t="str">
        <f>+V609</f>
        <v>C</v>
      </c>
      <c r="W617" s="10"/>
      <c r="X617" s="45" t="s">
        <v>769</v>
      </c>
      <c r="Y617" s="10"/>
      <c r="Z617" s="46" t="str">
        <f>+V608</f>
        <v>E</v>
      </c>
      <c r="AA617" s="123"/>
      <c r="AB617" s="1459">
        <f t="shared" si="288"/>
        <v>0</v>
      </c>
      <c r="AC617" s="1460" t="str">
        <f t="shared" si="289"/>
        <v>-</v>
      </c>
      <c r="AD617" s="1459">
        <f t="shared" si="290"/>
        <v>0</v>
      </c>
      <c r="AE617" s="964" t="str">
        <f t="shared" si="291"/>
        <v/>
      </c>
      <c r="AF617" s="964" t="str">
        <f t="shared" si="292"/>
        <v/>
      </c>
      <c r="AG617" s="964" t="str">
        <f t="shared" si="293"/>
        <v/>
      </c>
      <c r="AH617" s="964" t="str">
        <f t="shared" si="294"/>
        <v/>
      </c>
      <c r="AI617" s="964" t="str">
        <f t="shared" si="295"/>
        <v/>
      </c>
      <c r="AJ617" s="964"/>
      <c r="AK617" s="964"/>
      <c r="AL617"/>
      <c r="AM617"/>
      <c r="AN617"/>
      <c r="AO617"/>
      <c r="AP617"/>
      <c r="AQ617"/>
      <c r="AR617"/>
      <c r="AS617"/>
      <c r="AT617"/>
      <c r="AU617"/>
      <c r="AV617"/>
      <c r="AW617" s="9"/>
      <c r="AX617" s="9"/>
      <c r="AY617"/>
      <c r="AZ617"/>
      <c r="BA617"/>
      <c r="BB617"/>
      <c r="BC617"/>
      <c r="BD617"/>
      <c r="BE617"/>
      <c r="BF617"/>
      <c r="BG617"/>
      <c r="BH617"/>
      <c r="BI617"/>
      <c r="BJ617"/>
      <c r="BK617"/>
      <c r="BL617"/>
      <c r="BM617"/>
      <c r="BN617"/>
      <c r="BO617"/>
      <c r="BP617"/>
      <c r="BQ617"/>
      <c r="BR617"/>
      <c r="BS617"/>
      <c r="BT617"/>
      <c r="BU617"/>
      <c r="BV617"/>
      <c r="BW617"/>
      <c r="BX617"/>
      <c r="BY617"/>
      <c r="BZ617"/>
      <c r="CA617" s="1396"/>
      <c r="CB617" s="1396"/>
      <c r="CC617"/>
      <c r="CD617"/>
      <c r="CE617"/>
    </row>
    <row r="618" spans="1:83" ht="13.5" outlineLevel="1" thickBot="1" x14ac:dyDescent="0.25">
      <c r="A618"/>
      <c r="B618" s="1"/>
      <c r="C618" s="1"/>
      <c r="D618" s="76"/>
      <c r="E618" s="76"/>
      <c r="F618" s="76"/>
      <c r="G618" s="9"/>
      <c r="H618" s="9"/>
      <c r="I618" s="1"/>
      <c r="J618"/>
      <c r="K618"/>
      <c r="L618"/>
      <c r="M618"/>
      <c r="N618"/>
      <c r="O618"/>
      <c r="P618" s="89"/>
      <c r="Q618"/>
      <c r="R618" s="1"/>
      <c r="S618" s="993">
        <f>S610+1</f>
        <v>10</v>
      </c>
      <c r="T618" s="961"/>
      <c r="U618" s="961"/>
      <c r="V618" s="961"/>
      <c r="W618" s="960"/>
      <c r="X618" s="960"/>
      <c r="Y618" s="960"/>
      <c r="Z618" s="962"/>
      <c r="AA618" s="123"/>
      <c r="AB618" s="963"/>
      <c r="AC618" s="963"/>
      <c r="AD618" s="963"/>
      <c r="AE618" s="964"/>
      <c r="AF618" s="964"/>
      <c r="AG618" s="964"/>
      <c r="AH618" s="964"/>
      <c r="AI618" s="964"/>
      <c r="AJ618" s="964"/>
      <c r="AK618" s="964"/>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s="1396"/>
      <c r="CB618" s="1396"/>
      <c r="CC618"/>
      <c r="CD618"/>
      <c r="CE618"/>
    </row>
    <row r="619" spans="1:83" ht="13.9" customHeight="1" outlineLevel="2" thickBot="1" x14ac:dyDescent="0.25">
      <c r="A619"/>
      <c r="B619" s="1"/>
      <c r="C619"/>
      <c r="D619"/>
      <c r="E619"/>
      <c r="F619"/>
      <c r="G619" s="1"/>
      <c r="H619" s="1"/>
      <c r="I619"/>
      <c r="J619"/>
      <c r="K619"/>
      <c r="L619"/>
      <c r="M619"/>
      <c r="N619"/>
      <c r="O619"/>
      <c r="P619"/>
      <c r="Q619"/>
      <c r="S619" s="22" t="str">
        <f>N_Heure</f>
        <v>Heure</v>
      </c>
      <c r="T619" s="22" t="str">
        <f>N_Table</f>
        <v>Table</v>
      </c>
      <c r="U619" s="22" t="str">
        <f>N_Arbitre</f>
        <v>Arbitre</v>
      </c>
      <c r="V619" s="293" t="str">
        <f>N_Matches</f>
        <v>Matches</v>
      </c>
      <c r="W619" s="294"/>
      <c r="X619" s="294"/>
      <c r="Y619" s="294"/>
      <c r="Z619" s="295"/>
      <c r="AA619" s="8"/>
      <c r="AB619" s="967"/>
      <c r="AC619" s="967"/>
      <c r="AD619" s="967"/>
      <c r="AE619" s="964"/>
      <c r="AF619" s="964"/>
      <c r="AG619" s="964"/>
      <c r="AH619" s="964"/>
      <c r="AI619" s="964"/>
      <c r="AJ619" s="964"/>
      <c r="AK619" s="964"/>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s="1396"/>
      <c r="CB619" s="1396"/>
      <c r="CC619"/>
      <c r="CD619"/>
      <c r="CE619"/>
    </row>
    <row r="620" spans="1:83" ht="13.15" customHeight="1" outlineLevel="2" x14ac:dyDescent="0.2">
      <c r="A620"/>
      <c r="B620" s="1"/>
      <c r="C620"/>
      <c r="D620"/>
      <c r="E620"/>
      <c r="F620"/>
      <c r="G620" s="1"/>
      <c r="H620" s="1"/>
      <c r="I620"/>
      <c r="J620"/>
      <c r="K620"/>
      <c r="L620"/>
      <c r="M620"/>
      <c r="N620"/>
      <c r="O620"/>
      <c r="P620"/>
      <c r="Q620"/>
      <c r="R620" s="558" t="s">
        <v>3972</v>
      </c>
      <c r="S620" s="83"/>
      <c r="T620" s="56"/>
      <c r="U620" s="955"/>
      <c r="V620" s="34" t="str">
        <f>Z605</f>
        <v>J</v>
      </c>
      <c r="W620" s="148"/>
      <c r="X620" s="35" t="s">
        <v>769</v>
      </c>
      <c r="Y620" s="148"/>
      <c r="Z620" s="36" t="str">
        <f>V612</f>
        <v>A</v>
      </c>
      <c r="AA620" s="123"/>
      <c r="AB620" s="1459">
        <f t="shared" ref="AB620:AB625" si="296">IF(MaxScore,MaxGoals(W620,Y620,MaxGoalsValue),IF(W620="","",W620))</f>
        <v>0</v>
      </c>
      <c r="AC620" s="1460" t="str">
        <f t="shared" ref="AC620:AC625" si="297">IF(MaxScore,"-",IF(W620="","","-"))</f>
        <v>-</v>
      </c>
      <c r="AD620" s="1459">
        <f t="shared" ref="AD620:AD625" si="298">IF(MaxScore,MaxGoals(Y620,W620,MaxGoalsValue),IF(Y620="","",Y620))</f>
        <v>0</v>
      </c>
      <c r="AE620" s="964" t="str">
        <f t="shared" ref="AE620:AE625" si="299">IF(W620="","",IF(W620&gt;Y620,V620,IF(W620=Y620,"",Z620)))</f>
        <v/>
      </c>
      <c r="AF620" s="964" t="str">
        <f t="shared" ref="AF620:AF625" si="300">IF(W620="","",IF(W620=Y620,V620,""))</f>
        <v/>
      </c>
      <c r="AG620" s="964" t="str">
        <f t="shared" ref="AG620:AG625" si="301">IF(W620="","",IF(W620=Y620,Z620,""))</f>
        <v/>
      </c>
      <c r="AH620" s="964" t="str">
        <f t="shared" ref="AH620:AH625" si="302">IF(W620="","",IF(W620&lt;Y620,V620,IF(W620=Y620,"",Z620)))</f>
        <v/>
      </c>
      <c r="AI620" s="964" t="str">
        <f t="shared" ref="AI620:AI625" si="303">CONCATENATE(AE620,AH620)</f>
        <v/>
      </c>
      <c r="AJ620" s="964"/>
      <c r="AK620" s="964"/>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s="1396"/>
      <c r="CB620" s="1396"/>
      <c r="CC620"/>
      <c r="CD620"/>
      <c r="CE620"/>
    </row>
    <row r="621" spans="1:83" ht="13.15" customHeight="1" outlineLevel="2" x14ac:dyDescent="0.2">
      <c r="A621"/>
      <c r="B621" s="1"/>
      <c r="C621"/>
      <c r="D621"/>
      <c r="E621"/>
      <c r="F621"/>
      <c r="G621" s="1"/>
      <c r="H621" s="1"/>
      <c r="I621"/>
      <c r="J621"/>
      <c r="K621"/>
      <c r="L621"/>
      <c r="M621"/>
      <c r="N621"/>
      <c r="O621"/>
      <c r="P621"/>
      <c r="Q621"/>
      <c r="R621" s="558" t="s">
        <v>3972</v>
      </c>
      <c r="S621" s="83"/>
      <c r="T621" s="56"/>
      <c r="U621" s="955"/>
      <c r="V621" s="43" t="str">
        <f>Z612</f>
        <v>L</v>
      </c>
      <c r="W621" s="10"/>
      <c r="X621" s="45" t="s">
        <v>769</v>
      </c>
      <c r="Y621" s="10"/>
      <c r="Z621" s="46" t="str">
        <f>V613</f>
        <v>H</v>
      </c>
      <c r="AA621" s="123"/>
      <c r="AB621" s="1459">
        <f t="shared" si="296"/>
        <v>0</v>
      </c>
      <c r="AC621" s="1460" t="str">
        <f t="shared" si="297"/>
        <v>-</v>
      </c>
      <c r="AD621" s="1459">
        <f t="shared" si="298"/>
        <v>0</v>
      </c>
      <c r="AE621" s="964" t="str">
        <f t="shared" si="299"/>
        <v/>
      </c>
      <c r="AF621" s="964" t="str">
        <f t="shared" si="300"/>
        <v/>
      </c>
      <c r="AG621" s="964" t="str">
        <f t="shared" si="301"/>
        <v/>
      </c>
      <c r="AH621" s="964" t="str">
        <f t="shared" si="302"/>
        <v/>
      </c>
      <c r="AI621" s="964" t="str">
        <f t="shared" si="303"/>
        <v/>
      </c>
      <c r="AJ621" s="964"/>
      <c r="AK621" s="964"/>
      <c r="AL621"/>
      <c r="AM621"/>
      <c r="AN621"/>
      <c r="AO621"/>
      <c r="AP621"/>
      <c r="AQ621"/>
      <c r="AR621"/>
      <c r="AS621"/>
      <c r="AT621"/>
      <c r="AU621"/>
      <c r="AV621"/>
      <c r="AW621" s="9"/>
      <c r="AX621" s="9"/>
      <c r="AY621"/>
      <c r="AZ621"/>
      <c r="BA621"/>
      <c r="BB621"/>
      <c r="BC621"/>
      <c r="BD621"/>
      <c r="BE621"/>
      <c r="BF621"/>
      <c r="BG621"/>
      <c r="BH621"/>
      <c r="BI621"/>
      <c r="BJ621"/>
      <c r="BK621"/>
      <c r="BL621"/>
      <c r="BM621"/>
      <c r="BN621"/>
      <c r="BO621"/>
      <c r="BP621"/>
      <c r="BQ621"/>
      <c r="BR621"/>
      <c r="BS621"/>
      <c r="BT621"/>
      <c r="BU621"/>
      <c r="BV621"/>
      <c r="BW621"/>
      <c r="BX621"/>
      <c r="BY621"/>
      <c r="BZ621"/>
      <c r="CA621" s="1396"/>
      <c r="CB621" s="1396"/>
      <c r="CC621"/>
      <c r="CD621"/>
      <c r="CE621"/>
    </row>
    <row r="622" spans="1:83" ht="13.15" customHeight="1" outlineLevel="2" x14ac:dyDescent="0.2">
      <c r="A622"/>
      <c r="B622" s="1"/>
      <c r="C622"/>
      <c r="D622"/>
      <c r="E622"/>
      <c r="F622"/>
      <c r="G622" s="1"/>
      <c r="H622" s="1"/>
      <c r="I622"/>
      <c r="J622"/>
      <c r="K622"/>
      <c r="L622"/>
      <c r="M622"/>
      <c r="N622"/>
      <c r="O622"/>
      <c r="P622"/>
      <c r="Q622"/>
      <c r="R622" s="558" t="s">
        <v>3972</v>
      </c>
      <c r="S622" s="83"/>
      <c r="T622" s="56"/>
      <c r="U622" s="955"/>
      <c r="V622" s="43" t="str">
        <f>Z613</f>
        <v>M</v>
      </c>
      <c r="W622" s="10"/>
      <c r="X622" s="45" t="s">
        <v>769</v>
      </c>
      <c r="Y622" s="10"/>
      <c r="Z622" s="46" t="str">
        <f>V615</f>
        <v>D</v>
      </c>
      <c r="AA622" s="123"/>
      <c r="AB622" s="1459">
        <f t="shared" si="296"/>
        <v>0</v>
      </c>
      <c r="AC622" s="1460" t="str">
        <f t="shared" si="297"/>
        <v>-</v>
      </c>
      <c r="AD622" s="1459">
        <f t="shared" si="298"/>
        <v>0</v>
      </c>
      <c r="AE622" s="964" t="str">
        <f t="shared" si="299"/>
        <v/>
      </c>
      <c r="AF622" s="964" t="str">
        <f t="shared" si="300"/>
        <v/>
      </c>
      <c r="AG622" s="964" t="str">
        <f t="shared" si="301"/>
        <v/>
      </c>
      <c r="AH622" s="964" t="str">
        <f t="shared" si="302"/>
        <v/>
      </c>
      <c r="AI622" s="964" t="str">
        <f t="shared" si="303"/>
        <v/>
      </c>
      <c r="AJ622" s="964"/>
      <c r="AK622" s="964"/>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s="1396"/>
      <c r="CB622" s="1396"/>
      <c r="CC622"/>
      <c r="CD622"/>
      <c r="CE622"/>
    </row>
    <row r="623" spans="1:83" ht="13.15" customHeight="1" outlineLevel="2" x14ac:dyDescent="0.2">
      <c r="A623"/>
      <c r="B623" s="1"/>
      <c r="C623"/>
      <c r="D623"/>
      <c r="E623"/>
      <c r="F623"/>
      <c r="G623" s="1"/>
      <c r="H623" s="1"/>
      <c r="I623"/>
      <c r="J623"/>
      <c r="K623"/>
      <c r="L623"/>
      <c r="M623"/>
      <c r="N623"/>
      <c r="O623"/>
      <c r="P623"/>
      <c r="Q623"/>
      <c r="R623" s="558" t="s">
        <v>3972</v>
      </c>
      <c r="S623" s="83"/>
      <c r="T623" s="56"/>
      <c r="U623" s="955"/>
      <c r="V623" s="43" t="str">
        <f>Z614</f>
        <v>K</v>
      </c>
      <c r="W623" s="10"/>
      <c r="X623" s="45" t="s">
        <v>769</v>
      </c>
      <c r="Y623" s="10"/>
      <c r="Z623" s="46" t="str">
        <f>V616</f>
        <v>B</v>
      </c>
      <c r="AA623" s="123"/>
      <c r="AB623" s="1459">
        <f t="shared" si="296"/>
        <v>0</v>
      </c>
      <c r="AC623" s="1460" t="str">
        <f t="shared" si="297"/>
        <v>-</v>
      </c>
      <c r="AD623" s="1459">
        <f t="shared" si="298"/>
        <v>0</v>
      </c>
      <c r="AE623" s="964" t="str">
        <f t="shared" si="299"/>
        <v/>
      </c>
      <c r="AF623" s="964" t="str">
        <f t="shared" si="300"/>
        <v/>
      </c>
      <c r="AG623" s="964" t="str">
        <f t="shared" si="301"/>
        <v/>
      </c>
      <c r="AH623" s="964" t="str">
        <f t="shared" si="302"/>
        <v/>
      </c>
      <c r="AI623" s="964" t="str">
        <f t="shared" si="303"/>
        <v/>
      </c>
      <c r="AJ623" s="964"/>
      <c r="AK623" s="964"/>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s="1396"/>
      <c r="CB623" s="1396"/>
      <c r="CC623"/>
      <c r="CD623"/>
      <c r="CE623"/>
    </row>
    <row r="624" spans="1:83" ht="13.15" customHeight="1" outlineLevel="2" x14ac:dyDescent="0.2">
      <c r="A624"/>
      <c r="B624" s="1"/>
      <c r="C624"/>
      <c r="D624"/>
      <c r="E624"/>
      <c r="F624"/>
      <c r="G624" s="1"/>
      <c r="H624" s="1"/>
      <c r="I624"/>
      <c r="J624"/>
      <c r="K624"/>
      <c r="L624"/>
      <c r="M624"/>
      <c r="N624"/>
      <c r="O624"/>
      <c r="P624"/>
      <c r="Q624"/>
      <c r="R624" s="558" t="s">
        <v>3972</v>
      </c>
      <c r="S624" s="83"/>
      <c r="T624" s="56"/>
      <c r="U624" s="955"/>
      <c r="V624" s="43" t="str">
        <f>Z615</f>
        <v>I</v>
      </c>
      <c r="W624" s="10"/>
      <c r="X624" s="45" t="s">
        <v>769</v>
      </c>
      <c r="Y624" s="10"/>
      <c r="Z624" s="46" t="str">
        <f>V617</f>
        <v>C</v>
      </c>
      <c r="AA624" s="123"/>
      <c r="AB624" s="1459">
        <f t="shared" si="296"/>
        <v>0</v>
      </c>
      <c r="AC624" s="1460" t="str">
        <f t="shared" si="297"/>
        <v>-</v>
      </c>
      <c r="AD624" s="1459">
        <f t="shared" si="298"/>
        <v>0</v>
      </c>
      <c r="AE624" s="964" t="str">
        <f t="shared" si="299"/>
        <v/>
      </c>
      <c r="AF624" s="964" t="str">
        <f t="shared" si="300"/>
        <v/>
      </c>
      <c r="AG624" s="964" t="str">
        <f t="shared" si="301"/>
        <v/>
      </c>
      <c r="AH624" s="964" t="str">
        <f t="shared" si="302"/>
        <v/>
      </c>
      <c r="AI624" s="964" t="str">
        <f t="shared" si="303"/>
        <v/>
      </c>
      <c r="AJ624" s="964"/>
      <c r="AK624" s="964"/>
      <c r="AL624"/>
      <c r="AM624"/>
      <c r="AN624"/>
      <c r="AO624"/>
      <c r="AP624"/>
      <c r="AQ624"/>
      <c r="AR624"/>
      <c r="AS624"/>
      <c r="AT624"/>
      <c r="AU624"/>
      <c r="AV624"/>
      <c r="AW624"/>
      <c r="AX624" s="9"/>
      <c r="AY624"/>
      <c r="AZ624"/>
      <c r="BA624"/>
      <c r="BB624"/>
      <c r="BC624"/>
      <c r="BD624"/>
      <c r="BE624"/>
      <c r="BF624"/>
      <c r="BG624"/>
      <c r="BH624"/>
      <c r="BI624"/>
      <c r="BJ624"/>
      <c r="BK624"/>
      <c r="BL624"/>
      <c r="BM624"/>
      <c r="BN624"/>
      <c r="BO624"/>
      <c r="BP624"/>
      <c r="BQ624"/>
      <c r="BR624"/>
      <c r="BS624"/>
      <c r="BT624"/>
      <c r="BU624"/>
      <c r="BV624"/>
      <c r="BW624"/>
      <c r="BX624"/>
      <c r="BY624"/>
      <c r="BZ624"/>
      <c r="CA624" s="1396"/>
      <c r="CB624" s="1396"/>
      <c r="CC624"/>
      <c r="CD624"/>
      <c r="CE624"/>
    </row>
    <row r="625" spans="1:83" ht="13.9" customHeight="1" outlineLevel="2" thickBot="1" x14ac:dyDescent="0.25">
      <c r="A625"/>
      <c r="B625" s="1"/>
      <c r="C625"/>
      <c r="D625"/>
      <c r="E625"/>
      <c r="F625"/>
      <c r="G625" s="1"/>
      <c r="H625" s="1"/>
      <c r="I625"/>
      <c r="J625"/>
      <c r="K625"/>
      <c r="L625"/>
      <c r="M625"/>
      <c r="N625"/>
      <c r="O625"/>
      <c r="P625"/>
      <c r="Q625"/>
      <c r="R625" s="558" t="s">
        <v>3972</v>
      </c>
      <c r="S625" s="956"/>
      <c r="T625" s="58"/>
      <c r="U625" s="957"/>
      <c r="V625" s="43" t="str">
        <f>Z616</f>
        <v>G</v>
      </c>
      <c r="W625" s="10"/>
      <c r="X625" s="45" t="s">
        <v>769</v>
      </c>
      <c r="Y625" s="10"/>
      <c r="Z625" s="46" t="str">
        <f>+Z617</f>
        <v>E</v>
      </c>
      <c r="AA625" s="123"/>
      <c r="AB625" s="1459">
        <f t="shared" si="296"/>
        <v>0</v>
      </c>
      <c r="AC625" s="1460" t="str">
        <f t="shared" si="297"/>
        <v>-</v>
      </c>
      <c r="AD625" s="1459">
        <f t="shared" si="298"/>
        <v>0</v>
      </c>
      <c r="AE625" s="964" t="str">
        <f t="shared" si="299"/>
        <v/>
      </c>
      <c r="AF625" s="964" t="str">
        <f t="shared" si="300"/>
        <v/>
      </c>
      <c r="AG625" s="964" t="str">
        <f t="shared" si="301"/>
        <v/>
      </c>
      <c r="AH625" s="964" t="str">
        <f t="shared" si="302"/>
        <v/>
      </c>
      <c r="AI625" s="964" t="str">
        <f t="shared" si="303"/>
        <v/>
      </c>
      <c r="AJ625" s="964"/>
      <c r="AK625" s="964"/>
      <c r="AL625"/>
      <c r="AM625"/>
      <c r="AN625"/>
      <c r="AO625"/>
      <c r="AP625"/>
      <c r="AQ625"/>
      <c r="AR625"/>
      <c r="AS625"/>
      <c r="AT625"/>
      <c r="AU625"/>
      <c r="AV625"/>
      <c r="AW625" s="9"/>
      <c r="AX625" s="9"/>
      <c r="AY625"/>
      <c r="AZ625"/>
      <c r="BA625"/>
      <c r="BB625"/>
      <c r="BC625"/>
      <c r="BD625"/>
      <c r="BE625"/>
      <c r="BF625"/>
      <c r="BG625"/>
      <c r="BH625"/>
      <c r="BI625"/>
      <c r="BJ625"/>
      <c r="BK625"/>
      <c r="BL625"/>
      <c r="BM625"/>
      <c r="BN625"/>
      <c r="BO625"/>
      <c r="BP625"/>
      <c r="BQ625"/>
      <c r="BR625"/>
      <c r="BS625"/>
      <c r="BT625"/>
      <c r="BU625"/>
      <c r="BV625"/>
      <c r="BW625"/>
      <c r="BX625"/>
      <c r="BY625"/>
      <c r="BZ625"/>
      <c r="CA625" s="1396"/>
      <c r="CB625" s="1396"/>
      <c r="CC625"/>
      <c r="CD625"/>
      <c r="CE625"/>
    </row>
    <row r="626" spans="1:83" ht="13.5" outlineLevel="1" thickBot="1" x14ac:dyDescent="0.25">
      <c r="A626"/>
      <c r="B626" s="1"/>
      <c r="C626" s="1"/>
      <c r="D626" s="76"/>
      <c r="E626" s="76"/>
      <c r="F626" s="76"/>
      <c r="G626" s="9"/>
      <c r="H626" s="9"/>
      <c r="I626" s="1"/>
      <c r="J626"/>
      <c r="K626"/>
      <c r="L626"/>
      <c r="M626"/>
      <c r="N626"/>
      <c r="O626"/>
      <c r="P626" s="89"/>
      <c r="Q626"/>
      <c r="R626" s="1"/>
      <c r="S626" s="993">
        <f>S618+1</f>
        <v>11</v>
      </c>
      <c r="T626" s="961"/>
      <c r="U626" s="961"/>
      <c r="V626" s="961"/>
      <c r="W626" s="960"/>
      <c r="X626" s="960"/>
      <c r="Y626" s="960"/>
      <c r="Z626" s="962"/>
      <c r="AA626" s="123"/>
      <c r="AB626" s="963"/>
      <c r="AC626" s="963"/>
      <c r="AD626" s="963"/>
      <c r="AE626" s="964"/>
      <c r="AF626" s="964"/>
      <c r="AG626" s="964"/>
      <c r="AH626" s="964"/>
      <c r="AI626" s="964"/>
      <c r="AJ626" s="964"/>
      <c r="AK626" s="964"/>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s="1396"/>
      <c r="CB626" s="1396"/>
      <c r="CC626"/>
      <c r="CD626"/>
      <c r="CE626"/>
    </row>
    <row r="627" spans="1:83" ht="13.9" customHeight="1" outlineLevel="2" thickBot="1" x14ac:dyDescent="0.25">
      <c r="A627"/>
      <c r="B627" s="1"/>
      <c r="C627"/>
      <c r="D627"/>
      <c r="E627"/>
      <c r="F627"/>
      <c r="G627" s="1"/>
      <c r="H627" s="1"/>
      <c r="I627"/>
      <c r="J627"/>
      <c r="K627"/>
      <c r="L627"/>
      <c r="M627"/>
      <c r="N627"/>
      <c r="O627"/>
      <c r="P627"/>
      <c r="Q627"/>
      <c r="S627" s="22" t="str">
        <f>N_Heure</f>
        <v>Heure</v>
      </c>
      <c r="T627" s="22" t="str">
        <f>N_Table</f>
        <v>Table</v>
      </c>
      <c r="U627" s="22" t="str">
        <f>N_Arbitre</f>
        <v>Arbitre</v>
      </c>
      <c r="V627" s="293" t="str">
        <f>N_Matches</f>
        <v>Matches</v>
      </c>
      <c r="W627" s="294"/>
      <c r="X627" s="294"/>
      <c r="Y627" s="294"/>
      <c r="Z627" s="295"/>
      <c r="AA627" s="8"/>
      <c r="AB627" s="967"/>
      <c r="AC627" s="967"/>
      <c r="AD627" s="967"/>
      <c r="AE627" s="964"/>
      <c r="AF627" s="964"/>
      <c r="AG627" s="964"/>
      <c r="AH627" s="964"/>
      <c r="AI627" s="964"/>
      <c r="AJ627" s="964"/>
      <c r="AK627" s="964"/>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s="1396"/>
      <c r="CB627" s="1396"/>
      <c r="CC627"/>
      <c r="CD627"/>
      <c r="CE627"/>
    </row>
    <row r="628" spans="1:83" ht="13.15" customHeight="1" outlineLevel="2" x14ac:dyDescent="0.2">
      <c r="A628"/>
      <c r="B628" s="1"/>
      <c r="C628"/>
      <c r="D628"/>
      <c r="E628"/>
      <c r="F628"/>
      <c r="G628" s="1"/>
      <c r="H628" s="1"/>
      <c r="I628"/>
      <c r="J628"/>
      <c r="K628"/>
      <c r="L628"/>
      <c r="M628"/>
      <c r="N628"/>
      <c r="O628"/>
      <c r="P628"/>
      <c r="Q628"/>
      <c r="R628" s="558" t="s">
        <v>3973</v>
      </c>
      <c r="S628" s="83"/>
      <c r="T628" s="56"/>
      <c r="U628" s="955"/>
      <c r="V628" s="34" t="str">
        <f>Z620</f>
        <v>A</v>
      </c>
      <c r="W628" s="148"/>
      <c r="X628" s="35" t="s">
        <v>769</v>
      </c>
      <c r="Y628" s="148"/>
      <c r="Z628" s="36" t="str">
        <f>Z621</f>
        <v>H</v>
      </c>
      <c r="AA628" s="123"/>
      <c r="AB628" s="1459">
        <f t="shared" ref="AB628:AB633" si="304">IF(MaxScore,MaxGoals(W628,Y628,MaxGoalsValue),IF(W628="","",W628))</f>
        <v>0</v>
      </c>
      <c r="AC628" s="1460" t="str">
        <f t="shared" ref="AC628:AC633" si="305">IF(MaxScore,"-",IF(W628="","","-"))</f>
        <v>-</v>
      </c>
      <c r="AD628" s="1459">
        <f t="shared" ref="AD628:AD633" si="306">IF(MaxScore,MaxGoals(Y628,W628,MaxGoalsValue),IF(Y628="","",Y628))</f>
        <v>0</v>
      </c>
      <c r="AE628" s="964" t="str">
        <f t="shared" ref="AE628:AE633" si="307">IF(W628="","",IF(W628&gt;Y628,V628,IF(W628=Y628,"",Z628)))</f>
        <v/>
      </c>
      <c r="AF628" s="964" t="str">
        <f t="shared" ref="AF628:AF633" si="308">IF(W628="","",IF(W628=Y628,V628,""))</f>
        <v/>
      </c>
      <c r="AG628" s="964" t="str">
        <f t="shared" ref="AG628:AG633" si="309">IF(W628="","",IF(W628=Y628,Z628,""))</f>
        <v/>
      </c>
      <c r="AH628" s="964" t="str">
        <f t="shared" ref="AH628:AH633" si="310">IF(W628="","",IF(W628&lt;Y628,V628,IF(W628=Y628,"",Z628)))</f>
        <v/>
      </c>
      <c r="AI628" s="964" t="str">
        <f t="shared" ref="AI628:AI633" si="311">CONCATENATE(AE628,AH628)</f>
        <v/>
      </c>
      <c r="AJ628" s="964"/>
      <c r="AK628" s="964"/>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s="1396"/>
      <c r="CB628" s="1396"/>
      <c r="CC628"/>
      <c r="CD628"/>
      <c r="CE628"/>
    </row>
    <row r="629" spans="1:83" ht="13.15" customHeight="1" outlineLevel="2" x14ac:dyDescent="0.2">
      <c r="A629"/>
      <c r="B629" s="1"/>
      <c r="C629"/>
      <c r="D629"/>
      <c r="E629"/>
      <c r="F629"/>
      <c r="G629" s="1"/>
      <c r="H629" s="1"/>
      <c r="I629"/>
      <c r="J629"/>
      <c r="K629"/>
      <c r="L629"/>
      <c r="M629"/>
      <c r="N629"/>
      <c r="O629"/>
      <c r="P629"/>
      <c r="Q629"/>
      <c r="R629" s="558" t="s">
        <v>3973</v>
      </c>
      <c r="S629" s="83"/>
      <c r="T629" s="56"/>
      <c r="U629" s="955"/>
      <c r="V629" s="43" t="str">
        <f>V614</f>
        <v>F</v>
      </c>
      <c r="W629" s="10"/>
      <c r="X629" s="45" t="s">
        <v>769</v>
      </c>
      <c r="Y629" s="10"/>
      <c r="Z629" s="46" t="str">
        <f>V620</f>
        <v>J</v>
      </c>
      <c r="AA629" s="123"/>
      <c r="AB629" s="1459">
        <f t="shared" si="304"/>
        <v>0</v>
      </c>
      <c r="AC629" s="1460" t="str">
        <f t="shared" si="305"/>
        <v>-</v>
      </c>
      <c r="AD629" s="1459">
        <f t="shared" si="306"/>
        <v>0</v>
      </c>
      <c r="AE629" s="964" t="str">
        <f t="shared" si="307"/>
        <v/>
      </c>
      <c r="AF629" s="964" t="str">
        <f t="shared" si="308"/>
        <v/>
      </c>
      <c r="AG629" s="964" t="str">
        <f t="shared" si="309"/>
        <v/>
      </c>
      <c r="AH629" s="964" t="str">
        <f t="shared" si="310"/>
        <v/>
      </c>
      <c r="AI629" s="964" t="str">
        <f t="shared" si="311"/>
        <v/>
      </c>
      <c r="AJ629" s="964"/>
      <c r="AK629" s="964"/>
      <c r="AL629"/>
      <c r="AM629"/>
      <c r="AN629"/>
      <c r="AO629"/>
      <c r="AP629"/>
      <c r="AQ629"/>
      <c r="AR629"/>
      <c r="AS629"/>
      <c r="AT629"/>
      <c r="AU629"/>
      <c r="AV629"/>
      <c r="AW629"/>
      <c r="AX629" s="9"/>
      <c r="AY629"/>
      <c r="AZ629"/>
      <c r="BA629"/>
      <c r="BB629"/>
      <c r="BC629"/>
      <c r="BD629"/>
      <c r="BE629"/>
      <c r="BF629"/>
      <c r="BG629"/>
      <c r="BH629"/>
      <c r="BI629"/>
      <c r="BJ629"/>
      <c r="BK629"/>
      <c r="BL629"/>
      <c r="BM629"/>
      <c r="BN629"/>
      <c r="BO629"/>
      <c r="BP629"/>
      <c r="BQ629"/>
      <c r="BR629"/>
      <c r="BS629"/>
      <c r="BT629"/>
      <c r="BU629"/>
      <c r="BV629"/>
      <c r="BW629"/>
      <c r="BX629"/>
      <c r="BY629"/>
      <c r="BZ629"/>
      <c r="CA629" s="1396"/>
      <c r="CB629" s="1396"/>
      <c r="CC629"/>
      <c r="CD629"/>
      <c r="CE629"/>
    </row>
    <row r="630" spans="1:83" ht="13.15" customHeight="1" outlineLevel="2" x14ac:dyDescent="0.2">
      <c r="A630"/>
      <c r="B630" s="1"/>
      <c r="C630"/>
      <c r="D630"/>
      <c r="E630"/>
      <c r="F630"/>
      <c r="G630" s="1"/>
      <c r="H630" s="1"/>
      <c r="I630"/>
      <c r="J630"/>
      <c r="K630"/>
      <c r="L630"/>
      <c r="M630"/>
      <c r="N630"/>
      <c r="O630"/>
      <c r="P630"/>
      <c r="Q630"/>
      <c r="R630" s="558" t="s">
        <v>3973</v>
      </c>
      <c r="S630" s="83"/>
      <c r="T630" s="56"/>
      <c r="U630" s="955"/>
      <c r="V630" s="43" t="str">
        <f>Z622</f>
        <v>D</v>
      </c>
      <c r="W630" s="10"/>
      <c r="X630" s="45" t="s">
        <v>769</v>
      </c>
      <c r="Y630" s="10"/>
      <c r="Z630" s="46" t="str">
        <f>V621</f>
        <v>L</v>
      </c>
      <c r="AA630" s="123"/>
      <c r="AB630" s="1459">
        <f t="shared" si="304"/>
        <v>0</v>
      </c>
      <c r="AC630" s="1460" t="str">
        <f t="shared" si="305"/>
        <v>-</v>
      </c>
      <c r="AD630" s="1459">
        <f t="shared" si="306"/>
        <v>0</v>
      </c>
      <c r="AE630" s="964" t="str">
        <f t="shared" si="307"/>
        <v/>
      </c>
      <c r="AF630" s="964" t="str">
        <f t="shared" si="308"/>
        <v/>
      </c>
      <c r="AG630" s="964" t="str">
        <f t="shared" si="309"/>
        <v/>
      </c>
      <c r="AH630" s="964" t="str">
        <f t="shared" si="310"/>
        <v/>
      </c>
      <c r="AI630" s="964" t="str">
        <f t="shared" si="311"/>
        <v/>
      </c>
      <c r="AJ630" s="964"/>
      <c r="AK630" s="964"/>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s="1396"/>
      <c r="CB630" s="1396"/>
      <c r="CC630"/>
      <c r="CD630"/>
      <c r="CE630"/>
    </row>
    <row r="631" spans="1:83" ht="13.15" customHeight="1" outlineLevel="2" x14ac:dyDescent="0.2">
      <c r="A631"/>
      <c r="B631" s="1"/>
      <c r="C631"/>
      <c r="D631"/>
      <c r="E631"/>
      <c r="F631"/>
      <c r="G631" s="1"/>
      <c r="H631" s="1"/>
      <c r="I631"/>
      <c r="J631"/>
      <c r="K631"/>
      <c r="L631"/>
      <c r="M631"/>
      <c r="N631"/>
      <c r="O631"/>
      <c r="P631"/>
      <c r="Q631"/>
      <c r="R631" s="558" t="s">
        <v>3973</v>
      </c>
      <c r="S631" s="83"/>
      <c r="T631" s="56"/>
      <c r="U631" s="955"/>
      <c r="V631" s="43" t="str">
        <f>Z624</f>
        <v>C</v>
      </c>
      <c r="W631" s="10"/>
      <c r="X631" s="45" t="s">
        <v>769</v>
      </c>
      <c r="Y631" s="10"/>
      <c r="Z631" s="46" t="str">
        <f>V622</f>
        <v>M</v>
      </c>
      <c r="AA631" s="123"/>
      <c r="AB631" s="1459">
        <f t="shared" si="304"/>
        <v>0</v>
      </c>
      <c r="AC631" s="1460" t="str">
        <f t="shared" si="305"/>
        <v>-</v>
      </c>
      <c r="AD631" s="1459">
        <f t="shared" si="306"/>
        <v>0</v>
      </c>
      <c r="AE631" s="964" t="str">
        <f t="shared" si="307"/>
        <v/>
      </c>
      <c r="AF631" s="964" t="str">
        <f t="shared" si="308"/>
        <v/>
      </c>
      <c r="AG631" s="964" t="str">
        <f t="shared" si="309"/>
        <v/>
      </c>
      <c r="AH631" s="964" t="str">
        <f t="shared" si="310"/>
        <v/>
      </c>
      <c r="AI631" s="964" t="str">
        <f t="shared" si="311"/>
        <v/>
      </c>
      <c r="AJ631" s="964"/>
      <c r="AK631" s="964"/>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s="1396"/>
      <c r="CB631" s="1396"/>
      <c r="CC631"/>
      <c r="CD631"/>
      <c r="CE631"/>
    </row>
    <row r="632" spans="1:83" ht="13.15" customHeight="1" outlineLevel="2" x14ac:dyDescent="0.2">
      <c r="A632"/>
      <c r="B632" s="1"/>
      <c r="C632"/>
      <c r="D632"/>
      <c r="E632"/>
      <c r="F632"/>
      <c r="G632" s="1"/>
      <c r="H632" s="1"/>
      <c r="I632"/>
      <c r="J632"/>
      <c r="K632"/>
      <c r="L632"/>
      <c r="M632"/>
      <c r="N632"/>
      <c r="O632"/>
      <c r="P632"/>
      <c r="Q632"/>
      <c r="R632" s="558" t="s">
        <v>3973</v>
      </c>
      <c r="S632" s="83"/>
      <c r="T632" s="56"/>
      <c r="U632" s="955"/>
      <c r="V632" s="43" t="str">
        <f>Z625</f>
        <v>E</v>
      </c>
      <c r="W632" s="10"/>
      <c r="X632" s="45" t="s">
        <v>769</v>
      </c>
      <c r="Y632" s="10"/>
      <c r="Z632" s="46" t="str">
        <f>V623</f>
        <v>K</v>
      </c>
      <c r="AA632" s="123"/>
      <c r="AB632" s="1459">
        <f t="shared" si="304"/>
        <v>0</v>
      </c>
      <c r="AC632" s="1460" t="str">
        <f t="shared" si="305"/>
        <v>-</v>
      </c>
      <c r="AD632" s="1459">
        <f t="shared" si="306"/>
        <v>0</v>
      </c>
      <c r="AE632" s="964" t="str">
        <f t="shared" si="307"/>
        <v/>
      </c>
      <c r="AF632" s="964" t="str">
        <f t="shared" si="308"/>
        <v/>
      </c>
      <c r="AG632" s="964" t="str">
        <f t="shared" si="309"/>
        <v/>
      </c>
      <c r="AH632" s="964" t="str">
        <f t="shared" si="310"/>
        <v/>
      </c>
      <c r="AI632" s="964" t="str">
        <f t="shared" si="311"/>
        <v/>
      </c>
      <c r="AJ632" s="964"/>
      <c r="AK632" s="964"/>
      <c r="AL632"/>
      <c r="AM632"/>
      <c r="AN632"/>
      <c r="AO632"/>
      <c r="AP632"/>
      <c r="AQ632"/>
      <c r="AR632"/>
      <c r="AS632"/>
      <c r="AT632"/>
      <c r="AU632"/>
      <c r="AV632"/>
      <c r="AW632"/>
      <c r="AX632" s="9"/>
      <c r="AY632"/>
      <c r="AZ632"/>
      <c r="BA632"/>
      <c r="BB632"/>
      <c r="BC632"/>
      <c r="BD632"/>
      <c r="BE632"/>
      <c r="BF632"/>
      <c r="BG632"/>
      <c r="BH632"/>
      <c r="BI632"/>
      <c r="BJ632"/>
      <c r="BK632"/>
      <c r="BL632"/>
      <c r="BM632"/>
      <c r="BN632"/>
      <c r="BO632"/>
      <c r="BP632"/>
      <c r="BQ632"/>
      <c r="BR632"/>
      <c r="BS632"/>
      <c r="BT632"/>
      <c r="BU632"/>
      <c r="BV632"/>
      <c r="BW632"/>
      <c r="BX632"/>
      <c r="BY632"/>
      <c r="BZ632"/>
      <c r="CA632" s="1396"/>
      <c r="CB632" s="1396"/>
      <c r="CC632"/>
      <c r="CD632"/>
      <c r="CE632"/>
    </row>
    <row r="633" spans="1:83" ht="13.9" customHeight="1" outlineLevel="2" thickBot="1" x14ac:dyDescent="0.25">
      <c r="A633"/>
      <c r="B633" s="1"/>
      <c r="C633"/>
      <c r="D633"/>
      <c r="E633"/>
      <c r="F633"/>
      <c r="G633" s="1"/>
      <c r="H633" s="1"/>
      <c r="I633"/>
      <c r="J633"/>
      <c r="K633"/>
      <c r="L633"/>
      <c r="M633"/>
      <c r="N633"/>
      <c r="O633"/>
      <c r="P633"/>
      <c r="Q633"/>
      <c r="R633" s="558" t="s">
        <v>3973</v>
      </c>
      <c r="S633" s="956"/>
      <c r="T633" s="58"/>
      <c r="U633" s="957"/>
      <c r="V633" s="958" t="str">
        <f>+V625</f>
        <v>G</v>
      </c>
      <c r="W633" s="10"/>
      <c r="X633" s="45" t="s">
        <v>769</v>
      </c>
      <c r="Y633" s="10"/>
      <c r="Z633" s="46" t="str">
        <f>+V624</f>
        <v>I</v>
      </c>
      <c r="AA633" s="123"/>
      <c r="AB633" s="1459">
        <f t="shared" si="304"/>
        <v>0</v>
      </c>
      <c r="AC633" s="1460" t="str">
        <f t="shared" si="305"/>
        <v>-</v>
      </c>
      <c r="AD633" s="1459">
        <f t="shared" si="306"/>
        <v>0</v>
      </c>
      <c r="AE633" s="964" t="str">
        <f t="shared" si="307"/>
        <v/>
      </c>
      <c r="AF633" s="964" t="str">
        <f t="shared" si="308"/>
        <v/>
      </c>
      <c r="AG633" s="964" t="str">
        <f t="shared" si="309"/>
        <v/>
      </c>
      <c r="AH633" s="964" t="str">
        <f t="shared" si="310"/>
        <v/>
      </c>
      <c r="AI633" s="964" t="str">
        <f t="shared" si="311"/>
        <v/>
      </c>
      <c r="AJ633" s="964"/>
      <c r="AK633" s="964"/>
      <c r="AL633"/>
      <c r="AM633"/>
      <c r="AN633"/>
      <c r="AO633"/>
      <c r="AP633"/>
      <c r="AQ633"/>
      <c r="AR633"/>
      <c r="AS633"/>
      <c r="AT633"/>
      <c r="AU633"/>
      <c r="AV633"/>
      <c r="AW633" s="9"/>
      <c r="AX633" s="9"/>
      <c r="AY633"/>
      <c r="AZ633"/>
      <c r="BA633"/>
      <c r="BB633"/>
      <c r="BC633"/>
      <c r="BD633"/>
      <c r="BE633"/>
      <c r="BF633"/>
      <c r="BG633"/>
      <c r="BH633"/>
      <c r="BI633"/>
      <c r="BJ633"/>
      <c r="BK633"/>
      <c r="BL633"/>
      <c r="BM633"/>
      <c r="BN633"/>
      <c r="BO633"/>
      <c r="BP633"/>
      <c r="BQ633"/>
      <c r="BR633"/>
      <c r="BS633"/>
      <c r="BT633"/>
      <c r="BU633"/>
      <c r="BV633"/>
      <c r="BW633"/>
      <c r="BX633"/>
      <c r="BY633"/>
      <c r="BZ633"/>
      <c r="CA633" s="1396"/>
      <c r="CB633" s="1396"/>
      <c r="CC633"/>
      <c r="CD633"/>
      <c r="CE633"/>
    </row>
    <row r="634" spans="1:83" ht="13.5" outlineLevel="1" thickBot="1" x14ac:dyDescent="0.25">
      <c r="A634"/>
      <c r="B634" s="1"/>
      <c r="C634" s="1"/>
      <c r="D634" s="76"/>
      <c r="E634" s="76"/>
      <c r="F634" s="76"/>
      <c r="G634" s="9"/>
      <c r="H634" s="9"/>
      <c r="I634" s="1"/>
      <c r="J634"/>
      <c r="K634"/>
      <c r="L634"/>
      <c r="M634"/>
      <c r="N634"/>
      <c r="O634"/>
      <c r="P634" s="89"/>
      <c r="Q634"/>
      <c r="R634" s="1"/>
      <c r="S634" s="993">
        <f>S626+1</f>
        <v>12</v>
      </c>
      <c r="T634" s="961"/>
      <c r="U634" s="961"/>
      <c r="V634" s="961"/>
      <c r="W634" s="960"/>
      <c r="X634" s="960"/>
      <c r="Y634" s="960"/>
      <c r="Z634" s="962"/>
      <c r="AA634" s="123"/>
      <c r="AB634" s="963"/>
      <c r="AC634" s="963"/>
      <c r="AD634" s="963"/>
      <c r="AE634" s="964"/>
      <c r="AF634" s="964"/>
      <c r="AG634" s="964"/>
      <c r="AH634" s="964"/>
      <c r="AI634" s="964"/>
      <c r="AJ634" s="964"/>
      <c r="AK634" s="96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s="1396"/>
      <c r="CB634" s="1396"/>
      <c r="CC634"/>
      <c r="CD634"/>
      <c r="CE634"/>
    </row>
    <row r="635" spans="1:83" ht="13.9" customHeight="1" outlineLevel="2" thickBot="1" x14ac:dyDescent="0.25">
      <c r="A635"/>
      <c r="B635" s="1"/>
      <c r="C635"/>
      <c r="D635"/>
      <c r="E635"/>
      <c r="F635"/>
      <c r="G635" s="1"/>
      <c r="H635" s="1"/>
      <c r="I635"/>
      <c r="J635"/>
      <c r="K635"/>
      <c r="L635"/>
      <c r="M635"/>
      <c r="N635"/>
      <c r="O635"/>
      <c r="P635"/>
      <c r="Q635"/>
      <c r="S635" s="22" t="str">
        <f>N_Heure</f>
        <v>Heure</v>
      </c>
      <c r="T635" s="22" t="str">
        <f>N_Table</f>
        <v>Table</v>
      </c>
      <c r="U635" s="22" t="str">
        <f>N_Arbitre</f>
        <v>Arbitre</v>
      </c>
      <c r="V635" s="293" t="str">
        <f>N_Matches</f>
        <v>Matches</v>
      </c>
      <c r="W635" s="294"/>
      <c r="X635" s="294"/>
      <c r="Y635" s="294"/>
      <c r="Z635" s="295"/>
      <c r="AA635" s="8"/>
      <c r="AB635" s="967"/>
      <c r="AC635" s="967"/>
      <c r="AD635" s="967"/>
      <c r="AE635" s="964"/>
      <c r="AF635" s="964"/>
      <c r="AG635" s="964"/>
      <c r="AH635" s="964"/>
      <c r="AI635" s="964"/>
      <c r="AJ635" s="964"/>
      <c r="AK635" s="964"/>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s="1396"/>
      <c r="CB635" s="1396"/>
      <c r="CC635"/>
      <c r="CD635"/>
      <c r="CE635"/>
    </row>
    <row r="636" spans="1:83" ht="13.15" customHeight="1" outlineLevel="2" x14ac:dyDescent="0.2">
      <c r="A636"/>
      <c r="B636" s="1"/>
      <c r="C636"/>
      <c r="D636"/>
      <c r="E636"/>
      <c r="F636"/>
      <c r="G636" s="1"/>
      <c r="H636" s="1"/>
      <c r="I636"/>
      <c r="J636"/>
      <c r="K636"/>
      <c r="L636"/>
      <c r="M636"/>
      <c r="N636"/>
      <c r="O636"/>
      <c r="P636"/>
      <c r="Q636"/>
      <c r="R636" s="558" t="s">
        <v>3974</v>
      </c>
      <c r="S636" s="65"/>
      <c r="T636" s="953"/>
      <c r="U636" s="954"/>
      <c r="V636" s="34" t="str">
        <f>V629</f>
        <v>F</v>
      </c>
      <c r="W636" s="148"/>
      <c r="X636" s="35" t="s">
        <v>769</v>
      </c>
      <c r="Y636" s="148"/>
      <c r="Z636" s="36" t="str">
        <f>V628</f>
        <v>A</v>
      </c>
      <c r="AA636" s="123"/>
      <c r="AB636" s="1459">
        <f t="shared" ref="AB636:AB641" si="312">IF(MaxScore,MaxGoals(W636,Y636,MaxGoalsValue),IF(W636="","",W636))</f>
        <v>0</v>
      </c>
      <c r="AC636" s="1460" t="str">
        <f t="shared" ref="AC636:AC641" si="313">IF(MaxScore,"-",IF(W636="","","-"))</f>
        <v>-</v>
      </c>
      <c r="AD636" s="1459">
        <f t="shared" ref="AD636:AD641" si="314">IF(MaxScore,MaxGoals(Y636,W636,MaxGoalsValue),IF(Y636="","",Y636))</f>
        <v>0</v>
      </c>
      <c r="AE636" s="964" t="str">
        <f t="shared" ref="AE636:AE641" si="315">IF(W636="","",IF(W636&gt;Y636,V636,IF(W636=Y636,"",Z636)))</f>
        <v/>
      </c>
      <c r="AF636" s="964" t="str">
        <f t="shared" ref="AF636:AF641" si="316">IF(W636="","",IF(W636=Y636,V636,""))</f>
        <v/>
      </c>
      <c r="AG636" s="964" t="str">
        <f t="shared" ref="AG636:AG641" si="317">IF(W636="","",IF(W636=Y636,Z636,""))</f>
        <v/>
      </c>
      <c r="AH636" s="964" t="str">
        <f t="shared" ref="AH636:AH641" si="318">IF(W636="","",IF(W636&lt;Y636,V636,IF(W636=Y636,"",Z636)))</f>
        <v/>
      </c>
      <c r="AI636" s="964" t="str">
        <f t="shared" ref="AI636:AI641" si="319">CONCATENATE(AE636,AH636)</f>
        <v/>
      </c>
      <c r="AJ636" s="964"/>
      <c r="AK636" s="964"/>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s="1396"/>
      <c r="CB636" s="1396"/>
      <c r="CC636"/>
      <c r="CD636"/>
      <c r="CE636"/>
    </row>
    <row r="637" spans="1:83" ht="13.15" customHeight="1" outlineLevel="2" x14ac:dyDescent="0.2">
      <c r="A637"/>
      <c r="B637" s="1"/>
      <c r="C637"/>
      <c r="D637"/>
      <c r="E637"/>
      <c r="F637"/>
      <c r="G637" s="1"/>
      <c r="H637" s="1"/>
      <c r="I637"/>
      <c r="J637"/>
      <c r="K637"/>
      <c r="L637"/>
      <c r="M637"/>
      <c r="N637"/>
      <c r="O637"/>
      <c r="P637"/>
      <c r="Q637"/>
      <c r="R637" s="558" t="s">
        <v>3974</v>
      </c>
      <c r="S637" s="83"/>
      <c r="T637" s="56"/>
      <c r="U637" s="955"/>
      <c r="V637" s="43" t="str">
        <f>Z628</f>
        <v>H</v>
      </c>
      <c r="W637" s="10"/>
      <c r="X637" s="45" t="s">
        <v>769</v>
      </c>
      <c r="Y637" s="10"/>
      <c r="Z637" s="46" t="str">
        <f>V630</f>
        <v>D</v>
      </c>
      <c r="AA637" s="123"/>
      <c r="AB637" s="1459">
        <f t="shared" si="312"/>
        <v>0</v>
      </c>
      <c r="AC637" s="1460" t="str">
        <f t="shared" si="313"/>
        <v>-</v>
      </c>
      <c r="AD637" s="1459">
        <f t="shared" si="314"/>
        <v>0</v>
      </c>
      <c r="AE637" s="964" t="str">
        <f t="shared" si="315"/>
        <v/>
      </c>
      <c r="AF637" s="964" t="str">
        <f t="shared" si="316"/>
        <v/>
      </c>
      <c r="AG637" s="964" t="str">
        <f t="shared" si="317"/>
        <v/>
      </c>
      <c r="AH637" s="964" t="str">
        <f t="shared" si="318"/>
        <v/>
      </c>
      <c r="AI637" s="964" t="str">
        <f t="shared" si="319"/>
        <v/>
      </c>
      <c r="AJ637" s="964"/>
      <c r="AK637" s="964"/>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s="1396"/>
      <c r="CB637" s="1396"/>
      <c r="CC637"/>
      <c r="CD637"/>
      <c r="CE637"/>
    </row>
    <row r="638" spans="1:83" ht="13.15" customHeight="1" outlineLevel="2" x14ac:dyDescent="0.2">
      <c r="A638"/>
      <c r="B638" s="1"/>
      <c r="C638"/>
      <c r="D638"/>
      <c r="E638"/>
      <c r="F638"/>
      <c r="G638" s="1"/>
      <c r="H638" s="1"/>
      <c r="I638"/>
      <c r="J638"/>
      <c r="K638"/>
      <c r="L638"/>
      <c r="M638"/>
      <c r="N638"/>
      <c r="O638"/>
      <c r="P638"/>
      <c r="Q638"/>
      <c r="R638" s="558" t="s">
        <v>3974</v>
      </c>
      <c r="S638" s="83"/>
      <c r="T638" s="56"/>
      <c r="U638" s="955"/>
      <c r="V638" s="43" t="str">
        <f>Z629</f>
        <v>J</v>
      </c>
      <c r="W638" s="10"/>
      <c r="X638" s="45" t="s">
        <v>769</v>
      </c>
      <c r="Y638" s="10"/>
      <c r="Z638" s="46" t="str">
        <f>Z623</f>
        <v>B</v>
      </c>
      <c r="AA638" s="123"/>
      <c r="AB638" s="1459">
        <f t="shared" si="312"/>
        <v>0</v>
      </c>
      <c r="AC638" s="1460" t="str">
        <f t="shared" si="313"/>
        <v>-</v>
      </c>
      <c r="AD638" s="1459">
        <f t="shared" si="314"/>
        <v>0</v>
      </c>
      <c r="AE638" s="964" t="str">
        <f t="shared" si="315"/>
        <v/>
      </c>
      <c r="AF638" s="964" t="str">
        <f t="shared" si="316"/>
        <v/>
      </c>
      <c r="AG638" s="964" t="str">
        <f t="shared" si="317"/>
        <v/>
      </c>
      <c r="AH638" s="964" t="str">
        <f t="shared" si="318"/>
        <v/>
      </c>
      <c r="AI638" s="964" t="str">
        <f t="shared" si="319"/>
        <v/>
      </c>
      <c r="AJ638" s="964"/>
      <c r="AK638" s="964"/>
      <c r="AL638"/>
      <c r="AM638"/>
      <c r="AN638"/>
      <c r="AO638"/>
      <c r="AP638"/>
      <c r="AQ638"/>
      <c r="AR638"/>
      <c r="AS638"/>
      <c r="AT638"/>
      <c r="AU638"/>
      <c r="AV638"/>
      <c r="AW638" s="9"/>
      <c r="AX638" s="9"/>
      <c r="AY638"/>
      <c r="AZ638"/>
      <c r="BA638"/>
      <c r="BB638"/>
      <c r="BC638"/>
      <c r="BD638"/>
      <c r="BE638"/>
      <c r="BF638"/>
      <c r="BG638"/>
      <c r="BH638"/>
      <c r="BI638"/>
      <c r="BJ638"/>
      <c r="BK638"/>
      <c r="BL638"/>
      <c r="BM638"/>
      <c r="BN638"/>
      <c r="BO638"/>
      <c r="BP638"/>
      <c r="BQ638"/>
      <c r="BR638"/>
      <c r="BS638"/>
      <c r="BT638"/>
      <c r="BU638"/>
      <c r="BV638"/>
      <c r="BW638"/>
      <c r="BX638"/>
      <c r="BY638"/>
      <c r="BZ638"/>
      <c r="CA638" s="1396"/>
      <c r="CB638" s="1396"/>
      <c r="CC638"/>
      <c r="CD638"/>
      <c r="CE638"/>
    </row>
    <row r="639" spans="1:83" ht="12.75" customHeight="1" outlineLevel="2" x14ac:dyDescent="0.2">
      <c r="A639"/>
      <c r="B639" s="1"/>
      <c r="C639"/>
      <c r="D639"/>
      <c r="E639"/>
      <c r="F639"/>
      <c r="G639" s="1"/>
      <c r="H639" s="1"/>
      <c r="I639"/>
      <c r="J639"/>
      <c r="K639"/>
      <c r="L639"/>
      <c r="M639"/>
      <c r="N639"/>
      <c r="O639"/>
      <c r="P639"/>
      <c r="Q639"/>
      <c r="R639" s="558" t="s">
        <v>3974</v>
      </c>
      <c r="S639" s="83"/>
      <c r="T639" s="56"/>
      <c r="U639" s="955"/>
      <c r="V639" s="43" t="str">
        <f>Z630</f>
        <v>L</v>
      </c>
      <c r="W639" s="10"/>
      <c r="X639" s="45" t="s">
        <v>769</v>
      </c>
      <c r="Y639" s="10"/>
      <c r="Z639" s="46" t="str">
        <f>V631</f>
        <v>C</v>
      </c>
      <c r="AA639" s="123"/>
      <c r="AB639" s="1459">
        <f t="shared" si="312"/>
        <v>0</v>
      </c>
      <c r="AC639" s="1460" t="str">
        <f t="shared" si="313"/>
        <v>-</v>
      </c>
      <c r="AD639" s="1459">
        <f t="shared" si="314"/>
        <v>0</v>
      </c>
      <c r="AE639" s="964" t="str">
        <f t="shared" si="315"/>
        <v/>
      </c>
      <c r="AF639" s="964" t="str">
        <f t="shared" si="316"/>
        <v/>
      </c>
      <c r="AG639" s="964" t="str">
        <f t="shared" si="317"/>
        <v/>
      </c>
      <c r="AH639" s="964" t="str">
        <f t="shared" si="318"/>
        <v/>
      </c>
      <c r="AI639" s="964" t="str">
        <f t="shared" si="319"/>
        <v/>
      </c>
      <c r="AJ639" s="964"/>
      <c r="AK639" s="964"/>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s="1396"/>
      <c r="CB639" s="1396"/>
      <c r="CC639"/>
      <c r="CD639"/>
      <c r="CE639"/>
    </row>
    <row r="640" spans="1:83" ht="13.15" customHeight="1" outlineLevel="2" x14ac:dyDescent="0.2">
      <c r="A640"/>
      <c r="B640" s="1"/>
      <c r="C640"/>
      <c r="D640"/>
      <c r="E640"/>
      <c r="F640"/>
      <c r="G640" s="1"/>
      <c r="H640" s="1"/>
      <c r="I640"/>
      <c r="J640"/>
      <c r="K640"/>
      <c r="L640"/>
      <c r="M640"/>
      <c r="N640"/>
      <c r="O640"/>
      <c r="P640"/>
      <c r="Q640"/>
      <c r="R640" s="558" t="s">
        <v>3974</v>
      </c>
      <c r="S640" s="83"/>
      <c r="T640" s="56"/>
      <c r="U640" s="955"/>
      <c r="V640" s="43" t="str">
        <f>Z631</f>
        <v>M</v>
      </c>
      <c r="W640" s="10"/>
      <c r="X640" s="45" t="s">
        <v>769</v>
      </c>
      <c r="Y640" s="10"/>
      <c r="Z640" s="46" t="str">
        <f>V633</f>
        <v>G</v>
      </c>
      <c r="AA640" s="123"/>
      <c r="AB640" s="1459">
        <f t="shared" si="312"/>
        <v>0</v>
      </c>
      <c r="AC640" s="1460" t="str">
        <f t="shared" si="313"/>
        <v>-</v>
      </c>
      <c r="AD640" s="1459">
        <f t="shared" si="314"/>
        <v>0</v>
      </c>
      <c r="AE640" s="964" t="str">
        <f t="shared" si="315"/>
        <v/>
      </c>
      <c r="AF640" s="964" t="str">
        <f t="shared" si="316"/>
        <v/>
      </c>
      <c r="AG640" s="964" t="str">
        <f t="shared" si="317"/>
        <v/>
      </c>
      <c r="AH640" s="964" t="str">
        <f t="shared" si="318"/>
        <v/>
      </c>
      <c r="AI640" s="964" t="str">
        <f t="shared" si="319"/>
        <v/>
      </c>
      <c r="AJ640" s="964"/>
      <c r="AK640" s="964"/>
      <c r="AL640"/>
      <c r="AM640"/>
      <c r="AN640"/>
      <c r="AO640"/>
      <c r="AP640"/>
      <c r="AQ640"/>
      <c r="AR640"/>
      <c r="AS640"/>
      <c r="AT640"/>
      <c r="AU640"/>
      <c r="AV640"/>
      <c r="AW640"/>
      <c r="AX640" s="9"/>
      <c r="AY640"/>
      <c r="AZ640"/>
      <c r="BA640"/>
      <c r="BB640"/>
      <c r="BC640"/>
      <c r="BD640"/>
      <c r="BE640"/>
      <c r="BF640"/>
      <c r="BG640"/>
      <c r="BH640"/>
      <c r="BI640"/>
      <c r="BJ640"/>
      <c r="BK640"/>
      <c r="BL640"/>
      <c r="BM640"/>
      <c r="BN640"/>
      <c r="BO640"/>
      <c r="BP640"/>
      <c r="BQ640"/>
      <c r="BR640"/>
      <c r="BS640"/>
      <c r="BT640"/>
      <c r="BU640"/>
      <c r="BV640"/>
      <c r="BW640"/>
      <c r="BX640"/>
      <c r="BY640"/>
      <c r="BZ640"/>
      <c r="CA640" s="1396"/>
      <c r="CB640" s="1396"/>
      <c r="CC640"/>
      <c r="CD640"/>
      <c r="CE640"/>
    </row>
    <row r="641" spans="1:83" ht="13.9" customHeight="1" outlineLevel="2" thickBot="1" x14ac:dyDescent="0.25">
      <c r="A641"/>
      <c r="B641" s="1"/>
      <c r="C641"/>
      <c r="D641"/>
      <c r="E641"/>
      <c r="F641"/>
      <c r="G641" s="1"/>
      <c r="H641" s="1"/>
      <c r="I641"/>
      <c r="J641"/>
      <c r="K641"/>
      <c r="L641"/>
      <c r="M641"/>
      <c r="N641"/>
      <c r="O641"/>
      <c r="P641"/>
      <c r="Q641"/>
      <c r="R641" s="558" t="s">
        <v>3974</v>
      </c>
      <c r="S641" s="956"/>
      <c r="T641" s="58"/>
      <c r="U641" s="957"/>
      <c r="V641" s="43" t="str">
        <f>Z632</f>
        <v>K</v>
      </c>
      <c r="W641" s="10"/>
      <c r="X641" s="45" t="s">
        <v>769</v>
      </c>
      <c r="Y641" s="10"/>
      <c r="Z641" s="46" t="str">
        <f>+Z633</f>
        <v>I</v>
      </c>
      <c r="AA641" s="123"/>
      <c r="AB641" s="1459">
        <f t="shared" si="312"/>
        <v>0</v>
      </c>
      <c r="AC641" s="1460" t="str">
        <f t="shared" si="313"/>
        <v>-</v>
      </c>
      <c r="AD641" s="1459">
        <f t="shared" si="314"/>
        <v>0</v>
      </c>
      <c r="AE641" s="964" t="str">
        <f t="shared" si="315"/>
        <v/>
      </c>
      <c r="AF641" s="964" t="str">
        <f t="shared" si="316"/>
        <v/>
      </c>
      <c r="AG641" s="964" t="str">
        <f t="shared" si="317"/>
        <v/>
      </c>
      <c r="AH641" s="964" t="str">
        <f t="shared" si="318"/>
        <v/>
      </c>
      <c r="AI641" s="964" t="str">
        <f t="shared" si="319"/>
        <v/>
      </c>
      <c r="AJ641" s="964"/>
      <c r="AK641" s="964"/>
      <c r="AL641"/>
      <c r="AM641"/>
      <c r="AN641"/>
      <c r="AO641"/>
      <c r="AP641"/>
      <c r="AQ641"/>
      <c r="AR641"/>
      <c r="AS641"/>
      <c r="AT641"/>
      <c r="AU641"/>
      <c r="AV641"/>
      <c r="AW641" s="9"/>
      <c r="AX641" s="9"/>
      <c r="AY641"/>
      <c r="AZ641"/>
      <c r="BA641"/>
      <c r="BB641"/>
      <c r="BC641"/>
      <c r="BD641"/>
      <c r="BE641"/>
      <c r="BF641"/>
      <c r="BG641"/>
      <c r="BH641"/>
      <c r="BI641"/>
      <c r="BJ641"/>
      <c r="BK641"/>
      <c r="BL641"/>
      <c r="BM641"/>
      <c r="BN641"/>
      <c r="BO641"/>
      <c r="BP641"/>
      <c r="BQ641"/>
      <c r="BR641"/>
      <c r="BS641"/>
      <c r="BT641"/>
      <c r="BU641"/>
      <c r="BV641"/>
      <c r="BW641"/>
      <c r="BX641"/>
      <c r="BY641"/>
      <c r="BZ641"/>
      <c r="CA641" s="1396"/>
      <c r="CB641" s="1396"/>
      <c r="CC641"/>
      <c r="CD641"/>
      <c r="CE641"/>
    </row>
    <row r="642" spans="1:83" ht="13.5" outlineLevel="1" thickBot="1" x14ac:dyDescent="0.25">
      <c r="A642"/>
      <c r="B642" s="1"/>
      <c r="C642" s="1"/>
      <c r="D642" s="76"/>
      <c r="E642" s="76"/>
      <c r="F642" s="76"/>
      <c r="G642" s="9"/>
      <c r="H642" s="9"/>
      <c r="I642" s="1"/>
      <c r="J642"/>
      <c r="K642"/>
      <c r="L642"/>
      <c r="M642"/>
      <c r="N642"/>
      <c r="O642"/>
      <c r="P642" s="89"/>
      <c r="Q642"/>
      <c r="R642" s="1"/>
      <c r="S642" s="993">
        <f>S634+1</f>
        <v>13</v>
      </c>
      <c r="T642" s="961"/>
      <c r="U642" s="961"/>
      <c r="V642" s="961"/>
      <c r="W642" s="960"/>
      <c r="X642" s="960"/>
      <c r="Y642" s="960"/>
      <c r="Z642" s="962"/>
      <c r="AA642" s="123"/>
      <c r="AB642" s="963"/>
      <c r="AC642" s="963"/>
      <c r="AD642" s="963"/>
      <c r="AE642" s="964"/>
      <c r="AF642" s="964"/>
      <c r="AG642" s="964"/>
      <c r="AH642" s="964"/>
      <c r="AI642" s="964"/>
      <c r="AJ642" s="964"/>
      <c r="AK642" s="964"/>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s="1396"/>
      <c r="CB642" s="1396"/>
      <c r="CC642"/>
      <c r="CD642"/>
      <c r="CE642"/>
    </row>
    <row r="643" spans="1:83" ht="13.9" customHeight="1" outlineLevel="2" thickBot="1" x14ac:dyDescent="0.25">
      <c r="A643"/>
      <c r="B643" s="1"/>
      <c r="C643"/>
      <c r="D643"/>
      <c r="E643"/>
      <c r="F643"/>
      <c r="G643" s="1"/>
      <c r="H643" s="1"/>
      <c r="I643"/>
      <c r="J643"/>
      <c r="K643"/>
      <c r="L643"/>
      <c r="M643"/>
      <c r="N643"/>
      <c r="O643"/>
      <c r="P643"/>
      <c r="Q643"/>
      <c r="S643" s="22" t="str">
        <f>N_Heure</f>
        <v>Heure</v>
      </c>
      <c r="T643" s="22" t="str">
        <f>N_Table</f>
        <v>Table</v>
      </c>
      <c r="U643" s="22" t="str">
        <f>N_Arbitre</f>
        <v>Arbitre</v>
      </c>
      <c r="V643" s="293" t="str">
        <f>N_Matches</f>
        <v>Matches</v>
      </c>
      <c r="W643" s="294"/>
      <c r="X643" s="294"/>
      <c r="Y643" s="294"/>
      <c r="Z643" s="295"/>
      <c r="AA643" s="8"/>
      <c r="AB643" s="967"/>
      <c r="AC643" s="967"/>
      <c r="AD643" s="967"/>
      <c r="AE643" s="964"/>
      <c r="AF643" s="964"/>
      <c r="AG643" s="964"/>
      <c r="AH643" s="964"/>
      <c r="AI643" s="964"/>
      <c r="AJ643" s="964"/>
      <c r="AK643" s="964"/>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s="1396"/>
      <c r="CB643" s="1396"/>
      <c r="CC643"/>
      <c r="CD643"/>
      <c r="CE643"/>
    </row>
    <row r="644" spans="1:83" ht="13.15" customHeight="1" outlineLevel="2" x14ac:dyDescent="0.2">
      <c r="A644"/>
      <c r="B644" s="1"/>
      <c r="C644"/>
      <c r="D644"/>
      <c r="E644"/>
      <c r="F644"/>
      <c r="G644" s="1"/>
      <c r="H644" s="1"/>
      <c r="I644"/>
      <c r="J644"/>
      <c r="K644"/>
      <c r="L644"/>
      <c r="M644"/>
      <c r="N644"/>
      <c r="O644"/>
      <c r="P644"/>
      <c r="Q644"/>
      <c r="R644" s="558" t="s">
        <v>3975</v>
      </c>
      <c r="S644" s="65"/>
      <c r="T644" s="953"/>
      <c r="U644" s="954"/>
      <c r="V644" s="34" t="str">
        <f>Z636</f>
        <v>A</v>
      </c>
      <c r="W644" s="148"/>
      <c r="X644" s="35" t="s">
        <v>769</v>
      </c>
      <c r="Y644" s="148"/>
      <c r="Z644" s="36" t="str">
        <f>Z637</f>
        <v>D</v>
      </c>
      <c r="AA644" s="123"/>
      <c r="AB644" s="1459">
        <f t="shared" ref="AB644:AB649" si="320">IF(MaxScore,MaxGoals(W644,Y644,MaxGoalsValue),IF(W644="","",W644))</f>
        <v>0</v>
      </c>
      <c r="AC644" s="1460" t="str">
        <f t="shared" ref="AC644:AC649" si="321">IF(MaxScore,"-",IF(W644="","","-"))</f>
        <v>-</v>
      </c>
      <c r="AD644" s="1459">
        <f t="shared" ref="AD644:AD649" si="322">IF(MaxScore,MaxGoals(Y644,W644,MaxGoalsValue),IF(Y644="","",Y644))</f>
        <v>0</v>
      </c>
      <c r="AE644" s="964" t="str">
        <f t="shared" ref="AE644:AE649" si="323">IF(W644="","",IF(W644&gt;Y644,V644,IF(W644=Y644,"",Z644)))</f>
        <v/>
      </c>
      <c r="AF644" s="964" t="str">
        <f t="shared" ref="AF644:AF649" si="324">IF(W644="","",IF(W644=Y644,V644,""))</f>
        <v/>
      </c>
      <c r="AG644" s="964" t="str">
        <f t="shared" ref="AG644:AG649" si="325">IF(W644="","",IF(W644=Y644,Z644,""))</f>
        <v/>
      </c>
      <c r="AH644" s="964" t="str">
        <f t="shared" ref="AH644:AH649" si="326">IF(W644="","",IF(W644&lt;Y644,V644,IF(W644=Y644,"",Z644)))</f>
        <v/>
      </c>
      <c r="AI644" s="964" t="str">
        <f t="shared" ref="AI644:AI649" si="327">CONCATENATE(AE644,AH644)</f>
        <v/>
      </c>
      <c r="AJ644" s="964"/>
      <c r="AK644" s="96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s="1396"/>
      <c r="CB644" s="1396"/>
      <c r="CC644"/>
      <c r="CD644"/>
      <c r="CE644"/>
    </row>
    <row r="645" spans="1:83" ht="13.15" customHeight="1" outlineLevel="2" x14ac:dyDescent="0.2">
      <c r="A645"/>
      <c r="B645" s="1"/>
      <c r="C645"/>
      <c r="D645"/>
      <c r="E645"/>
      <c r="F645"/>
      <c r="G645" s="1"/>
      <c r="H645" s="1"/>
      <c r="I645"/>
      <c r="J645"/>
      <c r="K645"/>
      <c r="L645"/>
      <c r="M645"/>
      <c r="N645"/>
      <c r="O645"/>
      <c r="P645"/>
      <c r="Q645"/>
      <c r="R645" s="558" t="s">
        <v>3975</v>
      </c>
      <c r="S645" s="83"/>
      <c r="T645" s="56"/>
      <c r="U645" s="955"/>
      <c r="V645" s="43" t="str">
        <f>Z638</f>
        <v>B</v>
      </c>
      <c r="W645" s="10"/>
      <c r="X645" s="45" t="s">
        <v>769</v>
      </c>
      <c r="Y645" s="10"/>
      <c r="Z645" s="46" t="str">
        <f>V636</f>
        <v>F</v>
      </c>
      <c r="AA645" s="123"/>
      <c r="AB645" s="1459">
        <f t="shared" si="320"/>
        <v>0</v>
      </c>
      <c r="AC645" s="1460" t="str">
        <f t="shared" si="321"/>
        <v>-</v>
      </c>
      <c r="AD645" s="1459">
        <f t="shared" si="322"/>
        <v>0</v>
      </c>
      <c r="AE645" s="964" t="str">
        <f t="shared" si="323"/>
        <v/>
      </c>
      <c r="AF645" s="964" t="str">
        <f t="shared" si="324"/>
        <v/>
      </c>
      <c r="AG645" s="964" t="str">
        <f t="shared" si="325"/>
        <v/>
      </c>
      <c r="AH645" s="964" t="str">
        <f t="shared" si="326"/>
        <v/>
      </c>
      <c r="AI645" s="964" t="str">
        <f t="shared" si="327"/>
        <v/>
      </c>
      <c r="AJ645" s="964"/>
      <c r="AK645" s="964"/>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s="1396"/>
      <c r="CB645" s="1396"/>
      <c r="CC645"/>
      <c r="CD645"/>
      <c r="CE645"/>
    </row>
    <row r="646" spans="1:83" ht="13.15" customHeight="1" outlineLevel="2" x14ac:dyDescent="0.2">
      <c r="A646"/>
      <c r="B646" s="1"/>
      <c r="C646"/>
      <c r="D646"/>
      <c r="E646"/>
      <c r="F646"/>
      <c r="G646" s="1"/>
      <c r="H646" s="1"/>
      <c r="I646"/>
      <c r="J646"/>
      <c r="K646"/>
      <c r="L646"/>
      <c r="M646"/>
      <c r="N646"/>
      <c r="O646"/>
      <c r="P646"/>
      <c r="Q646"/>
      <c r="R646" s="558" t="s">
        <v>3975</v>
      </c>
      <c r="S646" s="83"/>
      <c r="T646" s="56"/>
      <c r="U646" s="955"/>
      <c r="V646" s="43" t="str">
        <f>Z639</f>
        <v>C</v>
      </c>
      <c r="W646" s="10"/>
      <c r="X646" s="45" t="s">
        <v>769</v>
      </c>
      <c r="Y646" s="10"/>
      <c r="Z646" s="46" t="str">
        <f>V637</f>
        <v>H</v>
      </c>
      <c r="AA646" s="123"/>
      <c r="AB646" s="1459">
        <f t="shared" si="320"/>
        <v>0</v>
      </c>
      <c r="AC646" s="1460" t="str">
        <f t="shared" si="321"/>
        <v>-</v>
      </c>
      <c r="AD646" s="1459">
        <f t="shared" si="322"/>
        <v>0</v>
      </c>
      <c r="AE646" s="964" t="str">
        <f t="shared" si="323"/>
        <v/>
      </c>
      <c r="AF646" s="964" t="str">
        <f t="shared" si="324"/>
        <v/>
      </c>
      <c r="AG646" s="964" t="str">
        <f t="shared" si="325"/>
        <v/>
      </c>
      <c r="AH646" s="964" t="str">
        <f t="shared" si="326"/>
        <v/>
      </c>
      <c r="AI646" s="964" t="str">
        <f t="shared" si="327"/>
        <v/>
      </c>
      <c r="AJ646" s="964"/>
      <c r="AK646" s="964"/>
      <c r="AL646"/>
      <c r="AM646"/>
      <c r="AN646"/>
      <c r="AO646"/>
      <c r="AP646"/>
      <c r="AQ646"/>
      <c r="AR646"/>
      <c r="AS646"/>
      <c r="AT646"/>
      <c r="AU646"/>
      <c r="AV646"/>
      <c r="AW646"/>
      <c r="AX646" s="9"/>
      <c r="AY646"/>
      <c r="AZ646"/>
      <c r="BA646"/>
      <c r="BB646"/>
      <c r="BC646"/>
      <c r="BD646"/>
      <c r="BE646"/>
      <c r="BF646"/>
      <c r="BG646"/>
      <c r="BH646"/>
      <c r="BI646"/>
      <c r="BJ646"/>
      <c r="BK646"/>
      <c r="BL646"/>
      <c r="BM646"/>
      <c r="BN646"/>
      <c r="BO646"/>
      <c r="BP646"/>
      <c r="BQ646"/>
      <c r="BR646"/>
      <c r="BS646"/>
      <c r="BT646"/>
      <c r="BU646"/>
      <c r="BV646"/>
      <c r="BW646"/>
      <c r="BX646"/>
      <c r="BY646"/>
      <c r="BZ646"/>
      <c r="CA646" s="1396"/>
      <c r="CB646" s="1396"/>
      <c r="CC646"/>
      <c r="CD646"/>
      <c r="CE646"/>
    </row>
    <row r="647" spans="1:83" ht="13.15" customHeight="1" outlineLevel="2" x14ac:dyDescent="0.2">
      <c r="A647"/>
      <c r="B647" s="1"/>
      <c r="C647"/>
      <c r="D647"/>
      <c r="E647"/>
      <c r="F647"/>
      <c r="G647" s="1"/>
      <c r="H647" s="1"/>
      <c r="I647"/>
      <c r="J647"/>
      <c r="K647"/>
      <c r="L647"/>
      <c r="M647"/>
      <c r="N647"/>
      <c r="O647"/>
      <c r="P647"/>
      <c r="Q647"/>
      <c r="R647" s="558" t="s">
        <v>3975</v>
      </c>
      <c r="S647" s="83"/>
      <c r="T647" s="56"/>
      <c r="U647" s="955"/>
      <c r="V647" s="43" t="str">
        <f>V632</f>
        <v>E</v>
      </c>
      <c r="W647" s="10"/>
      <c r="X647" s="45" t="s">
        <v>769</v>
      </c>
      <c r="Y647" s="10"/>
      <c r="Z647" s="46" t="str">
        <f>V638</f>
        <v>J</v>
      </c>
      <c r="AA647" s="123"/>
      <c r="AB647" s="1459">
        <f t="shared" si="320"/>
        <v>0</v>
      </c>
      <c r="AC647" s="1460" t="str">
        <f t="shared" si="321"/>
        <v>-</v>
      </c>
      <c r="AD647" s="1459">
        <f t="shared" si="322"/>
        <v>0</v>
      </c>
      <c r="AE647" s="964" t="str">
        <f t="shared" si="323"/>
        <v/>
      </c>
      <c r="AF647" s="964" t="str">
        <f t="shared" si="324"/>
        <v/>
      </c>
      <c r="AG647" s="964" t="str">
        <f t="shared" si="325"/>
        <v/>
      </c>
      <c r="AH647" s="964" t="str">
        <f t="shared" si="326"/>
        <v/>
      </c>
      <c r="AI647" s="964" t="str">
        <f t="shared" si="327"/>
        <v/>
      </c>
      <c r="AJ647" s="964"/>
      <c r="AK647" s="964"/>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s="1396"/>
      <c r="CB647" s="1396"/>
      <c r="CC647"/>
      <c r="CD647"/>
      <c r="CE647"/>
    </row>
    <row r="648" spans="1:83" ht="13.15" customHeight="1" outlineLevel="2" x14ac:dyDescent="0.2">
      <c r="A648"/>
      <c r="B648" s="1"/>
      <c r="C648"/>
      <c r="D648"/>
      <c r="E648"/>
      <c r="F648"/>
      <c r="G648" s="1"/>
      <c r="H648" s="1"/>
      <c r="I648"/>
      <c r="J648"/>
      <c r="K648"/>
      <c r="L648"/>
      <c r="M648"/>
      <c r="N648"/>
      <c r="O648"/>
      <c r="P648"/>
      <c r="Q648"/>
      <c r="R648" s="558" t="s">
        <v>3975</v>
      </c>
      <c r="S648" s="83"/>
      <c r="T648" s="56"/>
      <c r="U648" s="955"/>
      <c r="V648" s="43" t="str">
        <f>Z640</f>
        <v>G</v>
      </c>
      <c r="W648" s="10"/>
      <c r="X648" s="45" t="s">
        <v>769</v>
      </c>
      <c r="Y648" s="10"/>
      <c r="Z648" s="46" t="str">
        <f>V639</f>
        <v>L</v>
      </c>
      <c r="AA648" s="123"/>
      <c r="AB648" s="1459">
        <f t="shared" si="320"/>
        <v>0</v>
      </c>
      <c r="AC648" s="1460" t="str">
        <f t="shared" si="321"/>
        <v>-</v>
      </c>
      <c r="AD648" s="1459">
        <f t="shared" si="322"/>
        <v>0</v>
      </c>
      <c r="AE648" s="964" t="str">
        <f t="shared" si="323"/>
        <v/>
      </c>
      <c r="AF648" s="964" t="str">
        <f t="shared" si="324"/>
        <v/>
      </c>
      <c r="AG648" s="964" t="str">
        <f t="shared" si="325"/>
        <v/>
      </c>
      <c r="AH648" s="964" t="str">
        <f t="shared" si="326"/>
        <v/>
      </c>
      <c r="AI648" s="964" t="str">
        <f t="shared" si="327"/>
        <v/>
      </c>
      <c r="AJ648" s="964"/>
      <c r="AK648" s="964"/>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s="1396"/>
      <c r="CB648" s="1396"/>
      <c r="CC648"/>
      <c r="CD648"/>
      <c r="CE648"/>
    </row>
    <row r="649" spans="1:83" ht="13.9" customHeight="1" outlineLevel="2" thickBot="1" x14ac:dyDescent="0.25">
      <c r="A649"/>
      <c r="B649" s="1"/>
      <c r="C649"/>
      <c r="D649"/>
      <c r="E649"/>
      <c r="F649"/>
      <c r="G649" s="1"/>
      <c r="H649" s="1"/>
      <c r="I649"/>
      <c r="J649"/>
      <c r="K649"/>
      <c r="L649"/>
      <c r="M649"/>
      <c r="N649"/>
      <c r="O649"/>
      <c r="P649"/>
      <c r="Q649"/>
      <c r="R649" s="558" t="s">
        <v>3975</v>
      </c>
      <c r="S649" s="956"/>
      <c r="T649" s="58"/>
      <c r="U649" s="957"/>
      <c r="V649" s="958" t="str">
        <f>+V641</f>
        <v>K</v>
      </c>
      <c r="W649" s="10"/>
      <c r="X649" s="45" t="s">
        <v>769</v>
      </c>
      <c r="Y649" s="10"/>
      <c r="Z649" s="46" t="str">
        <f>+V640</f>
        <v>M</v>
      </c>
      <c r="AA649" s="123"/>
      <c r="AB649" s="1459">
        <f t="shared" si="320"/>
        <v>0</v>
      </c>
      <c r="AC649" s="1460" t="str">
        <f t="shared" si="321"/>
        <v>-</v>
      </c>
      <c r="AD649" s="1459">
        <f t="shared" si="322"/>
        <v>0</v>
      </c>
      <c r="AE649" s="964" t="str">
        <f t="shared" si="323"/>
        <v/>
      </c>
      <c r="AF649" s="964" t="str">
        <f t="shared" si="324"/>
        <v/>
      </c>
      <c r="AG649" s="964" t="str">
        <f t="shared" si="325"/>
        <v/>
      </c>
      <c r="AH649" s="964" t="str">
        <f t="shared" si="326"/>
        <v/>
      </c>
      <c r="AI649" s="964" t="str">
        <f t="shared" si="327"/>
        <v/>
      </c>
      <c r="AJ649" s="964"/>
      <c r="AK649" s="964"/>
      <c r="AL649"/>
      <c r="AM649"/>
      <c r="AN649"/>
      <c r="AO649"/>
      <c r="AP649"/>
      <c r="AQ649"/>
      <c r="AR649"/>
      <c r="AS649"/>
      <c r="AT649"/>
      <c r="AU649"/>
      <c r="AV649"/>
      <c r="AW649" s="9"/>
      <c r="AX649" s="9"/>
      <c r="AY649"/>
      <c r="AZ649"/>
      <c r="BA649"/>
      <c r="BB649"/>
      <c r="BC649"/>
      <c r="BD649"/>
      <c r="BE649"/>
      <c r="BF649"/>
      <c r="BG649"/>
      <c r="BH649"/>
      <c r="BI649"/>
      <c r="BJ649"/>
      <c r="BK649"/>
      <c r="BL649"/>
      <c r="BM649"/>
      <c r="BN649"/>
      <c r="BO649"/>
      <c r="BP649"/>
      <c r="BQ649"/>
      <c r="BR649"/>
      <c r="BS649"/>
      <c r="BT649"/>
      <c r="BU649"/>
      <c r="BV649"/>
      <c r="BW649"/>
      <c r="BX649"/>
      <c r="BY649"/>
      <c r="BZ649"/>
      <c r="CA649" s="1396"/>
      <c r="CB649" s="1396"/>
      <c r="CC649"/>
      <c r="CD649"/>
      <c r="CE649"/>
    </row>
    <row r="650" spans="1:83" ht="13.5" thickBot="1" x14ac:dyDescent="0.25">
      <c r="A650"/>
      <c r="B650" s="1"/>
      <c r="C650"/>
      <c r="D650"/>
      <c r="E650"/>
      <c r="F650"/>
      <c r="G650" s="1"/>
      <c r="H650" s="1"/>
      <c r="I650"/>
      <c r="J650"/>
      <c r="K650"/>
      <c r="L650"/>
      <c r="M650"/>
      <c r="N650"/>
      <c r="O650"/>
      <c r="P650"/>
      <c r="Q650"/>
      <c r="S650"/>
      <c r="T650"/>
      <c r="U650"/>
      <c r="V650"/>
      <c r="W650" s="1"/>
      <c r="X650" s="1"/>
      <c r="Y650" s="1"/>
      <c r="Z650"/>
      <c r="AB650" s="964"/>
      <c r="AC650" s="964"/>
      <c r="AD650" s="969"/>
      <c r="AE650" s="969"/>
      <c r="AF650" s="964"/>
      <c r="AG650" s="970"/>
      <c r="AH650" s="964"/>
      <c r="AI650" s="969"/>
      <c r="AJ650" s="964"/>
      <c r="AK650" s="963"/>
      <c r="AL650" s="16"/>
      <c r="AM650" s="16"/>
      <c r="AN650" s="16"/>
      <c r="AO650" s="16"/>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s="1396"/>
      <c r="CB650" s="1396"/>
      <c r="CC650"/>
      <c r="CD650"/>
      <c r="CE650"/>
    </row>
    <row r="651" spans="1:83" ht="13.5" thickBot="1" x14ac:dyDescent="0.25">
      <c r="A651"/>
      <c r="B651" s="282" t="str">
        <f>N_Group_14</f>
        <v>Poule de 14</v>
      </c>
      <c r="C651" s="283"/>
      <c r="D651" s="283"/>
      <c r="E651" s="283"/>
      <c r="F651" s="283"/>
      <c r="G651" s="283"/>
      <c r="H651" s="283"/>
      <c r="I651" s="283"/>
      <c r="J651" s="283"/>
      <c r="K651" s="283"/>
      <c r="L651" s="283"/>
      <c r="M651" s="283"/>
      <c r="N651" s="283"/>
      <c r="O651" s="283"/>
      <c r="P651" s="283"/>
      <c r="Q651" s="283"/>
      <c r="R651" s="357"/>
      <c r="S651" s="283"/>
      <c r="T651" s="283"/>
      <c r="U651" s="283"/>
      <c r="V651" s="283"/>
      <c r="W651" s="992"/>
      <c r="X651" s="992"/>
      <c r="Y651" s="992"/>
      <c r="Z651" s="283"/>
      <c r="AA651" s="283"/>
      <c r="AB651" s="965"/>
      <c r="AC651" s="965"/>
      <c r="AD651" s="965"/>
      <c r="AE651" s="966"/>
      <c r="AF651" s="966"/>
      <c r="AG651" s="966"/>
      <c r="AH651" s="966"/>
      <c r="AI651" s="966"/>
      <c r="AJ651" s="966"/>
      <c r="AK651" s="965"/>
      <c r="AL651" s="283"/>
      <c r="AM651" s="282" t="str">
        <f>B651</f>
        <v>Poule de 14</v>
      </c>
      <c r="AN651" s="283"/>
      <c r="AO651" s="283"/>
      <c r="AP651" s="283"/>
      <c r="AQ651" s="283"/>
      <c r="AR651" s="283"/>
      <c r="AS651" s="283"/>
      <c r="AT651" s="283"/>
      <c r="AU651" s="283"/>
      <c r="AV651" s="283"/>
      <c r="AW651" s="283"/>
      <c r="AX651" s="283"/>
      <c r="AY651" s="283"/>
      <c r="AZ651" s="283"/>
      <c r="BA651" s="283"/>
      <c r="BB651" s="283"/>
      <c r="BC651" s="283"/>
      <c r="BD651" s="283"/>
      <c r="BE651" s="283"/>
      <c r="BF651" s="283"/>
      <c r="BG651" s="283"/>
      <c r="BH651" s="283"/>
      <c r="BI651" s="283"/>
      <c r="BJ651" s="283"/>
      <c r="BK651" s="283"/>
      <c r="BL651" s="283"/>
      <c r="BM651" s="283"/>
      <c r="BN651" s="283"/>
      <c r="BO651" s="283"/>
      <c r="BP651" s="283"/>
      <c r="BQ651" s="283"/>
      <c r="BR651" s="283"/>
      <c r="BS651" s="283"/>
      <c r="BT651" s="283"/>
      <c r="BU651" s="283"/>
      <c r="BV651" s="283"/>
      <c r="BW651" s="283"/>
      <c r="BX651" s="283"/>
      <c r="BY651" s="283"/>
      <c r="BZ651"/>
      <c r="CA651" s="1396"/>
      <c r="CB651" s="1396"/>
      <c r="CC651" s="284"/>
      <c r="CD651"/>
      <c r="CE651"/>
    </row>
    <row r="652" spans="1:83" ht="13.5" outlineLevel="1" thickBot="1" x14ac:dyDescent="0.25">
      <c r="A652"/>
      <c r="B652" s="1"/>
      <c r="C652"/>
      <c r="D652"/>
      <c r="E652"/>
      <c r="F652"/>
      <c r="G652" s="1"/>
      <c r="H652" s="1"/>
      <c r="I652"/>
      <c r="J652"/>
      <c r="K652"/>
      <c r="L652"/>
      <c r="M652"/>
      <c r="N652"/>
      <c r="O652"/>
      <c r="P652"/>
      <c r="Q652"/>
      <c r="S652"/>
      <c r="T652"/>
      <c r="U652"/>
      <c r="V652"/>
      <c r="W652" s="1"/>
      <c r="X652" s="1"/>
      <c r="Y652" s="1"/>
      <c r="Z652"/>
      <c r="AB652" s="964"/>
      <c r="AC652" s="964"/>
      <c r="AD652" s="969"/>
      <c r="AE652" s="969"/>
      <c r="AF652" s="964"/>
      <c r="AG652" s="970"/>
      <c r="AH652" s="964"/>
      <c r="AI652" s="969"/>
      <c r="AJ652" s="964"/>
      <c r="AK652" s="963"/>
      <c r="AL652" s="16"/>
      <c r="AM652" s="16"/>
      <c r="AN652" s="16"/>
      <c r="AO652" s="16"/>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s="1396"/>
      <c r="CB652" s="1396"/>
      <c r="CC652"/>
      <c r="CD652"/>
      <c r="CE652"/>
    </row>
    <row r="653" spans="1:83" ht="13.5" outlineLevel="1" thickBot="1" x14ac:dyDescent="0.25">
      <c r="A653"/>
      <c r="B653" s="18" t="str">
        <f>N_Tirage</f>
        <v>Tirage</v>
      </c>
      <c r="C653" s="971" t="s">
        <v>787</v>
      </c>
      <c r="D653" s="972" t="s">
        <v>831</v>
      </c>
      <c r="E653" s="972" t="s">
        <v>832</v>
      </c>
      <c r="F653" s="973" t="s">
        <v>833</v>
      </c>
      <c r="G653" s="22" t="str">
        <f>N_Joueurs</f>
        <v>Joueurs</v>
      </c>
      <c r="H653" s="3" t="str">
        <f>N_RankPoints</f>
        <v>Pt. Clas.</v>
      </c>
      <c r="I653" s="22" t="str">
        <f>N_Diff_Part</f>
        <v>Diff-Part</v>
      </c>
      <c r="J653" s="983" t="s">
        <v>788</v>
      </c>
      <c r="K653" s="984" t="s">
        <v>789</v>
      </c>
      <c r="L653" s="972" t="s">
        <v>790</v>
      </c>
      <c r="M653" s="972" t="s">
        <v>791</v>
      </c>
      <c r="N653" s="972" t="s">
        <v>792</v>
      </c>
      <c r="O653" s="972" t="s">
        <v>793</v>
      </c>
      <c r="P653" s="972" t="s">
        <v>794</v>
      </c>
      <c r="Q653" s="973" t="s">
        <v>781</v>
      </c>
      <c r="R653"/>
      <c r="S653"/>
      <c r="T653"/>
      <c r="U653"/>
      <c r="V653"/>
      <c r="W653" s="1"/>
      <c r="X653" s="1"/>
      <c r="Y653" s="1"/>
      <c r="Z653"/>
      <c r="AB653" s="964"/>
      <c r="AC653" s="964"/>
      <c r="AD653" s="964"/>
      <c r="AE653" s="964" t="str">
        <f>N_G</f>
        <v>G</v>
      </c>
      <c r="AF653" s="964" t="str">
        <f>N_N</f>
        <v>N</v>
      </c>
      <c r="AG653" s="964" t="str">
        <f>N_N</f>
        <v>N</v>
      </c>
      <c r="AH653" s="964" t="str">
        <f>N_P</f>
        <v>P</v>
      </c>
      <c r="AI653" s="964" t="s">
        <v>1560</v>
      </c>
      <c r="AJ653" s="964" t="s">
        <v>3714</v>
      </c>
      <c r="AK653" s="964" t="str">
        <f>IF(COUNTA(W670:W784)=0,"","OK")</f>
        <v/>
      </c>
      <c r="AL653"/>
      <c r="AM653" s="16"/>
      <c r="AN653" s="24" t="str">
        <f>N_Cla.</f>
        <v>Cla.</v>
      </c>
      <c r="AO653" s="4" t="str">
        <f>N_Joueurs</f>
        <v>Joueurs</v>
      </c>
      <c r="AP653" s="25" t="str">
        <f>N_Pts</f>
        <v>Pts</v>
      </c>
      <c r="AQ653" s="25" t="str">
        <f>N_J</f>
        <v>J</v>
      </c>
      <c r="AR653" s="26" t="str">
        <f>N_G</f>
        <v>G</v>
      </c>
      <c r="AS653" s="26" t="str">
        <f>N_N</f>
        <v>N</v>
      </c>
      <c r="AT653" s="26" t="str">
        <f>N_P</f>
        <v>P</v>
      </c>
      <c r="AU653" s="26" t="str">
        <f>N_BP</f>
        <v>BP</v>
      </c>
      <c r="AV653" s="26" t="str">
        <f>N_BC</f>
        <v>BC</v>
      </c>
      <c r="AW653" s="5" t="str">
        <f>N_Diff.</f>
        <v>Diff.</v>
      </c>
      <c r="AX653"/>
      <c r="AY653"/>
      <c r="AZ653" s="1"/>
      <c r="BA653" s="1"/>
      <c r="BB653"/>
      <c r="BC653" s="6"/>
      <c r="BD653"/>
      <c r="BE653" s="1"/>
      <c r="BF653"/>
      <c r="BG653" s="16"/>
      <c r="BH653"/>
      <c r="BI653"/>
      <c r="BJ653"/>
      <c r="BK653"/>
      <c r="BL653"/>
      <c r="BM653"/>
      <c r="BN653"/>
      <c r="BO653"/>
      <c r="BP653"/>
      <c r="BQ653"/>
      <c r="BR653"/>
      <c r="BS653"/>
      <c r="BT653"/>
      <c r="BU653"/>
      <c r="BV653"/>
      <c r="BW653"/>
      <c r="BX653"/>
      <c r="BY653"/>
      <c r="BZ653"/>
      <c r="CA653" s="1396"/>
      <c r="CB653" s="1396"/>
      <c r="CC653"/>
      <c r="CD653"/>
      <c r="CE653"/>
    </row>
    <row r="654" spans="1:83" outlineLevel="1" x14ac:dyDescent="0.2">
      <c r="A654"/>
      <c r="B654" s="941">
        <v>1</v>
      </c>
      <c r="C654" s="974" t="str">
        <f>IF(AK653="","",RANK(F654,F654:F667)*1000+ROW())</f>
        <v/>
      </c>
      <c r="D654" s="975" t="str">
        <f>IF(L654="","",CritClassInd1_Points*J654+CritClassInd1_Matches*L654+CritClassInd1_Attaque*O654+CritClassInd1_DiffButs*Q654)</f>
        <v/>
      </c>
      <c r="E654" s="975" t="str">
        <f>IF(L654="","",Nb_Diff_Part(D654,D654:D667,G654,G654:G667,AI670:AI784)*CritClassInd_DiffPart+Nb_Goal_Part(D654,D654:D667,G654,G654:G667,V670:Z784)*CritClassInd_GoalPart+Nb_Score_Part(D654,D654:D667,G654,G654:G667,V670:Z784)*CritClassInd_ScorePart)</f>
        <v/>
      </c>
      <c r="F654" s="976" t="str">
        <f>IF(L654="","",D654+E654+CritClassInd2_Points*J654+CritClassInd2_Matches*L654+CritClassInd2_Attaque*O654+CritClassInd2_DiffButs*Q654+CritClassInd_Ranking*H654+I654)</f>
        <v/>
      </c>
      <c r="G654" s="942" t="s">
        <v>2712</v>
      </c>
      <c r="H654" s="499">
        <f t="shared" ref="H654:H667" si="328">GMFTRANKINGPOINTS(G654,Particular_Category)</f>
        <v>0</v>
      </c>
      <c r="I654" s="942"/>
      <c r="J654" s="974" t="str">
        <f>IF(AK653="","",(L654*Points_Victoire)+M654*Points_Null)</f>
        <v/>
      </c>
      <c r="K654" s="985" t="str">
        <f t="shared" ref="K654:K667" si="329">IF(L654="","",SUM(L654:N654))</f>
        <v/>
      </c>
      <c r="L654" s="986" t="str">
        <f>IF(AK653="","",COUNTIF(AE670:AE784,G654))</f>
        <v/>
      </c>
      <c r="M654" s="986" t="str">
        <f>IF(AK653="","",COUNTIF(AF670:AG784,G654))</f>
        <v/>
      </c>
      <c r="N654" s="986" t="str">
        <f>IF(AK653="","",COUNTIF(AH670:AH784,G654))</f>
        <v/>
      </c>
      <c r="O654" s="986" t="str">
        <f>IF(AK653="","",SUMIF(V670:V784,G654,AB670:AB784)+SUMIF(Z670:Z784,G654,AD670:AD784))</f>
        <v/>
      </c>
      <c r="P654" s="986" t="str">
        <f>IF(AK653="","",SUMIF(V670:V784,G654,AD670:AD784)+SUMIF(Z670:Z784,G654,AB670:AB784))</f>
        <v/>
      </c>
      <c r="Q654" s="987" t="str">
        <f>IF(AK653="","",O654-P654)</f>
        <v/>
      </c>
      <c r="R654"/>
      <c r="S654"/>
      <c r="T654"/>
      <c r="U654"/>
      <c r="V654"/>
      <c r="W654" s="1"/>
      <c r="X654" s="1"/>
      <c r="Y654" s="1"/>
      <c r="Z654"/>
      <c r="AB654" s="964"/>
      <c r="AC654" s="964"/>
      <c r="AD654" s="964"/>
      <c r="AE654" s="964"/>
      <c r="AF654" s="964"/>
      <c r="AG654" s="964"/>
      <c r="AH654" s="964"/>
      <c r="AI654" s="964"/>
      <c r="AJ654" s="964"/>
      <c r="AK654" s="968" t="str">
        <f>IF(AK653="","",SMALL(C654:C667,1))</f>
        <v/>
      </c>
      <c r="AL654"/>
      <c r="AM654" s="16"/>
      <c r="AN654" s="943" t="str">
        <f>IF(AK653="","",INT(AK654/1000))</f>
        <v/>
      </c>
      <c r="AO654" s="33" t="str">
        <f>IF(AK653="","",VLOOKUP(AK654,C654:Q667,5,FALSE))</f>
        <v/>
      </c>
      <c r="AP654" s="33" t="str">
        <f>VLOOKUP(AK654,C654:Q667,8,FALSE)</f>
        <v/>
      </c>
      <c r="AQ654" s="33" t="str">
        <f>VLOOKUP(AK654,C654:Q667,9,FALSE)</f>
        <v/>
      </c>
      <c r="AR654" s="33" t="str">
        <f>VLOOKUP(AK654,C654:Q667,10,FALSE)</f>
        <v/>
      </c>
      <c r="AS654" s="33" t="str">
        <f>VLOOKUP(AK654,C654:Q667,11,FALSE)</f>
        <v/>
      </c>
      <c r="AT654" s="33" t="str">
        <f>VLOOKUP(AK654,C654:Q667,12,FALSE)</f>
        <v/>
      </c>
      <c r="AU654" s="33" t="str">
        <f>VLOOKUP(AK654,C654:Q667,13,FALSE)</f>
        <v/>
      </c>
      <c r="AV654" s="33" t="str">
        <f>VLOOKUP(AK654,C654:Q667,14,FALSE)</f>
        <v/>
      </c>
      <c r="AW654" s="944" t="str">
        <f>VLOOKUP(AK654,C654:Q667,15,FALSE)</f>
        <v/>
      </c>
      <c r="AX654"/>
      <c r="AY654"/>
      <c r="AZ654" s="1"/>
      <c r="BA654" s="1"/>
      <c r="BB654"/>
      <c r="BC654" s="6"/>
      <c r="BD654"/>
      <c r="BE654" s="1"/>
      <c r="BF654"/>
      <c r="BG654" s="16"/>
      <c r="BH654"/>
      <c r="BI654"/>
      <c r="BJ654"/>
      <c r="BK654"/>
      <c r="BL654"/>
      <c r="BM654"/>
      <c r="BN654"/>
      <c r="BO654"/>
      <c r="BP654"/>
      <c r="BQ654"/>
      <c r="BR654"/>
      <c r="BS654"/>
      <c r="BT654"/>
      <c r="BU654"/>
      <c r="BV654"/>
      <c r="BW654"/>
      <c r="BX654"/>
      <c r="BY654"/>
      <c r="BZ654"/>
      <c r="CA654" s="1396"/>
      <c r="CB654" s="1396"/>
      <c r="CC654"/>
      <c r="CD654"/>
      <c r="CE654"/>
    </row>
    <row r="655" spans="1:83" outlineLevel="1" x14ac:dyDescent="0.2">
      <c r="A655"/>
      <c r="B655" s="945">
        <v>2</v>
      </c>
      <c r="C655" s="977" t="str">
        <f>IF(AK653="","",RANK(F655,F654:F667)*1000+ROW())</f>
        <v/>
      </c>
      <c r="D655" s="978" t="str">
        <f t="shared" ref="D655:D667" si="330">IF(L655="","",CritClassInd1_Points*J655+CritClassInd1_Matches*L655+CritClassInd1_Attaque*O655+CritClassInd1_DiffButs*Q655)</f>
        <v/>
      </c>
      <c r="E655" s="978" t="str">
        <f>IF(L655="","",Nb_Diff_Part(D655,D654:D667,G655,G654:G667,AI670:AI784)*CritClassInd_DiffPart+Nb_Goal_Part(D655,D654:D667,G655,G654:G667,V670:Z784)*CritClassInd_GoalPart+Nb_Score_Part(D655,D654:D667,G655,G654:G667,V670:Z784)*CritClassInd_ScorePart)</f>
        <v/>
      </c>
      <c r="F655" s="979" t="str">
        <f t="shared" ref="F655:F667" si="331">IF(L655="","",D655+E655+CritClassInd2_Points*J655+CritClassInd2_Matches*L655+CritClassInd2_Attaque*O655+CritClassInd2_DiffButs*Q655+CritClassInd_Ranking*H655+I655)</f>
        <v/>
      </c>
      <c r="G655" s="39" t="s">
        <v>3911</v>
      </c>
      <c r="H655" s="501">
        <f t="shared" si="328"/>
        <v>0</v>
      </c>
      <c r="I655" s="39"/>
      <c r="J655" s="977" t="str">
        <f>IF(AK653="","",(L655*Points_Victoire)+M655*Points_Null)</f>
        <v/>
      </c>
      <c r="K655" s="988" t="str">
        <f t="shared" si="329"/>
        <v/>
      </c>
      <c r="L655" s="988" t="str">
        <f>IF(AK653="","",COUNTIF(AE670:AE784,G655))</f>
        <v/>
      </c>
      <c r="M655" s="988" t="str">
        <f>IF(AK653="","",COUNTIF(AF670:AG784,G655))</f>
        <v/>
      </c>
      <c r="N655" s="988" t="str">
        <f>IF(AK653="","",COUNTIF(AH670:AH784,G655))</f>
        <v/>
      </c>
      <c r="O655" s="988" t="str">
        <f>IF(AK653="","",SUMIF(V670:V784,G655,AB670:AB784)+SUMIF(Z670:Z784,G655,AD670:AD784))</f>
        <v/>
      </c>
      <c r="P655" s="988" t="str">
        <f>IF(AK653="","",SUMIF(V670:V784,G655,AD670:AD784)+SUMIF(Z670:Z784,G655,AB670:AB784))</f>
        <v/>
      </c>
      <c r="Q655" s="989" t="str">
        <f>IF(AK653="","",O655-P655)</f>
        <v/>
      </c>
      <c r="R655"/>
      <c r="S655"/>
      <c r="T655"/>
      <c r="U655"/>
      <c r="V655"/>
      <c r="W655" s="1"/>
      <c r="X655" s="1"/>
      <c r="Y655" s="1"/>
      <c r="Z655"/>
      <c r="AB655" s="964"/>
      <c r="AC655" s="964"/>
      <c r="AD655" s="964"/>
      <c r="AE655" s="964"/>
      <c r="AF655" s="964"/>
      <c r="AG655" s="964"/>
      <c r="AH655" s="964"/>
      <c r="AI655" s="964"/>
      <c r="AJ655" s="964"/>
      <c r="AK655" s="968" t="str">
        <f>IF(AK653="","",SMALL(C654:C667,2))</f>
        <v/>
      </c>
      <c r="AL655"/>
      <c r="AM655" s="16"/>
      <c r="AN655" s="946" t="str">
        <f>IF(AK653="","",INT(AK655/1000))</f>
        <v/>
      </c>
      <c r="AO655" s="42" t="str">
        <f>IF(AK653="","",VLOOKUP(AK655,C654:Q667,5,FALSE))</f>
        <v/>
      </c>
      <c r="AP655" s="42" t="str">
        <f>VLOOKUP(AK655,C654:Q667,8,FALSE)</f>
        <v/>
      </c>
      <c r="AQ655" s="42" t="str">
        <f>VLOOKUP(AK655,C654:Q667,9,FALSE)</f>
        <v/>
      </c>
      <c r="AR655" s="42" t="str">
        <f>VLOOKUP(AK655,C654:Q667,10,FALSE)</f>
        <v/>
      </c>
      <c r="AS655" s="42" t="str">
        <f>VLOOKUP(AK655,C654:Q667,11,FALSE)</f>
        <v/>
      </c>
      <c r="AT655" s="42" t="str">
        <f>VLOOKUP(AK655,C654:Q667,12,FALSE)</f>
        <v/>
      </c>
      <c r="AU655" s="42" t="str">
        <f>VLOOKUP(AK655,C654:Q667,13,FALSE)</f>
        <v/>
      </c>
      <c r="AV655" s="42" t="str">
        <f>VLOOKUP(AK655,C654:Q667,14,FALSE)</f>
        <v/>
      </c>
      <c r="AW655" s="947" t="str">
        <f>VLOOKUP(AK655,C654:Q667,15,FALSE)</f>
        <v/>
      </c>
      <c r="AX655"/>
      <c r="AY655"/>
      <c r="AZ655" s="1"/>
      <c r="BA655" s="1"/>
      <c r="BB655"/>
      <c r="BC655" s="6"/>
      <c r="BD655"/>
      <c r="BE655" s="1"/>
      <c r="BF655"/>
      <c r="BG655" s="16"/>
      <c r="BH655"/>
      <c r="BI655"/>
      <c r="BJ655"/>
      <c r="BK655"/>
      <c r="BL655"/>
      <c r="BM655"/>
      <c r="BN655"/>
      <c r="BO655"/>
      <c r="BP655"/>
      <c r="BQ655"/>
      <c r="BR655"/>
      <c r="BS655"/>
      <c r="BT655"/>
      <c r="BU655"/>
      <c r="BV655"/>
      <c r="BW655"/>
      <c r="BX655"/>
      <c r="BY655"/>
      <c r="BZ655"/>
      <c r="CA655" s="1396"/>
      <c r="CB655" s="1396"/>
      <c r="CC655"/>
      <c r="CD655"/>
      <c r="CE655"/>
    </row>
    <row r="656" spans="1:83" outlineLevel="1" x14ac:dyDescent="0.2">
      <c r="A656"/>
      <c r="B656" s="945">
        <v>3</v>
      </c>
      <c r="C656" s="977" t="str">
        <f>IF(AK653="","",RANK(F656,F654:F667)*1000+ROW())</f>
        <v/>
      </c>
      <c r="D656" s="978" t="str">
        <f t="shared" si="330"/>
        <v/>
      </c>
      <c r="E656" s="978" t="str">
        <f>IF(L656="","",Nb_Diff_Part(D656,D654:D667,G656,G654:G667,AI670:AI784)*CritClassInd_DiffPart+Nb_Goal_Part(D656,D654:D667,G656,G654:G667,V670:Z784)*CritClassInd_GoalPart+Nb_Score_Part(D656,D654:D667,G656,G654:G667,V670:Z784)*CritClassInd_ScorePart)</f>
        <v/>
      </c>
      <c r="F656" s="979" t="str">
        <f t="shared" si="331"/>
        <v/>
      </c>
      <c r="G656" s="39" t="s">
        <v>3912</v>
      </c>
      <c r="H656" s="501">
        <f t="shared" si="328"/>
        <v>0</v>
      </c>
      <c r="I656" s="39"/>
      <c r="J656" s="977" t="str">
        <f>IF(AK653="","",(L656*Points_Victoire)+M656*Points_Null)</f>
        <v/>
      </c>
      <c r="K656" s="988" t="str">
        <f t="shared" si="329"/>
        <v/>
      </c>
      <c r="L656" s="988" t="str">
        <f>IF(AK653="","",COUNTIF(AE670:AE784,G656))</f>
        <v/>
      </c>
      <c r="M656" s="988" t="str">
        <f>IF(AK653="","",COUNTIF(AF670:AG784,G656))</f>
        <v/>
      </c>
      <c r="N656" s="988" t="str">
        <f>IF(AK653="","",COUNTIF(AH670:AH784,G656))</f>
        <v/>
      </c>
      <c r="O656" s="988" t="str">
        <f>IF(AK653="","",SUMIF(V670:V784,G656,AB670:AB784)+SUMIF(Z670:Z784,G656,AD670:AD784))</f>
        <v/>
      </c>
      <c r="P656" s="988" t="str">
        <f>IF(AK653="","",SUMIF(V670:V784,G656,AD670:AD784)+SUMIF(Z670:Z784,G656,AB670:AB784))</f>
        <v/>
      </c>
      <c r="Q656" s="989" t="str">
        <f>IF(AK653="","",O656-P656)</f>
        <v/>
      </c>
      <c r="R656"/>
      <c r="S656"/>
      <c r="T656"/>
      <c r="U656"/>
      <c r="V656"/>
      <c r="W656" s="1"/>
      <c r="X656" s="1"/>
      <c r="Y656" s="1"/>
      <c r="Z656"/>
      <c r="AB656" s="964"/>
      <c r="AC656" s="964"/>
      <c r="AD656" s="964"/>
      <c r="AE656" s="964"/>
      <c r="AF656" s="964"/>
      <c r="AG656" s="964"/>
      <c r="AH656" s="964"/>
      <c r="AI656" s="964"/>
      <c r="AJ656" s="964"/>
      <c r="AK656" s="968" t="str">
        <f>IF(AK653="","",SMALL(C654:C667,3))</f>
        <v/>
      </c>
      <c r="AL656"/>
      <c r="AM656" s="16"/>
      <c r="AN656" s="946" t="str">
        <f>IF(AK653="","",INT(AK656/1000))</f>
        <v/>
      </c>
      <c r="AO656" s="42" t="str">
        <f>IF(AK653="","",VLOOKUP(AK656,C654:Q667,5,FALSE))</f>
        <v/>
      </c>
      <c r="AP656" s="42" t="str">
        <f>VLOOKUP(AK656,C654:Q667,8,FALSE)</f>
        <v/>
      </c>
      <c r="AQ656" s="42" t="str">
        <f>VLOOKUP(AK656,C654:Q667,9,FALSE)</f>
        <v/>
      </c>
      <c r="AR656" s="42" t="str">
        <f>VLOOKUP(AK656,C654:Q667,10,FALSE)</f>
        <v/>
      </c>
      <c r="AS656" s="42" t="str">
        <f>VLOOKUP(AK656,C654:Q667,11,FALSE)</f>
        <v/>
      </c>
      <c r="AT656" s="42" t="str">
        <f>VLOOKUP(AK656,C654:Q667,12,FALSE)</f>
        <v/>
      </c>
      <c r="AU656" s="42" t="str">
        <f>VLOOKUP(AK656,C654:Q667,13,FALSE)</f>
        <v/>
      </c>
      <c r="AV656" s="42" t="str">
        <f>VLOOKUP(AK656,C654:Q667,14,FALSE)</f>
        <v/>
      </c>
      <c r="AW656" s="947" t="str">
        <f>VLOOKUP(AK656,C654:Q667,15,FALSE)</f>
        <v/>
      </c>
      <c r="AX656"/>
      <c r="AY656"/>
      <c r="AZ656" s="1"/>
      <c r="BA656" s="1"/>
      <c r="BB656"/>
      <c r="BC656" s="6"/>
      <c r="BD656"/>
      <c r="BE656" s="1"/>
      <c r="BF656"/>
      <c r="BG656" s="16"/>
      <c r="BH656"/>
      <c r="BI656"/>
      <c r="BJ656"/>
      <c r="BK656"/>
      <c r="BL656"/>
      <c r="BM656"/>
      <c r="BN656"/>
      <c r="BO656"/>
      <c r="BP656"/>
      <c r="BQ656"/>
      <c r="BR656"/>
      <c r="BS656"/>
      <c r="BT656"/>
      <c r="BU656"/>
      <c r="BV656"/>
      <c r="BW656"/>
      <c r="BX656"/>
      <c r="BY656"/>
      <c r="BZ656"/>
      <c r="CA656" s="1396"/>
      <c r="CB656" s="1396"/>
      <c r="CC656"/>
      <c r="CD656"/>
      <c r="CE656"/>
    </row>
    <row r="657" spans="1:83" outlineLevel="1" x14ac:dyDescent="0.2">
      <c r="A657"/>
      <c r="B657" s="945">
        <v>4</v>
      </c>
      <c r="C657" s="977" t="str">
        <f>IF(AK653="","",RANK(F657,F654:F667)*1000+ROW())</f>
        <v/>
      </c>
      <c r="D657" s="978" t="str">
        <f t="shared" si="330"/>
        <v/>
      </c>
      <c r="E657" s="978" t="str">
        <f>IF(L657="","",Nb_Diff_Part(D657,D654:D667,G657,G654:G667,AI670:AI784)*CritClassInd_DiffPart+Nb_Goal_Part(D657,D654:D667,G657,G654:G667,V670:Z784)*CritClassInd_GoalPart+Nb_Score_Part(D657,D654:D667,G657,G654:G667,V670:Z784)*CritClassInd_ScorePart)</f>
        <v/>
      </c>
      <c r="F657" s="979" t="str">
        <f t="shared" si="331"/>
        <v/>
      </c>
      <c r="G657" s="39" t="s">
        <v>2710</v>
      </c>
      <c r="H657" s="501">
        <f t="shared" si="328"/>
        <v>0</v>
      </c>
      <c r="I657" s="39"/>
      <c r="J657" s="977" t="str">
        <f>IF(AK653="","",(L657*Points_Victoire)+M657*Points_Null)</f>
        <v/>
      </c>
      <c r="K657" s="988" t="str">
        <f t="shared" si="329"/>
        <v/>
      </c>
      <c r="L657" s="988" t="str">
        <f>IF(AK653="","",COUNTIF(AE670:AE784,G657))</f>
        <v/>
      </c>
      <c r="M657" s="988" t="str">
        <f>IF(AK653="","",COUNTIF(AF670:AG784,G657))</f>
        <v/>
      </c>
      <c r="N657" s="988" t="str">
        <f>IF(AK653="","",COUNTIF(AH670:AH784,G657))</f>
        <v/>
      </c>
      <c r="O657" s="988" t="str">
        <f>IF(AK653="","",SUMIF(V670:V784,G657,AB670:AB784)+SUMIF(Z670:Z784,G657,AD670:AD784))</f>
        <v/>
      </c>
      <c r="P657" s="988" t="str">
        <f>IF(AK653="","",SUMIF(V670:V784,G657,AD670:AD784)+SUMIF(Z670:Z784,G657,AB670:AB784))</f>
        <v/>
      </c>
      <c r="Q657" s="989" t="str">
        <f>IF(AK653="","",O657-P657)</f>
        <v/>
      </c>
      <c r="R657"/>
      <c r="S657"/>
      <c r="T657"/>
      <c r="U657"/>
      <c r="V657"/>
      <c r="W657" s="1"/>
      <c r="X657" s="1"/>
      <c r="Y657" s="1"/>
      <c r="Z657"/>
      <c r="AB657" s="964"/>
      <c r="AC657" s="964"/>
      <c r="AD657" s="964"/>
      <c r="AE657" s="964"/>
      <c r="AF657" s="964"/>
      <c r="AG657" s="964"/>
      <c r="AH657" s="964"/>
      <c r="AI657" s="964"/>
      <c r="AJ657" s="964"/>
      <c r="AK657" s="968" t="str">
        <f>IF(AK653="","",SMALL(C654:C667,4))</f>
        <v/>
      </c>
      <c r="AL657"/>
      <c r="AM657" s="16"/>
      <c r="AN657" s="946" t="str">
        <f>IF(AK653="","",INT(AK657/1000))</f>
        <v/>
      </c>
      <c r="AO657" s="42" t="str">
        <f>IF(AK653="","",VLOOKUP(AK657,C654:Q667,5,FALSE))</f>
        <v/>
      </c>
      <c r="AP657" s="42" t="str">
        <f>VLOOKUP(AK657,C654:Q667,8,FALSE)</f>
        <v/>
      </c>
      <c r="AQ657" s="42" t="str">
        <f>VLOOKUP(AK657,C654:Q667,9,FALSE)</f>
        <v/>
      </c>
      <c r="AR657" s="42" t="str">
        <f>VLOOKUP(AK657,C654:Q667,10,FALSE)</f>
        <v/>
      </c>
      <c r="AS657" s="42" t="str">
        <f>VLOOKUP(AK657,C654:Q667,11,FALSE)</f>
        <v/>
      </c>
      <c r="AT657" s="42" t="str">
        <f>VLOOKUP(AK657,C654:Q667,12,FALSE)</f>
        <v/>
      </c>
      <c r="AU657" s="42" t="str">
        <f>VLOOKUP(AK657,C654:Q667,13,FALSE)</f>
        <v/>
      </c>
      <c r="AV657" s="42" t="str">
        <f>VLOOKUP(AK657,C654:Q667,14,FALSE)</f>
        <v/>
      </c>
      <c r="AW657" s="947" t="str">
        <f>VLOOKUP(AK657,C654:Q667,15,FALSE)</f>
        <v/>
      </c>
      <c r="AX657"/>
      <c r="AY657"/>
      <c r="AZ657" s="1"/>
      <c r="BA657" s="1"/>
      <c r="BB657"/>
      <c r="BC657" s="6"/>
      <c r="BD657"/>
      <c r="BE657" s="1"/>
      <c r="BF657"/>
      <c r="BG657" s="16"/>
      <c r="BH657"/>
      <c r="BI657"/>
      <c r="BJ657"/>
      <c r="BK657"/>
      <c r="BL657"/>
      <c r="BM657"/>
      <c r="BN657"/>
      <c r="BO657"/>
      <c r="BP657"/>
      <c r="BQ657"/>
      <c r="BR657"/>
      <c r="BS657"/>
      <c r="BT657"/>
      <c r="BU657"/>
      <c r="BV657"/>
      <c r="BW657"/>
      <c r="BX657"/>
      <c r="BY657"/>
      <c r="BZ657"/>
      <c r="CA657" s="1396"/>
      <c r="CB657" s="1396"/>
      <c r="CC657"/>
      <c r="CD657"/>
      <c r="CE657"/>
    </row>
    <row r="658" spans="1:83" outlineLevel="1" x14ac:dyDescent="0.2">
      <c r="A658"/>
      <c r="B658" s="945">
        <v>5</v>
      </c>
      <c r="C658" s="977" t="str">
        <f>IF(AK653="","",RANK(F658,F654:F667)*1000+ROW())</f>
        <v/>
      </c>
      <c r="D658" s="978" t="str">
        <f t="shared" si="330"/>
        <v/>
      </c>
      <c r="E658" s="978" t="str">
        <f>IF(L658="","",Nb_Diff_Part(D658,D654:D667,G658,G654:G667,AI670:AI784)*CritClassInd_DiffPart+Nb_Goal_Part(D658,D654:D667,G658,G654:G667,V670:Z784)*CritClassInd_GoalPart+Nb_Score_Part(D658,D654:D667,G658,G654:G667,V670:Z784)*CritClassInd_ScorePart)</f>
        <v/>
      </c>
      <c r="F658" s="979" t="str">
        <f t="shared" si="331"/>
        <v/>
      </c>
      <c r="G658" s="39" t="s">
        <v>3913</v>
      </c>
      <c r="H658" s="501">
        <f t="shared" si="328"/>
        <v>0</v>
      </c>
      <c r="I658" s="39"/>
      <c r="J658" s="977" t="str">
        <f>IF(AK653="","",(L658*Points_Victoire)+M658*Points_Null)</f>
        <v/>
      </c>
      <c r="K658" s="988" t="str">
        <f t="shared" si="329"/>
        <v/>
      </c>
      <c r="L658" s="988" t="str">
        <f>IF(AK653="","",COUNTIF(AE670:AE784,G658))</f>
        <v/>
      </c>
      <c r="M658" s="988" t="str">
        <f>IF(AK653="","",COUNTIF(AF670:AG784,G658))</f>
        <v/>
      </c>
      <c r="N658" s="988" t="str">
        <f>IF(AK653="","",COUNTIF(AH670:AH784,G658))</f>
        <v/>
      </c>
      <c r="O658" s="988" t="str">
        <f>IF(AK653="","",SUMIF(V670:V784,G658,AB670:AB784)+SUMIF(Z670:Z784,G658,AD670:AD784))</f>
        <v/>
      </c>
      <c r="P658" s="988" t="str">
        <f>IF(AK653="","",SUMIF(V670:V784,G658,AD670:AD784)+SUMIF(Z670:Z784,G658,AB670:AB784))</f>
        <v/>
      </c>
      <c r="Q658" s="989" t="str">
        <f>IF(AK653="","",O658-P658)</f>
        <v/>
      </c>
      <c r="R658"/>
      <c r="S658"/>
      <c r="T658"/>
      <c r="U658"/>
      <c r="V658"/>
      <c r="W658" s="1"/>
      <c r="X658" s="1"/>
      <c r="Y658" s="1"/>
      <c r="Z658"/>
      <c r="AB658" s="964"/>
      <c r="AC658" s="964"/>
      <c r="AD658" s="964"/>
      <c r="AE658" s="964"/>
      <c r="AF658" s="964"/>
      <c r="AG658" s="964"/>
      <c r="AH658" s="964"/>
      <c r="AI658" s="964"/>
      <c r="AJ658" s="964"/>
      <c r="AK658" s="968" t="str">
        <f>IF(AK653="","",SMALL(C654:C667,5))</f>
        <v/>
      </c>
      <c r="AL658"/>
      <c r="AM658" s="16"/>
      <c r="AN658" s="946" t="str">
        <f>IF(AK653="","",INT(AK658/1000))</f>
        <v/>
      </c>
      <c r="AO658" s="42" t="str">
        <f>IF(AK653="","",VLOOKUP(AK658,C654:Q667,5,FALSE))</f>
        <v/>
      </c>
      <c r="AP658" s="42" t="str">
        <f>VLOOKUP(AK658,C654:Q667,8,FALSE)</f>
        <v/>
      </c>
      <c r="AQ658" s="42" t="str">
        <f>VLOOKUP(AK658,C654:Q667,9,FALSE)</f>
        <v/>
      </c>
      <c r="AR658" s="42" t="str">
        <f>VLOOKUP(AK658,C654:Q667,10,FALSE)</f>
        <v/>
      </c>
      <c r="AS658" s="42" t="str">
        <f>VLOOKUP(AK658,C654:Q667,11,FALSE)</f>
        <v/>
      </c>
      <c r="AT658" s="42" t="str">
        <f>VLOOKUP(AK658,C654:Q667,12,FALSE)</f>
        <v/>
      </c>
      <c r="AU658" s="42" t="str">
        <f>VLOOKUP(AK658,C654:Q667,13,FALSE)</f>
        <v/>
      </c>
      <c r="AV658" s="42" t="str">
        <f>VLOOKUP(AK658,C654:Q667,14,FALSE)</f>
        <v/>
      </c>
      <c r="AW658" s="947" t="str">
        <f>VLOOKUP(AK658,C654:Q667,15,FALSE)</f>
        <v/>
      </c>
      <c r="AX658"/>
      <c r="AY658"/>
      <c r="AZ658" s="1"/>
      <c r="BA658" s="1"/>
      <c r="BB658"/>
      <c r="BC658" s="6"/>
      <c r="BD658"/>
      <c r="BE658" s="1"/>
      <c r="BF658"/>
      <c r="BG658" s="16"/>
      <c r="BH658"/>
      <c r="BI658"/>
      <c r="BJ658"/>
      <c r="BK658"/>
      <c r="BL658"/>
      <c r="BM658"/>
      <c r="BN658"/>
      <c r="BO658"/>
      <c r="BP658"/>
      <c r="BQ658"/>
      <c r="BR658"/>
      <c r="BS658"/>
      <c r="BT658"/>
      <c r="BU658"/>
      <c r="BV658"/>
      <c r="BW658"/>
      <c r="BX658"/>
      <c r="BY658"/>
      <c r="BZ658"/>
      <c r="CA658" s="1396"/>
      <c r="CB658" s="1396"/>
      <c r="CC658"/>
      <c r="CD658"/>
      <c r="CE658"/>
    </row>
    <row r="659" spans="1:83" outlineLevel="1" x14ac:dyDescent="0.2">
      <c r="A659"/>
      <c r="B659" s="945">
        <v>6</v>
      </c>
      <c r="C659" s="977" t="str">
        <f>IF(AK653="","",RANK(F659,F654:F667)*1000+ROW())</f>
        <v/>
      </c>
      <c r="D659" s="978" t="str">
        <f t="shared" si="330"/>
        <v/>
      </c>
      <c r="E659" s="978" t="str">
        <f>IF(L659="","",Nb_Diff_Part(D659,D654:D667,G659,G654:G667,AI670:AI784)*CritClassInd_DiffPart+Nb_Goal_Part(D659,D654:D667,G659,G654:G667,V670:Z784)*CritClassInd_GoalPart+Nb_Score_Part(D659,D654:D667,G659,G654:G667,V670:Z784)*CritClassInd_ScorePart)</f>
        <v/>
      </c>
      <c r="F659" s="979" t="str">
        <f t="shared" si="331"/>
        <v/>
      </c>
      <c r="G659" s="39" t="s">
        <v>2711</v>
      </c>
      <c r="H659" s="501">
        <f t="shared" si="328"/>
        <v>0</v>
      </c>
      <c r="I659" s="39"/>
      <c r="J659" s="977" t="str">
        <f>IF(AK653="","",(L659*Points_Victoire)+M659*Points_Null)</f>
        <v/>
      </c>
      <c r="K659" s="988" t="str">
        <f t="shared" si="329"/>
        <v/>
      </c>
      <c r="L659" s="988" t="str">
        <f>IF(AK653="","",COUNTIF(AE670:AE784,G659))</f>
        <v/>
      </c>
      <c r="M659" s="988" t="str">
        <f>IF(AK653="","",COUNTIF(AF670:AG784,G659))</f>
        <v/>
      </c>
      <c r="N659" s="988" t="str">
        <f>IF(AK653="","",COUNTIF(AH670:AH784,G659))</f>
        <v/>
      </c>
      <c r="O659" s="988" t="str">
        <f>IF(AK653="","",SUMIF(V670:V784,G659,AB670:AB784)+SUMIF(Z670:Z784,G659,AD670:AD784))</f>
        <v/>
      </c>
      <c r="P659" s="988" t="str">
        <f>IF(AK653="","",SUMIF(V670:V784,G659,AD670:AD784)+SUMIF(Z670:Z784,G659,AB670:AB784))</f>
        <v/>
      </c>
      <c r="Q659" s="989" t="str">
        <f>IF(AK653="","",O659-P659)</f>
        <v/>
      </c>
      <c r="R659"/>
      <c r="S659"/>
      <c r="T659"/>
      <c r="U659"/>
      <c r="V659"/>
      <c r="W659" s="1"/>
      <c r="X659" s="1"/>
      <c r="Y659" s="1"/>
      <c r="Z659"/>
      <c r="AB659" s="964"/>
      <c r="AC659" s="964"/>
      <c r="AD659" s="964"/>
      <c r="AE659" s="964"/>
      <c r="AF659" s="964"/>
      <c r="AG659" s="964"/>
      <c r="AH659" s="964"/>
      <c r="AI659" s="964"/>
      <c r="AJ659" s="964"/>
      <c r="AK659" s="968" t="str">
        <f>IF(AK653="","",SMALL(C654:C667,6))</f>
        <v/>
      </c>
      <c r="AL659"/>
      <c r="AM659" s="16"/>
      <c r="AN659" s="946" t="str">
        <f>IF(AK653="","",INT(AK659/1000))</f>
        <v/>
      </c>
      <c r="AO659" s="42" t="str">
        <f>IF(AK653="","",VLOOKUP(AK659,C654:Q667,5,FALSE))</f>
        <v/>
      </c>
      <c r="AP659" s="42" t="str">
        <f>VLOOKUP(AK659,C654:Q667,8,FALSE)</f>
        <v/>
      </c>
      <c r="AQ659" s="42" t="str">
        <f>VLOOKUP(AK659,C654:Q667,9,FALSE)</f>
        <v/>
      </c>
      <c r="AR659" s="42" t="str">
        <f>VLOOKUP(AK659,C654:Q667,10,FALSE)</f>
        <v/>
      </c>
      <c r="AS659" s="42" t="str">
        <f>VLOOKUP(AK659,C654:Q667,11,FALSE)</f>
        <v/>
      </c>
      <c r="AT659" s="42" t="str">
        <f>VLOOKUP(AK659,C654:Q667,12,FALSE)</f>
        <v/>
      </c>
      <c r="AU659" s="42" t="str">
        <f>VLOOKUP(AK659,C654:Q667,13,FALSE)</f>
        <v/>
      </c>
      <c r="AV659" s="42" t="str">
        <f>VLOOKUP(AK659,C654:Q667,14,FALSE)</f>
        <v/>
      </c>
      <c r="AW659" s="947" t="str">
        <f>VLOOKUP(AK659,C654:Q667,15,FALSE)</f>
        <v/>
      </c>
      <c r="AX659"/>
      <c r="AY659"/>
      <c r="AZ659" s="1"/>
      <c r="BA659" s="1"/>
      <c r="BB659"/>
      <c r="BC659" s="6"/>
      <c r="BD659"/>
      <c r="BE659" s="1"/>
      <c r="BF659"/>
      <c r="BG659" s="16"/>
      <c r="BH659"/>
      <c r="BI659"/>
      <c r="BJ659"/>
      <c r="BK659"/>
      <c r="BL659"/>
      <c r="BM659"/>
      <c r="BN659"/>
      <c r="BO659"/>
      <c r="BP659"/>
      <c r="BQ659"/>
      <c r="BR659"/>
      <c r="BS659"/>
      <c r="BT659"/>
      <c r="BU659"/>
      <c r="BV659"/>
      <c r="BW659"/>
      <c r="BX659"/>
      <c r="BY659"/>
      <c r="BZ659"/>
      <c r="CA659" s="1396"/>
      <c r="CB659" s="1396"/>
      <c r="CC659"/>
      <c r="CD659"/>
      <c r="CE659"/>
    </row>
    <row r="660" spans="1:83" outlineLevel="1" x14ac:dyDescent="0.2">
      <c r="A660"/>
      <c r="B660" s="945">
        <v>7</v>
      </c>
      <c r="C660" s="977" t="str">
        <f>IF(AK653="","",RANK(F660,F654:F667)*1000+ROW())</f>
        <v/>
      </c>
      <c r="D660" s="978" t="str">
        <f t="shared" si="330"/>
        <v/>
      </c>
      <c r="E660" s="978" t="str">
        <f>IF(L660="","",Nb_Diff_Part(D660,D654:D667,G660,G654:G667,AI670:AI784)*CritClassInd_DiffPart+Nb_Goal_Part(D660,D654:D667,G660,G654:G667,V670:Z784)*CritClassInd_GoalPart+Nb_Score_Part(D660,D654:D667,G660,G654:G667,V670:Z784)*CritClassInd_ScorePart)</f>
        <v/>
      </c>
      <c r="F660" s="979" t="str">
        <f t="shared" si="331"/>
        <v/>
      </c>
      <c r="G660" s="39" t="s">
        <v>790</v>
      </c>
      <c r="H660" s="501">
        <f t="shared" si="328"/>
        <v>0</v>
      </c>
      <c r="I660" s="39"/>
      <c r="J660" s="977" t="str">
        <f>IF(AK653="","",(L660*Points_Victoire)+M660*Points_Null)</f>
        <v/>
      </c>
      <c r="K660" s="988" t="str">
        <f t="shared" si="329"/>
        <v/>
      </c>
      <c r="L660" s="988" t="str">
        <f>IF(AK653="","",COUNTIF(AE670:AE784,G660))</f>
        <v/>
      </c>
      <c r="M660" s="988" t="str">
        <f>IF(AK653="","",COUNTIF(AF670:AG784,G660))</f>
        <v/>
      </c>
      <c r="N660" s="988" t="str">
        <f>IF(AK653="","",COUNTIF(AH670:AH784,G660))</f>
        <v/>
      </c>
      <c r="O660" s="988" t="str">
        <f>IF(AK653="","",SUMIF(V670:V784,G660,AB670:AB784)+SUMIF(Z670:Z784,G660,AD670:AD784))</f>
        <v/>
      </c>
      <c r="P660" s="988" t="str">
        <f>IF(AK653="","",SUMIF(V670:V784,G660,AD670:AD784)+SUMIF(Z670:Z784,G660,AB670:AB784))</f>
        <v/>
      </c>
      <c r="Q660" s="989" t="str">
        <f>IF(AK653="","",O660-P660)</f>
        <v/>
      </c>
      <c r="R660"/>
      <c r="S660"/>
      <c r="T660"/>
      <c r="U660"/>
      <c r="V660"/>
      <c r="W660" s="1"/>
      <c r="X660" s="1"/>
      <c r="Y660" s="1"/>
      <c r="Z660"/>
      <c r="AB660" s="964"/>
      <c r="AC660" s="964"/>
      <c r="AD660" s="964"/>
      <c r="AE660" s="964"/>
      <c r="AF660" s="964"/>
      <c r="AG660" s="964"/>
      <c r="AH660" s="964"/>
      <c r="AI660" s="964"/>
      <c r="AJ660" s="964"/>
      <c r="AK660" s="968" t="str">
        <f>IF(AK653="","",SMALL(C654:C667,7))</f>
        <v/>
      </c>
      <c r="AL660"/>
      <c r="AM660" s="16"/>
      <c r="AN660" s="946" t="str">
        <f>IF(AK653="","",INT(AK660/1000))</f>
        <v/>
      </c>
      <c r="AO660" s="42" t="str">
        <f>IF(AK653="","",VLOOKUP(AK660,C654:Q667,5,FALSE))</f>
        <v/>
      </c>
      <c r="AP660" s="42" t="str">
        <f>VLOOKUP(AK660,C654:Q667,8,FALSE)</f>
        <v/>
      </c>
      <c r="AQ660" s="42" t="str">
        <f>VLOOKUP(AK660,C654:Q667,9,FALSE)</f>
        <v/>
      </c>
      <c r="AR660" s="42" t="str">
        <f>VLOOKUP(AK660,C654:Q667,10,FALSE)</f>
        <v/>
      </c>
      <c r="AS660" s="42" t="str">
        <f>VLOOKUP(AK660,C654:Q667,11,FALSE)</f>
        <v/>
      </c>
      <c r="AT660" s="42" t="str">
        <f>VLOOKUP(AK660,C654:Q667,12,FALSE)</f>
        <v/>
      </c>
      <c r="AU660" s="42" t="str">
        <f>VLOOKUP(AK660,C654:Q667,13,FALSE)</f>
        <v/>
      </c>
      <c r="AV660" s="42" t="str">
        <f>VLOOKUP(AK660,C654:Q667,14,FALSE)</f>
        <v/>
      </c>
      <c r="AW660" s="947" t="str">
        <f>VLOOKUP(AK660,C654:Q667,15,FALSE)</f>
        <v/>
      </c>
      <c r="AX660"/>
      <c r="AY660"/>
      <c r="AZ660" s="1"/>
      <c r="BA660" s="1"/>
      <c r="BB660"/>
      <c r="BC660" s="6"/>
      <c r="BD660"/>
      <c r="BE660" s="1"/>
      <c r="BF660"/>
      <c r="BG660" s="16"/>
      <c r="BH660"/>
      <c r="BI660"/>
      <c r="BJ660"/>
      <c r="BK660"/>
      <c r="BL660"/>
      <c r="BM660"/>
      <c r="BN660"/>
      <c r="BO660"/>
      <c r="BP660"/>
      <c r="BQ660"/>
      <c r="BR660"/>
      <c r="BS660"/>
      <c r="BT660"/>
      <c r="BU660"/>
      <c r="BV660"/>
      <c r="BW660"/>
      <c r="BX660"/>
      <c r="BY660"/>
      <c r="BZ660"/>
      <c r="CA660" s="1396"/>
      <c r="CB660" s="1396"/>
      <c r="CC660"/>
      <c r="CD660"/>
      <c r="CE660"/>
    </row>
    <row r="661" spans="1:83" outlineLevel="1" x14ac:dyDescent="0.2">
      <c r="A661"/>
      <c r="B661" s="945">
        <v>8</v>
      </c>
      <c r="C661" s="977" t="str">
        <f>IF(AK653="","",RANK(F661,F654:F667)*1000+ROW())</f>
        <v/>
      </c>
      <c r="D661" s="978" t="str">
        <f t="shared" si="330"/>
        <v/>
      </c>
      <c r="E661" s="978" t="str">
        <f>IF(L661="","",Nb_Diff_Part(D661,D654:D667,G661,G654:G667,AI670:AI784)*CritClassInd_DiffPart+Nb_Goal_Part(D661,D654:D667,G661,G654:G667,V670:Z784)*CritClassInd_GoalPart+Nb_Score_Part(D661,D654:D667,G661,G654:G667,V670:Z784)*CritClassInd_ScorePart)</f>
        <v/>
      </c>
      <c r="F661" s="979" t="str">
        <f t="shared" si="331"/>
        <v/>
      </c>
      <c r="G661" s="39" t="s">
        <v>3914</v>
      </c>
      <c r="H661" s="501">
        <f t="shared" si="328"/>
        <v>0</v>
      </c>
      <c r="I661" s="39"/>
      <c r="J661" s="977" t="str">
        <f>IF(AK653="","",(L661*Points_Victoire)+M661*Points_Null)</f>
        <v/>
      </c>
      <c r="K661" s="988" t="str">
        <f t="shared" si="329"/>
        <v/>
      </c>
      <c r="L661" s="988" t="str">
        <f>IF(AK653="","",COUNTIF(AE670:AE784,G661))</f>
        <v/>
      </c>
      <c r="M661" s="988" t="str">
        <f>IF(AK653="","",COUNTIF(AF670:AG784,G661))</f>
        <v/>
      </c>
      <c r="N661" s="988" t="str">
        <f>IF(AK653="","",COUNTIF(AH670:AH784,G661))</f>
        <v/>
      </c>
      <c r="O661" s="988" t="str">
        <f>IF(AK653="","",SUMIF(V670:V784,G661,AB670:AB784)+SUMIF(Z670:Z784,G661,AD670:AD784))</f>
        <v/>
      </c>
      <c r="P661" s="988" t="str">
        <f>IF(AK653="","",SUMIF(V670:V784,G661,AD670:AD784)+SUMIF(Z670:Z784,G661,AB670:AB784))</f>
        <v/>
      </c>
      <c r="Q661" s="989" t="str">
        <f>IF(AK653="","",O661-P661)</f>
        <v/>
      </c>
      <c r="R661"/>
      <c r="S661"/>
      <c r="T661"/>
      <c r="U661"/>
      <c r="V661"/>
      <c r="W661" s="1"/>
      <c r="X661" s="1"/>
      <c r="Y661" s="1"/>
      <c r="Z661"/>
      <c r="AB661" s="964"/>
      <c r="AC661" s="964"/>
      <c r="AD661" s="964"/>
      <c r="AE661" s="964"/>
      <c r="AF661" s="964"/>
      <c r="AG661" s="964"/>
      <c r="AH661" s="964"/>
      <c r="AI661" s="964"/>
      <c r="AJ661" s="964"/>
      <c r="AK661" s="968" t="str">
        <f>IF(AK653="","",SMALL(C654:C667,8))</f>
        <v/>
      </c>
      <c r="AL661"/>
      <c r="AM661" s="16"/>
      <c r="AN661" s="946" t="str">
        <f>IF(AK653="","",INT(AK661/1000))</f>
        <v/>
      </c>
      <c r="AO661" s="42" t="str">
        <f>IF(AK653="","",VLOOKUP(AK661,C654:Q667,5,FALSE))</f>
        <v/>
      </c>
      <c r="AP661" s="42" t="str">
        <f>VLOOKUP(AK661,C654:Q667,8,FALSE)</f>
        <v/>
      </c>
      <c r="AQ661" s="42" t="str">
        <f>VLOOKUP(AK661,C654:Q667,9,FALSE)</f>
        <v/>
      </c>
      <c r="AR661" s="42" t="str">
        <f>VLOOKUP(AK661,C654:Q667,10,FALSE)</f>
        <v/>
      </c>
      <c r="AS661" s="42" t="str">
        <f>VLOOKUP(AK661,C654:Q667,11,FALSE)</f>
        <v/>
      </c>
      <c r="AT661" s="42" t="str">
        <f>VLOOKUP(AK661,C654:Q667,12,FALSE)</f>
        <v/>
      </c>
      <c r="AU661" s="42" t="str">
        <f>VLOOKUP(AK661,C654:Q667,13,FALSE)</f>
        <v/>
      </c>
      <c r="AV661" s="42" t="str">
        <f>VLOOKUP(AK661,C654:Q667,14,FALSE)</f>
        <v/>
      </c>
      <c r="AW661" s="947" t="str">
        <f>VLOOKUP(AK661,C654:Q667,15,FALSE)</f>
        <v/>
      </c>
      <c r="AX661"/>
      <c r="AY661"/>
      <c r="AZ661" s="1"/>
      <c r="BA661" s="1"/>
      <c r="BB661"/>
      <c r="BC661" s="6"/>
      <c r="BD661"/>
      <c r="BE661" s="1"/>
      <c r="BF661"/>
      <c r="BG661" s="16"/>
      <c r="BH661"/>
      <c r="BI661"/>
      <c r="BJ661"/>
      <c r="BK661"/>
      <c r="BL661"/>
      <c r="BM661"/>
      <c r="BN661"/>
      <c r="BO661"/>
      <c r="BP661"/>
      <c r="BQ661"/>
      <c r="BR661"/>
      <c r="BS661"/>
      <c r="BT661"/>
      <c r="BU661"/>
      <c r="BV661"/>
      <c r="BW661"/>
      <c r="BX661"/>
      <c r="BY661"/>
      <c r="BZ661"/>
      <c r="CA661" s="1396"/>
      <c r="CB661" s="1396"/>
      <c r="CC661"/>
      <c r="CD661"/>
      <c r="CE661"/>
    </row>
    <row r="662" spans="1:83" outlineLevel="1" x14ac:dyDescent="0.2">
      <c r="A662"/>
      <c r="B662" s="945">
        <v>9</v>
      </c>
      <c r="C662" s="977" t="str">
        <f>IF(AK653="","",RANK(F662,F654:F667)*1000+ROW())</f>
        <v/>
      </c>
      <c r="D662" s="978" t="str">
        <f t="shared" si="330"/>
        <v/>
      </c>
      <c r="E662" s="978" t="str">
        <f>IF(L662="","",Nb_Diff_Part(D662,D654:D667,G662,G654:G667,AI670:AI784)*CritClassInd_DiffPart+Nb_Goal_Part(D662,D654:D667,G662,G654:G667,V670:Z784)*CritClassInd_GoalPart+Nb_Score_Part(D662,D654:D667,G662,G654:G667,V670:Z784)*CritClassInd_ScorePart)</f>
        <v/>
      </c>
      <c r="F662" s="979" t="str">
        <f t="shared" si="331"/>
        <v/>
      </c>
      <c r="G662" s="39" t="s">
        <v>3915</v>
      </c>
      <c r="H662" s="501">
        <f t="shared" si="328"/>
        <v>0</v>
      </c>
      <c r="I662" s="39"/>
      <c r="J662" s="977" t="str">
        <f>IF(AK653="","",(L662*Points_Victoire)+M662*Points_Null)</f>
        <v/>
      </c>
      <c r="K662" s="988" t="str">
        <f t="shared" si="329"/>
        <v/>
      </c>
      <c r="L662" s="988" t="str">
        <f>IF(AK653="","",COUNTIF(AE670:AE784,G662))</f>
        <v/>
      </c>
      <c r="M662" s="988" t="str">
        <f>IF(AK653="","",COUNTIF(AF670:AG784,G662))</f>
        <v/>
      </c>
      <c r="N662" s="988" t="str">
        <f>IF(AK653="","",COUNTIF(AH670:AH784,G662))</f>
        <v/>
      </c>
      <c r="O662" s="988" t="str">
        <f>IF(AK653="","",SUMIF(V670:V784,G662,AB670:AB784)+SUMIF(Z670:Z784,G662,AD670:AD784))</f>
        <v/>
      </c>
      <c r="P662" s="988" t="str">
        <f>IF(AK653="","",SUMIF(V670:V784,G662,AD670:AD784)+SUMIF(Z670:Z784,G662,AB670:AB784))</f>
        <v/>
      </c>
      <c r="Q662" s="989" t="str">
        <f>IF(AK653="","",O662-P662)</f>
        <v/>
      </c>
      <c r="R662"/>
      <c r="S662"/>
      <c r="T662"/>
      <c r="U662"/>
      <c r="V662"/>
      <c r="W662" s="1"/>
      <c r="X662" s="1"/>
      <c r="Y662" s="1"/>
      <c r="Z662"/>
      <c r="AB662" s="964"/>
      <c r="AC662" s="964"/>
      <c r="AD662" s="964"/>
      <c r="AE662" s="964"/>
      <c r="AF662" s="964"/>
      <c r="AG662" s="964"/>
      <c r="AH662" s="964"/>
      <c r="AI662" s="964"/>
      <c r="AJ662" s="964"/>
      <c r="AK662" s="968" t="str">
        <f>IF(AK653="","",SMALL(C654:C667,9))</f>
        <v/>
      </c>
      <c r="AL662"/>
      <c r="AM662" s="16"/>
      <c r="AN662" s="946" t="str">
        <f>IF(AK653="","",INT(AK662/1000))</f>
        <v/>
      </c>
      <c r="AO662" s="42" t="str">
        <f>IF(AK653="","",VLOOKUP(AK662,C654:Q667,5,FALSE))</f>
        <v/>
      </c>
      <c r="AP662" s="42" t="str">
        <f>VLOOKUP(AK662,C654:Q667,8,FALSE)</f>
        <v/>
      </c>
      <c r="AQ662" s="42" t="str">
        <f>VLOOKUP(AK662,C654:Q667,9,FALSE)</f>
        <v/>
      </c>
      <c r="AR662" s="42" t="str">
        <f>VLOOKUP(AK662,C654:Q667,10,FALSE)</f>
        <v/>
      </c>
      <c r="AS662" s="42" t="str">
        <f>VLOOKUP(AK662,C654:Q667,11,FALSE)</f>
        <v/>
      </c>
      <c r="AT662" s="42" t="str">
        <f>VLOOKUP(AK662,C654:Q667,12,FALSE)</f>
        <v/>
      </c>
      <c r="AU662" s="42" t="str">
        <f>VLOOKUP(AK662,C654:Q667,13,FALSE)</f>
        <v/>
      </c>
      <c r="AV662" s="42" t="str">
        <f>VLOOKUP(AK662,C654:Q667,14,FALSE)</f>
        <v/>
      </c>
      <c r="AW662" s="947" t="str">
        <f>VLOOKUP(AK662,C654:Q667,15,FALSE)</f>
        <v/>
      </c>
      <c r="AX662"/>
      <c r="AY662"/>
      <c r="AZ662" s="1"/>
      <c r="BA662" s="1"/>
      <c r="BB662"/>
      <c r="BC662" s="6"/>
      <c r="BD662"/>
      <c r="BE662" s="1"/>
      <c r="BF662"/>
      <c r="BG662" s="16"/>
      <c r="BH662"/>
      <c r="BI662"/>
      <c r="BJ662"/>
      <c r="BK662"/>
      <c r="BL662"/>
      <c r="BM662"/>
      <c r="BN662"/>
      <c r="BO662"/>
      <c r="BP662"/>
      <c r="BQ662"/>
      <c r="BR662"/>
      <c r="BS662"/>
      <c r="BT662"/>
      <c r="BU662"/>
      <c r="BV662"/>
      <c r="BW662"/>
      <c r="BX662"/>
      <c r="BY662"/>
      <c r="BZ662"/>
      <c r="CA662" s="1396"/>
      <c r="CB662" s="1396"/>
      <c r="CC662"/>
      <c r="CD662"/>
      <c r="CE662"/>
    </row>
    <row r="663" spans="1:83" outlineLevel="1" x14ac:dyDescent="0.2">
      <c r="A663"/>
      <c r="B663" s="945">
        <v>10</v>
      </c>
      <c r="C663" s="977" t="str">
        <f>IF(AK653="","",RANK(F663,F654:F667)*1000+ROW())</f>
        <v/>
      </c>
      <c r="D663" s="978" t="str">
        <f t="shared" si="330"/>
        <v/>
      </c>
      <c r="E663" s="978" t="str">
        <f>IF(L663="","",Nb_Diff_Part(D663,D654:D667,G663,G654:G667,AI670:AI784)*CritClassInd_DiffPart+Nb_Goal_Part(D663,D654:D667,G663,G654:G667,V670:Z784)*CritClassInd_GoalPart+Nb_Score_Part(D663,D654:D667,G663,G654:G667,V670:Z784)*CritClassInd_ScorePart)</f>
        <v/>
      </c>
      <c r="F663" s="979" t="str">
        <f t="shared" si="331"/>
        <v/>
      </c>
      <c r="G663" s="39" t="s">
        <v>789</v>
      </c>
      <c r="H663" s="501">
        <f t="shared" si="328"/>
        <v>0</v>
      </c>
      <c r="I663" s="39"/>
      <c r="J663" s="977" t="str">
        <f>IF(AK653="","",(L663*Points_Victoire)+M663*Points_Null)</f>
        <v/>
      </c>
      <c r="K663" s="988" t="str">
        <f t="shared" si="329"/>
        <v/>
      </c>
      <c r="L663" s="988" t="str">
        <f>IF(AK653="","",COUNTIF(AE670:AE784,G663))</f>
        <v/>
      </c>
      <c r="M663" s="988" t="str">
        <f>IF(AK653="","",COUNTIF(AF670:AG784,G663))</f>
        <v/>
      </c>
      <c r="N663" s="988" t="str">
        <f>IF(AK653="","",COUNTIF(AH670:AH784,G663))</f>
        <v/>
      </c>
      <c r="O663" s="988" t="str">
        <f>IF(AK653="","",SUMIF(V670:V784,G663,AB670:AB784)+SUMIF(Z670:Z784,G663,AD670:AD784))</f>
        <v/>
      </c>
      <c r="P663" s="988" t="str">
        <f>IF(AK653="","",SUMIF(V670:V784,G663,AD670:AD784)+SUMIF(Z670:Z784,G663,AB670:AB784))</f>
        <v/>
      </c>
      <c r="Q663" s="989" t="str">
        <f>IF(AK653="","",O663-P663)</f>
        <v/>
      </c>
      <c r="R663"/>
      <c r="S663"/>
      <c r="T663"/>
      <c r="U663"/>
      <c r="V663"/>
      <c r="W663" s="1"/>
      <c r="X663" s="1"/>
      <c r="Y663" s="1"/>
      <c r="Z663"/>
      <c r="AB663" s="964"/>
      <c r="AC663" s="964"/>
      <c r="AD663" s="964"/>
      <c r="AE663" s="964"/>
      <c r="AF663" s="964"/>
      <c r="AG663" s="964"/>
      <c r="AH663" s="964"/>
      <c r="AI663" s="964"/>
      <c r="AJ663" s="964"/>
      <c r="AK663" s="968" t="str">
        <f>IF(AK653="","",SMALL(C654:C667,10))</f>
        <v/>
      </c>
      <c r="AL663"/>
      <c r="AM663" s="16"/>
      <c r="AN663" s="946" t="str">
        <f>IF(AK653="","",INT(AK663/1000))</f>
        <v/>
      </c>
      <c r="AO663" s="42" t="str">
        <f>IF(AK653="","",VLOOKUP(AK663,C654:Q667,5,FALSE))</f>
        <v/>
      </c>
      <c r="AP663" s="42" t="str">
        <f>VLOOKUP(AK663,C654:Q667,8,FALSE)</f>
        <v/>
      </c>
      <c r="AQ663" s="42" t="str">
        <f>VLOOKUP(AK663,C654:Q667,9,FALSE)</f>
        <v/>
      </c>
      <c r="AR663" s="42" t="str">
        <f>VLOOKUP(AK663,C654:Q667,10,FALSE)</f>
        <v/>
      </c>
      <c r="AS663" s="42" t="str">
        <f>VLOOKUP(AK663,C654:Q667,11,FALSE)</f>
        <v/>
      </c>
      <c r="AT663" s="42" t="str">
        <f>VLOOKUP(AK663,C654:Q667,12,FALSE)</f>
        <v/>
      </c>
      <c r="AU663" s="42" t="str">
        <f>VLOOKUP(AK663,C654:Q667,13,FALSE)</f>
        <v/>
      </c>
      <c r="AV663" s="42" t="str">
        <f>VLOOKUP(AK663,C654:Q667,14,FALSE)</f>
        <v/>
      </c>
      <c r="AW663" s="947" t="str">
        <f>VLOOKUP(AK663,C654:Q667,15,FALSE)</f>
        <v/>
      </c>
      <c r="AX663"/>
      <c r="AY663"/>
      <c r="AZ663" s="1"/>
      <c r="BA663" s="1"/>
      <c r="BB663"/>
      <c r="BC663" s="6"/>
      <c r="BD663"/>
      <c r="BE663" s="1"/>
      <c r="BF663"/>
      <c r="BG663" s="16"/>
      <c r="BH663"/>
      <c r="BI663"/>
      <c r="BJ663"/>
      <c r="BK663"/>
      <c r="BL663"/>
      <c r="BM663"/>
      <c r="BN663"/>
      <c r="BO663"/>
      <c r="BP663"/>
      <c r="BQ663"/>
      <c r="BR663"/>
      <c r="BS663"/>
      <c r="BT663"/>
      <c r="BU663"/>
      <c r="BV663"/>
      <c r="BW663"/>
      <c r="BX663"/>
      <c r="BY663"/>
      <c r="BZ663"/>
      <c r="CA663" s="1396"/>
      <c r="CB663" s="1396"/>
      <c r="CC663"/>
      <c r="CD663"/>
      <c r="CE663"/>
    </row>
    <row r="664" spans="1:83" outlineLevel="1" x14ac:dyDescent="0.2">
      <c r="A664"/>
      <c r="B664" s="945">
        <v>11</v>
      </c>
      <c r="C664" s="977" t="str">
        <f>IF(AK653="","",RANK(F664,F654:F667)*1000+ROW())</f>
        <v/>
      </c>
      <c r="D664" s="978" t="str">
        <f t="shared" si="330"/>
        <v/>
      </c>
      <c r="E664" s="978" t="str">
        <f>IF(L664="","",Nb_Diff_Part(D664,D654:D667,G664,G654:G667,AI670:AI784)*CritClassInd_DiffPart+Nb_Goal_Part(D664,D654:D667,G664,G654:G667,V670:Z784)*CritClassInd_GoalPart+Nb_Score_Part(D664,D654:D667,G664,G654:G667,V670:Z784)*CritClassInd_ScorePart)</f>
        <v/>
      </c>
      <c r="F664" s="979" t="str">
        <f t="shared" si="331"/>
        <v/>
      </c>
      <c r="G664" s="39" t="s">
        <v>3916</v>
      </c>
      <c r="H664" s="501">
        <f t="shared" si="328"/>
        <v>0</v>
      </c>
      <c r="I664" s="39"/>
      <c r="J664" s="977" t="str">
        <f>IF(AK653="","",(L664*Points_Victoire)+M664*Points_Null)</f>
        <v/>
      </c>
      <c r="K664" s="988" t="str">
        <f t="shared" si="329"/>
        <v/>
      </c>
      <c r="L664" s="988" t="str">
        <f>IF(AK653="","",COUNTIF(AE670:AE784,G664))</f>
        <v/>
      </c>
      <c r="M664" s="988" t="str">
        <f>IF(AK653="","",COUNTIF(AF670:AG784,G664))</f>
        <v/>
      </c>
      <c r="N664" s="988" t="str">
        <f>IF(AK653="","",COUNTIF(AH670:AH784,G664))</f>
        <v/>
      </c>
      <c r="O664" s="988" t="str">
        <f>IF(AK653="","",SUMIF(V670:V784,G664,AB670:AB784)+SUMIF(Z670:Z784,G664,AD670:AD784))</f>
        <v/>
      </c>
      <c r="P664" s="988" t="str">
        <f>IF(AK653="","",SUMIF(V670:V784,G664,AD670:AD784)+SUMIF(Z670:Z784,G664,AB670:AB784))</f>
        <v/>
      </c>
      <c r="Q664" s="989" t="str">
        <f>IF(AK653="","",O664-P664)</f>
        <v/>
      </c>
      <c r="R664"/>
      <c r="S664"/>
      <c r="T664"/>
      <c r="U664"/>
      <c r="V664"/>
      <c r="W664" s="1"/>
      <c r="X664" s="1"/>
      <c r="Y664" s="1"/>
      <c r="Z664"/>
      <c r="AB664" s="964"/>
      <c r="AC664" s="964"/>
      <c r="AD664" s="964"/>
      <c r="AE664" s="964"/>
      <c r="AF664" s="964"/>
      <c r="AG664" s="964"/>
      <c r="AH664" s="964"/>
      <c r="AI664" s="964"/>
      <c r="AJ664" s="964"/>
      <c r="AK664" s="968" t="str">
        <f>IF(AK653="","",SMALL(C654:C667,11))</f>
        <v/>
      </c>
      <c r="AL664"/>
      <c r="AM664" s="16"/>
      <c r="AN664" s="946" t="str">
        <f>IF(AK653="","",INT(AK664/1000))</f>
        <v/>
      </c>
      <c r="AO664" s="42" t="str">
        <f>IF(AK653="","",VLOOKUP(AK664,C654:Q667,5,FALSE))</f>
        <v/>
      </c>
      <c r="AP664" s="42" t="str">
        <f>VLOOKUP(AK664,C654:Q667,8,FALSE)</f>
        <v/>
      </c>
      <c r="AQ664" s="42" t="str">
        <f>VLOOKUP(AK664,C654:Q667,9,FALSE)</f>
        <v/>
      </c>
      <c r="AR664" s="42" t="str">
        <f>VLOOKUP(AK664,C654:Q667,10,FALSE)</f>
        <v/>
      </c>
      <c r="AS664" s="42" t="str">
        <f>VLOOKUP(AK664,C654:Q667,11,FALSE)</f>
        <v/>
      </c>
      <c r="AT664" s="42" t="str">
        <f>VLOOKUP(AK664,C654:Q667,12,FALSE)</f>
        <v/>
      </c>
      <c r="AU664" s="42" t="str">
        <f>VLOOKUP(AK664,C654:Q667,13,FALSE)</f>
        <v/>
      </c>
      <c r="AV664" s="42" t="str">
        <f>VLOOKUP(AK664,C654:Q667,14,FALSE)</f>
        <v/>
      </c>
      <c r="AW664" s="947" t="str">
        <f>VLOOKUP(AK664,C654:Q667,15,FALSE)</f>
        <v/>
      </c>
      <c r="AX664"/>
      <c r="AY664"/>
      <c r="AZ664" s="1"/>
      <c r="BA664" s="1"/>
      <c r="BB664"/>
      <c r="BC664" s="6"/>
      <c r="BD664"/>
      <c r="BE664" s="1"/>
      <c r="BF664"/>
      <c r="BG664" s="16"/>
      <c r="BH664"/>
      <c r="BI664"/>
      <c r="BJ664"/>
      <c r="BK664"/>
      <c r="BL664"/>
      <c r="BM664"/>
      <c r="BN664"/>
      <c r="BO664"/>
      <c r="BP664"/>
      <c r="BQ664"/>
      <c r="BR664"/>
      <c r="BS664"/>
      <c r="BT664"/>
      <c r="BU664"/>
      <c r="BV664"/>
      <c r="BW664"/>
      <c r="BX664"/>
      <c r="BY664"/>
      <c r="BZ664"/>
      <c r="CA664" s="1396"/>
      <c r="CB664" s="1396"/>
      <c r="CC664"/>
      <c r="CD664"/>
      <c r="CE664"/>
    </row>
    <row r="665" spans="1:83" outlineLevel="1" x14ac:dyDescent="0.2">
      <c r="A665"/>
      <c r="B665" s="945">
        <v>12</v>
      </c>
      <c r="C665" s="977" t="str">
        <f>IF(AK653="","",RANK(F665,F654:F667)*1000+ROW())</f>
        <v/>
      </c>
      <c r="D665" s="978" t="str">
        <f t="shared" si="330"/>
        <v/>
      </c>
      <c r="E665" s="978" t="str">
        <f>IF(L665="","",Nb_Diff_Part(D665,D654:D667,G665,G654:G667,AI670:AI784)*CritClassInd_DiffPart+Nb_Goal_Part(D665,D654:D667,G665,G654:G667,V670:Z784)*CritClassInd_GoalPart+Nb_Score_Part(D665,D654:D667,G665,G654:G667,V670:Z784)*CritClassInd_ScorePart)</f>
        <v/>
      </c>
      <c r="F665" s="979" t="str">
        <f t="shared" si="331"/>
        <v/>
      </c>
      <c r="G665" s="39" t="s">
        <v>1545</v>
      </c>
      <c r="H665" s="501">
        <f t="shared" si="328"/>
        <v>0</v>
      </c>
      <c r="I665" s="39"/>
      <c r="J665" s="977" t="str">
        <f>IF(AK653="","",(L665*Points_Victoire)+M665*Points_Null)</f>
        <v/>
      </c>
      <c r="K665" s="988" t="str">
        <f t="shared" si="329"/>
        <v/>
      </c>
      <c r="L665" s="988" t="str">
        <f>IF(AK653="","",COUNTIF(AE670:AE784,G665))</f>
        <v/>
      </c>
      <c r="M665" s="988" t="str">
        <f>IF(AK653="","",COUNTIF(AF670:AG784,G665))</f>
        <v/>
      </c>
      <c r="N665" s="988" t="str">
        <f>IF(AK653="","",COUNTIF(AH670:AH784,G665))</f>
        <v/>
      </c>
      <c r="O665" s="988" t="str">
        <f>IF(AK653="","",SUMIF(V670:V784,G665,AB670:AB784)+SUMIF(Z670:Z784,G665,AD670:AD784))</f>
        <v/>
      </c>
      <c r="P665" s="988" t="str">
        <f>IF(AK653="","",SUMIF(V670:V784,G665,AD670:AD784)+SUMIF(Z670:Z784,G665,AB670:AB784))</f>
        <v/>
      </c>
      <c r="Q665" s="989" t="str">
        <f>IF(AK653="","",O665-P665)</f>
        <v/>
      </c>
      <c r="R665"/>
      <c r="S665"/>
      <c r="T665"/>
      <c r="U665"/>
      <c r="V665"/>
      <c r="W665" s="1"/>
      <c r="X665" s="1"/>
      <c r="Y665" s="1"/>
      <c r="Z665"/>
      <c r="AB665" s="964"/>
      <c r="AC665" s="964"/>
      <c r="AD665" s="964"/>
      <c r="AE665" s="964"/>
      <c r="AF665" s="964"/>
      <c r="AG665" s="964"/>
      <c r="AH665" s="964"/>
      <c r="AI665" s="964"/>
      <c r="AJ665" s="964"/>
      <c r="AK665" s="968" t="str">
        <f>IF(AK653="","",SMALL(C654:C667,12))</f>
        <v/>
      </c>
      <c r="AL665"/>
      <c r="AM665" s="16"/>
      <c r="AN665" s="946" t="str">
        <f>IF(AK653="","",INT(AK665/1000))</f>
        <v/>
      </c>
      <c r="AO665" s="42" t="str">
        <f>IF(AK653="","",VLOOKUP(AK665,C654:Q667,5,FALSE))</f>
        <v/>
      </c>
      <c r="AP665" s="42" t="str">
        <f>VLOOKUP(AK665,C654:Q667,8,FALSE)</f>
        <v/>
      </c>
      <c r="AQ665" s="42" t="str">
        <f>VLOOKUP(AK665,C654:Q667,9,FALSE)</f>
        <v/>
      </c>
      <c r="AR665" s="42" t="str">
        <f>VLOOKUP(AK665,C654:Q667,10,FALSE)</f>
        <v/>
      </c>
      <c r="AS665" s="42" t="str">
        <f>VLOOKUP(AK665,C654:Q667,11,FALSE)</f>
        <v/>
      </c>
      <c r="AT665" s="42" t="str">
        <f>VLOOKUP(AK665,C654:Q667,12,FALSE)</f>
        <v/>
      </c>
      <c r="AU665" s="42" t="str">
        <f>VLOOKUP(AK665,C654:Q667,13,FALSE)</f>
        <v/>
      </c>
      <c r="AV665" s="42" t="str">
        <f>VLOOKUP(AK665,C654:Q667,14,FALSE)</f>
        <v/>
      </c>
      <c r="AW665" s="947" t="str">
        <f>VLOOKUP(AK665,C654:Q667,15,FALSE)</f>
        <v/>
      </c>
      <c r="AX665"/>
      <c r="AY665"/>
      <c r="AZ665" s="1"/>
      <c r="BA665" s="1"/>
      <c r="BB665"/>
      <c r="BC665" s="6"/>
      <c r="BD665"/>
      <c r="BE665" s="1"/>
      <c r="BF665"/>
      <c r="BG665" s="16"/>
      <c r="BH665"/>
      <c r="BI665"/>
      <c r="BJ665"/>
      <c r="BK665"/>
      <c r="BL665"/>
      <c r="BM665"/>
      <c r="BN665"/>
      <c r="BO665"/>
      <c r="BP665"/>
      <c r="BQ665"/>
      <c r="BR665"/>
      <c r="BS665"/>
      <c r="BT665"/>
      <c r="BU665"/>
      <c r="BV665"/>
      <c r="BW665"/>
      <c r="BX665"/>
      <c r="BY665"/>
      <c r="BZ665"/>
      <c r="CA665" s="1396"/>
      <c r="CB665" s="1396"/>
      <c r="CC665"/>
      <c r="CD665"/>
      <c r="CE665"/>
    </row>
    <row r="666" spans="1:83" outlineLevel="1" x14ac:dyDescent="0.2">
      <c r="A666"/>
      <c r="B666" s="945">
        <v>13</v>
      </c>
      <c r="C666" s="977" t="str">
        <f>IF(AK653="","",RANK(F666,F654:F667)*1000+ROW())</f>
        <v/>
      </c>
      <c r="D666" s="978" t="str">
        <f t="shared" si="330"/>
        <v/>
      </c>
      <c r="E666" s="978" t="str">
        <f>IF(L666="","",Nb_Diff_Part(D666,D654:D667,G666,G654:G667,AI670:AI784)*CritClassInd_DiffPart+Nb_Goal_Part(D666,D654:D667,G666,G654:G667,V670:Z784)*CritClassInd_GoalPart+Nb_Score_Part(D666,D654:D667,G666,G654:G667,V670:Z784)*CritClassInd_ScorePart)</f>
        <v/>
      </c>
      <c r="F666" s="979" t="str">
        <f t="shared" si="331"/>
        <v/>
      </c>
      <c r="G666" s="39" t="s">
        <v>3917</v>
      </c>
      <c r="H666" s="501">
        <f t="shared" si="328"/>
        <v>0</v>
      </c>
      <c r="I666" s="39"/>
      <c r="J666" s="977" t="str">
        <f>IF(AK653="","",(L666*Points_Victoire)+M666*Points_Null)</f>
        <v/>
      </c>
      <c r="K666" s="988" t="str">
        <f t="shared" si="329"/>
        <v/>
      </c>
      <c r="L666" s="988" t="str">
        <f>IF(AK653="","",COUNTIF(AE670:AE784,G666))</f>
        <v/>
      </c>
      <c r="M666" s="988" t="str">
        <f>IF(AK653="","",COUNTIF(AF670:AG784,G666))</f>
        <v/>
      </c>
      <c r="N666" s="988" t="str">
        <f>IF(AK653="","",COUNTIF(AH670:AH784,G666))</f>
        <v/>
      </c>
      <c r="O666" s="988" t="str">
        <f>IF(AK653="","",SUMIF(V670:V784,G666,AB670:AB784)+SUMIF(Z670:Z784,G666,AD670:AD784))</f>
        <v/>
      </c>
      <c r="P666" s="988" t="str">
        <f>IF(AK653="","",SUMIF(V670:V784,G666,AD670:AD784)+SUMIF(Z670:Z784,G666,AB670:AB784))</f>
        <v/>
      </c>
      <c r="Q666" s="989" t="str">
        <f>IF(AK653="","",O666-P666)</f>
        <v/>
      </c>
      <c r="R666"/>
      <c r="S666"/>
      <c r="T666"/>
      <c r="U666"/>
      <c r="V666"/>
      <c r="W666" s="1"/>
      <c r="X666" s="1"/>
      <c r="Y666" s="1"/>
      <c r="Z666"/>
      <c r="AB666" s="964"/>
      <c r="AC666" s="964"/>
      <c r="AD666" s="964"/>
      <c r="AE666" s="964"/>
      <c r="AF666" s="964"/>
      <c r="AG666" s="964"/>
      <c r="AH666" s="964"/>
      <c r="AI666" s="964"/>
      <c r="AJ666" s="964"/>
      <c r="AK666" s="968" t="str">
        <f>IF(AK653="","",SMALL(C654:C667,13))</f>
        <v/>
      </c>
      <c r="AL666"/>
      <c r="AM666" s="16"/>
      <c r="AN666" s="946" t="str">
        <f>IF(AK653="","",INT(AK666/1000))</f>
        <v/>
      </c>
      <c r="AO666" s="42" t="str">
        <f>IF(AK653="","",VLOOKUP(AK666,C654:Q667,5,FALSE))</f>
        <v/>
      </c>
      <c r="AP666" s="42" t="str">
        <f>VLOOKUP(AK666,C654:Q667,8,FALSE)</f>
        <v/>
      </c>
      <c r="AQ666" s="42" t="str">
        <f>VLOOKUP(AK666,C654:Q667,9,FALSE)</f>
        <v/>
      </c>
      <c r="AR666" s="42" t="str">
        <f>VLOOKUP(AK666,C654:Q667,10,FALSE)</f>
        <v/>
      </c>
      <c r="AS666" s="42" t="str">
        <f>VLOOKUP(AK666,C654:Q667,11,FALSE)</f>
        <v/>
      </c>
      <c r="AT666" s="42" t="str">
        <f>VLOOKUP(AK666,C654:Q667,12,FALSE)</f>
        <v/>
      </c>
      <c r="AU666" s="42" t="str">
        <f>VLOOKUP(AK666,C654:Q667,13,FALSE)</f>
        <v/>
      </c>
      <c r="AV666" s="42" t="str">
        <f>VLOOKUP(AK666,C654:Q667,14,FALSE)</f>
        <v/>
      </c>
      <c r="AW666" s="947" t="str">
        <f>VLOOKUP(AK666,C654:Q667,15,FALSE)</f>
        <v/>
      </c>
      <c r="AX666"/>
      <c r="AY666"/>
      <c r="AZ666" s="1"/>
      <c r="BA666" s="1"/>
      <c r="BB666"/>
      <c r="BC666" s="6"/>
      <c r="BD666"/>
      <c r="BE666" s="1"/>
      <c r="BF666"/>
      <c r="BG666" s="16"/>
      <c r="BH666"/>
      <c r="BI666"/>
      <c r="BJ666"/>
      <c r="BK666"/>
      <c r="BL666"/>
      <c r="BM666"/>
      <c r="BN666"/>
      <c r="BO666"/>
      <c r="BP666"/>
      <c r="BQ666"/>
      <c r="BR666"/>
      <c r="BS666"/>
      <c r="BT666"/>
      <c r="BU666"/>
      <c r="BV666"/>
      <c r="BW666"/>
      <c r="BX666"/>
      <c r="BY666"/>
      <c r="BZ666"/>
      <c r="CA666" s="1396"/>
      <c r="CB666" s="1396"/>
      <c r="CC666"/>
      <c r="CD666"/>
      <c r="CE666"/>
    </row>
    <row r="667" spans="1:83" ht="13.5" outlineLevel="1" thickBot="1" x14ac:dyDescent="0.25">
      <c r="A667"/>
      <c r="B667" s="945">
        <v>14</v>
      </c>
      <c r="C667" s="977" t="str">
        <f>IF(AK653="","",RANK(F667,F654:F667)*1000+ROW())</f>
        <v/>
      </c>
      <c r="D667" s="978" t="str">
        <f t="shared" si="330"/>
        <v/>
      </c>
      <c r="E667" s="978" t="str">
        <f>IF(L667="","",Nb_Diff_Part(D667,D654:D667,G667,G654:G667,AI670:AI784)*CritClassInd_DiffPart+Nb_Goal_Part(D667,D654:D667,G667,G654:G667,V670:Z784)*CritClassInd_GoalPart+Nb_Score_Part(D667,D654:D667,G667,G654:G667,V670:Z784)*CritClassInd_ScorePart)</f>
        <v/>
      </c>
      <c r="F667" s="979" t="str">
        <f t="shared" si="331"/>
        <v/>
      </c>
      <c r="G667" s="39" t="s">
        <v>791</v>
      </c>
      <c r="H667" s="501">
        <f t="shared" si="328"/>
        <v>0</v>
      </c>
      <c r="I667" s="39"/>
      <c r="J667" s="977" t="str">
        <f>IF(AK653="","",(L667*Points_Victoire)+M667*Points_Null)</f>
        <v/>
      </c>
      <c r="K667" s="988" t="str">
        <f t="shared" si="329"/>
        <v/>
      </c>
      <c r="L667" s="988" t="str">
        <f>IF(AK653="","",COUNTIF(AE670:AE784,G667))</f>
        <v/>
      </c>
      <c r="M667" s="988" t="str">
        <f>IF(AK653="","",COUNTIF(AF670:AG784,G667))</f>
        <v/>
      </c>
      <c r="N667" s="988" t="str">
        <f>IF(AK653="","",COUNTIF(AH670:AH784,G667))</f>
        <v/>
      </c>
      <c r="O667" s="988" t="str">
        <f>IF(AK653="","",SUMIF(V670:V784,G667,AB670:AB784)+SUMIF(Z670:Z784,G667,AD670:AD784))</f>
        <v/>
      </c>
      <c r="P667" s="988" t="str">
        <f>IF(AK653="","",SUMIF(V670:V784,G667,AD670:AD784)+SUMIF(Z670:Z784,G667,AB670:AB784))</f>
        <v/>
      </c>
      <c r="Q667" s="989" t="str">
        <f>IF(AK653="","",O667-P667)</f>
        <v/>
      </c>
      <c r="R667"/>
      <c r="S667"/>
      <c r="T667"/>
      <c r="U667"/>
      <c r="V667"/>
      <c r="W667" s="1"/>
      <c r="X667" s="1"/>
      <c r="Y667" s="1"/>
      <c r="Z667"/>
      <c r="AB667" s="964"/>
      <c r="AC667" s="964"/>
      <c r="AD667" s="964"/>
      <c r="AE667" s="964"/>
      <c r="AF667" s="964"/>
      <c r="AG667" s="964"/>
      <c r="AH667" s="964"/>
      <c r="AI667" s="964"/>
      <c r="AJ667" s="964"/>
      <c r="AK667" s="968" t="str">
        <f>IF(AK653="","",SMALL(C654:C667,14))</f>
        <v/>
      </c>
      <c r="AL667"/>
      <c r="AM667" s="16"/>
      <c r="AN667" s="946" t="str">
        <f>IF(AK653="","",INT(AK667/1000))</f>
        <v/>
      </c>
      <c r="AO667" s="42" t="str">
        <f>IF(AK653="","",VLOOKUP(AK667,C654:Q667,5,FALSE))</f>
        <v/>
      </c>
      <c r="AP667" s="42" t="str">
        <f>VLOOKUP(AK667,C654:Q667,8,FALSE)</f>
        <v/>
      </c>
      <c r="AQ667" s="42" t="str">
        <f>VLOOKUP(AK667,C654:Q667,9,FALSE)</f>
        <v/>
      </c>
      <c r="AR667" s="42" t="str">
        <f>VLOOKUP(AK667,C654:Q667,10,FALSE)</f>
        <v/>
      </c>
      <c r="AS667" s="42" t="str">
        <f>VLOOKUP(AK667,C654:Q667,11,FALSE)</f>
        <v/>
      </c>
      <c r="AT667" s="42" t="str">
        <f>VLOOKUP(AK667,C654:Q667,12,FALSE)</f>
        <v/>
      </c>
      <c r="AU667" s="42" t="str">
        <f>VLOOKUP(AK667,C654:Q667,13,FALSE)</f>
        <v/>
      </c>
      <c r="AV667" s="42" t="str">
        <f>VLOOKUP(AK667,C654:Q667,14,FALSE)</f>
        <v/>
      </c>
      <c r="AW667" s="947" t="str">
        <f>VLOOKUP(AK667,C654:Q667,15,FALSE)</f>
        <v/>
      </c>
      <c r="AX667"/>
      <c r="AY667"/>
      <c r="AZ667" s="1"/>
      <c r="BA667" s="1"/>
      <c r="BB667"/>
      <c r="BC667" s="6"/>
      <c r="BD667"/>
      <c r="BE667" s="1"/>
      <c r="BF667"/>
      <c r="BG667" s="16"/>
      <c r="BH667"/>
      <c r="BI667"/>
      <c r="BJ667"/>
      <c r="BK667"/>
      <c r="BL667"/>
      <c r="BM667"/>
      <c r="BN667"/>
      <c r="BO667"/>
      <c r="BP667"/>
      <c r="BQ667"/>
      <c r="BR667"/>
      <c r="BS667"/>
      <c r="BT667"/>
      <c r="BU667"/>
      <c r="BV667"/>
      <c r="BW667"/>
      <c r="BX667"/>
      <c r="BY667"/>
      <c r="BZ667"/>
      <c r="CA667" s="1396"/>
      <c r="CB667" s="1396"/>
      <c r="CC667"/>
      <c r="CD667"/>
      <c r="CE667"/>
    </row>
    <row r="668" spans="1:83" ht="13.5" outlineLevel="1" thickBot="1" x14ac:dyDescent="0.25">
      <c r="A668"/>
      <c r="B668" s="1"/>
      <c r="C668" s="1"/>
      <c r="D668" s="76"/>
      <c r="E668" s="76"/>
      <c r="F668" s="76"/>
      <c r="G668" s="9"/>
      <c r="H668" s="9"/>
      <c r="I668" s="1"/>
      <c r="J668"/>
      <c r="K668"/>
      <c r="L668"/>
      <c r="M668"/>
      <c r="N668"/>
      <c r="O668"/>
      <c r="P668" s="89"/>
      <c r="Q668"/>
      <c r="R668" s="1"/>
      <c r="S668" s="993">
        <v>1</v>
      </c>
      <c r="T668" s="961"/>
      <c r="U668" s="961"/>
      <c r="V668" s="961"/>
      <c r="W668" s="960"/>
      <c r="X668" s="960"/>
      <c r="Y668" s="960"/>
      <c r="Z668" s="962"/>
      <c r="AA668" s="123"/>
      <c r="AB668" s="1461" t="str">
        <f>IF(MaxScore,N_MaxScore,"")</f>
        <v>Score Max</v>
      </c>
      <c r="AC668" s="1461"/>
      <c r="AD668" s="1461"/>
      <c r="AE668" s="964"/>
      <c r="AF668" s="964"/>
      <c r="AG668" s="964"/>
      <c r="AH668" s="964"/>
      <c r="AI668" s="964"/>
      <c r="AJ668" s="964"/>
      <c r="AK668" s="964"/>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s="1396"/>
      <c r="CB668" s="1396"/>
      <c r="CC668"/>
      <c r="CD668"/>
      <c r="CE668"/>
    </row>
    <row r="669" spans="1:83" ht="13.9" customHeight="1" outlineLevel="2" thickBot="1" x14ac:dyDescent="0.25">
      <c r="A669"/>
      <c r="B669" s="1"/>
      <c r="C669"/>
      <c r="D669"/>
      <c r="E669"/>
      <c r="F669"/>
      <c r="G669" s="1"/>
      <c r="H669" s="1"/>
      <c r="I669"/>
      <c r="J669"/>
      <c r="K669"/>
      <c r="L669"/>
      <c r="M669"/>
      <c r="N669"/>
      <c r="O669"/>
      <c r="P669"/>
      <c r="Q669"/>
      <c r="S669" s="18" t="str">
        <f>N_Heure</f>
        <v>Heure</v>
      </c>
      <c r="T669" s="22" t="str">
        <f>N_Table</f>
        <v>Table</v>
      </c>
      <c r="U669" s="952" t="str">
        <f>N_Arbitre</f>
        <v>Arbitre</v>
      </c>
      <c r="V669" s="293" t="str">
        <f>N_Matches</f>
        <v>Matches</v>
      </c>
      <c r="W669" s="294"/>
      <c r="X669" s="294"/>
      <c r="Y669" s="294"/>
      <c r="Z669" s="295"/>
      <c r="AA669" s="8"/>
      <c r="AB669" s="967"/>
      <c r="AC669" s="967"/>
      <c r="AD669" s="967"/>
      <c r="AE669" s="964"/>
      <c r="AF669" s="964"/>
      <c r="AG669" s="964"/>
      <c r="AH669" s="964"/>
      <c r="AI669" s="964"/>
      <c r="AJ669" s="964"/>
      <c r="AK669" s="964"/>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s="1396"/>
      <c r="CB669" s="1396"/>
      <c r="CC669"/>
      <c r="CD669"/>
      <c r="CE669"/>
    </row>
    <row r="670" spans="1:83" ht="13.15" customHeight="1" outlineLevel="2" x14ac:dyDescent="0.2">
      <c r="A670"/>
      <c r="B670" s="1"/>
      <c r="C670"/>
      <c r="D670"/>
      <c r="E670"/>
      <c r="F670"/>
      <c r="G670" s="1"/>
      <c r="H670" s="1"/>
      <c r="I670"/>
      <c r="J670"/>
      <c r="K670"/>
      <c r="L670"/>
      <c r="M670"/>
      <c r="N670"/>
      <c r="O670"/>
      <c r="P670"/>
      <c r="Q670"/>
      <c r="R670" s="558" t="s">
        <v>1726</v>
      </c>
      <c r="S670" s="65"/>
      <c r="T670" s="953"/>
      <c r="U670" s="954"/>
      <c r="V670" s="34" t="str">
        <f>IF(G654="","",G654)</f>
        <v>A</v>
      </c>
      <c r="W670" s="148"/>
      <c r="X670" s="35" t="s">
        <v>769</v>
      </c>
      <c r="Y670" s="148"/>
      <c r="Z670" s="36" t="str">
        <f>IF(G655="","",G655)</f>
        <v>B</v>
      </c>
      <c r="AA670" s="123"/>
      <c r="AB670" s="1459">
        <f t="shared" ref="AB670:AB676" si="332">IF(MaxScore,MaxGoals(W670,Y670,MaxGoalsValue),IF(W670="","",W670))</f>
        <v>0</v>
      </c>
      <c r="AC670" s="1460" t="str">
        <f t="shared" ref="AC670:AC676" si="333">IF(MaxScore,"-",IF(W670="","","-"))</f>
        <v>-</v>
      </c>
      <c r="AD670" s="1459">
        <f t="shared" ref="AD670:AD676" si="334">IF(MaxScore,MaxGoals(Y670,W670,MaxGoalsValue),IF(Y670="","",Y670))</f>
        <v>0</v>
      </c>
      <c r="AE670" s="964" t="str">
        <f t="shared" ref="AE670:AE676" si="335">IF(W670="","",IF(W670&gt;Y670,V670,IF(W670=Y670,"",Z670)))</f>
        <v/>
      </c>
      <c r="AF670" s="964" t="str">
        <f t="shared" ref="AF670:AF676" si="336">IF(W670="","",IF(W670=Y670,V670,""))</f>
        <v/>
      </c>
      <c r="AG670" s="964" t="str">
        <f t="shared" ref="AG670:AG676" si="337">IF(W670="","",IF(W670=Y670,Z670,""))</f>
        <v/>
      </c>
      <c r="AH670" s="964" t="str">
        <f t="shared" ref="AH670:AH676" si="338">IF(W670="","",IF(W670&lt;Y670,V670,IF(W670=Y670,"",Z670)))</f>
        <v/>
      </c>
      <c r="AI670" s="964" t="str">
        <f t="shared" ref="AI670:AI676" si="339">CONCATENATE(AE670,AH670)</f>
        <v/>
      </c>
      <c r="AJ670" s="964"/>
      <c r="AK670" s="964"/>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s="1396"/>
      <c r="CB670" s="1396"/>
      <c r="CC670"/>
      <c r="CD670"/>
      <c r="CE670"/>
    </row>
    <row r="671" spans="1:83" ht="13.15" customHeight="1" outlineLevel="2" x14ac:dyDescent="0.2">
      <c r="A671"/>
      <c r="B671" s="1"/>
      <c r="C671"/>
      <c r="D671"/>
      <c r="E671"/>
      <c r="F671"/>
      <c r="G671" s="1"/>
      <c r="H671" s="1"/>
      <c r="I671"/>
      <c r="J671"/>
      <c r="K671"/>
      <c r="L671"/>
      <c r="M671"/>
      <c r="N671"/>
      <c r="O671"/>
      <c r="P671"/>
      <c r="Q671"/>
      <c r="R671" s="558" t="s">
        <v>1726</v>
      </c>
      <c r="S671" s="83"/>
      <c r="T671" s="56"/>
      <c r="U671" s="955"/>
      <c r="V671" s="43" t="str">
        <f>IF(G656="","",G656)</f>
        <v>C</v>
      </c>
      <c r="W671" s="10"/>
      <c r="X671" s="45" t="s">
        <v>769</v>
      </c>
      <c r="Y671" s="10"/>
      <c r="Z671" s="46" t="str">
        <f>IF(G657="","",G657)</f>
        <v>D</v>
      </c>
      <c r="AA671" s="123"/>
      <c r="AB671" s="1459">
        <f t="shared" si="332"/>
        <v>0</v>
      </c>
      <c r="AC671" s="1460" t="str">
        <f t="shared" si="333"/>
        <v>-</v>
      </c>
      <c r="AD671" s="1459">
        <f t="shared" si="334"/>
        <v>0</v>
      </c>
      <c r="AE671" s="964" t="str">
        <f t="shared" si="335"/>
        <v/>
      </c>
      <c r="AF671" s="964" t="str">
        <f t="shared" si="336"/>
        <v/>
      </c>
      <c r="AG671" s="964" t="str">
        <f t="shared" si="337"/>
        <v/>
      </c>
      <c r="AH671" s="964" t="str">
        <f t="shared" si="338"/>
        <v/>
      </c>
      <c r="AI671" s="964" t="str">
        <f t="shared" si="339"/>
        <v/>
      </c>
      <c r="AJ671" s="964"/>
      <c r="AK671" s="964"/>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s="1396"/>
      <c r="CB671" s="1396"/>
      <c r="CC671"/>
      <c r="CD671"/>
      <c r="CE671"/>
    </row>
    <row r="672" spans="1:83" ht="13.15" customHeight="1" outlineLevel="2" x14ac:dyDescent="0.2">
      <c r="A672"/>
      <c r="B672" s="1"/>
      <c r="C672"/>
      <c r="D672"/>
      <c r="E672"/>
      <c r="F672"/>
      <c r="G672" s="1"/>
      <c r="H672" s="1"/>
      <c r="I672"/>
      <c r="J672"/>
      <c r="K672"/>
      <c r="L672"/>
      <c r="M672"/>
      <c r="N672"/>
      <c r="O672"/>
      <c r="P672"/>
      <c r="Q672"/>
      <c r="R672" s="558" t="s">
        <v>1726</v>
      </c>
      <c r="S672" s="83"/>
      <c r="T672" s="56"/>
      <c r="U672" s="955"/>
      <c r="V672" s="43" t="str">
        <f>IF(G658="","",G658)</f>
        <v>E</v>
      </c>
      <c r="W672" s="10"/>
      <c r="X672" s="45" t="s">
        <v>769</v>
      </c>
      <c r="Y672" s="10"/>
      <c r="Z672" s="46" t="str">
        <f>IF(G659="","",G659)</f>
        <v>F</v>
      </c>
      <c r="AA672" s="123"/>
      <c r="AB672" s="1459">
        <f t="shared" si="332"/>
        <v>0</v>
      </c>
      <c r="AC672" s="1460" t="str">
        <f t="shared" si="333"/>
        <v>-</v>
      </c>
      <c r="AD672" s="1459">
        <f t="shared" si="334"/>
        <v>0</v>
      </c>
      <c r="AE672" s="964" t="str">
        <f t="shared" si="335"/>
        <v/>
      </c>
      <c r="AF672" s="964" t="str">
        <f t="shared" si="336"/>
        <v/>
      </c>
      <c r="AG672" s="964" t="str">
        <f t="shared" si="337"/>
        <v/>
      </c>
      <c r="AH672" s="964" t="str">
        <f t="shared" si="338"/>
        <v/>
      </c>
      <c r="AI672" s="964" t="str">
        <f t="shared" si="339"/>
        <v/>
      </c>
      <c r="AJ672" s="964"/>
      <c r="AK672" s="964"/>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s="1396"/>
      <c r="CB672" s="1396"/>
      <c r="CC672"/>
      <c r="CD672"/>
      <c r="CE672"/>
    </row>
    <row r="673" spans="1:83" ht="13.15" customHeight="1" outlineLevel="2" x14ac:dyDescent="0.2">
      <c r="A673"/>
      <c r="B673" s="1"/>
      <c r="C673"/>
      <c r="D673"/>
      <c r="E673"/>
      <c r="F673"/>
      <c r="G673" s="1"/>
      <c r="H673" s="1"/>
      <c r="I673"/>
      <c r="J673"/>
      <c r="K673"/>
      <c r="L673"/>
      <c r="M673"/>
      <c r="N673"/>
      <c r="O673"/>
      <c r="P673"/>
      <c r="Q673"/>
      <c r="R673" s="558" t="s">
        <v>1726</v>
      </c>
      <c r="S673" s="83"/>
      <c r="T673" s="56"/>
      <c r="U673" s="955"/>
      <c r="V673" s="43" t="str">
        <f>IF(G660="","",G660)</f>
        <v>G</v>
      </c>
      <c r="W673" s="10"/>
      <c r="X673" s="45" t="s">
        <v>769</v>
      </c>
      <c r="Y673" s="10"/>
      <c r="Z673" s="46" t="str">
        <f>IF(G661="","",G661)</f>
        <v>H</v>
      </c>
      <c r="AA673" s="123"/>
      <c r="AB673" s="1459">
        <f t="shared" si="332"/>
        <v>0</v>
      </c>
      <c r="AC673" s="1460" t="str">
        <f t="shared" si="333"/>
        <v>-</v>
      </c>
      <c r="AD673" s="1459">
        <f t="shared" si="334"/>
        <v>0</v>
      </c>
      <c r="AE673" s="964" t="str">
        <f t="shared" si="335"/>
        <v/>
      </c>
      <c r="AF673" s="964" t="str">
        <f t="shared" si="336"/>
        <v/>
      </c>
      <c r="AG673" s="964" t="str">
        <f t="shared" si="337"/>
        <v/>
      </c>
      <c r="AH673" s="964" t="str">
        <f t="shared" si="338"/>
        <v/>
      </c>
      <c r="AI673" s="964" t="str">
        <f t="shared" si="339"/>
        <v/>
      </c>
      <c r="AJ673" s="964"/>
      <c r="AK673" s="964"/>
      <c r="AL673"/>
      <c r="AM673"/>
      <c r="AN673"/>
      <c r="AO673"/>
      <c r="AP673"/>
      <c r="AQ673"/>
      <c r="AR673"/>
      <c r="AS673"/>
      <c r="AT673"/>
      <c r="AU673"/>
      <c r="AV673"/>
      <c r="AW673"/>
      <c r="AX673" s="9"/>
      <c r="AY673"/>
      <c r="AZ673"/>
      <c r="BA673"/>
      <c r="BB673"/>
      <c r="BC673"/>
      <c r="BD673"/>
      <c r="BE673"/>
      <c r="BF673"/>
      <c r="BG673"/>
      <c r="BH673"/>
      <c r="BI673"/>
      <c r="BJ673"/>
      <c r="BK673"/>
      <c r="BL673"/>
      <c r="BM673"/>
      <c r="BN673"/>
      <c r="BO673"/>
      <c r="BP673"/>
      <c r="BQ673"/>
      <c r="BR673"/>
      <c r="BS673"/>
      <c r="BT673"/>
      <c r="BU673"/>
      <c r="BV673"/>
      <c r="BW673"/>
      <c r="BX673"/>
      <c r="BY673"/>
      <c r="BZ673"/>
      <c r="CA673" s="1396"/>
      <c r="CB673" s="1396"/>
      <c r="CC673"/>
      <c r="CD673"/>
      <c r="CE673"/>
    </row>
    <row r="674" spans="1:83" ht="13.15" customHeight="1" outlineLevel="2" x14ac:dyDescent="0.2">
      <c r="A674"/>
      <c r="B674" s="1"/>
      <c r="C674"/>
      <c r="D674"/>
      <c r="E674"/>
      <c r="F674"/>
      <c r="G674" s="1"/>
      <c r="H674" s="1"/>
      <c r="I674"/>
      <c r="J674"/>
      <c r="K674"/>
      <c r="L674"/>
      <c r="M674"/>
      <c r="N674"/>
      <c r="O674"/>
      <c r="P674"/>
      <c r="Q674"/>
      <c r="R674" s="558" t="s">
        <v>1726</v>
      </c>
      <c r="S674" s="83"/>
      <c r="T674" s="56"/>
      <c r="U674" s="955"/>
      <c r="V674" s="43" t="str">
        <f>IF(G662="","",G662)</f>
        <v>I</v>
      </c>
      <c r="W674" s="10"/>
      <c r="X674" s="45" t="s">
        <v>769</v>
      </c>
      <c r="Y674" s="10"/>
      <c r="Z674" s="46" t="str">
        <f>IF(G663="","",G663)</f>
        <v>J</v>
      </c>
      <c r="AA674" s="123"/>
      <c r="AB674" s="1459">
        <f t="shared" si="332"/>
        <v>0</v>
      </c>
      <c r="AC674" s="1460" t="str">
        <f t="shared" si="333"/>
        <v>-</v>
      </c>
      <c r="AD674" s="1459">
        <f t="shared" si="334"/>
        <v>0</v>
      </c>
      <c r="AE674" s="964" t="str">
        <f t="shared" si="335"/>
        <v/>
      </c>
      <c r="AF674" s="964" t="str">
        <f t="shared" si="336"/>
        <v/>
      </c>
      <c r="AG674" s="964" t="str">
        <f t="shared" si="337"/>
        <v/>
      </c>
      <c r="AH674" s="964" t="str">
        <f t="shared" si="338"/>
        <v/>
      </c>
      <c r="AI674" s="964" t="str">
        <f t="shared" si="339"/>
        <v/>
      </c>
      <c r="AJ674" s="964"/>
      <c r="AK674" s="964"/>
      <c r="AL674"/>
      <c r="AM674"/>
      <c r="AN674"/>
      <c r="AO674"/>
      <c r="AP674"/>
      <c r="AQ674"/>
      <c r="AR674"/>
      <c r="AS674"/>
      <c r="AT674"/>
      <c r="AU674"/>
      <c r="AV674"/>
      <c r="AW674" s="9"/>
      <c r="AX674" s="9"/>
      <c r="AY674"/>
      <c r="AZ674"/>
      <c r="BA674"/>
      <c r="BB674"/>
      <c r="BC674"/>
      <c r="BD674"/>
      <c r="BE674"/>
      <c r="BF674"/>
      <c r="BG674"/>
      <c r="BH674"/>
      <c r="BI674"/>
      <c r="BJ674"/>
      <c r="BK674"/>
      <c r="BL674"/>
      <c r="BM674"/>
      <c r="BN674"/>
      <c r="BO674"/>
      <c r="BP674"/>
      <c r="BQ674"/>
      <c r="BR674"/>
      <c r="BS674"/>
      <c r="BT674"/>
      <c r="BU674"/>
      <c r="BV674"/>
      <c r="BW674"/>
      <c r="BX674"/>
      <c r="BY674"/>
      <c r="BZ674"/>
      <c r="CA674" s="1396"/>
      <c r="CB674" s="1396"/>
      <c r="CC674"/>
      <c r="CD674"/>
      <c r="CE674"/>
    </row>
    <row r="675" spans="1:83" ht="13.15" customHeight="1" outlineLevel="2" x14ac:dyDescent="0.2">
      <c r="A675"/>
      <c r="B675" s="1"/>
      <c r="C675"/>
      <c r="D675"/>
      <c r="E675"/>
      <c r="F675"/>
      <c r="G675" s="1"/>
      <c r="H675" s="1"/>
      <c r="I675"/>
      <c r="J675"/>
      <c r="K675"/>
      <c r="L675"/>
      <c r="M675"/>
      <c r="N675"/>
      <c r="O675"/>
      <c r="P675"/>
      <c r="Q675"/>
      <c r="R675" s="558" t="s">
        <v>1726</v>
      </c>
      <c r="S675" s="83"/>
      <c r="T675" s="56"/>
      <c r="U675" s="955"/>
      <c r="V675" s="43" t="str">
        <f>IF(G664="","",G664)</f>
        <v>K</v>
      </c>
      <c r="W675" s="10"/>
      <c r="X675" s="45" t="s">
        <v>769</v>
      </c>
      <c r="Y675" s="10"/>
      <c r="Z675" s="46" t="str">
        <f>IF(G665="","",G665)</f>
        <v>L</v>
      </c>
      <c r="AA675" s="123"/>
      <c r="AB675" s="1459">
        <f t="shared" si="332"/>
        <v>0</v>
      </c>
      <c r="AC675" s="1460" t="str">
        <f t="shared" si="333"/>
        <v>-</v>
      </c>
      <c r="AD675" s="1459">
        <f t="shared" si="334"/>
        <v>0</v>
      </c>
      <c r="AE675" s="964" t="str">
        <f t="shared" si="335"/>
        <v/>
      </c>
      <c r="AF675" s="964" t="str">
        <f t="shared" si="336"/>
        <v/>
      </c>
      <c r="AG675" s="964" t="str">
        <f t="shared" si="337"/>
        <v/>
      </c>
      <c r="AH675" s="964" t="str">
        <f t="shared" si="338"/>
        <v/>
      </c>
      <c r="AI675" s="964" t="str">
        <f t="shared" si="339"/>
        <v/>
      </c>
      <c r="AJ675" s="964"/>
      <c r="AK675" s="964"/>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s="1396"/>
      <c r="CB675" s="1396"/>
      <c r="CC675"/>
      <c r="CD675"/>
      <c r="CE675"/>
    </row>
    <row r="676" spans="1:83" ht="13.15" customHeight="1" outlineLevel="2" thickBot="1" x14ac:dyDescent="0.25">
      <c r="A676"/>
      <c r="B676" s="1"/>
      <c r="C676"/>
      <c r="D676"/>
      <c r="E676"/>
      <c r="F676"/>
      <c r="G676" s="1"/>
      <c r="H676" s="1"/>
      <c r="I676"/>
      <c r="J676"/>
      <c r="K676"/>
      <c r="L676"/>
      <c r="M676"/>
      <c r="N676"/>
      <c r="O676"/>
      <c r="P676"/>
      <c r="Q676"/>
      <c r="R676" s="558" t="s">
        <v>1726</v>
      </c>
      <c r="S676" s="83"/>
      <c r="T676" s="56"/>
      <c r="U676" s="955"/>
      <c r="V676" s="43" t="str">
        <f>IF(G666="","",G666)</f>
        <v>M</v>
      </c>
      <c r="W676" s="10"/>
      <c r="X676" s="45" t="s">
        <v>769</v>
      </c>
      <c r="Y676" s="10"/>
      <c r="Z676" s="46" t="str">
        <f>IF(G667="","",G667)</f>
        <v>N</v>
      </c>
      <c r="AA676" s="123"/>
      <c r="AB676" s="1459">
        <f t="shared" si="332"/>
        <v>0</v>
      </c>
      <c r="AC676" s="1460" t="str">
        <f t="shared" si="333"/>
        <v>-</v>
      </c>
      <c r="AD676" s="1459">
        <f t="shared" si="334"/>
        <v>0</v>
      </c>
      <c r="AE676" s="964" t="str">
        <f t="shared" si="335"/>
        <v/>
      </c>
      <c r="AF676" s="964" t="str">
        <f t="shared" si="336"/>
        <v/>
      </c>
      <c r="AG676" s="964" t="str">
        <f t="shared" si="337"/>
        <v/>
      </c>
      <c r="AH676" s="964" t="str">
        <f t="shared" si="338"/>
        <v/>
      </c>
      <c r="AI676" s="964" t="str">
        <f t="shared" si="339"/>
        <v/>
      </c>
      <c r="AJ676" s="964"/>
      <c r="AK676" s="964"/>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s="1396"/>
      <c r="CB676" s="1396"/>
      <c r="CC676"/>
      <c r="CD676"/>
      <c r="CE676"/>
    </row>
    <row r="677" spans="1:83" ht="13.5" outlineLevel="1" thickBot="1" x14ac:dyDescent="0.25">
      <c r="A677"/>
      <c r="B677" s="1"/>
      <c r="C677" s="1"/>
      <c r="D677" s="76"/>
      <c r="E677" s="76"/>
      <c r="F677" s="76"/>
      <c r="G677" s="9"/>
      <c r="H677" s="9"/>
      <c r="I677" s="1"/>
      <c r="J677"/>
      <c r="K677"/>
      <c r="L677"/>
      <c r="M677"/>
      <c r="N677"/>
      <c r="O677"/>
      <c r="P677" s="89"/>
      <c r="Q677"/>
      <c r="R677" s="1"/>
      <c r="S677" s="993">
        <f>S668+1</f>
        <v>2</v>
      </c>
      <c r="T677" s="961"/>
      <c r="U677" s="961"/>
      <c r="V677" s="961"/>
      <c r="W677" s="960"/>
      <c r="X677" s="960"/>
      <c r="Y677" s="960"/>
      <c r="Z677" s="962"/>
      <c r="AA677" s="123"/>
      <c r="AB677" s="963"/>
      <c r="AC677" s="963"/>
      <c r="AD677" s="963"/>
      <c r="AE677" s="964"/>
      <c r="AF677" s="964"/>
      <c r="AG677" s="964"/>
      <c r="AH677" s="964"/>
      <c r="AI677" s="964"/>
      <c r="AJ677" s="964"/>
      <c r="AK677" s="964"/>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s="1396"/>
      <c r="CB677" s="1396"/>
      <c r="CC677"/>
      <c r="CD677"/>
      <c r="CE677"/>
    </row>
    <row r="678" spans="1:83" ht="13.9" customHeight="1" outlineLevel="2" thickBot="1" x14ac:dyDescent="0.25">
      <c r="A678"/>
      <c r="B678" s="1"/>
      <c r="C678"/>
      <c r="D678"/>
      <c r="E678"/>
      <c r="F678"/>
      <c r="G678" s="1"/>
      <c r="H678" s="1"/>
      <c r="I678"/>
      <c r="J678"/>
      <c r="K678"/>
      <c r="L678"/>
      <c r="M678"/>
      <c r="N678"/>
      <c r="O678"/>
      <c r="P678"/>
      <c r="Q678"/>
      <c r="S678" s="22" t="str">
        <f>N_Heure</f>
        <v>Heure</v>
      </c>
      <c r="T678" s="22" t="str">
        <f>N_Table</f>
        <v>Table</v>
      </c>
      <c r="U678" s="22" t="str">
        <f>N_Arbitre</f>
        <v>Arbitre</v>
      </c>
      <c r="V678" s="293" t="str">
        <f>N_Matches</f>
        <v>Matches</v>
      </c>
      <c r="W678" s="294"/>
      <c r="X678" s="294"/>
      <c r="Y678" s="294"/>
      <c r="Z678" s="295"/>
      <c r="AA678" s="8"/>
      <c r="AB678" s="967"/>
      <c r="AC678" s="967"/>
      <c r="AD678" s="967"/>
      <c r="AE678" s="964"/>
      <c r="AF678" s="964"/>
      <c r="AG678" s="964"/>
      <c r="AH678" s="964"/>
      <c r="AI678" s="964"/>
      <c r="AJ678" s="964"/>
      <c r="AK678" s="964"/>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s="1396"/>
      <c r="CB678" s="1396"/>
      <c r="CC678"/>
      <c r="CD678"/>
      <c r="CE678"/>
    </row>
    <row r="679" spans="1:83" ht="13.15" customHeight="1" outlineLevel="2" x14ac:dyDescent="0.2">
      <c r="A679"/>
      <c r="B679" s="1"/>
      <c r="C679"/>
      <c r="D679"/>
      <c r="E679"/>
      <c r="F679"/>
      <c r="G679" s="1"/>
      <c r="H679" s="1"/>
      <c r="I679"/>
      <c r="J679"/>
      <c r="K679"/>
      <c r="L679"/>
      <c r="M679"/>
      <c r="N679"/>
      <c r="O679"/>
      <c r="P679"/>
      <c r="Q679"/>
      <c r="R679" s="558" t="s">
        <v>1727</v>
      </c>
      <c r="S679" s="65"/>
      <c r="T679" s="953"/>
      <c r="U679" s="954"/>
      <c r="V679" s="34" t="str">
        <f>V671</f>
        <v>C</v>
      </c>
      <c r="W679" s="148"/>
      <c r="X679" s="35" t="s">
        <v>769</v>
      </c>
      <c r="Y679" s="148"/>
      <c r="Z679" s="36" t="str">
        <f>V670</f>
        <v>A</v>
      </c>
      <c r="AA679" s="123"/>
      <c r="AB679" s="1459">
        <f t="shared" ref="AB679:AB685" si="340">IF(MaxScore,MaxGoals(W679,Y679,MaxGoalsValue),IF(W679="","",W679))</f>
        <v>0</v>
      </c>
      <c r="AC679" s="1460" t="str">
        <f t="shared" ref="AC679:AC685" si="341">IF(MaxScore,"-",IF(W679="","","-"))</f>
        <v>-</v>
      </c>
      <c r="AD679" s="1459">
        <f t="shared" ref="AD679:AD685" si="342">IF(MaxScore,MaxGoals(Y679,W679,MaxGoalsValue),IF(Y679="","",Y679))</f>
        <v>0</v>
      </c>
      <c r="AE679" s="964" t="str">
        <f t="shared" ref="AE679:AE685" si="343">IF(W679="","",IF(W679&gt;Y679,V679,IF(W679=Y679,"",Z679)))</f>
        <v/>
      </c>
      <c r="AF679" s="964" t="str">
        <f t="shared" ref="AF679:AF685" si="344">IF(W679="","",IF(W679=Y679,V679,""))</f>
        <v/>
      </c>
      <c r="AG679" s="964" t="str">
        <f t="shared" ref="AG679:AG685" si="345">IF(W679="","",IF(W679=Y679,Z679,""))</f>
        <v/>
      </c>
      <c r="AH679" s="964" t="str">
        <f t="shared" ref="AH679:AH685" si="346">IF(W679="","",IF(W679&lt;Y679,V679,IF(W679=Y679,"",Z679)))</f>
        <v/>
      </c>
      <c r="AI679" s="964" t="str">
        <f t="shared" ref="AI679:AI685" si="347">CONCATENATE(AE679,AH679)</f>
        <v/>
      </c>
      <c r="AJ679" s="964"/>
      <c r="AK679" s="964"/>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s="1396"/>
      <c r="CB679" s="1396"/>
      <c r="CC679"/>
      <c r="CD679"/>
      <c r="CE679"/>
    </row>
    <row r="680" spans="1:83" ht="13.15" customHeight="1" outlineLevel="2" x14ac:dyDescent="0.2">
      <c r="A680"/>
      <c r="B680" s="1"/>
      <c r="C680"/>
      <c r="D680"/>
      <c r="E680"/>
      <c r="F680"/>
      <c r="G680" s="1"/>
      <c r="H680" s="1"/>
      <c r="I680"/>
      <c r="J680"/>
      <c r="K680"/>
      <c r="L680"/>
      <c r="M680"/>
      <c r="N680"/>
      <c r="O680"/>
      <c r="P680"/>
      <c r="Q680"/>
      <c r="R680" s="558" t="s">
        <v>1727</v>
      </c>
      <c r="S680" s="83"/>
      <c r="T680" s="56"/>
      <c r="U680" s="955"/>
      <c r="V680" s="43" t="str">
        <f t="shared" ref="V680:V685" si="348">Z670</f>
        <v>B</v>
      </c>
      <c r="W680" s="10"/>
      <c r="X680" s="45" t="s">
        <v>769</v>
      </c>
      <c r="Y680" s="10"/>
      <c r="Z680" s="46" t="str">
        <f>V672</f>
        <v>E</v>
      </c>
      <c r="AA680" s="123"/>
      <c r="AB680" s="1459">
        <f t="shared" si="340"/>
        <v>0</v>
      </c>
      <c r="AC680" s="1460" t="str">
        <f t="shared" si="341"/>
        <v>-</v>
      </c>
      <c r="AD680" s="1459">
        <f t="shared" si="342"/>
        <v>0</v>
      </c>
      <c r="AE680" s="964" t="str">
        <f t="shared" si="343"/>
        <v/>
      </c>
      <c r="AF680" s="964" t="str">
        <f t="shared" si="344"/>
        <v/>
      </c>
      <c r="AG680" s="964" t="str">
        <f t="shared" si="345"/>
        <v/>
      </c>
      <c r="AH680" s="964" t="str">
        <f t="shared" si="346"/>
        <v/>
      </c>
      <c r="AI680" s="964" t="str">
        <f t="shared" si="347"/>
        <v/>
      </c>
      <c r="AJ680" s="964"/>
      <c r="AK680" s="964"/>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s="1396"/>
      <c r="CB680" s="1396"/>
      <c r="CC680"/>
      <c r="CD680"/>
      <c r="CE680"/>
    </row>
    <row r="681" spans="1:83" ht="13.15" customHeight="1" outlineLevel="2" x14ac:dyDescent="0.2">
      <c r="A681"/>
      <c r="B681" s="1"/>
      <c r="C681"/>
      <c r="D681"/>
      <c r="E681"/>
      <c r="F681"/>
      <c r="G681" s="1"/>
      <c r="H681" s="1"/>
      <c r="I681"/>
      <c r="J681"/>
      <c r="K681"/>
      <c r="L681"/>
      <c r="M681"/>
      <c r="N681"/>
      <c r="O681"/>
      <c r="P681"/>
      <c r="Q681"/>
      <c r="R681" s="558" t="s">
        <v>1727</v>
      </c>
      <c r="S681" s="83"/>
      <c r="T681" s="56"/>
      <c r="U681" s="955"/>
      <c r="V681" s="43" t="str">
        <f t="shared" si="348"/>
        <v>D</v>
      </c>
      <c r="W681" s="10"/>
      <c r="X681" s="45" t="s">
        <v>769</v>
      </c>
      <c r="Y681" s="10"/>
      <c r="Z681" s="46" t="str">
        <f>V673</f>
        <v>G</v>
      </c>
      <c r="AA681" s="123"/>
      <c r="AB681" s="1459">
        <f t="shared" si="340"/>
        <v>0</v>
      </c>
      <c r="AC681" s="1460" t="str">
        <f t="shared" si="341"/>
        <v>-</v>
      </c>
      <c r="AD681" s="1459">
        <f t="shared" si="342"/>
        <v>0</v>
      </c>
      <c r="AE681" s="964" t="str">
        <f t="shared" si="343"/>
        <v/>
      </c>
      <c r="AF681" s="964" t="str">
        <f t="shared" si="344"/>
        <v/>
      </c>
      <c r="AG681" s="964" t="str">
        <f t="shared" si="345"/>
        <v/>
      </c>
      <c r="AH681" s="964" t="str">
        <f t="shared" si="346"/>
        <v/>
      </c>
      <c r="AI681" s="964" t="str">
        <f t="shared" si="347"/>
        <v/>
      </c>
      <c r="AJ681" s="964"/>
      <c r="AK681" s="964"/>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s="1396"/>
      <c r="CB681" s="1396"/>
      <c r="CC681"/>
      <c r="CD681"/>
      <c r="CE681"/>
    </row>
    <row r="682" spans="1:83" ht="13.15" customHeight="1" outlineLevel="2" x14ac:dyDescent="0.2">
      <c r="A682"/>
      <c r="B682" s="1"/>
      <c r="C682"/>
      <c r="D682"/>
      <c r="E682"/>
      <c r="F682"/>
      <c r="G682" s="1"/>
      <c r="H682" s="1"/>
      <c r="I682"/>
      <c r="J682"/>
      <c r="K682"/>
      <c r="L682"/>
      <c r="M682"/>
      <c r="N682"/>
      <c r="O682"/>
      <c r="P682"/>
      <c r="Q682"/>
      <c r="R682" s="558" t="s">
        <v>1727</v>
      </c>
      <c r="S682" s="83"/>
      <c r="T682" s="56"/>
      <c r="U682" s="955"/>
      <c r="V682" s="43" t="str">
        <f t="shared" si="348"/>
        <v>F</v>
      </c>
      <c r="W682" s="10"/>
      <c r="X682" s="45" t="s">
        <v>769</v>
      </c>
      <c r="Y682" s="10"/>
      <c r="Z682" s="46" t="str">
        <f>V674</f>
        <v>I</v>
      </c>
      <c r="AA682" s="123"/>
      <c r="AB682" s="1459">
        <f t="shared" si="340"/>
        <v>0</v>
      </c>
      <c r="AC682" s="1460" t="str">
        <f t="shared" si="341"/>
        <v>-</v>
      </c>
      <c r="AD682" s="1459">
        <f t="shared" si="342"/>
        <v>0</v>
      </c>
      <c r="AE682" s="964" t="str">
        <f t="shared" si="343"/>
        <v/>
      </c>
      <c r="AF682" s="964" t="str">
        <f t="shared" si="344"/>
        <v/>
      </c>
      <c r="AG682" s="964" t="str">
        <f t="shared" si="345"/>
        <v/>
      </c>
      <c r="AH682" s="964" t="str">
        <f t="shared" si="346"/>
        <v/>
      </c>
      <c r="AI682" s="964" t="str">
        <f t="shared" si="347"/>
        <v/>
      </c>
      <c r="AJ682" s="964"/>
      <c r="AK682" s="964"/>
      <c r="AL682"/>
      <c r="AM682"/>
      <c r="AN682"/>
      <c r="AO682"/>
      <c r="AP682"/>
      <c r="AQ682"/>
      <c r="AR682"/>
      <c r="AS682"/>
      <c r="AT682"/>
      <c r="AU682"/>
      <c r="AV682"/>
      <c r="AW682"/>
      <c r="AX682" s="9"/>
      <c r="AY682"/>
      <c r="AZ682"/>
      <c r="BA682"/>
      <c r="BB682"/>
      <c r="BC682"/>
      <c r="BD682"/>
      <c r="BE682"/>
      <c r="BF682"/>
      <c r="BG682"/>
      <c r="BH682"/>
      <c r="BI682"/>
      <c r="BJ682"/>
      <c r="BK682"/>
      <c r="BL682"/>
      <c r="BM682"/>
      <c r="BN682"/>
      <c r="BO682"/>
      <c r="BP682"/>
      <c r="BQ682"/>
      <c r="BR682"/>
      <c r="BS682"/>
      <c r="BT682"/>
      <c r="BU682"/>
      <c r="BV682"/>
      <c r="BW682"/>
      <c r="BX682"/>
      <c r="BY682"/>
      <c r="BZ682"/>
      <c r="CA682" s="1396"/>
      <c r="CB682" s="1396"/>
      <c r="CC682"/>
      <c r="CD682"/>
      <c r="CE682"/>
    </row>
    <row r="683" spans="1:83" ht="13.15" customHeight="1" outlineLevel="2" x14ac:dyDescent="0.2">
      <c r="A683"/>
      <c r="B683" s="1"/>
      <c r="C683"/>
      <c r="D683"/>
      <c r="E683"/>
      <c r="F683"/>
      <c r="G683" s="1"/>
      <c r="H683" s="1"/>
      <c r="I683"/>
      <c r="J683"/>
      <c r="K683"/>
      <c r="L683"/>
      <c r="M683"/>
      <c r="N683"/>
      <c r="O683"/>
      <c r="P683"/>
      <c r="Q683"/>
      <c r="R683" s="558" t="s">
        <v>1727</v>
      </c>
      <c r="S683" s="83"/>
      <c r="T683" s="56"/>
      <c r="U683" s="955"/>
      <c r="V683" s="43" t="str">
        <f t="shared" si="348"/>
        <v>H</v>
      </c>
      <c r="W683" s="10"/>
      <c r="X683" s="45" t="s">
        <v>769</v>
      </c>
      <c r="Y683" s="10"/>
      <c r="Z683" s="46" t="str">
        <f>V675</f>
        <v>K</v>
      </c>
      <c r="AA683" s="123"/>
      <c r="AB683" s="1459">
        <f t="shared" si="340"/>
        <v>0</v>
      </c>
      <c r="AC683" s="1460" t="str">
        <f t="shared" si="341"/>
        <v>-</v>
      </c>
      <c r="AD683" s="1459">
        <f t="shared" si="342"/>
        <v>0</v>
      </c>
      <c r="AE683" s="964" t="str">
        <f t="shared" si="343"/>
        <v/>
      </c>
      <c r="AF683" s="964" t="str">
        <f t="shared" si="344"/>
        <v/>
      </c>
      <c r="AG683" s="964" t="str">
        <f t="shared" si="345"/>
        <v/>
      </c>
      <c r="AH683" s="964" t="str">
        <f t="shared" si="346"/>
        <v/>
      </c>
      <c r="AI683" s="964" t="str">
        <f t="shared" si="347"/>
        <v/>
      </c>
      <c r="AJ683" s="964"/>
      <c r="AK683" s="964"/>
      <c r="AL683"/>
      <c r="AM683"/>
      <c r="AN683"/>
      <c r="AO683"/>
      <c r="AP683"/>
      <c r="AQ683"/>
      <c r="AR683"/>
      <c r="AS683"/>
      <c r="AT683"/>
      <c r="AU683"/>
      <c r="AV683"/>
      <c r="AW683" s="9"/>
      <c r="AX683" s="9"/>
      <c r="AY683"/>
      <c r="AZ683"/>
      <c r="BA683"/>
      <c r="BB683"/>
      <c r="BC683"/>
      <c r="BD683"/>
      <c r="BE683"/>
      <c r="BF683"/>
      <c r="BG683"/>
      <c r="BH683"/>
      <c r="BI683"/>
      <c r="BJ683"/>
      <c r="BK683"/>
      <c r="BL683"/>
      <c r="BM683"/>
      <c r="BN683"/>
      <c r="BO683"/>
      <c r="BP683"/>
      <c r="BQ683"/>
      <c r="BR683"/>
      <c r="BS683"/>
      <c r="BT683"/>
      <c r="BU683"/>
      <c r="BV683"/>
      <c r="BW683"/>
      <c r="BX683"/>
      <c r="BY683"/>
      <c r="BZ683"/>
      <c r="CA683" s="1396"/>
      <c r="CB683" s="1396"/>
      <c r="CC683"/>
      <c r="CD683"/>
      <c r="CE683"/>
    </row>
    <row r="684" spans="1:83" ht="13.15" customHeight="1" outlineLevel="2" x14ac:dyDescent="0.2">
      <c r="A684"/>
      <c r="B684" s="1"/>
      <c r="C684"/>
      <c r="D684"/>
      <c r="E684"/>
      <c r="F684"/>
      <c r="G684" s="1"/>
      <c r="H684" s="1"/>
      <c r="I684"/>
      <c r="J684"/>
      <c r="K684"/>
      <c r="L684"/>
      <c r="M684"/>
      <c r="N684"/>
      <c r="O684"/>
      <c r="P684"/>
      <c r="Q684"/>
      <c r="R684" s="558" t="s">
        <v>1727</v>
      </c>
      <c r="S684" s="83"/>
      <c r="T684" s="56"/>
      <c r="U684" s="955"/>
      <c r="V684" s="43" t="str">
        <f t="shared" si="348"/>
        <v>J</v>
      </c>
      <c r="W684" s="10"/>
      <c r="X684" s="45" t="s">
        <v>769</v>
      </c>
      <c r="Y684" s="10"/>
      <c r="Z684" s="46" t="str">
        <f>V676</f>
        <v>M</v>
      </c>
      <c r="AA684" s="123"/>
      <c r="AB684" s="1459">
        <f t="shared" si="340"/>
        <v>0</v>
      </c>
      <c r="AC684" s="1460" t="str">
        <f t="shared" si="341"/>
        <v>-</v>
      </c>
      <c r="AD684" s="1459">
        <f t="shared" si="342"/>
        <v>0</v>
      </c>
      <c r="AE684" s="964" t="str">
        <f t="shared" si="343"/>
        <v/>
      </c>
      <c r="AF684" s="964" t="str">
        <f t="shared" si="344"/>
        <v/>
      </c>
      <c r="AG684" s="964" t="str">
        <f t="shared" si="345"/>
        <v/>
      </c>
      <c r="AH684" s="964" t="str">
        <f t="shared" si="346"/>
        <v/>
      </c>
      <c r="AI684" s="964" t="str">
        <f t="shared" si="347"/>
        <v/>
      </c>
      <c r="AJ684" s="964"/>
      <c r="AK684" s="96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s="1396"/>
      <c r="CB684" s="1396"/>
      <c r="CC684"/>
      <c r="CD684"/>
      <c r="CE684"/>
    </row>
    <row r="685" spans="1:83" ht="13.15" customHeight="1" outlineLevel="2" thickBot="1" x14ac:dyDescent="0.25">
      <c r="A685"/>
      <c r="B685" s="1"/>
      <c r="C685"/>
      <c r="D685"/>
      <c r="E685"/>
      <c r="F685"/>
      <c r="G685" s="1"/>
      <c r="H685" s="1"/>
      <c r="I685"/>
      <c r="J685"/>
      <c r="K685"/>
      <c r="L685"/>
      <c r="M685"/>
      <c r="N685"/>
      <c r="O685"/>
      <c r="P685"/>
      <c r="Q685"/>
      <c r="R685" s="558" t="s">
        <v>1727</v>
      </c>
      <c r="S685" s="83"/>
      <c r="T685" s="56"/>
      <c r="U685" s="955"/>
      <c r="V685" s="43" t="str">
        <f t="shared" si="348"/>
        <v>L</v>
      </c>
      <c r="W685" s="10"/>
      <c r="X685" s="45" t="s">
        <v>769</v>
      </c>
      <c r="Y685" s="10"/>
      <c r="Z685" s="46" t="str">
        <f>+Z676</f>
        <v>N</v>
      </c>
      <c r="AA685" s="123"/>
      <c r="AB685" s="1459">
        <f t="shared" si="340"/>
        <v>0</v>
      </c>
      <c r="AC685" s="1460" t="str">
        <f t="shared" si="341"/>
        <v>-</v>
      </c>
      <c r="AD685" s="1459">
        <f t="shared" si="342"/>
        <v>0</v>
      </c>
      <c r="AE685" s="964" t="str">
        <f t="shared" si="343"/>
        <v/>
      </c>
      <c r="AF685" s="964" t="str">
        <f t="shared" si="344"/>
        <v/>
      </c>
      <c r="AG685" s="964" t="str">
        <f t="shared" si="345"/>
        <v/>
      </c>
      <c r="AH685" s="964" t="str">
        <f t="shared" si="346"/>
        <v/>
      </c>
      <c r="AI685" s="964" t="str">
        <f t="shared" si="347"/>
        <v/>
      </c>
      <c r="AJ685" s="964"/>
      <c r="AK685" s="964"/>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s="1396"/>
      <c r="CB685" s="1396"/>
      <c r="CC685"/>
      <c r="CD685"/>
      <c r="CE685"/>
    </row>
    <row r="686" spans="1:83" ht="13.5" outlineLevel="1" thickBot="1" x14ac:dyDescent="0.25">
      <c r="A686"/>
      <c r="B686" s="1"/>
      <c r="C686" s="1"/>
      <c r="D686" s="76"/>
      <c r="E686" s="76"/>
      <c r="F686" s="76"/>
      <c r="G686" s="9"/>
      <c r="H686" s="9"/>
      <c r="I686" s="1"/>
      <c r="J686"/>
      <c r="K686"/>
      <c r="L686"/>
      <c r="M686"/>
      <c r="N686"/>
      <c r="O686"/>
      <c r="P686" s="89"/>
      <c r="Q686"/>
      <c r="R686" s="1"/>
      <c r="S686" s="993">
        <f>S677+1</f>
        <v>3</v>
      </c>
      <c r="T686" s="961"/>
      <c r="U686" s="961"/>
      <c r="V686" s="961"/>
      <c r="W686" s="960"/>
      <c r="X686" s="960"/>
      <c r="Y686" s="960"/>
      <c r="Z686" s="962"/>
      <c r="AA686" s="123"/>
      <c r="AB686" s="963"/>
      <c r="AC686" s="963"/>
      <c r="AD686" s="963"/>
      <c r="AE686" s="964"/>
      <c r="AF686" s="964"/>
      <c r="AG686" s="964"/>
      <c r="AH686" s="964"/>
      <c r="AI686" s="964"/>
      <c r="AJ686" s="964"/>
      <c r="AK686" s="964"/>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s="1396"/>
      <c r="CB686" s="1396"/>
      <c r="CC686"/>
      <c r="CD686"/>
      <c r="CE686"/>
    </row>
    <row r="687" spans="1:83" ht="13.9" customHeight="1" outlineLevel="2" thickBot="1" x14ac:dyDescent="0.25">
      <c r="A687"/>
      <c r="B687" s="1"/>
      <c r="C687"/>
      <c r="D687"/>
      <c r="E687"/>
      <c r="F687"/>
      <c r="G687" s="1"/>
      <c r="H687" s="1"/>
      <c r="I687"/>
      <c r="J687"/>
      <c r="K687"/>
      <c r="L687"/>
      <c r="M687"/>
      <c r="N687"/>
      <c r="O687"/>
      <c r="P687"/>
      <c r="Q687"/>
      <c r="S687" s="22" t="str">
        <f>N_Heure</f>
        <v>Heure</v>
      </c>
      <c r="T687" s="22" t="str">
        <f>N_Table</f>
        <v>Table</v>
      </c>
      <c r="U687" s="22" t="str">
        <f>N_Arbitre</f>
        <v>Arbitre</v>
      </c>
      <c r="V687" s="293" t="str">
        <f>N_Matches</f>
        <v>Matches</v>
      </c>
      <c r="W687" s="294"/>
      <c r="X687" s="294"/>
      <c r="Y687" s="294"/>
      <c r="Z687" s="295"/>
      <c r="AA687" s="8"/>
      <c r="AB687" s="967"/>
      <c r="AC687" s="967"/>
      <c r="AD687" s="967"/>
      <c r="AE687" s="964"/>
      <c r="AF687" s="964"/>
      <c r="AG687" s="964"/>
      <c r="AH687" s="964"/>
      <c r="AI687" s="964"/>
      <c r="AJ687" s="964"/>
      <c r="AK687" s="964"/>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s="1396"/>
      <c r="CB687" s="1396"/>
      <c r="CC687"/>
      <c r="CD687"/>
      <c r="CE687"/>
    </row>
    <row r="688" spans="1:83" ht="13.15" customHeight="1" outlineLevel="2" x14ac:dyDescent="0.2">
      <c r="A688"/>
      <c r="B688" s="1"/>
      <c r="C688"/>
      <c r="D688"/>
      <c r="E688"/>
      <c r="F688"/>
      <c r="G688" s="1"/>
      <c r="H688" s="1"/>
      <c r="I688"/>
      <c r="J688"/>
      <c r="K688"/>
      <c r="L688"/>
      <c r="M688"/>
      <c r="N688"/>
      <c r="O688"/>
      <c r="P688"/>
      <c r="Q688"/>
      <c r="R688" s="558" t="s">
        <v>1728</v>
      </c>
      <c r="S688" s="65"/>
      <c r="T688" s="953"/>
      <c r="U688" s="954"/>
      <c r="V688" s="34" t="str">
        <f>Z679</f>
        <v>A</v>
      </c>
      <c r="W688" s="148"/>
      <c r="X688" s="35" t="s">
        <v>769</v>
      </c>
      <c r="Y688" s="148"/>
      <c r="Z688" s="36" t="str">
        <f>Z680</f>
        <v>E</v>
      </c>
      <c r="AA688" s="123"/>
      <c r="AB688" s="1459">
        <f t="shared" ref="AB688:AB694" si="349">IF(MaxScore,MaxGoals(W688,Y688,MaxGoalsValue),IF(W688="","",W688))</f>
        <v>0</v>
      </c>
      <c r="AC688" s="1460" t="str">
        <f t="shared" ref="AC688:AC694" si="350">IF(MaxScore,"-",IF(W688="","","-"))</f>
        <v>-</v>
      </c>
      <c r="AD688" s="1459">
        <f t="shared" ref="AD688:AD694" si="351">IF(MaxScore,MaxGoals(Y688,W688,MaxGoalsValue),IF(Y688="","",Y688))</f>
        <v>0</v>
      </c>
      <c r="AE688" s="964" t="str">
        <f t="shared" ref="AE688:AE694" si="352">IF(W688="","",IF(W688&gt;Y688,V688,IF(W688=Y688,"",Z688)))</f>
        <v/>
      </c>
      <c r="AF688" s="964" t="str">
        <f t="shared" ref="AF688:AF694" si="353">IF(W688="","",IF(W688=Y688,V688,""))</f>
        <v/>
      </c>
      <c r="AG688" s="964" t="str">
        <f t="shared" ref="AG688:AG694" si="354">IF(W688="","",IF(W688=Y688,Z688,""))</f>
        <v/>
      </c>
      <c r="AH688" s="964" t="str">
        <f t="shared" ref="AH688:AH694" si="355">IF(W688="","",IF(W688&lt;Y688,V688,IF(W688=Y688,"",Z688)))</f>
        <v/>
      </c>
      <c r="AI688" s="964" t="str">
        <f t="shared" ref="AI688:AI694" si="356">CONCATENATE(AE688,AH688)</f>
        <v/>
      </c>
      <c r="AJ688" s="964"/>
      <c r="AK688" s="964"/>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s="1396"/>
      <c r="CB688" s="1396"/>
      <c r="CC688"/>
      <c r="CD688"/>
      <c r="CE688"/>
    </row>
    <row r="689" spans="1:83" ht="13.15" customHeight="1" outlineLevel="2" x14ac:dyDescent="0.2">
      <c r="A689"/>
      <c r="B689" s="1"/>
      <c r="C689"/>
      <c r="D689"/>
      <c r="E689"/>
      <c r="F689"/>
      <c r="G689" s="1"/>
      <c r="H689" s="1"/>
      <c r="I689"/>
      <c r="J689"/>
      <c r="K689"/>
      <c r="L689"/>
      <c r="M689"/>
      <c r="N689"/>
      <c r="O689"/>
      <c r="P689"/>
      <c r="Q689"/>
      <c r="R689" s="558" t="s">
        <v>1728</v>
      </c>
      <c r="S689" s="83"/>
      <c r="T689" s="56"/>
      <c r="U689" s="955"/>
      <c r="V689" s="43" t="str">
        <f>Z681</f>
        <v>G</v>
      </c>
      <c r="W689" s="10"/>
      <c r="X689" s="45" t="s">
        <v>769</v>
      </c>
      <c r="Y689" s="10"/>
      <c r="Z689" s="46" t="str">
        <f>V679</f>
        <v>C</v>
      </c>
      <c r="AA689" s="123"/>
      <c r="AB689" s="1459">
        <f t="shared" si="349"/>
        <v>0</v>
      </c>
      <c r="AC689" s="1460" t="str">
        <f t="shared" si="350"/>
        <v>-</v>
      </c>
      <c r="AD689" s="1459">
        <f t="shared" si="351"/>
        <v>0</v>
      </c>
      <c r="AE689" s="964" t="str">
        <f t="shared" si="352"/>
        <v/>
      </c>
      <c r="AF689" s="964" t="str">
        <f t="shared" si="353"/>
        <v/>
      </c>
      <c r="AG689" s="964" t="str">
        <f t="shared" si="354"/>
        <v/>
      </c>
      <c r="AH689" s="964" t="str">
        <f t="shared" si="355"/>
        <v/>
      </c>
      <c r="AI689" s="964" t="str">
        <f t="shared" si="356"/>
        <v/>
      </c>
      <c r="AJ689" s="964"/>
      <c r="AK689" s="964"/>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s="1396"/>
      <c r="CB689" s="1396"/>
      <c r="CC689"/>
      <c r="CD689"/>
      <c r="CE689"/>
    </row>
    <row r="690" spans="1:83" ht="13.15" customHeight="1" outlineLevel="2" x14ac:dyDescent="0.2">
      <c r="A690"/>
      <c r="B690" s="1"/>
      <c r="C690"/>
      <c r="D690"/>
      <c r="E690"/>
      <c r="F690"/>
      <c r="G690" s="1"/>
      <c r="H690" s="1"/>
      <c r="I690"/>
      <c r="J690"/>
      <c r="K690"/>
      <c r="L690"/>
      <c r="M690"/>
      <c r="N690"/>
      <c r="O690"/>
      <c r="P690"/>
      <c r="Q690"/>
      <c r="R690" s="558" t="s">
        <v>1728</v>
      </c>
      <c r="S690" s="83"/>
      <c r="T690" s="56"/>
      <c r="U690" s="955"/>
      <c r="V690" s="43" t="str">
        <f>Z682</f>
        <v>I</v>
      </c>
      <c r="W690" s="10"/>
      <c r="X690" s="45" t="s">
        <v>769</v>
      </c>
      <c r="Y690" s="10"/>
      <c r="Z690" s="46" t="str">
        <f>V680</f>
        <v>B</v>
      </c>
      <c r="AA690" s="123"/>
      <c r="AB690" s="1459">
        <f t="shared" si="349"/>
        <v>0</v>
      </c>
      <c r="AC690" s="1460" t="str">
        <f t="shared" si="350"/>
        <v>-</v>
      </c>
      <c r="AD690" s="1459">
        <f t="shared" si="351"/>
        <v>0</v>
      </c>
      <c r="AE690" s="964" t="str">
        <f t="shared" si="352"/>
        <v/>
      </c>
      <c r="AF690" s="964" t="str">
        <f t="shared" si="353"/>
        <v/>
      </c>
      <c r="AG690" s="964" t="str">
        <f t="shared" si="354"/>
        <v/>
      </c>
      <c r="AH690" s="964" t="str">
        <f t="shared" si="355"/>
        <v/>
      </c>
      <c r="AI690" s="964" t="str">
        <f t="shared" si="356"/>
        <v/>
      </c>
      <c r="AJ690" s="964"/>
      <c r="AK690" s="964"/>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s="1396"/>
      <c r="CB690" s="1396"/>
      <c r="CC690"/>
      <c r="CD690"/>
      <c r="CE690"/>
    </row>
    <row r="691" spans="1:83" ht="13.15" customHeight="1" outlineLevel="2" x14ac:dyDescent="0.2">
      <c r="A691"/>
      <c r="B691" s="1"/>
      <c r="C691"/>
      <c r="D691"/>
      <c r="E691"/>
      <c r="F691"/>
      <c r="G691" s="1"/>
      <c r="H691" s="1"/>
      <c r="I691"/>
      <c r="J691"/>
      <c r="K691"/>
      <c r="L691"/>
      <c r="M691"/>
      <c r="N691"/>
      <c r="O691"/>
      <c r="P691"/>
      <c r="Q691"/>
      <c r="R691" s="558" t="s">
        <v>1728</v>
      </c>
      <c r="S691" s="83"/>
      <c r="T691" s="56"/>
      <c r="U691" s="955"/>
      <c r="V691" s="43" t="str">
        <f>Z683</f>
        <v>K</v>
      </c>
      <c r="W691" s="10"/>
      <c r="X691" s="45" t="s">
        <v>769</v>
      </c>
      <c r="Y691" s="10"/>
      <c r="Z691" s="46" t="str">
        <f>V681</f>
        <v>D</v>
      </c>
      <c r="AA691" s="123"/>
      <c r="AB691" s="1459">
        <f t="shared" si="349"/>
        <v>0</v>
      </c>
      <c r="AC691" s="1460" t="str">
        <f t="shared" si="350"/>
        <v>-</v>
      </c>
      <c r="AD691" s="1459">
        <f t="shared" si="351"/>
        <v>0</v>
      </c>
      <c r="AE691" s="964" t="str">
        <f t="shared" si="352"/>
        <v/>
      </c>
      <c r="AF691" s="964" t="str">
        <f t="shared" si="353"/>
        <v/>
      </c>
      <c r="AG691" s="964" t="str">
        <f t="shared" si="354"/>
        <v/>
      </c>
      <c r="AH691" s="964" t="str">
        <f t="shared" si="355"/>
        <v/>
      </c>
      <c r="AI691" s="964" t="str">
        <f t="shared" si="356"/>
        <v/>
      </c>
      <c r="AJ691" s="964"/>
      <c r="AK691" s="964"/>
      <c r="AL691"/>
      <c r="AM691"/>
      <c r="AN691"/>
      <c r="AO691"/>
      <c r="AP691"/>
      <c r="AQ691"/>
      <c r="AR691"/>
      <c r="AS691"/>
      <c r="AT691"/>
      <c r="AU691"/>
      <c r="AV691"/>
      <c r="AW691"/>
      <c r="AX691" s="9"/>
      <c r="AY691"/>
      <c r="AZ691"/>
      <c r="BA691"/>
      <c r="BB691"/>
      <c r="BC691"/>
      <c r="BD691"/>
      <c r="BE691"/>
      <c r="BF691"/>
      <c r="BG691"/>
      <c r="BH691"/>
      <c r="BI691"/>
      <c r="BJ691"/>
      <c r="BK691"/>
      <c r="BL691"/>
      <c r="BM691"/>
      <c r="BN691"/>
      <c r="BO691"/>
      <c r="BP691"/>
      <c r="BQ691"/>
      <c r="BR691"/>
      <c r="BS691"/>
      <c r="BT691"/>
      <c r="BU691"/>
      <c r="BV691"/>
      <c r="BW691"/>
      <c r="BX691"/>
      <c r="BY691"/>
      <c r="BZ691"/>
      <c r="CA691" s="1396"/>
      <c r="CB691" s="1396"/>
      <c r="CC691"/>
      <c r="CD691"/>
      <c r="CE691"/>
    </row>
    <row r="692" spans="1:83" ht="13.15" customHeight="1" outlineLevel="2" x14ac:dyDescent="0.2">
      <c r="A692"/>
      <c r="B692" s="1"/>
      <c r="C692"/>
      <c r="D692"/>
      <c r="E692"/>
      <c r="F692"/>
      <c r="G692" s="1"/>
      <c r="H692" s="1"/>
      <c r="I692"/>
      <c r="J692"/>
      <c r="K692"/>
      <c r="L692"/>
      <c r="M692"/>
      <c r="N692"/>
      <c r="O692"/>
      <c r="P692"/>
      <c r="Q692"/>
      <c r="R692" s="558" t="s">
        <v>1728</v>
      </c>
      <c r="S692" s="83"/>
      <c r="T692" s="56"/>
      <c r="U692" s="955"/>
      <c r="V692" s="43" t="str">
        <f>Z684</f>
        <v>M</v>
      </c>
      <c r="W692" s="10"/>
      <c r="X692" s="45" t="s">
        <v>769</v>
      </c>
      <c r="Y692" s="10"/>
      <c r="Z692" s="46" t="str">
        <f>V682</f>
        <v>F</v>
      </c>
      <c r="AA692" s="123"/>
      <c r="AB692" s="1459">
        <f t="shared" si="349"/>
        <v>0</v>
      </c>
      <c r="AC692" s="1460" t="str">
        <f t="shared" si="350"/>
        <v>-</v>
      </c>
      <c r="AD692" s="1459">
        <f t="shared" si="351"/>
        <v>0</v>
      </c>
      <c r="AE692" s="964" t="str">
        <f t="shared" si="352"/>
        <v/>
      </c>
      <c r="AF692" s="964" t="str">
        <f t="shared" si="353"/>
        <v/>
      </c>
      <c r="AG692" s="964" t="str">
        <f t="shared" si="354"/>
        <v/>
      </c>
      <c r="AH692" s="964" t="str">
        <f t="shared" si="355"/>
        <v/>
      </c>
      <c r="AI692" s="964" t="str">
        <f t="shared" si="356"/>
        <v/>
      </c>
      <c r="AJ692" s="964"/>
      <c r="AK692" s="964"/>
      <c r="AL692"/>
      <c r="AM692"/>
      <c r="AN692"/>
      <c r="AO692"/>
      <c r="AP692"/>
      <c r="AQ692"/>
      <c r="AR692"/>
      <c r="AS692"/>
      <c r="AT692"/>
      <c r="AU692"/>
      <c r="AV692"/>
      <c r="AW692" s="9"/>
      <c r="AX692" s="9"/>
      <c r="AY692"/>
      <c r="AZ692"/>
      <c r="BA692"/>
      <c r="BB692"/>
      <c r="BC692"/>
      <c r="BD692"/>
      <c r="BE692"/>
      <c r="BF692"/>
      <c r="BG692"/>
      <c r="BH692"/>
      <c r="BI692"/>
      <c r="BJ692"/>
      <c r="BK692"/>
      <c r="BL692"/>
      <c r="BM692"/>
      <c r="BN692"/>
      <c r="BO692"/>
      <c r="BP692"/>
      <c r="BQ692"/>
      <c r="BR692"/>
      <c r="BS692"/>
      <c r="BT692"/>
      <c r="BU692"/>
      <c r="BV692"/>
      <c r="BW692"/>
      <c r="BX692"/>
      <c r="BY692"/>
      <c r="BZ692"/>
      <c r="CA692" s="1396"/>
      <c r="CB692" s="1396"/>
      <c r="CC692"/>
      <c r="CD692"/>
      <c r="CE692"/>
    </row>
    <row r="693" spans="1:83" ht="13.15" customHeight="1" outlineLevel="2" x14ac:dyDescent="0.2">
      <c r="A693"/>
      <c r="B693" s="1"/>
      <c r="C693"/>
      <c r="D693"/>
      <c r="E693"/>
      <c r="F693"/>
      <c r="G693" s="1"/>
      <c r="H693" s="1"/>
      <c r="I693"/>
      <c r="J693"/>
      <c r="K693"/>
      <c r="L693"/>
      <c r="M693"/>
      <c r="N693"/>
      <c r="O693"/>
      <c r="P693"/>
      <c r="Q693"/>
      <c r="R693" s="558" t="s">
        <v>1728</v>
      </c>
      <c r="S693" s="83"/>
      <c r="T693" s="56"/>
      <c r="U693" s="955"/>
      <c r="V693" s="43" t="str">
        <f>Z685</f>
        <v>N</v>
      </c>
      <c r="W693" s="10"/>
      <c r="X693" s="45" t="s">
        <v>769</v>
      </c>
      <c r="Y693" s="10"/>
      <c r="Z693" s="46" t="str">
        <f>V683</f>
        <v>H</v>
      </c>
      <c r="AA693" s="123"/>
      <c r="AB693" s="1459">
        <f t="shared" si="349"/>
        <v>0</v>
      </c>
      <c r="AC693" s="1460" t="str">
        <f t="shared" si="350"/>
        <v>-</v>
      </c>
      <c r="AD693" s="1459">
        <f t="shared" si="351"/>
        <v>0</v>
      </c>
      <c r="AE693" s="964" t="str">
        <f t="shared" si="352"/>
        <v/>
      </c>
      <c r="AF693" s="964" t="str">
        <f t="shared" si="353"/>
        <v/>
      </c>
      <c r="AG693" s="964" t="str">
        <f t="shared" si="354"/>
        <v/>
      </c>
      <c r="AH693" s="964" t="str">
        <f t="shared" si="355"/>
        <v/>
      </c>
      <c r="AI693" s="964" t="str">
        <f t="shared" si="356"/>
        <v/>
      </c>
      <c r="AJ693" s="964"/>
      <c r="AK693" s="964"/>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s="1396"/>
      <c r="CB693" s="1396"/>
      <c r="CC693"/>
      <c r="CD693"/>
      <c r="CE693"/>
    </row>
    <row r="694" spans="1:83" ht="13.9" customHeight="1" outlineLevel="2" thickBot="1" x14ac:dyDescent="0.25">
      <c r="A694"/>
      <c r="B694" s="1"/>
      <c r="C694"/>
      <c r="D694"/>
      <c r="E694"/>
      <c r="F694"/>
      <c r="G694" s="1"/>
      <c r="H694" s="1"/>
      <c r="I694"/>
      <c r="J694"/>
      <c r="K694"/>
      <c r="L694"/>
      <c r="M694"/>
      <c r="N694"/>
      <c r="O694"/>
      <c r="P694"/>
      <c r="Q694"/>
      <c r="R694" s="558" t="s">
        <v>1728</v>
      </c>
      <c r="S694" s="956"/>
      <c r="T694" s="58"/>
      <c r="U694" s="957"/>
      <c r="V694" s="958" t="str">
        <f>+V685</f>
        <v>L</v>
      </c>
      <c r="W694" s="10"/>
      <c r="X694" s="45" t="s">
        <v>769</v>
      </c>
      <c r="Y694" s="10"/>
      <c r="Z694" s="46" t="str">
        <f>+V684</f>
        <v>J</v>
      </c>
      <c r="AA694" s="123"/>
      <c r="AB694" s="1459">
        <f t="shared" si="349"/>
        <v>0</v>
      </c>
      <c r="AC694" s="1460" t="str">
        <f t="shared" si="350"/>
        <v>-</v>
      </c>
      <c r="AD694" s="1459">
        <f t="shared" si="351"/>
        <v>0</v>
      </c>
      <c r="AE694" s="964" t="str">
        <f t="shared" si="352"/>
        <v/>
      </c>
      <c r="AF694" s="964" t="str">
        <f t="shared" si="353"/>
        <v/>
      </c>
      <c r="AG694" s="964" t="str">
        <f t="shared" si="354"/>
        <v/>
      </c>
      <c r="AH694" s="964" t="str">
        <f t="shared" si="355"/>
        <v/>
      </c>
      <c r="AI694" s="964" t="str">
        <f t="shared" si="356"/>
        <v/>
      </c>
      <c r="AJ694" s="964"/>
      <c r="AK694" s="964"/>
      <c r="AL694"/>
      <c r="AM694"/>
      <c r="AN694"/>
      <c r="AO694"/>
      <c r="AP694"/>
      <c r="AQ694"/>
      <c r="AR694"/>
      <c r="AS694"/>
      <c r="AT694"/>
      <c r="AU694"/>
      <c r="AV694"/>
      <c r="AW694" s="9"/>
      <c r="AX694" s="9"/>
      <c r="AY694"/>
      <c r="AZ694"/>
      <c r="BA694"/>
      <c r="BB694"/>
      <c r="BC694"/>
      <c r="BD694"/>
      <c r="BE694"/>
      <c r="BF694"/>
      <c r="BG694"/>
      <c r="BH694"/>
      <c r="BI694"/>
      <c r="BJ694"/>
      <c r="BK694"/>
      <c r="BL694"/>
      <c r="BM694"/>
      <c r="BN694"/>
      <c r="BO694"/>
      <c r="BP694"/>
      <c r="BQ694"/>
      <c r="BR694"/>
      <c r="BS694"/>
      <c r="BT694"/>
      <c r="BU694"/>
      <c r="BV694"/>
      <c r="BW694"/>
      <c r="BX694"/>
      <c r="BY694"/>
      <c r="BZ694"/>
      <c r="CA694" s="1396"/>
      <c r="CB694" s="1396"/>
      <c r="CC694"/>
      <c r="CD694"/>
      <c r="CE694"/>
    </row>
    <row r="695" spans="1:83" ht="13.5" outlineLevel="1" thickBot="1" x14ac:dyDescent="0.25">
      <c r="A695"/>
      <c r="B695" s="1"/>
      <c r="C695" s="1"/>
      <c r="D695" s="76"/>
      <c r="E695" s="76"/>
      <c r="F695" s="76"/>
      <c r="G695" s="9"/>
      <c r="H695" s="9"/>
      <c r="I695" s="1"/>
      <c r="J695"/>
      <c r="K695"/>
      <c r="L695"/>
      <c r="M695"/>
      <c r="N695"/>
      <c r="O695"/>
      <c r="P695" s="89"/>
      <c r="Q695"/>
      <c r="R695" s="1"/>
      <c r="S695" s="993">
        <f>S686+1</f>
        <v>4</v>
      </c>
      <c r="T695" s="961"/>
      <c r="U695" s="961"/>
      <c r="V695" s="961"/>
      <c r="W695" s="960"/>
      <c r="X695" s="960"/>
      <c r="Y695" s="960"/>
      <c r="Z695" s="962"/>
      <c r="AA695" s="123"/>
      <c r="AB695" s="963"/>
      <c r="AC695" s="963"/>
      <c r="AD695" s="963"/>
      <c r="AE695" s="964"/>
      <c r="AF695" s="964"/>
      <c r="AG695" s="964"/>
      <c r="AH695" s="964"/>
      <c r="AI695" s="964"/>
      <c r="AJ695" s="964"/>
      <c r="AK695" s="964"/>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s="1396"/>
      <c r="CB695" s="1396"/>
      <c r="CC695"/>
      <c r="CD695"/>
      <c r="CE695"/>
    </row>
    <row r="696" spans="1:83" ht="13.9" customHeight="1" outlineLevel="2" thickBot="1" x14ac:dyDescent="0.25">
      <c r="A696"/>
      <c r="B696" s="1"/>
      <c r="C696"/>
      <c r="D696"/>
      <c r="E696"/>
      <c r="F696"/>
      <c r="G696" s="1"/>
      <c r="H696" s="1"/>
      <c r="I696"/>
      <c r="J696"/>
      <c r="K696"/>
      <c r="L696"/>
      <c r="M696"/>
      <c r="N696"/>
      <c r="O696"/>
      <c r="P696"/>
      <c r="Q696"/>
      <c r="S696" s="22" t="str">
        <f>N_Heure</f>
        <v>Heure</v>
      </c>
      <c r="T696" s="22" t="str">
        <f>N_Table</f>
        <v>Table</v>
      </c>
      <c r="U696" s="22" t="str">
        <f>N_Arbitre</f>
        <v>Arbitre</v>
      </c>
      <c r="V696" s="293" t="str">
        <f>N_Matches</f>
        <v>Matches</v>
      </c>
      <c r="W696" s="294"/>
      <c r="X696" s="294"/>
      <c r="Y696" s="294"/>
      <c r="Z696" s="295"/>
      <c r="AA696" s="8"/>
      <c r="AB696" s="967"/>
      <c r="AC696" s="967"/>
      <c r="AD696" s="967"/>
      <c r="AE696" s="964"/>
      <c r="AF696" s="964"/>
      <c r="AG696" s="964"/>
      <c r="AH696" s="964"/>
      <c r="AI696" s="964"/>
      <c r="AJ696" s="964"/>
      <c r="AK696" s="964"/>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s="1396"/>
      <c r="CB696" s="1396"/>
      <c r="CC696"/>
      <c r="CD696"/>
      <c r="CE696"/>
    </row>
    <row r="697" spans="1:83" ht="13.15" customHeight="1" outlineLevel="2" x14ac:dyDescent="0.2">
      <c r="A697"/>
      <c r="B697" s="1"/>
      <c r="C697"/>
      <c r="D697"/>
      <c r="E697"/>
      <c r="F697"/>
      <c r="G697" s="1"/>
      <c r="H697" s="1"/>
      <c r="I697"/>
      <c r="J697"/>
      <c r="K697"/>
      <c r="L697"/>
      <c r="M697"/>
      <c r="N697"/>
      <c r="O697"/>
      <c r="P697"/>
      <c r="Q697"/>
      <c r="R697" s="558" t="s">
        <v>1729</v>
      </c>
      <c r="S697" s="65"/>
      <c r="T697" s="953"/>
      <c r="U697" s="954"/>
      <c r="V697" s="34" t="str">
        <f>V689</f>
        <v>G</v>
      </c>
      <c r="W697" s="148"/>
      <c r="X697" s="35" t="s">
        <v>769</v>
      </c>
      <c r="Y697" s="148"/>
      <c r="Z697" s="36" t="str">
        <f>V688</f>
        <v>A</v>
      </c>
      <c r="AA697" s="123"/>
      <c r="AB697" s="1459">
        <f t="shared" ref="AB697:AB703" si="357">IF(MaxScore,MaxGoals(W697,Y697,MaxGoalsValue),IF(W697="","",W697))</f>
        <v>0</v>
      </c>
      <c r="AC697" s="1460" t="str">
        <f t="shared" ref="AC697:AC703" si="358">IF(MaxScore,"-",IF(W697="","","-"))</f>
        <v>-</v>
      </c>
      <c r="AD697" s="1459">
        <f t="shared" ref="AD697:AD703" si="359">IF(MaxScore,MaxGoals(Y697,W697,MaxGoalsValue),IF(Y697="","",Y697))</f>
        <v>0</v>
      </c>
      <c r="AE697" s="964" t="str">
        <f t="shared" ref="AE697:AE703" si="360">IF(W697="","",IF(W697&gt;Y697,V697,IF(W697=Y697,"",Z697)))</f>
        <v/>
      </c>
      <c r="AF697" s="964" t="str">
        <f t="shared" ref="AF697:AF703" si="361">IF(W697="","",IF(W697=Y697,V697,""))</f>
        <v/>
      </c>
      <c r="AG697" s="964" t="str">
        <f t="shared" ref="AG697:AG703" si="362">IF(W697="","",IF(W697=Y697,Z697,""))</f>
        <v/>
      </c>
      <c r="AH697" s="964" t="str">
        <f t="shared" ref="AH697:AH703" si="363">IF(W697="","",IF(W697&lt;Y697,V697,IF(W697=Y697,"",Z697)))</f>
        <v/>
      </c>
      <c r="AI697" s="964" t="str">
        <f t="shared" ref="AI697:AI703" si="364">CONCATENATE(AE697,AH697)</f>
        <v/>
      </c>
      <c r="AJ697" s="964"/>
      <c r="AK697" s="964"/>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s="1396"/>
      <c r="CB697" s="1396"/>
      <c r="CC697"/>
      <c r="CD697"/>
      <c r="CE697"/>
    </row>
    <row r="698" spans="1:83" ht="13.15" customHeight="1" outlineLevel="2" x14ac:dyDescent="0.2">
      <c r="A698"/>
      <c r="B698" s="1"/>
      <c r="C698"/>
      <c r="D698"/>
      <c r="E698"/>
      <c r="F698"/>
      <c r="G698" s="1"/>
      <c r="H698" s="1"/>
      <c r="I698"/>
      <c r="J698"/>
      <c r="K698"/>
      <c r="L698"/>
      <c r="M698"/>
      <c r="N698"/>
      <c r="O698"/>
      <c r="P698"/>
      <c r="Q698"/>
      <c r="R698" s="558" t="s">
        <v>1729</v>
      </c>
      <c r="S698" s="83"/>
      <c r="T698" s="56"/>
      <c r="U698" s="955"/>
      <c r="V698" s="43" t="str">
        <f t="shared" ref="V698:V703" si="365">Z688</f>
        <v>E</v>
      </c>
      <c r="W698" s="10"/>
      <c r="X698" s="45" t="s">
        <v>769</v>
      </c>
      <c r="Y698" s="10"/>
      <c r="Z698" s="46" t="str">
        <f>V690</f>
        <v>I</v>
      </c>
      <c r="AA698" s="123"/>
      <c r="AB698" s="1459">
        <f t="shared" si="357"/>
        <v>0</v>
      </c>
      <c r="AC698" s="1460" t="str">
        <f t="shared" si="358"/>
        <v>-</v>
      </c>
      <c r="AD698" s="1459">
        <f t="shared" si="359"/>
        <v>0</v>
      </c>
      <c r="AE698" s="964" t="str">
        <f t="shared" si="360"/>
        <v/>
      </c>
      <c r="AF698" s="964" t="str">
        <f t="shared" si="361"/>
        <v/>
      </c>
      <c r="AG698" s="964" t="str">
        <f t="shared" si="362"/>
        <v/>
      </c>
      <c r="AH698" s="964" t="str">
        <f t="shared" si="363"/>
        <v/>
      </c>
      <c r="AI698" s="964" t="str">
        <f t="shared" si="364"/>
        <v/>
      </c>
      <c r="AJ698" s="964"/>
      <c r="AK698" s="964"/>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s="1396"/>
      <c r="CB698" s="1396"/>
      <c r="CC698"/>
      <c r="CD698"/>
      <c r="CE698"/>
    </row>
    <row r="699" spans="1:83" ht="13.15" customHeight="1" outlineLevel="2" x14ac:dyDescent="0.2">
      <c r="A699"/>
      <c r="B699" s="1"/>
      <c r="C699"/>
      <c r="D699"/>
      <c r="E699"/>
      <c r="F699"/>
      <c r="G699" s="1"/>
      <c r="H699" s="1"/>
      <c r="I699"/>
      <c r="J699"/>
      <c r="K699"/>
      <c r="L699"/>
      <c r="M699"/>
      <c r="N699"/>
      <c r="O699"/>
      <c r="P699"/>
      <c r="Q699"/>
      <c r="R699" s="558" t="s">
        <v>1729</v>
      </c>
      <c r="S699" s="83"/>
      <c r="T699" s="56"/>
      <c r="U699" s="955"/>
      <c r="V699" s="43" t="str">
        <f t="shared" si="365"/>
        <v>C</v>
      </c>
      <c r="W699" s="10"/>
      <c r="X699" s="45" t="s">
        <v>769</v>
      </c>
      <c r="Y699" s="10"/>
      <c r="Z699" s="46" t="str">
        <f>V691</f>
        <v>K</v>
      </c>
      <c r="AA699" s="123"/>
      <c r="AB699" s="1459">
        <f t="shared" si="357"/>
        <v>0</v>
      </c>
      <c r="AC699" s="1460" t="str">
        <f t="shared" si="358"/>
        <v>-</v>
      </c>
      <c r="AD699" s="1459">
        <f t="shared" si="359"/>
        <v>0</v>
      </c>
      <c r="AE699" s="964" t="str">
        <f t="shared" si="360"/>
        <v/>
      </c>
      <c r="AF699" s="964" t="str">
        <f t="shared" si="361"/>
        <v/>
      </c>
      <c r="AG699" s="964" t="str">
        <f t="shared" si="362"/>
        <v/>
      </c>
      <c r="AH699" s="964" t="str">
        <f t="shared" si="363"/>
        <v/>
      </c>
      <c r="AI699" s="964" t="str">
        <f t="shared" si="364"/>
        <v/>
      </c>
      <c r="AJ699" s="964"/>
      <c r="AK699" s="964"/>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s="1396"/>
      <c r="CB699" s="1396"/>
      <c r="CC699"/>
      <c r="CD699"/>
      <c r="CE699"/>
    </row>
    <row r="700" spans="1:83" ht="13.15" customHeight="1" outlineLevel="2" x14ac:dyDescent="0.2">
      <c r="A700"/>
      <c r="B700" s="1"/>
      <c r="C700"/>
      <c r="D700"/>
      <c r="E700"/>
      <c r="F700"/>
      <c r="G700" s="1"/>
      <c r="H700" s="1"/>
      <c r="I700"/>
      <c r="J700"/>
      <c r="K700"/>
      <c r="L700"/>
      <c r="M700"/>
      <c r="N700"/>
      <c r="O700"/>
      <c r="P700"/>
      <c r="Q700"/>
      <c r="R700" s="558" t="s">
        <v>1729</v>
      </c>
      <c r="S700" s="83"/>
      <c r="T700" s="56"/>
      <c r="U700" s="955"/>
      <c r="V700" s="43" t="str">
        <f t="shared" si="365"/>
        <v>B</v>
      </c>
      <c r="W700" s="10"/>
      <c r="X700" s="45" t="s">
        <v>769</v>
      </c>
      <c r="Y700" s="10"/>
      <c r="Z700" s="46" t="str">
        <f>V692</f>
        <v>M</v>
      </c>
      <c r="AA700" s="123"/>
      <c r="AB700" s="1459">
        <f t="shared" si="357"/>
        <v>0</v>
      </c>
      <c r="AC700" s="1460" t="str">
        <f t="shared" si="358"/>
        <v>-</v>
      </c>
      <c r="AD700" s="1459">
        <f t="shared" si="359"/>
        <v>0</v>
      </c>
      <c r="AE700" s="964" t="str">
        <f t="shared" si="360"/>
        <v/>
      </c>
      <c r="AF700" s="964" t="str">
        <f t="shared" si="361"/>
        <v/>
      </c>
      <c r="AG700" s="964" t="str">
        <f t="shared" si="362"/>
        <v/>
      </c>
      <c r="AH700" s="964" t="str">
        <f t="shared" si="363"/>
        <v/>
      </c>
      <c r="AI700" s="964" t="str">
        <f t="shared" si="364"/>
        <v/>
      </c>
      <c r="AJ700" s="964"/>
      <c r="AK700" s="964"/>
      <c r="AL700"/>
      <c r="AM700"/>
      <c r="AN700"/>
      <c r="AO700"/>
      <c r="AP700"/>
      <c r="AQ700"/>
      <c r="AR700"/>
      <c r="AS700"/>
      <c r="AT700"/>
      <c r="AU700"/>
      <c r="AV700"/>
      <c r="AW700"/>
      <c r="AX700" s="9"/>
      <c r="AY700"/>
      <c r="AZ700"/>
      <c r="BA700"/>
      <c r="BB700"/>
      <c r="BC700"/>
      <c r="BD700"/>
      <c r="BE700"/>
      <c r="BF700"/>
      <c r="BG700"/>
      <c r="BH700"/>
      <c r="BI700"/>
      <c r="BJ700"/>
      <c r="BK700"/>
      <c r="BL700"/>
      <c r="BM700"/>
      <c r="BN700"/>
      <c r="BO700"/>
      <c r="BP700"/>
      <c r="BQ700"/>
      <c r="BR700"/>
      <c r="BS700"/>
      <c r="BT700"/>
      <c r="BU700"/>
      <c r="BV700"/>
      <c r="BW700"/>
      <c r="BX700"/>
      <c r="BY700"/>
      <c r="BZ700"/>
      <c r="CA700" s="1396"/>
      <c r="CB700" s="1396"/>
      <c r="CC700"/>
      <c r="CD700"/>
      <c r="CE700"/>
    </row>
    <row r="701" spans="1:83" ht="13.15" customHeight="1" outlineLevel="2" x14ac:dyDescent="0.2">
      <c r="A701"/>
      <c r="B701" s="1"/>
      <c r="C701"/>
      <c r="D701"/>
      <c r="E701"/>
      <c r="F701"/>
      <c r="G701" s="1"/>
      <c r="H701" s="1"/>
      <c r="I701"/>
      <c r="J701"/>
      <c r="K701"/>
      <c r="L701"/>
      <c r="M701"/>
      <c r="N701"/>
      <c r="O701"/>
      <c r="P701"/>
      <c r="Q701"/>
      <c r="R701" s="558" t="s">
        <v>1729</v>
      </c>
      <c r="S701" s="83"/>
      <c r="T701" s="56"/>
      <c r="U701" s="955"/>
      <c r="V701" s="43" t="str">
        <f t="shared" si="365"/>
        <v>D</v>
      </c>
      <c r="W701" s="10"/>
      <c r="X701" s="45" t="s">
        <v>769</v>
      </c>
      <c r="Y701" s="10"/>
      <c r="Z701" s="46" t="str">
        <f>V693</f>
        <v>N</v>
      </c>
      <c r="AA701" s="123"/>
      <c r="AB701" s="1459">
        <f t="shared" si="357"/>
        <v>0</v>
      </c>
      <c r="AC701" s="1460" t="str">
        <f t="shared" si="358"/>
        <v>-</v>
      </c>
      <c r="AD701" s="1459">
        <f t="shared" si="359"/>
        <v>0</v>
      </c>
      <c r="AE701" s="964" t="str">
        <f t="shared" si="360"/>
        <v/>
      </c>
      <c r="AF701" s="964" t="str">
        <f t="shared" si="361"/>
        <v/>
      </c>
      <c r="AG701" s="964" t="str">
        <f t="shared" si="362"/>
        <v/>
      </c>
      <c r="AH701" s="964" t="str">
        <f t="shared" si="363"/>
        <v/>
      </c>
      <c r="AI701" s="964" t="str">
        <f t="shared" si="364"/>
        <v/>
      </c>
      <c r="AJ701" s="964"/>
      <c r="AK701" s="964"/>
      <c r="AL701"/>
      <c r="AM701"/>
      <c r="AN701"/>
      <c r="AO701"/>
      <c r="AP701"/>
      <c r="AQ701"/>
      <c r="AR701"/>
      <c r="AS701"/>
      <c r="AT701"/>
      <c r="AU701"/>
      <c r="AV701"/>
      <c r="AW701" s="9"/>
      <c r="AX701" s="9"/>
      <c r="AY701"/>
      <c r="AZ701"/>
      <c r="BA701"/>
      <c r="BB701"/>
      <c r="BC701"/>
      <c r="BD701"/>
      <c r="BE701"/>
      <c r="BF701"/>
      <c r="BG701"/>
      <c r="BH701"/>
      <c r="BI701"/>
      <c r="BJ701"/>
      <c r="BK701"/>
      <c r="BL701"/>
      <c r="BM701"/>
      <c r="BN701"/>
      <c r="BO701"/>
      <c r="BP701"/>
      <c r="BQ701"/>
      <c r="BR701"/>
      <c r="BS701"/>
      <c r="BT701"/>
      <c r="BU701"/>
      <c r="BV701"/>
      <c r="BW701"/>
      <c r="BX701"/>
      <c r="BY701"/>
      <c r="BZ701"/>
      <c r="CA701" s="1396"/>
      <c r="CB701" s="1396"/>
      <c r="CC701"/>
      <c r="CD701"/>
      <c r="CE701"/>
    </row>
    <row r="702" spans="1:83" ht="13.15" customHeight="1" outlineLevel="2" x14ac:dyDescent="0.2">
      <c r="A702"/>
      <c r="B702" s="1"/>
      <c r="C702"/>
      <c r="D702"/>
      <c r="E702"/>
      <c r="F702"/>
      <c r="G702" s="1"/>
      <c r="H702" s="1"/>
      <c r="I702"/>
      <c r="J702"/>
      <c r="K702"/>
      <c r="L702"/>
      <c r="M702"/>
      <c r="N702"/>
      <c r="O702"/>
      <c r="P702"/>
      <c r="Q702"/>
      <c r="R702" s="558" t="s">
        <v>1729</v>
      </c>
      <c r="S702" s="83"/>
      <c r="T702" s="56"/>
      <c r="U702" s="955"/>
      <c r="V702" s="43" t="str">
        <f t="shared" si="365"/>
        <v>F</v>
      </c>
      <c r="W702" s="10"/>
      <c r="X702" s="45" t="s">
        <v>769</v>
      </c>
      <c r="Y702" s="10"/>
      <c r="Z702" s="46" t="str">
        <f>V694</f>
        <v>L</v>
      </c>
      <c r="AA702" s="123"/>
      <c r="AB702" s="1459">
        <f t="shared" si="357"/>
        <v>0</v>
      </c>
      <c r="AC702" s="1460" t="str">
        <f t="shared" si="358"/>
        <v>-</v>
      </c>
      <c r="AD702" s="1459">
        <f t="shared" si="359"/>
        <v>0</v>
      </c>
      <c r="AE702" s="964" t="str">
        <f t="shared" si="360"/>
        <v/>
      </c>
      <c r="AF702" s="964" t="str">
        <f t="shared" si="361"/>
        <v/>
      </c>
      <c r="AG702" s="964" t="str">
        <f t="shared" si="362"/>
        <v/>
      </c>
      <c r="AH702" s="964" t="str">
        <f t="shared" si="363"/>
        <v/>
      </c>
      <c r="AI702" s="964" t="str">
        <f t="shared" si="364"/>
        <v/>
      </c>
      <c r="AJ702" s="964"/>
      <c r="AK702" s="964"/>
      <c r="AL702"/>
      <c r="AM702"/>
      <c r="AN702"/>
      <c r="AO702"/>
      <c r="AP702"/>
      <c r="AQ702"/>
      <c r="AR702"/>
      <c r="AS702"/>
      <c r="AT702"/>
      <c r="AU702"/>
      <c r="AV702"/>
      <c r="AW702"/>
      <c r="AX702" s="9"/>
      <c r="AY702"/>
      <c r="AZ702"/>
      <c r="BA702"/>
      <c r="BB702"/>
      <c r="BC702"/>
      <c r="BD702"/>
      <c r="BE702"/>
      <c r="BF702"/>
      <c r="BG702"/>
      <c r="BH702"/>
      <c r="BI702"/>
      <c r="BJ702"/>
      <c r="BK702"/>
      <c r="BL702"/>
      <c r="BM702"/>
      <c r="BN702"/>
      <c r="BO702"/>
      <c r="BP702"/>
      <c r="BQ702"/>
      <c r="BR702"/>
      <c r="BS702"/>
      <c r="BT702"/>
      <c r="BU702"/>
      <c r="BV702"/>
      <c r="BW702"/>
      <c r="BX702"/>
      <c r="BY702"/>
      <c r="BZ702"/>
      <c r="CA702" s="1396"/>
      <c r="CB702" s="1396"/>
      <c r="CC702"/>
      <c r="CD702"/>
      <c r="CE702"/>
    </row>
    <row r="703" spans="1:83" ht="13.9" customHeight="1" outlineLevel="2" thickBot="1" x14ac:dyDescent="0.25">
      <c r="A703"/>
      <c r="B703" s="1"/>
      <c r="C703"/>
      <c r="D703"/>
      <c r="E703"/>
      <c r="F703"/>
      <c r="G703" s="1"/>
      <c r="H703" s="1"/>
      <c r="I703"/>
      <c r="J703"/>
      <c r="K703"/>
      <c r="L703"/>
      <c r="M703"/>
      <c r="N703"/>
      <c r="O703"/>
      <c r="P703"/>
      <c r="Q703"/>
      <c r="R703" s="558" t="s">
        <v>1729</v>
      </c>
      <c r="S703" s="956"/>
      <c r="T703" s="58"/>
      <c r="U703" s="957"/>
      <c r="V703" s="43" t="str">
        <f t="shared" si="365"/>
        <v>H</v>
      </c>
      <c r="W703" s="10"/>
      <c r="X703" s="45" t="s">
        <v>769</v>
      </c>
      <c r="Y703" s="10"/>
      <c r="Z703" s="46" t="str">
        <f>+Z694</f>
        <v>J</v>
      </c>
      <c r="AA703" s="123"/>
      <c r="AB703" s="1459">
        <f t="shared" si="357"/>
        <v>0</v>
      </c>
      <c r="AC703" s="1460" t="str">
        <f t="shared" si="358"/>
        <v>-</v>
      </c>
      <c r="AD703" s="1459">
        <f t="shared" si="359"/>
        <v>0</v>
      </c>
      <c r="AE703" s="964" t="str">
        <f t="shared" si="360"/>
        <v/>
      </c>
      <c r="AF703" s="964" t="str">
        <f t="shared" si="361"/>
        <v/>
      </c>
      <c r="AG703" s="964" t="str">
        <f t="shared" si="362"/>
        <v/>
      </c>
      <c r="AH703" s="964" t="str">
        <f t="shared" si="363"/>
        <v/>
      </c>
      <c r="AI703" s="964" t="str">
        <f t="shared" si="364"/>
        <v/>
      </c>
      <c r="AJ703" s="964"/>
      <c r="AK703" s="964"/>
      <c r="AL703"/>
      <c r="AM703"/>
      <c r="AN703"/>
      <c r="AO703"/>
      <c r="AP703"/>
      <c r="AQ703"/>
      <c r="AR703"/>
      <c r="AS703"/>
      <c r="AT703"/>
      <c r="AU703"/>
      <c r="AV703"/>
      <c r="AW703" s="9"/>
      <c r="AX703" s="9"/>
      <c r="AY703"/>
      <c r="AZ703"/>
      <c r="BA703"/>
      <c r="BB703"/>
      <c r="BC703"/>
      <c r="BD703"/>
      <c r="BE703"/>
      <c r="BF703"/>
      <c r="BG703"/>
      <c r="BH703"/>
      <c r="BI703"/>
      <c r="BJ703"/>
      <c r="BK703"/>
      <c r="BL703"/>
      <c r="BM703"/>
      <c r="BN703"/>
      <c r="BO703"/>
      <c r="BP703"/>
      <c r="BQ703"/>
      <c r="BR703"/>
      <c r="BS703"/>
      <c r="BT703"/>
      <c r="BU703"/>
      <c r="BV703"/>
      <c r="BW703"/>
      <c r="BX703"/>
      <c r="BY703"/>
      <c r="BZ703"/>
      <c r="CA703" s="1396"/>
      <c r="CB703" s="1396"/>
      <c r="CC703"/>
      <c r="CD703"/>
      <c r="CE703"/>
    </row>
    <row r="704" spans="1:83" ht="13.5" outlineLevel="1" thickBot="1" x14ac:dyDescent="0.25">
      <c r="A704"/>
      <c r="B704" s="1"/>
      <c r="C704" s="1"/>
      <c r="D704" s="76"/>
      <c r="E704" s="76"/>
      <c r="F704" s="76"/>
      <c r="G704" s="9"/>
      <c r="H704" s="9"/>
      <c r="I704" s="1"/>
      <c r="J704"/>
      <c r="K704"/>
      <c r="L704"/>
      <c r="M704"/>
      <c r="N704"/>
      <c r="O704"/>
      <c r="P704" s="89"/>
      <c r="Q704"/>
      <c r="R704" s="1"/>
      <c r="S704" s="993">
        <f>S695+1</f>
        <v>5</v>
      </c>
      <c r="T704" s="961"/>
      <c r="U704" s="961"/>
      <c r="V704" s="961"/>
      <c r="W704" s="960"/>
      <c r="X704" s="960"/>
      <c r="Y704" s="960"/>
      <c r="Z704" s="962"/>
      <c r="AA704" s="123"/>
      <c r="AB704" s="963"/>
      <c r="AC704" s="963"/>
      <c r="AD704" s="963"/>
      <c r="AE704" s="964"/>
      <c r="AF704" s="964"/>
      <c r="AG704" s="964"/>
      <c r="AH704" s="964"/>
      <c r="AI704" s="964"/>
      <c r="AJ704" s="964"/>
      <c r="AK704" s="96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s="1396"/>
      <c r="CB704" s="1396"/>
      <c r="CC704"/>
      <c r="CD704"/>
      <c r="CE704"/>
    </row>
    <row r="705" spans="1:83" ht="13.9" customHeight="1" outlineLevel="2" thickBot="1" x14ac:dyDescent="0.25">
      <c r="A705"/>
      <c r="B705" s="1"/>
      <c r="C705"/>
      <c r="D705"/>
      <c r="E705"/>
      <c r="F705"/>
      <c r="G705" s="1"/>
      <c r="H705" s="1"/>
      <c r="I705"/>
      <c r="J705"/>
      <c r="K705"/>
      <c r="L705"/>
      <c r="M705"/>
      <c r="N705"/>
      <c r="O705"/>
      <c r="P705"/>
      <c r="Q705"/>
      <c r="S705" s="22" t="str">
        <f>N_Heure</f>
        <v>Heure</v>
      </c>
      <c r="T705" s="22" t="str">
        <f>N_Table</f>
        <v>Table</v>
      </c>
      <c r="U705" s="22" t="str">
        <f>N_Arbitre</f>
        <v>Arbitre</v>
      </c>
      <c r="V705" s="293" t="str">
        <f>N_Matches</f>
        <v>Matches</v>
      </c>
      <c r="W705" s="294"/>
      <c r="X705" s="294"/>
      <c r="Y705" s="294"/>
      <c r="Z705" s="295"/>
      <c r="AA705" s="8"/>
      <c r="AB705" s="967"/>
      <c r="AC705" s="967"/>
      <c r="AD705" s="967"/>
      <c r="AE705" s="964"/>
      <c r="AF705" s="964"/>
      <c r="AG705" s="964"/>
      <c r="AH705" s="964"/>
      <c r="AI705" s="964"/>
      <c r="AJ705" s="964"/>
      <c r="AK705" s="964"/>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s="1396"/>
      <c r="CB705" s="1396"/>
      <c r="CC705"/>
      <c r="CD705"/>
      <c r="CE705"/>
    </row>
    <row r="706" spans="1:83" ht="13.15" customHeight="1" outlineLevel="2" x14ac:dyDescent="0.2">
      <c r="A706"/>
      <c r="B706" s="1"/>
      <c r="C706"/>
      <c r="D706"/>
      <c r="E706"/>
      <c r="F706"/>
      <c r="G706" s="1"/>
      <c r="H706" s="1"/>
      <c r="I706"/>
      <c r="J706"/>
      <c r="K706"/>
      <c r="L706"/>
      <c r="M706"/>
      <c r="N706"/>
      <c r="O706"/>
      <c r="P706"/>
      <c r="Q706"/>
      <c r="R706" s="558" t="s">
        <v>1730</v>
      </c>
      <c r="S706" s="65"/>
      <c r="T706" s="953"/>
      <c r="U706" s="954"/>
      <c r="V706" s="34" t="str">
        <f>Z697</f>
        <v>A</v>
      </c>
      <c r="W706" s="148"/>
      <c r="X706" s="35" t="s">
        <v>769</v>
      </c>
      <c r="Y706" s="148"/>
      <c r="Z706" s="36" t="str">
        <f>Z698</f>
        <v>I</v>
      </c>
      <c r="AA706" s="123"/>
      <c r="AB706" s="1459">
        <f t="shared" ref="AB706:AB712" si="366">IF(MaxScore,MaxGoals(W706,Y706,MaxGoalsValue),IF(W706="","",W706))</f>
        <v>0</v>
      </c>
      <c r="AC706" s="1460" t="str">
        <f t="shared" ref="AC706:AC712" si="367">IF(MaxScore,"-",IF(W706="","","-"))</f>
        <v>-</v>
      </c>
      <c r="AD706" s="1459">
        <f t="shared" ref="AD706:AD712" si="368">IF(MaxScore,MaxGoals(Y706,W706,MaxGoalsValue),IF(Y706="","",Y706))</f>
        <v>0</v>
      </c>
      <c r="AE706" s="964" t="str">
        <f t="shared" ref="AE706:AE712" si="369">IF(W706="","",IF(W706&gt;Y706,V706,IF(W706=Y706,"",Z706)))</f>
        <v/>
      </c>
      <c r="AF706" s="964" t="str">
        <f t="shared" ref="AF706:AF712" si="370">IF(W706="","",IF(W706=Y706,V706,""))</f>
        <v/>
      </c>
      <c r="AG706" s="964" t="str">
        <f t="shared" ref="AG706:AG712" si="371">IF(W706="","",IF(W706=Y706,Z706,""))</f>
        <v/>
      </c>
      <c r="AH706" s="964" t="str">
        <f t="shared" ref="AH706:AH712" si="372">IF(W706="","",IF(W706&lt;Y706,V706,IF(W706=Y706,"",Z706)))</f>
        <v/>
      </c>
      <c r="AI706" s="964" t="str">
        <f t="shared" ref="AI706:AI712" si="373">CONCATENATE(AE706,AH706)</f>
        <v/>
      </c>
      <c r="AJ706" s="964"/>
      <c r="AK706" s="964"/>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s="1396"/>
      <c r="CB706" s="1396"/>
      <c r="CC706"/>
      <c r="CD706"/>
      <c r="CE706"/>
    </row>
    <row r="707" spans="1:83" ht="13.15" customHeight="1" outlineLevel="2" x14ac:dyDescent="0.2">
      <c r="A707"/>
      <c r="B707" s="1"/>
      <c r="C707"/>
      <c r="D707"/>
      <c r="E707"/>
      <c r="F707"/>
      <c r="G707" s="1"/>
      <c r="H707" s="1"/>
      <c r="I707"/>
      <c r="J707"/>
      <c r="K707"/>
      <c r="L707"/>
      <c r="M707"/>
      <c r="N707"/>
      <c r="O707"/>
      <c r="P707"/>
      <c r="Q707"/>
      <c r="R707" s="558" t="s">
        <v>1730</v>
      </c>
      <c r="S707" s="83"/>
      <c r="T707" s="56"/>
      <c r="U707" s="955"/>
      <c r="V707" s="43" t="str">
        <f>Z699</f>
        <v>K</v>
      </c>
      <c r="W707" s="10"/>
      <c r="X707" s="45" t="s">
        <v>769</v>
      </c>
      <c r="Y707" s="10"/>
      <c r="Z707" s="46" t="str">
        <f>V697</f>
        <v>G</v>
      </c>
      <c r="AA707" s="123"/>
      <c r="AB707" s="1459">
        <f t="shared" si="366"/>
        <v>0</v>
      </c>
      <c r="AC707" s="1460" t="str">
        <f t="shared" si="367"/>
        <v>-</v>
      </c>
      <c r="AD707" s="1459">
        <f t="shared" si="368"/>
        <v>0</v>
      </c>
      <c r="AE707" s="964" t="str">
        <f t="shared" si="369"/>
        <v/>
      </c>
      <c r="AF707" s="964" t="str">
        <f t="shared" si="370"/>
        <v/>
      </c>
      <c r="AG707" s="964" t="str">
        <f t="shared" si="371"/>
        <v/>
      </c>
      <c r="AH707" s="964" t="str">
        <f t="shared" si="372"/>
        <v/>
      </c>
      <c r="AI707" s="964" t="str">
        <f t="shared" si="373"/>
        <v/>
      </c>
      <c r="AJ707" s="964"/>
      <c r="AK707" s="964"/>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s="1396"/>
      <c r="CB707" s="1396"/>
      <c r="CC707"/>
      <c r="CD707"/>
      <c r="CE707"/>
    </row>
    <row r="708" spans="1:83" ht="13.15" customHeight="1" outlineLevel="2" x14ac:dyDescent="0.2">
      <c r="A708"/>
      <c r="B708" s="1"/>
      <c r="C708"/>
      <c r="D708"/>
      <c r="E708"/>
      <c r="F708"/>
      <c r="G708" s="1"/>
      <c r="H708" s="1"/>
      <c r="I708"/>
      <c r="J708"/>
      <c r="K708"/>
      <c r="L708"/>
      <c r="M708"/>
      <c r="N708"/>
      <c r="O708"/>
      <c r="P708"/>
      <c r="Q708"/>
      <c r="R708" s="558" t="s">
        <v>1730</v>
      </c>
      <c r="S708" s="83"/>
      <c r="T708" s="56"/>
      <c r="U708" s="955"/>
      <c r="V708" s="43" t="str">
        <f>Z700</f>
        <v>M</v>
      </c>
      <c r="W708" s="10"/>
      <c r="X708" s="45" t="s">
        <v>769</v>
      </c>
      <c r="Y708" s="10"/>
      <c r="Z708" s="46" t="str">
        <f>V698</f>
        <v>E</v>
      </c>
      <c r="AA708" s="123"/>
      <c r="AB708" s="1459">
        <f t="shared" si="366"/>
        <v>0</v>
      </c>
      <c r="AC708" s="1460" t="str">
        <f t="shared" si="367"/>
        <v>-</v>
      </c>
      <c r="AD708" s="1459">
        <f t="shared" si="368"/>
        <v>0</v>
      </c>
      <c r="AE708" s="964" t="str">
        <f t="shared" si="369"/>
        <v/>
      </c>
      <c r="AF708" s="964" t="str">
        <f t="shared" si="370"/>
        <v/>
      </c>
      <c r="AG708" s="964" t="str">
        <f t="shared" si="371"/>
        <v/>
      </c>
      <c r="AH708" s="964" t="str">
        <f t="shared" si="372"/>
        <v/>
      </c>
      <c r="AI708" s="964" t="str">
        <f t="shared" si="373"/>
        <v/>
      </c>
      <c r="AJ708" s="964"/>
      <c r="AK708" s="964"/>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s="1396"/>
      <c r="CB708" s="1396"/>
      <c r="CC708"/>
      <c r="CD708"/>
      <c r="CE708"/>
    </row>
    <row r="709" spans="1:83" ht="13.15" customHeight="1" outlineLevel="2" x14ac:dyDescent="0.2">
      <c r="A709"/>
      <c r="B709" s="1"/>
      <c r="C709"/>
      <c r="D709"/>
      <c r="E709"/>
      <c r="F709"/>
      <c r="G709" s="1"/>
      <c r="H709" s="1"/>
      <c r="I709"/>
      <c r="J709"/>
      <c r="K709"/>
      <c r="L709"/>
      <c r="M709"/>
      <c r="N709"/>
      <c r="O709"/>
      <c r="P709"/>
      <c r="Q709"/>
      <c r="R709" s="558" t="s">
        <v>1730</v>
      </c>
      <c r="S709" s="83"/>
      <c r="T709" s="56"/>
      <c r="U709" s="955"/>
      <c r="V709" s="43" t="str">
        <f>Z701</f>
        <v>N</v>
      </c>
      <c r="W709" s="10"/>
      <c r="X709" s="45" t="s">
        <v>769</v>
      </c>
      <c r="Y709" s="10"/>
      <c r="Z709" s="46" t="str">
        <f>V699</f>
        <v>C</v>
      </c>
      <c r="AA709" s="123"/>
      <c r="AB709" s="1459">
        <f t="shared" si="366"/>
        <v>0</v>
      </c>
      <c r="AC709" s="1460" t="str">
        <f t="shared" si="367"/>
        <v>-</v>
      </c>
      <c r="AD709" s="1459">
        <f t="shared" si="368"/>
        <v>0</v>
      </c>
      <c r="AE709" s="964" t="str">
        <f t="shared" si="369"/>
        <v/>
      </c>
      <c r="AF709" s="964" t="str">
        <f t="shared" si="370"/>
        <v/>
      </c>
      <c r="AG709" s="964" t="str">
        <f t="shared" si="371"/>
        <v/>
      </c>
      <c r="AH709" s="964" t="str">
        <f t="shared" si="372"/>
        <v/>
      </c>
      <c r="AI709" s="964" t="str">
        <f t="shared" si="373"/>
        <v/>
      </c>
      <c r="AJ709" s="964"/>
      <c r="AK709" s="964"/>
      <c r="AL709"/>
      <c r="AM709"/>
      <c r="AN709"/>
      <c r="AO709"/>
      <c r="AP709"/>
      <c r="AQ709"/>
      <c r="AR709"/>
      <c r="AS709"/>
      <c r="AT709"/>
      <c r="AU709"/>
      <c r="AV709"/>
      <c r="AW709"/>
      <c r="AX709" s="9"/>
      <c r="AY709"/>
      <c r="AZ709"/>
      <c r="BA709"/>
      <c r="BB709"/>
      <c r="BC709"/>
      <c r="BD709"/>
      <c r="BE709"/>
      <c r="BF709"/>
      <c r="BG709"/>
      <c r="BH709"/>
      <c r="BI709"/>
      <c r="BJ709"/>
      <c r="BK709"/>
      <c r="BL709"/>
      <c r="BM709"/>
      <c r="BN709"/>
      <c r="BO709"/>
      <c r="BP709"/>
      <c r="BQ709"/>
      <c r="BR709"/>
      <c r="BS709"/>
      <c r="BT709"/>
      <c r="BU709"/>
      <c r="BV709"/>
      <c r="BW709"/>
      <c r="BX709"/>
      <c r="BY709"/>
      <c r="BZ709"/>
      <c r="CA709" s="1396"/>
      <c r="CB709" s="1396"/>
      <c r="CC709"/>
      <c r="CD709"/>
      <c r="CE709"/>
    </row>
    <row r="710" spans="1:83" ht="13.15" customHeight="1" outlineLevel="2" x14ac:dyDescent="0.2">
      <c r="A710"/>
      <c r="B710" s="1"/>
      <c r="C710"/>
      <c r="D710"/>
      <c r="E710"/>
      <c r="F710"/>
      <c r="G710" s="1"/>
      <c r="H710" s="1"/>
      <c r="I710"/>
      <c r="J710"/>
      <c r="K710"/>
      <c r="L710"/>
      <c r="M710"/>
      <c r="N710"/>
      <c r="O710"/>
      <c r="P710"/>
      <c r="Q710"/>
      <c r="R710" s="558" t="s">
        <v>1730</v>
      </c>
      <c r="S710" s="83"/>
      <c r="T710" s="56"/>
      <c r="U710" s="955"/>
      <c r="V710" s="43" t="str">
        <f>Z702</f>
        <v>L</v>
      </c>
      <c r="W710" s="10"/>
      <c r="X710" s="45" t="s">
        <v>769</v>
      </c>
      <c r="Y710" s="10"/>
      <c r="Z710" s="46" t="str">
        <f>V700</f>
        <v>B</v>
      </c>
      <c r="AA710" s="123"/>
      <c r="AB710" s="1459">
        <f t="shared" si="366"/>
        <v>0</v>
      </c>
      <c r="AC710" s="1460" t="str">
        <f t="shared" si="367"/>
        <v>-</v>
      </c>
      <c r="AD710" s="1459">
        <f t="shared" si="368"/>
        <v>0</v>
      </c>
      <c r="AE710" s="964" t="str">
        <f t="shared" si="369"/>
        <v/>
      </c>
      <c r="AF710" s="964" t="str">
        <f t="shared" si="370"/>
        <v/>
      </c>
      <c r="AG710" s="964" t="str">
        <f t="shared" si="371"/>
        <v/>
      </c>
      <c r="AH710" s="964" t="str">
        <f t="shared" si="372"/>
        <v/>
      </c>
      <c r="AI710" s="964" t="str">
        <f t="shared" si="373"/>
        <v/>
      </c>
      <c r="AJ710" s="964"/>
      <c r="AK710" s="964"/>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s="1396"/>
      <c r="CB710" s="1396"/>
      <c r="CC710"/>
      <c r="CD710"/>
      <c r="CE710"/>
    </row>
    <row r="711" spans="1:83" ht="13.15" customHeight="1" outlineLevel="2" x14ac:dyDescent="0.2">
      <c r="A711"/>
      <c r="B711" s="1"/>
      <c r="C711"/>
      <c r="D711"/>
      <c r="E711"/>
      <c r="F711"/>
      <c r="G711" s="1"/>
      <c r="H711" s="1"/>
      <c r="I711"/>
      <c r="J711"/>
      <c r="K711"/>
      <c r="L711"/>
      <c r="M711"/>
      <c r="N711"/>
      <c r="O711"/>
      <c r="P711"/>
      <c r="Q711"/>
      <c r="R711" s="558" t="s">
        <v>1730</v>
      </c>
      <c r="S711" s="83"/>
      <c r="T711" s="56"/>
      <c r="U711" s="955"/>
      <c r="V711" s="43" t="str">
        <f>Z703</f>
        <v>J</v>
      </c>
      <c r="W711" s="10"/>
      <c r="X711" s="45" t="s">
        <v>769</v>
      </c>
      <c r="Y711" s="10"/>
      <c r="Z711" s="46" t="str">
        <f>V701</f>
        <v>D</v>
      </c>
      <c r="AA711" s="123"/>
      <c r="AB711" s="1459">
        <f t="shared" si="366"/>
        <v>0</v>
      </c>
      <c r="AC711" s="1460" t="str">
        <f t="shared" si="367"/>
        <v>-</v>
      </c>
      <c r="AD711" s="1459">
        <f t="shared" si="368"/>
        <v>0</v>
      </c>
      <c r="AE711" s="964" t="str">
        <f t="shared" si="369"/>
        <v/>
      </c>
      <c r="AF711" s="964" t="str">
        <f t="shared" si="370"/>
        <v/>
      </c>
      <c r="AG711" s="964" t="str">
        <f t="shared" si="371"/>
        <v/>
      </c>
      <c r="AH711" s="964" t="str">
        <f t="shared" si="372"/>
        <v/>
      </c>
      <c r="AI711" s="964" t="str">
        <f t="shared" si="373"/>
        <v/>
      </c>
      <c r="AJ711" s="964"/>
      <c r="AK711" s="964"/>
      <c r="AL711"/>
      <c r="AM711"/>
      <c r="AN711"/>
      <c r="AO711"/>
      <c r="AP711"/>
      <c r="AQ711"/>
      <c r="AR711"/>
      <c r="AS711"/>
      <c r="AT711"/>
      <c r="AU711"/>
      <c r="AV711"/>
      <c r="AW711"/>
      <c r="AX711" s="9"/>
      <c r="AY711"/>
      <c r="AZ711"/>
      <c r="BA711"/>
      <c r="BB711"/>
      <c r="BC711"/>
      <c r="BD711"/>
      <c r="BE711"/>
      <c r="BF711"/>
      <c r="BG711"/>
      <c r="BH711"/>
      <c r="BI711"/>
      <c r="BJ711"/>
      <c r="BK711"/>
      <c r="BL711"/>
      <c r="BM711"/>
      <c r="BN711"/>
      <c r="BO711"/>
      <c r="BP711"/>
      <c r="BQ711"/>
      <c r="BR711"/>
      <c r="BS711"/>
      <c r="BT711"/>
      <c r="BU711"/>
      <c r="BV711"/>
      <c r="BW711"/>
      <c r="BX711"/>
      <c r="BY711"/>
      <c r="BZ711"/>
      <c r="CA711" s="1396"/>
      <c r="CB711" s="1396"/>
      <c r="CC711"/>
      <c r="CD711"/>
      <c r="CE711"/>
    </row>
    <row r="712" spans="1:83" ht="13.9" customHeight="1" outlineLevel="2" thickBot="1" x14ac:dyDescent="0.25">
      <c r="A712"/>
      <c r="B712" s="1"/>
      <c r="C712"/>
      <c r="D712"/>
      <c r="E712"/>
      <c r="F712"/>
      <c r="G712" s="1"/>
      <c r="H712" s="1"/>
      <c r="I712"/>
      <c r="J712"/>
      <c r="K712"/>
      <c r="L712"/>
      <c r="M712"/>
      <c r="N712"/>
      <c r="O712"/>
      <c r="P712"/>
      <c r="Q712"/>
      <c r="R712" s="558" t="s">
        <v>1730</v>
      </c>
      <c r="S712" s="956"/>
      <c r="T712" s="58"/>
      <c r="U712" s="957"/>
      <c r="V712" s="958" t="str">
        <f>+V703</f>
        <v>H</v>
      </c>
      <c r="W712" s="10"/>
      <c r="X712" s="45" t="s">
        <v>769</v>
      </c>
      <c r="Y712" s="10"/>
      <c r="Z712" s="46" t="str">
        <f>+V702</f>
        <v>F</v>
      </c>
      <c r="AA712" s="123"/>
      <c r="AB712" s="1459">
        <f t="shared" si="366"/>
        <v>0</v>
      </c>
      <c r="AC712" s="1460" t="str">
        <f t="shared" si="367"/>
        <v>-</v>
      </c>
      <c r="AD712" s="1459">
        <f t="shared" si="368"/>
        <v>0</v>
      </c>
      <c r="AE712" s="964" t="str">
        <f t="shared" si="369"/>
        <v/>
      </c>
      <c r="AF712" s="964" t="str">
        <f t="shared" si="370"/>
        <v/>
      </c>
      <c r="AG712" s="964" t="str">
        <f t="shared" si="371"/>
        <v/>
      </c>
      <c r="AH712" s="964" t="str">
        <f t="shared" si="372"/>
        <v/>
      </c>
      <c r="AI712" s="964" t="str">
        <f t="shared" si="373"/>
        <v/>
      </c>
      <c r="AJ712" s="964"/>
      <c r="AK712" s="964"/>
      <c r="AL712"/>
      <c r="AM712"/>
      <c r="AN712"/>
      <c r="AO712"/>
      <c r="AP712"/>
      <c r="AQ712"/>
      <c r="AR712"/>
      <c r="AS712"/>
      <c r="AT712"/>
      <c r="AU712"/>
      <c r="AV712"/>
      <c r="AW712" s="9"/>
      <c r="AX712" s="9"/>
      <c r="AY712"/>
      <c r="AZ712"/>
      <c r="BA712"/>
      <c r="BB712"/>
      <c r="BC712"/>
      <c r="BD712"/>
      <c r="BE712"/>
      <c r="BF712"/>
      <c r="BG712"/>
      <c r="BH712"/>
      <c r="BI712"/>
      <c r="BJ712"/>
      <c r="BK712"/>
      <c r="BL712"/>
      <c r="BM712"/>
      <c r="BN712"/>
      <c r="BO712"/>
      <c r="BP712"/>
      <c r="BQ712"/>
      <c r="BR712"/>
      <c r="BS712"/>
      <c r="BT712"/>
      <c r="BU712"/>
      <c r="BV712"/>
      <c r="BW712"/>
      <c r="BX712"/>
      <c r="BY712"/>
      <c r="BZ712"/>
      <c r="CA712" s="1396"/>
      <c r="CB712" s="1396"/>
      <c r="CC712"/>
      <c r="CD712"/>
      <c r="CE712"/>
    </row>
    <row r="713" spans="1:83" ht="13.5" outlineLevel="1" thickBot="1" x14ac:dyDescent="0.25">
      <c r="A713"/>
      <c r="B713" s="1"/>
      <c r="C713" s="1"/>
      <c r="D713" s="76"/>
      <c r="E713" s="76"/>
      <c r="F713" s="76"/>
      <c r="G713" s="9"/>
      <c r="H713" s="9"/>
      <c r="I713" s="1"/>
      <c r="J713"/>
      <c r="K713"/>
      <c r="L713"/>
      <c r="M713"/>
      <c r="N713"/>
      <c r="O713"/>
      <c r="P713" s="89"/>
      <c r="Q713"/>
      <c r="R713" s="1"/>
      <c r="S713" s="993">
        <f>S704+1</f>
        <v>6</v>
      </c>
      <c r="T713" s="961"/>
      <c r="U713" s="961"/>
      <c r="V713" s="961"/>
      <c r="W713" s="960"/>
      <c r="X713" s="960"/>
      <c r="Y713" s="960"/>
      <c r="Z713" s="962"/>
      <c r="AA713" s="123"/>
      <c r="AB713" s="963"/>
      <c r="AC713" s="963"/>
      <c r="AD713" s="963"/>
      <c r="AE713" s="964"/>
      <c r="AF713" s="964"/>
      <c r="AG713" s="964"/>
      <c r="AH713" s="964"/>
      <c r="AI713" s="964"/>
      <c r="AJ713" s="964"/>
      <c r="AK713" s="964"/>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s="1396"/>
      <c r="CB713" s="1396"/>
      <c r="CC713"/>
      <c r="CD713"/>
      <c r="CE713"/>
    </row>
    <row r="714" spans="1:83" ht="13.9" customHeight="1" outlineLevel="2" thickBot="1" x14ac:dyDescent="0.25">
      <c r="A714"/>
      <c r="B714" s="1"/>
      <c r="C714"/>
      <c r="D714"/>
      <c r="E714"/>
      <c r="F714"/>
      <c r="G714" s="1"/>
      <c r="H714" s="1"/>
      <c r="I714"/>
      <c r="J714"/>
      <c r="K714"/>
      <c r="L714"/>
      <c r="M714"/>
      <c r="N714"/>
      <c r="O714"/>
      <c r="P714"/>
      <c r="Q714"/>
      <c r="S714" s="22" t="str">
        <f>N_Heure</f>
        <v>Heure</v>
      </c>
      <c r="T714" s="22" t="str">
        <f>N_Table</f>
        <v>Table</v>
      </c>
      <c r="U714" s="22" t="str">
        <f>N_Arbitre</f>
        <v>Arbitre</v>
      </c>
      <c r="V714" s="293" t="str">
        <f>N_Matches</f>
        <v>Matches</v>
      </c>
      <c r="W714" s="294"/>
      <c r="X714" s="294"/>
      <c r="Y714" s="294"/>
      <c r="Z714" s="295"/>
      <c r="AA714" s="8"/>
      <c r="AB714" s="967"/>
      <c r="AC714" s="967"/>
      <c r="AD714" s="967"/>
      <c r="AE714" s="964"/>
      <c r="AF714" s="964"/>
      <c r="AG714" s="964"/>
      <c r="AH714" s="964"/>
      <c r="AI714" s="964"/>
      <c r="AJ714" s="964"/>
      <c r="AK714" s="96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s="1396"/>
      <c r="CB714" s="1396"/>
      <c r="CC714"/>
      <c r="CD714"/>
      <c r="CE714"/>
    </row>
    <row r="715" spans="1:83" ht="13.15" customHeight="1" outlineLevel="2" x14ac:dyDescent="0.2">
      <c r="A715"/>
      <c r="B715" s="1"/>
      <c r="C715"/>
      <c r="D715"/>
      <c r="E715"/>
      <c r="F715"/>
      <c r="G715" s="1"/>
      <c r="H715" s="1"/>
      <c r="I715"/>
      <c r="J715"/>
      <c r="K715"/>
      <c r="L715"/>
      <c r="M715"/>
      <c r="N715"/>
      <c r="O715"/>
      <c r="P715"/>
      <c r="Q715"/>
      <c r="R715" s="558" t="s">
        <v>1731</v>
      </c>
      <c r="S715" s="65"/>
      <c r="T715" s="953"/>
      <c r="U715" s="954"/>
      <c r="V715" s="34" t="str">
        <f>V707</f>
        <v>K</v>
      </c>
      <c r="W715" s="148"/>
      <c r="X715" s="35" t="s">
        <v>769</v>
      </c>
      <c r="Y715" s="148"/>
      <c r="Z715" s="36" t="str">
        <f>V706</f>
        <v>A</v>
      </c>
      <c r="AA715" s="123"/>
      <c r="AB715" s="1459">
        <f t="shared" ref="AB715:AB721" si="374">IF(MaxScore,MaxGoals(W715,Y715,MaxGoalsValue),IF(W715="","",W715))</f>
        <v>0</v>
      </c>
      <c r="AC715" s="1460" t="str">
        <f t="shared" ref="AC715:AC721" si="375">IF(MaxScore,"-",IF(W715="","","-"))</f>
        <v>-</v>
      </c>
      <c r="AD715" s="1459">
        <f t="shared" ref="AD715:AD721" si="376">IF(MaxScore,MaxGoals(Y715,W715,MaxGoalsValue),IF(Y715="","",Y715))</f>
        <v>0</v>
      </c>
      <c r="AE715" s="964" t="str">
        <f t="shared" ref="AE715:AE721" si="377">IF(W715="","",IF(W715&gt;Y715,V715,IF(W715=Y715,"",Z715)))</f>
        <v/>
      </c>
      <c r="AF715" s="964" t="str">
        <f t="shared" ref="AF715:AF721" si="378">IF(W715="","",IF(W715=Y715,V715,""))</f>
        <v/>
      </c>
      <c r="AG715" s="964" t="str">
        <f t="shared" ref="AG715:AG721" si="379">IF(W715="","",IF(W715=Y715,Z715,""))</f>
        <v/>
      </c>
      <c r="AH715" s="964" t="str">
        <f t="shared" ref="AH715:AH721" si="380">IF(W715="","",IF(W715&lt;Y715,V715,IF(W715=Y715,"",Z715)))</f>
        <v/>
      </c>
      <c r="AI715" s="964" t="str">
        <f t="shared" ref="AI715:AI721" si="381">CONCATENATE(AE715,AH715)</f>
        <v/>
      </c>
      <c r="AJ715" s="964"/>
      <c r="AK715" s="964"/>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s="1396"/>
      <c r="CB715" s="1396"/>
      <c r="CC715"/>
      <c r="CD715"/>
      <c r="CE715"/>
    </row>
    <row r="716" spans="1:83" ht="13.15" customHeight="1" outlineLevel="2" x14ac:dyDescent="0.2">
      <c r="A716"/>
      <c r="B716" s="1"/>
      <c r="C716"/>
      <c r="D716"/>
      <c r="E716"/>
      <c r="F716"/>
      <c r="G716" s="1"/>
      <c r="H716" s="1"/>
      <c r="I716"/>
      <c r="J716"/>
      <c r="K716"/>
      <c r="L716"/>
      <c r="M716"/>
      <c r="N716"/>
      <c r="O716"/>
      <c r="P716"/>
      <c r="Q716"/>
      <c r="R716" s="558" t="s">
        <v>1731</v>
      </c>
      <c r="S716" s="83"/>
      <c r="T716" s="56"/>
      <c r="U716" s="955"/>
      <c r="V716" s="43" t="str">
        <f t="shared" ref="V716:V721" si="382">Z706</f>
        <v>I</v>
      </c>
      <c r="W716" s="10"/>
      <c r="X716" s="45" t="s">
        <v>769</v>
      </c>
      <c r="Y716" s="10"/>
      <c r="Z716" s="46" t="str">
        <f>V708</f>
        <v>M</v>
      </c>
      <c r="AA716" s="123"/>
      <c r="AB716" s="1459">
        <f t="shared" si="374"/>
        <v>0</v>
      </c>
      <c r="AC716" s="1460" t="str">
        <f t="shared" si="375"/>
        <v>-</v>
      </c>
      <c r="AD716" s="1459">
        <f t="shared" si="376"/>
        <v>0</v>
      </c>
      <c r="AE716" s="964" t="str">
        <f t="shared" si="377"/>
        <v/>
      </c>
      <c r="AF716" s="964" t="str">
        <f t="shared" si="378"/>
        <v/>
      </c>
      <c r="AG716" s="964" t="str">
        <f t="shared" si="379"/>
        <v/>
      </c>
      <c r="AH716" s="964" t="str">
        <f t="shared" si="380"/>
        <v/>
      </c>
      <c r="AI716" s="964" t="str">
        <f t="shared" si="381"/>
        <v/>
      </c>
      <c r="AJ716" s="964"/>
      <c r="AK716" s="964"/>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s="1396"/>
      <c r="CB716" s="1396"/>
      <c r="CC716"/>
      <c r="CD716"/>
      <c r="CE716"/>
    </row>
    <row r="717" spans="1:83" ht="13.15" customHeight="1" outlineLevel="2" x14ac:dyDescent="0.2">
      <c r="A717"/>
      <c r="B717" s="1"/>
      <c r="C717"/>
      <c r="D717"/>
      <c r="E717"/>
      <c r="F717"/>
      <c r="G717" s="1"/>
      <c r="H717" s="1"/>
      <c r="I717"/>
      <c r="J717"/>
      <c r="K717"/>
      <c r="L717"/>
      <c r="M717"/>
      <c r="N717"/>
      <c r="O717"/>
      <c r="P717"/>
      <c r="Q717"/>
      <c r="R717" s="558" t="s">
        <v>1731</v>
      </c>
      <c r="S717" s="83"/>
      <c r="T717" s="56"/>
      <c r="U717" s="955"/>
      <c r="V717" s="43" t="str">
        <f t="shared" si="382"/>
        <v>G</v>
      </c>
      <c r="W717" s="10"/>
      <c r="X717" s="45" t="s">
        <v>769</v>
      </c>
      <c r="Y717" s="10"/>
      <c r="Z717" s="46" t="str">
        <f>V709</f>
        <v>N</v>
      </c>
      <c r="AA717" s="123"/>
      <c r="AB717" s="1459">
        <f t="shared" si="374"/>
        <v>0</v>
      </c>
      <c r="AC717" s="1460" t="str">
        <f t="shared" si="375"/>
        <v>-</v>
      </c>
      <c r="AD717" s="1459">
        <f t="shared" si="376"/>
        <v>0</v>
      </c>
      <c r="AE717" s="964" t="str">
        <f t="shared" si="377"/>
        <v/>
      </c>
      <c r="AF717" s="964" t="str">
        <f t="shared" si="378"/>
        <v/>
      </c>
      <c r="AG717" s="964" t="str">
        <f t="shared" si="379"/>
        <v/>
      </c>
      <c r="AH717" s="964" t="str">
        <f t="shared" si="380"/>
        <v/>
      </c>
      <c r="AI717" s="964" t="str">
        <f t="shared" si="381"/>
        <v/>
      </c>
      <c r="AJ717" s="964"/>
      <c r="AK717" s="964"/>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s="1396"/>
      <c r="CB717" s="1396"/>
      <c r="CC717"/>
      <c r="CD717"/>
      <c r="CE717"/>
    </row>
    <row r="718" spans="1:83" ht="13.15" customHeight="1" outlineLevel="2" x14ac:dyDescent="0.2">
      <c r="A718"/>
      <c r="B718" s="1"/>
      <c r="C718"/>
      <c r="D718"/>
      <c r="E718"/>
      <c r="F718"/>
      <c r="G718" s="1"/>
      <c r="H718" s="1"/>
      <c r="I718"/>
      <c r="J718"/>
      <c r="K718"/>
      <c r="L718"/>
      <c r="M718"/>
      <c r="N718"/>
      <c r="O718"/>
      <c r="P718"/>
      <c r="Q718"/>
      <c r="R718" s="558" t="s">
        <v>1731</v>
      </c>
      <c r="S718" s="83"/>
      <c r="T718" s="56"/>
      <c r="U718" s="955"/>
      <c r="V718" s="43" t="str">
        <f t="shared" si="382"/>
        <v>E</v>
      </c>
      <c r="W718" s="10"/>
      <c r="X718" s="45" t="s">
        <v>769</v>
      </c>
      <c r="Y718" s="10"/>
      <c r="Z718" s="46" t="str">
        <f>V710</f>
        <v>L</v>
      </c>
      <c r="AA718" s="123"/>
      <c r="AB718" s="1459">
        <f t="shared" si="374"/>
        <v>0</v>
      </c>
      <c r="AC718" s="1460" t="str">
        <f t="shared" si="375"/>
        <v>-</v>
      </c>
      <c r="AD718" s="1459">
        <f t="shared" si="376"/>
        <v>0</v>
      </c>
      <c r="AE718" s="964" t="str">
        <f t="shared" si="377"/>
        <v/>
      </c>
      <c r="AF718" s="964" t="str">
        <f t="shared" si="378"/>
        <v/>
      </c>
      <c r="AG718" s="964" t="str">
        <f t="shared" si="379"/>
        <v/>
      </c>
      <c r="AH718" s="964" t="str">
        <f t="shared" si="380"/>
        <v/>
      </c>
      <c r="AI718" s="964" t="str">
        <f t="shared" si="381"/>
        <v/>
      </c>
      <c r="AJ718" s="964"/>
      <c r="AK718" s="964"/>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s="1396"/>
      <c r="CB718" s="1396"/>
      <c r="CC718"/>
      <c r="CD718"/>
      <c r="CE718"/>
    </row>
    <row r="719" spans="1:83" ht="13.15" customHeight="1" outlineLevel="2" x14ac:dyDescent="0.2">
      <c r="A719"/>
      <c r="B719" s="1"/>
      <c r="C719"/>
      <c r="D719"/>
      <c r="E719"/>
      <c r="F719"/>
      <c r="G719" s="1"/>
      <c r="H719" s="1"/>
      <c r="I719"/>
      <c r="J719"/>
      <c r="K719"/>
      <c r="L719"/>
      <c r="M719"/>
      <c r="N719"/>
      <c r="O719"/>
      <c r="P719"/>
      <c r="Q719"/>
      <c r="R719" s="558" t="s">
        <v>1731</v>
      </c>
      <c r="S719" s="83"/>
      <c r="T719" s="56"/>
      <c r="U719" s="955"/>
      <c r="V719" s="43" t="str">
        <f t="shared" si="382"/>
        <v>C</v>
      </c>
      <c r="W719" s="10"/>
      <c r="X719" s="45" t="s">
        <v>769</v>
      </c>
      <c r="Y719" s="10"/>
      <c r="Z719" s="46" t="str">
        <f>V711</f>
        <v>J</v>
      </c>
      <c r="AA719" s="123"/>
      <c r="AB719" s="1459">
        <f t="shared" si="374"/>
        <v>0</v>
      </c>
      <c r="AC719" s="1460" t="str">
        <f t="shared" si="375"/>
        <v>-</v>
      </c>
      <c r="AD719" s="1459">
        <f t="shared" si="376"/>
        <v>0</v>
      </c>
      <c r="AE719" s="964" t="str">
        <f t="shared" si="377"/>
        <v/>
      </c>
      <c r="AF719" s="964" t="str">
        <f t="shared" si="378"/>
        <v/>
      </c>
      <c r="AG719" s="964" t="str">
        <f t="shared" si="379"/>
        <v/>
      </c>
      <c r="AH719" s="964" t="str">
        <f t="shared" si="380"/>
        <v/>
      </c>
      <c r="AI719" s="964" t="str">
        <f t="shared" si="381"/>
        <v/>
      </c>
      <c r="AJ719" s="964"/>
      <c r="AK719" s="964"/>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s="1396"/>
      <c r="CB719" s="1396"/>
      <c r="CC719"/>
      <c r="CD719"/>
      <c r="CE719"/>
    </row>
    <row r="720" spans="1:83" ht="13.15" customHeight="1" outlineLevel="2" x14ac:dyDescent="0.2">
      <c r="A720"/>
      <c r="B720" s="1"/>
      <c r="C720"/>
      <c r="D720"/>
      <c r="E720"/>
      <c r="F720"/>
      <c r="G720" s="1"/>
      <c r="H720" s="1"/>
      <c r="I720"/>
      <c r="J720"/>
      <c r="K720"/>
      <c r="L720"/>
      <c r="M720"/>
      <c r="N720"/>
      <c r="O720"/>
      <c r="P720"/>
      <c r="Q720"/>
      <c r="R720" s="558" t="s">
        <v>1731</v>
      </c>
      <c r="S720" s="83"/>
      <c r="T720" s="56"/>
      <c r="U720" s="955"/>
      <c r="V720" s="43" t="str">
        <f t="shared" si="382"/>
        <v>B</v>
      </c>
      <c r="W720" s="10"/>
      <c r="X720" s="45" t="s">
        <v>769</v>
      </c>
      <c r="Y720" s="10"/>
      <c r="Z720" s="46" t="str">
        <f>V712</f>
        <v>H</v>
      </c>
      <c r="AA720" s="123"/>
      <c r="AB720" s="1459">
        <f t="shared" si="374"/>
        <v>0</v>
      </c>
      <c r="AC720" s="1460" t="str">
        <f t="shared" si="375"/>
        <v>-</v>
      </c>
      <c r="AD720" s="1459">
        <f t="shared" si="376"/>
        <v>0</v>
      </c>
      <c r="AE720" s="964" t="str">
        <f t="shared" si="377"/>
        <v/>
      </c>
      <c r="AF720" s="964" t="str">
        <f t="shared" si="378"/>
        <v/>
      </c>
      <c r="AG720" s="964" t="str">
        <f t="shared" si="379"/>
        <v/>
      </c>
      <c r="AH720" s="964" t="str">
        <f t="shared" si="380"/>
        <v/>
      </c>
      <c r="AI720" s="964" t="str">
        <f t="shared" si="381"/>
        <v/>
      </c>
      <c r="AJ720" s="964"/>
      <c r="AK720" s="964"/>
      <c r="AL720"/>
      <c r="AM720"/>
      <c r="AN720"/>
      <c r="AO720"/>
      <c r="AP720"/>
      <c r="AQ720"/>
      <c r="AR720"/>
      <c r="AS720"/>
      <c r="AT720"/>
      <c r="AU720"/>
      <c r="AV720"/>
      <c r="AW720"/>
      <c r="AX720" s="9"/>
      <c r="AY720"/>
      <c r="AZ720"/>
      <c r="BA720"/>
      <c r="BB720"/>
      <c r="BC720"/>
      <c r="BD720"/>
      <c r="BE720"/>
      <c r="BF720"/>
      <c r="BG720"/>
      <c r="BH720"/>
      <c r="BI720"/>
      <c r="BJ720"/>
      <c r="BK720"/>
      <c r="BL720"/>
      <c r="BM720"/>
      <c r="BN720"/>
      <c r="BO720"/>
      <c r="BP720"/>
      <c r="BQ720"/>
      <c r="BR720"/>
      <c r="BS720"/>
      <c r="BT720"/>
      <c r="BU720"/>
      <c r="BV720"/>
      <c r="BW720"/>
      <c r="BX720"/>
      <c r="BY720"/>
      <c r="BZ720"/>
      <c r="CA720" s="1396"/>
      <c r="CB720" s="1396"/>
      <c r="CC720"/>
      <c r="CD720"/>
      <c r="CE720"/>
    </row>
    <row r="721" spans="1:83" ht="13.9" customHeight="1" outlineLevel="2" thickBot="1" x14ac:dyDescent="0.25">
      <c r="A721"/>
      <c r="B721" s="1"/>
      <c r="C721"/>
      <c r="D721"/>
      <c r="E721"/>
      <c r="F721"/>
      <c r="G721" s="1"/>
      <c r="H721" s="1"/>
      <c r="I721"/>
      <c r="J721"/>
      <c r="K721"/>
      <c r="L721"/>
      <c r="M721"/>
      <c r="N721"/>
      <c r="O721"/>
      <c r="P721"/>
      <c r="Q721"/>
      <c r="R721" s="558" t="s">
        <v>1731</v>
      </c>
      <c r="S721" s="956"/>
      <c r="T721" s="58"/>
      <c r="U721" s="957"/>
      <c r="V721" s="43" t="str">
        <f t="shared" si="382"/>
        <v>D</v>
      </c>
      <c r="W721" s="10"/>
      <c r="X721" s="45" t="s">
        <v>769</v>
      </c>
      <c r="Y721" s="10"/>
      <c r="Z721" s="46" t="str">
        <f>+Z712</f>
        <v>F</v>
      </c>
      <c r="AA721" s="123"/>
      <c r="AB721" s="1459">
        <f t="shared" si="374"/>
        <v>0</v>
      </c>
      <c r="AC721" s="1460" t="str">
        <f t="shared" si="375"/>
        <v>-</v>
      </c>
      <c r="AD721" s="1459">
        <f t="shared" si="376"/>
        <v>0</v>
      </c>
      <c r="AE721" s="964" t="str">
        <f t="shared" si="377"/>
        <v/>
      </c>
      <c r="AF721" s="964" t="str">
        <f t="shared" si="378"/>
        <v/>
      </c>
      <c r="AG721" s="964" t="str">
        <f t="shared" si="379"/>
        <v/>
      </c>
      <c r="AH721" s="964" t="str">
        <f t="shared" si="380"/>
        <v/>
      </c>
      <c r="AI721" s="964" t="str">
        <f t="shared" si="381"/>
        <v/>
      </c>
      <c r="AJ721" s="964"/>
      <c r="AK721" s="964"/>
      <c r="AL721"/>
      <c r="AM721"/>
      <c r="AN721"/>
      <c r="AO721"/>
      <c r="AP721"/>
      <c r="AQ721"/>
      <c r="AR721"/>
      <c r="AS721"/>
      <c r="AT721"/>
      <c r="AU721"/>
      <c r="AV721"/>
      <c r="AW721" s="9"/>
      <c r="AX721" s="9"/>
      <c r="AY721"/>
      <c r="AZ721"/>
      <c r="BA721"/>
      <c r="BB721"/>
      <c r="BC721"/>
      <c r="BD721"/>
      <c r="BE721"/>
      <c r="BF721"/>
      <c r="BG721"/>
      <c r="BH721"/>
      <c r="BI721"/>
      <c r="BJ721"/>
      <c r="BK721"/>
      <c r="BL721"/>
      <c r="BM721"/>
      <c r="BN721"/>
      <c r="BO721"/>
      <c r="BP721"/>
      <c r="BQ721"/>
      <c r="BR721"/>
      <c r="BS721"/>
      <c r="BT721"/>
      <c r="BU721"/>
      <c r="BV721"/>
      <c r="BW721"/>
      <c r="BX721"/>
      <c r="BY721"/>
      <c r="BZ721"/>
      <c r="CA721" s="1396"/>
      <c r="CB721" s="1396"/>
      <c r="CC721"/>
      <c r="CD721"/>
      <c r="CE721"/>
    </row>
    <row r="722" spans="1:83" ht="13.5" outlineLevel="1" thickBot="1" x14ac:dyDescent="0.25">
      <c r="A722"/>
      <c r="B722" s="1"/>
      <c r="C722" s="1"/>
      <c r="D722" s="76"/>
      <c r="E722" s="76"/>
      <c r="F722" s="76"/>
      <c r="G722" s="9"/>
      <c r="H722" s="9"/>
      <c r="I722" s="1"/>
      <c r="J722"/>
      <c r="K722"/>
      <c r="L722"/>
      <c r="M722"/>
      <c r="N722"/>
      <c r="O722"/>
      <c r="P722" s="89"/>
      <c r="Q722"/>
      <c r="R722" s="1"/>
      <c r="S722" s="993">
        <f>S713+1</f>
        <v>7</v>
      </c>
      <c r="T722" s="961"/>
      <c r="U722" s="961"/>
      <c r="V722" s="961"/>
      <c r="W722" s="960"/>
      <c r="X722" s="960"/>
      <c r="Y722" s="960"/>
      <c r="Z722" s="962"/>
      <c r="AA722" s="123"/>
      <c r="AB722" s="963"/>
      <c r="AC722" s="963"/>
      <c r="AD722" s="963"/>
      <c r="AE722" s="964"/>
      <c r="AF722" s="964"/>
      <c r="AG722" s="964"/>
      <c r="AH722" s="964"/>
      <c r="AI722" s="964"/>
      <c r="AJ722" s="964"/>
      <c r="AK722" s="964"/>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s="1396"/>
      <c r="CB722" s="1396"/>
      <c r="CC722"/>
      <c r="CD722"/>
      <c r="CE722"/>
    </row>
    <row r="723" spans="1:83" ht="13.9" customHeight="1" outlineLevel="2" thickBot="1" x14ac:dyDescent="0.25">
      <c r="A723"/>
      <c r="B723" s="1"/>
      <c r="C723"/>
      <c r="D723"/>
      <c r="E723"/>
      <c r="F723"/>
      <c r="G723" s="1"/>
      <c r="H723" s="1"/>
      <c r="I723"/>
      <c r="J723"/>
      <c r="K723"/>
      <c r="L723"/>
      <c r="M723"/>
      <c r="N723"/>
      <c r="O723"/>
      <c r="P723"/>
      <c r="Q723"/>
      <c r="S723" s="22" t="str">
        <f>N_Heure</f>
        <v>Heure</v>
      </c>
      <c r="T723" s="22" t="str">
        <f>N_Table</f>
        <v>Table</v>
      </c>
      <c r="U723" s="22" t="str">
        <f>N_Arbitre</f>
        <v>Arbitre</v>
      </c>
      <c r="V723" s="293" t="str">
        <f>N_Matches</f>
        <v>Matches</v>
      </c>
      <c r="W723" s="294"/>
      <c r="X723" s="294"/>
      <c r="Y723" s="294"/>
      <c r="Z723" s="295"/>
      <c r="AA723" s="8"/>
      <c r="AB723" s="967"/>
      <c r="AC723" s="967"/>
      <c r="AD723" s="967"/>
      <c r="AE723" s="964"/>
      <c r="AF723" s="964"/>
      <c r="AG723" s="964"/>
      <c r="AH723" s="964"/>
      <c r="AI723" s="964"/>
      <c r="AJ723" s="964"/>
      <c r="AK723" s="964"/>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s="1396"/>
      <c r="CB723" s="1396"/>
      <c r="CC723"/>
      <c r="CD723"/>
      <c r="CE723"/>
    </row>
    <row r="724" spans="1:83" ht="13.15" customHeight="1" outlineLevel="2" x14ac:dyDescent="0.2">
      <c r="A724"/>
      <c r="B724" s="1"/>
      <c r="C724"/>
      <c r="D724"/>
      <c r="E724"/>
      <c r="F724"/>
      <c r="G724" s="1"/>
      <c r="H724" s="1"/>
      <c r="I724"/>
      <c r="J724"/>
      <c r="K724"/>
      <c r="L724"/>
      <c r="M724"/>
      <c r="N724"/>
      <c r="O724"/>
      <c r="P724"/>
      <c r="Q724"/>
      <c r="R724" s="558" t="s">
        <v>1740</v>
      </c>
      <c r="S724" s="65"/>
      <c r="T724" s="953"/>
      <c r="U724" s="954"/>
      <c r="V724" s="34" t="str">
        <f>Z715</f>
        <v>A</v>
      </c>
      <c r="W724" s="148"/>
      <c r="X724" s="35" t="s">
        <v>769</v>
      </c>
      <c r="Y724" s="148"/>
      <c r="Z724" s="36" t="str">
        <f>Z716</f>
        <v>M</v>
      </c>
      <c r="AA724" s="123"/>
      <c r="AB724" s="1459">
        <f t="shared" ref="AB724:AB730" si="383">IF(MaxScore,MaxGoals(W724,Y724,MaxGoalsValue),IF(W724="","",W724))</f>
        <v>0</v>
      </c>
      <c r="AC724" s="1460" t="str">
        <f t="shared" ref="AC724:AC730" si="384">IF(MaxScore,"-",IF(W724="","","-"))</f>
        <v>-</v>
      </c>
      <c r="AD724" s="1459">
        <f t="shared" ref="AD724:AD730" si="385">IF(MaxScore,MaxGoals(Y724,W724,MaxGoalsValue),IF(Y724="","",Y724))</f>
        <v>0</v>
      </c>
      <c r="AE724" s="964" t="str">
        <f t="shared" ref="AE724:AE730" si="386">IF(W724="","",IF(W724&gt;Y724,V724,IF(W724=Y724,"",Z724)))</f>
        <v/>
      </c>
      <c r="AF724" s="964" t="str">
        <f t="shared" ref="AF724:AF730" si="387">IF(W724="","",IF(W724=Y724,V724,""))</f>
        <v/>
      </c>
      <c r="AG724" s="964" t="str">
        <f t="shared" ref="AG724:AG730" si="388">IF(W724="","",IF(W724=Y724,Z724,""))</f>
        <v/>
      </c>
      <c r="AH724" s="964" t="str">
        <f t="shared" ref="AH724:AH730" si="389">IF(W724="","",IF(W724&lt;Y724,V724,IF(W724=Y724,"",Z724)))</f>
        <v/>
      </c>
      <c r="AI724" s="964" t="str">
        <f t="shared" ref="AI724:AI730" si="390">CONCATENATE(AE724,AH724)</f>
        <v/>
      </c>
      <c r="AJ724" s="964"/>
      <c r="AK724" s="96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s="1396"/>
      <c r="CB724" s="1396"/>
      <c r="CC724"/>
      <c r="CD724"/>
      <c r="CE724"/>
    </row>
    <row r="725" spans="1:83" ht="13.15" customHeight="1" outlineLevel="2" x14ac:dyDescent="0.2">
      <c r="A725"/>
      <c r="B725" s="1"/>
      <c r="C725"/>
      <c r="D725"/>
      <c r="E725"/>
      <c r="F725"/>
      <c r="G725" s="1"/>
      <c r="H725" s="1"/>
      <c r="I725"/>
      <c r="J725"/>
      <c r="K725"/>
      <c r="L725"/>
      <c r="M725"/>
      <c r="N725"/>
      <c r="O725"/>
      <c r="P725"/>
      <c r="Q725"/>
      <c r="R725" s="558" t="s">
        <v>1740</v>
      </c>
      <c r="S725" s="83"/>
      <c r="T725" s="56"/>
      <c r="U725" s="955"/>
      <c r="V725" s="43" t="str">
        <f>Z717</f>
        <v>N</v>
      </c>
      <c r="W725" s="10"/>
      <c r="X725" s="45" t="s">
        <v>769</v>
      </c>
      <c r="Y725" s="10"/>
      <c r="Z725" s="46" t="str">
        <f>V715</f>
        <v>K</v>
      </c>
      <c r="AA725" s="123"/>
      <c r="AB725" s="1459">
        <f t="shared" si="383"/>
        <v>0</v>
      </c>
      <c r="AC725" s="1460" t="str">
        <f t="shared" si="384"/>
        <v>-</v>
      </c>
      <c r="AD725" s="1459">
        <f t="shared" si="385"/>
        <v>0</v>
      </c>
      <c r="AE725" s="964" t="str">
        <f t="shared" si="386"/>
        <v/>
      </c>
      <c r="AF725" s="964" t="str">
        <f t="shared" si="387"/>
        <v/>
      </c>
      <c r="AG725" s="964" t="str">
        <f t="shared" si="388"/>
        <v/>
      </c>
      <c r="AH725" s="964" t="str">
        <f t="shared" si="389"/>
        <v/>
      </c>
      <c r="AI725" s="964" t="str">
        <f t="shared" si="390"/>
        <v/>
      </c>
      <c r="AJ725" s="964"/>
      <c r="AK725" s="964"/>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s="1396"/>
      <c r="CB725" s="1396"/>
      <c r="CC725"/>
      <c r="CD725"/>
      <c r="CE725"/>
    </row>
    <row r="726" spans="1:83" ht="13.15" customHeight="1" outlineLevel="2" x14ac:dyDescent="0.2">
      <c r="A726"/>
      <c r="B726" s="1"/>
      <c r="C726"/>
      <c r="D726"/>
      <c r="E726"/>
      <c r="F726"/>
      <c r="G726" s="1"/>
      <c r="H726" s="1"/>
      <c r="I726"/>
      <c r="J726"/>
      <c r="K726"/>
      <c r="L726"/>
      <c r="M726"/>
      <c r="N726"/>
      <c r="O726"/>
      <c r="P726"/>
      <c r="Q726"/>
      <c r="R726" s="558" t="s">
        <v>1740</v>
      </c>
      <c r="S726" s="83"/>
      <c r="T726" s="56"/>
      <c r="U726" s="955"/>
      <c r="V726" s="43" t="str">
        <f>Z718</f>
        <v>L</v>
      </c>
      <c r="W726" s="10"/>
      <c r="X726" s="45" t="s">
        <v>769</v>
      </c>
      <c r="Y726" s="10"/>
      <c r="Z726" s="46" t="str">
        <f>V716</f>
        <v>I</v>
      </c>
      <c r="AA726" s="123"/>
      <c r="AB726" s="1459">
        <f t="shared" si="383"/>
        <v>0</v>
      </c>
      <c r="AC726" s="1460" t="str">
        <f t="shared" si="384"/>
        <v>-</v>
      </c>
      <c r="AD726" s="1459">
        <f t="shared" si="385"/>
        <v>0</v>
      </c>
      <c r="AE726" s="964" t="str">
        <f t="shared" si="386"/>
        <v/>
      </c>
      <c r="AF726" s="964" t="str">
        <f t="shared" si="387"/>
        <v/>
      </c>
      <c r="AG726" s="964" t="str">
        <f t="shared" si="388"/>
        <v/>
      </c>
      <c r="AH726" s="964" t="str">
        <f t="shared" si="389"/>
        <v/>
      </c>
      <c r="AI726" s="964" t="str">
        <f t="shared" si="390"/>
        <v/>
      </c>
      <c r="AJ726" s="964"/>
      <c r="AK726" s="964"/>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s="1396"/>
      <c r="CB726" s="1396"/>
      <c r="CC726"/>
      <c r="CD726"/>
      <c r="CE726"/>
    </row>
    <row r="727" spans="1:83" ht="13.15" customHeight="1" outlineLevel="2" x14ac:dyDescent="0.2">
      <c r="A727"/>
      <c r="B727" s="1"/>
      <c r="C727"/>
      <c r="D727"/>
      <c r="E727"/>
      <c r="F727"/>
      <c r="G727" s="1"/>
      <c r="H727" s="1"/>
      <c r="I727"/>
      <c r="J727"/>
      <c r="K727"/>
      <c r="L727"/>
      <c r="M727"/>
      <c r="N727"/>
      <c r="O727"/>
      <c r="P727"/>
      <c r="Q727"/>
      <c r="R727" s="558" t="s">
        <v>1740</v>
      </c>
      <c r="S727" s="83"/>
      <c r="T727" s="56"/>
      <c r="U727" s="955"/>
      <c r="V727" s="43" t="str">
        <f>Z719</f>
        <v>J</v>
      </c>
      <c r="W727" s="10"/>
      <c r="X727" s="45" t="s">
        <v>769</v>
      </c>
      <c r="Y727" s="10"/>
      <c r="Z727" s="46" t="str">
        <f>V717</f>
        <v>G</v>
      </c>
      <c r="AA727" s="123"/>
      <c r="AB727" s="1459">
        <f t="shared" si="383"/>
        <v>0</v>
      </c>
      <c r="AC727" s="1460" t="str">
        <f t="shared" si="384"/>
        <v>-</v>
      </c>
      <c r="AD727" s="1459">
        <f t="shared" si="385"/>
        <v>0</v>
      </c>
      <c r="AE727" s="964" t="str">
        <f t="shared" si="386"/>
        <v/>
      </c>
      <c r="AF727" s="964" t="str">
        <f t="shared" si="387"/>
        <v/>
      </c>
      <c r="AG727" s="964" t="str">
        <f t="shared" si="388"/>
        <v/>
      </c>
      <c r="AH727" s="964" t="str">
        <f t="shared" si="389"/>
        <v/>
      </c>
      <c r="AI727" s="964" t="str">
        <f t="shared" si="390"/>
        <v/>
      </c>
      <c r="AJ727" s="964"/>
      <c r="AK727" s="964"/>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s="1396"/>
      <c r="CB727" s="1396"/>
      <c r="CC727"/>
      <c r="CD727"/>
      <c r="CE727"/>
    </row>
    <row r="728" spans="1:83" ht="13.15" customHeight="1" outlineLevel="2" x14ac:dyDescent="0.2">
      <c r="A728"/>
      <c r="B728" s="1"/>
      <c r="C728"/>
      <c r="D728"/>
      <c r="E728"/>
      <c r="F728"/>
      <c r="G728" s="1"/>
      <c r="H728" s="1"/>
      <c r="I728"/>
      <c r="J728"/>
      <c r="K728"/>
      <c r="L728"/>
      <c r="M728"/>
      <c r="N728"/>
      <c r="O728"/>
      <c r="P728"/>
      <c r="Q728"/>
      <c r="R728" s="558" t="s">
        <v>1740</v>
      </c>
      <c r="S728" s="83"/>
      <c r="T728" s="56"/>
      <c r="U728" s="955"/>
      <c r="V728" s="43" t="str">
        <f>Z720</f>
        <v>H</v>
      </c>
      <c r="W728" s="10"/>
      <c r="X728" s="45" t="s">
        <v>769</v>
      </c>
      <c r="Y728" s="10"/>
      <c r="Z728" s="46" t="str">
        <f>V718</f>
        <v>E</v>
      </c>
      <c r="AA728" s="123"/>
      <c r="AB728" s="1459">
        <f t="shared" si="383"/>
        <v>0</v>
      </c>
      <c r="AC728" s="1460" t="str">
        <f t="shared" si="384"/>
        <v>-</v>
      </c>
      <c r="AD728" s="1459">
        <f t="shared" si="385"/>
        <v>0</v>
      </c>
      <c r="AE728" s="964" t="str">
        <f t="shared" si="386"/>
        <v/>
      </c>
      <c r="AF728" s="964" t="str">
        <f t="shared" si="387"/>
        <v/>
      </c>
      <c r="AG728" s="964" t="str">
        <f t="shared" si="388"/>
        <v/>
      </c>
      <c r="AH728" s="964" t="str">
        <f t="shared" si="389"/>
        <v/>
      </c>
      <c r="AI728" s="964" t="str">
        <f t="shared" si="390"/>
        <v/>
      </c>
      <c r="AJ728" s="964"/>
      <c r="AK728" s="964"/>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s="1396"/>
      <c r="CB728" s="1396"/>
      <c r="CC728"/>
      <c r="CD728"/>
      <c r="CE728"/>
    </row>
    <row r="729" spans="1:83" ht="13.15" customHeight="1" outlineLevel="2" x14ac:dyDescent="0.2">
      <c r="A729"/>
      <c r="B729" s="1"/>
      <c r="C729"/>
      <c r="D729"/>
      <c r="E729"/>
      <c r="F729"/>
      <c r="G729" s="1"/>
      <c r="H729" s="1"/>
      <c r="I729"/>
      <c r="J729"/>
      <c r="K729"/>
      <c r="L729"/>
      <c r="M729"/>
      <c r="N729"/>
      <c r="O729"/>
      <c r="P729"/>
      <c r="Q729"/>
      <c r="R729" s="558" t="s">
        <v>1740</v>
      </c>
      <c r="S729" s="83"/>
      <c r="T729" s="56"/>
      <c r="U729" s="955"/>
      <c r="V729" s="43" t="str">
        <f>Z721</f>
        <v>F</v>
      </c>
      <c r="W729" s="10"/>
      <c r="X729" s="45" t="s">
        <v>769</v>
      </c>
      <c r="Y729" s="10"/>
      <c r="Z729" s="46" t="str">
        <f>V719</f>
        <v>C</v>
      </c>
      <c r="AA729" s="123"/>
      <c r="AB729" s="1459">
        <f t="shared" si="383"/>
        <v>0</v>
      </c>
      <c r="AC729" s="1460" t="str">
        <f t="shared" si="384"/>
        <v>-</v>
      </c>
      <c r="AD729" s="1459">
        <f t="shared" si="385"/>
        <v>0</v>
      </c>
      <c r="AE729" s="964" t="str">
        <f t="shared" si="386"/>
        <v/>
      </c>
      <c r="AF729" s="964" t="str">
        <f t="shared" si="387"/>
        <v/>
      </c>
      <c r="AG729" s="964" t="str">
        <f t="shared" si="388"/>
        <v/>
      </c>
      <c r="AH729" s="964" t="str">
        <f t="shared" si="389"/>
        <v/>
      </c>
      <c r="AI729" s="964" t="str">
        <f t="shared" si="390"/>
        <v/>
      </c>
      <c r="AJ729" s="964"/>
      <c r="AK729" s="964"/>
      <c r="AL729"/>
      <c r="AM729"/>
      <c r="AN729"/>
      <c r="AO729"/>
      <c r="AP729"/>
      <c r="AQ729"/>
      <c r="AR729"/>
      <c r="AS729"/>
      <c r="AT729"/>
      <c r="AU729"/>
      <c r="AV729"/>
      <c r="AW729"/>
      <c r="AX729" s="9"/>
      <c r="AY729"/>
      <c r="AZ729"/>
      <c r="BA729"/>
      <c r="BB729"/>
      <c r="BC729"/>
      <c r="BD729"/>
      <c r="BE729"/>
      <c r="BF729"/>
      <c r="BG729"/>
      <c r="BH729"/>
      <c r="BI729"/>
      <c r="BJ729"/>
      <c r="BK729"/>
      <c r="BL729"/>
      <c r="BM729"/>
      <c r="BN729"/>
      <c r="BO729"/>
      <c r="BP729"/>
      <c r="BQ729"/>
      <c r="BR729"/>
      <c r="BS729"/>
      <c r="BT729"/>
      <c r="BU729"/>
      <c r="BV729"/>
      <c r="BW729"/>
      <c r="BX729"/>
      <c r="BY729"/>
      <c r="BZ729"/>
      <c r="CA729" s="1396"/>
      <c r="CB729" s="1396"/>
      <c r="CC729"/>
      <c r="CD729"/>
      <c r="CE729"/>
    </row>
    <row r="730" spans="1:83" ht="13.9" customHeight="1" outlineLevel="2" thickBot="1" x14ac:dyDescent="0.25">
      <c r="A730"/>
      <c r="B730" s="1"/>
      <c r="C730"/>
      <c r="D730"/>
      <c r="E730"/>
      <c r="F730"/>
      <c r="G730" s="1"/>
      <c r="H730" s="1"/>
      <c r="I730"/>
      <c r="J730"/>
      <c r="K730"/>
      <c r="L730"/>
      <c r="M730"/>
      <c r="N730"/>
      <c r="O730"/>
      <c r="P730"/>
      <c r="Q730"/>
      <c r="R730" s="558" t="s">
        <v>1740</v>
      </c>
      <c r="S730" s="956"/>
      <c r="T730" s="58"/>
      <c r="U730" s="957"/>
      <c r="V730" s="958" t="str">
        <f>+V721</f>
        <v>D</v>
      </c>
      <c r="W730" s="10"/>
      <c r="X730" s="45" t="s">
        <v>769</v>
      </c>
      <c r="Y730" s="10"/>
      <c r="Z730" s="46" t="str">
        <f>+V720</f>
        <v>B</v>
      </c>
      <c r="AA730" s="123"/>
      <c r="AB730" s="1459">
        <f t="shared" si="383"/>
        <v>0</v>
      </c>
      <c r="AC730" s="1460" t="str">
        <f t="shared" si="384"/>
        <v>-</v>
      </c>
      <c r="AD730" s="1459">
        <f t="shared" si="385"/>
        <v>0</v>
      </c>
      <c r="AE730" s="964" t="str">
        <f t="shared" si="386"/>
        <v/>
      </c>
      <c r="AF730" s="964" t="str">
        <f t="shared" si="387"/>
        <v/>
      </c>
      <c r="AG730" s="964" t="str">
        <f t="shared" si="388"/>
        <v/>
      </c>
      <c r="AH730" s="964" t="str">
        <f t="shared" si="389"/>
        <v/>
      </c>
      <c r="AI730" s="964" t="str">
        <f t="shared" si="390"/>
        <v/>
      </c>
      <c r="AJ730" s="964"/>
      <c r="AK730" s="964"/>
      <c r="AL730"/>
      <c r="AM730"/>
      <c r="AN730"/>
      <c r="AO730"/>
      <c r="AP730"/>
      <c r="AQ730"/>
      <c r="AR730"/>
      <c r="AS730"/>
      <c r="AT730"/>
      <c r="AU730"/>
      <c r="AV730"/>
      <c r="AW730" s="9"/>
      <c r="AX730" s="9"/>
      <c r="AY730"/>
      <c r="AZ730"/>
      <c r="BA730"/>
      <c r="BB730"/>
      <c r="BC730"/>
      <c r="BD730"/>
      <c r="BE730"/>
      <c r="BF730"/>
      <c r="BG730"/>
      <c r="BH730"/>
      <c r="BI730"/>
      <c r="BJ730"/>
      <c r="BK730"/>
      <c r="BL730"/>
      <c r="BM730"/>
      <c r="BN730"/>
      <c r="BO730"/>
      <c r="BP730"/>
      <c r="BQ730"/>
      <c r="BR730"/>
      <c r="BS730"/>
      <c r="BT730"/>
      <c r="BU730"/>
      <c r="BV730"/>
      <c r="BW730"/>
      <c r="BX730"/>
      <c r="BY730"/>
      <c r="BZ730"/>
      <c r="CA730" s="1396"/>
      <c r="CB730" s="1396"/>
      <c r="CC730"/>
      <c r="CD730"/>
      <c r="CE730"/>
    </row>
    <row r="731" spans="1:83" ht="13.5" outlineLevel="1" thickBot="1" x14ac:dyDescent="0.25">
      <c r="A731"/>
      <c r="B731" s="1"/>
      <c r="C731" s="1"/>
      <c r="D731" s="76"/>
      <c r="E731" s="76"/>
      <c r="F731" s="76"/>
      <c r="G731" s="9"/>
      <c r="H731" s="9"/>
      <c r="I731" s="1"/>
      <c r="J731"/>
      <c r="K731"/>
      <c r="L731"/>
      <c r="M731"/>
      <c r="N731"/>
      <c r="O731"/>
      <c r="P731" s="89"/>
      <c r="Q731"/>
      <c r="R731" s="1"/>
      <c r="S731" s="993">
        <f>S722+1</f>
        <v>8</v>
      </c>
      <c r="T731" s="961"/>
      <c r="U731" s="961"/>
      <c r="V731" s="961"/>
      <c r="W731" s="960"/>
      <c r="X731" s="960"/>
      <c r="Y731" s="960"/>
      <c r="Z731" s="962"/>
      <c r="AA731" s="123"/>
      <c r="AB731" s="963"/>
      <c r="AC731" s="963"/>
      <c r="AD731" s="963"/>
      <c r="AE731" s="964"/>
      <c r="AF731" s="964"/>
      <c r="AG731" s="964"/>
      <c r="AH731" s="964"/>
      <c r="AI731" s="964"/>
      <c r="AJ731" s="964"/>
      <c r="AK731" s="964"/>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s="1396"/>
      <c r="CB731" s="1396"/>
      <c r="CC731"/>
      <c r="CD731"/>
      <c r="CE731"/>
    </row>
    <row r="732" spans="1:83" ht="13.9" customHeight="1" outlineLevel="2" thickBot="1" x14ac:dyDescent="0.25">
      <c r="A732"/>
      <c r="B732" s="1"/>
      <c r="C732"/>
      <c r="D732"/>
      <c r="E732"/>
      <c r="F732"/>
      <c r="G732" s="1"/>
      <c r="H732" s="1"/>
      <c r="I732"/>
      <c r="J732"/>
      <c r="K732"/>
      <c r="L732"/>
      <c r="M732"/>
      <c r="N732"/>
      <c r="O732"/>
      <c r="P732"/>
      <c r="Q732"/>
      <c r="S732" s="22" t="str">
        <f>N_Heure</f>
        <v>Heure</v>
      </c>
      <c r="T732" s="22" t="str">
        <f>N_Table</f>
        <v>Table</v>
      </c>
      <c r="U732" s="22" t="str">
        <f>N_Arbitre</f>
        <v>Arbitre</v>
      </c>
      <c r="V732" s="293" t="str">
        <f>N_Matches</f>
        <v>Matches</v>
      </c>
      <c r="W732" s="294"/>
      <c r="X732" s="294"/>
      <c r="Y732" s="294"/>
      <c r="Z732" s="295"/>
      <c r="AA732" s="8"/>
      <c r="AB732" s="967"/>
      <c r="AC732" s="967"/>
      <c r="AD732" s="967"/>
      <c r="AE732" s="964"/>
      <c r="AF732" s="964"/>
      <c r="AG732" s="964"/>
      <c r="AH732" s="964"/>
      <c r="AI732" s="964"/>
      <c r="AJ732" s="964"/>
      <c r="AK732" s="964"/>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s="1396"/>
      <c r="CB732" s="1396"/>
      <c r="CC732"/>
      <c r="CD732"/>
      <c r="CE732"/>
    </row>
    <row r="733" spans="1:83" ht="13.15" customHeight="1" outlineLevel="2" x14ac:dyDescent="0.2">
      <c r="A733"/>
      <c r="B733" s="1"/>
      <c r="C733"/>
      <c r="D733"/>
      <c r="E733"/>
      <c r="F733"/>
      <c r="G733" s="1"/>
      <c r="H733" s="1"/>
      <c r="I733"/>
      <c r="J733"/>
      <c r="K733"/>
      <c r="L733"/>
      <c r="M733"/>
      <c r="N733"/>
      <c r="O733"/>
      <c r="P733"/>
      <c r="Q733"/>
      <c r="R733" s="558" t="s">
        <v>930</v>
      </c>
      <c r="S733" s="65"/>
      <c r="T733" s="953"/>
      <c r="U733" s="954"/>
      <c r="V733" s="34" t="str">
        <f>V725</f>
        <v>N</v>
      </c>
      <c r="W733" s="148"/>
      <c r="X733" s="35" t="s">
        <v>769</v>
      </c>
      <c r="Y733" s="148"/>
      <c r="Z733" s="36" t="str">
        <f>V724</f>
        <v>A</v>
      </c>
      <c r="AA733" s="123"/>
      <c r="AB733" s="1459">
        <f t="shared" ref="AB733:AB739" si="391">IF(MaxScore,MaxGoals(W733,Y733,MaxGoalsValue),IF(W733="","",W733))</f>
        <v>0</v>
      </c>
      <c r="AC733" s="1460" t="str">
        <f t="shared" ref="AC733:AC739" si="392">IF(MaxScore,"-",IF(W733="","","-"))</f>
        <v>-</v>
      </c>
      <c r="AD733" s="1459">
        <f t="shared" ref="AD733:AD739" si="393">IF(MaxScore,MaxGoals(Y733,W733,MaxGoalsValue),IF(Y733="","",Y733))</f>
        <v>0</v>
      </c>
      <c r="AE733" s="964" t="str">
        <f t="shared" ref="AE733:AE739" si="394">IF(W733="","",IF(W733&gt;Y733,V733,IF(W733=Y733,"",Z733)))</f>
        <v/>
      </c>
      <c r="AF733" s="964" t="str">
        <f t="shared" ref="AF733:AF739" si="395">IF(W733="","",IF(W733=Y733,V733,""))</f>
        <v/>
      </c>
      <c r="AG733" s="964" t="str">
        <f t="shared" ref="AG733:AG739" si="396">IF(W733="","",IF(W733=Y733,Z733,""))</f>
        <v/>
      </c>
      <c r="AH733" s="964" t="str">
        <f t="shared" ref="AH733:AH739" si="397">IF(W733="","",IF(W733&lt;Y733,V733,IF(W733=Y733,"",Z733)))</f>
        <v/>
      </c>
      <c r="AI733" s="964" t="str">
        <f t="shared" ref="AI733:AI739" si="398">CONCATENATE(AE733,AH733)</f>
        <v/>
      </c>
      <c r="AJ733" s="964"/>
      <c r="AK733" s="964"/>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s="1396"/>
      <c r="CB733" s="1396"/>
      <c r="CC733"/>
      <c r="CD733"/>
      <c r="CE733"/>
    </row>
    <row r="734" spans="1:83" ht="13.15" customHeight="1" outlineLevel="2" x14ac:dyDescent="0.2">
      <c r="A734"/>
      <c r="B734" s="1"/>
      <c r="C734"/>
      <c r="D734"/>
      <c r="E734"/>
      <c r="F734"/>
      <c r="G734" s="1"/>
      <c r="H734" s="1"/>
      <c r="I734"/>
      <c r="J734"/>
      <c r="K734"/>
      <c r="L734"/>
      <c r="M734"/>
      <c r="N734"/>
      <c r="O734"/>
      <c r="P734"/>
      <c r="Q734"/>
      <c r="R734" s="558" t="s">
        <v>930</v>
      </c>
      <c r="S734" s="83"/>
      <c r="T734" s="56"/>
      <c r="U734" s="955"/>
      <c r="V734" s="43" t="str">
        <f t="shared" ref="V734:V739" si="399">Z724</f>
        <v>M</v>
      </c>
      <c r="W734" s="10"/>
      <c r="X734" s="45" t="s">
        <v>769</v>
      </c>
      <c r="Y734" s="10"/>
      <c r="Z734" s="46" t="str">
        <f>V726</f>
        <v>L</v>
      </c>
      <c r="AA734" s="123"/>
      <c r="AB734" s="1459">
        <f t="shared" si="391"/>
        <v>0</v>
      </c>
      <c r="AC734" s="1460" t="str">
        <f t="shared" si="392"/>
        <v>-</v>
      </c>
      <c r="AD734" s="1459">
        <f t="shared" si="393"/>
        <v>0</v>
      </c>
      <c r="AE734" s="964" t="str">
        <f t="shared" si="394"/>
        <v/>
      </c>
      <c r="AF734" s="964" t="str">
        <f t="shared" si="395"/>
        <v/>
      </c>
      <c r="AG734" s="964" t="str">
        <f t="shared" si="396"/>
        <v/>
      </c>
      <c r="AH734" s="964" t="str">
        <f t="shared" si="397"/>
        <v/>
      </c>
      <c r="AI734" s="964" t="str">
        <f t="shared" si="398"/>
        <v/>
      </c>
      <c r="AJ734" s="964"/>
      <c r="AK734" s="964"/>
      <c r="AL734"/>
      <c r="AM734"/>
      <c r="AN734"/>
      <c r="AO734"/>
      <c r="AP734"/>
      <c r="AQ734"/>
      <c r="AR734"/>
      <c r="AS734"/>
      <c r="AT734"/>
      <c r="AU734"/>
      <c r="AV734"/>
      <c r="AW734" s="9"/>
      <c r="AX734" s="9"/>
      <c r="AY734"/>
      <c r="AZ734"/>
      <c r="BA734"/>
      <c r="BB734"/>
      <c r="BC734"/>
      <c r="BD734"/>
      <c r="BE734"/>
      <c r="BF734"/>
      <c r="BG734"/>
      <c r="BH734"/>
      <c r="BI734"/>
      <c r="BJ734"/>
      <c r="BK734"/>
      <c r="BL734"/>
      <c r="BM734"/>
      <c r="BN734"/>
      <c r="BO734"/>
      <c r="BP734"/>
      <c r="BQ734"/>
      <c r="BR734"/>
      <c r="BS734"/>
      <c r="BT734"/>
      <c r="BU734"/>
      <c r="BV734"/>
      <c r="BW734"/>
      <c r="BX734"/>
      <c r="BY734"/>
      <c r="BZ734"/>
      <c r="CA734" s="1396"/>
      <c r="CB734" s="1396"/>
      <c r="CC734"/>
      <c r="CD734"/>
      <c r="CE734"/>
    </row>
    <row r="735" spans="1:83" ht="13.15" customHeight="1" outlineLevel="2" x14ac:dyDescent="0.2">
      <c r="A735"/>
      <c r="B735" s="1"/>
      <c r="C735"/>
      <c r="D735"/>
      <c r="E735"/>
      <c r="F735"/>
      <c r="G735" s="1"/>
      <c r="H735" s="1"/>
      <c r="I735"/>
      <c r="J735"/>
      <c r="K735"/>
      <c r="L735"/>
      <c r="M735"/>
      <c r="N735"/>
      <c r="O735"/>
      <c r="P735"/>
      <c r="Q735"/>
      <c r="R735" s="558" t="s">
        <v>930</v>
      </c>
      <c r="S735" s="83"/>
      <c r="T735" s="56"/>
      <c r="U735" s="955"/>
      <c r="V735" s="43" t="str">
        <f t="shared" si="399"/>
        <v>K</v>
      </c>
      <c r="W735" s="10"/>
      <c r="X735" s="45" t="s">
        <v>769</v>
      </c>
      <c r="Y735" s="10"/>
      <c r="Z735" s="46" t="str">
        <f>V727</f>
        <v>J</v>
      </c>
      <c r="AA735" s="123"/>
      <c r="AB735" s="1459">
        <f t="shared" si="391"/>
        <v>0</v>
      </c>
      <c r="AC735" s="1460" t="str">
        <f t="shared" si="392"/>
        <v>-</v>
      </c>
      <c r="AD735" s="1459">
        <f t="shared" si="393"/>
        <v>0</v>
      </c>
      <c r="AE735" s="964" t="str">
        <f t="shared" si="394"/>
        <v/>
      </c>
      <c r="AF735" s="964" t="str">
        <f t="shared" si="395"/>
        <v/>
      </c>
      <c r="AG735" s="964" t="str">
        <f t="shared" si="396"/>
        <v/>
      </c>
      <c r="AH735" s="964" t="str">
        <f t="shared" si="397"/>
        <v/>
      </c>
      <c r="AI735" s="964" t="str">
        <f t="shared" si="398"/>
        <v/>
      </c>
      <c r="AJ735" s="964"/>
      <c r="AK735" s="964"/>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s="1396"/>
      <c r="CB735" s="1396"/>
      <c r="CC735"/>
      <c r="CD735"/>
      <c r="CE735"/>
    </row>
    <row r="736" spans="1:83" ht="13.15" customHeight="1" outlineLevel="2" x14ac:dyDescent="0.2">
      <c r="A736"/>
      <c r="B736" s="1"/>
      <c r="C736"/>
      <c r="D736"/>
      <c r="E736"/>
      <c r="F736"/>
      <c r="G736" s="1"/>
      <c r="H736" s="1"/>
      <c r="I736"/>
      <c r="J736"/>
      <c r="K736"/>
      <c r="L736"/>
      <c r="M736"/>
      <c r="N736"/>
      <c r="O736"/>
      <c r="P736"/>
      <c r="Q736"/>
      <c r="R736" s="558" t="s">
        <v>930</v>
      </c>
      <c r="S736" s="83"/>
      <c r="T736" s="56"/>
      <c r="U736" s="955"/>
      <c r="V736" s="43" t="str">
        <f t="shared" si="399"/>
        <v>I</v>
      </c>
      <c r="W736" s="10"/>
      <c r="X736" s="45" t="s">
        <v>769</v>
      </c>
      <c r="Y736" s="10"/>
      <c r="Z736" s="46" t="str">
        <f>V728</f>
        <v>H</v>
      </c>
      <c r="AA736" s="123"/>
      <c r="AB736" s="1459">
        <f t="shared" si="391"/>
        <v>0</v>
      </c>
      <c r="AC736" s="1460" t="str">
        <f t="shared" si="392"/>
        <v>-</v>
      </c>
      <c r="AD736" s="1459">
        <f t="shared" si="393"/>
        <v>0</v>
      </c>
      <c r="AE736" s="964" t="str">
        <f t="shared" si="394"/>
        <v/>
      </c>
      <c r="AF736" s="964" t="str">
        <f t="shared" si="395"/>
        <v/>
      </c>
      <c r="AG736" s="964" t="str">
        <f t="shared" si="396"/>
        <v/>
      </c>
      <c r="AH736" s="964" t="str">
        <f t="shared" si="397"/>
        <v/>
      </c>
      <c r="AI736" s="964" t="str">
        <f t="shared" si="398"/>
        <v/>
      </c>
      <c r="AJ736" s="964"/>
      <c r="AK736" s="964"/>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s="1396"/>
      <c r="CB736" s="1396"/>
      <c r="CC736"/>
      <c r="CD736"/>
      <c r="CE736"/>
    </row>
    <row r="737" spans="1:83" ht="13.15" customHeight="1" outlineLevel="2" x14ac:dyDescent="0.2">
      <c r="A737"/>
      <c r="B737" s="1"/>
      <c r="C737"/>
      <c r="D737"/>
      <c r="E737"/>
      <c r="F737"/>
      <c r="G737" s="1"/>
      <c r="H737" s="1"/>
      <c r="I737"/>
      <c r="J737"/>
      <c r="K737"/>
      <c r="L737"/>
      <c r="M737"/>
      <c r="N737"/>
      <c r="O737"/>
      <c r="P737"/>
      <c r="Q737"/>
      <c r="R737" s="558" t="s">
        <v>930</v>
      </c>
      <c r="S737" s="83"/>
      <c r="T737" s="56"/>
      <c r="U737" s="955"/>
      <c r="V737" s="43" t="str">
        <f t="shared" si="399"/>
        <v>G</v>
      </c>
      <c r="W737" s="10"/>
      <c r="X737" s="45" t="s">
        <v>769</v>
      </c>
      <c r="Y737" s="10"/>
      <c r="Z737" s="46" t="str">
        <f>V729</f>
        <v>F</v>
      </c>
      <c r="AA737" s="123"/>
      <c r="AB737" s="1459">
        <f t="shared" si="391"/>
        <v>0</v>
      </c>
      <c r="AC737" s="1460" t="str">
        <f t="shared" si="392"/>
        <v>-</v>
      </c>
      <c r="AD737" s="1459">
        <f t="shared" si="393"/>
        <v>0</v>
      </c>
      <c r="AE737" s="964" t="str">
        <f t="shared" si="394"/>
        <v/>
      </c>
      <c r="AF737" s="964" t="str">
        <f t="shared" si="395"/>
        <v/>
      </c>
      <c r="AG737" s="964" t="str">
        <f t="shared" si="396"/>
        <v/>
      </c>
      <c r="AH737" s="964" t="str">
        <f t="shared" si="397"/>
        <v/>
      </c>
      <c r="AI737" s="964" t="str">
        <f t="shared" si="398"/>
        <v/>
      </c>
      <c r="AJ737" s="964"/>
      <c r="AK737" s="964"/>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s="1396"/>
      <c r="CB737" s="1396"/>
      <c r="CC737"/>
      <c r="CD737"/>
      <c r="CE737"/>
    </row>
    <row r="738" spans="1:83" ht="13.15" customHeight="1" outlineLevel="2" x14ac:dyDescent="0.2">
      <c r="A738"/>
      <c r="B738" s="1"/>
      <c r="C738"/>
      <c r="D738"/>
      <c r="E738"/>
      <c r="F738"/>
      <c r="G738" s="1"/>
      <c r="H738" s="1"/>
      <c r="I738"/>
      <c r="J738"/>
      <c r="K738"/>
      <c r="L738"/>
      <c r="M738"/>
      <c r="N738"/>
      <c r="O738"/>
      <c r="P738"/>
      <c r="Q738"/>
      <c r="R738" s="558" t="s">
        <v>930</v>
      </c>
      <c r="S738" s="83"/>
      <c r="T738" s="56"/>
      <c r="U738" s="955"/>
      <c r="V738" s="43" t="str">
        <f t="shared" si="399"/>
        <v>E</v>
      </c>
      <c r="W738" s="10"/>
      <c r="X738" s="45" t="s">
        <v>769</v>
      </c>
      <c r="Y738" s="10"/>
      <c r="Z738" s="46" t="str">
        <f>V730</f>
        <v>D</v>
      </c>
      <c r="AA738" s="123"/>
      <c r="AB738" s="1459">
        <f t="shared" si="391"/>
        <v>0</v>
      </c>
      <c r="AC738" s="1460" t="str">
        <f t="shared" si="392"/>
        <v>-</v>
      </c>
      <c r="AD738" s="1459">
        <f t="shared" si="393"/>
        <v>0</v>
      </c>
      <c r="AE738" s="964" t="str">
        <f t="shared" si="394"/>
        <v/>
      </c>
      <c r="AF738" s="964" t="str">
        <f t="shared" si="395"/>
        <v/>
      </c>
      <c r="AG738" s="964" t="str">
        <f t="shared" si="396"/>
        <v/>
      </c>
      <c r="AH738" s="964" t="str">
        <f t="shared" si="397"/>
        <v/>
      </c>
      <c r="AI738" s="964" t="str">
        <f t="shared" si="398"/>
        <v/>
      </c>
      <c r="AJ738" s="964"/>
      <c r="AK738" s="964"/>
      <c r="AL738"/>
      <c r="AM738"/>
      <c r="AN738"/>
      <c r="AO738"/>
      <c r="AP738"/>
      <c r="AQ738"/>
      <c r="AR738"/>
      <c r="AS738"/>
      <c r="AT738"/>
      <c r="AU738"/>
      <c r="AV738"/>
      <c r="AW738"/>
      <c r="AX738" s="9"/>
      <c r="AY738"/>
      <c r="AZ738"/>
      <c r="BA738"/>
      <c r="BB738"/>
      <c r="BC738"/>
      <c r="BD738"/>
      <c r="BE738"/>
      <c r="BF738"/>
      <c r="BG738"/>
      <c r="BH738"/>
      <c r="BI738"/>
      <c r="BJ738"/>
      <c r="BK738"/>
      <c r="BL738"/>
      <c r="BM738"/>
      <c r="BN738"/>
      <c r="BO738"/>
      <c r="BP738"/>
      <c r="BQ738"/>
      <c r="BR738"/>
      <c r="BS738"/>
      <c r="BT738"/>
      <c r="BU738"/>
      <c r="BV738"/>
      <c r="BW738"/>
      <c r="BX738"/>
      <c r="BY738"/>
      <c r="BZ738"/>
      <c r="CA738" s="1396"/>
      <c r="CB738" s="1396"/>
      <c r="CC738"/>
      <c r="CD738"/>
      <c r="CE738"/>
    </row>
    <row r="739" spans="1:83" ht="13.9" customHeight="1" outlineLevel="2" thickBot="1" x14ac:dyDescent="0.25">
      <c r="A739"/>
      <c r="B739" s="1"/>
      <c r="C739"/>
      <c r="D739"/>
      <c r="E739"/>
      <c r="F739"/>
      <c r="G739" s="1"/>
      <c r="H739" s="1"/>
      <c r="I739"/>
      <c r="J739"/>
      <c r="K739"/>
      <c r="L739"/>
      <c r="M739"/>
      <c r="N739"/>
      <c r="O739"/>
      <c r="P739"/>
      <c r="Q739"/>
      <c r="R739" s="558" t="s">
        <v>930</v>
      </c>
      <c r="S739" s="956"/>
      <c r="T739" s="58"/>
      <c r="U739" s="957"/>
      <c r="V739" s="43" t="str">
        <f t="shared" si="399"/>
        <v>C</v>
      </c>
      <c r="W739" s="10"/>
      <c r="X739" s="45" t="s">
        <v>769</v>
      </c>
      <c r="Y739" s="10"/>
      <c r="Z739" s="46" t="str">
        <f>+Z730</f>
        <v>B</v>
      </c>
      <c r="AA739" s="123"/>
      <c r="AB739" s="1459">
        <f t="shared" si="391"/>
        <v>0</v>
      </c>
      <c r="AC739" s="1460" t="str">
        <f t="shared" si="392"/>
        <v>-</v>
      </c>
      <c r="AD739" s="1459">
        <f t="shared" si="393"/>
        <v>0</v>
      </c>
      <c r="AE739" s="964" t="str">
        <f t="shared" si="394"/>
        <v/>
      </c>
      <c r="AF739" s="964" t="str">
        <f t="shared" si="395"/>
        <v/>
      </c>
      <c r="AG739" s="964" t="str">
        <f t="shared" si="396"/>
        <v/>
      </c>
      <c r="AH739" s="964" t="str">
        <f t="shared" si="397"/>
        <v/>
      </c>
      <c r="AI739" s="964" t="str">
        <f t="shared" si="398"/>
        <v/>
      </c>
      <c r="AJ739" s="964"/>
      <c r="AK739" s="964"/>
      <c r="AL739"/>
      <c r="AM739"/>
      <c r="AN739"/>
      <c r="AO739"/>
      <c r="AP739"/>
      <c r="AQ739"/>
      <c r="AR739"/>
      <c r="AS739"/>
      <c r="AT739"/>
      <c r="AU739"/>
      <c r="AV739"/>
      <c r="AW739" s="9"/>
      <c r="AX739" s="9"/>
      <c r="AY739"/>
      <c r="AZ739"/>
      <c r="BA739"/>
      <c r="BB739"/>
      <c r="BC739"/>
      <c r="BD739"/>
      <c r="BE739"/>
      <c r="BF739"/>
      <c r="BG739"/>
      <c r="BH739"/>
      <c r="BI739"/>
      <c r="BJ739"/>
      <c r="BK739"/>
      <c r="BL739"/>
      <c r="BM739"/>
      <c r="BN739"/>
      <c r="BO739"/>
      <c r="BP739"/>
      <c r="BQ739"/>
      <c r="BR739"/>
      <c r="BS739"/>
      <c r="BT739"/>
      <c r="BU739"/>
      <c r="BV739"/>
      <c r="BW739"/>
      <c r="BX739"/>
      <c r="BY739"/>
      <c r="BZ739"/>
      <c r="CA739" s="1396"/>
      <c r="CB739" s="1396"/>
      <c r="CC739"/>
      <c r="CD739"/>
      <c r="CE739"/>
    </row>
    <row r="740" spans="1:83" ht="13.5" outlineLevel="1" thickBot="1" x14ac:dyDescent="0.25">
      <c r="A740"/>
      <c r="B740" s="1"/>
      <c r="C740" s="1"/>
      <c r="D740" s="76"/>
      <c r="E740" s="76"/>
      <c r="F740" s="76"/>
      <c r="G740" s="9"/>
      <c r="H740" s="9"/>
      <c r="I740" s="1"/>
      <c r="J740"/>
      <c r="K740"/>
      <c r="L740"/>
      <c r="M740"/>
      <c r="N740"/>
      <c r="O740"/>
      <c r="P740" s="89"/>
      <c r="Q740"/>
      <c r="R740" s="1"/>
      <c r="S740" s="993">
        <f>S731+1</f>
        <v>9</v>
      </c>
      <c r="T740" s="961"/>
      <c r="U740" s="961"/>
      <c r="V740" s="961"/>
      <c r="W740" s="960"/>
      <c r="X740" s="960"/>
      <c r="Y740" s="960"/>
      <c r="Z740" s="962"/>
      <c r="AA740" s="123"/>
      <c r="AB740" s="963"/>
      <c r="AC740" s="963"/>
      <c r="AD740" s="963"/>
      <c r="AE740" s="964"/>
      <c r="AF740" s="964"/>
      <c r="AG740" s="964"/>
      <c r="AH740" s="964"/>
      <c r="AI740" s="964"/>
      <c r="AJ740" s="964"/>
      <c r="AK740" s="964"/>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s="1396"/>
      <c r="CB740" s="1396"/>
      <c r="CC740"/>
      <c r="CD740"/>
      <c r="CE740"/>
    </row>
    <row r="741" spans="1:83" ht="13.9" customHeight="1" outlineLevel="2" thickBot="1" x14ac:dyDescent="0.25">
      <c r="A741"/>
      <c r="B741" s="1"/>
      <c r="C741"/>
      <c r="D741"/>
      <c r="E741"/>
      <c r="F741"/>
      <c r="G741" s="1"/>
      <c r="H741" s="1"/>
      <c r="I741"/>
      <c r="J741"/>
      <c r="K741"/>
      <c r="L741"/>
      <c r="M741"/>
      <c r="N741"/>
      <c r="O741"/>
      <c r="P741"/>
      <c r="Q741"/>
      <c r="S741" s="22" t="str">
        <f>N_Heure</f>
        <v>Heure</v>
      </c>
      <c r="T741" s="22" t="str">
        <f>N_Table</f>
        <v>Table</v>
      </c>
      <c r="U741" s="22" t="str">
        <f>N_Arbitre</f>
        <v>Arbitre</v>
      </c>
      <c r="V741" s="293" t="str">
        <f>N_Matches</f>
        <v>Matches</v>
      </c>
      <c r="W741" s="294"/>
      <c r="X741" s="294"/>
      <c r="Y741" s="294"/>
      <c r="Z741" s="295"/>
      <c r="AA741" s="8"/>
      <c r="AB741" s="967"/>
      <c r="AC741" s="967"/>
      <c r="AD741" s="967"/>
      <c r="AE741" s="964"/>
      <c r="AF741" s="964"/>
      <c r="AG741" s="964"/>
      <c r="AH741" s="964"/>
      <c r="AI741" s="964"/>
      <c r="AJ741" s="964"/>
      <c r="AK741" s="964"/>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s="1396"/>
      <c r="CB741" s="1396"/>
      <c r="CC741"/>
      <c r="CD741"/>
      <c r="CE741"/>
    </row>
    <row r="742" spans="1:83" ht="13.15" customHeight="1" outlineLevel="2" x14ac:dyDescent="0.2">
      <c r="A742"/>
      <c r="B742" s="1"/>
      <c r="C742"/>
      <c r="D742"/>
      <c r="E742"/>
      <c r="F742"/>
      <c r="G742" s="1"/>
      <c r="H742" s="1"/>
      <c r="I742"/>
      <c r="J742"/>
      <c r="K742"/>
      <c r="L742"/>
      <c r="M742"/>
      <c r="N742"/>
      <c r="O742"/>
      <c r="P742"/>
      <c r="Q742"/>
      <c r="R742" s="558" t="s">
        <v>3971</v>
      </c>
      <c r="S742" s="83"/>
      <c r="T742" s="56"/>
      <c r="U742" s="955"/>
      <c r="V742" s="34" t="str">
        <f>Z733</f>
        <v>A</v>
      </c>
      <c r="W742" s="148"/>
      <c r="X742" s="35" t="s">
        <v>769</v>
      </c>
      <c r="Y742" s="148"/>
      <c r="Z742" s="36" t="str">
        <f>Z734</f>
        <v>L</v>
      </c>
      <c r="AA742" s="123"/>
      <c r="AB742" s="1459">
        <f t="shared" ref="AB742:AB748" si="400">IF(MaxScore,MaxGoals(W742,Y742,MaxGoalsValue),IF(W742="","",W742))</f>
        <v>0</v>
      </c>
      <c r="AC742" s="1460" t="str">
        <f t="shared" ref="AC742:AC748" si="401">IF(MaxScore,"-",IF(W742="","","-"))</f>
        <v>-</v>
      </c>
      <c r="AD742" s="1459">
        <f t="shared" ref="AD742:AD748" si="402">IF(MaxScore,MaxGoals(Y742,W742,MaxGoalsValue),IF(Y742="","",Y742))</f>
        <v>0</v>
      </c>
      <c r="AE742" s="964" t="str">
        <f t="shared" ref="AE742:AE748" si="403">IF(W742="","",IF(W742&gt;Y742,V742,IF(W742=Y742,"",Z742)))</f>
        <v/>
      </c>
      <c r="AF742" s="964" t="str">
        <f t="shared" ref="AF742:AF748" si="404">IF(W742="","",IF(W742=Y742,V742,""))</f>
        <v/>
      </c>
      <c r="AG742" s="964" t="str">
        <f t="shared" ref="AG742:AG748" si="405">IF(W742="","",IF(W742=Y742,Z742,""))</f>
        <v/>
      </c>
      <c r="AH742" s="964" t="str">
        <f t="shared" ref="AH742:AH748" si="406">IF(W742="","",IF(W742&lt;Y742,V742,IF(W742=Y742,"",Z742)))</f>
        <v/>
      </c>
      <c r="AI742" s="964" t="str">
        <f t="shared" ref="AI742:AI748" si="407">CONCATENATE(AE742,AH742)</f>
        <v/>
      </c>
      <c r="AJ742" s="964"/>
      <c r="AK742" s="964"/>
      <c r="AL742"/>
      <c r="AM742"/>
      <c r="AN742"/>
      <c r="AO742"/>
      <c r="AP742"/>
      <c r="AQ742"/>
      <c r="AR742"/>
      <c r="AS742"/>
      <c r="AT742"/>
      <c r="AU742"/>
      <c r="AV742"/>
      <c r="AW742"/>
      <c r="AX742" s="9"/>
      <c r="AY742"/>
      <c r="AZ742"/>
      <c r="BA742"/>
      <c r="BB742"/>
      <c r="BC742"/>
      <c r="BD742"/>
      <c r="BE742"/>
      <c r="BF742"/>
      <c r="BG742"/>
      <c r="BH742"/>
      <c r="BI742"/>
      <c r="BJ742"/>
      <c r="BK742"/>
      <c r="BL742"/>
      <c r="BM742"/>
      <c r="BN742"/>
      <c r="BO742"/>
      <c r="BP742"/>
      <c r="BQ742"/>
      <c r="BR742"/>
      <c r="BS742"/>
      <c r="BT742"/>
      <c r="BU742"/>
      <c r="BV742"/>
      <c r="BW742"/>
      <c r="BX742"/>
      <c r="BY742"/>
      <c r="BZ742"/>
      <c r="CA742" s="1396"/>
      <c r="CB742" s="1396"/>
      <c r="CC742"/>
      <c r="CD742"/>
      <c r="CE742"/>
    </row>
    <row r="743" spans="1:83" ht="13.15" customHeight="1" outlineLevel="2" x14ac:dyDescent="0.2">
      <c r="A743"/>
      <c r="B743" s="1"/>
      <c r="C743"/>
      <c r="D743"/>
      <c r="E743"/>
      <c r="F743"/>
      <c r="G743" s="1"/>
      <c r="H743" s="1"/>
      <c r="I743"/>
      <c r="J743"/>
      <c r="K743"/>
      <c r="L743"/>
      <c r="M743"/>
      <c r="N743"/>
      <c r="O743"/>
      <c r="P743"/>
      <c r="Q743"/>
      <c r="R743" s="558" t="s">
        <v>3971</v>
      </c>
      <c r="S743" s="83"/>
      <c r="T743" s="56"/>
      <c r="U743" s="955"/>
      <c r="V743" s="43" t="str">
        <f>Z735</f>
        <v>J</v>
      </c>
      <c r="W743" s="10"/>
      <c r="X743" s="45" t="s">
        <v>769</v>
      </c>
      <c r="Y743" s="10"/>
      <c r="Z743" s="46" t="str">
        <f>V733</f>
        <v>N</v>
      </c>
      <c r="AA743" s="123"/>
      <c r="AB743" s="1459">
        <f t="shared" si="400"/>
        <v>0</v>
      </c>
      <c r="AC743" s="1460" t="str">
        <f t="shared" si="401"/>
        <v>-</v>
      </c>
      <c r="AD743" s="1459">
        <f t="shared" si="402"/>
        <v>0</v>
      </c>
      <c r="AE743" s="964" t="str">
        <f t="shared" si="403"/>
        <v/>
      </c>
      <c r="AF743" s="964" t="str">
        <f t="shared" si="404"/>
        <v/>
      </c>
      <c r="AG743" s="964" t="str">
        <f t="shared" si="405"/>
        <v/>
      </c>
      <c r="AH743" s="964" t="str">
        <f t="shared" si="406"/>
        <v/>
      </c>
      <c r="AI743" s="964" t="str">
        <f t="shared" si="407"/>
        <v/>
      </c>
      <c r="AJ743" s="964"/>
      <c r="AK743" s="964"/>
      <c r="AL743"/>
      <c r="AM743"/>
      <c r="AN743"/>
      <c r="AO743"/>
      <c r="AP743"/>
      <c r="AQ743"/>
      <c r="AR743"/>
      <c r="AS743"/>
      <c r="AT743"/>
      <c r="AU743"/>
      <c r="AV743"/>
      <c r="AW743" s="9"/>
      <c r="AX743" s="9"/>
      <c r="AY743"/>
      <c r="AZ743"/>
      <c r="BA743"/>
      <c r="BB743"/>
      <c r="BC743"/>
      <c r="BD743"/>
      <c r="BE743"/>
      <c r="BF743"/>
      <c r="BG743"/>
      <c r="BH743"/>
      <c r="BI743"/>
      <c r="BJ743"/>
      <c r="BK743"/>
      <c r="BL743"/>
      <c r="BM743"/>
      <c r="BN743"/>
      <c r="BO743"/>
      <c r="BP743"/>
      <c r="BQ743"/>
      <c r="BR743"/>
      <c r="BS743"/>
      <c r="BT743"/>
      <c r="BU743"/>
      <c r="BV743"/>
      <c r="BW743"/>
      <c r="BX743"/>
      <c r="BY743"/>
      <c r="BZ743"/>
      <c r="CA743" s="1396"/>
      <c r="CB743" s="1396"/>
      <c r="CC743"/>
      <c r="CD743"/>
      <c r="CE743"/>
    </row>
    <row r="744" spans="1:83" ht="13.15" customHeight="1" outlineLevel="2" x14ac:dyDescent="0.2">
      <c r="A744"/>
      <c r="B744" s="1"/>
      <c r="C744"/>
      <c r="D744"/>
      <c r="E744"/>
      <c r="F744"/>
      <c r="G744" s="1"/>
      <c r="H744" s="1"/>
      <c r="I744"/>
      <c r="J744"/>
      <c r="K744"/>
      <c r="L744"/>
      <c r="M744"/>
      <c r="N744"/>
      <c r="O744"/>
      <c r="P744"/>
      <c r="Q744"/>
      <c r="R744" s="558" t="s">
        <v>3971</v>
      </c>
      <c r="S744" s="83"/>
      <c r="T744" s="56"/>
      <c r="U744" s="955"/>
      <c r="V744" s="43" t="str">
        <f>Z736</f>
        <v>H</v>
      </c>
      <c r="W744" s="10"/>
      <c r="X744" s="45" t="s">
        <v>769</v>
      </c>
      <c r="Y744" s="10"/>
      <c r="Z744" s="46" t="str">
        <f>V734</f>
        <v>M</v>
      </c>
      <c r="AA744" s="123"/>
      <c r="AB744" s="1459">
        <f t="shared" si="400"/>
        <v>0</v>
      </c>
      <c r="AC744" s="1460" t="str">
        <f t="shared" si="401"/>
        <v>-</v>
      </c>
      <c r="AD744" s="1459">
        <f t="shared" si="402"/>
        <v>0</v>
      </c>
      <c r="AE744" s="964" t="str">
        <f t="shared" si="403"/>
        <v/>
      </c>
      <c r="AF744" s="964" t="str">
        <f t="shared" si="404"/>
        <v/>
      </c>
      <c r="AG744" s="964" t="str">
        <f t="shared" si="405"/>
        <v/>
      </c>
      <c r="AH744" s="964" t="str">
        <f t="shared" si="406"/>
        <v/>
      </c>
      <c r="AI744" s="964" t="str">
        <f t="shared" si="407"/>
        <v/>
      </c>
      <c r="AJ744" s="964"/>
      <c r="AK744" s="96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s="1396"/>
      <c r="CB744" s="1396"/>
      <c r="CC744"/>
      <c r="CD744"/>
      <c r="CE744"/>
    </row>
    <row r="745" spans="1:83" ht="13.15" customHeight="1" outlineLevel="2" x14ac:dyDescent="0.2">
      <c r="A745"/>
      <c r="B745" s="1"/>
      <c r="C745"/>
      <c r="D745"/>
      <c r="E745"/>
      <c r="F745"/>
      <c r="G745" s="1"/>
      <c r="H745" s="1"/>
      <c r="I745"/>
      <c r="J745"/>
      <c r="K745"/>
      <c r="L745"/>
      <c r="M745"/>
      <c r="N745"/>
      <c r="O745"/>
      <c r="P745"/>
      <c r="Q745"/>
      <c r="R745" s="558" t="s">
        <v>3971</v>
      </c>
      <c r="S745" s="83"/>
      <c r="T745" s="56"/>
      <c r="U745" s="955"/>
      <c r="V745" s="43" t="str">
        <f>Z737</f>
        <v>F</v>
      </c>
      <c r="W745" s="10"/>
      <c r="X745" s="45" t="s">
        <v>769</v>
      </c>
      <c r="Y745" s="10"/>
      <c r="Z745" s="46" t="str">
        <f>V735</f>
        <v>K</v>
      </c>
      <c r="AA745" s="123"/>
      <c r="AB745" s="1459">
        <f t="shared" si="400"/>
        <v>0</v>
      </c>
      <c r="AC745" s="1460" t="str">
        <f t="shared" si="401"/>
        <v>-</v>
      </c>
      <c r="AD745" s="1459">
        <f t="shared" si="402"/>
        <v>0</v>
      </c>
      <c r="AE745" s="964" t="str">
        <f t="shared" si="403"/>
        <v/>
      </c>
      <c r="AF745" s="964" t="str">
        <f t="shared" si="404"/>
        <v/>
      </c>
      <c r="AG745" s="964" t="str">
        <f t="shared" si="405"/>
        <v/>
      </c>
      <c r="AH745" s="964" t="str">
        <f t="shared" si="406"/>
        <v/>
      </c>
      <c r="AI745" s="964" t="str">
        <f t="shared" si="407"/>
        <v/>
      </c>
      <c r="AJ745" s="964"/>
      <c r="AK745" s="964"/>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s="1396"/>
      <c r="CB745" s="1396"/>
      <c r="CC745"/>
      <c r="CD745"/>
      <c r="CE745"/>
    </row>
    <row r="746" spans="1:83" ht="13.15" customHeight="1" outlineLevel="2" x14ac:dyDescent="0.2">
      <c r="A746"/>
      <c r="B746" s="1"/>
      <c r="C746"/>
      <c r="D746"/>
      <c r="E746"/>
      <c r="F746"/>
      <c r="G746" s="1"/>
      <c r="H746" s="1"/>
      <c r="I746"/>
      <c r="J746"/>
      <c r="K746"/>
      <c r="L746"/>
      <c r="M746"/>
      <c r="N746"/>
      <c r="O746"/>
      <c r="P746"/>
      <c r="Q746"/>
      <c r="R746" s="558" t="s">
        <v>3971</v>
      </c>
      <c r="S746" s="83"/>
      <c r="T746" s="56"/>
      <c r="U746" s="955"/>
      <c r="V746" s="43" t="str">
        <f>Z738</f>
        <v>D</v>
      </c>
      <c r="W746" s="10"/>
      <c r="X746" s="45" t="s">
        <v>769</v>
      </c>
      <c r="Y746" s="10"/>
      <c r="Z746" s="46" t="str">
        <f>V736</f>
        <v>I</v>
      </c>
      <c r="AA746" s="123"/>
      <c r="AB746" s="1459">
        <f t="shared" si="400"/>
        <v>0</v>
      </c>
      <c r="AC746" s="1460" t="str">
        <f t="shared" si="401"/>
        <v>-</v>
      </c>
      <c r="AD746" s="1459">
        <f t="shared" si="402"/>
        <v>0</v>
      </c>
      <c r="AE746" s="964" t="str">
        <f t="shared" si="403"/>
        <v/>
      </c>
      <c r="AF746" s="964" t="str">
        <f t="shared" si="404"/>
        <v/>
      </c>
      <c r="AG746" s="964" t="str">
        <f t="shared" si="405"/>
        <v/>
      </c>
      <c r="AH746" s="964" t="str">
        <f t="shared" si="406"/>
        <v/>
      </c>
      <c r="AI746" s="964" t="str">
        <f t="shared" si="407"/>
        <v/>
      </c>
      <c r="AJ746" s="964"/>
      <c r="AK746" s="964"/>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s="1396"/>
      <c r="CB746" s="1396"/>
      <c r="CC746"/>
      <c r="CD746"/>
      <c r="CE746"/>
    </row>
    <row r="747" spans="1:83" ht="13.15" customHeight="1" outlineLevel="2" x14ac:dyDescent="0.2">
      <c r="A747"/>
      <c r="B747" s="1"/>
      <c r="C747"/>
      <c r="D747"/>
      <c r="E747"/>
      <c r="F747"/>
      <c r="G747" s="1"/>
      <c r="H747" s="1"/>
      <c r="I747"/>
      <c r="J747"/>
      <c r="K747"/>
      <c r="L747"/>
      <c r="M747"/>
      <c r="N747"/>
      <c r="O747"/>
      <c r="P747"/>
      <c r="Q747"/>
      <c r="R747" s="558" t="s">
        <v>3971</v>
      </c>
      <c r="S747" s="83"/>
      <c r="T747" s="56"/>
      <c r="U747" s="955"/>
      <c r="V747" s="43" t="str">
        <f>Z739</f>
        <v>B</v>
      </c>
      <c r="W747" s="10"/>
      <c r="X747" s="45" t="s">
        <v>769</v>
      </c>
      <c r="Y747" s="10"/>
      <c r="Z747" s="46" t="str">
        <f>V737</f>
        <v>G</v>
      </c>
      <c r="AA747" s="123"/>
      <c r="AB747" s="1459">
        <f t="shared" si="400"/>
        <v>0</v>
      </c>
      <c r="AC747" s="1460" t="str">
        <f t="shared" si="401"/>
        <v>-</v>
      </c>
      <c r="AD747" s="1459">
        <f t="shared" si="402"/>
        <v>0</v>
      </c>
      <c r="AE747" s="964" t="str">
        <f t="shared" si="403"/>
        <v/>
      </c>
      <c r="AF747" s="964" t="str">
        <f t="shared" si="404"/>
        <v/>
      </c>
      <c r="AG747" s="964" t="str">
        <f t="shared" si="405"/>
        <v/>
      </c>
      <c r="AH747" s="964" t="str">
        <f t="shared" si="406"/>
        <v/>
      </c>
      <c r="AI747" s="964" t="str">
        <f t="shared" si="407"/>
        <v/>
      </c>
      <c r="AJ747" s="964"/>
      <c r="AK747" s="964"/>
      <c r="AL747"/>
      <c r="AM747"/>
      <c r="AN747"/>
      <c r="AO747"/>
      <c r="AP747"/>
      <c r="AQ747"/>
      <c r="AR747"/>
      <c r="AS747"/>
      <c r="AT747"/>
      <c r="AU747"/>
      <c r="AV747"/>
      <c r="AW747"/>
      <c r="AX747" s="9"/>
      <c r="AY747"/>
      <c r="AZ747"/>
      <c r="BA747"/>
      <c r="BB747"/>
      <c r="BC747"/>
      <c r="BD747"/>
      <c r="BE747"/>
      <c r="BF747"/>
      <c r="BG747"/>
      <c r="BH747"/>
      <c r="BI747"/>
      <c r="BJ747"/>
      <c r="BK747"/>
      <c r="BL747"/>
      <c r="BM747"/>
      <c r="BN747"/>
      <c r="BO747"/>
      <c r="BP747"/>
      <c r="BQ747"/>
      <c r="BR747"/>
      <c r="BS747"/>
      <c r="BT747"/>
      <c r="BU747"/>
      <c r="BV747"/>
      <c r="BW747"/>
      <c r="BX747"/>
      <c r="BY747"/>
      <c r="BZ747"/>
      <c r="CA747" s="1396"/>
      <c r="CB747" s="1396"/>
      <c r="CC747"/>
      <c r="CD747"/>
      <c r="CE747"/>
    </row>
    <row r="748" spans="1:83" ht="13.9" customHeight="1" outlineLevel="2" thickBot="1" x14ac:dyDescent="0.25">
      <c r="A748"/>
      <c r="B748" s="1"/>
      <c r="C748"/>
      <c r="D748"/>
      <c r="E748"/>
      <c r="F748"/>
      <c r="G748" s="1"/>
      <c r="H748" s="1"/>
      <c r="I748"/>
      <c r="J748"/>
      <c r="K748"/>
      <c r="L748"/>
      <c r="M748"/>
      <c r="N748"/>
      <c r="O748"/>
      <c r="P748"/>
      <c r="Q748"/>
      <c r="R748" s="558" t="s">
        <v>3971</v>
      </c>
      <c r="S748" s="956"/>
      <c r="T748" s="58"/>
      <c r="U748" s="957"/>
      <c r="V748" s="958" t="str">
        <f>+V739</f>
        <v>C</v>
      </c>
      <c r="W748" s="10"/>
      <c r="X748" s="45" t="s">
        <v>769</v>
      </c>
      <c r="Y748" s="10"/>
      <c r="Z748" s="46" t="str">
        <f>+V738</f>
        <v>E</v>
      </c>
      <c r="AA748" s="123"/>
      <c r="AB748" s="1459">
        <f t="shared" si="400"/>
        <v>0</v>
      </c>
      <c r="AC748" s="1460" t="str">
        <f t="shared" si="401"/>
        <v>-</v>
      </c>
      <c r="AD748" s="1459">
        <f t="shared" si="402"/>
        <v>0</v>
      </c>
      <c r="AE748" s="964" t="str">
        <f t="shared" si="403"/>
        <v/>
      </c>
      <c r="AF748" s="964" t="str">
        <f t="shared" si="404"/>
        <v/>
      </c>
      <c r="AG748" s="964" t="str">
        <f t="shared" si="405"/>
        <v/>
      </c>
      <c r="AH748" s="964" t="str">
        <f t="shared" si="406"/>
        <v/>
      </c>
      <c r="AI748" s="964" t="str">
        <f t="shared" si="407"/>
        <v/>
      </c>
      <c r="AJ748" s="964"/>
      <c r="AK748" s="964"/>
      <c r="AL748"/>
      <c r="AM748"/>
      <c r="AN748"/>
      <c r="AO748"/>
      <c r="AP748"/>
      <c r="AQ748"/>
      <c r="AR748"/>
      <c r="AS748"/>
      <c r="AT748"/>
      <c r="AU748"/>
      <c r="AV748"/>
      <c r="AW748" s="9"/>
      <c r="AX748" s="9"/>
      <c r="AY748"/>
      <c r="AZ748"/>
      <c r="BA748"/>
      <c r="BB748"/>
      <c r="BC748"/>
      <c r="BD748"/>
      <c r="BE748"/>
      <c r="BF748"/>
      <c r="BG748"/>
      <c r="BH748"/>
      <c r="BI748"/>
      <c r="BJ748"/>
      <c r="BK748"/>
      <c r="BL748"/>
      <c r="BM748"/>
      <c r="BN748"/>
      <c r="BO748"/>
      <c r="BP748"/>
      <c r="BQ748"/>
      <c r="BR748"/>
      <c r="BS748"/>
      <c r="BT748"/>
      <c r="BU748"/>
      <c r="BV748"/>
      <c r="BW748"/>
      <c r="BX748"/>
      <c r="BY748"/>
      <c r="BZ748"/>
      <c r="CA748" s="1396"/>
      <c r="CB748" s="1396"/>
      <c r="CC748"/>
      <c r="CD748"/>
      <c r="CE748"/>
    </row>
    <row r="749" spans="1:83" ht="13.5" outlineLevel="1" thickBot="1" x14ac:dyDescent="0.25">
      <c r="A749"/>
      <c r="B749" s="1"/>
      <c r="C749" s="1"/>
      <c r="D749" s="76"/>
      <c r="E749" s="76"/>
      <c r="F749" s="76"/>
      <c r="G749" s="9"/>
      <c r="H749" s="9"/>
      <c r="I749" s="1"/>
      <c r="J749"/>
      <c r="K749"/>
      <c r="L749"/>
      <c r="M749"/>
      <c r="N749"/>
      <c r="O749"/>
      <c r="P749" s="89"/>
      <c r="Q749"/>
      <c r="R749" s="1"/>
      <c r="S749" s="993">
        <f>S740+1</f>
        <v>10</v>
      </c>
      <c r="T749" s="961"/>
      <c r="U749" s="961"/>
      <c r="V749" s="961"/>
      <c r="W749" s="960"/>
      <c r="X749" s="960"/>
      <c r="Y749" s="960"/>
      <c r="Z749" s="962"/>
      <c r="AA749" s="123"/>
      <c r="AB749" s="963"/>
      <c r="AC749" s="963"/>
      <c r="AD749" s="963"/>
      <c r="AE749" s="964"/>
      <c r="AF749" s="964"/>
      <c r="AG749" s="964"/>
      <c r="AH749" s="964"/>
      <c r="AI749" s="964"/>
      <c r="AJ749" s="964"/>
      <c r="AK749" s="964"/>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s="1396"/>
      <c r="CB749" s="1396"/>
      <c r="CC749"/>
      <c r="CD749"/>
      <c r="CE749"/>
    </row>
    <row r="750" spans="1:83" ht="13.9" customHeight="1" outlineLevel="2" thickBot="1" x14ac:dyDescent="0.25">
      <c r="A750"/>
      <c r="B750" s="1"/>
      <c r="C750"/>
      <c r="D750"/>
      <c r="E750"/>
      <c r="F750"/>
      <c r="G750" s="1"/>
      <c r="H750" s="1"/>
      <c r="I750"/>
      <c r="J750"/>
      <c r="K750"/>
      <c r="L750"/>
      <c r="M750"/>
      <c r="N750"/>
      <c r="O750"/>
      <c r="P750"/>
      <c r="Q750"/>
      <c r="S750" s="22" t="str">
        <f>N_Heure</f>
        <v>Heure</v>
      </c>
      <c r="T750" s="22" t="str">
        <f>N_Table</f>
        <v>Table</v>
      </c>
      <c r="U750" s="22" t="str">
        <f>N_Arbitre</f>
        <v>Arbitre</v>
      </c>
      <c r="V750" s="293" t="str">
        <f>N_Matches</f>
        <v>Matches</v>
      </c>
      <c r="W750" s="294"/>
      <c r="X750" s="294"/>
      <c r="Y750" s="294"/>
      <c r="Z750" s="295"/>
      <c r="AA750" s="8"/>
      <c r="AB750" s="967"/>
      <c r="AC750" s="967"/>
      <c r="AD750" s="967"/>
      <c r="AE750" s="964"/>
      <c r="AF750" s="964"/>
      <c r="AG750" s="964"/>
      <c r="AH750" s="964"/>
      <c r="AI750" s="964"/>
      <c r="AJ750" s="964"/>
      <c r="AK750" s="964"/>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s="1396"/>
      <c r="CB750" s="1396"/>
      <c r="CC750"/>
      <c r="CD750"/>
      <c r="CE750"/>
    </row>
    <row r="751" spans="1:83" ht="13.15" customHeight="1" outlineLevel="2" x14ac:dyDescent="0.2">
      <c r="A751"/>
      <c r="B751" s="1"/>
      <c r="C751"/>
      <c r="D751"/>
      <c r="E751"/>
      <c r="F751"/>
      <c r="G751" s="1"/>
      <c r="H751" s="1"/>
      <c r="I751"/>
      <c r="J751"/>
      <c r="K751"/>
      <c r="L751"/>
      <c r="M751"/>
      <c r="N751"/>
      <c r="O751"/>
      <c r="P751"/>
      <c r="Q751"/>
      <c r="R751" s="558" t="s">
        <v>3972</v>
      </c>
      <c r="S751" s="83"/>
      <c r="T751" s="56"/>
      <c r="U751" s="955"/>
      <c r="V751" s="34" t="str">
        <f>V743</f>
        <v>J</v>
      </c>
      <c r="W751" s="148"/>
      <c r="X751" s="35" t="s">
        <v>769</v>
      </c>
      <c r="Y751" s="148"/>
      <c r="Z751" s="36" t="str">
        <f>V742</f>
        <v>A</v>
      </c>
      <c r="AA751" s="123"/>
      <c r="AB751" s="1459">
        <f t="shared" ref="AB751:AB757" si="408">IF(MaxScore,MaxGoals(W751,Y751,MaxGoalsValue),IF(W751="","",W751))</f>
        <v>0</v>
      </c>
      <c r="AC751" s="1460" t="str">
        <f t="shared" ref="AC751:AC757" si="409">IF(MaxScore,"-",IF(W751="","","-"))</f>
        <v>-</v>
      </c>
      <c r="AD751" s="1459">
        <f t="shared" ref="AD751:AD757" si="410">IF(MaxScore,MaxGoals(Y751,W751,MaxGoalsValue),IF(Y751="","",Y751))</f>
        <v>0</v>
      </c>
      <c r="AE751" s="964" t="str">
        <f t="shared" ref="AE751:AE757" si="411">IF(W751="","",IF(W751&gt;Y751,V751,IF(W751=Y751,"",Z751)))</f>
        <v/>
      </c>
      <c r="AF751" s="964" t="str">
        <f t="shared" ref="AF751:AF757" si="412">IF(W751="","",IF(W751=Y751,V751,""))</f>
        <v/>
      </c>
      <c r="AG751" s="964" t="str">
        <f t="shared" ref="AG751:AG757" si="413">IF(W751="","",IF(W751=Y751,Z751,""))</f>
        <v/>
      </c>
      <c r="AH751" s="964" t="str">
        <f t="shared" ref="AH751:AH757" si="414">IF(W751="","",IF(W751&lt;Y751,V751,IF(W751=Y751,"",Z751)))</f>
        <v/>
      </c>
      <c r="AI751" s="964" t="str">
        <f t="shared" ref="AI751:AI757" si="415">CONCATENATE(AE751,AH751)</f>
        <v/>
      </c>
      <c r="AJ751" s="964"/>
      <c r="AK751" s="964"/>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s="1396"/>
      <c r="CB751" s="1396"/>
      <c r="CC751"/>
      <c r="CD751"/>
      <c r="CE751"/>
    </row>
    <row r="752" spans="1:83" ht="13.15" customHeight="1" outlineLevel="2" x14ac:dyDescent="0.2">
      <c r="A752"/>
      <c r="B752" s="1"/>
      <c r="C752"/>
      <c r="D752"/>
      <c r="E752"/>
      <c r="F752"/>
      <c r="G752" s="1"/>
      <c r="H752" s="1"/>
      <c r="I752"/>
      <c r="J752"/>
      <c r="K752"/>
      <c r="L752"/>
      <c r="M752"/>
      <c r="N752"/>
      <c r="O752"/>
      <c r="P752"/>
      <c r="Q752"/>
      <c r="R752" s="558" t="s">
        <v>3972</v>
      </c>
      <c r="S752" s="83"/>
      <c r="T752" s="56"/>
      <c r="U752" s="955"/>
      <c r="V752" s="43" t="str">
        <f t="shared" ref="V752:V757" si="416">Z742</f>
        <v>L</v>
      </c>
      <c r="W752" s="10"/>
      <c r="X752" s="45" t="s">
        <v>769</v>
      </c>
      <c r="Y752" s="10"/>
      <c r="Z752" s="46" t="str">
        <f>V744</f>
        <v>H</v>
      </c>
      <c r="AA752" s="123"/>
      <c r="AB752" s="1459">
        <f t="shared" si="408"/>
        <v>0</v>
      </c>
      <c r="AC752" s="1460" t="str">
        <f t="shared" si="409"/>
        <v>-</v>
      </c>
      <c r="AD752" s="1459">
        <f t="shared" si="410"/>
        <v>0</v>
      </c>
      <c r="AE752" s="964" t="str">
        <f t="shared" si="411"/>
        <v/>
      </c>
      <c r="AF752" s="964" t="str">
        <f t="shared" si="412"/>
        <v/>
      </c>
      <c r="AG752" s="964" t="str">
        <f t="shared" si="413"/>
        <v/>
      </c>
      <c r="AH752" s="964" t="str">
        <f t="shared" si="414"/>
        <v/>
      </c>
      <c r="AI752" s="964" t="str">
        <f t="shared" si="415"/>
        <v/>
      </c>
      <c r="AJ752" s="964"/>
      <c r="AK752" s="964"/>
      <c r="AL752"/>
      <c r="AM752"/>
      <c r="AN752"/>
      <c r="AO752"/>
      <c r="AP752"/>
      <c r="AQ752"/>
      <c r="AR752"/>
      <c r="AS752"/>
      <c r="AT752"/>
      <c r="AU752"/>
      <c r="AV752"/>
      <c r="AW752" s="9"/>
      <c r="AX752" s="9"/>
      <c r="AY752"/>
      <c r="AZ752"/>
      <c r="BA752"/>
      <c r="BB752"/>
      <c r="BC752"/>
      <c r="BD752"/>
      <c r="BE752"/>
      <c r="BF752"/>
      <c r="BG752"/>
      <c r="BH752"/>
      <c r="BI752"/>
      <c r="BJ752"/>
      <c r="BK752"/>
      <c r="BL752"/>
      <c r="BM752"/>
      <c r="BN752"/>
      <c r="BO752"/>
      <c r="BP752"/>
      <c r="BQ752"/>
      <c r="BR752"/>
      <c r="BS752"/>
      <c r="BT752"/>
      <c r="BU752"/>
      <c r="BV752"/>
      <c r="BW752"/>
      <c r="BX752"/>
      <c r="BY752"/>
      <c r="BZ752"/>
      <c r="CA752" s="1396"/>
      <c r="CB752" s="1396"/>
      <c r="CC752"/>
      <c r="CD752"/>
      <c r="CE752"/>
    </row>
    <row r="753" spans="1:83" ht="13.15" customHeight="1" outlineLevel="2" x14ac:dyDescent="0.2">
      <c r="A753"/>
      <c r="B753" s="1"/>
      <c r="C753"/>
      <c r="D753"/>
      <c r="E753"/>
      <c r="F753"/>
      <c r="G753" s="1"/>
      <c r="H753" s="1"/>
      <c r="I753"/>
      <c r="J753"/>
      <c r="K753"/>
      <c r="L753"/>
      <c r="M753"/>
      <c r="N753"/>
      <c r="O753"/>
      <c r="P753"/>
      <c r="Q753"/>
      <c r="R753" s="558" t="s">
        <v>3972</v>
      </c>
      <c r="S753" s="83"/>
      <c r="T753" s="56"/>
      <c r="U753" s="955"/>
      <c r="V753" s="43" t="str">
        <f t="shared" si="416"/>
        <v>N</v>
      </c>
      <c r="W753" s="10"/>
      <c r="X753" s="45" t="s">
        <v>769</v>
      </c>
      <c r="Y753" s="10"/>
      <c r="Z753" s="46" t="str">
        <f>V745</f>
        <v>F</v>
      </c>
      <c r="AA753" s="123"/>
      <c r="AB753" s="1459">
        <f t="shared" si="408"/>
        <v>0</v>
      </c>
      <c r="AC753" s="1460" t="str">
        <f t="shared" si="409"/>
        <v>-</v>
      </c>
      <c r="AD753" s="1459">
        <f t="shared" si="410"/>
        <v>0</v>
      </c>
      <c r="AE753" s="964" t="str">
        <f t="shared" si="411"/>
        <v/>
      </c>
      <c r="AF753" s="964" t="str">
        <f t="shared" si="412"/>
        <v/>
      </c>
      <c r="AG753" s="964" t="str">
        <f t="shared" si="413"/>
        <v/>
      </c>
      <c r="AH753" s="964" t="str">
        <f t="shared" si="414"/>
        <v/>
      </c>
      <c r="AI753" s="964" t="str">
        <f t="shared" si="415"/>
        <v/>
      </c>
      <c r="AJ753" s="964"/>
      <c r="AK753" s="964"/>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s="1396"/>
      <c r="CB753" s="1396"/>
      <c r="CC753"/>
      <c r="CD753"/>
      <c r="CE753"/>
    </row>
    <row r="754" spans="1:83" ht="13.15" customHeight="1" outlineLevel="2" x14ac:dyDescent="0.2">
      <c r="A754"/>
      <c r="B754" s="1"/>
      <c r="C754"/>
      <c r="D754"/>
      <c r="E754"/>
      <c r="F754"/>
      <c r="G754" s="1"/>
      <c r="H754" s="1"/>
      <c r="I754"/>
      <c r="J754"/>
      <c r="K754"/>
      <c r="L754"/>
      <c r="M754"/>
      <c r="N754"/>
      <c r="O754"/>
      <c r="P754"/>
      <c r="Q754"/>
      <c r="R754" s="558" t="s">
        <v>3972</v>
      </c>
      <c r="S754" s="83"/>
      <c r="T754" s="56"/>
      <c r="U754" s="955"/>
      <c r="V754" s="43" t="str">
        <f t="shared" si="416"/>
        <v>M</v>
      </c>
      <c r="W754" s="10"/>
      <c r="X754" s="45" t="s">
        <v>769</v>
      </c>
      <c r="Y754" s="10"/>
      <c r="Z754" s="46" t="str">
        <f>V746</f>
        <v>D</v>
      </c>
      <c r="AA754" s="123"/>
      <c r="AB754" s="1459">
        <f t="shared" si="408"/>
        <v>0</v>
      </c>
      <c r="AC754" s="1460" t="str">
        <f t="shared" si="409"/>
        <v>-</v>
      </c>
      <c r="AD754" s="1459">
        <f t="shared" si="410"/>
        <v>0</v>
      </c>
      <c r="AE754" s="964" t="str">
        <f t="shared" si="411"/>
        <v/>
      </c>
      <c r="AF754" s="964" t="str">
        <f t="shared" si="412"/>
        <v/>
      </c>
      <c r="AG754" s="964" t="str">
        <f t="shared" si="413"/>
        <v/>
      </c>
      <c r="AH754" s="964" t="str">
        <f t="shared" si="414"/>
        <v/>
      </c>
      <c r="AI754" s="964" t="str">
        <f t="shared" si="415"/>
        <v/>
      </c>
      <c r="AJ754" s="964"/>
      <c r="AK754" s="96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s="1396"/>
      <c r="CB754" s="1396"/>
      <c r="CC754"/>
      <c r="CD754"/>
      <c r="CE754"/>
    </row>
    <row r="755" spans="1:83" ht="13.15" customHeight="1" outlineLevel="2" x14ac:dyDescent="0.2">
      <c r="A755"/>
      <c r="B755" s="1"/>
      <c r="C755"/>
      <c r="D755"/>
      <c r="E755"/>
      <c r="F755"/>
      <c r="G755" s="1"/>
      <c r="H755" s="1"/>
      <c r="I755"/>
      <c r="J755"/>
      <c r="K755"/>
      <c r="L755"/>
      <c r="M755"/>
      <c r="N755"/>
      <c r="O755"/>
      <c r="P755"/>
      <c r="Q755"/>
      <c r="R755" s="558" t="s">
        <v>3972</v>
      </c>
      <c r="S755" s="83"/>
      <c r="T755" s="56"/>
      <c r="U755" s="955"/>
      <c r="V755" s="43" t="str">
        <f t="shared" si="416"/>
        <v>K</v>
      </c>
      <c r="W755" s="10"/>
      <c r="X755" s="45" t="s">
        <v>769</v>
      </c>
      <c r="Y755" s="10"/>
      <c r="Z755" s="46" t="str">
        <f>V747</f>
        <v>B</v>
      </c>
      <c r="AA755" s="123"/>
      <c r="AB755" s="1459">
        <f t="shared" si="408"/>
        <v>0</v>
      </c>
      <c r="AC755" s="1460" t="str">
        <f t="shared" si="409"/>
        <v>-</v>
      </c>
      <c r="AD755" s="1459">
        <f t="shared" si="410"/>
        <v>0</v>
      </c>
      <c r="AE755" s="964" t="str">
        <f t="shared" si="411"/>
        <v/>
      </c>
      <c r="AF755" s="964" t="str">
        <f t="shared" si="412"/>
        <v/>
      </c>
      <c r="AG755" s="964" t="str">
        <f t="shared" si="413"/>
        <v/>
      </c>
      <c r="AH755" s="964" t="str">
        <f t="shared" si="414"/>
        <v/>
      </c>
      <c r="AI755" s="964" t="str">
        <f t="shared" si="415"/>
        <v/>
      </c>
      <c r="AJ755" s="964"/>
      <c r="AK755" s="964"/>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s="1396"/>
      <c r="CB755" s="1396"/>
      <c r="CC755"/>
      <c r="CD755"/>
      <c r="CE755"/>
    </row>
    <row r="756" spans="1:83" ht="13.15" customHeight="1" outlineLevel="2" x14ac:dyDescent="0.2">
      <c r="A756"/>
      <c r="B756" s="1"/>
      <c r="C756"/>
      <c r="D756"/>
      <c r="E756"/>
      <c r="F756"/>
      <c r="G756" s="1"/>
      <c r="H756" s="1"/>
      <c r="I756"/>
      <c r="J756"/>
      <c r="K756"/>
      <c r="L756"/>
      <c r="M756"/>
      <c r="N756"/>
      <c r="O756"/>
      <c r="P756"/>
      <c r="Q756"/>
      <c r="R756" s="558" t="s">
        <v>3972</v>
      </c>
      <c r="S756" s="83"/>
      <c r="T756" s="56"/>
      <c r="U756" s="955"/>
      <c r="V756" s="43" t="str">
        <f t="shared" si="416"/>
        <v>I</v>
      </c>
      <c r="W756" s="10"/>
      <c r="X756" s="45" t="s">
        <v>769</v>
      </c>
      <c r="Y756" s="10"/>
      <c r="Z756" s="46" t="str">
        <f>V748</f>
        <v>C</v>
      </c>
      <c r="AA756" s="123"/>
      <c r="AB756" s="1459">
        <f t="shared" si="408"/>
        <v>0</v>
      </c>
      <c r="AC756" s="1460" t="str">
        <f t="shared" si="409"/>
        <v>-</v>
      </c>
      <c r="AD756" s="1459">
        <f t="shared" si="410"/>
        <v>0</v>
      </c>
      <c r="AE756" s="964" t="str">
        <f t="shared" si="411"/>
        <v/>
      </c>
      <c r="AF756" s="964" t="str">
        <f t="shared" si="412"/>
        <v/>
      </c>
      <c r="AG756" s="964" t="str">
        <f t="shared" si="413"/>
        <v/>
      </c>
      <c r="AH756" s="964" t="str">
        <f t="shared" si="414"/>
        <v/>
      </c>
      <c r="AI756" s="964" t="str">
        <f t="shared" si="415"/>
        <v/>
      </c>
      <c r="AJ756" s="964"/>
      <c r="AK756" s="964"/>
      <c r="AL756"/>
      <c r="AM756"/>
      <c r="AN756"/>
      <c r="AO756"/>
      <c r="AP756"/>
      <c r="AQ756"/>
      <c r="AR756"/>
      <c r="AS756"/>
      <c r="AT756"/>
      <c r="AU756"/>
      <c r="AV756"/>
      <c r="AW756"/>
      <c r="AX756" s="9"/>
      <c r="AY756"/>
      <c r="AZ756"/>
      <c r="BA756"/>
      <c r="BB756"/>
      <c r="BC756"/>
      <c r="BD756"/>
      <c r="BE756"/>
      <c r="BF756"/>
      <c r="BG756"/>
      <c r="BH756"/>
      <c r="BI756"/>
      <c r="BJ756"/>
      <c r="BK756"/>
      <c r="BL756"/>
      <c r="BM756"/>
      <c r="BN756"/>
      <c r="BO756"/>
      <c r="BP756"/>
      <c r="BQ756"/>
      <c r="BR756"/>
      <c r="BS756"/>
      <c r="BT756"/>
      <c r="BU756"/>
      <c r="BV756"/>
      <c r="BW756"/>
      <c r="BX756"/>
      <c r="BY756"/>
      <c r="BZ756"/>
      <c r="CA756" s="1396"/>
      <c r="CB756" s="1396"/>
      <c r="CC756"/>
      <c r="CD756"/>
      <c r="CE756"/>
    </row>
    <row r="757" spans="1:83" ht="13.9" customHeight="1" outlineLevel="2" thickBot="1" x14ac:dyDescent="0.25">
      <c r="A757"/>
      <c r="B757" s="1"/>
      <c r="C757"/>
      <c r="D757"/>
      <c r="E757"/>
      <c r="F757"/>
      <c r="G757" s="1"/>
      <c r="H757" s="1"/>
      <c r="I757"/>
      <c r="J757"/>
      <c r="K757"/>
      <c r="L757"/>
      <c r="M757"/>
      <c r="N757"/>
      <c r="O757"/>
      <c r="P757"/>
      <c r="Q757"/>
      <c r="R757" s="558" t="s">
        <v>3972</v>
      </c>
      <c r="S757" s="956"/>
      <c r="T757" s="58"/>
      <c r="U757" s="957"/>
      <c r="V757" s="43" t="str">
        <f t="shared" si="416"/>
        <v>G</v>
      </c>
      <c r="W757" s="10"/>
      <c r="X757" s="45" t="s">
        <v>769</v>
      </c>
      <c r="Y757" s="10"/>
      <c r="Z757" s="46" t="str">
        <f>+Z748</f>
        <v>E</v>
      </c>
      <c r="AA757" s="123"/>
      <c r="AB757" s="1459">
        <f t="shared" si="408"/>
        <v>0</v>
      </c>
      <c r="AC757" s="1460" t="str">
        <f t="shared" si="409"/>
        <v>-</v>
      </c>
      <c r="AD757" s="1459">
        <f t="shared" si="410"/>
        <v>0</v>
      </c>
      <c r="AE757" s="964" t="str">
        <f t="shared" si="411"/>
        <v/>
      </c>
      <c r="AF757" s="964" t="str">
        <f t="shared" si="412"/>
        <v/>
      </c>
      <c r="AG757" s="964" t="str">
        <f t="shared" si="413"/>
        <v/>
      </c>
      <c r="AH757" s="964" t="str">
        <f t="shared" si="414"/>
        <v/>
      </c>
      <c r="AI757" s="964" t="str">
        <f t="shared" si="415"/>
        <v/>
      </c>
      <c r="AJ757" s="964"/>
      <c r="AK757" s="964"/>
      <c r="AL757"/>
      <c r="AM757"/>
      <c r="AN757"/>
      <c r="AO757"/>
      <c r="AP757"/>
      <c r="AQ757"/>
      <c r="AR757"/>
      <c r="AS757"/>
      <c r="AT757"/>
      <c r="AU757"/>
      <c r="AV757"/>
      <c r="AW757" s="9"/>
      <c r="AX757" s="9"/>
      <c r="AY757"/>
      <c r="AZ757"/>
      <c r="BA757"/>
      <c r="BB757"/>
      <c r="BC757"/>
      <c r="BD757"/>
      <c r="BE757"/>
      <c r="BF757"/>
      <c r="BG757"/>
      <c r="BH757"/>
      <c r="BI757"/>
      <c r="BJ757"/>
      <c r="BK757"/>
      <c r="BL757"/>
      <c r="BM757"/>
      <c r="BN757"/>
      <c r="BO757"/>
      <c r="BP757"/>
      <c r="BQ757"/>
      <c r="BR757"/>
      <c r="BS757"/>
      <c r="BT757"/>
      <c r="BU757"/>
      <c r="BV757"/>
      <c r="BW757"/>
      <c r="BX757"/>
      <c r="BY757"/>
      <c r="BZ757"/>
      <c r="CA757" s="1396"/>
      <c r="CB757" s="1396"/>
      <c r="CC757"/>
      <c r="CD757"/>
      <c r="CE757"/>
    </row>
    <row r="758" spans="1:83" ht="13.5" outlineLevel="1" thickBot="1" x14ac:dyDescent="0.25">
      <c r="A758"/>
      <c r="B758" s="1"/>
      <c r="C758" s="1"/>
      <c r="D758" s="76"/>
      <c r="E758" s="76"/>
      <c r="F758" s="76"/>
      <c r="G758" s="9"/>
      <c r="H758" s="9"/>
      <c r="I758" s="1"/>
      <c r="J758"/>
      <c r="K758"/>
      <c r="L758"/>
      <c r="M758"/>
      <c r="N758"/>
      <c r="O758"/>
      <c r="P758" s="89"/>
      <c r="Q758"/>
      <c r="R758" s="1"/>
      <c r="S758" s="993">
        <f>S749+1</f>
        <v>11</v>
      </c>
      <c r="T758" s="961"/>
      <c r="U758" s="961"/>
      <c r="V758" s="961"/>
      <c r="W758" s="960"/>
      <c r="X758" s="960"/>
      <c r="Y758" s="960"/>
      <c r="Z758" s="962"/>
      <c r="AA758" s="123"/>
      <c r="AB758" s="963"/>
      <c r="AC758" s="963"/>
      <c r="AD758" s="963"/>
      <c r="AE758" s="964"/>
      <c r="AF758" s="964"/>
      <c r="AG758" s="964"/>
      <c r="AH758" s="964"/>
      <c r="AI758" s="964"/>
      <c r="AJ758" s="964"/>
      <c r="AK758" s="964"/>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s="1396"/>
      <c r="CB758" s="1396"/>
      <c r="CC758"/>
      <c r="CD758"/>
      <c r="CE758"/>
    </row>
    <row r="759" spans="1:83" ht="13.9" customHeight="1" outlineLevel="2" thickBot="1" x14ac:dyDescent="0.25">
      <c r="A759"/>
      <c r="B759" s="1"/>
      <c r="C759"/>
      <c r="D759"/>
      <c r="E759"/>
      <c r="F759"/>
      <c r="G759" s="1"/>
      <c r="H759" s="1"/>
      <c r="I759"/>
      <c r="J759"/>
      <c r="K759"/>
      <c r="L759"/>
      <c r="M759"/>
      <c r="N759"/>
      <c r="O759"/>
      <c r="P759"/>
      <c r="Q759"/>
      <c r="S759" s="22" t="str">
        <f>N_Heure</f>
        <v>Heure</v>
      </c>
      <c r="T759" s="22" t="str">
        <f>N_Table</f>
        <v>Table</v>
      </c>
      <c r="U759" s="22" t="str">
        <f>N_Arbitre</f>
        <v>Arbitre</v>
      </c>
      <c r="V759" s="293" t="str">
        <f>N_Matches</f>
        <v>Matches</v>
      </c>
      <c r="W759" s="294"/>
      <c r="X759" s="294"/>
      <c r="Y759" s="294"/>
      <c r="Z759" s="295"/>
      <c r="AA759" s="8"/>
      <c r="AB759" s="967"/>
      <c r="AC759" s="967"/>
      <c r="AD759" s="967"/>
      <c r="AE759" s="964"/>
      <c r="AF759" s="964"/>
      <c r="AG759" s="964"/>
      <c r="AH759" s="964"/>
      <c r="AI759" s="964"/>
      <c r="AJ759" s="964"/>
      <c r="AK759" s="964"/>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s="1396"/>
      <c r="CB759" s="1396"/>
      <c r="CC759"/>
      <c r="CD759"/>
      <c r="CE759"/>
    </row>
    <row r="760" spans="1:83" ht="13.15" customHeight="1" outlineLevel="2" x14ac:dyDescent="0.2">
      <c r="A760"/>
      <c r="B760" s="1"/>
      <c r="C760"/>
      <c r="D760"/>
      <c r="E760"/>
      <c r="F760"/>
      <c r="G760" s="1"/>
      <c r="H760" s="1"/>
      <c r="I760"/>
      <c r="J760"/>
      <c r="K760"/>
      <c r="L760"/>
      <c r="M760"/>
      <c r="N760"/>
      <c r="O760"/>
      <c r="P760"/>
      <c r="Q760"/>
      <c r="R760" s="558" t="s">
        <v>3973</v>
      </c>
      <c r="S760" s="83"/>
      <c r="T760" s="56"/>
      <c r="U760" s="955"/>
      <c r="V760" s="34" t="str">
        <f>Z751</f>
        <v>A</v>
      </c>
      <c r="W760" s="148"/>
      <c r="X760" s="35" t="s">
        <v>769</v>
      </c>
      <c r="Y760" s="148"/>
      <c r="Z760" s="36" t="str">
        <f>Z752</f>
        <v>H</v>
      </c>
      <c r="AA760" s="123"/>
      <c r="AB760" s="1459">
        <f t="shared" ref="AB760:AB766" si="417">IF(MaxScore,MaxGoals(W760,Y760,MaxGoalsValue),IF(W760="","",W760))</f>
        <v>0</v>
      </c>
      <c r="AC760" s="1460" t="str">
        <f t="shared" ref="AC760:AC766" si="418">IF(MaxScore,"-",IF(W760="","","-"))</f>
        <v>-</v>
      </c>
      <c r="AD760" s="1459">
        <f t="shared" ref="AD760:AD766" si="419">IF(MaxScore,MaxGoals(Y760,W760,MaxGoalsValue),IF(Y760="","",Y760))</f>
        <v>0</v>
      </c>
      <c r="AE760" s="964" t="str">
        <f t="shared" ref="AE760:AE766" si="420">IF(W760="","",IF(W760&gt;Y760,V760,IF(W760=Y760,"",Z760)))</f>
        <v/>
      </c>
      <c r="AF760" s="964" t="str">
        <f t="shared" ref="AF760:AF766" si="421">IF(W760="","",IF(W760=Y760,V760,""))</f>
        <v/>
      </c>
      <c r="AG760" s="964" t="str">
        <f t="shared" ref="AG760:AG766" si="422">IF(W760="","",IF(W760=Y760,Z760,""))</f>
        <v/>
      </c>
      <c r="AH760" s="964" t="str">
        <f t="shared" ref="AH760:AH766" si="423">IF(W760="","",IF(W760&lt;Y760,V760,IF(W760=Y760,"",Z760)))</f>
        <v/>
      </c>
      <c r="AI760" s="964" t="str">
        <f t="shared" ref="AI760:AI766" si="424">CONCATENATE(AE760,AH760)</f>
        <v/>
      </c>
      <c r="AJ760" s="964"/>
      <c r="AK760" s="964"/>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s="1396"/>
      <c r="CB760" s="1396"/>
      <c r="CC760"/>
      <c r="CD760"/>
      <c r="CE760"/>
    </row>
    <row r="761" spans="1:83" ht="13.15" customHeight="1" outlineLevel="2" x14ac:dyDescent="0.2">
      <c r="A761"/>
      <c r="B761" s="1"/>
      <c r="C761"/>
      <c r="D761"/>
      <c r="E761"/>
      <c r="F761"/>
      <c r="G761" s="1"/>
      <c r="H761" s="1"/>
      <c r="I761"/>
      <c r="J761"/>
      <c r="K761"/>
      <c r="L761"/>
      <c r="M761"/>
      <c r="N761"/>
      <c r="O761"/>
      <c r="P761"/>
      <c r="Q761"/>
      <c r="R761" s="558" t="s">
        <v>3973</v>
      </c>
      <c r="S761" s="83"/>
      <c r="T761" s="56"/>
      <c r="U761" s="955"/>
      <c r="V761" s="43" t="str">
        <f>Z753</f>
        <v>F</v>
      </c>
      <c r="W761" s="10"/>
      <c r="X761" s="45" t="s">
        <v>769</v>
      </c>
      <c r="Y761" s="10"/>
      <c r="Z761" s="46" t="str">
        <f>V751</f>
        <v>J</v>
      </c>
      <c r="AA761" s="123"/>
      <c r="AB761" s="1459">
        <f t="shared" si="417"/>
        <v>0</v>
      </c>
      <c r="AC761" s="1460" t="str">
        <f t="shared" si="418"/>
        <v>-</v>
      </c>
      <c r="AD761" s="1459">
        <f t="shared" si="419"/>
        <v>0</v>
      </c>
      <c r="AE761" s="964" t="str">
        <f t="shared" si="420"/>
        <v/>
      </c>
      <c r="AF761" s="964" t="str">
        <f t="shared" si="421"/>
        <v/>
      </c>
      <c r="AG761" s="964" t="str">
        <f t="shared" si="422"/>
        <v/>
      </c>
      <c r="AH761" s="964" t="str">
        <f t="shared" si="423"/>
        <v/>
      </c>
      <c r="AI761" s="964" t="str">
        <f t="shared" si="424"/>
        <v/>
      </c>
      <c r="AJ761" s="964"/>
      <c r="AK761" s="964"/>
      <c r="AL761"/>
      <c r="AM761"/>
      <c r="AN761"/>
      <c r="AO761"/>
      <c r="AP761"/>
      <c r="AQ761"/>
      <c r="AR761"/>
      <c r="AS761"/>
      <c r="AT761"/>
      <c r="AU761"/>
      <c r="AV761"/>
      <c r="AW761"/>
      <c r="AX761" s="9"/>
      <c r="AY761"/>
      <c r="AZ761"/>
      <c r="BA761"/>
      <c r="BB761"/>
      <c r="BC761"/>
      <c r="BD761"/>
      <c r="BE761"/>
      <c r="BF761"/>
      <c r="BG761"/>
      <c r="BH761"/>
      <c r="BI761"/>
      <c r="BJ761"/>
      <c r="BK761"/>
      <c r="BL761"/>
      <c r="BM761"/>
      <c r="BN761"/>
      <c r="BO761"/>
      <c r="BP761"/>
      <c r="BQ761"/>
      <c r="BR761"/>
      <c r="BS761"/>
      <c r="BT761"/>
      <c r="BU761"/>
      <c r="BV761"/>
      <c r="BW761"/>
      <c r="BX761"/>
      <c r="BY761"/>
      <c r="BZ761"/>
      <c r="CA761" s="1396"/>
      <c r="CB761" s="1396"/>
      <c r="CC761"/>
      <c r="CD761"/>
      <c r="CE761"/>
    </row>
    <row r="762" spans="1:83" ht="13.15" customHeight="1" outlineLevel="2" x14ac:dyDescent="0.2">
      <c r="A762"/>
      <c r="B762" s="1"/>
      <c r="C762"/>
      <c r="D762"/>
      <c r="E762"/>
      <c r="F762"/>
      <c r="G762" s="1"/>
      <c r="H762" s="1"/>
      <c r="I762"/>
      <c r="J762"/>
      <c r="K762"/>
      <c r="L762"/>
      <c r="M762"/>
      <c r="N762"/>
      <c r="O762"/>
      <c r="P762"/>
      <c r="Q762"/>
      <c r="R762" s="558" t="s">
        <v>3973</v>
      </c>
      <c r="S762" s="83"/>
      <c r="T762" s="56"/>
      <c r="U762" s="955"/>
      <c r="V762" s="43" t="str">
        <f>Z754</f>
        <v>D</v>
      </c>
      <c r="W762" s="10"/>
      <c r="X762" s="45" t="s">
        <v>769</v>
      </c>
      <c r="Y762" s="10"/>
      <c r="Z762" s="46" t="str">
        <f>V752</f>
        <v>L</v>
      </c>
      <c r="AA762" s="123"/>
      <c r="AB762" s="1459">
        <f t="shared" si="417"/>
        <v>0</v>
      </c>
      <c r="AC762" s="1460" t="str">
        <f t="shared" si="418"/>
        <v>-</v>
      </c>
      <c r="AD762" s="1459">
        <f t="shared" si="419"/>
        <v>0</v>
      </c>
      <c r="AE762" s="964" t="str">
        <f t="shared" si="420"/>
        <v/>
      </c>
      <c r="AF762" s="964" t="str">
        <f t="shared" si="421"/>
        <v/>
      </c>
      <c r="AG762" s="964" t="str">
        <f t="shared" si="422"/>
        <v/>
      </c>
      <c r="AH762" s="964" t="str">
        <f t="shared" si="423"/>
        <v/>
      </c>
      <c r="AI762" s="964" t="str">
        <f t="shared" si="424"/>
        <v/>
      </c>
      <c r="AJ762" s="964"/>
      <c r="AK762" s="964"/>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s="1396"/>
      <c r="CB762" s="1396"/>
      <c r="CC762"/>
      <c r="CD762"/>
      <c r="CE762"/>
    </row>
    <row r="763" spans="1:83" ht="13.15" customHeight="1" outlineLevel="2" x14ac:dyDescent="0.2">
      <c r="A763"/>
      <c r="B763" s="1"/>
      <c r="C763"/>
      <c r="D763"/>
      <c r="E763"/>
      <c r="F763"/>
      <c r="G763" s="1"/>
      <c r="H763" s="1"/>
      <c r="I763"/>
      <c r="J763"/>
      <c r="K763"/>
      <c r="L763"/>
      <c r="M763"/>
      <c r="N763"/>
      <c r="O763"/>
      <c r="P763"/>
      <c r="Q763"/>
      <c r="R763" s="558" t="s">
        <v>3973</v>
      </c>
      <c r="S763" s="83"/>
      <c r="T763" s="56"/>
      <c r="U763" s="955"/>
      <c r="V763" s="43" t="str">
        <f>Z755</f>
        <v>B</v>
      </c>
      <c r="W763" s="10"/>
      <c r="X763" s="45" t="s">
        <v>769</v>
      </c>
      <c r="Y763" s="10"/>
      <c r="Z763" s="46" t="str">
        <f>V753</f>
        <v>N</v>
      </c>
      <c r="AA763" s="123"/>
      <c r="AB763" s="1459">
        <f t="shared" si="417"/>
        <v>0</v>
      </c>
      <c r="AC763" s="1460" t="str">
        <f t="shared" si="418"/>
        <v>-</v>
      </c>
      <c r="AD763" s="1459">
        <f t="shared" si="419"/>
        <v>0</v>
      </c>
      <c r="AE763" s="964" t="str">
        <f t="shared" si="420"/>
        <v/>
      </c>
      <c r="AF763" s="964" t="str">
        <f t="shared" si="421"/>
        <v/>
      </c>
      <c r="AG763" s="964" t="str">
        <f t="shared" si="422"/>
        <v/>
      </c>
      <c r="AH763" s="964" t="str">
        <f t="shared" si="423"/>
        <v/>
      </c>
      <c r="AI763" s="964" t="str">
        <f t="shared" si="424"/>
        <v/>
      </c>
      <c r="AJ763" s="964"/>
      <c r="AK763" s="964"/>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s="1396"/>
      <c r="CB763" s="1396"/>
      <c r="CC763"/>
      <c r="CD763"/>
      <c r="CE763"/>
    </row>
    <row r="764" spans="1:83" ht="13.15" customHeight="1" outlineLevel="2" x14ac:dyDescent="0.2">
      <c r="A764"/>
      <c r="B764" s="1"/>
      <c r="C764"/>
      <c r="D764"/>
      <c r="E764"/>
      <c r="F764"/>
      <c r="G764" s="1"/>
      <c r="H764" s="1"/>
      <c r="I764"/>
      <c r="J764"/>
      <c r="K764"/>
      <c r="L764"/>
      <c r="M764"/>
      <c r="N764"/>
      <c r="O764"/>
      <c r="P764"/>
      <c r="Q764"/>
      <c r="R764" s="558" t="s">
        <v>3973</v>
      </c>
      <c r="S764" s="83"/>
      <c r="T764" s="56"/>
      <c r="U764" s="955"/>
      <c r="V764" s="43" t="str">
        <f>Z756</f>
        <v>C</v>
      </c>
      <c r="W764" s="10"/>
      <c r="X764" s="45" t="s">
        <v>769</v>
      </c>
      <c r="Y764" s="10"/>
      <c r="Z764" s="46" t="str">
        <f>V754</f>
        <v>M</v>
      </c>
      <c r="AA764" s="123"/>
      <c r="AB764" s="1459">
        <f t="shared" si="417"/>
        <v>0</v>
      </c>
      <c r="AC764" s="1460" t="str">
        <f t="shared" si="418"/>
        <v>-</v>
      </c>
      <c r="AD764" s="1459">
        <f t="shared" si="419"/>
        <v>0</v>
      </c>
      <c r="AE764" s="964" t="str">
        <f t="shared" si="420"/>
        <v/>
      </c>
      <c r="AF764" s="964" t="str">
        <f t="shared" si="421"/>
        <v/>
      </c>
      <c r="AG764" s="964" t="str">
        <f t="shared" si="422"/>
        <v/>
      </c>
      <c r="AH764" s="964" t="str">
        <f t="shared" si="423"/>
        <v/>
      </c>
      <c r="AI764" s="964" t="str">
        <f t="shared" si="424"/>
        <v/>
      </c>
      <c r="AJ764" s="964"/>
      <c r="AK764" s="9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s="1396"/>
      <c r="CB764" s="1396"/>
      <c r="CC764"/>
      <c r="CD764"/>
      <c r="CE764"/>
    </row>
    <row r="765" spans="1:83" ht="13.15" customHeight="1" outlineLevel="2" x14ac:dyDescent="0.2">
      <c r="A765"/>
      <c r="B765" s="1"/>
      <c r="C765"/>
      <c r="D765"/>
      <c r="E765"/>
      <c r="F765"/>
      <c r="G765" s="1"/>
      <c r="H765" s="1"/>
      <c r="I765"/>
      <c r="J765"/>
      <c r="K765"/>
      <c r="L765"/>
      <c r="M765"/>
      <c r="N765"/>
      <c r="O765"/>
      <c r="P765"/>
      <c r="Q765"/>
      <c r="R765" s="558" t="s">
        <v>3973</v>
      </c>
      <c r="S765" s="83"/>
      <c r="T765" s="56"/>
      <c r="U765" s="955"/>
      <c r="V765" s="43" t="str">
        <f>Z757</f>
        <v>E</v>
      </c>
      <c r="W765" s="10"/>
      <c r="X765" s="45" t="s">
        <v>769</v>
      </c>
      <c r="Y765" s="10"/>
      <c r="Z765" s="46" t="str">
        <f>V755</f>
        <v>K</v>
      </c>
      <c r="AA765" s="123"/>
      <c r="AB765" s="1459">
        <f t="shared" si="417"/>
        <v>0</v>
      </c>
      <c r="AC765" s="1460" t="str">
        <f t="shared" si="418"/>
        <v>-</v>
      </c>
      <c r="AD765" s="1459">
        <f t="shared" si="419"/>
        <v>0</v>
      </c>
      <c r="AE765" s="964" t="str">
        <f t="shared" si="420"/>
        <v/>
      </c>
      <c r="AF765" s="964" t="str">
        <f t="shared" si="421"/>
        <v/>
      </c>
      <c r="AG765" s="964" t="str">
        <f t="shared" si="422"/>
        <v/>
      </c>
      <c r="AH765" s="964" t="str">
        <f t="shared" si="423"/>
        <v/>
      </c>
      <c r="AI765" s="964" t="str">
        <f t="shared" si="424"/>
        <v/>
      </c>
      <c r="AJ765" s="964"/>
      <c r="AK765" s="964"/>
      <c r="AL765"/>
      <c r="AM765"/>
      <c r="AN765"/>
      <c r="AO765"/>
      <c r="AP765"/>
      <c r="AQ765"/>
      <c r="AR765"/>
      <c r="AS765"/>
      <c r="AT765"/>
      <c r="AU765"/>
      <c r="AV765"/>
      <c r="AW765"/>
      <c r="AX765" s="9"/>
      <c r="AY765"/>
      <c r="AZ765"/>
      <c r="BA765"/>
      <c r="BB765"/>
      <c r="BC765"/>
      <c r="BD765"/>
      <c r="BE765"/>
      <c r="BF765"/>
      <c r="BG765"/>
      <c r="BH765"/>
      <c r="BI765"/>
      <c r="BJ765"/>
      <c r="BK765"/>
      <c r="BL765"/>
      <c r="BM765"/>
      <c r="BN765"/>
      <c r="BO765"/>
      <c r="BP765"/>
      <c r="BQ765"/>
      <c r="BR765"/>
      <c r="BS765"/>
      <c r="BT765"/>
      <c r="BU765"/>
      <c r="BV765"/>
      <c r="BW765"/>
      <c r="BX765"/>
      <c r="BY765"/>
      <c r="BZ765"/>
      <c r="CA765" s="1396"/>
      <c r="CB765" s="1396"/>
      <c r="CC765"/>
      <c r="CD765"/>
      <c r="CE765"/>
    </row>
    <row r="766" spans="1:83" ht="13.9" customHeight="1" outlineLevel="2" thickBot="1" x14ac:dyDescent="0.25">
      <c r="A766"/>
      <c r="B766" s="1"/>
      <c r="C766"/>
      <c r="D766"/>
      <c r="E766"/>
      <c r="F766"/>
      <c r="G766" s="1"/>
      <c r="H766" s="1"/>
      <c r="I766"/>
      <c r="J766"/>
      <c r="K766"/>
      <c r="L766"/>
      <c r="M766"/>
      <c r="N766"/>
      <c r="O766"/>
      <c r="P766"/>
      <c r="Q766"/>
      <c r="R766" s="558" t="s">
        <v>3973</v>
      </c>
      <c r="S766" s="956"/>
      <c r="T766" s="58"/>
      <c r="U766" s="957"/>
      <c r="V766" s="958" t="str">
        <f>+V757</f>
        <v>G</v>
      </c>
      <c r="W766" s="10"/>
      <c r="X766" s="45" t="s">
        <v>769</v>
      </c>
      <c r="Y766" s="10"/>
      <c r="Z766" s="46" t="str">
        <f>+V756</f>
        <v>I</v>
      </c>
      <c r="AA766" s="123"/>
      <c r="AB766" s="1459">
        <f t="shared" si="417"/>
        <v>0</v>
      </c>
      <c r="AC766" s="1460" t="str">
        <f t="shared" si="418"/>
        <v>-</v>
      </c>
      <c r="AD766" s="1459">
        <f t="shared" si="419"/>
        <v>0</v>
      </c>
      <c r="AE766" s="964" t="str">
        <f t="shared" si="420"/>
        <v/>
      </c>
      <c r="AF766" s="964" t="str">
        <f t="shared" si="421"/>
        <v/>
      </c>
      <c r="AG766" s="964" t="str">
        <f t="shared" si="422"/>
        <v/>
      </c>
      <c r="AH766" s="964" t="str">
        <f t="shared" si="423"/>
        <v/>
      </c>
      <c r="AI766" s="964" t="str">
        <f t="shared" si="424"/>
        <v/>
      </c>
      <c r="AJ766" s="964"/>
      <c r="AK766" s="964"/>
      <c r="AL766"/>
      <c r="AM766"/>
      <c r="AN766"/>
      <c r="AO766"/>
      <c r="AP766"/>
      <c r="AQ766"/>
      <c r="AR766"/>
      <c r="AS766"/>
      <c r="AT766"/>
      <c r="AU766"/>
      <c r="AV766"/>
      <c r="AW766" s="9"/>
      <c r="AX766" s="9"/>
      <c r="AY766"/>
      <c r="AZ766"/>
      <c r="BA766"/>
      <c r="BB766"/>
      <c r="BC766"/>
      <c r="BD766"/>
      <c r="BE766"/>
      <c r="BF766"/>
      <c r="BG766"/>
      <c r="BH766"/>
      <c r="BI766"/>
      <c r="BJ766"/>
      <c r="BK766"/>
      <c r="BL766"/>
      <c r="BM766"/>
      <c r="BN766"/>
      <c r="BO766"/>
      <c r="BP766"/>
      <c r="BQ766"/>
      <c r="BR766"/>
      <c r="BS766"/>
      <c r="BT766"/>
      <c r="BU766"/>
      <c r="BV766"/>
      <c r="BW766"/>
      <c r="BX766"/>
      <c r="BY766"/>
      <c r="BZ766"/>
      <c r="CA766" s="1396"/>
      <c r="CB766" s="1396"/>
      <c r="CC766"/>
      <c r="CD766"/>
      <c r="CE766"/>
    </row>
    <row r="767" spans="1:83" ht="13.5" outlineLevel="1" thickBot="1" x14ac:dyDescent="0.25">
      <c r="A767"/>
      <c r="B767" s="1"/>
      <c r="C767" s="1"/>
      <c r="D767" s="76"/>
      <c r="E767" s="76"/>
      <c r="F767" s="76"/>
      <c r="G767" s="9"/>
      <c r="H767" s="9"/>
      <c r="I767" s="1"/>
      <c r="J767"/>
      <c r="K767"/>
      <c r="L767"/>
      <c r="M767"/>
      <c r="N767"/>
      <c r="O767"/>
      <c r="P767" s="89"/>
      <c r="Q767"/>
      <c r="R767" s="1"/>
      <c r="S767" s="993">
        <f>S758+1</f>
        <v>12</v>
      </c>
      <c r="T767" s="961"/>
      <c r="U767" s="961"/>
      <c r="V767" s="961"/>
      <c r="W767" s="960"/>
      <c r="X767" s="960"/>
      <c r="Y767" s="960"/>
      <c r="Z767" s="962"/>
      <c r="AA767" s="123"/>
      <c r="AB767" s="963"/>
      <c r="AC767" s="963"/>
      <c r="AD767" s="963"/>
      <c r="AE767" s="964"/>
      <c r="AF767" s="964"/>
      <c r="AG767" s="964"/>
      <c r="AH767" s="964"/>
      <c r="AI767" s="964"/>
      <c r="AJ767" s="964"/>
      <c r="AK767" s="964"/>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s="1396"/>
      <c r="CB767" s="1396"/>
      <c r="CC767"/>
      <c r="CD767"/>
      <c r="CE767"/>
    </row>
    <row r="768" spans="1:83" ht="13.9" customHeight="1" outlineLevel="2" thickBot="1" x14ac:dyDescent="0.25">
      <c r="A768"/>
      <c r="B768" s="1"/>
      <c r="C768"/>
      <c r="D768"/>
      <c r="E768"/>
      <c r="F768"/>
      <c r="G768" s="1"/>
      <c r="H768" s="1"/>
      <c r="I768"/>
      <c r="J768"/>
      <c r="K768"/>
      <c r="L768"/>
      <c r="M768"/>
      <c r="N768"/>
      <c r="O768"/>
      <c r="P768"/>
      <c r="Q768"/>
      <c r="S768" s="22" t="str">
        <f>N_Heure</f>
        <v>Heure</v>
      </c>
      <c r="T768" s="22" t="str">
        <f>N_Table</f>
        <v>Table</v>
      </c>
      <c r="U768" s="22" t="str">
        <f>N_Arbitre</f>
        <v>Arbitre</v>
      </c>
      <c r="V768" s="293" t="str">
        <f>N_Matches</f>
        <v>Matches</v>
      </c>
      <c r="W768" s="294"/>
      <c r="X768" s="294"/>
      <c r="Y768" s="294"/>
      <c r="Z768" s="295"/>
      <c r="AA768" s="8"/>
      <c r="AB768" s="967"/>
      <c r="AC768" s="967"/>
      <c r="AD768" s="967"/>
      <c r="AE768" s="964"/>
      <c r="AF768" s="964"/>
      <c r="AG768" s="964"/>
      <c r="AH768" s="964"/>
      <c r="AI768" s="964"/>
      <c r="AJ768" s="964"/>
      <c r="AK768" s="964"/>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s="1396"/>
      <c r="CB768" s="1396"/>
      <c r="CC768"/>
      <c r="CD768"/>
      <c r="CE768"/>
    </row>
    <row r="769" spans="1:83" ht="13.15" customHeight="1" outlineLevel="2" x14ac:dyDescent="0.2">
      <c r="A769"/>
      <c r="B769" s="1"/>
      <c r="C769"/>
      <c r="D769"/>
      <c r="E769"/>
      <c r="F769"/>
      <c r="G769" s="1"/>
      <c r="H769" s="1"/>
      <c r="I769"/>
      <c r="J769"/>
      <c r="K769"/>
      <c r="L769"/>
      <c r="M769"/>
      <c r="N769"/>
      <c r="O769"/>
      <c r="P769"/>
      <c r="Q769"/>
      <c r="R769" s="558" t="s">
        <v>3974</v>
      </c>
      <c r="S769" s="65"/>
      <c r="T769" s="953"/>
      <c r="U769" s="954"/>
      <c r="V769" s="34" t="str">
        <f>V761</f>
        <v>F</v>
      </c>
      <c r="W769" s="148"/>
      <c r="X769" s="35" t="s">
        <v>769</v>
      </c>
      <c r="Y769" s="148"/>
      <c r="Z769" s="36" t="str">
        <f>V760</f>
        <v>A</v>
      </c>
      <c r="AA769" s="123"/>
      <c r="AB769" s="1459">
        <f t="shared" ref="AB769:AB775" si="425">IF(MaxScore,MaxGoals(W769,Y769,MaxGoalsValue),IF(W769="","",W769))</f>
        <v>0</v>
      </c>
      <c r="AC769" s="1460" t="str">
        <f t="shared" ref="AC769:AC775" si="426">IF(MaxScore,"-",IF(W769="","","-"))</f>
        <v>-</v>
      </c>
      <c r="AD769" s="1459">
        <f t="shared" ref="AD769:AD775" si="427">IF(MaxScore,MaxGoals(Y769,W769,MaxGoalsValue),IF(Y769="","",Y769))</f>
        <v>0</v>
      </c>
      <c r="AE769" s="964" t="str">
        <f t="shared" ref="AE769:AE775" si="428">IF(W769="","",IF(W769&gt;Y769,V769,IF(W769=Y769,"",Z769)))</f>
        <v/>
      </c>
      <c r="AF769" s="964" t="str">
        <f t="shared" ref="AF769:AF775" si="429">IF(W769="","",IF(W769=Y769,V769,""))</f>
        <v/>
      </c>
      <c r="AG769" s="964" t="str">
        <f t="shared" ref="AG769:AG775" si="430">IF(W769="","",IF(W769=Y769,Z769,""))</f>
        <v/>
      </c>
      <c r="AH769" s="964" t="str">
        <f t="shared" ref="AH769:AH775" si="431">IF(W769="","",IF(W769&lt;Y769,V769,IF(W769=Y769,"",Z769)))</f>
        <v/>
      </c>
      <c r="AI769" s="964" t="str">
        <f t="shared" ref="AI769:AI775" si="432">CONCATENATE(AE769,AH769)</f>
        <v/>
      </c>
      <c r="AJ769" s="964"/>
      <c r="AK769" s="964"/>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s="1396"/>
      <c r="CB769" s="1396"/>
      <c r="CC769"/>
      <c r="CD769"/>
      <c r="CE769"/>
    </row>
    <row r="770" spans="1:83" ht="13.15" customHeight="1" outlineLevel="2" x14ac:dyDescent="0.2">
      <c r="A770"/>
      <c r="B770" s="1"/>
      <c r="C770"/>
      <c r="D770"/>
      <c r="E770"/>
      <c r="F770"/>
      <c r="G770" s="1"/>
      <c r="H770" s="1"/>
      <c r="I770"/>
      <c r="J770"/>
      <c r="K770"/>
      <c r="L770"/>
      <c r="M770"/>
      <c r="N770"/>
      <c r="O770"/>
      <c r="P770"/>
      <c r="Q770"/>
      <c r="R770" s="558" t="s">
        <v>3974</v>
      </c>
      <c r="S770" s="83"/>
      <c r="T770" s="56"/>
      <c r="U770" s="955"/>
      <c r="V770" s="43" t="str">
        <f t="shared" ref="V770:V775" si="433">Z760</f>
        <v>H</v>
      </c>
      <c r="W770" s="10"/>
      <c r="X770" s="45" t="s">
        <v>769</v>
      </c>
      <c r="Y770" s="10"/>
      <c r="Z770" s="46" t="str">
        <f>V762</f>
        <v>D</v>
      </c>
      <c r="AA770" s="123"/>
      <c r="AB770" s="1459">
        <f t="shared" si="425"/>
        <v>0</v>
      </c>
      <c r="AC770" s="1460" t="str">
        <f t="shared" si="426"/>
        <v>-</v>
      </c>
      <c r="AD770" s="1459">
        <f t="shared" si="427"/>
        <v>0</v>
      </c>
      <c r="AE770" s="964" t="str">
        <f t="shared" si="428"/>
        <v/>
      </c>
      <c r="AF770" s="964" t="str">
        <f t="shared" si="429"/>
        <v/>
      </c>
      <c r="AG770" s="964" t="str">
        <f t="shared" si="430"/>
        <v/>
      </c>
      <c r="AH770" s="964" t="str">
        <f t="shared" si="431"/>
        <v/>
      </c>
      <c r="AI770" s="964" t="str">
        <f t="shared" si="432"/>
        <v/>
      </c>
      <c r="AJ770" s="964"/>
      <c r="AK770" s="964"/>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s="1396"/>
      <c r="CB770" s="1396"/>
      <c r="CC770"/>
      <c r="CD770"/>
      <c r="CE770"/>
    </row>
    <row r="771" spans="1:83" ht="13.15" customHeight="1" outlineLevel="2" x14ac:dyDescent="0.2">
      <c r="A771"/>
      <c r="B771" s="1"/>
      <c r="C771"/>
      <c r="D771"/>
      <c r="E771"/>
      <c r="F771"/>
      <c r="G771" s="1"/>
      <c r="H771" s="1"/>
      <c r="I771"/>
      <c r="J771"/>
      <c r="K771"/>
      <c r="L771"/>
      <c r="M771"/>
      <c r="N771"/>
      <c r="O771"/>
      <c r="P771"/>
      <c r="Q771"/>
      <c r="R771" s="558" t="s">
        <v>3974</v>
      </c>
      <c r="S771" s="83"/>
      <c r="T771" s="56"/>
      <c r="U771" s="955"/>
      <c r="V771" s="43" t="str">
        <f t="shared" si="433"/>
        <v>J</v>
      </c>
      <c r="W771" s="10"/>
      <c r="X771" s="45" t="s">
        <v>769</v>
      </c>
      <c r="Y771" s="10"/>
      <c r="Z771" s="46" t="str">
        <f>V763</f>
        <v>B</v>
      </c>
      <c r="AA771" s="123"/>
      <c r="AB771" s="1459">
        <f t="shared" si="425"/>
        <v>0</v>
      </c>
      <c r="AC771" s="1460" t="str">
        <f t="shared" si="426"/>
        <v>-</v>
      </c>
      <c r="AD771" s="1459">
        <f t="shared" si="427"/>
        <v>0</v>
      </c>
      <c r="AE771" s="964" t="str">
        <f t="shared" si="428"/>
        <v/>
      </c>
      <c r="AF771" s="964" t="str">
        <f t="shared" si="429"/>
        <v/>
      </c>
      <c r="AG771" s="964" t="str">
        <f t="shared" si="430"/>
        <v/>
      </c>
      <c r="AH771" s="964" t="str">
        <f t="shared" si="431"/>
        <v/>
      </c>
      <c r="AI771" s="964" t="str">
        <f t="shared" si="432"/>
        <v/>
      </c>
      <c r="AJ771" s="964"/>
      <c r="AK771" s="964"/>
      <c r="AL771"/>
      <c r="AM771"/>
      <c r="AN771"/>
      <c r="AO771"/>
      <c r="AP771"/>
      <c r="AQ771"/>
      <c r="AR771"/>
      <c r="AS771"/>
      <c r="AT771"/>
      <c r="AU771"/>
      <c r="AV771"/>
      <c r="AW771" s="9"/>
      <c r="AX771" s="9"/>
      <c r="AY771"/>
      <c r="AZ771"/>
      <c r="BA771"/>
      <c r="BB771"/>
      <c r="BC771"/>
      <c r="BD771"/>
      <c r="BE771"/>
      <c r="BF771"/>
      <c r="BG771"/>
      <c r="BH771"/>
      <c r="BI771"/>
      <c r="BJ771"/>
      <c r="BK771"/>
      <c r="BL771"/>
      <c r="BM771"/>
      <c r="BN771"/>
      <c r="BO771"/>
      <c r="BP771"/>
      <c r="BQ771"/>
      <c r="BR771"/>
      <c r="BS771"/>
      <c r="BT771"/>
      <c r="BU771"/>
      <c r="BV771"/>
      <c r="BW771"/>
      <c r="BX771"/>
      <c r="BY771"/>
      <c r="BZ771"/>
      <c r="CA771" s="1396"/>
      <c r="CB771" s="1396"/>
      <c r="CC771"/>
      <c r="CD771"/>
      <c r="CE771"/>
    </row>
    <row r="772" spans="1:83" ht="13.15" customHeight="1" outlineLevel="2" x14ac:dyDescent="0.2">
      <c r="A772"/>
      <c r="B772" s="1"/>
      <c r="C772"/>
      <c r="D772"/>
      <c r="E772"/>
      <c r="F772"/>
      <c r="G772" s="1"/>
      <c r="H772" s="1"/>
      <c r="I772"/>
      <c r="J772"/>
      <c r="K772"/>
      <c r="L772"/>
      <c r="M772"/>
      <c r="N772"/>
      <c r="O772"/>
      <c r="P772"/>
      <c r="Q772"/>
      <c r="R772" s="558" t="s">
        <v>3974</v>
      </c>
      <c r="S772" s="83"/>
      <c r="T772" s="56"/>
      <c r="U772" s="955"/>
      <c r="V772" s="43" t="str">
        <f t="shared" si="433"/>
        <v>L</v>
      </c>
      <c r="W772" s="10"/>
      <c r="X772" s="45" t="s">
        <v>769</v>
      </c>
      <c r="Y772" s="10"/>
      <c r="Z772" s="46" t="str">
        <f>V764</f>
        <v>C</v>
      </c>
      <c r="AA772" s="123"/>
      <c r="AB772" s="1459">
        <f t="shared" si="425"/>
        <v>0</v>
      </c>
      <c r="AC772" s="1460" t="str">
        <f t="shared" si="426"/>
        <v>-</v>
      </c>
      <c r="AD772" s="1459">
        <f t="shared" si="427"/>
        <v>0</v>
      </c>
      <c r="AE772" s="964" t="str">
        <f t="shared" si="428"/>
        <v/>
      </c>
      <c r="AF772" s="964" t="str">
        <f t="shared" si="429"/>
        <v/>
      </c>
      <c r="AG772" s="964" t="str">
        <f t="shared" si="430"/>
        <v/>
      </c>
      <c r="AH772" s="964" t="str">
        <f t="shared" si="431"/>
        <v/>
      </c>
      <c r="AI772" s="964" t="str">
        <f t="shared" si="432"/>
        <v/>
      </c>
      <c r="AJ772" s="964"/>
      <c r="AK772" s="964"/>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s="1396"/>
      <c r="CB772" s="1396"/>
      <c r="CC772"/>
      <c r="CD772"/>
      <c r="CE772"/>
    </row>
    <row r="773" spans="1:83" ht="13.15" customHeight="1" outlineLevel="2" x14ac:dyDescent="0.2">
      <c r="A773"/>
      <c r="B773" s="1"/>
      <c r="C773"/>
      <c r="D773"/>
      <c r="E773"/>
      <c r="F773"/>
      <c r="G773" s="1"/>
      <c r="H773" s="1"/>
      <c r="I773"/>
      <c r="J773"/>
      <c r="K773"/>
      <c r="L773"/>
      <c r="M773"/>
      <c r="N773"/>
      <c r="O773"/>
      <c r="P773"/>
      <c r="Q773"/>
      <c r="R773" s="558" t="s">
        <v>3974</v>
      </c>
      <c r="S773" s="83"/>
      <c r="T773" s="56"/>
      <c r="U773" s="955"/>
      <c r="V773" s="43" t="str">
        <f t="shared" si="433"/>
        <v>N</v>
      </c>
      <c r="W773" s="10"/>
      <c r="X773" s="45" t="s">
        <v>769</v>
      </c>
      <c r="Y773" s="10"/>
      <c r="Z773" s="46" t="str">
        <f>V765</f>
        <v>E</v>
      </c>
      <c r="AA773" s="123"/>
      <c r="AB773" s="1459">
        <f t="shared" si="425"/>
        <v>0</v>
      </c>
      <c r="AC773" s="1460" t="str">
        <f t="shared" si="426"/>
        <v>-</v>
      </c>
      <c r="AD773" s="1459">
        <f t="shared" si="427"/>
        <v>0</v>
      </c>
      <c r="AE773" s="964" t="str">
        <f t="shared" si="428"/>
        <v/>
      </c>
      <c r="AF773" s="964" t="str">
        <f t="shared" si="429"/>
        <v/>
      </c>
      <c r="AG773" s="964" t="str">
        <f t="shared" si="430"/>
        <v/>
      </c>
      <c r="AH773" s="964" t="str">
        <f t="shared" si="431"/>
        <v/>
      </c>
      <c r="AI773" s="964" t="str">
        <f t="shared" si="432"/>
        <v/>
      </c>
      <c r="AJ773" s="964"/>
      <c r="AK773" s="964"/>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s="1396"/>
      <c r="CB773" s="1396"/>
      <c r="CC773"/>
      <c r="CD773"/>
      <c r="CE773"/>
    </row>
    <row r="774" spans="1:83" ht="13.15" customHeight="1" outlineLevel="2" x14ac:dyDescent="0.2">
      <c r="A774"/>
      <c r="B774" s="1"/>
      <c r="C774"/>
      <c r="D774"/>
      <c r="E774"/>
      <c r="F774"/>
      <c r="G774" s="1"/>
      <c r="H774" s="1"/>
      <c r="I774"/>
      <c r="J774"/>
      <c r="K774"/>
      <c r="L774"/>
      <c r="M774"/>
      <c r="N774"/>
      <c r="O774"/>
      <c r="P774"/>
      <c r="Q774"/>
      <c r="R774" s="558" t="s">
        <v>3974</v>
      </c>
      <c r="S774" s="83"/>
      <c r="T774" s="56"/>
      <c r="U774" s="955"/>
      <c r="V774" s="43" t="str">
        <f t="shared" si="433"/>
        <v>M</v>
      </c>
      <c r="W774" s="10"/>
      <c r="X774" s="45" t="s">
        <v>769</v>
      </c>
      <c r="Y774" s="10"/>
      <c r="Z774" s="46" t="str">
        <f>V766</f>
        <v>G</v>
      </c>
      <c r="AA774" s="123"/>
      <c r="AB774" s="1459">
        <f t="shared" si="425"/>
        <v>0</v>
      </c>
      <c r="AC774" s="1460" t="str">
        <f t="shared" si="426"/>
        <v>-</v>
      </c>
      <c r="AD774" s="1459">
        <f t="shared" si="427"/>
        <v>0</v>
      </c>
      <c r="AE774" s="964" t="str">
        <f t="shared" si="428"/>
        <v/>
      </c>
      <c r="AF774" s="964" t="str">
        <f t="shared" si="429"/>
        <v/>
      </c>
      <c r="AG774" s="964" t="str">
        <f t="shared" si="430"/>
        <v/>
      </c>
      <c r="AH774" s="964" t="str">
        <f t="shared" si="431"/>
        <v/>
      </c>
      <c r="AI774" s="964" t="str">
        <f t="shared" si="432"/>
        <v/>
      </c>
      <c r="AJ774" s="964"/>
      <c r="AK774" s="964"/>
      <c r="AL774"/>
      <c r="AM774"/>
      <c r="AN774"/>
      <c r="AO774"/>
      <c r="AP774"/>
      <c r="AQ774"/>
      <c r="AR774"/>
      <c r="AS774"/>
      <c r="AT774"/>
      <c r="AU774"/>
      <c r="AV774"/>
      <c r="AW774"/>
      <c r="AX774" s="9"/>
      <c r="AY774"/>
      <c r="AZ774"/>
      <c r="BA774"/>
      <c r="BB774"/>
      <c r="BC774"/>
      <c r="BD774"/>
      <c r="BE774"/>
      <c r="BF774"/>
      <c r="BG774"/>
      <c r="BH774"/>
      <c r="BI774"/>
      <c r="BJ774"/>
      <c r="BK774"/>
      <c r="BL774"/>
      <c r="BM774"/>
      <c r="BN774"/>
      <c r="BO774"/>
      <c r="BP774"/>
      <c r="BQ774"/>
      <c r="BR774"/>
      <c r="BS774"/>
      <c r="BT774"/>
      <c r="BU774"/>
      <c r="BV774"/>
      <c r="BW774"/>
      <c r="BX774"/>
      <c r="BY774"/>
      <c r="BZ774"/>
      <c r="CA774" s="1396"/>
      <c r="CB774" s="1396"/>
      <c r="CC774"/>
      <c r="CD774"/>
      <c r="CE774"/>
    </row>
    <row r="775" spans="1:83" ht="13.9" customHeight="1" outlineLevel="2" thickBot="1" x14ac:dyDescent="0.25">
      <c r="A775"/>
      <c r="B775" s="1"/>
      <c r="C775"/>
      <c r="D775"/>
      <c r="E775"/>
      <c r="F775"/>
      <c r="G775" s="1"/>
      <c r="H775" s="1"/>
      <c r="I775"/>
      <c r="J775"/>
      <c r="K775"/>
      <c r="L775"/>
      <c r="M775"/>
      <c r="N775"/>
      <c r="O775"/>
      <c r="P775"/>
      <c r="Q775"/>
      <c r="R775" s="558" t="s">
        <v>3974</v>
      </c>
      <c r="S775" s="956"/>
      <c r="T775" s="58"/>
      <c r="U775" s="957"/>
      <c r="V775" s="43" t="str">
        <f t="shared" si="433"/>
        <v>K</v>
      </c>
      <c r="W775" s="10"/>
      <c r="X775" s="45" t="s">
        <v>769</v>
      </c>
      <c r="Y775" s="10"/>
      <c r="Z775" s="46" t="str">
        <f>+Z766</f>
        <v>I</v>
      </c>
      <c r="AA775" s="123"/>
      <c r="AB775" s="1459">
        <f t="shared" si="425"/>
        <v>0</v>
      </c>
      <c r="AC775" s="1460" t="str">
        <f t="shared" si="426"/>
        <v>-</v>
      </c>
      <c r="AD775" s="1459">
        <f t="shared" si="427"/>
        <v>0</v>
      </c>
      <c r="AE775" s="964" t="str">
        <f t="shared" si="428"/>
        <v/>
      </c>
      <c r="AF775" s="964" t="str">
        <f t="shared" si="429"/>
        <v/>
      </c>
      <c r="AG775" s="964" t="str">
        <f t="shared" si="430"/>
        <v/>
      </c>
      <c r="AH775" s="964" t="str">
        <f t="shared" si="431"/>
        <v/>
      </c>
      <c r="AI775" s="964" t="str">
        <f t="shared" si="432"/>
        <v/>
      </c>
      <c r="AJ775" s="964"/>
      <c r="AK775" s="964"/>
      <c r="AL775"/>
      <c r="AM775"/>
      <c r="AN775"/>
      <c r="AO775"/>
      <c r="AP775"/>
      <c r="AQ775"/>
      <c r="AR775"/>
      <c r="AS775"/>
      <c r="AT775"/>
      <c r="AU775"/>
      <c r="AV775"/>
      <c r="AW775" s="9"/>
      <c r="AX775" s="9"/>
      <c r="AY775"/>
      <c r="AZ775"/>
      <c r="BA775"/>
      <c r="BB775"/>
      <c r="BC775"/>
      <c r="BD775"/>
      <c r="BE775"/>
      <c r="BF775"/>
      <c r="BG775"/>
      <c r="BH775"/>
      <c r="BI775"/>
      <c r="BJ775"/>
      <c r="BK775"/>
      <c r="BL775"/>
      <c r="BM775"/>
      <c r="BN775"/>
      <c r="BO775"/>
      <c r="BP775"/>
      <c r="BQ775"/>
      <c r="BR775"/>
      <c r="BS775"/>
      <c r="BT775"/>
      <c r="BU775"/>
      <c r="BV775"/>
      <c r="BW775"/>
      <c r="BX775"/>
      <c r="BY775"/>
      <c r="BZ775"/>
      <c r="CA775" s="1396"/>
      <c r="CB775" s="1396"/>
      <c r="CC775"/>
      <c r="CD775"/>
      <c r="CE775"/>
    </row>
    <row r="776" spans="1:83" ht="13.5" outlineLevel="1" thickBot="1" x14ac:dyDescent="0.25">
      <c r="A776"/>
      <c r="B776" s="1"/>
      <c r="C776" s="1"/>
      <c r="D776" s="76"/>
      <c r="E776" s="76"/>
      <c r="F776" s="76"/>
      <c r="G776" s="9"/>
      <c r="H776" s="9"/>
      <c r="I776" s="1"/>
      <c r="J776"/>
      <c r="K776"/>
      <c r="L776"/>
      <c r="M776"/>
      <c r="N776"/>
      <c r="O776"/>
      <c r="P776" s="89"/>
      <c r="Q776"/>
      <c r="R776" s="1"/>
      <c r="S776" s="993">
        <f>S767+1</f>
        <v>13</v>
      </c>
      <c r="T776" s="961"/>
      <c r="U776" s="961"/>
      <c r="V776" s="961"/>
      <c r="W776" s="960"/>
      <c r="X776" s="960"/>
      <c r="Y776" s="960"/>
      <c r="Z776" s="962"/>
      <c r="AA776" s="123"/>
      <c r="AB776" s="963"/>
      <c r="AC776" s="963"/>
      <c r="AD776" s="963"/>
      <c r="AE776" s="964"/>
      <c r="AF776" s="964"/>
      <c r="AG776" s="964"/>
      <c r="AH776" s="964"/>
      <c r="AI776" s="964"/>
      <c r="AJ776" s="964"/>
      <c r="AK776" s="964"/>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s="1396"/>
      <c r="CB776" s="1396"/>
      <c r="CC776"/>
      <c r="CD776"/>
      <c r="CE776"/>
    </row>
    <row r="777" spans="1:83" ht="13.9" customHeight="1" outlineLevel="2" thickBot="1" x14ac:dyDescent="0.25">
      <c r="A777"/>
      <c r="B777" s="1"/>
      <c r="C777"/>
      <c r="D777"/>
      <c r="E777"/>
      <c r="F777"/>
      <c r="G777" s="1"/>
      <c r="H777" s="1"/>
      <c r="I777"/>
      <c r="J777"/>
      <c r="K777"/>
      <c r="L777"/>
      <c r="M777"/>
      <c r="N777"/>
      <c r="O777"/>
      <c r="P777"/>
      <c r="Q777"/>
      <c r="S777" s="22" t="str">
        <f>N_Heure</f>
        <v>Heure</v>
      </c>
      <c r="T777" s="22" t="str">
        <f>N_Table</f>
        <v>Table</v>
      </c>
      <c r="U777" s="22" t="str">
        <f>N_Arbitre</f>
        <v>Arbitre</v>
      </c>
      <c r="V777" s="293" t="str">
        <f>N_Matches</f>
        <v>Matches</v>
      </c>
      <c r="W777" s="294"/>
      <c r="X777" s="294"/>
      <c r="Y777" s="294"/>
      <c r="Z777" s="295"/>
      <c r="AA777" s="8"/>
      <c r="AB777" s="967"/>
      <c r="AC777" s="967"/>
      <c r="AD777" s="967"/>
      <c r="AE777" s="964"/>
      <c r="AF777" s="964"/>
      <c r="AG777" s="964"/>
      <c r="AH777" s="964"/>
      <c r="AI777" s="964"/>
      <c r="AJ777" s="964"/>
      <c r="AK777" s="964"/>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s="1396"/>
      <c r="CB777" s="1396"/>
      <c r="CC777"/>
      <c r="CD777"/>
      <c r="CE777"/>
    </row>
    <row r="778" spans="1:83" ht="13.15" customHeight="1" outlineLevel="2" x14ac:dyDescent="0.2">
      <c r="A778"/>
      <c r="B778" s="1"/>
      <c r="C778"/>
      <c r="D778"/>
      <c r="E778"/>
      <c r="F778"/>
      <c r="G778" s="1"/>
      <c r="H778" s="1"/>
      <c r="I778"/>
      <c r="J778"/>
      <c r="K778"/>
      <c r="L778"/>
      <c r="M778"/>
      <c r="N778"/>
      <c r="O778"/>
      <c r="P778"/>
      <c r="Q778"/>
      <c r="R778" s="558" t="s">
        <v>3975</v>
      </c>
      <c r="S778" s="65"/>
      <c r="T778" s="953"/>
      <c r="U778" s="954"/>
      <c r="V778" s="34" t="str">
        <f>Z769</f>
        <v>A</v>
      </c>
      <c r="W778" s="148"/>
      <c r="X778" s="35" t="s">
        <v>769</v>
      </c>
      <c r="Y778" s="148"/>
      <c r="Z778" s="36" t="str">
        <f>Z770</f>
        <v>D</v>
      </c>
      <c r="AA778" s="123"/>
      <c r="AB778" s="1459">
        <f t="shared" ref="AB778:AB784" si="434">IF(MaxScore,MaxGoals(W778,Y778,MaxGoalsValue),IF(W778="","",W778))</f>
        <v>0</v>
      </c>
      <c r="AC778" s="1460" t="str">
        <f t="shared" ref="AC778:AC784" si="435">IF(MaxScore,"-",IF(W778="","","-"))</f>
        <v>-</v>
      </c>
      <c r="AD778" s="1459">
        <f t="shared" ref="AD778:AD784" si="436">IF(MaxScore,MaxGoals(Y778,W778,MaxGoalsValue),IF(Y778="","",Y778))</f>
        <v>0</v>
      </c>
      <c r="AE778" s="964" t="str">
        <f t="shared" ref="AE778:AE784" si="437">IF(W778="","",IF(W778&gt;Y778,V778,IF(W778=Y778,"",Z778)))</f>
        <v/>
      </c>
      <c r="AF778" s="964" t="str">
        <f t="shared" ref="AF778:AF784" si="438">IF(W778="","",IF(W778=Y778,V778,""))</f>
        <v/>
      </c>
      <c r="AG778" s="964" t="str">
        <f t="shared" ref="AG778:AG784" si="439">IF(W778="","",IF(W778=Y778,Z778,""))</f>
        <v/>
      </c>
      <c r="AH778" s="964" t="str">
        <f t="shared" ref="AH778:AH784" si="440">IF(W778="","",IF(W778&lt;Y778,V778,IF(W778=Y778,"",Z778)))</f>
        <v/>
      </c>
      <c r="AI778" s="964" t="str">
        <f t="shared" ref="AI778:AI784" si="441">CONCATENATE(AE778,AH778)</f>
        <v/>
      </c>
      <c r="AJ778" s="964"/>
      <c r="AK778" s="964"/>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s="1396"/>
      <c r="CB778" s="1396"/>
      <c r="CC778"/>
      <c r="CD778"/>
      <c r="CE778"/>
    </row>
    <row r="779" spans="1:83" ht="13.15" customHeight="1" outlineLevel="2" x14ac:dyDescent="0.2">
      <c r="A779"/>
      <c r="B779" s="1"/>
      <c r="C779"/>
      <c r="D779"/>
      <c r="E779"/>
      <c r="F779"/>
      <c r="G779" s="1"/>
      <c r="H779" s="1"/>
      <c r="I779"/>
      <c r="J779"/>
      <c r="K779"/>
      <c r="L779"/>
      <c r="M779"/>
      <c r="N779"/>
      <c r="O779"/>
      <c r="P779"/>
      <c r="Q779"/>
      <c r="R779" s="558" t="s">
        <v>3975</v>
      </c>
      <c r="S779" s="83"/>
      <c r="T779" s="56"/>
      <c r="U779" s="955"/>
      <c r="V779" s="43" t="str">
        <f>Z771</f>
        <v>B</v>
      </c>
      <c r="W779" s="10"/>
      <c r="X779" s="45" t="s">
        <v>769</v>
      </c>
      <c r="Y779" s="10"/>
      <c r="Z779" s="46" t="str">
        <f>V769</f>
        <v>F</v>
      </c>
      <c r="AA779" s="123"/>
      <c r="AB779" s="1459">
        <f t="shared" si="434"/>
        <v>0</v>
      </c>
      <c r="AC779" s="1460" t="str">
        <f t="shared" si="435"/>
        <v>-</v>
      </c>
      <c r="AD779" s="1459">
        <f t="shared" si="436"/>
        <v>0</v>
      </c>
      <c r="AE779" s="964" t="str">
        <f t="shared" si="437"/>
        <v/>
      </c>
      <c r="AF779" s="964" t="str">
        <f t="shared" si="438"/>
        <v/>
      </c>
      <c r="AG779" s="964" t="str">
        <f t="shared" si="439"/>
        <v/>
      </c>
      <c r="AH779" s="964" t="str">
        <f t="shared" si="440"/>
        <v/>
      </c>
      <c r="AI779" s="964" t="str">
        <f t="shared" si="441"/>
        <v/>
      </c>
      <c r="AJ779" s="964"/>
      <c r="AK779" s="964"/>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s="1396"/>
      <c r="CB779" s="1396"/>
      <c r="CC779"/>
      <c r="CD779"/>
      <c r="CE779"/>
    </row>
    <row r="780" spans="1:83" ht="13.15" customHeight="1" outlineLevel="2" x14ac:dyDescent="0.2">
      <c r="A780"/>
      <c r="B780" s="1"/>
      <c r="C780"/>
      <c r="D780"/>
      <c r="E780"/>
      <c r="F780"/>
      <c r="G780" s="1"/>
      <c r="H780" s="1"/>
      <c r="I780"/>
      <c r="J780"/>
      <c r="K780"/>
      <c r="L780"/>
      <c r="M780"/>
      <c r="N780"/>
      <c r="O780"/>
      <c r="P780"/>
      <c r="Q780"/>
      <c r="R780" s="558" t="s">
        <v>3975</v>
      </c>
      <c r="S780" s="83"/>
      <c r="T780" s="56"/>
      <c r="U780" s="955"/>
      <c r="V780" s="43" t="str">
        <f>Z772</f>
        <v>C</v>
      </c>
      <c r="W780" s="10"/>
      <c r="X780" s="45" t="s">
        <v>769</v>
      </c>
      <c r="Y780" s="10"/>
      <c r="Z780" s="46" t="str">
        <f>V770</f>
        <v>H</v>
      </c>
      <c r="AA780" s="123"/>
      <c r="AB780" s="1459">
        <f t="shared" si="434"/>
        <v>0</v>
      </c>
      <c r="AC780" s="1460" t="str">
        <f t="shared" si="435"/>
        <v>-</v>
      </c>
      <c r="AD780" s="1459">
        <f t="shared" si="436"/>
        <v>0</v>
      </c>
      <c r="AE780" s="964" t="str">
        <f t="shared" si="437"/>
        <v/>
      </c>
      <c r="AF780" s="964" t="str">
        <f t="shared" si="438"/>
        <v/>
      </c>
      <c r="AG780" s="964" t="str">
        <f t="shared" si="439"/>
        <v/>
      </c>
      <c r="AH780" s="964" t="str">
        <f t="shared" si="440"/>
        <v/>
      </c>
      <c r="AI780" s="964" t="str">
        <f t="shared" si="441"/>
        <v/>
      </c>
      <c r="AJ780" s="964"/>
      <c r="AK780" s="964"/>
      <c r="AL780"/>
      <c r="AM780"/>
      <c r="AN780"/>
      <c r="AO780"/>
      <c r="AP780"/>
      <c r="AQ780"/>
      <c r="AR780"/>
      <c r="AS780"/>
      <c r="AT780"/>
      <c r="AU780"/>
      <c r="AV780"/>
      <c r="AW780"/>
      <c r="AX780" s="9"/>
      <c r="AY780"/>
      <c r="AZ780"/>
      <c r="BA780"/>
      <c r="BB780"/>
      <c r="BC780"/>
      <c r="BD780"/>
      <c r="BE780"/>
      <c r="BF780"/>
      <c r="BG780"/>
      <c r="BH780"/>
      <c r="BI780"/>
      <c r="BJ780"/>
      <c r="BK780"/>
      <c r="BL780"/>
      <c r="BM780"/>
      <c r="BN780"/>
      <c r="BO780"/>
      <c r="BP780"/>
      <c r="BQ780"/>
      <c r="BR780"/>
      <c r="BS780"/>
      <c r="BT780"/>
      <c r="BU780"/>
      <c r="BV780"/>
      <c r="BW780"/>
      <c r="BX780"/>
      <c r="BY780"/>
      <c r="BZ780"/>
      <c r="CA780" s="1396"/>
      <c r="CB780" s="1396"/>
      <c r="CC780"/>
      <c r="CD780"/>
      <c r="CE780"/>
    </row>
    <row r="781" spans="1:83" ht="13.15" customHeight="1" outlineLevel="2" x14ac:dyDescent="0.2">
      <c r="A781"/>
      <c r="B781" s="1"/>
      <c r="C781"/>
      <c r="D781"/>
      <c r="E781"/>
      <c r="F781"/>
      <c r="G781" s="1"/>
      <c r="H781" s="1"/>
      <c r="I781"/>
      <c r="J781"/>
      <c r="K781"/>
      <c r="L781"/>
      <c r="M781"/>
      <c r="N781"/>
      <c r="O781"/>
      <c r="P781"/>
      <c r="Q781"/>
      <c r="R781" s="558" t="s">
        <v>3975</v>
      </c>
      <c r="S781" s="83"/>
      <c r="T781" s="56"/>
      <c r="U781" s="955"/>
      <c r="V781" s="43" t="str">
        <f>Z773</f>
        <v>E</v>
      </c>
      <c r="W781" s="10"/>
      <c r="X781" s="45" t="s">
        <v>769</v>
      </c>
      <c r="Y781" s="10"/>
      <c r="Z781" s="46" t="str">
        <f>V771</f>
        <v>J</v>
      </c>
      <c r="AA781" s="123"/>
      <c r="AB781" s="1459">
        <f t="shared" si="434"/>
        <v>0</v>
      </c>
      <c r="AC781" s="1460" t="str">
        <f t="shared" si="435"/>
        <v>-</v>
      </c>
      <c r="AD781" s="1459">
        <f t="shared" si="436"/>
        <v>0</v>
      </c>
      <c r="AE781" s="964" t="str">
        <f t="shared" si="437"/>
        <v/>
      </c>
      <c r="AF781" s="964" t="str">
        <f t="shared" si="438"/>
        <v/>
      </c>
      <c r="AG781" s="964" t="str">
        <f t="shared" si="439"/>
        <v/>
      </c>
      <c r="AH781" s="964" t="str">
        <f t="shared" si="440"/>
        <v/>
      </c>
      <c r="AI781" s="964" t="str">
        <f t="shared" si="441"/>
        <v/>
      </c>
      <c r="AJ781" s="964"/>
      <c r="AK781" s="964"/>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s="1396"/>
      <c r="CB781" s="1396"/>
      <c r="CC781"/>
      <c r="CD781"/>
      <c r="CE781"/>
    </row>
    <row r="782" spans="1:83" ht="13.15" customHeight="1" outlineLevel="2" x14ac:dyDescent="0.2">
      <c r="A782"/>
      <c r="B782" s="1"/>
      <c r="C782"/>
      <c r="D782"/>
      <c r="E782"/>
      <c r="F782"/>
      <c r="G782" s="1"/>
      <c r="H782" s="1"/>
      <c r="I782"/>
      <c r="J782"/>
      <c r="K782"/>
      <c r="L782"/>
      <c r="M782"/>
      <c r="N782"/>
      <c r="O782"/>
      <c r="P782"/>
      <c r="Q782"/>
      <c r="R782" s="558" t="s">
        <v>3975</v>
      </c>
      <c r="S782" s="83"/>
      <c r="T782" s="56"/>
      <c r="U782" s="955"/>
      <c r="V782" s="43" t="str">
        <f>Z774</f>
        <v>G</v>
      </c>
      <c r="W782" s="10"/>
      <c r="X782" s="45" t="s">
        <v>769</v>
      </c>
      <c r="Y782" s="10"/>
      <c r="Z782" s="46" t="str">
        <f>V772</f>
        <v>L</v>
      </c>
      <c r="AA782" s="123"/>
      <c r="AB782" s="1459">
        <f t="shared" si="434"/>
        <v>0</v>
      </c>
      <c r="AC782" s="1460" t="str">
        <f t="shared" si="435"/>
        <v>-</v>
      </c>
      <c r="AD782" s="1459">
        <f t="shared" si="436"/>
        <v>0</v>
      </c>
      <c r="AE782" s="964" t="str">
        <f t="shared" si="437"/>
        <v/>
      </c>
      <c r="AF782" s="964" t="str">
        <f t="shared" si="438"/>
        <v/>
      </c>
      <c r="AG782" s="964" t="str">
        <f t="shared" si="439"/>
        <v/>
      </c>
      <c r="AH782" s="964" t="str">
        <f t="shared" si="440"/>
        <v/>
      </c>
      <c r="AI782" s="964" t="str">
        <f t="shared" si="441"/>
        <v/>
      </c>
      <c r="AJ782" s="964"/>
      <c r="AK782" s="964"/>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s="1396"/>
      <c r="CB782" s="1396"/>
      <c r="CC782"/>
      <c r="CD782"/>
      <c r="CE782"/>
    </row>
    <row r="783" spans="1:83" ht="13.15" customHeight="1" outlineLevel="2" x14ac:dyDescent="0.2">
      <c r="A783"/>
      <c r="B783" s="1"/>
      <c r="C783"/>
      <c r="D783"/>
      <c r="E783"/>
      <c r="F783"/>
      <c r="G783" s="1"/>
      <c r="H783" s="1"/>
      <c r="I783"/>
      <c r="J783"/>
      <c r="K783"/>
      <c r="L783"/>
      <c r="M783"/>
      <c r="N783"/>
      <c r="O783"/>
      <c r="P783"/>
      <c r="Q783"/>
      <c r="R783" s="558" t="s">
        <v>3975</v>
      </c>
      <c r="S783" s="83"/>
      <c r="T783" s="56"/>
      <c r="U783" s="955"/>
      <c r="V783" s="43" t="str">
        <f>Z775</f>
        <v>I</v>
      </c>
      <c r="W783" s="10"/>
      <c r="X783" s="45" t="s">
        <v>769</v>
      </c>
      <c r="Y783" s="10"/>
      <c r="Z783" s="46" t="str">
        <f>V773</f>
        <v>N</v>
      </c>
      <c r="AA783" s="123"/>
      <c r="AB783" s="1459">
        <f t="shared" si="434"/>
        <v>0</v>
      </c>
      <c r="AC783" s="1460" t="str">
        <f t="shared" si="435"/>
        <v>-</v>
      </c>
      <c r="AD783" s="1459">
        <f t="shared" si="436"/>
        <v>0</v>
      </c>
      <c r="AE783" s="964" t="str">
        <f t="shared" si="437"/>
        <v/>
      </c>
      <c r="AF783" s="964" t="str">
        <f t="shared" si="438"/>
        <v/>
      </c>
      <c r="AG783" s="964" t="str">
        <f t="shared" si="439"/>
        <v/>
      </c>
      <c r="AH783" s="964" t="str">
        <f t="shared" si="440"/>
        <v/>
      </c>
      <c r="AI783" s="964" t="str">
        <f t="shared" si="441"/>
        <v/>
      </c>
      <c r="AJ783" s="964"/>
      <c r="AK783" s="964"/>
      <c r="AL783"/>
      <c r="AM783"/>
      <c r="AN783"/>
      <c r="AO783"/>
      <c r="AP783"/>
      <c r="AQ783"/>
      <c r="AR783"/>
      <c r="AS783"/>
      <c r="AT783"/>
      <c r="AU783"/>
      <c r="AV783"/>
      <c r="AW783"/>
      <c r="AX783" s="9"/>
      <c r="AY783"/>
      <c r="AZ783"/>
      <c r="BA783"/>
      <c r="BB783"/>
      <c r="BC783"/>
      <c r="BD783"/>
      <c r="BE783"/>
      <c r="BF783"/>
      <c r="BG783"/>
      <c r="BH783"/>
      <c r="BI783"/>
      <c r="BJ783"/>
      <c r="BK783"/>
      <c r="BL783"/>
      <c r="BM783"/>
      <c r="BN783"/>
      <c r="BO783"/>
      <c r="BP783"/>
      <c r="BQ783"/>
      <c r="BR783"/>
      <c r="BS783"/>
      <c r="BT783"/>
      <c r="BU783"/>
      <c r="BV783"/>
      <c r="BW783"/>
      <c r="BX783"/>
      <c r="BY783"/>
      <c r="BZ783"/>
      <c r="CA783" s="1396"/>
      <c r="CB783" s="1396"/>
      <c r="CC783"/>
      <c r="CD783"/>
      <c r="CE783"/>
    </row>
    <row r="784" spans="1:83" ht="13.9" customHeight="1" outlineLevel="2" thickBot="1" x14ac:dyDescent="0.25">
      <c r="A784"/>
      <c r="B784" s="1"/>
      <c r="C784"/>
      <c r="D784"/>
      <c r="E784"/>
      <c r="F784"/>
      <c r="G784" s="1"/>
      <c r="H784" s="1"/>
      <c r="I784"/>
      <c r="J784"/>
      <c r="K784"/>
      <c r="L784"/>
      <c r="M784"/>
      <c r="N784"/>
      <c r="O784"/>
      <c r="P784"/>
      <c r="Q784"/>
      <c r="R784" s="558" t="s">
        <v>3975</v>
      </c>
      <c r="S784" s="956"/>
      <c r="T784" s="58"/>
      <c r="U784" s="957"/>
      <c r="V784" s="958" t="str">
        <f>+V775</f>
        <v>K</v>
      </c>
      <c r="W784" s="10"/>
      <c r="X784" s="45" t="s">
        <v>769</v>
      </c>
      <c r="Y784" s="10"/>
      <c r="Z784" s="46" t="str">
        <f>+V774</f>
        <v>M</v>
      </c>
      <c r="AA784" s="123"/>
      <c r="AB784" s="1459">
        <f t="shared" si="434"/>
        <v>0</v>
      </c>
      <c r="AC784" s="1460" t="str">
        <f t="shared" si="435"/>
        <v>-</v>
      </c>
      <c r="AD784" s="1459">
        <f t="shared" si="436"/>
        <v>0</v>
      </c>
      <c r="AE784" s="964" t="str">
        <f t="shared" si="437"/>
        <v/>
      </c>
      <c r="AF784" s="964" t="str">
        <f t="shared" si="438"/>
        <v/>
      </c>
      <c r="AG784" s="964" t="str">
        <f t="shared" si="439"/>
        <v/>
      </c>
      <c r="AH784" s="964" t="str">
        <f t="shared" si="440"/>
        <v/>
      </c>
      <c r="AI784" s="964" t="str">
        <f t="shared" si="441"/>
        <v/>
      </c>
      <c r="AJ784" s="964"/>
      <c r="AK784" s="964"/>
      <c r="AL784"/>
      <c r="AM784"/>
      <c r="AN784"/>
      <c r="AO784"/>
      <c r="AP784"/>
      <c r="AQ784"/>
      <c r="AR784"/>
      <c r="AS784"/>
      <c r="AT784"/>
      <c r="AU784"/>
      <c r="AV784"/>
      <c r="AW784" s="9"/>
      <c r="AX784" s="9"/>
      <c r="AY784"/>
      <c r="AZ784"/>
      <c r="BA784"/>
      <c r="BB784"/>
      <c r="BC784"/>
      <c r="BD784"/>
      <c r="BE784"/>
      <c r="BF784"/>
      <c r="BG784"/>
      <c r="BH784"/>
      <c r="BI784"/>
      <c r="BJ784"/>
      <c r="BK784"/>
      <c r="BL784"/>
      <c r="BM784"/>
      <c r="BN784"/>
      <c r="BO784"/>
      <c r="BP784"/>
      <c r="BQ784"/>
      <c r="BR784"/>
      <c r="BS784"/>
      <c r="BT784"/>
      <c r="BU784"/>
      <c r="BV784"/>
      <c r="BW784"/>
      <c r="BX784"/>
      <c r="BY784"/>
      <c r="BZ784"/>
      <c r="CA784" s="1396"/>
      <c r="CB784" s="1396"/>
      <c r="CC784"/>
      <c r="CD784"/>
      <c r="CE784"/>
    </row>
    <row r="785" spans="1:83" ht="13.5" thickBot="1" x14ac:dyDescent="0.25">
      <c r="A785"/>
      <c r="B785" s="1"/>
      <c r="C785"/>
      <c r="D785"/>
      <c r="E785"/>
      <c r="F785"/>
      <c r="G785" s="1"/>
      <c r="H785" s="1"/>
      <c r="I785"/>
      <c r="J785"/>
      <c r="K785"/>
      <c r="L785"/>
      <c r="M785"/>
      <c r="N785"/>
      <c r="O785"/>
      <c r="P785"/>
      <c r="Q785"/>
      <c r="S785"/>
      <c r="T785"/>
      <c r="U785"/>
      <c r="V785"/>
      <c r="W785" s="1"/>
      <c r="X785" s="1"/>
      <c r="Y785" s="1"/>
      <c r="Z785"/>
      <c r="AB785" s="964"/>
      <c r="AC785" s="964"/>
      <c r="AD785" s="969"/>
      <c r="AE785" s="969"/>
      <c r="AF785" s="964"/>
      <c r="AG785" s="970"/>
      <c r="AH785" s="964"/>
      <c r="AI785" s="969"/>
      <c r="AJ785" s="964"/>
      <c r="AK785" s="963"/>
      <c r="AL785" s="16"/>
      <c r="AM785" s="16"/>
      <c r="AN785" s="16"/>
      <c r="AO785" s="16"/>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s="1396"/>
      <c r="CB785" s="1396"/>
      <c r="CC785"/>
      <c r="CD785"/>
      <c r="CE785"/>
    </row>
    <row r="786" spans="1:83" ht="13.5" thickBot="1" x14ac:dyDescent="0.25">
      <c r="A786"/>
      <c r="B786" s="282" t="str">
        <f>N_Group_15</f>
        <v>Poule de 15</v>
      </c>
      <c r="C786" s="283"/>
      <c r="D786" s="283"/>
      <c r="E786" s="283"/>
      <c r="F786" s="283"/>
      <c r="G786" s="283"/>
      <c r="H786" s="283"/>
      <c r="I786" s="283"/>
      <c r="J786" s="283"/>
      <c r="K786" s="283"/>
      <c r="L786" s="283"/>
      <c r="M786" s="283"/>
      <c r="N786" s="283"/>
      <c r="O786" s="283"/>
      <c r="P786" s="283"/>
      <c r="Q786" s="283"/>
      <c r="R786" s="357"/>
      <c r="S786" s="283"/>
      <c r="T786" s="283"/>
      <c r="U786" s="283"/>
      <c r="V786" s="283"/>
      <c r="W786" s="992"/>
      <c r="X786" s="992"/>
      <c r="Y786" s="992"/>
      <c r="Z786" s="283"/>
      <c r="AA786" s="283"/>
      <c r="AB786" s="965"/>
      <c r="AC786" s="965"/>
      <c r="AD786" s="965"/>
      <c r="AE786" s="966"/>
      <c r="AF786" s="966"/>
      <c r="AG786" s="966"/>
      <c r="AH786" s="966"/>
      <c r="AI786" s="966"/>
      <c r="AJ786" s="966"/>
      <c r="AK786" s="965"/>
      <c r="AL786" s="283"/>
      <c r="AM786" s="282" t="str">
        <f>B786</f>
        <v>Poule de 15</v>
      </c>
      <c r="AN786" s="283"/>
      <c r="AO786" s="283"/>
      <c r="AP786" s="283"/>
      <c r="AQ786" s="283"/>
      <c r="AR786" s="283"/>
      <c r="AS786" s="283"/>
      <c r="AT786" s="283"/>
      <c r="AU786" s="283"/>
      <c r="AV786" s="283"/>
      <c r="AW786" s="283"/>
      <c r="AX786" s="283"/>
      <c r="AY786" s="283"/>
      <c r="AZ786" s="283"/>
      <c r="BA786" s="283"/>
      <c r="BB786" s="283"/>
      <c r="BC786" s="283"/>
      <c r="BD786" s="283"/>
      <c r="BE786" s="283"/>
      <c r="BF786" s="283"/>
      <c r="BG786" s="283"/>
      <c r="BH786" s="283"/>
      <c r="BI786" s="283"/>
      <c r="BJ786" s="283"/>
      <c r="BK786" s="283"/>
      <c r="BL786" s="283"/>
      <c r="BM786" s="283"/>
      <c r="BN786" s="283"/>
      <c r="BO786" s="283"/>
      <c r="BP786" s="283"/>
      <c r="BQ786" s="283"/>
      <c r="BR786" s="283"/>
      <c r="BS786" s="283"/>
      <c r="BT786" s="283"/>
      <c r="BU786" s="283"/>
      <c r="BV786" s="283"/>
      <c r="BW786" s="283"/>
      <c r="BX786" s="283"/>
      <c r="BY786" s="283"/>
      <c r="BZ786"/>
      <c r="CA786" s="1396"/>
      <c r="CB786" s="1396"/>
      <c r="CC786" s="284"/>
      <c r="CD786"/>
      <c r="CE786"/>
    </row>
    <row r="787" spans="1:83" ht="13.5" outlineLevel="1" thickBot="1" x14ac:dyDescent="0.25">
      <c r="A787"/>
      <c r="B787" s="1"/>
      <c r="C787"/>
      <c r="D787"/>
      <c r="E787"/>
      <c r="F787"/>
      <c r="G787" s="1"/>
      <c r="H787" s="1"/>
      <c r="I787"/>
      <c r="J787"/>
      <c r="K787"/>
      <c r="L787"/>
      <c r="M787"/>
      <c r="N787"/>
      <c r="O787"/>
      <c r="P787"/>
      <c r="Q787"/>
      <c r="S787"/>
      <c r="T787"/>
      <c r="U787"/>
      <c r="V787"/>
      <c r="W787" s="1"/>
      <c r="X787" s="1"/>
      <c r="Y787" s="1"/>
      <c r="Z787"/>
      <c r="AB787" s="964"/>
      <c r="AC787" s="964"/>
      <c r="AD787" s="969"/>
      <c r="AE787" s="969"/>
      <c r="AF787" s="964"/>
      <c r="AG787" s="970"/>
      <c r="AH787" s="964"/>
      <c r="AI787" s="969"/>
      <c r="AJ787" s="964"/>
      <c r="AK787" s="963"/>
      <c r="AL787" s="16"/>
      <c r="AM787" s="16"/>
      <c r="AN787" s="16"/>
      <c r="AO787" s="16"/>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s="1396"/>
      <c r="CB787" s="1396"/>
      <c r="CC787"/>
      <c r="CD787"/>
      <c r="CE787"/>
    </row>
    <row r="788" spans="1:83" ht="13.5" outlineLevel="1" thickBot="1" x14ac:dyDescent="0.25">
      <c r="A788"/>
      <c r="B788" s="18" t="str">
        <f>N_Tirage</f>
        <v>Tirage</v>
      </c>
      <c r="C788" s="971" t="s">
        <v>787</v>
      </c>
      <c r="D788" s="972" t="s">
        <v>831</v>
      </c>
      <c r="E788" s="972" t="s">
        <v>832</v>
      </c>
      <c r="F788" s="973" t="s">
        <v>833</v>
      </c>
      <c r="G788" s="22" t="str">
        <f>N_Joueurs</f>
        <v>Joueurs</v>
      </c>
      <c r="H788" s="3" t="str">
        <f>N_RankPoints</f>
        <v>Pt. Clas.</v>
      </c>
      <c r="I788" s="22" t="str">
        <f>N_Diff_Part</f>
        <v>Diff-Part</v>
      </c>
      <c r="J788" s="983" t="s">
        <v>788</v>
      </c>
      <c r="K788" s="984" t="s">
        <v>789</v>
      </c>
      <c r="L788" s="972" t="s">
        <v>790</v>
      </c>
      <c r="M788" s="972" t="s">
        <v>791</v>
      </c>
      <c r="N788" s="972" t="s">
        <v>792</v>
      </c>
      <c r="O788" s="972" t="s">
        <v>793</v>
      </c>
      <c r="P788" s="972" t="s">
        <v>794</v>
      </c>
      <c r="Q788" s="973" t="s">
        <v>781</v>
      </c>
      <c r="R788"/>
      <c r="S788"/>
      <c r="T788"/>
      <c r="U788"/>
      <c r="V788"/>
      <c r="W788" s="1"/>
      <c r="X788" s="1"/>
      <c r="Y788" s="1"/>
      <c r="Z788"/>
      <c r="AB788" s="964"/>
      <c r="AC788" s="964"/>
      <c r="AD788" s="964"/>
      <c r="AE788" s="964" t="str">
        <f>N_G</f>
        <v>G</v>
      </c>
      <c r="AF788" s="964" t="str">
        <f>N_N</f>
        <v>N</v>
      </c>
      <c r="AG788" s="964" t="str">
        <f>N_N</f>
        <v>N</v>
      </c>
      <c r="AH788" s="964" t="str">
        <f>N_P</f>
        <v>P</v>
      </c>
      <c r="AI788" s="964" t="s">
        <v>1560</v>
      </c>
      <c r="AJ788" s="964" t="s">
        <v>3714</v>
      </c>
      <c r="AK788" s="964" t="str">
        <f>IF(COUNTA(W806:W938)=0,"","OK")</f>
        <v/>
      </c>
      <c r="AL788"/>
      <c r="AM788" s="16"/>
      <c r="AN788" s="24" t="str">
        <f>N_Cla.</f>
        <v>Cla.</v>
      </c>
      <c r="AO788" s="4" t="str">
        <f>N_Joueurs</f>
        <v>Joueurs</v>
      </c>
      <c r="AP788" s="25" t="str">
        <f>N_Pts</f>
        <v>Pts</v>
      </c>
      <c r="AQ788" s="25" t="str">
        <f>N_J</f>
        <v>J</v>
      </c>
      <c r="AR788" s="26" t="str">
        <f>N_G</f>
        <v>G</v>
      </c>
      <c r="AS788" s="26" t="str">
        <f>N_N</f>
        <v>N</v>
      </c>
      <c r="AT788" s="26" t="str">
        <f>N_P</f>
        <v>P</v>
      </c>
      <c r="AU788" s="26" t="str">
        <f>N_BP</f>
        <v>BP</v>
      </c>
      <c r="AV788" s="26" t="str">
        <f>N_BC</f>
        <v>BC</v>
      </c>
      <c r="AW788" s="5" t="str">
        <f>N_Diff.</f>
        <v>Diff.</v>
      </c>
      <c r="AX788"/>
      <c r="AY788"/>
      <c r="AZ788" s="1"/>
      <c r="BA788" s="1"/>
      <c r="BB788"/>
      <c r="BC788" s="6"/>
      <c r="BD788"/>
      <c r="BE788" s="1"/>
      <c r="BF788"/>
      <c r="BG788" s="16"/>
      <c r="BH788"/>
      <c r="BI788"/>
      <c r="BJ788"/>
      <c r="BK788"/>
      <c r="BL788"/>
      <c r="BM788"/>
      <c r="BN788"/>
      <c r="BO788"/>
      <c r="BP788"/>
      <c r="BQ788"/>
      <c r="BR788"/>
      <c r="BS788"/>
      <c r="BT788"/>
      <c r="BU788"/>
      <c r="BV788"/>
      <c r="BW788"/>
      <c r="BX788"/>
      <c r="BY788"/>
      <c r="BZ788"/>
      <c r="CA788" s="1396"/>
      <c r="CB788" s="1396"/>
      <c r="CC788"/>
      <c r="CD788"/>
      <c r="CE788"/>
    </row>
    <row r="789" spans="1:83" outlineLevel="1" x14ac:dyDescent="0.2">
      <c r="A789"/>
      <c r="B789" s="941">
        <v>1</v>
      </c>
      <c r="C789" s="974" t="str">
        <f>IF(AK788="","",RANK(F789,F789:F803)*1000+ROW())</f>
        <v/>
      </c>
      <c r="D789" s="975" t="str">
        <f>IF(L789="","",CritClassInd1_Points*J789+CritClassInd1_Matches*L789+CritClassInd1_Attaque*O789+CritClassInd1_DiffButs*Q789)</f>
        <v/>
      </c>
      <c r="E789" s="975" t="str">
        <f>IF(L789="","",Nb_Diff_Part(D789,D789:D803,G789,G789:G803,AI806:AI938)*CritClassInd_DiffPart+Nb_Goal_Part(D789,D789:D803,G789,G789:G803,V806:Z938)*CritClassInd_GoalPart+Nb_Score_Part(D789,D789:D803,G789,G789:G803,V806:Z938)*CritClassInd_ScorePart)</f>
        <v/>
      </c>
      <c r="F789" s="976" t="str">
        <f>IF(L789="","",D789+E789+CritClassInd2_Points*J789+CritClassInd2_Matches*L789+CritClassInd2_Attaque*O789+CritClassInd2_DiffButs*Q789+CritClassInd_Ranking*H789+I789)</f>
        <v/>
      </c>
      <c r="G789" s="942" t="s">
        <v>2712</v>
      </c>
      <c r="H789" s="499">
        <f t="shared" ref="H789:H803" si="442">GMFTRANKINGPOINTS(G789,Particular_Category)</f>
        <v>0</v>
      </c>
      <c r="I789" s="942"/>
      <c r="J789" s="974" t="str">
        <f>IF(AK788="","",(L789*Points_Victoire)+M789*Points_Null)</f>
        <v/>
      </c>
      <c r="K789" s="985" t="str">
        <f t="shared" ref="K789:K803" si="443">IF(L789="","",SUM(L789:N789))</f>
        <v/>
      </c>
      <c r="L789" s="986" t="str">
        <f>IF(AK788="","",COUNTIF(AE806:AE938,G789))</f>
        <v/>
      </c>
      <c r="M789" s="986" t="str">
        <f>IF(AK788="","",COUNTIF(AF806:AG938,G789))</f>
        <v/>
      </c>
      <c r="N789" s="986" t="str">
        <f>IF(AK788="","",COUNTIF(AH806:AH938,G789))</f>
        <v/>
      </c>
      <c r="O789" s="986" t="str">
        <f>IF(AK788="","",SUMIF(V806:V938,G789,AB806:AB938)+SUMIF(Z806:Z938,G789,AD806:AD938))</f>
        <v/>
      </c>
      <c r="P789" s="986" t="str">
        <f>IF(AK788="","",SUMIF(V806:V938,G789,AD806:AD938)+SUMIF(Z806:Z938,G789,AB806:AB938))</f>
        <v/>
      </c>
      <c r="Q789" s="987" t="str">
        <f>IF(AK788="","",O789-P789)</f>
        <v/>
      </c>
      <c r="R789"/>
      <c r="S789"/>
      <c r="T789"/>
      <c r="U789"/>
      <c r="V789"/>
      <c r="W789" s="1"/>
      <c r="X789" s="1"/>
      <c r="Y789" s="1"/>
      <c r="Z789"/>
      <c r="AB789" s="964"/>
      <c r="AC789" s="964"/>
      <c r="AD789" s="964"/>
      <c r="AE789" s="964"/>
      <c r="AF789" s="964"/>
      <c r="AG789" s="964"/>
      <c r="AH789" s="964"/>
      <c r="AI789" s="964"/>
      <c r="AJ789" s="964"/>
      <c r="AK789" s="968" t="str">
        <f>IF(AK788="","",SMALL(C789:C803,1))</f>
        <v/>
      </c>
      <c r="AL789"/>
      <c r="AM789" s="16"/>
      <c r="AN789" s="943" t="str">
        <f>IF(AK788="","",INT(AK789/1000))</f>
        <v/>
      </c>
      <c r="AO789" s="33" t="str">
        <f>IF(AK788="","",VLOOKUP(AK789,C789:Q803,5,FALSE))</f>
        <v/>
      </c>
      <c r="AP789" s="33" t="str">
        <f>VLOOKUP(AK789,C789:Q803,8,FALSE)</f>
        <v/>
      </c>
      <c r="AQ789" s="33" t="str">
        <f>VLOOKUP(AK789,C789:Q803,9,FALSE)</f>
        <v/>
      </c>
      <c r="AR789" s="33" t="str">
        <f>VLOOKUP(AK789,C789:Q803,10,FALSE)</f>
        <v/>
      </c>
      <c r="AS789" s="33" t="str">
        <f>VLOOKUP(AK789,C789:Q803,11,FALSE)</f>
        <v/>
      </c>
      <c r="AT789" s="33" t="str">
        <f>VLOOKUP(AK789,C789:Q803,12,FALSE)</f>
        <v/>
      </c>
      <c r="AU789" s="33" t="str">
        <f>VLOOKUP(AK789,C789:Q803,13,FALSE)</f>
        <v/>
      </c>
      <c r="AV789" s="33" t="str">
        <f>VLOOKUP(AK789,C789:Q803,14,FALSE)</f>
        <v/>
      </c>
      <c r="AW789" s="944" t="str">
        <f>VLOOKUP(AK789,C789:Q803,15,FALSE)</f>
        <v/>
      </c>
      <c r="AX789"/>
      <c r="AY789"/>
      <c r="AZ789" s="1"/>
      <c r="BA789" s="1"/>
      <c r="BB789"/>
      <c r="BC789" s="6"/>
      <c r="BD789"/>
      <c r="BE789" s="1"/>
      <c r="BF789"/>
      <c r="BG789" s="16"/>
      <c r="BH789"/>
      <c r="BI789"/>
      <c r="BJ789"/>
      <c r="BK789"/>
      <c r="BL789"/>
      <c r="BM789"/>
      <c r="BN789"/>
      <c r="BO789"/>
      <c r="BP789"/>
      <c r="BQ789"/>
      <c r="BR789"/>
      <c r="BS789"/>
      <c r="BT789"/>
      <c r="BU789"/>
      <c r="BV789"/>
      <c r="BW789"/>
      <c r="BX789"/>
      <c r="BY789"/>
      <c r="BZ789"/>
      <c r="CA789" s="1396"/>
      <c r="CB789" s="1396"/>
      <c r="CC789"/>
      <c r="CD789"/>
      <c r="CE789"/>
    </row>
    <row r="790" spans="1:83" outlineLevel="1" x14ac:dyDescent="0.2">
      <c r="A790"/>
      <c r="B790" s="945">
        <v>2</v>
      </c>
      <c r="C790" s="977" t="str">
        <f>IF(AK788="","",RANK(F790,F789:F803)*1000+ROW())</f>
        <v/>
      </c>
      <c r="D790" s="978" t="str">
        <f t="shared" ref="D790:D803" si="444">IF(L790="","",CritClassInd1_Points*J790+CritClassInd1_Matches*L790+CritClassInd1_Attaque*O790+CritClassInd1_DiffButs*Q790)</f>
        <v/>
      </c>
      <c r="E790" s="978" t="str">
        <f>IF(L790="","",Nb_Diff_Part(D790,D789:D803,G790,G789:G803,AI806:AI938)*CritClassInd_DiffPart+Nb_Goal_Part(D790,D789:D803,G790,G789:G803,V806:Z938)*CritClassInd_GoalPart+Nb_Score_Part(D790,D789:D803,G790,G789:G803,V806:Z938)*CritClassInd_ScorePart)</f>
        <v/>
      </c>
      <c r="F790" s="979" t="str">
        <f t="shared" ref="F790:F803" si="445">IF(L790="","",D790+E790+CritClassInd2_Points*J790+CritClassInd2_Matches*L790+CritClassInd2_Attaque*O790+CritClassInd2_DiffButs*Q790+CritClassInd_Ranking*H790+I790)</f>
        <v/>
      </c>
      <c r="G790" s="39" t="s">
        <v>3911</v>
      </c>
      <c r="H790" s="501">
        <f t="shared" si="442"/>
        <v>0</v>
      </c>
      <c r="I790" s="39"/>
      <c r="J790" s="977" t="str">
        <f>IF(AK788="","",(L790*Points_Victoire)+M790*Points_Null)</f>
        <v/>
      </c>
      <c r="K790" s="988" t="str">
        <f t="shared" si="443"/>
        <v/>
      </c>
      <c r="L790" s="988" t="str">
        <f>IF(AK788="","",COUNTIF(AE806:AE938,G790))</f>
        <v/>
      </c>
      <c r="M790" s="988" t="str">
        <f>IF(AK788="","",COUNTIF(AF806:AG938,G790))</f>
        <v/>
      </c>
      <c r="N790" s="988" t="str">
        <f>IF(AK788="","",COUNTIF(AH806:AH938,G790))</f>
        <v/>
      </c>
      <c r="O790" s="988" t="str">
        <f>IF(AK788="","",SUMIF(V806:V938,G790,AB806:AB938)+SUMIF(Z806:Z938,G790,AD806:AD938))</f>
        <v/>
      </c>
      <c r="P790" s="988" t="str">
        <f>IF(AK788="","",SUMIF(V806:V938,G790,AD806:AD938)+SUMIF(Z806:Z938,G790,AB806:AB938))</f>
        <v/>
      </c>
      <c r="Q790" s="989" t="str">
        <f>IF(AK788="","",O790-P790)</f>
        <v/>
      </c>
      <c r="R790"/>
      <c r="S790"/>
      <c r="T790"/>
      <c r="U790"/>
      <c r="V790"/>
      <c r="W790" s="1"/>
      <c r="X790" s="1"/>
      <c r="Y790" s="1"/>
      <c r="Z790"/>
      <c r="AB790" s="964"/>
      <c r="AC790" s="964"/>
      <c r="AD790" s="964"/>
      <c r="AE790" s="964"/>
      <c r="AF790" s="964"/>
      <c r="AG790" s="964"/>
      <c r="AH790" s="964"/>
      <c r="AI790" s="964"/>
      <c r="AJ790" s="964"/>
      <c r="AK790" s="968" t="str">
        <f>IF(AK788="","",SMALL(C789:C803,2))</f>
        <v/>
      </c>
      <c r="AL790"/>
      <c r="AM790" s="16"/>
      <c r="AN790" s="946" t="str">
        <f>IF(AK788="","",INT(AK790/1000))</f>
        <v/>
      </c>
      <c r="AO790" s="42" t="str">
        <f>IF(AK788="","",VLOOKUP(AK790,C789:Q803,5,FALSE))</f>
        <v/>
      </c>
      <c r="AP790" s="42" t="str">
        <f>VLOOKUP(AK790,C789:Q803,8,FALSE)</f>
        <v/>
      </c>
      <c r="AQ790" s="42" t="str">
        <f>VLOOKUP(AK790,C789:Q803,9,FALSE)</f>
        <v/>
      </c>
      <c r="AR790" s="42" t="str">
        <f>VLOOKUP(AK790,C789:Q803,10,FALSE)</f>
        <v/>
      </c>
      <c r="AS790" s="42" t="str">
        <f>VLOOKUP(AK790,C789:Q803,11,FALSE)</f>
        <v/>
      </c>
      <c r="AT790" s="42" t="str">
        <f>VLOOKUP(AK790,C789:Q803,12,FALSE)</f>
        <v/>
      </c>
      <c r="AU790" s="42" t="str">
        <f>VLOOKUP(AK790,C789:Q803,13,FALSE)</f>
        <v/>
      </c>
      <c r="AV790" s="42" t="str">
        <f>VLOOKUP(AK790,C789:Q803,14,FALSE)</f>
        <v/>
      </c>
      <c r="AW790" s="947" t="str">
        <f>VLOOKUP(AK790,C789:Q803,15,FALSE)</f>
        <v/>
      </c>
      <c r="AX790"/>
      <c r="AY790"/>
      <c r="AZ790" s="1"/>
      <c r="BA790" s="1"/>
      <c r="BB790"/>
      <c r="BC790" s="6"/>
      <c r="BD790"/>
      <c r="BE790" s="1"/>
      <c r="BF790"/>
      <c r="BG790" s="16"/>
      <c r="BH790"/>
      <c r="BI790"/>
      <c r="BJ790"/>
      <c r="BK790"/>
      <c r="BL790"/>
      <c r="BM790"/>
      <c r="BN790"/>
      <c r="BO790"/>
      <c r="BP790"/>
      <c r="BQ790"/>
      <c r="BR790"/>
      <c r="BS790"/>
      <c r="BT790"/>
      <c r="BU790"/>
      <c r="BV790"/>
      <c r="BW790"/>
      <c r="BX790"/>
      <c r="BY790"/>
      <c r="BZ790"/>
      <c r="CA790" s="1396"/>
      <c r="CB790" s="1396"/>
      <c r="CC790"/>
      <c r="CD790"/>
      <c r="CE790"/>
    </row>
    <row r="791" spans="1:83" outlineLevel="1" x14ac:dyDescent="0.2">
      <c r="A791"/>
      <c r="B791" s="945">
        <v>3</v>
      </c>
      <c r="C791" s="977" t="str">
        <f>IF(AK788="","",RANK(F791,F789:F803)*1000+ROW())</f>
        <v/>
      </c>
      <c r="D791" s="978" t="str">
        <f t="shared" si="444"/>
        <v/>
      </c>
      <c r="E791" s="978" t="str">
        <f>IF(L791="","",Nb_Diff_Part(D791,D789:D803,G791,G789:G803,AI806:AI938)*CritClassInd_DiffPart+Nb_Goal_Part(D791,D789:D803,G791,G789:G803,V806:Z938)*CritClassInd_GoalPart+Nb_Score_Part(D791,D789:D803,G791,G789:G803,V806:Z938)*CritClassInd_ScorePart)</f>
        <v/>
      </c>
      <c r="F791" s="979" t="str">
        <f t="shared" si="445"/>
        <v/>
      </c>
      <c r="G791" s="39" t="s">
        <v>3912</v>
      </c>
      <c r="H791" s="501">
        <f t="shared" si="442"/>
        <v>0</v>
      </c>
      <c r="I791" s="39"/>
      <c r="J791" s="977" t="str">
        <f>IF(AK788="","",(L791*Points_Victoire)+M791*Points_Null)</f>
        <v/>
      </c>
      <c r="K791" s="988" t="str">
        <f t="shared" si="443"/>
        <v/>
      </c>
      <c r="L791" s="988" t="str">
        <f>IF(AK788="","",COUNTIF(AE806:AE938,G791))</f>
        <v/>
      </c>
      <c r="M791" s="988" t="str">
        <f>IF(AK788="","",COUNTIF(AF806:AG938,G791))</f>
        <v/>
      </c>
      <c r="N791" s="988" t="str">
        <f>IF(AK788="","",COUNTIF(AH806:AH938,G791))</f>
        <v/>
      </c>
      <c r="O791" s="988" t="str">
        <f>IF(AK788="","",SUMIF(V806:V938,G791,AB806:AB938)+SUMIF(Z806:Z938,G791,AD806:AD938))</f>
        <v/>
      </c>
      <c r="P791" s="988" t="str">
        <f>IF(AK788="","",SUMIF(V806:V938,G791,AD806:AD938)+SUMIF(Z806:Z938,G791,AB806:AB938))</f>
        <v/>
      </c>
      <c r="Q791" s="989" t="str">
        <f>IF(AK788="","",O791-P791)</f>
        <v/>
      </c>
      <c r="R791"/>
      <c r="S791"/>
      <c r="T791"/>
      <c r="U791"/>
      <c r="V791"/>
      <c r="W791" s="1"/>
      <c r="X791" s="1"/>
      <c r="Y791" s="1"/>
      <c r="Z791"/>
      <c r="AB791" s="964"/>
      <c r="AC791" s="964"/>
      <c r="AD791" s="964"/>
      <c r="AE791" s="964"/>
      <c r="AF791" s="964"/>
      <c r="AG791" s="964"/>
      <c r="AH791" s="964"/>
      <c r="AI791" s="964"/>
      <c r="AJ791" s="964"/>
      <c r="AK791" s="968" t="str">
        <f>IF(AK788="","",SMALL(C789:C803,3))</f>
        <v/>
      </c>
      <c r="AL791"/>
      <c r="AM791" s="16"/>
      <c r="AN791" s="946" t="str">
        <f>IF(AK788="","",INT(AK791/1000))</f>
        <v/>
      </c>
      <c r="AO791" s="42" t="str">
        <f>IF(AK788="","",VLOOKUP(AK791,C789:Q803,5,FALSE))</f>
        <v/>
      </c>
      <c r="AP791" s="42" t="str">
        <f>VLOOKUP(AK791,C789:Q803,8,FALSE)</f>
        <v/>
      </c>
      <c r="AQ791" s="42" t="str">
        <f>VLOOKUP(AK791,C789:Q803,9,FALSE)</f>
        <v/>
      </c>
      <c r="AR791" s="42" t="str">
        <f>VLOOKUP(AK791,C789:Q803,10,FALSE)</f>
        <v/>
      </c>
      <c r="AS791" s="42" t="str">
        <f>VLOOKUP(AK791,C789:Q803,11,FALSE)</f>
        <v/>
      </c>
      <c r="AT791" s="42" t="str">
        <f>VLOOKUP(AK791,C789:Q803,12,FALSE)</f>
        <v/>
      </c>
      <c r="AU791" s="42" t="str">
        <f>VLOOKUP(AK791,C789:Q803,13,FALSE)</f>
        <v/>
      </c>
      <c r="AV791" s="42" t="str">
        <f>VLOOKUP(AK791,C789:Q803,14,FALSE)</f>
        <v/>
      </c>
      <c r="AW791" s="947" t="str">
        <f>VLOOKUP(AK791,C789:Q803,15,FALSE)</f>
        <v/>
      </c>
      <c r="AX791"/>
      <c r="AY791"/>
      <c r="AZ791" s="1"/>
      <c r="BA791" s="1"/>
      <c r="BB791"/>
      <c r="BC791" s="6"/>
      <c r="BD791"/>
      <c r="BE791" s="1"/>
      <c r="BF791"/>
      <c r="BG791" s="16"/>
      <c r="BH791"/>
      <c r="BI791"/>
      <c r="BJ791"/>
      <c r="BK791"/>
      <c r="BL791"/>
      <c r="BM791"/>
      <c r="BN791"/>
      <c r="BO791"/>
      <c r="BP791"/>
      <c r="BQ791"/>
      <c r="BR791"/>
      <c r="BS791"/>
      <c r="BT791"/>
      <c r="BU791"/>
      <c r="BV791"/>
      <c r="BW791"/>
      <c r="BX791"/>
      <c r="BY791"/>
      <c r="BZ791"/>
      <c r="CA791" s="1396"/>
      <c r="CB791" s="1396"/>
      <c r="CC791"/>
      <c r="CD791"/>
      <c r="CE791"/>
    </row>
    <row r="792" spans="1:83" outlineLevel="1" x14ac:dyDescent="0.2">
      <c r="A792"/>
      <c r="B792" s="945">
        <v>4</v>
      </c>
      <c r="C792" s="977" t="str">
        <f>IF(AK788="","",RANK(F792,F789:F803)*1000+ROW())</f>
        <v/>
      </c>
      <c r="D792" s="978" t="str">
        <f t="shared" si="444"/>
        <v/>
      </c>
      <c r="E792" s="978" t="str">
        <f>IF(L792="","",Nb_Diff_Part(D792,D789:D803,G792,G789:G803,AI806:AI938)*CritClassInd_DiffPart+Nb_Goal_Part(D792,D789:D803,G792,G789:G803,V806:Z938)*CritClassInd_GoalPart+Nb_Score_Part(D792,D789:D803,G792,G789:G803,V806:Z938)*CritClassInd_ScorePart)</f>
        <v/>
      </c>
      <c r="F792" s="979" t="str">
        <f t="shared" si="445"/>
        <v/>
      </c>
      <c r="G792" s="39" t="s">
        <v>2710</v>
      </c>
      <c r="H792" s="501">
        <f t="shared" si="442"/>
        <v>0</v>
      </c>
      <c r="I792" s="39"/>
      <c r="J792" s="977" t="str">
        <f>IF(AK788="","",(L792*Points_Victoire)+M792*Points_Null)</f>
        <v/>
      </c>
      <c r="K792" s="988" t="str">
        <f t="shared" si="443"/>
        <v/>
      </c>
      <c r="L792" s="988" t="str">
        <f>IF(AK788="","",COUNTIF(AE806:AE938,G792))</f>
        <v/>
      </c>
      <c r="M792" s="988" t="str">
        <f>IF(AK788="","",COUNTIF(AF806:AG938,G792))</f>
        <v/>
      </c>
      <c r="N792" s="988" t="str">
        <f>IF(AK788="","",COUNTIF(AH806:AH938,G792))</f>
        <v/>
      </c>
      <c r="O792" s="988" t="str">
        <f>IF(AK788="","",SUMIF(V806:V938,G792,AB806:AB938)+SUMIF(Z806:Z938,G792,AD806:AD938))</f>
        <v/>
      </c>
      <c r="P792" s="988" t="str">
        <f>IF(AK788="","",SUMIF(V806:V938,G792,AD806:AD938)+SUMIF(Z806:Z938,G792,AB806:AB938))</f>
        <v/>
      </c>
      <c r="Q792" s="989" t="str">
        <f>IF(AK788="","",O792-P792)</f>
        <v/>
      </c>
      <c r="R792"/>
      <c r="S792"/>
      <c r="T792"/>
      <c r="U792"/>
      <c r="V792"/>
      <c r="W792" s="1"/>
      <c r="X792" s="1"/>
      <c r="Y792" s="1"/>
      <c r="Z792"/>
      <c r="AB792" s="964"/>
      <c r="AC792" s="964"/>
      <c r="AD792" s="964"/>
      <c r="AE792" s="964"/>
      <c r="AF792" s="964"/>
      <c r="AG792" s="964"/>
      <c r="AH792" s="964"/>
      <c r="AI792" s="964"/>
      <c r="AJ792" s="964"/>
      <c r="AK792" s="968" t="str">
        <f>IF(AK788="","",SMALL(C789:C803,4))</f>
        <v/>
      </c>
      <c r="AL792"/>
      <c r="AM792" s="16"/>
      <c r="AN792" s="946" t="str">
        <f>IF(AK788="","",INT(AK792/1000))</f>
        <v/>
      </c>
      <c r="AO792" s="42" t="str">
        <f>IF(AK788="","",VLOOKUP(AK792,C789:Q803,5,FALSE))</f>
        <v/>
      </c>
      <c r="AP792" s="42" t="str">
        <f>VLOOKUP(AK792,C789:Q803,8,FALSE)</f>
        <v/>
      </c>
      <c r="AQ792" s="42" t="str">
        <f>VLOOKUP(AK792,C789:Q803,9,FALSE)</f>
        <v/>
      </c>
      <c r="AR792" s="42" t="str">
        <f>VLOOKUP(AK792,C789:Q803,10,FALSE)</f>
        <v/>
      </c>
      <c r="AS792" s="42" t="str">
        <f>VLOOKUP(AK792,C789:Q803,11,FALSE)</f>
        <v/>
      </c>
      <c r="AT792" s="42" t="str">
        <f>VLOOKUP(AK792,C789:Q803,12,FALSE)</f>
        <v/>
      </c>
      <c r="AU792" s="42" t="str">
        <f>VLOOKUP(AK792,C789:Q803,13,FALSE)</f>
        <v/>
      </c>
      <c r="AV792" s="42" t="str">
        <f>VLOOKUP(AK792,C789:Q803,14,FALSE)</f>
        <v/>
      </c>
      <c r="AW792" s="947" t="str">
        <f>VLOOKUP(AK792,C789:Q803,15,FALSE)</f>
        <v/>
      </c>
      <c r="AX792"/>
      <c r="AY792"/>
      <c r="AZ792" s="1"/>
      <c r="BA792" s="1"/>
      <c r="BB792"/>
      <c r="BC792" s="6"/>
      <c r="BD792"/>
      <c r="BE792" s="1"/>
      <c r="BF792"/>
      <c r="BG792" s="16"/>
      <c r="BH792"/>
      <c r="BI792"/>
      <c r="BJ792"/>
      <c r="BK792"/>
      <c r="BL792"/>
      <c r="BM792"/>
      <c r="BN792"/>
      <c r="BO792"/>
      <c r="BP792"/>
      <c r="BQ792"/>
      <c r="BR792"/>
      <c r="BS792"/>
      <c r="BT792"/>
      <c r="BU792"/>
      <c r="BV792"/>
      <c r="BW792"/>
      <c r="BX792"/>
      <c r="BY792"/>
      <c r="BZ792"/>
      <c r="CA792" s="1396"/>
      <c r="CB792" s="1396"/>
      <c r="CC792"/>
      <c r="CD792"/>
      <c r="CE792"/>
    </row>
    <row r="793" spans="1:83" outlineLevel="1" x14ac:dyDescent="0.2">
      <c r="A793"/>
      <c r="B793" s="945">
        <v>5</v>
      </c>
      <c r="C793" s="977" t="str">
        <f>IF(AK788="","",RANK(F793,F789:F803)*1000+ROW())</f>
        <v/>
      </c>
      <c r="D793" s="978" t="str">
        <f t="shared" si="444"/>
        <v/>
      </c>
      <c r="E793" s="978" t="str">
        <f>IF(L793="","",Nb_Diff_Part(D793,D789:D803,G793,G789:G803,AI806:AI938)*CritClassInd_DiffPart+Nb_Goal_Part(D793,D789:D803,G793,G789:G803,V806:Z938)*CritClassInd_GoalPart+Nb_Score_Part(D793,D789:D803,G793,G789:G803,V806:Z938)*CritClassInd_ScorePart)</f>
        <v/>
      </c>
      <c r="F793" s="979" t="str">
        <f t="shared" si="445"/>
        <v/>
      </c>
      <c r="G793" s="39" t="s">
        <v>3913</v>
      </c>
      <c r="H793" s="501">
        <f t="shared" si="442"/>
        <v>0</v>
      </c>
      <c r="I793" s="39"/>
      <c r="J793" s="977" t="str">
        <f>IF(AK788="","",(L793*Points_Victoire)+M793*Points_Null)</f>
        <v/>
      </c>
      <c r="K793" s="988" t="str">
        <f t="shared" si="443"/>
        <v/>
      </c>
      <c r="L793" s="988" t="str">
        <f>IF(AK788="","",COUNTIF(AE806:AE938,G793))</f>
        <v/>
      </c>
      <c r="M793" s="988" t="str">
        <f>IF(AK788="","",COUNTIF(AF806:AG938,G793))</f>
        <v/>
      </c>
      <c r="N793" s="988" t="str">
        <f>IF(AK788="","",COUNTIF(AH806:AH938,G793))</f>
        <v/>
      </c>
      <c r="O793" s="988" t="str">
        <f>IF(AK788="","",SUMIF(V806:V938,G793,AB806:AB938)+SUMIF(Z806:Z938,G793,AD806:AD938))</f>
        <v/>
      </c>
      <c r="P793" s="988" t="str">
        <f>IF(AK788="","",SUMIF(V806:V938,G793,AD806:AD938)+SUMIF(Z806:Z938,G793,AB806:AB938))</f>
        <v/>
      </c>
      <c r="Q793" s="989" t="str">
        <f>IF(AK788="","",O793-P793)</f>
        <v/>
      </c>
      <c r="R793"/>
      <c r="S793"/>
      <c r="T793"/>
      <c r="U793"/>
      <c r="V793"/>
      <c r="W793" s="1"/>
      <c r="X793" s="1"/>
      <c r="Y793" s="1"/>
      <c r="Z793"/>
      <c r="AB793" s="964"/>
      <c r="AC793" s="964"/>
      <c r="AD793" s="964"/>
      <c r="AE793" s="964"/>
      <c r="AF793" s="964"/>
      <c r="AG793" s="964"/>
      <c r="AH793" s="964"/>
      <c r="AI793" s="964"/>
      <c r="AJ793" s="964"/>
      <c r="AK793" s="968" t="str">
        <f>IF(AK788="","",SMALL(C789:C803,5))</f>
        <v/>
      </c>
      <c r="AL793"/>
      <c r="AM793" s="16"/>
      <c r="AN793" s="946" t="str">
        <f>IF(AK788="","",INT(AK793/1000))</f>
        <v/>
      </c>
      <c r="AO793" s="42" t="str">
        <f>IF(AK788="","",VLOOKUP(AK793,C789:Q803,5,FALSE))</f>
        <v/>
      </c>
      <c r="AP793" s="42" t="str">
        <f>VLOOKUP(AK793,C789:Q803,8,FALSE)</f>
        <v/>
      </c>
      <c r="AQ793" s="42" t="str">
        <f>VLOOKUP(AK793,C789:Q803,9,FALSE)</f>
        <v/>
      </c>
      <c r="AR793" s="42" t="str">
        <f>VLOOKUP(AK793,C789:Q803,10,FALSE)</f>
        <v/>
      </c>
      <c r="AS793" s="42" t="str">
        <f>VLOOKUP(AK793,C789:Q803,11,FALSE)</f>
        <v/>
      </c>
      <c r="AT793" s="42" t="str">
        <f>VLOOKUP(AK793,C789:Q803,12,FALSE)</f>
        <v/>
      </c>
      <c r="AU793" s="42" t="str">
        <f>VLOOKUP(AK793,C789:Q803,13,FALSE)</f>
        <v/>
      </c>
      <c r="AV793" s="42" t="str">
        <f>VLOOKUP(AK793,C789:Q803,14,FALSE)</f>
        <v/>
      </c>
      <c r="AW793" s="947" t="str">
        <f>VLOOKUP(AK793,C789:Q803,15,FALSE)</f>
        <v/>
      </c>
      <c r="AX793"/>
      <c r="AY793"/>
      <c r="AZ793" s="1"/>
      <c r="BA793" s="1"/>
      <c r="BB793"/>
      <c r="BC793" s="6"/>
      <c r="BD793"/>
      <c r="BE793" s="1"/>
      <c r="BF793"/>
      <c r="BG793" s="16"/>
      <c r="BH793"/>
      <c r="BI793"/>
      <c r="BJ793"/>
      <c r="BK793"/>
      <c r="BL793"/>
      <c r="BM793"/>
      <c r="BN793"/>
      <c r="BO793"/>
      <c r="BP793"/>
      <c r="BQ793"/>
      <c r="BR793"/>
      <c r="BS793"/>
      <c r="BT793"/>
      <c r="BU793"/>
      <c r="BV793"/>
      <c r="BW793"/>
      <c r="BX793"/>
      <c r="BY793"/>
      <c r="BZ793"/>
      <c r="CA793" s="1396"/>
      <c r="CB793" s="1396"/>
      <c r="CC793"/>
      <c r="CD793"/>
      <c r="CE793"/>
    </row>
    <row r="794" spans="1:83" outlineLevel="1" x14ac:dyDescent="0.2">
      <c r="A794"/>
      <c r="B794" s="945">
        <v>6</v>
      </c>
      <c r="C794" s="977" t="str">
        <f>IF(AK788="","",RANK(F794,F789:F803)*1000+ROW())</f>
        <v/>
      </c>
      <c r="D794" s="978" t="str">
        <f t="shared" si="444"/>
        <v/>
      </c>
      <c r="E794" s="978" t="str">
        <f>IF(L794="","",Nb_Diff_Part(D794,D789:D803,G794,G789:G803,AI806:AI938)*CritClassInd_DiffPart+Nb_Goal_Part(D794,D789:D803,G794,G789:G803,V806:Z938)*CritClassInd_GoalPart+Nb_Score_Part(D794,D789:D803,G794,G789:G803,V806:Z938)*CritClassInd_ScorePart)</f>
        <v/>
      </c>
      <c r="F794" s="979" t="str">
        <f t="shared" si="445"/>
        <v/>
      </c>
      <c r="G794" s="39" t="s">
        <v>2711</v>
      </c>
      <c r="H794" s="501">
        <f t="shared" si="442"/>
        <v>0</v>
      </c>
      <c r="I794" s="39"/>
      <c r="J794" s="977" t="str">
        <f>IF(AK788="","",(L794*Points_Victoire)+M794*Points_Null)</f>
        <v/>
      </c>
      <c r="K794" s="988" t="str">
        <f t="shared" si="443"/>
        <v/>
      </c>
      <c r="L794" s="988" t="str">
        <f>IF(AK788="","",COUNTIF(AE806:AE938,G794))</f>
        <v/>
      </c>
      <c r="M794" s="988" t="str">
        <f>IF(AK788="","",COUNTIF(AF806:AG938,G794))</f>
        <v/>
      </c>
      <c r="N794" s="988" t="str">
        <f>IF(AK788="","",COUNTIF(AH806:AH938,G794))</f>
        <v/>
      </c>
      <c r="O794" s="988" t="str">
        <f>IF(AK788="","",SUMIF(V806:V938,G794,AB806:AB938)+SUMIF(Z806:Z938,G794,AD806:AD938))</f>
        <v/>
      </c>
      <c r="P794" s="988" t="str">
        <f>IF(AK788="","",SUMIF(V806:V938,G794,AD806:AD938)+SUMIF(Z806:Z938,G794,AB806:AB938))</f>
        <v/>
      </c>
      <c r="Q794" s="989" t="str">
        <f>IF(AK788="","",O794-P794)</f>
        <v/>
      </c>
      <c r="R794"/>
      <c r="S794"/>
      <c r="T794"/>
      <c r="U794"/>
      <c r="V794"/>
      <c r="W794" s="1"/>
      <c r="X794" s="1"/>
      <c r="Y794" s="1"/>
      <c r="Z794"/>
      <c r="AB794" s="964"/>
      <c r="AC794" s="964"/>
      <c r="AD794" s="964"/>
      <c r="AE794" s="964"/>
      <c r="AF794" s="964"/>
      <c r="AG794" s="964"/>
      <c r="AH794" s="964"/>
      <c r="AI794" s="964"/>
      <c r="AJ794" s="964"/>
      <c r="AK794" s="968" t="str">
        <f>IF(AK788="","",SMALL(C789:C803,6))</f>
        <v/>
      </c>
      <c r="AL794"/>
      <c r="AM794" s="16"/>
      <c r="AN794" s="946" t="str">
        <f>IF(AK788="","",INT(AK794/1000))</f>
        <v/>
      </c>
      <c r="AO794" s="42" t="str">
        <f>IF(AK788="","",VLOOKUP(AK794,C789:Q803,5,FALSE))</f>
        <v/>
      </c>
      <c r="AP794" s="42" t="str">
        <f>VLOOKUP(AK794,C789:Q803,8,FALSE)</f>
        <v/>
      </c>
      <c r="AQ794" s="42" t="str">
        <f>VLOOKUP(AK794,C789:Q803,9,FALSE)</f>
        <v/>
      </c>
      <c r="AR794" s="42" t="str">
        <f>VLOOKUP(AK794,C789:Q803,10,FALSE)</f>
        <v/>
      </c>
      <c r="AS794" s="42" t="str">
        <f>VLOOKUP(AK794,C789:Q803,11,FALSE)</f>
        <v/>
      </c>
      <c r="AT794" s="42" t="str">
        <f>VLOOKUP(AK794,C789:Q803,12,FALSE)</f>
        <v/>
      </c>
      <c r="AU794" s="42" t="str">
        <f>VLOOKUP(AK794,C789:Q803,13,FALSE)</f>
        <v/>
      </c>
      <c r="AV794" s="42" t="str">
        <f>VLOOKUP(AK794,C789:Q803,14,FALSE)</f>
        <v/>
      </c>
      <c r="AW794" s="947" t="str">
        <f>VLOOKUP(AK794,C789:Q803,15,FALSE)</f>
        <v/>
      </c>
      <c r="AX794"/>
      <c r="AY794"/>
      <c r="AZ794" s="1"/>
      <c r="BA794" s="1"/>
      <c r="BB794"/>
      <c r="BC794" s="6"/>
      <c r="BD794"/>
      <c r="BE794" s="1"/>
      <c r="BF794"/>
      <c r="BG794" s="16"/>
      <c r="BH794"/>
      <c r="BI794"/>
      <c r="BJ794"/>
      <c r="BK794"/>
      <c r="BL794"/>
      <c r="BM794"/>
      <c r="BN794"/>
      <c r="BO794"/>
      <c r="BP794"/>
      <c r="BQ794"/>
      <c r="BR794"/>
      <c r="BS794"/>
      <c r="BT794"/>
      <c r="BU794"/>
      <c r="BV794"/>
      <c r="BW794"/>
      <c r="BX794"/>
      <c r="BY794"/>
      <c r="BZ794"/>
      <c r="CA794" s="1396"/>
      <c r="CB794" s="1396"/>
      <c r="CC794"/>
      <c r="CD794"/>
      <c r="CE794"/>
    </row>
    <row r="795" spans="1:83" outlineLevel="1" x14ac:dyDescent="0.2">
      <c r="A795"/>
      <c r="B795" s="945">
        <v>7</v>
      </c>
      <c r="C795" s="977" t="str">
        <f>IF(AK788="","",RANK(F795,F789:F803)*1000+ROW())</f>
        <v/>
      </c>
      <c r="D795" s="978" t="str">
        <f t="shared" si="444"/>
        <v/>
      </c>
      <c r="E795" s="978" t="str">
        <f>IF(L795="","",Nb_Diff_Part(D795,D789:D803,G795,G789:G803,AI806:AI938)*CritClassInd_DiffPart+Nb_Goal_Part(D795,D789:D803,G795,G789:G803,V806:Z938)*CritClassInd_GoalPart+Nb_Score_Part(D795,D789:D803,G795,G789:G803,V806:Z938)*CritClassInd_ScorePart)</f>
        <v/>
      </c>
      <c r="F795" s="979" t="str">
        <f t="shared" si="445"/>
        <v/>
      </c>
      <c r="G795" s="39" t="s">
        <v>790</v>
      </c>
      <c r="H795" s="501">
        <f t="shared" si="442"/>
        <v>0</v>
      </c>
      <c r="I795" s="39"/>
      <c r="J795" s="977" t="str">
        <f>IF(AK788="","",(L795*Points_Victoire)+M795*Points_Null)</f>
        <v/>
      </c>
      <c r="K795" s="988" t="str">
        <f t="shared" si="443"/>
        <v/>
      </c>
      <c r="L795" s="988" t="str">
        <f>IF(AK788="","",COUNTIF(AE806:AE938,G795))</f>
        <v/>
      </c>
      <c r="M795" s="988" t="str">
        <f>IF(AK788="","",COUNTIF(AF806:AG938,G795))</f>
        <v/>
      </c>
      <c r="N795" s="988" t="str">
        <f>IF(AK788="","",COUNTIF(AH806:AH938,G795))</f>
        <v/>
      </c>
      <c r="O795" s="988" t="str">
        <f>IF(AK788="","",SUMIF(V806:V938,G795,AB806:AB938)+SUMIF(Z806:Z938,G795,AD806:AD938))</f>
        <v/>
      </c>
      <c r="P795" s="988" t="str">
        <f>IF(AK788="","",SUMIF(V806:V938,G795,AD806:AD938)+SUMIF(Z806:Z938,G795,AB806:AB938))</f>
        <v/>
      </c>
      <c r="Q795" s="989" t="str">
        <f>IF(AK788="","",O795-P795)</f>
        <v/>
      </c>
      <c r="R795"/>
      <c r="S795"/>
      <c r="T795"/>
      <c r="U795"/>
      <c r="V795"/>
      <c r="W795" s="1"/>
      <c r="X795" s="1"/>
      <c r="Y795" s="1"/>
      <c r="Z795"/>
      <c r="AB795" s="964"/>
      <c r="AC795" s="964"/>
      <c r="AD795" s="964"/>
      <c r="AE795" s="964"/>
      <c r="AF795" s="964"/>
      <c r="AG795" s="964"/>
      <c r="AH795" s="964"/>
      <c r="AI795" s="964"/>
      <c r="AJ795" s="964"/>
      <c r="AK795" s="968" t="str">
        <f>IF(AK788="","",SMALL(C789:C803,7))</f>
        <v/>
      </c>
      <c r="AL795"/>
      <c r="AM795" s="16"/>
      <c r="AN795" s="946" t="str">
        <f>IF(AK788="","",INT(AK795/1000))</f>
        <v/>
      </c>
      <c r="AO795" s="42" t="str">
        <f>IF(AK788="","",VLOOKUP(AK795,C789:Q803,5,FALSE))</f>
        <v/>
      </c>
      <c r="AP795" s="42" t="str">
        <f>VLOOKUP(AK795,C789:Q803,8,FALSE)</f>
        <v/>
      </c>
      <c r="AQ795" s="42" t="str">
        <f>VLOOKUP(AK795,C789:Q803,9,FALSE)</f>
        <v/>
      </c>
      <c r="AR795" s="42" t="str">
        <f>VLOOKUP(AK795,C789:Q803,10,FALSE)</f>
        <v/>
      </c>
      <c r="AS795" s="42" t="str">
        <f>VLOOKUP(AK795,C789:Q803,11,FALSE)</f>
        <v/>
      </c>
      <c r="AT795" s="42" t="str">
        <f>VLOOKUP(AK795,C789:Q803,12,FALSE)</f>
        <v/>
      </c>
      <c r="AU795" s="42" t="str">
        <f>VLOOKUP(AK795,C789:Q803,13,FALSE)</f>
        <v/>
      </c>
      <c r="AV795" s="42" t="str">
        <f>VLOOKUP(AK795,C789:Q803,14,FALSE)</f>
        <v/>
      </c>
      <c r="AW795" s="947" t="str">
        <f>VLOOKUP(AK795,C789:Q803,15,FALSE)</f>
        <v/>
      </c>
      <c r="AX795"/>
      <c r="AY795"/>
      <c r="AZ795" s="1"/>
      <c r="BA795" s="1"/>
      <c r="BB795"/>
      <c r="BC795" s="6"/>
      <c r="BD795"/>
      <c r="BE795" s="1"/>
      <c r="BF795"/>
      <c r="BG795" s="16"/>
      <c r="BH795"/>
      <c r="BI795"/>
      <c r="BJ795"/>
      <c r="BK795"/>
      <c r="BL795"/>
      <c r="BM795"/>
      <c r="BN795"/>
      <c r="BO795"/>
      <c r="BP795"/>
      <c r="BQ795"/>
      <c r="BR795"/>
      <c r="BS795"/>
      <c r="BT795"/>
      <c r="BU795"/>
      <c r="BV795"/>
      <c r="BW795"/>
      <c r="BX795"/>
      <c r="BY795"/>
      <c r="BZ795"/>
      <c r="CA795" s="1396"/>
      <c r="CB795" s="1396"/>
      <c r="CC795"/>
      <c r="CD795"/>
      <c r="CE795"/>
    </row>
    <row r="796" spans="1:83" outlineLevel="1" x14ac:dyDescent="0.2">
      <c r="A796"/>
      <c r="B796" s="945">
        <v>8</v>
      </c>
      <c r="C796" s="977" t="str">
        <f>IF(AK788="","",RANK(F796,F789:F803)*1000+ROW())</f>
        <v/>
      </c>
      <c r="D796" s="978" t="str">
        <f t="shared" si="444"/>
        <v/>
      </c>
      <c r="E796" s="978" t="str">
        <f>IF(L796="","",Nb_Diff_Part(D796,D789:D803,G796,G789:G803,AI806:AI938)*CritClassInd_DiffPart+Nb_Goal_Part(D796,D789:D803,G796,G789:G803,V806:Z938)*CritClassInd_GoalPart+Nb_Score_Part(D796,D789:D803,G796,G789:G803,V806:Z938)*CritClassInd_ScorePart)</f>
        <v/>
      </c>
      <c r="F796" s="979" t="str">
        <f t="shared" si="445"/>
        <v/>
      </c>
      <c r="G796" s="39" t="s">
        <v>3914</v>
      </c>
      <c r="H796" s="501">
        <f t="shared" si="442"/>
        <v>0</v>
      </c>
      <c r="I796" s="39"/>
      <c r="J796" s="977" t="str">
        <f>IF(AK788="","",(L796*Points_Victoire)+M796*Points_Null)</f>
        <v/>
      </c>
      <c r="K796" s="988" t="str">
        <f t="shared" si="443"/>
        <v/>
      </c>
      <c r="L796" s="988" t="str">
        <f>IF(AK788="","",COUNTIF(AE806:AE938,G796))</f>
        <v/>
      </c>
      <c r="M796" s="988" t="str">
        <f>IF(AK788="","",COUNTIF(AF806:AG938,G796))</f>
        <v/>
      </c>
      <c r="N796" s="988" t="str">
        <f>IF(AK788="","",COUNTIF(AH806:AH938,G796))</f>
        <v/>
      </c>
      <c r="O796" s="988" t="str">
        <f>IF(AK788="","",SUMIF(V806:V938,G796,AB806:AB938)+SUMIF(Z806:Z938,G796,AD806:AD938))</f>
        <v/>
      </c>
      <c r="P796" s="988" t="str">
        <f>IF(AK788="","",SUMIF(V806:V938,G796,AD806:AD938)+SUMIF(Z806:Z938,G796,AB806:AB938))</f>
        <v/>
      </c>
      <c r="Q796" s="989" t="str">
        <f>IF(AK788="","",O796-P796)</f>
        <v/>
      </c>
      <c r="R796"/>
      <c r="S796"/>
      <c r="T796"/>
      <c r="U796"/>
      <c r="V796"/>
      <c r="W796" s="1"/>
      <c r="X796" s="1"/>
      <c r="Y796" s="1"/>
      <c r="Z796"/>
      <c r="AB796" s="964"/>
      <c r="AC796" s="964"/>
      <c r="AD796" s="964"/>
      <c r="AE796" s="964"/>
      <c r="AF796" s="964"/>
      <c r="AG796" s="964"/>
      <c r="AH796" s="964"/>
      <c r="AI796" s="964"/>
      <c r="AJ796" s="964"/>
      <c r="AK796" s="968" t="str">
        <f>IF(AK788="","",SMALL(C789:C803,8))</f>
        <v/>
      </c>
      <c r="AL796"/>
      <c r="AM796" s="16"/>
      <c r="AN796" s="946" t="str">
        <f>IF(AK788="","",INT(AK796/1000))</f>
        <v/>
      </c>
      <c r="AO796" s="42" t="str">
        <f>IF(AK788="","",VLOOKUP(AK796,C789:Q803,5,FALSE))</f>
        <v/>
      </c>
      <c r="AP796" s="42" t="str">
        <f>VLOOKUP(AK796,C789:Q803,8,FALSE)</f>
        <v/>
      </c>
      <c r="AQ796" s="42" t="str">
        <f>VLOOKUP(AK796,C789:Q803,9,FALSE)</f>
        <v/>
      </c>
      <c r="AR796" s="42" t="str">
        <f>VLOOKUP(AK796,C789:Q803,10,FALSE)</f>
        <v/>
      </c>
      <c r="AS796" s="42" t="str">
        <f>VLOOKUP(AK796,C789:Q803,11,FALSE)</f>
        <v/>
      </c>
      <c r="AT796" s="42" t="str">
        <f>VLOOKUP(AK796,C789:Q803,12,FALSE)</f>
        <v/>
      </c>
      <c r="AU796" s="42" t="str">
        <f>VLOOKUP(AK796,C789:Q803,13,FALSE)</f>
        <v/>
      </c>
      <c r="AV796" s="42" t="str">
        <f>VLOOKUP(AK796,C789:Q803,14,FALSE)</f>
        <v/>
      </c>
      <c r="AW796" s="947" t="str">
        <f>VLOOKUP(AK796,C789:Q803,15,FALSE)</f>
        <v/>
      </c>
      <c r="AX796"/>
      <c r="AY796"/>
      <c r="AZ796" s="1"/>
      <c r="BA796" s="1"/>
      <c r="BB796"/>
      <c r="BC796" s="6"/>
      <c r="BD796"/>
      <c r="BE796" s="1"/>
      <c r="BF796"/>
      <c r="BG796" s="16"/>
      <c r="BH796"/>
      <c r="BI796"/>
      <c r="BJ796"/>
      <c r="BK796"/>
      <c r="BL796"/>
      <c r="BM796"/>
      <c r="BN796"/>
      <c r="BO796"/>
      <c r="BP796"/>
      <c r="BQ796"/>
      <c r="BR796"/>
      <c r="BS796"/>
      <c r="BT796"/>
      <c r="BU796"/>
      <c r="BV796"/>
      <c r="BW796"/>
      <c r="BX796"/>
      <c r="BY796"/>
      <c r="BZ796"/>
      <c r="CA796" s="1396"/>
      <c r="CB796" s="1396"/>
      <c r="CC796"/>
      <c r="CD796"/>
      <c r="CE796"/>
    </row>
    <row r="797" spans="1:83" outlineLevel="1" x14ac:dyDescent="0.2">
      <c r="A797"/>
      <c r="B797" s="945">
        <v>9</v>
      </c>
      <c r="C797" s="977" t="str">
        <f>IF(AK788="","",RANK(F797,F789:F803)*1000+ROW())</f>
        <v/>
      </c>
      <c r="D797" s="978" t="str">
        <f t="shared" si="444"/>
        <v/>
      </c>
      <c r="E797" s="978" t="str">
        <f>IF(L797="","",Nb_Diff_Part(D797,D789:D803,G797,G789:G803,AI806:AI938)*CritClassInd_DiffPart+Nb_Goal_Part(D797,D789:D803,G797,G789:G803,V806:Z938)*CritClassInd_GoalPart+Nb_Score_Part(D797,D789:D803,G797,G789:G803,V806:Z938)*CritClassInd_ScorePart)</f>
        <v/>
      </c>
      <c r="F797" s="979" t="str">
        <f t="shared" si="445"/>
        <v/>
      </c>
      <c r="G797" s="39" t="s">
        <v>3915</v>
      </c>
      <c r="H797" s="501">
        <f t="shared" si="442"/>
        <v>0</v>
      </c>
      <c r="I797" s="39"/>
      <c r="J797" s="977" t="str">
        <f>IF(AK788="","",(L797*Points_Victoire)+M797*Points_Null)</f>
        <v/>
      </c>
      <c r="K797" s="988" t="str">
        <f t="shared" si="443"/>
        <v/>
      </c>
      <c r="L797" s="988" t="str">
        <f>IF(AK788="","",COUNTIF(AE806:AE938,G797))</f>
        <v/>
      </c>
      <c r="M797" s="988" t="str">
        <f>IF(AK788="","",COUNTIF(AF806:AG938,G797))</f>
        <v/>
      </c>
      <c r="N797" s="988" t="str">
        <f>IF(AK788="","",COUNTIF(AH806:AH938,G797))</f>
        <v/>
      </c>
      <c r="O797" s="988" t="str">
        <f>IF(AK788="","",SUMIF(V806:V938,G797,AB806:AB938)+SUMIF(Z806:Z938,G797,AD806:AD938))</f>
        <v/>
      </c>
      <c r="P797" s="988" t="str">
        <f>IF(AK788="","",SUMIF(V806:V938,G797,AD806:AD938)+SUMIF(Z806:Z938,G797,AB806:AB938))</f>
        <v/>
      </c>
      <c r="Q797" s="989" t="str">
        <f>IF(AK788="","",O797-P797)</f>
        <v/>
      </c>
      <c r="R797"/>
      <c r="S797"/>
      <c r="T797"/>
      <c r="U797"/>
      <c r="V797"/>
      <c r="W797" s="1"/>
      <c r="X797" s="1"/>
      <c r="Y797" s="1"/>
      <c r="Z797"/>
      <c r="AB797" s="964"/>
      <c r="AC797" s="964"/>
      <c r="AD797" s="964"/>
      <c r="AE797" s="964"/>
      <c r="AF797" s="964"/>
      <c r="AG797" s="964"/>
      <c r="AH797" s="964"/>
      <c r="AI797" s="964"/>
      <c r="AJ797" s="964"/>
      <c r="AK797" s="968" t="str">
        <f>IF(AK788="","",SMALL(C789:C803,9))</f>
        <v/>
      </c>
      <c r="AL797"/>
      <c r="AM797" s="16"/>
      <c r="AN797" s="946" t="str">
        <f>IF(AK788="","",INT(AK797/1000))</f>
        <v/>
      </c>
      <c r="AO797" s="42" t="str">
        <f>IF(AK788="","",VLOOKUP(AK797,C789:Q803,5,FALSE))</f>
        <v/>
      </c>
      <c r="AP797" s="42" t="str">
        <f>VLOOKUP(AK797,C789:Q803,8,FALSE)</f>
        <v/>
      </c>
      <c r="AQ797" s="42" t="str">
        <f>VLOOKUP(AK797,C789:Q803,9,FALSE)</f>
        <v/>
      </c>
      <c r="AR797" s="42" t="str">
        <f>VLOOKUP(AK797,C789:Q803,10,FALSE)</f>
        <v/>
      </c>
      <c r="AS797" s="42" t="str">
        <f>VLOOKUP(AK797,C789:Q803,11,FALSE)</f>
        <v/>
      </c>
      <c r="AT797" s="42" t="str">
        <f>VLOOKUP(AK797,C789:Q803,12,FALSE)</f>
        <v/>
      </c>
      <c r="AU797" s="42" t="str">
        <f>VLOOKUP(AK797,C789:Q803,13,FALSE)</f>
        <v/>
      </c>
      <c r="AV797" s="42" t="str">
        <f>VLOOKUP(AK797,C789:Q803,14,FALSE)</f>
        <v/>
      </c>
      <c r="AW797" s="947" t="str">
        <f>VLOOKUP(AK797,C789:Q803,15,FALSE)</f>
        <v/>
      </c>
      <c r="AX797"/>
      <c r="AY797"/>
      <c r="AZ797" s="1"/>
      <c r="BA797" s="1"/>
      <c r="BB797"/>
      <c r="BC797" s="6"/>
      <c r="BD797"/>
      <c r="BE797" s="1"/>
      <c r="BF797"/>
      <c r="BG797" s="16"/>
      <c r="BH797"/>
      <c r="BI797"/>
      <c r="BJ797"/>
      <c r="BK797"/>
      <c r="BL797"/>
      <c r="BM797"/>
      <c r="BN797"/>
      <c r="BO797"/>
      <c r="BP797"/>
      <c r="BQ797"/>
      <c r="BR797"/>
      <c r="BS797"/>
      <c r="BT797"/>
      <c r="BU797"/>
      <c r="BV797"/>
      <c r="BW797"/>
      <c r="BX797"/>
      <c r="BY797"/>
      <c r="BZ797"/>
      <c r="CA797" s="1396"/>
      <c r="CB797" s="1396"/>
      <c r="CC797"/>
      <c r="CD797"/>
      <c r="CE797"/>
    </row>
    <row r="798" spans="1:83" outlineLevel="1" x14ac:dyDescent="0.2">
      <c r="A798"/>
      <c r="B798" s="945">
        <v>10</v>
      </c>
      <c r="C798" s="977" t="str">
        <f>IF(AK788="","",RANK(F798,F789:F803)*1000+ROW())</f>
        <v/>
      </c>
      <c r="D798" s="978" t="str">
        <f t="shared" si="444"/>
        <v/>
      </c>
      <c r="E798" s="978" t="str">
        <f>IF(L798="","",Nb_Diff_Part(D798,D789:D803,G798,G789:G803,AI806:AI938)*CritClassInd_DiffPart+Nb_Goal_Part(D798,D789:D803,G798,G789:G803,V806:Z938)*CritClassInd_GoalPart+Nb_Score_Part(D798,D789:D803,G798,G789:G803,V806:Z938)*CritClassInd_ScorePart)</f>
        <v/>
      </c>
      <c r="F798" s="979" t="str">
        <f t="shared" si="445"/>
        <v/>
      </c>
      <c r="G798" s="39" t="s">
        <v>789</v>
      </c>
      <c r="H798" s="501">
        <f t="shared" si="442"/>
        <v>0</v>
      </c>
      <c r="I798" s="39"/>
      <c r="J798" s="977" t="str">
        <f>IF(AK788="","",(L798*Points_Victoire)+M798*Points_Null)</f>
        <v/>
      </c>
      <c r="K798" s="988" t="str">
        <f t="shared" si="443"/>
        <v/>
      </c>
      <c r="L798" s="988" t="str">
        <f>IF(AK788="","",COUNTIF(AE806:AE938,G798))</f>
        <v/>
      </c>
      <c r="M798" s="988" t="str">
        <f>IF(AK788="","",COUNTIF(AF806:AG938,G798))</f>
        <v/>
      </c>
      <c r="N798" s="988" t="str">
        <f>IF(AK788="","",COUNTIF(AH806:AH938,G798))</f>
        <v/>
      </c>
      <c r="O798" s="988" t="str">
        <f>IF(AK788="","",SUMIF(V806:V938,G798,AB806:AB938)+SUMIF(Z806:Z938,G798,AD806:AD938))</f>
        <v/>
      </c>
      <c r="P798" s="988" t="str">
        <f>IF(AK788="","",SUMIF(V806:V938,G798,AD806:AD938)+SUMIF(Z806:Z938,G798,AB806:AB938))</f>
        <v/>
      </c>
      <c r="Q798" s="989" t="str">
        <f>IF(AK788="","",O798-P798)</f>
        <v/>
      </c>
      <c r="R798"/>
      <c r="S798"/>
      <c r="T798"/>
      <c r="U798"/>
      <c r="V798"/>
      <c r="W798" s="1"/>
      <c r="X798" s="1"/>
      <c r="Y798" s="1"/>
      <c r="Z798"/>
      <c r="AB798" s="964"/>
      <c r="AC798" s="964"/>
      <c r="AD798" s="964"/>
      <c r="AE798" s="964"/>
      <c r="AF798" s="964"/>
      <c r="AG798" s="964"/>
      <c r="AH798" s="964"/>
      <c r="AI798" s="964"/>
      <c r="AJ798" s="964"/>
      <c r="AK798" s="968" t="str">
        <f>IF(AK788="","",SMALL(C789:C803,10))</f>
        <v/>
      </c>
      <c r="AL798"/>
      <c r="AM798" s="16"/>
      <c r="AN798" s="946" t="str">
        <f>IF(AK788="","",INT(AK798/1000))</f>
        <v/>
      </c>
      <c r="AO798" s="42" t="str">
        <f>IF(AK788="","",VLOOKUP(AK798,C789:Q803,5,FALSE))</f>
        <v/>
      </c>
      <c r="AP798" s="42" t="str">
        <f>VLOOKUP(AK798,C789:Q803,8,FALSE)</f>
        <v/>
      </c>
      <c r="AQ798" s="42" t="str">
        <f>VLOOKUP(AK798,C789:Q803,9,FALSE)</f>
        <v/>
      </c>
      <c r="AR798" s="42" t="str">
        <f>VLOOKUP(AK798,C789:Q803,10,FALSE)</f>
        <v/>
      </c>
      <c r="AS798" s="42" t="str">
        <f>VLOOKUP(AK798,C789:Q803,11,FALSE)</f>
        <v/>
      </c>
      <c r="AT798" s="42" t="str">
        <f>VLOOKUP(AK798,C789:Q803,12,FALSE)</f>
        <v/>
      </c>
      <c r="AU798" s="42" t="str">
        <f>VLOOKUP(AK798,C789:Q803,13,FALSE)</f>
        <v/>
      </c>
      <c r="AV798" s="42" t="str">
        <f>VLOOKUP(AK798,C789:Q803,14,FALSE)</f>
        <v/>
      </c>
      <c r="AW798" s="947" t="str">
        <f>VLOOKUP(AK798,C789:Q803,15,FALSE)</f>
        <v/>
      </c>
      <c r="AX798"/>
      <c r="AY798"/>
      <c r="AZ798" s="1"/>
      <c r="BA798" s="1"/>
      <c r="BB798"/>
      <c r="BC798" s="6"/>
      <c r="BD798"/>
      <c r="BE798" s="1"/>
      <c r="BF798"/>
      <c r="BG798" s="16"/>
      <c r="BH798"/>
      <c r="BI798"/>
      <c r="BJ798"/>
      <c r="BK798"/>
      <c r="BL798"/>
      <c r="BM798"/>
      <c r="BN798"/>
      <c r="BO798"/>
      <c r="BP798"/>
      <c r="BQ798"/>
      <c r="BR798"/>
      <c r="BS798"/>
      <c r="BT798"/>
      <c r="BU798"/>
      <c r="BV798"/>
      <c r="BW798"/>
      <c r="BX798"/>
      <c r="BY798"/>
      <c r="BZ798"/>
      <c r="CA798" s="1396"/>
      <c r="CB798" s="1396"/>
      <c r="CC798"/>
      <c r="CD798"/>
      <c r="CE798"/>
    </row>
    <row r="799" spans="1:83" outlineLevel="1" x14ac:dyDescent="0.2">
      <c r="A799"/>
      <c r="B799" s="945">
        <v>11</v>
      </c>
      <c r="C799" s="977" t="str">
        <f>IF(AK788="","",RANK(F799,F789:F803)*1000+ROW())</f>
        <v/>
      </c>
      <c r="D799" s="978" t="str">
        <f t="shared" si="444"/>
        <v/>
      </c>
      <c r="E799" s="978" t="str">
        <f>IF(L799="","",Nb_Diff_Part(D799,D789:D803,G799,G789:G803,AI806:AI938)*CritClassInd_DiffPart+Nb_Goal_Part(D799,D789:D803,G799,G789:G803,V806:Z938)*CritClassInd_GoalPart+Nb_Score_Part(D799,D789:D803,G799,G789:G803,V806:Z938)*CritClassInd_ScorePart)</f>
        <v/>
      </c>
      <c r="F799" s="979" t="str">
        <f t="shared" si="445"/>
        <v/>
      </c>
      <c r="G799" s="39" t="s">
        <v>3916</v>
      </c>
      <c r="H799" s="501">
        <f t="shared" si="442"/>
        <v>0</v>
      </c>
      <c r="I799" s="39"/>
      <c r="J799" s="977" t="str">
        <f>IF(AK788="","",(L799*Points_Victoire)+M799*Points_Null)</f>
        <v/>
      </c>
      <c r="K799" s="988" t="str">
        <f t="shared" si="443"/>
        <v/>
      </c>
      <c r="L799" s="988" t="str">
        <f>IF(AK788="","",COUNTIF(AE806:AE938,G799))</f>
        <v/>
      </c>
      <c r="M799" s="988" t="str">
        <f>IF(AK788="","",COUNTIF(AF806:AG938,G799))</f>
        <v/>
      </c>
      <c r="N799" s="988" t="str">
        <f>IF(AK788="","",COUNTIF(AH806:AH938,G799))</f>
        <v/>
      </c>
      <c r="O799" s="988" t="str">
        <f>IF(AK788="","",SUMIF(V806:V938,G799,AB806:AB938)+SUMIF(Z806:Z938,G799,AD806:AD938))</f>
        <v/>
      </c>
      <c r="P799" s="988" t="str">
        <f>IF(AK788="","",SUMIF(V806:V938,G799,AD806:AD938)+SUMIF(Z806:Z938,G799,AB806:AB938))</f>
        <v/>
      </c>
      <c r="Q799" s="989" t="str">
        <f>IF(AK788="","",O799-P799)</f>
        <v/>
      </c>
      <c r="R799"/>
      <c r="S799"/>
      <c r="T799"/>
      <c r="U799"/>
      <c r="V799"/>
      <c r="W799" s="1"/>
      <c r="X799" s="1"/>
      <c r="Y799" s="1"/>
      <c r="Z799"/>
      <c r="AB799" s="964"/>
      <c r="AC799" s="964"/>
      <c r="AD799" s="964"/>
      <c r="AE799" s="964"/>
      <c r="AF799" s="964"/>
      <c r="AG799" s="964"/>
      <c r="AH799" s="964"/>
      <c r="AI799" s="964"/>
      <c r="AJ799" s="964"/>
      <c r="AK799" s="968" t="str">
        <f>IF(AK788="","",SMALL(C789:C803,11))</f>
        <v/>
      </c>
      <c r="AL799"/>
      <c r="AM799" s="16"/>
      <c r="AN799" s="946" t="str">
        <f>IF(AK788="","",INT(AK799/1000))</f>
        <v/>
      </c>
      <c r="AO799" s="42" t="str">
        <f>IF(AK788="","",VLOOKUP(AK799,C789:Q803,5,FALSE))</f>
        <v/>
      </c>
      <c r="AP799" s="42" t="str">
        <f>VLOOKUP(AK799,C789:Q803,8,FALSE)</f>
        <v/>
      </c>
      <c r="AQ799" s="42" t="str">
        <f>VLOOKUP(AK799,C789:Q803,9,FALSE)</f>
        <v/>
      </c>
      <c r="AR799" s="42" t="str">
        <f>VLOOKUP(AK799,C789:Q803,10,FALSE)</f>
        <v/>
      </c>
      <c r="AS799" s="42" t="str">
        <f>VLOOKUP(AK799,C789:Q803,11,FALSE)</f>
        <v/>
      </c>
      <c r="AT799" s="42" t="str">
        <f>VLOOKUP(AK799,C789:Q803,12,FALSE)</f>
        <v/>
      </c>
      <c r="AU799" s="42" t="str">
        <f>VLOOKUP(AK799,C789:Q803,13,FALSE)</f>
        <v/>
      </c>
      <c r="AV799" s="42" t="str">
        <f>VLOOKUP(AK799,C789:Q803,14,FALSE)</f>
        <v/>
      </c>
      <c r="AW799" s="947" t="str">
        <f>VLOOKUP(AK799,C789:Q803,15,FALSE)</f>
        <v/>
      </c>
      <c r="AX799"/>
      <c r="AY799"/>
      <c r="AZ799" s="1"/>
      <c r="BA799" s="1"/>
      <c r="BB799"/>
      <c r="BC799" s="6"/>
      <c r="BD799"/>
      <c r="BE799" s="1"/>
      <c r="BF799"/>
      <c r="BG799" s="16"/>
      <c r="BH799"/>
      <c r="BI799"/>
      <c r="BJ799"/>
      <c r="BK799"/>
      <c r="BL799"/>
      <c r="BM799"/>
      <c r="BN799"/>
      <c r="BO799"/>
      <c r="BP799"/>
      <c r="BQ799"/>
      <c r="BR799"/>
      <c r="BS799"/>
      <c r="BT799"/>
      <c r="BU799"/>
      <c r="BV799"/>
      <c r="BW799"/>
      <c r="BX799"/>
      <c r="BY799"/>
      <c r="BZ799"/>
      <c r="CA799" s="1396"/>
      <c r="CB799" s="1396"/>
      <c r="CC799"/>
      <c r="CD799"/>
      <c r="CE799"/>
    </row>
    <row r="800" spans="1:83" outlineLevel="1" x14ac:dyDescent="0.2">
      <c r="A800"/>
      <c r="B800" s="945">
        <v>12</v>
      </c>
      <c r="C800" s="977" t="str">
        <f>IF(AK788="","",RANK(F800,F789:F803)*1000+ROW())</f>
        <v/>
      </c>
      <c r="D800" s="978" t="str">
        <f t="shared" si="444"/>
        <v/>
      </c>
      <c r="E800" s="978" t="str">
        <f>IF(L800="","",Nb_Diff_Part(D800,D789:D803,G800,G789:G803,AI806:AI938)*CritClassInd_DiffPart+Nb_Goal_Part(D800,D789:D803,G800,G789:G803,V806:Z938)*CritClassInd_GoalPart+Nb_Score_Part(D800,D789:D803,G800,G789:G803,V806:Z938)*CritClassInd_ScorePart)</f>
        <v/>
      </c>
      <c r="F800" s="979" t="str">
        <f t="shared" si="445"/>
        <v/>
      </c>
      <c r="G800" s="39" t="s">
        <v>1545</v>
      </c>
      <c r="H800" s="501">
        <f t="shared" si="442"/>
        <v>0</v>
      </c>
      <c r="I800" s="39"/>
      <c r="J800" s="977" t="str">
        <f>IF(AK788="","",(L800*Points_Victoire)+M800*Points_Null)</f>
        <v/>
      </c>
      <c r="K800" s="988" t="str">
        <f t="shared" si="443"/>
        <v/>
      </c>
      <c r="L800" s="988" t="str">
        <f>IF(AK788="","",COUNTIF(AE806:AE938,G800))</f>
        <v/>
      </c>
      <c r="M800" s="988" t="str">
        <f>IF(AK788="","",COUNTIF(AF806:AG938,G800))</f>
        <v/>
      </c>
      <c r="N800" s="988" t="str">
        <f>IF(AK788="","",COUNTIF(AH806:AH938,G800))</f>
        <v/>
      </c>
      <c r="O800" s="988" t="str">
        <f>IF(AK788="","",SUMIF(V806:V938,G800,AB806:AB938)+SUMIF(Z806:Z938,G800,AD806:AD938))</f>
        <v/>
      </c>
      <c r="P800" s="988" t="str">
        <f>IF(AK788="","",SUMIF(V806:V938,G800,AD806:AD938)+SUMIF(Z806:Z938,G800,AB806:AB938))</f>
        <v/>
      </c>
      <c r="Q800" s="989" t="str">
        <f>IF(AK788="","",O800-P800)</f>
        <v/>
      </c>
      <c r="R800"/>
      <c r="S800"/>
      <c r="T800"/>
      <c r="U800"/>
      <c r="V800"/>
      <c r="W800" s="1"/>
      <c r="X800" s="1"/>
      <c r="Y800" s="1"/>
      <c r="Z800"/>
      <c r="AB800" s="964"/>
      <c r="AC800" s="964"/>
      <c r="AD800" s="964"/>
      <c r="AE800" s="964"/>
      <c r="AF800" s="964"/>
      <c r="AG800" s="964"/>
      <c r="AH800" s="964"/>
      <c r="AI800" s="964"/>
      <c r="AJ800" s="964"/>
      <c r="AK800" s="968" t="str">
        <f>IF(AK788="","",SMALL(C789:C803,12))</f>
        <v/>
      </c>
      <c r="AL800"/>
      <c r="AM800" s="16"/>
      <c r="AN800" s="946" t="str">
        <f>IF(AK788="","",INT(AK800/1000))</f>
        <v/>
      </c>
      <c r="AO800" s="42" t="str">
        <f>IF(AK788="","",VLOOKUP(AK800,C789:Q803,5,FALSE))</f>
        <v/>
      </c>
      <c r="AP800" s="42" t="str">
        <f>VLOOKUP(AK800,C789:Q803,8,FALSE)</f>
        <v/>
      </c>
      <c r="AQ800" s="42" t="str">
        <f>VLOOKUP(AK800,C789:Q803,9,FALSE)</f>
        <v/>
      </c>
      <c r="AR800" s="42" t="str">
        <f>VLOOKUP(AK800,C789:Q803,10,FALSE)</f>
        <v/>
      </c>
      <c r="AS800" s="42" t="str">
        <f>VLOOKUP(AK800,C789:Q803,11,FALSE)</f>
        <v/>
      </c>
      <c r="AT800" s="42" t="str">
        <f>VLOOKUP(AK800,C789:Q803,12,FALSE)</f>
        <v/>
      </c>
      <c r="AU800" s="42" t="str">
        <f>VLOOKUP(AK800,C789:Q803,13,FALSE)</f>
        <v/>
      </c>
      <c r="AV800" s="42" t="str">
        <f>VLOOKUP(AK800,C789:Q803,14,FALSE)</f>
        <v/>
      </c>
      <c r="AW800" s="947" t="str">
        <f>VLOOKUP(AK800,C789:Q803,15,FALSE)</f>
        <v/>
      </c>
      <c r="AX800"/>
      <c r="AY800"/>
      <c r="AZ800" s="1"/>
      <c r="BA800" s="1"/>
      <c r="BB800"/>
      <c r="BC800" s="6"/>
      <c r="BD800"/>
      <c r="BE800" s="1"/>
      <c r="BF800"/>
      <c r="BG800" s="16"/>
      <c r="BH800"/>
      <c r="BI800"/>
      <c r="BJ800"/>
      <c r="BK800"/>
      <c r="BL800"/>
      <c r="BM800"/>
      <c r="BN800"/>
      <c r="BO800"/>
      <c r="BP800"/>
      <c r="BQ800"/>
      <c r="BR800"/>
      <c r="BS800"/>
      <c r="BT800"/>
      <c r="BU800"/>
      <c r="BV800"/>
      <c r="BW800"/>
      <c r="BX800"/>
      <c r="BY800"/>
      <c r="BZ800"/>
      <c r="CA800" s="1396"/>
      <c r="CB800" s="1396"/>
      <c r="CC800"/>
      <c r="CD800"/>
      <c r="CE800"/>
    </row>
    <row r="801" spans="1:83" outlineLevel="1" x14ac:dyDescent="0.2">
      <c r="A801"/>
      <c r="B801" s="945">
        <v>13</v>
      </c>
      <c r="C801" s="977" t="str">
        <f>IF(AK788="","",RANK(F801,F789:F803)*1000+ROW())</f>
        <v/>
      </c>
      <c r="D801" s="978" t="str">
        <f t="shared" si="444"/>
        <v/>
      </c>
      <c r="E801" s="978" t="str">
        <f>IF(L801="","",Nb_Diff_Part(D801,D789:D803,G801,G789:G803,AI806:AI938)*CritClassInd_DiffPart+Nb_Goal_Part(D801,D789:D803,G801,G789:G803,V806:Z938)*CritClassInd_GoalPart+Nb_Score_Part(D801,D789:D803,G801,G789:G803,V806:Z938)*CritClassInd_ScorePart)</f>
        <v/>
      </c>
      <c r="F801" s="979" t="str">
        <f t="shared" si="445"/>
        <v/>
      </c>
      <c r="G801" s="39" t="s">
        <v>3917</v>
      </c>
      <c r="H801" s="501">
        <f t="shared" si="442"/>
        <v>0</v>
      </c>
      <c r="I801" s="39"/>
      <c r="J801" s="977" t="str">
        <f>IF(AK788="","",(L801*Points_Victoire)+M801*Points_Null)</f>
        <v/>
      </c>
      <c r="K801" s="988" t="str">
        <f t="shared" si="443"/>
        <v/>
      </c>
      <c r="L801" s="988" t="str">
        <f>IF(AK788="","",COUNTIF(AE806:AE938,G801))</f>
        <v/>
      </c>
      <c r="M801" s="988" t="str">
        <f>IF(AK788="","",COUNTIF(AF806:AG938,G801))</f>
        <v/>
      </c>
      <c r="N801" s="988" t="str">
        <f>IF(AK788="","",COUNTIF(AH806:AH938,G801))</f>
        <v/>
      </c>
      <c r="O801" s="988" t="str">
        <f>IF(AK788="","",SUMIF(V806:V938,G801,AB806:AB938)+SUMIF(Z806:Z938,G801,AD806:AD938))</f>
        <v/>
      </c>
      <c r="P801" s="988" t="str">
        <f>IF(AK788="","",SUMIF(V806:V938,G801,AD806:AD938)+SUMIF(Z806:Z938,G801,AB806:AB938))</f>
        <v/>
      </c>
      <c r="Q801" s="989" t="str">
        <f>IF(AK788="","",O801-P801)</f>
        <v/>
      </c>
      <c r="R801"/>
      <c r="S801"/>
      <c r="T801"/>
      <c r="U801"/>
      <c r="V801"/>
      <c r="W801" s="1"/>
      <c r="X801" s="1"/>
      <c r="Y801" s="1"/>
      <c r="Z801"/>
      <c r="AB801" s="964"/>
      <c r="AC801" s="964"/>
      <c r="AD801" s="964"/>
      <c r="AE801" s="964"/>
      <c r="AF801" s="964"/>
      <c r="AG801" s="964"/>
      <c r="AH801" s="964"/>
      <c r="AI801" s="964"/>
      <c r="AJ801" s="964"/>
      <c r="AK801" s="968" t="str">
        <f>IF(AK788="","",SMALL(C789:C803,13))</f>
        <v/>
      </c>
      <c r="AL801"/>
      <c r="AM801" s="16"/>
      <c r="AN801" s="946" t="str">
        <f>IF(AK788="","",INT(AK801/1000))</f>
        <v/>
      </c>
      <c r="AO801" s="42" t="str">
        <f>IF(AK788="","",VLOOKUP(AK801,C789:Q803,5,FALSE))</f>
        <v/>
      </c>
      <c r="AP801" s="42" t="str">
        <f>VLOOKUP(AK801,C789:Q803,8,FALSE)</f>
        <v/>
      </c>
      <c r="AQ801" s="42" t="str">
        <f>VLOOKUP(AK801,C789:Q803,9,FALSE)</f>
        <v/>
      </c>
      <c r="AR801" s="42" t="str">
        <f>VLOOKUP(AK801,C789:Q803,10,FALSE)</f>
        <v/>
      </c>
      <c r="AS801" s="42" t="str">
        <f>VLOOKUP(AK801,C789:Q803,11,FALSE)</f>
        <v/>
      </c>
      <c r="AT801" s="42" t="str">
        <f>VLOOKUP(AK801,C789:Q803,12,FALSE)</f>
        <v/>
      </c>
      <c r="AU801" s="42" t="str">
        <f>VLOOKUP(AK801,C789:Q803,13,FALSE)</f>
        <v/>
      </c>
      <c r="AV801" s="42" t="str">
        <f>VLOOKUP(AK801,C789:Q803,14,FALSE)</f>
        <v/>
      </c>
      <c r="AW801" s="947" t="str">
        <f>VLOOKUP(AK801,C789:Q803,15,FALSE)</f>
        <v/>
      </c>
      <c r="AX801"/>
      <c r="AY801"/>
      <c r="AZ801" s="1"/>
      <c r="BA801" s="1"/>
      <c r="BB801"/>
      <c r="BC801" s="6"/>
      <c r="BD801"/>
      <c r="BE801" s="1"/>
      <c r="BF801"/>
      <c r="BG801" s="16"/>
      <c r="BH801"/>
      <c r="BI801"/>
      <c r="BJ801"/>
      <c r="BK801"/>
      <c r="BL801"/>
      <c r="BM801"/>
      <c r="BN801"/>
      <c r="BO801"/>
      <c r="BP801"/>
      <c r="BQ801"/>
      <c r="BR801"/>
      <c r="BS801"/>
      <c r="BT801"/>
      <c r="BU801"/>
      <c r="BV801"/>
      <c r="BW801"/>
      <c r="BX801"/>
      <c r="BY801"/>
      <c r="BZ801"/>
      <c r="CA801" s="1396"/>
      <c r="CB801" s="1396"/>
      <c r="CC801"/>
      <c r="CD801"/>
      <c r="CE801"/>
    </row>
    <row r="802" spans="1:83" outlineLevel="1" x14ac:dyDescent="0.2">
      <c r="A802"/>
      <c r="B802" s="945">
        <v>14</v>
      </c>
      <c r="C802" s="977" t="str">
        <f>IF(AK788="","",RANK(F802,F789:F803)*1000+ROW())</f>
        <v/>
      </c>
      <c r="D802" s="978" t="str">
        <f t="shared" si="444"/>
        <v/>
      </c>
      <c r="E802" s="978" t="str">
        <f>IF(L802="","",Nb_Diff_Part(D802,D789:D803,G802,G789:G803,AI806:AI938)*CritClassInd_DiffPart+Nb_Goal_Part(D802,D789:D803,G802,G789:G803,V806:Z938)*CritClassInd_GoalPart+Nb_Score_Part(D802,D789:D803,G802,G789:G803,V806:Z938)*CritClassInd_ScorePart)</f>
        <v/>
      </c>
      <c r="F802" s="979" t="str">
        <f t="shared" si="445"/>
        <v/>
      </c>
      <c r="G802" s="39" t="s">
        <v>791</v>
      </c>
      <c r="H802" s="501">
        <f t="shared" si="442"/>
        <v>0</v>
      </c>
      <c r="I802" s="39"/>
      <c r="J802" s="977" t="str">
        <f>IF(AK788="","",(L802*Points_Victoire)+M802*Points_Null)</f>
        <v/>
      </c>
      <c r="K802" s="988" t="str">
        <f t="shared" si="443"/>
        <v/>
      </c>
      <c r="L802" s="988" t="str">
        <f>IF(AK788="","",COUNTIF(AE806:AE938,G802))</f>
        <v/>
      </c>
      <c r="M802" s="988" t="str">
        <f>IF(AK788="","",COUNTIF(AF806:AG938,G802))</f>
        <v/>
      </c>
      <c r="N802" s="988" t="str">
        <f>IF(AK788="","",COUNTIF(AH806:AH938,G802))</f>
        <v/>
      </c>
      <c r="O802" s="988" t="str">
        <f>IF(AK788="","",SUMIF(V806:V938,G802,AB806:AB938)+SUMIF(Z806:Z938,G802,AD806:AD938))</f>
        <v/>
      </c>
      <c r="P802" s="988" t="str">
        <f>IF(AK788="","",SUMIF(V806:V938,G802,AD806:AD938)+SUMIF(Z806:Z938,G802,AB806:AB938))</f>
        <v/>
      </c>
      <c r="Q802" s="989" t="str">
        <f>IF(AK788="","",O802-P802)</f>
        <v/>
      </c>
      <c r="R802"/>
      <c r="S802"/>
      <c r="T802"/>
      <c r="U802"/>
      <c r="V802"/>
      <c r="W802" s="1"/>
      <c r="X802" s="1"/>
      <c r="Y802" s="1"/>
      <c r="Z802"/>
      <c r="AB802" s="964"/>
      <c r="AC802" s="964"/>
      <c r="AD802" s="964"/>
      <c r="AE802" s="964"/>
      <c r="AF802" s="964"/>
      <c r="AG802" s="964"/>
      <c r="AH802" s="964"/>
      <c r="AI802" s="964"/>
      <c r="AJ802" s="964"/>
      <c r="AK802" s="968" t="str">
        <f>IF(AK788="","",SMALL(C789:C803,14))</f>
        <v/>
      </c>
      <c r="AL802"/>
      <c r="AM802" s="16"/>
      <c r="AN802" s="946" t="str">
        <f>IF(AK788="","",INT(AK802/1000))</f>
        <v/>
      </c>
      <c r="AO802" s="42" t="str">
        <f>IF(AK788="","",VLOOKUP(AK802,C789:Q803,5,FALSE))</f>
        <v/>
      </c>
      <c r="AP802" s="42" t="str">
        <f>VLOOKUP(AK802,C789:Q803,8,FALSE)</f>
        <v/>
      </c>
      <c r="AQ802" s="42" t="str">
        <f>VLOOKUP(AK802,C789:Q803,9,FALSE)</f>
        <v/>
      </c>
      <c r="AR802" s="42" t="str">
        <f>VLOOKUP(AK802,C789:Q803,10,FALSE)</f>
        <v/>
      </c>
      <c r="AS802" s="42" t="str">
        <f>VLOOKUP(AK802,C789:Q803,11,FALSE)</f>
        <v/>
      </c>
      <c r="AT802" s="42" t="str">
        <f>VLOOKUP(AK802,C789:Q803,12,FALSE)</f>
        <v/>
      </c>
      <c r="AU802" s="42" t="str">
        <f>VLOOKUP(AK802,C789:Q803,13,FALSE)</f>
        <v/>
      </c>
      <c r="AV802" s="42" t="str">
        <f>VLOOKUP(AK802,C789:Q803,14,FALSE)</f>
        <v/>
      </c>
      <c r="AW802" s="947" t="str">
        <f>VLOOKUP(AK802,C789:Q803,15,FALSE)</f>
        <v/>
      </c>
      <c r="AX802"/>
      <c r="AY802"/>
      <c r="AZ802" s="1"/>
      <c r="BA802" s="1"/>
      <c r="BB802"/>
      <c r="BC802" s="6"/>
      <c r="BD802"/>
      <c r="BE802" s="1"/>
      <c r="BF802"/>
      <c r="BG802" s="16"/>
      <c r="BH802"/>
      <c r="BI802"/>
      <c r="BJ802"/>
      <c r="BK802"/>
      <c r="BL802"/>
      <c r="BM802"/>
      <c r="BN802"/>
      <c r="BO802"/>
      <c r="BP802"/>
      <c r="BQ802"/>
      <c r="BR802"/>
      <c r="BS802"/>
      <c r="BT802"/>
      <c r="BU802"/>
      <c r="BV802"/>
      <c r="BW802"/>
      <c r="BX802"/>
      <c r="BY802"/>
      <c r="BZ802"/>
      <c r="CA802" s="1396"/>
      <c r="CB802" s="1396"/>
      <c r="CC802"/>
      <c r="CD802"/>
      <c r="CE802"/>
    </row>
    <row r="803" spans="1:83" ht="13.5" outlineLevel="1" thickBot="1" x14ac:dyDescent="0.25">
      <c r="A803"/>
      <c r="B803" s="945">
        <v>15</v>
      </c>
      <c r="C803" s="977" t="str">
        <f>IF(AK788="","",RANK(F803,F789:F803)*1000+ROW())</f>
        <v/>
      </c>
      <c r="D803" s="978" t="str">
        <f t="shared" si="444"/>
        <v/>
      </c>
      <c r="E803" s="978" t="str">
        <f>IF(L803="","",Nb_Diff_Part(D803,D789:D803,G803,G789:G803,AI806:AI938)*CritClassInd_DiffPart+Nb_Goal_Part(D803,D789:D803,G803,G789:G803,V806:Z938)*CritClassInd_GoalPart+Nb_Score_Part(D803,D789:D803,G803,G789:G803,V806:Z938)*CritClassInd_ScorePart)</f>
        <v/>
      </c>
      <c r="F803" s="979" t="str">
        <f t="shared" si="445"/>
        <v/>
      </c>
      <c r="G803" s="39" t="s">
        <v>3918</v>
      </c>
      <c r="H803" s="501">
        <f t="shared" si="442"/>
        <v>0</v>
      </c>
      <c r="I803" s="39"/>
      <c r="J803" s="977" t="str">
        <f>IF(AK788="","",(L803*Points_Victoire)+M803*Points_Null)</f>
        <v/>
      </c>
      <c r="K803" s="988" t="str">
        <f t="shared" si="443"/>
        <v/>
      </c>
      <c r="L803" s="988" t="str">
        <f>IF(AK788="","",COUNTIF(AE806:AE938,G803))</f>
        <v/>
      </c>
      <c r="M803" s="988" t="str">
        <f>IF(AK788="","",COUNTIF(AF806:AG938,G803))</f>
        <v/>
      </c>
      <c r="N803" s="988" t="str">
        <f>IF(AK788="","",COUNTIF(AH806:AH938,G803))</f>
        <v/>
      </c>
      <c r="O803" s="988" t="str">
        <f>IF(AK788="","",SUMIF(V806:V938,G803,AB806:AB938)+SUMIF(Z806:Z938,G803,AD806:AD938))</f>
        <v/>
      </c>
      <c r="P803" s="988" t="str">
        <f>IF(AK788="","",SUMIF(V806:V938,G803,AD806:AD938)+SUMIF(Z806:Z938,G803,AB806:AB938))</f>
        <v/>
      </c>
      <c r="Q803" s="989" t="str">
        <f>IF(AK788="","",O803-P803)</f>
        <v/>
      </c>
      <c r="R803"/>
      <c r="S803"/>
      <c r="T803"/>
      <c r="U803"/>
      <c r="V803"/>
      <c r="W803" s="1"/>
      <c r="X803" s="1"/>
      <c r="Y803" s="1"/>
      <c r="Z803"/>
      <c r="AB803" s="964"/>
      <c r="AC803" s="964"/>
      <c r="AD803" s="964"/>
      <c r="AE803" s="964"/>
      <c r="AF803" s="964"/>
      <c r="AG803" s="964"/>
      <c r="AH803" s="964"/>
      <c r="AI803" s="964"/>
      <c r="AJ803" s="964"/>
      <c r="AK803" s="968" t="str">
        <f>IF(AK788="","",SMALL(C789:C803,15))</f>
        <v/>
      </c>
      <c r="AL803"/>
      <c r="AM803" s="16"/>
      <c r="AN803" s="946" t="str">
        <f>IF(AK788="","",INT(AK803/1000))</f>
        <v/>
      </c>
      <c r="AO803" s="42" t="str">
        <f>IF(AK788="","",VLOOKUP(AK803,C789:Q803,5,FALSE))</f>
        <v/>
      </c>
      <c r="AP803" s="42" t="str">
        <f>VLOOKUP(AK803,C789:Q803,8,FALSE)</f>
        <v/>
      </c>
      <c r="AQ803" s="42" t="str">
        <f>VLOOKUP(AK803,C789:Q803,9,FALSE)</f>
        <v/>
      </c>
      <c r="AR803" s="42" t="str">
        <f>VLOOKUP(AK803,C789:Q803,10,FALSE)</f>
        <v/>
      </c>
      <c r="AS803" s="42" t="str">
        <f>VLOOKUP(AK803,C789:Q803,11,FALSE)</f>
        <v/>
      </c>
      <c r="AT803" s="42" t="str">
        <f>VLOOKUP(AK803,C789:Q803,12,FALSE)</f>
        <v/>
      </c>
      <c r="AU803" s="42" t="str">
        <f>VLOOKUP(AK803,C789:Q803,13,FALSE)</f>
        <v/>
      </c>
      <c r="AV803" s="42" t="str">
        <f>VLOOKUP(AK803,C789:Q803,14,FALSE)</f>
        <v/>
      </c>
      <c r="AW803" s="947" t="str">
        <f>VLOOKUP(AK803,C789:Q803,15,FALSE)</f>
        <v/>
      </c>
      <c r="AX803"/>
      <c r="AY803"/>
      <c r="AZ803" s="1"/>
      <c r="BA803" s="1"/>
      <c r="BB803"/>
      <c r="BC803" s="6"/>
      <c r="BD803"/>
      <c r="BE803" s="1"/>
      <c r="BF803"/>
      <c r="BG803" s="16"/>
      <c r="BH803"/>
      <c r="BI803"/>
      <c r="BJ803"/>
      <c r="BK803"/>
      <c r="BL803"/>
      <c r="BM803"/>
      <c r="BN803"/>
      <c r="BO803"/>
      <c r="BP803"/>
      <c r="BQ803"/>
      <c r="BR803"/>
      <c r="BS803"/>
      <c r="BT803"/>
      <c r="BU803"/>
      <c r="BV803"/>
      <c r="BW803"/>
      <c r="BX803"/>
      <c r="BY803"/>
      <c r="BZ803"/>
      <c r="CA803" s="1396"/>
      <c r="CB803" s="1396"/>
      <c r="CC803"/>
      <c r="CD803"/>
      <c r="CE803"/>
    </row>
    <row r="804" spans="1:83" ht="13.5" outlineLevel="1" thickBot="1" x14ac:dyDescent="0.25">
      <c r="A804"/>
      <c r="B804" s="1"/>
      <c r="C804" s="1"/>
      <c r="D804" s="76"/>
      <c r="E804" s="76"/>
      <c r="F804" s="76"/>
      <c r="G804" s="9"/>
      <c r="H804" s="9"/>
      <c r="I804" s="1"/>
      <c r="J804"/>
      <c r="K804"/>
      <c r="L804"/>
      <c r="M804"/>
      <c r="N804"/>
      <c r="O804"/>
      <c r="P804" s="89"/>
      <c r="Q804"/>
      <c r="R804" s="1"/>
      <c r="S804" s="993">
        <v>1</v>
      </c>
      <c r="T804" s="961"/>
      <c r="U804" s="961"/>
      <c r="V804" s="961"/>
      <c r="W804" s="960"/>
      <c r="X804" s="960"/>
      <c r="Y804" s="960"/>
      <c r="Z804" s="962"/>
      <c r="AA804" s="123"/>
      <c r="AB804" s="1461" t="str">
        <f>IF(MaxScore,N_MaxScore,"")</f>
        <v>Score Max</v>
      </c>
      <c r="AC804" s="1461"/>
      <c r="AD804" s="1461"/>
      <c r="AE804" s="964"/>
      <c r="AF804" s="964"/>
      <c r="AG804" s="964"/>
      <c r="AH804" s="964"/>
      <c r="AI804" s="964"/>
      <c r="AJ804" s="964"/>
      <c r="AK804" s="96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s="1396"/>
      <c r="CB804" s="1396"/>
      <c r="CC804"/>
      <c r="CD804"/>
      <c r="CE804"/>
    </row>
    <row r="805" spans="1:83" ht="13.9" customHeight="1" outlineLevel="2" thickBot="1" x14ac:dyDescent="0.25">
      <c r="A805"/>
      <c r="B805" s="1"/>
      <c r="C805"/>
      <c r="D805"/>
      <c r="E805"/>
      <c r="F805"/>
      <c r="G805" s="1"/>
      <c r="H805" s="1"/>
      <c r="I805"/>
      <c r="J805"/>
      <c r="K805"/>
      <c r="L805"/>
      <c r="M805"/>
      <c r="N805"/>
      <c r="O805"/>
      <c r="P805"/>
      <c r="Q805"/>
      <c r="S805" s="18" t="str">
        <f>N_Heure</f>
        <v>Heure</v>
      </c>
      <c r="T805" s="22" t="str">
        <f>N_Table</f>
        <v>Table</v>
      </c>
      <c r="U805" s="952" t="str">
        <f>N_Arbitre</f>
        <v>Arbitre</v>
      </c>
      <c r="V805" s="293" t="str">
        <f>N_Matches</f>
        <v>Matches</v>
      </c>
      <c r="W805" s="294"/>
      <c r="X805" s="294"/>
      <c r="Y805" s="294"/>
      <c r="Z805" s="295"/>
      <c r="AA805" s="8"/>
      <c r="AB805" s="967"/>
      <c r="AC805" s="967"/>
      <c r="AD805" s="967"/>
      <c r="AE805" s="964"/>
      <c r="AF805" s="964"/>
      <c r="AG805" s="964"/>
      <c r="AH805" s="964"/>
      <c r="AI805" s="964"/>
      <c r="AJ805" s="964"/>
      <c r="AK805" s="964"/>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s="1396"/>
      <c r="CB805" s="1396"/>
      <c r="CC805"/>
      <c r="CD805"/>
      <c r="CE805"/>
    </row>
    <row r="806" spans="1:83" ht="13.15" customHeight="1" outlineLevel="2" x14ac:dyDescent="0.2">
      <c r="A806"/>
      <c r="B806" s="1"/>
      <c r="C806"/>
      <c r="D806"/>
      <c r="E806"/>
      <c r="F806"/>
      <c r="G806" s="1"/>
      <c r="H806" s="1"/>
      <c r="I806"/>
      <c r="J806"/>
      <c r="K806"/>
      <c r="L806"/>
      <c r="M806"/>
      <c r="N806"/>
      <c r="O806"/>
      <c r="P806"/>
      <c r="Q806"/>
      <c r="R806" s="558" t="s">
        <v>1726</v>
      </c>
      <c r="S806" s="65"/>
      <c r="T806" s="953"/>
      <c r="U806" s="954"/>
      <c r="V806" s="34" t="str">
        <f>IF(G789="","",G789)</f>
        <v>A</v>
      </c>
      <c r="W806" s="148"/>
      <c r="X806" s="35" t="s">
        <v>769</v>
      </c>
      <c r="Y806" s="148"/>
      <c r="Z806" s="36" t="str">
        <f>IF(G790="","",G790)</f>
        <v>B</v>
      </c>
      <c r="AA806" s="123"/>
      <c r="AB806" s="1459">
        <f t="shared" ref="AB806:AB812" si="446">IF(MaxScore,MaxGoals(W806,Y806,MaxGoalsValue),IF(W806="","",W806))</f>
        <v>0</v>
      </c>
      <c r="AC806" s="1460" t="str">
        <f t="shared" ref="AC806:AC812" si="447">IF(MaxScore,"-",IF(W806="","","-"))</f>
        <v>-</v>
      </c>
      <c r="AD806" s="1459">
        <f t="shared" ref="AD806:AD812" si="448">IF(MaxScore,MaxGoals(Y806,W806,MaxGoalsValue),IF(Y806="","",Y806))</f>
        <v>0</v>
      </c>
      <c r="AE806" s="964" t="str">
        <f t="shared" ref="AE806:AE812" si="449">IF(W806="","",IF(W806&gt;Y806,V806,IF(W806=Y806,"",Z806)))</f>
        <v/>
      </c>
      <c r="AF806" s="964" t="str">
        <f t="shared" ref="AF806:AF812" si="450">IF(W806="","",IF(W806=Y806,V806,""))</f>
        <v/>
      </c>
      <c r="AG806" s="964" t="str">
        <f t="shared" ref="AG806:AG812" si="451">IF(W806="","",IF(W806=Y806,Z806,""))</f>
        <v/>
      </c>
      <c r="AH806" s="964" t="str">
        <f t="shared" ref="AH806:AH812" si="452">IF(W806="","",IF(W806&lt;Y806,V806,IF(W806=Y806,"",Z806)))</f>
        <v/>
      </c>
      <c r="AI806" s="964" t="str">
        <f t="shared" ref="AI806:AI812" si="453">CONCATENATE(AE806,AH806)</f>
        <v/>
      </c>
      <c r="AJ806" s="964"/>
      <c r="AK806" s="964"/>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s="1396"/>
      <c r="CB806" s="1396"/>
      <c r="CC806"/>
      <c r="CD806"/>
      <c r="CE806"/>
    </row>
    <row r="807" spans="1:83" ht="13.15" customHeight="1" outlineLevel="2" x14ac:dyDescent="0.2">
      <c r="A807"/>
      <c r="B807" s="1"/>
      <c r="C807"/>
      <c r="D807"/>
      <c r="E807"/>
      <c r="F807"/>
      <c r="G807" s="1"/>
      <c r="H807" s="1"/>
      <c r="I807"/>
      <c r="J807"/>
      <c r="K807"/>
      <c r="L807"/>
      <c r="M807"/>
      <c r="N807"/>
      <c r="O807"/>
      <c r="P807"/>
      <c r="Q807"/>
      <c r="R807" s="558" t="s">
        <v>1726</v>
      </c>
      <c r="S807" s="83"/>
      <c r="T807" s="56"/>
      <c r="U807" s="955"/>
      <c r="V807" s="43" t="str">
        <f>IF(G791="","",G791)</f>
        <v>C</v>
      </c>
      <c r="W807" s="10"/>
      <c r="X807" s="45" t="s">
        <v>769</v>
      </c>
      <c r="Y807" s="10"/>
      <c r="Z807" s="46" t="str">
        <f>IF(G792="","",G792)</f>
        <v>D</v>
      </c>
      <c r="AA807" s="123"/>
      <c r="AB807" s="1459">
        <f t="shared" si="446"/>
        <v>0</v>
      </c>
      <c r="AC807" s="1460" t="str">
        <f t="shared" si="447"/>
        <v>-</v>
      </c>
      <c r="AD807" s="1459">
        <f t="shared" si="448"/>
        <v>0</v>
      </c>
      <c r="AE807" s="964" t="str">
        <f t="shared" si="449"/>
        <v/>
      </c>
      <c r="AF807" s="964" t="str">
        <f t="shared" si="450"/>
        <v/>
      </c>
      <c r="AG807" s="964" t="str">
        <f t="shared" si="451"/>
        <v/>
      </c>
      <c r="AH807" s="964" t="str">
        <f t="shared" si="452"/>
        <v/>
      </c>
      <c r="AI807" s="964" t="str">
        <f t="shared" si="453"/>
        <v/>
      </c>
      <c r="AJ807" s="964"/>
      <c r="AK807" s="964"/>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s="1396"/>
      <c r="CB807" s="1396"/>
      <c r="CC807"/>
      <c r="CD807"/>
      <c r="CE807"/>
    </row>
    <row r="808" spans="1:83" ht="13.15" customHeight="1" outlineLevel="2" x14ac:dyDescent="0.2">
      <c r="A808"/>
      <c r="B808" s="1"/>
      <c r="C808"/>
      <c r="D808"/>
      <c r="E808"/>
      <c r="F808"/>
      <c r="G808" s="1"/>
      <c r="H808" s="1"/>
      <c r="I808"/>
      <c r="J808"/>
      <c r="K808"/>
      <c r="L808"/>
      <c r="M808"/>
      <c r="N808"/>
      <c r="O808"/>
      <c r="P808"/>
      <c r="Q808"/>
      <c r="R808" s="558" t="s">
        <v>1726</v>
      </c>
      <c r="S808" s="83"/>
      <c r="T808" s="56"/>
      <c r="U808" s="955"/>
      <c r="V808" s="43" t="str">
        <f>IF(G793="","",G793)</f>
        <v>E</v>
      </c>
      <c r="W808" s="10"/>
      <c r="X808" s="45" t="s">
        <v>769</v>
      </c>
      <c r="Y808" s="10"/>
      <c r="Z808" s="46" t="str">
        <f>IF(G794="","",G794)</f>
        <v>F</v>
      </c>
      <c r="AA808" s="123"/>
      <c r="AB808" s="1459">
        <f t="shared" si="446"/>
        <v>0</v>
      </c>
      <c r="AC808" s="1460" t="str">
        <f t="shared" si="447"/>
        <v>-</v>
      </c>
      <c r="AD808" s="1459">
        <f t="shared" si="448"/>
        <v>0</v>
      </c>
      <c r="AE808" s="964" t="str">
        <f t="shared" si="449"/>
        <v/>
      </c>
      <c r="AF808" s="964" t="str">
        <f t="shared" si="450"/>
        <v/>
      </c>
      <c r="AG808" s="964" t="str">
        <f t="shared" si="451"/>
        <v/>
      </c>
      <c r="AH808" s="964" t="str">
        <f t="shared" si="452"/>
        <v/>
      </c>
      <c r="AI808" s="964" t="str">
        <f t="shared" si="453"/>
        <v/>
      </c>
      <c r="AJ808" s="964"/>
      <c r="AK808" s="964"/>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s="1396"/>
      <c r="CB808" s="1396"/>
      <c r="CC808"/>
      <c r="CD808"/>
      <c r="CE808"/>
    </row>
    <row r="809" spans="1:83" ht="13.15" customHeight="1" outlineLevel="2" x14ac:dyDescent="0.2">
      <c r="A809"/>
      <c r="B809" s="1"/>
      <c r="C809"/>
      <c r="D809"/>
      <c r="E809"/>
      <c r="F809"/>
      <c r="G809" s="1"/>
      <c r="H809" s="1"/>
      <c r="I809"/>
      <c r="J809"/>
      <c r="K809"/>
      <c r="L809"/>
      <c r="M809"/>
      <c r="N809"/>
      <c r="O809"/>
      <c r="P809"/>
      <c r="Q809"/>
      <c r="R809" s="558" t="s">
        <v>1726</v>
      </c>
      <c r="S809" s="83"/>
      <c r="T809" s="56"/>
      <c r="U809" s="955"/>
      <c r="V809" s="43" t="str">
        <f>IF(G795="","",G795)</f>
        <v>G</v>
      </c>
      <c r="W809" s="10"/>
      <c r="X809" s="45" t="s">
        <v>769</v>
      </c>
      <c r="Y809" s="10"/>
      <c r="Z809" s="46" t="str">
        <f>IF(G796="","",G796)</f>
        <v>H</v>
      </c>
      <c r="AA809" s="123"/>
      <c r="AB809" s="1459">
        <f t="shared" si="446"/>
        <v>0</v>
      </c>
      <c r="AC809" s="1460" t="str">
        <f t="shared" si="447"/>
        <v>-</v>
      </c>
      <c r="AD809" s="1459">
        <f t="shared" si="448"/>
        <v>0</v>
      </c>
      <c r="AE809" s="964" t="str">
        <f t="shared" si="449"/>
        <v/>
      </c>
      <c r="AF809" s="964" t="str">
        <f t="shared" si="450"/>
        <v/>
      </c>
      <c r="AG809" s="964" t="str">
        <f t="shared" si="451"/>
        <v/>
      </c>
      <c r="AH809" s="964" t="str">
        <f t="shared" si="452"/>
        <v/>
      </c>
      <c r="AI809" s="964" t="str">
        <f t="shared" si="453"/>
        <v/>
      </c>
      <c r="AJ809" s="964"/>
      <c r="AK809" s="964"/>
      <c r="AL809"/>
      <c r="AM809"/>
      <c r="AN809"/>
      <c r="AO809"/>
      <c r="AP809"/>
      <c r="AQ809"/>
      <c r="AR809"/>
      <c r="AS809"/>
      <c r="AT809"/>
      <c r="AU809"/>
      <c r="AV809"/>
      <c r="AW809"/>
      <c r="AX809" s="9"/>
      <c r="AY809"/>
      <c r="AZ809"/>
      <c r="BA809"/>
      <c r="BB809"/>
      <c r="BC809"/>
      <c r="BD809"/>
      <c r="BE809"/>
      <c r="BF809"/>
      <c r="BG809"/>
      <c r="BH809"/>
      <c r="BI809"/>
      <c r="BJ809"/>
      <c r="BK809"/>
      <c r="BL809"/>
      <c r="BM809"/>
      <c r="BN809"/>
      <c r="BO809"/>
      <c r="BP809"/>
      <c r="BQ809"/>
      <c r="BR809"/>
      <c r="BS809"/>
      <c r="BT809"/>
      <c r="BU809"/>
      <c r="BV809"/>
      <c r="BW809"/>
      <c r="BX809"/>
      <c r="BY809"/>
      <c r="BZ809"/>
      <c r="CA809" s="1396"/>
      <c r="CB809" s="1396"/>
      <c r="CC809"/>
      <c r="CD809"/>
      <c r="CE809"/>
    </row>
    <row r="810" spans="1:83" ht="13.15" customHeight="1" outlineLevel="2" x14ac:dyDescent="0.2">
      <c r="A810"/>
      <c r="B810" s="1"/>
      <c r="C810"/>
      <c r="D810"/>
      <c r="E810"/>
      <c r="F810"/>
      <c r="G810" s="1"/>
      <c r="H810" s="1"/>
      <c r="I810"/>
      <c r="J810"/>
      <c r="K810"/>
      <c r="L810"/>
      <c r="M810"/>
      <c r="N810"/>
      <c r="O810"/>
      <c r="P810"/>
      <c r="Q810"/>
      <c r="R810" s="558" t="s">
        <v>1726</v>
      </c>
      <c r="S810" s="83"/>
      <c r="T810" s="56"/>
      <c r="U810" s="955"/>
      <c r="V810" s="43" t="str">
        <f>IF(G797="","",G797)</f>
        <v>I</v>
      </c>
      <c r="W810" s="10"/>
      <c r="X810" s="45" t="s">
        <v>769</v>
      </c>
      <c r="Y810" s="10"/>
      <c r="Z810" s="46" t="str">
        <f>IF(G798="","",G798)</f>
        <v>J</v>
      </c>
      <c r="AA810" s="123"/>
      <c r="AB810" s="1459">
        <f t="shared" si="446"/>
        <v>0</v>
      </c>
      <c r="AC810" s="1460" t="str">
        <f t="shared" si="447"/>
        <v>-</v>
      </c>
      <c r="AD810" s="1459">
        <f t="shared" si="448"/>
        <v>0</v>
      </c>
      <c r="AE810" s="964" t="str">
        <f t="shared" si="449"/>
        <v/>
      </c>
      <c r="AF810" s="964" t="str">
        <f t="shared" si="450"/>
        <v/>
      </c>
      <c r="AG810" s="964" t="str">
        <f t="shared" si="451"/>
        <v/>
      </c>
      <c r="AH810" s="964" t="str">
        <f t="shared" si="452"/>
        <v/>
      </c>
      <c r="AI810" s="964" t="str">
        <f t="shared" si="453"/>
        <v/>
      </c>
      <c r="AJ810" s="964"/>
      <c r="AK810" s="964"/>
      <c r="AL810"/>
      <c r="AM810"/>
      <c r="AN810"/>
      <c r="AO810"/>
      <c r="AP810"/>
      <c r="AQ810"/>
      <c r="AR810"/>
      <c r="AS810"/>
      <c r="AT810"/>
      <c r="AU810"/>
      <c r="AV810"/>
      <c r="AW810" s="9"/>
      <c r="AX810" s="9"/>
      <c r="AY810"/>
      <c r="AZ810"/>
      <c r="BA810"/>
      <c r="BB810"/>
      <c r="BC810"/>
      <c r="BD810"/>
      <c r="BE810"/>
      <c r="BF810"/>
      <c r="BG810"/>
      <c r="BH810"/>
      <c r="BI810"/>
      <c r="BJ810"/>
      <c r="BK810"/>
      <c r="BL810"/>
      <c r="BM810"/>
      <c r="BN810"/>
      <c r="BO810"/>
      <c r="BP810"/>
      <c r="BQ810"/>
      <c r="BR810"/>
      <c r="BS810"/>
      <c r="BT810"/>
      <c r="BU810"/>
      <c r="BV810"/>
      <c r="BW810"/>
      <c r="BX810"/>
      <c r="BY810"/>
      <c r="BZ810"/>
      <c r="CA810" s="1396"/>
      <c r="CB810" s="1396"/>
      <c r="CC810"/>
      <c r="CD810"/>
      <c r="CE810"/>
    </row>
    <row r="811" spans="1:83" ht="13.15" customHeight="1" outlineLevel="2" x14ac:dyDescent="0.2">
      <c r="A811"/>
      <c r="B811" s="1"/>
      <c r="C811"/>
      <c r="D811"/>
      <c r="E811"/>
      <c r="F811"/>
      <c r="G811" s="1"/>
      <c r="H811" s="1"/>
      <c r="I811"/>
      <c r="J811"/>
      <c r="K811"/>
      <c r="L811"/>
      <c r="M811"/>
      <c r="N811"/>
      <c r="O811"/>
      <c r="P811"/>
      <c r="Q811"/>
      <c r="R811" s="558" t="s">
        <v>1726</v>
      </c>
      <c r="S811" s="83"/>
      <c r="T811" s="56"/>
      <c r="U811" s="955"/>
      <c r="V811" s="43" t="str">
        <f>IF(G799="","",G799)</f>
        <v>K</v>
      </c>
      <c r="W811" s="10"/>
      <c r="X811" s="45" t="s">
        <v>769</v>
      </c>
      <c r="Y811" s="10"/>
      <c r="Z811" s="46" t="str">
        <f>IF(G800="","",G800)</f>
        <v>L</v>
      </c>
      <c r="AA811" s="123"/>
      <c r="AB811" s="1459">
        <f t="shared" si="446"/>
        <v>0</v>
      </c>
      <c r="AC811" s="1460" t="str">
        <f t="shared" si="447"/>
        <v>-</v>
      </c>
      <c r="AD811" s="1459">
        <f t="shared" si="448"/>
        <v>0</v>
      </c>
      <c r="AE811" s="964" t="str">
        <f t="shared" si="449"/>
        <v/>
      </c>
      <c r="AF811" s="964" t="str">
        <f t="shared" si="450"/>
        <v/>
      </c>
      <c r="AG811" s="964" t="str">
        <f t="shared" si="451"/>
        <v/>
      </c>
      <c r="AH811" s="964" t="str">
        <f t="shared" si="452"/>
        <v/>
      </c>
      <c r="AI811" s="964" t="str">
        <f t="shared" si="453"/>
        <v/>
      </c>
      <c r="AJ811" s="964"/>
      <c r="AK811" s="964"/>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s="1396"/>
      <c r="CB811" s="1396"/>
      <c r="CC811"/>
      <c r="CD811"/>
      <c r="CE811"/>
    </row>
    <row r="812" spans="1:83" ht="13.15" customHeight="1" outlineLevel="2" thickBot="1" x14ac:dyDescent="0.25">
      <c r="A812"/>
      <c r="B812" s="1"/>
      <c r="C812"/>
      <c r="D812"/>
      <c r="E812"/>
      <c r="F812"/>
      <c r="G812" s="1"/>
      <c r="H812" s="1"/>
      <c r="I812"/>
      <c r="J812"/>
      <c r="K812"/>
      <c r="L812"/>
      <c r="M812"/>
      <c r="N812"/>
      <c r="O812"/>
      <c r="P812"/>
      <c r="Q812"/>
      <c r="R812" s="558" t="s">
        <v>1726</v>
      </c>
      <c r="S812" s="83"/>
      <c r="T812" s="56"/>
      <c r="U812" s="955"/>
      <c r="V812" s="43" t="str">
        <f>IF(G801="","",G801)</f>
        <v>M</v>
      </c>
      <c r="W812" s="10"/>
      <c r="X812" s="45" t="s">
        <v>769</v>
      </c>
      <c r="Y812" s="10"/>
      <c r="Z812" s="46" t="str">
        <f>IF(G802="","",G802)</f>
        <v>N</v>
      </c>
      <c r="AA812" s="123"/>
      <c r="AB812" s="1459">
        <f t="shared" si="446"/>
        <v>0</v>
      </c>
      <c r="AC812" s="1460" t="str">
        <f t="shared" si="447"/>
        <v>-</v>
      </c>
      <c r="AD812" s="1459">
        <f t="shared" si="448"/>
        <v>0</v>
      </c>
      <c r="AE812" s="964" t="str">
        <f t="shared" si="449"/>
        <v/>
      </c>
      <c r="AF812" s="964" t="str">
        <f t="shared" si="450"/>
        <v/>
      </c>
      <c r="AG812" s="964" t="str">
        <f t="shared" si="451"/>
        <v/>
      </c>
      <c r="AH812" s="964" t="str">
        <f t="shared" si="452"/>
        <v/>
      </c>
      <c r="AI812" s="964" t="str">
        <f t="shared" si="453"/>
        <v/>
      </c>
      <c r="AJ812" s="964"/>
      <c r="AK812" s="964"/>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s="1396"/>
      <c r="CB812" s="1396"/>
      <c r="CC812"/>
      <c r="CD812"/>
      <c r="CE812"/>
    </row>
    <row r="813" spans="1:83" ht="13.5" outlineLevel="1" thickBot="1" x14ac:dyDescent="0.25">
      <c r="A813"/>
      <c r="B813" s="1"/>
      <c r="C813" s="1"/>
      <c r="D813" s="76"/>
      <c r="E813" s="76"/>
      <c r="F813" s="76"/>
      <c r="G813" s="9"/>
      <c r="H813" s="9"/>
      <c r="I813" s="1"/>
      <c r="J813"/>
      <c r="K813"/>
      <c r="L813"/>
      <c r="M813"/>
      <c r="N813"/>
      <c r="O813"/>
      <c r="P813" s="89"/>
      <c r="Q813"/>
      <c r="R813" s="1"/>
      <c r="S813" s="993">
        <f>S804+1</f>
        <v>2</v>
      </c>
      <c r="T813" s="961"/>
      <c r="U813" s="961"/>
      <c r="V813" s="961"/>
      <c r="W813" s="960"/>
      <c r="X813" s="960"/>
      <c r="Y813" s="960"/>
      <c r="Z813" s="962"/>
      <c r="AA813" s="123"/>
      <c r="AB813" s="963"/>
      <c r="AC813" s="963"/>
      <c r="AD813" s="963"/>
      <c r="AE813" s="964"/>
      <c r="AF813" s="964"/>
      <c r="AG813" s="964"/>
      <c r="AH813" s="964"/>
      <c r="AI813" s="964"/>
      <c r="AJ813" s="964"/>
      <c r="AK813" s="964"/>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s="1396"/>
      <c r="CB813" s="1396"/>
      <c r="CC813"/>
      <c r="CD813"/>
      <c r="CE813"/>
    </row>
    <row r="814" spans="1:83" ht="13.9" customHeight="1" outlineLevel="2" thickBot="1" x14ac:dyDescent="0.25">
      <c r="A814"/>
      <c r="B814" s="1"/>
      <c r="C814"/>
      <c r="D814"/>
      <c r="E814"/>
      <c r="F814"/>
      <c r="G814" s="1"/>
      <c r="H814" s="1"/>
      <c r="I814"/>
      <c r="J814"/>
      <c r="K814"/>
      <c r="L814"/>
      <c r="M814"/>
      <c r="N814"/>
      <c r="O814"/>
      <c r="P814"/>
      <c r="Q814"/>
      <c r="S814" s="22" t="str">
        <f>N_Heure</f>
        <v>Heure</v>
      </c>
      <c r="T814" s="22" t="str">
        <f>N_Table</f>
        <v>Table</v>
      </c>
      <c r="U814" s="22" t="str">
        <f>N_Arbitre</f>
        <v>Arbitre</v>
      </c>
      <c r="V814" s="293" t="str">
        <f>N_Matches</f>
        <v>Matches</v>
      </c>
      <c r="W814" s="294"/>
      <c r="X814" s="294"/>
      <c r="Y814" s="294"/>
      <c r="Z814" s="295"/>
      <c r="AA814" s="8"/>
      <c r="AB814" s="967"/>
      <c r="AC814" s="967"/>
      <c r="AD814" s="967"/>
      <c r="AE814" s="964"/>
      <c r="AF814" s="964"/>
      <c r="AG814" s="964"/>
      <c r="AH814" s="964"/>
      <c r="AI814" s="964"/>
      <c r="AJ814" s="964"/>
      <c r="AK814" s="96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s="1396"/>
      <c r="CB814" s="1396"/>
      <c r="CC814"/>
      <c r="CD814"/>
      <c r="CE814"/>
    </row>
    <row r="815" spans="1:83" ht="13.15" customHeight="1" outlineLevel="2" x14ac:dyDescent="0.2">
      <c r="A815"/>
      <c r="B815" s="1"/>
      <c r="C815"/>
      <c r="D815"/>
      <c r="E815"/>
      <c r="F815"/>
      <c r="G815" s="1"/>
      <c r="H815" s="1"/>
      <c r="I815"/>
      <c r="J815"/>
      <c r="K815"/>
      <c r="L815"/>
      <c r="M815"/>
      <c r="N815"/>
      <c r="O815"/>
      <c r="P815"/>
      <c r="Q815"/>
      <c r="R815" s="558" t="s">
        <v>1727</v>
      </c>
      <c r="S815" s="65"/>
      <c r="T815" s="953"/>
      <c r="U815" s="954"/>
      <c r="V815" s="34" t="str">
        <f>V807</f>
        <v>C</v>
      </c>
      <c r="W815" s="148"/>
      <c r="X815" s="35" t="s">
        <v>769</v>
      </c>
      <c r="Y815" s="148"/>
      <c r="Z815" s="36" t="str">
        <f>V806</f>
        <v>A</v>
      </c>
      <c r="AA815" s="123"/>
      <c r="AB815" s="1459">
        <f t="shared" ref="AB815:AB821" si="454">IF(MaxScore,MaxGoals(W815,Y815,MaxGoalsValue),IF(W815="","",W815))</f>
        <v>0</v>
      </c>
      <c r="AC815" s="1460" t="str">
        <f t="shared" ref="AC815:AC821" si="455">IF(MaxScore,"-",IF(W815="","","-"))</f>
        <v>-</v>
      </c>
      <c r="AD815" s="1459">
        <f t="shared" ref="AD815:AD821" si="456">IF(MaxScore,MaxGoals(Y815,W815,MaxGoalsValue),IF(Y815="","",Y815))</f>
        <v>0</v>
      </c>
      <c r="AE815" s="964" t="str">
        <f t="shared" ref="AE815:AE821" si="457">IF(W815="","",IF(W815&gt;Y815,V815,IF(W815=Y815,"",Z815)))</f>
        <v/>
      </c>
      <c r="AF815" s="964" t="str">
        <f t="shared" ref="AF815:AF821" si="458">IF(W815="","",IF(W815=Y815,V815,""))</f>
        <v/>
      </c>
      <c r="AG815" s="964" t="str">
        <f t="shared" ref="AG815:AG821" si="459">IF(W815="","",IF(W815=Y815,Z815,""))</f>
        <v/>
      </c>
      <c r="AH815" s="964" t="str">
        <f t="shared" ref="AH815:AH821" si="460">IF(W815="","",IF(W815&lt;Y815,V815,IF(W815=Y815,"",Z815)))</f>
        <v/>
      </c>
      <c r="AI815" s="964" t="str">
        <f t="shared" ref="AI815:AI821" si="461">CONCATENATE(AE815,AH815)</f>
        <v/>
      </c>
      <c r="AJ815" s="964"/>
      <c r="AK815" s="964"/>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s="1396"/>
      <c r="CB815" s="1396"/>
      <c r="CC815"/>
      <c r="CD815"/>
      <c r="CE815"/>
    </row>
    <row r="816" spans="1:83" ht="13.15" customHeight="1" outlineLevel="2" x14ac:dyDescent="0.2">
      <c r="A816"/>
      <c r="B816" s="1"/>
      <c r="C816"/>
      <c r="D816"/>
      <c r="E816"/>
      <c r="F816"/>
      <c r="G816" s="1"/>
      <c r="H816" s="1"/>
      <c r="I816"/>
      <c r="J816"/>
      <c r="K816"/>
      <c r="L816"/>
      <c r="M816"/>
      <c r="N816"/>
      <c r="O816"/>
      <c r="P816"/>
      <c r="Q816"/>
      <c r="R816" s="558" t="s">
        <v>1727</v>
      </c>
      <c r="S816" s="83"/>
      <c r="T816" s="56"/>
      <c r="U816" s="955"/>
      <c r="V816" s="43" t="str">
        <f t="shared" ref="V816:V821" si="462">Z806</f>
        <v>B</v>
      </c>
      <c r="W816" s="10"/>
      <c r="X816" s="45" t="s">
        <v>769</v>
      </c>
      <c r="Y816" s="10"/>
      <c r="Z816" s="46" t="str">
        <f>V808</f>
        <v>E</v>
      </c>
      <c r="AA816" s="123"/>
      <c r="AB816" s="1459">
        <f t="shared" si="454"/>
        <v>0</v>
      </c>
      <c r="AC816" s="1460" t="str">
        <f t="shared" si="455"/>
        <v>-</v>
      </c>
      <c r="AD816" s="1459">
        <f t="shared" si="456"/>
        <v>0</v>
      </c>
      <c r="AE816" s="964" t="str">
        <f t="shared" si="457"/>
        <v/>
      </c>
      <c r="AF816" s="964" t="str">
        <f t="shared" si="458"/>
        <v/>
      </c>
      <c r="AG816" s="964" t="str">
        <f t="shared" si="459"/>
        <v/>
      </c>
      <c r="AH816" s="964" t="str">
        <f t="shared" si="460"/>
        <v/>
      </c>
      <c r="AI816" s="964" t="str">
        <f t="shared" si="461"/>
        <v/>
      </c>
      <c r="AJ816" s="964"/>
      <c r="AK816" s="964"/>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s="1396"/>
      <c r="CB816" s="1396"/>
      <c r="CC816"/>
      <c r="CD816"/>
      <c r="CE816"/>
    </row>
    <row r="817" spans="1:83" ht="13.15" customHeight="1" outlineLevel="2" x14ac:dyDescent="0.2">
      <c r="A817"/>
      <c r="B817" s="1"/>
      <c r="C817"/>
      <c r="D817"/>
      <c r="E817"/>
      <c r="F817"/>
      <c r="G817" s="1"/>
      <c r="H817" s="1"/>
      <c r="I817"/>
      <c r="J817"/>
      <c r="K817"/>
      <c r="L817"/>
      <c r="M817"/>
      <c r="N817"/>
      <c r="O817"/>
      <c r="P817"/>
      <c r="Q817"/>
      <c r="R817" s="558" t="s">
        <v>1727</v>
      </c>
      <c r="S817" s="83"/>
      <c r="T817" s="56"/>
      <c r="U817" s="955"/>
      <c r="V817" s="43" t="str">
        <f t="shared" si="462"/>
        <v>D</v>
      </c>
      <c r="W817" s="10"/>
      <c r="X817" s="45" t="s">
        <v>769</v>
      </c>
      <c r="Y817" s="10"/>
      <c r="Z817" s="46" t="str">
        <f>V809</f>
        <v>G</v>
      </c>
      <c r="AA817" s="123"/>
      <c r="AB817" s="1459">
        <f t="shared" si="454"/>
        <v>0</v>
      </c>
      <c r="AC817" s="1460" t="str">
        <f t="shared" si="455"/>
        <v>-</v>
      </c>
      <c r="AD817" s="1459">
        <f t="shared" si="456"/>
        <v>0</v>
      </c>
      <c r="AE817" s="964" t="str">
        <f t="shared" si="457"/>
        <v/>
      </c>
      <c r="AF817" s="964" t="str">
        <f t="shared" si="458"/>
        <v/>
      </c>
      <c r="AG817" s="964" t="str">
        <f t="shared" si="459"/>
        <v/>
      </c>
      <c r="AH817" s="964" t="str">
        <f t="shared" si="460"/>
        <v/>
      </c>
      <c r="AI817" s="964" t="str">
        <f t="shared" si="461"/>
        <v/>
      </c>
      <c r="AJ817" s="964"/>
      <c r="AK817" s="964"/>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s="1396"/>
      <c r="CB817" s="1396"/>
      <c r="CC817"/>
      <c r="CD817"/>
      <c r="CE817"/>
    </row>
    <row r="818" spans="1:83" ht="13.15" customHeight="1" outlineLevel="2" x14ac:dyDescent="0.2">
      <c r="A818"/>
      <c r="B818" s="1"/>
      <c r="C818"/>
      <c r="D818"/>
      <c r="E818"/>
      <c r="F818"/>
      <c r="G818" s="1"/>
      <c r="H818" s="1"/>
      <c r="I818"/>
      <c r="J818"/>
      <c r="K818"/>
      <c r="L818"/>
      <c r="M818"/>
      <c r="N818"/>
      <c r="O818"/>
      <c r="P818"/>
      <c r="Q818"/>
      <c r="R818" s="558" t="s">
        <v>1727</v>
      </c>
      <c r="S818" s="83"/>
      <c r="T818" s="56"/>
      <c r="U818" s="955"/>
      <c r="V818" s="43" t="str">
        <f t="shared" si="462"/>
        <v>F</v>
      </c>
      <c r="W818" s="10"/>
      <c r="X818" s="45" t="s">
        <v>769</v>
      </c>
      <c r="Y818" s="10"/>
      <c r="Z818" s="46" t="str">
        <f>V810</f>
        <v>I</v>
      </c>
      <c r="AA818" s="123"/>
      <c r="AB818" s="1459">
        <f t="shared" si="454"/>
        <v>0</v>
      </c>
      <c r="AC818" s="1460" t="str">
        <f t="shared" si="455"/>
        <v>-</v>
      </c>
      <c r="AD818" s="1459">
        <f t="shared" si="456"/>
        <v>0</v>
      </c>
      <c r="AE818" s="964" t="str">
        <f t="shared" si="457"/>
        <v/>
      </c>
      <c r="AF818" s="964" t="str">
        <f t="shared" si="458"/>
        <v/>
      </c>
      <c r="AG818" s="964" t="str">
        <f t="shared" si="459"/>
        <v/>
      </c>
      <c r="AH818" s="964" t="str">
        <f t="shared" si="460"/>
        <v/>
      </c>
      <c r="AI818" s="964" t="str">
        <f t="shared" si="461"/>
        <v/>
      </c>
      <c r="AJ818" s="964"/>
      <c r="AK818" s="964"/>
      <c r="AL818"/>
      <c r="AM818"/>
      <c r="AN818"/>
      <c r="AO818"/>
      <c r="AP818"/>
      <c r="AQ818"/>
      <c r="AR818"/>
      <c r="AS818"/>
      <c r="AT818"/>
      <c r="AU818"/>
      <c r="AV818"/>
      <c r="AW818"/>
      <c r="AX818" s="9"/>
      <c r="AY818"/>
      <c r="AZ818"/>
      <c r="BA818"/>
      <c r="BB818"/>
      <c r="BC818"/>
      <c r="BD818"/>
      <c r="BE818"/>
      <c r="BF818"/>
      <c r="BG818"/>
      <c r="BH818"/>
      <c r="BI818"/>
      <c r="BJ818"/>
      <c r="BK818"/>
      <c r="BL818"/>
      <c r="BM818"/>
      <c r="BN818"/>
      <c r="BO818"/>
      <c r="BP818"/>
      <c r="BQ818"/>
      <c r="BR818"/>
      <c r="BS818"/>
      <c r="BT818"/>
      <c r="BU818"/>
      <c r="BV818"/>
      <c r="BW818"/>
      <c r="BX818"/>
      <c r="BY818"/>
      <c r="BZ818"/>
      <c r="CA818" s="1396"/>
      <c r="CB818" s="1396"/>
      <c r="CC818"/>
      <c r="CD818"/>
      <c r="CE818"/>
    </row>
    <row r="819" spans="1:83" ht="13.15" customHeight="1" outlineLevel="2" x14ac:dyDescent="0.2">
      <c r="A819"/>
      <c r="B819" s="1"/>
      <c r="C819"/>
      <c r="D819"/>
      <c r="E819"/>
      <c r="F819"/>
      <c r="G819" s="1"/>
      <c r="H819" s="1"/>
      <c r="I819"/>
      <c r="J819"/>
      <c r="K819"/>
      <c r="L819"/>
      <c r="M819"/>
      <c r="N819"/>
      <c r="O819"/>
      <c r="P819"/>
      <c r="Q819"/>
      <c r="R819" s="558" t="s">
        <v>1727</v>
      </c>
      <c r="S819" s="83"/>
      <c r="T819" s="56"/>
      <c r="U819" s="955"/>
      <c r="V819" s="43" t="str">
        <f t="shared" si="462"/>
        <v>H</v>
      </c>
      <c r="W819" s="10"/>
      <c r="X819" s="45" t="s">
        <v>769</v>
      </c>
      <c r="Y819" s="10"/>
      <c r="Z819" s="46" t="str">
        <f>V811</f>
        <v>K</v>
      </c>
      <c r="AA819" s="123"/>
      <c r="AB819" s="1459">
        <f t="shared" si="454"/>
        <v>0</v>
      </c>
      <c r="AC819" s="1460" t="str">
        <f t="shared" si="455"/>
        <v>-</v>
      </c>
      <c r="AD819" s="1459">
        <f t="shared" si="456"/>
        <v>0</v>
      </c>
      <c r="AE819" s="964" t="str">
        <f t="shared" si="457"/>
        <v/>
      </c>
      <c r="AF819" s="964" t="str">
        <f t="shared" si="458"/>
        <v/>
      </c>
      <c r="AG819" s="964" t="str">
        <f t="shared" si="459"/>
        <v/>
      </c>
      <c r="AH819" s="964" t="str">
        <f t="shared" si="460"/>
        <v/>
      </c>
      <c r="AI819" s="964" t="str">
        <f t="shared" si="461"/>
        <v/>
      </c>
      <c r="AJ819" s="964"/>
      <c r="AK819" s="964"/>
      <c r="AL819"/>
      <c r="AM819"/>
      <c r="AN819"/>
      <c r="AO819"/>
      <c r="AP819"/>
      <c r="AQ819"/>
      <c r="AR819"/>
      <c r="AS819"/>
      <c r="AT819"/>
      <c r="AU819"/>
      <c r="AV819"/>
      <c r="AW819" s="9"/>
      <c r="AX819" s="9"/>
      <c r="AY819"/>
      <c r="AZ819"/>
      <c r="BA819"/>
      <c r="BB819"/>
      <c r="BC819"/>
      <c r="BD819"/>
      <c r="BE819"/>
      <c r="BF819"/>
      <c r="BG819"/>
      <c r="BH819"/>
      <c r="BI819"/>
      <c r="BJ819"/>
      <c r="BK819"/>
      <c r="BL819"/>
      <c r="BM819"/>
      <c r="BN819"/>
      <c r="BO819"/>
      <c r="BP819"/>
      <c r="BQ819"/>
      <c r="BR819"/>
      <c r="BS819"/>
      <c r="BT819"/>
      <c r="BU819"/>
      <c r="BV819"/>
      <c r="BW819"/>
      <c r="BX819"/>
      <c r="BY819"/>
      <c r="BZ819"/>
      <c r="CA819" s="1396"/>
      <c r="CB819" s="1396"/>
      <c r="CC819"/>
      <c r="CD819"/>
      <c r="CE819"/>
    </row>
    <row r="820" spans="1:83" ht="13.15" customHeight="1" outlineLevel="2" x14ac:dyDescent="0.2">
      <c r="A820"/>
      <c r="B820" s="1"/>
      <c r="C820"/>
      <c r="D820"/>
      <c r="E820"/>
      <c r="F820"/>
      <c r="G820" s="1"/>
      <c r="H820" s="1"/>
      <c r="I820"/>
      <c r="J820"/>
      <c r="K820"/>
      <c r="L820"/>
      <c r="M820"/>
      <c r="N820"/>
      <c r="O820"/>
      <c r="P820"/>
      <c r="Q820"/>
      <c r="R820" s="558" t="s">
        <v>1727</v>
      </c>
      <c r="S820" s="83"/>
      <c r="T820" s="56"/>
      <c r="U820" s="955"/>
      <c r="V820" s="43" t="str">
        <f t="shared" si="462"/>
        <v>J</v>
      </c>
      <c r="W820" s="10"/>
      <c r="X820" s="45" t="s">
        <v>769</v>
      </c>
      <c r="Y820" s="10"/>
      <c r="Z820" s="46" t="str">
        <f>V812</f>
        <v>M</v>
      </c>
      <c r="AA820" s="123"/>
      <c r="AB820" s="1459">
        <f t="shared" si="454"/>
        <v>0</v>
      </c>
      <c r="AC820" s="1460" t="str">
        <f t="shared" si="455"/>
        <v>-</v>
      </c>
      <c r="AD820" s="1459">
        <f t="shared" si="456"/>
        <v>0</v>
      </c>
      <c r="AE820" s="964" t="str">
        <f t="shared" si="457"/>
        <v/>
      </c>
      <c r="AF820" s="964" t="str">
        <f t="shared" si="458"/>
        <v/>
      </c>
      <c r="AG820" s="964" t="str">
        <f t="shared" si="459"/>
        <v/>
      </c>
      <c r="AH820" s="964" t="str">
        <f t="shared" si="460"/>
        <v/>
      </c>
      <c r="AI820" s="964" t="str">
        <f t="shared" si="461"/>
        <v/>
      </c>
      <c r="AJ820" s="964"/>
      <c r="AK820" s="964"/>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s="1396"/>
      <c r="CB820" s="1396"/>
      <c r="CC820"/>
      <c r="CD820"/>
      <c r="CE820"/>
    </row>
    <row r="821" spans="1:83" ht="13.15" customHeight="1" outlineLevel="2" thickBot="1" x14ac:dyDescent="0.25">
      <c r="A821"/>
      <c r="B821" s="1"/>
      <c r="C821"/>
      <c r="D821"/>
      <c r="E821"/>
      <c r="F821"/>
      <c r="G821" s="1"/>
      <c r="H821" s="1"/>
      <c r="I821"/>
      <c r="J821"/>
      <c r="K821"/>
      <c r="L821"/>
      <c r="M821"/>
      <c r="N821"/>
      <c r="O821"/>
      <c r="P821"/>
      <c r="Q821"/>
      <c r="R821" s="558" t="s">
        <v>1727</v>
      </c>
      <c r="S821" s="83"/>
      <c r="T821" s="56"/>
      <c r="U821" s="955"/>
      <c r="V821" s="43" t="str">
        <f t="shared" si="462"/>
        <v>L</v>
      </c>
      <c r="W821" s="10"/>
      <c r="X821" s="45" t="s">
        <v>769</v>
      </c>
      <c r="Y821" s="10"/>
      <c r="Z821" s="46" t="str">
        <f>G803</f>
        <v>O</v>
      </c>
      <c r="AA821" s="123"/>
      <c r="AB821" s="1459">
        <f t="shared" si="454"/>
        <v>0</v>
      </c>
      <c r="AC821" s="1460" t="str">
        <f t="shared" si="455"/>
        <v>-</v>
      </c>
      <c r="AD821" s="1459">
        <f t="shared" si="456"/>
        <v>0</v>
      </c>
      <c r="AE821" s="964" t="str">
        <f t="shared" si="457"/>
        <v/>
      </c>
      <c r="AF821" s="964" t="str">
        <f t="shared" si="458"/>
        <v/>
      </c>
      <c r="AG821" s="964" t="str">
        <f t="shared" si="459"/>
        <v/>
      </c>
      <c r="AH821" s="964" t="str">
        <f t="shared" si="460"/>
        <v/>
      </c>
      <c r="AI821" s="964" t="str">
        <f t="shared" si="461"/>
        <v/>
      </c>
      <c r="AJ821" s="964"/>
      <c r="AK821" s="964"/>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s="1396"/>
      <c r="CB821" s="1396"/>
      <c r="CC821"/>
      <c r="CD821"/>
      <c r="CE821"/>
    </row>
    <row r="822" spans="1:83" ht="13.5" outlineLevel="1" thickBot="1" x14ac:dyDescent="0.25">
      <c r="A822"/>
      <c r="B822" s="1"/>
      <c r="C822" s="1"/>
      <c r="D822" s="76"/>
      <c r="E822" s="76"/>
      <c r="F822" s="76"/>
      <c r="G822" s="9"/>
      <c r="H822" s="9"/>
      <c r="I822" s="1"/>
      <c r="J822"/>
      <c r="K822"/>
      <c r="L822"/>
      <c r="M822"/>
      <c r="N822"/>
      <c r="O822"/>
      <c r="P822" s="89"/>
      <c r="Q822"/>
      <c r="R822" s="1"/>
      <c r="S822" s="993">
        <f>S813+1</f>
        <v>3</v>
      </c>
      <c r="T822" s="961"/>
      <c r="U822" s="961"/>
      <c r="V822" s="961"/>
      <c r="W822" s="960"/>
      <c r="X822" s="960"/>
      <c r="Y822" s="960"/>
      <c r="Z822" s="962"/>
      <c r="AA822" s="123"/>
      <c r="AB822" s="963"/>
      <c r="AC822" s="963"/>
      <c r="AD822" s="963"/>
      <c r="AE822" s="964"/>
      <c r="AF822" s="964"/>
      <c r="AG822" s="964"/>
      <c r="AH822" s="964"/>
      <c r="AI822" s="964"/>
      <c r="AJ822" s="964"/>
      <c r="AK822" s="964"/>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s="1396"/>
      <c r="CB822" s="1396"/>
      <c r="CC822"/>
      <c r="CD822"/>
      <c r="CE822"/>
    </row>
    <row r="823" spans="1:83" ht="13.9" customHeight="1" outlineLevel="2" thickBot="1" x14ac:dyDescent="0.25">
      <c r="A823"/>
      <c r="B823" s="1"/>
      <c r="C823"/>
      <c r="D823"/>
      <c r="E823"/>
      <c r="F823"/>
      <c r="G823" s="1"/>
      <c r="H823" s="1"/>
      <c r="I823"/>
      <c r="J823"/>
      <c r="K823"/>
      <c r="L823"/>
      <c r="M823"/>
      <c r="N823"/>
      <c r="O823"/>
      <c r="P823"/>
      <c r="Q823"/>
      <c r="S823" s="22" t="str">
        <f>N_Heure</f>
        <v>Heure</v>
      </c>
      <c r="T823" s="22" t="str">
        <f>N_Table</f>
        <v>Table</v>
      </c>
      <c r="U823" s="22" t="str">
        <f>N_Arbitre</f>
        <v>Arbitre</v>
      </c>
      <c r="V823" s="293" t="str">
        <f>N_Matches</f>
        <v>Matches</v>
      </c>
      <c r="W823" s="294"/>
      <c r="X823" s="294"/>
      <c r="Y823" s="294"/>
      <c r="Z823" s="295"/>
      <c r="AA823" s="8"/>
      <c r="AB823" s="967"/>
      <c r="AC823" s="967"/>
      <c r="AD823" s="967"/>
      <c r="AE823" s="964"/>
      <c r="AF823" s="964"/>
      <c r="AG823" s="964"/>
      <c r="AH823" s="964"/>
      <c r="AI823" s="964"/>
      <c r="AJ823" s="964"/>
      <c r="AK823" s="964"/>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s="1396"/>
      <c r="CB823" s="1396"/>
      <c r="CC823"/>
      <c r="CD823"/>
      <c r="CE823"/>
    </row>
    <row r="824" spans="1:83" ht="13.15" customHeight="1" outlineLevel="2" x14ac:dyDescent="0.2">
      <c r="A824"/>
      <c r="B824" s="1"/>
      <c r="C824"/>
      <c r="D824"/>
      <c r="E824"/>
      <c r="F824"/>
      <c r="G824" s="1"/>
      <c r="H824" s="1"/>
      <c r="I824"/>
      <c r="J824"/>
      <c r="K824"/>
      <c r="L824"/>
      <c r="M824"/>
      <c r="N824"/>
      <c r="O824"/>
      <c r="P824"/>
      <c r="Q824"/>
      <c r="R824" s="558" t="s">
        <v>1728</v>
      </c>
      <c r="S824" s="65"/>
      <c r="T824" s="953"/>
      <c r="U824" s="954"/>
      <c r="V824" s="34" t="str">
        <f>Z815</f>
        <v>A</v>
      </c>
      <c r="W824" s="148"/>
      <c r="X824" s="35" t="s">
        <v>769</v>
      </c>
      <c r="Y824" s="148"/>
      <c r="Z824" s="36" t="str">
        <f>Z816</f>
        <v>E</v>
      </c>
      <c r="AA824" s="123"/>
      <c r="AB824" s="1459">
        <f t="shared" ref="AB824:AB830" si="463">IF(MaxScore,MaxGoals(W824,Y824,MaxGoalsValue),IF(W824="","",W824))</f>
        <v>0</v>
      </c>
      <c r="AC824" s="1460" t="str">
        <f t="shared" ref="AC824:AC830" si="464">IF(MaxScore,"-",IF(W824="","","-"))</f>
        <v>-</v>
      </c>
      <c r="AD824" s="1459">
        <f t="shared" ref="AD824:AD830" si="465">IF(MaxScore,MaxGoals(Y824,W824,MaxGoalsValue),IF(Y824="","",Y824))</f>
        <v>0</v>
      </c>
      <c r="AE824" s="964" t="str">
        <f t="shared" ref="AE824:AE830" si="466">IF(W824="","",IF(W824&gt;Y824,V824,IF(W824=Y824,"",Z824)))</f>
        <v/>
      </c>
      <c r="AF824" s="964" t="str">
        <f t="shared" ref="AF824:AF830" si="467">IF(W824="","",IF(W824=Y824,V824,""))</f>
        <v/>
      </c>
      <c r="AG824" s="964" t="str">
        <f t="shared" ref="AG824:AG830" si="468">IF(W824="","",IF(W824=Y824,Z824,""))</f>
        <v/>
      </c>
      <c r="AH824" s="964" t="str">
        <f t="shared" ref="AH824:AH830" si="469">IF(W824="","",IF(W824&lt;Y824,V824,IF(W824=Y824,"",Z824)))</f>
        <v/>
      </c>
      <c r="AI824" s="964" t="str">
        <f t="shared" ref="AI824:AI830" si="470">CONCATENATE(AE824,AH824)</f>
        <v/>
      </c>
      <c r="AJ824" s="964"/>
      <c r="AK824" s="96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s="1396"/>
      <c r="CB824" s="1396"/>
      <c r="CC824"/>
      <c r="CD824"/>
      <c r="CE824"/>
    </row>
    <row r="825" spans="1:83" ht="13.15" customHeight="1" outlineLevel="2" x14ac:dyDescent="0.2">
      <c r="A825"/>
      <c r="B825" s="1"/>
      <c r="C825"/>
      <c r="D825"/>
      <c r="E825"/>
      <c r="F825"/>
      <c r="G825" s="1"/>
      <c r="H825" s="1"/>
      <c r="I825"/>
      <c r="J825"/>
      <c r="K825"/>
      <c r="L825"/>
      <c r="M825"/>
      <c r="N825"/>
      <c r="O825"/>
      <c r="P825"/>
      <c r="Q825"/>
      <c r="R825" s="558" t="s">
        <v>1728</v>
      </c>
      <c r="S825" s="83"/>
      <c r="T825" s="56"/>
      <c r="U825" s="955"/>
      <c r="V825" s="43" t="str">
        <f>Z817</f>
        <v>G</v>
      </c>
      <c r="W825" s="10"/>
      <c r="X825" s="45" t="s">
        <v>769</v>
      </c>
      <c r="Y825" s="10"/>
      <c r="Z825" s="46" t="str">
        <f>V815</f>
        <v>C</v>
      </c>
      <c r="AA825" s="123"/>
      <c r="AB825" s="1459">
        <f t="shared" si="463"/>
        <v>0</v>
      </c>
      <c r="AC825" s="1460" t="str">
        <f t="shared" si="464"/>
        <v>-</v>
      </c>
      <c r="AD825" s="1459">
        <f t="shared" si="465"/>
        <v>0</v>
      </c>
      <c r="AE825" s="964" t="str">
        <f t="shared" si="466"/>
        <v/>
      </c>
      <c r="AF825" s="964" t="str">
        <f t="shared" si="467"/>
        <v/>
      </c>
      <c r="AG825" s="964" t="str">
        <f t="shared" si="468"/>
        <v/>
      </c>
      <c r="AH825" s="964" t="str">
        <f t="shared" si="469"/>
        <v/>
      </c>
      <c r="AI825" s="964" t="str">
        <f t="shared" si="470"/>
        <v/>
      </c>
      <c r="AJ825" s="964"/>
      <c r="AK825" s="964"/>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s="1396"/>
      <c r="CB825" s="1396"/>
      <c r="CC825"/>
      <c r="CD825"/>
      <c r="CE825"/>
    </row>
    <row r="826" spans="1:83" ht="13.15" customHeight="1" outlineLevel="2" x14ac:dyDescent="0.2">
      <c r="A826"/>
      <c r="B826" s="1"/>
      <c r="C826"/>
      <c r="D826"/>
      <c r="E826"/>
      <c r="F826"/>
      <c r="G826" s="1"/>
      <c r="H826" s="1"/>
      <c r="I826"/>
      <c r="J826"/>
      <c r="K826"/>
      <c r="L826"/>
      <c r="M826"/>
      <c r="N826"/>
      <c r="O826"/>
      <c r="P826"/>
      <c r="Q826"/>
      <c r="R826" s="558" t="s">
        <v>1728</v>
      </c>
      <c r="S826" s="83"/>
      <c r="T826" s="56"/>
      <c r="U826" s="955"/>
      <c r="V826" s="43" t="str">
        <f>Z818</f>
        <v>I</v>
      </c>
      <c r="W826" s="10"/>
      <c r="X826" s="45" t="s">
        <v>769</v>
      </c>
      <c r="Y826" s="10"/>
      <c r="Z826" s="46" t="str">
        <f>V816</f>
        <v>B</v>
      </c>
      <c r="AA826" s="123"/>
      <c r="AB826" s="1459">
        <f t="shared" si="463"/>
        <v>0</v>
      </c>
      <c r="AC826" s="1460" t="str">
        <f t="shared" si="464"/>
        <v>-</v>
      </c>
      <c r="AD826" s="1459">
        <f t="shared" si="465"/>
        <v>0</v>
      </c>
      <c r="AE826" s="964" t="str">
        <f t="shared" si="466"/>
        <v/>
      </c>
      <c r="AF826" s="964" t="str">
        <f t="shared" si="467"/>
        <v/>
      </c>
      <c r="AG826" s="964" t="str">
        <f t="shared" si="468"/>
        <v/>
      </c>
      <c r="AH826" s="964" t="str">
        <f t="shared" si="469"/>
        <v/>
      </c>
      <c r="AI826" s="964" t="str">
        <f t="shared" si="470"/>
        <v/>
      </c>
      <c r="AJ826" s="964"/>
      <c r="AK826" s="964"/>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s="1396"/>
      <c r="CB826" s="1396"/>
      <c r="CC826"/>
      <c r="CD826"/>
      <c r="CE826"/>
    </row>
    <row r="827" spans="1:83" ht="13.15" customHeight="1" outlineLevel="2" x14ac:dyDescent="0.2">
      <c r="A827"/>
      <c r="B827" s="1"/>
      <c r="C827"/>
      <c r="D827"/>
      <c r="E827"/>
      <c r="F827"/>
      <c r="G827" s="1"/>
      <c r="H827" s="1"/>
      <c r="I827"/>
      <c r="J827"/>
      <c r="K827"/>
      <c r="L827"/>
      <c r="M827"/>
      <c r="N827"/>
      <c r="O827"/>
      <c r="P827"/>
      <c r="Q827"/>
      <c r="R827" s="558" t="s">
        <v>1728</v>
      </c>
      <c r="S827" s="83"/>
      <c r="T827" s="56"/>
      <c r="U827" s="955"/>
      <c r="V827" s="43" t="str">
        <f>Z819</f>
        <v>K</v>
      </c>
      <c r="W827" s="10"/>
      <c r="X827" s="45" t="s">
        <v>769</v>
      </c>
      <c r="Y827" s="10"/>
      <c r="Z827" s="46" t="str">
        <f>V817</f>
        <v>D</v>
      </c>
      <c r="AA827" s="123"/>
      <c r="AB827" s="1459">
        <f t="shared" si="463"/>
        <v>0</v>
      </c>
      <c r="AC827" s="1460" t="str">
        <f t="shared" si="464"/>
        <v>-</v>
      </c>
      <c r="AD827" s="1459">
        <f t="shared" si="465"/>
        <v>0</v>
      </c>
      <c r="AE827" s="964" t="str">
        <f t="shared" si="466"/>
        <v/>
      </c>
      <c r="AF827" s="964" t="str">
        <f t="shared" si="467"/>
        <v/>
      </c>
      <c r="AG827" s="964" t="str">
        <f t="shared" si="468"/>
        <v/>
      </c>
      <c r="AH827" s="964" t="str">
        <f t="shared" si="469"/>
        <v/>
      </c>
      <c r="AI827" s="964" t="str">
        <f t="shared" si="470"/>
        <v/>
      </c>
      <c r="AJ827" s="964"/>
      <c r="AK827" s="964"/>
      <c r="AL827"/>
      <c r="AM827"/>
      <c r="AN827"/>
      <c r="AO827"/>
      <c r="AP827"/>
      <c r="AQ827"/>
      <c r="AR827"/>
      <c r="AS827"/>
      <c r="AT827"/>
      <c r="AU827"/>
      <c r="AV827"/>
      <c r="AW827"/>
      <c r="AX827" s="9"/>
      <c r="AY827"/>
      <c r="AZ827"/>
      <c r="BA827"/>
      <c r="BB827"/>
      <c r="BC827"/>
      <c r="BD827"/>
      <c r="BE827"/>
      <c r="BF827"/>
      <c r="BG827"/>
      <c r="BH827"/>
      <c r="BI827"/>
      <c r="BJ827"/>
      <c r="BK827"/>
      <c r="BL827"/>
      <c r="BM827"/>
      <c r="BN827"/>
      <c r="BO827"/>
      <c r="BP827"/>
      <c r="BQ827"/>
      <c r="BR827"/>
      <c r="BS827"/>
      <c r="BT827"/>
      <c r="BU827"/>
      <c r="BV827"/>
      <c r="BW827"/>
      <c r="BX827"/>
      <c r="BY827"/>
      <c r="BZ827"/>
      <c r="CA827" s="1396"/>
      <c r="CB827" s="1396"/>
      <c r="CC827"/>
      <c r="CD827"/>
      <c r="CE827"/>
    </row>
    <row r="828" spans="1:83" ht="13.15" customHeight="1" outlineLevel="2" x14ac:dyDescent="0.2">
      <c r="A828"/>
      <c r="B828" s="1"/>
      <c r="C828"/>
      <c r="D828"/>
      <c r="E828"/>
      <c r="F828"/>
      <c r="G828" s="1"/>
      <c r="H828" s="1"/>
      <c r="I828"/>
      <c r="J828"/>
      <c r="K828"/>
      <c r="L828"/>
      <c r="M828"/>
      <c r="N828"/>
      <c r="O828"/>
      <c r="P828"/>
      <c r="Q828"/>
      <c r="R828" s="558" t="s">
        <v>1728</v>
      </c>
      <c r="S828" s="83"/>
      <c r="T828" s="56"/>
      <c r="U828" s="955"/>
      <c r="V828" s="43" t="str">
        <f>Z820</f>
        <v>M</v>
      </c>
      <c r="W828" s="10"/>
      <c r="X828" s="45" t="s">
        <v>769</v>
      </c>
      <c r="Y828" s="10"/>
      <c r="Z828" s="46" t="str">
        <f>V818</f>
        <v>F</v>
      </c>
      <c r="AA828" s="123"/>
      <c r="AB828" s="1459">
        <f t="shared" si="463"/>
        <v>0</v>
      </c>
      <c r="AC828" s="1460" t="str">
        <f t="shared" si="464"/>
        <v>-</v>
      </c>
      <c r="AD828" s="1459">
        <f t="shared" si="465"/>
        <v>0</v>
      </c>
      <c r="AE828" s="964" t="str">
        <f t="shared" si="466"/>
        <v/>
      </c>
      <c r="AF828" s="964" t="str">
        <f t="shared" si="467"/>
        <v/>
      </c>
      <c r="AG828" s="964" t="str">
        <f t="shared" si="468"/>
        <v/>
      </c>
      <c r="AH828" s="964" t="str">
        <f t="shared" si="469"/>
        <v/>
      </c>
      <c r="AI828" s="964" t="str">
        <f t="shared" si="470"/>
        <v/>
      </c>
      <c r="AJ828" s="964"/>
      <c r="AK828" s="964"/>
      <c r="AL828"/>
      <c r="AM828"/>
      <c r="AN828"/>
      <c r="AO828"/>
      <c r="AP828"/>
      <c r="AQ828"/>
      <c r="AR828"/>
      <c r="AS828"/>
      <c r="AT828"/>
      <c r="AU828"/>
      <c r="AV828"/>
      <c r="AW828" s="9"/>
      <c r="AX828" s="9"/>
      <c r="AY828"/>
      <c r="AZ828"/>
      <c r="BA828"/>
      <c r="BB828"/>
      <c r="BC828"/>
      <c r="BD828"/>
      <c r="BE828"/>
      <c r="BF828"/>
      <c r="BG828"/>
      <c r="BH828"/>
      <c r="BI828"/>
      <c r="BJ828"/>
      <c r="BK828"/>
      <c r="BL828"/>
      <c r="BM828"/>
      <c r="BN828"/>
      <c r="BO828"/>
      <c r="BP828"/>
      <c r="BQ828"/>
      <c r="BR828"/>
      <c r="BS828"/>
      <c r="BT828"/>
      <c r="BU828"/>
      <c r="BV828"/>
      <c r="BW828"/>
      <c r="BX828"/>
      <c r="BY828"/>
      <c r="BZ828"/>
      <c r="CA828" s="1396"/>
      <c r="CB828" s="1396"/>
      <c r="CC828"/>
      <c r="CD828"/>
      <c r="CE828"/>
    </row>
    <row r="829" spans="1:83" ht="13.15" customHeight="1" outlineLevel="2" x14ac:dyDescent="0.2">
      <c r="A829"/>
      <c r="B829" s="1"/>
      <c r="C829"/>
      <c r="D829"/>
      <c r="E829"/>
      <c r="F829"/>
      <c r="G829" s="1"/>
      <c r="H829" s="1"/>
      <c r="I829"/>
      <c r="J829"/>
      <c r="K829"/>
      <c r="L829"/>
      <c r="M829"/>
      <c r="N829"/>
      <c r="O829"/>
      <c r="P829"/>
      <c r="Q829"/>
      <c r="R829" s="558" t="s">
        <v>1728</v>
      </c>
      <c r="S829" s="83"/>
      <c r="T829" s="56"/>
      <c r="U829" s="955"/>
      <c r="V829" s="43" t="str">
        <f>Z821</f>
        <v>O</v>
      </c>
      <c r="W829" s="10"/>
      <c r="X829" s="45" t="s">
        <v>769</v>
      </c>
      <c r="Y829" s="10"/>
      <c r="Z829" s="46" t="str">
        <f>V819</f>
        <v>H</v>
      </c>
      <c r="AA829" s="123"/>
      <c r="AB829" s="1459">
        <f t="shared" si="463"/>
        <v>0</v>
      </c>
      <c r="AC829" s="1460" t="str">
        <f t="shared" si="464"/>
        <v>-</v>
      </c>
      <c r="AD829" s="1459">
        <f t="shared" si="465"/>
        <v>0</v>
      </c>
      <c r="AE829" s="964" t="str">
        <f t="shared" si="466"/>
        <v/>
      </c>
      <c r="AF829" s="964" t="str">
        <f t="shared" si="467"/>
        <v/>
      </c>
      <c r="AG829" s="964" t="str">
        <f t="shared" si="468"/>
        <v/>
      </c>
      <c r="AH829" s="964" t="str">
        <f t="shared" si="469"/>
        <v/>
      </c>
      <c r="AI829" s="964" t="str">
        <f t="shared" si="470"/>
        <v/>
      </c>
      <c r="AJ829" s="964"/>
      <c r="AK829" s="964"/>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s="1396"/>
      <c r="CB829" s="1396"/>
      <c r="CC829"/>
      <c r="CD829"/>
      <c r="CE829"/>
    </row>
    <row r="830" spans="1:83" ht="13.9" customHeight="1" outlineLevel="2" thickBot="1" x14ac:dyDescent="0.25">
      <c r="A830"/>
      <c r="B830" s="1"/>
      <c r="C830"/>
      <c r="D830"/>
      <c r="E830"/>
      <c r="F830"/>
      <c r="G830" s="1"/>
      <c r="H830" s="1"/>
      <c r="I830"/>
      <c r="J830"/>
      <c r="K830"/>
      <c r="L830"/>
      <c r="M830"/>
      <c r="N830"/>
      <c r="O830"/>
      <c r="P830"/>
      <c r="Q830"/>
      <c r="R830" s="558" t="s">
        <v>1728</v>
      </c>
      <c r="S830" s="956"/>
      <c r="T830" s="58"/>
      <c r="U830" s="957"/>
      <c r="V830" s="958" t="str">
        <f>Z812</f>
        <v>N</v>
      </c>
      <c r="W830" s="10"/>
      <c r="X830" s="45" t="s">
        <v>769</v>
      </c>
      <c r="Y830" s="10"/>
      <c r="Z830" s="46" t="str">
        <f>V821</f>
        <v>L</v>
      </c>
      <c r="AA830" s="123"/>
      <c r="AB830" s="1459">
        <f t="shared" si="463"/>
        <v>0</v>
      </c>
      <c r="AC830" s="1460" t="str">
        <f t="shared" si="464"/>
        <v>-</v>
      </c>
      <c r="AD830" s="1459">
        <f t="shared" si="465"/>
        <v>0</v>
      </c>
      <c r="AE830" s="964" t="str">
        <f t="shared" si="466"/>
        <v/>
      </c>
      <c r="AF830" s="964" t="str">
        <f t="shared" si="467"/>
        <v/>
      </c>
      <c r="AG830" s="964" t="str">
        <f t="shared" si="468"/>
        <v/>
      </c>
      <c r="AH830" s="964" t="str">
        <f t="shared" si="469"/>
        <v/>
      </c>
      <c r="AI830" s="964" t="str">
        <f t="shared" si="470"/>
        <v/>
      </c>
      <c r="AJ830" s="964"/>
      <c r="AK830" s="964"/>
      <c r="AL830"/>
      <c r="AM830"/>
      <c r="AN830"/>
      <c r="AO830"/>
      <c r="AP830"/>
      <c r="AQ830"/>
      <c r="AR830"/>
      <c r="AS830"/>
      <c r="AT830"/>
      <c r="AU830"/>
      <c r="AV830"/>
      <c r="AW830" s="9"/>
      <c r="AX830" s="9"/>
      <c r="AY830"/>
      <c r="AZ830"/>
      <c r="BA830"/>
      <c r="BB830"/>
      <c r="BC830"/>
      <c r="BD830"/>
      <c r="BE830"/>
      <c r="BF830"/>
      <c r="BG830"/>
      <c r="BH830"/>
      <c r="BI830"/>
      <c r="BJ830"/>
      <c r="BK830"/>
      <c r="BL830"/>
      <c r="BM830"/>
      <c r="BN830"/>
      <c r="BO830"/>
      <c r="BP830"/>
      <c r="BQ830"/>
      <c r="BR830"/>
      <c r="BS830"/>
      <c r="BT830"/>
      <c r="BU830"/>
      <c r="BV830"/>
      <c r="BW830"/>
      <c r="BX830"/>
      <c r="BY830"/>
      <c r="BZ830"/>
      <c r="CA830" s="1396"/>
      <c r="CB830" s="1396"/>
      <c r="CC830"/>
      <c r="CD830"/>
      <c r="CE830"/>
    </row>
    <row r="831" spans="1:83" ht="13.5" outlineLevel="1" thickBot="1" x14ac:dyDescent="0.25">
      <c r="A831"/>
      <c r="B831" s="1"/>
      <c r="C831" s="1"/>
      <c r="D831" s="76"/>
      <c r="E831" s="76"/>
      <c r="F831" s="76"/>
      <c r="G831" s="9"/>
      <c r="H831" s="9"/>
      <c r="I831" s="1"/>
      <c r="J831"/>
      <c r="K831"/>
      <c r="L831"/>
      <c r="M831"/>
      <c r="N831"/>
      <c r="O831"/>
      <c r="P831" s="89"/>
      <c r="Q831"/>
      <c r="R831" s="1"/>
      <c r="S831" s="993">
        <f>S822+1</f>
        <v>4</v>
      </c>
      <c r="T831" s="961"/>
      <c r="U831" s="961"/>
      <c r="V831" s="961"/>
      <c r="W831" s="960"/>
      <c r="X831" s="960"/>
      <c r="Y831" s="960"/>
      <c r="Z831" s="962"/>
      <c r="AA831" s="123"/>
      <c r="AB831" s="963"/>
      <c r="AC831" s="963"/>
      <c r="AD831" s="963"/>
      <c r="AE831" s="964"/>
      <c r="AF831" s="964"/>
      <c r="AG831" s="964"/>
      <c r="AH831" s="964"/>
      <c r="AI831" s="964"/>
      <c r="AJ831" s="964"/>
      <c r="AK831" s="964"/>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s="1396"/>
      <c r="CB831" s="1396"/>
      <c r="CC831"/>
      <c r="CD831"/>
      <c r="CE831"/>
    </row>
    <row r="832" spans="1:83" ht="13.9" customHeight="1" outlineLevel="2" thickBot="1" x14ac:dyDescent="0.25">
      <c r="A832"/>
      <c r="B832" s="1"/>
      <c r="C832"/>
      <c r="D832"/>
      <c r="E832"/>
      <c r="F832"/>
      <c r="G832" s="1"/>
      <c r="H832" s="1"/>
      <c r="I832"/>
      <c r="J832"/>
      <c r="K832"/>
      <c r="L832"/>
      <c r="M832"/>
      <c r="N832"/>
      <c r="O832"/>
      <c r="P832"/>
      <c r="Q832"/>
      <c r="S832" s="22" t="str">
        <f>N_Heure</f>
        <v>Heure</v>
      </c>
      <c r="T832" s="22" t="str">
        <f>N_Table</f>
        <v>Table</v>
      </c>
      <c r="U832" s="22" t="str">
        <f>N_Arbitre</f>
        <v>Arbitre</v>
      </c>
      <c r="V832" s="293" t="str">
        <f>N_Matches</f>
        <v>Matches</v>
      </c>
      <c r="W832" s="294"/>
      <c r="X832" s="294"/>
      <c r="Y832" s="294"/>
      <c r="Z832" s="295"/>
      <c r="AA832" s="8"/>
      <c r="AB832" s="967"/>
      <c r="AC832" s="967"/>
      <c r="AD832" s="967"/>
      <c r="AE832" s="964"/>
      <c r="AF832" s="964"/>
      <c r="AG832" s="964"/>
      <c r="AH832" s="964"/>
      <c r="AI832" s="964"/>
      <c r="AJ832" s="964"/>
      <c r="AK832" s="964"/>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s="1396"/>
      <c r="CB832" s="1396"/>
      <c r="CC832"/>
      <c r="CD832"/>
      <c r="CE832"/>
    </row>
    <row r="833" spans="1:83" ht="13.15" customHeight="1" outlineLevel="2" x14ac:dyDescent="0.2">
      <c r="A833"/>
      <c r="B833" s="1"/>
      <c r="C833"/>
      <c r="D833"/>
      <c r="E833"/>
      <c r="F833"/>
      <c r="G833" s="1"/>
      <c r="H833" s="1"/>
      <c r="I833"/>
      <c r="J833"/>
      <c r="K833"/>
      <c r="L833"/>
      <c r="M833"/>
      <c r="N833"/>
      <c r="O833"/>
      <c r="P833"/>
      <c r="Q833"/>
      <c r="R833" s="558" t="s">
        <v>1729</v>
      </c>
      <c r="S833" s="65"/>
      <c r="T833" s="953"/>
      <c r="U833" s="954"/>
      <c r="V833" s="34" t="str">
        <f>V825</f>
        <v>G</v>
      </c>
      <c r="W833" s="148"/>
      <c r="X833" s="35" t="s">
        <v>769</v>
      </c>
      <c r="Y833" s="148"/>
      <c r="Z833" s="36" t="str">
        <f>V824</f>
        <v>A</v>
      </c>
      <c r="AA833" s="123"/>
      <c r="AB833" s="1459">
        <f t="shared" ref="AB833:AB839" si="471">IF(MaxScore,MaxGoals(W833,Y833,MaxGoalsValue),IF(W833="","",W833))</f>
        <v>0</v>
      </c>
      <c r="AC833" s="1460" t="str">
        <f t="shared" ref="AC833:AC839" si="472">IF(MaxScore,"-",IF(W833="","","-"))</f>
        <v>-</v>
      </c>
      <c r="AD833" s="1459">
        <f t="shared" ref="AD833:AD839" si="473">IF(MaxScore,MaxGoals(Y833,W833,MaxGoalsValue),IF(Y833="","",Y833))</f>
        <v>0</v>
      </c>
      <c r="AE833" s="964" t="str">
        <f t="shared" ref="AE833:AE839" si="474">IF(W833="","",IF(W833&gt;Y833,V833,IF(W833=Y833,"",Z833)))</f>
        <v/>
      </c>
      <c r="AF833" s="964" t="str">
        <f t="shared" ref="AF833:AF839" si="475">IF(W833="","",IF(W833=Y833,V833,""))</f>
        <v/>
      </c>
      <c r="AG833" s="964" t="str">
        <f t="shared" ref="AG833:AG839" si="476">IF(W833="","",IF(W833=Y833,Z833,""))</f>
        <v/>
      </c>
      <c r="AH833" s="964" t="str">
        <f t="shared" ref="AH833:AH839" si="477">IF(W833="","",IF(W833&lt;Y833,V833,IF(W833=Y833,"",Z833)))</f>
        <v/>
      </c>
      <c r="AI833" s="964" t="str">
        <f t="shared" ref="AI833:AI839" si="478">CONCATENATE(AE833,AH833)</f>
        <v/>
      </c>
      <c r="AJ833" s="964"/>
      <c r="AK833" s="964"/>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s="1396"/>
      <c r="CB833" s="1396"/>
      <c r="CC833"/>
      <c r="CD833"/>
      <c r="CE833"/>
    </row>
    <row r="834" spans="1:83" ht="13.15" customHeight="1" outlineLevel="2" x14ac:dyDescent="0.2">
      <c r="A834"/>
      <c r="B834" s="1"/>
      <c r="C834"/>
      <c r="D834"/>
      <c r="E834"/>
      <c r="F834"/>
      <c r="G834" s="1"/>
      <c r="H834" s="1"/>
      <c r="I834"/>
      <c r="J834"/>
      <c r="K834"/>
      <c r="L834"/>
      <c r="M834"/>
      <c r="N834"/>
      <c r="O834"/>
      <c r="P834"/>
      <c r="Q834"/>
      <c r="R834" s="558" t="s">
        <v>1729</v>
      </c>
      <c r="S834" s="83"/>
      <c r="T834" s="56"/>
      <c r="U834" s="955"/>
      <c r="V834" s="43" t="str">
        <f>Z824</f>
        <v>E</v>
      </c>
      <c r="W834" s="10"/>
      <c r="X834" s="45" t="s">
        <v>769</v>
      </c>
      <c r="Y834" s="10"/>
      <c r="Z834" s="46" t="str">
        <f>V826</f>
        <v>I</v>
      </c>
      <c r="AA834" s="123"/>
      <c r="AB834" s="1459">
        <f t="shared" si="471"/>
        <v>0</v>
      </c>
      <c r="AC834" s="1460" t="str">
        <f t="shared" si="472"/>
        <v>-</v>
      </c>
      <c r="AD834" s="1459">
        <f t="shared" si="473"/>
        <v>0</v>
      </c>
      <c r="AE834" s="964" t="str">
        <f t="shared" si="474"/>
        <v/>
      </c>
      <c r="AF834" s="964" t="str">
        <f t="shared" si="475"/>
        <v/>
      </c>
      <c r="AG834" s="964" t="str">
        <f t="shared" si="476"/>
        <v/>
      </c>
      <c r="AH834" s="964" t="str">
        <f t="shared" si="477"/>
        <v/>
      </c>
      <c r="AI834" s="964" t="str">
        <f t="shared" si="478"/>
        <v/>
      </c>
      <c r="AJ834" s="964"/>
      <c r="AK834" s="96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s="1396"/>
      <c r="CB834" s="1396"/>
      <c r="CC834"/>
      <c r="CD834"/>
      <c r="CE834"/>
    </row>
    <row r="835" spans="1:83" ht="13.15" customHeight="1" outlineLevel="2" x14ac:dyDescent="0.2">
      <c r="A835"/>
      <c r="B835" s="1"/>
      <c r="C835"/>
      <c r="D835"/>
      <c r="E835"/>
      <c r="F835"/>
      <c r="G835" s="1"/>
      <c r="H835" s="1"/>
      <c r="I835"/>
      <c r="J835"/>
      <c r="K835"/>
      <c r="L835"/>
      <c r="M835"/>
      <c r="N835"/>
      <c r="O835"/>
      <c r="P835"/>
      <c r="Q835"/>
      <c r="R835" s="558" t="s">
        <v>1729</v>
      </c>
      <c r="S835" s="83"/>
      <c r="T835" s="56"/>
      <c r="U835" s="955"/>
      <c r="V835" s="43" t="str">
        <f>Z825</f>
        <v>C</v>
      </c>
      <c r="W835" s="10"/>
      <c r="X835" s="45" t="s">
        <v>769</v>
      </c>
      <c r="Y835" s="10"/>
      <c r="Z835" s="46" t="str">
        <f>V827</f>
        <v>K</v>
      </c>
      <c r="AA835" s="123"/>
      <c r="AB835" s="1459">
        <f t="shared" si="471"/>
        <v>0</v>
      </c>
      <c r="AC835" s="1460" t="str">
        <f t="shared" si="472"/>
        <v>-</v>
      </c>
      <c r="AD835" s="1459">
        <f t="shared" si="473"/>
        <v>0</v>
      </c>
      <c r="AE835" s="964" t="str">
        <f t="shared" si="474"/>
        <v/>
      </c>
      <c r="AF835" s="964" t="str">
        <f t="shared" si="475"/>
        <v/>
      </c>
      <c r="AG835" s="964" t="str">
        <f t="shared" si="476"/>
        <v/>
      </c>
      <c r="AH835" s="964" t="str">
        <f t="shared" si="477"/>
        <v/>
      </c>
      <c r="AI835" s="964" t="str">
        <f t="shared" si="478"/>
        <v/>
      </c>
      <c r="AJ835" s="964"/>
      <c r="AK835" s="964"/>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s="1396"/>
      <c r="CB835" s="1396"/>
      <c r="CC835"/>
      <c r="CD835"/>
      <c r="CE835"/>
    </row>
    <row r="836" spans="1:83" ht="13.15" customHeight="1" outlineLevel="2" x14ac:dyDescent="0.2">
      <c r="A836"/>
      <c r="B836" s="1"/>
      <c r="C836"/>
      <c r="D836"/>
      <c r="E836"/>
      <c r="F836"/>
      <c r="G836" s="1"/>
      <c r="H836" s="1"/>
      <c r="I836"/>
      <c r="J836"/>
      <c r="K836"/>
      <c r="L836"/>
      <c r="M836"/>
      <c r="N836"/>
      <c r="O836"/>
      <c r="P836"/>
      <c r="Q836"/>
      <c r="R836" s="558" t="s">
        <v>1729</v>
      </c>
      <c r="S836" s="83"/>
      <c r="T836" s="56"/>
      <c r="U836" s="955"/>
      <c r="V836" s="43" t="str">
        <f>Z826</f>
        <v>B</v>
      </c>
      <c r="W836" s="10"/>
      <c r="X836" s="45" t="s">
        <v>769</v>
      </c>
      <c r="Y836" s="10"/>
      <c r="Z836" s="46" t="str">
        <f>V828</f>
        <v>M</v>
      </c>
      <c r="AA836" s="123"/>
      <c r="AB836" s="1459">
        <f t="shared" si="471"/>
        <v>0</v>
      </c>
      <c r="AC836" s="1460" t="str">
        <f t="shared" si="472"/>
        <v>-</v>
      </c>
      <c r="AD836" s="1459">
        <f t="shared" si="473"/>
        <v>0</v>
      </c>
      <c r="AE836" s="964" t="str">
        <f t="shared" si="474"/>
        <v/>
      </c>
      <c r="AF836" s="964" t="str">
        <f t="shared" si="475"/>
        <v/>
      </c>
      <c r="AG836" s="964" t="str">
        <f t="shared" si="476"/>
        <v/>
      </c>
      <c r="AH836" s="964" t="str">
        <f t="shared" si="477"/>
        <v/>
      </c>
      <c r="AI836" s="964" t="str">
        <f t="shared" si="478"/>
        <v/>
      </c>
      <c r="AJ836" s="964"/>
      <c r="AK836" s="964"/>
      <c r="AL836"/>
      <c r="AM836"/>
      <c r="AN836"/>
      <c r="AO836"/>
      <c r="AP836"/>
      <c r="AQ836"/>
      <c r="AR836"/>
      <c r="AS836"/>
      <c r="AT836"/>
      <c r="AU836"/>
      <c r="AV836"/>
      <c r="AW836"/>
      <c r="AX836" s="9"/>
      <c r="AY836"/>
      <c r="AZ836"/>
      <c r="BA836"/>
      <c r="BB836"/>
      <c r="BC836"/>
      <c r="BD836"/>
      <c r="BE836"/>
      <c r="BF836"/>
      <c r="BG836"/>
      <c r="BH836"/>
      <c r="BI836"/>
      <c r="BJ836"/>
      <c r="BK836"/>
      <c r="BL836"/>
      <c r="BM836"/>
      <c r="BN836"/>
      <c r="BO836"/>
      <c r="BP836"/>
      <c r="BQ836"/>
      <c r="BR836"/>
      <c r="BS836"/>
      <c r="BT836"/>
      <c r="BU836"/>
      <c r="BV836"/>
      <c r="BW836"/>
      <c r="BX836"/>
      <c r="BY836"/>
      <c r="BZ836"/>
      <c r="CA836" s="1396"/>
      <c r="CB836" s="1396"/>
      <c r="CC836"/>
      <c r="CD836"/>
      <c r="CE836"/>
    </row>
    <row r="837" spans="1:83" ht="13.15" customHeight="1" outlineLevel="2" x14ac:dyDescent="0.2">
      <c r="A837"/>
      <c r="B837" s="1"/>
      <c r="C837"/>
      <c r="D837"/>
      <c r="E837"/>
      <c r="F837"/>
      <c r="G837" s="1"/>
      <c r="H837" s="1"/>
      <c r="I837"/>
      <c r="J837"/>
      <c r="K837"/>
      <c r="L837"/>
      <c r="M837"/>
      <c r="N837"/>
      <c r="O837"/>
      <c r="P837"/>
      <c r="Q837"/>
      <c r="R837" s="558" t="s">
        <v>1729</v>
      </c>
      <c r="S837" s="83"/>
      <c r="T837" s="56"/>
      <c r="U837" s="955"/>
      <c r="V837" s="43" t="str">
        <f>Z827</f>
        <v>D</v>
      </c>
      <c r="W837" s="10"/>
      <c r="X837" s="45" t="s">
        <v>769</v>
      </c>
      <c r="Y837" s="10"/>
      <c r="Z837" s="46" t="str">
        <f>V829</f>
        <v>O</v>
      </c>
      <c r="AA837" s="123"/>
      <c r="AB837" s="1459">
        <f t="shared" si="471"/>
        <v>0</v>
      </c>
      <c r="AC837" s="1460" t="str">
        <f t="shared" si="472"/>
        <v>-</v>
      </c>
      <c r="AD837" s="1459">
        <f t="shared" si="473"/>
        <v>0</v>
      </c>
      <c r="AE837" s="964" t="str">
        <f t="shared" si="474"/>
        <v/>
      </c>
      <c r="AF837" s="964" t="str">
        <f t="shared" si="475"/>
        <v/>
      </c>
      <c r="AG837" s="964" t="str">
        <f t="shared" si="476"/>
        <v/>
      </c>
      <c r="AH837" s="964" t="str">
        <f t="shared" si="477"/>
        <v/>
      </c>
      <c r="AI837" s="964" t="str">
        <f t="shared" si="478"/>
        <v/>
      </c>
      <c r="AJ837" s="964"/>
      <c r="AK837" s="964"/>
      <c r="AL837"/>
      <c r="AM837"/>
      <c r="AN837"/>
      <c r="AO837"/>
      <c r="AP837"/>
      <c r="AQ837"/>
      <c r="AR837"/>
      <c r="AS837"/>
      <c r="AT837"/>
      <c r="AU837"/>
      <c r="AV837"/>
      <c r="AW837" s="9"/>
      <c r="AX837" s="9"/>
      <c r="AY837"/>
      <c r="AZ837"/>
      <c r="BA837"/>
      <c r="BB837"/>
      <c r="BC837"/>
      <c r="BD837"/>
      <c r="BE837"/>
      <c r="BF837"/>
      <c r="BG837"/>
      <c r="BH837"/>
      <c r="BI837"/>
      <c r="BJ837"/>
      <c r="BK837"/>
      <c r="BL837"/>
      <c r="BM837"/>
      <c r="BN837"/>
      <c r="BO837"/>
      <c r="BP837"/>
      <c r="BQ837"/>
      <c r="BR837"/>
      <c r="BS837"/>
      <c r="BT837"/>
      <c r="BU837"/>
      <c r="BV837"/>
      <c r="BW837"/>
      <c r="BX837"/>
      <c r="BY837"/>
      <c r="BZ837"/>
      <c r="CA837" s="1396"/>
      <c r="CB837" s="1396"/>
      <c r="CC837"/>
      <c r="CD837"/>
      <c r="CE837"/>
    </row>
    <row r="838" spans="1:83" ht="13.15" customHeight="1" outlineLevel="2" x14ac:dyDescent="0.2">
      <c r="A838"/>
      <c r="B838" s="1"/>
      <c r="C838"/>
      <c r="D838"/>
      <c r="E838"/>
      <c r="F838"/>
      <c r="G838" s="1"/>
      <c r="H838" s="1"/>
      <c r="I838"/>
      <c r="J838"/>
      <c r="K838"/>
      <c r="L838"/>
      <c r="M838"/>
      <c r="N838"/>
      <c r="O838"/>
      <c r="P838"/>
      <c r="Q838"/>
      <c r="R838" s="558" t="s">
        <v>1729</v>
      </c>
      <c r="S838" s="83"/>
      <c r="T838" s="56"/>
      <c r="U838" s="955"/>
      <c r="V838" s="43" t="str">
        <f>Z829</f>
        <v>H</v>
      </c>
      <c r="W838" s="10"/>
      <c r="X838" s="45" t="s">
        <v>769</v>
      </c>
      <c r="Y838" s="10"/>
      <c r="Z838" s="46" t="str">
        <f>V830</f>
        <v>N</v>
      </c>
      <c r="AA838" s="123"/>
      <c r="AB838" s="1459">
        <f t="shared" si="471"/>
        <v>0</v>
      </c>
      <c r="AC838" s="1460" t="str">
        <f t="shared" si="472"/>
        <v>-</v>
      </c>
      <c r="AD838" s="1459">
        <f t="shared" si="473"/>
        <v>0</v>
      </c>
      <c r="AE838" s="964" t="str">
        <f t="shared" si="474"/>
        <v/>
      </c>
      <c r="AF838" s="964" t="str">
        <f t="shared" si="475"/>
        <v/>
      </c>
      <c r="AG838" s="964" t="str">
        <f t="shared" si="476"/>
        <v/>
      </c>
      <c r="AH838" s="964" t="str">
        <f t="shared" si="477"/>
        <v/>
      </c>
      <c r="AI838" s="964" t="str">
        <f t="shared" si="478"/>
        <v/>
      </c>
      <c r="AJ838" s="964"/>
      <c r="AK838" s="964"/>
      <c r="AL838"/>
      <c r="AM838"/>
      <c r="AN838"/>
      <c r="AO838"/>
      <c r="AP838"/>
      <c r="AQ838"/>
      <c r="AR838"/>
      <c r="AS838"/>
      <c r="AT838"/>
      <c r="AU838"/>
      <c r="AV838"/>
      <c r="AW838"/>
      <c r="AX838" s="9"/>
      <c r="AY838"/>
      <c r="AZ838"/>
      <c r="BA838"/>
      <c r="BB838"/>
      <c r="BC838"/>
      <c r="BD838"/>
      <c r="BE838"/>
      <c r="BF838"/>
      <c r="BG838"/>
      <c r="BH838"/>
      <c r="BI838"/>
      <c r="BJ838"/>
      <c r="BK838"/>
      <c r="BL838"/>
      <c r="BM838"/>
      <c r="BN838"/>
      <c r="BO838"/>
      <c r="BP838"/>
      <c r="BQ838"/>
      <c r="BR838"/>
      <c r="BS838"/>
      <c r="BT838"/>
      <c r="BU838"/>
      <c r="BV838"/>
      <c r="BW838"/>
      <c r="BX838"/>
      <c r="BY838"/>
      <c r="BZ838"/>
      <c r="CA838" s="1396"/>
      <c r="CB838" s="1396"/>
      <c r="CC838"/>
      <c r="CD838"/>
      <c r="CE838"/>
    </row>
    <row r="839" spans="1:83" ht="13.9" customHeight="1" outlineLevel="2" thickBot="1" x14ac:dyDescent="0.25">
      <c r="A839"/>
      <c r="B839" s="1"/>
      <c r="C839"/>
      <c r="D839"/>
      <c r="E839"/>
      <c r="F839"/>
      <c r="G839" s="1"/>
      <c r="H839" s="1"/>
      <c r="I839"/>
      <c r="J839"/>
      <c r="K839"/>
      <c r="L839"/>
      <c r="M839"/>
      <c r="N839"/>
      <c r="O839"/>
      <c r="P839"/>
      <c r="Q839"/>
      <c r="R839" s="558" t="s">
        <v>1729</v>
      </c>
      <c r="S839" s="956"/>
      <c r="T839" s="58"/>
      <c r="U839" s="957"/>
      <c r="V839" s="43" t="str">
        <f>V820</f>
        <v>J</v>
      </c>
      <c r="W839" s="10"/>
      <c r="X839" s="45" t="s">
        <v>769</v>
      </c>
      <c r="Y839" s="10"/>
      <c r="Z839" s="46" t="str">
        <f>Z830</f>
        <v>L</v>
      </c>
      <c r="AA839" s="123"/>
      <c r="AB839" s="1459">
        <f t="shared" si="471"/>
        <v>0</v>
      </c>
      <c r="AC839" s="1460" t="str">
        <f t="shared" si="472"/>
        <v>-</v>
      </c>
      <c r="AD839" s="1459">
        <f t="shared" si="473"/>
        <v>0</v>
      </c>
      <c r="AE839" s="964" t="str">
        <f t="shared" si="474"/>
        <v/>
      </c>
      <c r="AF839" s="964" t="str">
        <f t="shared" si="475"/>
        <v/>
      </c>
      <c r="AG839" s="964" t="str">
        <f t="shared" si="476"/>
        <v/>
      </c>
      <c r="AH839" s="964" t="str">
        <f t="shared" si="477"/>
        <v/>
      </c>
      <c r="AI839" s="964" t="str">
        <f t="shared" si="478"/>
        <v/>
      </c>
      <c r="AJ839" s="964"/>
      <c r="AK839" s="964"/>
      <c r="AL839"/>
      <c r="AM839"/>
      <c r="AN839"/>
      <c r="AO839"/>
      <c r="AP839"/>
      <c r="AQ839"/>
      <c r="AR839"/>
      <c r="AS839"/>
      <c r="AT839"/>
      <c r="AU839"/>
      <c r="AV839"/>
      <c r="AW839" s="9"/>
      <c r="AX839" s="9"/>
      <c r="AY839"/>
      <c r="AZ839"/>
      <c r="BA839"/>
      <c r="BB839"/>
      <c r="BC839"/>
      <c r="BD839"/>
      <c r="BE839"/>
      <c r="BF839"/>
      <c r="BG839"/>
      <c r="BH839"/>
      <c r="BI839"/>
      <c r="BJ839"/>
      <c r="BK839"/>
      <c r="BL839"/>
      <c r="BM839"/>
      <c r="BN839"/>
      <c r="BO839"/>
      <c r="BP839"/>
      <c r="BQ839"/>
      <c r="BR839"/>
      <c r="BS839"/>
      <c r="BT839"/>
      <c r="BU839"/>
      <c r="BV839"/>
      <c r="BW839"/>
      <c r="BX839"/>
      <c r="BY839"/>
      <c r="BZ839"/>
      <c r="CA839" s="1396"/>
      <c r="CB839" s="1396"/>
      <c r="CC839"/>
      <c r="CD839"/>
      <c r="CE839"/>
    </row>
    <row r="840" spans="1:83" ht="13.5" outlineLevel="1" thickBot="1" x14ac:dyDescent="0.25">
      <c r="A840"/>
      <c r="B840" s="1"/>
      <c r="C840" s="1"/>
      <c r="D840" s="76"/>
      <c r="E840" s="76"/>
      <c r="F840" s="76"/>
      <c r="G840" s="9"/>
      <c r="H840" s="9"/>
      <c r="I840" s="1"/>
      <c r="J840"/>
      <c r="K840"/>
      <c r="L840"/>
      <c r="M840"/>
      <c r="N840"/>
      <c r="O840"/>
      <c r="P840" s="89"/>
      <c r="Q840"/>
      <c r="R840" s="1"/>
      <c r="S840" s="993">
        <f>S831+1</f>
        <v>5</v>
      </c>
      <c r="T840" s="961"/>
      <c r="U840" s="961"/>
      <c r="V840" s="961"/>
      <c r="W840" s="960"/>
      <c r="X840" s="960"/>
      <c r="Y840" s="960"/>
      <c r="Z840" s="962"/>
      <c r="AA840" s="123"/>
      <c r="AB840" s="963"/>
      <c r="AC840" s="963"/>
      <c r="AD840" s="963"/>
      <c r="AE840" s="964"/>
      <c r="AF840" s="964"/>
      <c r="AG840" s="964"/>
      <c r="AH840" s="964"/>
      <c r="AI840" s="964"/>
      <c r="AJ840" s="964"/>
      <c r="AK840" s="964"/>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s="1396"/>
      <c r="CB840" s="1396"/>
      <c r="CC840"/>
      <c r="CD840"/>
      <c r="CE840"/>
    </row>
    <row r="841" spans="1:83" ht="13.9" customHeight="1" outlineLevel="2" thickBot="1" x14ac:dyDescent="0.25">
      <c r="A841"/>
      <c r="B841" s="1"/>
      <c r="C841"/>
      <c r="D841"/>
      <c r="E841"/>
      <c r="F841"/>
      <c r="G841" s="1"/>
      <c r="H841" s="1"/>
      <c r="I841"/>
      <c r="J841"/>
      <c r="K841"/>
      <c r="L841"/>
      <c r="M841"/>
      <c r="N841"/>
      <c r="O841"/>
      <c r="P841"/>
      <c r="Q841"/>
      <c r="S841" s="22" t="str">
        <f>N_Heure</f>
        <v>Heure</v>
      </c>
      <c r="T841" s="22" t="str">
        <f>N_Table</f>
        <v>Table</v>
      </c>
      <c r="U841" s="22" t="str">
        <f>N_Arbitre</f>
        <v>Arbitre</v>
      </c>
      <c r="V841" s="293" t="str">
        <f>N_Matches</f>
        <v>Matches</v>
      </c>
      <c r="W841" s="294"/>
      <c r="X841" s="294"/>
      <c r="Y841" s="294"/>
      <c r="Z841" s="295"/>
      <c r="AA841" s="8"/>
      <c r="AB841" s="967"/>
      <c r="AC841" s="967"/>
      <c r="AD841" s="967"/>
      <c r="AE841" s="964"/>
      <c r="AF841" s="964"/>
      <c r="AG841" s="964"/>
      <c r="AH841" s="964"/>
      <c r="AI841" s="964"/>
      <c r="AJ841" s="964"/>
      <c r="AK841" s="964"/>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s="1396"/>
      <c r="CB841" s="1396"/>
      <c r="CC841"/>
      <c r="CD841"/>
      <c r="CE841"/>
    </row>
    <row r="842" spans="1:83" ht="13.15" customHeight="1" outlineLevel="2" x14ac:dyDescent="0.2">
      <c r="A842"/>
      <c r="B842" s="1"/>
      <c r="C842"/>
      <c r="D842"/>
      <c r="E842"/>
      <c r="F842"/>
      <c r="G842" s="1"/>
      <c r="H842" s="1"/>
      <c r="I842"/>
      <c r="J842"/>
      <c r="K842"/>
      <c r="L842"/>
      <c r="M842"/>
      <c r="N842"/>
      <c r="O842"/>
      <c r="P842"/>
      <c r="Q842"/>
      <c r="R842" s="558" t="s">
        <v>1730</v>
      </c>
      <c r="S842" s="65"/>
      <c r="T842" s="953"/>
      <c r="U842" s="954"/>
      <c r="V842" s="34" t="str">
        <f>Z833</f>
        <v>A</v>
      </c>
      <c r="W842" s="148"/>
      <c r="X842" s="35" t="s">
        <v>769</v>
      </c>
      <c r="Y842" s="148"/>
      <c r="Z842" s="36" t="str">
        <f>Z834</f>
        <v>I</v>
      </c>
      <c r="AA842" s="123"/>
      <c r="AB842" s="1459">
        <f t="shared" ref="AB842:AB848" si="479">IF(MaxScore,MaxGoals(W842,Y842,MaxGoalsValue),IF(W842="","",W842))</f>
        <v>0</v>
      </c>
      <c r="AC842" s="1460" t="str">
        <f t="shared" ref="AC842:AC848" si="480">IF(MaxScore,"-",IF(W842="","","-"))</f>
        <v>-</v>
      </c>
      <c r="AD842" s="1459">
        <f t="shared" ref="AD842:AD848" si="481">IF(MaxScore,MaxGoals(Y842,W842,MaxGoalsValue),IF(Y842="","",Y842))</f>
        <v>0</v>
      </c>
      <c r="AE842" s="964" t="str">
        <f t="shared" ref="AE842:AE848" si="482">IF(W842="","",IF(W842&gt;Y842,V842,IF(W842=Y842,"",Z842)))</f>
        <v/>
      </c>
      <c r="AF842" s="964" t="str">
        <f t="shared" ref="AF842:AF848" si="483">IF(W842="","",IF(W842=Y842,V842,""))</f>
        <v/>
      </c>
      <c r="AG842" s="964" t="str">
        <f t="shared" ref="AG842:AG848" si="484">IF(W842="","",IF(W842=Y842,Z842,""))</f>
        <v/>
      </c>
      <c r="AH842" s="964" t="str">
        <f t="shared" ref="AH842:AH848" si="485">IF(W842="","",IF(W842&lt;Y842,V842,IF(W842=Y842,"",Z842)))</f>
        <v/>
      </c>
      <c r="AI842" s="964" t="str">
        <f t="shared" ref="AI842:AI848" si="486">CONCATENATE(AE842,AH842)</f>
        <v/>
      </c>
      <c r="AJ842" s="964"/>
      <c r="AK842" s="964"/>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s="1396"/>
      <c r="CB842" s="1396"/>
      <c r="CC842"/>
      <c r="CD842"/>
      <c r="CE842"/>
    </row>
    <row r="843" spans="1:83" ht="13.15" customHeight="1" outlineLevel="2" x14ac:dyDescent="0.2">
      <c r="A843"/>
      <c r="B843" s="1"/>
      <c r="C843"/>
      <c r="D843"/>
      <c r="E843"/>
      <c r="F843"/>
      <c r="G843" s="1"/>
      <c r="H843" s="1"/>
      <c r="I843"/>
      <c r="J843"/>
      <c r="K843"/>
      <c r="L843"/>
      <c r="M843"/>
      <c r="N843"/>
      <c r="O843"/>
      <c r="P843"/>
      <c r="Q843"/>
      <c r="R843" s="558" t="s">
        <v>1730</v>
      </c>
      <c r="S843" s="83"/>
      <c r="T843" s="56"/>
      <c r="U843" s="955"/>
      <c r="V843" s="43" t="str">
        <f>Z835</f>
        <v>K</v>
      </c>
      <c r="W843" s="10"/>
      <c r="X843" s="45" t="s">
        <v>769</v>
      </c>
      <c r="Y843" s="10"/>
      <c r="Z843" s="46" t="str">
        <f>V833</f>
        <v>G</v>
      </c>
      <c r="AA843" s="123"/>
      <c r="AB843" s="1459">
        <f t="shared" si="479"/>
        <v>0</v>
      </c>
      <c r="AC843" s="1460" t="str">
        <f t="shared" si="480"/>
        <v>-</v>
      </c>
      <c r="AD843" s="1459">
        <f t="shared" si="481"/>
        <v>0</v>
      </c>
      <c r="AE843" s="964" t="str">
        <f t="shared" si="482"/>
        <v/>
      </c>
      <c r="AF843" s="964" t="str">
        <f t="shared" si="483"/>
        <v/>
      </c>
      <c r="AG843" s="964" t="str">
        <f t="shared" si="484"/>
        <v/>
      </c>
      <c r="AH843" s="964" t="str">
        <f t="shared" si="485"/>
        <v/>
      </c>
      <c r="AI843" s="964" t="str">
        <f t="shared" si="486"/>
        <v/>
      </c>
      <c r="AJ843" s="964"/>
      <c r="AK843" s="964"/>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s="1396"/>
      <c r="CB843" s="1396"/>
      <c r="CC843"/>
      <c r="CD843"/>
      <c r="CE843"/>
    </row>
    <row r="844" spans="1:83" ht="13.15" customHeight="1" outlineLevel="2" x14ac:dyDescent="0.2">
      <c r="A844"/>
      <c r="B844" s="1"/>
      <c r="C844"/>
      <c r="D844"/>
      <c r="E844"/>
      <c r="F844"/>
      <c r="G844" s="1"/>
      <c r="H844" s="1"/>
      <c r="I844"/>
      <c r="J844"/>
      <c r="K844"/>
      <c r="L844"/>
      <c r="M844"/>
      <c r="N844"/>
      <c r="O844"/>
      <c r="P844"/>
      <c r="Q844"/>
      <c r="R844" s="558" t="s">
        <v>1730</v>
      </c>
      <c r="S844" s="83"/>
      <c r="T844" s="56"/>
      <c r="U844" s="955"/>
      <c r="V844" s="43" t="str">
        <f>Z836</f>
        <v>M</v>
      </c>
      <c r="W844" s="10"/>
      <c r="X844" s="45" t="s">
        <v>769</v>
      </c>
      <c r="Y844" s="10"/>
      <c r="Z844" s="46" t="str">
        <f>V834</f>
        <v>E</v>
      </c>
      <c r="AA844" s="123"/>
      <c r="AB844" s="1459">
        <f t="shared" si="479"/>
        <v>0</v>
      </c>
      <c r="AC844" s="1460" t="str">
        <f t="shared" si="480"/>
        <v>-</v>
      </c>
      <c r="AD844" s="1459">
        <f t="shared" si="481"/>
        <v>0</v>
      </c>
      <c r="AE844" s="964" t="str">
        <f t="shared" si="482"/>
        <v/>
      </c>
      <c r="AF844" s="964" t="str">
        <f t="shared" si="483"/>
        <v/>
      </c>
      <c r="AG844" s="964" t="str">
        <f t="shared" si="484"/>
        <v/>
      </c>
      <c r="AH844" s="964" t="str">
        <f t="shared" si="485"/>
        <v/>
      </c>
      <c r="AI844" s="964" t="str">
        <f t="shared" si="486"/>
        <v/>
      </c>
      <c r="AJ844" s="964"/>
      <c r="AK844" s="96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s="1396"/>
      <c r="CB844" s="1396"/>
      <c r="CC844"/>
      <c r="CD844"/>
      <c r="CE844"/>
    </row>
    <row r="845" spans="1:83" ht="13.15" customHeight="1" outlineLevel="2" x14ac:dyDescent="0.2">
      <c r="A845"/>
      <c r="B845" s="1"/>
      <c r="C845"/>
      <c r="D845"/>
      <c r="E845"/>
      <c r="F845"/>
      <c r="G845" s="1"/>
      <c r="H845" s="1"/>
      <c r="I845"/>
      <c r="J845"/>
      <c r="K845"/>
      <c r="L845"/>
      <c r="M845"/>
      <c r="N845"/>
      <c r="O845"/>
      <c r="P845"/>
      <c r="Q845"/>
      <c r="R845" s="558" t="s">
        <v>1730</v>
      </c>
      <c r="S845" s="83"/>
      <c r="T845" s="56"/>
      <c r="U845" s="955"/>
      <c r="V845" s="43" t="str">
        <f>Z837</f>
        <v>O</v>
      </c>
      <c r="W845" s="10"/>
      <c r="X845" s="45" t="s">
        <v>769</v>
      </c>
      <c r="Y845" s="10"/>
      <c r="Z845" s="46" t="str">
        <f>V835</f>
        <v>C</v>
      </c>
      <c r="AA845" s="123"/>
      <c r="AB845" s="1459">
        <f t="shared" si="479"/>
        <v>0</v>
      </c>
      <c r="AC845" s="1460" t="str">
        <f t="shared" si="480"/>
        <v>-</v>
      </c>
      <c r="AD845" s="1459">
        <f t="shared" si="481"/>
        <v>0</v>
      </c>
      <c r="AE845" s="964" t="str">
        <f t="shared" si="482"/>
        <v/>
      </c>
      <c r="AF845" s="964" t="str">
        <f t="shared" si="483"/>
        <v/>
      </c>
      <c r="AG845" s="964" t="str">
        <f t="shared" si="484"/>
        <v/>
      </c>
      <c r="AH845" s="964" t="str">
        <f t="shared" si="485"/>
        <v/>
      </c>
      <c r="AI845" s="964" t="str">
        <f t="shared" si="486"/>
        <v/>
      </c>
      <c r="AJ845" s="964"/>
      <c r="AK845" s="964"/>
      <c r="AL845"/>
      <c r="AM845"/>
      <c r="AN845"/>
      <c r="AO845"/>
      <c r="AP845"/>
      <c r="AQ845"/>
      <c r="AR845"/>
      <c r="AS845"/>
      <c r="AT845"/>
      <c r="AU845"/>
      <c r="AV845"/>
      <c r="AW845"/>
      <c r="AX845" s="9"/>
      <c r="AY845"/>
      <c r="AZ845"/>
      <c r="BA845"/>
      <c r="BB845"/>
      <c r="BC845"/>
      <c r="BD845"/>
      <c r="BE845"/>
      <c r="BF845"/>
      <c r="BG845"/>
      <c r="BH845"/>
      <c r="BI845"/>
      <c r="BJ845"/>
      <c r="BK845"/>
      <c r="BL845"/>
      <c r="BM845"/>
      <c r="BN845"/>
      <c r="BO845"/>
      <c r="BP845"/>
      <c r="BQ845"/>
      <c r="BR845"/>
      <c r="BS845"/>
      <c r="BT845"/>
      <c r="BU845"/>
      <c r="BV845"/>
      <c r="BW845"/>
      <c r="BX845"/>
      <c r="BY845"/>
      <c r="BZ845"/>
      <c r="CA845" s="1396"/>
      <c r="CB845" s="1396"/>
      <c r="CC845"/>
      <c r="CD845"/>
      <c r="CE845"/>
    </row>
    <row r="846" spans="1:83" ht="13.15" customHeight="1" outlineLevel="2" x14ac:dyDescent="0.2">
      <c r="A846"/>
      <c r="B846" s="1"/>
      <c r="C846"/>
      <c r="D846"/>
      <c r="E846"/>
      <c r="F846"/>
      <c r="G846" s="1"/>
      <c r="H846" s="1"/>
      <c r="I846"/>
      <c r="J846"/>
      <c r="K846"/>
      <c r="L846"/>
      <c r="M846"/>
      <c r="N846"/>
      <c r="O846"/>
      <c r="P846"/>
      <c r="Q846"/>
      <c r="R846" s="558" t="s">
        <v>1730</v>
      </c>
      <c r="S846" s="83"/>
      <c r="T846" s="56"/>
      <c r="U846" s="955"/>
      <c r="V846" s="43" t="str">
        <f>Z838</f>
        <v>N</v>
      </c>
      <c r="W846" s="10"/>
      <c r="X846" s="45" t="s">
        <v>769</v>
      </c>
      <c r="Y846" s="10"/>
      <c r="Z846" s="46" t="str">
        <f>V837</f>
        <v>D</v>
      </c>
      <c r="AA846" s="123"/>
      <c r="AB846" s="1459">
        <f t="shared" si="479"/>
        <v>0</v>
      </c>
      <c r="AC846" s="1460" t="str">
        <f t="shared" si="480"/>
        <v>-</v>
      </c>
      <c r="AD846" s="1459">
        <f t="shared" si="481"/>
        <v>0</v>
      </c>
      <c r="AE846" s="964" t="str">
        <f t="shared" si="482"/>
        <v/>
      </c>
      <c r="AF846" s="964" t="str">
        <f t="shared" si="483"/>
        <v/>
      </c>
      <c r="AG846" s="964" t="str">
        <f t="shared" si="484"/>
        <v/>
      </c>
      <c r="AH846" s="964" t="str">
        <f t="shared" si="485"/>
        <v/>
      </c>
      <c r="AI846" s="964" t="str">
        <f t="shared" si="486"/>
        <v/>
      </c>
      <c r="AJ846" s="964"/>
      <c r="AK846" s="964"/>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s="1396"/>
      <c r="CB846" s="1396"/>
      <c r="CC846"/>
      <c r="CD846"/>
      <c r="CE846"/>
    </row>
    <row r="847" spans="1:83" ht="13.15" customHeight="1" outlineLevel="2" x14ac:dyDescent="0.2">
      <c r="A847"/>
      <c r="B847" s="1"/>
      <c r="C847"/>
      <c r="D847"/>
      <c r="E847"/>
      <c r="F847"/>
      <c r="G847" s="1"/>
      <c r="H847" s="1"/>
      <c r="I847"/>
      <c r="J847"/>
      <c r="K847"/>
      <c r="L847"/>
      <c r="M847"/>
      <c r="N847"/>
      <c r="O847"/>
      <c r="P847"/>
      <c r="Q847"/>
      <c r="R847" s="558" t="s">
        <v>1730</v>
      </c>
      <c r="S847" s="83"/>
      <c r="T847" s="56"/>
      <c r="U847" s="955"/>
      <c r="V847" s="43" t="str">
        <f>Z839</f>
        <v>L</v>
      </c>
      <c r="W847" s="10"/>
      <c r="X847" s="45" t="s">
        <v>769</v>
      </c>
      <c r="Y847" s="10"/>
      <c r="Z847" s="46" t="str">
        <f>Z828</f>
        <v>F</v>
      </c>
      <c r="AA847" s="123"/>
      <c r="AB847" s="1459">
        <f t="shared" si="479"/>
        <v>0</v>
      </c>
      <c r="AC847" s="1460" t="str">
        <f t="shared" si="480"/>
        <v>-</v>
      </c>
      <c r="AD847" s="1459">
        <f t="shared" si="481"/>
        <v>0</v>
      </c>
      <c r="AE847" s="964" t="str">
        <f t="shared" si="482"/>
        <v/>
      </c>
      <c r="AF847" s="964" t="str">
        <f t="shared" si="483"/>
        <v/>
      </c>
      <c r="AG847" s="964" t="str">
        <f t="shared" si="484"/>
        <v/>
      </c>
      <c r="AH847" s="964" t="str">
        <f t="shared" si="485"/>
        <v/>
      </c>
      <c r="AI847" s="964" t="str">
        <f t="shared" si="486"/>
        <v/>
      </c>
      <c r="AJ847" s="964"/>
      <c r="AK847" s="964"/>
      <c r="AL847"/>
      <c r="AM847"/>
      <c r="AN847"/>
      <c r="AO847"/>
      <c r="AP847"/>
      <c r="AQ847"/>
      <c r="AR847"/>
      <c r="AS847"/>
      <c r="AT847"/>
      <c r="AU847"/>
      <c r="AV847"/>
      <c r="AW847"/>
      <c r="AX847" s="9"/>
      <c r="AY847"/>
      <c r="AZ847"/>
      <c r="BA847"/>
      <c r="BB847"/>
      <c r="BC847"/>
      <c r="BD847"/>
      <c r="BE847"/>
      <c r="BF847"/>
      <c r="BG847"/>
      <c r="BH847"/>
      <c r="BI847"/>
      <c r="BJ847"/>
      <c r="BK847"/>
      <c r="BL847"/>
      <c r="BM847"/>
      <c r="BN847"/>
      <c r="BO847"/>
      <c r="BP847"/>
      <c r="BQ847"/>
      <c r="BR847"/>
      <c r="BS847"/>
      <c r="BT847"/>
      <c r="BU847"/>
      <c r="BV847"/>
      <c r="BW847"/>
      <c r="BX847"/>
      <c r="BY847"/>
      <c r="BZ847"/>
      <c r="CA847" s="1396"/>
      <c r="CB847" s="1396"/>
      <c r="CC847"/>
      <c r="CD847"/>
      <c r="CE847"/>
    </row>
    <row r="848" spans="1:83" ht="13.9" customHeight="1" outlineLevel="2" thickBot="1" x14ac:dyDescent="0.25">
      <c r="A848"/>
      <c r="B848" s="1"/>
      <c r="C848"/>
      <c r="D848"/>
      <c r="E848"/>
      <c r="F848"/>
      <c r="G848" s="1"/>
      <c r="H848" s="1"/>
      <c r="I848"/>
      <c r="J848"/>
      <c r="K848"/>
      <c r="L848"/>
      <c r="M848"/>
      <c r="N848"/>
      <c r="O848"/>
      <c r="P848"/>
      <c r="Q848"/>
      <c r="R848" s="558" t="s">
        <v>1730</v>
      </c>
      <c r="S848" s="956"/>
      <c r="T848" s="58"/>
      <c r="U848" s="957"/>
      <c r="V848" s="958" t="str">
        <f>V839</f>
        <v>J</v>
      </c>
      <c r="W848" s="10"/>
      <c r="X848" s="45" t="s">
        <v>769</v>
      </c>
      <c r="Y848" s="10"/>
      <c r="Z848" s="46" t="str">
        <f>V838</f>
        <v>H</v>
      </c>
      <c r="AA848" s="123"/>
      <c r="AB848" s="1459">
        <f t="shared" si="479"/>
        <v>0</v>
      </c>
      <c r="AC848" s="1460" t="str">
        <f t="shared" si="480"/>
        <v>-</v>
      </c>
      <c r="AD848" s="1459">
        <f t="shared" si="481"/>
        <v>0</v>
      </c>
      <c r="AE848" s="964" t="str">
        <f t="shared" si="482"/>
        <v/>
      </c>
      <c r="AF848" s="964" t="str">
        <f t="shared" si="483"/>
        <v/>
      </c>
      <c r="AG848" s="964" t="str">
        <f t="shared" si="484"/>
        <v/>
      </c>
      <c r="AH848" s="964" t="str">
        <f t="shared" si="485"/>
        <v/>
      </c>
      <c r="AI848" s="964" t="str">
        <f t="shared" si="486"/>
        <v/>
      </c>
      <c r="AJ848" s="964"/>
      <c r="AK848" s="964"/>
      <c r="AL848"/>
      <c r="AM848"/>
      <c r="AN848"/>
      <c r="AO848"/>
      <c r="AP848"/>
      <c r="AQ848"/>
      <c r="AR848"/>
      <c r="AS848"/>
      <c r="AT848"/>
      <c r="AU848"/>
      <c r="AV848"/>
      <c r="AW848" s="9"/>
      <c r="AX848" s="9"/>
      <c r="AY848"/>
      <c r="AZ848"/>
      <c r="BA848"/>
      <c r="BB848"/>
      <c r="BC848"/>
      <c r="BD848"/>
      <c r="BE848"/>
      <c r="BF848"/>
      <c r="BG848"/>
      <c r="BH848"/>
      <c r="BI848"/>
      <c r="BJ848"/>
      <c r="BK848"/>
      <c r="BL848"/>
      <c r="BM848"/>
      <c r="BN848"/>
      <c r="BO848"/>
      <c r="BP848"/>
      <c r="BQ848"/>
      <c r="BR848"/>
      <c r="BS848"/>
      <c r="BT848"/>
      <c r="BU848"/>
      <c r="BV848"/>
      <c r="BW848"/>
      <c r="BX848"/>
      <c r="BY848"/>
      <c r="BZ848"/>
      <c r="CA848" s="1396"/>
      <c r="CB848" s="1396"/>
      <c r="CC848"/>
      <c r="CD848"/>
      <c r="CE848"/>
    </row>
    <row r="849" spans="1:83" ht="13.5" outlineLevel="1" thickBot="1" x14ac:dyDescent="0.25">
      <c r="A849"/>
      <c r="B849" s="1"/>
      <c r="C849" s="1"/>
      <c r="D849" s="76"/>
      <c r="E849" s="76"/>
      <c r="F849" s="76"/>
      <c r="G849" s="9"/>
      <c r="H849" s="9"/>
      <c r="I849" s="1"/>
      <c r="J849"/>
      <c r="K849"/>
      <c r="L849"/>
      <c r="M849"/>
      <c r="N849"/>
      <c r="O849"/>
      <c r="P849" s="89"/>
      <c r="Q849"/>
      <c r="R849" s="1"/>
      <c r="S849" s="993">
        <f>S840+1</f>
        <v>6</v>
      </c>
      <c r="T849" s="961"/>
      <c r="U849" s="961"/>
      <c r="V849" s="961"/>
      <c r="W849" s="960"/>
      <c r="X849" s="960"/>
      <c r="Y849" s="960"/>
      <c r="Z849" s="962"/>
      <c r="AA849" s="123"/>
      <c r="AB849" s="963"/>
      <c r="AC849" s="963"/>
      <c r="AD849" s="963"/>
      <c r="AE849" s="964"/>
      <c r="AF849" s="964"/>
      <c r="AG849" s="964"/>
      <c r="AH849" s="964"/>
      <c r="AI849" s="964"/>
      <c r="AJ849" s="964"/>
      <c r="AK849" s="964"/>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s="1396"/>
      <c r="CB849" s="1396"/>
      <c r="CC849"/>
      <c r="CD849"/>
      <c r="CE849"/>
    </row>
    <row r="850" spans="1:83" ht="13.9" customHeight="1" outlineLevel="2" thickBot="1" x14ac:dyDescent="0.25">
      <c r="A850"/>
      <c r="B850" s="1"/>
      <c r="C850"/>
      <c r="D850"/>
      <c r="E850"/>
      <c r="F850"/>
      <c r="G850" s="1"/>
      <c r="H850" s="1"/>
      <c r="I850"/>
      <c r="J850"/>
      <c r="K850"/>
      <c r="L850"/>
      <c r="M850"/>
      <c r="N850"/>
      <c r="O850"/>
      <c r="P850"/>
      <c r="Q850"/>
      <c r="S850" s="22" t="str">
        <f>N_Heure</f>
        <v>Heure</v>
      </c>
      <c r="T850" s="22" t="str">
        <f>N_Table</f>
        <v>Table</v>
      </c>
      <c r="U850" s="22" t="str">
        <f>N_Arbitre</f>
        <v>Arbitre</v>
      </c>
      <c r="V850" s="293" t="str">
        <f>N_Matches</f>
        <v>Matches</v>
      </c>
      <c r="W850" s="294"/>
      <c r="X850" s="294"/>
      <c r="Y850" s="294"/>
      <c r="Z850" s="295"/>
      <c r="AA850" s="8"/>
      <c r="AB850" s="967"/>
      <c r="AC850" s="967"/>
      <c r="AD850" s="967"/>
      <c r="AE850" s="964"/>
      <c r="AF850" s="964"/>
      <c r="AG850" s="964"/>
      <c r="AH850" s="964"/>
      <c r="AI850" s="964"/>
      <c r="AJ850" s="964"/>
      <c r="AK850" s="964"/>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s="1396"/>
      <c r="CB850" s="1396"/>
      <c r="CC850"/>
      <c r="CD850"/>
      <c r="CE850"/>
    </row>
    <row r="851" spans="1:83" ht="13.15" customHeight="1" outlineLevel="2" x14ac:dyDescent="0.2">
      <c r="A851"/>
      <c r="B851" s="1"/>
      <c r="C851"/>
      <c r="D851"/>
      <c r="E851"/>
      <c r="F851"/>
      <c r="G851" s="1"/>
      <c r="H851" s="1"/>
      <c r="I851"/>
      <c r="J851"/>
      <c r="K851"/>
      <c r="L851"/>
      <c r="M851"/>
      <c r="N851"/>
      <c r="O851"/>
      <c r="P851"/>
      <c r="Q851"/>
      <c r="R851" s="558" t="s">
        <v>1731</v>
      </c>
      <c r="S851" s="65"/>
      <c r="T851" s="953"/>
      <c r="U851" s="954"/>
      <c r="V851" s="34" t="str">
        <f>V843</f>
        <v>K</v>
      </c>
      <c r="W851" s="148"/>
      <c r="X851" s="35" t="s">
        <v>769</v>
      </c>
      <c r="Y851" s="148"/>
      <c r="Z851" s="36" t="str">
        <f>V842</f>
        <v>A</v>
      </c>
      <c r="AA851" s="123"/>
      <c r="AB851" s="1459">
        <f t="shared" ref="AB851:AB857" si="487">IF(MaxScore,MaxGoals(W851,Y851,MaxGoalsValue),IF(W851="","",W851))</f>
        <v>0</v>
      </c>
      <c r="AC851" s="1460" t="str">
        <f t="shared" ref="AC851:AC857" si="488">IF(MaxScore,"-",IF(W851="","","-"))</f>
        <v>-</v>
      </c>
      <c r="AD851" s="1459">
        <f t="shared" ref="AD851:AD857" si="489">IF(MaxScore,MaxGoals(Y851,W851,MaxGoalsValue),IF(Y851="","",Y851))</f>
        <v>0</v>
      </c>
      <c r="AE851" s="964" t="str">
        <f t="shared" ref="AE851:AE857" si="490">IF(W851="","",IF(W851&gt;Y851,V851,IF(W851=Y851,"",Z851)))</f>
        <v/>
      </c>
      <c r="AF851" s="964" t="str">
        <f t="shared" ref="AF851:AF857" si="491">IF(W851="","",IF(W851=Y851,V851,""))</f>
        <v/>
      </c>
      <c r="AG851" s="964" t="str">
        <f t="shared" ref="AG851:AG857" si="492">IF(W851="","",IF(W851=Y851,Z851,""))</f>
        <v/>
      </c>
      <c r="AH851" s="964" t="str">
        <f t="shared" ref="AH851:AH857" si="493">IF(W851="","",IF(W851&lt;Y851,V851,IF(W851=Y851,"",Z851)))</f>
        <v/>
      </c>
      <c r="AI851" s="964" t="str">
        <f t="shared" ref="AI851:AI857" si="494">CONCATENATE(AE851,AH851)</f>
        <v/>
      </c>
      <c r="AJ851" s="964"/>
      <c r="AK851" s="964"/>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s="1396"/>
      <c r="CB851" s="1396"/>
      <c r="CC851"/>
      <c r="CD851"/>
      <c r="CE851"/>
    </row>
    <row r="852" spans="1:83" ht="13.15" customHeight="1" outlineLevel="2" x14ac:dyDescent="0.2">
      <c r="A852"/>
      <c r="B852" s="1"/>
      <c r="C852"/>
      <c r="D852"/>
      <c r="E852"/>
      <c r="F852"/>
      <c r="G852" s="1"/>
      <c r="H852" s="1"/>
      <c r="I852"/>
      <c r="J852"/>
      <c r="K852"/>
      <c r="L852"/>
      <c r="M852"/>
      <c r="N852"/>
      <c r="O852"/>
      <c r="P852"/>
      <c r="Q852"/>
      <c r="R852" s="558" t="s">
        <v>1731</v>
      </c>
      <c r="S852" s="83"/>
      <c r="T852" s="56"/>
      <c r="U852" s="955"/>
      <c r="V852" s="43" t="str">
        <f>Z842</f>
        <v>I</v>
      </c>
      <c r="W852" s="10"/>
      <c r="X852" s="45" t="s">
        <v>769</v>
      </c>
      <c r="Y852" s="10"/>
      <c r="Z852" s="46" t="str">
        <f>V844</f>
        <v>M</v>
      </c>
      <c r="AA852" s="123"/>
      <c r="AB852" s="1459">
        <f t="shared" si="487"/>
        <v>0</v>
      </c>
      <c r="AC852" s="1460" t="str">
        <f t="shared" si="488"/>
        <v>-</v>
      </c>
      <c r="AD852" s="1459">
        <f t="shared" si="489"/>
        <v>0</v>
      </c>
      <c r="AE852" s="964" t="str">
        <f t="shared" si="490"/>
        <v/>
      </c>
      <c r="AF852" s="964" t="str">
        <f t="shared" si="491"/>
        <v/>
      </c>
      <c r="AG852" s="964" t="str">
        <f t="shared" si="492"/>
        <v/>
      </c>
      <c r="AH852" s="964" t="str">
        <f t="shared" si="493"/>
        <v/>
      </c>
      <c r="AI852" s="964" t="str">
        <f t="shared" si="494"/>
        <v/>
      </c>
      <c r="AJ852" s="964"/>
      <c r="AK852" s="964"/>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s="1396"/>
      <c r="CB852" s="1396"/>
      <c r="CC852"/>
      <c r="CD852"/>
      <c r="CE852"/>
    </row>
    <row r="853" spans="1:83" ht="13.15" customHeight="1" outlineLevel="2" x14ac:dyDescent="0.2">
      <c r="A853"/>
      <c r="B853" s="1"/>
      <c r="C853"/>
      <c r="D853"/>
      <c r="E853"/>
      <c r="F853"/>
      <c r="G853" s="1"/>
      <c r="H853" s="1"/>
      <c r="I853"/>
      <c r="J853"/>
      <c r="K853"/>
      <c r="L853"/>
      <c r="M853"/>
      <c r="N853"/>
      <c r="O853"/>
      <c r="P853"/>
      <c r="Q853"/>
      <c r="R853" s="558" t="s">
        <v>1731</v>
      </c>
      <c r="S853" s="83"/>
      <c r="T853" s="56"/>
      <c r="U853" s="955"/>
      <c r="V853" s="43" t="str">
        <f>Z843</f>
        <v>G</v>
      </c>
      <c r="W853" s="10"/>
      <c r="X853" s="45" t="s">
        <v>769</v>
      </c>
      <c r="Y853" s="10"/>
      <c r="Z853" s="46" t="str">
        <f>V845</f>
        <v>O</v>
      </c>
      <c r="AA853" s="123"/>
      <c r="AB853" s="1459">
        <f t="shared" si="487"/>
        <v>0</v>
      </c>
      <c r="AC853" s="1460" t="str">
        <f t="shared" si="488"/>
        <v>-</v>
      </c>
      <c r="AD853" s="1459">
        <f t="shared" si="489"/>
        <v>0</v>
      </c>
      <c r="AE853" s="964" t="str">
        <f t="shared" si="490"/>
        <v/>
      </c>
      <c r="AF853" s="964" t="str">
        <f t="shared" si="491"/>
        <v/>
      </c>
      <c r="AG853" s="964" t="str">
        <f t="shared" si="492"/>
        <v/>
      </c>
      <c r="AH853" s="964" t="str">
        <f t="shared" si="493"/>
        <v/>
      </c>
      <c r="AI853" s="964" t="str">
        <f t="shared" si="494"/>
        <v/>
      </c>
      <c r="AJ853" s="964"/>
      <c r="AK853" s="964"/>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s="1396"/>
      <c r="CB853" s="1396"/>
      <c r="CC853"/>
      <c r="CD853"/>
      <c r="CE853"/>
    </row>
    <row r="854" spans="1:83" ht="13.15" customHeight="1" outlineLevel="2" x14ac:dyDescent="0.2">
      <c r="A854"/>
      <c r="B854" s="1"/>
      <c r="C854"/>
      <c r="D854"/>
      <c r="E854"/>
      <c r="F854"/>
      <c r="G854" s="1"/>
      <c r="H854" s="1"/>
      <c r="I854"/>
      <c r="J854"/>
      <c r="K854"/>
      <c r="L854"/>
      <c r="M854"/>
      <c r="N854"/>
      <c r="O854"/>
      <c r="P854"/>
      <c r="Q854"/>
      <c r="R854" s="558" t="s">
        <v>1731</v>
      </c>
      <c r="S854" s="83"/>
      <c r="T854" s="56"/>
      <c r="U854" s="955"/>
      <c r="V854" s="43" t="str">
        <f>Z845</f>
        <v>C</v>
      </c>
      <c r="W854" s="10"/>
      <c r="X854" s="45" t="s">
        <v>769</v>
      </c>
      <c r="Y854" s="10"/>
      <c r="Z854" s="46" t="str">
        <f>V846</f>
        <v>N</v>
      </c>
      <c r="AA854" s="123"/>
      <c r="AB854" s="1459">
        <f t="shared" si="487"/>
        <v>0</v>
      </c>
      <c r="AC854" s="1460" t="str">
        <f t="shared" si="488"/>
        <v>-</v>
      </c>
      <c r="AD854" s="1459">
        <f t="shared" si="489"/>
        <v>0</v>
      </c>
      <c r="AE854" s="964" t="str">
        <f t="shared" si="490"/>
        <v/>
      </c>
      <c r="AF854" s="964" t="str">
        <f t="shared" si="491"/>
        <v/>
      </c>
      <c r="AG854" s="964" t="str">
        <f t="shared" si="492"/>
        <v/>
      </c>
      <c r="AH854" s="964" t="str">
        <f t="shared" si="493"/>
        <v/>
      </c>
      <c r="AI854" s="964" t="str">
        <f t="shared" si="494"/>
        <v/>
      </c>
      <c r="AJ854" s="964"/>
      <c r="AK854" s="96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s="1396"/>
      <c r="CB854" s="1396"/>
      <c r="CC854"/>
      <c r="CD854"/>
      <c r="CE854"/>
    </row>
    <row r="855" spans="1:83" ht="13.15" customHeight="1" outlineLevel="2" x14ac:dyDescent="0.2">
      <c r="A855"/>
      <c r="B855" s="1"/>
      <c r="C855"/>
      <c r="D855"/>
      <c r="E855"/>
      <c r="F855"/>
      <c r="G855" s="1"/>
      <c r="H855" s="1"/>
      <c r="I855"/>
      <c r="J855"/>
      <c r="K855"/>
      <c r="L855"/>
      <c r="M855"/>
      <c r="N855"/>
      <c r="O855"/>
      <c r="P855"/>
      <c r="Q855"/>
      <c r="R855" s="558" t="s">
        <v>1731</v>
      </c>
      <c r="S855" s="83"/>
      <c r="T855" s="56"/>
      <c r="U855" s="955"/>
      <c r="V855" s="43" t="str">
        <f>V836</f>
        <v>B</v>
      </c>
      <c r="W855" s="10"/>
      <c r="X855" s="45" t="s">
        <v>769</v>
      </c>
      <c r="Y855" s="10"/>
      <c r="Z855" s="46" t="str">
        <f>V847</f>
        <v>L</v>
      </c>
      <c r="AA855" s="123"/>
      <c r="AB855" s="1459">
        <f t="shared" si="487"/>
        <v>0</v>
      </c>
      <c r="AC855" s="1460" t="str">
        <f t="shared" si="488"/>
        <v>-</v>
      </c>
      <c r="AD855" s="1459">
        <f t="shared" si="489"/>
        <v>0</v>
      </c>
      <c r="AE855" s="964" t="str">
        <f t="shared" si="490"/>
        <v/>
      </c>
      <c r="AF855" s="964" t="str">
        <f t="shared" si="491"/>
        <v/>
      </c>
      <c r="AG855" s="964" t="str">
        <f t="shared" si="492"/>
        <v/>
      </c>
      <c r="AH855" s="964" t="str">
        <f t="shared" si="493"/>
        <v/>
      </c>
      <c r="AI855" s="964" t="str">
        <f t="shared" si="494"/>
        <v/>
      </c>
      <c r="AJ855" s="964"/>
      <c r="AK855" s="964"/>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s="1396"/>
      <c r="CB855" s="1396"/>
      <c r="CC855"/>
      <c r="CD855"/>
      <c r="CE855"/>
    </row>
    <row r="856" spans="1:83" ht="13.15" customHeight="1" outlineLevel="2" x14ac:dyDescent="0.2">
      <c r="A856"/>
      <c r="B856" s="1"/>
      <c r="C856"/>
      <c r="D856"/>
      <c r="E856"/>
      <c r="F856"/>
      <c r="G856" s="1"/>
      <c r="H856" s="1"/>
      <c r="I856"/>
      <c r="J856"/>
      <c r="K856"/>
      <c r="L856"/>
      <c r="M856"/>
      <c r="N856"/>
      <c r="O856"/>
      <c r="P856"/>
      <c r="Q856"/>
      <c r="R856" s="558" t="s">
        <v>1731</v>
      </c>
      <c r="S856" s="83"/>
      <c r="T856" s="56"/>
      <c r="U856" s="955"/>
      <c r="V856" s="43" t="str">
        <f>Z846</f>
        <v>D</v>
      </c>
      <c r="W856" s="10"/>
      <c r="X856" s="45" t="s">
        <v>769</v>
      </c>
      <c r="Y856" s="10"/>
      <c r="Z856" s="46" t="str">
        <f>V848</f>
        <v>J</v>
      </c>
      <c r="AA856" s="123"/>
      <c r="AB856" s="1459">
        <f t="shared" si="487"/>
        <v>0</v>
      </c>
      <c r="AC856" s="1460" t="str">
        <f t="shared" si="488"/>
        <v>-</v>
      </c>
      <c r="AD856" s="1459">
        <f t="shared" si="489"/>
        <v>0</v>
      </c>
      <c r="AE856" s="964" t="str">
        <f t="shared" si="490"/>
        <v/>
      </c>
      <c r="AF856" s="964" t="str">
        <f t="shared" si="491"/>
        <v/>
      </c>
      <c r="AG856" s="964" t="str">
        <f t="shared" si="492"/>
        <v/>
      </c>
      <c r="AH856" s="964" t="str">
        <f t="shared" si="493"/>
        <v/>
      </c>
      <c r="AI856" s="964" t="str">
        <f t="shared" si="494"/>
        <v/>
      </c>
      <c r="AJ856" s="964"/>
      <c r="AK856" s="964"/>
      <c r="AL856"/>
      <c r="AM856"/>
      <c r="AN856"/>
      <c r="AO856"/>
      <c r="AP856"/>
      <c r="AQ856"/>
      <c r="AR856"/>
      <c r="AS856"/>
      <c r="AT856"/>
      <c r="AU856"/>
      <c r="AV856"/>
      <c r="AW856"/>
      <c r="AX856" s="9"/>
      <c r="AY856"/>
      <c r="AZ856"/>
      <c r="BA856"/>
      <c r="BB856"/>
      <c r="BC856"/>
      <c r="BD856"/>
      <c r="BE856"/>
      <c r="BF856"/>
      <c r="BG856"/>
      <c r="BH856"/>
      <c r="BI856"/>
      <c r="BJ856"/>
      <c r="BK856"/>
      <c r="BL856"/>
      <c r="BM856"/>
      <c r="BN856"/>
      <c r="BO856"/>
      <c r="BP856"/>
      <c r="BQ856"/>
      <c r="BR856"/>
      <c r="BS856"/>
      <c r="BT856"/>
      <c r="BU856"/>
      <c r="BV856"/>
      <c r="BW856"/>
      <c r="BX856"/>
      <c r="BY856"/>
      <c r="BZ856"/>
      <c r="CA856" s="1396"/>
      <c r="CB856" s="1396"/>
      <c r="CC856"/>
      <c r="CD856"/>
      <c r="CE856"/>
    </row>
    <row r="857" spans="1:83" ht="13.9" customHeight="1" outlineLevel="2" thickBot="1" x14ac:dyDescent="0.25">
      <c r="A857"/>
      <c r="B857" s="1"/>
      <c r="C857"/>
      <c r="D857"/>
      <c r="E857"/>
      <c r="F857"/>
      <c r="G857" s="1"/>
      <c r="H857" s="1"/>
      <c r="I857"/>
      <c r="J857"/>
      <c r="K857"/>
      <c r="L857"/>
      <c r="M857"/>
      <c r="N857"/>
      <c r="O857"/>
      <c r="P857"/>
      <c r="Q857"/>
      <c r="R857" s="558" t="s">
        <v>1731</v>
      </c>
      <c r="S857" s="956"/>
      <c r="T857" s="58"/>
      <c r="U857" s="957"/>
      <c r="V857" s="43" t="str">
        <f>Z847</f>
        <v>F</v>
      </c>
      <c r="W857" s="10"/>
      <c r="X857" s="45" t="s">
        <v>769</v>
      </c>
      <c r="Y857" s="10"/>
      <c r="Z857" s="46" t="str">
        <f>Z848</f>
        <v>H</v>
      </c>
      <c r="AA857" s="123"/>
      <c r="AB857" s="1459">
        <f t="shared" si="487"/>
        <v>0</v>
      </c>
      <c r="AC857" s="1460" t="str">
        <f t="shared" si="488"/>
        <v>-</v>
      </c>
      <c r="AD857" s="1459">
        <f t="shared" si="489"/>
        <v>0</v>
      </c>
      <c r="AE857" s="964" t="str">
        <f t="shared" si="490"/>
        <v/>
      </c>
      <c r="AF857" s="964" t="str">
        <f t="shared" si="491"/>
        <v/>
      </c>
      <c r="AG857" s="964" t="str">
        <f t="shared" si="492"/>
        <v/>
      </c>
      <c r="AH857" s="964" t="str">
        <f t="shared" si="493"/>
        <v/>
      </c>
      <c r="AI857" s="964" t="str">
        <f t="shared" si="494"/>
        <v/>
      </c>
      <c r="AJ857" s="964"/>
      <c r="AK857" s="964"/>
      <c r="AL857"/>
      <c r="AM857"/>
      <c r="AN857"/>
      <c r="AO857"/>
      <c r="AP857"/>
      <c r="AQ857"/>
      <c r="AR857"/>
      <c r="AS857"/>
      <c r="AT857"/>
      <c r="AU857"/>
      <c r="AV857"/>
      <c r="AW857" s="9"/>
      <c r="AX857" s="9"/>
      <c r="AY857"/>
      <c r="AZ857"/>
      <c r="BA857"/>
      <c r="BB857"/>
      <c r="BC857"/>
      <c r="BD857"/>
      <c r="BE857"/>
      <c r="BF857"/>
      <c r="BG857"/>
      <c r="BH857"/>
      <c r="BI857"/>
      <c r="BJ857"/>
      <c r="BK857"/>
      <c r="BL857"/>
      <c r="BM857"/>
      <c r="BN857"/>
      <c r="BO857"/>
      <c r="BP857"/>
      <c r="BQ857"/>
      <c r="BR857"/>
      <c r="BS857"/>
      <c r="BT857"/>
      <c r="BU857"/>
      <c r="BV857"/>
      <c r="BW857"/>
      <c r="BX857"/>
      <c r="BY857"/>
      <c r="BZ857"/>
      <c r="CA857" s="1396"/>
      <c r="CB857" s="1396"/>
      <c r="CC857"/>
      <c r="CD857"/>
      <c r="CE857"/>
    </row>
    <row r="858" spans="1:83" ht="13.5" outlineLevel="1" thickBot="1" x14ac:dyDescent="0.25">
      <c r="A858"/>
      <c r="B858" s="1"/>
      <c r="C858" s="1"/>
      <c r="D858" s="76"/>
      <c r="E858" s="76"/>
      <c r="F858" s="76"/>
      <c r="G858" s="9"/>
      <c r="H858" s="9"/>
      <c r="I858" s="1"/>
      <c r="J858"/>
      <c r="K858"/>
      <c r="L858"/>
      <c r="M858"/>
      <c r="N858"/>
      <c r="O858"/>
      <c r="P858" s="89"/>
      <c r="Q858"/>
      <c r="R858" s="1"/>
      <c r="S858" s="993">
        <f>S849+1</f>
        <v>7</v>
      </c>
      <c r="T858" s="961"/>
      <c r="U858" s="961"/>
      <c r="V858" s="961"/>
      <c r="W858" s="960"/>
      <c r="X858" s="960"/>
      <c r="Y858" s="960"/>
      <c r="Z858" s="962"/>
      <c r="AA858" s="123"/>
      <c r="AB858" s="963"/>
      <c r="AC858" s="963"/>
      <c r="AD858" s="963"/>
      <c r="AE858" s="964"/>
      <c r="AF858" s="964"/>
      <c r="AG858" s="964"/>
      <c r="AH858" s="964"/>
      <c r="AI858" s="964"/>
      <c r="AJ858" s="964"/>
      <c r="AK858" s="964"/>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s="1396"/>
      <c r="CB858" s="1396"/>
      <c r="CC858"/>
      <c r="CD858"/>
      <c r="CE858"/>
    </row>
    <row r="859" spans="1:83" ht="13.9" customHeight="1" outlineLevel="2" thickBot="1" x14ac:dyDescent="0.25">
      <c r="A859"/>
      <c r="B859" s="1"/>
      <c r="C859"/>
      <c r="D859"/>
      <c r="E859"/>
      <c r="F859"/>
      <c r="G859" s="1"/>
      <c r="H859" s="1"/>
      <c r="I859"/>
      <c r="J859"/>
      <c r="K859"/>
      <c r="L859"/>
      <c r="M859"/>
      <c r="N859"/>
      <c r="O859"/>
      <c r="P859"/>
      <c r="Q859"/>
      <c r="S859" s="22" t="str">
        <f>N_Heure</f>
        <v>Heure</v>
      </c>
      <c r="T859" s="22" t="str">
        <f>N_Table</f>
        <v>Table</v>
      </c>
      <c r="U859" s="22" t="str">
        <f>N_Arbitre</f>
        <v>Arbitre</v>
      </c>
      <c r="V859" s="293" t="str">
        <f>N_Matches</f>
        <v>Matches</v>
      </c>
      <c r="W859" s="294"/>
      <c r="X859" s="294"/>
      <c r="Y859" s="294"/>
      <c r="Z859" s="295"/>
      <c r="AA859" s="8"/>
      <c r="AB859" s="967"/>
      <c r="AC859" s="967"/>
      <c r="AD859" s="967"/>
      <c r="AE859" s="964"/>
      <c r="AF859" s="964"/>
      <c r="AG859" s="964"/>
      <c r="AH859" s="964"/>
      <c r="AI859" s="964"/>
      <c r="AJ859" s="964"/>
      <c r="AK859" s="964"/>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s="1396"/>
      <c r="CB859" s="1396"/>
      <c r="CC859"/>
      <c r="CD859"/>
      <c r="CE859"/>
    </row>
    <row r="860" spans="1:83" ht="13.15" customHeight="1" outlineLevel="2" x14ac:dyDescent="0.2">
      <c r="A860"/>
      <c r="B860" s="1"/>
      <c r="C860"/>
      <c r="D860"/>
      <c r="E860"/>
      <c r="F860"/>
      <c r="G860" s="1"/>
      <c r="H860" s="1"/>
      <c r="I860"/>
      <c r="J860"/>
      <c r="K860"/>
      <c r="L860"/>
      <c r="M860"/>
      <c r="N860"/>
      <c r="O860"/>
      <c r="P860"/>
      <c r="Q860"/>
      <c r="R860" s="558" t="s">
        <v>1740</v>
      </c>
      <c r="S860" s="65"/>
      <c r="T860" s="953"/>
      <c r="U860" s="954"/>
      <c r="V860" s="34" t="str">
        <f>Z851</f>
        <v>A</v>
      </c>
      <c r="W860" s="148"/>
      <c r="X860" s="35" t="s">
        <v>769</v>
      </c>
      <c r="Y860" s="148"/>
      <c r="Z860" s="36" t="str">
        <f>Z852</f>
        <v>M</v>
      </c>
      <c r="AA860" s="123"/>
      <c r="AB860" s="1459">
        <f t="shared" ref="AB860:AB866" si="495">IF(MaxScore,MaxGoals(W860,Y860,MaxGoalsValue),IF(W860="","",W860))</f>
        <v>0</v>
      </c>
      <c r="AC860" s="1460" t="str">
        <f t="shared" ref="AC860:AC866" si="496">IF(MaxScore,"-",IF(W860="","","-"))</f>
        <v>-</v>
      </c>
      <c r="AD860" s="1459">
        <f t="shared" ref="AD860:AD866" si="497">IF(MaxScore,MaxGoals(Y860,W860,MaxGoalsValue),IF(Y860="","",Y860))</f>
        <v>0</v>
      </c>
      <c r="AE860" s="964" t="str">
        <f t="shared" ref="AE860:AE866" si="498">IF(W860="","",IF(W860&gt;Y860,V860,IF(W860=Y860,"",Z860)))</f>
        <v/>
      </c>
      <c r="AF860" s="964" t="str">
        <f t="shared" ref="AF860:AF866" si="499">IF(W860="","",IF(W860=Y860,V860,""))</f>
        <v/>
      </c>
      <c r="AG860" s="964" t="str">
        <f t="shared" ref="AG860:AG866" si="500">IF(W860="","",IF(W860=Y860,Z860,""))</f>
        <v/>
      </c>
      <c r="AH860" s="964" t="str">
        <f t="shared" ref="AH860:AH866" si="501">IF(W860="","",IF(W860&lt;Y860,V860,IF(W860=Y860,"",Z860)))</f>
        <v/>
      </c>
      <c r="AI860" s="964" t="str">
        <f t="shared" ref="AI860:AI866" si="502">CONCATENATE(AE860,AH860)</f>
        <v/>
      </c>
      <c r="AJ860" s="964"/>
      <c r="AK860" s="964"/>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s="1396"/>
      <c r="CB860" s="1396"/>
      <c r="CC860"/>
      <c r="CD860"/>
      <c r="CE860"/>
    </row>
    <row r="861" spans="1:83" ht="13.15" customHeight="1" outlineLevel="2" x14ac:dyDescent="0.2">
      <c r="A861"/>
      <c r="B861" s="1"/>
      <c r="C861"/>
      <c r="D861"/>
      <c r="E861"/>
      <c r="F861"/>
      <c r="G861" s="1"/>
      <c r="H861" s="1"/>
      <c r="I861"/>
      <c r="J861"/>
      <c r="K861"/>
      <c r="L861"/>
      <c r="M861"/>
      <c r="N861"/>
      <c r="O861"/>
      <c r="P861"/>
      <c r="Q861"/>
      <c r="R861" s="558" t="s">
        <v>1740</v>
      </c>
      <c r="S861" s="83"/>
      <c r="T861" s="56"/>
      <c r="U861" s="955"/>
      <c r="V861" s="43" t="str">
        <f>Z853</f>
        <v>O</v>
      </c>
      <c r="W861" s="10"/>
      <c r="X861" s="45" t="s">
        <v>769</v>
      </c>
      <c r="Y861" s="10"/>
      <c r="Z861" s="46" t="str">
        <f>V851</f>
        <v>K</v>
      </c>
      <c r="AA861" s="123"/>
      <c r="AB861" s="1459">
        <f t="shared" si="495"/>
        <v>0</v>
      </c>
      <c r="AC861" s="1460" t="str">
        <f t="shared" si="496"/>
        <v>-</v>
      </c>
      <c r="AD861" s="1459">
        <f t="shared" si="497"/>
        <v>0</v>
      </c>
      <c r="AE861" s="964" t="str">
        <f t="shared" si="498"/>
        <v/>
      </c>
      <c r="AF861" s="964" t="str">
        <f t="shared" si="499"/>
        <v/>
      </c>
      <c r="AG861" s="964" t="str">
        <f t="shared" si="500"/>
        <v/>
      </c>
      <c r="AH861" s="964" t="str">
        <f t="shared" si="501"/>
        <v/>
      </c>
      <c r="AI861" s="964" t="str">
        <f t="shared" si="502"/>
        <v/>
      </c>
      <c r="AJ861" s="964"/>
      <c r="AK861" s="964"/>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s="1396"/>
      <c r="CB861" s="1396"/>
      <c r="CC861"/>
      <c r="CD861"/>
      <c r="CE861"/>
    </row>
    <row r="862" spans="1:83" ht="13.15" customHeight="1" outlineLevel="2" x14ac:dyDescent="0.2">
      <c r="A862"/>
      <c r="B862" s="1"/>
      <c r="C862"/>
      <c r="D862"/>
      <c r="E862"/>
      <c r="F862"/>
      <c r="G862" s="1"/>
      <c r="H862" s="1"/>
      <c r="I862"/>
      <c r="J862"/>
      <c r="K862"/>
      <c r="L862"/>
      <c r="M862"/>
      <c r="N862"/>
      <c r="O862"/>
      <c r="P862"/>
      <c r="Q862"/>
      <c r="R862" s="558" t="s">
        <v>1740</v>
      </c>
      <c r="S862" s="83"/>
      <c r="T862" s="56"/>
      <c r="U862" s="955"/>
      <c r="V862" s="43" t="str">
        <f>Z854</f>
        <v>N</v>
      </c>
      <c r="W862" s="10"/>
      <c r="X862" s="45" t="s">
        <v>769</v>
      </c>
      <c r="Y862" s="10"/>
      <c r="Z862" s="46" t="str">
        <f>V853</f>
        <v>G</v>
      </c>
      <c r="AA862" s="123"/>
      <c r="AB862" s="1459">
        <f t="shared" si="495"/>
        <v>0</v>
      </c>
      <c r="AC862" s="1460" t="str">
        <f t="shared" si="496"/>
        <v>-</v>
      </c>
      <c r="AD862" s="1459">
        <f t="shared" si="497"/>
        <v>0</v>
      </c>
      <c r="AE862" s="964" t="str">
        <f t="shared" si="498"/>
        <v/>
      </c>
      <c r="AF862" s="964" t="str">
        <f t="shared" si="499"/>
        <v/>
      </c>
      <c r="AG862" s="964" t="str">
        <f t="shared" si="500"/>
        <v/>
      </c>
      <c r="AH862" s="964" t="str">
        <f t="shared" si="501"/>
        <v/>
      </c>
      <c r="AI862" s="964" t="str">
        <f t="shared" si="502"/>
        <v/>
      </c>
      <c r="AJ862" s="964"/>
      <c r="AK862" s="964"/>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s="1396"/>
      <c r="CB862" s="1396"/>
      <c r="CC862"/>
      <c r="CD862"/>
      <c r="CE862"/>
    </row>
    <row r="863" spans="1:83" ht="13.15" customHeight="1" outlineLevel="2" x14ac:dyDescent="0.2">
      <c r="A863"/>
      <c r="B863" s="1"/>
      <c r="C863"/>
      <c r="D863"/>
      <c r="E863"/>
      <c r="F863"/>
      <c r="G863" s="1"/>
      <c r="H863" s="1"/>
      <c r="I863"/>
      <c r="J863"/>
      <c r="K863"/>
      <c r="L863"/>
      <c r="M863"/>
      <c r="N863"/>
      <c r="O863"/>
      <c r="P863"/>
      <c r="Q863"/>
      <c r="R863" s="558" t="s">
        <v>1740</v>
      </c>
      <c r="S863" s="83"/>
      <c r="T863" s="56"/>
      <c r="U863" s="955"/>
      <c r="V863" s="43" t="str">
        <f>Z855</f>
        <v>L</v>
      </c>
      <c r="W863" s="10"/>
      <c r="X863" s="45" t="s">
        <v>769</v>
      </c>
      <c r="Y863" s="10"/>
      <c r="Z863" s="46" t="str">
        <f>Z844</f>
        <v>E</v>
      </c>
      <c r="AA863" s="123"/>
      <c r="AB863" s="1459">
        <f t="shared" si="495"/>
        <v>0</v>
      </c>
      <c r="AC863" s="1460" t="str">
        <f t="shared" si="496"/>
        <v>-</v>
      </c>
      <c r="AD863" s="1459">
        <f t="shared" si="497"/>
        <v>0</v>
      </c>
      <c r="AE863" s="964" t="str">
        <f t="shared" si="498"/>
        <v/>
      </c>
      <c r="AF863" s="964" t="str">
        <f t="shared" si="499"/>
        <v/>
      </c>
      <c r="AG863" s="964" t="str">
        <f t="shared" si="500"/>
        <v/>
      </c>
      <c r="AH863" s="964" t="str">
        <f t="shared" si="501"/>
        <v/>
      </c>
      <c r="AI863" s="964" t="str">
        <f t="shared" si="502"/>
        <v/>
      </c>
      <c r="AJ863" s="964"/>
      <c r="AK863" s="964"/>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s="1396"/>
      <c r="CB863" s="1396"/>
      <c r="CC863"/>
      <c r="CD863"/>
      <c r="CE863"/>
    </row>
    <row r="864" spans="1:83" ht="13.15" customHeight="1" outlineLevel="2" x14ac:dyDescent="0.2">
      <c r="A864"/>
      <c r="B864" s="1"/>
      <c r="C864"/>
      <c r="D864"/>
      <c r="E864"/>
      <c r="F864"/>
      <c r="G864" s="1"/>
      <c r="H864" s="1"/>
      <c r="I864"/>
      <c r="J864"/>
      <c r="K864"/>
      <c r="L864"/>
      <c r="M864"/>
      <c r="N864"/>
      <c r="O864"/>
      <c r="P864"/>
      <c r="Q864"/>
      <c r="R864" s="558" t="s">
        <v>1740</v>
      </c>
      <c r="S864" s="83"/>
      <c r="T864" s="56"/>
      <c r="U864" s="955"/>
      <c r="V864" s="43" t="str">
        <f>Z856</f>
        <v>J</v>
      </c>
      <c r="W864" s="10"/>
      <c r="X864" s="45" t="s">
        <v>769</v>
      </c>
      <c r="Y864" s="10"/>
      <c r="Z864" s="46" t="str">
        <f>V854</f>
        <v>C</v>
      </c>
      <c r="AA864" s="123"/>
      <c r="AB864" s="1459">
        <f t="shared" si="495"/>
        <v>0</v>
      </c>
      <c r="AC864" s="1460" t="str">
        <f t="shared" si="496"/>
        <v>-</v>
      </c>
      <c r="AD864" s="1459">
        <f t="shared" si="497"/>
        <v>0</v>
      </c>
      <c r="AE864" s="964" t="str">
        <f t="shared" si="498"/>
        <v/>
      </c>
      <c r="AF864" s="964" t="str">
        <f t="shared" si="499"/>
        <v/>
      </c>
      <c r="AG864" s="964" t="str">
        <f t="shared" si="500"/>
        <v/>
      </c>
      <c r="AH864" s="964" t="str">
        <f t="shared" si="501"/>
        <v/>
      </c>
      <c r="AI864" s="964" t="str">
        <f t="shared" si="502"/>
        <v/>
      </c>
      <c r="AJ864" s="964"/>
      <c r="AK864" s="9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s="1396"/>
      <c r="CB864" s="1396"/>
      <c r="CC864"/>
      <c r="CD864"/>
      <c r="CE864"/>
    </row>
    <row r="865" spans="1:83" ht="13.15" customHeight="1" outlineLevel="2" x14ac:dyDescent="0.2">
      <c r="A865"/>
      <c r="B865" s="1"/>
      <c r="C865"/>
      <c r="D865"/>
      <c r="E865"/>
      <c r="F865"/>
      <c r="G865" s="1"/>
      <c r="H865" s="1"/>
      <c r="I865"/>
      <c r="J865"/>
      <c r="K865"/>
      <c r="L865"/>
      <c r="M865"/>
      <c r="N865"/>
      <c r="O865"/>
      <c r="P865"/>
      <c r="Q865"/>
      <c r="R865" s="558" t="s">
        <v>1740</v>
      </c>
      <c r="S865" s="83"/>
      <c r="T865" s="56"/>
      <c r="U865" s="955"/>
      <c r="V865" s="43" t="str">
        <f>Z857</f>
        <v>H</v>
      </c>
      <c r="W865" s="10"/>
      <c r="X865" s="45" t="s">
        <v>769</v>
      </c>
      <c r="Y865" s="10"/>
      <c r="Z865" s="46" t="str">
        <f>V855</f>
        <v>B</v>
      </c>
      <c r="AA865" s="123"/>
      <c r="AB865" s="1459">
        <f t="shared" si="495"/>
        <v>0</v>
      </c>
      <c r="AC865" s="1460" t="str">
        <f t="shared" si="496"/>
        <v>-</v>
      </c>
      <c r="AD865" s="1459">
        <f t="shared" si="497"/>
        <v>0</v>
      </c>
      <c r="AE865" s="964" t="str">
        <f t="shared" si="498"/>
        <v/>
      </c>
      <c r="AF865" s="964" t="str">
        <f t="shared" si="499"/>
        <v/>
      </c>
      <c r="AG865" s="964" t="str">
        <f t="shared" si="500"/>
        <v/>
      </c>
      <c r="AH865" s="964" t="str">
        <f t="shared" si="501"/>
        <v/>
      </c>
      <c r="AI865" s="964" t="str">
        <f t="shared" si="502"/>
        <v/>
      </c>
      <c r="AJ865" s="964"/>
      <c r="AK865" s="964"/>
      <c r="AL865"/>
      <c r="AM865"/>
      <c r="AN865"/>
      <c r="AO865"/>
      <c r="AP865"/>
      <c r="AQ865"/>
      <c r="AR865"/>
      <c r="AS865"/>
      <c r="AT865"/>
      <c r="AU865"/>
      <c r="AV865"/>
      <c r="AW865"/>
      <c r="AX865" s="9"/>
      <c r="AY865"/>
      <c r="AZ865"/>
      <c r="BA865"/>
      <c r="BB865"/>
      <c r="BC865"/>
      <c r="BD865"/>
      <c r="BE865"/>
      <c r="BF865"/>
      <c r="BG865"/>
      <c r="BH865"/>
      <c r="BI865"/>
      <c r="BJ865"/>
      <c r="BK865"/>
      <c r="BL865"/>
      <c r="BM865"/>
      <c r="BN865"/>
      <c r="BO865"/>
      <c r="BP865"/>
      <c r="BQ865"/>
      <c r="BR865"/>
      <c r="BS865"/>
      <c r="BT865"/>
      <c r="BU865"/>
      <c r="BV865"/>
      <c r="BW865"/>
      <c r="BX865"/>
      <c r="BY865"/>
      <c r="BZ865"/>
      <c r="CA865" s="1396"/>
      <c r="CB865" s="1396"/>
      <c r="CC865"/>
      <c r="CD865"/>
      <c r="CE865"/>
    </row>
    <row r="866" spans="1:83" ht="13.9" customHeight="1" outlineLevel="2" thickBot="1" x14ac:dyDescent="0.25">
      <c r="A866"/>
      <c r="B866" s="1"/>
      <c r="C866"/>
      <c r="D866"/>
      <c r="E866"/>
      <c r="F866"/>
      <c r="G866" s="1"/>
      <c r="H866" s="1"/>
      <c r="I866"/>
      <c r="J866"/>
      <c r="K866"/>
      <c r="L866"/>
      <c r="M866"/>
      <c r="N866"/>
      <c r="O866"/>
      <c r="P866"/>
      <c r="Q866"/>
      <c r="R866" s="558" t="s">
        <v>1740</v>
      </c>
      <c r="S866" s="956"/>
      <c r="T866" s="58"/>
      <c r="U866" s="957"/>
      <c r="V866" s="958" t="str">
        <f>V857</f>
        <v>F</v>
      </c>
      <c r="W866" s="10"/>
      <c r="X866" s="45" t="s">
        <v>769</v>
      </c>
      <c r="Y866" s="10"/>
      <c r="Z866" s="46" t="str">
        <f>V856</f>
        <v>D</v>
      </c>
      <c r="AA866" s="123"/>
      <c r="AB866" s="1459">
        <f t="shared" si="495"/>
        <v>0</v>
      </c>
      <c r="AC866" s="1460" t="str">
        <f t="shared" si="496"/>
        <v>-</v>
      </c>
      <c r="AD866" s="1459">
        <f t="shared" si="497"/>
        <v>0</v>
      </c>
      <c r="AE866" s="964" t="str">
        <f t="shared" si="498"/>
        <v/>
      </c>
      <c r="AF866" s="964" t="str">
        <f t="shared" si="499"/>
        <v/>
      </c>
      <c r="AG866" s="964" t="str">
        <f t="shared" si="500"/>
        <v/>
      </c>
      <c r="AH866" s="964" t="str">
        <f t="shared" si="501"/>
        <v/>
      </c>
      <c r="AI866" s="964" t="str">
        <f t="shared" si="502"/>
        <v/>
      </c>
      <c r="AJ866" s="964"/>
      <c r="AK866" s="964"/>
      <c r="AL866"/>
      <c r="AM866"/>
      <c r="AN866"/>
      <c r="AO866"/>
      <c r="AP866"/>
      <c r="AQ866"/>
      <c r="AR866"/>
      <c r="AS866"/>
      <c r="AT866"/>
      <c r="AU866"/>
      <c r="AV866"/>
      <c r="AW866" s="9"/>
      <c r="AX866" s="9"/>
      <c r="AY866"/>
      <c r="AZ866"/>
      <c r="BA866"/>
      <c r="BB866"/>
      <c r="BC866"/>
      <c r="BD866"/>
      <c r="BE866"/>
      <c r="BF866"/>
      <c r="BG866"/>
      <c r="BH866"/>
      <c r="BI866"/>
      <c r="BJ866"/>
      <c r="BK866"/>
      <c r="BL866"/>
      <c r="BM866"/>
      <c r="BN866"/>
      <c r="BO866"/>
      <c r="BP866"/>
      <c r="BQ866"/>
      <c r="BR866"/>
      <c r="BS866"/>
      <c r="BT866"/>
      <c r="BU866"/>
      <c r="BV866"/>
      <c r="BW866"/>
      <c r="BX866"/>
      <c r="BY866"/>
      <c r="BZ866"/>
      <c r="CA866" s="1396"/>
      <c r="CB866" s="1396"/>
      <c r="CC866"/>
      <c r="CD866"/>
      <c r="CE866"/>
    </row>
    <row r="867" spans="1:83" ht="13.5" outlineLevel="1" thickBot="1" x14ac:dyDescent="0.25">
      <c r="A867"/>
      <c r="B867" s="1"/>
      <c r="C867" s="1"/>
      <c r="D867" s="76"/>
      <c r="E867" s="76"/>
      <c r="F867" s="76"/>
      <c r="G867" s="9"/>
      <c r="H867" s="9"/>
      <c r="I867" s="1"/>
      <c r="J867"/>
      <c r="K867"/>
      <c r="L867"/>
      <c r="M867"/>
      <c r="N867"/>
      <c r="O867"/>
      <c r="P867" s="89"/>
      <c r="Q867"/>
      <c r="R867" s="1"/>
      <c r="S867" s="993">
        <f>S858+1</f>
        <v>8</v>
      </c>
      <c r="T867" s="961"/>
      <c r="U867" s="961"/>
      <c r="V867" s="961"/>
      <c r="W867" s="960"/>
      <c r="X867" s="960"/>
      <c r="Y867" s="960"/>
      <c r="Z867" s="962"/>
      <c r="AA867" s="123"/>
      <c r="AB867" s="963"/>
      <c r="AC867" s="963"/>
      <c r="AD867" s="963"/>
      <c r="AE867" s="964"/>
      <c r="AF867" s="964"/>
      <c r="AG867" s="964"/>
      <c r="AH867" s="964"/>
      <c r="AI867" s="964"/>
      <c r="AJ867" s="964"/>
      <c r="AK867" s="964"/>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s="1396"/>
      <c r="CB867" s="1396"/>
      <c r="CC867"/>
      <c r="CD867"/>
      <c r="CE867"/>
    </row>
    <row r="868" spans="1:83" ht="13.9" customHeight="1" outlineLevel="2" thickBot="1" x14ac:dyDescent="0.25">
      <c r="A868"/>
      <c r="B868" s="1"/>
      <c r="C868"/>
      <c r="D868"/>
      <c r="E868"/>
      <c r="F868"/>
      <c r="G868" s="1"/>
      <c r="H868" s="1"/>
      <c r="I868"/>
      <c r="J868"/>
      <c r="K868"/>
      <c r="L868"/>
      <c r="M868"/>
      <c r="N868"/>
      <c r="O868"/>
      <c r="P868"/>
      <c r="Q868"/>
      <c r="S868" s="22" t="str">
        <f>N_Heure</f>
        <v>Heure</v>
      </c>
      <c r="T868" s="22" t="str">
        <f>N_Table</f>
        <v>Table</v>
      </c>
      <c r="U868" s="22" t="str">
        <f>N_Arbitre</f>
        <v>Arbitre</v>
      </c>
      <c r="V868" s="293" t="str">
        <f>N_Matches</f>
        <v>Matches</v>
      </c>
      <c r="W868" s="294"/>
      <c r="X868" s="294"/>
      <c r="Y868" s="294"/>
      <c r="Z868" s="295"/>
      <c r="AA868" s="8"/>
      <c r="AB868" s="967"/>
      <c r="AC868" s="967"/>
      <c r="AD868" s="967"/>
      <c r="AE868" s="964"/>
      <c r="AF868" s="964"/>
      <c r="AG868" s="964"/>
      <c r="AH868" s="964"/>
      <c r="AI868" s="964"/>
      <c r="AJ868" s="964"/>
      <c r="AK868" s="964"/>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s="1396"/>
      <c r="CB868" s="1396"/>
      <c r="CC868"/>
      <c r="CD868"/>
      <c r="CE868"/>
    </row>
    <row r="869" spans="1:83" ht="13.15" customHeight="1" outlineLevel="2" x14ac:dyDescent="0.2">
      <c r="A869"/>
      <c r="B869" s="1"/>
      <c r="C869"/>
      <c r="D869"/>
      <c r="E869"/>
      <c r="F869"/>
      <c r="G869" s="1"/>
      <c r="H869" s="1"/>
      <c r="I869"/>
      <c r="J869"/>
      <c r="K869"/>
      <c r="L869"/>
      <c r="M869"/>
      <c r="N869"/>
      <c r="O869"/>
      <c r="P869"/>
      <c r="Q869"/>
      <c r="R869" s="558" t="s">
        <v>930</v>
      </c>
      <c r="S869" s="65"/>
      <c r="T869" s="953"/>
      <c r="U869" s="954"/>
      <c r="V869" s="34" t="str">
        <f>V861</f>
        <v>O</v>
      </c>
      <c r="W869" s="148"/>
      <c r="X869" s="35" t="s">
        <v>769</v>
      </c>
      <c r="Y869" s="148"/>
      <c r="Z869" s="36" t="str">
        <f>V860</f>
        <v>A</v>
      </c>
      <c r="AA869" s="123"/>
      <c r="AB869" s="1459">
        <f t="shared" ref="AB869:AB875" si="503">IF(MaxScore,MaxGoals(W869,Y869,MaxGoalsValue),IF(W869="","",W869))</f>
        <v>0</v>
      </c>
      <c r="AC869" s="1460" t="str">
        <f t="shared" ref="AC869:AC875" si="504">IF(MaxScore,"-",IF(W869="","","-"))</f>
        <v>-</v>
      </c>
      <c r="AD869" s="1459">
        <f t="shared" ref="AD869:AD875" si="505">IF(MaxScore,MaxGoals(Y869,W869,MaxGoalsValue),IF(Y869="","",Y869))</f>
        <v>0</v>
      </c>
      <c r="AE869" s="964" t="str">
        <f t="shared" ref="AE869:AE875" si="506">IF(W869="","",IF(W869&gt;Y869,V869,IF(W869=Y869,"",Z869)))</f>
        <v/>
      </c>
      <c r="AF869" s="964" t="str">
        <f t="shared" ref="AF869:AF875" si="507">IF(W869="","",IF(W869=Y869,V869,""))</f>
        <v/>
      </c>
      <c r="AG869" s="964" t="str">
        <f t="shared" ref="AG869:AG875" si="508">IF(W869="","",IF(W869=Y869,Z869,""))</f>
        <v/>
      </c>
      <c r="AH869" s="964" t="str">
        <f t="shared" ref="AH869:AH875" si="509">IF(W869="","",IF(W869&lt;Y869,V869,IF(W869=Y869,"",Z869)))</f>
        <v/>
      </c>
      <c r="AI869" s="964" t="str">
        <f t="shared" ref="AI869:AI875" si="510">CONCATENATE(AE869,AH869)</f>
        <v/>
      </c>
      <c r="AJ869" s="964"/>
      <c r="AK869" s="964"/>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s="1396"/>
      <c r="CB869" s="1396"/>
      <c r="CC869"/>
      <c r="CD869"/>
      <c r="CE869"/>
    </row>
    <row r="870" spans="1:83" ht="13.15" customHeight="1" outlineLevel="2" x14ac:dyDescent="0.2">
      <c r="A870"/>
      <c r="B870" s="1"/>
      <c r="C870"/>
      <c r="D870"/>
      <c r="E870"/>
      <c r="F870"/>
      <c r="G870" s="1"/>
      <c r="H870" s="1"/>
      <c r="I870"/>
      <c r="J870"/>
      <c r="K870"/>
      <c r="L870"/>
      <c r="M870"/>
      <c r="N870"/>
      <c r="O870"/>
      <c r="P870"/>
      <c r="Q870"/>
      <c r="R870" s="558" t="s">
        <v>930</v>
      </c>
      <c r="S870" s="83"/>
      <c r="T870" s="56"/>
      <c r="U870" s="955"/>
      <c r="V870" s="43" t="str">
        <f>Z861</f>
        <v>K</v>
      </c>
      <c r="W870" s="10"/>
      <c r="X870" s="45" t="s">
        <v>769</v>
      </c>
      <c r="Y870" s="10"/>
      <c r="Z870" s="46" t="str">
        <f>V862</f>
        <v>N</v>
      </c>
      <c r="AA870" s="123"/>
      <c r="AB870" s="1459">
        <f t="shared" si="503"/>
        <v>0</v>
      </c>
      <c r="AC870" s="1460" t="str">
        <f t="shared" si="504"/>
        <v>-</v>
      </c>
      <c r="AD870" s="1459">
        <f t="shared" si="505"/>
        <v>0</v>
      </c>
      <c r="AE870" s="964" t="str">
        <f t="shared" si="506"/>
        <v/>
      </c>
      <c r="AF870" s="964" t="str">
        <f t="shared" si="507"/>
        <v/>
      </c>
      <c r="AG870" s="964" t="str">
        <f t="shared" si="508"/>
        <v/>
      </c>
      <c r="AH870" s="964" t="str">
        <f t="shared" si="509"/>
        <v/>
      </c>
      <c r="AI870" s="964" t="str">
        <f t="shared" si="510"/>
        <v/>
      </c>
      <c r="AJ870" s="964"/>
      <c r="AK870" s="964"/>
      <c r="AL870"/>
      <c r="AM870"/>
      <c r="AN870"/>
      <c r="AO870"/>
      <c r="AP870"/>
      <c r="AQ870"/>
      <c r="AR870"/>
      <c r="AS870"/>
      <c r="AT870"/>
      <c r="AU870"/>
      <c r="AV870"/>
      <c r="AW870" s="9"/>
      <c r="AX870" s="9"/>
      <c r="AY870"/>
      <c r="AZ870"/>
      <c r="BA870"/>
      <c r="BB870"/>
      <c r="BC870"/>
      <c r="BD870"/>
      <c r="BE870"/>
      <c r="BF870"/>
      <c r="BG870"/>
      <c r="BH870"/>
      <c r="BI870"/>
      <c r="BJ870"/>
      <c r="BK870"/>
      <c r="BL870"/>
      <c r="BM870"/>
      <c r="BN870"/>
      <c r="BO870"/>
      <c r="BP870"/>
      <c r="BQ870"/>
      <c r="BR870"/>
      <c r="BS870"/>
      <c r="BT870"/>
      <c r="BU870"/>
      <c r="BV870"/>
      <c r="BW870"/>
      <c r="BX870"/>
      <c r="BY870"/>
      <c r="BZ870"/>
      <c r="CA870" s="1396"/>
      <c r="CB870" s="1396"/>
      <c r="CC870"/>
      <c r="CD870"/>
      <c r="CE870"/>
    </row>
    <row r="871" spans="1:83" ht="13.15" customHeight="1" outlineLevel="2" x14ac:dyDescent="0.2">
      <c r="A871"/>
      <c r="B871" s="1"/>
      <c r="C871"/>
      <c r="D871"/>
      <c r="E871"/>
      <c r="F871"/>
      <c r="G871" s="1"/>
      <c r="H871" s="1"/>
      <c r="I871"/>
      <c r="J871"/>
      <c r="K871"/>
      <c r="L871"/>
      <c r="M871"/>
      <c r="N871"/>
      <c r="O871"/>
      <c r="P871"/>
      <c r="Q871"/>
      <c r="R871" s="558" t="s">
        <v>930</v>
      </c>
      <c r="S871" s="83"/>
      <c r="T871" s="56"/>
      <c r="U871" s="955"/>
      <c r="V871" s="43" t="str">
        <f>V852</f>
        <v>I</v>
      </c>
      <c r="W871" s="10"/>
      <c r="X871" s="45" t="s">
        <v>769</v>
      </c>
      <c r="Y871" s="10"/>
      <c r="Z871" s="46" t="str">
        <f>V863</f>
        <v>L</v>
      </c>
      <c r="AA871" s="123"/>
      <c r="AB871" s="1459">
        <f t="shared" si="503"/>
        <v>0</v>
      </c>
      <c r="AC871" s="1460" t="str">
        <f t="shared" si="504"/>
        <v>-</v>
      </c>
      <c r="AD871" s="1459">
        <f t="shared" si="505"/>
        <v>0</v>
      </c>
      <c r="AE871" s="964" t="str">
        <f t="shared" si="506"/>
        <v/>
      </c>
      <c r="AF871" s="964" t="str">
        <f t="shared" si="507"/>
        <v/>
      </c>
      <c r="AG871" s="964" t="str">
        <f t="shared" si="508"/>
        <v/>
      </c>
      <c r="AH871" s="964" t="str">
        <f t="shared" si="509"/>
        <v/>
      </c>
      <c r="AI871" s="964" t="str">
        <f t="shared" si="510"/>
        <v/>
      </c>
      <c r="AJ871" s="964"/>
      <c r="AK871" s="964"/>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s="1396"/>
      <c r="CB871" s="1396"/>
      <c r="CC871"/>
      <c r="CD871"/>
      <c r="CE871"/>
    </row>
    <row r="872" spans="1:83" ht="13.15" customHeight="1" outlineLevel="2" x14ac:dyDescent="0.2">
      <c r="A872"/>
      <c r="B872" s="1"/>
      <c r="C872"/>
      <c r="D872"/>
      <c r="E872"/>
      <c r="F872"/>
      <c r="G872" s="1"/>
      <c r="H872" s="1"/>
      <c r="I872"/>
      <c r="J872"/>
      <c r="K872"/>
      <c r="L872"/>
      <c r="M872"/>
      <c r="N872"/>
      <c r="O872"/>
      <c r="P872"/>
      <c r="Q872"/>
      <c r="R872" s="558" t="s">
        <v>930</v>
      </c>
      <c r="S872" s="83"/>
      <c r="T872" s="56"/>
      <c r="U872" s="955"/>
      <c r="V872" s="43" t="str">
        <f>Z862</f>
        <v>G</v>
      </c>
      <c r="W872" s="10"/>
      <c r="X872" s="45" t="s">
        <v>769</v>
      </c>
      <c r="Y872" s="10"/>
      <c r="Z872" s="46" t="str">
        <f>V864</f>
        <v>J</v>
      </c>
      <c r="AA872" s="123"/>
      <c r="AB872" s="1459">
        <f t="shared" si="503"/>
        <v>0</v>
      </c>
      <c r="AC872" s="1460" t="str">
        <f t="shared" si="504"/>
        <v>-</v>
      </c>
      <c r="AD872" s="1459">
        <f t="shared" si="505"/>
        <v>0</v>
      </c>
      <c r="AE872" s="964" t="str">
        <f t="shared" si="506"/>
        <v/>
      </c>
      <c r="AF872" s="964" t="str">
        <f t="shared" si="507"/>
        <v/>
      </c>
      <c r="AG872" s="964" t="str">
        <f t="shared" si="508"/>
        <v/>
      </c>
      <c r="AH872" s="964" t="str">
        <f t="shared" si="509"/>
        <v/>
      </c>
      <c r="AI872" s="964" t="str">
        <f t="shared" si="510"/>
        <v/>
      </c>
      <c r="AJ872" s="964"/>
      <c r="AK872" s="964"/>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s="1396"/>
      <c r="CB872" s="1396"/>
      <c r="CC872"/>
      <c r="CD872"/>
      <c r="CE872"/>
    </row>
    <row r="873" spans="1:83" ht="13.15" customHeight="1" outlineLevel="2" x14ac:dyDescent="0.2">
      <c r="A873"/>
      <c r="B873" s="1"/>
      <c r="C873"/>
      <c r="D873"/>
      <c r="E873"/>
      <c r="F873"/>
      <c r="G873" s="1"/>
      <c r="H873" s="1"/>
      <c r="I873"/>
      <c r="J873"/>
      <c r="K873"/>
      <c r="L873"/>
      <c r="M873"/>
      <c r="N873"/>
      <c r="O873"/>
      <c r="P873"/>
      <c r="Q873"/>
      <c r="R873" s="558" t="s">
        <v>930</v>
      </c>
      <c r="S873" s="83"/>
      <c r="T873" s="56"/>
      <c r="U873" s="955"/>
      <c r="V873" s="43" t="str">
        <f>Z863</f>
        <v>E</v>
      </c>
      <c r="W873" s="10"/>
      <c r="X873" s="45" t="s">
        <v>769</v>
      </c>
      <c r="Y873" s="10"/>
      <c r="Z873" s="46" t="str">
        <f>V865</f>
        <v>H</v>
      </c>
      <c r="AA873" s="123"/>
      <c r="AB873" s="1459">
        <f t="shared" si="503"/>
        <v>0</v>
      </c>
      <c r="AC873" s="1460" t="str">
        <f t="shared" si="504"/>
        <v>-</v>
      </c>
      <c r="AD873" s="1459">
        <f t="shared" si="505"/>
        <v>0</v>
      </c>
      <c r="AE873" s="964" t="str">
        <f t="shared" si="506"/>
        <v/>
      </c>
      <c r="AF873" s="964" t="str">
        <f t="shared" si="507"/>
        <v/>
      </c>
      <c r="AG873" s="964" t="str">
        <f t="shared" si="508"/>
        <v/>
      </c>
      <c r="AH873" s="964" t="str">
        <f t="shared" si="509"/>
        <v/>
      </c>
      <c r="AI873" s="964" t="str">
        <f t="shared" si="510"/>
        <v/>
      </c>
      <c r="AJ873" s="964"/>
      <c r="AK873" s="964"/>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s="1396"/>
      <c r="CB873" s="1396"/>
      <c r="CC873"/>
      <c r="CD873"/>
      <c r="CE873"/>
    </row>
    <row r="874" spans="1:83" ht="13.15" customHeight="1" outlineLevel="2" x14ac:dyDescent="0.2">
      <c r="A874"/>
      <c r="B874" s="1"/>
      <c r="C874"/>
      <c r="D874"/>
      <c r="E874"/>
      <c r="F874"/>
      <c r="G874" s="1"/>
      <c r="H874" s="1"/>
      <c r="I874"/>
      <c r="J874"/>
      <c r="K874"/>
      <c r="L874"/>
      <c r="M874"/>
      <c r="N874"/>
      <c r="O874"/>
      <c r="P874"/>
      <c r="Q874"/>
      <c r="R874" s="558" t="s">
        <v>930</v>
      </c>
      <c r="S874" s="83"/>
      <c r="T874" s="56"/>
      <c r="U874" s="955"/>
      <c r="V874" s="43" t="str">
        <f>Z864</f>
        <v>C</v>
      </c>
      <c r="W874" s="10"/>
      <c r="X874" s="45" t="s">
        <v>769</v>
      </c>
      <c r="Y874" s="10"/>
      <c r="Z874" s="46" t="str">
        <f>V866</f>
        <v>F</v>
      </c>
      <c r="AA874" s="123"/>
      <c r="AB874" s="1459">
        <f t="shared" si="503"/>
        <v>0</v>
      </c>
      <c r="AC874" s="1460" t="str">
        <f t="shared" si="504"/>
        <v>-</v>
      </c>
      <c r="AD874" s="1459">
        <f t="shared" si="505"/>
        <v>0</v>
      </c>
      <c r="AE874" s="964" t="str">
        <f t="shared" si="506"/>
        <v/>
      </c>
      <c r="AF874" s="964" t="str">
        <f t="shared" si="507"/>
        <v/>
      </c>
      <c r="AG874" s="964" t="str">
        <f t="shared" si="508"/>
        <v/>
      </c>
      <c r="AH874" s="964" t="str">
        <f t="shared" si="509"/>
        <v/>
      </c>
      <c r="AI874" s="964" t="str">
        <f t="shared" si="510"/>
        <v/>
      </c>
      <c r="AJ874" s="964"/>
      <c r="AK874" s="964"/>
      <c r="AL874"/>
      <c r="AM874"/>
      <c r="AN874"/>
      <c r="AO874"/>
      <c r="AP874"/>
      <c r="AQ874"/>
      <c r="AR874"/>
      <c r="AS874"/>
      <c r="AT874"/>
      <c r="AU874"/>
      <c r="AV874"/>
      <c r="AW874"/>
      <c r="AX874" s="9"/>
      <c r="AY874"/>
      <c r="AZ874"/>
      <c r="BA874"/>
      <c r="BB874"/>
      <c r="BC874"/>
      <c r="BD874"/>
      <c r="BE874"/>
      <c r="BF874"/>
      <c r="BG874"/>
      <c r="BH874"/>
      <c r="BI874"/>
      <c r="BJ874"/>
      <c r="BK874"/>
      <c r="BL874"/>
      <c r="BM874"/>
      <c r="BN874"/>
      <c r="BO874"/>
      <c r="BP874"/>
      <c r="BQ874"/>
      <c r="BR874"/>
      <c r="BS874"/>
      <c r="BT874"/>
      <c r="BU874"/>
      <c r="BV874"/>
      <c r="BW874"/>
      <c r="BX874"/>
      <c r="BY874"/>
      <c r="BZ874"/>
      <c r="CA874" s="1396"/>
      <c r="CB874" s="1396"/>
      <c r="CC874"/>
      <c r="CD874"/>
      <c r="CE874"/>
    </row>
    <row r="875" spans="1:83" ht="13.9" customHeight="1" outlineLevel="2" thickBot="1" x14ac:dyDescent="0.25">
      <c r="A875"/>
      <c r="B875" s="1"/>
      <c r="C875"/>
      <c r="D875"/>
      <c r="E875"/>
      <c r="F875"/>
      <c r="G875" s="1"/>
      <c r="H875" s="1"/>
      <c r="I875"/>
      <c r="J875"/>
      <c r="K875"/>
      <c r="L875"/>
      <c r="M875"/>
      <c r="N875"/>
      <c r="O875"/>
      <c r="P875"/>
      <c r="Q875"/>
      <c r="R875" s="558" t="s">
        <v>930</v>
      </c>
      <c r="S875" s="956"/>
      <c r="T875" s="58"/>
      <c r="U875" s="957"/>
      <c r="V875" s="43" t="str">
        <f>Z865</f>
        <v>B</v>
      </c>
      <c r="W875" s="10"/>
      <c r="X875" s="45" t="s">
        <v>769</v>
      </c>
      <c r="Y875" s="10"/>
      <c r="Z875" s="46" t="str">
        <f>Z866</f>
        <v>D</v>
      </c>
      <c r="AA875" s="123"/>
      <c r="AB875" s="1459">
        <f t="shared" si="503"/>
        <v>0</v>
      </c>
      <c r="AC875" s="1460" t="str">
        <f t="shared" si="504"/>
        <v>-</v>
      </c>
      <c r="AD875" s="1459">
        <f t="shared" si="505"/>
        <v>0</v>
      </c>
      <c r="AE875" s="964" t="str">
        <f t="shared" si="506"/>
        <v/>
      </c>
      <c r="AF875" s="964" t="str">
        <f t="shared" si="507"/>
        <v/>
      </c>
      <c r="AG875" s="964" t="str">
        <f t="shared" si="508"/>
        <v/>
      </c>
      <c r="AH875" s="964" t="str">
        <f t="shared" si="509"/>
        <v/>
      </c>
      <c r="AI875" s="964" t="str">
        <f t="shared" si="510"/>
        <v/>
      </c>
      <c r="AJ875" s="964"/>
      <c r="AK875" s="964"/>
      <c r="AL875"/>
      <c r="AM875"/>
      <c r="AN875"/>
      <c r="AO875"/>
      <c r="AP875"/>
      <c r="AQ875"/>
      <c r="AR875"/>
      <c r="AS875"/>
      <c r="AT875"/>
      <c r="AU875"/>
      <c r="AV875"/>
      <c r="AW875" s="9"/>
      <c r="AX875" s="9"/>
      <c r="AY875"/>
      <c r="AZ875"/>
      <c r="BA875"/>
      <c r="BB875"/>
      <c r="BC875"/>
      <c r="BD875"/>
      <c r="BE875"/>
      <c r="BF875"/>
      <c r="BG875"/>
      <c r="BH875"/>
      <c r="BI875"/>
      <c r="BJ875"/>
      <c r="BK875"/>
      <c r="BL875"/>
      <c r="BM875"/>
      <c r="BN875"/>
      <c r="BO875"/>
      <c r="BP875"/>
      <c r="BQ875"/>
      <c r="BR875"/>
      <c r="BS875"/>
      <c r="BT875"/>
      <c r="BU875"/>
      <c r="BV875"/>
      <c r="BW875"/>
      <c r="BX875"/>
      <c r="BY875"/>
      <c r="BZ875"/>
      <c r="CA875" s="1396"/>
      <c r="CB875" s="1396"/>
      <c r="CC875"/>
      <c r="CD875"/>
      <c r="CE875"/>
    </row>
    <row r="876" spans="1:83" ht="13.5" outlineLevel="1" thickBot="1" x14ac:dyDescent="0.25">
      <c r="A876"/>
      <c r="B876" s="1"/>
      <c r="C876" s="1"/>
      <c r="D876" s="76"/>
      <c r="E876" s="76"/>
      <c r="F876" s="76"/>
      <c r="G876" s="9"/>
      <c r="H876" s="9"/>
      <c r="I876" s="1"/>
      <c r="J876"/>
      <c r="K876"/>
      <c r="L876"/>
      <c r="M876"/>
      <c r="N876"/>
      <c r="O876"/>
      <c r="P876" s="89"/>
      <c r="Q876"/>
      <c r="R876" s="1"/>
      <c r="S876" s="993">
        <f>S867+1</f>
        <v>9</v>
      </c>
      <c r="T876" s="961"/>
      <c r="U876" s="961"/>
      <c r="V876" s="961"/>
      <c r="W876" s="960"/>
      <c r="X876" s="960"/>
      <c r="Y876" s="960"/>
      <c r="Z876" s="962"/>
      <c r="AA876" s="123"/>
      <c r="AB876" s="963"/>
      <c r="AC876" s="963"/>
      <c r="AD876" s="963"/>
      <c r="AE876" s="964"/>
      <c r="AF876" s="964"/>
      <c r="AG876" s="964"/>
      <c r="AH876" s="964"/>
      <c r="AI876" s="964"/>
      <c r="AJ876" s="964"/>
      <c r="AK876" s="964"/>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s="1396"/>
      <c r="CB876" s="1396"/>
      <c r="CC876"/>
      <c r="CD876"/>
      <c r="CE876"/>
    </row>
    <row r="877" spans="1:83" ht="13.9" customHeight="1" outlineLevel="2" x14ac:dyDescent="0.2">
      <c r="A877"/>
      <c r="B877" s="1"/>
      <c r="C877"/>
      <c r="D877"/>
      <c r="E877"/>
      <c r="F877"/>
      <c r="G877" s="1"/>
      <c r="H877" s="1"/>
      <c r="I877"/>
      <c r="J877"/>
      <c r="K877"/>
      <c r="L877"/>
      <c r="M877"/>
      <c r="N877"/>
      <c r="O877"/>
      <c r="P877"/>
      <c r="Q877"/>
      <c r="S877" s="22" t="str">
        <f>N_Heure</f>
        <v>Heure</v>
      </c>
      <c r="T877" s="22" t="str">
        <f>N_Table</f>
        <v>Table</v>
      </c>
      <c r="U877" s="22" t="str">
        <f>N_Arbitre</f>
        <v>Arbitre</v>
      </c>
      <c r="V877" s="293" t="str">
        <f>N_Matches</f>
        <v>Matches</v>
      </c>
      <c r="W877" s="294"/>
      <c r="X877" s="294"/>
      <c r="Y877" s="294"/>
      <c r="Z877" s="295"/>
      <c r="AA877" s="8"/>
      <c r="AB877" s="967"/>
      <c r="AC877" s="967"/>
      <c r="AD877" s="967"/>
      <c r="AE877" s="964"/>
      <c r="AF877" s="964"/>
      <c r="AG877" s="964"/>
      <c r="AH877" s="964"/>
      <c r="AI877" s="964"/>
      <c r="AJ877" s="964"/>
      <c r="AK877" s="964"/>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s="1396"/>
      <c r="CB877" s="1396"/>
      <c r="CC877"/>
      <c r="CD877"/>
      <c r="CE877"/>
    </row>
    <row r="878" spans="1:83" ht="13.15" customHeight="1" outlineLevel="2" x14ac:dyDescent="0.2">
      <c r="A878"/>
      <c r="B878" s="1"/>
      <c r="C878"/>
      <c r="D878"/>
      <c r="E878"/>
      <c r="F878"/>
      <c r="G878" s="1"/>
      <c r="H878" s="1"/>
      <c r="I878"/>
      <c r="J878"/>
      <c r="K878"/>
      <c r="L878"/>
      <c r="M878"/>
      <c r="N878"/>
      <c r="O878"/>
      <c r="P878"/>
      <c r="Q878"/>
      <c r="R878" s="558" t="s">
        <v>3971</v>
      </c>
      <c r="S878" s="83"/>
      <c r="T878" s="56"/>
      <c r="U878" s="955"/>
      <c r="V878" s="43" t="str">
        <f t="shared" ref="V878:V883" si="511">Z870</f>
        <v>N</v>
      </c>
      <c r="W878" s="10"/>
      <c r="X878" s="45" t="s">
        <v>769</v>
      </c>
      <c r="Y878" s="10"/>
      <c r="Z878" s="46" t="str">
        <f>V869</f>
        <v>O</v>
      </c>
      <c r="AA878" s="123"/>
      <c r="AB878" s="1459">
        <f t="shared" ref="AB878:AB884" si="512">IF(MaxScore,MaxGoals(W878,Y878,MaxGoalsValue),IF(W878="","",W878))</f>
        <v>0</v>
      </c>
      <c r="AC878" s="1460" t="str">
        <f t="shared" ref="AC878:AC884" si="513">IF(MaxScore,"-",IF(W878="","","-"))</f>
        <v>-</v>
      </c>
      <c r="AD878" s="1459">
        <f t="shared" ref="AD878:AD884" si="514">IF(MaxScore,MaxGoals(Y878,W878,MaxGoalsValue),IF(Y878="","",Y878))</f>
        <v>0</v>
      </c>
      <c r="AE878" s="964" t="str">
        <f t="shared" ref="AE878:AE884" si="515">IF(W878="","",IF(W878&gt;Y878,V878,IF(W878=Y878,"",Z878)))</f>
        <v/>
      </c>
      <c r="AF878" s="964" t="str">
        <f t="shared" ref="AF878:AF884" si="516">IF(W878="","",IF(W878=Y878,V878,""))</f>
        <v/>
      </c>
      <c r="AG878" s="964" t="str">
        <f t="shared" ref="AG878:AG884" si="517">IF(W878="","",IF(W878=Y878,Z878,""))</f>
        <v/>
      </c>
      <c r="AH878" s="964" t="str">
        <f t="shared" ref="AH878:AH884" si="518">IF(W878="","",IF(W878&lt;Y878,V878,IF(W878=Y878,"",Z878)))</f>
        <v/>
      </c>
      <c r="AI878" s="964" t="str">
        <f t="shared" ref="AI878:AI884" si="519">CONCATENATE(AE878,AH878)</f>
        <v/>
      </c>
      <c r="AJ878" s="964"/>
      <c r="AK878" s="964"/>
      <c r="AL878"/>
      <c r="AM878"/>
      <c r="AN878"/>
      <c r="AO878"/>
      <c r="AP878"/>
      <c r="AQ878"/>
      <c r="AR878"/>
      <c r="AS878"/>
      <c r="AT878"/>
      <c r="AU878"/>
      <c r="AV878"/>
      <c r="AW878"/>
      <c r="AX878" s="9"/>
      <c r="AY878"/>
      <c r="AZ878"/>
      <c r="BA878"/>
      <c r="BB878"/>
      <c r="BC878"/>
      <c r="BD878"/>
      <c r="BE878"/>
      <c r="BF878"/>
      <c r="BG878"/>
      <c r="BH878"/>
      <c r="BI878"/>
      <c r="BJ878"/>
      <c r="BK878"/>
      <c r="BL878"/>
      <c r="BM878"/>
      <c r="BN878"/>
      <c r="BO878"/>
      <c r="BP878"/>
      <c r="BQ878"/>
      <c r="BR878"/>
      <c r="BS878"/>
      <c r="BT878"/>
      <c r="BU878"/>
      <c r="BV878"/>
      <c r="BW878"/>
      <c r="BX878"/>
      <c r="BY878"/>
      <c r="BZ878"/>
      <c r="CA878" s="1396"/>
      <c r="CB878" s="1396"/>
      <c r="CC878"/>
      <c r="CD878"/>
      <c r="CE878"/>
    </row>
    <row r="879" spans="1:83" ht="13.15" customHeight="1" outlineLevel="2" x14ac:dyDescent="0.2">
      <c r="A879"/>
      <c r="B879" s="1"/>
      <c r="C879"/>
      <c r="D879"/>
      <c r="E879"/>
      <c r="F879"/>
      <c r="G879" s="1"/>
      <c r="H879" s="1"/>
      <c r="I879"/>
      <c r="J879"/>
      <c r="K879"/>
      <c r="L879"/>
      <c r="M879"/>
      <c r="N879"/>
      <c r="O879"/>
      <c r="P879"/>
      <c r="Q879"/>
      <c r="R879" s="558" t="s">
        <v>3971</v>
      </c>
      <c r="S879" s="83"/>
      <c r="T879" s="56"/>
      <c r="U879" s="955"/>
      <c r="V879" s="43" t="str">
        <f t="shared" si="511"/>
        <v>L</v>
      </c>
      <c r="W879" s="10"/>
      <c r="X879" s="45" t="s">
        <v>769</v>
      </c>
      <c r="Y879" s="10"/>
      <c r="Z879" s="46" t="str">
        <f>Z860</f>
        <v>M</v>
      </c>
      <c r="AA879" s="123"/>
      <c r="AB879" s="1459">
        <f t="shared" si="512"/>
        <v>0</v>
      </c>
      <c r="AC879" s="1460" t="str">
        <f t="shared" si="513"/>
        <v>-</v>
      </c>
      <c r="AD879" s="1459">
        <f t="shared" si="514"/>
        <v>0</v>
      </c>
      <c r="AE879" s="964" t="str">
        <f t="shared" si="515"/>
        <v/>
      </c>
      <c r="AF879" s="964" t="str">
        <f t="shared" si="516"/>
        <v/>
      </c>
      <c r="AG879" s="964" t="str">
        <f t="shared" si="517"/>
        <v/>
      </c>
      <c r="AH879" s="964" t="str">
        <f t="shared" si="518"/>
        <v/>
      </c>
      <c r="AI879" s="964" t="str">
        <f t="shared" si="519"/>
        <v/>
      </c>
      <c r="AJ879" s="964"/>
      <c r="AK879" s="964"/>
      <c r="AL879"/>
      <c r="AM879"/>
      <c r="AN879"/>
      <c r="AO879"/>
      <c r="AP879"/>
      <c r="AQ879"/>
      <c r="AR879"/>
      <c r="AS879"/>
      <c r="AT879"/>
      <c r="AU879"/>
      <c r="AV879"/>
      <c r="AW879" s="9"/>
      <c r="AX879" s="9"/>
      <c r="AY879"/>
      <c r="AZ879"/>
      <c r="BA879"/>
      <c r="BB879"/>
      <c r="BC879"/>
      <c r="BD879"/>
      <c r="BE879"/>
      <c r="BF879"/>
      <c r="BG879"/>
      <c r="BH879"/>
      <c r="BI879"/>
      <c r="BJ879"/>
      <c r="BK879"/>
      <c r="BL879"/>
      <c r="BM879"/>
      <c r="BN879"/>
      <c r="BO879"/>
      <c r="BP879"/>
      <c r="BQ879"/>
      <c r="BR879"/>
      <c r="BS879"/>
      <c r="BT879"/>
      <c r="BU879"/>
      <c r="BV879"/>
      <c r="BW879"/>
      <c r="BX879"/>
      <c r="BY879"/>
      <c r="BZ879"/>
      <c r="CA879" s="1396"/>
      <c r="CB879" s="1396"/>
      <c r="CC879"/>
      <c r="CD879"/>
      <c r="CE879"/>
    </row>
    <row r="880" spans="1:83" ht="13.15" customHeight="1" outlineLevel="2" x14ac:dyDescent="0.2">
      <c r="A880"/>
      <c r="B880" s="1"/>
      <c r="C880"/>
      <c r="D880"/>
      <c r="E880"/>
      <c r="F880"/>
      <c r="G880" s="1"/>
      <c r="H880" s="1"/>
      <c r="I880"/>
      <c r="J880"/>
      <c r="K880"/>
      <c r="L880"/>
      <c r="M880"/>
      <c r="N880"/>
      <c r="O880"/>
      <c r="P880"/>
      <c r="Q880"/>
      <c r="R880" s="558" t="s">
        <v>3971</v>
      </c>
      <c r="S880" s="83"/>
      <c r="T880" s="56"/>
      <c r="U880" s="955"/>
      <c r="V880" s="43" t="str">
        <f t="shared" si="511"/>
        <v>J</v>
      </c>
      <c r="W880" s="10"/>
      <c r="X880" s="45" t="s">
        <v>769</v>
      </c>
      <c r="Y880" s="10"/>
      <c r="Z880" s="46" t="str">
        <f>V870</f>
        <v>K</v>
      </c>
      <c r="AA880" s="123"/>
      <c r="AB880" s="1459">
        <f t="shared" si="512"/>
        <v>0</v>
      </c>
      <c r="AC880" s="1460" t="str">
        <f t="shared" si="513"/>
        <v>-</v>
      </c>
      <c r="AD880" s="1459">
        <f t="shared" si="514"/>
        <v>0</v>
      </c>
      <c r="AE880" s="964" t="str">
        <f t="shared" si="515"/>
        <v/>
      </c>
      <c r="AF880" s="964" t="str">
        <f t="shared" si="516"/>
        <v/>
      </c>
      <c r="AG880" s="964" t="str">
        <f t="shared" si="517"/>
        <v/>
      </c>
      <c r="AH880" s="964" t="str">
        <f t="shared" si="518"/>
        <v/>
      </c>
      <c r="AI880" s="964" t="str">
        <f t="shared" si="519"/>
        <v/>
      </c>
      <c r="AJ880" s="964"/>
      <c r="AK880" s="964"/>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s="1396"/>
      <c r="CB880" s="1396"/>
      <c r="CC880"/>
      <c r="CD880"/>
      <c r="CE880"/>
    </row>
    <row r="881" spans="1:83" ht="13.15" customHeight="1" outlineLevel="2" x14ac:dyDescent="0.2">
      <c r="A881"/>
      <c r="B881" s="1"/>
      <c r="C881"/>
      <c r="D881"/>
      <c r="E881"/>
      <c r="F881"/>
      <c r="G881" s="1"/>
      <c r="H881" s="1"/>
      <c r="I881"/>
      <c r="J881"/>
      <c r="K881"/>
      <c r="L881"/>
      <c r="M881"/>
      <c r="N881"/>
      <c r="O881"/>
      <c r="P881"/>
      <c r="Q881"/>
      <c r="R881" s="558" t="s">
        <v>3971</v>
      </c>
      <c r="S881" s="83"/>
      <c r="T881" s="56"/>
      <c r="U881" s="955"/>
      <c r="V881" s="43" t="str">
        <f t="shared" si="511"/>
        <v>H</v>
      </c>
      <c r="W881" s="10"/>
      <c r="X881" s="45" t="s">
        <v>769</v>
      </c>
      <c r="Y881" s="10"/>
      <c r="Z881" s="46" t="str">
        <f>V871</f>
        <v>I</v>
      </c>
      <c r="AA881" s="123"/>
      <c r="AB881" s="1459">
        <f t="shared" si="512"/>
        <v>0</v>
      </c>
      <c r="AC881" s="1460" t="str">
        <f t="shared" si="513"/>
        <v>-</v>
      </c>
      <c r="AD881" s="1459">
        <f t="shared" si="514"/>
        <v>0</v>
      </c>
      <c r="AE881" s="964" t="str">
        <f t="shared" si="515"/>
        <v/>
      </c>
      <c r="AF881" s="964" t="str">
        <f t="shared" si="516"/>
        <v/>
      </c>
      <c r="AG881" s="964" t="str">
        <f t="shared" si="517"/>
        <v/>
      </c>
      <c r="AH881" s="964" t="str">
        <f t="shared" si="518"/>
        <v/>
      </c>
      <c r="AI881" s="964" t="str">
        <f t="shared" si="519"/>
        <v/>
      </c>
      <c r="AJ881" s="964"/>
      <c r="AK881" s="964"/>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s="1396"/>
      <c r="CB881" s="1396"/>
      <c r="CC881"/>
      <c r="CD881"/>
      <c r="CE881"/>
    </row>
    <row r="882" spans="1:83" ht="13.15" customHeight="1" outlineLevel="2" x14ac:dyDescent="0.2">
      <c r="A882"/>
      <c r="B882" s="1"/>
      <c r="C882"/>
      <c r="D882"/>
      <c r="E882"/>
      <c r="F882"/>
      <c r="G882" s="1"/>
      <c r="H882" s="1"/>
      <c r="I882"/>
      <c r="J882"/>
      <c r="K882"/>
      <c r="L882"/>
      <c r="M882"/>
      <c r="N882"/>
      <c r="O882"/>
      <c r="P882"/>
      <c r="Q882"/>
      <c r="R882" s="558" t="s">
        <v>3971</v>
      </c>
      <c r="S882" s="83"/>
      <c r="T882" s="56"/>
      <c r="U882" s="955"/>
      <c r="V882" s="43" t="str">
        <f t="shared" si="511"/>
        <v>F</v>
      </c>
      <c r="W882" s="10"/>
      <c r="X882" s="45" t="s">
        <v>769</v>
      </c>
      <c r="Y882" s="10"/>
      <c r="Z882" s="46" t="str">
        <f>V872</f>
        <v>G</v>
      </c>
      <c r="AA882" s="123"/>
      <c r="AB882" s="1459">
        <f t="shared" si="512"/>
        <v>0</v>
      </c>
      <c r="AC882" s="1460" t="str">
        <f t="shared" si="513"/>
        <v>-</v>
      </c>
      <c r="AD882" s="1459">
        <f t="shared" si="514"/>
        <v>0</v>
      </c>
      <c r="AE882" s="964" t="str">
        <f t="shared" si="515"/>
        <v/>
      </c>
      <c r="AF882" s="964" t="str">
        <f t="shared" si="516"/>
        <v/>
      </c>
      <c r="AG882" s="964" t="str">
        <f t="shared" si="517"/>
        <v/>
      </c>
      <c r="AH882" s="964" t="str">
        <f t="shared" si="518"/>
        <v/>
      </c>
      <c r="AI882" s="964" t="str">
        <f t="shared" si="519"/>
        <v/>
      </c>
      <c r="AJ882" s="964"/>
      <c r="AK882" s="964"/>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s="1396"/>
      <c r="CB882" s="1396"/>
      <c r="CC882"/>
      <c r="CD882"/>
      <c r="CE882"/>
    </row>
    <row r="883" spans="1:83" ht="13.15" customHeight="1" outlineLevel="2" x14ac:dyDescent="0.2">
      <c r="A883"/>
      <c r="B883" s="1"/>
      <c r="C883"/>
      <c r="D883"/>
      <c r="E883"/>
      <c r="F883"/>
      <c r="G883" s="1"/>
      <c r="H883" s="1"/>
      <c r="I883"/>
      <c r="J883"/>
      <c r="K883"/>
      <c r="L883"/>
      <c r="M883"/>
      <c r="N883"/>
      <c r="O883"/>
      <c r="P883"/>
      <c r="Q883"/>
      <c r="R883" s="558" t="s">
        <v>3971</v>
      </c>
      <c r="S883" s="83"/>
      <c r="T883" s="56"/>
      <c r="U883" s="955"/>
      <c r="V883" s="43" t="str">
        <f t="shared" si="511"/>
        <v>D</v>
      </c>
      <c r="W883" s="10"/>
      <c r="X883" s="45" t="s">
        <v>769</v>
      </c>
      <c r="Y883" s="10"/>
      <c r="Z883" s="46" t="str">
        <f>V873</f>
        <v>E</v>
      </c>
      <c r="AA883" s="123"/>
      <c r="AB883" s="1459">
        <f t="shared" si="512"/>
        <v>0</v>
      </c>
      <c r="AC883" s="1460" t="str">
        <f t="shared" si="513"/>
        <v>-</v>
      </c>
      <c r="AD883" s="1459">
        <f t="shared" si="514"/>
        <v>0</v>
      </c>
      <c r="AE883" s="964" t="str">
        <f t="shared" si="515"/>
        <v/>
      </c>
      <c r="AF883" s="964" t="str">
        <f t="shared" si="516"/>
        <v/>
      </c>
      <c r="AG883" s="964" t="str">
        <f t="shared" si="517"/>
        <v/>
      </c>
      <c r="AH883" s="964" t="str">
        <f t="shared" si="518"/>
        <v/>
      </c>
      <c r="AI883" s="964" t="str">
        <f t="shared" si="519"/>
        <v/>
      </c>
      <c r="AJ883" s="964"/>
      <c r="AK883" s="964"/>
      <c r="AL883"/>
      <c r="AM883"/>
      <c r="AN883"/>
      <c r="AO883"/>
      <c r="AP883"/>
      <c r="AQ883"/>
      <c r="AR883"/>
      <c r="AS883"/>
      <c r="AT883"/>
      <c r="AU883"/>
      <c r="AV883"/>
      <c r="AW883"/>
      <c r="AX883" s="9"/>
      <c r="AY883"/>
      <c r="AZ883"/>
      <c r="BA883"/>
      <c r="BB883"/>
      <c r="BC883"/>
      <c r="BD883"/>
      <c r="BE883"/>
      <c r="BF883"/>
      <c r="BG883"/>
      <c r="BH883"/>
      <c r="BI883"/>
      <c r="BJ883"/>
      <c r="BK883"/>
      <c r="BL883"/>
      <c r="BM883"/>
      <c r="BN883"/>
      <c r="BO883"/>
      <c r="BP883"/>
      <c r="BQ883"/>
      <c r="BR883"/>
      <c r="BS883"/>
      <c r="BT883"/>
      <c r="BU883"/>
      <c r="BV883"/>
      <c r="BW883"/>
      <c r="BX883"/>
      <c r="BY883"/>
      <c r="BZ883"/>
      <c r="CA883" s="1396"/>
      <c r="CB883" s="1396"/>
      <c r="CC883"/>
      <c r="CD883"/>
      <c r="CE883"/>
    </row>
    <row r="884" spans="1:83" ht="13.9" customHeight="1" outlineLevel="2" thickBot="1" x14ac:dyDescent="0.25">
      <c r="A884"/>
      <c r="B884" s="1"/>
      <c r="C884"/>
      <c r="D884"/>
      <c r="E884"/>
      <c r="F884"/>
      <c r="G884" s="1"/>
      <c r="H884" s="1"/>
      <c r="I884"/>
      <c r="J884"/>
      <c r="K884"/>
      <c r="L884"/>
      <c r="M884"/>
      <c r="N884"/>
      <c r="O884"/>
      <c r="P884"/>
      <c r="Q884"/>
      <c r="R884" s="558" t="s">
        <v>3971</v>
      </c>
      <c r="S884" s="956"/>
      <c r="T884" s="58"/>
      <c r="U884" s="957"/>
      <c r="V884" s="958" t="str">
        <f>V875</f>
        <v>B</v>
      </c>
      <c r="W884" s="10"/>
      <c r="X884" s="45" t="s">
        <v>769</v>
      </c>
      <c r="Y884" s="10"/>
      <c r="Z884" s="46" t="str">
        <f>V874</f>
        <v>C</v>
      </c>
      <c r="AA884" s="123"/>
      <c r="AB884" s="1459">
        <f t="shared" si="512"/>
        <v>0</v>
      </c>
      <c r="AC884" s="1460" t="str">
        <f t="shared" si="513"/>
        <v>-</v>
      </c>
      <c r="AD884" s="1459">
        <f t="shared" si="514"/>
        <v>0</v>
      </c>
      <c r="AE884" s="964" t="str">
        <f t="shared" si="515"/>
        <v/>
      </c>
      <c r="AF884" s="964" t="str">
        <f t="shared" si="516"/>
        <v/>
      </c>
      <c r="AG884" s="964" t="str">
        <f t="shared" si="517"/>
        <v/>
      </c>
      <c r="AH884" s="964" t="str">
        <f t="shared" si="518"/>
        <v/>
      </c>
      <c r="AI884" s="964" t="str">
        <f t="shared" si="519"/>
        <v/>
      </c>
      <c r="AJ884" s="964"/>
      <c r="AK884" s="964"/>
      <c r="AL884"/>
      <c r="AM884"/>
      <c r="AN884"/>
      <c r="AO884"/>
      <c r="AP884"/>
      <c r="AQ884"/>
      <c r="AR884"/>
      <c r="AS884"/>
      <c r="AT884"/>
      <c r="AU884"/>
      <c r="AV884"/>
      <c r="AW884" s="9"/>
      <c r="AX884" s="9"/>
      <c r="AY884"/>
      <c r="AZ884"/>
      <c r="BA884"/>
      <c r="BB884"/>
      <c r="BC884"/>
      <c r="BD884"/>
      <c r="BE884"/>
      <c r="BF884"/>
      <c r="BG884"/>
      <c r="BH884"/>
      <c r="BI884"/>
      <c r="BJ884"/>
      <c r="BK884"/>
      <c r="BL884"/>
      <c r="BM884"/>
      <c r="BN884"/>
      <c r="BO884"/>
      <c r="BP884"/>
      <c r="BQ884"/>
      <c r="BR884"/>
      <c r="BS884"/>
      <c r="BT884"/>
      <c r="BU884"/>
      <c r="BV884"/>
      <c r="BW884"/>
      <c r="BX884"/>
      <c r="BY884"/>
      <c r="BZ884"/>
      <c r="CA884" s="1396"/>
      <c r="CB884" s="1396"/>
      <c r="CC884"/>
      <c r="CD884"/>
      <c r="CE884"/>
    </row>
    <row r="885" spans="1:83" ht="13.5" outlineLevel="1" thickBot="1" x14ac:dyDescent="0.25">
      <c r="A885"/>
      <c r="B885" s="1"/>
      <c r="C885" s="1"/>
      <c r="D885" s="76"/>
      <c r="E885" s="76"/>
      <c r="F885" s="76"/>
      <c r="G885" s="9"/>
      <c r="H885" s="9"/>
      <c r="I885" s="1"/>
      <c r="J885"/>
      <c r="K885"/>
      <c r="L885"/>
      <c r="M885"/>
      <c r="N885"/>
      <c r="O885"/>
      <c r="P885" s="89"/>
      <c r="Q885"/>
      <c r="R885" s="1"/>
      <c r="S885" s="993">
        <f>S876+1</f>
        <v>10</v>
      </c>
      <c r="T885" s="961"/>
      <c r="U885" s="961"/>
      <c r="V885" s="961"/>
      <c r="W885" s="960"/>
      <c r="X885" s="960"/>
      <c r="Y885" s="960"/>
      <c r="Z885" s="962"/>
      <c r="AA885" s="123"/>
      <c r="AB885" s="963"/>
      <c r="AC885" s="963"/>
      <c r="AD885" s="963"/>
      <c r="AE885" s="964"/>
      <c r="AF885" s="964"/>
      <c r="AG885" s="964"/>
      <c r="AH885" s="964"/>
      <c r="AI885" s="964"/>
      <c r="AJ885" s="964"/>
      <c r="AK885" s="964"/>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s="1396"/>
      <c r="CB885" s="1396"/>
      <c r="CC885"/>
      <c r="CD885"/>
      <c r="CE885"/>
    </row>
    <row r="886" spans="1:83" ht="13.9" customHeight="1" outlineLevel="2" thickBot="1" x14ac:dyDescent="0.25">
      <c r="A886"/>
      <c r="B886" s="1"/>
      <c r="C886"/>
      <c r="D886"/>
      <c r="E886"/>
      <c r="F886"/>
      <c r="G886" s="1"/>
      <c r="H886" s="1"/>
      <c r="I886"/>
      <c r="J886"/>
      <c r="K886"/>
      <c r="L886"/>
      <c r="M886"/>
      <c r="N886"/>
      <c r="O886"/>
      <c r="P886"/>
      <c r="Q886"/>
      <c r="S886" s="22" t="str">
        <f>N_Heure</f>
        <v>Heure</v>
      </c>
      <c r="T886" s="22" t="str">
        <f>N_Table</f>
        <v>Table</v>
      </c>
      <c r="U886" s="22" t="str">
        <f>N_Arbitre</f>
        <v>Arbitre</v>
      </c>
      <c r="V886" s="293" t="str">
        <f>N_Matches</f>
        <v>Matches</v>
      </c>
      <c r="W886" s="294"/>
      <c r="X886" s="294"/>
      <c r="Y886" s="294"/>
      <c r="Z886" s="295"/>
      <c r="AA886" s="8"/>
      <c r="AB886" s="967"/>
      <c r="AC886" s="967"/>
      <c r="AD886" s="967"/>
      <c r="AE886" s="964"/>
      <c r="AF886" s="964"/>
      <c r="AG886" s="964"/>
      <c r="AH886" s="964"/>
      <c r="AI886" s="964"/>
      <c r="AJ886" s="964"/>
      <c r="AK886" s="964"/>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s="1396"/>
      <c r="CB886" s="1396"/>
      <c r="CC886"/>
      <c r="CD886"/>
      <c r="CE886"/>
    </row>
    <row r="887" spans="1:83" ht="13.15" customHeight="1" outlineLevel="2" x14ac:dyDescent="0.2">
      <c r="A887"/>
      <c r="B887" s="1"/>
      <c r="C887"/>
      <c r="D887"/>
      <c r="E887"/>
      <c r="F887"/>
      <c r="G887" s="1"/>
      <c r="H887" s="1"/>
      <c r="I887"/>
      <c r="J887"/>
      <c r="K887"/>
      <c r="L887"/>
      <c r="M887"/>
      <c r="N887"/>
      <c r="O887"/>
      <c r="P887"/>
      <c r="Q887"/>
      <c r="R887" s="558" t="s">
        <v>3972</v>
      </c>
      <c r="S887" s="83"/>
      <c r="T887" s="56"/>
      <c r="U887" s="955"/>
      <c r="V887" s="34" t="str">
        <f>V878</f>
        <v>N</v>
      </c>
      <c r="W887" s="148"/>
      <c r="X887" s="35" t="s">
        <v>769</v>
      </c>
      <c r="Y887" s="148"/>
      <c r="Z887" s="36" t="str">
        <f>Z869</f>
        <v>A</v>
      </c>
      <c r="AA887" s="123"/>
      <c r="AB887" s="1459">
        <f t="shared" ref="AB887:AB893" si="520">IF(MaxScore,MaxGoals(W887,Y887,MaxGoalsValue),IF(W887="","",W887))</f>
        <v>0</v>
      </c>
      <c r="AC887" s="1460" t="str">
        <f t="shared" ref="AC887:AC893" si="521">IF(MaxScore,"-",IF(W887="","","-"))</f>
        <v>-</v>
      </c>
      <c r="AD887" s="1459">
        <f t="shared" ref="AD887:AD893" si="522">IF(MaxScore,MaxGoals(Y887,W887,MaxGoalsValue),IF(Y887="","",Y887))</f>
        <v>0</v>
      </c>
      <c r="AE887" s="964" t="str">
        <f t="shared" ref="AE887:AE893" si="523">IF(W887="","",IF(W887&gt;Y887,V887,IF(W887=Y887,"",Z887)))</f>
        <v/>
      </c>
      <c r="AF887" s="964" t="str">
        <f t="shared" ref="AF887:AF893" si="524">IF(W887="","",IF(W887=Y887,V887,""))</f>
        <v/>
      </c>
      <c r="AG887" s="964" t="str">
        <f t="shared" ref="AG887:AG893" si="525">IF(W887="","",IF(W887=Y887,Z887,""))</f>
        <v/>
      </c>
      <c r="AH887" s="964" t="str">
        <f t="shared" ref="AH887:AH893" si="526">IF(W887="","",IF(W887&lt;Y887,V887,IF(W887=Y887,"",Z887)))</f>
        <v/>
      </c>
      <c r="AI887" s="964" t="str">
        <f t="shared" ref="AI887:AI893" si="527">CONCATENATE(AE887,AH887)</f>
        <v/>
      </c>
      <c r="AJ887" s="964"/>
      <c r="AK887" s="964"/>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s="1396"/>
      <c r="CB887" s="1396"/>
      <c r="CC887"/>
      <c r="CD887"/>
      <c r="CE887"/>
    </row>
    <row r="888" spans="1:83" ht="13.15" customHeight="1" outlineLevel="2" x14ac:dyDescent="0.2">
      <c r="A888"/>
      <c r="B888" s="1"/>
      <c r="C888"/>
      <c r="D888"/>
      <c r="E888"/>
      <c r="F888"/>
      <c r="G888" s="1"/>
      <c r="H888" s="1"/>
      <c r="I888"/>
      <c r="J888"/>
      <c r="K888"/>
      <c r="L888"/>
      <c r="M888"/>
      <c r="N888"/>
      <c r="O888"/>
      <c r="P888"/>
      <c r="Q888"/>
      <c r="R888" s="558" t="s">
        <v>3972</v>
      </c>
      <c r="S888" s="83"/>
      <c r="T888" s="56"/>
      <c r="U888" s="955"/>
      <c r="V888" s="43" t="str">
        <f t="shared" ref="V888:V893" si="528">Z878</f>
        <v>O</v>
      </c>
      <c r="W888" s="10"/>
      <c r="X888" s="45" t="s">
        <v>769</v>
      </c>
      <c r="Y888" s="10"/>
      <c r="Z888" s="46" t="str">
        <f>V880</f>
        <v>J</v>
      </c>
      <c r="AA888" s="123"/>
      <c r="AB888" s="1459">
        <f t="shared" si="520"/>
        <v>0</v>
      </c>
      <c r="AC888" s="1460" t="str">
        <f t="shared" si="521"/>
        <v>-</v>
      </c>
      <c r="AD888" s="1459">
        <f t="shared" si="522"/>
        <v>0</v>
      </c>
      <c r="AE888" s="964" t="str">
        <f t="shared" si="523"/>
        <v/>
      </c>
      <c r="AF888" s="964" t="str">
        <f t="shared" si="524"/>
        <v/>
      </c>
      <c r="AG888" s="964" t="str">
        <f t="shared" si="525"/>
        <v/>
      </c>
      <c r="AH888" s="964" t="str">
        <f t="shared" si="526"/>
        <v/>
      </c>
      <c r="AI888" s="964" t="str">
        <f t="shared" si="527"/>
        <v/>
      </c>
      <c r="AJ888" s="964"/>
      <c r="AK888" s="964"/>
      <c r="AL888"/>
      <c r="AM888"/>
      <c r="AN888"/>
      <c r="AO888"/>
      <c r="AP888"/>
      <c r="AQ888"/>
      <c r="AR888"/>
      <c r="AS888"/>
      <c r="AT888"/>
      <c r="AU888"/>
      <c r="AV888"/>
      <c r="AW888" s="9"/>
      <c r="AX888" s="9"/>
      <c r="AY888"/>
      <c r="AZ888"/>
      <c r="BA888"/>
      <c r="BB888"/>
      <c r="BC888"/>
      <c r="BD888"/>
      <c r="BE888"/>
      <c r="BF888"/>
      <c r="BG888"/>
      <c r="BH888"/>
      <c r="BI888"/>
      <c r="BJ888"/>
      <c r="BK888"/>
      <c r="BL888"/>
      <c r="BM888"/>
      <c r="BN888"/>
      <c r="BO888"/>
      <c r="BP888"/>
      <c r="BQ888"/>
      <c r="BR888"/>
      <c r="BS888"/>
      <c r="BT888"/>
      <c r="BU888"/>
      <c r="BV888"/>
      <c r="BW888"/>
      <c r="BX888"/>
      <c r="BY888"/>
      <c r="BZ888"/>
      <c r="CA888" s="1396"/>
      <c r="CB888" s="1396"/>
      <c r="CC888"/>
      <c r="CD888"/>
      <c r="CE888"/>
    </row>
    <row r="889" spans="1:83" ht="13.15" customHeight="1" outlineLevel="2" x14ac:dyDescent="0.2">
      <c r="A889"/>
      <c r="B889" s="1"/>
      <c r="C889"/>
      <c r="D889"/>
      <c r="E889"/>
      <c r="F889"/>
      <c r="G889" s="1"/>
      <c r="H889" s="1"/>
      <c r="I889"/>
      <c r="J889"/>
      <c r="K889"/>
      <c r="L889"/>
      <c r="M889"/>
      <c r="N889"/>
      <c r="O889"/>
      <c r="P889"/>
      <c r="Q889"/>
      <c r="R889" s="558" t="s">
        <v>3972</v>
      </c>
      <c r="S889" s="83"/>
      <c r="T889" s="56"/>
      <c r="U889" s="955"/>
      <c r="V889" s="43" t="str">
        <f t="shared" si="528"/>
        <v>M</v>
      </c>
      <c r="W889" s="10"/>
      <c r="X889" s="45" t="s">
        <v>769</v>
      </c>
      <c r="Y889" s="10"/>
      <c r="Z889" s="46" t="str">
        <f>V881</f>
        <v>H</v>
      </c>
      <c r="AA889" s="123"/>
      <c r="AB889" s="1459">
        <f t="shared" si="520"/>
        <v>0</v>
      </c>
      <c r="AC889" s="1460" t="str">
        <f t="shared" si="521"/>
        <v>-</v>
      </c>
      <c r="AD889" s="1459">
        <f t="shared" si="522"/>
        <v>0</v>
      </c>
      <c r="AE889" s="964" t="str">
        <f t="shared" si="523"/>
        <v/>
      </c>
      <c r="AF889" s="964" t="str">
        <f t="shared" si="524"/>
        <v/>
      </c>
      <c r="AG889" s="964" t="str">
        <f t="shared" si="525"/>
        <v/>
      </c>
      <c r="AH889" s="964" t="str">
        <f t="shared" si="526"/>
        <v/>
      </c>
      <c r="AI889" s="964" t="str">
        <f t="shared" si="527"/>
        <v/>
      </c>
      <c r="AJ889" s="964"/>
      <c r="AK889" s="964"/>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s="1396"/>
      <c r="CB889" s="1396"/>
      <c r="CC889"/>
      <c r="CD889"/>
      <c r="CE889"/>
    </row>
    <row r="890" spans="1:83" ht="13.15" customHeight="1" outlineLevel="2" x14ac:dyDescent="0.2">
      <c r="A890"/>
      <c r="B890" s="1"/>
      <c r="C890"/>
      <c r="D890"/>
      <c r="E890"/>
      <c r="F890"/>
      <c r="G890" s="1"/>
      <c r="H890" s="1"/>
      <c r="I890"/>
      <c r="J890"/>
      <c r="K890"/>
      <c r="L890"/>
      <c r="M890"/>
      <c r="N890"/>
      <c r="O890"/>
      <c r="P890"/>
      <c r="Q890"/>
      <c r="R890" s="558" t="s">
        <v>3972</v>
      </c>
      <c r="S890" s="83"/>
      <c r="T890" s="56"/>
      <c r="U890" s="955"/>
      <c r="V890" s="43" t="str">
        <f t="shared" si="528"/>
        <v>K</v>
      </c>
      <c r="W890" s="10"/>
      <c r="X890" s="45" t="s">
        <v>769</v>
      </c>
      <c r="Y890" s="10"/>
      <c r="Z890" s="46" t="str">
        <f>V882</f>
        <v>F</v>
      </c>
      <c r="AA890" s="123"/>
      <c r="AB890" s="1459">
        <f t="shared" si="520"/>
        <v>0</v>
      </c>
      <c r="AC890" s="1460" t="str">
        <f t="shared" si="521"/>
        <v>-</v>
      </c>
      <c r="AD890" s="1459">
        <f t="shared" si="522"/>
        <v>0</v>
      </c>
      <c r="AE890" s="964" t="str">
        <f t="shared" si="523"/>
        <v/>
      </c>
      <c r="AF890" s="964" t="str">
        <f t="shared" si="524"/>
        <v/>
      </c>
      <c r="AG890" s="964" t="str">
        <f t="shared" si="525"/>
        <v/>
      </c>
      <c r="AH890" s="964" t="str">
        <f t="shared" si="526"/>
        <v/>
      </c>
      <c r="AI890" s="964" t="str">
        <f t="shared" si="527"/>
        <v/>
      </c>
      <c r="AJ890" s="964"/>
      <c r="AK890" s="964"/>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s="1396"/>
      <c r="CB890" s="1396"/>
      <c r="CC890"/>
      <c r="CD890"/>
      <c r="CE890"/>
    </row>
    <row r="891" spans="1:83" ht="13.15" customHeight="1" outlineLevel="2" x14ac:dyDescent="0.2">
      <c r="A891"/>
      <c r="B891" s="1"/>
      <c r="C891"/>
      <c r="D891"/>
      <c r="E891"/>
      <c r="F891"/>
      <c r="G891" s="1"/>
      <c r="H891" s="1"/>
      <c r="I891"/>
      <c r="J891"/>
      <c r="K891"/>
      <c r="L891"/>
      <c r="M891"/>
      <c r="N891"/>
      <c r="O891"/>
      <c r="P891"/>
      <c r="Q891"/>
      <c r="R891" s="558" t="s">
        <v>3972</v>
      </c>
      <c r="S891" s="83"/>
      <c r="T891" s="56"/>
      <c r="U891" s="955"/>
      <c r="V891" s="43" t="str">
        <f t="shared" si="528"/>
        <v>I</v>
      </c>
      <c r="W891" s="10"/>
      <c r="X891" s="45" t="s">
        <v>769</v>
      </c>
      <c r="Y891" s="10"/>
      <c r="Z891" s="46" t="str">
        <f>V883</f>
        <v>D</v>
      </c>
      <c r="AA891" s="123"/>
      <c r="AB891" s="1459">
        <f t="shared" si="520"/>
        <v>0</v>
      </c>
      <c r="AC891" s="1460" t="str">
        <f t="shared" si="521"/>
        <v>-</v>
      </c>
      <c r="AD891" s="1459">
        <f t="shared" si="522"/>
        <v>0</v>
      </c>
      <c r="AE891" s="964" t="str">
        <f t="shared" si="523"/>
        <v/>
      </c>
      <c r="AF891" s="964" t="str">
        <f t="shared" si="524"/>
        <v/>
      </c>
      <c r="AG891" s="964" t="str">
        <f t="shared" si="525"/>
        <v/>
      </c>
      <c r="AH891" s="964" t="str">
        <f t="shared" si="526"/>
        <v/>
      </c>
      <c r="AI891" s="964" t="str">
        <f t="shared" si="527"/>
        <v/>
      </c>
      <c r="AJ891" s="964"/>
      <c r="AK891" s="964"/>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s="1396"/>
      <c r="CB891" s="1396"/>
      <c r="CC891"/>
      <c r="CD891"/>
      <c r="CE891"/>
    </row>
    <row r="892" spans="1:83" ht="13.15" customHeight="1" outlineLevel="2" x14ac:dyDescent="0.2">
      <c r="A892"/>
      <c r="B892" s="1"/>
      <c r="C892"/>
      <c r="D892"/>
      <c r="E892"/>
      <c r="F892"/>
      <c r="G892" s="1"/>
      <c r="H892" s="1"/>
      <c r="I892"/>
      <c r="J892"/>
      <c r="K892"/>
      <c r="L892"/>
      <c r="M892"/>
      <c r="N892"/>
      <c r="O892"/>
      <c r="P892"/>
      <c r="Q892"/>
      <c r="R892" s="558" t="s">
        <v>3972</v>
      </c>
      <c r="S892" s="83"/>
      <c r="T892" s="56"/>
      <c r="U892" s="955"/>
      <c r="V892" s="43" t="str">
        <f t="shared" si="528"/>
        <v>G</v>
      </c>
      <c r="W892" s="10"/>
      <c r="X892" s="45" t="s">
        <v>769</v>
      </c>
      <c r="Y892" s="10"/>
      <c r="Z892" s="46" t="str">
        <f>V884</f>
        <v>B</v>
      </c>
      <c r="AA892" s="123"/>
      <c r="AB892" s="1459">
        <f t="shared" si="520"/>
        <v>0</v>
      </c>
      <c r="AC892" s="1460" t="str">
        <f t="shared" si="521"/>
        <v>-</v>
      </c>
      <c r="AD892" s="1459">
        <f t="shared" si="522"/>
        <v>0</v>
      </c>
      <c r="AE892" s="964" t="str">
        <f t="shared" si="523"/>
        <v/>
      </c>
      <c r="AF892" s="964" t="str">
        <f t="shared" si="524"/>
        <v/>
      </c>
      <c r="AG892" s="964" t="str">
        <f t="shared" si="525"/>
        <v/>
      </c>
      <c r="AH892" s="964" t="str">
        <f t="shared" si="526"/>
        <v/>
      </c>
      <c r="AI892" s="964" t="str">
        <f t="shared" si="527"/>
        <v/>
      </c>
      <c r="AJ892" s="964"/>
      <c r="AK892" s="964"/>
      <c r="AL892"/>
      <c r="AM892"/>
      <c r="AN892"/>
      <c r="AO892"/>
      <c r="AP892"/>
      <c r="AQ892"/>
      <c r="AR892"/>
      <c r="AS892"/>
      <c r="AT892"/>
      <c r="AU892"/>
      <c r="AV892"/>
      <c r="AW892"/>
      <c r="AX892" s="9"/>
      <c r="AY892"/>
      <c r="AZ892"/>
      <c r="BA892"/>
      <c r="BB892"/>
      <c r="BC892"/>
      <c r="BD892"/>
      <c r="BE892"/>
      <c r="BF892"/>
      <c r="BG892"/>
      <c r="BH892"/>
      <c r="BI892"/>
      <c r="BJ892"/>
      <c r="BK892"/>
      <c r="BL892"/>
      <c r="BM892"/>
      <c r="BN892"/>
      <c r="BO892"/>
      <c r="BP892"/>
      <c r="BQ892"/>
      <c r="BR892"/>
      <c r="BS892"/>
      <c r="BT892"/>
      <c r="BU892"/>
      <c r="BV892"/>
      <c r="BW892"/>
      <c r="BX892"/>
      <c r="BY892"/>
      <c r="BZ892"/>
      <c r="CA892" s="1396"/>
      <c r="CB892" s="1396"/>
      <c r="CC892"/>
      <c r="CD892"/>
      <c r="CE892"/>
    </row>
    <row r="893" spans="1:83" ht="13.9" customHeight="1" outlineLevel="2" thickBot="1" x14ac:dyDescent="0.25">
      <c r="A893"/>
      <c r="B893" s="1"/>
      <c r="C893"/>
      <c r="D893"/>
      <c r="E893"/>
      <c r="F893"/>
      <c r="G893" s="1"/>
      <c r="H893" s="1"/>
      <c r="I893"/>
      <c r="J893"/>
      <c r="K893"/>
      <c r="L893"/>
      <c r="M893"/>
      <c r="N893"/>
      <c r="O893"/>
      <c r="P893"/>
      <c r="Q893"/>
      <c r="R893" s="558" t="s">
        <v>3972</v>
      </c>
      <c r="S893" s="956"/>
      <c r="T893" s="58"/>
      <c r="U893" s="957"/>
      <c r="V893" s="43" t="str">
        <f t="shared" si="528"/>
        <v>E</v>
      </c>
      <c r="W893" s="10"/>
      <c r="X893" s="45" t="s">
        <v>769</v>
      </c>
      <c r="Y893" s="10"/>
      <c r="Z893" s="46" t="str">
        <f>Z884</f>
        <v>C</v>
      </c>
      <c r="AA893" s="123"/>
      <c r="AB893" s="1459">
        <f t="shared" si="520"/>
        <v>0</v>
      </c>
      <c r="AC893" s="1460" t="str">
        <f t="shared" si="521"/>
        <v>-</v>
      </c>
      <c r="AD893" s="1459">
        <f t="shared" si="522"/>
        <v>0</v>
      </c>
      <c r="AE893" s="964" t="str">
        <f t="shared" si="523"/>
        <v/>
      </c>
      <c r="AF893" s="964" t="str">
        <f t="shared" si="524"/>
        <v/>
      </c>
      <c r="AG893" s="964" t="str">
        <f t="shared" si="525"/>
        <v/>
      </c>
      <c r="AH893" s="964" t="str">
        <f t="shared" si="526"/>
        <v/>
      </c>
      <c r="AI893" s="964" t="str">
        <f t="shared" si="527"/>
        <v/>
      </c>
      <c r="AJ893" s="964"/>
      <c r="AK893" s="964"/>
      <c r="AL893"/>
      <c r="AM893"/>
      <c r="AN893"/>
      <c r="AO893"/>
      <c r="AP893"/>
      <c r="AQ893"/>
      <c r="AR893"/>
      <c r="AS893"/>
      <c r="AT893"/>
      <c r="AU893"/>
      <c r="AV893"/>
      <c r="AW893" s="9"/>
      <c r="AX893" s="9"/>
      <c r="AY893"/>
      <c r="AZ893"/>
      <c r="BA893"/>
      <c r="BB893"/>
      <c r="BC893"/>
      <c r="BD893"/>
      <c r="BE893"/>
      <c r="BF893"/>
      <c r="BG893"/>
      <c r="BH893"/>
      <c r="BI893"/>
      <c r="BJ893"/>
      <c r="BK893"/>
      <c r="BL893"/>
      <c r="BM893"/>
      <c r="BN893"/>
      <c r="BO893"/>
      <c r="BP893"/>
      <c r="BQ893"/>
      <c r="BR893"/>
      <c r="BS893"/>
      <c r="BT893"/>
      <c r="BU893"/>
      <c r="BV893"/>
      <c r="BW893"/>
      <c r="BX893"/>
      <c r="BY893"/>
      <c r="BZ893"/>
      <c r="CA893" s="1396"/>
      <c r="CB893" s="1396"/>
      <c r="CC893"/>
      <c r="CD893"/>
      <c r="CE893"/>
    </row>
    <row r="894" spans="1:83" ht="13.5" outlineLevel="1" thickBot="1" x14ac:dyDescent="0.25">
      <c r="A894"/>
      <c r="B894" s="1"/>
      <c r="C894" s="1"/>
      <c r="D894" s="76"/>
      <c r="E894" s="76"/>
      <c r="F894" s="76"/>
      <c r="G894" s="9"/>
      <c r="H894" s="9"/>
      <c r="I894" s="1"/>
      <c r="J894"/>
      <c r="K894"/>
      <c r="L894"/>
      <c r="M894"/>
      <c r="N894"/>
      <c r="O894"/>
      <c r="P894" s="89"/>
      <c r="Q894"/>
      <c r="R894" s="1"/>
      <c r="S894" s="993">
        <f>S885+1</f>
        <v>11</v>
      </c>
      <c r="T894" s="961"/>
      <c r="U894" s="961"/>
      <c r="V894" s="961"/>
      <c r="W894" s="960"/>
      <c r="X894" s="960"/>
      <c r="Y894" s="960"/>
      <c r="Z894" s="962"/>
      <c r="AA894" s="123"/>
      <c r="AB894" s="963"/>
      <c r="AC894" s="963"/>
      <c r="AD894" s="963"/>
      <c r="AE894" s="964"/>
      <c r="AF894" s="964"/>
      <c r="AG894" s="964"/>
      <c r="AH894" s="964"/>
      <c r="AI894" s="964"/>
      <c r="AJ894" s="964"/>
      <c r="AK894" s="96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s="1396"/>
      <c r="CB894" s="1396"/>
      <c r="CC894"/>
      <c r="CD894"/>
      <c r="CE894"/>
    </row>
    <row r="895" spans="1:83" ht="13.9" customHeight="1" outlineLevel="2" thickBot="1" x14ac:dyDescent="0.25">
      <c r="A895"/>
      <c r="B895" s="1"/>
      <c r="C895"/>
      <c r="D895"/>
      <c r="E895"/>
      <c r="F895"/>
      <c r="G895" s="1"/>
      <c r="H895" s="1"/>
      <c r="I895"/>
      <c r="J895"/>
      <c r="K895"/>
      <c r="L895"/>
      <c r="M895"/>
      <c r="N895"/>
      <c r="O895"/>
      <c r="P895"/>
      <c r="Q895"/>
      <c r="S895" s="22" t="str">
        <f>N_Heure</f>
        <v>Heure</v>
      </c>
      <c r="T895" s="22" t="str">
        <f>N_Table</f>
        <v>Table</v>
      </c>
      <c r="U895" s="22" t="str">
        <f>N_Arbitre</f>
        <v>Arbitre</v>
      </c>
      <c r="V895" s="293" t="str">
        <f>N_Matches</f>
        <v>Matches</v>
      </c>
      <c r="W895" s="294"/>
      <c r="X895" s="294"/>
      <c r="Y895" s="294"/>
      <c r="Z895" s="295"/>
      <c r="AA895" s="8"/>
      <c r="AB895" s="967"/>
      <c r="AC895" s="967"/>
      <c r="AD895" s="967"/>
      <c r="AE895" s="964"/>
      <c r="AF895" s="964"/>
      <c r="AG895" s="964"/>
      <c r="AH895" s="964"/>
      <c r="AI895" s="964"/>
      <c r="AJ895" s="964"/>
      <c r="AK895" s="964"/>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s="1396"/>
      <c r="CB895" s="1396"/>
      <c r="CC895"/>
      <c r="CD895"/>
      <c r="CE895"/>
    </row>
    <row r="896" spans="1:83" ht="13.15" customHeight="1" outlineLevel="2" x14ac:dyDescent="0.2">
      <c r="A896"/>
      <c r="B896" s="1"/>
      <c r="C896"/>
      <c r="D896"/>
      <c r="E896"/>
      <c r="F896"/>
      <c r="G896" s="1"/>
      <c r="H896" s="1"/>
      <c r="I896"/>
      <c r="J896"/>
      <c r="K896"/>
      <c r="L896"/>
      <c r="M896"/>
      <c r="N896"/>
      <c r="O896"/>
      <c r="P896"/>
      <c r="Q896"/>
      <c r="R896" s="558" t="s">
        <v>3973</v>
      </c>
      <c r="S896" s="83"/>
      <c r="T896" s="56"/>
      <c r="U896" s="955"/>
      <c r="V896" s="34" t="str">
        <f>Z887</f>
        <v>A</v>
      </c>
      <c r="W896" s="148"/>
      <c r="X896" s="35" t="s">
        <v>769</v>
      </c>
      <c r="Y896" s="148"/>
      <c r="Z896" s="36" t="str">
        <f>V879</f>
        <v>L</v>
      </c>
      <c r="AA896" s="123"/>
      <c r="AB896" s="1459">
        <f t="shared" ref="AB896:AB902" si="529">IF(MaxScore,MaxGoals(W896,Y896,MaxGoalsValue),IF(W896="","",W896))</f>
        <v>0</v>
      </c>
      <c r="AC896" s="1460" t="str">
        <f t="shared" ref="AC896:AC902" si="530">IF(MaxScore,"-",IF(W896="","","-"))</f>
        <v>-</v>
      </c>
      <c r="AD896" s="1459">
        <f t="shared" ref="AD896:AD902" si="531">IF(MaxScore,MaxGoals(Y896,W896,MaxGoalsValue),IF(Y896="","",Y896))</f>
        <v>0</v>
      </c>
      <c r="AE896" s="964" t="str">
        <f t="shared" ref="AE896:AE902" si="532">IF(W896="","",IF(W896&gt;Y896,V896,IF(W896=Y896,"",Z896)))</f>
        <v/>
      </c>
      <c r="AF896" s="964" t="str">
        <f t="shared" ref="AF896:AF902" si="533">IF(W896="","",IF(W896=Y896,V896,""))</f>
        <v/>
      </c>
      <c r="AG896" s="964" t="str">
        <f t="shared" ref="AG896:AG902" si="534">IF(W896="","",IF(W896=Y896,Z896,""))</f>
        <v/>
      </c>
      <c r="AH896" s="964" t="str">
        <f t="shared" ref="AH896:AH902" si="535">IF(W896="","",IF(W896&lt;Y896,V896,IF(W896=Y896,"",Z896)))</f>
        <v/>
      </c>
      <c r="AI896" s="964" t="str">
        <f t="shared" ref="AI896:AI902" si="536">CONCATENATE(AE896,AH896)</f>
        <v/>
      </c>
      <c r="AJ896" s="964"/>
      <c r="AK896" s="964"/>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s="1396"/>
      <c r="CB896" s="1396"/>
      <c r="CC896"/>
      <c r="CD896"/>
      <c r="CE896"/>
    </row>
    <row r="897" spans="1:83" ht="13.15" customHeight="1" outlineLevel="2" x14ac:dyDescent="0.2">
      <c r="A897"/>
      <c r="B897" s="1"/>
      <c r="C897"/>
      <c r="D897"/>
      <c r="E897"/>
      <c r="F897"/>
      <c r="G897" s="1"/>
      <c r="H897" s="1"/>
      <c r="I897"/>
      <c r="J897"/>
      <c r="K897"/>
      <c r="L897"/>
      <c r="M897"/>
      <c r="N897"/>
      <c r="O897"/>
      <c r="P897"/>
      <c r="Q897"/>
      <c r="R897" s="558" t="s">
        <v>3973</v>
      </c>
      <c r="S897" s="83"/>
      <c r="T897" s="56"/>
      <c r="U897" s="955"/>
      <c r="V897" s="43" t="str">
        <f>Z888</f>
        <v>J</v>
      </c>
      <c r="W897" s="10"/>
      <c r="X897" s="45" t="s">
        <v>769</v>
      </c>
      <c r="Y897" s="10"/>
      <c r="Z897" s="46" t="str">
        <f t="shared" ref="Z897:Z902" si="537">V887</f>
        <v>N</v>
      </c>
      <c r="AA897" s="123"/>
      <c r="AB897" s="1459">
        <f t="shared" si="529"/>
        <v>0</v>
      </c>
      <c r="AC897" s="1460" t="str">
        <f t="shared" si="530"/>
        <v>-</v>
      </c>
      <c r="AD897" s="1459">
        <f t="shared" si="531"/>
        <v>0</v>
      </c>
      <c r="AE897" s="964" t="str">
        <f t="shared" si="532"/>
        <v/>
      </c>
      <c r="AF897" s="964" t="str">
        <f t="shared" si="533"/>
        <v/>
      </c>
      <c r="AG897" s="964" t="str">
        <f t="shared" si="534"/>
        <v/>
      </c>
      <c r="AH897" s="964" t="str">
        <f t="shared" si="535"/>
        <v/>
      </c>
      <c r="AI897" s="964" t="str">
        <f t="shared" si="536"/>
        <v/>
      </c>
      <c r="AJ897" s="964"/>
      <c r="AK897" s="964"/>
      <c r="AL897"/>
      <c r="AM897"/>
      <c r="AN897"/>
      <c r="AO897"/>
      <c r="AP897"/>
      <c r="AQ897"/>
      <c r="AR897"/>
      <c r="AS897"/>
      <c r="AT897"/>
      <c r="AU897"/>
      <c r="AV897"/>
      <c r="AW897"/>
      <c r="AX897" s="9"/>
      <c r="AY897"/>
      <c r="AZ897"/>
      <c r="BA897"/>
      <c r="BB897"/>
      <c r="BC897"/>
      <c r="BD897"/>
      <c r="BE897"/>
      <c r="BF897"/>
      <c r="BG897"/>
      <c r="BH897"/>
      <c r="BI897"/>
      <c r="BJ897"/>
      <c r="BK897"/>
      <c r="BL897"/>
      <c r="BM897"/>
      <c r="BN897"/>
      <c r="BO897"/>
      <c r="BP897"/>
      <c r="BQ897"/>
      <c r="BR897"/>
      <c r="BS897"/>
      <c r="BT897"/>
      <c r="BU897"/>
      <c r="BV897"/>
      <c r="BW897"/>
      <c r="BX897"/>
      <c r="BY897"/>
      <c r="BZ897"/>
      <c r="CA897" s="1396"/>
      <c r="CB897" s="1396"/>
      <c r="CC897"/>
      <c r="CD897"/>
      <c r="CE897"/>
    </row>
    <row r="898" spans="1:83" ht="13.15" customHeight="1" outlineLevel="2" x14ac:dyDescent="0.2">
      <c r="A898"/>
      <c r="B898" s="1"/>
      <c r="C898"/>
      <c r="D898"/>
      <c r="E898"/>
      <c r="F898"/>
      <c r="G898" s="1"/>
      <c r="H898" s="1"/>
      <c r="I898"/>
      <c r="J898"/>
      <c r="K898"/>
      <c r="L898"/>
      <c r="M898"/>
      <c r="N898"/>
      <c r="O898"/>
      <c r="P898"/>
      <c r="Q898"/>
      <c r="R898" s="558" t="s">
        <v>3973</v>
      </c>
      <c r="S898" s="83"/>
      <c r="T898" s="56"/>
      <c r="U898" s="955"/>
      <c r="V898" s="43" t="str">
        <f>Z890</f>
        <v>F</v>
      </c>
      <c r="W898" s="10"/>
      <c r="X898" s="45" t="s">
        <v>769</v>
      </c>
      <c r="Y898" s="10"/>
      <c r="Z898" s="46" t="str">
        <f t="shared" si="537"/>
        <v>O</v>
      </c>
      <c r="AA898" s="123"/>
      <c r="AB898" s="1459">
        <f t="shared" si="529"/>
        <v>0</v>
      </c>
      <c r="AC898" s="1460" t="str">
        <f t="shared" si="530"/>
        <v>-</v>
      </c>
      <c r="AD898" s="1459">
        <f t="shared" si="531"/>
        <v>0</v>
      </c>
      <c r="AE898" s="964" t="str">
        <f t="shared" si="532"/>
        <v/>
      </c>
      <c r="AF898" s="964" t="str">
        <f t="shared" si="533"/>
        <v/>
      </c>
      <c r="AG898" s="964" t="str">
        <f t="shared" si="534"/>
        <v/>
      </c>
      <c r="AH898" s="964" t="str">
        <f t="shared" si="535"/>
        <v/>
      </c>
      <c r="AI898" s="964" t="str">
        <f t="shared" si="536"/>
        <v/>
      </c>
      <c r="AJ898" s="964"/>
      <c r="AK898" s="964"/>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s="1396"/>
      <c r="CB898" s="1396"/>
      <c r="CC898"/>
      <c r="CD898"/>
      <c r="CE898"/>
    </row>
    <row r="899" spans="1:83" ht="13.15" customHeight="1" outlineLevel="2" x14ac:dyDescent="0.2">
      <c r="A899"/>
      <c r="B899" s="1"/>
      <c r="C899"/>
      <c r="D899"/>
      <c r="E899"/>
      <c r="F899"/>
      <c r="G899" s="1"/>
      <c r="H899" s="1"/>
      <c r="I899"/>
      <c r="J899"/>
      <c r="K899"/>
      <c r="L899"/>
      <c r="M899"/>
      <c r="N899"/>
      <c r="O899"/>
      <c r="P899"/>
      <c r="Q899"/>
      <c r="R899" s="558" t="s">
        <v>3973</v>
      </c>
      <c r="S899" s="83"/>
      <c r="T899" s="56"/>
      <c r="U899" s="955"/>
      <c r="V899" s="43" t="str">
        <f>Z891</f>
        <v>D</v>
      </c>
      <c r="W899" s="10"/>
      <c r="X899" s="45" t="s">
        <v>769</v>
      </c>
      <c r="Y899" s="10"/>
      <c r="Z899" s="46" t="str">
        <f t="shared" si="537"/>
        <v>M</v>
      </c>
      <c r="AA899" s="123"/>
      <c r="AB899" s="1459">
        <f t="shared" si="529"/>
        <v>0</v>
      </c>
      <c r="AC899" s="1460" t="str">
        <f t="shared" si="530"/>
        <v>-</v>
      </c>
      <c r="AD899" s="1459">
        <f t="shared" si="531"/>
        <v>0</v>
      </c>
      <c r="AE899" s="964" t="str">
        <f t="shared" si="532"/>
        <v/>
      </c>
      <c r="AF899" s="964" t="str">
        <f t="shared" si="533"/>
        <v/>
      </c>
      <c r="AG899" s="964" t="str">
        <f t="shared" si="534"/>
        <v/>
      </c>
      <c r="AH899" s="964" t="str">
        <f t="shared" si="535"/>
        <v/>
      </c>
      <c r="AI899" s="964" t="str">
        <f t="shared" si="536"/>
        <v/>
      </c>
      <c r="AJ899" s="964"/>
      <c r="AK899" s="964"/>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s="1396"/>
      <c r="CB899" s="1396"/>
      <c r="CC899"/>
      <c r="CD899"/>
      <c r="CE899"/>
    </row>
    <row r="900" spans="1:83" ht="13.15" customHeight="1" outlineLevel="2" x14ac:dyDescent="0.2">
      <c r="A900"/>
      <c r="B900" s="1"/>
      <c r="C900"/>
      <c r="D900"/>
      <c r="E900"/>
      <c r="F900"/>
      <c r="G900" s="1"/>
      <c r="H900" s="1"/>
      <c r="I900"/>
      <c r="J900"/>
      <c r="K900"/>
      <c r="L900"/>
      <c r="M900"/>
      <c r="N900"/>
      <c r="O900"/>
      <c r="P900"/>
      <c r="Q900"/>
      <c r="R900" s="558" t="s">
        <v>3973</v>
      </c>
      <c r="S900" s="83"/>
      <c r="T900" s="56"/>
      <c r="U900" s="955"/>
      <c r="V900" s="43" t="str">
        <f>Z892</f>
        <v>B</v>
      </c>
      <c r="W900" s="10"/>
      <c r="X900" s="45" t="s">
        <v>769</v>
      </c>
      <c r="Y900" s="10"/>
      <c r="Z900" s="46" t="str">
        <f t="shared" si="537"/>
        <v>K</v>
      </c>
      <c r="AA900" s="123"/>
      <c r="AB900" s="1459">
        <f t="shared" si="529"/>
        <v>0</v>
      </c>
      <c r="AC900" s="1460" t="str">
        <f t="shared" si="530"/>
        <v>-</v>
      </c>
      <c r="AD900" s="1459">
        <f t="shared" si="531"/>
        <v>0</v>
      </c>
      <c r="AE900" s="964" t="str">
        <f t="shared" si="532"/>
        <v/>
      </c>
      <c r="AF900" s="964" t="str">
        <f t="shared" si="533"/>
        <v/>
      </c>
      <c r="AG900" s="964" t="str">
        <f t="shared" si="534"/>
        <v/>
      </c>
      <c r="AH900" s="964" t="str">
        <f t="shared" si="535"/>
        <v/>
      </c>
      <c r="AI900" s="964" t="str">
        <f t="shared" si="536"/>
        <v/>
      </c>
      <c r="AJ900" s="964"/>
      <c r="AK900" s="964"/>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s="1396"/>
      <c r="CB900" s="1396"/>
      <c r="CC900"/>
      <c r="CD900"/>
      <c r="CE900"/>
    </row>
    <row r="901" spans="1:83" ht="13.15" customHeight="1" outlineLevel="2" x14ac:dyDescent="0.2">
      <c r="A901"/>
      <c r="B901" s="1"/>
      <c r="C901"/>
      <c r="D901"/>
      <c r="E901"/>
      <c r="F901"/>
      <c r="G901" s="1"/>
      <c r="H901" s="1"/>
      <c r="I901"/>
      <c r="J901"/>
      <c r="K901"/>
      <c r="L901"/>
      <c r="M901"/>
      <c r="N901"/>
      <c r="O901"/>
      <c r="P901"/>
      <c r="Q901"/>
      <c r="R901" s="558" t="s">
        <v>3973</v>
      </c>
      <c r="S901" s="83"/>
      <c r="T901" s="56"/>
      <c r="U901" s="955"/>
      <c r="V901" s="43" t="str">
        <f>Z893</f>
        <v>C</v>
      </c>
      <c r="W901" s="10"/>
      <c r="X901" s="45" t="s">
        <v>769</v>
      </c>
      <c r="Y901" s="10"/>
      <c r="Z901" s="46" t="str">
        <f t="shared" si="537"/>
        <v>I</v>
      </c>
      <c r="AA901" s="123"/>
      <c r="AB901" s="1459">
        <f t="shared" si="529"/>
        <v>0</v>
      </c>
      <c r="AC901" s="1460" t="str">
        <f t="shared" si="530"/>
        <v>-</v>
      </c>
      <c r="AD901" s="1459">
        <f t="shared" si="531"/>
        <v>0</v>
      </c>
      <c r="AE901" s="964" t="str">
        <f t="shared" si="532"/>
        <v/>
      </c>
      <c r="AF901" s="964" t="str">
        <f t="shared" si="533"/>
        <v/>
      </c>
      <c r="AG901" s="964" t="str">
        <f t="shared" si="534"/>
        <v/>
      </c>
      <c r="AH901" s="964" t="str">
        <f t="shared" si="535"/>
        <v/>
      </c>
      <c r="AI901" s="964" t="str">
        <f t="shared" si="536"/>
        <v/>
      </c>
      <c r="AJ901" s="964"/>
      <c r="AK901" s="964"/>
      <c r="AL901"/>
      <c r="AM901"/>
      <c r="AN901"/>
      <c r="AO901"/>
      <c r="AP901"/>
      <c r="AQ901"/>
      <c r="AR901"/>
      <c r="AS901"/>
      <c r="AT901"/>
      <c r="AU901"/>
      <c r="AV901"/>
      <c r="AW901"/>
      <c r="AX901" s="9"/>
      <c r="AY901"/>
      <c r="AZ901"/>
      <c r="BA901"/>
      <c r="BB901"/>
      <c r="BC901"/>
      <c r="BD901"/>
      <c r="BE901"/>
      <c r="BF901"/>
      <c r="BG901"/>
      <c r="BH901"/>
      <c r="BI901"/>
      <c r="BJ901"/>
      <c r="BK901"/>
      <c r="BL901"/>
      <c r="BM901"/>
      <c r="BN901"/>
      <c r="BO901"/>
      <c r="BP901"/>
      <c r="BQ901"/>
      <c r="BR901"/>
      <c r="BS901"/>
      <c r="BT901"/>
      <c r="BU901"/>
      <c r="BV901"/>
      <c r="BW901"/>
      <c r="BX901"/>
      <c r="BY901"/>
      <c r="BZ901"/>
      <c r="CA901" s="1396"/>
      <c r="CB901" s="1396"/>
      <c r="CC901"/>
      <c r="CD901"/>
      <c r="CE901"/>
    </row>
    <row r="902" spans="1:83" ht="13.9" customHeight="1" outlineLevel="2" thickBot="1" x14ac:dyDescent="0.25">
      <c r="A902"/>
      <c r="B902" s="1"/>
      <c r="C902"/>
      <c r="D902"/>
      <c r="E902"/>
      <c r="F902"/>
      <c r="G902" s="1"/>
      <c r="H902" s="1"/>
      <c r="I902"/>
      <c r="J902"/>
      <c r="K902"/>
      <c r="L902"/>
      <c r="M902"/>
      <c r="N902"/>
      <c r="O902"/>
      <c r="P902"/>
      <c r="Q902"/>
      <c r="R902" s="558" t="s">
        <v>3973</v>
      </c>
      <c r="S902" s="956"/>
      <c r="T902" s="58"/>
      <c r="U902" s="957"/>
      <c r="V902" s="958" t="str">
        <f>V893</f>
        <v>E</v>
      </c>
      <c r="W902" s="10"/>
      <c r="X902" s="45" t="s">
        <v>769</v>
      </c>
      <c r="Y902" s="10"/>
      <c r="Z902" s="46" t="str">
        <f t="shared" si="537"/>
        <v>G</v>
      </c>
      <c r="AA902" s="123"/>
      <c r="AB902" s="1459">
        <f t="shared" si="529"/>
        <v>0</v>
      </c>
      <c r="AC902" s="1460" t="str">
        <f t="shared" si="530"/>
        <v>-</v>
      </c>
      <c r="AD902" s="1459">
        <f t="shared" si="531"/>
        <v>0</v>
      </c>
      <c r="AE902" s="964" t="str">
        <f t="shared" si="532"/>
        <v/>
      </c>
      <c r="AF902" s="964" t="str">
        <f t="shared" si="533"/>
        <v/>
      </c>
      <c r="AG902" s="964" t="str">
        <f t="shared" si="534"/>
        <v/>
      </c>
      <c r="AH902" s="964" t="str">
        <f t="shared" si="535"/>
        <v/>
      </c>
      <c r="AI902" s="964" t="str">
        <f t="shared" si="536"/>
        <v/>
      </c>
      <c r="AJ902" s="964"/>
      <c r="AK902" s="964"/>
      <c r="AL902"/>
      <c r="AM902"/>
      <c r="AN902"/>
      <c r="AO902"/>
      <c r="AP902"/>
      <c r="AQ902"/>
      <c r="AR902"/>
      <c r="AS902"/>
      <c r="AT902"/>
      <c r="AU902"/>
      <c r="AV902"/>
      <c r="AW902" s="9"/>
      <c r="AX902" s="9"/>
      <c r="AY902"/>
      <c r="AZ902"/>
      <c r="BA902"/>
      <c r="BB902"/>
      <c r="BC902"/>
      <c r="BD902"/>
      <c r="BE902"/>
      <c r="BF902"/>
      <c r="BG902"/>
      <c r="BH902"/>
      <c r="BI902"/>
      <c r="BJ902"/>
      <c r="BK902"/>
      <c r="BL902"/>
      <c r="BM902"/>
      <c r="BN902"/>
      <c r="BO902"/>
      <c r="BP902"/>
      <c r="BQ902"/>
      <c r="BR902"/>
      <c r="BS902"/>
      <c r="BT902"/>
      <c r="BU902"/>
      <c r="BV902"/>
      <c r="BW902"/>
      <c r="BX902"/>
      <c r="BY902"/>
      <c r="BZ902"/>
      <c r="CA902" s="1396"/>
      <c r="CB902" s="1396"/>
      <c r="CC902"/>
      <c r="CD902"/>
      <c r="CE902"/>
    </row>
    <row r="903" spans="1:83" ht="13.5" outlineLevel="1" thickBot="1" x14ac:dyDescent="0.25">
      <c r="A903"/>
      <c r="B903" s="1"/>
      <c r="C903" s="1"/>
      <c r="D903" s="76"/>
      <c r="E903" s="76"/>
      <c r="F903" s="76"/>
      <c r="G903" s="9"/>
      <c r="H903" s="9"/>
      <c r="I903" s="1"/>
      <c r="J903"/>
      <c r="K903"/>
      <c r="L903"/>
      <c r="M903"/>
      <c r="N903"/>
      <c r="O903"/>
      <c r="P903" s="89"/>
      <c r="Q903"/>
      <c r="R903" s="1"/>
      <c r="S903" s="993">
        <f>S894+1</f>
        <v>12</v>
      </c>
      <c r="T903" s="961"/>
      <c r="U903" s="961"/>
      <c r="V903" s="961"/>
      <c r="W903" s="960"/>
      <c r="X903" s="960"/>
      <c r="Y903" s="960"/>
      <c r="Z903" s="962"/>
      <c r="AA903" s="123"/>
      <c r="AB903" s="963"/>
      <c r="AC903" s="963"/>
      <c r="AD903" s="963"/>
      <c r="AE903" s="964"/>
      <c r="AF903" s="964"/>
      <c r="AG903" s="964"/>
      <c r="AH903" s="964"/>
      <c r="AI903" s="964"/>
      <c r="AJ903" s="964"/>
      <c r="AK903" s="964"/>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s="1396"/>
      <c r="CB903" s="1396"/>
      <c r="CC903"/>
      <c r="CD903"/>
      <c r="CE903"/>
    </row>
    <row r="904" spans="1:83" ht="13.9" customHeight="1" outlineLevel="2" thickBot="1" x14ac:dyDescent="0.25">
      <c r="A904"/>
      <c r="B904" s="1"/>
      <c r="C904"/>
      <c r="D904"/>
      <c r="E904"/>
      <c r="F904"/>
      <c r="G904" s="1"/>
      <c r="H904" s="1"/>
      <c r="I904"/>
      <c r="J904"/>
      <c r="K904"/>
      <c r="L904"/>
      <c r="M904"/>
      <c r="N904"/>
      <c r="O904"/>
      <c r="P904"/>
      <c r="Q904"/>
      <c r="S904" s="22" t="str">
        <f>N_Heure</f>
        <v>Heure</v>
      </c>
      <c r="T904" s="22" t="str">
        <f>N_Table</f>
        <v>Table</v>
      </c>
      <c r="U904" s="22" t="str">
        <f>N_Arbitre</f>
        <v>Arbitre</v>
      </c>
      <c r="V904" s="293" t="str">
        <f>N_Matches</f>
        <v>Matches</v>
      </c>
      <c r="W904" s="294"/>
      <c r="X904" s="294"/>
      <c r="Y904" s="294"/>
      <c r="Z904" s="295"/>
      <c r="AA904" s="8"/>
      <c r="AB904" s="967"/>
      <c r="AC904" s="967"/>
      <c r="AD904" s="967"/>
      <c r="AE904" s="964"/>
      <c r="AF904" s="964"/>
      <c r="AG904" s="964"/>
      <c r="AH904" s="964"/>
      <c r="AI904" s="964"/>
      <c r="AJ904" s="964"/>
      <c r="AK904" s="96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s="1396"/>
      <c r="CB904" s="1396"/>
      <c r="CC904"/>
      <c r="CD904"/>
      <c r="CE904"/>
    </row>
    <row r="905" spans="1:83" ht="13.15" customHeight="1" outlineLevel="2" x14ac:dyDescent="0.2">
      <c r="A905"/>
      <c r="B905" s="1"/>
      <c r="C905"/>
      <c r="D905"/>
      <c r="E905"/>
      <c r="F905"/>
      <c r="G905" s="1"/>
      <c r="H905" s="1"/>
      <c r="I905"/>
      <c r="J905"/>
      <c r="K905"/>
      <c r="L905"/>
      <c r="M905"/>
      <c r="N905"/>
      <c r="O905"/>
      <c r="P905"/>
      <c r="Q905"/>
      <c r="R905" s="558" t="s">
        <v>3974</v>
      </c>
      <c r="S905" s="65"/>
      <c r="T905" s="953"/>
      <c r="U905" s="954"/>
      <c r="V905" s="34" t="str">
        <f>V897</f>
        <v>J</v>
      </c>
      <c r="W905" s="148"/>
      <c r="X905" s="35" t="s">
        <v>769</v>
      </c>
      <c r="Y905" s="148"/>
      <c r="Z905" s="36" t="str">
        <f>V896</f>
        <v>A</v>
      </c>
      <c r="AA905" s="123"/>
      <c r="AB905" s="1459">
        <f t="shared" ref="AB905:AB911" si="538">IF(MaxScore,MaxGoals(W905,Y905,MaxGoalsValue),IF(W905="","",W905))</f>
        <v>0</v>
      </c>
      <c r="AC905" s="1460" t="str">
        <f t="shared" ref="AC905:AC911" si="539">IF(MaxScore,"-",IF(W905="","","-"))</f>
        <v>-</v>
      </c>
      <c r="AD905" s="1459">
        <f t="shared" ref="AD905:AD911" si="540">IF(MaxScore,MaxGoals(Y905,W905,MaxGoalsValue),IF(Y905="","",Y905))</f>
        <v>0</v>
      </c>
      <c r="AE905" s="964" t="str">
        <f t="shared" ref="AE905:AE911" si="541">IF(W905="","",IF(W905&gt;Y905,V905,IF(W905=Y905,"",Z905)))</f>
        <v/>
      </c>
      <c r="AF905" s="964" t="str">
        <f t="shared" ref="AF905:AF911" si="542">IF(W905="","",IF(W905=Y905,V905,""))</f>
        <v/>
      </c>
      <c r="AG905" s="964" t="str">
        <f t="shared" ref="AG905:AG911" si="543">IF(W905="","",IF(W905=Y905,Z905,""))</f>
        <v/>
      </c>
      <c r="AH905" s="964" t="str">
        <f t="shared" ref="AH905:AH911" si="544">IF(W905="","",IF(W905&lt;Y905,V905,IF(W905=Y905,"",Z905)))</f>
        <v/>
      </c>
      <c r="AI905" s="964" t="str">
        <f t="shared" ref="AI905:AI911" si="545">CONCATENATE(AE905,AH905)</f>
        <v/>
      </c>
      <c r="AJ905" s="964"/>
      <c r="AK905" s="964"/>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s="1396"/>
      <c r="CB905" s="1396"/>
      <c r="CC905"/>
      <c r="CD905"/>
      <c r="CE905"/>
    </row>
    <row r="906" spans="1:83" ht="13.15" customHeight="1" outlineLevel="2" x14ac:dyDescent="0.2">
      <c r="A906"/>
      <c r="B906" s="1"/>
      <c r="C906"/>
      <c r="D906"/>
      <c r="E906"/>
      <c r="F906"/>
      <c r="G906" s="1"/>
      <c r="H906" s="1"/>
      <c r="I906"/>
      <c r="J906"/>
      <c r="K906"/>
      <c r="L906"/>
      <c r="M906"/>
      <c r="N906"/>
      <c r="O906"/>
      <c r="P906"/>
      <c r="Q906"/>
      <c r="R906" s="558" t="s">
        <v>3974</v>
      </c>
      <c r="S906" s="83"/>
      <c r="T906" s="56"/>
      <c r="U906" s="955"/>
      <c r="V906" s="43" t="str">
        <f t="shared" ref="V906:V911" si="546">Z896</f>
        <v>L</v>
      </c>
      <c r="W906" s="10"/>
      <c r="X906" s="45" t="s">
        <v>769</v>
      </c>
      <c r="Y906" s="10"/>
      <c r="Z906" s="46" t="str">
        <f>Z889</f>
        <v>H</v>
      </c>
      <c r="AA906" s="123"/>
      <c r="AB906" s="1459">
        <f t="shared" si="538"/>
        <v>0</v>
      </c>
      <c r="AC906" s="1460" t="str">
        <f t="shared" si="539"/>
        <v>-</v>
      </c>
      <c r="AD906" s="1459">
        <f t="shared" si="540"/>
        <v>0</v>
      </c>
      <c r="AE906" s="964" t="str">
        <f t="shared" si="541"/>
        <v/>
      </c>
      <c r="AF906" s="964" t="str">
        <f t="shared" si="542"/>
        <v/>
      </c>
      <c r="AG906" s="964" t="str">
        <f t="shared" si="543"/>
        <v/>
      </c>
      <c r="AH906" s="964" t="str">
        <f t="shared" si="544"/>
        <v/>
      </c>
      <c r="AI906" s="964" t="str">
        <f t="shared" si="545"/>
        <v/>
      </c>
      <c r="AJ906" s="964"/>
      <c r="AK906" s="964"/>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s="1396"/>
      <c r="CB906" s="1396"/>
      <c r="CC906"/>
      <c r="CD906"/>
      <c r="CE906"/>
    </row>
    <row r="907" spans="1:83" ht="13.15" customHeight="1" outlineLevel="2" x14ac:dyDescent="0.2">
      <c r="A907"/>
      <c r="B907" s="1"/>
      <c r="C907"/>
      <c r="D907"/>
      <c r="E907"/>
      <c r="F907"/>
      <c r="G907" s="1"/>
      <c r="H907" s="1"/>
      <c r="I907"/>
      <c r="J907"/>
      <c r="K907"/>
      <c r="L907"/>
      <c r="M907"/>
      <c r="N907"/>
      <c r="O907"/>
      <c r="P907"/>
      <c r="Q907"/>
      <c r="R907" s="558" t="s">
        <v>3974</v>
      </c>
      <c r="S907" s="83"/>
      <c r="T907" s="56"/>
      <c r="U907" s="955"/>
      <c r="V907" s="43" t="str">
        <f t="shared" si="546"/>
        <v>N</v>
      </c>
      <c r="W907" s="10"/>
      <c r="X907" s="45" t="s">
        <v>769</v>
      </c>
      <c r="Y907" s="10"/>
      <c r="Z907" s="46" t="str">
        <f>V898</f>
        <v>F</v>
      </c>
      <c r="AA907" s="123"/>
      <c r="AB907" s="1459">
        <f t="shared" si="538"/>
        <v>0</v>
      </c>
      <c r="AC907" s="1460" t="str">
        <f t="shared" si="539"/>
        <v>-</v>
      </c>
      <c r="AD907" s="1459">
        <f t="shared" si="540"/>
        <v>0</v>
      </c>
      <c r="AE907" s="964" t="str">
        <f t="shared" si="541"/>
        <v/>
      </c>
      <c r="AF907" s="964" t="str">
        <f t="shared" si="542"/>
        <v/>
      </c>
      <c r="AG907" s="964" t="str">
        <f t="shared" si="543"/>
        <v/>
      </c>
      <c r="AH907" s="964" t="str">
        <f t="shared" si="544"/>
        <v/>
      </c>
      <c r="AI907" s="964" t="str">
        <f t="shared" si="545"/>
        <v/>
      </c>
      <c r="AJ907" s="964"/>
      <c r="AK907" s="964"/>
      <c r="AL907"/>
      <c r="AM907"/>
      <c r="AN907"/>
      <c r="AO907"/>
      <c r="AP907"/>
      <c r="AQ907"/>
      <c r="AR907"/>
      <c r="AS907"/>
      <c r="AT907"/>
      <c r="AU907"/>
      <c r="AV907"/>
      <c r="AW907" s="9"/>
      <c r="AX907" s="9"/>
      <c r="AY907"/>
      <c r="AZ907"/>
      <c r="BA907"/>
      <c r="BB907"/>
      <c r="BC907"/>
      <c r="BD907"/>
      <c r="BE907"/>
      <c r="BF907"/>
      <c r="BG907"/>
      <c r="BH907"/>
      <c r="BI907"/>
      <c r="BJ907"/>
      <c r="BK907"/>
      <c r="BL907"/>
      <c r="BM907"/>
      <c r="BN907"/>
      <c r="BO907"/>
      <c r="BP907"/>
      <c r="BQ907"/>
      <c r="BR907"/>
      <c r="BS907"/>
      <c r="BT907"/>
      <c r="BU907"/>
      <c r="BV907"/>
      <c r="BW907"/>
      <c r="BX907"/>
      <c r="BY907"/>
      <c r="BZ907"/>
      <c r="CA907" s="1396"/>
      <c r="CB907" s="1396"/>
      <c r="CC907"/>
      <c r="CD907"/>
      <c r="CE907"/>
    </row>
    <row r="908" spans="1:83" ht="13.15" customHeight="1" outlineLevel="2" x14ac:dyDescent="0.2">
      <c r="A908"/>
      <c r="B908" s="1"/>
      <c r="C908"/>
      <c r="D908"/>
      <c r="E908"/>
      <c r="F908"/>
      <c r="G908" s="1"/>
      <c r="H908" s="1"/>
      <c r="I908"/>
      <c r="J908"/>
      <c r="K908"/>
      <c r="L908"/>
      <c r="M908"/>
      <c r="N908"/>
      <c r="O908"/>
      <c r="P908"/>
      <c r="Q908"/>
      <c r="R908" s="558" t="s">
        <v>3974</v>
      </c>
      <c r="S908" s="83"/>
      <c r="T908" s="56"/>
      <c r="U908" s="955"/>
      <c r="V908" s="43" t="str">
        <f t="shared" si="546"/>
        <v>O</v>
      </c>
      <c r="W908" s="10"/>
      <c r="X908" s="45" t="s">
        <v>769</v>
      </c>
      <c r="Y908" s="10"/>
      <c r="Z908" s="46" t="str">
        <f>V900</f>
        <v>B</v>
      </c>
      <c r="AA908" s="123"/>
      <c r="AB908" s="1459">
        <f t="shared" si="538"/>
        <v>0</v>
      </c>
      <c r="AC908" s="1460" t="str">
        <f t="shared" si="539"/>
        <v>-</v>
      </c>
      <c r="AD908" s="1459">
        <f t="shared" si="540"/>
        <v>0</v>
      </c>
      <c r="AE908" s="964" t="str">
        <f t="shared" si="541"/>
        <v/>
      </c>
      <c r="AF908" s="964" t="str">
        <f t="shared" si="542"/>
        <v/>
      </c>
      <c r="AG908" s="964" t="str">
        <f t="shared" si="543"/>
        <v/>
      </c>
      <c r="AH908" s="964" t="str">
        <f t="shared" si="544"/>
        <v/>
      </c>
      <c r="AI908" s="964" t="str">
        <f t="shared" si="545"/>
        <v/>
      </c>
      <c r="AJ908" s="964"/>
      <c r="AK908" s="964"/>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s="1396"/>
      <c r="CB908" s="1396"/>
      <c r="CC908"/>
      <c r="CD908"/>
      <c r="CE908"/>
    </row>
    <row r="909" spans="1:83" ht="13.15" customHeight="1" outlineLevel="2" x14ac:dyDescent="0.2">
      <c r="A909"/>
      <c r="B909" s="1"/>
      <c r="C909"/>
      <c r="D909"/>
      <c r="E909"/>
      <c r="F909"/>
      <c r="G909" s="1"/>
      <c r="H909" s="1"/>
      <c r="I909"/>
      <c r="J909"/>
      <c r="K909"/>
      <c r="L909"/>
      <c r="M909"/>
      <c r="N909"/>
      <c r="O909"/>
      <c r="P909"/>
      <c r="Q909"/>
      <c r="R909" s="558" t="s">
        <v>3974</v>
      </c>
      <c r="S909" s="83"/>
      <c r="T909" s="56"/>
      <c r="U909" s="955"/>
      <c r="V909" s="43" t="str">
        <f t="shared" si="546"/>
        <v>M</v>
      </c>
      <c r="W909" s="10"/>
      <c r="X909" s="45" t="s">
        <v>769</v>
      </c>
      <c r="Y909" s="10"/>
      <c r="Z909" s="46" t="str">
        <f>V901</f>
        <v>C</v>
      </c>
      <c r="AA909" s="123"/>
      <c r="AB909" s="1459">
        <f t="shared" si="538"/>
        <v>0</v>
      </c>
      <c r="AC909" s="1460" t="str">
        <f t="shared" si="539"/>
        <v>-</v>
      </c>
      <c r="AD909" s="1459">
        <f t="shared" si="540"/>
        <v>0</v>
      </c>
      <c r="AE909" s="964" t="str">
        <f t="shared" si="541"/>
        <v/>
      </c>
      <c r="AF909" s="964" t="str">
        <f t="shared" si="542"/>
        <v/>
      </c>
      <c r="AG909" s="964" t="str">
        <f t="shared" si="543"/>
        <v/>
      </c>
      <c r="AH909" s="964" t="str">
        <f t="shared" si="544"/>
        <v/>
      </c>
      <c r="AI909" s="964" t="str">
        <f t="shared" si="545"/>
        <v/>
      </c>
      <c r="AJ909" s="964"/>
      <c r="AK909" s="964"/>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s="1396"/>
      <c r="CB909" s="1396"/>
      <c r="CC909"/>
      <c r="CD909"/>
      <c r="CE909"/>
    </row>
    <row r="910" spans="1:83" ht="13.15" customHeight="1" outlineLevel="2" x14ac:dyDescent="0.2">
      <c r="A910"/>
      <c r="B910" s="1"/>
      <c r="C910"/>
      <c r="D910"/>
      <c r="E910"/>
      <c r="F910"/>
      <c r="G910" s="1"/>
      <c r="H910" s="1"/>
      <c r="I910"/>
      <c r="J910"/>
      <c r="K910"/>
      <c r="L910"/>
      <c r="M910"/>
      <c r="N910"/>
      <c r="O910"/>
      <c r="P910"/>
      <c r="Q910"/>
      <c r="R910" s="558" t="s">
        <v>3974</v>
      </c>
      <c r="S910" s="83"/>
      <c r="T910" s="56"/>
      <c r="U910" s="955"/>
      <c r="V910" s="43" t="str">
        <f t="shared" si="546"/>
        <v>K</v>
      </c>
      <c r="W910" s="10"/>
      <c r="X910" s="45" t="s">
        <v>769</v>
      </c>
      <c r="Y910" s="10"/>
      <c r="Z910" s="46" t="str">
        <f>V902</f>
        <v>E</v>
      </c>
      <c r="AA910" s="123"/>
      <c r="AB910" s="1459">
        <f t="shared" si="538"/>
        <v>0</v>
      </c>
      <c r="AC910" s="1460" t="str">
        <f t="shared" si="539"/>
        <v>-</v>
      </c>
      <c r="AD910" s="1459">
        <f t="shared" si="540"/>
        <v>0</v>
      </c>
      <c r="AE910" s="964" t="str">
        <f t="shared" si="541"/>
        <v/>
      </c>
      <c r="AF910" s="964" t="str">
        <f t="shared" si="542"/>
        <v/>
      </c>
      <c r="AG910" s="964" t="str">
        <f t="shared" si="543"/>
        <v/>
      </c>
      <c r="AH910" s="964" t="str">
        <f t="shared" si="544"/>
        <v/>
      </c>
      <c r="AI910" s="964" t="str">
        <f t="shared" si="545"/>
        <v/>
      </c>
      <c r="AJ910" s="964"/>
      <c r="AK910" s="964"/>
      <c r="AL910"/>
      <c r="AM910"/>
      <c r="AN910"/>
      <c r="AO910"/>
      <c r="AP910"/>
      <c r="AQ910"/>
      <c r="AR910"/>
      <c r="AS910"/>
      <c r="AT910"/>
      <c r="AU910"/>
      <c r="AV910"/>
      <c r="AW910"/>
      <c r="AX910" s="9"/>
      <c r="AY910"/>
      <c r="AZ910"/>
      <c r="BA910"/>
      <c r="BB910"/>
      <c r="BC910"/>
      <c r="BD910"/>
      <c r="BE910"/>
      <c r="BF910"/>
      <c r="BG910"/>
      <c r="BH910"/>
      <c r="BI910"/>
      <c r="BJ910"/>
      <c r="BK910"/>
      <c r="BL910"/>
      <c r="BM910"/>
      <c r="BN910"/>
      <c r="BO910"/>
      <c r="BP910"/>
      <c r="BQ910"/>
      <c r="BR910"/>
      <c r="BS910"/>
      <c r="BT910"/>
      <c r="BU910"/>
      <c r="BV910"/>
      <c r="BW910"/>
      <c r="BX910"/>
      <c r="BY910"/>
      <c r="BZ910"/>
      <c r="CA910" s="1396"/>
      <c r="CB910" s="1396"/>
      <c r="CC910"/>
      <c r="CD910"/>
      <c r="CE910"/>
    </row>
    <row r="911" spans="1:83" ht="13.9" customHeight="1" outlineLevel="2" thickBot="1" x14ac:dyDescent="0.25">
      <c r="A911"/>
      <c r="B911" s="1"/>
      <c r="C911"/>
      <c r="D911"/>
      <c r="E911"/>
      <c r="F911"/>
      <c r="G911" s="1"/>
      <c r="H911" s="1"/>
      <c r="I911"/>
      <c r="J911"/>
      <c r="K911"/>
      <c r="L911"/>
      <c r="M911"/>
      <c r="N911"/>
      <c r="O911"/>
      <c r="P911"/>
      <c r="Q911"/>
      <c r="R911" s="558" t="s">
        <v>3974</v>
      </c>
      <c r="S911" s="956"/>
      <c r="T911" s="58"/>
      <c r="U911" s="957"/>
      <c r="V911" s="43" t="str">
        <f t="shared" si="546"/>
        <v>I</v>
      </c>
      <c r="W911" s="10"/>
      <c r="X911" s="45" t="s">
        <v>769</v>
      </c>
      <c r="Y911" s="10"/>
      <c r="Z911" s="46" t="str">
        <f>Z902</f>
        <v>G</v>
      </c>
      <c r="AA911" s="123"/>
      <c r="AB911" s="1459">
        <f t="shared" si="538"/>
        <v>0</v>
      </c>
      <c r="AC911" s="1460" t="str">
        <f t="shared" si="539"/>
        <v>-</v>
      </c>
      <c r="AD911" s="1459">
        <f t="shared" si="540"/>
        <v>0</v>
      </c>
      <c r="AE911" s="964" t="str">
        <f t="shared" si="541"/>
        <v/>
      </c>
      <c r="AF911" s="964" t="str">
        <f t="shared" si="542"/>
        <v/>
      </c>
      <c r="AG911" s="964" t="str">
        <f t="shared" si="543"/>
        <v/>
      </c>
      <c r="AH911" s="964" t="str">
        <f t="shared" si="544"/>
        <v/>
      </c>
      <c r="AI911" s="964" t="str">
        <f t="shared" si="545"/>
        <v/>
      </c>
      <c r="AJ911" s="964"/>
      <c r="AK911" s="964"/>
      <c r="AL911"/>
      <c r="AM911"/>
      <c r="AN911"/>
      <c r="AO911"/>
      <c r="AP911"/>
      <c r="AQ911"/>
      <c r="AR911"/>
      <c r="AS911"/>
      <c r="AT911"/>
      <c r="AU911"/>
      <c r="AV911"/>
      <c r="AW911" s="9"/>
      <c r="AX911" s="9"/>
      <c r="AY911"/>
      <c r="AZ911"/>
      <c r="BA911"/>
      <c r="BB911"/>
      <c r="BC911"/>
      <c r="BD911"/>
      <c r="BE911"/>
      <c r="BF911"/>
      <c r="BG911"/>
      <c r="BH911"/>
      <c r="BI911"/>
      <c r="BJ911"/>
      <c r="BK911"/>
      <c r="BL911"/>
      <c r="BM911"/>
      <c r="BN911"/>
      <c r="BO911"/>
      <c r="BP911"/>
      <c r="BQ911"/>
      <c r="BR911"/>
      <c r="BS911"/>
      <c r="BT911"/>
      <c r="BU911"/>
      <c r="BV911"/>
      <c r="BW911"/>
      <c r="BX911"/>
      <c r="BY911"/>
      <c r="BZ911"/>
      <c r="CA911" s="1396"/>
      <c r="CB911" s="1396"/>
      <c r="CC911"/>
      <c r="CD911"/>
      <c r="CE911"/>
    </row>
    <row r="912" spans="1:83" ht="13.5" outlineLevel="1" thickBot="1" x14ac:dyDescent="0.25">
      <c r="A912"/>
      <c r="B912" s="1"/>
      <c r="C912" s="1"/>
      <c r="D912" s="76"/>
      <c r="E912" s="76"/>
      <c r="F912" s="76"/>
      <c r="G912" s="9"/>
      <c r="H912" s="9"/>
      <c r="I912" s="1"/>
      <c r="J912"/>
      <c r="K912"/>
      <c r="L912"/>
      <c r="M912"/>
      <c r="N912"/>
      <c r="O912"/>
      <c r="P912" s="89"/>
      <c r="Q912"/>
      <c r="R912" s="1"/>
      <c r="S912" s="993">
        <f>S903+1</f>
        <v>13</v>
      </c>
      <c r="T912" s="961"/>
      <c r="U912" s="961"/>
      <c r="V912" s="961"/>
      <c r="W912" s="960"/>
      <c r="X912" s="960"/>
      <c r="Y912" s="960"/>
      <c r="Z912" s="962"/>
      <c r="AA912" s="123"/>
      <c r="AB912" s="963"/>
      <c r="AC912" s="963"/>
      <c r="AD912" s="963"/>
      <c r="AE912" s="964"/>
      <c r="AF912" s="964"/>
      <c r="AG912" s="964"/>
      <c r="AH912" s="964"/>
      <c r="AI912" s="964"/>
      <c r="AJ912" s="964"/>
      <c r="AK912" s="964"/>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s="1396"/>
      <c r="CB912" s="1396"/>
      <c r="CC912"/>
      <c r="CD912"/>
      <c r="CE912"/>
    </row>
    <row r="913" spans="1:83" ht="13.9" customHeight="1" outlineLevel="2" thickBot="1" x14ac:dyDescent="0.25">
      <c r="A913"/>
      <c r="B913" s="1"/>
      <c r="C913"/>
      <c r="D913"/>
      <c r="E913"/>
      <c r="F913"/>
      <c r="G913" s="1"/>
      <c r="H913" s="1"/>
      <c r="I913"/>
      <c r="J913"/>
      <c r="K913"/>
      <c r="L913"/>
      <c r="M913"/>
      <c r="N913"/>
      <c r="O913"/>
      <c r="P913"/>
      <c r="Q913"/>
      <c r="S913" s="22" t="str">
        <f>N_Heure</f>
        <v>Heure</v>
      </c>
      <c r="T913" s="22" t="str">
        <f>N_Table</f>
        <v>Table</v>
      </c>
      <c r="U913" s="22" t="str">
        <f>N_Arbitre</f>
        <v>Arbitre</v>
      </c>
      <c r="V913" s="293" t="str">
        <f>N_Matches</f>
        <v>Matches</v>
      </c>
      <c r="W913" s="294"/>
      <c r="X913" s="294"/>
      <c r="Y913" s="294"/>
      <c r="Z913" s="295"/>
      <c r="AA913" s="8"/>
      <c r="AB913" s="967"/>
      <c r="AC913" s="967"/>
      <c r="AD913" s="967"/>
      <c r="AE913" s="964"/>
      <c r="AF913" s="964"/>
      <c r="AG913" s="964"/>
      <c r="AH913" s="964"/>
      <c r="AI913" s="964"/>
      <c r="AJ913" s="964"/>
      <c r="AK913" s="964"/>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s="1396"/>
      <c r="CB913" s="1396"/>
      <c r="CC913"/>
      <c r="CD913"/>
      <c r="CE913"/>
    </row>
    <row r="914" spans="1:83" ht="13.15" customHeight="1" outlineLevel="2" x14ac:dyDescent="0.2">
      <c r="A914"/>
      <c r="B914" s="1"/>
      <c r="C914"/>
      <c r="D914"/>
      <c r="E914"/>
      <c r="F914"/>
      <c r="G914" s="1"/>
      <c r="H914" s="1"/>
      <c r="I914"/>
      <c r="J914"/>
      <c r="K914"/>
      <c r="L914"/>
      <c r="M914"/>
      <c r="N914"/>
      <c r="O914"/>
      <c r="P914"/>
      <c r="Q914"/>
      <c r="R914" s="558" t="s">
        <v>3975</v>
      </c>
      <c r="S914" s="65"/>
      <c r="T914" s="953"/>
      <c r="U914" s="954"/>
      <c r="V914" s="34" t="str">
        <f>Z905</f>
        <v>A</v>
      </c>
      <c r="W914" s="148"/>
      <c r="X914" s="35" t="s">
        <v>769</v>
      </c>
      <c r="Y914" s="148"/>
      <c r="Z914" s="36" t="str">
        <f>Z906</f>
        <v>H</v>
      </c>
      <c r="AA914" s="123"/>
      <c r="AB914" s="1459">
        <f t="shared" ref="AB914:AB920" si="547">IF(MaxScore,MaxGoals(W914,Y914,MaxGoalsValue),IF(W914="","",W914))</f>
        <v>0</v>
      </c>
      <c r="AC914" s="1460" t="str">
        <f t="shared" ref="AC914:AC920" si="548">IF(MaxScore,"-",IF(W914="","","-"))</f>
        <v>-</v>
      </c>
      <c r="AD914" s="1459">
        <f t="shared" ref="AD914:AD920" si="549">IF(MaxScore,MaxGoals(Y914,W914,MaxGoalsValue),IF(Y914="","",Y914))</f>
        <v>0</v>
      </c>
      <c r="AE914" s="964" t="str">
        <f t="shared" ref="AE914:AE920" si="550">IF(W914="","",IF(W914&gt;Y914,V914,IF(W914=Y914,"",Z914)))</f>
        <v/>
      </c>
      <c r="AF914" s="964" t="str">
        <f t="shared" ref="AF914:AF920" si="551">IF(W914="","",IF(W914=Y914,V914,""))</f>
        <v/>
      </c>
      <c r="AG914" s="964" t="str">
        <f t="shared" ref="AG914:AG920" si="552">IF(W914="","",IF(W914=Y914,Z914,""))</f>
        <v/>
      </c>
      <c r="AH914" s="964" t="str">
        <f t="shared" ref="AH914:AH920" si="553">IF(W914="","",IF(W914&lt;Y914,V914,IF(W914=Y914,"",Z914)))</f>
        <v/>
      </c>
      <c r="AI914" s="964" t="str">
        <f t="shared" ref="AI914:AI920" si="554">CONCATENATE(AE914,AH914)</f>
        <v/>
      </c>
      <c r="AJ914" s="964"/>
      <c r="AK914" s="96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s="1396"/>
      <c r="CB914" s="1396"/>
      <c r="CC914"/>
      <c r="CD914"/>
      <c r="CE914"/>
    </row>
    <row r="915" spans="1:83" ht="13.15" customHeight="1" outlineLevel="2" x14ac:dyDescent="0.2">
      <c r="A915"/>
      <c r="B915" s="1"/>
      <c r="C915"/>
      <c r="D915"/>
      <c r="E915"/>
      <c r="F915"/>
      <c r="G915" s="1"/>
      <c r="H915" s="1"/>
      <c r="I915"/>
      <c r="J915"/>
      <c r="K915"/>
      <c r="L915"/>
      <c r="M915"/>
      <c r="N915"/>
      <c r="O915"/>
      <c r="P915"/>
      <c r="Q915"/>
      <c r="R915" s="558" t="s">
        <v>3975</v>
      </c>
      <c r="S915" s="83"/>
      <c r="T915" s="56"/>
      <c r="U915" s="955"/>
      <c r="V915" s="43" t="str">
        <f>Z907</f>
        <v>F</v>
      </c>
      <c r="W915" s="10"/>
      <c r="X915" s="45" t="s">
        <v>769</v>
      </c>
      <c r="Y915" s="10"/>
      <c r="Z915" s="46" t="str">
        <f t="shared" ref="Z915:Z920" si="555">V905</f>
        <v>J</v>
      </c>
      <c r="AA915" s="123"/>
      <c r="AB915" s="1459">
        <f t="shared" si="547"/>
        <v>0</v>
      </c>
      <c r="AC915" s="1460" t="str">
        <f t="shared" si="548"/>
        <v>-</v>
      </c>
      <c r="AD915" s="1459">
        <f t="shared" si="549"/>
        <v>0</v>
      </c>
      <c r="AE915" s="964" t="str">
        <f t="shared" si="550"/>
        <v/>
      </c>
      <c r="AF915" s="964" t="str">
        <f t="shared" si="551"/>
        <v/>
      </c>
      <c r="AG915" s="964" t="str">
        <f t="shared" si="552"/>
        <v/>
      </c>
      <c r="AH915" s="964" t="str">
        <f t="shared" si="553"/>
        <v/>
      </c>
      <c r="AI915" s="964" t="str">
        <f t="shared" si="554"/>
        <v/>
      </c>
      <c r="AJ915" s="964"/>
      <c r="AK915" s="964"/>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s="1396"/>
      <c r="CB915" s="1396"/>
      <c r="CC915"/>
      <c r="CD915"/>
      <c r="CE915"/>
    </row>
    <row r="916" spans="1:83" ht="13.15" customHeight="1" outlineLevel="2" x14ac:dyDescent="0.2">
      <c r="A916"/>
      <c r="B916" s="1"/>
      <c r="C916"/>
      <c r="D916"/>
      <c r="E916"/>
      <c r="F916"/>
      <c r="G916" s="1"/>
      <c r="H916" s="1"/>
      <c r="I916"/>
      <c r="J916"/>
      <c r="K916"/>
      <c r="L916"/>
      <c r="M916"/>
      <c r="N916"/>
      <c r="O916"/>
      <c r="P916"/>
      <c r="Q916"/>
      <c r="R916" s="558" t="s">
        <v>3975</v>
      </c>
      <c r="S916" s="83"/>
      <c r="T916" s="56"/>
      <c r="U916" s="955"/>
      <c r="V916" s="43" t="str">
        <f>V899</f>
        <v>D</v>
      </c>
      <c r="W916" s="10"/>
      <c r="X916" s="45" t="s">
        <v>769</v>
      </c>
      <c r="Y916" s="10"/>
      <c r="Z916" s="46" t="str">
        <f t="shared" si="555"/>
        <v>L</v>
      </c>
      <c r="AA916" s="123"/>
      <c r="AB916" s="1459">
        <f t="shared" si="547"/>
        <v>0</v>
      </c>
      <c r="AC916" s="1460" t="str">
        <f t="shared" si="548"/>
        <v>-</v>
      </c>
      <c r="AD916" s="1459">
        <f t="shared" si="549"/>
        <v>0</v>
      </c>
      <c r="AE916" s="964" t="str">
        <f t="shared" si="550"/>
        <v/>
      </c>
      <c r="AF916" s="964" t="str">
        <f t="shared" si="551"/>
        <v/>
      </c>
      <c r="AG916" s="964" t="str">
        <f t="shared" si="552"/>
        <v/>
      </c>
      <c r="AH916" s="964" t="str">
        <f t="shared" si="553"/>
        <v/>
      </c>
      <c r="AI916" s="964" t="str">
        <f t="shared" si="554"/>
        <v/>
      </c>
      <c r="AJ916" s="964"/>
      <c r="AK916" s="964"/>
      <c r="AL916"/>
      <c r="AM916"/>
      <c r="AN916"/>
      <c r="AO916"/>
      <c r="AP916"/>
      <c r="AQ916"/>
      <c r="AR916"/>
      <c r="AS916"/>
      <c r="AT916"/>
      <c r="AU916"/>
      <c r="AV916"/>
      <c r="AW916"/>
      <c r="AX916" s="9"/>
      <c r="AY916"/>
      <c r="AZ916"/>
      <c r="BA916"/>
      <c r="BB916"/>
      <c r="BC916"/>
      <c r="BD916"/>
      <c r="BE916"/>
      <c r="BF916"/>
      <c r="BG916"/>
      <c r="BH916"/>
      <c r="BI916"/>
      <c r="BJ916"/>
      <c r="BK916"/>
      <c r="BL916"/>
      <c r="BM916"/>
      <c r="BN916"/>
      <c r="BO916"/>
      <c r="BP916"/>
      <c r="BQ916"/>
      <c r="BR916"/>
      <c r="BS916"/>
      <c r="BT916"/>
      <c r="BU916"/>
      <c r="BV916"/>
      <c r="BW916"/>
      <c r="BX916"/>
      <c r="BY916"/>
      <c r="BZ916"/>
      <c r="CA916" s="1396"/>
      <c r="CB916" s="1396"/>
      <c r="CC916"/>
      <c r="CD916"/>
      <c r="CE916"/>
    </row>
    <row r="917" spans="1:83" ht="13.15" customHeight="1" outlineLevel="2" x14ac:dyDescent="0.2">
      <c r="A917"/>
      <c r="B917" s="1"/>
      <c r="C917"/>
      <c r="D917"/>
      <c r="E917"/>
      <c r="F917"/>
      <c r="G917" s="1"/>
      <c r="H917" s="1"/>
      <c r="I917"/>
      <c r="J917"/>
      <c r="K917"/>
      <c r="L917"/>
      <c r="M917"/>
      <c r="N917"/>
      <c r="O917"/>
      <c r="P917"/>
      <c r="Q917"/>
      <c r="R917" s="558" t="s">
        <v>3975</v>
      </c>
      <c r="S917" s="83"/>
      <c r="T917" s="56"/>
      <c r="U917" s="955"/>
      <c r="V917" s="43" t="str">
        <f>Z908</f>
        <v>B</v>
      </c>
      <c r="W917" s="10"/>
      <c r="X917" s="45" t="s">
        <v>769</v>
      </c>
      <c r="Y917" s="10"/>
      <c r="Z917" s="46" t="str">
        <f t="shared" si="555"/>
        <v>N</v>
      </c>
      <c r="AA917" s="123"/>
      <c r="AB917" s="1459">
        <f t="shared" si="547"/>
        <v>0</v>
      </c>
      <c r="AC917" s="1460" t="str">
        <f t="shared" si="548"/>
        <v>-</v>
      </c>
      <c r="AD917" s="1459">
        <f t="shared" si="549"/>
        <v>0</v>
      </c>
      <c r="AE917" s="964" t="str">
        <f t="shared" si="550"/>
        <v/>
      </c>
      <c r="AF917" s="964" t="str">
        <f t="shared" si="551"/>
        <v/>
      </c>
      <c r="AG917" s="964" t="str">
        <f t="shared" si="552"/>
        <v/>
      </c>
      <c r="AH917" s="964" t="str">
        <f t="shared" si="553"/>
        <v/>
      </c>
      <c r="AI917" s="964" t="str">
        <f t="shared" si="554"/>
        <v/>
      </c>
      <c r="AJ917" s="964"/>
      <c r="AK917" s="964"/>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s="1396"/>
      <c r="CB917" s="1396"/>
      <c r="CC917"/>
      <c r="CD917"/>
      <c r="CE917"/>
    </row>
    <row r="918" spans="1:83" ht="13.15" customHeight="1" outlineLevel="2" x14ac:dyDescent="0.2">
      <c r="A918"/>
      <c r="B918" s="1"/>
      <c r="C918"/>
      <c r="D918"/>
      <c r="E918"/>
      <c r="F918"/>
      <c r="G918" s="1"/>
      <c r="H918" s="1"/>
      <c r="I918"/>
      <c r="J918"/>
      <c r="K918"/>
      <c r="L918"/>
      <c r="M918"/>
      <c r="N918"/>
      <c r="O918"/>
      <c r="P918"/>
      <c r="Q918"/>
      <c r="R918" s="558" t="s">
        <v>3975</v>
      </c>
      <c r="S918" s="83"/>
      <c r="T918" s="56"/>
      <c r="U918" s="955"/>
      <c r="V918" s="43" t="str">
        <f>Z910</f>
        <v>E</v>
      </c>
      <c r="W918" s="10"/>
      <c r="X918" s="45" t="s">
        <v>769</v>
      </c>
      <c r="Y918" s="10"/>
      <c r="Z918" s="46" t="str">
        <f t="shared" si="555"/>
        <v>O</v>
      </c>
      <c r="AA918" s="123"/>
      <c r="AB918" s="1459">
        <f t="shared" si="547"/>
        <v>0</v>
      </c>
      <c r="AC918" s="1460" t="str">
        <f t="shared" si="548"/>
        <v>-</v>
      </c>
      <c r="AD918" s="1459">
        <f t="shared" si="549"/>
        <v>0</v>
      </c>
      <c r="AE918" s="964" t="str">
        <f t="shared" si="550"/>
        <v/>
      </c>
      <c r="AF918" s="964" t="str">
        <f t="shared" si="551"/>
        <v/>
      </c>
      <c r="AG918" s="964" t="str">
        <f t="shared" si="552"/>
        <v/>
      </c>
      <c r="AH918" s="964" t="str">
        <f t="shared" si="553"/>
        <v/>
      </c>
      <c r="AI918" s="964" t="str">
        <f t="shared" si="554"/>
        <v/>
      </c>
      <c r="AJ918" s="964"/>
      <c r="AK918" s="964"/>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s="1396"/>
      <c r="CB918" s="1396"/>
      <c r="CC918"/>
      <c r="CD918"/>
      <c r="CE918"/>
    </row>
    <row r="919" spans="1:83" ht="13.15" customHeight="1" outlineLevel="2" x14ac:dyDescent="0.2">
      <c r="A919"/>
      <c r="B919" s="1"/>
      <c r="C919"/>
      <c r="D919"/>
      <c r="E919"/>
      <c r="F919"/>
      <c r="G919" s="1"/>
      <c r="H919" s="1"/>
      <c r="I919"/>
      <c r="J919"/>
      <c r="K919"/>
      <c r="L919"/>
      <c r="M919"/>
      <c r="N919"/>
      <c r="O919"/>
      <c r="P919"/>
      <c r="Q919"/>
      <c r="R919" s="558" t="s">
        <v>3975</v>
      </c>
      <c r="S919" s="83"/>
      <c r="T919" s="56"/>
      <c r="U919" s="955"/>
      <c r="V919" s="43" t="str">
        <f>Z911</f>
        <v>G</v>
      </c>
      <c r="W919" s="10"/>
      <c r="X919" s="45" t="s">
        <v>769</v>
      </c>
      <c r="Y919" s="10"/>
      <c r="Z919" s="46" t="str">
        <f t="shared" si="555"/>
        <v>M</v>
      </c>
      <c r="AA919" s="123"/>
      <c r="AB919" s="1459">
        <f t="shared" si="547"/>
        <v>0</v>
      </c>
      <c r="AC919" s="1460" t="str">
        <f t="shared" si="548"/>
        <v>-</v>
      </c>
      <c r="AD919" s="1459">
        <f t="shared" si="549"/>
        <v>0</v>
      </c>
      <c r="AE919" s="964" t="str">
        <f t="shared" si="550"/>
        <v/>
      </c>
      <c r="AF919" s="964" t="str">
        <f t="shared" si="551"/>
        <v/>
      </c>
      <c r="AG919" s="964" t="str">
        <f t="shared" si="552"/>
        <v/>
      </c>
      <c r="AH919" s="964" t="str">
        <f t="shared" si="553"/>
        <v/>
      </c>
      <c r="AI919" s="964" t="str">
        <f t="shared" si="554"/>
        <v/>
      </c>
      <c r="AJ919" s="964"/>
      <c r="AK919" s="964"/>
      <c r="AL919"/>
      <c r="AM919"/>
      <c r="AN919"/>
      <c r="AO919"/>
      <c r="AP919"/>
      <c r="AQ919"/>
      <c r="AR919"/>
      <c r="AS919"/>
      <c r="AT919"/>
      <c r="AU919"/>
      <c r="AV919"/>
      <c r="AW919"/>
      <c r="AX919" s="9"/>
      <c r="AY919"/>
      <c r="AZ919"/>
      <c r="BA919"/>
      <c r="BB919"/>
      <c r="BC919"/>
      <c r="BD919"/>
      <c r="BE919"/>
      <c r="BF919"/>
      <c r="BG919"/>
      <c r="BH919"/>
      <c r="BI919"/>
      <c r="BJ919"/>
      <c r="BK919"/>
      <c r="BL919"/>
      <c r="BM919"/>
      <c r="BN919"/>
      <c r="BO919"/>
      <c r="BP919"/>
      <c r="BQ919"/>
      <c r="BR919"/>
      <c r="BS919"/>
      <c r="BT919"/>
      <c r="BU919"/>
      <c r="BV919"/>
      <c r="BW919"/>
      <c r="BX919"/>
      <c r="BY919"/>
      <c r="BZ919"/>
      <c r="CA919" s="1396"/>
      <c r="CB919" s="1396"/>
      <c r="CC919"/>
      <c r="CD919"/>
      <c r="CE919"/>
    </row>
    <row r="920" spans="1:83" ht="13.9" customHeight="1" outlineLevel="2" thickBot="1" x14ac:dyDescent="0.25">
      <c r="A920"/>
      <c r="B920" s="1"/>
      <c r="C920"/>
      <c r="D920"/>
      <c r="E920"/>
      <c r="F920"/>
      <c r="G920" s="1"/>
      <c r="H920" s="1"/>
      <c r="I920"/>
      <c r="J920"/>
      <c r="K920"/>
      <c r="L920"/>
      <c r="M920"/>
      <c r="N920"/>
      <c r="O920"/>
      <c r="P920"/>
      <c r="Q920"/>
      <c r="R920" s="558" t="s">
        <v>3975</v>
      </c>
      <c r="S920" s="956"/>
      <c r="T920" s="58"/>
      <c r="U920" s="957"/>
      <c r="V920" s="958" t="str">
        <f>V911</f>
        <v>I</v>
      </c>
      <c r="W920" s="10"/>
      <c r="X920" s="45" t="s">
        <v>769</v>
      </c>
      <c r="Y920" s="10"/>
      <c r="Z920" s="46" t="str">
        <f t="shared" si="555"/>
        <v>K</v>
      </c>
      <c r="AA920" s="123"/>
      <c r="AB920" s="1459">
        <f t="shared" si="547"/>
        <v>0</v>
      </c>
      <c r="AC920" s="1460" t="str">
        <f t="shared" si="548"/>
        <v>-</v>
      </c>
      <c r="AD920" s="1459">
        <f t="shared" si="549"/>
        <v>0</v>
      </c>
      <c r="AE920" s="964" t="str">
        <f t="shared" si="550"/>
        <v/>
      </c>
      <c r="AF920" s="964" t="str">
        <f t="shared" si="551"/>
        <v/>
      </c>
      <c r="AG920" s="964" t="str">
        <f t="shared" si="552"/>
        <v/>
      </c>
      <c r="AH920" s="964" t="str">
        <f t="shared" si="553"/>
        <v/>
      </c>
      <c r="AI920" s="964" t="str">
        <f t="shared" si="554"/>
        <v/>
      </c>
      <c r="AJ920" s="964"/>
      <c r="AK920" s="964"/>
      <c r="AL920"/>
      <c r="AM920"/>
      <c r="AN920"/>
      <c r="AO920"/>
      <c r="AP920"/>
      <c r="AQ920"/>
      <c r="AR920"/>
      <c r="AS920"/>
      <c r="AT920"/>
      <c r="AU920"/>
      <c r="AV920"/>
      <c r="AW920" s="9"/>
      <c r="AX920" s="9"/>
      <c r="AY920"/>
      <c r="AZ920"/>
      <c r="BA920"/>
      <c r="BB920"/>
      <c r="BC920"/>
      <c r="BD920"/>
      <c r="BE920"/>
      <c r="BF920"/>
      <c r="BG920"/>
      <c r="BH920"/>
      <c r="BI920"/>
      <c r="BJ920"/>
      <c r="BK920"/>
      <c r="BL920"/>
      <c r="BM920"/>
      <c r="BN920"/>
      <c r="BO920"/>
      <c r="BP920"/>
      <c r="BQ920"/>
      <c r="BR920"/>
      <c r="BS920"/>
      <c r="BT920"/>
      <c r="BU920"/>
      <c r="BV920"/>
      <c r="BW920"/>
      <c r="BX920"/>
      <c r="BY920"/>
      <c r="BZ920"/>
      <c r="CA920" s="1396"/>
      <c r="CB920" s="1396"/>
      <c r="CC920"/>
      <c r="CD920"/>
      <c r="CE920"/>
    </row>
    <row r="921" spans="1:83" ht="13.5" outlineLevel="1" thickBot="1" x14ac:dyDescent="0.25">
      <c r="A921"/>
      <c r="B921" s="1"/>
      <c r="C921" s="1"/>
      <c r="D921" s="76"/>
      <c r="E921" s="76"/>
      <c r="F921" s="76"/>
      <c r="G921" s="9"/>
      <c r="H921" s="9"/>
      <c r="I921" s="1"/>
      <c r="J921"/>
      <c r="K921"/>
      <c r="L921"/>
      <c r="M921"/>
      <c r="N921"/>
      <c r="O921"/>
      <c r="P921" s="89"/>
      <c r="Q921"/>
      <c r="R921" s="1"/>
      <c r="S921" s="993">
        <f>S912+1</f>
        <v>14</v>
      </c>
      <c r="T921" s="961"/>
      <c r="U921" s="961"/>
      <c r="V921" s="961"/>
      <c r="W921" s="960"/>
      <c r="X921" s="960"/>
      <c r="Y921" s="960"/>
      <c r="Z921" s="962"/>
      <c r="AA921" s="123"/>
      <c r="AB921" s="963"/>
      <c r="AC921" s="963"/>
      <c r="AD921" s="963"/>
      <c r="AE921" s="964"/>
      <c r="AF921" s="964"/>
      <c r="AG921" s="964"/>
      <c r="AH921" s="964"/>
      <c r="AI921" s="964"/>
      <c r="AJ921" s="964"/>
      <c r="AK921" s="964"/>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s="1396"/>
      <c r="CB921" s="1396"/>
      <c r="CC921"/>
      <c r="CD921"/>
      <c r="CE921"/>
    </row>
    <row r="922" spans="1:83" ht="13.9" customHeight="1" outlineLevel="2" thickBot="1" x14ac:dyDescent="0.25">
      <c r="A922"/>
      <c r="B922" s="1"/>
      <c r="C922"/>
      <c r="D922"/>
      <c r="E922"/>
      <c r="F922"/>
      <c r="G922" s="1"/>
      <c r="H922" s="1"/>
      <c r="I922"/>
      <c r="J922"/>
      <c r="K922"/>
      <c r="L922"/>
      <c r="M922"/>
      <c r="N922"/>
      <c r="O922"/>
      <c r="P922"/>
      <c r="Q922"/>
      <c r="S922" s="22" t="str">
        <f>N_Heure</f>
        <v>Heure</v>
      </c>
      <c r="T922" s="22" t="str">
        <f>N_Table</f>
        <v>Table</v>
      </c>
      <c r="U922" s="22" t="str">
        <f>N_Arbitre</f>
        <v>Arbitre</v>
      </c>
      <c r="V922" s="293" t="str">
        <f>N_Matches</f>
        <v>Matches</v>
      </c>
      <c r="W922" s="294"/>
      <c r="X922" s="294"/>
      <c r="Y922" s="294"/>
      <c r="Z922" s="295"/>
      <c r="AA922" s="8"/>
      <c r="AB922" s="967"/>
      <c r="AC922" s="967"/>
      <c r="AD922" s="967"/>
      <c r="AE922" s="964"/>
      <c r="AF922" s="964"/>
      <c r="AG922" s="964"/>
      <c r="AH922" s="964"/>
      <c r="AI922" s="964"/>
      <c r="AJ922" s="964"/>
      <c r="AK922" s="964"/>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s="1396"/>
      <c r="CB922" s="1396"/>
      <c r="CC922"/>
      <c r="CD922"/>
      <c r="CE922"/>
    </row>
    <row r="923" spans="1:83" ht="13.15" customHeight="1" outlineLevel="2" x14ac:dyDescent="0.2">
      <c r="A923"/>
      <c r="B923" s="1"/>
      <c r="C923"/>
      <c r="D923"/>
      <c r="E923"/>
      <c r="F923"/>
      <c r="G923" s="1"/>
      <c r="H923" s="1"/>
      <c r="I923"/>
      <c r="J923"/>
      <c r="K923"/>
      <c r="L923"/>
      <c r="M923"/>
      <c r="N923"/>
      <c r="O923"/>
      <c r="P923"/>
      <c r="Q923"/>
      <c r="R923" s="558" t="s">
        <v>3976</v>
      </c>
      <c r="S923" s="65"/>
      <c r="T923" s="953"/>
      <c r="U923" s="954"/>
      <c r="V923" s="34" t="str">
        <f>V915</f>
        <v>F</v>
      </c>
      <c r="W923" s="148"/>
      <c r="X923" s="35" t="s">
        <v>769</v>
      </c>
      <c r="Y923" s="148"/>
      <c r="Z923" s="36" t="str">
        <f>V914</f>
        <v>A</v>
      </c>
      <c r="AA923" s="123"/>
      <c r="AB923" s="1459">
        <f t="shared" ref="AB923:AB929" si="556">IF(MaxScore,MaxGoals(W923,Y923,MaxGoalsValue),IF(W923="","",W923))</f>
        <v>0</v>
      </c>
      <c r="AC923" s="1460" t="str">
        <f t="shared" ref="AC923:AC929" si="557">IF(MaxScore,"-",IF(W923="","","-"))</f>
        <v>-</v>
      </c>
      <c r="AD923" s="1459">
        <f t="shared" ref="AD923:AD929" si="558">IF(MaxScore,MaxGoals(Y923,W923,MaxGoalsValue),IF(Y923="","",Y923))</f>
        <v>0</v>
      </c>
      <c r="AE923" s="964" t="str">
        <f t="shared" ref="AE923:AE929" si="559">IF(W923="","",IF(W923&gt;Y923,V923,IF(W923=Y923,"",Z923)))</f>
        <v/>
      </c>
      <c r="AF923" s="964" t="str">
        <f t="shared" ref="AF923:AF929" si="560">IF(W923="","",IF(W923=Y923,V923,""))</f>
        <v/>
      </c>
      <c r="AG923" s="964" t="str">
        <f t="shared" ref="AG923:AG929" si="561">IF(W923="","",IF(W923=Y923,Z923,""))</f>
        <v/>
      </c>
      <c r="AH923" s="964" t="str">
        <f t="shared" ref="AH923:AH929" si="562">IF(W923="","",IF(W923&lt;Y923,V923,IF(W923=Y923,"",Z923)))</f>
        <v/>
      </c>
      <c r="AI923" s="964" t="str">
        <f t="shared" ref="AI923:AI929" si="563">CONCATENATE(AE923,AH923)</f>
        <v/>
      </c>
      <c r="AJ923" s="964"/>
      <c r="AK923" s="964"/>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s="1396"/>
      <c r="CB923" s="1396"/>
      <c r="CC923"/>
      <c r="CD923"/>
      <c r="CE923"/>
    </row>
    <row r="924" spans="1:83" ht="13.15" customHeight="1" outlineLevel="2" x14ac:dyDescent="0.2">
      <c r="A924"/>
      <c r="B924" s="1"/>
      <c r="C924"/>
      <c r="D924"/>
      <c r="E924"/>
      <c r="F924"/>
      <c r="G924" s="1"/>
      <c r="H924" s="1"/>
      <c r="I924"/>
      <c r="J924"/>
      <c r="K924"/>
      <c r="L924"/>
      <c r="M924"/>
      <c r="N924"/>
      <c r="O924"/>
      <c r="P924"/>
      <c r="Q924"/>
      <c r="R924" s="558" t="s">
        <v>3976</v>
      </c>
      <c r="S924" s="83"/>
      <c r="T924" s="56"/>
      <c r="U924" s="955"/>
      <c r="V924" s="43" t="str">
        <f t="shared" ref="V924:V929" si="564">Z914</f>
        <v>H</v>
      </c>
      <c r="W924" s="10"/>
      <c r="X924" s="45" t="s">
        <v>769</v>
      </c>
      <c r="Y924" s="10"/>
      <c r="Z924" s="46" t="str">
        <f>V916</f>
        <v>D</v>
      </c>
      <c r="AA924" s="123"/>
      <c r="AB924" s="1459">
        <f t="shared" si="556"/>
        <v>0</v>
      </c>
      <c r="AC924" s="1460" t="str">
        <f t="shared" si="557"/>
        <v>-</v>
      </c>
      <c r="AD924" s="1459">
        <f t="shared" si="558"/>
        <v>0</v>
      </c>
      <c r="AE924" s="964" t="str">
        <f t="shared" si="559"/>
        <v/>
      </c>
      <c r="AF924" s="964" t="str">
        <f t="shared" si="560"/>
        <v/>
      </c>
      <c r="AG924" s="964" t="str">
        <f t="shared" si="561"/>
        <v/>
      </c>
      <c r="AH924" s="964" t="str">
        <f t="shared" si="562"/>
        <v/>
      </c>
      <c r="AI924" s="964" t="str">
        <f t="shared" si="563"/>
        <v/>
      </c>
      <c r="AJ924" s="964"/>
      <c r="AK924" s="96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s="1396"/>
      <c r="CB924" s="1396"/>
      <c r="CC924"/>
      <c r="CD924"/>
      <c r="CE924"/>
    </row>
    <row r="925" spans="1:83" ht="13.15" customHeight="1" outlineLevel="2" x14ac:dyDescent="0.2">
      <c r="A925"/>
      <c r="B925" s="1"/>
      <c r="C925"/>
      <c r="D925"/>
      <c r="E925"/>
      <c r="F925"/>
      <c r="G925" s="1"/>
      <c r="H925" s="1"/>
      <c r="I925"/>
      <c r="J925"/>
      <c r="K925"/>
      <c r="L925"/>
      <c r="M925"/>
      <c r="N925"/>
      <c r="O925"/>
      <c r="P925"/>
      <c r="Q925"/>
      <c r="R925" s="558" t="s">
        <v>3976</v>
      </c>
      <c r="S925" s="83"/>
      <c r="T925" s="56"/>
      <c r="U925" s="955"/>
      <c r="V925" s="43" t="str">
        <f t="shared" si="564"/>
        <v>J</v>
      </c>
      <c r="W925" s="10"/>
      <c r="X925" s="45" t="s">
        <v>769</v>
      </c>
      <c r="Y925" s="10"/>
      <c r="Z925" s="46" t="str">
        <f>V917</f>
        <v>B</v>
      </c>
      <c r="AA925" s="123"/>
      <c r="AB925" s="1459">
        <f t="shared" si="556"/>
        <v>0</v>
      </c>
      <c r="AC925" s="1460" t="str">
        <f t="shared" si="557"/>
        <v>-</v>
      </c>
      <c r="AD925" s="1459">
        <f t="shared" si="558"/>
        <v>0</v>
      </c>
      <c r="AE925" s="964" t="str">
        <f t="shared" si="559"/>
        <v/>
      </c>
      <c r="AF925" s="964" t="str">
        <f t="shared" si="560"/>
        <v/>
      </c>
      <c r="AG925" s="964" t="str">
        <f t="shared" si="561"/>
        <v/>
      </c>
      <c r="AH925" s="964" t="str">
        <f t="shared" si="562"/>
        <v/>
      </c>
      <c r="AI925" s="964" t="str">
        <f t="shared" si="563"/>
        <v/>
      </c>
      <c r="AJ925" s="964"/>
      <c r="AK925" s="964"/>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s="1396"/>
      <c r="CB925" s="1396"/>
      <c r="CC925"/>
      <c r="CD925"/>
      <c r="CE925"/>
    </row>
    <row r="926" spans="1:83" ht="13.15" customHeight="1" outlineLevel="2" x14ac:dyDescent="0.2">
      <c r="A926"/>
      <c r="B926" s="1"/>
      <c r="C926"/>
      <c r="D926"/>
      <c r="E926"/>
      <c r="F926"/>
      <c r="G926" s="1"/>
      <c r="H926" s="1"/>
      <c r="I926"/>
      <c r="J926"/>
      <c r="K926"/>
      <c r="L926"/>
      <c r="M926"/>
      <c r="N926"/>
      <c r="O926"/>
      <c r="P926"/>
      <c r="Q926"/>
      <c r="R926" s="558" t="s">
        <v>3976</v>
      </c>
      <c r="S926" s="83"/>
      <c r="T926" s="56"/>
      <c r="U926" s="955"/>
      <c r="V926" s="43" t="str">
        <f t="shared" si="564"/>
        <v>L</v>
      </c>
      <c r="W926" s="10"/>
      <c r="X926" s="45" t="s">
        <v>769</v>
      </c>
      <c r="Y926" s="10"/>
      <c r="Z926" s="46" t="str">
        <f>Z909</f>
        <v>C</v>
      </c>
      <c r="AA926" s="123"/>
      <c r="AB926" s="1459">
        <f t="shared" si="556"/>
        <v>0</v>
      </c>
      <c r="AC926" s="1460" t="str">
        <f t="shared" si="557"/>
        <v>-</v>
      </c>
      <c r="AD926" s="1459">
        <f t="shared" si="558"/>
        <v>0</v>
      </c>
      <c r="AE926" s="964" t="str">
        <f t="shared" si="559"/>
        <v/>
      </c>
      <c r="AF926" s="964" t="str">
        <f t="shared" si="560"/>
        <v/>
      </c>
      <c r="AG926" s="964" t="str">
        <f t="shared" si="561"/>
        <v/>
      </c>
      <c r="AH926" s="964" t="str">
        <f t="shared" si="562"/>
        <v/>
      </c>
      <c r="AI926" s="964" t="str">
        <f t="shared" si="563"/>
        <v/>
      </c>
      <c r="AJ926" s="964"/>
      <c r="AK926" s="964"/>
      <c r="AL926"/>
      <c r="AM926"/>
      <c r="AN926"/>
      <c r="AO926"/>
      <c r="AP926"/>
      <c r="AQ926"/>
      <c r="AR926"/>
      <c r="AS926"/>
      <c r="AT926"/>
      <c r="AU926"/>
      <c r="AV926"/>
      <c r="AW926" s="9"/>
      <c r="AX926" s="9"/>
      <c r="AY926"/>
      <c r="AZ926"/>
      <c r="BA926"/>
      <c r="BB926"/>
      <c r="BC926"/>
      <c r="BD926"/>
      <c r="BE926"/>
      <c r="BF926"/>
      <c r="BG926"/>
      <c r="BH926"/>
      <c r="BI926"/>
      <c r="BJ926"/>
      <c r="BK926"/>
      <c r="BL926"/>
      <c r="BM926"/>
      <c r="BN926"/>
      <c r="BO926"/>
      <c r="BP926"/>
      <c r="BQ926"/>
      <c r="BR926"/>
      <c r="BS926"/>
      <c r="BT926"/>
      <c r="BU926"/>
      <c r="BV926"/>
      <c r="BW926"/>
      <c r="BX926"/>
      <c r="BY926"/>
      <c r="BZ926"/>
      <c r="CA926" s="1396"/>
      <c r="CB926" s="1396"/>
      <c r="CC926"/>
      <c r="CD926"/>
      <c r="CE926"/>
    </row>
    <row r="927" spans="1:83" ht="13.15" customHeight="1" outlineLevel="2" x14ac:dyDescent="0.2">
      <c r="A927"/>
      <c r="B927" s="1"/>
      <c r="C927"/>
      <c r="D927"/>
      <c r="E927"/>
      <c r="F927"/>
      <c r="G927" s="1"/>
      <c r="H927" s="1"/>
      <c r="I927"/>
      <c r="J927"/>
      <c r="K927"/>
      <c r="L927"/>
      <c r="M927"/>
      <c r="N927"/>
      <c r="O927"/>
      <c r="P927"/>
      <c r="Q927"/>
      <c r="R927" s="558" t="s">
        <v>3976</v>
      </c>
      <c r="S927" s="83"/>
      <c r="T927" s="56"/>
      <c r="U927" s="955"/>
      <c r="V927" s="43" t="str">
        <f t="shared" si="564"/>
        <v>N</v>
      </c>
      <c r="W927" s="10"/>
      <c r="X927" s="45" t="s">
        <v>769</v>
      </c>
      <c r="Y927" s="10"/>
      <c r="Z927" s="46" t="str">
        <f>V918</f>
        <v>E</v>
      </c>
      <c r="AA927" s="123"/>
      <c r="AB927" s="1459">
        <f t="shared" si="556"/>
        <v>0</v>
      </c>
      <c r="AC927" s="1460" t="str">
        <f t="shared" si="557"/>
        <v>-</v>
      </c>
      <c r="AD927" s="1459">
        <f t="shared" si="558"/>
        <v>0</v>
      </c>
      <c r="AE927" s="964" t="str">
        <f t="shared" si="559"/>
        <v/>
      </c>
      <c r="AF927" s="964" t="str">
        <f t="shared" si="560"/>
        <v/>
      </c>
      <c r="AG927" s="964" t="str">
        <f t="shared" si="561"/>
        <v/>
      </c>
      <c r="AH927" s="964" t="str">
        <f t="shared" si="562"/>
        <v/>
      </c>
      <c r="AI927" s="964" t="str">
        <f t="shared" si="563"/>
        <v/>
      </c>
      <c r="AJ927" s="964"/>
      <c r="AK927" s="964"/>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s="1396"/>
      <c r="CB927" s="1396"/>
      <c r="CC927"/>
      <c r="CD927"/>
      <c r="CE927"/>
    </row>
    <row r="928" spans="1:83" ht="13.15" customHeight="1" outlineLevel="2" x14ac:dyDescent="0.2">
      <c r="A928"/>
      <c r="B928" s="1"/>
      <c r="C928"/>
      <c r="D928"/>
      <c r="E928"/>
      <c r="F928"/>
      <c r="G928" s="1"/>
      <c r="H928" s="1"/>
      <c r="I928"/>
      <c r="J928"/>
      <c r="K928"/>
      <c r="L928"/>
      <c r="M928"/>
      <c r="N928"/>
      <c r="O928"/>
      <c r="P928"/>
      <c r="Q928"/>
      <c r="R928" s="558" t="s">
        <v>3976</v>
      </c>
      <c r="S928" s="83"/>
      <c r="T928" s="56"/>
      <c r="U928" s="955"/>
      <c r="V928" s="43" t="str">
        <f t="shared" si="564"/>
        <v>O</v>
      </c>
      <c r="W928" s="10"/>
      <c r="X928" s="45" t="s">
        <v>769</v>
      </c>
      <c r="Y928" s="10"/>
      <c r="Z928" s="46" t="str">
        <f>V920</f>
        <v>I</v>
      </c>
      <c r="AA928" s="123"/>
      <c r="AB928" s="1459">
        <f t="shared" si="556"/>
        <v>0</v>
      </c>
      <c r="AC928" s="1460" t="str">
        <f t="shared" si="557"/>
        <v>-</v>
      </c>
      <c r="AD928" s="1459">
        <f t="shared" si="558"/>
        <v>0</v>
      </c>
      <c r="AE928" s="964" t="str">
        <f t="shared" si="559"/>
        <v/>
      </c>
      <c r="AF928" s="964" t="str">
        <f t="shared" si="560"/>
        <v/>
      </c>
      <c r="AG928" s="964" t="str">
        <f t="shared" si="561"/>
        <v/>
      </c>
      <c r="AH928" s="964" t="str">
        <f t="shared" si="562"/>
        <v/>
      </c>
      <c r="AI928" s="964" t="str">
        <f t="shared" si="563"/>
        <v/>
      </c>
      <c r="AJ928" s="964"/>
      <c r="AK928" s="964"/>
      <c r="AL928"/>
      <c r="AM928"/>
      <c r="AN928"/>
      <c r="AO928"/>
      <c r="AP928"/>
      <c r="AQ928"/>
      <c r="AR928"/>
      <c r="AS928"/>
      <c r="AT928"/>
      <c r="AU928"/>
      <c r="AV928"/>
      <c r="AW928"/>
      <c r="AX928" s="9"/>
      <c r="AY928"/>
      <c r="AZ928"/>
      <c r="BA928"/>
      <c r="BB928"/>
      <c r="BC928"/>
      <c r="BD928"/>
      <c r="BE928"/>
      <c r="BF928"/>
      <c r="BG928"/>
      <c r="BH928"/>
      <c r="BI928"/>
      <c r="BJ928"/>
      <c r="BK928"/>
      <c r="BL928"/>
      <c r="BM928"/>
      <c r="BN928"/>
      <c r="BO928"/>
      <c r="BP928"/>
      <c r="BQ928"/>
      <c r="BR928"/>
      <c r="BS928"/>
      <c r="BT928"/>
      <c r="BU928"/>
      <c r="BV928"/>
      <c r="BW928"/>
      <c r="BX928"/>
      <c r="BY928"/>
      <c r="BZ928"/>
      <c r="CA928" s="1396"/>
      <c r="CB928" s="1396"/>
      <c r="CC928"/>
      <c r="CD928"/>
      <c r="CE928"/>
    </row>
    <row r="929" spans="1:83" ht="13.9" customHeight="1" outlineLevel="2" thickBot="1" x14ac:dyDescent="0.25">
      <c r="A929"/>
      <c r="B929" s="1"/>
      <c r="C929"/>
      <c r="D929"/>
      <c r="E929"/>
      <c r="F929"/>
      <c r="G929" s="1"/>
      <c r="H929" s="1"/>
      <c r="I929"/>
      <c r="J929"/>
      <c r="K929"/>
      <c r="L929"/>
      <c r="M929"/>
      <c r="N929"/>
      <c r="O929"/>
      <c r="P929"/>
      <c r="Q929"/>
      <c r="R929" s="558" t="s">
        <v>3976</v>
      </c>
      <c r="S929" s="956"/>
      <c r="T929" s="58"/>
      <c r="U929" s="957"/>
      <c r="V929" s="43" t="str">
        <f t="shared" si="564"/>
        <v>M</v>
      </c>
      <c r="W929" s="10"/>
      <c r="X929" s="45" t="s">
        <v>769</v>
      </c>
      <c r="Y929" s="10"/>
      <c r="Z929" s="46" t="str">
        <f>Z920</f>
        <v>K</v>
      </c>
      <c r="AA929" s="123"/>
      <c r="AB929" s="1459">
        <f t="shared" si="556"/>
        <v>0</v>
      </c>
      <c r="AC929" s="1460" t="str">
        <f t="shared" si="557"/>
        <v>-</v>
      </c>
      <c r="AD929" s="1459">
        <f t="shared" si="558"/>
        <v>0</v>
      </c>
      <c r="AE929" s="964" t="str">
        <f t="shared" si="559"/>
        <v/>
      </c>
      <c r="AF929" s="964" t="str">
        <f t="shared" si="560"/>
        <v/>
      </c>
      <c r="AG929" s="964" t="str">
        <f t="shared" si="561"/>
        <v/>
      </c>
      <c r="AH929" s="964" t="str">
        <f t="shared" si="562"/>
        <v/>
      </c>
      <c r="AI929" s="964" t="str">
        <f t="shared" si="563"/>
        <v/>
      </c>
      <c r="AJ929" s="964"/>
      <c r="AK929" s="964"/>
      <c r="AL929"/>
      <c r="AM929"/>
      <c r="AN929"/>
      <c r="AO929"/>
      <c r="AP929"/>
      <c r="AQ929"/>
      <c r="AR929"/>
      <c r="AS929"/>
      <c r="AT929"/>
      <c r="AU929"/>
      <c r="AV929"/>
      <c r="AW929" s="9"/>
      <c r="AX929" s="9"/>
      <c r="AY929"/>
      <c r="AZ929"/>
      <c r="BA929"/>
      <c r="BB929"/>
      <c r="BC929"/>
      <c r="BD929"/>
      <c r="BE929"/>
      <c r="BF929"/>
      <c r="BG929"/>
      <c r="BH929"/>
      <c r="BI929"/>
      <c r="BJ929"/>
      <c r="BK929"/>
      <c r="BL929"/>
      <c r="BM929"/>
      <c r="BN929"/>
      <c r="BO929"/>
      <c r="BP929"/>
      <c r="BQ929"/>
      <c r="BR929"/>
      <c r="BS929"/>
      <c r="BT929"/>
      <c r="BU929"/>
      <c r="BV929"/>
      <c r="BW929"/>
      <c r="BX929"/>
      <c r="BY929"/>
      <c r="BZ929"/>
      <c r="CA929" s="1396"/>
      <c r="CB929" s="1396"/>
      <c r="CC929"/>
      <c r="CD929"/>
      <c r="CE929"/>
    </row>
    <row r="930" spans="1:83" ht="13.5" outlineLevel="1" thickBot="1" x14ac:dyDescent="0.25">
      <c r="A930"/>
      <c r="B930" s="1"/>
      <c r="C930" s="1"/>
      <c r="D930" s="76"/>
      <c r="E930" s="76"/>
      <c r="F930" s="76"/>
      <c r="G930" s="9"/>
      <c r="H930" s="9"/>
      <c r="I930" s="1"/>
      <c r="J930"/>
      <c r="K930"/>
      <c r="L930"/>
      <c r="M930"/>
      <c r="N930"/>
      <c r="O930"/>
      <c r="P930" s="89"/>
      <c r="Q930"/>
      <c r="R930" s="1"/>
      <c r="S930" s="993">
        <f>S921+1</f>
        <v>15</v>
      </c>
      <c r="T930" s="961"/>
      <c r="U930" s="961"/>
      <c r="V930" s="961"/>
      <c r="W930" s="960"/>
      <c r="X930" s="960"/>
      <c r="Y930" s="960"/>
      <c r="Z930" s="962"/>
      <c r="AA930" s="123"/>
      <c r="AB930" s="963"/>
      <c r="AC930" s="963"/>
      <c r="AD930" s="963"/>
      <c r="AE930" s="964"/>
      <c r="AF930" s="964"/>
      <c r="AG930" s="964"/>
      <c r="AH930" s="964"/>
      <c r="AI930" s="964"/>
      <c r="AJ930" s="964"/>
      <c r="AK930" s="964"/>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s="1396"/>
      <c r="CB930" s="1396"/>
      <c r="CC930"/>
      <c r="CD930"/>
      <c r="CE930"/>
    </row>
    <row r="931" spans="1:83" ht="13.9" customHeight="1" outlineLevel="2" thickBot="1" x14ac:dyDescent="0.25">
      <c r="A931"/>
      <c r="B931" s="1"/>
      <c r="C931"/>
      <c r="D931"/>
      <c r="E931"/>
      <c r="F931"/>
      <c r="G931" s="1"/>
      <c r="H931" s="1"/>
      <c r="I931"/>
      <c r="J931"/>
      <c r="K931"/>
      <c r="L931"/>
      <c r="M931"/>
      <c r="N931"/>
      <c r="O931"/>
      <c r="P931"/>
      <c r="Q931"/>
      <c r="S931" s="22" t="str">
        <f>N_Heure</f>
        <v>Heure</v>
      </c>
      <c r="T931" s="22" t="str">
        <f>N_Table</f>
        <v>Table</v>
      </c>
      <c r="U931" s="22" t="str">
        <f>N_Arbitre</f>
        <v>Arbitre</v>
      </c>
      <c r="V931" s="293" t="str">
        <f>N_Matches</f>
        <v>Matches</v>
      </c>
      <c r="W931" s="294"/>
      <c r="X931" s="294"/>
      <c r="Y931" s="294"/>
      <c r="Z931" s="295"/>
      <c r="AA931" s="8"/>
      <c r="AB931" s="967"/>
      <c r="AC931" s="967"/>
      <c r="AD931" s="967"/>
      <c r="AE931" s="964"/>
      <c r="AF931" s="964"/>
      <c r="AG931" s="964"/>
      <c r="AH931" s="964"/>
      <c r="AI931" s="964"/>
      <c r="AJ931" s="964"/>
      <c r="AK931" s="964"/>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s="1396"/>
      <c r="CB931" s="1396"/>
      <c r="CC931"/>
      <c r="CD931"/>
      <c r="CE931"/>
    </row>
    <row r="932" spans="1:83" ht="13.15" customHeight="1" outlineLevel="2" x14ac:dyDescent="0.2">
      <c r="A932"/>
      <c r="B932" s="1"/>
      <c r="C932"/>
      <c r="D932"/>
      <c r="E932"/>
      <c r="F932"/>
      <c r="G932" s="1"/>
      <c r="H932" s="1"/>
      <c r="I932"/>
      <c r="J932"/>
      <c r="K932"/>
      <c r="L932"/>
      <c r="M932"/>
      <c r="N932"/>
      <c r="O932"/>
      <c r="P932"/>
      <c r="Q932"/>
      <c r="R932" s="558" t="s">
        <v>3977</v>
      </c>
      <c r="S932" s="65"/>
      <c r="T932" s="953"/>
      <c r="U932" s="954"/>
      <c r="V932" s="34" t="str">
        <f>Z923</f>
        <v>A</v>
      </c>
      <c r="W932" s="148"/>
      <c r="X932" s="35" t="s">
        <v>769</v>
      </c>
      <c r="Y932" s="148"/>
      <c r="Z932" s="36" t="str">
        <f>Z924</f>
        <v>D</v>
      </c>
      <c r="AA932" s="123"/>
      <c r="AB932" s="1459">
        <f t="shared" ref="AB932:AB938" si="565">IF(MaxScore,MaxGoals(W932,Y932,MaxGoalsValue),IF(W932="","",W932))</f>
        <v>0</v>
      </c>
      <c r="AC932" s="1460" t="str">
        <f t="shared" ref="AC932:AC938" si="566">IF(MaxScore,"-",IF(W932="","","-"))</f>
        <v>-</v>
      </c>
      <c r="AD932" s="1459">
        <f t="shared" ref="AD932:AD938" si="567">IF(MaxScore,MaxGoals(Y932,W932,MaxGoalsValue),IF(Y932="","",Y932))</f>
        <v>0</v>
      </c>
      <c r="AE932" s="964" t="str">
        <f t="shared" ref="AE932:AE938" si="568">IF(W932="","",IF(W932&gt;Y932,V932,IF(W932=Y932,"",Z932)))</f>
        <v/>
      </c>
      <c r="AF932" s="964" t="str">
        <f t="shared" ref="AF932:AF938" si="569">IF(W932="","",IF(W932=Y932,V932,""))</f>
        <v/>
      </c>
      <c r="AG932" s="964" t="str">
        <f t="shared" ref="AG932:AG938" si="570">IF(W932="","",IF(W932=Y932,Z932,""))</f>
        <v/>
      </c>
      <c r="AH932" s="964" t="str">
        <f t="shared" ref="AH932:AH938" si="571">IF(W932="","",IF(W932&lt;Y932,V932,IF(W932=Y932,"",Z932)))</f>
        <v/>
      </c>
      <c r="AI932" s="964" t="str">
        <f t="shared" ref="AI932:AI938" si="572">CONCATENATE(AE932,AH932)</f>
        <v/>
      </c>
      <c r="AJ932" s="964"/>
      <c r="AK932" s="964"/>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s="1396"/>
      <c r="CB932" s="1396"/>
      <c r="CC932"/>
      <c r="CD932"/>
      <c r="CE932"/>
    </row>
    <row r="933" spans="1:83" ht="13.15" customHeight="1" outlineLevel="2" x14ac:dyDescent="0.2">
      <c r="A933"/>
      <c r="B933" s="1"/>
      <c r="C933"/>
      <c r="D933"/>
      <c r="E933"/>
      <c r="F933"/>
      <c r="G933" s="1"/>
      <c r="H933" s="1"/>
      <c r="I933"/>
      <c r="J933"/>
      <c r="K933"/>
      <c r="L933"/>
      <c r="M933"/>
      <c r="N933"/>
      <c r="O933"/>
      <c r="P933"/>
      <c r="Q933"/>
      <c r="R933" s="558" t="s">
        <v>3977</v>
      </c>
      <c r="S933" s="83"/>
      <c r="T933" s="56"/>
      <c r="U933" s="955"/>
      <c r="V933" s="43" t="str">
        <f>Z925</f>
        <v>B</v>
      </c>
      <c r="W933" s="10"/>
      <c r="X933" s="45" t="s">
        <v>769</v>
      </c>
      <c r="Y933" s="10"/>
      <c r="Z933" s="46" t="str">
        <f t="shared" ref="Z933:Z938" si="573">V923</f>
        <v>F</v>
      </c>
      <c r="AA933" s="123"/>
      <c r="AB933" s="1459">
        <f t="shared" si="565"/>
        <v>0</v>
      </c>
      <c r="AC933" s="1460" t="str">
        <f t="shared" si="566"/>
        <v>-</v>
      </c>
      <c r="AD933" s="1459">
        <f t="shared" si="567"/>
        <v>0</v>
      </c>
      <c r="AE933" s="964" t="str">
        <f t="shared" si="568"/>
        <v/>
      </c>
      <c r="AF933" s="964" t="str">
        <f t="shared" si="569"/>
        <v/>
      </c>
      <c r="AG933" s="964" t="str">
        <f t="shared" si="570"/>
        <v/>
      </c>
      <c r="AH933" s="964" t="str">
        <f t="shared" si="571"/>
        <v/>
      </c>
      <c r="AI933" s="964" t="str">
        <f t="shared" si="572"/>
        <v/>
      </c>
      <c r="AJ933" s="964"/>
      <c r="AK933" s="964"/>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s="1396"/>
      <c r="CB933" s="1396"/>
      <c r="CC933"/>
      <c r="CD933"/>
      <c r="CE933"/>
    </row>
    <row r="934" spans="1:83" ht="13.15" customHeight="1" outlineLevel="2" x14ac:dyDescent="0.2">
      <c r="A934"/>
      <c r="B934" s="1"/>
      <c r="C934"/>
      <c r="D934"/>
      <c r="E934"/>
      <c r="F934"/>
      <c r="G934" s="1"/>
      <c r="H934" s="1"/>
      <c r="I934"/>
      <c r="J934"/>
      <c r="K934"/>
      <c r="L934"/>
      <c r="M934"/>
      <c r="N934"/>
      <c r="O934"/>
      <c r="P934"/>
      <c r="Q934"/>
      <c r="R934" s="558" t="s">
        <v>3977</v>
      </c>
      <c r="S934" s="83"/>
      <c r="T934" s="56"/>
      <c r="U934" s="955"/>
      <c r="V934" s="43" t="str">
        <f>Z926</f>
        <v>C</v>
      </c>
      <c r="W934" s="10"/>
      <c r="X934" s="45" t="s">
        <v>769</v>
      </c>
      <c r="Y934" s="10"/>
      <c r="Z934" s="46" t="str">
        <f t="shared" si="573"/>
        <v>H</v>
      </c>
      <c r="AA934" s="123"/>
      <c r="AB934" s="1459">
        <f t="shared" si="565"/>
        <v>0</v>
      </c>
      <c r="AC934" s="1460" t="str">
        <f t="shared" si="566"/>
        <v>-</v>
      </c>
      <c r="AD934" s="1459">
        <f t="shared" si="567"/>
        <v>0</v>
      </c>
      <c r="AE934" s="964" t="str">
        <f t="shared" si="568"/>
        <v/>
      </c>
      <c r="AF934" s="964" t="str">
        <f t="shared" si="569"/>
        <v/>
      </c>
      <c r="AG934" s="964" t="str">
        <f t="shared" si="570"/>
        <v/>
      </c>
      <c r="AH934" s="964" t="str">
        <f t="shared" si="571"/>
        <v/>
      </c>
      <c r="AI934" s="964" t="str">
        <f t="shared" si="572"/>
        <v/>
      </c>
      <c r="AJ934" s="964"/>
      <c r="AK934" s="96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s="1396"/>
      <c r="CB934" s="1396"/>
      <c r="CC934"/>
      <c r="CD934"/>
      <c r="CE934"/>
    </row>
    <row r="935" spans="1:83" ht="13.15" customHeight="1" outlineLevel="2" x14ac:dyDescent="0.2">
      <c r="A935"/>
      <c r="B935" s="1"/>
      <c r="C935"/>
      <c r="D935"/>
      <c r="E935"/>
      <c r="F935"/>
      <c r="G935" s="1"/>
      <c r="H935" s="1"/>
      <c r="I935"/>
      <c r="J935"/>
      <c r="K935"/>
      <c r="L935"/>
      <c r="M935"/>
      <c r="N935"/>
      <c r="O935"/>
      <c r="P935"/>
      <c r="Q935"/>
      <c r="R935" s="558" t="s">
        <v>3977</v>
      </c>
      <c r="S935" s="83"/>
      <c r="T935" s="56"/>
      <c r="U935" s="955"/>
      <c r="V935" s="43" t="str">
        <f>Z927</f>
        <v>E</v>
      </c>
      <c r="W935" s="10"/>
      <c r="X935" s="45" t="s">
        <v>769</v>
      </c>
      <c r="Y935" s="10"/>
      <c r="Z935" s="46" t="str">
        <f t="shared" si="573"/>
        <v>J</v>
      </c>
      <c r="AA935" s="123"/>
      <c r="AB935" s="1459">
        <f t="shared" si="565"/>
        <v>0</v>
      </c>
      <c r="AC935" s="1460" t="str">
        <f t="shared" si="566"/>
        <v>-</v>
      </c>
      <c r="AD935" s="1459">
        <f t="shared" si="567"/>
        <v>0</v>
      </c>
      <c r="AE935" s="964" t="str">
        <f t="shared" si="568"/>
        <v/>
      </c>
      <c r="AF935" s="964" t="str">
        <f t="shared" si="569"/>
        <v/>
      </c>
      <c r="AG935" s="964" t="str">
        <f t="shared" si="570"/>
        <v/>
      </c>
      <c r="AH935" s="964" t="str">
        <f t="shared" si="571"/>
        <v/>
      </c>
      <c r="AI935" s="964" t="str">
        <f t="shared" si="572"/>
        <v/>
      </c>
      <c r="AJ935" s="964"/>
      <c r="AK935" s="964"/>
      <c r="AL935"/>
      <c r="AM935"/>
      <c r="AN935"/>
      <c r="AO935"/>
      <c r="AP935"/>
      <c r="AQ935"/>
      <c r="AR935"/>
      <c r="AS935"/>
      <c r="AT935"/>
      <c r="AU935"/>
      <c r="AV935"/>
      <c r="AW935"/>
      <c r="AX935" s="9"/>
      <c r="AY935"/>
      <c r="AZ935"/>
      <c r="BA935"/>
      <c r="BB935"/>
      <c r="BC935"/>
      <c r="BD935"/>
      <c r="BE935"/>
      <c r="BF935"/>
      <c r="BG935"/>
      <c r="BH935"/>
      <c r="BI935"/>
      <c r="BJ935"/>
      <c r="BK935"/>
      <c r="BL935"/>
      <c r="BM935"/>
      <c r="BN935"/>
      <c r="BO935"/>
      <c r="BP935"/>
      <c r="BQ935"/>
      <c r="BR935"/>
      <c r="BS935"/>
      <c r="BT935"/>
      <c r="BU935"/>
      <c r="BV935"/>
      <c r="BW935"/>
      <c r="BX935"/>
      <c r="BY935"/>
      <c r="BZ935"/>
      <c r="CA935" s="1396"/>
      <c r="CB935" s="1396"/>
      <c r="CC935"/>
      <c r="CD935"/>
      <c r="CE935"/>
    </row>
    <row r="936" spans="1:83" ht="13.15" customHeight="1" outlineLevel="2" x14ac:dyDescent="0.2">
      <c r="A936"/>
      <c r="B936" s="1"/>
      <c r="C936"/>
      <c r="D936"/>
      <c r="E936"/>
      <c r="F936"/>
      <c r="G936" s="1"/>
      <c r="H936" s="1"/>
      <c r="I936"/>
      <c r="J936"/>
      <c r="K936"/>
      <c r="L936"/>
      <c r="M936"/>
      <c r="N936"/>
      <c r="O936"/>
      <c r="P936"/>
      <c r="Q936"/>
      <c r="R936" s="558" t="s">
        <v>3977</v>
      </c>
      <c r="S936" s="83"/>
      <c r="T936" s="56"/>
      <c r="U936" s="955"/>
      <c r="V936" s="43" t="str">
        <f>V919</f>
        <v>G</v>
      </c>
      <c r="W936" s="10"/>
      <c r="X936" s="45" t="s">
        <v>769</v>
      </c>
      <c r="Y936" s="10"/>
      <c r="Z936" s="46" t="str">
        <f t="shared" si="573"/>
        <v>L</v>
      </c>
      <c r="AA936" s="123"/>
      <c r="AB936" s="1459">
        <f t="shared" si="565"/>
        <v>0</v>
      </c>
      <c r="AC936" s="1460" t="str">
        <f t="shared" si="566"/>
        <v>-</v>
      </c>
      <c r="AD936" s="1459">
        <f t="shared" si="567"/>
        <v>0</v>
      </c>
      <c r="AE936" s="964" t="str">
        <f t="shared" si="568"/>
        <v/>
      </c>
      <c r="AF936" s="964" t="str">
        <f t="shared" si="569"/>
        <v/>
      </c>
      <c r="AG936" s="964" t="str">
        <f t="shared" si="570"/>
        <v/>
      </c>
      <c r="AH936" s="964" t="str">
        <f t="shared" si="571"/>
        <v/>
      </c>
      <c r="AI936" s="964" t="str">
        <f t="shared" si="572"/>
        <v/>
      </c>
      <c r="AJ936" s="964"/>
      <c r="AK936" s="964"/>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s="1396"/>
      <c r="CB936" s="1396"/>
      <c r="CC936"/>
      <c r="CD936"/>
      <c r="CE936"/>
    </row>
    <row r="937" spans="1:83" ht="13.15" customHeight="1" outlineLevel="2" x14ac:dyDescent="0.2">
      <c r="A937"/>
      <c r="B937" s="1"/>
      <c r="C937"/>
      <c r="D937"/>
      <c r="E937"/>
      <c r="F937"/>
      <c r="G937" s="1"/>
      <c r="H937" s="1"/>
      <c r="I937"/>
      <c r="J937"/>
      <c r="K937"/>
      <c r="L937"/>
      <c r="M937"/>
      <c r="N937"/>
      <c r="O937"/>
      <c r="P937"/>
      <c r="Q937"/>
      <c r="R937" s="558" t="s">
        <v>3977</v>
      </c>
      <c r="S937" s="83"/>
      <c r="T937" s="56"/>
      <c r="U937" s="955"/>
      <c r="V937" s="43" t="str">
        <f>Z928</f>
        <v>I</v>
      </c>
      <c r="W937" s="10"/>
      <c r="X937" s="45" t="s">
        <v>769</v>
      </c>
      <c r="Y937" s="10"/>
      <c r="Z937" s="46" t="str">
        <f t="shared" si="573"/>
        <v>N</v>
      </c>
      <c r="AA937" s="123"/>
      <c r="AB937" s="1459">
        <f t="shared" si="565"/>
        <v>0</v>
      </c>
      <c r="AC937" s="1460" t="str">
        <f t="shared" si="566"/>
        <v>-</v>
      </c>
      <c r="AD937" s="1459">
        <f t="shared" si="567"/>
        <v>0</v>
      </c>
      <c r="AE937" s="964" t="str">
        <f t="shared" si="568"/>
        <v/>
      </c>
      <c r="AF937" s="964" t="str">
        <f t="shared" si="569"/>
        <v/>
      </c>
      <c r="AG937" s="964" t="str">
        <f t="shared" si="570"/>
        <v/>
      </c>
      <c r="AH937" s="964" t="str">
        <f t="shared" si="571"/>
        <v/>
      </c>
      <c r="AI937" s="964" t="str">
        <f t="shared" si="572"/>
        <v/>
      </c>
      <c r="AJ937" s="964"/>
      <c r="AK937" s="964"/>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s="1396"/>
      <c r="CB937" s="1396"/>
      <c r="CC937"/>
      <c r="CD937"/>
      <c r="CE937"/>
    </row>
    <row r="938" spans="1:83" ht="13.9" customHeight="1" outlineLevel="2" thickBot="1" x14ac:dyDescent="0.25">
      <c r="A938"/>
      <c r="B938" s="1"/>
      <c r="C938"/>
      <c r="D938"/>
      <c r="E938"/>
      <c r="F938"/>
      <c r="G938" s="1"/>
      <c r="H938" s="1"/>
      <c r="I938"/>
      <c r="J938"/>
      <c r="K938"/>
      <c r="L938"/>
      <c r="M938"/>
      <c r="N938"/>
      <c r="O938"/>
      <c r="P938"/>
      <c r="Q938"/>
      <c r="R938" s="558" t="s">
        <v>3977</v>
      </c>
      <c r="S938" s="956"/>
      <c r="T938" s="58"/>
      <c r="U938" s="957"/>
      <c r="V938" s="958" t="str">
        <f>V929</f>
        <v>M</v>
      </c>
      <c r="W938" s="10"/>
      <c r="X938" s="45" t="s">
        <v>769</v>
      </c>
      <c r="Y938" s="10"/>
      <c r="Z938" s="959" t="str">
        <f t="shared" si="573"/>
        <v>O</v>
      </c>
      <c r="AA938" s="123"/>
      <c r="AB938" s="1459">
        <f t="shared" si="565"/>
        <v>0</v>
      </c>
      <c r="AC938" s="1460" t="str">
        <f t="shared" si="566"/>
        <v>-</v>
      </c>
      <c r="AD938" s="1459">
        <f t="shared" si="567"/>
        <v>0</v>
      </c>
      <c r="AE938" s="964" t="str">
        <f t="shared" si="568"/>
        <v/>
      </c>
      <c r="AF938" s="964" t="str">
        <f t="shared" si="569"/>
        <v/>
      </c>
      <c r="AG938" s="964" t="str">
        <f t="shared" si="570"/>
        <v/>
      </c>
      <c r="AH938" s="964" t="str">
        <f t="shared" si="571"/>
        <v/>
      </c>
      <c r="AI938" s="964" t="str">
        <f t="shared" si="572"/>
        <v/>
      </c>
      <c r="AJ938" s="964"/>
      <c r="AK938" s="964"/>
      <c r="AL938"/>
      <c r="AM938"/>
      <c r="AN938"/>
      <c r="AO938"/>
      <c r="AP938"/>
      <c r="AQ938"/>
      <c r="AR938"/>
      <c r="AS938"/>
      <c r="AT938"/>
      <c r="AU938"/>
      <c r="AV938"/>
      <c r="AW938" s="9"/>
      <c r="AX938" s="9"/>
      <c r="AY938"/>
      <c r="AZ938"/>
      <c r="BA938"/>
      <c r="BB938"/>
      <c r="BC938"/>
      <c r="BD938"/>
      <c r="BE938"/>
      <c r="BF938"/>
      <c r="BG938"/>
      <c r="BH938"/>
      <c r="BI938"/>
      <c r="BJ938"/>
      <c r="BK938"/>
      <c r="BL938"/>
      <c r="BM938"/>
      <c r="BN938"/>
      <c r="BO938"/>
      <c r="BP938"/>
      <c r="BQ938"/>
      <c r="BR938"/>
      <c r="BS938"/>
      <c r="BT938"/>
      <c r="BU938"/>
      <c r="BV938"/>
      <c r="BW938"/>
      <c r="BX938"/>
      <c r="BY938"/>
      <c r="BZ938"/>
      <c r="CA938" s="1396"/>
      <c r="CB938" s="1396"/>
      <c r="CC938"/>
      <c r="CD938"/>
      <c r="CE938"/>
    </row>
    <row r="939" spans="1:83" ht="13.5" thickBot="1" x14ac:dyDescent="0.25">
      <c r="A939"/>
      <c r="B939" s="1"/>
      <c r="C939"/>
      <c r="D939"/>
      <c r="E939"/>
      <c r="F939"/>
      <c r="G939" s="1"/>
      <c r="H939" s="1"/>
      <c r="I939"/>
      <c r="J939"/>
      <c r="K939"/>
      <c r="L939"/>
      <c r="M939"/>
      <c r="N939"/>
      <c r="O939"/>
      <c r="P939"/>
      <c r="Q939"/>
      <c r="S939"/>
      <c r="T939"/>
      <c r="U939"/>
      <c r="V939"/>
      <c r="W939" s="1"/>
      <c r="X939" s="1"/>
      <c r="Y939" s="1"/>
      <c r="Z939"/>
      <c r="AB939" s="964"/>
      <c r="AC939" s="964"/>
      <c r="AD939" s="969"/>
      <c r="AE939" s="969"/>
      <c r="AF939" s="964"/>
      <c r="AG939" s="970"/>
      <c r="AH939" s="964"/>
      <c r="AI939" s="969"/>
      <c r="AJ939" s="964"/>
      <c r="AK939" s="963"/>
      <c r="AL939" s="16"/>
      <c r="AM939" s="16"/>
      <c r="AN939" s="16"/>
      <c r="AO939" s="16"/>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s="1396"/>
      <c r="CB939" s="1396"/>
      <c r="CC939"/>
      <c r="CD939"/>
      <c r="CE939"/>
    </row>
    <row r="940" spans="1:83" ht="13.5" thickBot="1" x14ac:dyDescent="0.25">
      <c r="A940"/>
      <c r="B940" s="282" t="str">
        <f>N_Group_16</f>
        <v>Poule de 16</v>
      </c>
      <c r="C940" s="283"/>
      <c r="D940" s="283"/>
      <c r="E940" s="283"/>
      <c r="F940" s="283"/>
      <c r="G940" s="283"/>
      <c r="H940" s="283"/>
      <c r="I940" s="283"/>
      <c r="J940" s="283"/>
      <c r="K940" s="283"/>
      <c r="L940" s="283"/>
      <c r="M940" s="283"/>
      <c r="N940" s="283"/>
      <c r="O940" s="283"/>
      <c r="P940" s="283"/>
      <c r="Q940" s="283"/>
      <c r="R940" s="357"/>
      <c r="S940" s="283"/>
      <c r="T940" s="283"/>
      <c r="U940" s="283"/>
      <c r="V940" s="283"/>
      <c r="W940" s="992"/>
      <c r="X940" s="992"/>
      <c r="Y940" s="992"/>
      <c r="Z940" s="283"/>
      <c r="AA940" s="283"/>
      <c r="AB940" s="965"/>
      <c r="AC940" s="965"/>
      <c r="AD940" s="965"/>
      <c r="AE940" s="966"/>
      <c r="AF940" s="966"/>
      <c r="AG940" s="966"/>
      <c r="AH940" s="966"/>
      <c r="AI940" s="966"/>
      <c r="AJ940" s="966"/>
      <c r="AK940" s="965"/>
      <c r="AL940" s="283"/>
      <c r="AM940" s="282" t="str">
        <f>B940</f>
        <v>Poule de 16</v>
      </c>
      <c r="AN940" s="283"/>
      <c r="AO940" s="283"/>
      <c r="AP940" s="283"/>
      <c r="AQ940" s="283"/>
      <c r="AR940" s="283"/>
      <c r="AS940" s="283"/>
      <c r="AT940" s="283"/>
      <c r="AU940" s="283"/>
      <c r="AV940" s="283"/>
      <c r="AW940" s="283"/>
      <c r="AX940" s="283"/>
      <c r="AY940" s="283"/>
      <c r="AZ940" s="283"/>
      <c r="BA940" s="283"/>
      <c r="BB940" s="283"/>
      <c r="BC940" s="283"/>
      <c r="BD940" s="283"/>
      <c r="BE940" s="283"/>
      <c r="BF940" s="283"/>
      <c r="BG940" s="283"/>
      <c r="BH940" s="283"/>
      <c r="BI940" s="283"/>
      <c r="BJ940" s="283"/>
      <c r="BK940" s="283"/>
      <c r="BL940" s="283"/>
      <c r="BM940" s="283"/>
      <c r="BN940" s="283"/>
      <c r="BO940" s="283"/>
      <c r="BP940" s="283"/>
      <c r="BQ940" s="283"/>
      <c r="BR940" s="283"/>
      <c r="BS940" s="283"/>
      <c r="BT940" s="283"/>
      <c r="BU940" s="283"/>
      <c r="BV940" s="283"/>
      <c r="BW940" s="283"/>
      <c r="BX940" s="283"/>
      <c r="BY940" s="283"/>
      <c r="BZ940"/>
      <c r="CA940" s="1396"/>
      <c r="CB940" s="1396"/>
      <c r="CC940" s="284"/>
      <c r="CD940"/>
      <c r="CE940"/>
    </row>
    <row r="941" spans="1:83" ht="13.5" outlineLevel="1" thickBot="1" x14ac:dyDescent="0.25">
      <c r="A941"/>
      <c r="B941" s="1"/>
      <c r="C941"/>
      <c r="D941"/>
      <c r="E941"/>
      <c r="F941"/>
      <c r="G941" s="1"/>
      <c r="H941" s="1"/>
      <c r="I941"/>
      <c r="J941"/>
      <c r="K941"/>
      <c r="L941"/>
      <c r="M941"/>
      <c r="N941"/>
      <c r="O941"/>
      <c r="P941"/>
      <c r="Q941"/>
      <c r="S941"/>
      <c r="T941"/>
      <c r="U941"/>
      <c r="V941"/>
      <c r="W941" s="1"/>
      <c r="X941" s="1"/>
      <c r="Y941" s="1"/>
      <c r="Z941"/>
      <c r="AB941" s="964"/>
      <c r="AC941" s="964"/>
      <c r="AD941" s="969"/>
      <c r="AE941" s="969"/>
      <c r="AF941" s="964"/>
      <c r="AG941" s="970"/>
      <c r="AH941" s="964"/>
      <c r="AI941" s="969"/>
      <c r="AJ941" s="964"/>
      <c r="AK941" s="963"/>
      <c r="AL941" s="16"/>
      <c r="AM941" s="16"/>
      <c r="AN941" s="16"/>
      <c r="AO941" s="16"/>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s="1396"/>
      <c r="CB941" s="1396"/>
      <c r="CC941"/>
      <c r="CD941"/>
      <c r="CE941"/>
    </row>
    <row r="942" spans="1:83" ht="13.5" outlineLevel="1" thickBot="1" x14ac:dyDescent="0.25">
      <c r="A942"/>
      <c r="B942" s="18" t="str">
        <f>N_Tirage</f>
        <v>Tirage</v>
      </c>
      <c r="C942" s="971" t="s">
        <v>787</v>
      </c>
      <c r="D942" s="972" t="s">
        <v>831</v>
      </c>
      <c r="E942" s="972" t="s">
        <v>832</v>
      </c>
      <c r="F942" s="973" t="s">
        <v>833</v>
      </c>
      <c r="G942" s="22" t="str">
        <f>N_Joueurs</f>
        <v>Joueurs</v>
      </c>
      <c r="H942" s="3" t="str">
        <f>N_RankPoints</f>
        <v>Pt. Clas.</v>
      </c>
      <c r="I942" s="22" t="str">
        <f>N_Diff_Part</f>
        <v>Diff-Part</v>
      </c>
      <c r="J942" s="983" t="s">
        <v>788</v>
      </c>
      <c r="K942" s="984" t="s">
        <v>789</v>
      </c>
      <c r="L942" s="972" t="s">
        <v>790</v>
      </c>
      <c r="M942" s="972" t="s">
        <v>791</v>
      </c>
      <c r="N942" s="972" t="s">
        <v>792</v>
      </c>
      <c r="O942" s="972" t="s">
        <v>793</v>
      </c>
      <c r="P942" s="972" t="s">
        <v>794</v>
      </c>
      <c r="Q942" s="973" t="s">
        <v>781</v>
      </c>
      <c r="R942"/>
      <c r="S942"/>
      <c r="T942"/>
      <c r="U942"/>
      <c r="V942"/>
      <c r="W942" s="1"/>
      <c r="X942" s="1"/>
      <c r="Y942" s="1"/>
      <c r="Z942"/>
      <c r="AB942" s="964"/>
      <c r="AC942" s="964"/>
      <c r="AD942" s="964"/>
      <c r="AE942" s="964" t="str">
        <f>N_G</f>
        <v>G</v>
      </c>
      <c r="AF942" s="964" t="str">
        <f>N_N</f>
        <v>N</v>
      </c>
      <c r="AG942" s="964" t="str">
        <f>N_N</f>
        <v>N</v>
      </c>
      <c r="AH942" s="964" t="str">
        <f>N_P</f>
        <v>P</v>
      </c>
      <c r="AI942" s="964" t="s">
        <v>1560</v>
      </c>
      <c r="AJ942" s="964" t="s">
        <v>3714</v>
      </c>
      <c r="AK942" s="964" t="str">
        <f>IF(COUNTA(W961:W1108)=0,"","OK")</f>
        <v/>
      </c>
      <c r="AL942"/>
      <c r="AM942" s="16"/>
      <c r="AN942" s="24" t="str">
        <f>N_Cla.</f>
        <v>Cla.</v>
      </c>
      <c r="AO942" s="4" t="str">
        <f>N_Joueurs</f>
        <v>Joueurs</v>
      </c>
      <c r="AP942" s="25" t="str">
        <f>N_Pts</f>
        <v>Pts</v>
      </c>
      <c r="AQ942" s="25" t="str">
        <f>N_J</f>
        <v>J</v>
      </c>
      <c r="AR942" s="26" t="str">
        <f>N_G</f>
        <v>G</v>
      </c>
      <c r="AS942" s="26" t="str">
        <f>N_N</f>
        <v>N</v>
      </c>
      <c r="AT942" s="26" t="str">
        <f>N_P</f>
        <v>P</v>
      </c>
      <c r="AU942" s="26" t="str">
        <f>N_BP</f>
        <v>BP</v>
      </c>
      <c r="AV942" s="26" t="str">
        <f>N_BC</f>
        <v>BC</v>
      </c>
      <c r="AW942" s="5" t="str">
        <f>N_Diff.</f>
        <v>Diff.</v>
      </c>
      <c r="AX942"/>
      <c r="AY942"/>
      <c r="AZ942" s="1"/>
      <c r="BA942" s="1"/>
      <c r="BB942"/>
      <c r="BC942" s="6"/>
      <c r="BD942"/>
      <c r="BE942" s="1"/>
      <c r="BF942"/>
      <c r="BG942" s="16"/>
      <c r="BH942"/>
      <c r="BI942"/>
      <c r="BJ942"/>
      <c r="BK942"/>
      <c r="BL942"/>
      <c r="BM942"/>
      <c r="BN942"/>
      <c r="BO942"/>
      <c r="BP942"/>
      <c r="BQ942"/>
      <c r="BR942"/>
      <c r="BS942"/>
      <c r="BT942"/>
      <c r="BU942"/>
      <c r="BV942"/>
      <c r="BW942"/>
      <c r="BX942"/>
      <c r="BY942"/>
      <c r="BZ942"/>
      <c r="CA942" s="1396"/>
      <c r="CB942" s="1396"/>
      <c r="CC942"/>
      <c r="CD942"/>
      <c r="CE942"/>
    </row>
    <row r="943" spans="1:83" outlineLevel="1" x14ac:dyDescent="0.2">
      <c r="A943"/>
      <c r="B943" s="941">
        <v>1</v>
      </c>
      <c r="C943" s="974" t="str">
        <f>IF(AK942="","",RANK(F943,F943:F958)*1000+ROW())</f>
        <v/>
      </c>
      <c r="D943" s="975" t="str">
        <f>IF(L943="","",CritClassInd1_Points*J943+CritClassInd1_Matches*L943+CritClassInd1_Attaque*O943+CritClassInd1_DiffButs*Q943)</f>
        <v/>
      </c>
      <c r="E943" s="975" t="str">
        <f>IF(L943="","",Nb_Diff_Part(D943,D943:D958,G943,G943:G958,AI961:AI1108)*CritClassInd_DiffPart+Nb_Goal_Part(D943,D943:D958,G943,G943:G958,V961:Z1108)*CritClassInd_GoalPart+Nb_Score_Part(D943,D943:D958,G943,G943:G958,V961:Z1108)*CritClassInd_ScorePart)</f>
        <v/>
      </c>
      <c r="F943" s="976" t="str">
        <f>IF(L943="","",D943+E943+CritClassInd2_Points*J943+CritClassInd2_Matches*L943+CritClassInd2_Attaque*O943+CritClassInd2_DiffButs*Q943+CritClassInd_Ranking*H943+I943)</f>
        <v/>
      </c>
      <c r="G943" s="942" t="s">
        <v>2712</v>
      </c>
      <c r="H943" s="499">
        <f t="shared" ref="H943:H958" si="574">GMFTRANKINGPOINTS(G943,Particular_Category)</f>
        <v>0</v>
      </c>
      <c r="I943" s="942"/>
      <c r="J943" s="974" t="str">
        <f>IF(AK942="","",(L943*Points_Victoire)+M943*Points_Null)</f>
        <v/>
      </c>
      <c r="K943" s="985" t="str">
        <f t="shared" ref="K943:K958" si="575">IF(L943="","",SUM(L943:N943))</f>
        <v/>
      </c>
      <c r="L943" s="986" t="str">
        <f>IF(AK942="","",COUNTIF(AE961:AE1108,G943))</f>
        <v/>
      </c>
      <c r="M943" s="986" t="str">
        <f>IF(AK942="","",COUNTIF(AF961:AG1108,G943))</f>
        <v/>
      </c>
      <c r="N943" s="986" t="str">
        <f>IF(AK942="","",COUNTIF(AH961:AH1108,G943))</f>
        <v/>
      </c>
      <c r="O943" s="986" t="str">
        <f>IF(AK942="","",SUMIF(V961:V1108,G943,AB961:AB1108)+SUMIF(Z961:Z1108,G943,AD961:AD1108))</f>
        <v/>
      </c>
      <c r="P943" s="986" t="str">
        <f>IF(AK942="","",SUMIF(V961:V1108,G943,AD961:AD1108)+SUMIF(Z961:Z1108,G943,AB961:AB1108))</f>
        <v/>
      </c>
      <c r="Q943" s="987" t="str">
        <f>IF(AK942="","",O943-P943)</f>
        <v/>
      </c>
      <c r="R943"/>
      <c r="S943"/>
      <c r="T943"/>
      <c r="U943"/>
      <c r="V943"/>
      <c r="W943" s="1"/>
      <c r="X943" s="1"/>
      <c r="Y943" s="1"/>
      <c r="Z943"/>
      <c r="AB943" s="964"/>
      <c r="AC943" s="964"/>
      <c r="AD943" s="964"/>
      <c r="AE943" s="964"/>
      <c r="AF943" s="964"/>
      <c r="AG943" s="964"/>
      <c r="AH943" s="964"/>
      <c r="AI943" s="964"/>
      <c r="AJ943" s="964"/>
      <c r="AK943" s="968" t="str">
        <f>IF(AK942="","",SMALL(C943:C958,1))</f>
        <v/>
      </c>
      <c r="AL943"/>
      <c r="AM943" s="16"/>
      <c r="AN943" s="943" t="str">
        <f>IF(AK942="","",INT(AK943/1000))</f>
        <v/>
      </c>
      <c r="AO943" s="33" t="str">
        <f>IF(AK942="","",VLOOKUP(AK943,C943:Q958,5,FALSE))</f>
        <v/>
      </c>
      <c r="AP943" s="33" t="str">
        <f>VLOOKUP(AK943,C943:Q958,8,FALSE)</f>
        <v/>
      </c>
      <c r="AQ943" s="33" t="str">
        <f>VLOOKUP(AK943,C943:Q958,9,FALSE)</f>
        <v/>
      </c>
      <c r="AR943" s="33" t="str">
        <f>VLOOKUP(AK943,C943:Q958,10,FALSE)</f>
        <v/>
      </c>
      <c r="AS943" s="33" t="str">
        <f>VLOOKUP(AK943,C943:Q958,11,FALSE)</f>
        <v/>
      </c>
      <c r="AT943" s="33" t="str">
        <f>VLOOKUP(AK943,C943:Q958,12,FALSE)</f>
        <v/>
      </c>
      <c r="AU943" s="33" t="str">
        <f>VLOOKUP(AK943,C943:Q958,13,FALSE)</f>
        <v/>
      </c>
      <c r="AV943" s="33" t="str">
        <f>VLOOKUP(AK943,C943:Q958,14,FALSE)</f>
        <v/>
      </c>
      <c r="AW943" s="944" t="str">
        <f>VLOOKUP(AK943,C943:Q958,15,FALSE)</f>
        <v/>
      </c>
      <c r="AX943"/>
      <c r="AY943"/>
      <c r="AZ943" s="1"/>
      <c r="BA943" s="1"/>
      <c r="BB943"/>
      <c r="BC943" s="6"/>
      <c r="BD943"/>
      <c r="BE943" s="1"/>
      <c r="BF943"/>
      <c r="BG943" s="16"/>
      <c r="BH943"/>
      <c r="BI943"/>
      <c r="BJ943"/>
      <c r="BK943"/>
      <c r="BL943"/>
      <c r="BM943"/>
      <c r="BN943"/>
      <c r="BO943"/>
      <c r="BP943"/>
      <c r="BQ943"/>
      <c r="BR943"/>
      <c r="BS943"/>
      <c r="BT943"/>
      <c r="BU943"/>
      <c r="BV943"/>
      <c r="BW943"/>
      <c r="BX943"/>
      <c r="BY943"/>
      <c r="BZ943"/>
      <c r="CA943" s="1396"/>
      <c r="CB943" s="1396"/>
      <c r="CC943"/>
      <c r="CD943"/>
      <c r="CE943"/>
    </row>
    <row r="944" spans="1:83" outlineLevel="1" x14ac:dyDescent="0.2">
      <c r="A944"/>
      <c r="B944" s="945">
        <v>2</v>
      </c>
      <c r="C944" s="977" t="str">
        <f>IF(AK942="","",RANK(F944,F943:F958)*1000+ROW())</f>
        <v/>
      </c>
      <c r="D944" s="978" t="str">
        <f t="shared" ref="D944:D958" si="576">IF(L944="","",CritClassInd1_Points*J944+CritClassInd1_Matches*L944+CritClassInd1_Attaque*O944+CritClassInd1_DiffButs*Q944)</f>
        <v/>
      </c>
      <c r="E944" s="978" t="str">
        <f>IF(L944="","",Nb_Diff_Part(D944,D943:D958,G944,G943:G958,AI961:AI1108)*CritClassInd_DiffPart+Nb_Goal_Part(D944,D943:D958,G944,G943:G958,V961:Z1108)*CritClassInd_GoalPart+Nb_Score_Part(D944,D943:D958,G944,G943:G958,V961:Z1108)*CritClassInd_ScorePart)</f>
        <v/>
      </c>
      <c r="F944" s="979" t="str">
        <f t="shared" ref="F944:F958" si="577">IF(L944="","",D944+E944+CritClassInd2_Points*J944+CritClassInd2_Matches*L944+CritClassInd2_Attaque*O944+CritClassInd2_DiffButs*Q944+CritClassInd_Ranking*H944+I944)</f>
        <v/>
      </c>
      <c r="G944" s="39" t="s">
        <v>3911</v>
      </c>
      <c r="H944" s="501">
        <f t="shared" si="574"/>
        <v>0</v>
      </c>
      <c r="I944" s="39"/>
      <c r="J944" s="977" t="str">
        <f>IF(AK942="","",(L944*Points_Victoire)+M944*Points_Null)</f>
        <v/>
      </c>
      <c r="K944" s="988" t="str">
        <f t="shared" si="575"/>
        <v/>
      </c>
      <c r="L944" s="988" t="str">
        <f>IF(AK942="","",COUNTIF(AE961:AE1108,G944))</f>
        <v/>
      </c>
      <c r="M944" s="988" t="str">
        <f>IF(AK942="","",COUNTIF(AF961:AG1108,G944))</f>
        <v/>
      </c>
      <c r="N944" s="988" t="str">
        <f>IF(AK942="","",COUNTIF(AH961:AH1108,G944))</f>
        <v/>
      </c>
      <c r="O944" s="988" t="str">
        <f>IF(AK942="","",SUMIF(V961:V1108,G944,AB961:AB1108)+SUMIF(Z961:Z1108,G944,AD961:AD1108))</f>
        <v/>
      </c>
      <c r="P944" s="988" t="str">
        <f>IF(AK942="","",SUMIF(V961:V1108,G944,AD961:AD1108)+SUMIF(Z961:Z1108,G944,AB961:AB1108))</f>
        <v/>
      </c>
      <c r="Q944" s="989" t="str">
        <f>IF(AK942="","",O944-P944)</f>
        <v/>
      </c>
      <c r="R944"/>
      <c r="S944"/>
      <c r="T944"/>
      <c r="U944"/>
      <c r="V944"/>
      <c r="W944" s="1"/>
      <c r="X944" s="1"/>
      <c r="Y944" s="1"/>
      <c r="Z944"/>
      <c r="AB944" s="964"/>
      <c r="AC944" s="964"/>
      <c r="AD944" s="964"/>
      <c r="AE944" s="964"/>
      <c r="AF944" s="964"/>
      <c r="AG944" s="964"/>
      <c r="AH944" s="964"/>
      <c r="AI944" s="964"/>
      <c r="AJ944" s="964"/>
      <c r="AK944" s="968" t="str">
        <f>IF(AK942="","",SMALL(C943:C958,2))</f>
        <v/>
      </c>
      <c r="AL944"/>
      <c r="AM944" s="16"/>
      <c r="AN944" s="946" t="str">
        <f>IF(AK942="","",INT(AK944/1000))</f>
        <v/>
      </c>
      <c r="AO944" s="42" t="str">
        <f>IF(AK942="","",VLOOKUP(AK944,C943:Q958,5,FALSE))</f>
        <v/>
      </c>
      <c r="AP944" s="42" t="str">
        <f>VLOOKUP(AK944,C943:Q958,8,FALSE)</f>
        <v/>
      </c>
      <c r="AQ944" s="42" t="str">
        <f>VLOOKUP(AK944,C943:Q958,9,FALSE)</f>
        <v/>
      </c>
      <c r="AR944" s="42" t="str">
        <f>VLOOKUP(AK944,C943:Q958,10,FALSE)</f>
        <v/>
      </c>
      <c r="AS944" s="42" t="str">
        <f>VLOOKUP(AK944,C943:Q958,11,FALSE)</f>
        <v/>
      </c>
      <c r="AT944" s="42" t="str">
        <f>VLOOKUP(AK944,C943:Q958,12,FALSE)</f>
        <v/>
      </c>
      <c r="AU944" s="42" t="str">
        <f>VLOOKUP(AK944,C943:Q958,13,FALSE)</f>
        <v/>
      </c>
      <c r="AV944" s="42" t="str">
        <f>VLOOKUP(AK944,C943:Q958,14,FALSE)</f>
        <v/>
      </c>
      <c r="AW944" s="947" t="str">
        <f>VLOOKUP(AK944,C943:Q958,15,FALSE)</f>
        <v/>
      </c>
      <c r="AX944"/>
      <c r="AY944"/>
      <c r="AZ944" s="1"/>
      <c r="BA944" s="1"/>
      <c r="BB944"/>
      <c r="BC944" s="6"/>
      <c r="BD944"/>
      <c r="BE944" s="1"/>
      <c r="BF944"/>
      <c r="BG944" s="16"/>
      <c r="BH944"/>
      <c r="BI944"/>
      <c r="BJ944"/>
      <c r="BK944"/>
      <c r="BL944"/>
      <c r="BM944"/>
      <c r="BN944"/>
      <c r="BO944"/>
      <c r="BP944"/>
      <c r="BQ944"/>
      <c r="BR944"/>
      <c r="BS944"/>
      <c r="BT944"/>
      <c r="BU944"/>
      <c r="BV944"/>
      <c r="BW944"/>
      <c r="BX944"/>
      <c r="BY944"/>
      <c r="BZ944"/>
      <c r="CA944" s="1396"/>
      <c r="CB944" s="1396"/>
      <c r="CC944"/>
      <c r="CD944"/>
      <c r="CE944"/>
    </row>
    <row r="945" spans="1:83" outlineLevel="1" x14ac:dyDescent="0.2">
      <c r="A945"/>
      <c r="B945" s="945">
        <v>3</v>
      </c>
      <c r="C945" s="977" t="str">
        <f>IF(AK942="","",RANK(F945,F943:F958)*1000+ROW())</f>
        <v/>
      </c>
      <c r="D945" s="978" t="str">
        <f t="shared" si="576"/>
        <v/>
      </c>
      <c r="E945" s="978" t="str">
        <f>IF(L945="","",Nb_Diff_Part(D945,D943:D958,G945,G943:G958,AI961:AI1108)*CritClassInd_DiffPart+Nb_Goal_Part(D945,D943:D958,G945,G943:G958,V961:Z1108)*CritClassInd_GoalPart+Nb_Score_Part(D945,D943:D958,G945,G943:G958,V961:Z1108)*CritClassInd_ScorePart)</f>
        <v/>
      </c>
      <c r="F945" s="979" t="str">
        <f t="shared" si="577"/>
        <v/>
      </c>
      <c r="G945" s="39" t="s">
        <v>3912</v>
      </c>
      <c r="H945" s="501">
        <f t="shared" si="574"/>
        <v>0</v>
      </c>
      <c r="I945" s="39"/>
      <c r="J945" s="977" t="str">
        <f>IF(AK942="","",(L945*Points_Victoire)+M945*Points_Null)</f>
        <v/>
      </c>
      <c r="K945" s="988" t="str">
        <f t="shared" si="575"/>
        <v/>
      </c>
      <c r="L945" s="988" t="str">
        <f>IF(AK942="","",COUNTIF(AE961:AE1108,G945))</f>
        <v/>
      </c>
      <c r="M945" s="988" t="str">
        <f>IF(AK942="","",COUNTIF(AF961:AG1108,G945))</f>
        <v/>
      </c>
      <c r="N945" s="988" t="str">
        <f>IF(AK942="","",COUNTIF(AH961:AH1108,G945))</f>
        <v/>
      </c>
      <c r="O945" s="988" t="str">
        <f>IF(AK942="","",SUMIF(V961:V1108,G945,AB961:AB1108)+SUMIF(Z961:Z1108,G945,AD961:AD1108))</f>
        <v/>
      </c>
      <c r="P945" s="988" t="str">
        <f>IF(AK942="","",SUMIF(V961:V1108,G945,AD961:AD1108)+SUMIF(Z961:Z1108,G945,AB961:AB1108))</f>
        <v/>
      </c>
      <c r="Q945" s="989" t="str">
        <f>IF(AK942="","",O945-P945)</f>
        <v/>
      </c>
      <c r="R945"/>
      <c r="S945"/>
      <c r="T945"/>
      <c r="U945"/>
      <c r="V945"/>
      <c r="W945" s="1"/>
      <c r="X945" s="1"/>
      <c r="Y945" s="1"/>
      <c r="Z945"/>
      <c r="AB945" s="964"/>
      <c r="AC945" s="964"/>
      <c r="AD945" s="964"/>
      <c r="AE945" s="964"/>
      <c r="AF945" s="964"/>
      <c r="AG945" s="964"/>
      <c r="AH945" s="964"/>
      <c r="AI945" s="964"/>
      <c r="AJ945" s="964"/>
      <c r="AK945" s="968" t="str">
        <f>IF(AK942="","",SMALL(C943:C958,3))</f>
        <v/>
      </c>
      <c r="AL945"/>
      <c r="AM945" s="16"/>
      <c r="AN945" s="946" t="str">
        <f>IF(AK942="","",INT(AK945/1000))</f>
        <v/>
      </c>
      <c r="AO945" s="42" t="str">
        <f>IF(AK942="","",VLOOKUP(AK945,C943:Q958,5,FALSE))</f>
        <v/>
      </c>
      <c r="AP945" s="42" t="str">
        <f>VLOOKUP(AK945,C943:Q958,8,FALSE)</f>
        <v/>
      </c>
      <c r="AQ945" s="42" t="str">
        <f>VLOOKUP(AK945,C943:Q958,9,FALSE)</f>
        <v/>
      </c>
      <c r="AR945" s="42" t="str">
        <f>VLOOKUP(AK945,C943:Q958,10,FALSE)</f>
        <v/>
      </c>
      <c r="AS945" s="42" t="str">
        <f>VLOOKUP(AK945,C943:Q958,11,FALSE)</f>
        <v/>
      </c>
      <c r="AT945" s="42" t="str">
        <f>VLOOKUP(AK945,C943:Q958,12,FALSE)</f>
        <v/>
      </c>
      <c r="AU945" s="42" t="str">
        <f>VLOOKUP(AK945,C943:Q958,13,FALSE)</f>
        <v/>
      </c>
      <c r="AV945" s="42" t="str">
        <f>VLOOKUP(AK945,C943:Q958,14,FALSE)</f>
        <v/>
      </c>
      <c r="AW945" s="947" t="str">
        <f>VLOOKUP(AK945,C943:Q958,15,FALSE)</f>
        <v/>
      </c>
      <c r="AX945"/>
      <c r="AY945"/>
      <c r="AZ945" s="1"/>
      <c r="BA945" s="1"/>
      <c r="BB945"/>
      <c r="BC945" s="6"/>
      <c r="BD945"/>
      <c r="BE945" s="1"/>
      <c r="BF945"/>
      <c r="BG945" s="16"/>
      <c r="BH945"/>
      <c r="BI945"/>
      <c r="BJ945"/>
      <c r="BK945"/>
      <c r="BL945"/>
      <c r="BM945"/>
      <c r="BN945"/>
      <c r="BO945"/>
      <c r="BP945"/>
      <c r="BQ945"/>
      <c r="BR945"/>
      <c r="BS945"/>
      <c r="BT945"/>
      <c r="BU945"/>
      <c r="BV945"/>
      <c r="BW945"/>
      <c r="BX945"/>
      <c r="BY945"/>
      <c r="BZ945"/>
      <c r="CA945" s="1396"/>
      <c r="CB945" s="1396"/>
      <c r="CC945"/>
      <c r="CD945"/>
      <c r="CE945"/>
    </row>
    <row r="946" spans="1:83" outlineLevel="1" x14ac:dyDescent="0.2">
      <c r="A946"/>
      <c r="B946" s="945">
        <v>4</v>
      </c>
      <c r="C946" s="977" t="str">
        <f>IF(AK942="","",RANK(F946,F943:F958)*1000+ROW())</f>
        <v/>
      </c>
      <c r="D946" s="978" t="str">
        <f t="shared" si="576"/>
        <v/>
      </c>
      <c r="E946" s="978" t="str">
        <f>IF(L946="","",Nb_Diff_Part(D946,D943:D958,G946,G943:G958,AI961:AI1108)*CritClassInd_DiffPart+Nb_Goal_Part(D946,D943:D958,G946,G943:G958,V961:Z1108)*CritClassInd_GoalPart+Nb_Score_Part(D946,D943:D958,G946,G943:G958,V961:Z1108)*CritClassInd_ScorePart)</f>
        <v/>
      </c>
      <c r="F946" s="979" t="str">
        <f t="shared" si="577"/>
        <v/>
      </c>
      <c r="G946" s="39" t="s">
        <v>2710</v>
      </c>
      <c r="H946" s="501">
        <f t="shared" si="574"/>
        <v>0</v>
      </c>
      <c r="I946" s="39"/>
      <c r="J946" s="977" t="str">
        <f>IF(AK942="","",(L946*Points_Victoire)+M946*Points_Null)</f>
        <v/>
      </c>
      <c r="K946" s="988" t="str">
        <f t="shared" si="575"/>
        <v/>
      </c>
      <c r="L946" s="988" t="str">
        <f>IF(AK942="","",COUNTIF(AE961:AE1108,G946))</f>
        <v/>
      </c>
      <c r="M946" s="988" t="str">
        <f>IF(AK942="","",COUNTIF(AF961:AG1108,G946))</f>
        <v/>
      </c>
      <c r="N946" s="988" t="str">
        <f>IF(AK942="","",COUNTIF(AH961:AH1108,G946))</f>
        <v/>
      </c>
      <c r="O946" s="988" t="str">
        <f>IF(AK942="","",SUMIF(V961:V1108,G946,AB961:AB1108)+SUMIF(Z961:Z1108,G946,AD961:AD1108))</f>
        <v/>
      </c>
      <c r="P946" s="988" t="str">
        <f>IF(AK942="","",SUMIF(V961:V1108,G946,AD961:AD1108)+SUMIF(Z961:Z1108,G946,AB961:AB1108))</f>
        <v/>
      </c>
      <c r="Q946" s="989" t="str">
        <f>IF(AK942="","",O946-P946)</f>
        <v/>
      </c>
      <c r="R946"/>
      <c r="S946"/>
      <c r="T946"/>
      <c r="U946"/>
      <c r="V946"/>
      <c r="W946" s="1"/>
      <c r="X946" s="1"/>
      <c r="Y946" s="1"/>
      <c r="Z946"/>
      <c r="AB946" s="964"/>
      <c r="AC946" s="964"/>
      <c r="AD946" s="964"/>
      <c r="AE946" s="964"/>
      <c r="AF946" s="964"/>
      <c r="AG946" s="964"/>
      <c r="AH946" s="964"/>
      <c r="AI946" s="964"/>
      <c r="AJ946" s="964"/>
      <c r="AK946" s="968" t="str">
        <f>IF(AK942="","",SMALL(C943:C958,4))</f>
        <v/>
      </c>
      <c r="AL946"/>
      <c r="AM946" s="16"/>
      <c r="AN946" s="946" t="str">
        <f>IF(AK942="","",INT(AK946/1000))</f>
        <v/>
      </c>
      <c r="AO946" s="42" t="str">
        <f>IF(AK942="","",VLOOKUP(AK946,C943:Q958,5,FALSE))</f>
        <v/>
      </c>
      <c r="AP946" s="42" t="str">
        <f>VLOOKUP(AK946,C943:Q958,8,FALSE)</f>
        <v/>
      </c>
      <c r="AQ946" s="42" t="str">
        <f>VLOOKUP(AK946,C943:Q958,9,FALSE)</f>
        <v/>
      </c>
      <c r="AR946" s="42" t="str">
        <f>VLOOKUP(AK946,C943:Q958,10,FALSE)</f>
        <v/>
      </c>
      <c r="AS946" s="42" t="str">
        <f>VLOOKUP(AK946,C943:Q958,11,FALSE)</f>
        <v/>
      </c>
      <c r="AT946" s="42" t="str">
        <f>VLOOKUP(AK946,C943:Q958,12,FALSE)</f>
        <v/>
      </c>
      <c r="AU946" s="42" t="str">
        <f>VLOOKUP(AK946,C943:Q958,13,FALSE)</f>
        <v/>
      </c>
      <c r="AV946" s="42" t="str">
        <f>VLOOKUP(AK946,C943:Q958,14,FALSE)</f>
        <v/>
      </c>
      <c r="AW946" s="947" t="str">
        <f>VLOOKUP(AK946,C943:Q958,15,FALSE)</f>
        <v/>
      </c>
      <c r="AX946"/>
      <c r="AY946"/>
      <c r="AZ946" s="1"/>
      <c r="BA946" s="1"/>
      <c r="BB946"/>
      <c r="BC946" s="6"/>
      <c r="BD946"/>
      <c r="BE946" s="1"/>
      <c r="BF946"/>
      <c r="BG946" s="16"/>
      <c r="BH946"/>
      <c r="BI946"/>
      <c r="BJ946"/>
      <c r="BK946"/>
      <c r="BL946"/>
      <c r="BM946"/>
      <c r="BN946"/>
      <c r="BO946"/>
      <c r="BP946"/>
      <c r="BQ946"/>
      <c r="BR946"/>
      <c r="BS946"/>
      <c r="BT946"/>
      <c r="BU946"/>
      <c r="BV946"/>
      <c r="BW946"/>
      <c r="BX946"/>
      <c r="BY946"/>
      <c r="BZ946"/>
      <c r="CA946" s="1396"/>
      <c r="CB946" s="1396"/>
      <c r="CC946"/>
      <c r="CD946"/>
      <c r="CE946"/>
    </row>
    <row r="947" spans="1:83" outlineLevel="1" x14ac:dyDescent="0.2">
      <c r="A947"/>
      <c r="B947" s="945">
        <v>5</v>
      </c>
      <c r="C947" s="977" t="str">
        <f>IF(AK942="","",RANK(F947,F943:F958)*1000+ROW())</f>
        <v/>
      </c>
      <c r="D947" s="978" t="str">
        <f t="shared" si="576"/>
        <v/>
      </c>
      <c r="E947" s="978" t="str">
        <f>IF(L947="","",Nb_Diff_Part(D947,D943:D958,G947,G943:G958,AI961:AI1108)*CritClassInd_DiffPart+Nb_Goal_Part(D947,D943:D958,G947,G943:G958,V961:Z1108)*CritClassInd_GoalPart+Nb_Score_Part(D947,D943:D958,G947,G943:G958,V961:Z1108)*CritClassInd_ScorePart)</f>
        <v/>
      </c>
      <c r="F947" s="979" t="str">
        <f t="shared" si="577"/>
        <v/>
      </c>
      <c r="G947" s="39" t="s">
        <v>3913</v>
      </c>
      <c r="H947" s="501">
        <f t="shared" si="574"/>
        <v>0</v>
      </c>
      <c r="I947" s="39"/>
      <c r="J947" s="977" t="str">
        <f>IF(AK942="","",(L947*Points_Victoire)+M947*Points_Null)</f>
        <v/>
      </c>
      <c r="K947" s="988" t="str">
        <f t="shared" si="575"/>
        <v/>
      </c>
      <c r="L947" s="988" t="str">
        <f>IF(AK942="","",COUNTIF(AE961:AE1108,G947))</f>
        <v/>
      </c>
      <c r="M947" s="988" t="str">
        <f>IF(AK942="","",COUNTIF(AF961:AG1108,G947))</f>
        <v/>
      </c>
      <c r="N947" s="988" t="str">
        <f>IF(AK942="","",COUNTIF(AH961:AH1108,G947))</f>
        <v/>
      </c>
      <c r="O947" s="988" t="str">
        <f>IF(AK942="","",SUMIF(V961:V1108,G947,AB961:AB1108)+SUMIF(Z961:Z1108,G947,AD961:AD1108))</f>
        <v/>
      </c>
      <c r="P947" s="988" t="str">
        <f>IF(AK942="","",SUMIF(V961:V1108,G947,AD961:AD1108)+SUMIF(Z961:Z1108,G947,AB961:AB1108))</f>
        <v/>
      </c>
      <c r="Q947" s="989" t="str">
        <f>IF(AK942="","",O947-P947)</f>
        <v/>
      </c>
      <c r="R947"/>
      <c r="S947"/>
      <c r="T947"/>
      <c r="U947"/>
      <c r="V947"/>
      <c r="W947" s="1"/>
      <c r="X947" s="1"/>
      <c r="Y947" s="1"/>
      <c r="Z947"/>
      <c r="AB947" s="964"/>
      <c r="AC947" s="964"/>
      <c r="AD947" s="964"/>
      <c r="AE947" s="964"/>
      <c r="AF947" s="964"/>
      <c r="AG947" s="964"/>
      <c r="AH947" s="964"/>
      <c r="AI947" s="964"/>
      <c r="AJ947" s="964"/>
      <c r="AK947" s="968" t="str">
        <f>IF(AK942="","",SMALL(C943:C958,5))</f>
        <v/>
      </c>
      <c r="AL947"/>
      <c r="AM947" s="16"/>
      <c r="AN947" s="946" t="str">
        <f>IF(AK942="","",INT(AK947/1000))</f>
        <v/>
      </c>
      <c r="AO947" s="42" t="str">
        <f>IF(AK942="","",VLOOKUP(AK947,C943:Q958,5,FALSE))</f>
        <v/>
      </c>
      <c r="AP947" s="42" t="str">
        <f>VLOOKUP(AK947,C943:Q958,8,FALSE)</f>
        <v/>
      </c>
      <c r="AQ947" s="42" t="str">
        <f>VLOOKUP(AK947,C943:Q958,9,FALSE)</f>
        <v/>
      </c>
      <c r="AR947" s="42" t="str">
        <f>VLOOKUP(AK947,C943:Q958,10,FALSE)</f>
        <v/>
      </c>
      <c r="AS947" s="42" t="str">
        <f>VLOOKUP(AK947,C943:Q958,11,FALSE)</f>
        <v/>
      </c>
      <c r="AT947" s="42" t="str">
        <f>VLOOKUP(AK947,C943:Q958,12,FALSE)</f>
        <v/>
      </c>
      <c r="AU947" s="42" t="str">
        <f>VLOOKUP(AK947,C943:Q958,13,FALSE)</f>
        <v/>
      </c>
      <c r="AV947" s="42" t="str">
        <f>VLOOKUP(AK947,C943:Q958,14,FALSE)</f>
        <v/>
      </c>
      <c r="AW947" s="947" t="str">
        <f>VLOOKUP(AK947,C943:Q958,15,FALSE)</f>
        <v/>
      </c>
      <c r="AX947"/>
      <c r="AY947"/>
      <c r="AZ947" s="1"/>
      <c r="BA947" s="1"/>
      <c r="BB947"/>
      <c r="BC947" s="6"/>
      <c r="BD947"/>
      <c r="BE947" s="1"/>
      <c r="BF947"/>
      <c r="BG947" s="16"/>
      <c r="BH947"/>
      <c r="BI947"/>
      <c r="BJ947"/>
      <c r="BK947"/>
      <c r="BL947"/>
      <c r="BM947"/>
      <c r="BN947"/>
      <c r="BO947"/>
      <c r="BP947"/>
      <c r="BQ947"/>
      <c r="BR947"/>
      <c r="BS947"/>
      <c r="BT947"/>
      <c r="BU947"/>
      <c r="BV947"/>
      <c r="BW947"/>
      <c r="BX947"/>
      <c r="BY947"/>
      <c r="BZ947"/>
      <c r="CA947" s="1396"/>
      <c r="CB947" s="1396"/>
      <c r="CC947"/>
      <c r="CD947"/>
      <c r="CE947"/>
    </row>
    <row r="948" spans="1:83" outlineLevel="1" x14ac:dyDescent="0.2">
      <c r="A948"/>
      <c r="B948" s="945">
        <v>6</v>
      </c>
      <c r="C948" s="977" t="str">
        <f>IF(AK942="","",RANK(F948,F943:F958)*1000+ROW())</f>
        <v/>
      </c>
      <c r="D948" s="978" t="str">
        <f t="shared" si="576"/>
        <v/>
      </c>
      <c r="E948" s="978" t="str">
        <f>IF(L948="","",Nb_Diff_Part(D948,D943:D958,G948,G943:G958,AI961:AI1108)*CritClassInd_DiffPart+Nb_Goal_Part(D948,D943:D958,G948,G943:G958,V961:Z1108)*CritClassInd_GoalPart+Nb_Score_Part(D948,D943:D958,G948,G943:G958,V961:Z1108)*CritClassInd_ScorePart)</f>
        <v/>
      </c>
      <c r="F948" s="979" t="str">
        <f t="shared" si="577"/>
        <v/>
      </c>
      <c r="G948" s="39" t="s">
        <v>2711</v>
      </c>
      <c r="H948" s="501">
        <f t="shared" si="574"/>
        <v>0</v>
      </c>
      <c r="I948" s="39"/>
      <c r="J948" s="977" t="str">
        <f>IF(AK942="","",(L948*Points_Victoire)+M948*Points_Null)</f>
        <v/>
      </c>
      <c r="K948" s="988" t="str">
        <f t="shared" si="575"/>
        <v/>
      </c>
      <c r="L948" s="988" t="str">
        <f>IF(AK942="","",COUNTIF(AE961:AE1108,G948))</f>
        <v/>
      </c>
      <c r="M948" s="988" t="str">
        <f>IF(AK942="","",COUNTIF(AF961:AG1108,G948))</f>
        <v/>
      </c>
      <c r="N948" s="988" t="str">
        <f>IF(AK942="","",COUNTIF(AH961:AH1108,G948))</f>
        <v/>
      </c>
      <c r="O948" s="988" t="str">
        <f>IF(AK942="","",SUMIF(V961:V1108,G948,AB961:AB1108)+SUMIF(Z961:Z1108,G948,AD961:AD1108))</f>
        <v/>
      </c>
      <c r="P948" s="988" t="str">
        <f>IF(AK942="","",SUMIF(V961:V1108,G948,AD961:AD1108)+SUMIF(Z961:Z1108,G948,AB961:AB1108))</f>
        <v/>
      </c>
      <c r="Q948" s="989" t="str">
        <f>IF(AK942="","",O948-P948)</f>
        <v/>
      </c>
      <c r="R948"/>
      <c r="S948"/>
      <c r="T948"/>
      <c r="U948"/>
      <c r="V948"/>
      <c r="W948" s="1"/>
      <c r="X948" s="1"/>
      <c r="Y948" s="1"/>
      <c r="Z948"/>
      <c r="AB948" s="964"/>
      <c r="AC948" s="964"/>
      <c r="AD948" s="964"/>
      <c r="AE948" s="964"/>
      <c r="AF948" s="964"/>
      <c r="AG948" s="964"/>
      <c r="AH948" s="964"/>
      <c r="AI948" s="964"/>
      <c r="AJ948" s="964"/>
      <c r="AK948" s="968" t="str">
        <f>IF(AK942="","",SMALL(C943:C958,6))</f>
        <v/>
      </c>
      <c r="AL948"/>
      <c r="AM948" s="16"/>
      <c r="AN948" s="946" t="str">
        <f>IF(AK942="","",INT(AK948/1000))</f>
        <v/>
      </c>
      <c r="AO948" s="42" t="str">
        <f>IF(AK942="","",VLOOKUP(AK948,C943:Q958,5,FALSE))</f>
        <v/>
      </c>
      <c r="AP948" s="42" t="str">
        <f>VLOOKUP(AK948,C943:Q958,8,FALSE)</f>
        <v/>
      </c>
      <c r="AQ948" s="42" t="str">
        <f>VLOOKUP(AK948,C943:Q958,9,FALSE)</f>
        <v/>
      </c>
      <c r="AR948" s="42" t="str">
        <f>VLOOKUP(AK948,C943:Q958,10,FALSE)</f>
        <v/>
      </c>
      <c r="AS948" s="42" t="str">
        <f>VLOOKUP(AK948,C943:Q958,11,FALSE)</f>
        <v/>
      </c>
      <c r="AT948" s="42" t="str">
        <f>VLOOKUP(AK948,C943:Q958,12,FALSE)</f>
        <v/>
      </c>
      <c r="AU948" s="42" t="str">
        <f>VLOOKUP(AK948,C943:Q958,13,FALSE)</f>
        <v/>
      </c>
      <c r="AV948" s="42" t="str">
        <f>VLOOKUP(AK948,C943:Q958,14,FALSE)</f>
        <v/>
      </c>
      <c r="AW948" s="947" t="str">
        <f>VLOOKUP(AK948,C943:Q958,15,FALSE)</f>
        <v/>
      </c>
      <c r="AX948"/>
      <c r="AY948"/>
      <c r="AZ948" s="1"/>
      <c r="BA948" s="1"/>
      <c r="BB948"/>
      <c r="BC948" s="6"/>
      <c r="BD948"/>
      <c r="BE948" s="1"/>
      <c r="BF948"/>
      <c r="BG948" s="16"/>
      <c r="BH948"/>
      <c r="BI948"/>
      <c r="BJ948"/>
      <c r="BK948"/>
      <c r="BL948"/>
      <c r="BM948"/>
      <c r="BN948"/>
      <c r="BO948"/>
      <c r="BP948"/>
      <c r="BQ948"/>
      <c r="BR948"/>
      <c r="BS948"/>
      <c r="BT948"/>
      <c r="BU948"/>
      <c r="BV948"/>
      <c r="BW948"/>
      <c r="BX948"/>
      <c r="BY948"/>
      <c r="BZ948"/>
      <c r="CA948" s="1396"/>
      <c r="CB948" s="1396"/>
      <c r="CC948"/>
      <c r="CD948"/>
      <c r="CE948"/>
    </row>
    <row r="949" spans="1:83" outlineLevel="1" x14ac:dyDescent="0.2">
      <c r="A949"/>
      <c r="B949" s="945">
        <v>7</v>
      </c>
      <c r="C949" s="977" t="str">
        <f>IF(AK942="","",RANK(F949,F943:F958)*1000+ROW())</f>
        <v/>
      </c>
      <c r="D949" s="978" t="str">
        <f t="shared" si="576"/>
        <v/>
      </c>
      <c r="E949" s="978" t="str">
        <f>IF(L949="","",Nb_Diff_Part(D949,D943:D958,G949,G943:G958,AI961:AI1108)*CritClassInd_DiffPart+Nb_Goal_Part(D949,D943:D958,G949,G943:G958,V961:Z1108)*CritClassInd_GoalPart+Nb_Score_Part(D949,D943:D958,G949,G943:G958,V961:Z1108)*CritClassInd_ScorePart)</f>
        <v/>
      </c>
      <c r="F949" s="979" t="str">
        <f t="shared" si="577"/>
        <v/>
      </c>
      <c r="G949" s="39" t="s">
        <v>790</v>
      </c>
      <c r="H949" s="501">
        <f t="shared" si="574"/>
        <v>0</v>
      </c>
      <c r="I949" s="39"/>
      <c r="J949" s="977" t="str">
        <f>IF(AK942="","",(L949*Points_Victoire)+M949*Points_Null)</f>
        <v/>
      </c>
      <c r="K949" s="988" t="str">
        <f t="shared" si="575"/>
        <v/>
      </c>
      <c r="L949" s="988" t="str">
        <f>IF(AK942="","",COUNTIF(AE961:AE1108,G949))</f>
        <v/>
      </c>
      <c r="M949" s="988" t="str">
        <f>IF(AK942="","",COUNTIF(AF961:AG1108,G949))</f>
        <v/>
      </c>
      <c r="N949" s="988" t="str">
        <f>IF(AK942="","",COUNTIF(AH961:AH1108,G949))</f>
        <v/>
      </c>
      <c r="O949" s="988" t="str">
        <f>IF(AK942="","",SUMIF(V961:V1108,G949,AB961:AB1108)+SUMIF(Z961:Z1108,G949,AD961:AD1108))</f>
        <v/>
      </c>
      <c r="P949" s="988" t="str">
        <f>IF(AK942="","",SUMIF(V961:V1108,G949,AD961:AD1108)+SUMIF(Z961:Z1108,G949,AB961:AB1108))</f>
        <v/>
      </c>
      <c r="Q949" s="989" t="str">
        <f>IF(AK942="","",O949-P949)</f>
        <v/>
      </c>
      <c r="R949"/>
      <c r="S949"/>
      <c r="T949"/>
      <c r="U949"/>
      <c r="V949"/>
      <c r="W949" s="1"/>
      <c r="X949" s="1"/>
      <c r="Y949" s="1"/>
      <c r="Z949"/>
      <c r="AB949" s="964"/>
      <c r="AC949" s="964"/>
      <c r="AD949" s="964"/>
      <c r="AE949" s="964"/>
      <c r="AF949" s="964"/>
      <c r="AG949" s="964"/>
      <c r="AH949" s="964"/>
      <c r="AI949" s="964"/>
      <c r="AJ949" s="964"/>
      <c r="AK949" s="968" t="str">
        <f>IF(AK942="","",SMALL(C943:C958,7))</f>
        <v/>
      </c>
      <c r="AL949"/>
      <c r="AM949" s="16"/>
      <c r="AN949" s="946" t="str">
        <f>IF(AK942="","",INT(AK949/1000))</f>
        <v/>
      </c>
      <c r="AO949" s="42" t="str">
        <f>IF(AK942="","",VLOOKUP(AK949,C943:Q958,5,FALSE))</f>
        <v/>
      </c>
      <c r="AP949" s="42" t="str">
        <f>VLOOKUP(AK949,C943:Q958,8,FALSE)</f>
        <v/>
      </c>
      <c r="AQ949" s="42" t="str">
        <f>VLOOKUP(AK949,C943:Q958,9,FALSE)</f>
        <v/>
      </c>
      <c r="AR949" s="42" t="str">
        <f>VLOOKUP(AK949,C943:Q958,10,FALSE)</f>
        <v/>
      </c>
      <c r="AS949" s="42" t="str">
        <f>VLOOKUP(AK949,C943:Q958,11,FALSE)</f>
        <v/>
      </c>
      <c r="AT949" s="42" t="str">
        <f>VLOOKUP(AK949,C943:Q958,12,FALSE)</f>
        <v/>
      </c>
      <c r="AU949" s="42" t="str">
        <f>VLOOKUP(AK949,C943:Q958,13,FALSE)</f>
        <v/>
      </c>
      <c r="AV949" s="42" t="str">
        <f>VLOOKUP(AK949,C943:Q958,14,FALSE)</f>
        <v/>
      </c>
      <c r="AW949" s="947" t="str">
        <f>VLOOKUP(AK949,C943:Q958,15,FALSE)</f>
        <v/>
      </c>
      <c r="AX949"/>
      <c r="AY949"/>
      <c r="AZ949" s="1"/>
      <c r="BA949" s="1"/>
      <c r="BB949"/>
      <c r="BC949" s="6"/>
      <c r="BD949"/>
      <c r="BE949" s="1"/>
      <c r="BF949"/>
      <c r="BG949" s="16"/>
      <c r="BH949"/>
      <c r="BI949"/>
      <c r="BJ949"/>
      <c r="BK949"/>
      <c r="BL949"/>
      <c r="BM949"/>
      <c r="BN949"/>
      <c r="BO949"/>
      <c r="BP949"/>
      <c r="BQ949"/>
      <c r="BR949"/>
      <c r="BS949"/>
      <c r="BT949"/>
      <c r="BU949"/>
      <c r="BV949"/>
      <c r="BW949"/>
      <c r="BX949"/>
      <c r="BY949"/>
      <c r="BZ949"/>
      <c r="CA949" s="1396"/>
      <c r="CB949" s="1396"/>
      <c r="CC949"/>
      <c r="CD949"/>
      <c r="CE949"/>
    </row>
    <row r="950" spans="1:83" outlineLevel="1" x14ac:dyDescent="0.2">
      <c r="A950"/>
      <c r="B950" s="945">
        <v>8</v>
      </c>
      <c r="C950" s="977" t="str">
        <f>IF(AK942="","",RANK(F950,F943:F958)*1000+ROW())</f>
        <v/>
      </c>
      <c r="D950" s="978" t="str">
        <f t="shared" si="576"/>
        <v/>
      </c>
      <c r="E950" s="978" t="str">
        <f>IF(L950="","",Nb_Diff_Part(D950,D943:D958,G950,G943:G958,AI961:AI1108)*CritClassInd_DiffPart+Nb_Goal_Part(D950,D943:D958,G950,G943:G958,V961:Z1108)*CritClassInd_GoalPart+Nb_Score_Part(D950,D943:D958,G950,G943:G958,V961:Z1108)*CritClassInd_ScorePart)</f>
        <v/>
      </c>
      <c r="F950" s="979" t="str">
        <f t="shared" si="577"/>
        <v/>
      </c>
      <c r="G950" s="39" t="s">
        <v>3914</v>
      </c>
      <c r="H950" s="501">
        <f t="shared" si="574"/>
        <v>0</v>
      </c>
      <c r="I950" s="39"/>
      <c r="J950" s="977" t="str">
        <f>IF(AK942="","",(L950*Points_Victoire)+M950*Points_Null)</f>
        <v/>
      </c>
      <c r="K950" s="988" t="str">
        <f t="shared" si="575"/>
        <v/>
      </c>
      <c r="L950" s="988" t="str">
        <f>IF(AK942="","",COUNTIF(AE961:AE1108,G950))</f>
        <v/>
      </c>
      <c r="M950" s="988" t="str">
        <f>IF(AK942="","",COUNTIF(AF961:AG1108,G950))</f>
        <v/>
      </c>
      <c r="N950" s="988" t="str">
        <f>IF(AK942="","",COUNTIF(AH961:AH1108,G950))</f>
        <v/>
      </c>
      <c r="O950" s="988" t="str">
        <f>IF(AK942="","",SUMIF(V961:V1108,G950,AB961:AB1108)+SUMIF(Z961:Z1108,G950,AD961:AD1108))</f>
        <v/>
      </c>
      <c r="P950" s="988" t="str">
        <f>IF(AK942="","",SUMIF(V961:V1108,G950,AD961:AD1108)+SUMIF(Z961:Z1108,G950,AB961:AB1108))</f>
        <v/>
      </c>
      <c r="Q950" s="989" t="str">
        <f>IF(AK942="","",O950-P950)</f>
        <v/>
      </c>
      <c r="R950"/>
      <c r="S950"/>
      <c r="T950"/>
      <c r="U950"/>
      <c r="V950"/>
      <c r="W950" s="1"/>
      <c r="X950" s="1"/>
      <c r="Y950" s="1"/>
      <c r="Z950"/>
      <c r="AB950" s="964"/>
      <c r="AC950" s="964"/>
      <c r="AD950" s="964"/>
      <c r="AE950" s="964"/>
      <c r="AF950" s="964"/>
      <c r="AG950" s="964"/>
      <c r="AH950" s="964"/>
      <c r="AI950" s="964"/>
      <c r="AJ950" s="964"/>
      <c r="AK950" s="968" t="str">
        <f>IF(AK942="","",SMALL(C943:C958,8))</f>
        <v/>
      </c>
      <c r="AL950"/>
      <c r="AM950" s="16"/>
      <c r="AN950" s="946" t="str">
        <f>IF(AK942="","",INT(AK950/1000))</f>
        <v/>
      </c>
      <c r="AO950" s="42" t="str">
        <f>IF(AK942="","",VLOOKUP(AK950,C943:Q958,5,FALSE))</f>
        <v/>
      </c>
      <c r="AP950" s="42" t="str">
        <f>VLOOKUP(AK950,C943:Q958,8,FALSE)</f>
        <v/>
      </c>
      <c r="AQ950" s="42" t="str">
        <f>VLOOKUP(AK950,C943:Q958,9,FALSE)</f>
        <v/>
      </c>
      <c r="AR950" s="42" t="str">
        <f>VLOOKUP(AK950,C943:Q958,10,FALSE)</f>
        <v/>
      </c>
      <c r="AS950" s="42" t="str">
        <f>VLOOKUP(AK950,C943:Q958,11,FALSE)</f>
        <v/>
      </c>
      <c r="AT950" s="42" t="str">
        <f>VLOOKUP(AK950,C943:Q958,12,FALSE)</f>
        <v/>
      </c>
      <c r="AU950" s="42" t="str">
        <f>VLOOKUP(AK950,C943:Q958,13,FALSE)</f>
        <v/>
      </c>
      <c r="AV950" s="42" t="str">
        <f>VLOOKUP(AK950,C943:Q958,14,FALSE)</f>
        <v/>
      </c>
      <c r="AW950" s="947" t="str">
        <f>VLOOKUP(AK950,C943:Q958,15,FALSE)</f>
        <v/>
      </c>
      <c r="AX950"/>
      <c r="AY950"/>
      <c r="AZ950" s="1"/>
      <c r="BA950" s="1"/>
      <c r="BB950"/>
      <c r="BC950" s="6"/>
      <c r="BD950"/>
      <c r="BE950" s="1"/>
      <c r="BF950"/>
      <c r="BG950" s="16"/>
      <c r="BH950"/>
      <c r="BI950"/>
      <c r="BJ950"/>
      <c r="BK950"/>
      <c r="BL950"/>
      <c r="BM950"/>
      <c r="BN950"/>
      <c r="BO950"/>
      <c r="BP950"/>
      <c r="BQ950"/>
      <c r="BR950"/>
      <c r="BS950"/>
      <c r="BT950"/>
      <c r="BU950"/>
      <c r="BV950"/>
      <c r="BW950"/>
      <c r="BX950"/>
      <c r="BY950"/>
      <c r="BZ950"/>
      <c r="CA950" s="1396"/>
      <c r="CB950" s="1396"/>
      <c r="CC950"/>
      <c r="CD950"/>
      <c r="CE950"/>
    </row>
    <row r="951" spans="1:83" outlineLevel="1" x14ac:dyDescent="0.2">
      <c r="A951"/>
      <c r="B951" s="945">
        <v>9</v>
      </c>
      <c r="C951" s="977" t="str">
        <f>IF(AK942="","",RANK(F951,F943:F958)*1000+ROW())</f>
        <v/>
      </c>
      <c r="D951" s="978" t="str">
        <f t="shared" si="576"/>
        <v/>
      </c>
      <c r="E951" s="978" t="str">
        <f>IF(L951="","",Nb_Diff_Part(D951,D943:D958,G951,G943:G958,AI961:AI1108)*CritClassInd_DiffPart+Nb_Goal_Part(D951,D943:D958,G951,G943:G958,V961:Z1108)*CritClassInd_GoalPart+Nb_Score_Part(D951,D943:D958,G951,G943:G958,V961:Z1108)*CritClassInd_ScorePart)</f>
        <v/>
      </c>
      <c r="F951" s="979" t="str">
        <f t="shared" si="577"/>
        <v/>
      </c>
      <c r="G951" s="39" t="s">
        <v>3915</v>
      </c>
      <c r="H951" s="501">
        <f t="shared" si="574"/>
        <v>0</v>
      </c>
      <c r="I951" s="39"/>
      <c r="J951" s="977" t="str">
        <f>IF(AK942="","",(L951*Points_Victoire)+M951*Points_Null)</f>
        <v/>
      </c>
      <c r="K951" s="988" t="str">
        <f t="shared" si="575"/>
        <v/>
      </c>
      <c r="L951" s="988" t="str">
        <f>IF(AK942="","",COUNTIF(AE961:AE1108,G951))</f>
        <v/>
      </c>
      <c r="M951" s="988" t="str">
        <f>IF(AK942="","",COUNTIF(AF961:AG1108,G951))</f>
        <v/>
      </c>
      <c r="N951" s="988" t="str">
        <f>IF(AK942="","",COUNTIF(AH961:AH1108,G951))</f>
        <v/>
      </c>
      <c r="O951" s="988" t="str">
        <f>IF(AK942="","",SUMIF(V961:V1108,G951,AB961:AB1108)+SUMIF(Z961:Z1108,G951,AD961:AD1108))</f>
        <v/>
      </c>
      <c r="P951" s="988" t="str">
        <f>IF(AK942="","",SUMIF(V961:V1108,G951,AD961:AD1108)+SUMIF(Z961:Z1108,G951,AB961:AB1108))</f>
        <v/>
      </c>
      <c r="Q951" s="989" t="str">
        <f>IF(AK942="","",O951-P951)</f>
        <v/>
      </c>
      <c r="R951"/>
      <c r="S951"/>
      <c r="T951"/>
      <c r="U951"/>
      <c r="V951"/>
      <c r="W951" s="1"/>
      <c r="X951" s="1"/>
      <c r="Y951" s="1"/>
      <c r="Z951"/>
      <c r="AB951" s="964"/>
      <c r="AC951" s="964"/>
      <c r="AD951" s="964"/>
      <c r="AE951" s="964"/>
      <c r="AF951" s="964"/>
      <c r="AG951" s="964"/>
      <c r="AH951" s="964"/>
      <c r="AI951" s="964"/>
      <c r="AJ951" s="964"/>
      <c r="AK951" s="968" t="str">
        <f>IF(AK942="","",SMALL(C943:C958,9))</f>
        <v/>
      </c>
      <c r="AL951"/>
      <c r="AM951" s="16"/>
      <c r="AN951" s="946" t="str">
        <f>IF(AK942="","",INT(AK951/1000))</f>
        <v/>
      </c>
      <c r="AO951" s="42" t="str">
        <f>IF(AK942="","",VLOOKUP(AK951,C943:Q958,5,FALSE))</f>
        <v/>
      </c>
      <c r="AP951" s="42" t="str">
        <f>VLOOKUP(AK951,C943:Q958,8,FALSE)</f>
        <v/>
      </c>
      <c r="AQ951" s="42" t="str">
        <f>VLOOKUP(AK951,C943:Q958,9,FALSE)</f>
        <v/>
      </c>
      <c r="AR951" s="42" t="str">
        <f>VLOOKUP(AK951,C943:Q958,10,FALSE)</f>
        <v/>
      </c>
      <c r="AS951" s="42" t="str">
        <f>VLOOKUP(AK951,C943:Q958,11,FALSE)</f>
        <v/>
      </c>
      <c r="AT951" s="42" t="str">
        <f>VLOOKUP(AK951,C943:Q958,12,FALSE)</f>
        <v/>
      </c>
      <c r="AU951" s="42" t="str">
        <f>VLOOKUP(AK951,C943:Q958,13,FALSE)</f>
        <v/>
      </c>
      <c r="AV951" s="42" t="str">
        <f>VLOOKUP(AK951,C943:Q958,14,FALSE)</f>
        <v/>
      </c>
      <c r="AW951" s="947" t="str">
        <f>VLOOKUP(AK951,C943:Q958,15,FALSE)</f>
        <v/>
      </c>
      <c r="AX951"/>
      <c r="AY951"/>
      <c r="AZ951" s="1"/>
      <c r="BA951" s="1"/>
      <c r="BB951"/>
      <c r="BC951" s="6"/>
      <c r="BD951"/>
      <c r="BE951" s="1"/>
      <c r="BF951"/>
      <c r="BG951" s="16"/>
      <c r="BH951"/>
      <c r="BI951"/>
      <c r="BJ951"/>
      <c r="BK951"/>
      <c r="BL951"/>
      <c r="BM951"/>
      <c r="BN951"/>
      <c r="BO951"/>
      <c r="BP951"/>
      <c r="BQ951"/>
      <c r="BR951"/>
      <c r="BS951"/>
      <c r="BT951"/>
      <c r="BU951"/>
      <c r="BV951"/>
      <c r="BW951"/>
      <c r="BX951"/>
      <c r="BY951"/>
      <c r="BZ951"/>
      <c r="CA951" s="1396"/>
      <c r="CB951" s="1396"/>
      <c r="CC951"/>
      <c r="CD951"/>
      <c r="CE951"/>
    </row>
    <row r="952" spans="1:83" outlineLevel="1" x14ac:dyDescent="0.2">
      <c r="A952"/>
      <c r="B952" s="945">
        <v>10</v>
      </c>
      <c r="C952" s="977" t="str">
        <f>IF(AK942="","",RANK(F952,F943:F958)*1000+ROW())</f>
        <v/>
      </c>
      <c r="D952" s="978" t="str">
        <f t="shared" si="576"/>
        <v/>
      </c>
      <c r="E952" s="978" t="str">
        <f>IF(L952="","",Nb_Diff_Part(D952,D943:D958,G952,G943:G958,AI961:AI1108)*CritClassInd_DiffPart+Nb_Goal_Part(D952,D943:D958,G952,G943:G958,V961:Z1108)*CritClassInd_GoalPart+Nb_Score_Part(D952,D943:D958,G952,G943:G958,V961:Z1108)*CritClassInd_ScorePart)</f>
        <v/>
      </c>
      <c r="F952" s="979" t="str">
        <f t="shared" si="577"/>
        <v/>
      </c>
      <c r="G952" s="39" t="s">
        <v>789</v>
      </c>
      <c r="H952" s="501">
        <f t="shared" si="574"/>
        <v>0</v>
      </c>
      <c r="I952" s="39"/>
      <c r="J952" s="977" t="str">
        <f>IF(AK942="","",(L952*Points_Victoire)+M952*Points_Null)</f>
        <v/>
      </c>
      <c r="K952" s="988" t="str">
        <f t="shared" si="575"/>
        <v/>
      </c>
      <c r="L952" s="988" t="str">
        <f>IF(AK942="","",COUNTIF(AE961:AE1108,G952))</f>
        <v/>
      </c>
      <c r="M952" s="988" t="str">
        <f>IF(AK942="","",COUNTIF(AF961:AG1108,G952))</f>
        <v/>
      </c>
      <c r="N952" s="988" t="str">
        <f>IF(AK942="","",COUNTIF(AH961:AH1108,G952))</f>
        <v/>
      </c>
      <c r="O952" s="988" t="str">
        <f>IF(AK942="","",SUMIF(V961:V1108,G952,AB961:AB1108)+SUMIF(Z961:Z1108,G952,AD961:AD1108))</f>
        <v/>
      </c>
      <c r="P952" s="988" t="str">
        <f>IF(AK942="","",SUMIF(V961:V1108,G952,AD961:AD1108)+SUMIF(Z961:Z1108,G952,AB961:AB1108))</f>
        <v/>
      </c>
      <c r="Q952" s="989" t="str">
        <f>IF(AK942="","",O952-P952)</f>
        <v/>
      </c>
      <c r="R952"/>
      <c r="S952"/>
      <c r="T952"/>
      <c r="U952"/>
      <c r="V952"/>
      <c r="W952" s="1"/>
      <c r="X952" s="1"/>
      <c r="Y952" s="1"/>
      <c r="Z952"/>
      <c r="AB952" s="964"/>
      <c r="AC952" s="964"/>
      <c r="AD952" s="964"/>
      <c r="AE952" s="964"/>
      <c r="AF952" s="964"/>
      <c r="AG952" s="964"/>
      <c r="AH952" s="964"/>
      <c r="AI952" s="964"/>
      <c r="AJ952" s="964"/>
      <c r="AK952" s="968" t="str">
        <f>IF(AK942="","",SMALL(C943:C958,10))</f>
        <v/>
      </c>
      <c r="AL952"/>
      <c r="AM952" s="16"/>
      <c r="AN952" s="946" t="str">
        <f>IF(AK942="","",INT(AK952/1000))</f>
        <v/>
      </c>
      <c r="AO952" s="42" t="str">
        <f>IF(AK942="","",VLOOKUP(AK952,C943:Q958,5,FALSE))</f>
        <v/>
      </c>
      <c r="AP952" s="42" t="str">
        <f>VLOOKUP(AK952,C943:Q958,8,FALSE)</f>
        <v/>
      </c>
      <c r="AQ952" s="42" t="str">
        <f>VLOOKUP(AK952,C943:Q958,9,FALSE)</f>
        <v/>
      </c>
      <c r="AR952" s="42" t="str">
        <f>VLOOKUP(AK952,C943:Q958,10,FALSE)</f>
        <v/>
      </c>
      <c r="AS952" s="42" t="str">
        <f>VLOOKUP(AK952,C943:Q958,11,FALSE)</f>
        <v/>
      </c>
      <c r="AT952" s="42" t="str">
        <f>VLOOKUP(AK952,C943:Q958,12,FALSE)</f>
        <v/>
      </c>
      <c r="AU952" s="42" t="str">
        <f>VLOOKUP(AK952,C943:Q958,13,FALSE)</f>
        <v/>
      </c>
      <c r="AV952" s="42" t="str">
        <f>VLOOKUP(AK952,C943:Q958,14,FALSE)</f>
        <v/>
      </c>
      <c r="AW952" s="947" t="str">
        <f>VLOOKUP(AK952,C943:Q958,15,FALSE)</f>
        <v/>
      </c>
      <c r="AX952"/>
      <c r="AY952"/>
      <c r="AZ952" s="1"/>
      <c r="BA952" s="1"/>
      <c r="BB952"/>
      <c r="BC952" s="6"/>
      <c r="BD952"/>
      <c r="BE952" s="1"/>
      <c r="BF952"/>
      <c r="BG952" s="16"/>
      <c r="BH952"/>
      <c r="BI952"/>
      <c r="BJ952"/>
      <c r="BK952"/>
      <c r="BL952"/>
      <c r="BM952"/>
      <c r="BN952"/>
      <c r="BO952"/>
      <c r="BP952"/>
      <c r="BQ952"/>
      <c r="BR952"/>
      <c r="BS952"/>
      <c r="BT952"/>
      <c r="BU952"/>
      <c r="BV952"/>
      <c r="BW952"/>
      <c r="BX952"/>
      <c r="BY952"/>
      <c r="BZ952"/>
      <c r="CA952" s="1396"/>
      <c r="CB952" s="1396"/>
      <c r="CC952"/>
      <c r="CD952"/>
      <c r="CE952"/>
    </row>
    <row r="953" spans="1:83" outlineLevel="1" x14ac:dyDescent="0.2">
      <c r="A953"/>
      <c r="B953" s="945">
        <v>11</v>
      </c>
      <c r="C953" s="977" t="str">
        <f>IF(AK942="","",RANK(F953,F943:F958)*1000+ROW())</f>
        <v/>
      </c>
      <c r="D953" s="978" t="str">
        <f t="shared" si="576"/>
        <v/>
      </c>
      <c r="E953" s="978" t="str">
        <f>IF(L953="","",Nb_Diff_Part(D953,D943:D958,G953,G943:G958,AI961:AI1108)*CritClassInd_DiffPart+Nb_Goal_Part(D953,D943:D958,G953,G943:G958,V961:Z1108)*CritClassInd_GoalPart+Nb_Score_Part(D953,D943:D958,G953,G943:G958,V961:Z1108)*CritClassInd_ScorePart)</f>
        <v/>
      </c>
      <c r="F953" s="979" t="str">
        <f t="shared" si="577"/>
        <v/>
      </c>
      <c r="G953" s="39" t="s">
        <v>3916</v>
      </c>
      <c r="H953" s="501">
        <f t="shared" si="574"/>
        <v>0</v>
      </c>
      <c r="I953" s="39"/>
      <c r="J953" s="977" t="str">
        <f>IF(AK942="","",(L953*Points_Victoire)+M953*Points_Null)</f>
        <v/>
      </c>
      <c r="K953" s="988" t="str">
        <f t="shared" si="575"/>
        <v/>
      </c>
      <c r="L953" s="988" t="str">
        <f>IF(AK942="","",COUNTIF(AE961:AE1108,G953))</f>
        <v/>
      </c>
      <c r="M953" s="988" t="str">
        <f>IF(AK942="","",COUNTIF(AF961:AG1108,G953))</f>
        <v/>
      </c>
      <c r="N953" s="988" t="str">
        <f>IF(AK942="","",COUNTIF(AH961:AH1108,G953))</f>
        <v/>
      </c>
      <c r="O953" s="988" t="str">
        <f>IF(AK942="","",SUMIF(V961:V1108,G953,AB961:AB1108)+SUMIF(Z961:Z1108,G953,AD961:AD1108))</f>
        <v/>
      </c>
      <c r="P953" s="988" t="str">
        <f>IF(AK942="","",SUMIF(V961:V1108,G953,AD961:AD1108)+SUMIF(Z961:Z1108,G953,AB961:AB1108))</f>
        <v/>
      </c>
      <c r="Q953" s="989" t="str">
        <f>IF(AK942="","",O953-P953)</f>
        <v/>
      </c>
      <c r="R953"/>
      <c r="S953"/>
      <c r="T953"/>
      <c r="U953"/>
      <c r="V953"/>
      <c r="W953" s="1"/>
      <c r="X953" s="1"/>
      <c r="Y953" s="1"/>
      <c r="Z953"/>
      <c r="AB953" s="964"/>
      <c r="AC953" s="964"/>
      <c r="AD953" s="964"/>
      <c r="AE953" s="964"/>
      <c r="AF953" s="964"/>
      <c r="AG953" s="964"/>
      <c r="AH953" s="964"/>
      <c r="AI953" s="964"/>
      <c r="AJ953" s="964"/>
      <c r="AK953" s="968" t="str">
        <f>IF(AK942="","",SMALL(C943:C958,11))</f>
        <v/>
      </c>
      <c r="AL953"/>
      <c r="AM953" s="16"/>
      <c r="AN953" s="946" t="str">
        <f>IF(AK942="","",INT(AK953/1000))</f>
        <v/>
      </c>
      <c r="AO953" s="42" t="str">
        <f>IF(AK942="","",VLOOKUP(AK953,C943:Q958,5,FALSE))</f>
        <v/>
      </c>
      <c r="AP953" s="42" t="str">
        <f>VLOOKUP(AK953,C943:Q958,8,FALSE)</f>
        <v/>
      </c>
      <c r="AQ953" s="42" t="str">
        <f>VLOOKUP(AK953,C943:Q958,9,FALSE)</f>
        <v/>
      </c>
      <c r="AR953" s="42" t="str">
        <f>VLOOKUP(AK953,C943:Q958,10,FALSE)</f>
        <v/>
      </c>
      <c r="AS953" s="42" t="str">
        <f>VLOOKUP(AK953,C943:Q958,11,FALSE)</f>
        <v/>
      </c>
      <c r="AT953" s="42" t="str">
        <f>VLOOKUP(AK953,C943:Q958,12,FALSE)</f>
        <v/>
      </c>
      <c r="AU953" s="42" t="str">
        <f>VLOOKUP(AK953,C943:Q958,13,FALSE)</f>
        <v/>
      </c>
      <c r="AV953" s="42" t="str">
        <f>VLOOKUP(AK953,C943:Q958,14,FALSE)</f>
        <v/>
      </c>
      <c r="AW953" s="947" t="str">
        <f>VLOOKUP(AK953,C943:Q958,15,FALSE)</f>
        <v/>
      </c>
      <c r="AX953"/>
      <c r="AY953"/>
      <c r="AZ953" s="1"/>
      <c r="BA953" s="1"/>
      <c r="BB953"/>
      <c r="BC953" s="6"/>
      <c r="BD953"/>
      <c r="BE953" s="1"/>
      <c r="BF953"/>
      <c r="BG953" s="16"/>
      <c r="BH953"/>
      <c r="BI953"/>
      <c r="BJ953"/>
      <c r="BK953"/>
      <c r="BL953"/>
      <c r="BM953"/>
      <c r="BN953"/>
      <c r="BO953"/>
      <c r="BP953"/>
      <c r="BQ953"/>
      <c r="BR953"/>
      <c r="BS953"/>
      <c r="BT953"/>
      <c r="BU953"/>
      <c r="BV953"/>
      <c r="BW953"/>
      <c r="BX953"/>
      <c r="BY953"/>
      <c r="BZ953"/>
      <c r="CA953" s="1396"/>
      <c r="CB953" s="1396"/>
      <c r="CC953"/>
      <c r="CD953"/>
      <c r="CE953"/>
    </row>
    <row r="954" spans="1:83" outlineLevel="1" x14ac:dyDescent="0.2">
      <c r="A954"/>
      <c r="B954" s="945">
        <v>12</v>
      </c>
      <c r="C954" s="977" t="str">
        <f>IF(AK942="","",RANK(F954,F943:F958)*1000+ROW())</f>
        <v/>
      </c>
      <c r="D954" s="978" t="str">
        <f t="shared" si="576"/>
        <v/>
      </c>
      <c r="E954" s="978" t="str">
        <f>IF(L954="","",Nb_Diff_Part(D954,D943:D958,G954,G943:G958,AI961:AI1108)*CritClassInd_DiffPart+Nb_Goal_Part(D954,D943:D958,G954,G943:G958,V961:Z1108)*CritClassInd_GoalPart+Nb_Score_Part(D954,D943:D958,G954,G943:G958,V961:Z1108)*CritClassInd_ScorePart)</f>
        <v/>
      </c>
      <c r="F954" s="979" t="str">
        <f t="shared" si="577"/>
        <v/>
      </c>
      <c r="G954" s="39" t="s">
        <v>1545</v>
      </c>
      <c r="H954" s="501">
        <f t="shared" si="574"/>
        <v>0</v>
      </c>
      <c r="I954" s="39"/>
      <c r="J954" s="977" t="str">
        <f>IF(AK942="","",(L954*Points_Victoire)+M954*Points_Null)</f>
        <v/>
      </c>
      <c r="K954" s="988" t="str">
        <f t="shared" si="575"/>
        <v/>
      </c>
      <c r="L954" s="988" t="str">
        <f>IF(AK942="","",COUNTIF(AE961:AE1108,G954))</f>
        <v/>
      </c>
      <c r="M954" s="988" t="str">
        <f>IF(AK942="","",COUNTIF(AF961:AG1108,G954))</f>
        <v/>
      </c>
      <c r="N954" s="988" t="str">
        <f>IF(AK942="","",COUNTIF(AH961:AH1108,G954))</f>
        <v/>
      </c>
      <c r="O954" s="988" t="str">
        <f>IF(AK942="","",SUMIF(V961:V1108,G954,AB961:AB1108)+SUMIF(Z961:Z1108,G954,AD961:AD1108))</f>
        <v/>
      </c>
      <c r="P954" s="988" t="str">
        <f>IF(AK942="","",SUMIF(V961:V1108,G954,AD961:AD1108)+SUMIF(Z961:Z1108,G954,AB961:AB1108))</f>
        <v/>
      </c>
      <c r="Q954" s="989" t="str">
        <f>IF(AK942="","",O954-P954)</f>
        <v/>
      </c>
      <c r="R954"/>
      <c r="S954"/>
      <c r="T954"/>
      <c r="U954"/>
      <c r="V954"/>
      <c r="W954" s="1"/>
      <c r="X954" s="1"/>
      <c r="Y954" s="1"/>
      <c r="Z954"/>
      <c r="AB954" s="964"/>
      <c r="AC954" s="964"/>
      <c r="AD954" s="964"/>
      <c r="AE954" s="964"/>
      <c r="AF954" s="964"/>
      <c r="AG954" s="964"/>
      <c r="AH954" s="964"/>
      <c r="AI954" s="964"/>
      <c r="AJ954" s="964"/>
      <c r="AK954" s="968" t="str">
        <f>IF(AK942="","",SMALL(C943:C958,12))</f>
        <v/>
      </c>
      <c r="AL954"/>
      <c r="AM954" s="16"/>
      <c r="AN954" s="946" t="str">
        <f>IF(AK942="","",INT(AK954/1000))</f>
        <v/>
      </c>
      <c r="AO954" s="42" t="str">
        <f>IF(AK942="","",VLOOKUP(AK954,C943:Q958,5,FALSE))</f>
        <v/>
      </c>
      <c r="AP954" s="42" t="str">
        <f>VLOOKUP(AK954,C943:Q958,8,FALSE)</f>
        <v/>
      </c>
      <c r="AQ954" s="42" t="str">
        <f>VLOOKUP(AK954,C943:Q958,9,FALSE)</f>
        <v/>
      </c>
      <c r="AR954" s="42" t="str">
        <f>VLOOKUP(AK954,C943:Q958,10,FALSE)</f>
        <v/>
      </c>
      <c r="AS954" s="42" t="str">
        <f>VLOOKUP(AK954,C943:Q958,11,FALSE)</f>
        <v/>
      </c>
      <c r="AT954" s="42" t="str">
        <f>VLOOKUP(AK954,C943:Q958,12,FALSE)</f>
        <v/>
      </c>
      <c r="AU954" s="42" t="str">
        <f>VLOOKUP(AK954,C943:Q958,13,FALSE)</f>
        <v/>
      </c>
      <c r="AV954" s="42" t="str">
        <f>VLOOKUP(AK954,C943:Q958,14,FALSE)</f>
        <v/>
      </c>
      <c r="AW954" s="947" t="str">
        <f>VLOOKUP(AK954,C943:Q958,15,FALSE)</f>
        <v/>
      </c>
      <c r="AX954"/>
      <c r="AY954"/>
      <c r="AZ954" s="1"/>
      <c r="BA954" s="1"/>
      <c r="BB954"/>
      <c r="BC954" s="6"/>
      <c r="BD954"/>
      <c r="BE954" s="1"/>
      <c r="BF954"/>
      <c r="BG954" s="16"/>
      <c r="BH954"/>
      <c r="BI954"/>
      <c r="BJ954"/>
      <c r="BK954"/>
      <c r="BL954"/>
      <c r="BM954"/>
      <c r="BN954"/>
      <c r="BO954"/>
      <c r="BP954"/>
      <c r="BQ954"/>
      <c r="BR954"/>
      <c r="BS954"/>
      <c r="BT954"/>
      <c r="BU954"/>
      <c r="BV954"/>
      <c r="BW954"/>
      <c r="BX954"/>
      <c r="BY954"/>
      <c r="BZ954"/>
      <c r="CA954" s="1396"/>
      <c r="CB954" s="1396"/>
      <c r="CC954"/>
      <c r="CD954"/>
      <c r="CE954"/>
    </row>
    <row r="955" spans="1:83" outlineLevel="1" x14ac:dyDescent="0.2">
      <c r="A955"/>
      <c r="B955" s="945">
        <v>13</v>
      </c>
      <c r="C955" s="977" t="str">
        <f>IF(AK942="","",RANK(F955,F943:F958)*1000+ROW())</f>
        <v/>
      </c>
      <c r="D955" s="978" t="str">
        <f t="shared" si="576"/>
        <v/>
      </c>
      <c r="E955" s="978" t="str">
        <f>IF(L955="","",Nb_Diff_Part(D955,D943:D958,G955,G943:G958,AI961:AI1108)*CritClassInd_DiffPart+Nb_Goal_Part(D955,D943:D958,G955,G943:G958,V961:Z1108)*CritClassInd_GoalPart+Nb_Score_Part(D955,D943:D958,G955,G943:G958,V961:Z1108)*CritClassInd_ScorePart)</f>
        <v/>
      </c>
      <c r="F955" s="979" t="str">
        <f t="shared" si="577"/>
        <v/>
      </c>
      <c r="G955" s="39" t="s">
        <v>3917</v>
      </c>
      <c r="H955" s="501">
        <f t="shared" si="574"/>
        <v>0</v>
      </c>
      <c r="I955" s="39"/>
      <c r="J955" s="977" t="str">
        <f>IF(AK942="","",(L955*Points_Victoire)+M955*Points_Null)</f>
        <v/>
      </c>
      <c r="K955" s="988" t="str">
        <f t="shared" si="575"/>
        <v/>
      </c>
      <c r="L955" s="988" t="str">
        <f>IF(AK942="","",COUNTIF(AE961:AE1108,G955))</f>
        <v/>
      </c>
      <c r="M955" s="988" t="str">
        <f>IF(AK942="","",COUNTIF(AF961:AG1108,G955))</f>
        <v/>
      </c>
      <c r="N955" s="988" t="str">
        <f>IF(AK942="","",COUNTIF(AH961:AH1108,G955))</f>
        <v/>
      </c>
      <c r="O955" s="988" t="str">
        <f>IF(AK942="","",SUMIF(V961:V1108,G955,AB961:AB1108)+SUMIF(Z961:Z1108,G955,AD961:AD1108))</f>
        <v/>
      </c>
      <c r="P955" s="988" t="str">
        <f>IF(AK942="","",SUMIF(V961:V1108,G955,AD961:AD1108)+SUMIF(Z961:Z1108,G955,AB961:AB1108))</f>
        <v/>
      </c>
      <c r="Q955" s="989" t="str">
        <f>IF(AK942="","",O955-P955)</f>
        <v/>
      </c>
      <c r="R955"/>
      <c r="S955"/>
      <c r="T955"/>
      <c r="U955"/>
      <c r="V955"/>
      <c r="W955" s="1"/>
      <c r="X955" s="1"/>
      <c r="Y955" s="1"/>
      <c r="Z955"/>
      <c r="AB955" s="964"/>
      <c r="AC955" s="964"/>
      <c r="AD955" s="964"/>
      <c r="AE955" s="964"/>
      <c r="AF955" s="964"/>
      <c r="AG955" s="964"/>
      <c r="AH955" s="964"/>
      <c r="AI955" s="964"/>
      <c r="AJ955" s="964"/>
      <c r="AK955" s="968" t="str">
        <f>IF(AK942="","",SMALL(C943:C958,13))</f>
        <v/>
      </c>
      <c r="AL955"/>
      <c r="AM955" s="16"/>
      <c r="AN955" s="946" t="str">
        <f>IF(AK942="","",INT(AK955/1000))</f>
        <v/>
      </c>
      <c r="AO955" s="42" t="str">
        <f>IF(AK942="","",VLOOKUP(AK955,C943:Q958,5,FALSE))</f>
        <v/>
      </c>
      <c r="AP955" s="42" t="str">
        <f>VLOOKUP(AK955,C943:Q958,8,FALSE)</f>
        <v/>
      </c>
      <c r="AQ955" s="42" t="str">
        <f>VLOOKUP(AK955,C943:Q958,9,FALSE)</f>
        <v/>
      </c>
      <c r="AR955" s="42" t="str">
        <f>VLOOKUP(AK955,C943:Q958,10,FALSE)</f>
        <v/>
      </c>
      <c r="AS955" s="42" t="str">
        <f>VLOOKUP(AK955,C943:Q958,11,FALSE)</f>
        <v/>
      </c>
      <c r="AT955" s="42" t="str">
        <f>VLOOKUP(AK955,C943:Q958,12,FALSE)</f>
        <v/>
      </c>
      <c r="AU955" s="42" t="str">
        <f>VLOOKUP(AK955,C943:Q958,13,FALSE)</f>
        <v/>
      </c>
      <c r="AV955" s="42" t="str">
        <f>VLOOKUP(AK955,C943:Q958,14,FALSE)</f>
        <v/>
      </c>
      <c r="AW955" s="947" t="str">
        <f>VLOOKUP(AK955,C943:Q958,15,FALSE)</f>
        <v/>
      </c>
      <c r="AX955"/>
      <c r="AY955"/>
      <c r="AZ955" s="1"/>
      <c r="BA955" s="1"/>
      <c r="BB955"/>
      <c r="BC955" s="6"/>
      <c r="BD955"/>
      <c r="BE955" s="1"/>
      <c r="BF955"/>
      <c r="BG955" s="16"/>
      <c r="BH955"/>
      <c r="BI955"/>
      <c r="BJ955"/>
      <c r="BK955"/>
      <c r="BL955"/>
      <c r="BM955"/>
      <c r="BN955"/>
      <c r="BO955"/>
      <c r="BP955"/>
      <c r="BQ955"/>
      <c r="BR955"/>
      <c r="BS955"/>
      <c r="BT955"/>
      <c r="BU955"/>
      <c r="BV955"/>
      <c r="BW955"/>
      <c r="BX955"/>
      <c r="BY955"/>
      <c r="BZ955"/>
      <c r="CA955" s="1396"/>
      <c r="CB955" s="1396"/>
      <c r="CC955"/>
      <c r="CD955"/>
      <c r="CE955"/>
    </row>
    <row r="956" spans="1:83" outlineLevel="1" x14ac:dyDescent="0.2">
      <c r="A956"/>
      <c r="B956" s="945">
        <v>14</v>
      </c>
      <c r="C956" s="977" t="str">
        <f>IF(AK942="","",RANK(F956,F943:F958)*1000+ROW())</f>
        <v/>
      </c>
      <c r="D956" s="978" t="str">
        <f t="shared" si="576"/>
        <v/>
      </c>
      <c r="E956" s="978" t="str">
        <f>IF(L956="","",Nb_Diff_Part(D956,D943:D958,G956,G943:G958,AI961:AI1108)*CritClassInd_DiffPart+Nb_Goal_Part(D956,D943:D958,G956,G943:G958,V961:Z1108)*CritClassInd_GoalPart+Nb_Score_Part(D956,D943:D958,G956,G943:G958,V961:Z1108)*CritClassInd_ScorePart)</f>
        <v/>
      </c>
      <c r="F956" s="979" t="str">
        <f t="shared" si="577"/>
        <v/>
      </c>
      <c r="G956" s="39" t="s">
        <v>791</v>
      </c>
      <c r="H956" s="501">
        <f t="shared" si="574"/>
        <v>0</v>
      </c>
      <c r="I956" s="39"/>
      <c r="J956" s="977" t="str">
        <f>IF(AK942="","",(L956*Points_Victoire)+M956*Points_Null)</f>
        <v/>
      </c>
      <c r="K956" s="988" t="str">
        <f t="shared" si="575"/>
        <v/>
      </c>
      <c r="L956" s="988" t="str">
        <f>IF(AK942="","",COUNTIF(AE961:AE1108,G956))</f>
        <v/>
      </c>
      <c r="M956" s="988" t="str">
        <f>IF(AK942="","",COUNTIF(AF961:AG1108,G956))</f>
        <v/>
      </c>
      <c r="N956" s="988" t="str">
        <f>IF(AK942="","",COUNTIF(AH961:AH1108,G956))</f>
        <v/>
      </c>
      <c r="O956" s="988" t="str">
        <f>IF(AK942="","",SUMIF(V961:V1108,G956,AB961:AB1108)+SUMIF(Z961:Z1108,G956,AD961:AD1108))</f>
        <v/>
      </c>
      <c r="P956" s="988" t="str">
        <f>IF(AK942="","",SUMIF(V961:V1108,G956,AD961:AD1108)+SUMIF(Z961:Z1108,G956,AB961:AB1108))</f>
        <v/>
      </c>
      <c r="Q956" s="989" t="str">
        <f>IF(AK942="","",O956-P956)</f>
        <v/>
      </c>
      <c r="R956"/>
      <c r="S956"/>
      <c r="T956"/>
      <c r="U956"/>
      <c r="V956"/>
      <c r="W956" s="1"/>
      <c r="X956" s="1"/>
      <c r="Y956" s="1"/>
      <c r="Z956"/>
      <c r="AB956" s="964"/>
      <c r="AC956" s="964"/>
      <c r="AD956" s="964"/>
      <c r="AE956" s="964"/>
      <c r="AF956" s="964"/>
      <c r="AG956" s="964"/>
      <c r="AH956" s="964"/>
      <c r="AI956" s="964"/>
      <c r="AJ956" s="964"/>
      <c r="AK956" s="968" t="str">
        <f>IF(AK942="","",SMALL(C943:C958,14))</f>
        <v/>
      </c>
      <c r="AL956"/>
      <c r="AM956" s="16"/>
      <c r="AN956" s="946" t="str">
        <f>IF(AK942="","",INT(AK956/1000))</f>
        <v/>
      </c>
      <c r="AO956" s="42" t="str">
        <f>IF(AK942="","",VLOOKUP(AK956,C943:Q958,5,FALSE))</f>
        <v/>
      </c>
      <c r="AP956" s="42" t="str">
        <f>VLOOKUP(AK956,C943:Q958,8,FALSE)</f>
        <v/>
      </c>
      <c r="AQ956" s="42" t="str">
        <f>VLOOKUP(AK956,C943:Q958,9,FALSE)</f>
        <v/>
      </c>
      <c r="AR956" s="42" t="str">
        <f>VLOOKUP(AK956,C943:Q958,10,FALSE)</f>
        <v/>
      </c>
      <c r="AS956" s="42" t="str">
        <f>VLOOKUP(AK956,C943:Q958,11,FALSE)</f>
        <v/>
      </c>
      <c r="AT956" s="42" t="str">
        <f>VLOOKUP(AK956,C943:Q958,12,FALSE)</f>
        <v/>
      </c>
      <c r="AU956" s="42" t="str">
        <f>VLOOKUP(AK956,C943:Q958,13,FALSE)</f>
        <v/>
      </c>
      <c r="AV956" s="42" t="str">
        <f>VLOOKUP(AK956,C943:Q958,14,FALSE)</f>
        <v/>
      </c>
      <c r="AW956" s="947" t="str">
        <f>VLOOKUP(AK956,C943:Q958,15,FALSE)</f>
        <v/>
      </c>
      <c r="AX956"/>
      <c r="AY956"/>
      <c r="AZ956" s="1"/>
      <c r="BA956" s="1"/>
      <c r="BB956"/>
      <c r="BC956" s="6"/>
      <c r="BD956"/>
      <c r="BE956" s="1"/>
      <c r="BF956"/>
      <c r="BG956" s="16"/>
      <c r="BH956"/>
      <c r="BI956"/>
      <c r="BJ956"/>
      <c r="BK956"/>
      <c r="BL956"/>
      <c r="BM956"/>
      <c r="BN956"/>
      <c r="BO956"/>
      <c r="BP956"/>
      <c r="BQ956"/>
      <c r="BR956"/>
      <c r="BS956"/>
      <c r="BT956"/>
      <c r="BU956"/>
      <c r="BV956"/>
      <c r="BW956"/>
      <c r="BX956"/>
      <c r="BY956"/>
      <c r="BZ956"/>
      <c r="CA956" s="1396"/>
      <c r="CB956" s="1396"/>
      <c r="CC956"/>
      <c r="CD956"/>
      <c r="CE956"/>
    </row>
    <row r="957" spans="1:83" outlineLevel="1" x14ac:dyDescent="0.2">
      <c r="A957"/>
      <c r="B957" s="945">
        <v>15</v>
      </c>
      <c r="C957" s="977" t="str">
        <f>IF(AK942="","",RANK(F957,F943:F958)*1000+ROW())</f>
        <v/>
      </c>
      <c r="D957" s="978" t="str">
        <f t="shared" si="576"/>
        <v/>
      </c>
      <c r="E957" s="978" t="str">
        <f>IF(L957="","",Nb_Diff_Part(D957,D943:D958,G957,G943:G958,AI961:AI1108)*CritClassInd_DiffPart+Nb_Goal_Part(D957,D943:D958,G957,G943:G958,V961:Z1108)*CritClassInd_GoalPart+Nb_Score_Part(D957,D943:D958,G957,G943:G958,V961:Z1108)*CritClassInd_ScorePart)</f>
        <v/>
      </c>
      <c r="F957" s="979" t="str">
        <f t="shared" si="577"/>
        <v/>
      </c>
      <c r="G957" s="39" t="s">
        <v>3918</v>
      </c>
      <c r="H957" s="501">
        <f t="shared" si="574"/>
        <v>0</v>
      </c>
      <c r="I957" s="39"/>
      <c r="J957" s="977" t="str">
        <f>IF(AK942="","",(L957*Points_Victoire)+M957*Points_Null)</f>
        <v/>
      </c>
      <c r="K957" s="988" t="str">
        <f t="shared" si="575"/>
        <v/>
      </c>
      <c r="L957" s="988" t="str">
        <f>IF(AK942="","",COUNTIF(AE961:AE1108,G957))</f>
        <v/>
      </c>
      <c r="M957" s="988" t="str">
        <f>IF(AK942="","",COUNTIF(AF961:AG1108,G957))</f>
        <v/>
      </c>
      <c r="N957" s="988" t="str">
        <f>IF(AK942="","",COUNTIF(AH961:AH1108,G957))</f>
        <v/>
      </c>
      <c r="O957" s="988" t="str">
        <f>IF(AK942="","",SUMIF(V961:V1108,G957,AB961:AB1108)+SUMIF(Z961:Z1108,G957,AD961:AD1108))</f>
        <v/>
      </c>
      <c r="P957" s="988" t="str">
        <f>IF(AK942="","",SUMIF(V961:V1108,G957,AD961:AD1108)+SUMIF(Z961:Z1108,G957,AB961:AB1108))</f>
        <v/>
      </c>
      <c r="Q957" s="989" t="str">
        <f>IF(AK942="","",O957-P957)</f>
        <v/>
      </c>
      <c r="R957"/>
      <c r="S957"/>
      <c r="T957"/>
      <c r="U957"/>
      <c r="V957"/>
      <c r="W957" s="1"/>
      <c r="X957" s="1"/>
      <c r="Y957" s="1"/>
      <c r="Z957"/>
      <c r="AB957" s="964"/>
      <c r="AC957" s="964"/>
      <c r="AD957" s="964"/>
      <c r="AE957" s="964"/>
      <c r="AF957" s="964"/>
      <c r="AG957" s="964"/>
      <c r="AH957" s="964"/>
      <c r="AI957" s="964"/>
      <c r="AJ957" s="964"/>
      <c r="AK957" s="968" t="str">
        <f>IF(AK942="","",SMALL(C943:C958,15))</f>
        <v/>
      </c>
      <c r="AL957"/>
      <c r="AM957" s="16"/>
      <c r="AN957" s="946" t="str">
        <f>IF(AK942="","",INT(AK957/1000))</f>
        <v/>
      </c>
      <c r="AO957" s="42" t="str">
        <f>IF(AK942="","",VLOOKUP(AK957,C943:Q958,5,FALSE))</f>
        <v/>
      </c>
      <c r="AP957" s="42" t="str">
        <f>VLOOKUP(AK957,C943:Q958,8,FALSE)</f>
        <v/>
      </c>
      <c r="AQ957" s="42" t="str">
        <f>VLOOKUP(AK957,C943:Q958,9,FALSE)</f>
        <v/>
      </c>
      <c r="AR957" s="42" t="str">
        <f>VLOOKUP(AK957,C943:Q958,10,FALSE)</f>
        <v/>
      </c>
      <c r="AS957" s="42" t="str">
        <f>VLOOKUP(AK957,C943:Q958,11,FALSE)</f>
        <v/>
      </c>
      <c r="AT957" s="42" t="str">
        <f>VLOOKUP(AK957,C943:Q958,12,FALSE)</f>
        <v/>
      </c>
      <c r="AU957" s="42" t="str">
        <f>VLOOKUP(AK957,C943:Q958,13,FALSE)</f>
        <v/>
      </c>
      <c r="AV957" s="42" t="str">
        <f>VLOOKUP(AK957,C943:Q958,14,FALSE)</f>
        <v/>
      </c>
      <c r="AW957" s="947" t="str">
        <f>VLOOKUP(AK957,C943:Q958,15,FALSE)</f>
        <v/>
      </c>
      <c r="AX957"/>
      <c r="AY957"/>
      <c r="AZ957" s="1"/>
      <c r="BA957" s="1"/>
      <c r="BB957"/>
      <c r="BC957" s="6"/>
      <c r="BD957"/>
      <c r="BE957" s="1"/>
      <c r="BF957"/>
      <c r="BG957" s="16"/>
      <c r="BH957"/>
      <c r="BI957"/>
      <c r="BJ957"/>
      <c r="BK957"/>
      <c r="BL957"/>
      <c r="BM957"/>
      <c r="BN957"/>
      <c r="BO957"/>
      <c r="BP957"/>
      <c r="BQ957"/>
      <c r="BR957"/>
      <c r="BS957"/>
      <c r="BT957"/>
      <c r="BU957"/>
      <c r="BV957"/>
      <c r="BW957"/>
      <c r="BX957"/>
      <c r="BY957"/>
      <c r="BZ957"/>
      <c r="CA957" s="1396"/>
      <c r="CB957" s="1396"/>
      <c r="CC957"/>
      <c r="CD957"/>
      <c r="CE957"/>
    </row>
    <row r="958" spans="1:83" ht="13.5" outlineLevel="1" thickBot="1" x14ac:dyDescent="0.25">
      <c r="A958"/>
      <c r="B958" s="945">
        <v>16</v>
      </c>
      <c r="C958" s="977" t="str">
        <f>IF(AK942="","",RANK(F958,F943:F958)*1000+ROW())</f>
        <v/>
      </c>
      <c r="D958" s="978" t="str">
        <f t="shared" si="576"/>
        <v/>
      </c>
      <c r="E958" s="978" t="str">
        <f>IF(L958="","",Nb_Diff_Part(D958,D943:D958,G958,G943:G958,AI961:AI1108)*CritClassInd_DiffPart+Nb_Goal_Part(D958,D943:D958,G958,G943:G958,V961:Z1108)*CritClassInd_GoalPart+Nb_Score_Part(D958,D943:D958,G958,G943:G958,V961:Z1108)*CritClassInd_ScorePart)</f>
        <v/>
      </c>
      <c r="F958" s="979" t="str">
        <f t="shared" si="577"/>
        <v/>
      </c>
      <c r="G958" s="39" t="s">
        <v>792</v>
      </c>
      <c r="H958" s="501">
        <f t="shared" si="574"/>
        <v>0</v>
      </c>
      <c r="I958" s="39"/>
      <c r="J958" s="977" t="str">
        <f>IF(AK942="","",(L958*Points_Victoire)+M958*Points_Null)</f>
        <v/>
      </c>
      <c r="K958" s="988" t="str">
        <f t="shared" si="575"/>
        <v/>
      </c>
      <c r="L958" s="988" t="str">
        <f>IF(AK942="","",COUNTIF(AE961:AE1108,G958))</f>
        <v/>
      </c>
      <c r="M958" s="988" t="str">
        <f>IF(AK942="","",COUNTIF(AF961:AG1108,G958))</f>
        <v/>
      </c>
      <c r="N958" s="988" t="str">
        <f>IF(AK942="","",COUNTIF(AH961:AH1108,G958))</f>
        <v/>
      </c>
      <c r="O958" s="988" t="str">
        <f>IF(AK942="","",SUMIF(V961:V1108,G958,AB961:AB1108)+SUMIF(Z961:Z1108,G958,AD961:AD1108))</f>
        <v/>
      </c>
      <c r="P958" s="988" t="str">
        <f>IF(AK942="","",SUMIF(V961:V1108,G958,AD961:AD1108)+SUMIF(Z961:Z1108,G958,AB961:AB1108))</f>
        <v/>
      </c>
      <c r="Q958" s="989" t="str">
        <f>IF(AK942="","",O958-P958)</f>
        <v/>
      </c>
      <c r="R958"/>
      <c r="S958"/>
      <c r="T958"/>
      <c r="U958"/>
      <c r="V958"/>
      <c r="W958" s="1"/>
      <c r="X958" s="1"/>
      <c r="Y958" s="1"/>
      <c r="Z958"/>
      <c r="AB958" s="964"/>
      <c r="AC958" s="964"/>
      <c r="AD958" s="964"/>
      <c r="AE958" s="964"/>
      <c r="AF958" s="964"/>
      <c r="AG958" s="964"/>
      <c r="AH958" s="964"/>
      <c r="AI958" s="964"/>
      <c r="AJ958" s="964"/>
      <c r="AK958" s="968" t="str">
        <f>IF(AK942="","",SMALL(C943:C958,16))</f>
        <v/>
      </c>
      <c r="AL958"/>
      <c r="AM958" s="16"/>
      <c r="AN958" s="946" t="str">
        <f>IF(AK942="","",INT(AK958/1000))</f>
        <v/>
      </c>
      <c r="AO958" s="42" t="str">
        <f>IF(AK942="","",VLOOKUP(AK958,C943:Q958,5,FALSE))</f>
        <v/>
      </c>
      <c r="AP958" s="42" t="str">
        <f>VLOOKUP(AK958,C943:Q958,8,FALSE)</f>
        <v/>
      </c>
      <c r="AQ958" s="42" t="str">
        <f>VLOOKUP(AK958,C943:Q958,9,FALSE)</f>
        <v/>
      </c>
      <c r="AR958" s="42" t="str">
        <f>VLOOKUP(AK958,C943:Q958,10,FALSE)</f>
        <v/>
      </c>
      <c r="AS958" s="42" t="str">
        <f>VLOOKUP(AK958,C943:Q958,11,FALSE)</f>
        <v/>
      </c>
      <c r="AT958" s="42" t="str">
        <f>VLOOKUP(AK958,C943:Q958,12,FALSE)</f>
        <v/>
      </c>
      <c r="AU958" s="42" t="str">
        <f>VLOOKUP(AK958,C943:Q958,13,FALSE)</f>
        <v/>
      </c>
      <c r="AV958" s="42" t="str">
        <f>VLOOKUP(AK958,C943:Q958,14,FALSE)</f>
        <v/>
      </c>
      <c r="AW958" s="947" t="str">
        <f>VLOOKUP(AK958,C943:Q958,15,FALSE)</f>
        <v/>
      </c>
      <c r="AX958"/>
      <c r="AY958"/>
      <c r="AZ958" s="1"/>
      <c r="BA958" s="1"/>
      <c r="BB958"/>
      <c r="BC958" s="6"/>
      <c r="BD958"/>
      <c r="BE958" s="1"/>
      <c r="BF958"/>
      <c r="BG958" s="16"/>
      <c r="BH958"/>
      <c r="BI958"/>
      <c r="BJ958"/>
      <c r="BK958"/>
      <c r="BL958"/>
      <c r="BM958"/>
      <c r="BN958"/>
      <c r="BO958"/>
      <c r="BP958"/>
      <c r="BQ958"/>
      <c r="BR958"/>
      <c r="BS958"/>
      <c r="BT958"/>
      <c r="BU958"/>
      <c r="BV958"/>
      <c r="BW958"/>
      <c r="BX958"/>
      <c r="BY958"/>
      <c r="BZ958"/>
      <c r="CA958" s="1396"/>
      <c r="CB958" s="1396"/>
      <c r="CC958"/>
      <c r="CD958"/>
      <c r="CE958"/>
    </row>
    <row r="959" spans="1:83" ht="13.5" outlineLevel="1" thickBot="1" x14ac:dyDescent="0.25">
      <c r="A959"/>
      <c r="B959" s="1"/>
      <c r="C959" s="1"/>
      <c r="D959" s="76"/>
      <c r="E959" s="76"/>
      <c r="F959" s="76"/>
      <c r="G959" s="9"/>
      <c r="H959" s="9"/>
      <c r="I959" s="1"/>
      <c r="J959"/>
      <c r="K959"/>
      <c r="L959"/>
      <c r="M959"/>
      <c r="N959"/>
      <c r="O959"/>
      <c r="P959" s="89"/>
      <c r="Q959"/>
      <c r="R959" s="1"/>
      <c r="S959" s="993">
        <v>1</v>
      </c>
      <c r="T959" s="961"/>
      <c r="U959" s="961"/>
      <c r="V959" s="961"/>
      <c r="W959" s="960"/>
      <c r="X959" s="960"/>
      <c r="Y959" s="960"/>
      <c r="Z959" s="962"/>
      <c r="AA959" s="123"/>
      <c r="AB959" s="1461" t="str">
        <f>IF(MaxScore,N_MaxScore,"")</f>
        <v>Score Max</v>
      </c>
      <c r="AC959" s="1461"/>
      <c r="AD959" s="1461"/>
      <c r="AE959" s="964"/>
      <c r="AF959" s="964"/>
      <c r="AG959" s="964"/>
      <c r="AH959" s="964"/>
      <c r="AI959" s="964"/>
      <c r="AJ959" s="964"/>
      <c r="AK959" s="964"/>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s="1396"/>
      <c r="CB959" s="1396"/>
      <c r="CC959"/>
      <c r="CD959"/>
      <c r="CE959"/>
    </row>
    <row r="960" spans="1:83" ht="13.9" customHeight="1" outlineLevel="2" thickBot="1" x14ac:dyDescent="0.25">
      <c r="A960"/>
      <c r="B960" s="1"/>
      <c r="C960"/>
      <c r="D960"/>
      <c r="E960"/>
      <c r="F960"/>
      <c r="G960" s="1"/>
      <c r="H960" s="1"/>
      <c r="I960"/>
      <c r="J960"/>
      <c r="K960"/>
      <c r="L960"/>
      <c r="M960"/>
      <c r="N960"/>
      <c r="O960"/>
      <c r="P960"/>
      <c r="Q960"/>
      <c r="S960" s="18" t="str">
        <f>N_Heure</f>
        <v>Heure</v>
      </c>
      <c r="T960" s="22" t="str">
        <f>N_Table</f>
        <v>Table</v>
      </c>
      <c r="U960" s="952" t="str">
        <f>N_Arbitre</f>
        <v>Arbitre</v>
      </c>
      <c r="V960" s="293" t="str">
        <f>N_Matches</f>
        <v>Matches</v>
      </c>
      <c r="W960" s="294"/>
      <c r="X960" s="294"/>
      <c r="Y960" s="294"/>
      <c r="Z960" s="295"/>
      <c r="AA960" s="8"/>
      <c r="AB960" s="967"/>
      <c r="AC960" s="967"/>
      <c r="AD960" s="967"/>
      <c r="AE960" s="964"/>
      <c r="AF960" s="964"/>
      <c r="AG960" s="964"/>
      <c r="AH960" s="964"/>
      <c r="AI960" s="964"/>
      <c r="AJ960" s="964"/>
      <c r="AK960" s="964"/>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s="1396"/>
      <c r="CB960" s="1396"/>
      <c r="CC960"/>
      <c r="CD960"/>
      <c r="CE960"/>
    </row>
    <row r="961" spans="1:83" ht="13.15" customHeight="1" outlineLevel="2" x14ac:dyDescent="0.2">
      <c r="A961"/>
      <c r="B961" s="1"/>
      <c r="C961"/>
      <c r="D961"/>
      <c r="E961"/>
      <c r="F961"/>
      <c r="G961" s="1"/>
      <c r="H961" s="1"/>
      <c r="I961"/>
      <c r="J961"/>
      <c r="K961"/>
      <c r="L961"/>
      <c r="M961"/>
      <c r="N961"/>
      <c r="O961"/>
      <c r="P961"/>
      <c r="Q961"/>
      <c r="R961" s="558" t="s">
        <v>1726</v>
      </c>
      <c r="S961" s="65"/>
      <c r="T961" s="953"/>
      <c r="U961" s="954"/>
      <c r="V961" s="34" t="str">
        <f>IF(G943="","",G943)</f>
        <v>A</v>
      </c>
      <c r="W961" s="148"/>
      <c r="X961" s="35" t="s">
        <v>769</v>
      </c>
      <c r="Y961" s="148"/>
      <c r="Z961" s="36" t="str">
        <f>IF(G944="","",G944)</f>
        <v>B</v>
      </c>
      <c r="AA961" s="123"/>
      <c r="AB961" s="1459">
        <f t="shared" ref="AB961:AB968" si="578">IF(MaxScore,MaxGoals(W961,Y961,MaxGoalsValue),IF(W961="","",W961))</f>
        <v>0</v>
      </c>
      <c r="AC961" s="1460" t="str">
        <f t="shared" ref="AC961:AC968" si="579">IF(MaxScore,"-",IF(W961="","","-"))</f>
        <v>-</v>
      </c>
      <c r="AD961" s="1459">
        <f t="shared" ref="AD961:AD968" si="580">IF(MaxScore,MaxGoals(Y961,W961,MaxGoalsValue),IF(Y961="","",Y961))</f>
        <v>0</v>
      </c>
      <c r="AE961" s="964" t="str">
        <f t="shared" ref="AE961:AE968" si="581">IF(W961="","",IF(W961&gt;Y961,V961,IF(W961=Y961,"",Z961)))</f>
        <v/>
      </c>
      <c r="AF961" s="964" t="str">
        <f t="shared" ref="AF961:AF968" si="582">IF(W961="","",IF(W961=Y961,V961,""))</f>
        <v/>
      </c>
      <c r="AG961" s="964" t="str">
        <f t="shared" ref="AG961:AG968" si="583">IF(W961="","",IF(W961=Y961,Z961,""))</f>
        <v/>
      </c>
      <c r="AH961" s="964" t="str">
        <f t="shared" ref="AH961:AH968" si="584">IF(W961="","",IF(W961&lt;Y961,V961,IF(W961=Y961,"",Z961)))</f>
        <v/>
      </c>
      <c r="AI961" s="964" t="str">
        <f t="shared" ref="AI961:AI968" si="585">CONCATENATE(AE961,AH961)</f>
        <v/>
      </c>
      <c r="AJ961" s="964"/>
      <c r="AK961" s="964"/>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s="1396"/>
      <c r="CB961" s="1396"/>
      <c r="CC961"/>
      <c r="CD961"/>
      <c r="CE961"/>
    </row>
    <row r="962" spans="1:83" ht="13.15" customHeight="1" outlineLevel="2" x14ac:dyDescent="0.2">
      <c r="A962"/>
      <c r="B962" s="1"/>
      <c r="C962"/>
      <c r="D962"/>
      <c r="E962"/>
      <c r="F962"/>
      <c r="G962" s="1"/>
      <c r="H962" s="1"/>
      <c r="I962"/>
      <c r="J962"/>
      <c r="K962"/>
      <c r="L962"/>
      <c r="M962"/>
      <c r="N962"/>
      <c r="O962"/>
      <c r="P962"/>
      <c r="Q962"/>
      <c r="R962" s="558" t="s">
        <v>1726</v>
      </c>
      <c r="S962" s="83"/>
      <c r="T962" s="56"/>
      <c r="U962" s="955"/>
      <c r="V962" s="43" t="str">
        <f>IF(G945="","",G945)</f>
        <v>C</v>
      </c>
      <c r="W962" s="10"/>
      <c r="X962" s="45" t="s">
        <v>769</v>
      </c>
      <c r="Y962" s="10"/>
      <c r="Z962" s="46" t="str">
        <f>IF(G946="","",G946)</f>
        <v>D</v>
      </c>
      <c r="AA962" s="123"/>
      <c r="AB962" s="1459">
        <f t="shared" si="578"/>
        <v>0</v>
      </c>
      <c r="AC962" s="1460" t="str">
        <f t="shared" si="579"/>
        <v>-</v>
      </c>
      <c r="AD962" s="1459">
        <f t="shared" si="580"/>
        <v>0</v>
      </c>
      <c r="AE962" s="964" t="str">
        <f t="shared" si="581"/>
        <v/>
      </c>
      <c r="AF962" s="964" t="str">
        <f t="shared" si="582"/>
        <v/>
      </c>
      <c r="AG962" s="964" t="str">
        <f t="shared" si="583"/>
        <v/>
      </c>
      <c r="AH962" s="964" t="str">
        <f t="shared" si="584"/>
        <v/>
      </c>
      <c r="AI962" s="964" t="str">
        <f t="shared" si="585"/>
        <v/>
      </c>
      <c r="AJ962" s="964"/>
      <c r="AK962" s="964"/>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s="1396"/>
      <c r="CB962" s="1396"/>
      <c r="CC962"/>
      <c r="CD962"/>
      <c r="CE962"/>
    </row>
    <row r="963" spans="1:83" ht="13.15" customHeight="1" outlineLevel="2" x14ac:dyDescent="0.2">
      <c r="A963"/>
      <c r="B963" s="1"/>
      <c r="C963"/>
      <c r="D963"/>
      <c r="E963"/>
      <c r="F963"/>
      <c r="G963" s="1"/>
      <c r="H963" s="1"/>
      <c r="I963"/>
      <c r="J963"/>
      <c r="K963"/>
      <c r="L963"/>
      <c r="M963"/>
      <c r="N963"/>
      <c r="O963"/>
      <c r="P963"/>
      <c r="Q963"/>
      <c r="R963" s="558" t="s">
        <v>1726</v>
      </c>
      <c r="S963" s="83"/>
      <c r="T963" s="56"/>
      <c r="U963" s="955"/>
      <c r="V963" s="43" t="str">
        <f>IF(G947="","",G947)</f>
        <v>E</v>
      </c>
      <c r="W963" s="10"/>
      <c r="X963" s="45" t="s">
        <v>769</v>
      </c>
      <c r="Y963" s="10"/>
      <c r="Z963" s="46" t="str">
        <f>IF(G948="","",G948)</f>
        <v>F</v>
      </c>
      <c r="AA963" s="123"/>
      <c r="AB963" s="1459">
        <f t="shared" si="578"/>
        <v>0</v>
      </c>
      <c r="AC963" s="1460" t="str">
        <f t="shared" si="579"/>
        <v>-</v>
      </c>
      <c r="AD963" s="1459">
        <f t="shared" si="580"/>
        <v>0</v>
      </c>
      <c r="AE963" s="964" t="str">
        <f t="shared" si="581"/>
        <v/>
      </c>
      <c r="AF963" s="964" t="str">
        <f t="shared" si="582"/>
        <v/>
      </c>
      <c r="AG963" s="964" t="str">
        <f t="shared" si="583"/>
        <v/>
      </c>
      <c r="AH963" s="964" t="str">
        <f t="shared" si="584"/>
        <v/>
      </c>
      <c r="AI963" s="964" t="str">
        <f t="shared" si="585"/>
        <v/>
      </c>
      <c r="AJ963" s="964"/>
      <c r="AK963" s="964"/>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s="1396"/>
      <c r="CB963" s="1396"/>
      <c r="CC963"/>
      <c r="CD963"/>
      <c r="CE963"/>
    </row>
    <row r="964" spans="1:83" ht="13.15" customHeight="1" outlineLevel="2" x14ac:dyDescent="0.2">
      <c r="A964"/>
      <c r="B964" s="1"/>
      <c r="C964"/>
      <c r="D964"/>
      <c r="E964"/>
      <c r="F964"/>
      <c r="G964" s="1"/>
      <c r="H964" s="1"/>
      <c r="I964"/>
      <c r="J964"/>
      <c r="K964"/>
      <c r="L964"/>
      <c r="M964"/>
      <c r="N964"/>
      <c r="O964"/>
      <c r="P964"/>
      <c r="Q964"/>
      <c r="R964" s="558" t="s">
        <v>1726</v>
      </c>
      <c r="S964" s="83"/>
      <c r="T964" s="56"/>
      <c r="U964" s="955"/>
      <c r="V964" s="43" t="str">
        <f>IF(G949="","",G949)</f>
        <v>G</v>
      </c>
      <c r="W964" s="10"/>
      <c r="X964" s="45" t="s">
        <v>769</v>
      </c>
      <c r="Y964" s="10"/>
      <c r="Z964" s="46" t="str">
        <f>IF(G950="","",G950)</f>
        <v>H</v>
      </c>
      <c r="AA964" s="123"/>
      <c r="AB964" s="1459">
        <f t="shared" si="578"/>
        <v>0</v>
      </c>
      <c r="AC964" s="1460" t="str">
        <f t="shared" si="579"/>
        <v>-</v>
      </c>
      <c r="AD964" s="1459">
        <f t="shared" si="580"/>
        <v>0</v>
      </c>
      <c r="AE964" s="964" t="str">
        <f t="shared" si="581"/>
        <v/>
      </c>
      <c r="AF964" s="964" t="str">
        <f t="shared" si="582"/>
        <v/>
      </c>
      <c r="AG964" s="964" t="str">
        <f t="shared" si="583"/>
        <v/>
      </c>
      <c r="AH964" s="964" t="str">
        <f t="shared" si="584"/>
        <v/>
      </c>
      <c r="AI964" s="964" t="str">
        <f t="shared" si="585"/>
        <v/>
      </c>
      <c r="AJ964" s="964"/>
      <c r="AK964" s="964"/>
      <c r="AL964"/>
      <c r="AM964"/>
      <c r="AN964"/>
      <c r="AO964"/>
      <c r="AP964"/>
      <c r="AQ964"/>
      <c r="AR964"/>
      <c r="AS964"/>
      <c r="AT964"/>
      <c r="AU964"/>
      <c r="AV964"/>
      <c r="AW964"/>
      <c r="AX964" s="9"/>
      <c r="AY964"/>
      <c r="AZ964"/>
      <c r="BA964"/>
      <c r="BB964"/>
      <c r="BC964"/>
      <c r="BD964"/>
      <c r="BE964"/>
      <c r="BF964"/>
      <c r="BG964"/>
      <c r="BH964"/>
      <c r="BI964"/>
      <c r="BJ964"/>
      <c r="BK964"/>
      <c r="BL964"/>
      <c r="BM964"/>
      <c r="BN964"/>
      <c r="BO964"/>
      <c r="BP964"/>
      <c r="BQ964"/>
      <c r="BR964"/>
      <c r="BS964"/>
      <c r="BT964"/>
      <c r="BU964"/>
      <c r="BV964"/>
      <c r="BW964"/>
      <c r="BX964"/>
      <c r="BY964"/>
      <c r="BZ964"/>
      <c r="CA964" s="1396"/>
      <c r="CB964" s="1396"/>
      <c r="CC964"/>
      <c r="CD964"/>
      <c r="CE964"/>
    </row>
    <row r="965" spans="1:83" ht="13.15" customHeight="1" outlineLevel="2" x14ac:dyDescent="0.2">
      <c r="A965"/>
      <c r="B965" s="1"/>
      <c r="C965"/>
      <c r="D965"/>
      <c r="E965"/>
      <c r="F965"/>
      <c r="G965" s="1"/>
      <c r="H965" s="1"/>
      <c r="I965"/>
      <c r="J965"/>
      <c r="K965"/>
      <c r="L965"/>
      <c r="M965"/>
      <c r="N965"/>
      <c r="O965"/>
      <c r="P965"/>
      <c r="Q965"/>
      <c r="R965" s="558" t="s">
        <v>1726</v>
      </c>
      <c r="S965" s="83"/>
      <c r="T965" s="56"/>
      <c r="U965" s="955"/>
      <c r="V965" s="43" t="str">
        <f>IF(G951="","",G951)</f>
        <v>I</v>
      </c>
      <c r="W965" s="10"/>
      <c r="X965" s="45" t="s">
        <v>769</v>
      </c>
      <c r="Y965" s="10"/>
      <c r="Z965" s="46" t="str">
        <f>IF(G952="","",G952)</f>
        <v>J</v>
      </c>
      <c r="AA965" s="123"/>
      <c r="AB965" s="1459">
        <f t="shared" si="578"/>
        <v>0</v>
      </c>
      <c r="AC965" s="1460" t="str">
        <f t="shared" si="579"/>
        <v>-</v>
      </c>
      <c r="AD965" s="1459">
        <f t="shared" si="580"/>
        <v>0</v>
      </c>
      <c r="AE965" s="964" t="str">
        <f t="shared" si="581"/>
        <v/>
      </c>
      <c r="AF965" s="964" t="str">
        <f t="shared" si="582"/>
        <v/>
      </c>
      <c r="AG965" s="964" t="str">
        <f t="shared" si="583"/>
        <v/>
      </c>
      <c r="AH965" s="964" t="str">
        <f t="shared" si="584"/>
        <v/>
      </c>
      <c r="AI965" s="964" t="str">
        <f t="shared" si="585"/>
        <v/>
      </c>
      <c r="AJ965" s="964"/>
      <c r="AK965" s="964"/>
      <c r="AL965"/>
      <c r="AM965"/>
      <c r="AN965"/>
      <c r="AO965"/>
      <c r="AP965"/>
      <c r="AQ965"/>
      <c r="AR965"/>
      <c r="AS965"/>
      <c r="AT965"/>
      <c r="AU965"/>
      <c r="AV965"/>
      <c r="AW965" s="9"/>
      <c r="AX965" s="9"/>
      <c r="AY965"/>
      <c r="AZ965"/>
      <c r="BA965"/>
      <c r="BB965"/>
      <c r="BC965"/>
      <c r="BD965"/>
      <c r="BE965"/>
      <c r="BF965"/>
      <c r="BG965"/>
      <c r="BH965"/>
      <c r="BI965"/>
      <c r="BJ965"/>
      <c r="BK965"/>
      <c r="BL965"/>
      <c r="BM965"/>
      <c r="BN965"/>
      <c r="BO965"/>
      <c r="BP965"/>
      <c r="BQ965"/>
      <c r="BR965"/>
      <c r="BS965"/>
      <c r="BT965"/>
      <c r="BU965"/>
      <c r="BV965"/>
      <c r="BW965"/>
      <c r="BX965"/>
      <c r="BY965"/>
      <c r="BZ965"/>
      <c r="CA965" s="1396"/>
      <c r="CB965" s="1396"/>
      <c r="CC965"/>
      <c r="CD965"/>
      <c r="CE965"/>
    </row>
    <row r="966" spans="1:83" ht="13.15" customHeight="1" outlineLevel="2" x14ac:dyDescent="0.2">
      <c r="A966"/>
      <c r="B966" s="1"/>
      <c r="C966"/>
      <c r="D966"/>
      <c r="E966"/>
      <c r="F966"/>
      <c r="G966" s="1"/>
      <c r="H966" s="1"/>
      <c r="I966"/>
      <c r="J966"/>
      <c r="K966"/>
      <c r="L966"/>
      <c r="M966"/>
      <c r="N966"/>
      <c r="O966"/>
      <c r="P966"/>
      <c r="Q966"/>
      <c r="R966" s="558" t="s">
        <v>1726</v>
      </c>
      <c r="S966" s="83"/>
      <c r="T966" s="56"/>
      <c r="U966" s="955"/>
      <c r="V966" s="43" t="str">
        <f>IF(G953="","",G953)</f>
        <v>K</v>
      </c>
      <c r="W966" s="10"/>
      <c r="X966" s="45" t="s">
        <v>769</v>
      </c>
      <c r="Y966" s="10"/>
      <c r="Z966" s="46" t="str">
        <f>IF(G954="","",G954)</f>
        <v>L</v>
      </c>
      <c r="AA966" s="123"/>
      <c r="AB966" s="1459">
        <f t="shared" si="578"/>
        <v>0</v>
      </c>
      <c r="AC966" s="1460" t="str">
        <f t="shared" si="579"/>
        <v>-</v>
      </c>
      <c r="AD966" s="1459">
        <f t="shared" si="580"/>
        <v>0</v>
      </c>
      <c r="AE966" s="964" t="str">
        <f t="shared" si="581"/>
        <v/>
      </c>
      <c r="AF966" s="964" t="str">
        <f t="shared" si="582"/>
        <v/>
      </c>
      <c r="AG966" s="964" t="str">
        <f t="shared" si="583"/>
        <v/>
      </c>
      <c r="AH966" s="964" t="str">
        <f t="shared" si="584"/>
        <v/>
      </c>
      <c r="AI966" s="964" t="str">
        <f t="shared" si="585"/>
        <v/>
      </c>
      <c r="AJ966" s="964"/>
      <c r="AK966" s="964"/>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s="1396"/>
      <c r="CB966" s="1396"/>
      <c r="CC966"/>
      <c r="CD966"/>
      <c r="CE966"/>
    </row>
    <row r="967" spans="1:83" ht="13.15" customHeight="1" outlineLevel="2" x14ac:dyDescent="0.2">
      <c r="A967"/>
      <c r="B967" s="1"/>
      <c r="C967"/>
      <c r="D967"/>
      <c r="E967"/>
      <c r="F967"/>
      <c r="G967" s="1"/>
      <c r="H967" s="1"/>
      <c r="I967"/>
      <c r="J967"/>
      <c r="K967"/>
      <c r="L967"/>
      <c r="M967"/>
      <c r="N967"/>
      <c r="O967"/>
      <c r="P967"/>
      <c r="Q967"/>
      <c r="R967" s="558" t="s">
        <v>1726</v>
      </c>
      <c r="S967" s="83"/>
      <c r="T967" s="56"/>
      <c r="U967" s="955"/>
      <c r="V967" s="43" t="str">
        <f>IF(G955="","",G955)</f>
        <v>M</v>
      </c>
      <c r="W967" s="10"/>
      <c r="X967" s="45" t="s">
        <v>769</v>
      </c>
      <c r="Y967" s="10"/>
      <c r="Z967" s="46" t="str">
        <f>IF(G956="","",G956)</f>
        <v>N</v>
      </c>
      <c r="AA967" s="123"/>
      <c r="AB967" s="1459">
        <f t="shared" si="578"/>
        <v>0</v>
      </c>
      <c r="AC967" s="1460" t="str">
        <f t="shared" si="579"/>
        <v>-</v>
      </c>
      <c r="AD967" s="1459">
        <f t="shared" si="580"/>
        <v>0</v>
      </c>
      <c r="AE967" s="964" t="str">
        <f t="shared" si="581"/>
        <v/>
      </c>
      <c r="AF967" s="964" t="str">
        <f t="shared" si="582"/>
        <v/>
      </c>
      <c r="AG967" s="964" t="str">
        <f t="shared" si="583"/>
        <v/>
      </c>
      <c r="AH967" s="964" t="str">
        <f t="shared" si="584"/>
        <v/>
      </c>
      <c r="AI967" s="964" t="str">
        <f t="shared" si="585"/>
        <v/>
      </c>
      <c r="AJ967" s="964"/>
      <c r="AK967" s="964"/>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s="1396"/>
      <c r="CB967" s="1396"/>
      <c r="CC967"/>
      <c r="CD967"/>
      <c r="CE967"/>
    </row>
    <row r="968" spans="1:83" ht="13.15" customHeight="1" outlineLevel="2" thickBot="1" x14ac:dyDescent="0.25">
      <c r="A968"/>
      <c r="B968" s="1"/>
      <c r="C968"/>
      <c r="D968"/>
      <c r="E968"/>
      <c r="F968"/>
      <c r="G968" s="1"/>
      <c r="H968" s="1"/>
      <c r="I968"/>
      <c r="J968"/>
      <c r="K968"/>
      <c r="L968"/>
      <c r="M968"/>
      <c r="N968"/>
      <c r="O968"/>
      <c r="P968"/>
      <c r="Q968"/>
      <c r="R968" s="558" t="s">
        <v>1726</v>
      </c>
      <c r="S968" s="83"/>
      <c r="T968" s="56"/>
      <c r="U968" s="955"/>
      <c r="V968" s="43" t="str">
        <f>IF(G957="","",G957)</f>
        <v>O</v>
      </c>
      <c r="W968" s="10"/>
      <c r="X968" s="45" t="s">
        <v>769</v>
      </c>
      <c r="Y968" s="10"/>
      <c r="Z968" s="46" t="str">
        <f>IF(G958="","",G958)</f>
        <v>P</v>
      </c>
      <c r="AA968" s="123"/>
      <c r="AB968" s="1459">
        <f t="shared" si="578"/>
        <v>0</v>
      </c>
      <c r="AC968" s="1460" t="str">
        <f t="shared" si="579"/>
        <v>-</v>
      </c>
      <c r="AD968" s="1459">
        <f t="shared" si="580"/>
        <v>0</v>
      </c>
      <c r="AE968" s="964" t="str">
        <f t="shared" si="581"/>
        <v/>
      </c>
      <c r="AF968" s="964" t="str">
        <f t="shared" si="582"/>
        <v/>
      </c>
      <c r="AG968" s="964" t="str">
        <f t="shared" si="583"/>
        <v/>
      </c>
      <c r="AH968" s="964" t="str">
        <f t="shared" si="584"/>
        <v/>
      </c>
      <c r="AI968" s="964" t="str">
        <f t="shared" si="585"/>
        <v/>
      </c>
      <c r="AJ968" s="964"/>
      <c r="AK968" s="964"/>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s="1396"/>
      <c r="CB968" s="1396"/>
      <c r="CC968"/>
      <c r="CD968"/>
      <c r="CE968"/>
    </row>
    <row r="969" spans="1:83" ht="13.5" outlineLevel="1" thickBot="1" x14ac:dyDescent="0.25">
      <c r="A969"/>
      <c r="B969" s="1"/>
      <c r="C969" s="1"/>
      <c r="D969" s="76"/>
      <c r="E969" s="76"/>
      <c r="F969" s="76"/>
      <c r="G969" s="9"/>
      <c r="H969" s="9"/>
      <c r="I969" s="1"/>
      <c r="J969"/>
      <c r="K969"/>
      <c r="L969"/>
      <c r="M969"/>
      <c r="N969"/>
      <c r="O969"/>
      <c r="P969" s="89"/>
      <c r="Q969"/>
      <c r="R969" s="1"/>
      <c r="S969" s="993">
        <f>S959+1</f>
        <v>2</v>
      </c>
      <c r="T969" s="961"/>
      <c r="U969" s="961"/>
      <c r="V969" s="961"/>
      <c r="W969" s="960"/>
      <c r="X969" s="960"/>
      <c r="Y969" s="960"/>
      <c r="Z969" s="962"/>
      <c r="AA969" s="123"/>
      <c r="AB969" s="963"/>
      <c r="AC969" s="963"/>
      <c r="AD969" s="963"/>
      <c r="AE969" s="964"/>
      <c r="AF969" s="964"/>
      <c r="AG969" s="964"/>
      <c r="AH969" s="964"/>
      <c r="AI969" s="964"/>
      <c r="AJ969" s="964"/>
      <c r="AK969" s="964"/>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s="1396"/>
      <c r="CB969" s="1396"/>
      <c r="CC969"/>
      <c r="CD969"/>
      <c r="CE969"/>
    </row>
    <row r="970" spans="1:83" ht="13.9" customHeight="1" outlineLevel="2" thickBot="1" x14ac:dyDescent="0.25">
      <c r="A970"/>
      <c r="B970" s="1"/>
      <c r="C970"/>
      <c r="D970"/>
      <c r="E970"/>
      <c r="F970"/>
      <c r="G970" s="1"/>
      <c r="H970" s="1"/>
      <c r="I970"/>
      <c r="J970"/>
      <c r="K970"/>
      <c r="L970"/>
      <c r="M970"/>
      <c r="N970"/>
      <c r="O970"/>
      <c r="P970"/>
      <c r="Q970"/>
      <c r="S970" s="22" t="str">
        <f>N_Heure</f>
        <v>Heure</v>
      </c>
      <c r="T970" s="22" t="str">
        <f>N_Table</f>
        <v>Table</v>
      </c>
      <c r="U970" s="22" t="str">
        <f>N_Arbitre</f>
        <v>Arbitre</v>
      </c>
      <c r="V970" s="293" t="str">
        <f>N_Matches</f>
        <v>Matches</v>
      </c>
      <c r="W970" s="294"/>
      <c r="X970" s="294"/>
      <c r="Y970" s="294"/>
      <c r="Z970" s="295"/>
      <c r="AA970" s="8"/>
      <c r="AB970" s="967"/>
      <c r="AC970" s="967"/>
      <c r="AD970" s="967"/>
      <c r="AE970" s="964"/>
      <c r="AF970" s="964"/>
      <c r="AG970" s="964"/>
      <c r="AH970" s="964"/>
      <c r="AI970" s="964"/>
      <c r="AJ970" s="964"/>
      <c r="AK970" s="964"/>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s="1396"/>
      <c r="CB970" s="1396"/>
      <c r="CC970"/>
      <c r="CD970"/>
      <c r="CE970"/>
    </row>
    <row r="971" spans="1:83" ht="13.15" customHeight="1" outlineLevel="2" x14ac:dyDescent="0.2">
      <c r="A971"/>
      <c r="B971" s="1"/>
      <c r="C971"/>
      <c r="D971"/>
      <c r="E971"/>
      <c r="F971"/>
      <c r="G971" s="1"/>
      <c r="H971" s="1"/>
      <c r="I971"/>
      <c r="J971"/>
      <c r="K971"/>
      <c r="L971"/>
      <c r="M971"/>
      <c r="N971"/>
      <c r="O971"/>
      <c r="P971"/>
      <c r="Q971"/>
      <c r="R971" s="558" t="s">
        <v>1727</v>
      </c>
      <c r="S971" s="65"/>
      <c r="T971" s="953"/>
      <c r="U971" s="954"/>
      <c r="V971" s="34" t="str">
        <f>V962</f>
        <v>C</v>
      </c>
      <c r="W971" s="148"/>
      <c r="X971" s="35" t="s">
        <v>769</v>
      </c>
      <c r="Y971" s="148"/>
      <c r="Z971" s="36" t="str">
        <f>V961</f>
        <v>A</v>
      </c>
      <c r="AA971" s="123"/>
      <c r="AB971" s="1459">
        <f t="shared" ref="AB971:AB978" si="586">IF(MaxScore,MaxGoals(W971,Y971,MaxGoalsValue),IF(W971="","",W971))</f>
        <v>0</v>
      </c>
      <c r="AC971" s="1460" t="str">
        <f t="shared" ref="AC971:AC978" si="587">IF(MaxScore,"-",IF(W971="","","-"))</f>
        <v>-</v>
      </c>
      <c r="AD971" s="1459">
        <f t="shared" ref="AD971:AD978" si="588">IF(MaxScore,MaxGoals(Y971,W971,MaxGoalsValue),IF(Y971="","",Y971))</f>
        <v>0</v>
      </c>
      <c r="AE971" s="964" t="str">
        <f t="shared" ref="AE971:AE978" si="589">IF(W971="","",IF(W971&gt;Y971,V971,IF(W971=Y971,"",Z971)))</f>
        <v/>
      </c>
      <c r="AF971" s="964" t="str">
        <f t="shared" ref="AF971:AF978" si="590">IF(W971="","",IF(W971=Y971,V971,""))</f>
        <v/>
      </c>
      <c r="AG971" s="964" t="str">
        <f t="shared" ref="AG971:AG978" si="591">IF(W971="","",IF(W971=Y971,Z971,""))</f>
        <v/>
      </c>
      <c r="AH971" s="964" t="str">
        <f t="shared" ref="AH971:AH978" si="592">IF(W971="","",IF(W971&lt;Y971,V971,IF(W971=Y971,"",Z971)))</f>
        <v/>
      </c>
      <c r="AI971" s="964" t="str">
        <f t="shared" ref="AI971:AI978" si="593">CONCATENATE(AE971,AH971)</f>
        <v/>
      </c>
      <c r="AJ971" s="964"/>
      <c r="AK971" s="964"/>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s="1396"/>
      <c r="CB971" s="1396"/>
      <c r="CC971"/>
      <c r="CD971"/>
      <c r="CE971"/>
    </row>
    <row r="972" spans="1:83" ht="13.15" customHeight="1" outlineLevel="2" x14ac:dyDescent="0.2">
      <c r="A972"/>
      <c r="B972" s="1"/>
      <c r="C972"/>
      <c r="D972"/>
      <c r="E972"/>
      <c r="F972"/>
      <c r="G972" s="1"/>
      <c r="H972" s="1"/>
      <c r="I972"/>
      <c r="J972"/>
      <c r="K972"/>
      <c r="L972"/>
      <c r="M972"/>
      <c r="N972"/>
      <c r="O972"/>
      <c r="P972"/>
      <c r="Q972"/>
      <c r="R972" s="558" t="s">
        <v>1727</v>
      </c>
      <c r="S972" s="83"/>
      <c r="T972" s="56"/>
      <c r="U972" s="955"/>
      <c r="V972" s="43" t="str">
        <f t="shared" ref="V972:V978" si="594">Z961</f>
        <v>B</v>
      </c>
      <c r="W972" s="10"/>
      <c r="X972" s="45" t="s">
        <v>769</v>
      </c>
      <c r="Y972" s="10"/>
      <c r="Z972" s="46" t="str">
        <f t="shared" ref="Z972:Z977" si="595">V963</f>
        <v>E</v>
      </c>
      <c r="AA972" s="123"/>
      <c r="AB972" s="1459">
        <f t="shared" si="586"/>
        <v>0</v>
      </c>
      <c r="AC972" s="1460" t="str">
        <f t="shared" si="587"/>
        <v>-</v>
      </c>
      <c r="AD972" s="1459">
        <f t="shared" si="588"/>
        <v>0</v>
      </c>
      <c r="AE972" s="964" t="str">
        <f t="shared" si="589"/>
        <v/>
      </c>
      <c r="AF972" s="964" t="str">
        <f t="shared" si="590"/>
        <v/>
      </c>
      <c r="AG972" s="964" t="str">
        <f t="shared" si="591"/>
        <v/>
      </c>
      <c r="AH972" s="964" t="str">
        <f t="shared" si="592"/>
        <v/>
      </c>
      <c r="AI972" s="964" t="str">
        <f t="shared" si="593"/>
        <v/>
      </c>
      <c r="AJ972" s="964"/>
      <c r="AK972" s="964"/>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s="1396"/>
      <c r="CB972" s="1396"/>
      <c r="CC972"/>
      <c r="CD972"/>
      <c r="CE972"/>
    </row>
    <row r="973" spans="1:83" ht="13.15" customHeight="1" outlineLevel="2" x14ac:dyDescent="0.2">
      <c r="A973"/>
      <c r="B973" s="1"/>
      <c r="C973"/>
      <c r="D973"/>
      <c r="E973"/>
      <c r="F973"/>
      <c r="G973" s="1"/>
      <c r="H973" s="1"/>
      <c r="I973"/>
      <c r="J973"/>
      <c r="K973"/>
      <c r="L973"/>
      <c r="M973"/>
      <c r="N973"/>
      <c r="O973"/>
      <c r="P973"/>
      <c r="Q973"/>
      <c r="R973" s="558" t="s">
        <v>1727</v>
      </c>
      <c r="S973" s="83"/>
      <c r="T973" s="56"/>
      <c r="U973" s="955"/>
      <c r="V973" s="43" t="str">
        <f t="shared" si="594"/>
        <v>D</v>
      </c>
      <c r="W973" s="10"/>
      <c r="X973" s="45" t="s">
        <v>769</v>
      </c>
      <c r="Y973" s="10"/>
      <c r="Z973" s="46" t="str">
        <f t="shared" si="595"/>
        <v>G</v>
      </c>
      <c r="AA973" s="123"/>
      <c r="AB973" s="1459">
        <f t="shared" si="586"/>
        <v>0</v>
      </c>
      <c r="AC973" s="1460" t="str">
        <f t="shared" si="587"/>
        <v>-</v>
      </c>
      <c r="AD973" s="1459">
        <f t="shared" si="588"/>
        <v>0</v>
      </c>
      <c r="AE973" s="964" t="str">
        <f t="shared" si="589"/>
        <v/>
      </c>
      <c r="AF973" s="964" t="str">
        <f t="shared" si="590"/>
        <v/>
      </c>
      <c r="AG973" s="964" t="str">
        <f t="shared" si="591"/>
        <v/>
      </c>
      <c r="AH973" s="964" t="str">
        <f t="shared" si="592"/>
        <v/>
      </c>
      <c r="AI973" s="964" t="str">
        <f t="shared" si="593"/>
        <v/>
      </c>
      <c r="AJ973" s="964"/>
      <c r="AK973" s="964"/>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s="1396"/>
      <c r="CB973" s="1396"/>
      <c r="CC973"/>
      <c r="CD973"/>
      <c r="CE973"/>
    </row>
    <row r="974" spans="1:83" ht="13.15" customHeight="1" outlineLevel="2" x14ac:dyDescent="0.2">
      <c r="A974"/>
      <c r="B974" s="1"/>
      <c r="C974"/>
      <c r="D974"/>
      <c r="E974"/>
      <c r="F974"/>
      <c r="G974" s="1"/>
      <c r="H974" s="1"/>
      <c r="I974"/>
      <c r="J974"/>
      <c r="K974"/>
      <c r="L974"/>
      <c r="M974"/>
      <c r="N974"/>
      <c r="O974"/>
      <c r="P974"/>
      <c r="Q974"/>
      <c r="R974" s="558" t="s">
        <v>1727</v>
      </c>
      <c r="S974" s="83"/>
      <c r="T974" s="56"/>
      <c r="U974" s="955"/>
      <c r="V974" s="43" t="str">
        <f t="shared" si="594"/>
        <v>F</v>
      </c>
      <c r="W974" s="10"/>
      <c r="X974" s="45" t="s">
        <v>769</v>
      </c>
      <c r="Y974" s="10"/>
      <c r="Z974" s="46" t="str">
        <f t="shared" si="595"/>
        <v>I</v>
      </c>
      <c r="AA974" s="123"/>
      <c r="AB974" s="1459">
        <f t="shared" si="586"/>
        <v>0</v>
      </c>
      <c r="AC974" s="1460" t="str">
        <f t="shared" si="587"/>
        <v>-</v>
      </c>
      <c r="AD974" s="1459">
        <f t="shared" si="588"/>
        <v>0</v>
      </c>
      <c r="AE974" s="964" t="str">
        <f t="shared" si="589"/>
        <v/>
      </c>
      <c r="AF974" s="964" t="str">
        <f t="shared" si="590"/>
        <v/>
      </c>
      <c r="AG974" s="964" t="str">
        <f t="shared" si="591"/>
        <v/>
      </c>
      <c r="AH974" s="964" t="str">
        <f t="shared" si="592"/>
        <v/>
      </c>
      <c r="AI974" s="964" t="str">
        <f t="shared" si="593"/>
        <v/>
      </c>
      <c r="AJ974" s="964"/>
      <c r="AK974" s="964"/>
      <c r="AL974"/>
      <c r="AM974"/>
      <c r="AN974"/>
      <c r="AO974"/>
      <c r="AP974"/>
      <c r="AQ974"/>
      <c r="AR974"/>
      <c r="AS974"/>
      <c r="AT974"/>
      <c r="AU974"/>
      <c r="AV974"/>
      <c r="AW974"/>
      <c r="AX974" s="9"/>
      <c r="AY974"/>
      <c r="AZ974"/>
      <c r="BA974"/>
      <c r="BB974"/>
      <c r="BC974"/>
      <c r="BD974"/>
      <c r="BE974"/>
      <c r="BF974"/>
      <c r="BG974"/>
      <c r="BH974"/>
      <c r="BI974"/>
      <c r="BJ974"/>
      <c r="BK974"/>
      <c r="BL974"/>
      <c r="BM974"/>
      <c r="BN974"/>
      <c r="BO974"/>
      <c r="BP974"/>
      <c r="BQ974"/>
      <c r="BR974"/>
      <c r="BS974"/>
      <c r="BT974"/>
      <c r="BU974"/>
      <c r="BV974"/>
      <c r="BW974"/>
      <c r="BX974"/>
      <c r="BY974"/>
      <c r="BZ974"/>
      <c r="CA974" s="1396"/>
      <c r="CB974" s="1396"/>
      <c r="CC974"/>
      <c r="CD974"/>
      <c r="CE974"/>
    </row>
    <row r="975" spans="1:83" ht="13.15" customHeight="1" outlineLevel="2" x14ac:dyDescent="0.2">
      <c r="A975"/>
      <c r="B975" s="1"/>
      <c r="C975"/>
      <c r="D975"/>
      <c r="E975"/>
      <c r="F975"/>
      <c r="G975" s="1"/>
      <c r="H975" s="1"/>
      <c r="I975"/>
      <c r="J975"/>
      <c r="K975"/>
      <c r="L975"/>
      <c r="M975"/>
      <c r="N975"/>
      <c r="O975"/>
      <c r="P975"/>
      <c r="Q975"/>
      <c r="R975" s="558" t="s">
        <v>1727</v>
      </c>
      <c r="S975" s="83"/>
      <c r="T975" s="56"/>
      <c r="U975" s="955"/>
      <c r="V975" s="43" t="str">
        <f t="shared" si="594"/>
        <v>H</v>
      </c>
      <c r="W975" s="10"/>
      <c r="X975" s="45" t="s">
        <v>769</v>
      </c>
      <c r="Y975" s="10"/>
      <c r="Z975" s="46" t="str">
        <f t="shared" si="595"/>
        <v>K</v>
      </c>
      <c r="AA975" s="123"/>
      <c r="AB975" s="1459">
        <f t="shared" si="586"/>
        <v>0</v>
      </c>
      <c r="AC975" s="1460" t="str">
        <f t="shared" si="587"/>
        <v>-</v>
      </c>
      <c r="AD975" s="1459">
        <f t="shared" si="588"/>
        <v>0</v>
      </c>
      <c r="AE975" s="964" t="str">
        <f t="shared" si="589"/>
        <v/>
      </c>
      <c r="AF975" s="964" t="str">
        <f t="shared" si="590"/>
        <v/>
      </c>
      <c r="AG975" s="964" t="str">
        <f t="shared" si="591"/>
        <v/>
      </c>
      <c r="AH975" s="964" t="str">
        <f t="shared" si="592"/>
        <v/>
      </c>
      <c r="AI975" s="964" t="str">
        <f t="shared" si="593"/>
        <v/>
      </c>
      <c r="AJ975" s="964"/>
      <c r="AK975" s="964"/>
      <c r="AL975"/>
      <c r="AM975"/>
      <c r="AN975"/>
      <c r="AO975"/>
      <c r="AP975"/>
      <c r="AQ975"/>
      <c r="AR975"/>
      <c r="AS975"/>
      <c r="AT975"/>
      <c r="AU975"/>
      <c r="AV975"/>
      <c r="AW975" s="9"/>
      <c r="AX975" s="9"/>
      <c r="AY975"/>
      <c r="AZ975"/>
      <c r="BA975"/>
      <c r="BB975"/>
      <c r="BC975"/>
      <c r="BD975"/>
      <c r="BE975"/>
      <c r="BF975"/>
      <c r="BG975"/>
      <c r="BH975"/>
      <c r="BI975"/>
      <c r="BJ975"/>
      <c r="BK975"/>
      <c r="BL975"/>
      <c r="BM975"/>
      <c r="BN975"/>
      <c r="BO975"/>
      <c r="BP975"/>
      <c r="BQ975"/>
      <c r="BR975"/>
      <c r="BS975"/>
      <c r="BT975"/>
      <c r="BU975"/>
      <c r="BV975"/>
      <c r="BW975"/>
      <c r="BX975"/>
      <c r="BY975"/>
      <c r="BZ975"/>
      <c r="CA975" s="1396"/>
      <c r="CB975" s="1396"/>
      <c r="CC975"/>
      <c r="CD975"/>
      <c r="CE975"/>
    </row>
    <row r="976" spans="1:83" ht="13.15" customHeight="1" outlineLevel="2" x14ac:dyDescent="0.2">
      <c r="A976"/>
      <c r="B976" s="1"/>
      <c r="C976"/>
      <c r="D976"/>
      <c r="E976"/>
      <c r="F976"/>
      <c r="G976" s="1"/>
      <c r="H976" s="1"/>
      <c r="I976"/>
      <c r="J976"/>
      <c r="K976"/>
      <c r="L976"/>
      <c r="M976"/>
      <c r="N976"/>
      <c r="O976"/>
      <c r="P976"/>
      <c r="Q976"/>
      <c r="R976" s="558" t="s">
        <v>1727</v>
      </c>
      <c r="S976" s="83"/>
      <c r="T976" s="56"/>
      <c r="U976" s="955"/>
      <c r="V976" s="43" t="str">
        <f t="shared" si="594"/>
        <v>J</v>
      </c>
      <c r="W976" s="10"/>
      <c r="X976" s="45" t="s">
        <v>769</v>
      </c>
      <c r="Y976" s="10"/>
      <c r="Z976" s="46" t="str">
        <f t="shared" si="595"/>
        <v>M</v>
      </c>
      <c r="AA976" s="123"/>
      <c r="AB976" s="1459">
        <f t="shared" si="586"/>
        <v>0</v>
      </c>
      <c r="AC976" s="1460" t="str">
        <f t="shared" si="587"/>
        <v>-</v>
      </c>
      <c r="AD976" s="1459">
        <f t="shared" si="588"/>
        <v>0</v>
      </c>
      <c r="AE976" s="964" t="str">
        <f t="shared" si="589"/>
        <v/>
      </c>
      <c r="AF976" s="964" t="str">
        <f t="shared" si="590"/>
        <v/>
      </c>
      <c r="AG976" s="964" t="str">
        <f t="shared" si="591"/>
        <v/>
      </c>
      <c r="AH976" s="964" t="str">
        <f t="shared" si="592"/>
        <v/>
      </c>
      <c r="AI976" s="964" t="str">
        <f t="shared" si="593"/>
        <v/>
      </c>
      <c r="AJ976" s="964"/>
      <c r="AK976" s="964"/>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s="1396"/>
      <c r="CB976" s="1396"/>
      <c r="CC976"/>
      <c r="CD976"/>
      <c r="CE976"/>
    </row>
    <row r="977" spans="1:83" ht="13.15" customHeight="1" outlineLevel="2" x14ac:dyDescent="0.2">
      <c r="A977"/>
      <c r="B977" s="1"/>
      <c r="C977"/>
      <c r="D977"/>
      <c r="E977"/>
      <c r="F977"/>
      <c r="G977" s="1"/>
      <c r="H977" s="1"/>
      <c r="I977"/>
      <c r="J977"/>
      <c r="K977"/>
      <c r="L977"/>
      <c r="M977"/>
      <c r="N977"/>
      <c r="O977"/>
      <c r="P977"/>
      <c r="Q977"/>
      <c r="R977" s="558" t="s">
        <v>1727</v>
      </c>
      <c r="S977" s="83"/>
      <c r="T977" s="56"/>
      <c r="U977" s="955"/>
      <c r="V977" s="43" t="str">
        <f t="shared" si="594"/>
        <v>L</v>
      </c>
      <c r="W977" s="10"/>
      <c r="X977" s="45" t="s">
        <v>769</v>
      </c>
      <c r="Y977" s="10"/>
      <c r="Z977" s="46" t="str">
        <f t="shared" si="595"/>
        <v>O</v>
      </c>
      <c r="AA977" s="123"/>
      <c r="AB977" s="1459">
        <f t="shared" si="586"/>
        <v>0</v>
      </c>
      <c r="AC977" s="1460" t="str">
        <f t="shared" si="587"/>
        <v>-</v>
      </c>
      <c r="AD977" s="1459">
        <f t="shared" si="588"/>
        <v>0</v>
      </c>
      <c r="AE977" s="964" t="str">
        <f t="shared" si="589"/>
        <v/>
      </c>
      <c r="AF977" s="964" t="str">
        <f t="shared" si="590"/>
        <v/>
      </c>
      <c r="AG977" s="964" t="str">
        <f t="shared" si="591"/>
        <v/>
      </c>
      <c r="AH977" s="964" t="str">
        <f t="shared" si="592"/>
        <v/>
      </c>
      <c r="AI977" s="964" t="str">
        <f t="shared" si="593"/>
        <v/>
      </c>
      <c r="AJ977" s="964"/>
      <c r="AK977" s="964"/>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s="1396"/>
      <c r="CB977" s="1396"/>
      <c r="CC977"/>
      <c r="CD977"/>
      <c r="CE977"/>
    </row>
    <row r="978" spans="1:83" ht="13.15" customHeight="1" outlineLevel="2" thickBot="1" x14ac:dyDescent="0.25">
      <c r="A978"/>
      <c r="B978" s="1"/>
      <c r="C978"/>
      <c r="D978"/>
      <c r="E978"/>
      <c r="F978"/>
      <c r="G978" s="1"/>
      <c r="H978" s="1"/>
      <c r="I978"/>
      <c r="J978"/>
      <c r="K978"/>
      <c r="L978"/>
      <c r="M978"/>
      <c r="N978"/>
      <c r="O978"/>
      <c r="P978"/>
      <c r="Q978"/>
      <c r="R978" s="558" t="s">
        <v>1727</v>
      </c>
      <c r="S978" s="83"/>
      <c r="T978" s="56"/>
      <c r="U978" s="955"/>
      <c r="V978" s="43" t="str">
        <f t="shared" si="594"/>
        <v>N</v>
      </c>
      <c r="W978" s="10"/>
      <c r="X978" s="45" t="s">
        <v>769</v>
      </c>
      <c r="Y978" s="10"/>
      <c r="Z978" s="46" t="str">
        <f>Z968</f>
        <v>P</v>
      </c>
      <c r="AA978" s="123"/>
      <c r="AB978" s="1459">
        <f t="shared" si="586"/>
        <v>0</v>
      </c>
      <c r="AC978" s="1460" t="str">
        <f t="shared" si="587"/>
        <v>-</v>
      </c>
      <c r="AD978" s="1459">
        <f t="shared" si="588"/>
        <v>0</v>
      </c>
      <c r="AE978" s="964" t="str">
        <f t="shared" si="589"/>
        <v/>
      </c>
      <c r="AF978" s="964" t="str">
        <f t="shared" si="590"/>
        <v/>
      </c>
      <c r="AG978" s="964" t="str">
        <f t="shared" si="591"/>
        <v/>
      </c>
      <c r="AH978" s="964" t="str">
        <f t="shared" si="592"/>
        <v/>
      </c>
      <c r="AI978" s="964" t="str">
        <f t="shared" si="593"/>
        <v/>
      </c>
      <c r="AJ978" s="964"/>
      <c r="AK978" s="964"/>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s="1396"/>
      <c r="CB978" s="1396"/>
      <c r="CC978"/>
      <c r="CD978"/>
      <c r="CE978"/>
    </row>
    <row r="979" spans="1:83" ht="13.5" outlineLevel="1" thickBot="1" x14ac:dyDescent="0.25">
      <c r="A979"/>
      <c r="B979" s="1"/>
      <c r="C979" s="1"/>
      <c r="D979" s="76"/>
      <c r="E979" s="76"/>
      <c r="F979" s="76"/>
      <c r="G979" s="9"/>
      <c r="H979" s="9"/>
      <c r="I979" s="1"/>
      <c r="J979"/>
      <c r="K979"/>
      <c r="L979"/>
      <c r="M979"/>
      <c r="N979"/>
      <c r="O979"/>
      <c r="P979" s="89"/>
      <c r="Q979"/>
      <c r="R979" s="1"/>
      <c r="S979" s="993">
        <f>S969+1</f>
        <v>3</v>
      </c>
      <c r="T979" s="961"/>
      <c r="U979" s="961"/>
      <c r="V979" s="961"/>
      <c r="W979" s="960"/>
      <c r="X979" s="960"/>
      <c r="Y979" s="960"/>
      <c r="Z979" s="962"/>
      <c r="AA979" s="123"/>
      <c r="AB979" s="963"/>
      <c r="AC979" s="963"/>
      <c r="AD979" s="963"/>
      <c r="AE979" s="964"/>
      <c r="AF979" s="964"/>
      <c r="AG979" s="964"/>
      <c r="AH979" s="964"/>
      <c r="AI979" s="964"/>
      <c r="AJ979" s="964"/>
      <c r="AK979" s="964"/>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s="1396"/>
      <c r="CB979" s="1396"/>
      <c r="CC979"/>
      <c r="CD979"/>
      <c r="CE979"/>
    </row>
    <row r="980" spans="1:83" ht="13.9" customHeight="1" outlineLevel="2" thickBot="1" x14ac:dyDescent="0.25">
      <c r="A980"/>
      <c r="B980" s="1"/>
      <c r="C980"/>
      <c r="D980"/>
      <c r="E980"/>
      <c r="F980"/>
      <c r="G980" s="1"/>
      <c r="H980" s="1"/>
      <c r="I980"/>
      <c r="J980"/>
      <c r="K980"/>
      <c r="L980"/>
      <c r="M980"/>
      <c r="N980"/>
      <c r="O980"/>
      <c r="P980"/>
      <c r="Q980"/>
      <c r="S980" s="22" t="str">
        <f>N_Heure</f>
        <v>Heure</v>
      </c>
      <c r="T980" s="22" t="str">
        <f>N_Table</f>
        <v>Table</v>
      </c>
      <c r="U980" s="22" t="str">
        <f>N_Arbitre</f>
        <v>Arbitre</v>
      </c>
      <c r="V980" s="293" t="str">
        <f>N_Matches</f>
        <v>Matches</v>
      </c>
      <c r="W980" s="294"/>
      <c r="X980" s="294"/>
      <c r="Y980" s="294"/>
      <c r="Z980" s="295"/>
      <c r="AA980" s="8"/>
      <c r="AB980" s="967"/>
      <c r="AC980" s="967"/>
      <c r="AD980" s="967"/>
      <c r="AE980" s="964"/>
      <c r="AF980" s="964"/>
      <c r="AG980" s="964"/>
      <c r="AH980" s="964"/>
      <c r="AI980" s="964"/>
      <c r="AJ980" s="964"/>
      <c r="AK980" s="964"/>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s="1396"/>
      <c r="CB980" s="1396"/>
      <c r="CC980"/>
      <c r="CD980"/>
      <c r="CE980"/>
    </row>
    <row r="981" spans="1:83" ht="13.15" customHeight="1" outlineLevel="2" x14ac:dyDescent="0.2">
      <c r="A981"/>
      <c r="B981" s="1"/>
      <c r="C981"/>
      <c r="D981"/>
      <c r="E981"/>
      <c r="F981"/>
      <c r="G981" s="1"/>
      <c r="H981" s="1"/>
      <c r="I981"/>
      <c r="J981"/>
      <c r="K981"/>
      <c r="L981"/>
      <c r="M981"/>
      <c r="N981"/>
      <c r="O981"/>
      <c r="P981"/>
      <c r="Q981"/>
      <c r="R981" s="558" t="s">
        <v>1728</v>
      </c>
      <c r="S981" s="65"/>
      <c r="T981" s="953"/>
      <c r="U981" s="954"/>
      <c r="V981" s="34" t="str">
        <f>Z971</f>
        <v>A</v>
      </c>
      <c r="W981" s="148"/>
      <c r="X981" s="35" t="s">
        <v>769</v>
      </c>
      <c r="Y981" s="148"/>
      <c r="Z981" s="36" t="str">
        <f>Z972</f>
        <v>E</v>
      </c>
      <c r="AA981" s="123"/>
      <c r="AB981" s="1459">
        <f t="shared" ref="AB981:AB988" si="596">IF(MaxScore,MaxGoals(W981,Y981,MaxGoalsValue),IF(W981="","",W981))</f>
        <v>0</v>
      </c>
      <c r="AC981" s="1460" t="str">
        <f t="shared" ref="AC981:AC988" si="597">IF(MaxScore,"-",IF(W981="","","-"))</f>
        <v>-</v>
      </c>
      <c r="AD981" s="1459">
        <f t="shared" ref="AD981:AD988" si="598">IF(MaxScore,MaxGoals(Y981,W981,MaxGoalsValue),IF(Y981="","",Y981))</f>
        <v>0</v>
      </c>
      <c r="AE981" s="964" t="str">
        <f t="shared" ref="AE981:AE988" si="599">IF(W981="","",IF(W981&gt;Y981,V981,IF(W981=Y981,"",Z981)))</f>
        <v/>
      </c>
      <c r="AF981" s="964" t="str">
        <f t="shared" ref="AF981:AF988" si="600">IF(W981="","",IF(W981=Y981,V981,""))</f>
        <v/>
      </c>
      <c r="AG981" s="964" t="str">
        <f t="shared" ref="AG981:AG988" si="601">IF(W981="","",IF(W981=Y981,Z981,""))</f>
        <v/>
      </c>
      <c r="AH981" s="964" t="str">
        <f t="shared" ref="AH981:AH988" si="602">IF(W981="","",IF(W981&lt;Y981,V981,IF(W981=Y981,"",Z981)))</f>
        <v/>
      </c>
      <c r="AI981" s="964" t="str">
        <f t="shared" ref="AI981:AI988" si="603">CONCATENATE(AE981,AH981)</f>
        <v/>
      </c>
      <c r="AJ981" s="964"/>
      <c r="AK981" s="964"/>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s="1396"/>
      <c r="CB981" s="1396"/>
      <c r="CC981"/>
      <c r="CD981"/>
      <c r="CE981"/>
    </row>
    <row r="982" spans="1:83" ht="13.15" customHeight="1" outlineLevel="2" x14ac:dyDescent="0.2">
      <c r="A982"/>
      <c r="B982" s="1"/>
      <c r="C982"/>
      <c r="D982"/>
      <c r="E982"/>
      <c r="F982"/>
      <c r="G982" s="1"/>
      <c r="H982" s="1"/>
      <c r="I982"/>
      <c r="J982"/>
      <c r="K982"/>
      <c r="L982"/>
      <c r="M982"/>
      <c r="N982"/>
      <c r="O982"/>
      <c r="P982"/>
      <c r="Q982"/>
      <c r="R982" s="558" t="s">
        <v>1728</v>
      </c>
      <c r="S982" s="83"/>
      <c r="T982" s="56"/>
      <c r="U982" s="955"/>
      <c r="V982" s="43" t="str">
        <f t="shared" ref="V982:V987" si="604">Z973</f>
        <v>G</v>
      </c>
      <c r="W982" s="10"/>
      <c r="X982" s="45" t="s">
        <v>769</v>
      </c>
      <c r="Y982" s="10"/>
      <c r="Z982" s="46" t="str">
        <f t="shared" ref="Z982:Z987" si="605">V971</f>
        <v>C</v>
      </c>
      <c r="AA982" s="123"/>
      <c r="AB982" s="1459">
        <f t="shared" si="596"/>
        <v>0</v>
      </c>
      <c r="AC982" s="1460" t="str">
        <f t="shared" si="597"/>
        <v>-</v>
      </c>
      <c r="AD982" s="1459">
        <f t="shared" si="598"/>
        <v>0</v>
      </c>
      <c r="AE982" s="964" t="str">
        <f t="shared" si="599"/>
        <v/>
      </c>
      <c r="AF982" s="964" t="str">
        <f t="shared" si="600"/>
        <v/>
      </c>
      <c r="AG982" s="964" t="str">
        <f t="shared" si="601"/>
        <v/>
      </c>
      <c r="AH982" s="964" t="str">
        <f t="shared" si="602"/>
        <v/>
      </c>
      <c r="AI982" s="964" t="str">
        <f t="shared" si="603"/>
        <v/>
      </c>
      <c r="AJ982" s="964"/>
      <c r="AK982" s="964"/>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s="1396"/>
      <c r="CB982" s="1396"/>
      <c r="CC982"/>
      <c r="CD982"/>
      <c r="CE982"/>
    </row>
    <row r="983" spans="1:83" ht="13.15" customHeight="1" outlineLevel="2" x14ac:dyDescent="0.2">
      <c r="A983"/>
      <c r="B983" s="1"/>
      <c r="C983"/>
      <c r="D983"/>
      <c r="E983"/>
      <c r="F983"/>
      <c r="G983" s="1"/>
      <c r="H983" s="1"/>
      <c r="I983"/>
      <c r="J983"/>
      <c r="K983"/>
      <c r="L983"/>
      <c r="M983"/>
      <c r="N983"/>
      <c r="O983"/>
      <c r="P983"/>
      <c r="Q983"/>
      <c r="R983" s="558" t="s">
        <v>1728</v>
      </c>
      <c r="S983" s="83"/>
      <c r="T983" s="56"/>
      <c r="U983" s="955"/>
      <c r="V983" s="43" t="str">
        <f t="shared" si="604"/>
        <v>I</v>
      </c>
      <c r="W983" s="10"/>
      <c r="X983" s="45" t="s">
        <v>769</v>
      </c>
      <c r="Y983" s="10"/>
      <c r="Z983" s="46" t="str">
        <f t="shared" si="605"/>
        <v>B</v>
      </c>
      <c r="AA983" s="123"/>
      <c r="AB983" s="1459">
        <f t="shared" si="596"/>
        <v>0</v>
      </c>
      <c r="AC983" s="1460" t="str">
        <f t="shared" si="597"/>
        <v>-</v>
      </c>
      <c r="AD983" s="1459">
        <f t="shared" si="598"/>
        <v>0</v>
      </c>
      <c r="AE983" s="964" t="str">
        <f t="shared" si="599"/>
        <v/>
      </c>
      <c r="AF983" s="964" t="str">
        <f t="shared" si="600"/>
        <v/>
      </c>
      <c r="AG983" s="964" t="str">
        <f t="shared" si="601"/>
        <v/>
      </c>
      <c r="AH983" s="964" t="str">
        <f t="shared" si="602"/>
        <v/>
      </c>
      <c r="AI983" s="964" t="str">
        <f t="shared" si="603"/>
        <v/>
      </c>
      <c r="AJ983" s="964"/>
      <c r="AK983" s="964"/>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s="1396"/>
      <c r="CB983" s="1396"/>
      <c r="CC983"/>
      <c r="CD983"/>
      <c r="CE983"/>
    </row>
    <row r="984" spans="1:83" ht="13.15" customHeight="1" outlineLevel="2" x14ac:dyDescent="0.2">
      <c r="A984"/>
      <c r="B984" s="1"/>
      <c r="C984"/>
      <c r="D984"/>
      <c r="E984"/>
      <c r="F984"/>
      <c r="G984" s="1"/>
      <c r="H984" s="1"/>
      <c r="I984"/>
      <c r="J984"/>
      <c r="K984"/>
      <c r="L984"/>
      <c r="M984"/>
      <c r="N984"/>
      <c r="O984"/>
      <c r="P984"/>
      <c r="Q984"/>
      <c r="R984" s="558" t="s">
        <v>1728</v>
      </c>
      <c r="S984" s="83"/>
      <c r="T984" s="56"/>
      <c r="U984" s="955"/>
      <c r="V984" s="43" t="str">
        <f t="shared" si="604"/>
        <v>K</v>
      </c>
      <c r="W984" s="10"/>
      <c r="X984" s="45" t="s">
        <v>769</v>
      </c>
      <c r="Y984" s="10"/>
      <c r="Z984" s="46" t="str">
        <f t="shared" si="605"/>
        <v>D</v>
      </c>
      <c r="AA984" s="123"/>
      <c r="AB984" s="1459">
        <f t="shared" si="596"/>
        <v>0</v>
      </c>
      <c r="AC984" s="1460" t="str">
        <f t="shared" si="597"/>
        <v>-</v>
      </c>
      <c r="AD984" s="1459">
        <f t="shared" si="598"/>
        <v>0</v>
      </c>
      <c r="AE984" s="964" t="str">
        <f t="shared" si="599"/>
        <v/>
      </c>
      <c r="AF984" s="964" t="str">
        <f t="shared" si="600"/>
        <v/>
      </c>
      <c r="AG984" s="964" t="str">
        <f t="shared" si="601"/>
        <v/>
      </c>
      <c r="AH984" s="964" t="str">
        <f t="shared" si="602"/>
        <v/>
      </c>
      <c r="AI984" s="964" t="str">
        <f t="shared" si="603"/>
        <v/>
      </c>
      <c r="AJ984" s="964"/>
      <c r="AK984" s="964"/>
      <c r="AL984"/>
      <c r="AM984"/>
      <c r="AN984"/>
      <c r="AO984"/>
      <c r="AP984"/>
      <c r="AQ984"/>
      <c r="AR984"/>
      <c r="AS984"/>
      <c r="AT984"/>
      <c r="AU984"/>
      <c r="AV984"/>
      <c r="AW984"/>
      <c r="AX984" s="9"/>
      <c r="AY984"/>
      <c r="AZ984"/>
      <c r="BA984"/>
      <c r="BB984"/>
      <c r="BC984"/>
      <c r="BD984"/>
      <c r="BE984"/>
      <c r="BF984"/>
      <c r="BG984"/>
      <c r="BH984"/>
      <c r="BI984"/>
      <c r="BJ984"/>
      <c r="BK984"/>
      <c r="BL984"/>
      <c r="BM984"/>
      <c r="BN984"/>
      <c r="BO984"/>
      <c r="BP984"/>
      <c r="BQ984"/>
      <c r="BR984"/>
      <c r="BS984"/>
      <c r="BT984"/>
      <c r="BU984"/>
      <c r="BV984"/>
      <c r="BW984"/>
      <c r="BX984"/>
      <c r="BY984"/>
      <c r="BZ984"/>
      <c r="CA984" s="1396"/>
      <c r="CB984" s="1396"/>
      <c r="CC984"/>
      <c r="CD984"/>
      <c r="CE984"/>
    </row>
    <row r="985" spans="1:83" ht="13.15" customHeight="1" outlineLevel="2" x14ac:dyDescent="0.2">
      <c r="A985"/>
      <c r="B985" s="1"/>
      <c r="C985"/>
      <c r="D985"/>
      <c r="E985"/>
      <c r="F985"/>
      <c r="G985" s="1"/>
      <c r="H985" s="1"/>
      <c r="I985"/>
      <c r="J985"/>
      <c r="K985"/>
      <c r="L985"/>
      <c r="M985"/>
      <c r="N985"/>
      <c r="O985"/>
      <c r="P985"/>
      <c r="Q985"/>
      <c r="R985" s="558" t="s">
        <v>1728</v>
      </c>
      <c r="S985" s="83"/>
      <c r="T985" s="56"/>
      <c r="U985" s="955"/>
      <c r="V985" s="43" t="str">
        <f t="shared" si="604"/>
        <v>M</v>
      </c>
      <c r="W985" s="10"/>
      <c r="X985" s="45" t="s">
        <v>769</v>
      </c>
      <c r="Y985" s="10"/>
      <c r="Z985" s="46" t="str">
        <f t="shared" si="605"/>
        <v>F</v>
      </c>
      <c r="AA985" s="123"/>
      <c r="AB985" s="1459">
        <f t="shared" si="596"/>
        <v>0</v>
      </c>
      <c r="AC985" s="1460" t="str">
        <f t="shared" si="597"/>
        <v>-</v>
      </c>
      <c r="AD985" s="1459">
        <f t="shared" si="598"/>
        <v>0</v>
      </c>
      <c r="AE985" s="964" t="str">
        <f t="shared" si="599"/>
        <v/>
      </c>
      <c r="AF985" s="964" t="str">
        <f t="shared" si="600"/>
        <v/>
      </c>
      <c r="AG985" s="964" t="str">
        <f t="shared" si="601"/>
        <v/>
      </c>
      <c r="AH985" s="964" t="str">
        <f t="shared" si="602"/>
        <v/>
      </c>
      <c r="AI985" s="964" t="str">
        <f t="shared" si="603"/>
        <v/>
      </c>
      <c r="AJ985" s="964"/>
      <c r="AK985" s="964"/>
      <c r="AL985"/>
      <c r="AM985"/>
      <c r="AN985"/>
      <c r="AO985"/>
      <c r="AP985"/>
      <c r="AQ985"/>
      <c r="AR985"/>
      <c r="AS985"/>
      <c r="AT985"/>
      <c r="AU985"/>
      <c r="AV985"/>
      <c r="AW985" s="9"/>
      <c r="AX985" s="9"/>
      <c r="AY985"/>
      <c r="AZ985"/>
      <c r="BA985"/>
      <c r="BB985"/>
      <c r="BC985"/>
      <c r="BD985"/>
      <c r="BE985"/>
      <c r="BF985"/>
      <c r="BG985"/>
      <c r="BH985"/>
      <c r="BI985"/>
      <c r="BJ985"/>
      <c r="BK985"/>
      <c r="BL985"/>
      <c r="BM985"/>
      <c r="BN985"/>
      <c r="BO985"/>
      <c r="BP985"/>
      <c r="BQ985"/>
      <c r="BR985"/>
      <c r="BS985"/>
      <c r="BT985"/>
      <c r="BU985"/>
      <c r="BV985"/>
      <c r="BW985"/>
      <c r="BX985"/>
      <c r="BY985"/>
      <c r="BZ985"/>
      <c r="CA985" s="1396"/>
      <c r="CB985" s="1396"/>
      <c r="CC985"/>
      <c r="CD985"/>
      <c r="CE985"/>
    </row>
    <row r="986" spans="1:83" ht="13.15" customHeight="1" outlineLevel="2" x14ac:dyDescent="0.2">
      <c r="A986"/>
      <c r="B986" s="1"/>
      <c r="C986"/>
      <c r="D986"/>
      <c r="E986"/>
      <c r="F986"/>
      <c r="G986" s="1"/>
      <c r="H986" s="1"/>
      <c r="I986"/>
      <c r="J986"/>
      <c r="K986"/>
      <c r="L986"/>
      <c r="M986"/>
      <c r="N986"/>
      <c r="O986"/>
      <c r="P986"/>
      <c r="Q986"/>
      <c r="R986" s="558" t="s">
        <v>1728</v>
      </c>
      <c r="S986" s="83"/>
      <c r="T986" s="56"/>
      <c r="U986" s="955"/>
      <c r="V986" s="43" t="str">
        <f t="shared" si="604"/>
        <v>O</v>
      </c>
      <c r="W986" s="10"/>
      <c r="X986" s="45" t="s">
        <v>769</v>
      </c>
      <c r="Y986" s="10"/>
      <c r="Z986" s="46" t="str">
        <f t="shared" si="605"/>
        <v>H</v>
      </c>
      <c r="AA986" s="123"/>
      <c r="AB986" s="1459">
        <f t="shared" si="596"/>
        <v>0</v>
      </c>
      <c r="AC986" s="1460" t="str">
        <f t="shared" si="597"/>
        <v>-</v>
      </c>
      <c r="AD986" s="1459">
        <f t="shared" si="598"/>
        <v>0</v>
      </c>
      <c r="AE986" s="964" t="str">
        <f t="shared" si="599"/>
        <v/>
      </c>
      <c r="AF986" s="964" t="str">
        <f t="shared" si="600"/>
        <v/>
      </c>
      <c r="AG986" s="964" t="str">
        <f t="shared" si="601"/>
        <v/>
      </c>
      <c r="AH986" s="964" t="str">
        <f t="shared" si="602"/>
        <v/>
      </c>
      <c r="AI986" s="964" t="str">
        <f t="shared" si="603"/>
        <v/>
      </c>
      <c r="AJ986" s="964"/>
      <c r="AK986" s="964"/>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s="1396"/>
      <c r="CB986" s="1396"/>
      <c r="CC986"/>
      <c r="CD986"/>
      <c r="CE986"/>
    </row>
    <row r="987" spans="1:83" ht="13.15" customHeight="1" outlineLevel="2" x14ac:dyDescent="0.2">
      <c r="A987"/>
      <c r="B987" s="1"/>
      <c r="C987"/>
      <c r="D987"/>
      <c r="E987"/>
      <c r="F987"/>
      <c r="G987" s="1"/>
      <c r="H987" s="1"/>
      <c r="I987"/>
      <c r="J987"/>
      <c r="K987"/>
      <c r="L987"/>
      <c r="M987"/>
      <c r="N987"/>
      <c r="O987"/>
      <c r="P987"/>
      <c r="Q987"/>
      <c r="R987" s="558" t="s">
        <v>1728</v>
      </c>
      <c r="S987" s="83"/>
      <c r="T987" s="56"/>
      <c r="U987" s="955"/>
      <c r="V987" s="43" t="str">
        <f t="shared" si="604"/>
        <v>P</v>
      </c>
      <c r="W987" s="10"/>
      <c r="X987" s="45" t="s">
        <v>769</v>
      </c>
      <c r="Y987" s="10"/>
      <c r="Z987" s="46" t="str">
        <f t="shared" si="605"/>
        <v>J</v>
      </c>
      <c r="AA987" s="123"/>
      <c r="AB987" s="1459">
        <f t="shared" si="596"/>
        <v>0</v>
      </c>
      <c r="AC987" s="1460" t="str">
        <f t="shared" si="597"/>
        <v>-</v>
      </c>
      <c r="AD987" s="1459">
        <f t="shared" si="598"/>
        <v>0</v>
      </c>
      <c r="AE987" s="964" t="str">
        <f t="shared" si="599"/>
        <v/>
      </c>
      <c r="AF987" s="964" t="str">
        <f t="shared" si="600"/>
        <v/>
      </c>
      <c r="AG987" s="964" t="str">
        <f t="shared" si="601"/>
        <v/>
      </c>
      <c r="AH987" s="964" t="str">
        <f t="shared" si="602"/>
        <v/>
      </c>
      <c r="AI987" s="964" t="str">
        <f t="shared" si="603"/>
        <v/>
      </c>
      <c r="AJ987" s="964"/>
      <c r="AK987" s="964"/>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s="1396"/>
      <c r="CB987" s="1396"/>
      <c r="CC987"/>
      <c r="CD987"/>
      <c r="CE987"/>
    </row>
    <row r="988" spans="1:83" ht="13.9" customHeight="1" outlineLevel="2" thickBot="1" x14ac:dyDescent="0.25">
      <c r="A988"/>
      <c r="B988" s="1"/>
      <c r="C988"/>
      <c r="D988"/>
      <c r="E988"/>
      <c r="F988"/>
      <c r="G988" s="1"/>
      <c r="H988" s="1"/>
      <c r="I988"/>
      <c r="J988"/>
      <c r="K988"/>
      <c r="L988"/>
      <c r="M988"/>
      <c r="N988"/>
      <c r="O988"/>
      <c r="P988"/>
      <c r="Q988"/>
      <c r="R988" s="558" t="s">
        <v>1728</v>
      </c>
      <c r="S988" s="956"/>
      <c r="T988" s="58"/>
      <c r="U988" s="957"/>
      <c r="V988" s="958" t="str">
        <f>V978</f>
        <v>N</v>
      </c>
      <c r="W988" s="10"/>
      <c r="X988" s="45" t="s">
        <v>769</v>
      </c>
      <c r="Y988" s="10"/>
      <c r="Z988" s="46" t="str">
        <f>V977</f>
        <v>L</v>
      </c>
      <c r="AA988" s="123"/>
      <c r="AB988" s="1459">
        <f t="shared" si="596"/>
        <v>0</v>
      </c>
      <c r="AC988" s="1460" t="str">
        <f t="shared" si="597"/>
        <v>-</v>
      </c>
      <c r="AD988" s="1459">
        <f t="shared" si="598"/>
        <v>0</v>
      </c>
      <c r="AE988" s="964" t="str">
        <f t="shared" si="599"/>
        <v/>
      </c>
      <c r="AF988" s="964" t="str">
        <f t="shared" si="600"/>
        <v/>
      </c>
      <c r="AG988" s="964" t="str">
        <f t="shared" si="601"/>
        <v/>
      </c>
      <c r="AH988" s="964" t="str">
        <f t="shared" si="602"/>
        <v/>
      </c>
      <c r="AI988" s="964" t="str">
        <f t="shared" si="603"/>
        <v/>
      </c>
      <c r="AJ988" s="964"/>
      <c r="AK988" s="964"/>
      <c r="AL988"/>
      <c r="AM988"/>
      <c r="AN988"/>
      <c r="AO988"/>
      <c r="AP988"/>
      <c r="AQ988"/>
      <c r="AR988"/>
      <c r="AS988"/>
      <c r="AT988"/>
      <c r="AU988"/>
      <c r="AV988"/>
      <c r="AW988" s="9"/>
      <c r="AX988" s="9"/>
      <c r="AY988"/>
      <c r="AZ988"/>
      <c r="BA988"/>
      <c r="BB988"/>
      <c r="BC988"/>
      <c r="BD988"/>
      <c r="BE988"/>
      <c r="BF988"/>
      <c r="BG988"/>
      <c r="BH988"/>
      <c r="BI988"/>
      <c r="BJ988"/>
      <c r="BK988"/>
      <c r="BL988"/>
      <c r="BM988"/>
      <c r="BN988"/>
      <c r="BO988"/>
      <c r="BP988"/>
      <c r="BQ988"/>
      <c r="BR988"/>
      <c r="BS988"/>
      <c r="BT988"/>
      <c r="BU988"/>
      <c r="BV988"/>
      <c r="BW988"/>
      <c r="BX988"/>
      <c r="BY988"/>
      <c r="BZ988"/>
      <c r="CA988" s="1396"/>
      <c r="CB988" s="1396"/>
      <c r="CC988"/>
      <c r="CD988"/>
      <c r="CE988"/>
    </row>
    <row r="989" spans="1:83" ht="13.5" outlineLevel="1" thickBot="1" x14ac:dyDescent="0.25">
      <c r="A989"/>
      <c r="B989" s="1"/>
      <c r="C989" s="1"/>
      <c r="D989" s="76"/>
      <c r="E989" s="76"/>
      <c r="F989" s="76"/>
      <c r="G989" s="9"/>
      <c r="H989" s="9"/>
      <c r="I989" s="1"/>
      <c r="J989"/>
      <c r="K989"/>
      <c r="L989"/>
      <c r="M989"/>
      <c r="N989"/>
      <c r="O989"/>
      <c r="P989" s="89"/>
      <c r="Q989"/>
      <c r="R989" s="1"/>
      <c r="S989" s="993">
        <f>S979+1</f>
        <v>4</v>
      </c>
      <c r="T989" s="961"/>
      <c r="U989" s="961"/>
      <c r="V989" s="961"/>
      <c r="W989" s="960"/>
      <c r="X989" s="960"/>
      <c r="Y989" s="960"/>
      <c r="Z989" s="962"/>
      <c r="AA989" s="123"/>
      <c r="AB989" s="963"/>
      <c r="AC989" s="963"/>
      <c r="AD989" s="963"/>
      <c r="AE989" s="964"/>
      <c r="AF989" s="964"/>
      <c r="AG989" s="964"/>
      <c r="AH989" s="964"/>
      <c r="AI989" s="964"/>
      <c r="AJ989" s="964"/>
      <c r="AK989" s="964"/>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s="1396"/>
      <c r="CB989" s="1396"/>
      <c r="CC989"/>
      <c r="CD989"/>
      <c r="CE989"/>
    </row>
    <row r="990" spans="1:83" ht="13.9" customHeight="1" outlineLevel="2" thickBot="1" x14ac:dyDescent="0.25">
      <c r="A990"/>
      <c r="B990" s="1"/>
      <c r="C990"/>
      <c r="D990"/>
      <c r="E990"/>
      <c r="F990"/>
      <c r="G990" s="1"/>
      <c r="H990" s="1"/>
      <c r="I990"/>
      <c r="J990"/>
      <c r="K990"/>
      <c r="L990"/>
      <c r="M990"/>
      <c r="N990"/>
      <c r="O990"/>
      <c r="P990"/>
      <c r="Q990"/>
      <c r="S990" s="22" t="str">
        <f>N_Heure</f>
        <v>Heure</v>
      </c>
      <c r="T990" s="22" t="str">
        <f>N_Table</f>
        <v>Table</v>
      </c>
      <c r="U990" s="22" t="str">
        <f>N_Arbitre</f>
        <v>Arbitre</v>
      </c>
      <c r="V990" s="293" t="str">
        <f>N_Matches</f>
        <v>Matches</v>
      </c>
      <c r="W990" s="294"/>
      <c r="X990" s="294"/>
      <c r="Y990" s="294"/>
      <c r="Z990" s="295"/>
      <c r="AA990" s="8"/>
      <c r="AB990" s="967"/>
      <c r="AC990" s="967"/>
      <c r="AD990" s="967"/>
      <c r="AE990" s="964"/>
      <c r="AF990" s="964"/>
      <c r="AG990" s="964"/>
      <c r="AH990" s="964"/>
      <c r="AI990" s="964"/>
      <c r="AJ990" s="964"/>
      <c r="AK990" s="964"/>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s="1396"/>
      <c r="CB990" s="1396"/>
      <c r="CC990"/>
      <c r="CD990"/>
      <c r="CE990"/>
    </row>
    <row r="991" spans="1:83" ht="13.15" customHeight="1" outlineLevel="2" x14ac:dyDescent="0.2">
      <c r="A991"/>
      <c r="B991" s="1"/>
      <c r="C991"/>
      <c r="D991"/>
      <c r="E991"/>
      <c r="F991"/>
      <c r="G991" s="1"/>
      <c r="H991" s="1"/>
      <c r="I991"/>
      <c r="J991"/>
      <c r="K991"/>
      <c r="L991"/>
      <c r="M991"/>
      <c r="N991"/>
      <c r="O991"/>
      <c r="P991"/>
      <c r="Q991"/>
      <c r="R991" s="558" t="s">
        <v>1729</v>
      </c>
      <c r="S991" s="65"/>
      <c r="T991" s="953"/>
      <c r="U991" s="954"/>
      <c r="V991" s="34" t="str">
        <f>V982</f>
        <v>G</v>
      </c>
      <c r="W991" s="148"/>
      <c r="X991" s="35" t="s">
        <v>769</v>
      </c>
      <c r="Y991" s="148"/>
      <c r="Z991" s="36" t="str">
        <f>V981</f>
        <v>A</v>
      </c>
      <c r="AA991" s="123"/>
      <c r="AB991" s="1459">
        <f t="shared" ref="AB991:AB998" si="606">IF(MaxScore,MaxGoals(W991,Y991,MaxGoalsValue),IF(W991="","",W991))</f>
        <v>0</v>
      </c>
      <c r="AC991" s="1460" t="str">
        <f t="shared" ref="AC991:AC998" si="607">IF(MaxScore,"-",IF(W991="","","-"))</f>
        <v>-</v>
      </c>
      <c r="AD991" s="1459">
        <f t="shared" ref="AD991:AD998" si="608">IF(MaxScore,MaxGoals(Y991,W991,MaxGoalsValue),IF(Y991="","",Y991))</f>
        <v>0</v>
      </c>
      <c r="AE991" s="964" t="str">
        <f t="shared" ref="AE991:AE998" si="609">IF(W991="","",IF(W991&gt;Y991,V991,IF(W991=Y991,"",Z991)))</f>
        <v/>
      </c>
      <c r="AF991" s="964" t="str">
        <f t="shared" ref="AF991:AF998" si="610">IF(W991="","",IF(W991=Y991,V991,""))</f>
        <v/>
      </c>
      <c r="AG991" s="964" t="str">
        <f t="shared" ref="AG991:AG998" si="611">IF(W991="","",IF(W991=Y991,Z991,""))</f>
        <v/>
      </c>
      <c r="AH991" s="964" t="str">
        <f t="shared" ref="AH991:AH998" si="612">IF(W991="","",IF(W991&lt;Y991,V991,IF(W991=Y991,"",Z991)))</f>
        <v/>
      </c>
      <c r="AI991" s="964" t="str">
        <f t="shared" ref="AI991:AI998" si="613">CONCATENATE(AE991,AH991)</f>
        <v/>
      </c>
      <c r="AJ991" s="964"/>
      <c r="AK991" s="964"/>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s="1396"/>
      <c r="CB991" s="1396"/>
      <c r="CC991"/>
      <c r="CD991"/>
      <c r="CE991"/>
    </row>
    <row r="992" spans="1:83" ht="13.15" customHeight="1" outlineLevel="2" x14ac:dyDescent="0.2">
      <c r="A992"/>
      <c r="B992" s="1"/>
      <c r="C992"/>
      <c r="D992"/>
      <c r="E992"/>
      <c r="F992"/>
      <c r="G992" s="1"/>
      <c r="H992" s="1"/>
      <c r="I992"/>
      <c r="J992"/>
      <c r="K992"/>
      <c r="L992"/>
      <c r="M992"/>
      <c r="N992"/>
      <c r="O992"/>
      <c r="P992"/>
      <c r="Q992"/>
      <c r="R992" s="558" t="s">
        <v>1729</v>
      </c>
      <c r="S992" s="83"/>
      <c r="T992" s="56"/>
      <c r="U992" s="955"/>
      <c r="V992" s="43" t="str">
        <f t="shared" ref="V992:V998" si="614">Z981</f>
        <v>E</v>
      </c>
      <c r="W992" s="10"/>
      <c r="X992" s="45" t="s">
        <v>769</v>
      </c>
      <c r="Y992" s="10"/>
      <c r="Z992" s="46" t="str">
        <f t="shared" ref="Z992:Z997" si="615">V983</f>
        <v>I</v>
      </c>
      <c r="AA992" s="123"/>
      <c r="AB992" s="1459">
        <f t="shared" si="606"/>
        <v>0</v>
      </c>
      <c r="AC992" s="1460" t="str">
        <f t="shared" si="607"/>
        <v>-</v>
      </c>
      <c r="AD992" s="1459">
        <f t="shared" si="608"/>
        <v>0</v>
      </c>
      <c r="AE992" s="964" t="str">
        <f t="shared" si="609"/>
        <v/>
      </c>
      <c r="AF992" s="964" t="str">
        <f t="shared" si="610"/>
        <v/>
      </c>
      <c r="AG992" s="964" t="str">
        <f t="shared" si="611"/>
        <v/>
      </c>
      <c r="AH992" s="964" t="str">
        <f t="shared" si="612"/>
        <v/>
      </c>
      <c r="AI992" s="964" t="str">
        <f t="shared" si="613"/>
        <v/>
      </c>
      <c r="AJ992" s="964"/>
      <c r="AK992" s="964"/>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s="1396"/>
      <c r="CB992" s="1396"/>
      <c r="CC992"/>
      <c r="CD992"/>
      <c r="CE992"/>
    </row>
    <row r="993" spans="1:83" ht="13.15" customHeight="1" outlineLevel="2" x14ac:dyDescent="0.2">
      <c r="A993"/>
      <c r="B993" s="1"/>
      <c r="C993"/>
      <c r="D993"/>
      <c r="E993"/>
      <c r="F993"/>
      <c r="G993" s="1"/>
      <c r="H993" s="1"/>
      <c r="I993"/>
      <c r="J993"/>
      <c r="K993"/>
      <c r="L993"/>
      <c r="M993"/>
      <c r="N993"/>
      <c r="O993"/>
      <c r="P993"/>
      <c r="Q993"/>
      <c r="R993" s="558" t="s">
        <v>1729</v>
      </c>
      <c r="S993" s="83"/>
      <c r="T993" s="56"/>
      <c r="U993" s="955"/>
      <c r="V993" s="43" t="str">
        <f t="shared" si="614"/>
        <v>C</v>
      </c>
      <c r="W993" s="10"/>
      <c r="X993" s="45" t="s">
        <v>769</v>
      </c>
      <c r="Y993" s="10"/>
      <c r="Z993" s="46" t="str">
        <f t="shared" si="615"/>
        <v>K</v>
      </c>
      <c r="AA993" s="123"/>
      <c r="AB993" s="1459">
        <f t="shared" si="606"/>
        <v>0</v>
      </c>
      <c r="AC993" s="1460" t="str">
        <f t="shared" si="607"/>
        <v>-</v>
      </c>
      <c r="AD993" s="1459">
        <f t="shared" si="608"/>
        <v>0</v>
      </c>
      <c r="AE993" s="964" t="str">
        <f t="shared" si="609"/>
        <v/>
      </c>
      <c r="AF993" s="964" t="str">
        <f t="shared" si="610"/>
        <v/>
      </c>
      <c r="AG993" s="964" t="str">
        <f t="shared" si="611"/>
        <v/>
      </c>
      <c r="AH993" s="964" t="str">
        <f t="shared" si="612"/>
        <v/>
      </c>
      <c r="AI993" s="964" t="str">
        <f t="shared" si="613"/>
        <v/>
      </c>
      <c r="AJ993" s="964"/>
      <c r="AK993" s="964"/>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s="1396"/>
      <c r="CB993" s="1396"/>
      <c r="CC993"/>
      <c r="CD993"/>
      <c r="CE993"/>
    </row>
    <row r="994" spans="1:83" ht="13.15" customHeight="1" outlineLevel="2" x14ac:dyDescent="0.2">
      <c r="A994"/>
      <c r="B994" s="1"/>
      <c r="C994"/>
      <c r="D994"/>
      <c r="E994"/>
      <c r="F994"/>
      <c r="G994" s="1"/>
      <c r="H994" s="1"/>
      <c r="I994"/>
      <c r="J994"/>
      <c r="K994"/>
      <c r="L994"/>
      <c r="M994"/>
      <c r="N994"/>
      <c r="O994"/>
      <c r="P994"/>
      <c r="Q994"/>
      <c r="R994" s="558" t="s">
        <v>1729</v>
      </c>
      <c r="S994" s="83"/>
      <c r="T994" s="56"/>
      <c r="U994" s="955"/>
      <c r="V994" s="43" t="str">
        <f t="shared" si="614"/>
        <v>B</v>
      </c>
      <c r="W994" s="10"/>
      <c r="X994" s="45" t="s">
        <v>769</v>
      </c>
      <c r="Y994" s="10"/>
      <c r="Z994" s="46" t="str">
        <f t="shared" si="615"/>
        <v>M</v>
      </c>
      <c r="AA994" s="123"/>
      <c r="AB994" s="1459">
        <f t="shared" si="606"/>
        <v>0</v>
      </c>
      <c r="AC994" s="1460" t="str">
        <f t="shared" si="607"/>
        <v>-</v>
      </c>
      <c r="AD994" s="1459">
        <f t="shared" si="608"/>
        <v>0</v>
      </c>
      <c r="AE994" s="964" t="str">
        <f t="shared" si="609"/>
        <v/>
      </c>
      <c r="AF994" s="964" t="str">
        <f t="shared" si="610"/>
        <v/>
      </c>
      <c r="AG994" s="964" t="str">
        <f t="shared" si="611"/>
        <v/>
      </c>
      <c r="AH994" s="964" t="str">
        <f t="shared" si="612"/>
        <v/>
      </c>
      <c r="AI994" s="964" t="str">
        <f t="shared" si="613"/>
        <v/>
      </c>
      <c r="AJ994" s="964"/>
      <c r="AK994" s="964"/>
      <c r="AL994"/>
      <c r="AM994"/>
      <c r="AN994"/>
      <c r="AO994"/>
      <c r="AP994"/>
      <c r="AQ994"/>
      <c r="AR994"/>
      <c r="AS994"/>
      <c r="AT994"/>
      <c r="AU994"/>
      <c r="AV994"/>
      <c r="AW994"/>
      <c r="AX994" s="9"/>
      <c r="AY994"/>
      <c r="AZ994"/>
      <c r="BA994"/>
      <c r="BB994"/>
      <c r="BC994"/>
      <c r="BD994"/>
      <c r="BE994"/>
      <c r="BF994"/>
      <c r="BG994"/>
      <c r="BH994"/>
      <c r="BI994"/>
      <c r="BJ994"/>
      <c r="BK994"/>
      <c r="BL994"/>
      <c r="BM994"/>
      <c r="BN994"/>
      <c r="BO994"/>
      <c r="BP994"/>
      <c r="BQ994"/>
      <c r="BR994"/>
      <c r="BS994"/>
      <c r="BT994"/>
      <c r="BU994"/>
      <c r="BV994"/>
      <c r="BW994"/>
      <c r="BX994"/>
      <c r="BY994"/>
      <c r="BZ994"/>
      <c r="CA994" s="1396"/>
      <c r="CB994" s="1396"/>
      <c r="CC994"/>
      <c r="CD994"/>
      <c r="CE994"/>
    </row>
    <row r="995" spans="1:83" ht="13.15" customHeight="1" outlineLevel="2" x14ac:dyDescent="0.2">
      <c r="A995"/>
      <c r="B995" s="1"/>
      <c r="C995"/>
      <c r="D995"/>
      <c r="E995"/>
      <c r="F995"/>
      <c r="G995" s="1"/>
      <c r="H995" s="1"/>
      <c r="I995"/>
      <c r="J995"/>
      <c r="K995"/>
      <c r="L995"/>
      <c r="M995"/>
      <c r="N995"/>
      <c r="O995"/>
      <c r="P995"/>
      <c r="Q995"/>
      <c r="R995" s="558" t="s">
        <v>1729</v>
      </c>
      <c r="S995" s="83"/>
      <c r="T995" s="56"/>
      <c r="U995" s="955"/>
      <c r="V995" s="43" t="str">
        <f t="shared" si="614"/>
        <v>D</v>
      </c>
      <c r="W995" s="10"/>
      <c r="X995" s="45" t="s">
        <v>769</v>
      </c>
      <c r="Y995" s="10"/>
      <c r="Z995" s="46" t="str">
        <f t="shared" si="615"/>
        <v>O</v>
      </c>
      <c r="AA995" s="123"/>
      <c r="AB995" s="1459">
        <f t="shared" si="606"/>
        <v>0</v>
      </c>
      <c r="AC995" s="1460" t="str">
        <f t="shared" si="607"/>
        <v>-</v>
      </c>
      <c r="AD995" s="1459">
        <f t="shared" si="608"/>
        <v>0</v>
      </c>
      <c r="AE995" s="964" t="str">
        <f t="shared" si="609"/>
        <v/>
      </c>
      <c r="AF995" s="964" t="str">
        <f t="shared" si="610"/>
        <v/>
      </c>
      <c r="AG995" s="964" t="str">
        <f t="shared" si="611"/>
        <v/>
      </c>
      <c r="AH995" s="964" t="str">
        <f t="shared" si="612"/>
        <v/>
      </c>
      <c r="AI995" s="964" t="str">
        <f t="shared" si="613"/>
        <v/>
      </c>
      <c r="AJ995" s="964"/>
      <c r="AK995" s="964"/>
      <c r="AL995"/>
      <c r="AM995"/>
      <c r="AN995"/>
      <c r="AO995"/>
      <c r="AP995"/>
      <c r="AQ995"/>
      <c r="AR995"/>
      <c r="AS995"/>
      <c r="AT995"/>
      <c r="AU995"/>
      <c r="AV995"/>
      <c r="AW995" s="9"/>
      <c r="AX995" s="9"/>
      <c r="AY995"/>
      <c r="AZ995"/>
      <c r="BA995"/>
      <c r="BB995"/>
      <c r="BC995"/>
      <c r="BD995"/>
      <c r="BE995"/>
      <c r="BF995"/>
      <c r="BG995"/>
      <c r="BH995"/>
      <c r="BI995"/>
      <c r="BJ995"/>
      <c r="BK995"/>
      <c r="BL995"/>
      <c r="BM995"/>
      <c r="BN995"/>
      <c r="BO995"/>
      <c r="BP995"/>
      <c r="BQ995"/>
      <c r="BR995"/>
      <c r="BS995"/>
      <c r="BT995"/>
      <c r="BU995"/>
      <c r="BV995"/>
      <c r="BW995"/>
      <c r="BX995"/>
      <c r="BY995"/>
      <c r="BZ995"/>
      <c r="CA995" s="1396"/>
      <c r="CB995" s="1396"/>
      <c r="CC995"/>
      <c r="CD995"/>
      <c r="CE995"/>
    </row>
    <row r="996" spans="1:83" ht="13.15" customHeight="1" outlineLevel="2" x14ac:dyDescent="0.2">
      <c r="A996"/>
      <c r="B996" s="1"/>
      <c r="C996"/>
      <c r="D996"/>
      <c r="E996"/>
      <c r="F996"/>
      <c r="G996" s="1"/>
      <c r="H996" s="1"/>
      <c r="I996"/>
      <c r="J996"/>
      <c r="K996"/>
      <c r="L996"/>
      <c r="M996"/>
      <c r="N996"/>
      <c r="O996"/>
      <c r="P996"/>
      <c r="Q996"/>
      <c r="R996" s="558" t="s">
        <v>1729</v>
      </c>
      <c r="S996" s="83"/>
      <c r="T996" s="56"/>
      <c r="U996" s="955"/>
      <c r="V996" s="43" t="str">
        <f t="shared" si="614"/>
        <v>F</v>
      </c>
      <c r="W996" s="10"/>
      <c r="X996" s="45" t="s">
        <v>769</v>
      </c>
      <c r="Y996" s="10"/>
      <c r="Z996" s="46" t="str">
        <f t="shared" si="615"/>
        <v>P</v>
      </c>
      <c r="AA996" s="123"/>
      <c r="AB996" s="1459">
        <f t="shared" si="606"/>
        <v>0</v>
      </c>
      <c r="AC996" s="1460" t="str">
        <f t="shared" si="607"/>
        <v>-</v>
      </c>
      <c r="AD996" s="1459">
        <f t="shared" si="608"/>
        <v>0</v>
      </c>
      <c r="AE996" s="964" t="str">
        <f t="shared" si="609"/>
        <v/>
      </c>
      <c r="AF996" s="964" t="str">
        <f t="shared" si="610"/>
        <v/>
      </c>
      <c r="AG996" s="964" t="str">
        <f t="shared" si="611"/>
        <v/>
      </c>
      <c r="AH996" s="964" t="str">
        <f t="shared" si="612"/>
        <v/>
      </c>
      <c r="AI996" s="964" t="str">
        <f t="shared" si="613"/>
        <v/>
      </c>
      <c r="AJ996" s="964"/>
      <c r="AK996" s="964"/>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s="1396"/>
      <c r="CB996" s="1396"/>
      <c r="CC996"/>
      <c r="CD996"/>
      <c r="CE996"/>
    </row>
    <row r="997" spans="1:83" ht="13.15" customHeight="1" outlineLevel="2" x14ac:dyDescent="0.2">
      <c r="A997"/>
      <c r="B997" s="1"/>
      <c r="C997"/>
      <c r="D997"/>
      <c r="E997"/>
      <c r="F997"/>
      <c r="G997" s="1"/>
      <c r="H997" s="1"/>
      <c r="I997"/>
      <c r="J997"/>
      <c r="K997"/>
      <c r="L997"/>
      <c r="M997"/>
      <c r="N997"/>
      <c r="O997"/>
      <c r="P997"/>
      <c r="Q997"/>
      <c r="R997" s="558" t="s">
        <v>1729</v>
      </c>
      <c r="S997" s="83"/>
      <c r="T997" s="56"/>
      <c r="U997" s="955"/>
      <c r="V997" s="43" t="str">
        <f t="shared" si="614"/>
        <v>H</v>
      </c>
      <c r="W997" s="10"/>
      <c r="X997" s="45" t="s">
        <v>769</v>
      </c>
      <c r="Y997" s="10"/>
      <c r="Z997" s="46" t="str">
        <f t="shared" si="615"/>
        <v>N</v>
      </c>
      <c r="AA997" s="123"/>
      <c r="AB997" s="1459">
        <f t="shared" si="606"/>
        <v>0</v>
      </c>
      <c r="AC997" s="1460" t="str">
        <f t="shared" si="607"/>
        <v>-</v>
      </c>
      <c r="AD997" s="1459">
        <f t="shared" si="608"/>
        <v>0</v>
      </c>
      <c r="AE997" s="964" t="str">
        <f t="shared" si="609"/>
        <v/>
      </c>
      <c r="AF997" s="964" t="str">
        <f t="shared" si="610"/>
        <v/>
      </c>
      <c r="AG997" s="964" t="str">
        <f t="shared" si="611"/>
        <v/>
      </c>
      <c r="AH997" s="964" t="str">
        <f t="shared" si="612"/>
        <v/>
      </c>
      <c r="AI997" s="964" t="str">
        <f t="shared" si="613"/>
        <v/>
      </c>
      <c r="AJ997" s="964"/>
      <c r="AK997" s="964"/>
      <c r="AL997"/>
      <c r="AM997"/>
      <c r="AN997"/>
      <c r="AO997"/>
      <c r="AP997"/>
      <c r="AQ997"/>
      <c r="AR997"/>
      <c r="AS997"/>
      <c r="AT997"/>
      <c r="AU997"/>
      <c r="AV997"/>
      <c r="AW997"/>
      <c r="AX997" s="9"/>
      <c r="AY997"/>
      <c r="AZ997"/>
      <c r="BA997"/>
      <c r="BB997"/>
      <c r="BC997"/>
      <c r="BD997"/>
      <c r="BE997"/>
      <c r="BF997"/>
      <c r="BG997"/>
      <c r="BH997"/>
      <c r="BI997"/>
      <c r="BJ997"/>
      <c r="BK997"/>
      <c r="BL997"/>
      <c r="BM997"/>
      <c r="BN997"/>
      <c r="BO997"/>
      <c r="BP997"/>
      <c r="BQ997"/>
      <c r="BR997"/>
      <c r="BS997"/>
      <c r="BT997"/>
      <c r="BU997"/>
      <c r="BV997"/>
      <c r="BW997"/>
      <c r="BX997"/>
      <c r="BY997"/>
      <c r="BZ997"/>
      <c r="CA997" s="1396"/>
      <c r="CB997" s="1396"/>
      <c r="CC997"/>
      <c r="CD997"/>
      <c r="CE997"/>
    </row>
    <row r="998" spans="1:83" ht="13.9" customHeight="1" outlineLevel="2" thickBot="1" x14ac:dyDescent="0.25">
      <c r="A998"/>
      <c r="B998" s="1"/>
      <c r="C998"/>
      <c r="D998"/>
      <c r="E998"/>
      <c r="F998"/>
      <c r="G998" s="1"/>
      <c r="H998" s="1"/>
      <c r="I998"/>
      <c r="J998"/>
      <c r="K998"/>
      <c r="L998"/>
      <c r="M998"/>
      <c r="N998"/>
      <c r="O998"/>
      <c r="P998"/>
      <c r="Q998"/>
      <c r="R998" s="558" t="s">
        <v>1729</v>
      </c>
      <c r="S998" s="956"/>
      <c r="T998" s="58"/>
      <c r="U998" s="957"/>
      <c r="V998" s="43" t="str">
        <f t="shared" si="614"/>
        <v>J</v>
      </c>
      <c r="W998" s="10"/>
      <c r="X998" s="45" t="s">
        <v>769</v>
      </c>
      <c r="Y998" s="10"/>
      <c r="Z998" s="46" t="str">
        <f>Z988</f>
        <v>L</v>
      </c>
      <c r="AA998" s="123"/>
      <c r="AB998" s="1459">
        <f t="shared" si="606"/>
        <v>0</v>
      </c>
      <c r="AC998" s="1460" t="str">
        <f t="shared" si="607"/>
        <v>-</v>
      </c>
      <c r="AD998" s="1459">
        <f t="shared" si="608"/>
        <v>0</v>
      </c>
      <c r="AE998" s="964" t="str">
        <f t="shared" si="609"/>
        <v/>
      </c>
      <c r="AF998" s="964" t="str">
        <f t="shared" si="610"/>
        <v/>
      </c>
      <c r="AG998" s="964" t="str">
        <f t="shared" si="611"/>
        <v/>
      </c>
      <c r="AH998" s="964" t="str">
        <f t="shared" si="612"/>
        <v/>
      </c>
      <c r="AI998" s="964" t="str">
        <f t="shared" si="613"/>
        <v/>
      </c>
      <c r="AJ998" s="964"/>
      <c r="AK998" s="964"/>
      <c r="AL998"/>
      <c r="AM998"/>
      <c r="AN998"/>
      <c r="AO998"/>
      <c r="AP998"/>
      <c r="AQ998"/>
      <c r="AR998"/>
      <c r="AS998"/>
      <c r="AT998"/>
      <c r="AU998"/>
      <c r="AV998"/>
      <c r="AW998" s="9"/>
      <c r="AX998" s="9"/>
      <c r="AY998"/>
      <c r="AZ998"/>
      <c r="BA998"/>
      <c r="BB998"/>
      <c r="BC998"/>
      <c r="BD998"/>
      <c r="BE998"/>
      <c r="BF998"/>
      <c r="BG998"/>
      <c r="BH998"/>
      <c r="BI998"/>
      <c r="BJ998"/>
      <c r="BK998"/>
      <c r="BL998"/>
      <c r="BM998"/>
      <c r="BN998"/>
      <c r="BO998"/>
      <c r="BP998"/>
      <c r="BQ998"/>
      <c r="BR998"/>
      <c r="BS998"/>
      <c r="BT998"/>
      <c r="BU998"/>
      <c r="BV998"/>
      <c r="BW998"/>
      <c r="BX998"/>
      <c r="BY998"/>
      <c r="BZ998"/>
      <c r="CA998" s="1396"/>
      <c r="CB998" s="1396"/>
      <c r="CC998"/>
      <c r="CD998"/>
      <c r="CE998"/>
    </row>
    <row r="999" spans="1:83" ht="13.5" outlineLevel="1" thickBot="1" x14ac:dyDescent="0.25">
      <c r="A999"/>
      <c r="B999" s="1"/>
      <c r="C999" s="1"/>
      <c r="D999" s="76"/>
      <c r="E999" s="76"/>
      <c r="F999" s="76"/>
      <c r="G999" s="9"/>
      <c r="H999" s="9"/>
      <c r="I999" s="1"/>
      <c r="J999"/>
      <c r="K999"/>
      <c r="L999"/>
      <c r="M999"/>
      <c r="N999"/>
      <c r="O999"/>
      <c r="P999" s="89"/>
      <c r="Q999"/>
      <c r="R999" s="1"/>
      <c r="S999" s="993">
        <f>S989+1</f>
        <v>5</v>
      </c>
      <c r="T999" s="961"/>
      <c r="U999" s="961"/>
      <c r="V999" s="961"/>
      <c r="W999" s="960"/>
      <c r="X999" s="960"/>
      <c r="Y999" s="960"/>
      <c r="Z999" s="962"/>
      <c r="AA999" s="123"/>
      <c r="AB999" s="963"/>
      <c r="AC999" s="963"/>
      <c r="AD999" s="963"/>
      <c r="AE999" s="964"/>
      <c r="AF999" s="964"/>
      <c r="AG999" s="964"/>
      <c r="AH999" s="964"/>
      <c r="AI999" s="964"/>
      <c r="AJ999" s="964"/>
      <c r="AK999" s="964"/>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s="1396"/>
      <c r="CB999" s="1396"/>
      <c r="CC999"/>
      <c r="CD999"/>
      <c r="CE999"/>
    </row>
    <row r="1000" spans="1:83" ht="13.9" customHeight="1" outlineLevel="2" thickBot="1" x14ac:dyDescent="0.25">
      <c r="A1000"/>
      <c r="B1000" s="1"/>
      <c r="C1000"/>
      <c r="D1000"/>
      <c r="E1000"/>
      <c r="F1000"/>
      <c r="G1000" s="1"/>
      <c r="H1000" s="1"/>
      <c r="I1000"/>
      <c r="J1000"/>
      <c r="K1000"/>
      <c r="L1000"/>
      <c r="M1000"/>
      <c r="N1000"/>
      <c r="O1000"/>
      <c r="P1000"/>
      <c r="Q1000"/>
      <c r="S1000" s="22" t="str">
        <f>N_Heure</f>
        <v>Heure</v>
      </c>
      <c r="T1000" s="22" t="str">
        <f>N_Table</f>
        <v>Table</v>
      </c>
      <c r="U1000" s="22" t="str">
        <f>N_Arbitre</f>
        <v>Arbitre</v>
      </c>
      <c r="V1000" s="293" t="str">
        <f>N_Matches</f>
        <v>Matches</v>
      </c>
      <c r="W1000" s="294"/>
      <c r="X1000" s="294"/>
      <c r="Y1000" s="294"/>
      <c r="Z1000" s="295"/>
      <c r="AA1000" s="8"/>
      <c r="AB1000" s="967"/>
      <c r="AC1000" s="967"/>
      <c r="AD1000" s="967"/>
      <c r="AE1000" s="964"/>
      <c r="AF1000" s="964"/>
      <c r="AG1000" s="964"/>
      <c r="AH1000" s="964"/>
      <c r="AI1000" s="964"/>
      <c r="AJ1000" s="964"/>
      <c r="AK1000" s="964"/>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s="1396"/>
      <c r="CB1000" s="1396"/>
      <c r="CC1000"/>
      <c r="CD1000"/>
      <c r="CE1000"/>
    </row>
    <row r="1001" spans="1:83" ht="13.15" customHeight="1" outlineLevel="2" x14ac:dyDescent="0.2">
      <c r="A1001"/>
      <c r="B1001" s="1"/>
      <c r="C1001"/>
      <c r="D1001"/>
      <c r="E1001"/>
      <c r="F1001"/>
      <c r="G1001" s="1"/>
      <c r="H1001" s="1"/>
      <c r="I1001"/>
      <c r="J1001"/>
      <c r="K1001"/>
      <c r="L1001"/>
      <c r="M1001"/>
      <c r="N1001"/>
      <c r="O1001"/>
      <c r="P1001"/>
      <c r="Q1001"/>
      <c r="R1001" s="558" t="s">
        <v>1730</v>
      </c>
      <c r="S1001" s="65"/>
      <c r="T1001" s="953"/>
      <c r="U1001" s="954"/>
      <c r="V1001" s="34" t="str">
        <f>Z991</f>
        <v>A</v>
      </c>
      <c r="W1001" s="148"/>
      <c r="X1001" s="35" t="s">
        <v>769</v>
      </c>
      <c r="Y1001" s="148"/>
      <c r="Z1001" s="36" t="str">
        <f>Z992</f>
        <v>I</v>
      </c>
      <c r="AA1001" s="123"/>
      <c r="AB1001" s="1459">
        <f t="shared" ref="AB1001:AB1008" si="616">IF(MaxScore,MaxGoals(W1001,Y1001,MaxGoalsValue),IF(W1001="","",W1001))</f>
        <v>0</v>
      </c>
      <c r="AC1001" s="1460" t="str">
        <f t="shared" ref="AC1001:AC1008" si="617">IF(MaxScore,"-",IF(W1001="","","-"))</f>
        <v>-</v>
      </c>
      <c r="AD1001" s="1459">
        <f t="shared" ref="AD1001:AD1008" si="618">IF(MaxScore,MaxGoals(Y1001,W1001,MaxGoalsValue),IF(Y1001="","",Y1001))</f>
        <v>0</v>
      </c>
      <c r="AE1001" s="964" t="str">
        <f t="shared" ref="AE1001:AE1008" si="619">IF(W1001="","",IF(W1001&gt;Y1001,V1001,IF(W1001=Y1001,"",Z1001)))</f>
        <v/>
      </c>
      <c r="AF1001" s="964" t="str">
        <f t="shared" ref="AF1001:AF1008" si="620">IF(W1001="","",IF(W1001=Y1001,V1001,""))</f>
        <v/>
      </c>
      <c r="AG1001" s="964" t="str">
        <f t="shared" ref="AG1001:AG1008" si="621">IF(W1001="","",IF(W1001=Y1001,Z1001,""))</f>
        <v/>
      </c>
      <c r="AH1001" s="964" t="str">
        <f t="shared" ref="AH1001:AH1008" si="622">IF(W1001="","",IF(W1001&lt;Y1001,V1001,IF(W1001=Y1001,"",Z1001)))</f>
        <v/>
      </c>
      <c r="AI1001" s="964" t="str">
        <f t="shared" ref="AI1001:AI1008" si="623">CONCATENATE(AE1001,AH1001)</f>
        <v/>
      </c>
      <c r="AJ1001" s="964"/>
      <c r="AK1001" s="964"/>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s="1396"/>
      <c r="CB1001" s="1396"/>
      <c r="CC1001"/>
      <c r="CD1001"/>
      <c r="CE1001"/>
    </row>
    <row r="1002" spans="1:83" ht="13.15" customHeight="1" outlineLevel="2" x14ac:dyDescent="0.2">
      <c r="A1002"/>
      <c r="B1002" s="1"/>
      <c r="C1002"/>
      <c r="D1002"/>
      <c r="E1002"/>
      <c r="F1002"/>
      <c r="G1002" s="1"/>
      <c r="H1002" s="1"/>
      <c r="I1002"/>
      <c r="J1002"/>
      <c r="K1002"/>
      <c r="L1002"/>
      <c r="M1002"/>
      <c r="N1002"/>
      <c r="O1002"/>
      <c r="P1002"/>
      <c r="Q1002"/>
      <c r="R1002" s="558" t="s">
        <v>1730</v>
      </c>
      <c r="S1002" s="83"/>
      <c r="T1002" s="56"/>
      <c r="U1002" s="955"/>
      <c r="V1002" s="43" t="str">
        <f t="shared" ref="V1002:V1007" si="624">Z993</f>
        <v>K</v>
      </c>
      <c r="W1002" s="10"/>
      <c r="X1002" s="45" t="s">
        <v>769</v>
      </c>
      <c r="Y1002" s="10"/>
      <c r="Z1002" s="46" t="str">
        <f t="shared" ref="Z1002:Z1007" si="625">V991</f>
        <v>G</v>
      </c>
      <c r="AA1002" s="123"/>
      <c r="AB1002" s="1459">
        <f t="shared" si="616"/>
        <v>0</v>
      </c>
      <c r="AC1002" s="1460" t="str">
        <f t="shared" si="617"/>
        <v>-</v>
      </c>
      <c r="AD1002" s="1459">
        <f t="shared" si="618"/>
        <v>0</v>
      </c>
      <c r="AE1002" s="964" t="str">
        <f t="shared" si="619"/>
        <v/>
      </c>
      <c r="AF1002" s="964" t="str">
        <f t="shared" si="620"/>
        <v/>
      </c>
      <c r="AG1002" s="964" t="str">
        <f t="shared" si="621"/>
        <v/>
      </c>
      <c r="AH1002" s="964" t="str">
        <f t="shared" si="622"/>
        <v/>
      </c>
      <c r="AI1002" s="964" t="str">
        <f t="shared" si="623"/>
        <v/>
      </c>
      <c r="AJ1002" s="964"/>
      <c r="AK1002" s="964"/>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s="1396"/>
      <c r="CB1002" s="1396"/>
      <c r="CC1002"/>
      <c r="CD1002"/>
      <c r="CE1002"/>
    </row>
    <row r="1003" spans="1:83" ht="13.15" customHeight="1" outlineLevel="2" x14ac:dyDescent="0.2">
      <c r="A1003"/>
      <c r="B1003" s="1"/>
      <c r="C1003"/>
      <c r="D1003"/>
      <c r="E1003"/>
      <c r="F1003"/>
      <c r="G1003" s="1"/>
      <c r="H1003" s="1"/>
      <c r="I1003"/>
      <c r="J1003"/>
      <c r="K1003"/>
      <c r="L1003"/>
      <c r="M1003"/>
      <c r="N1003"/>
      <c r="O1003"/>
      <c r="P1003"/>
      <c r="Q1003"/>
      <c r="R1003" s="558" t="s">
        <v>1730</v>
      </c>
      <c r="S1003" s="83"/>
      <c r="T1003" s="56"/>
      <c r="U1003" s="955"/>
      <c r="V1003" s="43" t="str">
        <f t="shared" si="624"/>
        <v>M</v>
      </c>
      <c r="W1003" s="10"/>
      <c r="X1003" s="45" t="s">
        <v>769</v>
      </c>
      <c r="Y1003" s="10"/>
      <c r="Z1003" s="46" t="str">
        <f t="shared" si="625"/>
        <v>E</v>
      </c>
      <c r="AA1003" s="123"/>
      <c r="AB1003" s="1459">
        <f t="shared" si="616"/>
        <v>0</v>
      </c>
      <c r="AC1003" s="1460" t="str">
        <f t="shared" si="617"/>
        <v>-</v>
      </c>
      <c r="AD1003" s="1459">
        <f t="shared" si="618"/>
        <v>0</v>
      </c>
      <c r="AE1003" s="964" t="str">
        <f t="shared" si="619"/>
        <v/>
      </c>
      <c r="AF1003" s="964" t="str">
        <f t="shared" si="620"/>
        <v/>
      </c>
      <c r="AG1003" s="964" t="str">
        <f t="shared" si="621"/>
        <v/>
      </c>
      <c r="AH1003" s="964" t="str">
        <f t="shared" si="622"/>
        <v/>
      </c>
      <c r="AI1003" s="964" t="str">
        <f t="shared" si="623"/>
        <v/>
      </c>
      <c r="AJ1003" s="964"/>
      <c r="AK1003" s="964"/>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s="1396"/>
      <c r="CB1003" s="1396"/>
      <c r="CC1003"/>
      <c r="CD1003"/>
      <c r="CE1003"/>
    </row>
    <row r="1004" spans="1:83" ht="13.15" customHeight="1" outlineLevel="2" x14ac:dyDescent="0.2">
      <c r="A1004"/>
      <c r="B1004" s="1"/>
      <c r="C1004"/>
      <c r="D1004"/>
      <c r="E1004"/>
      <c r="F1004"/>
      <c r="G1004" s="1"/>
      <c r="H1004" s="1"/>
      <c r="I1004"/>
      <c r="J1004"/>
      <c r="K1004"/>
      <c r="L1004"/>
      <c r="M1004"/>
      <c r="N1004"/>
      <c r="O1004"/>
      <c r="P1004"/>
      <c r="Q1004"/>
      <c r="R1004" s="558" t="s">
        <v>1730</v>
      </c>
      <c r="S1004" s="83"/>
      <c r="T1004" s="56"/>
      <c r="U1004" s="955"/>
      <c r="V1004" s="43" t="str">
        <f t="shared" si="624"/>
        <v>O</v>
      </c>
      <c r="W1004" s="10"/>
      <c r="X1004" s="45" t="s">
        <v>769</v>
      </c>
      <c r="Y1004" s="10"/>
      <c r="Z1004" s="46" t="str">
        <f t="shared" si="625"/>
        <v>C</v>
      </c>
      <c r="AA1004" s="123"/>
      <c r="AB1004" s="1459">
        <f t="shared" si="616"/>
        <v>0</v>
      </c>
      <c r="AC1004" s="1460" t="str">
        <f t="shared" si="617"/>
        <v>-</v>
      </c>
      <c r="AD1004" s="1459">
        <f t="shared" si="618"/>
        <v>0</v>
      </c>
      <c r="AE1004" s="964" t="str">
        <f t="shared" si="619"/>
        <v/>
      </c>
      <c r="AF1004" s="964" t="str">
        <f t="shared" si="620"/>
        <v/>
      </c>
      <c r="AG1004" s="964" t="str">
        <f t="shared" si="621"/>
        <v/>
      </c>
      <c r="AH1004" s="964" t="str">
        <f t="shared" si="622"/>
        <v/>
      </c>
      <c r="AI1004" s="964" t="str">
        <f t="shared" si="623"/>
        <v/>
      </c>
      <c r="AJ1004" s="964"/>
      <c r="AK1004" s="964"/>
      <c r="AL1004"/>
      <c r="AM1004"/>
      <c r="AN1004"/>
      <c r="AO1004"/>
      <c r="AP1004"/>
      <c r="AQ1004"/>
      <c r="AR1004"/>
      <c r="AS1004"/>
      <c r="AT1004"/>
      <c r="AU1004"/>
      <c r="AV1004"/>
      <c r="AW1004"/>
      <c r="AX1004" s="9"/>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s="1396"/>
      <c r="CB1004" s="1396"/>
      <c r="CC1004"/>
      <c r="CD1004"/>
      <c r="CE1004"/>
    </row>
    <row r="1005" spans="1:83" ht="13.15" customHeight="1" outlineLevel="2" x14ac:dyDescent="0.2">
      <c r="A1005"/>
      <c r="B1005" s="1"/>
      <c r="C1005"/>
      <c r="D1005"/>
      <c r="E1005"/>
      <c r="F1005"/>
      <c r="G1005" s="1"/>
      <c r="H1005" s="1"/>
      <c r="I1005"/>
      <c r="J1005"/>
      <c r="K1005"/>
      <c r="L1005"/>
      <c r="M1005"/>
      <c r="N1005"/>
      <c r="O1005"/>
      <c r="P1005"/>
      <c r="Q1005"/>
      <c r="R1005" s="558" t="s">
        <v>1730</v>
      </c>
      <c r="S1005" s="83"/>
      <c r="T1005" s="56"/>
      <c r="U1005" s="955"/>
      <c r="V1005" s="43" t="str">
        <f t="shared" si="624"/>
        <v>P</v>
      </c>
      <c r="W1005" s="10"/>
      <c r="X1005" s="45" t="s">
        <v>769</v>
      </c>
      <c r="Y1005" s="10"/>
      <c r="Z1005" s="46" t="str">
        <f t="shared" si="625"/>
        <v>B</v>
      </c>
      <c r="AA1005" s="123"/>
      <c r="AB1005" s="1459">
        <f t="shared" si="616"/>
        <v>0</v>
      </c>
      <c r="AC1005" s="1460" t="str">
        <f t="shared" si="617"/>
        <v>-</v>
      </c>
      <c r="AD1005" s="1459">
        <f t="shared" si="618"/>
        <v>0</v>
      </c>
      <c r="AE1005" s="964" t="str">
        <f t="shared" si="619"/>
        <v/>
      </c>
      <c r="AF1005" s="964" t="str">
        <f t="shared" si="620"/>
        <v/>
      </c>
      <c r="AG1005" s="964" t="str">
        <f t="shared" si="621"/>
        <v/>
      </c>
      <c r="AH1005" s="964" t="str">
        <f t="shared" si="622"/>
        <v/>
      </c>
      <c r="AI1005" s="964" t="str">
        <f t="shared" si="623"/>
        <v/>
      </c>
      <c r="AJ1005" s="964"/>
      <c r="AK1005" s="964"/>
      <c r="AL1005"/>
      <c r="AM1005"/>
      <c r="AN1005"/>
      <c r="AO1005"/>
      <c r="AP1005"/>
      <c r="AQ1005"/>
      <c r="AR1005"/>
      <c r="AS1005"/>
      <c r="AT1005"/>
      <c r="AU1005"/>
      <c r="AV1005"/>
      <c r="AW1005" s="9"/>
      <c r="AX1005" s="9"/>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s="1396"/>
      <c r="CB1005" s="1396"/>
      <c r="CC1005"/>
      <c r="CD1005"/>
      <c r="CE1005"/>
    </row>
    <row r="1006" spans="1:83" ht="13.15" customHeight="1" outlineLevel="2" x14ac:dyDescent="0.2">
      <c r="A1006"/>
      <c r="B1006" s="1"/>
      <c r="C1006"/>
      <c r="D1006"/>
      <c r="E1006"/>
      <c r="F1006"/>
      <c r="G1006" s="1"/>
      <c r="H1006" s="1"/>
      <c r="I1006"/>
      <c r="J1006"/>
      <c r="K1006"/>
      <c r="L1006"/>
      <c r="M1006"/>
      <c r="N1006"/>
      <c r="O1006"/>
      <c r="P1006"/>
      <c r="Q1006"/>
      <c r="R1006" s="558" t="s">
        <v>1730</v>
      </c>
      <c r="S1006" s="83"/>
      <c r="T1006" s="56"/>
      <c r="U1006" s="955"/>
      <c r="V1006" s="43" t="str">
        <f t="shared" si="624"/>
        <v>N</v>
      </c>
      <c r="W1006" s="10"/>
      <c r="X1006" s="45" t="s">
        <v>769</v>
      </c>
      <c r="Y1006" s="10"/>
      <c r="Z1006" s="46" t="str">
        <f t="shared" si="625"/>
        <v>D</v>
      </c>
      <c r="AA1006" s="123"/>
      <c r="AB1006" s="1459">
        <f t="shared" si="616"/>
        <v>0</v>
      </c>
      <c r="AC1006" s="1460" t="str">
        <f t="shared" si="617"/>
        <v>-</v>
      </c>
      <c r="AD1006" s="1459">
        <f t="shared" si="618"/>
        <v>0</v>
      </c>
      <c r="AE1006" s="964" t="str">
        <f t="shared" si="619"/>
        <v/>
      </c>
      <c r="AF1006" s="964" t="str">
        <f t="shared" si="620"/>
        <v/>
      </c>
      <c r="AG1006" s="964" t="str">
        <f t="shared" si="621"/>
        <v/>
      </c>
      <c r="AH1006" s="964" t="str">
        <f t="shared" si="622"/>
        <v/>
      </c>
      <c r="AI1006" s="964" t="str">
        <f t="shared" si="623"/>
        <v/>
      </c>
      <c r="AJ1006" s="964"/>
      <c r="AK1006" s="964"/>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s="1396"/>
      <c r="CB1006" s="1396"/>
      <c r="CC1006"/>
      <c r="CD1006"/>
      <c r="CE1006"/>
    </row>
    <row r="1007" spans="1:83" ht="13.15" customHeight="1" outlineLevel="2" x14ac:dyDescent="0.2">
      <c r="A1007"/>
      <c r="B1007" s="1"/>
      <c r="C1007"/>
      <c r="D1007"/>
      <c r="E1007"/>
      <c r="F1007"/>
      <c r="G1007" s="1"/>
      <c r="H1007" s="1"/>
      <c r="I1007"/>
      <c r="J1007"/>
      <c r="K1007"/>
      <c r="L1007"/>
      <c r="M1007"/>
      <c r="N1007"/>
      <c r="O1007"/>
      <c r="P1007"/>
      <c r="Q1007"/>
      <c r="R1007" s="558" t="s">
        <v>1730</v>
      </c>
      <c r="S1007" s="83"/>
      <c r="T1007" s="56"/>
      <c r="U1007" s="955"/>
      <c r="V1007" s="43" t="str">
        <f t="shared" si="624"/>
        <v>L</v>
      </c>
      <c r="W1007" s="10"/>
      <c r="X1007" s="45" t="s">
        <v>769</v>
      </c>
      <c r="Y1007" s="10"/>
      <c r="Z1007" s="46" t="str">
        <f t="shared" si="625"/>
        <v>F</v>
      </c>
      <c r="AA1007" s="123"/>
      <c r="AB1007" s="1459">
        <f t="shared" si="616"/>
        <v>0</v>
      </c>
      <c r="AC1007" s="1460" t="str">
        <f t="shared" si="617"/>
        <v>-</v>
      </c>
      <c r="AD1007" s="1459">
        <f t="shared" si="618"/>
        <v>0</v>
      </c>
      <c r="AE1007" s="964" t="str">
        <f t="shared" si="619"/>
        <v/>
      </c>
      <c r="AF1007" s="964" t="str">
        <f t="shared" si="620"/>
        <v/>
      </c>
      <c r="AG1007" s="964" t="str">
        <f t="shared" si="621"/>
        <v/>
      </c>
      <c r="AH1007" s="964" t="str">
        <f t="shared" si="622"/>
        <v/>
      </c>
      <c r="AI1007" s="964" t="str">
        <f t="shared" si="623"/>
        <v/>
      </c>
      <c r="AJ1007" s="964"/>
      <c r="AK1007" s="964"/>
      <c r="AL1007"/>
      <c r="AM1007"/>
      <c r="AN1007"/>
      <c r="AO1007"/>
      <c r="AP1007"/>
      <c r="AQ1007"/>
      <c r="AR1007"/>
      <c r="AS1007"/>
      <c r="AT1007"/>
      <c r="AU1007"/>
      <c r="AV1007"/>
      <c r="AW1007"/>
      <c r="AX1007" s="9"/>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s="1396"/>
      <c r="CB1007" s="1396"/>
      <c r="CC1007"/>
      <c r="CD1007"/>
      <c r="CE1007"/>
    </row>
    <row r="1008" spans="1:83" ht="13.9" customHeight="1" outlineLevel="2" thickBot="1" x14ac:dyDescent="0.25">
      <c r="A1008"/>
      <c r="B1008" s="1"/>
      <c r="C1008"/>
      <c r="D1008"/>
      <c r="E1008"/>
      <c r="F1008"/>
      <c r="G1008" s="1"/>
      <c r="H1008" s="1"/>
      <c r="I1008"/>
      <c r="J1008"/>
      <c r="K1008"/>
      <c r="L1008"/>
      <c r="M1008"/>
      <c r="N1008"/>
      <c r="O1008"/>
      <c r="P1008"/>
      <c r="Q1008"/>
      <c r="R1008" s="558" t="s">
        <v>1730</v>
      </c>
      <c r="S1008" s="956"/>
      <c r="T1008" s="58"/>
      <c r="U1008" s="957"/>
      <c r="V1008" s="958" t="str">
        <f>V998</f>
        <v>J</v>
      </c>
      <c r="W1008" s="10"/>
      <c r="X1008" s="45" t="s">
        <v>769</v>
      </c>
      <c r="Y1008" s="10"/>
      <c r="Z1008" s="46" t="str">
        <f>V997</f>
        <v>H</v>
      </c>
      <c r="AA1008" s="123"/>
      <c r="AB1008" s="1459">
        <f t="shared" si="616"/>
        <v>0</v>
      </c>
      <c r="AC1008" s="1460" t="str">
        <f t="shared" si="617"/>
        <v>-</v>
      </c>
      <c r="AD1008" s="1459">
        <f t="shared" si="618"/>
        <v>0</v>
      </c>
      <c r="AE1008" s="964" t="str">
        <f t="shared" si="619"/>
        <v/>
      </c>
      <c r="AF1008" s="964" t="str">
        <f t="shared" si="620"/>
        <v/>
      </c>
      <c r="AG1008" s="964" t="str">
        <f t="shared" si="621"/>
        <v/>
      </c>
      <c r="AH1008" s="964" t="str">
        <f t="shared" si="622"/>
        <v/>
      </c>
      <c r="AI1008" s="964" t="str">
        <f t="shared" si="623"/>
        <v/>
      </c>
      <c r="AJ1008" s="964"/>
      <c r="AK1008" s="964"/>
      <c r="AL1008"/>
      <c r="AM1008"/>
      <c r="AN1008"/>
      <c r="AO1008"/>
      <c r="AP1008"/>
      <c r="AQ1008"/>
      <c r="AR1008"/>
      <c r="AS1008"/>
      <c r="AT1008"/>
      <c r="AU1008"/>
      <c r="AV1008"/>
      <c r="AW1008" s="9"/>
      <c r="AX1008" s="9"/>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s="1396"/>
      <c r="CB1008" s="1396"/>
      <c r="CC1008"/>
      <c r="CD1008"/>
      <c r="CE1008"/>
    </row>
    <row r="1009" spans="1:83" ht="13.5" outlineLevel="1" thickBot="1" x14ac:dyDescent="0.25">
      <c r="A1009"/>
      <c r="B1009" s="1"/>
      <c r="C1009" s="1"/>
      <c r="D1009" s="76"/>
      <c r="E1009" s="76"/>
      <c r="F1009" s="76"/>
      <c r="G1009" s="9"/>
      <c r="H1009" s="9"/>
      <c r="I1009" s="1"/>
      <c r="J1009"/>
      <c r="K1009"/>
      <c r="L1009"/>
      <c r="M1009"/>
      <c r="N1009"/>
      <c r="O1009"/>
      <c r="P1009" s="89"/>
      <c r="Q1009"/>
      <c r="R1009" s="1"/>
      <c r="S1009" s="993">
        <f>S999+1</f>
        <v>6</v>
      </c>
      <c r="T1009" s="961"/>
      <c r="U1009" s="961"/>
      <c r="V1009" s="961"/>
      <c r="W1009" s="960"/>
      <c r="X1009" s="960"/>
      <c r="Y1009" s="960"/>
      <c r="Z1009" s="962"/>
      <c r="AA1009" s="123"/>
      <c r="AB1009" s="963"/>
      <c r="AC1009" s="963"/>
      <c r="AD1009" s="963"/>
      <c r="AE1009" s="964"/>
      <c r="AF1009" s="964"/>
      <c r="AG1009" s="964"/>
      <c r="AH1009" s="964"/>
      <c r="AI1009" s="964"/>
      <c r="AJ1009" s="964"/>
      <c r="AK1009" s="964"/>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s="1396"/>
      <c r="CB1009" s="1396"/>
      <c r="CC1009"/>
      <c r="CD1009"/>
      <c r="CE1009"/>
    </row>
    <row r="1010" spans="1:83" ht="13.9" customHeight="1" outlineLevel="2" thickBot="1" x14ac:dyDescent="0.25">
      <c r="A1010"/>
      <c r="B1010" s="1"/>
      <c r="C1010"/>
      <c r="D1010"/>
      <c r="E1010"/>
      <c r="F1010"/>
      <c r="G1010" s="1"/>
      <c r="H1010" s="1"/>
      <c r="I1010"/>
      <c r="J1010"/>
      <c r="K1010"/>
      <c r="L1010"/>
      <c r="M1010"/>
      <c r="N1010"/>
      <c r="O1010"/>
      <c r="P1010"/>
      <c r="Q1010"/>
      <c r="S1010" s="22" t="str">
        <f>N_Heure</f>
        <v>Heure</v>
      </c>
      <c r="T1010" s="22" t="str">
        <f>N_Table</f>
        <v>Table</v>
      </c>
      <c r="U1010" s="22" t="str">
        <f>N_Arbitre</f>
        <v>Arbitre</v>
      </c>
      <c r="V1010" s="293" t="str">
        <f>N_Matches</f>
        <v>Matches</v>
      </c>
      <c r="W1010" s="294"/>
      <c r="X1010" s="294"/>
      <c r="Y1010" s="294"/>
      <c r="Z1010" s="295"/>
      <c r="AA1010" s="8"/>
      <c r="AB1010" s="967"/>
      <c r="AC1010" s="967"/>
      <c r="AD1010" s="967"/>
      <c r="AE1010" s="964"/>
      <c r="AF1010" s="964"/>
      <c r="AG1010" s="964"/>
      <c r="AH1010" s="964"/>
      <c r="AI1010" s="964"/>
      <c r="AJ1010" s="964"/>
      <c r="AK1010" s="964"/>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s="1396"/>
      <c r="CB1010" s="1396"/>
      <c r="CC1010"/>
      <c r="CD1010"/>
      <c r="CE1010"/>
    </row>
    <row r="1011" spans="1:83" ht="13.15" customHeight="1" outlineLevel="2" x14ac:dyDescent="0.2">
      <c r="A1011"/>
      <c r="B1011" s="1"/>
      <c r="C1011"/>
      <c r="D1011"/>
      <c r="E1011"/>
      <c r="F1011"/>
      <c r="G1011" s="1"/>
      <c r="H1011" s="1"/>
      <c r="I1011"/>
      <c r="J1011"/>
      <c r="K1011"/>
      <c r="L1011"/>
      <c r="M1011"/>
      <c r="N1011"/>
      <c r="O1011"/>
      <c r="P1011"/>
      <c r="Q1011"/>
      <c r="R1011" s="558" t="s">
        <v>1731</v>
      </c>
      <c r="S1011" s="65"/>
      <c r="T1011" s="953"/>
      <c r="U1011" s="954"/>
      <c r="V1011" s="34" t="str">
        <f>V1002</f>
        <v>K</v>
      </c>
      <c r="W1011" s="148"/>
      <c r="X1011" s="35" t="s">
        <v>769</v>
      </c>
      <c r="Y1011" s="148"/>
      <c r="Z1011" s="36" t="str">
        <f>V1001</f>
        <v>A</v>
      </c>
      <c r="AA1011" s="123"/>
      <c r="AB1011" s="1459">
        <f t="shared" ref="AB1011:AB1018" si="626">IF(MaxScore,MaxGoals(W1011,Y1011,MaxGoalsValue),IF(W1011="","",W1011))</f>
        <v>0</v>
      </c>
      <c r="AC1011" s="1460" t="str">
        <f t="shared" ref="AC1011:AC1018" si="627">IF(MaxScore,"-",IF(W1011="","","-"))</f>
        <v>-</v>
      </c>
      <c r="AD1011" s="1459">
        <f t="shared" ref="AD1011:AD1018" si="628">IF(MaxScore,MaxGoals(Y1011,W1011,MaxGoalsValue),IF(Y1011="","",Y1011))</f>
        <v>0</v>
      </c>
      <c r="AE1011" s="964" t="str">
        <f t="shared" ref="AE1011:AE1018" si="629">IF(W1011="","",IF(W1011&gt;Y1011,V1011,IF(W1011=Y1011,"",Z1011)))</f>
        <v/>
      </c>
      <c r="AF1011" s="964" t="str">
        <f t="shared" ref="AF1011:AF1018" si="630">IF(W1011="","",IF(W1011=Y1011,V1011,""))</f>
        <v/>
      </c>
      <c r="AG1011" s="964" t="str">
        <f t="shared" ref="AG1011:AG1018" si="631">IF(W1011="","",IF(W1011=Y1011,Z1011,""))</f>
        <v/>
      </c>
      <c r="AH1011" s="964" t="str">
        <f t="shared" ref="AH1011:AH1018" si="632">IF(W1011="","",IF(W1011&lt;Y1011,V1011,IF(W1011=Y1011,"",Z1011)))</f>
        <v/>
      </c>
      <c r="AI1011" s="964" t="str">
        <f t="shared" ref="AI1011:AI1018" si="633">CONCATENATE(AE1011,AH1011)</f>
        <v/>
      </c>
      <c r="AJ1011" s="964"/>
      <c r="AK1011" s="964"/>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s="1396"/>
      <c r="CB1011" s="1396"/>
      <c r="CC1011"/>
      <c r="CD1011"/>
      <c r="CE1011"/>
    </row>
    <row r="1012" spans="1:83" ht="13.15" customHeight="1" outlineLevel="2" x14ac:dyDescent="0.2">
      <c r="A1012"/>
      <c r="B1012" s="1"/>
      <c r="C1012"/>
      <c r="D1012"/>
      <c r="E1012"/>
      <c r="F1012"/>
      <c r="G1012" s="1"/>
      <c r="H1012" s="1"/>
      <c r="I1012"/>
      <c r="J1012"/>
      <c r="K1012"/>
      <c r="L1012"/>
      <c r="M1012"/>
      <c r="N1012"/>
      <c r="O1012"/>
      <c r="P1012"/>
      <c r="Q1012"/>
      <c r="R1012" s="558" t="s">
        <v>1731</v>
      </c>
      <c r="S1012" s="83"/>
      <c r="T1012" s="56"/>
      <c r="U1012" s="955"/>
      <c r="V1012" s="43" t="str">
        <f t="shared" ref="V1012:V1018" si="634">Z1001</f>
        <v>I</v>
      </c>
      <c r="W1012" s="10"/>
      <c r="X1012" s="45" t="s">
        <v>769</v>
      </c>
      <c r="Y1012" s="10"/>
      <c r="Z1012" s="46" t="str">
        <f t="shared" ref="Z1012:Z1017" si="635">V1003</f>
        <v>M</v>
      </c>
      <c r="AA1012" s="123"/>
      <c r="AB1012" s="1459">
        <f t="shared" si="626"/>
        <v>0</v>
      </c>
      <c r="AC1012" s="1460" t="str">
        <f t="shared" si="627"/>
        <v>-</v>
      </c>
      <c r="AD1012" s="1459">
        <f t="shared" si="628"/>
        <v>0</v>
      </c>
      <c r="AE1012" s="964" t="str">
        <f t="shared" si="629"/>
        <v/>
      </c>
      <c r="AF1012" s="964" t="str">
        <f t="shared" si="630"/>
        <v/>
      </c>
      <c r="AG1012" s="964" t="str">
        <f t="shared" si="631"/>
        <v/>
      </c>
      <c r="AH1012" s="964" t="str">
        <f t="shared" si="632"/>
        <v/>
      </c>
      <c r="AI1012" s="964" t="str">
        <f t="shared" si="633"/>
        <v/>
      </c>
      <c r="AJ1012" s="964"/>
      <c r="AK1012" s="964"/>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s="1396"/>
      <c r="CB1012" s="1396"/>
      <c r="CC1012"/>
      <c r="CD1012"/>
      <c r="CE1012"/>
    </row>
    <row r="1013" spans="1:83" ht="13.15" customHeight="1" outlineLevel="2" x14ac:dyDescent="0.2">
      <c r="A1013"/>
      <c r="B1013" s="1"/>
      <c r="C1013"/>
      <c r="D1013"/>
      <c r="E1013"/>
      <c r="F1013"/>
      <c r="G1013" s="1"/>
      <c r="H1013" s="1"/>
      <c r="I1013"/>
      <c r="J1013"/>
      <c r="K1013"/>
      <c r="L1013"/>
      <c r="M1013"/>
      <c r="N1013"/>
      <c r="O1013"/>
      <c r="P1013"/>
      <c r="Q1013"/>
      <c r="R1013" s="558" t="s">
        <v>1731</v>
      </c>
      <c r="S1013" s="83"/>
      <c r="T1013" s="56"/>
      <c r="U1013" s="955"/>
      <c r="V1013" s="43" t="str">
        <f t="shared" si="634"/>
        <v>G</v>
      </c>
      <c r="W1013" s="10"/>
      <c r="X1013" s="45" t="s">
        <v>769</v>
      </c>
      <c r="Y1013" s="10"/>
      <c r="Z1013" s="46" t="str">
        <f t="shared" si="635"/>
        <v>O</v>
      </c>
      <c r="AA1013" s="123"/>
      <c r="AB1013" s="1459">
        <f t="shared" si="626"/>
        <v>0</v>
      </c>
      <c r="AC1013" s="1460" t="str">
        <f t="shared" si="627"/>
        <v>-</v>
      </c>
      <c r="AD1013" s="1459">
        <f t="shared" si="628"/>
        <v>0</v>
      </c>
      <c r="AE1013" s="964" t="str">
        <f t="shared" si="629"/>
        <v/>
      </c>
      <c r="AF1013" s="964" t="str">
        <f t="shared" si="630"/>
        <v/>
      </c>
      <c r="AG1013" s="964" t="str">
        <f t="shared" si="631"/>
        <v/>
      </c>
      <c r="AH1013" s="964" t="str">
        <f t="shared" si="632"/>
        <v/>
      </c>
      <c r="AI1013" s="964" t="str">
        <f t="shared" si="633"/>
        <v/>
      </c>
      <c r="AJ1013" s="964"/>
      <c r="AK1013" s="964"/>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s="1396"/>
      <c r="CB1013" s="1396"/>
      <c r="CC1013"/>
      <c r="CD1013"/>
      <c r="CE1013"/>
    </row>
    <row r="1014" spans="1:83" ht="13.15" customHeight="1" outlineLevel="2" x14ac:dyDescent="0.2">
      <c r="A1014"/>
      <c r="B1014" s="1"/>
      <c r="C1014"/>
      <c r="D1014"/>
      <c r="E1014"/>
      <c r="F1014"/>
      <c r="G1014" s="1"/>
      <c r="H1014" s="1"/>
      <c r="I1014"/>
      <c r="J1014"/>
      <c r="K1014"/>
      <c r="L1014"/>
      <c r="M1014"/>
      <c r="N1014"/>
      <c r="O1014"/>
      <c r="P1014"/>
      <c r="Q1014"/>
      <c r="R1014" s="558" t="s">
        <v>1731</v>
      </c>
      <c r="S1014" s="83"/>
      <c r="T1014" s="56"/>
      <c r="U1014" s="955"/>
      <c r="V1014" s="43" t="str">
        <f t="shared" si="634"/>
        <v>E</v>
      </c>
      <c r="W1014" s="10"/>
      <c r="X1014" s="45" t="s">
        <v>769</v>
      </c>
      <c r="Y1014" s="10"/>
      <c r="Z1014" s="46" t="str">
        <f t="shared" si="635"/>
        <v>P</v>
      </c>
      <c r="AA1014" s="123"/>
      <c r="AB1014" s="1459">
        <f t="shared" si="626"/>
        <v>0</v>
      </c>
      <c r="AC1014" s="1460" t="str">
        <f t="shared" si="627"/>
        <v>-</v>
      </c>
      <c r="AD1014" s="1459">
        <f t="shared" si="628"/>
        <v>0</v>
      </c>
      <c r="AE1014" s="964" t="str">
        <f t="shared" si="629"/>
        <v/>
      </c>
      <c r="AF1014" s="964" t="str">
        <f t="shared" si="630"/>
        <v/>
      </c>
      <c r="AG1014" s="964" t="str">
        <f t="shared" si="631"/>
        <v/>
      </c>
      <c r="AH1014" s="964" t="str">
        <f t="shared" si="632"/>
        <v/>
      </c>
      <c r="AI1014" s="964" t="str">
        <f t="shared" si="633"/>
        <v/>
      </c>
      <c r="AJ1014" s="964"/>
      <c r="AK1014" s="964"/>
      <c r="AL1014"/>
      <c r="AM1014"/>
      <c r="AN1014"/>
      <c r="AO1014"/>
      <c r="AP1014"/>
      <c r="AQ1014"/>
      <c r="AR1014"/>
      <c r="AS1014"/>
      <c r="AT1014"/>
      <c r="AU1014"/>
      <c r="AV1014"/>
      <c r="AW1014"/>
      <c r="AX1014" s="9"/>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s="1396"/>
      <c r="CB1014" s="1396"/>
      <c r="CC1014"/>
      <c r="CD1014"/>
      <c r="CE1014"/>
    </row>
    <row r="1015" spans="1:83" ht="13.15" customHeight="1" outlineLevel="2" x14ac:dyDescent="0.2">
      <c r="A1015"/>
      <c r="B1015" s="1"/>
      <c r="C1015"/>
      <c r="D1015"/>
      <c r="E1015"/>
      <c r="F1015"/>
      <c r="G1015" s="1"/>
      <c r="H1015" s="1"/>
      <c r="I1015"/>
      <c r="J1015"/>
      <c r="K1015"/>
      <c r="L1015"/>
      <c r="M1015"/>
      <c r="N1015"/>
      <c r="O1015"/>
      <c r="P1015"/>
      <c r="Q1015"/>
      <c r="R1015" s="558" t="s">
        <v>1731</v>
      </c>
      <c r="S1015" s="83"/>
      <c r="T1015" s="56"/>
      <c r="U1015" s="955"/>
      <c r="V1015" s="43" t="str">
        <f t="shared" si="634"/>
        <v>C</v>
      </c>
      <c r="W1015" s="10"/>
      <c r="X1015" s="45" t="s">
        <v>769</v>
      </c>
      <c r="Y1015" s="10"/>
      <c r="Z1015" s="46" t="str">
        <f t="shared" si="635"/>
        <v>N</v>
      </c>
      <c r="AA1015" s="123"/>
      <c r="AB1015" s="1459">
        <f t="shared" si="626"/>
        <v>0</v>
      </c>
      <c r="AC1015" s="1460" t="str">
        <f t="shared" si="627"/>
        <v>-</v>
      </c>
      <c r="AD1015" s="1459">
        <f t="shared" si="628"/>
        <v>0</v>
      </c>
      <c r="AE1015" s="964" t="str">
        <f t="shared" si="629"/>
        <v/>
      </c>
      <c r="AF1015" s="964" t="str">
        <f t="shared" si="630"/>
        <v/>
      </c>
      <c r="AG1015" s="964" t="str">
        <f t="shared" si="631"/>
        <v/>
      </c>
      <c r="AH1015" s="964" t="str">
        <f t="shared" si="632"/>
        <v/>
      </c>
      <c r="AI1015" s="964" t="str">
        <f t="shared" si="633"/>
        <v/>
      </c>
      <c r="AJ1015" s="964"/>
      <c r="AK1015" s="964"/>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s="1396"/>
      <c r="CB1015" s="1396"/>
      <c r="CC1015"/>
      <c r="CD1015"/>
      <c r="CE1015"/>
    </row>
    <row r="1016" spans="1:83" ht="13.15" customHeight="1" outlineLevel="2" x14ac:dyDescent="0.2">
      <c r="A1016"/>
      <c r="B1016" s="1"/>
      <c r="C1016"/>
      <c r="D1016"/>
      <c r="E1016"/>
      <c r="F1016"/>
      <c r="G1016" s="1"/>
      <c r="H1016" s="1"/>
      <c r="I1016"/>
      <c r="J1016"/>
      <c r="K1016"/>
      <c r="L1016"/>
      <c r="M1016"/>
      <c r="N1016"/>
      <c r="O1016"/>
      <c r="P1016"/>
      <c r="Q1016"/>
      <c r="R1016" s="558" t="s">
        <v>1731</v>
      </c>
      <c r="S1016" s="83"/>
      <c r="T1016" s="56"/>
      <c r="U1016" s="955"/>
      <c r="V1016" s="43" t="str">
        <f t="shared" si="634"/>
        <v>B</v>
      </c>
      <c r="W1016" s="10"/>
      <c r="X1016" s="45" t="s">
        <v>769</v>
      </c>
      <c r="Y1016" s="10"/>
      <c r="Z1016" s="46" t="str">
        <f t="shared" si="635"/>
        <v>L</v>
      </c>
      <c r="AA1016" s="123"/>
      <c r="AB1016" s="1459">
        <f t="shared" si="626"/>
        <v>0</v>
      </c>
      <c r="AC1016" s="1460" t="str">
        <f t="shared" si="627"/>
        <v>-</v>
      </c>
      <c r="AD1016" s="1459">
        <f t="shared" si="628"/>
        <v>0</v>
      </c>
      <c r="AE1016" s="964" t="str">
        <f t="shared" si="629"/>
        <v/>
      </c>
      <c r="AF1016" s="964" t="str">
        <f t="shared" si="630"/>
        <v/>
      </c>
      <c r="AG1016" s="964" t="str">
        <f t="shared" si="631"/>
        <v/>
      </c>
      <c r="AH1016" s="964" t="str">
        <f t="shared" si="632"/>
        <v/>
      </c>
      <c r="AI1016" s="964" t="str">
        <f t="shared" si="633"/>
        <v/>
      </c>
      <c r="AJ1016" s="964"/>
      <c r="AK1016" s="964"/>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s="1396"/>
      <c r="CB1016" s="1396"/>
      <c r="CC1016"/>
      <c r="CD1016"/>
      <c r="CE1016"/>
    </row>
    <row r="1017" spans="1:83" ht="13.15" customHeight="1" outlineLevel="2" x14ac:dyDescent="0.2">
      <c r="A1017"/>
      <c r="B1017" s="1"/>
      <c r="C1017"/>
      <c r="D1017"/>
      <c r="E1017"/>
      <c r="F1017"/>
      <c r="G1017" s="1"/>
      <c r="H1017" s="1"/>
      <c r="I1017"/>
      <c r="J1017"/>
      <c r="K1017"/>
      <c r="L1017"/>
      <c r="M1017"/>
      <c r="N1017"/>
      <c r="O1017"/>
      <c r="P1017"/>
      <c r="Q1017"/>
      <c r="R1017" s="558" t="s">
        <v>1731</v>
      </c>
      <c r="S1017" s="83"/>
      <c r="T1017" s="56"/>
      <c r="U1017" s="955"/>
      <c r="V1017" s="43" t="str">
        <f t="shared" si="634"/>
        <v>D</v>
      </c>
      <c r="W1017" s="10"/>
      <c r="X1017" s="45" t="s">
        <v>769</v>
      </c>
      <c r="Y1017" s="10"/>
      <c r="Z1017" s="46" t="str">
        <f t="shared" si="635"/>
        <v>J</v>
      </c>
      <c r="AA1017" s="123"/>
      <c r="AB1017" s="1459">
        <f t="shared" si="626"/>
        <v>0</v>
      </c>
      <c r="AC1017" s="1460" t="str">
        <f t="shared" si="627"/>
        <v>-</v>
      </c>
      <c r="AD1017" s="1459">
        <f t="shared" si="628"/>
        <v>0</v>
      </c>
      <c r="AE1017" s="964" t="str">
        <f t="shared" si="629"/>
        <v/>
      </c>
      <c r="AF1017" s="964" t="str">
        <f t="shared" si="630"/>
        <v/>
      </c>
      <c r="AG1017" s="964" t="str">
        <f t="shared" si="631"/>
        <v/>
      </c>
      <c r="AH1017" s="964" t="str">
        <f t="shared" si="632"/>
        <v/>
      </c>
      <c r="AI1017" s="964" t="str">
        <f t="shared" si="633"/>
        <v/>
      </c>
      <c r="AJ1017" s="964"/>
      <c r="AK1017" s="964"/>
      <c r="AL1017"/>
      <c r="AM1017"/>
      <c r="AN1017"/>
      <c r="AO1017"/>
      <c r="AP1017"/>
      <c r="AQ1017"/>
      <c r="AR1017"/>
      <c r="AS1017"/>
      <c r="AT1017"/>
      <c r="AU1017"/>
      <c r="AV1017"/>
      <c r="AW1017"/>
      <c r="AX1017" s="9"/>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s="1396"/>
      <c r="CB1017" s="1396"/>
      <c r="CC1017"/>
      <c r="CD1017"/>
      <c r="CE1017"/>
    </row>
    <row r="1018" spans="1:83" ht="13.9" customHeight="1" outlineLevel="2" thickBot="1" x14ac:dyDescent="0.25">
      <c r="A1018"/>
      <c r="B1018" s="1"/>
      <c r="C1018"/>
      <c r="D1018"/>
      <c r="E1018"/>
      <c r="F1018"/>
      <c r="G1018" s="1"/>
      <c r="H1018" s="1"/>
      <c r="I1018"/>
      <c r="J1018"/>
      <c r="K1018"/>
      <c r="L1018"/>
      <c r="M1018"/>
      <c r="N1018"/>
      <c r="O1018"/>
      <c r="P1018"/>
      <c r="Q1018"/>
      <c r="R1018" s="558" t="s">
        <v>1731</v>
      </c>
      <c r="S1018" s="956"/>
      <c r="T1018" s="58"/>
      <c r="U1018" s="957"/>
      <c r="V1018" s="43" t="str">
        <f t="shared" si="634"/>
        <v>F</v>
      </c>
      <c r="W1018" s="10"/>
      <c r="X1018" s="45" t="s">
        <v>769</v>
      </c>
      <c r="Y1018" s="10"/>
      <c r="Z1018" s="46" t="str">
        <f>Z1008</f>
        <v>H</v>
      </c>
      <c r="AA1018" s="123"/>
      <c r="AB1018" s="1459">
        <f t="shared" si="626"/>
        <v>0</v>
      </c>
      <c r="AC1018" s="1460" t="str">
        <f t="shared" si="627"/>
        <v>-</v>
      </c>
      <c r="AD1018" s="1459">
        <f t="shared" si="628"/>
        <v>0</v>
      </c>
      <c r="AE1018" s="964" t="str">
        <f t="shared" si="629"/>
        <v/>
      </c>
      <c r="AF1018" s="964" t="str">
        <f t="shared" si="630"/>
        <v/>
      </c>
      <c r="AG1018" s="964" t="str">
        <f t="shared" si="631"/>
        <v/>
      </c>
      <c r="AH1018" s="964" t="str">
        <f t="shared" si="632"/>
        <v/>
      </c>
      <c r="AI1018" s="964" t="str">
        <f t="shared" si="633"/>
        <v/>
      </c>
      <c r="AJ1018" s="964"/>
      <c r="AK1018" s="964"/>
      <c r="AL1018"/>
      <c r="AM1018"/>
      <c r="AN1018"/>
      <c r="AO1018"/>
      <c r="AP1018"/>
      <c r="AQ1018"/>
      <c r="AR1018"/>
      <c r="AS1018"/>
      <c r="AT1018"/>
      <c r="AU1018"/>
      <c r="AV1018"/>
      <c r="AW1018" s="9"/>
      <c r="AX1018" s="9"/>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s="1396"/>
      <c r="CB1018" s="1396"/>
      <c r="CC1018"/>
      <c r="CD1018"/>
      <c r="CE1018"/>
    </row>
    <row r="1019" spans="1:83" ht="13.5" outlineLevel="1" thickBot="1" x14ac:dyDescent="0.25">
      <c r="A1019"/>
      <c r="B1019" s="1"/>
      <c r="C1019" s="1"/>
      <c r="D1019" s="76"/>
      <c r="E1019" s="76"/>
      <c r="F1019" s="76"/>
      <c r="G1019" s="9"/>
      <c r="H1019" s="9"/>
      <c r="I1019" s="1"/>
      <c r="J1019"/>
      <c r="K1019"/>
      <c r="L1019"/>
      <c r="M1019"/>
      <c r="N1019"/>
      <c r="O1019"/>
      <c r="P1019" s="89"/>
      <c r="Q1019"/>
      <c r="R1019" s="1"/>
      <c r="S1019" s="993">
        <f>S1009+1</f>
        <v>7</v>
      </c>
      <c r="T1019" s="961"/>
      <c r="U1019" s="961"/>
      <c r="V1019" s="961"/>
      <c r="W1019" s="960"/>
      <c r="X1019" s="960"/>
      <c r="Y1019" s="960"/>
      <c r="Z1019" s="962"/>
      <c r="AA1019" s="123"/>
      <c r="AB1019" s="963"/>
      <c r="AC1019" s="963"/>
      <c r="AD1019" s="963"/>
      <c r="AE1019" s="964"/>
      <c r="AF1019" s="964"/>
      <c r="AG1019" s="964"/>
      <c r="AH1019" s="964"/>
      <c r="AI1019" s="964"/>
      <c r="AJ1019" s="964"/>
      <c r="AK1019" s="964"/>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s="1396"/>
      <c r="CB1019" s="1396"/>
      <c r="CC1019"/>
      <c r="CD1019"/>
      <c r="CE1019"/>
    </row>
    <row r="1020" spans="1:83" ht="13.9" customHeight="1" outlineLevel="2" thickBot="1" x14ac:dyDescent="0.25">
      <c r="A1020"/>
      <c r="B1020" s="1"/>
      <c r="C1020"/>
      <c r="D1020"/>
      <c r="E1020"/>
      <c r="F1020"/>
      <c r="G1020" s="1"/>
      <c r="H1020" s="1"/>
      <c r="I1020"/>
      <c r="J1020"/>
      <c r="K1020"/>
      <c r="L1020"/>
      <c r="M1020"/>
      <c r="N1020"/>
      <c r="O1020"/>
      <c r="P1020"/>
      <c r="Q1020"/>
      <c r="S1020" s="22" t="str">
        <f>N_Heure</f>
        <v>Heure</v>
      </c>
      <c r="T1020" s="22" t="str">
        <f>N_Table</f>
        <v>Table</v>
      </c>
      <c r="U1020" s="22" t="str">
        <f>N_Arbitre</f>
        <v>Arbitre</v>
      </c>
      <c r="V1020" s="293" t="str">
        <f>N_Matches</f>
        <v>Matches</v>
      </c>
      <c r="W1020" s="294"/>
      <c r="X1020" s="294"/>
      <c r="Y1020" s="294"/>
      <c r="Z1020" s="295"/>
      <c r="AA1020" s="8"/>
      <c r="AB1020" s="967"/>
      <c r="AC1020" s="967"/>
      <c r="AD1020" s="967"/>
      <c r="AE1020" s="964"/>
      <c r="AF1020" s="964"/>
      <c r="AG1020" s="964"/>
      <c r="AH1020" s="964"/>
      <c r="AI1020" s="964"/>
      <c r="AJ1020" s="964"/>
      <c r="AK1020" s="964"/>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s="1396"/>
      <c r="CB1020" s="1396"/>
      <c r="CC1020"/>
      <c r="CD1020"/>
      <c r="CE1020"/>
    </row>
    <row r="1021" spans="1:83" ht="13.15" customHeight="1" outlineLevel="2" x14ac:dyDescent="0.2">
      <c r="A1021"/>
      <c r="B1021" s="1"/>
      <c r="C1021"/>
      <c r="D1021"/>
      <c r="E1021"/>
      <c r="F1021"/>
      <c r="G1021" s="1"/>
      <c r="H1021" s="1"/>
      <c r="I1021"/>
      <c r="J1021"/>
      <c r="K1021"/>
      <c r="L1021"/>
      <c r="M1021"/>
      <c r="N1021"/>
      <c r="O1021"/>
      <c r="P1021"/>
      <c r="Q1021"/>
      <c r="R1021" s="558" t="s">
        <v>1740</v>
      </c>
      <c r="S1021" s="65"/>
      <c r="T1021" s="953"/>
      <c r="U1021" s="954"/>
      <c r="V1021" s="34" t="str">
        <f>Z1011</f>
        <v>A</v>
      </c>
      <c r="W1021" s="148"/>
      <c r="X1021" s="35" t="s">
        <v>769</v>
      </c>
      <c r="Y1021" s="148"/>
      <c r="Z1021" s="36" t="str">
        <f>Z1012</f>
        <v>M</v>
      </c>
      <c r="AA1021" s="123"/>
      <c r="AB1021" s="1459">
        <f t="shared" ref="AB1021:AB1028" si="636">IF(MaxScore,MaxGoals(W1021,Y1021,MaxGoalsValue),IF(W1021="","",W1021))</f>
        <v>0</v>
      </c>
      <c r="AC1021" s="1460" t="str">
        <f t="shared" ref="AC1021:AC1028" si="637">IF(MaxScore,"-",IF(W1021="","","-"))</f>
        <v>-</v>
      </c>
      <c r="AD1021" s="1459">
        <f t="shared" ref="AD1021:AD1028" si="638">IF(MaxScore,MaxGoals(Y1021,W1021,MaxGoalsValue),IF(Y1021="","",Y1021))</f>
        <v>0</v>
      </c>
      <c r="AE1021" s="964" t="str">
        <f t="shared" ref="AE1021:AE1028" si="639">IF(W1021="","",IF(W1021&gt;Y1021,V1021,IF(W1021=Y1021,"",Z1021)))</f>
        <v/>
      </c>
      <c r="AF1021" s="964" t="str">
        <f t="shared" ref="AF1021:AF1028" si="640">IF(W1021="","",IF(W1021=Y1021,V1021,""))</f>
        <v/>
      </c>
      <c r="AG1021" s="964" t="str">
        <f t="shared" ref="AG1021:AG1028" si="641">IF(W1021="","",IF(W1021=Y1021,Z1021,""))</f>
        <v/>
      </c>
      <c r="AH1021" s="964" t="str">
        <f t="shared" ref="AH1021:AH1028" si="642">IF(W1021="","",IF(W1021&lt;Y1021,V1021,IF(W1021=Y1021,"",Z1021)))</f>
        <v/>
      </c>
      <c r="AI1021" s="964" t="str">
        <f t="shared" ref="AI1021:AI1028" si="643">CONCATENATE(AE1021,AH1021)</f>
        <v/>
      </c>
      <c r="AJ1021" s="964"/>
      <c r="AK1021" s="964"/>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s="1396"/>
      <c r="CB1021" s="1396"/>
      <c r="CC1021"/>
      <c r="CD1021"/>
      <c r="CE1021"/>
    </row>
    <row r="1022" spans="1:83" ht="13.15" customHeight="1" outlineLevel="2" x14ac:dyDescent="0.2">
      <c r="A1022"/>
      <c r="B1022" s="1"/>
      <c r="C1022"/>
      <c r="D1022"/>
      <c r="E1022"/>
      <c r="F1022"/>
      <c r="G1022" s="1"/>
      <c r="H1022" s="1"/>
      <c r="I1022"/>
      <c r="J1022"/>
      <c r="K1022"/>
      <c r="L1022"/>
      <c r="M1022"/>
      <c r="N1022"/>
      <c r="O1022"/>
      <c r="P1022"/>
      <c r="Q1022"/>
      <c r="R1022" s="558" t="s">
        <v>1740</v>
      </c>
      <c r="S1022" s="83"/>
      <c r="T1022" s="56"/>
      <c r="U1022" s="955"/>
      <c r="V1022" s="43" t="str">
        <f t="shared" ref="V1022:V1027" si="644">Z1013</f>
        <v>O</v>
      </c>
      <c r="W1022" s="10"/>
      <c r="X1022" s="45" t="s">
        <v>769</v>
      </c>
      <c r="Y1022" s="10"/>
      <c r="Z1022" s="46" t="str">
        <f t="shared" ref="Z1022:Z1027" si="645">V1011</f>
        <v>K</v>
      </c>
      <c r="AA1022" s="123"/>
      <c r="AB1022" s="1459">
        <f t="shared" si="636"/>
        <v>0</v>
      </c>
      <c r="AC1022" s="1460" t="str">
        <f t="shared" si="637"/>
        <v>-</v>
      </c>
      <c r="AD1022" s="1459">
        <f t="shared" si="638"/>
        <v>0</v>
      </c>
      <c r="AE1022" s="964" t="str">
        <f t="shared" si="639"/>
        <v/>
      </c>
      <c r="AF1022" s="964" t="str">
        <f t="shared" si="640"/>
        <v/>
      </c>
      <c r="AG1022" s="964" t="str">
        <f t="shared" si="641"/>
        <v/>
      </c>
      <c r="AH1022" s="964" t="str">
        <f t="shared" si="642"/>
        <v/>
      </c>
      <c r="AI1022" s="964" t="str">
        <f t="shared" si="643"/>
        <v/>
      </c>
      <c r="AJ1022" s="964"/>
      <c r="AK1022" s="964"/>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s="1396"/>
      <c r="CB1022" s="1396"/>
      <c r="CC1022"/>
      <c r="CD1022"/>
      <c r="CE1022"/>
    </row>
    <row r="1023" spans="1:83" ht="13.15" customHeight="1" outlineLevel="2" x14ac:dyDescent="0.2">
      <c r="A1023"/>
      <c r="B1023" s="1"/>
      <c r="C1023"/>
      <c r="D1023"/>
      <c r="E1023"/>
      <c r="F1023"/>
      <c r="G1023" s="1"/>
      <c r="H1023" s="1"/>
      <c r="I1023"/>
      <c r="J1023"/>
      <c r="K1023"/>
      <c r="L1023"/>
      <c r="M1023"/>
      <c r="N1023"/>
      <c r="O1023"/>
      <c r="P1023"/>
      <c r="Q1023"/>
      <c r="R1023" s="558" t="s">
        <v>1740</v>
      </c>
      <c r="S1023" s="83"/>
      <c r="T1023" s="56"/>
      <c r="U1023" s="955"/>
      <c r="V1023" s="43" t="str">
        <f t="shared" si="644"/>
        <v>P</v>
      </c>
      <c r="W1023" s="10"/>
      <c r="X1023" s="45" t="s">
        <v>769</v>
      </c>
      <c r="Y1023" s="10"/>
      <c r="Z1023" s="46" t="str">
        <f t="shared" si="645"/>
        <v>I</v>
      </c>
      <c r="AA1023" s="123"/>
      <c r="AB1023" s="1459">
        <f t="shared" si="636"/>
        <v>0</v>
      </c>
      <c r="AC1023" s="1460" t="str">
        <f t="shared" si="637"/>
        <v>-</v>
      </c>
      <c r="AD1023" s="1459">
        <f t="shared" si="638"/>
        <v>0</v>
      </c>
      <c r="AE1023" s="964" t="str">
        <f t="shared" si="639"/>
        <v/>
      </c>
      <c r="AF1023" s="964" t="str">
        <f t="shared" si="640"/>
        <v/>
      </c>
      <c r="AG1023" s="964" t="str">
        <f t="shared" si="641"/>
        <v/>
      </c>
      <c r="AH1023" s="964" t="str">
        <f t="shared" si="642"/>
        <v/>
      </c>
      <c r="AI1023" s="964" t="str">
        <f t="shared" si="643"/>
        <v/>
      </c>
      <c r="AJ1023" s="964"/>
      <c r="AK1023" s="964"/>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s="1396"/>
      <c r="CB1023" s="1396"/>
      <c r="CC1023"/>
      <c r="CD1023"/>
      <c r="CE1023"/>
    </row>
    <row r="1024" spans="1:83" ht="13.15" customHeight="1" outlineLevel="2" x14ac:dyDescent="0.2">
      <c r="A1024"/>
      <c r="B1024" s="1"/>
      <c r="C1024"/>
      <c r="D1024"/>
      <c r="E1024"/>
      <c r="F1024"/>
      <c r="G1024" s="1"/>
      <c r="H1024" s="1"/>
      <c r="I1024"/>
      <c r="J1024"/>
      <c r="K1024"/>
      <c r="L1024"/>
      <c r="M1024"/>
      <c r="N1024"/>
      <c r="O1024"/>
      <c r="P1024"/>
      <c r="Q1024"/>
      <c r="R1024" s="558" t="s">
        <v>1740</v>
      </c>
      <c r="S1024" s="83"/>
      <c r="T1024" s="56"/>
      <c r="U1024" s="955"/>
      <c r="V1024" s="43" t="str">
        <f t="shared" si="644"/>
        <v>N</v>
      </c>
      <c r="W1024" s="10"/>
      <c r="X1024" s="45" t="s">
        <v>769</v>
      </c>
      <c r="Y1024" s="10"/>
      <c r="Z1024" s="46" t="str">
        <f t="shared" si="645"/>
        <v>G</v>
      </c>
      <c r="AA1024" s="123"/>
      <c r="AB1024" s="1459">
        <f t="shared" si="636"/>
        <v>0</v>
      </c>
      <c r="AC1024" s="1460" t="str">
        <f t="shared" si="637"/>
        <v>-</v>
      </c>
      <c r="AD1024" s="1459">
        <f t="shared" si="638"/>
        <v>0</v>
      </c>
      <c r="AE1024" s="964" t="str">
        <f t="shared" si="639"/>
        <v/>
      </c>
      <c r="AF1024" s="964" t="str">
        <f t="shared" si="640"/>
        <v/>
      </c>
      <c r="AG1024" s="964" t="str">
        <f t="shared" si="641"/>
        <v/>
      </c>
      <c r="AH1024" s="964" t="str">
        <f t="shared" si="642"/>
        <v/>
      </c>
      <c r="AI1024" s="964" t="str">
        <f t="shared" si="643"/>
        <v/>
      </c>
      <c r="AJ1024" s="964"/>
      <c r="AK1024" s="96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s="1396"/>
      <c r="CB1024" s="1396"/>
      <c r="CC1024"/>
      <c r="CD1024"/>
      <c r="CE1024"/>
    </row>
    <row r="1025" spans="1:83" ht="13.15" customHeight="1" outlineLevel="2" x14ac:dyDescent="0.2">
      <c r="A1025"/>
      <c r="B1025" s="1"/>
      <c r="C1025"/>
      <c r="D1025"/>
      <c r="E1025"/>
      <c r="F1025"/>
      <c r="G1025" s="1"/>
      <c r="H1025" s="1"/>
      <c r="I1025"/>
      <c r="J1025"/>
      <c r="K1025"/>
      <c r="L1025"/>
      <c r="M1025"/>
      <c r="N1025"/>
      <c r="O1025"/>
      <c r="P1025"/>
      <c r="Q1025"/>
      <c r="R1025" s="558" t="s">
        <v>1740</v>
      </c>
      <c r="S1025" s="83"/>
      <c r="T1025" s="56"/>
      <c r="U1025" s="955"/>
      <c r="V1025" s="43" t="str">
        <f t="shared" si="644"/>
        <v>L</v>
      </c>
      <c r="W1025" s="10"/>
      <c r="X1025" s="45" t="s">
        <v>769</v>
      </c>
      <c r="Y1025" s="10"/>
      <c r="Z1025" s="46" t="str">
        <f t="shared" si="645"/>
        <v>E</v>
      </c>
      <c r="AA1025" s="123"/>
      <c r="AB1025" s="1459">
        <f t="shared" si="636"/>
        <v>0</v>
      </c>
      <c r="AC1025" s="1460" t="str">
        <f t="shared" si="637"/>
        <v>-</v>
      </c>
      <c r="AD1025" s="1459">
        <f t="shared" si="638"/>
        <v>0</v>
      </c>
      <c r="AE1025" s="964" t="str">
        <f t="shared" si="639"/>
        <v/>
      </c>
      <c r="AF1025" s="964" t="str">
        <f t="shared" si="640"/>
        <v/>
      </c>
      <c r="AG1025" s="964" t="str">
        <f t="shared" si="641"/>
        <v/>
      </c>
      <c r="AH1025" s="964" t="str">
        <f t="shared" si="642"/>
        <v/>
      </c>
      <c r="AI1025" s="964" t="str">
        <f t="shared" si="643"/>
        <v/>
      </c>
      <c r="AJ1025" s="964"/>
      <c r="AK1025" s="964"/>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s="1396"/>
      <c r="CB1025" s="1396"/>
      <c r="CC1025"/>
      <c r="CD1025"/>
      <c r="CE1025"/>
    </row>
    <row r="1026" spans="1:83" ht="13.15" customHeight="1" outlineLevel="2" x14ac:dyDescent="0.2">
      <c r="A1026"/>
      <c r="B1026" s="1"/>
      <c r="C1026"/>
      <c r="D1026"/>
      <c r="E1026"/>
      <c r="F1026"/>
      <c r="G1026" s="1"/>
      <c r="H1026" s="1"/>
      <c r="I1026"/>
      <c r="J1026"/>
      <c r="K1026"/>
      <c r="L1026"/>
      <c r="M1026"/>
      <c r="N1026"/>
      <c r="O1026"/>
      <c r="P1026"/>
      <c r="Q1026"/>
      <c r="R1026" s="558" t="s">
        <v>1740</v>
      </c>
      <c r="S1026" s="83"/>
      <c r="T1026" s="56"/>
      <c r="U1026" s="955"/>
      <c r="V1026" s="43" t="str">
        <f t="shared" si="644"/>
        <v>J</v>
      </c>
      <c r="W1026" s="10"/>
      <c r="X1026" s="45" t="s">
        <v>769</v>
      </c>
      <c r="Y1026" s="10"/>
      <c r="Z1026" s="46" t="str">
        <f t="shared" si="645"/>
        <v>C</v>
      </c>
      <c r="AA1026" s="123"/>
      <c r="AB1026" s="1459">
        <f t="shared" si="636"/>
        <v>0</v>
      </c>
      <c r="AC1026" s="1460" t="str">
        <f t="shared" si="637"/>
        <v>-</v>
      </c>
      <c r="AD1026" s="1459">
        <f t="shared" si="638"/>
        <v>0</v>
      </c>
      <c r="AE1026" s="964" t="str">
        <f t="shared" si="639"/>
        <v/>
      </c>
      <c r="AF1026" s="964" t="str">
        <f t="shared" si="640"/>
        <v/>
      </c>
      <c r="AG1026" s="964" t="str">
        <f t="shared" si="641"/>
        <v/>
      </c>
      <c r="AH1026" s="964" t="str">
        <f t="shared" si="642"/>
        <v/>
      </c>
      <c r="AI1026" s="964" t="str">
        <f t="shared" si="643"/>
        <v/>
      </c>
      <c r="AJ1026" s="964"/>
      <c r="AK1026" s="964"/>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s="1396"/>
      <c r="CB1026" s="1396"/>
      <c r="CC1026"/>
      <c r="CD1026"/>
      <c r="CE1026"/>
    </row>
    <row r="1027" spans="1:83" ht="13.15" customHeight="1" outlineLevel="2" x14ac:dyDescent="0.2">
      <c r="A1027"/>
      <c r="B1027" s="1"/>
      <c r="C1027"/>
      <c r="D1027"/>
      <c r="E1027"/>
      <c r="F1027"/>
      <c r="G1027" s="1"/>
      <c r="H1027" s="1"/>
      <c r="I1027"/>
      <c r="J1027"/>
      <c r="K1027"/>
      <c r="L1027"/>
      <c r="M1027"/>
      <c r="N1027"/>
      <c r="O1027"/>
      <c r="P1027"/>
      <c r="Q1027"/>
      <c r="R1027" s="558" t="s">
        <v>1740</v>
      </c>
      <c r="S1027" s="83"/>
      <c r="T1027" s="56"/>
      <c r="U1027" s="955"/>
      <c r="V1027" s="43" t="str">
        <f t="shared" si="644"/>
        <v>H</v>
      </c>
      <c r="W1027" s="10"/>
      <c r="X1027" s="45" t="s">
        <v>769</v>
      </c>
      <c r="Y1027" s="10"/>
      <c r="Z1027" s="46" t="str">
        <f t="shared" si="645"/>
        <v>B</v>
      </c>
      <c r="AA1027" s="123"/>
      <c r="AB1027" s="1459">
        <f t="shared" si="636"/>
        <v>0</v>
      </c>
      <c r="AC1027" s="1460" t="str">
        <f t="shared" si="637"/>
        <v>-</v>
      </c>
      <c r="AD1027" s="1459">
        <f t="shared" si="638"/>
        <v>0</v>
      </c>
      <c r="AE1027" s="964" t="str">
        <f t="shared" si="639"/>
        <v/>
      </c>
      <c r="AF1027" s="964" t="str">
        <f t="shared" si="640"/>
        <v/>
      </c>
      <c r="AG1027" s="964" t="str">
        <f t="shared" si="641"/>
        <v/>
      </c>
      <c r="AH1027" s="964" t="str">
        <f t="shared" si="642"/>
        <v/>
      </c>
      <c r="AI1027" s="964" t="str">
        <f t="shared" si="643"/>
        <v/>
      </c>
      <c r="AJ1027" s="964"/>
      <c r="AK1027" s="964"/>
      <c r="AL1027"/>
      <c r="AM1027"/>
      <c r="AN1027"/>
      <c r="AO1027"/>
      <c r="AP1027"/>
      <c r="AQ1027"/>
      <c r="AR1027"/>
      <c r="AS1027"/>
      <c r="AT1027"/>
      <c r="AU1027"/>
      <c r="AV1027"/>
      <c r="AW1027"/>
      <c r="AX1027" s="9"/>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s="1396"/>
      <c r="CB1027" s="1396"/>
      <c r="CC1027"/>
      <c r="CD1027"/>
      <c r="CE1027"/>
    </row>
    <row r="1028" spans="1:83" ht="13.9" customHeight="1" outlineLevel="2" thickBot="1" x14ac:dyDescent="0.25">
      <c r="A1028"/>
      <c r="B1028" s="1"/>
      <c r="C1028"/>
      <c r="D1028"/>
      <c r="E1028"/>
      <c r="F1028"/>
      <c r="G1028" s="1"/>
      <c r="H1028" s="1"/>
      <c r="I1028"/>
      <c r="J1028"/>
      <c r="K1028"/>
      <c r="L1028"/>
      <c r="M1028"/>
      <c r="N1028"/>
      <c r="O1028"/>
      <c r="P1028"/>
      <c r="Q1028"/>
      <c r="R1028" s="558" t="s">
        <v>1740</v>
      </c>
      <c r="S1028" s="956"/>
      <c r="T1028" s="58"/>
      <c r="U1028" s="957"/>
      <c r="V1028" s="958" t="str">
        <f>V1018</f>
        <v>F</v>
      </c>
      <c r="W1028" s="10"/>
      <c r="X1028" s="45" t="s">
        <v>769</v>
      </c>
      <c r="Y1028" s="10"/>
      <c r="Z1028" s="46" t="str">
        <f>V1017</f>
        <v>D</v>
      </c>
      <c r="AA1028" s="123"/>
      <c r="AB1028" s="1459">
        <f t="shared" si="636"/>
        <v>0</v>
      </c>
      <c r="AC1028" s="1460" t="str">
        <f t="shared" si="637"/>
        <v>-</v>
      </c>
      <c r="AD1028" s="1459">
        <f t="shared" si="638"/>
        <v>0</v>
      </c>
      <c r="AE1028" s="964" t="str">
        <f t="shared" si="639"/>
        <v/>
      </c>
      <c r="AF1028" s="964" t="str">
        <f t="shared" si="640"/>
        <v/>
      </c>
      <c r="AG1028" s="964" t="str">
        <f t="shared" si="641"/>
        <v/>
      </c>
      <c r="AH1028" s="964" t="str">
        <f t="shared" si="642"/>
        <v/>
      </c>
      <c r="AI1028" s="964" t="str">
        <f t="shared" si="643"/>
        <v/>
      </c>
      <c r="AJ1028" s="964"/>
      <c r="AK1028" s="964"/>
      <c r="AL1028"/>
      <c r="AM1028"/>
      <c r="AN1028"/>
      <c r="AO1028"/>
      <c r="AP1028"/>
      <c r="AQ1028"/>
      <c r="AR1028"/>
      <c r="AS1028"/>
      <c r="AT1028"/>
      <c r="AU1028"/>
      <c r="AV1028"/>
      <c r="AW1028" s="9"/>
      <c r="AX1028" s="9"/>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s="1396"/>
      <c r="CB1028" s="1396"/>
      <c r="CC1028"/>
      <c r="CD1028"/>
      <c r="CE1028"/>
    </row>
    <row r="1029" spans="1:83" ht="13.5" outlineLevel="1" thickBot="1" x14ac:dyDescent="0.25">
      <c r="A1029"/>
      <c r="B1029" s="1"/>
      <c r="C1029" s="1"/>
      <c r="D1029" s="76"/>
      <c r="E1029" s="76"/>
      <c r="F1029" s="76"/>
      <c r="G1029" s="9"/>
      <c r="H1029" s="9"/>
      <c r="I1029" s="1"/>
      <c r="J1029"/>
      <c r="K1029"/>
      <c r="L1029"/>
      <c r="M1029"/>
      <c r="N1029"/>
      <c r="O1029"/>
      <c r="P1029" s="89"/>
      <c r="Q1029"/>
      <c r="R1029" s="1"/>
      <c r="S1029" s="993">
        <f>S1019+1</f>
        <v>8</v>
      </c>
      <c r="T1029" s="961"/>
      <c r="U1029" s="961"/>
      <c r="V1029" s="961"/>
      <c r="W1029" s="960"/>
      <c r="X1029" s="960"/>
      <c r="Y1029" s="960"/>
      <c r="Z1029" s="962"/>
      <c r="AA1029" s="123"/>
      <c r="AB1029" s="963"/>
      <c r="AC1029" s="963"/>
      <c r="AD1029" s="963"/>
      <c r="AE1029" s="964"/>
      <c r="AF1029" s="964"/>
      <c r="AG1029" s="964"/>
      <c r="AH1029" s="964"/>
      <c r="AI1029" s="964"/>
      <c r="AJ1029" s="964"/>
      <c r="AK1029" s="964"/>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s="1396"/>
      <c r="CB1029" s="1396"/>
      <c r="CC1029"/>
      <c r="CD1029"/>
      <c r="CE1029"/>
    </row>
    <row r="1030" spans="1:83" ht="13.9" customHeight="1" outlineLevel="2" thickBot="1" x14ac:dyDescent="0.25">
      <c r="A1030"/>
      <c r="B1030" s="1"/>
      <c r="C1030"/>
      <c r="D1030"/>
      <c r="E1030"/>
      <c r="F1030"/>
      <c r="G1030" s="1"/>
      <c r="H1030" s="1"/>
      <c r="I1030"/>
      <c r="J1030"/>
      <c r="K1030"/>
      <c r="L1030"/>
      <c r="M1030"/>
      <c r="N1030"/>
      <c r="O1030"/>
      <c r="P1030"/>
      <c r="Q1030"/>
      <c r="S1030" s="22" t="str">
        <f>N_Heure</f>
        <v>Heure</v>
      </c>
      <c r="T1030" s="22" t="str">
        <f>N_Table</f>
        <v>Table</v>
      </c>
      <c r="U1030" s="22" t="str">
        <f>N_Arbitre</f>
        <v>Arbitre</v>
      </c>
      <c r="V1030" s="293" t="str">
        <f>N_Matches</f>
        <v>Matches</v>
      </c>
      <c r="W1030" s="294"/>
      <c r="X1030" s="294"/>
      <c r="Y1030" s="294"/>
      <c r="Z1030" s="295"/>
      <c r="AA1030" s="8"/>
      <c r="AB1030" s="967"/>
      <c r="AC1030" s="967"/>
      <c r="AD1030" s="967"/>
      <c r="AE1030" s="964"/>
      <c r="AF1030" s="964"/>
      <c r="AG1030" s="964"/>
      <c r="AH1030" s="964"/>
      <c r="AI1030" s="964"/>
      <c r="AJ1030" s="964"/>
      <c r="AK1030" s="964"/>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s="1396"/>
      <c r="CB1030" s="1396"/>
      <c r="CC1030"/>
      <c r="CD1030"/>
      <c r="CE1030"/>
    </row>
    <row r="1031" spans="1:83" ht="13.15" customHeight="1" outlineLevel="2" x14ac:dyDescent="0.2">
      <c r="A1031"/>
      <c r="B1031" s="1"/>
      <c r="C1031"/>
      <c r="D1031"/>
      <c r="E1031"/>
      <c r="F1031"/>
      <c r="G1031" s="1"/>
      <c r="H1031" s="1"/>
      <c r="I1031"/>
      <c r="J1031"/>
      <c r="K1031"/>
      <c r="L1031"/>
      <c r="M1031"/>
      <c r="N1031"/>
      <c r="O1031"/>
      <c r="P1031"/>
      <c r="Q1031"/>
      <c r="R1031" s="558" t="s">
        <v>930</v>
      </c>
      <c r="S1031" s="65"/>
      <c r="T1031" s="953"/>
      <c r="U1031" s="954"/>
      <c r="V1031" s="34" t="str">
        <f>V1022</f>
        <v>O</v>
      </c>
      <c r="W1031" s="148"/>
      <c r="X1031" s="35" t="s">
        <v>769</v>
      </c>
      <c r="Y1031" s="148"/>
      <c r="Z1031" s="36" t="str">
        <f>V1021</f>
        <v>A</v>
      </c>
      <c r="AA1031" s="123"/>
      <c r="AB1031" s="1459">
        <f t="shared" ref="AB1031:AB1038" si="646">IF(MaxScore,MaxGoals(W1031,Y1031,MaxGoalsValue),IF(W1031="","",W1031))</f>
        <v>0</v>
      </c>
      <c r="AC1031" s="1460" t="str">
        <f t="shared" ref="AC1031:AC1038" si="647">IF(MaxScore,"-",IF(W1031="","","-"))</f>
        <v>-</v>
      </c>
      <c r="AD1031" s="1459">
        <f t="shared" ref="AD1031:AD1038" si="648">IF(MaxScore,MaxGoals(Y1031,W1031,MaxGoalsValue),IF(Y1031="","",Y1031))</f>
        <v>0</v>
      </c>
      <c r="AE1031" s="964" t="str">
        <f t="shared" ref="AE1031:AE1038" si="649">IF(W1031="","",IF(W1031&gt;Y1031,V1031,IF(W1031=Y1031,"",Z1031)))</f>
        <v/>
      </c>
      <c r="AF1031" s="964" t="str">
        <f t="shared" ref="AF1031:AF1038" si="650">IF(W1031="","",IF(W1031=Y1031,V1031,""))</f>
        <v/>
      </c>
      <c r="AG1031" s="964" t="str">
        <f t="shared" ref="AG1031:AG1038" si="651">IF(W1031="","",IF(W1031=Y1031,Z1031,""))</f>
        <v/>
      </c>
      <c r="AH1031" s="964" t="str">
        <f t="shared" ref="AH1031:AH1038" si="652">IF(W1031="","",IF(W1031&lt;Y1031,V1031,IF(W1031=Y1031,"",Z1031)))</f>
        <v/>
      </c>
      <c r="AI1031" s="964" t="str">
        <f t="shared" ref="AI1031:AI1038" si="653">CONCATENATE(AE1031,AH1031)</f>
        <v/>
      </c>
      <c r="AJ1031" s="964"/>
      <c r="AK1031" s="964"/>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s="1396"/>
      <c r="CB1031" s="1396"/>
      <c r="CC1031"/>
      <c r="CD1031"/>
      <c r="CE1031"/>
    </row>
    <row r="1032" spans="1:83" ht="13.15" customHeight="1" outlineLevel="2" x14ac:dyDescent="0.2">
      <c r="A1032"/>
      <c r="B1032" s="1"/>
      <c r="C1032"/>
      <c r="D1032"/>
      <c r="E1032"/>
      <c r="F1032"/>
      <c r="G1032" s="1"/>
      <c r="H1032" s="1"/>
      <c r="I1032"/>
      <c r="J1032"/>
      <c r="K1032"/>
      <c r="L1032"/>
      <c r="M1032"/>
      <c r="N1032"/>
      <c r="O1032"/>
      <c r="P1032"/>
      <c r="Q1032"/>
      <c r="R1032" s="558" t="s">
        <v>930</v>
      </c>
      <c r="S1032" s="83"/>
      <c r="T1032" s="56"/>
      <c r="U1032" s="955"/>
      <c r="V1032" s="43" t="str">
        <f t="shared" ref="V1032:V1038" si="654">Z1021</f>
        <v>M</v>
      </c>
      <c r="W1032" s="10"/>
      <c r="X1032" s="45" t="s">
        <v>769</v>
      </c>
      <c r="Y1032" s="10"/>
      <c r="Z1032" s="46" t="str">
        <f t="shared" ref="Z1032:Z1037" si="655">V1023</f>
        <v>P</v>
      </c>
      <c r="AA1032" s="123"/>
      <c r="AB1032" s="1459">
        <f t="shared" si="646"/>
        <v>0</v>
      </c>
      <c r="AC1032" s="1460" t="str">
        <f t="shared" si="647"/>
        <v>-</v>
      </c>
      <c r="AD1032" s="1459">
        <f t="shared" si="648"/>
        <v>0</v>
      </c>
      <c r="AE1032" s="964" t="str">
        <f t="shared" si="649"/>
        <v/>
      </c>
      <c r="AF1032" s="964" t="str">
        <f t="shared" si="650"/>
        <v/>
      </c>
      <c r="AG1032" s="964" t="str">
        <f t="shared" si="651"/>
        <v/>
      </c>
      <c r="AH1032" s="964" t="str">
        <f t="shared" si="652"/>
        <v/>
      </c>
      <c r="AI1032" s="964" t="str">
        <f t="shared" si="653"/>
        <v/>
      </c>
      <c r="AJ1032" s="964"/>
      <c r="AK1032" s="964"/>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s="1396"/>
      <c r="CB1032" s="1396"/>
      <c r="CC1032"/>
      <c r="CD1032"/>
      <c r="CE1032"/>
    </row>
    <row r="1033" spans="1:83" ht="13.15" customHeight="1" outlineLevel="2" x14ac:dyDescent="0.2">
      <c r="A1033"/>
      <c r="B1033" s="1"/>
      <c r="C1033"/>
      <c r="D1033"/>
      <c r="E1033"/>
      <c r="F1033"/>
      <c r="G1033" s="1"/>
      <c r="H1033" s="1"/>
      <c r="I1033"/>
      <c r="J1033"/>
      <c r="K1033"/>
      <c r="L1033"/>
      <c r="M1033"/>
      <c r="N1033"/>
      <c r="O1033"/>
      <c r="P1033"/>
      <c r="Q1033"/>
      <c r="R1033" s="558" t="s">
        <v>930</v>
      </c>
      <c r="S1033" s="83"/>
      <c r="T1033" s="56"/>
      <c r="U1033" s="955"/>
      <c r="V1033" s="43" t="str">
        <f t="shared" si="654"/>
        <v>K</v>
      </c>
      <c r="W1033" s="10"/>
      <c r="X1033" s="45" t="s">
        <v>769</v>
      </c>
      <c r="Y1033" s="10"/>
      <c r="Z1033" s="46" t="str">
        <f t="shared" si="655"/>
        <v>N</v>
      </c>
      <c r="AA1033" s="123"/>
      <c r="AB1033" s="1459">
        <f t="shared" si="646"/>
        <v>0</v>
      </c>
      <c r="AC1033" s="1460" t="str">
        <f t="shared" si="647"/>
        <v>-</v>
      </c>
      <c r="AD1033" s="1459">
        <f t="shared" si="648"/>
        <v>0</v>
      </c>
      <c r="AE1033" s="964" t="str">
        <f t="shared" si="649"/>
        <v/>
      </c>
      <c r="AF1033" s="964" t="str">
        <f t="shared" si="650"/>
        <v/>
      </c>
      <c r="AG1033" s="964" t="str">
        <f t="shared" si="651"/>
        <v/>
      </c>
      <c r="AH1033" s="964" t="str">
        <f t="shared" si="652"/>
        <v/>
      </c>
      <c r="AI1033" s="964" t="str">
        <f t="shared" si="653"/>
        <v/>
      </c>
      <c r="AJ1033" s="964"/>
      <c r="AK1033" s="964"/>
      <c r="AL1033"/>
      <c r="AM1033"/>
      <c r="AN1033"/>
      <c r="AO1033"/>
      <c r="AP1033"/>
      <c r="AQ1033"/>
      <c r="AR1033"/>
      <c r="AS1033"/>
      <c r="AT1033"/>
      <c r="AU1033"/>
      <c r="AV1033"/>
      <c r="AW1033" s="9"/>
      <c r="AX1033" s="9"/>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s="1396"/>
      <c r="CB1033" s="1396"/>
      <c r="CC1033"/>
      <c r="CD1033"/>
      <c r="CE1033"/>
    </row>
    <row r="1034" spans="1:83" ht="13.15" customHeight="1" outlineLevel="2" x14ac:dyDescent="0.2">
      <c r="A1034"/>
      <c r="B1034" s="1"/>
      <c r="C1034"/>
      <c r="D1034"/>
      <c r="E1034"/>
      <c r="F1034"/>
      <c r="G1034" s="1"/>
      <c r="H1034" s="1"/>
      <c r="I1034"/>
      <c r="J1034"/>
      <c r="K1034"/>
      <c r="L1034"/>
      <c r="M1034"/>
      <c r="N1034"/>
      <c r="O1034"/>
      <c r="P1034"/>
      <c r="Q1034"/>
      <c r="R1034" s="558" t="s">
        <v>930</v>
      </c>
      <c r="S1034" s="83"/>
      <c r="T1034" s="56"/>
      <c r="U1034" s="955"/>
      <c r="V1034" s="43" t="str">
        <f t="shared" si="654"/>
        <v>I</v>
      </c>
      <c r="W1034" s="10"/>
      <c r="X1034" s="45" t="s">
        <v>769</v>
      </c>
      <c r="Y1034" s="10"/>
      <c r="Z1034" s="46" t="str">
        <f t="shared" si="655"/>
        <v>L</v>
      </c>
      <c r="AA1034" s="123"/>
      <c r="AB1034" s="1459">
        <f t="shared" si="646"/>
        <v>0</v>
      </c>
      <c r="AC1034" s="1460" t="str">
        <f t="shared" si="647"/>
        <v>-</v>
      </c>
      <c r="AD1034" s="1459">
        <f t="shared" si="648"/>
        <v>0</v>
      </c>
      <c r="AE1034" s="964" t="str">
        <f t="shared" si="649"/>
        <v/>
      </c>
      <c r="AF1034" s="964" t="str">
        <f t="shared" si="650"/>
        <v/>
      </c>
      <c r="AG1034" s="964" t="str">
        <f t="shared" si="651"/>
        <v/>
      </c>
      <c r="AH1034" s="964" t="str">
        <f t="shared" si="652"/>
        <v/>
      </c>
      <c r="AI1034" s="964" t="str">
        <f t="shared" si="653"/>
        <v/>
      </c>
      <c r="AJ1034" s="964"/>
      <c r="AK1034" s="96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s="1396"/>
      <c r="CB1034" s="1396"/>
      <c r="CC1034"/>
      <c r="CD1034"/>
      <c r="CE1034"/>
    </row>
    <row r="1035" spans="1:83" ht="13.15" customHeight="1" outlineLevel="2" x14ac:dyDescent="0.2">
      <c r="A1035"/>
      <c r="B1035" s="1"/>
      <c r="C1035"/>
      <c r="D1035"/>
      <c r="E1035"/>
      <c r="F1035"/>
      <c r="G1035" s="1"/>
      <c r="H1035" s="1"/>
      <c r="I1035"/>
      <c r="J1035"/>
      <c r="K1035"/>
      <c r="L1035"/>
      <c r="M1035"/>
      <c r="N1035"/>
      <c r="O1035"/>
      <c r="P1035"/>
      <c r="Q1035"/>
      <c r="R1035" s="558" t="s">
        <v>930</v>
      </c>
      <c r="S1035" s="83"/>
      <c r="T1035" s="56"/>
      <c r="U1035" s="955"/>
      <c r="V1035" s="43" t="str">
        <f t="shared" si="654"/>
        <v>G</v>
      </c>
      <c r="W1035" s="10"/>
      <c r="X1035" s="45" t="s">
        <v>769</v>
      </c>
      <c r="Y1035" s="10"/>
      <c r="Z1035" s="46" t="str">
        <f t="shared" si="655"/>
        <v>J</v>
      </c>
      <c r="AA1035" s="123"/>
      <c r="AB1035" s="1459">
        <f t="shared" si="646"/>
        <v>0</v>
      </c>
      <c r="AC1035" s="1460" t="str">
        <f t="shared" si="647"/>
        <v>-</v>
      </c>
      <c r="AD1035" s="1459">
        <f t="shared" si="648"/>
        <v>0</v>
      </c>
      <c r="AE1035" s="964" t="str">
        <f t="shared" si="649"/>
        <v/>
      </c>
      <c r="AF1035" s="964" t="str">
        <f t="shared" si="650"/>
        <v/>
      </c>
      <c r="AG1035" s="964" t="str">
        <f t="shared" si="651"/>
        <v/>
      </c>
      <c r="AH1035" s="964" t="str">
        <f t="shared" si="652"/>
        <v/>
      </c>
      <c r="AI1035" s="964" t="str">
        <f t="shared" si="653"/>
        <v/>
      </c>
      <c r="AJ1035" s="964"/>
      <c r="AK1035" s="964"/>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s="1396"/>
      <c r="CB1035" s="1396"/>
      <c r="CC1035"/>
      <c r="CD1035"/>
      <c r="CE1035"/>
    </row>
    <row r="1036" spans="1:83" ht="13.15" customHeight="1" outlineLevel="2" x14ac:dyDescent="0.2">
      <c r="A1036"/>
      <c r="B1036" s="1"/>
      <c r="C1036"/>
      <c r="D1036"/>
      <c r="E1036"/>
      <c r="F1036"/>
      <c r="G1036" s="1"/>
      <c r="H1036" s="1"/>
      <c r="I1036"/>
      <c r="J1036"/>
      <c r="K1036"/>
      <c r="L1036"/>
      <c r="M1036"/>
      <c r="N1036"/>
      <c r="O1036"/>
      <c r="P1036"/>
      <c r="Q1036"/>
      <c r="R1036" s="558" t="s">
        <v>930</v>
      </c>
      <c r="S1036" s="83"/>
      <c r="T1036" s="56"/>
      <c r="U1036" s="955"/>
      <c r="V1036" s="43" t="str">
        <f t="shared" si="654"/>
        <v>E</v>
      </c>
      <c r="W1036" s="10"/>
      <c r="X1036" s="45" t="s">
        <v>769</v>
      </c>
      <c r="Y1036" s="10"/>
      <c r="Z1036" s="46" t="str">
        <f t="shared" si="655"/>
        <v>H</v>
      </c>
      <c r="AA1036" s="123"/>
      <c r="AB1036" s="1459">
        <f t="shared" si="646"/>
        <v>0</v>
      </c>
      <c r="AC1036" s="1460" t="str">
        <f t="shared" si="647"/>
        <v>-</v>
      </c>
      <c r="AD1036" s="1459">
        <f t="shared" si="648"/>
        <v>0</v>
      </c>
      <c r="AE1036" s="964" t="str">
        <f t="shared" si="649"/>
        <v/>
      </c>
      <c r="AF1036" s="964" t="str">
        <f t="shared" si="650"/>
        <v/>
      </c>
      <c r="AG1036" s="964" t="str">
        <f t="shared" si="651"/>
        <v/>
      </c>
      <c r="AH1036" s="964" t="str">
        <f t="shared" si="652"/>
        <v/>
      </c>
      <c r="AI1036" s="964" t="str">
        <f t="shared" si="653"/>
        <v/>
      </c>
      <c r="AJ1036" s="964"/>
      <c r="AK1036" s="964"/>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s="1396"/>
      <c r="CB1036" s="1396"/>
      <c r="CC1036"/>
      <c r="CD1036"/>
      <c r="CE1036"/>
    </row>
    <row r="1037" spans="1:83" ht="13.15" customHeight="1" outlineLevel="2" x14ac:dyDescent="0.2">
      <c r="A1037"/>
      <c r="B1037" s="1"/>
      <c r="C1037"/>
      <c r="D1037"/>
      <c r="E1037"/>
      <c r="F1037"/>
      <c r="G1037" s="1"/>
      <c r="H1037" s="1"/>
      <c r="I1037"/>
      <c r="J1037"/>
      <c r="K1037"/>
      <c r="L1037"/>
      <c r="M1037"/>
      <c r="N1037"/>
      <c r="O1037"/>
      <c r="P1037"/>
      <c r="Q1037"/>
      <c r="R1037" s="558" t="s">
        <v>930</v>
      </c>
      <c r="S1037" s="83"/>
      <c r="T1037" s="56"/>
      <c r="U1037" s="955"/>
      <c r="V1037" s="43" t="str">
        <f t="shared" si="654"/>
        <v>C</v>
      </c>
      <c r="W1037" s="10"/>
      <c r="X1037" s="45" t="s">
        <v>769</v>
      </c>
      <c r="Y1037" s="10"/>
      <c r="Z1037" s="46" t="str">
        <f t="shared" si="655"/>
        <v>F</v>
      </c>
      <c r="AA1037" s="123"/>
      <c r="AB1037" s="1459">
        <f t="shared" si="646"/>
        <v>0</v>
      </c>
      <c r="AC1037" s="1460" t="str">
        <f t="shared" si="647"/>
        <v>-</v>
      </c>
      <c r="AD1037" s="1459">
        <f t="shared" si="648"/>
        <v>0</v>
      </c>
      <c r="AE1037" s="964" t="str">
        <f t="shared" si="649"/>
        <v/>
      </c>
      <c r="AF1037" s="964" t="str">
        <f t="shared" si="650"/>
        <v/>
      </c>
      <c r="AG1037" s="964" t="str">
        <f t="shared" si="651"/>
        <v/>
      </c>
      <c r="AH1037" s="964" t="str">
        <f t="shared" si="652"/>
        <v/>
      </c>
      <c r="AI1037" s="964" t="str">
        <f t="shared" si="653"/>
        <v/>
      </c>
      <c r="AJ1037" s="964"/>
      <c r="AK1037" s="964"/>
      <c r="AL1037"/>
      <c r="AM1037"/>
      <c r="AN1037"/>
      <c r="AO1037"/>
      <c r="AP1037"/>
      <c r="AQ1037"/>
      <c r="AR1037"/>
      <c r="AS1037"/>
      <c r="AT1037"/>
      <c r="AU1037"/>
      <c r="AV1037"/>
      <c r="AW1037"/>
      <c r="AX1037" s="9"/>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s="1396"/>
      <c r="CB1037" s="1396"/>
      <c r="CC1037"/>
      <c r="CD1037"/>
      <c r="CE1037"/>
    </row>
    <row r="1038" spans="1:83" ht="13.9" customHeight="1" outlineLevel="2" thickBot="1" x14ac:dyDescent="0.25">
      <c r="A1038"/>
      <c r="B1038" s="1"/>
      <c r="C1038"/>
      <c r="D1038"/>
      <c r="E1038"/>
      <c r="F1038"/>
      <c r="G1038" s="1"/>
      <c r="H1038" s="1"/>
      <c r="I1038"/>
      <c r="J1038"/>
      <c r="K1038"/>
      <c r="L1038"/>
      <c r="M1038"/>
      <c r="N1038"/>
      <c r="O1038"/>
      <c r="P1038"/>
      <c r="Q1038"/>
      <c r="R1038" s="558" t="s">
        <v>930</v>
      </c>
      <c r="S1038" s="956"/>
      <c r="T1038" s="58"/>
      <c r="U1038" s="957"/>
      <c r="V1038" s="43" t="str">
        <f t="shared" si="654"/>
        <v>B</v>
      </c>
      <c r="W1038" s="10"/>
      <c r="X1038" s="45" t="s">
        <v>769</v>
      </c>
      <c r="Y1038" s="10"/>
      <c r="Z1038" s="46" t="str">
        <f>Z1028</f>
        <v>D</v>
      </c>
      <c r="AA1038" s="123"/>
      <c r="AB1038" s="1459">
        <f t="shared" si="646"/>
        <v>0</v>
      </c>
      <c r="AC1038" s="1460" t="str">
        <f t="shared" si="647"/>
        <v>-</v>
      </c>
      <c r="AD1038" s="1459">
        <f t="shared" si="648"/>
        <v>0</v>
      </c>
      <c r="AE1038" s="964" t="str">
        <f t="shared" si="649"/>
        <v/>
      </c>
      <c r="AF1038" s="964" t="str">
        <f t="shared" si="650"/>
        <v/>
      </c>
      <c r="AG1038" s="964" t="str">
        <f t="shared" si="651"/>
        <v/>
      </c>
      <c r="AH1038" s="964" t="str">
        <f t="shared" si="652"/>
        <v/>
      </c>
      <c r="AI1038" s="964" t="str">
        <f t="shared" si="653"/>
        <v/>
      </c>
      <c r="AJ1038" s="964"/>
      <c r="AK1038" s="964"/>
      <c r="AL1038"/>
      <c r="AM1038"/>
      <c r="AN1038"/>
      <c r="AO1038"/>
      <c r="AP1038"/>
      <c r="AQ1038"/>
      <c r="AR1038"/>
      <c r="AS1038"/>
      <c r="AT1038"/>
      <c r="AU1038"/>
      <c r="AV1038"/>
      <c r="AW1038" s="9"/>
      <c r="AX1038" s="9"/>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s="1396"/>
      <c r="CB1038" s="1396"/>
      <c r="CC1038"/>
      <c r="CD1038"/>
      <c r="CE1038"/>
    </row>
    <row r="1039" spans="1:83" ht="13.5" outlineLevel="1" thickBot="1" x14ac:dyDescent="0.25">
      <c r="A1039"/>
      <c r="B1039" s="1"/>
      <c r="C1039" s="1"/>
      <c r="D1039" s="76"/>
      <c r="E1039" s="76"/>
      <c r="F1039" s="76"/>
      <c r="G1039" s="9"/>
      <c r="H1039" s="9"/>
      <c r="I1039" s="1"/>
      <c r="J1039"/>
      <c r="K1039"/>
      <c r="L1039"/>
      <c r="M1039"/>
      <c r="N1039"/>
      <c r="O1039"/>
      <c r="P1039" s="89"/>
      <c r="Q1039"/>
      <c r="R1039" s="1"/>
      <c r="S1039" s="993">
        <f>S1029+1</f>
        <v>9</v>
      </c>
      <c r="T1039" s="961"/>
      <c r="U1039" s="961"/>
      <c r="V1039" s="961"/>
      <c r="W1039" s="960"/>
      <c r="X1039" s="960"/>
      <c r="Y1039" s="960"/>
      <c r="Z1039" s="962"/>
      <c r="AA1039" s="123"/>
      <c r="AB1039" s="963"/>
      <c r="AC1039" s="963"/>
      <c r="AD1039" s="963"/>
      <c r="AE1039" s="964"/>
      <c r="AF1039" s="964"/>
      <c r="AG1039" s="964"/>
      <c r="AH1039" s="964"/>
      <c r="AI1039" s="964"/>
      <c r="AJ1039" s="964"/>
      <c r="AK1039" s="964"/>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s="1396"/>
      <c r="CB1039" s="1396"/>
      <c r="CC1039"/>
      <c r="CD1039"/>
      <c r="CE1039"/>
    </row>
    <row r="1040" spans="1:83" ht="13.9" customHeight="1" outlineLevel="2" thickBot="1" x14ac:dyDescent="0.25">
      <c r="A1040"/>
      <c r="B1040" s="1"/>
      <c r="C1040"/>
      <c r="D1040"/>
      <c r="E1040"/>
      <c r="F1040"/>
      <c r="G1040" s="1"/>
      <c r="H1040" s="1"/>
      <c r="I1040"/>
      <c r="J1040"/>
      <c r="K1040"/>
      <c r="L1040"/>
      <c r="M1040"/>
      <c r="N1040"/>
      <c r="O1040"/>
      <c r="P1040"/>
      <c r="Q1040"/>
      <c r="S1040" s="22" t="str">
        <f>N_Heure</f>
        <v>Heure</v>
      </c>
      <c r="T1040" s="22" t="str">
        <f>N_Table</f>
        <v>Table</v>
      </c>
      <c r="U1040" s="22" t="str">
        <f>N_Arbitre</f>
        <v>Arbitre</v>
      </c>
      <c r="V1040" s="293" t="str">
        <f>N_Matches</f>
        <v>Matches</v>
      </c>
      <c r="W1040" s="294"/>
      <c r="X1040" s="294"/>
      <c r="Y1040" s="294"/>
      <c r="Z1040" s="295"/>
      <c r="AA1040" s="8"/>
      <c r="AB1040" s="967"/>
      <c r="AC1040" s="967"/>
      <c r="AD1040" s="967"/>
      <c r="AE1040" s="964"/>
      <c r="AF1040" s="964"/>
      <c r="AG1040" s="964"/>
      <c r="AH1040" s="964"/>
      <c r="AI1040" s="964"/>
      <c r="AJ1040" s="964"/>
      <c r="AK1040" s="964"/>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s="1396"/>
      <c r="CB1040" s="1396"/>
      <c r="CC1040"/>
      <c r="CD1040"/>
      <c r="CE1040"/>
    </row>
    <row r="1041" spans="1:83" ht="13.15" customHeight="1" outlineLevel="2" x14ac:dyDescent="0.2">
      <c r="A1041"/>
      <c r="B1041" s="1"/>
      <c r="C1041"/>
      <c r="D1041"/>
      <c r="E1041"/>
      <c r="F1041"/>
      <c r="G1041" s="1"/>
      <c r="H1041" s="1"/>
      <c r="I1041"/>
      <c r="J1041"/>
      <c r="K1041"/>
      <c r="L1041"/>
      <c r="M1041"/>
      <c r="N1041"/>
      <c r="O1041"/>
      <c r="P1041"/>
      <c r="Q1041"/>
      <c r="R1041" s="558" t="s">
        <v>3971</v>
      </c>
      <c r="S1041" s="65"/>
      <c r="T1041" s="953"/>
      <c r="U1041" s="954"/>
      <c r="V1041" s="34" t="str">
        <f>Z1031</f>
        <v>A</v>
      </c>
      <c r="W1041" s="148"/>
      <c r="X1041" s="35" t="s">
        <v>769</v>
      </c>
      <c r="Y1041" s="148"/>
      <c r="Z1041" s="36" t="str">
        <f>Z1032</f>
        <v>P</v>
      </c>
      <c r="AA1041" s="123"/>
      <c r="AB1041" s="1459">
        <f t="shared" ref="AB1041:AB1048" si="656">IF(MaxScore,MaxGoals(W1041,Y1041,MaxGoalsValue),IF(W1041="","",W1041))</f>
        <v>0</v>
      </c>
      <c r="AC1041" s="1460" t="str">
        <f t="shared" ref="AC1041:AC1048" si="657">IF(MaxScore,"-",IF(W1041="","","-"))</f>
        <v>-</v>
      </c>
      <c r="AD1041" s="1459">
        <f t="shared" ref="AD1041:AD1048" si="658">IF(MaxScore,MaxGoals(Y1041,W1041,MaxGoalsValue),IF(Y1041="","",Y1041))</f>
        <v>0</v>
      </c>
      <c r="AE1041" s="964" t="str">
        <f t="shared" ref="AE1041:AE1048" si="659">IF(W1041="","",IF(W1041&gt;Y1041,V1041,IF(W1041=Y1041,"",Z1041)))</f>
        <v/>
      </c>
      <c r="AF1041" s="964" t="str">
        <f t="shared" ref="AF1041:AF1048" si="660">IF(W1041="","",IF(W1041=Y1041,V1041,""))</f>
        <v/>
      </c>
      <c r="AG1041" s="964" t="str">
        <f t="shared" ref="AG1041:AG1048" si="661">IF(W1041="","",IF(W1041=Y1041,Z1041,""))</f>
        <v/>
      </c>
      <c r="AH1041" s="964" t="str">
        <f t="shared" ref="AH1041:AH1048" si="662">IF(W1041="","",IF(W1041&lt;Y1041,V1041,IF(W1041=Y1041,"",Z1041)))</f>
        <v/>
      </c>
      <c r="AI1041" s="964" t="str">
        <f t="shared" ref="AI1041:AI1048" si="663">CONCATENATE(AE1041,AH1041)</f>
        <v/>
      </c>
      <c r="AJ1041" s="964"/>
      <c r="AK1041" s="964"/>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s="1396"/>
      <c r="CB1041" s="1396"/>
      <c r="CC1041"/>
      <c r="CD1041"/>
      <c r="CE1041"/>
    </row>
    <row r="1042" spans="1:83" ht="13.15" customHeight="1" outlineLevel="2" x14ac:dyDescent="0.2">
      <c r="A1042"/>
      <c r="B1042" s="1"/>
      <c r="C1042"/>
      <c r="D1042"/>
      <c r="E1042"/>
      <c r="F1042"/>
      <c r="G1042" s="1"/>
      <c r="H1042" s="1"/>
      <c r="I1042"/>
      <c r="J1042"/>
      <c r="K1042"/>
      <c r="L1042"/>
      <c r="M1042"/>
      <c r="N1042"/>
      <c r="O1042"/>
      <c r="P1042"/>
      <c r="Q1042"/>
      <c r="R1042" s="558" t="s">
        <v>3971</v>
      </c>
      <c r="S1042" s="83"/>
      <c r="T1042" s="56"/>
      <c r="U1042" s="955"/>
      <c r="V1042" s="43" t="str">
        <f t="shared" ref="V1042:V1047" si="664">Z1033</f>
        <v>N</v>
      </c>
      <c r="W1042" s="10"/>
      <c r="X1042" s="45" t="s">
        <v>769</v>
      </c>
      <c r="Y1042" s="10"/>
      <c r="Z1042" s="46" t="str">
        <f t="shared" ref="Z1042:Z1047" si="665">V1031</f>
        <v>O</v>
      </c>
      <c r="AA1042" s="123"/>
      <c r="AB1042" s="1459">
        <f t="shared" si="656"/>
        <v>0</v>
      </c>
      <c r="AC1042" s="1460" t="str">
        <f t="shared" si="657"/>
        <v>-</v>
      </c>
      <c r="AD1042" s="1459">
        <f t="shared" si="658"/>
        <v>0</v>
      </c>
      <c r="AE1042" s="964" t="str">
        <f t="shared" si="659"/>
        <v/>
      </c>
      <c r="AF1042" s="964" t="str">
        <f t="shared" si="660"/>
        <v/>
      </c>
      <c r="AG1042" s="964" t="str">
        <f t="shared" si="661"/>
        <v/>
      </c>
      <c r="AH1042" s="964" t="str">
        <f t="shared" si="662"/>
        <v/>
      </c>
      <c r="AI1042" s="964" t="str">
        <f t="shared" si="663"/>
        <v/>
      </c>
      <c r="AJ1042" s="964"/>
      <c r="AK1042" s="964"/>
      <c r="AL1042"/>
      <c r="AM1042"/>
      <c r="AN1042"/>
      <c r="AO1042"/>
      <c r="AP1042"/>
      <c r="AQ1042"/>
      <c r="AR1042"/>
      <c r="AS1042"/>
      <c r="AT1042"/>
      <c r="AU1042"/>
      <c r="AV1042"/>
      <c r="AW1042"/>
      <c r="AX1042" s="9"/>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s="1396"/>
      <c r="CB1042" s="1396"/>
      <c r="CC1042"/>
      <c r="CD1042"/>
      <c r="CE1042"/>
    </row>
    <row r="1043" spans="1:83" ht="13.15" customHeight="1" outlineLevel="2" x14ac:dyDescent="0.2">
      <c r="A1043"/>
      <c r="B1043" s="1"/>
      <c r="C1043"/>
      <c r="D1043"/>
      <c r="E1043"/>
      <c r="F1043"/>
      <c r="G1043" s="1"/>
      <c r="H1043" s="1"/>
      <c r="I1043"/>
      <c r="J1043"/>
      <c r="K1043"/>
      <c r="L1043"/>
      <c r="M1043"/>
      <c r="N1043"/>
      <c r="O1043"/>
      <c r="P1043"/>
      <c r="Q1043"/>
      <c r="R1043" s="558" t="s">
        <v>3971</v>
      </c>
      <c r="S1043" s="83"/>
      <c r="T1043" s="56"/>
      <c r="U1043" s="955"/>
      <c r="V1043" s="43" t="str">
        <f t="shared" si="664"/>
        <v>L</v>
      </c>
      <c r="W1043" s="10"/>
      <c r="X1043" s="45" t="s">
        <v>769</v>
      </c>
      <c r="Y1043" s="10"/>
      <c r="Z1043" s="46" t="str">
        <f t="shared" si="665"/>
        <v>M</v>
      </c>
      <c r="AA1043" s="123"/>
      <c r="AB1043" s="1459">
        <f t="shared" si="656"/>
        <v>0</v>
      </c>
      <c r="AC1043" s="1460" t="str">
        <f t="shared" si="657"/>
        <v>-</v>
      </c>
      <c r="AD1043" s="1459">
        <f t="shared" si="658"/>
        <v>0</v>
      </c>
      <c r="AE1043" s="964" t="str">
        <f t="shared" si="659"/>
        <v/>
      </c>
      <c r="AF1043" s="964" t="str">
        <f t="shared" si="660"/>
        <v/>
      </c>
      <c r="AG1043" s="964" t="str">
        <f t="shared" si="661"/>
        <v/>
      </c>
      <c r="AH1043" s="964" t="str">
        <f t="shared" si="662"/>
        <v/>
      </c>
      <c r="AI1043" s="964" t="str">
        <f t="shared" si="663"/>
        <v/>
      </c>
      <c r="AJ1043" s="964"/>
      <c r="AK1043" s="964"/>
      <c r="AL1043"/>
      <c r="AM1043"/>
      <c r="AN1043"/>
      <c r="AO1043"/>
      <c r="AP1043"/>
      <c r="AQ1043"/>
      <c r="AR1043"/>
      <c r="AS1043"/>
      <c r="AT1043"/>
      <c r="AU1043"/>
      <c r="AV1043"/>
      <c r="AW1043" s="9"/>
      <c r="AX1043" s="9"/>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s="1396"/>
      <c r="CB1043" s="1396"/>
      <c r="CC1043"/>
      <c r="CD1043"/>
      <c r="CE1043"/>
    </row>
    <row r="1044" spans="1:83" ht="13.15" customHeight="1" outlineLevel="2" x14ac:dyDescent="0.2">
      <c r="A1044"/>
      <c r="B1044" s="1"/>
      <c r="C1044"/>
      <c r="D1044"/>
      <c r="E1044"/>
      <c r="F1044"/>
      <c r="G1044" s="1"/>
      <c r="H1044" s="1"/>
      <c r="I1044"/>
      <c r="J1044"/>
      <c r="K1044"/>
      <c r="L1044"/>
      <c r="M1044"/>
      <c r="N1044"/>
      <c r="O1044"/>
      <c r="P1044"/>
      <c r="Q1044"/>
      <c r="R1044" s="558" t="s">
        <v>3971</v>
      </c>
      <c r="S1044" s="83"/>
      <c r="T1044" s="56"/>
      <c r="U1044" s="955"/>
      <c r="V1044" s="43" t="str">
        <f t="shared" si="664"/>
        <v>J</v>
      </c>
      <c r="W1044" s="10"/>
      <c r="X1044" s="45" t="s">
        <v>769</v>
      </c>
      <c r="Y1044" s="10"/>
      <c r="Z1044" s="46" t="str">
        <f t="shared" si="665"/>
        <v>K</v>
      </c>
      <c r="AA1044" s="123"/>
      <c r="AB1044" s="1459">
        <f t="shared" si="656"/>
        <v>0</v>
      </c>
      <c r="AC1044" s="1460" t="str">
        <f t="shared" si="657"/>
        <v>-</v>
      </c>
      <c r="AD1044" s="1459">
        <f t="shared" si="658"/>
        <v>0</v>
      </c>
      <c r="AE1044" s="964" t="str">
        <f t="shared" si="659"/>
        <v/>
      </c>
      <c r="AF1044" s="964" t="str">
        <f t="shared" si="660"/>
        <v/>
      </c>
      <c r="AG1044" s="964" t="str">
        <f t="shared" si="661"/>
        <v/>
      </c>
      <c r="AH1044" s="964" t="str">
        <f t="shared" si="662"/>
        <v/>
      </c>
      <c r="AI1044" s="964" t="str">
        <f t="shared" si="663"/>
        <v/>
      </c>
      <c r="AJ1044" s="964"/>
      <c r="AK1044" s="96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s="1396"/>
      <c r="CB1044" s="1396"/>
      <c r="CC1044"/>
      <c r="CD1044"/>
      <c r="CE1044"/>
    </row>
    <row r="1045" spans="1:83" ht="13.15" customHeight="1" outlineLevel="2" x14ac:dyDescent="0.2">
      <c r="A1045"/>
      <c r="B1045" s="1"/>
      <c r="C1045"/>
      <c r="D1045"/>
      <c r="E1045"/>
      <c r="F1045"/>
      <c r="G1045" s="1"/>
      <c r="H1045" s="1"/>
      <c r="I1045"/>
      <c r="J1045"/>
      <c r="K1045"/>
      <c r="L1045"/>
      <c r="M1045"/>
      <c r="N1045"/>
      <c r="O1045"/>
      <c r="P1045"/>
      <c r="Q1045"/>
      <c r="R1045" s="558" t="s">
        <v>3971</v>
      </c>
      <c r="S1045" s="83"/>
      <c r="T1045" s="56"/>
      <c r="U1045" s="955"/>
      <c r="V1045" s="43" t="str">
        <f t="shared" si="664"/>
        <v>H</v>
      </c>
      <c r="W1045" s="10"/>
      <c r="X1045" s="45" t="s">
        <v>769</v>
      </c>
      <c r="Y1045" s="10"/>
      <c r="Z1045" s="46" t="str">
        <f t="shared" si="665"/>
        <v>I</v>
      </c>
      <c r="AA1045" s="123"/>
      <c r="AB1045" s="1459">
        <f t="shared" si="656"/>
        <v>0</v>
      </c>
      <c r="AC1045" s="1460" t="str">
        <f t="shared" si="657"/>
        <v>-</v>
      </c>
      <c r="AD1045" s="1459">
        <f t="shared" si="658"/>
        <v>0</v>
      </c>
      <c r="AE1045" s="964" t="str">
        <f t="shared" si="659"/>
        <v/>
      </c>
      <c r="AF1045" s="964" t="str">
        <f t="shared" si="660"/>
        <v/>
      </c>
      <c r="AG1045" s="964" t="str">
        <f t="shared" si="661"/>
        <v/>
      </c>
      <c r="AH1045" s="964" t="str">
        <f t="shared" si="662"/>
        <v/>
      </c>
      <c r="AI1045" s="964" t="str">
        <f t="shared" si="663"/>
        <v/>
      </c>
      <c r="AJ1045" s="964"/>
      <c r="AK1045" s="964"/>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s="1396"/>
      <c r="CB1045" s="1396"/>
      <c r="CC1045"/>
      <c r="CD1045"/>
      <c r="CE1045"/>
    </row>
    <row r="1046" spans="1:83" ht="13.15" customHeight="1" outlineLevel="2" x14ac:dyDescent="0.2">
      <c r="A1046"/>
      <c r="B1046" s="1"/>
      <c r="C1046"/>
      <c r="D1046"/>
      <c r="E1046"/>
      <c r="F1046"/>
      <c r="G1046" s="1"/>
      <c r="H1046" s="1"/>
      <c r="I1046"/>
      <c r="J1046"/>
      <c r="K1046"/>
      <c r="L1046"/>
      <c r="M1046"/>
      <c r="N1046"/>
      <c r="O1046"/>
      <c r="P1046"/>
      <c r="Q1046"/>
      <c r="R1046" s="558" t="s">
        <v>3971</v>
      </c>
      <c r="S1046" s="83"/>
      <c r="T1046" s="56"/>
      <c r="U1046" s="955"/>
      <c r="V1046" s="43" t="str">
        <f t="shared" si="664"/>
        <v>F</v>
      </c>
      <c r="W1046" s="10"/>
      <c r="X1046" s="45" t="s">
        <v>769</v>
      </c>
      <c r="Y1046" s="10"/>
      <c r="Z1046" s="46" t="str">
        <f t="shared" si="665"/>
        <v>G</v>
      </c>
      <c r="AA1046" s="123"/>
      <c r="AB1046" s="1459">
        <f t="shared" si="656"/>
        <v>0</v>
      </c>
      <c r="AC1046" s="1460" t="str">
        <f t="shared" si="657"/>
        <v>-</v>
      </c>
      <c r="AD1046" s="1459">
        <f t="shared" si="658"/>
        <v>0</v>
      </c>
      <c r="AE1046" s="964" t="str">
        <f t="shared" si="659"/>
        <v/>
      </c>
      <c r="AF1046" s="964" t="str">
        <f t="shared" si="660"/>
        <v/>
      </c>
      <c r="AG1046" s="964" t="str">
        <f t="shared" si="661"/>
        <v/>
      </c>
      <c r="AH1046" s="964" t="str">
        <f t="shared" si="662"/>
        <v/>
      </c>
      <c r="AI1046" s="964" t="str">
        <f t="shared" si="663"/>
        <v/>
      </c>
      <c r="AJ1046" s="964"/>
      <c r="AK1046" s="964"/>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s="1396"/>
      <c r="CB1046" s="1396"/>
      <c r="CC1046"/>
      <c r="CD1046"/>
      <c r="CE1046"/>
    </row>
    <row r="1047" spans="1:83" ht="13.15" customHeight="1" outlineLevel="2" x14ac:dyDescent="0.2">
      <c r="A1047"/>
      <c r="B1047" s="1"/>
      <c r="C1047"/>
      <c r="D1047"/>
      <c r="E1047"/>
      <c r="F1047"/>
      <c r="G1047" s="1"/>
      <c r="H1047" s="1"/>
      <c r="I1047"/>
      <c r="J1047"/>
      <c r="K1047"/>
      <c r="L1047"/>
      <c r="M1047"/>
      <c r="N1047"/>
      <c r="O1047"/>
      <c r="P1047"/>
      <c r="Q1047"/>
      <c r="R1047" s="558" t="s">
        <v>3971</v>
      </c>
      <c r="S1047" s="83"/>
      <c r="T1047" s="56"/>
      <c r="U1047" s="955"/>
      <c r="V1047" s="43" t="str">
        <f t="shared" si="664"/>
        <v>D</v>
      </c>
      <c r="W1047" s="10"/>
      <c r="X1047" s="45" t="s">
        <v>769</v>
      </c>
      <c r="Y1047" s="10"/>
      <c r="Z1047" s="46" t="str">
        <f t="shared" si="665"/>
        <v>E</v>
      </c>
      <c r="AA1047" s="123"/>
      <c r="AB1047" s="1459">
        <f t="shared" si="656"/>
        <v>0</v>
      </c>
      <c r="AC1047" s="1460" t="str">
        <f t="shared" si="657"/>
        <v>-</v>
      </c>
      <c r="AD1047" s="1459">
        <f t="shared" si="658"/>
        <v>0</v>
      </c>
      <c r="AE1047" s="964" t="str">
        <f t="shared" si="659"/>
        <v/>
      </c>
      <c r="AF1047" s="964" t="str">
        <f t="shared" si="660"/>
        <v/>
      </c>
      <c r="AG1047" s="964" t="str">
        <f t="shared" si="661"/>
        <v/>
      </c>
      <c r="AH1047" s="964" t="str">
        <f t="shared" si="662"/>
        <v/>
      </c>
      <c r="AI1047" s="964" t="str">
        <f t="shared" si="663"/>
        <v/>
      </c>
      <c r="AJ1047" s="964"/>
      <c r="AK1047" s="964"/>
      <c r="AL1047"/>
      <c r="AM1047"/>
      <c r="AN1047"/>
      <c r="AO1047"/>
      <c r="AP1047"/>
      <c r="AQ1047"/>
      <c r="AR1047"/>
      <c r="AS1047"/>
      <c r="AT1047"/>
      <c r="AU1047"/>
      <c r="AV1047"/>
      <c r="AW1047"/>
      <c r="AX1047" s="9"/>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s="1396"/>
      <c r="CB1047" s="1396"/>
      <c r="CC1047"/>
      <c r="CD1047"/>
      <c r="CE1047"/>
    </row>
    <row r="1048" spans="1:83" ht="13.9" customHeight="1" outlineLevel="2" thickBot="1" x14ac:dyDescent="0.25">
      <c r="A1048"/>
      <c r="B1048" s="1"/>
      <c r="C1048"/>
      <c r="D1048"/>
      <c r="E1048"/>
      <c r="F1048"/>
      <c r="G1048" s="1"/>
      <c r="H1048" s="1"/>
      <c r="I1048"/>
      <c r="J1048"/>
      <c r="K1048"/>
      <c r="L1048"/>
      <c r="M1048"/>
      <c r="N1048"/>
      <c r="O1048"/>
      <c r="P1048"/>
      <c r="Q1048"/>
      <c r="R1048" s="558" t="s">
        <v>3971</v>
      </c>
      <c r="S1048" s="956"/>
      <c r="T1048" s="58"/>
      <c r="U1048" s="957"/>
      <c r="V1048" s="958" t="str">
        <f>V1038</f>
        <v>B</v>
      </c>
      <c r="W1048" s="10"/>
      <c r="X1048" s="45" t="s">
        <v>769</v>
      </c>
      <c r="Y1048" s="10"/>
      <c r="Z1048" s="46" t="str">
        <f>V1037</f>
        <v>C</v>
      </c>
      <c r="AA1048" s="123"/>
      <c r="AB1048" s="1459">
        <f t="shared" si="656"/>
        <v>0</v>
      </c>
      <c r="AC1048" s="1460" t="str">
        <f t="shared" si="657"/>
        <v>-</v>
      </c>
      <c r="AD1048" s="1459">
        <f t="shared" si="658"/>
        <v>0</v>
      </c>
      <c r="AE1048" s="964" t="str">
        <f t="shared" si="659"/>
        <v/>
      </c>
      <c r="AF1048" s="964" t="str">
        <f t="shared" si="660"/>
        <v/>
      </c>
      <c r="AG1048" s="964" t="str">
        <f t="shared" si="661"/>
        <v/>
      </c>
      <c r="AH1048" s="964" t="str">
        <f t="shared" si="662"/>
        <v/>
      </c>
      <c r="AI1048" s="964" t="str">
        <f t="shared" si="663"/>
        <v/>
      </c>
      <c r="AJ1048" s="964"/>
      <c r="AK1048" s="964"/>
      <c r="AL1048"/>
      <c r="AM1048"/>
      <c r="AN1048"/>
      <c r="AO1048"/>
      <c r="AP1048"/>
      <c r="AQ1048"/>
      <c r="AR1048"/>
      <c r="AS1048"/>
      <c r="AT1048"/>
      <c r="AU1048"/>
      <c r="AV1048"/>
      <c r="AW1048" s="9"/>
      <c r="AX1048" s="9"/>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s="1396"/>
      <c r="CB1048" s="1396"/>
      <c r="CC1048"/>
      <c r="CD1048"/>
      <c r="CE1048"/>
    </row>
    <row r="1049" spans="1:83" ht="13.5" outlineLevel="1" thickBot="1" x14ac:dyDescent="0.25">
      <c r="A1049"/>
      <c r="B1049" s="1"/>
      <c r="C1049" s="1"/>
      <c r="D1049" s="76"/>
      <c r="E1049" s="76"/>
      <c r="F1049" s="76"/>
      <c r="G1049" s="9"/>
      <c r="H1049" s="9"/>
      <c r="I1049" s="1"/>
      <c r="J1049"/>
      <c r="K1049"/>
      <c r="L1049"/>
      <c r="M1049"/>
      <c r="N1049"/>
      <c r="O1049"/>
      <c r="P1049" s="89"/>
      <c r="Q1049"/>
      <c r="R1049" s="1"/>
      <c r="S1049" s="993">
        <f>S1039+1</f>
        <v>10</v>
      </c>
      <c r="T1049" s="961"/>
      <c r="U1049" s="961"/>
      <c r="V1049" s="961"/>
      <c r="W1049" s="960"/>
      <c r="X1049" s="960"/>
      <c r="Y1049" s="960"/>
      <c r="Z1049" s="962"/>
      <c r="AA1049" s="123"/>
      <c r="AB1049" s="963"/>
      <c r="AC1049" s="963"/>
      <c r="AD1049" s="963"/>
      <c r="AE1049" s="964"/>
      <c r="AF1049" s="964"/>
      <c r="AG1049" s="964"/>
      <c r="AH1049" s="964"/>
      <c r="AI1049" s="964"/>
      <c r="AJ1049" s="964"/>
      <c r="AK1049" s="964"/>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s="1396"/>
      <c r="CB1049" s="1396"/>
      <c r="CC1049"/>
      <c r="CD1049"/>
      <c r="CE1049"/>
    </row>
    <row r="1050" spans="1:83" ht="13.9" customHeight="1" outlineLevel="2" thickBot="1" x14ac:dyDescent="0.25">
      <c r="A1050"/>
      <c r="B1050" s="1"/>
      <c r="C1050"/>
      <c r="D1050"/>
      <c r="E1050"/>
      <c r="F1050"/>
      <c r="G1050" s="1"/>
      <c r="H1050" s="1"/>
      <c r="I1050"/>
      <c r="J1050"/>
      <c r="K1050"/>
      <c r="L1050"/>
      <c r="M1050"/>
      <c r="N1050"/>
      <c r="O1050"/>
      <c r="P1050"/>
      <c r="Q1050"/>
      <c r="S1050" s="22" t="str">
        <f>N_Heure</f>
        <v>Heure</v>
      </c>
      <c r="T1050" s="22" t="str">
        <f>N_Table</f>
        <v>Table</v>
      </c>
      <c r="U1050" s="22" t="str">
        <f>N_Arbitre</f>
        <v>Arbitre</v>
      </c>
      <c r="V1050" s="293" t="str">
        <f>N_Matches</f>
        <v>Matches</v>
      </c>
      <c r="W1050" s="294"/>
      <c r="X1050" s="294"/>
      <c r="Y1050" s="294"/>
      <c r="Z1050" s="295"/>
      <c r="AA1050" s="8"/>
      <c r="AB1050" s="967"/>
      <c r="AC1050" s="967"/>
      <c r="AD1050" s="967"/>
      <c r="AE1050" s="964"/>
      <c r="AF1050" s="964"/>
      <c r="AG1050" s="964"/>
      <c r="AH1050" s="964"/>
      <c r="AI1050" s="964"/>
      <c r="AJ1050" s="964"/>
      <c r="AK1050" s="964"/>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s="1396"/>
      <c r="CB1050" s="1396"/>
      <c r="CC1050"/>
      <c r="CD1050"/>
      <c r="CE1050"/>
    </row>
    <row r="1051" spans="1:83" ht="13.15" customHeight="1" outlineLevel="2" x14ac:dyDescent="0.2">
      <c r="A1051"/>
      <c r="B1051" s="1"/>
      <c r="C1051"/>
      <c r="D1051"/>
      <c r="E1051"/>
      <c r="F1051"/>
      <c r="G1051" s="1"/>
      <c r="H1051" s="1"/>
      <c r="I1051"/>
      <c r="J1051"/>
      <c r="K1051"/>
      <c r="L1051"/>
      <c r="M1051"/>
      <c r="N1051"/>
      <c r="O1051"/>
      <c r="P1051"/>
      <c r="Q1051"/>
      <c r="R1051" s="558" t="s">
        <v>3972</v>
      </c>
      <c r="S1051" s="83"/>
      <c r="T1051" s="56"/>
      <c r="U1051" s="955"/>
      <c r="V1051" s="34" t="str">
        <f>V1042</f>
        <v>N</v>
      </c>
      <c r="W1051" s="148"/>
      <c r="X1051" s="35" t="s">
        <v>769</v>
      </c>
      <c r="Y1051" s="148"/>
      <c r="Z1051" s="36" t="str">
        <f>V1041</f>
        <v>A</v>
      </c>
      <c r="AA1051" s="123"/>
      <c r="AB1051" s="1459">
        <f t="shared" ref="AB1051:AB1058" si="666">IF(MaxScore,MaxGoals(W1051,Y1051,MaxGoalsValue),IF(W1051="","",W1051))</f>
        <v>0</v>
      </c>
      <c r="AC1051" s="1460" t="str">
        <f t="shared" ref="AC1051:AC1058" si="667">IF(MaxScore,"-",IF(W1051="","","-"))</f>
        <v>-</v>
      </c>
      <c r="AD1051" s="1459">
        <f t="shared" ref="AD1051:AD1058" si="668">IF(MaxScore,MaxGoals(Y1051,W1051,MaxGoalsValue),IF(Y1051="","",Y1051))</f>
        <v>0</v>
      </c>
      <c r="AE1051" s="964" t="str">
        <f t="shared" ref="AE1051:AE1058" si="669">IF(W1051="","",IF(W1051&gt;Y1051,V1051,IF(W1051=Y1051,"",Z1051)))</f>
        <v/>
      </c>
      <c r="AF1051" s="964" t="str">
        <f t="shared" ref="AF1051:AF1058" si="670">IF(W1051="","",IF(W1051=Y1051,V1051,""))</f>
        <v/>
      </c>
      <c r="AG1051" s="964" t="str">
        <f t="shared" ref="AG1051:AG1058" si="671">IF(W1051="","",IF(W1051=Y1051,Z1051,""))</f>
        <v/>
      </c>
      <c r="AH1051" s="964" t="str">
        <f t="shared" ref="AH1051:AH1058" si="672">IF(W1051="","",IF(W1051&lt;Y1051,V1051,IF(W1051=Y1051,"",Z1051)))</f>
        <v/>
      </c>
      <c r="AI1051" s="964" t="str">
        <f t="shared" ref="AI1051:AI1058" si="673">CONCATENATE(AE1051,AH1051)</f>
        <v/>
      </c>
      <c r="AJ1051" s="964"/>
      <c r="AK1051" s="964"/>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s="1396"/>
      <c r="CB1051" s="1396"/>
      <c r="CC1051"/>
      <c r="CD1051"/>
      <c r="CE1051"/>
    </row>
    <row r="1052" spans="1:83" ht="13.15" customHeight="1" outlineLevel="2" x14ac:dyDescent="0.2">
      <c r="A1052"/>
      <c r="B1052" s="1"/>
      <c r="C1052"/>
      <c r="D1052"/>
      <c r="E1052"/>
      <c r="F1052"/>
      <c r="G1052" s="1"/>
      <c r="H1052" s="1"/>
      <c r="I1052"/>
      <c r="J1052"/>
      <c r="K1052"/>
      <c r="L1052"/>
      <c r="M1052"/>
      <c r="N1052"/>
      <c r="O1052"/>
      <c r="P1052"/>
      <c r="Q1052"/>
      <c r="R1052" s="558" t="s">
        <v>3972</v>
      </c>
      <c r="S1052" s="83"/>
      <c r="T1052" s="56"/>
      <c r="U1052" s="955"/>
      <c r="V1052" s="43" t="str">
        <f t="shared" ref="V1052:V1058" si="674">Z1041</f>
        <v>P</v>
      </c>
      <c r="W1052" s="10"/>
      <c r="X1052" s="45" t="s">
        <v>769</v>
      </c>
      <c r="Y1052" s="10"/>
      <c r="Z1052" s="46" t="str">
        <f t="shared" ref="Z1052:Z1057" si="675">V1043</f>
        <v>L</v>
      </c>
      <c r="AA1052" s="123"/>
      <c r="AB1052" s="1459">
        <f t="shared" si="666"/>
        <v>0</v>
      </c>
      <c r="AC1052" s="1460" t="str">
        <f t="shared" si="667"/>
        <v>-</v>
      </c>
      <c r="AD1052" s="1459">
        <f t="shared" si="668"/>
        <v>0</v>
      </c>
      <c r="AE1052" s="964" t="str">
        <f t="shared" si="669"/>
        <v/>
      </c>
      <c r="AF1052" s="964" t="str">
        <f t="shared" si="670"/>
        <v/>
      </c>
      <c r="AG1052" s="964" t="str">
        <f t="shared" si="671"/>
        <v/>
      </c>
      <c r="AH1052" s="964" t="str">
        <f t="shared" si="672"/>
        <v/>
      </c>
      <c r="AI1052" s="964" t="str">
        <f t="shared" si="673"/>
        <v/>
      </c>
      <c r="AJ1052" s="964"/>
      <c r="AK1052" s="964"/>
      <c r="AL1052"/>
      <c r="AM1052"/>
      <c r="AN1052"/>
      <c r="AO1052"/>
      <c r="AP1052"/>
      <c r="AQ1052"/>
      <c r="AR1052"/>
      <c r="AS1052"/>
      <c r="AT1052"/>
      <c r="AU1052"/>
      <c r="AV1052"/>
      <c r="AW1052"/>
      <c r="AX1052" s="9"/>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s="1396"/>
      <c r="CB1052" s="1396"/>
      <c r="CC1052"/>
      <c r="CD1052"/>
      <c r="CE1052"/>
    </row>
    <row r="1053" spans="1:83" ht="13.15" customHeight="1" outlineLevel="2" x14ac:dyDescent="0.2">
      <c r="A1053"/>
      <c r="B1053" s="1"/>
      <c r="C1053"/>
      <c r="D1053"/>
      <c r="E1053"/>
      <c r="F1053"/>
      <c r="G1053" s="1"/>
      <c r="H1053" s="1"/>
      <c r="I1053"/>
      <c r="J1053"/>
      <c r="K1053"/>
      <c r="L1053"/>
      <c r="M1053"/>
      <c r="N1053"/>
      <c r="O1053"/>
      <c r="P1053"/>
      <c r="Q1053"/>
      <c r="R1053" s="558" t="s">
        <v>3972</v>
      </c>
      <c r="S1053" s="83"/>
      <c r="T1053" s="56"/>
      <c r="U1053" s="955"/>
      <c r="V1053" s="43" t="str">
        <f t="shared" si="674"/>
        <v>O</v>
      </c>
      <c r="W1053" s="10"/>
      <c r="X1053" s="45" t="s">
        <v>769</v>
      </c>
      <c r="Y1053" s="10"/>
      <c r="Z1053" s="46" t="str">
        <f t="shared" si="675"/>
        <v>J</v>
      </c>
      <c r="AA1053" s="123"/>
      <c r="AB1053" s="1459">
        <f t="shared" si="666"/>
        <v>0</v>
      </c>
      <c r="AC1053" s="1460" t="str">
        <f t="shared" si="667"/>
        <v>-</v>
      </c>
      <c r="AD1053" s="1459">
        <f t="shared" si="668"/>
        <v>0</v>
      </c>
      <c r="AE1053" s="964" t="str">
        <f t="shared" si="669"/>
        <v/>
      </c>
      <c r="AF1053" s="964" t="str">
        <f t="shared" si="670"/>
        <v/>
      </c>
      <c r="AG1053" s="964" t="str">
        <f t="shared" si="671"/>
        <v/>
      </c>
      <c r="AH1053" s="964" t="str">
        <f t="shared" si="672"/>
        <v/>
      </c>
      <c r="AI1053" s="964" t="str">
        <f t="shared" si="673"/>
        <v/>
      </c>
      <c r="AJ1053" s="964"/>
      <c r="AK1053" s="964"/>
      <c r="AL1053"/>
      <c r="AM1053"/>
      <c r="AN1053"/>
      <c r="AO1053"/>
      <c r="AP1053"/>
      <c r="AQ1053"/>
      <c r="AR1053"/>
      <c r="AS1053"/>
      <c r="AT1053"/>
      <c r="AU1053"/>
      <c r="AV1053"/>
      <c r="AW1053" s="9"/>
      <c r="AX1053" s="9"/>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s="1396"/>
      <c r="CB1053" s="1396"/>
      <c r="CC1053"/>
      <c r="CD1053"/>
      <c r="CE1053"/>
    </row>
    <row r="1054" spans="1:83" ht="13.15" customHeight="1" outlineLevel="2" x14ac:dyDescent="0.2">
      <c r="A1054"/>
      <c r="B1054" s="1"/>
      <c r="C1054"/>
      <c r="D1054"/>
      <c r="E1054"/>
      <c r="F1054"/>
      <c r="G1054" s="1"/>
      <c r="H1054" s="1"/>
      <c r="I1054"/>
      <c r="J1054"/>
      <c r="K1054"/>
      <c r="L1054"/>
      <c r="M1054"/>
      <c r="N1054"/>
      <c r="O1054"/>
      <c r="P1054"/>
      <c r="Q1054"/>
      <c r="R1054" s="558" t="s">
        <v>3972</v>
      </c>
      <c r="S1054" s="83"/>
      <c r="T1054" s="56"/>
      <c r="U1054" s="955"/>
      <c r="V1054" s="43" t="str">
        <f t="shared" si="674"/>
        <v>M</v>
      </c>
      <c r="W1054" s="10"/>
      <c r="X1054" s="45" t="s">
        <v>769</v>
      </c>
      <c r="Y1054" s="10"/>
      <c r="Z1054" s="46" t="str">
        <f t="shared" si="675"/>
        <v>H</v>
      </c>
      <c r="AA1054" s="123"/>
      <c r="AB1054" s="1459">
        <f t="shared" si="666"/>
        <v>0</v>
      </c>
      <c r="AC1054" s="1460" t="str">
        <f t="shared" si="667"/>
        <v>-</v>
      </c>
      <c r="AD1054" s="1459">
        <f t="shared" si="668"/>
        <v>0</v>
      </c>
      <c r="AE1054" s="964" t="str">
        <f t="shared" si="669"/>
        <v/>
      </c>
      <c r="AF1054" s="964" t="str">
        <f t="shared" si="670"/>
        <v/>
      </c>
      <c r="AG1054" s="964" t="str">
        <f t="shared" si="671"/>
        <v/>
      </c>
      <c r="AH1054" s="964" t="str">
        <f t="shared" si="672"/>
        <v/>
      </c>
      <c r="AI1054" s="964" t="str">
        <f t="shared" si="673"/>
        <v/>
      </c>
      <c r="AJ1054" s="964"/>
      <c r="AK1054" s="96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s="1396"/>
      <c r="CB1054" s="1396"/>
      <c r="CC1054"/>
      <c r="CD1054"/>
      <c r="CE1054"/>
    </row>
    <row r="1055" spans="1:83" ht="13.15" customHeight="1" outlineLevel="2" x14ac:dyDescent="0.2">
      <c r="A1055"/>
      <c r="B1055" s="1"/>
      <c r="C1055"/>
      <c r="D1055"/>
      <c r="E1055"/>
      <c r="F1055"/>
      <c r="G1055" s="1"/>
      <c r="H1055" s="1"/>
      <c r="I1055"/>
      <c r="J1055"/>
      <c r="K1055"/>
      <c r="L1055"/>
      <c r="M1055"/>
      <c r="N1055"/>
      <c r="O1055"/>
      <c r="P1055"/>
      <c r="Q1055"/>
      <c r="R1055" s="558" t="s">
        <v>3972</v>
      </c>
      <c r="S1055" s="83"/>
      <c r="T1055" s="56"/>
      <c r="U1055" s="955"/>
      <c r="V1055" s="43" t="str">
        <f t="shared" si="674"/>
        <v>K</v>
      </c>
      <c r="W1055" s="10"/>
      <c r="X1055" s="45" t="s">
        <v>769</v>
      </c>
      <c r="Y1055" s="10"/>
      <c r="Z1055" s="46" t="str">
        <f t="shared" si="675"/>
        <v>F</v>
      </c>
      <c r="AA1055" s="123"/>
      <c r="AB1055" s="1459">
        <f t="shared" si="666"/>
        <v>0</v>
      </c>
      <c r="AC1055" s="1460" t="str">
        <f t="shared" si="667"/>
        <v>-</v>
      </c>
      <c r="AD1055" s="1459">
        <f t="shared" si="668"/>
        <v>0</v>
      </c>
      <c r="AE1055" s="964" t="str">
        <f t="shared" si="669"/>
        <v/>
      </c>
      <c r="AF1055" s="964" t="str">
        <f t="shared" si="670"/>
        <v/>
      </c>
      <c r="AG1055" s="964" t="str">
        <f t="shared" si="671"/>
        <v/>
      </c>
      <c r="AH1055" s="964" t="str">
        <f t="shared" si="672"/>
        <v/>
      </c>
      <c r="AI1055" s="964" t="str">
        <f t="shared" si="673"/>
        <v/>
      </c>
      <c r="AJ1055" s="964"/>
      <c r="AK1055" s="964"/>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s="1396"/>
      <c r="CB1055" s="1396"/>
      <c r="CC1055"/>
      <c r="CD1055"/>
      <c r="CE1055"/>
    </row>
    <row r="1056" spans="1:83" ht="13.15" customHeight="1" outlineLevel="2" x14ac:dyDescent="0.2">
      <c r="A1056"/>
      <c r="B1056" s="1"/>
      <c r="C1056"/>
      <c r="D1056"/>
      <c r="E1056"/>
      <c r="F1056"/>
      <c r="G1056" s="1"/>
      <c r="H1056" s="1"/>
      <c r="I1056"/>
      <c r="J1056"/>
      <c r="K1056"/>
      <c r="L1056"/>
      <c r="M1056"/>
      <c r="N1056"/>
      <c r="O1056"/>
      <c r="P1056"/>
      <c r="Q1056"/>
      <c r="R1056" s="558" t="s">
        <v>3972</v>
      </c>
      <c r="S1056" s="83"/>
      <c r="T1056" s="56"/>
      <c r="U1056" s="955"/>
      <c r="V1056" s="43" t="str">
        <f t="shared" si="674"/>
        <v>I</v>
      </c>
      <c r="W1056" s="10"/>
      <c r="X1056" s="45" t="s">
        <v>769</v>
      </c>
      <c r="Y1056" s="10"/>
      <c r="Z1056" s="46" t="str">
        <f t="shared" si="675"/>
        <v>D</v>
      </c>
      <c r="AA1056" s="123"/>
      <c r="AB1056" s="1459">
        <f t="shared" si="666"/>
        <v>0</v>
      </c>
      <c r="AC1056" s="1460" t="str">
        <f t="shared" si="667"/>
        <v>-</v>
      </c>
      <c r="AD1056" s="1459">
        <f t="shared" si="668"/>
        <v>0</v>
      </c>
      <c r="AE1056" s="964" t="str">
        <f t="shared" si="669"/>
        <v/>
      </c>
      <c r="AF1056" s="964" t="str">
        <f t="shared" si="670"/>
        <v/>
      </c>
      <c r="AG1056" s="964" t="str">
        <f t="shared" si="671"/>
        <v/>
      </c>
      <c r="AH1056" s="964" t="str">
        <f t="shared" si="672"/>
        <v/>
      </c>
      <c r="AI1056" s="964" t="str">
        <f t="shared" si="673"/>
        <v/>
      </c>
      <c r="AJ1056" s="964"/>
      <c r="AK1056" s="964"/>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s="1396"/>
      <c r="CB1056" s="1396"/>
      <c r="CC1056"/>
      <c r="CD1056"/>
      <c r="CE1056"/>
    </row>
    <row r="1057" spans="1:83" ht="13.15" customHeight="1" outlineLevel="2" x14ac:dyDescent="0.2">
      <c r="A1057"/>
      <c r="B1057" s="1"/>
      <c r="C1057"/>
      <c r="D1057"/>
      <c r="E1057"/>
      <c r="F1057"/>
      <c r="G1057" s="1"/>
      <c r="H1057" s="1"/>
      <c r="I1057"/>
      <c r="J1057"/>
      <c r="K1057"/>
      <c r="L1057"/>
      <c r="M1057"/>
      <c r="N1057"/>
      <c r="O1057"/>
      <c r="P1057"/>
      <c r="Q1057"/>
      <c r="R1057" s="558" t="s">
        <v>3972</v>
      </c>
      <c r="S1057" s="83"/>
      <c r="T1057" s="56"/>
      <c r="U1057" s="955"/>
      <c r="V1057" s="43" t="str">
        <f t="shared" si="674"/>
        <v>G</v>
      </c>
      <c r="W1057" s="10"/>
      <c r="X1057" s="45" t="s">
        <v>769</v>
      </c>
      <c r="Y1057" s="10"/>
      <c r="Z1057" s="46" t="str">
        <f t="shared" si="675"/>
        <v>B</v>
      </c>
      <c r="AA1057" s="123"/>
      <c r="AB1057" s="1459">
        <f t="shared" si="666"/>
        <v>0</v>
      </c>
      <c r="AC1057" s="1460" t="str">
        <f t="shared" si="667"/>
        <v>-</v>
      </c>
      <c r="AD1057" s="1459">
        <f t="shared" si="668"/>
        <v>0</v>
      </c>
      <c r="AE1057" s="964" t="str">
        <f t="shared" si="669"/>
        <v/>
      </c>
      <c r="AF1057" s="964" t="str">
        <f t="shared" si="670"/>
        <v/>
      </c>
      <c r="AG1057" s="964" t="str">
        <f t="shared" si="671"/>
        <v/>
      </c>
      <c r="AH1057" s="964" t="str">
        <f t="shared" si="672"/>
        <v/>
      </c>
      <c r="AI1057" s="964" t="str">
        <f t="shared" si="673"/>
        <v/>
      </c>
      <c r="AJ1057" s="964"/>
      <c r="AK1057" s="964"/>
      <c r="AL1057"/>
      <c r="AM1057"/>
      <c r="AN1057"/>
      <c r="AO1057"/>
      <c r="AP1057"/>
      <c r="AQ1057"/>
      <c r="AR1057"/>
      <c r="AS1057"/>
      <c r="AT1057"/>
      <c r="AU1057"/>
      <c r="AV1057"/>
      <c r="AW1057"/>
      <c r="AX1057" s="9"/>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s="1396"/>
      <c r="CB1057" s="1396"/>
      <c r="CC1057"/>
      <c r="CD1057"/>
      <c r="CE1057"/>
    </row>
    <row r="1058" spans="1:83" ht="13.9" customHeight="1" outlineLevel="2" thickBot="1" x14ac:dyDescent="0.25">
      <c r="A1058"/>
      <c r="B1058" s="1"/>
      <c r="C1058"/>
      <c r="D1058"/>
      <c r="E1058"/>
      <c r="F1058"/>
      <c r="G1058" s="1"/>
      <c r="H1058" s="1"/>
      <c r="I1058"/>
      <c r="J1058"/>
      <c r="K1058"/>
      <c r="L1058"/>
      <c r="M1058"/>
      <c r="N1058"/>
      <c r="O1058"/>
      <c r="P1058"/>
      <c r="Q1058"/>
      <c r="R1058" s="558" t="s">
        <v>3972</v>
      </c>
      <c r="S1058" s="956"/>
      <c r="T1058" s="58"/>
      <c r="U1058" s="957"/>
      <c r="V1058" s="43" t="str">
        <f t="shared" si="674"/>
        <v>E</v>
      </c>
      <c r="W1058" s="10"/>
      <c r="X1058" s="45" t="s">
        <v>769</v>
      </c>
      <c r="Y1058" s="10"/>
      <c r="Z1058" s="46" t="str">
        <f>Z1048</f>
        <v>C</v>
      </c>
      <c r="AA1058" s="123"/>
      <c r="AB1058" s="1459">
        <f t="shared" si="666"/>
        <v>0</v>
      </c>
      <c r="AC1058" s="1460" t="str">
        <f t="shared" si="667"/>
        <v>-</v>
      </c>
      <c r="AD1058" s="1459">
        <f t="shared" si="668"/>
        <v>0</v>
      </c>
      <c r="AE1058" s="964" t="str">
        <f t="shared" si="669"/>
        <v/>
      </c>
      <c r="AF1058" s="964" t="str">
        <f t="shared" si="670"/>
        <v/>
      </c>
      <c r="AG1058" s="964" t="str">
        <f t="shared" si="671"/>
        <v/>
      </c>
      <c r="AH1058" s="964" t="str">
        <f t="shared" si="672"/>
        <v/>
      </c>
      <c r="AI1058" s="964" t="str">
        <f t="shared" si="673"/>
        <v/>
      </c>
      <c r="AJ1058" s="964"/>
      <c r="AK1058" s="964"/>
      <c r="AL1058"/>
      <c r="AM1058"/>
      <c r="AN1058"/>
      <c r="AO1058"/>
      <c r="AP1058"/>
      <c r="AQ1058"/>
      <c r="AR1058"/>
      <c r="AS1058"/>
      <c r="AT1058"/>
      <c r="AU1058"/>
      <c r="AV1058"/>
      <c r="AW1058" s="9"/>
      <c r="AX1058" s="9"/>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s="1396"/>
      <c r="CB1058" s="1396"/>
      <c r="CC1058"/>
      <c r="CD1058"/>
      <c r="CE1058"/>
    </row>
    <row r="1059" spans="1:83" ht="13.5" outlineLevel="1" thickBot="1" x14ac:dyDescent="0.25">
      <c r="A1059"/>
      <c r="B1059" s="1"/>
      <c r="C1059" s="1"/>
      <c r="D1059" s="76"/>
      <c r="E1059" s="76"/>
      <c r="F1059" s="76"/>
      <c r="G1059" s="9"/>
      <c r="H1059" s="9"/>
      <c r="I1059" s="1"/>
      <c r="J1059"/>
      <c r="K1059"/>
      <c r="L1059"/>
      <c r="M1059"/>
      <c r="N1059"/>
      <c r="O1059"/>
      <c r="P1059" s="89"/>
      <c r="Q1059"/>
      <c r="R1059" s="1"/>
      <c r="S1059" s="993">
        <f>S1049+1</f>
        <v>11</v>
      </c>
      <c r="T1059" s="961"/>
      <c r="U1059" s="961"/>
      <c r="V1059" s="961"/>
      <c r="W1059" s="960"/>
      <c r="X1059" s="960"/>
      <c r="Y1059" s="960"/>
      <c r="Z1059" s="962"/>
      <c r="AA1059" s="123"/>
      <c r="AB1059" s="963"/>
      <c r="AC1059" s="963"/>
      <c r="AD1059" s="963"/>
      <c r="AE1059" s="964"/>
      <c r="AF1059" s="964"/>
      <c r="AG1059" s="964"/>
      <c r="AH1059" s="964"/>
      <c r="AI1059" s="964"/>
      <c r="AJ1059" s="964"/>
      <c r="AK1059" s="964"/>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s="1396"/>
      <c r="CB1059" s="1396"/>
      <c r="CC1059"/>
      <c r="CD1059"/>
      <c r="CE1059"/>
    </row>
    <row r="1060" spans="1:83" ht="13.9" customHeight="1" outlineLevel="2" thickBot="1" x14ac:dyDescent="0.25">
      <c r="A1060"/>
      <c r="B1060" s="1"/>
      <c r="C1060"/>
      <c r="D1060"/>
      <c r="E1060"/>
      <c r="F1060"/>
      <c r="G1060" s="1"/>
      <c r="H1060" s="1"/>
      <c r="I1060"/>
      <c r="J1060"/>
      <c r="K1060"/>
      <c r="L1060"/>
      <c r="M1060"/>
      <c r="N1060"/>
      <c r="O1060"/>
      <c r="P1060"/>
      <c r="Q1060"/>
      <c r="S1060" s="22" t="str">
        <f>N_Heure</f>
        <v>Heure</v>
      </c>
      <c r="T1060" s="22" t="str">
        <f>N_Table</f>
        <v>Table</v>
      </c>
      <c r="U1060" s="22" t="str">
        <f>N_Arbitre</f>
        <v>Arbitre</v>
      </c>
      <c r="V1060" s="293" t="str">
        <f>N_Matches</f>
        <v>Matches</v>
      </c>
      <c r="W1060" s="294"/>
      <c r="X1060" s="294"/>
      <c r="Y1060" s="294"/>
      <c r="Z1060" s="295"/>
      <c r="AA1060" s="8"/>
      <c r="AB1060" s="967"/>
      <c r="AC1060" s="967"/>
      <c r="AD1060" s="967"/>
      <c r="AE1060" s="964"/>
      <c r="AF1060" s="964"/>
      <c r="AG1060" s="964"/>
      <c r="AH1060" s="964"/>
      <c r="AI1060" s="964"/>
      <c r="AJ1060" s="964"/>
      <c r="AK1060" s="964"/>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s="1396"/>
      <c r="CB1060" s="1396"/>
      <c r="CC1060"/>
      <c r="CD1060"/>
      <c r="CE1060"/>
    </row>
    <row r="1061" spans="1:83" ht="13.15" customHeight="1" outlineLevel="2" x14ac:dyDescent="0.2">
      <c r="A1061"/>
      <c r="B1061" s="1"/>
      <c r="C1061"/>
      <c r="D1061"/>
      <c r="E1061"/>
      <c r="F1061"/>
      <c r="G1061" s="1"/>
      <c r="H1061" s="1"/>
      <c r="I1061"/>
      <c r="J1061"/>
      <c r="K1061"/>
      <c r="L1061"/>
      <c r="M1061"/>
      <c r="N1061"/>
      <c r="O1061"/>
      <c r="P1061"/>
      <c r="Q1061"/>
      <c r="R1061" s="558" t="s">
        <v>3973</v>
      </c>
      <c r="S1061" s="83"/>
      <c r="T1061" s="56"/>
      <c r="U1061" s="955"/>
      <c r="V1061" s="34" t="str">
        <f>Z1051</f>
        <v>A</v>
      </c>
      <c r="W1061" s="148"/>
      <c r="X1061" s="35" t="s">
        <v>769</v>
      </c>
      <c r="Y1061" s="148"/>
      <c r="Z1061" s="36" t="str">
        <f>Z1052</f>
        <v>L</v>
      </c>
      <c r="AA1061" s="123"/>
      <c r="AB1061" s="1459">
        <f t="shared" ref="AB1061:AB1068" si="676">IF(MaxScore,MaxGoals(W1061,Y1061,MaxGoalsValue),IF(W1061="","",W1061))</f>
        <v>0</v>
      </c>
      <c r="AC1061" s="1460" t="str">
        <f t="shared" ref="AC1061:AC1068" si="677">IF(MaxScore,"-",IF(W1061="","","-"))</f>
        <v>-</v>
      </c>
      <c r="AD1061" s="1459">
        <f t="shared" ref="AD1061:AD1068" si="678">IF(MaxScore,MaxGoals(Y1061,W1061,MaxGoalsValue),IF(Y1061="","",Y1061))</f>
        <v>0</v>
      </c>
      <c r="AE1061" s="964" t="str">
        <f t="shared" ref="AE1061:AE1068" si="679">IF(W1061="","",IF(W1061&gt;Y1061,V1061,IF(W1061=Y1061,"",Z1061)))</f>
        <v/>
      </c>
      <c r="AF1061" s="964" t="str">
        <f t="shared" ref="AF1061:AF1068" si="680">IF(W1061="","",IF(W1061=Y1061,V1061,""))</f>
        <v/>
      </c>
      <c r="AG1061" s="964" t="str">
        <f t="shared" ref="AG1061:AG1068" si="681">IF(W1061="","",IF(W1061=Y1061,Z1061,""))</f>
        <v/>
      </c>
      <c r="AH1061" s="964" t="str">
        <f t="shared" ref="AH1061:AH1068" si="682">IF(W1061="","",IF(W1061&lt;Y1061,V1061,IF(W1061=Y1061,"",Z1061)))</f>
        <v/>
      </c>
      <c r="AI1061" s="964" t="str">
        <f t="shared" ref="AI1061:AI1068" si="683">CONCATENATE(AE1061,AH1061)</f>
        <v/>
      </c>
      <c r="AJ1061" s="964"/>
      <c r="AK1061" s="964"/>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s="1396"/>
      <c r="CB1061" s="1396"/>
      <c r="CC1061"/>
      <c r="CD1061"/>
      <c r="CE1061"/>
    </row>
    <row r="1062" spans="1:83" ht="13.15" customHeight="1" outlineLevel="2" x14ac:dyDescent="0.2">
      <c r="A1062"/>
      <c r="B1062" s="1"/>
      <c r="C1062"/>
      <c r="D1062"/>
      <c r="E1062"/>
      <c r="F1062"/>
      <c r="G1062" s="1"/>
      <c r="H1062" s="1"/>
      <c r="I1062"/>
      <c r="J1062"/>
      <c r="K1062"/>
      <c r="L1062"/>
      <c r="M1062"/>
      <c r="N1062"/>
      <c r="O1062"/>
      <c r="P1062"/>
      <c r="Q1062"/>
      <c r="R1062" s="558" t="s">
        <v>3973</v>
      </c>
      <c r="S1062" s="83"/>
      <c r="T1062" s="56"/>
      <c r="U1062" s="955"/>
      <c r="V1062" s="43" t="str">
        <f t="shared" ref="V1062:V1067" si="684">Z1053</f>
        <v>J</v>
      </c>
      <c r="W1062" s="10"/>
      <c r="X1062" s="45" t="s">
        <v>769</v>
      </c>
      <c r="Y1062" s="10"/>
      <c r="Z1062" s="46" t="str">
        <f t="shared" ref="Z1062:Z1067" si="685">V1051</f>
        <v>N</v>
      </c>
      <c r="AA1062" s="123"/>
      <c r="AB1062" s="1459">
        <f t="shared" si="676"/>
        <v>0</v>
      </c>
      <c r="AC1062" s="1460" t="str">
        <f t="shared" si="677"/>
        <v>-</v>
      </c>
      <c r="AD1062" s="1459">
        <f t="shared" si="678"/>
        <v>0</v>
      </c>
      <c r="AE1062" s="964" t="str">
        <f t="shared" si="679"/>
        <v/>
      </c>
      <c r="AF1062" s="964" t="str">
        <f t="shared" si="680"/>
        <v/>
      </c>
      <c r="AG1062" s="964" t="str">
        <f t="shared" si="681"/>
        <v/>
      </c>
      <c r="AH1062" s="964" t="str">
        <f t="shared" si="682"/>
        <v/>
      </c>
      <c r="AI1062" s="964" t="str">
        <f t="shared" si="683"/>
        <v/>
      </c>
      <c r="AJ1062" s="964"/>
      <c r="AK1062" s="964"/>
      <c r="AL1062"/>
      <c r="AM1062"/>
      <c r="AN1062"/>
      <c r="AO1062"/>
      <c r="AP1062"/>
      <c r="AQ1062"/>
      <c r="AR1062"/>
      <c r="AS1062"/>
      <c r="AT1062"/>
      <c r="AU1062"/>
      <c r="AV1062"/>
      <c r="AW1062"/>
      <c r="AX1062" s="9"/>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s="1396"/>
      <c r="CB1062" s="1396"/>
      <c r="CC1062"/>
      <c r="CD1062"/>
      <c r="CE1062"/>
    </row>
    <row r="1063" spans="1:83" ht="13.15" customHeight="1" outlineLevel="2" x14ac:dyDescent="0.2">
      <c r="A1063"/>
      <c r="B1063" s="1"/>
      <c r="C1063"/>
      <c r="D1063"/>
      <c r="E1063"/>
      <c r="F1063"/>
      <c r="G1063" s="1"/>
      <c r="H1063" s="1"/>
      <c r="I1063"/>
      <c r="J1063"/>
      <c r="K1063"/>
      <c r="L1063"/>
      <c r="M1063"/>
      <c r="N1063"/>
      <c r="O1063"/>
      <c r="P1063"/>
      <c r="Q1063"/>
      <c r="R1063" s="558" t="s">
        <v>3973</v>
      </c>
      <c r="S1063" s="83"/>
      <c r="T1063" s="56"/>
      <c r="U1063" s="955"/>
      <c r="V1063" s="43" t="str">
        <f t="shared" si="684"/>
        <v>H</v>
      </c>
      <c r="W1063" s="10"/>
      <c r="X1063" s="45" t="s">
        <v>769</v>
      </c>
      <c r="Y1063" s="10"/>
      <c r="Z1063" s="46" t="str">
        <f t="shared" si="685"/>
        <v>P</v>
      </c>
      <c r="AA1063" s="123"/>
      <c r="AB1063" s="1459">
        <f t="shared" si="676"/>
        <v>0</v>
      </c>
      <c r="AC1063" s="1460" t="str">
        <f t="shared" si="677"/>
        <v>-</v>
      </c>
      <c r="AD1063" s="1459">
        <f t="shared" si="678"/>
        <v>0</v>
      </c>
      <c r="AE1063" s="964" t="str">
        <f t="shared" si="679"/>
        <v/>
      </c>
      <c r="AF1063" s="964" t="str">
        <f t="shared" si="680"/>
        <v/>
      </c>
      <c r="AG1063" s="964" t="str">
        <f t="shared" si="681"/>
        <v/>
      </c>
      <c r="AH1063" s="964" t="str">
        <f t="shared" si="682"/>
        <v/>
      </c>
      <c r="AI1063" s="964" t="str">
        <f t="shared" si="683"/>
        <v/>
      </c>
      <c r="AJ1063" s="964"/>
      <c r="AK1063" s="964"/>
      <c r="AL1063"/>
      <c r="AM1063"/>
      <c r="AN1063"/>
      <c r="AO1063"/>
      <c r="AP1063"/>
      <c r="AQ1063"/>
      <c r="AR1063"/>
      <c r="AS1063"/>
      <c r="AT1063"/>
      <c r="AU1063"/>
      <c r="AV1063"/>
      <c r="AW1063" s="9"/>
      <c r="AX1063" s="9"/>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s="1396"/>
      <c r="CB1063" s="1396"/>
      <c r="CC1063"/>
      <c r="CD1063"/>
      <c r="CE1063"/>
    </row>
    <row r="1064" spans="1:83" ht="13.15" customHeight="1" outlineLevel="2" x14ac:dyDescent="0.2">
      <c r="A1064"/>
      <c r="B1064" s="1"/>
      <c r="C1064"/>
      <c r="D1064"/>
      <c r="E1064"/>
      <c r="F1064"/>
      <c r="G1064" s="1"/>
      <c r="H1064" s="1"/>
      <c r="I1064"/>
      <c r="J1064"/>
      <c r="K1064"/>
      <c r="L1064"/>
      <c r="M1064"/>
      <c r="N1064"/>
      <c r="O1064"/>
      <c r="P1064"/>
      <c r="Q1064"/>
      <c r="R1064" s="558" t="s">
        <v>3973</v>
      </c>
      <c r="S1064" s="83"/>
      <c r="T1064" s="56"/>
      <c r="U1064" s="955"/>
      <c r="V1064" s="43" t="str">
        <f t="shared" si="684"/>
        <v>F</v>
      </c>
      <c r="W1064" s="10"/>
      <c r="X1064" s="45" t="s">
        <v>769</v>
      </c>
      <c r="Y1064" s="10"/>
      <c r="Z1064" s="46" t="str">
        <f t="shared" si="685"/>
        <v>O</v>
      </c>
      <c r="AA1064" s="123"/>
      <c r="AB1064" s="1459">
        <f t="shared" si="676"/>
        <v>0</v>
      </c>
      <c r="AC1064" s="1460" t="str">
        <f t="shared" si="677"/>
        <v>-</v>
      </c>
      <c r="AD1064" s="1459">
        <f t="shared" si="678"/>
        <v>0</v>
      </c>
      <c r="AE1064" s="964" t="str">
        <f t="shared" si="679"/>
        <v/>
      </c>
      <c r="AF1064" s="964" t="str">
        <f t="shared" si="680"/>
        <v/>
      </c>
      <c r="AG1064" s="964" t="str">
        <f t="shared" si="681"/>
        <v/>
      </c>
      <c r="AH1064" s="964" t="str">
        <f t="shared" si="682"/>
        <v/>
      </c>
      <c r="AI1064" s="964" t="str">
        <f t="shared" si="683"/>
        <v/>
      </c>
      <c r="AJ1064" s="964"/>
      <c r="AK1064" s="9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s="1396"/>
      <c r="CB1064" s="1396"/>
      <c r="CC1064"/>
      <c r="CD1064"/>
      <c r="CE1064"/>
    </row>
    <row r="1065" spans="1:83" ht="13.15" customHeight="1" outlineLevel="2" x14ac:dyDescent="0.2">
      <c r="A1065"/>
      <c r="B1065" s="1"/>
      <c r="C1065"/>
      <c r="D1065"/>
      <c r="E1065"/>
      <c r="F1065"/>
      <c r="G1065" s="1"/>
      <c r="H1065" s="1"/>
      <c r="I1065"/>
      <c r="J1065"/>
      <c r="K1065"/>
      <c r="L1065"/>
      <c r="M1065"/>
      <c r="N1065"/>
      <c r="O1065"/>
      <c r="P1065"/>
      <c r="Q1065"/>
      <c r="R1065" s="558" t="s">
        <v>3973</v>
      </c>
      <c r="S1065" s="83"/>
      <c r="T1065" s="56"/>
      <c r="U1065" s="955"/>
      <c r="V1065" s="43" t="str">
        <f t="shared" si="684"/>
        <v>D</v>
      </c>
      <c r="W1065" s="10"/>
      <c r="X1065" s="45" t="s">
        <v>769</v>
      </c>
      <c r="Y1065" s="10"/>
      <c r="Z1065" s="46" t="str">
        <f t="shared" si="685"/>
        <v>M</v>
      </c>
      <c r="AA1065" s="123"/>
      <c r="AB1065" s="1459">
        <f t="shared" si="676"/>
        <v>0</v>
      </c>
      <c r="AC1065" s="1460" t="str">
        <f t="shared" si="677"/>
        <v>-</v>
      </c>
      <c r="AD1065" s="1459">
        <f t="shared" si="678"/>
        <v>0</v>
      </c>
      <c r="AE1065" s="964" t="str">
        <f t="shared" si="679"/>
        <v/>
      </c>
      <c r="AF1065" s="964" t="str">
        <f t="shared" si="680"/>
        <v/>
      </c>
      <c r="AG1065" s="964" t="str">
        <f t="shared" si="681"/>
        <v/>
      </c>
      <c r="AH1065" s="964" t="str">
        <f t="shared" si="682"/>
        <v/>
      </c>
      <c r="AI1065" s="964" t="str">
        <f t="shared" si="683"/>
        <v/>
      </c>
      <c r="AJ1065" s="964"/>
      <c r="AK1065" s="964"/>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s="1396"/>
      <c r="CB1065" s="1396"/>
      <c r="CC1065"/>
      <c r="CD1065"/>
      <c r="CE1065"/>
    </row>
    <row r="1066" spans="1:83" ht="13.15" customHeight="1" outlineLevel="2" x14ac:dyDescent="0.2">
      <c r="A1066"/>
      <c r="B1066" s="1"/>
      <c r="C1066"/>
      <c r="D1066"/>
      <c r="E1066"/>
      <c r="F1066"/>
      <c r="G1066" s="1"/>
      <c r="H1066" s="1"/>
      <c r="I1066"/>
      <c r="J1066"/>
      <c r="K1066"/>
      <c r="L1066"/>
      <c r="M1066"/>
      <c r="N1066"/>
      <c r="O1066"/>
      <c r="P1066"/>
      <c r="Q1066"/>
      <c r="R1066" s="558" t="s">
        <v>3973</v>
      </c>
      <c r="S1066" s="83"/>
      <c r="T1066" s="56"/>
      <c r="U1066" s="955"/>
      <c r="V1066" s="43" t="str">
        <f t="shared" si="684"/>
        <v>B</v>
      </c>
      <c r="W1066" s="10"/>
      <c r="X1066" s="45" t="s">
        <v>769</v>
      </c>
      <c r="Y1066" s="10"/>
      <c r="Z1066" s="46" t="str">
        <f t="shared" si="685"/>
        <v>K</v>
      </c>
      <c r="AA1066" s="123"/>
      <c r="AB1066" s="1459">
        <f t="shared" si="676"/>
        <v>0</v>
      </c>
      <c r="AC1066" s="1460" t="str">
        <f t="shared" si="677"/>
        <v>-</v>
      </c>
      <c r="AD1066" s="1459">
        <f t="shared" si="678"/>
        <v>0</v>
      </c>
      <c r="AE1066" s="964" t="str">
        <f t="shared" si="679"/>
        <v/>
      </c>
      <c r="AF1066" s="964" t="str">
        <f t="shared" si="680"/>
        <v/>
      </c>
      <c r="AG1066" s="964" t="str">
        <f t="shared" si="681"/>
        <v/>
      </c>
      <c r="AH1066" s="964" t="str">
        <f t="shared" si="682"/>
        <v/>
      </c>
      <c r="AI1066" s="964" t="str">
        <f t="shared" si="683"/>
        <v/>
      </c>
      <c r="AJ1066" s="964"/>
      <c r="AK1066" s="964"/>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s="1396"/>
      <c r="CB1066" s="1396"/>
      <c r="CC1066"/>
      <c r="CD1066"/>
      <c r="CE1066"/>
    </row>
    <row r="1067" spans="1:83" ht="13.15" customHeight="1" outlineLevel="2" x14ac:dyDescent="0.2">
      <c r="A1067"/>
      <c r="B1067" s="1"/>
      <c r="C1067"/>
      <c r="D1067"/>
      <c r="E1067"/>
      <c r="F1067"/>
      <c r="G1067" s="1"/>
      <c r="H1067" s="1"/>
      <c r="I1067"/>
      <c r="J1067"/>
      <c r="K1067"/>
      <c r="L1067"/>
      <c r="M1067"/>
      <c r="N1067"/>
      <c r="O1067"/>
      <c r="P1067"/>
      <c r="Q1067"/>
      <c r="R1067" s="558" t="s">
        <v>3973</v>
      </c>
      <c r="S1067" s="83"/>
      <c r="T1067" s="56"/>
      <c r="U1067" s="955"/>
      <c r="V1067" s="43" t="str">
        <f t="shared" si="684"/>
        <v>C</v>
      </c>
      <c r="W1067" s="10"/>
      <c r="X1067" s="45" t="s">
        <v>769</v>
      </c>
      <c r="Y1067" s="10"/>
      <c r="Z1067" s="46" t="str">
        <f t="shared" si="685"/>
        <v>I</v>
      </c>
      <c r="AA1067" s="123"/>
      <c r="AB1067" s="1459">
        <f t="shared" si="676"/>
        <v>0</v>
      </c>
      <c r="AC1067" s="1460" t="str">
        <f t="shared" si="677"/>
        <v>-</v>
      </c>
      <c r="AD1067" s="1459">
        <f t="shared" si="678"/>
        <v>0</v>
      </c>
      <c r="AE1067" s="964" t="str">
        <f t="shared" si="679"/>
        <v/>
      </c>
      <c r="AF1067" s="964" t="str">
        <f t="shared" si="680"/>
        <v/>
      </c>
      <c r="AG1067" s="964" t="str">
        <f t="shared" si="681"/>
        <v/>
      </c>
      <c r="AH1067" s="964" t="str">
        <f t="shared" si="682"/>
        <v/>
      </c>
      <c r="AI1067" s="964" t="str">
        <f t="shared" si="683"/>
        <v/>
      </c>
      <c r="AJ1067" s="964"/>
      <c r="AK1067" s="964"/>
      <c r="AL1067"/>
      <c r="AM1067"/>
      <c r="AN1067"/>
      <c r="AO1067"/>
      <c r="AP1067"/>
      <c r="AQ1067"/>
      <c r="AR1067"/>
      <c r="AS1067"/>
      <c r="AT1067"/>
      <c r="AU1067"/>
      <c r="AV1067"/>
      <c r="AW1067"/>
      <c r="AX1067" s="9"/>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s="1396"/>
      <c r="CB1067" s="1396"/>
      <c r="CC1067"/>
      <c r="CD1067"/>
      <c r="CE1067"/>
    </row>
    <row r="1068" spans="1:83" ht="13.9" customHeight="1" outlineLevel="2" thickBot="1" x14ac:dyDescent="0.25">
      <c r="A1068"/>
      <c r="B1068" s="1"/>
      <c r="C1068"/>
      <c r="D1068"/>
      <c r="E1068"/>
      <c r="F1068"/>
      <c r="G1068" s="1"/>
      <c r="H1068" s="1"/>
      <c r="I1068"/>
      <c r="J1068"/>
      <c r="K1068"/>
      <c r="L1068"/>
      <c r="M1068"/>
      <c r="N1068"/>
      <c r="O1068"/>
      <c r="P1068"/>
      <c r="Q1068"/>
      <c r="R1068" s="558" t="s">
        <v>3973</v>
      </c>
      <c r="S1068" s="956"/>
      <c r="T1068" s="58"/>
      <c r="U1068" s="957"/>
      <c r="V1068" s="958" t="str">
        <f>V1058</f>
        <v>E</v>
      </c>
      <c r="W1068" s="10"/>
      <c r="X1068" s="45" t="s">
        <v>769</v>
      </c>
      <c r="Y1068" s="10"/>
      <c r="Z1068" s="46" t="str">
        <f>V1057</f>
        <v>G</v>
      </c>
      <c r="AA1068" s="123"/>
      <c r="AB1068" s="1459">
        <f t="shared" si="676"/>
        <v>0</v>
      </c>
      <c r="AC1068" s="1460" t="str">
        <f t="shared" si="677"/>
        <v>-</v>
      </c>
      <c r="AD1068" s="1459">
        <f t="shared" si="678"/>
        <v>0</v>
      </c>
      <c r="AE1068" s="964" t="str">
        <f t="shared" si="679"/>
        <v/>
      </c>
      <c r="AF1068" s="964" t="str">
        <f t="shared" si="680"/>
        <v/>
      </c>
      <c r="AG1068" s="964" t="str">
        <f t="shared" si="681"/>
        <v/>
      </c>
      <c r="AH1068" s="964" t="str">
        <f t="shared" si="682"/>
        <v/>
      </c>
      <c r="AI1068" s="964" t="str">
        <f t="shared" si="683"/>
        <v/>
      </c>
      <c r="AJ1068" s="964"/>
      <c r="AK1068" s="964"/>
      <c r="AL1068"/>
      <c r="AM1068"/>
      <c r="AN1068"/>
      <c r="AO1068"/>
      <c r="AP1068"/>
      <c r="AQ1068"/>
      <c r="AR1068"/>
      <c r="AS1068"/>
      <c r="AT1068"/>
      <c r="AU1068"/>
      <c r="AV1068"/>
      <c r="AW1068" s="9"/>
      <c r="AX1068" s="9"/>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s="1396"/>
      <c r="CB1068" s="1396"/>
      <c r="CC1068"/>
      <c r="CD1068"/>
      <c r="CE1068"/>
    </row>
    <row r="1069" spans="1:83" ht="13.5" outlineLevel="1" thickBot="1" x14ac:dyDescent="0.25">
      <c r="A1069"/>
      <c r="B1069" s="1"/>
      <c r="C1069" s="1"/>
      <c r="D1069" s="76"/>
      <c r="E1069" s="76"/>
      <c r="F1069" s="76"/>
      <c r="G1069" s="9"/>
      <c r="H1069" s="9"/>
      <c r="I1069" s="1"/>
      <c r="J1069"/>
      <c r="K1069"/>
      <c r="L1069"/>
      <c r="M1069"/>
      <c r="N1069"/>
      <c r="O1069"/>
      <c r="P1069" s="89"/>
      <c r="Q1069"/>
      <c r="R1069" s="1"/>
      <c r="S1069" s="993">
        <f>S1059+1</f>
        <v>12</v>
      </c>
      <c r="T1069" s="961"/>
      <c r="U1069" s="961"/>
      <c r="V1069" s="961"/>
      <c r="W1069" s="960"/>
      <c r="X1069" s="960"/>
      <c r="Y1069" s="960"/>
      <c r="Z1069" s="962"/>
      <c r="AA1069" s="123"/>
      <c r="AB1069" s="963"/>
      <c r="AC1069" s="963"/>
      <c r="AD1069" s="963"/>
      <c r="AE1069" s="964"/>
      <c r="AF1069" s="964"/>
      <c r="AG1069" s="964"/>
      <c r="AH1069" s="964"/>
      <c r="AI1069" s="964"/>
      <c r="AJ1069" s="964"/>
      <c r="AK1069" s="964"/>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s="1396"/>
      <c r="CB1069" s="1396"/>
      <c r="CC1069"/>
      <c r="CD1069"/>
      <c r="CE1069"/>
    </row>
    <row r="1070" spans="1:83" ht="13.9" customHeight="1" outlineLevel="2" thickBot="1" x14ac:dyDescent="0.25">
      <c r="A1070"/>
      <c r="B1070" s="1"/>
      <c r="C1070"/>
      <c r="D1070"/>
      <c r="E1070"/>
      <c r="F1070"/>
      <c r="G1070" s="1"/>
      <c r="H1070" s="1"/>
      <c r="I1070"/>
      <c r="J1070"/>
      <c r="K1070"/>
      <c r="L1070"/>
      <c r="M1070"/>
      <c r="N1070"/>
      <c r="O1070"/>
      <c r="P1070"/>
      <c r="Q1070"/>
      <c r="S1070" s="22" t="str">
        <f>N_Heure</f>
        <v>Heure</v>
      </c>
      <c r="T1070" s="22" t="str">
        <f>N_Table</f>
        <v>Table</v>
      </c>
      <c r="U1070" s="22" t="str">
        <f>N_Arbitre</f>
        <v>Arbitre</v>
      </c>
      <c r="V1070" s="293" t="str">
        <f>N_Matches</f>
        <v>Matches</v>
      </c>
      <c r="W1070" s="294"/>
      <c r="X1070" s="294"/>
      <c r="Y1070" s="294"/>
      <c r="Z1070" s="295"/>
      <c r="AA1070" s="8"/>
      <c r="AB1070" s="967"/>
      <c r="AC1070" s="967"/>
      <c r="AD1070" s="967"/>
      <c r="AE1070" s="964"/>
      <c r="AF1070" s="964"/>
      <c r="AG1070" s="964"/>
      <c r="AH1070" s="964"/>
      <c r="AI1070" s="964"/>
      <c r="AJ1070" s="964"/>
      <c r="AK1070" s="964"/>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s="1396"/>
      <c r="CB1070" s="1396"/>
      <c r="CC1070"/>
      <c r="CD1070"/>
      <c r="CE1070"/>
    </row>
    <row r="1071" spans="1:83" ht="13.15" customHeight="1" outlineLevel="2" x14ac:dyDescent="0.2">
      <c r="A1071"/>
      <c r="B1071" s="1"/>
      <c r="C1071"/>
      <c r="D1071"/>
      <c r="E1071"/>
      <c r="F1071"/>
      <c r="G1071" s="1"/>
      <c r="H1071" s="1"/>
      <c r="I1071"/>
      <c r="J1071"/>
      <c r="K1071"/>
      <c r="L1071"/>
      <c r="M1071"/>
      <c r="N1071"/>
      <c r="O1071"/>
      <c r="P1071"/>
      <c r="Q1071"/>
      <c r="R1071" s="558" t="s">
        <v>3974</v>
      </c>
      <c r="S1071" s="65"/>
      <c r="T1071" s="953"/>
      <c r="U1071" s="954"/>
      <c r="V1071" s="34" t="str">
        <f>V1062</f>
        <v>J</v>
      </c>
      <c r="W1071" s="148"/>
      <c r="X1071" s="35" t="s">
        <v>769</v>
      </c>
      <c r="Y1071" s="148"/>
      <c r="Z1071" s="36" t="str">
        <f>V1061</f>
        <v>A</v>
      </c>
      <c r="AA1071" s="123"/>
      <c r="AB1071" s="1459">
        <f t="shared" ref="AB1071:AB1078" si="686">IF(MaxScore,MaxGoals(W1071,Y1071,MaxGoalsValue),IF(W1071="","",W1071))</f>
        <v>0</v>
      </c>
      <c r="AC1071" s="1460" t="str">
        <f t="shared" ref="AC1071:AC1078" si="687">IF(MaxScore,"-",IF(W1071="","","-"))</f>
        <v>-</v>
      </c>
      <c r="AD1071" s="1459">
        <f t="shared" ref="AD1071:AD1078" si="688">IF(MaxScore,MaxGoals(Y1071,W1071,MaxGoalsValue),IF(Y1071="","",Y1071))</f>
        <v>0</v>
      </c>
      <c r="AE1071" s="964" t="str">
        <f t="shared" ref="AE1071:AE1078" si="689">IF(W1071="","",IF(W1071&gt;Y1071,V1071,IF(W1071=Y1071,"",Z1071)))</f>
        <v/>
      </c>
      <c r="AF1071" s="964" t="str">
        <f t="shared" ref="AF1071:AF1078" si="690">IF(W1071="","",IF(W1071=Y1071,V1071,""))</f>
        <v/>
      </c>
      <c r="AG1071" s="964" t="str">
        <f t="shared" ref="AG1071:AG1078" si="691">IF(W1071="","",IF(W1071=Y1071,Z1071,""))</f>
        <v/>
      </c>
      <c r="AH1071" s="964" t="str">
        <f t="shared" ref="AH1071:AH1078" si="692">IF(W1071="","",IF(W1071&lt;Y1071,V1071,IF(W1071=Y1071,"",Z1071)))</f>
        <v/>
      </c>
      <c r="AI1071" s="964" t="str">
        <f t="shared" ref="AI1071:AI1078" si="693">CONCATENATE(AE1071,AH1071)</f>
        <v/>
      </c>
      <c r="AJ1071" s="964"/>
      <c r="AK1071" s="964"/>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s="1396"/>
      <c r="CB1071" s="1396"/>
      <c r="CC1071"/>
      <c r="CD1071"/>
      <c r="CE1071"/>
    </row>
    <row r="1072" spans="1:83" ht="13.15" customHeight="1" outlineLevel="2" x14ac:dyDescent="0.2">
      <c r="A1072"/>
      <c r="B1072" s="1"/>
      <c r="C1072"/>
      <c r="D1072"/>
      <c r="E1072"/>
      <c r="F1072"/>
      <c r="G1072" s="1"/>
      <c r="H1072" s="1"/>
      <c r="I1072"/>
      <c r="J1072"/>
      <c r="K1072"/>
      <c r="L1072"/>
      <c r="M1072"/>
      <c r="N1072"/>
      <c r="O1072"/>
      <c r="P1072"/>
      <c r="Q1072"/>
      <c r="R1072" s="558" t="s">
        <v>3974</v>
      </c>
      <c r="S1072" s="83"/>
      <c r="T1072" s="56"/>
      <c r="U1072" s="955"/>
      <c r="V1072" s="43" t="str">
        <f t="shared" ref="V1072:V1078" si="694">Z1061</f>
        <v>L</v>
      </c>
      <c r="W1072" s="10"/>
      <c r="X1072" s="45" t="s">
        <v>769</v>
      </c>
      <c r="Y1072" s="10"/>
      <c r="Z1072" s="46" t="str">
        <f t="shared" ref="Z1072:Z1077" si="695">V1063</f>
        <v>H</v>
      </c>
      <c r="AA1072" s="123"/>
      <c r="AB1072" s="1459">
        <f t="shared" si="686"/>
        <v>0</v>
      </c>
      <c r="AC1072" s="1460" t="str">
        <f t="shared" si="687"/>
        <v>-</v>
      </c>
      <c r="AD1072" s="1459">
        <f t="shared" si="688"/>
        <v>0</v>
      </c>
      <c r="AE1072" s="964" t="str">
        <f t="shared" si="689"/>
        <v/>
      </c>
      <c r="AF1072" s="964" t="str">
        <f t="shared" si="690"/>
        <v/>
      </c>
      <c r="AG1072" s="964" t="str">
        <f t="shared" si="691"/>
        <v/>
      </c>
      <c r="AH1072" s="964" t="str">
        <f t="shared" si="692"/>
        <v/>
      </c>
      <c r="AI1072" s="964" t="str">
        <f t="shared" si="693"/>
        <v/>
      </c>
      <c r="AJ1072" s="964"/>
      <c r="AK1072" s="964"/>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s="1396"/>
      <c r="CB1072" s="1396"/>
      <c r="CC1072"/>
      <c r="CD1072"/>
      <c r="CE1072"/>
    </row>
    <row r="1073" spans="1:83" ht="13.15" customHeight="1" outlineLevel="2" x14ac:dyDescent="0.2">
      <c r="A1073"/>
      <c r="B1073" s="1"/>
      <c r="C1073"/>
      <c r="D1073"/>
      <c r="E1073"/>
      <c r="F1073"/>
      <c r="G1073" s="1"/>
      <c r="H1073" s="1"/>
      <c r="I1073"/>
      <c r="J1073"/>
      <c r="K1073"/>
      <c r="L1073"/>
      <c r="M1073"/>
      <c r="N1073"/>
      <c r="O1073"/>
      <c r="P1073"/>
      <c r="Q1073"/>
      <c r="R1073" s="558" t="s">
        <v>3974</v>
      </c>
      <c r="S1073" s="83"/>
      <c r="T1073" s="56"/>
      <c r="U1073" s="955"/>
      <c r="V1073" s="43" t="str">
        <f t="shared" si="694"/>
        <v>N</v>
      </c>
      <c r="W1073" s="10"/>
      <c r="X1073" s="45" t="s">
        <v>769</v>
      </c>
      <c r="Y1073" s="10"/>
      <c r="Z1073" s="46" t="str">
        <f t="shared" si="695"/>
        <v>F</v>
      </c>
      <c r="AA1073" s="123"/>
      <c r="AB1073" s="1459">
        <f t="shared" si="686"/>
        <v>0</v>
      </c>
      <c r="AC1073" s="1460" t="str">
        <f t="shared" si="687"/>
        <v>-</v>
      </c>
      <c r="AD1073" s="1459">
        <f t="shared" si="688"/>
        <v>0</v>
      </c>
      <c r="AE1073" s="964" t="str">
        <f t="shared" si="689"/>
        <v/>
      </c>
      <c r="AF1073" s="964" t="str">
        <f t="shared" si="690"/>
        <v/>
      </c>
      <c r="AG1073" s="964" t="str">
        <f t="shared" si="691"/>
        <v/>
      </c>
      <c r="AH1073" s="964" t="str">
        <f t="shared" si="692"/>
        <v/>
      </c>
      <c r="AI1073" s="964" t="str">
        <f t="shared" si="693"/>
        <v/>
      </c>
      <c r="AJ1073" s="964"/>
      <c r="AK1073" s="964"/>
      <c r="AL1073"/>
      <c r="AM1073"/>
      <c r="AN1073"/>
      <c r="AO1073"/>
      <c r="AP1073"/>
      <c r="AQ1073"/>
      <c r="AR1073"/>
      <c r="AS1073"/>
      <c r="AT1073"/>
      <c r="AU1073"/>
      <c r="AV1073"/>
      <c r="AW1073" s="9"/>
      <c r="AX1073" s="9"/>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s="1396"/>
      <c r="CB1073" s="1396"/>
      <c r="CC1073"/>
      <c r="CD1073"/>
      <c r="CE1073"/>
    </row>
    <row r="1074" spans="1:83" ht="13.15" customHeight="1" outlineLevel="2" x14ac:dyDescent="0.2">
      <c r="A1074"/>
      <c r="B1074" s="1"/>
      <c r="C1074"/>
      <c r="D1074"/>
      <c r="E1074"/>
      <c r="F1074"/>
      <c r="G1074" s="1"/>
      <c r="H1074" s="1"/>
      <c r="I1074"/>
      <c r="J1074"/>
      <c r="K1074"/>
      <c r="L1074"/>
      <c r="M1074"/>
      <c r="N1074"/>
      <c r="O1074"/>
      <c r="P1074"/>
      <c r="Q1074"/>
      <c r="R1074" s="558" t="s">
        <v>3974</v>
      </c>
      <c r="S1074" s="83"/>
      <c r="T1074" s="56"/>
      <c r="U1074" s="955"/>
      <c r="V1074" s="43" t="str">
        <f t="shared" si="694"/>
        <v>P</v>
      </c>
      <c r="W1074" s="10"/>
      <c r="X1074" s="45" t="s">
        <v>769</v>
      </c>
      <c r="Y1074" s="10"/>
      <c r="Z1074" s="46" t="str">
        <f t="shared" si="695"/>
        <v>D</v>
      </c>
      <c r="AA1074" s="123"/>
      <c r="AB1074" s="1459">
        <f t="shared" si="686"/>
        <v>0</v>
      </c>
      <c r="AC1074" s="1460" t="str">
        <f t="shared" si="687"/>
        <v>-</v>
      </c>
      <c r="AD1074" s="1459">
        <f t="shared" si="688"/>
        <v>0</v>
      </c>
      <c r="AE1074" s="964" t="str">
        <f t="shared" si="689"/>
        <v/>
      </c>
      <c r="AF1074" s="964" t="str">
        <f t="shared" si="690"/>
        <v/>
      </c>
      <c r="AG1074" s="964" t="str">
        <f t="shared" si="691"/>
        <v/>
      </c>
      <c r="AH1074" s="964" t="str">
        <f t="shared" si="692"/>
        <v/>
      </c>
      <c r="AI1074" s="964" t="str">
        <f t="shared" si="693"/>
        <v/>
      </c>
      <c r="AJ1074" s="964"/>
      <c r="AK1074" s="96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s="1396"/>
      <c r="CB1074" s="1396"/>
      <c r="CC1074"/>
      <c r="CD1074"/>
      <c r="CE1074"/>
    </row>
    <row r="1075" spans="1:83" ht="13.15" customHeight="1" outlineLevel="2" x14ac:dyDescent="0.2">
      <c r="A1075"/>
      <c r="B1075" s="1"/>
      <c r="C1075"/>
      <c r="D1075"/>
      <c r="E1075"/>
      <c r="F1075"/>
      <c r="G1075" s="1"/>
      <c r="H1075" s="1"/>
      <c r="I1075"/>
      <c r="J1075"/>
      <c r="K1075"/>
      <c r="L1075"/>
      <c r="M1075"/>
      <c r="N1075"/>
      <c r="O1075"/>
      <c r="P1075"/>
      <c r="Q1075"/>
      <c r="R1075" s="558" t="s">
        <v>3974</v>
      </c>
      <c r="S1075" s="83"/>
      <c r="T1075" s="56"/>
      <c r="U1075" s="955"/>
      <c r="V1075" s="43" t="str">
        <f t="shared" si="694"/>
        <v>O</v>
      </c>
      <c r="W1075" s="10"/>
      <c r="X1075" s="45" t="s">
        <v>769</v>
      </c>
      <c r="Y1075" s="10"/>
      <c r="Z1075" s="46" t="str">
        <f t="shared" si="695"/>
        <v>B</v>
      </c>
      <c r="AA1075" s="123"/>
      <c r="AB1075" s="1459">
        <f t="shared" si="686"/>
        <v>0</v>
      </c>
      <c r="AC1075" s="1460" t="str">
        <f t="shared" si="687"/>
        <v>-</v>
      </c>
      <c r="AD1075" s="1459">
        <f t="shared" si="688"/>
        <v>0</v>
      </c>
      <c r="AE1075" s="964" t="str">
        <f t="shared" si="689"/>
        <v/>
      </c>
      <c r="AF1075" s="964" t="str">
        <f t="shared" si="690"/>
        <v/>
      </c>
      <c r="AG1075" s="964" t="str">
        <f t="shared" si="691"/>
        <v/>
      </c>
      <c r="AH1075" s="964" t="str">
        <f t="shared" si="692"/>
        <v/>
      </c>
      <c r="AI1075" s="964" t="str">
        <f t="shared" si="693"/>
        <v/>
      </c>
      <c r="AJ1075" s="964"/>
      <c r="AK1075" s="964"/>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s="1396"/>
      <c r="CB1075" s="1396"/>
      <c r="CC1075"/>
      <c r="CD1075"/>
      <c r="CE1075"/>
    </row>
    <row r="1076" spans="1:83" ht="13.15" customHeight="1" outlineLevel="2" x14ac:dyDescent="0.2">
      <c r="A1076"/>
      <c r="B1076" s="1"/>
      <c r="C1076"/>
      <c r="D1076"/>
      <c r="E1076"/>
      <c r="F1076"/>
      <c r="G1076" s="1"/>
      <c r="H1076" s="1"/>
      <c r="I1076"/>
      <c r="J1076"/>
      <c r="K1076"/>
      <c r="L1076"/>
      <c r="M1076"/>
      <c r="N1076"/>
      <c r="O1076"/>
      <c r="P1076"/>
      <c r="Q1076"/>
      <c r="R1076" s="558" t="s">
        <v>3974</v>
      </c>
      <c r="S1076" s="83"/>
      <c r="T1076" s="56"/>
      <c r="U1076" s="955"/>
      <c r="V1076" s="43" t="str">
        <f t="shared" si="694"/>
        <v>M</v>
      </c>
      <c r="W1076" s="10"/>
      <c r="X1076" s="45" t="s">
        <v>769</v>
      </c>
      <c r="Y1076" s="10"/>
      <c r="Z1076" s="46" t="str">
        <f t="shared" si="695"/>
        <v>C</v>
      </c>
      <c r="AA1076" s="123"/>
      <c r="AB1076" s="1459">
        <f t="shared" si="686"/>
        <v>0</v>
      </c>
      <c r="AC1076" s="1460" t="str">
        <f t="shared" si="687"/>
        <v>-</v>
      </c>
      <c r="AD1076" s="1459">
        <f t="shared" si="688"/>
        <v>0</v>
      </c>
      <c r="AE1076" s="964" t="str">
        <f t="shared" si="689"/>
        <v/>
      </c>
      <c r="AF1076" s="964" t="str">
        <f t="shared" si="690"/>
        <v/>
      </c>
      <c r="AG1076" s="964" t="str">
        <f t="shared" si="691"/>
        <v/>
      </c>
      <c r="AH1076" s="964" t="str">
        <f t="shared" si="692"/>
        <v/>
      </c>
      <c r="AI1076" s="964" t="str">
        <f t="shared" si="693"/>
        <v/>
      </c>
      <c r="AJ1076" s="964"/>
      <c r="AK1076" s="964"/>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s="1396"/>
      <c r="CB1076" s="1396"/>
      <c r="CC1076"/>
      <c r="CD1076"/>
      <c r="CE1076"/>
    </row>
    <row r="1077" spans="1:83" ht="13.15" customHeight="1" outlineLevel="2" x14ac:dyDescent="0.2">
      <c r="A1077"/>
      <c r="B1077" s="1"/>
      <c r="C1077"/>
      <c r="D1077"/>
      <c r="E1077"/>
      <c r="F1077"/>
      <c r="G1077" s="1"/>
      <c r="H1077" s="1"/>
      <c r="I1077"/>
      <c r="J1077"/>
      <c r="K1077"/>
      <c r="L1077"/>
      <c r="M1077"/>
      <c r="N1077"/>
      <c r="O1077"/>
      <c r="P1077"/>
      <c r="Q1077"/>
      <c r="R1077" s="558" t="s">
        <v>3974</v>
      </c>
      <c r="S1077" s="83"/>
      <c r="T1077" s="56"/>
      <c r="U1077" s="955"/>
      <c r="V1077" s="43" t="str">
        <f t="shared" si="694"/>
        <v>K</v>
      </c>
      <c r="W1077" s="10"/>
      <c r="X1077" s="45" t="s">
        <v>769</v>
      </c>
      <c r="Y1077" s="10"/>
      <c r="Z1077" s="46" t="str">
        <f t="shared" si="695"/>
        <v>E</v>
      </c>
      <c r="AA1077" s="123"/>
      <c r="AB1077" s="1459">
        <f t="shared" si="686"/>
        <v>0</v>
      </c>
      <c r="AC1077" s="1460" t="str">
        <f t="shared" si="687"/>
        <v>-</v>
      </c>
      <c r="AD1077" s="1459">
        <f t="shared" si="688"/>
        <v>0</v>
      </c>
      <c r="AE1077" s="964" t="str">
        <f t="shared" si="689"/>
        <v/>
      </c>
      <c r="AF1077" s="964" t="str">
        <f t="shared" si="690"/>
        <v/>
      </c>
      <c r="AG1077" s="964" t="str">
        <f t="shared" si="691"/>
        <v/>
      </c>
      <c r="AH1077" s="964" t="str">
        <f t="shared" si="692"/>
        <v/>
      </c>
      <c r="AI1077" s="964" t="str">
        <f t="shared" si="693"/>
        <v/>
      </c>
      <c r="AJ1077" s="964"/>
      <c r="AK1077" s="964"/>
      <c r="AL1077"/>
      <c r="AM1077"/>
      <c r="AN1077"/>
      <c r="AO1077"/>
      <c r="AP1077"/>
      <c r="AQ1077"/>
      <c r="AR1077"/>
      <c r="AS1077"/>
      <c r="AT1077"/>
      <c r="AU1077"/>
      <c r="AV1077"/>
      <c r="AW1077"/>
      <c r="AX1077" s="9"/>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s="1396"/>
      <c r="CB1077" s="1396"/>
      <c r="CC1077"/>
      <c r="CD1077"/>
      <c r="CE1077"/>
    </row>
    <row r="1078" spans="1:83" ht="13.9" customHeight="1" outlineLevel="2" thickBot="1" x14ac:dyDescent="0.25">
      <c r="A1078"/>
      <c r="B1078" s="1"/>
      <c r="C1078"/>
      <c r="D1078"/>
      <c r="E1078"/>
      <c r="F1078"/>
      <c r="G1078" s="1"/>
      <c r="H1078" s="1"/>
      <c r="I1078"/>
      <c r="J1078"/>
      <c r="K1078"/>
      <c r="L1078"/>
      <c r="M1078"/>
      <c r="N1078"/>
      <c r="O1078"/>
      <c r="P1078"/>
      <c r="Q1078"/>
      <c r="R1078" s="558" t="s">
        <v>3974</v>
      </c>
      <c r="S1078" s="956"/>
      <c r="T1078" s="58"/>
      <c r="U1078" s="957"/>
      <c r="V1078" s="43" t="str">
        <f t="shared" si="694"/>
        <v>I</v>
      </c>
      <c r="W1078" s="10"/>
      <c r="X1078" s="45" t="s">
        <v>769</v>
      </c>
      <c r="Y1078" s="10"/>
      <c r="Z1078" s="46" t="str">
        <f>Z1068</f>
        <v>G</v>
      </c>
      <c r="AA1078" s="123"/>
      <c r="AB1078" s="1459">
        <f t="shared" si="686"/>
        <v>0</v>
      </c>
      <c r="AC1078" s="1460" t="str">
        <f t="shared" si="687"/>
        <v>-</v>
      </c>
      <c r="AD1078" s="1459">
        <f t="shared" si="688"/>
        <v>0</v>
      </c>
      <c r="AE1078" s="964" t="str">
        <f t="shared" si="689"/>
        <v/>
      </c>
      <c r="AF1078" s="964" t="str">
        <f t="shared" si="690"/>
        <v/>
      </c>
      <c r="AG1078" s="964" t="str">
        <f t="shared" si="691"/>
        <v/>
      </c>
      <c r="AH1078" s="964" t="str">
        <f t="shared" si="692"/>
        <v/>
      </c>
      <c r="AI1078" s="964" t="str">
        <f t="shared" si="693"/>
        <v/>
      </c>
      <c r="AJ1078" s="964"/>
      <c r="AK1078" s="964"/>
      <c r="AL1078"/>
      <c r="AM1078"/>
      <c r="AN1078"/>
      <c r="AO1078"/>
      <c r="AP1078"/>
      <c r="AQ1078"/>
      <c r="AR1078"/>
      <c r="AS1078"/>
      <c r="AT1078"/>
      <c r="AU1078"/>
      <c r="AV1078"/>
      <c r="AW1078" s="9"/>
      <c r="AX1078" s="9"/>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s="1396"/>
      <c r="CB1078" s="1396"/>
      <c r="CC1078"/>
      <c r="CD1078"/>
      <c r="CE1078"/>
    </row>
    <row r="1079" spans="1:83" ht="13.5" outlineLevel="1" thickBot="1" x14ac:dyDescent="0.25">
      <c r="A1079"/>
      <c r="B1079" s="1"/>
      <c r="C1079" s="1"/>
      <c r="D1079" s="76"/>
      <c r="E1079" s="76"/>
      <c r="F1079" s="76"/>
      <c r="G1079" s="9"/>
      <c r="H1079" s="9"/>
      <c r="I1079" s="1"/>
      <c r="J1079"/>
      <c r="K1079"/>
      <c r="L1079"/>
      <c r="M1079"/>
      <c r="N1079"/>
      <c r="O1079"/>
      <c r="P1079" s="89"/>
      <c r="Q1079"/>
      <c r="R1079" s="1"/>
      <c r="S1079" s="993">
        <f>S1069+1</f>
        <v>13</v>
      </c>
      <c r="T1079" s="961"/>
      <c r="U1079" s="961"/>
      <c r="V1079" s="961"/>
      <c r="W1079" s="960"/>
      <c r="X1079" s="960"/>
      <c r="Y1079" s="960"/>
      <c r="Z1079" s="962"/>
      <c r="AA1079" s="123"/>
      <c r="AB1079" s="963"/>
      <c r="AC1079" s="963"/>
      <c r="AD1079" s="963"/>
      <c r="AE1079" s="964"/>
      <c r="AF1079" s="964"/>
      <c r="AG1079" s="964"/>
      <c r="AH1079" s="964"/>
      <c r="AI1079" s="964"/>
      <c r="AJ1079" s="964"/>
      <c r="AK1079" s="964"/>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s="1396"/>
      <c r="CB1079" s="1396"/>
      <c r="CC1079"/>
      <c r="CD1079"/>
      <c r="CE1079"/>
    </row>
    <row r="1080" spans="1:83" ht="13.9" customHeight="1" outlineLevel="2" thickBot="1" x14ac:dyDescent="0.25">
      <c r="A1080"/>
      <c r="B1080" s="1"/>
      <c r="C1080"/>
      <c r="D1080"/>
      <c r="E1080"/>
      <c r="F1080"/>
      <c r="G1080" s="1"/>
      <c r="H1080" s="1"/>
      <c r="I1080"/>
      <c r="J1080"/>
      <c r="K1080"/>
      <c r="L1080"/>
      <c r="M1080"/>
      <c r="N1080"/>
      <c r="O1080"/>
      <c r="P1080"/>
      <c r="Q1080"/>
      <c r="S1080" s="22" t="str">
        <f>N_Heure</f>
        <v>Heure</v>
      </c>
      <c r="T1080" s="22" t="str">
        <f>N_Table</f>
        <v>Table</v>
      </c>
      <c r="U1080" s="22" t="str">
        <f>N_Arbitre</f>
        <v>Arbitre</v>
      </c>
      <c r="V1080" s="293" t="str">
        <f>N_Matches</f>
        <v>Matches</v>
      </c>
      <c r="W1080" s="294"/>
      <c r="X1080" s="294"/>
      <c r="Y1080" s="294"/>
      <c r="Z1080" s="295"/>
      <c r="AA1080" s="8"/>
      <c r="AB1080" s="967"/>
      <c r="AC1080" s="967"/>
      <c r="AD1080" s="967"/>
      <c r="AE1080" s="964"/>
      <c r="AF1080" s="964"/>
      <c r="AG1080" s="964"/>
      <c r="AH1080" s="964"/>
      <c r="AI1080" s="964"/>
      <c r="AJ1080" s="964"/>
      <c r="AK1080" s="964"/>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s="1396"/>
      <c r="CB1080" s="1396"/>
      <c r="CC1080"/>
      <c r="CD1080"/>
      <c r="CE1080"/>
    </row>
    <row r="1081" spans="1:83" ht="13.15" customHeight="1" outlineLevel="2" x14ac:dyDescent="0.2">
      <c r="A1081"/>
      <c r="B1081" s="1"/>
      <c r="C1081"/>
      <c r="D1081"/>
      <c r="E1081"/>
      <c r="F1081"/>
      <c r="G1081" s="1"/>
      <c r="H1081" s="1"/>
      <c r="I1081"/>
      <c r="J1081"/>
      <c r="K1081"/>
      <c r="L1081"/>
      <c r="M1081"/>
      <c r="N1081"/>
      <c r="O1081"/>
      <c r="P1081"/>
      <c r="Q1081"/>
      <c r="R1081" s="558" t="s">
        <v>3975</v>
      </c>
      <c r="S1081" s="65"/>
      <c r="T1081" s="953"/>
      <c r="U1081" s="954"/>
      <c r="V1081" s="34" t="str">
        <f>Z1071</f>
        <v>A</v>
      </c>
      <c r="W1081" s="148"/>
      <c r="X1081" s="35" t="s">
        <v>769</v>
      </c>
      <c r="Y1081" s="148"/>
      <c r="Z1081" s="36" t="str">
        <f>Z1072</f>
        <v>H</v>
      </c>
      <c r="AA1081" s="123"/>
      <c r="AB1081" s="1459">
        <f t="shared" ref="AB1081:AB1088" si="696">IF(MaxScore,MaxGoals(W1081,Y1081,MaxGoalsValue),IF(W1081="","",W1081))</f>
        <v>0</v>
      </c>
      <c r="AC1081" s="1460" t="str">
        <f t="shared" ref="AC1081:AC1088" si="697">IF(MaxScore,"-",IF(W1081="","","-"))</f>
        <v>-</v>
      </c>
      <c r="AD1081" s="1459">
        <f t="shared" ref="AD1081:AD1088" si="698">IF(MaxScore,MaxGoals(Y1081,W1081,MaxGoalsValue),IF(Y1081="","",Y1081))</f>
        <v>0</v>
      </c>
      <c r="AE1081" s="964" t="str">
        <f t="shared" ref="AE1081:AE1088" si="699">IF(W1081="","",IF(W1081&gt;Y1081,V1081,IF(W1081=Y1081,"",Z1081)))</f>
        <v/>
      </c>
      <c r="AF1081" s="964" t="str">
        <f t="shared" ref="AF1081:AF1088" si="700">IF(W1081="","",IF(W1081=Y1081,V1081,""))</f>
        <v/>
      </c>
      <c r="AG1081" s="964" t="str">
        <f t="shared" ref="AG1081:AG1088" si="701">IF(W1081="","",IF(W1081=Y1081,Z1081,""))</f>
        <v/>
      </c>
      <c r="AH1081" s="964" t="str">
        <f t="shared" ref="AH1081:AH1088" si="702">IF(W1081="","",IF(W1081&lt;Y1081,V1081,IF(W1081=Y1081,"",Z1081)))</f>
        <v/>
      </c>
      <c r="AI1081" s="964" t="str">
        <f t="shared" ref="AI1081:AI1088" si="703">CONCATENATE(AE1081,AH1081)</f>
        <v/>
      </c>
      <c r="AJ1081" s="964"/>
      <c r="AK1081" s="964"/>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s="1396"/>
      <c r="CB1081" s="1396"/>
      <c r="CC1081"/>
      <c r="CD1081"/>
      <c r="CE1081"/>
    </row>
    <row r="1082" spans="1:83" ht="13.15" customHeight="1" outlineLevel="2" x14ac:dyDescent="0.2">
      <c r="A1082"/>
      <c r="B1082" s="1"/>
      <c r="C1082"/>
      <c r="D1082"/>
      <c r="E1082"/>
      <c r="F1082"/>
      <c r="G1082" s="1"/>
      <c r="H1082" s="1"/>
      <c r="I1082"/>
      <c r="J1082"/>
      <c r="K1082"/>
      <c r="L1082"/>
      <c r="M1082"/>
      <c r="N1082"/>
      <c r="O1082"/>
      <c r="P1082"/>
      <c r="Q1082"/>
      <c r="R1082" s="558" t="s">
        <v>3975</v>
      </c>
      <c r="S1082" s="83"/>
      <c r="T1082" s="56"/>
      <c r="U1082" s="955"/>
      <c r="V1082" s="43" t="str">
        <f t="shared" ref="V1082:V1087" si="704">Z1073</f>
        <v>F</v>
      </c>
      <c r="W1082" s="10"/>
      <c r="X1082" s="45" t="s">
        <v>769</v>
      </c>
      <c r="Y1082" s="10"/>
      <c r="Z1082" s="46" t="str">
        <f t="shared" ref="Z1082:Z1087" si="705">V1071</f>
        <v>J</v>
      </c>
      <c r="AA1082" s="123"/>
      <c r="AB1082" s="1459">
        <f t="shared" si="696"/>
        <v>0</v>
      </c>
      <c r="AC1082" s="1460" t="str">
        <f t="shared" si="697"/>
        <v>-</v>
      </c>
      <c r="AD1082" s="1459">
        <f t="shared" si="698"/>
        <v>0</v>
      </c>
      <c r="AE1082" s="964" t="str">
        <f t="shared" si="699"/>
        <v/>
      </c>
      <c r="AF1082" s="964" t="str">
        <f t="shared" si="700"/>
        <v/>
      </c>
      <c r="AG1082" s="964" t="str">
        <f t="shared" si="701"/>
        <v/>
      </c>
      <c r="AH1082" s="964" t="str">
        <f t="shared" si="702"/>
        <v/>
      </c>
      <c r="AI1082" s="964" t="str">
        <f t="shared" si="703"/>
        <v/>
      </c>
      <c r="AJ1082" s="964"/>
      <c r="AK1082" s="964"/>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s="1396"/>
      <c r="CB1082" s="1396"/>
      <c r="CC1082"/>
      <c r="CD1082"/>
      <c r="CE1082"/>
    </row>
    <row r="1083" spans="1:83" ht="13.15" customHeight="1" outlineLevel="2" x14ac:dyDescent="0.2">
      <c r="A1083"/>
      <c r="B1083" s="1"/>
      <c r="C1083"/>
      <c r="D1083"/>
      <c r="E1083"/>
      <c r="F1083"/>
      <c r="G1083" s="1"/>
      <c r="H1083" s="1"/>
      <c r="I1083"/>
      <c r="J1083"/>
      <c r="K1083"/>
      <c r="L1083"/>
      <c r="M1083"/>
      <c r="N1083"/>
      <c r="O1083"/>
      <c r="P1083"/>
      <c r="Q1083"/>
      <c r="R1083" s="558" t="s">
        <v>3975</v>
      </c>
      <c r="S1083" s="83"/>
      <c r="T1083" s="56"/>
      <c r="U1083" s="955"/>
      <c r="V1083" s="43" t="str">
        <f t="shared" si="704"/>
        <v>D</v>
      </c>
      <c r="W1083" s="10"/>
      <c r="X1083" s="45" t="s">
        <v>769</v>
      </c>
      <c r="Y1083" s="10"/>
      <c r="Z1083" s="46" t="str">
        <f t="shared" si="705"/>
        <v>L</v>
      </c>
      <c r="AA1083" s="123"/>
      <c r="AB1083" s="1459">
        <f t="shared" si="696"/>
        <v>0</v>
      </c>
      <c r="AC1083" s="1460" t="str">
        <f t="shared" si="697"/>
        <v>-</v>
      </c>
      <c r="AD1083" s="1459">
        <f t="shared" si="698"/>
        <v>0</v>
      </c>
      <c r="AE1083" s="964" t="str">
        <f t="shared" si="699"/>
        <v/>
      </c>
      <c r="AF1083" s="964" t="str">
        <f t="shared" si="700"/>
        <v/>
      </c>
      <c r="AG1083" s="964" t="str">
        <f t="shared" si="701"/>
        <v/>
      </c>
      <c r="AH1083" s="964" t="str">
        <f t="shared" si="702"/>
        <v/>
      </c>
      <c r="AI1083" s="964" t="str">
        <f t="shared" si="703"/>
        <v/>
      </c>
      <c r="AJ1083" s="964"/>
      <c r="AK1083" s="964"/>
      <c r="AL1083"/>
      <c r="AM1083"/>
      <c r="AN1083"/>
      <c r="AO1083"/>
      <c r="AP1083"/>
      <c r="AQ1083"/>
      <c r="AR1083"/>
      <c r="AS1083"/>
      <c r="AT1083"/>
      <c r="AU1083"/>
      <c r="AV1083"/>
      <c r="AW1083"/>
      <c r="AX1083" s="9"/>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s="1396"/>
      <c r="CB1083" s="1396"/>
      <c r="CC1083"/>
      <c r="CD1083"/>
      <c r="CE1083"/>
    </row>
    <row r="1084" spans="1:83" ht="13.15" customHeight="1" outlineLevel="2" x14ac:dyDescent="0.2">
      <c r="A1084"/>
      <c r="B1084" s="1"/>
      <c r="C1084"/>
      <c r="D1084"/>
      <c r="E1084"/>
      <c r="F1084"/>
      <c r="G1084" s="1"/>
      <c r="H1084" s="1"/>
      <c r="I1084"/>
      <c r="J1084"/>
      <c r="K1084"/>
      <c r="L1084"/>
      <c r="M1084"/>
      <c r="N1084"/>
      <c r="O1084"/>
      <c r="P1084"/>
      <c r="Q1084"/>
      <c r="R1084" s="558" t="s">
        <v>3975</v>
      </c>
      <c r="S1084" s="83"/>
      <c r="T1084" s="56"/>
      <c r="U1084" s="955"/>
      <c r="V1084" s="43" t="str">
        <f t="shared" si="704"/>
        <v>B</v>
      </c>
      <c r="W1084" s="10"/>
      <c r="X1084" s="45" t="s">
        <v>769</v>
      </c>
      <c r="Y1084" s="10"/>
      <c r="Z1084" s="46" t="str">
        <f t="shared" si="705"/>
        <v>N</v>
      </c>
      <c r="AA1084" s="123"/>
      <c r="AB1084" s="1459">
        <f t="shared" si="696"/>
        <v>0</v>
      </c>
      <c r="AC1084" s="1460" t="str">
        <f t="shared" si="697"/>
        <v>-</v>
      </c>
      <c r="AD1084" s="1459">
        <f t="shared" si="698"/>
        <v>0</v>
      </c>
      <c r="AE1084" s="964" t="str">
        <f t="shared" si="699"/>
        <v/>
      </c>
      <c r="AF1084" s="964" t="str">
        <f t="shared" si="700"/>
        <v/>
      </c>
      <c r="AG1084" s="964" t="str">
        <f t="shared" si="701"/>
        <v/>
      </c>
      <c r="AH1084" s="964" t="str">
        <f t="shared" si="702"/>
        <v/>
      </c>
      <c r="AI1084" s="964" t="str">
        <f t="shared" si="703"/>
        <v/>
      </c>
      <c r="AJ1084" s="964"/>
      <c r="AK1084" s="96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s="1396"/>
      <c r="CB1084" s="1396"/>
      <c r="CC1084"/>
      <c r="CD1084"/>
      <c r="CE1084"/>
    </row>
    <row r="1085" spans="1:83" ht="13.15" customHeight="1" outlineLevel="2" x14ac:dyDescent="0.2">
      <c r="A1085"/>
      <c r="B1085" s="1"/>
      <c r="C1085"/>
      <c r="D1085"/>
      <c r="E1085"/>
      <c r="F1085"/>
      <c r="G1085" s="1"/>
      <c r="H1085" s="1"/>
      <c r="I1085"/>
      <c r="J1085"/>
      <c r="K1085"/>
      <c r="L1085"/>
      <c r="M1085"/>
      <c r="N1085"/>
      <c r="O1085"/>
      <c r="P1085"/>
      <c r="Q1085"/>
      <c r="R1085" s="558" t="s">
        <v>3975</v>
      </c>
      <c r="S1085" s="83"/>
      <c r="T1085" s="56"/>
      <c r="U1085" s="955"/>
      <c r="V1085" s="43" t="str">
        <f t="shared" si="704"/>
        <v>C</v>
      </c>
      <c r="W1085" s="10"/>
      <c r="X1085" s="45" t="s">
        <v>769</v>
      </c>
      <c r="Y1085" s="10"/>
      <c r="Z1085" s="46" t="str">
        <f t="shared" si="705"/>
        <v>P</v>
      </c>
      <c r="AA1085" s="123"/>
      <c r="AB1085" s="1459">
        <f t="shared" si="696"/>
        <v>0</v>
      </c>
      <c r="AC1085" s="1460" t="str">
        <f t="shared" si="697"/>
        <v>-</v>
      </c>
      <c r="AD1085" s="1459">
        <f t="shared" si="698"/>
        <v>0</v>
      </c>
      <c r="AE1085" s="964" t="str">
        <f t="shared" si="699"/>
        <v/>
      </c>
      <c r="AF1085" s="964" t="str">
        <f t="shared" si="700"/>
        <v/>
      </c>
      <c r="AG1085" s="964" t="str">
        <f t="shared" si="701"/>
        <v/>
      </c>
      <c r="AH1085" s="964" t="str">
        <f t="shared" si="702"/>
        <v/>
      </c>
      <c r="AI1085" s="964" t="str">
        <f t="shared" si="703"/>
        <v/>
      </c>
      <c r="AJ1085" s="964"/>
      <c r="AK1085" s="964"/>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s="1396"/>
      <c r="CB1085" s="1396"/>
      <c r="CC1085"/>
      <c r="CD1085"/>
      <c r="CE1085"/>
    </row>
    <row r="1086" spans="1:83" ht="13.15" customHeight="1" outlineLevel="2" x14ac:dyDescent="0.2">
      <c r="A1086"/>
      <c r="B1086" s="1"/>
      <c r="C1086"/>
      <c r="D1086"/>
      <c r="E1086"/>
      <c r="F1086"/>
      <c r="G1086" s="1"/>
      <c r="H1086" s="1"/>
      <c r="I1086"/>
      <c r="J1086"/>
      <c r="K1086"/>
      <c r="L1086"/>
      <c r="M1086"/>
      <c r="N1086"/>
      <c r="O1086"/>
      <c r="P1086"/>
      <c r="Q1086"/>
      <c r="R1086" s="558" t="s">
        <v>3975</v>
      </c>
      <c r="S1086" s="83"/>
      <c r="T1086" s="56"/>
      <c r="U1086" s="955"/>
      <c r="V1086" s="43" t="str">
        <f t="shared" si="704"/>
        <v>E</v>
      </c>
      <c r="W1086" s="10"/>
      <c r="X1086" s="45" t="s">
        <v>769</v>
      </c>
      <c r="Y1086" s="10"/>
      <c r="Z1086" s="46" t="str">
        <f t="shared" si="705"/>
        <v>O</v>
      </c>
      <c r="AA1086" s="123"/>
      <c r="AB1086" s="1459">
        <f t="shared" si="696"/>
        <v>0</v>
      </c>
      <c r="AC1086" s="1460" t="str">
        <f t="shared" si="697"/>
        <v>-</v>
      </c>
      <c r="AD1086" s="1459">
        <f t="shared" si="698"/>
        <v>0</v>
      </c>
      <c r="AE1086" s="964" t="str">
        <f t="shared" si="699"/>
        <v/>
      </c>
      <c r="AF1086" s="964" t="str">
        <f t="shared" si="700"/>
        <v/>
      </c>
      <c r="AG1086" s="964" t="str">
        <f t="shared" si="701"/>
        <v/>
      </c>
      <c r="AH1086" s="964" t="str">
        <f t="shared" si="702"/>
        <v/>
      </c>
      <c r="AI1086" s="964" t="str">
        <f t="shared" si="703"/>
        <v/>
      </c>
      <c r="AJ1086" s="964"/>
      <c r="AK1086" s="964"/>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s="1396"/>
      <c r="CB1086" s="1396"/>
      <c r="CC1086"/>
      <c r="CD1086"/>
      <c r="CE1086"/>
    </row>
    <row r="1087" spans="1:83" ht="13.15" customHeight="1" outlineLevel="2" x14ac:dyDescent="0.2">
      <c r="A1087"/>
      <c r="B1087" s="1"/>
      <c r="C1087"/>
      <c r="D1087"/>
      <c r="E1087"/>
      <c r="F1087"/>
      <c r="G1087" s="1"/>
      <c r="H1087" s="1"/>
      <c r="I1087"/>
      <c r="J1087"/>
      <c r="K1087"/>
      <c r="L1087"/>
      <c r="M1087"/>
      <c r="N1087"/>
      <c r="O1087"/>
      <c r="P1087"/>
      <c r="Q1087"/>
      <c r="R1087" s="558" t="s">
        <v>3975</v>
      </c>
      <c r="S1087" s="83"/>
      <c r="T1087" s="56"/>
      <c r="U1087" s="955"/>
      <c r="V1087" s="43" t="str">
        <f t="shared" si="704"/>
        <v>G</v>
      </c>
      <c r="W1087" s="10"/>
      <c r="X1087" s="45" t="s">
        <v>769</v>
      </c>
      <c r="Y1087" s="10"/>
      <c r="Z1087" s="46" t="str">
        <f t="shared" si="705"/>
        <v>M</v>
      </c>
      <c r="AA1087" s="123"/>
      <c r="AB1087" s="1459">
        <f t="shared" si="696"/>
        <v>0</v>
      </c>
      <c r="AC1087" s="1460" t="str">
        <f t="shared" si="697"/>
        <v>-</v>
      </c>
      <c r="AD1087" s="1459">
        <f t="shared" si="698"/>
        <v>0</v>
      </c>
      <c r="AE1087" s="964" t="str">
        <f t="shared" si="699"/>
        <v/>
      </c>
      <c r="AF1087" s="964" t="str">
        <f t="shared" si="700"/>
        <v/>
      </c>
      <c r="AG1087" s="964" t="str">
        <f t="shared" si="701"/>
        <v/>
      </c>
      <c r="AH1087" s="964" t="str">
        <f t="shared" si="702"/>
        <v/>
      </c>
      <c r="AI1087" s="964" t="str">
        <f t="shared" si="703"/>
        <v/>
      </c>
      <c r="AJ1087" s="964"/>
      <c r="AK1087" s="964"/>
      <c r="AL1087"/>
      <c r="AM1087"/>
      <c r="AN1087"/>
      <c r="AO1087"/>
      <c r="AP1087"/>
      <c r="AQ1087"/>
      <c r="AR1087"/>
      <c r="AS1087"/>
      <c r="AT1087"/>
      <c r="AU1087"/>
      <c r="AV1087"/>
      <c r="AW1087"/>
      <c r="AX1087" s="9"/>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s="1396"/>
      <c r="CB1087" s="1396"/>
      <c r="CC1087"/>
      <c r="CD1087"/>
      <c r="CE1087"/>
    </row>
    <row r="1088" spans="1:83" ht="13.9" customHeight="1" outlineLevel="2" thickBot="1" x14ac:dyDescent="0.25">
      <c r="A1088"/>
      <c r="B1088" s="1"/>
      <c r="C1088"/>
      <c r="D1088"/>
      <c r="E1088"/>
      <c r="F1088"/>
      <c r="G1088" s="1"/>
      <c r="H1088" s="1"/>
      <c r="I1088"/>
      <c r="J1088"/>
      <c r="K1088"/>
      <c r="L1088"/>
      <c r="M1088"/>
      <c r="N1088"/>
      <c r="O1088"/>
      <c r="P1088"/>
      <c r="Q1088"/>
      <c r="R1088" s="558" t="s">
        <v>3975</v>
      </c>
      <c r="S1088" s="956"/>
      <c r="T1088" s="58"/>
      <c r="U1088" s="957"/>
      <c r="V1088" s="958" t="str">
        <f>V1078</f>
        <v>I</v>
      </c>
      <c r="W1088" s="10"/>
      <c r="X1088" s="45" t="s">
        <v>769</v>
      </c>
      <c r="Y1088" s="10"/>
      <c r="Z1088" s="46" t="str">
        <f>V1077</f>
        <v>K</v>
      </c>
      <c r="AA1088" s="123"/>
      <c r="AB1088" s="1459">
        <f t="shared" si="696"/>
        <v>0</v>
      </c>
      <c r="AC1088" s="1460" t="str">
        <f t="shared" si="697"/>
        <v>-</v>
      </c>
      <c r="AD1088" s="1459">
        <f t="shared" si="698"/>
        <v>0</v>
      </c>
      <c r="AE1088" s="964" t="str">
        <f t="shared" si="699"/>
        <v/>
      </c>
      <c r="AF1088" s="964" t="str">
        <f t="shared" si="700"/>
        <v/>
      </c>
      <c r="AG1088" s="964" t="str">
        <f t="shared" si="701"/>
        <v/>
      </c>
      <c r="AH1088" s="964" t="str">
        <f t="shared" si="702"/>
        <v/>
      </c>
      <c r="AI1088" s="964" t="str">
        <f t="shared" si="703"/>
        <v/>
      </c>
      <c r="AJ1088" s="964"/>
      <c r="AK1088" s="964"/>
      <c r="AL1088"/>
      <c r="AM1088"/>
      <c r="AN1088"/>
      <c r="AO1088"/>
      <c r="AP1088"/>
      <c r="AQ1088"/>
      <c r="AR1088"/>
      <c r="AS1088"/>
      <c r="AT1088"/>
      <c r="AU1088"/>
      <c r="AV1088"/>
      <c r="AW1088" s="9"/>
      <c r="AX1088" s="9"/>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s="1396"/>
      <c r="CB1088" s="1396"/>
      <c r="CC1088"/>
      <c r="CD1088"/>
      <c r="CE1088"/>
    </row>
    <row r="1089" spans="1:83" ht="13.5" outlineLevel="1" thickBot="1" x14ac:dyDescent="0.25">
      <c r="A1089"/>
      <c r="B1089" s="1"/>
      <c r="C1089" s="1"/>
      <c r="D1089" s="76"/>
      <c r="E1089" s="76"/>
      <c r="F1089" s="76"/>
      <c r="G1089" s="9"/>
      <c r="H1089" s="9"/>
      <c r="I1089" s="1"/>
      <c r="J1089"/>
      <c r="K1089"/>
      <c r="L1089"/>
      <c r="M1089"/>
      <c r="N1089"/>
      <c r="O1089"/>
      <c r="P1089" s="89"/>
      <c r="Q1089"/>
      <c r="R1089" s="1"/>
      <c r="S1089" s="993">
        <f>S1079+1</f>
        <v>14</v>
      </c>
      <c r="T1089" s="961"/>
      <c r="U1089" s="961"/>
      <c r="V1089" s="961"/>
      <c r="W1089" s="960"/>
      <c r="X1089" s="960"/>
      <c r="Y1089" s="960"/>
      <c r="Z1089" s="962"/>
      <c r="AA1089" s="123"/>
      <c r="AB1089" s="963"/>
      <c r="AC1089" s="963"/>
      <c r="AD1089" s="963"/>
      <c r="AE1089" s="964"/>
      <c r="AF1089" s="964"/>
      <c r="AG1089" s="964"/>
      <c r="AH1089" s="964"/>
      <c r="AI1089" s="964"/>
      <c r="AJ1089" s="964"/>
      <c r="AK1089" s="964"/>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s="1396"/>
      <c r="CB1089" s="1396"/>
      <c r="CC1089"/>
      <c r="CD1089"/>
      <c r="CE1089"/>
    </row>
    <row r="1090" spans="1:83" ht="13.9" customHeight="1" outlineLevel="2" thickBot="1" x14ac:dyDescent="0.25">
      <c r="A1090"/>
      <c r="B1090" s="1"/>
      <c r="C1090"/>
      <c r="D1090"/>
      <c r="E1090"/>
      <c r="F1090"/>
      <c r="G1090" s="1"/>
      <c r="H1090" s="1"/>
      <c r="I1090"/>
      <c r="J1090"/>
      <c r="K1090"/>
      <c r="L1090"/>
      <c r="M1090"/>
      <c r="N1090"/>
      <c r="O1090"/>
      <c r="P1090"/>
      <c r="Q1090"/>
      <c r="S1090" s="22" t="str">
        <f>N_Heure</f>
        <v>Heure</v>
      </c>
      <c r="T1090" s="22" t="str">
        <f>N_Table</f>
        <v>Table</v>
      </c>
      <c r="U1090" s="22" t="str">
        <f>N_Arbitre</f>
        <v>Arbitre</v>
      </c>
      <c r="V1090" s="293" t="str">
        <f>N_Matches</f>
        <v>Matches</v>
      </c>
      <c r="W1090" s="294"/>
      <c r="X1090" s="294"/>
      <c r="Y1090" s="294"/>
      <c r="Z1090" s="295"/>
      <c r="AA1090" s="8"/>
      <c r="AB1090" s="967"/>
      <c r="AC1090" s="967"/>
      <c r="AD1090" s="967"/>
      <c r="AE1090" s="964"/>
      <c r="AF1090" s="964"/>
      <c r="AG1090" s="964"/>
      <c r="AH1090" s="964"/>
      <c r="AI1090" s="964"/>
      <c r="AJ1090" s="964"/>
      <c r="AK1090" s="964"/>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s="1396"/>
      <c r="CB1090" s="1396"/>
      <c r="CC1090"/>
      <c r="CD1090"/>
      <c r="CE1090"/>
    </row>
    <row r="1091" spans="1:83" ht="13.15" customHeight="1" outlineLevel="2" x14ac:dyDescent="0.2">
      <c r="A1091"/>
      <c r="B1091" s="1"/>
      <c r="C1091"/>
      <c r="D1091"/>
      <c r="E1091"/>
      <c r="F1091"/>
      <c r="G1091" s="1"/>
      <c r="H1091" s="1"/>
      <c r="I1091"/>
      <c r="J1091"/>
      <c r="K1091"/>
      <c r="L1091"/>
      <c r="M1091"/>
      <c r="N1091"/>
      <c r="O1091"/>
      <c r="P1091"/>
      <c r="Q1091"/>
      <c r="R1091" s="558" t="s">
        <v>3976</v>
      </c>
      <c r="S1091" s="65"/>
      <c r="T1091" s="953"/>
      <c r="U1091" s="954"/>
      <c r="V1091" s="34" t="str">
        <f>V1082</f>
        <v>F</v>
      </c>
      <c r="W1091" s="148"/>
      <c r="X1091" s="35" t="s">
        <v>769</v>
      </c>
      <c r="Y1091" s="148"/>
      <c r="Z1091" s="36" t="str">
        <f>V1081</f>
        <v>A</v>
      </c>
      <c r="AA1091" s="123"/>
      <c r="AB1091" s="1459">
        <f t="shared" ref="AB1091:AB1098" si="706">IF(MaxScore,MaxGoals(W1091,Y1091,MaxGoalsValue),IF(W1091="","",W1091))</f>
        <v>0</v>
      </c>
      <c r="AC1091" s="1460" t="str">
        <f t="shared" ref="AC1091:AC1098" si="707">IF(MaxScore,"-",IF(W1091="","","-"))</f>
        <v>-</v>
      </c>
      <c r="AD1091" s="1459">
        <f t="shared" ref="AD1091:AD1098" si="708">IF(MaxScore,MaxGoals(Y1091,W1091,MaxGoalsValue),IF(Y1091="","",Y1091))</f>
        <v>0</v>
      </c>
      <c r="AE1091" s="964" t="str">
        <f t="shared" ref="AE1091:AE1098" si="709">IF(W1091="","",IF(W1091&gt;Y1091,V1091,IF(W1091=Y1091,"",Z1091)))</f>
        <v/>
      </c>
      <c r="AF1091" s="964" t="str">
        <f t="shared" ref="AF1091:AF1098" si="710">IF(W1091="","",IF(W1091=Y1091,V1091,""))</f>
        <v/>
      </c>
      <c r="AG1091" s="964" t="str">
        <f t="shared" ref="AG1091:AG1098" si="711">IF(W1091="","",IF(W1091=Y1091,Z1091,""))</f>
        <v/>
      </c>
      <c r="AH1091" s="964" t="str">
        <f t="shared" ref="AH1091:AH1098" si="712">IF(W1091="","",IF(W1091&lt;Y1091,V1091,IF(W1091=Y1091,"",Z1091)))</f>
        <v/>
      </c>
      <c r="AI1091" s="964" t="str">
        <f t="shared" ref="AI1091:AI1098" si="713">CONCATENATE(AE1091,AH1091)</f>
        <v/>
      </c>
      <c r="AJ1091" s="964"/>
      <c r="AK1091" s="964"/>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s="1396"/>
      <c r="CB1091" s="1396"/>
      <c r="CC1091"/>
      <c r="CD1091"/>
      <c r="CE1091"/>
    </row>
    <row r="1092" spans="1:83" ht="13.15" customHeight="1" outlineLevel="2" x14ac:dyDescent="0.2">
      <c r="A1092"/>
      <c r="B1092" s="1"/>
      <c r="C1092"/>
      <c r="D1092"/>
      <c r="E1092"/>
      <c r="F1092"/>
      <c r="G1092" s="1"/>
      <c r="H1092" s="1"/>
      <c r="I1092"/>
      <c r="J1092"/>
      <c r="K1092"/>
      <c r="L1092"/>
      <c r="M1092"/>
      <c r="N1092"/>
      <c r="O1092"/>
      <c r="P1092"/>
      <c r="Q1092"/>
      <c r="R1092" s="558" t="s">
        <v>3976</v>
      </c>
      <c r="S1092" s="83"/>
      <c r="T1092" s="56"/>
      <c r="U1092" s="955"/>
      <c r="V1092" s="43" t="str">
        <f t="shared" ref="V1092:V1098" si="714">Z1081</f>
        <v>H</v>
      </c>
      <c r="W1092" s="10"/>
      <c r="X1092" s="45" t="s">
        <v>769</v>
      </c>
      <c r="Y1092" s="10"/>
      <c r="Z1092" s="46" t="str">
        <f t="shared" ref="Z1092:Z1097" si="715">V1083</f>
        <v>D</v>
      </c>
      <c r="AA1092" s="123"/>
      <c r="AB1092" s="1459">
        <f t="shared" si="706"/>
        <v>0</v>
      </c>
      <c r="AC1092" s="1460" t="str">
        <f t="shared" si="707"/>
        <v>-</v>
      </c>
      <c r="AD1092" s="1459">
        <f t="shared" si="708"/>
        <v>0</v>
      </c>
      <c r="AE1092" s="964" t="str">
        <f t="shared" si="709"/>
        <v/>
      </c>
      <c r="AF1092" s="964" t="str">
        <f t="shared" si="710"/>
        <v/>
      </c>
      <c r="AG1092" s="964" t="str">
        <f t="shared" si="711"/>
        <v/>
      </c>
      <c r="AH1092" s="964" t="str">
        <f t="shared" si="712"/>
        <v/>
      </c>
      <c r="AI1092" s="964" t="str">
        <f t="shared" si="713"/>
        <v/>
      </c>
      <c r="AJ1092" s="964"/>
      <c r="AK1092" s="964"/>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s="1396"/>
      <c r="CB1092" s="1396"/>
      <c r="CC1092"/>
      <c r="CD1092"/>
      <c r="CE1092"/>
    </row>
    <row r="1093" spans="1:83" ht="13.15" customHeight="1" outlineLevel="2" x14ac:dyDescent="0.2">
      <c r="A1093"/>
      <c r="B1093" s="1"/>
      <c r="C1093"/>
      <c r="D1093"/>
      <c r="E1093"/>
      <c r="F1093"/>
      <c r="G1093" s="1"/>
      <c r="H1093" s="1"/>
      <c r="I1093"/>
      <c r="J1093"/>
      <c r="K1093"/>
      <c r="L1093"/>
      <c r="M1093"/>
      <c r="N1093"/>
      <c r="O1093"/>
      <c r="P1093"/>
      <c r="Q1093"/>
      <c r="R1093" s="558" t="s">
        <v>3976</v>
      </c>
      <c r="S1093" s="83"/>
      <c r="T1093" s="56"/>
      <c r="U1093" s="955"/>
      <c r="V1093" s="43" t="str">
        <f t="shared" si="714"/>
        <v>J</v>
      </c>
      <c r="W1093" s="10"/>
      <c r="X1093" s="45" t="s">
        <v>769</v>
      </c>
      <c r="Y1093" s="10"/>
      <c r="Z1093" s="46" t="str">
        <f t="shared" si="715"/>
        <v>B</v>
      </c>
      <c r="AA1093" s="123"/>
      <c r="AB1093" s="1459">
        <f t="shared" si="706"/>
        <v>0</v>
      </c>
      <c r="AC1093" s="1460" t="str">
        <f t="shared" si="707"/>
        <v>-</v>
      </c>
      <c r="AD1093" s="1459">
        <f t="shared" si="708"/>
        <v>0</v>
      </c>
      <c r="AE1093" s="964" t="str">
        <f t="shared" si="709"/>
        <v/>
      </c>
      <c r="AF1093" s="964" t="str">
        <f t="shared" si="710"/>
        <v/>
      </c>
      <c r="AG1093" s="964" t="str">
        <f t="shared" si="711"/>
        <v/>
      </c>
      <c r="AH1093" s="964" t="str">
        <f t="shared" si="712"/>
        <v/>
      </c>
      <c r="AI1093" s="964" t="str">
        <f t="shared" si="713"/>
        <v/>
      </c>
      <c r="AJ1093" s="964"/>
      <c r="AK1093" s="964"/>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s="1396"/>
      <c r="CB1093" s="1396"/>
      <c r="CC1093"/>
      <c r="CD1093"/>
      <c r="CE1093"/>
    </row>
    <row r="1094" spans="1:83" ht="13.15" customHeight="1" outlineLevel="2" x14ac:dyDescent="0.2">
      <c r="A1094"/>
      <c r="B1094" s="1"/>
      <c r="C1094"/>
      <c r="D1094"/>
      <c r="E1094"/>
      <c r="F1094"/>
      <c r="G1094" s="1"/>
      <c r="H1094" s="1"/>
      <c r="I1094"/>
      <c r="J1094"/>
      <c r="K1094"/>
      <c r="L1094"/>
      <c r="M1094"/>
      <c r="N1094"/>
      <c r="O1094"/>
      <c r="P1094"/>
      <c r="Q1094"/>
      <c r="R1094" s="558" t="s">
        <v>3976</v>
      </c>
      <c r="S1094" s="83"/>
      <c r="T1094" s="56"/>
      <c r="U1094" s="955"/>
      <c r="V1094" s="43" t="str">
        <f t="shared" si="714"/>
        <v>L</v>
      </c>
      <c r="W1094" s="10"/>
      <c r="X1094" s="45" t="s">
        <v>769</v>
      </c>
      <c r="Y1094" s="10"/>
      <c r="Z1094" s="46" t="str">
        <f t="shared" si="715"/>
        <v>C</v>
      </c>
      <c r="AA1094" s="123"/>
      <c r="AB1094" s="1459">
        <f t="shared" si="706"/>
        <v>0</v>
      </c>
      <c r="AC1094" s="1460" t="str">
        <f t="shared" si="707"/>
        <v>-</v>
      </c>
      <c r="AD1094" s="1459">
        <f t="shared" si="708"/>
        <v>0</v>
      </c>
      <c r="AE1094" s="964" t="str">
        <f t="shared" si="709"/>
        <v/>
      </c>
      <c r="AF1094" s="964" t="str">
        <f t="shared" si="710"/>
        <v/>
      </c>
      <c r="AG1094" s="964" t="str">
        <f t="shared" si="711"/>
        <v/>
      </c>
      <c r="AH1094" s="964" t="str">
        <f t="shared" si="712"/>
        <v/>
      </c>
      <c r="AI1094" s="964" t="str">
        <f t="shared" si="713"/>
        <v/>
      </c>
      <c r="AJ1094" s="964"/>
      <c r="AK1094" s="964"/>
      <c r="AL1094"/>
      <c r="AM1094"/>
      <c r="AN1094"/>
      <c r="AO1094"/>
      <c r="AP1094"/>
      <c r="AQ1094"/>
      <c r="AR1094"/>
      <c r="AS1094"/>
      <c r="AT1094"/>
      <c r="AU1094"/>
      <c r="AV1094"/>
      <c r="AW1094" s="9"/>
      <c r="AX1094" s="9"/>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s="1396"/>
      <c r="CB1094" s="1396"/>
      <c r="CC1094"/>
      <c r="CD1094"/>
      <c r="CE1094"/>
    </row>
    <row r="1095" spans="1:83" ht="13.15" customHeight="1" outlineLevel="2" x14ac:dyDescent="0.2">
      <c r="A1095"/>
      <c r="B1095" s="1"/>
      <c r="C1095"/>
      <c r="D1095"/>
      <c r="E1095"/>
      <c r="F1095"/>
      <c r="G1095" s="1"/>
      <c r="H1095" s="1"/>
      <c r="I1095"/>
      <c r="J1095"/>
      <c r="K1095"/>
      <c r="L1095"/>
      <c r="M1095"/>
      <c r="N1095"/>
      <c r="O1095"/>
      <c r="P1095"/>
      <c r="Q1095"/>
      <c r="R1095" s="558" t="s">
        <v>3976</v>
      </c>
      <c r="S1095" s="83"/>
      <c r="T1095" s="56"/>
      <c r="U1095" s="955"/>
      <c r="V1095" s="43" t="str">
        <f t="shared" si="714"/>
        <v>N</v>
      </c>
      <c r="W1095" s="10"/>
      <c r="X1095" s="45" t="s">
        <v>769</v>
      </c>
      <c r="Y1095" s="10"/>
      <c r="Z1095" s="46" t="str">
        <f t="shared" si="715"/>
        <v>E</v>
      </c>
      <c r="AA1095" s="123"/>
      <c r="AB1095" s="1459">
        <f t="shared" si="706"/>
        <v>0</v>
      </c>
      <c r="AC1095" s="1460" t="str">
        <f t="shared" si="707"/>
        <v>-</v>
      </c>
      <c r="AD1095" s="1459">
        <f t="shared" si="708"/>
        <v>0</v>
      </c>
      <c r="AE1095" s="964" t="str">
        <f t="shared" si="709"/>
        <v/>
      </c>
      <c r="AF1095" s="964" t="str">
        <f t="shared" si="710"/>
        <v/>
      </c>
      <c r="AG1095" s="964" t="str">
        <f t="shared" si="711"/>
        <v/>
      </c>
      <c r="AH1095" s="964" t="str">
        <f t="shared" si="712"/>
        <v/>
      </c>
      <c r="AI1095" s="964" t="str">
        <f t="shared" si="713"/>
        <v/>
      </c>
      <c r="AJ1095" s="964"/>
      <c r="AK1095" s="964"/>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s="1396"/>
      <c r="CB1095" s="1396"/>
      <c r="CC1095"/>
      <c r="CD1095"/>
      <c r="CE1095"/>
    </row>
    <row r="1096" spans="1:83" ht="13.15" customHeight="1" outlineLevel="2" x14ac:dyDescent="0.2">
      <c r="A1096"/>
      <c r="B1096" s="1"/>
      <c r="C1096"/>
      <c r="D1096"/>
      <c r="E1096"/>
      <c r="F1096"/>
      <c r="G1096" s="1"/>
      <c r="H1096" s="1"/>
      <c r="I1096"/>
      <c r="J1096"/>
      <c r="K1096"/>
      <c r="L1096"/>
      <c r="M1096"/>
      <c r="N1096"/>
      <c r="O1096"/>
      <c r="P1096"/>
      <c r="Q1096"/>
      <c r="R1096" s="558" t="s">
        <v>3976</v>
      </c>
      <c r="S1096" s="83"/>
      <c r="T1096" s="56"/>
      <c r="U1096" s="955"/>
      <c r="V1096" s="43" t="str">
        <f t="shared" si="714"/>
        <v>P</v>
      </c>
      <c r="W1096" s="10"/>
      <c r="X1096" s="45" t="s">
        <v>769</v>
      </c>
      <c r="Y1096" s="10"/>
      <c r="Z1096" s="46" t="str">
        <f t="shared" si="715"/>
        <v>G</v>
      </c>
      <c r="AA1096" s="123"/>
      <c r="AB1096" s="1459">
        <f t="shared" si="706"/>
        <v>0</v>
      </c>
      <c r="AC1096" s="1460" t="str">
        <f t="shared" si="707"/>
        <v>-</v>
      </c>
      <c r="AD1096" s="1459">
        <f t="shared" si="708"/>
        <v>0</v>
      </c>
      <c r="AE1096" s="964" t="str">
        <f t="shared" si="709"/>
        <v/>
      </c>
      <c r="AF1096" s="964" t="str">
        <f t="shared" si="710"/>
        <v/>
      </c>
      <c r="AG1096" s="964" t="str">
        <f t="shared" si="711"/>
        <v/>
      </c>
      <c r="AH1096" s="964" t="str">
        <f t="shared" si="712"/>
        <v/>
      </c>
      <c r="AI1096" s="964" t="str">
        <f t="shared" si="713"/>
        <v/>
      </c>
      <c r="AJ1096" s="964"/>
      <c r="AK1096" s="964"/>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s="1396"/>
      <c r="CB1096" s="1396"/>
      <c r="CC1096"/>
      <c r="CD1096"/>
      <c r="CE1096"/>
    </row>
    <row r="1097" spans="1:83" ht="13.15" customHeight="1" outlineLevel="2" x14ac:dyDescent="0.2">
      <c r="A1097"/>
      <c r="B1097" s="1"/>
      <c r="C1097"/>
      <c r="D1097"/>
      <c r="E1097"/>
      <c r="F1097"/>
      <c r="G1097" s="1"/>
      <c r="H1097" s="1"/>
      <c r="I1097"/>
      <c r="J1097"/>
      <c r="K1097"/>
      <c r="L1097"/>
      <c r="M1097"/>
      <c r="N1097"/>
      <c r="O1097"/>
      <c r="P1097"/>
      <c r="Q1097"/>
      <c r="R1097" s="558" t="s">
        <v>3976</v>
      </c>
      <c r="S1097" s="83"/>
      <c r="T1097" s="56"/>
      <c r="U1097" s="955"/>
      <c r="V1097" s="43" t="str">
        <f t="shared" si="714"/>
        <v>O</v>
      </c>
      <c r="W1097" s="10"/>
      <c r="X1097" s="45" t="s">
        <v>769</v>
      </c>
      <c r="Y1097" s="10"/>
      <c r="Z1097" s="46" t="str">
        <f t="shared" si="715"/>
        <v>I</v>
      </c>
      <c r="AA1097" s="123"/>
      <c r="AB1097" s="1459">
        <f t="shared" si="706"/>
        <v>0</v>
      </c>
      <c r="AC1097" s="1460" t="str">
        <f t="shared" si="707"/>
        <v>-</v>
      </c>
      <c r="AD1097" s="1459">
        <f t="shared" si="708"/>
        <v>0</v>
      </c>
      <c r="AE1097" s="964" t="str">
        <f t="shared" si="709"/>
        <v/>
      </c>
      <c r="AF1097" s="964" t="str">
        <f t="shared" si="710"/>
        <v/>
      </c>
      <c r="AG1097" s="964" t="str">
        <f t="shared" si="711"/>
        <v/>
      </c>
      <c r="AH1097" s="964" t="str">
        <f t="shared" si="712"/>
        <v/>
      </c>
      <c r="AI1097" s="964" t="str">
        <f t="shared" si="713"/>
        <v/>
      </c>
      <c r="AJ1097" s="964"/>
      <c r="AK1097" s="964"/>
      <c r="AL1097"/>
      <c r="AM1097"/>
      <c r="AN1097"/>
      <c r="AO1097"/>
      <c r="AP1097"/>
      <c r="AQ1097"/>
      <c r="AR1097"/>
      <c r="AS1097"/>
      <c r="AT1097"/>
      <c r="AU1097"/>
      <c r="AV1097"/>
      <c r="AW1097"/>
      <c r="AX1097" s="9"/>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s="1396"/>
      <c r="CB1097" s="1396"/>
      <c r="CC1097"/>
      <c r="CD1097"/>
      <c r="CE1097"/>
    </row>
    <row r="1098" spans="1:83" ht="13.9" customHeight="1" outlineLevel="2" thickBot="1" x14ac:dyDescent="0.25">
      <c r="A1098"/>
      <c r="B1098" s="1"/>
      <c r="C1098"/>
      <c r="D1098"/>
      <c r="E1098"/>
      <c r="F1098"/>
      <c r="G1098" s="1"/>
      <c r="H1098" s="1"/>
      <c r="I1098"/>
      <c r="J1098"/>
      <c r="K1098"/>
      <c r="L1098"/>
      <c r="M1098"/>
      <c r="N1098"/>
      <c r="O1098"/>
      <c r="P1098"/>
      <c r="Q1098"/>
      <c r="R1098" s="558" t="s">
        <v>3976</v>
      </c>
      <c r="S1098" s="956"/>
      <c r="T1098" s="58"/>
      <c r="U1098" s="957"/>
      <c r="V1098" s="43" t="str">
        <f t="shared" si="714"/>
        <v>M</v>
      </c>
      <c r="W1098" s="10"/>
      <c r="X1098" s="45" t="s">
        <v>769</v>
      </c>
      <c r="Y1098" s="10"/>
      <c r="Z1098" s="46" t="str">
        <f>Z1088</f>
        <v>K</v>
      </c>
      <c r="AA1098" s="123"/>
      <c r="AB1098" s="1459">
        <f t="shared" si="706"/>
        <v>0</v>
      </c>
      <c r="AC1098" s="1460" t="str">
        <f t="shared" si="707"/>
        <v>-</v>
      </c>
      <c r="AD1098" s="1459">
        <f t="shared" si="708"/>
        <v>0</v>
      </c>
      <c r="AE1098" s="964" t="str">
        <f t="shared" si="709"/>
        <v/>
      </c>
      <c r="AF1098" s="964" t="str">
        <f t="shared" si="710"/>
        <v/>
      </c>
      <c r="AG1098" s="964" t="str">
        <f t="shared" si="711"/>
        <v/>
      </c>
      <c r="AH1098" s="964" t="str">
        <f t="shared" si="712"/>
        <v/>
      </c>
      <c r="AI1098" s="964" t="str">
        <f t="shared" si="713"/>
        <v/>
      </c>
      <c r="AJ1098" s="964"/>
      <c r="AK1098" s="964"/>
      <c r="AL1098"/>
      <c r="AM1098"/>
      <c r="AN1098"/>
      <c r="AO1098"/>
      <c r="AP1098"/>
      <c r="AQ1098"/>
      <c r="AR1098"/>
      <c r="AS1098"/>
      <c r="AT1098"/>
      <c r="AU1098"/>
      <c r="AV1098"/>
      <c r="AW1098" s="9"/>
      <c r="AX1098" s="9"/>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s="1396"/>
      <c r="CB1098" s="1396"/>
      <c r="CC1098"/>
      <c r="CD1098"/>
      <c r="CE1098"/>
    </row>
    <row r="1099" spans="1:83" ht="13.5" outlineLevel="1" thickBot="1" x14ac:dyDescent="0.25">
      <c r="A1099"/>
      <c r="B1099" s="1"/>
      <c r="C1099" s="1"/>
      <c r="D1099" s="76"/>
      <c r="E1099" s="76"/>
      <c r="F1099" s="76"/>
      <c r="G1099" s="9"/>
      <c r="H1099" s="9"/>
      <c r="I1099" s="1"/>
      <c r="J1099"/>
      <c r="K1099"/>
      <c r="L1099"/>
      <c r="M1099"/>
      <c r="N1099"/>
      <c r="O1099"/>
      <c r="P1099" s="89"/>
      <c r="Q1099"/>
      <c r="R1099" s="1"/>
      <c r="S1099" s="993">
        <f>S1089+1</f>
        <v>15</v>
      </c>
      <c r="T1099" s="961"/>
      <c r="U1099" s="961"/>
      <c r="V1099" s="961"/>
      <c r="W1099" s="960"/>
      <c r="X1099" s="960"/>
      <c r="Y1099" s="960"/>
      <c r="Z1099" s="962"/>
      <c r="AA1099" s="123"/>
      <c r="AB1099" s="963"/>
      <c r="AC1099" s="963"/>
      <c r="AD1099" s="963"/>
      <c r="AE1099" s="964"/>
      <c r="AF1099" s="964"/>
      <c r="AG1099" s="964"/>
      <c r="AH1099" s="964"/>
      <c r="AI1099" s="964"/>
      <c r="AJ1099" s="964"/>
      <c r="AK1099" s="964"/>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s="1396"/>
      <c r="CB1099" s="1396"/>
      <c r="CC1099"/>
      <c r="CD1099"/>
      <c r="CE1099"/>
    </row>
    <row r="1100" spans="1:83" ht="13.9" customHeight="1" outlineLevel="2" thickBot="1" x14ac:dyDescent="0.25">
      <c r="A1100"/>
      <c r="B1100" s="1"/>
      <c r="C1100"/>
      <c r="D1100"/>
      <c r="E1100"/>
      <c r="F1100"/>
      <c r="G1100" s="1"/>
      <c r="H1100" s="1"/>
      <c r="I1100"/>
      <c r="J1100"/>
      <c r="K1100"/>
      <c r="L1100"/>
      <c r="M1100"/>
      <c r="N1100"/>
      <c r="O1100"/>
      <c r="P1100"/>
      <c r="Q1100"/>
      <c r="S1100" s="22" t="str">
        <f>N_Heure</f>
        <v>Heure</v>
      </c>
      <c r="T1100" s="22" t="str">
        <f>N_Table</f>
        <v>Table</v>
      </c>
      <c r="U1100" s="22" t="str">
        <f>N_Arbitre</f>
        <v>Arbitre</v>
      </c>
      <c r="V1100" s="293" t="str">
        <f>N_Matches</f>
        <v>Matches</v>
      </c>
      <c r="W1100" s="294"/>
      <c r="X1100" s="294"/>
      <c r="Y1100" s="294"/>
      <c r="Z1100" s="295"/>
      <c r="AA1100" s="8"/>
      <c r="AB1100" s="967"/>
      <c r="AC1100" s="967"/>
      <c r="AD1100" s="967"/>
      <c r="AE1100" s="964"/>
      <c r="AF1100" s="964"/>
      <c r="AG1100" s="964"/>
      <c r="AH1100" s="964"/>
      <c r="AI1100" s="964"/>
      <c r="AJ1100" s="964"/>
      <c r="AK1100" s="964"/>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s="1396"/>
      <c r="CB1100" s="1396"/>
      <c r="CC1100"/>
      <c r="CD1100"/>
      <c r="CE1100"/>
    </row>
    <row r="1101" spans="1:83" ht="13.15" customHeight="1" outlineLevel="2" x14ac:dyDescent="0.2">
      <c r="A1101"/>
      <c r="B1101" s="1"/>
      <c r="C1101"/>
      <c r="D1101"/>
      <c r="E1101"/>
      <c r="F1101"/>
      <c r="G1101" s="1"/>
      <c r="H1101" s="1"/>
      <c r="I1101"/>
      <c r="J1101"/>
      <c r="K1101"/>
      <c r="L1101"/>
      <c r="M1101"/>
      <c r="N1101"/>
      <c r="O1101"/>
      <c r="P1101"/>
      <c r="Q1101"/>
      <c r="R1101" s="558" t="s">
        <v>3977</v>
      </c>
      <c r="S1101" s="65"/>
      <c r="T1101" s="953"/>
      <c r="U1101" s="954"/>
      <c r="V1101" s="34" t="str">
        <f>Z1091</f>
        <v>A</v>
      </c>
      <c r="W1101" s="148"/>
      <c r="X1101" s="35" t="s">
        <v>769</v>
      </c>
      <c r="Y1101" s="148"/>
      <c r="Z1101" s="36" t="str">
        <f>Z1092</f>
        <v>D</v>
      </c>
      <c r="AA1101" s="123"/>
      <c r="AB1101" s="1459">
        <f t="shared" ref="AB1101:AB1108" si="716">IF(MaxScore,MaxGoals(W1101,Y1101,MaxGoalsValue),IF(W1101="","",W1101))</f>
        <v>0</v>
      </c>
      <c r="AC1101" s="1460" t="str">
        <f t="shared" ref="AC1101:AC1108" si="717">IF(MaxScore,"-",IF(W1101="","","-"))</f>
        <v>-</v>
      </c>
      <c r="AD1101" s="1459">
        <f t="shared" ref="AD1101:AD1108" si="718">IF(MaxScore,MaxGoals(Y1101,W1101,MaxGoalsValue),IF(Y1101="","",Y1101))</f>
        <v>0</v>
      </c>
      <c r="AE1101" s="964" t="str">
        <f t="shared" ref="AE1101:AE1108" si="719">IF(W1101="","",IF(W1101&gt;Y1101,V1101,IF(W1101=Y1101,"",Z1101)))</f>
        <v/>
      </c>
      <c r="AF1101" s="964" t="str">
        <f t="shared" ref="AF1101:AF1108" si="720">IF(W1101="","",IF(W1101=Y1101,V1101,""))</f>
        <v/>
      </c>
      <c r="AG1101" s="964" t="str">
        <f t="shared" ref="AG1101:AG1108" si="721">IF(W1101="","",IF(W1101=Y1101,Z1101,""))</f>
        <v/>
      </c>
      <c r="AH1101" s="964" t="str">
        <f t="shared" ref="AH1101:AH1108" si="722">IF(W1101="","",IF(W1101&lt;Y1101,V1101,IF(W1101=Y1101,"",Z1101)))</f>
        <v/>
      </c>
      <c r="AI1101" s="964" t="str">
        <f t="shared" ref="AI1101:AI1108" si="723">CONCATENATE(AE1101,AH1101)</f>
        <v/>
      </c>
      <c r="AJ1101" s="964"/>
      <c r="AK1101" s="964"/>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s="1396"/>
      <c r="CB1101" s="1396"/>
      <c r="CC1101"/>
      <c r="CD1101"/>
      <c r="CE1101"/>
    </row>
    <row r="1102" spans="1:83" ht="13.15" customHeight="1" outlineLevel="2" x14ac:dyDescent="0.2">
      <c r="A1102"/>
      <c r="B1102" s="1"/>
      <c r="C1102"/>
      <c r="D1102"/>
      <c r="E1102"/>
      <c r="F1102"/>
      <c r="G1102" s="1"/>
      <c r="H1102" s="1"/>
      <c r="I1102"/>
      <c r="J1102"/>
      <c r="K1102"/>
      <c r="L1102"/>
      <c r="M1102"/>
      <c r="N1102"/>
      <c r="O1102"/>
      <c r="P1102"/>
      <c r="Q1102"/>
      <c r="R1102" s="558" t="s">
        <v>3977</v>
      </c>
      <c r="S1102" s="83"/>
      <c r="T1102" s="56"/>
      <c r="U1102" s="955"/>
      <c r="V1102" s="43" t="str">
        <f t="shared" ref="V1102:V1107" si="724">Z1093</f>
        <v>B</v>
      </c>
      <c r="W1102" s="10"/>
      <c r="X1102" s="45" t="s">
        <v>769</v>
      </c>
      <c r="Y1102" s="10"/>
      <c r="Z1102" s="46" t="str">
        <f t="shared" ref="Z1102:Z1107" si="725">V1091</f>
        <v>F</v>
      </c>
      <c r="AA1102" s="123"/>
      <c r="AB1102" s="1459">
        <f t="shared" si="716"/>
        <v>0</v>
      </c>
      <c r="AC1102" s="1460" t="str">
        <f t="shared" si="717"/>
        <v>-</v>
      </c>
      <c r="AD1102" s="1459">
        <f t="shared" si="718"/>
        <v>0</v>
      </c>
      <c r="AE1102" s="964" t="str">
        <f t="shared" si="719"/>
        <v/>
      </c>
      <c r="AF1102" s="964" t="str">
        <f t="shared" si="720"/>
        <v/>
      </c>
      <c r="AG1102" s="964" t="str">
        <f t="shared" si="721"/>
        <v/>
      </c>
      <c r="AH1102" s="964" t="str">
        <f t="shared" si="722"/>
        <v/>
      </c>
      <c r="AI1102" s="964" t="str">
        <f t="shared" si="723"/>
        <v/>
      </c>
      <c r="AJ1102" s="964"/>
      <c r="AK1102" s="964"/>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s="1396"/>
      <c r="CB1102" s="1396"/>
      <c r="CC1102"/>
      <c r="CD1102"/>
      <c r="CE1102"/>
    </row>
    <row r="1103" spans="1:83" ht="13.15" customHeight="1" outlineLevel="2" x14ac:dyDescent="0.2">
      <c r="A1103"/>
      <c r="B1103" s="1"/>
      <c r="C1103"/>
      <c r="D1103"/>
      <c r="E1103"/>
      <c r="F1103"/>
      <c r="G1103" s="1"/>
      <c r="H1103" s="1"/>
      <c r="I1103"/>
      <c r="J1103"/>
      <c r="K1103"/>
      <c r="L1103"/>
      <c r="M1103"/>
      <c r="N1103"/>
      <c r="O1103"/>
      <c r="P1103"/>
      <c r="Q1103"/>
      <c r="R1103" s="558" t="s">
        <v>3977</v>
      </c>
      <c r="S1103" s="83"/>
      <c r="T1103" s="56"/>
      <c r="U1103" s="955"/>
      <c r="V1103" s="43" t="str">
        <f t="shared" si="724"/>
        <v>C</v>
      </c>
      <c r="W1103" s="10"/>
      <c r="X1103" s="45" t="s">
        <v>769</v>
      </c>
      <c r="Y1103" s="10"/>
      <c r="Z1103" s="46" t="str">
        <f t="shared" si="725"/>
        <v>H</v>
      </c>
      <c r="AA1103" s="123"/>
      <c r="AB1103" s="1459">
        <f t="shared" si="716"/>
        <v>0</v>
      </c>
      <c r="AC1103" s="1460" t="str">
        <f t="shared" si="717"/>
        <v>-</v>
      </c>
      <c r="AD1103" s="1459">
        <f t="shared" si="718"/>
        <v>0</v>
      </c>
      <c r="AE1103" s="964" t="str">
        <f t="shared" si="719"/>
        <v/>
      </c>
      <c r="AF1103" s="964" t="str">
        <f t="shared" si="720"/>
        <v/>
      </c>
      <c r="AG1103" s="964" t="str">
        <f t="shared" si="721"/>
        <v/>
      </c>
      <c r="AH1103" s="964" t="str">
        <f t="shared" si="722"/>
        <v/>
      </c>
      <c r="AI1103" s="964" t="str">
        <f t="shared" si="723"/>
        <v/>
      </c>
      <c r="AJ1103" s="964"/>
      <c r="AK1103" s="964"/>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s="1396"/>
      <c r="CB1103" s="1396"/>
      <c r="CC1103"/>
      <c r="CD1103"/>
      <c r="CE1103"/>
    </row>
    <row r="1104" spans="1:83" ht="13.15" customHeight="1" outlineLevel="2" x14ac:dyDescent="0.2">
      <c r="A1104"/>
      <c r="B1104" s="1"/>
      <c r="C1104"/>
      <c r="D1104"/>
      <c r="E1104"/>
      <c r="F1104"/>
      <c r="G1104" s="1"/>
      <c r="H1104" s="1"/>
      <c r="I1104"/>
      <c r="J1104"/>
      <c r="K1104"/>
      <c r="L1104"/>
      <c r="M1104"/>
      <c r="N1104"/>
      <c r="O1104"/>
      <c r="P1104"/>
      <c r="Q1104"/>
      <c r="R1104" s="558" t="s">
        <v>3977</v>
      </c>
      <c r="S1104" s="83"/>
      <c r="T1104" s="56"/>
      <c r="U1104" s="955"/>
      <c r="V1104" s="43" t="str">
        <f t="shared" si="724"/>
        <v>E</v>
      </c>
      <c r="W1104" s="10"/>
      <c r="X1104" s="45" t="s">
        <v>769</v>
      </c>
      <c r="Y1104" s="10"/>
      <c r="Z1104" s="46" t="str">
        <f t="shared" si="725"/>
        <v>J</v>
      </c>
      <c r="AA1104" s="123"/>
      <c r="AB1104" s="1459">
        <f t="shared" si="716"/>
        <v>0</v>
      </c>
      <c r="AC1104" s="1460" t="str">
        <f t="shared" si="717"/>
        <v>-</v>
      </c>
      <c r="AD1104" s="1459">
        <f t="shared" si="718"/>
        <v>0</v>
      </c>
      <c r="AE1104" s="964" t="str">
        <f t="shared" si="719"/>
        <v/>
      </c>
      <c r="AF1104" s="964" t="str">
        <f t="shared" si="720"/>
        <v/>
      </c>
      <c r="AG1104" s="964" t="str">
        <f t="shared" si="721"/>
        <v/>
      </c>
      <c r="AH1104" s="964" t="str">
        <f t="shared" si="722"/>
        <v/>
      </c>
      <c r="AI1104" s="964" t="str">
        <f t="shared" si="723"/>
        <v/>
      </c>
      <c r="AJ1104" s="964"/>
      <c r="AK1104" s="964"/>
      <c r="AL1104"/>
      <c r="AM1104"/>
      <c r="AN1104"/>
      <c r="AO1104"/>
      <c r="AP1104"/>
      <c r="AQ1104"/>
      <c r="AR1104"/>
      <c r="AS1104"/>
      <c r="AT1104"/>
      <c r="AU1104"/>
      <c r="AV1104"/>
      <c r="AW1104"/>
      <c r="AX1104" s="9"/>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s="1396"/>
      <c r="CB1104" s="1396"/>
      <c r="CC1104"/>
      <c r="CD1104"/>
      <c r="CE1104"/>
    </row>
    <row r="1105" spans="1:83" ht="13.15" customHeight="1" outlineLevel="2" x14ac:dyDescent="0.2">
      <c r="A1105"/>
      <c r="B1105" s="1"/>
      <c r="C1105"/>
      <c r="D1105"/>
      <c r="E1105"/>
      <c r="F1105"/>
      <c r="G1105" s="1"/>
      <c r="H1105" s="1"/>
      <c r="I1105"/>
      <c r="J1105"/>
      <c r="K1105"/>
      <c r="L1105"/>
      <c r="M1105"/>
      <c r="N1105"/>
      <c r="O1105"/>
      <c r="P1105"/>
      <c r="Q1105"/>
      <c r="R1105" s="558" t="s">
        <v>3977</v>
      </c>
      <c r="S1105" s="83"/>
      <c r="T1105" s="56"/>
      <c r="U1105" s="955"/>
      <c r="V1105" s="43" t="str">
        <f t="shared" si="724"/>
        <v>G</v>
      </c>
      <c r="W1105" s="10"/>
      <c r="X1105" s="45" t="s">
        <v>769</v>
      </c>
      <c r="Y1105" s="10"/>
      <c r="Z1105" s="46" t="str">
        <f t="shared" si="725"/>
        <v>L</v>
      </c>
      <c r="AA1105" s="123"/>
      <c r="AB1105" s="1459">
        <f t="shared" si="716"/>
        <v>0</v>
      </c>
      <c r="AC1105" s="1460" t="str">
        <f t="shared" si="717"/>
        <v>-</v>
      </c>
      <c r="AD1105" s="1459">
        <f t="shared" si="718"/>
        <v>0</v>
      </c>
      <c r="AE1105" s="964" t="str">
        <f t="shared" si="719"/>
        <v/>
      </c>
      <c r="AF1105" s="964" t="str">
        <f t="shared" si="720"/>
        <v/>
      </c>
      <c r="AG1105" s="964" t="str">
        <f t="shared" si="721"/>
        <v/>
      </c>
      <c r="AH1105" s="964" t="str">
        <f t="shared" si="722"/>
        <v/>
      </c>
      <c r="AI1105" s="964" t="str">
        <f t="shared" si="723"/>
        <v/>
      </c>
      <c r="AJ1105" s="964"/>
      <c r="AK1105" s="964"/>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s="1396"/>
      <c r="CB1105" s="1396"/>
      <c r="CC1105"/>
      <c r="CD1105"/>
      <c r="CE1105"/>
    </row>
    <row r="1106" spans="1:83" ht="13.15" customHeight="1" outlineLevel="2" x14ac:dyDescent="0.2">
      <c r="A1106"/>
      <c r="B1106" s="1"/>
      <c r="C1106"/>
      <c r="D1106"/>
      <c r="E1106"/>
      <c r="F1106"/>
      <c r="G1106" s="1"/>
      <c r="H1106" s="1"/>
      <c r="I1106"/>
      <c r="J1106"/>
      <c r="K1106"/>
      <c r="L1106"/>
      <c r="M1106"/>
      <c r="N1106"/>
      <c r="O1106"/>
      <c r="P1106"/>
      <c r="Q1106"/>
      <c r="R1106" s="558" t="s">
        <v>3977</v>
      </c>
      <c r="S1106" s="83"/>
      <c r="T1106" s="56"/>
      <c r="U1106" s="955"/>
      <c r="V1106" s="43" t="str">
        <f t="shared" si="724"/>
        <v>I</v>
      </c>
      <c r="W1106" s="10"/>
      <c r="X1106" s="45" t="s">
        <v>769</v>
      </c>
      <c r="Y1106" s="10"/>
      <c r="Z1106" s="46" t="str">
        <f t="shared" si="725"/>
        <v>N</v>
      </c>
      <c r="AA1106" s="123"/>
      <c r="AB1106" s="1459">
        <f t="shared" si="716"/>
        <v>0</v>
      </c>
      <c r="AC1106" s="1460" t="str">
        <f t="shared" si="717"/>
        <v>-</v>
      </c>
      <c r="AD1106" s="1459">
        <f t="shared" si="718"/>
        <v>0</v>
      </c>
      <c r="AE1106" s="964" t="str">
        <f t="shared" si="719"/>
        <v/>
      </c>
      <c r="AF1106" s="964" t="str">
        <f t="shared" si="720"/>
        <v/>
      </c>
      <c r="AG1106" s="964" t="str">
        <f t="shared" si="721"/>
        <v/>
      </c>
      <c r="AH1106" s="964" t="str">
        <f t="shared" si="722"/>
        <v/>
      </c>
      <c r="AI1106" s="964" t="str">
        <f t="shared" si="723"/>
        <v/>
      </c>
      <c r="AJ1106" s="964"/>
      <c r="AK1106" s="964"/>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s="1396"/>
      <c r="CB1106" s="1396"/>
      <c r="CC1106"/>
      <c r="CD1106"/>
      <c r="CE1106"/>
    </row>
    <row r="1107" spans="1:83" ht="13.15" customHeight="1" outlineLevel="2" x14ac:dyDescent="0.2">
      <c r="A1107"/>
      <c r="B1107" s="1"/>
      <c r="C1107"/>
      <c r="D1107"/>
      <c r="E1107"/>
      <c r="F1107"/>
      <c r="G1107" s="1"/>
      <c r="H1107" s="1"/>
      <c r="I1107"/>
      <c r="J1107"/>
      <c r="K1107"/>
      <c r="L1107"/>
      <c r="M1107"/>
      <c r="N1107"/>
      <c r="O1107"/>
      <c r="P1107"/>
      <c r="Q1107"/>
      <c r="R1107" s="558" t="s">
        <v>3977</v>
      </c>
      <c r="S1107" s="83"/>
      <c r="T1107" s="56"/>
      <c r="U1107" s="955"/>
      <c r="V1107" s="43" t="str">
        <f t="shared" si="724"/>
        <v>K</v>
      </c>
      <c r="W1107" s="10"/>
      <c r="X1107" s="45" t="s">
        <v>769</v>
      </c>
      <c r="Y1107" s="10"/>
      <c r="Z1107" s="46" t="str">
        <f t="shared" si="725"/>
        <v>P</v>
      </c>
      <c r="AA1107" s="123"/>
      <c r="AB1107" s="1459">
        <f t="shared" si="716"/>
        <v>0</v>
      </c>
      <c r="AC1107" s="1460" t="str">
        <f t="shared" si="717"/>
        <v>-</v>
      </c>
      <c r="AD1107" s="1459">
        <f t="shared" si="718"/>
        <v>0</v>
      </c>
      <c r="AE1107" s="964" t="str">
        <f t="shared" si="719"/>
        <v/>
      </c>
      <c r="AF1107" s="964" t="str">
        <f t="shared" si="720"/>
        <v/>
      </c>
      <c r="AG1107" s="964" t="str">
        <f t="shared" si="721"/>
        <v/>
      </c>
      <c r="AH1107" s="964" t="str">
        <f t="shared" si="722"/>
        <v/>
      </c>
      <c r="AI1107" s="964" t="str">
        <f t="shared" si="723"/>
        <v/>
      </c>
      <c r="AJ1107" s="964"/>
      <c r="AK1107" s="964"/>
      <c r="AL1107"/>
      <c r="AM1107"/>
      <c r="AN1107"/>
      <c r="AO1107"/>
      <c r="AP1107"/>
      <c r="AQ1107"/>
      <c r="AR1107"/>
      <c r="AS1107"/>
      <c r="AT1107"/>
      <c r="AU1107"/>
      <c r="AV1107"/>
      <c r="AW1107"/>
      <c r="AX1107" s="9"/>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s="1396"/>
      <c r="CB1107" s="1396"/>
      <c r="CC1107"/>
      <c r="CD1107"/>
      <c r="CE1107"/>
    </row>
    <row r="1108" spans="1:83" ht="13.9" customHeight="1" outlineLevel="2" thickBot="1" x14ac:dyDescent="0.25">
      <c r="A1108"/>
      <c r="B1108" s="1"/>
      <c r="C1108"/>
      <c r="D1108"/>
      <c r="E1108"/>
      <c r="F1108"/>
      <c r="G1108" s="1"/>
      <c r="H1108" s="1"/>
      <c r="I1108"/>
      <c r="J1108"/>
      <c r="K1108"/>
      <c r="L1108"/>
      <c r="M1108"/>
      <c r="N1108"/>
      <c r="O1108"/>
      <c r="P1108"/>
      <c r="Q1108"/>
      <c r="R1108" s="558" t="s">
        <v>3977</v>
      </c>
      <c r="S1108" s="956"/>
      <c r="T1108" s="58"/>
      <c r="U1108" s="957"/>
      <c r="V1108" s="958" t="str">
        <f>V1098</f>
        <v>M</v>
      </c>
      <c r="W1108" s="10"/>
      <c r="X1108" s="45" t="s">
        <v>769</v>
      </c>
      <c r="Y1108" s="10"/>
      <c r="Z1108" s="959" t="str">
        <f>V1097</f>
        <v>O</v>
      </c>
      <c r="AA1108" s="123"/>
      <c r="AB1108" s="1459">
        <f t="shared" si="716"/>
        <v>0</v>
      </c>
      <c r="AC1108" s="1460" t="str">
        <f t="shared" si="717"/>
        <v>-</v>
      </c>
      <c r="AD1108" s="1459">
        <f t="shared" si="718"/>
        <v>0</v>
      </c>
      <c r="AE1108" s="964" t="str">
        <f t="shared" si="719"/>
        <v/>
      </c>
      <c r="AF1108" s="964" t="str">
        <f t="shared" si="720"/>
        <v/>
      </c>
      <c r="AG1108" s="964" t="str">
        <f t="shared" si="721"/>
        <v/>
      </c>
      <c r="AH1108" s="964" t="str">
        <f t="shared" si="722"/>
        <v/>
      </c>
      <c r="AI1108" s="964" t="str">
        <f t="shared" si="723"/>
        <v/>
      </c>
      <c r="AJ1108" s="964"/>
      <c r="AK1108" s="964"/>
      <c r="AL1108"/>
      <c r="AM1108"/>
      <c r="AN1108"/>
      <c r="AO1108"/>
      <c r="AP1108"/>
      <c r="AQ1108"/>
      <c r="AR1108"/>
      <c r="AS1108"/>
      <c r="AT1108"/>
      <c r="AU1108"/>
      <c r="AV1108"/>
      <c r="AW1108" s="9"/>
      <c r="AX1108" s="9"/>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s="1396"/>
      <c r="CB1108" s="1396"/>
      <c r="CC1108"/>
      <c r="CD1108"/>
      <c r="CE1108"/>
    </row>
    <row r="1109" spans="1:83" ht="13.5" thickBot="1" x14ac:dyDescent="0.25">
      <c r="A1109"/>
      <c r="B1109" s="1"/>
      <c r="C1109"/>
      <c r="D1109"/>
      <c r="E1109"/>
      <c r="F1109"/>
      <c r="G1109" s="1"/>
      <c r="H1109" s="1"/>
      <c r="I1109"/>
      <c r="J1109"/>
      <c r="K1109"/>
      <c r="L1109"/>
      <c r="M1109"/>
      <c r="N1109"/>
      <c r="O1109"/>
      <c r="P1109"/>
      <c r="Q1109"/>
      <c r="S1109"/>
      <c r="T1109"/>
      <c r="U1109"/>
      <c r="V1109"/>
      <c r="W1109" s="1"/>
      <c r="X1109" s="1"/>
      <c r="Y1109" s="1"/>
      <c r="Z1109"/>
      <c r="AB1109" s="964"/>
      <c r="AC1109" s="964"/>
      <c r="AD1109" s="969"/>
      <c r="AE1109" s="969"/>
      <c r="AF1109" s="964"/>
      <c r="AG1109" s="970"/>
      <c r="AH1109" s="964"/>
      <c r="AI1109" s="969"/>
      <c r="AJ1109" s="964"/>
      <c r="AK1109" s="963"/>
      <c r="AL1109" s="16"/>
      <c r="AM1109" s="16"/>
      <c r="AN1109" s="16"/>
      <c r="AO1109" s="16"/>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s="1396"/>
      <c r="CB1109" s="1396"/>
      <c r="CC1109"/>
      <c r="CD1109"/>
      <c r="CE1109"/>
    </row>
    <row r="1110" spans="1:83" ht="13.5" thickBot="1" x14ac:dyDescent="0.25">
      <c r="A1110"/>
      <c r="B1110" s="282" t="str">
        <f>N_Group_17</f>
        <v>Poule de 17</v>
      </c>
      <c r="C1110" s="283"/>
      <c r="D1110" s="283"/>
      <c r="E1110" s="283"/>
      <c r="F1110" s="283"/>
      <c r="G1110" s="283"/>
      <c r="H1110" s="283"/>
      <c r="I1110" s="283"/>
      <c r="J1110" s="283"/>
      <c r="K1110" s="283"/>
      <c r="L1110" s="283"/>
      <c r="M1110" s="283"/>
      <c r="N1110" s="283"/>
      <c r="O1110" s="283"/>
      <c r="P1110" s="283"/>
      <c r="Q1110" s="283"/>
      <c r="R1110" s="357"/>
      <c r="S1110" s="283"/>
      <c r="T1110" s="283"/>
      <c r="U1110" s="283"/>
      <c r="V1110" s="283"/>
      <c r="W1110" s="992"/>
      <c r="X1110" s="992"/>
      <c r="Y1110" s="992"/>
      <c r="Z1110" s="283"/>
      <c r="AA1110" s="283"/>
      <c r="AB1110" s="965"/>
      <c r="AC1110" s="965"/>
      <c r="AD1110" s="965"/>
      <c r="AE1110" s="966"/>
      <c r="AF1110" s="966"/>
      <c r="AG1110" s="966"/>
      <c r="AH1110" s="966"/>
      <c r="AI1110" s="966"/>
      <c r="AJ1110" s="966"/>
      <c r="AK1110" s="965"/>
      <c r="AL1110" s="283"/>
      <c r="AM1110" s="282" t="str">
        <f>B1110</f>
        <v>Poule de 17</v>
      </c>
      <c r="AN1110" s="283"/>
      <c r="AO1110" s="283"/>
      <c r="AP1110" s="283"/>
      <c r="AQ1110" s="283"/>
      <c r="AR1110" s="283"/>
      <c r="AS1110" s="283"/>
      <c r="AT1110" s="283"/>
      <c r="AU1110" s="283"/>
      <c r="AV1110" s="283"/>
      <c r="AW1110" s="283"/>
      <c r="AX1110" s="283"/>
      <c r="AY1110" s="283"/>
      <c r="AZ1110" s="283"/>
      <c r="BA1110" s="283"/>
      <c r="BB1110" s="283"/>
      <c r="BC1110" s="283"/>
      <c r="BD1110" s="283"/>
      <c r="BE1110" s="283"/>
      <c r="BF1110" s="283"/>
      <c r="BG1110" s="283"/>
      <c r="BH1110" s="283"/>
      <c r="BI1110" s="283"/>
      <c r="BJ1110" s="283"/>
      <c r="BK1110" s="283"/>
      <c r="BL1110" s="283"/>
      <c r="BM1110" s="283"/>
      <c r="BN1110" s="283"/>
      <c r="BO1110" s="283"/>
      <c r="BP1110" s="283"/>
      <c r="BQ1110" s="283"/>
      <c r="BR1110" s="283"/>
      <c r="BS1110" s="283"/>
      <c r="BT1110" s="283"/>
      <c r="BU1110" s="283"/>
      <c r="BV1110" s="283"/>
      <c r="BW1110" s="283"/>
      <c r="BX1110" s="283"/>
      <c r="BY1110" s="283"/>
      <c r="BZ1110"/>
      <c r="CA1110" s="1396"/>
      <c r="CB1110" s="1396"/>
      <c r="CC1110" s="284"/>
      <c r="CD1110"/>
      <c r="CE1110"/>
    </row>
    <row r="1111" spans="1:83" ht="13.5" outlineLevel="1" thickBot="1" x14ac:dyDescent="0.25">
      <c r="A1111"/>
      <c r="B1111" s="1"/>
      <c r="C1111"/>
      <c r="D1111"/>
      <c r="E1111"/>
      <c r="F1111"/>
      <c r="G1111" s="1"/>
      <c r="H1111" s="1"/>
      <c r="I1111"/>
      <c r="J1111"/>
      <c r="K1111"/>
      <c r="L1111"/>
      <c r="M1111"/>
      <c r="N1111"/>
      <c r="O1111"/>
      <c r="P1111"/>
      <c r="Q1111"/>
      <c r="S1111"/>
      <c r="T1111"/>
      <c r="U1111"/>
      <c r="V1111"/>
      <c r="W1111" s="1"/>
      <c r="X1111" s="1"/>
      <c r="Y1111" s="1"/>
      <c r="Z1111"/>
      <c r="AB1111" s="964"/>
      <c r="AC1111" s="964"/>
      <c r="AD1111" s="969"/>
      <c r="AE1111" s="969"/>
      <c r="AF1111" s="964"/>
      <c r="AG1111" s="970"/>
      <c r="AH1111" s="964"/>
      <c r="AI1111" s="969"/>
      <c r="AJ1111" s="964"/>
      <c r="AK1111" s="963"/>
      <c r="AL1111" s="16"/>
      <c r="AM1111" s="16"/>
      <c r="AN1111" s="16"/>
      <c r="AO1111" s="16"/>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s="1396"/>
      <c r="CB1111" s="1396"/>
      <c r="CC1111"/>
      <c r="CD1111"/>
      <c r="CE1111"/>
    </row>
    <row r="1112" spans="1:83" ht="13.5" outlineLevel="1" thickBot="1" x14ac:dyDescent="0.25">
      <c r="A1112"/>
      <c r="B1112" s="18" t="str">
        <f>N_Tirage</f>
        <v>Tirage</v>
      </c>
      <c r="C1112" s="971" t="s">
        <v>787</v>
      </c>
      <c r="D1112" s="972" t="s">
        <v>831</v>
      </c>
      <c r="E1112" s="972" t="s">
        <v>832</v>
      </c>
      <c r="F1112" s="973" t="s">
        <v>833</v>
      </c>
      <c r="G1112" s="22" t="str">
        <f>N_Joueurs</f>
        <v>Joueurs</v>
      </c>
      <c r="H1112" s="3" t="str">
        <f>N_RankPoints</f>
        <v>Pt. Clas.</v>
      </c>
      <c r="I1112" s="22" t="str">
        <f>N_Diff_Part</f>
        <v>Diff-Part</v>
      </c>
      <c r="J1112" s="983" t="s">
        <v>788</v>
      </c>
      <c r="K1112" s="984" t="s">
        <v>789</v>
      </c>
      <c r="L1112" s="972" t="s">
        <v>790</v>
      </c>
      <c r="M1112" s="972" t="s">
        <v>791</v>
      </c>
      <c r="N1112" s="972" t="s">
        <v>792</v>
      </c>
      <c r="O1112" s="972" t="s">
        <v>793</v>
      </c>
      <c r="P1112" s="972" t="s">
        <v>794</v>
      </c>
      <c r="Q1112" s="973" t="s">
        <v>781</v>
      </c>
      <c r="R1112"/>
      <c r="S1112"/>
      <c r="T1112"/>
      <c r="U1112"/>
      <c r="V1112"/>
      <c r="W1112" s="1"/>
      <c r="X1112" s="1"/>
      <c r="Y1112" s="1"/>
      <c r="Z1112"/>
      <c r="AB1112" s="964"/>
      <c r="AC1112" s="964"/>
      <c r="AD1112" s="964"/>
      <c r="AE1112" s="964" t="str">
        <f>N_G</f>
        <v>G</v>
      </c>
      <c r="AF1112" s="964" t="str">
        <f>N_N</f>
        <v>N</v>
      </c>
      <c r="AG1112" s="964" t="str">
        <f>N_N</f>
        <v>N</v>
      </c>
      <c r="AH1112" s="964" t="str">
        <f>N_P</f>
        <v>P</v>
      </c>
      <c r="AI1112" s="964" t="s">
        <v>1560</v>
      </c>
      <c r="AJ1112" s="964" t="s">
        <v>3714</v>
      </c>
      <c r="AK1112" s="964" t="str">
        <f>IF(COUNTA(W1132:W1299)=0,"","OK")</f>
        <v/>
      </c>
      <c r="AL1112"/>
      <c r="AM1112" s="16"/>
      <c r="AN1112" s="24" t="str">
        <f>N_Cla.</f>
        <v>Cla.</v>
      </c>
      <c r="AO1112" s="4" t="str">
        <f>N_Joueurs</f>
        <v>Joueurs</v>
      </c>
      <c r="AP1112" s="25" t="str">
        <f>N_Pts</f>
        <v>Pts</v>
      </c>
      <c r="AQ1112" s="25" t="str">
        <f>N_J</f>
        <v>J</v>
      </c>
      <c r="AR1112" s="26" t="str">
        <f>N_G</f>
        <v>G</v>
      </c>
      <c r="AS1112" s="26" t="str">
        <f>N_N</f>
        <v>N</v>
      </c>
      <c r="AT1112" s="26" t="str">
        <f>N_P</f>
        <v>P</v>
      </c>
      <c r="AU1112" s="26" t="str">
        <f>N_BP</f>
        <v>BP</v>
      </c>
      <c r="AV1112" s="26" t="str">
        <f>N_BC</f>
        <v>BC</v>
      </c>
      <c r="AW1112" s="5" t="str">
        <f>N_Diff.</f>
        <v>Diff.</v>
      </c>
      <c r="AX1112"/>
      <c r="AY1112"/>
      <c r="AZ1112" s="1"/>
      <c r="BA1112" s="1"/>
      <c r="BB1112"/>
      <c r="BC1112" s="6"/>
      <c r="BD1112"/>
      <c r="BE1112" s="1"/>
      <c r="BF1112"/>
      <c r="BG1112" s="16"/>
      <c r="BH1112"/>
      <c r="BI1112"/>
      <c r="BJ1112"/>
      <c r="BK1112"/>
      <c r="BL1112"/>
      <c r="BM1112"/>
      <c r="BN1112"/>
      <c r="BO1112"/>
      <c r="BP1112"/>
      <c r="BQ1112"/>
      <c r="BR1112"/>
      <c r="BS1112"/>
      <c r="BT1112"/>
      <c r="BU1112"/>
      <c r="BV1112"/>
      <c r="BW1112"/>
      <c r="BX1112"/>
      <c r="BY1112"/>
      <c r="BZ1112"/>
      <c r="CA1112" s="1396"/>
      <c r="CB1112" s="1396"/>
      <c r="CC1112"/>
      <c r="CD1112"/>
      <c r="CE1112"/>
    </row>
    <row r="1113" spans="1:83" outlineLevel="1" x14ac:dyDescent="0.2">
      <c r="A1113"/>
      <c r="B1113" s="941">
        <v>1</v>
      </c>
      <c r="C1113" s="974" t="str">
        <f>IF(AK1112="","",RANK(F1113,F1113:F1129)*1000+ROW())</f>
        <v/>
      </c>
      <c r="D1113" s="975" t="str">
        <f>IF(L1113="","",CritClassInd1_Points*J1113+CritClassInd1_Matches*L1113+CritClassInd1_Attaque*O1113+CritClassInd1_DiffButs*Q1113)</f>
        <v/>
      </c>
      <c r="E1113" s="975" t="str">
        <f>IF(L1113="","",Nb_Diff_Part(D1113,D1113:D1129,G1113,G1113:G1129,AI1132:AI1299)*CritClassInd_DiffPart+Nb_Goal_Part(D1113,D1113:D1129,G1113,G1113:G1129,V1132:Z1299)*CritClassInd_GoalPart+Nb_Score_Part(D1113,D1113:D1129,G1113,G1113:G1129,V1132:Z1299)*CritClassInd_ScorePart)</f>
        <v/>
      </c>
      <c r="F1113" s="976" t="str">
        <f>IF(L1113="","",D1113+E1113+CritClassInd2_Points*J1113+CritClassInd2_Matches*L1113+CritClassInd2_Attaque*O1113+CritClassInd2_DiffButs*Q1113+CritClassInd_Ranking*H1113+I1113)</f>
        <v/>
      </c>
      <c r="G1113" s="942" t="s">
        <v>2712</v>
      </c>
      <c r="H1113" s="499">
        <f t="shared" ref="H1113:H1129" si="726">GMFTRANKINGPOINTS(G1113,Particular_Category)</f>
        <v>0</v>
      </c>
      <c r="I1113" s="942"/>
      <c r="J1113" s="974" t="str">
        <f>IF(AK1112="","",(L1113*Points_Victoire)+M1113*Points_Null)</f>
        <v/>
      </c>
      <c r="K1113" s="985" t="str">
        <f t="shared" ref="K1113:K1129" si="727">IF(L1113="","",SUM(L1113:N1113))</f>
        <v/>
      </c>
      <c r="L1113" s="986" t="str">
        <f>IF(AK1112="","",COUNTIF(AE1132:AE1299,G1113))</f>
        <v/>
      </c>
      <c r="M1113" s="986" t="str">
        <f>IF(AK1112="","",COUNTIF(AF1132:AG1299,G1113))</f>
        <v/>
      </c>
      <c r="N1113" s="986" t="str">
        <f>IF(AK1112="","",COUNTIF(AH1132:AH1299,G1113))</f>
        <v/>
      </c>
      <c r="O1113" s="986" t="str">
        <f>IF(AK1112="","",SUMIF(V1132:V1299,G1113,AB1132:AB1299)+SUMIF(Z1132:Z1299,G1113,AD1132:AD1299))</f>
        <v/>
      </c>
      <c r="P1113" s="986" t="str">
        <f>IF(AK1112="","",SUMIF(V1132:V1299,G1113,AD1132:AD1299)+SUMIF(Z1132:Z1299,G1113,AB1132:AB1299))</f>
        <v/>
      </c>
      <c r="Q1113" s="987" t="str">
        <f>IF(AK1112="","",O1113-P1113)</f>
        <v/>
      </c>
      <c r="R1113"/>
      <c r="S1113"/>
      <c r="T1113"/>
      <c r="U1113"/>
      <c r="V1113"/>
      <c r="W1113" s="1"/>
      <c r="X1113" s="1"/>
      <c r="Y1113" s="1"/>
      <c r="Z1113"/>
      <c r="AB1113" s="964"/>
      <c r="AC1113" s="964"/>
      <c r="AD1113" s="964"/>
      <c r="AE1113" s="964"/>
      <c r="AF1113" s="964"/>
      <c r="AG1113" s="964"/>
      <c r="AH1113" s="964"/>
      <c r="AI1113" s="964"/>
      <c r="AJ1113" s="964"/>
      <c r="AK1113" s="968" t="str">
        <f>IF(AK1112="","",SMALL(C1113:C1129,1))</f>
        <v/>
      </c>
      <c r="AL1113"/>
      <c r="AM1113" s="16"/>
      <c r="AN1113" s="943" t="str">
        <f>IF(AK1112="","",INT(AK1113/1000))</f>
        <v/>
      </c>
      <c r="AO1113" s="33" t="str">
        <f>IF(AK1112="","",VLOOKUP(AK1113,C1113:Q1129,5,FALSE))</f>
        <v/>
      </c>
      <c r="AP1113" s="33" t="str">
        <f>VLOOKUP(AK1113,C1113:Q1129,8,FALSE)</f>
        <v/>
      </c>
      <c r="AQ1113" s="33" t="str">
        <f>VLOOKUP(AK1113,C1113:Q1129,9,FALSE)</f>
        <v/>
      </c>
      <c r="AR1113" s="33" t="str">
        <f>VLOOKUP(AK1113,C1113:Q1129,10,FALSE)</f>
        <v/>
      </c>
      <c r="AS1113" s="33" t="str">
        <f>VLOOKUP(AK1113,C1113:Q1129,11,FALSE)</f>
        <v/>
      </c>
      <c r="AT1113" s="33" t="str">
        <f>VLOOKUP(AK1113,C1113:Q1129,12,FALSE)</f>
        <v/>
      </c>
      <c r="AU1113" s="33" t="str">
        <f>VLOOKUP(AK1113,C1113:Q1129,13,FALSE)</f>
        <v/>
      </c>
      <c r="AV1113" s="33" t="str">
        <f>VLOOKUP(AK1113,C1113:Q1129,14,FALSE)</f>
        <v/>
      </c>
      <c r="AW1113" s="944" t="str">
        <f>VLOOKUP(AK1113,C1113:Q1129,15,FALSE)</f>
        <v/>
      </c>
      <c r="AX1113"/>
      <c r="AY1113"/>
      <c r="AZ1113" s="1"/>
      <c r="BA1113" s="1"/>
      <c r="BB1113"/>
      <c r="BC1113" s="6"/>
      <c r="BD1113"/>
      <c r="BE1113" s="1"/>
      <c r="BF1113"/>
      <c r="BG1113" s="16"/>
      <c r="BH1113"/>
      <c r="BI1113"/>
      <c r="BJ1113"/>
      <c r="BK1113"/>
      <c r="BL1113"/>
      <c r="BM1113"/>
      <c r="BN1113"/>
      <c r="BO1113"/>
      <c r="BP1113"/>
      <c r="BQ1113"/>
      <c r="BR1113"/>
      <c r="BS1113"/>
      <c r="BT1113"/>
      <c r="BU1113"/>
      <c r="BV1113"/>
      <c r="BW1113"/>
      <c r="BX1113"/>
      <c r="BY1113"/>
      <c r="BZ1113"/>
      <c r="CA1113" s="1396"/>
      <c r="CB1113" s="1396"/>
      <c r="CC1113"/>
      <c r="CD1113"/>
      <c r="CE1113"/>
    </row>
    <row r="1114" spans="1:83" outlineLevel="1" x14ac:dyDescent="0.2">
      <c r="A1114"/>
      <c r="B1114" s="945">
        <v>2</v>
      </c>
      <c r="C1114" s="977" t="str">
        <f>IF(AK1112="","",RANK(F1114,F1113:F1129)*1000+ROW())</f>
        <v/>
      </c>
      <c r="D1114" s="978" t="str">
        <f t="shared" ref="D1114:D1129" si="728">IF(L1114="","",CritClassInd1_Points*J1114+CritClassInd1_Matches*L1114+CritClassInd1_Attaque*O1114+CritClassInd1_DiffButs*Q1114)</f>
        <v/>
      </c>
      <c r="E1114" s="978" t="str">
        <f>IF(L1114="","",Nb_Diff_Part(D1114,D1113:D1129,G1114,G1113:G1129,AI1132:AI1299)*CritClassInd_DiffPart+Nb_Goal_Part(D1114,D1113:D1129,G1114,G1113:G1129,V1132:Z1299)*CritClassInd_GoalPart+Nb_Score_Part(D1114,D1113:D1129,G1114,G1113:G1129,V1132:Z1299)*CritClassInd_ScorePart)</f>
        <v/>
      </c>
      <c r="F1114" s="979" t="str">
        <f t="shared" ref="F1114:F1129" si="729">IF(L1114="","",D1114+E1114+CritClassInd2_Points*J1114+CritClassInd2_Matches*L1114+CritClassInd2_Attaque*O1114+CritClassInd2_DiffButs*Q1114+CritClassInd_Ranking*H1114+I1114)</f>
        <v/>
      </c>
      <c r="G1114" s="39" t="s">
        <v>3911</v>
      </c>
      <c r="H1114" s="501">
        <f t="shared" si="726"/>
        <v>0</v>
      </c>
      <c r="I1114" s="39"/>
      <c r="J1114" s="977" t="str">
        <f>IF(AK1112="","",(L1114*Points_Victoire)+M1114*Points_Null)</f>
        <v/>
      </c>
      <c r="K1114" s="988" t="str">
        <f t="shared" si="727"/>
        <v/>
      </c>
      <c r="L1114" s="988" t="str">
        <f>IF(AK1112="","",COUNTIF(AE1132:AE1299,G1114))</f>
        <v/>
      </c>
      <c r="M1114" s="988" t="str">
        <f>IF(AK1112="","",COUNTIF(AF1132:AG1299,G1114))</f>
        <v/>
      </c>
      <c r="N1114" s="988" t="str">
        <f>IF(AK1112="","",COUNTIF(AH1132:AH1299,G1114))</f>
        <v/>
      </c>
      <c r="O1114" s="988" t="str">
        <f>IF(AK1112="","",SUMIF(V1132:V1299,G1114,AB1132:AB1299)+SUMIF(Z1132:Z1299,G1114,AD1132:AD1299))</f>
        <v/>
      </c>
      <c r="P1114" s="988" t="str">
        <f>IF(AK1112="","",SUMIF(V1132:V1299,G1114,AD1132:AD1299)+SUMIF(Z1132:Z1299,G1114,AB1132:AB1299))</f>
        <v/>
      </c>
      <c r="Q1114" s="989" t="str">
        <f>IF(AK1112="","",O1114-P1114)</f>
        <v/>
      </c>
      <c r="R1114"/>
      <c r="S1114"/>
      <c r="T1114"/>
      <c r="U1114"/>
      <c r="V1114"/>
      <c r="W1114" s="1"/>
      <c r="X1114" s="1"/>
      <c r="Y1114" s="1"/>
      <c r="Z1114"/>
      <c r="AB1114" s="964"/>
      <c r="AC1114" s="964"/>
      <c r="AD1114" s="964"/>
      <c r="AE1114" s="964"/>
      <c r="AF1114" s="964"/>
      <c r="AG1114" s="964"/>
      <c r="AH1114" s="964"/>
      <c r="AI1114" s="964"/>
      <c r="AJ1114" s="964"/>
      <c r="AK1114" s="968" t="str">
        <f>IF(AK1112="","",SMALL(C1113:C1129,2))</f>
        <v/>
      </c>
      <c r="AL1114"/>
      <c r="AM1114" s="16"/>
      <c r="AN1114" s="946" t="str">
        <f>IF(AK1112="","",INT(AK1114/1000))</f>
        <v/>
      </c>
      <c r="AO1114" s="42" t="str">
        <f>IF(AK1112="","",VLOOKUP(AK1114,C1113:Q1129,5,FALSE))</f>
        <v/>
      </c>
      <c r="AP1114" s="42" t="str">
        <f>VLOOKUP(AK1114,C1113:Q1129,8,FALSE)</f>
        <v/>
      </c>
      <c r="AQ1114" s="42" t="str">
        <f>VLOOKUP(AK1114,C1113:Q1129,9,FALSE)</f>
        <v/>
      </c>
      <c r="AR1114" s="42" t="str">
        <f>VLOOKUP(AK1114,C1113:Q1129,10,FALSE)</f>
        <v/>
      </c>
      <c r="AS1114" s="42" t="str">
        <f>VLOOKUP(AK1114,C1113:Q1129,11,FALSE)</f>
        <v/>
      </c>
      <c r="AT1114" s="42" t="str">
        <f>VLOOKUP(AK1114,C1113:Q1129,12,FALSE)</f>
        <v/>
      </c>
      <c r="AU1114" s="42" t="str">
        <f>VLOOKUP(AK1114,C1113:Q1129,13,FALSE)</f>
        <v/>
      </c>
      <c r="AV1114" s="42" t="str">
        <f>VLOOKUP(AK1114,C1113:Q1129,14,FALSE)</f>
        <v/>
      </c>
      <c r="AW1114" s="947" t="str">
        <f>VLOOKUP(AK1114,C1113:Q1129,15,FALSE)</f>
        <v/>
      </c>
      <c r="AX1114"/>
      <c r="AY1114"/>
      <c r="AZ1114" s="1"/>
      <c r="BA1114" s="1"/>
      <c r="BB1114"/>
      <c r="BC1114" s="6"/>
      <c r="BD1114"/>
      <c r="BE1114" s="1"/>
      <c r="BF1114"/>
      <c r="BG1114" s="16"/>
      <c r="BH1114"/>
      <c r="BI1114"/>
      <c r="BJ1114"/>
      <c r="BK1114"/>
      <c r="BL1114"/>
      <c r="BM1114"/>
      <c r="BN1114"/>
      <c r="BO1114"/>
      <c r="BP1114"/>
      <c r="BQ1114"/>
      <c r="BR1114"/>
      <c r="BS1114"/>
      <c r="BT1114"/>
      <c r="BU1114"/>
      <c r="BV1114"/>
      <c r="BW1114"/>
      <c r="BX1114"/>
      <c r="BY1114"/>
      <c r="BZ1114"/>
      <c r="CA1114" s="1396"/>
      <c r="CB1114" s="1396"/>
      <c r="CC1114"/>
      <c r="CD1114"/>
      <c r="CE1114"/>
    </row>
    <row r="1115" spans="1:83" outlineLevel="1" x14ac:dyDescent="0.2">
      <c r="A1115"/>
      <c r="B1115" s="945">
        <v>3</v>
      </c>
      <c r="C1115" s="977" t="str">
        <f>IF(AK1112="","",RANK(F1115,F1113:F1129)*1000+ROW())</f>
        <v/>
      </c>
      <c r="D1115" s="978" t="str">
        <f t="shared" si="728"/>
        <v/>
      </c>
      <c r="E1115" s="978" t="str">
        <f>IF(L1115="","",Nb_Diff_Part(D1115,D1113:D1129,G1115,G1113:G1129,AI1132:AI1299)*CritClassInd_DiffPart+Nb_Goal_Part(D1115,D1113:D1129,G1115,G1113:G1129,V1132:Z1299)*CritClassInd_GoalPart+Nb_Score_Part(D1115,D1113:D1129,G1115,G1113:G1129,V1132:Z1299)*CritClassInd_ScorePart)</f>
        <v/>
      </c>
      <c r="F1115" s="979" t="str">
        <f t="shared" si="729"/>
        <v/>
      </c>
      <c r="G1115" s="39" t="s">
        <v>3912</v>
      </c>
      <c r="H1115" s="501">
        <f t="shared" si="726"/>
        <v>0</v>
      </c>
      <c r="I1115" s="39"/>
      <c r="J1115" s="977" t="str">
        <f>IF(AK1112="","",(L1115*Points_Victoire)+M1115*Points_Null)</f>
        <v/>
      </c>
      <c r="K1115" s="988" t="str">
        <f t="shared" si="727"/>
        <v/>
      </c>
      <c r="L1115" s="988" t="str">
        <f>IF(AK1112="","",COUNTIF(AE1132:AE1299,G1115))</f>
        <v/>
      </c>
      <c r="M1115" s="988" t="str">
        <f>IF(AK1112="","",COUNTIF(AF1132:AG1299,G1115))</f>
        <v/>
      </c>
      <c r="N1115" s="988" t="str">
        <f>IF(AK1112="","",COUNTIF(AH1132:AH1299,G1115))</f>
        <v/>
      </c>
      <c r="O1115" s="988" t="str">
        <f>IF(AK1112="","",SUMIF(V1132:V1299,G1115,AB1132:AB1299)+SUMIF(Z1132:Z1299,G1115,AD1132:AD1299))</f>
        <v/>
      </c>
      <c r="P1115" s="988" t="str">
        <f>IF(AK1112="","",SUMIF(V1132:V1299,G1115,AD1132:AD1299)+SUMIF(Z1132:Z1299,G1115,AB1132:AB1299))</f>
        <v/>
      </c>
      <c r="Q1115" s="989" t="str">
        <f>IF(AK1112="","",O1115-P1115)</f>
        <v/>
      </c>
      <c r="R1115"/>
      <c r="S1115"/>
      <c r="T1115"/>
      <c r="U1115"/>
      <c r="V1115"/>
      <c r="W1115" s="1"/>
      <c r="X1115" s="1"/>
      <c r="Y1115" s="1"/>
      <c r="Z1115"/>
      <c r="AB1115" s="964"/>
      <c r="AC1115" s="964"/>
      <c r="AD1115" s="964"/>
      <c r="AE1115" s="964"/>
      <c r="AF1115" s="964"/>
      <c r="AG1115" s="964"/>
      <c r="AH1115" s="964"/>
      <c r="AI1115" s="964"/>
      <c r="AJ1115" s="964"/>
      <c r="AK1115" s="968" t="str">
        <f>IF(AK1112="","",SMALL(C1113:C1129,3))</f>
        <v/>
      </c>
      <c r="AL1115"/>
      <c r="AM1115" s="16"/>
      <c r="AN1115" s="946" t="str">
        <f>IF(AK1112="","",INT(AK1115/1000))</f>
        <v/>
      </c>
      <c r="AO1115" s="42" t="str">
        <f>IF(AK1112="","",VLOOKUP(AK1115,C1113:Q1129,5,FALSE))</f>
        <v/>
      </c>
      <c r="AP1115" s="42" t="str">
        <f>VLOOKUP(AK1115,C1113:Q1129,8,FALSE)</f>
        <v/>
      </c>
      <c r="AQ1115" s="42" t="str">
        <f>VLOOKUP(AK1115,C1113:Q1129,9,FALSE)</f>
        <v/>
      </c>
      <c r="AR1115" s="42" t="str">
        <f>VLOOKUP(AK1115,C1113:Q1129,10,FALSE)</f>
        <v/>
      </c>
      <c r="AS1115" s="42" t="str">
        <f>VLOOKUP(AK1115,C1113:Q1129,11,FALSE)</f>
        <v/>
      </c>
      <c r="AT1115" s="42" t="str">
        <f>VLOOKUP(AK1115,C1113:Q1129,12,FALSE)</f>
        <v/>
      </c>
      <c r="AU1115" s="42" t="str">
        <f>VLOOKUP(AK1115,C1113:Q1129,13,FALSE)</f>
        <v/>
      </c>
      <c r="AV1115" s="42" t="str">
        <f>VLOOKUP(AK1115,C1113:Q1129,14,FALSE)</f>
        <v/>
      </c>
      <c r="AW1115" s="947" t="str">
        <f>VLOOKUP(AK1115,C1113:Q1129,15,FALSE)</f>
        <v/>
      </c>
      <c r="AX1115"/>
      <c r="AY1115"/>
      <c r="AZ1115" s="1"/>
      <c r="BA1115" s="1"/>
      <c r="BB1115"/>
      <c r="BC1115" s="6"/>
      <c r="BD1115"/>
      <c r="BE1115" s="1"/>
      <c r="BF1115"/>
      <c r="BG1115" s="16"/>
      <c r="BH1115"/>
      <c r="BI1115"/>
      <c r="BJ1115"/>
      <c r="BK1115"/>
      <c r="BL1115"/>
      <c r="BM1115"/>
      <c r="BN1115"/>
      <c r="BO1115"/>
      <c r="BP1115"/>
      <c r="BQ1115"/>
      <c r="BR1115"/>
      <c r="BS1115"/>
      <c r="BT1115"/>
      <c r="BU1115"/>
      <c r="BV1115"/>
      <c r="BW1115"/>
      <c r="BX1115"/>
      <c r="BY1115"/>
      <c r="BZ1115"/>
      <c r="CA1115" s="1396"/>
      <c r="CB1115" s="1396"/>
      <c r="CC1115"/>
      <c r="CD1115"/>
      <c r="CE1115"/>
    </row>
    <row r="1116" spans="1:83" outlineLevel="1" x14ac:dyDescent="0.2">
      <c r="A1116"/>
      <c r="B1116" s="945">
        <v>4</v>
      </c>
      <c r="C1116" s="977" t="str">
        <f>IF(AK1112="","",RANK(F1116,F1113:F1129)*1000+ROW())</f>
        <v/>
      </c>
      <c r="D1116" s="978" t="str">
        <f t="shared" si="728"/>
        <v/>
      </c>
      <c r="E1116" s="978" t="str">
        <f>IF(L1116="","",Nb_Diff_Part(D1116,D1113:D1129,G1116,G1113:G1129,AI1132:AI1299)*CritClassInd_DiffPart+Nb_Goal_Part(D1116,D1113:D1129,G1116,G1113:G1129,V1132:Z1299)*CritClassInd_GoalPart+Nb_Score_Part(D1116,D1113:D1129,G1116,G1113:G1129,V1132:Z1299)*CritClassInd_ScorePart)</f>
        <v/>
      </c>
      <c r="F1116" s="979" t="str">
        <f t="shared" si="729"/>
        <v/>
      </c>
      <c r="G1116" s="39" t="s">
        <v>2710</v>
      </c>
      <c r="H1116" s="501">
        <f t="shared" si="726"/>
        <v>0</v>
      </c>
      <c r="I1116" s="39"/>
      <c r="J1116" s="977" t="str">
        <f>IF(AK1112="","",(L1116*Points_Victoire)+M1116*Points_Null)</f>
        <v/>
      </c>
      <c r="K1116" s="988" t="str">
        <f t="shared" si="727"/>
        <v/>
      </c>
      <c r="L1116" s="988" t="str">
        <f>IF(AK1112="","",COUNTIF(AE1132:AE1299,G1116))</f>
        <v/>
      </c>
      <c r="M1116" s="988" t="str">
        <f>IF(AK1112="","",COUNTIF(AF1132:AG1299,G1116))</f>
        <v/>
      </c>
      <c r="N1116" s="988" t="str">
        <f>IF(AK1112="","",COUNTIF(AH1132:AH1299,G1116))</f>
        <v/>
      </c>
      <c r="O1116" s="988" t="str">
        <f>IF(AK1112="","",SUMIF(V1132:V1299,G1116,AB1132:AB1299)+SUMIF(Z1132:Z1299,G1116,AD1132:AD1299))</f>
        <v/>
      </c>
      <c r="P1116" s="988" t="str">
        <f>IF(AK1112="","",SUMIF(V1132:V1299,G1116,AD1132:AD1299)+SUMIF(Z1132:Z1299,G1116,AB1132:AB1299))</f>
        <v/>
      </c>
      <c r="Q1116" s="989" t="str">
        <f>IF(AK1112="","",O1116-P1116)</f>
        <v/>
      </c>
      <c r="R1116"/>
      <c r="S1116"/>
      <c r="T1116"/>
      <c r="U1116"/>
      <c r="V1116"/>
      <c r="W1116" s="1"/>
      <c r="X1116" s="1"/>
      <c r="Y1116" s="1"/>
      <c r="Z1116"/>
      <c r="AB1116" s="964"/>
      <c r="AC1116" s="964"/>
      <c r="AD1116" s="964"/>
      <c r="AE1116" s="964"/>
      <c r="AF1116" s="964"/>
      <c r="AG1116" s="964"/>
      <c r="AH1116" s="964"/>
      <c r="AI1116" s="964"/>
      <c r="AJ1116" s="964"/>
      <c r="AK1116" s="968" t="str">
        <f>IF(AK1112="","",SMALL(C1113:C1129,4))</f>
        <v/>
      </c>
      <c r="AL1116"/>
      <c r="AM1116" s="16"/>
      <c r="AN1116" s="946" t="str">
        <f>IF(AK1112="","",INT(AK1116/1000))</f>
        <v/>
      </c>
      <c r="AO1116" s="42" t="str">
        <f>IF(AK1112="","",VLOOKUP(AK1116,C1113:Q1129,5,FALSE))</f>
        <v/>
      </c>
      <c r="AP1116" s="42" t="str">
        <f>VLOOKUP(AK1116,C1113:Q1129,8,FALSE)</f>
        <v/>
      </c>
      <c r="AQ1116" s="42" t="str">
        <f>VLOOKUP(AK1116,C1113:Q1129,9,FALSE)</f>
        <v/>
      </c>
      <c r="AR1116" s="42" t="str">
        <f>VLOOKUP(AK1116,C1113:Q1129,10,FALSE)</f>
        <v/>
      </c>
      <c r="AS1116" s="42" t="str">
        <f>VLOOKUP(AK1116,C1113:Q1129,11,FALSE)</f>
        <v/>
      </c>
      <c r="AT1116" s="42" t="str">
        <f>VLOOKUP(AK1116,C1113:Q1129,12,FALSE)</f>
        <v/>
      </c>
      <c r="AU1116" s="42" t="str">
        <f>VLOOKUP(AK1116,C1113:Q1129,13,FALSE)</f>
        <v/>
      </c>
      <c r="AV1116" s="42" t="str">
        <f>VLOOKUP(AK1116,C1113:Q1129,14,FALSE)</f>
        <v/>
      </c>
      <c r="AW1116" s="947" t="str">
        <f>VLOOKUP(AK1116,C1113:Q1129,15,FALSE)</f>
        <v/>
      </c>
      <c r="AX1116"/>
      <c r="AY1116"/>
      <c r="AZ1116" s="1"/>
      <c r="BA1116" s="1"/>
      <c r="BB1116"/>
      <c r="BC1116" s="6"/>
      <c r="BD1116"/>
      <c r="BE1116" s="1"/>
      <c r="BF1116"/>
      <c r="BG1116" s="16"/>
      <c r="BH1116"/>
      <c r="BI1116"/>
      <c r="BJ1116"/>
      <c r="BK1116"/>
      <c r="BL1116"/>
      <c r="BM1116"/>
      <c r="BN1116"/>
      <c r="BO1116"/>
      <c r="BP1116"/>
      <c r="BQ1116"/>
      <c r="BR1116"/>
      <c r="BS1116"/>
      <c r="BT1116"/>
      <c r="BU1116"/>
      <c r="BV1116"/>
      <c r="BW1116"/>
      <c r="BX1116"/>
      <c r="BY1116"/>
      <c r="BZ1116"/>
      <c r="CA1116" s="1396"/>
      <c r="CB1116" s="1396"/>
      <c r="CC1116"/>
      <c r="CD1116"/>
      <c r="CE1116"/>
    </row>
    <row r="1117" spans="1:83" outlineLevel="1" x14ac:dyDescent="0.2">
      <c r="A1117"/>
      <c r="B1117" s="945">
        <v>5</v>
      </c>
      <c r="C1117" s="977" t="str">
        <f>IF(AK1112="","",RANK(F1117,F1113:F1129)*1000+ROW())</f>
        <v/>
      </c>
      <c r="D1117" s="978" t="str">
        <f t="shared" si="728"/>
        <v/>
      </c>
      <c r="E1117" s="978" t="str">
        <f>IF(L1117="","",Nb_Diff_Part(D1117,D1113:D1129,G1117,G1113:G1129,AI1132:AI1299)*CritClassInd_DiffPart+Nb_Goal_Part(D1117,D1113:D1129,G1117,G1113:G1129,V1132:Z1299)*CritClassInd_GoalPart+Nb_Score_Part(D1117,D1113:D1129,G1117,G1113:G1129,V1132:Z1299)*CritClassInd_ScorePart)</f>
        <v/>
      </c>
      <c r="F1117" s="979" t="str">
        <f t="shared" si="729"/>
        <v/>
      </c>
      <c r="G1117" s="39" t="s">
        <v>3913</v>
      </c>
      <c r="H1117" s="501">
        <f t="shared" si="726"/>
        <v>0</v>
      </c>
      <c r="I1117" s="39"/>
      <c r="J1117" s="977" t="str">
        <f>IF(AK1112="","",(L1117*Points_Victoire)+M1117*Points_Null)</f>
        <v/>
      </c>
      <c r="K1117" s="988" t="str">
        <f t="shared" si="727"/>
        <v/>
      </c>
      <c r="L1117" s="988" t="str">
        <f>IF(AK1112="","",COUNTIF(AE1132:AE1299,G1117))</f>
        <v/>
      </c>
      <c r="M1117" s="988" t="str">
        <f>IF(AK1112="","",COUNTIF(AF1132:AG1299,G1117))</f>
        <v/>
      </c>
      <c r="N1117" s="988" t="str">
        <f>IF(AK1112="","",COUNTIF(AH1132:AH1299,G1117))</f>
        <v/>
      </c>
      <c r="O1117" s="988" t="str">
        <f>IF(AK1112="","",SUMIF(V1132:V1299,G1117,AB1132:AB1299)+SUMIF(Z1132:Z1299,G1117,AD1132:AD1299))</f>
        <v/>
      </c>
      <c r="P1117" s="988" t="str">
        <f>IF(AK1112="","",SUMIF(V1132:V1299,G1117,AD1132:AD1299)+SUMIF(Z1132:Z1299,G1117,AB1132:AB1299))</f>
        <v/>
      </c>
      <c r="Q1117" s="989" t="str">
        <f>IF(AK1112="","",O1117-P1117)</f>
        <v/>
      </c>
      <c r="R1117"/>
      <c r="S1117"/>
      <c r="T1117"/>
      <c r="U1117"/>
      <c r="V1117"/>
      <c r="W1117" s="1"/>
      <c r="X1117" s="1"/>
      <c r="Y1117" s="1"/>
      <c r="Z1117"/>
      <c r="AB1117" s="964"/>
      <c r="AC1117" s="964"/>
      <c r="AD1117" s="964"/>
      <c r="AE1117" s="964"/>
      <c r="AF1117" s="964"/>
      <c r="AG1117" s="964"/>
      <c r="AH1117" s="964"/>
      <c r="AI1117" s="964"/>
      <c r="AJ1117" s="964"/>
      <c r="AK1117" s="968" t="str">
        <f>IF(AK1112="","",SMALL(C1113:C1129,5))</f>
        <v/>
      </c>
      <c r="AL1117"/>
      <c r="AM1117" s="16"/>
      <c r="AN1117" s="946" t="str">
        <f>IF(AK1112="","",INT(AK1117/1000))</f>
        <v/>
      </c>
      <c r="AO1117" s="42" t="str">
        <f>IF(AK1112="","",VLOOKUP(AK1117,C1113:Q1129,5,FALSE))</f>
        <v/>
      </c>
      <c r="AP1117" s="42" t="str">
        <f>VLOOKUP(AK1117,C1113:Q1129,8,FALSE)</f>
        <v/>
      </c>
      <c r="AQ1117" s="42" t="str">
        <f>VLOOKUP(AK1117,C1113:Q1129,9,FALSE)</f>
        <v/>
      </c>
      <c r="AR1117" s="42" t="str">
        <f>VLOOKUP(AK1117,C1113:Q1129,10,FALSE)</f>
        <v/>
      </c>
      <c r="AS1117" s="42" t="str">
        <f>VLOOKUP(AK1117,C1113:Q1129,11,FALSE)</f>
        <v/>
      </c>
      <c r="AT1117" s="42" t="str">
        <f>VLOOKUP(AK1117,C1113:Q1129,12,FALSE)</f>
        <v/>
      </c>
      <c r="AU1117" s="42" t="str">
        <f>VLOOKUP(AK1117,C1113:Q1129,13,FALSE)</f>
        <v/>
      </c>
      <c r="AV1117" s="42" t="str">
        <f>VLOOKUP(AK1117,C1113:Q1129,14,FALSE)</f>
        <v/>
      </c>
      <c r="AW1117" s="947" t="str">
        <f>VLOOKUP(AK1117,C1113:Q1129,15,FALSE)</f>
        <v/>
      </c>
      <c r="AX1117"/>
      <c r="AY1117"/>
      <c r="AZ1117" s="1"/>
      <c r="BA1117" s="1"/>
      <c r="BB1117"/>
      <c r="BC1117" s="6"/>
      <c r="BD1117"/>
      <c r="BE1117" s="1"/>
      <c r="BF1117"/>
      <c r="BG1117" s="16"/>
      <c r="BH1117"/>
      <c r="BI1117"/>
      <c r="BJ1117"/>
      <c r="BK1117"/>
      <c r="BL1117"/>
      <c r="BM1117"/>
      <c r="BN1117"/>
      <c r="BO1117"/>
      <c r="BP1117"/>
      <c r="BQ1117"/>
      <c r="BR1117"/>
      <c r="BS1117"/>
      <c r="BT1117"/>
      <c r="BU1117"/>
      <c r="BV1117"/>
      <c r="BW1117"/>
      <c r="BX1117"/>
      <c r="BY1117"/>
      <c r="BZ1117"/>
      <c r="CA1117" s="1396"/>
      <c r="CB1117" s="1396"/>
      <c r="CC1117"/>
      <c r="CD1117"/>
      <c r="CE1117"/>
    </row>
    <row r="1118" spans="1:83" outlineLevel="1" x14ac:dyDescent="0.2">
      <c r="A1118"/>
      <c r="B1118" s="945">
        <v>6</v>
      </c>
      <c r="C1118" s="977" t="str">
        <f>IF(AK1112="","",RANK(F1118,F1113:F1129)*1000+ROW())</f>
        <v/>
      </c>
      <c r="D1118" s="978" t="str">
        <f t="shared" si="728"/>
        <v/>
      </c>
      <c r="E1118" s="978" t="str">
        <f>IF(L1118="","",Nb_Diff_Part(D1118,D1113:D1129,G1118,G1113:G1129,AI1132:AI1299)*CritClassInd_DiffPart+Nb_Goal_Part(D1118,D1113:D1129,G1118,G1113:G1129,V1132:Z1299)*CritClassInd_GoalPart+Nb_Score_Part(D1118,D1113:D1129,G1118,G1113:G1129,V1132:Z1299)*CritClassInd_ScorePart)</f>
        <v/>
      </c>
      <c r="F1118" s="979" t="str">
        <f t="shared" si="729"/>
        <v/>
      </c>
      <c r="G1118" s="39" t="s">
        <v>2711</v>
      </c>
      <c r="H1118" s="501">
        <f t="shared" si="726"/>
        <v>0</v>
      </c>
      <c r="I1118" s="39"/>
      <c r="J1118" s="977" t="str">
        <f>IF(AK1112="","",(L1118*Points_Victoire)+M1118*Points_Null)</f>
        <v/>
      </c>
      <c r="K1118" s="988" t="str">
        <f t="shared" si="727"/>
        <v/>
      </c>
      <c r="L1118" s="988" t="str">
        <f>IF(AK1112="","",COUNTIF(AE1132:AE1299,G1118))</f>
        <v/>
      </c>
      <c r="M1118" s="988" t="str">
        <f>IF(AK1112="","",COUNTIF(AF1132:AG1299,G1118))</f>
        <v/>
      </c>
      <c r="N1118" s="988" t="str">
        <f>IF(AK1112="","",COUNTIF(AH1132:AH1299,G1118))</f>
        <v/>
      </c>
      <c r="O1118" s="988" t="str">
        <f>IF(AK1112="","",SUMIF(V1132:V1299,G1118,AB1132:AB1299)+SUMIF(Z1132:Z1299,G1118,AD1132:AD1299))</f>
        <v/>
      </c>
      <c r="P1118" s="988" t="str">
        <f>IF(AK1112="","",SUMIF(V1132:V1299,G1118,AD1132:AD1299)+SUMIF(Z1132:Z1299,G1118,AB1132:AB1299))</f>
        <v/>
      </c>
      <c r="Q1118" s="989" t="str">
        <f>IF(AK1112="","",O1118-P1118)</f>
        <v/>
      </c>
      <c r="R1118"/>
      <c r="S1118"/>
      <c r="T1118"/>
      <c r="U1118"/>
      <c r="V1118"/>
      <c r="W1118" s="1"/>
      <c r="X1118" s="1"/>
      <c r="Y1118" s="1"/>
      <c r="Z1118"/>
      <c r="AB1118" s="964"/>
      <c r="AC1118" s="964"/>
      <c r="AD1118" s="964"/>
      <c r="AE1118" s="964"/>
      <c r="AF1118" s="964"/>
      <c r="AG1118" s="964"/>
      <c r="AH1118" s="964"/>
      <c r="AI1118" s="964"/>
      <c r="AJ1118" s="964"/>
      <c r="AK1118" s="968" t="str">
        <f>IF(AK1112="","",SMALL(C1113:C1129,6))</f>
        <v/>
      </c>
      <c r="AL1118"/>
      <c r="AM1118" s="16"/>
      <c r="AN1118" s="946" t="str">
        <f>IF(AK1112="","",INT(AK1118/1000))</f>
        <v/>
      </c>
      <c r="AO1118" s="42" t="str">
        <f>IF(AK1112="","",VLOOKUP(AK1118,C1113:Q1129,5,FALSE))</f>
        <v/>
      </c>
      <c r="AP1118" s="42" t="str">
        <f>VLOOKUP(AK1118,C1113:Q1129,8,FALSE)</f>
        <v/>
      </c>
      <c r="AQ1118" s="42" t="str">
        <f>VLOOKUP(AK1118,C1113:Q1129,9,FALSE)</f>
        <v/>
      </c>
      <c r="AR1118" s="42" t="str">
        <f>VLOOKUP(AK1118,C1113:Q1129,10,FALSE)</f>
        <v/>
      </c>
      <c r="AS1118" s="42" t="str">
        <f>VLOOKUP(AK1118,C1113:Q1129,11,FALSE)</f>
        <v/>
      </c>
      <c r="AT1118" s="42" t="str">
        <f>VLOOKUP(AK1118,C1113:Q1129,12,FALSE)</f>
        <v/>
      </c>
      <c r="AU1118" s="42" t="str">
        <f>VLOOKUP(AK1118,C1113:Q1129,13,FALSE)</f>
        <v/>
      </c>
      <c r="AV1118" s="42" t="str">
        <f>VLOOKUP(AK1118,C1113:Q1129,14,FALSE)</f>
        <v/>
      </c>
      <c r="AW1118" s="947" t="str">
        <f>VLOOKUP(AK1118,C1113:Q1129,15,FALSE)</f>
        <v/>
      </c>
      <c r="AX1118"/>
      <c r="AY1118"/>
      <c r="AZ1118" s="1"/>
      <c r="BA1118" s="1"/>
      <c r="BB1118"/>
      <c r="BC1118" s="6"/>
      <c r="BD1118"/>
      <c r="BE1118" s="1"/>
      <c r="BF1118"/>
      <c r="BG1118" s="16"/>
      <c r="BH1118"/>
      <c r="BI1118"/>
      <c r="BJ1118"/>
      <c r="BK1118"/>
      <c r="BL1118"/>
      <c r="BM1118"/>
      <c r="BN1118"/>
      <c r="BO1118"/>
      <c r="BP1118"/>
      <c r="BQ1118"/>
      <c r="BR1118"/>
      <c r="BS1118"/>
      <c r="BT1118"/>
      <c r="BU1118"/>
      <c r="BV1118"/>
      <c r="BW1118"/>
      <c r="BX1118"/>
      <c r="BY1118"/>
      <c r="BZ1118"/>
      <c r="CA1118" s="1396"/>
      <c r="CB1118" s="1396"/>
      <c r="CC1118"/>
      <c r="CD1118"/>
      <c r="CE1118"/>
    </row>
    <row r="1119" spans="1:83" outlineLevel="1" x14ac:dyDescent="0.2">
      <c r="A1119"/>
      <c r="B1119" s="945">
        <v>7</v>
      </c>
      <c r="C1119" s="977" t="str">
        <f>IF(AK1112="","",RANK(F1119,F1113:F1129)*1000+ROW())</f>
        <v/>
      </c>
      <c r="D1119" s="978" t="str">
        <f t="shared" si="728"/>
        <v/>
      </c>
      <c r="E1119" s="978" t="str">
        <f>IF(L1119="","",Nb_Diff_Part(D1119,D1113:D1129,G1119,G1113:G1129,AI1132:AI1299)*CritClassInd_DiffPart+Nb_Goal_Part(D1119,D1113:D1129,G1119,G1113:G1129,V1132:Z1299)*CritClassInd_GoalPart+Nb_Score_Part(D1119,D1113:D1129,G1119,G1113:G1129,V1132:Z1299)*CritClassInd_ScorePart)</f>
        <v/>
      </c>
      <c r="F1119" s="979" t="str">
        <f t="shared" si="729"/>
        <v/>
      </c>
      <c r="G1119" s="39" t="s">
        <v>790</v>
      </c>
      <c r="H1119" s="501">
        <f t="shared" si="726"/>
        <v>0</v>
      </c>
      <c r="I1119" s="39"/>
      <c r="J1119" s="977" t="str">
        <f>IF(AK1112="","",(L1119*Points_Victoire)+M1119*Points_Null)</f>
        <v/>
      </c>
      <c r="K1119" s="988" t="str">
        <f t="shared" si="727"/>
        <v/>
      </c>
      <c r="L1119" s="988" t="str">
        <f>IF(AK1112="","",COUNTIF(AE1132:AE1299,G1119))</f>
        <v/>
      </c>
      <c r="M1119" s="988" t="str">
        <f>IF(AK1112="","",COUNTIF(AF1132:AG1299,G1119))</f>
        <v/>
      </c>
      <c r="N1119" s="988" t="str">
        <f>IF(AK1112="","",COUNTIF(AH1132:AH1299,G1119))</f>
        <v/>
      </c>
      <c r="O1119" s="988" t="str">
        <f>IF(AK1112="","",SUMIF(V1132:V1299,G1119,AB1132:AB1299)+SUMIF(Z1132:Z1299,G1119,AD1132:AD1299))</f>
        <v/>
      </c>
      <c r="P1119" s="988" t="str">
        <f>IF(AK1112="","",SUMIF(V1132:V1299,G1119,AD1132:AD1299)+SUMIF(Z1132:Z1299,G1119,AB1132:AB1299))</f>
        <v/>
      </c>
      <c r="Q1119" s="989" t="str">
        <f>IF(AK1112="","",O1119-P1119)</f>
        <v/>
      </c>
      <c r="R1119"/>
      <c r="S1119"/>
      <c r="T1119"/>
      <c r="U1119"/>
      <c r="V1119"/>
      <c r="W1119" s="1"/>
      <c r="X1119" s="1"/>
      <c r="Y1119" s="1"/>
      <c r="Z1119"/>
      <c r="AB1119" s="964"/>
      <c r="AC1119" s="964"/>
      <c r="AD1119" s="964"/>
      <c r="AE1119" s="964"/>
      <c r="AF1119" s="964"/>
      <c r="AG1119" s="964"/>
      <c r="AH1119" s="964"/>
      <c r="AI1119" s="964"/>
      <c r="AJ1119" s="964"/>
      <c r="AK1119" s="968" t="str">
        <f>IF(AK1112="","",SMALL(C1113:C1129,7))</f>
        <v/>
      </c>
      <c r="AL1119"/>
      <c r="AM1119" s="16"/>
      <c r="AN1119" s="946" t="str">
        <f>IF(AK1112="","",INT(AK1119/1000))</f>
        <v/>
      </c>
      <c r="AO1119" s="42" t="str">
        <f>IF(AK1112="","",VLOOKUP(AK1119,C1113:Q1129,5,FALSE))</f>
        <v/>
      </c>
      <c r="AP1119" s="42" t="str">
        <f>VLOOKUP(AK1119,C1113:Q1129,8,FALSE)</f>
        <v/>
      </c>
      <c r="AQ1119" s="42" t="str">
        <f>VLOOKUP(AK1119,C1113:Q1129,9,FALSE)</f>
        <v/>
      </c>
      <c r="AR1119" s="42" t="str">
        <f>VLOOKUP(AK1119,C1113:Q1129,10,FALSE)</f>
        <v/>
      </c>
      <c r="AS1119" s="42" t="str">
        <f>VLOOKUP(AK1119,C1113:Q1129,11,FALSE)</f>
        <v/>
      </c>
      <c r="AT1119" s="42" t="str">
        <f>VLOOKUP(AK1119,C1113:Q1129,12,FALSE)</f>
        <v/>
      </c>
      <c r="AU1119" s="42" t="str">
        <f>VLOOKUP(AK1119,C1113:Q1129,13,FALSE)</f>
        <v/>
      </c>
      <c r="AV1119" s="42" t="str">
        <f>VLOOKUP(AK1119,C1113:Q1129,14,FALSE)</f>
        <v/>
      </c>
      <c r="AW1119" s="947" t="str">
        <f>VLOOKUP(AK1119,C1113:Q1129,15,FALSE)</f>
        <v/>
      </c>
      <c r="AX1119"/>
      <c r="AY1119"/>
      <c r="AZ1119" s="1"/>
      <c r="BA1119" s="1"/>
      <c r="BB1119"/>
      <c r="BC1119" s="6"/>
      <c r="BD1119"/>
      <c r="BE1119" s="1"/>
      <c r="BF1119"/>
      <c r="BG1119" s="16"/>
      <c r="BH1119"/>
      <c r="BI1119"/>
      <c r="BJ1119"/>
      <c r="BK1119"/>
      <c r="BL1119"/>
      <c r="BM1119"/>
      <c r="BN1119"/>
      <c r="BO1119"/>
      <c r="BP1119"/>
      <c r="BQ1119"/>
      <c r="BR1119"/>
      <c r="BS1119"/>
      <c r="BT1119"/>
      <c r="BU1119"/>
      <c r="BV1119"/>
      <c r="BW1119"/>
      <c r="BX1119"/>
      <c r="BY1119"/>
      <c r="BZ1119"/>
      <c r="CA1119" s="1396"/>
      <c r="CB1119" s="1396"/>
      <c r="CC1119"/>
      <c r="CD1119"/>
      <c r="CE1119"/>
    </row>
    <row r="1120" spans="1:83" outlineLevel="1" x14ac:dyDescent="0.2">
      <c r="A1120"/>
      <c r="B1120" s="945">
        <v>8</v>
      </c>
      <c r="C1120" s="977" t="str">
        <f>IF(AK1112="","",RANK(F1120,F1113:F1129)*1000+ROW())</f>
        <v/>
      </c>
      <c r="D1120" s="978" t="str">
        <f t="shared" si="728"/>
        <v/>
      </c>
      <c r="E1120" s="978" t="str">
        <f>IF(L1120="","",Nb_Diff_Part(D1120,D1113:D1129,G1120,G1113:G1129,AI1132:AI1299)*CritClassInd_DiffPart+Nb_Goal_Part(D1120,D1113:D1129,G1120,G1113:G1129,V1132:Z1299)*CritClassInd_GoalPart+Nb_Score_Part(D1120,D1113:D1129,G1120,G1113:G1129,V1132:Z1299)*CritClassInd_ScorePart)</f>
        <v/>
      </c>
      <c r="F1120" s="979" t="str">
        <f t="shared" si="729"/>
        <v/>
      </c>
      <c r="G1120" s="39" t="s">
        <v>3914</v>
      </c>
      <c r="H1120" s="501">
        <f t="shared" si="726"/>
        <v>0</v>
      </c>
      <c r="I1120" s="39"/>
      <c r="J1120" s="977" t="str">
        <f>IF(AK1112="","",(L1120*Points_Victoire)+M1120*Points_Null)</f>
        <v/>
      </c>
      <c r="K1120" s="988" t="str">
        <f t="shared" si="727"/>
        <v/>
      </c>
      <c r="L1120" s="988" t="str">
        <f>IF(AK1112="","",COUNTIF(AE1132:AE1299,G1120))</f>
        <v/>
      </c>
      <c r="M1120" s="988" t="str">
        <f>IF(AK1112="","",COUNTIF(AF1132:AG1299,G1120))</f>
        <v/>
      </c>
      <c r="N1120" s="988" t="str">
        <f>IF(AK1112="","",COUNTIF(AH1132:AH1299,G1120))</f>
        <v/>
      </c>
      <c r="O1120" s="988" t="str">
        <f>IF(AK1112="","",SUMIF(V1132:V1299,G1120,AB1132:AB1299)+SUMIF(Z1132:Z1299,G1120,AD1132:AD1299))</f>
        <v/>
      </c>
      <c r="P1120" s="988" t="str">
        <f>IF(AK1112="","",SUMIF(V1132:V1299,G1120,AD1132:AD1299)+SUMIF(Z1132:Z1299,G1120,AB1132:AB1299))</f>
        <v/>
      </c>
      <c r="Q1120" s="989" t="str">
        <f>IF(AK1112="","",O1120-P1120)</f>
        <v/>
      </c>
      <c r="R1120"/>
      <c r="S1120"/>
      <c r="T1120"/>
      <c r="U1120"/>
      <c r="V1120"/>
      <c r="W1120" s="1"/>
      <c r="X1120" s="1"/>
      <c r="Y1120" s="1"/>
      <c r="Z1120"/>
      <c r="AB1120" s="964"/>
      <c r="AC1120" s="964"/>
      <c r="AD1120" s="964"/>
      <c r="AE1120" s="964"/>
      <c r="AF1120" s="964"/>
      <c r="AG1120" s="964"/>
      <c r="AH1120" s="964"/>
      <c r="AI1120" s="964"/>
      <c r="AJ1120" s="964"/>
      <c r="AK1120" s="968" t="str">
        <f>IF(AK1112="","",SMALL(C1113:C1129,8))</f>
        <v/>
      </c>
      <c r="AL1120"/>
      <c r="AM1120" s="16"/>
      <c r="AN1120" s="946" t="str">
        <f>IF(AK1112="","",INT(AK1120/1000))</f>
        <v/>
      </c>
      <c r="AO1120" s="42" t="str">
        <f>IF(AK1112="","",VLOOKUP(AK1120,C1113:Q1129,5,FALSE))</f>
        <v/>
      </c>
      <c r="AP1120" s="42" t="str">
        <f>VLOOKUP(AK1120,C1113:Q1129,8,FALSE)</f>
        <v/>
      </c>
      <c r="AQ1120" s="42" t="str">
        <f>VLOOKUP(AK1120,C1113:Q1129,9,FALSE)</f>
        <v/>
      </c>
      <c r="AR1120" s="42" t="str">
        <f>VLOOKUP(AK1120,C1113:Q1129,10,FALSE)</f>
        <v/>
      </c>
      <c r="AS1120" s="42" t="str">
        <f>VLOOKUP(AK1120,C1113:Q1129,11,FALSE)</f>
        <v/>
      </c>
      <c r="AT1120" s="42" t="str">
        <f>VLOOKUP(AK1120,C1113:Q1129,12,FALSE)</f>
        <v/>
      </c>
      <c r="AU1120" s="42" t="str">
        <f>VLOOKUP(AK1120,C1113:Q1129,13,FALSE)</f>
        <v/>
      </c>
      <c r="AV1120" s="42" t="str">
        <f>VLOOKUP(AK1120,C1113:Q1129,14,FALSE)</f>
        <v/>
      </c>
      <c r="AW1120" s="947" t="str">
        <f>VLOOKUP(AK1120,C1113:Q1129,15,FALSE)</f>
        <v/>
      </c>
      <c r="AX1120"/>
      <c r="AY1120"/>
      <c r="AZ1120" s="1"/>
      <c r="BA1120" s="1"/>
      <c r="BB1120"/>
      <c r="BC1120" s="6"/>
      <c r="BD1120"/>
      <c r="BE1120" s="1"/>
      <c r="BF1120"/>
      <c r="BG1120" s="16"/>
      <c r="BH1120"/>
      <c r="BI1120"/>
      <c r="BJ1120"/>
      <c r="BK1120"/>
      <c r="BL1120"/>
      <c r="BM1120"/>
      <c r="BN1120"/>
      <c r="BO1120"/>
      <c r="BP1120"/>
      <c r="BQ1120"/>
      <c r="BR1120"/>
      <c r="BS1120"/>
      <c r="BT1120"/>
      <c r="BU1120"/>
      <c r="BV1120"/>
      <c r="BW1120"/>
      <c r="BX1120"/>
      <c r="BY1120"/>
      <c r="BZ1120"/>
      <c r="CA1120" s="1396"/>
      <c r="CB1120" s="1396"/>
      <c r="CC1120"/>
      <c r="CD1120"/>
      <c r="CE1120"/>
    </row>
    <row r="1121" spans="1:83" outlineLevel="1" x14ac:dyDescent="0.2">
      <c r="A1121"/>
      <c r="B1121" s="945">
        <v>9</v>
      </c>
      <c r="C1121" s="977" t="str">
        <f>IF(AK1112="","",RANK(F1121,F1113:F1129)*1000+ROW())</f>
        <v/>
      </c>
      <c r="D1121" s="978" t="str">
        <f t="shared" si="728"/>
        <v/>
      </c>
      <c r="E1121" s="978" t="str">
        <f>IF(L1121="","",Nb_Diff_Part(D1121,D1113:D1129,G1121,G1113:G1129,AI1132:AI1299)*CritClassInd_DiffPart+Nb_Goal_Part(D1121,D1113:D1129,G1121,G1113:G1129,V1132:Z1299)*CritClassInd_GoalPart+Nb_Score_Part(D1121,D1113:D1129,G1121,G1113:G1129,V1132:Z1299)*CritClassInd_ScorePart)</f>
        <v/>
      </c>
      <c r="F1121" s="979" t="str">
        <f t="shared" si="729"/>
        <v/>
      </c>
      <c r="G1121" s="39" t="s">
        <v>3915</v>
      </c>
      <c r="H1121" s="501">
        <f t="shared" si="726"/>
        <v>0</v>
      </c>
      <c r="I1121" s="39"/>
      <c r="J1121" s="977" t="str">
        <f>IF(AK1112="","",(L1121*Points_Victoire)+M1121*Points_Null)</f>
        <v/>
      </c>
      <c r="K1121" s="988" t="str">
        <f t="shared" si="727"/>
        <v/>
      </c>
      <c r="L1121" s="988" t="str">
        <f>IF(AK1112="","",COUNTIF(AE1132:AE1299,G1121))</f>
        <v/>
      </c>
      <c r="M1121" s="988" t="str">
        <f>IF(AK1112="","",COUNTIF(AF1132:AG1299,G1121))</f>
        <v/>
      </c>
      <c r="N1121" s="988" t="str">
        <f>IF(AK1112="","",COUNTIF(AH1132:AH1299,G1121))</f>
        <v/>
      </c>
      <c r="O1121" s="988" t="str">
        <f>IF(AK1112="","",SUMIF(V1132:V1299,G1121,AB1132:AB1299)+SUMIF(Z1132:Z1299,G1121,AD1132:AD1299))</f>
        <v/>
      </c>
      <c r="P1121" s="988" t="str">
        <f>IF(AK1112="","",SUMIF(V1132:V1299,G1121,AD1132:AD1299)+SUMIF(Z1132:Z1299,G1121,AB1132:AB1299))</f>
        <v/>
      </c>
      <c r="Q1121" s="989" t="str">
        <f>IF(AK1112="","",O1121-P1121)</f>
        <v/>
      </c>
      <c r="R1121"/>
      <c r="S1121"/>
      <c r="T1121"/>
      <c r="U1121"/>
      <c r="V1121"/>
      <c r="W1121" s="1"/>
      <c r="X1121" s="1"/>
      <c r="Y1121" s="1"/>
      <c r="Z1121"/>
      <c r="AB1121" s="964"/>
      <c r="AC1121" s="964"/>
      <c r="AD1121" s="964"/>
      <c r="AE1121" s="964"/>
      <c r="AF1121" s="964"/>
      <c r="AG1121" s="964"/>
      <c r="AH1121" s="964"/>
      <c r="AI1121" s="964"/>
      <c r="AJ1121" s="964"/>
      <c r="AK1121" s="968" t="str">
        <f>IF(AK1112="","",SMALL(C1113:C1129,9))</f>
        <v/>
      </c>
      <c r="AL1121"/>
      <c r="AM1121" s="16"/>
      <c r="AN1121" s="946" t="str">
        <f>IF(AK1112="","",INT(AK1121/1000))</f>
        <v/>
      </c>
      <c r="AO1121" s="42" t="str">
        <f>IF(AK1112="","",VLOOKUP(AK1121,C1113:Q1129,5,FALSE))</f>
        <v/>
      </c>
      <c r="AP1121" s="42" t="str">
        <f>VLOOKUP(AK1121,C1113:Q1129,8,FALSE)</f>
        <v/>
      </c>
      <c r="AQ1121" s="42" t="str">
        <f>VLOOKUP(AK1121,C1113:Q1129,9,FALSE)</f>
        <v/>
      </c>
      <c r="AR1121" s="42" t="str">
        <f>VLOOKUP(AK1121,C1113:Q1129,10,FALSE)</f>
        <v/>
      </c>
      <c r="AS1121" s="42" t="str">
        <f>VLOOKUP(AK1121,C1113:Q1129,11,FALSE)</f>
        <v/>
      </c>
      <c r="AT1121" s="42" t="str">
        <f>VLOOKUP(AK1121,C1113:Q1129,12,FALSE)</f>
        <v/>
      </c>
      <c r="AU1121" s="42" t="str">
        <f>VLOOKUP(AK1121,C1113:Q1129,13,FALSE)</f>
        <v/>
      </c>
      <c r="AV1121" s="42" t="str">
        <f>VLOOKUP(AK1121,C1113:Q1129,14,FALSE)</f>
        <v/>
      </c>
      <c r="AW1121" s="947" t="str">
        <f>VLOOKUP(AK1121,C1113:Q1129,15,FALSE)</f>
        <v/>
      </c>
      <c r="AX1121"/>
      <c r="AY1121"/>
      <c r="AZ1121" s="1"/>
      <c r="BA1121" s="1"/>
      <c r="BB1121"/>
      <c r="BC1121" s="6"/>
      <c r="BD1121"/>
      <c r="BE1121" s="1"/>
      <c r="BF1121"/>
      <c r="BG1121" s="16"/>
      <c r="BH1121"/>
      <c r="BI1121"/>
      <c r="BJ1121"/>
      <c r="BK1121"/>
      <c r="BL1121"/>
      <c r="BM1121"/>
      <c r="BN1121"/>
      <c r="BO1121"/>
      <c r="BP1121"/>
      <c r="BQ1121"/>
      <c r="BR1121"/>
      <c r="BS1121"/>
      <c r="BT1121"/>
      <c r="BU1121"/>
      <c r="BV1121"/>
      <c r="BW1121"/>
      <c r="BX1121"/>
      <c r="BY1121"/>
      <c r="BZ1121"/>
      <c r="CA1121" s="1396"/>
      <c r="CB1121" s="1396"/>
      <c r="CC1121"/>
      <c r="CD1121"/>
      <c r="CE1121"/>
    </row>
    <row r="1122" spans="1:83" outlineLevel="1" x14ac:dyDescent="0.2">
      <c r="A1122"/>
      <c r="B1122" s="945">
        <v>10</v>
      </c>
      <c r="C1122" s="977" t="str">
        <f>IF(AK1112="","",RANK(F1122,F1113:F1129)*1000+ROW())</f>
        <v/>
      </c>
      <c r="D1122" s="978" t="str">
        <f t="shared" si="728"/>
        <v/>
      </c>
      <c r="E1122" s="978" t="str">
        <f>IF(L1122="","",Nb_Diff_Part(D1122,D1113:D1129,G1122,G1113:G1129,AI1132:AI1299)*CritClassInd_DiffPart+Nb_Goal_Part(D1122,D1113:D1129,G1122,G1113:G1129,V1132:Z1299)*CritClassInd_GoalPart+Nb_Score_Part(D1122,D1113:D1129,G1122,G1113:G1129,V1132:Z1299)*CritClassInd_ScorePart)</f>
        <v/>
      </c>
      <c r="F1122" s="979" t="str">
        <f t="shared" si="729"/>
        <v/>
      </c>
      <c r="G1122" s="39" t="s">
        <v>789</v>
      </c>
      <c r="H1122" s="501">
        <f t="shared" si="726"/>
        <v>0</v>
      </c>
      <c r="I1122" s="39"/>
      <c r="J1122" s="977" t="str">
        <f>IF(AK1112="","",(L1122*Points_Victoire)+M1122*Points_Null)</f>
        <v/>
      </c>
      <c r="K1122" s="988" t="str">
        <f t="shared" si="727"/>
        <v/>
      </c>
      <c r="L1122" s="988" t="str">
        <f>IF(AK1112="","",COUNTIF(AE1132:AE1299,G1122))</f>
        <v/>
      </c>
      <c r="M1122" s="988" t="str">
        <f>IF(AK1112="","",COUNTIF(AF1132:AG1299,G1122))</f>
        <v/>
      </c>
      <c r="N1122" s="988" t="str">
        <f>IF(AK1112="","",COUNTIF(AH1132:AH1299,G1122))</f>
        <v/>
      </c>
      <c r="O1122" s="988" t="str">
        <f>IF(AK1112="","",SUMIF(V1132:V1299,G1122,AB1132:AB1299)+SUMIF(Z1132:Z1299,G1122,AD1132:AD1299))</f>
        <v/>
      </c>
      <c r="P1122" s="988" t="str">
        <f>IF(AK1112="","",SUMIF(V1132:V1299,G1122,AD1132:AD1299)+SUMIF(Z1132:Z1299,G1122,AB1132:AB1299))</f>
        <v/>
      </c>
      <c r="Q1122" s="989" t="str">
        <f>IF(AK1112="","",O1122-P1122)</f>
        <v/>
      </c>
      <c r="R1122"/>
      <c r="S1122"/>
      <c r="T1122"/>
      <c r="U1122"/>
      <c r="V1122"/>
      <c r="W1122" s="1"/>
      <c r="X1122" s="1"/>
      <c r="Y1122" s="1"/>
      <c r="Z1122"/>
      <c r="AB1122" s="964"/>
      <c r="AC1122" s="964"/>
      <c r="AD1122" s="964"/>
      <c r="AE1122" s="964"/>
      <c r="AF1122" s="964"/>
      <c r="AG1122" s="964"/>
      <c r="AH1122" s="964"/>
      <c r="AI1122" s="964"/>
      <c r="AJ1122" s="964"/>
      <c r="AK1122" s="968" t="str">
        <f>IF(AK1112="","",SMALL(C1113:C1129,10))</f>
        <v/>
      </c>
      <c r="AL1122"/>
      <c r="AM1122" s="16"/>
      <c r="AN1122" s="946" t="str">
        <f>IF(AK1112="","",INT(AK1122/1000))</f>
        <v/>
      </c>
      <c r="AO1122" s="42" t="str">
        <f>IF(AK1112="","",VLOOKUP(AK1122,C1113:Q1129,5,FALSE))</f>
        <v/>
      </c>
      <c r="AP1122" s="42" t="str">
        <f>VLOOKUP(AK1122,C1113:Q1129,8,FALSE)</f>
        <v/>
      </c>
      <c r="AQ1122" s="42" t="str">
        <f>VLOOKUP(AK1122,C1113:Q1129,9,FALSE)</f>
        <v/>
      </c>
      <c r="AR1122" s="42" t="str">
        <f>VLOOKUP(AK1122,C1113:Q1129,10,FALSE)</f>
        <v/>
      </c>
      <c r="AS1122" s="42" t="str">
        <f>VLOOKUP(AK1122,C1113:Q1129,11,FALSE)</f>
        <v/>
      </c>
      <c r="AT1122" s="42" t="str">
        <f>VLOOKUP(AK1122,C1113:Q1129,12,FALSE)</f>
        <v/>
      </c>
      <c r="AU1122" s="42" t="str">
        <f>VLOOKUP(AK1122,C1113:Q1129,13,FALSE)</f>
        <v/>
      </c>
      <c r="AV1122" s="42" t="str">
        <f>VLOOKUP(AK1122,C1113:Q1129,14,FALSE)</f>
        <v/>
      </c>
      <c r="AW1122" s="947" t="str">
        <f>VLOOKUP(AK1122,C1113:Q1129,15,FALSE)</f>
        <v/>
      </c>
      <c r="AX1122"/>
      <c r="AY1122"/>
      <c r="AZ1122" s="1"/>
      <c r="BA1122" s="1"/>
      <c r="BB1122"/>
      <c r="BC1122" s="6"/>
      <c r="BD1122"/>
      <c r="BE1122" s="1"/>
      <c r="BF1122"/>
      <c r="BG1122" s="16"/>
      <c r="BH1122"/>
      <c r="BI1122"/>
      <c r="BJ1122"/>
      <c r="BK1122"/>
      <c r="BL1122"/>
      <c r="BM1122"/>
      <c r="BN1122"/>
      <c r="BO1122"/>
      <c r="BP1122"/>
      <c r="BQ1122"/>
      <c r="BR1122"/>
      <c r="BS1122"/>
      <c r="BT1122"/>
      <c r="BU1122"/>
      <c r="BV1122"/>
      <c r="BW1122"/>
      <c r="BX1122"/>
      <c r="BY1122"/>
      <c r="BZ1122"/>
      <c r="CA1122" s="1396"/>
      <c r="CB1122" s="1396"/>
      <c r="CC1122"/>
      <c r="CD1122"/>
      <c r="CE1122"/>
    </row>
    <row r="1123" spans="1:83" outlineLevel="1" x14ac:dyDescent="0.2">
      <c r="A1123"/>
      <c r="B1123" s="945">
        <v>11</v>
      </c>
      <c r="C1123" s="977" t="str">
        <f>IF(AK1112="","",RANK(F1123,F1113:F1129)*1000+ROW())</f>
        <v/>
      </c>
      <c r="D1123" s="978" t="str">
        <f t="shared" si="728"/>
        <v/>
      </c>
      <c r="E1123" s="978" t="str">
        <f>IF(L1123="","",Nb_Diff_Part(D1123,D1113:D1129,G1123,G1113:G1129,AI1132:AI1299)*CritClassInd_DiffPart+Nb_Goal_Part(D1123,D1113:D1129,G1123,G1113:G1129,V1132:Z1299)*CritClassInd_GoalPart+Nb_Score_Part(D1123,D1113:D1129,G1123,G1113:G1129,V1132:Z1299)*CritClassInd_ScorePart)</f>
        <v/>
      </c>
      <c r="F1123" s="979" t="str">
        <f t="shared" si="729"/>
        <v/>
      </c>
      <c r="G1123" s="39" t="s">
        <v>3916</v>
      </c>
      <c r="H1123" s="501">
        <f t="shared" si="726"/>
        <v>0</v>
      </c>
      <c r="I1123" s="39"/>
      <c r="J1123" s="977" t="str">
        <f>IF(AK1112="","",(L1123*Points_Victoire)+M1123*Points_Null)</f>
        <v/>
      </c>
      <c r="K1123" s="988" t="str">
        <f t="shared" si="727"/>
        <v/>
      </c>
      <c r="L1123" s="988" t="str">
        <f>IF(AK1112="","",COUNTIF(AE1132:AE1299,G1123))</f>
        <v/>
      </c>
      <c r="M1123" s="988" t="str">
        <f>IF(AK1112="","",COUNTIF(AF1132:AG1299,G1123))</f>
        <v/>
      </c>
      <c r="N1123" s="988" t="str">
        <f>IF(AK1112="","",COUNTIF(AH1132:AH1299,G1123))</f>
        <v/>
      </c>
      <c r="O1123" s="988" t="str">
        <f>IF(AK1112="","",SUMIF(V1132:V1299,G1123,AB1132:AB1299)+SUMIF(Z1132:Z1299,G1123,AD1132:AD1299))</f>
        <v/>
      </c>
      <c r="P1123" s="988" t="str">
        <f>IF(AK1112="","",SUMIF(V1132:V1299,G1123,AD1132:AD1299)+SUMIF(Z1132:Z1299,G1123,AB1132:AB1299))</f>
        <v/>
      </c>
      <c r="Q1123" s="989" t="str">
        <f>IF(AK1112="","",O1123-P1123)</f>
        <v/>
      </c>
      <c r="R1123"/>
      <c r="S1123"/>
      <c r="T1123"/>
      <c r="U1123"/>
      <c r="V1123"/>
      <c r="W1123" s="1"/>
      <c r="X1123" s="1"/>
      <c r="Y1123" s="1"/>
      <c r="Z1123"/>
      <c r="AB1123" s="964"/>
      <c r="AC1123" s="964"/>
      <c r="AD1123" s="964"/>
      <c r="AE1123" s="964"/>
      <c r="AF1123" s="964"/>
      <c r="AG1123" s="964"/>
      <c r="AH1123" s="964"/>
      <c r="AI1123" s="964"/>
      <c r="AJ1123" s="964"/>
      <c r="AK1123" s="968" t="str">
        <f>IF(AK1112="","",SMALL(C1113:C1129,11))</f>
        <v/>
      </c>
      <c r="AL1123"/>
      <c r="AM1123" s="16"/>
      <c r="AN1123" s="946" t="str">
        <f>IF(AK1112="","",INT(AK1123/1000))</f>
        <v/>
      </c>
      <c r="AO1123" s="42" t="str">
        <f>IF(AK1112="","",VLOOKUP(AK1123,C1113:Q1129,5,FALSE))</f>
        <v/>
      </c>
      <c r="AP1123" s="42" t="str">
        <f>VLOOKUP(AK1123,C1113:Q1129,8,FALSE)</f>
        <v/>
      </c>
      <c r="AQ1123" s="42" t="str">
        <f>VLOOKUP(AK1123,C1113:Q1129,9,FALSE)</f>
        <v/>
      </c>
      <c r="AR1123" s="42" t="str">
        <f>VLOOKUP(AK1123,C1113:Q1129,10,FALSE)</f>
        <v/>
      </c>
      <c r="AS1123" s="42" t="str">
        <f>VLOOKUP(AK1123,C1113:Q1129,11,FALSE)</f>
        <v/>
      </c>
      <c r="AT1123" s="42" t="str">
        <f>VLOOKUP(AK1123,C1113:Q1129,12,FALSE)</f>
        <v/>
      </c>
      <c r="AU1123" s="42" t="str">
        <f>VLOOKUP(AK1123,C1113:Q1129,13,FALSE)</f>
        <v/>
      </c>
      <c r="AV1123" s="42" t="str">
        <f>VLOOKUP(AK1123,C1113:Q1129,14,FALSE)</f>
        <v/>
      </c>
      <c r="AW1123" s="947" t="str">
        <f>VLOOKUP(AK1123,C1113:Q1129,15,FALSE)</f>
        <v/>
      </c>
      <c r="AX1123"/>
      <c r="AY1123"/>
      <c r="AZ1123" s="1"/>
      <c r="BA1123" s="1"/>
      <c r="BB1123"/>
      <c r="BC1123" s="6"/>
      <c r="BD1123"/>
      <c r="BE1123" s="1"/>
      <c r="BF1123"/>
      <c r="BG1123" s="16"/>
      <c r="BH1123"/>
      <c r="BI1123"/>
      <c r="BJ1123"/>
      <c r="BK1123"/>
      <c r="BL1123"/>
      <c r="BM1123"/>
      <c r="BN1123"/>
      <c r="BO1123"/>
      <c r="BP1123"/>
      <c r="BQ1123"/>
      <c r="BR1123"/>
      <c r="BS1123"/>
      <c r="BT1123"/>
      <c r="BU1123"/>
      <c r="BV1123"/>
      <c r="BW1123"/>
      <c r="BX1123"/>
      <c r="BY1123"/>
      <c r="BZ1123"/>
      <c r="CA1123" s="1396"/>
      <c r="CB1123" s="1396"/>
      <c r="CC1123"/>
      <c r="CD1123"/>
      <c r="CE1123"/>
    </row>
    <row r="1124" spans="1:83" outlineLevel="1" x14ac:dyDescent="0.2">
      <c r="A1124"/>
      <c r="B1124" s="945">
        <v>12</v>
      </c>
      <c r="C1124" s="977" t="str">
        <f>IF(AK1112="","",RANK(F1124,F1113:F1129)*1000+ROW())</f>
        <v/>
      </c>
      <c r="D1124" s="978" t="str">
        <f t="shared" si="728"/>
        <v/>
      </c>
      <c r="E1124" s="978" t="str">
        <f>IF(L1124="","",Nb_Diff_Part(D1124,D1113:D1129,G1124,G1113:G1129,AI1132:AI1299)*CritClassInd_DiffPart+Nb_Goal_Part(D1124,D1113:D1129,G1124,G1113:G1129,V1132:Z1299)*CritClassInd_GoalPart+Nb_Score_Part(D1124,D1113:D1129,G1124,G1113:G1129,V1132:Z1299)*CritClassInd_ScorePart)</f>
        <v/>
      </c>
      <c r="F1124" s="979" t="str">
        <f t="shared" si="729"/>
        <v/>
      </c>
      <c r="G1124" s="39" t="s">
        <v>1545</v>
      </c>
      <c r="H1124" s="501">
        <f t="shared" si="726"/>
        <v>0</v>
      </c>
      <c r="I1124" s="39"/>
      <c r="J1124" s="977" t="str">
        <f>IF(AK1112="","",(L1124*Points_Victoire)+M1124*Points_Null)</f>
        <v/>
      </c>
      <c r="K1124" s="988" t="str">
        <f t="shared" si="727"/>
        <v/>
      </c>
      <c r="L1124" s="988" t="str">
        <f>IF(AK1112="","",COUNTIF(AE1132:AE1299,G1124))</f>
        <v/>
      </c>
      <c r="M1124" s="988" t="str">
        <f>IF(AK1112="","",COUNTIF(AF1132:AG1299,G1124))</f>
        <v/>
      </c>
      <c r="N1124" s="988" t="str">
        <f>IF(AK1112="","",COUNTIF(AH1132:AH1299,G1124))</f>
        <v/>
      </c>
      <c r="O1124" s="988" t="str">
        <f>IF(AK1112="","",SUMIF(V1132:V1299,G1124,AB1132:AB1299)+SUMIF(Z1132:Z1299,G1124,AD1132:AD1299))</f>
        <v/>
      </c>
      <c r="P1124" s="988" t="str">
        <f>IF(AK1112="","",SUMIF(V1132:V1299,G1124,AD1132:AD1299)+SUMIF(Z1132:Z1299,G1124,AB1132:AB1299))</f>
        <v/>
      </c>
      <c r="Q1124" s="989" t="str">
        <f>IF(AK1112="","",O1124-P1124)</f>
        <v/>
      </c>
      <c r="R1124"/>
      <c r="S1124"/>
      <c r="T1124"/>
      <c r="U1124"/>
      <c r="V1124"/>
      <c r="W1124" s="1"/>
      <c r="X1124" s="1"/>
      <c r="Y1124" s="1"/>
      <c r="Z1124"/>
      <c r="AB1124" s="964"/>
      <c r="AC1124" s="964"/>
      <c r="AD1124" s="964"/>
      <c r="AE1124" s="964"/>
      <c r="AF1124" s="964"/>
      <c r="AG1124" s="964"/>
      <c r="AH1124" s="964"/>
      <c r="AI1124" s="964"/>
      <c r="AJ1124" s="964"/>
      <c r="AK1124" s="968" t="str">
        <f>IF(AK1112="","",SMALL(C1113:C1129,12))</f>
        <v/>
      </c>
      <c r="AL1124"/>
      <c r="AM1124" s="16"/>
      <c r="AN1124" s="946" t="str">
        <f>IF(AK1112="","",INT(AK1124/1000))</f>
        <v/>
      </c>
      <c r="AO1124" s="42" t="str">
        <f>IF(AK1112="","",VLOOKUP(AK1124,C1113:Q1129,5,FALSE))</f>
        <v/>
      </c>
      <c r="AP1124" s="42" t="str">
        <f>VLOOKUP(AK1124,C1113:Q1129,8,FALSE)</f>
        <v/>
      </c>
      <c r="AQ1124" s="42" t="str">
        <f>VLOOKUP(AK1124,C1113:Q1129,9,FALSE)</f>
        <v/>
      </c>
      <c r="AR1124" s="42" t="str">
        <f>VLOOKUP(AK1124,C1113:Q1129,10,FALSE)</f>
        <v/>
      </c>
      <c r="AS1124" s="42" t="str">
        <f>VLOOKUP(AK1124,C1113:Q1129,11,FALSE)</f>
        <v/>
      </c>
      <c r="AT1124" s="42" t="str">
        <f>VLOOKUP(AK1124,C1113:Q1129,12,FALSE)</f>
        <v/>
      </c>
      <c r="AU1124" s="42" t="str">
        <f>VLOOKUP(AK1124,C1113:Q1129,13,FALSE)</f>
        <v/>
      </c>
      <c r="AV1124" s="42" t="str">
        <f>VLOOKUP(AK1124,C1113:Q1129,14,FALSE)</f>
        <v/>
      </c>
      <c r="AW1124" s="947" t="str">
        <f>VLOOKUP(AK1124,C1113:Q1129,15,FALSE)</f>
        <v/>
      </c>
      <c r="AX1124"/>
      <c r="AY1124"/>
      <c r="AZ1124" s="1"/>
      <c r="BA1124" s="1"/>
      <c r="BB1124"/>
      <c r="BC1124" s="6"/>
      <c r="BD1124"/>
      <c r="BE1124" s="1"/>
      <c r="BF1124"/>
      <c r="BG1124" s="16"/>
      <c r="BH1124"/>
      <c r="BI1124"/>
      <c r="BJ1124"/>
      <c r="BK1124"/>
      <c r="BL1124"/>
      <c r="BM1124"/>
      <c r="BN1124"/>
      <c r="BO1124"/>
      <c r="BP1124"/>
      <c r="BQ1124"/>
      <c r="BR1124"/>
      <c r="BS1124"/>
      <c r="BT1124"/>
      <c r="BU1124"/>
      <c r="BV1124"/>
      <c r="BW1124"/>
      <c r="BX1124"/>
      <c r="BY1124"/>
      <c r="BZ1124"/>
      <c r="CA1124" s="1396"/>
      <c r="CB1124" s="1396"/>
      <c r="CC1124"/>
      <c r="CD1124"/>
      <c r="CE1124"/>
    </row>
    <row r="1125" spans="1:83" outlineLevel="1" x14ac:dyDescent="0.2">
      <c r="A1125"/>
      <c r="B1125" s="945">
        <v>13</v>
      </c>
      <c r="C1125" s="977" t="str">
        <f>IF(AK1112="","",RANK(F1125,F1113:F1129)*1000+ROW())</f>
        <v/>
      </c>
      <c r="D1125" s="978" t="str">
        <f t="shared" si="728"/>
        <v/>
      </c>
      <c r="E1125" s="978" t="str">
        <f>IF(L1125="","",Nb_Diff_Part(D1125,D1113:D1129,G1125,G1113:G1129,AI1132:AI1299)*CritClassInd_DiffPart+Nb_Goal_Part(D1125,D1113:D1129,G1125,G1113:G1129,V1132:Z1299)*CritClassInd_GoalPart+Nb_Score_Part(D1125,D1113:D1129,G1125,G1113:G1129,V1132:Z1299)*CritClassInd_ScorePart)</f>
        <v/>
      </c>
      <c r="F1125" s="979" t="str">
        <f t="shared" si="729"/>
        <v/>
      </c>
      <c r="G1125" s="39" t="s">
        <v>3917</v>
      </c>
      <c r="H1125" s="501">
        <f t="shared" si="726"/>
        <v>0</v>
      </c>
      <c r="I1125" s="39"/>
      <c r="J1125" s="977" t="str">
        <f>IF(AK1112="","",(L1125*Points_Victoire)+M1125*Points_Null)</f>
        <v/>
      </c>
      <c r="K1125" s="988" t="str">
        <f t="shared" si="727"/>
        <v/>
      </c>
      <c r="L1125" s="988" t="str">
        <f>IF(AK1112="","",COUNTIF(AE1132:AE1299,G1125))</f>
        <v/>
      </c>
      <c r="M1125" s="988" t="str">
        <f>IF(AK1112="","",COUNTIF(AF1132:AG1299,G1125))</f>
        <v/>
      </c>
      <c r="N1125" s="988" t="str">
        <f>IF(AK1112="","",COUNTIF(AH1132:AH1299,G1125))</f>
        <v/>
      </c>
      <c r="O1125" s="988" t="str">
        <f>IF(AK1112="","",SUMIF(V1132:V1299,G1125,AB1132:AB1299)+SUMIF(Z1132:Z1299,G1125,AD1132:AD1299))</f>
        <v/>
      </c>
      <c r="P1125" s="988" t="str">
        <f>IF(AK1112="","",SUMIF(V1132:V1299,G1125,AD1132:AD1299)+SUMIF(Z1132:Z1299,G1125,AB1132:AB1299))</f>
        <v/>
      </c>
      <c r="Q1125" s="989" t="str">
        <f>IF(AK1112="","",O1125-P1125)</f>
        <v/>
      </c>
      <c r="R1125"/>
      <c r="S1125"/>
      <c r="T1125"/>
      <c r="U1125"/>
      <c r="V1125"/>
      <c r="W1125" s="1"/>
      <c r="X1125" s="1"/>
      <c r="Y1125" s="1"/>
      <c r="Z1125"/>
      <c r="AB1125" s="964"/>
      <c r="AC1125" s="964"/>
      <c r="AD1125" s="964"/>
      <c r="AE1125" s="964"/>
      <c r="AF1125" s="964"/>
      <c r="AG1125" s="964"/>
      <c r="AH1125" s="964"/>
      <c r="AI1125" s="964"/>
      <c r="AJ1125" s="964"/>
      <c r="AK1125" s="968" t="str">
        <f>IF(AK1112="","",SMALL(C1113:C1129,13))</f>
        <v/>
      </c>
      <c r="AL1125"/>
      <c r="AM1125" s="16"/>
      <c r="AN1125" s="946" t="str">
        <f>IF(AK1112="","",INT(AK1125/1000))</f>
        <v/>
      </c>
      <c r="AO1125" s="42" t="str">
        <f>IF(AK1112="","",VLOOKUP(AK1125,C1113:Q1129,5,FALSE))</f>
        <v/>
      </c>
      <c r="AP1125" s="42" t="str">
        <f>VLOOKUP(AK1125,C1113:Q1129,8,FALSE)</f>
        <v/>
      </c>
      <c r="AQ1125" s="42" t="str">
        <f>VLOOKUP(AK1125,C1113:Q1129,9,FALSE)</f>
        <v/>
      </c>
      <c r="AR1125" s="42" t="str">
        <f>VLOOKUP(AK1125,C1113:Q1129,10,FALSE)</f>
        <v/>
      </c>
      <c r="AS1125" s="42" t="str">
        <f>VLOOKUP(AK1125,C1113:Q1129,11,FALSE)</f>
        <v/>
      </c>
      <c r="AT1125" s="42" t="str">
        <f>VLOOKUP(AK1125,C1113:Q1129,12,FALSE)</f>
        <v/>
      </c>
      <c r="AU1125" s="42" t="str">
        <f>VLOOKUP(AK1125,C1113:Q1129,13,FALSE)</f>
        <v/>
      </c>
      <c r="AV1125" s="42" t="str">
        <f>VLOOKUP(AK1125,C1113:Q1129,14,FALSE)</f>
        <v/>
      </c>
      <c r="AW1125" s="947" t="str">
        <f>VLOOKUP(AK1125,C1113:Q1129,15,FALSE)</f>
        <v/>
      </c>
      <c r="AX1125"/>
      <c r="AY1125"/>
      <c r="AZ1125" s="1"/>
      <c r="BA1125" s="1"/>
      <c r="BB1125"/>
      <c r="BC1125" s="6"/>
      <c r="BD1125"/>
      <c r="BE1125" s="1"/>
      <c r="BF1125"/>
      <c r="BG1125" s="16"/>
      <c r="BH1125"/>
      <c r="BI1125"/>
      <c r="BJ1125"/>
      <c r="BK1125"/>
      <c r="BL1125"/>
      <c r="BM1125"/>
      <c r="BN1125"/>
      <c r="BO1125"/>
      <c r="BP1125"/>
      <c r="BQ1125"/>
      <c r="BR1125"/>
      <c r="BS1125"/>
      <c r="BT1125"/>
      <c r="BU1125"/>
      <c r="BV1125"/>
      <c r="BW1125"/>
      <c r="BX1125"/>
      <c r="BY1125"/>
      <c r="BZ1125"/>
      <c r="CA1125" s="1396"/>
      <c r="CB1125" s="1396"/>
      <c r="CC1125"/>
      <c r="CD1125"/>
      <c r="CE1125"/>
    </row>
    <row r="1126" spans="1:83" outlineLevel="1" x14ac:dyDescent="0.2">
      <c r="A1126"/>
      <c r="B1126" s="945">
        <v>14</v>
      </c>
      <c r="C1126" s="977" t="str">
        <f>IF(AK1112="","",RANK(F1126,F1113:F1129)*1000+ROW())</f>
        <v/>
      </c>
      <c r="D1126" s="978" t="str">
        <f t="shared" si="728"/>
        <v/>
      </c>
      <c r="E1126" s="978" t="str">
        <f>IF(L1126="","",Nb_Diff_Part(D1126,D1113:D1129,G1126,G1113:G1129,AI1132:AI1299)*CritClassInd_DiffPart+Nb_Goal_Part(D1126,D1113:D1129,G1126,G1113:G1129,V1132:Z1299)*CritClassInd_GoalPart+Nb_Score_Part(D1126,D1113:D1129,G1126,G1113:G1129,V1132:Z1299)*CritClassInd_ScorePart)</f>
        <v/>
      </c>
      <c r="F1126" s="979" t="str">
        <f t="shared" si="729"/>
        <v/>
      </c>
      <c r="G1126" s="39" t="s">
        <v>791</v>
      </c>
      <c r="H1126" s="501">
        <f t="shared" si="726"/>
        <v>0</v>
      </c>
      <c r="I1126" s="39"/>
      <c r="J1126" s="977" t="str">
        <f>IF(AK1112="","",(L1126*Points_Victoire)+M1126*Points_Null)</f>
        <v/>
      </c>
      <c r="K1126" s="988" t="str">
        <f t="shared" si="727"/>
        <v/>
      </c>
      <c r="L1126" s="988" t="str">
        <f>IF(AK1112="","",COUNTIF(AE1132:AE1299,G1126))</f>
        <v/>
      </c>
      <c r="M1126" s="988" t="str">
        <f>IF(AK1112="","",COUNTIF(AF1132:AG1299,G1126))</f>
        <v/>
      </c>
      <c r="N1126" s="988" t="str">
        <f>IF(AK1112="","",COUNTIF(AH1132:AH1299,G1126))</f>
        <v/>
      </c>
      <c r="O1126" s="988" t="str">
        <f>IF(AK1112="","",SUMIF(V1132:V1299,G1126,AB1132:AB1299)+SUMIF(Z1132:Z1299,G1126,AD1132:AD1299))</f>
        <v/>
      </c>
      <c r="P1126" s="988" t="str">
        <f>IF(AK1112="","",SUMIF(V1132:V1299,G1126,AD1132:AD1299)+SUMIF(Z1132:Z1299,G1126,AB1132:AB1299))</f>
        <v/>
      </c>
      <c r="Q1126" s="989" t="str">
        <f>IF(AK1112="","",O1126-P1126)</f>
        <v/>
      </c>
      <c r="R1126"/>
      <c r="S1126"/>
      <c r="T1126"/>
      <c r="U1126"/>
      <c r="V1126"/>
      <c r="W1126" s="1"/>
      <c r="X1126" s="1"/>
      <c r="Y1126" s="1"/>
      <c r="Z1126"/>
      <c r="AB1126" s="964"/>
      <c r="AC1126" s="964"/>
      <c r="AD1126" s="964"/>
      <c r="AE1126" s="964"/>
      <c r="AF1126" s="964"/>
      <c r="AG1126" s="964"/>
      <c r="AH1126" s="964"/>
      <c r="AI1126" s="964"/>
      <c r="AJ1126" s="964"/>
      <c r="AK1126" s="968" t="str">
        <f>IF(AK1112="","",SMALL(C1113:C1129,14))</f>
        <v/>
      </c>
      <c r="AL1126"/>
      <c r="AM1126" s="16"/>
      <c r="AN1126" s="946" t="str">
        <f>IF(AK1112="","",INT(AK1126/1000))</f>
        <v/>
      </c>
      <c r="AO1126" s="42" t="str">
        <f>IF(AK1112="","",VLOOKUP(AK1126,C1113:Q1129,5,FALSE))</f>
        <v/>
      </c>
      <c r="AP1126" s="42" t="str">
        <f>VLOOKUP(AK1126,C1113:Q1129,8,FALSE)</f>
        <v/>
      </c>
      <c r="AQ1126" s="42" t="str">
        <f>VLOOKUP(AK1126,C1113:Q1129,9,FALSE)</f>
        <v/>
      </c>
      <c r="AR1126" s="42" t="str">
        <f>VLOOKUP(AK1126,C1113:Q1129,10,FALSE)</f>
        <v/>
      </c>
      <c r="AS1126" s="42" t="str">
        <f>VLOOKUP(AK1126,C1113:Q1129,11,FALSE)</f>
        <v/>
      </c>
      <c r="AT1126" s="42" t="str">
        <f>VLOOKUP(AK1126,C1113:Q1129,12,FALSE)</f>
        <v/>
      </c>
      <c r="AU1126" s="42" t="str">
        <f>VLOOKUP(AK1126,C1113:Q1129,13,FALSE)</f>
        <v/>
      </c>
      <c r="AV1126" s="42" t="str">
        <f>VLOOKUP(AK1126,C1113:Q1129,14,FALSE)</f>
        <v/>
      </c>
      <c r="AW1126" s="947" t="str">
        <f>VLOOKUP(AK1126,C1113:Q1129,15,FALSE)</f>
        <v/>
      </c>
      <c r="AX1126"/>
      <c r="AY1126"/>
      <c r="AZ1126" s="1"/>
      <c r="BA1126" s="1"/>
      <c r="BB1126"/>
      <c r="BC1126" s="6"/>
      <c r="BD1126"/>
      <c r="BE1126" s="1"/>
      <c r="BF1126"/>
      <c r="BG1126" s="16"/>
      <c r="BH1126"/>
      <c r="BI1126"/>
      <c r="BJ1126"/>
      <c r="BK1126"/>
      <c r="BL1126"/>
      <c r="BM1126"/>
      <c r="BN1126"/>
      <c r="BO1126"/>
      <c r="BP1126"/>
      <c r="BQ1126"/>
      <c r="BR1126"/>
      <c r="BS1126"/>
      <c r="BT1126"/>
      <c r="BU1126"/>
      <c r="BV1126"/>
      <c r="BW1126"/>
      <c r="BX1126"/>
      <c r="BY1126"/>
      <c r="BZ1126"/>
      <c r="CA1126" s="1396"/>
      <c r="CB1126" s="1396"/>
      <c r="CC1126"/>
      <c r="CD1126"/>
      <c r="CE1126"/>
    </row>
    <row r="1127" spans="1:83" outlineLevel="1" x14ac:dyDescent="0.2">
      <c r="A1127"/>
      <c r="B1127" s="945">
        <v>15</v>
      </c>
      <c r="C1127" s="977" t="str">
        <f>IF(AK1112="","",RANK(F1127,F1113:F1129)*1000+ROW())</f>
        <v/>
      </c>
      <c r="D1127" s="978" t="str">
        <f t="shared" si="728"/>
        <v/>
      </c>
      <c r="E1127" s="978" t="str">
        <f>IF(L1127="","",Nb_Diff_Part(D1127,D1113:D1129,G1127,G1113:G1129,AI1132:AI1299)*CritClassInd_DiffPart+Nb_Goal_Part(D1127,D1113:D1129,G1127,G1113:G1129,V1132:Z1299)*CritClassInd_GoalPart+Nb_Score_Part(D1127,D1113:D1129,G1127,G1113:G1129,V1132:Z1299)*CritClassInd_ScorePart)</f>
        <v/>
      </c>
      <c r="F1127" s="979" t="str">
        <f t="shared" si="729"/>
        <v/>
      </c>
      <c r="G1127" s="39" t="s">
        <v>3918</v>
      </c>
      <c r="H1127" s="501">
        <f t="shared" si="726"/>
        <v>0</v>
      </c>
      <c r="I1127" s="39"/>
      <c r="J1127" s="977" t="str">
        <f>IF(AK1112="","",(L1127*Points_Victoire)+M1127*Points_Null)</f>
        <v/>
      </c>
      <c r="K1127" s="988" t="str">
        <f t="shared" si="727"/>
        <v/>
      </c>
      <c r="L1127" s="988" t="str">
        <f>IF(AK1112="","",COUNTIF(AE1132:AE1299,G1127))</f>
        <v/>
      </c>
      <c r="M1127" s="988" t="str">
        <f>IF(AK1112="","",COUNTIF(AF1132:AG1299,G1127))</f>
        <v/>
      </c>
      <c r="N1127" s="988" t="str">
        <f>IF(AK1112="","",COUNTIF(AH1132:AH1299,G1127))</f>
        <v/>
      </c>
      <c r="O1127" s="988" t="str">
        <f>IF(AK1112="","",SUMIF(V1132:V1299,G1127,AB1132:AB1299)+SUMIF(Z1132:Z1299,G1127,AD1132:AD1299))</f>
        <v/>
      </c>
      <c r="P1127" s="988" t="str">
        <f>IF(AK1112="","",SUMIF(V1132:V1299,G1127,AD1132:AD1299)+SUMIF(Z1132:Z1299,G1127,AB1132:AB1299))</f>
        <v/>
      </c>
      <c r="Q1127" s="989" t="str">
        <f>IF(AK1112="","",O1127-P1127)</f>
        <v/>
      </c>
      <c r="R1127"/>
      <c r="S1127"/>
      <c r="T1127"/>
      <c r="U1127"/>
      <c r="V1127"/>
      <c r="W1127" s="1"/>
      <c r="X1127" s="1"/>
      <c r="Y1127" s="1"/>
      <c r="Z1127"/>
      <c r="AB1127" s="964"/>
      <c r="AC1127" s="964"/>
      <c r="AD1127" s="964"/>
      <c r="AE1127" s="964"/>
      <c r="AF1127" s="964"/>
      <c r="AG1127" s="964"/>
      <c r="AH1127" s="964"/>
      <c r="AI1127" s="964"/>
      <c r="AJ1127" s="964"/>
      <c r="AK1127" s="968" t="str">
        <f>IF(AK1112="","",SMALL(C1113:C1129,15))</f>
        <v/>
      </c>
      <c r="AL1127"/>
      <c r="AM1127" s="16"/>
      <c r="AN1127" s="946" t="str">
        <f>IF(AK1112="","",INT(AK1127/1000))</f>
        <v/>
      </c>
      <c r="AO1127" s="42" t="str">
        <f>IF(AK1112="","",VLOOKUP(AK1127,C1113:Q1129,5,FALSE))</f>
        <v/>
      </c>
      <c r="AP1127" s="42" t="str">
        <f>VLOOKUP(AK1127,C1113:Q1129,8,FALSE)</f>
        <v/>
      </c>
      <c r="AQ1127" s="42" t="str">
        <f>VLOOKUP(AK1127,C1113:Q1129,9,FALSE)</f>
        <v/>
      </c>
      <c r="AR1127" s="42" t="str">
        <f>VLOOKUP(AK1127,C1113:Q1129,10,FALSE)</f>
        <v/>
      </c>
      <c r="AS1127" s="42" t="str">
        <f>VLOOKUP(AK1127,C1113:Q1129,11,FALSE)</f>
        <v/>
      </c>
      <c r="AT1127" s="42" t="str">
        <f>VLOOKUP(AK1127,C1113:Q1129,12,FALSE)</f>
        <v/>
      </c>
      <c r="AU1127" s="42" t="str">
        <f>VLOOKUP(AK1127,C1113:Q1129,13,FALSE)</f>
        <v/>
      </c>
      <c r="AV1127" s="42" t="str">
        <f>VLOOKUP(AK1127,C1113:Q1129,14,FALSE)</f>
        <v/>
      </c>
      <c r="AW1127" s="947" t="str">
        <f>VLOOKUP(AK1127,C1113:Q1129,15,FALSE)</f>
        <v/>
      </c>
      <c r="AX1127"/>
      <c r="AY1127"/>
      <c r="AZ1127" s="1"/>
      <c r="BA1127" s="1"/>
      <c r="BB1127"/>
      <c r="BC1127" s="6"/>
      <c r="BD1127"/>
      <c r="BE1127" s="1"/>
      <c r="BF1127"/>
      <c r="BG1127" s="16"/>
      <c r="BH1127"/>
      <c r="BI1127"/>
      <c r="BJ1127"/>
      <c r="BK1127"/>
      <c r="BL1127"/>
      <c r="BM1127"/>
      <c r="BN1127"/>
      <c r="BO1127"/>
      <c r="BP1127"/>
      <c r="BQ1127"/>
      <c r="BR1127"/>
      <c r="BS1127"/>
      <c r="BT1127"/>
      <c r="BU1127"/>
      <c r="BV1127"/>
      <c r="BW1127"/>
      <c r="BX1127"/>
      <c r="BY1127"/>
      <c r="BZ1127"/>
      <c r="CA1127" s="1396"/>
      <c r="CB1127" s="1396"/>
      <c r="CC1127"/>
      <c r="CD1127"/>
      <c r="CE1127"/>
    </row>
    <row r="1128" spans="1:83" outlineLevel="1" x14ac:dyDescent="0.2">
      <c r="A1128"/>
      <c r="B1128" s="945">
        <v>16</v>
      </c>
      <c r="C1128" s="977" t="str">
        <f>IF(AK1112="","",RANK(F1128,F1113:F1129)*1000+ROW())</f>
        <v/>
      </c>
      <c r="D1128" s="978" t="str">
        <f t="shared" si="728"/>
        <v/>
      </c>
      <c r="E1128" s="978" t="str">
        <f>IF(L1128="","",Nb_Diff_Part(D1128,D1113:D1129,G1128,G1113:G1129,AI1132:AI1299)*CritClassInd_DiffPart+Nb_Goal_Part(D1128,D1113:D1129,G1128,G1113:G1129,V1132:Z1299)*CritClassInd_GoalPart+Nb_Score_Part(D1128,D1113:D1129,G1128,G1113:G1129,V1132:Z1299)*CritClassInd_ScorePart)</f>
        <v/>
      </c>
      <c r="F1128" s="979" t="str">
        <f t="shared" si="729"/>
        <v/>
      </c>
      <c r="G1128" s="39" t="s">
        <v>792</v>
      </c>
      <c r="H1128" s="501">
        <f t="shared" si="726"/>
        <v>0</v>
      </c>
      <c r="I1128" s="39"/>
      <c r="J1128" s="977" t="str">
        <f>IF(AK1112="","",(L1128*Points_Victoire)+M1128*Points_Null)</f>
        <v/>
      </c>
      <c r="K1128" s="988" t="str">
        <f t="shared" si="727"/>
        <v/>
      </c>
      <c r="L1128" s="988" t="str">
        <f>IF(AK1112="","",COUNTIF(AE1132:AE1299,G1128))</f>
        <v/>
      </c>
      <c r="M1128" s="988" t="str">
        <f>IF(AK1112="","",COUNTIF(AF1132:AG1299,G1128))</f>
        <v/>
      </c>
      <c r="N1128" s="988" t="str">
        <f>IF(AK1112="","",COUNTIF(AH1132:AH1299,G1128))</f>
        <v/>
      </c>
      <c r="O1128" s="988" t="str">
        <f>IF(AK1112="","",SUMIF(V1132:V1299,G1128,AB1132:AB1299)+SUMIF(Z1132:Z1299,G1128,AD1132:AD1299))</f>
        <v/>
      </c>
      <c r="P1128" s="988" t="str">
        <f>IF(AK1112="","",SUMIF(V1132:V1299,G1128,AD1132:AD1299)+SUMIF(Z1132:Z1299,G1128,AB1132:AB1299))</f>
        <v/>
      </c>
      <c r="Q1128" s="989" t="str">
        <f>IF(AK1112="","",O1128-P1128)</f>
        <v/>
      </c>
      <c r="R1128"/>
      <c r="S1128"/>
      <c r="T1128"/>
      <c r="U1128"/>
      <c r="V1128"/>
      <c r="W1128" s="1"/>
      <c r="X1128" s="1"/>
      <c r="Y1128" s="1"/>
      <c r="Z1128"/>
      <c r="AB1128" s="964"/>
      <c r="AC1128" s="964"/>
      <c r="AD1128" s="964"/>
      <c r="AE1128" s="964"/>
      <c r="AF1128" s="964"/>
      <c r="AG1128" s="964"/>
      <c r="AH1128" s="964"/>
      <c r="AI1128" s="964"/>
      <c r="AJ1128" s="964"/>
      <c r="AK1128" s="968" t="str">
        <f>IF(AK1112="","",SMALL(C1113:C1129,16))</f>
        <v/>
      </c>
      <c r="AL1128"/>
      <c r="AM1128" s="16"/>
      <c r="AN1128" s="946" t="str">
        <f>IF(AK1112="","",INT(AK1128/1000))</f>
        <v/>
      </c>
      <c r="AO1128" s="42" t="str">
        <f>IF(AK1112="","",VLOOKUP(AK1128,C1113:Q1129,5,FALSE))</f>
        <v/>
      </c>
      <c r="AP1128" s="42" t="str">
        <f>VLOOKUP(AK1128,C1113:Q1129,8,FALSE)</f>
        <v/>
      </c>
      <c r="AQ1128" s="42" t="str">
        <f>VLOOKUP(AK1128,C1113:Q1129,9,FALSE)</f>
        <v/>
      </c>
      <c r="AR1128" s="42" t="str">
        <f>VLOOKUP(AK1128,C1113:Q1129,10,FALSE)</f>
        <v/>
      </c>
      <c r="AS1128" s="42" t="str">
        <f>VLOOKUP(AK1128,C1113:Q1129,11,FALSE)</f>
        <v/>
      </c>
      <c r="AT1128" s="42" t="str">
        <f>VLOOKUP(AK1128,C1113:Q1129,12,FALSE)</f>
        <v/>
      </c>
      <c r="AU1128" s="42" t="str">
        <f>VLOOKUP(AK1128,C1113:Q1129,13,FALSE)</f>
        <v/>
      </c>
      <c r="AV1128" s="42" t="str">
        <f>VLOOKUP(AK1128,C1113:Q1129,14,FALSE)</f>
        <v/>
      </c>
      <c r="AW1128" s="947" t="str">
        <f>VLOOKUP(AK1128,C1113:Q1129,15,FALSE)</f>
        <v/>
      </c>
      <c r="AX1128"/>
      <c r="AY1128"/>
      <c r="AZ1128" s="1"/>
      <c r="BA1128" s="1"/>
      <c r="BB1128"/>
      <c r="BC1128" s="6"/>
      <c r="BD1128"/>
      <c r="BE1128" s="1"/>
      <c r="BF1128"/>
      <c r="BG1128" s="16"/>
      <c r="BH1128"/>
      <c r="BI1128"/>
      <c r="BJ1128"/>
      <c r="BK1128"/>
      <c r="BL1128"/>
      <c r="BM1128"/>
      <c r="BN1128"/>
      <c r="BO1128"/>
      <c r="BP1128"/>
      <c r="BQ1128"/>
      <c r="BR1128"/>
      <c r="BS1128"/>
      <c r="BT1128"/>
      <c r="BU1128"/>
      <c r="BV1128"/>
      <c r="BW1128"/>
      <c r="BX1128"/>
      <c r="BY1128"/>
      <c r="BZ1128"/>
      <c r="CA1128" s="1396"/>
      <c r="CB1128" s="1396"/>
      <c r="CC1128"/>
      <c r="CD1128"/>
      <c r="CE1128"/>
    </row>
    <row r="1129" spans="1:83" ht="13.5" outlineLevel="1" thickBot="1" x14ac:dyDescent="0.25">
      <c r="A1129"/>
      <c r="B1129" s="945">
        <v>17</v>
      </c>
      <c r="C1129" s="977" t="str">
        <f>IF(AK1112="","",RANK(F1129,F1113:F1129)*1000+ROW())</f>
        <v/>
      </c>
      <c r="D1129" s="978" t="str">
        <f t="shared" si="728"/>
        <v/>
      </c>
      <c r="E1129" s="978" t="str">
        <f>IF(L1129="","",Nb_Diff_Part(D1129,D1113:D1129,G1129,G1113:G1129,AI1132:AI1299)*CritClassInd_DiffPart+Nb_Goal_Part(D1129,D1113:D1129,G1129,G1113:G1129,V1132:Z1299)*CritClassInd_GoalPart+Nb_Score_Part(D1129,D1113:D1129,G1129,G1113:G1129,V1132:Z1299)*CritClassInd_ScorePart)</f>
        <v/>
      </c>
      <c r="F1129" s="979" t="str">
        <f t="shared" si="729"/>
        <v/>
      </c>
      <c r="G1129" s="39" t="s">
        <v>3919</v>
      </c>
      <c r="H1129" s="501">
        <f t="shared" si="726"/>
        <v>0</v>
      </c>
      <c r="I1129" s="39"/>
      <c r="J1129" s="977" t="str">
        <f>IF(AK1112="","",(L1129*Points_Victoire)+M1129*Points_Null)</f>
        <v/>
      </c>
      <c r="K1129" s="988" t="str">
        <f t="shared" si="727"/>
        <v/>
      </c>
      <c r="L1129" s="988" t="str">
        <f>IF(AK1112="","",COUNTIF(AE1132:AE1299,G1129))</f>
        <v/>
      </c>
      <c r="M1129" s="988" t="str">
        <f>IF(AK1112="","",COUNTIF(AF1132:AG1299,G1129))</f>
        <v/>
      </c>
      <c r="N1129" s="988" t="str">
        <f>IF(AK1112="","",COUNTIF(AH1132:AH1299,G1129))</f>
        <v/>
      </c>
      <c r="O1129" s="988" t="str">
        <f>IF(AK1112="","",SUMIF(V1132:V1299,G1129,AB1132:AB1299)+SUMIF(Z1132:Z1299,G1129,AD1132:AD1299))</f>
        <v/>
      </c>
      <c r="P1129" s="988" t="str">
        <f>IF(AK1112="","",SUMIF(V1132:V1299,G1129,AD1132:AD1299)+SUMIF(Z1132:Z1299,G1129,AB1132:AB1299))</f>
        <v/>
      </c>
      <c r="Q1129" s="989" t="str">
        <f>IF(AK1112="","",O1129-P1129)</f>
        <v/>
      </c>
      <c r="R1129"/>
      <c r="S1129"/>
      <c r="T1129"/>
      <c r="U1129"/>
      <c r="V1129"/>
      <c r="W1129" s="1"/>
      <c r="X1129" s="1"/>
      <c r="Y1129" s="1"/>
      <c r="Z1129"/>
      <c r="AB1129" s="964"/>
      <c r="AC1129" s="964"/>
      <c r="AD1129" s="964"/>
      <c r="AE1129" s="964"/>
      <c r="AF1129" s="964"/>
      <c r="AG1129" s="964"/>
      <c r="AH1129" s="964"/>
      <c r="AI1129" s="964"/>
      <c r="AJ1129" s="964"/>
      <c r="AK1129" s="968" t="str">
        <f>IF(AK1112="","",SMALL(C1113:C1129,17))</f>
        <v/>
      </c>
      <c r="AL1129"/>
      <c r="AM1129" s="16"/>
      <c r="AN1129" s="946" t="str">
        <f>IF(AK1112="","",INT(AK1129/1000))</f>
        <v/>
      </c>
      <c r="AO1129" s="42" t="str">
        <f>IF(AK1112="","",VLOOKUP(AK1129,C1113:Q1129,5,FALSE))</f>
        <v/>
      </c>
      <c r="AP1129" s="42" t="str">
        <f>VLOOKUP(AK1129,C1113:Q1129,8,FALSE)</f>
        <v/>
      </c>
      <c r="AQ1129" s="42" t="str">
        <f>VLOOKUP(AK1129,C1113:Q1129,9,FALSE)</f>
        <v/>
      </c>
      <c r="AR1129" s="42" t="str">
        <f>VLOOKUP(AK1129,C1113:Q1129,10,FALSE)</f>
        <v/>
      </c>
      <c r="AS1129" s="42" t="str">
        <f>VLOOKUP(AK1129,C1113:Q1129,11,FALSE)</f>
        <v/>
      </c>
      <c r="AT1129" s="42" t="str">
        <f>VLOOKUP(AK1129,C1113:Q1129,12,FALSE)</f>
        <v/>
      </c>
      <c r="AU1129" s="42" t="str">
        <f>VLOOKUP(AK1129,C1113:Q1129,13,FALSE)</f>
        <v/>
      </c>
      <c r="AV1129" s="42" t="str">
        <f>VLOOKUP(AK1129,C1113:Q1129,14,FALSE)</f>
        <v/>
      </c>
      <c r="AW1129" s="947" t="str">
        <f>VLOOKUP(AK1129,C1113:Q1129,15,FALSE)</f>
        <v/>
      </c>
      <c r="AX1129"/>
      <c r="AY1129"/>
      <c r="AZ1129" s="1"/>
      <c r="BA1129" s="1"/>
      <c r="BB1129"/>
      <c r="BC1129" s="6"/>
      <c r="BD1129"/>
      <c r="BE1129" s="1"/>
      <c r="BF1129"/>
      <c r="BG1129" s="16"/>
      <c r="BH1129"/>
      <c r="BI1129"/>
      <c r="BJ1129"/>
      <c r="BK1129"/>
      <c r="BL1129"/>
      <c r="BM1129"/>
      <c r="BN1129"/>
      <c r="BO1129"/>
      <c r="BP1129"/>
      <c r="BQ1129"/>
      <c r="BR1129"/>
      <c r="BS1129"/>
      <c r="BT1129"/>
      <c r="BU1129"/>
      <c r="BV1129"/>
      <c r="BW1129"/>
      <c r="BX1129"/>
      <c r="BY1129"/>
      <c r="BZ1129"/>
      <c r="CA1129" s="1396"/>
      <c r="CB1129" s="1396"/>
      <c r="CC1129"/>
      <c r="CD1129"/>
      <c r="CE1129"/>
    </row>
    <row r="1130" spans="1:83" ht="13.5" outlineLevel="1" thickBot="1" x14ac:dyDescent="0.25">
      <c r="A1130"/>
      <c r="B1130" s="1"/>
      <c r="C1130" s="1"/>
      <c r="D1130" s="76"/>
      <c r="E1130" s="76"/>
      <c r="F1130" s="76"/>
      <c r="G1130" s="9"/>
      <c r="H1130" s="9"/>
      <c r="I1130" s="1"/>
      <c r="J1130"/>
      <c r="K1130"/>
      <c r="L1130"/>
      <c r="M1130"/>
      <c r="N1130"/>
      <c r="O1130"/>
      <c r="P1130" s="89"/>
      <c r="Q1130"/>
      <c r="R1130" s="1"/>
      <c r="S1130" s="993">
        <v>1</v>
      </c>
      <c r="T1130" s="961"/>
      <c r="U1130" s="961"/>
      <c r="V1130" s="961"/>
      <c r="W1130" s="960"/>
      <c r="X1130" s="960"/>
      <c r="Y1130" s="960"/>
      <c r="Z1130" s="962"/>
      <c r="AA1130" s="123"/>
      <c r="AB1130" s="1461" t="str">
        <f>IF(MaxScore,N_MaxScore,"")</f>
        <v>Score Max</v>
      </c>
      <c r="AC1130" s="1461"/>
      <c r="AD1130" s="1461"/>
      <c r="AE1130" s="964"/>
      <c r="AF1130" s="964"/>
      <c r="AG1130" s="964"/>
      <c r="AH1130" s="964"/>
      <c r="AI1130" s="964"/>
      <c r="AJ1130" s="964"/>
      <c r="AK1130" s="964"/>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s="1396"/>
      <c r="CB1130" s="1396"/>
      <c r="CC1130"/>
      <c r="CD1130"/>
      <c r="CE1130"/>
    </row>
    <row r="1131" spans="1:83" ht="13.9" customHeight="1" outlineLevel="2" thickBot="1" x14ac:dyDescent="0.25">
      <c r="A1131"/>
      <c r="B1131" s="1"/>
      <c r="C1131"/>
      <c r="D1131"/>
      <c r="E1131"/>
      <c r="F1131"/>
      <c r="G1131" s="1"/>
      <c r="H1131" s="1"/>
      <c r="I1131"/>
      <c r="J1131"/>
      <c r="K1131"/>
      <c r="L1131"/>
      <c r="M1131"/>
      <c r="N1131"/>
      <c r="O1131"/>
      <c r="P1131"/>
      <c r="Q1131"/>
      <c r="S1131" s="18" t="str">
        <f>N_Heure</f>
        <v>Heure</v>
      </c>
      <c r="T1131" s="22" t="str">
        <f>N_Table</f>
        <v>Table</v>
      </c>
      <c r="U1131" s="952" t="str">
        <f>N_Arbitre</f>
        <v>Arbitre</v>
      </c>
      <c r="V1131" s="293" t="str">
        <f>N_Matches</f>
        <v>Matches</v>
      </c>
      <c r="W1131" s="294"/>
      <c r="X1131" s="294"/>
      <c r="Y1131" s="294"/>
      <c r="Z1131" s="295"/>
      <c r="AA1131" s="8"/>
      <c r="AB1131" s="967"/>
      <c r="AC1131" s="967"/>
      <c r="AD1131" s="967"/>
      <c r="AE1131" s="964"/>
      <c r="AF1131" s="964"/>
      <c r="AG1131" s="964"/>
      <c r="AH1131" s="964"/>
      <c r="AI1131" s="964"/>
      <c r="AJ1131" s="964"/>
      <c r="AK1131" s="964"/>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s="1396"/>
      <c r="CB1131" s="1396"/>
      <c r="CC1131"/>
      <c r="CD1131"/>
      <c r="CE1131"/>
    </row>
    <row r="1132" spans="1:83" ht="13.15" customHeight="1" outlineLevel="2" x14ac:dyDescent="0.2">
      <c r="A1132"/>
      <c r="B1132" s="1"/>
      <c r="C1132"/>
      <c r="D1132"/>
      <c r="E1132"/>
      <c r="F1132"/>
      <c r="G1132" s="1"/>
      <c r="H1132" s="1"/>
      <c r="I1132"/>
      <c r="J1132"/>
      <c r="K1132"/>
      <c r="L1132"/>
      <c r="M1132"/>
      <c r="N1132"/>
      <c r="O1132"/>
      <c r="P1132"/>
      <c r="Q1132"/>
      <c r="R1132" s="558" t="s">
        <v>1726</v>
      </c>
      <c r="S1132" s="65"/>
      <c r="T1132" s="953"/>
      <c r="U1132" s="954"/>
      <c r="V1132" s="34" t="str">
        <f>IF(G1113="","",G1113)</f>
        <v>A</v>
      </c>
      <c r="W1132" s="148"/>
      <c r="X1132" s="35" t="s">
        <v>769</v>
      </c>
      <c r="Y1132" s="148"/>
      <c r="Z1132" s="36" t="str">
        <f>IF(G1114="","",G1114)</f>
        <v>B</v>
      </c>
      <c r="AA1132" s="123"/>
      <c r="AB1132" s="1459">
        <f t="shared" ref="AB1132:AB1139" si="730">IF(MaxScore,MaxGoals(W1132,Y1132,MaxGoalsValue),IF(W1132="","",W1132))</f>
        <v>0</v>
      </c>
      <c r="AC1132" s="1460" t="str">
        <f t="shared" ref="AC1132:AC1139" si="731">IF(MaxScore,"-",IF(W1132="","","-"))</f>
        <v>-</v>
      </c>
      <c r="AD1132" s="1459">
        <f t="shared" ref="AD1132:AD1139" si="732">IF(MaxScore,MaxGoals(Y1132,W1132,MaxGoalsValue),IF(Y1132="","",Y1132))</f>
        <v>0</v>
      </c>
      <c r="AE1132" s="964" t="str">
        <f t="shared" ref="AE1132:AE1139" si="733">IF(W1132="","",IF(W1132&gt;Y1132,V1132,IF(W1132=Y1132,"",Z1132)))</f>
        <v/>
      </c>
      <c r="AF1132" s="964" t="str">
        <f t="shared" ref="AF1132:AF1139" si="734">IF(W1132="","",IF(W1132=Y1132,V1132,""))</f>
        <v/>
      </c>
      <c r="AG1132" s="964" t="str">
        <f t="shared" ref="AG1132:AG1139" si="735">IF(W1132="","",IF(W1132=Y1132,Z1132,""))</f>
        <v/>
      </c>
      <c r="AH1132" s="964" t="str">
        <f t="shared" ref="AH1132:AH1139" si="736">IF(W1132="","",IF(W1132&lt;Y1132,V1132,IF(W1132=Y1132,"",Z1132)))</f>
        <v/>
      </c>
      <c r="AI1132" s="964" t="str">
        <f t="shared" ref="AI1132:AI1139" si="737">CONCATENATE(AE1132,AH1132)</f>
        <v/>
      </c>
      <c r="AJ1132" s="964"/>
      <c r="AK1132" s="964"/>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s="1396"/>
      <c r="CB1132" s="1396"/>
      <c r="CC1132"/>
      <c r="CD1132"/>
      <c r="CE1132"/>
    </row>
    <row r="1133" spans="1:83" ht="13.15" customHeight="1" outlineLevel="2" x14ac:dyDescent="0.2">
      <c r="A1133"/>
      <c r="B1133" s="1"/>
      <c r="C1133"/>
      <c r="D1133"/>
      <c r="E1133"/>
      <c r="F1133"/>
      <c r="G1133" s="1"/>
      <c r="H1133" s="1"/>
      <c r="I1133"/>
      <c r="J1133"/>
      <c r="K1133"/>
      <c r="L1133"/>
      <c r="M1133"/>
      <c r="N1133"/>
      <c r="O1133"/>
      <c r="P1133"/>
      <c r="Q1133"/>
      <c r="R1133" s="558" t="s">
        <v>1726</v>
      </c>
      <c r="S1133" s="83"/>
      <c r="T1133" s="56"/>
      <c r="U1133" s="955"/>
      <c r="V1133" s="43" t="str">
        <f>IF(G1115="","",G1115)</f>
        <v>C</v>
      </c>
      <c r="W1133" s="10"/>
      <c r="X1133" s="45" t="s">
        <v>769</v>
      </c>
      <c r="Y1133" s="10"/>
      <c r="Z1133" s="46" t="str">
        <f>IF(G1116="","",G1116)</f>
        <v>D</v>
      </c>
      <c r="AA1133" s="123"/>
      <c r="AB1133" s="1459">
        <f t="shared" si="730"/>
        <v>0</v>
      </c>
      <c r="AC1133" s="1460" t="str">
        <f t="shared" si="731"/>
        <v>-</v>
      </c>
      <c r="AD1133" s="1459">
        <f t="shared" si="732"/>
        <v>0</v>
      </c>
      <c r="AE1133" s="964" t="str">
        <f t="shared" si="733"/>
        <v/>
      </c>
      <c r="AF1133" s="964" t="str">
        <f t="shared" si="734"/>
        <v/>
      </c>
      <c r="AG1133" s="964" t="str">
        <f t="shared" si="735"/>
        <v/>
      </c>
      <c r="AH1133" s="964" t="str">
        <f t="shared" si="736"/>
        <v/>
      </c>
      <c r="AI1133" s="964" t="str">
        <f t="shared" si="737"/>
        <v/>
      </c>
      <c r="AJ1133" s="964"/>
      <c r="AK1133" s="964"/>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s="1396"/>
      <c r="CB1133" s="1396"/>
      <c r="CC1133"/>
      <c r="CD1133"/>
      <c r="CE1133"/>
    </row>
    <row r="1134" spans="1:83" ht="13.15" customHeight="1" outlineLevel="2" x14ac:dyDescent="0.2">
      <c r="A1134"/>
      <c r="B1134" s="1"/>
      <c r="C1134"/>
      <c r="D1134"/>
      <c r="E1134"/>
      <c r="F1134"/>
      <c r="G1134" s="1"/>
      <c r="H1134" s="1"/>
      <c r="I1134"/>
      <c r="J1134"/>
      <c r="K1134"/>
      <c r="L1134"/>
      <c r="M1134"/>
      <c r="N1134"/>
      <c r="O1134"/>
      <c r="P1134"/>
      <c r="Q1134"/>
      <c r="R1134" s="558" t="s">
        <v>1726</v>
      </c>
      <c r="S1134" s="83"/>
      <c r="T1134" s="56"/>
      <c r="U1134" s="955"/>
      <c r="V1134" s="43" t="str">
        <f>IF(G1117="","",G1117)</f>
        <v>E</v>
      </c>
      <c r="W1134" s="10"/>
      <c r="X1134" s="45" t="s">
        <v>769</v>
      </c>
      <c r="Y1134" s="10"/>
      <c r="Z1134" s="46" t="str">
        <f>IF(G1118="","",G1118)</f>
        <v>F</v>
      </c>
      <c r="AA1134" s="123"/>
      <c r="AB1134" s="1459">
        <f t="shared" si="730"/>
        <v>0</v>
      </c>
      <c r="AC1134" s="1460" t="str">
        <f t="shared" si="731"/>
        <v>-</v>
      </c>
      <c r="AD1134" s="1459">
        <f t="shared" si="732"/>
        <v>0</v>
      </c>
      <c r="AE1134" s="964" t="str">
        <f t="shared" si="733"/>
        <v/>
      </c>
      <c r="AF1134" s="964" t="str">
        <f t="shared" si="734"/>
        <v/>
      </c>
      <c r="AG1134" s="964" t="str">
        <f t="shared" si="735"/>
        <v/>
      </c>
      <c r="AH1134" s="964" t="str">
        <f t="shared" si="736"/>
        <v/>
      </c>
      <c r="AI1134" s="964" t="str">
        <f t="shared" si="737"/>
        <v/>
      </c>
      <c r="AJ1134" s="964"/>
      <c r="AK1134" s="96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s="1396"/>
      <c r="CB1134" s="1396"/>
      <c r="CC1134"/>
      <c r="CD1134"/>
      <c r="CE1134"/>
    </row>
    <row r="1135" spans="1:83" ht="13.15" customHeight="1" outlineLevel="2" x14ac:dyDescent="0.2">
      <c r="A1135"/>
      <c r="B1135" s="1"/>
      <c r="C1135"/>
      <c r="D1135"/>
      <c r="E1135"/>
      <c r="F1135"/>
      <c r="G1135" s="1"/>
      <c r="H1135" s="1"/>
      <c r="I1135"/>
      <c r="J1135"/>
      <c r="K1135"/>
      <c r="L1135"/>
      <c r="M1135"/>
      <c r="N1135"/>
      <c r="O1135"/>
      <c r="P1135"/>
      <c r="Q1135"/>
      <c r="R1135" s="558" t="s">
        <v>1726</v>
      </c>
      <c r="S1135" s="83"/>
      <c r="T1135" s="56"/>
      <c r="U1135" s="955"/>
      <c r="V1135" s="43" t="str">
        <f>IF(G1119="","",G1119)</f>
        <v>G</v>
      </c>
      <c r="W1135" s="10"/>
      <c r="X1135" s="45" t="s">
        <v>769</v>
      </c>
      <c r="Y1135" s="10"/>
      <c r="Z1135" s="46" t="str">
        <f>IF(G1120="","",G1120)</f>
        <v>H</v>
      </c>
      <c r="AA1135" s="123"/>
      <c r="AB1135" s="1459">
        <f t="shared" si="730"/>
        <v>0</v>
      </c>
      <c r="AC1135" s="1460" t="str">
        <f t="shared" si="731"/>
        <v>-</v>
      </c>
      <c r="AD1135" s="1459">
        <f t="shared" si="732"/>
        <v>0</v>
      </c>
      <c r="AE1135" s="964" t="str">
        <f t="shared" si="733"/>
        <v/>
      </c>
      <c r="AF1135" s="964" t="str">
        <f t="shared" si="734"/>
        <v/>
      </c>
      <c r="AG1135" s="964" t="str">
        <f t="shared" si="735"/>
        <v/>
      </c>
      <c r="AH1135" s="964" t="str">
        <f t="shared" si="736"/>
        <v/>
      </c>
      <c r="AI1135" s="964" t="str">
        <f t="shared" si="737"/>
        <v/>
      </c>
      <c r="AJ1135" s="964"/>
      <c r="AK1135" s="964"/>
      <c r="AL1135"/>
      <c r="AM1135"/>
      <c r="AN1135"/>
      <c r="AO1135"/>
      <c r="AP1135"/>
      <c r="AQ1135"/>
      <c r="AR1135"/>
      <c r="AS1135"/>
      <c r="AT1135"/>
      <c r="AU1135"/>
      <c r="AV1135"/>
      <c r="AW1135"/>
      <c r="AX1135" s="9"/>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s="1396"/>
      <c r="CB1135" s="1396"/>
      <c r="CC1135"/>
      <c r="CD1135"/>
      <c r="CE1135"/>
    </row>
    <row r="1136" spans="1:83" ht="13.15" customHeight="1" outlineLevel="2" x14ac:dyDescent="0.2">
      <c r="A1136"/>
      <c r="B1136" s="1"/>
      <c r="C1136"/>
      <c r="D1136"/>
      <c r="E1136"/>
      <c r="F1136"/>
      <c r="G1136" s="1"/>
      <c r="H1136" s="1"/>
      <c r="I1136"/>
      <c r="J1136"/>
      <c r="K1136"/>
      <c r="L1136"/>
      <c r="M1136"/>
      <c r="N1136"/>
      <c r="O1136"/>
      <c r="P1136"/>
      <c r="Q1136"/>
      <c r="R1136" s="558" t="s">
        <v>1726</v>
      </c>
      <c r="S1136" s="83"/>
      <c r="T1136" s="56"/>
      <c r="U1136" s="955"/>
      <c r="V1136" s="43" t="str">
        <f>IF(G1121="","",G1121)</f>
        <v>I</v>
      </c>
      <c r="W1136" s="10"/>
      <c r="X1136" s="45" t="s">
        <v>769</v>
      </c>
      <c r="Y1136" s="10"/>
      <c r="Z1136" s="46" t="str">
        <f>IF(G1122="","",G1122)</f>
        <v>J</v>
      </c>
      <c r="AA1136" s="123"/>
      <c r="AB1136" s="1459">
        <f t="shared" si="730"/>
        <v>0</v>
      </c>
      <c r="AC1136" s="1460" t="str">
        <f t="shared" si="731"/>
        <v>-</v>
      </c>
      <c r="AD1136" s="1459">
        <f t="shared" si="732"/>
        <v>0</v>
      </c>
      <c r="AE1136" s="964" t="str">
        <f t="shared" si="733"/>
        <v/>
      </c>
      <c r="AF1136" s="964" t="str">
        <f t="shared" si="734"/>
        <v/>
      </c>
      <c r="AG1136" s="964" t="str">
        <f t="shared" si="735"/>
        <v/>
      </c>
      <c r="AH1136" s="964" t="str">
        <f t="shared" si="736"/>
        <v/>
      </c>
      <c r="AI1136" s="964" t="str">
        <f t="shared" si="737"/>
        <v/>
      </c>
      <c r="AJ1136" s="964"/>
      <c r="AK1136" s="964"/>
      <c r="AL1136"/>
      <c r="AM1136"/>
      <c r="AN1136"/>
      <c r="AO1136"/>
      <c r="AP1136"/>
      <c r="AQ1136"/>
      <c r="AR1136"/>
      <c r="AS1136"/>
      <c r="AT1136"/>
      <c r="AU1136"/>
      <c r="AV1136"/>
      <c r="AW1136" s="9"/>
      <c r="AX1136" s="9"/>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s="1396"/>
      <c r="CB1136" s="1396"/>
      <c r="CC1136"/>
      <c r="CD1136"/>
      <c r="CE1136"/>
    </row>
    <row r="1137" spans="1:83" ht="13.15" customHeight="1" outlineLevel="2" x14ac:dyDescent="0.2">
      <c r="A1137"/>
      <c r="B1137" s="1"/>
      <c r="C1137"/>
      <c r="D1137"/>
      <c r="E1137"/>
      <c r="F1137"/>
      <c r="G1137" s="1"/>
      <c r="H1137" s="1"/>
      <c r="I1137"/>
      <c r="J1137"/>
      <c r="K1137"/>
      <c r="L1137"/>
      <c r="M1137"/>
      <c r="N1137"/>
      <c r="O1137"/>
      <c r="P1137"/>
      <c r="Q1137"/>
      <c r="R1137" s="558" t="s">
        <v>1726</v>
      </c>
      <c r="S1137" s="83"/>
      <c r="T1137" s="56"/>
      <c r="U1137" s="955"/>
      <c r="V1137" s="43" t="str">
        <f>IF(G1123="","",G1123)</f>
        <v>K</v>
      </c>
      <c r="W1137" s="10"/>
      <c r="X1137" s="45" t="s">
        <v>769</v>
      </c>
      <c r="Y1137" s="10"/>
      <c r="Z1137" s="46" t="str">
        <f>IF(G1124="","",G1124)</f>
        <v>L</v>
      </c>
      <c r="AA1137" s="123"/>
      <c r="AB1137" s="1459">
        <f t="shared" si="730"/>
        <v>0</v>
      </c>
      <c r="AC1137" s="1460" t="str">
        <f t="shared" si="731"/>
        <v>-</v>
      </c>
      <c r="AD1137" s="1459">
        <f t="shared" si="732"/>
        <v>0</v>
      </c>
      <c r="AE1137" s="964" t="str">
        <f t="shared" si="733"/>
        <v/>
      </c>
      <c r="AF1137" s="964" t="str">
        <f t="shared" si="734"/>
        <v/>
      </c>
      <c r="AG1137" s="964" t="str">
        <f t="shared" si="735"/>
        <v/>
      </c>
      <c r="AH1137" s="964" t="str">
        <f t="shared" si="736"/>
        <v/>
      </c>
      <c r="AI1137" s="964" t="str">
        <f t="shared" si="737"/>
        <v/>
      </c>
      <c r="AJ1137" s="964"/>
      <c r="AK1137" s="964"/>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s="1396"/>
      <c r="CB1137" s="1396"/>
      <c r="CC1137"/>
      <c r="CD1137"/>
      <c r="CE1137"/>
    </row>
    <row r="1138" spans="1:83" ht="13.15" customHeight="1" outlineLevel="2" x14ac:dyDescent="0.2">
      <c r="A1138"/>
      <c r="B1138" s="1"/>
      <c r="C1138"/>
      <c r="D1138"/>
      <c r="E1138"/>
      <c r="F1138"/>
      <c r="G1138" s="1"/>
      <c r="H1138" s="1"/>
      <c r="I1138"/>
      <c r="J1138"/>
      <c r="K1138"/>
      <c r="L1138"/>
      <c r="M1138"/>
      <c r="N1138"/>
      <c r="O1138"/>
      <c r="P1138"/>
      <c r="Q1138"/>
      <c r="R1138" s="558" t="s">
        <v>1726</v>
      </c>
      <c r="S1138" s="83"/>
      <c r="T1138" s="56"/>
      <c r="U1138" s="955"/>
      <c r="V1138" s="43" t="str">
        <f>IF(G1125="","",G1125)</f>
        <v>M</v>
      </c>
      <c r="W1138" s="10"/>
      <c r="X1138" s="45" t="s">
        <v>769</v>
      </c>
      <c r="Y1138" s="10"/>
      <c r="Z1138" s="46" t="str">
        <f>IF(G1126="","",G1126)</f>
        <v>N</v>
      </c>
      <c r="AA1138" s="123"/>
      <c r="AB1138" s="1459">
        <f t="shared" si="730"/>
        <v>0</v>
      </c>
      <c r="AC1138" s="1460" t="str">
        <f t="shared" si="731"/>
        <v>-</v>
      </c>
      <c r="AD1138" s="1459">
        <f t="shared" si="732"/>
        <v>0</v>
      </c>
      <c r="AE1138" s="964" t="str">
        <f t="shared" si="733"/>
        <v/>
      </c>
      <c r="AF1138" s="964" t="str">
        <f t="shared" si="734"/>
        <v/>
      </c>
      <c r="AG1138" s="964" t="str">
        <f t="shared" si="735"/>
        <v/>
      </c>
      <c r="AH1138" s="964" t="str">
        <f t="shared" si="736"/>
        <v/>
      </c>
      <c r="AI1138" s="964" t="str">
        <f t="shared" si="737"/>
        <v/>
      </c>
      <c r="AJ1138" s="964"/>
      <c r="AK1138" s="964"/>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s="1396"/>
      <c r="CB1138" s="1396"/>
      <c r="CC1138"/>
      <c r="CD1138"/>
      <c r="CE1138"/>
    </row>
    <row r="1139" spans="1:83" ht="13.15" customHeight="1" outlineLevel="2" thickBot="1" x14ac:dyDescent="0.25">
      <c r="A1139"/>
      <c r="B1139" s="1"/>
      <c r="C1139"/>
      <c r="D1139"/>
      <c r="E1139"/>
      <c r="F1139"/>
      <c r="G1139" s="1"/>
      <c r="H1139" s="1"/>
      <c r="I1139"/>
      <c r="J1139"/>
      <c r="K1139"/>
      <c r="L1139"/>
      <c r="M1139"/>
      <c r="N1139"/>
      <c r="O1139"/>
      <c r="P1139"/>
      <c r="Q1139"/>
      <c r="R1139" s="558" t="s">
        <v>1726</v>
      </c>
      <c r="S1139" s="83"/>
      <c r="T1139" s="56"/>
      <c r="U1139" s="955"/>
      <c r="V1139" s="43" t="str">
        <f>IF(G1127="","",G1127)</f>
        <v>O</v>
      </c>
      <c r="W1139" s="10"/>
      <c r="X1139" s="45" t="s">
        <v>769</v>
      </c>
      <c r="Y1139" s="10"/>
      <c r="Z1139" s="46" t="str">
        <f>IF(G1128="","",G1128)</f>
        <v>P</v>
      </c>
      <c r="AA1139" s="123"/>
      <c r="AB1139" s="1459">
        <f t="shared" si="730"/>
        <v>0</v>
      </c>
      <c r="AC1139" s="1460" t="str">
        <f t="shared" si="731"/>
        <v>-</v>
      </c>
      <c r="AD1139" s="1459">
        <f t="shared" si="732"/>
        <v>0</v>
      </c>
      <c r="AE1139" s="964" t="str">
        <f t="shared" si="733"/>
        <v/>
      </c>
      <c r="AF1139" s="964" t="str">
        <f t="shared" si="734"/>
        <v/>
      </c>
      <c r="AG1139" s="964" t="str">
        <f t="shared" si="735"/>
        <v/>
      </c>
      <c r="AH1139" s="964" t="str">
        <f t="shared" si="736"/>
        <v/>
      </c>
      <c r="AI1139" s="964" t="str">
        <f t="shared" si="737"/>
        <v/>
      </c>
      <c r="AJ1139" s="964"/>
      <c r="AK1139" s="964"/>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s="1396"/>
      <c r="CB1139" s="1396"/>
      <c r="CC1139"/>
      <c r="CD1139"/>
      <c r="CE1139"/>
    </row>
    <row r="1140" spans="1:83" ht="13.5" outlineLevel="1" thickBot="1" x14ac:dyDescent="0.25">
      <c r="A1140"/>
      <c r="B1140" s="1"/>
      <c r="C1140" s="1"/>
      <c r="D1140" s="76"/>
      <c r="E1140" s="76"/>
      <c r="F1140" s="76"/>
      <c r="G1140" s="9"/>
      <c r="H1140" s="9"/>
      <c r="I1140" s="1"/>
      <c r="J1140"/>
      <c r="K1140"/>
      <c r="L1140"/>
      <c r="M1140"/>
      <c r="N1140"/>
      <c r="O1140"/>
      <c r="P1140" s="89"/>
      <c r="Q1140"/>
      <c r="R1140" s="1"/>
      <c r="S1140" s="993">
        <f>S1130+1</f>
        <v>2</v>
      </c>
      <c r="T1140" s="961"/>
      <c r="U1140" s="961"/>
      <c r="V1140" s="961"/>
      <c r="W1140" s="960"/>
      <c r="X1140" s="960"/>
      <c r="Y1140" s="960"/>
      <c r="Z1140" s="962"/>
      <c r="AA1140" s="123"/>
      <c r="AB1140" s="963"/>
      <c r="AC1140" s="963"/>
      <c r="AD1140" s="963"/>
      <c r="AE1140" s="964"/>
      <c r="AF1140" s="964"/>
      <c r="AG1140" s="964"/>
      <c r="AH1140" s="964"/>
      <c r="AI1140" s="964"/>
      <c r="AJ1140" s="964"/>
      <c r="AK1140" s="964"/>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s="1396"/>
      <c r="CB1140" s="1396"/>
      <c r="CC1140"/>
      <c r="CD1140"/>
      <c r="CE1140"/>
    </row>
    <row r="1141" spans="1:83" ht="13.9" customHeight="1" outlineLevel="2" thickBot="1" x14ac:dyDescent="0.25">
      <c r="A1141"/>
      <c r="B1141" s="1"/>
      <c r="C1141"/>
      <c r="D1141"/>
      <c r="E1141"/>
      <c r="F1141"/>
      <c r="G1141" s="1"/>
      <c r="H1141" s="1"/>
      <c r="I1141"/>
      <c r="J1141"/>
      <c r="K1141"/>
      <c r="L1141"/>
      <c r="M1141"/>
      <c r="N1141"/>
      <c r="O1141"/>
      <c r="P1141"/>
      <c r="Q1141"/>
      <c r="S1141" s="22" t="str">
        <f>N_Heure</f>
        <v>Heure</v>
      </c>
      <c r="T1141" s="22" t="str">
        <f>N_Table</f>
        <v>Table</v>
      </c>
      <c r="U1141" s="22" t="str">
        <f>N_Arbitre</f>
        <v>Arbitre</v>
      </c>
      <c r="V1141" s="293" t="str">
        <f>N_Matches</f>
        <v>Matches</v>
      </c>
      <c r="W1141" s="294"/>
      <c r="X1141" s="294"/>
      <c r="Y1141" s="294"/>
      <c r="Z1141" s="295"/>
      <c r="AA1141" s="8"/>
      <c r="AB1141" s="967"/>
      <c r="AC1141" s="967"/>
      <c r="AD1141" s="967"/>
      <c r="AE1141" s="964"/>
      <c r="AF1141" s="964"/>
      <c r="AG1141" s="964"/>
      <c r="AH1141" s="964"/>
      <c r="AI1141" s="964"/>
      <c r="AJ1141" s="964"/>
      <c r="AK1141" s="964"/>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s="1396"/>
      <c r="CB1141" s="1396"/>
      <c r="CC1141"/>
      <c r="CD1141"/>
      <c r="CE1141"/>
    </row>
    <row r="1142" spans="1:83" ht="13.15" customHeight="1" outlineLevel="2" x14ac:dyDescent="0.2">
      <c r="A1142"/>
      <c r="B1142" s="1"/>
      <c r="C1142"/>
      <c r="D1142"/>
      <c r="E1142"/>
      <c r="F1142"/>
      <c r="G1142" s="1"/>
      <c r="H1142" s="1"/>
      <c r="I1142"/>
      <c r="J1142"/>
      <c r="K1142"/>
      <c r="L1142"/>
      <c r="M1142"/>
      <c r="N1142"/>
      <c r="O1142"/>
      <c r="P1142"/>
      <c r="Q1142"/>
      <c r="R1142" s="558" t="s">
        <v>1727</v>
      </c>
      <c r="S1142" s="65"/>
      <c r="T1142" s="953"/>
      <c r="U1142" s="954"/>
      <c r="V1142" s="34" t="str">
        <f>V1133</f>
        <v>C</v>
      </c>
      <c r="W1142" s="148"/>
      <c r="X1142" s="35" t="s">
        <v>769</v>
      </c>
      <c r="Y1142" s="148"/>
      <c r="Z1142" s="36" t="str">
        <f>V1132</f>
        <v>A</v>
      </c>
      <c r="AA1142" s="123"/>
      <c r="AB1142" s="1459">
        <f t="shared" ref="AB1142:AB1149" si="738">IF(MaxScore,MaxGoals(W1142,Y1142,MaxGoalsValue),IF(W1142="","",W1142))</f>
        <v>0</v>
      </c>
      <c r="AC1142" s="1460" t="str">
        <f t="shared" ref="AC1142:AC1149" si="739">IF(MaxScore,"-",IF(W1142="","","-"))</f>
        <v>-</v>
      </c>
      <c r="AD1142" s="1459">
        <f t="shared" ref="AD1142:AD1149" si="740">IF(MaxScore,MaxGoals(Y1142,W1142,MaxGoalsValue),IF(Y1142="","",Y1142))</f>
        <v>0</v>
      </c>
      <c r="AE1142" s="964" t="str">
        <f t="shared" ref="AE1142:AE1149" si="741">IF(W1142="","",IF(W1142&gt;Y1142,V1142,IF(W1142=Y1142,"",Z1142)))</f>
        <v/>
      </c>
      <c r="AF1142" s="964" t="str">
        <f t="shared" ref="AF1142:AF1149" si="742">IF(W1142="","",IF(W1142=Y1142,V1142,""))</f>
        <v/>
      </c>
      <c r="AG1142" s="964" t="str">
        <f t="shared" ref="AG1142:AG1149" si="743">IF(W1142="","",IF(W1142=Y1142,Z1142,""))</f>
        <v/>
      </c>
      <c r="AH1142" s="964" t="str">
        <f t="shared" ref="AH1142:AH1149" si="744">IF(W1142="","",IF(W1142&lt;Y1142,V1142,IF(W1142=Y1142,"",Z1142)))</f>
        <v/>
      </c>
      <c r="AI1142" s="964" t="str">
        <f t="shared" ref="AI1142:AI1149" si="745">CONCATENATE(AE1142,AH1142)</f>
        <v/>
      </c>
      <c r="AJ1142" s="964"/>
      <c r="AK1142" s="964"/>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s="1396"/>
      <c r="CB1142" s="1396"/>
      <c r="CC1142"/>
      <c r="CD1142"/>
      <c r="CE1142"/>
    </row>
    <row r="1143" spans="1:83" ht="13.15" customHeight="1" outlineLevel="2" x14ac:dyDescent="0.2">
      <c r="A1143"/>
      <c r="B1143" s="1"/>
      <c r="C1143"/>
      <c r="D1143"/>
      <c r="E1143"/>
      <c r="F1143"/>
      <c r="G1143" s="1"/>
      <c r="H1143" s="1"/>
      <c r="I1143"/>
      <c r="J1143"/>
      <c r="K1143"/>
      <c r="L1143"/>
      <c r="M1143"/>
      <c r="N1143"/>
      <c r="O1143"/>
      <c r="P1143"/>
      <c r="Q1143"/>
      <c r="R1143" s="558" t="s">
        <v>1727</v>
      </c>
      <c r="S1143" s="83"/>
      <c r="T1143" s="56"/>
      <c r="U1143" s="955"/>
      <c r="V1143" s="43" t="str">
        <f t="shared" ref="V1143:V1149" si="746">Z1132</f>
        <v>B</v>
      </c>
      <c r="W1143" s="10"/>
      <c r="X1143" s="45" t="s">
        <v>769</v>
      </c>
      <c r="Y1143" s="10"/>
      <c r="Z1143" s="46" t="str">
        <f t="shared" ref="Z1143:Z1148" si="747">V1134</f>
        <v>E</v>
      </c>
      <c r="AA1143" s="123"/>
      <c r="AB1143" s="1459">
        <f t="shared" si="738"/>
        <v>0</v>
      </c>
      <c r="AC1143" s="1460" t="str">
        <f t="shared" si="739"/>
        <v>-</v>
      </c>
      <c r="AD1143" s="1459">
        <f t="shared" si="740"/>
        <v>0</v>
      </c>
      <c r="AE1143" s="964" t="str">
        <f t="shared" si="741"/>
        <v/>
      </c>
      <c r="AF1143" s="964" t="str">
        <f t="shared" si="742"/>
        <v/>
      </c>
      <c r="AG1143" s="964" t="str">
        <f t="shared" si="743"/>
        <v/>
      </c>
      <c r="AH1143" s="964" t="str">
        <f t="shared" si="744"/>
        <v/>
      </c>
      <c r="AI1143" s="964" t="str">
        <f t="shared" si="745"/>
        <v/>
      </c>
      <c r="AJ1143" s="964"/>
      <c r="AK1143" s="964"/>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s="1396"/>
      <c r="CB1143" s="1396"/>
      <c r="CC1143"/>
      <c r="CD1143"/>
      <c r="CE1143"/>
    </row>
    <row r="1144" spans="1:83" ht="13.15" customHeight="1" outlineLevel="2" x14ac:dyDescent="0.2">
      <c r="A1144"/>
      <c r="B1144" s="1"/>
      <c r="C1144"/>
      <c r="D1144"/>
      <c r="E1144"/>
      <c r="F1144"/>
      <c r="G1144" s="1"/>
      <c r="H1144" s="1"/>
      <c r="I1144"/>
      <c r="J1144"/>
      <c r="K1144"/>
      <c r="L1144"/>
      <c r="M1144"/>
      <c r="N1144"/>
      <c r="O1144"/>
      <c r="P1144"/>
      <c r="Q1144"/>
      <c r="R1144" s="558" t="s">
        <v>1727</v>
      </c>
      <c r="S1144" s="83"/>
      <c r="T1144" s="56"/>
      <c r="U1144" s="955"/>
      <c r="V1144" s="43" t="str">
        <f t="shared" si="746"/>
        <v>D</v>
      </c>
      <c r="W1144" s="10"/>
      <c r="X1144" s="45" t="s">
        <v>769</v>
      </c>
      <c r="Y1144" s="10"/>
      <c r="Z1144" s="46" t="str">
        <f t="shared" si="747"/>
        <v>G</v>
      </c>
      <c r="AA1144" s="123"/>
      <c r="AB1144" s="1459">
        <f t="shared" si="738"/>
        <v>0</v>
      </c>
      <c r="AC1144" s="1460" t="str">
        <f t="shared" si="739"/>
        <v>-</v>
      </c>
      <c r="AD1144" s="1459">
        <f t="shared" si="740"/>
        <v>0</v>
      </c>
      <c r="AE1144" s="964" t="str">
        <f t="shared" si="741"/>
        <v/>
      </c>
      <c r="AF1144" s="964" t="str">
        <f t="shared" si="742"/>
        <v/>
      </c>
      <c r="AG1144" s="964" t="str">
        <f t="shared" si="743"/>
        <v/>
      </c>
      <c r="AH1144" s="964" t="str">
        <f t="shared" si="744"/>
        <v/>
      </c>
      <c r="AI1144" s="964" t="str">
        <f t="shared" si="745"/>
        <v/>
      </c>
      <c r="AJ1144" s="964"/>
      <c r="AK1144" s="96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s="1396"/>
      <c r="CB1144" s="1396"/>
      <c r="CC1144"/>
      <c r="CD1144"/>
      <c r="CE1144"/>
    </row>
    <row r="1145" spans="1:83" ht="13.15" customHeight="1" outlineLevel="2" x14ac:dyDescent="0.2">
      <c r="A1145"/>
      <c r="B1145" s="1"/>
      <c r="C1145"/>
      <c r="D1145"/>
      <c r="E1145"/>
      <c r="F1145"/>
      <c r="G1145" s="1"/>
      <c r="H1145" s="1"/>
      <c r="I1145"/>
      <c r="J1145"/>
      <c r="K1145"/>
      <c r="L1145"/>
      <c r="M1145"/>
      <c r="N1145"/>
      <c r="O1145"/>
      <c r="P1145"/>
      <c r="Q1145"/>
      <c r="R1145" s="558" t="s">
        <v>1727</v>
      </c>
      <c r="S1145" s="83"/>
      <c r="T1145" s="56"/>
      <c r="U1145" s="955"/>
      <c r="V1145" s="43" t="str">
        <f t="shared" si="746"/>
        <v>F</v>
      </c>
      <c r="W1145" s="10"/>
      <c r="X1145" s="45" t="s">
        <v>769</v>
      </c>
      <c r="Y1145" s="10"/>
      <c r="Z1145" s="46" t="str">
        <f t="shared" si="747"/>
        <v>I</v>
      </c>
      <c r="AA1145" s="123"/>
      <c r="AB1145" s="1459">
        <f t="shared" si="738"/>
        <v>0</v>
      </c>
      <c r="AC1145" s="1460" t="str">
        <f t="shared" si="739"/>
        <v>-</v>
      </c>
      <c r="AD1145" s="1459">
        <f t="shared" si="740"/>
        <v>0</v>
      </c>
      <c r="AE1145" s="964" t="str">
        <f t="shared" si="741"/>
        <v/>
      </c>
      <c r="AF1145" s="964" t="str">
        <f t="shared" si="742"/>
        <v/>
      </c>
      <c r="AG1145" s="964" t="str">
        <f t="shared" si="743"/>
        <v/>
      </c>
      <c r="AH1145" s="964" t="str">
        <f t="shared" si="744"/>
        <v/>
      </c>
      <c r="AI1145" s="964" t="str">
        <f t="shared" si="745"/>
        <v/>
      </c>
      <c r="AJ1145" s="964"/>
      <c r="AK1145" s="964"/>
      <c r="AL1145"/>
      <c r="AM1145"/>
      <c r="AN1145"/>
      <c r="AO1145"/>
      <c r="AP1145"/>
      <c r="AQ1145"/>
      <c r="AR1145"/>
      <c r="AS1145"/>
      <c r="AT1145"/>
      <c r="AU1145"/>
      <c r="AV1145"/>
      <c r="AW1145"/>
      <c r="AX1145" s="9"/>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s="1396"/>
      <c r="CB1145" s="1396"/>
      <c r="CC1145"/>
      <c r="CD1145"/>
      <c r="CE1145"/>
    </row>
    <row r="1146" spans="1:83" ht="13.15" customHeight="1" outlineLevel="2" x14ac:dyDescent="0.2">
      <c r="A1146"/>
      <c r="B1146" s="1"/>
      <c r="C1146"/>
      <c r="D1146"/>
      <c r="E1146"/>
      <c r="F1146"/>
      <c r="G1146" s="1"/>
      <c r="H1146" s="1"/>
      <c r="I1146"/>
      <c r="J1146"/>
      <c r="K1146"/>
      <c r="L1146"/>
      <c r="M1146"/>
      <c r="N1146"/>
      <c r="O1146"/>
      <c r="P1146"/>
      <c r="Q1146"/>
      <c r="R1146" s="558" t="s">
        <v>1727</v>
      </c>
      <c r="S1146" s="83"/>
      <c r="T1146" s="56"/>
      <c r="U1146" s="955"/>
      <c r="V1146" s="43" t="str">
        <f t="shared" si="746"/>
        <v>H</v>
      </c>
      <c r="W1146" s="10"/>
      <c r="X1146" s="45" t="s">
        <v>769</v>
      </c>
      <c r="Y1146" s="10"/>
      <c r="Z1146" s="46" t="str">
        <f t="shared" si="747"/>
        <v>K</v>
      </c>
      <c r="AA1146" s="123"/>
      <c r="AB1146" s="1459">
        <f t="shared" si="738"/>
        <v>0</v>
      </c>
      <c r="AC1146" s="1460" t="str">
        <f t="shared" si="739"/>
        <v>-</v>
      </c>
      <c r="AD1146" s="1459">
        <f t="shared" si="740"/>
        <v>0</v>
      </c>
      <c r="AE1146" s="964" t="str">
        <f t="shared" si="741"/>
        <v/>
      </c>
      <c r="AF1146" s="964" t="str">
        <f t="shared" si="742"/>
        <v/>
      </c>
      <c r="AG1146" s="964" t="str">
        <f t="shared" si="743"/>
        <v/>
      </c>
      <c r="AH1146" s="964" t="str">
        <f t="shared" si="744"/>
        <v/>
      </c>
      <c r="AI1146" s="964" t="str">
        <f t="shared" si="745"/>
        <v/>
      </c>
      <c r="AJ1146" s="964"/>
      <c r="AK1146" s="964"/>
      <c r="AL1146"/>
      <c r="AM1146"/>
      <c r="AN1146"/>
      <c r="AO1146"/>
      <c r="AP1146"/>
      <c r="AQ1146"/>
      <c r="AR1146"/>
      <c r="AS1146"/>
      <c r="AT1146"/>
      <c r="AU1146"/>
      <c r="AV1146"/>
      <c r="AW1146" s="9"/>
      <c r="AX1146" s="9"/>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s="1396"/>
      <c r="CB1146" s="1396"/>
      <c r="CC1146"/>
      <c r="CD1146"/>
      <c r="CE1146"/>
    </row>
    <row r="1147" spans="1:83" ht="13.15" customHeight="1" outlineLevel="2" x14ac:dyDescent="0.2">
      <c r="A1147"/>
      <c r="B1147" s="1"/>
      <c r="C1147"/>
      <c r="D1147"/>
      <c r="E1147"/>
      <c r="F1147"/>
      <c r="G1147" s="1"/>
      <c r="H1147" s="1"/>
      <c r="I1147"/>
      <c r="J1147"/>
      <c r="K1147"/>
      <c r="L1147"/>
      <c r="M1147"/>
      <c r="N1147"/>
      <c r="O1147"/>
      <c r="P1147"/>
      <c r="Q1147"/>
      <c r="R1147" s="558" t="s">
        <v>1727</v>
      </c>
      <c r="S1147" s="83"/>
      <c r="T1147" s="56"/>
      <c r="U1147" s="955"/>
      <c r="V1147" s="43" t="str">
        <f t="shared" si="746"/>
        <v>J</v>
      </c>
      <c r="W1147" s="10"/>
      <c r="X1147" s="45" t="s">
        <v>769</v>
      </c>
      <c r="Y1147" s="10"/>
      <c r="Z1147" s="46" t="str">
        <f t="shared" si="747"/>
        <v>M</v>
      </c>
      <c r="AA1147" s="123"/>
      <c r="AB1147" s="1459">
        <f t="shared" si="738"/>
        <v>0</v>
      </c>
      <c r="AC1147" s="1460" t="str">
        <f t="shared" si="739"/>
        <v>-</v>
      </c>
      <c r="AD1147" s="1459">
        <f t="shared" si="740"/>
        <v>0</v>
      </c>
      <c r="AE1147" s="964" t="str">
        <f t="shared" si="741"/>
        <v/>
      </c>
      <c r="AF1147" s="964" t="str">
        <f t="shared" si="742"/>
        <v/>
      </c>
      <c r="AG1147" s="964" t="str">
        <f t="shared" si="743"/>
        <v/>
      </c>
      <c r="AH1147" s="964" t="str">
        <f t="shared" si="744"/>
        <v/>
      </c>
      <c r="AI1147" s="964" t="str">
        <f t="shared" si="745"/>
        <v/>
      </c>
      <c r="AJ1147" s="964"/>
      <c r="AK1147" s="964"/>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s="1396"/>
      <c r="CB1147" s="1396"/>
      <c r="CC1147"/>
      <c r="CD1147"/>
      <c r="CE1147"/>
    </row>
    <row r="1148" spans="1:83" ht="13.15" customHeight="1" outlineLevel="2" x14ac:dyDescent="0.2">
      <c r="A1148"/>
      <c r="B1148" s="1"/>
      <c r="C1148"/>
      <c r="D1148"/>
      <c r="E1148"/>
      <c r="F1148"/>
      <c r="G1148" s="1"/>
      <c r="H1148" s="1"/>
      <c r="I1148"/>
      <c r="J1148"/>
      <c r="K1148"/>
      <c r="L1148"/>
      <c r="M1148"/>
      <c r="N1148"/>
      <c r="O1148"/>
      <c r="P1148"/>
      <c r="Q1148"/>
      <c r="R1148" s="558" t="s">
        <v>1727</v>
      </c>
      <c r="S1148" s="83"/>
      <c r="T1148" s="56"/>
      <c r="U1148" s="955"/>
      <c r="V1148" s="43" t="str">
        <f t="shared" si="746"/>
        <v>L</v>
      </c>
      <c r="W1148" s="10"/>
      <c r="X1148" s="45" t="s">
        <v>769</v>
      </c>
      <c r="Y1148" s="10"/>
      <c r="Z1148" s="46" t="str">
        <f t="shared" si="747"/>
        <v>O</v>
      </c>
      <c r="AA1148" s="123"/>
      <c r="AB1148" s="1459">
        <f t="shared" si="738"/>
        <v>0</v>
      </c>
      <c r="AC1148" s="1460" t="str">
        <f t="shared" si="739"/>
        <v>-</v>
      </c>
      <c r="AD1148" s="1459">
        <f t="shared" si="740"/>
        <v>0</v>
      </c>
      <c r="AE1148" s="964" t="str">
        <f t="shared" si="741"/>
        <v/>
      </c>
      <c r="AF1148" s="964" t="str">
        <f t="shared" si="742"/>
        <v/>
      </c>
      <c r="AG1148" s="964" t="str">
        <f t="shared" si="743"/>
        <v/>
      </c>
      <c r="AH1148" s="964" t="str">
        <f t="shared" si="744"/>
        <v/>
      </c>
      <c r="AI1148" s="964" t="str">
        <f t="shared" si="745"/>
        <v/>
      </c>
      <c r="AJ1148" s="964"/>
      <c r="AK1148" s="964"/>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s="1396"/>
      <c r="CB1148" s="1396"/>
      <c r="CC1148"/>
      <c r="CD1148"/>
      <c r="CE1148"/>
    </row>
    <row r="1149" spans="1:83" ht="13.15" customHeight="1" outlineLevel="2" thickBot="1" x14ac:dyDescent="0.25">
      <c r="A1149"/>
      <c r="B1149" s="1"/>
      <c r="C1149"/>
      <c r="D1149"/>
      <c r="E1149"/>
      <c r="F1149"/>
      <c r="G1149" s="1"/>
      <c r="H1149" s="1"/>
      <c r="I1149"/>
      <c r="J1149"/>
      <c r="K1149"/>
      <c r="L1149"/>
      <c r="M1149"/>
      <c r="N1149"/>
      <c r="O1149"/>
      <c r="P1149"/>
      <c r="Q1149"/>
      <c r="R1149" s="558" t="s">
        <v>1727</v>
      </c>
      <c r="S1149" s="83"/>
      <c r="T1149" s="56"/>
      <c r="U1149" s="955"/>
      <c r="V1149" s="43" t="str">
        <f t="shared" si="746"/>
        <v>N</v>
      </c>
      <c r="W1149" s="10"/>
      <c r="X1149" s="45" t="s">
        <v>769</v>
      </c>
      <c r="Y1149" s="10"/>
      <c r="Z1149" s="46" t="str">
        <f>G1129</f>
        <v>Q</v>
      </c>
      <c r="AA1149" s="123"/>
      <c r="AB1149" s="1459">
        <f t="shared" si="738"/>
        <v>0</v>
      </c>
      <c r="AC1149" s="1460" t="str">
        <f t="shared" si="739"/>
        <v>-</v>
      </c>
      <c r="AD1149" s="1459">
        <f t="shared" si="740"/>
        <v>0</v>
      </c>
      <c r="AE1149" s="964" t="str">
        <f t="shared" si="741"/>
        <v/>
      </c>
      <c r="AF1149" s="964" t="str">
        <f t="shared" si="742"/>
        <v/>
      </c>
      <c r="AG1149" s="964" t="str">
        <f t="shared" si="743"/>
        <v/>
      </c>
      <c r="AH1149" s="964" t="str">
        <f t="shared" si="744"/>
        <v/>
      </c>
      <c r="AI1149" s="964" t="str">
        <f t="shared" si="745"/>
        <v/>
      </c>
      <c r="AJ1149" s="964"/>
      <c r="AK1149" s="964"/>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s="1396"/>
      <c r="CB1149" s="1396"/>
      <c r="CC1149"/>
      <c r="CD1149"/>
      <c r="CE1149"/>
    </row>
    <row r="1150" spans="1:83" ht="13.5" outlineLevel="1" thickBot="1" x14ac:dyDescent="0.25">
      <c r="A1150"/>
      <c r="B1150" s="1"/>
      <c r="C1150" s="1"/>
      <c r="D1150" s="76"/>
      <c r="E1150" s="76"/>
      <c r="F1150" s="76"/>
      <c r="G1150" s="9"/>
      <c r="H1150" s="9"/>
      <c r="I1150" s="1"/>
      <c r="J1150"/>
      <c r="K1150"/>
      <c r="L1150"/>
      <c r="M1150"/>
      <c r="N1150"/>
      <c r="O1150"/>
      <c r="P1150" s="89"/>
      <c r="Q1150"/>
      <c r="R1150" s="1"/>
      <c r="S1150" s="993">
        <f>S1140+1</f>
        <v>3</v>
      </c>
      <c r="T1150" s="961"/>
      <c r="U1150" s="961"/>
      <c r="V1150" s="961"/>
      <c r="W1150" s="960"/>
      <c r="X1150" s="960"/>
      <c r="Y1150" s="960"/>
      <c r="Z1150" s="962"/>
      <c r="AA1150" s="123"/>
      <c r="AB1150" s="963"/>
      <c r="AC1150" s="963"/>
      <c r="AD1150" s="963"/>
      <c r="AE1150" s="964"/>
      <c r="AF1150" s="964"/>
      <c r="AG1150" s="964"/>
      <c r="AH1150" s="964"/>
      <c r="AI1150" s="964"/>
      <c r="AJ1150" s="964"/>
      <c r="AK1150" s="964"/>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s="1396"/>
      <c r="CB1150" s="1396"/>
      <c r="CC1150"/>
      <c r="CD1150"/>
      <c r="CE1150"/>
    </row>
    <row r="1151" spans="1:83" ht="13.9" customHeight="1" outlineLevel="2" thickBot="1" x14ac:dyDescent="0.25">
      <c r="A1151"/>
      <c r="B1151" s="1"/>
      <c r="C1151"/>
      <c r="D1151"/>
      <c r="E1151"/>
      <c r="F1151"/>
      <c r="G1151" s="1"/>
      <c r="H1151" s="1"/>
      <c r="I1151"/>
      <c r="J1151"/>
      <c r="K1151"/>
      <c r="L1151"/>
      <c r="M1151"/>
      <c r="N1151"/>
      <c r="O1151"/>
      <c r="P1151"/>
      <c r="Q1151"/>
      <c r="S1151" s="22" t="str">
        <f>N_Heure</f>
        <v>Heure</v>
      </c>
      <c r="T1151" s="22" t="str">
        <f>N_Table</f>
        <v>Table</v>
      </c>
      <c r="U1151" s="22" t="str">
        <f>N_Arbitre</f>
        <v>Arbitre</v>
      </c>
      <c r="V1151" s="293" t="str">
        <f>N_Matches</f>
        <v>Matches</v>
      </c>
      <c r="W1151" s="294"/>
      <c r="X1151" s="294"/>
      <c r="Y1151" s="294"/>
      <c r="Z1151" s="295"/>
      <c r="AA1151" s="8"/>
      <c r="AB1151" s="967"/>
      <c r="AC1151" s="967"/>
      <c r="AD1151" s="967"/>
      <c r="AE1151" s="964"/>
      <c r="AF1151" s="964"/>
      <c r="AG1151" s="964"/>
      <c r="AH1151" s="964"/>
      <c r="AI1151" s="964"/>
      <c r="AJ1151" s="964"/>
      <c r="AK1151" s="964"/>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s="1396"/>
      <c r="CB1151" s="1396"/>
      <c r="CC1151"/>
      <c r="CD1151"/>
      <c r="CE1151"/>
    </row>
    <row r="1152" spans="1:83" ht="13.15" customHeight="1" outlineLevel="2" x14ac:dyDescent="0.2">
      <c r="A1152"/>
      <c r="B1152" s="1"/>
      <c r="C1152"/>
      <c r="D1152"/>
      <c r="E1152"/>
      <c r="F1152"/>
      <c r="G1152" s="1"/>
      <c r="H1152" s="1"/>
      <c r="I1152"/>
      <c r="J1152"/>
      <c r="K1152"/>
      <c r="L1152"/>
      <c r="M1152"/>
      <c r="N1152"/>
      <c r="O1152"/>
      <c r="P1152"/>
      <c r="Q1152"/>
      <c r="R1152" s="558" t="s">
        <v>1728</v>
      </c>
      <c r="S1152" s="65"/>
      <c r="T1152" s="953"/>
      <c r="U1152" s="954"/>
      <c r="V1152" s="34" t="str">
        <f>Z1142</f>
        <v>A</v>
      </c>
      <c r="W1152" s="148"/>
      <c r="X1152" s="35" t="s">
        <v>769</v>
      </c>
      <c r="Y1152" s="148"/>
      <c r="Z1152" s="36" t="str">
        <f>Z1143</f>
        <v>E</v>
      </c>
      <c r="AA1152" s="123"/>
      <c r="AB1152" s="1459">
        <f t="shared" ref="AB1152:AB1159" si="748">IF(MaxScore,MaxGoals(W1152,Y1152,MaxGoalsValue),IF(W1152="","",W1152))</f>
        <v>0</v>
      </c>
      <c r="AC1152" s="1460" t="str">
        <f t="shared" ref="AC1152:AC1159" si="749">IF(MaxScore,"-",IF(W1152="","","-"))</f>
        <v>-</v>
      </c>
      <c r="AD1152" s="1459">
        <f t="shared" ref="AD1152:AD1159" si="750">IF(MaxScore,MaxGoals(Y1152,W1152,MaxGoalsValue),IF(Y1152="","",Y1152))</f>
        <v>0</v>
      </c>
      <c r="AE1152" s="964" t="str">
        <f t="shared" ref="AE1152:AE1159" si="751">IF(W1152="","",IF(W1152&gt;Y1152,V1152,IF(W1152=Y1152,"",Z1152)))</f>
        <v/>
      </c>
      <c r="AF1152" s="964" t="str">
        <f t="shared" ref="AF1152:AF1159" si="752">IF(W1152="","",IF(W1152=Y1152,V1152,""))</f>
        <v/>
      </c>
      <c r="AG1152" s="964" t="str">
        <f t="shared" ref="AG1152:AG1159" si="753">IF(W1152="","",IF(W1152=Y1152,Z1152,""))</f>
        <v/>
      </c>
      <c r="AH1152" s="964" t="str">
        <f t="shared" ref="AH1152:AH1159" si="754">IF(W1152="","",IF(W1152&lt;Y1152,V1152,IF(W1152=Y1152,"",Z1152)))</f>
        <v/>
      </c>
      <c r="AI1152" s="964" t="str">
        <f t="shared" ref="AI1152:AI1159" si="755">CONCATENATE(AE1152,AH1152)</f>
        <v/>
      </c>
      <c r="AJ1152" s="964"/>
      <c r="AK1152" s="964"/>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s="1396"/>
      <c r="CB1152" s="1396"/>
      <c r="CC1152"/>
      <c r="CD1152"/>
      <c r="CE1152"/>
    </row>
    <row r="1153" spans="1:83" ht="13.15" customHeight="1" outlineLevel="2" x14ac:dyDescent="0.2">
      <c r="A1153"/>
      <c r="B1153" s="1"/>
      <c r="C1153"/>
      <c r="D1153"/>
      <c r="E1153"/>
      <c r="F1153"/>
      <c r="G1153" s="1"/>
      <c r="H1153" s="1"/>
      <c r="I1153"/>
      <c r="J1153"/>
      <c r="K1153"/>
      <c r="L1153"/>
      <c r="M1153"/>
      <c r="N1153"/>
      <c r="O1153"/>
      <c r="P1153"/>
      <c r="Q1153"/>
      <c r="R1153" s="558" t="s">
        <v>1728</v>
      </c>
      <c r="S1153" s="83"/>
      <c r="T1153" s="56"/>
      <c r="U1153" s="955"/>
      <c r="V1153" s="43" t="str">
        <f t="shared" ref="V1153:V1158" si="756">Z1144</f>
        <v>G</v>
      </c>
      <c r="W1153" s="10"/>
      <c r="X1153" s="45" t="s">
        <v>769</v>
      </c>
      <c r="Y1153" s="10"/>
      <c r="Z1153" s="46" t="str">
        <f t="shared" ref="Z1153:Z1158" si="757">V1142</f>
        <v>C</v>
      </c>
      <c r="AA1153" s="123"/>
      <c r="AB1153" s="1459">
        <f t="shared" si="748"/>
        <v>0</v>
      </c>
      <c r="AC1153" s="1460" t="str">
        <f t="shared" si="749"/>
        <v>-</v>
      </c>
      <c r="AD1153" s="1459">
        <f t="shared" si="750"/>
        <v>0</v>
      </c>
      <c r="AE1153" s="964" t="str">
        <f t="shared" si="751"/>
        <v/>
      </c>
      <c r="AF1153" s="964" t="str">
        <f t="shared" si="752"/>
        <v/>
      </c>
      <c r="AG1153" s="964" t="str">
        <f t="shared" si="753"/>
        <v/>
      </c>
      <c r="AH1153" s="964" t="str">
        <f t="shared" si="754"/>
        <v/>
      </c>
      <c r="AI1153" s="964" t="str">
        <f t="shared" si="755"/>
        <v/>
      </c>
      <c r="AJ1153" s="964"/>
      <c r="AK1153" s="964"/>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s="1396"/>
      <c r="CB1153" s="1396"/>
      <c r="CC1153"/>
      <c r="CD1153"/>
      <c r="CE1153"/>
    </row>
    <row r="1154" spans="1:83" ht="13.15" customHeight="1" outlineLevel="2" x14ac:dyDescent="0.2">
      <c r="A1154"/>
      <c r="B1154" s="1"/>
      <c r="C1154"/>
      <c r="D1154"/>
      <c r="E1154"/>
      <c r="F1154"/>
      <c r="G1154" s="1"/>
      <c r="H1154" s="1"/>
      <c r="I1154"/>
      <c r="J1154"/>
      <c r="K1154"/>
      <c r="L1154"/>
      <c r="M1154"/>
      <c r="N1154"/>
      <c r="O1154"/>
      <c r="P1154"/>
      <c r="Q1154"/>
      <c r="R1154" s="558" t="s">
        <v>1728</v>
      </c>
      <c r="S1154" s="83"/>
      <c r="T1154" s="56"/>
      <c r="U1154" s="955"/>
      <c r="V1154" s="43" t="str">
        <f t="shared" si="756"/>
        <v>I</v>
      </c>
      <c r="W1154" s="10"/>
      <c r="X1154" s="45" t="s">
        <v>769</v>
      </c>
      <c r="Y1154" s="10"/>
      <c r="Z1154" s="46" t="str">
        <f t="shared" si="757"/>
        <v>B</v>
      </c>
      <c r="AA1154" s="123"/>
      <c r="AB1154" s="1459">
        <f t="shared" si="748"/>
        <v>0</v>
      </c>
      <c r="AC1154" s="1460" t="str">
        <f t="shared" si="749"/>
        <v>-</v>
      </c>
      <c r="AD1154" s="1459">
        <f t="shared" si="750"/>
        <v>0</v>
      </c>
      <c r="AE1154" s="964" t="str">
        <f t="shared" si="751"/>
        <v/>
      </c>
      <c r="AF1154" s="964" t="str">
        <f t="shared" si="752"/>
        <v/>
      </c>
      <c r="AG1154" s="964" t="str">
        <f t="shared" si="753"/>
        <v/>
      </c>
      <c r="AH1154" s="964" t="str">
        <f t="shared" si="754"/>
        <v/>
      </c>
      <c r="AI1154" s="964" t="str">
        <f t="shared" si="755"/>
        <v/>
      </c>
      <c r="AJ1154" s="964"/>
      <c r="AK1154" s="96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s="1396"/>
      <c r="CB1154" s="1396"/>
      <c r="CC1154"/>
      <c r="CD1154"/>
      <c r="CE1154"/>
    </row>
    <row r="1155" spans="1:83" ht="13.15" customHeight="1" outlineLevel="2" x14ac:dyDescent="0.2">
      <c r="A1155"/>
      <c r="B1155" s="1"/>
      <c r="C1155"/>
      <c r="D1155"/>
      <c r="E1155"/>
      <c r="F1155"/>
      <c r="G1155" s="1"/>
      <c r="H1155" s="1"/>
      <c r="I1155"/>
      <c r="J1155"/>
      <c r="K1155"/>
      <c r="L1155"/>
      <c r="M1155"/>
      <c r="N1155"/>
      <c r="O1155"/>
      <c r="P1155"/>
      <c r="Q1155"/>
      <c r="R1155" s="558" t="s">
        <v>1728</v>
      </c>
      <c r="S1155" s="83"/>
      <c r="T1155" s="56"/>
      <c r="U1155" s="955"/>
      <c r="V1155" s="43" t="str">
        <f t="shared" si="756"/>
        <v>K</v>
      </c>
      <c r="W1155" s="10"/>
      <c r="X1155" s="45" t="s">
        <v>769</v>
      </c>
      <c r="Y1155" s="10"/>
      <c r="Z1155" s="46" t="str">
        <f t="shared" si="757"/>
        <v>D</v>
      </c>
      <c r="AA1155" s="123"/>
      <c r="AB1155" s="1459">
        <f t="shared" si="748"/>
        <v>0</v>
      </c>
      <c r="AC1155" s="1460" t="str">
        <f t="shared" si="749"/>
        <v>-</v>
      </c>
      <c r="AD1155" s="1459">
        <f t="shared" si="750"/>
        <v>0</v>
      </c>
      <c r="AE1155" s="964" t="str">
        <f t="shared" si="751"/>
        <v/>
      </c>
      <c r="AF1155" s="964" t="str">
        <f t="shared" si="752"/>
        <v/>
      </c>
      <c r="AG1155" s="964" t="str">
        <f t="shared" si="753"/>
        <v/>
      </c>
      <c r="AH1155" s="964" t="str">
        <f t="shared" si="754"/>
        <v/>
      </c>
      <c r="AI1155" s="964" t="str">
        <f t="shared" si="755"/>
        <v/>
      </c>
      <c r="AJ1155" s="964"/>
      <c r="AK1155" s="964"/>
      <c r="AL1155"/>
      <c r="AM1155"/>
      <c r="AN1155"/>
      <c r="AO1155"/>
      <c r="AP1155"/>
      <c r="AQ1155"/>
      <c r="AR1155"/>
      <c r="AS1155"/>
      <c r="AT1155"/>
      <c r="AU1155"/>
      <c r="AV1155"/>
      <c r="AW1155"/>
      <c r="AX1155" s="9"/>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s="1396"/>
      <c r="CB1155" s="1396"/>
      <c r="CC1155"/>
      <c r="CD1155"/>
      <c r="CE1155"/>
    </row>
    <row r="1156" spans="1:83" ht="13.15" customHeight="1" outlineLevel="2" x14ac:dyDescent="0.2">
      <c r="A1156"/>
      <c r="B1156" s="1"/>
      <c r="C1156"/>
      <c r="D1156"/>
      <c r="E1156"/>
      <c r="F1156"/>
      <c r="G1156" s="1"/>
      <c r="H1156" s="1"/>
      <c r="I1156"/>
      <c r="J1156"/>
      <c r="K1156"/>
      <c r="L1156"/>
      <c r="M1156"/>
      <c r="N1156"/>
      <c r="O1156"/>
      <c r="P1156"/>
      <c r="Q1156"/>
      <c r="R1156" s="558" t="s">
        <v>1728</v>
      </c>
      <c r="S1156" s="83"/>
      <c r="T1156" s="56"/>
      <c r="U1156" s="955"/>
      <c r="V1156" s="43" t="str">
        <f t="shared" si="756"/>
        <v>M</v>
      </c>
      <c r="W1156" s="10"/>
      <c r="X1156" s="45" t="s">
        <v>769</v>
      </c>
      <c r="Y1156" s="10"/>
      <c r="Z1156" s="46" t="str">
        <f t="shared" si="757"/>
        <v>F</v>
      </c>
      <c r="AA1156" s="123"/>
      <c r="AB1156" s="1459">
        <f t="shared" si="748"/>
        <v>0</v>
      </c>
      <c r="AC1156" s="1460" t="str">
        <f t="shared" si="749"/>
        <v>-</v>
      </c>
      <c r="AD1156" s="1459">
        <f t="shared" si="750"/>
        <v>0</v>
      </c>
      <c r="AE1156" s="964" t="str">
        <f t="shared" si="751"/>
        <v/>
      </c>
      <c r="AF1156" s="964" t="str">
        <f t="shared" si="752"/>
        <v/>
      </c>
      <c r="AG1156" s="964" t="str">
        <f t="shared" si="753"/>
        <v/>
      </c>
      <c r="AH1156" s="964" t="str">
        <f t="shared" si="754"/>
        <v/>
      </c>
      <c r="AI1156" s="964" t="str">
        <f t="shared" si="755"/>
        <v/>
      </c>
      <c r="AJ1156" s="964"/>
      <c r="AK1156" s="964"/>
      <c r="AL1156"/>
      <c r="AM1156"/>
      <c r="AN1156"/>
      <c r="AO1156"/>
      <c r="AP1156"/>
      <c r="AQ1156"/>
      <c r="AR1156"/>
      <c r="AS1156"/>
      <c r="AT1156"/>
      <c r="AU1156"/>
      <c r="AV1156"/>
      <c r="AW1156" s="9"/>
      <c r="AX1156" s="9"/>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s="1396"/>
      <c r="CB1156" s="1396"/>
      <c r="CC1156"/>
      <c r="CD1156"/>
      <c r="CE1156"/>
    </row>
    <row r="1157" spans="1:83" ht="13.15" customHeight="1" outlineLevel="2" x14ac:dyDescent="0.2">
      <c r="A1157"/>
      <c r="B1157" s="1"/>
      <c r="C1157"/>
      <c r="D1157"/>
      <c r="E1157"/>
      <c r="F1157"/>
      <c r="G1157" s="1"/>
      <c r="H1157" s="1"/>
      <c r="I1157"/>
      <c r="J1157"/>
      <c r="K1157"/>
      <c r="L1157"/>
      <c r="M1157"/>
      <c r="N1157"/>
      <c r="O1157"/>
      <c r="P1157"/>
      <c r="Q1157"/>
      <c r="R1157" s="558" t="s">
        <v>1728</v>
      </c>
      <c r="S1157" s="83"/>
      <c r="T1157" s="56"/>
      <c r="U1157" s="955"/>
      <c r="V1157" s="43" t="str">
        <f t="shared" si="756"/>
        <v>O</v>
      </c>
      <c r="W1157" s="10"/>
      <c r="X1157" s="45" t="s">
        <v>769</v>
      </c>
      <c r="Y1157" s="10"/>
      <c r="Z1157" s="46" t="str">
        <f t="shared" si="757"/>
        <v>H</v>
      </c>
      <c r="AA1157" s="123"/>
      <c r="AB1157" s="1459">
        <f t="shared" si="748"/>
        <v>0</v>
      </c>
      <c r="AC1157" s="1460" t="str">
        <f t="shared" si="749"/>
        <v>-</v>
      </c>
      <c r="AD1157" s="1459">
        <f t="shared" si="750"/>
        <v>0</v>
      </c>
      <c r="AE1157" s="964" t="str">
        <f t="shared" si="751"/>
        <v/>
      </c>
      <c r="AF1157" s="964" t="str">
        <f t="shared" si="752"/>
        <v/>
      </c>
      <c r="AG1157" s="964" t="str">
        <f t="shared" si="753"/>
        <v/>
      </c>
      <c r="AH1157" s="964" t="str">
        <f t="shared" si="754"/>
        <v/>
      </c>
      <c r="AI1157" s="964" t="str">
        <f t="shared" si="755"/>
        <v/>
      </c>
      <c r="AJ1157" s="964"/>
      <c r="AK1157" s="964"/>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s="1396"/>
      <c r="CB1157" s="1396"/>
      <c r="CC1157"/>
      <c r="CD1157"/>
      <c r="CE1157"/>
    </row>
    <row r="1158" spans="1:83" ht="13.15" customHeight="1" outlineLevel="2" x14ac:dyDescent="0.2">
      <c r="A1158"/>
      <c r="B1158" s="1"/>
      <c r="C1158"/>
      <c r="D1158"/>
      <c r="E1158"/>
      <c r="F1158"/>
      <c r="G1158" s="1"/>
      <c r="H1158" s="1"/>
      <c r="I1158"/>
      <c r="J1158"/>
      <c r="K1158"/>
      <c r="L1158"/>
      <c r="M1158"/>
      <c r="N1158"/>
      <c r="O1158"/>
      <c r="P1158"/>
      <c r="Q1158"/>
      <c r="R1158" s="558" t="s">
        <v>1728</v>
      </c>
      <c r="S1158" s="83"/>
      <c r="T1158" s="56"/>
      <c r="U1158" s="955"/>
      <c r="V1158" s="43" t="str">
        <f t="shared" si="756"/>
        <v>Q</v>
      </c>
      <c r="W1158" s="10"/>
      <c r="X1158" s="45" t="s">
        <v>769</v>
      </c>
      <c r="Y1158" s="10"/>
      <c r="Z1158" s="46" t="str">
        <f t="shared" si="757"/>
        <v>J</v>
      </c>
      <c r="AA1158" s="123"/>
      <c r="AB1158" s="1459">
        <f t="shared" si="748"/>
        <v>0</v>
      </c>
      <c r="AC1158" s="1460" t="str">
        <f t="shared" si="749"/>
        <v>-</v>
      </c>
      <c r="AD1158" s="1459">
        <f t="shared" si="750"/>
        <v>0</v>
      </c>
      <c r="AE1158" s="964" t="str">
        <f t="shared" si="751"/>
        <v/>
      </c>
      <c r="AF1158" s="964" t="str">
        <f t="shared" si="752"/>
        <v/>
      </c>
      <c r="AG1158" s="964" t="str">
        <f t="shared" si="753"/>
        <v/>
      </c>
      <c r="AH1158" s="964" t="str">
        <f t="shared" si="754"/>
        <v/>
      </c>
      <c r="AI1158" s="964" t="str">
        <f t="shared" si="755"/>
        <v/>
      </c>
      <c r="AJ1158" s="964"/>
      <c r="AK1158" s="964"/>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s="1396"/>
      <c r="CB1158" s="1396"/>
      <c r="CC1158"/>
      <c r="CD1158"/>
      <c r="CE1158"/>
    </row>
    <row r="1159" spans="1:83" ht="13.9" customHeight="1" outlineLevel="2" thickBot="1" x14ac:dyDescent="0.25">
      <c r="A1159"/>
      <c r="B1159" s="1"/>
      <c r="C1159"/>
      <c r="D1159"/>
      <c r="E1159"/>
      <c r="F1159"/>
      <c r="G1159" s="1"/>
      <c r="H1159" s="1"/>
      <c r="I1159"/>
      <c r="J1159"/>
      <c r="K1159"/>
      <c r="L1159"/>
      <c r="M1159"/>
      <c r="N1159"/>
      <c r="O1159"/>
      <c r="P1159"/>
      <c r="Q1159"/>
      <c r="R1159" s="558" t="s">
        <v>1728</v>
      </c>
      <c r="S1159" s="956"/>
      <c r="T1159" s="58"/>
      <c r="U1159" s="957"/>
      <c r="V1159" s="958" t="str">
        <f>Z1139</f>
        <v>P</v>
      </c>
      <c r="W1159" s="10"/>
      <c r="X1159" s="45" t="s">
        <v>769</v>
      </c>
      <c r="Y1159" s="10"/>
      <c r="Z1159" s="46" t="str">
        <f>V1149</f>
        <v>N</v>
      </c>
      <c r="AA1159" s="123"/>
      <c r="AB1159" s="1459">
        <f t="shared" si="748"/>
        <v>0</v>
      </c>
      <c r="AC1159" s="1460" t="str">
        <f t="shared" si="749"/>
        <v>-</v>
      </c>
      <c r="AD1159" s="1459">
        <f t="shared" si="750"/>
        <v>0</v>
      </c>
      <c r="AE1159" s="964" t="str">
        <f t="shared" si="751"/>
        <v/>
      </c>
      <c r="AF1159" s="964" t="str">
        <f t="shared" si="752"/>
        <v/>
      </c>
      <c r="AG1159" s="964" t="str">
        <f t="shared" si="753"/>
        <v/>
      </c>
      <c r="AH1159" s="964" t="str">
        <f t="shared" si="754"/>
        <v/>
      </c>
      <c r="AI1159" s="964" t="str">
        <f t="shared" si="755"/>
        <v/>
      </c>
      <c r="AJ1159" s="964"/>
      <c r="AK1159" s="964"/>
      <c r="AL1159"/>
      <c r="AM1159"/>
      <c r="AN1159"/>
      <c r="AO1159"/>
      <c r="AP1159"/>
      <c r="AQ1159"/>
      <c r="AR1159"/>
      <c r="AS1159"/>
      <c r="AT1159"/>
      <c r="AU1159"/>
      <c r="AV1159"/>
      <c r="AW1159" s="9"/>
      <c r="AX1159" s="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s="1396"/>
      <c r="CB1159" s="1396"/>
      <c r="CC1159"/>
      <c r="CD1159"/>
      <c r="CE1159"/>
    </row>
    <row r="1160" spans="1:83" ht="13.5" outlineLevel="1" thickBot="1" x14ac:dyDescent="0.25">
      <c r="A1160"/>
      <c r="B1160" s="1"/>
      <c r="C1160" s="1"/>
      <c r="D1160" s="76"/>
      <c r="E1160" s="76"/>
      <c r="F1160" s="76"/>
      <c r="G1160" s="9"/>
      <c r="H1160" s="9"/>
      <c r="I1160" s="1"/>
      <c r="J1160"/>
      <c r="K1160"/>
      <c r="L1160"/>
      <c r="M1160"/>
      <c r="N1160"/>
      <c r="O1160"/>
      <c r="P1160" s="89"/>
      <c r="Q1160"/>
      <c r="R1160" s="1"/>
      <c r="S1160" s="993">
        <f>S1150+1</f>
        <v>4</v>
      </c>
      <c r="T1160" s="961"/>
      <c r="U1160" s="961"/>
      <c r="V1160" s="961"/>
      <c r="W1160" s="960"/>
      <c r="X1160" s="960"/>
      <c r="Y1160" s="960"/>
      <c r="Z1160" s="962"/>
      <c r="AA1160" s="123"/>
      <c r="AB1160" s="963"/>
      <c r="AC1160" s="963"/>
      <c r="AD1160" s="963"/>
      <c r="AE1160" s="964"/>
      <c r="AF1160" s="964"/>
      <c r="AG1160" s="964"/>
      <c r="AH1160" s="964"/>
      <c r="AI1160" s="964"/>
      <c r="AJ1160" s="964"/>
      <c r="AK1160" s="964"/>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s="1396"/>
      <c r="CB1160" s="1396"/>
      <c r="CC1160"/>
      <c r="CD1160"/>
      <c r="CE1160"/>
    </row>
    <row r="1161" spans="1:83" ht="13.9" customHeight="1" outlineLevel="2" thickBot="1" x14ac:dyDescent="0.25">
      <c r="A1161"/>
      <c r="B1161" s="1"/>
      <c r="C1161"/>
      <c r="D1161"/>
      <c r="E1161"/>
      <c r="F1161"/>
      <c r="G1161" s="1"/>
      <c r="H1161" s="1"/>
      <c r="I1161"/>
      <c r="J1161"/>
      <c r="K1161"/>
      <c r="L1161"/>
      <c r="M1161"/>
      <c r="N1161"/>
      <c r="O1161"/>
      <c r="P1161"/>
      <c r="Q1161"/>
      <c r="S1161" s="22" t="str">
        <f>N_Heure</f>
        <v>Heure</v>
      </c>
      <c r="T1161" s="22" t="str">
        <f>N_Table</f>
        <v>Table</v>
      </c>
      <c r="U1161" s="22" t="str">
        <f>N_Arbitre</f>
        <v>Arbitre</v>
      </c>
      <c r="V1161" s="293" t="str">
        <f>N_Matches</f>
        <v>Matches</v>
      </c>
      <c r="W1161" s="294"/>
      <c r="X1161" s="294"/>
      <c r="Y1161" s="294"/>
      <c r="Z1161" s="295"/>
      <c r="AA1161" s="8"/>
      <c r="AB1161" s="967"/>
      <c r="AC1161" s="967"/>
      <c r="AD1161" s="967"/>
      <c r="AE1161" s="964"/>
      <c r="AF1161" s="964"/>
      <c r="AG1161" s="964"/>
      <c r="AH1161" s="964"/>
      <c r="AI1161" s="964"/>
      <c r="AJ1161" s="964"/>
      <c r="AK1161" s="964"/>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s="1396"/>
      <c r="CB1161" s="1396"/>
      <c r="CC1161"/>
      <c r="CD1161"/>
      <c r="CE1161"/>
    </row>
    <row r="1162" spans="1:83" ht="13.15" customHeight="1" outlineLevel="2" x14ac:dyDescent="0.2">
      <c r="A1162"/>
      <c r="B1162" s="1"/>
      <c r="C1162"/>
      <c r="D1162"/>
      <c r="E1162"/>
      <c r="F1162"/>
      <c r="G1162" s="1"/>
      <c r="H1162" s="1"/>
      <c r="I1162"/>
      <c r="J1162"/>
      <c r="K1162"/>
      <c r="L1162"/>
      <c r="M1162"/>
      <c r="N1162"/>
      <c r="O1162"/>
      <c r="P1162"/>
      <c r="Q1162"/>
      <c r="R1162" s="558" t="s">
        <v>1729</v>
      </c>
      <c r="S1162" s="65"/>
      <c r="T1162" s="953"/>
      <c r="U1162" s="954"/>
      <c r="V1162" s="34" t="str">
        <f>V1153</f>
        <v>G</v>
      </c>
      <c r="W1162" s="148"/>
      <c r="X1162" s="35" t="s">
        <v>769</v>
      </c>
      <c r="Y1162" s="148"/>
      <c r="Z1162" s="36" t="str">
        <f>V1152</f>
        <v>A</v>
      </c>
      <c r="AA1162" s="123"/>
      <c r="AB1162" s="1459">
        <f t="shared" ref="AB1162:AB1169" si="758">IF(MaxScore,MaxGoals(W1162,Y1162,MaxGoalsValue),IF(W1162="","",W1162))</f>
        <v>0</v>
      </c>
      <c r="AC1162" s="1460" t="str">
        <f t="shared" ref="AC1162:AC1169" si="759">IF(MaxScore,"-",IF(W1162="","","-"))</f>
        <v>-</v>
      </c>
      <c r="AD1162" s="1459">
        <f t="shared" ref="AD1162:AD1169" si="760">IF(MaxScore,MaxGoals(Y1162,W1162,MaxGoalsValue),IF(Y1162="","",Y1162))</f>
        <v>0</v>
      </c>
      <c r="AE1162" s="964" t="str">
        <f t="shared" ref="AE1162:AE1169" si="761">IF(W1162="","",IF(W1162&gt;Y1162,V1162,IF(W1162=Y1162,"",Z1162)))</f>
        <v/>
      </c>
      <c r="AF1162" s="964" t="str">
        <f t="shared" ref="AF1162:AF1169" si="762">IF(W1162="","",IF(W1162=Y1162,V1162,""))</f>
        <v/>
      </c>
      <c r="AG1162" s="964" t="str">
        <f t="shared" ref="AG1162:AG1169" si="763">IF(W1162="","",IF(W1162=Y1162,Z1162,""))</f>
        <v/>
      </c>
      <c r="AH1162" s="964" t="str">
        <f t="shared" ref="AH1162:AH1169" si="764">IF(W1162="","",IF(W1162&lt;Y1162,V1162,IF(W1162=Y1162,"",Z1162)))</f>
        <v/>
      </c>
      <c r="AI1162" s="964" t="str">
        <f t="shared" ref="AI1162:AI1169" si="765">CONCATENATE(AE1162,AH1162)</f>
        <v/>
      </c>
      <c r="AJ1162" s="964"/>
      <c r="AK1162" s="964"/>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s="1396"/>
      <c r="CB1162" s="1396"/>
      <c r="CC1162"/>
      <c r="CD1162"/>
      <c r="CE1162"/>
    </row>
    <row r="1163" spans="1:83" ht="13.15" customHeight="1" outlineLevel="2" x14ac:dyDescent="0.2">
      <c r="A1163"/>
      <c r="B1163" s="1"/>
      <c r="C1163"/>
      <c r="D1163"/>
      <c r="E1163"/>
      <c r="F1163"/>
      <c r="G1163" s="1"/>
      <c r="H1163" s="1"/>
      <c r="I1163"/>
      <c r="J1163"/>
      <c r="K1163"/>
      <c r="L1163"/>
      <c r="M1163"/>
      <c r="N1163"/>
      <c r="O1163"/>
      <c r="P1163"/>
      <c r="Q1163"/>
      <c r="R1163" s="558" t="s">
        <v>1729</v>
      </c>
      <c r="S1163" s="83"/>
      <c r="T1163" s="56"/>
      <c r="U1163" s="955"/>
      <c r="V1163" s="43" t="str">
        <f>Z1152</f>
        <v>E</v>
      </c>
      <c r="W1163" s="10"/>
      <c r="X1163" s="45" t="s">
        <v>769</v>
      </c>
      <c r="Y1163" s="10"/>
      <c r="Z1163" s="46" t="str">
        <f t="shared" ref="Z1163:Z1168" si="766">V1154</f>
        <v>I</v>
      </c>
      <c r="AA1163" s="123"/>
      <c r="AB1163" s="1459">
        <f t="shared" si="758"/>
        <v>0</v>
      </c>
      <c r="AC1163" s="1460" t="str">
        <f t="shared" si="759"/>
        <v>-</v>
      </c>
      <c r="AD1163" s="1459">
        <f t="shared" si="760"/>
        <v>0</v>
      </c>
      <c r="AE1163" s="964" t="str">
        <f t="shared" si="761"/>
        <v/>
      </c>
      <c r="AF1163" s="964" t="str">
        <f t="shared" si="762"/>
        <v/>
      </c>
      <c r="AG1163" s="964" t="str">
        <f t="shared" si="763"/>
        <v/>
      </c>
      <c r="AH1163" s="964" t="str">
        <f t="shared" si="764"/>
        <v/>
      </c>
      <c r="AI1163" s="964" t="str">
        <f t="shared" si="765"/>
        <v/>
      </c>
      <c r="AJ1163" s="964"/>
      <c r="AK1163" s="964"/>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s="1396"/>
      <c r="CB1163" s="1396"/>
      <c r="CC1163"/>
      <c r="CD1163"/>
      <c r="CE1163"/>
    </row>
    <row r="1164" spans="1:83" ht="13.15" customHeight="1" outlineLevel="2" x14ac:dyDescent="0.2">
      <c r="A1164"/>
      <c r="B1164" s="1"/>
      <c r="C1164"/>
      <c r="D1164"/>
      <c r="E1164"/>
      <c r="F1164"/>
      <c r="G1164" s="1"/>
      <c r="H1164" s="1"/>
      <c r="I1164"/>
      <c r="J1164"/>
      <c r="K1164"/>
      <c r="L1164"/>
      <c r="M1164"/>
      <c r="N1164"/>
      <c r="O1164"/>
      <c r="P1164"/>
      <c r="Q1164"/>
      <c r="R1164" s="558" t="s">
        <v>1729</v>
      </c>
      <c r="S1164" s="83"/>
      <c r="T1164" s="56"/>
      <c r="U1164" s="955"/>
      <c r="V1164" s="43" t="str">
        <f>Z1153</f>
        <v>C</v>
      </c>
      <c r="W1164" s="10"/>
      <c r="X1164" s="45" t="s">
        <v>769</v>
      </c>
      <c r="Y1164" s="10"/>
      <c r="Z1164" s="46" t="str">
        <f t="shared" si="766"/>
        <v>K</v>
      </c>
      <c r="AA1164" s="123"/>
      <c r="AB1164" s="1459">
        <f t="shared" si="758"/>
        <v>0</v>
      </c>
      <c r="AC1164" s="1460" t="str">
        <f t="shared" si="759"/>
        <v>-</v>
      </c>
      <c r="AD1164" s="1459">
        <f t="shared" si="760"/>
        <v>0</v>
      </c>
      <c r="AE1164" s="964" t="str">
        <f t="shared" si="761"/>
        <v/>
      </c>
      <c r="AF1164" s="964" t="str">
        <f t="shared" si="762"/>
        <v/>
      </c>
      <c r="AG1164" s="964" t="str">
        <f t="shared" si="763"/>
        <v/>
      </c>
      <c r="AH1164" s="964" t="str">
        <f t="shared" si="764"/>
        <v/>
      </c>
      <c r="AI1164" s="964" t="str">
        <f t="shared" si="765"/>
        <v/>
      </c>
      <c r="AJ1164" s="964"/>
      <c r="AK1164" s="9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s="1396"/>
      <c r="CB1164" s="1396"/>
      <c r="CC1164"/>
      <c r="CD1164"/>
      <c r="CE1164"/>
    </row>
    <row r="1165" spans="1:83" ht="13.15" customHeight="1" outlineLevel="2" x14ac:dyDescent="0.2">
      <c r="A1165"/>
      <c r="B1165" s="1"/>
      <c r="C1165"/>
      <c r="D1165"/>
      <c r="E1165"/>
      <c r="F1165"/>
      <c r="G1165" s="1"/>
      <c r="H1165" s="1"/>
      <c r="I1165"/>
      <c r="J1165"/>
      <c r="K1165"/>
      <c r="L1165"/>
      <c r="M1165"/>
      <c r="N1165"/>
      <c r="O1165"/>
      <c r="P1165"/>
      <c r="Q1165"/>
      <c r="R1165" s="558" t="s">
        <v>1729</v>
      </c>
      <c r="S1165" s="83"/>
      <c r="T1165" s="56"/>
      <c r="U1165" s="955"/>
      <c r="V1165" s="43" t="str">
        <f>Z1154</f>
        <v>B</v>
      </c>
      <c r="W1165" s="10"/>
      <c r="X1165" s="45" t="s">
        <v>769</v>
      </c>
      <c r="Y1165" s="10"/>
      <c r="Z1165" s="46" t="str">
        <f t="shared" si="766"/>
        <v>M</v>
      </c>
      <c r="AA1165" s="123"/>
      <c r="AB1165" s="1459">
        <f t="shared" si="758"/>
        <v>0</v>
      </c>
      <c r="AC1165" s="1460" t="str">
        <f t="shared" si="759"/>
        <v>-</v>
      </c>
      <c r="AD1165" s="1459">
        <f t="shared" si="760"/>
        <v>0</v>
      </c>
      <c r="AE1165" s="964" t="str">
        <f t="shared" si="761"/>
        <v/>
      </c>
      <c r="AF1165" s="964" t="str">
        <f t="shared" si="762"/>
        <v/>
      </c>
      <c r="AG1165" s="964" t="str">
        <f t="shared" si="763"/>
        <v/>
      </c>
      <c r="AH1165" s="964" t="str">
        <f t="shared" si="764"/>
        <v/>
      </c>
      <c r="AI1165" s="964" t="str">
        <f t="shared" si="765"/>
        <v/>
      </c>
      <c r="AJ1165" s="964"/>
      <c r="AK1165" s="964"/>
      <c r="AL1165"/>
      <c r="AM1165"/>
      <c r="AN1165"/>
      <c r="AO1165"/>
      <c r="AP1165"/>
      <c r="AQ1165"/>
      <c r="AR1165"/>
      <c r="AS1165"/>
      <c r="AT1165"/>
      <c r="AU1165"/>
      <c r="AV1165"/>
      <c r="AW1165"/>
      <c r="AX1165" s="9"/>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s="1396"/>
      <c r="CB1165" s="1396"/>
      <c r="CC1165"/>
      <c r="CD1165"/>
      <c r="CE1165"/>
    </row>
    <row r="1166" spans="1:83" ht="13.15" customHeight="1" outlineLevel="2" x14ac:dyDescent="0.2">
      <c r="A1166"/>
      <c r="B1166" s="1"/>
      <c r="C1166"/>
      <c r="D1166"/>
      <c r="E1166"/>
      <c r="F1166"/>
      <c r="G1166" s="1"/>
      <c r="H1166" s="1"/>
      <c r="I1166"/>
      <c r="J1166"/>
      <c r="K1166"/>
      <c r="L1166"/>
      <c r="M1166"/>
      <c r="N1166"/>
      <c r="O1166"/>
      <c r="P1166"/>
      <c r="Q1166"/>
      <c r="R1166" s="558" t="s">
        <v>1729</v>
      </c>
      <c r="S1166" s="83"/>
      <c r="T1166" s="56"/>
      <c r="U1166" s="955"/>
      <c r="V1166" s="43" t="str">
        <f>Z1155</f>
        <v>D</v>
      </c>
      <c r="W1166" s="10"/>
      <c r="X1166" s="45" t="s">
        <v>769</v>
      </c>
      <c r="Y1166" s="10"/>
      <c r="Z1166" s="46" t="str">
        <f t="shared" si="766"/>
        <v>O</v>
      </c>
      <c r="AA1166" s="123"/>
      <c r="AB1166" s="1459">
        <f t="shared" si="758"/>
        <v>0</v>
      </c>
      <c r="AC1166" s="1460" t="str">
        <f t="shared" si="759"/>
        <v>-</v>
      </c>
      <c r="AD1166" s="1459">
        <f t="shared" si="760"/>
        <v>0</v>
      </c>
      <c r="AE1166" s="964" t="str">
        <f t="shared" si="761"/>
        <v/>
      </c>
      <c r="AF1166" s="964" t="str">
        <f t="shared" si="762"/>
        <v/>
      </c>
      <c r="AG1166" s="964" t="str">
        <f t="shared" si="763"/>
        <v/>
      </c>
      <c r="AH1166" s="964" t="str">
        <f t="shared" si="764"/>
        <v/>
      </c>
      <c r="AI1166" s="964" t="str">
        <f t="shared" si="765"/>
        <v/>
      </c>
      <c r="AJ1166" s="964"/>
      <c r="AK1166" s="964"/>
      <c r="AL1166"/>
      <c r="AM1166"/>
      <c r="AN1166"/>
      <c r="AO1166"/>
      <c r="AP1166"/>
      <c r="AQ1166"/>
      <c r="AR1166"/>
      <c r="AS1166"/>
      <c r="AT1166"/>
      <c r="AU1166"/>
      <c r="AV1166"/>
      <c r="AW1166" s="9"/>
      <c r="AX1166" s="9"/>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s="1396"/>
      <c r="CB1166" s="1396"/>
      <c r="CC1166"/>
      <c r="CD1166"/>
      <c r="CE1166"/>
    </row>
    <row r="1167" spans="1:83" ht="13.15" customHeight="1" outlineLevel="2" x14ac:dyDescent="0.2">
      <c r="A1167"/>
      <c r="B1167" s="1"/>
      <c r="C1167"/>
      <c r="D1167"/>
      <c r="E1167"/>
      <c r="F1167"/>
      <c r="G1167" s="1"/>
      <c r="H1167" s="1"/>
      <c r="I1167"/>
      <c r="J1167"/>
      <c r="K1167"/>
      <c r="L1167"/>
      <c r="M1167"/>
      <c r="N1167"/>
      <c r="O1167"/>
      <c r="P1167"/>
      <c r="Q1167"/>
      <c r="R1167" s="558" t="s">
        <v>1729</v>
      </c>
      <c r="S1167" s="83"/>
      <c r="T1167" s="56"/>
      <c r="U1167" s="955"/>
      <c r="V1167" s="43" t="str">
        <f>Z1156</f>
        <v>F</v>
      </c>
      <c r="W1167" s="10"/>
      <c r="X1167" s="45" t="s">
        <v>769</v>
      </c>
      <c r="Y1167" s="10"/>
      <c r="Z1167" s="46" t="str">
        <f t="shared" si="766"/>
        <v>Q</v>
      </c>
      <c r="AA1167" s="123"/>
      <c r="AB1167" s="1459">
        <f t="shared" si="758"/>
        <v>0</v>
      </c>
      <c r="AC1167" s="1460" t="str">
        <f t="shared" si="759"/>
        <v>-</v>
      </c>
      <c r="AD1167" s="1459">
        <f t="shared" si="760"/>
        <v>0</v>
      </c>
      <c r="AE1167" s="964" t="str">
        <f t="shared" si="761"/>
        <v/>
      </c>
      <c r="AF1167" s="964" t="str">
        <f t="shared" si="762"/>
        <v/>
      </c>
      <c r="AG1167" s="964" t="str">
        <f t="shared" si="763"/>
        <v/>
      </c>
      <c r="AH1167" s="964" t="str">
        <f t="shared" si="764"/>
        <v/>
      </c>
      <c r="AI1167" s="964" t="str">
        <f t="shared" si="765"/>
        <v/>
      </c>
      <c r="AJ1167" s="964"/>
      <c r="AK1167" s="964"/>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s="1396"/>
      <c r="CB1167" s="1396"/>
      <c r="CC1167"/>
      <c r="CD1167"/>
      <c r="CE1167"/>
    </row>
    <row r="1168" spans="1:83" ht="13.15" customHeight="1" outlineLevel="2" x14ac:dyDescent="0.2">
      <c r="A1168"/>
      <c r="B1168" s="1"/>
      <c r="C1168"/>
      <c r="D1168"/>
      <c r="E1168"/>
      <c r="F1168"/>
      <c r="G1168" s="1"/>
      <c r="H1168" s="1"/>
      <c r="I1168"/>
      <c r="J1168"/>
      <c r="K1168"/>
      <c r="L1168"/>
      <c r="M1168"/>
      <c r="N1168"/>
      <c r="O1168"/>
      <c r="P1168"/>
      <c r="Q1168"/>
      <c r="R1168" s="558" t="s">
        <v>1729</v>
      </c>
      <c r="S1168" s="83"/>
      <c r="T1168" s="56"/>
      <c r="U1168" s="955"/>
      <c r="V1168" s="43" t="str">
        <f>Z1158</f>
        <v>J</v>
      </c>
      <c r="W1168" s="10"/>
      <c r="X1168" s="45" t="s">
        <v>769</v>
      </c>
      <c r="Y1168" s="10"/>
      <c r="Z1168" s="46" t="str">
        <f t="shared" si="766"/>
        <v>P</v>
      </c>
      <c r="AA1168" s="123"/>
      <c r="AB1168" s="1459">
        <f t="shared" si="758"/>
        <v>0</v>
      </c>
      <c r="AC1168" s="1460" t="str">
        <f t="shared" si="759"/>
        <v>-</v>
      </c>
      <c r="AD1168" s="1459">
        <f t="shared" si="760"/>
        <v>0</v>
      </c>
      <c r="AE1168" s="964" t="str">
        <f t="shared" si="761"/>
        <v/>
      </c>
      <c r="AF1168" s="964" t="str">
        <f t="shared" si="762"/>
        <v/>
      </c>
      <c r="AG1168" s="964" t="str">
        <f t="shared" si="763"/>
        <v/>
      </c>
      <c r="AH1168" s="964" t="str">
        <f t="shared" si="764"/>
        <v/>
      </c>
      <c r="AI1168" s="964" t="str">
        <f t="shared" si="765"/>
        <v/>
      </c>
      <c r="AJ1168" s="964"/>
      <c r="AK1168" s="964"/>
      <c r="AL1168"/>
      <c r="AM1168"/>
      <c r="AN1168"/>
      <c r="AO1168"/>
      <c r="AP1168"/>
      <c r="AQ1168"/>
      <c r="AR1168"/>
      <c r="AS1168"/>
      <c r="AT1168"/>
      <c r="AU1168"/>
      <c r="AV1168"/>
      <c r="AW1168"/>
      <c r="AX1168" s="9"/>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s="1396"/>
      <c r="CB1168" s="1396"/>
      <c r="CC1168"/>
      <c r="CD1168"/>
      <c r="CE1168"/>
    </row>
    <row r="1169" spans="1:83" ht="13.9" customHeight="1" outlineLevel="2" thickBot="1" x14ac:dyDescent="0.25">
      <c r="A1169"/>
      <c r="B1169" s="1"/>
      <c r="C1169"/>
      <c r="D1169"/>
      <c r="E1169"/>
      <c r="F1169"/>
      <c r="G1169" s="1"/>
      <c r="H1169" s="1"/>
      <c r="I1169"/>
      <c r="J1169"/>
      <c r="K1169"/>
      <c r="L1169"/>
      <c r="M1169"/>
      <c r="N1169"/>
      <c r="O1169"/>
      <c r="P1169"/>
      <c r="Q1169"/>
      <c r="R1169" s="558" t="s">
        <v>1729</v>
      </c>
      <c r="S1169" s="956"/>
      <c r="T1169" s="58"/>
      <c r="U1169" s="957"/>
      <c r="V1169" s="43" t="str">
        <f>V1148</f>
        <v>L</v>
      </c>
      <c r="W1169" s="10"/>
      <c r="X1169" s="45" t="s">
        <v>769</v>
      </c>
      <c r="Y1169" s="10"/>
      <c r="Z1169" s="46" t="str">
        <f>Z1159</f>
        <v>N</v>
      </c>
      <c r="AA1169" s="123"/>
      <c r="AB1169" s="1459">
        <f t="shared" si="758"/>
        <v>0</v>
      </c>
      <c r="AC1169" s="1460" t="str">
        <f t="shared" si="759"/>
        <v>-</v>
      </c>
      <c r="AD1169" s="1459">
        <f t="shared" si="760"/>
        <v>0</v>
      </c>
      <c r="AE1169" s="964" t="str">
        <f t="shared" si="761"/>
        <v/>
      </c>
      <c r="AF1169" s="964" t="str">
        <f t="shared" si="762"/>
        <v/>
      </c>
      <c r="AG1169" s="964" t="str">
        <f t="shared" si="763"/>
        <v/>
      </c>
      <c r="AH1169" s="964" t="str">
        <f t="shared" si="764"/>
        <v/>
      </c>
      <c r="AI1169" s="964" t="str">
        <f t="shared" si="765"/>
        <v/>
      </c>
      <c r="AJ1169" s="964"/>
      <c r="AK1169" s="964"/>
      <c r="AL1169"/>
      <c r="AM1169"/>
      <c r="AN1169"/>
      <c r="AO1169"/>
      <c r="AP1169"/>
      <c r="AQ1169"/>
      <c r="AR1169"/>
      <c r="AS1169"/>
      <c r="AT1169"/>
      <c r="AU1169"/>
      <c r="AV1169"/>
      <c r="AW1169" s="9"/>
      <c r="AX1169" s="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s="1396"/>
      <c r="CB1169" s="1396"/>
      <c r="CC1169"/>
      <c r="CD1169"/>
      <c r="CE1169"/>
    </row>
    <row r="1170" spans="1:83" ht="13.5" outlineLevel="1" thickBot="1" x14ac:dyDescent="0.25">
      <c r="A1170"/>
      <c r="B1170" s="1"/>
      <c r="C1170" s="1"/>
      <c r="D1170" s="76"/>
      <c r="E1170" s="76"/>
      <c r="F1170" s="76"/>
      <c r="G1170" s="9"/>
      <c r="H1170" s="9"/>
      <c r="I1170" s="1"/>
      <c r="J1170"/>
      <c r="K1170"/>
      <c r="L1170"/>
      <c r="M1170"/>
      <c r="N1170"/>
      <c r="O1170"/>
      <c r="P1170" s="89"/>
      <c r="Q1170"/>
      <c r="R1170" s="1"/>
      <c r="S1170" s="993">
        <f>S1160+1</f>
        <v>5</v>
      </c>
      <c r="T1170" s="961"/>
      <c r="U1170" s="961"/>
      <c r="V1170" s="961"/>
      <c r="W1170" s="960"/>
      <c r="X1170" s="960"/>
      <c r="Y1170" s="960"/>
      <c r="Z1170" s="962"/>
      <c r="AA1170" s="123"/>
      <c r="AB1170" s="963"/>
      <c r="AC1170" s="963"/>
      <c r="AD1170" s="963"/>
      <c r="AE1170" s="964"/>
      <c r="AF1170" s="964"/>
      <c r="AG1170" s="964"/>
      <c r="AH1170" s="964"/>
      <c r="AI1170" s="964"/>
      <c r="AJ1170" s="964"/>
      <c r="AK1170" s="964"/>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s="1396"/>
      <c r="CB1170" s="1396"/>
      <c r="CC1170"/>
      <c r="CD1170"/>
      <c r="CE1170"/>
    </row>
    <row r="1171" spans="1:83" ht="13.9" customHeight="1" outlineLevel="2" thickBot="1" x14ac:dyDescent="0.25">
      <c r="A1171"/>
      <c r="B1171" s="1"/>
      <c r="C1171"/>
      <c r="D1171"/>
      <c r="E1171"/>
      <c r="F1171"/>
      <c r="G1171" s="1"/>
      <c r="H1171" s="1"/>
      <c r="I1171"/>
      <c r="J1171"/>
      <c r="K1171"/>
      <c r="L1171"/>
      <c r="M1171"/>
      <c r="N1171"/>
      <c r="O1171"/>
      <c r="P1171"/>
      <c r="Q1171"/>
      <c r="S1171" s="22" t="str">
        <f>N_Heure</f>
        <v>Heure</v>
      </c>
      <c r="T1171" s="22" t="str">
        <f>N_Table</f>
        <v>Table</v>
      </c>
      <c r="U1171" s="22" t="str">
        <f>N_Arbitre</f>
        <v>Arbitre</v>
      </c>
      <c r="V1171" s="293" t="str">
        <f>N_Matches</f>
        <v>Matches</v>
      </c>
      <c r="W1171" s="294"/>
      <c r="X1171" s="294"/>
      <c r="Y1171" s="294"/>
      <c r="Z1171" s="295"/>
      <c r="AA1171" s="8"/>
      <c r="AB1171" s="967"/>
      <c r="AC1171" s="967"/>
      <c r="AD1171" s="967"/>
      <c r="AE1171" s="964"/>
      <c r="AF1171" s="964"/>
      <c r="AG1171" s="964"/>
      <c r="AH1171" s="964"/>
      <c r="AI1171" s="964"/>
      <c r="AJ1171" s="964"/>
      <c r="AK1171" s="964"/>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s="1396"/>
      <c r="CB1171" s="1396"/>
      <c r="CC1171"/>
      <c r="CD1171"/>
      <c r="CE1171"/>
    </row>
    <row r="1172" spans="1:83" ht="13.15" customHeight="1" outlineLevel="2" x14ac:dyDescent="0.2">
      <c r="A1172"/>
      <c r="B1172" s="1"/>
      <c r="C1172"/>
      <c r="D1172"/>
      <c r="E1172"/>
      <c r="F1172"/>
      <c r="G1172" s="1"/>
      <c r="H1172" s="1"/>
      <c r="I1172"/>
      <c r="J1172"/>
      <c r="K1172"/>
      <c r="L1172"/>
      <c r="M1172"/>
      <c r="N1172"/>
      <c r="O1172"/>
      <c r="P1172"/>
      <c r="Q1172"/>
      <c r="R1172" s="558" t="s">
        <v>1730</v>
      </c>
      <c r="S1172" s="65"/>
      <c r="T1172" s="953"/>
      <c r="U1172" s="954"/>
      <c r="V1172" s="34" t="str">
        <f>Z1162</f>
        <v>A</v>
      </c>
      <c r="W1172" s="148"/>
      <c r="X1172" s="35" t="s">
        <v>769</v>
      </c>
      <c r="Y1172" s="148"/>
      <c r="Z1172" s="36" t="str">
        <f>Z1163</f>
        <v>I</v>
      </c>
      <c r="AA1172" s="123"/>
      <c r="AB1172" s="1459">
        <f t="shared" ref="AB1172:AB1179" si="767">IF(MaxScore,MaxGoals(W1172,Y1172,MaxGoalsValue),IF(W1172="","",W1172))</f>
        <v>0</v>
      </c>
      <c r="AC1172" s="1460" t="str">
        <f t="shared" ref="AC1172:AC1179" si="768">IF(MaxScore,"-",IF(W1172="","","-"))</f>
        <v>-</v>
      </c>
      <c r="AD1172" s="1459">
        <f t="shared" ref="AD1172:AD1179" si="769">IF(MaxScore,MaxGoals(Y1172,W1172,MaxGoalsValue),IF(Y1172="","",Y1172))</f>
        <v>0</v>
      </c>
      <c r="AE1172" s="964" t="str">
        <f t="shared" ref="AE1172:AE1179" si="770">IF(W1172="","",IF(W1172&gt;Y1172,V1172,IF(W1172=Y1172,"",Z1172)))</f>
        <v/>
      </c>
      <c r="AF1172" s="964" t="str">
        <f t="shared" ref="AF1172:AF1179" si="771">IF(W1172="","",IF(W1172=Y1172,V1172,""))</f>
        <v/>
      </c>
      <c r="AG1172" s="964" t="str">
        <f t="shared" ref="AG1172:AG1179" si="772">IF(W1172="","",IF(W1172=Y1172,Z1172,""))</f>
        <v/>
      </c>
      <c r="AH1172" s="964" t="str">
        <f t="shared" ref="AH1172:AH1179" si="773">IF(W1172="","",IF(W1172&lt;Y1172,V1172,IF(W1172=Y1172,"",Z1172)))</f>
        <v/>
      </c>
      <c r="AI1172" s="964" t="str">
        <f t="shared" ref="AI1172:AI1179" si="774">CONCATENATE(AE1172,AH1172)</f>
        <v/>
      </c>
      <c r="AJ1172" s="964"/>
      <c r="AK1172" s="964"/>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s="1396"/>
      <c r="CB1172" s="1396"/>
      <c r="CC1172"/>
      <c r="CD1172"/>
      <c r="CE1172"/>
    </row>
    <row r="1173" spans="1:83" ht="13.15" customHeight="1" outlineLevel="2" x14ac:dyDescent="0.2">
      <c r="A1173"/>
      <c r="B1173" s="1"/>
      <c r="C1173"/>
      <c r="D1173"/>
      <c r="E1173"/>
      <c r="F1173"/>
      <c r="G1173" s="1"/>
      <c r="H1173" s="1"/>
      <c r="I1173"/>
      <c r="J1173"/>
      <c r="K1173"/>
      <c r="L1173"/>
      <c r="M1173"/>
      <c r="N1173"/>
      <c r="O1173"/>
      <c r="P1173"/>
      <c r="Q1173"/>
      <c r="R1173" s="558" t="s">
        <v>1730</v>
      </c>
      <c r="S1173" s="83"/>
      <c r="T1173" s="56"/>
      <c r="U1173" s="955"/>
      <c r="V1173" s="43" t="str">
        <f t="shared" ref="V1173:V1178" si="775">Z1164</f>
        <v>K</v>
      </c>
      <c r="W1173" s="10"/>
      <c r="X1173" s="45" t="s">
        <v>769</v>
      </c>
      <c r="Y1173" s="10"/>
      <c r="Z1173" s="46" t="str">
        <f>V1162</f>
        <v>G</v>
      </c>
      <c r="AA1173" s="123"/>
      <c r="AB1173" s="1459">
        <f t="shared" si="767"/>
        <v>0</v>
      </c>
      <c r="AC1173" s="1460" t="str">
        <f t="shared" si="768"/>
        <v>-</v>
      </c>
      <c r="AD1173" s="1459">
        <f t="shared" si="769"/>
        <v>0</v>
      </c>
      <c r="AE1173" s="964" t="str">
        <f t="shared" si="770"/>
        <v/>
      </c>
      <c r="AF1173" s="964" t="str">
        <f t="shared" si="771"/>
        <v/>
      </c>
      <c r="AG1173" s="964" t="str">
        <f t="shared" si="772"/>
        <v/>
      </c>
      <c r="AH1173" s="964" t="str">
        <f t="shared" si="773"/>
        <v/>
      </c>
      <c r="AI1173" s="964" t="str">
        <f t="shared" si="774"/>
        <v/>
      </c>
      <c r="AJ1173" s="964"/>
      <c r="AK1173" s="964"/>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s="1396"/>
      <c r="CB1173" s="1396"/>
      <c r="CC1173"/>
      <c r="CD1173"/>
      <c r="CE1173"/>
    </row>
    <row r="1174" spans="1:83" ht="13.15" customHeight="1" outlineLevel="2" x14ac:dyDescent="0.2">
      <c r="A1174"/>
      <c r="B1174" s="1"/>
      <c r="C1174"/>
      <c r="D1174"/>
      <c r="E1174"/>
      <c r="F1174"/>
      <c r="G1174" s="1"/>
      <c r="H1174" s="1"/>
      <c r="I1174"/>
      <c r="J1174"/>
      <c r="K1174"/>
      <c r="L1174"/>
      <c r="M1174"/>
      <c r="N1174"/>
      <c r="O1174"/>
      <c r="P1174"/>
      <c r="Q1174"/>
      <c r="R1174" s="558" t="s">
        <v>1730</v>
      </c>
      <c r="S1174" s="83"/>
      <c r="T1174" s="56"/>
      <c r="U1174" s="955"/>
      <c r="V1174" s="43" t="str">
        <f t="shared" si="775"/>
        <v>M</v>
      </c>
      <c r="W1174" s="10"/>
      <c r="X1174" s="45" t="s">
        <v>769</v>
      </c>
      <c r="Y1174" s="10"/>
      <c r="Z1174" s="46" t="str">
        <f>V1163</f>
        <v>E</v>
      </c>
      <c r="AA1174" s="123"/>
      <c r="AB1174" s="1459">
        <f t="shared" si="767"/>
        <v>0</v>
      </c>
      <c r="AC1174" s="1460" t="str">
        <f t="shared" si="768"/>
        <v>-</v>
      </c>
      <c r="AD1174" s="1459">
        <f t="shared" si="769"/>
        <v>0</v>
      </c>
      <c r="AE1174" s="964" t="str">
        <f t="shared" si="770"/>
        <v/>
      </c>
      <c r="AF1174" s="964" t="str">
        <f t="shared" si="771"/>
        <v/>
      </c>
      <c r="AG1174" s="964" t="str">
        <f t="shared" si="772"/>
        <v/>
      </c>
      <c r="AH1174" s="964" t="str">
        <f t="shared" si="773"/>
        <v/>
      </c>
      <c r="AI1174" s="964" t="str">
        <f t="shared" si="774"/>
        <v/>
      </c>
      <c r="AJ1174" s="964"/>
      <c r="AK1174" s="96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s="1396"/>
      <c r="CB1174" s="1396"/>
      <c r="CC1174"/>
      <c r="CD1174"/>
      <c r="CE1174"/>
    </row>
    <row r="1175" spans="1:83" ht="13.15" customHeight="1" outlineLevel="2" x14ac:dyDescent="0.2">
      <c r="A1175"/>
      <c r="B1175" s="1"/>
      <c r="C1175"/>
      <c r="D1175"/>
      <c r="E1175"/>
      <c r="F1175"/>
      <c r="G1175" s="1"/>
      <c r="H1175" s="1"/>
      <c r="I1175"/>
      <c r="J1175"/>
      <c r="K1175"/>
      <c r="L1175"/>
      <c r="M1175"/>
      <c r="N1175"/>
      <c r="O1175"/>
      <c r="P1175"/>
      <c r="Q1175"/>
      <c r="R1175" s="558" t="s">
        <v>1730</v>
      </c>
      <c r="S1175" s="83"/>
      <c r="T1175" s="56"/>
      <c r="U1175" s="955"/>
      <c r="V1175" s="43" t="str">
        <f t="shared" si="775"/>
        <v>O</v>
      </c>
      <c r="W1175" s="10"/>
      <c r="X1175" s="45" t="s">
        <v>769</v>
      </c>
      <c r="Y1175" s="10"/>
      <c r="Z1175" s="46" t="str">
        <f>V1164</f>
        <v>C</v>
      </c>
      <c r="AA1175" s="123"/>
      <c r="AB1175" s="1459">
        <f t="shared" si="767"/>
        <v>0</v>
      </c>
      <c r="AC1175" s="1460" t="str">
        <f t="shared" si="768"/>
        <v>-</v>
      </c>
      <c r="AD1175" s="1459">
        <f t="shared" si="769"/>
        <v>0</v>
      </c>
      <c r="AE1175" s="964" t="str">
        <f t="shared" si="770"/>
        <v/>
      </c>
      <c r="AF1175" s="964" t="str">
        <f t="shared" si="771"/>
        <v/>
      </c>
      <c r="AG1175" s="964" t="str">
        <f t="shared" si="772"/>
        <v/>
      </c>
      <c r="AH1175" s="964" t="str">
        <f t="shared" si="773"/>
        <v/>
      </c>
      <c r="AI1175" s="964" t="str">
        <f t="shared" si="774"/>
        <v/>
      </c>
      <c r="AJ1175" s="964"/>
      <c r="AK1175" s="964"/>
      <c r="AL1175"/>
      <c r="AM1175"/>
      <c r="AN1175"/>
      <c r="AO1175"/>
      <c r="AP1175"/>
      <c r="AQ1175"/>
      <c r="AR1175"/>
      <c r="AS1175"/>
      <c r="AT1175"/>
      <c r="AU1175"/>
      <c r="AV1175"/>
      <c r="AW1175"/>
      <c r="AX1175" s="9"/>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s="1396"/>
      <c r="CB1175" s="1396"/>
      <c r="CC1175"/>
      <c r="CD1175"/>
      <c r="CE1175"/>
    </row>
    <row r="1176" spans="1:83" ht="13.15" customHeight="1" outlineLevel="2" x14ac:dyDescent="0.2">
      <c r="A1176"/>
      <c r="B1176" s="1"/>
      <c r="C1176"/>
      <c r="D1176"/>
      <c r="E1176"/>
      <c r="F1176"/>
      <c r="G1176" s="1"/>
      <c r="H1176" s="1"/>
      <c r="I1176"/>
      <c r="J1176"/>
      <c r="K1176"/>
      <c r="L1176"/>
      <c r="M1176"/>
      <c r="N1176"/>
      <c r="O1176"/>
      <c r="P1176"/>
      <c r="Q1176"/>
      <c r="R1176" s="558" t="s">
        <v>1730</v>
      </c>
      <c r="S1176" s="83"/>
      <c r="T1176" s="56"/>
      <c r="U1176" s="955"/>
      <c r="V1176" s="43" t="str">
        <f t="shared" si="775"/>
        <v>Q</v>
      </c>
      <c r="W1176" s="10"/>
      <c r="X1176" s="45" t="s">
        <v>769</v>
      </c>
      <c r="Y1176" s="10"/>
      <c r="Z1176" s="46" t="str">
        <f>V1165</f>
        <v>B</v>
      </c>
      <c r="AA1176" s="123"/>
      <c r="AB1176" s="1459">
        <f t="shared" si="767"/>
        <v>0</v>
      </c>
      <c r="AC1176" s="1460" t="str">
        <f t="shared" si="768"/>
        <v>-</v>
      </c>
      <c r="AD1176" s="1459">
        <f t="shared" si="769"/>
        <v>0</v>
      </c>
      <c r="AE1176" s="964" t="str">
        <f t="shared" si="770"/>
        <v/>
      </c>
      <c r="AF1176" s="964" t="str">
        <f t="shared" si="771"/>
        <v/>
      </c>
      <c r="AG1176" s="964" t="str">
        <f t="shared" si="772"/>
        <v/>
      </c>
      <c r="AH1176" s="964" t="str">
        <f t="shared" si="773"/>
        <v/>
      </c>
      <c r="AI1176" s="964" t="str">
        <f t="shared" si="774"/>
        <v/>
      </c>
      <c r="AJ1176" s="964"/>
      <c r="AK1176" s="964"/>
      <c r="AL1176"/>
      <c r="AM1176"/>
      <c r="AN1176"/>
      <c r="AO1176"/>
      <c r="AP1176"/>
      <c r="AQ1176"/>
      <c r="AR1176"/>
      <c r="AS1176"/>
      <c r="AT1176"/>
      <c r="AU1176"/>
      <c r="AV1176"/>
      <c r="AW1176" s="9"/>
      <c r="AX1176" s="9"/>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s="1396"/>
      <c r="CB1176" s="1396"/>
      <c r="CC1176"/>
      <c r="CD1176"/>
      <c r="CE1176"/>
    </row>
    <row r="1177" spans="1:83" ht="13.15" customHeight="1" outlineLevel="2" x14ac:dyDescent="0.2">
      <c r="A1177"/>
      <c r="B1177" s="1"/>
      <c r="C1177"/>
      <c r="D1177"/>
      <c r="E1177"/>
      <c r="F1177"/>
      <c r="G1177" s="1"/>
      <c r="H1177" s="1"/>
      <c r="I1177"/>
      <c r="J1177"/>
      <c r="K1177"/>
      <c r="L1177"/>
      <c r="M1177"/>
      <c r="N1177"/>
      <c r="O1177"/>
      <c r="P1177"/>
      <c r="Q1177"/>
      <c r="R1177" s="558" t="s">
        <v>1730</v>
      </c>
      <c r="S1177" s="83"/>
      <c r="T1177" s="56"/>
      <c r="U1177" s="955"/>
      <c r="V1177" s="43" t="str">
        <f t="shared" si="775"/>
        <v>P</v>
      </c>
      <c r="W1177" s="10"/>
      <c r="X1177" s="45" t="s">
        <v>769</v>
      </c>
      <c r="Y1177" s="10"/>
      <c r="Z1177" s="46" t="str">
        <f>V1167</f>
        <v>F</v>
      </c>
      <c r="AA1177" s="123"/>
      <c r="AB1177" s="1459">
        <f t="shared" si="767"/>
        <v>0</v>
      </c>
      <c r="AC1177" s="1460" t="str">
        <f t="shared" si="768"/>
        <v>-</v>
      </c>
      <c r="AD1177" s="1459">
        <f t="shared" si="769"/>
        <v>0</v>
      </c>
      <c r="AE1177" s="964" t="str">
        <f t="shared" si="770"/>
        <v/>
      </c>
      <c r="AF1177" s="964" t="str">
        <f t="shared" si="771"/>
        <v/>
      </c>
      <c r="AG1177" s="964" t="str">
        <f t="shared" si="772"/>
        <v/>
      </c>
      <c r="AH1177" s="964" t="str">
        <f t="shared" si="773"/>
        <v/>
      </c>
      <c r="AI1177" s="964" t="str">
        <f t="shared" si="774"/>
        <v/>
      </c>
      <c r="AJ1177" s="964"/>
      <c r="AK1177" s="964"/>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s="1396"/>
      <c r="CB1177" s="1396"/>
      <c r="CC1177"/>
      <c r="CD1177"/>
      <c r="CE1177"/>
    </row>
    <row r="1178" spans="1:83" ht="13.15" customHeight="1" outlineLevel="2" x14ac:dyDescent="0.2">
      <c r="A1178"/>
      <c r="B1178" s="1"/>
      <c r="C1178"/>
      <c r="D1178"/>
      <c r="E1178"/>
      <c r="F1178"/>
      <c r="G1178" s="1"/>
      <c r="H1178" s="1"/>
      <c r="I1178"/>
      <c r="J1178"/>
      <c r="K1178"/>
      <c r="L1178"/>
      <c r="M1178"/>
      <c r="N1178"/>
      <c r="O1178"/>
      <c r="P1178"/>
      <c r="Q1178"/>
      <c r="R1178" s="558" t="s">
        <v>1730</v>
      </c>
      <c r="S1178" s="83"/>
      <c r="T1178" s="56"/>
      <c r="U1178" s="955"/>
      <c r="V1178" s="43" t="str">
        <f t="shared" si="775"/>
        <v>N</v>
      </c>
      <c r="W1178" s="10"/>
      <c r="X1178" s="45" t="s">
        <v>769</v>
      </c>
      <c r="Y1178" s="10"/>
      <c r="Z1178" s="46" t="str">
        <f>Z1157</f>
        <v>H</v>
      </c>
      <c r="AA1178" s="123"/>
      <c r="AB1178" s="1459">
        <f t="shared" si="767"/>
        <v>0</v>
      </c>
      <c r="AC1178" s="1460" t="str">
        <f t="shared" si="768"/>
        <v>-</v>
      </c>
      <c r="AD1178" s="1459">
        <f t="shared" si="769"/>
        <v>0</v>
      </c>
      <c r="AE1178" s="964" t="str">
        <f t="shared" si="770"/>
        <v/>
      </c>
      <c r="AF1178" s="964" t="str">
        <f t="shared" si="771"/>
        <v/>
      </c>
      <c r="AG1178" s="964" t="str">
        <f t="shared" si="772"/>
        <v/>
      </c>
      <c r="AH1178" s="964" t="str">
        <f t="shared" si="773"/>
        <v/>
      </c>
      <c r="AI1178" s="964" t="str">
        <f t="shared" si="774"/>
        <v/>
      </c>
      <c r="AJ1178" s="964"/>
      <c r="AK1178" s="964"/>
      <c r="AL1178"/>
      <c r="AM1178"/>
      <c r="AN1178"/>
      <c r="AO1178"/>
      <c r="AP1178"/>
      <c r="AQ1178"/>
      <c r="AR1178"/>
      <c r="AS1178"/>
      <c r="AT1178"/>
      <c r="AU1178"/>
      <c r="AV1178"/>
      <c r="AW1178"/>
      <c r="AX1178" s="9"/>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s="1396"/>
      <c r="CB1178" s="1396"/>
      <c r="CC1178"/>
      <c r="CD1178"/>
      <c r="CE1178"/>
    </row>
    <row r="1179" spans="1:83" ht="13.9" customHeight="1" outlineLevel="2" thickBot="1" x14ac:dyDescent="0.25">
      <c r="A1179"/>
      <c r="B1179" s="1"/>
      <c r="C1179"/>
      <c r="D1179"/>
      <c r="E1179"/>
      <c r="F1179"/>
      <c r="G1179" s="1"/>
      <c r="H1179" s="1"/>
      <c r="I1179"/>
      <c r="J1179"/>
      <c r="K1179"/>
      <c r="L1179"/>
      <c r="M1179"/>
      <c r="N1179"/>
      <c r="O1179"/>
      <c r="P1179"/>
      <c r="Q1179"/>
      <c r="R1179" s="558" t="s">
        <v>1730</v>
      </c>
      <c r="S1179" s="956"/>
      <c r="T1179" s="58"/>
      <c r="U1179" s="957"/>
      <c r="V1179" s="958" t="str">
        <f>V1169</f>
        <v>L</v>
      </c>
      <c r="W1179" s="10"/>
      <c r="X1179" s="45" t="s">
        <v>769</v>
      </c>
      <c r="Y1179" s="10"/>
      <c r="Z1179" s="46" t="str">
        <f>V1168</f>
        <v>J</v>
      </c>
      <c r="AA1179" s="123"/>
      <c r="AB1179" s="1459">
        <f t="shared" si="767"/>
        <v>0</v>
      </c>
      <c r="AC1179" s="1460" t="str">
        <f t="shared" si="768"/>
        <v>-</v>
      </c>
      <c r="AD1179" s="1459">
        <f t="shared" si="769"/>
        <v>0</v>
      </c>
      <c r="AE1179" s="964" t="str">
        <f t="shared" si="770"/>
        <v/>
      </c>
      <c r="AF1179" s="964" t="str">
        <f t="shared" si="771"/>
        <v/>
      </c>
      <c r="AG1179" s="964" t="str">
        <f t="shared" si="772"/>
        <v/>
      </c>
      <c r="AH1179" s="964" t="str">
        <f t="shared" si="773"/>
        <v/>
      </c>
      <c r="AI1179" s="964" t="str">
        <f t="shared" si="774"/>
        <v/>
      </c>
      <c r="AJ1179" s="964"/>
      <c r="AK1179" s="964"/>
      <c r="AL1179"/>
      <c r="AM1179"/>
      <c r="AN1179"/>
      <c r="AO1179"/>
      <c r="AP1179"/>
      <c r="AQ1179"/>
      <c r="AR1179"/>
      <c r="AS1179"/>
      <c r="AT1179"/>
      <c r="AU1179"/>
      <c r="AV1179"/>
      <c r="AW1179" s="9"/>
      <c r="AX1179" s="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s="1396"/>
      <c r="CB1179" s="1396"/>
      <c r="CC1179"/>
      <c r="CD1179"/>
      <c r="CE1179"/>
    </row>
    <row r="1180" spans="1:83" ht="13.5" outlineLevel="1" thickBot="1" x14ac:dyDescent="0.25">
      <c r="A1180"/>
      <c r="B1180" s="1"/>
      <c r="C1180" s="1"/>
      <c r="D1180" s="76"/>
      <c r="E1180" s="76"/>
      <c r="F1180" s="76"/>
      <c r="G1180" s="9"/>
      <c r="H1180" s="9"/>
      <c r="I1180" s="1"/>
      <c r="J1180"/>
      <c r="K1180"/>
      <c r="L1180"/>
      <c r="M1180"/>
      <c r="N1180"/>
      <c r="O1180"/>
      <c r="P1180" s="89"/>
      <c r="Q1180"/>
      <c r="R1180" s="1"/>
      <c r="S1180" s="993">
        <f>S1170+1</f>
        <v>6</v>
      </c>
      <c r="T1180" s="961"/>
      <c r="U1180" s="961"/>
      <c r="V1180" s="961"/>
      <c r="W1180" s="960"/>
      <c r="X1180" s="960"/>
      <c r="Y1180" s="960"/>
      <c r="Z1180" s="962"/>
      <c r="AA1180" s="123"/>
      <c r="AB1180" s="963"/>
      <c r="AC1180" s="963"/>
      <c r="AD1180" s="963"/>
      <c r="AE1180" s="964"/>
      <c r="AF1180" s="964"/>
      <c r="AG1180" s="964"/>
      <c r="AH1180" s="964"/>
      <c r="AI1180" s="964"/>
      <c r="AJ1180" s="964"/>
      <c r="AK1180" s="964"/>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s="1396"/>
      <c r="CB1180" s="1396"/>
      <c r="CC1180"/>
      <c r="CD1180"/>
      <c r="CE1180"/>
    </row>
    <row r="1181" spans="1:83" ht="13.9" customHeight="1" outlineLevel="2" thickBot="1" x14ac:dyDescent="0.25">
      <c r="A1181"/>
      <c r="B1181" s="1"/>
      <c r="C1181"/>
      <c r="D1181"/>
      <c r="E1181"/>
      <c r="F1181"/>
      <c r="G1181" s="1"/>
      <c r="H1181" s="1"/>
      <c r="I1181"/>
      <c r="J1181"/>
      <c r="K1181"/>
      <c r="L1181"/>
      <c r="M1181"/>
      <c r="N1181"/>
      <c r="O1181"/>
      <c r="P1181"/>
      <c r="Q1181"/>
      <c r="S1181" s="22" t="str">
        <f>N_Heure</f>
        <v>Heure</v>
      </c>
      <c r="T1181" s="22" t="str">
        <f>N_Table</f>
        <v>Table</v>
      </c>
      <c r="U1181" s="22" t="str">
        <f>N_Arbitre</f>
        <v>Arbitre</v>
      </c>
      <c r="V1181" s="293" t="str">
        <f>N_Matches</f>
        <v>Matches</v>
      </c>
      <c r="W1181" s="294"/>
      <c r="X1181" s="294"/>
      <c r="Y1181" s="294"/>
      <c r="Z1181" s="295"/>
      <c r="AA1181" s="8"/>
      <c r="AB1181" s="967"/>
      <c r="AC1181" s="967"/>
      <c r="AD1181" s="967"/>
      <c r="AE1181" s="964"/>
      <c r="AF1181" s="964"/>
      <c r="AG1181" s="964"/>
      <c r="AH1181" s="964"/>
      <c r="AI1181" s="964"/>
      <c r="AJ1181" s="964"/>
      <c r="AK1181" s="964"/>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s="1396"/>
      <c r="CB1181" s="1396"/>
      <c r="CC1181"/>
      <c r="CD1181"/>
      <c r="CE1181"/>
    </row>
    <row r="1182" spans="1:83" ht="13.15" customHeight="1" outlineLevel="2" x14ac:dyDescent="0.2">
      <c r="A1182"/>
      <c r="B1182" s="1"/>
      <c r="C1182"/>
      <c r="D1182"/>
      <c r="E1182"/>
      <c r="F1182"/>
      <c r="G1182" s="1"/>
      <c r="H1182" s="1"/>
      <c r="I1182"/>
      <c r="J1182"/>
      <c r="K1182"/>
      <c r="L1182"/>
      <c r="M1182"/>
      <c r="N1182"/>
      <c r="O1182"/>
      <c r="P1182"/>
      <c r="Q1182"/>
      <c r="R1182" s="558" t="s">
        <v>1731</v>
      </c>
      <c r="S1182" s="65"/>
      <c r="T1182" s="953"/>
      <c r="U1182" s="954"/>
      <c r="V1182" s="34" t="str">
        <f>V1173</f>
        <v>K</v>
      </c>
      <c r="W1182" s="148"/>
      <c r="X1182" s="35" t="s">
        <v>769</v>
      </c>
      <c r="Y1182" s="148"/>
      <c r="Z1182" s="36" t="str">
        <f>V1172</f>
        <v>A</v>
      </c>
      <c r="AA1182" s="123"/>
      <c r="AB1182" s="1459">
        <f t="shared" ref="AB1182:AB1189" si="776">IF(MaxScore,MaxGoals(W1182,Y1182,MaxGoalsValue),IF(W1182="","",W1182))</f>
        <v>0</v>
      </c>
      <c r="AC1182" s="1460" t="str">
        <f t="shared" ref="AC1182:AC1189" si="777">IF(MaxScore,"-",IF(W1182="","","-"))</f>
        <v>-</v>
      </c>
      <c r="AD1182" s="1459">
        <f t="shared" ref="AD1182:AD1189" si="778">IF(MaxScore,MaxGoals(Y1182,W1182,MaxGoalsValue),IF(Y1182="","",Y1182))</f>
        <v>0</v>
      </c>
      <c r="AE1182" s="964" t="str">
        <f t="shared" ref="AE1182:AE1189" si="779">IF(W1182="","",IF(W1182&gt;Y1182,V1182,IF(W1182=Y1182,"",Z1182)))</f>
        <v/>
      </c>
      <c r="AF1182" s="964" t="str">
        <f t="shared" ref="AF1182:AF1189" si="780">IF(W1182="","",IF(W1182=Y1182,V1182,""))</f>
        <v/>
      </c>
      <c r="AG1182" s="964" t="str">
        <f t="shared" ref="AG1182:AG1189" si="781">IF(W1182="","",IF(W1182=Y1182,Z1182,""))</f>
        <v/>
      </c>
      <c r="AH1182" s="964" t="str">
        <f t="shared" ref="AH1182:AH1189" si="782">IF(W1182="","",IF(W1182&lt;Y1182,V1182,IF(W1182=Y1182,"",Z1182)))</f>
        <v/>
      </c>
      <c r="AI1182" s="964" t="str">
        <f t="shared" ref="AI1182:AI1189" si="783">CONCATENATE(AE1182,AH1182)</f>
        <v/>
      </c>
      <c r="AJ1182" s="964"/>
      <c r="AK1182" s="964"/>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s="1396"/>
      <c r="CB1182" s="1396"/>
      <c r="CC1182"/>
      <c r="CD1182"/>
      <c r="CE1182"/>
    </row>
    <row r="1183" spans="1:83" ht="13.15" customHeight="1" outlineLevel="2" x14ac:dyDescent="0.2">
      <c r="A1183"/>
      <c r="B1183" s="1"/>
      <c r="C1183"/>
      <c r="D1183"/>
      <c r="E1183"/>
      <c r="F1183"/>
      <c r="G1183" s="1"/>
      <c r="H1183" s="1"/>
      <c r="I1183"/>
      <c r="J1183"/>
      <c r="K1183"/>
      <c r="L1183"/>
      <c r="M1183"/>
      <c r="N1183"/>
      <c r="O1183"/>
      <c r="P1183"/>
      <c r="Q1183"/>
      <c r="R1183" s="558" t="s">
        <v>1731</v>
      </c>
      <c r="S1183" s="83"/>
      <c r="T1183" s="56"/>
      <c r="U1183" s="955"/>
      <c r="V1183" s="43" t="str">
        <f>Z1172</f>
        <v>I</v>
      </c>
      <c r="W1183" s="10"/>
      <c r="X1183" s="45" t="s">
        <v>769</v>
      </c>
      <c r="Y1183" s="10"/>
      <c r="Z1183" s="46" t="str">
        <f t="shared" ref="Z1183:Z1188" si="784">V1174</f>
        <v>M</v>
      </c>
      <c r="AA1183" s="123"/>
      <c r="AB1183" s="1459">
        <f t="shared" si="776"/>
        <v>0</v>
      </c>
      <c r="AC1183" s="1460" t="str">
        <f t="shared" si="777"/>
        <v>-</v>
      </c>
      <c r="AD1183" s="1459">
        <f t="shared" si="778"/>
        <v>0</v>
      </c>
      <c r="AE1183" s="964" t="str">
        <f t="shared" si="779"/>
        <v/>
      </c>
      <c r="AF1183" s="964" t="str">
        <f t="shared" si="780"/>
        <v/>
      </c>
      <c r="AG1183" s="964" t="str">
        <f t="shared" si="781"/>
        <v/>
      </c>
      <c r="AH1183" s="964" t="str">
        <f t="shared" si="782"/>
        <v/>
      </c>
      <c r="AI1183" s="964" t="str">
        <f t="shared" si="783"/>
        <v/>
      </c>
      <c r="AJ1183" s="964"/>
      <c r="AK1183" s="964"/>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s="1396"/>
      <c r="CB1183" s="1396"/>
      <c r="CC1183"/>
      <c r="CD1183"/>
      <c r="CE1183"/>
    </row>
    <row r="1184" spans="1:83" ht="13.15" customHeight="1" outlineLevel="2" x14ac:dyDescent="0.2">
      <c r="A1184"/>
      <c r="B1184" s="1"/>
      <c r="C1184"/>
      <c r="D1184"/>
      <c r="E1184"/>
      <c r="F1184"/>
      <c r="G1184" s="1"/>
      <c r="H1184" s="1"/>
      <c r="I1184"/>
      <c r="J1184"/>
      <c r="K1184"/>
      <c r="L1184"/>
      <c r="M1184"/>
      <c r="N1184"/>
      <c r="O1184"/>
      <c r="P1184"/>
      <c r="Q1184"/>
      <c r="R1184" s="558" t="s">
        <v>1731</v>
      </c>
      <c r="S1184" s="83"/>
      <c r="T1184" s="56"/>
      <c r="U1184" s="955"/>
      <c r="V1184" s="43" t="str">
        <f>Z1173</f>
        <v>G</v>
      </c>
      <c r="W1184" s="10"/>
      <c r="X1184" s="45" t="s">
        <v>769</v>
      </c>
      <c r="Y1184" s="10"/>
      <c r="Z1184" s="46" t="str">
        <f t="shared" si="784"/>
        <v>O</v>
      </c>
      <c r="AA1184" s="123"/>
      <c r="AB1184" s="1459">
        <f t="shared" si="776"/>
        <v>0</v>
      </c>
      <c r="AC1184" s="1460" t="str">
        <f t="shared" si="777"/>
        <v>-</v>
      </c>
      <c r="AD1184" s="1459">
        <f t="shared" si="778"/>
        <v>0</v>
      </c>
      <c r="AE1184" s="964" t="str">
        <f t="shared" si="779"/>
        <v/>
      </c>
      <c r="AF1184" s="964" t="str">
        <f t="shared" si="780"/>
        <v/>
      </c>
      <c r="AG1184" s="964" t="str">
        <f t="shared" si="781"/>
        <v/>
      </c>
      <c r="AH1184" s="964" t="str">
        <f t="shared" si="782"/>
        <v/>
      </c>
      <c r="AI1184" s="964" t="str">
        <f t="shared" si="783"/>
        <v/>
      </c>
      <c r="AJ1184" s="964"/>
      <c r="AK1184" s="96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s="1396"/>
      <c r="CB1184" s="1396"/>
      <c r="CC1184"/>
      <c r="CD1184"/>
      <c r="CE1184"/>
    </row>
    <row r="1185" spans="1:83" ht="13.15" customHeight="1" outlineLevel="2" x14ac:dyDescent="0.2">
      <c r="A1185"/>
      <c r="B1185" s="1"/>
      <c r="C1185"/>
      <c r="D1185"/>
      <c r="E1185"/>
      <c r="F1185"/>
      <c r="G1185" s="1"/>
      <c r="H1185" s="1"/>
      <c r="I1185"/>
      <c r="J1185"/>
      <c r="K1185"/>
      <c r="L1185"/>
      <c r="M1185"/>
      <c r="N1185"/>
      <c r="O1185"/>
      <c r="P1185"/>
      <c r="Q1185"/>
      <c r="R1185" s="558" t="s">
        <v>1731</v>
      </c>
      <c r="S1185" s="83"/>
      <c r="T1185" s="56"/>
      <c r="U1185" s="955"/>
      <c r="V1185" s="43" t="str">
        <f>Z1174</f>
        <v>E</v>
      </c>
      <c r="W1185" s="10"/>
      <c r="X1185" s="45" t="s">
        <v>769</v>
      </c>
      <c r="Y1185" s="10"/>
      <c r="Z1185" s="46" t="str">
        <f t="shared" si="784"/>
        <v>Q</v>
      </c>
      <c r="AA1185" s="123"/>
      <c r="AB1185" s="1459">
        <f t="shared" si="776"/>
        <v>0</v>
      </c>
      <c r="AC1185" s="1460" t="str">
        <f t="shared" si="777"/>
        <v>-</v>
      </c>
      <c r="AD1185" s="1459">
        <f t="shared" si="778"/>
        <v>0</v>
      </c>
      <c r="AE1185" s="964" t="str">
        <f t="shared" si="779"/>
        <v/>
      </c>
      <c r="AF1185" s="964" t="str">
        <f t="shared" si="780"/>
        <v/>
      </c>
      <c r="AG1185" s="964" t="str">
        <f t="shared" si="781"/>
        <v/>
      </c>
      <c r="AH1185" s="964" t="str">
        <f t="shared" si="782"/>
        <v/>
      </c>
      <c r="AI1185" s="964" t="str">
        <f t="shared" si="783"/>
        <v/>
      </c>
      <c r="AJ1185" s="964"/>
      <c r="AK1185" s="964"/>
      <c r="AL1185"/>
      <c r="AM1185"/>
      <c r="AN1185"/>
      <c r="AO1185"/>
      <c r="AP1185"/>
      <c r="AQ1185"/>
      <c r="AR1185"/>
      <c r="AS1185"/>
      <c r="AT1185"/>
      <c r="AU1185"/>
      <c r="AV1185"/>
      <c r="AW1185"/>
      <c r="AX1185" s="9"/>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s="1396"/>
      <c r="CB1185" s="1396"/>
      <c r="CC1185"/>
      <c r="CD1185"/>
      <c r="CE1185"/>
    </row>
    <row r="1186" spans="1:83" ht="13.15" customHeight="1" outlineLevel="2" x14ac:dyDescent="0.2">
      <c r="A1186"/>
      <c r="B1186" s="1"/>
      <c r="C1186"/>
      <c r="D1186"/>
      <c r="E1186"/>
      <c r="F1186"/>
      <c r="G1186" s="1"/>
      <c r="H1186" s="1"/>
      <c r="I1186"/>
      <c r="J1186"/>
      <c r="K1186"/>
      <c r="L1186"/>
      <c r="M1186"/>
      <c r="N1186"/>
      <c r="O1186"/>
      <c r="P1186"/>
      <c r="Q1186"/>
      <c r="R1186" s="558" t="s">
        <v>1731</v>
      </c>
      <c r="S1186" s="83"/>
      <c r="T1186" s="56"/>
      <c r="U1186" s="955"/>
      <c r="V1186" s="43" t="str">
        <f>Z1176</f>
        <v>B</v>
      </c>
      <c r="W1186" s="10"/>
      <c r="X1186" s="45" t="s">
        <v>769</v>
      </c>
      <c r="Y1186" s="10"/>
      <c r="Z1186" s="46" t="str">
        <f t="shared" si="784"/>
        <v>P</v>
      </c>
      <c r="AA1186" s="123"/>
      <c r="AB1186" s="1459">
        <f t="shared" si="776"/>
        <v>0</v>
      </c>
      <c r="AC1186" s="1460" t="str">
        <f t="shared" si="777"/>
        <v>-</v>
      </c>
      <c r="AD1186" s="1459">
        <f t="shared" si="778"/>
        <v>0</v>
      </c>
      <c r="AE1186" s="964" t="str">
        <f t="shared" si="779"/>
        <v/>
      </c>
      <c r="AF1186" s="964" t="str">
        <f t="shared" si="780"/>
        <v/>
      </c>
      <c r="AG1186" s="964" t="str">
        <f t="shared" si="781"/>
        <v/>
      </c>
      <c r="AH1186" s="964" t="str">
        <f t="shared" si="782"/>
        <v/>
      </c>
      <c r="AI1186" s="964" t="str">
        <f t="shared" si="783"/>
        <v/>
      </c>
      <c r="AJ1186" s="964"/>
      <c r="AK1186" s="964"/>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s="1396"/>
      <c r="CB1186" s="1396"/>
      <c r="CC1186"/>
      <c r="CD1186"/>
      <c r="CE1186"/>
    </row>
    <row r="1187" spans="1:83" ht="13.15" customHeight="1" outlineLevel="2" x14ac:dyDescent="0.2">
      <c r="A1187"/>
      <c r="B1187" s="1"/>
      <c r="C1187"/>
      <c r="D1187"/>
      <c r="E1187"/>
      <c r="F1187"/>
      <c r="G1187" s="1"/>
      <c r="H1187" s="1"/>
      <c r="I1187"/>
      <c r="J1187"/>
      <c r="K1187"/>
      <c r="L1187"/>
      <c r="M1187"/>
      <c r="N1187"/>
      <c r="O1187"/>
      <c r="P1187"/>
      <c r="Q1187"/>
      <c r="R1187" s="558" t="s">
        <v>1731</v>
      </c>
      <c r="S1187" s="83"/>
      <c r="T1187" s="56"/>
      <c r="U1187" s="955"/>
      <c r="V1187" s="43" t="str">
        <f>V1166</f>
        <v>D</v>
      </c>
      <c r="W1187" s="10"/>
      <c r="X1187" s="45" t="s">
        <v>769</v>
      </c>
      <c r="Y1187" s="10"/>
      <c r="Z1187" s="46" t="str">
        <f t="shared" si="784"/>
        <v>N</v>
      </c>
      <c r="AA1187" s="123"/>
      <c r="AB1187" s="1459">
        <f t="shared" si="776"/>
        <v>0</v>
      </c>
      <c r="AC1187" s="1460" t="str">
        <f t="shared" si="777"/>
        <v>-</v>
      </c>
      <c r="AD1187" s="1459">
        <f t="shared" si="778"/>
        <v>0</v>
      </c>
      <c r="AE1187" s="964" t="str">
        <f t="shared" si="779"/>
        <v/>
      </c>
      <c r="AF1187" s="964" t="str">
        <f t="shared" si="780"/>
        <v/>
      </c>
      <c r="AG1187" s="964" t="str">
        <f t="shared" si="781"/>
        <v/>
      </c>
      <c r="AH1187" s="964" t="str">
        <f t="shared" si="782"/>
        <v/>
      </c>
      <c r="AI1187" s="964" t="str">
        <f t="shared" si="783"/>
        <v/>
      </c>
      <c r="AJ1187" s="964"/>
      <c r="AK1187" s="964"/>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s="1396"/>
      <c r="CB1187" s="1396"/>
      <c r="CC1187"/>
      <c r="CD1187"/>
      <c r="CE1187"/>
    </row>
    <row r="1188" spans="1:83" ht="13.15" customHeight="1" outlineLevel="2" x14ac:dyDescent="0.2">
      <c r="A1188"/>
      <c r="B1188" s="1"/>
      <c r="C1188"/>
      <c r="D1188"/>
      <c r="E1188"/>
      <c r="F1188"/>
      <c r="G1188" s="1"/>
      <c r="H1188" s="1"/>
      <c r="I1188"/>
      <c r="J1188"/>
      <c r="K1188"/>
      <c r="L1188"/>
      <c r="M1188"/>
      <c r="N1188"/>
      <c r="O1188"/>
      <c r="P1188"/>
      <c r="Q1188"/>
      <c r="R1188" s="558" t="s">
        <v>1731</v>
      </c>
      <c r="S1188" s="83"/>
      <c r="T1188" s="56"/>
      <c r="U1188" s="955"/>
      <c r="V1188" s="43" t="str">
        <f>Z1177</f>
        <v>F</v>
      </c>
      <c r="W1188" s="10"/>
      <c r="X1188" s="45" t="s">
        <v>769</v>
      </c>
      <c r="Y1188" s="10"/>
      <c r="Z1188" s="46" t="str">
        <f t="shared" si="784"/>
        <v>L</v>
      </c>
      <c r="AA1188" s="123"/>
      <c r="AB1188" s="1459">
        <f t="shared" si="776"/>
        <v>0</v>
      </c>
      <c r="AC1188" s="1460" t="str">
        <f t="shared" si="777"/>
        <v>-</v>
      </c>
      <c r="AD1188" s="1459">
        <f t="shared" si="778"/>
        <v>0</v>
      </c>
      <c r="AE1188" s="964" t="str">
        <f t="shared" si="779"/>
        <v/>
      </c>
      <c r="AF1188" s="964" t="str">
        <f t="shared" si="780"/>
        <v/>
      </c>
      <c r="AG1188" s="964" t="str">
        <f t="shared" si="781"/>
        <v/>
      </c>
      <c r="AH1188" s="964" t="str">
        <f t="shared" si="782"/>
        <v/>
      </c>
      <c r="AI1188" s="964" t="str">
        <f t="shared" si="783"/>
        <v/>
      </c>
      <c r="AJ1188" s="964"/>
      <c r="AK1188" s="964"/>
      <c r="AL1188"/>
      <c r="AM1188"/>
      <c r="AN1188"/>
      <c r="AO1188"/>
      <c r="AP1188"/>
      <c r="AQ1188"/>
      <c r="AR1188"/>
      <c r="AS1188"/>
      <c r="AT1188"/>
      <c r="AU1188"/>
      <c r="AV1188"/>
      <c r="AW1188"/>
      <c r="AX1188" s="9"/>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s="1396"/>
      <c r="CB1188" s="1396"/>
      <c r="CC1188"/>
      <c r="CD1188"/>
      <c r="CE1188"/>
    </row>
    <row r="1189" spans="1:83" ht="13.9" customHeight="1" outlineLevel="2" thickBot="1" x14ac:dyDescent="0.25">
      <c r="A1189"/>
      <c r="B1189" s="1"/>
      <c r="C1189"/>
      <c r="D1189"/>
      <c r="E1189"/>
      <c r="F1189"/>
      <c r="G1189" s="1"/>
      <c r="H1189" s="1"/>
      <c r="I1189"/>
      <c r="J1189"/>
      <c r="K1189"/>
      <c r="L1189"/>
      <c r="M1189"/>
      <c r="N1189"/>
      <c r="O1189"/>
      <c r="P1189"/>
      <c r="Q1189"/>
      <c r="R1189" s="558" t="s">
        <v>1731</v>
      </c>
      <c r="S1189" s="956"/>
      <c r="T1189" s="58"/>
      <c r="U1189" s="957"/>
      <c r="V1189" s="43" t="str">
        <f>Z1178</f>
        <v>H</v>
      </c>
      <c r="W1189" s="10"/>
      <c r="X1189" s="45" t="s">
        <v>769</v>
      </c>
      <c r="Y1189" s="10"/>
      <c r="Z1189" s="46" t="str">
        <f>Z1179</f>
        <v>J</v>
      </c>
      <c r="AA1189" s="123"/>
      <c r="AB1189" s="1459">
        <f t="shared" si="776"/>
        <v>0</v>
      </c>
      <c r="AC1189" s="1460" t="str">
        <f t="shared" si="777"/>
        <v>-</v>
      </c>
      <c r="AD1189" s="1459">
        <f t="shared" si="778"/>
        <v>0</v>
      </c>
      <c r="AE1189" s="964" t="str">
        <f t="shared" si="779"/>
        <v/>
      </c>
      <c r="AF1189" s="964" t="str">
        <f t="shared" si="780"/>
        <v/>
      </c>
      <c r="AG1189" s="964" t="str">
        <f t="shared" si="781"/>
        <v/>
      </c>
      <c r="AH1189" s="964" t="str">
        <f t="shared" si="782"/>
        <v/>
      </c>
      <c r="AI1189" s="964" t="str">
        <f t="shared" si="783"/>
        <v/>
      </c>
      <c r="AJ1189" s="964"/>
      <c r="AK1189" s="964"/>
      <c r="AL1189"/>
      <c r="AM1189"/>
      <c r="AN1189"/>
      <c r="AO1189"/>
      <c r="AP1189"/>
      <c r="AQ1189"/>
      <c r="AR1189"/>
      <c r="AS1189"/>
      <c r="AT1189"/>
      <c r="AU1189"/>
      <c r="AV1189"/>
      <c r="AW1189" s="9"/>
      <c r="AX1189" s="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s="1396"/>
      <c r="CB1189" s="1396"/>
      <c r="CC1189"/>
      <c r="CD1189"/>
      <c r="CE1189"/>
    </row>
    <row r="1190" spans="1:83" ht="13.5" outlineLevel="1" thickBot="1" x14ac:dyDescent="0.25">
      <c r="A1190"/>
      <c r="B1190" s="1"/>
      <c r="C1190" s="1"/>
      <c r="D1190" s="76"/>
      <c r="E1190" s="76"/>
      <c r="F1190" s="76"/>
      <c r="G1190" s="9"/>
      <c r="H1190" s="9"/>
      <c r="I1190" s="1"/>
      <c r="J1190"/>
      <c r="K1190"/>
      <c r="L1190"/>
      <c r="M1190"/>
      <c r="N1190"/>
      <c r="O1190"/>
      <c r="P1190" s="89"/>
      <c r="Q1190"/>
      <c r="R1190" s="1"/>
      <c r="S1190" s="993">
        <f>S1180+1</f>
        <v>7</v>
      </c>
      <c r="T1190" s="961"/>
      <c r="U1190" s="961"/>
      <c r="V1190" s="961"/>
      <c r="W1190" s="960"/>
      <c r="X1190" s="960"/>
      <c r="Y1190" s="960"/>
      <c r="Z1190" s="962"/>
      <c r="AA1190" s="123"/>
      <c r="AB1190" s="963"/>
      <c r="AC1190" s="963"/>
      <c r="AD1190" s="963"/>
      <c r="AE1190" s="964"/>
      <c r="AF1190" s="964"/>
      <c r="AG1190" s="964"/>
      <c r="AH1190" s="964"/>
      <c r="AI1190" s="964"/>
      <c r="AJ1190" s="964"/>
      <c r="AK1190" s="964"/>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s="1396"/>
      <c r="CB1190" s="1396"/>
      <c r="CC1190"/>
      <c r="CD1190"/>
      <c r="CE1190"/>
    </row>
    <row r="1191" spans="1:83" ht="13.9" customHeight="1" outlineLevel="2" thickBot="1" x14ac:dyDescent="0.25">
      <c r="A1191"/>
      <c r="B1191" s="1"/>
      <c r="C1191"/>
      <c r="D1191"/>
      <c r="E1191"/>
      <c r="F1191"/>
      <c r="G1191" s="1"/>
      <c r="H1191" s="1"/>
      <c r="I1191"/>
      <c r="J1191"/>
      <c r="K1191"/>
      <c r="L1191"/>
      <c r="M1191"/>
      <c r="N1191"/>
      <c r="O1191"/>
      <c r="P1191"/>
      <c r="Q1191"/>
      <c r="S1191" s="22" t="str">
        <f>N_Heure</f>
        <v>Heure</v>
      </c>
      <c r="T1191" s="22" t="str">
        <f>N_Table</f>
        <v>Table</v>
      </c>
      <c r="U1191" s="22" t="str">
        <f>N_Arbitre</f>
        <v>Arbitre</v>
      </c>
      <c r="V1191" s="293" t="str">
        <f>N_Matches</f>
        <v>Matches</v>
      </c>
      <c r="W1191" s="294"/>
      <c r="X1191" s="294"/>
      <c r="Y1191" s="294"/>
      <c r="Z1191" s="295"/>
      <c r="AA1191" s="8"/>
      <c r="AB1191" s="967"/>
      <c r="AC1191" s="967"/>
      <c r="AD1191" s="967"/>
      <c r="AE1191" s="964"/>
      <c r="AF1191" s="964"/>
      <c r="AG1191" s="964"/>
      <c r="AH1191" s="964"/>
      <c r="AI1191" s="964"/>
      <c r="AJ1191" s="964"/>
      <c r="AK1191" s="964"/>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s="1396"/>
      <c r="CB1191" s="1396"/>
      <c r="CC1191"/>
      <c r="CD1191"/>
      <c r="CE1191"/>
    </row>
    <row r="1192" spans="1:83" ht="13.15" customHeight="1" outlineLevel="2" x14ac:dyDescent="0.2">
      <c r="A1192"/>
      <c r="B1192" s="1"/>
      <c r="C1192"/>
      <c r="D1192"/>
      <c r="E1192"/>
      <c r="F1192"/>
      <c r="G1192" s="1"/>
      <c r="H1192" s="1"/>
      <c r="I1192"/>
      <c r="J1192"/>
      <c r="K1192"/>
      <c r="L1192"/>
      <c r="M1192"/>
      <c r="N1192"/>
      <c r="O1192"/>
      <c r="P1192"/>
      <c r="Q1192"/>
      <c r="R1192" s="558" t="s">
        <v>1740</v>
      </c>
      <c r="S1192" s="65"/>
      <c r="T1192" s="953"/>
      <c r="U1192" s="954"/>
      <c r="V1192" s="34" t="str">
        <f>Z1182</f>
        <v>A</v>
      </c>
      <c r="W1192" s="148"/>
      <c r="X1192" s="35" t="s">
        <v>769</v>
      </c>
      <c r="Y1192" s="148"/>
      <c r="Z1192" s="36" t="str">
        <f>Z1183</f>
        <v>M</v>
      </c>
      <c r="AA1192" s="123"/>
      <c r="AB1192" s="1459">
        <f t="shared" ref="AB1192:AB1199" si="785">IF(MaxScore,MaxGoals(W1192,Y1192,MaxGoalsValue),IF(W1192="","",W1192))</f>
        <v>0</v>
      </c>
      <c r="AC1192" s="1460" t="str">
        <f t="shared" ref="AC1192:AC1199" si="786">IF(MaxScore,"-",IF(W1192="","","-"))</f>
        <v>-</v>
      </c>
      <c r="AD1192" s="1459">
        <f t="shared" ref="AD1192:AD1199" si="787">IF(MaxScore,MaxGoals(Y1192,W1192,MaxGoalsValue),IF(Y1192="","",Y1192))</f>
        <v>0</v>
      </c>
      <c r="AE1192" s="964" t="str">
        <f t="shared" ref="AE1192:AE1199" si="788">IF(W1192="","",IF(W1192&gt;Y1192,V1192,IF(W1192=Y1192,"",Z1192)))</f>
        <v/>
      </c>
      <c r="AF1192" s="964" t="str">
        <f t="shared" ref="AF1192:AF1199" si="789">IF(W1192="","",IF(W1192=Y1192,V1192,""))</f>
        <v/>
      </c>
      <c r="AG1192" s="964" t="str">
        <f t="shared" ref="AG1192:AG1199" si="790">IF(W1192="","",IF(W1192=Y1192,Z1192,""))</f>
        <v/>
      </c>
      <c r="AH1192" s="964" t="str">
        <f t="shared" ref="AH1192:AH1199" si="791">IF(W1192="","",IF(W1192&lt;Y1192,V1192,IF(W1192=Y1192,"",Z1192)))</f>
        <v/>
      </c>
      <c r="AI1192" s="964" t="str">
        <f t="shared" ref="AI1192:AI1199" si="792">CONCATENATE(AE1192,AH1192)</f>
        <v/>
      </c>
      <c r="AJ1192" s="964"/>
      <c r="AK1192" s="964"/>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s="1396"/>
      <c r="CB1192" s="1396"/>
      <c r="CC1192"/>
      <c r="CD1192"/>
      <c r="CE1192"/>
    </row>
    <row r="1193" spans="1:83" ht="13.15" customHeight="1" outlineLevel="2" x14ac:dyDescent="0.2">
      <c r="A1193"/>
      <c r="B1193" s="1"/>
      <c r="C1193"/>
      <c r="D1193"/>
      <c r="E1193"/>
      <c r="F1193"/>
      <c r="G1193" s="1"/>
      <c r="H1193" s="1"/>
      <c r="I1193"/>
      <c r="J1193"/>
      <c r="K1193"/>
      <c r="L1193"/>
      <c r="M1193"/>
      <c r="N1193"/>
      <c r="O1193"/>
      <c r="P1193"/>
      <c r="Q1193"/>
      <c r="R1193" s="558" t="s">
        <v>1740</v>
      </c>
      <c r="S1193" s="83"/>
      <c r="T1193" s="56"/>
      <c r="U1193" s="955"/>
      <c r="V1193" s="43" t="str">
        <f t="shared" ref="V1193:V1198" si="793">Z1184</f>
        <v>O</v>
      </c>
      <c r="W1193" s="10"/>
      <c r="X1193" s="45" t="s">
        <v>769</v>
      </c>
      <c r="Y1193" s="10"/>
      <c r="Z1193" s="46" t="str">
        <f>V1182</f>
        <v>K</v>
      </c>
      <c r="AA1193" s="123"/>
      <c r="AB1193" s="1459">
        <f t="shared" si="785"/>
        <v>0</v>
      </c>
      <c r="AC1193" s="1460" t="str">
        <f t="shared" si="786"/>
        <v>-</v>
      </c>
      <c r="AD1193" s="1459">
        <f t="shared" si="787"/>
        <v>0</v>
      </c>
      <c r="AE1193" s="964" t="str">
        <f t="shared" si="788"/>
        <v/>
      </c>
      <c r="AF1193" s="964" t="str">
        <f t="shared" si="789"/>
        <v/>
      </c>
      <c r="AG1193" s="964" t="str">
        <f t="shared" si="790"/>
        <v/>
      </c>
      <c r="AH1193" s="964" t="str">
        <f t="shared" si="791"/>
        <v/>
      </c>
      <c r="AI1193" s="964" t="str">
        <f t="shared" si="792"/>
        <v/>
      </c>
      <c r="AJ1193" s="964"/>
      <c r="AK1193" s="964"/>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s="1396"/>
      <c r="CB1193" s="1396"/>
      <c r="CC1193"/>
      <c r="CD1193"/>
      <c r="CE1193"/>
    </row>
    <row r="1194" spans="1:83" ht="13.15" customHeight="1" outlineLevel="2" x14ac:dyDescent="0.2">
      <c r="A1194"/>
      <c r="B1194" s="1"/>
      <c r="C1194"/>
      <c r="D1194"/>
      <c r="E1194"/>
      <c r="F1194"/>
      <c r="G1194" s="1"/>
      <c r="H1194" s="1"/>
      <c r="I1194"/>
      <c r="J1194"/>
      <c r="K1194"/>
      <c r="L1194"/>
      <c r="M1194"/>
      <c r="N1194"/>
      <c r="O1194"/>
      <c r="P1194"/>
      <c r="Q1194"/>
      <c r="R1194" s="558" t="s">
        <v>1740</v>
      </c>
      <c r="S1194" s="83"/>
      <c r="T1194" s="56"/>
      <c r="U1194" s="955"/>
      <c r="V1194" s="43" t="str">
        <f t="shared" si="793"/>
        <v>Q</v>
      </c>
      <c r="W1194" s="10"/>
      <c r="X1194" s="45" t="s">
        <v>769</v>
      </c>
      <c r="Y1194" s="10"/>
      <c r="Z1194" s="46" t="str">
        <f>V1183</f>
        <v>I</v>
      </c>
      <c r="AA1194" s="123"/>
      <c r="AB1194" s="1459">
        <f t="shared" si="785"/>
        <v>0</v>
      </c>
      <c r="AC1194" s="1460" t="str">
        <f t="shared" si="786"/>
        <v>-</v>
      </c>
      <c r="AD1194" s="1459">
        <f t="shared" si="787"/>
        <v>0</v>
      </c>
      <c r="AE1194" s="964" t="str">
        <f t="shared" si="788"/>
        <v/>
      </c>
      <c r="AF1194" s="964" t="str">
        <f t="shared" si="789"/>
        <v/>
      </c>
      <c r="AG1194" s="964" t="str">
        <f t="shared" si="790"/>
        <v/>
      </c>
      <c r="AH1194" s="964" t="str">
        <f t="shared" si="791"/>
        <v/>
      </c>
      <c r="AI1194" s="964" t="str">
        <f t="shared" si="792"/>
        <v/>
      </c>
      <c r="AJ1194" s="964"/>
      <c r="AK1194" s="96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s="1396"/>
      <c r="CB1194" s="1396"/>
      <c r="CC1194"/>
      <c r="CD1194"/>
      <c r="CE1194"/>
    </row>
    <row r="1195" spans="1:83" ht="13.15" customHeight="1" outlineLevel="2" x14ac:dyDescent="0.2">
      <c r="A1195"/>
      <c r="B1195" s="1"/>
      <c r="C1195"/>
      <c r="D1195"/>
      <c r="E1195"/>
      <c r="F1195"/>
      <c r="G1195" s="1"/>
      <c r="H1195" s="1"/>
      <c r="I1195"/>
      <c r="J1195"/>
      <c r="K1195"/>
      <c r="L1195"/>
      <c r="M1195"/>
      <c r="N1195"/>
      <c r="O1195"/>
      <c r="P1195"/>
      <c r="Q1195"/>
      <c r="R1195" s="558" t="s">
        <v>1740</v>
      </c>
      <c r="S1195" s="83"/>
      <c r="T1195" s="56"/>
      <c r="U1195" s="955"/>
      <c r="V1195" s="43" t="str">
        <f t="shared" si="793"/>
        <v>P</v>
      </c>
      <c r="W1195" s="10"/>
      <c r="X1195" s="45" t="s">
        <v>769</v>
      </c>
      <c r="Y1195" s="10"/>
      <c r="Z1195" s="46" t="str">
        <f>V1185</f>
        <v>E</v>
      </c>
      <c r="AA1195" s="123"/>
      <c r="AB1195" s="1459">
        <f t="shared" si="785"/>
        <v>0</v>
      </c>
      <c r="AC1195" s="1460" t="str">
        <f t="shared" si="786"/>
        <v>-</v>
      </c>
      <c r="AD1195" s="1459">
        <f t="shared" si="787"/>
        <v>0</v>
      </c>
      <c r="AE1195" s="964" t="str">
        <f t="shared" si="788"/>
        <v/>
      </c>
      <c r="AF1195" s="964" t="str">
        <f t="shared" si="789"/>
        <v/>
      </c>
      <c r="AG1195" s="964" t="str">
        <f t="shared" si="790"/>
        <v/>
      </c>
      <c r="AH1195" s="964" t="str">
        <f t="shared" si="791"/>
        <v/>
      </c>
      <c r="AI1195" s="964" t="str">
        <f t="shared" si="792"/>
        <v/>
      </c>
      <c r="AJ1195" s="964"/>
      <c r="AK1195" s="964"/>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s="1396"/>
      <c r="CB1195" s="1396"/>
      <c r="CC1195"/>
      <c r="CD1195"/>
      <c r="CE1195"/>
    </row>
    <row r="1196" spans="1:83" ht="13.15" customHeight="1" outlineLevel="2" x14ac:dyDescent="0.2">
      <c r="A1196"/>
      <c r="B1196" s="1"/>
      <c r="C1196"/>
      <c r="D1196"/>
      <c r="E1196"/>
      <c r="F1196"/>
      <c r="G1196" s="1"/>
      <c r="H1196" s="1"/>
      <c r="I1196"/>
      <c r="J1196"/>
      <c r="K1196"/>
      <c r="L1196"/>
      <c r="M1196"/>
      <c r="N1196"/>
      <c r="O1196"/>
      <c r="P1196"/>
      <c r="Q1196"/>
      <c r="R1196" s="558" t="s">
        <v>1740</v>
      </c>
      <c r="S1196" s="83"/>
      <c r="T1196" s="56"/>
      <c r="U1196" s="955"/>
      <c r="V1196" s="43" t="str">
        <f t="shared" si="793"/>
        <v>N</v>
      </c>
      <c r="W1196" s="10"/>
      <c r="X1196" s="45" t="s">
        <v>769</v>
      </c>
      <c r="Y1196" s="10"/>
      <c r="Z1196" s="46" t="str">
        <f>Z1175</f>
        <v>C</v>
      </c>
      <c r="AA1196" s="123"/>
      <c r="AB1196" s="1459">
        <f t="shared" si="785"/>
        <v>0</v>
      </c>
      <c r="AC1196" s="1460" t="str">
        <f t="shared" si="786"/>
        <v>-</v>
      </c>
      <c r="AD1196" s="1459">
        <f t="shared" si="787"/>
        <v>0</v>
      </c>
      <c r="AE1196" s="964" t="str">
        <f t="shared" si="788"/>
        <v/>
      </c>
      <c r="AF1196" s="964" t="str">
        <f t="shared" si="789"/>
        <v/>
      </c>
      <c r="AG1196" s="964" t="str">
        <f t="shared" si="790"/>
        <v/>
      </c>
      <c r="AH1196" s="964" t="str">
        <f t="shared" si="791"/>
        <v/>
      </c>
      <c r="AI1196" s="964" t="str">
        <f t="shared" si="792"/>
        <v/>
      </c>
      <c r="AJ1196" s="964"/>
      <c r="AK1196" s="964"/>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s="1396"/>
      <c r="CB1196" s="1396"/>
      <c r="CC1196"/>
      <c r="CD1196"/>
      <c r="CE1196"/>
    </row>
    <row r="1197" spans="1:83" ht="13.15" customHeight="1" outlineLevel="2" x14ac:dyDescent="0.2">
      <c r="A1197"/>
      <c r="B1197" s="1"/>
      <c r="C1197"/>
      <c r="D1197"/>
      <c r="E1197"/>
      <c r="F1197"/>
      <c r="G1197" s="1"/>
      <c r="H1197" s="1"/>
      <c r="I1197"/>
      <c r="J1197"/>
      <c r="K1197"/>
      <c r="L1197"/>
      <c r="M1197"/>
      <c r="N1197"/>
      <c r="O1197"/>
      <c r="P1197"/>
      <c r="Q1197"/>
      <c r="R1197" s="558" t="s">
        <v>1740</v>
      </c>
      <c r="S1197" s="83"/>
      <c r="T1197" s="56"/>
      <c r="U1197" s="955"/>
      <c r="V1197" s="43" t="str">
        <f t="shared" si="793"/>
        <v>L</v>
      </c>
      <c r="W1197" s="10"/>
      <c r="X1197" s="45" t="s">
        <v>769</v>
      </c>
      <c r="Y1197" s="10"/>
      <c r="Z1197" s="46" t="str">
        <f>V1186</f>
        <v>B</v>
      </c>
      <c r="AA1197" s="123"/>
      <c r="AB1197" s="1459">
        <f t="shared" si="785"/>
        <v>0</v>
      </c>
      <c r="AC1197" s="1460" t="str">
        <f t="shared" si="786"/>
        <v>-</v>
      </c>
      <c r="AD1197" s="1459">
        <f t="shared" si="787"/>
        <v>0</v>
      </c>
      <c r="AE1197" s="964" t="str">
        <f t="shared" si="788"/>
        <v/>
      </c>
      <c r="AF1197" s="964" t="str">
        <f t="shared" si="789"/>
        <v/>
      </c>
      <c r="AG1197" s="964" t="str">
        <f t="shared" si="790"/>
        <v/>
      </c>
      <c r="AH1197" s="964" t="str">
        <f t="shared" si="791"/>
        <v/>
      </c>
      <c r="AI1197" s="964" t="str">
        <f t="shared" si="792"/>
        <v/>
      </c>
      <c r="AJ1197" s="964"/>
      <c r="AK1197" s="964"/>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s="1396"/>
      <c r="CB1197" s="1396"/>
      <c r="CC1197"/>
      <c r="CD1197"/>
      <c r="CE1197"/>
    </row>
    <row r="1198" spans="1:83" ht="13.15" customHeight="1" outlineLevel="2" x14ac:dyDescent="0.2">
      <c r="A1198"/>
      <c r="B1198" s="1"/>
      <c r="C1198"/>
      <c r="D1198"/>
      <c r="E1198"/>
      <c r="F1198"/>
      <c r="G1198" s="1"/>
      <c r="H1198" s="1"/>
      <c r="I1198"/>
      <c r="J1198"/>
      <c r="K1198"/>
      <c r="L1198"/>
      <c r="M1198"/>
      <c r="N1198"/>
      <c r="O1198"/>
      <c r="P1198"/>
      <c r="Q1198"/>
      <c r="R1198" s="558" t="s">
        <v>1740</v>
      </c>
      <c r="S1198" s="83"/>
      <c r="T1198" s="56"/>
      <c r="U1198" s="955"/>
      <c r="V1198" s="43" t="str">
        <f t="shared" si="793"/>
        <v>J</v>
      </c>
      <c r="W1198" s="10"/>
      <c r="X1198" s="45" t="s">
        <v>769</v>
      </c>
      <c r="Y1198" s="10"/>
      <c r="Z1198" s="46" t="str">
        <f>V1187</f>
        <v>D</v>
      </c>
      <c r="AA1198" s="123"/>
      <c r="AB1198" s="1459">
        <f t="shared" si="785"/>
        <v>0</v>
      </c>
      <c r="AC1198" s="1460" t="str">
        <f t="shared" si="786"/>
        <v>-</v>
      </c>
      <c r="AD1198" s="1459">
        <f t="shared" si="787"/>
        <v>0</v>
      </c>
      <c r="AE1198" s="964" t="str">
        <f t="shared" si="788"/>
        <v/>
      </c>
      <c r="AF1198" s="964" t="str">
        <f t="shared" si="789"/>
        <v/>
      </c>
      <c r="AG1198" s="964" t="str">
        <f t="shared" si="790"/>
        <v/>
      </c>
      <c r="AH1198" s="964" t="str">
        <f t="shared" si="791"/>
        <v/>
      </c>
      <c r="AI1198" s="964" t="str">
        <f t="shared" si="792"/>
        <v/>
      </c>
      <c r="AJ1198" s="964"/>
      <c r="AK1198" s="964"/>
      <c r="AL1198"/>
      <c r="AM1198"/>
      <c r="AN1198"/>
      <c r="AO1198"/>
      <c r="AP1198"/>
      <c r="AQ1198"/>
      <c r="AR1198"/>
      <c r="AS1198"/>
      <c r="AT1198"/>
      <c r="AU1198"/>
      <c r="AV1198"/>
      <c r="AW1198"/>
      <c r="AX1198" s="9"/>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s="1396"/>
      <c r="CB1198" s="1396"/>
      <c r="CC1198"/>
      <c r="CD1198"/>
      <c r="CE1198"/>
    </row>
    <row r="1199" spans="1:83" ht="13.9" customHeight="1" outlineLevel="2" thickBot="1" x14ac:dyDescent="0.25">
      <c r="A1199"/>
      <c r="B1199" s="1"/>
      <c r="C1199"/>
      <c r="D1199"/>
      <c r="E1199"/>
      <c r="F1199"/>
      <c r="G1199" s="1"/>
      <c r="H1199" s="1"/>
      <c r="I1199"/>
      <c r="J1199"/>
      <c r="K1199"/>
      <c r="L1199"/>
      <c r="M1199"/>
      <c r="N1199"/>
      <c r="O1199"/>
      <c r="P1199"/>
      <c r="Q1199"/>
      <c r="R1199" s="558" t="s">
        <v>1740</v>
      </c>
      <c r="S1199" s="956"/>
      <c r="T1199" s="58"/>
      <c r="U1199" s="957"/>
      <c r="V1199" s="958" t="str">
        <f>V1189</f>
        <v>H</v>
      </c>
      <c r="W1199" s="10"/>
      <c r="X1199" s="45" t="s">
        <v>769</v>
      </c>
      <c r="Y1199" s="10"/>
      <c r="Z1199" s="46" t="str">
        <f>V1188</f>
        <v>F</v>
      </c>
      <c r="AA1199" s="123"/>
      <c r="AB1199" s="1459">
        <f t="shared" si="785"/>
        <v>0</v>
      </c>
      <c r="AC1199" s="1460" t="str">
        <f t="shared" si="786"/>
        <v>-</v>
      </c>
      <c r="AD1199" s="1459">
        <f t="shared" si="787"/>
        <v>0</v>
      </c>
      <c r="AE1199" s="964" t="str">
        <f t="shared" si="788"/>
        <v/>
      </c>
      <c r="AF1199" s="964" t="str">
        <f t="shared" si="789"/>
        <v/>
      </c>
      <c r="AG1199" s="964" t="str">
        <f t="shared" si="790"/>
        <v/>
      </c>
      <c r="AH1199" s="964" t="str">
        <f t="shared" si="791"/>
        <v/>
      </c>
      <c r="AI1199" s="964" t="str">
        <f t="shared" si="792"/>
        <v/>
      </c>
      <c r="AJ1199" s="964"/>
      <c r="AK1199" s="964"/>
      <c r="AL1199"/>
      <c r="AM1199"/>
      <c r="AN1199"/>
      <c r="AO1199"/>
      <c r="AP1199"/>
      <c r="AQ1199"/>
      <c r="AR1199"/>
      <c r="AS1199"/>
      <c r="AT1199"/>
      <c r="AU1199"/>
      <c r="AV1199"/>
      <c r="AW1199" s="9"/>
      <c r="AX1199" s="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s="1396"/>
      <c r="CB1199" s="1396"/>
      <c r="CC1199"/>
      <c r="CD1199"/>
      <c r="CE1199"/>
    </row>
    <row r="1200" spans="1:83" ht="13.5" outlineLevel="1" thickBot="1" x14ac:dyDescent="0.25">
      <c r="A1200"/>
      <c r="B1200" s="1"/>
      <c r="C1200" s="1"/>
      <c r="D1200" s="76"/>
      <c r="E1200" s="76"/>
      <c r="F1200" s="76"/>
      <c r="G1200" s="9"/>
      <c r="H1200" s="9"/>
      <c r="I1200" s="1"/>
      <c r="J1200"/>
      <c r="K1200"/>
      <c r="L1200"/>
      <c r="M1200"/>
      <c r="N1200"/>
      <c r="O1200"/>
      <c r="P1200" s="89"/>
      <c r="Q1200"/>
      <c r="R1200" s="1"/>
      <c r="S1200" s="993">
        <f>S1190+1</f>
        <v>8</v>
      </c>
      <c r="T1200" s="961"/>
      <c r="U1200" s="961"/>
      <c r="V1200" s="961"/>
      <c r="W1200" s="960"/>
      <c r="X1200" s="960"/>
      <c r="Y1200" s="960"/>
      <c r="Z1200" s="962"/>
      <c r="AA1200" s="123"/>
      <c r="AB1200" s="963"/>
      <c r="AC1200" s="963"/>
      <c r="AD1200" s="963"/>
      <c r="AE1200" s="964"/>
      <c r="AF1200" s="964"/>
      <c r="AG1200" s="964"/>
      <c r="AH1200" s="964"/>
      <c r="AI1200" s="964"/>
      <c r="AJ1200" s="964"/>
      <c r="AK1200" s="964"/>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s="1396"/>
      <c r="CB1200" s="1396"/>
      <c r="CC1200"/>
      <c r="CD1200"/>
      <c r="CE1200"/>
    </row>
    <row r="1201" spans="1:83" ht="13.9" customHeight="1" outlineLevel="2" thickBot="1" x14ac:dyDescent="0.25">
      <c r="A1201"/>
      <c r="B1201" s="1"/>
      <c r="C1201"/>
      <c r="D1201"/>
      <c r="E1201"/>
      <c r="F1201"/>
      <c r="G1201" s="1"/>
      <c r="H1201" s="1"/>
      <c r="I1201"/>
      <c r="J1201"/>
      <c r="K1201"/>
      <c r="L1201"/>
      <c r="M1201"/>
      <c r="N1201"/>
      <c r="O1201"/>
      <c r="P1201"/>
      <c r="Q1201"/>
      <c r="S1201" s="22" t="str">
        <f>N_Heure</f>
        <v>Heure</v>
      </c>
      <c r="T1201" s="22" t="str">
        <f>N_Table</f>
        <v>Table</v>
      </c>
      <c r="U1201" s="22" t="str">
        <f>N_Arbitre</f>
        <v>Arbitre</v>
      </c>
      <c r="V1201" s="293" t="str">
        <f>N_Matches</f>
        <v>Matches</v>
      </c>
      <c r="W1201" s="294"/>
      <c r="X1201" s="294"/>
      <c r="Y1201" s="294"/>
      <c r="Z1201" s="295"/>
      <c r="AA1201" s="8"/>
      <c r="AB1201" s="967"/>
      <c r="AC1201" s="967"/>
      <c r="AD1201" s="967"/>
      <c r="AE1201" s="964"/>
      <c r="AF1201" s="964"/>
      <c r="AG1201" s="964"/>
      <c r="AH1201" s="964"/>
      <c r="AI1201" s="964"/>
      <c r="AJ1201" s="964"/>
      <c r="AK1201" s="964"/>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s="1396"/>
      <c r="CB1201" s="1396"/>
      <c r="CC1201"/>
      <c r="CD1201"/>
      <c r="CE1201"/>
    </row>
    <row r="1202" spans="1:83" ht="13.15" customHeight="1" outlineLevel="2" x14ac:dyDescent="0.2">
      <c r="A1202"/>
      <c r="B1202" s="1"/>
      <c r="C1202"/>
      <c r="D1202"/>
      <c r="E1202"/>
      <c r="F1202"/>
      <c r="G1202" s="1"/>
      <c r="H1202" s="1"/>
      <c r="I1202"/>
      <c r="J1202"/>
      <c r="K1202"/>
      <c r="L1202"/>
      <c r="M1202"/>
      <c r="N1202"/>
      <c r="O1202"/>
      <c r="P1202"/>
      <c r="Q1202"/>
      <c r="R1202" s="558" t="s">
        <v>930</v>
      </c>
      <c r="S1202" s="65"/>
      <c r="T1202" s="953"/>
      <c r="U1202" s="954"/>
      <c r="V1202" s="34" t="str">
        <f>V1193</f>
        <v>O</v>
      </c>
      <c r="W1202" s="148"/>
      <c r="X1202" s="35" t="s">
        <v>769</v>
      </c>
      <c r="Y1202" s="148"/>
      <c r="Z1202" s="36" t="str">
        <f>V1192</f>
        <v>A</v>
      </c>
      <c r="AA1202" s="123"/>
      <c r="AB1202" s="1459">
        <f t="shared" ref="AB1202:AB1209" si="794">IF(MaxScore,MaxGoals(W1202,Y1202,MaxGoalsValue),IF(W1202="","",W1202))</f>
        <v>0</v>
      </c>
      <c r="AC1202" s="1460" t="str">
        <f t="shared" ref="AC1202:AC1209" si="795">IF(MaxScore,"-",IF(W1202="","","-"))</f>
        <v>-</v>
      </c>
      <c r="AD1202" s="1459">
        <f t="shared" ref="AD1202:AD1209" si="796">IF(MaxScore,MaxGoals(Y1202,W1202,MaxGoalsValue),IF(Y1202="","",Y1202))</f>
        <v>0</v>
      </c>
      <c r="AE1202" s="964" t="str">
        <f t="shared" ref="AE1202:AE1209" si="797">IF(W1202="","",IF(W1202&gt;Y1202,V1202,IF(W1202=Y1202,"",Z1202)))</f>
        <v/>
      </c>
      <c r="AF1202" s="964" t="str">
        <f t="shared" ref="AF1202:AF1209" si="798">IF(W1202="","",IF(W1202=Y1202,V1202,""))</f>
        <v/>
      </c>
      <c r="AG1202" s="964" t="str">
        <f t="shared" ref="AG1202:AG1209" si="799">IF(W1202="","",IF(W1202=Y1202,Z1202,""))</f>
        <v/>
      </c>
      <c r="AH1202" s="964" t="str">
        <f t="shared" ref="AH1202:AH1209" si="800">IF(W1202="","",IF(W1202&lt;Y1202,V1202,IF(W1202=Y1202,"",Z1202)))</f>
        <v/>
      </c>
      <c r="AI1202" s="964" t="str">
        <f t="shared" ref="AI1202:AI1209" si="801">CONCATENATE(AE1202,AH1202)</f>
        <v/>
      </c>
      <c r="AJ1202" s="964"/>
      <c r="AK1202" s="964"/>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s="1396"/>
      <c r="CB1202" s="1396"/>
      <c r="CC1202"/>
      <c r="CD1202"/>
      <c r="CE1202"/>
    </row>
    <row r="1203" spans="1:83" ht="13.15" customHeight="1" outlineLevel="2" x14ac:dyDescent="0.2">
      <c r="A1203"/>
      <c r="B1203" s="1"/>
      <c r="C1203"/>
      <c r="D1203"/>
      <c r="E1203"/>
      <c r="F1203"/>
      <c r="G1203" s="1"/>
      <c r="H1203" s="1"/>
      <c r="I1203"/>
      <c r="J1203"/>
      <c r="K1203"/>
      <c r="L1203"/>
      <c r="M1203"/>
      <c r="N1203"/>
      <c r="O1203"/>
      <c r="P1203"/>
      <c r="Q1203"/>
      <c r="R1203" s="558" t="s">
        <v>930</v>
      </c>
      <c r="S1203" s="83"/>
      <c r="T1203" s="56"/>
      <c r="U1203" s="955"/>
      <c r="V1203" s="43" t="str">
        <f>Z1192</f>
        <v>M</v>
      </c>
      <c r="W1203" s="10"/>
      <c r="X1203" s="45" t="s">
        <v>769</v>
      </c>
      <c r="Y1203" s="10"/>
      <c r="Z1203" s="46" t="str">
        <f t="shared" ref="Z1203:Z1208" si="802">V1194</f>
        <v>Q</v>
      </c>
      <c r="AA1203" s="123"/>
      <c r="AB1203" s="1459">
        <f t="shared" si="794"/>
        <v>0</v>
      </c>
      <c r="AC1203" s="1460" t="str">
        <f t="shared" si="795"/>
        <v>-</v>
      </c>
      <c r="AD1203" s="1459">
        <f t="shared" si="796"/>
        <v>0</v>
      </c>
      <c r="AE1203" s="964" t="str">
        <f t="shared" si="797"/>
        <v/>
      </c>
      <c r="AF1203" s="964" t="str">
        <f t="shared" si="798"/>
        <v/>
      </c>
      <c r="AG1203" s="964" t="str">
        <f t="shared" si="799"/>
        <v/>
      </c>
      <c r="AH1203" s="964" t="str">
        <f t="shared" si="800"/>
        <v/>
      </c>
      <c r="AI1203" s="964" t="str">
        <f t="shared" si="801"/>
        <v/>
      </c>
      <c r="AJ1203" s="964"/>
      <c r="AK1203" s="964"/>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s="1396"/>
      <c r="CB1203" s="1396"/>
      <c r="CC1203"/>
      <c r="CD1203"/>
      <c r="CE1203"/>
    </row>
    <row r="1204" spans="1:83" ht="13.15" customHeight="1" outlineLevel="2" x14ac:dyDescent="0.2">
      <c r="A1204"/>
      <c r="B1204" s="1"/>
      <c r="C1204"/>
      <c r="D1204"/>
      <c r="E1204"/>
      <c r="F1204"/>
      <c r="G1204" s="1"/>
      <c r="H1204" s="1"/>
      <c r="I1204"/>
      <c r="J1204"/>
      <c r="K1204"/>
      <c r="L1204"/>
      <c r="M1204"/>
      <c r="N1204"/>
      <c r="O1204"/>
      <c r="P1204"/>
      <c r="Q1204"/>
      <c r="R1204" s="558" t="s">
        <v>930</v>
      </c>
      <c r="S1204" s="83"/>
      <c r="T1204" s="56"/>
      <c r="U1204" s="955"/>
      <c r="V1204" s="43" t="str">
        <f>Z1194</f>
        <v>I</v>
      </c>
      <c r="W1204" s="10"/>
      <c r="X1204" s="45" t="s">
        <v>769</v>
      </c>
      <c r="Y1204" s="10"/>
      <c r="Z1204" s="46" t="str">
        <f t="shared" si="802"/>
        <v>P</v>
      </c>
      <c r="AA1204" s="123"/>
      <c r="AB1204" s="1459">
        <f t="shared" si="794"/>
        <v>0</v>
      </c>
      <c r="AC1204" s="1460" t="str">
        <f t="shared" si="795"/>
        <v>-</v>
      </c>
      <c r="AD1204" s="1459">
        <f t="shared" si="796"/>
        <v>0</v>
      </c>
      <c r="AE1204" s="964" t="str">
        <f t="shared" si="797"/>
        <v/>
      </c>
      <c r="AF1204" s="964" t="str">
        <f t="shared" si="798"/>
        <v/>
      </c>
      <c r="AG1204" s="964" t="str">
        <f t="shared" si="799"/>
        <v/>
      </c>
      <c r="AH1204" s="964" t="str">
        <f t="shared" si="800"/>
        <v/>
      </c>
      <c r="AI1204" s="964" t="str">
        <f t="shared" si="801"/>
        <v/>
      </c>
      <c r="AJ1204" s="964"/>
      <c r="AK1204" s="964"/>
      <c r="AL1204"/>
      <c r="AM1204"/>
      <c r="AN1204"/>
      <c r="AO1204"/>
      <c r="AP1204"/>
      <c r="AQ1204"/>
      <c r="AR1204"/>
      <c r="AS1204"/>
      <c r="AT1204"/>
      <c r="AU1204"/>
      <c r="AV1204"/>
      <c r="AW1204" s="9"/>
      <c r="AX1204" s="9"/>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s="1396"/>
      <c r="CB1204" s="1396"/>
      <c r="CC1204"/>
      <c r="CD1204"/>
      <c r="CE1204"/>
    </row>
    <row r="1205" spans="1:83" ht="13.15" customHeight="1" outlineLevel="2" x14ac:dyDescent="0.2">
      <c r="A1205"/>
      <c r="B1205" s="1"/>
      <c r="C1205"/>
      <c r="D1205"/>
      <c r="E1205"/>
      <c r="F1205"/>
      <c r="G1205" s="1"/>
      <c r="H1205" s="1"/>
      <c r="I1205"/>
      <c r="J1205"/>
      <c r="K1205"/>
      <c r="L1205"/>
      <c r="M1205"/>
      <c r="N1205"/>
      <c r="O1205"/>
      <c r="P1205"/>
      <c r="Q1205"/>
      <c r="R1205" s="558" t="s">
        <v>930</v>
      </c>
      <c r="S1205" s="83"/>
      <c r="T1205" s="56"/>
      <c r="U1205" s="955"/>
      <c r="V1205" s="43" t="str">
        <f>V1184</f>
        <v>G</v>
      </c>
      <c r="W1205" s="10"/>
      <c r="X1205" s="45" t="s">
        <v>769</v>
      </c>
      <c r="Y1205" s="10"/>
      <c r="Z1205" s="46" t="str">
        <f t="shared" si="802"/>
        <v>N</v>
      </c>
      <c r="AA1205" s="123"/>
      <c r="AB1205" s="1459">
        <f t="shared" si="794"/>
        <v>0</v>
      </c>
      <c r="AC1205" s="1460" t="str">
        <f t="shared" si="795"/>
        <v>-</v>
      </c>
      <c r="AD1205" s="1459">
        <f t="shared" si="796"/>
        <v>0</v>
      </c>
      <c r="AE1205" s="964" t="str">
        <f t="shared" si="797"/>
        <v/>
      </c>
      <c r="AF1205" s="964" t="str">
        <f t="shared" si="798"/>
        <v/>
      </c>
      <c r="AG1205" s="964" t="str">
        <f t="shared" si="799"/>
        <v/>
      </c>
      <c r="AH1205" s="964" t="str">
        <f t="shared" si="800"/>
        <v/>
      </c>
      <c r="AI1205" s="964" t="str">
        <f t="shared" si="801"/>
        <v/>
      </c>
      <c r="AJ1205" s="964"/>
      <c r="AK1205" s="964"/>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s="1396"/>
      <c r="CB1205" s="1396"/>
      <c r="CC1205"/>
      <c r="CD1205"/>
      <c r="CE1205"/>
    </row>
    <row r="1206" spans="1:83" ht="13.15" customHeight="1" outlineLevel="2" x14ac:dyDescent="0.2">
      <c r="A1206"/>
      <c r="B1206" s="1"/>
      <c r="C1206"/>
      <c r="D1206"/>
      <c r="E1206"/>
      <c r="F1206"/>
      <c r="G1206" s="1"/>
      <c r="H1206" s="1"/>
      <c r="I1206"/>
      <c r="J1206"/>
      <c r="K1206"/>
      <c r="L1206"/>
      <c r="M1206"/>
      <c r="N1206"/>
      <c r="O1206"/>
      <c r="P1206"/>
      <c r="Q1206"/>
      <c r="R1206" s="558" t="s">
        <v>930</v>
      </c>
      <c r="S1206" s="83"/>
      <c r="T1206" s="56"/>
      <c r="U1206" s="955"/>
      <c r="V1206" s="43" t="str">
        <f>Z1195</f>
        <v>E</v>
      </c>
      <c r="W1206" s="10"/>
      <c r="X1206" s="45" t="s">
        <v>769</v>
      </c>
      <c r="Y1206" s="10"/>
      <c r="Z1206" s="46" t="str">
        <f t="shared" si="802"/>
        <v>L</v>
      </c>
      <c r="AA1206" s="123"/>
      <c r="AB1206" s="1459">
        <f t="shared" si="794"/>
        <v>0</v>
      </c>
      <c r="AC1206" s="1460" t="str">
        <f t="shared" si="795"/>
        <v>-</v>
      </c>
      <c r="AD1206" s="1459">
        <f t="shared" si="796"/>
        <v>0</v>
      </c>
      <c r="AE1206" s="964" t="str">
        <f t="shared" si="797"/>
        <v/>
      </c>
      <c r="AF1206" s="964" t="str">
        <f t="shared" si="798"/>
        <v/>
      </c>
      <c r="AG1206" s="964" t="str">
        <f t="shared" si="799"/>
        <v/>
      </c>
      <c r="AH1206" s="964" t="str">
        <f t="shared" si="800"/>
        <v/>
      </c>
      <c r="AI1206" s="964" t="str">
        <f t="shared" si="801"/>
        <v/>
      </c>
      <c r="AJ1206" s="964"/>
      <c r="AK1206" s="964"/>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s="1396"/>
      <c r="CB1206" s="1396"/>
      <c r="CC1206"/>
      <c r="CD1206"/>
      <c r="CE1206"/>
    </row>
    <row r="1207" spans="1:83" ht="13.15" customHeight="1" outlineLevel="2" x14ac:dyDescent="0.2">
      <c r="A1207"/>
      <c r="B1207" s="1"/>
      <c r="C1207"/>
      <c r="D1207"/>
      <c r="E1207"/>
      <c r="F1207"/>
      <c r="G1207" s="1"/>
      <c r="H1207" s="1"/>
      <c r="I1207"/>
      <c r="J1207"/>
      <c r="K1207"/>
      <c r="L1207"/>
      <c r="M1207"/>
      <c r="N1207"/>
      <c r="O1207"/>
      <c r="P1207"/>
      <c r="Q1207"/>
      <c r="R1207" s="558" t="s">
        <v>930</v>
      </c>
      <c r="S1207" s="83"/>
      <c r="T1207" s="56"/>
      <c r="U1207" s="955"/>
      <c r="V1207" s="43" t="str">
        <f>Z1196</f>
        <v>C</v>
      </c>
      <c r="W1207" s="10"/>
      <c r="X1207" s="45" t="s">
        <v>769</v>
      </c>
      <c r="Y1207" s="10"/>
      <c r="Z1207" s="46" t="str">
        <f t="shared" si="802"/>
        <v>J</v>
      </c>
      <c r="AA1207" s="123"/>
      <c r="AB1207" s="1459">
        <f t="shared" si="794"/>
        <v>0</v>
      </c>
      <c r="AC1207" s="1460" t="str">
        <f t="shared" si="795"/>
        <v>-</v>
      </c>
      <c r="AD1207" s="1459">
        <f t="shared" si="796"/>
        <v>0</v>
      </c>
      <c r="AE1207" s="964" t="str">
        <f t="shared" si="797"/>
        <v/>
      </c>
      <c r="AF1207" s="964" t="str">
        <f t="shared" si="798"/>
        <v/>
      </c>
      <c r="AG1207" s="964" t="str">
        <f t="shared" si="799"/>
        <v/>
      </c>
      <c r="AH1207" s="964" t="str">
        <f t="shared" si="800"/>
        <v/>
      </c>
      <c r="AI1207" s="964" t="str">
        <f t="shared" si="801"/>
        <v/>
      </c>
      <c r="AJ1207" s="964"/>
      <c r="AK1207" s="964"/>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s="1396"/>
      <c r="CB1207" s="1396"/>
      <c r="CC1207"/>
      <c r="CD1207"/>
      <c r="CE1207"/>
    </row>
    <row r="1208" spans="1:83" ht="13.15" customHeight="1" outlineLevel="2" x14ac:dyDescent="0.2">
      <c r="A1208"/>
      <c r="B1208" s="1"/>
      <c r="C1208"/>
      <c r="D1208"/>
      <c r="E1208"/>
      <c r="F1208"/>
      <c r="G1208" s="1"/>
      <c r="H1208" s="1"/>
      <c r="I1208"/>
      <c r="J1208"/>
      <c r="K1208"/>
      <c r="L1208"/>
      <c r="M1208"/>
      <c r="N1208"/>
      <c r="O1208"/>
      <c r="P1208"/>
      <c r="Q1208"/>
      <c r="R1208" s="558" t="s">
        <v>930</v>
      </c>
      <c r="S1208" s="83"/>
      <c r="T1208" s="56"/>
      <c r="U1208" s="955"/>
      <c r="V1208" s="43" t="str">
        <f>Z1197</f>
        <v>B</v>
      </c>
      <c r="W1208" s="10"/>
      <c r="X1208" s="45" t="s">
        <v>769</v>
      </c>
      <c r="Y1208" s="10"/>
      <c r="Z1208" s="46" t="str">
        <f t="shared" si="802"/>
        <v>H</v>
      </c>
      <c r="AA1208" s="123"/>
      <c r="AB1208" s="1459">
        <f t="shared" si="794"/>
        <v>0</v>
      </c>
      <c r="AC1208" s="1460" t="str">
        <f t="shared" si="795"/>
        <v>-</v>
      </c>
      <c r="AD1208" s="1459">
        <f t="shared" si="796"/>
        <v>0</v>
      </c>
      <c r="AE1208" s="964" t="str">
        <f t="shared" si="797"/>
        <v/>
      </c>
      <c r="AF1208" s="964" t="str">
        <f t="shared" si="798"/>
        <v/>
      </c>
      <c r="AG1208" s="964" t="str">
        <f t="shared" si="799"/>
        <v/>
      </c>
      <c r="AH1208" s="964" t="str">
        <f t="shared" si="800"/>
        <v/>
      </c>
      <c r="AI1208" s="964" t="str">
        <f t="shared" si="801"/>
        <v/>
      </c>
      <c r="AJ1208" s="964"/>
      <c r="AK1208" s="964"/>
      <c r="AL1208"/>
      <c r="AM1208"/>
      <c r="AN1208"/>
      <c r="AO1208"/>
      <c r="AP1208"/>
      <c r="AQ1208"/>
      <c r="AR1208"/>
      <c r="AS1208"/>
      <c r="AT1208"/>
      <c r="AU1208"/>
      <c r="AV1208"/>
      <c r="AW1208"/>
      <c r="AX1208" s="9"/>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s="1396"/>
      <c r="CB1208" s="1396"/>
      <c r="CC1208"/>
      <c r="CD1208"/>
      <c r="CE1208"/>
    </row>
    <row r="1209" spans="1:83" ht="13.9" customHeight="1" outlineLevel="2" thickBot="1" x14ac:dyDescent="0.25">
      <c r="A1209"/>
      <c r="B1209" s="1"/>
      <c r="C1209"/>
      <c r="D1209"/>
      <c r="E1209"/>
      <c r="F1209"/>
      <c r="G1209" s="1"/>
      <c r="H1209" s="1"/>
      <c r="I1209"/>
      <c r="J1209"/>
      <c r="K1209"/>
      <c r="L1209"/>
      <c r="M1209"/>
      <c r="N1209"/>
      <c r="O1209"/>
      <c r="P1209"/>
      <c r="Q1209"/>
      <c r="R1209" s="558" t="s">
        <v>930</v>
      </c>
      <c r="S1209" s="956"/>
      <c r="T1209" s="58"/>
      <c r="U1209" s="957"/>
      <c r="V1209" s="43" t="str">
        <f>Z1198</f>
        <v>D</v>
      </c>
      <c r="W1209" s="10"/>
      <c r="X1209" s="45" t="s">
        <v>769</v>
      </c>
      <c r="Y1209" s="10"/>
      <c r="Z1209" s="46" t="str">
        <f>Z1199</f>
        <v>F</v>
      </c>
      <c r="AA1209" s="123"/>
      <c r="AB1209" s="1459">
        <f t="shared" si="794"/>
        <v>0</v>
      </c>
      <c r="AC1209" s="1460" t="str">
        <f t="shared" si="795"/>
        <v>-</v>
      </c>
      <c r="AD1209" s="1459">
        <f t="shared" si="796"/>
        <v>0</v>
      </c>
      <c r="AE1209" s="964" t="str">
        <f t="shared" si="797"/>
        <v/>
      </c>
      <c r="AF1209" s="964" t="str">
        <f t="shared" si="798"/>
        <v/>
      </c>
      <c r="AG1209" s="964" t="str">
        <f t="shared" si="799"/>
        <v/>
      </c>
      <c r="AH1209" s="964" t="str">
        <f t="shared" si="800"/>
        <v/>
      </c>
      <c r="AI1209" s="964" t="str">
        <f t="shared" si="801"/>
        <v/>
      </c>
      <c r="AJ1209" s="964"/>
      <c r="AK1209" s="964"/>
      <c r="AL1209"/>
      <c r="AM1209"/>
      <c r="AN1209"/>
      <c r="AO1209"/>
      <c r="AP1209"/>
      <c r="AQ1209"/>
      <c r="AR1209"/>
      <c r="AS1209"/>
      <c r="AT1209"/>
      <c r="AU1209"/>
      <c r="AV1209"/>
      <c r="AW1209" s="9"/>
      <c r="AX1209" s="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s="1396"/>
      <c r="CB1209" s="1396"/>
      <c r="CC1209"/>
      <c r="CD1209"/>
      <c r="CE1209"/>
    </row>
    <row r="1210" spans="1:83" ht="13.5" outlineLevel="1" thickBot="1" x14ac:dyDescent="0.25">
      <c r="A1210"/>
      <c r="B1210" s="1"/>
      <c r="C1210" s="1"/>
      <c r="D1210" s="76"/>
      <c r="E1210" s="76"/>
      <c r="F1210" s="76"/>
      <c r="G1210" s="9"/>
      <c r="H1210" s="9"/>
      <c r="I1210" s="1"/>
      <c r="J1210"/>
      <c r="K1210"/>
      <c r="L1210"/>
      <c r="M1210"/>
      <c r="N1210"/>
      <c r="O1210"/>
      <c r="P1210" s="89"/>
      <c r="Q1210"/>
      <c r="R1210" s="1"/>
      <c r="S1210" s="993">
        <f>S1200+1</f>
        <v>9</v>
      </c>
      <c r="T1210" s="961"/>
      <c r="U1210" s="961"/>
      <c r="V1210" s="961"/>
      <c r="W1210" s="960"/>
      <c r="X1210" s="960"/>
      <c r="Y1210" s="960"/>
      <c r="Z1210" s="962"/>
      <c r="AA1210" s="123"/>
      <c r="AB1210" s="963"/>
      <c r="AC1210" s="963"/>
      <c r="AD1210" s="963"/>
      <c r="AE1210" s="964"/>
      <c r="AF1210" s="964"/>
      <c r="AG1210" s="964"/>
      <c r="AH1210" s="964"/>
      <c r="AI1210" s="964"/>
      <c r="AJ1210" s="964"/>
      <c r="AK1210" s="964"/>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s="1396"/>
      <c r="CB1210" s="1396"/>
      <c r="CC1210"/>
      <c r="CD1210"/>
      <c r="CE1210"/>
    </row>
    <row r="1211" spans="1:83" ht="13.9" customHeight="1" outlineLevel="2" thickBot="1" x14ac:dyDescent="0.25">
      <c r="A1211"/>
      <c r="B1211" s="1"/>
      <c r="C1211"/>
      <c r="D1211"/>
      <c r="E1211"/>
      <c r="F1211"/>
      <c r="G1211" s="1"/>
      <c r="H1211" s="1"/>
      <c r="I1211"/>
      <c r="J1211"/>
      <c r="K1211"/>
      <c r="L1211"/>
      <c r="M1211"/>
      <c r="N1211"/>
      <c r="O1211"/>
      <c r="P1211"/>
      <c r="Q1211"/>
      <c r="S1211" s="22" t="str">
        <f>N_Heure</f>
        <v>Heure</v>
      </c>
      <c r="T1211" s="22" t="str">
        <f>N_Table</f>
        <v>Table</v>
      </c>
      <c r="U1211" s="22" t="str">
        <f>N_Arbitre</f>
        <v>Arbitre</v>
      </c>
      <c r="V1211" s="293" t="str">
        <f>N_Matches</f>
        <v>Matches</v>
      </c>
      <c r="W1211" s="294"/>
      <c r="X1211" s="294"/>
      <c r="Y1211" s="294"/>
      <c r="Z1211" s="295"/>
      <c r="AA1211" s="8"/>
      <c r="AB1211" s="967"/>
      <c r="AC1211" s="967"/>
      <c r="AD1211" s="967"/>
      <c r="AE1211" s="964"/>
      <c r="AF1211" s="964"/>
      <c r="AG1211" s="964"/>
      <c r="AH1211" s="964"/>
      <c r="AI1211" s="964"/>
      <c r="AJ1211" s="964"/>
      <c r="AK1211" s="964"/>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s="1396"/>
      <c r="CB1211" s="1396"/>
      <c r="CC1211"/>
      <c r="CD1211"/>
      <c r="CE1211"/>
    </row>
    <row r="1212" spans="1:83" ht="13.15" customHeight="1" outlineLevel="2" x14ac:dyDescent="0.2">
      <c r="A1212"/>
      <c r="B1212" s="1"/>
      <c r="C1212"/>
      <c r="D1212"/>
      <c r="E1212"/>
      <c r="F1212"/>
      <c r="G1212" s="1"/>
      <c r="H1212" s="1"/>
      <c r="I1212"/>
      <c r="J1212"/>
      <c r="K1212"/>
      <c r="L1212"/>
      <c r="M1212"/>
      <c r="N1212"/>
      <c r="O1212"/>
      <c r="P1212"/>
      <c r="Q1212"/>
      <c r="R1212" s="558" t="s">
        <v>3971</v>
      </c>
      <c r="S1212" s="65"/>
      <c r="T1212" s="953"/>
      <c r="U1212" s="954"/>
      <c r="V1212" s="34" t="str">
        <f>Z1202</f>
        <v>A</v>
      </c>
      <c r="W1212" s="148"/>
      <c r="X1212" s="35" t="s">
        <v>769</v>
      </c>
      <c r="Y1212" s="148"/>
      <c r="Z1212" s="36" t="str">
        <f>Z1203</f>
        <v>Q</v>
      </c>
      <c r="AA1212" s="123"/>
      <c r="AB1212" s="1459">
        <f t="shared" ref="AB1212:AB1219" si="803">IF(MaxScore,MaxGoals(W1212,Y1212,MaxGoalsValue),IF(W1212="","",W1212))</f>
        <v>0</v>
      </c>
      <c r="AC1212" s="1460" t="str">
        <f t="shared" ref="AC1212:AC1219" si="804">IF(MaxScore,"-",IF(W1212="","","-"))</f>
        <v>-</v>
      </c>
      <c r="AD1212" s="1459">
        <f t="shared" ref="AD1212:AD1219" si="805">IF(MaxScore,MaxGoals(Y1212,W1212,MaxGoalsValue),IF(Y1212="","",Y1212))</f>
        <v>0</v>
      </c>
      <c r="AE1212" s="964" t="str">
        <f t="shared" ref="AE1212:AE1219" si="806">IF(W1212="","",IF(W1212&gt;Y1212,V1212,IF(W1212=Y1212,"",Z1212)))</f>
        <v/>
      </c>
      <c r="AF1212" s="964" t="str">
        <f t="shared" ref="AF1212:AF1219" si="807">IF(W1212="","",IF(W1212=Y1212,V1212,""))</f>
        <v/>
      </c>
      <c r="AG1212" s="964" t="str">
        <f t="shared" ref="AG1212:AG1219" si="808">IF(W1212="","",IF(W1212=Y1212,Z1212,""))</f>
        <v/>
      </c>
      <c r="AH1212" s="964" t="str">
        <f t="shared" ref="AH1212:AH1219" si="809">IF(W1212="","",IF(W1212&lt;Y1212,V1212,IF(W1212=Y1212,"",Z1212)))</f>
        <v/>
      </c>
      <c r="AI1212" s="964" t="str">
        <f t="shared" ref="AI1212:AI1219" si="810">CONCATENATE(AE1212,AH1212)</f>
        <v/>
      </c>
      <c r="AJ1212" s="964"/>
      <c r="AK1212" s="964"/>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s="1396"/>
      <c r="CB1212" s="1396"/>
      <c r="CC1212"/>
      <c r="CD1212"/>
      <c r="CE1212"/>
    </row>
    <row r="1213" spans="1:83" ht="13.15" customHeight="1" outlineLevel="2" x14ac:dyDescent="0.2">
      <c r="A1213"/>
      <c r="B1213" s="1"/>
      <c r="C1213"/>
      <c r="D1213"/>
      <c r="E1213"/>
      <c r="F1213"/>
      <c r="G1213" s="1"/>
      <c r="H1213" s="1"/>
      <c r="I1213"/>
      <c r="J1213"/>
      <c r="K1213"/>
      <c r="L1213"/>
      <c r="M1213"/>
      <c r="N1213"/>
      <c r="O1213"/>
      <c r="P1213"/>
      <c r="Q1213"/>
      <c r="R1213" s="558" t="s">
        <v>3971</v>
      </c>
      <c r="S1213" s="83"/>
      <c r="T1213" s="56"/>
      <c r="U1213" s="955"/>
      <c r="V1213" s="43" t="str">
        <f t="shared" ref="V1213:V1218" si="811">Z1204</f>
        <v>P</v>
      </c>
      <c r="W1213" s="10"/>
      <c r="X1213" s="45" t="s">
        <v>769</v>
      </c>
      <c r="Y1213" s="10"/>
      <c r="Z1213" s="46" t="str">
        <f>V1203</f>
        <v>M</v>
      </c>
      <c r="AA1213" s="123"/>
      <c r="AB1213" s="1459">
        <f t="shared" si="803"/>
        <v>0</v>
      </c>
      <c r="AC1213" s="1460" t="str">
        <f t="shared" si="804"/>
        <v>-</v>
      </c>
      <c r="AD1213" s="1459">
        <f t="shared" si="805"/>
        <v>0</v>
      </c>
      <c r="AE1213" s="964" t="str">
        <f t="shared" si="806"/>
        <v/>
      </c>
      <c r="AF1213" s="964" t="str">
        <f t="shared" si="807"/>
        <v/>
      </c>
      <c r="AG1213" s="964" t="str">
        <f t="shared" si="808"/>
        <v/>
      </c>
      <c r="AH1213" s="964" t="str">
        <f t="shared" si="809"/>
        <v/>
      </c>
      <c r="AI1213" s="964" t="str">
        <f t="shared" si="810"/>
        <v/>
      </c>
      <c r="AJ1213" s="964"/>
      <c r="AK1213" s="964"/>
      <c r="AL1213"/>
      <c r="AM1213"/>
      <c r="AN1213"/>
      <c r="AO1213"/>
      <c r="AP1213"/>
      <c r="AQ1213"/>
      <c r="AR1213"/>
      <c r="AS1213"/>
      <c r="AT1213"/>
      <c r="AU1213"/>
      <c r="AV1213"/>
      <c r="AW1213"/>
      <c r="AX1213" s="9"/>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s="1396"/>
      <c r="CB1213" s="1396"/>
      <c r="CC1213"/>
      <c r="CD1213"/>
      <c r="CE1213"/>
    </row>
    <row r="1214" spans="1:83" ht="13.15" customHeight="1" outlineLevel="2" x14ac:dyDescent="0.2">
      <c r="A1214"/>
      <c r="B1214" s="1"/>
      <c r="C1214"/>
      <c r="D1214"/>
      <c r="E1214"/>
      <c r="F1214"/>
      <c r="G1214" s="1"/>
      <c r="H1214" s="1"/>
      <c r="I1214"/>
      <c r="J1214"/>
      <c r="K1214"/>
      <c r="L1214"/>
      <c r="M1214"/>
      <c r="N1214"/>
      <c r="O1214"/>
      <c r="P1214"/>
      <c r="Q1214"/>
      <c r="R1214" s="558" t="s">
        <v>3971</v>
      </c>
      <c r="S1214" s="83"/>
      <c r="T1214" s="56"/>
      <c r="U1214" s="955"/>
      <c r="V1214" s="43" t="str">
        <f t="shared" si="811"/>
        <v>N</v>
      </c>
      <c r="W1214" s="10"/>
      <c r="X1214" s="45" t="s">
        <v>769</v>
      </c>
      <c r="Y1214" s="10"/>
      <c r="Z1214" s="46" t="str">
        <f>Z1193</f>
        <v>K</v>
      </c>
      <c r="AA1214" s="123"/>
      <c r="AB1214" s="1459">
        <f t="shared" si="803"/>
        <v>0</v>
      </c>
      <c r="AC1214" s="1460" t="str">
        <f t="shared" si="804"/>
        <v>-</v>
      </c>
      <c r="AD1214" s="1459">
        <f t="shared" si="805"/>
        <v>0</v>
      </c>
      <c r="AE1214" s="964" t="str">
        <f t="shared" si="806"/>
        <v/>
      </c>
      <c r="AF1214" s="964" t="str">
        <f t="shared" si="807"/>
        <v/>
      </c>
      <c r="AG1214" s="964" t="str">
        <f t="shared" si="808"/>
        <v/>
      </c>
      <c r="AH1214" s="964" t="str">
        <f t="shared" si="809"/>
        <v/>
      </c>
      <c r="AI1214" s="964" t="str">
        <f t="shared" si="810"/>
        <v/>
      </c>
      <c r="AJ1214" s="964"/>
      <c r="AK1214" s="964"/>
      <c r="AL1214"/>
      <c r="AM1214"/>
      <c r="AN1214"/>
      <c r="AO1214"/>
      <c r="AP1214"/>
      <c r="AQ1214"/>
      <c r="AR1214"/>
      <c r="AS1214"/>
      <c r="AT1214"/>
      <c r="AU1214"/>
      <c r="AV1214"/>
      <c r="AW1214" s="9"/>
      <c r="AX1214" s="9"/>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s="1396"/>
      <c r="CB1214" s="1396"/>
      <c r="CC1214"/>
      <c r="CD1214"/>
      <c r="CE1214"/>
    </row>
    <row r="1215" spans="1:83" ht="13.15" customHeight="1" outlineLevel="2" x14ac:dyDescent="0.2">
      <c r="A1215"/>
      <c r="B1215" s="1"/>
      <c r="C1215"/>
      <c r="D1215"/>
      <c r="E1215"/>
      <c r="F1215"/>
      <c r="G1215" s="1"/>
      <c r="H1215" s="1"/>
      <c r="I1215"/>
      <c r="J1215"/>
      <c r="K1215"/>
      <c r="L1215"/>
      <c r="M1215"/>
      <c r="N1215"/>
      <c r="O1215"/>
      <c r="P1215"/>
      <c r="Q1215"/>
      <c r="R1215" s="558" t="s">
        <v>3971</v>
      </c>
      <c r="S1215" s="83"/>
      <c r="T1215" s="56"/>
      <c r="U1215" s="955"/>
      <c r="V1215" s="43" t="str">
        <f t="shared" si="811"/>
        <v>L</v>
      </c>
      <c r="W1215" s="10"/>
      <c r="X1215" s="45" t="s">
        <v>769</v>
      </c>
      <c r="Y1215" s="10"/>
      <c r="Z1215" s="46" t="str">
        <f>V1204</f>
        <v>I</v>
      </c>
      <c r="AA1215" s="123"/>
      <c r="AB1215" s="1459">
        <f t="shared" si="803"/>
        <v>0</v>
      </c>
      <c r="AC1215" s="1460" t="str">
        <f t="shared" si="804"/>
        <v>-</v>
      </c>
      <c r="AD1215" s="1459">
        <f t="shared" si="805"/>
        <v>0</v>
      </c>
      <c r="AE1215" s="964" t="str">
        <f t="shared" si="806"/>
        <v/>
      </c>
      <c r="AF1215" s="964" t="str">
        <f t="shared" si="807"/>
        <v/>
      </c>
      <c r="AG1215" s="964" t="str">
        <f t="shared" si="808"/>
        <v/>
      </c>
      <c r="AH1215" s="964" t="str">
        <f t="shared" si="809"/>
        <v/>
      </c>
      <c r="AI1215" s="964" t="str">
        <f t="shared" si="810"/>
        <v/>
      </c>
      <c r="AJ1215" s="964"/>
      <c r="AK1215" s="964"/>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s="1396"/>
      <c r="CB1215" s="1396"/>
      <c r="CC1215"/>
      <c r="CD1215"/>
      <c r="CE1215"/>
    </row>
    <row r="1216" spans="1:83" ht="13.15" customHeight="1" outlineLevel="2" x14ac:dyDescent="0.2">
      <c r="A1216"/>
      <c r="B1216" s="1"/>
      <c r="C1216"/>
      <c r="D1216"/>
      <c r="E1216"/>
      <c r="F1216"/>
      <c r="G1216" s="1"/>
      <c r="H1216" s="1"/>
      <c r="I1216"/>
      <c r="J1216"/>
      <c r="K1216"/>
      <c r="L1216"/>
      <c r="M1216"/>
      <c r="N1216"/>
      <c r="O1216"/>
      <c r="P1216"/>
      <c r="Q1216"/>
      <c r="R1216" s="558" t="s">
        <v>3971</v>
      </c>
      <c r="S1216" s="83"/>
      <c r="T1216" s="56"/>
      <c r="U1216" s="955"/>
      <c r="V1216" s="43" t="str">
        <f t="shared" si="811"/>
        <v>J</v>
      </c>
      <c r="W1216" s="10"/>
      <c r="X1216" s="45" t="s">
        <v>769</v>
      </c>
      <c r="Y1216" s="10"/>
      <c r="Z1216" s="46" t="str">
        <f>V1205</f>
        <v>G</v>
      </c>
      <c r="AA1216" s="123"/>
      <c r="AB1216" s="1459">
        <f t="shared" si="803"/>
        <v>0</v>
      </c>
      <c r="AC1216" s="1460" t="str">
        <f t="shared" si="804"/>
        <v>-</v>
      </c>
      <c r="AD1216" s="1459">
        <f t="shared" si="805"/>
        <v>0</v>
      </c>
      <c r="AE1216" s="964" t="str">
        <f t="shared" si="806"/>
        <v/>
      </c>
      <c r="AF1216" s="964" t="str">
        <f t="shared" si="807"/>
        <v/>
      </c>
      <c r="AG1216" s="964" t="str">
        <f t="shared" si="808"/>
        <v/>
      </c>
      <c r="AH1216" s="964" t="str">
        <f t="shared" si="809"/>
        <v/>
      </c>
      <c r="AI1216" s="964" t="str">
        <f t="shared" si="810"/>
        <v/>
      </c>
      <c r="AJ1216" s="964"/>
      <c r="AK1216" s="964"/>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s="1396"/>
      <c r="CB1216" s="1396"/>
      <c r="CC1216"/>
      <c r="CD1216"/>
      <c r="CE1216"/>
    </row>
    <row r="1217" spans="1:83" ht="13.15" customHeight="1" outlineLevel="2" x14ac:dyDescent="0.2">
      <c r="A1217"/>
      <c r="B1217" s="1"/>
      <c r="C1217"/>
      <c r="D1217"/>
      <c r="E1217"/>
      <c r="F1217"/>
      <c r="G1217" s="1"/>
      <c r="H1217" s="1"/>
      <c r="I1217"/>
      <c r="J1217"/>
      <c r="K1217"/>
      <c r="L1217"/>
      <c r="M1217"/>
      <c r="N1217"/>
      <c r="O1217"/>
      <c r="P1217"/>
      <c r="Q1217"/>
      <c r="R1217" s="558" t="s">
        <v>3971</v>
      </c>
      <c r="S1217" s="83"/>
      <c r="T1217" s="56"/>
      <c r="U1217" s="955"/>
      <c r="V1217" s="43" t="str">
        <f t="shared" si="811"/>
        <v>H</v>
      </c>
      <c r="W1217" s="10"/>
      <c r="X1217" s="45" t="s">
        <v>769</v>
      </c>
      <c r="Y1217" s="10"/>
      <c r="Z1217" s="46" t="str">
        <f>V1206</f>
        <v>E</v>
      </c>
      <c r="AA1217" s="123"/>
      <c r="AB1217" s="1459">
        <f t="shared" si="803"/>
        <v>0</v>
      </c>
      <c r="AC1217" s="1460" t="str">
        <f t="shared" si="804"/>
        <v>-</v>
      </c>
      <c r="AD1217" s="1459">
        <f t="shared" si="805"/>
        <v>0</v>
      </c>
      <c r="AE1217" s="964" t="str">
        <f t="shared" si="806"/>
        <v/>
      </c>
      <c r="AF1217" s="964" t="str">
        <f t="shared" si="807"/>
        <v/>
      </c>
      <c r="AG1217" s="964" t="str">
        <f t="shared" si="808"/>
        <v/>
      </c>
      <c r="AH1217" s="964" t="str">
        <f t="shared" si="809"/>
        <v/>
      </c>
      <c r="AI1217" s="964" t="str">
        <f t="shared" si="810"/>
        <v/>
      </c>
      <c r="AJ1217" s="964"/>
      <c r="AK1217" s="964"/>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s="1396"/>
      <c r="CB1217" s="1396"/>
      <c r="CC1217"/>
      <c r="CD1217"/>
      <c r="CE1217"/>
    </row>
    <row r="1218" spans="1:83" ht="13.15" customHeight="1" outlineLevel="2" x14ac:dyDescent="0.2">
      <c r="A1218"/>
      <c r="B1218" s="1"/>
      <c r="C1218"/>
      <c r="D1218"/>
      <c r="E1218"/>
      <c r="F1218"/>
      <c r="G1218" s="1"/>
      <c r="H1218" s="1"/>
      <c r="I1218"/>
      <c r="J1218"/>
      <c r="K1218"/>
      <c r="L1218"/>
      <c r="M1218"/>
      <c r="N1218"/>
      <c r="O1218"/>
      <c r="P1218"/>
      <c r="Q1218"/>
      <c r="R1218" s="558" t="s">
        <v>3971</v>
      </c>
      <c r="S1218" s="83"/>
      <c r="T1218" s="56"/>
      <c r="U1218" s="955"/>
      <c r="V1218" s="43" t="str">
        <f t="shared" si="811"/>
        <v>F</v>
      </c>
      <c r="W1218" s="10"/>
      <c r="X1218" s="45" t="s">
        <v>769</v>
      </c>
      <c r="Y1218" s="10"/>
      <c r="Z1218" s="46" t="str">
        <f>V1207</f>
        <v>C</v>
      </c>
      <c r="AA1218" s="123"/>
      <c r="AB1218" s="1459">
        <f t="shared" si="803"/>
        <v>0</v>
      </c>
      <c r="AC1218" s="1460" t="str">
        <f t="shared" si="804"/>
        <v>-</v>
      </c>
      <c r="AD1218" s="1459">
        <f t="shared" si="805"/>
        <v>0</v>
      </c>
      <c r="AE1218" s="964" t="str">
        <f t="shared" si="806"/>
        <v/>
      </c>
      <c r="AF1218" s="964" t="str">
        <f t="shared" si="807"/>
        <v/>
      </c>
      <c r="AG1218" s="964" t="str">
        <f t="shared" si="808"/>
        <v/>
      </c>
      <c r="AH1218" s="964" t="str">
        <f t="shared" si="809"/>
        <v/>
      </c>
      <c r="AI1218" s="964" t="str">
        <f t="shared" si="810"/>
        <v/>
      </c>
      <c r="AJ1218" s="964"/>
      <c r="AK1218" s="964"/>
      <c r="AL1218"/>
      <c r="AM1218"/>
      <c r="AN1218"/>
      <c r="AO1218"/>
      <c r="AP1218"/>
      <c r="AQ1218"/>
      <c r="AR1218"/>
      <c r="AS1218"/>
      <c r="AT1218"/>
      <c r="AU1218"/>
      <c r="AV1218"/>
      <c r="AW1218"/>
      <c r="AX1218" s="9"/>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s="1396"/>
      <c r="CB1218" s="1396"/>
      <c r="CC1218"/>
      <c r="CD1218"/>
      <c r="CE1218"/>
    </row>
    <row r="1219" spans="1:83" ht="13.9" customHeight="1" outlineLevel="2" thickBot="1" x14ac:dyDescent="0.25">
      <c r="A1219"/>
      <c r="B1219" s="1"/>
      <c r="C1219"/>
      <c r="D1219"/>
      <c r="E1219"/>
      <c r="F1219"/>
      <c r="G1219" s="1"/>
      <c r="H1219" s="1"/>
      <c r="I1219"/>
      <c r="J1219"/>
      <c r="K1219"/>
      <c r="L1219"/>
      <c r="M1219"/>
      <c r="N1219"/>
      <c r="O1219"/>
      <c r="P1219"/>
      <c r="Q1219"/>
      <c r="R1219" s="558" t="s">
        <v>3971</v>
      </c>
      <c r="S1219" s="956"/>
      <c r="T1219" s="58"/>
      <c r="U1219" s="957"/>
      <c r="V1219" s="958" t="str">
        <f>V1209</f>
        <v>D</v>
      </c>
      <c r="W1219" s="10"/>
      <c r="X1219" s="45" t="s">
        <v>769</v>
      </c>
      <c r="Y1219" s="10"/>
      <c r="Z1219" s="46" t="str">
        <f>V1208</f>
        <v>B</v>
      </c>
      <c r="AA1219" s="123"/>
      <c r="AB1219" s="1459">
        <f t="shared" si="803"/>
        <v>0</v>
      </c>
      <c r="AC1219" s="1460" t="str">
        <f t="shared" si="804"/>
        <v>-</v>
      </c>
      <c r="AD1219" s="1459">
        <f t="shared" si="805"/>
        <v>0</v>
      </c>
      <c r="AE1219" s="964" t="str">
        <f t="shared" si="806"/>
        <v/>
      </c>
      <c r="AF1219" s="964" t="str">
        <f t="shared" si="807"/>
        <v/>
      </c>
      <c r="AG1219" s="964" t="str">
        <f t="shared" si="808"/>
        <v/>
      </c>
      <c r="AH1219" s="964" t="str">
        <f t="shared" si="809"/>
        <v/>
      </c>
      <c r="AI1219" s="964" t="str">
        <f t="shared" si="810"/>
        <v/>
      </c>
      <c r="AJ1219" s="964"/>
      <c r="AK1219" s="964"/>
      <c r="AL1219"/>
      <c r="AM1219"/>
      <c r="AN1219"/>
      <c r="AO1219"/>
      <c r="AP1219"/>
      <c r="AQ1219"/>
      <c r="AR1219"/>
      <c r="AS1219"/>
      <c r="AT1219"/>
      <c r="AU1219"/>
      <c r="AV1219"/>
      <c r="AW1219" s="9"/>
      <c r="AX1219" s="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s="1396"/>
      <c r="CB1219" s="1396"/>
      <c r="CC1219"/>
      <c r="CD1219"/>
      <c r="CE1219"/>
    </row>
    <row r="1220" spans="1:83" ht="13.5" outlineLevel="1" thickBot="1" x14ac:dyDescent="0.25">
      <c r="A1220"/>
      <c r="B1220" s="1"/>
      <c r="C1220" s="1"/>
      <c r="D1220" s="76"/>
      <c r="E1220" s="76"/>
      <c r="F1220" s="76"/>
      <c r="G1220" s="9"/>
      <c r="H1220" s="9"/>
      <c r="I1220" s="1"/>
      <c r="J1220"/>
      <c r="K1220"/>
      <c r="L1220"/>
      <c r="M1220"/>
      <c r="N1220"/>
      <c r="O1220"/>
      <c r="P1220" s="89"/>
      <c r="Q1220"/>
      <c r="R1220" s="1"/>
      <c r="S1220" s="993">
        <f>S1210+1</f>
        <v>10</v>
      </c>
      <c r="T1220" s="961"/>
      <c r="U1220" s="961"/>
      <c r="V1220" s="961"/>
      <c r="W1220" s="960"/>
      <c r="X1220" s="960"/>
      <c r="Y1220" s="960"/>
      <c r="Z1220" s="962"/>
      <c r="AA1220" s="123"/>
      <c r="AB1220" s="963"/>
      <c r="AC1220" s="963"/>
      <c r="AD1220" s="963"/>
      <c r="AE1220" s="964"/>
      <c r="AF1220" s="964"/>
      <c r="AG1220" s="964"/>
      <c r="AH1220" s="964"/>
      <c r="AI1220" s="964"/>
      <c r="AJ1220" s="964"/>
      <c r="AK1220" s="964"/>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s="1396"/>
      <c r="CB1220" s="1396"/>
      <c r="CC1220"/>
      <c r="CD1220"/>
      <c r="CE1220"/>
    </row>
    <row r="1221" spans="1:83" ht="13.9" customHeight="1" outlineLevel="2" x14ac:dyDescent="0.2">
      <c r="A1221"/>
      <c r="B1221" s="1"/>
      <c r="C1221"/>
      <c r="D1221"/>
      <c r="E1221"/>
      <c r="F1221"/>
      <c r="G1221" s="1"/>
      <c r="H1221" s="1"/>
      <c r="I1221"/>
      <c r="J1221"/>
      <c r="K1221"/>
      <c r="L1221"/>
      <c r="M1221"/>
      <c r="N1221"/>
      <c r="O1221"/>
      <c r="P1221"/>
      <c r="Q1221"/>
      <c r="S1221" s="22" t="str">
        <f>N_Heure</f>
        <v>Heure</v>
      </c>
      <c r="T1221" s="22" t="str">
        <f>N_Table</f>
        <v>Table</v>
      </c>
      <c r="U1221" s="22" t="str">
        <f>N_Arbitre</f>
        <v>Arbitre</v>
      </c>
      <c r="V1221" s="293" t="str">
        <f>N_Matches</f>
        <v>Matches</v>
      </c>
      <c r="W1221" s="294"/>
      <c r="X1221" s="294"/>
      <c r="Y1221" s="294"/>
      <c r="Z1221" s="295"/>
      <c r="AA1221" s="8"/>
      <c r="AB1221" s="967"/>
      <c r="AC1221" s="967"/>
      <c r="AD1221" s="967"/>
      <c r="AE1221" s="964"/>
      <c r="AF1221" s="964"/>
      <c r="AG1221" s="964"/>
      <c r="AH1221" s="964"/>
      <c r="AI1221" s="964"/>
      <c r="AJ1221" s="964"/>
      <c r="AK1221" s="964"/>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s="1396"/>
      <c r="CB1221" s="1396"/>
      <c r="CC1221"/>
      <c r="CD1221"/>
      <c r="CE1221"/>
    </row>
    <row r="1222" spans="1:83" ht="13.15" customHeight="1" outlineLevel="2" x14ac:dyDescent="0.2">
      <c r="A1222"/>
      <c r="B1222" s="1"/>
      <c r="C1222"/>
      <c r="D1222"/>
      <c r="E1222"/>
      <c r="F1222"/>
      <c r="G1222" s="1"/>
      <c r="H1222" s="1"/>
      <c r="I1222"/>
      <c r="J1222"/>
      <c r="K1222"/>
      <c r="L1222"/>
      <c r="M1222"/>
      <c r="N1222"/>
      <c r="O1222"/>
      <c r="P1222"/>
      <c r="Q1222"/>
      <c r="R1222" s="558" t="s">
        <v>3972</v>
      </c>
      <c r="S1222" s="83"/>
      <c r="T1222" s="56"/>
      <c r="U1222" s="955"/>
      <c r="V1222" s="43" t="str">
        <f>Z1212</f>
        <v>Q</v>
      </c>
      <c r="W1222" s="10"/>
      <c r="X1222" s="45" t="s">
        <v>769</v>
      </c>
      <c r="Y1222" s="10"/>
      <c r="Z1222" s="46" t="str">
        <f t="shared" ref="Z1222:Z1228" si="812">V1213</f>
        <v>P</v>
      </c>
      <c r="AA1222" s="123"/>
      <c r="AB1222" s="1459">
        <f t="shared" ref="AB1222:AB1229" si="813">IF(MaxScore,MaxGoals(W1222,Y1222,MaxGoalsValue),IF(W1222="","",W1222))</f>
        <v>0</v>
      </c>
      <c r="AC1222" s="1460" t="str">
        <f t="shared" ref="AC1222:AC1229" si="814">IF(MaxScore,"-",IF(W1222="","","-"))</f>
        <v>-</v>
      </c>
      <c r="AD1222" s="1459">
        <f t="shared" ref="AD1222:AD1229" si="815">IF(MaxScore,MaxGoals(Y1222,W1222,MaxGoalsValue),IF(Y1222="","",Y1222))</f>
        <v>0</v>
      </c>
      <c r="AE1222" s="964" t="str">
        <f t="shared" ref="AE1222:AE1229" si="816">IF(W1222="","",IF(W1222&gt;Y1222,V1222,IF(W1222=Y1222,"",Z1222)))</f>
        <v/>
      </c>
      <c r="AF1222" s="964" t="str">
        <f t="shared" ref="AF1222:AF1229" si="817">IF(W1222="","",IF(W1222=Y1222,V1222,""))</f>
        <v/>
      </c>
      <c r="AG1222" s="964" t="str">
        <f t="shared" ref="AG1222:AG1229" si="818">IF(W1222="","",IF(W1222=Y1222,Z1222,""))</f>
        <v/>
      </c>
      <c r="AH1222" s="964" t="str">
        <f t="shared" ref="AH1222:AH1229" si="819">IF(W1222="","",IF(W1222&lt;Y1222,V1222,IF(W1222=Y1222,"",Z1222)))</f>
        <v/>
      </c>
      <c r="AI1222" s="964" t="str">
        <f t="shared" ref="AI1222:AI1229" si="820">CONCATENATE(AE1222,AH1222)</f>
        <v/>
      </c>
      <c r="AJ1222" s="964"/>
      <c r="AK1222" s="964"/>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s="1396"/>
      <c r="CB1222" s="1396"/>
      <c r="CC1222"/>
      <c r="CD1222"/>
      <c r="CE1222"/>
    </row>
    <row r="1223" spans="1:83" ht="13.15" customHeight="1" outlineLevel="2" x14ac:dyDescent="0.2">
      <c r="A1223"/>
      <c r="B1223" s="1"/>
      <c r="C1223"/>
      <c r="D1223"/>
      <c r="E1223"/>
      <c r="F1223"/>
      <c r="G1223" s="1"/>
      <c r="H1223" s="1"/>
      <c r="I1223"/>
      <c r="J1223"/>
      <c r="K1223"/>
      <c r="L1223"/>
      <c r="M1223"/>
      <c r="N1223"/>
      <c r="O1223"/>
      <c r="P1223"/>
      <c r="Q1223"/>
      <c r="R1223" s="558" t="s">
        <v>3972</v>
      </c>
      <c r="S1223" s="83"/>
      <c r="T1223" s="56"/>
      <c r="U1223" s="955"/>
      <c r="V1223" s="43" t="str">
        <f>V1202</f>
        <v>O</v>
      </c>
      <c r="W1223" s="10"/>
      <c r="X1223" s="45" t="s">
        <v>769</v>
      </c>
      <c r="Y1223" s="10"/>
      <c r="Z1223" s="46" t="str">
        <f t="shared" si="812"/>
        <v>N</v>
      </c>
      <c r="AA1223" s="123"/>
      <c r="AB1223" s="1459">
        <f t="shared" si="813"/>
        <v>0</v>
      </c>
      <c r="AC1223" s="1460" t="str">
        <f t="shared" si="814"/>
        <v>-</v>
      </c>
      <c r="AD1223" s="1459">
        <f t="shared" si="815"/>
        <v>0</v>
      </c>
      <c r="AE1223" s="964" t="str">
        <f t="shared" si="816"/>
        <v/>
      </c>
      <c r="AF1223" s="964" t="str">
        <f t="shared" si="817"/>
        <v/>
      </c>
      <c r="AG1223" s="964" t="str">
        <f t="shared" si="818"/>
        <v/>
      </c>
      <c r="AH1223" s="964" t="str">
        <f t="shared" si="819"/>
        <v/>
      </c>
      <c r="AI1223" s="964" t="str">
        <f t="shared" si="820"/>
        <v/>
      </c>
      <c r="AJ1223" s="964"/>
      <c r="AK1223" s="964"/>
      <c r="AL1223"/>
      <c r="AM1223"/>
      <c r="AN1223"/>
      <c r="AO1223"/>
      <c r="AP1223"/>
      <c r="AQ1223"/>
      <c r="AR1223"/>
      <c r="AS1223"/>
      <c r="AT1223"/>
      <c r="AU1223"/>
      <c r="AV1223"/>
      <c r="AW1223"/>
      <c r="AX1223" s="9"/>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s="1396"/>
      <c r="CB1223" s="1396"/>
      <c r="CC1223"/>
      <c r="CD1223"/>
      <c r="CE1223"/>
    </row>
    <row r="1224" spans="1:83" ht="13.15" customHeight="1" outlineLevel="2" x14ac:dyDescent="0.2">
      <c r="A1224"/>
      <c r="B1224" s="1"/>
      <c r="C1224"/>
      <c r="D1224"/>
      <c r="E1224"/>
      <c r="F1224"/>
      <c r="G1224" s="1"/>
      <c r="H1224" s="1"/>
      <c r="I1224"/>
      <c r="J1224"/>
      <c r="K1224"/>
      <c r="L1224"/>
      <c r="M1224"/>
      <c r="N1224"/>
      <c r="O1224"/>
      <c r="P1224"/>
      <c r="Q1224"/>
      <c r="R1224" s="558" t="s">
        <v>3972</v>
      </c>
      <c r="S1224" s="83"/>
      <c r="T1224" s="56"/>
      <c r="U1224" s="955"/>
      <c r="V1224" s="43" t="str">
        <f t="shared" ref="V1224:V1229" si="821">Z1213</f>
        <v>M</v>
      </c>
      <c r="W1224" s="10"/>
      <c r="X1224" s="45" t="s">
        <v>769</v>
      </c>
      <c r="Y1224" s="10"/>
      <c r="Z1224" s="46" t="str">
        <f t="shared" si="812"/>
        <v>L</v>
      </c>
      <c r="AA1224" s="123"/>
      <c r="AB1224" s="1459">
        <f t="shared" si="813"/>
        <v>0</v>
      </c>
      <c r="AC1224" s="1460" t="str">
        <f t="shared" si="814"/>
        <v>-</v>
      </c>
      <c r="AD1224" s="1459">
        <f t="shared" si="815"/>
        <v>0</v>
      </c>
      <c r="AE1224" s="964" t="str">
        <f t="shared" si="816"/>
        <v/>
      </c>
      <c r="AF1224" s="964" t="str">
        <f t="shared" si="817"/>
        <v/>
      </c>
      <c r="AG1224" s="964" t="str">
        <f t="shared" si="818"/>
        <v/>
      </c>
      <c r="AH1224" s="964" t="str">
        <f t="shared" si="819"/>
        <v/>
      </c>
      <c r="AI1224" s="964" t="str">
        <f t="shared" si="820"/>
        <v/>
      </c>
      <c r="AJ1224" s="964"/>
      <c r="AK1224" s="964"/>
      <c r="AL1224"/>
      <c r="AM1224"/>
      <c r="AN1224"/>
      <c r="AO1224"/>
      <c r="AP1224"/>
      <c r="AQ1224"/>
      <c r="AR1224"/>
      <c r="AS1224"/>
      <c r="AT1224"/>
      <c r="AU1224"/>
      <c r="AV1224"/>
      <c r="AW1224" s="9"/>
      <c r="AX1224" s="9"/>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s="1396"/>
      <c r="CB1224" s="1396"/>
      <c r="CC1224"/>
      <c r="CD1224"/>
      <c r="CE1224"/>
    </row>
    <row r="1225" spans="1:83" ht="13.15" customHeight="1" outlineLevel="2" x14ac:dyDescent="0.2">
      <c r="A1225"/>
      <c r="B1225" s="1"/>
      <c r="C1225"/>
      <c r="D1225"/>
      <c r="E1225"/>
      <c r="F1225"/>
      <c r="G1225" s="1"/>
      <c r="H1225" s="1"/>
      <c r="I1225"/>
      <c r="J1225"/>
      <c r="K1225"/>
      <c r="L1225"/>
      <c r="M1225"/>
      <c r="N1225"/>
      <c r="O1225"/>
      <c r="P1225"/>
      <c r="Q1225"/>
      <c r="R1225" s="558" t="s">
        <v>3972</v>
      </c>
      <c r="S1225" s="83"/>
      <c r="T1225" s="56"/>
      <c r="U1225" s="955"/>
      <c r="V1225" s="43" t="str">
        <f t="shared" si="821"/>
        <v>K</v>
      </c>
      <c r="W1225" s="10"/>
      <c r="X1225" s="45" t="s">
        <v>769</v>
      </c>
      <c r="Y1225" s="10"/>
      <c r="Z1225" s="46" t="str">
        <f t="shared" si="812"/>
        <v>J</v>
      </c>
      <c r="AA1225" s="123"/>
      <c r="AB1225" s="1459">
        <f t="shared" si="813"/>
        <v>0</v>
      </c>
      <c r="AC1225" s="1460" t="str">
        <f t="shared" si="814"/>
        <v>-</v>
      </c>
      <c r="AD1225" s="1459">
        <f t="shared" si="815"/>
        <v>0</v>
      </c>
      <c r="AE1225" s="964" t="str">
        <f t="shared" si="816"/>
        <v/>
      </c>
      <c r="AF1225" s="964" t="str">
        <f t="shared" si="817"/>
        <v/>
      </c>
      <c r="AG1225" s="964" t="str">
        <f t="shared" si="818"/>
        <v/>
      </c>
      <c r="AH1225" s="964" t="str">
        <f t="shared" si="819"/>
        <v/>
      </c>
      <c r="AI1225" s="964" t="str">
        <f t="shared" si="820"/>
        <v/>
      </c>
      <c r="AJ1225" s="964"/>
      <c r="AK1225" s="964"/>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s="1396"/>
      <c r="CB1225" s="1396"/>
      <c r="CC1225"/>
      <c r="CD1225"/>
      <c r="CE1225"/>
    </row>
    <row r="1226" spans="1:83" ht="13.15" customHeight="1" outlineLevel="2" x14ac:dyDescent="0.2">
      <c r="A1226"/>
      <c r="B1226" s="1"/>
      <c r="C1226"/>
      <c r="D1226"/>
      <c r="E1226"/>
      <c r="F1226"/>
      <c r="G1226" s="1"/>
      <c r="H1226" s="1"/>
      <c r="I1226"/>
      <c r="J1226"/>
      <c r="K1226"/>
      <c r="L1226"/>
      <c r="M1226"/>
      <c r="N1226"/>
      <c r="O1226"/>
      <c r="P1226"/>
      <c r="Q1226"/>
      <c r="R1226" s="558" t="s">
        <v>3972</v>
      </c>
      <c r="S1226" s="83"/>
      <c r="T1226" s="56"/>
      <c r="U1226" s="955"/>
      <c r="V1226" s="43" t="str">
        <f t="shared" si="821"/>
        <v>I</v>
      </c>
      <c r="W1226" s="10"/>
      <c r="X1226" s="45" t="s">
        <v>769</v>
      </c>
      <c r="Y1226" s="10"/>
      <c r="Z1226" s="46" t="str">
        <f t="shared" si="812"/>
        <v>H</v>
      </c>
      <c r="AA1226" s="123"/>
      <c r="AB1226" s="1459">
        <f t="shared" si="813"/>
        <v>0</v>
      </c>
      <c r="AC1226" s="1460" t="str">
        <f t="shared" si="814"/>
        <v>-</v>
      </c>
      <c r="AD1226" s="1459">
        <f t="shared" si="815"/>
        <v>0</v>
      </c>
      <c r="AE1226" s="964" t="str">
        <f t="shared" si="816"/>
        <v/>
      </c>
      <c r="AF1226" s="964" t="str">
        <f t="shared" si="817"/>
        <v/>
      </c>
      <c r="AG1226" s="964" t="str">
        <f t="shared" si="818"/>
        <v/>
      </c>
      <c r="AH1226" s="964" t="str">
        <f t="shared" si="819"/>
        <v/>
      </c>
      <c r="AI1226" s="964" t="str">
        <f t="shared" si="820"/>
        <v/>
      </c>
      <c r="AJ1226" s="964"/>
      <c r="AK1226" s="964"/>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s="1396"/>
      <c r="CB1226" s="1396"/>
      <c r="CC1226"/>
      <c r="CD1226"/>
      <c r="CE1226"/>
    </row>
    <row r="1227" spans="1:83" ht="13.15" customHeight="1" outlineLevel="2" x14ac:dyDescent="0.2">
      <c r="A1227"/>
      <c r="B1227" s="1"/>
      <c r="C1227"/>
      <c r="D1227"/>
      <c r="E1227"/>
      <c r="F1227"/>
      <c r="G1227" s="1"/>
      <c r="H1227" s="1"/>
      <c r="I1227"/>
      <c r="J1227"/>
      <c r="K1227"/>
      <c r="L1227"/>
      <c r="M1227"/>
      <c r="N1227"/>
      <c r="O1227"/>
      <c r="P1227"/>
      <c r="Q1227"/>
      <c r="R1227" s="558" t="s">
        <v>3972</v>
      </c>
      <c r="S1227" s="83"/>
      <c r="T1227" s="56"/>
      <c r="U1227" s="955"/>
      <c r="V1227" s="43" t="str">
        <f t="shared" si="821"/>
        <v>G</v>
      </c>
      <c r="W1227" s="10"/>
      <c r="X1227" s="45" t="s">
        <v>769</v>
      </c>
      <c r="Y1227" s="10"/>
      <c r="Z1227" s="46" t="str">
        <f t="shared" si="812"/>
        <v>F</v>
      </c>
      <c r="AA1227" s="123"/>
      <c r="AB1227" s="1459">
        <f t="shared" si="813"/>
        <v>0</v>
      </c>
      <c r="AC1227" s="1460" t="str">
        <f t="shared" si="814"/>
        <v>-</v>
      </c>
      <c r="AD1227" s="1459">
        <f t="shared" si="815"/>
        <v>0</v>
      </c>
      <c r="AE1227" s="964" t="str">
        <f t="shared" si="816"/>
        <v/>
      </c>
      <c r="AF1227" s="964" t="str">
        <f t="shared" si="817"/>
        <v/>
      </c>
      <c r="AG1227" s="964" t="str">
        <f t="shared" si="818"/>
        <v/>
      </c>
      <c r="AH1227" s="964" t="str">
        <f t="shared" si="819"/>
        <v/>
      </c>
      <c r="AI1227" s="964" t="str">
        <f t="shared" si="820"/>
        <v/>
      </c>
      <c r="AJ1227" s="964"/>
      <c r="AK1227" s="964"/>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s="1396"/>
      <c r="CB1227" s="1396"/>
      <c r="CC1227"/>
      <c r="CD1227"/>
      <c r="CE1227"/>
    </row>
    <row r="1228" spans="1:83" ht="13.15" customHeight="1" outlineLevel="2" x14ac:dyDescent="0.2">
      <c r="A1228"/>
      <c r="B1228" s="1"/>
      <c r="C1228"/>
      <c r="D1228"/>
      <c r="E1228"/>
      <c r="F1228"/>
      <c r="G1228" s="1"/>
      <c r="H1228" s="1"/>
      <c r="I1228"/>
      <c r="J1228"/>
      <c r="K1228"/>
      <c r="L1228"/>
      <c r="M1228"/>
      <c r="N1228"/>
      <c r="O1228"/>
      <c r="P1228"/>
      <c r="Q1228"/>
      <c r="R1228" s="558" t="s">
        <v>3972</v>
      </c>
      <c r="S1228" s="83"/>
      <c r="T1228" s="56"/>
      <c r="U1228" s="955"/>
      <c r="V1228" s="43" t="str">
        <f t="shared" si="821"/>
        <v>E</v>
      </c>
      <c r="W1228" s="10"/>
      <c r="X1228" s="45" t="s">
        <v>769</v>
      </c>
      <c r="Y1228" s="10"/>
      <c r="Z1228" s="46" t="str">
        <f t="shared" si="812"/>
        <v>D</v>
      </c>
      <c r="AA1228" s="123"/>
      <c r="AB1228" s="1459">
        <f t="shared" si="813"/>
        <v>0</v>
      </c>
      <c r="AC1228" s="1460" t="str">
        <f t="shared" si="814"/>
        <v>-</v>
      </c>
      <c r="AD1228" s="1459">
        <f t="shared" si="815"/>
        <v>0</v>
      </c>
      <c r="AE1228" s="964" t="str">
        <f t="shared" si="816"/>
        <v/>
      </c>
      <c r="AF1228" s="964" t="str">
        <f t="shared" si="817"/>
        <v/>
      </c>
      <c r="AG1228" s="964" t="str">
        <f t="shared" si="818"/>
        <v/>
      </c>
      <c r="AH1228" s="964" t="str">
        <f t="shared" si="819"/>
        <v/>
      </c>
      <c r="AI1228" s="964" t="str">
        <f t="shared" si="820"/>
        <v/>
      </c>
      <c r="AJ1228" s="964"/>
      <c r="AK1228" s="964"/>
      <c r="AL1228"/>
      <c r="AM1228"/>
      <c r="AN1228"/>
      <c r="AO1228"/>
      <c r="AP1228"/>
      <c r="AQ1228"/>
      <c r="AR1228"/>
      <c r="AS1228"/>
      <c r="AT1228"/>
      <c r="AU1228"/>
      <c r="AV1228"/>
      <c r="AW1228"/>
      <c r="AX1228" s="9"/>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s="1396"/>
      <c r="CB1228" s="1396"/>
      <c r="CC1228"/>
      <c r="CD1228"/>
      <c r="CE1228"/>
    </row>
    <row r="1229" spans="1:83" ht="13.9" customHeight="1" outlineLevel="2" thickBot="1" x14ac:dyDescent="0.25">
      <c r="A1229"/>
      <c r="B1229" s="1"/>
      <c r="C1229"/>
      <c r="D1229"/>
      <c r="E1229"/>
      <c r="F1229"/>
      <c r="G1229" s="1"/>
      <c r="H1229" s="1"/>
      <c r="I1229"/>
      <c r="J1229"/>
      <c r="K1229"/>
      <c r="L1229"/>
      <c r="M1229"/>
      <c r="N1229"/>
      <c r="O1229"/>
      <c r="P1229"/>
      <c r="Q1229"/>
      <c r="R1229" s="558" t="s">
        <v>3972</v>
      </c>
      <c r="S1229" s="956"/>
      <c r="T1229" s="58"/>
      <c r="U1229" s="957"/>
      <c r="V1229" s="43" t="str">
        <f t="shared" si="821"/>
        <v>C</v>
      </c>
      <c r="W1229" s="10"/>
      <c r="X1229" s="45" t="s">
        <v>769</v>
      </c>
      <c r="Y1229" s="10"/>
      <c r="Z1229" s="46" t="str">
        <f>Z1219</f>
        <v>B</v>
      </c>
      <c r="AA1229" s="123"/>
      <c r="AB1229" s="1459">
        <f t="shared" si="813"/>
        <v>0</v>
      </c>
      <c r="AC1229" s="1460" t="str">
        <f t="shared" si="814"/>
        <v>-</v>
      </c>
      <c r="AD1229" s="1459">
        <f t="shared" si="815"/>
        <v>0</v>
      </c>
      <c r="AE1229" s="964" t="str">
        <f t="shared" si="816"/>
        <v/>
      </c>
      <c r="AF1229" s="964" t="str">
        <f t="shared" si="817"/>
        <v/>
      </c>
      <c r="AG1229" s="964" t="str">
        <f t="shared" si="818"/>
        <v/>
      </c>
      <c r="AH1229" s="964" t="str">
        <f t="shared" si="819"/>
        <v/>
      </c>
      <c r="AI1229" s="964" t="str">
        <f t="shared" si="820"/>
        <v/>
      </c>
      <c r="AJ1229" s="964"/>
      <c r="AK1229" s="964"/>
      <c r="AL1229"/>
      <c r="AM1229"/>
      <c r="AN1229"/>
      <c r="AO1229"/>
      <c r="AP1229"/>
      <c r="AQ1229"/>
      <c r="AR1229"/>
      <c r="AS1229"/>
      <c r="AT1229"/>
      <c r="AU1229"/>
      <c r="AV1229"/>
      <c r="AW1229" s="9"/>
      <c r="AX1229" s="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s="1396"/>
      <c r="CB1229" s="1396"/>
      <c r="CC1229"/>
      <c r="CD1229"/>
      <c r="CE1229"/>
    </row>
    <row r="1230" spans="1:83" ht="13.5" outlineLevel="1" thickBot="1" x14ac:dyDescent="0.25">
      <c r="A1230"/>
      <c r="B1230" s="1"/>
      <c r="C1230" s="1"/>
      <c r="D1230" s="76"/>
      <c r="E1230" s="76"/>
      <c r="F1230" s="76"/>
      <c r="G1230" s="9"/>
      <c r="H1230" s="9"/>
      <c r="I1230" s="1"/>
      <c r="J1230"/>
      <c r="K1230"/>
      <c r="L1230"/>
      <c r="M1230"/>
      <c r="N1230"/>
      <c r="O1230"/>
      <c r="P1230" s="89"/>
      <c r="Q1230"/>
      <c r="R1230" s="1"/>
      <c r="S1230" s="993">
        <f>S1220+1</f>
        <v>11</v>
      </c>
      <c r="T1230" s="961"/>
      <c r="U1230" s="961"/>
      <c r="V1230" s="961"/>
      <c r="W1230" s="960"/>
      <c r="X1230" s="960"/>
      <c r="Y1230" s="960"/>
      <c r="Z1230" s="962"/>
      <c r="AA1230" s="123"/>
      <c r="AB1230" s="963"/>
      <c r="AC1230" s="963"/>
      <c r="AD1230" s="963"/>
      <c r="AE1230" s="964"/>
      <c r="AF1230" s="964"/>
      <c r="AG1230" s="964"/>
      <c r="AH1230" s="964"/>
      <c r="AI1230" s="964"/>
      <c r="AJ1230" s="964"/>
      <c r="AK1230" s="964"/>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s="1396"/>
      <c r="CB1230" s="1396"/>
      <c r="CC1230"/>
      <c r="CD1230"/>
      <c r="CE1230"/>
    </row>
    <row r="1231" spans="1:83" ht="13.9" customHeight="1" outlineLevel="2" thickBot="1" x14ac:dyDescent="0.25">
      <c r="A1231"/>
      <c r="B1231" s="1"/>
      <c r="C1231"/>
      <c r="D1231"/>
      <c r="E1231"/>
      <c r="F1231"/>
      <c r="G1231" s="1"/>
      <c r="H1231" s="1"/>
      <c r="I1231"/>
      <c r="J1231"/>
      <c r="K1231"/>
      <c r="L1231"/>
      <c r="M1231"/>
      <c r="N1231"/>
      <c r="O1231"/>
      <c r="P1231"/>
      <c r="Q1231"/>
      <c r="S1231" s="22" t="str">
        <f>N_Heure</f>
        <v>Heure</v>
      </c>
      <c r="T1231" s="22" t="str">
        <f>N_Table</f>
        <v>Table</v>
      </c>
      <c r="U1231" s="22" t="str">
        <f>N_Arbitre</f>
        <v>Arbitre</v>
      </c>
      <c r="V1231" s="293" t="str">
        <f>N_Matches</f>
        <v>Matches</v>
      </c>
      <c r="W1231" s="294"/>
      <c r="X1231" s="294"/>
      <c r="Y1231" s="294"/>
      <c r="Z1231" s="295"/>
      <c r="AA1231" s="8"/>
      <c r="AB1231" s="967"/>
      <c r="AC1231" s="967"/>
      <c r="AD1231" s="967"/>
      <c r="AE1231" s="964"/>
      <c r="AF1231" s="964"/>
      <c r="AG1231" s="964"/>
      <c r="AH1231" s="964"/>
      <c r="AI1231" s="964"/>
      <c r="AJ1231" s="964"/>
      <c r="AK1231" s="964"/>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s="1396"/>
      <c r="CB1231" s="1396"/>
      <c r="CC1231"/>
      <c r="CD1231"/>
      <c r="CE1231"/>
    </row>
    <row r="1232" spans="1:83" ht="13.15" customHeight="1" outlineLevel="2" x14ac:dyDescent="0.2">
      <c r="A1232"/>
      <c r="B1232" s="1"/>
      <c r="C1232"/>
      <c r="D1232"/>
      <c r="E1232"/>
      <c r="F1232"/>
      <c r="G1232" s="1"/>
      <c r="H1232" s="1"/>
      <c r="I1232"/>
      <c r="J1232"/>
      <c r="K1232"/>
      <c r="L1232"/>
      <c r="M1232"/>
      <c r="N1232"/>
      <c r="O1232"/>
      <c r="P1232"/>
      <c r="Q1232"/>
      <c r="R1232" s="558" t="s">
        <v>3973</v>
      </c>
      <c r="S1232" s="83"/>
      <c r="T1232" s="56"/>
      <c r="U1232" s="955"/>
      <c r="V1232" s="34" t="str">
        <f>V1212</f>
        <v>A</v>
      </c>
      <c r="W1232" s="148"/>
      <c r="X1232" s="35" t="s">
        <v>769</v>
      </c>
      <c r="Y1232" s="148"/>
      <c r="Z1232" s="36" t="str">
        <f>Z1222</f>
        <v>P</v>
      </c>
      <c r="AA1232" s="123"/>
      <c r="AB1232" s="1459">
        <f t="shared" ref="AB1232:AB1239" si="822">IF(MaxScore,MaxGoals(W1232,Y1232,MaxGoalsValue),IF(W1232="","",W1232))</f>
        <v>0</v>
      </c>
      <c r="AC1232" s="1460" t="str">
        <f t="shared" ref="AC1232:AC1239" si="823">IF(MaxScore,"-",IF(W1232="","","-"))</f>
        <v>-</v>
      </c>
      <c r="AD1232" s="1459">
        <f t="shared" ref="AD1232:AD1239" si="824">IF(MaxScore,MaxGoals(Y1232,W1232,MaxGoalsValue),IF(Y1232="","",Y1232))</f>
        <v>0</v>
      </c>
      <c r="AE1232" s="964" t="str">
        <f t="shared" ref="AE1232:AE1239" si="825">IF(W1232="","",IF(W1232&gt;Y1232,V1232,IF(W1232=Y1232,"",Z1232)))</f>
        <v/>
      </c>
      <c r="AF1232" s="964" t="str">
        <f t="shared" ref="AF1232:AF1239" si="826">IF(W1232="","",IF(W1232=Y1232,V1232,""))</f>
        <v/>
      </c>
      <c r="AG1232" s="964" t="str">
        <f t="shared" ref="AG1232:AG1239" si="827">IF(W1232="","",IF(W1232=Y1232,Z1232,""))</f>
        <v/>
      </c>
      <c r="AH1232" s="964" t="str">
        <f t="shared" ref="AH1232:AH1239" si="828">IF(W1232="","",IF(W1232&lt;Y1232,V1232,IF(W1232=Y1232,"",Z1232)))</f>
        <v/>
      </c>
      <c r="AI1232" s="964" t="str">
        <f t="shared" ref="AI1232:AI1239" si="829">CONCATENATE(AE1232,AH1232)</f>
        <v/>
      </c>
      <c r="AJ1232" s="964"/>
      <c r="AK1232" s="964"/>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s="1396"/>
      <c r="CB1232" s="1396"/>
      <c r="CC1232"/>
      <c r="CD1232"/>
      <c r="CE1232"/>
    </row>
    <row r="1233" spans="1:83" ht="13.15" customHeight="1" outlineLevel="2" x14ac:dyDescent="0.2">
      <c r="A1233"/>
      <c r="B1233" s="1"/>
      <c r="C1233"/>
      <c r="D1233"/>
      <c r="E1233"/>
      <c r="F1233"/>
      <c r="G1233" s="1"/>
      <c r="H1233" s="1"/>
      <c r="I1233"/>
      <c r="J1233"/>
      <c r="K1233"/>
      <c r="L1233"/>
      <c r="M1233"/>
      <c r="N1233"/>
      <c r="O1233"/>
      <c r="P1233"/>
      <c r="Q1233"/>
      <c r="R1233" s="558" t="s">
        <v>3973</v>
      </c>
      <c r="S1233" s="83"/>
      <c r="T1233" s="56"/>
      <c r="U1233" s="955"/>
      <c r="V1233" s="43" t="str">
        <f t="shared" ref="V1233:V1238" si="830">Z1224</f>
        <v>L</v>
      </c>
      <c r="W1233" s="10"/>
      <c r="X1233" s="45" t="s">
        <v>769</v>
      </c>
      <c r="Y1233" s="10"/>
      <c r="Z1233" s="46" t="str">
        <f t="shared" ref="Z1233:Z1238" si="831">V1222</f>
        <v>Q</v>
      </c>
      <c r="AA1233" s="123"/>
      <c r="AB1233" s="1459">
        <f t="shared" si="822"/>
        <v>0</v>
      </c>
      <c r="AC1233" s="1460" t="str">
        <f t="shared" si="823"/>
        <v>-</v>
      </c>
      <c r="AD1233" s="1459">
        <f t="shared" si="824"/>
        <v>0</v>
      </c>
      <c r="AE1233" s="964" t="str">
        <f t="shared" si="825"/>
        <v/>
      </c>
      <c r="AF1233" s="964" t="str">
        <f t="shared" si="826"/>
        <v/>
      </c>
      <c r="AG1233" s="964" t="str">
        <f t="shared" si="827"/>
        <v/>
      </c>
      <c r="AH1233" s="964" t="str">
        <f t="shared" si="828"/>
        <v/>
      </c>
      <c r="AI1233" s="964" t="str">
        <f t="shared" si="829"/>
        <v/>
      </c>
      <c r="AJ1233" s="964"/>
      <c r="AK1233" s="964"/>
      <c r="AL1233"/>
      <c r="AM1233"/>
      <c r="AN1233"/>
      <c r="AO1233"/>
      <c r="AP1233"/>
      <c r="AQ1233"/>
      <c r="AR1233"/>
      <c r="AS1233"/>
      <c r="AT1233"/>
      <c r="AU1233"/>
      <c r="AV1233"/>
      <c r="AW1233"/>
      <c r="AX1233" s="9"/>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s="1396"/>
      <c r="CB1233" s="1396"/>
      <c r="CC1233"/>
      <c r="CD1233"/>
      <c r="CE1233"/>
    </row>
    <row r="1234" spans="1:83" ht="13.15" customHeight="1" outlineLevel="2" x14ac:dyDescent="0.2">
      <c r="A1234"/>
      <c r="B1234" s="1"/>
      <c r="C1234"/>
      <c r="D1234"/>
      <c r="E1234"/>
      <c r="F1234"/>
      <c r="G1234" s="1"/>
      <c r="H1234" s="1"/>
      <c r="I1234"/>
      <c r="J1234"/>
      <c r="K1234"/>
      <c r="L1234"/>
      <c r="M1234"/>
      <c r="N1234"/>
      <c r="O1234"/>
      <c r="P1234"/>
      <c r="Q1234"/>
      <c r="R1234" s="558" t="s">
        <v>3973</v>
      </c>
      <c r="S1234" s="83"/>
      <c r="T1234" s="56"/>
      <c r="U1234" s="955"/>
      <c r="V1234" s="43" t="str">
        <f t="shared" si="830"/>
        <v>J</v>
      </c>
      <c r="W1234" s="10"/>
      <c r="X1234" s="45" t="s">
        <v>769</v>
      </c>
      <c r="Y1234" s="10"/>
      <c r="Z1234" s="46" t="str">
        <f t="shared" si="831"/>
        <v>O</v>
      </c>
      <c r="AA1234" s="123"/>
      <c r="AB1234" s="1459">
        <f t="shared" si="822"/>
        <v>0</v>
      </c>
      <c r="AC1234" s="1460" t="str">
        <f t="shared" si="823"/>
        <v>-</v>
      </c>
      <c r="AD1234" s="1459">
        <f t="shared" si="824"/>
        <v>0</v>
      </c>
      <c r="AE1234" s="964" t="str">
        <f t="shared" si="825"/>
        <v/>
      </c>
      <c r="AF1234" s="964" t="str">
        <f t="shared" si="826"/>
        <v/>
      </c>
      <c r="AG1234" s="964" t="str">
        <f t="shared" si="827"/>
        <v/>
      </c>
      <c r="AH1234" s="964" t="str">
        <f t="shared" si="828"/>
        <v/>
      </c>
      <c r="AI1234" s="964" t="str">
        <f t="shared" si="829"/>
        <v/>
      </c>
      <c r="AJ1234" s="964"/>
      <c r="AK1234" s="964"/>
      <c r="AL1234"/>
      <c r="AM1234"/>
      <c r="AN1234"/>
      <c r="AO1234"/>
      <c r="AP1234"/>
      <c r="AQ1234"/>
      <c r="AR1234"/>
      <c r="AS1234"/>
      <c r="AT1234"/>
      <c r="AU1234"/>
      <c r="AV1234"/>
      <c r="AW1234" s="9"/>
      <c r="AX1234" s="9"/>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s="1396"/>
      <c r="CB1234" s="1396"/>
      <c r="CC1234"/>
      <c r="CD1234"/>
      <c r="CE1234"/>
    </row>
    <row r="1235" spans="1:83" ht="13.15" customHeight="1" outlineLevel="2" x14ac:dyDescent="0.2">
      <c r="A1235"/>
      <c r="B1235" s="1"/>
      <c r="C1235"/>
      <c r="D1235"/>
      <c r="E1235"/>
      <c r="F1235"/>
      <c r="G1235" s="1"/>
      <c r="H1235" s="1"/>
      <c r="I1235"/>
      <c r="J1235"/>
      <c r="K1235"/>
      <c r="L1235"/>
      <c r="M1235"/>
      <c r="N1235"/>
      <c r="O1235"/>
      <c r="P1235"/>
      <c r="Q1235"/>
      <c r="R1235" s="558" t="s">
        <v>3973</v>
      </c>
      <c r="S1235" s="83"/>
      <c r="T1235" s="56"/>
      <c r="U1235" s="955"/>
      <c r="V1235" s="43" t="str">
        <f t="shared" si="830"/>
        <v>H</v>
      </c>
      <c r="W1235" s="10"/>
      <c r="X1235" s="45" t="s">
        <v>769</v>
      </c>
      <c r="Y1235" s="10"/>
      <c r="Z1235" s="46" t="str">
        <f t="shared" si="831"/>
        <v>M</v>
      </c>
      <c r="AA1235" s="123"/>
      <c r="AB1235" s="1459">
        <f t="shared" si="822"/>
        <v>0</v>
      </c>
      <c r="AC1235" s="1460" t="str">
        <f t="shared" si="823"/>
        <v>-</v>
      </c>
      <c r="AD1235" s="1459">
        <f t="shared" si="824"/>
        <v>0</v>
      </c>
      <c r="AE1235" s="964" t="str">
        <f t="shared" si="825"/>
        <v/>
      </c>
      <c r="AF1235" s="964" t="str">
        <f t="shared" si="826"/>
        <v/>
      </c>
      <c r="AG1235" s="964" t="str">
        <f t="shared" si="827"/>
        <v/>
      </c>
      <c r="AH1235" s="964" t="str">
        <f t="shared" si="828"/>
        <v/>
      </c>
      <c r="AI1235" s="964" t="str">
        <f t="shared" si="829"/>
        <v/>
      </c>
      <c r="AJ1235" s="964"/>
      <c r="AK1235" s="964"/>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s="1396"/>
      <c r="CB1235" s="1396"/>
      <c r="CC1235"/>
      <c r="CD1235"/>
      <c r="CE1235"/>
    </row>
    <row r="1236" spans="1:83" ht="13.15" customHeight="1" outlineLevel="2" x14ac:dyDescent="0.2">
      <c r="A1236"/>
      <c r="B1236" s="1"/>
      <c r="C1236"/>
      <c r="D1236"/>
      <c r="E1236"/>
      <c r="F1236"/>
      <c r="G1236" s="1"/>
      <c r="H1236" s="1"/>
      <c r="I1236"/>
      <c r="J1236"/>
      <c r="K1236"/>
      <c r="L1236"/>
      <c r="M1236"/>
      <c r="N1236"/>
      <c r="O1236"/>
      <c r="P1236"/>
      <c r="Q1236"/>
      <c r="R1236" s="558" t="s">
        <v>3973</v>
      </c>
      <c r="S1236" s="83"/>
      <c r="T1236" s="56"/>
      <c r="U1236" s="955"/>
      <c r="V1236" s="43" t="str">
        <f t="shared" si="830"/>
        <v>F</v>
      </c>
      <c r="W1236" s="10"/>
      <c r="X1236" s="45" t="s">
        <v>769</v>
      </c>
      <c r="Y1236" s="10"/>
      <c r="Z1236" s="46" t="str">
        <f t="shared" si="831"/>
        <v>K</v>
      </c>
      <c r="AA1236" s="123"/>
      <c r="AB1236" s="1459">
        <f t="shared" si="822"/>
        <v>0</v>
      </c>
      <c r="AC1236" s="1460" t="str">
        <f t="shared" si="823"/>
        <v>-</v>
      </c>
      <c r="AD1236" s="1459">
        <f t="shared" si="824"/>
        <v>0</v>
      </c>
      <c r="AE1236" s="964" t="str">
        <f t="shared" si="825"/>
        <v/>
      </c>
      <c r="AF1236" s="964" t="str">
        <f t="shared" si="826"/>
        <v/>
      </c>
      <c r="AG1236" s="964" t="str">
        <f t="shared" si="827"/>
        <v/>
      </c>
      <c r="AH1236" s="964" t="str">
        <f t="shared" si="828"/>
        <v/>
      </c>
      <c r="AI1236" s="964" t="str">
        <f t="shared" si="829"/>
        <v/>
      </c>
      <c r="AJ1236" s="964"/>
      <c r="AK1236" s="964"/>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s="1396"/>
      <c r="CB1236" s="1396"/>
      <c r="CC1236"/>
      <c r="CD1236"/>
      <c r="CE1236"/>
    </row>
    <row r="1237" spans="1:83" ht="13.15" customHeight="1" outlineLevel="2" x14ac:dyDescent="0.2">
      <c r="A1237"/>
      <c r="B1237" s="1"/>
      <c r="C1237"/>
      <c r="D1237"/>
      <c r="E1237"/>
      <c r="F1237"/>
      <c r="G1237" s="1"/>
      <c r="H1237" s="1"/>
      <c r="I1237"/>
      <c r="J1237"/>
      <c r="K1237"/>
      <c r="L1237"/>
      <c r="M1237"/>
      <c r="N1237"/>
      <c r="O1237"/>
      <c r="P1237"/>
      <c r="Q1237"/>
      <c r="R1237" s="558" t="s">
        <v>3973</v>
      </c>
      <c r="S1237" s="83"/>
      <c r="T1237" s="56"/>
      <c r="U1237" s="955"/>
      <c r="V1237" s="43" t="str">
        <f t="shared" si="830"/>
        <v>D</v>
      </c>
      <c r="W1237" s="10"/>
      <c r="X1237" s="45" t="s">
        <v>769</v>
      </c>
      <c r="Y1237" s="10"/>
      <c r="Z1237" s="46" t="str">
        <f t="shared" si="831"/>
        <v>I</v>
      </c>
      <c r="AA1237" s="123"/>
      <c r="AB1237" s="1459">
        <f t="shared" si="822"/>
        <v>0</v>
      </c>
      <c r="AC1237" s="1460" t="str">
        <f t="shared" si="823"/>
        <v>-</v>
      </c>
      <c r="AD1237" s="1459">
        <f t="shared" si="824"/>
        <v>0</v>
      </c>
      <c r="AE1237" s="964" t="str">
        <f t="shared" si="825"/>
        <v/>
      </c>
      <c r="AF1237" s="964" t="str">
        <f t="shared" si="826"/>
        <v/>
      </c>
      <c r="AG1237" s="964" t="str">
        <f t="shared" si="827"/>
        <v/>
      </c>
      <c r="AH1237" s="964" t="str">
        <f t="shared" si="828"/>
        <v/>
      </c>
      <c r="AI1237" s="964" t="str">
        <f t="shared" si="829"/>
        <v/>
      </c>
      <c r="AJ1237" s="964"/>
      <c r="AK1237" s="964"/>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s="1396"/>
      <c r="CB1237" s="1396"/>
      <c r="CC1237"/>
      <c r="CD1237"/>
      <c r="CE1237"/>
    </row>
    <row r="1238" spans="1:83" ht="13.15" customHeight="1" outlineLevel="2" x14ac:dyDescent="0.2">
      <c r="A1238"/>
      <c r="B1238" s="1"/>
      <c r="C1238"/>
      <c r="D1238"/>
      <c r="E1238"/>
      <c r="F1238"/>
      <c r="G1238" s="1"/>
      <c r="H1238" s="1"/>
      <c r="I1238"/>
      <c r="J1238"/>
      <c r="K1238"/>
      <c r="L1238"/>
      <c r="M1238"/>
      <c r="N1238"/>
      <c r="O1238"/>
      <c r="P1238"/>
      <c r="Q1238"/>
      <c r="R1238" s="558" t="s">
        <v>3973</v>
      </c>
      <c r="S1238" s="83"/>
      <c r="T1238" s="56"/>
      <c r="U1238" s="955"/>
      <c r="V1238" s="43" t="str">
        <f t="shared" si="830"/>
        <v>B</v>
      </c>
      <c r="W1238" s="10"/>
      <c r="X1238" s="45" t="s">
        <v>769</v>
      </c>
      <c r="Y1238" s="10"/>
      <c r="Z1238" s="46" t="str">
        <f t="shared" si="831"/>
        <v>G</v>
      </c>
      <c r="AA1238" s="123"/>
      <c r="AB1238" s="1459">
        <f t="shared" si="822"/>
        <v>0</v>
      </c>
      <c r="AC1238" s="1460" t="str">
        <f t="shared" si="823"/>
        <v>-</v>
      </c>
      <c r="AD1238" s="1459">
        <f t="shared" si="824"/>
        <v>0</v>
      </c>
      <c r="AE1238" s="964" t="str">
        <f t="shared" si="825"/>
        <v/>
      </c>
      <c r="AF1238" s="964" t="str">
        <f t="shared" si="826"/>
        <v/>
      </c>
      <c r="AG1238" s="964" t="str">
        <f t="shared" si="827"/>
        <v/>
      </c>
      <c r="AH1238" s="964" t="str">
        <f t="shared" si="828"/>
        <v/>
      </c>
      <c r="AI1238" s="964" t="str">
        <f t="shared" si="829"/>
        <v/>
      </c>
      <c r="AJ1238" s="964"/>
      <c r="AK1238" s="964"/>
      <c r="AL1238"/>
      <c r="AM1238"/>
      <c r="AN1238"/>
      <c r="AO1238"/>
      <c r="AP1238"/>
      <c r="AQ1238"/>
      <c r="AR1238"/>
      <c r="AS1238"/>
      <c r="AT1238"/>
      <c r="AU1238"/>
      <c r="AV1238"/>
      <c r="AW1238"/>
      <c r="AX1238" s="9"/>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s="1396"/>
      <c r="CB1238" s="1396"/>
      <c r="CC1238"/>
      <c r="CD1238"/>
      <c r="CE1238"/>
    </row>
    <row r="1239" spans="1:83" ht="13.9" customHeight="1" outlineLevel="2" thickBot="1" x14ac:dyDescent="0.25">
      <c r="A1239"/>
      <c r="B1239" s="1"/>
      <c r="C1239"/>
      <c r="D1239"/>
      <c r="E1239"/>
      <c r="F1239"/>
      <c r="G1239" s="1"/>
      <c r="H1239" s="1"/>
      <c r="I1239"/>
      <c r="J1239"/>
      <c r="K1239"/>
      <c r="L1239"/>
      <c r="M1239"/>
      <c r="N1239"/>
      <c r="O1239"/>
      <c r="P1239"/>
      <c r="Q1239"/>
      <c r="R1239" s="558" t="s">
        <v>3973</v>
      </c>
      <c r="S1239" s="956"/>
      <c r="T1239" s="58"/>
      <c r="U1239" s="957"/>
      <c r="V1239" s="958" t="str">
        <f>V1229</f>
        <v>C</v>
      </c>
      <c r="W1239" s="10"/>
      <c r="X1239" s="45" t="s">
        <v>769</v>
      </c>
      <c r="Y1239" s="10"/>
      <c r="Z1239" s="46" t="str">
        <f>V1228</f>
        <v>E</v>
      </c>
      <c r="AA1239" s="123"/>
      <c r="AB1239" s="1459">
        <f t="shared" si="822"/>
        <v>0</v>
      </c>
      <c r="AC1239" s="1460" t="str">
        <f t="shared" si="823"/>
        <v>-</v>
      </c>
      <c r="AD1239" s="1459">
        <f t="shared" si="824"/>
        <v>0</v>
      </c>
      <c r="AE1239" s="964" t="str">
        <f t="shared" si="825"/>
        <v/>
      </c>
      <c r="AF1239" s="964" t="str">
        <f t="shared" si="826"/>
        <v/>
      </c>
      <c r="AG1239" s="964" t="str">
        <f t="shared" si="827"/>
        <v/>
      </c>
      <c r="AH1239" s="964" t="str">
        <f t="shared" si="828"/>
        <v/>
      </c>
      <c r="AI1239" s="964" t="str">
        <f t="shared" si="829"/>
        <v/>
      </c>
      <c r="AJ1239" s="964"/>
      <c r="AK1239" s="964"/>
      <c r="AL1239"/>
      <c r="AM1239"/>
      <c r="AN1239"/>
      <c r="AO1239"/>
      <c r="AP1239"/>
      <c r="AQ1239"/>
      <c r="AR1239"/>
      <c r="AS1239"/>
      <c r="AT1239"/>
      <c r="AU1239"/>
      <c r="AV1239"/>
      <c r="AW1239" s="9"/>
      <c r="AX1239" s="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s="1396"/>
      <c r="CB1239" s="1396"/>
      <c r="CC1239"/>
      <c r="CD1239"/>
      <c r="CE1239"/>
    </row>
    <row r="1240" spans="1:83" ht="13.5" outlineLevel="1" thickBot="1" x14ac:dyDescent="0.25">
      <c r="A1240"/>
      <c r="B1240" s="1"/>
      <c r="C1240" s="1"/>
      <c r="D1240" s="76"/>
      <c r="E1240" s="76"/>
      <c r="F1240" s="76"/>
      <c r="G1240" s="9"/>
      <c r="H1240" s="9"/>
      <c r="I1240" s="1"/>
      <c r="J1240"/>
      <c r="K1240"/>
      <c r="L1240"/>
      <c r="M1240"/>
      <c r="N1240"/>
      <c r="O1240"/>
      <c r="P1240" s="89"/>
      <c r="Q1240"/>
      <c r="R1240" s="1"/>
      <c r="S1240" s="993">
        <f>S1230+1</f>
        <v>12</v>
      </c>
      <c r="T1240" s="961"/>
      <c r="U1240" s="961"/>
      <c r="V1240" s="961"/>
      <c r="W1240" s="960"/>
      <c r="X1240" s="960"/>
      <c r="Y1240" s="960"/>
      <c r="Z1240" s="962"/>
      <c r="AA1240" s="123"/>
      <c r="AB1240" s="963"/>
      <c r="AC1240" s="963"/>
      <c r="AD1240" s="963"/>
      <c r="AE1240" s="964"/>
      <c r="AF1240" s="964"/>
      <c r="AG1240" s="964"/>
      <c r="AH1240" s="964"/>
      <c r="AI1240" s="964"/>
      <c r="AJ1240" s="964"/>
      <c r="AK1240" s="964"/>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s="1396"/>
      <c r="CB1240" s="1396"/>
      <c r="CC1240"/>
      <c r="CD1240"/>
      <c r="CE1240"/>
    </row>
    <row r="1241" spans="1:83" ht="13.9" customHeight="1" outlineLevel="2" thickBot="1" x14ac:dyDescent="0.25">
      <c r="A1241"/>
      <c r="B1241" s="1"/>
      <c r="C1241"/>
      <c r="D1241"/>
      <c r="E1241"/>
      <c r="F1241"/>
      <c r="G1241" s="1"/>
      <c r="H1241" s="1"/>
      <c r="I1241"/>
      <c r="J1241"/>
      <c r="K1241"/>
      <c r="L1241"/>
      <c r="M1241"/>
      <c r="N1241"/>
      <c r="O1241"/>
      <c r="P1241"/>
      <c r="Q1241"/>
      <c r="S1241" s="22" t="str">
        <f>N_Heure</f>
        <v>Heure</v>
      </c>
      <c r="T1241" s="22" t="str">
        <f>N_Table</f>
        <v>Table</v>
      </c>
      <c r="U1241" s="22" t="str">
        <f>N_Arbitre</f>
        <v>Arbitre</v>
      </c>
      <c r="V1241" s="293" t="str">
        <f>N_Matches</f>
        <v>Matches</v>
      </c>
      <c r="W1241" s="294"/>
      <c r="X1241" s="294"/>
      <c r="Y1241" s="294"/>
      <c r="Z1241" s="295"/>
      <c r="AA1241" s="8"/>
      <c r="AB1241" s="967"/>
      <c r="AC1241" s="967"/>
      <c r="AD1241" s="967"/>
      <c r="AE1241" s="964"/>
      <c r="AF1241" s="964"/>
      <c r="AG1241" s="964"/>
      <c r="AH1241" s="964"/>
      <c r="AI1241" s="964"/>
      <c r="AJ1241" s="964"/>
      <c r="AK1241" s="964"/>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s="1396"/>
      <c r="CB1241" s="1396"/>
      <c r="CC1241"/>
      <c r="CD1241"/>
      <c r="CE1241"/>
    </row>
    <row r="1242" spans="1:83" ht="13.15" customHeight="1" outlineLevel="2" x14ac:dyDescent="0.2">
      <c r="A1242"/>
      <c r="B1242" s="1"/>
      <c r="C1242"/>
      <c r="D1242"/>
      <c r="E1242"/>
      <c r="F1242"/>
      <c r="G1242" s="1"/>
      <c r="H1242" s="1"/>
      <c r="I1242"/>
      <c r="J1242"/>
      <c r="K1242"/>
      <c r="L1242"/>
      <c r="M1242"/>
      <c r="N1242"/>
      <c r="O1242"/>
      <c r="P1242"/>
      <c r="Q1242"/>
      <c r="R1242" s="558" t="s">
        <v>3974</v>
      </c>
      <c r="S1242" s="65"/>
      <c r="T1242" s="953"/>
      <c r="U1242" s="954"/>
      <c r="V1242" s="34" t="str">
        <f>Z1223</f>
        <v>N</v>
      </c>
      <c r="W1242" s="148"/>
      <c r="X1242" s="35" t="s">
        <v>769</v>
      </c>
      <c r="Y1242" s="148"/>
      <c r="Z1242" s="36" t="str">
        <f>V1232</f>
        <v>A</v>
      </c>
      <c r="AA1242" s="123"/>
      <c r="AB1242" s="1459">
        <f t="shared" ref="AB1242:AB1249" si="832">IF(MaxScore,MaxGoals(W1242,Y1242,MaxGoalsValue),IF(W1242="","",W1242))</f>
        <v>0</v>
      </c>
      <c r="AC1242" s="1460" t="str">
        <f t="shared" ref="AC1242:AC1249" si="833">IF(MaxScore,"-",IF(W1242="","","-"))</f>
        <v>-</v>
      </c>
      <c r="AD1242" s="1459">
        <f t="shared" ref="AD1242:AD1249" si="834">IF(MaxScore,MaxGoals(Y1242,W1242,MaxGoalsValue),IF(Y1242="","",Y1242))</f>
        <v>0</v>
      </c>
      <c r="AE1242" s="964" t="str">
        <f t="shared" ref="AE1242:AE1249" si="835">IF(W1242="","",IF(W1242&gt;Y1242,V1242,IF(W1242=Y1242,"",Z1242)))</f>
        <v/>
      </c>
      <c r="AF1242" s="964" t="str">
        <f t="shared" ref="AF1242:AF1249" si="836">IF(W1242="","",IF(W1242=Y1242,V1242,""))</f>
        <v/>
      </c>
      <c r="AG1242" s="964" t="str">
        <f t="shared" ref="AG1242:AG1249" si="837">IF(W1242="","",IF(W1242=Y1242,Z1242,""))</f>
        <v/>
      </c>
      <c r="AH1242" s="964" t="str">
        <f t="shared" ref="AH1242:AH1249" si="838">IF(W1242="","",IF(W1242&lt;Y1242,V1242,IF(W1242=Y1242,"",Z1242)))</f>
        <v/>
      </c>
      <c r="AI1242" s="964" t="str">
        <f t="shared" ref="AI1242:AI1249" si="839">CONCATENATE(AE1242,AH1242)</f>
        <v/>
      </c>
      <c r="AJ1242" s="964"/>
      <c r="AK1242" s="964"/>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s="1396"/>
      <c r="CB1242" s="1396"/>
      <c r="CC1242"/>
      <c r="CD1242"/>
      <c r="CE1242"/>
    </row>
    <row r="1243" spans="1:83" ht="13.15" customHeight="1" outlineLevel="2" x14ac:dyDescent="0.2">
      <c r="A1243"/>
      <c r="B1243" s="1"/>
      <c r="C1243"/>
      <c r="D1243"/>
      <c r="E1243"/>
      <c r="F1243"/>
      <c r="G1243" s="1"/>
      <c r="H1243" s="1"/>
      <c r="I1243"/>
      <c r="J1243"/>
      <c r="K1243"/>
      <c r="L1243"/>
      <c r="M1243"/>
      <c r="N1243"/>
      <c r="O1243"/>
      <c r="P1243"/>
      <c r="Q1243"/>
      <c r="R1243" s="558" t="s">
        <v>3974</v>
      </c>
      <c r="S1243" s="83"/>
      <c r="T1243" s="56"/>
      <c r="U1243" s="955"/>
      <c r="V1243" s="43" t="str">
        <f>Z1232</f>
        <v>P</v>
      </c>
      <c r="W1243" s="10"/>
      <c r="X1243" s="45" t="s">
        <v>769</v>
      </c>
      <c r="Y1243" s="10"/>
      <c r="Z1243" s="46" t="str">
        <f>V1233</f>
        <v>L</v>
      </c>
      <c r="AA1243" s="123"/>
      <c r="AB1243" s="1459">
        <f t="shared" si="832"/>
        <v>0</v>
      </c>
      <c r="AC1243" s="1460" t="str">
        <f t="shared" si="833"/>
        <v>-</v>
      </c>
      <c r="AD1243" s="1459">
        <f t="shared" si="834"/>
        <v>0</v>
      </c>
      <c r="AE1243" s="964" t="str">
        <f t="shared" si="835"/>
        <v/>
      </c>
      <c r="AF1243" s="964" t="str">
        <f t="shared" si="836"/>
        <v/>
      </c>
      <c r="AG1243" s="964" t="str">
        <f t="shared" si="837"/>
        <v/>
      </c>
      <c r="AH1243" s="964" t="str">
        <f t="shared" si="838"/>
        <v/>
      </c>
      <c r="AI1243" s="964" t="str">
        <f t="shared" si="839"/>
        <v/>
      </c>
      <c r="AJ1243" s="964"/>
      <c r="AK1243" s="964"/>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s="1396"/>
      <c r="CB1243" s="1396"/>
      <c r="CC1243"/>
      <c r="CD1243"/>
      <c r="CE1243"/>
    </row>
    <row r="1244" spans="1:83" ht="13.15" customHeight="1" outlineLevel="2" x14ac:dyDescent="0.2">
      <c r="A1244"/>
      <c r="B1244" s="1"/>
      <c r="C1244"/>
      <c r="D1244"/>
      <c r="E1244"/>
      <c r="F1244"/>
      <c r="G1244" s="1"/>
      <c r="H1244" s="1"/>
      <c r="I1244"/>
      <c r="J1244"/>
      <c r="K1244"/>
      <c r="L1244"/>
      <c r="M1244"/>
      <c r="N1244"/>
      <c r="O1244"/>
      <c r="P1244"/>
      <c r="Q1244"/>
      <c r="R1244" s="558" t="s">
        <v>3974</v>
      </c>
      <c r="S1244" s="83"/>
      <c r="T1244" s="56"/>
      <c r="U1244" s="955"/>
      <c r="V1244" s="43" t="str">
        <f t="shared" ref="V1244:V1249" si="840">Z1233</f>
        <v>Q</v>
      </c>
      <c r="W1244" s="10"/>
      <c r="X1244" s="45" t="s">
        <v>769</v>
      </c>
      <c r="Y1244" s="10"/>
      <c r="Z1244" s="46" t="str">
        <f>V1235</f>
        <v>H</v>
      </c>
      <c r="AA1244" s="123"/>
      <c r="AB1244" s="1459">
        <f t="shared" si="832"/>
        <v>0</v>
      </c>
      <c r="AC1244" s="1460" t="str">
        <f t="shared" si="833"/>
        <v>-</v>
      </c>
      <c r="AD1244" s="1459">
        <f t="shared" si="834"/>
        <v>0</v>
      </c>
      <c r="AE1244" s="964" t="str">
        <f t="shared" si="835"/>
        <v/>
      </c>
      <c r="AF1244" s="964" t="str">
        <f t="shared" si="836"/>
        <v/>
      </c>
      <c r="AG1244" s="964" t="str">
        <f t="shared" si="837"/>
        <v/>
      </c>
      <c r="AH1244" s="964" t="str">
        <f t="shared" si="838"/>
        <v/>
      </c>
      <c r="AI1244" s="964" t="str">
        <f t="shared" si="839"/>
        <v/>
      </c>
      <c r="AJ1244" s="964"/>
      <c r="AK1244" s="964"/>
      <c r="AL1244"/>
      <c r="AM1244"/>
      <c r="AN1244"/>
      <c r="AO1244"/>
      <c r="AP1244"/>
      <c r="AQ1244"/>
      <c r="AR1244"/>
      <c r="AS1244"/>
      <c r="AT1244"/>
      <c r="AU1244"/>
      <c r="AV1244"/>
      <c r="AW1244" s="9"/>
      <c r="AX1244" s="9"/>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s="1396"/>
      <c r="CB1244" s="1396"/>
      <c r="CC1244"/>
      <c r="CD1244"/>
      <c r="CE1244"/>
    </row>
    <row r="1245" spans="1:83" ht="13.15" customHeight="1" outlineLevel="2" x14ac:dyDescent="0.2">
      <c r="A1245"/>
      <c r="B1245" s="1"/>
      <c r="C1245"/>
      <c r="D1245"/>
      <c r="E1245"/>
      <c r="F1245"/>
      <c r="G1245" s="1"/>
      <c r="H1245" s="1"/>
      <c r="I1245"/>
      <c r="J1245"/>
      <c r="K1245"/>
      <c r="L1245"/>
      <c r="M1245"/>
      <c r="N1245"/>
      <c r="O1245"/>
      <c r="P1245"/>
      <c r="Q1245"/>
      <c r="R1245" s="558" t="s">
        <v>3974</v>
      </c>
      <c r="S1245" s="83"/>
      <c r="T1245" s="56"/>
      <c r="U1245" s="955"/>
      <c r="V1245" s="43" t="str">
        <f t="shared" si="840"/>
        <v>O</v>
      </c>
      <c r="W1245" s="10"/>
      <c r="X1245" s="45" t="s">
        <v>769</v>
      </c>
      <c r="Y1245" s="10"/>
      <c r="Z1245" s="46" t="str">
        <f>V1236</f>
        <v>F</v>
      </c>
      <c r="AA1245" s="123"/>
      <c r="AB1245" s="1459">
        <f t="shared" si="832"/>
        <v>0</v>
      </c>
      <c r="AC1245" s="1460" t="str">
        <f t="shared" si="833"/>
        <v>-</v>
      </c>
      <c r="AD1245" s="1459">
        <f t="shared" si="834"/>
        <v>0</v>
      </c>
      <c r="AE1245" s="964" t="str">
        <f t="shared" si="835"/>
        <v/>
      </c>
      <c r="AF1245" s="964" t="str">
        <f t="shared" si="836"/>
        <v/>
      </c>
      <c r="AG1245" s="964" t="str">
        <f t="shared" si="837"/>
        <v/>
      </c>
      <c r="AH1245" s="964" t="str">
        <f t="shared" si="838"/>
        <v/>
      </c>
      <c r="AI1245" s="964" t="str">
        <f t="shared" si="839"/>
        <v/>
      </c>
      <c r="AJ1245" s="964"/>
      <c r="AK1245" s="964"/>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s="1396"/>
      <c r="CB1245" s="1396"/>
      <c r="CC1245"/>
      <c r="CD1245"/>
      <c r="CE1245"/>
    </row>
    <row r="1246" spans="1:83" ht="13.15" customHeight="1" outlineLevel="2" x14ac:dyDescent="0.2">
      <c r="A1246"/>
      <c r="B1246" s="1"/>
      <c r="C1246"/>
      <c r="D1246"/>
      <c r="E1246"/>
      <c r="F1246"/>
      <c r="G1246" s="1"/>
      <c r="H1246" s="1"/>
      <c r="I1246"/>
      <c r="J1246"/>
      <c r="K1246"/>
      <c r="L1246"/>
      <c r="M1246"/>
      <c r="N1246"/>
      <c r="O1246"/>
      <c r="P1246"/>
      <c r="Q1246"/>
      <c r="R1246" s="558" t="s">
        <v>3974</v>
      </c>
      <c r="S1246" s="83"/>
      <c r="T1246" s="56"/>
      <c r="U1246" s="955"/>
      <c r="V1246" s="43" t="str">
        <f t="shared" si="840"/>
        <v>M</v>
      </c>
      <c r="W1246" s="10"/>
      <c r="X1246" s="45" t="s">
        <v>769</v>
      </c>
      <c r="Y1246" s="10"/>
      <c r="Z1246" s="46" t="str">
        <f>V1237</f>
        <v>D</v>
      </c>
      <c r="AA1246" s="123"/>
      <c r="AB1246" s="1459">
        <f t="shared" si="832"/>
        <v>0</v>
      </c>
      <c r="AC1246" s="1460" t="str">
        <f t="shared" si="833"/>
        <v>-</v>
      </c>
      <c r="AD1246" s="1459">
        <f t="shared" si="834"/>
        <v>0</v>
      </c>
      <c r="AE1246" s="964" t="str">
        <f t="shared" si="835"/>
        <v/>
      </c>
      <c r="AF1246" s="964" t="str">
        <f t="shared" si="836"/>
        <v/>
      </c>
      <c r="AG1246" s="964" t="str">
        <f t="shared" si="837"/>
        <v/>
      </c>
      <c r="AH1246" s="964" t="str">
        <f t="shared" si="838"/>
        <v/>
      </c>
      <c r="AI1246" s="964" t="str">
        <f t="shared" si="839"/>
        <v/>
      </c>
      <c r="AJ1246" s="964"/>
      <c r="AK1246" s="964"/>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s="1396"/>
      <c r="CB1246" s="1396"/>
      <c r="CC1246"/>
      <c r="CD1246"/>
      <c r="CE1246"/>
    </row>
    <row r="1247" spans="1:83" ht="13.15" customHeight="1" outlineLevel="2" x14ac:dyDescent="0.2">
      <c r="A1247"/>
      <c r="B1247" s="1"/>
      <c r="C1247"/>
      <c r="D1247"/>
      <c r="E1247"/>
      <c r="F1247"/>
      <c r="G1247" s="1"/>
      <c r="H1247" s="1"/>
      <c r="I1247"/>
      <c r="J1247"/>
      <c r="K1247"/>
      <c r="L1247"/>
      <c r="M1247"/>
      <c r="N1247"/>
      <c r="O1247"/>
      <c r="P1247"/>
      <c r="Q1247"/>
      <c r="R1247" s="558" t="s">
        <v>3974</v>
      </c>
      <c r="S1247" s="83"/>
      <c r="T1247" s="56"/>
      <c r="U1247" s="955"/>
      <c r="V1247" s="43" t="str">
        <f t="shared" si="840"/>
        <v>K</v>
      </c>
      <c r="W1247" s="10"/>
      <c r="X1247" s="45" t="s">
        <v>769</v>
      </c>
      <c r="Y1247" s="10"/>
      <c r="Z1247" s="46" t="str">
        <f>V1238</f>
        <v>B</v>
      </c>
      <c r="AA1247" s="123"/>
      <c r="AB1247" s="1459">
        <f t="shared" si="832"/>
        <v>0</v>
      </c>
      <c r="AC1247" s="1460" t="str">
        <f t="shared" si="833"/>
        <v>-</v>
      </c>
      <c r="AD1247" s="1459">
        <f t="shared" si="834"/>
        <v>0</v>
      </c>
      <c r="AE1247" s="964" t="str">
        <f t="shared" si="835"/>
        <v/>
      </c>
      <c r="AF1247" s="964" t="str">
        <f t="shared" si="836"/>
        <v/>
      </c>
      <c r="AG1247" s="964" t="str">
        <f t="shared" si="837"/>
        <v/>
      </c>
      <c r="AH1247" s="964" t="str">
        <f t="shared" si="838"/>
        <v/>
      </c>
      <c r="AI1247" s="964" t="str">
        <f t="shared" si="839"/>
        <v/>
      </c>
      <c r="AJ1247" s="964"/>
      <c r="AK1247" s="964"/>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s="1396"/>
      <c r="CB1247" s="1396"/>
      <c r="CC1247"/>
      <c r="CD1247"/>
      <c r="CE1247"/>
    </row>
    <row r="1248" spans="1:83" ht="13.15" customHeight="1" outlineLevel="2" x14ac:dyDescent="0.2">
      <c r="A1248"/>
      <c r="B1248" s="1"/>
      <c r="C1248"/>
      <c r="D1248"/>
      <c r="E1248"/>
      <c r="F1248"/>
      <c r="G1248" s="1"/>
      <c r="H1248" s="1"/>
      <c r="I1248"/>
      <c r="J1248"/>
      <c r="K1248"/>
      <c r="L1248"/>
      <c r="M1248"/>
      <c r="N1248"/>
      <c r="O1248"/>
      <c r="P1248"/>
      <c r="Q1248"/>
      <c r="R1248" s="558" t="s">
        <v>3974</v>
      </c>
      <c r="S1248" s="83"/>
      <c r="T1248" s="56"/>
      <c r="U1248" s="955"/>
      <c r="V1248" s="43" t="str">
        <f t="shared" si="840"/>
        <v>I</v>
      </c>
      <c r="W1248" s="10"/>
      <c r="X1248" s="45" t="s">
        <v>769</v>
      </c>
      <c r="Y1248" s="10"/>
      <c r="Z1248" s="46" t="str">
        <f>V1239</f>
        <v>C</v>
      </c>
      <c r="AA1248" s="123"/>
      <c r="AB1248" s="1459">
        <f t="shared" si="832"/>
        <v>0</v>
      </c>
      <c r="AC1248" s="1460" t="str">
        <f t="shared" si="833"/>
        <v>-</v>
      </c>
      <c r="AD1248" s="1459">
        <f t="shared" si="834"/>
        <v>0</v>
      </c>
      <c r="AE1248" s="964" t="str">
        <f t="shared" si="835"/>
        <v/>
      </c>
      <c r="AF1248" s="964" t="str">
        <f t="shared" si="836"/>
        <v/>
      </c>
      <c r="AG1248" s="964" t="str">
        <f t="shared" si="837"/>
        <v/>
      </c>
      <c r="AH1248" s="964" t="str">
        <f t="shared" si="838"/>
        <v/>
      </c>
      <c r="AI1248" s="964" t="str">
        <f t="shared" si="839"/>
        <v/>
      </c>
      <c r="AJ1248" s="964"/>
      <c r="AK1248" s="964"/>
      <c r="AL1248"/>
      <c r="AM1248"/>
      <c r="AN1248"/>
      <c r="AO1248"/>
      <c r="AP1248"/>
      <c r="AQ1248"/>
      <c r="AR1248"/>
      <c r="AS1248"/>
      <c r="AT1248"/>
      <c r="AU1248"/>
      <c r="AV1248"/>
      <c r="AW1248"/>
      <c r="AX1248" s="9"/>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s="1396"/>
      <c r="CB1248" s="1396"/>
      <c r="CC1248"/>
      <c r="CD1248"/>
      <c r="CE1248"/>
    </row>
    <row r="1249" spans="1:83" ht="13.9" customHeight="1" outlineLevel="2" thickBot="1" x14ac:dyDescent="0.25">
      <c r="A1249"/>
      <c r="B1249" s="1"/>
      <c r="C1249"/>
      <c r="D1249"/>
      <c r="E1249"/>
      <c r="F1249"/>
      <c r="G1249" s="1"/>
      <c r="H1249" s="1"/>
      <c r="I1249"/>
      <c r="J1249"/>
      <c r="K1249"/>
      <c r="L1249"/>
      <c r="M1249"/>
      <c r="N1249"/>
      <c r="O1249"/>
      <c r="P1249"/>
      <c r="Q1249"/>
      <c r="R1249" s="558" t="s">
        <v>3974</v>
      </c>
      <c r="S1249" s="956"/>
      <c r="T1249" s="58"/>
      <c r="U1249" s="957"/>
      <c r="V1249" s="43" t="str">
        <f t="shared" si="840"/>
        <v>G</v>
      </c>
      <c r="W1249" s="10"/>
      <c r="X1249" s="45" t="s">
        <v>769</v>
      </c>
      <c r="Y1249" s="10"/>
      <c r="Z1249" s="46" t="str">
        <f>Z1239</f>
        <v>E</v>
      </c>
      <c r="AA1249" s="123"/>
      <c r="AB1249" s="1459">
        <f t="shared" si="832"/>
        <v>0</v>
      </c>
      <c r="AC1249" s="1460" t="str">
        <f t="shared" si="833"/>
        <v>-</v>
      </c>
      <c r="AD1249" s="1459">
        <f t="shared" si="834"/>
        <v>0</v>
      </c>
      <c r="AE1249" s="964" t="str">
        <f t="shared" si="835"/>
        <v/>
      </c>
      <c r="AF1249" s="964" t="str">
        <f t="shared" si="836"/>
        <v/>
      </c>
      <c r="AG1249" s="964" t="str">
        <f t="shared" si="837"/>
        <v/>
      </c>
      <c r="AH1249" s="964" t="str">
        <f t="shared" si="838"/>
        <v/>
      </c>
      <c r="AI1249" s="964" t="str">
        <f t="shared" si="839"/>
        <v/>
      </c>
      <c r="AJ1249" s="964"/>
      <c r="AK1249" s="964"/>
      <c r="AL1249"/>
      <c r="AM1249"/>
      <c r="AN1249"/>
      <c r="AO1249"/>
      <c r="AP1249"/>
      <c r="AQ1249"/>
      <c r="AR1249"/>
      <c r="AS1249"/>
      <c r="AT1249"/>
      <c r="AU1249"/>
      <c r="AV1249"/>
      <c r="AW1249" s="9"/>
      <c r="AX1249" s="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s="1396"/>
      <c r="CB1249" s="1396"/>
      <c r="CC1249"/>
      <c r="CD1249"/>
      <c r="CE1249"/>
    </row>
    <row r="1250" spans="1:83" ht="13.5" outlineLevel="1" thickBot="1" x14ac:dyDescent="0.25">
      <c r="A1250"/>
      <c r="B1250" s="1"/>
      <c r="C1250" s="1"/>
      <c r="D1250" s="76"/>
      <c r="E1250" s="76"/>
      <c r="F1250" s="76"/>
      <c r="G1250" s="9"/>
      <c r="H1250" s="9"/>
      <c r="I1250" s="1"/>
      <c r="J1250"/>
      <c r="K1250"/>
      <c r="L1250"/>
      <c r="M1250"/>
      <c r="N1250"/>
      <c r="O1250"/>
      <c r="P1250" s="89"/>
      <c r="Q1250"/>
      <c r="R1250" s="1"/>
      <c r="S1250" s="993">
        <f>S1240+1</f>
        <v>13</v>
      </c>
      <c r="T1250" s="961"/>
      <c r="U1250" s="961"/>
      <c r="V1250" s="961"/>
      <c r="W1250" s="960"/>
      <c r="X1250" s="960"/>
      <c r="Y1250" s="960"/>
      <c r="Z1250" s="962"/>
      <c r="AA1250" s="123"/>
      <c r="AB1250" s="963"/>
      <c r="AC1250" s="963"/>
      <c r="AD1250" s="963"/>
      <c r="AE1250" s="964"/>
      <c r="AF1250" s="964"/>
      <c r="AG1250" s="964"/>
      <c r="AH1250" s="964"/>
      <c r="AI1250" s="964"/>
      <c r="AJ1250" s="964"/>
      <c r="AK1250" s="964"/>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s="1396"/>
      <c r="CB1250" s="1396"/>
      <c r="CC1250"/>
      <c r="CD1250"/>
      <c r="CE1250"/>
    </row>
    <row r="1251" spans="1:83" ht="13.9" customHeight="1" outlineLevel="2" thickBot="1" x14ac:dyDescent="0.25">
      <c r="A1251"/>
      <c r="B1251" s="1"/>
      <c r="C1251"/>
      <c r="D1251"/>
      <c r="E1251"/>
      <c r="F1251"/>
      <c r="G1251" s="1"/>
      <c r="H1251" s="1"/>
      <c r="I1251"/>
      <c r="J1251"/>
      <c r="K1251"/>
      <c r="L1251"/>
      <c r="M1251"/>
      <c r="N1251"/>
      <c r="O1251"/>
      <c r="P1251"/>
      <c r="Q1251"/>
      <c r="S1251" s="22" t="str">
        <f>N_Heure</f>
        <v>Heure</v>
      </c>
      <c r="T1251" s="22" t="str">
        <f>N_Table</f>
        <v>Table</v>
      </c>
      <c r="U1251" s="22" t="str">
        <f>N_Arbitre</f>
        <v>Arbitre</v>
      </c>
      <c r="V1251" s="293" t="str">
        <f>N_Matches</f>
        <v>Matches</v>
      </c>
      <c r="W1251" s="294"/>
      <c r="X1251" s="294"/>
      <c r="Y1251" s="294"/>
      <c r="Z1251" s="295"/>
      <c r="AA1251" s="8"/>
      <c r="AB1251" s="967"/>
      <c r="AC1251" s="967"/>
      <c r="AD1251" s="967"/>
      <c r="AE1251" s="964"/>
      <c r="AF1251" s="964"/>
      <c r="AG1251" s="964"/>
      <c r="AH1251" s="964"/>
      <c r="AI1251" s="964"/>
      <c r="AJ1251" s="964"/>
      <c r="AK1251" s="964"/>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s="1396"/>
      <c r="CB1251" s="1396"/>
      <c r="CC1251"/>
      <c r="CD1251"/>
      <c r="CE1251"/>
    </row>
    <row r="1252" spans="1:83" ht="13.15" customHeight="1" outlineLevel="2" x14ac:dyDescent="0.2">
      <c r="A1252"/>
      <c r="B1252" s="1"/>
      <c r="C1252"/>
      <c r="D1252"/>
      <c r="E1252"/>
      <c r="F1252"/>
      <c r="G1252" s="1"/>
      <c r="H1252" s="1"/>
      <c r="I1252"/>
      <c r="J1252"/>
      <c r="K1252"/>
      <c r="L1252"/>
      <c r="M1252"/>
      <c r="N1252"/>
      <c r="O1252"/>
      <c r="P1252"/>
      <c r="Q1252"/>
      <c r="R1252" s="558" t="s">
        <v>3975</v>
      </c>
      <c r="S1252" s="65"/>
      <c r="T1252" s="953"/>
      <c r="U1252" s="954"/>
      <c r="V1252" s="34" t="str">
        <f>Z1242</f>
        <v>A</v>
      </c>
      <c r="W1252" s="148"/>
      <c r="X1252" s="35" t="s">
        <v>769</v>
      </c>
      <c r="Y1252" s="148"/>
      <c r="Z1252" s="36" t="str">
        <f>Z1243</f>
        <v>L</v>
      </c>
      <c r="AA1252" s="123"/>
      <c r="AB1252" s="1459">
        <f t="shared" ref="AB1252:AB1259" si="841">IF(MaxScore,MaxGoals(W1252,Y1252,MaxGoalsValue),IF(W1252="","",W1252))</f>
        <v>0</v>
      </c>
      <c r="AC1252" s="1460" t="str">
        <f t="shared" ref="AC1252:AC1259" si="842">IF(MaxScore,"-",IF(W1252="","","-"))</f>
        <v>-</v>
      </c>
      <c r="AD1252" s="1459">
        <f t="shared" ref="AD1252:AD1259" si="843">IF(MaxScore,MaxGoals(Y1252,W1252,MaxGoalsValue),IF(Y1252="","",Y1252))</f>
        <v>0</v>
      </c>
      <c r="AE1252" s="964" t="str">
        <f t="shared" ref="AE1252:AE1259" si="844">IF(W1252="","",IF(W1252&gt;Y1252,V1252,IF(W1252=Y1252,"",Z1252)))</f>
        <v/>
      </c>
      <c r="AF1252" s="964" t="str">
        <f t="shared" ref="AF1252:AF1259" si="845">IF(W1252="","",IF(W1252=Y1252,V1252,""))</f>
        <v/>
      </c>
      <c r="AG1252" s="964" t="str">
        <f t="shared" ref="AG1252:AG1259" si="846">IF(W1252="","",IF(W1252=Y1252,Z1252,""))</f>
        <v/>
      </c>
      <c r="AH1252" s="964" t="str">
        <f t="shared" ref="AH1252:AH1259" si="847">IF(W1252="","",IF(W1252&lt;Y1252,V1252,IF(W1252=Y1252,"",Z1252)))</f>
        <v/>
      </c>
      <c r="AI1252" s="964" t="str">
        <f t="shared" ref="AI1252:AI1259" si="848">CONCATENATE(AE1252,AH1252)</f>
        <v/>
      </c>
      <c r="AJ1252" s="964"/>
      <c r="AK1252" s="964"/>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s="1396"/>
      <c r="CB1252" s="1396"/>
      <c r="CC1252"/>
      <c r="CD1252"/>
      <c r="CE1252"/>
    </row>
    <row r="1253" spans="1:83" ht="13.15" customHeight="1" outlineLevel="2" x14ac:dyDescent="0.2">
      <c r="A1253"/>
      <c r="B1253" s="1"/>
      <c r="C1253"/>
      <c r="D1253"/>
      <c r="E1253"/>
      <c r="F1253"/>
      <c r="G1253" s="1"/>
      <c r="H1253" s="1"/>
      <c r="I1253"/>
      <c r="J1253"/>
      <c r="K1253"/>
      <c r="L1253"/>
      <c r="M1253"/>
      <c r="N1253"/>
      <c r="O1253"/>
      <c r="P1253"/>
      <c r="Q1253"/>
      <c r="R1253" s="558" t="s">
        <v>3975</v>
      </c>
      <c r="S1253" s="83"/>
      <c r="T1253" s="56"/>
      <c r="U1253" s="955"/>
      <c r="V1253" s="43" t="str">
        <f>V1234</f>
        <v>J</v>
      </c>
      <c r="W1253" s="10"/>
      <c r="X1253" s="45" t="s">
        <v>769</v>
      </c>
      <c r="Y1253" s="10"/>
      <c r="Z1253" s="46" t="str">
        <f t="shared" ref="Z1253:Z1259" si="849">V1242</f>
        <v>N</v>
      </c>
      <c r="AA1253" s="123"/>
      <c r="AB1253" s="1459">
        <f t="shared" si="841"/>
        <v>0</v>
      </c>
      <c r="AC1253" s="1460" t="str">
        <f t="shared" si="842"/>
        <v>-</v>
      </c>
      <c r="AD1253" s="1459">
        <f t="shared" si="843"/>
        <v>0</v>
      </c>
      <c r="AE1253" s="964" t="str">
        <f t="shared" si="844"/>
        <v/>
      </c>
      <c r="AF1253" s="964" t="str">
        <f t="shared" si="845"/>
        <v/>
      </c>
      <c r="AG1253" s="964" t="str">
        <f t="shared" si="846"/>
        <v/>
      </c>
      <c r="AH1253" s="964" t="str">
        <f t="shared" si="847"/>
        <v/>
      </c>
      <c r="AI1253" s="964" t="str">
        <f t="shared" si="848"/>
        <v/>
      </c>
      <c r="AJ1253" s="964"/>
      <c r="AK1253" s="964"/>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s="1396"/>
      <c r="CB1253" s="1396"/>
      <c r="CC1253"/>
      <c r="CD1253"/>
      <c r="CE1253"/>
    </row>
    <row r="1254" spans="1:83" ht="13.15" customHeight="1" outlineLevel="2" x14ac:dyDescent="0.2">
      <c r="A1254"/>
      <c r="B1254" s="1"/>
      <c r="C1254"/>
      <c r="D1254"/>
      <c r="E1254"/>
      <c r="F1254"/>
      <c r="G1254" s="1"/>
      <c r="H1254" s="1"/>
      <c r="I1254"/>
      <c r="J1254"/>
      <c r="K1254"/>
      <c r="L1254"/>
      <c r="M1254"/>
      <c r="N1254"/>
      <c r="O1254"/>
      <c r="P1254"/>
      <c r="Q1254"/>
      <c r="R1254" s="558" t="s">
        <v>3975</v>
      </c>
      <c r="S1254" s="83"/>
      <c r="T1254" s="56"/>
      <c r="U1254" s="955"/>
      <c r="V1254" s="43" t="str">
        <f>Z1244</f>
        <v>H</v>
      </c>
      <c r="W1254" s="10"/>
      <c r="X1254" s="45" t="s">
        <v>769</v>
      </c>
      <c r="Y1254" s="10"/>
      <c r="Z1254" s="46" t="str">
        <f t="shared" si="849"/>
        <v>P</v>
      </c>
      <c r="AA1254" s="123"/>
      <c r="AB1254" s="1459">
        <f t="shared" si="841"/>
        <v>0</v>
      </c>
      <c r="AC1254" s="1460" t="str">
        <f t="shared" si="842"/>
        <v>-</v>
      </c>
      <c r="AD1254" s="1459">
        <f t="shared" si="843"/>
        <v>0</v>
      </c>
      <c r="AE1254" s="964" t="str">
        <f t="shared" si="844"/>
        <v/>
      </c>
      <c r="AF1254" s="964" t="str">
        <f t="shared" si="845"/>
        <v/>
      </c>
      <c r="AG1254" s="964" t="str">
        <f t="shared" si="846"/>
        <v/>
      </c>
      <c r="AH1254" s="964" t="str">
        <f t="shared" si="847"/>
        <v/>
      </c>
      <c r="AI1254" s="964" t="str">
        <f t="shared" si="848"/>
        <v/>
      </c>
      <c r="AJ1254" s="964"/>
      <c r="AK1254" s="964"/>
      <c r="AL1254"/>
      <c r="AM1254"/>
      <c r="AN1254"/>
      <c r="AO1254"/>
      <c r="AP1254"/>
      <c r="AQ1254"/>
      <c r="AR1254"/>
      <c r="AS1254"/>
      <c r="AT1254"/>
      <c r="AU1254"/>
      <c r="AV1254"/>
      <c r="AW1254"/>
      <c r="AX1254" s="9"/>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s="1396"/>
      <c r="CB1254" s="1396"/>
      <c r="CC1254"/>
      <c r="CD1254"/>
      <c r="CE1254"/>
    </row>
    <row r="1255" spans="1:83" ht="13.15" customHeight="1" outlineLevel="2" x14ac:dyDescent="0.2">
      <c r="A1255"/>
      <c r="B1255" s="1"/>
      <c r="C1255"/>
      <c r="D1255"/>
      <c r="E1255"/>
      <c r="F1255"/>
      <c r="G1255" s="1"/>
      <c r="H1255" s="1"/>
      <c r="I1255"/>
      <c r="J1255"/>
      <c r="K1255"/>
      <c r="L1255"/>
      <c r="M1255"/>
      <c r="N1255"/>
      <c r="O1255"/>
      <c r="P1255"/>
      <c r="Q1255"/>
      <c r="R1255" s="558" t="s">
        <v>3975</v>
      </c>
      <c r="S1255" s="83"/>
      <c r="T1255" s="56"/>
      <c r="U1255" s="955"/>
      <c r="V1255" s="43" t="str">
        <f>Z1246</f>
        <v>D</v>
      </c>
      <c r="W1255" s="10"/>
      <c r="X1255" s="45" t="s">
        <v>769</v>
      </c>
      <c r="Y1255" s="10"/>
      <c r="Z1255" s="46" t="str">
        <f t="shared" si="849"/>
        <v>Q</v>
      </c>
      <c r="AA1255" s="123"/>
      <c r="AB1255" s="1459">
        <f t="shared" si="841"/>
        <v>0</v>
      </c>
      <c r="AC1255" s="1460" t="str">
        <f t="shared" si="842"/>
        <v>-</v>
      </c>
      <c r="AD1255" s="1459">
        <f t="shared" si="843"/>
        <v>0</v>
      </c>
      <c r="AE1255" s="964" t="str">
        <f t="shared" si="844"/>
        <v/>
      </c>
      <c r="AF1255" s="964" t="str">
        <f t="shared" si="845"/>
        <v/>
      </c>
      <c r="AG1255" s="964" t="str">
        <f t="shared" si="846"/>
        <v/>
      </c>
      <c r="AH1255" s="964" t="str">
        <f t="shared" si="847"/>
        <v/>
      </c>
      <c r="AI1255" s="964" t="str">
        <f t="shared" si="848"/>
        <v/>
      </c>
      <c r="AJ1255" s="964"/>
      <c r="AK1255" s="964"/>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s="1396"/>
      <c r="CB1255" s="1396"/>
      <c r="CC1255"/>
      <c r="CD1255"/>
      <c r="CE1255"/>
    </row>
    <row r="1256" spans="1:83" ht="13.15" customHeight="1" outlineLevel="2" x14ac:dyDescent="0.2">
      <c r="A1256"/>
      <c r="B1256" s="1"/>
      <c r="C1256"/>
      <c r="D1256"/>
      <c r="E1256"/>
      <c r="F1256"/>
      <c r="G1256" s="1"/>
      <c r="H1256" s="1"/>
      <c r="I1256"/>
      <c r="J1256"/>
      <c r="K1256"/>
      <c r="L1256"/>
      <c r="M1256"/>
      <c r="N1256"/>
      <c r="O1256"/>
      <c r="P1256"/>
      <c r="Q1256"/>
      <c r="R1256" s="558" t="s">
        <v>3975</v>
      </c>
      <c r="S1256" s="83"/>
      <c r="T1256" s="56"/>
      <c r="U1256" s="955"/>
      <c r="V1256" s="43" t="str">
        <f>Z1247</f>
        <v>B</v>
      </c>
      <c r="W1256" s="10"/>
      <c r="X1256" s="45" t="s">
        <v>769</v>
      </c>
      <c r="Y1256" s="10"/>
      <c r="Z1256" s="46" t="str">
        <f t="shared" si="849"/>
        <v>O</v>
      </c>
      <c r="AA1256" s="123"/>
      <c r="AB1256" s="1459">
        <f t="shared" si="841"/>
        <v>0</v>
      </c>
      <c r="AC1256" s="1460" t="str">
        <f t="shared" si="842"/>
        <v>-</v>
      </c>
      <c r="AD1256" s="1459">
        <f t="shared" si="843"/>
        <v>0</v>
      </c>
      <c r="AE1256" s="964" t="str">
        <f t="shared" si="844"/>
        <v/>
      </c>
      <c r="AF1256" s="964" t="str">
        <f t="shared" si="845"/>
        <v/>
      </c>
      <c r="AG1256" s="964" t="str">
        <f t="shared" si="846"/>
        <v/>
      </c>
      <c r="AH1256" s="964" t="str">
        <f t="shared" si="847"/>
        <v/>
      </c>
      <c r="AI1256" s="964" t="str">
        <f t="shared" si="848"/>
        <v/>
      </c>
      <c r="AJ1256" s="964"/>
      <c r="AK1256" s="964"/>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s="1396"/>
      <c r="CB1256" s="1396"/>
      <c r="CC1256"/>
      <c r="CD1256"/>
      <c r="CE1256"/>
    </row>
    <row r="1257" spans="1:83" ht="13.15" customHeight="1" outlineLevel="2" x14ac:dyDescent="0.2">
      <c r="A1257"/>
      <c r="B1257" s="1"/>
      <c r="C1257"/>
      <c r="D1257"/>
      <c r="E1257"/>
      <c r="F1257"/>
      <c r="G1257" s="1"/>
      <c r="H1257" s="1"/>
      <c r="I1257"/>
      <c r="J1257"/>
      <c r="K1257"/>
      <c r="L1257"/>
      <c r="M1257"/>
      <c r="N1257"/>
      <c r="O1257"/>
      <c r="P1257"/>
      <c r="Q1257"/>
      <c r="R1257" s="558" t="s">
        <v>3975</v>
      </c>
      <c r="S1257" s="83"/>
      <c r="T1257" s="56"/>
      <c r="U1257" s="955"/>
      <c r="V1257" s="43" t="str">
        <f>Z1248</f>
        <v>C</v>
      </c>
      <c r="W1257" s="10"/>
      <c r="X1257" s="45" t="s">
        <v>769</v>
      </c>
      <c r="Y1257" s="10"/>
      <c r="Z1257" s="46" t="str">
        <f t="shared" si="849"/>
        <v>M</v>
      </c>
      <c r="AA1257" s="123"/>
      <c r="AB1257" s="1459">
        <f t="shared" si="841"/>
        <v>0</v>
      </c>
      <c r="AC1257" s="1460" t="str">
        <f t="shared" si="842"/>
        <v>-</v>
      </c>
      <c r="AD1257" s="1459">
        <f t="shared" si="843"/>
        <v>0</v>
      </c>
      <c r="AE1257" s="964" t="str">
        <f t="shared" si="844"/>
        <v/>
      </c>
      <c r="AF1257" s="964" t="str">
        <f t="shared" si="845"/>
        <v/>
      </c>
      <c r="AG1257" s="964" t="str">
        <f t="shared" si="846"/>
        <v/>
      </c>
      <c r="AH1257" s="964" t="str">
        <f t="shared" si="847"/>
        <v/>
      </c>
      <c r="AI1257" s="964" t="str">
        <f t="shared" si="848"/>
        <v/>
      </c>
      <c r="AJ1257" s="964"/>
      <c r="AK1257" s="964"/>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s="1396"/>
      <c r="CB1257" s="1396"/>
      <c r="CC1257"/>
      <c r="CD1257"/>
      <c r="CE1257"/>
    </row>
    <row r="1258" spans="1:83" ht="13.15" customHeight="1" outlineLevel="2" x14ac:dyDescent="0.2">
      <c r="A1258"/>
      <c r="B1258" s="1"/>
      <c r="C1258"/>
      <c r="D1258"/>
      <c r="E1258"/>
      <c r="F1258"/>
      <c r="G1258" s="1"/>
      <c r="H1258" s="1"/>
      <c r="I1258"/>
      <c r="J1258"/>
      <c r="K1258"/>
      <c r="L1258"/>
      <c r="M1258"/>
      <c r="N1258"/>
      <c r="O1258"/>
      <c r="P1258"/>
      <c r="Q1258"/>
      <c r="R1258" s="558" t="s">
        <v>3975</v>
      </c>
      <c r="S1258" s="83"/>
      <c r="T1258" s="56"/>
      <c r="U1258" s="955"/>
      <c r="V1258" s="43" t="str">
        <f>Z1249</f>
        <v>E</v>
      </c>
      <c r="W1258" s="10"/>
      <c r="X1258" s="45" t="s">
        <v>769</v>
      </c>
      <c r="Y1258" s="10"/>
      <c r="Z1258" s="46" t="str">
        <f t="shared" si="849"/>
        <v>K</v>
      </c>
      <c r="AA1258" s="123"/>
      <c r="AB1258" s="1459">
        <f t="shared" si="841"/>
        <v>0</v>
      </c>
      <c r="AC1258" s="1460" t="str">
        <f t="shared" si="842"/>
        <v>-</v>
      </c>
      <c r="AD1258" s="1459">
        <f t="shared" si="843"/>
        <v>0</v>
      </c>
      <c r="AE1258" s="964" t="str">
        <f t="shared" si="844"/>
        <v/>
      </c>
      <c r="AF1258" s="964" t="str">
        <f t="shared" si="845"/>
        <v/>
      </c>
      <c r="AG1258" s="964" t="str">
        <f t="shared" si="846"/>
        <v/>
      </c>
      <c r="AH1258" s="964" t="str">
        <f t="shared" si="847"/>
        <v/>
      </c>
      <c r="AI1258" s="964" t="str">
        <f t="shared" si="848"/>
        <v/>
      </c>
      <c r="AJ1258" s="964"/>
      <c r="AK1258" s="964"/>
      <c r="AL1258"/>
      <c r="AM1258"/>
      <c r="AN1258"/>
      <c r="AO1258"/>
      <c r="AP1258"/>
      <c r="AQ1258"/>
      <c r="AR1258"/>
      <c r="AS1258"/>
      <c r="AT1258"/>
      <c r="AU1258"/>
      <c r="AV1258"/>
      <c r="AW1258"/>
      <c r="AX1258" s="9"/>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s="1396"/>
      <c r="CB1258" s="1396"/>
      <c r="CC1258"/>
      <c r="CD1258"/>
      <c r="CE1258"/>
    </row>
    <row r="1259" spans="1:83" ht="13.9" customHeight="1" outlineLevel="2" thickBot="1" x14ac:dyDescent="0.25">
      <c r="A1259"/>
      <c r="B1259" s="1"/>
      <c r="C1259"/>
      <c r="D1259"/>
      <c r="E1259"/>
      <c r="F1259"/>
      <c r="G1259" s="1"/>
      <c r="H1259" s="1"/>
      <c r="I1259"/>
      <c r="J1259"/>
      <c r="K1259"/>
      <c r="L1259"/>
      <c r="M1259"/>
      <c r="N1259"/>
      <c r="O1259"/>
      <c r="P1259"/>
      <c r="Q1259"/>
      <c r="R1259" s="558" t="s">
        <v>3975</v>
      </c>
      <c r="S1259" s="956"/>
      <c r="T1259" s="58"/>
      <c r="U1259" s="957"/>
      <c r="V1259" s="958" t="str">
        <f>V1249</f>
        <v>G</v>
      </c>
      <c r="W1259" s="10"/>
      <c r="X1259" s="45" t="s">
        <v>769</v>
      </c>
      <c r="Y1259" s="10"/>
      <c r="Z1259" s="46" t="str">
        <f t="shared" si="849"/>
        <v>I</v>
      </c>
      <c r="AA1259" s="123"/>
      <c r="AB1259" s="1459">
        <f t="shared" si="841"/>
        <v>0</v>
      </c>
      <c r="AC1259" s="1460" t="str">
        <f t="shared" si="842"/>
        <v>-</v>
      </c>
      <c r="AD1259" s="1459">
        <f t="shared" si="843"/>
        <v>0</v>
      </c>
      <c r="AE1259" s="964" t="str">
        <f t="shared" si="844"/>
        <v/>
      </c>
      <c r="AF1259" s="964" t="str">
        <f t="shared" si="845"/>
        <v/>
      </c>
      <c r="AG1259" s="964" t="str">
        <f t="shared" si="846"/>
        <v/>
      </c>
      <c r="AH1259" s="964" t="str">
        <f t="shared" si="847"/>
        <v/>
      </c>
      <c r="AI1259" s="964" t="str">
        <f t="shared" si="848"/>
        <v/>
      </c>
      <c r="AJ1259" s="964"/>
      <c r="AK1259" s="964"/>
      <c r="AL1259"/>
      <c r="AM1259"/>
      <c r="AN1259"/>
      <c r="AO1259"/>
      <c r="AP1259"/>
      <c r="AQ1259"/>
      <c r="AR1259"/>
      <c r="AS1259"/>
      <c r="AT1259"/>
      <c r="AU1259"/>
      <c r="AV1259"/>
      <c r="AW1259" s="9"/>
      <c r="AX1259" s="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s="1396"/>
      <c r="CB1259" s="1396"/>
      <c r="CC1259"/>
      <c r="CD1259"/>
      <c r="CE1259"/>
    </row>
    <row r="1260" spans="1:83" ht="13.5" outlineLevel="1" thickBot="1" x14ac:dyDescent="0.25">
      <c r="A1260"/>
      <c r="B1260" s="1"/>
      <c r="C1260" s="1"/>
      <c r="D1260" s="76"/>
      <c r="E1260" s="76"/>
      <c r="F1260" s="76"/>
      <c r="G1260" s="9"/>
      <c r="H1260" s="9"/>
      <c r="I1260" s="1"/>
      <c r="J1260"/>
      <c r="K1260"/>
      <c r="L1260"/>
      <c r="M1260"/>
      <c r="N1260"/>
      <c r="O1260"/>
      <c r="P1260" s="89"/>
      <c r="Q1260"/>
      <c r="R1260" s="1"/>
      <c r="S1260" s="993">
        <f>S1250+1</f>
        <v>14</v>
      </c>
      <c r="T1260" s="961"/>
      <c r="U1260" s="961"/>
      <c r="V1260" s="961"/>
      <c r="W1260" s="960"/>
      <c r="X1260" s="960"/>
      <c r="Y1260" s="960"/>
      <c r="Z1260" s="962"/>
      <c r="AA1260" s="123"/>
      <c r="AB1260" s="963"/>
      <c r="AC1260" s="963"/>
      <c r="AD1260" s="963"/>
      <c r="AE1260" s="964"/>
      <c r="AF1260" s="964"/>
      <c r="AG1260" s="964"/>
      <c r="AH1260" s="964"/>
      <c r="AI1260" s="964"/>
      <c r="AJ1260" s="964"/>
      <c r="AK1260" s="964"/>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s="1396"/>
      <c r="CB1260" s="1396"/>
      <c r="CC1260"/>
      <c r="CD1260"/>
      <c r="CE1260"/>
    </row>
    <row r="1261" spans="1:83" ht="13.9" customHeight="1" outlineLevel="2" thickBot="1" x14ac:dyDescent="0.25">
      <c r="A1261"/>
      <c r="B1261" s="1"/>
      <c r="C1261"/>
      <c r="D1261"/>
      <c r="E1261"/>
      <c r="F1261"/>
      <c r="G1261" s="1"/>
      <c r="H1261" s="1"/>
      <c r="I1261"/>
      <c r="J1261"/>
      <c r="K1261"/>
      <c r="L1261"/>
      <c r="M1261"/>
      <c r="N1261"/>
      <c r="O1261"/>
      <c r="P1261"/>
      <c r="Q1261"/>
      <c r="S1261" s="22" t="str">
        <f>N_Heure</f>
        <v>Heure</v>
      </c>
      <c r="T1261" s="22" t="str">
        <f>N_Table</f>
        <v>Table</v>
      </c>
      <c r="U1261" s="22" t="str">
        <f>N_Arbitre</f>
        <v>Arbitre</v>
      </c>
      <c r="V1261" s="293" t="str">
        <f>N_Matches</f>
        <v>Matches</v>
      </c>
      <c r="W1261" s="294"/>
      <c r="X1261" s="294"/>
      <c r="Y1261" s="294"/>
      <c r="Z1261" s="295"/>
      <c r="AA1261" s="8"/>
      <c r="AB1261" s="967"/>
      <c r="AC1261" s="967"/>
      <c r="AD1261" s="967"/>
      <c r="AE1261" s="964"/>
      <c r="AF1261" s="964"/>
      <c r="AG1261" s="964"/>
      <c r="AH1261" s="964"/>
      <c r="AI1261" s="964"/>
      <c r="AJ1261" s="964"/>
      <c r="AK1261" s="964"/>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s="1396"/>
      <c r="CB1261" s="1396"/>
      <c r="CC1261"/>
      <c r="CD1261"/>
      <c r="CE1261"/>
    </row>
    <row r="1262" spans="1:83" ht="13.15" customHeight="1" outlineLevel="2" x14ac:dyDescent="0.2">
      <c r="A1262"/>
      <c r="B1262" s="1"/>
      <c r="C1262"/>
      <c r="D1262"/>
      <c r="E1262"/>
      <c r="F1262"/>
      <c r="G1262" s="1"/>
      <c r="H1262" s="1"/>
      <c r="I1262"/>
      <c r="J1262"/>
      <c r="K1262"/>
      <c r="L1262"/>
      <c r="M1262"/>
      <c r="N1262"/>
      <c r="O1262"/>
      <c r="P1262"/>
      <c r="Q1262"/>
      <c r="R1262" s="558" t="s">
        <v>3976</v>
      </c>
      <c r="S1262" s="65"/>
      <c r="T1262" s="953"/>
      <c r="U1262" s="954"/>
      <c r="V1262" s="34" t="str">
        <f>V1253</f>
        <v>J</v>
      </c>
      <c r="W1262" s="148"/>
      <c r="X1262" s="35" t="s">
        <v>769</v>
      </c>
      <c r="Y1262" s="148"/>
      <c r="Z1262" s="36" t="str">
        <f>V1252</f>
        <v>A</v>
      </c>
      <c r="AA1262" s="123"/>
      <c r="AB1262" s="1459">
        <f t="shared" ref="AB1262:AB1269" si="850">IF(MaxScore,MaxGoals(W1262,Y1262,MaxGoalsValue),IF(W1262="","",W1262))</f>
        <v>0</v>
      </c>
      <c r="AC1262" s="1460" t="str">
        <f t="shared" ref="AC1262:AC1269" si="851">IF(MaxScore,"-",IF(W1262="","","-"))</f>
        <v>-</v>
      </c>
      <c r="AD1262" s="1459">
        <f t="shared" ref="AD1262:AD1269" si="852">IF(MaxScore,MaxGoals(Y1262,W1262,MaxGoalsValue),IF(Y1262="","",Y1262))</f>
        <v>0</v>
      </c>
      <c r="AE1262" s="964" t="str">
        <f t="shared" ref="AE1262:AE1269" si="853">IF(W1262="","",IF(W1262&gt;Y1262,V1262,IF(W1262=Y1262,"",Z1262)))</f>
        <v/>
      </c>
      <c r="AF1262" s="964" t="str">
        <f t="shared" ref="AF1262:AF1269" si="854">IF(W1262="","",IF(W1262=Y1262,V1262,""))</f>
        <v/>
      </c>
      <c r="AG1262" s="964" t="str">
        <f t="shared" ref="AG1262:AG1269" si="855">IF(W1262="","",IF(W1262=Y1262,Z1262,""))</f>
        <v/>
      </c>
      <c r="AH1262" s="964" t="str">
        <f t="shared" ref="AH1262:AH1269" si="856">IF(W1262="","",IF(W1262&lt;Y1262,V1262,IF(W1262=Y1262,"",Z1262)))</f>
        <v/>
      </c>
      <c r="AI1262" s="964" t="str">
        <f t="shared" ref="AI1262:AI1269" si="857">CONCATENATE(AE1262,AH1262)</f>
        <v/>
      </c>
      <c r="AJ1262" s="964"/>
      <c r="AK1262" s="964"/>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s="1396"/>
      <c r="CB1262" s="1396"/>
      <c r="CC1262"/>
      <c r="CD1262"/>
      <c r="CE1262"/>
    </row>
    <row r="1263" spans="1:83" ht="13.15" customHeight="1" outlineLevel="2" x14ac:dyDescent="0.2">
      <c r="A1263"/>
      <c r="B1263" s="1"/>
      <c r="C1263"/>
      <c r="D1263"/>
      <c r="E1263"/>
      <c r="F1263"/>
      <c r="G1263" s="1"/>
      <c r="H1263" s="1"/>
      <c r="I1263"/>
      <c r="J1263"/>
      <c r="K1263"/>
      <c r="L1263"/>
      <c r="M1263"/>
      <c r="N1263"/>
      <c r="O1263"/>
      <c r="P1263"/>
      <c r="Q1263"/>
      <c r="R1263" s="558" t="s">
        <v>3976</v>
      </c>
      <c r="S1263" s="83"/>
      <c r="T1263" s="56"/>
      <c r="U1263" s="955"/>
      <c r="V1263" s="43" t="str">
        <f t="shared" ref="V1263:V1269" si="858">Z1252</f>
        <v>L</v>
      </c>
      <c r="W1263" s="10"/>
      <c r="X1263" s="45" t="s">
        <v>769</v>
      </c>
      <c r="Y1263" s="10"/>
      <c r="Z1263" s="46" t="str">
        <f>V1254</f>
        <v>H</v>
      </c>
      <c r="AA1263" s="123"/>
      <c r="AB1263" s="1459">
        <f t="shared" si="850"/>
        <v>0</v>
      </c>
      <c r="AC1263" s="1460" t="str">
        <f t="shared" si="851"/>
        <v>-</v>
      </c>
      <c r="AD1263" s="1459">
        <f t="shared" si="852"/>
        <v>0</v>
      </c>
      <c r="AE1263" s="964" t="str">
        <f t="shared" si="853"/>
        <v/>
      </c>
      <c r="AF1263" s="964" t="str">
        <f t="shared" si="854"/>
        <v/>
      </c>
      <c r="AG1263" s="964" t="str">
        <f t="shared" si="855"/>
        <v/>
      </c>
      <c r="AH1263" s="964" t="str">
        <f t="shared" si="856"/>
        <v/>
      </c>
      <c r="AI1263" s="964" t="str">
        <f t="shared" si="857"/>
        <v/>
      </c>
      <c r="AJ1263" s="964"/>
      <c r="AK1263" s="964"/>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s="1396"/>
      <c r="CB1263" s="1396"/>
      <c r="CC1263"/>
      <c r="CD1263"/>
      <c r="CE1263"/>
    </row>
    <row r="1264" spans="1:83" ht="13.15" customHeight="1" outlineLevel="2" x14ac:dyDescent="0.2">
      <c r="A1264"/>
      <c r="B1264" s="1"/>
      <c r="C1264"/>
      <c r="D1264"/>
      <c r="E1264"/>
      <c r="F1264"/>
      <c r="G1264" s="1"/>
      <c r="H1264" s="1"/>
      <c r="I1264"/>
      <c r="J1264"/>
      <c r="K1264"/>
      <c r="L1264"/>
      <c r="M1264"/>
      <c r="N1264"/>
      <c r="O1264"/>
      <c r="P1264"/>
      <c r="Q1264"/>
      <c r="R1264" s="558" t="s">
        <v>3976</v>
      </c>
      <c r="S1264" s="83"/>
      <c r="T1264" s="56"/>
      <c r="U1264" s="955"/>
      <c r="V1264" s="43" t="str">
        <f t="shared" si="858"/>
        <v>N</v>
      </c>
      <c r="W1264" s="10"/>
      <c r="X1264" s="45" t="s">
        <v>769</v>
      </c>
      <c r="Y1264" s="10"/>
      <c r="Z1264" s="46" t="str">
        <f>Z1245</f>
        <v>F</v>
      </c>
      <c r="AA1264" s="123"/>
      <c r="AB1264" s="1459">
        <f t="shared" si="850"/>
        <v>0</v>
      </c>
      <c r="AC1264" s="1460" t="str">
        <f t="shared" si="851"/>
        <v>-</v>
      </c>
      <c r="AD1264" s="1459">
        <f t="shared" si="852"/>
        <v>0</v>
      </c>
      <c r="AE1264" s="964" t="str">
        <f t="shared" si="853"/>
        <v/>
      </c>
      <c r="AF1264" s="964" t="str">
        <f t="shared" si="854"/>
        <v/>
      </c>
      <c r="AG1264" s="964" t="str">
        <f t="shared" si="855"/>
        <v/>
      </c>
      <c r="AH1264" s="964" t="str">
        <f t="shared" si="856"/>
        <v/>
      </c>
      <c r="AI1264" s="964" t="str">
        <f t="shared" si="857"/>
        <v/>
      </c>
      <c r="AJ1264" s="964"/>
      <c r="AK1264" s="9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s="1396"/>
      <c r="CB1264" s="1396"/>
      <c r="CC1264"/>
      <c r="CD1264"/>
      <c r="CE1264"/>
    </row>
    <row r="1265" spans="1:83" ht="13.15" customHeight="1" outlineLevel="2" x14ac:dyDescent="0.2">
      <c r="A1265"/>
      <c r="B1265" s="1"/>
      <c r="C1265"/>
      <c r="D1265"/>
      <c r="E1265"/>
      <c r="F1265"/>
      <c r="G1265" s="1"/>
      <c r="H1265" s="1"/>
      <c r="I1265"/>
      <c r="J1265"/>
      <c r="K1265"/>
      <c r="L1265"/>
      <c r="M1265"/>
      <c r="N1265"/>
      <c r="O1265"/>
      <c r="P1265"/>
      <c r="Q1265"/>
      <c r="R1265" s="558" t="s">
        <v>3976</v>
      </c>
      <c r="S1265" s="83"/>
      <c r="T1265" s="56"/>
      <c r="U1265" s="955"/>
      <c r="V1265" s="43" t="str">
        <f t="shared" si="858"/>
        <v>P</v>
      </c>
      <c r="W1265" s="10"/>
      <c r="X1265" s="45" t="s">
        <v>769</v>
      </c>
      <c r="Y1265" s="10"/>
      <c r="Z1265" s="46" t="str">
        <f>V1255</f>
        <v>D</v>
      </c>
      <c r="AA1265" s="123"/>
      <c r="AB1265" s="1459">
        <f t="shared" si="850"/>
        <v>0</v>
      </c>
      <c r="AC1265" s="1460" t="str">
        <f t="shared" si="851"/>
        <v>-</v>
      </c>
      <c r="AD1265" s="1459">
        <f t="shared" si="852"/>
        <v>0</v>
      </c>
      <c r="AE1265" s="964" t="str">
        <f t="shared" si="853"/>
        <v/>
      </c>
      <c r="AF1265" s="964" t="str">
        <f t="shared" si="854"/>
        <v/>
      </c>
      <c r="AG1265" s="964" t="str">
        <f t="shared" si="855"/>
        <v/>
      </c>
      <c r="AH1265" s="964" t="str">
        <f t="shared" si="856"/>
        <v/>
      </c>
      <c r="AI1265" s="964" t="str">
        <f t="shared" si="857"/>
        <v/>
      </c>
      <c r="AJ1265" s="964"/>
      <c r="AK1265" s="964"/>
      <c r="AL1265"/>
      <c r="AM1265"/>
      <c r="AN1265"/>
      <c r="AO1265"/>
      <c r="AP1265"/>
      <c r="AQ1265"/>
      <c r="AR1265"/>
      <c r="AS1265"/>
      <c r="AT1265"/>
      <c r="AU1265"/>
      <c r="AV1265"/>
      <c r="AW1265" s="9"/>
      <c r="AX1265" s="9"/>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s="1396"/>
      <c r="CB1265" s="1396"/>
      <c r="CC1265"/>
      <c r="CD1265"/>
      <c r="CE1265"/>
    </row>
    <row r="1266" spans="1:83" ht="13.15" customHeight="1" outlineLevel="2" x14ac:dyDescent="0.2">
      <c r="A1266"/>
      <c r="B1266" s="1"/>
      <c r="C1266"/>
      <c r="D1266"/>
      <c r="E1266"/>
      <c r="F1266"/>
      <c r="G1266" s="1"/>
      <c r="H1266" s="1"/>
      <c r="I1266"/>
      <c r="J1266"/>
      <c r="K1266"/>
      <c r="L1266"/>
      <c r="M1266"/>
      <c r="N1266"/>
      <c r="O1266"/>
      <c r="P1266"/>
      <c r="Q1266"/>
      <c r="R1266" s="558" t="s">
        <v>3976</v>
      </c>
      <c r="S1266" s="83"/>
      <c r="T1266" s="56"/>
      <c r="U1266" s="955"/>
      <c r="V1266" s="43" t="str">
        <f t="shared" si="858"/>
        <v>Q</v>
      </c>
      <c r="W1266" s="10"/>
      <c r="X1266" s="45" t="s">
        <v>769</v>
      </c>
      <c r="Y1266" s="10"/>
      <c r="Z1266" s="46" t="str">
        <f>V1257</f>
        <v>C</v>
      </c>
      <c r="AA1266" s="123"/>
      <c r="AB1266" s="1459">
        <f t="shared" si="850"/>
        <v>0</v>
      </c>
      <c r="AC1266" s="1460" t="str">
        <f t="shared" si="851"/>
        <v>-</v>
      </c>
      <c r="AD1266" s="1459">
        <f t="shared" si="852"/>
        <v>0</v>
      </c>
      <c r="AE1266" s="964" t="str">
        <f t="shared" si="853"/>
        <v/>
      </c>
      <c r="AF1266" s="964" t="str">
        <f t="shared" si="854"/>
        <v/>
      </c>
      <c r="AG1266" s="964" t="str">
        <f t="shared" si="855"/>
        <v/>
      </c>
      <c r="AH1266" s="964" t="str">
        <f t="shared" si="856"/>
        <v/>
      </c>
      <c r="AI1266" s="964" t="str">
        <f t="shared" si="857"/>
        <v/>
      </c>
      <c r="AJ1266" s="964"/>
      <c r="AK1266" s="964"/>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s="1396"/>
      <c r="CB1266" s="1396"/>
      <c r="CC1266"/>
      <c r="CD1266"/>
      <c r="CE1266"/>
    </row>
    <row r="1267" spans="1:83" ht="13.15" customHeight="1" outlineLevel="2" x14ac:dyDescent="0.2">
      <c r="A1267"/>
      <c r="B1267" s="1"/>
      <c r="C1267"/>
      <c r="D1267"/>
      <c r="E1267"/>
      <c r="F1267"/>
      <c r="G1267" s="1"/>
      <c r="H1267" s="1"/>
      <c r="I1267"/>
      <c r="J1267"/>
      <c r="K1267"/>
      <c r="L1267"/>
      <c r="M1267"/>
      <c r="N1267"/>
      <c r="O1267"/>
      <c r="P1267"/>
      <c r="Q1267"/>
      <c r="R1267" s="558" t="s">
        <v>3976</v>
      </c>
      <c r="S1267" s="83"/>
      <c r="T1267" s="56"/>
      <c r="U1267" s="955"/>
      <c r="V1267" s="43" t="str">
        <f t="shared" si="858"/>
        <v>O</v>
      </c>
      <c r="W1267" s="10"/>
      <c r="X1267" s="45" t="s">
        <v>769</v>
      </c>
      <c r="Y1267" s="10"/>
      <c r="Z1267" s="46" t="str">
        <f>V1258</f>
        <v>E</v>
      </c>
      <c r="AA1267" s="123"/>
      <c r="AB1267" s="1459">
        <f t="shared" si="850"/>
        <v>0</v>
      </c>
      <c r="AC1267" s="1460" t="str">
        <f t="shared" si="851"/>
        <v>-</v>
      </c>
      <c r="AD1267" s="1459">
        <f t="shared" si="852"/>
        <v>0</v>
      </c>
      <c r="AE1267" s="964" t="str">
        <f t="shared" si="853"/>
        <v/>
      </c>
      <c r="AF1267" s="964" t="str">
        <f t="shared" si="854"/>
        <v/>
      </c>
      <c r="AG1267" s="964" t="str">
        <f t="shared" si="855"/>
        <v/>
      </c>
      <c r="AH1267" s="964" t="str">
        <f t="shared" si="856"/>
        <v/>
      </c>
      <c r="AI1267" s="964" t="str">
        <f t="shared" si="857"/>
        <v/>
      </c>
      <c r="AJ1267" s="964"/>
      <c r="AK1267" s="964"/>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s="1396"/>
      <c r="CB1267" s="1396"/>
      <c r="CC1267"/>
      <c r="CD1267"/>
      <c r="CE1267"/>
    </row>
    <row r="1268" spans="1:83" ht="13.15" customHeight="1" outlineLevel="2" x14ac:dyDescent="0.2">
      <c r="A1268"/>
      <c r="B1268" s="1"/>
      <c r="C1268"/>
      <c r="D1268"/>
      <c r="E1268"/>
      <c r="F1268"/>
      <c r="G1268" s="1"/>
      <c r="H1268" s="1"/>
      <c r="I1268"/>
      <c r="J1268"/>
      <c r="K1268"/>
      <c r="L1268"/>
      <c r="M1268"/>
      <c r="N1268"/>
      <c r="O1268"/>
      <c r="P1268"/>
      <c r="Q1268"/>
      <c r="R1268" s="558" t="s">
        <v>3976</v>
      </c>
      <c r="S1268" s="83"/>
      <c r="T1268" s="56"/>
      <c r="U1268" s="955"/>
      <c r="V1268" s="43" t="str">
        <f t="shared" si="858"/>
        <v>M</v>
      </c>
      <c r="W1268" s="10"/>
      <c r="X1268" s="45" t="s">
        <v>769</v>
      </c>
      <c r="Y1268" s="10"/>
      <c r="Z1268" s="46" t="str">
        <f>V1259</f>
        <v>G</v>
      </c>
      <c r="AA1268" s="123"/>
      <c r="AB1268" s="1459">
        <f t="shared" si="850"/>
        <v>0</v>
      </c>
      <c r="AC1268" s="1460" t="str">
        <f t="shared" si="851"/>
        <v>-</v>
      </c>
      <c r="AD1268" s="1459">
        <f t="shared" si="852"/>
        <v>0</v>
      </c>
      <c r="AE1268" s="964" t="str">
        <f t="shared" si="853"/>
        <v/>
      </c>
      <c r="AF1268" s="964" t="str">
        <f t="shared" si="854"/>
        <v/>
      </c>
      <c r="AG1268" s="964" t="str">
        <f t="shared" si="855"/>
        <v/>
      </c>
      <c r="AH1268" s="964" t="str">
        <f t="shared" si="856"/>
        <v/>
      </c>
      <c r="AI1268" s="964" t="str">
        <f t="shared" si="857"/>
        <v/>
      </c>
      <c r="AJ1268" s="964"/>
      <c r="AK1268" s="964"/>
      <c r="AL1268"/>
      <c r="AM1268"/>
      <c r="AN1268"/>
      <c r="AO1268"/>
      <c r="AP1268"/>
      <c r="AQ1268"/>
      <c r="AR1268"/>
      <c r="AS1268"/>
      <c r="AT1268"/>
      <c r="AU1268"/>
      <c r="AV1268"/>
      <c r="AW1268"/>
      <c r="AX1268" s="9"/>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s="1396"/>
      <c r="CB1268" s="1396"/>
      <c r="CC1268"/>
      <c r="CD1268"/>
      <c r="CE1268"/>
    </row>
    <row r="1269" spans="1:83" ht="13.9" customHeight="1" outlineLevel="2" thickBot="1" x14ac:dyDescent="0.25">
      <c r="A1269"/>
      <c r="B1269" s="1"/>
      <c r="C1269"/>
      <c r="D1269"/>
      <c r="E1269"/>
      <c r="F1269"/>
      <c r="G1269" s="1"/>
      <c r="H1269" s="1"/>
      <c r="I1269"/>
      <c r="J1269"/>
      <c r="K1269"/>
      <c r="L1269"/>
      <c r="M1269"/>
      <c r="N1269"/>
      <c r="O1269"/>
      <c r="P1269"/>
      <c r="Q1269"/>
      <c r="R1269" s="558" t="s">
        <v>3976</v>
      </c>
      <c r="S1269" s="956"/>
      <c r="T1269" s="58"/>
      <c r="U1269" s="957"/>
      <c r="V1269" s="43" t="str">
        <f t="shared" si="858"/>
        <v>K</v>
      </c>
      <c r="W1269" s="10"/>
      <c r="X1269" s="45" t="s">
        <v>769</v>
      </c>
      <c r="Y1269" s="10"/>
      <c r="Z1269" s="46" t="str">
        <f>Z1259</f>
        <v>I</v>
      </c>
      <c r="AA1269" s="123"/>
      <c r="AB1269" s="1459">
        <f t="shared" si="850"/>
        <v>0</v>
      </c>
      <c r="AC1269" s="1460" t="str">
        <f t="shared" si="851"/>
        <v>-</v>
      </c>
      <c r="AD1269" s="1459">
        <f t="shared" si="852"/>
        <v>0</v>
      </c>
      <c r="AE1269" s="964" t="str">
        <f t="shared" si="853"/>
        <v/>
      </c>
      <c r="AF1269" s="964" t="str">
        <f t="shared" si="854"/>
        <v/>
      </c>
      <c r="AG1269" s="964" t="str">
        <f t="shared" si="855"/>
        <v/>
      </c>
      <c r="AH1269" s="964" t="str">
        <f t="shared" si="856"/>
        <v/>
      </c>
      <c r="AI1269" s="964" t="str">
        <f t="shared" si="857"/>
        <v/>
      </c>
      <c r="AJ1269" s="964"/>
      <c r="AK1269" s="964"/>
      <c r="AL1269"/>
      <c r="AM1269"/>
      <c r="AN1269"/>
      <c r="AO1269"/>
      <c r="AP1269"/>
      <c r="AQ1269"/>
      <c r="AR1269"/>
      <c r="AS1269"/>
      <c r="AT1269"/>
      <c r="AU1269"/>
      <c r="AV1269"/>
      <c r="AW1269" s="9"/>
      <c r="AX1269" s="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s="1396"/>
      <c r="CB1269" s="1396"/>
      <c r="CC1269"/>
      <c r="CD1269"/>
      <c r="CE1269"/>
    </row>
    <row r="1270" spans="1:83" ht="13.5" outlineLevel="1" thickBot="1" x14ac:dyDescent="0.25">
      <c r="A1270"/>
      <c r="B1270" s="1"/>
      <c r="C1270" s="1"/>
      <c r="D1270" s="76"/>
      <c r="E1270" s="76"/>
      <c r="F1270" s="76"/>
      <c r="G1270" s="9"/>
      <c r="H1270" s="9"/>
      <c r="I1270" s="1"/>
      <c r="J1270"/>
      <c r="K1270"/>
      <c r="L1270"/>
      <c r="M1270"/>
      <c r="N1270"/>
      <c r="O1270"/>
      <c r="P1270" s="89"/>
      <c r="Q1270"/>
      <c r="R1270" s="1"/>
      <c r="S1270" s="993">
        <f>S1260+1</f>
        <v>15</v>
      </c>
      <c r="T1270" s="961"/>
      <c r="U1270" s="961"/>
      <c r="V1270" s="961"/>
      <c r="W1270" s="960"/>
      <c r="X1270" s="960"/>
      <c r="Y1270" s="960"/>
      <c r="Z1270" s="962"/>
      <c r="AA1270" s="123"/>
      <c r="AB1270" s="963"/>
      <c r="AC1270" s="963"/>
      <c r="AD1270" s="963"/>
      <c r="AE1270" s="964"/>
      <c r="AF1270" s="964"/>
      <c r="AG1270" s="964"/>
      <c r="AH1270" s="964"/>
      <c r="AI1270" s="964"/>
      <c r="AJ1270" s="964"/>
      <c r="AK1270" s="964"/>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s="1396"/>
      <c r="CB1270" s="1396"/>
      <c r="CC1270"/>
      <c r="CD1270"/>
      <c r="CE1270"/>
    </row>
    <row r="1271" spans="1:83" ht="13.9" customHeight="1" outlineLevel="2" thickBot="1" x14ac:dyDescent="0.25">
      <c r="A1271"/>
      <c r="B1271" s="1"/>
      <c r="C1271"/>
      <c r="D1271"/>
      <c r="E1271"/>
      <c r="F1271"/>
      <c r="G1271" s="1"/>
      <c r="H1271" s="1"/>
      <c r="I1271"/>
      <c r="J1271"/>
      <c r="K1271"/>
      <c r="L1271"/>
      <c r="M1271"/>
      <c r="N1271"/>
      <c r="O1271"/>
      <c r="P1271"/>
      <c r="Q1271"/>
      <c r="S1271" s="22" t="str">
        <f>N_Heure</f>
        <v>Heure</v>
      </c>
      <c r="T1271" s="22" t="str">
        <f>N_Table</f>
        <v>Table</v>
      </c>
      <c r="U1271" s="22" t="str">
        <f>N_Arbitre</f>
        <v>Arbitre</v>
      </c>
      <c r="V1271" s="293" t="str">
        <f>N_Matches</f>
        <v>Matches</v>
      </c>
      <c r="W1271" s="294"/>
      <c r="X1271" s="294"/>
      <c r="Y1271" s="294"/>
      <c r="Z1271" s="295"/>
      <c r="AA1271" s="8"/>
      <c r="AB1271" s="967"/>
      <c r="AC1271" s="967"/>
      <c r="AD1271" s="967"/>
      <c r="AE1271" s="964"/>
      <c r="AF1271" s="964"/>
      <c r="AG1271" s="964"/>
      <c r="AH1271" s="964"/>
      <c r="AI1271" s="964"/>
      <c r="AJ1271" s="964"/>
      <c r="AK1271" s="964"/>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s="1396"/>
      <c r="CB1271" s="1396"/>
      <c r="CC1271"/>
      <c r="CD1271"/>
      <c r="CE1271"/>
    </row>
    <row r="1272" spans="1:83" ht="13.15" customHeight="1" outlineLevel="2" x14ac:dyDescent="0.2">
      <c r="A1272"/>
      <c r="B1272" s="1"/>
      <c r="C1272"/>
      <c r="D1272"/>
      <c r="E1272"/>
      <c r="F1272"/>
      <c r="G1272" s="1"/>
      <c r="H1272" s="1"/>
      <c r="I1272"/>
      <c r="J1272"/>
      <c r="K1272"/>
      <c r="L1272"/>
      <c r="M1272"/>
      <c r="N1272"/>
      <c r="O1272"/>
      <c r="P1272"/>
      <c r="Q1272"/>
      <c r="R1272" s="558" t="s">
        <v>3977</v>
      </c>
      <c r="S1272" s="65"/>
      <c r="T1272" s="953"/>
      <c r="U1272" s="954"/>
      <c r="V1272" s="34" t="str">
        <f>Z1262</f>
        <v>A</v>
      </c>
      <c r="W1272" s="148"/>
      <c r="X1272" s="35" t="s">
        <v>769</v>
      </c>
      <c r="Y1272" s="148"/>
      <c r="Z1272" s="36" t="str">
        <f>Z1263</f>
        <v>H</v>
      </c>
      <c r="AA1272" s="123"/>
      <c r="AB1272" s="1459">
        <f t="shared" ref="AB1272:AB1279" si="859">IF(MaxScore,MaxGoals(W1272,Y1272,MaxGoalsValue),IF(W1272="","",W1272))</f>
        <v>0</v>
      </c>
      <c r="AC1272" s="1460" t="str">
        <f t="shared" ref="AC1272:AC1279" si="860">IF(MaxScore,"-",IF(W1272="","","-"))</f>
        <v>-</v>
      </c>
      <c r="AD1272" s="1459">
        <f t="shared" ref="AD1272:AD1279" si="861">IF(MaxScore,MaxGoals(Y1272,W1272,MaxGoalsValue),IF(Y1272="","",Y1272))</f>
        <v>0</v>
      </c>
      <c r="AE1272" s="964" t="str">
        <f t="shared" ref="AE1272:AE1279" si="862">IF(W1272="","",IF(W1272&gt;Y1272,V1272,IF(W1272=Y1272,"",Z1272)))</f>
        <v/>
      </c>
      <c r="AF1272" s="964" t="str">
        <f t="shared" ref="AF1272:AF1279" si="863">IF(W1272="","",IF(W1272=Y1272,V1272,""))</f>
        <v/>
      </c>
      <c r="AG1272" s="964" t="str">
        <f t="shared" ref="AG1272:AG1279" si="864">IF(W1272="","",IF(W1272=Y1272,Z1272,""))</f>
        <v/>
      </c>
      <c r="AH1272" s="964" t="str">
        <f t="shared" ref="AH1272:AH1279" si="865">IF(W1272="","",IF(W1272&lt;Y1272,V1272,IF(W1272=Y1272,"",Z1272)))</f>
        <v/>
      </c>
      <c r="AI1272" s="964" t="str">
        <f t="shared" ref="AI1272:AI1279" si="866">CONCATENATE(AE1272,AH1272)</f>
        <v/>
      </c>
      <c r="AJ1272" s="964"/>
      <c r="AK1272" s="964"/>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s="1396"/>
      <c r="CB1272" s="1396"/>
      <c r="CC1272"/>
      <c r="CD1272"/>
      <c r="CE1272"/>
    </row>
    <row r="1273" spans="1:83" ht="13.15" customHeight="1" outlineLevel="2" x14ac:dyDescent="0.2">
      <c r="A1273"/>
      <c r="B1273" s="1"/>
      <c r="C1273"/>
      <c r="D1273"/>
      <c r="E1273"/>
      <c r="F1273"/>
      <c r="G1273" s="1"/>
      <c r="H1273" s="1"/>
      <c r="I1273"/>
      <c r="J1273"/>
      <c r="K1273"/>
      <c r="L1273"/>
      <c r="M1273"/>
      <c r="N1273"/>
      <c r="O1273"/>
      <c r="P1273"/>
      <c r="Q1273"/>
      <c r="R1273" s="558" t="s">
        <v>3977</v>
      </c>
      <c r="S1273" s="83"/>
      <c r="T1273" s="56"/>
      <c r="U1273" s="955"/>
      <c r="V1273" s="43" t="str">
        <f>Z1264</f>
        <v>F</v>
      </c>
      <c r="W1273" s="10"/>
      <c r="X1273" s="45" t="s">
        <v>769</v>
      </c>
      <c r="Y1273" s="10"/>
      <c r="Z1273" s="46" t="str">
        <f t="shared" ref="Z1273:Z1279" si="867">V1262</f>
        <v>J</v>
      </c>
      <c r="AA1273" s="123"/>
      <c r="AB1273" s="1459">
        <f t="shared" si="859"/>
        <v>0</v>
      </c>
      <c r="AC1273" s="1460" t="str">
        <f t="shared" si="860"/>
        <v>-</v>
      </c>
      <c r="AD1273" s="1459">
        <f t="shared" si="861"/>
        <v>0</v>
      </c>
      <c r="AE1273" s="964" t="str">
        <f t="shared" si="862"/>
        <v/>
      </c>
      <c r="AF1273" s="964" t="str">
        <f t="shared" si="863"/>
        <v/>
      </c>
      <c r="AG1273" s="964" t="str">
        <f t="shared" si="864"/>
        <v/>
      </c>
      <c r="AH1273" s="964" t="str">
        <f t="shared" si="865"/>
        <v/>
      </c>
      <c r="AI1273" s="964" t="str">
        <f t="shared" si="866"/>
        <v/>
      </c>
      <c r="AJ1273" s="964"/>
      <c r="AK1273" s="964"/>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s="1396"/>
      <c r="CB1273" s="1396"/>
      <c r="CC1273"/>
      <c r="CD1273"/>
      <c r="CE1273"/>
    </row>
    <row r="1274" spans="1:83" ht="13.15" customHeight="1" outlineLevel="2" x14ac:dyDescent="0.2">
      <c r="A1274"/>
      <c r="B1274" s="1"/>
      <c r="C1274"/>
      <c r="D1274"/>
      <c r="E1274"/>
      <c r="F1274"/>
      <c r="G1274" s="1"/>
      <c r="H1274" s="1"/>
      <c r="I1274"/>
      <c r="J1274"/>
      <c r="K1274"/>
      <c r="L1274"/>
      <c r="M1274"/>
      <c r="N1274"/>
      <c r="O1274"/>
      <c r="P1274"/>
      <c r="Q1274"/>
      <c r="R1274" s="558" t="s">
        <v>3977</v>
      </c>
      <c r="S1274" s="83"/>
      <c r="T1274" s="56"/>
      <c r="U1274" s="955"/>
      <c r="V1274" s="43" t="str">
        <f>Z1265</f>
        <v>D</v>
      </c>
      <c r="W1274" s="10"/>
      <c r="X1274" s="45" t="s">
        <v>769</v>
      </c>
      <c r="Y1274" s="10"/>
      <c r="Z1274" s="46" t="str">
        <f t="shared" si="867"/>
        <v>L</v>
      </c>
      <c r="AA1274" s="123"/>
      <c r="AB1274" s="1459">
        <f t="shared" si="859"/>
        <v>0</v>
      </c>
      <c r="AC1274" s="1460" t="str">
        <f t="shared" si="860"/>
        <v>-</v>
      </c>
      <c r="AD1274" s="1459">
        <f t="shared" si="861"/>
        <v>0</v>
      </c>
      <c r="AE1274" s="964" t="str">
        <f t="shared" si="862"/>
        <v/>
      </c>
      <c r="AF1274" s="964" t="str">
        <f t="shared" si="863"/>
        <v/>
      </c>
      <c r="AG1274" s="964" t="str">
        <f t="shared" si="864"/>
        <v/>
      </c>
      <c r="AH1274" s="964" t="str">
        <f t="shared" si="865"/>
        <v/>
      </c>
      <c r="AI1274" s="964" t="str">
        <f t="shared" si="866"/>
        <v/>
      </c>
      <c r="AJ1274" s="964"/>
      <c r="AK1274" s="96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s="1396"/>
      <c r="CB1274" s="1396"/>
      <c r="CC1274"/>
      <c r="CD1274"/>
      <c r="CE1274"/>
    </row>
    <row r="1275" spans="1:83" ht="13.15" customHeight="1" outlineLevel="2" x14ac:dyDescent="0.2">
      <c r="A1275"/>
      <c r="B1275" s="1"/>
      <c r="C1275"/>
      <c r="D1275"/>
      <c r="E1275"/>
      <c r="F1275"/>
      <c r="G1275" s="1"/>
      <c r="H1275" s="1"/>
      <c r="I1275"/>
      <c r="J1275"/>
      <c r="K1275"/>
      <c r="L1275"/>
      <c r="M1275"/>
      <c r="N1275"/>
      <c r="O1275"/>
      <c r="P1275"/>
      <c r="Q1275"/>
      <c r="R1275" s="558" t="s">
        <v>3977</v>
      </c>
      <c r="S1275" s="83"/>
      <c r="T1275" s="56"/>
      <c r="U1275" s="955"/>
      <c r="V1275" s="43" t="str">
        <f>V1256</f>
        <v>B</v>
      </c>
      <c r="W1275" s="10"/>
      <c r="X1275" s="45" t="s">
        <v>769</v>
      </c>
      <c r="Y1275" s="10"/>
      <c r="Z1275" s="46" t="str">
        <f t="shared" si="867"/>
        <v>N</v>
      </c>
      <c r="AA1275" s="123"/>
      <c r="AB1275" s="1459">
        <f t="shared" si="859"/>
        <v>0</v>
      </c>
      <c r="AC1275" s="1460" t="str">
        <f t="shared" si="860"/>
        <v>-</v>
      </c>
      <c r="AD1275" s="1459">
        <f t="shared" si="861"/>
        <v>0</v>
      </c>
      <c r="AE1275" s="964" t="str">
        <f t="shared" si="862"/>
        <v/>
      </c>
      <c r="AF1275" s="964" t="str">
        <f t="shared" si="863"/>
        <v/>
      </c>
      <c r="AG1275" s="964" t="str">
        <f t="shared" si="864"/>
        <v/>
      </c>
      <c r="AH1275" s="964" t="str">
        <f t="shared" si="865"/>
        <v/>
      </c>
      <c r="AI1275" s="964" t="str">
        <f t="shared" si="866"/>
        <v/>
      </c>
      <c r="AJ1275" s="964"/>
      <c r="AK1275" s="964"/>
      <c r="AL1275"/>
      <c r="AM1275"/>
      <c r="AN1275"/>
      <c r="AO1275"/>
      <c r="AP1275"/>
      <c r="AQ1275"/>
      <c r="AR1275"/>
      <c r="AS1275"/>
      <c r="AT1275"/>
      <c r="AU1275"/>
      <c r="AV1275"/>
      <c r="AW1275"/>
      <c r="AX1275" s="9"/>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s="1396"/>
      <c r="CB1275" s="1396"/>
      <c r="CC1275"/>
      <c r="CD1275"/>
      <c r="CE1275"/>
    </row>
    <row r="1276" spans="1:83" ht="13.15" customHeight="1" outlineLevel="2" x14ac:dyDescent="0.2">
      <c r="A1276"/>
      <c r="B1276" s="1"/>
      <c r="C1276"/>
      <c r="D1276"/>
      <c r="E1276"/>
      <c r="F1276"/>
      <c r="G1276" s="1"/>
      <c r="H1276" s="1"/>
      <c r="I1276"/>
      <c r="J1276"/>
      <c r="K1276"/>
      <c r="L1276"/>
      <c r="M1276"/>
      <c r="N1276"/>
      <c r="O1276"/>
      <c r="P1276"/>
      <c r="Q1276"/>
      <c r="R1276" s="558" t="s">
        <v>3977</v>
      </c>
      <c r="S1276" s="83"/>
      <c r="T1276" s="56"/>
      <c r="U1276" s="955"/>
      <c r="V1276" s="43" t="str">
        <f>Z1266</f>
        <v>C</v>
      </c>
      <c r="W1276" s="10"/>
      <c r="X1276" s="45" t="s">
        <v>769</v>
      </c>
      <c r="Y1276" s="10"/>
      <c r="Z1276" s="46" t="str">
        <f t="shared" si="867"/>
        <v>P</v>
      </c>
      <c r="AA1276" s="123"/>
      <c r="AB1276" s="1459">
        <f t="shared" si="859"/>
        <v>0</v>
      </c>
      <c r="AC1276" s="1460" t="str">
        <f t="shared" si="860"/>
        <v>-</v>
      </c>
      <c r="AD1276" s="1459">
        <f t="shared" si="861"/>
        <v>0</v>
      </c>
      <c r="AE1276" s="964" t="str">
        <f t="shared" si="862"/>
        <v/>
      </c>
      <c r="AF1276" s="964" t="str">
        <f t="shared" si="863"/>
        <v/>
      </c>
      <c r="AG1276" s="964" t="str">
        <f t="shared" si="864"/>
        <v/>
      </c>
      <c r="AH1276" s="964" t="str">
        <f t="shared" si="865"/>
        <v/>
      </c>
      <c r="AI1276" s="964" t="str">
        <f t="shared" si="866"/>
        <v/>
      </c>
      <c r="AJ1276" s="964"/>
      <c r="AK1276" s="964"/>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s="1396"/>
      <c r="CB1276" s="1396"/>
      <c r="CC1276"/>
      <c r="CD1276"/>
      <c r="CE1276"/>
    </row>
    <row r="1277" spans="1:83" ht="13.15" customHeight="1" outlineLevel="2" x14ac:dyDescent="0.2">
      <c r="A1277"/>
      <c r="B1277" s="1"/>
      <c r="C1277"/>
      <c r="D1277"/>
      <c r="E1277"/>
      <c r="F1277"/>
      <c r="G1277" s="1"/>
      <c r="H1277" s="1"/>
      <c r="I1277"/>
      <c r="J1277"/>
      <c r="K1277"/>
      <c r="L1277"/>
      <c r="M1277"/>
      <c r="N1277"/>
      <c r="O1277"/>
      <c r="P1277"/>
      <c r="Q1277"/>
      <c r="R1277" s="558" t="s">
        <v>3977</v>
      </c>
      <c r="S1277" s="83"/>
      <c r="T1277" s="56"/>
      <c r="U1277" s="955"/>
      <c r="V1277" s="43" t="str">
        <f>Z1268</f>
        <v>G</v>
      </c>
      <c r="W1277" s="10"/>
      <c r="X1277" s="45" t="s">
        <v>769</v>
      </c>
      <c r="Y1277" s="10"/>
      <c r="Z1277" s="46" t="str">
        <f t="shared" si="867"/>
        <v>Q</v>
      </c>
      <c r="AA1277" s="123"/>
      <c r="AB1277" s="1459">
        <f t="shared" si="859"/>
        <v>0</v>
      </c>
      <c r="AC1277" s="1460" t="str">
        <f t="shared" si="860"/>
        <v>-</v>
      </c>
      <c r="AD1277" s="1459">
        <f t="shared" si="861"/>
        <v>0</v>
      </c>
      <c r="AE1277" s="964" t="str">
        <f t="shared" si="862"/>
        <v/>
      </c>
      <c r="AF1277" s="964" t="str">
        <f t="shared" si="863"/>
        <v/>
      </c>
      <c r="AG1277" s="964" t="str">
        <f t="shared" si="864"/>
        <v/>
      </c>
      <c r="AH1277" s="964" t="str">
        <f t="shared" si="865"/>
        <v/>
      </c>
      <c r="AI1277" s="964" t="str">
        <f t="shared" si="866"/>
        <v/>
      </c>
      <c r="AJ1277" s="964"/>
      <c r="AK1277" s="964"/>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s="1396"/>
      <c r="CB1277" s="1396"/>
      <c r="CC1277"/>
      <c r="CD1277"/>
      <c r="CE1277"/>
    </row>
    <row r="1278" spans="1:83" ht="13.15" customHeight="1" outlineLevel="2" x14ac:dyDescent="0.2">
      <c r="A1278"/>
      <c r="B1278" s="1"/>
      <c r="C1278"/>
      <c r="D1278"/>
      <c r="E1278"/>
      <c r="F1278"/>
      <c r="G1278" s="1"/>
      <c r="H1278" s="1"/>
      <c r="I1278"/>
      <c r="J1278"/>
      <c r="K1278"/>
      <c r="L1278"/>
      <c r="M1278"/>
      <c r="N1278"/>
      <c r="O1278"/>
      <c r="P1278"/>
      <c r="Q1278"/>
      <c r="R1278" s="558" t="s">
        <v>3977</v>
      </c>
      <c r="S1278" s="83"/>
      <c r="T1278" s="56"/>
      <c r="U1278" s="955"/>
      <c r="V1278" s="43" t="str">
        <f>Z1269</f>
        <v>I</v>
      </c>
      <c r="W1278" s="10"/>
      <c r="X1278" s="45" t="s">
        <v>769</v>
      </c>
      <c r="Y1278" s="10"/>
      <c r="Z1278" s="46" t="str">
        <f t="shared" si="867"/>
        <v>O</v>
      </c>
      <c r="AA1278" s="123"/>
      <c r="AB1278" s="1459">
        <f t="shared" si="859"/>
        <v>0</v>
      </c>
      <c r="AC1278" s="1460" t="str">
        <f t="shared" si="860"/>
        <v>-</v>
      </c>
      <c r="AD1278" s="1459">
        <f t="shared" si="861"/>
        <v>0</v>
      </c>
      <c r="AE1278" s="964" t="str">
        <f t="shared" si="862"/>
        <v/>
      </c>
      <c r="AF1278" s="964" t="str">
        <f t="shared" si="863"/>
        <v/>
      </c>
      <c r="AG1278" s="964" t="str">
        <f t="shared" si="864"/>
        <v/>
      </c>
      <c r="AH1278" s="964" t="str">
        <f t="shared" si="865"/>
        <v/>
      </c>
      <c r="AI1278" s="964" t="str">
        <f t="shared" si="866"/>
        <v/>
      </c>
      <c r="AJ1278" s="964"/>
      <c r="AK1278" s="964"/>
      <c r="AL1278"/>
      <c r="AM1278"/>
      <c r="AN1278"/>
      <c r="AO1278"/>
      <c r="AP1278"/>
      <c r="AQ1278"/>
      <c r="AR1278"/>
      <c r="AS1278"/>
      <c r="AT1278"/>
      <c r="AU1278"/>
      <c r="AV1278"/>
      <c r="AW1278"/>
      <c r="AX1278" s="9"/>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s="1396"/>
      <c r="CB1278" s="1396"/>
      <c r="CC1278"/>
      <c r="CD1278"/>
      <c r="CE1278"/>
    </row>
    <row r="1279" spans="1:83" ht="13.9" customHeight="1" outlineLevel="2" thickBot="1" x14ac:dyDescent="0.25">
      <c r="A1279"/>
      <c r="B1279" s="1"/>
      <c r="C1279"/>
      <c r="D1279"/>
      <c r="E1279"/>
      <c r="F1279"/>
      <c r="G1279" s="1"/>
      <c r="H1279" s="1"/>
      <c r="I1279"/>
      <c r="J1279"/>
      <c r="K1279"/>
      <c r="L1279"/>
      <c r="M1279"/>
      <c r="N1279"/>
      <c r="O1279"/>
      <c r="P1279"/>
      <c r="Q1279"/>
      <c r="R1279" s="558" t="s">
        <v>3977</v>
      </c>
      <c r="S1279" s="956"/>
      <c r="T1279" s="58"/>
      <c r="U1279" s="957"/>
      <c r="V1279" s="958" t="str">
        <f>V1269</f>
        <v>K</v>
      </c>
      <c r="W1279" s="10"/>
      <c r="X1279" s="45" t="s">
        <v>769</v>
      </c>
      <c r="Y1279" s="10"/>
      <c r="Z1279" s="46" t="str">
        <f t="shared" si="867"/>
        <v>M</v>
      </c>
      <c r="AA1279" s="123"/>
      <c r="AB1279" s="1459">
        <f t="shared" si="859"/>
        <v>0</v>
      </c>
      <c r="AC1279" s="1460" t="str">
        <f t="shared" si="860"/>
        <v>-</v>
      </c>
      <c r="AD1279" s="1459">
        <f t="shared" si="861"/>
        <v>0</v>
      </c>
      <c r="AE1279" s="964" t="str">
        <f t="shared" si="862"/>
        <v/>
      </c>
      <c r="AF1279" s="964" t="str">
        <f t="shared" si="863"/>
        <v/>
      </c>
      <c r="AG1279" s="964" t="str">
        <f t="shared" si="864"/>
        <v/>
      </c>
      <c r="AH1279" s="964" t="str">
        <f t="shared" si="865"/>
        <v/>
      </c>
      <c r="AI1279" s="964" t="str">
        <f t="shared" si="866"/>
        <v/>
      </c>
      <c r="AJ1279" s="964"/>
      <c r="AK1279" s="964"/>
      <c r="AL1279"/>
      <c r="AM1279"/>
      <c r="AN1279"/>
      <c r="AO1279"/>
      <c r="AP1279"/>
      <c r="AQ1279"/>
      <c r="AR1279"/>
      <c r="AS1279"/>
      <c r="AT1279"/>
      <c r="AU1279"/>
      <c r="AV1279"/>
      <c r="AW1279" s="9"/>
      <c r="AX1279" s="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s="1396"/>
      <c r="CB1279" s="1396"/>
      <c r="CC1279"/>
      <c r="CD1279"/>
      <c r="CE1279"/>
    </row>
    <row r="1280" spans="1:83" ht="13.5" outlineLevel="1" thickBot="1" x14ac:dyDescent="0.25">
      <c r="A1280"/>
      <c r="B1280" s="1"/>
      <c r="C1280" s="1"/>
      <c r="D1280" s="76"/>
      <c r="E1280" s="76"/>
      <c r="F1280" s="76"/>
      <c r="G1280" s="9"/>
      <c r="H1280" s="9"/>
      <c r="I1280" s="1"/>
      <c r="J1280"/>
      <c r="K1280"/>
      <c r="L1280"/>
      <c r="M1280"/>
      <c r="N1280"/>
      <c r="O1280"/>
      <c r="P1280" s="89"/>
      <c r="Q1280"/>
      <c r="R1280" s="1"/>
      <c r="S1280" s="993">
        <f>S1270+1</f>
        <v>16</v>
      </c>
      <c r="T1280" s="961"/>
      <c r="U1280" s="961"/>
      <c r="V1280" s="961"/>
      <c r="W1280" s="960"/>
      <c r="X1280" s="960"/>
      <c r="Y1280" s="960"/>
      <c r="Z1280" s="962"/>
      <c r="AA1280" s="123"/>
      <c r="AB1280" s="963"/>
      <c r="AC1280" s="963"/>
      <c r="AD1280" s="963"/>
      <c r="AE1280" s="964"/>
      <c r="AF1280" s="964"/>
      <c r="AG1280" s="964"/>
      <c r="AH1280" s="964"/>
      <c r="AI1280" s="964"/>
      <c r="AJ1280" s="964"/>
      <c r="AK1280" s="964"/>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s="1396"/>
      <c r="CB1280" s="1396"/>
      <c r="CC1280"/>
      <c r="CD1280"/>
      <c r="CE1280"/>
    </row>
    <row r="1281" spans="1:83" ht="13.9" customHeight="1" outlineLevel="2" thickBot="1" x14ac:dyDescent="0.25">
      <c r="A1281"/>
      <c r="B1281" s="1"/>
      <c r="C1281"/>
      <c r="D1281"/>
      <c r="E1281"/>
      <c r="F1281"/>
      <c r="G1281" s="1"/>
      <c r="H1281" s="1"/>
      <c r="I1281"/>
      <c r="J1281"/>
      <c r="K1281"/>
      <c r="L1281"/>
      <c r="M1281"/>
      <c r="N1281"/>
      <c r="O1281"/>
      <c r="P1281"/>
      <c r="Q1281"/>
      <c r="S1281" s="22" t="str">
        <f>N_Heure</f>
        <v>Heure</v>
      </c>
      <c r="T1281" s="22" t="str">
        <f>N_Table</f>
        <v>Table</v>
      </c>
      <c r="U1281" s="22" t="str">
        <f>N_Arbitre</f>
        <v>Arbitre</v>
      </c>
      <c r="V1281" s="293" t="str">
        <f>N_Matches</f>
        <v>Matches</v>
      </c>
      <c r="W1281" s="294"/>
      <c r="X1281" s="294"/>
      <c r="Y1281" s="294"/>
      <c r="Z1281" s="295"/>
      <c r="AA1281" s="8"/>
      <c r="AB1281" s="967"/>
      <c r="AC1281" s="967"/>
      <c r="AD1281" s="967"/>
      <c r="AE1281" s="964"/>
      <c r="AF1281" s="964"/>
      <c r="AG1281" s="964"/>
      <c r="AH1281" s="964"/>
      <c r="AI1281" s="964"/>
      <c r="AJ1281" s="964"/>
      <c r="AK1281" s="964"/>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s="1396"/>
      <c r="CB1281" s="1396"/>
      <c r="CC1281"/>
      <c r="CD1281"/>
      <c r="CE1281"/>
    </row>
    <row r="1282" spans="1:83" ht="13.15" customHeight="1" outlineLevel="2" x14ac:dyDescent="0.2">
      <c r="A1282"/>
      <c r="B1282" s="1"/>
      <c r="C1282"/>
      <c r="D1282"/>
      <c r="E1282"/>
      <c r="F1282"/>
      <c r="G1282" s="1"/>
      <c r="H1282" s="1"/>
      <c r="I1282"/>
      <c r="J1282"/>
      <c r="K1282"/>
      <c r="L1282"/>
      <c r="M1282"/>
      <c r="N1282"/>
      <c r="O1282"/>
      <c r="P1282"/>
      <c r="Q1282"/>
      <c r="R1282" s="558" t="s">
        <v>3978</v>
      </c>
      <c r="S1282" s="65"/>
      <c r="T1282" s="953"/>
      <c r="U1282" s="954"/>
      <c r="V1282" s="34" t="str">
        <f>V1273</f>
        <v>F</v>
      </c>
      <c r="W1282" s="148"/>
      <c r="X1282" s="35" t="s">
        <v>769</v>
      </c>
      <c r="Y1282" s="148"/>
      <c r="Z1282" s="36" t="str">
        <f>V1272</f>
        <v>A</v>
      </c>
      <c r="AA1282" s="123"/>
      <c r="AB1282" s="1459">
        <f t="shared" ref="AB1282:AB1289" si="868">IF(MaxScore,MaxGoals(W1282,Y1282,MaxGoalsValue),IF(W1282="","",W1282))</f>
        <v>0</v>
      </c>
      <c r="AC1282" s="1460" t="str">
        <f t="shared" ref="AC1282:AC1289" si="869">IF(MaxScore,"-",IF(W1282="","","-"))</f>
        <v>-</v>
      </c>
      <c r="AD1282" s="1459">
        <f t="shared" ref="AD1282:AD1289" si="870">IF(MaxScore,MaxGoals(Y1282,W1282,MaxGoalsValue),IF(Y1282="","",Y1282))</f>
        <v>0</v>
      </c>
      <c r="AE1282" s="964" t="str">
        <f t="shared" ref="AE1282:AE1289" si="871">IF(W1282="","",IF(W1282&gt;Y1282,V1282,IF(W1282=Y1282,"",Z1282)))</f>
        <v/>
      </c>
      <c r="AF1282" s="964" t="str">
        <f t="shared" ref="AF1282:AF1289" si="872">IF(W1282="","",IF(W1282=Y1282,V1282,""))</f>
        <v/>
      </c>
      <c r="AG1282" s="964" t="str">
        <f t="shared" ref="AG1282:AG1289" si="873">IF(W1282="","",IF(W1282=Y1282,Z1282,""))</f>
        <v/>
      </c>
      <c r="AH1282" s="964" t="str">
        <f t="shared" ref="AH1282:AH1289" si="874">IF(W1282="","",IF(W1282&lt;Y1282,V1282,IF(W1282=Y1282,"",Z1282)))</f>
        <v/>
      </c>
      <c r="AI1282" s="964" t="str">
        <f t="shared" ref="AI1282:AI1289" si="875">CONCATENATE(AE1282,AH1282)</f>
        <v/>
      </c>
      <c r="AJ1282" s="964"/>
      <c r="AK1282" s="964"/>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s="1396"/>
      <c r="CB1282" s="1396"/>
      <c r="CC1282"/>
      <c r="CD1282"/>
      <c r="CE1282"/>
    </row>
    <row r="1283" spans="1:83" ht="13.15" customHeight="1" outlineLevel="2" x14ac:dyDescent="0.2">
      <c r="A1283"/>
      <c r="B1283" s="1"/>
      <c r="C1283"/>
      <c r="D1283"/>
      <c r="E1283"/>
      <c r="F1283"/>
      <c r="G1283" s="1"/>
      <c r="H1283" s="1"/>
      <c r="I1283"/>
      <c r="J1283"/>
      <c r="K1283"/>
      <c r="L1283"/>
      <c r="M1283"/>
      <c r="N1283"/>
      <c r="O1283"/>
      <c r="P1283"/>
      <c r="Q1283"/>
      <c r="R1283" s="558" t="s">
        <v>3978</v>
      </c>
      <c r="S1283" s="83"/>
      <c r="T1283" s="56"/>
      <c r="U1283" s="955"/>
      <c r="V1283" s="43" t="str">
        <f t="shared" ref="V1283:V1289" si="876">Z1272</f>
        <v>H</v>
      </c>
      <c r="W1283" s="10"/>
      <c r="X1283" s="45" t="s">
        <v>769</v>
      </c>
      <c r="Y1283" s="10"/>
      <c r="Z1283" s="46" t="str">
        <f>V1274</f>
        <v>D</v>
      </c>
      <c r="AA1283" s="123"/>
      <c r="AB1283" s="1459">
        <f t="shared" si="868"/>
        <v>0</v>
      </c>
      <c r="AC1283" s="1460" t="str">
        <f t="shared" si="869"/>
        <v>-</v>
      </c>
      <c r="AD1283" s="1459">
        <f t="shared" si="870"/>
        <v>0</v>
      </c>
      <c r="AE1283" s="964" t="str">
        <f t="shared" si="871"/>
        <v/>
      </c>
      <c r="AF1283" s="964" t="str">
        <f t="shared" si="872"/>
        <v/>
      </c>
      <c r="AG1283" s="964" t="str">
        <f t="shared" si="873"/>
        <v/>
      </c>
      <c r="AH1283" s="964" t="str">
        <f t="shared" si="874"/>
        <v/>
      </c>
      <c r="AI1283" s="964" t="str">
        <f t="shared" si="875"/>
        <v/>
      </c>
      <c r="AJ1283" s="964"/>
      <c r="AK1283" s="964"/>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s="1396"/>
      <c r="CB1283" s="1396"/>
      <c r="CC1283"/>
      <c r="CD1283"/>
      <c r="CE1283"/>
    </row>
    <row r="1284" spans="1:83" ht="13.15" customHeight="1" outlineLevel="2" x14ac:dyDescent="0.2">
      <c r="A1284"/>
      <c r="B1284" s="1"/>
      <c r="C1284"/>
      <c r="D1284"/>
      <c r="E1284"/>
      <c r="F1284"/>
      <c r="G1284" s="1"/>
      <c r="H1284" s="1"/>
      <c r="I1284"/>
      <c r="J1284"/>
      <c r="K1284"/>
      <c r="L1284"/>
      <c r="M1284"/>
      <c r="N1284"/>
      <c r="O1284"/>
      <c r="P1284"/>
      <c r="Q1284"/>
      <c r="R1284" s="558" t="s">
        <v>3978</v>
      </c>
      <c r="S1284" s="83"/>
      <c r="T1284" s="56"/>
      <c r="U1284" s="955"/>
      <c r="V1284" s="43" t="str">
        <f t="shared" si="876"/>
        <v>J</v>
      </c>
      <c r="W1284" s="10"/>
      <c r="X1284" s="45" t="s">
        <v>769</v>
      </c>
      <c r="Y1284" s="10"/>
      <c r="Z1284" s="46" t="str">
        <f>V1275</f>
        <v>B</v>
      </c>
      <c r="AA1284" s="123"/>
      <c r="AB1284" s="1459">
        <f t="shared" si="868"/>
        <v>0</v>
      </c>
      <c r="AC1284" s="1460" t="str">
        <f t="shared" si="869"/>
        <v>-</v>
      </c>
      <c r="AD1284" s="1459">
        <f t="shared" si="870"/>
        <v>0</v>
      </c>
      <c r="AE1284" s="964" t="str">
        <f t="shared" si="871"/>
        <v/>
      </c>
      <c r="AF1284" s="964" t="str">
        <f t="shared" si="872"/>
        <v/>
      </c>
      <c r="AG1284" s="964" t="str">
        <f t="shared" si="873"/>
        <v/>
      </c>
      <c r="AH1284" s="964" t="str">
        <f t="shared" si="874"/>
        <v/>
      </c>
      <c r="AI1284" s="964" t="str">
        <f t="shared" si="875"/>
        <v/>
      </c>
      <c r="AJ1284" s="964"/>
      <c r="AK1284" s="96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s="1396"/>
      <c r="CB1284" s="1396"/>
      <c r="CC1284"/>
      <c r="CD1284"/>
      <c r="CE1284"/>
    </row>
    <row r="1285" spans="1:83" ht="13.15" customHeight="1" outlineLevel="2" x14ac:dyDescent="0.2">
      <c r="A1285"/>
      <c r="B1285" s="1"/>
      <c r="C1285"/>
      <c r="D1285"/>
      <c r="E1285"/>
      <c r="F1285"/>
      <c r="G1285" s="1"/>
      <c r="H1285" s="1"/>
      <c r="I1285"/>
      <c r="J1285"/>
      <c r="K1285"/>
      <c r="L1285"/>
      <c r="M1285"/>
      <c r="N1285"/>
      <c r="O1285"/>
      <c r="P1285"/>
      <c r="Q1285"/>
      <c r="R1285" s="558" t="s">
        <v>3978</v>
      </c>
      <c r="S1285" s="83"/>
      <c r="T1285" s="56"/>
      <c r="U1285" s="955"/>
      <c r="V1285" s="43" t="str">
        <f t="shared" si="876"/>
        <v>L</v>
      </c>
      <c r="W1285" s="10"/>
      <c r="X1285" s="45" t="s">
        <v>769</v>
      </c>
      <c r="Y1285" s="10"/>
      <c r="Z1285" s="46" t="str">
        <f>V1276</f>
        <v>C</v>
      </c>
      <c r="AA1285" s="123"/>
      <c r="AB1285" s="1459">
        <f t="shared" si="868"/>
        <v>0</v>
      </c>
      <c r="AC1285" s="1460" t="str">
        <f t="shared" si="869"/>
        <v>-</v>
      </c>
      <c r="AD1285" s="1459">
        <f t="shared" si="870"/>
        <v>0</v>
      </c>
      <c r="AE1285" s="964" t="str">
        <f t="shared" si="871"/>
        <v/>
      </c>
      <c r="AF1285" s="964" t="str">
        <f t="shared" si="872"/>
        <v/>
      </c>
      <c r="AG1285" s="964" t="str">
        <f t="shared" si="873"/>
        <v/>
      </c>
      <c r="AH1285" s="964" t="str">
        <f t="shared" si="874"/>
        <v/>
      </c>
      <c r="AI1285" s="964" t="str">
        <f t="shared" si="875"/>
        <v/>
      </c>
      <c r="AJ1285" s="964"/>
      <c r="AK1285" s="964"/>
      <c r="AL1285"/>
      <c r="AM1285"/>
      <c r="AN1285"/>
      <c r="AO1285"/>
      <c r="AP1285"/>
      <c r="AQ1285"/>
      <c r="AR1285"/>
      <c r="AS1285"/>
      <c r="AT1285"/>
      <c r="AU1285"/>
      <c r="AV1285"/>
      <c r="AW1285"/>
      <c r="AX1285" s="9"/>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s="1396"/>
      <c r="CB1285" s="1396"/>
      <c r="CC1285"/>
      <c r="CD1285"/>
      <c r="CE1285"/>
    </row>
    <row r="1286" spans="1:83" ht="13.15" customHeight="1" outlineLevel="2" x14ac:dyDescent="0.2">
      <c r="A1286"/>
      <c r="B1286" s="1"/>
      <c r="C1286"/>
      <c r="D1286"/>
      <c r="E1286"/>
      <c r="F1286"/>
      <c r="G1286" s="1"/>
      <c r="H1286" s="1"/>
      <c r="I1286"/>
      <c r="J1286"/>
      <c r="K1286"/>
      <c r="L1286"/>
      <c r="M1286"/>
      <c r="N1286"/>
      <c r="O1286"/>
      <c r="P1286"/>
      <c r="Q1286"/>
      <c r="R1286" s="558" t="s">
        <v>3978</v>
      </c>
      <c r="S1286" s="83"/>
      <c r="T1286" s="56"/>
      <c r="U1286" s="955"/>
      <c r="V1286" s="43" t="str">
        <f t="shared" si="876"/>
        <v>N</v>
      </c>
      <c r="W1286" s="10"/>
      <c r="X1286" s="45" t="s">
        <v>769</v>
      </c>
      <c r="Y1286" s="10"/>
      <c r="Z1286" s="46" t="str">
        <f>Z1267</f>
        <v>E</v>
      </c>
      <c r="AA1286" s="123"/>
      <c r="AB1286" s="1459">
        <f t="shared" si="868"/>
        <v>0</v>
      </c>
      <c r="AC1286" s="1460" t="str">
        <f t="shared" si="869"/>
        <v>-</v>
      </c>
      <c r="AD1286" s="1459">
        <f t="shared" si="870"/>
        <v>0</v>
      </c>
      <c r="AE1286" s="964" t="str">
        <f t="shared" si="871"/>
        <v/>
      </c>
      <c r="AF1286" s="964" t="str">
        <f t="shared" si="872"/>
        <v/>
      </c>
      <c r="AG1286" s="964" t="str">
        <f t="shared" si="873"/>
        <v/>
      </c>
      <c r="AH1286" s="964" t="str">
        <f t="shared" si="874"/>
        <v/>
      </c>
      <c r="AI1286" s="964" t="str">
        <f t="shared" si="875"/>
        <v/>
      </c>
      <c r="AJ1286" s="964"/>
      <c r="AK1286" s="964"/>
      <c r="AL1286"/>
      <c r="AM1286"/>
      <c r="AN1286"/>
      <c r="AO1286"/>
      <c r="AP1286"/>
      <c r="AQ1286"/>
      <c r="AR1286"/>
      <c r="AS1286"/>
      <c r="AT1286"/>
      <c r="AU1286"/>
      <c r="AV1286"/>
      <c r="AW1286" s="9"/>
      <c r="AX1286" s="9"/>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s="1396"/>
      <c r="CB1286" s="1396"/>
      <c r="CC1286"/>
      <c r="CD1286"/>
      <c r="CE1286"/>
    </row>
    <row r="1287" spans="1:83" ht="13.15" customHeight="1" outlineLevel="2" x14ac:dyDescent="0.2">
      <c r="A1287"/>
      <c r="B1287" s="1"/>
      <c r="C1287"/>
      <c r="D1287"/>
      <c r="E1287"/>
      <c r="F1287"/>
      <c r="G1287" s="1"/>
      <c r="H1287" s="1"/>
      <c r="I1287"/>
      <c r="J1287"/>
      <c r="K1287"/>
      <c r="L1287"/>
      <c r="M1287"/>
      <c r="N1287"/>
      <c r="O1287"/>
      <c r="P1287"/>
      <c r="Q1287"/>
      <c r="R1287" s="558" t="s">
        <v>3978</v>
      </c>
      <c r="S1287" s="83"/>
      <c r="T1287" s="56"/>
      <c r="U1287" s="955"/>
      <c r="V1287" s="43" t="str">
        <f t="shared" si="876"/>
        <v>P</v>
      </c>
      <c r="W1287" s="10"/>
      <c r="X1287" s="45" t="s">
        <v>769</v>
      </c>
      <c r="Y1287" s="10"/>
      <c r="Z1287" s="46" t="str">
        <f>V1277</f>
        <v>G</v>
      </c>
      <c r="AA1287" s="123"/>
      <c r="AB1287" s="1459">
        <f t="shared" si="868"/>
        <v>0</v>
      </c>
      <c r="AC1287" s="1460" t="str">
        <f t="shared" si="869"/>
        <v>-</v>
      </c>
      <c r="AD1287" s="1459">
        <f t="shared" si="870"/>
        <v>0</v>
      </c>
      <c r="AE1287" s="964" t="str">
        <f t="shared" si="871"/>
        <v/>
      </c>
      <c r="AF1287" s="964" t="str">
        <f t="shared" si="872"/>
        <v/>
      </c>
      <c r="AG1287" s="964" t="str">
        <f t="shared" si="873"/>
        <v/>
      </c>
      <c r="AH1287" s="964" t="str">
        <f t="shared" si="874"/>
        <v/>
      </c>
      <c r="AI1287" s="964" t="str">
        <f t="shared" si="875"/>
        <v/>
      </c>
      <c r="AJ1287" s="964"/>
      <c r="AK1287" s="964"/>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s="1396"/>
      <c r="CB1287" s="1396"/>
      <c r="CC1287"/>
      <c r="CD1287"/>
      <c r="CE1287"/>
    </row>
    <row r="1288" spans="1:83" ht="13.15" customHeight="1" outlineLevel="2" x14ac:dyDescent="0.2">
      <c r="A1288"/>
      <c r="B1288" s="1"/>
      <c r="C1288"/>
      <c r="D1288"/>
      <c r="E1288"/>
      <c r="F1288"/>
      <c r="G1288" s="1"/>
      <c r="H1288" s="1"/>
      <c r="I1288"/>
      <c r="J1288"/>
      <c r="K1288"/>
      <c r="L1288"/>
      <c r="M1288"/>
      <c r="N1288"/>
      <c r="O1288"/>
      <c r="P1288"/>
      <c r="Q1288"/>
      <c r="R1288" s="558" t="s">
        <v>3978</v>
      </c>
      <c r="S1288" s="83"/>
      <c r="T1288" s="56"/>
      <c r="U1288" s="955"/>
      <c r="V1288" s="43" t="str">
        <f t="shared" si="876"/>
        <v>Q</v>
      </c>
      <c r="W1288" s="10"/>
      <c r="X1288" s="45" t="s">
        <v>769</v>
      </c>
      <c r="Y1288" s="10"/>
      <c r="Z1288" s="46" t="str">
        <f>V1279</f>
        <v>K</v>
      </c>
      <c r="AA1288" s="123"/>
      <c r="AB1288" s="1459">
        <f t="shared" si="868"/>
        <v>0</v>
      </c>
      <c r="AC1288" s="1460" t="str">
        <f t="shared" si="869"/>
        <v>-</v>
      </c>
      <c r="AD1288" s="1459">
        <f t="shared" si="870"/>
        <v>0</v>
      </c>
      <c r="AE1288" s="964" t="str">
        <f t="shared" si="871"/>
        <v/>
      </c>
      <c r="AF1288" s="964" t="str">
        <f t="shared" si="872"/>
        <v/>
      </c>
      <c r="AG1288" s="964" t="str">
        <f t="shared" si="873"/>
        <v/>
      </c>
      <c r="AH1288" s="964" t="str">
        <f t="shared" si="874"/>
        <v/>
      </c>
      <c r="AI1288" s="964" t="str">
        <f t="shared" si="875"/>
        <v/>
      </c>
      <c r="AJ1288" s="964"/>
      <c r="AK1288" s="964"/>
      <c r="AL1288"/>
      <c r="AM1288"/>
      <c r="AN1288"/>
      <c r="AO1288"/>
      <c r="AP1288"/>
      <c r="AQ1288"/>
      <c r="AR1288"/>
      <c r="AS1288"/>
      <c r="AT1288"/>
      <c r="AU1288"/>
      <c r="AV1288"/>
      <c r="AW1288"/>
      <c r="AX1288" s="9"/>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s="1396"/>
      <c r="CB1288" s="1396"/>
      <c r="CC1288"/>
      <c r="CD1288"/>
      <c r="CE1288"/>
    </row>
    <row r="1289" spans="1:83" ht="13.9" customHeight="1" outlineLevel="2" thickBot="1" x14ac:dyDescent="0.25">
      <c r="A1289"/>
      <c r="B1289" s="1"/>
      <c r="C1289"/>
      <c r="D1289"/>
      <c r="E1289"/>
      <c r="F1289"/>
      <c r="G1289" s="1"/>
      <c r="H1289" s="1"/>
      <c r="I1289"/>
      <c r="J1289"/>
      <c r="K1289"/>
      <c r="L1289"/>
      <c r="M1289"/>
      <c r="N1289"/>
      <c r="O1289"/>
      <c r="P1289"/>
      <c r="Q1289"/>
      <c r="R1289" s="558" t="s">
        <v>3978</v>
      </c>
      <c r="S1289" s="956"/>
      <c r="T1289" s="58"/>
      <c r="U1289" s="957"/>
      <c r="V1289" s="43" t="str">
        <f t="shared" si="876"/>
        <v>O</v>
      </c>
      <c r="W1289" s="10"/>
      <c r="X1289" s="45" t="s">
        <v>769</v>
      </c>
      <c r="Y1289" s="10"/>
      <c r="Z1289" s="46" t="str">
        <f>Z1279</f>
        <v>M</v>
      </c>
      <c r="AA1289" s="123"/>
      <c r="AB1289" s="1459">
        <f t="shared" si="868"/>
        <v>0</v>
      </c>
      <c r="AC1289" s="1460" t="str">
        <f t="shared" si="869"/>
        <v>-</v>
      </c>
      <c r="AD1289" s="1459">
        <f t="shared" si="870"/>
        <v>0</v>
      </c>
      <c r="AE1289" s="964" t="str">
        <f t="shared" si="871"/>
        <v/>
      </c>
      <c r="AF1289" s="964" t="str">
        <f t="shared" si="872"/>
        <v/>
      </c>
      <c r="AG1289" s="964" t="str">
        <f t="shared" si="873"/>
        <v/>
      </c>
      <c r="AH1289" s="964" t="str">
        <f t="shared" si="874"/>
        <v/>
      </c>
      <c r="AI1289" s="964" t="str">
        <f t="shared" si="875"/>
        <v/>
      </c>
      <c r="AJ1289" s="964"/>
      <c r="AK1289" s="964"/>
      <c r="AL1289"/>
      <c r="AM1289"/>
      <c r="AN1289"/>
      <c r="AO1289"/>
      <c r="AP1289"/>
      <c r="AQ1289"/>
      <c r="AR1289"/>
      <c r="AS1289"/>
      <c r="AT1289"/>
      <c r="AU1289"/>
      <c r="AV1289"/>
      <c r="AW1289" s="9"/>
      <c r="AX1289" s="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s="1396"/>
      <c r="CB1289" s="1396"/>
      <c r="CC1289"/>
      <c r="CD1289"/>
      <c r="CE1289"/>
    </row>
    <row r="1290" spans="1:83" ht="13.5" outlineLevel="1" thickBot="1" x14ac:dyDescent="0.25">
      <c r="A1290"/>
      <c r="B1290" s="1"/>
      <c r="C1290" s="1"/>
      <c r="D1290" s="76"/>
      <c r="E1290" s="76"/>
      <c r="F1290" s="76"/>
      <c r="G1290" s="9"/>
      <c r="H1290" s="9"/>
      <c r="I1290" s="1"/>
      <c r="J1290"/>
      <c r="K1290"/>
      <c r="L1290"/>
      <c r="M1290"/>
      <c r="N1290"/>
      <c r="O1290"/>
      <c r="P1290" s="89"/>
      <c r="Q1290"/>
      <c r="R1290" s="1"/>
      <c r="S1290" s="993">
        <f>S1280+1</f>
        <v>17</v>
      </c>
      <c r="T1290" s="961"/>
      <c r="U1290" s="961"/>
      <c r="V1290" s="961"/>
      <c r="W1290" s="960"/>
      <c r="X1290" s="960"/>
      <c r="Y1290" s="960"/>
      <c r="Z1290" s="962"/>
      <c r="AA1290" s="123"/>
      <c r="AB1290" s="963"/>
      <c r="AC1290" s="963"/>
      <c r="AD1290" s="963"/>
      <c r="AE1290" s="964"/>
      <c r="AF1290" s="964"/>
      <c r="AG1290" s="964"/>
      <c r="AH1290" s="964"/>
      <c r="AI1290" s="964"/>
      <c r="AJ1290" s="964"/>
      <c r="AK1290" s="964"/>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s="1396"/>
      <c r="CB1290" s="1396"/>
      <c r="CC1290"/>
      <c r="CD1290"/>
      <c r="CE1290"/>
    </row>
    <row r="1291" spans="1:83" ht="13.9" customHeight="1" outlineLevel="2" thickBot="1" x14ac:dyDescent="0.25">
      <c r="A1291"/>
      <c r="B1291" s="1"/>
      <c r="C1291"/>
      <c r="D1291"/>
      <c r="E1291"/>
      <c r="F1291"/>
      <c r="G1291" s="1"/>
      <c r="H1291" s="1"/>
      <c r="I1291"/>
      <c r="J1291"/>
      <c r="K1291"/>
      <c r="L1291"/>
      <c r="M1291"/>
      <c r="N1291"/>
      <c r="O1291"/>
      <c r="P1291"/>
      <c r="Q1291"/>
      <c r="S1291" s="22" t="str">
        <f>N_Heure</f>
        <v>Heure</v>
      </c>
      <c r="T1291" s="22" t="str">
        <f>N_Table</f>
        <v>Table</v>
      </c>
      <c r="U1291" s="22" t="str">
        <f>N_Arbitre</f>
        <v>Arbitre</v>
      </c>
      <c r="V1291" s="293" t="str">
        <f>N_Matches</f>
        <v>Matches</v>
      </c>
      <c r="W1291" s="294"/>
      <c r="X1291" s="294"/>
      <c r="Y1291" s="294"/>
      <c r="Z1291" s="295"/>
      <c r="AA1291" s="8"/>
      <c r="AB1291" s="967"/>
      <c r="AC1291" s="967"/>
      <c r="AD1291" s="967"/>
      <c r="AE1291" s="964"/>
      <c r="AF1291" s="964"/>
      <c r="AG1291" s="964"/>
      <c r="AH1291" s="964"/>
      <c r="AI1291" s="964"/>
      <c r="AJ1291" s="964"/>
      <c r="AK1291" s="964"/>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s="1396"/>
      <c r="CB1291" s="1396"/>
      <c r="CC1291"/>
      <c r="CD1291"/>
      <c r="CE1291"/>
    </row>
    <row r="1292" spans="1:83" ht="13.15" customHeight="1" outlineLevel="2" x14ac:dyDescent="0.2">
      <c r="A1292"/>
      <c r="B1292" s="1"/>
      <c r="C1292"/>
      <c r="D1292"/>
      <c r="E1292"/>
      <c r="F1292"/>
      <c r="G1292" s="1"/>
      <c r="H1292" s="1"/>
      <c r="I1292"/>
      <c r="J1292"/>
      <c r="K1292"/>
      <c r="L1292"/>
      <c r="M1292"/>
      <c r="N1292"/>
      <c r="O1292"/>
      <c r="P1292"/>
      <c r="Q1292"/>
      <c r="R1292" s="558" t="s">
        <v>3979</v>
      </c>
      <c r="S1292" s="65"/>
      <c r="T1292" s="953"/>
      <c r="U1292" s="954"/>
      <c r="V1292" s="34" t="str">
        <f>Z1282</f>
        <v>A</v>
      </c>
      <c r="W1292" s="148"/>
      <c r="X1292" s="35" t="s">
        <v>769</v>
      </c>
      <c r="Y1292" s="148"/>
      <c r="Z1292" s="36" t="str">
        <f>Z1283</f>
        <v>D</v>
      </c>
      <c r="AA1292" s="123"/>
      <c r="AB1292" s="1459">
        <f t="shared" ref="AB1292:AB1299" si="877">IF(MaxScore,MaxGoals(W1292,Y1292,MaxGoalsValue),IF(W1292="","",W1292))</f>
        <v>0</v>
      </c>
      <c r="AC1292" s="1460" t="str">
        <f t="shared" ref="AC1292:AC1299" si="878">IF(MaxScore,"-",IF(W1292="","","-"))</f>
        <v>-</v>
      </c>
      <c r="AD1292" s="1459">
        <f t="shared" ref="AD1292:AD1299" si="879">IF(MaxScore,MaxGoals(Y1292,W1292,MaxGoalsValue),IF(Y1292="","",Y1292))</f>
        <v>0</v>
      </c>
      <c r="AE1292" s="964" t="str">
        <f t="shared" ref="AE1292:AE1299" si="880">IF(W1292="","",IF(W1292&gt;Y1292,V1292,IF(W1292=Y1292,"",Z1292)))</f>
        <v/>
      </c>
      <c r="AF1292" s="964" t="str">
        <f t="shared" ref="AF1292:AF1299" si="881">IF(W1292="","",IF(W1292=Y1292,V1292,""))</f>
        <v/>
      </c>
      <c r="AG1292" s="964" t="str">
        <f t="shared" ref="AG1292:AG1299" si="882">IF(W1292="","",IF(W1292=Y1292,Z1292,""))</f>
        <v/>
      </c>
      <c r="AH1292" s="964" t="str">
        <f t="shared" ref="AH1292:AH1299" si="883">IF(W1292="","",IF(W1292&lt;Y1292,V1292,IF(W1292=Y1292,"",Z1292)))</f>
        <v/>
      </c>
      <c r="AI1292" s="964" t="str">
        <f t="shared" ref="AI1292:AI1299" si="884">CONCATENATE(AE1292,AH1292)</f>
        <v/>
      </c>
      <c r="AJ1292" s="964"/>
      <c r="AK1292" s="964"/>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s="1396"/>
      <c r="CB1292" s="1396"/>
      <c r="CC1292"/>
      <c r="CD1292"/>
      <c r="CE1292"/>
    </row>
    <row r="1293" spans="1:83" ht="13.15" customHeight="1" outlineLevel="2" x14ac:dyDescent="0.2">
      <c r="A1293"/>
      <c r="B1293" s="1"/>
      <c r="C1293"/>
      <c r="D1293"/>
      <c r="E1293"/>
      <c r="F1293"/>
      <c r="G1293" s="1"/>
      <c r="H1293" s="1"/>
      <c r="I1293"/>
      <c r="J1293"/>
      <c r="K1293"/>
      <c r="L1293"/>
      <c r="M1293"/>
      <c r="N1293"/>
      <c r="O1293"/>
      <c r="P1293"/>
      <c r="Q1293"/>
      <c r="R1293" s="558" t="s">
        <v>3979</v>
      </c>
      <c r="S1293" s="83"/>
      <c r="T1293" s="56"/>
      <c r="U1293" s="955"/>
      <c r="V1293" s="43" t="str">
        <f>Z1284</f>
        <v>B</v>
      </c>
      <c r="W1293" s="10"/>
      <c r="X1293" s="45" t="s">
        <v>769</v>
      </c>
      <c r="Y1293" s="10"/>
      <c r="Z1293" s="46" t="str">
        <f t="shared" ref="Z1293:Z1299" si="885">V1282</f>
        <v>F</v>
      </c>
      <c r="AA1293" s="123"/>
      <c r="AB1293" s="1459">
        <f t="shared" si="877"/>
        <v>0</v>
      </c>
      <c r="AC1293" s="1460" t="str">
        <f t="shared" si="878"/>
        <v>-</v>
      </c>
      <c r="AD1293" s="1459">
        <f t="shared" si="879"/>
        <v>0</v>
      </c>
      <c r="AE1293" s="964" t="str">
        <f t="shared" si="880"/>
        <v/>
      </c>
      <c r="AF1293" s="964" t="str">
        <f t="shared" si="881"/>
        <v/>
      </c>
      <c r="AG1293" s="964" t="str">
        <f t="shared" si="882"/>
        <v/>
      </c>
      <c r="AH1293" s="964" t="str">
        <f t="shared" si="883"/>
        <v/>
      </c>
      <c r="AI1293" s="964" t="str">
        <f t="shared" si="884"/>
        <v/>
      </c>
      <c r="AJ1293" s="964"/>
      <c r="AK1293" s="964"/>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s="1396"/>
      <c r="CB1293" s="1396"/>
      <c r="CC1293"/>
      <c r="CD1293"/>
      <c r="CE1293"/>
    </row>
    <row r="1294" spans="1:83" ht="13.15" customHeight="1" outlineLevel="2" x14ac:dyDescent="0.2">
      <c r="A1294"/>
      <c r="B1294" s="1"/>
      <c r="C1294"/>
      <c r="D1294"/>
      <c r="E1294"/>
      <c r="F1294"/>
      <c r="G1294" s="1"/>
      <c r="H1294" s="1"/>
      <c r="I1294"/>
      <c r="J1294"/>
      <c r="K1294"/>
      <c r="L1294"/>
      <c r="M1294"/>
      <c r="N1294"/>
      <c r="O1294"/>
      <c r="P1294"/>
      <c r="Q1294"/>
      <c r="R1294" s="558" t="s">
        <v>3979</v>
      </c>
      <c r="S1294" s="83"/>
      <c r="T1294" s="56"/>
      <c r="U1294" s="955"/>
      <c r="V1294" s="43" t="str">
        <f>Z1285</f>
        <v>C</v>
      </c>
      <c r="W1294" s="10"/>
      <c r="X1294" s="45" t="s">
        <v>769</v>
      </c>
      <c r="Y1294" s="10"/>
      <c r="Z1294" s="46" t="str">
        <f t="shared" si="885"/>
        <v>H</v>
      </c>
      <c r="AA1294" s="123"/>
      <c r="AB1294" s="1459">
        <f t="shared" si="877"/>
        <v>0</v>
      </c>
      <c r="AC1294" s="1460" t="str">
        <f t="shared" si="878"/>
        <v>-</v>
      </c>
      <c r="AD1294" s="1459">
        <f t="shared" si="879"/>
        <v>0</v>
      </c>
      <c r="AE1294" s="964" t="str">
        <f t="shared" si="880"/>
        <v/>
      </c>
      <c r="AF1294" s="964" t="str">
        <f t="shared" si="881"/>
        <v/>
      </c>
      <c r="AG1294" s="964" t="str">
        <f t="shared" si="882"/>
        <v/>
      </c>
      <c r="AH1294" s="964" t="str">
        <f t="shared" si="883"/>
        <v/>
      </c>
      <c r="AI1294" s="964" t="str">
        <f t="shared" si="884"/>
        <v/>
      </c>
      <c r="AJ1294" s="964"/>
      <c r="AK1294" s="96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s="1396"/>
      <c r="CB1294" s="1396"/>
      <c r="CC1294"/>
      <c r="CD1294"/>
      <c r="CE1294"/>
    </row>
    <row r="1295" spans="1:83" ht="13.15" customHeight="1" outlineLevel="2" x14ac:dyDescent="0.2">
      <c r="A1295"/>
      <c r="B1295" s="1"/>
      <c r="C1295"/>
      <c r="D1295"/>
      <c r="E1295"/>
      <c r="F1295"/>
      <c r="G1295" s="1"/>
      <c r="H1295" s="1"/>
      <c r="I1295"/>
      <c r="J1295"/>
      <c r="K1295"/>
      <c r="L1295"/>
      <c r="M1295"/>
      <c r="N1295"/>
      <c r="O1295"/>
      <c r="P1295"/>
      <c r="Q1295"/>
      <c r="R1295" s="558" t="s">
        <v>3979</v>
      </c>
      <c r="S1295" s="83"/>
      <c r="T1295" s="56"/>
      <c r="U1295" s="955"/>
      <c r="V1295" s="43" t="str">
        <f>Z1286</f>
        <v>E</v>
      </c>
      <c r="W1295" s="10"/>
      <c r="X1295" s="45" t="s">
        <v>769</v>
      </c>
      <c r="Y1295" s="10"/>
      <c r="Z1295" s="46" t="str">
        <f t="shared" si="885"/>
        <v>J</v>
      </c>
      <c r="AA1295" s="123"/>
      <c r="AB1295" s="1459">
        <f t="shared" si="877"/>
        <v>0</v>
      </c>
      <c r="AC1295" s="1460" t="str">
        <f t="shared" si="878"/>
        <v>-</v>
      </c>
      <c r="AD1295" s="1459">
        <f t="shared" si="879"/>
        <v>0</v>
      </c>
      <c r="AE1295" s="964" t="str">
        <f t="shared" si="880"/>
        <v/>
      </c>
      <c r="AF1295" s="964" t="str">
        <f t="shared" si="881"/>
        <v/>
      </c>
      <c r="AG1295" s="964" t="str">
        <f t="shared" si="882"/>
        <v/>
      </c>
      <c r="AH1295" s="964" t="str">
        <f t="shared" si="883"/>
        <v/>
      </c>
      <c r="AI1295" s="964" t="str">
        <f t="shared" si="884"/>
        <v/>
      </c>
      <c r="AJ1295" s="964"/>
      <c r="AK1295" s="964"/>
      <c r="AL1295"/>
      <c r="AM1295"/>
      <c r="AN1295"/>
      <c r="AO1295"/>
      <c r="AP1295"/>
      <c r="AQ1295"/>
      <c r="AR1295"/>
      <c r="AS1295"/>
      <c r="AT1295"/>
      <c r="AU1295"/>
      <c r="AV1295"/>
      <c r="AW1295"/>
      <c r="AX1295" s="9"/>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s="1396"/>
      <c r="CB1295" s="1396"/>
      <c r="CC1295"/>
      <c r="CD1295"/>
      <c r="CE1295"/>
    </row>
    <row r="1296" spans="1:83" ht="13.15" customHeight="1" outlineLevel="2" x14ac:dyDescent="0.2">
      <c r="A1296"/>
      <c r="B1296" s="1"/>
      <c r="C1296"/>
      <c r="D1296"/>
      <c r="E1296"/>
      <c r="F1296"/>
      <c r="G1296" s="1"/>
      <c r="H1296" s="1"/>
      <c r="I1296"/>
      <c r="J1296"/>
      <c r="K1296"/>
      <c r="L1296"/>
      <c r="M1296"/>
      <c r="N1296"/>
      <c r="O1296"/>
      <c r="P1296"/>
      <c r="Q1296"/>
      <c r="R1296" s="558" t="s">
        <v>3979</v>
      </c>
      <c r="S1296" s="83"/>
      <c r="T1296" s="56"/>
      <c r="U1296" s="955"/>
      <c r="V1296" s="43" t="str">
        <f>Z1287</f>
        <v>G</v>
      </c>
      <c r="W1296" s="10"/>
      <c r="X1296" s="45" t="s">
        <v>769</v>
      </c>
      <c r="Y1296" s="10"/>
      <c r="Z1296" s="46" t="str">
        <f t="shared" si="885"/>
        <v>L</v>
      </c>
      <c r="AA1296" s="123"/>
      <c r="AB1296" s="1459">
        <f t="shared" si="877"/>
        <v>0</v>
      </c>
      <c r="AC1296" s="1460" t="str">
        <f t="shared" si="878"/>
        <v>-</v>
      </c>
      <c r="AD1296" s="1459">
        <f t="shared" si="879"/>
        <v>0</v>
      </c>
      <c r="AE1296" s="964" t="str">
        <f t="shared" si="880"/>
        <v/>
      </c>
      <c r="AF1296" s="964" t="str">
        <f t="shared" si="881"/>
        <v/>
      </c>
      <c r="AG1296" s="964" t="str">
        <f t="shared" si="882"/>
        <v/>
      </c>
      <c r="AH1296" s="964" t="str">
        <f t="shared" si="883"/>
        <v/>
      </c>
      <c r="AI1296" s="964" t="str">
        <f t="shared" si="884"/>
        <v/>
      </c>
      <c r="AJ1296" s="964"/>
      <c r="AK1296" s="964"/>
      <c r="AL1296"/>
      <c r="AM1296"/>
      <c r="AN1296"/>
      <c r="AO1296"/>
      <c r="AP1296"/>
      <c r="AQ1296"/>
      <c r="AR1296"/>
      <c r="AS1296"/>
      <c r="AT1296"/>
      <c r="AU1296"/>
      <c r="AV1296"/>
      <c r="AW1296" s="9"/>
      <c r="AX1296" s="9"/>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s="1396"/>
      <c r="CB1296" s="1396"/>
      <c r="CC1296"/>
      <c r="CD1296"/>
      <c r="CE1296"/>
    </row>
    <row r="1297" spans="1:83" ht="13.15" customHeight="1" outlineLevel="2" x14ac:dyDescent="0.2">
      <c r="A1297"/>
      <c r="B1297" s="1"/>
      <c r="C1297"/>
      <c r="D1297"/>
      <c r="E1297"/>
      <c r="F1297"/>
      <c r="G1297" s="1"/>
      <c r="H1297" s="1"/>
      <c r="I1297"/>
      <c r="J1297"/>
      <c r="K1297"/>
      <c r="L1297"/>
      <c r="M1297"/>
      <c r="N1297"/>
      <c r="O1297"/>
      <c r="P1297"/>
      <c r="Q1297"/>
      <c r="R1297" s="558" t="s">
        <v>3979</v>
      </c>
      <c r="S1297" s="83"/>
      <c r="T1297" s="56"/>
      <c r="U1297" s="955"/>
      <c r="V1297" s="43" t="str">
        <f>V1278</f>
        <v>I</v>
      </c>
      <c r="W1297" s="10"/>
      <c r="X1297" s="45" t="s">
        <v>769</v>
      </c>
      <c r="Y1297" s="10"/>
      <c r="Z1297" s="46" t="str">
        <f t="shared" si="885"/>
        <v>N</v>
      </c>
      <c r="AA1297" s="123"/>
      <c r="AB1297" s="1459">
        <f t="shared" si="877"/>
        <v>0</v>
      </c>
      <c r="AC1297" s="1460" t="str">
        <f t="shared" si="878"/>
        <v>-</v>
      </c>
      <c r="AD1297" s="1459">
        <f t="shared" si="879"/>
        <v>0</v>
      </c>
      <c r="AE1297" s="964" t="str">
        <f t="shared" si="880"/>
        <v/>
      </c>
      <c r="AF1297" s="964" t="str">
        <f t="shared" si="881"/>
        <v/>
      </c>
      <c r="AG1297" s="964" t="str">
        <f t="shared" si="882"/>
        <v/>
      </c>
      <c r="AH1297" s="964" t="str">
        <f t="shared" si="883"/>
        <v/>
      </c>
      <c r="AI1297" s="964" t="str">
        <f t="shared" si="884"/>
        <v/>
      </c>
      <c r="AJ1297" s="964"/>
      <c r="AK1297" s="964"/>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s="1396"/>
      <c r="CB1297" s="1396"/>
      <c r="CC1297"/>
      <c r="CD1297"/>
      <c r="CE1297"/>
    </row>
    <row r="1298" spans="1:83" ht="13.15" customHeight="1" outlineLevel="2" x14ac:dyDescent="0.2">
      <c r="A1298"/>
      <c r="B1298" s="1"/>
      <c r="C1298"/>
      <c r="D1298"/>
      <c r="E1298"/>
      <c r="F1298"/>
      <c r="G1298" s="1"/>
      <c r="H1298" s="1"/>
      <c r="I1298"/>
      <c r="J1298"/>
      <c r="K1298"/>
      <c r="L1298"/>
      <c r="M1298"/>
      <c r="N1298"/>
      <c r="O1298"/>
      <c r="P1298"/>
      <c r="Q1298"/>
      <c r="R1298" s="558" t="s">
        <v>3979</v>
      </c>
      <c r="S1298" s="83"/>
      <c r="T1298" s="56"/>
      <c r="U1298" s="955"/>
      <c r="V1298" s="43" t="str">
        <f>Z1288</f>
        <v>K</v>
      </c>
      <c r="W1298" s="10"/>
      <c r="X1298" s="45" t="s">
        <v>769</v>
      </c>
      <c r="Y1298" s="10"/>
      <c r="Z1298" s="46" t="str">
        <f t="shared" si="885"/>
        <v>P</v>
      </c>
      <c r="AA1298" s="123"/>
      <c r="AB1298" s="1459">
        <f t="shared" si="877"/>
        <v>0</v>
      </c>
      <c r="AC1298" s="1460" t="str">
        <f t="shared" si="878"/>
        <v>-</v>
      </c>
      <c r="AD1298" s="1459">
        <f t="shared" si="879"/>
        <v>0</v>
      </c>
      <c r="AE1298" s="964" t="str">
        <f t="shared" si="880"/>
        <v/>
      </c>
      <c r="AF1298" s="964" t="str">
        <f t="shared" si="881"/>
        <v/>
      </c>
      <c r="AG1298" s="964" t="str">
        <f t="shared" si="882"/>
        <v/>
      </c>
      <c r="AH1298" s="964" t="str">
        <f t="shared" si="883"/>
        <v/>
      </c>
      <c r="AI1298" s="964" t="str">
        <f t="shared" si="884"/>
        <v/>
      </c>
      <c r="AJ1298" s="964"/>
      <c r="AK1298" s="964"/>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s="1396"/>
      <c r="CB1298" s="1396"/>
      <c r="CC1298"/>
      <c r="CD1298"/>
      <c r="CE1298"/>
    </row>
    <row r="1299" spans="1:83" ht="13.9" customHeight="1" outlineLevel="2" thickBot="1" x14ac:dyDescent="0.25">
      <c r="A1299"/>
      <c r="B1299" s="1"/>
      <c r="C1299"/>
      <c r="D1299"/>
      <c r="E1299"/>
      <c r="F1299"/>
      <c r="G1299" s="1"/>
      <c r="H1299" s="1"/>
      <c r="I1299"/>
      <c r="J1299"/>
      <c r="K1299"/>
      <c r="L1299"/>
      <c r="M1299"/>
      <c r="N1299"/>
      <c r="O1299"/>
      <c r="P1299"/>
      <c r="Q1299"/>
      <c r="R1299" s="558" t="s">
        <v>3979</v>
      </c>
      <c r="S1299" s="956"/>
      <c r="T1299" s="58"/>
      <c r="U1299" s="957"/>
      <c r="V1299" s="958" t="str">
        <f>V1289</f>
        <v>O</v>
      </c>
      <c r="W1299" s="10"/>
      <c r="X1299" s="45" t="s">
        <v>769</v>
      </c>
      <c r="Y1299" s="10"/>
      <c r="Z1299" s="46" t="str">
        <f t="shared" si="885"/>
        <v>Q</v>
      </c>
      <c r="AA1299" s="123"/>
      <c r="AB1299" s="1459">
        <f t="shared" si="877"/>
        <v>0</v>
      </c>
      <c r="AC1299" s="1460" t="str">
        <f t="shared" si="878"/>
        <v>-</v>
      </c>
      <c r="AD1299" s="1459">
        <f t="shared" si="879"/>
        <v>0</v>
      </c>
      <c r="AE1299" s="964" t="str">
        <f t="shared" si="880"/>
        <v/>
      </c>
      <c r="AF1299" s="964" t="str">
        <f t="shared" si="881"/>
        <v/>
      </c>
      <c r="AG1299" s="964" t="str">
        <f t="shared" si="882"/>
        <v/>
      </c>
      <c r="AH1299" s="964" t="str">
        <f t="shared" si="883"/>
        <v/>
      </c>
      <c r="AI1299" s="964" t="str">
        <f t="shared" si="884"/>
        <v/>
      </c>
      <c r="AJ1299" s="964"/>
      <c r="AK1299" s="964"/>
      <c r="AL1299"/>
      <c r="AM1299"/>
      <c r="AN1299"/>
      <c r="AO1299"/>
      <c r="AP1299"/>
      <c r="AQ1299"/>
      <c r="AR1299"/>
      <c r="AS1299"/>
      <c r="AT1299"/>
      <c r="AU1299"/>
      <c r="AV1299"/>
      <c r="AW1299" s="9"/>
      <c r="AX1299" s="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s="1396"/>
      <c r="CB1299" s="1396"/>
      <c r="CC1299"/>
      <c r="CD1299"/>
      <c r="CE1299"/>
    </row>
    <row r="1300" spans="1:83" ht="13.5" thickBot="1" x14ac:dyDescent="0.25">
      <c r="A1300"/>
      <c r="B1300" s="1"/>
      <c r="C1300"/>
      <c r="D1300"/>
      <c r="E1300"/>
      <c r="F1300"/>
      <c r="G1300" s="1"/>
      <c r="H1300" s="1"/>
      <c r="I1300"/>
      <c r="J1300"/>
      <c r="K1300"/>
      <c r="L1300"/>
      <c r="M1300"/>
      <c r="N1300"/>
      <c r="O1300"/>
      <c r="P1300"/>
      <c r="Q1300"/>
      <c r="S1300"/>
      <c r="T1300"/>
      <c r="U1300"/>
      <c r="V1300"/>
      <c r="W1300" s="1"/>
      <c r="X1300" s="1"/>
      <c r="Y1300" s="1"/>
      <c r="Z1300"/>
      <c r="AB1300" s="964"/>
      <c r="AC1300" s="964"/>
      <c r="AD1300" s="969"/>
      <c r="AE1300" s="969"/>
      <c r="AF1300" s="964"/>
      <c r="AG1300" s="970"/>
      <c r="AH1300" s="964"/>
      <c r="AI1300" s="969"/>
      <c r="AJ1300" s="964"/>
      <c r="AK1300" s="963"/>
      <c r="AL1300" s="16"/>
      <c r="AM1300" s="16"/>
      <c r="AN1300" s="16"/>
      <c r="AO1300" s="16"/>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s="1396"/>
      <c r="CB1300" s="1396"/>
      <c r="CC1300"/>
      <c r="CD1300"/>
      <c r="CE1300"/>
    </row>
    <row r="1301" spans="1:83" ht="13.5" thickBot="1" x14ac:dyDescent="0.25">
      <c r="A1301"/>
      <c r="B1301" s="282" t="str">
        <f>N_Group_18</f>
        <v>Poule de 18</v>
      </c>
      <c r="C1301" s="283"/>
      <c r="D1301" s="283"/>
      <c r="E1301" s="283"/>
      <c r="F1301" s="283"/>
      <c r="G1301" s="283"/>
      <c r="H1301" s="283"/>
      <c r="I1301" s="283"/>
      <c r="J1301" s="283"/>
      <c r="K1301" s="283"/>
      <c r="L1301" s="283"/>
      <c r="M1301" s="283"/>
      <c r="N1301" s="283"/>
      <c r="O1301" s="283"/>
      <c r="P1301" s="283"/>
      <c r="Q1301" s="283"/>
      <c r="R1301" s="357"/>
      <c r="S1301" s="283"/>
      <c r="T1301" s="283"/>
      <c r="U1301" s="283"/>
      <c r="V1301" s="283"/>
      <c r="W1301" s="992"/>
      <c r="X1301" s="992"/>
      <c r="Y1301" s="992"/>
      <c r="Z1301" s="283"/>
      <c r="AA1301" s="283"/>
      <c r="AB1301" s="965"/>
      <c r="AC1301" s="965"/>
      <c r="AD1301" s="965"/>
      <c r="AE1301" s="966"/>
      <c r="AF1301" s="966"/>
      <c r="AG1301" s="966"/>
      <c r="AH1301" s="966"/>
      <c r="AI1301" s="966"/>
      <c r="AJ1301" s="966"/>
      <c r="AK1301" s="965"/>
      <c r="AL1301" s="283"/>
      <c r="AM1301" s="282" t="str">
        <f>B1301</f>
        <v>Poule de 18</v>
      </c>
      <c r="AN1301" s="283"/>
      <c r="AO1301" s="283"/>
      <c r="AP1301" s="283"/>
      <c r="AQ1301" s="283"/>
      <c r="AR1301" s="283"/>
      <c r="AS1301" s="283"/>
      <c r="AT1301" s="283"/>
      <c r="AU1301" s="283"/>
      <c r="AV1301" s="283"/>
      <c r="AW1301" s="283"/>
      <c r="AX1301" s="283"/>
      <c r="AY1301" s="283"/>
      <c r="AZ1301" s="283"/>
      <c r="BA1301" s="283"/>
      <c r="BB1301" s="283"/>
      <c r="BC1301" s="283"/>
      <c r="BD1301" s="283"/>
      <c r="BE1301" s="283"/>
      <c r="BF1301" s="283"/>
      <c r="BG1301" s="283"/>
      <c r="BH1301" s="283"/>
      <c r="BI1301" s="283"/>
      <c r="BJ1301" s="283"/>
      <c r="BK1301" s="283"/>
      <c r="BL1301" s="283"/>
      <c r="BM1301" s="283"/>
      <c r="BN1301" s="283"/>
      <c r="BO1301" s="283"/>
      <c r="BP1301" s="283"/>
      <c r="BQ1301" s="283"/>
      <c r="BR1301" s="283"/>
      <c r="BS1301" s="283"/>
      <c r="BT1301" s="283"/>
      <c r="BU1301" s="283"/>
      <c r="BV1301" s="283"/>
      <c r="BW1301" s="283"/>
      <c r="BX1301" s="283"/>
      <c r="BY1301" s="283"/>
      <c r="BZ1301"/>
      <c r="CA1301" s="1396"/>
      <c r="CB1301" s="1396"/>
      <c r="CC1301" s="284"/>
      <c r="CD1301"/>
      <c r="CE1301"/>
    </row>
    <row r="1302" spans="1:83" ht="13.5" outlineLevel="1" thickBot="1" x14ac:dyDescent="0.25">
      <c r="A1302"/>
      <c r="B1302" s="1"/>
      <c r="C1302"/>
      <c r="D1302"/>
      <c r="E1302"/>
      <c r="F1302"/>
      <c r="G1302" s="1"/>
      <c r="H1302" s="1"/>
      <c r="I1302"/>
      <c r="J1302"/>
      <c r="K1302"/>
      <c r="L1302"/>
      <c r="M1302"/>
      <c r="N1302"/>
      <c r="O1302"/>
      <c r="P1302"/>
      <c r="Q1302"/>
      <c r="S1302"/>
      <c r="T1302"/>
      <c r="U1302"/>
      <c r="V1302"/>
      <c r="W1302" s="1"/>
      <c r="X1302" s="1"/>
      <c r="Y1302" s="1"/>
      <c r="Z1302"/>
      <c r="AB1302" s="964"/>
      <c r="AC1302" s="964"/>
      <c r="AD1302" s="969"/>
      <c r="AE1302" s="969"/>
      <c r="AF1302" s="964"/>
      <c r="AG1302" s="970"/>
      <c r="AH1302" s="964"/>
      <c r="AI1302" s="969"/>
      <c r="AJ1302" s="964"/>
      <c r="AK1302" s="963"/>
      <c r="AL1302" s="16"/>
      <c r="AM1302" s="16"/>
      <c r="AN1302" s="16"/>
      <c r="AO1302" s="16"/>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s="1396"/>
      <c r="CB1302" s="1396"/>
      <c r="CC1302"/>
      <c r="CD1302"/>
      <c r="CE1302"/>
    </row>
    <row r="1303" spans="1:83" ht="13.5" outlineLevel="1" thickBot="1" x14ac:dyDescent="0.25">
      <c r="A1303"/>
      <c r="B1303" s="18" t="str">
        <f>N_Tirage</f>
        <v>Tirage</v>
      </c>
      <c r="C1303" s="971" t="s">
        <v>787</v>
      </c>
      <c r="D1303" s="972" t="s">
        <v>831</v>
      </c>
      <c r="E1303" s="972" t="s">
        <v>832</v>
      </c>
      <c r="F1303" s="973" t="s">
        <v>833</v>
      </c>
      <c r="G1303" s="22" t="str">
        <f>N_Joueurs</f>
        <v>Joueurs</v>
      </c>
      <c r="H1303" s="3" t="str">
        <f>N_RankPoints</f>
        <v>Pt. Clas.</v>
      </c>
      <c r="I1303" s="22" t="str">
        <f>N_Diff_Part</f>
        <v>Diff-Part</v>
      </c>
      <c r="J1303" s="983" t="s">
        <v>788</v>
      </c>
      <c r="K1303" s="984" t="s">
        <v>789</v>
      </c>
      <c r="L1303" s="972" t="s">
        <v>790</v>
      </c>
      <c r="M1303" s="972" t="s">
        <v>791</v>
      </c>
      <c r="N1303" s="972" t="s">
        <v>792</v>
      </c>
      <c r="O1303" s="972" t="s">
        <v>793</v>
      </c>
      <c r="P1303" s="972" t="s">
        <v>794</v>
      </c>
      <c r="Q1303" s="973" t="s">
        <v>781</v>
      </c>
      <c r="R1303"/>
      <c r="S1303"/>
      <c r="T1303"/>
      <c r="U1303"/>
      <c r="V1303"/>
      <c r="W1303" s="1"/>
      <c r="X1303" s="1"/>
      <c r="Y1303" s="1"/>
      <c r="Z1303"/>
      <c r="AB1303" s="964"/>
      <c r="AC1303" s="964"/>
      <c r="AD1303" s="964"/>
      <c r="AE1303" s="964" t="str">
        <f>N_G</f>
        <v>G</v>
      </c>
      <c r="AF1303" s="964" t="str">
        <f>N_N</f>
        <v>N</v>
      </c>
      <c r="AG1303" s="964" t="str">
        <f>N_N</f>
        <v>N</v>
      </c>
      <c r="AH1303" s="964" t="str">
        <f>N_P</f>
        <v>P</v>
      </c>
      <c r="AI1303" s="964" t="s">
        <v>1560</v>
      </c>
      <c r="AJ1303" s="964" t="s">
        <v>3714</v>
      </c>
      <c r="AK1303" s="964" t="str">
        <f>IF(COUNTA(W1324:W1508)=0,"","OK")</f>
        <v/>
      </c>
      <c r="AL1303"/>
      <c r="AM1303" s="16"/>
      <c r="AN1303" s="24" t="str">
        <f>N_Cla.</f>
        <v>Cla.</v>
      </c>
      <c r="AO1303" s="4" t="str">
        <f>N_Joueurs</f>
        <v>Joueurs</v>
      </c>
      <c r="AP1303" s="25" t="str">
        <f>N_Pts</f>
        <v>Pts</v>
      </c>
      <c r="AQ1303" s="25" t="str">
        <f>N_J</f>
        <v>J</v>
      </c>
      <c r="AR1303" s="26" t="str">
        <f>N_G</f>
        <v>G</v>
      </c>
      <c r="AS1303" s="26" t="str">
        <f>N_N</f>
        <v>N</v>
      </c>
      <c r="AT1303" s="26" t="str">
        <f>N_P</f>
        <v>P</v>
      </c>
      <c r="AU1303" s="26" t="str">
        <f>N_BP</f>
        <v>BP</v>
      </c>
      <c r="AV1303" s="26" t="str">
        <f>N_BC</f>
        <v>BC</v>
      </c>
      <c r="AW1303" s="5" t="str">
        <f>N_Diff.</f>
        <v>Diff.</v>
      </c>
      <c r="AX1303"/>
      <c r="AY1303"/>
      <c r="AZ1303" s="1"/>
      <c r="BA1303" s="1"/>
      <c r="BB1303"/>
      <c r="BC1303" s="6"/>
      <c r="BD1303"/>
      <c r="BE1303" s="1"/>
      <c r="BF1303"/>
      <c r="BG1303" s="16"/>
      <c r="BH1303"/>
      <c r="BI1303"/>
      <c r="BJ1303"/>
      <c r="BK1303"/>
      <c r="BL1303"/>
      <c r="BM1303"/>
      <c r="BN1303"/>
      <c r="BO1303"/>
      <c r="BP1303"/>
      <c r="BQ1303"/>
      <c r="BR1303"/>
      <c r="BS1303"/>
      <c r="BT1303"/>
      <c r="BU1303"/>
      <c r="BV1303"/>
      <c r="BW1303"/>
      <c r="BX1303"/>
      <c r="BY1303"/>
      <c r="BZ1303"/>
      <c r="CA1303" s="1396"/>
      <c r="CB1303" s="1396"/>
      <c r="CC1303"/>
      <c r="CD1303"/>
      <c r="CE1303"/>
    </row>
    <row r="1304" spans="1:83" outlineLevel="1" x14ac:dyDescent="0.2">
      <c r="A1304"/>
      <c r="B1304" s="941">
        <v>1</v>
      </c>
      <c r="C1304" s="974" t="str">
        <f>IF(AK1303="","",RANK(F1304,F1304:F1321)*1000+ROW())</f>
        <v/>
      </c>
      <c r="D1304" s="975" t="str">
        <f>IF(L1304="","",CritClassInd1_Points*J1304+CritClassInd1_Matches*L1304+CritClassInd1_Attaque*O1304+CritClassInd1_DiffButs*Q1304)</f>
        <v/>
      </c>
      <c r="E1304" s="975" t="str">
        <f>IF(L1304="","",Nb_Diff_Part(D1304,D1304:D1321,G1304,G1304:G1321,AI1324:AI1508)*CritClassInd_DiffPart+Nb_Goal_Part(D1304,D1304:D1321,G1304,G1304:G1321,V1324:Z1508)*CritClassInd_GoalPart+Nb_Score_Part(D1304,D1304:D1321,G1304,G1304:G1321,V1324:Z1508)*CritClassInd_ScorePart)</f>
        <v/>
      </c>
      <c r="F1304" s="976" t="str">
        <f>IF(L1304="","",D1304+E1304+CritClassInd2_Points*J1304+CritClassInd2_Matches*L1304+CritClassInd2_Attaque*O1304+CritClassInd2_DiffButs*Q1304+CritClassInd_Ranking*H1304+I1304)</f>
        <v/>
      </c>
      <c r="G1304" s="942" t="s">
        <v>2712</v>
      </c>
      <c r="H1304" s="499">
        <f t="shared" ref="H1304:H1321" si="886">GMFTRANKINGPOINTS(G1304,Particular_Category)</f>
        <v>0</v>
      </c>
      <c r="I1304" s="942"/>
      <c r="J1304" s="974" t="str">
        <f>IF(AK1303="","",(L1304*Points_Victoire)+M1304*Points_Null)</f>
        <v/>
      </c>
      <c r="K1304" s="985" t="str">
        <f t="shared" ref="K1304:K1321" si="887">IF(L1304="","",SUM(L1304:N1304))</f>
        <v/>
      </c>
      <c r="L1304" s="986" t="str">
        <f>IF(AK1303="","",COUNTIF(AE1324:AE1508,G1304))</f>
        <v/>
      </c>
      <c r="M1304" s="986" t="str">
        <f>IF(AK1303="","",COUNTIF(AF1324:AG1508,G1304))</f>
        <v/>
      </c>
      <c r="N1304" s="986" t="str">
        <f>IF(AK1303="","",COUNTIF(AH1324:AH1508,G1304))</f>
        <v/>
      </c>
      <c r="O1304" s="986" t="str">
        <f>IF(AK1303="","",SUMIF(V1324:V1508,G1304,AB1324:AB1508)+SUMIF(Z1324:Z1508,G1304,AD1324:AD1508))</f>
        <v/>
      </c>
      <c r="P1304" s="986" t="str">
        <f>IF(AK1303="","",SUMIF(V1324:V1508,G1304,AD1324:AD1508)+SUMIF(Z1324:Z1508,G1304,AB1324:AB1508))</f>
        <v/>
      </c>
      <c r="Q1304" s="987" t="str">
        <f>IF(AK1303="","",O1304-P1304)</f>
        <v/>
      </c>
      <c r="R1304"/>
      <c r="S1304"/>
      <c r="T1304"/>
      <c r="U1304"/>
      <c r="V1304"/>
      <c r="W1304" s="1"/>
      <c r="X1304" s="1"/>
      <c r="Y1304" s="1"/>
      <c r="Z1304"/>
      <c r="AB1304" s="964"/>
      <c r="AC1304" s="964"/>
      <c r="AD1304" s="964"/>
      <c r="AE1304" s="964"/>
      <c r="AF1304" s="964"/>
      <c r="AG1304" s="964"/>
      <c r="AH1304" s="964"/>
      <c r="AI1304" s="964"/>
      <c r="AJ1304" s="964"/>
      <c r="AK1304" s="968" t="str">
        <f>IF(AK1303="","",SMALL(C1304:C1321,1))</f>
        <v/>
      </c>
      <c r="AL1304"/>
      <c r="AM1304" s="16"/>
      <c r="AN1304" s="943" t="str">
        <f>IF(AK1303="","",INT(AK1304/1000))</f>
        <v/>
      </c>
      <c r="AO1304" s="33" t="str">
        <f>IF(AK1303="","",VLOOKUP(AK1304,C1304:Q1321,5,FALSE))</f>
        <v/>
      </c>
      <c r="AP1304" s="33" t="str">
        <f>VLOOKUP(AK1304,C1304:Q1321,8,FALSE)</f>
        <v/>
      </c>
      <c r="AQ1304" s="33" t="str">
        <f>VLOOKUP(AK1304,C1304:Q1321,9,FALSE)</f>
        <v/>
      </c>
      <c r="AR1304" s="33" t="str">
        <f>VLOOKUP(AK1304,C1304:Q1321,10,FALSE)</f>
        <v/>
      </c>
      <c r="AS1304" s="33" t="str">
        <f>VLOOKUP(AK1304,C1304:Q1321,11,FALSE)</f>
        <v/>
      </c>
      <c r="AT1304" s="33" t="str">
        <f>VLOOKUP(AK1304,C1304:Q1321,12,FALSE)</f>
        <v/>
      </c>
      <c r="AU1304" s="33" t="str">
        <f>VLOOKUP(AK1304,C1304:Q1321,13,FALSE)</f>
        <v/>
      </c>
      <c r="AV1304" s="33" t="str">
        <f>VLOOKUP(AK1304,C1304:Q1321,14,FALSE)</f>
        <v/>
      </c>
      <c r="AW1304" s="944" t="str">
        <f>VLOOKUP(AK1304,C1304:Q1321,15,FALSE)</f>
        <v/>
      </c>
      <c r="AX1304"/>
      <c r="AY1304"/>
      <c r="AZ1304" s="1"/>
      <c r="BA1304" s="1"/>
      <c r="BB1304"/>
      <c r="BC1304" s="6"/>
      <c r="BD1304"/>
      <c r="BE1304" s="1"/>
      <c r="BF1304"/>
      <c r="BG1304" s="16"/>
      <c r="BH1304"/>
      <c r="BI1304"/>
      <c r="BJ1304"/>
      <c r="BK1304"/>
      <c r="BL1304"/>
      <c r="BM1304"/>
      <c r="BN1304"/>
      <c r="BO1304"/>
      <c r="BP1304"/>
      <c r="BQ1304"/>
      <c r="BR1304"/>
      <c r="BS1304"/>
      <c r="BT1304"/>
      <c r="BU1304"/>
      <c r="BV1304"/>
      <c r="BW1304"/>
      <c r="BX1304"/>
      <c r="BY1304"/>
      <c r="BZ1304"/>
      <c r="CA1304" s="1396"/>
      <c r="CB1304" s="1396"/>
      <c r="CC1304"/>
      <c r="CD1304"/>
      <c r="CE1304"/>
    </row>
    <row r="1305" spans="1:83" outlineLevel="1" x14ac:dyDescent="0.2">
      <c r="A1305"/>
      <c r="B1305" s="945">
        <v>2</v>
      </c>
      <c r="C1305" s="977" t="str">
        <f>IF(AK1303="","",RANK(F1305,F1304:F1321)*1000+ROW())</f>
        <v/>
      </c>
      <c r="D1305" s="978" t="str">
        <f t="shared" ref="D1305:D1321" si="888">IF(L1305="","",CritClassInd1_Points*J1305+CritClassInd1_Matches*L1305+CritClassInd1_Attaque*O1305+CritClassInd1_DiffButs*Q1305)</f>
        <v/>
      </c>
      <c r="E1305" s="978" t="str">
        <f>IF(L1305="","",Nb_Diff_Part(D1305,D1304:D1321,G1305,G1304:G1321,AI1324:AI1508)*CritClassInd_DiffPart+Nb_Goal_Part(D1305,D1304:D1321,G1305,G1304:G1321,V1324:Z1508)*CritClassInd_GoalPart+Nb_Score_Part(D1305,D1304:D1321,G1305,G1304:G1321,V1324:Z1508)*CritClassInd_ScorePart)</f>
        <v/>
      </c>
      <c r="F1305" s="979" t="str">
        <f t="shared" ref="F1305:F1321" si="889">IF(L1305="","",D1305+E1305+CritClassInd2_Points*J1305+CritClassInd2_Matches*L1305+CritClassInd2_Attaque*O1305+CritClassInd2_DiffButs*Q1305+CritClassInd_Ranking*H1305+I1305)</f>
        <v/>
      </c>
      <c r="G1305" s="39" t="s">
        <v>3911</v>
      </c>
      <c r="H1305" s="501">
        <f t="shared" si="886"/>
        <v>0</v>
      </c>
      <c r="I1305" s="39"/>
      <c r="J1305" s="977" t="str">
        <f>IF(AK1303="","",(L1305*Points_Victoire)+M1305*Points_Null)</f>
        <v/>
      </c>
      <c r="K1305" s="988" t="str">
        <f t="shared" si="887"/>
        <v/>
      </c>
      <c r="L1305" s="988" t="str">
        <f>IF(AK1303="","",COUNTIF(AE1324:AE1508,G1305))</f>
        <v/>
      </c>
      <c r="M1305" s="988" t="str">
        <f>IF(AK1303="","",COUNTIF(AF1324:AG1508,G1305))</f>
        <v/>
      </c>
      <c r="N1305" s="988" t="str">
        <f>IF(AK1303="","",COUNTIF(AH1324:AH1508,G1305))</f>
        <v/>
      </c>
      <c r="O1305" s="988" t="str">
        <f>IF(AK1303="","",SUMIF(V1324:V1508,G1305,AB1324:AB1508)+SUMIF(Z1324:Z1508,G1305,AD1324:AD1508))</f>
        <v/>
      </c>
      <c r="P1305" s="988" t="str">
        <f>IF(AK1303="","",SUMIF(V1324:V1508,G1305,AD1324:AD1508)+SUMIF(Z1324:Z1508,G1305,AB1324:AB1508))</f>
        <v/>
      </c>
      <c r="Q1305" s="989" t="str">
        <f>IF(AK1303="","",O1305-P1305)</f>
        <v/>
      </c>
      <c r="R1305"/>
      <c r="S1305"/>
      <c r="T1305"/>
      <c r="U1305"/>
      <c r="V1305"/>
      <c r="W1305" s="1"/>
      <c r="X1305" s="1"/>
      <c r="Y1305" s="1"/>
      <c r="Z1305"/>
      <c r="AB1305" s="964"/>
      <c r="AC1305" s="964"/>
      <c r="AD1305" s="964"/>
      <c r="AE1305" s="964"/>
      <c r="AF1305" s="964"/>
      <c r="AG1305" s="964"/>
      <c r="AH1305" s="964"/>
      <c r="AI1305" s="964"/>
      <c r="AJ1305" s="964"/>
      <c r="AK1305" s="968" t="str">
        <f>IF(AK1303="","",SMALL(C1304:C1321,2))</f>
        <v/>
      </c>
      <c r="AL1305"/>
      <c r="AM1305" s="16"/>
      <c r="AN1305" s="946" t="str">
        <f>IF(AK1303="","",INT(AK1305/1000))</f>
        <v/>
      </c>
      <c r="AO1305" s="42" t="str">
        <f>IF(AK1303="","",VLOOKUP(AK1305,C1304:Q1321,5,FALSE))</f>
        <v/>
      </c>
      <c r="AP1305" s="42" t="str">
        <f>VLOOKUP(AK1305,C1304:Q1321,8,FALSE)</f>
        <v/>
      </c>
      <c r="AQ1305" s="42" t="str">
        <f>VLOOKUP(AK1305,C1304:Q1321,9,FALSE)</f>
        <v/>
      </c>
      <c r="AR1305" s="42" t="str">
        <f>VLOOKUP(AK1305,C1304:Q1321,10,FALSE)</f>
        <v/>
      </c>
      <c r="AS1305" s="42" t="str">
        <f>VLOOKUP(AK1305,C1304:Q1321,11,FALSE)</f>
        <v/>
      </c>
      <c r="AT1305" s="42" t="str">
        <f>VLOOKUP(AK1305,C1304:Q1321,12,FALSE)</f>
        <v/>
      </c>
      <c r="AU1305" s="42" t="str">
        <f>VLOOKUP(AK1305,C1304:Q1321,13,FALSE)</f>
        <v/>
      </c>
      <c r="AV1305" s="42" t="str">
        <f>VLOOKUP(AK1305,C1304:Q1321,14,FALSE)</f>
        <v/>
      </c>
      <c r="AW1305" s="947" t="str">
        <f>VLOOKUP(AK1305,C1304:Q1321,15,FALSE)</f>
        <v/>
      </c>
      <c r="AX1305"/>
      <c r="AY1305"/>
      <c r="AZ1305" s="1"/>
      <c r="BA1305" s="1"/>
      <c r="BB1305"/>
      <c r="BC1305" s="6"/>
      <c r="BD1305"/>
      <c r="BE1305" s="1"/>
      <c r="BF1305"/>
      <c r="BG1305" s="16"/>
      <c r="BH1305"/>
      <c r="BI1305"/>
      <c r="BJ1305"/>
      <c r="BK1305"/>
      <c r="BL1305"/>
      <c r="BM1305"/>
      <c r="BN1305"/>
      <c r="BO1305"/>
      <c r="BP1305"/>
      <c r="BQ1305"/>
      <c r="BR1305"/>
      <c r="BS1305"/>
      <c r="BT1305"/>
      <c r="BU1305"/>
      <c r="BV1305"/>
      <c r="BW1305"/>
      <c r="BX1305"/>
      <c r="BY1305"/>
      <c r="BZ1305"/>
      <c r="CA1305" s="1396"/>
      <c r="CB1305" s="1396"/>
      <c r="CC1305"/>
      <c r="CD1305"/>
      <c r="CE1305"/>
    </row>
    <row r="1306" spans="1:83" outlineLevel="1" x14ac:dyDescent="0.2">
      <c r="A1306"/>
      <c r="B1306" s="945">
        <v>3</v>
      </c>
      <c r="C1306" s="977" t="str">
        <f>IF(AK1303="","",RANK(F1306,F1304:F1321)*1000+ROW())</f>
        <v/>
      </c>
      <c r="D1306" s="978" t="str">
        <f t="shared" si="888"/>
        <v/>
      </c>
      <c r="E1306" s="978" t="str">
        <f>IF(L1306="","",Nb_Diff_Part(D1306,D1304:D1321,G1306,G1304:G1321,AI1324:AI1508)*CritClassInd_DiffPart+Nb_Goal_Part(D1306,D1304:D1321,G1306,G1304:G1321,V1324:Z1508)*CritClassInd_GoalPart+Nb_Score_Part(D1306,D1304:D1321,G1306,G1304:G1321,V1324:Z1508)*CritClassInd_ScorePart)</f>
        <v/>
      </c>
      <c r="F1306" s="979" t="str">
        <f t="shared" si="889"/>
        <v/>
      </c>
      <c r="G1306" s="39" t="s">
        <v>3912</v>
      </c>
      <c r="H1306" s="501">
        <f t="shared" si="886"/>
        <v>0</v>
      </c>
      <c r="I1306" s="39"/>
      <c r="J1306" s="977" t="str">
        <f>IF(AK1303="","",(L1306*Points_Victoire)+M1306*Points_Null)</f>
        <v/>
      </c>
      <c r="K1306" s="988" t="str">
        <f t="shared" si="887"/>
        <v/>
      </c>
      <c r="L1306" s="988" t="str">
        <f>IF(AK1303="","",COUNTIF(AE1324:AE1508,G1306))</f>
        <v/>
      </c>
      <c r="M1306" s="988" t="str">
        <f>IF(AK1303="","",COUNTIF(AF1324:AG1508,G1306))</f>
        <v/>
      </c>
      <c r="N1306" s="988" t="str">
        <f>IF(AK1303="","",COUNTIF(AH1324:AH1508,G1306))</f>
        <v/>
      </c>
      <c r="O1306" s="988" t="str">
        <f>IF(AK1303="","",SUMIF(V1324:V1508,G1306,AB1324:AB1508)+SUMIF(Z1324:Z1508,G1306,AD1324:AD1508))</f>
        <v/>
      </c>
      <c r="P1306" s="988" t="str">
        <f>IF(AK1303="","",SUMIF(V1324:V1508,G1306,AD1324:AD1508)+SUMIF(Z1324:Z1508,G1306,AB1324:AB1508))</f>
        <v/>
      </c>
      <c r="Q1306" s="989" t="str">
        <f>IF(AK1303="","",O1306-P1306)</f>
        <v/>
      </c>
      <c r="R1306"/>
      <c r="S1306"/>
      <c r="T1306"/>
      <c r="U1306"/>
      <c r="V1306"/>
      <c r="W1306" s="1"/>
      <c r="X1306" s="1"/>
      <c r="Y1306" s="1"/>
      <c r="Z1306"/>
      <c r="AB1306" s="964"/>
      <c r="AC1306" s="964"/>
      <c r="AD1306" s="964"/>
      <c r="AE1306" s="964"/>
      <c r="AF1306" s="964"/>
      <c r="AG1306" s="964"/>
      <c r="AH1306" s="964"/>
      <c r="AI1306" s="964"/>
      <c r="AJ1306" s="964"/>
      <c r="AK1306" s="968" t="str">
        <f>IF(AK1303="","",SMALL(C1304:C1321,3))</f>
        <v/>
      </c>
      <c r="AL1306"/>
      <c r="AM1306" s="16"/>
      <c r="AN1306" s="946" t="str">
        <f>IF(AK1303="","",INT(AK1306/1000))</f>
        <v/>
      </c>
      <c r="AO1306" s="42" t="str">
        <f>IF(AK1303="","",VLOOKUP(AK1306,C1304:Q1321,5,FALSE))</f>
        <v/>
      </c>
      <c r="AP1306" s="42" t="str">
        <f>VLOOKUP(AK1306,C1304:Q1321,8,FALSE)</f>
        <v/>
      </c>
      <c r="AQ1306" s="42" t="str">
        <f>VLOOKUP(AK1306,C1304:Q1321,9,FALSE)</f>
        <v/>
      </c>
      <c r="AR1306" s="42" t="str">
        <f>VLOOKUP(AK1306,C1304:Q1321,10,FALSE)</f>
        <v/>
      </c>
      <c r="AS1306" s="42" t="str">
        <f>VLOOKUP(AK1306,C1304:Q1321,11,FALSE)</f>
        <v/>
      </c>
      <c r="AT1306" s="42" t="str">
        <f>VLOOKUP(AK1306,C1304:Q1321,12,FALSE)</f>
        <v/>
      </c>
      <c r="AU1306" s="42" t="str">
        <f>VLOOKUP(AK1306,C1304:Q1321,13,FALSE)</f>
        <v/>
      </c>
      <c r="AV1306" s="42" t="str">
        <f>VLOOKUP(AK1306,C1304:Q1321,14,FALSE)</f>
        <v/>
      </c>
      <c r="AW1306" s="947" t="str">
        <f>VLOOKUP(AK1306,C1304:Q1321,15,FALSE)</f>
        <v/>
      </c>
      <c r="AX1306"/>
      <c r="AY1306"/>
      <c r="AZ1306" s="1"/>
      <c r="BA1306" s="1"/>
      <c r="BB1306"/>
      <c r="BC1306" s="6"/>
      <c r="BD1306"/>
      <c r="BE1306" s="1"/>
      <c r="BF1306"/>
      <c r="BG1306" s="16"/>
      <c r="BH1306"/>
      <c r="BI1306"/>
      <c r="BJ1306"/>
      <c r="BK1306"/>
      <c r="BL1306"/>
      <c r="BM1306"/>
      <c r="BN1306"/>
      <c r="BO1306"/>
      <c r="BP1306"/>
      <c r="BQ1306"/>
      <c r="BR1306"/>
      <c r="BS1306"/>
      <c r="BT1306"/>
      <c r="BU1306"/>
      <c r="BV1306"/>
      <c r="BW1306"/>
      <c r="BX1306"/>
      <c r="BY1306"/>
      <c r="BZ1306"/>
      <c r="CA1306" s="1396"/>
      <c r="CB1306" s="1396"/>
      <c r="CC1306"/>
      <c r="CD1306"/>
      <c r="CE1306"/>
    </row>
    <row r="1307" spans="1:83" outlineLevel="1" x14ac:dyDescent="0.2">
      <c r="A1307"/>
      <c r="B1307" s="945">
        <v>4</v>
      </c>
      <c r="C1307" s="977" t="str">
        <f>IF(AK1303="","",RANK(F1307,F1304:F1321)*1000+ROW())</f>
        <v/>
      </c>
      <c r="D1307" s="978" t="str">
        <f t="shared" si="888"/>
        <v/>
      </c>
      <c r="E1307" s="978" t="str">
        <f>IF(L1307="","",Nb_Diff_Part(D1307,D1304:D1321,G1307,G1304:G1321,AI1324:AI1508)*CritClassInd_DiffPart+Nb_Goal_Part(D1307,D1304:D1321,G1307,G1304:G1321,V1324:Z1508)*CritClassInd_GoalPart+Nb_Score_Part(D1307,D1304:D1321,G1307,G1304:G1321,V1324:Z1508)*CritClassInd_ScorePart)</f>
        <v/>
      </c>
      <c r="F1307" s="979" t="str">
        <f t="shared" si="889"/>
        <v/>
      </c>
      <c r="G1307" s="39" t="s">
        <v>2710</v>
      </c>
      <c r="H1307" s="501">
        <f t="shared" si="886"/>
        <v>0</v>
      </c>
      <c r="I1307" s="39"/>
      <c r="J1307" s="977" t="str">
        <f>IF(AK1303="","",(L1307*Points_Victoire)+M1307*Points_Null)</f>
        <v/>
      </c>
      <c r="K1307" s="988" t="str">
        <f t="shared" si="887"/>
        <v/>
      </c>
      <c r="L1307" s="988" t="str">
        <f>IF(AK1303="","",COUNTIF(AE1324:AE1508,G1307))</f>
        <v/>
      </c>
      <c r="M1307" s="988" t="str">
        <f>IF(AK1303="","",COUNTIF(AF1324:AG1508,G1307))</f>
        <v/>
      </c>
      <c r="N1307" s="988" t="str">
        <f>IF(AK1303="","",COUNTIF(AH1324:AH1508,G1307))</f>
        <v/>
      </c>
      <c r="O1307" s="988" t="str">
        <f>IF(AK1303="","",SUMIF(V1324:V1508,G1307,AB1324:AB1508)+SUMIF(Z1324:Z1508,G1307,AD1324:AD1508))</f>
        <v/>
      </c>
      <c r="P1307" s="988" t="str">
        <f>IF(AK1303="","",SUMIF(V1324:V1508,G1307,AD1324:AD1508)+SUMIF(Z1324:Z1508,G1307,AB1324:AB1508))</f>
        <v/>
      </c>
      <c r="Q1307" s="989" t="str">
        <f>IF(AK1303="","",O1307-P1307)</f>
        <v/>
      </c>
      <c r="R1307"/>
      <c r="S1307"/>
      <c r="T1307"/>
      <c r="U1307"/>
      <c r="V1307"/>
      <c r="W1307" s="1"/>
      <c r="X1307" s="1"/>
      <c r="Y1307" s="1"/>
      <c r="Z1307"/>
      <c r="AB1307" s="964"/>
      <c r="AC1307" s="964"/>
      <c r="AD1307" s="964"/>
      <c r="AE1307" s="964"/>
      <c r="AF1307" s="964"/>
      <c r="AG1307" s="964"/>
      <c r="AH1307" s="964"/>
      <c r="AI1307" s="964"/>
      <c r="AJ1307" s="964"/>
      <c r="AK1307" s="968" t="str">
        <f>IF(AK1303="","",SMALL(C1304:C1321,4))</f>
        <v/>
      </c>
      <c r="AL1307"/>
      <c r="AM1307" s="16"/>
      <c r="AN1307" s="946" t="str">
        <f>IF(AK1303="","",INT(AK1307/1000))</f>
        <v/>
      </c>
      <c r="AO1307" s="42" t="str">
        <f>IF(AK1303="","",VLOOKUP(AK1307,C1304:Q1321,5,FALSE))</f>
        <v/>
      </c>
      <c r="AP1307" s="42" t="str">
        <f>VLOOKUP(AK1307,C1304:Q1321,8,FALSE)</f>
        <v/>
      </c>
      <c r="AQ1307" s="42" t="str">
        <f>VLOOKUP(AK1307,C1304:Q1321,9,FALSE)</f>
        <v/>
      </c>
      <c r="AR1307" s="42" t="str">
        <f>VLOOKUP(AK1307,C1304:Q1321,10,FALSE)</f>
        <v/>
      </c>
      <c r="AS1307" s="42" t="str">
        <f>VLOOKUP(AK1307,C1304:Q1321,11,FALSE)</f>
        <v/>
      </c>
      <c r="AT1307" s="42" t="str">
        <f>VLOOKUP(AK1307,C1304:Q1321,12,FALSE)</f>
        <v/>
      </c>
      <c r="AU1307" s="42" t="str">
        <f>VLOOKUP(AK1307,C1304:Q1321,13,FALSE)</f>
        <v/>
      </c>
      <c r="AV1307" s="42" t="str">
        <f>VLOOKUP(AK1307,C1304:Q1321,14,FALSE)</f>
        <v/>
      </c>
      <c r="AW1307" s="947" t="str">
        <f>VLOOKUP(AK1307,C1304:Q1321,15,FALSE)</f>
        <v/>
      </c>
      <c r="AX1307"/>
      <c r="AY1307"/>
      <c r="AZ1307" s="1"/>
      <c r="BA1307" s="1"/>
      <c r="BB1307"/>
      <c r="BC1307" s="6"/>
      <c r="BD1307"/>
      <c r="BE1307" s="1"/>
      <c r="BF1307"/>
      <c r="BG1307" s="16"/>
      <c r="BH1307"/>
      <c r="BI1307"/>
      <c r="BJ1307"/>
      <c r="BK1307"/>
      <c r="BL1307"/>
      <c r="BM1307"/>
      <c r="BN1307"/>
      <c r="BO1307"/>
      <c r="BP1307"/>
      <c r="BQ1307"/>
      <c r="BR1307"/>
      <c r="BS1307"/>
      <c r="BT1307"/>
      <c r="BU1307"/>
      <c r="BV1307"/>
      <c r="BW1307"/>
      <c r="BX1307"/>
      <c r="BY1307"/>
      <c r="BZ1307"/>
      <c r="CA1307" s="1396"/>
      <c r="CB1307" s="1396"/>
      <c r="CC1307"/>
      <c r="CD1307"/>
      <c r="CE1307"/>
    </row>
    <row r="1308" spans="1:83" outlineLevel="1" x14ac:dyDescent="0.2">
      <c r="A1308"/>
      <c r="B1308" s="945">
        <v>5</v>
      </c>
      <c r="C1308" s="977" t="str">
        <f>IF(AK1303="","",RANK(F1308,F1304:F1321)*1000+ROW())</f>
        <v/>
      </c>
      <c r="D1308" s="978" t="str">
        <f t="shared" si="888"/>
        <v/>
      </c>
      <c r="E1308" s="978" t="str">
        <f>IF(L1308="","",Nb_Diff_Part(D1308,D1304:D1321,G1308,G1304:G1321,AI1324:AI1508)*CritClassInd_DiffPart+Nb_Goal_Part(D1308,D1304:D1321,G1308,G1304:G1321,V1324:Z1508)*CritClassInd_GoalPart+Nb_Score_Part(D1308,D1304:D1321,G1308,G1304:G1321,V1324:Z1508)*CritClassInd_ScorePart)</f>
        <v/>
      </c>
      <c r="F1308" s="979" t="str">
        <f t="shared" si="889"/>
        <v/>
      </c>
      <c r="G1308" s="39" t="s">
        <v>3913</v>
      </c>
      <c r="H1308" s="501">
        <f t="shared" si="886"/>
        <v>0</v>
      </c>
      <c r="I1308" s="39"/>
      <c r="J1308" s="977" t="str">
        <f>IF(AK1303="","",(L1308*Points_Victoire)+M1308*Points_Null)</f>
        <v/>
      </c>
      <c r="K1308" s="988" t="str">
        <f t="shared" si="887"/>
        <v/>
      </c>
      <c r="L1308" s="988" t="str">
        <f>IF(AK1303="","",COUNTIF(AE1324:AE1508,G1308))</f>
        <v/>
      </c>
      <c r="M1308" s="988" t="str">
        <f>IF(AK1303="","",COUNTIF(AF1324:AG1508,G1308))</f>
        <v/>
      </c>
      <c r="N1308" s="988" t="str">
        <f>IF(AK1303="","",COUNTIF(AH1324:AH1508,G1308))</f>
        <v/>
      </c>
      <c r="O1308" s="988" t="str">
        <f>IF(AK1303="","",SUMIF(V1324:V1508,G1308,AB1324:AB1508)+SUMIF(Z1324:Z1508,G1308,AD1324:AD1508))</f>
        <v/>
      </c>
      <c r="P1308" s="988" t="str">
        <f>IF(AK1303="","",SUMIF(V1324:V1508,G1308,AD1324:AD1508)+SUMIF(Z1324:Z1508,G1308,AB1324:AB1508))</f>
        <v/>
      </c>
      <c r="Q1308" s="989" t="str">
        <f>IF(AK1303="","",O1308-P1308)</f>
        <v/>
      </c>
      <c r="R1308"/>
      <c r="S1308"/>
      <c r="T1308"/>
      <c r="U1308"/>
      <c r="V1308"/>
      <c r="W1308" s="1"/>
      <c r="X1308" s="1"/>
      <c r="Y1308" s="1"/>
      <c r="Z1308"/>
      <c r="AB1308" s="964"/>
      <c r="AC1308" s="964"/>
      <c r="AD1308" s="964"/>
      <c r="AE1308" s="964"/>
      <c r="AF1308" s="964"/>
      <c r="AG1308" s="964"/>
      <c r="AH1308" s="964"/>
      <c r="AI1308" s="964"/>
      <c r="AJ1308" s="964"/>
      <c r="AK1308" s="968" t="str">
        <f>IF(AK1303="","",SMALL(C1304:C1321,5))</f>
        <v/>
      </c>
      <c r="AL1308"/>
      <c r="AM1308" s="16"/>
      <c r="AN1308" s="946" t="str">
        <f>IF(AK1303="","",INT(AK1308/1000))</f>
        <v/>
      </c>
      <c r="AO1308" s="42" t="str">
        <f>IF(AK1303="","",VLOOKUP(AK1308,C1304:Q1321,5,FALSE))</f>
        <v/>
      </c>
      <c r="AP1308" s="42" t="str">
        <f>VLOOKUP(AK1308,C1304:Q1321,8,FALSE)</f>
        <v/>
      </c>
      <c r="AQ1308" s="42" t="str">
        <f>VLOOKUP(AK1308,C1304:Q1321,9,FALSE)</f>
        <v/>
      </c>
      <c r="AR1308" s="42" t="str">
        <f>VLOOKUP(AK1308,C1304:Q1321,10,FALSE)</f>
        <v/>
      </c>
      <c r="AS1308" s="42" t="str">
        <f>VLOOKUP(AK1308,C1304:Q1321,11,FALSE)</f>
        <v/>
      </c>
      <c r="AT1308" s="42" t="str">
        <f>VLOOKUP(AK1308,C1304:Q1321,12,FALSE)</f>
        <v/>
      </c>
      <c r="AU1308" s="42" t="str">
        <f>VLOOKUP(AK1308,C1304:Q1321,13,FALSE)</f>
        <v/>
      </c>
      <c r="AV1308" s="42" t="str">
        <f>VLOOKUP(AK1308,C1304:Q1321,14,FALSE)</f>
        <v/>
      </c>
      <c r="AW1308" s="947" t="str">
        <f>VLOOKUP(AK1308,C1304:Q1321,15,FALSE)</f>
        <v/>
      </c>
      <c r="AX1308"/>
      <c r="AY1308"/>
      <c r="AZ1308" s="1"/>
      <c r="BA1308" s="1"/>
      <c r="BB1308"/>
      <c r="BC1308" s="6"/>
      <c r="BD1308"/>
      <c r="BE1308" s="1"/>
      <c r="BF1308"/>
      <c r="BG1308" s="16"/>
      <c r="BH1308"/>
      <c r="BI1308"/>
      <c r="BJ1308"/>
      <c r="BK1308"/>
      <c r="BL1308"/>
      <c r="BM1308"/>
      <c r="BN1308"/>
      <c r="BO1308"/>
      <c r="BP1308"/>
      <c r="BQ1308"/>
      <c r="BR1308"/>
      <c r="BS1308"/>
      <c r="BT1308"/>
      <c r="BU1308"/>
      <c r="BV1308"/>
      <c r="BW1308"/>
      <c r="BX1308"/>
      <c r="BY1308"/>
      <c r="BZ1308"/>
      <c r="CA1308" s="1396"/>
      <c r="CB1308" s="1396"/>
      <c r="CC1308"/>
      <c r="CD1308"/>
      <c r="CE1308"/>
    </row>
    <row r="1309" spans="1:83" outlineLevel="1" x14ac:dyDescent="0.2">
      <c r="A1309"/>
      <c r="B1309" s="945">
        <v>6</v>
      </c>
      <c r="C1309" s="977" t="str">
        <f>IF(AK1303="","",RANK(F1309,F1304:F1321)*1000+ROW())</f>
        <v/>
      </c>
      <c r="D1309" s="978" t="str">
        <f t="shared" si="888"/>
        <v/>
      </c>
      <c r="E1309" s="978" t="str">
        <f>IF(L1309="","",Nb_Diff_Part(D1309,D1304:D1321,G1309,G1304:G1321,AI1324:AI1508)*CritClassInd_DiffPart+Nb_Goal_Part(D1309,D1304:D1321,G1309,G1304:G1321,V1324:Z1508)*CritClassInd_GoalPart+Nb_Score_Part(D1309,D1304:D1321,G1309,G1304:G1321,V1324:Z1508)*CritClassInd_ScorePart)</f>
        <v/>
      </c>
      <c r="F1309" s="979" t="str">
        <f t="shared" si="889"/>
        <v/>
      </c>
      <c r="G1309" s="39" t="s">
        <v>2711</v>
      </c>
      <c r="H1309" s="501">
        <f t="shared" si="886"/>
        <v>0</v>
      </c>
      <c r="I1309" s="39"/>
      <c r="J1309" s="977" t="str">
        <f>IF(AK1303="","",(L1309*Points_Victoire)+M1309*Points_Null)</f>
        <v/>
      </c>
      <c r="K1309" s="988" t="str">
        <f t="shared" si="887"/>
        <v/>
      </c>
      <c r="L1309" s="988" t="str">
        <f>IF(AK1303="","",COUNTIF(AE1324:AE1508,G1309))</f>
        <v/>
      </c>
      <c r="M1309" s="988" t="str">
        <f>IF(AK1303="","",COUNTIF(AF1324:AG1508,G1309))</f>
        <v/>
      </c>
      <c r="N1309" s="988" t="str">
        <f>IF(AK1303="","",COUNTIF(AH1324:AH1508,G1309))</f>
        <v/>
      </c>
      <c r="O1309" s="988" t="str">
        <f>IF(AK1303="","",SUMIF(V1324:V1508,G1309,AB1324:AB1508)+SUMIF(Z1324:Z1508,G1309,AD1324:AD1508))</f>
        <v/>
      </c>
      <c r="P1309" s="988" t="str">
        <f>IF(AK1303="","",SUMIF(V1324:V1508,G1309,AD1324:AD1508)+SUMIF(Z1324:Z1508,G1309,AB1324:AB1508))</f>
        <v/>
      </c>
      <c r="Q1309" s="989" t="str">
        <f>IF(AK1303="","",O1309-P1309)</f>
        <v/>
      </c>
      <c r="R1309"/>
      <c r="S1309"/>
      <c r="T1309"/>
      <c r="U1309"/>
      <c r="V1309"/>
      <c r="W1309" s="1"/>
      <c r="X1309" s="1"/>
      <c r="Y1309" s="1"/>
      <c r="Z1309"/>
      <c r="AB1309" s="964"/>
      <c r="AC1309" s="964"/>
      <c r="AD1309" s="964"/>
      <c r="AE1309" s="964"/>
      <c r="AF1309" s="964"/>
      <c r="AG1309" s="964"/>
      <c r="AH1309" s="964"/>
      <c r="AI1309" s="964"/>
      <c r="AJ1309" s="964"/>
      <c r="AK1309" s="968" t="str">
        <f>IF(AK1303="","",SMALL(C1304:C1321,6))</f>
        <v/>
      </c>
      <c r="AL1309"/>
      <c r="AM1309" s="16"/>
      <c r="AN1309" s="946" t="str">
        <f>IF(AK1303="","",INT(AK1309/1000))</f>
        <v/>
      </c>
      <c r="AO1309" s="42" t="str">
        <f>IF(AK1303="","",VLOOKUP(AK1309,C1304:Q1321,5,FALSE))</f>
        <v/>
      </c>
      <c r="AP1309" s="42" t="str">
        <f>VLOOKUP(AK1309,C1304:Q1321,8,FALSE)</f>
        <v/>
      </c>
      <c r="AQ1309" s="42" t="str">
        <f>VLOOKUP(AK1309,C1304:Q1321,9,FALSE)</f>
        <v/>
      </c>
      <c r="AR1309" s="42" t="str">
        <f>VLOOKUP(AK1309,C1304:Q1321,10,FALSE)</f>
        <v/>
      </c>
      <c r="AS1309" s="42" t="str">
        <f>VLOOKUP(AK1309,C1304:Q1321,11,FALSE)</f>
        <v/>
      </c>
      <c r="AT1309" s="42" t="str">
        <f>VLOOKUP(AK1309,C1304:Q1321,12,FALSE)</f>
        <v/>
      </c>
      <c r="AU1309" s="42" t="str">
        <f>VLOOKUP(AK1309,C1304:Q1321,13,FALSE)</f>
        <v/>
      </c>
      <c r="AV1309" s="42" t="str">
        <f>VLOOKUP(AK1309,C1304:Q1321,14,FALSE)</f>
        <v/>
      </c>
      <c r="AW1309" s="947" t="str">
        <f>VLOOKUP(AK1309,C1304:Q1321,15,FALSE)</f>
        <v/>
      </c>
      <c r="AX1309"/>
      <c r="AY1309"/>
      <c r="AZ1309" s="1"/>
      <c r="BA1309" s="1"/>
      <c r="BB1309"/>
      <c r="BC1309" s="6"/>
      <c r="BD1309"/>
      <c r="BE1309" s="1"/>
      <c r="BF1309"/>
      <c r="BG1309" s="16"/>
      <c r="BH1309"/>
      <c r="BI1309"/>
      <c r="BJ1309"/>
      <c r="BK1309"/>
      <c r="BL1309"/>
      <c r="BM1309"/>
      <c r="BN1309"/>
      <c r="BO1309"/>
      <c r="BP1309"/>
      <c r="BQ1309"/>
      <c r="BR1309"/>
      <c r="BS1309"/>
      <c r="BT1309"/>
      <c r="BU1309"/>
      <c r="BV1309"/>
      <c r="BW1309"/>
      <c r="BX1309"/>
      <c r="BY1309"/>
      <c r="BZ1309"/>
      <c r="CA1309" s="1396"/>
      <c r="CB1309" s="1396"/>
      <c r="CC1309"/>
      <c r="CD1309"/>
      <c r="CE1309"/>
    </row>
    <row r="1310" spans="1:83" outlineLevel="1" x14ac:dyDescent="0.2">
      <c r="A1310"/>
      <c r="B1310" s="945">
        <v>7</v>
      </c>
      <c r="C1310" s="977" t="str">
        <f>IF(AK1303="","",RANK(F1310,F1304:F1321)*1000+ROW())</f>
        <v/>
      </c>
      <c r="D1310" s="978" t="str">
        <f t="shared" si="888"/>
        <v/>
      </c>
      <c r="E1310" s="978" t="str">
        <f>IF(L1310="","",Nb_Diff_Part(D1310,D1304:D1321,G1310,G1304:G1321,AI1324:AI1508)*CritClassInd_DiffPart+Nb_Goal_Part(D1310,D1304:D1321,G1310,G1304:G1321,V1324:Z1508)*CritClassInd_GoalPart+Nb_Score_Part(D1310,D1304:D1321,G1310,G1304:G1321,V1324:Z1508)*CritClassInd_ScorePart)</f>
        <v/>
      </c>
      <c r="F1310" s="979" t="str">
        <f t="shared" si="889"/>
        <v/>
      </c>
      <c r="G1310" s="39" t="s">
        <v>790</v>
      </c>
      <c r="H1310" s="501">
        <f t="shared" si="886"/>
        <v>0</v>
      </c>
      <c r="I1310" s="39"/>
      <c r="J1310" s="977" t="str">
        <f>IF(AK1303="","",(L1310*Points_Victoire)+M1310*Points_Null)</f>
        <v/>
      </c>
      <c r="K1310" s="988" t="str">
        <f t="shared" si="887"/>
        <v/>
      </c>
      <c r="L1310" s="988" t="str">
        <f>IF(AK1303="","",COUNTIF(AE1324:AE1508,G1310))</f>
        <v/>
      </c>
      <c r="M1310" s="988" t="str">
        <f>IF(AK1303="","",COUNTIF(AF1324:AG1508,G1310))</f>
        <v/>
      </c>
      <c r="N1310" s="988" t="str">
        <f>IF(AK1303="","",COUNTIF(AH1324:AH1508,G1310))</f>
        <v/>
      </c>
      <c r="O1310" s="988" t="str">
        <f>IF(AK1303="","",SUMIF(V1324:V1508,G1310,AB1324:AB1508)+SUMIF(Z1324:Z1508,G1310,AD1324:AD1508))</f>
        <v/>
      </c>
      <c r="P1310" s="988" t="str">
        <f>IF(AK1303="","",SUMIF(V1324:V1508,G1310,AD1324:AD1508)+SUMIF(Z1324:Z1508,G1310,AB1324:AB1508))</f>
        <v/>
      </c>
      <c r="Q1310" s="989" t="str">
        <f>IF(AK1303="","",O1310-P1310)</f>
        <v/>
      </c>
      <c r="R1310"/>
      <c r="S1310"/>
      <c r="T1310"/>
      <c r="U1310"/>
      <c r="V1310"/>
      <c r="W1310" s="1"/>
      <c r="X1310" s="1"/>
      <c r="Y1310" s="1"/>
      <c r="Z1310"/>
      <c r="AB1310" s="964"/>
      <c r="AC1310" s="964"/>
      <c r="AD1310" s="964"/>
      <c r="AE1310" s="964"/>
      <c r="AF1310" s="964"/>
      <c r="AG1310" s="964"/>
      <c r="AH1310" s="964"/>
      <c r="AI1310" s="964"/>
      <c r="AJ1310" s="964"/>
      <c r="AK1310" s="968" t="str">
        <f>IF(AK1303="","",SMALL(C1304:C1321,7))</f>
        <v/>
      </c>
      <c r="AL1310"/>
      <c r="AM1310" s="16"/>
      <c r="AN1310" s="946" t="str">
        <f>IF(AK1303="","",INT(AK1310/1000))</f>
        <v/>
      </c>
      <c r="AO1310" s="42" t="str">
        <f>IF(AK1303="","",VLOOKUP(AK1310,C1304:Q1321,5,FALSE))</f>
        <v/>
      </c>
      <c r="AP1310" s="42" t="str">
        <f>VLOOKUP(AK1310,C1304:Q1321,8,FALSE)</f>
        <v/>
      </c>
      <c r="AQ1310" s="42" t="str">
        <f>VLOOKUP(AK1310,C1304:Q1321,9,FALSE)</f>
        <v/>
      </c>
      <c r="AR1310" s="42" t="str">
        <f>VLOOKUP(AK1310,C1304:Q1321,10,FALSE)</f>
        <v/>
      </c>
      <c r="AS1310" s="42" t="str">
        <f>VLOOKUP(AK1310,C1304:Q1321,11,FALSE)</f>
        <v/>
      </c>
      <c r="AT1310" s="42" t="str">
        <f>VLOOKUP(AK1310,C1304:Q1321,12,FALSE)</f>
        <v/>
      </c>
      <c r="AU1310" s="42" t="str">
        <f>VLOOKUP(AK1310,C1304:Q1321,13,FALSE)</f>
        <v/>
      </c>
      <c r="AV1310" s="42" t="str">
        <f>VLOOKUP(AK1310,C1304:Q1321,14,FALSE)</f>
        <v/>
      </c>
      <c r="AW1310" s="947" t="str">
        <f>VLOOKUP(AK1310,C1304:Q1321,15,FALSE)</f>
        <v/>
      </c>
      <c r="AX1310"/>
      <c r="AY1310"/>
      <c r="AZ1310" s="1"/>
      <c r="BA1310" s="1"/>
      <c r="BB1310"/>
      <c r="BC1310" s="6"/>
      <c r="BD1310"/>
      <c r="BE1310" s="1"/>
      <c r="BF1310"/>
      <c r="BG1310" s="16"/>
      <c r="BH1310"/>
      <c r="BI1310"/>
      <c r="BJ1310"/>
      <c r="BK1310"/>
      <c r="BL1310"/>
      <c r="BM1310"/>
      <c r="BN1310"/>
      <c r="BO1310"/>
      <c r="BP1310"/>
      <c r="BQ1310"/>
      <c r="BR1310"/>
      <c r="BS1310"/>
      <c r="BT1310"/>
      <c r="BU1310"/>
      <c r="BV1310"/>
      <c r="BW1310"/>
      <c r="BX1310"/>
      <c r="BY1310"/>
      <c r="BZ1310"/>
      <c r="CA1310" s="1396"/>
      <c r="CB1310" s="1396"/>
      <c r="CC1310"/>
      <c r="CD1310"/>
      <c r="CE1310"/>
    </row>
    <row r="1311" spans="1:83" outlineLevel="1" x14ac:dyDescent="0.2">
      <c r="A1311"/>
      <c r="B1311" s="945">
        <v>8</v>
      </c>
      <c r="C1311" s="977" t="str">
        <f>IF(AK1303="","",RANK(F1311,F1304:F1321)*1000+ROW())</f>
        <v/>
      </c>
      <c r="D1311" s="978" t="str">
        <f t="shared" si="888"/>
        <v/>
      </c>
      <c r="E1311" s="978" t="str">
        <f>IF(L1311="","",Nb_Diff_Part(D1311,D1304:D1321,G1311,G1304:G1321,AI1324:AI1508)*CritClassInd_DiffPart+Nb_Goal_Part(D1311,D1304:D1321,G1311,G1304:G1321,V1324:Z1508)*CritClassInd_GoalPart+Nb_Score_Part(D1311,D1304:D1321,G1311,G1304:G1321,V1324:Z1508)*CritClassInd_ScorePart)</f>
        <v/>
      </c>
      <c r="F1311" s="979" t="str">
        <f t="shared" si="889"/>
        <v/>
      </c>
      <c r="G1311" s="39" t="s">
        <v>3914</v>
      </c>
      <c r="H1311" s="501">
        <f t="shared" si="886"/>
        <v>0</v>
      </c>
      <c r="I1311" s="39"/>
      <c r="J1311" s="977" t="str">
        <f>IF(AK1303="","",(L1311*Points_Victoire)+M1311*Points_Null)</f>
        <v/>
      </c>
      <c r="K1311" s="988" t="str">
        <f t="shared" si="887"/>
        <v/>
      </c>
      <c r="L1311" s="988" t="str">
        <f>IF(AK1303="","",COUNTIF(AE1324:AE1508,G1311))</f>
        <v/>
      </c>
      <c r="M1311" s="988" t="str">
        <f>IF(AK1303="","",COUNTIF(AF1324:AG1508,G1311))</f>
        <v/>
      </c>
      <c r="N1311" s="988" t="str">
        <f>IF(AK1303="","",COUNTIF(AH1324:AH1508,G1311))</f>
        <v/>
      </c>
      <c r="O1311" s="988" t="str">
        <f>IF(AK1303="","",SUMIF(V1324:V1508,G1311,AB1324:AB1508)+SUMIF(Z1324:Z1508,G1311,AD1324:AD1508))</f>
        <v/>
      </c>
      <c r="P1311" s="988" t="str">
        <f>IF(AK1303="","",SUMIF(V1324:V1508,G1311,AD1324:AD1508)+SUMIF(Z1324:Z1508,G1311,AB1324:AB1508))</f>
        <v/>
      </c>
      <c r="Q1311" s="989" t="str">
        <f>IF(AK1303="","",O1311-P1311)</f>
        <v/>
      </c>
      <c r="R1311"/>
      <c r="S1311"/>
      <c r="T1311"/>
      <c r="U1311"/>
      <c r="V1311"/>
      <c r="W1311" s="1"/>
      <c r="X1311" s="1"/>
      <c r="Y1311" s="1"/>
      <c r="Z1311"/>
      <c r="AB1311" s="964"/>
      <c r="AC1311" s="964"/>
      <c r="AD1311" s="964"/>
      <c r="AE1311" s="964"/>
      <c r="AF1311" s="964"/>
      <c r="AG1311" s="964"/>
      <c r="AH1311" s="964"/>
      <c r="AI1311" s="964"/>
      <c r="AJ1311" s="964"/>
      <c r="AK1311" s="968" t="str">
        <f>IF(AK1303="","",SMALL(C1304:C1321,8))</f>
        <v/>
      </c>
      <c r="AL1311"/>
      <c r="AM1311" s="16"/>
      <c r="AN1311" s="946" t="str">
        <f>IF(AK1303="","",INT(AK1311/1000))</f>
        <v/>
      </c>
      <c r="AO1311" s="42" t="str">
        <f>IF(AK1303="","",VLOOKUP(AK1311,C1304:Q1321,5,FALSE))</f>
        <v/>
      </c>
      <c r="AP1311" s="42" t="str">
        <f>VLOOKUP(AK1311,C1304:Q1321,8,FALSE)</f>
        <v/>
      </c>
      <c r="AQ1311" s="42" t="str">
        <f>VLOOKUP(AK1311,C1304:Q1321,9,FALSE)</f>
        <v/>
      </c>
      <c r="AR1311" s="42" t="str">
        <f>VLOOKUP(AK1311,C1304:Q1321,10,FALSE)</f>
        <v/>
      </c>
      <c r="AS1311" s="42" t="str">
        <f>VLOOKUP(AK1311,C1304:Q1321,11,FALSE)</f>
        <v/>
      </c>
      <c r="AT1311" s="42" t="str">
        <f>VLOOKUP(AK1311,C1304:Q1321,12,FALSE)</f>
        <v/>
      </c>
      <c r="AU1311" s="42" t="str">
        <f>VLOOKUP(AK1311,C1304:Q1321,13,FALSE)</f>
        <v/>
      </c>
      <c r="AV1311" s="42" t="str">
        <f>VLOOKUP(AK1311,C1304:Q1321,14,FALSE)</f>
        <v/>
      </c>
      <c r="AW1311" s="947" t="str">
        <f>VLOOKUP(AK1311,C1304:Q1321,15,FALSE)</f>
        <v/>
      </c>
      <c r="AX1311"/>
      <c r="AY1311"/>
      <c r="AZ1311" s="1"/>
      <c r="BA1311" s="1"/>
      <c r="BB1311"/>
      <c r="BC1311" s="6"/>
      <c r="BD1311"/>
      <c r="BE1311" s="1"/>
      <c r="BF1311"/>
      <c r="BG1311" s="16"/>
      <c r="BH1311"/>
      <c r="BI1311"/>
      <c r="BJ1311"/>
      <c r="BK1311"/>
      <c r="BL1311"/>
      <c r="BM1311"/>
      <c r="BN1311"/>
      <c r="BO1311"/>
      <c r="BP1311"/>
      <c r="BQ1311"/>
      <c r="BR1311"/>
      <c r="BS1311"/>
      <c r="BT1311"/>
      <c r="BU1311"/>
      <c r="BV1311"/>
      <c r="BW1311"/>
      <c r="BX1311"/>
      <c r="BY1311"/>
      <c r="BZ1311"/>
      <c r="CA1311" s="1396"/>
      <c r="CB1311" s="1396"/>
      <c r="CC1311"/>
      <c r="CD1311"/>
      <c r="CE1311"/>
    </row>
    <row r="1312" spans="1:83" outlineLevel="1" x14ac:dyDescent="0.2">
      <c r="A1312"/>
      <c r="B1312" s="945">
        <v>9</v>
      </c>
      <c r="C1312" s="977" t="str">
        <f>IF(AK1303="","",RANK(F1312,F1304:F1321)*1000+ROW())</f>
        <v/>
      </c>
      <c r="D1312" s="978" t="str">
        <f t="shared" si="888"/>
        <v/>
      </c>
      <c r="E1312" s="978" t="str">
        <f>IF(L1312="","",Nb_Diff_Part(D1312,D1304:D1321,G1312,G1304:G1321,AI1324:AI1508)*CritClassInd_DiffPart+Nb_Goal_Part(D1312,D1304:D1321,G1312,G1304:G1321,V1324:Z1508)*CritClassInd_GoalPart+Nb_Score_Part(D1312,D1304:D1321,G1312,G1304:G1321,V1324:Z1508)*CritClassInd_ScorePart)</f>
        <v/>
      </c>
      <c r="F1312" s="979" t="str">
        <f t="shared" si="889"/>
        <v/>
      </c>
      <c r="G1312" s="39" t="s">
        <v>3915</v>
      </c>
      <c r="H1312" s="501">
        <f t="shared" si="886"/>
        <v>0</v>
      </c>
      <c r="I1312" s="39"/>
      <c r="J1312" s="977" t="str">
        <f>IF(AK1303="","",(L1312*Points_Victoire)+M1312*Points_Null)</f>
        <v/>
      </c>
      <c r="K1312" s="988" t="str">
        <f t="shared" si="887"/>
        <v/>
      </c>
      <c r="L1312" s="988" t="str">
        <f>IF(AK1303="","",COUNTIF(AE1324:AE1508,G1312))</f>
        <v/>
      </c>
      <c r="M1312" s="988" t="str">
        <f>IF(AK1303="","",COUNTIF(AF1324:AG1508,G1312))</f>
        <v/>
      </c>
      <c r="N1312" s="988" t="str">
        <f>IF(AK1303="","",COUNTIF(AH1324:AH1508,G1312))</f>
        <v/>
      </c>
      <c r="O1312" s="988" t="str">
        <f>IF(AK1303="","",SUMIF(V1324:V1508,G1312,AB1324:AB1508)+SUMIF(Z1324:Z1508,G1312,AD1324:AD1508))</f>
        <v/>
      </c>
      <c r="P1312" s="988" t="str">
        <f>IF(AK1303="","",SUMIF(V1324:V1508,G1312,AD1324:AD1508)+SUMIF(Z1324:Z1508,G1312,AB1324:AB1508))</f>
        <v/>
      </c>
      <c r="Q1312" s="989" t="str">
        <f>IF(AK1303="","",O1312-P1312)</f>
        <v/>
      </c>
      <c r="R1312"/>
      <c r="S1312"/>
      <c r="T1312"/>
      <c r="U1312"/>
      <c r="V1312"/>
      <c r="W1312" s="1"/>
      <c r="X1312" s="1"/>
      <c r="Y1312" s="1"/>
      <c r="Z1312"/>
      <c r="AB1312" s="964"/>
      <c r="AC1312" s="964"/>
      <c r="AD1312" s="964"/>
      <c r="AE1312" s="964"/>
      <c r="AF1312" s="964"/>
      <c r="AG1312" s="964"/>
      <c r="AH1312" s="964"/>
      <c r="AI1312" s="964"/>
      <c r="AJ1312" s="964"/>
      <c r="AK1312" s="968" t="str">
        <f>IF(AK1303="","",SMALL(C1304:C1321,9))</f>
        <v/>
      </c>
      <c r="AL1312"/>
      <c r="AM1312" s="16"/>
      <c r="AN1312" s="946" t="str">
        <f>IF(AK1303="","",INT(AK1312/1000))</f>
        <v/>
      </c>
      <c r="AO1312" s="42" t="str">
        <f>IF(AK1303="","",VLOOKUP(AK1312,C1304:Q1321,5,FALSE))</f>
        <v/>
      </c>
      <c r="AP1312" s="42" t="str">
        <f>VLOOKUP(AK1312,C1304:Q1321,8,FALSE)</f>
        <v/>
      </c>
      <c r="AQ1312" s="42" t="str">
        <f>VLOOKUP(AK1312,C1304:Q1321,9,FALSE)</f>
        <v/>
      </c>
      <c r="AR1312" s="42" t="str">
        <f>VLOOKUP(AK1312,C1304:Q1321,10,FALSE)</f>
        <v/>
      </c>
      <c r="AS1312" s="42" t="str">
        <f>VLOOKUP(AK1312,C1304:Q1321,11,FALSE)</f>
        <v/>
      </c>
      <c r="AT1312" s="42" t="str">
        <f>VLOOKUP(AK1312,C1304:Q1321,12,FALSE)</f>
        <v/>
      </c>
      <c r="AU1312" s="42" t="str">
        <f>VLOOKUP(AK1312,C1304:Q1321,13,FALSE)</f>
        <v/>
      </c>
      <c r="AV1312" s="42" t="str">
        <f>VLOOKUP(AK1312,C1304:Q1321,14,FALSE)</f>
        <v/>
      </c>
      <c r="AW1312" s="947" t="str">
        <f>VLOOKUP(AK1312,C1304:Q1321,15,FALSE)</f>
        <v/>
      </c>
      <c r="AX1312"/>
      <c r="AY1312"/>
      <c r="AZ1312" s="1"/>
      <c r="BA1312" s="1"/>
      <c r="BB1312"/>
      <c r="BC1312" s="6"/>
      <c r="BD1312"/>
      <c r="BE1312" s="1"/>
      <c r="BF1312"/>
      <c r="BG1312" s="16"/>
      <c r="BH1312"/>
      <c r="BI1312"/>
      <c r="BJ1312"/>
      <c r="BK1312"/>
      <c r="BL1312"/>
      <c r="BM1312"/>
      <c r="BN1312"/>
      <c r="BO1312"/>
      <c r="BP1312"/>
      <c r="BQ1312"/>
      <c r="BR1312"/>
      <c r="BS1312"/>
      <c r="BT1312"/>
      <c r="BU1312"/>
      <c r="BV1312"/>
      <c r="BW1312"/>
      <c r="BX1312"/>
      <c r="BY1312"/>
      <c r="BZ1312"/>
      <c r="CA1312" s="1396"/>
      <c r="CB1312" s="1396"/>
      <c r="CC1312"/>
      <c r="CD1312"/>
      <c r="CE1312"/>
    </row>
    <row r="1313" spans="1:83" outlineLevel="1" x14ac:dyDescent="0.2">
      <c r="A1313"/>
      <c r="B1313" s="945">
        <v>10</v>
      </c>
      <c r="C1313" s="977" t="str">
        <f>IF(AK1303="","",RANK(F1313,F1304:F1321)*1000+ROW())</f>
        <v/>
      </c>
      <c r="D1313" s="978" t="str">
        <f t="shared" si="888"/>
        <v/>
      </c>
      <c r="E1313" s="978" t="str">
        <f>IF(L1313="","",Nb_Diff_Part(D1313,D1304:D1321,G1313,G1304:G1321,AI1324:AI1508)*CritClassInd_DiffPart+Nb_Goal_Part(D1313,D1304:D1321,G1313,G1304:G1321,V1324:Z1508)*CritClassInd_GoalPart+Nb_Score_Part(D1313,D1304:D1321,G1313,G1304:G1321,V1324:Z1508)*CritClassInd_ScorePart)</f>
        <v/>
      </c>
      <c r="F1313" s="979" t="str">
        <f t="shared" si="889"/>
        <v/>
      </c>
      <c r="G1313" s="39" t="s">
        <v>789</v>
      </c>
      <c r="H1313" s="501">
        <f t="shared" si="886"/>
        <v>0</v>
      </c>
      <c r="I1313" s="39"/>
      <c r="J1313" s="977" t="str">
        <f>IF(AK1303="","",(L1313*Points_Victoire)+M1313*Points_Null)</f>
        <v/>
      </c>
      <c r="K1313" s="988" t="str">
        <f t="shared" si="887"/>
        <v/>
      </c>
      <c r="L1313" s="988" t="str">
        <f>IF(AK1303="","",COUNTIF(AE1324:AE1508,G1313))</f>
        <v/>
      </c>
      <c r="M1313" s="988" t="str">
        <f>IF(AK1303="","",COUNTIF(AF1324:AG1508,G1313))</f>
        <v/>
      </c>
      <c r="N1313" s="988" t="str">
        <f>IF(AK1303="","",COUNTIF(AH1324:AH1508,G1313))</f>
        <v/>
      </c>
      <c r="O1313" s="988" t="str">
        <f>IF(AK1303="","",SUMIF(V1324:V1508,G1313,AB1324:AB1508)+SUMIF(Z1324:Z1508,G1313,AD1324:AD1508))</f>
        <v/>
      </c>
      <c r="P1313" s="988" t="str">
        <f>IF(AK1303="","",SUMIF(V1324:V1508,G1313,AD1324:AD1508)+SUMIF(Z1324:Z1508,G1313,AB1324:AB1508))</f>
        <v/>
      </c>
      <c r="Q1313" s="989" t="str">
        <f>IF(AK1303="","",O1313-P1313)</f>
        <v/>
      </c>
      <c r="R1313"/>
      <c r="S1313"/>
      <c r="T1313"/>
      <c r="U1313"/>
      <c r="V1313"/>
      <c r="W1313" s="1"/>
      <c r="X1313" s="1"/>
      <c r="Y1313" s="1"/>
      <c r="Z1313"/>
      <c r="AB1313" s="964"/>
      <c r="AC1313" s="964"/>
      <c r="AD1313" s="964"/>
      <c r="AE1313" s="964"/>
      <c r="AF1313" s="964"/>
      <c r="AG1313" s="964"/>
      <c r="AH1313" s="964"/>
      <c r="AI1313" s="964"/>
      <c r="AJ1313" s="964"/>
      <c r="AK1313" s="968" t="str">
        <f>IF(AK1303="","",SMALL(C1304:C1321,10))</f>
        <v/>
      </c>
      <c r="AL1313"/>
      <c r="AM1313" s="16"/>
      <c r="AN1313" s="946" t="str">
        <f>IF(AK1303="","",INT(AK1313/1000))</f>
        <v/>
      </c>
      <c r="AO1313" s="42" t="str">
        <f>IF(AK1303="","",VLOOKUP(AK1313,C1304:Q1321,5,FALSE))</f>
        <v/>
      </c>
      <c r="AP1313" s="42" t="str">
        <f>VLOOKUP(AK1313,C1304:Q1321,8,FALSE)</f>
        <v/>
      </c>
      <c r="AQ1313" s="42" t="str">
        <f>VLOOKUP(AK1313,C1304:Q1321,9,FALSE)</f>
        <v/>
      </c>
      <c r="AR1313" s="42" t="str">
        <f>VLOOKUP(AK1313,C1304:Q1321,10,FALSE)</f>
        <v/>
      </c>
      <c r="AS1313" s="42" t="str">
        <f>VLOOKUP(AK1313,C1304:Q1321,11,FALSE)</f>
        <v/>
      </c>
      <c r="AT1313" s="42" t="str">
        <f>VLOOKUP(AK1313,C1304:Q1321,12,FALSE)</f>
        <v/>
      </c>
      <c r="AU1313" s="42" t="str">
        <f>VLOOKUP(AK1313,C1304:Q1321,13,FALSE)</f>
        <v/>
      </c>
      <c r="AV1313" s="42" t="str">
        <f>VLOOKUP(AK1313,C1304:Q1321,14,FALSE)</f>
        <v/>
      </c>
      <c r="AW1313" s="947" t="str">
        <f>VLOOKUP(AK1313,C1304:Q1321,15,FALSE)</f>
        <v/>
      </c>
      <c r="AX1313"/>
      <c r="AY1313"/>
      <c r="AZ1313" s="1"/>
      <c r="BA1313" s="1"/>
      <c r="BB1313"/>
      <c r="BC1313" s="6"/>
      <c r="BD1313"/>
      <c r="BE1313" s="1"/>
      <c r="BF1313"/>
      <c r="BG1313" s="16"/>
      <c r="BH1313"/>
      <c r="BI1313"/>
      <c r="BJ1313"/>
      <c r="BK1313"/>
      <c r="BL1313"/>
      <c r="BM1313"/>
      <c r="BN1313"/>
      <c r="BO1313"/>
      <c r="BP1313"/>
      <c r="BQ1313"/>
      <c r="BR1313"/>
      <c r="BS1313"/>
      <c r="BT1313"/>
      <c r="BU1313"/>
      <c r="BV1313"/>
      <c r="BW1313"/>
      <c r="BX1313"/>
      <c r="BY1313"/>
      <c r="BZ1313"/>
      <c r="CA1313" s="1396"/>
      <c r="CB1313" s="1396"/>
      <c r="CC1313"/>
      <c r="CD1313"/>
      <c r="CE1313"/>
    </row>
    <row r="1314" spans="1:83" outlineLevel="1" x14ac:dyDescent="0.2">
      <c r="A1314"/>
      <c r="B1314" s="945">
        <v>11</v>
      </c>
      <c r="C1314" s="977" t="str">
        <f>IF(AK1303="","",RANK(F1314,F1304:F1321)*1000+ROW())</f>
        <v/>
      </c>
      <c r="D1314" s="978" t="str">
        <f t="shared" si="888"/>
        <v/>
      </c>
      <c r="E1314" s="978" t="str">
        <f>IF(L1314="","",Nb_Diff_Part(D1314,D1304:D1321,G1314,G1304:G1321,AI1324:AI1508)*CritClassInd_DiffPart+Nb_Goal_Part(D1314,D1304:D1321,G1314,G1304:G1321,V1324:Z1508)*CritClassInd_GoalPart+Nb_Score_Part(D1314,D1304:D1321,G1314,G1304:G1321,V1324:Z1508)*CritClassInd_ScorePart)</f>
        <v/>
      </c>
      <c r="F1314" s="979" t="str">
        <f t="shared" si="889"/>
        <v/>
      </c>
      <c r="G1314" s="39" t="s">
        <v>3916</v>
      </c>
      <c r="H1314" s="501">
        <f t="shared" si="886"/>
        <v>0</v>
      </c>
      <c r="I1314" s="39"/>
      <c r="J1314" s="977" t="str">
        <f>IF(AK1303="","",(L1314*Points_Victoire)+M1314*Points_Null)</f>
        <v/>
      </c>
      <c r="K1314" s="988" t="str">
        <f t="shared" si="887"/>
        <v/>
      </c>
      <c r="L1314" s="988" t="str">
        <f>IF(AK1303="","",COUNTIF(AE1324:AE1508,G1314))</f>
        <v/>
      </c>
      <c r="M1314" s="988" t="str">
        <f>IF(AK1303="","",COUNTIF(AF1324:AG1508,G1314))</f>
        <v/>
      </c>
      <c r="N1314" s="988" t="str">
        <f>IF(AK1303="","",COUNTIF(AH1324:AH1508,G1314))</f>
        <v/>
      </c>
      <c r="O1314" s="988" t="str">
        <f>IF(AK1303="","",SUMIF(V1324:V1508,G1314,AB1324:AB1508)+SUMIF(Z1324:Z1508,G1314,AD1324:AD1508))</f>
        <v/>
      </c>
      <c r="P1314" s="988" t="str">
        <f>IF(AK1303="","",SUMIF(V1324:V1508,G1314,AD1324:AD1508)+SUMIF(Z1324:Z1508,G1314,AB1324:AB1508))</f>
        <v/>
      </c>
      <c r="Q1314" s="989" t="str">
        <f>IF(AK1303="","",O1314-P1314)</f>
        <v/>
      </c>
      <c r="R1314"/>
      <c r="S1314"/>
      <c r="T1314"/>
      <c r="U1314"/>
      <c r="V1314"/>
      <c r="W1314" s="1"/>
      <c r="X1314" s="1"/>
      <c r="Y1314" s="1"/>
      <c r="Z1314"/>
      <c r="AB1314" s="964"/>
      <c r="AC1314" s="964"/>
      <c r="AD1314" s="964"/>
      <c r="AE1314" s="964"/>
      <c r="AF1314" s="964"/>
      <c r="AG1314" s="964"/>
      <c r="AH1314" s="964"/>
      <c r="AI1314" s="964"/>
      <c r="AJ1314" s="964"/>
      <c r="AK1314" s="968" t="str">
        <f>IF(AK1303="","",SMALL(C1304:C1321,11))</f>
        <v/>
      </c>
      <c r="AL1314"/>
      <c r="AM1314" s="16"/>
      <c r="AN1314" s="946" t="str">
        <f>IF(AK1303="","",INT(AK1314/1000))</f>
        <v/>
      </c>
      <c r="AO1314" s="42" t="str">
        <f>IF(AK1303="","",VLOOKUP(AK1314,C1304:Q1321,5,FALSE))</f>
        <v/>
      </c>
      <c r="AP1314" s="42" t="str">
        <f>VLOOKUP(AK1314,C1304:Q1321,8,FALSE)</f>
        <v/>
      </c>
      <c r="AQ1314" s="42" t="str">
        <f>VLOOKUP(AK1314,C1304:Q1321,9,FALSE)</f>
        <v/>
      </c>
      <c r="AR1314" s="42" t="str">
        <f>VLOOKUP(AK1314,C1304:Q1321,10,FALSE)</f>
        <v/>
      </c>
      <c r="AS1314" s="42" t="str">
        <f>VLOOKUP(AK1314,C1304:Q1321,11,FALSE)</f>
        <v/>
      </c>
      <c r="AT1314" s="42" t="str">
        <f>VLOOKUP(AK1314,C1304:Q1321,12,FALSE)</f>
        <v/>
      </c>
      <c r="AU1314" s="42" t="str">
        <f>VLOOKUP(AK1314,C1304:Q1321,13,FALSE)</f>
        <v/>
      </c>
      <c r="AV1314" s="42" t="str">
        <f>VLOOKUP(AK1314,C1304:Q1321,14,FALSE)</f>
        <v/>
      </c>
      <c r="AW1314" s="947" t="str">
        <f>VLOOKUP(AK1314,C1304:Q1321,15,FALSE)</f>
        <v/>
      </c>
      <c r="AX1314"/>
      <c r="AY1314"/>
      <c r="AZ1314" s="1"/>
      <c r="BA1314" s="1"/>
      <c r="BB1314"/>
      <c r="BC1314" s="6"/>
      <c r="BD1314"/>
      <c r="BE1314" s="1"/>
      <c r="BF1314"/>
      <c r="BG1314" s="16"/>
      <c r="BH1314"/>
      <c r="BI1314"/>
      <c r="BJ1314"/>
      <c r="BK1314"/>
      <c r="BL1314"/>
      <c r="BM1314"/>
      <c r="BN1314"/>
      <c r="BO1314"/>
      <c r="BP1314"/>
      <c r="BQ1314"/>
      <c r="BR1314"/>
      <c r="BS1314"/>
      <c r="BT1314"/>
      <c r="BU1314"/>
      <c r="BV1314"/>
      <c r="BW1314"/>
      <c r="BX1314"/>
      <c r="BY1314"/>
      <c r="BZ1314"/>
      <c r="CA1314" s="1396"/>
      <c r="CB1314" s="1396"/>
      <c r="CC1314"/>
      <c r="CD1314"/>
      <c r="CE1314"/>
    </row>
    <row r="1315" spans="1:83" outlineLevel="1" x14ac:dyDescent="0.2">
      <c r="A1315"/>
      <c r="B1315" s="945">
        <v>12</v>
      </c>
      <c r="C1315" s="977" t="str">
        <f>IF(AK1303="","",RANK(F1315,F1304:F1321)*1000+ROW())</f>
        <v/>
      </c>
      <c r="D1315" s="978" t="str">
        <f t="shared" si="888"/>
        <v/>
      </c>
      <c r="E1315" s="978" t="str">
        <f>IF(L1315="","",Nb_Diff_Part(D1315,D1304:D1321,G1315,G1304:G1321,AI1324:AI1508)*CritClassInd_DiffPart+Nb_Goal_Part(D1315,D1304:D1321,G1315,G1304:G1321,V1324:Z1508)*CritClassInd_GoalPart+Nb_Score_Part(D1315,D1304:D1321,G1315,G1304:G1321,V1324:Z1508)*CritClassInd_ScorePart)</f>
        <v/>
      </c>
      <c r="F1315" s="979" t="str">
        <f t="shared" si="889"/>
        <v/>
      </c>
      <c r="G1315" s="39" t="s">
        <v>1545</v>
      </c>
      <c r="H1315" s="501">
        <f t="shared" si="886"/>
        <v>0</v>
      </c>
      <c r="I1315" s="39"/>
      <c r="J1315" s="977" t="str">
        <f>IF(AK1303="","",(L1315*Points_Victoire)+M1315*Points_Null)</f>
        <v/>
      </c>
      <c r="K1315" s="988" t="str">
        <f t="shared" si="887"/>
        <v/>
      </c>
      <c r="L1315" s="988" t="str">
        <f>IF(AK1303="","",COUNTIF(AE1324:AE1508,G1315))</f>
        <v/>
      </c>
      <c r="M1315" s="988" t="str">
        <f>IF(AK1303="","",COUNTIF(AF1324:AG1508,G1315))</f>
        <v/>
      </c>
      <c r="N1315" s="988" t="str">
        <f>IF(AK1303="","",COUNTIF(AH1324:AH1508,G1315))</f>
        <v/>
      </c>
      <c r="O1315" s="988" t="str">
        <f>IF(AK1303="","",SUMIF(V1324:V1508,G1315,AB1324:AB1508)+SUMIF(Z1324:Z1508,G1315,AD1324:AD1508))</f>
        <v/>
      </c>
      <c r="P1315" s="988" t="str">
        <f>IF(AK1303="","",SUMIF(V1324:V1508,G1315,AD1324:AD1508)+SUMIF(Z1324:Z1508,G1315,AB1324:AB1508))</f>
        <v/>
      </c>
      <c r="Q1315" s="989" t="str">
        <f>IF(AK1303="","",O1315-P1315)</f>
        <v/>
      </c>
      <c r="R1315"/>
      <c r="S1315"/>
      <c r="T1315"/>
      <c r="U1315"/>
      <c r="V1315"/>
      <c r="W1315" s="1"/>
      <c r="X1315" s="1"/>
      <c r="Y1315" s="1"/>
      <c r="Z1315"/>
      <c r="AB1315" s="964"/>
      <c r="AC1315" s="964"/>
      <c r="AD1315" s="964"/>
      <c r="AE1315" s="964"/>
      <c r="AF1315" s="964"/>
      <c r="AG1315" s="964"/>
      <c r="AH1315" s="964"/>
      <c r="AI1315" s="964"/>
      <c r="AJ1315" s="964"/>
      <c r="AK1315" s="968" t="str">
        <f>IF(AK1303="","",SMALL(C1304:C1321,12))</f>
        <v/>
      </c>
      <c r="AL1315"/>
      <c r="AM1315" s="16"/>
      <c r="AN1315" s="946" t="str">
        <f>IF(AK1303="","",INT(AK1315/1000))</f>
        <v/>
      </c>
      <c r="AO1315" s="42" t="str">
        <f>IF(AK1303="","",VLOOKUP(AK1315,C1304:Q1321,5,FALSE))</f>
        <v/>
      </c>
      <c r="AP1315" s="42" t="str">
        <f>VLOOKUP(AK1315,C1304:Q1321,8,FALSE)</f>
        <v/>
      </c>
      <c r="AQ1315" s="42" t="str">
        <f>VLOOKUP(AK1315,C1304:Q1321,9,FALSE)</f>
        <v/>
      </c>
      <c r="AR1315" s="42" t="str">
        <f>VLOOKUP(AK1315,C1304:Q1321,10,FALSE)</f>
        <v/>
      </c>
      <c r="AS1315" s="42" t="str">
        <f>VLOOKUP(AK1315,C1304:Q1321,11,FALSE)</f>
        <v/>
      </c>
      <c r="AT1315" s="42" t="str">
        <f>VLOOKUP(AK1315,C1304:Q1321,12,FALSE)</f>
        <v/>
      </c>
      <c r="AU1315" s="42" t="str">
        <f>VLOOKUP(AK1315,C1304:Q1321,13,FALSE)</f>
        <v/>
      </c>
      <c r="AV1315" s="42" t="str">
        <f>VLOOKUP(AK1315,C1304:Q1321,14,FALSE)</f>
        <v/>
      </c>
      <c r="AW1315" s="947" t="str">
        <f>VLOOKUP(AK1315,C1304:Q1321,15,FALSE)</f>
        <v/>
      </c>
      <c r="AX1315"/>
      <c r="AY1315"/>
      <c r="AZ1315" s="1"/>
      <c r="BA1315" s="1"/>
      <c r="BB1315"/>
      <c r="BC1315" s="6"/>
      <c r="BD1315"/>
      <c r="BE1315" s="1"/>
      <c r="BF1315"/>
      <c r="BG1315" s="16"/>
      <c r="BH1315"/>
      <c r="BI1315"/>
      <c r="BJ1315"/>
      <c r="BK1315"/>
      <c r="BL1315"/>
      <c r="BM1315"/>
      <c r="BN1315"/>
      <c r="BO1315"/>
      <c r="BP1315"/>
      <c r="BQ1315"/>
      <c r="BR1315"/>
      <c r="BS1315"/>
      <c r="BT1315"/>
      <c r="BU1315"/>
      <c r="BV1315"/>
      <c r="BW1315"/>
      <c r="BX1315"/>
      <c r="BY1315"/>
      <c r="BZ1315"/>
      <c r="CA1315" s="1396"/>
      <c r="CB1315" s="1396"/>
      <c r="CC1315"/>
      <c r="CD1315"/>
      <c r="CE1315"/>
    </row>
    <row r="1316" spans="1:83" outlineLevel="1" x14ac:dyDescent="0.2">
      <c r="A1316"/>
      <c r="B1316" s="945">
        <v>13</v>
      </c>
      <c r="C1316" s="977" t="str">
        <f>IF(AK1303="","",RANK(F1316,F1304:F1321)*1000+ROW())</f>
        <v/>
      </c>
      <c r="D1316" s="978" t="str">
        <f t="shared" si="888"/>
        <v/>
      </c>
      <c r="E1316" s="978" t="str">
        <f>IF(L1316="","",Nb_Diff_Part(D1316,D1304:D1321,G1316,G1304:G1321,AI1324:AI1508)*CritClassInd_DiffPart+Nb_Goal_Part(D1316,D1304:D1321,G1316,G1304:G1321,V1324:Z1508)*CritClassInd_GoalPart+Nb_Score_Part(D1316,D1304:D1321,G1316,G1304:G1321,V1324:Z1508)*CritClassInd_ScorePart)</f>
        <v/>
      </c>
      <c r="F1316" s="979" t="str">
        <f t="shared" si="889"/>
        <v/>
      </c>
      <c r="G1316" s="39" t="s">
        <v>3917</v>
      </c>
      <c r="H1316" s="501">
        <f t="shared" si="886"/>
        <v>0</v>
      </c>
      <c r="I1316" s="39"/>
      <c r="J1316" s="977" t="str">
        <f>IF(AK1303="","",(L1316*Points_Victoire)+M1316*Points_Null)</f>
        <v/>
      </c>
      <c r="K1316" s="988" t="str">
        <f t="shared" si="887"/>
        <v/>
      </c>
      <c r="L1316" s="988" t="str">
        <f>IF(AK1303="","",COUNTIF(AE1324:AE1508,G1316))</f>
        <v/>
      </c>
      <c r="M1316" s="988" t="str">
        <f>IF(AK1303="","",COUNTIF(AF1324:AG1508,G1316))</f>
        <v/>
      </c>
      <c r="N1316" s="988" t="str">
        <f>IF(AK1303="","",COUNTIF(AH1324:AH1508,G1316))</f>
        <v/>
      </c>
      <c r="O1316" s="988" t="str">
        <f>IF(AK1303="","",SUMIF(V1324:V1508,G1316,AB1324:AB1508)+SUMIF(Z1324:Z1508,G1316,AD1324:AD1508))</f>
        <v/>
      </c>
      <c r="P1316" s="988" t="str">
        <f>IF(AK1303="","",SUMIF(V1324:V1508,G1316,AD1324:AD1508)+SUMIF(Z1324:Z1508,G1316,AB1324:AB1508))</f>
        <v/>
      </c>
      <c r="Q1316" s="989" t="str">
        <f>IF(AK1303="","",O1316-P1316)</f>
        <v/>
      </c>
      <c r="R1316"/>
      <c r="S1316"/>
      <c r="T1316"/>
      <c r="U1316"/>
      <c r="V1316"/>
      <c r="W1316" s="1"/>
      <c r="X1316" s="1"/>
      <c r="Y1316" s="1"/>
      <c r="Z1316"/>
      <c r="AB1316" s="964"/>
      <c r="AC1316" s="964"/>
      <c r="AD1316" s="964"/>
      <c r="AE1316" s="964"/>
      <c r="AF1316" s="964"/>
      <c r="AG1316" s="964"/>
      <c r="AH1316" s="964"/>
      <c r="AI1316" s="964"/>
      <c r="AJ1316" s="964"/>
      <c r="AK1316" s="968" t="str">
        <f>IF(AK1303="","",SMALL(C1304:C1321,13))</f>
        <v/>
      </c>
      <c r="AL1316"/>
      <c r="AM1316" s="16"/>
      <c r="AN1316" s="946" t="str">
        <f>IF(AK1303="","",INT(AK1316/1000))</f>
        <v/>
      </c>
      <c r="AO1316" s="42" t="str">
        <f>IF(AK1303="","",VLOOKUP(AK1316,C1304:Q1321,5,FALSE))</f>
        <v/>
      </c>
      <c r="AP1316" s="42" t="str">
        <f>VLOOKUP(AK1316,C1304:Q1321,8,FALSE)</f>
        <v/>
      </c>
      <c r="AQ1316" s="42" t="str">
        <f>VLOOKUP(AK1316,C1304:Q1321,9,FALSE)</f>
        <v/>
      </c>
      <c r="AR1316" s="42" t="str">
        <f>VLOOKUP(AK1316,C1304:Q1321,10,FALSE)</f>
        <v/>
      </c>
      <c r="AS1316" s="42" t="str">
        <f>VLOOKUP(AK1316,C1304:Q1321,11,FALSE)</f>
        <v/>
      </c>
      <c r="AT1316" s="42" t="str">
        <f>VLOOKUP(AK1316,C1304:Q1321,12,FALSE)</f>
        <v/>
      </c>
      <c r="AU1316" s="42" t="str">
        <f>VLOOKUP(AK1316,C1304:Q1321,13,FALSE)</f>
        <v/>
      </c>
      <c r="AV1316" s="42" t="str">
        <f>VLOOKUP(AK1316,C1304:Q1321,14,FALSE)</f>
        <v/>
      </c>
      <c r="AW1316" s="947" t="str">
        <f>VLOOKUP(AK1316,C1304:Q1321,15,FALSE)</f>
        <v/>
      </c>
      <c r="AX1316"/>
      <c r="AY1316"/>
      <c r="AZ1316" s="1"/>
      <c r="BA1316" s="1"/>
      <c r="BB1316"/>
      <c r="BC1316" s="6"/>
      <c r="BD1316"/>
      <c r="BE1316" s="1"/>
      <c r="BF1316"/>
      <c r="BG1316" s="16"/>
      <c r="BH1316"/>
      <c r="BI1316"/>
      <c r="BJ1316"/>
      <c r="BK1316"/>
      <c r="BL1316"/>
      <c r="BM1316"/>
      <c r="BN1316"/>
      <c r="BO1316"/>
      <c r="BP1316"/>
      <c r="BQ1316"/>
      <c r="BR1316"/>
      <c r="BS1316"/>
      <c r="BT1316"/>
      <c r="BU1316"/>
      <c r="BV1316"/>
      <c r="BW1316"/>
      <c r="BX1316"/>
      <c r="BY1316"/>
      <c r="BZ1316"/>
      <c r="CA1316" s="1396"/>
      <c r="CB1316" s="1396"/>
      <c r="CC1316"/>
      <c r="CD1316"/>
      <c r="CE1316"/>
    </row>
    <row r="1317" spans="1:83" outlineLevel="1" x14ac:dyDescent="0.2">
      <c r="A1317"/>
      <c r="B1317" s="945">
        <v>14</v>
      </c>
      <c r="C1317" s="977" t="str">
        <f>IF(AK1303="","",RANK(F1317,F1304:F1321)*1000+ROW())</f>
        <v/>
      </c>
      <c r="D1317" s="978" t="str">
        <f t="shared" si="888"/>
        <v/>
      </c>
      <c r="E1317" s="978" t="str">
        <f>IF(L1317="","",Nb_Diff_Part(D1317,D1304:D1321,G1317,G1304:G1321,AI1324:AI1508)*CritClassInd_DiffPart+Nb_Goal_Part(D1317,D1304:D1321,G1317,G1304:G1321,V1324:Z1508)*CritClassInd_GoalPart+Nb_Score_Part(D1317,D1304:D1321,G1317,G1304:G1321,V1324:Z1508)*CritClassInd_ScorePart)</f>
        <v/>
      </c>
      <c r="F1317" s="979" t="str">
        <f t="shared" si="889"/>
        <v/>
      </c>
      <c r="G1317" s="39" t="s">
        <v>791</v>
      </c>
      <c r="H1317" s="501">
        <f t="shared" si="886"/>
        <v>0</v>
      </c>
      <c r="I1317" s="39"/>
      <c r="J1317" s="977" t="str">
        <f>IF(AK1303="","",(L1317*Points_Victoire)+M1317*Points_Null)</f>
        <v/>
      </c>
      <c r="K1317" s="988" t="str">
        <f t="shared" si="887"/>
        <v/>
      </c>
      <c r="L1317" s="988" t="str">
        <f>IF(AK1303="","",COUNTIF(AE1324:AE1508,G1317))</f>
        <v/>
      </c>
      <c r="M1317" s="988" t="str">
        <f>IF(AK1303="","",COUNTIF(AF1324:AG1508,G1317))</f>
        <v/>
      </c>
      <c r="N1317" s="988" t="str">
        <f>IF(AK1303="","",COUNTIF(AH1324:AH1508,G1317))</f>
        <v/>
      </c>
      <c r="O1317" s="988" t="str">
        <f>IF(AK1303="","",SUMIF(V1324:V1508,G1317,AB1324:AB1508)+SUMIF(Z1324:Z1508,G1317,AD1324:AD1508))</f>
        <v/>
      </c>
      <c r="P1317" s="988" t="str">
        <f>IF(AK1303="","",SUMIF(V1324:V1508,G1317,AD1324:AD1508)+SUMIF(Z1324:Z1508,G1317,AB1324:AB1508))</f>
        <v/>
      </c>
      <c r="Q1317" s="989" t="str">
        <f>IF(AK1303="","",O1317-P1317)</f>
        <v/>
      </c>
      <c r="R1317"/>
      <c r="S1317"/>
      <c r="T1317"/>
      <c r="U1317"/>
      <c r="V1317"/>
      <c r="W1317" s="1"/>
      <c r="X1317" s="1"/>
      <c r="Y1317" s="1"/>
      <c r="Z1317"/>
      <c r="AB1317" s="964"/>
      <c r="AC1317" s="964"/>
      <c r="AD1317" s="964"/>
      <c r="AE1317" s="964"/>
      <c r="AF1317" s="964"/>
      <c r="AG1317" s="964"/>
      <c r="AH1317" s="964"/>
      <c r="AI1317" s="964"/>
      <c r="AJ1317" s="964"/>
      <c r="AK1317" s="968" t="str">
        <f>IF(AK1303="","",SMALL(C1304:C1321,14))</f>
        <v/>
      </c>
      <c r="AL1317"/>
      <c r="AM1317" s="16"/>
      <c r="AN1317" s="946" t="str">
        <f>IF(AK1303="","",INT(AK1317/1000))</f>
        <v/>
      </c>
      <c r="AO1317" s="42" t="str">
        <f>IF(AK1303="","",VLOOKUP(AK1317,C1304:Q1321,5,FALSE))</f>
        <v/>
      </c>
      <c r="AP1317" s="42" t="str">
        <f>VLOOKUP(AK1317,C1304:Q1321,8,FALSE)</f>
        <v/>
      </c>
      <c r="AQ1317" s="42" t="str">
        <f>VLOOKUP(AK1317,C1304:Q1321,9,FALSE)</f>
        <v/>
      </c>
      <c r="AR1317" s="42" t="str">
        <f>VLOOKUP(AK1317,C1304:Q1321,10,FALSE)</f>
        <v/>
      </c>
      <c r="AS1317" s="42" t="str">
        <f>VLOOKUP(AK1317,C1304:Q1321,11,FALSE)</f>
        <v/>
      </c>
      <c r="AT1317" s="42" t="str">
        <f>VLOOKUP(AK1317,C1304:Q1321,12,FALSE)</f>
        <v/>
      </c>
      <c r="AU1317" s="42" t="str">
        <f>VLOOKUP(AK1317,C1304:Q1321,13,FALSE)</f>
        <v/>
      </c>
      <c r="AV1317" s="42" t="str">
        <f>VLOOKUP(AK1317,C1304:Q1321,14,FALSE)</f>
        <v/>
      </c>
      <c r="AW1317" s="947" t="str">
        <f>VLOOKUP(AK1317,C1304:Q1321,15,FALSE)</f>
        <v/>
      </c>
      <c r="AX1317"/>
      <c r="AY1317"/>
      <c r="AZ1317" s="1"/>
      <c r="BA1317" s="1"/>
      <c r="BB1317"/>
      <c r="BC1317" s="6"/>
      <c r="BD1317"/>
      <c r="BE1317" s="1"/>
      <c r="BF1317"/>
      <c r="BG1317" s="16"/>
      <c r="BH1317"/>
      <c r="BI1317"/>
      <c r="BJ1317"/>
      <c r="BK1317"/>
      <c r="BL1317"/>
      <c r="BM1317"/>
      <c r="BN1317"/>
      <c r="BO1317"/>
      <c r="BP1317"/>
      <c r="BQ1317"/>
      <c r="BR1317"/>
      <c r="BS1317"/>
      <c r="BT1317"/>
      <c r="BU1317"/>
      <c r="BV1317"/>
      <c r="BW1317"/>
      <c r="BX1317"/>
      <c r="BY1317"/>
      <c r="BZ1317"/>
      <c r="CA1317" s="1396"/>
      <c r="CB1317" s="1396"/>
      <c r="CC1317"/>
      <c r="CD1317"/>
      <c r="CE1317"/>
    </row>
    <row r="1318" spans="1:83" outlineLevel="1" x14ac:dyDescent="0.2">
      <c r="A1318"/>
      <c r="B1318" s="945">
        <v>15</v>
      </c>
      <c r="C1318" s="977" t="str">
        <f>IF(AK1303="","",RANK(F1318,F1304:F1321)*1000+ROW())</f>
        <v/>
      </c>
      <c r="D1318" s="978" t="str">
        <f t="shared" si="888"/>
        <v/>
      </c>
      <c r="E1318" s="978" t="str">
        <f>IF(L1318="","",Nb_Diff_Part(D1318,D1304:D1321,G1318,G1304:G1321,AI1324:AI1508)*CritClassInd_DiffPart+Nb_Goal_Part(D1318,D1304:D1321,G1318,G1304:G1321,V1324:Z1508)*CritClassInd_GoalPart+Nb_Score_Part(D1318,D1304:D1321,G1318,G1304:G1321,V1324:Z1508)*CritClassInd_ScorePart)</f>
        <v/>
      </c>
      <c r="F1318" s="979" t="str">
        <f t="shared" si="889"/>
        <v/>
      </c>
      <c r="G1318" s="39" t="s">
        <v>3918</v>
      </c>
      <c r="H1318" s="501">
        <f t="shared" si="886"/>
        <v>0</v>
      </c>
      <c r="I1318" s="39"/>
      <c r="J1318" s="977" t="str">
        <f>IF(AK1303="","",(L1318*Points_Victoire)+M1318*Points_Null)</f>
        <v/>
      </c>
      <c r="K1318" s="988" t="str">
        <f t="shared" si="887"/>
        <v/>
      </c>
      <c r="L1318" s="988" t="str">
        <f>IF(AK1303="","",COUNTIF(AE1324:AE1508,G1318))</f>
        <v/>
      </c>
      <c r="M1318" s="988" t="str">
        <f>IF(AK1303="","",COUNTIF(AF1324:AG1508,G1318))</f>
        <v/>
      </c>
      <c r="N1318" s="988" t="str">
        <f>IF(AK1303="","",COUNTIF(AH1324:AH1508,G1318))</f>
        <v/>
      </c>
      <c r="O1318" s="988" t="str">
        <f>IF(AK1303="","",SUMIF(V1324:V1508,G1318,AB1324:AB1508)+SUMIF(Z1324:Z1508,G1318,AD1324:AD1508))</f>
        <v/>
      </c>
      <c r="P1318" s="988" t="str">
        <f>IF(AK1303="","",SUMIF(V1324:V1508,G1318,AD1324:AD1508)+SUMIF(Z1324:Z1508,G1318,AB1324:AB1508))</f>
        <v/>
      </c>
      <c r="Q1318" s="989" t="str">
        <f>IF(AK1303="","",O1318-P1318)</f>
        <v/>
      </c>
      <c r="R1318"/>
      <c r="S1318"/>
      <c r="T1318"/>
      <c r="U1318"/>
      <c r="V1318"/>
      <c r="W1318" s="1"/>
      <c r="X1318" s="1"/>
      <c r="Y1318" s="1"/>
      <c r="Z1318"/>
      <c r="AB1318" s="964"/>
      <c r="AC1318" s="964"/>
      <c r="AD1318" s="964"/>
      <c r="AE1318" s="964"/>
      <c r="AF1318" s="964"/>
      <c r="AG1318" s="964"/>
      <c r="AH1318" s="964"/>
      <c r="AI1318" s="964"/>
      <c r="AJ1318" s="964"/>
      <c r="AK1318" s="968" t="str">
        <f>IF(AK1303="","",SMALL(C1304:C1321,15))</f>
        <v/>
      </c>
      <c r="AL1318"/>
      <c r="AM1318" s="16"/>
      <c r="AN1318" s="946" t="str">
        <f>IF(AK1303="","",INT(AK1318/1000))</f>
        <v/>
      </c>
      <c r="AO1318" s="42" t="str">
        <f>IF(AK1303="","",VLOOKUP(AK1318,C1304:Q1321,5,FALSE))</f>
        <v/>
      </c>
      <c r="AP1318" s="42" t="str">
        <f>VLOOKUP(AK1318,C1304:Q1321,8,FALSE)</f>
        <v/>
      </c>
      <c r="AQ1318" s="42" t="str">
        <f>VLOOKUP(AK1318,C1304:Q1321,9,FALSE)</f>
        <v/>
      </c>
      <c r="AR1318" s="42" t="str">
        <f>VLOOKUP(AK1318,C1304:Q1321,10,FALSE)</f>
        <v/>
      </c>
      <c r="AS1318" s="42" t="str">
        <f>VLOOKUP(AK1318,C1304:Q1321,11,FALSE)</f>
        <v/>
      </c>
      <c r="AT1318" s="42" t="str">
        <f>VLOOKUP(AK1318,C1304:Q1321,12,FALSE)</f>
        <v/>
      </c>
      <c r="AU1318" s="42" t="str">
        <f>VLOOKUP(AK1318,C1304:Q1321,13,FALSE)</f>
        <v/>
      </c>
      <c r="AV1318" s="42" t="str">
        <f>VLOOKUP(AK1318,C1304:Q1321,14,FALSE)</f>
        <v/>
      </c>
      <c r="AW1318" s="947" t="str">
        <f>VLOOKUP(AK1318,C1304:Q1321,15,FALSE)</f>
        <v/>
      </c>
      <c r="AX1318"/>
      <c r="AY1318"/>
      <c r="AZ1318" s="1"/>
      <c r="BA1318" s="1"/>
      <c r="BB1318"/>
      <c r="BC1318" s="6"/>
      <c r="BD1318"/>
      <c r="BE1318" s="1"/>
      <c r="BF1318"/>
      <c r="BG1318" s="16"/>
      <c r="BH1318"/>
      <c r="BI1318"/>
      <c r="BJ1318"/>
      <c r="BK1318"/>
      <c r="BL1318"/>
      <c r="BM1318"/>
      <c r="BN1318"/>
      <c r="BO1318"/>
      <c r="BP1318"/>
      <c r="BQ1318"/>
      <c r="BR1318"/>
      <c r="BS1318"/>
      <c r="BT1318"/>
      <c r="BU1318"/>
      <c r="BV1318"/>
      <c r="BW1318"/>
      <c r="BX1318"/>
      <c r="BY1318"/>
      <c r="BZ1318"/>
      <c r="CA1318" s="1396"/>
      <c r="CB1318" s="1396"/>
      <c r="CC1318"/>
      <c r="CD1318"/>
      <c r="CE1318"/>
    </row>
    <row r="1319" spans="1:83" outlineLevel="1" x14ac:dyDescent="0.2">
      <c r="A1319"/>
      <c r="B1319" s="945">
        <v>16</v>
      </c>
      <c r="C1319" s="977" t="str">
        <f>IF(AK1303="","",RANK(F1319,F1304:F1321)*1000+ROW())</f>
        <v/>
      </c>
      <c r="D1319" s="978" t="str">
        <f t="shared" si="888"/>
        <v/>
      </c>
      <c r="E1319" s="978" t="str">
        <f>IF(L1319="","",Nb_Diff_Part(D1319,D1304:D1321,G1319,G1304:G1321,AI1324:AI1508)*CritClassInd_DiffPart+Nb_Goal_Part(D1319,D1304:D1321,G1319,G1304:G1321,V1324:Z1508)*CritClassInd_GoalPart+Nb_Score_Part(D1319,D1304:D1321,G1319,G1304:G1321,V1324:Z1508)*CritClassInd_ScorePart)</f>
        <v/>
      </c>
      <c r="F1319" s="979" t="str">
        <f t="shared" si="889"/>
        <v/>
      </c>
      <c r="G1319" s="39" t="s">
        <v>792</v>
      </c>
      <c r="H1319" s="501">
        <f t="shared" si="886"/>
        <v>0</v>
      </c>
      <c r="I1319" s="39"/>
      <c r="J1319" s="977" t="str">
        <f>IF(AK1303="","",(L1319*Points_Victoire)+M1319*Points_Null)</f>
        <v/>
      </c>
      <c r="K1319" s="988" t="str">
        <f t="shared" si="887"/>
        <v/>
      </c>
      <c r="L1319" s="988" t="str">
        <f>IF(AK1303="","",COUNTIF(AE1324:AE1508,G1319))</f>
        <v/>
      </c>
      <c r="M1319" s="988" t="str">
        <f>IF(AK1303="","",COUNTIF(AF1324:AG1508,G1319))</f>
        <v/>
      </c>
      <c r="N1319" s="988" t="str">
        <f>IF(AK1303="","",COUNTIF(AH1324:AH1508,G1319))</f>
        <v/>
      </c>
      <c r="O1319" s="988" t="str">
        <f>IF(AK1303="","",SUMIF(V1324:V1508,G1319,AB1324:AB1508)+SUMIF(Z1324:Z1508,G1319,AD1324:AD1508))</f>
        <v/>
      </c>
      <c r="P1319" s="988" t="str">
        <f>IF(AK1303="","",SUMIF(V1324:V1508,G1319,AD1324:AD1508)+SUMIF(Z1324:Z1508,G1319,AB1324:AB1508))</f>
        <v/>
      </c>
      <c r="Q1319" s="989" t="str">
        <f>IF(AK1303="","",O1319-P1319)</f>
        <v/>
      </c>
      <c r="R1319"/>
      <c r="S1319"/>
      <c r="T1319"/>
      <c r="U1319"/>
      <c r="V1319"/>
      <c r="W1319" s="1"/>
      <c r="X1319" s="1"/>
      <c r="Y1319" s="1"/>
      <c r="Z1319"/>
      <c r="AB1319" s="964"/>
      <c r="AC1319" s="964"/>
      <c r="AD1319" s="964"/>
      <c r="AE1319" s="964"/>
      <c r="AF1319" s="964"/>
      <c r="AG1319" s="964"/>
      <c r="AH1319" s="964"/>
      <c r="AI1319" s="964"/>
      <c r="AJ1319" s="964"/>
      <c r="AK1319" s="968" t="str">
        <f>IF(AK1303="","",SMALL(C1304:C1321,16))</f>
        <v/>
      </c>
      <c r="AL1319"/>
      <c r="AM1319" s="16"/>
      <c r="AN1319" s="946" t="str">
        <f>IF(AK1303="","",INT(AK1319/1000))</f>
        <v/>
      </c>
      <c r="AO1319" s="42" t="str">
        <f>IF(AK1303="","",VLOOKUP(AK1319,C1304:Q1321,5,FALSE))</f>
        <v/>
      </c>
      <c r="AP1319" s="42" t="str">
        <f>VLOOKUP(AK1319,C1304:Q1321,8,FALSE)</f>
        <v/>
      </c>
      <c r="AQ1319" s="42" t="str">
        <f>VLOOKUP(AK1319,C1304:Q1321,9,FALSE)</f>
        <v/>
      </c>
      <c r="AR1319" s="42" t="str">
        <f>VLOOKUP(AK1319,C1304:Q1321,10,FALSE)</f>
        <v/>
      </c>
      <c r="AS1319" s="42" t="str">
        <f>VLOOKUP(AK1319,C1304:Q1321,11,FALSE)</f>
        <v/>
      </c>
      <c r="AT1319" s="42" t="str">
        <f>VLOOKUP(AK1319,C1304:Q1321,12,FALSE)</f>
        <v/>
      </c>
      <c r="AU1319" s="42" t="str">
        <f>VLOOKUP(AK1319,C1304:Q1321,13,FALSE)</f>
        <v/>
      </c>
      <c r="AV1319" s="42" t="str">
        <f>VLOOKUP(AK1319,C1304:Q1321,14,FALSE)</f>
        <v/>
      </c>
      <c r="AW1319" s="947" t="str">
        <f>VLOOKUP(AK1319,C1304:Q1321,15,FALSE)</f>
        <v/>
      </c>
      <c r="AX1319"/>
      <c r="AY1319"/>
      <c r="AZ1319" s="1"/>
      <c r="BA1319" s="1"/>
      <c r="BB1319"/>
      <c r="BC1319" s="6"/>
      <c r="BD1319"/>
      <c r="BE1319" s="1"/>
      <c r="BF1319"/>
      <c r="BG1319" s="16"/>
      <c r="BH1319"/>
      <c r="BI1319"/>
      <c r="BJ1319"/>
      <c r="BK1319"/>
      <c r="BL1319"/>
      <c r="BM1319"/>
      <c r="BN1319"/>
      <c r="BO1319"/>
      <c r="BP1319"/>
      <c r="BQ1319"/>
      <c r="BR1319"/>
      <c r="BS1319"/>
      <c r="BT1319"/>
      <c r="BU1319"/>
      <c r="BV1319"/>
      <c r="BW1319"/>
      <c r="BX1319"/>
      <c r="BY1319"/>
      <c r="BZ1319"/>
      <c r="CA1319" s="1396"/>
      <c r="CB1319" s="1396"/>
      <c r="CC1319"/>
      <c r="CD1319"/>
      <c r="CE1319"/>
    </row>
    <row r="1320" spans="1:83" outlineLevel="1" x14ac:dyDescent="0.2">
      <c r="A1320"/>
      <c r="B1320" s="945">
        <v>17</v>
      </c>
      <c r="C1320" s="977" t="str">
        <f>IF(AK1303="","",RANK(F1320,F1304:F1321)*1000+ROW())</f>
        <v/>
      </c>
      <c r="D1320" s="978" t="str">
        <f t="shared" si="888"/>
        <v/>
      </c>
      <c r="E1320" s="978" t="str">
        <f>IF(L1320="","",Nb_Diff_Part(D1320,D1304:D1321,G1320,G1304:G1321,AI1324:AI1508)*CritClassInd_DiffPart+Nb_Goal_Part(D1320,D1304:D1321,G1320,G1304:G1321,V1324:Z1508)*CritClassInd_GoalPart+Nb_Score_Part(D1320,D1304:D1321,G1320,G1304:G1321,V1324:Z1508)*CritClassInd_ScorePart)</f>
        <v/>
      </c>
      <c r="F1320" s="979" t="str">
        <f t="shared" si="889"/>
        <v/>
      </c>
      <c r="G1320" s="39" t="s">
        <v>3919</v>
      </c>
      <c r="H1320" s="501">
        <f t="shared" si="886"/>
        <v>0</v>
      </c>
      <c r="I1320" s="39"/>
      <c r="J1320" s="977" t="str">
        <f>IF(AK1303="","",(L1320*Points_Victoire)+M1320*Points_Null)</f>
        <v/>
      </c>
      <c r="K1320" s="988" t="str">
        <f t="shared" si="887"/>
        <v/>
      </c>
      <c r="L1320" s="988" t="str">
        <f>IF(AK1303="","",COUNTIF(AE1324:AE1508,G1320))</f>
        <v/>
      </c>
      <c r="M1320" s="988" t="str">
        <f>IF(AK1303="","",COUNTIF(AF1324:AG1508,G1320))</f>
        <v/>
      </c>
      <c r="N1320" s="988" t="str">
        <f>IF(AK1303="","",COUNTIF(AH1324:AH1508,G1320))</f>
        <v/>
      </c>
      <c r="O1320" s="988" t="str">
        <f>IF(AK1303="","",SUMIF(V1324:V1508,G1320,AB1324:AB1508)+SUMIF(Z1324:Z1508,G1320,AD1324:AD1508))</f>
        <v/>
      </c>
      <c r="P1320" s="988" t="str">
        <f>IF(AK1303="","",SUMIF(V1324:V1508,G1320,AD1324:AD1508)+SUMIF(Z1324:Z1508,G1320,AB1324:AB1508))</f>
        <v/>
      </c>
      <c r="Q1320" s="989" t="str">
        <f>IF(AK1303="","",O1320-P1320)</f>
        <v/>
      </c>
      <c r="R1320"/>
      <c r="S1320"/>
      <c r="T1320"/>
      <c r="U1320"/>
      <c r="V1320"/>
      <c r="W1320" s="1"/>
      <c r="X1320" s="1"/>
      <c r="Y1320" s="1"/>
      <c r="Z1320"/>
      <c r="AB1320" s="964"/>
      <c r="AC1320" s="964"/>
      <c r="AD1320" s="964"/>
      <c r="AE1320" s="964"/>
      <c r="AF1320" s="964"/>
      <c r="AG1320" s="964"/>
      <c r="AH1320" s="964"/>
      <c r="AI1320" s="964"/>
      <c r="AJ1320" s="964"/>
      <c r="AK1320" s="968" t="str">
        <f>IF(AK1303="","",SMALL(C1304:C1321,17))</f>
        <v/>
      </c>
      <c r="AL1320"/>
      <c r="AM1320" s="16"/>
      <c r="AN1320" s="946" t="str">
        <f>IF(AK1303="","",INT(AK1320/1000))</f>
        <v/>
      </c>
      <c r="AO1320" s="42" t="str">
        <f>IF(AK1303="","",VLOOKUP(AK1320,C1304:Q1321,5,FALSE))</f>
        <v/>
      </c>
      <c r="AP1320" s="42" t="str">
        <f>VLOOKUP(AK1320,C1304:Q1321,8,FALSE)</f>
        <v/>
      </c>
      <c r="AQ1320" s="42" t="str">
        <f>VLOOKUP(AK1320,C1304:Q1321,9,FALSE)</f>
        <v/>
      </c>
      <c r="AR1320" s="42" t="str">
        <f>VLOOKUP(AK1320,C1304:Q1321,10,FALSE)</f>
        <v/>
      </c>
      <c r="AS1320" s="42" t="str">
        <f>VLOOKUP(AK1320,C1304:Q1321,11,FALSE)</f>
        <v/>
      </c>
      <c r="AT1320" s="42" t="str">
        <f>VLOOKUP(AK1320,C1304:Q1321,12,FALSE)</f>
        <v/>
      </c>
      <c r="AU1320" s="42" t="str">
        <f>VLOOKUP(AK1320,C1304:Q1321,13,FALSE)</f>
        <v/>
      </c>
      <c r="AV1320" s="42" t="str">
        <f>VLOOKUP(AK1320,C1304:Q1321,14,FALSE)</f>
        <v/>
      </c>
      <c r="AW1320" s="947" t="str">
        <f>VLOOKUP(AK1320,C1304:Q1321,15,FALSE)</f>
        <v/>
      </c>
      <c r="AX1320"/>
      <c r="AY1320"/>
      <c r="AZ1320" s="1"/>
      <c r="BA1320" s="1"/>
      <c r="BB1320"/>
      <c r="BC1320" s="6"/>
      <c r="BD1320"/>
      <c r="BE1320" s="1"/>
      <c r="BF1320"/>
      <c r="BG1320" s="16"/>
      <c r="BH1320"/>
      <c r="BI1320"/>
      <c r="BJ1320"/>
      <c r="BK1320"/>
      <c r="BL1320"/>
      <c r="BM1320"/>
      <c r="BN1320"/>
      <c r="BO1320"/>
      <c r="BP1320"/>
      <c r="BQ1320"/>
      <c r="BR1320"/>
      <c r="BS1320"/>
      <c r="BT1320"/>
      <c r="BU1320"/>
      <c r="BV1320"/>
      <c r="BW1320"/>
      <c r="BX1320"/>
      <c r="BY1320"/>
      <c r="BZ1320"/>
      <c r="CA1320" s="1396"/>
      <c r="CB1320" s="1396"/>
      <c r="CC1320"/>
      <c r="CD1320"/>
      <c r="CE1320"/>
    </row>
    <row r="1321" spans="1:83" ht="13.5" outlineLevel="1" thickBot="1" x14ac:dyDescent="0.25">
      <c r="A1321"/>
      <c r="B1321" s="945">
        <v>18</v>
      </c>
      <c r="C1321" s="977" t="str">
        <f>IF(AK1303="","",RANK(F1321,F1304:F1321)*1000+ROW())</f>
        <v/>
      </c>
      <c r="D1321" s="978" t="str">
        <f t="shared" si="888"/>
        <v/>
      </c>
      <c r="E1321" s="978" t="str">
        <f>IF(L1321="","",Nb_Diff_Part(D1321,D1304:D1321,G1321,G1304:G1321,AI1324:AI1508)*CritClassInd_DiffPart+Nb_Goal_Part(D1321,D1304:D1321,G1321,G1304:G1321,V1324:Z1508)*CritClassInd_GoalPart+Nb_Score_Part(D1321,D1304:D1321,G1321,G1304:G1321,V1324:Z1508)*CritClassInd_ScorePart)</f>
        <v/>
      </c>
      <c r="F1321" s="979" t="str">
        <f t="shared" si="889"/>
        <v/>
      </c>
      <c r="G1321" s="39" t="s">
        <v>3920</v>
      </c>
      <c r="H1321" s="501">
        <f t="shared" si="886"/>
        <v>0</v>
      </c>
      <c r="I1321" s="39"/>
      <c r="J1321" s="977" t="str">
        <f>IF(AK1303="","",(L1321*Points_Victoire)+M1321*Points_Null)</f>
        <v/>
      </c>
      <c r="K1321" s="988" t="str">
        <f t="shared" si="887"/>
        <v/>
      </c>
      <c r="L1321" s="988" t="str">
        <f>IF(AK1303="","",COUNTIF(AE1324:AE1508,G1321))</f>
        <v/>
      </c>
      <c r="M1321" s="988" t="str">
        <f>IF(AK1303="","",COUNTIF(AF1324:AG1508,G1321))</f>
        <v/>
      </c>
      <c r="N1321" s="988" t="str">
        <f>IF(AK1303="","",COUNTIF(AH1324:AH1508,G1321))</f>
        <v/>
      </c>
      <c r="O1321" s="988" t="str">
        <f>IF(AK1303="","",SUMIF(V1324:V1508,G1321,AB1324:AB1508)+SUMIF(Z1324:Z1508,G1321,AD1324:AD1508))</f>
        <v/>
      </c>
      <c r="P1321" s="988" t="str">
        <f>IF(AK1303="","",SUMIF(V1324:V1508,G1321,AD1324:AD1508)+SUMIF(Z1324:Z1508,G1321,AB1324:AB1508))</f>
        <v/>
      </c>
      <c r="Q1321" s="989" t="str">
        <f>IF(AK1303="","",O1321-P1321)</f>
        <v/>
      </c>
      <c r="R1321"/>
      <c r="S1321"/>
      <c r="T1321"/>
      <c r="U1321"/>
      <c r="V1321"/>
      <c r="W1321" s="1"/>
      <c r="X1321" s="1"/>
      <c r="Y1321" s="1"/>
      <c r="Z1321"/>
      <c r="AB1321" s="964"/>
      <c r="AC1321" s="964"/>
      <c r="AD1321" s="964"/>
      <c r="AE1321" s="964"/>
      <c r="AF1321" s="964"/>
      <c r="AG1321" s="964"/>
      <c r="AH1321" s="964"/>
      <c r="AI1321" s="964"/>
      <c r="AJ1321" s="964"/>
      <c r="AK1321" s="968" t="str">
        <f>IF(AK1303="","",SMALL(C1304:C1321,18))</f>
        <v/>
      </c>
      <c r="AL1321"/>
      <c r="AM1321" s="16"/>
      <c r="AN1321" s="950" t="str">
        <f>IF(AK1303="","",INT(AK1321/1000))</f>
        <v/>
      </c>
      <c r="AO1321" s="50" t="str">
        <f>IF(AK1303="","",VLOOKUP(AK1321,C1304:Q1321,5,FALSE))</f>
        <v/>
      </c>
      <c r="AP1321" s="50" t="str">
        <f>VLOOKUP(AK1321,C1304:Q1321,8,FALSE)</f>
        <v/>
      </c>
      <c r="AQ1321" s="50" t="str">
        <f>VLOOKUP(AK1321,C1304:Q1321,9,FALSE)</f>
        <v/>
      </c>
      <c r="AR1321" s="50" t="str">
        <f>VLOOKUP(AK1321,C1304:Q1321,10,FALSE)</f>
        <v/>
      </c>
      <c r="AS1321" s="50" t="str">
        <f>VLOOKUP(AK1321,C1304:Q1321,11,FALSE)</f>
        <v/>
      </c>
      <c r="AT1321" s="50" t="str">
        <f>VLOOKUP(AK1321,C1304:Q1321,12,FALSE)</f>
        <v/>
      </c>
      <c r="AU1321" s="50" t="str">
        <f>VLOOKUP(AK1321,C1304:Q1321,13,FALSE)</f>
        <v/>
      </c>
      <c r="AV1321" s="50" t="str">
        <f>VLOOKUP(AK1321,C1304:Q1321,14,FALSE)</f>
        <v/>
      </c>
      <c r="AW1321" s="951" t="str">
        <f>VLOOKUP(AK1321,C1304:Q1321,15,FALSE)</f>
        <v/>
      </c>
      <c r="AX1321"/>
      <c r="AY1321"/>
      <c r="AZ1321" s="1"/>
      <c r="BA1321" s="1"/>
      <c r="BB1321"/>
      <c r="BC1321" s="6"/>
      <c r="BD1321"/>
      <c r="BE1321" s="1"/>
      <c r="BF1321"/>
      <c r="BG1321" s="16"/>
      <c r="BH1321"/>
      <c r="BI1321"/>
      <c r="BJ1321"/>
      <c r="BK1321"/>
      <c r="BL1321"/>
      <c r="BM1321"/>
      <c r="BN1321"/>
      <c r="BO1321"/>
      <c r="BP1321"/>
      <c r="BQ1321"/>
      <c r="BR1321"/>
      <c r="BS1321"/>
      <c r="BT1321"/>
      <c r="BU1321"/>
      <c r="BV1321"/>
      <c r="BW1321"/>
      <c r="BX1321"/>
      <c r="BY1321"/>
      <c r="BZ1321"/>
      <c r="CA1321" s="1396"/>
      <c r="CB1321" s="1396"/>
      <c r="CC1321"/>
      <c r="CD1321"/>
      <c r="CE1321"/>
    </row>
    <row r="1322" spans="1:83" ht="13.5" outlineLevel="1" thickBot="1" x14ac:dyDescent="0.25">
      <c r="A1322"/>
      <c r="B1322" s="1"/>
      <c r="C1322" s="1"/>
      <c r="D1322" s="76"/>
      <c r="E1322" s="76"/>
      <c r="F1322" s="76"/>
      <c r="G1322" s="9"/>
      <c r="H1322" s="9"/>
      <c r="I1322" s="1"/>
      <c r="J1322"/>
      <c r="K1322"/>
      <c r="L1322"/>
      <c r="M1322"/>
      <c r="N1322"/>
      <c r="O1322"/>
      <c r="P1322" s="89"/>
      <c r="Q1322"/>
      <c r="R1322" s="1"/>
      <c r="S1322" s="993">
        <v>1</v>
      </c>
      <c r="T1322" s="961"/>
      <c r="U1322" s="961"/>
      <c r="V1322" s="961"/>
      <c r="W1322" s="960"/>
      <c r="X1322" s="960"/>
      <c r="Y1322" s="960"/>
      <c r="Z1322" s="962"/>
      <c r="AA1322" s="123"/>
      <c r="AB1322" s="1461" t="str">
        <f>IF(MaxScore,N_MaxScore,"")</f>
        <v>Score Max</v>
      </c>
      <c r="AC1322" s="1461"/>
      <c r="AD1322" s="1461"/>
      <c r="AE1322" s="964"/>
      <c r="AF1322" s="964"/>
      <c r="AG1322" s="964"/>
      <c r="AH1322" s="964"/>
      <c r="AI1322" s="964"/>
      <c r="AJ1322" s="964"/>
      <c r="AK1322" s="964"/>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s="1396"/>
      <c r="CB1322" s="1396"/>
      <c r="CC1322"/>
      <c r="CD1322"/>
      <c r="CE1322"/>
    </row>
    <row r="1323" spans="1:83" ht="13.9" customHeight="1" outlineLevel="2" thickBot="1" x14ac:dyDescent="0.25">
      <c r="A1323"/>
      <c r="B1323" s="1"/>
      <c r="C1323"/>
      <c r="D1323"/>
      <c r="E1323"/>
      <c r="F1323"/>
      <c r="G1323" s="1"/>
      <c r="H1323" s="1"/>
      <c r="I1323"/>
      <c r="J1323"/>
      <c r="K1323"/>
      <c r="L1323"/>
      <c r="M1323"/>
      <c r="N1323"/>
      <c r="O1323"/>
      <c r="P1323"/>
      <c r="Q1323"/>
      <c r="S1323" s="18" t="str">
        <f>N_Heure</f>
        <v>Heure</v>
      </c>
      <c r="T1323" s="22" t="str">
        <f>N_Table</f>
        <v>Table</v>
      </c>
      <c r="U1323" s="952" t="str">
        <f>N_Arbitre</f>
        <v>Arbitre</v>
      </c>
      <c r="V1323" s="293" t="str">
        <f>N_Matches</f>
        <v>Matches</v>
      </c>
      <c r="W1323" s="294"/>
      <c r="X1323" s="294"/>
      <c r="Y1323" s="294"/>
      <c r="Z1323" s="295"/>
      <c r="AA1323" s="8"/>
      <c r="AB1323" s="967"/>
      <c r="AC1323" s="967"/>
      <c r="AD1323" s="967"/>
      <c r="AE1323" s="964"/>
      <c r="AF1323" s="964"/>
      <c r="AG1323" s="964"/>
      <c r="AH1323" s="964"/>
      <c r="AI1323" s="964"/>
      <c r="AJ1323" s="964"/>
      <c r="AK1323" s="964"/>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s="1396"/>
      <c r="CB1323" s="1396"/>
      <c r="CC1323"/>
      <c r="CD1323"/>
      <c r="CE1323"/>
    </row>
    <row r="1324" spans="1:83" ht="13.15" customHeight="1" outlineLevel="2" x14ac:dyDescent="0.2">
      <c r="A1324"/>
      <c r="B1324" s="1"/>
      <c r="C1324"/>
      <c r="D1324"/>
      <c r="E1324"/>
      <c r="F1324"/>
      <c r="G1324" s="1"/>
      <c r="H1324" s="1"/>
      <c r="I1324"/>
      <c r="J1324"/>
      <c r="K1324"/>
      <c r="L1324"/>
      <c r="M1324"/>
      <c r="N1324"/>
      <c r="O1324"/>
      <c r="P1324"/>
      <c r="Q1324"/>
      <c r="R1324" s="558" t="s">
        <v>1726</v>
      </c>
      <c r="S1324" s="65"/>
      <c r="T1324" s="953"/>
      <c r="U1324" s="954"/>
      <c r="V1324" s="34" t="str">
        <f>IF(G1304="","",G1304)</f>
        <v>A</v>
      </c>
      <c r="W1324" s="148"/>
      <c r="X1324" s="35" t="s">
        <v>769</v>
      </c>
      <c r="Y1324" s="148"/>
      <c r="Z1324" s="36" t="str">
        <f>IF(G1305="","",G1305)</f>
        <v>B</v>
      </c>
      <c r="AA1324" s="123"/>
      <c r="AB1324" s="1459">
        <f t="shared" ref="AB1324:AB1332" si="890">IF(MaxScore,MaxGoals(W1324,Y1324,MaxGoalsValue),IF(W1324="","",W1324))</f>
        <v>0</v>
      </c>
      <c r="AC1324" s="1460" t="str">
        <f t="shared" ref="AC1324:AC1332" si="891">IF(MaxScore,"-",IF(W1324="","","-"))</f>
        <v>-</v>
      </c>
      <c r="AD1324" s="1459">
        <f t="shared" ref="AD1324:AD1332" si="892">IF(MaxScore,MaxGoals(Y1324,W1324,MaxGoalsValue),IF(Y1324="","",Y1324))</f>
        <v>0</v>
      </c>
      <c r="AE1324" s="964" t="str">
        <f t="shared" ref="AE1324:AE1332" si="893">IF(W1324="","",IF(W1324&gt;Y1324,V1324,IF(W1324=Y1324,"",Z1324)))</f>
        <v/>
      </c>
      <c r="AF1324" s="964" t="str">
        <f t="shared" ref="AF1324:AF1332" si="894">IF(W1324="","",IF(W1324=Y1324,V1324,""))</f>
        <v/>
      </c>
      <c r="AG1324" s="964" t="str">
        <f t="shared" ref="AG1324:AG1332" si="895">IF(W1324="","",IF(W1324=Y1324,Z1324,""))</f>
        <v/>
      </c>
      <c r="AH1324" s="964" t="str">
        <f t="shared" ref="AH1324:AH1332" si="896">IF(W1324="","",IF(W1324&lt;Y1324,V1324,IF(W1324=Y1324,"",Z1324)))</f>
        <v/>
      </c>
      <c r="AI1324" s="964" t="str">
        <f t="shared" ref="AI1324:AI1332" si="897">CONCATENATE(AE1324,AH1324)</f>
        <v/>
      </c>
      <c r="AJ1324" s="964"/>
      <c r="AK1324" s="96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s="1396"/>
      <c r="CB1324" s="1396"/>
      <c r="CC1324"/>
      <c r="CD1324"/>
      <c r="CE1324"/>
    </row>
    <row r="1325" spans="1:83" ht="13.15" customHeight="1" outlineLevel="2" x14ac:dyDescent="0.2">
      <c r="A1325"/>
      <c r="B1325" s="1"/>
      <c r="C1325"/>
      <c r="D1325"/>
      <c r="E1325"/>
      <c r="F1325"/>
      <c r="G1325" s="1"/>
      <c r="H1325" s="1"/>
      <c r="I1325"/>
      <c r="J1325"/>
      <c r="K1325"/>
      <c r="L1325"/>
      <c r="M1325"/>
      <c r="N1325"/>
      <c r="O1325"/>
      <c r="P1325"/>
      <c r="Q1325"/>
      <c r="R1325" s="558" t="s">
        <v>1726</v>
      </c>
      <c r="S1325" s="83"/>
      <c r="T1325" s="56"/>
      <c r="U1325" s="955"/>
      <c r="V1325" s="43" t="str">
        <f>IF(G1306="","",G1306)</f>
        <v>C</v>
      </c>
      <c r="W1325" s="10"/>
      <c r="X1325" s="45" t="s">
        <v>769</v>
      </c>
      <c r="Y1325" s="10"/>
      <c r="Z1325" s="46" t="str">
        <f>IF(G1307="","",G1307)</f>
        <v>D</v>
      </c>
      <c r="AA1325" s="123"/>
      <c r="AB1325" s="1459">
        <f t="shared" si="890"/>
        <v>0</v>
      </c>
      <c r="AC1325" s="1460" t="str">
        <f t="shared" si="891"/>
        <v>-</v>
      </c>
      <c r="AD1325" s="1459">
        <f t="shared" si="892"/>
        <v>0</v>
      </c>
      <c r="AE1325" s="964" t="str">
        <f t="shared" si="893"/>
        <v/>
      </c>
      <c r="AF1325" s="964" t="str">
        <f t="shared" si="894"/>
        <v/>
      </c>
      <c r="AG1325" s="964" t="str">
        <f t="shared" si="895"/>
        <v/>
      </c>
      <c r="AH1325" s="964" t="str">
        <f t="shared" si="896"/>
        <v/>
      </c>
      <c r="AI1325" s="964" t="str">
        <f t="shared" si="897"/>
        <v/>
      </c>
      <c r="AJ1325" s="964"/>
      <c r="AK1325" s="964"/>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s="1396"/>
      <c r="CB1325" s="1396"/>
      <c r="CC1325"/>
      <c r="CD1325"/>
      <c r="CE1325"/>
    </row>
    <row r="1326" spans="1:83" ht="13.15" customHeight="1" outlineLevel="2" x14ac:dyDescent="0.2">
      <c r="A1326"/>
      <c r="B1326" s="1"/>
      <c r="C1326"/>
      <c r="D1326"/>
      <c r="E1326"/>
      <c r="F1326"/>
      <c r="G1326" s="1"/>
      <c r="H1326" s="1"/>
      <c r="I1326"/>
      <c r="J1326"/>
      <c r="K1326"/>
      <c r="L1326"/>
      <c r="M1326"/>
      <c r="N1326"/>
      <c r="O1326"/>
      <c r="P1326"/>
      <c r="Q1326"/>
      <c r="R1326" s="558" t="s">
        <v>1726</v>
      </c>
      <c r="S1326" s="83"/>
      <c r="T1326" s="56"/>
      <c r="U1326" s="955"/>
      <c r="V1326" s="43" t="str">
        <f>IF(G1308="","",G1308)</f>
        <v>E</v>
      </c>
      <c r="W1326" s="10"/>
      <c r="X1326" s="45" t="s">
        <v>769</v>
      </c>
      <c r="Y1326" s="10"/>
      <c r="Z1326" s="46" t="str">
        <f>IF(G1309="","",G1309)</f>
        <v>F</v>
      </c>
      <c r="AA1326" s="123"/>
      <c r="AB1326" s="1459">
        <f t="shared" si="890"/>
        <v>0</v>
      </c>
      <c r="AC1326" s="1460" t="str">
        <f t="shared" si="891"/>
        <v>-</v>
      </c>
      <c r="AD1326" s="1459">
        <f t="shared" si="892"/>
        <v>0</v>
      </c>
      <c r="AE1326" s="964" t="str">
        <f t="shared" si="893"/>
        <v/>
      </c>
      <c r="AF1326" s="964" t="str">
        <f t="shared" si="894"/>
        <v/>
      </c>
      <c r="AG1326" s="964" t="str">
        <f t="shared" si="895"/>
        <v/>
      </c>
      <c r="AH1326" s="964" t="str">
        <f t="shared" si="896"/>
        <v/>
      </c>
      <c r="AI1326" s="964" t="str">
        <f t="shared" si="897"/>
        <v/>
      </c>
      <c r="AJ1326" s="964"/>
      <c r="AK1326" s="964"/>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s="1396"/>
      <c r="CB1326" s="1396"/>
      <c r="CC1326"/>
      <c r="CD1326"/>
      <c r="CE1326"/>
    </row>
    <row r="1327" spans="1:83" ht="13.15" customHeight="1" outlineLevel="2" x14ac:dyDescent="0.2">
      <c r="A1327"/>
      <c r="B1327" s="1"/>
      <c r="C1327"/>
      <c r="D1327"/>
      <c r="E1327"/>
      <c r="F1327"/>
      <c r="G1327" s="1"/>
      <c r="H1327" s="1"/>
      <c r="I1327"/>
      <c r="J1327"/>
      <c r="K1327"/>
      <c r="L1327"/>
      <c r="M1327"/>
      <c r="N1327"/>
      <c r="O1327"/>
      <c r="P1327"/>
      <c r="Q1327"/>
      <c r="R1327" s="558" t="s">
        <v>1726</v>
      </c>
      <c r="S1327" s="83"/>
      <c r="T1327" s="56"/>
      <c r="U1327" s="955"/>
      <c r="V1327" s="43" t="str">
        <f>IF(G1310="","",G1310)</f>
        <v>G</v>
      </c>
      <c r="W1327" s="10"/>
      <c r="X1327" s="45" t="s">
        <v>769</v>
      </c>
      <c r="Y1327" s="10"/>
      <c r="Z1327" s="46" t="str">
        <f>IF(G1311="","",G1311)</f>
        <v>H</v>
      </c>
      <c r="AA1327" s="123"/>
      <c r="AB1327" s="1459">
        <f t="shared" si="890"/>
        <v>0</v>
      </c>
      <c r="AC1327" s="1460" t="str">
        <f t="shared" si="891"/>
        <v>-</v>
      </c>
      <c r="AD1327" s="1459">
        <f t="shared" si="892"/>
        <v>0</v>
      </c>
      <c r="AE1327" s="964" t="str">
        <f t="shared" si="893"/>
        <v/>
      </c>
      <c r="AF1327" s="964" t="str">
        <f t="shared" si="894"/>
        <v/>
      </c>
      <c r="AG1327" s="964" t="str">
        <f t="shared" si="895"/>
        <v/>
      </c>
      <c r="AH1327" s="964" t="str">
        <f t="shared" si="896"/>
        <v/>
      </c>
      <c r="AI1327" s="964" t="str">
        <f t="shared" si="897"/>
        <v/>
      </c>
      <c r="AJ1327" s="964"/>
      <c r="AK1327" s="964"/>
      <c r="AL1327"/>
      <c r="AM1327"/>
      <c r="AN1327"/>
      <c r="AO1327"/>
      <c r="AP1327"/>
      <c r="AQ1327"/>
      <c r="AR1327"/>
      <c r="AS1327"/>
      <c r="AT1327"/>
      <c r="AU1327"/>
      <c r="AV1327"/>
      <c r="AW1327"/>
      <c r="AX1327" s="9"/>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s="1396"/>
      <c r="CB1327" s="1396"/>
      <c r="CC1327"/>
      <c r="CD1327"/>
      <c r="CE1327"/>
    </row>
    <row r="1328" spans="1:83" ht="13.15" customHeight="1" outlineLevel="2" x14ac:dyDescent="0.2">
      <c r="A1328"/>
      <c r="B1328" s="1"/>
      <c r="C1328"/>
      <c r="D1328"/>
      <c r="E1328"/>
      <c r="F1328"/>
      <c r="G1328" s="1"/>
      <c r="H1328" s="1"/>
      <c r="I1328"/>
      <c r="J1328"/>
      <c r="K1328"/>
      <c r="L1328"/>
      <c r="M1328"/>
      <c r="N1328"/>
      <c r="O1328"/>
      <c r="P1328"/>
      <c r="Q1328"/>
      <c r="R1328" s="558" t="s">
        <v>1726</v>
      </c>
      <c r="S1328" s="83"/>
      <c r="T1328" s="56"/>
      <c r="U1328" s="955"/>
      <c r="V1328" s="43" t="str">
        <f>IF(G1312="","",G1312)</f>
        <v>I</v>
      </c>
      <c r="W1328" s="10"/>
      <c r="X1328" s="45" t="s">
        <v>769</v>
      </c>
      <c r="Y1328" s="10"/>
      <c r="Z1328" s="46" t="str">
        <f>IF(G1313="","",G1313)</f>
        <v>J</v>
      </c>
      <c r="AA1328" s="123"/>
      <c r="AB1328" s="1459">
        <f t="shared" si="890"/>
        <v>0</v>
      </c>
      <c r="AC1328" s="1460" t="str">
        <f t="shared" si="891"/>
        <v>-</v>
      </c>
      <c r="AD1328" s="1459">
        <f t="shared" si="892"/>
        <v>0</v>
      </c>
      <c r="AE1328" s="964" t="str">
        <f t="shared" si="893"/>
        <v/>
      </c>
      <c r="AF1328" s="964" t="str">
        <f t="shared" si="894"/>
        <v/>
      </c>
      <c r="AG1328" s="964" t="str">
        <f t="shared" si="895"/>
        <v/>
      </c>
      <c r="AH1328" s="964" t="str">
        <f t="shared" si="896"/>
        <v/>
      </c>
      <c r="AI1328" s="964" t="str">
        <f t="shared" si="897"/>
        <v/>
      </c>
      <c r="AJ1328" s="964"/>
      <c r="AK1328" s="964"/>
      <c r="AL1328"/>
      <c r="AM1328"/>
      <c r="AN1328"/>
      <c r="AO1328"/>
      <c r="AP1328"/>
      <c r="AQ1328"/>
      <c r="AR1328"/>
      <c r="AS1328"/>
      <c r="AT1328"/>
      <c r="AU1328"/>
      <c r="AV1328"/>
      <c r="AW1328" s="9"/>
      <c r="AX1328" s="9"/>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s="1396"/>
      <c r="CB1328" s="1396"/>
      <c r="CC1328"/>
      <c r="CD1328"/>
      <c r="CE1328"/>
    </row>
    <row r="1329" spans="1:83" ht="13.15" customHeight="1" outlineLevel="2" x14ac:dyDescent="0.2">
      <c r="A1329"/>
      <c r="B1329" s="1"/>
      <c r="C1329"/>
      <c r="D1329"/>
      <c r="E1329"/>
      <c r="F1329"/>
      <c r="G1329" s="1"/>
      <c r="H1329" s="1"/>
      <c r="I1329"/>
      <c r="J1329"/>
      <c r="K1329"/>
      <c r="L1329"/>
      <c r="M1329"/>
      <c r="N1329"/>
      <c r="O1329"/>
      <c r="P1329"/>
      <c r="Q1329"/>
      <c r="R1329" s="558" t="s">
        <v>1726</v>
      </c>
      <c r="S1329" s="83"/>
      <c r="T1329" s="56"/>
      <c r="U1329" s="955"/>
      <c r="V1329" s="43" t="str">
        <f>IF(G1314="","",G1314)</f>
        <v>K</v>
      </c>
      <c r="W1329" s="10"/>
      <c r="X1329" s="45" t="s">
        <v>769</v>
      </c>
      <c r="Y1329" s="10"/>
      <c r="Z1329" s="46" t="str">
        <f>IF(G1315="","",G1315)</f>
        <v>L</v>
      </c>
      <c r="AA1329" s="123"/>
      <c r="AB1329" s="1459">
        <f t="shared" si="890"/>
        <v>0</v>
      </c>
      <c r="AC1329" s="1460" t="str">
        <f t="shared" si="891"/>
        <v>-</v>
      </c>
      <c r="AD1329" s="1459">
        <f t="shared" si="892"/>
        <v>0</v>
      </c>
      <c r="AE1329" s="964" t="str">
        <f t="shared" si="893"/>
        <v/>
      </c>
      <c r="AF1329" s="964" t="str">
        <f t="shared" si="894"/>
        <v/>
      </c>
      <c r="AG1329" s="964" t="str">
        <f t="shared" si="895"/>
        <v/>
      </c>
      <c r="AH1329" s="964" t="str">
        <f t="shared" si="896"/>
        <v/>
      </c>
      <c r="AI1329" s="964" t="str">
        <f t="shared" si="897"/>
        <v/>
      </c>
      <c r="AJ1329" s="964"/>
      <c r="AK1329" s="964"/>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s="1396"/>
      <c r="CB1329" s="1396"/>
      <c r="CC1329"/>
      <c r="CD1329"/>
      <c r="CE1329"/>
    </row>
    <row r="1330" spans="1:83" ht="13.15" customHeight="1" outlineLevel="2" x14ac:dyDescent="0.2">
      <c r="A1330"/>
      <c r="B1330" s="1"/>
      <c r="C1330"/>
      <c r="D1330"/>
      <c r="E1330"/>
      <c r="F1330"/>
      <c r="G1330" s="1"/>
      <c r="H1330" s="1"/>
      <c r="I1330"/>
      <c r="J1330"/>
      <c r="K1330"/>
      <c r="L1330"/>
      <c r="M1330"/>
      <c r="N1330"/>
      <c r="O1330"/>
      <c r="P1330"/>
      <c r="Q1330"/>
      <c r="R1330" s="558" t="s">
        <v>1726</v>
      </c>
      <c r="S1330" s="83"/>
      <c r="T1330" s="56"/>
      <c r="U1330" s="955"/>
      <c r="V1330" s="43" t="str">
        <f>IF(G1316="","",G1316)</f>
        <v>M</v>
      </c>
      <c r="W1330" s="10"/>
      <c r="X1330" s="45" t="s">
        <v>769</v>
      </c>
      <c r="Y1330" s="10"/>
      <c r="Z1330" s="46" t="str">
        <f>IF(G1317="","",G1317)</f>
        <v>N</v>
      </c>
      <c r="AA1330" s="123"/>
      <c r="AB1330" s="1459">
        <f t="shared" si="890"/>
        <v>0</v>
      </c>
      <c r="AC1330" s="1460" t="str">
        <f t="shared" si="891"/>
        <v>-</v>
      </c>
      <c r="AD1330" s="1459">
        <f t="shared" si="892"/>
        <v>0</v>
      </c>
      <c r="AE1330" s="964" t="str">
        <f t="shared" si="893"/>
        <v/>
      </c>
      <c r="AF1330" s="964" t="str">
        <f t="shared" si="894"/>
        <v/>
      </c>
      <c r="AG1330" s="964" t="str">
        <f t="shared" si="895"/>
        <v/>
      </c>
      <c r="AH1330" s="964" t="str">
        <f t="shared" si="896"/>
        <v/>
      </c>
      <c r="AI1330" s="964" t="str">
        <f t="shared" si="897"/>
        <v/>
      </c>
      <c r="AJ1330" s="964"/>
      <c r="AK1330" s="964"/>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s="1396"/>
      <c r="CB1330" s="1396"/>
      <c r="CC1330"/>
      <c r="CD1330"/>
      <c r="CE1330"/>
    </row>
    <row r="1331" spans="1:83" ht="13.15" customHeight="1" outlineLevel="2" x14ac:dyDescent="0.2">
      <c r="A1331"/>
      <c r="B1331" s="1"/>
      <c r="C1331"/>
      <c r="D1331"/>
      <c r="E1331"/>
      <c r="F1331"/>
      <c r="G1331" s="1"/>
      <c r="H1331" s="1"/>
      <c r="I1331"/>
      <c r="J1331"/>
      <c r="K1331"/>
      <c r="L1331"/>
      <c r="M1331"/>
      <c r="N1331"/>
      <c r="O1331"/>
      <c r="P1331"/>
      <c r="Q1331"/>
      <c r="R1331" s="558" t="s">
        <v>1726</v>
      </c>
      <c r="S1331" s="83"/>
      <c r="T1331" s="56"/>
      <c r="U1331" s="955"/>
      <c r="V1331" s="43" t="str">
        <f>IF(G1318="","",G1318)</f>
        <v>O</v>
      </c>
      <c r="W1331" s="10"/>
      <c r="X1331" s="45" t="s">
        <v>769</v>
      </c>
      <c r="Y1331" s="10"/>
      <c r="Z1331" s="46" t="str">
        <f>IF(G1319="","",G1319)</f>
        <v>P</v>
      </c>
      <c r="AA1331" s="123"/>
      <c r="AB1331" s="1459">
        <f t="shared" si="890"/>
        <v>0</v>
      </c>
      <c r="AC1331" s="1460" t="str">
        <f t="shared" si="891"/>
        <v>-</v>
      </c>
      <c r="AD1331" s="1459">
        <f t="shared" si="892"/>
        <v>0</v>
      </c>
      <c r="AE1331" s="964" t="str">
        <f t="shared" si="893"/>
        <v/>
      </c>
      <c r="AF1331" s="964" t="str">
        <f t="shared" si="894"/>
        <v/>
      </c>
      <c r="AG1331" s="964" t="str">
        <f t="shared" si="895"/>
        <v/>
      </c>
      <c r="AH1331" s="964" t="str">
        <f t="shared" si="896"/>
        <v/>
      </c>
      <c r="AI1331" s="964" t="str">
        <f t="shared" si="897"/>
        <v/>
      </c>
      <c r="AJ1331" s="964"/>
      <c r="AK1331" s="964"/>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s="1396"/>
      <c r="CB1331" s="1396"/>
      <c r="CC1331"/>
      <c r="CD1331"/>
      <c r="CE1331"/>
    </row>
    <row r="1332" spans="1:83" ht="13.15" customHeight="1" outlineLevel="2" thickBot="1" x14ac:dyDescent="0.25">
      <c r="A1332"/>
      <c r="B1332" s="1"/>
      <c r="C1332"/>
      <c r="D1332"/>
      <c r="E1332"/>
      <c r="F1332"/>
      <c r="G1332" s="1"/>
      <c r="H1332" s="1"/>
      <c r="I1332"/>
      <c r="J1332"/>
      <c r="K1332"/>
      <c r="L1332"/>
      <c r="M1332"/>
      <c r="N1332"/>
      <c r="O1332"/>
      <c r="P1332"/>
      <c r="Q1332"/>
      <c r="R1332" s="558" t="s">
        <v>1726</v>
      </c>
      <c r="S1332" s="83"/>
      <c r="T1332" s="56"/>
      <c r="U1332" s="955"/>
      <c r="V1332" s="43" t="str">
        <f>IF(G1320="","",G1320)</f>
        <v>Q</v>
      </c>
      <c r="W1332" s="10"/>
      <c r="X1332" s="45" t="s">
        <v>769</v>
      </c>
      <c r="Y1332" s="10"/>
      <c r="Z1332" s="46" t="str">
        <f>IF(G1321="","",G1321)</f>
        <v>R</v>
      </c>
      <c r="AA1332" s="123"/>
      <c r="AB1332" s="1459">
        <f t="shared" si="890"/>
        <v>0</v>
      </c>
      <c r="AC1332" s="1460" t="str">
        <f t="shared" si="891"/>
        <v>-</v>
      </c>
      <c r="AD1332" s="1459">
        <f t="shared" si="892"/>
        <v>0</v>
      </c>
      <c r="AE1332" s="964" t="str">
        <f t="shared" si="893"/>
        <v/>
      </c>
      <c r="AF1332" s="964" t="str">
        <f t="shared" si="894"/>
        <v/>
      </c>
      <c r="AG1332" s="964" t="str">
        <f t="shared" si="895"/>
        <v/>
      </c>
      <c r="AH1332" s="964" t="str">
        <f t="shared" si="896"/>
        <v/>
      </c>
      <c r="AI1332" s="964" t="str">
        <f t="shared" si="897"/>
        <v/>
      </c>
      <c r="AJ1332" s="964"/>
      <c r="AK1332" s="964"/>
      <c r="AL1332"/>
      <c r="AM1332"/>
      <c r="AN1332"/>
      <c r="AO1332"/>
      <c r="AP1332"/>
      <c r="AQ1332"/>
      <c r="AR1332"/>
      <c r="AS1332"/>
      <c r="AT1332"/>
      <c r="AU1332"/>
      <c r="AV1332"/>
      <c r="AW1332"/>
      <c r="AX1332" s="9"/>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s="1396"/>
      <c r="CB1332" s="1396"/>
      <c r="CC1332"/>
      <c r="CD1332"/>
      <c r="CE1332"/>
    </row>
    <row r="1333" spans="1:83" ht="13.5" outlineLevel="1" thickBot="1" x14ac:dyDescent="0.25">
      <c r="A1333"/>
      <c r="B1333" s="1"/>
      <c r="C1333" s="1"/>
      <c r="D1333" s="76"/>
      <c r="E1333" s="76"/>
      <c r="F1333" s="76"/>
      <c r="G1333" s="9"/>
      <c r="H1333" s="9"/>
      <c r="I1333" s="1"/>
      <c r="J1333"/>
      <c r="K1333"/>
      <c r="L1333"/>
      <c r="M1333"/>
      <c r="N1333"/>
      <c r="O1333"/>
      <c r="P1333" s="89"/>
      <c r="Q1333"/>
      <c r="R1333" s="1"/>
      <c r="S1333" s="993">
        <f>S1322+1</f>
        <v>2</v>
      </c>
      <c r="T1333" s="961"/>
      <c r="U1333" s="961"/>
      <c r="V1333" s="961"/>
      <c r="W1333" s="960"/>
      <c r="X1333" s="960"/>
      <c r="Y1333" s="960"/>
      <c r="Z1333" s="962"/>
      <c r="AA1333" s="123"/>
      <c r="AB1333" s="963"/>
      <c r="AC1333" s="963"/>
      <c r="AD1333" s="963"/>
      <c r="AE1333" s="964"/>
      <c r="AF1333" s="964"/>
      <c r="AG1333" s="964"/>
      <c r="AH1333" s="964"/>
      <c r="AI1333" s="964"/>
      <c r="AJ1333" s="964"/>
      <c r="AK1333" s="964"/>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s="1396"/>
      <c r="CB1333" s="1396"/>
      <c r="CC1333"/>
      <c r="CD1333"/>
      <c r="CE1333"/>
    </row>
    <row r="1334" spans="1:83" ht="13.9" customHeight="1" outlineLevel="2" thickBot="1" x14ac:dyDescent="0.25">
      <c r="A1334"/>
      <c r="B1334" s="1"/>
      <c r="C1334"/>
      <c r="D1334"/>
      <c r="E1334"/>
      <c r="F1334"/>
      <c r="G1334" s="1"/>
      <c r="H1334" s="1"/>
      <c r="I1334"/>
      <c r="J1334"/>
      <c r="K1334"/>
      <c r="L1334"/>
      <c r="M1334"/>
      <c r="N1334"/>
      <c r="O1334"/>
      <c r="P1334"/>
      <c r="Q1334"/>
      <c r="S1334" s="22" t="str">
        <f>N_Heure</f>
        <v>Heure</v>
      </c>
      <c r="T1334" s="22" t="str">
        <f>N_Table</f>
        <v>Table</v>
      </c>
      <c r="U1334" s="22" t="str">
        <f>N_Arbitre</f>
        <v>Arbitre</v>
      </c>
      <c r="V1334" s="293" t="str">
        <f>N_Matches</f>
        <v>Matches</v>
      </c>
      <c r="W1334" s="294"/>
      <c r="X1334" s="294"/>
      <c r="Y1334" s="294"/>
      <c r="Z1334" s="295"/>
      <c r="AA1334" s="8"/>
      <c r="AB1334" s="967"/>
      <c r="AC1334" s="967"/>
      <c r="AD1334" s="967"/>
      <c r="AE1334" s="964"/>
      <c r="AF1334" s="964"/>
      <c r="AG1334" s="964"/>
      <c r="AH1334" s="964"/>
      <c r="AI1334" s="964"/>
      <c r="AJ1334" s="964"/>
      <c r="AK1334" s="96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s="1396"/>
      <c r="CB1334" s="1396"/>
      <c r="CC1334"/>
      <c r="CD1334"/>
      <c r="CE1334"/>
    </row>
    <row r="1335" spans="1:83" ht="13.15" customHeight="1" outlineLevel="2" x14ac:dyDescent="0.2">
      <c r="A1335"/>
      <c r="B1335" s="1"/>
      <c r="C1335"/>
      <c r="D1335"/>
      <c r="E1335"/>
      <c r="F1335"/>
      <c r="G1335" s="1"/>
      <c r="H1335" s="1"/>
      <c r="I1335"/>
      <c r="J1335"/>
      <c r="K1335"/>
      <c r="L1335"/>
      <c r="M1335"/>
      <c r="N1335"/>
      <c r="O1335"/>
      <c r="P1335"/>
      <c r="Q1335"/>
      <c r="R1335" s="558" t="s">
        <v>1727</v>
      </c>
      <c r="S1335" s="65"/>
      <c r="T1335" s="953"/>
      <c r="U1335" s="954"/>
      <c r="V1335" s="34" t="str">
        <f>V1325</f>
        <v>C</v>
      </c>
      <c r="W1335" s="148"/>
      <c r="X1335" s="35" t="s">
        <v>769</v>
      </c>
      <c r="Y1335" s="148"/>
      <c r="Z1335" s="36" t="str">
        <f>V1324</f>
        <v>A</v>
      </c>
      <c r="AA1335" s="123"/>
      <c r="AB1335" s="1459">
        <f t="shared" ref="AB1335:AB1343" si="898">IF(MaxScore,MaxGoals(W1335,Y1335,MaxGoalsValue),IF(W1335="","",W1335))</f>
        <v>0</v>
      </c>
      <c r="AC1335" s="1460" t="str">
        <f t="shared" ref="AC1335:AC1343" si="899">IF(MaxScore,"-",IF(W1335="","","-"))</f>
        <v>-</v>
      </c>
      <c r="AD1335" s="1459">
        <f t="shared" ref="AD1335:AD1343" si="900">IF(MaxScore,MaxGoals(Y1335,W1335,MaxGoalsValue),IF(Y1335="","",Y1335))</f>
        <v>0</v>
      </c>
      <c r="AE1335" s="964" t="str">
        <f t="shared" ref="AE1335:AE1343" si="901">IF(W1335="","",IF(W1335&gt;Y1335,V1335,IF(W1335=Y1335,"",Z1335)))</f>
        <v/>
      </c>
      <c r="AF1335" s="964" t="str">
        <f t="shared" ref="AF1335:AF1343" si="902">IF(W1335="","",IF(W1335=Y1335,V1335,""))</f>
        <v/>
      </c>
      <c r="AG1335" s="964" t="str">
        <f t="shared" ref="AG1335:AG1343" si="903">IF(W1335="","",IF(W1335=Y1335,Z1335,""))</f>
        <v/>
      </c>
      <c r="AH1335" s="964" t="str">
        <f t="shared" ref="AH1335:AH1343" si="904">IF(W1335="","",IF(W1335&lt;Y1335,V1335,IF(W1335=Y1335,"",Z1335)))</f>
        <v/>
      </c>
      <c r="AI1335" s="964" t="str">
        <f t="shared" ref="AI1335:AI1343" si="905">CONCATENATE(AE1335,AH1335)</f>
        <v/>
      </c>
      <c r="AJ1335" s="964"/>
      <c r="AK1335" s="964"/>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s="1396"/>
      <c r="CB1335" s="1396"/>
      <c r="CC1335"/>
      <c r="CD1335"/>
      <c r="CE1335"/>
    </row>
    <row r="1336" spans="1:83" ht="13.15" customHeight="1" outlineLevel="2" x14ac:dyDescent="0.2">
      <c r="A1336"/>
      <c r="B1336" s="1"/>
      <c r="C1336"/>
      <c r="D1336"/>
      <c r="E1336"/>
      <c r="F1336"/>
      <c r="G1336" s="1"/>
      <c r="H1336" s="1"/>
      <c r="I1336"/>
      <c r="J1336"/>
      <c r="K1336"/>
      <c r="L1336"/>
      <c r="M1336"/>
      <c r="N1336"/>
      <c r="O1336"/>
      <c r="P1336"/>
      <c r="Q1336"/>
      <c r="R1336" s="558" t="s">
        <v>1727</v>
      </c>
      <c r="S1336" s="83"/>
      <c r="T1336" s="56"/>
      <c r="U1336" s="955"/>
      <c r="V1336" s="43" t="str">
        <f t="shared" ref="V1336:V1343" si="906">Z1324</f>
        <v>B</v>
      </c>
      <c r="W1336" s="10"/>
      <c r="X1336" s="45" t="s">
        <v>769</v>
      </c>
      <c r="Y1336" s="10"/>
      <c r="Z1336" s="46" t="str">
        <f t="shared" ref="Z1336:Z1342" si="907">V1326</f>
        <v>E</v>
      </c>
      <c r="AA1336" s="123"/>
      <c r="AB1336" s="1459">
        <f t="shared" si="898"/>
        <v>0</v>
      </c>
      <c r="AC1336" s="1460" t="str">
        <f t="shared" si="899"/>
        <v>-</v>
      </c>
      <c r="AD1336" s="1459">
        <f t="shared" si="900"/>
        <v>0</v>
      </c>
      <c r="AE1336" s="964" t="str">
        <f t="shared" si="901"/>
        <v/>
      </c>
      <c r="AF1336" s="964" t="str">
        <f t="shared" si="902"/>
        <v/>
      </c>
      <c r="AG1336" s="964" t="str">
        <f t="shared" si="903"/>
        <v/>
      </c>
      <c r="AH1336" s="964" t="str">
        <f t="shared" si="904"/>
        <v/>
      </c>
      <c r="AI1336" s="964" t="str">
        <f t="shared" si="905"/>
        <v/>
      </c>
      <c r="AJ1336" s="964"/>
      <c r="AK1336" s="964"/>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s="1396"/>
      <c r="CB1336" s="1396"/>
      <c r="CC1336"/>
      <c r="CD1336"/>
      <c r="CE1336"/>
    </row>
    <row r="1337" spans="1:83" ht="13.15" customHeight="1" outlineLevel="2" x14ac:dyDescent="0.2">
      <c r="A1337"/>
      <c r="B1337" s="1"/>
      <c r="C1337"/>
      <c r="D1337"/>
      <c r="E1337"/>
      <c r="F1337"/>
      <c r="G1337" s="1"/>
      <c r="H1337" s="1"/>
      <c r="I1337"/>
      <c r="J1337"/>
      <c r="K1337"/>
      <c r="L1337"/>
      <c r="M1337"/>
      <c r="N1337"/>
      <c r="O1337"/>
      <c r="P1337"/>
      <c r="Q1337"/>
      <c r="R1337" s="558" t="s">
        <v>1727</v>
      </c>
      <c r="S1337" s="83"/>
      <c r="T1337" s="56"/>
      <c r="U1337" s="955"/>
      <c r="V1337" s="43" t="str">
        <f t="shared" si="906"/>
        <v>D</v>
      </c>
      <c r="W1337" s="10"/>
      <c r="X1337" s="45" t="s">
        <v>769</v>
      </c>
      <c r="Y1337" s="10"/>
      <c r="Z1337" s="46" t="str">
        <f t="shared" si="907"/>
        <v>G</v>
      </c>
      <c r="AA1337" s="123"/>
      <c r="AB1337" s="1459">
        <f t="shared" si="898"/>
        <v>0</v>
      </c>
      <c r="AC1337" s="1460" t="str">
        <f t="shared" si="899"/>
        <v>-</v>
      </c>
      <c r="AD1337" s="1459">
        <f t="shared" si="900"/>
        <v>0</v>
      </c>
      <c r="AE1337" s="964" t="str">
        <f t="shared" si="901"/>
        <v/>
      </c>
      <c r="AF1337" s="964" t="str">
        <f t="shared" si="902"/>
        <v/>
      </c>
      <c r="AG1337" s="964" t="str">
        <f t="shared" si="903"/>
        <v/>
      </c>
      <c r="AH1337" s="964" t="str">
        <f t="shared" si="904"/>
        <v/>
      </c>
      <c r="AI1337" s="964" t="str">
        <f t="shared" si="905"/>
        <v/>
      </c>
      <c r="AJ1337" s="964"/>
      <c r="AK1337" s="964"/>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s="1396"/>
      <c r="CB1337" s="1396"/>
      <c r="CC1337"/>
      <c r="CD1337"/>
      <c r="CE1337"/>
    </row>
    <row r="1338" spans="1:83" ht="13.15" customHeight="1" outlineLevel="2" x14ac:dyDescent="0.2">
      <c r="A1338"/>
      <c r="B1338" s="1"/>
      <c r="C1338"/>
      <c r="D1338"/>
      <c r="E1338"/>
      <c r="F1338"/>
      <c r="G1338" s="1"/>
      <c r="H1338" s="1"/>
      <c r="I1338"/>
      <c r="J1338"/>
      <c r="K1338"/>
      <c r="L1338"/>
      <c r="M1338"/>
      <c r="N1338"/>
      <c r="O1338"/>
      <c r="P1338"/>
      <c r="Q1338"/>
      <c r="R1338" s="558" t="s">
        <v>1727</v>
      </c>
      <c r="S1338" s="83"/>
      <c r="T1338" s="56"/>
      <c r="U1338" s="955"/>
      <c r="V1338" s="43" t="str">
        <f t="shared" si="906"/>
        <v>F</v>
      </c>
      <c r="W1338" s="10"/>
      <c r="X1338" s="45" t="s">
        <v>769</v>
      </c>
      <c r="Y1338" s="10"/>
      <c r="Z1338" s="46" t="str">
        <f t="shared" si="907"/>
        <v>I</v>
      </c>
      <c r="AA1338" s="123"/>
      <c r="AB1338" s="1459">
        <f t="shared" si="898"/>
        <v>0</v>
      </c>
      <c r="AC1338" s="1460" t="str">
        <f t="shared" si="899"/>
        <v>-</v>
      </c>
      <c r="AD1338" s="1459">
        <f t="shared" si="900"/>
        <v>0</v>
      </c>
      <c r="AE1338" s="964" t="str">
        <f t="shared" si="901"/>
        <v/>
      </c>
      <c r="AF1338" s="964" t="str">
        <f t="shared" si="902"/>
        <v/>
      </c>
      <c r="AG1338" s="964" t="str">
        <f t="shared" si="903"/>
        <v/>
      </c>
      <c r="AH1338" s="964" t="str">
        <f t="shared" si="904"/>
        <v/>
      </c>
      <c r="AI1338" s="964" t="str">
        <f t="shared" si="905"/>
        <v/>
      </c>
      <c r="AJ1338" s="964"/>
      <c r="AK1338" s="964"/>
      <c r="AL1338"/>
      <c r="AM1338"/>
      <c r="AN1338"/>
      <c r="AO1338"/>
      <c r="AP1338"/>
      <c r="AQ1338"/>
      <c r="AR1338"/>
      <c r="AS1338"/>
      <c r="AT1338"/>
      <c r="AU1338"/>
      <c r="AV1338"/>
      <c r="AW1338"/>
      <c r="AX1338" s="9"/>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s="1396"/>
      <c r="CB1338" s="1396"/>
      <c r="CC1338"/>
      <c r="CD1338"/>
      <c r="CE1338"/>
    </row>
    <row r="1339" spans="1:83" ht="13.15" customHeight="1" outlineLevel="2" x14ac:dyDescent="0.2">
      <c r="A1339"/>
      <c r="B1339" s="1"/>
      <c r="C1339"/>
      <c r="D1339"/>
      <c r="E1339"/>
      <c r="F1339"/>
      <c r="G1339" s="1"/>
      <c r="H1339" s="1"/>
      <c r="I1339"/>
      <c r="J1339"/>
      <c r="K1339"/>
      <c r="L1339"/>
      <c r="M1339"/>
      <c r="N1339"/>
      <c r="O1339"/>
      <c r="P1339"/>
      <c r="Q1339"/>
      <c r="R1339" s="558" t="s">
        <v>1727</v>
      </c>
      <c r="S1339" s="83"/>
      <c r="T1339" s="56"/>
      <c r="U1339" s="955"/>
      <c r="V1339" s="43" t="str">
        <f t="shared" si="906"/>
        <v>H</v>
      </c>
      <c r="W1339" s="10"/>
      <c r="X1339" s="45" t="s">
        <v>769</v>
      </c>
      <c r="Y1339" s="10"/>
      <c r="Z1339" s="46" t="str">
        <f t="shared" si="907"/>
        <v>K</v>
      </c>
      <c r="AA1339" s="123"/>
      <c r="AB1339" s="1459">
        <f t="shared" si="898"/>
        <v>0</v>
      </c>
      <c r="AC1339" s="1460" t="str">
        <f t="shared" si="899"/>
        <v>-</v>
      </c>
      <c r="AD1339" s="1459">
        <f t="shared" si="900"/>
        <v>0</v>
      </c>
      <c r="AE1339" s="964" t="str">
        <f t="shared" si="901"/>
        <v/>
      </c>
      <c r="AF1339" s="964" t="str">
        <f t="shared" si="902"/>
        <v/>
      </c>
      <c r="AG1339" s="964" t="str">
        <f t="shared" si="903"/>
        <v/>
      </c>
      <c r="AH1339" s="964" t="str">
        <f t="shared" si="904"/>
        <v/>
      </c>
      <c r="AI1339" s="964" t="str">
        <f t="shared" si="905"/>
        <v/>
      </c>
      <c r="AJ1339" s="964"/>
      <c r="AK1339" s="964"/>
      <c r="AL1339"/>
      <c r="AM1339"/>
      <c r="AN1339"/>
      <c r="AO1339"/>
      <c r="AP1339"/>
      <c r="AQ1339"/>
      <c r="AR1339"/>
      <c r="AS1339"/>
      <c r="AT1339"/>
      <c r="AU1339"/>
      <c r="AV1339"/>
      <c r="AW1339" s="9"/>
      <c r="AX1339" s="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s="1396"/>
      <c r="CB1339" s="1396"/>
      <c r="CC1339"/>
      <c r="CD1339"/>
      <c r="CE1339"/>
    </row>
    <row r="1340" spans="1:83" ht="13.15" customHeight="1" outlineLevel="2" x14ac:dyDescent="0.2">
      <c r="A1340"/>
      <c r="B1340" s="1"/>
      <c r="C1340"/>
      <c r="D1340"/>
      <c r="E1340"/>
      <c r="F1340"/>
      <c r="G1340" s="1"/>
      <c r="H1340" s="1"/>
      <c r="I1340"/>
      <c r="J1340"/>
      <c r="K1340"/>
      <c r="L1340"/>
      <c r="M1340"/>
      <c r="N1340"/>
      <c r="O1340"/>
      <c r="P1340"/>
      <c r="Q1340"/>
      <c r="R1340" s="558" t="s">
        <v>1727</v>
      </c>
      <c r="S1340" s="83"/>
      <c r="T1340" s="56"/>
      <c r="U1340" s="955"/>
      <c r="V1340" s="43" t="str">
        <f t="shared" si="906"/>
        <v>J</v>
      </c>
      <c r="W1340" s="10"/>
      <c r="X1340" s="45" t="s">
        <v>769</v>
      </c>
      <c r="Y1340" s="10"/>
      <c r="Z1340" s="46" t="str">
        <f t="shared" si="907"/>
        <v>M</v>
      </c>
      <c r="AA1340" s="123"/>
      <c r="AB1340" s="1459">
        <f t="shared" si="898"/>
        <v>0</v>
      </c>
      <c r="AC1340" s="1460" t="str">
        <f t="shared" si="899"/>
        <v>-</v>
      </c>
      <c r="AD1340" s="1459">
        <f t="shared" si="900"/>
        <v>0</v>
      </c>
      <c r="AE1340" s="964" t="str">
        <f t="shared" si="901"/>
        <v/>
      </c>
      <c r="AF1340" s="964" t="str">
        <f t="shared" si="902"/>
        <v/>
      </c>
      <c r="AG1340" s="964" t="str">
        <f t="shared" si="903"/>
        <v/>
      </c>
      <c r="AH1340" s="964" t="str">
        <f t="shared" si="904"/>
        <v/>
      </c>
      <c r="AI1340" s="964" t="str">
        <f t="shared" si="905"/>
        <v/>
      </c>
      <c r="AJ1340" s="964"/>
      <c r="AK1340" s="964"/>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s="1396"/>
      <c r="CB1340" s="1396"/>
      <c r="CC1340"/>
      <c r="CD1340"/>
      <c r="CE1340"/>
    </row>
    <row r="1341" spans="1:83" ht="13.15" customHeight="1" outlineLevel="2" x14ac:dyDescent="0.2">
      <c r="A1341"/>
      <c r="B1341" s="1"/>
      <c r="C1341"/>
      <c r="D1341"/>
      <c r="E1341"/>
      <c r="F1341"/>
      <c r="G1341" s="1"/>
      <c r="H1341" s="1"/>
      <c r="I1341"/>
      <c r="J1341"/>
      <c r="K1341"/>
      <c r="L1341"/>
      <c r="M1341"/>
      <c r="N1341"/>
      <c r="O1341"/>
      <c r="P1341"/>
      <c r="Q1341"/>
      <c r="R1341" s="558" t="s">
        <v>1727</v>
      </c>
      <c r="S1341" s="83"/>
      <c r="T1341" s="56"/>
      <c r="U1341" s="955"/>
      <c r="V1341" s="43" t="str">
        <f t="shared" si="906"/>
        <v>L</v>
      </c>
      <c r="W1341" s="10"/>
      <c r="X1341" s="45" t="s">
        <v>769</v>
      </c>
      <c r="Y1341" s="10"/>
      <c r="Z1341" s="46" t="str">
        <f t="shared" si="907"/>
        <v>O</v>
      </c>
      <c r="AA1341" s="123"/>
      <c r="AB1341" s="1459">
        <f t="shared" si="898"/>
        <v>0</v>
      </c>
      <c r="AC1341" s="1460" t="str">
        <f t="shared" si="899"/>
        <v>-</v>
      </c>
      <c r="AD1341" s="1459">
        <f t="shared" si="900"/>
        <v>0</v>
      </c>
      <c r="AE1341" s="964" t="str">
        <f t="shared" si="901"/>
        <v/>
      </c>
      <c r="AF1341" s="964" t="str">
        <f t="shared" si="902"/>
        <v/>
      </c>
      <c r="AG1341" s="964" t="str">
        <f t="shared" si="903"/>
        <v/>
      </c>
      <c r="AH1341" s="964" t="str">
        <f t="shared" si="904"/>
        <v/>
      </c>
      <c r="AI1341" s="964" t="str">
        <f t="shared" si="905"/>
        <v/>
      </c>
      <c r="AJ1341" s="964"/>
      <c r="AK1341" s="964"/>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s="1396"/>
      <c r="CB1341" s="1396"/>
      <c r="CC1341"/>
      <c r="CD1341"/>
      <c r="CE1341"/>
    </row>
    <row r="1342" spans="1:83" ht="13.15" customHeight="1" outlineLevel="2" x14ac:dyDescent="0.2">
      <c r="A1342"/>
      <c r="B1342" s="1"/>
      <c r="C1342"/>
      <c r="D1342"/>
      <c r="E1342"/>
      <c r="F1342"/>
      <c r="G1342" s="1"/>
      <c r="H1342" s="1"/>
      <c r="I1342"/>
      <c r="J1342"/>
      <c r="K1342"/>
      <c r="L1342"/>
      <c r="M1342"/>
      <c r="N1342"/>
      <c r="O1342"/>
      <c r="P1342"/>
      <c r="Q1342"/>
      <c r="R1342" s="558" t="s">
        <v>1727</v>
      </c>
      <c r="S1342" s="83"/>
      <c r="T1342" s="56"/>
      <c r="U1342" s="955"/>
      <c r="V1342" s="43" t="str">
        <f t="shared" si="906"/>
        <v>N</v>
      </c>
      <c r="W1342" s="10"/>
      <c r="X1342" s="45" t="s">
        <v>769</v>
      </c>
      <c r="Y1342" s="10"/>
      <c r="Z1342" s="46" t="str">
        <f t="shared" si="907"/>
        <v>Q</v>
      </c>
      <c r="AA1342" s="123"/>
      <c r="AB1342" s="1459">
        <f t="shared" si="898"/>
        <v>0</v>
      </c>
      <c r="AC1342" s="1460" t="str">
        <f t="shared" si="899"/>
        <v>-</v>
      </c>
      <c r="AD1342" s="1459">
        <f t="shared" si="900"/>
        <v>0</v>
      </c>
      <c r="AE1342" s="964" t="str">
        <f t="shared" si="901"/>
        <v/>
      </c>
      <c r="AF1342" s="964" t="str">
        <f t="shared" si="902"/>
        <v/>
      </c>
      <c r="AG1342" s="964" t="str">
        <f t="shared" si="903"/>
        <v/>
      </c>
      <c r="AH1342" s="964" t="str">
        <f t="shared" si="904"/>
        <v/>
      </c>
      <c r="AI1342" s="964" t="str">
        <f t="shared" si="905"/>
        <v/>
      </c>
      <c r="AJ1342" s="964"/>
      <c r="AK1342" s="964"/>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s="1396"/>
      <c r="CB1342" s="1396"/>
      <c r="CC1342"/>
      <c r="CD1342"/>
      <c r="CE1342"/>
    </row>
    <row r="1343" spans="1:83" ht="13.15" customHeight="1" outlineLevel="2" thickBot="1" x14ac:dyDescent="0.25">
      <c r="A1343"/>
      <c r="B1343" s="1"/>
      <c r="C1343"/>
      <c r="D1343"/>
      <c r="E1343"/>
      <c r="F1343"/>
      <c r="G1343" s="1"/>
      <c r="H1343" s="1"/>
      <c r="I1343"/>
      <c r="J1343"/>
      <c r="K1343"/>
      <c r="L1343"/>
      <c r="M1343"/>
      <c r="N1343"/>
      <c r="O1343"/>
      <c r="P1343"/>
      <c r="Q1343"/>
      <c r="R1343" s="558" t="s">
        <v>1727</v>
      </c>
      <c r="S1343" s="83"/>
      <c r="T1343" s="56"/>
      <c r="U1343" s="955"/>
      <c r="V1343" s="43" t="str">
        <f t="shared" si="906"/>
        <v>P</v>
      </c>
      <c r="W1343" s="10"/>
      <c r="X1343" s="45" t="s">
        <v>769</v>
      </c>
      <c r="Y1343" s="10"/>
      <c r="Z1343" s="46" t="str">
        <f>Z1332</f>
        <v>R</v>
      </c>
      <c r="AA1343" s="123"/>
      <c r="AB1343" s="1459">
        <f t="shared" si="898"/>
        <v>0</v>
      </c>
      <c r="AC1343" s="1460" t="str">
        <f t="shared" si="899"/>
        <v>-</v>
      </c>
      <c r="AD1343" s="1459">
        <f t="shared" si="900"/>
        <v>0</v>
      </c>
      <c r="AE1343" s="964" t="str">
        <f t="shared" si="901"/>
        <v/>
      </c>
      <c r="AF1343" s="964" t="str">
        <f t="shared" si="902"/>
        <v/>
      </c>
      <c r="AG1343" s="964" t="str">
        <f t="shared" si="903"/>
        <v/>
      </c>
      <c r="AH1343" s="964" t="str">
        <f t="shared" si="904"/>
        <v/>
      </c>
      <c r="AI1343" s="964" t="str">
        <f t="shared" si="905"/>
        <v/>
      </c>
      <c r="AJ1343" s="964"/>
      <c r="AK1343" s="964"/>
      <c r="AL1343"/>
      <c r="AM1343"/>
      <c r="AN1343"/>
      <c r="AO1343"/>
      <c r="AP1343"/>
      <c r="AQ1343"/>
      <c r="AR1343"/>
      <c r="AS1343"/>
      <c r="AT1343"/>
      <c r="AU1343"/>
      <c r="AV1343"/>
      <c r="AW1343"/>
      <c r="AX1343" s="9"/>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s="1396"/>
      <c r="CB1343" s="1396"/>
      <c r="CC1343"/>
      <c r="CD1343"/>
      <c r="CE1343"/>
    </row>
    <row r="1344" spans="1:83" ht="13.5" outlineLevel="1" thickBot="1" x14ac:dyDescent="0.25">
      <c r="A1344"/>
      <c r="B1344" s="1"/>
      <c r="C1344" s="1"/>
      <c r="D1344" s="76"/>
      <c r="E1344" s="76"/>
      <c r="F1344" s="76"/>
      <c r="G1344" s="9"/>
      <c r="H1344" s="9"/>
      <c r="I1344" s="1"/>
      <c r="J1344"/>
      <c r="K1344"/>
      <c r="L1344"/>
      <c r="M1344"/>
      <c r="N1344"/>
      <c r="O1344"/>
      <c r="P1344" s="89"/>
      <c r="Q1344"/>
      <c r="R1344" s="1"/>
      <c r="S1344" s="993">
        <f>S1333+1</f>
        <v>3</v>
      </c>
      <c r="T1344" s="961"/>
      <c r="U1344" s="961"/>
      <c r="V1344" s="961"/>
      <c r="W1344" s="960"/>
      <c r="X1344" s="960"/>
      <c r="Y1344" s="960"/>
      <c r="Z1344" s="962"/>
      <c r="AA1344" s="123"/>
      <c r="AB1344" s="963"/>
      <c r="AC1344" s="963"/>
      <c r="AD1344" s="963"/>
      <c r="AE1344" s="964"/>
      <c r="AF1344" s="964"/>
      <c r="AG1344" s="964"/>
      <c r="AH1344" s="964"/>
      <c r="AI1344" s="964"/>
      <c r="AJ1344" s="964"/>
      <c r="AK1344" s="96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s="1396"/>
      <c r="CB1344" s="1396"/>
      <c r="CC1344"/>
      <c r="CD1344"/>
      <c r="CE1344"/>
    </row>
    <row r="1345" spans="1:83" ht="13.9" customHeight="1" outlineLevel="2" thickBot="1" x14ac:dyDescent="0.25">
      <c r="A1345"/>
      <c r="B1345" s="1"/>
      <c r="C1345"/>
      <c r="D1345"/>
      <c r="E1345"/>
      <c r="F1345"/>
      <c r="G1345" s="1"/>
      <c r="H1345" s="1"/>
      <c r="I1345"/>
      <c r="J1345"/>
      <c r="K1345"/>
      <c r="L1345"/>
      <c r="M1345"/>
      <c r="N1345"/>
      <c r="O1345"/>
      <c r="P1345"/>
      <c r="Q1345"/>
      <c r="S1345" s="22" t="str">
        <f>N_Heure</f>
        <v>Heure</v>
      </c>
      <c r="T1345" s="22" t="str">
        <f>N_Table</f>
        <v>Table</v>
      </c>
      <c r="U1345" s="22" t="str">
        <f>N_Arbitre</f>
        <v>Arbitre</v>
      </c>
      <c r="V1345" s="293" t="str">
        <f>N_Matches</f>
        <v>Matches</v>
      </c>
      <c r="W1345" s="294"/>
      <c r="X1345" s="294"/>
      <c r="Y1345" s="294"/>
      <c r="Z1345" s="295"/>
      <c r="AA1345" s="8"/>
      <c r="AB1345" s="967"/>
      <c r="AC1345" s="967"/>
      <c r="AD1345" s="967"/>
      <c r="AE1345" s="964"/>
      <c r="AF1345" s="964"/>
      <c r="AG1345" s="964"/>
      <c r="AH1345" s="964"/>
      <c r="AI1345" s="964"/>
      <c r="AJ1345" s="964"/>
      <c r="AK1345" s="964"/>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s="1396"/>
      <c r="CB1345" s="1396"/>
      <c r="CC1345"/>
      <c r="CD1345"/>
      <c r="CE1345"/>
    </row>
    <row r="1346" spans="1:83" ht="13.15" customHeight="1" outlineLevel="2" x14ac:dyDescent="0.2">
      <c r="A1346"/>
      <c r="B1346" s="1"/>
      <c r="C1346"/>
      <c r="D1346"/>
      <c r="E1346"/>
      <c r="F1346"/>
      <c r="G1346" s="1"/>
      <c r="H1346" s="1"/>
      <c r="I1346"/>
      <c r="J1346"/>
      <c r="K1346"/>
      <c r="L1346"/>
      <c r="M1346"/>
      <c r="N1346"/>
      <c r="O1346"/>
      <c r="P1346"/>
      <c r="Q1346"/>
      <c r="R1346" s="558" t="s">
        <v>1728</v>
      </c>
      <c r="S1346" s="65"/>
      <c r="T1346" s="953"/>
      <c r="U1346" s="954"/>
      <c r="V1346" s="34" t="str">
        <f>Z1335</f>
        <v>A</v>
      </c>
      <c r="W1346" s="148"/>
      <c r="X1346" s="35" t="s">
        <v>769</v>
      </c>
      <c r="Y1346" s="148"/>
      <c r="Z1346" s="36" t="str">
        <f>Z1336</f>
        <v>E</v>
      </c>
      <c r="AA1346" s="123"/>
      <c r="AB1346" s="1459">
        <f t="shared" ref="AB1346:AB1354" si="908">IF(MaxScore,MaxGoals(W1346,Y1346,MaxGoalsValue),IF(W1346="","",W1346))</f>
        <v>0</v>
      </c>
      <c r="AC1346" s="1460" t="str">
        <f t="shared" ref="AC1346:AC1354" si="909">IF(MaxScore,"-",IF(W1346="","","-"))</f>
        <v>-</v>
      </c>
      <c r="AD1346" s="1459">
        <f t="shared" ref="AD1346:AD1354" si="910">IF(MaxScore,MaxGoals(Y1346,W1346,MaxGoalsValue),IF(Y1346="","",Y1346))</f>
        <v>0</v>
      </c>
      <c r="AE1346" s="964" t="str">
        <f t="shared" ref="AE1346:AE1354" si="911">IF(W1346="","",IF(W1346&gt;Y1346,V1346,IF(W1346=Y1346,"",Z1346)))</f>
        <v/>
      </c>
      <c r="AF1346" s="964" t="str">
        <f t="shared" ref="AF1346:AF1354" si="912">IF(W1346="","",IF(W1346=Y1346,V1346,""))</f>
        <v/>
      </c>
      <c r="AG1346" s="964" t="str">
        <f t="shared" ref="AG1346:AG1354" si="913">IF(W1346="","",IF(W1346=Y1346,Z1346,""))</f>
        <v/>
      </c>
      <c r="AH1346" s="964" t="str">
        <f t="shared" ref="AH1346:AH1354" si="914">IF(W1346="","",IF(W1346&lt;Y1346,V1346,IF(W1346=Y1346,"",Z1346)))</f>
        <v/>
      </c>
      <c r="AI1346" s="964" t="str">
        <f t="shared" ref="AI1346:AI1354" si="915">CONCATENATE(AE1346,AH1346)</f>
        <v/>
      </c>
      <c r="AJ1346" s="964"/>
      <c r="AK1346" s="964"/>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s="1396"/>
      <c r="CB1346" s="1396"/>
      <c r="CC1346"/>
      <c r="CD1346"/>
      <c r="CE1346"/>
    </row>
    <row r="1347" spans="1:83" ht="13.15" customHeight="1" outlineLevel="2" x14ac:dyDescent="0.2">
      <c r="A1347"/>
      <c r="B1347" s="1"/>
      <c r="C1347"/>
      <c r="D1347"/>
      <c r="E1347"/>
      <c r="F1347"/>
      <c r="G1347" s="1"/>
      <c r="H1347" s="1"/>
      <c r="I1347"/>
      <c r="J1347"/>
      <c r="K1347"/>
      <c r="L1347"/>
      <c r="M1347"/>
      <c r="N1347"/>
      <c r="O1347"/>
      <c r="P1347"/>
      <c r="Q1347"/>
      <c r="R1347" s="558" t="s">
        <v>1728</v>
      </c>
      <c r="S1347" s="83"/>
      <c r="T1347" s="56"/>
      <c r="U1347" s="955"/>
      <c r="V1347" s="43" t="str">
        <f t="shared" ref="V1347:V1353" si="916">Z1337</f>
        <v>G</v>
      </c>
      <c r="W1347" s="10"/>
      <c r="X1347" s="45" t="s">
        <v>769</v>
      </c>
      <c r="Y1347" s="10"/>
      <c r="Z1347" s="46" t="str">
        <f t="shared" ref="Z1347:Z1353" si="917">V1335</f>
        <v>C</v>
      </c>
      <c r="AA1347" s="123"/>
      <c r="AB1347" s="1459">
        <f t="shared" si="908"/>
        <v>0</v>
      </c>
      <c r="AC1347" s="1460" t="str">
        <f t="shared" si="909"/>
        <v>-</v>
      </c>
      <c r="AD1347" s="1459">
        <f t="shared" si="910"/>
        <v>0</v>
      </c>
      <c r="AE1347" s="964" t="str">
        <f t="shared" si="911"/>
        <v/>
      </c>
      <c r="AF1347" s="964" t="str">
        <f t="shared" si="912"/>
        <v/>
      </c>
      <c r="AG1347" s="964" t="str">
        <f t="shared" si="913"/>
        <v/>
      </c>
      <c r="AH1347" s="964" t="str">
        <f t="shared" si="914"/>
        <v/>
      </c>
      <c r="AI1347" s="964" t="str">
        <f t="shared" si="915"/>
        <v/>
      </c>
      <c r="AJ1347" s="964"/>
      <c r="AK1347" s="964"/>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s="1396"/>
      <c r="CB1347" s="1396"/>
      <c r="CC1347"/>
      <c r="CD1347"/>
      <c r="CE1347"/>
    </row>
    <row r="1348" spans="1:83" ht="13.15" customHeight="1" outlineLevel="2" x14ac:dyDescent="0.2">
      <c r="A1348"/>
      <c r="B1348" s="1"/>
      <c r="C1348"/>
      <c r="D1348"/>
      <c r="E1348"/>
      <c r="F1348"/>
      <c r="G1348" s="1"/>
      <c r="H1348" s="1"/>
      <c r="I1348"/>
      <c r="J1348"/>
      <c r="K1348"/>
      <c r="L1348"/>
      <c r="M1348"/>
      <c r="N1348"/>
      <c r="O1348"/>
      <c r="P1348"/>
      <c r="Q1348"/>
      <c r="R1348" s="558" t="s">
        <v>1728</v>
      </c>
      <c r="S1348" s="83"/>
      <c r="T1348" s="56"/>
      <c r="U1348" s="955"/>
      <c r="V1348" s="43" t="str">
        <f t="shared" si="916"/>
        <v>I</v>
      </c>
      <c r="W1348" s="10"/>
      <c r="X1348" s="45" t="s">
        <v>769</v>
      </c>
      <c r="Y1348" s="10"/>
      <c r="Z1348" s="46" t="str">
        <f t="shared" si="917"/>
        <v>B</v>
      </c>
      <c r="AA1348" s="123"/>
      <c r="AB1348" s="1459">
        <f t="shared" si="908"/>
        <v>0</v>
      </c>
      <c r="AC1348" s="1460" t="str">
        <f t="shared" si="909"/>
        <v>-</v>
      </c>
      <c r="AD1348" s="1459">
        <f t="shared" si="910"/>
        <v>0</v>
      </c>
      <c r="AE1348" s="964" t="str">
        <f t="shared" si="911"/>
        <v/>
      </c>
      <c r="AF1348" s="964" t="str">
        <f t="shared" si="912"/>
        <v/>
      </c>
      <c r="AG1348" s="964" t="str">
        <f t="shared" si="913"/>
        <v/>
      </c>
      <c r="AH1348" s="964" t="str">
        <f t="shared" si="914"/>
        <v/>
      </c>
      <c r="AI1348" s="964" t="str">
        <f t="shared" si="915"/>
        <v/>
      </c>
      <c r="AJ1348" s="964"/>
      <c r="AK1348" s="964"/>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s="1396"/>
      <c r="CB1348" s="1396"/>
      <c r="CC1348"/>
      <c r="CD1348"/>
      <c r="CE1348"/>
    </row>
    <row r="1349" spans="1:83" ht="13.15" customHeight="1" outlineLevel="2" x14ac:dyDescent="0.2">
      <c r="A1349"/>
      <c r="B1349" s="1"/>
      <c r="C1349"/>
      <c r="D1349"/>
      <c r="E1349"/>
      <c r="F1349"/>
      <c r="G1349" s="1"/>
      <c r="H1349" s="1"/>
      <c r="I1349"/>
      <c r="J1349"/>
      <c r="K1349"/>
      <c r="L1349"/>
      <c r="M1349"/>
      <c r="N1349"/>
      <c r="O1349"/>
      <c r="P1349"/>
      <c r="Q1349"/>
      <c r="R1349" s="558" t="s">
        <v>1728</v>
      </c>
      <c r="S1349" s="83"/>
      <c r="T1349" s="56"/>
      <c r="U1349" s="955"/>
      <c r="V1349" s="43" t="str">
        <f t="shared" si="916"/>
        <v>K</v>
      </c>
      <c r="W1349" s="10"/>
      <c r="X1349" s="45" t="s">
        <v>769</v>
      </c>
      <c r="Y1349" s="10"/>
      <c r="Z1349" s="46" t="str">
        <f t="shared" si="917"/>
        <v>D</v>
      </c>
      <c r="AA1349" s="123"/>
      <c r="AB1349" s="1459">
        <f t="shared" si="908"/>
        <v>0</v>
      </c>
      <c r="AC1349" s="1460" t="str">
        <f t="shared" si="909"/>
        <v>-</v>
      </c>
      <c r="AD1349" s="1459">
        <f t="shared" si="910"/>
        <v>0</v>
      </c>
      <c r="AE1349" s="964" t="str">
        <f t="shared" si="911"/>
        <v/>
      </c>
      <c r="AF1349" s="964" t="str">
        <f t="shared" si="912"/>
        <v/>
      </c>
      <c r="AG1349" s="964" t="str">
        <f t="shared" si="913"/>
        <v/>
      </c>
      <c r="AH1349" s="964" t="str">
        <f t="shared" si="914"/>
        <v/>
      </c>
      <c r="AI1349" s="964" t="str">
        <f t="shared" si="915"/>
        <v/>
      </c>
      <c r="AJ1349" s="964"/>
      <c r="AK1349" s="964"/>
      <c r="AL1349"/>
      <c r="AM1349"/>
      <c r="AN1349"/>
      <c r="AO1349"/>
      <c r="AP1349"/>
      <c r="AQ1349"/>
      <c r="AR1349"/>
      <c r="AS1349"/>
      <c r="AT1349"/>
      <c r="AU1349"/>
      <c r="AV1349"/>
      <c r="AW1349"/>
      <c r="AX1349" s="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s="1396"/>
      <c r="CB1349" s="1396"/>
      <c r="CC1349"/>
      <c r="CD1349"/>
      <c r="CE1349"/>
    </row>
    <row r="1350" spans="1:83" ht="13.15" customHeight="1" outlineLevel="2" x14ac:dyDescent="0.2">
      <c r="A1350"/>
      <c r="B1350" s="1"/>
      <c r="C1350"/>
      <c r="D1350"/>
      <c r="E1350"/>
      <c r="F1350"/>
      <c r="G1350" s="1"/>
      <c r="H1350" s="1"/>
      <c r="I1350"/>
      <c r="J1350"/>
      <c r="K1350"/>
      <c r="L1350"/>
      <c r="M1350"/>
      <c r="N1350"/>
      <c r="O1350"/>
      <c r="P1350"/>
      <c r="Q1350"/>
      <c r="R1350" s="558" t="s">
        <v>1728</v>
      </c>
      <c r="S1350" s="83"/>
      <c r="T1350" s="56"/>
      <c r="U1350" s="955"/>
      <c r="V1350" s="43" t="str">
        <f t="shared" si="916"/>
        <v>M</v>
      </c>
      <c r="W1350" s="10"/>
      <c r="X1350" s="45" t="s">
        <v>769</v>
      </c>
      <c r="Y1350" s="10"/>
      <c r="Z1350" s="46" t="str">
        <f t="shared" si="917"/>
        <v>F</v>
      </c>
      <c r="AA1350" s="123"/>
      <c r="AB1350" s="1459">
        <f t="shared" si="908"/>
        <v>0</v>
      </c>
      <c r="AC1350" s="1460" t="str">
        <f t="shared" si="909"/>
        <v>-</v>
      </c>
      <c r="AD1350" s="1459">
        <f t="shared" si="910"/>
        <v>0</v>
      </c>
      <c r="AE1350" s="964" t="str">
        <f t="shared" si="911"/>
        <v/>
      </c>
      <c r="AF1350" s="964" t="str">
        <f t="shared" si="912"/>
        <v/>
      </c>
      <c r="AG1350" s="964" t="str">
        <f t="shared" si="913"/>
        <v/>
      </c>
      <c r="AH1350" s="964" t="str">
        <f t="shared" si="914"/>
        <v/>
      </c>
      <c r="AI1350" s="964" t="str">
        <f t="shared" si="915"/>
        <v/>
      </c>
      <c r="AJ1350" s="964"/>
      <c r="AK1350" s="964"/>
      <c r="AL1350"/>
      <c r="AM1350"/>
      <c r="AN1350"/>
      <c r="AO1350"/>
      <c r="AP1350"/>
      <c r="AQ1350"/>
      <c r="AR1350"/>
      <c r="AS1350"/>
      <c r="AT1350"/>
      <c r="AU1350"/>
      <c r="AV1350"/>
      <c r="AW1350" s="9"/>
      <c r="AX1350" s="9"/>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s="1396"/>
      <c r="CB1350" s="1396"/>
      <c r="CC1350"/>
      <c r="CD1350"/>
      <c r="CE1350"/>
    </row>
    <row r="1351" spans="1:83" ht="13.15" customHeight="1" outlineLevel="2" x14ac:dyDescent="0.2">
      <c r="A1351"/>
      <c r="B1351" s="1"/>
      <c r="C1351"/>
      <c r="D1351"/>
      <c r="E1351"/>
      <c r="F1351"/>
      <c r="G1351" s="1"/>
      <c r="H1351" s="1"/>
      <c r="I1351"/>
      <c r="J1351"/>
      <c r="K1351"/>
      <c r="L1351"/>
      <c r="M1351"/>
      <c r="N1351"/>
      <c r="O1351"/>
      <c r="P1351"/>
      <c r="Q1351"/>
      <c r="R1351" s="558" t="s">
        <v>1728</v>
      </c>
      <c r="S1351" s="83"/>
      <c r="T1351" s="56"/>
      <c r="U1351" s="955"/>
      <c r="V1351" s="43" t="str">
        <f t="shared" si="916"/>
        <v>O</v>
      </c>
      <c r="W1351" s="10"/>
      <c r="X1351" s="45" t="s">
        <v>769</v>
      </c>
      <c r="Y1351" s="10"/>
      <c r="Z1351" s="46" t="str">
        <f t="shared" si="917"/>
        <v>H</v>
      </c>
      <c r="AA1351" s="123"/>
      <c r="AB1351" s="1459">
        <f t="shared" si="908"/>
        <v>0</v>
      </c>
      <c r="AC1351" s="1460" t="str">
        <f t="shared" si="909"/>
        <v>-</v>
      </c>
      <c r="AD1351" s="1459">
        <f t="shared" si="910"/>
        <v>0</v>
      </c>
      <c r="AE1351" s="964" t="str">
        <f t="shared" si="911"/>
        <v/>
      </c>
      <c r="AF1351" s="964" t="str">
        <f t="shared" si="912"/>
        <v/>
      </c>
      <c r="AG1351" s="964" t="str">
        <f t="shared" si="913"/>
        <v/>
      </c>
      <c r="AH1351" s="964" t="str">
        <f t="shared" si="914"/>
        <v/>
      </c>
      <c r="AI1351" s="964" t="str">
        <f t="shared" si="915"/>
        <v/>
      </c>
      <c r="AJ1351" s="964"/>
      <c r="AK1351" s="964"/>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s="1396"/>
      <c r="CB1351" s="1396"/>
      <c r="CC1351"/>
      <c r="CD1351"/>
      <c r="CE1351"/>
    </row>
    <row r="1352" spans="1:83" ht="13.15" customHeight="1" outlineLevel="2" x14ac:dyDescent="0.2">
      <c r="A1352"/>
      <c r="B1352" s="1"/>
      <c r="C1352"/>
      <c r="D1352"/>
      <c r="E1352"/>
      <c r="F1352"/>
      <c r="G1352" s="1"/>
      <c r="H1352" s="1"/>
      <c r="I1352"/>
      <c r="J1352"/>
      <c r="K1352"/>
      <c r="L1352"/>
      <c r="M1352"/>
      <c r="N1352"/>
      <c r="O1352"/>
      <c r="P1352"/>
      <c r="Q1352"/>
      <c r="R1352" s="558" t="s">
        <v>1728</v>
      </c>
      <c r="S1352" s="83"/>
      <c r="T1352" s="56"/>
      <c r="U1352" s="955"/>
      <c r="V1352" s="43" t="str">
        <f t="shared" si="916"/>
        <v>Q</v>
      </c>
      <c r="W1352" s="10"/>
      <c r="X1352" s="45" t="s">
        <v>769</v>
      </c>
      <c r="Y1352" s="10"/>
      <c r="Z1352" s="46" t="str">
        <f t="shared" si="917"/>
        <v>J</v>
      </c>
      <c r="AA1352" s="123"/>
      <c r="AB1352" s="1459">
        <f t="shared" si="908"/>
        <v>0</v>
      </c>
      <c r="AC1352" s="1460" t="str">
        <f t="shared" si="909"/>
        <v>-</v>
      </c>
      <c r="AD1352" s="1459">
        <f t="shared" si="910"/>
        <v>0</v>
      </c>
      <c r="AE1352" s="964" t="str">
        <f t="shared" si="911"/>
        <v/>
      </c>
      <c r="AF1352" s="964" t="str">
        <f t="shared" si="912"/>
        <v/>
      </c>
      <c r="AG1352" s="964" t="str">
        <f t="shared" si="913"/>
        <v/>
      </c>
      <c r="AH1352" s="964" t="str">
        <f t="shared" si="914"/>
        <v/>
      </c>
      <c r="AI1352" s="964" t="str">
        <f t="shared" si="915"/>
        <v/>
      </c>
      <c r="AJ1352" s="964"/>
      <c r="AK1352" s="964"/>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s="1396"/>
      <c r="CB1352" s="1396"/>
      <c r="CC1352"/>
      <c r="CD1352"/>
      <c r="CE1352"/>
    </row>
    <row r="1353" spans="1:83" ht="13.15" customHeight="1" outlineLevel="2" x14ac:dyDescent="0.2">
      <c r="A1353"/>
      <c r="B1353" s="1"/>
      <c r="C1353"/>
      <c r="D1353"/>
      <c r="E1353"/>
      <c r="F1353"/>
      <c r="G1353" s="1"/>
      <c r="H1353" s="1"/>
      <c r="I1353"/>
      <c r="J1353"/>
      <c r="K1353"/>
      <c r="L1353"/>
      <c r="M1353"/>
      <c r="N1353"/>
      <c r="O1353"/>
      <c r="P1353"/>
      <c r="Q1353"/>
      <c r="R1353" s="558" t="s">
        <v>1728</v>
      </c>
      <c r="S1353" s="83"/>
      <c r="T1353" s="56"/>
      <c r="U1353" s="955"/>
      <c r="V1353" s="43" t="str">
        <f t="shared" si="916"/>
        <v>R</v>
      </c>
      <c r="W1353" s="10"/>
      <c r="X1353" s="45" t="s">
        <v>769</v>
      </c>
      <c r="Y1353" s="10"/>
      <c r="Z1353" s="46" t="str">
        <f t="shared" si="917"/>
        <v>L</v>
      </c>
      <c r="AA1353" s="123"/>
      <c r="AB1353" s="1459">
        <f t="shared" si="908"/>
        <v>0</v>
      </c>
      <c r="AC1353" s="1460" t="str">
        <f t="shared" si="909"/>
        <v>-</v>
      </c>
      <c r="AD1353" s="1459">
        <f t="shared" si="910"/>
        <v>0</v>
      </c>
      <c r="AE1353" s="964" t="str">
        <f t="shared" si="911"/>
        <v/>
      </c>
      <c r="AF1353" s="964" t="str">
        <f t="shared" si="912"/>
        <v/>
      </c>
      <c r="AG1353" s="964" t="str">
        <f t="shared" si="913"/>
        <v/>
      </c>
      <c r="AH1353" s="964" t="str">
        <f t="shared" si="914"/>
        <v/>
      </c>
      <c r="AI1353" s="964" t="str">
        <f t="shared" si="915"/>
        <v/>
      </c>
      <c r="AJ1353" s="964"/>
      <c r="AK1353" s="964"/>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s="1396"/>
      <c r="CB1353" s="1396"/>
      <c r="CC1353"/>
      <c r="CD1353"/>
      <c r="CE1353"/>
    </row>
    <row r="1354" spans="1:83" ht="13.9" customHeight="1" outlineLevel="2" thickBot="1" x14ac:dyDescent="0.25">
      <c r="A1354"/>
      <c r="B1354" s="1"/>
      <c r="C1354"/>
      <c r="D1354"/>
      <c r="E1354"/>
      <c r="F1354"/>
      <c r="G1354" s="1"/>
      <c r="H1354" s="1"/>
      <c r="I1354"/>
      <c r="J1354"/>
      <c r="K1354"/>
      <c r="L1354"/>
      <c r="M1354"/>
      <c r="N1354"/>
      <c r="O1354"/>
      <c r="P1354"/>
      <c r="Q1354"/>
      <c r="R1354" s="558" t="s">
        <v>1728</v>
      </c>
      <c r="S1354" s="956"/>
      <c r="T1354" s="58"/>
      <c r="U1354" s="957"/>
      <c r="V1354" s="958" t="str">
        <f>V1343</f>
        <v>P</v>
      </c>
      <c r="W1354" s="10"/>
      <c r="X1354" s="45" t="s">
        <v>769</v>
      </c>
      <c r="Y1354" s="10"/>
      <c r="Z1354" s="46" t="str">
        <f>V1342</f>
        <v>N</v>
      </c>
      <c r="AA1354" s="123"/>
      <c r="AB1354" s="1459">
        <f t="shared" si="908"/>
        <v>0</v>
      </c>
      <c r="AC1354" s="1460" t="str">
        <f t="shared" si="909"/>
        <v>-</v>
      </c>
      <c r="AD1354" s="1459">
        <f t="shared" si="910"/>
        <v>0</v>
      </c>
      <c r="AE1354" s="964" t="str">
        <f t="shared" si="911"/>
        <v/>
      </c>
      <c r="AF1354" s="964" t="str">
        <f t="shared" si="912"/>
        <v/>
      </c>
      <c r="AG1354" s="964" t="str">
        <f t="shared" si="913"/>
        <v/>
      </c>
      <c r="AH1354" s="964" t="str">
        <f t="shared" si="914"/>
        <v/>
      </c>
      <c r="AI1354" s="964" t="str">
        <f t="shared" si="915"/>
        <v/>
      </c>
      <c r="AJ1354" s="964"/>
      <c r="AK1354" s="964"/>
      <c r="AL1354"/>
      <c r="AM1354"/>
      <c r="AN1354"/>
      <c r="AO1354"/>
      <c r="AP1354"/>
      <c r="AQ1354"/>
      <c r="AR1354"/>
      <c r="AS1354"/>
      <c r="AT1354"/>
      <c r="AU1354"/>
      <c r="AV1354"/>
      <c r="AW1354" s="9"/>
      <c r="AX1354" s="9"/>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s="1396"/>
      <c r="CB1354" s="1396"/>
      <c r="CC1354"/>
      <c r="CD1354"/>
      <c r="CE1354"/>
    </row>
    <row r="1355" spans="1:83" ht="13.5" outlineLevel="1" thickBot="1" x14ac:dyDescent="0.25">
      <c r="A1355"/>
      <c r="B1355" s="1"/>
      <c r="C1355" s="1"/>
      <c r="D1355" s="76"/>
      <c r="E1355" s="76"/>
      <c r="F1355" s="76"/>
      <c r="G1355" s="9"/>
      <c r="H1355" s="9"/>
      <c r="I1355" s="1"/>
      <c r="J1355"/>
      <c r="K1355"/>
      <c r="L1355"/>
      <c r="M1355"/>
      <c r="N1355"/>
      <c r="O1355"/>
      <c r="P1355" s="89"/>
      <c r="Q1355"/>
      <c r="R1355" s="1"/>
      <c r="S1355" s="993">
        <f>S1344+1</f>
        <v>4</v>
      </c>
      <c r="T1355" s="961"/>
      <c r="U1355" s="961"/>
      <c r="V1355" s="961"/>
      <c r="W1355" s="960"/>
      <c r="X1355" s="960"/>
      <c r="Y1355" s="960"/>
      <c r="Z1355" s="962"/>
      <c r="AA1355" s="123"/>
      <c r="AB1355" s="963"/>
      <c r="AC1355" s="963"/>
      <c r="AD1355" s="963"/>
      <c r="AE1355" s="964"/>
      <c r="AF1355" s="964"/>
      <c r="AG1355" s="964"/>
      <c r="AH1355" s="964"/>
      <c r="AI1355" s="964"/>
      <c r="AJ1355" s="964"/>
      <c r="AK1355" s="964"/>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s="1396"/>
      <c r="CB1355" s="1396"/>
      <c r="CC1355"/>
      <c r="CD1355"/>
      <c r="CE1355"/>
    </row>
    <row r="1356" spans="1:83" ht="13.9" customHeight="1" outlineLevel="2" thickBot="1" x14ac:dyDescent="0.25">
      <c r="A1356"/>
      <c r="B1356" s="1"/>
      <c r="C1356"/>
      <c r="D1356"/>
      <c r="E1356"/>
      <c r="F1356"/>
      <c r="G1356" s="1"/>
      <c r="H1356" s="1"/>
      <c r="I1356"/>
      <c r="J1356"/>
      <c r="K1356"/>
      <c r="L1356"/>
      <c r="M1356"/>
      <c r="N1356"/>
      <c r="O1356"/>
      <c r="P1356"/>
      <c r="Q1356"/>
      <c r="S1356" s="22" t="str">
        <f>N_Heure</f>
        <v>Heure</v>
      </c>
      <c r="T1356" s="22" t="str">
        <f>N_Table</f>
        <v>Table</v>
      </c>
      <c r="U1356" s="22" t="str">
        <f>N_Arbitre</f>
        <v>Arbitre</v>
      </c>
      <c r="V1356" s="293" t="str">
        <f>N_Matches</f>
        <v>Matches</v>
      </c>
      <c r="W1356" s="294"/>
      <c r="X1356" s="294"/>
      <c r="Y1356" s="294"/>
      <c r="Z1356" s="295"/>
      <c r="AA1356" s="8"/>
      <c r="AB1356" s="967"/>
      <c r="AC1356" s="967"/>
      <c r="AD1356" s="967"/>
      <c r="AE1356" s="964"/>
      <c r="AF1356" s="964"/>
      <c r="AG1356" s="964"/>
      <c r="AH1356" s="964"/>
      <c r="AI1356" s="964"/>
      <c r="AJ1356" s="964"/>
      <c r="AK1356" s="964"/>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s="1396"/>
      <c r="CB1356" s="1396"/>
      <c r="CC1356"/>
      <c r="CD1356"/>
      <c r="CE1356"/>
    </row>
    <row r="1357" spans="1:83" ht="13.15" customHeight="1" outlineLevel="2" x14ac:dyDescent="0.2">
      <c r="A1357"/>
      <c r="B1357" s="1"/>
      <c r="C1357"/>
      <c r="D1357"/>
      <c r="E1357"/>
      <c r="F1357"/>
      <c r="G1357" s="1"/>
      <c r="H1357" s="1"/>
      <c r="I1357"/>
      <c r="J1357"/>
      <c r="K1357"/>
      <c r="L1357"/>
      <c r="M1357"/>
      <c r="N1357"/>
      <c r="O1357"/>
      <c r="P1357"/>
      <c r="Q1357"/>
      <c r="R1357" s="558" t="s">
        <v>1729</v>
      </c>
      <c r="S1357" s="65"/>
      <c r="T1357" s="953"/>
      <c r="U1357" s="954"/>
      <c r="V1357" s="34" t="str">
        <f>V1347</f>
        <v>G</v>
      </c>
      <c r="W1357" s="148"/>
      <c r="X1357" s="35" t="s">
        <v>769</v>
      </c>
      <c r="Y1357" s="148"/>
      <c r="Z1357" s="36" t="str">
        <f>V1346</f>
        <v>A</v>
      </c>
      <c r="AA1357" s="123"/>
      <c r="AB1357" s="1459">
        <f t="shared" ref="AB1357:AB1365" si="918">IF(MaxScore,MaxGoals(W1357,Y1357,MaxGoalsValue),IF(W1357="","",W1357))</f>
        <v>0</v>
      </c>
      <c r="AC1357" s="1460" t="str">
        <f t="shared" ref="AC1357:AC1365" si="919">IF(MaxScore,"-",IF(W1357="","","-"))</f>
        <v>-</v>
      </c>
      <c r="AD1357" s="1459">
        <f t="shared" ref="AD1357:AD1365" si="920">IF(MaxScore,MaxGoals(Y1357,W1357,MaxGoalsValue),IF(Y1357="","",Y1357))</f>
        <v>0</v>
      </c>
      <c r="AE1357" s="964" t="str">
        <f t="shared" ref="AE1357:AE1365" si="921">IF(W1357="","",IF(W1357&gt;Y1357,V1357,IF(W1357=Y1357,"",Z1357)))</f>
        <v/>
      </c>
      <c r="AF1357" s="964" t="str">
        <f t="shared" ref="AF1357:AF1365" si="922">IF(W1357="","",IF(W1357=Y1357,V1357,""))</f>
        <v/>
      </c>
      <c r="AG1357" s="964" t="str">
        <f t="shared" ref="AG1357:AG1365" si="923">IF(W1357="","",IF(W1357=Y1357,Z1357,""))</f>
        <v/>
      </c>
      <c r="AH1357" s="964" t="str">
        <f t="shared" ref="AH1357:AH1365" si="924">IF(W1357="","",IF(W1357&lt;Y1357,V1357,IF(W1357=Y1357,"",Z1357)))</f>
        <v/>
      </c>
      <c r="AI1357" s="964" t="str">
        <f t="shared" ref="AI1357:AI1365" si="925">CONCATENATE(AE1357,AH1357)</f>
        <v/>
      </c>
      <c r="AJ1357" s="964"/>
      <c r="AK1357" s="964"/>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s="1396"/>
      <c r="CB1357" s="1396"/>
      <c r="CC1357"/>
      <c r="CD1357"/>
      <c r="CE1357"/>
    </row>
    <row r="1358" spans="1:83" ht="13.15" customHeight="1" outlineLevel="2" x14ac:dyDescent="0.2">
      <c r="A1358"/>
      <c r="B1358" s="1"/>
      <c r="C1358"/>
      <c r="D1358"/>
      <c r="E1358"/>
      <c r="F1358"/>
      <c r="G1358" s="1"/>
      <c r="H1358" s="1"/>
      <c r="I1358"/>
      <c r="J1358"/>
      <c r="K1358"/>
      <c r="L1358"/>
      <c r="M1358"/>
      <c r="N1358"/>
      <c r="O1358"/>
      <c r="P1358"/>
      <c r="Q1358"/>
      <c r="R1358" s="558" t="s">
        <v>1729</v>
      </c>
      <c r="S1358" s="83"/>
      <c r="T1358" s="56"/>
      <c r="U1358" s="955"/>
      <c r="V1358" s="43" t="str">
        <f t="shared" ref="V1358:V1365" si="926">Z1346</f>
        <v>E</v>
      </c>
      <c r="W1358" s="10"/>
      <c r="X1358" s="45" t="s">
        <v>769</v>
      </c>
      <c r="Y1358" s="10"/>
      <c r="Z1358" s="46" t="str">
        <f t="shared" ref="Z1358:Z1364" si="927">V1348</f>
        <v>I</v>
      </c>
      <c r="AA1358" s="123"/>
      <c r="AB1358" s="1459">
        <f t="shared" si="918"/>
        <v>0</v>
      </c>
      <c r="AC1358" s="1460" t="str">
        <f t="shared" si="919"/>
        <v>-</v>
      </c>
      <c r="AD1358" s="1459">
        <f t="shared" si="920"/>
        <v>0</v>
      </c>
      <c r="AE1358" s="964" t="str">
        <f t="shared" si="921"/>
        <v/>
      </c>
      <c r="AF1358" s="964" t="str">
        <f t="shared" si="922"/>
        <v/>
      </c>
      <c r="AG1358" s="964" t="str">
        <f t="shared" si="923"/>
        <v/>
      </c>
      <c r="AH1358" s="964" t="str">
        <f t="shared" si="924"/>
        <v/>
      </c>
      <c r="AI1358" s="964" t="str">
        <f t="shared" si="925"/>
        <v/>
      </c>
      <c r="AJ1358" s="964"/>
      <c r="AK1358" s="964"/>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s="1396"/>
      <c r="CB1358" s="1396"/>
      <c r="CC1358"/>
      <c r="CD1358"/>
      <c r="CE1358"/>
    </row>
    <row r="1359" spans="1:83" ht="13.15" customHeight="1" outlineLevel="2" x14ac:dyDescent="0.2">
      <c r="A1359"/>
      <c r="B1359" s="1"/>
      <c r="C1359"/>
      <c r="D1359"/>
      <c r="E1359"/>
      <c r="F1359"/>
      <c r="G1359" s="1"/>
      <c r="H1359" s="1"/>
      <c r="I1359"/>
      <c r="J1359"/>
      <c r="K1359"/>
      <c r="L1359"/>
      <c r="M1359"/>
      <c r="N1359"/>
      <c r="O1359"/>
      <c r="P1359"/>
      <c r="Q1359"/>
      <c r="R1359" s="558" t="s">
        <v>1729</v>
      </c>
      <c r="S1359" s="83"/>
      <c r="T1359" s="56"/>
      <c r="U1359" s="955"/>
      <c r="V1359" s="43" t="str">
        <f t="shared" si="926"/>
        <v>C</v>
      </c>
      <c r="W1359" s="10"/>
      <c r="X1359" s="45" t="s">
        <v>769</v>
      </c>
      <c r="Y1359" s="10"/>
      <c r="Z1359" s="46" t="str">
        <f t="shared" si="927"/>
        <v>K</v>
      </c>
      <c r="AA1359" s="123"/>
      <c r="AB1359" s="1459">
        <f t="shared" si="918"/>
        <v>0</v>
      </c>
      <c r="AC1359" s="1460" t="str">
        <f t="shared" si="919"/>
        <v>-</v>
      </c>
      <c r="AD1359" s="1459">
        <f t="shared" si="920"/>
        <v>0</v>
      </c>
      <c r="AE1359" s="964" t="str">
        <f t="shared" si="921"/>
        <v/>
      </c>
      <c r="AF1359" s="964" t="str">
        <f t="shared" si="922"/>
        <v/>
      </c>
      <c r="AG1359" s="964" t="str">
        <f t="shared" si="923"/>
        <v/>
      </c>
      <c r="AH1359" s="964" t="str">
        <f t="shared" si="924"/>
        <v/>
      </c>
      <c r="AI1359" s="964" t="str">
        <f t="shared" si="925"/>
        <v/>
      </c>
      <c r="AJ1359" s="964"/>
      <c r="AK1359" s="964"/>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s="1396"/>
      <c r="CB1359" s="1396"/>
      <c r="CC1359"/>
      <c r="CD1359"/>
      <c r="CE1359"/>
    </row>
    <row r="1360" spans="1:83" ht="13.15" customHeight="1" outlineLevel="2" x14ac:dyDescent="0.2">
      <c r="A1360"/>
      <c r="B1360" s="1"/>
      <c r="C1360"/>
      <c r="D1360"/>
      <c r="E1360"/>
      <c r="F1360"/>
      <c r="G1360" s="1"/>
      <c r="H1360" s="1"/>
      <c r="I1360"/>
      <c r="J1360"/>
      <c r="K1360"/>
      <c r="L1360"/>
      <c r="M1360"/>
      <c r="N1360"/>
      <c r="O1360"/>
      <c r="P1360"/>
      <c r="Q1360"/>
      <c r="R1360" s="558" t="s">
        <v>1729</v>
      </c>
      <c r="S1360" s="83"/>
      <c r="T1360" s="56"/>
      <c r="U1360" s="955"/>
      <c r="V1360" s="43" t="str">
        <f t="shared" si="926"/>
        <v>B</v>
      </c>
      <c r="W1360" s="10"/>
      <c r="X1360" s="45" t="s">
        <v>769</v>
      </c>
      <c r="Y1360" s="10"/>
      <c r="Z1360" s="46" t="str">
        <f t="shared" si="927"/>
        <v>M</v>
      </c>
      <c r="AA1360" s="123"/>
      <c r="AB1360" s="1459">
        <f t="shared" si="918"/>
        <v>0</v>
      </c>
      <c r="AC1360" s="1460" t="str">
        <f t="shared" si="919"/>
        <v>-</v>
      </c>
      <c r="AD1360" s="1459">
        <f t="shared" si="920"/>
        <v>0</v>
      </c>
      <c r="AE1360" s="964" t="str">
        <f t="shared" si="921"/>
        <v/>
      </c>
      <c r="AF1360" s="964" t="str">
        <f t="shared" si="922"/>
        <v/>
      </c>
      <c r="AG1360" s="964" t="str">
        <f t="shared" si="923"/>
        <v/>
      </c>
      <c r="AH1360" s="964" t="str">
        <f t="shared" si="924"/>
        <v/>
      </c>
      <c r="AI1360" s="964" t="str">
        <f t="shared" si="925"/>
        <v/>
      </c>
      <c r="AJ1360" s="964"/>
      <c r="AK1360" s="964"/>
      <c r="AL1360"/>
      <c r="AM1360"/>
      <c r="AN1360"/>
      <c r="AO1360"/>
      <c r="AP1360"/>
      <c r="AQ1360"/>
      <c r="AR1360"/>
      <c r="AS1360"/>
      <c r="AT1360"/>
      <c r="AU1360"/>
      <c r="AV1360"/>
      <c r="AW1360"/>
      <c r="AX1360" s="9"/>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s="1396"/>
      <c r="CB1360" s="1396"/>
      <c r="CC1360"/>
      <c r="CD1360"/>
      <c r="CE1360"/>
    </row>
    <row r="1361" spans="1:83" ht="13.15" customHeight="1" outlineLevel="2" x14ac:dyDescent="0.2">
      <c r="A1361"/>
      <c r="B1361" s="1"/>
      <c r="C1361"/>
      <c r="D1361"/>
      <c r="E1361"/>
      <c r="F1361"/>
      <c r="G1361" s="1"/>
      <c r="H1361" s="1"/>
      <c r="I1361"/>
      <c r="J1361"/>
      <c r="K1361"/>
      <c r="L1361"/>
      <c r="M1361"/>
      <c r="N1361"/>
      <c r="O1361"/>
      <c r="P1361"/>
      <c r="Q1361"/>
      <c r="R1361" s="558" t="s">
        <v>1729</v>
      </c>
      <c r="S1361" s="83"/>
      <c r="T1361" s="56"/>
      <c r="U1361" s="955"/>
      <c r="V1361" s="43" t="str">
        <f t="shared" si="926"/>
        <v>D</v>
      </c>
      <c r="W1361" s="10"/>
      <c r="X1361" s="45" t="s">
        <v>769</v>
      </c>
      <c r="Y1361" s="10"/>
      <c r="Z1361" s="46" t="str">
        <f t="shared" si="927"/>
        <v>O</v>
      </c>
      <c r="AA1361" s="123"/>
      <c r="AB1361" s="1459">
        <f t="shared" si="918"/>
        <v>0</v>
      </c>
      <c r="AC1361" s="1460" t="str">
        <f t="shared" si="919"/>
        <v>-</v>
      </c>
      <c r="AD1361" s="1459">
        <f t="shared" si="920"/>
        <v>0</v>
      </c>
      <c r="AE1361" s="964" t="str">
        <f t="shared" si="921"/>
        <v/>
      </c>
      <c r="AF1361" s="964" t="str">
        <f t="shared" si="922"/>
        <v/>
      </c>
      <c r="AG1361" s="964" t="str">
        <f t="shared" si="923"/>
        <v/>
      </c>
      <c r="AH1361" s="964" t="str">
        <f t="shared" si="924"/>
        <v/>
      </c>
      <c r="AI1361" s="964" t="str">
        <f t="shared" si="925"/>
        <v/>
      </c>
      <c r="AJ1361" s="964"/>
      <c r="AK1361" s="964"/>
      <c r="AL1361"/>
      <c r="AM1361"/>
      <c r="AN1361"/>
      <c r="AO1361"/>
      <c r="AP1361"/>
      <c r="AQ1361"/>
      <c r="AR1361"/>
      <c r="AS1361"/>
      <c r="AT1361"/>
      <c r="AU1361"/>
      <c r="AV1361"/>
      <c r="AW1361" s="9"/>
      <c r="AX1361" s="9"/>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s="1396"/>
      <c r="CB1361" s="1396"/>
      <c r="CC1361"/>
      <c r="CD1361"/>
      <c r="CE1361"/>
    </row>
    <row r="1362" spans="1:83" ht="13.15" customHeight="1" outlineLevel="2" x14ac:dyDescent="0.2">
      <c r="A1362"/>
      <c r="B1362" s="1"/>
      <c r="C1362"/>
      <c r="D1362"/>
      <c r="E1362"/>
      <c r="F1362"/>
      <c r="G1362" s="1"/>
      <c r="H1362" s="1"/>
      <c r="I1362"/>
      <c r="J1362"/>
      <c r="K1362"/>
      <c r="L1362"/>
      <c r="M1362"/>
      <c r="N1362"/>
      <c r="O1362"/>
      <c r="P1362"/>
      <c r="Q1362"/>
      <c r="R1362" s="558" t="s">
        <v>1729</v>
      </c>
      <c r="S1362" s="83"/>
      <c r="T1362" s="56"/>
      <c r="U1362" s="955"/>
      <c r="V1362" s="43" t="str">
        <f t="shared" si="926"/>
        <v>F</v>
      </c>
      <c r="W1362" s="10"/>
      <c r="X1362" s="45" t="s">
        <v>769</v>
      </c>
      <c r="Y1362" s="10"/>
      <c r="Z1362" s="46" t="str">
        <f t="shared" si="927"/>
        <v>Q</v>
      </c>
      <c r="AA1362" s="123"/>
      <c r="AB1362" s="1459">
        <f t="shared" si="918"/>
        <v>0</v>
      </c>
      <c r="AC1362" s="1460" t="str">
        <f t="shared" si="919"/>
        <v>-</v>
      </c>
      <c r="AD1362" s="1459">
        <f t="shared" si="920"/>
        <v>0</v>
      </c>
      <c r="AE1362" s="964" t="str">
        <f t="shared" si="921"/>
        <v/>
      </c>
      <c r="AF1362" s="964" t="str">
        <f t="shared" si="922"/>
        <v/>
      </c>
      <c r="AG1362" s="964" t="str">
        <f t="shared" si="923"/>
        <v/>
      </c>
      <c r="AH1362" s="964" t="str">
        <f t="shared" si="924"/>
        <v/>
      </c>
      <c r="AI1362" s="964" t="str">
        <f t="shared" si="925"/>
        <v/>
      </c>
      <c r="AJ1362" s="964"/>
      <c r="AK1362" s="964"/>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s="1396"/>
      <c r="CB1362" s="1396"/>
      <c r="CC1362"/>
      <c r="CD1362"/>
      <c r="CE1362"/>
    </row>
    <row r="1363" spans="1:83" ht="13.15" customHeight="1" outlineLevel="2" x14ac:dyDescent="0.2">
      <c r="A1363"/>
      <c r="B1363" s="1"/>
      <c r="C1363"/>
      <c r="D1363"/>
      <c r="E1363"/>
      <c r="F1363"/>
      <c r="G1363" s="1"/>
      <c r="H1363" s="1"/>
      <c r="I1363"/>
      <c r="J1363"/>
      <c r="K1363"/>
      <c r="L1363"/>
      <c r="M1363"/>
      <c r="N1363"/>
      <c r="O1363"/>
      <c r="P1363"/>
      <c r="Q1363"/>
      <c r="R1363" s="558" t="s">
        <v>1729</v>
      </c>
      <c r="S1363" s="83"/>
      <c r="T1363" s="56"/>
      <c r="U1363" s="955"/>
      <c r="V1363" s="43" t="str">
        <f t="shared" si="926"/>
        <v>H</v>
      </c>
      <c r="W1363" s="10"/>
      <c r="X1363" s="45" t="s">
        <v>769</v>
      </c>
      <c r="Y1363" s="10"/>
      <c r="Z1363" s="46" t="str">
        <f t="shared" si="927"/>
        <v>R</v>
      </c>
      <c r="AA1363" s="123"/>
      <c r="AB1363" s="1459">
        <f t="shared" si="918"/>
        <v>0</v>
      </c>
      <c r="AC1363" s="1460" t="str">
        <f t="shared" si="919"/>
        <v>-</v>
      </c>
      <c r="AD1363" s="1459">
        <f t="shared" si="920"/>
        <v>0</v>
      </c>
      <c r="AE1363" s="964" t="str">
        <f t="shared" si="921"/>
        <v/>
      </c>
      <c r="AF1363" s="964" t="str">
        <f t="shared" si="922"/>
        <v/>
      </c>
      <c r="AG1363" s="964" t="str">
        <f t="shared" si="923"/>
        <v/>
      </c>
      <c r="AH1363" s="964" t="str">
        <f t="shared" si="924"/>
        <v/>
      </c>
      <c r="AI1363" s="964" t="str">
        <f t="shared" si="925"/>
        <v/>
      </c>
      <c r="AJ1363" s="964"/>
      <c r="AK1363" s="964"/>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s="1396"/>
      <c r="CB1363" s="1396"/>
      <c r="CC1363"/>
      <c r="CD1363"/>
      <c r="CE1363"/>
    </row>
    <row r="1364" spans="1:83" ht="13.15" customHeight="1" outlineLevel="2" x14ac:dyDescent="0.2">
      <c r="A1364"/>
      <c r="B1364" s="1"/>
      <c r="C1364"/>
      <c r="D1364"/>
      <c r="E1364"/>
      <c r="F1364"/>
      <c r="G1364" s="1"/>
      <c r="H1364" s="1"/>
      <c r="I1364"/>
      <c r="J1364"/>
      <c r="K1364"/>
      <c r="L1364"/>
      <c r="M1364"/>
      <c r="N1364"/>
      <c r="O1364"/>
      <c r="P1364"/>
      <c r="Q1364"/>
      <c r="R1364" s="558" t="s">
        <v>1729</v>
      </c>
      <c r="S1364" s="83"/>
      <c r="T1364" s="56"/>
      <c r="U1364" s="955"/>
      <c r="V1364" s="43" t="str">
        <f t="shared" si="926"/>
        <v>J</v>
      </c>
      <c r="W1364" s="10"/>
      <c r="X1364" s="45" t="s">
        <v>769</v>
      </c>
      <c r="Y1364" s="10"/>
      <c r="Z1364" s="46" t="str">
        <f t="shared" si="927"/>
        <v>P</v>
      </c>
      <c r="AA1364" s="123"/>
      <c r="AB1364" s="1459">
        <f t="shared" si="918"/>
        <v>0</v>
      </c>
      <c r="AC1364" s="1460" t="str">
        <f t="shared" si="919"/>
        <v>-</v>
      </c>
      <c r="AD1364" s="1459">
        <f t="shared" si="920"/>
        <v>0</v>
      </c>
      <c r="AE1364" s="964" t="str">
        <f t="shared" si="921"/>
        <v/>
      </c>
      <c r="AF1364" s="964" t="str">
        <f t="shared" si="922"/>
        <v/>
      </c>
      <c r="AG1364" s="964" t="str">
        <f t="shared" si="923"/>
        <v/>
      </c>
      <c r="AH1364" s="964" t="str">
        <f t="shared" si="924"/>
        <v/>
      </c>
      <c r="AI1364" s="964" t="str">
        <f t="shared" si="925"/>
        <v/>
      </c>
      <c r="AJ1364" s="964"/>
      <c r="AK1364" s="964"/>
      <c r="AL1364"/>
      <c r="AM1364"/>
      <c r="AN1364"/>
      <c r="AO1364"/>
      <c r="AP1364"/>
      <c r="AQ1364"/>
      <c r="AR1364"/>
      <c r="AS1364"/>
      <c r="AT1364"/>
      <c r="AU1364"/>
      <c r="AV1364"/>
      <c r="AW1364"/>
      <c r="AX1364" s="9"/>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s="1396"/>
      <c r="CB1364" s="1396"/>
      <c r="CC1364"/>
      <c r="CD1364"/>
      <c r="CE1364"/>
    </row>
    <row r="1365" spans="1:83" ht="13.9" customHeight="1" outlineLevel="2" thickBot="1" x14ac:dyDescent="0.25">
      <c r="A1365"/>
      <c r="B1365" s="1"/>
      <c r="C1365"/>
      <c r="D1365"/>
      <c r="E1365"/>
      <c r="F1365"/>
      <c r="G1365" s="1"/>
      <c r="H1365" s="1"/>
      <c r="I1365"/>
      <c r="J1365"/>
      <c r="K1365"/>
      <c r="L1365"/>
      <c r="M1365"/>
      <c r="N1365"/>
      <c r="O1365"/>
      <c r="P1365"/>
      <c r="Q1365"/>
      <c r="R1365" s="558" t="s">
        <v>1729</v>
      </c>
      <c r="S1365" s="956"/>
      <c r="T1365" s="58"/>
      <c r="U1365" s="957"/>
      <c r="V1365" s="43" t="str">
        <f t="shared" si="926"/>
        <v>L</v>
      </c>
      <c r="W1365" s="10"/>
      <c r="X1365" s="45" t="s">
        <v>769</v>
      </c>
      <c r="Y1365" s="10"/>
      <c r="Z1365" s="46" t="str">
        <f>Z1354</f>
        <v>N</v>
      </c>
      <c r="AA1365" s="123"/>
      <c r="AB1365" s="1459">
        <f t="shared" si="918"/>
        <v>0</v>
      </c>
      <c r="AC1365" s="1460" t="str">
        <f t="shared" si="919"/>
        <v>-</v>
      </c>
      <c r="AD1365" s="1459">
        <f t="shared" si="920"/>
        <v>0</v>
      </c>
      <c r="AE1365" s="964" t="str">
        <f t="shared" si="921"/>
        <v/>
      </c>
      <c r="AF1365" s="964" t="str">
        <f t="shared" si="922"/>
        <v/>
      </c>
      <c r="AG1365" s="964" t="str">
        <f t="shared" si="923"/>
        <v/>
      </c>
      <c r="AH1365" s="964" t="str">
        <f t="shared" si="924"/>
        <v/>
      </c>
      <c r="AI1365" s="964" t="str">
        <f t="shared" si="925"/>
        <v/>
      </c>
      <c r="AJ1365" s="964"/>
      <c r="AK1365" s="964"/>
      <c r="AL1365"/>
      <c r="AM1365"/>
      <c r="AN1365"/>
      <c r="AO1365"/>
      <c r="AP1365"/>
      <c r="AQ1365"/>
      <c r="AR1365"/>
      <c r="AS1365"/>
      <c r="AT1365"/>
      <c r="AU1365"/>
      <c r="AV1365"/>
      <c r="AW1365" s="9"/>
      <c r="AX1365" s="9"/>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s="1396"/>
      <c r="CB1365" s="1396"/>
      <c r="CC1365"/>
      <c r="CD1365"/>
      <c r="CE1365"/>
    </row>
    <row r="1366" spans="1:83" ht="13.5" outlineLevel="1" thickBot="1" x14ac:dyDescent="0.25">
      <c r="A1366"/>
      <c r="B1366" s="1"/>
      <c r="C1366" s="1"/>
      <c r="D1366" s="76"/>
      <c r="E1366" s="76"/>
      <c r="F1366" s="76"/>
      <c r="G1366" s="9"/>
      <c r="H1366" s="9"/>
      <c r="I1366" s="1"/>
      <c r="J1366"/>
      <c r="K1366"/>
      <c r="L1366"/>
      <c r="M1366"/>
      <c r="N1366"/>
      <c r="O1366"/>
      <c r="P1366" s="89"/>
      <c r="Q1366"/>
      <c r="R1366" s="1"/>
      <c r="S1366" s="993">
        <f>S1355+1</f>
        <v>5</v>
      </c>
      <c r="T1366" s="961"/>
      <c r="U1366" s="961"/>
      <c r="V1366" s="961"/>
      <c r="W1366" s="960"/>
      <c r="X1366" s="960"/>
      <c r="Y1366" s="960"/>
      <c r="Z1366" s="962"/>
      <c r="AA1366" s="123"/>
      <c r="AB1366" s="963"/>
      <c r="AC1366" s="963"/>
      <c r="AD1366" s="963"/>
      <c r="AE1366" s="964"/>
      <c r="AF1366" s="964"/>
      <c r="AG1366" s="964"/>
      <c r="AH1366" s="964"/>
      <c r="AI1366" s="964"/>
      <c r="AJ1366" s="964"/>
      <c r="AK1366" s="964"/>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s="1396"/>
      <c r="CB1366" s="1396"/>
      <c r="CC1366"/>
      <c r="CD1366"/>
      <c r="CE1366"/>
    </row>
    <row r="1367" spans="1:83" ht="13.9" customHeight="1" outlineLevel="2" thickBot="1" x14ac:dyDescent="0.25">
      <c r="A1367"/>
      <c r="B1367" s="1"/>
      <c r="C1367"/>
      <c r="D1367"/>
      <c r="E1367"/>
      <c r="F1367"/>
      <c r="G1367" s="1"/>
      <c r="H1367" s="1"/>
      <c r="I1367"/>
      <c r="J1367"/>
      <c r="K1367"/>
      <c r="L1367"/>
      <c r="M1367"/>
      <c r="N1367"/>
      <c r="O1367"/>
      <c r="P1367"/>
      <c r="Q1367"/>
      <c r="S1367" s="22" t="str">
        <f>N_Heure</f>
        <v>Heure</v>
      </c>
      <c r="T1367" s="22" t="str">
        <f>N_Table</f>
        <v>Table</v>
      </c>
      <c r="U1367" s="22" t="str">
        <f>N_Arbitre</f>
        <v>Arbitre</v>
      </c>
      <c r="V1367" s="293" t="str">
        <f>N_Matches</f>
        <v>Matches</v>
      </c>
      <c r="W1367" s="294"/>
      <c r="X1367" s="294"/>
      <c r="Y1367" s="294"/>
      <c r="Z1367" s="295"/>
      <c r="AA1367" s="8"/>
      <c r="AB1367" s="967"/>
      <c r="AC1367" s="967"/>
      <c r="AD1367" s="967"/>
      <c r="AE1367" s="964"/>
      <c r="AF1367" s="964"/>
      <c r="AG1367" s="964"/>
      <c r="AH1367" s="964"/>
      <c r="AI1367" s="964"/>
      <c r="AJ1367" s="964"/>
      <c r="AK1367" s="964"/>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s="1396"/>
      <c r="CB1367" s="1396"/>
      <c r="CC1367"/>
      <c r="CD1367"/>
      <c r="CE1367"/>
    </row>
    <row r="1368" spans="1:83" ht="13.15" customHeight="1" outlineLevel="2" x14ac:dyDescent="0.2">
      <c r="A1368"/>
      <c r="B1368" s="1"/>
      <c r="C1368"/>
      <c r="D1368"/>
      <c r="E1368"/>
      <c r="F1368"/>
      <c r="G1368" s="1"/>
      <c r="H1368" s="1"/>
      <c r="I1368"/>
      <c r="J1368"/>
      <c r="K1368"/>
      <c r="L1368"/>
      <c r="M1368"/>
      <c r="N1368"/>
      <c r="O1368"/>
      <c r="P1368"/>
      <c r="Q1368"/>
      <c r="R1368" s="558" t="s">
        <v>1730</v>
      </c>
      <c r="S1368" s="65"/>
      <c r="T1368" s="953"/>
      <c r="U1368" s="954"/>
      <c r="V1368" s="34" t="str">
        <f>Z1357</f>
        <v>A</v>
      </c>
      <c r="W1368" s="148"/>
      <c r="X1368" s="35" t="s">
        <v>769</v>
      </c>
      <c r="Y1368" s="148"/>
      <c r="Z1368" s="36" t="str">
        <f>Z1358</f>
        <v>I</v>
      </c>
      <c r="AA1368" s="123"/>
      <c r="AB1368" s="1459">
        <f t="shared" ref="AB1368:AB1376" si="928">IF(MaxScore,MaxGoals(W1368,Y1368,MaxGoalsValue),IF(W1368="","",W1368))</f>
        <v>0</v>
      </c>
      <c r="AC1368" s="1460" t="str">
        <f t="shared" ref="AC1368:AC1376" si="929">IF(MaxScore,"-",IF(W1368="","","-"))</f>
        <v>-</v>
      </c>
      <c r="AD1368" s="1459">
        <f t="shared" ref="AD1368:AD1376" si="930">IF(MaxScore,MaxGoals(Y1368,W1368,MaxGoalsValue),IF(Y1368="","",Y1368))</f>
        <v>0</v>
      </c>
      <c r="AE1368" s="964" t="str">
        <f t="shared" ref="AE1368:AE1376" si="931">IF(W1368="","",IF(W1368&gt;Y1368,V1368,IF(W1368=Y1368,"",Z1368)))</f>
        <v/>
      </c>
      <c r="AF1368" s="964" t="str">
        <f t="shared" ref="AF1368:AF1376" si="932">IF(W1368="","",IF(W1368=Y1368,V1368,""))</f>
        <v/>
      </c>
      <c r="AG1368" s="964" t="str">
        <f t="shared" ref="AG1368:AG1376" si="933">IF(W1368="","",IF(W1368=Y1368,Z1368,""))</f>
        <v/>
      </c>
      <c r="AH1368" s="964" t="str">
        <f t="shared" ref="AH1368:AH1376" si="934">IF(W1368="","",IF(W1368&lt;Y1368,V1368,IF(W1368=Y1368,"",Z1368)))</f>
        <v/>
      </c>
      <c r="AI1368" s="964" t="str">
        <f t="shared" ref="AI1368:AI1376" si="935">CONCATENATE(AE1368,AH1368)</f>
        <v/>
      </c>
      <c r="AJ1368" s="964"/>
      <c r="AK1368" s="964"/>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s="1396"/>
      <c r="CB1368" s="1396"/>
      <c r="CC1368"/>
      <c r="CD1368"/>
      <c r="CE1368"/>
    </row>
    <row r="1369" spans="1:83" ht="13.15" customHeight="1" outlineLevel="2" x14ac:dyDescent="0.2">
      <c r="A1369"/>
      <c r="B1369" s="1"/>
      <c r="C1369"/>
      <c r="D1369"/>
      <c r="E1369"/>
      <c r="F1369"/>
      <c r="G1369" s="1"/>
      <c r="H1369" s="1"/>
      <c r="I1369"/>
      <c r="J1369"/>
      <c r="K1369"/>
      <c r="L1369"/>
      <c r="M1369"/>
      <c r="N1369"/>
      <c r="O1369"/>
      <c r="P1369"/>
      <c r="Q1369"/>
      <c r="R1369" s="558" t="s">
        <v>1730</v>
      </c>
      <c r="S1369" s="83"/>
      <c r="T1369" s="56"/>
      <c r="U1369" s="955"/>
      <c r="V1369" s="43" t="str">
        <f t="shared" ref="V1369:V1375" si="936">Z1359</f>
        <v>K</v>
      </c>
      <c r="W1369" s="10"/>
      <c r="X1369" s="45" t="s">
        <v>769</v>
      </c>
      <c r="Y1369" s="10"/>
      <c r="Z1369" s="46" t="str">
        <f t="shared" ref="Z1369:Z1375" si="937">V1357</f>
        <v>G</v>
      </c>
      <c r="AA1369" s="123"/>
      <c r="AB1369" s="1459">
        <f t="shared" si="928"/>
        <v>0</v>
      </c>
      <c r="AC1369" s="1460" t="str">
        <f t="shared" si="929"/>
        <v>-</v>
      </c>
      <c r="AD1369" s="1459">
        <f t="shared" si="930"/>
        <v>0</v>
      </c>
      <c r="AE1369" s="964" t="str">
        <f t="shared" si="931"/>
        <v/>
      </c>
      <c r="AF1369" s="964" t="str">
        <f t="shared" si="932"/>
        <v/>
      </c>
      <c r="AG1369" s="964" t="str">
        <f t="shared" si="933"/>
        <v/>
      </c>
      <c r="AH1369" s="964" t="str">
        <f t="shared" si="934"/>
        <v/>
      </c>
      <c r="AI1369" s="964" t="str">
        <f t="shared" si="935"/>
        <v/>
      </c>
      <c r="AJ1369" s="964"/>
      <c r="AK1369" s="964"/>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s="1396"/>
      <c r="CB1369" s="1396"/>
      <c r="CC1369"/>
      <c r="CD1369"/>
      <c r="CE1369"/>
    </row>
    <row r="1370" spans="1:83" ht="13.15" customHeight="1" outlineLevel="2" x14ac:dyDescent="0.2">
      <c r="A1370"/>
      <c r="B1370" s="1"/>
      <c r="C1370"/>
      <c r="D1370"/>
      <c r="E1370"/>
      <c r="F1370"/>
      <c r="G1370" s="1"/>
      <c r="H1370" s="1"/>
      <c r="I1370"/>
      <c r="J1370"/>
      <c r="K1370"/>
      <c r="L1370"/>
      <c r="M1370"/>
      <c r="N1370"/>
      <c r="O1370"/>
      <c r="P1370"/>
      <c r="Q1370"/>
      <c r="R1370" s="558" t="s">
        <v>1730</v>
      </c>
      <c r="S1370" s="83"/>
      <c r="T1370" s="56"/>
      <c r="U1370" s="955"/>
      <c r="V1370" s="43" t="str">
        <f t="shared" si="936"/>
        <v>M</v>
      </c>
      <c r="W1370" s="10"/>
      <c r="X1370" s="45" t="s">
        <v>769</v>
      </c>
      <c r="Y1370" s="10"/>
      <c r="Z1370" s="46" t="str">
        <f t="shared" si="937"/>
        <v>E</v>
      </c>
      <c r="AA1370" s="123"/>
      <c r="AB1370" s="1459">
        <f t="shared" si="928"/>
        <v>0</v>
      </c>
      <c r="AC1370" s="1460" t="str">
        <f t="shared" si="929"/>
        <v>-</v>
      </c>
      <c r="AD1370" s="1459">
        <f t="shared" si="930"/>
        <v>0</v>
      </c>
      <c r="AE1370" s="964" t="str">
        <f t="shared" si="931"/>
        <v/>
      </c>
      <c r="AF1370" s="964" t="str">
        <f t="shared" si="932"/>
        <v/>
      </c>
      <c r="AG1370" s="964" t="str">
        <f t="shared" si="933"/>
        <v/>
      </c>
      <c r="AH1370" s="964" t="str">
        <f t="shared" si="934"/>
        <v/>
      </c>
      <c r="AI1370" s="964" t="str">
        <f t="shared" si="935"/>
        <v/>
      </c>
      <c r="AJ1370" s="964"/>
      <c r="AK1370" s="964"/>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s="1396"/>
      <c r="CB1370" s="1396"/>
      <c r="CC1370"/>
      <c r="CD1370"/>
      <c r="CE1370"/>
    </row>
    <row r="1371" spans="1:83" ht="13.15" customHeight="1" outlineLevel="2" x14ac:dyDescent="0.2">
      <c r="A1371"/>
      <c r="B1371" s="1"/>
      <c r="C1371"/>
      <c r="D1371"/>
      <c r="E1371"/>
      <c r="F1371"/>
      <c r="G1371" s="1"/>
      <c r="H1371" s="1"/>
      <c r="I1371"/>
      <c r="J1371"/>
      <c r="K1371"/>
      <c r="L1371"/>
      <c r="M1371"/>
      <c r="N1371"/>
      <c r="O1371"/>
      <c r="P1371"/>
      <c r="Q1371"/>
      <c r="R1371" s="558" t="s">
        <v>1730</v>
      </c>
      <c r="S1371" s="83"/>
      <c r="T1371" s="56"/>
      <c r="U1371" s="955"/>
      <c r="V1371" s="43" t="str">
        <f t="shared" si="936"/>
        <v>O</v>
      </c>
      <c r="W1371" s="10"/>
      <c r="X1371" s="45" t="s">
        <v>769</v>
      </c>
      <c r="Y1371" s="10"/>
      <c r="Z1371" s="46" t="str">
        <f t="shared" si="937"/>
        <v>C</v>
      </c>
      <c r="AA1371" s="123"/>
      <c r="AB1371" s="1459">
        <f t="shared" si="928"/>
        <v>0</v>
      </c>
      <c r="AC1371" s="1460" t="str">
        <f t="shared" si="929"/>
        <v>-</v>
      </c>
      <c r="AD1371" s="1459">
        <f t="shared" si="930"/>
        <v>0</v>
      </c>
      <c r="AE1371" s="964" t="str">
        <f t="shared" si="931"/>
        <v/>
      </c>
      <c r="AF1371" s="964" t="str">
        <f t="shared" si="932"/>
        <v/>
      </c>
      <c r="AG1371" s="964" t="str">
        <f t="shared" si="933"/>
        <v/>
      </c>
      <c r="AH1371" s="964" t="str">
        <f t="shared" si="934"/>
        <v/>
      </c>
      <c r="AI1371" s="964" t="str">
        <f t="shared" si="935"/>
        <v/>
      </c>
      <c r="AJ1371" s="964"/>
      <c r="AK1371" s="964"/>
      <c r="AL1371"/>
      <c r="AM1371"/>
      <c r="AN1371"/>
      <c r="AO1371"/>
      <c r="AP1371"/>
      <c r="AQ1371"/>
      <c r="AR1371"/>
      <c r="AS1371"/>
      <c r="AT1371"/>
      <c r="AU1371"/>
      <c r="AV1371"/>
      <c r="AW1371"/>
      <c r="AX1371" s="9"/>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s="1396"/>
      <c r="CB1371" s="1396"/>
      <c r="CC1371"/>
      <c r="CD1371"/>
      <c r="CE1371"/>
    </row>
    <row r="1372" spans="1:83" ht="13.15" customHeight="1" outlineLevel="2" x14ac:dyDescent="0.2">
      <c r="A1372"/>
      <c r="B1372" s="1"/>
      <c r="C1372"/>
      <c r="D1372"/>
      <c r="E1372"/>
      <c r="F1372"/>
      <c r="G1372" s="1"/>
      <c r="H1372" s="1"/>
      <c r="I1372"/>
      <c r="J1372"/>
      <c r="K1372"/>
      <c r="L1372"/>
      <c r="M1372"/>
      <c r="N1372"/>
      <c r="O1372"/>
      <c r="P1372"/>
      <c r="Q1372"/>
      <c r="R1372" s="558" t="s">
        <v>1730</v>
      </c>
      <c r="S1372" s="83"/>
      <c r="T1372" s="56"/>
      <c r="U1372" s="955"/>
      <c r="V1372" s="43" t="str">
        <f t="shared" si="936"/>
        <v>Q</v>
      </c>
      <c r="W1372" s="10"/>
      <c r="X1372" s="45" t="s">
        <v>769</v>
      </c>
      <c r="Y1372" s="10"/>
      <c r="Z1372" s="46" t="str">
        <f t="shared" si="937"/>
        <v>B</v>
      </c>
      <c r="AA1372" s="123"/>
      <c r="AB1372" s="1459">
        <f t="shared" si="928"/>
        <v>0</v>
      </c>
      <c r="AC1372" s="1460" t="str">
        <f t="shared" si="929"/>
        <v>-</v>
      </c>
      <c r="AD1372" s="1459">
        <f t="shared" si="930"/>
        <v>0</v>
      </c>
      <c r="AE1372" s="964" t="str">
        <f t="shared" si="931"/>
        <v/>
      </c>
      <c r="AF1372" s="964" t="str">
        <f t="shared" si="932"/>
        <v/>
      </c>
      <c r="AG1372" s="964" t="str">
        <f t="shared" si="933"/>
        <v/>
      </c>
      <c r="AH1372" s="964" t="str">
        <f t="shared" si="934"/>
        <v/>
      </c>
      <c r="AI1372" s="964" t="str">
        <f t="shared" si="935"/>
        <v/>
      </c>
      <c r="AJ1372" s="964"/>
      <c r="AK1372" s="964"/>
      <c r="AL1372"/>
      <c r="AM1372"/>
      <c r="AN1372"/>
      <c r="AO1372"/>
      <c r="AP1372"/>
      <c r="AQ1372"/>
      <c r="AR1372"/>
      <c r="AS1372"/>
      <c r="AT1372"/>
      <c r="AU1372"/>
      <c r="AV1372"/>
      <c r="AW1372" s="9"/>
      <c r="AX1372" s="9"/>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s="1396"/>
      <c r="CB1372" s="1396"/>
      <c r="CC1372"/>
      <c r="CD1372"/>
      <c r="CE1372"/>
    </row>
    <row r="1373" spans="1:83" ht="13.15" customHeight="1" outlineLevel="2" x14ac:dyDescent="0.2">
      <c r="A1373"/>
      <c r="B1373" s="1"/>
      <c r="C1373"/>
      <c r="D1373"/>
      <c r="E1373"/>
      <c r="F1373"/>
      <c r="G1373" s="1"/>
      <c r="H1373" s="1"/>
      <c r="I1373"/>
      <c r="J1373"/>
      <c r="K1373"/>
      <c r="L1373"/>
      <c r="M1373"/>
      <c r="N1373"/>
      <c r="O1373"/>
      <c r="P1373"/>
      <c r="Q1373"/>
      <c r="R1373" s="558" t="s">
        <v>1730</v>
      </c>
      <c r="S1373" s="83"/>
      <c r="T1373" s="56"/>
      <c r="U1373" s="955"/>
      <c r="V1373" s="43" t="str">
        <f t="shared" si="936"/>
        <v>R</v>
      </c>
      <c r="W1373" s="10"/>
      <c r="X1373" s="45" t="s">
        <v>769</v>
      </c>
      <c r="Y1373" s="10"/>
      <c r="Z1373" s="46" t="str">
        <f t="shared" si="937"/>
        <v>D</v>
      </c>
      <c r="AA1373" s="123"/>
      <c r="AB1373" s="1459">
        <f t="shared" si="928"/>
        <v>0</v>
      </c>
      <c r="AC1373" s="1460" t="str">
        <f t="shared" si="929"/>
        <v>-</v>
      </c>
      <c r="AD1373" s="1459">
        <f t="shared" si="930"/>
        <v>0</v>
      </c>
      <c r="AE1373" s="964" t="str">
        <f t="shared" si="931"/>
        <v/>
      </c>
      <c r="AF1373" s="964" t="str">
        <f t="shared" si="932"/>
        <v/>
      </c>
      <c r="AG1373" s="964" t="str">
        <f t="shared" si="933"/>
        <v/>
      </c>
      <c r="AH1373" s="964" t="str">
        <f t="shared" si="934"/>
        <v/>
      </c>
      <c r="AI1373" s="964" t="str">
        <f t="shared" si="935"/>
        <v/>
      </c>
      <c r="AJ1373" s="964"/>
      <c r="AK1373" s="964"/>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s="1396"/>
      <c r="CB1373" s="1396"/>
      <c r="CC1373"/>
      <c r="CD1373"/>
      <c r="CE1373"/>
    </row>
    <row r="1374" spans="1:83" ht="13.15" customHeight="1" outlineLevel="2" x14ac:dyDescent="0.2">
      <c r="A1374"/>
      <c r="B1374" s="1"/>
      <c r="C1374"/>
      <c r="D1374"/>
      <c r="E1374"/>
      <c r="F1374"/>
      <c r="G1374" s="1"/>
      <c r="H1374" s="1"/>
      <c r="I1374"/>
      <c r="J1374"/>
      <c r="K1374"/>
      <c r="L1374"/>
      <c r="M1374"/>
      <c r="N1374"/>
      <c r="O1374"/>
      <c r="P1374"/>
      <c r="Q1374"/>
      <c r="R1374" s="558" t="s">
        <v>1730</v>
      </c>
      <c r="S1374" s="83"/>
      <c r="T1374" s="56"/>
      <c r="U1374" s="955"/>
      <c r="V1374" s="43" t="str">
        <f t="shared" si="936"/>
        <v>P</v>
      </c>
      <c r="W1374" s="10"/>
      <c r="X1374" s="45" t="s">
        <v>769</v>
      </c>
      <c r="Y1374" s="10"/>
      <c r="Z1374" s="46" t="str">
        <f t="shared" si="937"/>
        <v>F</v>
      </c>
      <c r="AA1374" s="123"/>
      <c r="AB1374" s="1459">
        <f t="shared" si="928"/>
        <v>0</v>
      </c>
      <c r="AC1374" s="1460" t="str">
        <f t="shared" si="929"/>
        <v>-</v>
      </c>
      <c r="AD1374" s="1459">
        <f t="shared" si="930"/>
        <v>0</v>
      </c>
      <c r="AE1374" s="964" t="str">
        <f t="shared" si="931"/>
        <v/>
      </c>
      <c r="AF1374" s="964" t="str">
        <f t="shared" si="932"/>
        <v/>
      </c>
      <c r="AG1374" s="964" t="str">
        <f t="shared" si="933"/>
        <v/>
      </c>
      <c r="AH1374" s="964" t="str">
        <f t="shared" si="934"/>
        <v/>
      </c>
      <c r="AI1374" s="964" t="str">
        <f t="shared" si="935"/>
        <v/>
      </c>
      <c r="AJ1374" s="964"/>
      <c r="AK1374" s="96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s="1396"/>
      <c r="CB1374" s="1396"/>
      <c r="CC1374"/>
      <c r="CD1374"/>
      <c r="CE1374"/>
    </row>
    <row r="1375" spans="1:83" ht="13.15" customHeight="1" outlineLevel="2" x14ac:dyDescent="0.2">
      <c r="A1375"/>
      <c r="B1375" s="1"/>
      <c r="C1375"/>
      <c r="D1375"/>
      <c r="E1375"/>
      <c r="F1375"/>
      <c r="G1375" s="1"/>
      <c r="H1375" s="1"/>
      <c r="I1375"/>
      <c r="J1375"/>
      <c r="K1375"/>
      <c r="L1375"/>
      <c r="M1375"/>
      <c r="N1375"/>
      <c r="O1375"/>
      <c r="P1375"/>
      <c r="Q1375"/>
      <c r="R1375" s="558" t="s">
        <v>1730</v>
      </c>
      <c r="S1375" s="83"/>
      <c r="T1375" s="56"/>
      <c r="U1375" s="955"/>
      <c r="V1375" s="43" t="str">
        <f t="shared" si="936"/>
        <v>N</v>
      </c>
      <c r="W1375" s="10"/>
      <c r="X1375" s="45" t="s">
        <v>769</v>
      </c>
      <c r="Y1375" s="10"/>
      <c r="Z1375" s="46" t="str">
        <f t="shared" si="937"/>
        <v>H</v>
      </c>
      <c r="AA1375" s="123"/>
      <c r="AB1375" s="1459">
        <f t="shared" si="928"/>
        <v>0</v>
      </c>
      <c r="AC1375" s="1460" t="str">
        <f t="shared" si="929"/>
        <v>-</v>
      </c>
      <c r="AD1375" s="1459">
        <f t="shared" si="930"/>
        <v>0</v>
      </c>
      <c r="AE1375" s="964" t="str">
        <f t="shared" si="931"/>
        <v/>
      </c>
      <c r="AF1375" s="964" t="str">
        <f t="shared" si="932"/>
        <v/>
      </c>
      <c r="AG1375" s="964" t="str">
        <f t="shared" si="933"/>
        <v/>
      </c>
      <c r="AH1375" s="964" t="str">
        <f t="shared" si="934"/>
        <v/>
      </c>
      <c r="AI1375" s="964" t="str">
        <f t="shared" si="935"/>
        <v/>
      </c>
      <c r="AJ1375" s="964"/>
      <c r="AK1375" s="964"/>
      <c r="AL1375"/>
      <c r="AM1375"/>
      <c r="AN1375"/>
      <c r="AO1375"/>
      <c r="AP1375"/>
      <c r="AQ1375"/>
      <c r="AR1375"/>
      <c r="AS1375"/>
      <c r="AT1375"/>
      <c r="AU1375"/>
      <c r="AV1375"/>
      <c r="AW1375"/>
      <c r="AX1375" s="9"/>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s="1396"/>
      <c r="CB1375" s="1396"/>
      <c r="CC1375"/>
      <c r="CD1375"/>
      <c r="CE1375"/>
    </row>
    <row r="1376" spans="1:83" ht="13.9" customHeight="1" outlineLevel="2" thickBot="1" x14ac:dyDescent="0.25">
      <c r="A1376"/>
      <c r="B1376" s="1"/>
      <c r="C1376"/>
      <c r="D1376"/>
      <c r="E1376"/>
      <c r="F1376"/>
      <c r="G1376" s="1"/>
      <c r="H1376" s="1"/>
      <c r="I1376"/>
      <c r="J1376"/>
      <c r="K1376"/>
      <c r="L1376"/>
      <c r="M1376"/>
      <c r="N1376"/>
      <c r="O1376"/>
      <c r="P1376"/>
      <c r="Q1376"/>
      <c r="R1376" s="558" t="s">
        <v>1730</v>
      </c>
      <c r="S1376" s="956"/>
      <c r="T1376" s="58"/>
      <c r="U1376" s="957"/>
      <c r="V1376" s="958" t="str">
        <f>V1365</f>
        <v>L</v>
      </c>
      <c r="W1376" s="10"/>
      <c r="X1376" s="45" t="s">
        <v>769</v>
      </c>
      <c r="Y1376" s="10"/>
      <c r="Z1376" s="46" t="str">
        <f>V1364</f>
        <v>J</v>
      </c>
      <c r="AA1376" s="123"/>
      <c r="AB1376" s="1459">
        <f t="shared" si="928"/>
        <v>0</v>
      </c>
      <c r="AC1376" s="1460" t="str">
        <f t="shared" si="929"/>
        <v>-</v>
      </c>
      <c r="AD1376" s="1459">
        <f t="shared" si="930"/>
        <v>0</v>
      </c>
      <c r="AE1376" s="964" t="str">
        <f t="shared" si="931"/>
        <v/>
      </c>
      <c r="AF1376" s="964" t="str">
        <f t="shared" si="932"/>
        <v/>
      </c>
      <c r="AG1376" s="964" t="str">
        <f t="shared" si="933"/>
        <v/>
      </c>
      <c r="AH1376" s="964" t="str">
        <f t="shared" si="934"/>
        <v/>
      </c>
      <c r="AI1376" s="964" t="str">
        <f t="shared" si="935"/>
        <v/>
      </c>
      <c r="AJ1376" s="964"/>
      <c r="AK1376" s="964"/>
      <c r="AL1376"/>
      <c r="AM1376"/>
      <c r="AN1376"/>
      <c r="AO1376"/>
      <c r="AP1376"/>
      <c r="AQ1376"/>
      <c r="AR1376"/>
      <c r="AS1376"/>
      <c r="AT1376"/>
      <c r="AU1376"/>
      <c r="AV1376"/>
      <c r="AW1376" s="9"/>
      <c r="AX1376" s="9"/>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s="1396"/>
      <c r="CB1376" s="1396"/>
      <c r="CC1376"/>
      <c r="CD1376"/>
      <c r="CE1376"/>
    </row>
    <row r="1377" spans="1:83" ht="13.5" outlineLevel="1" thickBot="1" x14ac:dyDescent="0.25">
      <c r="A1377"/>
      <c r="B1377" s="1"/>
      <c r="C1377" s="1"/>
      <c r="D1377" s="76"/>
      <c r="E1377" s="76"/>
      <c r="F1377" s="76"/>
      <c r="G1377" s="9"/>
      <c r="H1377" s="9"/>
      <c r="I1377" s="1"/>
      <c r="J1377"/>
      <c r="K1377"/>
      <c r="L1377"/>
      <c r="M1377"/>
      <c r="N1377"/>
      <c r="O1377"/>
      <c r="P1377" s="89"/>
      <c r="Q1377"/>
      <c r="R1377" s="1"/>
      <c r="S1377" s="993">
        <f>S1366+1</f>
        <v>6</v>
      </c>
      <c r="T1377" s="961"/>
      <c r="U1377" s="961"/>
      <c r="V1377" s="961"/>
      <c r="W1377" s="960"/>
      <c r="X1377" s="960"/>
      <c r="Y1377" s="960"/>
      <c r="Z1377" s="962"/>
      <c r="AA1377" s="123"/>
      <c r="AB1377" s="963"/>
      <c r="AC1377" s="963"/>
      <c r="AD1377" s="963"/>
      <c r="AE1377" s="964"/>
      <c r="AF1377" s="964"/>
      <c r="AG1377" s="964"/>
      <c r="AH1377" s="964"/>
      <c r="AI1377" s="964"/>
      <c r="AJ1377" s="964"/>
      <c r="AK1377" s="964"/>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s="1396"/>
      <c r="CB1377" s="1396"/>
      <c r="CC1377"/>
      <c r="CD1377"/>
      <c r="CE1377"/>
    </row>
    <row r="1378" spans="1:83" ht="13.9" customHeight="1" outlineLevel="2" thickBot="1" x14ac:dyDescent="0.25">
      <c r="A1378"/>
      <c r="B1378" s="1"/>
      <c r="C1378"/>
      <c r="D1378"/>
      <c r="E1378"/>
      <c r="F1378"/>
      <c r="G1378" s="1"/>
      <c r="H1378" s="1"/>
      <c r="I1378"/>
      <c r="J1378"/>
      <c r="K1378"/>
      <c r="L1378"/>
      <c r="M1378"/>
      <c r="N1378"/>
      <c r="O1378"/>
      <c r="P1378"/>
      <c r="Q1378"/>
      <c r="S1378" s="22" t="str">
        <f>N_Heure</f>
        <v>Heure</v>
      </c>
      <c r="T1378" s="22" t="str">
        <f>N_Table</f>
        <v>Table</v>
      </c>
      <c r="U1378" s="22" t="str">
        <f>N_Arbitre</f>
        <v>Arbitre</v>
      </c>
      <c r="V1378" s="293" t="str">
        <f>N_Matches</f>
        <v>Matches</v>
      </c>
      <c r="W1378" s="294"/>
      <c r="X1378" s="294"/>
      <c r="Y1378" s="294"/>
      <c r="Z1378" s="295"/>
      <c r="AA1378" s="8"/>
      <c r="AB1378" s="967"/>
      <c r="AC1378" s="967"/>
      <c r="AD1378" s="967"/>
      <c r="AE1378" s="964"/>
      <c r="AF1378" s="964"/>
      <c r="AG1378" s="964"/>
      <c r="AH1378" s="964"/>
      <c r="AI1378" s="964"/>
      <c r="AJ1378" s="964"/>
      <c r="AK1378" s="964"/>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s="1396"/>
      <c r="CB1378" s="1396"/>
      <c r="CC1378"/>
      <c r="CD1378"/>
      <c r="CE1378"/>
    </row>
    <row r="1379" spans="1:83" ht="13.15" customHeight="1" outlineLevel="2" x14ac:dyDescent="0.2">
      <c r="A1379"/>
      <c r="B1379" s="1"/>
      <c r="C1379"/>
      <c r="D1379"/>
      <c r="E1379"/>
      <c r="F1379"/>
      <c r="G1379" s="1"/>
      <c r="H1379" s="1"/>
      <c r="I1379"/>
      <c r="J1379"/>
      <c r="K1379"/>
      <c r="L1379"/>
      <c r="M1379"/>
      <c r="N1379"/>
      <c r="O1379"/>
      <c r="P1379"/>
      <c r="Q1379"/>
      <c r="R1379" s="558" t="s">
        <v>1731</v>
      </c>
      <c r="S1379" s="65"/>
      <c r="T1379" s="953"/>
      <c r="U1379" s="954"/>
      <c r="V1379" s="34" t="str">
        <f>V1369</f>
        <v>K</v>
      </c>
      <c r="W1379" s="148"/>
      <c r="X1379" s="35" t="s">
        <v>769</v>
      </c>
      <c r="Y1379" s="148"/>
      <c r="Z1379" s="36" t="str">
        <f>V1368</f>
        <v>A</v>
      </c>
      <c r="AA1379" s="123"/>
      <c r="AB1379" s="1459">
        <f t="shared" ref="AB1379:AB1387" si="938">IF(MaxScore,MaxGoals(W1379,Y1379,MaxGoalsValue),IF(W1379="","",W1379))</f>
        <v>0</v>
      </c>
      <c r="AC1379" s="1460" t="str">
        <f t="shared" ref="AC1379:AC1387" si="939">IF(MaxScore,"-",IF(W1379="","","-"))</f>
        <v>-</v>
      </c>
      <c r="AD1379" s="1459">
        <f t="shared" ref="AD1379:AD1387" si="940">IF(MaxScore,MaxGoals(Y1379,W1379,MaxGoalsValue),IF(Y1379="","",Y1379))</f>
        <v>0</v>
      </c>
      <c r="AE1379" s="964" t="str">
        <f t="shared" ref="AE1379:AE1387" si="941">IF(W1379="","",IF(W1379&gt;Y1379,V1379,IF(W1379=Y1379,"",Z1379)))</f>
        <v/>
      </c>
      <c r="AF1379" s="964" t="str">
        <f t="shared" ref="AF1379:AF1387" si="942">IF(W1379="","",IF(W1379=Y1379,V1379,""))</f>
        <v/>
      </c>
      <c r="AG1379" s="964" t="str">
        <f t="shared" ref="AG1379:AG1387" si="943">IF(W1379="","",IF(W1379=Y1379,Z1379,""))</f>
        <v/>
      </c>
      <c r="AH1379" s="964" t="str">
        <f t="shared" ref="AH1379:AH1387" si="944">IF(W1379="","",IF(W1379&lt;Y1379,V1379,IF(W1379=Y1379,"",Z1379)))</f>
        <v/>
      </c>
      <c r="AI1379" s="964" t="str">
        <f t="shared" ref="AI1379:AI1387" si="945">CONCATENATE(AE1379,AH1379)</f>
        <v/>
      </c>
      <c r="AJ1379" s="964"/>
      <c r="AK1379" s="964"/>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s="1396"/>
      <c r="CB1379" s="1396"/>
      <c r="CC1379"/>
      <c r="CD1379"/>
      <c r="CE1379"/>
    </row>
    <row r="1380" spans="1:83" ht="13.15" customHeight="1" outlineLevel="2" x14ac:dyDescent="0.2">
      <c r="A1380"/>
      <c r="B1380" s="1"/>
      <c r="C1380"/>
      <c r="D1380"/>
      <c r="E1380"/>
      <c r="F1380"/>
      <c r="G1380" s="1"/>
      <c r="H1380" s="1"/>
      <c r="I1380"/>
      <c r="J1380"/>
      <c r="K1380"/>
      <c r="L1380"/>
      <c r="M1380"/>
      <c r="N1380"/>
      <c r="O1380"/>
      <c r="P1380"/>
      <c r="Q1380"/>
      <c r="R1380" s="558" t="s">
        <v>1731</v>
      </c>
      <c r="S1380" s="83"/>
      <c r="T1380" s="56"/>
      <c r="U1380" s="955"/>
      <c r="V1380" s="43" t="str">
        <f t="shared" ref="V1380:V1387" si="946">Z1368</f>
        <v>I</v>
      </c>
      <c r="W1380" s="10"/>
      <c r="X1380" s="45" t="s">
        <v>769</v>
      </c>
      <c r="Y1380" s="10"/>
      <c r="Z1380" s="46" t="str">
        <f t="shared" ref="Z1380:Z1386" si="947">V1370</f>
        <v>M</v>
      </c>
      <c r="AA1380" s="123"/>
      <c r="AB1380" s="1459">
        <f t="shared" si="938"/>
        <v>0</v>
      </c>
      <c r="AC1380" s="1460" t="str">
        <f t="shared" si="939"/>
        <v>-</v>
      </c>
      <c r="AD1380" s="1459">
        <f t="shared" si="940"/>
        <v>0</v>
      </c>
      <c r="AE1380" s="964" t="str">
        <f t="shared" si="941"/>
        <v/>
      </c>
      <c r="AF1380" s="964" t="str">
        <f t="shared" si="942"/>
        <v/>
      </c>
      <c r="AG1380" s="964" t="str">
        <f t="shared" si="943"/>
        <v/>
      </c>
      <c r="AH1380" s="964" t="str">
        <f t="shared" si="944"/>
        <v/>
      </c>
      <c r="AI1380" s="964" t="str">
        <f t="shared" si="945"/>
        <v/>
      </c>
      <c r="AJ1380" s="964"/>
      <c r="AK1380" s="964"/>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s="1396"/>
      <c r="CB1380" s="1396"/>
      <c r="CC1380"/>
      <c r="CD1380"/>
      <c r="CE1380"/>
    </row>
    <row r="1381" spans="1:83" ht="13.15" customHeight="1" outlineLevel="2" x14ac:dyDescent="0.2">
      <c r="A1381"/>
      <c r="B1381" s="1"/>
      <c r="C1381"/>
      <c r="D1381"/>
      <c r="E1381"/>
      <c r="F1381"/>
      <c r="G1381" s="1"/>
      <c r="H1381" s="1"/>
      <c r="I1381"/>
      <c r="J1381"/>
      <c r="K1381"/>
      <c r="L1381"/>
      <c r="M1381"/>
      <c r="N1381"/>
      <c r="O1381"/>
      <c r="P1381"/>
      <c r="Q1381"/>
      <c r="R1381" s="558" t="s">
        <v>1731</v>
      </c>
      <c r="S1381" s="83"/>
      <c r="T1381" s="56"/>
      <c r="U1381" s="955"/>
      <c r="V1381" s="43" t="str">
        <f t="shared" si="946"/>
        <v>G</v>
      </c>
      <c r="W1381" s="10"/>
      <c r="X1381" s="45" t="s">
        <v>769</v>
      </c>
      <c r="Y1381" s="10"/>
      <c r="Z1381" s="46" t="str">
        <f t="shared" si="947"/>
        <v>O</v>
      </c>
      <c r="AA1381" s="123"/>
      <c r="AB1381" s="1459">
        <f t="shared" si="938"/>
        <v>0</v>
      </c>
      <c r="AC1381" s="1460" t="str">
        <f t="shared" si="939"/>
        <v>-</v>
      </c>
      <c r="AD1381" s="1459">
        <f t="shared" si="940"/>
        <v>0</v>
      </c>
      <c r="AE1381" s="964" t="str">
        <f t="shared" si="941"/>
        <v/>
      </c>
      <c r="AF1381" s="964" t="str">
        <f t="shared" si="942"/>
        <v/>
      </c>
      <c r="AG1381" s="964" t="str">
        <f t="shared" si="943"/>
        <v/>
      </c>
      <c r="AH1381" s="964" t="str">
        <f t="shared" si="944"/>
        <v/>
      </c>
      <c r="AI1381" s="964" t="str">
        <f t="shared" si="945"/>
        <v/>
      </c>
      <c r="AJ1381" s="964"/>
      <c r="AK1381" s="964"/>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s="1396"/>
      <c r="CB1381" s="1396"/>
      <c r="CC1381"/>
      <c r="CD1381"/>
      <c r="CE1381"/>
    </row>
    <row r="1382" spans="1:83" ht="13.15" customHeight="1" outlineLevel="2" x14ac:dyDescent="0.2">
      <c r="A1382"/>
      <c r="B1382" s="1"/>
      <c r="C1382"/>
      <c r="D1382"/>
      <c r="E1382"/>
      <c r="F1382"/>
      <c r="G1382" s="1"/>
      <c r="H1382" s="1"/>
      <c r="I1382"/>
      <c r="J1382"/>
      <c r="K1382"/>
      <c r="L1382"/>
      <c r="M1382"/>
      <c r="N1382"/>
      <c r="O1382"/>
      <c r="P1382"/>
      <c r="Q1382"/>
      <c r="R1382" s="558" t="s">
        <v>1731</v>
      </c>
      <c r="S1382" s="83"/>
      <c r="T1382" s="56"/>
      <c r="U1382" s="955"/>
      <c r="V1382" s="43" t="str">
        <f t="shared" si="946"/>
        <v>E</v>
      </c>
      <c r="W1382" s="10"/>
      <c r="X1382" s="45" t="s">
        <v>769</v>
      </c>
      <c r="Y1382" s="10"/>
      <c r="Z1382" s="46" t="str">
        <f t="shared" si="947"/>
        <v>Q</v>
      </c>
      <c r="AA1382" s="123"/>
      <c r="AB1382" s="1459">
        <f t="shared" si="938"/>
        <v>0</v>
      </c>
      <c r="AC1382" s="1460" t="str">
        <f t="shared" si="939"/>
        <v>-</v>
      </c>
      <c r="AD1382" s="1459">
        <f t="shared" si="940"/>
        <v>0</v>
      </c>
      <c r="AE1382" s="964" t="str">
        <f t="shared" si="941"/>
        <v/>
      </c>
      <c r="AF1382" s="964" t="str">
        <f t="shared" si="942"/>
        <v/>
      </c>
      <c r="AG1382" s="964" t="str">
        <f t="shared" si="943"/>
        <v/>
      </c>
      <c r="AH1382" s="964" t="str">
        <f t="shared" si="944"/>
        <v/>
      </c>
      <c r="AI1382" s="964" t="str">
        <f t="shared" si="945"/>
        <v/>
      </c>
      <c r="AJ1382" s="964"/>
      <c r="AK1382" s="964"/>
      <c r="AL1382"/>
      <c r="AM1382"/>
      <c r="AN1382"/>
      <c r="AO1382"/>
      <c r="AP1382"/>
      <c r="AQ1382"/>
      <c r="AR1382"/>
      <c r="AS1382"/>
      <c r="AT1382"/>
      <c r="AU1382"/>
      <c r="AV1382"/>
      <c r="AW1382"/>
      <c r="AX1382" s="9"/>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s="1396"/>
      <c r="CB1382" s="1396"/>
      <c r="CC1382"/>
      <c r="CD1382"/>
      <c r="CE1382"/>
    </row>
    <row r="1383" spans="1:83" ht="13.15" customHeight="1" outlineLevel="2" x14ac:dyDescent="0.2">
      <c r="A1383"/>
      <c r="B1383" s="1"/>
      <c r="C1383"/>
      <c r="D1383"/>
      <c r="E1383"/>
      <c r="F1383"/>
      <c r="G1383" s="1"/>
      <c r="H1383" s="1"/>
      <c r="I1383"/>
      <c r="J1383"/>
      <c r="K1383"/>
      <c r="L1383"/>
      <c r="M1383"/>
      <c r="N1383"/>
      <c r="O1383"/>
      <c r="P1383"/>
      <c r="Q1383"/>
      <c r="R1383" s="558" t="s">
        <v>1731</v>
      </c>
      <c r="S1383" s="83"/>
      <c r="T1383" s="56"/>
      <c r="U1383" s="955"/>
      <c r="V1383" s="43" t="str">
        <f t="shared" si="946"/>
        <v>C</v>
      </c>
      <c r="W1383" s="10"/>
      <c r="X1383" s="45" t="s">
        <v>769</v>
      </c>
      <c r="Y1383" s="10"/>
      <c r="Z1383" s="46" t="str">
        <f t="shared" si="947"/>
        <v>R</v>
      </c>
      <c r="AA1383" s="123"/>
      <c r="AB1383" s="1459">
        <f t="shared" si="938"/>
        <v>0</v>
      </c>
      <c r="AC1383" s="1460" t="str">
        <f t="shared" si="939"/>
        <v>-</v>
      </c>
      <c r="AD1383" s="1459">
        <f t="shared" si="940"/>
        <v>0</v>
      </c>
      <c r="AE1383" s="964" t="str">
        <f t="shared" si="941"/>
        <v/>
      </c>
      <c r="AF1383" s="964" t="str">
        <f t="shared" si="942"/>
        <v/>
      </c>
      <c r="AG1383" s="964" t="str">
        <f t="shared" si="943"/>
        <v/>
      </c>
      <c r="AH1383" s="964" t="str">
        <f t="shared" si="944"/>
        <v/>
      </c>
      <c r="AI1383" s="964" t="str">
        <f t="shared" si="945"/>
        <v/>
      </c>
      <c r="AJ1383" s="964"/>
      <c r="AK1383" s="964"/>
      <c r="AL1383"/>
      <c r="AM1383"/>
      <c r="AN1383"/>
      <c r="AO1383"/>
      <c r="AP1383"/>
      <c r="AQ1383"/>
      <c r="AR1383"/>
      <c r="AS1383"/>
      <c r="AT1383"/>
      <c r="AU1383"/>
      <c r="AV1383"/>
      <c r="AW1383" s="9"/>
      <c r="AX1383" s="9"/>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s="1396"/>
      <c r="CB1383" s="1396"/>
      <c r="CC1383"/>
      <c r="CD1383"/>
      <c r="CE1383"/>
    </row>
    <row r="1384" spans="1:83" ht="13.15" customHeight="1" outlineLevel="2" x14ac:dyDescent="0.2">
      <c r="A1384"/>
      <c r="B1384" s="1"/>
      <c r="C1384"/>
      <c r="D1384"/>
      <c r="E1384"/>
      <c r="F1384"/>
      <c r="G1384" s="1"/>
      <c r="H1384" s="1"/>
      <c r="I1384"/>
      <c r="J1384"/>
      <c r="K1384"/>
      <c r="L1384"/>
      <c r="M1384"/>
      <c r="N1384"/>
      <c r="O1384"/>
      <c r="P1384"/>
      <c r="Q1384"/>
      <c r="R1384" s="558" t="s">
        <v>1731</v>
      </c>
      <c r="S1384" s="83"/>
      <c r="T1384" s="56"/>
      <c r="U1384" s="955"/>
      <c r="V1384" s="43" t="str">
        <f t="shared" si="946"/>
        <v>B</v>
      </c>
      <c r="W1384" s="10"/>
      <c r="X1384" s="45" t="s">
        <v>769</v>
      </c>
      <c r="Y1384" s="10"/>
      <c r="Z1384" s="46" t="str">
        <f t="shared" si="947"/>
        <v>P</v>
      </c>
      <c r="AA1384" s="123"/>
      <c r="AB1384" s="1459">
        <f t="shared" si="938"/>
        <v>0</v>
      </c>
      <c r="AC1384" s="1460" t="str">
        <f t="shared" si="939"/>
        <v>-</v>
      </c>
      <c r="AD1384" s="1459">
        <f t="shared" si="940"/>
        <v>0</v>
      </c>
      <c r="AE1384" s="964" t="str">
        <f t="shared" si="941"/>
        <v/>
      </c>
      <c r="AF1384" s="964" t="str">
        <f t="shared" si="942"/>
        <v/>
      </c>
      <c r="AG1384" s="964" t="str">
        <f t="shared" si="943"/>
        <v/>
      </c>
      <c r="AH1384" s="964" t="str">
        <f t="shared" si="944"/>
        <v/>
      </c>
      <c r="AI1384" s="964" t="str">
        <f t="shared" si="945"/>
        <v/>
      </c>
      <c r="AJ1384" s="964"/>
      <c r="AK1384" s="96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s="1396"/>
      <c r="CB1384" s="1396"/>
      <c r="CC1384"/>
      <c r="CD1384"/>
      <c r="CE1384"/>
    </row>
    <row r="1385" spans="1:83" ht="13.15" customHeight="1" outlineLevel="2" x14ac:dyDescent="0.2">
      <c r="A1385"/>
      <c r="B1385" s="1"/>
      <c r="C1385"/>
      <c r="D1385"/>
      <c r="E1385"/>
      <c r="F1385"/>
      <c r="G1385" s="1"/>
      <c r="H1385" s="1"/>
      <c r="I1385"/>
      <c r="J1385"/>
      <c r="K1385"/>
      <c r="L1385"/>
      <c r="M1385"/>
      <c r="N1385"/>
      <c r="O1385"/>
      <c r="P1385"/>
      <c r="Q1385"/>
      <c r="R1385" s="558" t="s">
        <v>1731</v>
      </c>
      <c r="S1385" s="83"/>
      <c r="T1385" s="56"/>
      <c r="U1385" s="955"/>
      <c r="V1385" s="43" t="str">
        <f t="shared" si="946"/>
        <v>D</v>
      </c>
      <c r="W1385" s="10"/>
      <c r="X1385" s="45" t="s">
        <v>769</v>
      </c>
      <c r="Y1385" s="10"/>
      <c r="Z1385" s="46" t="str">
        <f t="shared" si="947"/>
        <v>N</v>
      </c>
      <c r="AA1385" s="123"/>
      <c r="AB1385" s="1459">
        <f t="shared" si="938"/>
        <v>0</v>
      </c>
      <c r="AC1385" s="1460" t="str">
        <f t="shared" si="939"/>
        <v>-</v>
      </c>
      <c r="AD1385" s="1459">
        <f t="shared" si="940"/>
        <v>0</v>
      </c>
      <c r="AE1385" s="964" t="str">
        <f t="shared" si="941"/>
        <v/>
      </c>
      <c r="AF1385" s="964" t="str">
        <f t="shared" si="942"/>
        <v/>
      </c>
      <c r="AG1385" s="964" t="str">
        <f t="shared" si="943"/>
        <v/>
      </c>
      <c r="AH1385" s="964" t="str">
        <f t="shared" si="944"/>
        <v/>
      </c>
      <c r="AI1385" s="964" t="str">
        <f t="shared" si="945"/>
        <v/>
      </c>
      <c r="AJ1385" s="964"/>
      <c r="AK1385" s="964"/>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s="1396"/>
      <c r="CB1385" s="1396"/>
      <c r="CC1385"/>
      <c r="CD1385"/>
      <c r="CE1385"/>
    </row>
    <row r="1386" spans="1:83" ht="13.15" customHeight="1" outlineLevel="2" x14ac:dyDescent="0.2">
      <c r="A1386"/>
      <c r="B1386" s="1"/>
      <c r="C1386"/>
      <c r="D1386"/>
      <c r="E1386"/>
      <c r="F1386"/>
      <c r="G1386" s="1"/>
      <c r="H1386" s="1"/>
      <c r="I1386"/>
      <c r="J1386"/>
      <c r="K1386"/>
      <c r="L1386"/>
      <c r="M1386"/>
      <c r="N1386"/>
      <c r="O1386"/>
      <c r="P1386"/>
      <c r="Q1386"/>
      <c r="R1386" s="558" t="s">
        <v>1731</v>
      </c>
      <c r="S1386" s="83"/>
      <c r="T1386" s="56"/>
      <c r="U1386" s="955"/>
      <c r="V1386" s="43" t="str">
        <f t="shared" si="946"/>
        <v>F</v>
      </c>
      <c r="W1386" s="10"/>
      <c r="X1386" s="45" t="s">
        <v>769</v>
      </c>
      <c r="Y1386" s="10"/>
      <c r="Z1386" s="46" t="str">
        <f t="shared" si="947"/>
        <v>L</v>
      </c>
      <c r="AA1386" s="123"/>
      <c r="AB1386" s="1459">
        <f t="shared" si="938"/>
        <v>0</v>
      </c>
      <c r="AC1386" s="1460" t="str">
        <f t="shared" si="939"/>
        <v>-</v>
      </c>
      <c r="AD1386" s="1459">
        <f t="shared" si="940"/>
        <v>0</v>
      </c>
      <c r="AE1386" s="964" t="str">
        <f t="shared" si="941"/>
        <v/>
      </c>
      <c r="AF1386" s="964" t="str">
        <f t="shared" si="942"/>
        <v/>
      </c>
      <c r="AG1386" s="964" t="str">
        <f t="shared" si="943"/>
        <v/>
      </c>
      <c r="AH1386" s="964" t="str">
        <f t="shared" si="944"/>
        <v/>
      </c>
      <c r="AI1386" s="964" t="str">
        <f t="shared" si="945"/>
        <v/>
      </c>
      <c r="AJ1386" s="964"/>
      <c r="AK1386" s="964"/>
      <c r="AL1386"/>
      <c r="AM1386"/>
      <c r="AN1386"/>
      <c r="AO1386"/>
      <c r="AP1386"/>
      <c r="AQ1386"/>
      <c r="AR1386"/>
      <c r="AS1386"/>
      <c r="AT1386"/>
      <c r="AU1386"/>
      <c r="AV1386"/>
      <c r="AW1386"/>
      <c r="AX1386" s="9"/>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s="1396"/>
      <c r="CB1386" s="1396"/>
      <c r="CC1386"/>
      <c r="CD1386"/>
      <c r="CE1386"/>
    </row>
    <row r="1387" spans="1:83" ht="13.9" customHeight="1" outlineLevel="2" thickBot="1" x14ac:dyDescent="0.25">
      <c r="A1387"/>
      <c r="B1387" s="1"/>
      <c r="C1387"/>
      <c r="D1387"/>
      <c r="E1387"/>
      <c r="F1387"/>
      <c r="G1387" s="1"/>
      <c r="H1387" s="1"/>
      <c r="I1387"/>
      <c r="J1387"/>
      <c r="K1387"/>
      <c r="L1387"/>
      <c r="M1387"/>
      <c r="N1387"/>
      <c r="O1387"/>
      <c r="P1387"/>
      <c r="Q1387"/>
      <c r="R1387" s="558" t="s">
        <v>1731</v>
      </c>
      <c r="S1387" s="956"/>
      <c r="T1387" s="58"/>
      <c r="U1387" s="957"/>
      <c r="V1387" s="43" t="str">
        <f t="shared" si="946"/>
        <v>H</v>
      </c>
      <c r="W1387" s="10"/>
      <c r="X1387" s="45" t="s">
        <v>769</v>
      </c>
      <c r="Y1387" s="10"/>
      <c r="Z1387" s="46" t="str">
        <f>Z1376</f>
        <v>J</v>
      </c>
      <c r="AA1387" s="123"/>
      <c r="AB1387" s="1459">
        <f t="shared" si="938"/>
        <v>0</v>
      </c>
      <c r="AC1387" s="1460" t="str">
        <f t="shared" si="939"/>
        <v>-</v>
      </c>
      <c r="AD1387" s="1459">
        <f t="shared" si="940"/>
        <v>0</v>
      </c>
      <c r="AE1387" s="964" t="str">
        <f t="shared" si="941"/>
        <v/>
      </c>
      <c r="AF1387" s="964" t="str">
        <f t="shared" si="942"/>
        <v/>
      </c>
      <c r="AG1387" s="964" t="str">
        <f t="shared" si="943"/>
        <v/>
      </c>
      <c r="AH1387" s="964" t="str">
        <f t="shared" si="944"/>
        <v/>
      </c>
      <c r="AI1387" s="964" t="str">
        <f t="shared" si="945"/>
        <v/>
      </c>
      <c r="AJ1387" s="964"/>
      <c r="AK1387" s="964"/>
      <c r="AL1387"/>
      <c r="AM1387"/>
      <c r="AN1387"/>
      <c r="AO1387"/>
      <c r="AP1387"/>
      <c r="AQ1387"/>
      <c r="AR1387"/>
      <c r="AS1387"/>
      <c r="AT1387"/>
      <c r="AU1387"/>
      <c r="AV1387"/>
      <c r="AW1387" s="9"/>
      <c r="AX1387" s="9"/>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s="1396"/>
      <c r="CB1387" s="1396"/>
      <c r="CC1387"/>
      <c r="CD1387"/>
      <c r="CE1387"/>
    </row>
    <row r="1388" spans="1:83" ht="13.5" outlineLevel="1" thickBot="1" x14ac:dyDescent="0.25">
      <c r="A1388"/>
      <c r="B1388" s="1"/>
      <c r="C1388" s="1"/>
      <c r="D1388" s="76"/>
      <c r="E1388" s="76"/>
      <c r="F1388" s="76"/>
      <c r="G1388" s="9"/>
      <c r="H1388" s="9"/>
      <c r="I1388" s="1"/>
      <c r="J1388"/>
      <c r="K1388"/>
      <c r="L1388"/>
      <c r="M1388"/>
      <c r="N1388"/>
      <c r="O1388"/>
      <c r="P1388" s="89"/>
      <c r="Q1388"/>
      <c r="R1388" s="1"/>
      <c r="S1388" s="993">
        <f>S1377+1</f>
        <v>7</v>
      </c>
      <c r="T1388" s="961"/>
      <c r="U1388" s="961"/>
      <c r="V1388" s="961"/>
      <c r="W1388" s="960"/>
      <c r="X1388" s="960"/>
      <c r="Y1388" s="960"/>
      <c r="Z1388" s="962"/>
      <c r="AA1388" s="123"/>
      <c r="AB1388" s="963"/>
      <c r="AC1388" s="963"/>
      <c r="AD1388" s="963"/>
      <c r="AE1388" s="964"/>
      <c r="AF1388" s="964"/>
      <c r="AG1388" s="964"/>
      <c r="AH1388" s="964"/>
      <c r="AI1388" s="964"/>
      <c r="AJ1388" s="964"/>
      <c r="AK1388" s="964"/>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s="1396"/>
      <c r="CB1388" s="1396"/>
      <c r="CC1388"/>
      <c r="CD1388"/>
      <c r="CE1388"/>
    </row>
    <row r="1389" spans="1:83" ht="13.9" customHeight="1" outlineLevel="2" thickBot="1" x14ac:dyDescent="0.25">
      <c r="A1389"/>
      <c r="B1389" s="1"/>
      <c r="C1389"/>
      <c r="D1389"/>
      <c r="E1389"/>
      <c r="F1389"/>
      <c r="G1389" s="1"/>
      <c r="H1389" s="1"/>
      <c r="I1389"/>
      <c r="J1389"/>
      <c r="K1389"/>
      <c r="L1389"/>
      <c r="M1389"/>
      <c r="N1389"/>
      <c r="O1389"/>
      <c r="P1389"/>
      <c r="Q1389"/>
      <c r="S1389" s="22" t="str">
        <f>N_Heure</f>
        <v>Heure</v>
      </c>
      <c r="T1389" s="22" t="str">
        <f>N_Table</f>
        <v>Table</v>
      </c>
      <c r="U1389" s="22" t="str">
        <f>N_Arbitre</f>
        <v>Arbitre</v>
      </c>
      <c r="V1389" s="293" t="str">
        <f>N_Matches</f>
        <v>Matches</v>
      </c>
      <c r="W1389" s="294"/>
      <c r="X1389" s="294"/>
      <c r="Y1389" s="294"/>
      <c r="Z1389" s="295"/>
      <c r="AA1389" s="8"/>
      <c r="AB1389" s="967"/>
      <c r="AC1389" s="967"/>
      <c r="AD1389" s="967"/>
      <c r="AE1389" s="964"/>
      <c r="AF1389" s="964"/>
      <c r="AG1389" s="964"/>
      <c r="AH1389" s="964"/>
      <c r="AI1389" s="964"/>
      <c r="AJ1389" s="964"/>
      <c r="AK1389" s="964"/>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s="1396"/>
      <c r="CB1389" s="1396"/>
      <c r="CC1389"/>
      <c r="CD1389"/>
      <c r="CE1389"/>
    </row>
    <row r="1390" spans="1:83" ht="13.15" customHeight="1" outlineLevel="2" x14ac:dyDescent="0.2">
      <c r="A1390"/>
      <c r="B1390" s="1"/>
      <c r="C1390"/>
      <c r="D1390"/>
      <c r="E1390"/>
      <c r="F1390"/>
      <c r="G1390" s="1"/>
      <c r="H1390" s="1"/>
      <c r="I1390"/>
      <c r="J1390"/>
      <c r="K1390"/>
      <c r="L1390"/>
      <c r="M1390"/>
      <c r="N1390"/>
      <c r="O1390"/>
      <c r="P1390"/>
      <c r="Q1390"/>
      <c r="R1390" s="558" t="s">
        <v>1740</v>
      </c>
      <c r="S1390" s="65"/>
      <c r="T1390" s="953"/>
      <c r="U1390" s="954"/>
      <c r="V1390" s="34" t="str">
        <f>Z1379</f>
        <v>A</v>
      </c>
      <c r="W1390" s="148"/>
      <c r="X1390" s="35" t="s">
        <v>769</v>
      </c>
      <c r="Y1390" s="148"/>
      <c r="Z1390" s="36" t="str">
        <f>Z1380</f>
        <v>M</v>
      </c>
      <c r="AA1390" s="123"/>
      <c r="AB1390" s="1459">
        <f t="shared" ref="AB1390:AB1398" si="948">IF(MaxScore,MaxGoals(W1390,Y1390,MaxGoalsValue),IF(W1390="","",W1390))</f>
        <v>0</v>
      </c>
      <c r="AC1390" s="1460" t="str">
        <f t="shared" ref="AC1390:AC1398" si="949">IF(MaxScore,"-",IF(W1390="","","-"))</f>
        <v>-</v>
      </c>
      <c r="AD1390" s="1459">
        <f t="shared" ref="AD1390:AD1398" si="950">IF(MaxScore,MaxGoals(Y1390,W1390,MaxGoalsValue),IF(Y1390="","",Y1390))</f>
        <v>0</v>
      </c>
      <c r="AE1390" s="964" t="str">
        <f t="shared" ref="AE1390:AE1398" si="951">IF(W1390="","",IF(W1390&gt;Y1390,V1390,IF(W1390=Y1390,"",Z1390)))</f>
        <v/>
      </c>
      <c r="AF1390" s="964" t="str">
        <f t="shared" ref="AF1390:AF1398" si="952">IF(W1390="","",IF(W1390=Y1390,V1390,""))</f>
        <v/>
      </c>
      <c r="AG1390" s="964" t="str">
        <f t="shared" ref="AG1390:AG1398" si="953">IF(W1390="","",IF(W1390=Y1390,Z1390,""))</f>
        <v/>
      </c>
      <c r="AH1390" s="964" t="str">
        <f t="shared" ref="AH1390:AH1398" si="954">IF(W1390="","",IF(W1390&lt;Y1390,V1390,IF(W1390=Y1390,"",Z1390)))</f>
        <v/>
      </c>
      <c r="AI1390" s="964" t="str">
        <f t="shared" ref="AI1390:AI1398" si="955">CONCATENATE(AE1390,AH1390)</f>
        <v/>
      </c>
      <c r="AJ1390" s="964"/>
      <c r="AK1390" s="964"/>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s="1396"/>
      <c r="CB1390" s="1396"/>
      <c r="CC1390"/>
      <c r="CD1390"/>
      <c r="CE1390"/>
    </row>
    <row r="1391" spans="1:83" ht="13.15" customHeight="1" outlineLevel="2" x14ac:dyDescent="0.2">
      <c r="A1391"/>
      <c r="B1391" s="1"/>
      <c r="C1391"/>
      <c r="D1391"/>
      <c r="E1391"/>
      <c r="F1391"/>
      <c r="G1391" s="1"/>
      <c r="H1391" s="1"/>
      <c r="I1391"/>
      <c r="J1391"/>
      <c r="K1391"/>
      <c r="L1391"/>
      <c r="M1391"/>
      <c r="N1391"/>
      <c r="O1391"/>
      <c r="P1391"/>
      <c r="Q1391"/>
      <c r="R1391" s="558" t="s">
        <v>1740</v>
      </c>
      <c r="S1391" s="83"/>
      <c r="T1391" s="56"/>
      <c r="U1391" s="955"/>
      <c r="V1391" s="43" t="str">
        <f t="shared" ref="V1391:V1397" si="956">Z1381</f>
        <v>O</v>
      </c>
      <c r="W1391" s="10"/>
      <c r="X1391" s="45" t="s">
        <v>769</v>
      </c>
      <c r="Y1391" s="10"/>
      <c r="Z1391" s="46" t="str">
        <f t="shared" ref="Z1391:Z1397" si="957">V1379</f>
        <v>K</v>
      </c>
      <c r="AA1391" s="123"/>
      <c r="AB1391" s="1459">
        <f t="shared" si="948"/>
        <v>0</v>
      </c>
      <c r="AC1391" s="1460" t="str">
        <f t="shared" si="949"/>
        <v>-</v>
      </c>
      <c r="AD1391" s="1459">
        <f t="shared" si="950"/>
        <v>0</v>
      </c>
      <c r="AE1391" s="964" t="str">
        <f t="shared" si="951"/>
        <v/>
      </c>
      <c r="AF1391" s="964" t="str">
        <f t="shared" si="952"/>
        <v/>
      </c>
      <c r="AG1391" s="964" t="str">
        <f t="shared" si="953"/>
        <v/>
      </c>
      <c r="AH1391" s="964" t="str">
        <f t="shared" si="954"/>
        <v/>
      </c>
      <c r="AI1391" s="964" t="str">
        <f t="shared" si="955"/>
        <v/>
      </c>
      <c r="AJ1391" s="964"/>
      <c r="AK1391" s="964"/>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s="1396"/>
      <c r="CB1391" s="1396"/>
      <c r="CC1391"/>
      <c r="CD1391"/>
      <c r="CE1391"/>
    </row>
    <row r="1392" spans="1:83" ht="13.15" customHeight="1" outlineLevel="2" x14ac:dyDescent="0.2">
      <c r="A1392"/>
      <c r="B1392" s="1"/>
      <c r="C1392"/>
      <c r="D1392"/>
      <c r="E1392"/>
      <c r="F1392"/>
      <c r="G1392" s="1"/>
      <c r="H1392" s="1"/>
      <c r="I1392"/>
      <c r="J1392"/>
      <c r="K1392"/>
      <c r="L1392"/>
      <c r="M1392"/>
      <c r="N1392"/>
      <c r="O1392"/>
      <c r="P1392"/>
      <c r="Q1392"/>
      <c r="R1392" s="558" t="s">
        <v>1740</v>
      </c>
      <c r="S1392" s="83"/>
      <c r="T1392" s="56"/>
      <c r="U1392" s="955"/>
      <c r="V1392" s="43" t="str">
        <f t="shared" si="956"/>
        <v>Q</v>
      </c>
      <c r="W1392" s="10"/>
      <c r="X1392" s="45" t="s">
        <v>769</v>
      </c>
      <c r="Y1392" s="10"/>
      <c r="Z1392" s="46" t="str">
        <f t="shared" si="957"/>
        <v>I</v>
      </c>
      <c r="AA1392" s="123"/>
      <c r="AB1392" s="1459">
        <f t="shared" si="948"/>
        <v>0</v>
      </c>
      <c r="AC1392" s="1460" t="str">
        <f t="shared" si="949"/>
        <v>-</v>
      </c>
      <c r="AD1392" s="1459">
        <f t="shared" si="950"/>
        <v>0</v>
      </c>
      <c r="AE1392" s="964" t="str">
        <f t="shared" si="951"/>
        <v/>
      </c>
      <c r="AF1392" s="964" t="str">
        <f t="shared" si="952"/>
        <v/>
      </c>
      <c r="AG1392" s="964" t="str">
        <f t="shared" si="953"/>
        <v/>
      </c>
      <c r="AH1392" s="964" t="str">
        <f t="shared" si="954"/>
        <v/>
      </c>
      <c r="AI1392" s="964" t="str">
        <f t="shared" si="955"/>
        <v/>
      </c>
      <c r="AJ1392" s="964"/>
      <c r="AK1392" s="964"/>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s="1396"/>
      <c r="CB1392" s="1396"/>
      <c r="CC1392"/>
      <c r="CD1392"/>
      <c r="CE1392"/>
    </row>
    <row r="1393" spans="1:83" ht="13.15" customHeight="1" outlineLevel="2" x14ac:dyDescent="0.2">
      <c r="A1393"/>
      <c r="B1393" s="1"/>
      <c r="C1393"/>
      <c r="D1393"/>
      <c r="E1393"/>
      <c r="F1393"/>
      <c r="G1393" s="1"/>
      <c r="H1393" s="1"/>
      <c r="I1393"/>
      <c r="J1393"/>
      <c r="K1393"/>
      <c r="L1393"/>
      <c r="M1393"/>
      <c r="N1393"/>
      <c r="O1393"/>
      <c r="P1393"/>
      <c r="Q1393"/>
      <c r="R1393" s="558" t="s">
        <v>1740</v>
      </c>
      <c r="S1393" s="83"/>
      <c r="T1393" s="56"/>
      <c r="U1393" s="955"/>
      <c r="V1393" s="43" t="str">
        <f t="shared" si="956"/>
        <v>R</v>
      </c>
      <c r="W1393" s="10"/>
      <c r="X1393" s="45" t="s">
        <v>769</v>
      </c>
      <c r="Y1393" s="10"/>
      <c r="Z1393" s="46" t="str">
        <f t="shared" si="957"/>
        <v>G</v>
      </c>
      <c r="AA1393" s="123"/>
      <c r="AB1393" s="1459">
        <f t="shared" si="948"/>
        <v>0</v>
      </c>
      <c r="AC1393" s="1460" t="str">
        <f t="shared" si="949"/>
        <v>-</v>
      </c>
      <c r="AD1393" s="1459">
        <f t="shared" si="950"/>
        <v>0</v>
      </c>
      <c r="AE1393" s="964" t="str">
        <f t="shared" si="951"/>
        <v/>
      </c>
      <c r="AF1393" s="964" t="str">
        <f t="shared" si="952"/>
        <v/>
      </c>
      <c r="AG1393" s="964" t="str">
        <f t="shared" si="953"/>
        <v/>
      </c>
      <c r="AH1393" s="964" t="str">
        <f t="shared" si="954"/>
        <v/>
      </c>
      <c r="AI1393" s="964" t="str">
        <f t="shared" si="955"/>
        <v/>
      </c>
      <c r="AJ1393" s="964"/>
      <c r="AK1393" s="964"/>
      <c r="AL1393"/>
      <c r="AM1393"/>
      <c r="AN1393"/>
      <c r="AO1393"/>
      <c r="AP1393"/>
      <c r="AQ1393"/>
      <c r="AR1393"/>
      <c r="AS1393"/>
      <c r="AT1393"/>
      <c r="AU1393"/>
      <c r="AV1393"/>
      <c r="AW1393"/>
      <c r="AX1393" s="9"/>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s="1396"/>
      <c r="CB1393" s="1396"/>
      <c r="CC1393"/>
      <c r="CD1393"/>
      <c r="CE1393"/>
    </row>
    <row r="1394" spans="1:83" ht="13.15" customHeight="1" outlineLevel="2" x14ac:dyDescent="0.2">
      <c r="A1394"/>
      <c r="B1394" s="1"/>
      <c r="C1394"/>
      <c r="D1394"/>
      <c r="E1394"/>
      <c r="F1394"/>
      <c r="G1394" s="1"/>
      <c r="H1394" s="1"/>
      <c r="I1394"/>
      <c r="J1394"/>
      <c r="K1394"/>
      <c r="L1394"/>
      <c r="M1394"/>
      <c r="N1394"/>
      <c r="O1394"/>
      <c r="P1394"/>
      <c r="Q1394"/>
      <c r="R1394" s="558" t="s">
        <v>1740</v>
      </c>
      <c r="S1394" s="83"/>
      <c r="T1394" s="56"/>
      <c r="U1394" s="955"/>
      <c r="V1394" s="43" t="str">
        <f t="shared" si="956"/>
        <v>P</v>
      </c>
      <c r="W1394" s="10"/>
      <c r="X1394" s="45" t="s">
        <v>769</v>
      </c>
      <c r="Y1394" s="10"/>
      <c r="Z1394" s="46" t="str">
        <f t="shared" si="957"/>
        <v>E</v>
      </c>
      <c r="AA1394" s="123"/>
      <c r="AB1394" s="1459">
        <f t="shared" si="948"/>
        <v>0</v>
      </c>
      <c r="AC1394" s="1460" t="str">
        <f t="shared" si="949"/>
        <v>-</v>
      </c>
      <c r="AD1394" s="1459">
        <f t="shared" si="950"/>
        <v>0</v>
      </c>
      <c r="AE1394" s="964" t="str">
        <f t="shared" si="951"/>
        <v/>
      </c>
      <c r="AF1394" s="964" t="str">
        <f t="shared" si="952"/>
        <v/>
      </c>
      <c r="AG1394" s="964" t="str">
        <f t="shared" si="953"/>
        <v/>
      </c>
      <c r="AH1394" s="964" t="str">
        <f t="shared" si="954"/>
        <v/>
      </c>
      <c r="AI1394" s="964" t="str">
        <f t="shared" si="955"/>
        <v/>
      </c>
      <c r="AJ1394" s="964"/>
      <c r="AK1394" s="96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s="1396"/>
      <c r="CB1394" s="1396"/>
      <c r="CC1394"/>
      <c r="CD1394"/>
      <c r="CE1394"/>
    </row>
    <row r="1395" spans="1:83" ht="13.15" customHeight="1" outlineLevel="2" x14ac:dyDescent="0.2">
      <c r="A1395"/>
      <c r="B1395" s="1"/>
      <c r="C1395"/>
      <c r="D1395"/>
      <c r="E1395"/>
      <c r="F1395"/>
      <c r="G1395" s="1"/>
      <c r="H1395" s="1"/>
      <c r="I1395"/>
      <c r="J1395"/>
      <c r="K1395"/>
      <c r="L1395"/>
      <c r="M1395"/>
      <c r="N1395"/>
      <c r="O1395"/>
      <c r="P1395"/>
      <c r="Q1395"/>
      <c r="R1395" s="558" t="s">
        <v>1740</v>
      </c>
      <c r="S1395" s="83"/>
      <c r="T1395" s="56"/>
      <c r="U1395" s="955"/>
      <c r="V1395" s="43" t="str">
        <f t="shared" si="956"/>
        <v>N</v>
      </c>
      <c r="W1395" s="10"/>
      <c r="X1395" s="45" t="s">
        <v>769</v>
      </c>
      <c r="Y1395" s="10"/>
      <c r="Z1395" s="46" t="str">
        <f t="shared" si="957"/>
        <v>C</v>
      </c>
      <c r="AA1395" s="123"/>
      <c r="AB1395" s="1459">
        <f t="shared" si="948"/>
        <v>0</v>
      </c>
      <c r="AC1395" s="1460" t="str">
        <f t="shared" si="949"/>
        <v>-</v>
      </c>
      <c r="AD1395" s="1459">
        <f t="shared" si="950"/>
        <v>0</v>
      </c>
      <c r="AE1395" s="964" t="str">
        <f t="shared" si="951"/>
        <v/>
      </c>
      <c r="AF1395" s="964" t="str">
        <f t="shared" si="952"/>
        <v/>
      </c>
      <c r="AG1395" s="964" t="str">
        <f t="shared" si="953"/>
        <v/>
      </c>
      <c r="AH1395" s="964" t="str">
        <f t="shared" si="954"/>
        <v/>
      </c>
      <c r="AI1395" s="964" t="str">
        <f t="shared" si="955"/>
        <v/>
      </c>
      <c r="AJ1395" s="964"/>
      <c r="AK1395" s="964"/>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s="1396"/>
      <c r="CB1395" s="1396"/>
      <c r="CC1395"/>
      <c r="CD1395"/>
      <c r="CE1395"/>
    </row>
    <row r="1396" spans="1:83" ht="13.15" customHeight="1" outlineLevel="2" x14ac:dyDescent="0.2">
      <c r="A1396"/>
      <c r="B1396" s="1"/>
      <c r="C1396"/>
      <c r="D1396"/>
      <c r="E1396"/>
      <c r="F1396"/>
      <c r="G1396" s="1"/>
      <c r="H1396" s="1"/>
      <c r="I1396"/>
      <c r="J1396"/>
      <c r="K1396"/>
      <c r="L1396"/>
      <c r="M1396"/>
      <c r="N1396"/>
      <c r="O1396"/>
      <c r="P1396"/>
      <c r="Q1396"/>
      <c r="R1396" s="558" t="s">
        <v>1740</v>
      </c>
      <c r="S1396" s="83"/>
      <c r="T1396" s="56"/>
      <c r="U1396" s="955"/>
      <c r="V1396" s="43" t="str">
        <f t="shared" si="956"/>
        <v>L</v>
      </c>
      <c r="W1396" s="10"/>
      <c r="X1396" s="45" t="s">
        <v>769</v>
      </c>
      <c r="Y1396" s="10"/>
      <c r="Z1396" s="46" t="str">
        <f t="shared" si="957"/>
        <v>B</v>
      </c>
      <c r="AA1396" s="123"/>
      <c r="AB1396" s="1459">
        <f t="shared" si="948"/>
        <v>0</v>
      </c>
      <c r="AC1396" s="1460" t="str">
        <f t="shared" si="949"/>
        <v>-</v>
      </c>
      <c r="AD1396" s="1459">
        <f t="shared" si="950"/>
        <v>0</v>
      </c>
      <c r="AE1396" s="964" t="str">
        <f t="shared" si="951"/>
        <v/>
      </c>
      <c r="AF1396" s="964" t="str">
        <f t="shared" si="952"/>
        <v/>
      </c>
      <c r="AG1396" s="964" t="str">
        <f t="shared" si="953"/>
        <v/>
      </c>
      <c r="AH1396" s="964" t="str">
        <f t="shared" si="954"/>
        <v/>
      </c>
      <c r="AI1396" s="964" t="str">
        <f t="shared" si="955"/>
        <v/>
      </c>
      <c r="AJ1396" s="964"/>
      <c r="AK1396" s="964"/>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s="1396"/>
      <c r="CB1396" s="1396"/>
      <c r="CC1396"/>
      <c r="CD1396"/>
      <c r="CE1396"/>
    </row>
    <row r="1397" spans="1:83" ht="13.15" customHeight="1" outlineLevel="2" x14ac:dyDescent="0.2">
      <c r="A1397"/>
      <c r="B1397" s="1"/>
      <c r="C1397"/>
      <c r="D1397"/>
      <c r="E1397"/>
      <c r="F1397"/>
      <c r="G1397" s="1"/>
      <c r="H1397" s="1"/>
      <c r="I1397"/>
      <c r="J1397"/>
      <c r="K1397"/>
      <c r="L1397"/>
      <c r="M1397"/>
      <c r="N1397"/>
      <c r="O1397"/>
      <c r="P1397"/>
      <c r="Q1397"/>
      <c r="R1397" s="558" t="s">
        <v>1740</v>
      </c>
      <c r="S1397" s="83"/>
      <c r="T1397" s="56"/>
      <c r="U1397" s="955"/>
      <c r="V1397" s="43" t="str">
        <f t="shared" si="956"/>
        <v>J</v>
      </c>
      <c r="W1397" s="10"/>
      <c r="X1397" s="45" t="s">
        <v>769</v>
      </c>
      <c r="Y1397" s="10"/>
      <c r="Z1397" s="46" t="str">
        <f t="shared" si="957"/>
        <v>D</v>
      </c>
      <c r="AA1397" s="123"/>
      <c r="AB1397" s="1459">
        <f t="shared" si="948"/>
        <v>0</v>
      </c>
      <c r="AC1397" s="1460" t="str">
        <f t="shared" si="949"/>
        <v>-</v>
      </c>
      <c r="AD1397" s="1459">
        <f t="shared" si="950"/>
        <v>0</v>
      </c>
      <c r="AE1397" s="964" t="str">
        <f t="shared" si="951"/>
        <v/>
      </c>
      <c r="AF1397" s="964" t="str">
        <f t="shared" si="952"/>
        <v/>
      </c>
      <c r="AG1397" s="964" t="str">
        <f t="shared" si="953"/>
        <v/>
      </c>
      <c r="AH1397" s="964" t="str">
        <f t="shared" si="954"/>
        <v/>
      </c>
      <c r="AI1397" s="964" t="str">
        <f t="shared" si="955"/>
        <v/>
      </c>
      <c r="AJ1397" s="964"/>
      <c r="AK1397" s="964"/>
      <c r="AL1397"/>
      <c r="AM1397"/>
      <c r="AN1397"/>
      <c r="AO1397"/>
      <c r="AP1397"/>
      <c r="AQ1397"/>
      <c r="AR1397"/>
      <c r="AS1397"/>
      <c r="AT1397"/>
      <c r="AU1397"/>
      <c r="AV1397"/>
      <c r="AW1397"/>
      <c r="AX1397" s="9"/>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s="1396"/>
      <c r="CB1397" s="1396"/>
      <c r="CC1397"/>
      <c r="CD1397"/>
      <c r="CE1397"/>
    </row>
    <row r="1398" spans="1:83" ht="13.9" customHeight="1" outlineLevel="2" thickBot="1" x14ac:dyDescent="0.25">
      <c r="A1398"/>
      <c r="B1398" s="1"/>
      <c r="C1398"/>
      <c r="D1398"/>
      <c r="E1398"/>
      <c r="F1398"/>
      <c r="G1398" s="1"/>
      <c r="H1398" s="1"/>
      <c r="I1398"/>
      <c r="J1398"/>
      <c r="K1398"/>
      <c r="L1398"/>
      <c r="M1398"/>
      <c r="N1398"/>
      <c r="O1398"/>
      <c r="P1398"/>
      <c r="Q1398"/>
      <c r="R1398" s="558" t="s">
        <v>1740</v>
      </c>
      <c r="S1398" s="956"/>
      <c r="T1398" s="58"/>
      <c r="U1398" s="957"/>
      <c r="V1398" s="958" t="str">
        <f>V1387</f>
        <v>H</v>
      </c>
      <c r="W1398" s="10"/>
      <c r="X1398" s="45" t="s">
        <v>769</v>
      </c>
      <c r="Y1398" s="10"/>
      <c r="Z1398" s="46" t="str">
        <f>V1386</f>
        <v>F</v>
      </c>
      <c r="AA1398" s="123"/>
      <c r="AB1398" s="1459">
        <f t="shared" si="948"/>
        <v>0</v>
      </c>
      <c r="AC1398" s="1460" t="str">
        <f t="shared" si="949"/>
        <v>-</v>
      </c>
      <c r="AD1398" s="1459">
        <f t="shared" si="950"/>
        <v>0</v>
      </c>
      <c r="AE1398" s="964" t="str">
        <f t="shared" si="951"/>
        <v/>
      </c>
      <c r="AF1398" s="964" t="str">
        <f t="shared" si="952"/>
        <v/>
      </c>
      <c r="AG1398" s="964" t="str">
        <f t="shared" si="953"/>
        <v/>
      </c>
      <c r="AH1398" s="964" t="str">
        <f t="shared" si="954"/>
        <v/>
      </c>
      <c r="AI1398" s="964" t="str">
        <f t="shared" si="955"/>
        <v/>
      </c>
      <c r="AJ1398" s="964"/>
      <c r="AK1398" s="964"/>
      <c r="AL1398"/>
      <c r="AM1398"/>
      <c r="AN1398"/>
      <c r="AO1398"/>
      <c r="AP1398"/>
      <c r="AQ1398"/>
      <c r="AR1398"/>
      <c r="AS1398"/>
      <c r="AT1398"/>
      <c r="AU1398"/>
      <c r="AV1398"/>
      <c r="AW1398" s="9"/>
      <c r="AX1398" s="9"/>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s="1396"/>
      <c r="CB1398" s="1396"/>
      <c r="CC1398"/>
      <c r="CD1398"/>
      <c r="CE1398"/>
    </row>
    <row r="1399" spans="1:83" ht="13.5" outlineLevel="1" thickBot="1" x14ac:dyDescent="0.25">
      <c r="A1399"/>
      <c r="B1399" s="1"/>
      <c r="C1399" s="1"/>
      <c r="D1399" s="76"/>
      <c r="E1399" s="76"/>
      <c r="F1399" s="76"/>
      <c r="G1399" s="9"/>
      <c r="H1399" s="9"/>
      <c r="I1399" s="1"/>
      <c r="J1399"/>
      <c r="K1399"/>
      <c r="L1399"/>
      <c r="M1399"/>
      <c r="N1399"/>
      <c r="O1399"/>
      <c r="P1399" s="89"/>
      <c r="Q1399"/>
      <c r="R1399" s="1"/>
      <c r="S1399" s="993">
        <f>S1388+1</f>
        <v>8</v>
      </c>
      <c r="T1399" s="961"/>
      <c r="U1399" s="961"/>
      <c r="V1399" s="961"/>
      <c r="W1399" s="960"/>
      <c r="X1399" s="960"/>
      <c r="Y1399" s="960"/>
      <c r="Z1399" s="962"/>
      <c r="AA1399" s="123"/>
      <c r="AB1399" s="963"/>
      <c r="AC1399" s="963"/>
      <c r="AD1399" s="963"/>
      <c r="AE1399" s="964"/>
      <c r="AF1399" s="964"/>
      <c r="AG1399" s="964"/>
      <c r="AH1399" s="964"/>
      <c r="AI1399" s="964"/>
      <c r="AJ1399" s="964"/>
      <c r="AK1399" s="964"/>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s="1396"/>
      <c r="CB1399" s="1396"/>
      <c r="CC1399"/>
      <c r="CD1399"/>
      <c r="CE1399"/>
    </row>
    <row r="1400" spans="1:83" ht="13.9" customHeight="1" outlineLevel="2" thickBot="1" x14ac:dyDescent="0.25">
      <c r="A1400"/>
      <c r="B1400" s="1"/>
      <c r="C1400"/>
      <c r="D1400"/>
      <c r="E1400"/>
      <c r="F1400"/>
      <c r="G1400" s="1"/>
      <c r="H1400" s="1"/>
      <c r="I1400"/>
      <c r="J1400"/>
      <c r="K1400"/>
      <c r="L1400"/>
      <c r="M1400"/>
      <c r="N1400"/>
      <c r="O1400"/>
      <c r="P1400"/>
      <c r="Q1400"/>
      <c r="S1400" s="22" t="str">
        <f>N_Heure</f>
        <v>Heure</v>
      </c>
      <c r="T1400" s="22" t="str">
        <f>N_Table</f>
        <v>Table</v>
      </c>
      <c r="U1400" s="22" t="str">
        <f>N_Arbitre</f>
        <v>Arbitre</v>
      </c>
      <c r="V1400" s="293" t="str">
        <f>N_Matches</f>
        <v>Matches</v>
      </c>
      <c r="W1400" s="294"/>
      <c r="X1400" s="294"/>
      <c r="Y1400" s="294"/>
      <c r="Z1400" s="295"/>
      <c r="AA1400" s="8"/>
      <c r="AB1400" s="967"/>
      <c r="AC1400" s="967"/>
      <c r="AD1400" s="967"/>
      <c r="AE1400" s="964"/>
      <c r="AF1400" s="964"/>
      <c r="AG1400" s="964"/>
      <c r="AH1400" s="964"/>
      <c r="AI1400" s="964"/>
      <c r="AJ1400" s="964"/>
      <c r="AK1400" s="964"/>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s="1396"/>
      <c r="CB1400" s="1396"/>
      <c r="CC1400"/>
      <c r="CD1400"/>
      <c r="CE1400"/>
    </row>
    <row r="1401" spans="1:83" ht="13.15" customHeight="1" outlineLevel="2" x14ac:dyDescent="0.2">
      <c r="A1401"/>
      <c r="B1401" s="1"/>
      <c r="C1401"/>
      <c r="D1401"/>
      <c r="E1401"/>
      <c r="F1401"/>
      <c r="G1401" s="1"/>
      <c r="H1401" s="1"/>
      <c r="I1401"/>
      <c r="J1401"/>
      <c r="K1401"/>
      <c r="L1401"/>
      <c r="M1401"/>
      <c r="N1401"/>
      <c r="O1401"/>
      <c r="P1401"/>
      <c r="Q1401"/>
      <c r="R1401" s="558" t="s">
        <v>930</v>
      </c>
      <c r="S1401" s="65"/>
      <c r="T1401" s="953"/>
      <c r="U1401" s="954"/>
      <c r="V1401" s="34" t="str">
        <f>V1391</f>
        <v>O</v>
      </c>
      <c r="W1401" s="148"/>
      <c r="X1401" s="35" t="s">
        <v>769</v>
      </c>
      <c r="Y1401" s="148"/>
      <c r="Z1401" s="36" t="str">
        <f>V1390</f>
        <v>A</v>
      </c>
      <c r="AA1401" s="123"/>
      <c r="AB1401" s="1459">
        <f t="shared" ref="AB1401:AB1409" si="958">IF(MaxScore,MaxGoals(W1401,Y1401,MaxGoalsValue),IF(W1401="","",W1401))</f>
        <v>0</v>
      </c>
      <c r="AC1401" s="1460" t="str">
        <f t="shared" ref="AC1401:AC1409" si="959">IF(MaxScore,"-",IF(W1401="","","-"))</f>
        <v>-</v>
      </c>
      <c r="AD1401" s="1459">
        <f t="shared" ref="AD1401:AD1409" si="960">IF(MaxScore,MaxGoals(Y1401,W1401,MaxGoalsValue),IF(Y1401="","",Y1401))</f>
        <v>0</v>
      </c>
      <c r="AE1401" s="964" t="str">
        <f t="shared" ref="AE1401:AE1409" si="961">IF(W1401="","",IF(W1401&gt;Y1401,V1401,IF(W1401=Y1401,"",Z1401)))</f>
        <v/>
      </c>
      <c r="AF1401" s="964" t="str">
        <f t="shared" ref="AF1401:AF1409" si="962">IF(W1401="","",IF(W1401=Y1401,V1401,""))</f>
        <v/>
      </c>
      <c r="AG1401" s="964" t="str">
        <f t="shared" ref="AG1401:AG1409" si="963">IF(W1401="","",IF(W1401=Y1401,Z1401,""))</f>
        <v/>
      </c>
      <c r="AH1401" s="964" t="str">
        <f t="shared" ref="AH1401:AH1409" si="964">IF(W1401="","",IF(W1401&lt;Y1401,V1401,IF(W1401=Y1401,"",Z1401)))</f>
        <v/>
      </c>
      <c r="AI1401" s="964" t="str">
        <f t="shared" ref="AI1401:AI1409" si="965">CONCATENATE(AE1401,AH1401)</f>
        <v/>
      </c>
      <c r="AJ1401" s="964"/>
      <c r="AK1401" s="964"/>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s="1396"/>
      <c r="CB1401" s="1396"/>
      <c r="CC1401"/>
      <c r="CD1401"/>
      <c r="CE1401"/>
    </row>
    <row r="1402" spans="1:83" ht="13.15" customHeight="1" outlineLevel="2" x14ac:dyDescent="0.2">
      <c r="A1402"/>
      <c r="B1402" s="1"/>
      <c r="C1402"/>
      <c r="D1402"/>
      <c r="E1402"/>
      <c r="F1402"/>
      <c r="G1402" s="1"/>
      <c r="H1402" s="1"/>
      <c r="I1402"/>
      <c r="J1402"/>
      <c r="K1402"/>
      <c r="L1402"/>
      <c r="M1402"/>
      <c r="N1402"/>
      <c r="O1402"/>
      <c r="P1402"/>
      <c r="Q1402"/>
      <c r="R1402" s="558" t="s">
        <v>930</v>
      </c>
      <c r="S1402" s="83"/>
      <c r="T1402" s="56"/>
      <c r="U1402" s="955"/>
      <c r="V1402" s="43" t="str">
        <f t="shared" ref="V1402:V1409" si="966">Z1390</f>
        <v>M</v>
      </c>
      <c r="W1402" s="10"/>
      <c r="X1402" s="45" t="s">
        <v>769</v>
      </c>
      <c r="Y1402" s="10"/>
      <c r="Z1402" s="46" t="str">
        <f t="shared" ref="Z1402:Z1408" si="967">V1392</f>
        <v>Q</v>
      </c>
      <c r="AA1402" s="123"/>
      <c r="AB1402" s="1459">
        <f t="shared" si="958"/>
        <v>0</v>
      </c>
      <c r="AC1402" s="1460" t="str">
        <f t="shared" si="959"/>
        <v>-</v>
      </c>
      <c r="AD1402" s="1459">
        <f t="shared" si="960"/>
        <v>0</v>
      </c>
      <c r="AE1402" s="964" t="str">
        <f t="shared" si="961"/>
        <v/>
      </c>
      <c r="AF1402" s="964" t="str">
        <f t="shared" si="962"/>
        <v/>
      </c>
      <c r="AG1402" s="964" t="str">
        <f t="shared" si="963"/>
        <v/>
      </c>
      <c r="AH1402" s="964" t="str">
        <f t="shared" si="964"/>
        <v/>
      </c>
      <c r="AI1402" s="964" t="str">
        <f t="shared" si="965"/>
        <v/>
      </c>
      <c r="AJ1402" s="964"/>
      <c r="AK1402" s="964"/>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s="1396"/>
      <c r="CB1402" s="1396"/>
      <c r="CC1402"/>
      <c r="CD1402"/>
      <c r="CE1402"/>
    </row>
    <row r="1403" spans="1:83" ht="13.15" customHeight="1" outlineLevel="2" x14ac:dyDescent="0.2">
      <c r="A1403"/>
      <c r="B1403" s="1"/>
      <c r="C1403"/>
      <c r="D1403"/>
      <c r="E1403"/>
      <c r="F1403"/>
      <c r="G1403" s="1"/>
      <c r="H1403" s="1"/>
      <c r="I1403"/>
      <c r="J1403"/>
      <c r="K1403"/>
      <c r="L1403"/>
      <c r="M1403"/>
      <c r="N1403"/>
      <c r="O1403"/>
      <c r="P1403"/>
      <c r="Q1403"/>
      <c r="R1403" s="558" t="s">
        <v>930</v>
      </c>
      <c r="S1403" s="83"/>
      <c r="T1403" s="56"/>
      <c r="U1403" s="955"/>
      <c r="V1403" s="43" t="str">
        <f t="shared" si="966"/>
        <v>K</v>
      </c>
      <c r="W1403" s="10"/>
      <c r="X1403" s="45" t="s">
        <v>769</v>
      </c>
      <c r="Y1403" s="10"/>
      <c r="Z1403" s="46" t="str">
        <f t="shared" si="967"/>
        <v>R</v>
      </c>
      <c r="AA1403" s="123"/>
      <c r="AB1403" s="1459">
        <f t="shared" si="958"/>
        <v>0</v>
      </c>
      <c r="AC1403" s="1460" t="str">
        <f t="shared" si="959"/>
        <v>-</v>
      </c>
      <c r="AD1403" s="1459">
        <f t="shared" si="960"/>
        <v>0</v>
      </c>
      <c r="AE1403" s="964" t="str">
        <f t="shared" si="961"/>
        <v/>
      </c>
      <c r="AF1403" s="964" t="str">
        <f t="shared" si="962"/>
        <v/>
      </c>
      <c r="AG1403" s="964" t="str">
        <f t="shared" si="963"/>
        <v/>
      </c>
      <c r="AH1403" s="964" t="str">
        <f t="shared" si="964"/>
        <v/>
      </c>
      <c r="AI1403" s="964" t="str">
        <f t="shared" si="965"/>
        <v/>
      </c>
      <c r="AJ1403" s="964"/>
      <c r="AK1403" s="964"/>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s="1396"/>
      <c r="CB1403" s="1396"/>
      <c r="CC1403"/>
      <c r="CD1403"/>
      <c r="CE1403"/>
    </row>
    <row r="1404" spans="1:83" ht="13.15" customHeight="1" outlineLevel="2" x14ac:dyDescent="0.2">
      <c r="A1404"/>
      <c r="B1404" s="1"/>
      <c r="C1404"/>
      <c r="D1404"/>
      <c r="E1404"/>
      <c r="F1404"/>
      <c r="G1404" s="1"/>
      <c r="H1404" s="1"/>
      <c r="I1404"/>
      <c r="J1404"/>
      <c r="K1404"/>
      <c r="L1404"/>
      <c r="M1404"/>
      <c r="N1404"/>
      <c r="O1404"/>
      <c r="P1404"/>
      <c r="Q1404"/>
      <c r="R1404" s="558" t="s">
        <v>930</v>
      </c>
      <c r="S1404" s="83"/>
      <c r="T1404" s="56"/>
      <c r="U1404" s="955"/>
      <c r="V1404" s="43" t="str">
        <f t="shared" si="966"/>
        <v>I</v>
      </c>
      <c r="W1404" s="10"/>
      <c r="X1404" s="45" t="s">
        <v>769</v>
      </c>
      <c r="Y1404" s="10"/>
      <c r="Z1404" s="46" t="str">
        <f t="shared" si="967"/>
        <v>P</v>
      </c>
      <c r="AA1404" s="123"/>
      <c r="AB1404" s="1459">
        <f t="shared" si="958"/>
        <v>0</v>
      </c>
      <c r="AC1404" s="1460" t="str">
        <f t="shared" si="959"/>
        <v>-</v>
      </c>
      <c r="AD1404" s="1459">
        <f t="shared" si="960"/>
        <v>0</v>
      </c>
      <c r="AE1404" s="964" t="str">
        <f t="shared" si="961"/>
        <v/>
      </c>
      <c r="AF1404" s="964" t="str">
        <f t="shared" si="962"/>
        <v/>
      </c>
      <c r="AG1404" s="964" t="str">
        <f t="shared" si="963"/>
        <v/>
      </c>
      <c r="AH1404" s="964" t="str">
        <f t="shared" si="964"/>
        <v/>
      </c>
      <c r="AI1404" s="964" t="str">
        <f t="shared" si="965"/>
        <v/>
      </c>
      <c r="AJ1404" s="964"/>
      <c r="AK1404" s="964"/>
      <c r="AL1404"/>
      <c r="AM1404"/>
      <c r="AN1404"/>
      <c r="AO1404"/>
      <c r="AP1404"/>
      <c r="AQ1404"/>
      <c r="AR1404"/>
      <c r="AS1404"/>
      <c r="AT1404"/>
      <c r="AU1404"/>
      <c r="AV1404"/>
      <c r="AW1404" s="9"/>
      <c r="AX1404" s="9"/>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s="1396"/>
      <c r="CB1404" s="1396"/>
      <c r="CC1404"/>
      <c r="CD1404"/>
      <c r="CE1404"/>
    </row>
    <row r="1405" spans="1:83" ht="13.15" customHeight="1" outlineLevel="2" x14ac:dyDescent="0.2">
      <c r="A1405"/>
      <c r="B1405" s="1"/>
      <c r="C1405"/>
      <c r="D1405"/>
      <c r="E1405"/>
      <c r="F1405"/>
      <c r="G1405" s="1"/>
      <c r="H1405" s="1"/>
      <c r="I1405"/>
      <c r="J1405"/>
      <c r="K1405"/>
      <c r="L1405"/>
      <c r="M1405"/>
      <c r="N1405"/>
      <c r="O1405"/>
      <c r="P1405"/>
      <c r="Q1405"/>
      <c r="R1405" s="558" t="s">
        <v>930</v>
      </c>
      <c r="S1405" s="83"/>
      <c r="T1405" s="56"/>
      <c r="U1405" s="955"/>
      <c r="V1405" s="43" t="str">
        <f t="shared" si="966"/>
        <v>G</v>
      </c>
      <c r="W1405" s="10"/>
      <c r="X1405" s="45" t="s">
        <v>769</v>
      </c>
      <c r="Y1405" s="10"/>
      <c r="Z1405" s="46" t="str">
        <f t="shared" si="967"/>
        <v>N</v>
      </c>
      <c r="AA1405" s="123"/>
      <c r="AB1405" s="1459">
        <f t="shared" si="958"/>
        <v>0</v>
      </c>
      <c r="AC1405" s="1460" t="str">
        <f t="shared" si="959"/>
        <v>-</v>
      </c>
      <c r="AD1405" s="1459">
        <f t="shared" si="960"/>
        <v>0</v>
      </c>
      <c r="AE1405" s="964" t="str">
        <f t="shared" si="961"/>
        <v/>
      </c>
      <c r="AF1405" s="964" t="str">
        <f t="shared" si="962"/>
        <v/>
      </c>
      <c r="AG1405" s="964" t="str">
        <f t="shared" si="963"/>
        <v/>
      </c>
      <c r="AH1405" s="964" t="str">
        <f t="shared" si="964"/>
        <v/>
      </c>
      <c r="AI1405" s="964" t="str">
        <f t="shared" si="965"/>
        <v/>
      </c>
      <c r="AJ1405" s="964"/>
      <c r="AK1405" s="964"/>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s="1396"/>
      <c r="CB1405" s="1396"/>
      <c r="CC1405"/>
      <c r="CD1405"/>
      <c r="CE1405"/>
    </row>
    <row r="1406" spans="1:83" ht="13.15" customHeight="1" outlineLevel="2" x14ac:dyDescent="0.2">
      <c r="A1406"/>
      <c r="B1406" s="1"/>
      <c r="C1406"/>
      <c r="D1406"/>
      <c r="E1406"/>
      <c r="F1406"/>
      <c r="G1406" s="1"/>
      <c r="H1406" s="1"/>
      <c r="I1406"/>
      <c r="J1406"/>
      <c r="K1406"/>
      <c r="L1406"/>
      <c r="M1406"/>
      <c r="N1406"/>
      <c r="O1406"/>
      <c r="P1406"/>
      <c r="Q1406"/>
      <c r="R1406" s="558" t="s">
        <v>930</v>
      </c>
      <c r="S1406" s="83"/>
      <c r="T1406" s="56"/>
      <c r="U1406" s="955"/>
      <c r="V1406" s="43" t="str">
        <f t="shared" si="966"/>
        <v>E</v>
      </c>
      <c r="W1406" s="10"/>
      <c r="X1406" s="45" t="s">
        <v>769</v>
      </c>
      <c r="Y1406" s="10"/>
      <c r="Z1406" s="46" t="str">
        <f t="shared" si="967"/>
        <v>L</v>
      </c>
      <c r="AA1406" s="123"/>
      <c r="AB1406" s="1459">
        <f t="shared" si="958"/>
        <v>0</v>
      </c>
      <c r="AC1406" s="1460" t="str">
        <f t="shared" si="959"/>
        <v>-</v>
      </c>
      <c r="AD1406" s="1459">
        <f t="shared" si="960"/>
        <v>0</v>
      </c>
      <c r="AE1406" s="964" t="str">
        <f t="shared" si="961"/>
        <v/>
      </c>
      <c r="AF1406" s="964" t="str">
        <f t="shared" si="962"/>
        <v/>
      </c>
      <c r="AG1406" s="964" t="str">
        <f t="shared" si="963"/>
        <v/>
      </c>
      <c r="AH1406" s="964" t="str">
        <f t="shared" si="964"/>
        <v/>
      </c>
      <c r="AI1406" s="964" t="str">
        <f t="shared" si="965"/>
        <v/>
      </c>
      <c r="AJ1406" s="964"/>
      <c r="AK1406" s="964"/>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s="1396"/>
      <c r="CB1406" s="1396"/>
      <c r="CC1406"/>
      <c r="CD1406"/>
      <c r="CE1406"/>
    </row>
    <row r="1407" spans="1:83" ht="13.15" customHeight="1" outlineLevel="2" x14ac:dyDescent="0.2">
      <c r="A1407"/>
      <c r="B1407" s="1"/>
      <c r="C1407"/>
      <c r="D1407"/>
      <c r="E1407"/>
      <c r="F1407"/>
      <c r="G1407" s="1"/>
      <c r="H1407" s="1"/>
      <c r="I1407"/>
      <c r="J1407"/>
      <c r="K1407"/>
      <c r="L1407"/>
      <c r="M1407"/>
      <c r="N1407"/>
      <c r="O1407"/>
      <c r="P1407"/>
      <c r="Q1407"/>
      <c r="R1407" s="558" t="s">
        <v>930</v>
      </c>
      <c r="S1407" s="83"/>
      <c r="T1407" s="56"/>
      <c r="U1407" s="955"/>
      <c r="V1407" s="43" t="str">
        <f t="shared" si="966"/>
        <v>C</v>
      </c>
      <c r="W1407" s="10"/>
      <c r="X1407" s="45" t="s">
        <v>769</v>
      </c>
      <c r="Y1407" s="10"/>
      <c r="Z1407" s="46" t="str">
        <f t="shared" si="967"/>
        <v>J</v>
      </c>
      <c r="AA1407" s="123"/>
      <c r="AB1407" s="1459">
        <f t="shared" si="958"/>
        <v>0</v>
      </c>
      <c r="AC1407" s="1460" t="str">
        <f t="shared" si="959"/>
        <v>-</v>
      </c>
      <c r="AD1407" s="1459">
        <f t="shared" si="960"/>
        <v>0</v>
      </c>
      <c r="AE1407" s="964" t="str">
        <f t="shared" si="961"/>
        <v/>
      </c>
      <c r="AF1407" s="964" t="str">
        <f t="shared" si="962"/>
        <v/>
      </c>
      <c r="AG1407" s="964" t="str">
        <f t="shared" si="963"/>
        <v/>
      </c>
      <c r="AH1407" s="964" t="str">
        <f t="shared" si="964"/>
        <v/>
      </c>
      <c r="AI1407" s="964" t="str">
        <f t="shared" si="965"/>
        <v/>
      </c>
      <c r="AJ1407" s="964"/>
      <c r="AK1407" s="964"/>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s="1396"/>
      <c r="CB1407" s="1396"/>
      <c r="CC1407"/>
      <c r="CD1407"/>
      <c r="CE1407"/>
    </row>
    <row r="1408" spans="1:83" ht="13.15" customHeight="1" outlineLevel="2" x14ac:dyDescent="0.2">
      <c r="A1408"/>
      <c r="B1408" s="1"/>
      <c r="C1408"/>
      <c r="D1408"/>
      <c r="E1408"/>
      <c r="F1408"/>
      <c r="G1408" s="1"/>
      <c r="H1408" s="1"/>
      <c r="I1408"/>
      <c r="J1408"/>
      <c r="K1408"/>
      <c r="L1408"/>
      <c r="M1408"/>
      <c r="N1408"/>
      <c r="O1408"/>
      <c r="P1408"/>
      <c r="Q1408"/>
      <c r="R1408" s="558" t="s">
        <v>930</v>
      </c>
      <c r="S1408" s="83"/>
      <c r="T1408" s="56"/>
      <c r="U1408" s="955"/>
      <c r="V1408" s="43" t="str">
        <f t="shared" si="966"/>
        <v>B</v>
      </c>
      <c r="W1408" s="10"/>
      <c r="X1408" s="45" t="s">
        <v>769</v>
      </c>
      <c r="Y1408" s="10"/>
      <c r="Z1408" s="46" t="str">
        <f t="shared" si="967"/>
        <v>H</v>
      </c>
      <c r="AA1408" s="123"/>
      <c r="AB1408" s="1459">
        <f t="shared" si="958"/>
        <v>0</v>
      </c>
      <c r="AC1408" s="1460" t="str">
        <f t="shared" si="959"/>
        <v>-</v>
      </c>
      <c r="AD1408" s="1459">
        <f t="shared" si="960"/>
        <v>0</v>
      </c>
      <c r="AE1408" s="964" t="str">
        <f t="shared" si="961"/>
        <v/>
      </c>
      <c r="AF1408" s="964" t="str">
        <f t="shared" si="962"/>
        <v/>
      </c>
      <c r="AG1408" s="964" t="str">
        <f t="shared" si="963"/>
        <v/>
      </c>
      <c r="AH1408" s="964" t="str">
        <f t="shared" si="964"/>
        <v/>
      </c>
      <c r="AI1408" s="964" t="str">
        <f t="shared" si="965"/>
        <v/>
      </c>
      <c r="AJ1408" s="964"/>
      <c r="AK1408" s="964"/>
      <c r="AL1408"/>
      <c r="AM1408"/>
      <c r="AN1408"/>
      <c r="AO1408"/>
      <c r="AP1408"/>
      <c r="AQ1408"/>
      <c r="AR1408"/>
      <c r="AS1408"/>
      <c r="AT1408"/>
      <c r="AU1408"/>
      <c r="AV1408"/>
      <c r="AW1408"/>
      <c r="AX1408" s="9"/>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s="1396"/>
      <c r="CB1408" s="1396"/>
      <c r="CC1408"/>
      <c r="CD1408"/>
      <c r="CE1408"/>
    </row>
    <row r="1409" spans="1:83" ht="13.9" customHeight="1" outlineLevel="2" thickBot="1" x14ac:dyDescent="0.25">
      <c r="A1409"/>
      <c r="B1409" s="1"/>
      <c r="C1409"/>
      <c r="D1409"/>
      <c r="E1409"/>
      <c r="F1409"/>
      <c r="G1409" s="1"/>
      <c r="H1409" s="1"/>
      <c r="I1409"/>
      <c r="J1409"/>
      <c r="K1409"/>
      <c r="L1409"/>
      <c r="M1409"/>
      <c r="N1409"/>
      <c r="O1409"/>
      <c r="P1409"/>
      <c r="Q1409"/>
      <c r="R1409" s="558" t="s">
        <v>930</v>
      </c>
      <c r="S1409" s="956"/>
      <c r="T1409" s="58"/>
      <c r="U1409" s="957"/>
      <c r="V1409" s="43" t="str">
        <f t="shared" si="966"/>
        <v>D</v>
      </c>
      <c r="W1409" s="10"/>
      <c r="X1409" s="45" t="s">
        <v>769</v>
      </c>
      <c r="Y1409" s="10"/>
      <c r="Z1409" s="46" t="str">
        <f>Z1398</f>
        <v>F</v>
      </c>
      <c r="AA1409" s="123"/>
      <c r="AB1409" s="1459">
        <f t="shared" si="958"/>
        <v>0</v>
      </c>
      <c r="AC1409" s="1460" t="str">
        <f t="shared" si="959"/>
        <v>-</v>
      </c>
      <c r="AD1409" s="1459">
        <f t="shared" si="960"/>
        <v>0</v>
      </c>
      <c r="AE1409" s="964" t="str">
        <f t="shared" si="961"/>
        <v/>
      </c>
      <c r="AF1409" s="964" t="str">
        <f t="shared" si="962"/>
        <v/>
      </c>
      <c r="AG1409" s="964" t="str">
        <f t="shared" si="963"/>
        <v/>
      </c>
      <c r="AH1409" s="964" t="str">
        <f t="shared" si="964"/>
        <v/>
      </c>
      <c r="AI1409" s="964" t="str">
        <f t="shared" si="965"/>
        <v/>
      </c>
      <c r="AJ1409" s="964"/>
      <c r="AK1409" s="964"/>
      <c r="AL1409"/>
      <c r="AM1409"/>
      <c r="AN1409"/>
      <c r="AO1409"/>
      <c r="AP1409"/>
      <c r="AQ1409"/>
      <c r="AR1409"/>
      <c r="AS1409"/>
      <c r="AT1409"/>
      <c r="AU1409"/>
      <c r="AV1409"/>
      <c r="AW1409" s="9"/>
      <c r="AX1409" s="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s="1396"/>
      <c r="CB1409" s="1396"/>
      <c r="CC1409"/>
      <c r="CD1409"/>
      <c r="CE1409"/>
    </row>
    <row r="1410" spans="1:83" ht="13.5" outlineLevel="1" thickBot="1" x14ac:dyDescent="0.25">
      <c r="A1410"/>
      <c r="B1410" s="1"/>
      <c r="C1410" s="1"/>
      <c r="D1410" s="76"/>
      <c r="E1410" s="76"/>
      <c r="F1410" s="76"/>
      <c r="G1410" s="9"/>
      <c r="H1410" s="9"/>
      <c r="I1410" s="1"/>
      <c r="J1410"/>
      <c r="K1410"/>
      <c r="L1410"/>
      <c r="M1410"/>
      <c r="N1410"/>
      <c r="O1410"/>
      <c r="P1410" s="89"/>
      <c r="Q1410"/>
      <c r="R1410" s="1"/>
      <c r="S1410" s="993">
        <f>S1399+1</f>
        <v>9</v>
      </c>
      <c r="T1410" s="961"/>
      <c r="U1410" s="961"/>
      <c r="V1410" s="961"/>
      <c r="W1410" s="960"/>
      <c r="X1410" s="960"/>
      <c r="Y1410" s="960"/>
      <c r="Z1410" s="962"/>
      <c r="AA1410" s="123"/>
      <c r="AB1410" s="963"/>
      <c r="AC1410" s="963"/>
      <c r="AD1410" s="963"/>
      <c r="AE1410" s="964"/>
      <c r="AF1410" s="964"/>
      <c r="AG1410" s="964"/>
      <c r="AH1410" s="964"/>
      <c r="AI1410" s="964"/>
      <c r="AJ1410" s="964"/>
      <c r="AK1410" s="964"/>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s="1396"/>
      <c r="CB1410" s="1396"/>
      <c r="CC1410"/>
      <c r="CD1410"/>
      <c r="CE1410"/>
    </row>
    <row r="1411" spans="1:83" ht="13.9" customHeight="1" outlineLevel="2" thickBot="1" x14ac:dyDescent="0.25">
      <c r="A1411"/>
      <c r="B1411" s="1"/>
      <c r="C1411"/>
      <c r="D1411"/>
      <c r="E1411"/>
      <c r="F1411"/>
      <c r="G1411" s="1"/>
      <c r="H1411" s="1"/>
      <c r="I1411"/>
      <c r="J1411"/>
      <c r="K1411"/>
      <c r="L1411"/>
      <c r="M1411"/>
      <c r="N1411"/>
      <c r="O1411"/>
      <c r="P1411"/>
      <c r="Q1411"/>
      <c r="S1411" s="22" t="str">
        <f>N_Heure</f>
        <v>Heure</v>
      </c>
      <c r="T1411" s="22" t="str">
        <f>N_Table</f>
        <v>Table</v>
      </c>
      <c r="U1411" s="22" t="str">
        <f>N_Arbitre</f>
        <v>Arbitre</v>
      </c>
      <c r="V1411" s="293" t="str">
        <f>N_Matches</f>
        <v>Matches</v>
      </c>
      <c r="W1411" s="294"/>
      <c r="X1411" s="294"/>
      <c r="Y1411" s="294"/>
      <c r="Z1411" s="295"/>
      <c r="AA1411" s="8"/>
      <c r="AB1411" s="967"/>
      <c r="AC1411" s="967"/>
      <c r="AD1411" s="967"/>
      <c r="AE1411" s="964"/>
      <c r="AF1411" s="964"/>
      <c r="AG1411" s="964"/>
      <c r="AH1411" s="964"/>
      <c r="AI1411" s="964"/>
      <c r="AJ1411" s="964"/>
      <c r="AK1411" s="964"/>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s="1396"/>
      <c r="CB1411" s="1396"/>
      <c r="CC1411"/>
      <c r="CD1411"/>
      <c r="CE1411"/>
    </row>
    <row r="1412" spans="1:83" ht="13.15" customHeight="1" outlineLevel="2" x14ac:dyDescent="0.2">
      <c r="A1412"/>
      <c r="B1412" s="1"/>
      <c r="C1412"/>
      <c r="D1412"/>
      <c r="E1412"/>
      <c r="F1412"/>
      <c r="G1412" s="1"/>
      <c r="H1412" s="1"/>
      <c r="I1412"/>
      <c r="J1412"/>
      <c r="K1412"/>
      <c r="L1412"/>
      <c r="M1412"/>
      <c r="N1412"/>
      <c r="O1412"/>
      <c r="P1412"/>
      <c r="Q1412"/>
      <c r="R1412" s="558" t="s">
        <v>3971</v>
      </c>
      <c r="S1412" s="65"/>
      <c r="T1412" s="953"/>
      <c r="U1412" s="954"/>
      <c r="V1412" s="34" t="str">
        <f>Z1401</f>
        <v>A</v>
      </c>
      <c r="W1412" s="148"/>
      <c r="X1412" s="35" t="s">
        <v>769</v>
      </c>
      <c r="Y1412" s="148"/>
      <c r="Z1412" s="36" t="str">
        <f>Z1402</f>
        <v>Q</v>
      </c>
      <c r="AA1412" s="123"/>
      <c r="AB1412" s="1459">
        <f t="shared" ref="AB1412:AB1420" si="968">IF(MaxScore,MaxGoals(W1412,Y1412,MaxGoalsValue),IF(W1412="","",W1412))</f>
        <v>0</v>
      </c>
      <c r="AC1412" s="1460" t="str">
        <f t="shared" ref="AC1412:AC1420" si="969">IF(MaxScore,"-",IF(W1412="","","-"))</f>
        <v>-</v>
      </c>
      <c r="AD1412" s="1459">
        <f t="shared" ref="AD1412:AD1420" si="970">IF(MaxScore,MaxGoals(Y1412,W1412,MaxGoalsValue),IF(Y1412="","",Y1412))</f>
        <v>0</v>
      </c>
      <c r="AE1412" s="964" t="str">
        <f t="shared" ref="AE1412:AE1420" si="971">IF(W1412="","",IF(W1412&gt;Y1412,V1412,IF(W1412=Y1412,"",Z1412)))</f>
        <v/>
      </c>
      <c r="AF1412" s="964" t="str">
        <f t="shared" ref="AF1412:AF1420" si="972">IF(W1412="","",IF(W1412=Y1412,V1412,""))</f>
        <v/>
      </c>
      <c r="AG1412" s="964" t="str">
        <f t="shared" ref="AG1412:AG1420" si="973">IF(W1412="","",IF(W1412=Y1412,Z1412,""))</f>
        <v/>
      </c>
      <c r="AH1412" s="964" t="str">
        <f t="shared" ref="AH1412:AH1420" si="974">IF(W1412="","",IF(W1412&lt;Y1412,V1412,IF(W1412=Y1412,"",Z1412)))</f>
        <v/>
      </c>
      <c r="AI1412" s="964" t="str">
        <f t="shared" ref="AI1412:AI1420" si="975">CONCATENATE(AE1412,AH1412)</f>
        <v/>
      </c>
      <c r="AJ1412" s="964"/>
      <c r="AK1412" s="964"/>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s="1396"/>
      <c r="CB1412" s="1396"/>
      <c r="CC1412"/>
      <c r="CD1412"/>
      <c r="CE1412"/>
    </row>
    <row r="1413" spans="1:83" ht="13.15" customHeight="1" outlineLevel="2" x14ac:dyDescent="0.2">
      <c r="A1413"/>
      <c r="B1413" s="1"/>
      <c r="C1413"/>
      <c r="D1413"/>
      <c r="E1413"/>
      <c r="F1413"/>
      <c r="G1413" s="1"/>
      <c r="H1413" s="1"/>
      <c r="I1413"/>
      <c r="J1413"/>
      <c r="K1413"/>
      <c r="L1413"/>
      <c r="M1413"/>
      <c r="N1413"/>
      <c r="O1413"/>
      <c r="P1413"/>
      <c r="Q1413"/>
      <c r="R1413" s="558" t="s">
        <v>3971</v>
      </c>
      <c r="S1413" s="83"/>
      <c r="T1413" s="56"/>
      <c r="U1413" s="955"/>
      <c r="V1413" s="43" t="str">
        <f t="shared" ref="V1413:V1419" si="976">Z1403</f>
        <v>R</v>
      </c>
      <c r="W1413" s="10"/>
      <c r="X1413" s="45" t="s">
        <v>769</v>
      </c>
      <c r="Y1413" s="10"/>
      <c r="Z1413" s="46" t="str">
        <f t="shared" ref="Z1413:Z1419" si="977">V1401</f>
        <v>O</v>
      </c>
      <c r="AA1413" s="123"/>
      <c r="AB1413" s="1459">
        <f t="shared" si="968"/>
        <v>0</v>
      </c>
      <c r="AC1413" s="1460" t="str">
        <f t="shared" si="969"/>
        <v>-</v>
      </c>
      <c r="AD1413" s="1459">
        <f t="shared" si="970"/>
        <v>0</v>
      </c>
      <c r="AE1413" s="964" t="str">
        <f t="shared" si="971"/>
        <v/>
      </c>
      <c r="AF1413" s="964" t="str">
        <f t="shared" si="972"/>
        <v/>
      </c>
      <c r="AG1413" s="964" t="str">
        <f t="shared" si="973"/>
        <v/>
      </c>
      <c r="AH1413" s="964" t="str">
        <f t="shared" si="974"/>
        <v/>
      </c>
      <c r="AI1413" s="964" t="str">
        <f t="shared" si="975"/>
        <v/>
      </c>
      <c r="AJ1413" s="964"/>
      <c r="AK1413" s="964"/>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s="1396"/>
      <c r="CB1413" s="1396"/>
      <c r="CC1413"/>
      <c r="CD1413"/>
      <c r="CE1413"/>
    </row>
    <row r="1414" spans="1:83" ht="13.15" customHeight="1" outlineLevel="2" x14ac:dyDescent="0.2">
      <c r="A1414"/>
      <c r="B1414" s="1"/>
      <c r="C1414"/>
      <c r="D1414"/>
      <c r="E1414"/>
      <c r="F1414"/>
      <c r="G1414" s="1"/>
      <c r="H1414" s="1"/>
      <c r="I1414"/>
      <c r="J1414"/>
      <c r="K1414"/>
      <c r="L1414"/>
      <c r="M1414"/>
      <c r="N1414"/>
      <c r="O1414"/>
      <c r="P1414"/>
      <c r="Q1414"/>
      <c r="R1414" s="558" t="s">
        <v>3971</v>
      </c>
      <c r="S1414" s="83"/>
      <c r="T1414" s="56"/>
      <c r="U1414" s="955"/>
      <c r="V1414" s="43" t="str">
        <f t="shared" si="976"/>
        <v>P</v>
      </c>
      <c r="W1414" s="10"/>
      <c r="X1414" s="45" t="s">
        <v>769</v>
      </c>
      <c r="Y1414" s="10"/>
      <c r="Z1414" s="46" t="str">
        <f t="shared" si="977"/>
        <v>M</v>
      </c>
      <c r="AA1414" s="123"/>
      <c r="AB1414" s="1459">
        <f t="shared" si="968"/>
        <v>0</v>
      </c>
      <c r="AC1414" s="1460" t="str">
        <f t="shared" si="969"/>
        <v>-</v>
      </c>
      <c r="AD1414" s="1459">
        <f t="shared" si="970"/>
        <v>0</v>
      </c>
      <c r="AE1414" s="964" t="str">
        <f t="shared" si="971"/>
        <v/>
      </c>
      <c r="AF1414" s="964" t="str">
        <f t="shared" si="972"/>
        <v/>
      </c>
      <c r="AG1414" s="964" t="str">
        <f t="shared" si="973"/>
        <v/>
      </c>
      <c r="AH1414" s="964" t="str">
        <f t="shared" si="974"/>
        <v/>
      </c>
      <c r="AI1414" s="964" t="str">
        <f t="shared" si="975"/>
        <v/>
      </c>
      <c r="AJ1414" s="964"/>
      <c r="AK1414" s="964"/>
      <c r="AL1414"/>
      <c r="AM1414"/>
      <c r="AN1414"/>
      <c r="AO1414"/>
      <c r="AP1414"/>
      <c r="AQ1414"/>
      <c r="AR1414"/>
      <c r="AS1414"/>
      <c r="AT1414"/>
      <c r="AU1414"/>
      <c r="AV1414"/>
      <c r="AW1414"/>
      <c r="AX1414" s="9"/>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s="1396"/>
      <c r="CB1414" s="1396"/>
      <c r="CC1414"/>
      <c r="CD1414"/>
      <c r="CE1414"/>
    </row>
    <row r="1415" spans="1:83" ht="13.15" customHeight="1" outlineLevel="2" x14ac:dyDescent="0.2">
      <c r="A1415"/>
      <c r="B1415" s="1"/>
      <c r="C1415"/>
      <c r="D1415"/>
      <c r="E1415"/>
      <c r="F1415"/>
      <c r="G1415" s="1"/>
      <c r="H1415" s="1"/>
      <c r="I1415"/>
      <c r="J1415"/>
      <c r="K1415"/>
      <c r="L1415"/>
      <c r="M1415"/>
      <c r="N1415"/>
      <c r="O1415"/>
      <c r="P1415"/>
      <c r="Q1415"/>
      <c r="R1415" s="558" t="s">
        <v>3971</v>
      </c>
      <c r="S1415" s="83"/>
      <c r="T1415" s="56"/>
      <c r="U1415" s="955"/>
      <c r="V1415" s="43" t="str">
        <f t="shared" si="976"/>
        <v>N</v>
      </c>
      <c r="W1415" s="10"/>
      <c r="X1415" s="45" t="s">
        <v>769</v>
      </c>
      <c r="Y1415" s="10"/>
      <c r="Z1415" s="46" t="str">
        <f t="shared" si="977"/>
        <v>K</v>
      </c>
      <c r="AA1415" s="123"/>
      <c r="AB1415" s="1459">
        <f t="shared" si="968"/>
        <v>0</v>
      </c>
      <c r="AC1415" s="1460" t="str">
        <f t="shared" si="969"/>
        <v>-</v>
      </c>
      <c r="AD1415" s="1459">
        <f t="shared" si="970"/>
        <v>0</v>
      </c>
      <c r="AE1415" s="964" t="str">
        <f t="shared" si="971"/>
        <v/>
      </c>
      <c r="AF1415" s="964" t="str">
        <f t="shared" si="972"/>
        <v/>
      </c>
      <c r="AG1415" s="964" t="str">
        <f t="shared" si="973"/>
        <v/>
      </c>
      <c r="AH1415" s="964" t="str">
        <f t="shared" si="974"/>
        <v/>
      </c>
      <c r="AI1415" s="964" t="str">
        <f t="shared" si="975"/>
        <v/>
      </c>
      <c r="AJ1415" s="964"/>
      <c r="AK1415" s="964"/>
      <c r="AL1415"/>
      <c r="AM1415"/>
      <c r="AN1415"/>
      <c r="AO1415"/>
      <c r="AP1415"/>
      <c r="AQ1415"/>
      <c r="AR1415"/>
      <c r="AS1415"/>
      <c r="AT1415"/>
      <c r="AU1415"/>
      <c r="AV1415"/>
      <c r="AW1415" s="9"/>
      <c r="AX1415" s="9"/>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s="1396"/>
      <c r="CB1415" s="1396"/>
      <c r="CC1415"/>
      <c r="CD1415"/>
      <c r="CE1415"/>
    </row>
    <row r="1416" spans="1:83" ht="13.15" customHeight="1" outlineLevel="2" x14ac:dyDescent="0.2">
      <c r="A1416"/>
      <c r="B1416" s="1"/>
      <c r="C1416"/>
      <c r="D1416"/>
      <c r="E1416"/>
      <c r="F1416"/>
      <c r="G1416" s="1"/>
      <c r="H1416" s="1"/>
      <c r="I1416"/>
      <c r="J1416"/>
      <c r="K1416"/>
      <c r="L1416"/>
      <c r="M1416"/>
      <c r="N1416"/>
      <c r="O1416"/>
      <c r="P1416"/>
      <c r="Q1416"/>
      <c r="R1416" s="558" t="s">
        <v>3971</v>
      </c>
      <c r="S1416" s="83"/>
      <c r="T1416" s="56"/>
      <c r="U1416" s="955"/>
      <c r="V1416" s="43" t="str">
        <f t="shared" si="976"/>
        <v>L</v>
      </c>
      <c r="W1416" s="10"/>
      <c r="X1416" s="45" t="s">
        <v>769</v>
      </c>
      <c r="Y1416" s="10"/>
      <c r="Z1416" s="46" t="str">
        <f t="shared" si="977"/>
        <v>I</v>
      </c>
      <c r="AA1416" s="123"/>
      <c r="AB1416" s="1459">
        <f t="shared" si="968"/>
        <v>0</v>
      </c>
      <c r="AC1416" s="1460" t="str">
        <f t="shared" si="969"/>
        <v>-</v>
      </c>
      <c r="AD1416" s="1459">
        <f t="shared" si="970"/>
        <v>0</v>
      </c>
      <c r="AE1416" s="964" t="str">
        <f t="shared" si="971"/>
        <v/>
      </c>
      <c r="AF1416" s="964" t="str">
        <f t="shared" si="972"/>
        <v/>
      </c>
      <c r="AG1416" s="964" t="str">
        <f t="shared" si="973"/>
        <v/>
      </c>
      <c r="AH1416" s="964" t="str">
        <f t="shared" si="974"/>
        <v/>
      </c>
      <c r="AI1416" s="964" t="str">
        <f t="shared" si="975"/>
        <v/>
      </c>
      <c r="AJ1416" s="964"/>
      <c r="AK1416" s="964"/>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s="1396"/>
      <c r="CB1416" s="1396"/>
      <c r="CC1416"/>
      <c r="CD1416"/>
      <c r="CE1416"/>
    </row>
    <row r="1417" spans="1:83" ht="13.15" customHeight="1" outlineLevel="2" x14ac:dyDescent="0.2">
      <c r="A1417"/>
      <c r="B1417" s="1"/>
      <c r="C1417"/>
      <c r="D1417"/>
      <c r="E1417"/>
      <c r="F1417"/>
      <c r="G1417" s="1"/>
      <c r="H1417" s="1"/>
      <c r="I1417"/>
      <c r="J1417"/>
      <c r="K1417"/>
      <c r="L1417"/>
      <c r="M1417"/>
      <c r="N1417"/>
      <c r="O1417"/>
      <c r="P1417"/>
      <c r="Q1417"/>
      <c r="R1417" s="558" t="s">
        <v>3971</v>
      </c>
      <c r="S1417" s="83"/>
      <c r="T1417" s="56"/>
      <c r="U1417" s="955"/>
      <c r="V1417" s="43" t="str">
        <f t="shared" si="976"/>
        <v>J</v>
      </c>
      <c r="W1417" s="10"/>
      <c r="X1417" s="45" t="s">
        <v>769</v>
      </c>
      <c r="Y1417" s="10"/>
      <c r="Z1417" s="46" t="str">
        <f t="shared" si="977"/>
        <v>G</v>
      </c>
      <c r="AA1417" s="123"/>
      <c r="AB1417" s="1459">
        <f t="shared" si="968"/>
        <v>0</v>
      </c>
      <c r="AC1417" s="1460" t="str">
        <f t="shared" si="969"/>
        <v>-</v>
      </c>
      <c r="AD1417" s="1459">
        <f t="shared" si="970"/>
        <v>0</v>
      </c>
      <c r="AE1417" s="964" t="str">
        <f t="shared" si="971"/>
        <v/>
      </c>
      <c r="AF1417" s="964" t="str">
        <f t="shared" si="972"/>
        <v/>
      </c>
      <c r="AG1417" s="964" t="str">
        <f t="shared" si="973"/>
        <v/>
      </c>
      <c r="AH1417" s="964" t="str">
        <f t="shared" si="974"/>
        <v/>
      </c>
      <c r="AI1417" s="964" t="str">
        <f t="shared" si="975"/>
        <v/>
      </c>
      <c r="AJ1417" s="964"/>
      <c r="AK1417" s="964"/>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s="1396"/>
      <c r="CB1417" s="1396"/>
      <c r="CC1417"/>
      <c r="CD1417"/>
      <c r="CE1417"/>
    </row>
    <row r="1418" spans="1:83" ht="13.15" customHeight="1" outlineLevel="2" x14ac:dyDescent="0.2">
      <c r="A1418"/>
      <c r="B1418" s="1"/>
      <c r="C1418"/>
      <c r="D1418"/>
      <c r="E1418"/>
      <c r="F1418"/>
      <c r="G1418" s="1"/>
      <c r="H1418" s="1"/>
      <c r="I1418"/>
      <c r="J1418"/>
      <c r="K1418"/>
      <c r="L1418"/>
      <c r="M1418"/>
      <c r="N1418"/>
      <c r="O1418"/>
      <c r="P1418"/>
      <c r="Q1418"/>
      <c r="R1418" s="558" t="s">
        <v>3971</v>
      </c>
      <c r="S1418" s="83"/>
      <c r="T1418" s="56"/>
      <c r="U1418" s="955"/>
      <c r="V1418" s="43" t="str">
        <f t="shared" si="976"/>
        <v>H</v>
      </c>
      <c r="W1418" s="10"/>
      <c r="X1418" s="45" t="s">
        <v>769</v>
      </c>
      <c r="Y1418" s="10"/>
      <c r="Z1418" s="46" t="str">
        <f t="shared" si="977"/>
        <v>E</v>
      </c>
      <c r="AA1418" s="123"/>
      <c r="AB1418" s="1459">
        <f t="shared" si="968"/>
        <v>0</v>
      </c>
      <c r="AC1418" s="1460" t="str">
        <f t="shared" si="969"/>
        <v>-</v>
      </c>
      <c r="AD1418" s="1459">
        <f t="shared" si="970"/>
        <v>0</v>
      </c>
      <c r="AE1418" s="964" t="str">
        <f t="shared" si="971"/>
        <v/>
      </c>
      <c r="AF1418" s="964" t="str">
        <f t="shared" si="972"/>
        <v/>
      </c>
      <c r="AG1418" s="964" t="str">
        <f t="shared" si="973"/>
        <v/>
      </c>
      <c r="AH1418" s="964" t="str">
        <f t="shared" si="974"/>
        <v/>
      </c>
      <c r="AI1418" s="964" t="str">
        <f t="shared" si="975"/>
        <v/>
      </c>
      <c r="AJ1418" s="964"/>
      <c r="AK1418" s="964"/>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s="1396"/>
      <c r="CB1418" s="1396"/>
      <c r="CC1418"/>
      <c r="CD1418"/>
      <c r="CE1418"/>
    </row>
    <row r="1419" spans="1:83" ht="13.15" customHeight="1" outlineLevel="2" x14ac:dyDescent="0.2">
      <c r="A1419"/>
      <c r="B1419" s="1"/>
      <c r="C1419"/>
      <c r="D1419"/>
      <c r="E1419"/>
      <c r="F1419"/>
      <c r="G1419" s="1"/>
      <c r="H1419" s="1"/>
      <c r="I1419"/>
      <c r="J1419"/>
      <c r="K1419"/>
      <c r="L1419"/>
      <c r="M1419"/>
      <c r="N1419"/>
      <c r="O1419"/>
      <c r="P1419"/>
      <c r="Q1419"/>
      <c r="R1419" s="558" t="s">
        <v>3971</v>
      </c>
      <c r="S1419" s="83"/>
      <c r="T1419" s="56"/>
      <c r="U1419" s="955"/>
      <c r="V1419" s="43" t="str">
        <f t="shared" si="976"/>
        <v>F</v>
      </c>
      <c r="W1419" s="10"/>
      <c r="X1419" s="45" t="s">
        <v>769</v>
      </c>
      <c r="Y1419" s="10"/>
      <c r="Z1419" s="46" t="str">
        <f t="shared" si="977"/>
        <v>C</v>
      </c>
      <c r="AA1419" s="123"/>
      <c r="AB1419" s="1459">
        <f t="shared" si="968"/>
        <v>0</v>
      </c>
      <c r="AC1419" s="1460" t="str">
        <f t="shared" si="969"/>
        <v>-</v>
      </c>
      <c r="AD1419" s="1459">
        <f t="shared" si="970"/>
        <v>0</v>
      </c>
      <c r="AE1419" s="964" t="str">
        <f t="shared" si="971"/>
        <v/>
      </c>
      <c r="AF1419" s="964" t="str">
        <f t="shared" si="972"/>
        <v/>
      </c>
      <c r="AG1419" s="964" t="str">
        <f t="shared" si="973"/>
        <v/>
      </c>
      <c r="AH1419" s="964" t="str">
        <f t="shared" si="974"/>
        <v/>
      </c>
      <c r="AI1419" s="964" t="str">
        <f t="shared" si="975"/>
        <v/>
      </c>
      <c r="AJ1419" s="964"/>
      <c r="AK1419" s="964"/>
      <c r="AL1419"/>
      <c r="AM1419"/>
      <c r="AN1419"/>
      <c r="AO1419"/>
      <c r="AP1419"/>
      <c r="AQ1419"/>
      <c r="AR1419"/>
      <c r="AS1419"/>
      <c r="AT1419"/>
      <c r="AU1419"/>
      <c r="AV1419"/>
      <c r="AW1419"/>
      <c r="AX1419" s="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s="1396"/>
      <c r="CB1419" s="1396"/>
      <c r="CC1419"/>
      <c r="CD1419"/>
      <c r="CE1419"/>
    </row>
    <row r="1420" spans="1:83" ht="13.9" customHeight="1" outlineLevel="2" thickBot="1" x14ac:dyDescent="0.25">
      <c r="A1420"/>
      <c r="B1420" s="1"/>
      <c r="C1420"/>
      <c r="D1420"/>
      <c r="E1420"/>
      <c r="F1420"/>
      <c r="G1420" s="1"/>
      <c r="H1420" s="1"/>
      <c r="I1420"/>
      <c r="J1420"/>
      <c r="K1420"/>
      <c r="L1420"/>
      <c r="M1420"/>
      <c r="N1420"/>
      <c r="O1420"/>
      <c r="P1420"/>
      <c r="Q1420"/>
      <c r="R1420" s="558" t="s">
        <v>3971</v>
      </c>
      <c r="S1420" s="956"/>
      <c r="T1420" s="58"/>
      <c r="U1420" s="957"/>
      <c r="V1420" s="958" t="str">
        <f>V1409</f>
        <v>D</v>
      </c>
      <c r="W1420" s="10"/>
      <c r="X1420" s="45" t="s">
        <v>769</v>
      </c>
      <c r="Y1420" s="10"/>
      <c r="Z1420" s="46" t="str">
        <f>V1408</f>
        <v>B</v>
      </c>
      <c r="AA1420" s="123"/>
      <c r="AB1420" s="1459">
        <f t="shared" si="968"/>
        <v>0</v>
      </c>
      <c r="AC1420" s="1460" t="str">
        <f t="shared" si="969"/>
        <v>-</v>
      </c>
      <c r="AD1420" s="1459">
        <f t="shared" si="970"/>
        <v>0</v>
      </c>
      <c r="AE1420" s="964" t="str">
        <f t="shared" si="971"/>
        <v/>
      </c>
      <c r="AF1420" s="964" t="str">
        <f t="shared" si="972"/>
        <v/>
      </c>
      <c r="AG1420" s="964" t="str">
        <f t="shared" si="973"/>
        <v/>
      </c>
      <c r="AH1420" s="964" t="str">
        <f t="shared" si="974"/>
        <v/>
      </c>
      <c r="AI1420" s="964" t="str">
        <f t="shared" si="975"/>
        <v/>
      </c>
      <c r="AJ1420" s="964"/>
      <c r="AK1420" s="964"/>
      <c r="AL1420"/>
      <c r="AM1420"/>
      <c r="AN1420"/>
      <c r="AO1420"/>
      <c r="AP1420"/>
      <c r="AQ1420"/>
      <c r="AR1420"/>
      <c r="AS1420"/>
      <c r="AT1420"/>
      <c r="AU1420"/>
      <c r="AV1420"/>
      <c r="AW1420" s="9"/>
      <c r="AX1420" s="9"/>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s="1396"/>
      <c r="CB1420" s="1396"/>
      <c r="CC1420"/>
      <c r="CD1420"/>
      <c r="CE1420"/>
    </row>
    <row r="1421" spans="1:83" ht="13.5" outlineLevel="1" thickBot="1" x14ac:dyDescent="0.25">
      <c r="A1421"/>
      <c r="B1421" s="1"/>
      <c r="C1421" s="1"/>
      <c r="D1421" s="76"/>
      <c r="E1421" s="76"/>
      <c r="F1421" s="76"/>
      <c r="G1421" s="9"/>
      <c r="H1421" s="9"/>
      <c r="I1421" s="1"/>
      <c r="J1421"/>
      <c r="K1421"/>
      <c r="L1421"/>
      <c r="M1421"/>
      <c r="N1421"/>
      <c r="O1421"/>
      <c r="P1421" s="89"/>
      <c r="Q1421"/>
      <c r="R1421" s="1"/>
      <c r="S1421" s="993">
        <f>S1410+1</f>
        <v>10</v>
      </c>
      <c r="T1421" s="961"/>
      <c r="U1421" s="961"/>
      <c r="V1421" s="961"/>
      <c r="W1421" s="960"/>
      <c r="X1421" s="960"/>
      <c r="Y1421" s="960"/>
      <c r="Z1421" s="962"/>
      <c r="AA1421" s="123"/>
      <c r="AB1421" s="963"/>
      <c r="AC1421" s="963"/>
      <c r="AD1421" s="963"/>
      <c r="AE1421" s="964"/>
      <c r="AF1421" s="964"/>
      <c r="AG1421" s="964"/>
      <c r="AH1421" s="964"/>
      <c r="AI1421" s="964"/>
      <c r="AJ1421" s="964"/>
      <c r="AK1421" s="964"/>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s="1396"/>
      <c r="CB1421" s="1396"/>
      <c r="CC1421"/>
      <c r="CD1421"/>
      <c r="CE1421"/>
    </row>
    <row r="1422" spans="1:83" ht="13.9" customHeight="1" outlineLevel="2" thickBot="1" x14ac:dyDescent="0.25">
      <c r="A1422"/>
      <c r="B1422" s="1"/>
      <c r="C1422"/>
      <c r="D1422"/>
      <c r="E1422"/>
      <c r="F1422"/>
      <c r="G1422" s="1"/>
      <c r="H1422" s="1"/>
      <c r="I1422"/>
      <c r="J1422"/>
      <c r="K1422"/>
      <c r="L1422"/>
      <c r="M1422"/>
      <c r="N1422"/>
      <c r="O1422"/>
      <c r="P1422"/>
      <c r="Q1422"/>
      <c r="S1422" s="22" t="str">
        <f>N_Heure</f>
        <v>Heure</v>
      </c>
      <c r="T1422" s="22" t="str">
        <f>N_Table</f>
        <v>Table</v>
      </c>
      <c r="U1422" s="22" t="str">
        <f>N_Arbitre</f>
        <v>Arbitre</v>
      </c>
      <c r="V1422" s="293" t="str">
        <f>N_Matches</f>
        <v>Matches</v>
      </c>
      <c r="W1422" s="294"/>
      <c r="X1422" s="294"/>
      <c r="Y1422" s="294"/>
      <c r="Z1422" s="295"/>
      <c r="AA1422" s="8"/>
      <c r="AB1422" s="967"/>
      <c r="AC1422" s="967"/>
      <c r="AD1422" s="967"/>
      <c r="AE1422" s="964"/>
      <c r="AF1422" s="964"/>
      <c r="AG1422" s="964"/>
      <c r="AH1422" s="964"/>
      <c r="AI1422" s="964"/>
      <c r="AJ1422" s="964"/>
      <c r="AK1422" s="964"/>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s="1396"/>
      <c r="CB1422" s="1396"/>
      <c r="CC1422"/>
      <c r="CD1422"/>
      <c r="CE1422"/>
    </row>
    <row r="1423" spans="1:83" ht="13.15" customHeight="1" outlineLevel="2" x14ac:dyDescent="0.2">
      <c r="A1423"/>
      <c r="B1423" s="1"/>
      <c r="C1423"/>
      <c r="D1423"/>
      <c r="E1423"/>
      <c r="F1423"/>
      <c r="G1423" s="1"/>
      <c r="H1423" s="1"/>
      <c r="I1423"/>
      <c r="J1423"/>
      <c r="K1423"/>
      <c r="L1423"/>
      <c r="M1423"/>
      <c r="N1423"/>
      <c r="O1423"/>
      <c r="P1423"/>
      <c r="Q1423"/>
      <c r="R1423" s="558" t="s">
        <v>3972</v>
      </c>
      <c r="S1423" s="65"/>
      <c r="T1423" s="953"/>
      <c r="U1423" s="954"/>
      <c r="V1423" s="34" t="str">
        <f>V1413</f>
        <v>R</v>
      </c>
      <c r="W1423" s="148"/>
      <c r="X1423" s="35" t="s">
        <v>769</v>
      </c>
      <c r="Y1423" s="148"/>
      <c r="Z1423" s="36" t="str">
        <f>V1412</f>
        <v>A</v>
      </c>
      <c r="AA1423" s="123"/>
      <c r="AB1423" s="1459">
        <f t="shared" ref="AB1423:AB1431" si="978">IF(MaxScore,MaxGoals(W1423,Y1423,MaxGoalsValue),IF(W1423="","",W1423))</f>
        <v>0</v>
      </c>
      <c r="AC1423" s="1460" t="str">
        <f t="shared" ref="AC1423:AC1431" si="979">IF(MaxScore,"-",IF(W1423="","","-"))</f>
        <v>-</v>
      </c>
      <c r="AD1423" s="1459">
        <f t="shared" ref="AD1423:AD1431" si="980">IF(MaxScore,MaxGoals(Y1423,W1423,MaxGoalsValue),IF(Y1423="","",Y1423))</f>
        <v>0</v>
      </c>
      <c r="AE1423" s="964" t="str">
        <f t="shared" ref="AE1423:AE1431" si="981">IF(W1423="","",IF(W1423&gt;Y1423,V1423,IF(W1423=Y1423,"",Z1423)))</f>
        <v/>
      </c>
      <c r="AF1423" s="964" t="str">
        <f t="shared" ref="AF1423:AF1431" si="982">IF(W1423="","",IF(W1423=Y1423,V1423,""))</f>
        <v/>
      </c>
      <c r="AG1423" s="964" t="str">
        <f t="shared" ref="AG1423:AG1431" si="983">IF(W1423="","",IF(W1423=Y1423,Z1423,""))</f>
        <v/>
      </c>
      <c r="AH1423" s="964" t="str">
        <f t="shared" ref="AH1423:AH1431" si="984">IF(W1423="","",IF(W1423&lt;Y1423,V1423,IF(W1423=Y1423,"",Z1423)))</f>
        <v/>
      </c>
      <c r="AI1423" s="964" t="str">
        <f t="shared" ref="AI1423:AI1431" si="985">CONCATENATE(AE1423,AH1423)</f>
        <v/>
      </c>
      <c r="AJ1423" s="964"/>
      <c r="AK1423" s="964"/>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s="1396"/>
      <c r="CB1423" s="1396"/>
      <c r="CC1423"/>
      <c r="CD1423"/>
      <c r="CE1423"/>
    </row>
    <row r="1424" spans="1:83" ht="13.15" customHeight="1" outlineLevel="2" x14ac:dyDescent="0.2">
      <c r="A1424"/>
      <c r="B1424" s="1"/>
      <c r="C1424"/>
      <c r="D1424"/>
      <c r="E1424"/>
      <c r="F1424"/>
      <c r="G1424" s="1"/>
      <c r="H1424" s="1"/>
      <c r="I1424"/>
      <c r="J1424"/>
      <c r="K1424"/>
      <c r="L1424"/>
      <c r="M1424"/>
      <c r="N1424"/>
      <c r="O1424"/>
      <c r="P1424"/>
      <c r="Q1424"/>
      <c r="R1424" s="558" t="s">
        <v>3972</v>
      </c>
      <c r="S1424" s="83"/>
      <c r="T1424" s="56"/>
      <c r="U1424" s="955"/>
      <c r="V1424" s="43" t="str">
        <f t="shared" ref="V1424:V1431" si="986">Z1412</f>
        <v>Q</v>
      </c>
      <c r="W1424" s="10"/>
      <c r="X1424" s="45" t="s">
        <v>769</v>
      </c>
      <c r="Y1424" s="10"/>
      <c r="Z1424" s="46" t="str">
        <f t="shared" ref="Z1424:Z1430" si="987">V1414</f>
        <v>P</v>
      </c>
      <c r="AA1424" s="123"/>
      <c r="AB1424" s="1459">
        <f t="shared" si="978"/>
        <v>0</v>
      </c>
      <c r="AC1424" s="1460" t="str">
        <f t="shared" si="979"/>
        <v>-</v>
      </c>
      <c r="AD1424" s="1459">
        <f t="shared" si="980"/>
        <v>0</v>
      </c>
      <c r="AE1424" s="964" t="str">
        <f t="shared" si="981"/>
        <v/>
      </c>
      <c r="AF1424" s="964" t="str">
        <f t="shared" si="982"/>
        <v/>
      </c>
      <c r="AG1424" s="964" t="str">
        <f t="shared" si="983"/>
        <v/>
      </c>
      <c r="AH1424" s="964" t="str">
        <f t="shared" si="984"/>
        <v/>
      </c>
      <c r="AI1424" s="964" t="str">
        <f t="shared" si="985"/>
        <v/>
      </c>
      <c r="AJ1424" s="964"/>
      <c r="AK1424" s="96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s="1396"/>
      <c r="CB1424" s="1396"/>
      <c r="CC1424"/>
      <c r="CD1424"/>
      <c r="CE1424"/>
    </row>
    <row r="1425" spans="1:83" ht="13.15" customHeight="1" outlineLevel="2" x14ac:dyDescent="0.2">
      <c r="A1425"/>
      <c r="B1425" s="1"/>
      <c r="C1425"/>
      <c r="D1425"/>
      <c r="E1425"/>
      <c r="F1425"/>
      <c r="G1425" s="1"/>
      <c r="H1425" s="1"/>
      <c r="I1425"/>
      <c r="J1425"/>
      <c r="K1425"/>
      <c r="L1425"/>
      <c r="M1425"/>
      <c r="N1425"/>
      <c r="O1425"/>
      <c r="P1425"/>
      <c r="Q1425"/>
      <c r="R1425" s="558" t="s">
        <v>3972</v>
      </c>
      <c r="S1425" s="83"/>
      <c r="T1425" s="56"/>
      <c r="U1425" s="955"/>
      <c r="V1425" s="43" t="str">
        <f t="shared" si="986"/>
        <v>O</v>
      </c>
      <c r="W1425" s="10"/>
      <c r="X1425" s="45" t="s">
        <v>769</v>
      </c>
      <c r="Y1425" s="10"/>
      <c r="Z1425" s="46" t="str">
        <f t="shared" si="987"/>
        <v>N</v>
      </c>
      <c r="AA1425" s="123"/>
      <c r="AB1425" s="1459">
        <f t="shared" si="978"/>
        <v>0</v>
      </c>
      <c r="AC1425" s="1460" t="str">
        <f t="shared" si="979"/>
        <v>-</v>
      </c>
      <c r="AD1425" s="1459">
        <f t="shared" si="980"/>
        <v>0</v>
      </c>
      <c r="AE1425" s="964" t="str">
        <f t="shared" si="981"/>
        <v/>
      </c>
      <c r="AF1425" s="964" t="str">
        <f t="shared" si="982"/>
        <v/>
      </c>
      <c r="AG1425" s="964" t="str">
        <f t="shared" si="983"/>
        <v/>
      </c>
      <c r="AH1425" s="964" t="str">
        <f t="shared" si="984"/>
        <v/>
      </c>
      <c r="AI1425" s="964" t="str">
        <f t="shared" si="985"/>
        <v/>
      </c>
      <c r="AJ1425" s="964"/>
      <c r="AK1425" s="964"/>
      <c r="AL1425"/>
      <c r="AM1425"/>
      <c r="AN1425"/>
      <c r="AO1425"/>
      <c r="AP1425"/>
      <c r="AQ1425"/>
      <c r="AR1425"/>
      <c r="AS1425"/>
      <c r="AT1425"/>
      <c r="AU1425"/>
      <c r="AV1425"/>
      <c r="AW1425"/>
      <c r="AX1425" s="9"/>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s="1396"/>
      <c r="CB1425" s="1396"/>
      <c r="CC1425"/>
      <c r="CD1425"/>
      <c r="CE1425"/>
    </row>
    <row r="1426" spans="1:83" ht="13.15" customHeight="1" outlineLevel="2" x14ac:dyDescent="0.2">
      <c r="A1426"/>
      <c r="B1426" s="1"/>
      <c r="C1426"/>
      <c r="D1426"/>
      <c r="E1426"/>
      <c r="F1426"/>
      <c r="G1426" s="1"/>
      <c r="H1426" s="1"/>
      <c r="I1426"/>
      <c r="J1426"/>
      <c r="K1426"/>
      <c r="L1426"/>
      <c r="M1426"/>
      <c r="N1426"/>
      <c r="O1426"/>
      <c r="P1426"/>
      <c r="Q1426"/>
      <c r="R1426" s="558" t="s">
        <v>3972</v>
      </c>
      <c r="S1426" s="83"/>
      <c r="T1426" s="56"/>
      <c r="U1426" s="955"/>
      <c r="V1426" s="43" t="str">
        <f t="shared" si="986"/>
        <v>M</v>
      </c>
      <c r="W1426" s="10"/>
      <c r="X1426" s="45" t="s">
        <v>769</v>
      </c>
      <c r="Y1426" s="10"/>
      <c r="Z1426" s="46" t="str">
        <f t="shared" si="987"/>
        <v>L</v>
      </c>
      <c r="AA1426" s="123"/>
      <c r="AB1426" s="1459">
        <f t="shared" si="978"/>
        <v>0</v>
      </c>
      <c r="AC1426" s="1460" t="str">
        <f t="shared" si="979"/>
        <v>-</v>
      </c>
      <c r="AD1426" s="1459">
        <f t="shared" si="980"/>
        <v>0</v>
      </c>
      <c r="AE1426" s="964" t="str">
        <f t="shared" si="981"/>
        <v/>
      </c>
      <c r="AF1426" s="964" t="str">
        <f t="shared" si="982"/>
        <v/>
      </c>
      <c r="AG1426" s="964" t="str">
        <f t="shared" si="983"/>
        <v/>
      </c>
      <c r="AH1426" s="964" t="str">
        <f t="shared" si="984"/>
        <v/>
      </c>
      <c r="AI1426" s="964" t="str">
        <f t="shared" si="985"/>
        <v/>
      </c>
      <c r="AJ1426" s="964"/>
      <c r="AK1426" s="964"/>
      <c r="AL1426"/>
      <c r="AM1426"/>
      <c r="AN1426"/>
      <c r="AO1426"/>
      <c r="AP1426"/>
      <c r="AQ1426"/>
      <c r="AR1426"/>
      <c r="AS1426"/>
      <c r="AT1426"/>
      <c r="AU1426"/>
      <c r="AV1426"/>
      <c r="AW1426" s="9"/>
      <c r="AX1426" s="9"/>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s="1396"/>
      <c r="CB1426" s="1396"/>
      <c r="CC1426"/>
      <c r="CD1426"/>
      <c r="CE1426"/>
    </row>
    <row r="1427" spans="1:83" ht="13.15" customHeight="1" outlineLevel="2" x14ac:dyDescent="0.2">
      <c r="A1427"/>
      <c r="B1427" s="1"/>
      <c r="C1427"/>
      <c r="D1427"/>
      <c r="E1427"/>
      <c r="F1427"/>
      <c r="G1427" s="1"/>
      <c r="H1427" s="1"/>
      <c r="I1427"/>
      <c r="J1427"/>
      <c r="K1427"/>
      <c r="L1427"/>
      <c r="M1427"/>
      <c r="N1427"/>
      <c r="O1427"/>
      <c r="P1427"/>
      <c r="Q1427"/>
      <c r="R1427" s="558" t="s">
        <v>3972</v>
      </c>
      <c r="S1427" s="83"/>
      <c r="T1427" s="56"/>
      <c r="U1427" s="955"/>
      <c r="V1427" s="43" t="str">
        <f t="shared" si="986"/>
        <v>K</v>
      </c>
      <c r="W1427" s="10"/>
      <c r="X1427" s="45" t="s">
        <v>769</v>
      </c>
      <c r="Y1427" s="10"/>
      <c r="Z1427" s="46" t="str">
        <f t="shared" si="987"/>
        <v>J</v>
      </c>
      <c r="AA1427" s="123"/>
      <c r="AB1427" s="1459">
        <f t="shared" si="978"/>
        <v>0</v>
      </c>
      <c r="AC1427" s="1460" t="str">
        <f t="shared" si="979"/>
        <v>-</v>
      </c>
      <c r="AD1427" s="1459">
        <f t="shared" si="980"/>
        <v>0</v>
      </c>
      <c r="AE1427" s="964" t="str">
        <f t="shared" si="981"/>
        <v/>
      </c>
      <c r="AF1427" s="964" t="str">
        <f t="shared" si="982"/>
        <v/>
      </c>
      <c r="AG1427" s="964" t="str">
        <f t="shared" si="983"/>
        <v/>
      </c>
      <c r="AH1427" s="964" t="str">
        <f t="shared" si="984"/>
        <v/>
      </c>
      <c r="AI1427" s="964" t="str">
        <f t="shared" si="985"/>
        <v/>
      </c>
      <c r="AJ1427" s="964"/>
      <c r="AK1427" s="964"/>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s="1396"/>
      <c r="CB1427" s="1396"/>
      <c r="CC1427"/>
      <c r="CD1427"/>
      <c r="CE1427"/>
    </row>
    <row r="1428" spans="1:83" ht="13.15" customHeight="1" outlineLevel="2" x14ac:dyDescent="0.2">
      <c r="A1428"/>
      <c r="B1428" s="1"/>
      <c r="C1428"/>
      <c r="D1428"/>
      <c r="E1428"/>
      <c r="F1428"/>
      <c r="G1428" s="1"/>
      <c r="H1428" s="1"/>
      <c r="I1428"/>
      <c r="J1428"/>
      <c r="K1428"/>
      <c r="L1428"/>
      <c r="M1428"/>
      <c r="N1428"/>
      <c r="O1428"/>
      <c r="P1428"/>
      <c r="Q1428"/>
      <c r="R1428" s="558" t="s">
        <v>3972</v>
      </c>
      <c r="S1428" s="83"/>
      <c r="T1428" s="56"/>
      <c r="U1428" s="955"/>
      <c r="V1428" s="43" t="str">
        <f t="shared" si="986"/>
        <v>I</v>
      </c>
      <c r="W1428" s="10"/>
      <c r="X1428" s="45" t="s">
        <v>769</v>
      </c>
      <c r="Y1428" s="10"/>
      <c r="Z1428" s="46" t="str">
        <f t="shared" si="987"/>
        <v>H</v>
      </c>
      <c r="AA1428" s="123"/>
      <c r="AB1428" s="1459">
        <f t="shared" si="978"/>
        <v>0</v>
      </c>
      <c r="AC1428" s="1460" t="str">
        <f t="shared" si="979"/>
        <v>-</v>
      </c>
      <c r="AD1428" s="1459">
        <f t="shared" si="980"/>
        <v>0</v>
      </c>
      <c r="AE1428" s="964" t="str">
        <f t="shared" si="981"/>
        <v/>
      </c>
      <c r="AF1428" s="964" t="str">
        <f t="shared" si="982"/>
        <v/>
      </c>
      <c r="AG1428" s="964" t="str">
        <f t="shared" si="983"/>
        <v/>
      </c>
      <c r="AH1428" s="964" t="str">
        <f t="shared" si="984"/>
        <v/>
      </c>
      <c r="AI1428" s="964" t="str">
        <f t="shared" si="985"/>
        <v/>
      </c>
      <c r="AJ1428" s="964"/>
      <c r="AK1428" s="964"/>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s="1396"/>
      <c r="CB1428" s="1396"/>
      <c r="CC1428"/>
      <c r="CD1428"/>
      <c r="CE1428"/>
    </row>
    <row r="1429" spans="1:83" ht="13.15" customHeight="1" outlineLevel="2" x14ac:dyDescent="0.2">
      <c r="A1429"/>
      <c r="B1429" s="1"/>
      <c r="C1429"/>
      <c r="D1429"/>
      <c r="E1429"/>
      <c r="F1429"/>
      <c r="G1429" s="1"/>
      <c r="H1429" s="1"/>
      <c r="I1429"/>
      <c r="J1429"/>
      <c r="K1429"/>
      <c r="L1429"/>
      <c r="M1429"/>
      <c r="N1429"/>
      <c r="O1429"/>
      <c r="P1429"/>
      <c r="Q1429"/>
      <c r="R1429" s="558" t="s">
        <v>3972</v>
      </c>
      <c r="S1429" s="83"/>
      <c r="T1429" s="56"/>
      <c r="U1429" s="955"/>
      <c r="V1429" s="43" t="str">
        <f t="shared" si="986"/>
        <v>G</v>
      </c>
      <c r="W1429" s="10"/>
      <c r="X1429" s="45" t="s">
        <v>769</v>
      </c>
      <c r="Y1429" s="10"/>
      <c r="Z1429" s="46" t="str">
        <f t="shared" si="987"/>
        <v>F</v>
      </c>
      <c r="AA1429" s="123"/>
      <c r="AB1429" s="1459">
        <f t="shared" si="978"/>
        <v>0</v>
      </c>
      <c r="AC1429" s="1460" t="str">
        <f t="shared" si="979"/>
        <v>-</v>
      </c>
      <c r="AD1429" s="1459">
        <f t="shared" si="980"/>
        <v>0</v>
      </c>
      <c r="AE1429" s="964" t="str">
        <f t="shared" si="981"/>
        <v/>
      </c>
      <c r="AF1429" s="964" t="str">
        <f t="shared" si="982"/>
        <v/>
      </c>
      <c r="AG1429" s="964" t="str">
        <f t="shared" si="983"/>
        <v/>
      </c>
      <c r="AH1429" s="964" t="str">
        <f t="shared" si="984"/>
        <v/>
      </c>
      <c r="AI1429" s="964" t="str">
        <f t="shared" si="985"/>
        <v/>
      </c>
      <c r="AJ1429" s="964"/>
      <c r="AK1429" s="964"/>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s="1396"/>
      <c r="CB1429" s="1396"/>
      <c r="CC1429"/>
      <c r="CD1429"/>
      <c r="CE1429"/>
    </row>
    <row r="1430" spans="1:83" ht="13.15" customHeight="1" outlineLevel="2" x14ac:dyDescent="0.2">
      <c r="A1430"/>
      <c r="B1430" s="1"/>
      <c r="C1430"/>
      <c r="D1430"/>
      <c r="E1430"/>
      <c r="F1430"/>
      <c r="G1430" s="1"/>
      <c r="H1430" s="1"/>
      <c r="I1430"/>
      <c r="J1430"/>
      <c r="K1430"/>
      <c r="L1430"/>
      <c r="M1430"/>
      <c r="N1430"/>
      <c r="O1430"/>
      <c r="P1430"/>
      <c r="Q1430"/>
      <c r="R1430" s="558" t="s">
        <v>3972</v>
      </c>
      <c r="S1430" s="83"/>
      <c r="T1430" s="56"/>
      <c r="U1430" s="955"/>
      <c r="V1430" s="43" t="str">
        <f t="shared" si="986"/>
        <v>E</v>
      </c>
      <c r="W1430" s="10"/>
      <c r="X1430" s="45" t="s">
        <v>769</v>
      </c>
      <c r="Y1430" s="10"/>
      <c r="Z1430" s="46" t="str">
        <f t="shared" si="987"/>
        <v>D</v>
      </c>
      <c r="AA1430" s="123"/>
      <c r="AB1430" s="1459">
        <f t="shared" si="978"/>
        <v>0</v>
      </c>
      <c r="AC1430" s="1460" t="str">
        <f t="shared" si="979"/>
        <v>-</v>
      </c>
      <c r="AD1430" s="1459">
        <f t="shared" si="980"/>
        <v>0</v>
      </c>
      <c r="AE1430" s="964" t="str">
        <f t="shared" si="981"/>
        <v/>
      </c>
      <c r="AF1430" s="964" t="str">
        <f t="shared" si="982"/>
        <v/>
      </c>
      <c r="AG1430" s="964" t="str">
        <f t="shared" si="983"/>
        <v/>
      </c>
      <c r="AH1430" s="964" t="str">
        <f t="shared" si="984"/>
        <v/>
      </c>
      <c r="AI1430" s="964" t="str">
        <f t="shared" si="985"/>
        <v/>
      </c>
      <c r="AJ1430" s="964"/>
      <c r="AK1430" s="964"/>
      <c r="AL1430"/>
      <c r="AM1430"/>
      <c r="AN1430"/>
      <c r="AO1430"/>
      <c r="AP1430"/>
      <c r="AQ1430"/>
      <c r="AR1430"/>
      <c r="AS1430"/>
      <c r="AT1430"/>
      <c r="AU1430"/>
      <c r="AV1430"/>
      <c r="AW1430"/>
      <c r="AX1430" s="9"/>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s="1396"/>
      <c r="CB1430" s="1396"/>
      <c r="CC1430"/>
      <c r="CD1430"/>
      <c r="CE1430"/>
    </row>
    <row r="1431" spans="1:83" ht="13.9" customHeight="1" outlineLevel="2" thickBot="1" x14ac:dyDescent="0.25">
      <c r="A1431"/>
      <c r="B1431" s="1"/>
      <c r="C1431"/>
      <c r="D1431"/>
      <c r="E1431"/>
      <c r="F1431"/>
      <c r="G1431" s="1"/>
      <c r="H1431" s="1"/>
      <c r="I1431"/>
      <c r="J1431"/>
      <c r="K1431"/>
      <c r="L1431"/>
      <c r="M1431"/>
      <c r="N1431"/>
      <c r="O1431"/>
      <c r="P1431"/>
      <c r="Q1431"/>
      <c r="R1431" s="558" t="s">
        <v>3972</v>
      </c>
      <c r="S1431" s="956"/>
      <c r="T1431" s="58"/>
      <c r="U1431" s="957"/>
      <c r="V1431" s="43" t="str">
        <f t="shared" si="986"/>
        <v>C</v>
      </c>
      <c r="W1431" s="10"/>
      <c r="X1431" s="45" t="s">
        <v>769</v>
      </c>
      <c r="Y1431" s="10"/>
      <c r="Z1431" s="46" t="str">
        <f>Z1420</f>
        <v>B</v>
      </c>
      <c r="AA1431" s="123"/>
      <c r="AB1431" s="1459">
        <f t="shared" si="978"/>
        <v>0</v>
      </c>
      <c r="AC1431" s="1460" t="str">
        <f t="shared" si="979"/>
        <v>-</v>
      </c>
      <c r="AD1431" s="1459">
        <f t="shared" si="980"/>
        <v>0</v>
      </c>
      <c r="AE1431" s="964" t="str">
        <f t="shared" si="981"/>
        <v/>
      </c>
      <c r="AF1431" s="964" t="str">
        <f t="shared" si="982"/>
        <v/>
      </c>
      <c r="AG1431" s="964" t="str">
        <f t="shared" si="983"/>
        <v/>
      </c>
      <c r="AH1431" s="964" t="str">
        <f t="shared" si="984"/>
        <v/>
      </c>
      <c r="AI1431" s="964" t="str">
        <f t="shared" si="985"/>
        <v/>
      </c>
      <c r="AJ1431" s="964"/>
      <c r="AK1431" s="964"/>
      <c r="AL1431"/>
      <c r="AM1431"/>
      <c r="AN1431"/>
      <c r="AO1431"/>
      <c r="AP1431"/>
      <c r="AQ1431"/>
      <c r="AR1431"/>
      <c r="AS1431"/>
      <c r="AT1431"/>
      <c r="AU1431"/>
      <c r="AV1431"/>
      <c r="AW1431" s="9"/>
      <c r="AX1431" s="9"/>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s="1396"/>
      <c r="CB1431" s="1396"/>
      <c r="CC1431"/>
      <c r="CD1431"/>
      <c r="CE1431"/>
    </row>
    <row r="1432" spans="1:83" ht="13.5" outlineLevel="1" thickBot="1" x14ac:dyDescent="0.25">
      <c r="A1432"/>
      <c r="B1432" s="1"/>
      <c r="C1432" s="1"/>
      <c r="D1432" s="76"/>
      <c r="E1432" s="76"/>
      <c r="F1432" s="76"/>
      <c r="G1432" s="9"/>
      <c r="H1432" s="9"/>
      <c r="I1432" s="1"/>
      <c r="J1432"/>
      <c r="K1432"/>
      <c r="L1432"/>
      <c r="M1432"/>
      <c r="N1432"/>
      <c r="O1432"/>
      <c r="P1432" s="89"/>
      <c r="Q1432"/>
      <c r="R1432" s="1"/>
      <c r="S1432" s="993">
        <f>S1421+1</f>
        <v>11</v>
      </c>
      <c r="T1432" s="961"/>
      <c r="U1432" s="961"/>
      <c r="V1432" s="961"/>
      <c r="W1432" s="960"/>
      <c r="X1432" s="960"/>
      <c r="Y1432" s="960"/>
      <c r="Z1432" s="962"/>
      <c r="AA1432" s="123"/>
      <c r="AB1432" s="963"/>
      <c r="AC1432" s="963"/>
      <c r="AD1432" s="963"/>
      <c r="AE1432" s="964"/>
      <c r="AF1432" s="964"/>
      <c r="AG1432" s="964"/>
      <c r="AH1432" s="964"/>
      <c r="AI1432" s="964"/>
      <c r="AJ1432" s="964"/>
      <c r="AK1432" s="964"/>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s="1396"/>
      <c r="CB1432" s="1396"/>
      <c r="CC1432"/>
      <c r="CD1432"/>
      <c r="CE1432"/>
    </row>
    <row r="1433" spans="1:83" ht="13.9" customHeight="1" outlineLevel="2" thickBot="1" x14ac:dyDescent="0.25">
      <c r="A1433"/>
      <c r="B1433" s="1"/>
      <c r="C1433"/>
      <c r="D1433"/>
      <c r="E1433"/>
      <c r="F1433"/>
      <c r="G1433" s="1"/>
      <c r="H1433" s="1"/>
      <c r="I1433"/>
      <c r="J1433"/>
      <c r="K1433"/>
      <c r="L1433"/>
      <c r="M1433"/>
      <c r="N1433"/>
      <c r="O1433"/>
      <c r="P1433"/>
      <c r="Q1433"/>
      <c r="S1433" s="22" t="str">
        <f>N_Heure</f>
        <v>Heure</v>
      </c>
      <c r="T1433" s="22" t="str">
        <f>N_Table</f>
        <v>Table</v>
      </c>
      <c r="U1433" s="22" t="str">
        <f>N_Arbitre</f>
        <v>Arbitre</v>
      </c>
      <c r="V1433" s="293" t="str">
        <f>N_Matches</f>
        <v>Matches</v>
      </c>
      <c r="W1433" s="294"/>
      <c r="X1433" s="294"/>
      <c r="Y1433" s="294"/>
      <c r="Z1433" s="295"/>
      <c r="AA1433" s="8"/>
      <c r="AB1433" s="967"/>
      <c r="AC1433" s="967"/>
      <c r="AD1433" s="967"/>
      <c r="AE1433" s="964"/>
      <c r="AF1433" s="964"/>
      <c r="AG1433" s="964"/>
      <c r="AH1433" s="964"/>
      <c r="AI1433" s="964"/>
      <c r="AJ1433" s="964"/>
      <c r="AK1433" s="964"/>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s="1396"/>
      <c r="CB1433" s="1396"/>
      <c r="CC1433"/>
      <c r="CD1433"/>
      <c r="CE1433"/>
    </row>
    <row r="1434" spans="1:83" ht="13.15" customHeight="1" outlineLevel="2" x14ac:dyDescent="0.2">
      <c r="A1434"/>
      <c r="B1434" s="1"/>
      <c r="C1434"/>
      <c r="D1434"/>
      <c r="E1434"/>
      <c r="F1434"/>
      <c r="G1434" s="1"/>
      <c r="H1434" s="1"/>
      <c r="I1434"/>
      <c r="J1434"/>
      <c r="K1434"/>
      <c r="L1434"/>
      <c r="M1434"/>
      <c r="N1434"/>
      <c r="O1434"/>
      <c r="P1434"/>
      <c r="Q1434"/>
      <c r="R1434" s="558" t="s">
        <v>3973</v>
      </c>
      <c r="S1434" s="83"/>
      <c r="T1434" s="56"/>
      <c r="U1434" s="955"/>
      <c r="V1434" s="34" t="str">
        <f>Z1423</f>
        <v>A</v>
      </c>
      <c r="W1434" s="148"/>
      <c r="X1434" s="35" t="s">
        <v>769</v>
      </c>
      <c r="Y1434" s="148"/>
      <c r="Z1434" s="36" t="str">
        <f>Z1424</f>
        <v>P</v>
      </c>
      <c r="AA1434" s="123"/>
      <c r="AB1434" s="1459">
        <f t="shared" ref="AB1434:AB1442" si="988">IF(MaxScore,MaxGoals(W1434,Y1434,MaxGoalsValue),IF(W1434="","",W1434))</f>
        <v>0</v>
      </c>
      <c r="AC1434" s="1460" t="str">
        <f t="shared" ref="AC1434:AC1442" si="989">IF(MaxScore,"-",IF(W1434="","","-"))</f>
        <v>-</v>
      </c>
      <c r="AD1434" s="1459">
        <f t="shared" ref="AD1434:AD1442" si="990">IF(MaxScore,MaxGoals(Y1434,W1434,MaxGoalsValue),IF(Y1434="","",Y1434))</f>
        <v>0</v>
      </c>
      <c r="AE1434" s="964" t="str">
        <f t="shared" ref="AE1434:AE1442" si="991">IF(W1434="","",IF(W1434&gt;Y1434,V1434,IF(W1434=Y1434,"",Z1434)))</f>
        <v/>
      </c>
      <c r="AF1434" s="964" t="str">
        <f t="shared" ref="AF1434:AF1442" si="992">IF(W1434="","",IF(W1434=Y1434,V1434,""))</f>
        <v/>
      </c>
      <c r="AG1434" s="964" t="str">
        <f t="shared" ref="AG1434:AG1442" si="993">IF(W1434="","",IF(W1434=Y1434,Z1434,""))</f>
        <v/>
      </c>
      <c r="AH1434" s="964" t="str">
        <f t="shared" ref="AH1434:AH1442" si="994">IF(W1434="","",IF(W1434&lt;Y1434,V1434,IF(W1434=Y1434,"",Z1434)))</f>
        <v/>
      </c>
      <c r="AI1434" s="964" t="str">
        <f t="shared" ref="AI1434:AI1442" si="995">CONCATENATE(AE1434,AH1434)</f>
        <v/>
      </c>
      <c r="AJ1434" s="964"/>
      <c r="AK1434" s="96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s="1396"/>
      <c r="CB1434" s="1396"/>
      <c r="CC1434"/>
      <c r="CD1434"/>
      <c r="CE1434"/>
    </row>
    <row r="1435" spans="1:83" ht="13.15" customHeight="1" outlineLevel="2" x14ac:dyDescent="0.2">
      <c r="A1435"/>
      <c r="B1435" s="1"/>
      <c r="C1435"/>
      <c r="D1435"/>
      <c r="E1435"/>
      <c r="F1435"/>
      <c r="G1435" s="1"/>
      <c r="H1435" s="1"/>
      <c r="I1435"/>
      <c r="J1435"/>
      <c r="K1435"/>
      <c r="L1435"/>
      <c r="M1435"/>
      <c r="N1435"/>
      <c r="O1435"/>
      <c r="P1435"/>
      <c r="Q1435"/>
      <c r="R1435" s="558" t="s">
        <v>3973</v>
      </c>
      <c r="S1435" s="83"/>
      <c r="T1435" s="56"/>
      <c r="U1435" s="955"/>
      <c r="V1435" s="43" t="str">
        <f t="shared" ref="V1435:V1441" si="996">Z1425</f>
        <v>N</v>
      </c>
      <c r="W1435" s="10"/>
      <c r="X1435" s="45" t="s">
        <v>769</v>
      </c>
      <c r="Y1435" s="10"/>
      <c r="Z1435" s="46" t="str">
        <f t="shared" ref="Z1435:Z1441" si="997">V1423</f>
        <v>R</v>
      </c>
      <c r="AA1435" s="123"/>
      <c r="AB1435" s="1459">
        <f t="shared" si="988"/>
        <v>0</v>
      </c>
      <c r="AC1435" s="1460" t="str">
        <f t="shared" si="989"/>
        <v>-</v>
      </c>
      <c r="AD1435" s="1459">
        <f t="shared" si="990"/>
        <v>0</v>
      </c>
      <c r="AE1435" s="964" t="str">
        <f t="shared" si="991"/>
        <v/>
      </c>
      <c r="AF1435" s="964" t="str">
        <f t="shared" si="992"/>
        <v/>
      </c>
      <c r="AG1435" s="964" t="str">
        <f t="shared" si="993"/>
        <v/>
      </c>
      <c r="AH1435" s="964" t="str">
        <f t="shared" si="994"/>
        <v/>
      </c>
      <c r="AI1435" s="964" t="str">
        <f t="shared" si="995"/>
        <v/>
      </c>
      <c r="AJ1435" s="964"/>
      <c r="AK1435" s="964"/>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s="1396"/>
      <c r="CB1435" s="1396"/>
      <c r="CC1435"/>
      <c r="CD1435"/>
      <c r="CE1435"/>
    </row>
    <row r="1436" spans="1:83" ht="13.15" customHeight="1" outlineLevel="2" x14ac:dyDescent="0.2">
      <c r="A1436"/>
      <c r="B1436" s="1"/>
      <c r="C1436"/>
      <c r="D1436"/>
      <c r="E1436"/>
      <c r="F1436"/>
      <c r="G1436" s="1"/>
      <c r="H1436" s="1"/>
      <c r="I1436"/>
      <c r="J1436"/>
      <c r="K1436"/>
      <c r="L1436"/>
      <c r="M1436"/>
      <c r="N1436"/>
      <c r="O1436"/>
      <c r="P1436"/>
      <c r="Q1436"/>
      <c r="R1436" s="558" t="s">
        <v>3973</v>
      </c>
      <c r="S1436" s="83"/>
      <c r="T1436" s="56"/>
      <c r="U1436" s="955"/>
      <c r="V1436" s="43" t="str">
        <f t="shared" si="996"/>
        <v>L</v>
      </c>
      <c r="W1436" s="10"/>
      <c r="X1436" s="45" t="s">
        <v>769</v>
      </c>
      <c r="Y1436" s="10"/>
      <c r="Z1436" s="46" t="str">
        <f t="shared" si="997"/>
        <v>Q</v>
      </c>
      <c r="AA1436" s="123"/>
      <c r="AB1436" s="1459">
        <f t="shared" si="988"/>
        <v>0</v>
      </c>
      <c r="AC1436" s="1460" t="str">
        <f t="shared" si="989"/>
        <v>-</v>
      </c>
      <c r="AD1436" s="1459">
        <f t="shared" si="990"/>
        <v>0</v>
      </c>
      <c r="AE1436" s="964" t="str">
        <f t="shared" si="991"/>
        <v/>
      </c>
      <c r="AF1436" s="964" t="str">
        <f t="shared" si="992"/>
        <v/>
      </c>
      <c r="AG1436" s="964" t="str">
        <f t="shared" si="993"/>
        <v/>
      </c>
      <c r="AH1436" s="964" t="str">
        <f t="shared" si="994"/>
        <v/>
      </c>
      <c r="AI1436" s="964" t="str">
        <f t="shared" si="995"/>
        <v/>
      </c>
      <c r="AJ1436" s="964"/>
      <c r="AK1436" s="964"/>
      <c r="AL1436"/>
      <c r="AM1436"/>
      <c r="AN1436"/>
      <c r="AO1436"/>
      <c r="AP1436"/>
      <c r="AQ1436"/>
      <c r="AR1436"/>
      <c r="AS1436"/>
      <c r="AT1436"/>
      <c r="AU1436"/>
      <c r="AV1436"/>
      <c r="AW1436"/>
      <c r="AX1436" s="9"/>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s="1396"/>
      <c r="CB1436" s="1396"/>
      <c r="CC1436"/>
      <c r="CD1436"/>
      <c r="CE1436"/>
    </row>
    <row r="1437" spans="1:83" ht="13.15" customHeight="1" outlineLevel="2" x14ac:dyDescent="0.2">
      <c r="A1437"/>
      <c r="B1437" s="1"/>
      <c r="C1437"/>
      <c r="D1437"/>
      <c r="E1437"/>
      <c r="F1437"/>
      <c r="G1437" s="1"/>
      <c r="H1437" s="1"/>
      <c r="I1437"/>
      <c r="J1437"/>
      <c r="K1437"/>
      <c r="L1437"/>
      <c r="M1437"/>
      <c r="N1437"/>
      <c r="O1437"/>
      <c r="P1437"/>
      <c r="Q1437"/>
      <c r="R1437" s="558" t="s">
        <v>3973</v>
      </c>
      <c r="S1437" s="83"/>
      <c r="T1437" s="56"/>
      <c r="U1437" s="955"/>
      <c r="V1437" s="43" t="str">
        <f t="shared" si="996"/>
        <v>J</v>
      </c>
      <c r="W1437" s="10"/>
      <c r="X1437" s="45" t="s">
        <v>769</v>
      </c>
      <c r="Y1437" s="10"/>
      <c r="Z1437" s="46" t="str">
        <f t="shared" si="997"/>
        <v>O</v>
      </c>
      <c r="AA1437" s="123"/>
      <c r="AB1437" s="1459">
        <f t="shared" si="988"/>
        <v>0</v>
      </c>
      <c r="AC1437" s="1460" t="str">
        <f t="shared" si="989"/>
        <v>-</v>
      </c>
      <c r="AD1437" s="1459">
        <f t="shared" si="990"/>
        <v>0</v>
      </c>
      <c r="AE1437" s="964" t="str">
        <f t="shared" si="991"/>
        <v/>
      </c>
      <c r="AF1437" s="964" t="str">
        <f t="shared" si="992"/>
        <v/>
      </c>
      <c r="AG1437" s="964" t="str">
        <f t="shared" si="993"/>
        <v/>
      </c>
      <c r="AH1437" s="964" t="str">
        <f t="shared" si="994"/>
        <v/>
      </c>
      <c r="AI1437" s="964" t="str">
        <f t="shared" si="995"/>
        <v/>
      </c>
      <c r="AJ1437" s="964"/>
      <c r="AK1437" s="964"/>
      <c r="AL1437"/>
      <c r="AM1437"/>
      <c r="AN1437"/>
      <c r="AO1437"/>
      <c r="AP1437"/>
      <c r="AQ1437"/>
      <c r="AR1437"/>
      <c r="AS1437"/>
      <c r="AT1437"/>
      <c r="AU1437"/>
      <c r="AV1437"/>
      <c r="AW1437" s="9"/>
      <c r="AX1437" s="9"/>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s="1396"/>
      <c r="CB1437" s="1396"/>
      <c r="CC1437"/>
      <c r="CD1437"/>
      <c r="CE1437"/>
    </row>
    <row r="1438" spans="1:83" ht="13.15" customHeight="1" outlineLevel="2" x14ac:dyDescent="0.2">
      <c r="A1438"/>
      <c r="B1438" s="1"/>
      <c r="C1438"/>
      <c r="D1438"/>
      <c r="E1438"/>
      <c r="F1438"/>
      <c r="G1438" s="1"/>
      <c r="H1438" s="1"/>
      <c r="I1438"/>
      <c r="J1438"/>
      <c r="K1438"/>
      <c r="L1438"/>
      <c r="M1438"/>
      <c r="N1438"/>
      <c r="O1438"/>
      <c r="P1438"/>
      <c r="Q1438"/>
      <c r="R1438" s="558" t="s">
        <v>3973</v>
      </c>
      <c r="S1438" s="83"/>
      <c r="T1438" s="56"/>
      <c r="U1438" s="955"/>
      <c r="V1438" s="43" t="str">
        <f t="shared" si="996"/>
        <v>H</v>
      </c>
      <c r="W1438" s="10"/>
      <c r="X1438" s="45" t="s">
        <v>769</v>
      </c>
      <c r="Y1438" s="10"/>
      <c r="Z1438" s="46" t="str">
        <f t="shared" si="997"/>
        <v>M</v>
      </c>
      <c r="AA1438" s="123"/>
      <c r="AB1438" s="1459">
        <f t="shared" si="988"/>
        <v>0</v>
      </c>
      <c r="AC1438" s="1460" t="str">
        <f t="shared" si="989"/>
        <v>-</v>
      </c>
      <c r="AD1438" s="1459">
        <f t="shared" si="990"/>
        <v>0</v>
      </c>
      <c r="AE1438" s="964" t="str">
        <f t="shared" si="991"/>
        <v/>
      </c>
      <c r="AF1438" s="964" t="str">
        <f t="shared" si="992"/>
        <v/>
      </c>
      <c r="AG1438" s="964" t="str">
        <f t="shared" si="993"/>
        <v/>
      </c>
      <c r="AH1438" s="964" t="str">
        <f t="shared" si="994"/>
        <v/>
      </c>
      <c r="AI1438" s="964" t="str">
        <f t="shared" si="995"/>
        <v/>
      </c>
      <c r="AJ1438" s="964"/>
      <c r="AK1438" s="964"/>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s="1396"/>
      <c r="CB1438" s="1396"/>
      <c r="CC1438"/>
      <c r="CD1438"/>
      <c r="CE1438"/>
    </row>
    <row r="1439" spans="1:83" ht="13.15" customHeight="1" outlineLevel="2" x14ac:dyDescent="0.2">
      <c r="A1439"/>
      <c r="B1439" s="1"/>
      <c r="C1439"/>
      <c r="D1439"/>
      <c r="E1439"/>
      <c r="F1439"/>
      <c r="G1439" s="1"/>
      <c r="H1439" s="1"/>
      <c r="I1439"/>
      <c r="J1439"/>
      <c r="K1439"/>
      <c r="L1439"/>
      <c r="M1439"/>
      <c r="N1439"/>
      <c r="O1439"/>
      <c r="P1439"/>
      <c r="Q1439"/>
      <c r="R1439" s="558" t="s">
        <v>3973</v>
      </c>
      <c r="S1439" s="83"/>
      <c r="T1439" s="56"/>
      <c r="U1439" s="955"/>
      <c r="V1439" s="43" t="str">
        <f t="shared" si="996"/>
        <v>F</v>
      </c>
      <c r="W1439" s="10"/>
      <c r="X1439" s="45" t="s">
        <v>769</v>
      </c>
      <c r="Y1439" s="10"/>
      <c r="Z1439" s="46" t="str">
        <f t="shared" si="997"/>
        <v>K</v>
      </c>
      <c r="AA1439" s="123"/>
      <c r="AB1439" s="1459">
        <f t="shared" si="988"/>
        <v>0</v>
      </c>
      <c r="AC1439" s="1460" t="str">
        <f t="shared" si="989"/>
        <v>-</v>
      </c>
      <c r="AD1439" s="1459">
        <f t="shared" si="990"/>
        <v>0</v>
      </c>
      <c r="AE1439" s="964" t="str">
        <f t="shared" si="991"/>
        <v/>
      </c>
      <c r="AF1439" s="964" t="str">
        <f t="shared" si="992"/>
        <v/>
      </c>
      <c r="AG1439" s="964" t="str">
        <f t="shared" si="993"/>
        <v/>
      </c>
      <c r="AH1439" s="964" t="str">
        <f t="shared" si="994"/>
        <v/>
      </c>
      <c r="AI1439" s="964" t="str">
        <f t="shared" si="995"/>
        <v/>
      </c>
      <c r="AJ1439" s="964"/>
      <c r="AK1439" s="964"/>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s="1396"/>
      <c r="CB1439" s="1396"/>
      <c r="CC1439"/>
      <c r="CD1439"/>
      <c r="CE1439"/>
    </row>
    <row r="1440" spans="1:83" ht="13.15" customHeight="1" outlineLevel="2" x14ac:dyDescent="0.2">
      <c r="A1440"/>
      <c r="B1440" s="1"/>
      <c r="C1440"/>
      <c r="D1440"/>
      <c r="E1440"/>
      <c r="F1440"/>
      <c r="G1440" s="1"/>
      <c r="H1440" s="1"/>
      <c r="I1440"/>
      <c r="J1440"/>
      <c r="K1440"/>
      <c r="L1440"/>
      <c r="M1440"/>
      <c r="N1440"/>
      <c r="O1440"/>
      <c r="P1440"/>
      <c r="Q1440"/>
      <c r="R1440" s="558" t="s">
        <v>3973</v>
      </c>
      <c r="S1440" s="83"/>
      <c r="T1440" s="56"/>
      <c r="U1440" s="955"/>
      <c r="V1440" s="43" t="str">
        <f t="shared" si="996"/>
        <v>D</v>
      </c>
      <c r="W1440" s="10"/>
      <c r="X1440" s="45" t="s">
        <v>769</v>
      </c>
      <c r="Y1440" s="10"/>
      <c r="Z1440" s="46" t="str">
        <f t="shared" si="997"/>
        <v>I</v>
      </c>
      <c r="AA1440" s="123"/>
      <c r="AB1440" s="1459">
        <f t="shared" si="988"/>
        <v>0</v>
      </c>
      <c r="AC1440" s="1460" t="str">
        <f t="shared" si="989"/>
        <v>-</v>
      </c>
      <c r="AD1440" s="1459">
        <f t="shared" si="990"/>
        <v>0</v>
      </c>
      <c r="AE1440" s="964" t="str">
        <f t="shared" si="991"/>
        <v/>
      </c>
      <c r="AF1440" s="964" t="str">
        <f t="shared" si="992"/>
        <v/>
      </c>
      <c r="AG1440" s="964" t="str">
        <f t="shared" si="993"/>
        <v/>
      </c>
      <c r="AH1440" s="964" t="str">
        <f t="shared" si="994"/>
        <v/>
      </c>
      <c r="AI1440" s="964" t="str">
        <f t="shared" si="995"/>
        <v/>
      </c>
      <c r="AJ1440" s="964"/>
      <c r="AK1440" s="964"/>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s="1396"/>
      <c r="CB1440" s="1396"/>
      <c r="CC1440"/>
      <c r="CD1440"/>
      <c r="CE1440"/>
    </row>
    <row r="1441" spans="1:83" ht="13.15" customHeight="1" outlineLevel="2" x14ac:dyDescent="0.2">
      <c r="A1441"/>
      <c r="B1441" s="1"/>
      <c r="C1441"/>
      <c r="D1441"/>
      <c r="E1441"/>
      <c r="F1441"/>
      <c r="G1441" s="1"/>
      <c r="H1441" s="1"/>
      <c r="I1441"/>
      <c r="J1441"/>
      <c r="K1441"/>
      <c r="L1441"/>
      <c r="M1441"/>
      <c r="N1441"/>
      <c r="O1441"/>
      <c r="P1441"/>
      <c r="Q1441"/>
      <c r="R1441" s="558" t="s">
        <v>3973</v>
      </c>
      <c r="S1441" s="83"/>
      <c r="T1441" s="56"/>
      <c r="U1441" s="955"/>
      <c r="V1441" s="43" t="str">
        <f t="shared" si="996"/>
        <v>B</v>
      </c>
      <c r="W1441" s="10"/>
      <c r="X1441" s="45" t="s">
        <v>769</v>
      </c>
      <c r="Y1441" s="10"/>
      <c r="Z1441" s="46" t="str">
        <f t="shared" si="997"/>
        <v>G</v>
      </c>
      <c r="AA1441" s="123"/>
      <c r="AB1441" s="1459">
        <f t="shared" si="988"/>
        <v>0</v>
      </c>
      <c r="AC1441" s="1460" t="str">
        <f t="shared" si="989"/>
        <v>-</v>
      </c>
      <c r="AD1441" s="1459">
        <f t="shared" si="990"/>
        <v>0</v>
      </c>
      <c r="AE1441" s="964" t="str">
        <f t="shared" si="991"/>
        <v/>
      </c>
      <c r="AF1441" s="964" t="str">
        <f t="shared" si="992"/>
        <v/>
      </c>
      <c r="AG1441" s="964" t="str">
        <f t="shared" si="993"/>
        <v/>
      </c>
      <c r="AH1441" s="964" t="str">
        <f t="shared" si="994"/>
        <v/>
      </c>
      <c r="AI1441" s="964" t="str">
        <f t="shared" si="995"/>
        <v/>
      </c>
      <c r="AJ1441" s="964"/>
      <c r="AK1441" s="964"/>
      <c r="AL1441"/>
      <c r="AM1441"/>
      <c r="AN1441"/>
      <c r="AO1441"/>
      <c r="AP1441"/>
      <c r="AQ1441"/>
      <c r="AR1441"/>
      <c r="AS1441"/>
      <c r="AT1441"/>
      <c r="AU1441"/>
      <c r="AV1441"/>
      <c r="AW1441"/>
      <c r="AX1441" s="9"/>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s="1396"/>
      <c r="CB1441" s="1396"/>
      <c r="CC1441"/>
      <c r="CD1441"/>
      <c r="CE1441"/>
    </row>
    <row r="1442" spans="1:83" ht="13.9" customHeight="1" outlineLevel="2" thickBot="1" x14ac:dyDescent="0.25">
      <c r="A1442"/>
      <c r="B1442" s="1"/>
      <c r="C1442"/>
      <c r="D1442"/>
      <c r="E1442"/>
      <c r="F1442"/>
      <c r="G1442" s="1"/>
      <c r="H1442" s="1"/>
      <c r="I1442"/>
      <c r="J1442"/>
      <c r="K1442"/>
      <c r="L1442"/>
      <c r="M1442"/>
      <c r="N1442"/>
      <c r="O1442"/>
      <c r="P1442"/>
      <c r="Q1442"/>
      <c r="R1442" s="558" t="s">
        <v>3973</v>
      </c>
      <c r="S1442" s="956"/>
      <c r="T1442" s="58"/>
      <c r="U1442" s="957"/>
      <c r="V1442" s="958" t="str">
        <f>V1431</f>
        <v>C</v>
      </c>
      <c r="W1442" s="10"/>
      <c r="X1442" s="45" t="s">
        <v>769</v>
      </c>
      <c r="Y1442" s="10"/>
      <c r="Z1442" s="46" t="str">
        <f>V1430</f>
        <v>E</v>
      </c>
      <c r="AA1442" s="123"/>
      <c r="AB1442" s="1459">
        <f t="shared" si="988"/>
        <v>0</v>
      </c>
      <c r="AC1442" s="1460" t="str">
        <f t="shared" si="989"/>
        <v>-</v>
      </c>
      <c r="AD1442" s="1459">
        <f t="shared" si="990"/>
        <v>0</v>
      </c>
      <c r="AE1442" s="964" t="str">
        <f t="shared" si="991"/>
        <v/>
      </c>
      <c r="AF1442" s="964" t="str">
        <f t="shared" si="992"/>
        <v/>
      </c>
      <c r="AG1442" s="964" t="str">
        <f t="shared" si="993"/>
        <v/>
      </c>
      <c r="AH1442" s="964" t="str">
        <f t="shared" si="994"/>
        <v/>
      </c>
      <c r="AI1442" s="964" t="str">
        <f t="shared" si="995"/>
        <v/>
      </c>
      <c r="AJ1442" s="964"/>
      <c r="AK1442" s="964"/>
      <c r="AL1442"/>
      <c r="AM1442"/>
      <c r="AN1442"/>
      <c r="AO1442"/>
      <c r="AP1442"/>
      <c r="AQ1442"/>
      <c r="AR1442"/>
      <c r="AS1442"/>
      <c r="AT1442"/>
      <c r="AU1442"/>
      <c r="AV1442"/>
      <c r="AW1442" s="9"/>
      <c r="AX1442" s="9"/>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s="1396"/>
      <c r="CB1442" s="1396"/>
      <c r="CC1442"/>
      <c r="CD1442"/>
      <c r="CE1442"/>
    </row>
    <row r="1443" spans="1:83" ht="13.5" outlineLevel="1" thickBot="1" x14ac:dyDescent="0.25">
      <c r="A1443"/>
      <c r="B1443" s="1"/>
      <c r="C1443" s="1"/>
      <c r="D1443" s="76"/>
      <c r="E1443" s="76"/>
      <c r="F1443" s="76"/>
      <c r="G1443" s="9"/>
      <c r="H1443" s="9"/>
      <c r="I1443" s="1"/>
      <c r="J1443"/>
      <c r="K1443"/>
      <c r="L1443"/>
      <c r="M1443"/>
      <c r="N1443"/>
      <c r="O1443"/>
      <c r="P1443" s="89"/>
      <c r="Q1443"/>
      <c r="R1443" s="1"/>
      <c r="S1443" s="993">
        <f>S1432+1</f>
        <v>12</v>
      </c>
      <c r="T1443" s="961"/>
      <c r="U1443" s="961"/>
      <c r="V1443" s="961"/>
      <c r="W1443" s="960"/>
      <c r="X1443" s="960"/>
      <c r="Y1443" s="960"/>
      <c r="Z1443" s="962"/>
      <c r="AA1443" s="123"/>
      <c r="AB1443" s="963"/>
      <c r="AC1443" s="963"/>
      <c r="AD1443" s="963"/>
      <c r="AE1443" s="964"/>
      <c r="AF1443" s="964"/>
      <c r="AG1443" s="964"/>
      <c r="AH1443" s="964"/>
      <c r="AI1443" s="964"/>
      <c r="AJ1443" s="964"/>
      <c r="AK1443" s="964"/>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s="1396"/>
      <c r="CB1443" s="1396"/>
      <c r="CC1443"/>
      <c r="CD1443"/>
      <c r="CE1443"/>
    </row>
    <row r="1444" spans="1:83" ht="13.9" customHeight="1" outlineLevel="2" thickBot="1" x14ac:dyDescent="0.25">
      <c r="A1444"/>
      <c r="B1444" s="1"/>
      <c r="C1444"/>
      <c r="D1444"/>
      <c r="E1444"/>
      <c r="F1444"/>
      <c r="G1444" s="1"/>
      <c r="H1444" s="1"/>
      <c r="I1444"/>
      <c r="J1444"/>
      <c r="K1444"/>
      <c r="L1444"/>
      <c r="M1444"/>
      <c r="N1444"/>
      <c r="O1444"/>
      <c r="P1444"/>
      <c r="Q1444"/>
      <c r="S1444" s="22" t="str">
        <f>N_Heure</f>
        <v>Heure</v>
      </c>
      <c r="T1444" s="22" t="str">
        <f>N_Table</f>
        <v>Table</v>
      </c>
      <c r="U1444" s="22" t="str">
        <f>N_Arbitre</f>
        <v>Arbitre</v>
      </c>
      <c r="V1444" s="293" t="str">
        <f>N_Matches</f>
        <v>Matches</v>
      </c>
      <c r="W1444" s="294"/>
      <c r="X1444" s="294"/>
      <c r="Y1444" s="294"/>
      <c r="Z1444" s="295"/>
      <c r="AA1444" s="8"/>
      <c r="AB1444" s="967"/>
      <c r="AC1444" s="967"/>
      <c r="AD1444" s="967"/>
      <c r="AE1444" s="964"/>
      <c r="AF1444" s="964"/>
      <c r="AG1444" s="964"/>
      <c r="AH1444" s="964"/>
      <c r="AI1444" s="964"/>
      <c r="AJ1444" s="964"/>
      <c r="AK1444" s="96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s="1396"/>
      <c r="CB1444" s="1396"/>
      <c r="CC1444"/>
      <c r="CD1444"/>
      <c r="CE1444"/>
    </row>
    <row r="1445" spans="1:83" ht="13.15" customHeight="1" outlineLevel="2" x14ac:dyDescent="0.2">
      <c r="A1445"/>
      <c r="B1445" s="1"/>
      <c r="C1445"/>
      <c r="D1445"/>
      <c r="E1445"/>
      <c r="F1445"/>
      <c r="G1445" s="1"/>
      <c r="H1445" s="1"/>
      <c r="I1445"/>
      <c r="J1445"/>
      <c r="K1445"/>
      <c r="L1445"/>
      <c r="M1445"/>
      <c r="N1445"/>
      <c r="O1445"/>
      <c r="P1445"/>
      <c r="Q1445"/>
      <c r="R1445" s="558" t="s">
        <v>3974</v>
      </c>
      <c r="S1445" s="65"/>
      <c r="T1445" s="953"/>
      <c r="U1445" s="954"/>
      <c r="V1445" s="34" t="str">
        <f>V1435</f>
        <v>N</v>
      </c>
      <c r="W1445" s="148"/>
      <c r="X1445" s="35" t="s">
        <v>769</v>
      </c>
      <c r="Y1445" s="148"/>
      <c r="Z1445" s="36" t="str">
        <f>V1434</f>
        <v>A</v>
      </c>
      <c r="AA1445" s="123"/>
      <c r="AB1445" s="1459">
        <f t="shared" ref="AB1445:AB1453" si="998">IF(MaxScore,MaxGoals(W1445,Y1445,MaxGoalsValue),IF(W1445="","",W1445))</f>
        <v>0</v>
      </c>
      <c r="AC1445" s="1460" t="str">
        <f t="shared" ref="AC1445:AC1453" si="999">IF(MaxScore,"-",IF(W1445="","","-"))</f>
        <v>-</v>
      </c>
      <c r="AD1445" s="1459">
        <f t="shared" ref="AD1445:AD1453" si="1000">IF(MaxScore,MaxGoals(Y1445,W1445,MaxGoalsValue),IF(Y1445="","",Y1445))</f>
        <v>0</v>
      </c>
      <c r="AE1445" s="964" t="str">
        <f t="shared" ref="AE1445:AE1453" si="1001">IF(W1445="","",IF(W1445&gt;Y1445,V1445,IF(W1445=Y1445,"",Z1445)))</f>
        <v/>
      </c>
      <c r="AF1445" s="964" t="str">
        <f t="shared" ref="AF1445:AF1453" si="1002">IF(W1445="","",IF(W1445=Y1445,V1445,""))</f>
        <v/>
      </c>
      <c r="AG1445" s="964" t="str">
        <f t="shared" ref="AG1445:AG1453" si="1003">IF(W1445="","",IF(W1445=Y1445,Z1445,""))</f>
        <v/>
      </c>
      <c r="AH1445" s="964" t="str">
        <f t="shared" ref="AH1445:AH1453" si="1004">IF(W1445="","",IF(W1445&lt;Y1445,V1445,IF(W1445=Y1445,"",Z1445)))</f>
        <v/>
      </c>
      <c r="AI1445" s="964" t="str">
        <f t="shared" ref="AI1445:AI1453" si="1005">CONCATENATE(AE1445,AH1445)</f>
        <v/>
      </c>
      <c r="AJ1445" s="964"/>
      <c r="AK1445" s="964"/>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s="1396"/>
      <c r="CB1445" s="1396"/>
      <c r="CC1445"/>
      <c r="CD1445"/>
      <c r="CE1445"/>
    </row>
    <row r="1446" spans="1:83" ht="13.15" customHeight="1" outlineLevel="2" x14ac:dyDescent="0.2">
      <c r="A1446"/>
      <c r="B1446" s="1"/>
      <c r="C1446"/>
      <c r="D1446"/>
      <c r="E1446"/>
      <c r="F1446"/>
      <c r="G1446" s="1"/>
      <c r="H1446" s="1"/>
      <c r="I1446"/>
      <c r="J1446"/>
      <c r="K1446"/>
      <c r="L1446"/>
      <c r="M1446"/>
      <c r="N1446"/>
      <c r="O1446"/>
      <c r="P1446"/>
      <c r="Q1446"/>
      <c r="R1446" s="558" t="s">
        <v>3974</v>
      </c>
      <c r="S1446" s="83"/>
      <c r="T1446" s="56"/>
      <c r="U1446" s="955"/>
      <c r="V1446" s="43" t="str">
        <f t="shared" ref="V1446:V1453" si="1006">Z1434</f>
        <v>P</v>
      </c>
      <c r="W1446" s="10"/>
      <c r="X1446" s="45" t="s">
        <v>769</v>
      </c>
      <c r="Y1446" s="10"/>
      <c r="Z1446" s="46" t="str">
        <f t="shared" ref="Z1446:Z1452" si="1007">V1436</f>
        <v>L</v>
      </c>
      <c r="AA1446" s="123"/>
      <c r="AB1446" s="1459">
        <f t="shared" si="998"/>
        <v>0</v>
      </c>
      <c r="AC1446" s="1460" t="str">
        <f t="shared" si="999"/>
        <v>-</v>
      </c>
      <c r="AD1446" s="1459">
        <f t="shared" si="1000"/>
        <v>0</v>
      </c>
      <c r="AE1446" s="964" t="str">
        <f t="shared" si="1001"/>
        <v/>
      </c>
      <c r="AF1446" s="964" t="str">
        <f t="shared" si="1002"/>
        <v/>
      </c>
      <c r="AG1446" s="964" t="str">
        <f t="shared" si="1003"/>
        <v/>
      </c>
      <c r="AH1446" s="964" t="str">
        <f t="shared" si="1004"/>
        <v/>
      </c>
      <c r="AI1446" s="964" t="str">
        <f t="shared" si="1005"/>
        <v/>
      </c>
      <c r="AJ1446" s="964"/>
      <c r="AK1446" s="964"/>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s="1396"/>
      <c r="CB1446" s="1396"/>
      <c r="CC1446"/>
      <c r="CD1446"/>
      <c r="CE1446"/>
    </row>
    <row r="1447" spans="1:83" ht="13.15" customHeight="1" outlineLevel="2" x14ac:dyDescent="0.2">
      <c r="A1447"/>
      <c r="B1447" s="1"/>
      <c r="C1447"/>
      <c r="D1447"/>
      <c r="E1447"/>
      <c r="F1447"/>
      <c r="G1447" s="1"/>
      <c r="H1447" s="1"/>
      <c r="I1447"/>
      <c r="J1447"/>
      <c r="K1447"/>
      <c r="L1447"/>
      <c r="M1447"/>
      <c r="N1447"/>
      <c r="O1447"/>
      <c r="P1447"/>
      <c r="Q1447"/>
      <c r="R1447" s="558" t="s">
        <v>3974</v>
      </c>
      <c r="S1447" s="83"/>
      <c r="T1447" s="56"/>
      <c r="U1447" s="955"/>
      <c r="V1447" s="43" t="str">
        <f t="shared" si="1006"/>
        <v>R</v>
      </c>
      <c r="W1447" s="10"/>
      <c r="X1447" s="45" t="s">
        <v>769</v>
      </c>
      <c r="Y1447" s="10"/>
      <c r="Z1447" s="46" t="str">
        <f t="shared" si="1007"/>
        <v>J</v>
      </c>
      <c r="AA1447" s="123"/>
      <c r="AB1447" s="1459">
        <f t="shared" si="998"/>
        <v>0</v>
      </c>
      <c r="AC1447" s="1460" t="str">
        <f t="shared" si="999"/>
        <v>-</v>
      </c>
      <c r="AD1447" s="1459">
        <f t="shared" si="1000"/>
        <v>0</v>
      </c>
      <c r="AE1447" s="964" t="str">
        <f t="shared" si="1001"/>
        <v/>
      </c>
      <c r="AF1447" s="964" t="str">
        <f t="shared" si="1002"/>
        <v/>
      </c>
      <c r="AG1447" s="964" t="str">
        <f t="shared" si="1003"/>
        <v/>
      </c>
      <c r="AH1447" s="964" t="str">
        <f t="shared" si="1004"/>
        <v/>
      </c>
      <c r="AI1447" s="964" t="str">
        <f t="shared" si="1005"/>
        <v/>
      </c>
      <c r="AJ1447" s="964"/>
      <c r="AK1447" s="964"/>
      <c r="AL1447"/>
      <c r="AM1447"/>
      <c r="AN1447"/>
      <c r="AO1447"/>
      <c r="AP1447"/>
      <c r="AQ1447"/>
      <c r="AR1447"/>
      <c r="AS1447"/>
      <c r="AT1447"/>
      <c r="AU1447"/>
      <c r="AV1447"/>
      <c r="AW1447"/>
      <c r="AX1447" s="9"/>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s="1396"/>
      <c r="CB1447" s="1396"/>
      <c r="CC1447"/>
      <c r="CD1447"/>
      <c r="CE1447"/>
    </row>
    <row r="1448" spans="1:83" ht="13.15" customHeight="1" outlineLevel="2" x14ac:dyDescent="0.2">
      <c r="A1448"/>
      <c r="B1448" s="1"/>
      <c r="C1448"/>
      <c r="D1448"/>
      <c r="E1448"/>
      <c r="F1448"/>
      <c r="G1448" s="1"/>
      <c r="H1448" s="1"/>
      <c r="I1448"/>
      <c r="J1448"/>
      <c r="K1448"/>
      <c r="L1448"/>
      <c r="M1448"/>
      <c r="N1448"/>
      <c r="O1448"/>
      <c r="P1448"/>
      <c r="Q1448"/>
      <c r="R1448" s="558" t="s">
        <v>3974</v>
      </c>
      <c r="S1448" s="83"/>
      <c r="T1448" s="56"/>
      <c r="U1448" s="955"/>
      <c r="V1448" s="43" t="str">
        <f t="shared" si="1006"/>
        <v>Q</v>
      </c>
      <c r="W1448" s="10"/>
      <c r="X1448" s="45" t="s">
        <v>769</v>
      </c>
      <c r="Y1448" s="10"/>
      <c r="Z1448" s="46" t="str">
        <f t="shared" si="1007"/>
        <v>H</v>
      </c>
      <c r="AA1448" s="123"/>
      <c r="AB1448" s="1459">
        <f t="shared" si="998"/>
        <v>0</v>
      </c>
      <c r="AC1448" s="1460" t="str">
        <f t="shared" si="999"/>
        <v>-</v>
      </c>
      <c r="AD1448" s="1459">
        <f t="shared" si="1000"/>
        <v>0</v>
      </c>
      <c r="AE1448" s="964" t="str">
        <f t="shared" si="1001"/>
        <v/>
      </c>
      <c r="AF1448" s="964" t="str">
        <f t="shared" si="1002"/>
        <v/>
      </c>
      <c r="AG1448" s="964" t="str">
        <f t="shared" si="1003"/>
        <v/>
      </c>
      <c r="AH1448" s="964" t="str">
        <f t="shared" si="1004"/>
        <v/>
      </c>
      <c r="AI1448" s="964" t="str">
        <f t="shared" si="1005"/>
        <v/>
      </c>
      <c r="AJ1448" s="964"/>
      <c r="AK1448" s="964"/>
      <c r="AL1448"/>
      <c r="AM1448"/>
      <c r="AN1448"/>
      <c r="AO1448"/>
      <c r="AP1448"/>
      <c r="AQ1448"/>
      <c r="AR1448"/>
      <c r="AS1448"/>
      <c r="AT1448"/>
      <c r="AU1448"/>
      <c r="AV1448"/>
      <c r="AW1448" s="9"/>
      <c r="AX1448" s="9"/>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s="1396"/>
      <c r="CB1448" s="1396"/>
      <c r="CC1448"/>
      <c r="CD1448"/>
      <c r="CE1448"/>
    </row>
    <row r="1449" spans="1:83" ht="13.15" customHeight="1" outlineLevel="2" x14ac:dyDescent="0.2">
      <c r="A1449"/>
      <c r="B1449" s="1"/>
      <c r="C1449"/>
      <c r="D1449"/>
      <c r="E1449"/>
      <c r="F1449"/>
      <c r="G1449" s="1"/>
      <c r="H1449" s="1"/>
      <c r="I1449"/>
      <c r="J1449"/>
      <c r="K1449"/>
      <c r="L1449"/>
      <c r="M1449"/>
      <c r="N1449"/>
      <c r="O1449"/>
      <c r="P1449"/>
      <c r="Q1449"/>
      <c r="R1449" s="558" t="s">
        <v>3974</v>
      </c>
      <c r="S1449" s="83"/>
      <c r="T1449" s="56"/>
      <c r="U1449" s="955"/>
      <c r="V1449" s="43" t="str">
        <f t="shared" si="1006"/>
        <v>O</v>
      </c>
      <c r="W1449" s="10"/>
      <c r="X1449" s="45" t="s">
        <v>769</v>
      </c>
      <c r="Y1449" s="10"/>
      <c r="Z1449" s="46" t="str">
        <f t="shared" si="1007"/>
        <v>F</v>
      </c>
      <c r="AA1449" s="123"/>
      <c r="AB1449" s="1459">
        <f t="shared" si="998"/>
        <v>0</v>
      </c>
      <c r="AC1449" s="1460" t="str">
        <f t="shared" si="999"/>
        <v>-</v>
      </c>
      <c r="AD1449" s="1459">
        <f t="shared" si="1000"/>
        <v>0</v>
      </c>
      <c r="AE1449" s="964" t="str">
        <f t="shared" si="1001"/>
        <v/>
      </c>
      <c r="AF1449" s="964" t="str">
        <f t="shared" si="1002"/>
        <v/>
      </c>
      <c r="AG1449" s="964" t="str">
        <f t="shared" si="1003"/>
        <v/>
      </c>
      <c r="AH1449" s="964" t="str">
        <f t="shared" si="1004"/>
        <v/>
      </c>
      <c r="AI1449" s="964" t="str">
        <f t="shared" si="1005"/>
        <v/>
      </c>
      <c r="AJ1449" s="964"/>
      <c r="AK1449" s="964"/>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s="1396"/>
      <c r="CB1449" s="1396"/>
      <c r="CC1449"/>
      <c r="CD1449"/>
      <c r="CE1449"/>
    </row>
    <row r="1450" spans="1:83" ht="13.15" customHeight="1" outlineLevel="2" x14ac:dyDescent="0.2">
      <c r="A1450"/>
      <c r="B1450" s="1"/>
      <c r="C1450"/>
      <c r="D1450"/>
      <c r="E1450"/>
      <c r="F1450"/>
      <c r="G1450" s="1"/>
      <c r="H1450" s="1"/>
      <c r="I1450"/>
      <c r="J1450"/>
      <c r="K1450"/>
      <c r="L1450"/>
      <c r="M1450"/>
      <c r="N1450"/>
      <c r="O1450"/>
      <c r="P1450"/>
      <c r="Q1450"/>
      <c r="R1450" s="558" t="s">
        <v>3974</v>
      </c>
      <c r="S1450" s="83"/>
      <c r="T1450" s="56"/>
      <c r="U1450" s="955"/>
      <c r="V1450" s="43" t="str">
        <f t="shared" si="1006"/>
        <v>M</v>
      </c>
      <c r="W1450" s="10"/>
      <c r="X1450" s="45" t="s">
        <v>769</v>
      </c>
      <c r="Y1450" s="10"/>
      <c r="Z1450" s="46" t="str">
        <f t="shared" si="1007"/>
        <v>D</v>
      </c>
      <c r="AA1450" s="123"/>
      <c r="AB1450" s="1459">
        <f t="shared" si="998"/>
        <v>0</v>
      </c>
      <c r="AC1450" s="1460" t="str">
        <f t="shared" si="999"/>
        <v>-</v>
      </c>
      <c r="AD1450" s="1459">
        <f t="shared" si="1000"/>
        <v>0</v>
      </c>
      <c r="AE1450" s="964" t="str">
        <f t="shared" si="1001"/>
        <v/>
      </c>
      <c r="AF1450" s="964" t="str">
        <f t="shared" si="1002"/>
        <v/>
      </c>
      <c r="AG1450" s="964" t="str">
        <f t="shared" si="1003"/>
        <v/>
      </c>
      <c r="AH1450" s="964" t="str">
        <f t="shared" si="1004"/>
        <v/>
      </c>
      <c r="AI1450" s="964" t="str">
        <f t="shared" si="1005"/>
        <v/>
      </c>
      <c r="AJ1450" s="964"/>
      <c r="AK1450" s="964"/>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s="1396"/>
      <c r="CB1450" s="1396"/>
      <c r="CC1450"/>
      <c r="CD1450"/>
      <c r="CE1450"/>
    </row>
    <row r="1451" spans="1:83" ht="13.15" customHeight="1" outlineLevel="2" x14ac:dyDescent="0.2">
      <c r="A1451"/>
      <c r="B1451" s="1"/>
      <c r="C1451"/>
      <c r="D1451"/>
      <c r="E1451"/>
      <c r="F1451"/>
      <c r="G1451" s="1"/>
      <c r="H1451" s="1"/>
      <c r="I1451"/>
      <c r="J1451"/>
      <c r="K1451"/>
      <c r="L1451"/>
      <c r="M1451"/>
      <c r="N1451"/>
      <c r="O1451"/>
      <c r="P1451"/>
      <c r="Q1451"/>
      <c r="R1451" s="558" t="s">
        <v>3974</v>
      </c>
      <c r="S1451" s="83"/>
      <c r="T1451" s="56"/>
      <c r="U1451" s="955"/>
      <c r="V1451" s="43" t="str">
        <f t="shared" si="1006"/>
        <v>K</v>
      </c>
      <c r="W1451" s="10"/>
      <c r="X1451" s="45" t="s">
        <v>769</v>
      </c>
      <c r="Y1451" s="10"/>
      <c r="Z1451" s="46" t="str">
        <f t="shared" si="1007"/>
        <v>B</v>
      </c>
      <c r="AA1451" s="123"/>
      <c r="AB1451" s="1459">
        <f t="shared" si="998"/>
        <v>0</v>
      </c>
      <c r="AC1451" s="1460" t="str">
        <f t="shared" si="999"/>
        <v>-</v>
      </c>
      <c r="AD1451" s="1459">
        <f t="shared" si="1000"/>
        <v>0</v>
      </c>
      <c r="AE1451" s="964" t="str">
        <f t="shared" si="1001"/>
        <v/>
      </c>
      <c r="AF1451" s="964" t="str">
        <f t="shared" si="1002"/>
        <v/>
      </c>
      <c r="AG1451" s="964" t="str">
        <f t="shared" si="1003"/>
        <v/>
      </c>
      <c r="AH1451" s="964" t="str">
        <f t="shared" si="1004"/>
        <v/>
      </c>
      <c r="AI1451" s="964" t="str">
        <f t="shared" si="1005"/>
        <v/>
      </c>
      <c r="AJ1451" s="964"/>
      <c r="AK1451" s="964"/>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s="1396"/>
      <c r="CB1451" s="1396"/>
      <c r="CC1451"/>
      <c r="CD1451"/>
      <c r="CE1451"/>
    </row>
    <row r="1452" spans="1:83" ht="13.15" customHeight="1" outlineLevel="2" x14ac:dyDescent="0.2">
      <c r="A1452"/>
      <c r="B1452" s="1"/>
      <c r="C1452"/>
      <c r="D1452"/>
      <c r="E1452"/>
      <c r="F1452"/>
      <c r="G1452" s="1"/>
      <c r="H1452" s="1"/>
      <c r="I1452"/>
      <c r="J1452"/>
      <c r="K1452"/>
      <c r="L1452"/>
      <c r="M1452"/>
      <c r="N1452"/>
      <c r="O1452"/>
      <c r="P1452"/>
      <c r="Q1452"/>
      <c r="R1452" s="558" t="s">
        <v>3974</v>
      </c>
      <c r="S1452" s="83"/>
      <c r="T1452" s="56"/>
      <c r="U1452" s="955"/>
      <c r="V1452" s="43" t="str">
        <f t="shared" si="1006"/>
        <v>I</v>
      </c>
      <c r="W1452" s="10"/>
      <c r="X1452" s="45" t="s">
        <v>769</v>
      </c>
      <c r="Y1452" s="10"/>
      <c r="Z1452" s="46" t="str">
        <f t="shared" si="1007"/>
        <v>C</v>
      </c>
      <c r="AA1452" s="123"/>
      <c r="AB1452" s="1459">
        <f t="shared" si="998"/>
        <v>0</v>
      </c>
      <c r="AC1452" s="1460" t="str">
        <f t="shared" si="999"/>
        <v>-</v>
      </c>
      <c r="AD1452" s="1459">
        <f t="shared" si="1000"/>
        <v>0</v>
      </c>
      <c r="AE1452" s="964" t="str">
        <f t="shared" si="1001"/>
        <v/>
      </c>
      <c r="AF1452" s="964" t="str">
        <f t="shared" si="1002"/>
        <v/>
      </c>
      <c r="AG1452" s="964" t="str">
        <f t="shared" si="1003"/>
        <v/>
      </c>
      <c r="AH1452" s="964" t="str">
        <f t="shared" si="1004"/>
        <v/>
      </c>
      <c r="AI1452" s="964" t="str">
        <f t="shared" si="1005"/>
        <v/>
      </c>
      <c r="AJ1452" s="964"/>
      <c r="AK1452" s="964"/>
      <c r="AL1452"/>
      <c r="AM1452"/>
      <c r="AN1452"/>
      <c r="AO1452"/>
      <c r="AP1452"/>
      <c r="AQ1452"/>
      <c r="AR1452"/>
      <c r="AS1452"/>
      <c r="AT1452"/>
      <c r="AU1452"/>
      <c r="AV1452"/>
      <c r="AW1452"/>
      <c r="AX1452" s="9"/>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s="1396"/>
      <c r="CB1452" s="1396"/>
      <c r="CC1452"/>
      <c r="CD1452"/>
      <c r="CE1452"/>
    </row>
    <row r="1453" spans="1:83" ht="13.9" customHeight="1" outlineLevel="2" thickBot="1" x14ac:dyDescent="0.25">
      <c r="A1453"/>
      <c r="B1453" s="1"/>
      <c r="C1453"/>
      <c r="D1453"/>
      <c r="E1453"/>
      <c r="F1453"/>
      <c r="G1453" s="1"/>
      <c r="H1453" s="1"/>
      <c r="I1453"/>
      <c r="J1453"/>
      <c r="K1453"/>
      <c r="L1453"/>
      <c r="M1453"/>
      <c r="N1453"/>
      <c r="O1453"/>
      <c r="P1453"/>
      <c r="Q1453"/>
      <c r="R1453" s="558" t="s">
        <v>3974</v>
      </c>
      <c r="S1453" s="956"/>
      <c r="T1453" s="58"/>
      <c r="U1453" s="957"/>
      <c r="V1453" s="43" t="str">
        <f t="shared" si="1006"/>
        <v>G</v>
      </c>
      <c r="W1453" s="10"/>
      <c r="X1453" s="45" t="s">
        <v>769</v>
      </c>
      <c r="Y1453" s="10"/>
      <c r="Z1453" s="46" t="str">
        <f>Z1442</f>
        <v>E</v>
      </c>
      <c r="AA1453" s="123"/>
      <c r="AB1453" s="1459">
        <f t="shared" si="998"/>
        <v>0</v>
      </c>
      <c r="AC1453" s="1460" t="str">
        <f t="shared" si="999"/>
        <v>-</v>
      </c>
      <c r="AD1453" s="1459">
        <f t="shared" si="1000"/>
        <v>0</v>
      </c>
      <c r="AE1453" s="964" t="str">
        <f t="shared" si="1001"/>
        <v/>
      </c>
      <c r="AF1453" s="964" t="str">
        <f t="shared" si="1002"/>
        <v/>
      </c>
      <c r="AG1453" s="964" t="str">
        <f t="shared" si="1003"/>
        <v/>
      </c>
      <c r="AH1453" s="964" t="str">
        <f t="shared" si="1004"/>
        <v/>
      </c>
      <c r="AI1453" s="964" t="str">
        <f t="shared" si="1005"/>
        <v/>
      </c>
      <c r="AJ1453" s="964"/>
      <c r="AK1453" s="964"/>
      <c r="AL1453"/>
      <c r="AM1453"/>
      <c r="AN1453"/>
      <c r="AO1453"/>
      <c r="AP1453"/>
      <c r="AQ1453"/>
      <c r="AR1453"/>
      <c r="AS1453"/>
      <c r="AT1453"/>
      <c r="AU1453"/>
      <c r="AV1453"/>
      <c r="AW1453" s="9"/>
      <c r="AX1453" s="9"/>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s="1396"/>
      <c r="CB1453" s="1396"/>
      <c r="CC1453"/>
      <c r="CD1453"/>
      <c r="CE1453"/>
    </row>
    <row r="1454" spans="1:83" ht="13.5" outlineLevel="1" thickBot="1" x14ac:dyDescent="0.25">
      <c r="A1454"/>
      <c r="B1454" s="1"/>
      <c r="C1454" s="1"/>
      <c r="D1454" s="76"/>
      <c r="E1454" s="76"/>
      <c r="F1454" s="76"/>
      <c r="G1454" s="9"/>
      <c r="H1454" s="9"/>
      <c r="I1454" s="1"/>
      <c r="J1454"/>
      <c r="K1454"/>
      <c r="L1454"/>
      <c r="M1454"/>
      <c r="N1454"/>
      <c r="O1454"/>
      <c r="P1454" s="89"/>
      <c r="Q1454"/>
      <c r="R1454" s="1"/>
      <c r="S1454" s="993">
        <f>S1443+1</f>
        <v>13</v>
      </c>
      <c r="T1454" s="961"/>
      <c r="U1454" s="961"/>
      <c r="V1454" s="961"/>
      <c r="W1454" s="960"/>
      <c r="X1454" s="960"/>
      <c r="Y1454" s="960"/>
      <c r="Z1454" s="962"/>
      <c r="AA1454" s="123"/>
      <c r="AB1454" s="963"/>
      <c r="AC1454" s="963"/>
      <c r="AD1454" s="963"/>
      <c r="AE1454" s="964"/>
      <c r="AF1454" s="964"/>
      <c r="AG1454" s="964"/>
      <c r="AH1454" s="964"/>
      <c r="AI1454" s="964"/>
      <c r="AJ1454" s="964"/>
      <c r="AK1454" s="96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s="1396"/>
      <c r="CB1454" s="1396"/>
      <c r="CC1454"/>
      <c r="CD1454"/>
      <c r="CE1454"/>
    </row>
    <row r="1455" spans="1:83" ht="13.9" customHeight="1" outlineLevel="2" thickBot="1" x14ac:dyDescent="0.25">
      <c r="A1455"/>
      <c r="B1455" s="1"/>
      <c r="C1455"/>
      <c r="D1455"/>
      <c r="E1455"/>
      <c r="F1455"/>
      <c r="G1455" s="1"/>
      <c r="H1455" s="1"/>
      <c r="I1455"/>
      <c r="J1455"/>
      <c r="K1455"/>
      <c r="L1455"/>
      <c r="M1455"/>
      <c r="N1455"/>
      <c r="O1455"/>
      <c r="P1455"/>
      <c r="Q1455"/>
      <c r="S1455" s="22" t="str">
        <f>N_Heure</f>
        <v>Heure</v>
      </c>
      <c r="T1455" s="22" t="str">
        <f>N_Table</f>
        <v>Table</v>
      </c>
      <c r="U1455" s="22" t="str">
        <f>N_Arbitre</f>
        <v>Arbitre</v>
      </c>
      <c r="V1455" s="293" t="str">
        <f>N_Matches</f>
        <v>Matches</v>
      </c>
      <c r="W1455" s="294"/>
      <c r="X1455" s="294"/>
      <c r="Y1455" s="294"/>
      <c r="Z1455" s="295"/>
      <c r="AA1455" s="8"/>
      <c r="AB1455" s="967"/>
      <c r="AC1455" s="967"/>
      <c r="AD1455" s="967"/>
      <c r="AE1455" s="964"/>
      <c r="AF1455" s="964"/>
      <c r="AG1455" s="964"/>
      <c r="AH1455" s="964"/>
      <c r="AI1455" s="964"/>
      <c r="AJ1455" s="964"/>
      <c r="AK1455" s="964"/>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s="1396"/>
      <c r="CB1455" s="1396"/>
      <c r="CC1455"/>
      <c r="CD1455"/>
      <c r="CE1455"/>
    </row>
    <row r="1456" spans="1:83" ht="13.15" customHeight="1" outlineLevel="2" x14ac:dyDescent="0.2">
      <c r="A1456"/>
      <c r="B1456" s="1"/>
      <c r="C1456"/>
      <c r="D1456"/>
      <c r="E1456"/>
      <c r="F1456"/>
      <c r="G1456" s="1"/>
      <c r="H1456" s="1"/>
      <c r="I1456"/>
      <c r="J1456"/>
      <c r="K1456"/>
      <c r="L1456"/>
      <c r="M1456"/>
      <c r="N1456"/>
      <c r="O1456"/>
      <c r="P1456"/>
      <c r="Q1456"/>
      <c r="R1456" s="558" t="s">
        <v>3975</v>
      </c>
      <c r="S1456" s="65"/>
      <c r="T1456" s="953"/>
      <c r="U1456" s="954"/>
      <c r="V1456" s="34" t="str">
        <f>Z1445</f>
        <v>A</v>
      </c>
      <c r="W1456" s="148"/>
      <c r="X1456" s="35" t="s">
        <v>769</v>
      </c>
      <c r="Y1456" s="148"/>
      <c r="Z1456" s="36" t="str">
        <f>Z1446</f>
        <v>L</v>
      </c>
      <c r="AA1456" s="123"/>
      <c r="AB1456" s="1459">
        <f t="shared" ref="AB1456:AB1464" si="1008">IF(MaxScore,MaxGoals(W1456,Y1456,MaxGoalsValue),IF(W1456="","",W1456))</f>
        <v>0</v>
      </c>
      <c r="AC1456" s="1460" t="str">
        <f t="shared" ref="AC1456:AC1464" si="1009">IF(MaxScore,"-",IF(W1456="","","-"))</f>
        <v>-</v>
      </c>
      <c r="AD1456" s="1459">
        <f t="shared" ref="AD1456:AD1464" si="1010">IF(MaxScore,MaxGoals(Y1456,W1456,MaxGoalsValue),IF(Y1456="","",Y1456))</f>
        <v>0</v>
      </c>
      <c r="AE1456" s="964" t="str">
        <f t="shared" ref="AE1456:AE1464" si="1011">IF(W1456="","",IF(W1456&gt;Y1456,V1456,IF(W1456=Y1456,"",Z1456)))</f>
        <v/>
      </c>
      <c r="AF1456" s="964" t="str">
        <f t="shared" ref="AF1456:AF1464" si="1012">IF(W1456="","",IF(W1456=Y1456,V1456,""))</f>
        <v/>
      </c>
      <c r="AG1456" s="964" t="str">
        <f t="shared" ref="AG1456:AG1464" si="1013">IF(W1456="","",IF(W1456=Y1456,Z1456,""))</f>
        <v/>
      </c>
      <c r="AH1456" s="964" t="str">
        <f t="shared" ref="AH1456:AH1464" si="1014">IF(W1456="","",IF(W1456&lt;Y1456,V1456,IF(W1456=Y1456,"",Z1456)))</f>
        <v/>
      </c>
      <c r="AI1456" s="964" t="str">
        <f t="shared" ref="AI1456:AI1464" si="1015">CONCATENATE(AE1456,AH1456)</f>
        <v/>
      </c>
      <c r="AJ1456" s="964"/>
      <c r="AK1456" s="964"/>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s="1396"/>
      <c r="CB1456" s="1396"/>
      <c r="CC1456"/>
      <c r="CD1456"/>
      <c r="CE1456"/>
    </row>
    <row r="1457" spans="1:83" ht="13.15" customHeight="1" outlineLevel="2" x14ac:dyDescent="0.2">
      <c r="A1457"/>
      <c r="B1457" s="1"/>
      <c r="C1457"/>
      <c r="D1457"/>
      <c r="E1457"/>
      <c r="F1457"/>
      <c r="G1457" s="1"/>
      <c r="H1457" s="1"/>
      <c r="I1457"/>
      <c r="J1457"/>
      <c r="K1457"/>
      <c r="L1457"/>
      <c r="M1457"/>
      <c r="N1457"/>
      <c r="O1457"/>
      <c r="P1457"/>
      <c r="Q1457"/>
      <c r="R1457" s="558" t="s">
        <v>3975</v>
      </c>
      <c r="S1457" s="83"/>
      <c r="T1457" s="56"/>
      <c r="U1457" s="955"/>
      <c r="V1457" s="43" t="str">
        <f t="shared" ref="V1457:V1463" si="1016">Z1447</f>
        <v>J</v>
      </c>
      <c r="W1457" s="10"/>
      <c r="X1457" s="45" t="s">
        <v>769</v>
      </c>
      <c r="Y1457" s="10"/>
      <c r="Z1457" s="46" t="str">
        <f t="shared" ref="Z1457:Z1463" si="1017">V1445</f>
        <v>N</v>
      </c>
      <c r="AA1457" s="123"/>
      <c r="AB1457" s="1459">
        <f t="shared" si="1008"/>
        <v>0</v>
      </c>
      <c r="AC1457" s="1460" t="str">
        <f t="shared" si="1009"/>
        <v>-</v>
      </c>
      <c r="AD1457" s="1459">
        <f t="shared" si="1010"/>
        <v>0</v>
      </c>
      <c r="AE1457" s="964" t="str">
        <f t="shared" si="1011"/>
        <v/>
      </c>
      <c r="AF1457" s="964" t="str">
        <f t="shared" si="1012"/>
        <v/>
      </c>
      <c r="AG1457" s="964" t="str">
        <f t="shared" si="1013"/>
        <v/>
      </c>
      <c r="AH1457" s="964" t="str">
        <f t="shared" si="1014"/>
        <v/>
      </c>
      <c r="AI1457" s="964" t="str">
        <f t="shared" si="1015"/>
        <v/>
      </c>
      <c r="AJ1457" s="964"/>
      <c r="AK1457" s="964"/>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s="1396"/>
      <c r="CB1457" s="1396"/>
      <c r="CC1457"/>
      <c r="CD1457"/>
      <c r="CE1457"/>
    </row>
    <row r="1458" spans="1:83" ht="13.15" customHeight="1" outlineLevel="2" x14ac:dyDescent="0.2">
      <c r="A1458"/>
      <c r="B1458" s="1"/>
      <c r="C1458"/>
      <c r="D1458"/>
      <c r="E1458"/>
      <c r="F1458"/>
      <c r="G1458" s="1"/>
      <c r="H1458" s="1"/>
      <c r="I1458"/>
      <c r="J1458"/>
      <c r="K1458"/>
      <c r="L1458"/>
      <c r="M1458"/>
      <c r="N1458"/>
      <c r="O1458"/>
      <c r="P1458"/>
      <c r="Q1458"/>
      <c r="R1458" s="558" t="s">
        <v>3975</v>
      </c>
      <c r="S1458" s="83"/>
      <c r="T1458" s="56"/>
      <c r="U1458" s="955"/>
      <c r="V1458" s="43" t="str">
        <f t="shared" si="1016"/>
        <v>H</v>
      </c>
      <c r="W1458" s="10"/>
      <c r="X1458" s="45" t="s">
        <v>769</v>
      </c>
      <c r="Y1458" s="10"/>
      <c r="Z1458" s="46" t="str">
        <f t="shared" si="1017"/>
        <v>P</v>
      </c>
      <c r="AA1458" s="123"/>
      <c r="AB1458" s="1459">
        <f t="shared" si="1008"/>
        <v>0</v>
      </c>
      <c r="AC1458" s="1460" t="str">
        <f t="shared" si="1009"/>
        <v>-</v>
      </c>
      <c r="AD1458" s="1459">
        <f t="shared" si="1010"/>
        <v>0</v>
      </c>
      <c r="AE1458" s="964" t="str">
        <f t="shared" si="1011"/>
        <v/>
      </c>
      <c r="AF1458" s="964" t="str">
        <f t="shared" si="1012"/>
        <v/>
      </c>
      <c r="AG1458" s="964" t="str">
        <f t="shared" si="1013"/>
        <v/>
      </c>
      <c r="AH1458" s="964" t="str">
        <f t="shared" si="1014"/>
        <v/>
      </c>
      <c r="AI1458" s="964" t="str">
        <f t="shared" si="1015"/>
        <v/>
      </c>
      <c r="AJ1458" s="964"/>
      <c r="AK1458" s="964"/>
      <c r="AL1458"/>
      <c r="AM1458"/>
      <c r="AN1458"/>
      <c r="AO1458"/>
      <c r="AP1458"/>
      <c r="AQ1458"/>
      <c r="AR1458"/>
      <c r="AS1458"/>
      <c r="AT1458"/>
      <c r="AU1458"/>
      <c r="AV1458"/>
      <c r="AW1458"/>
      <c r="AX1458" s="9"/>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s="1396"/>
      <c r="CB1458" s="1396"/>
      <c r="CC1458"/>
      <c r="CD1458"/>
      <c r="CE1458"/>
    </row>
    <row r="1459" spans="1:83" ht="13.15" customHeight="1" outlineLevel="2" x14ac:dyDescent="0.2">
      <c r="A1459"/>
      <c r="B1459" s="1"/>
      <c r="C1459"/>
      <c r="D1459"/>
      <c r="E1459"/>
      <c r="F1459"/>
      <c r="G1459" s="1"/>
      <c r="H1459" s="1"/>
      <c r="I1459"/>
      <c r="J1459"/>
      <c r="K1459"/>
      <c r="L1459"/>
      <c r="M1459"/>
      <c r="N1459"/>
      <c r="O1459"/>
      <c r="P1459"/>
      <c r="Q1459"/>
      <c r="R1459" s="558" t="s">
        <v>3975</v>
      </c>
      <c r="S1459" s="83"/>
      <c r="T1459" s="56"/>
      <c r="U1459" s="955"/>
      <c r="V1459" s="43" t="str">
        <f t="shared" si="1016"/>
        <v>F</v>
      </c>
      <c r="W1459" s="10"/>
      <c r="X1459" s="45" t="s">
        <v>769</v>
      </c>
      <c r="Y1459" s="10"/>
      <c r="Z1459" s="46" t="str">
        <f t="shared" si="1017"/>
        <v>R</v>
      </c>
      <c r="AA1459" s="123"/>
      <c r="AB1459" s="1459">
        <f t="shared" si="1008"/>
        <v>0</v>
      </c>
      <c r="AC1459" s="1460" t="str">
        <f t="shared" si="1009"/>
        <v>-</v>
      </c>
      <c r="AD1459" s="1459">
        <f t="shared" si="1010"/>
        <v>0</v>
      </c>
      <c r="AE1459" s="964" t="str">
        <f t="shared" si="1011"/>
        <v/>
      </c>
      <c r="AF1459" s="964" t="str">
        <f t="shared" si="1012"/>
        <v/>
      </c>
      <c r="AG1459" s="964" t="str">
        <f t="shared" si="1013"/>
        <v/>
      </c>
      <c r="AH1459" s="964" t="str">
        <f t="shared" si="1014"/>
        <v/>
      </c>
      <c r="AI1459" s="964" t="str">
        <f t="shared" si="1015"/>
        <v/>
      </c>
      <c r="AJ1459" s="964"/>
      <c r="AK1459" s="964"/>
      <c r="AL1459"/>
      <c r="AM1459"/>
      <c r="AN1459"/>
      <c r="AO1459"/>
      <c r="AP1459"/>
      <c r="AQ1459"/>
      <c r="AR1459"/>
      <c r="AS1459"/>
      <c r="AT1459"/>
      <c r="AU1459"/>
      <c r="AV1459"/>
      <c r="AW1459" s="9"/>
      <c r="AX1459" s="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s="1396"/>
      <c r="CB1459" s="1396"/>
      <c r="CC1459"/>
      <c r="CD1459"/>
      <c r="CE1459"/>
    </row>
    <row r="1460" spans="1:83" ht="13.15" customHeight="1" outlineLevel="2" x14ac:dyDescent="0.2">
      <c r="A1460"/>
      <c r="B1460" s="1"/>
      <c r="C1460"/>
      <c r="D1460"/>
      <c r="E1460"/>
      <c r="F1460"/>
      <c r="G1460" s="1"/>
      <c r="H1460" s="1"/>
      <c r="I1460"/>
      <c r="J1460"/>
      <c r="K1460"/>
      <c r="L1460"/>
      <c r="M1460"/>
      <c r="N1460"/>
      <c r="O1460"/>
      <c r="P1460"/>
      <c r="Q1460"/>
      <c r="R1460" s="558" t="s">
        <v>3975</v>
      </c>
      <c r="S1460" s="83"/>
      <c r="T1460" s="56"/>
      <c r="U1460" s="955"/>
      <c r="V1460" s="43" t="str">
        <f t="shared" si="1016"/>
        <v>D</v>
      </c>
      <c r="W1460" s="10"/>
      <c r="X1460" s="45" t="s">
        <v>769</v>
      </c>
      <c r="Y1460" s="10"/>
      <c r="Z1460" s="46" t="str">
        <f t="shared" si="1017"/>
        <v>Q</v>
      </c>
      <c r="AA1460" s="123"/>
      <c r="AB1460" s="1459">
        <f t="shared" si="1008"/>
        <v>0</v>
      </c>
      <c r="AC1460" s="1460" t="str">
        <f t="shared" si="1009"/>
        <v>-</v>
      </c>
      <c r="AD1460" s="1459">
        <f t="shared" si="1010"/>
        <v>0</v>
      </c>
      <c r="AE1460" s="964" t="str">
        <f t="shared" si="1011"/>
        <v/>
      </c>
      <c r="AF1460" s="964" t="str">
        <f t="shared" si="1012"/>
        <v/>
      </c>
      <c r="AG1460" s="964" t="str">
        <f t="shared" si="1013"/>
        <v/>
      </c>
      <c r="AH1460" s="964" t="str">
        <f t="shared" si="1014"/>
        <v/>
      </c>
      <c r="AI1460" s="964" t="str">
        <f t="shared" si="1015"/>
        <v/>
      </c>
      <c r="AJ1460" s="964"/>
      <c r="AK1460" s="964"/>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s="1396"/>
      <c r="CB1460" s="1396"/>
      <c r="CC1460"/>
      <c r="CD1460"/>
      <c r="CE1460"/>
    </row>
    <row r="1461" spans="1:83" ht="13.15" customHeight="1" outlineLevel="2" x14ac:dyDescent="0.2">
      <c r="A1461"/>
      <c r="B1461" s="1"/>
      <c r="C1461"/>
      <c r="D1461"/>
      <c r="E1461"/>
      <c r="F1461"/>
      <c r="G1461" s="1"/>
      <c r="H1461" s="1"/>
      <c r="I1461"/>
      <c r="J1461"/>
      <c r="K1461"/>
      <c r="L1461"/>
      <c r="M1461"/>
      <c r="N1461"/>
      <c r="O1461"/>
      <c r="P1461"/>
      <c r="Q1461"/>
      <c r="R1461" s="558" t="s">
        <v>3975</v>
      </c>
      <c r="S1461" s="83"/>
      <c r="T1461" s="56"/>
      <c r="U1461" s="955"/>
      <c r="V1461" s="43" t="str">
        <f t="shared" si="1016"/>
        <v>B</v>
      </c>
      <c r="W1461" s="10"/>
      <c r="X1461" s="45" t="s">
        <v>769</v>
      </c>
      <c r="Y1461" s="10"/>
      <c r="Z1461" s="46" t="str">
        <f t="shared" si="1017"/>
        <v>O</v>
      </c>
      <c r="AA1461" s="123"/>
      <c r="AB1461" s="1459">
        <f t="shared" si="1008"/>
        <v>0</v>
      </c>
      <c r="AC1461" s="1460" t="str">
        <f t="shared" si="1009"/>
        <v>-</v>
      </c>
      <c r="AD1461" s="1459">
        <f t="shared" si="1010"/>
        <v>0</v>
      </c>
      <c r="AE1461" s="964" t="str">
        <f t="shared" si="1011"/>
        <v/>
      </c>
      <c r="AF1461" s="964" t="str">
        <f t="shared" si="1012"/>
        <v/>
      </c>
      <c r="AG1461" s="964" t="str">
        <f t="shared" si="1013"/>
        <v/>
      </c>
      <c r="AH1461" s="964" t="str">
        <f t="shared" si="1014"/>
        <v/>
      </c>
      <c r="AI1461" s="964" t="str">
        <f t="shared" si="1015"/>
        <v/>
      </c>
      <c r="AJ1461" s="964"/>
      <c r="AK1461" s="964"/>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s="1396"/>
      <c r="CB1461" s="1396"/>
      <c r="CC1461"/>
      <c r="CD1461"/>
      <c r="CE1461"/>
    </row>
    <row r="1462" spans="1:83" ht="13.15" customHeight="1" outlineLevel="2" x14ac:dyDescent="0.2">
      <c r="A1462"/>
      <c r="B1462" s="1"/>
      <c r="C1462"/>
      <c r="D1462"/>
      <c r="E1462"/>
      <c r="F1462"/>
      <c r="G1462" s="1"/>
      <c r="H1462" s="1"/>
      <c r="I1462"/>
      <c r="J1462"/>
      <c r="K1462"/>
      <c r="L1462"/>
      <c r="M1462"/>
      <c r="N1462"/>
      <c r="O1462"/>
      <c r="P1462"/>
      <c r="Q1462"/>
      <c r="R1462" s="558" t="s">
        <v>3975</v>
      </c>
      <c r="S1462" s="83"/>
      <c r="T1462" s="56"/>
      <c r="U1462" s="955"/>
      <c r="V1462" s="43" t="str">
        <f t="shared" si="1016"/>
        <v>C</v>
      </c>
      <c r="W1462" s="10"/>
      <c r="X1462" s="45" t="s">
        <v>769</v>
      </c>
      <c r="Y1462" s="10"/>
      <c r="Z1462" s="46" t="str">
        <f t="shared" si="1017"/>
        <v>M</v>
      </c>
      <c r="AA1462" s="123"/>
      <c r="AB1462" s="1459">
        <f t="shared" si="1008"/>
        <v>0</v>
      </c>
      <c r="AC1462" s="1460" t="str">
        <f t="shared" si="1009"/>
        <v>-</v>
      </c>
      <c r="AD1462" s="1459">
        <f t="shared" si="1010"/>
        <v>0</v>
      </c>
      <c r="AE1462" s="964" t="str">
        <f t="shared" si="1011"/>
        <v/>
      </c>
      <c r="AF1462" s="964" t="str">
        <f t="shared" si="1012"/>
        <v/>
      </c>
      <c r="AG1462" s="964" t="str">
        <f t="shared" si="1013"/>
        <v/>
      </c>
      <c r="AH1462" s="964" t="str">
        <f t="shared" si="1014"/>
        <v/>
      </c>
      <c r="AI1462" s="964" t="str">
        <f t="shared" si="1015"/>
        <v/>
      </c>
      <c r="AJ1462" s="964"/>
      <c r="AK1462" s="964"/>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s="1396"/>
      <c r="CB1462" s="1396"/>
      <c r="CC1462"/>
      <c r="CD1462"/>
      <c r="CE1462"/>
    </row>
    <row r="1463" spans="1:83" ht="13.15" customHeight="1" outlineLevel="2" x14ac:dyDescent="0.2">
      <c r="A1463"/>
      <c r="B1463" s="1"/>
      <c r="C1463"/>
      <c r="D1463"/>
      <c r="E1463"/>
      <c r="F1463"/>
      <c r="G1463" s="1"/>
      <c r="H1463" s="1"/>
      <c r="I1463"/>
      <c r="J1463"/>
      <c r="K1463"/>
      <c r="L1463"/>
      <c r="M1463"/>
      <c r="N1463"/>
      <c r="O1463"/>
      <c r="P1463"/>
      <c r="Q1463"/>
      <c r="R1463" s="558" t="s">
        <v>3975</v>
      </c>
      <c r="S1463" s="83"/>
      <c r="T1463" s="56"/>
      <c r="U1463" s="955"/>
      <c r="V1463" s="43" t="str">
        <f t="shared" si="1016"/>
        <v>E</v>
      </c>
      <c r="W1463" s="10"/>
      <c r="X1463" s="45" t="s">
        <v>769</v>
      </c>
      <c r="Y1463" s="10"/>
      <c r="Z1463" s="46" t="str">
        <f t="shared" si="1017"/>
        <v>K</v>
      </c>
      <c r="AA1463" s="123"/>
      <c r="AB1463" s="1459">
        <f t="shared" si="1008"/>
        <v>0</v>
      </c>
      <c r="AC1463" s="1460" t="str">
        <f t="shared" si="1009"/>
        <v>-</v>
      </c>
      <c r="AD1463" s="1459">
        <f t="shared" si="1010"/>
        <v>0</v>
      </c>
      <c r="AE1463" s="964" t="str">
        <f t="shared" si="1011"/>
        <v/>
      </c>
      <c r="AF1463" s="964" t="str">
        <f t="shared" si="1012"/>
        <v/>
      </c>
      <c r="AG1463" s="964" t="str">
        <f t="shared" si="1013"/>
        <v/>
      </c>
      <c r="AH1463" s="964" t="str">
        <f t="shared" si="1014"/>
        <v/>
      </c>
      <c r="AI1463" s="964" t="str">
        <f t="shared" si="1015"/>
        <v/>
      </c>
      <c r="AJ1463" s="964"/>
      <c r="AK1463" s="964"/>
      <c r="AL1463"/>
      <c r="AM1463"/>
      <c r="AN1463"/>
      <c r="AO1463"/>
      <c r="AP1463"/>
      <c r="AQ1463"/>
      <c r="AR1463"/>
      <c r="AS1463"/>
      <c r="AT1463"/>
      <c r="AU1463"/>
      <c r="AV1463"/>
      <c r="AW1463"/>
      <c r="AX1463" s="9"/>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s="1396"/>
      <c r="CB1463" s="1396"/>
      <c r="CC1463"/>
      <c r="CD1463"/>
      <c r="CE1463"/>
    </row>
    <row r="1464" spans="1:83" ht="13.9" customHeight="1" outlineLevel="2" thickBot="1" x14ac:dyDescent="0.25">
      <c r="A1464"/>
      <c r="B1464" s="1"/>
      <c r="C1464"/>
      <c r="D1464"/>
      <c r="E1464"/>
      <c r="F1464"/>
      <c r="G1464" s="1"/>
      <c r="H1464" s="1"/>
      <c r="I1464"/>
      <c r="J1464"/>
      <c r="K1464"/>
      <c r="L1464"/>
      <c r="M1464"/>
      <c r="N1464"/>
      <c r="O1464"/>
      <c r="P1464"/>
      <c r="Q1464"/>
      <c r="R1464" s="558" t="s">
        <v>3975</v>
      </c>
      <c r="S1464" s="956"/>
      <c r="T1464" s="58"/>
      <c r="U1464" s="957"/>
      <c r="V1464" s="958" t="str">
        <f>V1453</f>
        <v>G</v>
      </c>
      <c r="W1464" s="10"/>
      <c r="X1464" s="45" t="s">
        <v>769</v>
      </c>
      <c r="Y1464" s="10"/>
      <c r="Z1464" s="46" t="str">
        <f>V1452</f>
        <v>I</v>
      </c>
      <c r="AA1464" s="123"/>
      <c r="AB1464" s="1459">
        <f t="shared" si="1008"/>
        <v>0</v>
      </c>
      <c r="AC1464" s="1460" t="str">
        <f t="shared" si="1009"/>
        <v>-</v>
      </c>
      <c r="AD1464" s="1459">
        <f t="shared" si="1010"/>
        <v>0</v>
      </c>
      <c r="AE1464" s="964" t="str">
        <f t="shared" si="1011"/>
        <v/>
      </c>
      <c r="AF1464" s="964" t="str">
        <f t="shared" si="1012"/>
        <v/>
      </c>
      <c r="AG1464" s="964" t="str">
        <f t="shared" si="1013"/>
        <v/>
      </c>
      <c r="AH1464" s="964" t="str">
        <f t="shared" si="1014"/>
        <v/>
      </c>
      <c r="AI1464" s="964" t="str">
        <f t="shared" si="1015"/>
        <v/>
      </c>
      <c r="AJ1464" s="964"/>
      <c r="AK1464" s="964"/>
      <c r="AL1464"/>
      <c r="AM1464"/>
      <c r="AN1464"/>
      <c r="AO1464"/>
      <c r="AP1464"/>
      <c r="AQ1464"/>
      <c r="AR1464"/>
      <c r="AS1464"/>
      <c r="AT1464"/>
      <c r="AU1464"/>
      <c r="AV1464"/>
      <c r="AW1464" s="9"/>
      <c r="AX1464" s="9"/>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s="1396"/>
      <c r="CB1464" s="1396"/>
      <c r="CC1464"/>
      <c r="CD1464"/>
      <c r="CE1464"/>
    </row>
    <row r="1465" spans="1:83" ht="13.5" outlineLevel="1" thickBot="1" x14ac:dyDescent="0.25">
      <c r="A1465"/>
      <c r="B1465" s="1"/>
      <c r="C1465" s="1"/>
      <c r="D1465" s="76"/>
      <c r="E1465" s="76"/>
      <c r="F1465" s="76"/>
      <c r="G1465" s="9"/>
      <c r="H1465" s="9"/>
      <c r="I1465" s="1"/>
      <c r="J1465"/>
      <c r="K1465"/>
      <c r="L1465"/>
      <c r="M1465"/>
      <c r="N1465"/>
      <c r="O1465"/>
      <c r="P1465" s="89"/>
      <c r="Q1465"/>
      <c r="R1465" s="1"/>
      <c r="S1465" s="993">
        <f>S1454+1</f>
        <v>14</v>
      </c>
      <c r="T1465" s="961"/>
      <c r="U1465" s="961"/>
      <c r="V1465" s="961"/>
      <c r="W1465" s="960"/>
      <c r="X1465" s="960"/>
      <c r="Y1465" s="960"/>
      <c r="Z1465" s="962"/>
      <c r="AA1465" s="123"/>
      <c r="AB1465" s="963"/>
      <c r="AC1465" s="963"/>
      <c r="AD1465" s="963"/>
      <c r="AE1465" s="964"/>
      <c r="AF1465" s="964"/>
      <c r="AG1465" s="964"/>
      <c r="AH1465" s="964"/>
      <c r="AI1465" s="964"/>
      <c r="AJ1465" s="964"/>
      <c r="AK1465" s="964"/>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s="1396"/>
      <c r="CB1465" s="1396"/>
      <c r="CC1465"/>
      <c r="CD1465"/>
      <c r="CE1465"/>
    </row>
    <row r="1466" spans="1:83" ht="13.9" customHeight="1" outlineLevel="2" thickBot="1" x14ac:dyDescent="0.25">
      <c r="A1466"/>
      <c r="B1466" s="1"/>
      <c r="C1466"/>
      <c r="D1466"/>
      <c r="E1466"/>
      <c r="F1466"/>
      <c r="G1466" s="1"/>
      <c r="H1466" s="1"/>
      <c r="I1466"/>
      <c r="J1466"/>
      <c r="K1466"/>
      <c r="L1466"/>
      <c r="M1466"/>
      <c r="N1466"/>
      <c r="O1466"/>
      <c r="P1466"/>
      <c r="Q1466"/>
      <c r="S1466" s="22" t="str">
        <f>N_Heure</f>
        <v>Heure</v>
      </c>
      <c r="T1466" s="22" t="str">
        <f>N_Table</f>
        <v>Table</v>
      </c>
      <c r="U1466" s="22" t="str">
        <f>N_Arbitre</f>
        <v>Arbitre</v>
      </c>
      <c r="V1466" s="293" t="str">
        <f>N_Matches</f>
        <v>Matches</v>
      </c>
      <c r="W1466" s="294"/>
      <c r="X1466" s="294"/>
      <c r="Y1466" s="294"/>
      <c r="Z1466" s="295"/>
      <c r="AA1466" s="8"/>
      <c r="AB1466" s="967"/>
      <c r="AC1466" s="967"/>
      <c r="AD1466" s="967"/>
      <c r="AE1466" s="964"/>
      <c r="AF1466" s="964"/>
      <c r="AG1466" s="964"/>
      <c r="AH1466" s="964"/>
      <c r="AI1466" s="964"/>
      <c r="AJ1466" s="964"/>
      <c r="AK1466" s="964"/>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s="1396"/>
      <c r="CB1466" s="1396"/>
      <c r="CC1466"/>
      <c r="CD1466"/>
      <c r="CE1466"/>
    </row>
    <row r="1467" spans="1:83" ht="13.15" customHeight="1" outlineLevel="2" x14ac:dyDescent="0.2">
      <c r="A1467"/>
      <c r="B1467" s="1"/>
      <c r="C1467"/>
      <c r="D1467"/>
      <c r="E1467"/>
      <c r="F1467"/>
      <c r="G1467" s="1"/>
      <c r="H1467" s="1"/>
      <c r="I1467"/>
      <c r="J1467"/>
      <c r="K1467"/>
      <c r="L1467"/>
      <c r="M1467"/>
      <c r="N1467"/>
      <c r="O1467"/>
      <c r="P1467"/>
      <c r="Q1467"/>
      <c r="R1467" s="558" t="s">
        <v>3976</v>
      </c>
      <c r="S1467" s="65"/>
      <c r="T1467" s="953"/>
      <c r="U1467" s="954"/>
      <c r="V1467" s="34" t="str">
        <f>V1457</f>
        <v>J</v>
      </c>
      <c r="W1467" s="148"/>
      <c r="X1467" s="35" t="s">
        <v>769</v>
      </c>
      <c r="Y1467" s="148"/>
      <c r="Z1467" s="36" t="str">
        <f>V1456</f>
        <v>A</v>
      </c>
      <c r="AA1467" s="123"/>
      <c r="AB1467" s="1459">
        <f t="shared" ref="AB1467:AB1475" si="1018">IF(MaxScore,MaxGoals(W1467,Y1467,MaxGoalsValue),IF(W1467="","",W1467))</f>
        <v>0</v>
      </c>
      <c r="AC1467" s="1460" t="str">
        <f t="shared" ref="AC1467:AC1475" si="1019">IF(MaxScore,"-",IF(W1467="","","-"))</f>
        <v>-</v>
      </c>
      <c r="AD1467" s="1459">
        <f t="shared" ref="AD1467:AD1475" si="1020">IF(MaxScore,MaxGoals(Y1467,W1467,MaxGoalsValue),IF(Y1467="","",Y1467))</f>
        <v>0</v>
      </c>
      <c r="AE1467" s="964" t="str">
        <f t="shared" ref="AE1467:AE1475" si="1021">IF(W1467="","",IF(W1467&gt;Y1467,V1467,IF(W1467=Y1467,"",Z1467)))</f>
        <v/>
      </c>
      <c r="AF1467" s="964" t="str">
        <f t="shared" ref="AF1467:AF1475" si="1022">IF(W1467="","",IF(W1467=Y1467,V1467,""))</f>
        <v/>
      </c>
      <c r="AG1467" s="964" t="str">
        <f t="shared" ref="AG1467:AG1475" si="1023">IF(W1467="","",IF(W1467=Y1467,Z1467,""))</f>
        <v/>
      </c>
      <c r="AH1467" s="964" t="str">
        <f t="shared" ref="AH1467:AH1475" si="1024">IF(W1467="","",IF(W1467&lt;Y1467,V1467,IF(W1467=Y1467,"",Z1467)))</f>
        <v/>
      </c>
      <c r="AI1467" s="964" t="str">
        <f t="shared" ref="AI1467:AI1475" si="1025">CONCATENATE(AE1467,AH1467)</f>
        <v/>
      </c>
      <c r="AJ1467" s="964"/>
      <c r="AK1467" s="964"/>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s="1396"/>
      <c r="CB1467" s="1396"/>
      <c r="CC1467"/>
      <c r="CD1467"/>
      <c r="CE1467"/>
    </row>
    <row r="1468" spans="1:83" ht="13.15" customHeight="1" outlineLevel="2" x14ac:dyDescent="0.2">
      <c r="A1468"/>
      <c r="B1468" s="1"/>
      <c r="C1468"/>
      <c r="D1468"/>
      <c r="E1468"/>
      <c r="F1468"/>
      <c r="G1468" s="1"/>
      <c r="H1468" s="1"/>
      <c r="I1468"/>
      <c r="J1468"/>
      <c r="K1468"/>
      <c r="L1468"/>
      <c r="M1468"/>
      <c r="N1468"/>
      <c r="O1468"/>
      <c r="P1468"/>
      <c r="Q1468"/>
      <c r="R1468" s="558" t="s">
        <v>3976</v>
      </c>
      <c r="S1468" s="83"/>
      <c r="T1468" s="56"/>
      <c r="U1468" s="955"/>
      <c r="V1468" s="43" t="str">
        <f t="shared" ref="V1468:V1475" si="1026">Z1456</f>
        <v>L</v>
      </c>
      <c r="W1468" s="10"/>
      <c r="X1468" s="45" t="s">
        <v>769</v>
      </c>
      <c r="Y1468" s="10"/>
      <c r="Z1468" s="46" t="str">
        <f t="shared" ref="Z1468:Z1474" si="1027">V1458</f>
        <v>H</v>
      </c>
      <c r="AA1468" s="123"/>
      <c r="AB1468" s="1459">
        <f t="shared" si="1018"/>
        <v>0</v>
      </c>
      <c r="AC1468" s="1460" t="str">
        <f t="shared" si="1019"/>
        <v>-</v>
      </c>
      <c r="AD1468" s="1459">
        <f t="shared" si="1020"/>
        <v>0</v>
      </c>
      <c r="AE1468" s="964" t="str">
        <f t="shared" si="1021"/>
        <v/>
      </c>
      <c r="AF1468" s="964" t="str">
        <f t="shared" si="1022"/>
        <v/>
      </c>
      <c r="AG1468" s="964" t="str">
        <f t="shared" si="1023"/>
        <v/>
      </c>
      <c r="AH1468" s="964" t="str">
        <f t="shared" si="1024"/>
        <v/>
      </c>
      <c r="AI1468" s="964" t="str">
        <f t="shared" si="1025"/>
        <v/>
      </c>
      <c r="AJ1468" s="964"/>
      <c r="AK1468" s="964"/>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s="1396"/>
      <c r="CB1468" s="1396"/>
      <c r="CC1468"/>
      <c r="CD1468"/>
      <c r="CE1468"/>
    </row>
    <row r="1469" spans="1:83" ht="13.15" customHeight="1" outlineLevel="2" x14ac:dyDescent="0.2">
      <c r="A1469"/>
      <c r="B1469" s="1"/>
      <c r="C1469"/>
      <c r="D1469"/>
      <c r="E1469"/>
      <c r="F1469"/>
      <c r="G1469" s="1"/>
      <c r="H1469" s="1"/>
      <c r="I1469"/>
      <c r="J1469"/>
      <c r="K1469"/>
      <c r="L1469"/>
      <c r="M1469"/>
      <c r="N1469"/>
      <c r="O1469"/>
      <c r="P1469"/>
      <c r="Q1469"/>
      <c r="R1469" s="558" t="s">
        <v>3976</v>
      </c>
      <c r="S1469" s="83"/>
      <c r="T1469" s="56"/>
      <c r="U1469" s="955"/>
      <c r="V1469" s="43" t="str">
        <f t="shared" si="1026"/>
        <v>N</v>
      </c>
      <c r="W1469" s="10"/>
      <c r="X1469" s="45" t="s">
        <v>769</v>
      </c>
      <c r="Y1469" s="10"/>
      <c r="Z1469" s="46" t="str">
        <f t="shared" si="1027"/>
        <v>F</v>
      </c>
      <c r="AA1469" s="123"/>
      <c r="AB1469" s="1459">
        <f t="shared" si="1018"/>
        <v>0</v>
      </c>
      <c r="AC1469" s="1460" t="str">
        <f t="shared" si="1019"/>
        <v>-</v>
      </c>
      <c r="AD1469" s="1459">
        <f t="shared" si="1020"/>
        <v>0</v>
      </c>
      <c r="AE1469" s="964" t="str">
        <f t="shared" si="1021"/>
        <v/>
      </c>
      <c r="AF1469" s="964" t="str">
        <f t="shared" si="1022"/>
        <v/>
      </c>
      <c r="AG1469" s="964" t="str">
        <f t="shared" si="1023"/>
        <v/>
      </c>
      <c r="AH1469" s="964" t="str">
        <f t="shared" si="1024"/>
        <v/>
      </c>
      <c r="AI1469" s="964" t="str">
        <f t="shared" si="1025"/>
        <v/>
      </c>
      <c r="AJ1469" s="964"/>
      <c r="AK1469" s="964"/>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s="1396"/>
      <c r="CB1469" s="1396"/>
      <c r="CC1469"/>
      <c r="CD1469"/>
      <c r="CE1469"/>
    </row>
    <row r="1470" spans="1:83" ht="13.15" customHeight="1" outlineLevel="2" x14ac:dyDescent="0.2">
      <c r="A1470"/>
      <c r="B1470" s="1"/>
      <c r="C1470"/>
      <c r="D1470"/>
      <c r="E1470"/>
      <c r="F1470"/>
      <c r="G1470" s="1"/>
      <c r="H1470" s="1"/>
      <c r="I1470"/>
      <c r="J1470"/>
      <c r="K1470"/>
      <c r="L1470"/>
      <c r="M1470"/>
      <c r="N1470"/>
      <c r="O1470"/>
      <c r="P1470"/>
      <c r="Q1470"/>
      <c r="R1470" s="558" t="s">
        <v>3976</v>
      </c>
      <c r="S1470" s="83"/>
      <c r="T1470" s="56"/>
      <c r="U1470" s="955"/>
      <c r="V1470" s="43" t="str">
        <f t="shared" si="1026"/>
        <v>P</v>
      </c>
      <c r="W1470" s="10"/>
      <c r="X1470" s="45" t="s">
        <v>769</v>
      </c>
      <c r="Y1470" s="10"/>
      <c r="Z1470" s="46" t="str">
        <f t="shared" si="1027"/>
        <v>D</v>
      </c>
      <c r="AA1470" s="123"/>
      <c r="AB1470" s="1459">
        <f t="shared" si="1018"/>
        <v>0</v>
      </c>
      <c r="AC1470" s="1460" t="str">
        <f t="shared" si="1019"/>
        <v>-</v>
      </c>
      <c r="AD1470" s="1459">
        <f t="shared" si="1020"/>
        <v>0</v>
      </c>
      <c r="AE1470" s="964" t="str">
        <f t="shared" si="1021"/>
        <v/>
      </c>
      <c r="AF1470" s="964" t="str">
        <f t="shared" si="1022"/>
        <v/>
      </c>
      <c r="AG1470" s="964" t="str">
        <f t="shared" si="1023"/>
        <v/>
      </c>
      <c r="AH1470" s="964" t="str">
        <f t="shared" si="1024"/>
        <v/>
      </c>
      <c r="AI1470" s="964" t="str">
        <f t="shared" si="1025"/>
        <v/>
      </c>
      <c r="AJ1470" s="964"/>
      <c r="AK1470" s="964"/>
      <c r="AL1470"/>
      <c r="AM1470"/>
      <c r="AN1470"/>
      <c r="AO1470"/>
      <c r="AP1470"/>
      <c r="AQ1470"/>
      <c r="AR1470"/>
      <c r="AS1470"/>
      <c r="AT1470"/>
      <c r="AU1470"/>
      <c r="AV1470"/>
      <c r="AW1470" s="9"/>
      <c r="AX1470" s="9"/>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s="1396"/>
      <c r="CB1470" s="1396"/>
      <c r="CC1470"/>
      <c r="CD1470"/>
      <c r="CE1470"/>
    </row>
    <row r="1471" spans="1:83" ht="13.15" customHeight="1" outlineLevel="2" x14ac:dyDescent="0.2">
      <c r="A1471"/>
      <c r="B1471" s="1"/>
      <c r="C1471"/>
      <c r="D1471"/>
      <c r="E1471"/>
      <c r="F1471"/>
      <c r="G1471" s="1"/>
      <c r="H1471" s="1"/>
      <c r="I1471"/>
      <c r="J1471"/>
      <c r="K1471"/>
      <c r="L1471"/>
      <c r="M1471"/>
      <c r="N1471"/>
      <c r="O1471"/>
      <c r="P1471"/>
      <c r="Q1471"/>
      <c r="R1471" s="558" t="s">
        <v>3976</v>
      </c>
      <c r="S1471" s="83"/>
      <c r="T1471" s="56"/>
      <c r="U1471" s="955"/>
      <c r="V1471" s="43" t="str">
        <f t="shared" si="1026"/>
        <v>R</v>
      </c>
      <c r="W1471" s="10"/>
      <c r="X1471" s="45" t="s">
        <v>769</v>
      </c>
      <c r="Y1471" s="10"/>
      <c r="Z1471" s="46" t="str">
        <f t="shared" si="1027"/>
        <v>B</v>
      </c>
      <c r="AA1471" s="123"/>
      <c r="AB1471" s="1459">
        <f t="shared" si="1018"/>
        <v>0</v>
      </c>
      <c r="AC1471" s="1460" t="str">
        <f t="shared" si="1019"/>
        <v>-</v>
      </c>
      <c r="AD1471" s="1459">
        <f t="shared" si="1020"/>
        <v>0</v>
      </c>
      <c r="AE1471" s="964" t="str">
        <f t="shared" si="1021"/>
        <v/>
      </c>
      <c r="AF1471" s="964" t="str">
        <f t="shared" si="1022"/>
        <v/>
      </c>
      <c r="AG1471" s="964" t="str">
        <f t="shared" si="1023"/>
        <v/>
      </c>
      <c r="AH1471" s="964" t="str">
        <f t="shared" si="1024"/>
        <v/>
      </c>
      <c r="AI1471" s="964" t="str">
        <f t="shared" si="1025"/>
        <v/>
      </c>
      <c r="AJ1471" s="964"/>
      <c r="AK1471" s="964"/>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s="1396"/>
      <c r="CB1471" s="1396"/>
      <c r="CC1471"/>
      <c r="CD1471"/>
      <c r="CE1471"/>
    </row>
    <row r="1472" spans="1:83" ht="13.15" customHeight="1" outlineLevel="2" x14ac:dyDescent="0.2">
      <c r="A1472"/>
      <c r="B1472" s="1"/>
      <c r="C1472"/>
      <c r="D1472"/>
      <c r="E1472"/>
      <c r="F1472"/>
      <c r="G1472" s="1"/>
      <c r="H1472" s="1"/>
      <c r="I1472"/>
      <c r="J1472"/>
      <c r="K1472"/>
      <c r="L1472"/>
      <c r="M1472"/>
      <c r="N1472"/>
      <c r="O1472"/>
      <c r="P1472"/>
      <c r="Q1472"/>
      <c r="R1472" s="558" t="s">
        <v>3976</v>
      </c>
      <c r="S1472" s="83"/>
      <c r="T1472" s="56"/>
      <c r="U1472" s="955"/>
      <c r="V1472" s="43" t="str">
        <f t="shared" si="1026"/>
        <v>Q</v>
      </c>
      <c r="W1472" s="10"/>
      <c r="X1472" s="45" t="s">
        <v>769</v>
      </c>
      <c r="Y1472" s="10"/>
      <c r="Z1472" s="46" t="str">
        <f t="shared" si="1027"/>
        <v>C</v>
      </c>
      <c r="AA1472" s="123"/>
      <c r="AB1472" s="1459">
        <f t="shared" si="1018"/>
        <v>0</v>
      </c>
      <c r="AC1472" s="1460" t="str">
        <f t="shared" si="1019"/>
        <v>-</v>
      </c>
      <c r="AD1472" s="1459">
        <f t="shared" si="1020"/>
        <v>0</v>
      </c>
      <c r="AE1472" s="964" t="str">
        <f t="shared" si="1021"/>
        <v/>
      </c>
      <c r="AF1472" s="964" t="str">
        <f t="shared" si="1022"/>
        <v/>
      </c>
      <c r="AG1472" s="964" t="str">
        <f t="shared" si="1023"/>
        <v/>
      </c>
      <c r="AH1472" s="964" t="str">
        <f t="shared" si="1024"/>
        <v/>
      </c>
      <c r="AI1472" s="964" t="str">
        <f t="shared" si="1025"/>
        <v/>
      </c>
      <c r="AJ1472" s="964"/>
      <c r="AK1472" s="964"/>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s="1396"/>
      <c r="CB1472" s="1396"/>
      <c r="CC1472"/>
      <c r="CD1472"/>
      <c r="CE1472"/>
    </row>
    <row r="1473" spans="1:83" ht="13.15" customHeight="1" outlineLevel="2" x14ac:dyDescent="0.2">
      <c r="A1473"/>
      <c r="B1473" s="1"/>
      <c r="C1473"/>
      <c r="D1473"/>
      <c r="E1473"/>
      <c r="F1473"/>
      <c r="G1473" s="1"/>
      <c r="H1473" s="1"/>
      <c r="I1473"/>
      <c r="J1473"/>
      <c r="K1473"/>
      <c r="L1473"/>
      <c r="M1473"/>
      <c r="N1473"/>
      <c r="O1473"/>
      <c r="P1473"/>
      <c r="Q1473"/>
      <c r="R1473" s="558" t="s">
        <v>3976</v>
      </c>
      <c r="S1473" s="83"/>
      <c r="T1473" s="56"/>
      <c r="U1473" s="955"/>
      <c r="V1473" s="43" t="str">
        <f t="shared" si="1026"/>
        <v>O</v>
      </c>
      <c r="W1473" s="10"/>
      <c r="X1473" s="45" t="s">
        <v>769</v>
      </c>
      <c r="Y1473" s="10"/>
      <c r="Z1473" s="46" t="str">
        <f t="shared" si="1027"/>
        <v>E</v>
      </c>
      <c r="AA1473" s="123"/>
      <c r="AB1473" s="1459">
        <f t="shared" si="1018"/>
        <v>0</v>
      </c>
      <c r="AC1473" s="1460" t="str">
        <f t="shared" si="1019"/>
        <v>-</v>
      </c>
      <c r="AD1473" s="1459">
        <f t="shared" si="1020"/>
        <v>0</v>
      </c>
      <c r="AE1473" s="964" t="str">
        <f t="shared" si="1021"/>
        <v/>
      </c>
      <c r="AF1473" s="964" t="str">
        <f t="shared" si="1022"/>
        <v/>
      </c>
      <c r="AG1473" s="964" t="str">
        <f t="shared" si="1023"/>
        <v/>
      </c>
      <c r="AH1473" s="964" t="str">
        <f t="shared" si="1024"/>
        <v/>
      </c>
      <c r="AI1473" s="964" t="str">
        <f t="shared" si="1025"/>
        <v/>
      </c>
      <c r="AJ1473" s="964"/>
      <c r="AK1473" s="964"/>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s="1396"/>
      <c r="CB1473" s="1396"/>
      <c r="CC1473"/>
      <c r="CD1473"/>
      <c r="CE1473"/>
    </row>
    <row r="1474" spans="1:83" ht="13.15" customHeight="1" outlineLevel="2" x14ac:dyDescent="0.2">
      <c r="A1474"/>
      <c r="B1474" s="1"/>
      <c r="C1474"/>
      <c r="D1474"/>
      <c r="E1474"/>
      <c r="F1474"/>
      <c r="G1474" s="1"/>
      <c r="H1474" s="1"/>
      <c r="I1474"/>
      <c r="J1474"/>
      <c r="K1474"/>
      <c r="L1474"/>
      <c r="M1474"/>
      <c r="N1474"/>
      <c r="O1474"/>
      <c r="P1474"/>
      <c r="Q1474"/>
      <c r="R1474" s="558" t="s">
        <v>3976</v>
      </c>
      <c r="S1474" s="83"/>
      <c r="T1474" s="56"/>
      <c r="U1474" s="955"/>
      <c r="V1474" s="43" t="str">
        <f t="shared" si="1026"/>
        <v>M</v>
      </c>
      <c r="W1474" s="10"/>
      <c r="X1474" s="45" t="s">
        <v>769</v>
      </c>
      <c r="Y1474" s="10"/>
      <c r="Z1474" s="46" t="str">
        <f t="shared" si="1027"/>
        <v>G</v>
      </c>
      <c r="AA1474" s="123"/>
      <c r="AB1474" s="1459">
        <f t="shared" si="1018"/>
        <v>0</v>
      </c>
      <c r="AC1474" s="1460" t="str">
        <f t="shared" si="1019"/>
        <v>-</v>
      </c>
      <c r="AD1474" s="1459">
        <f t="shared" si="1020"/>
        <v>0</v>
      </c>
      <c r="AE1474" s="964" t="str">
        <f t="shared" si="1021"/>
        <v/>
      </c>
      <c r="AF1474" s="964" t="str">
        <f t="shared" si="1022"/>
        <v/>
      </c>
      <c r="AG1474" s="964" t="str">
        <f t="shared" si="1023"/>
        <v/>
      </c>
      <c r="AH1474" s="964" t="str">
        <f t="shared" si="1024"/>
        <v/>
      </c>
      <c r="AI1474" s="964" t="str">
        <f t="shared" si="1025"/>
        <v/>
      </c>
      <c r="AJ1474" s="964"/>
      <c r="AK1474" s="964"/>
      <c r="AL1474"/>
      <c r="AM1474"/>
      <c r="AN1474"/>
      <c r="AO1474"/>
      <c r="AP1474"/>
      <c r="AQ1474"/>
      <c r="AR1474"/>
      <c r="AS1474"/>
      <c r="AT1474"/>
      <c r="AU1474"/>
      <c r="AV1474"/>
      <c r="AW1474"/>
      <c r="AX1474" s="9"/>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s="1396"/>
      <c r="CB1474" s="1396"/>
      <c r="CC1474"/>
      <c r="CD1474"/>
      <c r="CE1474"/>
    </row>
    <row r="1475" spans="1:83" ht="13.9" customHeight="1" outlineLevel="2" thickBot="1" x14ac:dyDescent="0.25">
      <c r="A1475"/>
      <c r="B1475" s="1"/>
      <c r="C1475"/>
      <c r="D1475"/>
      <c r="E1475"/>
      <c r="F1475"/>
      <c r="G1475" s="1"/>
      <c r="H1475" s="1"/>
      <c r="I1475"/>
      <c r="J1475"/>
      <c r="K1475"/>
      <c r="L1475"/>
      <c r="M1475"/>
      <c r="N1475"/>
      <c r="O1475"/>
      <c r="P1475"/>
      <c r="Q1475"/>
      <c r="R1475" s="558" t="s">
        <v>3976</v>
      </c>
      <c r="S1475" s="956"/>
      <c r="T1475" s="58"/>
      <c r="U1475" s="957"/>
      <c r="V1475" s="43" t="str">
        <f t="shared" si="1026"/>
        <v>K</v>
      </c>
      <c r="W1475" s="10"/>
      <c r="X1475" s="45" t="s">
        <v>769</v>
      </c>
      <c r="Y1475" s="10"/>
      <c r="Z1475" s="46" t="str">
        <f>Z1464</f>
        <v>I</v>
      </c>
      <c r="AA1475" s="123"/>
      <c r="AB1475" s="1459">
        <f t="shared" si="1018"/>
        <v>0</v>
      </c>
      <c r="AC1475" s="1460" t="str">
        <f t="shared" si="1019"/>
        <v>-</v>
      </c>
      <c r="AD1475" s="1459">
        <f t="shared" si="1020"/>
        <v>0</v>
      </c>
      <c r="AE1475" s="964" t="str">
        <f t="shared" si="1021"/>
        <v/>
      </c>
      <c r="AF1475" s="964" t="str">
        <f t="shared" si="1022"/>
        <v/>
      </c>
      <c r="AG1475" s="964" t="str">
        <f t="shared" si="1023"/>
        <v/>
      </c>
      <c r="AH1475" s="964" t="str">
        <f t="shared" si="1024"/>
        <v/>
      </c>
      <c r="AI1475" s="964" t="str">
        <f t="shared" si="1025"/>
        <v/>
      </c>
      <c r="AJ1475" s="964"/>
      <c r="AK1475" s="964"/>
      <c r="AL1475"/>
      <c r="AM1475"/>
      <c r="AN1475"/>
      <c r="AO1475"/>
      <c r="AP1475"/>
      <c r="AQ1475"/>
      <c r="AR1475"/>
      <c r="AS1475"/>
      <c r="AT1475"/>
      <c r="AU1475"/>
      <c r="AV1475"/>
      <c r="AW1475" s="9"/>
      <c r="AX1475" s="9"/>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s="1396"/>
      <c r="CB1475" s="1396"/>
      <c r="CC1475"/>
      <c r="CD1475"/>
      <c r="CE1475"/>
    </row>
    <row r="1476" spans="1:83" ht="13.5" outlineLevel="1" thickBot="1" x14ac:dyDescent="0.25">
      <c r="A1476"/>
      <c r="B1476" s="1"/>
      <c r="C1476" s="1"/>
      <c r="D1476" s="76"/>
      <c r="E1476" s="76"/>
      <c r="F1476" s="76"/>
      <c r="G1476" s="9"/>
      <c r="H1476" s="9"/>
      <c r="I1476" s="1"/>
      <c r="J1476"/>
      <c r="K1476"/>
      <c r="L1476"/>
      <c r="M1476"/>
      <c r="N1476"/>
      <c r="O1476"/>
      <c r="P1476" s="89"/>
      <c r="Q1476"/>
      <c r="R1476" s="1"/>
      <c r="S1476" s="993">
        <f>S1465+1</f>
        <v>15</v>
      </c>
      <c r="T1476" s="961"/>
      <c r="U1476" s="961"/>
      <c r="V1476" s="961"/>
      <c r="W1476" s="960"/>
      <c r="X1476" s="960"/>
      <c r="Y1476" s="960"/>
      <c r="Z1476" s="962"/>
      <c r="AA1476" s="123"/>
      <c r="AB1476" s="963"/>
      <c r="AC1476" s="963"/>
      <c r="AD1476" s="963"/>
      <c r="AE1476" s="964"/>
      <c r="AF1476" s="964"/>
      <c r="AG1476" s="964"/>
      <c r="AH1476" s="964"/>
      <c r="AI1476" s="964"/>
      <c r="AJ1476" s="964"/>
      <c r="AK1476" s="964"/>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s="1396"/>
      <c r="CB1476" s="1396"/>
      <c r="CC1476"/>
      <c r="CD1476"/>
      <c r="CE1476"/>
    </row>
    <row r="1477" spans="1:83" ht="13.9" customHeight="1" outlineLevel="2" thickBot="1" x14ac:dyDescent="0.25">
      <c r="A1477"/>
      <c r="B1477" s="1"/>
      <c r="C1477"/>
      <c r="D1477"/>
      <c r="E1477"/>
      <c r="F1477"/>
      <c r="G1477" s="1"/>
      <c r="H1477" s="1"/>
      <c r="I1477"/>
      <c r="J1477"/>
      <c r="K1477"/>
      <c r="L1477"/>
      <c r="M1477"/>
      <c r="N1477"/>
      <c r="O1477"/>
      <c r="P1477"/>
      <c r="Q1477"/>
      <c r="S1477" s="22" t="str">
        <f>N_Heure</f>
        <v>Heure</v>
      </c>
      <c r="T1477" s="22" t="str">
        <f>N_Table</f>
        <v>Table</v>
      </c>
      <c r="U1477" s="22" t="str">
        <f>N_Arbitre</f>
        <v>Arbitre</v>
      </c>
      <c r="V1477" s="293" t="str">
        <f>N_Matches</f>
        <v>Matches</v>
      </c>
      <c r="W1477" s="294"/>
      <c r="X1477" s="294"/>
      <c r="Y1477" s="294"/>
      <c r="Z1477" s="295"/>
      <c r="AA1477" s="8"/>
      <c r="AB1477" s="967"/>
      <c r="AC1477" s="967"/>
      <c r="AD1477" s="967"/>
      <c r="AE1477" s="964"/>
      <c r="AF1477" s="964"/>
      <c r="AG1477" s="964"/>
      <c r="AH1477" s="964"/>
      <c r="AI1477" s="964"/>
      <c r="AJ1477" s="964"/>
      <c r="AK1477" s="964"/>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s="1396"/>
      <c r="CB1477" s="1396"/>
      <c r="CC1477"/>
      <c r="CD1477"/>
      <c r="CE1477"/>
    </row>
    <row r="1478" spans="1:83" ht="13.15" customHeight="1" outlineLevel="2" x14ac:dyDescent="0.2">
      <c r="A1478"/>
      <c r="B1478" s="1"/>
      <c r="C1478"/>
      <c r="D1478"/>
      <c r="E1478"/>
      <c r="F1478"/>
      <c r="G1478" s="1"/>
      <c r="H1478" s="1"/>
      <c r="I1478"/>
      <c r="J1478"/>
      <c r="K1478"/>
      <c r="L1478"/>
      <c r="M1478"/>
      <c r="N1478"/>
      <c r="O1478"/>
      <c r="P1478"/>
      <c r="Q1478"/>
      <c r="R1478" s="558" t="s">
        <v>3977</v>
      </c>
      <c r="S1478" s="65"/>
      <c r="T1478" s="953"/>
      <c r="U1478" s="954"/>
      <c r="V1478" s="34" t="str">
        <f>Z1467</f>
        <v>A</v>
      </c>
      <c r="W1478" s="148"/>
      <c r="X1478" s="35" t="s">
        <v>769</v>
      </c>
      <c r="Y1478" s="148"/>
      <c r="Z1478" s="36" t="str">
        <f>Z1468</f>
        <v>H</v>
      </c>
      <c r="AA1478" s="123"/>
      <c r="AB1478" s="1459">
        <f t="shared" ref="AB1478:AB1486" si="1028">IF(MaxScore,MaxGoals(W1478,Y1478,MaxGoalsValue),IF(W1478="","",W1478))</f>
        <v>0</v>
      </c>
      <c r="AC1478" s="1460" t="str">
        <f t="shared" ref="AC1478:AC1486" si="1029">IF(MaxScore,"-",IF(W1478="","","-"))</f>
        <v>-</v>
      </c>
      <c r="AD1478" s="1459">
        <f t="shared" ref="AD1478:AD1486" si="1030">IF(MaxScore,MaxGoals(Y1478,W1478,MaxGoalsValue),IF(Y1478="","",Y1478))</f>
        <v>0</v>
      </c>
      <c r="AE1478" s="964" t="str">
        <f t="shared" ref="AE1478:AE1486" si="1031">IF(W1478="","",IF(W1478&gt;Y1478,V1478,IF(W1478=Y1478,"",Z1478)))</f>
        <v/>
      </c>
      <c r="AF1478" s="964" t="str">
        <f t="shared" ref="AF1478:AF1486" si="1032">IF(W1478="","",IF(W1478=Y1478,V1478,""))</f>
        <v/>
      </c>
      <c r="AG1478" s="964" t="str">
        <f t="shared" ref="AG1478:AG1486" si="1033">IF(W1478="","",IF(W1478=Y1478,Z1478,""))</f>
        <v/>
      </c>
      <c r="AH1478" s="964" t="str">
        <f t="shared" ref="AH1478:AH1486" si="1034">IF(W1478="","",IF(W1478&lt;Y1478,V1478,IF(W1478=Y1478,"",Z1478)))</f>
        <v/>
      </c>
      <c r="AI1478" s="964" t="str">
        <f t="shared" ref="AI1478:AI1486" si="1035">CONCATENATE(AE1478,AH1478)</f>
        <v/>
      </c>
      <c r="AJ1478" s="964"/>
      <c r="AK1478" s="964"/>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s="1396"/>
      <c r="CB1478" s="1396"/>
      <c r="CC1478"/>
      <c r="CD1478"/>
      <c r="CE1478"/>
    </row>
    <row r="1479" spans="1:83" ht="13.15" customHeight="1" outlineLevel="2" x14ac:dyDescent="0.2">
      <c r="A1479"/>
      <c r="B1479" s="1"/>
      <c r="C1479"/>
      <c r="D1479"/>
      <c r="E1479"/>
      <c r="F1479"/>
      <c r="G1479" s="1"/>
      <c r="H1479" s="1"/>
      <c r="I1479"/>
      <c r="J1479"/>
      <c r="K1479"/>
      <c r="L1479"/>
      <c r="M1479"/>
      <c r="N1479"/>
      <c r="O1479"/>
      <c r="P1479"/>
      <c r="Q1479"/>
      <c r="R1479" s="558" t="s">
        <v>3977</v>
      </c>
      <c r="S1479" s="83"/>
      <c r="T1479" s="56"/>
      <c r="U1479" s="955"/>
      <c r="V1479" s="43" t="str">
        <f t="shared" ref="V1479:V1485" si="1036">Z1469</f>
        <v>F</v>
      </c>
      <c r="W1479" s="10"/>
      <c r="X1479" s="45" t="s">
        <v>769</v>
      </c>
      <c r="Y1479" s="10"/>
      <c r="Z1479" s="46" t="str">
        <f t="shared" ref="Z1479:Z1485" si="1037">V1467</f>
        <v>J</v>
      </c>
      <c r="AA1479" s="123"/>
      <c r="AB1479" s="1459">
        <f t="shared" si="1028"/>
        <v>0</v>
      </c>
      <c r="AC1479" s="1460" t="str">
        <f t="shared" si="1029"/>
        <v>-</v>
      </c>
      <c r="AD1479" s="1459">
        <f t="shared" si="1030"/>
        <v>0</v>
      </c>
      <c r="AE1479" s="964" t="str">
        <f t="shared" si="1031"/>
        <v/>
      </c>
      <c r="AF1479" s="964" t="str">
        <f t="shared" si="1032"/>
        <v/>
      </c>
      <c r="AG1479" s="964" t="str">
        <f t="shared" si="1033"/>
        <v/>
      </c>
      <c r="AH1479" s="964" t="str">
        <f t="shared" si="1034"/>
        <v/>
      </c>
      <c r="AI1479" s="964" t="str">
        <f t="shared" si="1035"/>
        <v/>
      </c>
      <c r="AJ1479" s="964"/>
      <c r="AK1479" s="964"/>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s="1396"/>
      <c r="CB1479" s="1396"/>
      <c r="CC1479"/>
      <c r="CD1479"/>
      <c r="CE1479"/>
    </row>
    <row r="1480" spans="1:83" ht="13.15" customHeight="1" outlineLevel="2" x14ac:dyDescent="0.2">
      <c r="A1480"/>
      <c r="B1480" s="1"/>
      <c r="C1480"/>
      <c r="D1480"/>
      <c r="E1480"/>
      <c r="F1480"/>
      <c r="G1480" s="1"/>
      <c r="H1480" s="1"/>
      <c r="I1480"/>
      <c r="J1480"/>
      <c r="K1480"/>
      <c r="L1480"/>
      <c r="M1480"/>
      <c r="N1480"/>
      <c r="O1480"/>
      <c r="P1480"/>
      <c r="Q1480"/>
      <c r="R1480" s="558" t="s">
        <v>3977</v>
      </c>
      <c r="S1480" s="83"/>
      <c r="T1480" s="56"/>
      <c r="U1480" s="955"/>
      <c r="V1480" s="43" t="str">
        <f t="shared" si="1036"/>
        <v>D</v>
      </c>
      <c r="W1480" s="10"/>
      <c r="X1480" s="45" t="s">
        <v>769</v>
      </c>
      <c r="Y1480" s="10"/>
      <c r="Z1480" s="46" t="str">
        <f t="shared" si="1037"/>
        <v>L</v>
      </c>
      <c r="AA1480" s="123"/>
      <c r="AB1480" s="1459">
        <f t="shared" si="1028"/>
        <v>0</v>
      </c>
      <c r="AC1480" s="1460" t="str">
        <f t="shared" si="1029"/>
        <v>-</v>
      </c>
      <c r="AD1480" s="1459">
        <f t="shared" si="1030"/>
        <v>0</v>
      </c>
      <c r="AE1480" s="964" t="str">
        <f t="shared" si="1031"/>
        <v/>
      </c>
      <c r="AF1480" s="964" t="str">
        <f t="shared" si="1032"/>
        <v/>
      </c>
      <c r="AG1480" s="964" t="str">
        <f t="shared" si="1033"/>
        <v/>
      </c>
      <c r="AH1480" s="964" t="str">
        <f t="shared" si="1034"/>
        <v/>
      </c>
      <c r="AI1480" s="964" t="str">
        <f t="shared" si="1035"/>
        <v/>
      </c>
      <c r="AJ1480" s="964"/>
      <c r="AK1480" s="964"/>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s="1396"/>
      <c r="CB1480" s="1396"/>
      <c r="CC1480"/>
      <c r="CD1480"/>
      <c r="CE1480"/>
    </row>
    <row r="1481" spans="1:83" ht="13.15" customHeight="1" outlineLevel="2" x14ac:dyDescent="0.2">
      <c r="A1481"/>
      <c r="B1481" s="1"/>
      <c r="C1481"/>
      <c r="D1481"/>
      <c r="E1481"/>
      <c r="F1481"/>
      <c r="G1481" s="1"/>
      <c r="H1481" s="1"/>
      <c r="I1481"/>
      <c r="J1481"/>
      <c r="K1481"/>
      <c r="L1481"/>
      <c r="M1481"/>
      <c r="N1481"/>
      <c r="O1481"/>
      <c r="P1481"/>
      <c r="Q1481"/>
      <c r="R1481" s="558" t="s">
        <v>3977</v>
      </c>
      <c r="S1481" s="83"/>
      <c r="T1481" s="56"/>
      <c r="U1481" s="955"/>
      <c r="V1481" s="43" t="str">
        <f t="shared" si="1036"/>
        <v>B</v>
      </c>
      <c r="W1481" s="10"/>
      <c r="X1481" s="45" t="s">
        <v>769</v>
      </c>
      <c r="Y1481" s="10"/>
      <c r="Z1481" s="46" t="str">
        <f t="shared" si="1037"/>
        <v>N</v>
      </c>
      <c r="AA1481" s="123"/>
      <c r="AB1481" s="1459">
        <f t="shared" si="1028"/>
        <v>0</v>
      </c>
      <c r="AC1481" s="1460" t="str">
        <f t="shared" si="1029"/>
        <v>-</v>
      </c>
      <c r="AD1481" s="1459">
        <f t="shared" si="1030"/>
        <v>0</v>
      </c>
      <c r="AE1481" s="964" t="str">
        <f t="shared" si="1031"/>
        <v/>
      </c>
      <c r="AF1481" s="964" t="str">
        <f t="shared" si="1032"/>
        <v/>
      </c>
      <c r="AG1481" s="964" t="str">
        <f t="shared" si="1033"/>
        <v/>
      </c>
      <c r="AH1481" s="964" t="str">
        <f t="shared" si="1034"/>
        <v/>
      </c>
      <c r="AI1481" s="964" t="str">
        <f t="shared" si="1035"/>
        <v/>
      </c>
      <c r="AJ1481" s="964"/>
      <c r="AK1481" s="964"/>
      <c r="AL1481"/>
      <c r="AM1481"/>
      <c r="AN1481"/>
      <c r="AO1481"/>
      <c r="AP1481"/>
      <c r="AQ1481"/>
      <c r="AR1481"/>
      <c r="AS1481"/>
      <c r="AT1481"/>
      <c r="AU1481"/>
      <c r="AV1481"/>
      <c r="AW1481"/>
      <c r="AX1481" s="9"/>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s="1396"/>
      <c r="CB1481" s="1396"/>
      <c r="CC1481"/>
      <c r="CD1481"/>
      <c r="CE1481"/>
    </row>
    <row r="1482" spans="1:83" ht="13.15" customHeight="1" outlineLevel="2" x14ac:dyDescent="0.2">
      <c r="A1482"/>
      <c r="B1482" s="1"/>
      <c r="C1482"/>
      <c r="D1482"/>
      <c r="E1482"/>
      <c r="F1482"/>
      <c r="G1482" s="1"/>
      <c r="H1482" s="1"/>
      <c r="I1482"/>
      <c r="J1482"/>
      <c r="K1482"/>
      <c r="L1482"/>
      <c r="M1482"/>
      <c r="N1482"/>
      <c r="O1482"/>
      <c r="P1482"/>
      <c r="Q1482"/>
      <c r="R1482" s="558" t="s">
        <v>3977</v>
      </c>
      <c r="S1482" s="83"/>
      <c r="T1482" s="56"/>
      <c r="U1482" s="955"/>
      <c r="V1482" s="43" t="str">
        <f t="shared" si="1036"/>
        <v>C</v>
      </c>
      <c r="W1482" s="10"/>
      <c r="X1482" s="45" t="s">
        <v>769</v>
      </c>
      <c r="Y1482" s="10"/>
      <c r="Z1482" s="46" t="str">
        <f t="shared" si="1037"/>
        <v>P</v>
      </c>
      <c r="AA1482" s="123"/>
      <c r="AB1482" s="1459">
        <f t="shared" si="1028"/>
        <v>0</v>
      </c>
      <c r="AC1482" s="1460" t="str">
        <f t="shared" si="1029"/>
        <v>-</v>
      </c>
      <c r="AD1482" s="1459">
        <f t="shared" si="1030"/>
        <v>0</v>
      </c>
      <c r="AE1482" s="964" t="str">
        <f t="shared" si="1031"/>
        <v/>
      </c>
      <c r="AF1482" s="964" t="str">
        <f t="shared" si="1032"/>
        <v/>
      </c>
      <c r="AG1482" s="964" t="str">
        <f t="shared" si="1033"/>
        <v/>
      </c>
      <c r="AH1482" s="964" t="str">
        <f t="shared" si="1034"/>
        <v/>
      </c>
      <c r="AI1482" s="964" t="str">
        <f t="shared" si="1035"/>
        <v/>
      </c>
      <c r="AJ1482" s="964"/>
      <c r="AK1482" s="964"/>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s="1396"/>
      <c r="CB1482" s="1396"/>
      <c r="CC1482"/>
      <c r="CD1482"/>
      <c r="CE1482"/>
    </row>
    <row r="1483" spans="1:83" ht="13.15" customHeight="1" outlineLevel="2" x14ac:dyDescent="0.2">
      <c r="A1483"/>
      <c r="B1483" s="1"/>
      <c r="C1483"/>
      <c r="D1483"/>
      <c r="E1483"/>
      <c r="F1483"/>
      <c r="G1483" s="1"/>
      <c r="H1483" s="1"/>
      <c r="I1483"/>
      <c r="J1483"/>
      <c r="K1483"/>
      <c r="L1483"/>
      <c r="M1483"/>
      <c r="N1483"/>
      <c r="O1483"/>
      <c r="P1483"/>
      <c r="Q1483"/>
      <c r="R1483" s="558" t="s">
        <v>3977</v>
      </c>
      <c r="S1483" s="83"/>
      <c r="T1483" s="56"/>
      <c r="U1483" s="955"/>
      <c r="V1483" s="43" t="str">
        <f t="shared" si="1036"/>
        <v>E</v>
      </c>
      <c r="W1483" s="10"/>
      <c r="X1483" s="45" t="s">
        <v>769</v>
      </c>
      <c r="Y1483" s="10"/>
      <c r="Z1483" s="46" t="str">
        <f t="shared" si="1037"/>
        <v>R</v>
      </c>
      <c r="AA1483" s="123"/>
      <c r="AB1483" s="1459">
        <f t="shared" si="1028"/>
        <v>0</v>
      </c>
      <c r="AC1483" s="1460" t="str">
        <f t="shared" si="1029"/>
        <v>-</v>
      </c>
      <c r="AD1483" s="1459">
        <f t="shared" si="1030"/>
        <v>0</v>
      </c>
      <c r="AE1483" s="964" t="str">
        <f t="shared" si="1031"/>
        <v/>
      </c>
      <c r="AF1483" s="964" t="str">
        <f t="shared" si="1032"/>
        <v/>
      </c>
      <c r="AG1483" s="964" t="str">
        <f t="shared" si="1033"/>
        <v/>
      </c>
      <c r="AH1483" s="964" t="str">
        <f t="shared" si="1034"/>
        <v/>
      </c>
      <c r="AI1483" s="964" t="str">
        <f t="shared" si="1035"/>
        <v/>
      </c>
      <c r="AJ1483" s="964"/>
      <c r="AK1483" s="964"/>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s="1396"/>
      <c r="CB1483" s="1396"/>
      <c r="CC1483"/>
      <c r="CD1483"/>
      <c r="CE1483"/>
    </row>
    <row r="1484" spans="1:83" ht="13.15" customHeight="1" outlineLevel="2" x14ac:dyDescent="0.2">
      <c r="A1484"/>
      <c r="B1484" s="1"/>
      <c r="C1484"/>
      <c r="D1484"/>
      <c r="E1484"/>
      <c r="F1484"/>
      <c r="G1484" s="1"/>
      <c r="H1484" s="1"/>
      <c r="I1484"/>
      <c r="J1484"/>
      <c r="K1484"/>
      <c r="L1484"/>
      <c r="M1484"/>
      <c r="N1484"/>
      <c r="O1484"/>
      <c r="P1484"/>
      <c r="Q1484"/>
      <c r="R1484" s="558" t="s">
        <v>3977</v>
      </c>
      <c r="S1484" s="83"/>
      <c r="T1484" s="56"/>
      <c r="U1484" s="955"/>
      <c r="V1484" s="43" t="str">
        <f t="shared" si="1036"/>
        <v>G</v>
      </c>
      <c r="W1484" s="10"/>
      <c r="X1484" s="45" t="s">
        <v>769</v>
      </c>
      <c r="Y1484" s="10"/>
      <c r="Z1484" s="46" t="str">
        <f t="shared" si="1037"/>
        <v>Q</v>
      </c>
      <c r="AA1484" s="123"/>
      <c r="AB1484" s="1459">
        <f t="shared" si="1028"/>
        <v>0</v>
      </c>
      <c r="AC1484" s="1460" t="str">
        <f t="shared" si="1029"/>
        <v>-</v>
      </c>
      <c r="AD1484" s="1459">
        <f t="shared" si="1030"/>
        <v>0</v>
      </c>
      <c r="AE1484" s="964" t="str">
        <f t="shared" si="1031"/>
        <v/>
      </c>
      <c r="AF1484" s="964" t="str">
        <f t="shared" si="1032"/>
        <v/>
      </c>
      <c r="AG1484" s="964" t="str">
        <f t="shared" si="1033"/>
        <v/>
      </c>
      <c r="AH1484" s="964" t="str">
        <f t="shared" si="1034"/>
        <v/>
      </c>
      <c r="AI1484" s="964" t="str">
        <f t="shared" si="1035"/>
        <v/>
      </c>
      <c r="AJ1484" s="964"/>
      <c r="AK1484" s="96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s="1396"/>
      <c r="CB1484" s="1396"/>
      <c r="CC1484"/>
      <c r="CD1484"/>
      <c r="CE1484"/>
    </row>
    <row r="1485" spans="1:83" ht="13.15" customHeight="1" outlineLevel="2" x14ac:dyDescent="0.2">
      <c r="A1485"/>
      <c r="B1485" s="1"/>
      <c r="C1485"/>
      <c r="D1485"/>
      <c r="E1485"/>
      <c r="F1485"/>
      <c r="G1485" s="1"/>
      <c r="H1485" s="1"/>
      <c r="I1485"/>
      <c r="J1485"/>
      <c r="K1485"/>
      <c r="L1485"/>
      <c r="M1485"/>
      <c r="N1485"/>
      <c r="O1485"/>
      <c r="P1485"/>
      <c r="Q1485"/>
      <c r="R1485" s="558" t="s">
        <v>3977</v>
      </c>
      <c r="S1485" s="83"/>
      <c r="T1485" s="56"/>
      <c r="U1485" s="955"/>
      <c r="V1485" s="43" t="str">
        <f t="shared" si="1036"/>
        <v>I</v>
      </c>
      <c r="W1485" s="10"/>
      <c r="X1485" s="45" t="s">
        <v>769</v>
      </c>
      <c r="Y1485" s="10"/>
      <c r="Z1485" s="46" t="str">
        <f t="shared" si="1037"/>
        <v>O</v>
      </c>
      <c r="AA1485" s="123"/>
      <c r="AB1485" s="1459">
        <f t="shared" si="1028"/>
        <v>0</v>
      </c>
      <c r="AC1485" s="1460" t="str">
        <f t="shared" si="1029"/>
        <v>-</v>
      </c>
      <c r="AD1485" s="1459">
        <f t="shared" si="1030"/>
        <v>0</v>
      </c>
      <c r="AE1485" s="964" t="str">
        <f t="shared" si="1031"/>
        <v/>
      </c>
      <c r="AF1485" s="964" t="str">
        <f t="shared" si="1032"/>
        <v/>
      </c>
      <c r="AG1485" s="964" t="str">
        <f t="shared" si="1033"/>
        <v/>
      </c>
      <c r="AH1485" s="964" t="str">
        <f t="shared" si="1034"/>
        <v/>
      </c>
      <c r="AI1485" s="964" t="str">
        <f t="shared" si="1035"/>
        <v/>
      </c>
      <c r="AJ1485" s="964"/>
      <c r="AK1485" s="964"/>
      <c r="AL1485"/>
      <c r="AM1485"/>
      <c r="AN1485"/>
      <c r="AO1485"/>
      <c r="AP1485"/>
      <c r="AQ1485"/>
      <c r="AR1485"/>
      <c r="AS1485"/>
      <c r="AT1485"/>
      <c r="AU1485"/>
      <c r="AV1485"/>
      <c r="AW1485"/>
      <c r="AX1485" s="9"/>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s="1396"/>
      <c r="CB1485" s="1396"/>
      <c r="CC1485"/>
      <c r="CD1485"/>
      <c r="CE1485"/>
    </row>
    <row r="1486" spans="1:83" ht="13.9" customHeight="1" outlineLevel="2" thickBot="1" x14ac:dyDescent="0.25">
      <c r="A1486"/>
      <c r="B1486" s="1"/>
      <c r="C1486"/>
      <c r="D1486"/>
      <c r="E1486"/>
      <c r="F1486"/>
      <c r="G1486" s="1"/>
      <c r="H1486" s="1"/>
      <c r="I1486"/>
      <c r="J1486"/>
      <c r="K1486"/>
      <c r="L1486"/>
      <c r="M1486"/>
      <c r="N1486"/>
      <c r="O1486"/>
      <c r="P1486"/>
      <c r="Q1486"/>
      <c r="R1486" s="558" t="s">
        <v>3977</v>
      </c>
      <c r="S1486" s="956"/>
      <c r="T1486" s="58"/>
      <c r="U1486" s="957"/>
      <c r="V1486" s="958" t="str">
        <f>V1475</f>
        <v>K</v>
      </c>
      <c r="W1486" s="10"/>
      <c r="X1486" s="45" t="s">
        <v>769</v>
      </c>
      <c r="Y1486" s="10"/>
      <c r="Z1486" s="46" t="str">
        <f>V1474</f>
        <v>M</v>
      </c>
      <c r="AA1486" s="123"/>
      <c r="AB1486" s="1459">
        <f t="shared" si="1028"/>
        <v>0</v>
      </c>
      <c r="AC1486" s="1460" t="str">
        <f t="shared" si="1029"/>
        <v>-</v>
      </c>
      <c r="AD1486" s="1459">
        <f t="shared" si="1030"/>
        <v>0</v>
      </c>
      <c r="AE1486" s="964" t="str">
        <f t="shared" si="1031"/>
        <v/>
      </c>
      <c r="AF1486" s="964" t="str">
        <f t="shared" si="1032"/>
        <v/>
      </c>
      <c r="AG1486" s="964" t="str">
        <f t="shared" si="1033"/>
        <v/>
      </c>
      <c r="AH1486" s="964" t="str">
        <f t="shared" si="1034"/>
        <v/>
      </c>
      <c r="AI1486" s="964" t="str">
        <f t="shared" si="1035"/>
        <v/>
      </c>
      <c r="AJ1486" s="964"/>
      <c r="AK1486" s="964"/>
      <c r="AL1486"/>
      <c r="AM1486"/>
      <c r="AN1486"/>
      <c r="AO1486"/>
      <c r="AP1486"/>
      <c r="AQ1486"/>
      <c r="AR1486"/>
      <c r="AS1486"/>
      <c r="AT1486"/>
      <c r="AU1486"/>
      <c r="AV1486"/>
      <c r="AW1486" s="9"/>
      <c r="AX1486" s="9"/>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s="1396"/>
      <c r="CB1486" s="1396"/>
      <c r="CC1486"/>
      <c r="CD1486"/>
      <c r="CE1486"/>
    </row>
    <row r="1487" spans="1:83" ht="13.5" outlineLevel="1" thickBot="1" x14ac:dyDescent="0.25">
      <c r="A1487"/>
      <c r="B1487" s="1"/>
      <c r="C1487" s="1"/>
      <c r="D1487" s="76"/>
      <c r="E1487" s="76"/>
      <c r="F1487" s="76"/>
      <c r="G1487" s="9"/>
      <c r="H1487" s="9"/>
      <c r="I1487" s="1"/>
      <c r="J1487"/>
      <c r="K1487"/>
      <c r="L1487"/>
      <c r="M1487"/>
      <c r="N1487"/>
      <c r="O1487"/>
      <c r="P1487" s="89"/>
      <c r="Q1487"/>
      <c r="R1487" s="1"/>
      <c r="S1487" s="993">
        <f>S1476+1</f>
        <v>16</v>
      </c>
      <c r="T1487" s="961"/>
      <c r="U1487" s="961"/>
      <c r="V1487" s="961"/>
      <c r="W1487" s="960"/>
      <c r="X1487" s="960"/>
      <c r="Y1487" s="960"/>
      <c r="Z1487" s="962"/>
      <c r="AA1487" s="123"/>
      <c r="AB1487" s="963"/>
      <c r="AC1487" s="963"/>
      <c r="AD1487" s="963"/>
      <c r="AE1487" s="964"/>
      <c r="AF1487" s="964"/>
      <c r="AG1487" s="964"/>
      <c r="AH1487" s="964"/>
      <c r="AI1487" s="964"/>
      <c r="AJ1487" s="964"/>
      <c r="AK1487" s="964"/>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s="1396"/>
      <c r="CB1487" s="1396"/>
      <c r="CC1487"/>
      <c r="CD1487"/>
      <c r="CE1487"/>
    </row>
    <row r="1488" spans="1:83" ht="13.9" customHeight="1" outlineLevel="2" thickBot="1" x14ac:dyDescent="0.25">
      <c r="A1488"/>
      <c r="B1488" s="1"/>
      <c r="C1488"/>
      <c r="D1488"/>
      <c r="E1488"/>
      <c r="F1488"/>
      <c r="G1488" s="1"/>
      <c r="H1488" s="1"/>
      <c r="I1488"/>
      <c r="J1488"/>
      <c r="K1488"/>
      <c r="L1488"/>
      <c r="M1488"/>
      <c r="N1488"/>
      <c r="O1488"/>
      <c r="P1488"/>
      <c r="Q1488"/>
      <c r="S1488" s="22" t="str">
        <f>N_Heure</f>
        <v>Heure</v>
      </c>
      <c r="T1488" s="22" t="str">
        <f>N_Table</f>
        <v>Table</v>
      </c>
      <c r="U1488" s="22" t="str">
        <f>N_Arbitre</f>
        <v>Arbitre</v>
      </c>
      <c r="V1488" s="293" t="str">
        <f>N_Matches</f>
        <v>Matches</v>
      </c>
      <c r="W1488" s="294"/>
      <c r="X1488" s="294"/>
      <c r="Y1488" s="294"/>
      <c r="Z1488" s="295"/>
      <c r="AA1488" s="8"/>
      <c r="AB1488" s="967"/>
      <c r="AC1488" s="967"/>
      <c r="AD1488" s="967"/>
      <c r="AE1488" s="964"/>
      <c r="AF1488" s="964"/>
      <c r="AG1488" s="964"/>
      <c r="AH1488" s="964"/>
      <c r="AI1488" s="964"/>
      <c r="AJ1488" s="964"/>
      <c r="AK1488" s="964"/>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s="1396"/>
      <c r="CB1488" s="1396"/>
      <c r="CC1488"/>
      <c r="CD1488"/>
      <c r="CE1488"/>
    </row>
    <row r="1489" spans="1:83" ht="13.15" customHeight="1" outlineLevel="2" x14ac:dyDescent="0.2">
      <c r="A1489"/>
      <c r="B1489" s="1"/>
      <c r="C1489"/>
      <c r="D1489"/>
      <c r="E1489"/>
      <c r="F1489"/>
      <c r="G1489" s="1"/>
      <c r="H1489" s="1"/>
      <c r="I1489"/>
      <c r="J1489"/>
      <c r="K1489"/>
      <c r="L1489"/>
      <c r="M1489"/>
      <c r="N1489"/>
      <c r="O1489"/>
      <c r="P1489"/>
      <c r="Q1489"/>
      <c r="R1489" s="558" t="s">
        <v>3978</v>
      </c>
      <c r="S1489" s="65"/>
      <c r="T1489" s="953"/>
      <c r="U1489" s="954"/>
      <c r="V1489" s="34" t="str">
        <f>V1479</f>
        <v>F</v>
      </c>
      <c r="W1489" s="148"/>
      <c r="X1489" s="35" t="s">
        <v>769</v>
      </c>
      <c r="Y1489" s="148"/>
      <c r="Z1489" s="36" t="str">
        <f>V1478</f>
        <v>A</v>
      </c>
      <c r="AA1489" s="123"/>
      <c r="AB1489" s="1459">
        <f t="shared" ref="AB1489:AB1497" si="1038">IF(MaxScore,MaxGoals(W1489,Y1489,MaxGoalsValue),IF(W1489="","",W1489))</f>
        <v>0</v>
      </c>
      <c r="AC1489" s="1460" t="str">
        <f t="shared" ref="AC1489:AC1497" si="1039">IF(MaxScore,"-",IF(W1489="","","-"))</f>
        <v>-</v>
      </c>
      <c r="AD1489" s="1459">
        <f t="shared" ref="AD1489:AD1497" si="1040">IF(MaxScore,MaxGoals(Y1489,W1489,MaxGoalsValue),IF(Y1489="","",Y1489))</f>
        <v>0</v>
      </c>
      <c r="AE1489" s="964" t="str">
        <f t="shared" ref="AE1489:AE1497" si="1041">IF(W1489="","",IF(W1489&gt;Y1489,V1489,IF(W1489=Y1489,"",Z1489)))</f>
        <v/>
      </c>
      <c r="AF1489" s="964" t="str">
        <f t="shared" ref="AF1489:AF1497" si="1042">IF(W1489="","",IF(W1489=Y1489,V1489,""))</f>
        <v/>
      </c>
      <c r="AG1489" s="964" t="str">
        <f t="shared" ref="AG1489:AG1497" si="1043">IF(W1489="","",IF(W1489=Y1489,Z1489,""))</f>
        <v/>
      </c>
      <c r="AH1489" s="964" t="str">
        <f t="shared" ref="AH1489:AH1497" si="1044">IF(W1489="","",IF(W1489&lt;Y1489,V1489,IF(W1489=Y1489,"",Z1489)))</f>
        <v/>
      </c>
      <c r="AI1489" s="964" t="str">
        <f t="shared" ref="AI1489:AI1497" si="1045">CONCATENATE(AE1489,AH1489)</f>
        <v/>
      </c>
      <c r="AJ1489" s="964"/>
      <c r="AK1489" s="964"/>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s="1396"/>
      <c r="CB1489" s="1396"/>
      <c r="CC1489"/>
      <c r="CD1489"/>
      <c r="CE1489"/>
    </row>
    <row r="1490" spans="1:83" ht="13.15" customHeight="1" outlineLevel="2" x14ac:dyDescent="0.2">
      <c r="A1490"/>
      <c r="B1490" s="1"/>
      <c r="C1490"/>
      <c r="D1490"/>
      <c r="E1490"/>
      <c r="F1490"/>
      <c r="G1490" s="1"/>
      <c r="H1490" s="1"/>
      <c r="I1490"/>
      <c r="J1490"/>
      <c r="K1490"/>
      <c r="L1490"/>
      <c r="M1490"/>
      <c r="N1490"/>
      <c r="O1490"/>
      <c r="P1490"/>
      <c r="Q1490"/>
      <c r="R1490" s="558" t="s">
        <v>3978</v>
      </c>
      <c r="S1490" s="83"/>
      <c r="T1490" s="56"/>
      <c r="U1490" s="955"/>
      <c r="V1490" s="43" t="str">
        <f t="shared" ref="V1490:V1497" si="1046">Z1478</f>
        <v>H</v>
      </c>
      <c r="W1490" s="10"/>
      <c r="X1490" s="45" t="s">
        <v>769</v>
      </c>
      <c r="Y1490" s="10"/>
      <c r="Z1490" s="46" t="str">
        <f t="shared" ref="Z1490:Z1496" si="1047">V1480</f>
        <v>D</v>
      </c>
      <c r="AA1490" s="123"/>
      <c r="AB1490" s="1459">
        <f t="shared" si="1038"/>
        <v>0</v>
      </c>
      <c r="AC1490" s="1460" t="str">
        <f t="shared" si="1039"/>
        <v>-</v>
      </c>
      <c r="AD1490" s="1459">
        <f t="shared" si="1040"/>
        <v>0</v>
      </c>
      <c r="AE1490" s="964" t="str">
        <f t="shared" si="1041"/>
        <v/>
      </c>
      <c r="AF1490" s="964" t="str">
        <f t="shared" si="1042"/>
        <v/>
      </c>
      <c r="AG1490" s="964" t="str">
        <f t="shared" si="1043"/>
        <v/>
      </c>
      <c r="AH1490" s="964" t="str">
        <f t="shared" si="1044"/>
        <v/>
      </c>
      <c r="AI1490" s="964" t="str">
        <f t="shared" si="1045"/>
        <v/>
      </c>
      <c r="AJ1490" s="964"/>
      <c r="AK1490" s="964"/>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s="1396"/>
      <c r="CB1490" s="1396"/>
      <c r="CC1490"/>
      <c r="CD1490"/>
      <c r="CE1490"/>
    </row>
    <row r="1491" spans="1:83" ht="13.15" customHeight="1" outlineLevel="2" x14ac:dyDescent="0.2">
      <c r="A1491"/>
      <c r="B1491" s="1"/>
      <c r="C1491"/>
      <c r="D1491"/>
      <c r="E1491"/>
      <c r="F1491"/>
      <c r="G1491" s="1"/>
      <c r="H1491" s="1"/>
      <c r="I1491"/>
      <c r="J1491"/>
      <c r="K1491"/>
      <c r="L1491"/>
      <c r="M1491"/>
      <c r="N1491"/>
      <c r="O1491"/>
      <c r="P1491"/>
      <c r="Q1491"/>
      <c r="R1491" s="558" t="s">
        <v>3978</v>
      </c>
      <c r="S1491" s="83"/>
      <c r="T1491" s="56"/>
      <c r="U1491" s="955"/>
      <c r="V1491" s="43" t="str">
        <f t="shared" si="1046"/>
        <v>J</v>
      </c>
      <c r="W1491" s="10"/>
      <c r="X1491" s="45" t="s">
        <v>769</v>
      </c>
      <c r="Y1491" s="10"/>
      <c r="Z1491" s="46" t="str">
        <f t="shared" si="1047"/>
        <v>B</v>
      </c>
      <c r="AA1491" s="123"/>
      <c r="AB1491" s="1459">
        <f t="shared" si="1038"/>
        <v>0</v>
      </c>
      <c r="AC1491" s="1460" t="str">
        <f t="shared" si="1039"/>
        <v>-</v>
      </c>
      <c r="AD1491" s="1459">
        <f t="shared" si="1040"/>
        <v>0</v>
      </c>
      <c r="AE1491" s="964" t="str">
        <f t="shared" si="1041"/>
        <v/>
      </c>
      <c r="AF1491" s="964" t="str">
        <f t="shared" si="1042"/>
        <v/>
      </c>
      <c r="AG1491" s="964" t="str">
        <f t="shared" si="1043"/>
        <v/>
      </c>
      <c r="AH1491" s="964" t="str">
        <f t="shared" si="1044"/>
        <v/>
      </c>
      <c r="AI1491" s="964" t="str">
        <f t="shared" si="1045"/>
        <v/>
      </c>
      <c r="AJ1491" s="964"/>
      <c r="AK1491" s="964"/>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s="1396"/>
      <c r="CB1491" s="1396"/>
      <c r="CC1491"/>
      <c r="CD1491"/>
      <c r="CE1491"/>
    </row>
    <row r="1492" spans="1:83" ht="13.15" customHeight="1" outlineLevel="2" x14ac:dyDescent="0.2">
      <c r="A1492"/>
      <c r="B1492" s="1"/>
      <c r="C1492"/>
      <c r="D1492"/>
      <c r="E1492"/>
      <c r="F1492"/>
      <c r="G1492" s="1"/>
      <c r="H1492" s="1"/>
      <c r="I1492"/>
      <c r="J1492"/>
      <c r="K1492"/>
      <c r="L1492"/>
      <c r="M1492"/>
      <c r="N1492"/>
      <c r="O1492"/>
      <c r="P1492"/>
      <c r="Q1492"/>
      <c r="R1492" s="558" t="s">
        <v>3978</v>
      </c>
      <c r="S1492" s="83"/>
      <c r="T1492" s="56"/>
      <c r="U1492" s="955"/>
      <c r="V1492" s="43" t="str">
        <f t="shared" si="1046"/>
        <v>L</v>
      </c>
      <c r="W1492" s="10"/>
      <c r="X1492" s="45" t="s">
        <v>769</v>
      </c>
      <c r="Y1492" s="10"/>
      <c r="Z1492" s="46" t="str">
        <f t="shared" si="1047"/>
        <v>C</v>
      </c>
      <c r="AA1492" s="123"/>
      <c r="AB1492" s="1459">
        <f t="shared" si="1038"/>
        <v>0</v>
      </c>
      <c r="AC1492" s="1460" t="str">
        <f t="shared" si="1039"/>
        <v>-</v>
      </c>
      <c r="AD1492" s="1459">
        <f t="shared" si="1040"/>
        <v>0</v>
      </c>
      <c r="AE1492" s="964" t="str">
        <f t="shared" si="1041"/>
        <v/>
      </c>
      <c r="AF1492" s="964" t="str">
        <f t="shared" si="1042"/>
        <v/>
      </c>
      <c r="AG1492" s="964" t="str">
        <f t="shared" si="1043"/>
        <v/>
      </c>
      <c r="AH1492" s="964" t="str">
        <f t="shared" si="1044"/>
        <v/>
      </c>
      <c r="AI1492" s="964" t="str">
        <f t="shared" si="1045"/>
        <v/>
      </c>
      <c r="AJ1492" s="964"/>
      <c r="AK1492" s="964"/>
      <c r="AL1492"/>
      <c r="AM1492"/>
      <c r="AN1492"/>
      <c r="AO1492"/>
      <c r="AP1492"/>
      <c r="AQ1492"/>
      <c r="AR1492"/>
      <c r="AS1492"/>
      <c r="AT1492"/>
      <c r="AU1492"/>
      <c r="AV1492"/>
      <c r="AW1492"/>
      <c r="AX1492" s="9"/>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s="1396"/>
      <c r="CB1492" s="1396"/>
      <c r="CC1492"/>
      <c r="CD1492"/>
      <c r="CE1492"/>
    </row>
    <row r="1493" spans="1:83" ht="13.15" customHeight="1" outlineLevel="2" x14ac:dyDescent="0.2">
      <c r="A1493"/>
      <c r="B1493" s="1"/>
      <c r="C1493"/>
      <c r="D1493"/>
      <c r="E1493"/>
      <c r="F1493"/>
      <c r="G1493" s="1"/>
      <c r="H1493" s="1"/>
      <c r="I1493"/>
      <c r="J1493"/>
      <c r="K1493"/>
      <c r="L1493"/>
      <c r="M1493"/>
      <c r="N1493"/>
      <c r="O1493"/>
      <c r="P1493"/>
      <c r="Q1493"/>
      <c r="R1493" s="558" t="s">
        <v>3978</v>
      </c>
      <c r="S1493" s="83"/>
      <c r="T1493" s="56"/>
      <c r="U1493" s="955"/>
      <c r="V1493" s="43" t="str">
        <f t="shared" si="1046"/>
        <v>N</v>
      </c>
      <c r="W1493" s="10"/>
      <c r="X1493" s="45" t="s">
        <v>769</v>
      </c>
      <c r="Y1493" s="10"/>
      <c r="Z1493" s="46" t="str">
        <f t="shared" si="1047"/>
        <v>E</v>
      </c>
      <c r="AA1493" s="123"/>
      <c r="AB1493" s="1459">
        <f t="shared" si="1038"/>
        <v>0</v>
      </c>
      <c r="AC1493" s="1460" t="str">
        <f t="shared" si="1039"/>
        <v>-</v>
      </c>
      <c r="AD1493" s="1459">
        <f t="shared" si="1040"/>
        <v>0</v>
      </c>
      <c r="AE1493" s="964" t="str">
        <f t="shared" si="1041"/>
        <v/>
      </c>
      <c r="AF1493" s="964" t="str">
        <f t="shared" si="1042"/>
        <v/>
      </c>
      <c r="AG1493" s="964" t="str">
        <f t="shared" si="1043"/>
        <v/>
      </c>
      <c r="AH1493" s="964" t="str">
        <f t="shared" si="1044"/>
        <v/>
      </c>
      <c r="AI1493" s="964" t="str">
        <f t="shared" si="1045"/>
        <v/>
      </c>
      <c r="AJ1493" s="964"/>
      <c r="AK1493" s="964"/>
      <c r="AL1493"/>
      <c r="AM1493"/>
      <c r="AN1493"/>
      <c r="AO1493"/>
      <c r="AP1493"/>
      <c r="AQ1493"/>
      <c r="AR1493"/>
      <c r="AS1493"/>
      <c r="AT1493"/>
      <c r="AU1493"/>
      <c r="AV1493"/>
      <c r="AW1493" s="9"/>
      <c r="AX1493" s="9"/>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s="1396"/>
      <c r="CB1493" s="1396"/>
      <c r="CC1493"/>
      <c r="CD1493"/>
      <c r="CE1493"/>
    </row>
    <row r="1494" spans="1:83" ht="13.15" customHeight="1" outlineLevel="2" x14ac:dyDescent="0.2">
      <c r="A1494"/>
      <c r="B1494" s="1"/>
      <c r="C1494"/>
      <c r="D1494"/>
      <c r="E1494"/>
      <c r="F1494"/>
      <c r="G1494" s="1"/>
      <c r="H1494" s="1"/>
      <c r="I1494"/>
      <c r="J1494"/>
      <c r="K1494"/>
      <c r="L1494"/>
      <c r="M1494"/>
      <c r="N1494"/>
      <c r="O1494"/>
      <c r="P1494"/>
      <c r="Q1494"/>
      <c r="R1494" s="558" t="s">
        <v>3978</v>
      </c>
      <c r="S1494" s="83"/>
      <c r="T1494" s="56"/>
      <c r="U1494" s="955"/>
      <c r="V1494" s="43" t="str">
        <f t="shared" si="1046"/>
        <v>P</v>
      </c>
      <c r="W1494" s="10"/>
      <c r="X1494" s="45" t="s">
        <v>769</v>
      </c>
      <c r="Y1494" s="10"/>
      <c r="Z1494" s="46" t="str">
        <f t="shared" si="1047"/>
        <v>G</v>
      </c>
      <c r="AA1494" s="123"/>
      <c r="AB1494" s="1459">
        <f t="shared" si="1038"/>
        <v>0</v>
      </c>
      <c r="AC1494" s="1460" t="str">
        <f t="shared" si="1039"/>
        <v>-</v>
      </c>
      <c r="AD1494" s="1459">
        <f t="shared" si="1040"/>
        <v>0</v>
      </c>
      <c r="AE1494" s="964" t="str">
        <f t="shared" si="1041"/>
        <v/>
      </c>
      <c r="AF1494" s="964" t="str">
        <f t="shared" si="1042"/>
        <v/>
      </c>
      <c r="AG1494" s="964" t="str">
        <f t="shared" si="1043"/>
        <v/>
      </c>
      <c r="AH1494" s="964" t="str">
        <f t="shared" si="1044"/>
        <v/>
      </c>
      <c r="AI1494" s="964" t="str">
        <f t="shared" si="1045"/>
        <v/>
      </c>
      <c r="AJ1494" s="964"/>
      <c r="AK1494" s="96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s="1396"/>
      <c r="CB1494" s="1396"/>
      <c r="CC1494"/>
      <c r="CD1494"/>
      <c r="CE1494"/>
    </row>
    <row r="1495" spans="1:83" ht="13.15" customHeight="1" outlineLevel="2" x14ac:dyDescent="0.2">
      <c r="A1495"/>
      <c r="B1495" s="1"/>
      <c r="C1495"/>
      <c r="D1495"/>
      <c r="E1495"/>
      <c r="F1495"/>
      <c r="G1495" s="1"/>
      <c r="H1495" s="1"/>
      <c r="I1495"/>
      <c r="J1495"/>
      <c r="K1495"/>
      <c r="L1495"/>
      <c r="M1495"/>
      <c r="N1495"/>
      <c r="O1495"/>
      <c r="P1495"/>
      <c r="Q1495"/>
      <c r="R1495" s="558" t="s">
        <v>3978</v>
      </c>
      <c r="S1495" s="83"/>
      <c r="T1495" s="56"/>
      <c r="U1495" s="955"/>
      <c r="V1495" s="43" t="str">
        <f t="shared" si="1046"/>
        <v>R</v>
      </c>
      <c r="W1495" s="10"/>
      <c r="X1495" s="45" t="s">
        <v>769</v>
      </c>
      <c r="Y1495" s="10"/>
      <c r="Z1495" s="46" t="str">
        <f t="shared" si="1047"/>
        <v>I</v>
      </c>
      <c r="AA1495" s="123"/>
      <c r="AB1495" s="1459">
        <f t="shared" si="1038"/>
        <v>0</v>
      </c>
      <c r="AC1495" s="1460" t="str">
        <f t="shared" si="1039"/>
        <v>-</v>
      </c>
      <c r="AD1495" s="1459">
        <f t="shared" si="1040"/>
        <v>0</v>
      </c>
      <c r="AE1495" s="964" t="str">
        <f t="shared" si="1041"/>
        <v/>
      </c>
      <c r="AF1495" s="964" t="str">
        <f t="shared" si="1042"/>
        <v/>
      </c>
      <c r="AG1495" s="964" t="str">
        <f t="shared" si="1043"/>
        <v/>
      </c>
      <c r="AH1495" s="964" t="str">
        <f t="shared" si="1044"/>
        <v/>
      </c>
      <c r="AI1495" s="964" t="str">
        <f t="shared" si="1045"/>
        <v/>
      </c>
      <c r="AJ1495" s="964"/>
      <c r="AK1495" s="964"/>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s="1396"/>
      <c r="CB1495" s="1396"/>
      <c r="CC1495"/>
      <c r="CD1495"/>
      <c r="CE1495"/>
    </row>
    <row r="1496" spans="1:83" ht="13.15" customHeight="1" outlineLevel="2" x14ac:dyDescent="0.2">
      <c r="A1496"/>
      <c r="B1496" s="1"/>
      <c r="C1496"/>
      <c r="D1496"/>
      <c r="E1496"/>
      <c r="F1496"/>
      <c r="G1496" s="1"/>
      <c r="H1496" s="1"/>
      <c r="I1496"/>
      <c r="J1496"/>
      <c r="K1496"/>
      <c r="L1496"/>
      <c r="M1496"/>
      <c r="N1496"/>
      <c r="O1496"/>
      <c r="P1496"/>
      <c r="Q1496"/>
      <c r="R1496" s="558" t="s">
        <v>3978</v>
      </c>
      <c r="S1496" s="83"/>
      <c r="T1496" s="56"/>
      <c r="U1496" s="955"/>
      <c r="V1496" s="43" t="str">
        <f t="shared" si="1046"/>
        <v>Q</v>
      </c>
      <c r="W1496" s="10"/>
      <c r="X1496" s="45" t="s">
        <v>769</v>
      </c>
      <c r="Y1496" s="10"/>
      <c r="Z1496" s="46" t="str">
        <f t="shared" si="1047"/>
        <v>K</v>
      </c>
      <c r="AA1496" s="123"/>
      <c r="AB1496" s="1459">
        <f t="shared" si="1038"/>
        <v>0</v>
      </c>
      <c r="AC1496" s="1460" t="str">
        <f t="shared" si="1039"/>
        <v>-</v>
      </c>
      <c r="AD1496" s="1459">
        <f t="shared" si="1040"/>
        <v>0</v>
      </c>
      <c r="AE1496" s="964" t="str">
        <f t="shared" si="1041"/>
        <v/>
      </c>
      <c r="AF1496" s="964" t="str">
        <f t="shared" si="1042"/>
        <v/>
      </c>
      <c r="AG1496" s="964" t="str">
        <f t="shared" si="1043"/>
        <v/>
      </c>
      <c r="AH1496" s="964" t="str">
        <f t="shared" si="1044"/>
        <v/>
      </c>
      <c r="AI1496" s="964" t="str">
        <f t="shared" si="1045"/>
        <v/>
      </c>
      <c r="AJ1496" s="964"/>
      <c r="AK1496" s="964"/>
      <c r="AL1496"/>
      <c r="AM1496"/>
      <c r="AN1496"/>
      <c r="AO1496"/>
      <c r="AP1496"/>
      <c r="AQ1496"/>
      <c r="AR1496"/>
      <c r="AS1496"/>
      <c r="AT1496"/>
      <c r="AU1496"/>
      <c r="AV1496"/>
      <c r="AW1496"/>
      <c r="AX1496" s="9"/>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s="1396"/>
      <c r="CB1496" s="1396"/>
      <c r="CC1496"/>
      <c r="CD1496"/>
      <c r="CE1496"/>
    </row>
    <row r="1497" spans="1:83" ht="13.9" customHeight="1" outlineLevel="2" thickBot="1" x14ac:dyDescent="0.25">
      <c r="A1497"/>
      <c r="B1497" s="1"/>
      <c r="C1497"/>
      <c r="D1497"/>
      <c r="E1497"/>
      <c r="F1497"/>
      <c r="G1497" s="1"/>
      <c r="H1497" s="1"/>
      <c r="I1497"/>
      <c r="J1497"/>
      <c r="K1497"/>
      <c r="L1497"/>
      <c r="M1497"/>
      <c r="N1497"/>
      <c r="O1497"/>
      <c r="P1497"/>
      <c r="Q1497"/>
      <c r="R1497" s="558" t="s">
        <v>3978</v>
      </c>
      <c r="S1497" s="956"/>
      <c r="T1497" s="58"/>
      <c r="U1497" s="957"/>
      <c r="V1497" s="43" t="str">
        <f t="shared" si="1046"/>
        <v>O</v>
      </c>
      <c r="W1497" s="10"/>
      <c r="X1497" s="45" t="s">
        <v>769</v>
      </c>
      <c r="Y1497" s="10"/>
      <c r="Z1497" s="46" t="str">
        <f>Z1486</f>
        <v>M</v>
      </c>
      <c r="AA1497" s="123"/>
      <c r="AB1497" s="1459">
        <f t="shared" si="1038"/>
        <v>0</v>
      </c>
      <c r="AC1497" s="1460" t="str">
        <f t="shared" si="1039"/>
        <v>-</v>
      </c>
      <c r="AD1497" s="1459">
        <f t="shared" si="1040"/>
        <v>0</v>
      </c>
      <c r="AE1497" s="964" t="str">
        <f t="shared" si="1041"/>
        <v/>
      </c>
      <c r="AF1497" s="964" t="str">
        <f t="shared" si="1042"/>
        <v/>
      </c>
      <c r="AG1497" s="964" t="str">
        <f t="shared" si="1043"/>
        <v/>
      </c>
      <c r="AH1497" s="964" t="str">
        <f t="shared" si="1044"/>
        <v/>
      </c>
      <c r="AI1497" s="964" t="str">
        <f t="shared" si="1045"/>
        <v/>
      </c>
      <c r="AJ1497" s="964"/>
      <c r="AK1497" s="964"/>
      <c r="AL1497"/>
      <c r="AM1497"/>
      <c r="AN1497"/>
      <c r="AO1497"/>
      <c r="AP1497"/>
      <c r="AQ1497"/>
      <c r="AR1497"/>
      <c r="AS1497"/>
      <c r="AT1497"/>
      <c r="AU1497"/>
      <c r="AV1497"/>
      <c r="AW1497" s="9"/>
      <c r="AX1497" s="9"/>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s="1396"/>
      <c r="CB1497" s="1396"/>
      <c r="CC1497"/>
      <c r="CD1497"/>
      <c r="CE1497"/>
    </row>
    <row r="1498" spans="1:83" ht="13.5" outlineLevel="1" thickBot="1" x14ac:dyDescent="0.25">
      <c r="A1498"/>
      <c r="B1498" s="1"/>
      <c r="C1498" s="1"/>
      <c r="D1498" s="76"/>
      <c r="E1498" s="76"/>
      <c r="F1498" s="76"/>
      <c r="G1498" s="9"/>
      <c r="H1498" s="9"/>
      <c r="I1498" s="1"/>
      <c r="J1498"/>
      <c r="K1498"/>
      <c r="L1498"/>
      <c r="M1498"/>
      <c r="N1498"/>
      <c r="O1498"/>
      <c r="P1498" s="89"/>
      <c r="Q1498"/>
      <c r="R1498" s="1"/>
      <c r="S1498" s="993">
        <f>S1487+1</f>
        <v>17</v>
      </c>
      <c r="T1498" s="961"/>
      <c r="U1498" s="961"/>
      <c r="V1498" s="961"/>
      <c r="W1498" s="960"/>
      <c r="X1498" s="960"/>
      <c r="Y1498" s="960"/>
      <c r="Z1498" s="962"/>
      <c r="AA1498" s="123"/>
      <c r="AB1498" s="963"/>
      <c r="AC1498" s="963"/>
      <c r="AD1498" s="963"/>
      <c r="AE1498" s="964"/>
      <c r="AF1498" s="964"/>
      <c r="AG1498" s="964"/>
      <c r="AH1498" s="964"/>
      <c r="AI1498" s="964"/>
      <c r="AJ1498" s="964"/>
      <c r="AK1498" s="964"/>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s="1396"/>
      <c r="CB1498" s="1396"/>
      <c r="CC1498"/>
      <c r="CD1498"/>
      <c r="CE1498"/>
    </row>
    <row r="1499" spans="1:83" ht="13.9" customHeight="1" outlineLevel="2" thickBot="1" x14ac:dyDescent="0.25">
      <c r="A1499"/>
      <c r="B1499" s="1"/>
      <c r="C1499"/>
      <c r="D1499"/>
      <c r="E1499"/>
      <c r="F1499"/>
      <c r="G1499" s="1"/>
      <c r="H1499" s="1"/>
      <c r="I1499"/>
      <c r="J1499"/>
      <c r="K1499"/>
      <c r="L1499"/>
      <c r="M1499"/>
      <c r="N1499"/>
      <c r="O1499"/>
      <c r="P1499"/>
      <c r="Q1499"/>
      <c r="S1499" s="22" t="str">
        <f>N_Heure</f>
        <v>Heure</v>
      </c>
      <c r="T1499" s="22" t="str">
        <f>N_Table</f>
        <v>Table</v>
      </c>
      <c r="U1499" s="22" t="str">
        <f>N_Arbitre</f>
        <v>Arbitre</v>
      </c>
      <c r="V1499" s="293" t="str">
        <f>N_Matches</f>
        <v>Matches</v>
      </c>
      <c r="W1499" s="294"/>
      <c r="X1499" s="294"/>
      <c r="Y1499" s="294"/>
      <c r="Z1499" s="295"/>
      <c r="AA1499" s="8"/>
      <c r="AB1499" s="967"/>
      <c r="AC1499" s="967"/>
      <c r="AD1499" s="967"/>
      <c r="AE1499" s="964"/>
      <c r="AF1499" s="964"/>
      <c r="AG1499" s="964"/>
      <c r="AH1499" s="964"/>
      <c r="AI1499" s="964"/>
      <c r="AJ1499" s="964"/>
      <c r="AK1499" s="964"/>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s="1396"/>
      <c r="CB1499" s="1396"/>
      <c r="CC1499"/>
      <c r="CD1499"/>
      <c r="CE1499"/>
    </row>
    <row r="1500" spans="1:83" ht="13.15" customHeight="1" outlineLevel="2" x14ac:dyDescent="0.2">
      <c r="A1500"/>
      <c r="B1500" s="1"/>
      <c r="C1500"/>
      <c r="D1500"/>
      <c r="E1500"/>
      <c r="F1500"/>
      <c r="G1500" s="1"/>
      <c r="H1500" s="1"/>
      <c r="I1500"/>
      <c r="J1500"/>
      <c r="K1500"/>
      <c r="L1500"/>
      <c r="M1500"/>
      <c r="N1500"/>
      <c r="O1500"/>
      <c r="P1500"/>
      <c r="Q1500"/>
      <c r="R1500" s="558" t="s">
        <v>3979</v>
      </c>
      <c r="S1500" s="65"/>
      <c r="T1500" s="953"/>
      <c r="U1500" s="954"/>
      <c r="V1500" s="34" t="str">
        <f>Z1489</f>
        <v>A</v>
      </c>
      <c r="W1500" s="148"/>
      <c r="X1500" s="35" t="s">
        <v>769</v>
      </c>
      <c r="Y1500" s="148"/>
      <c r="Z1500" s="36" t="str">
        <f>Z1490</f>
        <v>D</v>
      </c>
      <c r="AA1500" s="123"/>
      <c r="AB1500" s="1459">
        <f t="shared" ref="AB1500:AB1508" si="1048">IF(MaxScore,MaxGoals(W1500,Y1500,MaxGoalsValue),IF(W1500="","",W1500))</f>
        <v>0</v>
      </c>
      <c r="AC1500" s="1460" t="str">
        <f t="shared" ref="AC1500:AC1508" si="1049">IF(MaxScore,"-",IF(W1500="","","-"))</f>
        <v>-</v>
      </c>
      <c r="AD1500" s="1459">
        <f t="shared" ref="AD1500:AD1508" si="1050">IF(MaxScore,MaxGoals(Y1500,W1500,MaxGoalsValue),IF(Y1500="","",Y1500))</f>
        <v>0</v>
      </c>
      <c r="AE1500" s="964" t="str">
        <f t="shared" ref="AE1500:AE1508" si="1051">IF(W1500="","",IF(W1500&gt;Y1500,V1500,IF(W1500=Y1500,"",Z1500)))</f>
        <v/>
      </c>
      <c r="AF1500" s="964" t="str">
        <f t="shared" ref="AF1500:AF1508" si="1052">IF(W1500="","",IF(W1500=Y1500,V1500,""))</f>
        <v/>
      </c>
      <c r="AG1500" s="964" t="str">
        <f t="shared" ref="AG1500:AG1508" si="1053">IF(W1500="","",IF(W1500=Y1500,Z1500,""))</f>
        <v/>
      </c>
      <c r="AH1500" s="964" t="str">
        <f t="shared" ref="AH1500:AH1508" si="1054">IF(W1500="","",IF(W1500&lt;Y1500,V1500,IF(W1500=Y1500,"",Z1500)))</f>
        <v/>
      </c>
      <c r="AI1500" s="964" t="str">
        <f t="shared" ref="AI1500:AI1508" si="1055">CONCATENATE(AE1500,AH1500)</f>
        <v/>
      </c>
      <c r="AJ1500" s="964"/>
      <c r="AK1500" s="964"/>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s="1396"/>
      <c r="CB1500" s="1396"/>
      <c r="CC1500"/>
      <c r="CD1500"/>
      <c r="CE1500"/>
    </row>
    <row r="1501" spans="1:83" ht="13.15" customHeight="1" outlineLevel="2" x14ac:dyDescent="0.2">
      <c r="A1501"/>
      <c r="B1501" s="1"/>
      <c r="C1501"/>
      <c r="D1501"/>
      <c r="E1501"/>
      <c r="F1501"/>
      <c r="G1501" s="1"/>
      <c r="H1501" s="1"/>
      <c r="I1501"/>
      <c r="J1501"/>
      <c r="K1501"/>
      <c r="L1501"/>
      <c r="M1501"/>
      <c r="N1501"/>
      <c r="O1501"/>
      <c r="P1501"/>
      <c r="Q1501"/>
      <c r="R1501" s="558" t="s">
        <v>3979</v>
      </c>
      <c r="S1501" s="83"/>
      <c r="T1501" s="56"/>
      <c r="U1501" s="955"/>
      <c r="V1501" s="43" t="str">
        <f t="shared" ref="V1501:V1507" si="1056">Z1491</f>
        <v>B</v>
      </c>
      <c r="W1501" s="10"/>
      <c r="X1501" s="45" t="s">
        <v>769</v>
      </c>
      <c r="Y1501" s="10"/>
      <c r="Z1501" s="46" t="str">
        <f t="shared" ref="Z1501:Z1507" si="1057">V1489</f>
        <v>F</v>
      </c>
      <c r="AA1501" s="123"/>
      <c r="AB1501" s="1459">
        <f t="shared" si="1048"/>
        <v>0</v>
      </c>
      <c r="AC1501" s="1460" t="str">
        <f t="shared" si="1049"/>
        <v>-</v>
      </c>
      <c r="AD1501" s="1459">
        <f t="shared" si="1050"/>
        <v>0</v>
      </c>
      <c r="AE1501" s="964" t="str">
        <f t="shared" si="1051"/>
        <v/>
      </c>
      <c r="AF1501" s="964" t="str">
        <f t="shared" si="1052"/>
        <v/>
      </c>
      <c r="AG1501" s="964" t="str">
        <f t="shared" si="1053"/>
        <v/>
      </c>
      <c r="AH1501" s="964" t="str">
        <f t="shared" si="1054"/>
        <v/>
      </c>
      <c r="AI1501" s="964" t="str">
        <f t="shared" si="1055"/>
        <v/>
      </c>
      <c r="AJ1501" s="964"/>
      <c r="AK1501" s="964"/>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s="1396"/>
      <c r="CB1501" s="1396"/>
      <c r="CC1501"/>
      <c r="CD1501"/>
      <c r="CE1501"/>
    </row>
    <row r="1502" spans="1:83" ht="13.15" customHeight="1" outlineLevel="2" x14ac:dyDescent="0.2">
      <c r="A1502"/>
      <c r="B1502" s="1"/>
      <c r="C1502"/>
      <c r="D1502"/>
      <c r="E1502"/>
      <c r="F1502"/>
      <c r="G1502" s="1"/>
      <c r="H1502" s="1"/>
      <c r="I1502"/>
      <c r="J1502"/>
      <c r="K1502"/>
      <c r="L1502"/>
      <c r="M1502"/>
      <c r="N1502"/>
      <c r="O1502"/>
      <c r="P1502"/>
      <c r="Q1502"/>
      <c r="R1502" s="558" t="s">
        <v>3979</v>
      </c>
      <c r="S1502" s="83"/>
      <c r="T1502" s="56"/>
      <c r="U1502" s="955"/>
      <c r="V1502" s="43" t="str">
        <f t="shared" si="1056"/>
        <v>C</v>
      </c>
      <c r="W1502" s="10"/>
      <c r="X1502" s="45" t="s">
        <v>769</v>
      </c>
      <c r="Y1502" s="10"/>
      <c r="Z1502" s="46" t="str">
        <f t="shared" si="1057"/>
        <v>H</v>
      </c>
      <c r="AA1502" s="123"/>
      <c r="AB1502" s="1459">
        <f t="shared" si="1048"/>
        <v>0</v>
      </c>
      <c r="AC1502" s="1460" t="str">
        <f t="shared" si="1049"/>
        <v>-</v>
      </c>
      <c r="AD1502" s="1459">
        <f t="shared" si="1050"/>
        <v>0</v>
      </c>
      <c r="AE1502" s="964" t="str">
        <f t="shared" si="1051"/>
        <v/>
      </c>
      <c r="AF1502" s="964" t="str">
        <f t="shared" si="1052"/>
        <v/>
      </c>
      <c r="AG1502" s="964" t="str">
        <f t="shared" si="1053"/>
        <v/>
      </c>
      <c r="AH1502" s="964" t="str">
        <f t="shared" si="1054"/>
        <v/>
      </c>
      <c r="AI1502" s="964" t="str">
        <f t="shared" si="1055"/>
        <v/>
      </c>
      <c r="AJ1502" s="964"/>
      <c r="AK1502" s="964"/>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s="1396"/>
      <c r="CB1502" s="1396"/>
      <c r="CC1502"/>
      <c r="CD1502"/>
      <c r="CE1502"/>
    </row>
    <row r="1503" spans="1:83" ht="13.15" customHeight="1" outlineLevel="2" x14ac:dyDescent="0.2">
      <c r="A1503"/>
      <c r="B1503" s="1"/>
      <c r="C1503"/>
      <c r="D1503"/>
      <c r="E1503"/>
      <c r="F1503"/>
      <c r="G1503" s="1"/>
      <c r="H1503" s="1"/>
      <c r="I1503"/>
      <c r="J1503"/>
      <c r="K1503"/>
      <c r="L1503"/>
      <c r="M1503"/>
      <c r="N1503"/>
      <c r="O1503"/>
      <c r="P1503"/>
      <c r="Q1503"/>
      <c r="R1503" s="558" t="s">
        <v>3979</v>
      </c>
      <c r="S1503" s="83"/>
      <c r="T1503" s="56"/>
      <c r="U1503" s="955"/>
      <c r="V1503" s="43" t="str">
        <f t="shared" si="1056"/>
        <v>E</v>
      </c>
      <c r="W1503" s="10"/>
      <c r="X1503" s="45" t="s">
        <v>769</v>
      </c>
      <c r="Y1503" s="10"/>
      <c r="Z1503" s="46" t="str">
        <f t="shared" si="1057"/>
        <v>J</v>
      </c>
      <c r="AA1503" s="123"/>
      <c r="AB1503" s="1459">
        <f t="shared" si="1048"/>
        <v>0</v>
      </c>
      <c r="AC1503" s="1460" t="str">
        <f t="shared" si="1049"/>
        <v>-</v>
      </c>
      <c r="AD1503" s="1459">
        <f t="shared" si="1050"/>
        <v>0</v>
      </c>
      <c r="AE1503" s="964" t="str">
        <f t="shared" si="1051"/>
        <v/>
      </c>
      <c r="AF1503" s="964" t="str">
        <f t="shared" si="1052"/>
        <v/>
      </c>
      <c r="AG1503" s="964" t="str">
        <f t="shared" si="1053"/>
        <v/>
      </c>
      <c r="AH1503" s="964" t="str">
        <f t="shared" si="1054"/>
        <v/>
      </c>
      <c r="AI1503" s="964" t="str">
        <f t="shared" si="1055"/>
        <v/>
      </c>
      <c r="AJ1503" s="964"/>
      <c r="AK1503" s="964"/>
      <c r="AL1503"/>
      <c r="AM1503"/>
      <c r="AN1503"/>
      <c r="AO1503"/>
      <c r="AP1503"/>
      <c r="AQ1503"/>
      <c r="AR1503"/>
      <c r="AS1503"/>
      <c r="AT1503"/>
      <c r="AU1503"/>
      <c r="AV1503"/>
      <c r="AW1503"/>
      <c r="AX1503" s="9"/>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s="1396"/>
      <c r="CB1503" s="1396"/>
      <c r="CC1503"/>
      <c r="CD1503"/>
      <c r="CE1503"/>
    </row>
    <row r="1504" spans="1:83" ht="13.15" customHeight="1" outlineLevel="2" x14ac:dyDescent="0.2">
      <c r="A1504"/>
      <c r="B1504" s="1"/>
      <c r="C1504"/>
      <c r="D1504"/>
      <c r="E1504"/>
      <c r="F1504"/>
      <c r="G1504" s="1"/>
      <c r="H1504" s="1"/>
      <c r="I1504"/>
      <c r="J1504"/>
      <c r="K1504"/>
      <c r="L1504"/>
      <c r="M1504"/>
      <c r="N1504"/>
      <c r="O1504"/>
      <c r="P1504"/>
      <c r="Q1504"/>
      <c r="R1504" s="558" t="s">
        <v>3979</v>
      </c>
      <c r="S1504" s="83"/>
      <c r="T1504" s="56"/>
      <c r="U1504" s="955"/>
      <c r="V1504" s="43" t="str">
        <f t="shared" si="1056"/>
        <v>G</v>
      </c>
      <c r="W1504" s="10"/>
      <c r="X1504" s="45" t="s">
        <v>769</v>
      </c>
      <c r="Y1504" s="10"/>
      <c r="Z1504" s="46" t="str">
        <f t="shared" si="1057"/>
        <v>L</v>
      </c>
      <c r="AA1504" s="123"/>
      <c r="AB1504" s="1459">
        <f t="shared" si="1048"/>
        <v>0</v>
      </c>
      <c r="AC1504" s="1460" t="str">
        <f t="shared" si="1049"/>
        <v>-</v>
      </c>
      <c r="AD1504" s="1459">
        <f t="shared" si="1050"/>
        <v>0</v>
      </c>
      <c r="AE1504" s="964" t="str">
        <f t="shared" si="1051"/>
        <v/>
      </c>
      <c r="AF1504" s="964" t="str">
        <f t="shared" si="1052"/>
        <v/>
      </c>
      <c r="AG1504" s="964" t="str">
        <f t="shared" si="1053"/>
        <v/>
      </c>
      <c r="AH1504" s="964" t="str">
        <f t="shared" si="1054"/>
        <v/>
      </c>
      <c r="AI1504" s="964" t="str">
        <f t="shared" si="1055"/>
        <v/>
      </c>
      <c r="AJ1504" s="964"/>
      <c r="AK1504" s="964"/>
      <c r="AL1504"/>
      <c r="AM1504"/>
      <c r="AN1504"/>
      <c r="AO1504"/>
      <c r="AP1504"/>
      <c r="AQ1504"/>
      <c r="AR1504"/>
      <c r="AS1504"/>
      <c r="AT1504"/>
      <c r="AU1504"/>
      <c r="AV1504"/>
      <c r="AW1504" s="9"/>
      <c r="AX1504" s="9"/>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s="1396"/>
      <c r="CB1504" s="1396"/>
      <c r="CC1504"/>
      <c r="CD1504"/>
      <c r="CE1504"/>
    </row>
    <row r="1505" spans="1:83" ht="13.15" customHeight="1" outlineLevel="2" x14ac:dyDescent="0.2">
      <c r="A1505"/>
      <c r="B1505" s="1"/>
      <c r="C1505"/>
      <c r="D1505"/>
      <c r="E1505"/>
      <c r="F1505"/>
      <c r="G1505" s="1"/>
      <c r="H1505" s="1"/>
      <c r="I1505"/>
      <c r="J1505"/>
      <c r="K1505"/>
      <c r="L1505"/>
      <c r="M1505"/>
      <c r="N1505"/>
      <c r="O1505"/>
      <c r="P1505"/>
      <c r="Q1505"/>
      <c r="R1505" s="558" t="s">
        <v>3979</v>
      </c>
      <c r="S1505" s="83"/>
      <c r="T1505" s="56"/>
      <c r="U1505" s="955"/>
      <c r="V1505" s="43" t="str">
        <f t="shared" si="1056"/>
        <v>I</v>
      </c>
      <c r="W1505" s="10"/>
      <c r="X1505" s="45" t="s">
        <v>769</v>
      </c>
      <c r="Y1505" s="10"/>
      <c r="Z1505" s="46" t="str">
        <f t="shared" si="1057"/>
        <v>N</v>
      </c>
      <c r="AA1505" s="123"/>
      <c r="AB1505" s="1459">
        <f t="shared" si="1048"/>
        <v>0</v>
      </c>
      <c r="AC1505" s="1460" t="str">
        <f t="shared" si="1049"/>
        <v>-</v>
      </c>
      <c r="AD1505" s="1459">
        <f t="shared" si="1050"/>
        <v>0</v>
      </c>
      <c r="AE1505" s="964" t="str">
        <f t="shared" si="1051"/>
        <v/>
      </c>
      <c r="AF1505" s="964" t="str">
        <f t="shared" si="1052"/>
        <v/>
      </c>
      <c r="AG1505" s="964" t="str">
        <f t="shared" si="1053"/>
        <v/>
      </c>
      <c r="AH1505" s="964" t="str">
        <f t="shared" si="1054"/>
        <v/>
      </c>
      <c r="AI1505" s="964" t="str">
        <f t="shared" si="1055"/>
        <v/>
      </c>
      <c r="AJ1505" s="964"/>
      <c r="AK1505" s="964"/>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s="1396"/>
      <c r="CB1505" s="1396"/>
      <c r="CC1505"/>
      <c r="CD1505"/>
      <c r="CE1505"/>
    </row>
    <row r="1506" spans="1:83" ht="13.15" customHeight="1" outlineLevel="2" x14ac:dyDescent="0.2">
      <c r="A1506"/>
      <c r="B1506" s="1"/>
      <c r="C1506"/>
      <c r="D1506"/>
      <c r="E1506"/>
      <c r="F1506"/>
      <c r="G1506" s="1"/>
      <c r="H1506" s="1"/>
      <c r="I1506"/>
      <c r="J1506"/>
      <c r="K1506"/>
      <c r="L1506"/>
      <c r="M1506"/>
      <c r="N1506"/>
      <c r="O1506"/>
      <c r="P1506"/>
      <c r="Q1506"/>
      <c r="R1506" s="558" t="s">
        <v>3979</v>
      </c>
      <c r="S1506" s="83"/>
      <c r="T1506" s="56"/>
      <c r="U1506" s="955"/>
      <c r="V1506" s="43" t="str">
        <f t="shared" si="1056"/>
        <v>K</v>
      </c>
      <c r="W1506" s="10"/>
      <c r="X1506" s="45" t="s">
        <v>769</v>
      </c>
      <c r="Y1506" s="10"/>
      <c r="Z1506" s="46" t="str">
        <f t="shared" si="1057"/>
        <v>P</v>
      </c>
      <c r="AA1506" s="123"/>
      <c r="AB1506" s="1459">
        <f t="shared" si="1048"/>
        <v>0</v>
      </c>
      <c r="AC1506" s="1460" t="str">
        <f t="shared" si="1049"/>
        <v>-</v>
      </c>
      <c r="AD1506" s="1459">
        <f t="shared" si="1050"/>
        <v>0</v>
      </c>
      <c r="AE1506" s="964" t="str">
        <f t="shared" si="1051"/>
        <v/>
      </c>
      <c r="AF1506" s="964" t="str">
        <f t="shared" si="1052"/>
        <v/>
      </c>
      <c r="AG1506" s="964" t="str">
        <f t="shared" si="1053"/>
        <v/>
      </c>
      <c r="AH1506" s="964" t="str">
        <f t="shared" si="1054"/>
        <v/>
      </c>
      <c r="AI1506" s="964" t="str">
        <f t="shared" si="1055"/>
        <v/>
      </c>
      <c r="AJ1506" s="964"/>
      <c r="AK1506" s="964"/>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s="1396"/>
      <c r="CB1506" s="1396"/>
      <c r="CC1506"/>
      <c r="CD1506"/>
      <c r="CE1506"/>
    </row>
    <row r="1507" spans="1:83" ht="13.15" customHeight="1" outlineLevel="2" x14ac:dyDescent="0.2">
      <c r="A1507"/>
      <c r="B1507" s="1"/>
      <c r="C1507"/>
      <c r="D1507"/>
      <c r="E1507"/>
      <c r="F1507"/>
      <c r="G1507" s="1"/>
      <c r="H1507" s="1"/>
      <c r="I1507"/>
      <c r="J1507"/>
      <c r="K1507"/>
      <c r="L1507"/>
      <c r="M1507"/>
      <c r="N1507"/>
      <c r="O1507"/>
      <c r="P1507"/>
      <c r="Q1507"/>
      <c r="R1507" s="558" t="s">
        <v>3979</v>
      </c>
      <c r="S1507" s="83"/>
      <c r="T1507" s="56"/>
      <c r="U1507" s="955"/>
      <c r="V1507" s="43" t="str">
        <f t="shared" si="1056"/>
        <v>M</v>
      </c>
      <c r="W1507" s="10"/>
      <c r="X1507" s="45" t="s">
        <v>769</v>
      </c>
      <c r="Y1507" s="10"/>
      <c r="Z1507" s="46" t="str">
        <f t="shared" si="1057"/>
        <v>R</v>
      </c>
      <c r="AA1507" s="123"/>
      <c r="AB1507" s="1459">
        <f t="shared" si="1048"/>
        <v>0</v>
      </c>
      <c r="AC1507" s="1460" t="str">
        <f t="shared" si="1049"/>
        <v>-</v>
      </c>
      <c r="AD1507" s="1459">
        <f t="shared" si="1050"/>
        <v>0</v>
      </c>
      <c r="AE1507" s="964" t="str">
        <f t="shared" si="1051"/>
        <v/>
      </c>
      <c r="AF1507" s="964" t="str">
        <f t="shared" si="1052"/>
        <v/>
      </c>
      <c r="AG1507" s="964" t="str">
        <f t="shared" si="1053"/>
        <v/>
      </c>
      <c r="AH1507" s="964" t="str">
        <f t="shared" si="1054"/>
        <v/>
      </c>
      <c r="AI1507" s="964" t="str">
        <f t="shared" si="1055"/>
        <v/>
      </c>
      <c r="AJ1507" s="964"/>
      <c r="AK1507" s="964"/>
      <c r="AL1507"/>
      <c r="AM1507"/>
      <c r="AN1507"/>
      <c r="AO1507"/>
      <c r="AP1507"/>
      <c r="AQ1507"/>
      <c r="AR1507"/>
      <c r="AS1507"/>
      <c r="AT1507"/>
      <c r="AU1507"/>
      <c r="AV1507"/>
      <c r="AW1507"/>
      <c r="AX1507" s="9"/>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s="1396"/>
      <c r="CB1507" s="1396"/>
      <c r="CC1507"/>
      <c r="CD1507"/>
      <c r="CE1507"/>
    </row>
    <row r="1508" spans="1:83" ht="13.9" customHeight="1" outlineLevel="2" thickBot="1" x14ac:dyDescent="0.25">
      <c r="A1508"/>
      <c r="B1508" s="1"/>
      <c r="C1508"/>
      <c r="D1508"/>
      <c r="E1508"/>
      <c r="F1508"/>
      <c r="G1508" s="1"/>
      <c r="H1508" s="1"/>
      <c r="I1508"/>
      <c r="J1508"/>
      <c r="K1508"/>
      <c r="L1508"/>
      <c r="M1508"/>
      <c r="N1508"/>
      <c r="O1508"/>
      <c r="P1508"/>
      <c r="Q1508"/>
      <c r="R1508" s="558" t="s">
        <v>3979</v>
      </c>
      <c r="S1508" s="956"/>
      <c r="T1508" s="58"/>
      <c r="U1508" s="957"/>
      <c r="V1508" s="958" t="str">
        <f>V1497</f>
        <v>O</v>
      </c>
      <c r="W1508" s="10"/>
      <c r="X1508" s="45" t="s">
        <v>769</v>
      </c>
      <c r="Y1508" s="10"/>
      <c r="Z1508" s="46" t="str">
        <f>V1496</f>
        <v>Q</v>
      </c>
      <c r="AA1508" s="123"/>
      <c r="AB1508" s="1459">
        <f t="shared" si="1048"/>
        <v>0</v>
      </c>
      <c r="AC1508" s="1460" t="str">
        <f t="shared" si="1049"/>
        <v>-</v>
      </c>
      <c r="AD1508" s="1459">
        <f t="shared" si="1050"/>
        <v>0</v>
      </c>
      <c r="AE1508" s="964" t="str">
        <f t="shared" si="1051"/>
        <v/>
      </c>
      <c r="AF1508" s="964" t="str">
        <f t="shared" si="1052"/>
        <v/>
      </c>
      <c r="AG1508" s="964" t="str">
        <f t="shared" si="1053"/>
        <v/>
      </c>
      <c r="AH1508" s="964" t="str">
        <f t="shared" si="1054"/>
        <v/>
      </c>
      <c r="AI1508" s="964" t="str">
        <f t="shared" si="1055"/>
        <v/>
      </c>
      <c r="AJ1508" s="964"/>
      <c r="AK1508" s="964"/>
      <c r="AL1508"/>
      <c r="AM1508"/>
      <c r="AN1508"/>
      <c r="AO1508"/>
      <c r="AP1508"/>
      <c r="AQ1508"/>
      <c r="AR1508"/>
      <c r="AS1508"/>
      <c r="AT1508"/>
      <c r="AU1508"/>
      <c r="AV1508"/>
      <c r="AW1508" s="9"/>
      <c r="AX1508" s="9"/>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s="1396"/>
      <c r="CB1508" s="1396"/>
      <c r="CC1508"/>
      <c r="CD1508"/>
      <c r="CE1508"/>
    </row>
    <row r="1509" spans="1:83" ht="13.5" thickBot="1" x14ac:dyDescent="0.25">
      <c r="A1509"/>
      <c r="B1509" s="1"/>
      <c r="C1509"/>
      <c r="D1509"/>
      <c r="E1509"/>
      <c r="F1509"/>
      <c r="G1509" s="1"/>
      <c r="H1509" s="1"/>
      <c r="I1509"/>
      <c r="J1509"/>
      <c r="K1509"/>
      <c r="L1509"/>
      <c r="M1509"/>
      <c r="N1509"/>
      <c r="O1509"/>
      <c r="P1509"/>
      <c r="Q1509"/>
      <c r="S1509"/>
      <c r="T1509"/>
      <c r="U1509"/>
      <c r="V1509"/>
      <c r="W1509" s="1"/>
      <c r="X1509" s="1"/>
      <c r="Y1509" s="1"/>
      <c r="Z1509"/>
      <c r="AB1509" s="964"/>
      <c r="AC1509" s="964"/>
      <c r="AD1509" s="969"/>
      <c r="AE1509" s="969"/>
      <c r="AF1509" s="964"/>
      <c r="AG1509" s="970"/>
      <c r="AH1509" s="964"/>
      <c r="AI1509" s="969"/>
      <c r="AJ1509" s="964"/>
      <c r="AK1509" s="963"/>
      <c r="AL1509" s="16"/>
      <c r="AM1509" s="16"/>
      <c r="AN1509" s="16"/>
      <c r="AO1509" s="16"/>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s="1396"/>
      <c r="CB1509" s="1396"/>
      <c r="CC1509"/>
      <c r="CD1509"/>
      <c r="CE1509"/>
    </row>
    <row r="1510" spans="1:83" ht="13.5" thickBot="1" x14ac:dyDescent="0.25">
      <c r="A1510"/>
      <c r="B1510" s="282" t="str">
        <f>N_Group_19</f>
        <v>Poule de 19</v>
      </c>
      <c r="C1510" s="283"/>
      <c r="D1510" s="283"/>
      <c r="E1510" s="283"/>
      <c r="F1510" s="283"/>
      <c r="G1510" s="283"/>
      <c r="H1510" s="283"/>
      <c r="I1510" s="283"/>
      <c r="J1510" s="283"/>
      <c r="K1510" s="283"/>
      <c r="L1510" s="283"/>
      <c r="M1510" s="283"/>
      <c r="N1510" s="283"/>
      <c r="O1510" s="283"/>
      <c r="P1510" s="283"/>
      <c r="Q1510" s="283"/>
      <c r="R1510" s="357"/>
      <c r="S1510" s="283"/>
      <c r="T1510" s="283"/>
      <c r="U1510" s="283"/>
      <c r="V1510" s="283"/>
      <c r="W1510" s="992"/>
      <c r="X1510" s="992"/>
      <c r="Y1510" s="992"/>
      <c r="Z1510" s="283"/>
      <c r="AA1510" s="283"/>
      <c r="AB1510" s="965"/>
      <c r="AC1510" s="965"/>
      <c r="AD1510" s="965"/>
      <c r="AE1510" s="966"/>
      <c r="AF1510" s="966"/>
      <c r="AG1510" s="966"/>
      <c r="AH1510" s="966"/>
      <c r="AI1510" s="966"/>
      <c r="AJ1510" s="966"/>
      <c r="AK1510" s="965"/>
      <c r="AL1510" s="283"/>
      <c r="AM1510" s="282" t="str">
        <f>B1510</f>
        <v>Poule de 19</v>
      </c>
      <c r="AN1510" s="283"/>
      <c r="AO1510" s="283"/>
      <c r="AP1510" s="283"/>
      <c r="AQ1510" s="283"/>
      <c r="AR1510" s="283"/>
      <c r="AS1510" s="283"/>
      <c r="AT1510" s="283"/>
      <c r="AU1510" s="283"/>
      <c r="AV1510" s="283"/>
      <c r="AW1510" s="283"/>
      <c r="AX1510" s="283"/>
      <c r="AY1510" s="283"/>
      <c r="AZ1510" s="283"/>
      <c r="BA1510" s="283"/>
      <c r="BB1510" s="283"/>
      <c r="BC1510" s="283"/>
      <c r="BD1510" s="283"/>
      <c r="BE1510" s="283"/>
      <c r="BF1510" s="283"/>
      <c r="BG1510" s="283"/>
      <c r="BH1510" s="283"/>
      <c r="BI1510" s="283"/>
      <c r="BJ1510" s="283"/>
      <c r="BK1510" s="283"/>
      <c r="BL1510" s="283"/>
      <c r="BM1510" s="283"/>
      <c r="BN1510" s="283"/>
      <c r="BO1510" s="283"/>
      <c r="BP1510" s="283"/>
      <c r="BQ1510" s="283"/>
      <c r="BR1510" s="283"/>
      <c r="BS1510" s="283"/>
      <c r="BT1510" s="283"/>
      <c r="BU1510" s="283"/>
      <c r="BV1510" s="283"/>
      <c r="BW1510" s="283"/>
      <c r="BX1510" s="283"/>
      <c r="BY1510" s="283"/>
      <c r="BZ1510"/>
      <c r="CA1510" s="1396"/>
      <c r="CB1510" s="1396"/>
      <c r="CC1510" s="284"/>
      <c r="CD1510"/>
      <c r="CE1510"/>
    </row>
    <row r="1511" spans="1:83" ht="13.5" outlineLevel="1" thickBot="1" x14ac:dyDescent="0.25">
      <c r="A1511"/>
      <c r="B1511" s="1"/>
      <c r="C1511"/>
      <c r="D1511"/>
      <c r="E1511"/>
      <c r="F1511"/>
      <c r="G1511" s="1"/>
      <c r="H1511" s="1"/>
      <c r="I1511"/>
      <c r="J1511"/>
      <c r="K1511"/>
      <c r="L1511"/>
      <c r="M1511"/>
      <c r="N1511"/>
      <c r="O1511"/>
      <c r="P1511"/>
      <c r="Q1511"/>
      <c r="S1511"/>
      <c r="T1511"/>
      <c r="U1511"/>
      <c r="V1511"/>
      <c r="W1511" s="1"/>
      <c r="X1511" s="1"/>
      <c r="Y1511" s="1"/>
      <c r="Z1511"/>
      <c r="AB1511" s="964"/>
      <c r="AC1511" s="964"/>
      <c r="AD1511" s="969"/>
      <c r="AE1511" s="969"/>
      <c r="AF1511" s="964"/>
      <c r="AG1511" s="970"/>
      <c r="AH1511" s="964"/>
      <c r="AI1511" s="969"/>
      <c r="AJ1511" s="964"/>
      <c r="AK1511" s="963"/>
      <c r="AL1511" s="16"/>
      <c r="AM1511" s="16"/>
      <c r="AN1511" s="16"/>
      <c r="AO1511" s="16"/>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s="1396"/>
      <c r="CB1511" s="1396"/>
      <c r="CC1511"/>
      <c r="CD1511"/>
      <c r="CE1511"/>
    </row>
    <row r="1512" spans="1:83" ht="13.5" outlineLevel="1" thickBot="1" x14ac:dyDescent="0.25">
      <c r="A1512"/>
      <c r="B1512" s="18" t="str">
        <f>N_Tirage</f>
        <v>Tirage</v>
      </c>
      <c r="C1512" s="971" t="s">
        <v>787</v>
      </c>
      <c r="D1512" s="972" t="s">
        <v>831</v>
      </c>
      <c r="E1512" s="972" t="s">
        <v>832</v>
      </c>
      <c r="F1512" s="973" t="s">
        <v>833</v>
      </c>
      <c r="G1512" s="22" t="str">
        <f>N_Joueurs</f>
        <v>Joueurs</v>
      </c>
      <c r="H1512" s="3" t="str">
        <f>N_RankPoints</f>
        <v>Pt. Clas.</v>
      </c>
      <c r="I1512" s="22" t="str">
        <f>N_Diff_Part</f>
        <v>Diff-Part</v>
      </c>
      <c r="J1512" s="983" t="s">
        <v>788</v>
      </c>
      <c r="K1512" s="984" t="s">
        <v>789</v>
      </c>
      <c r="L1512" s="972" t="s">
        <v>790</v>
      </c>
      <c r="M1512" s="972" t="s">
        <v>791</v>
      </c>
      <c r="N1512" s="972" t="s">
        <v>792</v>
      </c>
      <c r="O1512" s="972" t="s">
        <v>793</v>
      </c>
      <c r="P1512" s="972" t="s">
        <v>794</v>
      </c>
      <c r="Q1512" s="973" t="s">
        <v>781</v>
      </c>
      <c r="R1512"/>
      <c r="S1512"/>
      <c r="T1512"/>
      <c r="U1512"/>
      <c r="V1512"/>
      <c r="W1512" s="1"/>
      <c r="X1512" s="1"/>
      <c r="Y1512" s="1"/>
      <c r="Z1512"/>
      <c r="AB1512" s="964"/>
      <c r="AC1512" s="964"/>
      <c r="AD1512" s="964"/>
      <c r="AE1512" s="964" t="str">
        <f>N_G</f>
        <v>G</v>
      </c>
      <c r="AF1512" s="964" t="str">
        <f>N_N</f>
        <v>N</v>
      </c>
      <c r="AG1512" s="964" t="str">
        <f>N_N</f>
        <v>N</v>
      </c>
      <c r="AH1512" s="964" t="str">
        <f>N_P</f>
        <v>P</v>
      </c>
      <c r="AI1512" s="964" t="s">
        <v>1560</v>
      </c>
      <c r="AJ1512" s="964" t="s">
        <v>3714</v>
      </c>
      <c r="AK1512" s="964" t="str">
        <f>IF(COUNTA(W1534:W1740)=0,"","OK")</f>
        <v/>
      </c>
      <c r="AL1512"/>
      <c r="AM1512" s="16"/>
      <c r="AN1512" s="24" t="str">
        <f>N_Cla.</f>
        <v>Cla.</v>
      </c>
      <c r="AO1512" s="4" t="str">
        <f>N_Joueurs</f>
        <v>Joueurs</v>
      </c>
      <c r="AP1512" s="25" t="str">
        <f>N_Pts</f>
        <v>Pts</v>
      </c>
      <c r="AQ1512" s="25" t="str">
        <f>N_J</f>
        <v>J</v>
      </c>
      <c r="AR1512" s="26" t="str">
        <f>N_G</f>
        <v>G</v>
      </c>
      <c r="AS1512" s="26" t="str">
        <f>N_N</f>
        <v>N</v>
      </c>
      <c r="AT1512" s="26" t="str">
        <f>N_P</f>
        <v>P</v>
      </c>
      <c r="AU1512" s="26" t="str">
        <f>N_BP</f>
        <v>BP</v>
      </c>
      <c r="AV1512" s="26" t="str">
        <f>N_BC</f>
        <v>BC</v>
      </c>
      <c r="AW1512" s="5" t="str">
        <f>N_Diff.</f>
        <v>Diff.</v>
      </c>
      <c r="AX1512"/>
      <c r="AY1512"/>
      <c r="AZ1512" s="1"/>
      <c r="BA1512" s="1"/>
      <c r="BB1512"/>
      <c r="BC1512" s="6"/>
      <c r="BD1512"/>
      <c r="BE1512" s="1"/>
      <c r="BF1512"/>
      <c r="BG1512" s="16"/>
      <c r="BH1512"/>
      <c r="BI1512"/>
      <c r="BJ1512"/>
      <c r="BK1512"/>
      <c r="BL1512"/>
      <c r="BM1512"/>
      <c r="BN1512"/>
      <c r="BO1512"/>
      <c r="BP1512"/>
      <c r="BQ1512"/>
      <c r="BR1512"/>
      <c r="BS1512"/>
      <c r="BT1512"/>
      <c r="BU1512"/>
      <c r="BV1512"/>
      <c r="BW1512"/>
      <c r="BX1512"/>
      <c r="BY1512"/>
      <c r="BZ1512"/>
      <c r="CA1512" s="1396"/>
      <c r="CB1512" s="1396"/>
      <c r="CC1512"/>
      <c r="CD1512"/>
      <c r="CE1512"/>
    </row>
    <row r="1513" spans="1:83" outlineLevel="1" x14ac:dyDescent="0.2">
      <c r="A1513"/>
      <c r="B1513" s="941">
        <v>1</v>
      </c>
      <c r="C1513" s="974" t="str">
        <f>IF(AK1512="","",RANK(F1513,F1513:F1531)*1000+ROW())</f>
        <v/>
      </c>
      <c r="D1513" s="975" t="str">
        <f>IF(L1513="","",CritClassInd1_Points*J1513+CritClassInd1_Matches*L1513+CritClassInd1_Attaque*O1513+CritClassInd1_DiffButs*Q1513)</f>
        <v/>
      </c>
      <c r="E1513" s="975" t="str">
        <f>IF(L1513="","",Nb_Diff_Part(D1513,D1513:D1531,G1513,G1513:G1531,AI1534:AI1740)*CritClassInd_DiffPart+Nb_Goal_Part(D1513,D1513:D1531,G1513,G1513:G1531,V1534:Z1740)*CritClassInd_GoalPart+Nb_Score_Part(D1513,D1513:D1531,G1513,G1513:G1531,V1534:Z1740)*CritClassInd_ScorePart)</f>
        <v/>
      </c>
      <c r="F1513" s="976" t="str">
        <f>IF(L1513="","",D1513+E1513+CritClassInd2_Points*J1513+CritClassInd2_Matches*L1513+CritClassInd2_Attaque*O1513+CritClassInd2_DiffButs*Q1513+CritClassInd_Ranking*H1513+I1513)</f>
        <v/>
      </c>
      <c r="G1513" s="942" t="s">
        <v>2712</v>
      </c>
      <c r="H1513" s="499">
        <f t="shared" ref="H1513:H1531" si="1058">GMFTRANKINGPOINTS(G1513,Particular_Category)</f>
        <v>0</v>
      </c>
      <c r="I1513" s="942"/>
      <c r="J1513" s="974" t="str">
        <f>IF(AK1512="","",(L1513*Points_Victoire)+M1513*Points_Null)</f>
        <v/>
      </c>
      <c r="K1513" s="985" t="str">
        <f t="shared" ref="K1513:K1531" si="1059">IF(L1513="","",SUM(L1513:N1513))</f>
        <v/>
      </c>
      <c r="L1513" s="986" t="str">
        <f>IF(AK1512="","",COUNTIF(AE1534:AE1740,G1513))</f>
        <v/>
      </c>
      <c r="M1513" s="986" t="str">
        <f>IF(AK1512="","",COUNTIF(AF1534:AG1740,G1513))</f>
        <v/>
      </c>
      <c r="N1513" s="986" t="str">
        <f>IF(AK1512="","",COUNTIF(AH1534:AH1740,G1513))</f>
        <v/>
      </c>
      <c r="O1513" s="986" t="str">
        <f>IF(AK1512="","",SUMIF(V1534:V1740,G1513,AB1534:AB1740)+SUMIF(Z1534:Z1740,G1513,AD1534:AD1740))</f>
        <v/>
      </c>
      <c r="P1513" s="986" t="str">
        <f>IF(AK1512="","",SUMIF(V1534:V1740,G1513,AD1534:AD1740)+SUMIF(Z1534:Z1740,G1513,AB1534:AB1740))</f>
        <v/>
      </c>
      <c r="Q1513" s="987" t="str">
        <f>IF(AK1512="","",O1513-P1513)</f>
        <v/>
      </c>
      <c r="R1513"/>
      <c r="S1513"/>
      <c r="T1513"/>
      <c r="U1513"/>
      <c r="V1513"/>
      <c r="W1513" s="1"/>
      <c r="X1513" s="1"/>
      <c r="Y1513" s="1"/>
      <c r="Z1513"/>
      <c r="AB1513" s="964"/>
      <c r="AC1513" s="964"/>
      <c r="AD1513" s="964"/>
      <c r="AE1513" s="964"/>
      <c r="AF1513" s="964"/>
      <c r="AG1513" s="964"/>
      <c r="AH1513" s="964"/>
      <c r="AI1513" s="964"/>
      <c r="AJ1513" s="964"/>
      <c r="AK1513" s="968" t="str">
        <f>IF(AK1512="","",SMALL(C1513:C1531,1))</f>
        <v/>
      </c>
      <c r="AL1513"/>
      <c r="AM1513" s="16"/>
      <c r="AN1513" s="943" t="str">
        <f>IF(AK1512="","",INT(AK1513/1000))</f>
        <v/>
      </c>
      <c r="AO1513" s="33" t="str">
        <f>IF(AK1512="","",VLOOKUP(AK1513,C1513:Q1531,5,FALSE))</f>
        <v/>
      </c>
      <c r="AP1513" s="33" t="str">
        <f>VLOOKUP(AK1513,C1513:Q1531,8,FALSE)</f>
        <v/>
      </c>
      <c r="AQ1513" s="33" t="str">
        <f>VLOOKUP(AK1513,C1513:Q1531,9,FALSE)</f>
        <v/>
      </c>
      <c r="AR1513" s="33" t="str">
        <f>VLOOKUP(AK1513,C1513:Q1531,10,FALSE)</f>
        <v/>
      </c>
      <c r="AS1513" s="33" t="str">
        <f>VLOOKUP(AK1513,C1513:Q1531,11,FALSE)</f>
        <v/>
      </c>
      <c r="AT1513" s="33" t="str">
        <f>VLOOKUP(AK1513,C1513:Q1531,12,FALSE)</f>
        <v/>
      </c>
      <c r="AU1513" s="33" t="str">
        <f>VLOOKUP(AK1513,C1513:Q1531,13,FALSE)</f>
        <v/>
      </c>
      <c r="AV1513" s="33" t="str">
        <f>VLOOKUP(AK1513,C1513:Q1531,14,FALSE)</f>
        <v/>
      </c>
      <c r="AW1513" s="944" t="str">
        <f>VLOOKUP(AK1513,C1513:Q1531,15,FALSE)</f>
        <v/>
      </c>
      <c r="AX1513"/>
      <c r="AY1513"/>
      <c r="AZ1513" s="1"/>
      <c r="BA1513" s="1"/>
      <c r="BB1513"/>
      <c r="BC1513" s="6"/>
      <c r="BD1513"/>
      <c r="BE1513" s="1"/>
      <c r="BF1513"/>
      <c r="BG1513" s="16"/>
      <c r="BH1513"/>
      <c r="BI1513"/>
      <c r="BJ1513"/>
      <c r="BK1513"/>
      <c r="BL1513"/>
      <c r="BM1513"/>
      <c r="BN1513"/>
      <c r="BO1513"/>
      <c r="BP1513"/>
      <c r="BQ1513"/>
      <c r="BR1513"/>
      <c r="BS1513"/>
      <c r="BT1513"/>
      <c r="BU1513"/>
      <c r="BV1513"/>
      <c r="BW1513"/>
      <c r="BX1513"/>
      <c r="BY1513"/>
      <c r="BZ1513"/>
      <c r="CA1513" s="1396"/>
      <c r="CB1513" s="1396"/>
      <c r="CC1513"/>
      <c r="CD1513"/>
      <c r="CE1513"/>
    </row>
    <row r="1514" spans="1:83" outlineLevel="1" x14ac:dyDescent="0.2">
      <c r="A1514"/>
      <c r="B1514" s="945">
        <v>2</v>
      </c>
      <c r="C1514" s="977" t="str">
        <f>IF(AK1512="","",RANK(F1514,F1513:F1531)*1000+ROW())</f>
        <v/>
      </c>
      <c r="D1514" s="978" t="str">
        <f t="shared" ref="D1514:D1531" si="1060">IF(L1514="","",CritClassInd1_Points*J1514+CritClassInd1_Matches*L1514+CritClassInd1_Attaque*O1514+CritClassInd1_DiffButs*Q1514)</f>
        <v/>
      </c>
      <c r="E1514" s="978" t="str">
        <f>IF(L1514="","",Nb_Diff_Part(D1514,D1513:D1531,G1514,G1513:G1531,AI1534:AI1740)*CritClassInd_DiffPart+Nb_Goal_Part(D1514,D1513:D1531,G1514,G1513:G1531,V1534:Z1740)*CritClassInd_GoalPart+Nb_Score_Part(D1514,D1513:D1531,G1514,G1513:G1531,V1534:Z1740)*CritClassInd_ScorePart)</f>
        <v/>
      </c>
      <c r="F1514" s="979" t="str">
        <f t="shared" ref="F1514:F1531" si="1061">IF(L1514="","",D1514+E1514+CritClassInd2_Points*J1514+CritClassInd2_Matches*L1514+CritClassInd2_Attaque*O1514+CritClassInd2_DiffButs*Q1514+CritClassInd_Ranking*H1514+I1514)</f>
        <v/>
      </c>
      <c r="G1514" s="39" t="s">
        <v>3911</v>
      </c>
      <c r="H1514" s="501">
        <f t="shared" si="1058"/>
        <v>0</v>
      </c>
      <c r="I1514" s="39"/>
      <c r="J1514" s="977" t="str">
        <f>IF(AK1512="","",(L1514*Points_Victoire)+M1514*Points_Null)</f>
        <v/>
      </c>
      <c r="K1514" s="988" t="str">
        <f t="shared" si="1059"/>
        <v/>
      </c>
      <c r="L1514" s="988" t="str">
        <f>IF(AK1512="","",COUNTIF(AE1534:AE1740,G1514))</f>
        <v/>
      </c>
      <c r="M1514" s="988" t="str">
        <f>IF(AK1512="","",COUNTIF(AF1534:AG1740,G1514))</f>
        <v/>
      </c>
      <c r="N1514" s="988" t="str">
        <f>IF(AK1512="","",COUNTIF(AH1534:AH1740,G1514))</f>
        <v/>
      </c>
      <c r="O1514" s="988" t="str">
        <f>IF(AK1512="","",SUMIF(V1534:V1740,G1514,AB1534:AB1740)+SUMIF(Z1534:Z1740,G1514,AD1534:AD1740))</f>
        <v/>
      </c>
      <c r="P1514" s="988" t="str">
        <f>IF(AK1512="","",SUMIF(V1534:V1740,G1514,AD1534:AD1740)+SUMIF(Z1534:Z1740,G1514,AB1534:AB1740))</f>
        <v/>
      </c>
      <c r="Q1514" s="989" t="str">
        <f>IF(AK1512="","",O1514-P1514)</f>
        <v/>
      </c>
      <c r="R1514"/>
      <c r="S1514"/>
      <c r="T1514"/>
      <c r="U1514"/>
      <c r="V1514"/>
      <c r="W1514" s="1"/>
      <c r="X1514" s="1"/>
      <c r="Y1514" s="1"/>
      <c r="Z1514"/>
      <c r="AB1514" s="964"/>
      <c r="AC1514" s="964"/>
      <c r="AD1514" s="964"/>
      <c r="AE1514" s="964"/>
      <c r="AF1514" s="964"/>
      <c r="AG1514" s="964"/>
      <c r="AH1514" s="964"/>
      <c r="AI1514" s="964"/>
      <c r="AJ1514" s="964"/>
      <c r="AK1514" s="968" t="str">
        <f>IF(AK1512="","",SMALL(C1513:C1531,2))</f>
        <v/>
      </c>
      <c r="AL1514"/>
      <c r="AM1514" s="16"/>
      <c r="AN1514" s="946" t="str">
        <f>IF(AK1512="","",INT(AK1514/1000))</f>
        <v/>
      </c>
      <c r="AO1514" s="42" t="str">
        <f>IF(AK1512="","",VLOOKUP(AK1514,C1513:Q1531,5,FALSE))</f>
        <v/>
      </c>
      <c r="AP1514" s="42" t="str">
        <f>VLOOKUP(AK1514,C1513:Q1531,8,FALSE)</f>
        <v/>
      </c>
      <c r="AQ1514" s="42" t="str">
        <f>VLOOKUP(AK1514,C1513:Q1531,9,FALSE)</f>
        <v/>
      </c>
      <c r="AR1514" s="42" t="str">
        <f>VLOOKUP(AK1514,C1513:Q1531,10,FALSE)</f>
        <v/>
      </c>
      <c r="AS1514" s="42" t="str">
        <f>VLOOKUP(AK1514,C1513:Q1531,11,FALSE)</f>
        <v/>
      </c>
      <c r="AT1514" s="42" t="str">
        <f>VLOOKUP(AK1514,C1513:Q1531,12,FALSE)</f>
        <v/>
      </c>
      <c r="AU1514" s="42" t="str">
        <f>VLOOKUP(AK1514,C1513:Q1531,13,FALSE)</f>
        <v/>
      </c>
      <c r="AV1514" s="42" t="str">
        <f>VLOOKUP(AK1514,C1513:Q1531,14,FALSE)</f>
        <v/>
      </c>
      <c r="AW1514" s="947" t="str">
        <f>VLOOKUP(AK1514,C1513:Q1531,15,FALSE)</f>
        <v/>
      </c>
      <c r="AX1514"/>
      <c r="AY1514"/>
      <c r="AZ1514" s="1"/>
      <c r="BA1514" s="1"/>
      <c r="BB1514"/>
      <c r="BC1514" s="6"/>
      <c r="BD1514"/>
      <c r="BE1514" s="1"/>
      <c r="BF1514"/>
      <c r="BG1514" s="16"/>
      <c r="BH1514"/>
      <c r="BI1514"/>
      <c r="BJ1514"/>
      <c r="BK1514"/>
      <c r="BL1514"/>
      <c r="BM1514"/>
      <c r="BN1514"/>
      <c r="BO1514"/>
      <c r="BP1514"/>
      <c r="BQ1514"/>
      <c r="BR1514"/>
      <c r="BS1514"/>
      <c r="BT1514"/>
      <c r="BU1514"/>
      <c r="BV1514"/>
      <c r="BW1514"/>
      <c r="BX1514"/>
      <c r="BY1514"/>
      <c r="BZ1514"/>
      <c r="CA1514" s="1396"/>
      <c r="CB1514" s="1396"/>
      <c r="CC1514"/>
      <c r="CD1514"/>
      <c r="CE1514"/>
    </row>
    <row r="1515" spans="1:83" outlineLevel="1" x14ac:dyDescent="0.2">
      <c r="A1515"/>
      <c r="B1515" s="945">
        <v>3</v>
      </c>
      <c r="C1515" s="977" t="str">
        <f>IF(AK1512="","",RANK(F1515,F1513:F1531)*1000+ROW())</f>
        <v/>
      </c>
      <c r="D1515" s="978" t="str">
        <f t="shared" si="1060"/>
        <v/>
      </c>
      <c r="E1515" s="978" t="str">
        <f>IF(L1515="","",Nb_Diff_Part(D1515,D1513:D1531,G1515,G1513:G1531,AI1534:AI1740)*CritClassInd_DiffPart+Nb_Goal_Part(D1515,D1513:D1531,G1515,G1513:G1531,V1534:Z1740)*CritClassInd_GoalPart+Nb_Score_Part(D1515,D1513:D1531,G1515,G1513:G1531,V1534:Z1740)*CritClassInd_ScorePart)</f>
        <v/>
      </c>
      <c r="F1515" s="979" t="str">
        <f t="shared" si="1061"/>
        <v/>
      </c>
      <c r="G1515" s="39" t="s">
        <v>3912</v>
      </c>
      <c r="H1515" s="501">
        <f t="shared" si="1058"/>
        <v>0</v>
      </c>
      <c r="I1515" s="39"/>
      <c r="J1515" s="977" t="str">
        <f>IF(AK1512="","",(L1515*Points_Victoire)+M1515*Points_Null)</f>
        <v/>
      </c>
      <c r="K1515" s="988" t="str">
        <f t="shared" si="1059"/>
        <v/>
      </c>
      <c r="L1515" s="988" t="str">
        <f>IF(AK1512="","",COUNTIF(AE1534:AE1740,G1515))</f>
        <v/>
      </c>
      <c r="M1515" s="988" t="str">
        <f>IF(AK1512="","",COUNTIF(AF1534:AG1740,G1515))</f>
        <v/>
      </c>
      <c r="N1515" s="988" t="str">
        <f>IF(AK1512="","",COUNTIF(AH1534:AH1740,G1515))</f>
        <v/>
      </c>
      <c r="O1515" s="988" t="str">
        <f>IF(AK1512="","",SUMIF(V1534:V1740,G1515,AB1534:AB1740)+SUMIF(Z1534:Z1740,G1515,AD1534:AD1740))</f>
        <v/>
      </c>
      <c r="P1515" s="988" t="str">
        <f>IF(AK1512="","",SUMIF(V1534:V1740,G1515,AD1534:AD1740)+SUMIF(Z1534:Z1740,G1515,AB1534:AB1740))</f>
        <v/>
      </c>
      <c r="Q1515" s="989" t="str">
        <f>IF(AK1512="","",O1515-P1515)</f>
        <v/>
      </c>
      <c r="R1515"/>
      <c r="S1515"/>
      <c r="T1515"/>
      <c r="U1515"/>
      <c r="V1515"/>
      <c r="W1515" s="1"/>
      <c r="X1515" s="1"/>
      <c r="Y1515" s="1"/>
      <c r="Z1515"/>
      <c r="AB1515" s="964"/>
      <c r="AC1515" s="964"/>
      <c r="AD1515" s="964"/>
      <c r="AE1515" s="964"/>
      <c r="AF1515" s="964"/>
      <c r="AG1515" s="964"/>
      <c r="AH1515" s="964"/>
      <c r="AI1515" s="964"/>
      <c r="AJ1515" s="964"/>
      <c r="AK1515" s="968" t="str">
        <f>IF(AK1512="","",SMALL(C1513:C1531,3))</f>
        <v/>
      </c>
      <c r="AL1515"/>
      <c r="AM1515" s="16"/>
      <c r="AN1515" s="946" t="str">
        <f>IF(AK1512="","",INT(AK1515/1000))</f>
        <v/>
      </c>
      <c r="AO1515" s="42" t="str">
        <f>IF(AK1512="","",VLOOKUP(AK1515,C1513:Q1531,5,FALSE))</f>
        <v/>
      </c>
      <c r="AP1515" s="42" t="str">
        <f>VLOOKUP(AK1515,C1513:Q1531,8,FALSE)</f>
        <v/>
      </c>
      <c r="AQ1515" s="42" t="str">
        <f>VLOOKUP(AK1515,C1513:Q1531,9,FALSE)</f>
        <v/>
      </c>
      <c r="AR1515" s="42" t="str">
        <f>VLOOKUP(AK1515,C1513:Q1531,10,FALSE)</f>
        <v/>
      </c>
      <c r="AS1515" s="42" t="str">
        <f>VLOOKUP(AK1515,C1513:Q1531,11,FALSE)</f>
        <v/>
      </c>
      <c r="AT1515" s="42" t="str">
        <f>VLOOKUP(AK1515,C1513:Q1531,12,FALSE)</f>
        <v/>
      </c>
      <c r="AU1515" s="42" t="str">
        <f>VLOOKUP(AK1515,C1513:Q1531,13,FALSE)</f>
        <v/>
      </c>
      <c r="AV1515" s="42" t="str">
        <f>VLOOKUP(AK1515,C1513:Q1531,14,FALSE)</f>
        <v/>
      </c>
      <c r="AW1515" s="947" t="str">
        <f>VLOOKUP(AK1515,C1513:Q1531,15,FALSE)</f>
        <v/>
      </c>
      <c r="AX1515"/>
      <c r="AY1515"/>
      <c r="AZ1515" s="1"/>
      <c r="BA1515" s="1"/>
      <c r="BB1515"/>
      <c r="BC1515" s="6"/>
      <c r="BD1515"/>
      <c r="BE1515" s="1"/>
      <c r="BF1515"/>
      <c r="BG1515" s="16"/>
      <c r="BH1515"/>
      <c r="BI1515"/>
      <c r="BJ1515"/>
      <c r="BK1515"/>
      <c r="BL1515"/>
      <c r="BM1515"/>
      <c r="BN1515"/>
      <c r="BO1515"/>
      <c r="BP1515"/>
      <c r="BQ1515"/>
      <c r="BR1515"/>
      <c r="BS1515"/>
      <c r="BT1515"/>
      <c r="BU1515"/>
      <c r="BV1515"/>
      <c r="BW1515"/>
      <c r="BX1515"/>
      <c r="BY1515"/>
      <c r="BZ1515"/>
      <c r="CA1515" s="1396"/>
      <c r="CB1515" s="1396"/>
      <c r="CC1515"/>
      <c r="CD1515"/>
      <c r="CE1515"/>
    </row>
    <row r="1516" spans="1:83" outlineLevel="1" x14ac:dyDescent="0.2">
      <c r="A1516"/>
      <c r="B1516" s="945">
        <v>4</v>
      </c>
      <c r="C1516" s="977" t="str">
        <f>IF(AK1512="","",RANK(F1516,F1513:F1531)*1000+ROW())</f>
        <v/>
      </c>
      <c r="D1516" s="978" t="str">
        <f t="shared" si="1060"/>
        <v/>
      </c>
      <c r="E1516" s="978" t="str">
        <f>IF(L1516="","",Nb_Diff_Part(D1516,D1513:D1531,G1516,G1513:G1531,AI1534:AI1740)*CritClassInd_DiffPart+Nb_Goal_Part(D1516,D1513:D1531,G1516,G1513:G1531,V1534:Z1740)*CritClassInd_GoalPart+Nb_Score_Part(D1516,D1513:D1531,G1516,G1513:G1531,V1534:Z1740)*CritClassInd_ScorePart)</f>
        <v/>
      </c>
      <c r="F1516" s="979" t="str">
        <f t="shared" si="1061"/>
        <v/>
      </c>
      <c r="G1516" s="39" t="s">
        <v>2710</v>
      </c>
      <c r="H1516" s="501">
        <f t="shared" si="1058"/>
        <v>0</v>
      </c>
      <c r="I1516" s="39"/>
      <c r="J1516" s="977" t="str">
        <f>IF(AK1512="","",(L1516*Points_Victoire)+M1516*Points_Null)</f>
        <v/>
      </c>
      <c r="K1516" s="988" t="str">
        <f t="shared" si="1059"/>
        <v/>
      </c>
      <c r="L1516" s="988" t="str">
        <f>IF(AK1512="","",COUNTIF(AE1534:AE1740,G1516))</f>
        <v/>
      </c>
      <c r="M1516" s="988" t="str">
        <f>IF(AK1512="","",COUNTIF(AF1534:AG1740,G1516))</f>
        <v/>
      </c>
      <c r="N1516" s="988" t="str">
        <f>IF(AK1512="","",COUNTIF(AH1534:AH1740,G1516))</f>
        <v/>
      </c>
      <c r="O1516" s="988" t="str">
        <f>IF(AK1512="","",SUMIF(V1534:V1740,G1516,AB1534:AB1740)+SUMIF(Z1534:Z1740,G1516,AD1534:AD1740))</f>
        <v/>
      </c>
      <c r="P1516" s="988" t="str">
        <f>IF(AK1512="","",SUMIF(V1534:V1740,G1516,AD1534:AD1740)+SUMIF(Z1534:Z1740,G1516,AB1534:AB1740))</f>
        <v/>
      </c>
      <c r="Q1516" s="989" t="str">
        <f>IF(AK1512="","",O1516-P1516)</f>
        <v/>
      </c>
      <c r="R1516"/>
      <c r="S1516"/>
      <c r="T1516"/>
      <c r="U1516"/>
      <c r="V1516"/>
      <c r="W1516" s="1"/>
      <c r="X1516" s="1"/>
      <c r="Y1516" s="1"/>
      <c r="Z1516"/>
      <c r="AB1516" s="964"/>
      <c r="AC1516" s="964"/>
      <c r="AD1516" s="964"/>
      <c r="AE1516" s="964"/>
      <c r="AF1516" s="964"/>
      <c r="AG1516" s="964"/>
      <c r="AH1516" s="964"/>
      <c r="AI1516" s="964"/>
      <c r="AJ1516" s="964"/>
      <c r="AK1516" s="968" t="str">
        <f>IF(AK1512="","",SMALL(C1513:C1531,4))</f>
        <v/>
      </c>
      <c r="AL1516"/>
      <c r="AM1516" s="16"/>
      <c r="AN1516" s="946" t="str">
        <f>IF(AK1512="","",INT(AK1516/1000))</f>
        <v/>
      </c>
      <c r="AO1516" s="42" t="str">
        <f>IF(AK1512="","",VLOOKUP(AK1516,C1513:Q1531,5,FALSE))</f>
        <v/>
      </c>
      <c r="AP1516" s="42" t="str">
        <f>VLOOKUP(AK1516,C1513:Q1531,8,FALSE)</f>
        <v/>
      </c>
      <c r="AQ1516" s="42" t="str">
        <f>VLOOKUP(AK1516,C1513:Q1531,9,FALSE)</f>
        <v/>
      </c>
      <c r="AR1516" s="42" t="str">
        <f>VLOOKUP(AK1516,C1513:Q1531,10,FALSE)</f>
        <v/>
      </c>
      <c r="AS1516" s="42" t="str">
        <f>VLOOKUP(AK1516,C1513:Q1531,11,FALSE)</f>
        <v/>
      </c>
      <c r="AT1516" s="42" t="str">
        <f>VLOOKUP(AK1516,C1513:Q1531,12,FALSE)</f>
        <v/>
      </c>
      <c r="AU1516" s="42" t="str">
        <f>VLOOKUP(AK1516,C1513:Q1531,13,FALSE)</f>
        <v/>
      </c>
      <c r="AV1516" s="42" t="str">
        <f>VLOOKUP(AK1516,C1513:Q1531,14,FALSE)</f>
        <v/>
      </c>
      <c r="AW1516" s="947" t="str">
        <f>VLOOKUP(AK1516,C1513:Q1531,15,FALSE)</f>
        <v/>
      </c>
      <c r="AX1516"/>
      <c r="AY1516"/>
      <c r="AZ1516" s="1"/>
      <c r="BA1516" s="1"/>
      <c r="BB1516"/>
      <c r="BC1516" s="6"/>
      <c r="BD1516"/>
      <c r="BE1516" s="1"/>
      <c r="BF1516"/>
      <c r="BG1516" s="16"/>
      <c r="BH1516"/>
      <c r="BI1516"/>
      <c r="BJ1516"/>
      <c r="BK1516"/>
      <c r="BL1516"/>
      <c r="BM1516"/>
      <c r="BN1516"/>
      <c r="BO1516"/>
      <c r="BP1516"/>
      <c r="BQ1516"/>
      <c r="BR1516"/>
      <c r="BS1516"/>
      <c r="BT1516"/>
      <c r="BU1516"/>
      <c r="BV1516"/>
      <c r="BW1516"/>
      <c r="BX1516"/>
      <c r="BY1516"/>
      <c r="BZ1516"/>
      <c r="CA1516" s="1396"/>
      <c r="CB1516" s="1396"/>
      <c r="CC1516"/>
      <c r="CD1516"/>
      <c r="CE1516"/>
    </row>
    <row r="1517" spans="1:83" outlineLevel="1" x14ac:dyDescent="0.2">
      <c r="A1517"/>
      <c r="B1517" s="945">
        <v>5</v>
      </c>
      <c r="C1517" s="977" t="str">
        <f>IF(AK1512="","",RANK(F1517,F1513:F1531)*1000+ROW())</f>
        <v/>
      </c>
      <c r="D1517" s="978" t="str">
        <f t="shared" si="1060"/>
        <v/>
      </c>
      <c r="E1517" s="978" t="str">
        <f>IF(L1517="","",Nb_Diff_Part(D1517,D1513:D1531,G1517,G1513:G1531,AI1534:AI1740)*CritClassInd_DiffPart+Nb_Goal_Part(D1517,D1513:D1531,G1517,G1513:G1531,V1534:Z1740)*CritClassInd_GoalPart+Nb_Score_Part(D1517,D1513:D1531,G1517,G1513:G1531,V1534:Z1740)*CritClassInd_ScorePart)</f>
        <v/>
      </c>
      <c r="F1517" s="979" t="str">
        <f t="shared" si="1061"/>
        <v/>
      </c>
      <c r="G1517" s="39" t="s">
        <v>3913</v>
      </c>
      <c r="H1517" s="501">
        <f t="shared" si="1058"/>
        <v>0</v>
      </c>
      <c r="I1517" s="39"/>
      <c r="J1517" s="977" t="str">
        <f>IF(AK1512="","",(L1517*Points_Victoire)+M1517*Points_Null)</f>
        <v/>
      </c>
      <c r="K1517" s="988" t="str">
        <f t="shared" si="1059"/>
        <v/>
      </c>
      <c r="L1517" s="988" t="str">
        <f>IF(AK1512="","",COUNTIF(AE1534:AE1740,G1517))</f>
        <v/>
      </c>
      <c r="M1517" s="988" t="str">
        <f>IF(AK1512="","",COUNTIF(AF1534:AG1740,G1517))</f>
        <v/>
      </c>
      <c r="N1517" s="988" t="str">
        <f>IF(AK1512="","",COUNTIF(AH1534:AH1740,G1517))</f>
        <v/>
      </c>
      <c r="O1517" s="988" t="str">
        <f>IF(AK1512="","",SUMIF(V1534:V1740,G1517,AB1534:AB1740)+SUMIF(Z1534:Z1740,G1517,AD1534:AD1740))</f>
        <v/>
      </c>
      <c r="P1517" s="988" t="str">
        <f>IF(AK1512="","",SUMIF(V1534:V1740,G1517,AD1534:AD1740)+SUMIF(Z1534:Z1740,G1517,AB1534:AB1740))</f>
        <v/>
      </c>
      <c r="Q1517" s="989" t="str">
        <f>IF(AK1512="","",O1517-P1517)</f>
        <v/>
      </c>
      <c r="R1517"/>
      <c r="S1517"/>
      <c r="T1517"/>
      <c r="U1517"/>
      <c r="V1517"/>
      <c r="W1517" s="1"/>
      <c r="X1517" s="1"/>
      <c r="Y1517" s="1"/>
      <c r="Z1517"/>
      <c r="AB1517" s="964"/>
      <c r="AC1517" s="964"/>
      <c r="AD1517" s="964"/>
      <c r="AE1517" s="964"/>
      <c r="AF1517" s="964"/>
      <c r="AG1517" s="964"/>
      <c r="AH1517" s="964"/>
      <c r="AI1517" s="964"/>
      <c r="AJ1517" s="964"/>
      <c r="AK1517" s="968" t="str">
        <f>IF(AK1512="","",SMALL(C1513:C1531,5))</f>
        <v/>
      </c>
      <c r="AL1517"/>
      <c r="AM1517" s="16"/>
      <c r="AN1517" s="946" t="str">
        <f>IF(AK1512="","",INT(AK1517/1000))</f>
        <v/>
      </c>
      <c r="AO1517" s="42" t="str">
        <f>IF(AK1512="","",VLOOKUP(AK1517,C1513:Q1531,5,FALSE))</f>
        <v/>
      </c>
      <c r="AP1517" s="42" t="str">
        <f>VLOOKUP(AK1517,C1513:Q1531,8,FALSE)</f>
        <v/>
      </c>
      <c r="AQ1517" s="42" t="str">
        <f>VLOOKUP(AK1517,C1513:Q1531,9,FALSE)</f>
        <v/>
      </c>
      <c r="AR1517" s="42" t="str">
        <f>VLOOKUP(AK1517,C1513:Q1531,10,FALSE)</f>
        <v/>
      </c>
      <c r="AS1517" s="42" t="str">
        <f>VLOOKUP(AK1517,C1513:Q1531,11,FALSE)</f>
        <v/>
      </c>
      <c r="AT1517" s="42" t="str">
        <f>VLOOKUP(AK1517,C1513:Q1531,12,FALSE)</f>
        <v/>
      </c>
      <c r="AU1517" s="42" t="str">
        <f>VLOOKUP(AK1517,C1513:Q1531,13,FALSE)</f>
        <v/>
      </c>
      <c r="AV1517" s="42" t="str">
        <f>VLOOKUP(AK1517,C1513:Q1531,14,FALSE)</f>
        <v/>
      </c>
      <c r="AW1517" s="947" t="str">
        <f>VLOOKUP(AK1517,C1513:Q1531,15,FALSE)</f>
        <v/>
      </c>
      <c r="AX1517"/>
      <c r="AY1517"/>
      <c r="AZ1517" s="1"/>
      <c r="BA1517" s="1"/>
      <c r="BB1517"/>
      <c r="BC1517" s="6"/>
      <c r="BD1517"/>
      <c r="BE1517" s="1"/>
      <c r="BF1517"/>
      <c r="BG1517" s="16"/>
      <c r="BH1517"/>
      <c r="BI1517"/>
      <c r="BJ1517"/>
      <c r="BK1517"/>
      <c r="BL1517"/>
      <c r="BM1517"/>
      <c r="BN1517"/>
      <c r="BO1517"/>
      <c r="BP1517"/>
      <c r="BQ1517"/>
      <c r="BR1517"/>
      <c r="BS1517"/>
      <c r="BT1517"/>
      <c r="BU1517"/>
      <c r="BV1517"/>
      <c r="BW1517"/>
      <c r="BX1517"/>
      <c r="BY1517"/>
      <c r="BZ1517"/>
      <c r="CA1517" s="1396"/>
      <c r="CB1517" s="1396"/>
      <c r="CC1517"/>
      <c r="CD1517"/>
      <c r="CE1517"/>
    </row>
    <row r="1518" spans="1:83" outlineLevel="1" x14ac:dyDescent="0.2">
      <c r="A1518"/>
      <c r="B1518" s="945">
        <v>6</v>
      </c>
      <c r="C1518" s="977" t="str">
        <f>IF(AK1512="","",RANK(F1518,F1513:F1531)*1000+ROW())</f>
        <v/>
      </c>
      <c r="D1518" s="978" t="str">
        <f t="shared" si="1060"/>
        <v/>
      </c>
      <c r="E1518" s="978" t="str">
        <f>IF(L1518="","",Nb_Diff_Part(D1518,D1513:D1531,G1518,G1513:G1531,AI1534:AI1740)*CritClassInd_DiffPart+Nb_Goal_Part(D1518,D1513:D1531,G1518,G1513:G1531,V1534:Z1740)*CritClassInd_GoalPart+Nb_Score_Part(D1518,D1513:D1531,G1518,G1513:G1531,V1534:Z1740)*CritClassInd_ScorePart)</f>
        <v/>
      </c>
      <c r="F1518" s="979" t="str">
        <f t="shared" si="1061"/>
        <v/>
      </c>
      <c r="G1518" s="39" t="s">
        <v>2711</v>
      </c>
      <c r="H1518" s="501">
        <f t="shared" si="1058"/>
        <v>0</v>
      </c>
      <c r="I1518" s="39"/>
      <c r="J1518" s="977" t="str">
        <f>IF(AK1512="","",(L1518*Points_Victoire)+M1518*Points_Null)</f>
        <v/>
      </c>
      <c r="K1518" s="988" t="str">
        <f t="shared" si="1059"/>
        <v/>
      </c>
      <c r="L1518" s="988" t="str">
        <f>IF(AK1512="","",COUNTIF(AE1534:AE1740,G1518))</f>
        <v/>
      </c>
      <c r="M1518" s="988" t="str">
        <f>IF(AK1512="","",COUNTIF(AF1534:AG1740,G1518))</f>
        <v/>
      </c>
      <c r="N1518" s="988" t="str">
        <f>IF(AK1512="","",COUNTIF(AH1534:AH1740,G1518))</f>
        <v/>
      </c>
      <c r="O1518" s="988" t="str">
        <f>IF(AK1512="","",SUMIF(V1534:V1740,G1518,AB1534:AB1740)+SUMIF(Z1534:Z1740,G1518,AD1534:AD1740))</f>
        <v/>
      </c>
      <c r="P1518" s="988" t="str">
        <f>IF(AK1512="","",SUMIF(V1534:V1740,G1518,AD1534:AD1740)+SUMIF(Z1534:Z1740,G1518,AB1534:AB1740))</f>
        <v/>
      </c>
      <c r="Q1518" s="989" t="str">
        <f>IF(AK1512="","",O1518-P1518)</f>
        <v/>
      </c>
      <c r="R1518"/>
      <c r="S1518"/>
      <c r="T1518"/>
      <c r="U1518"/>
      <c r="V1518"/>
      <c r="W1518" s="1"/>
      <c r="X1518" s="1"/>
      <c r="Y1518" s="1"/>
      <c r="Z1518"/>
      <c r="AB1518" s="964"/>
      <c r="AC1518" s="964"/>
      <c r="AD1518" s="964"/>
      <c r="AE1518" s="964"/>
      <c r="AF1518" s="964"/>
      <c r="AG1518" s="964"/>
      <c r="AH1518" s="964"/>
      <c r="AI1518" s="964"/>
      <c r="AJ1518" s="964"/>
      <c r="AK1518" s="968" t="str">
        <f>IF(AK1512="","",SMALL(C1513:C1531,6))</f>
        <v/>
      </c>
      <c r="AL1518"/>
      <c r="AM1518" s="16"/>
      <c r="AN1518" s="946" t="str">
        <f>IF(AK1512="","",INT(AK1518/1000))</f>
        <v/>
      </c>
      <c r="AO1518" s="42" t="str">
        <f>IF(AK1512="","",VLOOKUP(AK1518,C1513:Q1531,5,FALSE))</f>
        <v/>
      </c>
      <c r="AP1518" s="42" t="str">
        <f>VLOOKUP(AK1518,C1513:Q1531,8,FALSE)</f>
        <v/>
      </c>
      <c r="AQ1518" s="42" t="str">
        <f>VLOOKUP(AK1518,C1513:Q1531,9,FALSE)</f>
        <v/>
      </c>
      <c r="AR1518" s="42" t="str">
        <f>VLOOKUP(AK1518,C1513:Q1531,10,FALSE)</f>
        <v/>
      </c>
      <c r="AS1518" s="42" t="str">
        <f>VLOOKUP(AK1518,C1513:Q1531,11,FALSE)</f>
        <v/>
      </c>
      <c r="AT1518" s="42" t="str">
        <f>VLOOKUP(AK1518,C1513:Q1531,12,FALSE)</f>
        <v/>
      </c>
      <c r="AU1518" s="42" t="str">
        <f>VLOOKUP(AK1518,C1513:Q1531,13,FALSE)</f>
        <v/>
      </c>
      <c r="AV1518" s="42" t="str">
        <f>VLOOKUP(AK1518,C1513:Q1531,14,FALSE)</f>
        <v/>
      </c>
      <c r="AW1518" s="947" t="str">
        <f>VLOOKUP(AK1518,C1513:Q1531,15,FALSE)</f>
        <v/>
      </c>
      <c r="AX1518"/>
      <c r="AY1518"/>
      <c r="AZ1518" s="1"/>
      <c r="BA1518" s="1"/>
      <c r="BB1518"/>
      <c r="BC1518" s="6"/>
      <c r="BD1518"/>
      <c r="BE1518" s="1"/>
      <c r="BF1518"/>
      <c r="BG1518" s="16"/>
      <c r="BH1518"/>
      <c r="BI1518"/>
      <c r="BJ1518"/>
      <c r="BK1518"/>
      <c r="BL1518"/>
      <c r="BM1518"/>
      <c r="BN1518"/>
      <c r="BO1518"/>
      <c r="BP1518"/>
      <c r="BQ1518"/>
      <c r="BR1518"/>
      <c r="BS1518"/>
      <c r="BT1518"/>
      <c r="BU1518"/>
      <c r="BV1518"/>
      <c r="BW1518"/>
      <c r="BX1518"/>
      <c r="BY1518"/>
      <c r="BZ1518"/>
      <c r="CA1518" s="1396"/>
      <c r="CB1518" s="1396"/>
      <c r="CC1518"/>
      <c r="CD1518"/>
      <c r="CE1518"/>
    </row>
    <row r="1519" spans="1:83" outlineLevel="1" x14ac:dyDescent="0.2">
      <c r="A1519"/>
      <c r="B1519" s="945">
        <v>7</v>
      </c>
      <c r="C1519" s="977" t="str">
        <f>IF(AK1512="","",RANK(F1519,F1513:F1531)*1000+ROW())</f>
        <v/>
      </c>
      <c r="D1519" s="978" t="str">
        <f t="shared" si="1060"/>
        <v/>
      </c>
      <c r="E1519" s="978" t="str">
        <f>IF(L1519="","",Nb_Diff_Part(D1519,D1513:D1531,G1519,G1513:G1531,AI1534:AI1740)*CritClassInd_DiffPart+Nb_Goal_Part(D1519,D1513:D1531,G1519,G1513:G1531,V1534:Z1740)*CritClassInd_GoalPart+Nb_Score_Part(D1519,D1513:D1531,G1519,G1513:G1531,V1534:Z1740)*CritClassInd_ScorePart)</f>
        <v/>
      </c>
      <c r="F1519" s="979" t="str">
        <f t="shared" si="1061"/>
        <v/>
      </c>
      <c r="G1519" s="39" t="s">
        <v>790</v>
      </c>
      <c r="H1519" s="501">
        <f t="shared" si="1058"/>
        <v>0</v>
      </c>
      <c r="I1519" s="39"/>
      <c r="J1519" s="977" t="str">
        <f>IF(AK1512="","",(L1519*Points_Victoire)+M1519*Points_Null)</f>
        <v/>
      </c>
      <c r="K1519" s="988" t="str">
        <f t="shared" si="1059"/>
        <v/>
      </c>
      <c r="L1519" s="988" t="str">
        <f>IF(AK1512="","",COUNTIF(AE1534:AE1740,G1519))</f>
        <v/>
      </c>
      <c r="M1519" s="988" t="str">
        <f>IF(AK1512="","",COUNTIF(AF1534:AG1740,G1519))</f>
        <v/>
      </c>
      <c r="N1519" s="988" t="str">
        <f>IF(AK1512="","",COUNTIF(AH1534:AH1740,G1519))</f>
        <v/>
      </c>
      <c r="O1519" s="988" t="str">
        <f>IF(AK1512="","",SUMIF(V1534:V1740,G1519,AB1534:AB1740)+SUMIF(Z1534:Z1740,G1519,AD1534:AD1740))</f>
        <v/>
      </c>
      <c r="P1519" s="988" t="str">
        <f>IF(AK1512="","",SUMIF(V1534:V1740,G1519,AD1534:AD1740)+SUMIF(Z1534:Z1740,G1519,AB1534:AB1740))</f>
        <v/>
      </c>
      <c r="Q1519" s="989" t="str">
        <f>IF(AK1512="","",O1519-P1519)</f>
        <v/>
      </c>
      <c r="R1519"/>
      <c r="S1519"/>
      <c r="T1519"/>
      <c r="U1519"/>
      <c r="V1519"/>
      <c r="W1519" s="1"/>
      <c r="X1519" s="1"/>
      <c r="Y1519" s="1"/>
      <c r="Z1519"/>
      <c r="AB1519" s="964"/>
      <c r="AC1519" s="964"/>
      <c r="AD1519" s="964"/>
      <c r="AE1519" s="964"/>
      <c r="AF1519" s="964"/>
      <c r="AG1519" s="964"/>
      <c r="AH1519" s="964"/>
      <c r="AI1519" s="964"/>
      <c r="AJ1519" s="964"/>
      <c r="AK1519" s="968" t="str">
        <f>IF(AK1512="","",SMALL(C1513:C1531,7))</f>
        <v/>
      </c>
      <c r="AL1519"/>
      <c r="AM1519" s="16"/>
      <c r="AN1519" s="946" t="str">
        <f>IF(AK1512="","",INT(AK1519/1000))</f>
        <v/>
      </c>
      <c r="AO1519" s="42" t="str">
        <f>IF(AK1512="","",VLOOKUP(AK1519,C1513:Q1531,5,FALSE))</f>
        <v/>
      </c>
      <c r="AP1519" s="42" t="str">
        <f>VLOOKUP(AK1519,C1513:Q1531,8,FALSE)</f>
        <v/>
      </c>
      <c r="AQ1519" s="42" t="str">
        <f>VLOOKUP(AK1519,C1513:Q1531,9,FALSE)</f>
        <v/>
      </c>
      <c r="AR1519" s="42" t="str">
        <f>VLOOKUP(AK1519,C1513:Q1531,10,FALSE)</f>
        <v/>
      </c>
      <c r="AS1519" s="42" t="str">
        <f>VLOOKUP(AK1519,C1513:Q1531,11,FALSE)</f>
        <v/>
      </c>
      <c r="AT1519" s="42" t="str">
        <f>VLOOKUP(AK1519,C1513:Q1531,12,FALSE)</f>
        <v/>
      </c>
      <c r="AU1519" s="42" t="str">
        <f>VLOOKUP(AK1519,C1513:Q1531,13,FALSE)</f>
        <v/>
      </c>
      <c r="AV1519" s="42" t="str">
        <f>VLOOKUP(AK1519,C1513:Q1531,14,FALSE)</f>
        <v/>
      </c>
      <c r="AW1519" s="947" t="str">
        <f>VLOOKUP(AK1519,C1513:Q1531,15,FALSE)</f>
        <v/>
      </c>
      <c r="AX1519"/>
      <c r="AY1519"/>
      <c r="AZ1519" s="1"/>
      <c r="BA1519" s="1"/>
      <c r="BB1519"/>
      <c r="BC1519" s="6"/>
      <c r="BD1519"/>
      <c r="BE1519" s="1"/>
      <c r="BF1519"/>
      <c r="BG1519" s="16"/>
      <c r="BH1519"/>
      <c r="BI1519"/>
      <c r="BJ1519"/>
      <c r="BK1519"/>
      <c r="BL1519"/>
      <c r="BM1519"/>
      <c r="BN1519"/>
      <c r="BO1519"/>
      <c r="BP1519"/>
      <c r="BQ1519"/>
      <c r="BR1519"/>
      <c r="BS1519"/>
      <c r="BT1519"/>
      <c r="BU1519"/>
      <c r="BV1519"/>
      <c r="BW1519"/>
      <c r="BX1519"/>
      <c r="BY1519"/>
      <c r="BZ1519"/>
      <c r="CA1519" s="1396"/>
      <c r="CB1519" s="1396"/>
      <c r="CC1519"/>
      <c r="CD1519"/>
      <c r="CE1519"/>
    </row>
    <row r="1520" spans="1:83" outlineLevel="1" x14ac:dyDescent="0.2">
      <c r="A1520"/>
      <c r="B1520" s="945">
        <v>8</v>
      </c>
      <c r="C1520" s="977" t="str">
        <f>IF(AK1512="","",RANK(F1520,F1513:F1531)*1000+ROW())</f>
        <v/>
      </c>
      <c r="D1520" s="978" t="str">
        <f t="shared" si="1060"/>
        <v/>
      </c>
      <c r="E1520" s="978" t="str">
        <f>IF(L1520="","",Nb_Diff_Part(D1520,D1513:D1531,G1520,G1513:G1531,AI1534:AI1740)*CritClassInd_DiffPart+Nb_Goal_Part(D1520,D1513:D1531,G1520,G1513:G1531,V1534:Z1740)*CritClassInd_GoalPart+Nb_Score_Part(D1520,D1513:D1531,G1520,G1513:G1531,V1534:Z1740)*CritClassInd_ScorePart)</f>
        <v/>
      </c>
      <c r="F1520" s="979" t="str">
        <f t="shared" si="1061"/>
        <v/>
      </c>
      <c r="G1520" s="39" t="s">
        <v>3914</v>
      </c>
      <c r="H1520" s="501">
        <f t="shared" si="1058"/>
        <v>0</v>
      </c>
      <c r="I1520" s="39"/>
      <c r="J1520" s="977" t="str">
        <f>IF(AK1512="","",(L1520*Points_Victoire)+M1520*Points_Null)</f>
        <v/>
      </c>
      <c r="K1520" s="988" t="str">
        <f t="shared" si="1059"/>
        <v/>
      </c>
      <c r="L1520" s="988" t="str">
        <f>IF(AK1512="","",COUNTIF(AE1534:AE1740,G1520))</f>
        <v/>
      </c>
      <c r="M1520" s="988" t="str">
        <f>IF(AK1512="","",COUNTIF(AF1534:AG1740,G1520))</f>
        <v/>
      </c>
      <c r="N1520" s="988" t="str">
        <f>IF(AK1512="","",COUNTIF(AH1534:AH1740,G1520))</f>
        <v/>
      </c>
      <c r="O1520" s="988" t="str">
        <f>IF(AK1512="","",SUMIF(V1534:V1740,G1520,AB1534:AB1740)+SUMIF(Z1534:Z1740,G1520,AD1534:AD1740))</f>
        <v/>
      </c>
      <c r="P1520" s="988" t="str">
        <f>IF(AK1512="","",SUMIF(V1534:V1740,G1520,AD1534:AD1740)+SUMIF(Z1534:Z1740,G1520,AB1534:AB1740))</f>
        <v/>
      </c>
      <c r="Q1520" s="989" t="str">
        <f>IF(AK1512="","",O1520-P1520)</f>
        <v/>
      </c>
      <c r="R1520"/>
      <c r="S1520"/>
      <c r="T1520"/>
      <c r="U1520"/>
      <c r="V1520"/>
      <c r="W1520" s="1"/>
      <c r="X1520" s="1"/>
      <c r="Y1520" s="1"/>
      <c r="Z1520"/>
      <c r="AB1520" s="964"/>
      <c r="AC1520" s="964"/>
      <c r="AD1520" s="964"/>
      <c r="AE1520" s="964"/>
      <c r="AF1520" s="964"/>
      <c r="AG1520" s="964"/>
      <c r="AH1520" s="964"/>
      <c r="AI1520" s="964"/>
      <c r="AJ1520" s="964"/>
      <c r="AK1520" s="968" t="str">
        <f>IF(AK1512="","",SMALL(C1513:C1531,8))</f>
        <v/>
      </c>
      <c r="AL1520"/>
      <c r="AM1520" s="16"/>
      <c r="AN1520" s="946" t="str">
        <f>IF(AK1512="","",INT(AK1520/1000))</f>
        <v/>
      </c>
      <c r="AO1520" s="42" t="str">
        <f>IF(AK1512="","",VLOOKUP(AK1520,C1513:Q1531,5,FALSE))</f>
        <v/>
      </c>
      <c r="AP1520" s="42" t="str">
        <f>VLOOKUP(AK1520,C1513:Q1531,8,FALSE)</f>
        <v/>
      </c>
      <c r="AQ1520" s="42" t="str">
        <f>VLOOKUP(AK1520,C1513:Q1531,9,FALSE)</f>
        <v/>
      </c>
      <c r="AR1520" s="42" t="str">
        <f>VLOOKUP(AK1520,C1513:Q1531,10,FALSE)</f>
        <v/>
      </c>
      <c r="AS1520" s="42" t="str">
        <f>VLOOKUP(AK1520,C1513:Q1531,11,FALSE)</f>
        <v/>
      </c>
      <c r="AT1520" s="42" t="str">
        <f>VLOOKUP(AK1520,C1513:Q1531,12,FALSE)</f>
        <v/>
      </c>
      <c r="AU1520" s="42" t="str">
        <f>VLOOKUP(AK1520,C1513:Q1531,13,FALSE)</f>
        <v/>
      </c>
      <c r="AV1520" s="42" t="str">
        <f>VLOOKUP(AK1520,C1513:Q1531,14,FALSE)</f>
        <v/>
      </c>
      <c r="AW1520" s="947" t="str">
        <f>VLOOKUP(AK1520,C1513:Q1531,15,FALSE)</f>
        <v/>
      </c>
      <c r="AX1520"/>
      <c r="AY1520"/>
      <c r="AZ1520" s="1"/>
      <c r="BA1520" s="1"/>
      <c r="BB1520"/>
      <c r="BC1520" s="6"/>
      <c r="BD1520"/>
      <c r="BE1520" s="1"/>
      <c r="BF1520"/>
      <c r="BG1520" s="16"/>
      <c r="BH1520"/>
      <c r="BI1520"/>
      <c r="BJ1520"/>
      <c r="BK1520"/>
      <c r="BL1520"/>
      <c r="BM1520"/>
      <c r="BN1520"/>
      <c r="BO1520"/>
      <c r="BP1520"/>
      <c r="BQ1520"/>
      <c r="BR1520"/>
      <c r="BS1520"/>
      <c r="BT1520"/>
      <c r="BU1520"/>
      <c r="BV1520"/>
      <c r="BW1520"/>
      <c r="BX1520"/>
      <c r="BY1520"/>
      <c r="BZ1520"/>
      <c r="CA1520" s="1396"/>
      <c r="CB1520" s="1396"/>
      <c r="CC1520"/>
      <c r="CD1520"/>
      <c r="CE1520"/>
    </row>
    <row r="1521" spans="1:83" outlineLevel="1" x14ac:dyDescent="0.2">
      <c r="A1521"/>
      <c r="B1521" s="945">
        <v>9</v>
      </c>
      <c r="C1521" s="977" t="str">
        <f>IF(AK1512="","",RANK(F1521,F1513:F1531)*1000+ROW())</f>
        <v/>
      </c>
      <c r="D1521" s="978" t="str">
        <f t="shared" si="1060"/>
        <v/>
      </c>
      <c r="E1521" s="978" t="str">
        <f>IF(L1521="","",Nb_Diff_Part(D1521,D1513:D1531,G1521,G1513:G1531,AI1534:AI1740)*CritClassInd_DiffPart+Nb_Goal_Part(D1521,D1513:D1531,G1521,G1513:G1531,V1534:Z1740)*CritClassInd_GoalPart+Nb_Score_Part(D1521,D1513:D1531,G1521,G1513:G1531,V1534:Z1740)*CritClassInd_ScorePart)</f>
        <v/>
      </c>
      <c r="F1521" s="979" t="str">
        <f t="shared" si="1061"/>
        <v/>
      </c>
      <c r="G1521" s="39" t="s">
        <v>3915</v>
      </c>
      <c r="H1521" s="501">
        <f t="shared" si="1058"/>
        <v>0</v>
      </c>
      <c r="I1521" s="39"/>
      <c r="J1521" s="977" t="str">
        <f>IF(AK1512="","",(L1521*Points_Victoire)+M1521*Points_Null)</f>
        <v/>
      </c>
      <c r="K1521" s="988" t="str">
        <f t="shared" si="1059"/>
        <v/>
      </c>
      <c r="L1521" s="988" t="str">
        <f>IF(AK1512="","",COUNTIF(AE1534:AE1740,G1521))</f>
        <v/>
      </c>
      <c r="M1521" s="988" t="str">
        <f>IF(AK1512="","",COUNTIF(AF1534:AG1740,G1521))</f>
        <v/>
      </c>
      <c r="N1521" s="988" t="str">
        <f>IF(AK1512="","",COUNTIF(AH1534:AH1740,G1521))</f>
        <v/>
      </c>
      <c r="O1521" s="988" t="str">
        <f>IF(AK1512="","",SUMIF(V1534:V1740,G1521,AB1534:AB1740)+SUMIF(Z1534:Z1740,G1521,AD1534:AD1740))</f>
        <v/>
      </c>
      <c r="P1521" s="988" t="str">
        <f>IF(AK1512="","",SUMIF(V1534:V1740,G1521,AD1534:AD1740)+SUMIF(Z1534:Z1740,G1521,AB1534:AB1740))</f>
        <v/>
      </c>
      <c r="Q1521" s="989" t="str">
        <f>IF(AK1512="","",O1521-P1521)</f>
        <v/>
      </c>
      <c r="R1521"/>
      <c r="S1521"/>
      <c r="T1521"/>
      <c r="U1521"/>
      <c r="V1521"/>
      <c r="W1521" s="1"/>
      <c r="X1521" s="1"/>
      <c r="Y1521" s="1"/>
      <c r="Z1521"/>
      <c r="AB1521" s="964"/>
      <c r="AC1521" s="964"/>
      <c r="AD1521" s="964"/>
      <c r="AE1521" s="964"/>
      <c r="AF1521" s="964"/>
      <c r="AG1521" s="964"/>
      <c r="AH1521" s="964"/>
      <c r="AI1521" s="964"/>
      <c r="AJ1521" s="964"/>
      <c r="AK1521" s="968" t="str">
        <f>IF(AK1512="","",SMALL(C1513:C1531,9))</f>
        <v/>
      </c>
      <c r="AL1521"/>
      <c r="AM1521" s="16"/>
      <c r="AN1521" s="946" t="str">
        <f>IF(AK1512="","",INT(AK1521/1000))</f>
        <v/>
      </c>
      <c r="AO1521" s="42" t="str">
        <f>IF(AK1512="","",VLOOKUP(AK1521,C1513:Q1531,5,FALSE))</f>
        <v/>
      </c>
      <c r="AP1521" s="42" t="str">
        <f>VLOOKUP(AK1521,C1513:Q1531,8,FALSE)</f>
        <v/>
      </c>
      <c r="AQ1521" s="42" t="str">
        <f>VLOOKUP(AK1521,C1513:Q1531,9,FALSE)</f>
        <v/>
      </c>
      <c r="AR1521" s="42" t="str">
        <f>VLOOKUP(AK1521,C1513:Q1531,10,FALSE)</f>
        <v/>
      </c>
      <c r="AS1521" s="42" t="str">
        <f>VLOOKUP(AK1521,C1513:Q1531,11,FALSE)</f>
        <v/>
      </c>
      <c r="AT1521" s="42" t="str">
        <f>VLOOKUP(AK1521,C1513:Q1531,12,FALSE)</f>
        <v/>
      </c>
      <c r="AU1521" s="42" t="str">
        <f>VLOOKUP(AK1521,C1513:Q1531,13,FALSE)</f>
        <v/>
      </c>
      <c r="AV1521" s="42" t="str">
        <f>VLOOKUP(AK1521,C1513:Q1531,14,FALSE)</f>
        <v/>
      </c>
      <c r="AW1521" s="947" t="str">
        <f>VLOOKUP(AK1521,C1513:Q1531,15,FALSE)</f>
        <v/>
      </c>
      <c r="AX1521"/>
      <c r="AY1521"/>
      <c r="AZ1521" s="1"/>
      <c r="BA1521" s="1"/>
      <c r="BB1521"/>
      <c r="BC1521" s="6"/>
      <c r="BD1521"/>
      <c r="BE1521" s="1"/>
      <c r="BF1521"/>
      <c r="BG1521" s="16"/>
      <c r="BH1521"/>
      <c r="BI1521"/>
      <c r="BJ1521"/>
      <c r="BK1521"/>
      <c r="BL1521"/>
      <c r="BM1521"/>
      <c r="BN1521"/>
      <c r="BO1521"/>
      <c r="BP1521"/>
      <c r="BQ1521"/>
      <c r="BR1521"/>
      <c r="BS1521"/>
      <c r="BT1521"/>
      <c r="BU1521"/>
      <c r="BV1521"/>
      <c r="BW1521"/>
      <c r="BX1521"/>
      <c r="BY1521"/>
      <c r="BZ1521"/>
      <c r="CA1521" s="1396"/>
      <c r="CB1521" s="1396"/>
      <c r="CC1521"/>
      <c r="CD1521"/>
      <c r="CE1521"/>
    </row>
    <row r="1522" spans="1:83" outlineLevel="1" x14ac:dyDescent="0.2">
      <c r="A1522"/>
      <c r="B1522" s="945">
        <v>10</v>
      </c>
      <c r="C1522" s="977" t="str">
        <f>IF(AK1512="","",RANK(F1522,F1513:F1531)*1000+ROW())</f>
        <v/>
      </c>
      <c r="D1522" s="978" t="str">
        <f t="shared" si="1060"/>
        <v/>
      </c>
      <c r="E1522" s="978" t="str">
        <f>IF(L1522="","",Nb_Diff_Part(D1522,D1513:D1531,G1522,G1513:G1531,AI1534:AI1740)*CritClassInd_DiffPart+Nb_Goal_Part(D1522,D1513:D1531,G1522,G1513:G1531,V1534:Z1740)*CritClassInd_GoalPart+Nb_Score_Part(D1522,D1513:D1531,G1522,G1513:G1531,V1534:Z1740)*CritClassInd_ScorePart)</f>
        <v/>
      </c>
      <c r="F1522" s="979" t="str">
        <f t="shared" si="1061"/>
        <v/>
      </c>
      <c r="G1522" s="39" t="s">
        <v>789</v>
      </c>
      <c r="H1522" s="501">
        <f t="shared" si="1058"/>
        <v>0</v>
      </c>
      <c r="I1522" s="39"/>
      <c r="J1522" s="977" t="str">
        <f>IF(AK1512="","",(L1522*Points_Victoire)+M1522*Points_Null)</f>
        <v/>
      </c>
      <c r="K1522" s="988" t="str">
        <f t="shared" si="1059"/>
        <v/>
      </c>
      <c r="L1522" s="988" t="str">
        <f>IF(AK1512="","",COUNTIF(AE1534:AE1740,G1522))</f>
        <v/>
      </c>
      <c r="M1522" s="988" t="str">
        <f>IF(AK1512="","",COUNTIF(AF1534:AG1740,G1522))</f>
        <v/>
      </c>
      <c r="N1522" s="988" t="str">
        <f>IF(AK1512="","",COUNTIF(AH1534:AH1740,G1522))</f>
        <v/>
      </c>
      <c r="O1522" s="988" t="str">
        <f>IF(AK1512="","",SUMIF(V1534:V1740,G1522,AB1534:AB1740)+SUMIF(Z1534:Z1740,G1522,AD1534:AD1740))</f>
        <v/>
      </c>
      <c r="P1522" s="988" t="str">
        <f>IF(AK1512="","",SUMIF(V1534:V1740,G1522,AD1534:AD1740)+SUMIF(Z1534:Z1740,G1522,AB1534:AB1740))</f>
        <v/>
      </c>
      <c r="Q1522" s="989" t="str">
        <f>IF(AK1512="","",O1522-P1522)</f>
        <v/>
      </c>
      <c r="R1522"/>
      <c r="S1522"/>
      <c r="T1522"/>
      <c r="U1522"/>
      <c r="V1522"/>
      <c r="W1522" s="1"/>
      <c r="X1522" s="1"/>
      <c r="Y1522" s="1"/>
      <c r="Z1522"/>
      <c r="AB1522" s="964"/>
      <c r="AC1522" s="964"/>
      <c r="AD1522" s="964"/>
      <c r="AE1522" s="964"/>
      <c r="AF1522" s="964"/>
      <c r="AG1522" s="964"/>
      <c r="AH1522" s="964"/>
      <c r="AI1522" s="964"/>
      <c r="AJ1522" s="964"/>
      <c r="AK1522" s="968" t="str">
        <f>IF(AK1512="","",SMALL(C1513:C1531,10))</f>
        <v/>
      </c>
      <c r="AL1522"/>
      <c r="AM1522" s="16"/>
      <c r="AN1522" s="946" t="str">
        <f>IF(AK1512="","",INT(AK1522/1000))</f>
        <v/>
      </c>
      <c r="AO1522" s="42" t="str">
        <f>IF(AK1512="","",VLOOKUP(AK1522,C1513:Q1531,5,FALSE))</f>
        <v/>
      </c>
      <c r="AP1522" s="42" t="str">
        <f>VLOOKUP(AK1522,C1513:Q1531,8,FALSE)</f>
        <v/>
      </c>
      <c r="AQ1522" s="42" t="str">
        <f>VLOOKUP(AK1522,C1513:Q1531,9,FALSE)</f>
        <v/>
      </c>
      <c r="AR1522" s="42" t="str">
        <f>VLOOKUP(AK1522,C1513:Q1531,10,FALSE)</f>
        <v/>
      </c>
      <c r="AS1522" s="42" t="str">
        <f>VLOOKUP(AK1522,C1513:Q1531,11,FALSE)</f>
        <v/>
      </c>
      <c r="AT1522" s="42" t="str">
        <f>VLOOKUP(AK1522,C1513:Q1531,12,FALSE)</f>
        <v/>
      </c>
      <c r="AU1522" s="42" t="str">
        <f>VLOOKUP(AK1522,C1513:Q1531,13,FALSE)</f>
        <v/>
      </c>
      <c r="AV1522" s="42" t="str">
        <f>VLOOKUP(AK1522,C1513:Q1531,14,FALSE)</f>
        <v/>
      </c>
      <c r="AW1522" s="947" t="str">
        <f>VLOOKUP(AK1522,C1513:Q1531,15,FALSE)</f>
        <v/>
      </c>
      <c r="AX1522"/>
      <c r="AY1522"/>
      <c r="AZ1522" s="1"/>
      <c r="BA1522" s="1"/>
      <c r="BB1522"/>
      <c r="BC1522" s="6"/>
      <c r="BD1522"/>
      <c r="BE1522" s="1"/>
      <c r="BF1522"/>
      <c r="BG1522" s="16"/>
      <c r="BH1522"/>
      <c r="BI1522"/>
      <c r="BJ1522"/>
      <c r="BK1522"/>
      <c r="BL1522"/>
      <c r="BM1522"/>
      <c r="BN1522"/>
      <c r="BO1522"/>
      <c r="BP1522"/>
      <c r="BQ1522"/>
      <c r="BR1522"/>
      <c r="BS1522"/>
      <c r="BT1522"/>
      <c r="BU1522"/>
      <c r="BV1522"/>
      <c r="BW1522"/>
      <c r="BX1522"/>
      <c r="BY1522"/>
      <c r="BZ1522"/>
      <c r="CA1522" s="1396"/>
      <c r="CB1522" s="1396"/>
      <c r="CC1522"/>
      <c r="CD1522"/>
      <c r="CE1522"/>
    </row>
    <row r="1523" spans="1:83" outlineLevel="1" x14ac:dyDescent="0.2">
      <c r="A1523"/>
      <c r="B1523" s="945">
        <v>11</v>
      </c>
      <c r="C1523" s="977" t="str">
        <f>IF(AK1512="","",RANK(F1523,F1513:F1531)*1000+ROW())</f>
        <v/>
      </c>
      <c r="D1523" s="978" t="str">
        <f t="shared" si="1060"/>
        <v/>
      </c>
      <c r="E1523" s="978" t="str">
        <f>IF(L1523="","",Nb_Diff_Part(D1523,D1513:D1531,G1523,G1513:G1531,AI1534:AI1740)*CritClassInd_DiffPart+Nb_Goal_Part(D1523,D1513:D1531,G1523,G1513:G1531,V1534:Z1740)*CritClassInd_GoalPart+Nb_Score_Part(D1523,D1513:D1531,G1523,G1513:G1531,V1534:Z1740)*CritClassInd_ScorePart)</f>
        <v/>
      </c>
      <c r="F1523" s="979" t="str">
        <f t="shared" si="1061"/>
        <v/>
      </c>
      <c r="G1523" s="39" t="s">
        <v>3916</v>
      </c>
      <c r="H1523" s="501">
        <f t="shared" si="1058"/>
        <v>0</v>
      </c>
      <c r="I1523" s="39"/>
      <c r="J1523" s="977" t="str">
        <f>IF(AK1512="","",(L1523*Points_Victoire)+M1523*Points_Null)</f>
        <v/>
      </c>
      <c r="K1523" s="988" t="str">
        <f t="shared" si="1059"/>
        <v/>
      </c>
      <c r="L1523" s="988" t="str">
        <f>IF(AK1512="","",COUNTIF(AE1534:AE1740,G1523))</f>
        <v/>
      </c>
      <c r="M1523" s="988" t="str">
        <f>IF(AK1512="","",COUNTIF(AF1534:AG1740,G1523))</f>
        <v/>
      </c>
      <c r="N1523" s="988" t="str">
        <f>IF(AK1512="","",COUNTIF(AH1534:AH1740,G1523))</f>
        <v/>
      </c>
      <c r="O1523" s="988" t="str">
        <f>IF(AK1512="","",SUMIF(V1534:V1740,G1523,AB1534:AB1740)+SUMIF(Z1534:Z1740,G1523,AD1534:AD1740))</f>
        <v/>
      </c>
      <c r="P1523" s="988" t="str">
        <f>IF(AK1512="","",SUMIF(V1534:V1740,G1523,AD1534:AD1740)+SUMIF(Z1534:Z1740,G1523,AB1534:AB1740))</f>
        <v/>
      </c>
      <c r="Q1523" s="989" t="str">
        <f>IF(AK1512="","",O1523-P1523)</f>
        <v/>
      </c>
      <c r="R1523"/>
      <c r="S1523"/>
      <c r="T1523"/>
      <c r="U1523"/>
      <c r="V1523"/>
      <c r="W1523" s="1"/>
      <c r="X1523" s="1"/>
      <c r="Y1523" s="1"/>
      <c r="Z1523"/>
      <c r="AB1523" s="964"/>
      <c r="AC1523" s="964"/>
      <c r="AD1523" s="964"/>
      <c r="AE1523" s="964"/>
      <c r="AF1523" s="964"/>
      <c r="AG1523" s="964"/>
      <c r="AH1523" s="964"/>
      <c r="AI1523" s="964"/>
      <c r="AJ1523" s="964"/>
      <c r="AK1523" s="968" t="str">
        <f>IF(AK1512="","",SMALL(C1513:C1531,11))</f>
        <v/>
      </c>
      <c r="AL1523"/>
      <c r="AM1523" s="16"/>
      <c r="AN1523" s="946" t="str">
        <f>IF(AK1512="","",INT(AK1523/1000))</f>
        <v/>
      </c>
      <c r="AO1523" s="42" t="str">
        <f>IF(AK1512="","",VLOOKUP(AK1523,C1513:Q1531,5,FALSE))</f>
        <v/>
      </c>
      <c r="AP1523" s="42" t="str">
        <f>VLOOKUP(AK1523,C1513:Q1531,8,FALSE)</f>
        <v/>
      </c>
      <c r="AQ1523" s="42" t="str">
        <f>VLOOKUP(AK1523,C1513:Q1531,9,FALSE)</f>
        <v/>
      </c>
      <c r="AR1523" s="42" t="str">
        <f>VLOOKUP(AK1523,C1513:Q1531,10,FALSE)</f>
        <v/>
      </c>
      <c r="AS1523" s="42" t="str">
        <f>VLOOKUP(AK1523,C1513:Q1531,11,FALSE)</f>
        <v/>
      </c>
      <c r="AT1523" s="42" t="str">
        <f>VLOOKUP(AK1523,C1513:Q1531,12,FALSE)</f>
        <v/>
      </c>
      <c r="AU1523" s="42" t="str">
        <f>VLOOKUP(AK1523,C1513:Q1531,13,FALSE)</f>
        <v/>
      </c>
      <c r="AV1523" s="42" t="str">
        <f>VLOOKUP(AK1523,C1513:Q1531,14,FALSE)</f>
        <v/>
      </c>
      <c r="AW1523" s="947" t="str">
        <f>VLOOKUP(AK1523,C1513:Q1531,15,FALSE)</f>
        <v/>
      </c>
      <c r="AX1523"/>
      <c r="AY1523"/>
      <c r="AZ1523" s="1"/>
      <c r="BA1523" s="1"/>
      <c r="BB1523"/>
      <c r="BC1523" s="6"/>
      <c r="BD1523"/>
      <c r="BE1523" s="1"/>
      <c r="BF1523"/>
      <c r="BG1523" s="16"/>
      <c r="BH1523"/>
      <c r="BI1523"/>
      <c r="BJ1523"/>
      <c r="BK1523"/>
      <c r="BL1523"/>
      <c r="BM1523"/>
      <c r="BN1523"/>
      <c r="BO1523"/>
      <c r="BP1523"/>
      <c r="BQ1523"/>
      <c r="BR1523"/>
      <c r="BS1523"/>
      <c r="BT1523"/>
      <c r="BU1523"/>
      <c r="BV1523"/>
      <c r="BW1523"/>
      <c r="BX1523"/>
      <c r="BY1523"/>
      <c r="BZ1523"/>
      <c r="CA1523" s="1396"/>
      <c r="CB1523" s="1396"/>
      <c r="CC1523"/>
      <c r="CD1523"/>
      <c r="CE1523"/>
    </row>
    <row r="1524" spans="1:83" outlineLevel="1" x14ac:dyDescent="0.2">
      <c r="A1524"/>
      <c r="B1524" s="945">
        <v>12</v>
      </c>
      <c r="C1524" s="977" t="str">
        <f>IF(AK1512="","",RANK(F1524,F1513:F1531)*1000+ROW())</f>
        <v/>
      </c>
      <c r="D1524" s="978" t="str">
        <f t="shared" si="1060"/>
        <v/>
      </c>
      <c r="E1524" s="978" t="str">
        <f>IF(L1524="","",Nb_Diff_Part(D1524,D1513:D1531,G1524,G1513:G1531,AI1534:AI1740)*CritClassInd_DiffPart+Nb_Goal_Part(D1524,D1513:D1531,G1524,G1513:G1531,V1534:Z1740)*CritClassInd_GoalPart+Nb_Score_Part(D1524,D1513:D1531,G1524,G1513:G1531,V1534:Z1740)*CritClassInd_ScorePart)</f>
        <v/>
      </c>
      <c r="F1524" s="979" t="str">
        <f t="shared" si="1061"/>
        <v/>
      </c>
      <c r="G1524" s="39" t="s">
        <v>1545</v>
      </c>
      <c r="H1524" s="501">
        <f t="shared" si="1058"/>
        <v>0</v>
      </c>
      <c r="I1524" s="39"/>
      <c r="J1524" s="977" t="str">
        <f>IF(AK1512="","",(L1524*Points_Victoire)+M1524*Points_Null)</f>
        <v/>
      </c>
      <c r="K1524" s="988" t="str">
        <f t="shared" si="1059"/>
        <v/>
      </c>
      <c r="L1524" s="988" t="str">
        <f>IF(AK1512="","",COUNTIF(AE1534:AE1740,G1524))</f>
        <v/>
      </c>
      <c r="M1524" s="988" t="str">
        <f>IF(AK1512="","",COUNTIF(AF1534:AG1740,G1524))</f>
        <v/>
      </c>
      <c r="N1524" s="988" t="str">
        <f>IF(AK1512="","",COUNTIF(AH1534:AH1740,G1524))</f>
        <v/>
      </c>
      <c r="O1524" s="988" t="str">
        <f>IF(AK1512="","",SUMIF(V1534:V1740,G1524,AB1534:AB1740)+SUMIF(Z1534:Z1740,G1524,AD1534:AD1740))</f>
        <v/>
      </c>
      <c r="P1524" s="988" t="str">
        <f>IF(AK1512="","",SUMIF(V1534:V1740,G1524,AD1534:AD1740)+SUMIF(Z1534:Z1740,G1524,AB1534:AB1740))</f>
        <v/>
      </c>
      <c r="Q1524" s="989" t="str">
        <f>IF(AK1512="","",O1524-P1524)</f>
        <v/>
      </c>
      <c r="R1524"/>
      <c r="S1524"/>
      <c r="T1524"/>
      <c r="U1524"/>
      <c r="V1524"/>
      <c r="W1524" s="1"/>
      <c r="X1524" s="1"/>
      <c r="Y1524" s="1"/>
      <c r="Z1524"/>
      <c r="AB1524" s="964"/>
      <c r="AC1524" s="964"/>
      <c r="AD1524" s="964"/>
      <c r="AE1524" s="964"/>
      <c r="AF1524" s="964"/>
      <c r="AG1524" s="964"/>
      <c r="AH1524" s="964"/>
      <c r="AI1524" s="964"/>
      <c r="AJ1524" s="964"/>
      <c r="AK1524" s="968" t="str">
        <f>IF(AK1512="","",SMALL(C1513:C1531,12))</f>
        <v/>
      </c>
      <c r="AL1524"/>
      <c r="AM1524" s="16"/>
      <c r="AN1524" s="946" t="str">
        <f>IF(AK1512="","",INT(AK1524/1000))</f>
        <v/>
      </c>
      <c r="AO1524" s="42" t="str">
        <f>IF(AK1512="","",VLOOKUP(AK1524,C1513:Q1531,5,FALSE))</f>
        <v/>
      </c>
      <c r="AP1524" s="42" t="str">
        <f>VLOOKUP(AK1524,C1513:Q1531,8,FALSE)</f>
        <v/>
      </c>
      <c r="AQ1524" s="42" t="str">
        <f>VLOOKUP(AK1524,C1513:Q1531,9,FALSE)</f>
        <v/>
      </c>
      <c r="AR1524" s="42" t="str">
        <f>VLOOKUP(AK1524,C1513:Q1531,10,FALSE)</f>
        <v/>
      </c>
      <c r="AS1524" s="42" t="str">
        <f>VLOOKUP(AK1524,C1513:Q1531,11,FALSE)</f>
        <v/>
      </c>
      <c r="AT1524" s="42" t="str">
        <f>VLOOKUP(AK1524,C1513:Q1531,12,FALSE)</f>
        <v/>
      </c>
      <c r="AU1524" s="42" t="str">
        <f>VLOOKUP(AK1524,C1513:Q1531,13,FALSE)</f>
        <v/>
      </c>
      <c r="AV1524" s="42" t="str">
        <f>VLOOKUP(AK1524,C1513:Q1531,14,FALSE)</f>
        <v/>
      </c>
      <c r="AW1524" s="947" t="str">
        <f>VLOOKUP(AK1524,C1513:Q1531,15,FALSE)</f>
        <v/>
      </c>
      <c r="AX1524"/>
      <c r="AY1524"/>
      <c r="AZ1524" s="1"/>
      <c r="BA1524" s="1"/>
      <c r="BB1524"/>
      <c r="BC1524" s="6"/>
      <c r="BD1524"/>
      <c r="BE1524" s="1"/>
      <c r="BF1524"/>
      <c r="BG1524" s="16"/>
      <c r="BH1524"/>
      <c r="BI1524"/>
      <c r="BJ1524"/>
      <c r="BK1524"/>
      <c r="BL1524"/>
      <c r="BM1524"/>
      <c r="BN1524"/>
      <c r="BO1524"/>
      <c r="BP1524"/>
      <c r="BQ1524"/>
      <c r="BR1524"/>
      <c r="BS1524"/>
      <c r="BT1524"/>
      <c r="BU1524"/>
      <c r="BV1524"/>
      <c r="BW1524"/>
      <c r="BX1524"/>
      <c r="BY1524"/>
      <c r="BZ1524"/>
      <c r="CA1524" s="1396"/>
      <c r="CB1524" s="1396"/>
      <c r="CC1524"/>
      <c r="CD1524"/>
      <c r="CE1524"/>
    </row>
    <row r="1525" spans="1:83" outlineLevel="1" x14ac:dyDescent="0.2">
      <c r="A1525"/>
      <c r="B1525" s="945">
        <v>13</v>
      </c>
      <c r="C1525" s="977" t="str">
        <f>IF(AK1512="","",RANK(F1525,F1513:F1531)*1000+ROW())</f>
        <v/>
      </c>
      <c r="D1525" s="978" t="str">
        <f t="shared" si="1060"/>
        <v/>
      </c>
      <c r="E1525" s="978" t="str">
        <f>IF(L1525="","",Nb_Diff_Part(D1525,D1513:D1531,G1525,G1513:G1531,AI1534:AI1740)*CritClassInd_DiffPart+Nb_Goal_Part(D1525,D1513:D1531,G1525,G1513:G1531,V1534:Z1740)*CritClassInd_GoalPart+Nb_Score_Part(D1525,D1513:D1531,G1525,G1513:G1531,V1534:Z1740)*CritClassInd_ScorePart)</f>
        <v/>
      </c>
      <c r="F1525" s="979" t="str">
        <f t="shared" si="1061"/>
        <v/>
      </c>
      <c r="G1525" s="39" t="s">
        <v>3917</v>
      </c>
      <c r="H1525" s="501">
        <f t="shared" si="1058"/>
        <v>0</v>
      </c>
      <c r="I1525" s="39"/>
      <c r="J1525" s="977" t="str">
        <f>IF(AK1512="","",(L1525*Points_Victoire)+M1525*Points_Null)</f>
        <v/>
      </c>
      <c r="K1525" s="988" t="str">
        <f t="shared" si="1059"/>
        <v/>
      </c>
      <c r="L1525" s="988" t="str">
        <f>IF(AK1512="","",COUNTIF(AE1534:AE1740,G1525))</f>
        <v/>
      </c>
      <c r="M1525" s="988" t="str">
        <f>IF(AK1512="","",COUNTIF(AF1534:AG1740,G1525))</f>
        <v/>
      </c>
      <c r="N1525" s="988" t="str">
        <f>IF(AK1512="","",COUNTIF(AH1534:AH1740,G1525))</f>
        <v/>
      </c>
      <c r="O1525" s="988" t="str">
        <f>IF(AK1512="","",SUMIF(V1534:V1740,G1525,AB1534:AB1740)+SUMIF(Z1534:Z1740,G1525,AD1534:AD1740))</f>
        <v/>
      </c>
      <c r="P1525" s="988" t="str">
        <f>IF(AK1512="","",SUMIF(V1534:V1740,G1525,AD1534:AD1740)+SUMIF(Z1534:Z1740,G1525,AB1534:AB1740))</f>
        <v/>
      </c>
      <c r="Q1525" s="989" t="str">
        <f>IF(AK1512="","",O1525-P1525)</f>
        <v/>
      </c>
      <c r="R1525"/>
      <c r="S1525"/>
      <c r="T1525"/>
      <c r="U1525"/>
      <c r="V1525"/>
      <c r="W1525" s="1"/>
      <c r="X1525" s="1"/>
      <c r="Y1525" s="1"/>
      <c r="Z1525"/>
      <c r="AB1525" s="964"/>
      <c r="AC1525" s="964"/>
      <c r="AD1525" s="964"/>
      <c r="AE1525" s="964"/>
      <c r="AF1525" s="964"/>
      <c r="AG1525" s="964"/>
      <c r="AH1525" s="964"/>
      <c r="AI1525" s="964"/>
      <c r="AJ1525" s="964"/>
      <c r="AK1525" s="968" t="str">
        <f>IF(AK1512="","",SMALL(C1513:C1531,13))</f>
        <v/>
      </c>
      <c r="AL1525"/>
      <c r="AM1525" s="16"/>
      <c r="AN1525" s="946" t="str">
        <f>IF(AK1512="","",INT(AK1525/1000))</f>
        <v/>
      </c>
      <c r="AO1525" s="42" t="str">
        <f>IF(AK1512="","",VLOOKUP(AK1525,C1513:Q1531,5,FALSE))</f>
        <v/>
      </c>
      <c r="AP1525" s="42" t="str">
        <f>VLOOKUP(AK1525,C1513:Q1531,8,FALSE)</f>
        <v/>
      </c>
      <c r="AQ1525" s="42" t="str">
        <f>VLOOKUP(AK1525,C1513:Q1531,9,FALSE)</f>
        <v/>
      </c>
      <c r="AR1525" s="42" t="str">
        <f>VLOOKUP(AK1525,C1513:Q1531,10,FALSE)</f>
        <v/>
      </c>
      <c r="AS1525" s="42" t="str">
        <f>VLOOKUP(AK1525,C1513:Q1531,11,FALSE)</f>
        <v/>
      </c>
      <c r="AT1525" s="42" t="str">
        <f>VLOOKUP(AK1525,C1513:Q1531,12,FALSE)</f>
        <v/>
      </c>
      <c r="AU1525" s="42" t="str">
        <f>VLOOKUP(AK1525,C1513:Q1531,13,FALSE)</f>
        <v/>
      </c>
      <c r="AV1525" s="42" t="str">
        <f>VLOOKUP(AK1525,C1513:Q1531,14,FALSE)</f>
        <v/>
      </c>
      <c r="AW1525" s="947" t="str">
        <f>VLOOKUP(AK1525,C1513:Q1531,15,FALSE)</f>
        <v/>
      </c>
      <c r="AX1525"/>
      <c r="AY1525"/>
      <c r="AZ1525" s="1"/>
      <c r="BA1525" s="1"/>
      <c r="BB1525"/>
      <c r="BC1525" s="6"/>
      <c r="BD1525"/>
      <c r="BE1525" s="1"/>
      <c r="BF1525"/>
      <c r="BG1525" s="16"/>
      <c r="BH1525"/>
      <c r="BI1525"/>
      <c r="BJ1525"/>
      <c r="BK1525"/>
      <c r="BL1525"/>
      <c r="BM1525"/>
      <c r="BN1525"/>
      <c r="BO1525"/>
      <c r="BP1525"/>
      <c r="BQ1525"/>
      <c r="BR1525"/>
      <c r="BS1525"/>
      <c r="BT1525"/>
      <c r="BU1525"/>
      <c r="BV1525"/>
      <c r="BW1525"/>
      <c r="BX1525"/>
      <c r="BY1525"/>
      <c r="BZ1525"/>
      <c r="CA1525" s="1396"/>
      <c r="CB1525" s="1396"/>
      <c r="CC1525"/>
      <c r="CD1525"/>
      <c r="CE1525"/>
    </row>
    <row r="1526" spans="1:83" outlineLevel="1" x14ac:dyDescent="0.2">
      <c r="A1526"/>
      <c r="B1526" s="945">
        <v>14</v>
      </c>
      <c r="C1526" s="977" t="str">
        <f>IF(AK1512="","",RANK(F1526,F1513:F1531)*1000+ROW())</f>
        <v/>
      </c>
      <c r="D1526" s="978" t="str">
        <f t="shared" si="1060"/>
        <v/>
      </c>
      <c r="E1526" s="978" t="str">
        <f>IF(L1526="","",Nb_Diff_Part(D1526,D1513:D1531,G1526,G1513:G1531,AI1534:AI1740)*CritClassInd_DiffPart+Nb_Goal_Part(D1526,D1513:D1531,G1526,G1513:G1531,V1534:Z1740)*CritClassInd_GoalPart+Nb_Score_Part(D1526,D1513:D1531,G1526,G1513:G1531,V1534:Z1740)*CritClassInd_ScorePart)</f>
        <v/>
      </c>
      <c r="F1526" s="979" t="str">
        <f t="shared" si="1061"/>
        <v/>
      </c>
      <c r="G1526" s="39" t="s">
        <v>791</v>
      </c>
      <c r="H1526" s="501">
        <f t="shared" si="1058"/>
        <v>0</v>
      </c>
      <c r="I1526" s="39"/>
      <c r="J1526" s="977" t="str">
        <f>IF(AK1512="","",(L1526*Points_Victoire)+M1526*Points_Null)</f>
        <v/>
      </c>
      <c r="K1526" s="988" t="str">
        <f t="shared" si="1059"/>
        <v/>
      </c>
      <c r="L1526" s="988" t="str">
        <f>IF(AK1512="","",COUNTIF(AE1534:AE1740,G1526))</f>
        <v/>
      </c>
      <c r="M1526" s="988" t="str">
        <f>IF(AK1512="","",COUNTIF(AF1534:AG1740,G1526))</f>
        <v/>
      </c>
      <c r="N1526" s="988" t="str">
        <f>IF(AK1512="","",COUNTIF(AH1534:AH1740,G1526))</f>
        <v/>
      </c>
      <c r="O1526" s="988" t="str">
        <f>IF(AK1512="","",SUMIF(V1534:V1740,G1526,AB1534:AB1740)+SUMIF(Z1534:Z1740,G1526,AD1534:AD1740))</f>
        <v/>
      </c>
      <c r="P1526" s="988" t="str">
        <f>IF(AK1512="","",SUMIF(V1534:V1740,G1526,AD1534:AD1740)+SUMIF(Z1534:Z1740,G1526,AB1534:AB1740))</f>
        <v/>
      </c>
      <c r="Q1526" s="989" t="str">
        <f>IF(AK1512="","",O1526-P1526)</f>
        <v/>
      </c>
      <c r="R1526"/>
      <c r="S1526"/>
      <c r="T1526"/>
      <c r="U1526"/>
      <c r="V1526"/>
      <c r="W1526" s="1"/>
      <c r="X1526" s="1"/>
      <c r="Y1526" s="1"/>
      <c r="Z1526"/>
      <c r="AB1526" s="964"/>
      <c r="AC1526" s="964"/>
      <c r="AD1526" s="964"/>
      <c r="AE1526" s="964"/>
      <c r="AF1526" s="964"/>
      <c r="AG1526" s="964"/>
      <c r="AH1526" s="964"/>
      <c r="AI1526" s="964"/>
      <c r="AJ1526" s="964"/>
      <c r="AK1526" s="968" t="str">
        <f>IF(AK1512="","",SMALL(C1513:C1531,14))</f>
        <v/>
      </c>
      <c r="AL1526"/>
      <c r="AM1526" s="16"/>
      <c r="AN1526" s="946" t="str">
        <f>IF(AK1512="","",INT(AK1526/1000))</f>
        <v/>
      </c>
      <c r="AO1526" s="42" t="str">
        <f>IF(AK1512="","",VLOOKUP(AK1526,C1513:Q1531,5,FALSE))</f>
        <v/>
      </c>
      <c r="AP1526" s="42" t="str">
        <f>VLOOKUP(AK1526,C1513:Q1531,8,FALSE)</f>
        <v/>
      </c>
      <c r="AQ1526" s="42" t="str">
        <f>VLOOKUP(AK1526,C1513:Q1531,9,FALSE)</f>
        <v/>
      </c>
      <c r="AR1526" s="42" t="str">
        <f>VLOOKUP(AK1526,C1513:Q1531,10,FALSE)</f>
        <v/>
      </c>
      <c r="AS1526" s="42" t="str">
        <f>VLOOKUP(AK1526,C1513:Q1531,11,FALSE)</f>
        <v/>
      </c>
      <c r="AT1526" s="42" t="str">
        <f>VLOOKUP(AK1526,C1513:Q1531,12,FALSE)</f>
        <v/>
      </c>
      <c r="AU1526" s="42" t="str">
        <f>VLOOKUP(AK1526,C1513:Q1531,13,FALSE)</f>
        <v/>
      </c>
      <c r="AV1526" s="42" t="str">
        <f>VLOOKUP(AK1526,C1513:Q1531,14,FALSE)</f>
        <v/>
      </c>
      <c r="AW1526" s="947" t="str">
        <f>VLOOKUP(AK1526,C1513:Q1531,15,FALSE)</f>
        <v/>
      </c>
      <c r="AX1526"/>
      <c r="AY1526"/>
      <c r="AZ1526" s="1"/>
      <c r="BA1526" s="1"/>
      <c r="BB1526"/>
      <c r="BC1526" s="6"/>
      <c r="BD1526"/>
      <c r="BE1526" s="1"/>
      <c r="BF1526"/>
      <c r="BG1526" s="16"/>
      <c r="BH1526"/>
      <c r="BI1526"/>
      <c r="BJ1526"/>
      <c r="BK1526"/>
      <c r="BL1526"/>
      <c r="BM1526"/>
      <c r="BN1526"/>
      <c r="BO1526"/>
      <c r="BP1526"/>
      <c r="BQ1526"/>
      <c r="BR1526"/>
      <c r="BS1526"/>
      <c r="BT1526"/>
      <c r="BU1526"/>
      <c r="BV1526"/>
      <c r="BW1526"/>
      <c r="BX1526"/>
      <c r="BY1526"/>
      <c r="BZ1526"/>
      <c r="CA1526" s="1396"/>
      <c r="CB1526" s="1396"/>
      <c r="CC1526"/>
      <c r="CD1526"/>
      <c r="CE1526"/>
    </row>
    <row r="1527" spans="1:83" outlineLevel="1" x14ac:dyDescent="0.2">
      <c r="A1527"/>
      <c r="B1527" s="945">
        <v>15</v>
      </c>
      <c r="C1527" s="977" t="str">
        <f>IF(AK1512="","",RANK(F1527,F1513:F1531)*1000+ROW())</f>
        <v/>
      </c>
      <c r="D1527" s="978" t="str">
        <f t="shared" si="1060"/>
        <v/>
      </c>
      <c r="E1527" s="978" t="str">
        <f>IF(L1527="","",Nb_Diff_Part(D1527,D1513:D1531,G1527,G1513:G1531,AI1534:AI1740)*CritClassInd_DiffPart+Nb_Goal_Part(D1527,D1513:D1531,G1527,G1513:G1531,V1534:Z1740)*CritClassInd_GoalPart+Nb_Score_Part(D1527,D1513:D1531,G1527,G1513:G1531,V1534:Z1740)*CritClassInd_ScorePart)</f>
        <v/>
      </c>
      <c r="F1527" s="979" t="str">
        <f t="shared" si="1061"/>
        <v/>
      </c>
      <c r="G1527" s="39" t="s">
        <v>3918</v>
      </c>
      <c r="H1527" s="501">
        <f t="shared" si="1058"/>
        <v>0</v>
      </c>
      <c r="I1527" s="39"/>
      <c r="J1527" s="977" t="str">
        <f>IF(AK1512="","",(L1527*Points_Victoire)+M1527*Points_Null)</f>
        <v/>
      </c>
      <c r="K1527" s="988" t="str">
        <f t="shared" si="1059"/>
        <v/>
      </c>
      <c r="L1527" s="988" t="str">
        <f>IF(AK1512="","",COUNTIF(AE1534:AE1740,G1527))</f>
        <v/>
      </c>
      <c r="M1527" s="988" t="str">
        <f>IF(AK1512="","",COUNTIF(AF1534:AG1740,G1527))</f>
        <v/>
      </c>
      <c r="N1527" s="988" t="str">
        <f>IF(AK1512="","",COUNTIF(AH1534:AH1740,G1527))</f>
        <v/>
      </c>
      <c r="O1527" s="988" t="str">
        <f>IF(AK1512="","",SUMIF(V1534:V1740,G1527,AB1534:AB1740)+SUMIF(Z1534:Z1740,G1527,AD1534:AD1740))</f>
        <v/>
      </c>
      <c r="P1527" s="988" t="str">
        <f>IF(AK1512="","",SUMIF(V1534:V1740,G1527,AD1534:AD1740)+SUMIF(Z1534:Z1740,G1527,AB1534:AB1740))</f>
        <v/>
      </c>
      <c r="Q1527" s="989" t="str">
        <f>IF(AK1512="","",O1527-P1527)</f>
        <v/>
      </c>
      <c r="R1527"/>
      <c r="S1527"/>
      <c r="T1527"/>
      <c r="U1527"/>
      <c r="V1527"/>
      <c r="W1527" s="1"/>
      <c r="X1527" s="1"/>
      <c r="Y1527" s="1"/>
      <c r="Z1527"/>
      <c r="AB1527" s="964"/>
      <c r="AC1527" s="964"/>
      <c r="AD1527" s="964"/>
      <c r="AE1527" s="964"/>
      <c r="AF1527" s="964"/>
      <c r="AG1527" s="964"/>
      <c r="AH1527" s="964"/>
      <c r="AI1527" s="964"/>
      <c r="AJ1527" s="964"/>
      <c r="AK1527" s="968" t="str">
        <f>IF(AK1512="","",SMALL(C1513:C1531,15))</f>
        <v/>
      </c>
      <c r="AL1527"/>
      <c r="AM1527" s="16"/>
      <c r="AN1527" s="946" t="str">
        <f>IF(AK1512="","",INT(AK1527/1000))</f>
        <v/>
      </c>
      <c r="AO1527" s="42" t="str">
        <f>IF(AK1512="","",VLOOKUP(AK1527,C1513:Q1531,5,FALSE))</f>
        <v/>
      </c>
      <c r="AP1527" s="42" t="str">
        <f>VLOOKUP(AK1527,C1513:Q1531,8,FALSE)</f>
        <v/>
      </c>
      <c r="AQ1527" s="42" t="str">
        <f>VLOOKUP(AK1527,C1513:Q1531,9,FALSE)</f>
        <v/>
      </c>
      <c r="AR1527" s="42" t="str">
        <f>VLOOKUP(AK1527,C1513:Q1531,10,FALSE)</f>
        <v/>
      </c>
      <c r="AS1527" s="42" t="str">
        <f>VLOOKUP(AK1527,C1513:Q1531,11,FALSE)</f>
        <v/>
      </c>
      <c r="AT1527" s="42" t="str">
        <f>VLOOKUP(AK1527,C1513:Q1531,12,FALSE)</f>
        <v/>
      </c>
      <c r="AU1527" s="42" t="str">
        <f>VLOOKUP(AK1527,C1513:Q1531,13,FALSE)</f>
        <v/>
      </c>
      <c r="AV1527" s="42" t="str">
        <f>VLOOKUP(AK1527,C1513:Q1531,14,FALSE)</f>
        <v/>
      </c>
      <c r="AW1527" s="947" t="str">
        <f>VLOOKUP(AK1527,C1513:Q1531,15,FALSE)</f>
        <v/>
      </c>
      <c r="AX1527"/>
      <c r="AY1527"/>
      <c r="AZ1527" s="1"/>
      <c r="BA1527" s="1"/>
      <c r="BB1527"/>
      <c r="BC1527" s="6"/>
      <c r="BD1527"/>
      <c r="BE1527" s="1"/>
      <c r="BF1527"/>
      <c r="BG1527" s="16"/>
      <c r="BH1527"/>
      <c r="BI1527"/>
      <c r="BJ1527"/>
      <c r="BK1527"/>
      <c r="BL1527"/>
      <c r="BM1527"/>
      <c r="BN1527"/>
      <c r="BO1527"/>
      <c r="BP1527"/>
      <c r="BQ1527"/>
      <c r="BR1527"/>
      <c r="BS1527"/>
      <c r="BT1527"/>
      <c r="BU1527"/>
      <c r="BV1527"/>
      <c r="BW1527"/>
      <c r="BX1527"/>
      <c r="BY1527"/>
      <c r="BZ1527"/>
      <c r="CA1527" s="1396"/>
      <c r="CB1527" s="1396"/>
      <c r="CC1527"/>
      <c r="CD1527"/>
      <c r="CE1527"/>
    </row>
    <row r="1528" spans="1:83" outlineLevel="1" x14ac:dyDescent="0.2">
      <c r="A1528"/>
      <c r="B1528" s="945">
        <v>16</v>
      </c>
      <c r="C1528" s="977" t="str">
        <f>IF(AK1512="","",RANK(F1528,F1513:F1531)*1000+ROW())</f>
        <v/>
      </c>
      <c r="D1528" s="978" t="str">
        <f t="shared" si="1060"/>
        <v/>
      </c>
      <c r="E1528" s="978" t="str">
        <f>IF(L1528="","",Nb_Diff_Part(D1528,D1513:D1531,G1528,G1513:G1531,AI1534:AI1740)*CritClassInd_DiffPart+Nb_Goal_Part(D1528,D1513:D1531,G1528,G1513:G1531,V1534:Z1740)*CritClassInd_GoalPart+Nb_Score_Part(D1528,D1513:D1531,G1528,G1513:G1531,V1534:Z1740)*CritClassInd_ScorePart)</f>
        <v/>
      </c>
      <c r="F1528" s="979" t="str">
        <f t="shared" si="1061"/>
        <v/>
      </c>
      <c r="G1528" s="39" t="s">
        <v>792</v>
      </c>
      <c r="H1528" s="501">
        <f t="shared" si="1058"/>
        <v>0</v>
      </c>
      <c r="I1528" s="39"/>
      <c r="J1528" s="977" t="str">
        <f>IF(AK1512="","",(L1528*Points_Victoire)+M1528*Points_Null)</f>
        <v/>
      </c>
      <c r="K1528" s="988" t="str">
        <f t="shared" si="1059"/>
        <v/>
      </c>
      <c r="L1528" s="988" t="str">
        <f>IF(AK1512="","",COUNTIF(AE1534:AE1740,G1528))</f>
        <v/>
      </c>
      <c r="M1528" s="988" t="str">
        <f>IF(AK1512="","",COUNTIF(AF1534:AG1740,G1528))</f>
        <v/>
      </c>
      <c r="N1528" s="988" t="str">
        <f>IF(AK1512="","",COUNTIF(AH1534:AH1740,G1528))</f>
        <v/>
      </c>
      <c r="O1528" s="988" t="str">
        <f>IF(AK1512="","",SUMIF(V1534:V1740,G1528,AB1534:AB1740)+SUMIF(Z1534:Z1740,G1528,AD1534:AD1740))</f>
        <v/>
      </c>
      <c r="P1528" s="988" t="str">
        <f>IF(AK1512="","",SUMIF(V1534:V1740,G1528,AD1534:AD1740)+SUMIF(Z1534:Z1740,G1528,AB1534:AB1740))</f>
        <v/>
      </c>
      <c r="Q1528" s="989" t="str">
        <f>IF(AK1512="","",O1528-P1528)</f>
        <v/>
      </c>
      <c r="R1528"/>
      <c r="S1528"/>
      <c r="T1528"/>
      <c r="U1528"/>
      <c r="V1528"/>
      <c r="W1528" s="1"/>
      <c r="X1528" s="1"/>
      <c r="Y1528" s="1"/>
      <c r="Z1528"/>
      <c r="AB1528" s="964"/>
      <c r="AC1528" s="964"/>
      <c r="AD1528" s="964"/>
      <c r="AE1528" s="964"/>
      <c r="AF1528" s="964"/>
      <c r="AG1528" s="964"/>
      <c r="AH1528" s="964"/>
      <c r="AI1528" s="964"/>
      <c r="AJ1528" s="964"/>
      <c r="AK1528" s="968" t="str">
        <f>IF(AK1512="","",SMALL(C1513:C1531,16))</f>
        <v/>
      </c>
      <c r="AL1528"/>
      <c r="AM1528" s="16"/>
      <c r="AN1528" s="946" t="str">
        <f>IF(AK1512="","",INT(AK1528/1000))</f>
        <v/>
      </c>
      <c r="AO1528" s="42" t="str">
        <f>IF(AK1512="","",VLOOKUP(AK1528,C1513:Q1531,5,FALSE))</f>
        <v/>
      </c>
      <c r="AP1528" s="42" t="str">
        <f>VLOOKUP(AK1528,C1513:Q1531,8,FALSE)</f>
        <v/>
      </c>
      <c r="AQ1528" s="42" t="str">
        <f>VLOOKUP(AK1528,C1513:Q1531,9,FALSE)</f>
        <v/>
      </c>
      <c r="AR1528" s="42" t="str">
        <f>VLOOKUP(AK1528,C1513:Q1531,10,FALSE)</f>
        <v/>
      </c>
      <c r="AS1528" s="42" t="str">
        <f>VLOOKUP(AK1528,C1513:Q1531,11,FALSE)</f>
        <v/>
      </c>
      <c r="AT1528" s="42" t="str">
        <f>VLOOKUP(AK1528,C1513:Q1531,12,FALSE)</f>
        <v/>
      </c>
      <c r="AU1528" s="42" t="str">
        <f>VLOOKUP(AK1528,C1513:Q1531,13,FALSE)</f>
        <v/>
      </c>
      <c r="AV1528" s="42" t="str">
        <f>VLOOKUP(AK1528,C1513:Q1531,14,FALSE)</f>
        <v/>
      </c>
      <c r="AW1528" s="947" t="str">
        <f>VLOOKUP(AK1528,C1513:Q1531,15,FALSE)</f>
        <v/>
      </c>
      <c r="AX1528"/>
      <c r="AY1528"/>
      <c r="AZ1528" s="1"/>
      <c r="BA1528" s="1"/>
      <c r="BB1528"/>
      <c r="BC1528" s="6"/>
      <c r="BD1528"/>
      <c r="BE1528" s="1"/>
      <c r="BF1528"/>
      <c r="BG1528" s="16"/>
      <c r="BH1528"/>
      <c r="BI1528"/>
      <c r="BJ1528"/>
      <c r="BK1528"/>
      <c r="BL1528"/>
      <c r="BM1528"/>
      <c r="BN1528"/>
      <c r="BO1528"/>
      <c r="BP1528"/>
      <c r="BQ1528"/>
      <c r="BR1528"/>
      <c r="BS1528"/>
      <c r="BT1528"/>
      <c r="BU1528"/>
      <c r="BV1528"/>
      <c r="BW1528"/>
      <c r="BX1528"/>
      <c r="BY1528"/>
      <c r="BZ1528"/>
      <c r="CA1528" s="1396"/>
      <c r="CB1528" s="1396"/>
      <c r="CC1528"/>
      <c r="CD1528"/>
      <c r="CE1528"/>
    </row>
    <row r="1529" spans="1:83" outlineLevel="1" x14ac:dyDescent="0.2">
      <c r="A1529"/>
      <c r="B1529" s="945">
        <v>17</v>
      </c>
      <c r="C1529" s="977" t="str">
        <f>IF(AK1512="","",RANK(F1529,F1513:F1531)*1000+ROW())</f>
        <v/>
      </c>
      <c r="D1529" s="978" t="str">
        <f t="shared" si="1060"/>
        <v/>
      </c>
      <c r="E1529" s="978" t="str">
        <f>IF(L1529="","",Nb_Diff_Part(D1529,D1513:D1531,G1529,G1513:G1531,AI1534:AI1740)*CritClassInd_DiffPart+Nb_Goal_Part(D1529,D1513:D1531,G1529,G1513:G1531,V1534:Z1740)*CritClassInd_GoalPart+Nb_Score_Part(D1529,D1513:D1531,G1529,G1513:G1531,V1534:Z1740)*CritClassInd_ScorePart)</f>
        <v/>
      </c>
      <c r="F1529" s="979" t="str">
        <f t="shared" si="1061"/>
        <v/>
      </c>
      <c r="G1529" s="39" t="s">
        <v>3919</v>
      </c>
      <c r="H1529" s="501">
        <f t="shared" si="1058"/>
        <v>0</v>
      </c>
      <c r="I1529" s="39"/>
      <c r="J1529" s="977" t="str">
        <f>IF(AK1512="","",(L1529*Points_Victoire)+M1529*Points_Null)</f>
        <v/>
      </c>
      <c r="K1529" s="988" t="str">
        <f t="shared" si="1059"/>
        <v/>
      </c>
      <c r="L1529" s="988" t="str">
        <f>IF(AK1512="","",COUNTIF(AE1534:AE1740,G1529))</f>
        <v/>
      </c>
      <c r="M1529" s="988" t="str">
        <f>IF(AK1512="","",COUNTIF(AF1534:AG1740,G1529))</f>
        <v/>
      </c>
      <c r="N1529" s="988" t="str">
        <f>IF(AK1512="","",COUNTIF(AH1534:AH1740,G1529))</f>
        <v/>
      </c>
      <c r="O1529" s="988" t="str">
        <f>IF(AK1512="","",SUMIF(V1534:V1740,G1529,AB1534:AB1740)+SUMIF(Z1534:Z1740,G1529,AD1534:AD1740))</f>
        <v/>
      </c>
      <c r="P1529" s="988" t="str">
        <f>IF(AK1512="","",SUMIF(V1534:V1740,G1529,AD1534:AD1740)+SUMIF(Z1534:Z1740,G1529,AB1534:AB1740))</f>
        <v/>
      </c>
      <c r="Q1529" s="989" t="str">
        <f>IF(AK1512="","",O1529-P1529)</f>
        <v/>
      </c>
      <c r="R1529"/>
      <c r="S1529"/>
      <c r="T1529"/>
      <c r="U1529"/>
      <c r="V1529"/>
      <c r="W1529" s="1"/>
      <c r="X1529" s="1"/>
      <c r="Y1529" s="1"/>
      <c r="Z1529"/>
      <c r="AB1529" s="964"/>
      <c r="AC1529" s="964"/>
      <c r="AD1529" s="964"/>
      <c r="AE1529" s="964"/>
      <c r="AF1529" s="964"/>
      <c r="AG1529" s="964"/>
      <c r="AH1529" s="964"/>
      <c r="AI1529" s="964"/>
      <c r="AJ1529" s="964"/>
      <c r="AK1529" s="968" t="str">
        <f>IF(AK1512="","",SMALL(C1513:C1531,17))</f>
        <v/>
      </c>
      <c r="AL1529"/>
      <c r="AM1529" s="16"/>
      <c r="AN1529" s="946" t="str">
        <f>IF(AK1512="","",INT(AK1529/1000))</f>
        <v/>
      </c>
      <c r="AO1529" s="42" t="str">
        <f>IF(AK1512="","",VLOOKUP(AK1529,C1513:Q1531,5,FALSE))</f>
        <v/>
      </c>
      <c r="AP1529" s="42" t="str">
        <f>VLOOKUP(AK1529,C1513:Q1531,8,FALSE)</f>
        <v/>
      </c>
      <c r="AQ1529" s="42" t="str">
        <f>VLOOKUP(AK1529,C1513:Q1531,9,FALSE)</f>
        <v/>
      </c>
      <c r="AR1529" s="42" t="str">
        <f>VLOOKUP(AK1529,C1513:Q1531,10,FALSE)</f>
        <v/>
      </c>
      <c r="AS1529" s="42" t="str">
        <f>VLOOKUP(AK1529,C1513:Q1531,11,FALSE)</f>
        <v/>
      </c>
      <c r="AT1529" s="42" t="str">
        <f>VLOOKUP(AK1529,C1513:Q1531,12,FALSE)</f>
        <v/>
      </c>
      <c r="AU1529" s="42" t="str">
        <f>VLOOKUP(AK1529,C1513:Q1531,13,FALSE)</f>
        <v/>
      </c>
      <c r="AV1529" s="42" t="str">
        <f>VLOOKUP(AK1529,C1513:Q1531,14,FALSE)</f>
        <v/>
      </c>
      <c r="AW1529" s="947" t="str">
        <f>VLOOKUP(AK1529,C1513:Q1531,15,FALSE)</f>
        <v/>
      </c>
      <c r="AX1529"/>
      <c r="AY1529"/>
      <c r="AZ1529" s="1"/>
      <c r="BA1529" s="1"/>
      <c r="BB1529"/>
      <c r="BC1529" s="6"/>
      <c r="BD1529"/>
      <c r="BE1529" s="1"/>
      <c r="BF1529"/>
      <c r="BG1529" s="16"/>
      <c r="BH1529"/>
      <c r="BI1529"/>
      <c r="BJ1529"/>
      <c r="BK1529"/>
      <c r="BL1529"/>
      <c r="BM1529"/>
      <c r="BN1529"/>
      <c r="BO1529"/>
      <c r="BP1529"/>
      <c r="BQ1529"/>
      <c r="BR1529"/>
      <c r="BS1529"/>
      <c r="BT1529"/>
      <c r="BU1529"/>
      <c r="BV1529"/>
      <c r="BW1529"/>
      <c r="BX1529"/>
      <c r="BY1529"/>
      <c r="BZ1529"/>
      <c r="CA1529" s="1396"/>
      <c r="CB1529" s="1396"/>
      <c r="CC1529"/>
      <c r="CD1529"/>
      <c r="CE1529"/>
    </row>
    <row r="1530" spans="1:83" outlineLevel="1" x14ac:dyDescent="0.2">
      <c r="A1530"/>
      <c r="B1530" s="945">
        <v>18</v>
      </c>
      <c r="C1530" s="977" t="str">
        <f>IF(AK1512="","",RANK(F1530,F1513:F1531)*1000+ROW())</f>
        <v/>
      </c>
      <c r="D1530" s="978" t="str">
        <f t="shared" si="1060"/>
        <v/>
      </c>
      <c r="E1530" s="978" t="str">
        <f>IF(L1530="","",Nb_Diff_Part(D1530,D1513:D1531,G1530,G1513:G1531,AI1534:AI1740)*CritClassInd_DiffPart+Nb_Goal_Part(D1530,D1513:D1531,G1530,G1513:G1531,V1534:Z1740)*CritClassInd_GoalPart+Nb_Score_Part(D1530,D1513:D1531,G1530,G1513:G1531,V1534:Z1740)*CritClassInd_ScorePart)</f>
        <v/>
      </c>
      <c r="F1530" s="979" t="str">
        <f t="shared" si="1061"/>
        <v/>
      </c>
      <c r="G1530" s="39" t="s">
        <v>3920</v>
      </c>
      <c r="H1530" s="501">
        <f t="shared" si="1058"/>
        <v>0</v>
      </c>
      <c r="I1530" s="39"/>
      <c r="J1530" s="977" t="str">
        <f>IF(AK1512="","",(L1530*Points_Victoire)+M1530*Points_Null)</f>
        <v/>
      </c>
      <c r="K1530" s="988" t="str">
        <f t="shared" si="1059"/>
        <v/>
      </c>
      <c r="L1530" s="988" t="str">
        <f>IF(AK1512="","",COUNTIF(AE1534:AE1740,G1530))</f>
        <v/>
      </c>
      <c r="M1530" s="988" t="str">
        <f>IF(AK1512="","",COUNTIF(AF1534:AG1740,G1530))</f>
        <v/>
      </c>
      <c r="N1530" s="988" t="str">
        <f>IF(AK1512="","",COUNTIF(AH1534:AH1740,G1530))</f>
        <v/>
      </c>
      <c r="O1530" s="988" t="str">
        <f>IF(AK1512="","",SUMIF(V1534:V1740,G1530,AB1534:AB1740)+SUMIF(Z1534:Z1740,G1530,AD1534:AD1740))</f>
        <v/>
      </c>
      <c r="P1530" s="988" t="str">
        <f>IF(AK1512="","",SUMIF(V1534:V1740,G1530,AD1534:AD1740)+SUMIF(Z1534:Z1740,G1530,AB1534:AB1740))</f>
        <v/>
      </c>
      <c r="Q1530" s="989" t="str">
        <f>IF(AK1512="","",O1530-P1530)</f>
        <v/>
      </c>
      <c r="R1530"/>
      <c r="S1530"/>
      <c r="T1530"/>
      <c r="U1530"/>
      <c r="V1530"/>
      <c r="W1530" s="1"/>
      <c r="X1530" s="1"/>
      <c r="Y1530" s="1"/>
      <c r="Z1530"/>
      <c r="AB1530" s="964"/>
      <c r="AC1530" s="964"/>
      <c r="AD1530" s="964"/>
      <c r="AE1530" s="964"/>
      <c r="AF1530" s="964"/>
      <c r="AG1530" s="964"/>
      <c r="AH1530" s="964"/>
      <c r="AI1530" s="964"/>
      <c r="AJ1530" s="964"/>
      <c r="AK1530" s="968" t="str">
        <f>IF(AK1512="","",SMALL(C1513:C1531,18))</f>
        <v/>
      </c>
      <c r="AL1530"/>
      <c r="AM1530" s="16"/>
      <c r="AN1530" s="946" t="str">
        <f>IF(AK1512="","",INT(AK1530/1000))</f>
        <v/>
      </c>
      <c r="AO1530" s="42" t="str">
        <f>IF(AK1512="","",VLOOKUP(AK1530,C1513:Q1531,5,FALSE))</f>
        <v/>
      </c>
      <c r="AP1530" s="42" t="str">
        <f>VLOOKUP(AK1530,C1513:Q1531,8,FALSE)</f>
        <v/>
      </c>
      <c r="AQ1530" s="42" t="str">
        <f>VLOOKUP(AK1530,C1513:Q1531,9,FALSE)</f>
        <v/>
      </c>
      <c r="AR1530" s="42" t="str">
        <f>VLOOKUP(AK1530,C1513:Q1531,10,FALSE)</f>
        <v/>
      </c>
      <c r="AS1530" s="42" t="str">
        <f>VLOOKUP(AK1530,C1513:Q1531,11,FALSE)</f>
        <v/>
      </c>
      <c r="AT1530" s="42" t="str">
        <f>VLOOKUP(AK1530,C1513:Q1531,12,FALSE)</f>
        <v/>
      </c>
      <c r="AU1530" s="42" t="str">
        <f>VLOOKUP(AK1530,C1513:Q1531,13,FALSE)</f>
        <v/>
      </c>
      <c r="AV1530" s="42" t="str">
        <f>VLOOKUP(AK1530,C1513:Q1531,14,FALSE)</f>
        <v/>
      </c>
      <c r="AW1530" s="947" t="str">
        <f>VLOOKUP(AK1530,C1513:Q1531,15,FALSE)</f>
        <v/>
      </c>
      <c r="AX1530"/>
      <c r="AY1530"/>
      <c r="AZ1530" s="1"/>
      <c r="BA1530" s="1"/>
      <c r="BB1530"/>
      <c r="BC1530" s="6"/>
      <c r="BD1530"/>
      <c r="BE1530" s="1"/>
      <c r="BF1530"/>
      <c r="BG1530" s="16"/>
      <c r="BH1530"/>
      <c r="BI1530"/>
      <c r="BJ1530"/>
      <c r="BK1530"/>
      <c r="BL1530"/>
      <c r="BM1530"/>
      <c r="BN1530"/>
      <c r="BO1530"/>
      <c r="BP1530"/>
      <c r="BQ1530"/>
      <c r="BR1530"/>
      <c r="BS1530"/>
      <c r="BT1530"/>
      <c r="BU1530"/>
      <c r="BV1530"/>
      <c r="BW1530"/>
      <c r="BX1530"/>
      <c r="BY1530"/>
      <c r="BZ1530"/>
      <c r="CA1530" s="1396"/>
      <c r="CB1530" s="1396"/>
      <c r="CC1530"/>
      <c r="CD1530"/>
      <c r="CE1530"/>
    </row>
    <row r="1531" spans="1:83" ht="13.5" outlineLevel="1" thickBot="1" x14ac:dyDescent="0.25">
      <c r="A1531"/>
      <c r="B1531" s="945">
        <v>19</v>
      </c>
      <c r="C1531" s="977" t="str">
        <f>IF(AK1512="","",RANK(F1531,F1513:F1531)*1000+ROW())</f>
        <v/>
      </c>
      <c r="D1531" s="978" t="str">
        <f t="shared" si="1060"/>
        <v/>
      </c>
      <c r="E1531" s="978" t="str">
        <f>IF(L1531="","",Nb_Diff_Part(D1531,D1513:D1531,G1531,G1513:G1531,AI1534:AI1740)*CritClassInd_DiffPart+Nb_Goal_Part(D1531,D1513:D1531,G1531,G1513:G1531,V1534:Z1740)*CritClassInd_GoalPart+Nb_Score_Part(D1531,D1513:D1531,G1531,G1513:G1531,V1534:Z1740)*CritClassInd_ScorePart)</f>
        <v/>
      </c>
      <c r="F1531" s="979" t="str">
        <f t="shared" si="1061"/>
        <v/>
      </c>
      <c r="G1531" s="39" t="s">
        <v>3921</v>
      </c>
      <c r="H1531" s="501">
        <f t="shared" si="1058"/>
        <v>0</v>
      </c>
      <c r="I1531" s="39"/>
      <c r="J1531" s="977" t="str">
        <f>IF(AK1512="","",(L1531*Points_Victoire)+M1531*Points_Null)</f>
        <v/>
      </c>
      <c r="K1531" s="988" t="str">
        <f t="shared" si="1059"/>
        <v/>
      </c>
      <c r="L1531" s="988" t="str">
        <f>IF(AK1512="","",COUNTIF(AE1534:AE1740,G1531))</f>
        <v/>
      </c>
      <c r="M1531" s="988" t="str">
        <f>IF(AK1512="","",COUNTIF(AF1534:AG1740,G1531))</f>
        <v/>
      </c>
      <c r="N1531" s="988" t="str">
        <f>IF(AK1512="","",COUNTIF(AH1534:AH1740,G1531))</f>
        <v/>
      </c>
      <c r="O1531" s="988" t="str">
        <f>IF(AK1512="","",SUMIF(V1534:V1740,G1531,AB1534:AB1740)+SUMIF(Z1534:Z1740,G1531,AD1534:AD1740))</f>
        <v/>
      </c>
      <c r="P1531" s="988" t="str">
        <f>IF(AK1512="","",SUMIF(V1534:V1740,G1531,AD1534:AD1740)+SUMIF(Z1534:Z1740,G1531,AB1534:AB1740))</f>
        <v/>
      </c>
      <c r="Q1531" s="989" t="str">
        <f>IF(AK1512="","",O1531-P1531)</f>
        <v/>
      </c>
      <c r="R1531"/>
      <c r="S1531"/>
      <c r="T1531"/>
      <c r="U1531"/>
      <c r="V1531"/>
      <c r="W1531" s="1"/>
      <c r="X1531" s="1"/>
      <c r="Y1531" s="1"/>
      <c r="Z1531"/>
      <c r="AB1531" s="964"/>
      <c r="AC1531" s="964"/>
      <c r="AD1531" s="964"/>
      <c r="AE1531" s="964"/>
      <c r="AF1531" s="964"/>
      <c r="AG1531" s="964"/>
      <c r="AH1531" s="964"/>
      <c r="AI1531" s="964"/>
      <c r="AJ1531" s="964"/>
      <c r="AK1531" s="968" t="str">
        <f>IF(AK1512="","",SMALL(C1513:C1531,19))</f>
        <v/>
      </c>
      <c r="AL1531"/>
      <c r="AM1531" s="16"/>
      <c r="AN1531" s="950" t="str">
        <f>IF(AK1512="","",INT(AK1531/1000))</f>
        <v/>
      </c>
      <c r="AO1531" s="50" t="str">
        <f>IF(AK1512="","",VLOOKUP(AK1531,C1513:Q1531,5,FALSE))</f>
        <v/>
      </c>
      <c r="AP1531" s="50" t="str">
        <f>VLOOKUP(AK1531,C1513:Q1531,8,FALSE)</f>
        <v/>
      </c>
      <c r="AQ1531" s="50" t="str">
        <f>VLOOKUP(AK1531,C1513:Q1531,9,FALSE)</f>
        <v/>
      </c>
      <c r="AR1531" s="50" t="str">
        <f>VLOOKUP(AK1531,C1513:Q1531,10,FALSE)</f>
        <v/>
      </c>
      <c r="AS1531" s="50" t="str">
        <f>VLOOKUP(AK1531,C1513:Q1531,11,FALSE)</f>
        <v/>
      </c>
      <c r="AT1531" s="50" t="str">
        <f>VLOOKUP(AK1531,C1513:Q1531,12,FALSE)</f>
        <v/>
      </c>
      <c r="AU1531" s="50" t="str">
        <f>VLOOKUP(AK1531,C1513:Q1531,13,FALSE)</f>
        <v/>
      </c>
      <c r="AV1531" s="50" t="str">
        <f>VLOOKUP(AK1531,C1513:Q1531,14,FALSE)</f>
        <v/>
      </c>
      <c r="AW1531" s="951" t="str">
        <f>VLOOKUP(AK1531,C1513:Q1531,15,FALSE)</f>
        <v/>
      </c>
      <c r="AX1531"/>
      <c r="AY1531"/>
      <c r="AZ1531" s="1"/>
      <c r="BA1531" s="1"/>
      <c r="BB1531"/>
      <c r="BC1531" s="6"/>
      <c r="BD1531"/>
      <c r="BE1531" s="1"/>
      <c r="BF1531"/>
      <c r="BG1531" s="16"/>
      <c r="BH1531"/>
      <c r="BI1531"/>
      <c r="BJ1531"/>
      <c r="BK1531"/>
      <c r="BL1531"/>
      <c r="BM1531"/>
      <c r="BN1531"/>
      <c r="BO1531"/>
      <c r="BP1531"/>
      <c r="BQ1531"/>
      <c r="BR1531"/>
      <c r="BS1531"/>
      <c r="BT1531"/>
      <c r="BU1531"/>
      <c r="BV1531"/>
      <c r="BW1531"/>
      <c r="BX1531"/>
      <c r="BY1531"/>
      <c r="BZ1531"/>
      <c r="CA1531" s="1396"/>
      <c r="CB1531" s="1396"/>
      <c r="CC1531"/>
      <c r="CD1531"/>
      <c r="CE1531"/>
    </row>
    <row r="1532" spans="1:83" ht="13.5" outlineLevel="1" thickBot="1" x14ac:dyDescent="0.25">
      <c r="A1532"/>
      <c r="B1532" s="1"/>
      <c r="C1532" s="1"/>
      <c r="D1532" s="76"/>
      <c r="E1532" s="76"/>
      <c r="F1532" s="76"/>
      <c r="G1532" s="9"/>
      <c r="H1532" s="9"/>
      <c r="I1532" s="1"/>
      <c r="J1532"/>
      <c r="K1532"/>
      <c r="L1532"/>
      <c r="M1532"/>
      <c r="N1532"/>
      <c r="O1532"/>
      <c r="P1532" s="89"/>
      <c r="Q1532"/>
      <c r="R1532" s="1"/>
      <c r="S1532" s="993">
        <v>1</v>
      </c>
      <c r="T1532" s="961"/>
      <c r="U1532" s="961"/>
      <c r="V1532" s="961"/>
      <c r="W1532" s="960"/>
      <c r="X1532" s="960"/>
      <c r="Y1532" s="960"/>
      <c r="Z1532" s="962"/>
      <c r="AA1532" s="123"/>
      <c r="AB1532" s="1461" t="str">
        <f>IF(MaxScore,N_MaxScore,"")</f>
        <v>Score Max</v>
      </c>
      <c r="AC1532" s="1461"/>
      <c r="AD1532" s="1461"/>
      <c r="AE1532" s="964"/>
      <c r="AF1532" s="964"/>
      <c r="AG1532" s="964"/>
      <c r="AH1532" s="964"/>
      <c r="AI1532" s="964"/>
      <c r="AJ1532" s="964"/>
      <c r="AK1532" s="964"/>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s="1396"/>
      <c r="CB1532" s="1396"/>
      <c r="CC1532"/>
      <c r="CD1532"/>
      <c r="CE1532"/>
    </row>
    <row r="1533" spans="1:83" ht="13.9" customHeight="1" outlineLevel="2" thickBot="1" x14ac:dyDescent="0.25">
      <c r="A1533"/>
      <c r="B1533" s="1"/>
      <c r="C1533"/>
      <c r="D1533"/>
      <c r="E1533"/>
      <c r="F1533"/>
      <c r="G1533" s="1"/>
      <c r="H1533" s="1"/>
      <c r="I1533"/>
      <c r="J1533"/>
      <c r="K1533"/>
      <c r="L1533"/>
      <c r="M1533"/>
      <c r="N1533"/>
      <c r="O1533"/>
      <c r="P1533"/>
      <c r="Q1533"/>
      <c r="S1533" s="18" t="str">
        <f>N_Heure</f>
        <v>Heure</v>
      </c>
      <c r="T1533" s="22" t="str">
        <f>N_Table</f>
        <v>Table</v>
      </c>
      <c r="U1533" s="952" t="str">
        <f>N_Arbitre</f>
        <v>Arbitre</v>
      </c>
      <c r="V1533" s="293" t="str">
        <f>N_Matches</f>
        <v>Matches</v>
      </c>
      <c r="W1533" s="294"/>
      <c r="X1533" s="294"/>
      <c r="Y1533" s="294"/>
      <c r="Z1533" s="295"/>
      <c r="AA1533" s="8"/>
      <c r="AB1533" s="967"/>
      <c r="AC1533" s="967"/>
      <c r="AD1533" s="967"/>
      <c r="AE1533" s="964"/>
      <c r="AF1533" s="964"/>
      <c r="AG1533" s="964"/>
      <c r="AH1533" s="964"/>
      <c r="AI1533" s="964"/>
      <c r="AJ1533" s="964"/>
      <c r="AK1533" s="964"/>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s="1396"/>
      <c r="CB1533" s="1396"/>
      <c r="CC1533"/>
      <c r="CD1533"/>
      <c r="CE1533"/>
    </row>
    <row r="1534" spans="1:83" ht="13.15" customHeight="1" outlineLevel="2" x14ac:dyDescent="0.2">
      <c r="A1534"/>
      <c r="B1534" s="1"/>
      <c r="C1534"/>
      <c r="D1534"/>
      <c r="E1534"/>
      <c r="F1534"/>
      <c r="G1534" s="1"/>
      <c r="H1534" s="1"/>
      <c r="I1534"/>
      <c r="J1534"/>
      <c r="K1534"/>
      <c r="L1534"/>
      <c r="M1534"/>
      <c r="N1534"/>
      <c r="O1534"/>
      <c r="P1534"/>
      <c r="Q1534"/>
      <c r="R1534" s="558" t="s">
        <v>1726</v>
      </c>
      <c r="S1534" s="65"/>
      <c r="T1534" s="953"/>
      <c r="U1534" s="954"/>
      <c r="V1534" s="34" t="str">
        <f>IF(G1513="","",G1513)</f>
        <v>A</v>
      </c>
      <c r="W1534" s="148"/>
      <c r="X1534" s="35" t="s">
        <v>769</v>
      </c>
      <c r="Y1534" s="148"/>
      <c r="Z1534" s="36" t="str">
        <f>IF(G1514="","",G1514)</f>
        <v>B</v>
      </c>
      <c r="AA1534" s="123"/>
      <c r="AB1534" s="1459">
        <f t="shared" ref="AB1534:AB1542" si="1062">IF(MaxScore,MaxGoals(W1534,Y1534,MaxGoalsValue),IF(W1534="","",W1534))</f>
        <v>0</v>
      </c>
      <c r="AC1534" s="1460" t="str">
        <f t="shared" ref="AC1534:AC1542" si="1063">IF(MaxScore,"-",IF(W1534="","","-"))</f>
        <v>-</v>
      </c>
      <c r="AD1534" s="1459">
        <f t="shared" ref="AD1534:AD1542" si="1064">IF(MaxScore,MaxGoals(Y1534,W1534,MaxGoalsValue),IF(Y1534="","",Y1534))</f>
        <v>0</v>
      </c>
      <c r="AE1534" s="964" t="str">
        <f t="shared" ref="AE1534:AE1542" si="1065">IF(W1534="","",IF(W1534&gt;Y1534,V1534,IF(W1534=Y1534,"",Z1534)))</f>
        <v/>
      </c>
      <c r="AF1534" s="964" t="str">
        <f t="shared" ref="AF1534:AF1542" si="1066">IF(W1534="","",IF(W1534=Y1534,V1534,""))</f>
        <v/>
      </c>
      <c r="AG1534" s="964" t="str">
        <f t="shared" ref="AG1534:AG1542" si="1067">IF(W1534="","",IF(W1534=Y1534,Z1534,""))</f>
        <v/>
      </c>
      <c r="AH1534" s="964" t="str">
        <f t="shared" ref="AH1534:AH1542" si="1068">IF(W1534="","",IF(W1534&lt;Y1534,V1534,IF(W1534=Y1534,"",Z1534)))</f>
        <v/>
      </c>
      <c r="AI1534" s="964" t="str">
        <f t="shared" ref="AI1534:AI1542" si="1069">CONCATENATE(AE1534,AH1534)</f>
        <v/>
      </c>
      <c r="AJ1534" s="964"/>
      <c r="AK1534" s="96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s="1396"/>
      <c r="CB1534" s="1396"/>
      <c r="CC1534"/>
      <c r="CD1534"/>
      <c r="CE1534"/>
    </row>
    <row r="1535" spans="1:83" ht="13.15" customHeight="1" outlineLevel="2" x14ac:dyDescent="0.2">
      <c r="A1535"/>
      <c r="B1535" s="1"/>
      <c r="C1535"/>
      <c r="D1535"/>
      <c r="E1535"/>
      <c r="F1535"/>
      <c r="G1535" s="1"/>
      <c r="H1535" s="1"/>
      <c r="I1535"/>
      <c r="J1535"/>
      <c r="K1535"/>
      <c r="L1535"/>
      <c r="M1535"/>
      <c r="N1535"/>
      <c r="O1535"/>
      <c r="P1535"/>
      <c r="Q1535"/>
      <c r="R1535" s="558" t="s">
        <v>1726</v>
      </c>
      <c r="S1535" s="83"/>
      <c r="T1535" s="56"/>
      <c r="U1535" s="955"/>
      <c r="V1535" s="43" t="str">
        <f>IF(G1515="","",G1515)</f>
        <v>C</v>
      </c>
      <c r="W1535" s="10"/>
      <c r="X1535" s="45" t="s">
        <v>769</v>
      </c>
      <c r="Y1535" s="10"/>
      <c r="Z1535" s="46" t="str">
        <f>IF(G1516="","",G1516)</f>
        <v>D</v>
      </c>
      <c r="AA1535" s="123"/>
      <c r="AB1535" s="1459">
        <f t="shared" si="1062"/>
        <v>0</v>
      </c>
      <c r="AC1535" s="1460" t="str">
        <f t="shared" si="1063"/>
        <v>-</v>
      </c>
      <c r="AD1535" s="1459">
        <f t="shared" si="1064"/>
        <v>0</v>
      </c>
      <c r="AE1535" s="964" t="str">
        <f t="shared" si="1065"/>
        <v/>
      </c>
      <c r="AF1535" s="964" t="str">
        <f t="shared" si="1066"/>
        <v/>
      </c>
      <c r="AG1535" s="964" t="str">
        <f t="shared" si="1067"/>
        <v/>
      </c>
      <c r="AH1535" s="964" t="str">
        <f t="shared" si="1068"/>
        <v/>
      </c>
      <c r="AI1535" s="964" t="str">
        <f t="shared" si="1069"/>
        <v/>
      </c>
      <c r="AJ1535" s="964"/>
      <c r="AK1535" s="964"/>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s="1396"/>
      <c r="CB1535" s="1396"/>
      <c r="CC1535"/>
      <c r="CD1535"/>
      <c r="CE1535"/>
    </row>
    <row r="1536" spans="1:83" ht="13.15" customHeight="1" outlineLevel="2" x14ac:dyDescent="0.2">
      <c r="A1536"/>
      <c r="B1536" s="1"/>
      <c r="C1536"/>
      <c r="D1536"/>
      <c r="E1536"/>
      <c r="F1536"/>
      <c r="G1536" s="1"/>
      <c r="H1536" s="1"/>
      <c r="I1536"/>
      <c r="J1536"/>
      <c r="K1536"/>
      <c r="L1536"/>
      <c r="M1536"/>
      <c r="N1536"/>
      <c r="O1536"/>
      <c r="P1536"/>
      <c r="Q1536"/>
      <c r="R1536" s="558" t="s">
        <v>1726</v>
      </c>
      <c r="S1536" s="83"/>
      <c r="T1536" s="56"/>
      <c r="U1536" s="955"/>
      <c r="V1536" s="43" t="str">
        <f>IF(G1517="","",G1517)</f>
        <v>E</v>
      </c>
      <c r="W1536" s="10"/>
      <c r="X1536" s="45" t="s">
        <v>769</v>
      </c>
      <c r="Y1536" s="10"/>
      <c r="Z1536" s="46" t="str">
        <f>IF(G1518="","",G1518)</f>
        <v>F</v>
      </c>
      <c r="AA1536" s="123"/>
      <c r="AB1536" s="1459">
        <f t="shared" si="1062"/>
        <v>0</v>
      </c>
      <c r="AC1536" s="1460" t="str">
        <f t="shared" si="1063"/>
        <v>-</v>
      </c>
      <c r="AD1536" s="1459">
        <f t="shared" si="1064"/>
        <v>0</v>
      </c>
      <c r="AE1536" s="964" t="str">
        <f t="shared" si="1065"/>
        <v/>
      </c>
      <c r="AF1536" s="964" t="str">
        <f t="shared" si="1066"/>
        <v/>
      </c>
      <c r="AG1536" s="964" t="str">
        <f t="shared" si="1067"/>
        <v/>
      </c>
      <c r="AH1536" s="964" t="str">
        <f t="shared" si="1068"/>
        <v/>
      </c>
      <c r="AI1536" s="964" t="str">
        <f t="shared" si="1069"/>
        <v/>
      </c>
      <c r="AJ1536" s="964"/>
      <c r="AK1536" s="964"/>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s="1396"/>
      <c r="CB1536" s="1396"/>
      <c r="CC1536"/>
      <c r="CD1536"/>
      <c r="CE1536"/>
    </row>
    <row r="1537" spans="1:83" ht="13.15" customHeight="1" outlineLevel="2" x14ac:dyDescent="0.2">
      <c r="A1537"/>
      <c r="B1537" s="1"/>
      <c r="C1537"/>
      <c r="D1537"/>
      <c r="E1537"/>
      <c r="F1537"/>
      <c r="G1537" s="1"/>
      <c r="H1537" s="1"/>
      <c r="I1537"/>
      <c r="J1537"/>
      <c r="K1537"/>
      <c r="L1537"/>
      <c r="M1537"/>
      <c r="N1537"/>
      <c r="O1537"/>
      <c r="P1537"/>
      <c r="Q1537"/>
      <c r="R1537" s="558" t="s">
        <v>1726</v>
      </c>
      <c r="S1537" s="83"/>
      <c r="T1537" s="56"/>
      <c r="U1537" s="955"/>
      <c r="V1537" s="43" t="str">
        <f>IF(G1519="","",G1519)</f>
        <v>G</v>
      </c>
      <c r="W1537" s="10"/>
      <c r="X1537" s="45" t="s">
        <v>769</v>
      </c>
      <c r="Y1537" s="10"/>
      <c r="Z1537" s="46" t="str">
        <f>IF(G1520="","",G1520)</f>
        <v>H</v>
      </c>
      <c r="AA1537" s="123"/>
      <c r="AB1537" s="1459">
        <f t="shared" si="1062"/>
        <v>0</v>
      </c>
      <c r="AC1537" s="1460" t="str">
        <f t="shared" si="1063"/>
        <v>-</v>
      </c>
      <c r="AD1537" s="1459">
        <f t="shared" si="1064"/>
        <v>0</v>
      </c>
      <c r="AE1537" s="964" t="str">
        <f t="shared" si="1065"/>
        <v/>
      </c>
      <c r="AF1537" s="964" t="str">
        <f t="shared" si="1066"/>
        <v/>
      </c>
      <c r="AG1537" s="964" t="str">
        <f t="shared" si="1067"/>
        <v/>
      </c>
      <c r="AH1537" s="964" t="str">
        <f t="shared" si="1068"/>
        <v/>
      </c>
      <c r="AI1537" s="964" t="str">
        <f t="shared" si="1069"/>
        <v/>
      </c>
      <c r="AJ1537" s="964"/>
      <c r="AK1537" s="964"/>
      <c r="AL1537"/>
      <c r="AM1537"/>
      <c r="AN1537"/>
      <c r="AO1537"/>
      <c r="AP1537"/>
      <c r="AQ1537"/>
      <c r="AR1537"/>
      <c r="AS1537"/>
      <c r="AT1537"/>
      <c r="AU1537"/>
      <c r="AV1537"/>
      <c r="AW1537"/>
      <c r="AX1537" s="9"/>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s="1396"/>
      <c r="CB1537" s="1396"/>
      <c r="CC1537"/>
      <c r="CD1537"/>
      <c r="CE1537"/>
    </row>
    <row r="1538" spans="1:83" ht="13.15" customHeight="1" outlineLevel="2" x14ac:dyDescent="0.2">
      <c r="A1538"/>
      <c r="B1538" s="1"/>
      <c r="C1538"/>
      <c r="D1538"/>
      <c r="E1538"/>
      <c r="F1538"/>
      <c r="G1538" s="1"/>
      <c r="H1538" s="1"/>
      <c r="I1538"/>
      <c r="J1538"/>
      <c r="K1538"/>
      <c r="L1538"/>
      <c r="M1538"/>
      <c r="N1538"/>
      <c r="O1538"/>
      <c r="P1538"/>
      <c r="Q1538"/>
      <c r="R1538" s="558" t="s">
        <v>1726</v>
      </c>
      <c r="S1538" s="83"/>
      <c r="T1538" s="56"/>
      <c r="U1538" s="955"/>
      <c r="V1538" s="43" t="str">
        <f>IF(G1521="","",G1521)</f>
        <v>I</v>
      </c>
      <c r="W1538" s="10"/>
      <c r="X1538" s="45" t="s">
        <v>769</v>
      </c>
      <c r="Y1538" s="10"/>
      <c r="Z1538" s="46" t="str">
        <f>IF(G1522="","",G1522)</f>
        <v>J</v>
      </c>
      <c r="AA1538" s="123"/>
      <c r="AB1538" s="1459">
        <f t="shared" si="1062"/>
        <v>0</v>
      </c>
      <c r="AC1538" s="1460" t="str">
        <f t="shared" si="1063"/>
        <v>-</v>
      </c>
      <c r="AD1538" s="1459">
        <f t="shared" si="1064"/>
        <v>0</v>
      </c>
      <c r="AE1538" s="964" t="str">
        <f t="shared" si="1065"/>
        <v/>
      </c>
      <c r="AF1538" s="964" t="str">
        <f t="shared" si="1066"/>
        <v/>
      </c>
      <c r="AG1538" s="964" t="str">
        <f t="shared" si="1067"/>
        <v/>
      </c>
      <c r="AH1538" s="964" t="str">
        <f t="shared" si="1068"/>
        <v/>
      </c>
      <c r="AI1538" s="964" t="str">
        <f t="shared" si="1069"/>
        <v/>
      </c>
      <c r="AJ1538" s="964"/>
      <c r="AK1538" s="964"/>
      <c r="AL1538"/>
      <c r="AM1538"/>
      <c r="AN1538"/>
      <c r="AO1538"/>
      <c r="AP1538"/>
      <c r="AQ1538"/>
      <c r="AR1538"/>
      <c r="AS1538"/>
      <c r="AT1538"/>
      <c r="AU1538"/>
      <c r="AV1538"/>
      <c r="AW1538" s="9"/>
      <c r="AX1538" s="9"/>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s="1396"/>
      <c r="CB1538" s="1396"/>
      <c r="CC1538"/>
      <c r="CD1538"/>
      <c r="CE1538"/>
    </row>
    <row r="1539" spans="1:83" ht="13.15" customHeight="1" outlineLevel="2" x14ac:dyDescent="0.2">
      <c r="A1539"/>
      <c r="B1539" s="1"/>
      <c r="C1539"/>
      <c r="D1539"/>
      <c r="E1539"/>
      <c r="F1539"/>
      <c r="G1539" s="1"/>
      <c r="H1539" s="1"/>
      <c r="I1539"/>
      <c r="J1539"/>
      <c r="K1539"/>
      <c r="L1539"/>
      <c r="M1539"/>
      <c r="N1539"/>
      <c r="O1539"/>
      <c r="P1539"/>
      <c r="Q1539"/>
      <c r="R1539" s="558" t="s">
        <v>1726</v>
      </c>
      <c r="S1539" s="83"/>
      <c r="T1539" s="56"/>
      <c r="U1539" s="955"/>
      <c r="V1539" s="43" t="str">
        <f>IF(G1523="","",G1523)</f>
        <v>K</v>
      </c>
      <c r="W1539" s="10"/>
      <c r="X1539" s="45" t="s">
        <v>769</v>
      </c>
      <c r="Y1539" s="10"/>
      <c r="Z1539" s="46" t="str">
        <f>IF(G1524="","",G1524)</f>
        <v>L</v>
      </c>
      <c r="AA1539" s="123"/>
      <c r="AB1539" s="1459">
        <f t="shared" si="1062"/>
        <v>0</v>
      </c>
      <c r="AC1539" s="1460" t="str">
        <f t="shared" si="1063"/>
        <v>-</v>
      </c>
      <c r="AD1539" s="1459">
        <f t="shared" si="1064"/>
        <v>0</v>
      </c>
      <c r="AE1539" s="964" t="str">
        <f t="shared" si="1065"/>
        <v/>
      </c>
      <c r="AF1539" s="964" t="str">
        <f t="shared" si="1066"/>
        <v/>
      </c>
      <c r="AG1539" s="964" t="str">
        <f t="shared" si="1067"/>
        <v/>
      </c>
      <c r="AH1539" s="964" t="str">
        <f t="shared" si="1068"/>
        <v/>
      </c>
      <c r="AI1539" s="964" t="str">
        <f t="shared" si="1069"/>
        <v/>
      </c>
      <c r="AJ1539" s="964"/>
      <c r="AK1539" s="964"/>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s="1396"/>
      <c r="CB1539" s="1396"/>
      <c r="CC1539"/>
      <c r="CD1539"/>
      <c r="CE1539"/>
    </row>
    <row r="1540" spans="1:83" ht="13.15" customHeight="1" outlineLevel="2" x14ac:dyDescent="0.2">
      <c r="A1540"/>
      <c r="B1540" s="1"/>
      <c r="C1540"/>
      <c r="D1540"/>
      <c r="E1540"/>
      <c r="F1540"/>
      <c r="G1540" s="1"/>
      <c r="H1540" s="1"/>
      <c r="I1540"/>
      <c r="J1540"/>
      <c r="K1540"/>
      <c r="L1540"/>
      <c r="M1540"/>
      <c r="N1540"/>
      <c r="O1540"/>
      <c r="P1540"/>
      <c r="Q1540"/>
      <c r="R1540" s="558" t="s">
        <v>1726</v>
      </c>
      <c r="S1540" s="83"/>
      <c r="T1540" s="56"/>
      <c r="U1540" s="955"/>
      <c r="V1540" s="43" t="str">
        <f>IF(G1525="","",G1525)</f>
        <v>M</v>
      </c>
      <c r="W1540" s="10"/>
      <c r="X1540" s="45" t="s">
        <v>769</v>
      </c>
      <c r="Y1540" s="10"/>
      <c r="Z1540" s="46" t="str">
        <f>IF(G1526="","",G1526)</f>
        <v>N</v>
      </c>
      <c r="AA1540" s="123"/>
      <c r="AB1540" s="1459">
        <f t="shared" si="1062"/>
        <v>0</v>
      </c>
      <c r="AC1540" s="1460" t="str">
        <f t="shared" si="1063"/>
        <v>-</v>
      </c>
      <c r="AD1540" s="1459">
        <f t="shared" si="1064"/>
        <v>0</v>
      </c>
      <c r="AE1540" s="964" t="str">
        <f t="shared" si="1065"/>
        <v/>
      </c>
      <c r="AF1540" s="964" t="str">
        <f t="shared" si="1066"/>
        <v/>
      </c>
      <c r="AG1540" s="964" t="str">
        <f t="shared" si="1067"/>
        <v/>
      </c>
      <c r="AH1540" s="964" t="str">
        <f t="shared" si="1068"/>
        <v/>
      </c>
      <c r="AI1540" s="964" t="str">
        <f t="shared" si="1069"/>
        <v/>
      </c>
      <c r="AJ1540" s="964"/>
      <c r="AK1540" s="964"/>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s="1396"/>
      <c r="CB1540" s="1396"/>
      <c r="CC1540"/>
      <c r="CD1540"/>
      <c r="CE1540"/>
    </row>
    <row r="1541" spans="1:83" ht="13.15" customHeight="1" outlineLevel="2" x14ac:dyDescent="0.2">
      <c r="A1541"/>
      <c r="B1541" s="1"/>
      <c r="C1541"/>
      <c r="D1541"/>
      <c r="E1541"/>
      <c r="F1541"/>
      <c r="G1541" s="1"/>
      <c r="H1541" s="1"/>
      <c r="I1541"/>
      <c r="J1541"/>
      <c r="K1541"/>
      <c r="L1541"/>
      <c r="M1541"/>
      <c r="N1541"/>
      <c r="O1541"/>
      <c r="P1541"/>
      <c r="Q1541"/>
      <c r="R1541" s="558" t="s">
        <v>1726</v>
      </c>
      <c r="S1541" s="83"/>
      <c r="T1541" s="56"/>
      <c r="U1541" s="955"/>
      <c r="V1541" s="43" t="str">
        <f>IF(G1527="","",G1527)</f>
        <v>O</v>
      </c>
      <c r="W1541" s="10"/>
      <c r="X1541" s="45" t="s">
        <v>769</v>
      </c>
      <c r="Y1541" s="10"/>
      <c r="Z1541" s="46" t="str">
        <f>IF(G1528="","",G1528)</f>
        <v>P</v>
      </c>
      <c r="AA1541" s="123"/>
      <c r="AB1541" s="1459">
        <f t="shared" si="1062"/>
        <v>0</v>
      </c>
      <c r="AC1541" s="1460" t="str">
        <f t="shared" si="1063"/>
        <v>-</v>
      </c>
      <c r="AD1541" s="1459">
        <f t="shared" si="1064"/>
        <v>0</v>
      </c>
      <c r="AE1541" s="964" t="str">
        <f t="shared" si="1065"/>
        <v/>
      </c>
      <c r="AF1541" s="964" t="str">
        <f t="shared" si="1066"/>
        <v/>
      </c>
      <c r="AG1541" s="964" t="str">
        <f t="shared" si="1067"/>
        <v/>
      </c>
      <c r="AH1541" s="964" t="str">
        <f t="shared" si="1068"/>
        <v/>
      </c>
      <c r="AI1541" s="964" t="str">
        <f t="shared" si="1069"/>
        <v/>
      </c>
      <c r="AJ1541" s="964"/>
      <c r="AK1541" s="964"/>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s="1396"/>
      <c r="CB1541" s="1396"/>
      <c r="CC1541"/>
      <c r="CD1541"/>
      <c r="CE1541"/>
    </row>
    <row r="1542" spans="1:83" ht="13.15" customHeight="1" outlineLevel="2" thickBot="1" x14ac:dyDescent="0.25">
      <c r="A1542"/>
      <c r="B1542" s="1"/>
      <c r="C1542"/>
      <c r="D1542"/>
      <c r="E1542"/>
      <c r="F1542"/>
      <c r="G1542" s="1"/>
      <c r="H1542" s="1"/>
      <c r="I1542"/>
      <c r="J1542"/>
      <c r="K1542"/>
      <c r="L1542"/>
      <c r="M1542"/>
      <c r="N1542"/>
      <c r="O1542"/>
      <c r="P1542"/>
      <c r="Q1542"/>
      <c r="R1542" s="558" t="s">
        <v>1726</v>
      </c>
      <c r="S1542" s="83"/>
      <c r="T1542" s="56"/>
      <c r="U1542" s="955"/>
      <c r="V1542" s="43" t="str">
        <f>IF(G1529="","",G1529)</f>
        <v>Q</v>
      </c>
      <c r="W1542" s="10"/>
      <c r="X1542" s="45" t="s">
        <v>769</v>
      </c>
      <c r="Y1542" s="10"/>
      <c r="Z1542" s="46" t="str">
        <f>IF(G1530="","",G1530)</f>
        <v>R</v>
      </c>
      <c r="AA1542" s="123"/>
      <c r="AB1542" s="1459">
        <f t="shared" si="1062"/>
        <v>0</v>
      </c>
      <c r="AC1542" s="1460" t="str">
        <f t="shared" si="1063"/>
        <v>-</v>
      </c>
      <c r="AD1542" s="1459">
        <f t="shared" si="1064"/>
        <v>0</v>
      </c>
      <c r="AE1542" s="964" t="str">
        <f t="shared" si="1065"/>
        <v/>
      </c>
      <c r="AF1542" s="964" t="str">
        <f t="shared" si="1066"/>
        <v/>
      </c>
      <c r="AG1542" s="964" t="str">
        <f t="shared" si="1067"/>
        <v/>
      </c>
      <c r="AH1542" s="964" t="str">
        <f t="shared" si="1068"/>
        <v/>
      </c>
      <c r="AI1542" s="964" t="str">
        <f t="shared" si="1069"/>
        <v/>
      </c>
      <c r="AJ1542" s="964"/>
      <c r="AK1542" s="964"/>
      <c r="AL1542"/>
      <c r="AM1542"/>
      <c r="AN1542"/>
      <c r="AO1542"/>
      <c r="AP1542"/>
      <c r="AQ1542"/>
      <c r="AR1542"/>
      <c r="AS1542"/>
      <c r="AT1542"/>
      <c r="AU1542"/>
      <c r="AV1542"/>
      <c r="AW1542"/>
      <c r="AX1542" s="9"/>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s="1396"/>
      <c r="CB1542" s="1396"/>
      <c r="CC1542"/>
      <c r="CD1542"/>
      <c r="CE1542"/>
    </row>
    <row r="1543" spans="1:83" ht="13.5" outlineLevel="1" thickBot="1" x14ac:dyDescent="0.25">
      <c r="A1543"/>
      <c r="B1543" s="1"/>
      <c r="C1543" s="1"/>
      <c r="D1543" s="76"/>
      <c r="E1543" s="76"/>
      <c r="F1543" s="76"/>
      <c r="G1543" s="9"/>
      <c r="H1543" s="9"/>
      <c r="I1543" s="1"/>
      <c r="J1543"/>
      <c r="K1543"/>
      <c r="L1543"/>
      <c r="M1543"/>
      <c r="N1543"/>
      <c r="O1543"/>
      <c r="P1543" s="89"/>
      <c r="Q1543"/>
      <c r="R1543" s="1"/>
      <c r="S1543" s="993">
        <f>S1532+1</f>
        <v>2</v>
      </c>
      <c r="T1543" s="961"/>
      <c r="U1543" s="961"/>
      <c r="V1543" s="961"/>
      <c r="W1543" s="960"/>
      <c r="X1543" s="960"/>
      <c r="Y1543" s="960"/>
      <c r="Z1543" s="962"/>
      <c r="AA1543" s="123"/>
      <c r="AB1543" s="963"/>
      <c r="AC1543" s="963"/>
      <c r="AD1543" s="963"/>
      <c r="AE1543" s="964"/>
      <c r="AF1543" s="964"/>
      <c r="AG1543" s="964"/>
      <c r="AH1543" s="964"/>
      <c r="AI1543" s="964"/>
      <c r="AJ1543" s="964"/>
      <c r="AK1543" s="964"/>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s="1396"/>
      <c r="CB1543" s="1396"/>
      <c r="CC1543"/>
      <c r="CD1543"/>
      <c r="CE1543"/>
    </row>
    <row r="1544" spans="1:83" ht="13.9" customHeight="1" outlineLevel="2" thickBot="1" x14ac:dyDescent="0.25">
      <c r="A1544"/>
      <c r="B1544" s="1"/>
      <c r="C1544"/>
      <c r="D1544"/>
      <c r="E1544"/>
      <c r="F1544"/>
      <c r="G1544" s="1"/>
      <c r="H1544" s="1"/>
      <c r="I1544"/>
      <c r="J1544"/>
      <c r="K1544"/>
      <c r="L1544"/>
      <c r="M1544"/>
      <c r="N1544"/>
      <c r="O1544"/>
      <c r="P1544"/>
      <c r="Q1544"/>
      <c r="S1544" s="22" t="str">
        <f>N_Heure</f>
        <v>Heure</v>
      </c>
      <c r="T1544" s="22" t="str">
        <f>N_Table</f>
        <v>Table</v>
      </c>
      <c r="U1544" s="22" t="str">
        <f>N_Arbitre</f>
        <v>Arbitre</v>
      </c>
      <c r="V1544" s="293" t="str">
        <f>N_Matches</f>
        <v>Matches</v>
      </c>
      <c r="W1544" s="294"/>
      <c r="X1544" s="294"/>
      <c r="Y1544" s="294"/>
      <c r="Z1544" s="295"/>
      <c r="AA1544" s="8"/>
      <c r="AB1544" s="967"/>
      <c r="AC1544" s="967"/>
      <c r="AD1544" s="967"/>
      <c r="AE1544" s="964"/>
      <c r="AF1544" s="964"/>
      <c r="AG1544" s="964"/>
      <c r="AH1544" s="964"/>
      <c r="AI1544" s="964"/>
      <c r="AJ1544" s="964"/>
      <c r="AK1544" s="96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s="1396"/>
      <c r="CB1544" s="1396"/>
      <c r="CC1544"/>
      <c r="CD1544"/>
      <c r="CE1544"/>
    </row>
    <row r="1545" spans="1:83" ht="13.15" customHeight="1" outlineLevel="2" x14ac:dyDescent="0.2">
      <c r="A1545"/>
      <c r="B1545" s="1"/>
      <c r="C1545"/>
      <c r="D1545"/>
      <c r="E1545"/>
      <c r="F1545"/>
      <c r="G1545" s="1"/>
      <c r="H1545" s="1"/>
      <c r="I1545"/>
      <c r="J1545"/>
      <c r="K1545"/>
      <c r="L1545"/>
      <c r="M1545"/>
      <c r="N1545"/>
      <c r="O1545"/>
      <c r="P1545"/>
      <c r="Q1545"/>
      <c r="R1545" s="558" t="s">
        <v>1727</v>
      </c>
      <c r="S1545" s="65"/>
      <c r="T1545" s="953"/>
      <c r="U1545" s="954"/>
      <c r="V1545" s="34" t="str">
        <f>V1535</f>
        <v>C</v>
      </c>
      <c r="W1545" s="148"/>
      <c r="X1545" s="35" t="s">
        <v>769</v>
      </c>
      <c r="Y1545" s="148"/>
      <c r="Z1545" s="36" t="str">
        <f>V1534</f>
        <v>A</v>
      </c>
      <c r="AA1545" s="123"/>
      <c r="AB1545" s="1459">
        <f t="shared" ref="AB1545:AB1553" si="1070">IF(MaxScore,MaxGoals(W1545,Y1545,MaxGoalsValue),IF(W1545="","",W1545))</f>
        <v>0</v>
      </c>
      <c r="AC1545" s="1460" t="str">
        <f t="shared" ref="AC1545:AC1553" si="1071">IF(MaxScore,"-",IF(W1545="","","-"))</f>
        <v>-</v>
      </c>
      <c r="AD1545" s="1459">
        <f t="shared" ref="AD1545:AD1553" si="1072">IF(MaxScore,MaxGoals(Y1545,W1545,MaxGoalsValue),IF(Y1545="","",Y1545))</f>
        <v>0</v>
      </c>
      <c r="AE1545" s="964" t="str">
        <f t="shared" ref="AE1545:AE1553" si="1073">IF(W1545="","",IF(W1545&gt;Y1545,V1545,IF(W1545=Y1545,"",Z1545)))</f>
        <v/>
      </c>
      <c r="AF1545" s="964" t="str">
        <f t="shared" ref="AF1545:AF1553" si="1074">IF(W1545="","",IF(W1545=Y1545,V1545,""))</f>
        <v/>
      </c>
      <c r="AG1545" s="964" t="str">
        <f t="shared" ref="AG1545:AG1553" si="1075">IF(W1545="","",IF(W1545=Y1545,Z1545,""))</f>
        <v/>
      </c>
      <c r="AH1545" s="964" t="str">
        <f t="shared" ref="AH1545:AH1553" si="1076">IF(W1545="","",IF(W1545&lt;Y1545,V1545,IF(W1545=Y1545,"",Z1545)))</f>
        <v/>
      </c>
      <c r="AI1545" s="964" t="str">
        <f t="shared" ref="AI1545:AI1553" si="1077">CONCATENATE(AE1545,AH1545)</f>
        <v/>
      </c>
      <c r="AJ1545" s="964"/>
      <c r="AK1545" s="964"/>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s="1396"/>
      <c r="CB1545" s="1396"/>
      <c r="CC1545"/>
      <c r="CD1545"/>
      <c r="CE1545"/>
    </row>
    <row r="1546" spans="1:83" ht="13.15" customHeight="1" outlineLevel="2" x14ac:dyDescent="0.2">
      <c r="A1546"/>
      <c r="B1546" s="1"/>
      <c r="C1546"/>
      <c r="D1546"/>
      <c r="E1546"/>
      <c r="F1546"/>
      <c r="G1546" s="1"/>
      <c r="H1546" s="1"/>
      <c r="I1546"/>
      <c r="J1546"/>
      <c r="K1546"/>
      <c r="L1546"/>
      <c r="M1546"/>
      <c r="N1546"/>
      <c r="O1546"/>
      <c r="P1546"/>
      <c r="Q1546"/>
      <c r="R1546" s="558" t="s">
        <v>1727</v>
      </c>
      <c r="S1546" s="83"/>
      <c r="T1546" s="56"/>
      <c r="U1546" s="955"/>
      <c r="V1546" s="43" t="str">
        <f t="shared" ref="V1546:V1553" si="1078">Z1534</f>
        <v>B</v>
      </c>
      <c r="W1546" s="10"/>
      <c r="X1546" s="45" t="s">
        <v>769</v>
      </c>
      <c r="Y1546" s="10"/>
      <c r="Z1546" s="46" t="str">
        <f t="shared" ref="Z1546:Z1552" si="1079">V1536</f>
        <v>E</v>
      </c>
      <c r="AA1546" s="123"/>
      <c r="AB1546" s="1459">
        <f t="shared" si="1070"/>
        <v>0</v>
      </c>
      <c r="AC1546" s="1460" t="str">
        <f t="shared" si="1071"/>
        <v>-</v>
      </c>
      <c r="AD1546" s="1459">
        <f t="shared" si="1072"/>
        <v>0</v>
      </c>
      <c r="AE1546" s="964" t="str">
        <f t="shared" si="1073"/>
        <v/>
      </c>
      <c r="AF1546" s="964" t="str">
        <f t="shared" si="1074"/>
        <v/>
      </c>
      <c r="AG1546" s="964" t="str">
        <f t="shared" si="1075"/>
        <v/>
      </c>
      <c r="AH1546" s="964" t="str">
        <f t="shared" si="1076"/>
        <v/>
      </c>
      <c r="AI1546" s="964" t="str">
        <f t="shared" si="1077"/>
        <v/>
      </c>
      <c r="AJ1546" s="964"/>
      <c r="AK1546" s="964"/>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s="1396"/>
      <c r="CB1546" s="1396"/>
      <c r="CC1546"/>
      <c r="CD1546"/>
      <c r="CE1546"/>
    </row>
    <row r="1547" spans="1:83" ht="13.15" customHeight="1" outlineLevel="2" x14ac:dyDescent="0.2">
      <c r="A1547"/>
      <c r="B1547" s="1"/>
      <c r="C1547"/>
      <c r="D1547"/>
      <c r="E1547"/>
      <c r="F1547"/>
      <c r="G1547" s="1"/>
      <c r="H1547" s="1"/>
      <c r="I1547"/>
      <c r="J1547"/>
      <c r="K1547"/>
      <c r="L1547"/>
      <c r="M1547"/>
      <c r="N1547"/>
      <c r="O1547"/>
      <c r="P1547"/>
      <c r="Q1547"/>
      <c r="R1547" s="558" t="s">
        <v>1727</v>
      </c>
      <c r="S1547" s="83"/>
      <c r="T1547" s="56"/>
      <c r="U1547" s="955"/>
      <c r="V1547" s="43" t="str">
        <f t="shared" si="1078"/>
        <v>D</v>
      </c>
      <c r="W1547" s="10"/>
      <c r="X1547" s="45" t="s">
        <v>769</v>
      </c>
      <c r="Y1547" s="10"/>
      <c r="Z1547" s="46" t="str">
        <f t="shared" si="1079"/>
        <v>G</v>
      </c>
      <c r="AA1547" s="123"/>
      <c r="AB1547" s="1459">
        <f t="shared" si="1070"/>
        <v>0</v>
      </c>
      <c r="AC1547" s="1460" t="str">
        <f t="shared" si="1071"/>
        <v>-</v>
      </c>
      <c r="AD1547" s="1459">
        <f t="shared" si="1072"/>
        <v>0</v>
      </c>
      <c r="AE1547" s="964" t="str">
        <f t="shared" si="1073"/>
        <v/>
      </c>
      <c r="AF1547" s="964" t="str">
        <f t="shared" si="1074"/>
        <v/>
      </c>
      <c r="AG1547" s="964" t="str">
        <f t="shared" si="1075"/>
        <v/>
      </c>
      <c r="AH1547" s="964" t="str">
        <f t="shared" si="1076"/>
        <v/>
      </c>
      <c r="AI1547" s="964" t="str">
        <f t="shared" si="1077"/>
        <v/>
      </c>
      <c r="AJ1547" s="964"/>
      <c r="AK1547" s="964"/>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s="1396"/>
      <c r="CB1547" s="1396"/>
      <c r="CC1547"/>
      <c r="CD1547"/>
      <c r="CE1547"/>
    </row>
    <row r="1548" spans="1:83" ht="13.15" customHeight="1" outlineLevel="2" x14ac:dyDescent="0.2">
      <c r="A1548"/>
      <c r="B1548" s="1"/>
      <c r="C1548"/>
      <c r="D1548"/>
      <c r="E1548"/>
      <c r="F1548"/>
      <c r="G1548" s="1"/>
      <c r="H1548" s="1"/>
      <c r="I1548"/>
      <c r="J1548"/>
      <c r="K1548"/>
      <c r="L1548"/>
      <c r="M1548"/>
      <c r="N1548"/>
      <c r="O1548"/>
      <c r="P1548"/>
      <c r="Q1548"/>
      <c r="R1548" s="558" t="s">
        <v>1727</v>
      </c>
      <c r="S1548" s="83"/>
      <c r="T1548" s="56"/>
      <c r="U1548" s="955"/>
      <c r="V1548" s="43" t="str">
        <f t="shared" si="1078"/>
        <v>F</v>
      </c>
      <c r="W1548" s="10"/>
      <c r="X1548" s="45" t="s">
        <v>769</v>
      </c>
      <c r="Y1548" s="10"/>
      <c r="Z1548" s="46" t="str">
        <f t="shared" si="1079"/>
        <v>I</v>
      </c>
      <c r="AA1548" s="123"/>
      <c r="AB1548" s="1459">
        <f t="shared" si="1070"/>
        <v>0</v>
      </c>
      <c r="AC1548" s="1460" t="str">
        <f t="shared" si="1071"/>
        <v>-</v>
      </c>
      <c r="AD1548" s="1459">
        <f t="shared" si="1072"/>
        <v>0</v>
      </c>
      <c r="AE1548" s="964" t="str">
        <f t="shared" si="1073"/>
        <v/>
      </c>
      <c r="AF1548" s="964" t="str">
        <f t="shared" si="1074"/>
        <v/>
      </c>
      <c r="AG1548" s="964" t="str">
        <f t="shared" si="1075"/>
        <v/>
      </c>
      <c r="AH1548" s="964" t="str">
        <f t="shared" si="1076"/>
        <v/>
      </c>
      <c r="AI1548" s="964" t="str">
        <f t="shared" si="1077"/>
        <v/>
      </c>
      <c r="AJ1548" s="964"/>
      <c r="AK1548" s="964"/>
      <c r="AL1548"/>
      <c r="AM1548"/>
      <c r="AN1548"/>
      <c r="AO1548"/>
      <c r="AP1548"/>
      <c r="AQ1548"/>
      <c r="AR1548"/>
      <c r="AS1548"/>
      <c r="AT1548"/>
      <c r="AU1548"/>
      <c r="AV1548"/>
      <c r="AW1548"/>
      <c r="AX1548" s="9"/>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s="1396"/>
      <c r="CB1548" s="1396"/>
      <c r="CC1548"/>
      <c r="CD1548"/>
      <c r="CE1548"/>
    </row>
    <row r="1549" spans="1:83" ht="13.15" customHeight="1" outlineLevel="2" x14ac:dyDescent="0.2">
      <c r="A1549"/>
      <c r="B1549" s="1"/>
      <c r="C1549"/>
      <c r="D1549"/>
      <c r="E1549"/>
      <c r="F1549"/>
      <c r="G1549" s="1"/>
      <c r="H1549" s="1"/>
      <c r="I1549"/>
      <c r="J1549"/>
      <c r="K1549"/>
      <c r="L1549"/>
      <c r="M1549"/>
      <c r="N1549"/>
      <c r="O1549"/>
      <c r="P1549"/>
      <c r="Q1549"/>
      <c r="R1549" s="558" t="s">
        <v>1727</v>
      </c>
      <c r="S1549" s="83"/>
      <c r="T1549" s="56"/>
      <c r="U1549" s="955"/>
      <c r="V1549" s="43" t="str">
        <f t="shared" si="1078"/>
        <v>H</v>
      </c>
      <c r="W1549" s="10"/>
      <c r="X1549" s="45" t="s">
        <v>769</v>
      </c>
      <c r="Y1549" s="10"/>
      <c r="Z1549" s="46" t="str">
        <f t="shared" si="1079"/>
        <v>K</v>
      </c>
      <c r="AA1549" s="123"/>
      <c r="AB1549" s="1459">
        <f t="shared" si="1070"/>
        <v>0</v>
      </c>
      <c r="AC1549" s="1460" t="str">
        <f t="shared" si="1071"/>
        <v>-</v>
      </c>
      <c r="AD1549" s="1459">
        <f t="shared" si="1072"/>
        <v>0</v>
      </c>
      <c r="AE1549" s="964" t="str">
        <f t="shared" si="1073"/>
        <v/>
      </c>
      <c r="AF1549" s="964" t="str">
        <f t="shared" si="1074"/>
        <v/>
      </c>
      <c r="AG1549" s="964" t="str">
        <f t="shared" si="1075"/>
        <v/>
      </c>
      <c r="AH1549" s="964" t="str">
        <f t="shared" si="1076"/>
        <v/>
      </c>
      <c r="AI1549" s="964" t="str">
        <f t="shared" si="1077"/>
        <v/>
      </c>
      <c r="AJ1549" s="964"/>
      <c r="AK1549" s="964"/>
      <c r="AL1549"/>
      <c r="AM1549"/>
      <c r="AN1549"/>
      <c r="AO1549"/>
      <c r="AP1549"/>
      <c r="AQ1549"/>
      <c r="AR1549"/>
      <c r="AS1549"/>
      <c r="AT1549"/>
      <c r="AU1549"/>
      <c r="AV1549"/>
      <c r="AW1549" s="9"/>
      <c r="AX1549" s="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s="1396"/>
      <c r="CB1549" s="1396"/>
      <c r="CC1549"/>
      <c r="CD1549"/>
      <c r="CE1549"/>
    </row>
    <row r="1550" spans="1:83" ht="13.15" customHeight="1" outlineLevel="2" x14ac:dyDescent="0.2">
      <c r="A1550"/>
      <c r="B1550" s="1"/>
      <c r="C1550"/>
      <c r="D1550"/>
      <c r="E1550"/>
      <c r="F1550"/>
      <c r="G1550" s="1"/>
      <c r="H1550" s="1"/>
      <c r="I1550"/>
      <c r="J1550"/>
      <c r="K1550"/>
      <c r="L1550"/>
      <c r="M1550"/>
      <c r="N1550"/>
      <c r="O1550"/>
      <c r="P1550"/>
      <c r="Q1550"/>
      <c r="R1550" s="558" t="s">
        <v>1727</v>
      </c>
      <c r="S1550" s="83"/>
      <c r="T1550" s="56"/>
      <c r="U1550" s="955"/>
      <c r="V1550" s="43" t="str">
        <f t="shared" si="1078"/>
        <v>J</v>
      </c>
      <c r="W1550" s="10"/>
      <c r="X1550" s="45" t="s">
        <v>769</v>
      </c>
      <c r="Y1550" s="10"/>
      <c r="Z1550" s="46" t="str">
        <f t="shared" si="1079"/>
        <v>M</v>
      </c>
      <c r="AA1550" s="123"/>
      <c r="AB1550" s="1459">
        <f t="shared" si="1070"/>
        <v>0</v>
      </c>
      <c r="AC1550" s="1460" t="str">
        <f t="shared" si="1071"/>
        <v>-</v>
      </c>
      <c r="AD1550" s="1459">
        <f t="shared" si="1072"/>
        <v>0</v>
      </c>
      <c r="AE1550" s="964" t="str">
        <f t="shared" si="1073"/>
        <v/>
      </c>
      <c r="AF1550" s="964" t="str">
        <f t="shared" si="1074"/>
        <v/>
      </c>
      <c r="AG1550" s="964" t="str">
        <f t="shared" si="1075"/>
        <v/>
      </c>
      <c r="AH1550" s="964" t="str">
        <f t="shared" si="1076"/>
        <v/>
      </c>
      <c r="AI1550" s="964" t="str">
        <f t="shared" si="1077"/>
        <v/>
      </c>
      <c r="AJ1550" s="964"/>
      <c r="AK1550" s="964"/>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s="1396"/>
      <c r="CB1550" s="1396"/>
      <c r="CC1550"/>
      <c r="CD1550"/>
      <c r="CE1550"/>
    </row>
    <row r="1551" spans="1:83" ht="13.15" customHeight="1" outlineLevel="2" x14ac:dyDescent="0.2">
      <c r="A1551"/>
      <c r="B1551" s="1"/>
      <c r="C1551"/>
      <c r="D1551"/>
      <c r="E1551"/>
      <c r="F1551"/>
      <c r="G1551" s="1"/>
      <c r="H1551" s="1"/>
      <c r="I1551"/>
      <c r="J1551"/>
      <c r="K1551"/>
      <c r="L1551"/>
      <c r="M1551"/>
      <c r="N1551"/>
      <c r="O1551"/>
      <c r="P1551"/>
      <c r="Q1551"/>
      <c r="R1551" s="558" t="s">
        <v>1727</v>
      </c>
      <c r="S1551" s="83"/>
      <c r="T1551" s="56"/>
      <c r="U1551" s="955"/>
      <c r="V1551" s="43" t="str">
        <f t="shared" si="1078"/>
        <v>L</v>
      </c>
      <c r="W1551" s="10"/>
      <c r="X1551" s="45" t="s">
        <v>769</v>
      </c>
      <c r="Y1551" s="10"/>
      <c r="Z1551" s="46" t="str">
        <f t="shared" si="1079"/>
        <v>O</v>
      </c>
      <c r="AA1551" s="123"/>
      <c r="AB1551" s="1459">
        <f t="shared" si="1070"/>
        <v>0</v>
      </c>
      <c r="AC1551" s="1460" t="str">
        <f t="shared" si="1071"/>
        <v>-</v>
      </c>
      <c r="AD1551" s="1459">
        <f t="shared" si="1072"/>
        <v>0</v>
      </c>
      <c r="AE1551" s="964" t="str">
        <f t="shared" si="1073"/>
        <v/>
      </c>
      <c r="AF1551" s="964" t="str">
        <f t="shared" si="1074"/>
        <v/>
      </c>
      <c r="AG1551" s="964" t="str">
        <f t="shared" si="1075"/>
        <v/>
      </c>
      <c r="AH1551" s="964" t="str">
        <f t="shared" si="1076"/>
        <v/>
      </c>
      <c r="AI1551" s="964" t="str">
        <f t="shared" si="1077"/>
        <v/>
      </c>
      <c r="AJ1551" s="964"/>
      <c r="AK1551" s="964"/>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s="1396"/>
      <c r="CB1551" s="1396"/>
      <c r="CC1551"/>
      <c r="CD1551"/>
      <c r="CE1551"/>
    </row>
    <row r="1552" spans="1:83" ht="13.15" customHeight="1" outlineLevel="2" x14ac:dyDescent="0.2">
      <c r="A1552"/>
      <c r="B1552" s="1"/>
      <c r="C1552"/>
      <c r="D1552"/>
      <c r="E1552"/>
      <c r="F1552"/>
      <c r="G1552" s="1"/>
      <c r="H1552" s="1"/>
      <c r="I1552"/>
      <c r="J1552"/>
      <c r="K1552"/>
      <c r="L1552"/>
      <c r="M1552"/>
      <c r="N1552"/>
      <c r="O1552"/>
      <c r="P1552"/>
      <c r="Q1552"/>
      <c r="R1552" s="558" t="s">
        <v>1727</v>
      </c>
      <c r="S1552" s="83"/>
      <c r="T1552" s="56"/>
      <c r="U1552" s="955"/>
      <c r="V1552" s="43" t="str">
        <f t="shared" si="1078"/>
        <v>N</v>
      </c>
      <c r="W1552" s="10"/>
      <c r="X1552" s="45" t="s">
        <v>769</v>
      </c>
      <c r="Y1552" s="10"/>
      <c r="Z1552" s="46" t="str">
        <f t="shared" si="1079"/>
        <v>Q</v>
      </c>
      <c r="AA1552" s="123"/>
      <c r="AB1552" s="1459">
        <f t="shared" si="1070"/>
        <v>0</v>
      </c>
      <c r="AC1552" s="1460" t="str">
        <f t="shared" si="1071"/>
        <v>-</v>
      </c>
      <c r="AD1552" s="1459">
        <f t="shared" si="1072"/>
        <v>0</v>
      </c>
      <c r="AE1552" s="964" t="str">
        <f t="shared" si="1073"/>
        <v/>
      </c>
      <c r="AF1552" s="964" t="str">
        <f t="shared" si="1074"/>
        <v/>
      </c>
      <c r="AG1552" s="964" t="str">
        <f t="shared" si="1075"/>
        <v/>
      </c>
      <c r="AH1552" s="964" t="str">
        <f t="shared" si="1076"/>
        <v/>
      </c>
      <c r="AI1552" s="964" t="str">
        <f t="shared" si="1077"/>
        <v/>
      </c>
      <c r="AJ1552" s="964"/>
      <c r="AK1552" s="964"/>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s="1396"/>
      <c r="CB1552" s="1396"/>
      <c r="CC1552"/>
      <c r="CD1552"/>
      <c r="CE1552"/>
    </row>
    <row r="1553" spans="1:83" ht="13.15" customHeight="1" outlineLevel="2" thickBot="1" x14ac:dyDescent="0.25">
      <c r="A1553"/>
      <c r="B1553" s="1"/>
      <c r="C1553"/>
      <c r="D1553"/>
      <c r="E1553"/>
      <c r="F1553"/>
      <c r="G1553" s="1"/>
      <c r="H1553" s="1"/>
      <c r="I1553"/>
      <c r="J1553"/>
      <c r="K1553"/>
      <c r="L1553"/>
      <c r="M1553"/>
      <c r="N1553"/>
      <c r="O1553"/>
      <c r="P1553"/>
      <c r="Q1553"/>
      <c r="R1553" s="558" t="s">
        <v>1727</v>
      </c>
      <c r="S1553" s="83"/>
      <c r="T1553" s="56"/>
      <c r="U1553" s="955"/>
      <c r="V1553" s="43" t="str">
        <f t="shared" si="1078"/>
        <v>P</v>
      </c>
      <c r="W1553" s="10"/>
      <c r="X1553" s="45" t="s">
        <v>769</v>
      </c>
      <c r="Y1553" s="10"/>
      <c r="Z1553" s="46" t="str">
        <f>G1531</f>
        <v>S</v>
      </c>
      <c r="AA1553" s="123"/>
      <c r="AB1553" s="1459">
        <f t="shared" si="1070"/>
        <v>0</v>
      </c>
      <c r="AC1553" s="1460" t="str">
        <f t="shared" si="1071"/>
        <v>-</v>
      </c>
      <c r="AD1553" s="1459">
        <f t="shared" si="1072"/>
        <v>0</v>
      </c>
      <c r="AE1553" s="964" t="str">
        <f t="shared" si="1073"/>
        <v/>
      </c>
      <c r="AF1553" s="964" t="str">
        <f t="shared" si="1074"/>
        <v/>
      </c>
      <c r="AG1553" s="964" t="str">
        <f t="shared" si="1075"/>
        <v/>
      </c>
      <c r="AH1553" s="964" t="str">
        <f t="shared" si="1076"/>
        <v/>
      </c>
      <c r="AI1553" s="964" t="str">
        <f t="shared" si="1077"/>
        <v/>
      </c>
      <c r="AJ1553" s="964"/>
      <c r="AK1553" s="964"/>
      <c r="AL1553"/>
      <c r="AM1553"/>
      <c r="AN1553"/>
      <c r="AO1553"/>
      <c r="AP1553"/>
      <c r="AQ1553"/>
      <c r="AR1553"/>
      <c r="AS1553"/>
      <c r="AT1553"/>
      <c r="AU1553"/>
      <c r="AV1553"/>
      <c r="AW1553"/>
      <c r="AX1553" s="9"/>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s="1396"/>
      <c r="CB1553" s="1396"/>
      <c r="CC1553"/>
      <c r="CD1553"/>
      <c r="CE1553"/>
    </row>
    <row r="1554" spans="1:83" ht="13.5" outlineLevel="1" thickBot="1" x14ac:dyDescent="0.25">
      <c r="A1554"/>
      <c r="B1554" s="1"/>
      <c r="C1554" s="1"/>
      <c r="D1554" s="76"/>
      <c r="E1554" s="76"/>
      <c r="F1554" s="76"/>
      <c r="G1554" s="9"/>
      <c r="H1554" s="9"/>
      <c r="I1554" s="1"/>
      <c r="J1554"/>
      <c r="K1554"/>
      <c r="L1554"/>
      <c r="M1554"/>
      <c r="N1554"/>
      <c r="O1554"/>
      <c r="P1554" s="89"/>
      <c r="Q1554"/>
      <c r="R1554" s="1"/>
      <c r="S1554" s="993">
        <f>S1543+1</f>
        <v>3</v>
      </c>
      <c r="T1554" s="961"/>
      <c r="U1554" s="961"/>
      <c r="V1554" s="961"/>
      <c r="W1554" s="960"/>
      <c r="X1554" s="960"/>
      <c r="Y1554" s="960"/>
      <c r="Z1554" s="962"/>
      <c r="AA1554" s="123"/>
      <c r="AB1554" s="963"/>
      <c r="AC1554" s="963"/>
      <c r="AD1554" s="963"/>
      <c r="AE1554" s="964"/>
      <c r="AF1554" s="964"/>
      <c r="AG1554" s="964"/>
      <c r="AH1554" s="964"/>
      <c r="AI1554" s="964"/>
      <c r="AJ1554" s="964"/>
      <c r="AK1554" s="96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s="1396"/>
      <c r="CB1554" s="1396"/>
      <c r="CC1554"/>
      <c r="CD1554"/>
      <c r="CE1554"/>
    </row>
    <row r="1555" spans="1:83" ht="13.9" customHeight="1" outlineLevel="2" thickBot="1" x14ac:dyDescent="0.25">
      <c r="A1555"/>
      <c r="B1555" s="1"/>
      <c r="C1555"/>
      <c r="D1555"/>
      <c r="E1555"/>
      <c r="F1555"/>
      <c r="G1555" s="1"/>
      <c r="H1555" s="1"/>
      <c r="I1555"/>
      <c r="J1555"/>
      <c r="K1555"/>
      <c r="L1555"/>
      <c r="M1555"/>
      <c r="N1555"/>
      <c r="O1555"/>
      <c r="P1555"/>
      <c r="Q1555"/>
      <c r="S1555" s="22" t="str">
        <f>N_Heure</f>
        <v>Heure</v>
      </c>
      <c r="T1555" s="22" t="str">
        <f>N_Table</f>
        <v>Table</v>
      </c>
      <c r="U1555" s="22" t="str">
        <f>N_Arbitre</f>
        <v>Arbitre</v>
      </c>
      <c r="V1555" s="293" t="str">
        <f>N_Matches</f>
        <v>Matches</v>
      </c>
      <c r="W1555" s="294"/>
      <c r="X1555" s="294"/>
      <c r="Y1555" s="294"/>
      <c r="Z1555" s="295"/>
      <c r="AA1555" s="8"/>
      <c r="AB1555" s="967"/>
      <c r="AC1555" s="967"/>
      <c r="AD1555" s="967"/>
      <c r="AE1555" s="964"/>
      <c r="AF1555" s="964"/>
      <c r="AG1555" s="964"/>
      <c r="AH1555" s="964"/>
      <c r="AI1555" s="964"/>
      <c r="AJ1555" s="964"/>
      <c r="AK1555" s="964"/>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s="1396"/>
      <c r="CB1555" s="1396"/>
      <c r="CC1555"/>
      <c r="CD1555"/>
      <c r="CE1555"/>
    </row>
    <row r="1556" spans="1:83" ht="13.15" customHeight="1" outlineLevel="2" x14ac:dyDescent="0.2">
      <c r="A1556"/>
      <c r="B1556" s="1"/>
      <c r="C1556"/>
      <c r="D1556"/>
      <c r="E1556"/>
      <c r="F1556"/>
      <c r="G1556" s="1"/>
      <c r="H1556" s="1"/>
      <c r="I1556"/>
      <c r="J1556"/>
      <c r="K1556"/>
      <c r="L1556"/>
      <c r="M1556"/>
      <c r="N1556"/>
      <c r="O1556"/>
      <c r="P1556"/>
      <c r="Q1556"/>
      <c r="R1556" s="558" t="s">
        <v>1728</v>
      </c>
      <c r="S1556" s="65"/>
      <c r="T1556" s="953"/>
      <c r="U1556" s="954"/>
      <c r="V1556" s="34" t="str">
        <f>Z1545</f>
        <v>A</v>
      </c>
      <c r="W1556" s="148"/>
      <c r="X1556" s="35" t="s">
        <v>769</v>
      </c>
      <c r="Y1556" s="148"/>
      <c r="Z1556" s="36" t="str">
        <f>Z1546</f>
        <v>E</v>
      </c>
      <c r="AA1556" s="123"/>
      <c r="AB1556" s="1459">
        <f t="shared" ref="AB1556:AB1564" si="1080">IF(MaxScore,MaxGoals(W1556,Y1556,MaxGoalsValue),IF(W1556="","",W1556))</f>
        <v>0</v>
      </c>
      <c r="AC1556" s="1460" t="str">
        <f t="shared" ref="AC1556:AC1564" si="1081">IF(MaxScore,"-",IF(W1556="","","-"))</f>
        <v>-</v>
      </c>
      <c r="AD1556" s="1459">
        <f t="shared" ref="AD1556:AD1564" si="1082">IF(MaxScore,MaxGoals(Y1556,W1556,MaxGoalsValue),IF(Y1556="","",Y1556))</f>
        <v>0</v>
      </c>
      <c r="AE1556" s="964" t="str">
        <f t="shared" ref="AE1556:AE1564" si="1083">IF(W1556="","",IF(W1556&gt;Y1556,V1556,IF(W1556=Y1556,"",Z1556)))</f>
        <v/>
      </c>
      <c r="AF1556" s="964" t="str">
        <f t="shared" ref="AF1556:AF1564" si="1084">IF(W1556="","",IF(W1556=Y1556,V1556,""))</f>
        <v/>
      </c>
      <c r="AG1556" s="964" t="str">
        <f t="shared" ref="AG1556:AG1564" si="1085">IF(W1556="","",IF(W1556=Y1556,Z1556,""))</f>
        <v/>
      </c>
      <c r="AH1556" s="964" t="str">
        <f t="shared" ref="AH1556:AH1564" si="1086">IF(W1556="","",IF(W1556&lt;Y1556,V1556,IF(W1556=Y1556,"",Z1556)))</f>
        <v/>
      </c>
      <c r="AI1556" s="964" t="str">
        <f t="shared" ref="AI1556:AI1564" si="1087">CONCATENATE(AE1556,AH1556)</f>
        <v/>
      </c>
      <c r="AJ1556" s="964"/>
      <c r="AK1556" s="964"/>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s="1396"/>
      <c r="CB1556" s="1396"/>
      <c r="CC1556"/>
      <c r="CD1556"/>
      <c r="CE1556"/>
    </row>
    <row r="1557" spans="1:83" ht="13.15" customHeight="1" outlineLevel="2" x14ac:dyDescent="0.2">
      <c r="A1557"/>
      <c r="B1557" s="1"/>
      <c r="C1557"/>
      <c r="D1557"/>
      <c r="E1557"/>
      <c r="F1557"/>
      <c r="G1557" s="1"/>
      <c r="H1557" s="1"/>
      <c r="I1557"/>
      <c r="J1557"/>
      <c r="K1557"/>
      <c r="L1557"/>
      <c r="M1557"/>
      <c r="N1557"/>
      <c r="O1557"/>
      <c r="P1557"/>
      <c r="Q1557"/>
      <c r="R1557" s="558" t="s">
        <v>1728</v>
      </c>
      <c r="S1557" s="83"/>
      <c r="T1557" s="56"/>
      <c r="U1557" s="955"/>
      <c r="V1557" s="43" t="str">
        <f t="shared" ref="V1557:V1563" si="1088">Z1547</f>
        <v>G</v>
      </c>
      <c r="W1557" s="10"/>
      <c r="X1557" s="45" t="s">
        <v>769</v>
      </c>
      <c r="Y1557" s="10"/>
      <c r="Z1557" s="46" t="str">
        <f t="shared" ref="Z1557:Z1563" si="1089">V1545</f>
        <v>C</v>
      </c>
      <c r="AA1557" s="123"/>
      <c r="AB1557" s="1459">
        <f t="shared" si="1080"/>
        <v>0</v>
      </c>
      <c r="AC1557" s="1460" t="str">
        <f t="shared" si="1081"/>
        <v>-</v>
      </c>
      <c r="AD1557" s="1459">
        <f t="shared" si="1082"/>
        <v>0</v>
      </c>
      <c r="AE1557" s="964" t="str">
        <f t="shared" si="1083"/>
        <v/>
      </c>
      <c r="AF1557" s="964" t="str">
        <f t="shared" si="1084"/>
        <v/>
      </c>
      <c r="AG1557" s="964" t="str">
        <f t="shared" si="1085"/>
        <v/>
      </c>
      <c r="AH1557" s="964" t="str">
        <f t="shared" si="1086"/>
        <v/>
      </c>
      <c r="AI1557" s="964" t="str">
        <f t="shared" si="1087"/>
        <v/>
      </c>
      <c r="AJ1557" s="964"/>
      <c r="AK1557" s="964"/>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s="1396"/>
      <c r="CB1557" s="1396"/>
      <c r="CC1557"/>
      <c r="CD1557"/>
      <c r="CE1557"/>
    </row>
    <row r="1558" spans="1:83" ht="13.15" customHeight="1" outlineLevel="2" x14ac:dyDescent="0.2">
      <c r="A1558"/>
      <c r="B1558" s="1"/>
      <c r="C1558"/>
      <c r="D1558"/>
      <c r="E1558"/>
      <c r="F1558"/>
      <c r="G1558" s="1"/>
      <c r="H1558" s="1"/>
      <c r="I1558"/>
      <c r="J1558"/>
      <c r="K1558"/>
      <c r="L1558"/>
      <c r="M1558"/>
      <c r="N1558"/>
      <c r="O1558"/>
      <c r="P1558"/>
      <c r="Q1558"/>
      <c r="R1558" s="558" t="s">
        <v>1728</v>
      </c>
      <c r="S1558" s="83"/>
      <c r="T1558" s="56"/>
      <c r="U1558" s="955"/>
      <c r="V1558" s="43" t="str">
        <f t="shared" si="1088"/>
        <v>I</v>
      </c>
      <c r="W1558" s="10"/>
      <c r="X1558" s="45" t="s">
        <v>769</v>
      </c>
      <c r="Y1558" s="10"/>
      <c r="Z1558" s="46" t="str">
        <f t="shared" si="1089"/>
        <v>B</v>
      </c>
      <c r="AA1558" s="123"/>
      <c r="AB1558" s="1459">
        <f t="shared" si="1080"/>
        <v>0</v>
      </c>
      <c r="AC1558" s="1460" t="str">
        <f t="shared" si="1081"/>
        <v>-</v>
      </c>
      <c r="AD1558" s="1459">
        <f t="shared" si="1082"/>
        <v>0</v>
      </c>
      <c r="AE1558" s="964" t="str">
        <f t="shared" si="1083"/>
        <v/>
      </c>
      <c r="AF1558" s="964" t="str">
        <f t="shared" si="1084"/>
        <v/>
      </c>
      <c r="AG1558" s="964" t="str">
        <f t="shared" si="1085"/>
        <v/>
      </c>
      <c r="AH1558" s="964" t="str">
        <f t="shared" si="1086"/>
        <v/>
      </c>
      <c r="AI1558" s="964" t="str">
        <f t="shared" si="1087"/>
        <v/>
      </c>
      <c r="AJ1558" s="964"/>
      <c r="AK1558" s="964"/>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s="1396"/>
      <c r="CB1558" s="1396"/>
      <c r="CC1558"/>
      <c r="CD1558"/>
      <c r="CE1558"/>
    </row>
    <row r="1559" spans="1:83" ht="13.15" customHeight="1" outlineLevel="2" x14ac:dyDescent="0.2">
      <c r="A1559"/>
      <c r="B1559" s="1"/>
      <c r="C1559"/>
      <c r="D1559"/>
      <c r="E1559"/>
      <c r="F1559"/>
      <c r="G1559" s="1"/>
      <c r="H1559" s="1"/>
      <c r="I1559"/>
      <c r="J1559"/>
      <c r="K1559"/>
      <c r="L1559"/>
      <c r="M1559"/>
      <c r="N1559"/>
      <c r="O1559"/>
      <c r="P1559"/>
      <c r="Q1559"/>
      <c r="R1559" s="558" t="s">
        <v>1728</v>
      </c>
      <c r="S1559" s="83"/>
      <c r="T1559" s="56"/>
      <c r="U1559" s="955"/>
      <c r="V1559" s="43" t="str">
        <f t="shared" si="1088"/>
        <v>K</v>
      </c>
      <c r="W1559" s="10"/>
      <c r="X1559" s="45" t="s">
        <v>769</v>
      </c>
      <c r="Y1559" s="10"/>
      <c r="Z1559" s="46" t="str">
        <f t="shared" si="1089"/>
        <v>D</v>
      </c>
      <c r="AA1559" s="123"/>
      <c r="AB1559" s="1459">
        <f t="shared" si="1080"/>
        <v>0</v>
      </c>
      <c r="AC1559" s="1460" t="str">
        <f t="shared" si="1081"/>
        <v>-</v>
      </c>
      <c r="AD1559" s="1459">
        <f t="shared" si="1082"/>
        <v>0</v>
      </c>
      <c r="AE1559" s="964" t="str">
        <f t="shared" si="1083"/>
        <v/>
      </c>
      <c r="AF1559" s="964" t="str">
        <f t="shared" si="1084"/>
        <v/>
      </c>
      <c r="AG1559" s="964" t="str">
        <f t="shared" si="1085"/>
        <v/>
      </c>
      <c r="AH1559" s="964" t="str">
        <f t="shared" si="1086"/>
        <v/>
      </c>
      <c r="AI1559" s="964" t="str">
        <f t="shared" si="1087"/>
        <v/>
      </c>
      <c r="AJ1559" s="964"/>
      <c r="AK1559" s="964"/>
      <c r="AL1559"/>
      <c r="AM1559"/>
      <c r="AN1559"/>
      <c r="AO1559"/>
      <c r="AP1559"/>
      <c r="AQ1559"/>
      <c r="AR1559"/>
      <c r="AS1559"/>
      <c r="AT1559"/>
      <c r="AU1559"/>
      <c r="AV1559"/>
      <c r="AW1559"/>
      <c r="AX1559" s="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s="1396"/>
      <c r="CB1559" s="1396"/>
      <c r="CC1559"/>
      <c r="CD1559"/>
      <c r="CE1559"/>
    </row>
    <row r="1560" spans="1:83" ht="13.15" customHeight="1" outlineLevel="2" x14ac:dyDescent="0.2">
      <c r="A1560"/>
      <c r="B1560" s="1"/>
      <c r="C1560"/>
      <c r="D1560"/>
      <c r="E1560"/>
      <c r="F1560"/>
      <c r="G1560" s="1"/>
      <c r="H1560" s="1"/>
      <c r="I1560"/>
      <c r="J1560"/>
      <c r="K1560"/>
      <c r="L1560"/>
      <c r="M1560"/>
      <c r="N1560"/>
      <c r="O1560"/>
      <c r="P1560"/>
      <c r="Q1560"/>
      <c r="R1560" s="558" t="s">
        <v>1728</v>
      </c>
      <c r="S1560" s="83"/>
      <c r="T1560" s="56"/>
      <c r="U1560" s="955"/>
      <c r="V1560" s="43" t="str">
        <f t="shared" si="1088"/>
        <v>M</v>
      </c>
      <c r="W1560" s="10"/>
      <c r="X1560" s="45" t="s">
        <v>769</v>
      </c>
      <c r="Y1560" s="10"/>
      <c r="Z1560" s="46" t="str">
        <f t="shared" si="1089"/>
        <v>F</v>
      </c>
      <c r="AA1560" s="123"/>
      <c r="AB1560" s="1459">
        <f t="shared" si="1080"/>
        <v>0</v>
      </c>
      <c r="AC1560" s="1460" t="str">
        <f t="shared" si="1081"/>
        <v>-</v>
      </c>
      <c r="AD1560" s="1459">
        <f t="shared" si="1082"/>
        <v>0</v>
      </c>
      <c r="AE1560" s="964" t="str">
        <f t="shared" si="1083"/>
        <v/>
      </c>
      <c r="AF1560" s="964" t="str">
        <f t="shared" si="1084"/>
        <v/>
      </c>
      <c r="AG1560" s="964" t="str">
        <f t="shared" si="1085"/>
        <v/>
      </c>
      <c r="AH1560" s="964" t="str">
        <f t="shared" si="1086"/>
        <v/>
      </c>
      <c r="AI1560" s="964" t="str">
        <f t="shared" si="1087"/>
        <v/>
      </c>
      <c r="AJ1560" s="964"/>
      <c r="AK1560" s="964"/>
      <c r="AL1560"/>
      <c r="AM1560"/>
      <c r="AN1560"/>
      <c r="AO1560"/>
      <c r="AP1560"/>
      <c r="AQ1560"/>
      <c r="AR1560"/>
      <c r="AS1560"/>
      <c r="AT1560"/>
      <c r="AU1560"/>
      <c r="AV1560"/>
      <c r="AW1560" s="9"/>
      <c r="AX1560" s="9"/>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s="1396"/>
      <c r="CB1560" s="1396"/>
      <c r="CC1560"/>
      <c r="CD1560"/>
      <c r="CE1560"/>
    </row>
    <row r="1561" spans="1:83" ht="13.15" customHeight="1" outlineLevel="2" x14ac:dyDescent="0.2">
      <c r="A1561"/>
      <c r="B1561" s="1"/>
      <c r="C1561"/>
      <c r="D1561"/>
      <c r="E1561"/>
      <c r="F1561"/>
      <c r="G1561" s="1"/>
      <c r="H1561" s="1"/>
      <c r="I1561"/>
      <c r="J1561"/>
      <c r="K1561"/>
      <c r="L1561"/>
      <c r="M1561"/>
      <c r="N1561"/>
      <c r="O1561"/>
      <c r="P1561"/>
      <c r="Q1561"/>
      <c r="R1561" s="558" t="s">
        <v>1728</v>
      </c>
      <c r="S1561" s="83"/>
      <c r="T1561" s="56"/>
      <c r="U1561" s="955"/>
      <c r="V1561" s="43" t="str">
        <f t="shared" si="1088"/>
        <v>O</v>
      </c>
      <c r="W1561" s="10"/>
      <c r="X1561" s="45" t="s">
        <v>769</v>
      </c>
      <c r="Y1561" s="10"/>
      <c r="Z1561" s="46" t="str">
        <f t="shared" si="1089"/>
        <v>H</v>
      </c>
      <c r="AA1561" s="123"/>
      <c r="AB1561" s="1459">
        <f t="shared" si="1080"/>
        <v>0</v>
      </c>
      <c r="AC1561" s="1460" t="str">
        <f t="shared" si="1081"/>
        <v>-</v>
      </c>
      <c r="AD1561" s="1459">
        <f t="shared" si="1082"/>
        <v>0</v>
      </c>
      <c r="AE1561" s="964" t="str">
        <f t="shared" si="1083"/>
        <v/>
      </c>
      <c r="AF1561" s="964" t="str">
        <f t="shared" si="1084"/>
        <v/>
      </c>
      <c r="AG1561" s="964" t="str">
        <f t="shared" si="1085"/>
        <v/>
      </c>
      <c r="AH1561" s="964" t="str">
        <f t="shared" si="1086"/>
        <v/>
      </c>
      <c r="AI1561" s="964" t="str">
        <f t="shared" si="1087"/>
        <v/>
      </c>
      <c r="AJ1561" s="964"/>
      <c r="AK1561" s="964"/>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s="1396"/>
      <c r="CB1561" s="1396"/>
      <c r="CC1561"/>
      <c r="CD1561"/>
      <c r="CE1561"/>
    </row>
    <row r="1562" spans="1:83" ht="13.15" customHeight="1" outlineLevel="2" x14ac:dyDescent="0.2">
      <c r="A1562"/>
      <c r="B1562" s="1"/>
      <c r="C1562"/>
      <c r="D1562"/>
      <c r="E1562"/>
      <c r="F1562"/>
      <c r="G1562" s="1"/>
      <c r="H1562" s="1"/>
      <c r="I1562"/>
      <c r="J1562"/>
      <c r="K1562"/>
      <c r="L1562"/>
      <c r="M1562"/>
      <c r="N1562"/>
      <c r="O1562"/>
      <c r="P1562"/>
      <c r="Q1562"/>
      <c r="R1562" s="558" t="s">
        <v>1728</v>
      </c>
      <c r="S1562" s="83"/>
      <c r="T1562" s="56"/>
      <c r="U1562" s="955"/>
      <c r="V1562" s="43" t="str">
        <f t="shared" si="1088"/>
        <v>Q</v>
      </c>
      <c r="W1562" s="10"/>
      <c r="X1562" s="45" t="s">
        <v>769</v>
      </c>
      <c r="Y1562" s="10"/>
      <c r="Z1562" s="46" t="str">
        <f t="shared" si="1089"/>
        <v>J</v>
      </c>
      <c r="AA1562" s="123"/>
      <c r="AB1562" s="1459">
        <f t="shared" si="1080"/>
        <v>0</v>
      </c>
      <c r="AC1562" s="1460" t="str">
        <f t="shared" si="1081"/>
        <v>-</v>
      </c>
      <c r="AD1562" s="1459">
        <f t="shared" si="1082"/>
        <v>0</v>
      </c>
      <c r="AE1562" s="964" t="str">
        <f t="shared" si="1083"/>
        <v/>
      </c>
      <c r="AF1562" s="964" t="str">
        <f t="shared" si="1084"/>
        <v/>
      </c>
      <c r="AG1562" s="964" t="str">
        <f t="shared" si="1085"/>
        <v/>
      </c>
      <c r="AH1562" s="964" t="str">
        <f t="shared" si="1086"/>
        <v/>
      </c>
      <c r="AI1562" s="964" t="str">
        <f t="shared" si="1087"/>
        <v/>
      </c>
      <c r="AJ1562" s="964"/>
      <c r="AK1562" s="964"/>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s="1396"/>
      <c r="CB1562" s="1396"/>
      <c r="CC1562"/>
      <c r="CD1562"/>
      <c r="CE1562"/>
    </row>
    <row r="1563" spans="1:83" ht="13.15" customHeight="1" outlineLevel="2" x14ac:dyDescent="0.2">
      <c r="A1563"/>
      <c r="B1563" s="1"/>
      <c r="C1563"/>
      <c r="D1563"/>
      <c r="E1563"/>
      <c r="F1563"/>
      <c r="G1563" s="1"/>
      <c r="H1563" s="1"/>
      <c r="I1563"/>
      <c r="J1563"/>
      <c r="K1563"/>
      <c r="L1563"/>
      <c r="M1563"/>
      <c r="N1563"/>
      <c r="O1563"/>
      <c r="P1563"/>
      <c r="Q1563"/>
      <c r="R1563" s="558" t="s">
        <v>1728</v>
      </c>
      <c r="S1563" s="83"/>
      <c r="T1563" s="56"/>
      <c r="U1563" s="955"/>
      <c r="V1563" s="43" t="str">
        <f t="shared" si="1088"/>
        <v>S</v>
      </c>
      <c r="W1563" s="10"/>
      <c r="X1563" s="45" t="s">
        <v>769</v>
      </c>
      <c r="Y1563" s="10"/>
      <c r="Z1563" s="46" t="str">
        <f t="shared" si="1089"/>
        <v>L</v>
      </c>
      <c r="AA1563" s="123"/>
      <c r="AB1563" s="1459">
        <f t="shared" si="1080"/>
        <v>0</v>
      </c>
      <c r="AC1563" s="1460" t="str">
        <f t="shared" si="1081"/>
        <v>-</v>
      </c>
      <c r="AD1563" s="1459">
        <f t="shared" si="1082"/>
        <v>0</v>
      </c>
      <c r="AE1563" s="964" t="str">
        <f t="shared" si="1083"/>
        <v/>
      </c>
      <c r="AF1563" s="964" t="str">
        <f t="shared" si="1084"/>
        <v/>
      </c>
      <c r="AG1563" s="964" t="str">
        <f t="shared" si="1085"/>
        <v/>
      </c>
      <c r="AH1563" s="964" t="str">
        <f t="shared" si="1086"/>
        <v/>
      </c>
      <c r="AI1563" s="964" t="str">
        <f t="shared" si="1087"/>
        <v/>
      </c>
      <c r="AJ1563" s="964"/>
      <c r="AK1563" s="964"/>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s="1396"/>
      <c r="CB1563" s="1396"/>
      <c r="CC1563"/>
      <c r="CD1563"/>
      <c r="CE1563"/>
    </row>
    <row r="1564" spans="1:83" ht="13.9" customHeight="1" outlineLevel="2" thickBot="1" x14ac:dyDescent="0.25">
      <c r="A1564"/>
      <c r="B1564" s="1"/>
      <c r="C1564"/>
      <c r="D1564"/>
      <c r="E1564"/>
      <c r="F1564"/>
      <c r="G1564" s="1"/>
      <c r="H1564" s="1"/>
      <c r="I1564"/>
      <c r="J1564"/>
      <c r="K1564"/>
      <c r="L1564"/>
      <c r="M1564"/>
      <c r="N1564"/>
      <c r="O1564"/>
      <c r="P1564"/>
      <c r="Q1564"/>
      <c r="R1564" s="558" t="s">
        <v>1728</v>
      </c>
      <c r="S1564" s="956"/>
      <c r="T1564" s="58"/>
      <c r="U1564" s="957"/>
      <c r="V1564" s="958" t="str">
        <f>Z1542</f>
        <v>R</v>
      </c>
      <c r="W1564" s="175"/>
      <c r="X1564" s="52" t="s">
        <v>769</v>
      </c>
      <c r="Y1564" s="175"/>
      <c r="Z1564" s="46" t="str">
        <f>V1553</f>
        <v>P</v>
      </c>
      <c r="AA1564" s="123"/>
      <c r="AB1564" s="1459">
        <f t="shared" si="1080"/>
        <v>0</v>
      </c>
      <c r="AC1564" s="1460" t="str">
        <f t="shared" si="1081"/>
        <v>-</v>
      </c>
      <c r="AD1564" s="1459">
        <f t="shared" si="1082"/>
        <v>0</v>
      </c>
      <c r="AE1564" s="964" t="str">
        <f t="shared" si="1083"/>
        <v/>
      </c>
      <c r="AF1564" s="964" t="str">
        <f t="shared" si="1084"/>
        <v/>
      </c>
      <c r="AG1564" s="964" t="str">
        <f t="shared" si="1085"/>
        <v/>
      </c>
      <c r="AH1564" s="964" t="str">
        <f t="shared" si="1086"/>
        <v/>
      </c>
      <c r="AI1564" s="964" t="str">
        <f t="shared" si="1087"/>
        <v/>
      </c>
      <c r="AJ1564" s="964"/>
      <c r="AK1564" s="964"/>
      <c r="AL1564"/>
      <c r="AM1564"/>
      <c r="AN1564"/>
      <c r="AO1564"/>
      <c r="AP1564"/>
      <c r="AQ1564"/>
      <c r="AR1564"/>
      <c r="AS1564"/>
      <c r="AT1564"/>
      <c r="AU1564"/>
      <c r="AV1564"/>
      <c r="AW1564" s="9"/>
      <c r="AX1564" s="9"/>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s="1396"/>
      <c r="CB1564" s="1396"/>
      <c r="CC1564"/>
      <c r="CD1564"/>
      <c r="CE1564"/>
    </row>
    <row r="1565" spans="1:83" ht="13.5" outlineLevel="1" thickBot="1" x14ac:dyDescent="0.25">
      <c r="A1565"/>
      <c r="B1565" s="1"/>
      <c r="C1565" s="1"/>
      <c r="D1565" s="76"/>
      <c r="E1565" s="76"/>
      <c r="F1565" s="76"/>
      <c r="G1565" s="9"/>
      <c r="H1565" s="9"/>
      <c r="I1565" s="1"/>
      <c r="J1565"/>
      <c r="K1565"/>
      <c r="L1565"/>
      <c r="M1565"/>
      <c r="N1565"/>
      <c r="O1565"/>
      <c r="P1565" s="89"/>
      <c r="Q1565"/>
      <c r="R1565" s="1"/>
      <c r="S1565" s="993">
        <f>S1554+1</f>
        <v>4</v>
      </c>
      <c r="T1565" s="961"/>
      <c r="U1565" s="961"/>
      <c r="V1565" s="961"/>
      <c r="W1565" s="960"/>
      <c r="X1565" s="960"/>
      <c r="Y1565" s="960"/>
      <c r="Z1565" s="962"/>
      <c r="AA1565" s="123"/>
      <c r="AB1565" s="963"/>
      <c r="AC1565" s="963"/>
      <c r="AD1565" s="963"/>
      <c r="AE1565" s="964"/>
      <c r="AF1565" s="964"/>
      <c r="AG1565" s="964"/>
      <c r="AH1565" s="964"/>
      <c r="AI1565" s="964"/>
      <c r="AJ1565" s="964"/>
      <c r="AK1565" s="964"/>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s="1396"/>
      <c r="CB1565" s="1396"/>
      <c r="CC1565"/>
      <c r="CD1565"/>
      <c r="CE1565"/>
    </row>
    <row r="1566" spans="1:83" ht="13.9" customHeight="1" outlineLevel="2" thickBot="1" x14ac:dyDescent="0.25">
      <c r="A1566"/>
      <c r="B1566" s="1"/>
      <c r="C1566"/>
      <c r="D1566"/>
      <c r="E1566"/>
      <c r="F1566"/>
      <c r="G1566" s="1"/>
      <c r="H1566" s="1"/>
      <c r="I1566"/>
      <c r="J1566"/>
      <c r="K1566"/>
      <c r="L1566"/>
      <c r="M1566"/>
      <c r="N1566"/>
      <c r="O1566"/>
      <c r="P1566"/>
      <c r="Q1566"/>
      <c r="S1566" s="22" t="str">
        <f>N_Heure</f>
        <v>Heure</v>
      </c>
      <c r="T1566" s="22" t="str">
        <f>N_Table</f>
        <v>Table</v>
      </c>
      <c r="U1566" s="22" t="str">
        <f>N_Arbitre</f>
        <v>Arbitre</v>
      </c>
      <c r="V1566" s="293" t="str">
        <f>N_Matches</f>
        <v>Matches</v>
      </c>
      <c r="W1566" s="294"/>
      <c r="X1566" s="294"/>
      <c r="Y1566" s="294"/>
      <c r="Z1566" s="295"/>
      <c r="AA1566" s="8"/>
      <c r="AB1566" s="967"/>
      <c r="AC1566" s="967"/>
      <c r="AD1566" s="967"/>
      <c r="AE1566" s="964"/>
      <c r="AF1566" s="964"/>
      <c r="AG1566" s="964"/>
      <c r="AH1566" s="964"/>
      <c r="AI1566" s="964"/>
      <c r="AJ1566" s="964"/>
      <c r="AK1566" s="964"/>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s="1396"/>
      <c r="CB1566" s="1396"/>
      <c r="CC1566"/>
      <c r="CD1566"/>
      <c r="CE1566"/>
    </row>
    <row r="1567" spans="1:83" ht="13.15" customHeight="1" outlineLevel="2" x14ac:dyDescent="0.2">
      <c r="A1567"/>
      <c r="B1567" s="1"/>
      <c r="C1567"/>
      <c r="D1567"/>
      <c r="E1567"/>
      <c r="F1567"/>
      <c r="G1567" s="1"/>
      <c r="H1567" s="1"/>
      <c r="I1567"/>
      <c r="J1567"/>
      <c r="K1567"/>
      <c r="L1567"/>
      <c r="M1567"/>
      <c r="N1567"/>
      <c r="O1567"/>
      <c r="P1567"/>
      <c r="Q1567"/>
      <c r="R1567" s="558" t="s">
        <v>1729</v>
      </c>
      <c r="S1567" s="65"/>
      <c r="T1567" s="953"/>
      <c r="U1567" s="954"/>
      <c r="V1567" s="34" t="str">
        <f>V1557</f>
        <v>G</v>
      </c>
      <c r="W1567" s="148"/>
      <c r="X1567" s="35" t="s">
        <v>769</v>
      </c>
      <c r="Y1567" s="148"/>
      <c r="Z1567" s="36" t="str">
        <f>V1556</f>
        <v>A</v>
      </c>
      <c r="AA1567" s="123"/>
      <c r="AB1567" s="1459">
        <f t="shared" ref="AB1567:AB1575" si="1090">IF(MaxScore,MaxGoals(W1567,Y1567,MaxGoalsValue),IF(W1567="","",W1567))</f>
        <v>0</v>
      </c>
      <c r="AC1567" s="1460" t="str">
        <f t="shared" ref="AC1567:AC1575" si="1091">IF(MaxScore,"-",IF(W1567="","","-"))</f>
        <v>-</v>
      </c>
      <c r="AD1567" s="1459">
        <f t="shared" ref="AD1567:AD1575" si="1092">IF(MaxScore,MaxGoals(Y1567,W1567,MaxGoalsValue),IF(Y1567="","",Y1567))</f>
        <v>0</v>
      </c>
      <c r="AE1567" s="964" t="str">
        <f t="shared" ref="AE1567:AE1575" si="1093">IF(W1567="","",IF(W1567&gt;Y1567,V1567,IF(W1567=Y1567,"",Z1567)))</f>
        <v/>
      </c>
      <c r="AF1567" s="964" t="str">
        <f t="shared" ref="AF1567:AF1575" si="1094">IF(W1567="","",IF(W1567=Y1567,V1567,""))</f>
        <v/>
      </c>
      <c r="AG1567" s="964" t="str">
        <f t="shared" ref="AG1567:AG1575" si="1095">IF(W1567="","",IF(W1567=Y1567,Z1567,""))</f>
        <v/>
      </c>
      <c r="AH1567" s="964" t="str">
        <f t="shared" ref="AH1567:AH1575" si="1096">IF(W1567="","",IF(W1567&lt;Y1567,V1567,IF(W1567=Y1567,"",Z1567)))</f>
        <v/>
      </c>
      <c r="AI1567" s="964" t="str">
        <f t="shared" ref="AI1567:AI1575" si="1097">CONCATENATE(AE1567,AH1567)</f>
        <v/>
      </c>
      <c r="AJ1567" s="964"/>
      <c r="AK1567" s="964"/>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s="1396"/>
      <c r="CB1567" s="1396"/>
      <c r="CC1567"/>
      <c r="CD1567"/>
      <c r="CE1567"/>
    </row>
    <row r="1568" spans="1:83" ht="13.15" customHeight="1" outlineLevel="2" x14ac:dyDescent="0.2">
      <c r="A1568"/>
      <c r="B1568" s="1"/>
      <c r="C1568"/>
      <c r="D1568"/>
      <c r="E1568"/>
      <c r="F1568"/>
      <c r="G1568" s="1"/>
      <c r="H1568" s="1"/>
      <c r="I1568"/>
      <c r="J1568"/>
      <c r="K1568"/>
      <c r="L1568"/>
      <c r="M1568"/>
      <c r="N1568"/>
      <c r="O1568"/>
      <c r="P1568"/>
      <c r="Q1568"/>
      <c r="R1568" s="558" t="s">
        <v>1729</v>
      </c>
      <c r="S1568" s="83"/>
      <c r="T1568" s="56"/>
      <c r="U1568" s="955"/>
      <c r="V1568" s="43" t="str">
        <f t="shared" ref="V1568:V1573" si="1098">Z1556</f>
        <v>E</v>
      </c>
      <c r="W1568" s="10"/>
      <c r="X1568" s="45" t="s">
        <v>769</v>
      </c>
      <c r="Y1568" s="10"/>
      <c r="Z1568" s="46" t="str">
        <f t="shared" ref="Z1568:Z1574" si="1099">V1558</f>
        <v>I</v>
      </c>
      <c r="AA1568" s="123"/>
      <c r="AB1568" s="1459">
        <f t="shared" si="1090"/>
        <v>0</v>
      </c>
      <c r="AC1568" s="1460" t="str">
        <f t="shared" si="1091"/>
        <v>-</v>
      </c>
      <c r="AD1568" s="1459">
        <f t="shared" si="1092"/>
        <v>0</v>
      </c>
      <c r="AE1568" s="964" t="str">
        <f t="shared" si="1093"/>
        <v/>
      </c>
      <c r="AF1568" s="964" t="str">
        <f t="shared" si="1094"/>
        <v/>
      </c>
      <c r="AG1568" s="964" t="str">
        <f t="shared" si="1095"/>
        <v/>
      </c>
      <c r="AH1568" s="964" t="str">
        <f t="shared" si="1096"/>
        <v/>
      </c>
      <c r="AI1568" s="964" t="str">
        <f t="shared" si="1097"/>
        <v/>
      </c>
      <c r="AJ1568" s="964"/>
      <c r="AK1568" s="964"/>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s="1396"/>
      <c r="CB1568" s="1396"/>
      <c r="CC1568"/>
      <c r="CD1568"/>
      <c r="CE1568"/>
    </row>
    <row r="1569" spans="1:83" ht="13.15" customHeight="1" outlineLevel="2" x14ac:dyDescent="0.2">
      <c r="A1569"/>
      <c r="B1569" s="1"/>
      <c r="C1569"/>
      <c r="D1569"/>
      <c r="E1569"/>
      <c r="F1569"/>
      <c r="G1569" s="1"/>
      <c r="H1569" s="1"/>
      <c r="I1569"/>
      <c r="J1569"/>
      <c r="K1569"/>
      <c r="L1569"/>
      <c r="M1569"/>
      <c r="N1569"/>
      <c r="O1569"/>
      <c r="P1569"/>
      <c r="Q1569"/>
      <c r="R1569" s="558" t="s">
        <v>1729</v>
      </c>
      <c r="S1569" s="83"/>
      <c r="T1569" s="56"/>
      <c r="U1569" s="955"/>
      <c r="V1569" s="43" t="str">
        <f t="shared" si="1098"/>
        <v>C</v>
      </c>
      <c r="W1569" s="10"/>
      <c r="X1569" s="45" t="s">
        <v>769</v>
      </c>
      <c r="Y1569" s="10"/>
      <c r="Z1569" s="46" t="str">
        <f t="shared" si="1099"/>
        <v>K</v>
      </c>
      <c r="AA1569" s="123"/>
      <c r="AB1569" s="1459">
        <f t="shared" si="1090"/>
        <v>0</v>
      </c>
      <c r="AC1569" s="1460" t="str">
        <f t="shared" si="1091"/>
        <v>-</v>
      </c>
      <c r="AD1569" s="1459">
        <f t="shared" si="1092"/>
        <v>0</v>
      </c>
      <c r="AE1569" s="964" t="str">
        <f t="shared" si="1093"/>
        <v/>
      </c>
      <c r="AF1569" s="964" t="str">
        <f t="shared" si="1094"/>
        <v/>
      </c>
      <c r="AG1569" s="964" t="str">
        <f t="shared" si="1095"/>
        <v/>
      </c>
      <c r="AH1569" s="964" t="str">
        <f t="shared" si="1096"/>
        <v/>
      </c>
      <c r="AI1569" s="964" t="str">
        <f t="shared" si="1097"/>
        <v/>
      </c>
      <c r="AJ1569" s="964"/>
      <c r="AK1569" s="964"/>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s="1396"/>
      <c r="CB1569" s="1396"/>
      <c r="CC1569"/>
      <c r="CD1569"/>
      <c r="CE1569"/>
    </row>
    <row r="1570" spans="1:83" ht="13.15" customHeight="1" outlineLevel="2" x14ac:dyDescent="0.2">
      <c r="A1570"/>
      <c r="B1570" s="1"/>
      <c r="C1570"/>
      <c r="D1570"/>
      <c r="E1570"/>
      <c r="F1570"/>
      <c r="G1570" s="1"/>
      <c r="H1570" s="1"/>
      <c r="I1570"/>
      <c r="J1570"/>
      <c r="K1570"/>
      <c r="L1570"/>
      <c r="M1570"/>
      <c r="N1570"/>
      <c r="O1570"/>
      <c r="P1570"/>
      <c r="Q1570"/>
      <c r="R1570" s="558" t="s">
        <v>1729</v>
      </c>
      <c r="S1570" s="83"/>
      <c r="T1570" s="56"/>
      <c r="U1570" s="955"/>
      <c r="V1570" s="43" t="str">
        <f t="shared" si="1098"/>
        <v>B</v>
      </c>
      <c r="W1570" s="10"/>
      <c r="X1570" s="45" t="s">
        <v>769</v>
      </c>
      <c r="Y1570" s="10"/>
      <c r="Z1570" s="46" t="str">
        <f t="shared" si="1099"/>
        <v>M</v>
      </c>
      <c r="AA1570" s="123"/>
      <c r="AB1570" s="1459">
        <f t="shared" si="1090"/>
        <v>0</v>
      </c>
      <c r="AC1570" s="1460" t="str">
        <f t="shared" si="1091"/>
        <v>-</v>
      </c>
      <c r="AD1570" s="1459">
        <f t="shared" si="1092"/>
        <v>0</v>
      </c>
      <c r="AE1570" s="964" t="str">
        <f t="shared" si="1093"/>
        <v/>
      </c>
      <c r="AF1570" s="964" t="str">
        <f t="shared" si="1094"/>
        <v/>
      </c>
      <c r="AG1570" s="964" t="str">
        <f t="shared" si="1095"/>
        <v/>
      </c>
      <c r="AH1570" s="964" t="str">
        <f t="shared" si="1096"/>
        <v/>
      </c>
      <c r="AI1570" s="964" t="str">
        <f t="shared" si="1097"/>
        <v/>
      </c>
      <c r="AJ1570" s="964"/>
      <c r="AK1570" s="964"/>
      <c r="AL1570"/>
      <c r="AM1570"/>
      <c r="AN1570"/>
      <c r="AO1570"/>
      <c r="AP1570"/>
      <c r="AQ1570"/>
      <c r="AR1570"/>
      <c r="AS1570"/>
      <c r="AT1570"/>
      <c r="AU1570"/>
      <c r="AV1570"/>
      <c r="AW1570"/>
      <c r="AX1570" s="9"/>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s="1396"/>
      <c r="CB1570" s="1396"/>
      <c r="CC1570"/>
      <c r="CD1570"/>
      <c r="CE1570"/>
    </row>
    <row r="1571" spans="1:83" ht="13.15" customHeight="1" outlineLevel="2" x14ac:dyDescent="0.2">
      <c r="A1571"/>
      <c r="B1571" s="1"/>
      <c r="C1571"/>
      <c r="D1571"/>
      <c r="E1571"/>
      <c r="F1571"/>
      <c r="G1571" s="1"/>
      <c r="H1571" s="1"/>
      <c r="I1571"/>
      <c r="J1571"/>
      <c r="K1571"/>
      <c r="L1571"/>
      <c r="M1571"/>
      <c r="N1571"/>
      <c r="O1571"/>
      <c r="P1571"/>
      <c r="Q1571"/>
      <c r="R1571" s="558" t="s">
        <v>1729</v>
      </c>
      <c r="S1571" s="83"/>
      <c r="T1571" s="56"/>
      <c r="U1571" s="955"/>
      <c r="V1571" s="43" t="str">
        <f t="shared" si="1098"/>
        <v>D</v>
      </c>
      <c r="W1571" s="10"/>
      <c r="X1571" s="45" t="s">
        <v>769</v>
      </c>
      <c r="Y1571" s="10"/>
      <c r="Z1571" s="46" t="str">
        <f t="shared" si="1099"/>
        <v>O</v>
      </c>
      <c r="AA1571" s="123"/>
      <c r="AB1571" s="1459">
        <f t="shared" si="1090"/>
        <v>0</v>
      </c>
      <c r="AC1571" s="1460" t="str">
        <f t="shared" si="1091"/>
        <v>-</v>
      </c>
      <c r="AD1571" s="1459">
        <f t="shared" si="1092"/>
        <v>0</v>
      </c>
      <c r="AE1571" s="964" t="str">
        <f t="shared" si="1093"/>
        <v/>
      </c>
      <c r="AF1571" s="964" t="str">
        <f t="shared" si="1094"/>
        <v/>
      </c>
      <c r="AG1571" s="964" t="str">
        <f t="shared" si="1095"/>
        <v/>
      </c>
      <c r="AH1571" s="964" t="str">
        <f t="shared" si="1096"/>
        <v/>
      </c>
      <c r="AI1571" s="964" t="str">
        <f t="shared" si="1097"/>
        <v/>
      </c>
      <c r="AJ1571" s="964"/>
      <c r="AK1571" s="964"/>
      <c r="AL1571"/>
      <c r="AM1571"/>
      <c r="AN1571"/>
      <c r="AO1571"/>
      <c r="AP1571"/>
      <c r="AQ1571"/>
      <c r="AR1571"/>
      <c r="AS1571"/>
      <c r="AT1571"/>
      <c r="AU1571"/>
      <c r="AV1571"/>
      <c r="AW1571" s="9"/>
      <c r="AX1571" s="9"/>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s="1396"/>
      <c r="CB1571" s="1396"/>
      <c r="CC1571"/>
      <c r="CD1571"/>
      <c r="CE1571"/>
    </row>
    <row r="1572" spans="1:83" ht="13.15" customHeight="1" outlineLevel="2" x14ac:dyDescent="0.2">
      <c r="A1572"/>
      <c r="B1572" s="1"/>
      <c r="C1572"/>
      <c r="D1572"/>
      <c r="E1572"/>
      <c r="F1572"/>
      <c r="G1572" s="1"/>
      <c r="H1572" s="1"/>
      <c r="I1572"/>
      <c r="J1572"/>
      <c r="K1572"/>
      <c r="L1572"/>
      <c r="M1572"/>
      <c r="N1572"/>
      <c r="O1572"/>
      <c r="P1572"/>
      <c r="Q1572"/>
      <c r="R1572" s="558" t="s">
        <v>1729</v>
      </c>
      <c r="S1572" s="83"/>
      <c r="T1572" s="56"/>
      <c r="U1572" s="955"/>
      <c r="V1572" s="43" t="str">
        <f t="shared" si="1098"/>
        <v>F</v>
      </c>
      <c r="W1572" s="10"/>
      <c r="X1572" s="45" t="s">
        <v>769</v>
      </c>
      <c r="Y1572" s="10"/>
      <c r="Z1572" s="46" t="str">
        <f t="shared" si="1099"/>
        <v>Q</v>
      </c>
      <c r="AA1572" s="123"/>
      <c r="AB1572" s="1459">
        <f t="shared" si="1090"/>
        <v>0</v>
      </c>
      <c r="AC1572" s="1460" t="str">
        <f t="shared" si="1091"/>
        <v>-</v>
      </c>
      <c r="AD1572" s="1459">
        <f t="shared" si="1092"/>
        <v>0</v>
      </c>
      <c r="AE1572" s="964" t="str">
        <f t="shared" si="1093"/>
        <v/>
      </c>
      <c r="AF1572" s="964" t="str">
        <f t="shared" si="1094"/>
        <v/>
      </c>
      <c r="AG1572" s="964" t="str">
        <f t="shared" si="1095"/>
        <v/>
      </c>
      <c r="AH1572" s="964" t="str">
        <f t="shared" si="1096"/>
        <v/>
      </c>
      <c r="AI1572" s="964" t="str">
        <f t="shared" si="1097"/>
        <v/>
      </c>
      <c r="AJ1572" s="964"/>
      <c r="AK1572" s="964"/>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s="1396"/>
      <c r="CB1572" s="1396"/>
      <c r="CC1572"/>
      <c r="CD1572"/>
      <c r="CE1572"/>
    </row>
    <row r="1573" spans="1:83" ht="13.15" customHeight="1" outlineLevel="2" x14ac:dyDescent="0.2">
      <c r="A1573"/>
      <c r="B1573" s="1"/>
      <c r="C1573"/>
      <c r="D1573"/>
      <c r="E1573"/>
      <c r="F1573"/>
      <c r="G1573" s="1"/>
      <c r="H1573" s="1"/>
      <c r="I1573"/>
      <c r="J1573"/>
      <c r="K1573"/>
      <c r="L1573"/>
      <c r="M1573"/>
      <c r="N1573"/>
      <c r="O1573"/>
      <c r="P1573"/>
      <c r="Q1573"/>
      <c r="R1573" s="558" t="s">
        <v>1729</v>
      </c>
      <c r="S1573" s="83"/>
      <c r="T1573" s="56"/>
      <c r="U1573" s="955"/>
      <c r="V1573" s="43" t="str">
        <f t="shared" si="1098"/>
        <v>H</v>
      </c>
      <c r="W1573" s="10"/>
      <c r="X1573" s="45" t="s">
        <v>769</v>
      </c>
      <c r="Y1573" s="10"/>
      <c r="Z1573" s="46" t="str">
        <f t="shared" si="1099"/>
        <v>S</v>
      </c>
      <c r="AA1573" s="123"/>
      <c r="AB1573" s="1459">
        <f t="shared" si="1090"/>
        <v>0</v>
      </c>
      <c r="AC1573" s="1460" t="str">
        <f t="shared" si="1091"/>
        <v>-</v>
      </c>
      <c r="AD1573" s="1459">
        <f t="shared" si="1092"/>
        <v>0</v>
      </c>
      <c r="AE1573" s="964" t="str">
        <f t="shared" si="1093"/>
        <v/>
      </c>
      <c r="AF1573" s="964" t="str">
        <f t="shared" si="1094"/>
        <v/>
      </c>
      <c r="AG1573" s="964" t="str">
        <f t="shared" si="1095"/>
        <v/>
      </c>
      <c r="AH1573" s="964" t="str">
        <f t="shared" si="1096"/>
        <v/>
      </c>
      <c r="AI1573" s="964" t="str">
        <f t="shared" si="1097"/>
        <v/>
      </c>
      <c r="AJ1573" s="964"/>
      <c r="AK1573" s="964"/>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s="1396"/>
      <c r="CB1573" s="1396"/>
      <c r="CC1573"/>
      <c r="CD1573"/>
      <c r="CE1573"/>
    </row>
    <row r="1574" spans="1:83" ht="13.15" customHeight="1" outlineLevel="2" x14ac:dyDescent="0.2">
      <c r="A1574"/>
      <c r="B1574" s="1"/>
      <c r="C1574"/>
      <c r="D1574"/>
      <c r="E1574"/>
      <c r="F1574"/>
      <c r="G1574" s="1"/>
      <c r="H1574" s="1"/>
      <c r="I1574"/>
      <c r="J1574"/>
      <c r="K1574"/>
      <c r="L1574"/>
      <c r="M1574"/>
      <c r="N1574"/>
      <c r="O1574"/>
      <c r="P1574"/>
      <c r="Q1574"/>
      <c r="R1574" s="558" t="s">
        <v>1729</v>
      </c>
      <c r="S1574" s="83"/>
      <c r="T1574" s="56"/>
      <c r="U1574" s="955"/>
      <c r="V1574" s="43" t="str">
        <f>Z1563</f>
        <v>L</v>
      </c>
      <c r="W1574" s="10"/>
      <c r="X1574" s="45" t="s">
        <v>769</v>
      </c>
      <c r="Y1574" s="10"/>
      <c r="Z1574" s="46" t="str">
        <f t="shared" si="1099"/>
        <v>R</v>
      </c>
      <c r="AA1574" s="123"/>
      <c r="AB1574" s="1459">
        <f t="shared" si="1090"/>
        <v>0</v>
      </c>
      <c r="AC1574" s="1460" t="str">
        <f t="shared" si="1091"/>
        <v>-</v>
      </c>
      <c r="AD1574" s="1459">
        <f t="shared" si="1092"/>
        <v>0</v>
      </c>
      <c r="AE1574" s="964" t="str">
        <f t="shared" si="1093"/>
        <v/>
      </c>
      <c r="AF1574" s="964" t="str">
        <f t="shared" si="1094"/>
        <v/>
      </c>
      <c r="AG1574" s="964" t="str">
        <f t="shared" si="1095"/>
        <v/>
      </c>
      <c r="AH1574" s="964" t="str">
        <f t="shared" si="1096"/>
        <v/>
      </c>
      <c r="AI1574" s="964" t="str">
        <f t="shared" si="1097"/>
        <v/>
      </c>
      <c r="AJ1574" s="964"/>
      <c r="AK1574" s="964"/>
      <c r="AL1574"/>
      <c r="AM1574"/>
      <c r="AN1574"/>
      <c r="AO1574"/>
      <c r="AP1574"/>
      <c r="AQ1574"/>
      <c r="AR1574"/>
      <c r="AS1574"/>
      <c r="AT1574"/>
      <c r="AU1574"/>
      <c r="AV1574"/>
      <c r="AW1574"/>
      <c r="AX1574" s="9"/>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s="1396"/>
      <c r="CB1574" s="1396"/>
      <c r="CC1574"/>
      <c r="CD1574"/>
      <c r="CE1574"/>
    </row>
    <row r="1575" spans="1:83" ht="13.9" customHeight="1" outlineLevel="2" thickBot="1" x14ac:dyDescent="0.25">
      <c r="A1575"/>
      <c r="B1575" s="1"/>
      <c r="C1575"/>
      <c r="D1575"/>
      <c r="E1575"/>
      <c r="F1575"/>
      <c r="G1575" s="1"/>
      <c r="H1575" s="1"/>
      <c r="I1575"/>
      <c r="J1575"/>
      <c r="K1575"/>
      <c r="L1575"/>
      <c r="M1575"/>
      <c r="N1575"/>
      <c r="O1575"/>
      <c r="P1575"/>
      <c r="Q1575"/>
      <c r="R1575" s="558" t="s">
        <v>1729</v>
      </c>
      <c r="S1575" s="956"/>
      <c r="T1575" s="58"/>
      <c r="U1575" s="957"/>
      <c r="V1575" s="958" t="str">
        <f>V1552</f>
        <v>N</v>
      </c>
      <c r="W1575" s="175"/>
      <c r="X1575" s="52" t="s">
        <v>769</v>
      </c>
      <c r="Y1575" s="175"/>
      <c r="Z1575" s="959" t="str">
        <f>Z1564</f>
        <v>P</v>
      </c>
      <c r="AA1575" s="123"/>
      <c r="AB1575" s="1459">
        <f t="shared" si="1090"/>
        <v>0</v>
      </c>
      <c r="AC1575" s="1460" t="str">
        <f t="shared" si="1091"/>
        <v>-</v>
      </c>
      <c r="AD1575" s="1459">
        <f t="shared" si="1092"/>
        <v>0</v>
      </c>
      <c r="AE1575" s="964" t="str">
        <f t="shared" si="1093"/>
        <v/>
      </c>
      <c r="AF1575" s="964" t="str">
        <f t="shared" si="1094"/>
        <v/>
      </c>
      <c r="AG1575" s="964" t="str">
        <f t="shared" si="1095"/>
        <v/>
      </c>
      <c r="AH1575" s="964" t="str">
        <f t="shared" si="1096"/>
        <v/>
      </c>
      <c r="AI1575" s="964" t="str">
        <f t="shared" si="1097"/>
        <v/>
      </c>
      <c r="AJ1575" s="964"/>
      <c r="AK1575" s="964"/>
      <c r="AL1575"/>
      <c r="AM1575"/>
      <c r="AN1575"/>
      <c r="AO1575"/>
      <c r="AP1575"/>
      <c r="AQ1575"/>
      <c r="AR1575"/>
      <c r="AS1575"/>
      <c r="AT1575"/>
      <c r="AU1575"/>
      <c r="AV1575"/>
      <c r="AW1575" s="9"/>
      <c r="AX1575" s="9"/>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s="1396"/>
      <c r="CB1575" s="1396"/>
      <c r="CC1575"/>
      <c r="CD1575"/>
      <c r="CE1575"/>
    </row>
    <row r="1576" spans="1:83" ht="13.5" outlineLevel="1" thickBot="1" x14ac:dyDescent="0.25">
      <c r="A1576"/>
      <c r="B1576" s="1"/>
      <c r="C1576" s="1"/>
      <c r="D1576" s="76"/>
      <c r="E1576" s="76"/>
      <c r="F1576" s="76"/>
      <c r="G1576" s="9"/>
      <c r="H1576" s="9"/>
      <c r="I1576" s="1"/>
      <c r="J1576"/>
      <c r="K1576"/>
      <c r="L1576"/>
      <c r="M1576"/>
      <c r="N1576"/>
      <c r="O1576"/>
      <c r="P1576" s="89"/>
      <c r="Q1576"/>
      <c r="R1576" s="1"/>
      <c r="S1576" s="993">
        <f>S1565+1</f>
        <v>5</v>
      </c>
      <c r="T1576" s="961"/>
      <c r="U1576" s="961"/>
      <c r="V1576" s="961"/>
      <c r="W1576" s="960"/>
      <c r="X1576" s="960"/>
      <c r="Y1576" s="960"/>
      <c r="Z1576" s="962"/>
      <c r="AA1576" s="123"/>
      <c r="AB1576" s="963"/>
      <c r="AC1576" s="963"/>
      <c r="AD1576" s="963"/>
      <c r="AE1576" s="964"/>
      <c r="AF1576" s="964"/>
      <c r="AG1576" s="964"/>
      <c r="AH1576" s="964"/>
      <c r="AI1576" s="964"/>
      <c r="AJ1576" s="964"/>
      <c r="AK1576" s="964"/>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s="1396"/>
      <c r="CB1576" s="1396"/>
      <c r="CC1576"/>
      <c r="CD1576"/>
      <c r="CE1576"/>
    </row>
    <row r="1577" spans="1:83" ht="13.9" customHeight="1" outlineLevel="2" thickBot="1" x14ac:dyDescent="0.25">
      <c r="A1577"/>
      <c r="B1577" s="1"/>
      <c r="C1577"/>
      <c r="D1577"/>
      <c r="E1577"/>
      <c r="F1577"/>
      <c r="G1577" s="1"/>
      <c r="H1577" s="1"/>
      <c r="I1577"/>
      <c r="J1577"/>
      <c r="K1577"/>
      <c r="L1577"/>
      <c r="M1577"/>
      <c r="N1577"/>
      <c r="O1577"/>
      <c r="P1577"/>
      <c r="Q1577"/>
      <c r="S1577" s="22" t="str">
        <f>N_Heure</f>
        <v>Heure</v>
      </c>
      <c r="T1577" s="22" t="str">
        <f>N_Table</f>
        <v>Table</v>
      </c>
      <c r="U1577" s="22" t="str">
        <f>N_Arbitre</f>
        <v>Arbitre</v>
      </c>
      <c r="V1577" s="293" t="str">
        <f>N_Matches</f>
        <v>Matches</v>
      </c>
      <c r="W1577" s="294"/>
      <c r="X1577" s="294"/>
      <c r="Y1577" s="294"/>
      <c r="Z1577" s="295"/>
      <c r="AA1577" s="8"/>
      <c r="AB1577" s="967"/>
      <c r="AC1577" s="967"/>
      <c r="AD1577" s="967"/>
      <c r="AE1577" s="964"/>
      <c r="AF1577" s="964"/>
      <c r="AG1577" s="964"/>
      <c r="AH1577" s="964"/>
      <c r="AI1577" s="964"/>
      <c r="AJ1577" s="964"/>
      <c r="AK1577" s="964"/>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s="1396"/>
      <c r="CB1577" s="1396"/>
      <c r="CC1577"/>
      <c r="CD1577"/>
      <c r="CE1577"/>
    </row>
    <row r="1578" spans="1:83" ht="13.15" customHeight="1" outlineLevel="2" x14ac:dyDescent="0.2">
      <c r="A1578"/>
      <c r="B1578" s="1"/>
      <c r="C1578"/>
      <c r="D1578"/>
      <c r="E1578"/>
      <c r="F1578"/>
      <c r="G1578" s="1"/>
      <c r="H1578" s="1"/>
      <c r="I1578"/>
      <c r="J1578"/>
      <c r="K1578"/>
      <c r="L1578"/>
      <c r="M1578"/>
      <c r="N1578"/>
      <c r="O1578"/>
      <c r="P1578"/>
      <c r="Q1578"/>
      <c r="R1578" s="558" t="s">
        <v>1730</v>
      </c>
      <c r="S1578" s="65"/>
      <c r="T1578" s="953"/>
      <c r="U1578" s="954"/>
      <c r="V1578" s="34" t="str">
        <f>Z1567</f>
        <v>A</v>
      </c>
      <c r="W1578" s="148"/>
      <c r="X1578" s="35" t="s">
        <v>769</v>
      </c>
      <c r="Y1578" s="148"/>
      <c r="Z1578" s="36" t="str">
        <f>Z1568</f>
        <v>I</v>
      </c>
      <c r="AA1578" s="123"/>
      <c r="AB1578" s="1459">
        <f t="shared" ref="AB1578:AB1586" si="1100">IF(MaxScore,MaxGoals(W1578,Y1578,MaxGoalsValue),IF(W1578="","",W1578))</f>
        <v>0</v>
      </c>
      <c r="AC1578" s="1460" t="str">
        <f t="shared" ref="AC1578:AC1586" si="1101">IF(MaxScore,"-",IF(W1578="","","-"))</f>
        <v>-</v>
      </c>
      <c r="AD1578" s="1459">
        <f t="shared" ref="AD1578:AD1586" si="1102">IF(MaxScore,MaxGoals(Y1578,W1578,MaxGoalsValue),IF(Y1578="","",Y1578))</f>
        <v>0</v>
      </c>
      <c r="AE1578" s="964" t="str">
        <f t="shared" ref="AE1578:AE1586" si="1103">IF(W1578="","",IF(W1578&gt;Y1578,V1578,IF(W1578=Y1578,"",Z1578)))</f>
        <v/>
      </c>
      <c r="AF1578" s="964" t="str">
        <f t="shared" ref="AF1578:AF1586" si="1104">IF(W1578="","",IF(W1578=Y1578,V1578,""))</f>
        <v/>
      </c>
      <c r="AG1578" s="964" t="str">
        <f t="shared" ref="AG1578:AG1586" si="1105">IF(W1578="","",IF(W1578=Y1578,Z1578,""))</f>
        <v/>
      </c>
      <c r="AH1578" s="964" t="str">
        <f t="shared" ref="AH1578:AH1586" si="1106">IF(W1578="","",IF(W1578&lt;Y1578,V1578,IF(W1578=Y1578,"",Z1578)))</f>
        <v/>
      </c>
      <c r="AI1578" s="964" t="str">
        <f t="shared" ref="AI1578:AI1586" si="1107">CONCATENATE(AE1578,AH1578)</f>
        <v/>
      </c>
      <c r="AJ1578" s="964"/>
      <c r="AK1578" s="964"/>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s="1396"/>
      <c r="CB1578" s="1396"/>
      <c r="CC1578"/>
      <c r="CD1578"/>
      <c r="CE1578"/>
    </row>
    <row r="1579" spans="1:83" ht="13.15" customHeight="1" outlineLevel="2" x14ac:dyDescent="0.2">
      <c r="A1579"/>
      <c r="B1579" s="1"/>
      <c r="C1579"/>
      <c r="D1579"/>
      <c r="E1579"/>
      <c r="F1579"/>
      <c r="G1579" s="1"/>
      <c r="H1579" s="1"/>
      <c r="I1579"/>
      <c r="J1579"/>
      <c r="K1579"/>
      <c r="L1579"/>
      <c r="M1579"/>
      <c r="N1579"/>
      <c r="O1579"/>
      <c r="P1579"/>
      <c r="Q1579"/>
      <c r="R1579" s="558" t="s">
        <v>1730</v>
      </c>
      <c r="S1579" s="83"/>
      <c r="T1579" s="56"/>
      <c r="U1579" s="955"/>
      <c r="V1579" s="43" t="str">
        <f t="shared" ref="V1579:V1585" si="1108">Z1569</f>
        <v>K</v>
      </c>
      <c r="W1579" s="10"/>
      <c r="X1579" s="45" t="s">
        <v>769</v>
      </c>
      <c r="Y1579" s="10"/>
      <c r="Z1579" s="46" t="str">
        <f>V1567</f>
        <v>G</v>
      </c>
      <c r="AA1579" s="123"/>
      <c r="AB1579" s="1459">
        <f t="shared" si="1100"/>
        <v>0</v>
      </c>
      <c r="AC1579" s="1460" t="str">
        <f t="shared" si="1101"/>
        <v>-</v>
      </c>
      <c r="AD1579" s="1459">
        <f t="shared" si="1102"/>
        <v>0</v>
      </c>
      <c r="AE1579" s="964" t="str">
        <f t="shared" si="1103"/>
        <v/>
      </c>
      <c r="AF1579" s="964" t="str">
        <f t="shared" si="1104"/>
        <v/>
      </c>
      <c r="AG1579" s="964" t="str">
        <f t="shared" si="1105"/>
        <v/>
      </c>
      <c r="AH1579" s="964" t="str">
        <f t="shared" si="1106"/>
        <v/>
      </c>
      <c r="AI1579" s="964" t="str">
        <f t="shared" si="1107"/>
        <v/>
      </c>
      <c r="AJ1579" s="964"/>
      <c r="AK1579" s="964"/>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s="1396"/>
      <c r="CB1579" s="1396"/>
      <c r="CC1579"/>
      <c r="CD1579"/>
      <c r="CE1579"/>
    </row>
    <row r="1580" spans="1:83" ht="13.15" customHeight="1" outlineLevel="2" x14ac:dyDescent="0.2">
      <c r="A1580"/>
      <c r="B1580" s="1"/>
      <c r="C1580"/>
      <c r="D1580"/>
      <c r="E1580"/>
      <c r="F1580"/>
      <c r="G1580" s="1"/>
      <c r="H1580" s="1"/>
      <c r="I1580"/>
      <c r="J1580"/>
      <c r="K1580"/>
      <c r="L1580"/>
      <c r="M1580"/>
      <c r="N1580"/>
      <c r="O1580"/>
      <c r="P1580"/>
      <c r="Q1580"/>
      <c r="R1580" s="558" t="s">
        <v>1730</v>
      </c>
      <c r="S1580" s="83"/>
      <c r="T1580" s="56"/>
      <c r="U1580" s="955"/>
      <c r="V1580" s="43" t="str">
        <f t="shared" si="1108"/>
        <v>M</v>
      </c>
      <c r="W1580" s="10"/>
      <c r="X1580" s="45" t="s">
        <v>769</v>
      </c>
      <c r="Y1580" s="10"/>
      <c r="Z1580" s="46" t="str">
        <f>V1568</f>
        <v>E</v>
      </c>
      <c r="AA1580" s="123"/>
      <c r="AB1580" s="1459">
        <f t="shared" si="1100"/>
        <v>0</v>
      </c>
      <c r="AC1580" s="1460" t="str">
        <f t="shared" si="1101"/>
        <v>-</v>
      </c>
      <c r="AD1580" s="1459">
        <f t="shared" si="1102"/>
        <v>0</v>
      </c>
      <c r="AE1580" s="964" t="str">
        <f t="shared" si="1103"/>
        <v/>
      </c>
      <c r="AF1580" s="964" t="str">
        <f t="shared" si="1104"/>
        <v/>
      </c>
      <c r="AG1580" s="964" t="str">
        <f t="shared" si="1105"/>
        <v/>
      </c>
      <c r="AH1580" s="964" t="str">
        <f t="shared" si="1106"/>
        <v/>
      </c>
      <c r="AI1580" s="964" t="str">
        <f t="shared" si="1107"/>
        <v/>
      </c>
      <c r="AJ1580" s="964"/>
      <c r="AK1580" s="964"/>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s="1396"/>
      <c r="CB1580" s="1396"/>
      <c r="CC1580"/>
      <c r="CD1580"/>
      <c r="CE1580"/>
    </row>
    <row r="1581" spans="1:83" ht="13.15" customHeight="1" outlineLevel="2" x14ac:dyDescent="0.2">
      <c r="A1581"/>
      <c r="B1581" s="1"/>
      <c r="C1581"/>
      <c r="D1581"/>
      <c r="E1581"/>
      <c r="F1581"/>
      <c r="G1581" s="1"/>
      <c r="H1581" s="1"/>
      <c r="I1581"/>
      <c r="J1581"/>
      <c r="K1581"/>
      <c r="L1581"/>
      <c r="M1581"/>
      <c r="N1581"/>
      <c r="O1581"/>
      <c r="P1581"/>
      <c r="Q1581"/>
      <c r="R1581" s="558" t="s">
        <v>1730</v>
      </c>
      <c r="S1581" s="83"/>
      <c r="T1581" s="56"/>
      <c r="U1581" s="955"/>
      <c r="V1581" s="43" t="str">
        <f t="shared" si="1108"/>
        <v>O</v>
      </c>
      <c r="W1581" s="10"/>
      <c r="X1581" s="45" t="s">
        <v>769</v>
      </c>
      <c r="Y1581" s="10"/>
      <c r="Z1581" s="46" t="str">
        <f>V1569</f>
        <v>C</v>
      </c>
      <c r="AA1581" s="123"/>
      <c r="AB1581" s="1459">
        <f t="shared" si="1100"/>
        <v>0</v>
      </c>
      <c r="AC1581" s="1460" t="str">
        <f t="shared" si="1101"/>
        <v>-</v>
      </c>
      <c r="AD1581" s="1459">
        <f t="shared" si="1102"/>
        <v>0</v>
      </c>
      <c r="AE1581" s="964" t="str">
        <f t="shared" si="1103"/>
        <v/>
      </c>
      <c r="AF1581" s="964" t="str">
        <f t="shared" si="1104"/>
        <v/>
      </c>
      <c r="AG1581" s="964" t="str">
        <f t="shared" si="1105"/>
        <v/>
      </c>
      <c r="AH1581" s="964" t="str">
        <f t="shared" si="1106"/>
        <v/>
      </c>
      <c r="AI1581" s="964" t="str">
        <f t="shared" si="1107"/>
        <v/>
      </c>
      <c r="AJ1581" s="964"/>
      <c r="AK1581" s="964"/>
      <c r="AL1581"/>
      <c r="AM1581"/>
      <c r="AN1581"/>
      <c r="AO1581"/>
      <c r="AP1581"/>
      <c r="AQ1581"/>
      <c r="AR1581"/>
      <c r="AS1581"/>
      <c r="AT1581"/>
      <c r="AU1581"/>
      <c r="AV1581"/>
      <c r="AW1581"/>
      <c r="AX1581" s="9"/>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s="1396"/>
      <c r="CB1581" s="1396"/>
      <c r="CC1581"/>
      <c r="CD1581"/>
      <c r="CE1581"/>
    </row>
    <row r="1582" spans="1:83" ht="13.15" customHeight="1" outlineLevel="2" x14ac:dyDescent="0.2">
      <c r="A1582"/>
      <c r="B1582" s="1"/>
      <c r="C1582"/>
      <c r="D1582"/>
      <c r="E1582"/>
      <c r="F1582"/>
      <c r="G1582" s="1"/>
      <c r="H1582" s="1"/>
      <c r="I1582"/>
      <c r="J1582"/>
      <c r="K1582"/>
      <c r="L1582"/>
      <c r="M1582"/>
      <c r="N1582"/>
      <c r="O1582"/>
      <c r="P1582"/>
      <c r="Q1582"/>
      <c r="R1582" s="558" t="s">
        <v>1730</v>
      </c>
      <c r="S1582" s="83"/>
      <c r="T1582" s="56"/>
      <c r="U1582" s="955"/>
      <c r="V1582" s="43" t="str">
        <f t="shared" si="1108"/>
        <v>Q</v>
      </c>
      <c r="W1582" s="10"/>
      <c r="X1582" s="45" t="s">
        <v>769</v>
      </c>
      <c r="Y1582" s="10"/>
      <c r="Z1582" s="46" t="str">
        <f>V1570</f>
        <v>B</v>
      </c>
      <c r="AA1582" s="123"/>
      <c r="AB1582" s="1459">
        <f t="shared" si="1100"/>
        <v>0</v>
      </c>
      <c r="AC1582" s="1460" t="str">
        <f t="shared" si="1101"/>
        <v>-</v>
      </c>
      <c r="AD1582" s="1459">
        <f t="shared" si="1102"/>
        <v>0</v>
      </c>
      <c r="AE1582" s="964" t="str">
        <f t="shared" si="1103"/>
        <v/>
      </c>
      <c r="AF1582" s="964" t="str">
        <f t="shared" si="1104"/>
        <v/>
      </c>
      <c r="AG1582" s="964" t="str">
        <f t="shared" si="1105"/>
        <v/>
      </c>
      <c r="AH1582" s="964" t="str">
        <f t="shared" si="1106"/>
        <v/>
      </c>
      <c r="AI1582" s="964" t="str">
        <f t="shared" si="1107"/>
        <v/>
      </c>
      <c r="AJ1582" s="964"/>
      <c r="AK1582" s="964"/>
      <c r="AL1582"/>
      <c r="AM1582"/>
      <c r="AN1582"/>
      <c r="AO1582"/>
      <c r="AP1582"/>
      <c r="AQ1582"/>
      <c r="AR1582"/>
      <c r="AS1582"/>
      <c r="AT1582"/>
      <c r="AU1582"/>
      <c r="AV1582"/>
      <c r="AW1582" s="9"/>
      <c r="AX1582" s="9"/>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s="1396"/>
      <c r="CB1582" s="1396"/>
      <c r="CC1582"/>
      <c r="CD1582"/>
      <c r="CE1582"/>
    </row>
    <row r="1583" spans="1:83" ht="13.15" customHeight="1" outlineLevel="2" x14ac:dyDescent="0.2">
      <c r="A1583"/>
      <c r="B1583" s="1"/>
      <c r="C1583"/>
      <c r="D1583"/>
      <c r="E1583"/>
      <c r="F1583"/>
      <c r="G1583" s="1"/>
      <c r="H1583" s="1"/>
      <c r="I1583"/>
      <c r="J1583"/>
      <c r="K1583"/>
      <c r="L1583"/>
      <c r="M1583"/>
      <c r="N1583"/>
      <c r="O1583"/>
      <c r="P1583"/>
      <c r="Q1583"/>
      <c r="R1583" s="558" t="s">
        <v>1730</v>
      </c>
      <c r="S1583" s="83"/>
      <c r="T1583" s="56"/>
      <c r="U1583" s="955"/>
      <c r="V1583" s="43" t="str">
        <f t="shared" si="1108"/>
        <v>S</v>
      </c>
      <c r="W1583" s="10"/>
      <c r="X1583" s="45" t="s">
        <v>769</v>
      </c>
      <c r="Y1583" s="10"/>
      <c r="Z1583" s="46" t="str">
        <f>V1571</f>
        <v>D</v>
      </c>
      <c r="AA1583" s="123"/>
      <c r="AB1583" s="1459">
        <f t="shared" si="1100"/>
        <v>0</v>
      </c>
      <c r="AC1583" s="1460" t="str">
        <f t="shared" si="1101"/>
        <v>-</v>
      </c>
      <c r="AD1583" s="1459">
        <f t="shared" si="1102"/>
        <v>0</v>
      </c>
      <c r="AE1583" s="964" t="str">
        <f t="shared" si="1103"/>
        <v/>
      </c>
      <c r="AF1583" s="964" t="str">
        <f t="shared" si="1104"/>
        <v/>
      </c>
      <c r="AG1583" s="964" t="str">
        <f t="shared" si="1105"/>
        <v/>
      </c>
      <c r="AH1583" s="964" t="str">
        <f t="shared" si="1106"/>
        <v/>
      </c>
      <c r="AI1583" s="964" t="str">
        <f t="shared" si="1107"/>
        <v/>
      </c>
      <c r="AJ1583" s="964"/>
      <c r="AK1583" s="964"/>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s="1396"/>
      <c r="CB1583" s="1396"/>
      <c r="CC1583"/>
      <c r="CD1583"/>
      <c r="CE1583"/>
    </row>
    <row r="1584" spans="1:83" ht="13.15" customHeight="1" outlineLevel="2" x14ac:dyDescent="0.2">
      <c r="A1584"/>
      <c r="B1584" s="1"/>
      <c r="C1584"/>
      <c r="D1584"/>
      <c r="E1584"/>
      <c r="F1584"/>
      <c r="G1584" s="1"/>
      <c r="H1584" s="1"/>
      <c r="I1584"/>
      <c r="J1584"/>
      <c r="K1584"/>
      <c r="L1584"/>
      <c r="M1584"/>
      <c r="N1584"/>
      <c r="O1584"/>
      <c r="P1584"/>
      <c r="Q1584"/>
      <c r="R1584" s="558" t="s">
        <v>1730</v>
      </c>
      <c r="S1584" s="83"/>
      <c r="T1584" s="56"/>
      <c r="U1584" s="955"/>
      <c r="V1584" s="43" t="str">
        <f t="shared" si="1108"/>
        <v>R</v>
      </c>
      <c r="W1584" s="10"/>
      <c r="X1584" s="45" t="s">
        <v>769</v>
      </c>
      <c r="Y1584" s="10"/>
      <c r="Z1584" s="46" t="str">
        <f>V1573</f>
        <v>H</v>
      </c>
      <c r="AA1584" s="123"/>
      <c r="AB1584" s="1459">
        <f t="shared" si="1100"/>
        <v>0</v>
      </c>
      <c r="AC1584" s="1460" t="str">
        <f t="shared" si="1101"/>
        <v>-</v>
      </c>
      <c r="AD1584" s="1459">
        <f t="shared" si="1102"/>
        <v>0</v>
      </c>
      <c r="AE1584" s="964" t="str">
        <f t="shared" si="1103"/>
        <v/>
      </c>
      <c r="AF1584" s="964" t="str">
        <f t="shared" si="1104"/>
        <v/>
      </c>
      <c r="AG1584" s="964" t="str">
        <f t="shared" si="1105"/>
        <v/>
      </c>
      <c r="AH1584" s="964" t="str">
        <f t="shared" si="1106"/>
        <v/>
      </c>
      <c r="AI1584" s="964" t="str">
        <f t="shared" si="1107"/>
        <v/>
      </c>
      <c r="AJ1584" s="964"/>
      <c r="AK1584" s="96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s="1396"/>
      <c r="CB1584" s="1396"/>
      <c r="CC1584"/>
      <c r="CD1584"/>
      <c r="CE1584"/>
    </row>
    <row r="1585" spans="1:83" ht="13.15" customHeight="1" outlineLevel="2" x14ac:dyDescent="0.2">
      <c r="A1585"/>
      <c r="B1585" s="1"/>
      <c r="C1585"/>
      <c r="D1585"/>
      <c r="E1585"/>
      <c r="F1585"/>
      <c r="G1585" s="1"/>
      <c r="H1585" s="1"/>
      <c r="I1585"/>
      <c r="J1585"/>
      <c r="K1585"/>
      <c r="L1585"/>
      <c r="M1585"/>
      <c r="N1585"/>
      <c r="O1585"/>
      <c r="P1585"/>
      <c r="Q1585"/>
      <c r="R1585" s="558" t="s">
        <v>1730</v>
      </c>
      <c r="S1585" s="83"/>
      <c r="T1585" s="56"/>
      <c r="U1585" s="955"/>
      <c r="V1585" s="43" t="str">
        <f t="shared" si="1108"/>
        <v>P</v>
      </c>
      <c r="W1585" s="10"/>
      <c r="X1585" s="45" t="s">
        <v>769</v>
      </c>
      <c r="Y1585" s="10"/>
      <c r="Z1585" s="46" t="str">
        <f>Z1562</f>
        <v>J</v>
      </c>
      <c r="AA1585" s="123"/>
      <c r="AB1585" s="1459">
        <f t="shared" si="1100"/>
        <v>0</v>
      </c>
      <c r="AC1585" s="1460" t="str">
        <f t="shared" si="1101"/>
        <v>-</v>
      </c>
      <c r="AD1585" s="1459">
        <f t="shared" si="1102"/>
        <v>0</v>
      </c>
      <c r="AE1585" s="964" t="str">
        <f t="shared" si="1103"/>
        <v/>
      </c>
      <c r="AF1585" s="964" t="str">
        <f t="shared" si="1104"/>
        <v/>
      </c>
      <c r="AG1585" s="964" t="str">
        <f t="shared" si="1105"/>
        <v/>
      </c>
      <c r="AH1585" s="964" t="str">
        <f t="shared" si="1106"/>
        <v/>
      </c>
      <c r="AI1585" s="964" t="str">
        <f t="shared" si="1107"/>
        <v/>
      </c>
      <c r="AJ1585" s="964"/>
      <c r="AK1585" s="964"/>
      <c r="AL1585"/>
      <c r="AM1585"/>
      <c r="AN1585"/>
      <c r="AO1585"/>
      <c r="AP1585"/>
      <c r="AQ1585"/>
      <c r="AR1585"/>
      <c r="AS1585"/>
      <c r="AT1585"/>
      <c r="AU1585"/>
      <c r="AV1585"/>
      <c r="AW1585"/>
      <c r="AX1585" s="9"/>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s="1396"/>
      <c r="CB1585" s="1396"/>
      <c r="CC1585"/>
      <c r="CD1585"/>
      <c r="CE1585"/>
    </row>
    <row r="1586" spans="1:83" ht="13.9" customHeight="1" outlineLevel="2" thickBot="1" x14ac:dyDescent="0.25">
      <c r="A1586"/>
      <c r="B1586" s="1"/>
      <c r="C1586"/>
      <c r="D1586"/>
      <c r="E1586"/>
      <c r="F1586"/>
      <c r="G1586" s="1"/>
      <c r="H1586" s="1"/>
      <c r="I1586"/>
      <c r="J1586"/>
      <c r="K1586"/>
      <c r="L1586"/>
      <c r="M1586"/>
      <c r="N1586"/>
      <c r="O1586"/>
      <c r="P1586"/>
      <c r="Q1586"/>
      <c r="R1586" s="558" t="s">
        <v>1730</v>
      </c>
      <c r="S1586" s="956"/>
      <c r="T1586" s="58"/>
      <c r="U1586" s="957"/>
      <c r="V1586" s="958" t="str">
        <f>V1575</f>
        <v>N</v>
      </c>
      <c r="W1586" s="175"/>
      <c r="X1586" s="52" t="s">
        <v>769</v>
      </c>
      <c r="Y1586" s="175"/>
      <c r="Z1586" s="46" t="str">
        <f>V1574</f>
        <v>L</v>
      </c>
      <c r="AA1586" s="123"/>
      <c r="AB1586" s="1459">
        <f t="shared" si="1100"/>
        <v>0</v>
      </c>
      <c r="AC1586" s="1460" t="str">
        <f t="shared" si="1101"/>
        <v>-</v>
      </c>
      <c r="AD1586" s="1459">
        <f t="shared" si="1102"/>
        <v>0</v>
      </c>
      <c r="AE1586" s="964" t="str">
        <f t="shared" si="1103"/>
        <v/>
      </c>
      <c r="AF1586" s="964" t="str">
        <f t="shared" si="1104"/>
        <v/>
      </c>
      <c r="AG1586" s="964" t="str">
        <f t="shared" si="1105"/>
        <v/>
      </c>
      <c r="AH1586" s="964" t="str">
        <f t="shared" si="1106"/>
        <v/>
      </c>
      <c r="AI1586" s="964" t="str">
        <f t="shared" si="1107"/>
        <v/>
      </c>
      <c r="AJ1586" s="964"/>
      <c r="AK1586" s="964"/>
      <c r="AL1586"/>
      <c r="AM1586"/>
      <c r="AN1586"/>
      <c r="AO1586"/>
      <c r="AP1586"/>
      <c r="AQ1586"/>
      <c r="AR1586"/>
      <c r="AS1586"/>
      <c r="AT1586"/>
      <c r="AU1586"/>
      <c r="AV1586"/>
      <c r="AW1586" s="9"/>
      <c r="AX1586" s="9"/>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s="1396"/>
      <c r="CB1586" s="1396"/>
      <c r="CC1586"/>
      <c r="CD1586"/>
      <c r="CE1586"/>
    </row>
    <row r="1587" spans="1:83" ht="13.5" outlineLevel="1" thickBot="1" x14ac:dyDescent="0.25">
      <c r="A1587"/>
      <c r="B1587" s="1"/>
      <c r="C1587" s="1"/>
      <c r="D1587" s="76"/>
      <c r="E1587" s="76"/>
      <c r="F1587" s="76"/>
      <c r="G1587" s="9"/>
      <c r="H1587" s="9"/>
      <c r="I1587" s="1"/>
      <c r="J1587"/>
      <c r="K1587"/>
      <c r="L1587"/>
      <c r="M1587"/>
      <c r="N1587"/>
      <c r="O1587"/>
      <c r="P1587" s="89"/>
      <c r="Q1587"/>
      <c r="R1587" s="1"/>
      <c r="S1587" s="993">
        <f>S1576+1</f>
        <v>6</v>
      </c>
      <c r="T1587" s="961"/>
      <c r="U1587" s="961"/>
      <c r="V1587" s="961"/>
      <c r="W1587" s="960"/>
      <c r="X1587" s="960"/>
      <c r="Y1587" s="960"/>
      <c r="Z1587" s="962"/>
      <c r="AA1587" s="123"/>
      <c r="AB1587" s="963"/>
      <c r="AC1587" s="963"/>
      <c r="AD1587" s="963"/>
      <c r="AE1587" s="964"/>
      <c r="AF1587" s="964"/>
      <c r="AG1587" s="964"/>
      <c r="AH1587" s="964"/>
      <c r="AI1587" s="964"/>
      <c r="AJ1587" s="964"/>
      <c r="AK1587" s="964"/>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s="1396"/>
      <c r="CB1587" s="1396"/>
      <c r="CC1587"/>
      <c r="CD1587"/>
      <c r="CE1587"/>
    </row>
    <row r="1588" spans="1:83" ht="13.9" customHeight="1" outlineLevel="2" thickBot="1" x14ac:dyDescent="0.25">
      <c r="A1588"/>
      <c r="B1588" s="1"/>
      <c r="C1588"/>
      <c r="D1588"/>
      <c r="E1588"/>
      <c r="F1588"/>
      <c r="G1588" s="1"/>
      <c r="H1588" s="1"/>
      <c r="I1588"/>
      <c r="J1588"/>
      <c r="K1588"/>
      <c r="L1588"/>
      <c r="M1588"/>
      <c r="N1588"/>
      <c r="O1588"/>
      <c r="P1588"/>
      <c r="Q1588"/>
      <c r="S1588" s="22" t="str">
        <f>N_Heure</f>
        <v>Heure</v>
      </c>
      <c r="T1588" s="22" t="str">
        <f>N_Table</f>
        <v>Table</v>
      </c>
      <c r="U1588" s="22" t="str">
        <f>N_Arbitre</f>
        <v>Arbitre</v>
      </c>
      <c r="V1588" s="293" t="str">
        <f>N_Matches</f>
        <v>Matches</v>
      </c>
      <c r="W1588" s="294"/>
      <c r="X1588" s="294"/>
      <c r="Y1588" s="294"/>
      <c r="Z1588" s="295"/>
      <c r="AA1588" s="8"/>
      <c r="AB1588" s="967"/>
      <c r="AC1588" s="967"/>
      <c r="AD1588" s="967"/>
      <c r="AE1588" s="964"/>
      <c r="AF1588" s="964"/>
      <c r="AG1588" s="964"/>
      <c r="AH1588" s="964"/>
      <c r="AI1588" s="964"/>
      <c r="AJ1588" s="964"/>
      <c r="AK1588" s="964"/>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s="1396"/>
      <c r="CB1588" s="1396"/>
      <c r="CC1588"/>
      <c r="CD1588"/>
      <c r="CE1588"/>
    </row>
    <row r="1589" spans="1:83" ht="13.15" customHeight="1" outlineLevel="2" x14ac:dyDescent="0.2">
      <c r="A1589"/>
      <c r="B1589" s="1"/>
      <c r="C1589"/>
      <c r="D1589"/>
      <c r="E1589"/>
      <c r="F1589"/>
      <c r="G1589" s="1"/>
      <c r="H1589" s="1"/>
      <c r="I1589"/>
      <c r="J1589"/>
      <c r="K1589"/>
      <c r="L1589"/>
      <c r="M1589"/>
      <c r="N1589"/>
      <c r="O1589"/>
      <c r="P1589"/>
      <c r="Q1589"/>
      <c r="R1589" s="558" t="s">
        <v>1731</v>
      </c>
      <c r="S1589" s="65"/>
      <c r="T1589" s="953"/>
      <c r="U1589" s="954"/>
      <c r="V1589" s="34" t="str">
        <f>V1579</f>
        <v>K</v>
      </c>
      <c r="W1589" s="148"/>
      <c r="X1589" s="35" t="s">
        <v>769</v>
      </c>
      <c r="Y1589" s="148"/>
      <c r="Z1589" s="36" t="str">
        <f>V1578</f>
        <v>A</v>
      </c>
      <c r="AA1589" s="123"/>
      <c r="AB1589" s="1459">
        <f t="shared" ref="AB1589:AB1597" si="1109">IF(MaxScore,MaxGoals(W1589,Y1589,MaxGoalsValue),IF(W1589="","",W1589))</f>
        <v>0</v>
      </c>
      <c r="AC1589" s="1460" t="str">
        <f t="shared" ref="AC1589:AC1597" si="1110">IF(MaxScore,"-",IF(W1589="","","-"))</f>
        <v>-</v>
      </c>
      <c r="AD1589" s="1459">
        <f t="shared" ref="AD1589:AD1597" si="1111">IF(MaxScore,MaxGoals(Y1589,W1589,MaxGoalsValue),IF(Y1589="","",Y1589))</f>
        <v>0</v>
      </c>
      <c r="AE1589" s="964" t="str">
        <f t="shared" ref="AE1589:AE1597" si="1112">IF(W1589="","",IF(W1589&gt;Y1589,V1589,IF(W1589=Y1589,"",Z1589)))</f>
        <v/>
      </c>
      <c r="AF1589" s="964" t="str">
        <f t="shared" ref="AF1589:AF1597" si="1113">IF(W1589="","",IF(W1589=Y1589,V1589,""))</f>
        <v/>
      </c>
      <c r="AG1589" s="964" t="str">
        <f t="shared" ref="AG1589:AG1597" si="1114">IF(W1589="","",IF(W1589=Y1589,Z1589,""))</f>
        <v/>
      </c>
      <c r="AH1589" s="964" t="str">
        <f t="shared" ref="AH1589:AH1597" si="1115">IF(W1589="","",IF(W1589&lt;Y1589,V1589,IF(W1589=Y1589,"",Z1589)))</f>
        <v/>
      </c>
      <c r="AI1589" s="964" t="str">
        <f t="shared" ref="AI1589:AI1597" si="1116">CONCATENATE(AE1589,AH1589)</f>
        <v/>
      </c>
      <c r="AJ1589" s="964"/>
      <c r="AK1589" s="964"/>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s="1396"/>
      <c r="CB1589" s="1396"/>
      <c r="CC1589"/>
      <c r="CD1589"/>
      <c r="CE1589"/>
    </row>
    <row r="1590" spans="1:83" ht="13.15" customHeight="1" outlineLevel="2" x14ac:dyDescent="0.2">
      <c r="A1590"/>
      <c r="B1590" s="1"/>
      <c r="C1590"/>
      <c r="D1590"/>
      <c r="E1590"/>
      <c r="F1590"/>
      <c r="G1590" s="1"/>
      <c r="H1590" s="1"/>
      <c r="I1590"/>
      <c r="J1590"/>
      <c r="K1590"/>
      <c r="L1590"/>
      <c r="M1590"/>
      <c r="N1590"/>
      <c r="O1590"/>
      <c r="P1590"/>
      <c r="Q1590"/>
      <c r="R1590" s="558" t="s">
        <v>1731</v>
      </c>
      <c r="S1590" s="83"/>
      <c r="T1590" s="56"/>
      <c r="U1590" s="955"/>
      <c r="V1590" s="43" t="str">
        <f>Z1578</f>
        <v>I</v>
      </c>
      <c r="W1590" s="10"/>
      <c r="X1590" s="45" t="s">
        <v>769</v>
      </c>
      <c r="Y1590" s="10"/>
      <c r="Z1590" s="46" t="str">
        <f t="shared" ref="Z1590:Z1596" si="1117">V1580</f>
        <v>M</v>
      </c>
      <c r="AA1590" s="123"/>
      <c r="AB1590" s="1459">
        <f t="shared" si="1109"/>
        <v>0</v>
      </c>
      <c r="AC1590" s="1460" t="str">
        <f t="shared" si="1110"/>
        <v>-</v>
      </c>
      <c r="AD1590" s="1459">
        <f t="shared" si="1111"/>
        <v>0</v>
      </c>
      <c r="AE1590" s="964" t="str">
        <f t="shared" si="1112"/>
        <v/>
      </c>
      <c r="AF1590" s="964" t="str">
        <f t="shared" si="1113"/>
        <v/>
      </c>
      <c r="AG1590" s="964" t="str">
        <f t="shared" si="1114"/>
        <v/>
      </c>
      <c r="AH1590" s="964" t="str">
        <f t="shared" si="1115"/>
        <v/>
      </c>
      <c r="AI1590" s="964" t="str">
        <f t="shared" si="1116"/>
        <v/>
      </c>
      <c r="AJ1590" s="964"/>
      <c r="AK1590" s="964"/>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s="1396"/>
      <c r="CB1590" s="1396"/>
      <c r="CC1590"/>
      <c r="CD1590"/>
      <c r="CE1590"/>
    </row>
    <row r="1591" spans="1:83" ht="13.15" customHeight="1" outlineLevel="2" x14ac:dyDescent="0.2">
      <c r="A1591"/>
      <c r="B1591" s="1"/>
      <c r="C1591"/>
      <c r="D1591"/>
      <c r="E1591"/>
      <c r="F1591"/>
      <c r="G1591" s="1"/>
      <c r="H1591" s="1"/>
      <c r="I1591"/>
      <c r="J1591"/>
      <c r="K1591"/>
      <c r="L1591"/>
      <c r="M1591"/>
      <c r="N1591"/>
      <c r="O1591"/>
      <c r="P1591"/>
      <c r="Q1591"/>
      <c r="R1591" s="558" t="s">
        <v>1731</v>
      </c>
      <c r="S1591" s="83"/>
      <c r="T1591" s="56"/>
      <c r="U1591" s="955"/>
      <c r="V1591" s="43" t="str">
        <f>Z1579</f>
        <v>G</v>
      </c>
      <c r="W1591" s="10"/>
      <c r="X1591" s="45" t="s">
        <v>769</v>
      </c>
      <c r="Y1591" s="10"/>
      <c r="Z1591" s="46" t="str">
        <f t="shared" si="1117"/>
        <v>O</v>
      </c>
      <c r="AA1591" s="123"/>
      <c r="AB1591" s="1459">
        <f t="shared" si="1109"/>
        <v>0</v>
      </c>
      <c r="AC1591" s="1460" t="str">
        <f t="shared" si="1110"/>
        <v>-</v>
      </c>
      <c r="AD1591" s="1459">
        <f t="shared" si="1111"/>
        <v>0</v>
      </c>
      <c r="AE1591" s="964" t="str">
        <f t="shared" si="1112"/>
        <v/>
      </c>
      <c r="AF1591" s="964" t="str">
        <f t="shared" si="1113"/>
        <v/>
      </c>
      <c r="AG1591" s="964" t="str">
        <f t="shared" si="1114"/>
        <v/>
      </c>
      <c r="AH1591" s="964" t="str">
        <f t="shared" si="1115"/>
        <v/>
      </c>
      <c r="AI1591" s="964" t="str">
        <f t="shared" si="1116"/>
        <v/>
      </c>
      <c r="AJ1591" s="964"/>
      <c r="AK1591" s="964"/>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s="1396"/>
      <c r="CB1591" s="1396"/>
      <c r="CC1591"/>
      <c r="CD1591"/>
      <c r="CE1591"/>
    </row>
    <row r="1592" spans="1:83" ht="13.15" customHeight="1" outlineLevel="2" x14ac:dyDescent="0.2">
      <c r="A1592"/>
      <c r="B1592" s="1"/>
      <c r="C1592"/>
      <c r="D1592"/>
      <c r="E1592"/>
      <c r="F1592"/>
      <c r="G1592" s="1"/>
      <c r="H1592" s="1"/>
      <c r="I1592"/>
      <c r="J1592"/>
      <c r="K1592"/>
      <c r="L1592"/>
      <c r="M1592"/>
      <c r="N1592"/>
      <c r="O1592"/>
      <c r="P1592"/>
      <c r="Q1592"/>
      <c r="R1592" s="558" t="s">
        <v>1731</v>
      </c>
      <c r="S1592" s="83"/>
      <c r="T1592" s="56"/>
      <c r="U1592" s="955"/>
      <c r="V1592" s="43" t="str">
        <f>Z1580</f>
        <v>E</v>
      </c>
      <c r="W1592" s="10"/>
      <c r="X1592" s="45" t="s">
        <v>769</v>
      </c>
      <c r="Y1592" s="10"/>
      <c r="Z1592" s="46" t="str">
        <f t="shared" si="1117"/>
        <v>Q</v>
      </c>
      <c r="AA1592" s="123"/>
      <c r="AB1592" s="1459">
        <f t="shared" si="1109"/>
        <v>0</v>
      </c>
      <c r="AC1592" s="1460" t="str">
        <f t="shared" si="1110"/>
        <v>-</v>
      </c>
      <c r="AD1592" s="1459">
        <f t="shared" si="1111"/>
        <v>0</v>
      </c>
      <c r="AE1592" s="964" t="str">
        <f t="shared" si="1112"/>
        <v/>
      </c>
      <c r="AF1592" s="964" t="str">
        <f t="shared" si="1113"/>
        <v/>
      </c>
      <c r="AG1592" s="964" t="str">
        <f t="shared" si="1114"/>
        <v/>
      </c>
      <c r="AH1592" s="964" t="str">
        <f t="shared" si="1115"/>
        <v/>
      </c>
      <c r="AI1592" s="964" t="str">
        <f t="shared" si="1116"/>
        <v/>
      </c>
      <c r="AJ1592" s="964"/>
      <c r="AK1592" s="964"/>
      <c r="AL1592"/>
      <c r="AM1592"/>
      <c r="AN1592"/>
      <c r="AO1592"/>
      <c r="AP1592"/>
      <c r="AQ1592"/>
      <c r="AR1592"/>
      <c r="AS1592"/>
      <c r="AT1592"/>
      <c r="AU1592"/>
      <c r="AV1592"/>
      <c r="AW1592"/>
      <c r="AX1592" s="9"/>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s="1396"/>
      <c r="CB1592" s="1396"/>
      <c r="CC1592"/>
      <c r="CD1592"/>
      <c r="CE1592"/>
    </row>
    <row r="1593" spans="1:83" ht="13.15" customHeight="1" outlineLevel="2" x14ac:dyDescent="0.2">
      <c r="A1593"/>
      <c r="B1593" s="1"/>
      <c r="C1593"/>
      <c r="D1593"/>
      <c r="E1593"/>
      <c r="F1593"/>
      <c r="G1593" s="1"/>
      <c r="H1593" s="1"/>
      <c r="I1593"/>
      <c r="J1593"/>
      <c r="K1593"/>
      <c r="L1593"/>
      <c r="M1593"/>
      <c r="N1593"/>
      <c r="O1593"/>
      <c r="P1593"/>
      <c r="Q1593"/>
      <c r="R1593" s="558" t="s">
        <v>1731</v>
      </c>
      <c r="S1593" s="83"/>
      <c r="T1593" s="56"/>
      <c r="U1593" s="955"/>
      <c r="V1593" s="43" t="str">
        <f>Z1581</f>
        <v>C</v>
      </c>
      <c r="W1593" s="10"/>
      <c r="X1593" s="45" t="s">
        <v>769</v>
      </c>
      <c r="Y1593" s="10"/>
      <c r="Z1593" s="46" t="str">
        <f t="shared" si="1117"/>
        <v>S</v>
      </c>
      <c r="AA1593" s="123"/>
      <c r="AB1593" s="1459">
        <f t="shared" si="1109"/>
        <v>0</v>
      </c>
      <c r="AC1593" s="1460" t="str">
        <f t="shared" si="1110"/>
        <v>-</v>
      </c>
      <c r="AD1593" s="1459">
        <f t="shared" si="1111"/>
        <v>0</v>
      </c>
      <c r="AE1593" s="964" t="str">
        <f t="shared" si="1112"/>
        <v/>
      </c>
      <c r="AF1593" s="964" t="str">
        <f t="shared" si="1113"/>
        <v/>
      </c>
      <c r="AG1593" s="964" t="str">
        <f t="shared" si="1114"/>
        <v/>
      </c>
      <c r="AH1593" s="964" t="str">
        <f t="shared" si="1115"/>
        <v/>
      </c>
      <c r="AI1593" s="964" t="str">
        <f t="shared" si="1116"/>
        <v/>
      </c>
      <c r="AJ1593" s="964"/>
      <c r="AK1593" s="964"/>
      <c r="AL1593"/>
      <c r="AM1593"/>
      <c r="AN1593"/>
      <c r="AO1593"/>
      <c r="AP1593"/>
      <c r="AQ1593"/>
      <c r="AR1593"/>
      <c r="AS1593"/>
      <c r="AT1593"/>
      <c r="AU1593"/>
      <c r="AV1593"/>
      <c r="AW1593" s="9"/>
      <c r="AX1593" s="9"/>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s="1396"/>
      <c r="CB1593" s="1396"/>
      <c r="CC1593"/>
      <c r="CD1593"/>
      <c r="CE1593"/>
    </row>
    <row r="1594" spans="1:83" ht="13.15" customHeight="1" outlineLevel="2" x14ac:dyDescent="0.2">
      <c r="A1594"/>
      <c r="B1594" s="1"/>
      <c r="C1594"/>
      <c r="D1594"/>
      <c r="E1594"/>
      <c r="F1594"/>
      <c r="G1594" s="1"/>
      <c r="H1594" s="1"/>
      <c r="I1594"/>
      <c r="J1594"/>
      <c r="K1594"/>
      <c r="L1594"/>
      <c r="M1594"/>
      <c r="N1594"/>
      <c r="O1594"/>
      <c r="P1594"/>
      <c r="Q1594"/>
      <c r="R1594" s="558" t="s">
        <v>1731</v>
      </c>
      <c r="S1594" s="83"/>
      <c r="T1594" s="56"/>
      <c r="U1594" s="955"/>
      <c r="V1594" s="43" t="str">
        <f>Z1583</f>
        <v>D</v>
      </c>
      <c r="W1594" s="10"/>
      <c r="X1594" s="45" t="s">
        <v>769</v>
      </c>
      <c r="Y1594" s="10"/>
      <c r="Z1594" s="46" t="str">
        <f t="shared" si="1117"/>
        <v>R</v>
      </c>
      <c r="AA1594" s="123"/>
      <c r="AB1594" s="1459">
        <f t="shared" si="1109"/>
        <v>0</v>
      </c>
      <c r="AC1594" s="1460" t="str">
        <f t="shared" si="1110"/>
        <v>-</v>
      </c>
      <c r="AD1594" s="1459">
        <f t="shared" si="1111"/>
        <v>0</v>
      </c>
      <c r="AE1594" s="964" t="str">
        <f t="shared" si="1112"/>
        <v/>
      </c>
      <c r="AF1594" s="964" t="str">
        <f t="shared" si="1113"/>
        <v/>
      </c>
      <c r="AG1594" s="964" t="str">
        <f t="shared" si="1114"/>
        <v/>
      </c>
      <c r="AH1594" s="964" t="str">
        <f t="shared" si="1115"/>
        <v/>
      </c>
      <c r="AI1594" s="964" t="str">
        <f t="shared" si="1116"/>
        <v/>
      </c>
      <c r="AJ1594" s="964"/>
      <c r="AK1594" s="96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s="1396"/>
      <c r="CB1594" s="1396"/>
      <c r="CC1594"/>
      <c r="CD1594"/>
      <c r="CE1594"/>
    </row>
    <row r="1595" spans="1:83" ht="13.15" customHeight="1" outlineLevel="2" x14ac:dyDescent="0.2">
      <c r="A1595"/>
      <c r="B1595" s="1"/>
      <c r="C1595"/>
      <c r="D1595"/>
      <c r="E1595"/>
      <c r="F1595"/>
      <c r="G1595" s="1"/>
      <c r="H1595" s="1"/>
      <c r="I1595"/>
      <c r="J1595"/>
      <c r="K1595"/>
      <c r="L1595"/>
      <c r="M1595"/>
      <c r="N1595"/>
      <c r="O1595"/>
      <c r="P1595"/>
      <c r="Q1595"/>
      <c r="R1595" s="558" t="s">
        <v>1731</v>
      </c>
      <c r="S1595" s="83"/>
      <c r="T1595" s="56"/>
      <c r="U1595" s="955"/>
      <c r="V1595" s="43" t="str">
        <f>V1572</f>
        <v>F</v>
      </c>
      <c r="W1595" s="10"/>
      <c r="X1595" s="45" t="s">
        <v>769</v>
      </c>
      <c r="Y1595" s="10"/>
      <c r="Z1595" s="46" t="str">
        <f t="shared" si="1117"/>
        <v>P</v>
      </c>
      <c r="AA1595" s="123"/>
      <c r="AB1595" s="1459">
        <f t="shared" si="1109"/>
        <v>0</v>
      </c>
      <c r="AC1595" s="1460" t="str">
        <f t="shared" si="1110"/>
        <v>-</v>
      </c>
      <c r="AD1595" s="1459">
        <f t="shared" si="1111"/>
        <v>0</v>
      </c>
      <c r="AE1595" s="964" t="str">
        <f t="shared" si="1112"/>
        <v/>
      </c>
      <c r="AF1595" s="964" t="str">
        <f t="shared" si="1113"/>
        <v/>
      </c>
      <c r="AG1595" s="964" t="str">
        <f t="shared" si="1114"/>
        <v/>
      </c>
      <c r="AH1595" s="964" t="str">
        <f t="shared" si="1115"/>
        <v/>
      </c>
      <c r="AI1595" s="964" t="str">
        <f t="shared" si="1116"/>
        <v/>
      </c>
      <c r="AJ1595" s="964"/>
      <c r="AK1595" s="964"/>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s="1396"/>
      <c r="CB1595" s="1396"/>
      <c r="CC1595"/>
      <c r="CD1595"/>
      <c r="CE1595"/>
    </row>
    <row r="1596" spans="1:83" ht="13.15" customHeight="1" outlineLevel="2" x14ac:dyDescent="0.2">
      <c r="A1596"/>
      <c r="B1596" s="1"/>
      <c r="C1596"/>
      <c r="D1596"/>
      <c r="E1596"/>
      <c r="F1596"/>
      <c r="G1596" s="1"/>
      <c r="H1596" s="1"/>
      <c r="I1596"/>
      <c r="J1596"/>
      <c r="K1596"/>
      <c r="L1596"/>
      <c r="M1596"/>
      <c r="N1596"/>
      <c r="O1596"/>
      <c r="P1596"/>
      <c r="Q1596"/>
      <c r="R1596" s="558" t="s">
        <v>1731</v>
      </c>
      <c r="S1596" s="83"/>
      <c r="T1596" s="56"/>
      <c r="U1596" s="955"/>
      <c r="V1596" s="43" t="str">
        <f>Z1584</f>
        <v>H</v>
      </c>
      <c r="W1596" s="10"/>
      <c r="X1596" s="45" t="s">
        <v>769</v>
      </c>
      <c r="Y1596" s="10"/>
      <c r="Z1596" s="46" t="str">
        <f t="shared" si="1117"/>
        <v>N</v>
      </c>
      <c r="AA1596" s="123"/>
      <c r="AB1596" s="1459">
        <f t="shared" si="1109"/>
        <v>0</v>
      </c>
      <c r="AC1596" s="1460" t="str">
        <f t="shared" si="1110"/>
        <v>-</v>
      </c>
      <c r="AD1596" s="1459">
        <f t="shared" si="1111"/>
        <v>0</v>
      </c>
      <c r="AE1596" s="964" t="str">
        <f t="shared" si="1112"/>
        <v/>
      </c>
      <c r="AF1596" s="964" t="str">
        <f t="shared" si="1113"/>
        <v/>
      </c>
      <c r="AG1596" s="964" t="str">
        <f t="shared" si="1114"/>
        <v/>
      </c>
      <c r="AH1596" s="964" t="str">
        <f t="shared" si="1115"/>
        <v/>
      </c>
      <c r="AI1596" s="964" t="str">
        <f t="shared" si="1116"/>
        <v/>
      </c>
      <c r="AJ1596" s="964"/>
      <c r="AK1596" s="964"/>
      <c r="AL1596"/>
      <c r="AM1596"/>
      <c r="AN1596"/>
      <c r="AO1596"/>
      <c r="AP1596"/>
      <c r="AQ1596"/>
      <c r="AR1596"/>
      <c r="AS1596"/>
      <c r="AT1596"/>
      <c r="AU1596"/>
      <c r="AV1596"/>
      <c r="AW1596"/>
      <c r="AX1596" s="9"/>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s="1396"/>
      <c r="CB1596" s="1396"/>
      <c r="CC1596"/>
      <c r="CD1596"/>
      <c r="CE1596"/>
    </row>
    <row r="1597" spans="1:83" ht="13.9" customHeight="1" outlineLevel="2" thickBot="1" x14ac:dyDescent="0.25">
      <c r="A1597"/>
      <c r="B1597" s="1"/>
      <c r="C1597"/>
      <c r="D1597"/>
      <c r="E1597"/>
      <c r="F1597"/>
      <c r="G1597" s="1"/>
      <c r="H1597" s="1"/>
      <c r="I1597"/>
      <c r="J1597"/>
      <c r="K1597"/>
      <c r="L1597"/>
      <c r="M1597"/>
      <c r="N1597"/>
      <c r="O1597"/>
      <c r="P1597"/>
      <c r="Q1597"/>
      <c r="R1597" s="558" t="s">
        <v>1731</v>
      </c>
      <c r="S1597" s="956"/>
      <c r="T1597" s="58"/>
      <c r="U1597" s="957"/>
      <c r="V1597" s="958" t="str">
        <f>Z1585</f>
        <v>J</v>
      </c>
      <c r="W1597" s="175"/>
      <c r="X1597" s="52" t="s">
        <v>769</v>
      </c>
      <c r="Y1597" s="175"/>
      <c r="Z1597" s="959" t="str">
        <f>Z1586</f>
        <v>L</v>
      </c>
      <c r="AA1597" s="123"/>
      <c r="AB1597" s="1459">
        <f t="shared" si="1109"/>
        <v>0</v>
      </c>
      <c r="AC1597" s="1460" t="str">
        <f t="shared" si="1110"/>
        <v>-</v>
      </c>
      <c r="AD1597" s="1459">
        <f t="shared" si="1111"/>
        <v>0</v>
      </c>
      <c r="AE1597" s="964" t="str">
        <f t="shared" si="1112"/>
        <v/>
      </c>
      <c r="AF1597" s="964" t="str">
        <f t="shared" si="1113"/>
        <v/>
      </c>
      <c r="AG1597" s="964" t="str">
        <f t="shared" si="1114"/>
        <v/>
      </c>
      <c r="AH1597" s="964" t="str">
        <f t="shared" si="1115"/>
        <v/>
      </c>
      <c r="AI1597" s="964" t="str">
        <f t="shared" si="1116"/>
        <v/>
      </c>
      <c r="AJ1597" s="964"/>
      <c r="AK1597" s="964"/>
      <c r="AL1597"/>
      <c r="AM1597"/>
      <c r="AN1597"/>
      <c r="AO1597"/>
      <c r="AP1597"/>
      <c r="AQ1597"/>
      <c r="AR1597"/>
      <c r="AS1597"/>
      <c r="AT1597"/>
      <c r="AU1597"/>
      <c r="AV1597"/>
      <c r="AW1597" s="9"/>
      <c r="AX1597" s="9"/>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s="1396"/>
      <c r="CB1597" s="1396"/>
      <c r="CC1597"/>
      <c r="CD1597"/>
      <c r="CE1597"/>
    </row>
    <row r="1598" spans="1:83" ht="13.5" outlineLevel="1" thickBot="1" x14ac:dyDescent="0.25">
      <c r="A1598"/>
      <c r="B1598" s="1"/>
      <c r="C1598" s="1"/>
      <c r="D1598" s="76"/>
      <c r="E1598" s="76"/>
      <c r="F1598" s="76"/>
      <c r="G1598" s="9"/>
      <c r="H1598" s="9"/>
      <c r="I1598" s="1"/>
      <c r="J1598"/>
      <c r="K1598"/>
      <c r="L1598"/>
      <c r="M1598"/>
      <c r="N1598"/>
      <c r="O1598"/>
      <c r="P1598" s="89"/>
      <c r="Q1598"/>
      <c r="R1598" s="1"/>
      <c r="S1598" s="993">
        <f>S1587+1</f>
        <v>7</v>
      </c>
      <c r="T1598" s="961"/>
      <c r="U1598" s="961"/>
      <c r="V1598" s="961"/>
      <c r="W1598" s="960"/>
      <c r="X1598" s="960"/>
      <c r="Y1598" s="960"/>
      <c r="Z1598" s="962"/>
      <c r="AA1598" s="123"/>
      <c r="AB1598" s="963"/>
      <c r="AC1598" s="963"/>
      <c r="AD1598" s="963"/>
      <c r="AE1598" s="964"/>
      <c r="AF1598" s="964"/>
      <c r="AG1598" s="964"/>
      <c r="AH1598" s="964"/>
      <c r="AI1598" s="964"/>
      <c r="AJ1598" s="964"/>
      <c r="AK1598" s="964"/>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s="1396"/>
      <c r="CB1598" s="1396"/>
      <c r="CC1598"/>
      <c r="CD1598"/>
      <c r="CE1598"/>
    </row>
    <row r="1599" spans="1:83" ht="13.9" customHeight="1" outlineLevel="2" thickBot="1" x14ac:dyDescent="0.25">
      <c r="A1599"/>
      <c r="B1599" s="1"/>
      <c r="C1599"/>
      <c r="D1599"/>
      <c r="E1599"/>
      <c r="F1599"/>
      <c r="G1599" s="1"/>
      <c r="H1599" s="1"/>
      <c r="I1599"/>
      <c r="J1599"/>
      <c r="K1599"/>
      <c r="L1599"/>
      <c r="M1599"/>
      <c r="N1599"/>
      <c r="O1599"/>
      <c r="P1599"/>
      <c r="Q1599"/>
      <c r="S1599" s="22" t="str">
        <f>N_Heure</f>
        <v>Heure</v>
      </c>
      <c r="T1599" s="22" t="str">
        <f>N_Table</f>
        <v>Table</v>
      </c>
      <c r="U1599" s="22" t="str">
        <f>N_Arbitre</f>
        <v>Arbitre</v>
      </c>
      <c r="V1599" s="293" t="str">
        <f>N_Matches</f>
        <v>Matches</v>
      </c>
      <c r="W1599" s="294"/>
      <c r="X1599" s="294"/>
      <c r="Y1599" s="294"/>
      <c r="Z1599" s="295"/>
      <c r="AA1599" s="8"/>
      <c r="AB1599" s="967"/>
      <c r="AC1599" s="967"/>
      <c r="AD1599" s="967"/>
      <c r="AE1599" s="964"/>
      <c r="AF1599" s="964"/>
      <c r="AG1599" s="964"/>
      <c r="AH1599" s="964"/>
      <c r="AI1599" s="964"/>
      <c r="AJ1599" s="964"/>
      <c r="AK1599" s="964"/>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s="1396"/>
      <c r="CB1599" s="1396"/>
      <c r="CC1599"/>
      <c r="CD1599"/>
      <c r="CE1599"/>
    </row>
    <row r="1600" spans="1:83" ht="13.15" customHeight="1" outlineLevel="2" x14ac:dyDescent="0.2">
      <c r="A1600"/>
      <c r="B1600" s="1"/>
      <c r="C1600"/>
      <c r="D1600"/>
      <c r="E1600"/>
      <c r="F1600"/>
      <c r="G1600" s="1"/>
      <c r="H1600" s="1"/>
      <c r="I1600"/>
      <c r="J1600"/>
      <c r="K1600"/>
      <c r="L1600"/>
      <c r="M1600"/>
      <c r="N1600"/>
      <c r="O1600"/>
      <c r="P1600"/>
      <c r="Q1600"/>
      <c r="R1600" s="558" t="s">
        <v>1740</v>
      </c>
      <c r="S1600" s="65"/>
      <c r="T1600" s="953"/>
      <c r="U1600" s="954"/>
      <c r="V1600" s="34" t="str">
        <f>Z1589</f>
        <v>A</v>
      </c>
      <c r="W1600" s="148"/>
      <c r="X1600" s="35" t="s">
        <v>769</v>
      </c>
      <c r="Y1600" s="148"/>
      <c r="Z1600" s="36" t="str">
        <f>Z1590</f>
        <v>M</v>
      </c>
      <c r="AA1600" s="123"/>
      <c r="AB1600" s="1459">
        <f t="shared" ref="AB1600:AB1608" si="1118">IF(MaxScore,MaxGoals(W1600,Y1600,MaxGoalsValue),IF(W1600="","",W1600))</f>
        <v>0</v>
      </c>
      <c r="AC1600" s="1460" t="str">
        <f t="shared" ref="AC1600:AC1608" si="1119">IF(MaxScore,"-",IF(W1600="","","-"))</f>
        <v>-</v>
      </c>
      <c r="AD1600" s="1459">
        <f t="shared" ref="AD1600:AD1608" si="1120">IF(MaxScore,MaxGoals(Y1600,W1600,MaxGoalsValue),IF(Y1600="","",Y1600))</f>
        <v>0</v>
      </c>
      <c r="AE1600" s="964" t="str">
        <f t="shared" ref="AE1600:AE1608" si="1121">IF(W1600="","",IF(W1600&gt;Y1600,V1600,IF(W1600=Y1600,"",Z1600)))</f>
        <v/>
      </c>
      <c r="AF1600" s="964" t="str">
        <f t="shared" ref="AF1600:AF1608" si="1122">IF(W1600="","",IF(W1600=Y1600,V1600,""))</f>
        <v/>
      </c>
      <c r="AG1600" s="964" t="str">
        <f t="shared" ref="AG1600:AG1608" si="1123">IF(W1600="","",IF(W1600=Y1600,Z1600,""))</f>
        <v/>
      </c>
      <c r="AH1600" s="964" t="str">
        <f t="shared" ref="AH1600:AH1608" si="1124">IF(W1600="","",IF(W1600&lt;Y1600,V1600,IF(W1600=Y1600,"",Z1600)))</f>
        <v/>
      </c>
      <c r="AI1600" s="964" t="str">
        <f t="shared" ref="AI1600:AI1608" si="1125">CONCATENATE(AE1600,AH1600)</f>
        <v/>
      </c>
      <c r="AJ1600" s="964"/>
      <c r="AK1600" s="964"/>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s="1396"/>
      <c r="CB1600" s="1396"/>
      <c r="CC1600"/>
      <c r="CD1600"/>
      <c r="CE1600"/>
    </row>
    <row r="1601" spans="1:83" ht="13.15" customHeight="1" outlineLevel="2" x14ac:dyDescent="0.2">
      <c r="A1601"/>
      <c r="B1601" s="1"/>
      <c r="C1601"/>
      <c r="D1601"/>
      <c r="E1601"/>
      <c r="F1601"/>
      <c r="G1601" s="1"/>
      <c r="H1601" s="1"/>
      <c r="I1601"/>
      <c r="J1601"/>
      <c r="K1601"/>
      <c r="L1601"/>
      <c r="M1601"/>
      <c r="N1601"/>
      <c r="O1601"/>
      <c r="P1601"/>
      <c r="Q1601"/>
      <c r="R1601" s="558" t="s">
        <v>1740</v>
      </c>
      <c r="S1601" s="83"/>
      <c r="T1601" s="56"/>
      <c r="U1601" s="955"/>
      <c r="V1601" s="43" t="str">
        <f t="shared" ref="V1601:V1607" si="1126">Z1591</f>
        <v>O</v>
      </c>
      <c r="W1601" s="10"/>
      <c r="X1601" s="45" t="s">
        <v>769</v>
      </c>
      <c r="Y1601" s="10"/>
      <c r="Z1601" s="46" t="str">
        <f>V1589</f>
        <v>K</v>
      </c>
      <c r="AA1601" s="123"/>
      <c r="AB1601" s="1459">
        <f t="shared" si="1118"/>
        <v>0</v>
      </c>
      <c r="AC1601" s="1460" t="str">
        <f t="shared" si="1119"/>
        <v>-</v>
      </c>
      <c r="AD1601" s="1459">
        <f t="shared" si="1120"/>
        <v>0</v>
      </c>
      <c r="AE1601" s="964" t="str">
        <f t="shared" si="1121"/>
        <v/>
      </c>
      <c r="AF1601" s="964" t="str">
        <f t="shared" si="1122"/>
        <v/>
      </c>
      <c r="AG1601" s="964" t="str">
        <f t="shared" si="1123"/>
        <v/>
      </c>
      <c r="AH1601" s="964" t="str">
        <f t="shared" si="1124"/>
        <v/>
      </c>
      <c r="AI1601" s="964" t="str">
        <f t="shared" si="1125"/>
        <v/>
      </c>
      <c r="AJ1601" s="964"/>
      <c r="AK1601" s="964"/>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s="1396"/>
      <c r="CB1601" s="1396"/>
      <c r="CC1601"/>
      <c r="CD1601"/>
      <c r="CE1601"/>
    </row>
    <row r="1602" spans="1:83" ht="13.15" customHeight="1" outlineLevel="2" x14ac:dyDescent="0.2">
      <c r="A1602"/>
      <c r="B1602" s="1"/>
      <c r="C1602"/>
      <c r="D1602"/>
      <c r="E1602"/>
      <c r="F1602"/>
      <c r="G1602" s="1"/>
      <c r="H1602" s="1"/>
      <c r="I1602"/>
      <c r="J1602"/>
      <c r="K1602"/>
      <c r="L1602"/>
      <c r="M1602"/>
      <c r="N1602"/>
      <c r="O1602"/>
      <c r="P1602"/>
      <c r="Q1602"/>
      <c r="R1602" s="558" t="s">
        <v>1740</v>
      </c>
      <c r="S1602" s="83"/>
      <c r="T1602" s="56"/>
      <c r="U1602" s="955"/>
      <c r="V1602" s="43" t="str">
        <f t="shared" si="1126"/>
        <v>Q</v>
      </c>
      <c r="W1602" s="10"/>
      <c r="X1602" s="45" t="s">
        <v>769</v>
      </c>
      <c r="Y1602" s="10"/>
      <c r="Z1602" s="46" t="str">
        <f>V1590</f>
        <v>I</v>
      </c>
      <c r="AA1602" s="123"/>
      <c r="AB1602" s="1459">
        <f t="shared" si="1118"/>
        <v>0</v>
      </c>
      <c r="AC1602" s="1460" t="str">
        <f t="shared" si="1119"/>
        <v>-</v>
      </c>
      <c r="AD1602" s="1459">
        <f t="shared" si="1120"/>
        <v>0</v>
      </c>
      <c r="AE1602" s="964" t="str">
        <f t="shared" si="1121"/>
        <v/>
      </c>
      <c r="AF1602" s="964" t="str">
        <f t="shared" si="1122"/>
        <v/>
      </c>
      <c r="AG1602" s="964" t="str">
        <f t="shared" si="1123"/>
        <v/>
      </c>
      <c r="AH1602" s="964" t="str">
        <f t="shared" si="1124"/>
        <v/>
      </c>
      <c r="AI1602" s="964" t="str">
        <f t="shared" si="1125"/>
        <v/>
      </c>
      <c r="AJ1602" s="964"/>
      <c r="AK1602" s="964"/>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s="1396"/>
      <c r="CB1602" s="1396"/>
      <c r="CC1602"/>
      <c r="CD1602"/>
      <c r="CE1602"/>
    </row>
    <row r="1603" spans="1:83" ht="13.15" customHeight="1" outlineLevel="2" x14ac:dyDescent="0.2">
      <c r="A1603"/>
      <c r="B1603" s="1"/>
      <c r="C1603"/>
      <c r="D1603"/>
      <c r="E1603"/>
      <c r="F1603"/>
      <c r="G1603" s="1"/>
      <c r="H1603" s="1"/>
      <c r="I1603"/>
      <c r="J1603"/>
      <c r="K1603"/>
      <c r="L1603"/>
      <c r="M1603"/>
      <c r="N1603"/>
      <c r="O1603"/>
      <c r="P1603"/>
      <c r="Q1603"/>
      <c r="R1603" s="558" t="s">
        <v>1740</v>
      </c>
      <c r="S1603" s="83"/>
      <c r="T1603" s="56"/>
      <c r="U1603" s="955"/>
      <c r="V1603" s="43" t="str">
        <f t="shared" si="1126"/>
        <v>S</v>
      </c>
      <c r="W1603" s="10"/>
      <c r="X1603" s="45" t="s">
        <v>769</v>
      </c>
      <c r="Y1603" s="10"/>
      <c r="Z1603" s="46" t="str">
        <f>V1591</f>
        <v>G</v>
      </c>
      <c r="AA1603" s="123"/>
      <c r="AB1603" s="1459">
        <f t="shared" si="1118"/>
        <v>0</v>
      </c>
      <c r="AC1603" s="1460" t="str">
        <f t="shared" si="1119"/>
        <v>-</v>
      </c>
      <c r="AD1603" s="1459">
        <f t="shared" si="1120"/>
        <v>0</v>
      </c>
      <c r="AE1603" s="964" t="str">
        <f t="shared" si="1121"/>
        <v/>
      </c>
      <c r="AF1603" s="964" t="str">
        <f t="shared" si="1122"/>
        <v/>
      </c>
      <c r="AG1603" s="964" t="str">
        <f t="shared" si="1123"/>
        <v/>
      </c>
      <c r="AH1603" s="964" t="str">
        <f t="shared" si="1124"/>
        <v/>
      </c>
      <c r="AI1603" s="964" t="str">
        <f t="shared" si="1125"/>
        <v/>
      </c>
      <c r="AJ1603" s="964"/>
      <c r="AK1603" s="964"/>
      <c r="AL1603"/>
      <c r="AM1603"/>
      <c r="AN1603"/>
      <c r="AO1603"/>
      <c r="AP1603"/>
      <c r="AQ1603"/>
      <c r="AR1603"/>
      <c r="AS1603"/>
      <c r="AT1603"/>
      <c r="AU1603"/>
      <c r="AV1603"/>
      <c r="AW1603"/>
      <c r="AX1603" s="9"/>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s="1396"/>
      <c r="CB1603" s="1396"/>
      <c r="CC1603"/>
      <c r="CD1603"/>
      <c r="CE1603"/>
    </row>
    <row r="1604" spans="1:83" ht="13.15" customHeight="1" outlineLevel="2" x14ac:dyDescent="0.2">
      <c r="A1604"/>
      <c r="B1604" s="1"/>
      <c r="C1604"/>
      <c r="D1604"/>
      <c r="E1604"/>
      <c r="F1604"/>
      <c r="G1604" s="1"/>
      <c r="H1604" s="1"/>
      <c r="I1604"/>
      <c r="J1604"/>
      <c r="K1604"/>
      <c r="L1604"/>
      <c r="M1604"/>
      <c r="N1604"/>
      <c r="O1604"/>
      <c r="P1604"/>
      <c r="Q1604"/>
      <c r="R1604" s="558" t="s">
        <v>1740</v>
      </c>
      <c r="S1604" s="83"/>
      <c r="T1604" s="56"/>
      <c r="U1604" s="955"/>
      <c r="V1604" s="43" t="str">
        <f t="shared" si="1126"/>
        <v>R</v>
      </c>
      <c r="W1604" s="10"/>
      <c r="X1604" s="45" t="s">
        <v>769</v>
      </c>
      <c r="Y1604" s="10"/>
      <c r="Z1604" s="46" t="str">
        <f>V1593</f>
        <v>C</v>
      </c>
      <c r="AA1604" s="123"/>
      <c r="AB1604" s="1459">
        <f t="shared" si="1118"/>
        <v>0</v>
      </c>
      <c r="AC1604" s="1460" t="str">
        <f t="shared" si="1119"/>
        <v>-</v>
      </c>
      <c r="AD1604" s="1459">
        <f t="shared" si="1120"/>
        <v>0</v>
      </c>
      <c r="AE1604" s="964" t="str">
        <f t="shared" si="1121"/>
        <v/>
      </c>
      <c r="AF1604" s="964" t="str">
        <f t="shared" si="1122"/>
        <v/>
      </c>
      <c r="AG1604" s="964" t="str">
        <f t="shared" si="1123"/>
        <v/>
      </c>
      <c r="AH1604" s="964" t="str">
        <f t="shared" si="1124"/>
        <v/>
      </c>
      <c r="AI1604" s="964" t="str">
        <f t="shared" si="1125"/>
        <v/>
      </c>
      <c r="AJ1604" s="964"/>
      <c r="AK1604" s="96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s="1396"/>
      <c r="CB1604" s="1396"/>
      <c r="CC1604"/>
      <c r="CD1604"/>
      <c r="CE1604"/>
    </row>
    <row r="1605" spans="1:83" ht="13.15" customHeight="1" outlineLevel="2" x14ac:dyDescent="0.2">
      <c r="A1605"/>
      <c r="B1605" s="1"/>
      <c r="C1605"/>
      <c r="D1605"/>
      <c r="E1605"/>
      <c r="F1605"/>
      <c r="G1605" s="1"/>
      <c r="H1605" s="1"/>
      <c r="I1605"/>
      <c r="J1605"/>
      <c r="K1605"/>
      <c r="L1605"/>
      <c r="M1605"/>
      <c r="N1605"/>
      <c r="O1605"/>
      <c r="P1605"/>
      <c r="Q1605"/>
      <c r="R1605" s="558" t="s">
        <v>1740</v>
      </c>
      <c r="S1605" s="83"/>
      <c r="T1605" s="56"/>
      <c r="U1605" s="955"/>
      <c r="V1605" s="43" t="str">
        <f t="shared" si="1126"/>
        <v>P</v>
      </c>
      <c r="W1605" s="10"/>
      <c r="X1605" s="45" t="s">
        <v>769</v>
      </c>
      <c r="Y1605" s="10"/>
      <c r="Z1605" s="46" t="str">
        <f>Z1582</f>
        <v>B</v>
      </c>
      <c r="AA1605" s="123"/>
      <c r="AB1605" s="1459">
        <f t="shared" si="1118"/>
        <v>0</v>
      </c>
      <c r="AC1605" s="1460" t="str">
        <f t="shared" si="1119"/>
        <v>-</v>
      </c>
      <c r="AD1605" s="1459">
        <f t="shared" si="1120"/>
        <v>0</v>
      </c>
      <c r="AE1605" s="964" t="str">
        <f t="shared" si="1121"/>
        <v/>
      </c>
      <c r="AF1605" s="964" t="str">
        <f t="shared" si="1122"/>
        <v/>
      </c>
      <c r="AG1605" s="964" t="str">
        <f t="shared" si="1123"/>
        <v/>
      </c>
      <c r="AH1605" s="964" t="str">
        <f t="shared" si="1124"/>
        <v/>
      </c>
      <c r="AI1605" s="964" t="str">
        <f t="shared" si="1125"/>
        <v/>
      </c>
      <c r="AJ1605" s="964"/>
      <c r="AK1605" s="964"/>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s="1396"/>
      <c r="CB1605" s="1396"/>
      <c r="CC1605"/>
      <c r="CD1605"/>
      <c r="CE1605"/>
    </row>
    <row r="1606" spans="1:83" ht="13.15" customHeight="1" outlineLevel="2" x14ac:dyDescent="0.2">
      <c r="A1606"/>
      <c r="B1606" s="1"/>
      <c r="C1606"/>
      <c r="D1606"/>
      <c r="E1606"/>
      <c r="F1606"/>
      <c r="G1606" s="1"/>
      <c r="H1606" s="1"/>
      <c r="I1606"/>
      <c r="J1606"/>
      <c r="K1606"/>
      <c r="L1606"/>
      <c r="M1606"/>
      <c r="N1606"/>
      <c r="O1606"/>
      <c r="P1606"/>
      <c r="Q1606"/>
      <c r="R1606" s="558" t="s">
        <v>1740</v>
      </c>
      <c r="S1606" s="83"/>
      <c r="T1606" s="56"/>
      <c r="U1606" s="955"/>
      <c r="V1606" s="43" t="str">
        <f t="shared" si="1126"/>
        <v>N</v>
      </c>
      <c r="W1606" s="10"/>
      <c r="X1606" s="45" t="s">
        <v>769</v>
      </c>
      <c r="Y1606" s="10"/>
      <c r="Z1606" s="46" t="str">
        <f>V1594</f>
        <v>D</v>
      </c>
      <c r="AA1606" s="123"/>
      <c r="AB1606" s="1459">
        <f t="shared" si="1118"/>
        <v>0</v>
      </c>
      <c r="AC1606" s="1460" t="str">
        <f t="shared" si="1119"/>
        <v>-</v>
      </c>
      <c r="AD1606" s="1459">
        <f t="shared" si="1120"/>
        <v>0</v>
      </c>
      <c r="AE1606" s="964" t="str">
        <f t="shared" si="1121"/>
        <v/>
      </c>
      <c r="AF1606" s="964" t="str">
        <f t="shared" si="1122"/>
        <v/>
      </c>
      <c r="AG1606" s="964" t="str">
        <f t="shared" si="1123"/>
        <v/>
      </c>
      <c r="AH1606" s="964" t="str">
        <f t="shared" si="1124"/>
        <v/>
      </c>
      <c r="AI1606" s="964" t="str">
        <f t="shared" si="1125"/>
        <v/>
      </c>
      <c r="AJ1606" s="964"/>
      <c r="AK1606" s="964"/>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s="1396"/>
      <c r="CB1606" s="1396"/>
      <c r="CC1606"/>
      <c r="CD1606"/>
      <c r="CE1606"/>
    </row>
    <row r="1607" spans="1:83" ht="13.15" customHeight="1" outlineLevel="2" x14ac:dyDescent="0.2">
      <c r="A1607"/>
      <c r="B1607" s="1"/>
      <c r="C1607"/>
      <c r="D1607"/>
      <c r="E1607"/>
      <c r="F1607"/>
      <c r="G1607" s="1"/>
      <c r="H1607" s="1"/>
      <c r="I1607"/>
      <c r="J1607"/>
      <c r="K1607"/>
      <c r="L1607"/>
      <c r="M1607"/>
      <c r="N1607"/>
      <c r="O1607"/>
      <c r="P1607"/>
      <c r="Q1607"/>
      <c r="R1607" s="558" t="s">
        <v>1740</v>
      </c>
      <c r="S1607" s="83"/>
      <c r="T1607" s="56"/>
      <c r="U1607" s="955"/>
      <c r="V1607" s="43" t="str">
        <f t="shared" si="1126"/>
        <v>L</v>
      </c>
      <c r="W1607" s="10"/>
      <c r="X1607" s="45" t="s">
        <v>769</v>
      </c>
      <c r="Y1607" s="10"/>
      <c r="Z1607" s="46" t="str">
        <f>V1595</f>
        <v>F</v>
      </c>
      <c r="AA1607" s="123"/>
      <c r="AB1607" s="1459">
        <f t="shared" si="1118"/>
        <v>0</v>
      </c>
      <c r="AC1607" s="1460" t="str">
        <f t="shared" si="1119"/>
        <v>-</v>
      </c>
      <c r="AD1607" s="1459">
        <f t="shared" si="1120"/>
        <v>0</v>
      </c>
      <c r="AE1607" s="964" t="str">
        <f t="shared" si="1121"/>
        <v/>
      </c>
      <c r="AF1607" s="964" t="str">
        <f t="shared" si="1122"/>
        <v/>
      </c>
      <c r="AG1607" s="964" t="str">
        <f t="shared" si="1123"/>
        <v/>
      </c>
      <c r="AH1607" s="964" t="str">
        <f t="shared" si="1124"/>
        <v/>
      </c>
      <c r="AI1607" s="964" t="str">
        <f t="shared" si="1125"/>
        <v/>
      </c>
      <c r="AJ1607" s="964"/>
      <c r="AK1607" s="964"/>
      <c r="AL1607"/>
      <c r="AM1607"/>
      <c r="AN1607"/>
      <c r="AO1607"/>
      <c r="AP1607"/>
      <c r="AQ1607"/>
      <c r="AR1607"/>
      <c r="AS1607"/>
      <c r="AT1607"/>
      <c r="AU1607"/>
      <c r="AV1607"/>
      <c r="AW1607"/>
      <c r="AX1607" s="9"/>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s="1396"/>
      <c r="CB1607" s="1396"/>
      <c r="CC1607"/>
      <c r="CD1607"/>
      <c r="CE1607"/>
    </row>
    <row r="1608" spans="1:83" ht="13.9" customHeight="1" outlineLevel="2" thickBot="1" x14ac:dyDescent="0.25">
      <c r="A1608"/>
      <c r="B1608" s="1"/>
      <c r="C1608"/>
      <c r="D1608"/>
      <c r="E1608"/>
      <c r="F1608"/>
      <c r="G1608" s="1"/>
      <c r="H1608" s="1"/>
      <c r="I1608"/>
      <c r="J1608"/>
      <c r="K1608"/>
      <c r="L1608"/>
      <c r="M1608"/>
      <c r="N1608"/>
      <c r="O1608"/>
      <c r="P1608"/>
      <c r="Q1608"/>
      <c r="R1608" s="558" t="s">
        <v>1740</v>
      </c>
      <c r="S1608" s="956"/>
      <c r="T1608" s="58"/>
      <c r="U1608" s="957"/>
      <c r="V1608" s="958" t="str">
        <f>V1597</f>
        <v>J</v>
      </c>
      <c r="W1608" s="175"/>
      <c r="X1608" s="52" t="s">
        <v>769</v>
      </c>
      <c r="Y1608" s="175"/>
      <c r="Z1608" s="994" t="str">
        <f>V1596</f>
        <v>H</v>
      </c>
      <c r="AA1608" s="123"/>
      <c r="AB1608" s="1459">
        <f t="shared" si="1118"/>
        <v>0</v>
      </c>
      <c r="AC1608" s="1460" t="str">
        <f t="shared" si="1119"/>
        <v>-</v>
      </c>
      <c r="AD1608" s="1459">
        <f t="shared" si="1120"/>
        <v>0</v>
      </c>
      <c r="AE1608" s="964" t="str">
        <f t="shared" si="1121"/>
        <v/>
      </c>
      <c r="AF1608" s="964" t="str">
        <f t="shared" si="1122"/>
        <v/>
      </c>
      <c r="AG1608" s="964" t="str">
        <f t="shared" si="1123"/>
        <v/>
      </c>
      <c r="AH1608" s="964" t="str">
        <f t="shared" si="1124"/>
        <v/>
      </c>
      <c r="AI1608" s="964" t="str">
        <f t="shared" si="1125"/>
        <v/>
      </c>
      <c r="AJ1608" s="964"/>
      <c r="AK1608" s="964"/>
      <c r="AL1608"/>
      <c r="AM1608"/>
      <c r="AN1608"/>
      <c r="AO1608"/>
      <c r="AP1608"/>
      <c r="AQ1608"/>
      <c r="AR1608"/>
      <c r="AS1608"/>
      <c r="AT1608"/>
      <c r="AU1608"/>
      <c r="AV1608"/>
      <c r="AW1608" s="9"/>
      <c r="AX1608" s="9"/>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s="1396"/>
      <c r="CB1608" s="1396"/>
      <c r="CC1608"/>
      <c r="CD1608"/>
      <c r="CE1608"/>
    </row>
    <row r="1609" spans="1:83" ht="13.5" outlineLevel="1" thickBot="1" x14ac:dyDescent="0.25">
      <c r="A1609"/>
      <c r="B1609" s="1"/>
      <c r="C1609" s="1"/>
      <c r="D1609" s="76"/>
      <c r="E1609" s="76"/>
      <c r="F1609" s="76"/>
      <c r="G1609" s="9"/>
      <c r="H1609" s="9"/>
      <c r="I1609" s="1"/>
      <c r="J1609"/>
      <c r="K1609"/>
      <c r="L1609"/>
      <c r="M1609"/>
      <c r="N1609"/>
      <c r="O1609"/>
      <c r="P1609" s="89"/>
      <c r="Q1609"/>
      <c r="R1609" s="1"/>
      <c r="S1609" s="993">
        <f>S1598+1</f>
        <v>8</v>
      </c>
      <c r="T1609" s="961"/>
      <c r="U1609" s="961"/>
      <c r="V1609" s="961"/>
      <c r="W1609" s="960"/>
      <c r="X1609" s="960"/>
      <c r="Y1609" s="960"/>
      <c r="Z1609" s="962"/>
      <c r="AA1609" s="123"/>
      <c r="AB1609" s="963"/>
      <c r="AC1609" s="963"/>
      <c r="AD1609" s="963"/>
      <c r="AE1609" s="964"/>
      <c r="AF1609" s="964"/>
      <c r="AG1609" s="964"/>
      <c r="AH1609" s="964"/>
      <c r="AI1609" s="964"/>
      <c r="AJ1609" s="964"/>
      <c r="AK1609" s="964"/>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s="1396"/>
      <c r="CB1609" s="1396"/>
      <c r="CC1609"/>
      <c r="CD1609"/>
      <c r="CE1609"/>
    </row>
    <row r="1610" spans="1:83" ht="13.9" customHeight="1" outlineLevel="2" thickBot="1" x14ac:dyDescent="0.25">
      <c r="A1610"/>
      <c r="B1610" s="1"/>
      <c r="C1610"/>
      <c r="D1610"/>
      <c r="E1610"/>
      <c r="F1610"/>
      <c r="G1610" s="1"/>
      <c r="H1610" s="1"/>
      <c r="I1610"/>
      <c r="J1610"/>
      <c r="K1610"/>
      <c r="L1610"/>
      <c r="M1610"/>
      <c r="N1610"/>
      <c r="O1610"/>
      <c r="P1610"/>
      <c r="Q1610"/>
      <c r="S1610" s="22" t="str">
        <f>N_Heure</f>
        <v>Heure</v>
      </c>
      <c r="T1610" s="22" t="str">
        <f>N_Table</f>
        <v>Table</v>
      </c>
      <c r="U1610" s="22" t="str">
        <f>N_Arbitre</f>
        <v>Arbitre</v>
      </c>
      <c r="V1610" s="293" t="str">
        <f>N_Matches</f>
        <v>Matches</v>
      </c>
      <c r="W1610" s="294"/>
      <c r="X1610" s="294"/>
      <c r="Y1610" s="294"/>
      <c r="Z1610" s="295"/>
      <c r="AA1610" s="8"/>
      <c r="AB1610" s="967"/>
      <c r="AC1610" s="967"/>
      <c r="AD1610" s="967"/>
      <c r="AE1610" s="964"/>
      <c r="AF1610" s="964"/>
      <c r="AG1610" s="964"/>
      <c r="AH1610" s="964"/>
      <c r="AI1610" s="964"/>
      <c r="AJ1610" s="964"/>
      <c r="AK1610" s="964"/>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s="1396"/>
      <c r="CB1610" s="1396"/>
      <c r="CC1610"/>
      <c r="CD1610"/>
      <c r="CE1610"/>
    </row>
    <row r="1611" spans="1:83" ht="13.15" customHeight="1" outlineLevel="2" x14ac:dyDescent="0.2">
      <c r="A1611"/>
      <c r="B1611" s="1"/>
      <c r="C1611"/>
      <c r="D1611"/>
      <c r="E1611"/>
      <c r="F1611"/>
      <c r="G1611" s="1"/>
      <c r="H1611" s="1"/>
      <c r="I1611"/>
      <c r="J1611"/>
      <c r="K1611"/>
      <c r="L1611"/>
      <c r="M1611"/>
      <c r="N1611"/>
      <c r="O1611"/>
      <c r="P1611"/>
      <c r="Q1611"/>
      <c r="R1611" s="558" t="s">
        <v>930</v>
      </c>
      <c r="S1611" s="65"/>
      <c r="T1611" s="953"/>
      <c r="U1611" s="954"/>
      <c r="V1611" s="34" t="str">
        <f>V1601</f>
        <v>O</v>
      </c>
      <c r="W1611" s="148"/>
      <c r="X1611" s="35" t="s">
        <v>769</v>
      </c>
      <c r="Y1611" s="148"/>
      <c r="Z1611" s="36" t="str">
        <f>V1600</f>
        <v>A</v>
      </c>
      <c r="AA1611" s="123"/>
      <c r="AB1611" s="1459">
        <f t="shared" ref="AB1611:AB1619" si="1127">IF(MaxScore,MaxGoals(W1611,Y1611,MaxGoalsValue),IF(W1611="","",W1611))</f>
        <v>0</v>
      </c>
      <c r="AC1611" s="1460" t="str">
        <f t="shared" ref="AC1611:AC1619" si="1128">IF(MaxScore,"-",IF(W1611="","","-"))</f>
        <v>-</v>
      </c>
      <c r="AD1611" s="1459">
        <f t="shared" ref="AD1611:AD1619" si="1129">IF(MaxScore,MaxGoals(Y1611,W1611,MaxGoalsValue),IF(Y1611="","",Y1611))</f>
        <v>0</v>
      </c>
      <c r="AE1611" s="964" t="str">
        <f t="shared" ref="AE1611:AE1619" si="1130">IF(W1611="","",IF(W1611&gt;Y1611,V1611,IF(W1611=Y1611,"",Z1611)))</f>
        <v/>
      </c>
      <c r="AF1611" s="964" t="str">
        <f t="shared" ref="AF1611:AF1619" si="1131">IF(W1611="","",IF(W1611=Y1611,V1611,""))</f>
        <v/>
      </c>
      <c r="AG1611" s="964" t="str">
        <f t="shared" ref="AG1611:AG1619" si="1132">IF(W1611="","",IF(W1611=Y1611,Z1611,""))</f>
        <v/>
      </c>
      <c r="AH1611" s="964" t="str">
        <f t="shared" ref="AH1611:AH1619" si="1133">IF(W1611="","",IF(W1611&lt;Y1611,V1611,IF(W1611=Y1611,"",Z1611)))</f>
        <v/>
      </c>
      <c r="AI1611" s="964" t="str">
        <f t="shared" ref="AI1611:AI1619" si="1134">CONCATENATE(AE1611,AH1611)</f>
        <v/>
      </c>
      <c r="AJ1611" s="964"/>
      <c r="AK1611" s="964"/>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s="1396"/>
      <c r="CB1611" s="1396"/>
      <c r="CC1611"/>
      <c r="CD1611"/>
      <c r="CE1611"/>
    </row>
    <row r="1612" spans="1:83" ht="13.15" customHeight="1" outlineLevel="2" x14ac:dyDescent="0.2">
      <c r="A1612"/>
      <c r="B1612" s="1"/>
      <c r="C1612"/>
      <c r="D1612"/>
      <c r="E1612"/>
      <c r="F1612"/>
      <c r="G1612" s="1"/>
      <c r="H1612" s="1"/>
      <c r="I1612"/>
      <c r="J1612"/>
      <c r="K1612"/>
      <c r="L1612"/>
      <c r="M1612"/>
      <c r="N1612"/>
      <c r="O1612"/>
      <c r="P1612"/>
      <c r="Q1612"/>
      <c r="R1612" s="558" t="s">
        <v>930</v>
      </c>
      <c r="S1612" s="83"/>
      <c r="T1612" s="56"/>
      <c r="U1612" s="955"/>
      <c r="V1612" s="43" t="str">
        <f>Z1600</f>
        <v>M</v>
      </c>
      <c r="W1612" s="10"/>
      <c r="X1612" s="45" t="s">
        <v>769</v>
      </c>
      <c r="Y1612" s="10"/>
      <c r="Z1612" s="46" t="str">
        <f t="shared" ref="Z1612:Z1618" si="1135">V1602</f>
        <v>Q</v>
      </c>
      <c r="AA1612" s="123"/>
      <c r="AB1612" s="1459">
        <f t="shared" si="1127"/>
        <v>0</v>
      </c>
      <c r="AC1612" s="1460" t="str">
        <f t="shared" si="1128"/>
        <v>-</v>
      </c>
      <c r="AD1612" s="1459">
        <f t="shared" si="1129"/>
        <v>0</v>
      </c>
      <c r="AE1612" s="964" t="str">
        <f t="shared" si="1130"/>
        <v/>
      </c>
      <c r="AF1612" s="964" t="str">
        <f t="shared" si="1131"/>
        <v/>
      </c>
      <c r="AG1612" s="964" t="str">
        <f t="shared" si="1132"/>
        <v/>
      </c>
      <c r="AH1612" s="964" t="str">
        <f t="shared" si="1133"/>
        <v/>
      </c>
      <c r="AI1612" s="964" t="str">
        <f t="shared" si="1134"/>
        <v/>
      </c>
      <c r="AJ1612" s="964"/>
      <c r="AK1612" s="964"/>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s="1396"/>
      <c r="CB1612" s="1396"/>
      <c r="CC1612"/>
      <c r="CD1612"/>
      <c r="CE1612"/>
    </row>
    <row r="1613" spans="1:83" ht="13.15" customHeight="1" outlineLevel="2" x14ac:dyDescent="0.2">
      <c r="A1613"/>
      <c r="B1613" s="1"/>
      <c r="C1613"/>
      <c r="D1613"/>
      <c r="E1613"/>
      <c r="F1613"/>
      <c r="G1613" s="1"/>
      <c r="H1613" s="1"/>
      <c r="I1613"/>
      <c r="J1613"/>
      <c r="K1613"/>
      <c r="L1613"/>
      <c r="M1613"/>
      <c r="N1613"/>
      <c r="O1613"/>
      <c r="P1613"/>
      <c r="Q1613"/>
      <c r="R1613" s="558" t="s">
        <v>930</v>
      </c>
      <c r="S1613" s="83"/>
      <c r="T1613" s="56"/>
      <c r="U1613" s="955"/>
      <c r="V1613" s="43" t="str">
        <f>Z1601</f>
        <v>K</v>
      </c>
      <c r="W1613" s="10"/>
      <c r="X1613" s="45" t="s">
        <v>769</v>
      </c>
      <c r="Y1613" s="10"/>
      <c r="Z1613" s="46" t="str">
        <f t="shared" si="1135"/>
        <v>S</v>
      </c>
      <c r="AA1613" s="123"/>
      <c r="AB1613" s="1459">
        <f t="shared" si="1127"/>
        <v>0</v>
      </c>
      <c r="AC1613" s="1460" t="str">
        <f t="shared" si="1128"/>
        <v>-</v>
      </c>
      <c r="AD1613" s="1459">
        <f t="shared" si="1129"/>
        <v>0</v>
      </c>
      <c r="AE1613" s="964" t="str">
        <f t="shared" si="1130"/>
        <v/>
      </c>
      <c r="AF1613" s="964" t="str">
        <f t="shared" si="1131"/>
        <v/>
      </c>
      <c r="AG1613" s="964" t="str">
        <f t="shared" si="1132"/>
        <v/>
      </c>
      <c r="AH1613" s="964" t="str">
        <f t="shared" si="1133"/>
        <v/>
      </c>
      <c r="AI1613" s="964" t="str">
        <f t="shared" si="1134"/>
        <v/>
      </c>
      <c r="AJ1613" s="964"/>
      <c r="AK1613" s="964"/>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s="1396"/>
      <c r="CB1613" s="1396"/>
      <c r="CC1613"/>
      <c r="CD1613"/>
      <c r="CE1613"/>
    </row>
    <row r="1614" spans="1:83" ht="13.15" customHeight="1" outlineLevel="2" x14ac:dyDescent="0.2">
      <c r="A1614"/>
      <c r="B1614" s="1"/>
      <c r="C1614"/>
      <c r="D1614"/>
      <c r="E1614"/>
      <c r="F1614"/>
      <c r="G1614" s="1"/>
      <c r="H1614" s="1"/>
      <c r="I1614"/>
      <c r="J1614"/>
      <c r="K1614"/>
      <c r="L1614"/>
      <c r="M1614"/>
      <c r="N1614"/>
      <c r="O1614"/>
      <c r="P1614"/>
      <c r="Q1614"/>
      <c r="R1614" s="558" t="s">
        <v>930</v>
      </c>
      <c r="S1614" s="83"/>
      <c r="T1614" s="56"/>
      <c r="U1614" s="955"/>
      <c r="V1614" s="43" t="str">
        <f>Z1603</f>
        <v>G</v>
      </c>
      <c r="W1614" s="10"/>
      <c r="X1614" s="45" t="s">
        <v>769</v>
      </c>
      <c r="Y1614" s="10"/>
      <c r="Z1614" s="46" t="str">
        <f t="shared" si="1135"/>
        <v>R</v>
      </c>
      <c r="AA1614" s="123"/>
      <c r="AB1614" s="1459">
        <f t="shared" si="1127"/>
        <v>0</v>
      </c>
      <c r="AC1614" s="1460" t="str">
        <f t="shared" si="1128"/>
        <v>-</v>
      </c>
      <c r="AD1614" s="1459">
        <f t="shared" si="1129"/>
        <v>0</v>
      </c>
      <c r="AE1614" s="964" t="str">
        <f t="shared" si="1130"/>
        <v/>
      </c>
      <c r="AF1614" s="964" t="str">
        <f t="shared" si="1131"/>
        <v/>
      </c>
      <c r="AG1614" s="964" t="str">
        <f t="shared" si="1132"/>
        <v/>
      </c>
      <c r="AH1614" s="964" t="str">
        <f t="shared" si="1133"/>
        <v/>
      </c>
      <c r="AI1614" s="964" t="str">
        <f t="shared" si="1134"/>
        <v/>
      </c>
      <c r="AJ1614" s="964"/>
      <c r="AK1614" s="964"/>
      <c r="AL1614"/>
      <c r="AM1614"/>
      <c r="AN1614"/>
      <c r="AO1614"/>
      <c r="AP1614"/>
      <c r="AQ1614"/>
      <c r="AR1614"/>
      <c r="AS1614"/>
      <c r="AT1614"/>
      <c r="AU1614"/>
      <c r="AV1614"/>
      <c r="AW1614" s="9"/>
      <c r="AX1614" s="9"/>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s="1396"/>
      <c r="CB1614" s="1396"/>
      <c r="CC1614"/>
      <c r="CD1614"/>
      <c r="CE1614"/>
    </row>
    <row r="1615" spans="1:83" ht="13.15" customHeight="1" outlineLevel="2" x14ac:dyDescent="0.2">
      <c r="A1615"/>
      <c r="B1615" s="1"/>
      <c r="C1615"/>
      <c r="D1615"/>
      <c r="E1615"/>
      <c r="F1615"/>
      <c r="G1615" s="1"/>
      <c r="H1615" s="1"/>
      <c r="I1615"/>
      <c r="J1615"/>
      <c r="K1615"/>
      <c r="L1615"/>
      <c r="M1615"/>
      <c r="N1615"/>
      <c r="O1615"/>
      <c r="P1615"/>
      <c r="Q1615"/>
      <c r="R1615" s="558" t="s">
        <v>930</v>
      </c>
      <c r="S1615" s="83"/>
      <c r="T1615" s="56"/>
      <c r="U1615" s="955"/>
      <c r="V1615" s="43" t="str">
        <f>V1592</f>
        <v>E</v>
      </c>
      <c r="W1615" s="10"/>
      <c r="X1615" s="45" t="s">
        <v>769</v>
      </c>
      <c r="Y1615" s="10"/>
      <c r="Z1615" s="46" t="str">
        <f t="shared" si="1135"/>
        <v>P</v>
      </c>
      <c r="AA1615" s="123"/>
      <c r="AB1615" s="1459">
        <f t="shared" si="1127"/>
        <v>0</v>
      </c>
      <c r="AC1615" s="1460" t="str">
        <f t="shared" si="1128"/>
        <v>-</v>
      </c>
      <c r="AD1615" s="1459">
        <f t="shared" si="1129"/>
        <v>0</v>
      </c>
      <c r="AE1615" s="964" t="str">
        <f t="shared" si="1130"/>
        <v/>
      </c>
      <c r="AF1615" s="964" t="str">
        <f t="shared" si="1131"/>
        <v/>
      </c>
      <c r="AG1615" s="964" t="str">
        <f t="shared" si="1132"/>
        <v/>
      </c>
      <c r="AH1615" s="964" t="str">
        <f t="shared" si="1133"/>
        <v/>
      </c>
      <c r="AI1615" s="964" t="str">
        <f t="shared" si="1134"/>
        <v/>
      </c>
      <c r="AJ1615" s="964"/>
      <c r="AK1615" s="964"/>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s="1396"/>
      <c r="CB1615" s="1396"/>
      <c r="CC1615"/>
      <c r="CD1615"/>
      <c r="CE1615"/>
    </row>
    <row r="1616" spans="1:83" ht="13.15" customHeight="1" outlineLevel="2" x14ac:dyDescent="0.2">
      <c r="A1616"/>
      <c r="B1616" s="1"/>
      <c r="C1616"/>
      <c r="D1616"/>
      <c r="E1616"/>
      <c r="F1616"/>
      <c r="G1616" s="1"/>
      <c r="H1616" s="1"/>
      <c r="I1616"/>
      <c r="J1616"/>
      <c r="K1616"/>
      <c r="L1616"/>
      <c r="M1616"/>
      <c r="N1616"/>
      <c r="O1616"/>
      <c r="P1616"/>
      <c r="Q1616"/>
      <c r="R1616" s="558" t="s">
        <v>930</v>
      </c>
      <c r="S1616" s="83"/>
      <c r="T1616" s="56"/>
      <c r="U1616" s="955"/>
      <c r="V1616" s="43" t="str">
        <f>Z1604</f>
        <v>C</v>
      </c>
      <c r="W1616" s="10"/>
      <c r="X1616" s="45" t="s">
        <v>769</v>
      </c>
      <c r="Y1616" s="10"/>
      <c r="Z1616" s="46" t="str">
        <f t="shared" si="1135"/>
        <v>N</v>
      </c>
      <c r="AA1616" s="123"/>
      <c r="AB1616" s="1459">
        <f t="shared" si="1127"/>
        <v>0</v>
      </c>
      <c r="AC1616" s="1460" t="str">
        <f t="shared" si="1128"/>
        <v>-</v>
      </c>
      <c r="AD1616" s="1459">
        <f t="shared" si="1129"/>
        <v>0</v>
      </c>
      <c r="AE1616" s="964" t="str">
        <f t="shared" si="1130"/>
        <v/>
      </c>
      <c r="AF1616" s="964" t="str">
        <f t="shared" si="1131"/>
        <v/>
      </c>
      <c r="AG1616" s="964" t="str">
        <f t="shared" si="1132"/>
        <v/>
      </c>
      <c r="AH1616" s="964" t="str">
        <f t="shared" si="1133"/>
        <v/>
      </c>
      <c r="AI1616" s="964" t="str">
        <f t="shared" si="1134"/>
        <v/>
      </c>
      <c r="AJ1616" s="964"/>
      <c r="AK1616" s="964"/>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s="1396"/>
      <c r="CB1616" s="1396"/>
      <c r="CC1616"/>
      <c r="CD1616"/>
      <c r="CE1616"/>
    </row>
    <row r="1617" spans="1:83" ht="13.15" customHeight="1" outlineLevel="2" x14ac:dyDescent="0.2">
      <c r="A1617"/>
      <c r="B1617" s="1"/>
      <c r="C1617"/>
      <c r="D1617"/>
      <c r="E1617"/>
      <c r="F1617"/>
      <c r="G1617" s="1"/>
      <c r="H1617" s="1"/>
      <c r="I1617"/>
      <c r="J1617"/>
      <c r="K1617"/>
      <c r="L1617"/>
      <c r="M1617"/>
      <c r="N1617"/>
      <c r="O1617"/>
      <c r="P1617"/>
      <c r="Q1617"/>
      <c r="R1617" s="558" t="s">
        <v>930</v>
      </c>
      <c r="S1617" s="83"/>
      <c r="T1617" s="56"/>
      <c r="U1617" s="955"/>
      <c r="V1617" s="43" t="str">
        <f>Z1605</f>
        <v>B</v>
      </c>
      <c r="W1617" s="10"/>
      <c r="X1617" s="45" t="s">
        <v>769</v>
      </c>
      <c r="Y1617" s="10"/>
      <c r="Z1617" s="46" t="str">
        <f t="shared" si="1135"/>
        <v>L</v>
      </c>
      <c r="AA1617" s="123"/>
      <c r="AB1617" s="1459">
        <f t="shared" si="1127"/>
        <v>0</v>
      </c>
      <c r="AC1617" s="1460" t="str">
        <f t="shared" si="1128"/>
        <v>-</v>
      </c>
      <c r="AD1617" s="1459">
        <f t="shared" si="1129"/>
        <v>0</v>
      </c>
      <c r="AE1617" s="964" t="str">
        <f t="shared" si="1130"/>
        <v/>
      </c>
      <c r="AF1617" s="964" t="str">
        <f t="shared" si="1131"/>
        <v/>
      </c>
      <c r="AG1617" s="964" t="str">
        <f t="shared" si="1132"/>
        <v/>
      </c>
      <c r="AH1617" s="964" t="str">
        <f t="shared" si="1133"/>
        <v/>
      </c>
      <c r="AI1617" s="964" t="str">
        <f t="shared" si="1134"/>
        <v/>
      </c>
      <c r="AJ1617" s="964"/>
      <c r="AK1617" s="964"/>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s="1396"/>
      <c r="CB1617" s="1396"/>
      <c r="CC1617"/>
      <c r="CD1617"/>
      <c r="CE1617"/>
    </row>
    <row r="1618" spans="1:83" ht="13.15" customHeight="1" outlineLevel="2" x14ac:dyDescent="0.2">
      <c r="A1618"/>
      <c r="B1618" s="1"/>
      <c r="C1618"/>
      <c r="D1618"/>
      <c r="E1618"/>
      <c r="F1618"/>
      <c r="G1618" s="1"/>
      <c r="H1618" s="1"/>
      <c r="I1618"/>
      <c r="J1618"/>
      <c r="K1618"/>
      <c r="L1618"/>
      <c r="M1618"/>
      <c r="N1618"/>
      <c r="O1618"/>
      <c r="P1618"/>
      <c r="Q1618"/>
      <c r="R1618" s="558" t="s">
        <v>930</v>
      </c>
      <c r="S1618" s="83"/>
      <c r="T1618" s="56"/>
      <c r="U1618" s="955"/>
      <c r="V1618" s="43" t="str">
        <f>Z1606</f>
        <v>D</v>
      </c>
      <c r="W1618" s="10"/>
      <c r="X1618" s="45" t="s">
        <v>769</v>
      </c>
      <c r="Y1618" s="10"/>
      <c r="Z1618" s="46" t="str">
        <f t="shared" si="1135"/>
        <v>J</v>
      </c>
      <c r="AA1618" s="123"/>
      <c r="AB1618" s="1459">
        <f t="shared" si="1127"/>
        <v>0</v>
      </c>
      <c r="AC1618" s="1460" t="str">
        <f t="shared" si="1128"/>
        <v>-</v>
      </c>
      <c r="AD1618" s="1459">
        <f t="shared" si="1129"/>
        <v>0</v>
      </c>
      <c r="AE1618" s="964" t="str">
        <f t="shared" si="1130"/>
        <v/>
      </c>
      <c r="AF1618" s="964" t="str">
        <f t="shared" si="1131"/>
        <v/>
      </c>
      <c r="AG1618" s="964" t="str">
        <f t="shared" si="1132"/>
        <v/>
      </c>
      <c r="AH1618" s="964" t="str">
        <f t="shared" si="1133"/>
        <v/>
      </c>
      <c r="AI1618" s="964" t="str">
        <f t="shared" si="1134"/>
        <v/>
      </c>
      <c r="AJ1618" s="964"/>
      <c r="AK1618" s="964"/>
      <c r="AL1618"/>
      <c r="AM1618"/>
      <c r="AN1618"/>
      <c r="AO1618"/>
      <c r="AP1618"/>
      <c r="AQ1618"/>
      <c r="AR1618"/>
      <c r="AS1618"/>
      <c r="AT1618"/>
      <c r="AU1618"/>
      <c r="AV1618"/>
      <c r="AW1618"/>
      <c r="AX1618" s="9"/>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s="1396"/>
      <c r="CB1618" s="1396"/>
      <c r="CC1618"/>
      <c r="CD1618"/>
      <c r="CE1618"/>
    </row>
    <row r="1619" spans="1:83" ht="13.9" customHeight="1" outlineLevel="2" thickBot="1" x14ac:dyDescent="0.25">
      <c r="A1619"/>
      <c r="B1619" s="1"/>
      <c r="C1619"/>
      <c r="D1619"/>
      <c r="E1619"/>
      <c r="F1619"/>
      <c r="G1619" s="1"/>
      <c r="H1619" s="1"/>
      <c r="I1619"/>
      <c r="J1619"/>
      <c r="K1619"/>
      <c r="L1619"/>
      <c r="M1619"/>
      <c r="N1619"/>
      <c r="O1619"/>
      <c r="P1619"/>
      <c r="Q1619"/>
      <c r="R1619" s="558" t="s">
        <v>930</v>
      </c>
      <c r="S1619" s="956"/>
      <c r="T1619" s="58"/>
      <c r="U1619" s="957"/>
      <c r="V1619" s="958" t="str">
        <f>Z1607</f>
        <v>F</v>
      </c>
      <c r="W1619" s="175"/>
      <c r="X1619" s="52" t="s">
        <v>769</v>
      </c>
      <c r="Y1619" s="175"/>
      <c r="Z1619" s="959" t="str">
        <f>Z1608</f>
        <v>H</v>
      </c>
      <c r="AA1619" s="123"/>
      <c r="AB1619" s="1459">
        <f t="shared" si="1127"/>
        <v>0</v>
      </c>
      <c r="AC1619" s="1460" t="str">
        <f t="shared" si="1128"/>
        <v>-</v>
      </c>
      <c r="AD1619" s="1459">
        <f t="shared" si="1129"/>
        <v>0</v>
      </c>
      <c r="AE1619" s="964" t="str">
        <f t="shared" si="1130"/>
        <v/>
      </c>
      <c r="AF1619" s="964" t="str">
        <f t="shared" si="1131"/>
        <v/>
      </c>
      <c r="AG1619" s="964" t="str">
        <f t="shared" si="1132"/>
        <v/>
      </c>
      <c r="AH1619" s="964" t="str">
        <f t="shared" si="1133"/>
        <v/>
      </c>
      <c r="AI1619" s="964" t="str">
        <f t="shared" si="1134"/>
        <v/>
      </c>
      <c r="AJ1619" s="964"/>
      <c r="AK1619" s="964"/>
      <c r="AL1619"/>
      <c r="AM1619"/>
      <c r="AN1619"/>
      <c r="AO1619"/>
      <c r="AP1619"/>
      <c r="AQ1619"/>
      <c r="AR1619"/>
      <c r="AS1619"/>
      <c r="AT1619"/>
      <c r="AU1619"/>
      <c r="AV1619"/>
      <c r="AW1619" s="9"/>
      <c r="AX1619" s="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s="1396"/>
      <c r="CB1619" s="1396"/>
      <c r="CC1619"/>
      <c r="CD1619"/>
      <c r="CE1619"/>
    </row>
    <row r="1620" spans="1:83" ht="13.5" outlineLevel="1" thickBot="1" x14ac:dyDescent="0.25">
      <c r="A1620"/>
      <c r="B1620" s="1"/>
      <c r="C1620" s="1"/>
      <c r="D1620" s="76"/>
      <c r="E1620" s="76"/>
      <c r="F1620" s="76"/>
      <c r="G1620" s="9"/>
      <c r="H1620" s="9"/>
      <c r="I1620" s="1"/>
      <c r="J1620"/>
      <c r="K1620"/>
      <c r="L1620"/>
      <c r="M1620"/>
      <c r="N1620"/>
      <c r="O1620"/>
      <c r="P1620" s="89"/>
      <c r="Q1620"/>
      <c r="R1620" s="1"/>
      <c r="S1620" s="993">
        <f>S1609+1</f>
        <v>9</v>
      </c>
      <c r="T1620" s="961"/>
      <c r="U1620" s="961"/>
      <c r="V1620" s="961"/>
      <c r="W1620" s="960"/>
      <c r="X1620" s="960"/>
      <c r="Y1620" s="960"/>
      <c r="Z1620" s="962"/>
      <c r="AA1620" s="123"/>
      <c r="AB1620" s="963"/>
      <c r="AC1620" s="963"/>
      <c r="AD1620" s="963"/>
      <c r="AE1620" s="964"/>
      <c r="AF1620" s="964"/>
      <c r="AG1620" s="964"/>
      <c r="AH1620" s="964"/>
      <c r="AI1620" s="964"/>
      <c r="AJ1620" s="964"/>
      <c r="AK1620" s="964"/>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s="1396"/>
      <c r="CB1620" s="1396"/>
      <c r="CC1620"/>
      <c r="CD1620"/>
      <c r="CE1620"/>
    </row>
    <row r="1621" spans="1:83" ht="13.9" customHeight="1" outlineLevel="2" thickBot="1" x14ac:dyDescent="0.25">
      <c r="A1621"/>
      <c r="B1621" s="1"/>
      <c r="C1621"/>
      <c r="D1621"/>
      <c r="E1621"/>
      <c r="F1621"/>
      <c r="G1621" s="1"/>
      <c r="H1621" s="1"/>
      <c r="I1621"/>
      <c r="J1621"/>
      <c r="K1621"/>
      <c r="L1621"/>
      <c r="M1621"/>
      <c r="N1621"/>
      <c r="O1621"/>
      <c r="P1621"/>
      <c r="Q1621"/>
      <c r="S1621" s="22" t="str">
        <f>N_Heure</f>
        <v>Heure</v>
      </c>
      <c r="T1621" s="22" t="str">
        <f>N_Table</f>
        <v>Table</v>
      </c>
      <c r="U1621" s="22" t="str">
        <f>N_Arbitre</f>
        <v>Arbitre</v>
      </c>
      <c r="V1621" s="293" t="str">
        <f>N_Matches</f>
        <v>Matches</v>
      </c>
      <c r="W1621" s="294"/>
      <c r="X1621" s="294"/>
      <c r="Y1621" s="294"/>
      <c r="Z1621" s="295"/>
      <c r="AA1621" s="8"/>
      <c r="AB1621" s="967"/>
      <c r="AC1621" s="967"/>
      <c r="AD1621" s="967"/>
      <c r="AE1621" s="964"/>
      <c r="AF1621" s="964"/>
      <c r="AG1621" s="964"/>
      <c r="AH1621" s="964"/>
      <c r="AI1621" s="964"/>
      <c r="AJ1621" s="964"/>
      <c r="AK1621" s="964"/>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s="1396"/>
      <c r="CB1621" s="1396"/>
      <c r="CC1621"/>
      <c r="CD1621"/>
      <c r="CE1621"/>
    </row>
    <row r="1622" spans="1:83" ht="13.15" customHeight="1" outlineLevel="2" x14ac:dyDescent="0.2">
      <c r="A1622"/>
      <c r="B1622" s="1"/>
      <c r="C1622"/>
      <c r="D1622"/>
      <c r="E1622"/>
      <c r="F1622"/>
      <c r="G1622" s="1"/>
      <c r="H1622" s="1"/>
      <c r="I1622"/>
      <c r="J1622"/>
      <c r="K1622"/>
      <c r="L1622"/>
      <c r="M1622"/>
      <c r="N1622"/>
      <c r="O1622"/>
      <c r="P1622"/>
      <c r="Q1622"/>
      <c r="R1622" s="558" t="s">
        <v>3971</v>
      </c>
      <c r="S1622" s="65"/>
      <c r="T1622" s="953"/>
      <c r="U1622" s="954"/>
      <c r="V1622" s="34" t="str">
        <f>Z1611</f>
        <v>A</v>
      </c>
      <c r="W1622" s="148"/>
      <c r="X1622" s="35" t="s">
        <v>769</v>
      </c>
      <c r="Y1622" s="148"/>
      <c r="Z1622" s="36" t="str">
        <f>Z1612</f>
        <v>Q</v>
      </c>
      <c r="AA1622" s="123"/>
      <c r="AB1622" s="1459">
        <f t="shared" ref="AB1622:AB1630" si="1136">IF(MaxScore,MaxGoals(W1622,Y1622,MaxGoalsValue),IF(W1622="","",W1622))</f>
        <v>0</v>
      </c>
      <c r="AC1622" s="1460" t="str">
        <f t="shared" ref="AC1622:AC1630" si="1137">IF(MaxScore,"-",IF(W1622="","","-"))</f>
        <v>-</v>
      </c>
      <c r="AD1622" s="1459">
        <f t="shared" ref="AD1622:AD1630" si="1138">IF(MaxScore,MaxGoals(Y1622,W1622,MaxGoalsValue),IF(Y1622="","",Y1622))</f>
        <v>0</v>
      </c>
      <c r="AE1622" s="964" t="str">
        <f t="shared" ref="AE1622:AE1630" si="1139">IF(W1622="","",IF(W1622&gt;Y1622,V1622,IF(W1622=Y1622,"",Z1622)))</f>
        <v/>
      </c>
      <c r="AF1622" s="964" t="str">
        <f t="shared" ref="AF1622:AF1630" si="1140">IF(W1622="","",IF(W1622=Y1622,V1622,""))</f>
        <v/>
      </c>
      <c r="AG1622" s="964" t="str">
        <f t="shared" ref="AG1622:AG1630" si="1141">IF(W1622="","",IF(W1622=Y1622,Z1622,""))</f>
        <v/>
      </c>
      <c r="AH1622" s="964" t="str">
        <f t="shared" ref="AH1622:AH1630" si="1142">IF(W1622="","",IF(W1622&lt;Y1622,V1622,IF(W1622=Y1622,"",Z1622)))</f>
        <v/>
      </c>
      <c r="AI1622" s="964" t="str">
        <f t="shared" ref="AI1622:AI1630" si="1143">CONCATENATE(AE1622,AH1622)</f>
        <v/>
      </c>
      <c r="AJ1622" s="964"/>
      <c r="AK1622" s="964"/>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s="1396"/>
      <c r="CB1622" s="1396"/>
      <c r="CC1622"/>
      <c r="CD1622"/>
      <c r="CE1622"/>
    </row>
    <row r="1623" spans="1:83" ht="13.15" customHeight="1" outlineLevel="2" x14ac:dyDescent="0.2">
      <c r="A1623"/>
      <c r="B1623" s="1"/>
      <c r="C1623"/>
      <c r="D1623"/>
      <c r="E1623"/>
      <c r="F1623"/>
      <c r="G1623" s="1"/>
      <c r="H1623" s="1"/>
      <c r="I1623"/>
      <c r="J1623"/>
      <c r="K1623"/>
      <c r="L1623"/>
      <c r="M1623"/>
      <c r="N1623"/>
      <c r="O1623"/>
      <c r="P1623"/>
      <c r="Q1623"/>
      <c r="R1623" s="558" t="s">
        <v>3971</v>
      </c>
      <c r="S1623" s="83"/>
      <c r="T1623" s="56"/>
      <c r="U1623" s="955"/>
      <c r="V1623" s="43" t="str">
        <f>Z1613</f>
        <v>S</v>
      </c>
      <c r="W1623" s="10"/>
      <c r="X1623" s="45" t="s">
        <v>769</v>
      </c>
      <c r="Y1623" s="10"/>
      <c r="Z1623" s="46" t="str">
        <f>V1611</f>
        <v>O</v>
      </c>
      <c r="AA1623" s="123"/>
      <c r="AB1623" s="1459">
        <f t="shared" si="1136"/>
        <v>0</v>
      </c>
      <c r="AC1623" s="1460" t="str">
        <f t="shared" si="1137"/>
        <v>-</v>
      </c>
      <c r="AD1623" s="1459">
        <f t="shared" si="1138"/>
        <v>0</v>
      </c>
      <c r="AE1623" s="964" t="str">
        <f t="shared" si="1139"/>
        <v/>
      </c>
      <c r="AF1623" s="964" t="str">
        <f t="shared" si="1140"/>
        <v/>
      </c>
      <c r="AG1623" s="964" t="str">
        <f t="shared" si="1141"/>
        <v/>
      </c>
      <c r="AH1623" s="964" t="str">
        <f t="shared" si="1142"/>
        <v/>
      </c>
      <c r="AI1623" s="964" t="str">
        <f t="shared" si="1143"/>
        <v/>
      </c>
      <c r="AJ1623" s="964"/>
      <c r="AK1623" s="964"/>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s="1396"/>
      <c r="CB1623" s="1396"/>
      <c r="CC1623"/>
      <c r="CD1623"/>
      <c r="CE1623"/>
    </row>
    <row r="1624" spans="1:83" ht="13.15" customHeight="1" outlineLevel="2" x14ac:dyDescent="0.2">
      <c r="A1624"/>
      <c r="B1624" s="1"/>
      <c r="C1624"/>
      <c r="D1624"/>
      <c r="E1624"/>
      <c r="F1624"/>
      <c r="G1624" s="1"/>
      <c r="H1624" s="1"/>
      <c r="I1624"/>
      <c r="J1624"/>
      <c r="K1624"/>
      <c r="L1624"/>
      <c r="M1624"/>
      <c r="N1624"/>
      <c r="O1624"/>
      <c r="P1624"/>
      <c r="Q1624"/>
      <c r="R1624" s="558" t="s">
        <v>3971</v>
      </c>
      <c r="S1624" s="83"/>
      <c r="T1624" s="56"/>
      <c r="U1624" s="955"/>
      <c r="V1624" s="43" t="str">
        <f t="shared" ref="V1624:V1629" si="1144">Z1614</f>
        <v>R</v>
      </c>
      <c r="W1624" s="10"/>
      <c r="X1624" s="45" t="s">
        <v>769</v>
      </c>
      <c r="Y1624" s="10"/>
      <c r="Z1624" s="46" t="str">
        <f>V1613</f>
        <v>K</v>
      </c>
      <c r="AA1624" s="123"/>
      <c r="AB1624" s="1459">
        <f t="shared" si="1136"/>
        <v>0</v>
      </c>
      <c r="AC1624" s="1460" t="str">
        <f t="shared" si="1137"/>
        <v>-</v>
      </c>
      <c r="AD1624" s="1459">
        <f t="shared" si="1138"/>
        <v>0</v>
      </c>
      <c r="AE1624" s="964" t="str">
        <f t="shared" si="1139"/>
        <v/>
      </c>
      <c r="AF1624" s="964" t="str">
        <f t="shared" si="1140"/>
        <v/>
      </c>
      <c r="AG1624" s="964" t="str">
        <f t="shared" si="1141"/>
        <v/>
      </c>
      <c r="AH1624" s="964" t="str">
        <f t="shared" si="1142"/>
        <v/>
      </c>
      <c r="AI1624" s="964" t="str">
        <f t="shared" si="1143"/>
        <v/>
      </c>
      <c r="AJ1624" s="964"/>
      <c r="AK1624" s="964"/>
      <c r="AL1624"/>
      <c r="AM1624"/>
      <c r="AN1624"/>
      <c r="AO1624"/>
      <c r="AP1624"/>
      <c r="AQ1624"/>
      <c r="AR1624"/>
      <c r="AS1624"/>
      <c r="AT1624"/>
      <c r="AU1624"/>
      <c r="AV1624"/>
      <c r="AW1624"/>
      <c r="AX1624" s="9"/>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s="1396"/>
      <c r="CB1624" s="1396"/>
      <c r="CC1624"/>
      <c r="CD1624"/>
      <c r="CE1624"/>
    </row>
    <row r="1625" spans="1:83" ht="13.15" customHeight="1" outlineLevel="2" x14ac:dyDescent="0.2">
      <c r="A1625"/>
      <c r="B1625" s="1"/>
      <c r="C1625"/>
      <c r="D1625"/>
      <c r="E1625"/>
      <c r="F1625"/>
      <c r="G1625" s="1"/>
      <c r="H1625" s="1"/>
      <c r="I1625"/>
      <c r="J1625"/>
      <c r="K1625"/>
      <c r="L1625"/>
      <c r="M1625"/>
      <c r="N1625"/>
      <c r="O1625"/>
      <c r="P1625"/>
      <c r="Q1625"/>
      <c r="R1625" s="558" t="s">
        <v>3971</v>
      </c>
      <c r="S1625" s="83"/>
      <c r="T1625" s="56"/>
      <c r="U1625" s="955"/>
      <c r="V1625" s="43" t="str">
        <f t="shared" si="1144"/>
        <v>P</v>
      </c>
      <c r="W1625" s="10"/>
      <c r="X1625" s="45" t="s">
        <v>769</v>
      </c>
      <c r="Y1625" s="10"/>
      <c r="Z1625" s="46" t="str">
        <f>Z1602</f>
        <v>I</v>
      </c>
      <c r="AA1625" s="123"/>
      <c r="AB1625" s="1459">
        <f t="shared" si="1136"/>
        <v>0</v>
      </c>
      <c r="AC1625" s="1460" t="str">
        <f t="shared" si="1137"/>
        <v>-</v>
      </c>
      <c r="AD1625" s="1459">
        <f t="shared" si="1138"/>
        <v>0</v>
      </c>
      <c r="AE1625" s="964" t="str">
        <f t="shared" si="1139"/>
        <v/>
      </c>
      <c r="AF1625" s="964" t="str">
        <f t="shared" si="1140"/>
        <v/>
      </c>
      <c r="AG1625" s="964" t="str">
        <f t="shared" si="1141"/>
        <v/>
      </c>
      <c r="AH1625" s="964" t="str">
        <f t="shared" si="1142"/>
        <v/>
      </c>
      <c r="AI1625" s="964" t="str">
        <f t="shared" si="1143"/>
        <v/>
      </c>
      <c r="AJ1625" s="964"/>
      <c r="AK1625" s="964"/>
      <c r="AL1625"/>
      <c r="AM1625"/>
      <c r="AN1625"/>
      <c r="AO1625"/>
      <c r="AP1625"/>
      <c r="AQ1625"/>
      <c r="AR1625"/>
      <c r="AS1625"/>
      <c r="AT1625"/>
      <c r="AU1625"/>
      <c r="AV1625"/>
      <c r="AW1625" s="9"/>
      <c r="AX1625" s="9"/>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s="1396"/>
      <c r="CB1625" s="1396"/>
      <c r="CC1625"/>
      <c r="CD1625"/>
      <c r="CE1625"/>
    </row>
    <row r="1626" spans="1:83" ht="13.15" customHeight="1" outlineLevel="2" x14ac:dyDescent="0.2">
      <c r="A1626"/>
      <c r="B1626" s="1"/>
      <c r="C1626"/>
      <c r="D1626"/>
      <c r="E1626"/>
      <c r="F1626"/>
      <c r="G1626" s="1"/>
      <c r="H1626" s="1"/>
      <c r="I1626"/>
      <c r="J1626"/>
      <c r="K1626"/>
      <c r="L1626"/>
      <c r="M1626"/>
      <c r="N1626"/>
      <c r="O1626"/>
      <c r="P1626"/>
      <c r="Q1626"/>
      <c r="R1626" s="558" t="s">
        <v>3971</v>
      </c>
      <c r="S1626" s="83"/>
      <c r="T1626" s="56"/>
      <c r="U1626" s="955"/>
      <c r="V1626" s="43" t="str">
        <f t="shared" si="1144"/>
        <v>N</v>
      </c>
      <c r="W1626" s="10"/>
      <c r="X1626" s="45" t="s">
        <v>769</v>
      </c>
      <c r="Y1626" s="10"/>
      <c r="Z1626" s="46" t="str">
        <f>V1614</f>
        <v>G</v>
      </c>
      <c r="AA1626" s="123"/>
      <c r="AB1626" s="1459">
        <f t="shared" si="1136"/>
        <v>0</v>
      </c>
      <c r="AC1626" s="1460" t="str">
        <f t="shared" si="1137"/>
        <v>-</v>
      </c>
      <c r="AD1626" s="1459">
        <f t="shared" si="1138"/>
        <v>0</v>
      </c>
      <c r="AE1626" s="964" t="str">
        <f t="shared" si="1139"/>
        <v/>
      </c>
      <c r="AF1626" s="964" t="str">
        <f t="shared" si="1140"/>
        <v/>
      </c>
      <c r="AG1626" s="964" t="str">
        <f t="shared" si="1141"/>
        <v/>
      </c>
      <c r="AH1626" s="964" t="str">
        <f t="shared" si="1142"/>
        <v/>
      </c>
      <c r="AI1626" s="964" t="str">
        <f t="shared" si="1143"/>
        <v/>
      </c>
      <c r="AJ1626" s="964"/>
      <c r="AK1626" s="964"/>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s="1396"/>
      <c r="CB1626" s="1396"/>
      <c r="CC1626"/>
      <c r="CD1626"/>
      <c r="CE1626"/>
    </row>
    <row r="1627" spans="1:83" ht="13.15" customHeight="1" outlineLevel="2" x14ac:dyDescent="0.2">
      <c r="A1627"/>
      <c r="B1627" s="1"/>
      <c r="C1627"/>
      <c r="D1627"/>
      <c r="E1627"/>
      <c r="F1627"/>
      <c r="G1627" s="1"/>
      <c r="H1627" s="1"/>
      <c r="I1627"/>
      <c r="J1627"/>
      <c r="K1627"/>
      <c r="L1627"/>
      <c r="M1627"/>
      <c r="N1627"/>
      <c r="O1627"/>
      <c r="P1627"/>
      <c r="Q1627"/>
      <c r="R1627" s="558" t="s">
        <v>3971</v>
      </c>
      <c r="S1627" s="83"/>
      <c r="T1627" s="56"/>
      <c r="U1627" s="955"/>
      <c r="V1627" s="43" t="str">
        <f t="shared" si="1144"/>
        <v>L</v>
      </c>
      <c r="W1627" s="10"/>
      <c r="X1627" s="45" t="s">
        <v>769</v>
      </c>
      <c r="Y1627" s="10"/>
      <c r="Z1627" s="46" t="str">
        <f>V1615</f>
        <v>E</v>
      </c>
      <c r="AA1627" s="123"/>
      <c r="AB1627" s="1459">
        <f t="shared" si="1136"/>
        <v>0</v>
      </c>
      <c r="AC1627" s="1460" t="str">
        <f t="shared" si="1137"/>
        <v>-</v>
      </c>
      <c r="AD1627" s="1459">
        <f t="shared" si="1138"/>
        <v>0</v>
      </c>
      <c r="AE1627" s="964" t="str">
        <f t="shared" si="1139"/>
        <v/>
      </c>
      <c r="AF1627" s="964" t="str">
        <f t="shared" si="1140"/>
        <v/>
      </c>
      <c r="AG1627" s="964" t="str">
        <f t="shared" si="1141"/>
        <v/>
      </c>
      <c r="AH1627" s="964" t="str">
        <f t="shared" si="1142"/>
        <v/>
      </c>
      <c r="AI1627" s="964" t="str">
        <f t="shared" si="1143"/>
        <v/>
      </c>
      <c r="AJ1627" s="964"/>
      <c r="AK1627" s="964"/>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s="1396"/>
      <c r="CB1627" s="1396"/>
      <c r="CC1627"/>
      <c r="CD1627"/>
      <c r="CE1627"/>
    </row>
    <row r="1628" spans="1:83" ht="13.15" customHeight="1" outlineLevel="2" x14ac:dyDescent="0.2">
      <c r="A1628"/>
      <c r="B1628" s="1"/>
      <c r="C1628"/>
      <c r="D1628"/>
      <c r="E1628"/>
      <c r="F1628"/>
      <c r="G1628" s="1"/>
      <c r="H1628" s="1"/>
      <c r="I1628"/>
      <c r="J1628"/>
      <c r="K1628"/>
      <c r="L1628"/>
      <c r="M1628"/>
      <c r="N1628"/>
      <c r="O1628"/>
      <c r="P1628"/>
      <c r="Q1628"/>
      <c r="R1628" s="558" t="s">
        <v>3971</v>
      </c>
      <c r="S1628" s="83"/>
      <c r="T1628" s="56"/>
      <c r="U1628" s="955"/>
      <c r="V1628" s="43" t="str">
        <f t="shared" si="1144"/>
        <v>J</v>
      </c>
      <c r="W1628" s="10"/>
      <c r="X1628" s="45" t="s">
        <v>769</v>
      </c>
      <c r="Y1628" s="10"/>
      <c r="Z1628" s="46" t="str">
        <f>V1616</f>
        <v>C</v>
      </c>
      <c r="AA1628" s="123"/>
      <c r="AB1628" s="1459">
        <f t="shared" si="1136"/>
        <v>0</v>
      </c>
      <c r="AC1628" s="1460" t="str">
        <f t="shared" si="1137"/>
        <v>-</v>
      </c>
      <c r="AD1628" s="1459">
        <f t="shared" si="1138"/>
        <v>0</v>
      </c>
      <c r="AE1628" s="964" t="str">
        <f t="shared" si="1139"/>
        <v/>
      </c>
      <c r="AF1628" s="964" t="str">
        <f t="shared" si="1140"/>
        <v/>
      </c>
      <c r="AG1628" s="964" t="str">
        <f t="shared" si="1141"/>
        <v/>
      </c>
      <c r="AH1628" s="964" t="str">
        <f t="shared" si="1142"/>
        <v/>
      </c>
      <c r="AI1628" s="964" t="str">
        <f t="shared" si="1143"/>
        <v/>
      </c>
      <c r="AJ1628" s="964"/>
      <c r="AK1628" s="964"/>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s="1396"/>
      <c r="CB1628" s="1396"/>
      <c r="CC1628"/>
      <c r="CD1628"/>
      <c r="CE1628"/>
    </row>
    <row r="1629" spans="1:83" ht="13.15" customHeight="1" outlineLevel="2" x14ac:dyDescent="0.2">
      <c r="A1629"/>
      <c r="B1629" s="1"/>
      <c r="C1629"/>
      <c r="D1629"/>
      <c r="E1629"/>
      <c r="F1629"/>
      <c r="G1629" s="1"/>
      <c r="H1629" s="1"/>
      <c r="I1629"/>
      <c r="J1629"/>
      <c r="K1629"/>
      <c r="L1629"/>
      <c r="M1629"/>
      <c r="N1629"/>
      <c r="O1629"/>
      <c r="P1629"/>
      <c r="Q1629"/>
      <c r="R1629" s="558" t="s">
        <v>3971</v>
      </c>
      <c r="S1629" s="83"/>
      <c r="T1629" s="56"/>
      <c r="U1629" s="955"/>
      <c r="V1629" s="43" t="str">
        <f t="shared" si="1144"/>
        <v>H</v>
      </c>
      <c r="W1629" s="10"/>
      <c r="X1629" s="45" t="s">
        <v>769</v>
      </c>
      <c r="Y1629" s="10"/>
      <c r="Z1629" s="46" t="str">
        <f>V1617</f>
        <v>B</v>
      </c>
      <c r="AA1629" s="123"/>
      <c r="AB1629" s="1459">
        <f t="shared" si="1136"/>
        <v>0</v>
      </c>
      <c r="AC1629" s="1460" t="str">
        <f t="shared" si="1137"/>
        <v>-</v>
      </c>
      <c r="AD1629" s="1459">
        <f t="shared" si="1138"/>
        <v>0</v>
      </c>
      <c r="AE1629" s="964" t="str">
        <f t="shared" si="1139"/>
        <v/>
      </c>
      <c r="AF1629" s="964" t="str">
        <f t="shared" si="1140"/>
        <v/>
      </c>
      <c r="AG1629" s="964" t="str">
        <f t="shared" si="1141"/>
        <v/>
      </c>
      <c r="AH1629" s="964" t="str">
        <f t="shared" si="1142"/>
        <v/>
      </c>
      <c r="AI1629" s="964" t="str">
        <f t="shared" si="1143"/>
        <v/>
      </c>
      <c r="AJ1629" s="964"/>
      <c r="AK1629" s="964"/>
      <c r="AL1629"/>
      <c r="AM1629"/>
      <c r="AN1629"/>
      <c r="AO1629"/>
      <c r="AP1629"/>
      <c r="AQ1629"/>
      <c r="AR1629"/>
      <c r="AS1629"/>
      <c r="AT1629"/>
      <c r="AU1629"/>
      <c r="AV1629"/>
      <c r="AW1629"/>
      <c r="AX1629" s="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s="1396"/>
      <c r="CB1629" s="1396"/>
      <c r="CC1629"/>
      <c r="CD1629"/>
      <c r="CE1629"/>
    </row>
    <row r="1630" spans="1:83" ht="13.9" customHeight="1" outlineLevel="2" thickBot="1" x14ac:dyDescent="0.25">
      <c r="A1630"/>
      <c r="B1630" s="1"/>
      <c r="C1630"/>
      <c r="D1630"/>
      <c r="E1630"/>
      <c r="F1630"/>
      <c r="G1630" s="1"/>
      <c r="H1630" s="1"/>
      <c r="I1630"/>
      <c r="J1630"/>
      <c r="K1630"/>
      <c r="L1630"/>
      <c r="M1630"/>
      <c r="N1630"/>
      <c r="O1630"/>
      <c r="P1630"/>
      <c r="Q1630"/>
      <c r="R1630" s="558" t="s">
        <v>3971</v>
      </c>
      <c r="S1630" s="956"/>
      <c r="T1630" s="58"/>
      <c r="U1630" s="957"/>
      <c r="V1630" s="958" t="str">
        <f>V1619</f>
        <v>F</v>
      </c>
      <c r="W1630" s="175"/>
      <c r="X1630" s="52" t="s">
        <v>769</v>
      </c>
      <c r="Y1630" s="175"/>
      <c r="Z1630" s="46" t="str">
        <f>V1618</f>
        <v>D</v>
      </c>
      <c r="AA1630" s="123"/>
      <c r="AB1630" s="1459">
        <f t="shared" si="1136"/>
        <v>0</v>
      </c>
      <c r="AC1630" s="1460" t="str">
        <f t="shared" si="1137"/>
        <v>-</v>
      </c>
      <c r="AD1630" s="1459">
        <f t="shared" si="1138"/>
        <v>0</v>
      </c>
      <c r="AE1630" s="964" t="str">
        <f t="shared" si="1139"/>
        <v/>
      </c>
      <c r="AF1630" s="964" t="str">
        <f t="shared" si="1140"/>
        <v/>
      </c>
      <c r="AG1630" s="964" t="str">
        <f t="shared" si="1141"/>
        <v/>
      </c>
      <c r="AH1630" s="964" t="str">
        <f t="shared" si="1142"/>
        <v/>
      </c>
      <c r="AI1630" s="964" t="str">
        <f t="shared" si="1143"/>
        <v/>
      </c>
      <c r="AJ1630" s="964"/>
      <c r="AK1630" s="964"/>
      <c r="AL1630"/>
      <c r="AM1630"/>
      <c r="AN1630"/>
      <c r="AO1630"/>
      <c r="AP1630"/>
      <c r="AQ1630"/>
      <c r="AR1630"/>
      <c r="AS1630"/>
      <c r="AT1630"/>
      <c r="AU1630"/>
      <c r="AV1630"/>
      <c r="AW1630" s="9"/>
      <c r="AX1630" s="9"/>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s="1396"/>
      <c r="CB1630" s="1396"/>
      <c r="CC1630"/>
      <c r="CD1630"/>
      <c r="CE1630"/>
    </row>
    <row r="1631" spans="1:83" ht="13.5" outlineLevel="1" thickBot="1" x14ac:dyDescent="0.25">
      <c r="A1631"/>
      <c r="B1631" s="1"/>
      <c r="C1631" s="1"/>
      <c r="D1631" s="76"/>
      <c r="E1631" s="76"/>
      <c r="F1631" s="76"/>
      <c r="G1631" s="9"/>
      <c r="H1631" s="9"/>
      <c r="I1631" s="1"/>
      <c r="J1631"/>
      <c r="K1631"/>
      <c r="L1631"/>
      <c r="M1631"/>
      <c r="N1631"/>
      <c r="O1631"/>
      <c r="P1631" s="89"/>
      <c r="Q1631"/>
      <c r="R1631" s="1"/>
      <c r="S1631" s="993">
        <f>S1620+1</f>
        <v>10</v>
      </c>
      <c r="T1631" s="961"/>
      <c r="U1631" s="961"/>
      <c r="V1631" s="961"/>
      <c r="W1631" s="960"/>
      <c r="X1631" s="960"/>
      <c r="Y1631" s="960"/>
      <c r="Z1631" s="962"/>
      <c r="AA1631" s="123"/>
      <c r="AB1631" s="963"/>
      <c r="AC1631" s="963"/>
      <c r="AD1631" s="963"/>
      <c r="AE1631" s="964"/>
      <c r="AF1631" s="964"/>
      <c r="AG1631" s="964"/>
      <c r="AH1631" s="964"/>
      <c r="AI1631" s="964"/>
      <c r="AJ1631" s="964"/>
      <c r="AK1631" s="964"/>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s="1396"/>
      <c r="CB1631" s="1396"/>
      <c r="CC1631"/>
      <c r="CD1631"/>
      <c r="CE1631"/>
    </row>
    <row r="1632" spans="1:83" ht="13.9" customHeight="1" outlineLevel="2" thickBot="1" x14ac:dyDescent="0.25">
      <c r="A1632"/>
      <c r="B1632" s="1"/>
      <c r="C1632"/>
      <c r="D1632"/>
      <c r="E1632"/>
      <c r="F1632"/>
      <c r="G1632" s="1"/>
      <c r="H1632" s="1"/>
      <c r="I1632"/>
      <c r="J1632"/>
      <c r="K1632"/>
      <c r="L1632"/>
      <c r="M1632"/>
      <c r="N1632"/>
      <c r="O1632"/>
      <c r="P1632"/>
      <c r="Q1632"/>
      <c r="S1632" s="22" t="str">
        <f>N_Heure</f>
        <v>Heure</v>
      </c>
      <c r="T1632" s="22" t="str">
        <f>N_Table</f>
        <v>Table</v>
      </c>
      <c r="U1632" s="22" t="str">
        <f>N_Arbitre</f>
        <v>Arbitre</v>
      </c>
      <c r="V1632" s="293" t="str">
        <f>N_Matches</f>
        <v>Matches</v>
      </c>
      <c r="W1632" s="294"/>
      <c r="X1632" s="294"/>
      <c r="Y1632" s="294"/>
      <c r="Z1632" s="295"/>
      <c r="AA1632" s="8"/>
      <c r="AB1632" s="967"/>
      <c r="AC1632" s="967"/>
      <c r="AD1632" s="967"/>
      <c r="AE1632" s="964"/>
      <c r="AF1632" s="964"/>
      <c r="AG1632" s="964"/>
      <c r="AH1632" s="964"/>
      <c r="AI1632" s="964"/>
      <c r="AJ1632" s="964"/>
      <c r="AK1632" s="964"/>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s="1396"/>
      <c r="CB1632" s="1396"/>
      <c r="CC1632"/>
      <c r="CD1632"/>
      <c r="CE1632"/>
    </row>
    <row r="1633" spans="1:83" ht="13.15" customHeight="1" outlineLevel="2" x14ac:dyDescent="0.2">
      <c r="A1633"/>
      <c r="B1633" s="1"/>
      <c r="C1633"/>
      <c r="D1633"/>
      <c r="E1633"/>
      <c r="F1633"/>
      <c r="G1633" s="1"/>
      <c r="H1633" s="1"/>
      <c r="I1633"/>
      <c r="J1633"/>
      <c r="K1633"/>
      <c r="L1633"/>
      <c r="M1633"/>
      <c r="N1633"/>
      <c r="O1633"/>
      <c r="P1633"/>
      <c r="Q1633"/>
      <c r="R1633" s="558" t="s">
        <v>3972</v>
      </c>
      <c r="S1633" s="65"/>
      <c r="T1633" s="953"/>
      <c r="U1633" s="954"/>
      <c r="V1633" s="34" t="str">
        <f>V1623</f>
        <v>S</v>
      </c>
      <c r="W1633" s="148"/>
      <c r="X1633" s="35" t="s">
        <v>769</v>
      </c>
      <c r="Y1633" s="148"/>
      <c r="Z1633" s="36" t="str">
        <f>V1622</f>
        <v>A</v>
      </c>
      <c r="AA1633" s="123"/>
      <c r="AB1633" s="1459">
        <f t="shared" ref="AB1633:AB1641" si="1145">IF(MaxScore,MaxGoals(W1633,Y1633,MaxGoalsValue),IF(W1633="","",W1633))</f>
        <v>0</v>
      </c>
      <c r="AC1633" s="1460" t="str">
        <f t="shared" ref="AC1633:AC1641" si="1146">IF(MaxScore,"-",IF(W1633="","","-"))</f>
        <v>-</v>
      </c>
      <c r="AD1633" s="1459">
        <f t="shared" ref="AD1633:AD1641" si="1147">IF(MaxScore,MaxGoals(Y1633,W1633,MaxGoalsValue),IF(Y1633="","",Y1633))</f>
        <v>0</v>
      </c>
      <c r="AE1633" s="964" t="str">
        <f t="shared" ref="AE1633:AE1641" si="1148">IF(W1633="","",IF(W1633&gt;Y1633,V1633,IF(W1633=Y1633,"",Z1633)))</f>
        <v/>
      </c>
      <c r="AF1633" s="964" t="str">
        <f t="shared" ref="AF1633:AF1641" si="1149">IF(W1633="","",IF(W1633=Y1633,V1633,""))</f>
        <v/>
      </c>
      <c r="AG1633" s="964" t="str">
        <f t="shared" ref="AG1633:AG1641" si="1150">IF(W1633="","",IF(W1633=Y1633,Z1633,""))</f>
        <v/>
      </c>
      <c r="AH1633" s="964" t="str">
        <f t="shared" ref="AH1633:AH1641" si="1151">IF(W1633="","",IF(W1633&lt;Y1633,V1633,IF(W1633=Y1633,"",Z1633)))</f>
        <v/>
      </c>
      <c r="AI1633" s="964" t="str">
        <f t="shared" ref="AI1633:AI1641" si="1152">CONCATENATE(AE1633,AH1633)</f>
        <v/>
      </c>
      <c r="AJ1633" s="964"/>
      <c r="AK1633" s="964"/>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s="1396"/>
      <c r="CB1633" s="1396"/>
      <c r="CC1633"/>
      <c r="CD1633"/>
      <c r="CE1633"/>
    </row>
    <row r="1634" spans="1:83" ht="13.15" customHeight="1" outlineLevel="2" x14ac:dyDescent="0.2">
      <c r="A1634"/>
      <c r="B1634" s="1"/>
      <c r="C1634"/>
      <c r="D1634"/>
      <c r="E1634"/>
      <c r="F1634"/>
      <c r="G1634" s="1"/>
      <c r="H1634" s="1"/>
      <c r="I1634"/>
      <c r="J1634"/>
      <c r="K1634"/>
      <c r="L1634"/>
      <c r="M1634"/>
      <c r="N1634"/>
      <c r="O1634"/>
      <c r="P1634"/>
      <c r="Q1634"/>
      <c r="R1634" s="558" t="s">
        <v>3972</v>
      </c>
      <c r="S1634" s="83"/>
      <c r="T1634" s="56"/>
      <c r="U1634" s="955"/>
      <c r="V1634" s="43" t="str">
        <f>Z1623</f>
        <v>O</v>
      </c>
      <c r="W1634" s="10"/>
      <c r="X1634" s="45" t="s">
        <v>769</v>
      </c>
      <c r="Y1634" s="10"/>
      <c r="Z1634" s="46" t="str">
        <f t="shared" ref="Z1634:Z1639" si="1153">V1624</f>
        <v>R</v>
      </c>
      <c r="AA1634" s="123"/>
      <c r="AB1634" s="1459">
        <f t="shared" si="1145"/>
        <v>0</v>
      </c>
      <c r="AC1634" s="1460" t="str">
        <f t="shared" si="1146"/>
        <v>-</v>
      </c>
      <c r="AD1634" s="1459">
        <f t="shared" si="1147"/>
        <v>0</v>
      </c>
      <c r="AE1634" s="964" t="str">
        <f t="shared" si="1148"/>
        <v/>
      </c>
      <c r="AF1634" s="964" t="str">
        <f t="shared" si="1149"/>
        <v/>
      </c>
      <c r="AG1634" s="964" t="str">
        <f t="shared" si="1150"/>
        <v/>
      </c>
      <c r="AH1634" s="964" t="str">
        <f t="shared" si="1151"/>
        <v/>
      </c>
      <c r="AI1634" s="964" t="str">
        <f t="shared" si="1152"/>
        <v/>
      </c>
      <c r="AJ1634" s="964"/>
      <c r="AK1634" s="96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s="1396"/>
      <c r="CB1634" s="1396"/>
      <c r="CC1634"/>
      <c r="CD1634"/>
      <c r="CE1634"/>
    </row>
    <row r="1635" spans="1:83" ht="13.15" customHeight="1" outlineLevel="2" x14ac:dyDescent="0.2">
      <c r="A1635"/>
      <c r="B1635" s="1"/>
      <c r="C1635"/>
      <c r="D1635"/>
      <c r="E1635"/>
      <c r="F1635"/>
      <c r="G1635" s="1"/>
      <c r="H1635" s="1"/>
      <c r="I1635"/>
      <c r="J1635"/>
      <c r="K1635"/>
      <c r="L1635"/>
      <c r="M1635"/>
      <c r="N1635"/>
      <c r="O1635"/>
      <c r="P1635"/>
      <c r="Q1635"/>
      <c r="R1635" s="558" t="s">
        <v>3972</v>
      </c>
      <c r="S1635" s="83"/>
      <c r="T1635" s="56"/>
      <c r="U1635" s="955"/>
      <c r="V1635" s="43" t="str">
        <f>V1612</f>
        <v>M</v>
      </c>
      <c r="W1635" s="10"/>
      <c r="X1635" s="45" t="s">
        <v>769</v>
      </c>
      <c r="Y1635" s="10"/>
      <c r="Z1635" s="46" t="str">
        <f t="shared" si="1153"/>
        <v>P</v>
      </c>
      <c r="AA1635" s="123"/>
      <c r="AB1635" s="1459">
        <f t="shared" si="1145"/>
        <v>0</v>
      </c>
      <c r="AC1635" s="1460" t="str">
        <f t="shared" si="1146"/>
        <v>-</v>
      </c>
      <c r="AD1635" s="1459">
        <f t="shared" si="1147"/>
        <v>0</v>
      </c>
      <c r="AE1635" s="964" t="str">
        <f t="shared" si="1148"/>
        <v/>
      </c>
      <c r="AF1635" s="964" t="str">
        <f t="shared" si="1149"/>
        <v/>
      </c>
      <c r="AG1635" s="964" t="str">
        <f t="shared" si="1150"/>
        <v/>
      </c>
      <c r="AH1635" s="964" t="str">
        <f t="shared" si="1151"/>
        <v/>
      </c>
      <c r="AI1635" s="964" t="str">
        <f t="shared" si="1152"/>
        <v/>
      </c>
      <c r="AJ1635" s="964"/>
      <c r="AK1635" s="964"/>
      <c r="AL1635"/>
      <c r="AM1635"/>
      <c r="AN1635"/>
      <c r="AO1635"/>
      <c r="AP1635"/>
      <c r="AQ1635"/>
      <c r="AR1635"/>
      <c r="AS1635"/>
      <c r="AT1635"/>
      <c r="AU1635"/>
      <c r="AV1635"/>
      <c r="AW1635"/>
      <c r="AX1635" s="9"/>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s="1396"/>
      <c r="CB1635" s="1396"/>
      <c r="CC1635"/>
      <c r="CD1635"/>
      <c r="CE1635"/>
    </row>
    <row r="1636" spans="1:83" ht="13.15" customHeight="1" outlineLevel="2" x14ac:dyDescent="0.2">
      <c r="A1636"/>
      <c r="B1636" s="1"/>
      <c r="C1636"/>
      <c r="D1636"/>
      <c r="E1636"/>
      <c r="F1636"/>
      <c r="G1636" s="1"/>
      <c r="H1636" s="1"/>
      <c r="I1636"/>
      <c r="J1636"/>
      <c r="K1636"/>
      <c r="L1636"/>
      <c r="M1636"/>
      <c r="N1636"/>
      <c r="O1636"/>
      <c r="P1636"/>
      <c r="Q1636"/>
      <c r="R1636" s="558" t="s">
        <v>3972</v>
      </c>
      <c r="S1636" s="83"/>
      <c r="T1636" s="56"/>
      <c r="U1636" s="955"/>
      <c r="V1636" s="43" t="str">
        <f t="shared" ref="V1636:V1641" si="1154">Z1624</f>
        <v>K</v>
      </c>
      <c r="W1636" s="10"/>
      <c r="X1636" s="45" t="s">
        <v>769</v>
      </c>
      <c r="Y1636" s="10"/>
      <c r="Z1636" s="46" t="str">
        <f t="shared" si="1153"/>
        <v>N</v>
      </c>
      <c r="AA1636" s="123"/>
      <c r="AB1636" s="1459">
        <f t="shared" si="1145"/>
        <v>0</v>
      </c>
      <c r="AC1636" s="1460" t="str">
        <f t="shared" si="1146"/>
        <v>-</v>
      </c>
      <c r="AD1636" s="1459">
        <f t="shared" si="1147"/>
        <v>0</v>
      </c>
      <c r="AE1636" s="964" t="str">
        <f t="shared" si="1148"/>
        <v/>
      </c>
      <c r="AF1636" s="964" t="str">
        <f t="shared" si="1149"/>
        <v/>
      </c>
      <c r="AG1636" s="964" t="str">
        <f t="shared" si="1150"/>
        <v/>
      </c>
      <c r="AH1636" s="964" t="str">
        <f t="shared" si="1151"/>
        <v/>
      </c>
      <c r="AI1636" s="964" t="str">
        <f t="shared" si="1152"/>
        <v/>
      </c>
      <c r="AJ1636" s="964"/>
      <c r="AK1636" s="964"/>
      <c r="AL1636"/>
      <c r="AM1636"/>
      <c r="AN1636"/>
      <c r="AO1636"/>
      <c r="AP1636"/>
      <c r="AQ1636"/>
      <c r="AR1636"/>
      <c r="AS1636"/>
      <c r="AT1636"/>
      <c r="AU1636"/>
      <c r="AV1636"/>
      <c r="AW1636" s="9"/>
      <c r="AX1636" s="9"/>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s="1396"/>
      <c r="CB1636" s="1396"/>
      <c r="CC1636"/>
      <c r="CD1636"/>
      <c r="CE1636"/>
    </row>
    <row r="1637" spans="1:83" ht="13.15" customHeight="1" outlineLevel="2" x14ac:dyDescent="0.2">
      <c r="A1637"/>
      <c r="B1637" s="1"/>
      <c r="C1637"/>
      <c r="D1637"/>
      <c r="E1637"/>
      <c r="F1637"/>
      <c r="G1637" s="1"/>
      <c r="H1637" s="1"/>
      <c r="I1637"/>
      <c r="J1637"/>
      <c r="K1637"/>
      <c r="L1637"/>
      <c r="M1637"/>
      <c r="N1637"/>
      <c r="O1637"/>
      <c r="P1637"/>
      <c r="Q1637"/>
      <c r="R1637" s="558" t="s">
        <v>3972</v>
      </c>
      <c r="S1637" s="83"/>
      <c r="T1637" s="56"/>
      <c r="U1637" s="955"/>
      <c r="V1637" s="43" t="str">
        <f t="shared" si="1154"/>
        <v>I</v>
      </c>
      <c r="W1637" s="10"/>
      <c r="X1637" s="45" t="s">
        <v>769</v>
      </c>
      <c r="Y1637" s="10"/>
      <c r="Z1637" s="46" t="str">
        <f t="shared" si="1153"/>
        <v>L</v>
      </c>
      <c r="AA1637" s="123"/>
      <c r="AB1637" s="1459">
        <f t="shared" si="1145"/>
        <v>0</v>
      </c>
      <c r="AC1637" s="1460" t="str">
        <f t="shared" si="1146"/>
        <v>-</v>
      </c>
      <c r="AD1637" s="1459">
        <f t="shared" si="1147"/>
        <v>0</v>
      </c>
      <c r="AE1637" s="964" t="str">
        <f t="shared" si="1148"/>
        <v/>
      </c>
      <c r="AF1637" s="964" t="str">
        <f t="shared" si="1149"/>
        <v/>
      </c>
      <c r="AG1637" s="964" t="str">
        <f t="shared" si="1150"/>
        <v/>
      </c>
      <c r="AH1637" s="964" t="str">
        <f t="shared" si="1151"/>
        <v/>
      </c>
      <c r="AI1637" s="964" t="str">
        <f t="shared" si="1152"/>
        <v/>
      </c>
      <c r="AJ1637" s="964"/>
      <c r="AK1637" s="964"/>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s="1396"/>
      <c r="CB1637" s="1396"/>
      <c r="CC1637"/>
      <c r="CD1637"/>
      <c r="CE1637"/>
    </row>
    <row r="1638" spans="1:83" ht="13.15" customHeight="1" outlineLevel="2" x14ac:dyDescent="0.2">
      <c r="A1638"/>
      <c r="B1638" s="1"/>
      <c r="C1638"/>
      <c r="D1638"/>
      <c r="E1638"/>
      <c r="F1638"/>
      <c r="G1638" s="1"/>
      <c r="H1638" s="1"/>
      <c r="I1638"/>
      <c r="J1638"/>
      <c r="K1638"/>
      <c r="L1638"/>
      <c r="M1638"/>
      <c r="N1638"/>
      <c r="O1638"/>
      <c r="P1638"/>
      <c r="Q1638"/>
      <c r="R1638" s="558" t="s">
        <v>3972</v>
      </c>
      <c r="S1638" s="83"/>
      <c r="T1638" s="56"/>
      <c r="U1638" s="955"/>
      <c r="V1638" s="43" t="str">
        <f t="shared" si="1154"/>
        <v>G</v>
      </c>
      <c r="W1638" s="10"/>
      <c r="X1638" s="45" t="s">
        <v>769</v>
      </c>
      <c r="Y1638" s="10"/>
      <c r="Z1638" s="46" t="str">
        <f t="shared" si="1153"/>
        <v>J</v>
      </c>
      <c r="AA1638" s="123"/>
      <c r="AB1638" s="1459">
        <f t="shared" si="1145"/>
        <v>0</v>
      </c>
      <c r="AC1638" s="1460" t="str">
        <f t="shared" si="1146"/>
        <v>-</v>
      </c>
      <c r="AD1638" s="1459">
        <f t="shared" si="1147"/>
        <v>0</v>
      </c>
      <c r="AE1638" s="964" t="str">
        <f t="shared" si="1148"/>
        <v/>
      </c>
      <c r="AF1638" s="964" t="str">
        <f t="shared" si="1149"/>
        <v/>
      </c>
      <c r="AG1638" s="964" t="str">
        <f t="shared" si="1150"/>
        <v/>
      </c>
      <c r="AH1638" s="964" t="str">
        <f t="shared" si="1151"/>
        <v/>
      </c>
      <c r="AI1638" s="964" t="str">
        <f t="shared" si="1152"/>
        <v/>
      </c>
      <c r="AJ1638" s="964"/>
      <c r="AK1638" s="964"/>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s="1396"/>
      <c r="CB1638" s="1396"/>
      <c r="CC1638"/>
      <c r="CD1638"/>
      <c r="CE1638"/>
    </row>
    <row r="1639" spans="1:83" ht="13.15" customHeight="1" outlineLevel="2" x14ac:dyDescent="0.2">
      <c r="A1639"/>
      <c r="B1639" s="1"/>
      <c r="C1639"/>
      <c r="D1639"/>
      <c r="E1639"/>
      <c r="F1639"/>
      <c r="G1639" s="1"/>
      <c r="H1639" s="1"/>
      <c r="I1639"/>
      <c r="J1639"/>
      <c r="K1639"/>
      <c r="L1639"/>
      <c r="M1639"/>
      <c r="N1639"/>
      <c r="O1639"/>
      <c r="P1639"/>
      <c r="Q1639"/>
      <c r="R1639" s="558" t="s">
        <v>3972</v>
      </c>
      <c r="S1639" s="83"/>
      <c r="T1639" s="56"/>
      <c r="U1639" s="955"/>
      <c r="V1639" s="43" t="str">
        <f t="shared" si="1154"/>
        <v>E</v>
      </c>
      <c r="W1639" s="10"/>
      <c r="X1639" s="45" t="s">
        <v>769</v>
      </c>
      <c r="Y1639" s="10"/>
      <c r="Z1639" s="46" t="str">
        <f t="shared" si="1153"/>
        <v>H</v>
      </c>
      <c r="AA1639" s="123"/>
      <c r="AB1639" s="1459">
        <f t="shared" si="1145"/>
        <v>0</v>
      </c>
      <c r="AC1639" s="1460" t="str">
        <f t="shared" si="1146"/>
        <v>-</v>
      </c>
      <c r="AD1639" s="1459">
        <f t="shared" si="1147"/>
        <v>0</v>
      </c>
      <c r="AE1639" s="964" t="str">
        <f t="shared" si="1148"/>
        <v/>
      </c>
      <c r="AF1639" s="964" t="str">
        <f t="shared" si="1149"/>
        <v/>
      </c>
      <c r="AG1639" s="964" t="str">
        <f t="shared" si="1150"/>
        <v/>
      </c>
      <c r="AH1639" s="964" t="str">
        <f t="shared" si="1151"/>
        <v/>
      </c>
      <c r="AI1639" s="964" t="str">
        <f t="shared" si="1152"/>
        <v/>
      </c>
      <c r="AJ1639" s="964"/>
      <c r="AK1639" s="964"/>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s="1396"/>
      <c r="CB1639" s="1396"/>
      <c r="CC1639"/>
      <c r="CD1639"/>
      <c r="CE1639"/>
    </row>
    <row r="1640" spans="1:83" ht="13.15" customHeight="1" outlineLevel="2" x14ac:dyDescent="0.2">
      <c r="A1640"/>
      <c r="B1640" s="1"/>
      <c r="C1640"/>
      <c r="D1640"/>
      <c r="E1640"/>
      <c r="F1640"/>
      <c r="G1640" s="1"/>
      <c r="H1640" s="1"/>
      <c r="I1640"/>
      <c r="J1640"/>
      <c r="K1640"/>
      <c r="L1640"/>
      <c r="M1640"/>
      <c r="N1640"/>
      <c r="O1640"/>
      <c r="P1640"/>
      <c r="Q1640"/>
      <c r="R1640" s="558" t="s">
        <v>3972</v>
      </c>
      <c r="S1640" s="83"/>
      <c r="T1640" s="56"/>
      <c r="U1640" s="955"/>
      <c r="V1640" s="43" t="str">
        <f t="shared" si="1154"/>
        <v>C</v>
      </c>
      <c r="W1640" s="10"/>
      <c r="X1640" s="45" t="s">
        <v>769</v>
      </c>
      <c r="Y1640" s="10"/>
      <c r="Z1640" s="46" t="str">
        <f>V1630</f>
        <v>F</v>
      </c>
      <c r="AA1640" s="123"/>
      <c r="AB1640" s="1459">
        <f t="shared" si="1145"/>
        <v>0</v>
      </c>
      <c r="AC1640" s="1460" t="str">
        <f t="shared" si="1146"/>
        <v>-</v>
      </c>
      <c r="AD1640" s="1459">
        <f t="shared" si="1147"/>
        <v>0</v>
      </c>
      <c r="AE1640" s="964" t="str">
        <f t="shared" si="1148"/>
        <v/>
      </c>
      <c r="AF1640" s="964" t="str">
        <f t="shared" si="1149"/>
        <v/>
      </c>
      <c r="AG1640" s="964" t="str">
        <f t="shared" si="1150"/>
        <v/>
      </c>
      <c r="AH1640" s="964" t="str">
        <f t="shared" si="1151"/>
        <v/>
      </c>
      <c r="AI1640" s="964" t="str">
        <f t="shared" si="1152"/>
        <v/>
      </c>
      <c r="AJ1640" s="964"/>
      <c r="AK1640" s="964"/>
      <c r="AL1640"/>
      <c r="AM1640"/>
      <c r="AN1640"/>
      <c r="AO1640"/>
      <c r="AP1640"/>
      <c r="AQ1640"/>
      <c r="AR1640"/>
      <c r="AS1640"/>
      <c r="AT1640"/>
      <c r="AU1640"/>
      <c r="AV1640"/>
      <c r="AW1640"/>
      <c r="AX1640" s="9"/>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s="1396"/>
      <c r="CB1640" s="1396"/>
      <c r="CC1640"/>
      <c r="CD1640"/>
      <c r="CE1640"/>
    </row>
    <row r="1641" spans="1:83" ht="13.9" customHeight="1" outlineLevel="2" thickBot="1" x14ac:dyDescent="0.25">
      <c r="A1641"/>
      <c r="B1641" s="1"/>
      <c r="C1641"/>
      <c r="D1641"/>
      <c r="E1641"/>
      <c r="F1641"/>
      <c r="G1641" s="1"/>
      <c r="H1641" s="1"/>
      <c r="I1641"/>
      <c r="J1641"/>
      <c r="K1641"/>
      <c r="L1641"/>
      <c r="M1641"/>
      <c r="N1641"/>
      <c r="O1641"/>
      <c r="P1641"/>
      <c r="Q1641"/>
      <c r="R1641" s="558" t="s">
        <v>3972</v>
      </c>
      <c r="S1641" s="956"/>
      <c r="T1641" s="58"/>
      <c r="U1641" s="957"/>
      <c r="V1641" s="958" t="str">
        <f t="shared" si="1154"/>
        <v>B</v>
      </c>
      <c r="W1641" s="175"/>
      <c r="X1641" s="52" t="s">
        <v>769</v>
      </c>
      <c r="Y1641" s="175"/>
      <c r="Z1641" s="959" t="str">
        <f>Z1630</f>
        <v>D</v>
      </c>
      <c r="AA1641" s="123"/>
      <c r="AB1641" s="1459">
        <f t="shared" si="1145"/>
        <v>0</v>
      </c>
      <c r="AC1641" s="1460" t="str">
        <f t="shared" si="1146"/>
        <v>-</v>
      </c>
      <c r="AD1641" s="1459">
        <f t="shared" si="1147"/>
        <v>0</v>
      </c>
      <c r="AE1641" s="964" t="str">
        <f t="shared" si="1148"/>
        <v/>
      </c>
      <c r="AF1641" s="964" t="str">
        <f t="shared" si="1149"/>
        <v/>
      </c>
      <c r="AG1641" s="964" t="str">
        <f t="shared" si="1150"/>
        <v/>
      </c>
      <c r="AH1641" s="964" t="str">
        <f t="shared" si="1151"/>
        <v/>
      </c>
      <c r="AI1641" s="964" t="str">
        <f t="shared" si="1152"/>
        <v/>
      </c>
      <c r="AJ1641" s="964"/>
      <c r="AK1641" s="964"/>
      <c r="AL1641"/>
      <c r="AM1641"/>
      <c r="AN1641"/>
      <c r="AO1641"/>
      <c r="AP1641"/>
      <c r="AQ1641"/>
      <c r="AR1641"/>
      <c r="AS1641"/>
      <c r="AT1641"/>
      <c r="AU1641"/>
      <c r="AV1641"/>
      <c r="AW1641" s="9"/>
      <c r="AX1641" s="9"/>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s="1396"/>
      <c r="CB1641" s="1396"/>
      <c r="CC1641"/>
      <c r="CD1641"/>
      <c r="CE1641"/>
    </row>
    <row r="1642" spans="1:83" ht="13.5" outlineLevel="1" thickBot="1" x14ac:dyDescent="0.25">
      <c r="A1642"/>
      <c r="B1642" s="1"/>
      <c r="C1642" s="1"/>
      <c r="D1642" s="76"/>
      <c r="E1642" s="76"/>
      <c r="F1642" s="76"/>
      <c r="G1642" s="9"/>
      <c r="H1642" s="9"/>
      <c r="I1642" s="1"/>
      <c r="J1642"/>
      <c r="K1642"/>
      <c r="L1642"/>
      <c r="M1642"/>
      <c r="N1642"/>
      <c r="O1642"/>
      <c r="P1642" s="89"/>
      <c r="Q1642"/>
      <c r="R1642" s="1"/>
      <c r="S1642" s="993">
        <f>S1631+1</f>
        <v>11</v>
      </c>
      <c r="T1642" s="961"/>
      <c r="U1642" s="961"/>
      <c r="V1642" s="961"/>
      <c r="W1642" s="960"/>
      <c r="X1642" s="960"/>
      <c r="Y1642" s="960"/>
      <c r="Z1642" s="962"/>
      <c r="AA1642" s="123"/>
      <c r="AB1642" s="963"/>
      <c r="AC1642" s="963"/>
      <c r="AD1642" s="963"/>
      <c r="AE1642" s="964"/>
      <c r="AF1642" s="964"/>
      <c r="AG1642" s="964"/>
      <c r="AH1642" s="964"/>
      <c r="AI1642" s="964"/>
      <c r="AJ1642" s="964"/>
      <c r="AK1642" s="964"/>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s="1396"/>
      <c r="CB1642" s="1396"/>
      <c r="CC1642"/>
      <c r="CD1642"/>
      <c r="CE1642"/>
    </row>
    <row r="1643" spans="1:83" ht="13.9" customHeight="1" outlineLevel="2" x14ac:dyDescent="0.2">
      <c r="A1643"/>
      <c r="B1643" s="1"/>
      <c r="C1643"/>
      <c r="D1643"/>
      <c r="E1643"/>
      <c r="F1643"/>
      <c r="G1643" s="1"/>
      <c r="H1643" s="1"/>
      <c r="I1643"/>
      <c r="J1643"/>
      <c r="K1643"/>
      <c r="L1643"/>
      <c r="M1643"/>
      <c r="N1643"/>
      <c r="O1643"/>
      <c r="P1643"/>
      <c r="Q1643"/>
      <c r="S1643" s="22" t="str">
        <f>N_Heure</f>
        <v>Heure</v>
      </c>
      <c r="T1643" s="22" t="str">
        <f>N_Table</f>
        <v>Table</v>
      </c>
      <c r="U1643" s="22" t="str">
        <f>N_Arbitre</f>
        <v>Arbitre</v>
      </c>
      <c r="V1643" s="293" t="str">
        <f>N_Matches</f>
        <v>Matches</v>
      </c>
      <c r="W1643" s="294"/>
      <c r="X1643" s="294"/>
      <c r="Y1643" s="294"/>
      <c r="Z1643" s="295"/>
      <c r="AA1643" s="8"/>
      <c r="AB1643" s="967"/>
      <c r="AC1643" s="967"/>
      <c r="AD1643" s="967"/>
      <c r="AE1643" s="964"/>
      <c r="AF1643" s="964"/>
      <c r="AG1643" s="964"/>
      <c r="AH1643" s="964"/>
      <c r="AI1643" s="964"/>
      <c r="AJ1643" s="964"/>
      <c r="AK1643" s="964"/>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s="1396"/>
      <c r="CB1643" s="1396"/>
      <c r="CC1643"/>
      <c r="CD1643"/>
      <c r="CE1643"/>
    </row>
    <row r="1644" spans="1:83" ht="13.15" customHeight="1" outlineLevel="2" x14ac:dyDescent="0.2">
      <c r="A1644"/>
      <c r="B1644" s="1"/>
      <c r="C1644"/>
      <c r="D1644"/>
      <c r="E1644"/>
      <c r="F1644"/>
      <c r="G1644" s="1"/>
      <c r="H1644" s="1"/>
      <c r="I1644"/>
      <c r="J1644"/>
      <c r="K1644"/>
      <c r="L1644"/>
      <c r="M1644"/>
      <c r="N1644"/>
      <c r="O1644"/>
      <c r="P1644"/>
      <c r="Q1644"/>
      <c r="R1644" s="558" t="s">
        <v>3973</v>
      </c>
      <c r="S1644" s="83"/>
      <c r="T1644" s="56"/>
      <c r="U1644" s="955"/>
      <c r="V1644" s="43" t="str">
        <f t="shared" ref="V1644:V1649" si="1155">Z1634</f>
        <v>R</v>
      </c>
      <c r="W1644" s="10"/>
      <c r="X1644" s="45" t="s">
        <v>769</v>
      </c>
      <c r="Y1644" s="10"/>
      <c r="Z1644" s="46" t="str">
        <f>V1633</f>
        <v>S</v>
      </c>
      <c r="AA1644" s="123"/>
      <c r="AB1644" s="1459">
        <f t="shared" ref="AB1644:AB1652" si="1156">IF(MaxScore,MaxGoals(W1644,Y1644,MaxGoalsValue),IF(W1644="","",W1644))</f>
        <v>0</v>
      </c>
      <c r="AC1644" s="1460" t="str">
        <f t="shared" ref="AC1644:AC1652" si="1157">IF(MaxScore,"-",IF(W1644="","","-"))</f>
        <v>-</v>
      </c>
      <c r="AD1644" s="1459">
        <f t="shared" ref="AD1644:AD1652" si="1158">IF(MaxScore,MaxGoals(Y1644,W1644,MaxGoalsValue),IF(Y1644="","",Y1644))</f>
        <v>0</v>
      </c>
      <c r="AE1644" s="964" t="str">
        <f t="shared" ref="AE1644:AE1652" si="1159">IF(W1644="","",IF(W1644&gt;Y1644,V1644,IF(W1644=Y1644,"",Z1644)))</f>
        <v/>
      </c>
      <c r="AF1644" s="964" t="str">
        <f t="shared" ref="AF1644:AF1652" si="1160">IF(W1644="","",IF(W1644=Y1644,V1644,""))</f>
        <v/>
      </c>
      <c r="AG1644" s="964" t="str">
        <f t="shared" ref="AG1644:AG1652" si="1161">IF(W1644="","",IF(W1644=Y1644,Z1644,""))</f>
        <v/>
      </c>
      <c r="AH1644" s="964" t="str">
        <f t="shared" ref="AH1644:AH1652" si="1162">IF(W1644="","",IF(W1644&lt;Y1644,V1644,IF(W1644=Y1644,"",Z1644)))</f>
        <v/>
      </c>
      <c r="AI1644" s="964" t="str">
        <f t="shared" ref="AI1644:AI1652" si="1163">CONCATENATE(AE1644,AH1644)</f>
        <v/>
      </c>
      <c r="AJ1644" s="964"/>
      <c r="AK1644" s="96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s="1396"/>
      <c r="CB1644" s="1396"/>
      <c r="CC1644"/>
      <c r="CD1644"/>
      <c r="CE1644"/>
    </row>
    <row r="1645" spans="1:83" ht="13.15" customHeight="1" outlineLevel="2" x14ac:dyDescent="0.2">
      <c r="A1645"/>
      <c r="B1645" s="1"/>
      <c r="C1645"/>
      <c r="D1645"/>
      <c r="E1645"/>
      <c r="F1645"/>
      <c r="G1645" s="1"/>
      <c r="H1645" s="1"/>
      <c r="I1645"/>
      <c r="J1645"/>
      <c r="K1645"/>
      <c r="L1645"/>
      <c r="M1645"/>
      <c r="N1645"/>
      <c r="O1645"/>
      <c r="P1645"/>
      <c r="Q1645"/>
      <c r="R1645" s="558" t="s">
        <v>3973</v>
      </c>
      <c r="S1645" s="83"/>
      <c r="T1645" s="56"/>
      <c r="U1645" s="955"/>
      <c r="V1645" s="43" t="str">
        <f t="shared" si="1155"/>
        <v>P</v>
      </c>
      <c r="W1645" s="10"/>
      <c r="X1645" s="45" t="s">
        <v>769</v>
      </c>
      <c r="Y1645" s="10"/>
      <c r="Z1645" s="46" t="str">
        <f>Z1622</f>
        <v>Q</v>
      </c>
      <c r="AA1645" s="123"/>
      <c r="AB1645" s="1459">
        <f t="shared" si="1156"/>
        <v>0</v>
      </c>
      <c r="AC1645" s="1460" t="str">
        <f t="shared" si="1157"/>
        <v>-</v>
      </c>
      <c r="AD1645" s="1459">
        <f t="shared" si="1158"/>
        <v>0</v>
      </c>
      <c r="AE1645" s="964" t="str">
        <f t="shared" si="1159"/>
        <v/>
      </c>
      <c r="AF1645" s="964" t="str">
        <f t="shared" si="1160"/>
        <v/>
      </c>
      <c r="AG1645" s="964" t="str">
        <f t="shared" si="1161"/>
        <v/>
      </c>
      <c r="AH1645" s="964" t="str">
        <f t="shared" si="1162"/>
        <v/>
      </c>
      <c r="AI1645" s="964" t="str">
        <f t="shared" si="1163"/>
        <v/>
      </c>
      <c r="AJ1645" s="964"/>
      <c r="AK1645" s="964"/>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s="1396"/>
      <c r="CB1645" s="1396"/>
      <c r="CC1645"/>
      <c r="CD1645"/>
      <c r="CE1645"/>
    </row>
    <row r="1646" spans="1:83" ht="13.15" customHeight="1" outlineLevel="2" x14ac:dyDescent="0.2">
      <c r="A1646"/>
      <c r="B1646" s="1"/>
      <c r="C1646"/>
      <c r="D1646"/>
      <c r="E1646"/>
      <c r="F1646"/>
      <c r="G1646" s="1"/>
      <c r="H1646" s="1"/>
      <c r="I1646"/>
      <c r="J1646"/>
      <c r="K1646"/>
      <c r="L1646"/>
      <c r="M1646"/>
      <c r="N1646"/>
      <c r="O1646"/>
      <c r="P1646"/>
      <c r="Q1646"/>
      <c r="R1646" s="558" t="s">
        <v>3973</v>
      </c>
      <c r="S1646" s="83"/>
      <c r="T1646" s="56"/>
      <c r="U1646" s="955"/>
      <c r="V1646" s="43" t="str">
        <f t="shared" si="1155"/>
        <v>N</v>
      </c>
      <c r="W1646" s="10"/>
      <c r="X1646" s="45" t="s">
        <v>769</v>
      </c>
      <c r="Y1646" s="10"/>
      <c r="Z1646" s="46" t="str">
        <f t="shared" ref="Z1646:Z1652" si="1164">V1634</f>
        <v>O</v>
      </c>
      <c r="AA1646" s="123"/>
      <c r="AB1646" s="1459">
        <f t="shared" si="1156"/>
        <v>0</v>
      </c>
      <c r="AC1646" s="1460" t="str">
        <f t="shared" si="1157"/>
        <v>-</v>
      </c>
      <c r="AD1646" s="1459">
        <f t="shared" si="1158"/>
        <v>0</v>
      </c>
      <c r="AE1646" s="964" t="str">
        <f t="shared" si="1159"/>
        <v/>
      </c>
      <c r="AF1646" s="964" t="str">
        <f t="shared" si="1160"/>
        <v/>
      </c>
      <c r="AG1646" s="964" t="str">
        <f t="shared" si="1161"/>
        <v/>
      </c>
      <c r="AH1646" s="964" t="str">
        <f t="shared" si="1162"/>
        <v/>
      </c>
      <c r="AI1646" s="964" t="str">
        <f t="shared" si="1163"/>
        <v/>
      </c>
      <c r="AJ1646" s="964"/>
      <c r="AK1646" s="964"/>
      <c r="AL1646"/>
      <c r="AM1646"/>
      <c r="AN1646"/>
      <c r="AO1646"/>
      <c r="AP1646"/>
      <c r="AQ1646"/>
      <c r="AR1646"/>
      <c r="AS1646"/>
      <c r="AT1646"/>
      <c r="AU1646"/>
      <c r="AV1646"/>
      <c r="AW1646"/>
      <c r="AX1646" s="9"/>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s="1396"/>
      <c r="CB1646" s="1396"/>
      <c r="CC1646"/>
      <c r="CD1646"/>
      <c r="CE1646"/>
    </row>
    <row r="1647" spans="1:83" ht="13.15" customHeight="1" outlineLevel="2" x14ac:dyDescent="0.2">
      <c r="A1647"/>
      <c r="B1647" s="1"/>
      <c r="C1647"/>
      <c r="D1647"/>
      <c r="E1647"/>
      <c r="F1647"/>
      <c r="G1647" s="1"/>
      <c r="H1647" s="1"/>
      <c r="I1647"/>
      <c r="J1647"/>
      <c r="K1647"/>
      <c r="L1647"/>
      <c r="M1647"/>
      <c r="N1647"/>
      <c r="O1647"/>
      <c r="P1647"/>
      <c r="Q1647"/>
      <c r="R1647" s="558" t="s">
        <v>3973</v>
      </c>
      <c r="S1647" s="83"/>
      <c r="T1647" s="56"/>
      <c r="U1647" s="955"/>
      <c r="V1647" s="43" t="str">
        <f t="shared" si="1155"/>
        <v>L</v>
      </c>
      <c r="W1647" s="10"/>
      <c r="X1647" s="45" t="s">
        <v>769</v>
      </c>
      <c r="Y1647" s="10"/>
      <c r="Z1647" s="46" t="str">
        <f t="shared" si="1164"/>
        <v>M</v>
      </c>
      <c r="AA1647" s="123"/>
      <c r="AB1647" s="1459">
        <f t="shared" si="1156"/>
        <v>0</v>
      </c>
      <c r="AC1647" s="1460" t="str">
        <f t="shared" si="1157"/>
        <v>-</v>
      </c>
      <c r="AD1647" s="1459">
        <f t="shared" si="1158"/>
        <v>0</v>
      </c>
      <c r="AE1647" s="964" t="str">
        <f t="shared" si="1159"/>
        <v/>
      </c>
      <c r="AF1647" s="964" t="str">
        <f t="shared" si="1160"/>
        <v/>
      </c>
      <c r="AG1647" s="964" t="str">
        <f t="shared" si="1161"/>
        <v/>
      </c>
      <c r="AH1647" s="964" t="str">
        <f t="shared" si="1162"/>
        <v/>
      </c>
      <c r="AI1647" s="964" t="str">
        <f t="shared" si="1163"/>
        <v/>
      </c>
      <c r="AJ1647" s="964"/>
      <c r="AK1647" s="964"/>
      <c r="AL1647"/>
      <c r="AM1647"/>
      <c r="AN1647"/>
      <c r="AO1647"/>
      <c r="AP1647"/>
      <c r="AQ1647"/>
      <c r="AR1647"/>
      <c r="AS1647"/>
      <c r="AT1647"/>
      <c r="AU1647"/>
      <c r="AV1647"/>
      <c r="AW1647" s="9"/>
      <c r="AX1647" s="9"/>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s="1396"/>
      <c r="CB1647" s="1396"/>
      <c r="CC1647"/>
      <c r="CD1647"/>
      <c r="CE1647"/>
    </row>
    <row r="1648" spans="1:83" ht="13.15" customHeight="1" outlineLevel="2" x14ac:dyDescent="0.2">
      <c r="A1648"/>
      <c r="B1648" s="1"/>
      <c r="C1648"/>
      <c r="D1648"/>
      <c r="E1648"/>
      <c r="F1648"/>
      <c r="G1648" s="1"/>
      <c r="H1648" s="1"/>
      <c r="I1648"/>
      <c r="J1648"/>
      <c r="K1648"/>
      <c r="L1648"/>
      <c r="M1648"/>
      <c r="N1648"/>
      <c r="O1648"/>
      <c r="P1648"/>
      <c r="Q1648"/>
      <c r="R1648" s="558" t="s">
        <v>3973</v>
      </c>
      <c r="S1648" s="83"/>
      <c r="T1648" s="56"/>
      <c r="U1648" s="955"/>
      <c r="V1648" s="43" t="str">
        <f t="shared" si="1155"/>
        <v>J</v>
      </c>
      <c r="W1648" s="10"/>
      <c r="X1648" s="45" t="s">
        <v>769</v>
      </c>
      <c r="Y1648" s="10"/>
      <c r="Z1648" s="46" t="str">
        <f t="shared" si="1164"/>
        <v>K</v>
      </c>
      <c r="AA1648" s="123"/>
      <c r="AB1648" s="1459">
        <f t="shared" si="1156"/>
        <v>0</v>
      </c>
      <c r="AC1648" s="1460" t="str">
        <f t="shared" si="1157"/>
        <v>-</v>
      </c>
      <c r="AD1648" s="1459">
        <f t="shared" si="1158"/>
        <v>0</v>
      </c>
      <c r="AE1648" s="964" t="str">
        <f t="shared" si="1159"/>
        <v/>
      </c>
      <c r="AF1648" s="964" t="str">
        <f t="shared" si="1160"/>
        <v/>
      </c>
      <c r="AG1648" s="964" t="str">
        <f t="shared" si="1161"/>
        <v/>
      </c>
      <c r="AH1648" s="964" t="str">
        <f t="shared" si="1162"/>
        <v/>
      </c>
      <c r="AI1648" s="964" t="str">
        <f t="shared" si="1163"/>
        <v/>
      </c>
      <c r="AJ1648" s="964"/>
      <c r="AK1648" s="964"/>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s="1396"/>
      <c r="CB1648" s="1396"/>
      <c r="CC1648"/>
      <c r="CD1648"/>
      <c r="CE1648"/>
    </row>
    <row r="1649" spans="1:83" ht="13.15" customHeight="1" outlineLevel="2" x14ac:dyDescent="0.2">
      <c r="A1649"/>
      <c r="B1649" s="1"/>
      <c r="C1649"/>
      <c r="D1649"/>
      <c r="E1649"/>
      <c r="F1649"/>
      <c r="G1649" s="1"/>
      <c r="H1649" s="1"/>
      <c r="I1649"/>
      <c r="J1649"/>
      <c r="K1649"/>
      <c r="L1649"/>
      <c r="M1649"/>
      <c r="N1649"/>
      <c r="O1649"/>
      <c r="P1649"/>
      <c r="Q1649"/>
      <c r="R1649" s="558" t="s">
        <v>3973</v>
      </c>
      <c r="S1649" s="83"/>
      <c r="T1649" s="56"/>
      <c r="U1649" s="955"/>
      <c r="V1649" s="43" t="str">
        <f t="shared" si="1155"/>
        <v>H</v>
      </c>
      <c r="W1649" s="10"/>
      <c r="X1649" s="45" t="s">
        <v>769</v>
      </c>
      <c r="Y1649" s="10"/>
      <c r="Z1649" s="46" t="str">
        <f t="shared" si="1164"/>
        <v>I</v>
      </c>
      <c r="AA1649" s="123"/>
      <c r="AB1649" s="1459">
        <f t="shared" si="1156"/>
        <v>0</v>
      </c>
      <c r="AC1649" s="1460" t="str">
        <f t="shared" si="1157"/>
        <v>-</v>
      </c>
      <c r="AD1649" s="1459">
        <f t="shared" si="1158"/>
        <v>0</v>
      </c>
      <c r="AE1649" s="964" t="str">
        <f t="shared" si="1159"/>
        <v/>
      </c>
      <c r="AF1649" s="964" t="str">
        <f t="shared" si="1160"/>
        <v/>
      </c>
      <c r="AG1649" s="964" t="str">
        <f t="shared" si="1161"/>
        <v/>
      </c>
      <c r="AH1649" s="964" t="str">
        <f t="shared" si="1162"/>
        <v/>
      </c>
      <c r="AI1649" s="964" t="str">
        <f t="shared" si="1163"/>
        <v/>
      </c>
      <c r="AJ1649" s="964"/>
      <c r="AK1649" s="964"/>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s="1396"/>
      <c r="CB1649" s="1396"/>
      <c r="CC1649"/>
      <c r="CD1649"/>
      <c r="CE1649"/>
    </row>
    <row r="1650" spans="1:83" ht="13.15" customHeight="1" outlineLevel="2" x14ac:dyDescent="0.2">
      <c r="A1650"/>
      <c r="B1650" s="1"/>
      <c r="C1650"/>
      <c r="D1650"/>
      <c r="E1650"/>
      <c r="F1650"/>
      <c r="G1650" s="1"/>
      <c r="H1650" s="1"/>
      <c r="I1650"/>
      <c r="J1650"/>
      <c r="K1650"/>
      <c r="L1650"/>
      <c r="M1650"/>
      <c r="N1650"/>
      <c r="O1650"/>
      <c r="P1650"/>
      <c r="Q1650"/>
      <c r="R1650" s="558" t="s">
        <v>3973</v>
      </c>
      <c r="S1650" s="83"/>
      <c r="T1650" s="56"/>
      <c r="U1650" s="955"/>
      <c r="V1650" s="43" t="str">
        <f>Z1640</f>
        <v>F</v>
      </c>
      <c r="W1650" s="10"/>
      <c r="X1650" s="45" t="s">
        <v>769</v>
      </c>
      <c r="Y1650" s="10"/>
      <c r="Z1650" s="46" t="str">
        <f t="shared" si="1164"/>
        <v>G</v>
      </c>
      <c r="AA1650" s="123"/>
      <c r="AB1650" s="1459">
        <f t="shared" si="1156"/>
        <v>0</v>
      </c>
      <c r="AC1650" s="1460" t="str">
        <f t="shared" si="1157"/>
        <v>-</v>
      </c>
      <c r="AD1650" s="1459">
        <f t="shared" si="1158"/>
        <v>0</v>
      </c>
      <c r="AE1650" s="964" t="str">
        <f t="shared" si="1159"/>
        <v/>
      </c>
      <c r="AF1650" s="964" t="str">
        <f t="shared" si="1160"/>
        <v/>
      </c>
      <c r="AG1650" s="964" t="str">
        <f t="shared" si="1161"/>
        <v/>
      </c>
      <c r="AH1650" s="964" t="str">
        <f t="shared" si="1162"/>
        <v/>
      </c>
      <c r="AI1650" s="964" t="str">
        <f t="shared" si="1163"/>
        <v/>
      </c>
      <c r="AJ1650" s="964"/>
      <c r="AK1650" s="964"/>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s="1396"/>
      <c r="CB1650" s="1396"/>
      <c r="CC1650"/>
      <c r="CD1650"/>
      <c r="CE1650"/>
    </row>
    <row r="1651" spans="1:83" ht="13.15" customHeight="1" outlineLevel="2" x14ac:dyDescent="0.2">
      <c r="A1651"/>
      <c r="B1651" s="1"/>
      <c r="C1651"/>
      <c r="D1651"/>
      <c r="E1651"/>
      <c r="F1651"/>
      <c r="G1651" s="1"/>
      <c r="H1651" s="1"/>
      <c r="I1651"/>
      <c r="J1651"/>
      <c r="K1651"/>
      <c r="L1651"/>
      <c r="M1651"/>
      <c r="N1651"/>
      <c r="O1651"/>
      <c r="P1651"/>
      <c r="Q1651"/>
      <c r="R1651" s="558" t="s">
        <v>3973</v>
      </c>
      <c r="S1651" s="83"/>
      <c r="T1651" s="56"/>
      <c r="U1651" s="955"/>
      <c r="V1651" s="43" t="str">
        <f>Z1641</f>
        <v>D</v>
      </c>
      <c r="W1651" s="10"/>
      <c r="X1651" s="45" t="s">
        <v>769</v>
      </c>
      <c r="Y1651" s="10"/>
      <c r="Z1651" s="46" t="str">
        <f t="shared" si="1164"/>
        <v>E</v>
      </c>
      <c r="AA1651" s="123"/>
      <c r="AB1651" s="1459">
        <f t="shared" si="1156"/>
        <v>0</v>
      </c>
      <c r="AC1651" s="1460" t="str">
        <f t="shared" si="1157"/>
        <v>-</v>
      </c>
      <c r="AD1651" s="1459">
        <f t="shared" si="1158"/>
        <v>0</v>
      </c>
      <c r="AE1651" s="964" t="str">
        <f t="shared" si="1159"/>
        <v/>
      </c>
      <c r="AF1651" s="964" t="str">
        <f t="shared" si="1160"/>
        <v/>
      </c>
      <c r="AG1651" s="964" t="str">
        <f t="shared" si="1161"/>
        <v/>
      </c>
      <c r="AH1651" s="964" t="str">
        <f t="shared" si="1162"/>
        <v/>
      </c>
      <c r="AI1651" s="964" t="str">
        <f t="shared" si="1163"/>
        <v/>
      </c>
      <c r="AJ1651" s="964"/>
      <c r="AK1651" s="964"/>
      <c r="AL1651"/>
      <c r="AM1651"/>
      <c r="AN1651"/>
      <c r="AO1651"/>
      <c r="AP1651"/>
      <c r="AQ1651"/>
      <c r="AR1651"/>
      <c r="AS1651"/>
      <c r="AT1651"/>
      <c r="AU1651"/>
      <c r="AV1651"/>
      <c r="AW1651"/>
      <c r="AX1651" s="9"/>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s="1396"/>
      <c r="CB1651" s="1396"/>
      <c r="CC1651"/>
      <c r="CD1651"/>
      <c r="CE1651"/>
    </row>
    <row r="1652" spans="1:83" ht="13.9" customHeight="1" outlineLevel="2" thickBot="1" x14ac:dyDescent="0.25">
      <c r="A1652"/>
      <c r="B1652" s="1"/>
      <c r="C1652"/>
      <c r="D1652"/>
      <c r="E1652"/>
      <c r="F1652"/>
      <c r="G1652" s="1"/>
      <c r="H1652" s="1"/>
      <c r="I1652"/>
      <c r="J1652"/>
      <c r="K1652"/>
      <c r="L1652"/>
      <c r="M1652"/>
      <c r="N1652"/>
      <c r="O1652"/>
      <c r="P1652"/>
      <c r="Q1652"/>
      <c r="R1652" s="558" t="s">
        <v>3973</v>
      </c>
      <c r="S1652" s="956"/>
      <c r="T1652" s="58"/>
      <c r="U1652" s="957"/>
      <c r="V1652" s="958" t="str">
        <f>V1641</f>
        <v>B</v>
      </c>
      <c r="W1652" s="175"/>
      <c r="X1652" s="52" t="s">
        <v>769</v>
      </c>
      <c r="Y1652" s="175"/>
      <c r="Z1652" s="46" t="str">
        <f t="shared" si="1164"/>
        <v>C</v>
      </c>
      <c r="AA1652" s="123"/>
      <c r="AB1652" s="1459">
        <f t="shared" si="1156"/>
        <v>0</v>
      </c>
      <c r="AC1652" s="1460" t="str">
        <f t="shared" si="1157"/>
        <v>-</v>
      </c>
      <c r="AD1652" s="1459">
        <f t="shared" si="1158"/>
        <v>0</v>
      </c>
      <c r="AE1652" s="964" t="str">
        <f t="shared" si="1159"/>
        <v/>
      </c>
      <c r="AF1652" s="964" t="str">
        <f t="shared" si="1160"/>
        <v/>
      </c>
      <c r="AG1652" s="964" t="str">
        <f t="shared" si="1161"/>
        <v/>
      </c>
      <c r="AH1652" s="964" t="str">
        <f t="shared" si="1162"/>
        <v/>
      </c>
      <c r="AI1652" s="964" t="str">
        <f t="shared" si="1163"/>
        <v/>
      </c>
      <c r="AJ1652" s="964"/>
      <c r="AK1652" s="964"/>
      <c r="AL1652"/>
      <c r="AM1652"/>
      <c r="AN1652"/>
      <c r="AO1652"/>
      <c r="AP1652"/>
      <c r="AQ1652"/>
      <c r="AR1652"/>
      <c r="AS1652"/>
      <c r="AT1652"/>
      <c r="AU1652"/>
      <c r="AV1652"/>
      <c r="AW1652" s="9"/>
      <c r="AX1652" s="9"/>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s="1396"/>
      <c r="CB1652" s="1396"/>
      <c r="CC1652"/>
      <c r="CD1652"/>
      <c r="CE1652"/>
    </row>
    <row r="1653" spans="1:83" ht="13.5" outlineLevel="1" thickBot="1" x14ac:dyDescent="0.25">
      <c r="A1653"/>
      <c r="B1653" s="1"/>
      <c r="C1653" s="1"/>
      <c r="D1653" s="76"/>
      <c r="E1653" s="76"/>
      <c r="F1653" s="76"/>
      <c r="G1653" s="9"/>
      <c r="H1653" s="9"/>
      <c r="I1653" s="1"/>
      <c r="J1653"/>
      <c r="K1653"/>
      <c r="L1653"/>
      <c r="M1653"/>
      <c r="N1653"/>
      <c r="O1653"/>
      <c r="P1653" s="89"/>
      <c r="Q1653"/>
      <c r="R1653" s="1"/>
      <c r="S1653" s="993">
        <f>S1642+1</f>
        <v>12</v>
      </c>
      <c r="T1653" s="961"/>
      <c r="U1653" s="961"/>
      <c r="V1653" s="961"/>
      <c r="W1653" s="960"/>
      <c r="X1653" s="960"/>
      <c r="Y1653" s="960"/>
      <c r="Z1653" s="962"/>
      <c r="AA1653" s="123"/>
      <c r="AB1653" s="963"/>
      <c r="AC1653" s="963"/>
      <c r="AD1653" s="963"/>
      <c r="AE1653" s="964"/>
      <c r="AF1653" s="964"/>
      <c r="AG1653" s="964"/>
      <c r="AH1653" s="964"/>
      <c r="AI1653" s="964"/>
      <c r="AJ1653" s="964"/>
      <c r="AK1653" s="964"/>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s="1396"/>
      <c r="CB1653" s="1396"/>
      <c r="CC1653"/>
      <c r="CD1653"/>
      <c r="CE1653"/>
    </row>
    <row r="1654" spans="1:83" ht="13.9" customHeight="1" outlineLevel="2" thickBot="1" x14ac:dyDescent="0.25">
      <c r="A1654"/>
      <c r="B1654" s="1"/>
      <c r="C1654"/>
      <c r="D1654"/>
      <c r="E1654"/>
      <c r="F1654"/>
      <c r="G1654" s="1"/>
      <c r="H1654" s="1"/>
      <c r="I1654"/>
      <c r="J1654"/>
      <c r="K1654"/>
      <c r="L1654"/>
      <c r="M1654"/>
      <c r="N1654"/>
      <c r="O1654"/>
      <c r="P1654"/>
      <c r="Q1654"/>
      <c r="S1654" s="22" t="str">
        <f>N_Heure</f>
        <v>Heure</v>
      </c>
      <c r="T1654" s="22" t="str">
        <f>N_Table</f>
        <v>Table</v>
      </c>
      <c r="U1654" s="22" t="str">
        <f>N_Arbitre</f>
        <v>Arbitre</v>
      </c>
      <c r="V1654" s="293" t="str">
        <f>N_Matches</f>
        <v>Matches</v>
      </c>
      <c r="W1654" s="294"/>
      <c r="X1654" s="294"/>
      <c r="Y1654" s="294"/>
      <c r="Z1654" s="295"/>
      <c r="AA1654" s="8"/>
      <c r="AB1654" s="967"/>
      <c r="AC1654" s="967"/>
      <c r="AD1654" s="967"/>
      <c r="AE1654" s="964"/>
      <c r="AF1654" s="964"/>
      <c r="AG1654" s="964"/>
      <c r="AH1654" s="964"/>
      <c r="AI1654" s="964"/>
      <c r="AJ1654" s="964"/>
      <c r="AK1654" s="96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s="1396"/>
      <c r="CB1654" s="1396"/>
      <c r="CC1654"/>
      <c r="CD1654"/>
      <c r="CE1654"/>
    </row>
    <row r="1655" spans="1:83" ht="13.15" customHeight="1" outlineLevel="2" x14ac:dyDescent="0.2">
      <c r="A1655"/>
      <c r="B1655" s="1"/>
      <c r="C1655"/>
      <c r="D1655"/>
      <c r="E1655"/>
      <c r="F1655"/>
      <c r="G1655" s="1"/>
      <c r="H1655" s="1"/>
      <c r="I1655"/>
      <c r="J1655"/>
      <c r="K1655"/>
      <c r="L1655"/>
      <c r="M1655"/>
      <c r="N1655"/>
      <c r="O1655"/>
      <c r="P1655"/>
      <c r="Q1655"/>
      <c r="R1655" s="558" t="s">
        <v>3974</v>
      </c>
      <c r="S1655" s="65"/>
      <c r="T1655" s="953"/>
      <c r="U1655" s="954"/>
      <c r="V1655" s="34" t="str">
        <f>V1644</f>
        <v>R</v>
      </c>
      <c r="W1655" s="148"/>
      <c r="X1655" s="35" t="s">
        <v>769</v>
      </c>
      <c r="Y1655" s="148"/>
      <c r="Z1655" s="36" t="str">
        <f>Z1633</f>
        <v>A</v>
      </c>
      <c r="AA1655" s="123"/>
      <c r="AB1655" s="1459">
        <f t="shared" ref="AB1655:AB1663" si="1165">IF(MaxScore,MaxGoals(W1655,Y1655,MaxGoalsValue),IF(W1655="","",W1655))</f>
        <v>0</v>
      </c>
      <c r="AC1655" s="1460" t="str">
        <f t="shared" ref="AC1655:AC1663" si="1166">IF(MaxScore,"-",IF(W1655="","","-"))</f>
        <v>-</v>
      </c>
      <c r="AD1655" s="1459">
        <f t="shared" ref="AD1655:AD1663" si="1167">IF(MaxScore,MaxGoals(Y1655,W1655,MaxGoalsValue),IF(Y1655="","",Y1655))</f>
        <v>0</v>
      </c>
      <c r="AE1655" s="964" t="str">
        <f t="shared" ref="AE1655:AE1663" si="1168">IF(W1655="","",IF(W1655&gt;Y1655,V1655,IF(W1655=Y1655,"",Z1655)))</f>
        <v/>
      </c>
      <c r="AF1655" s="964" t="str">
        <f t="shared" ref="AF1655:AF1663" si="1169">IF(W1655="","",IF(W1655=Y1655,V1655,""))</f>
        <v/>
      </c>
      <c r="AG1655" s="964" t="str">
        <f t="shared" ref="AG1655:AG1663" si="1170">IF(W1655="","",IF(W1655=Y1655,Z1655,""))</f>
        <v/>
      </c>
      <c r="AH1655" s="964" t="str">
        <f t="shared" ref="AH1655:AH1663" si="1171">IF(W1655="","",IF(W1655&lt;Y1655,V1655,IF(W1655=Y1655,"",Z1655)))</f>
        <v/>
      </c>
      <c r="AI1655" s="964" t="str">
        <f t="shared" ref="AI1655:AI1663" si="1172">CONCATENATE(AE1655,AH1655)</f>
        <v/>
      </c>
      <c r="AJ1655" s="964"/>
      <c r="AK1655" s="964"/>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s="1396"/>
      <c r="CB1655" s="1396"/>
      <c r="CC1655"/>
      <c r="CD1655"/>
      <c r="CE1655"/>
    </row>
    <row r="1656" spans="1:83" ht="13.15" customHeight="1" outlineLevel="2" x14ac:dyDescent="0.2">
      <c r="A1656"/>
      <c r="B1656" s="1"/>
      <c r="C1656"/>
      <c r="D1656"/>
      <c r="E1656"/>
      <c r="F1656"/>
      <c r="G1656" s="1"/>
      <c r="H1656" s="1"/>
      <c r="I1656"/>
      <c r="J1656"/>
      <c r="K1656"/>
      <c r="L1656"/>
      <c r="M1656"/>
      <c r="N1656"/>
      <c r="O1656"/>
      <c r="P1656"/>
      <c r="Q1656"/>
      <c r="R1656" s="558" t="s">
        <v>3974</v>
      </c>
      <c r="S1656" s="83"/>
      <c r="T1656" s="56"/>
      <c r="U1656" s="955"/>
      <c r="V1656" s="43" t="str">
        <f t="shared" ref="V1656:V1662" si="1173">Z1644</f>
        <v>S</v>
      </c>
      <c r="W1656" s="10"/>
      <c r="X1656" s="45" t="s">
        <v>769</v>
      </c>
      <c r="Y1656" s="10"/>
      <c r="Z1656" s="46" t="str">
        <f t="shared" ref="Z1656:Z1662" si="1174">V1646</f>
        <v>N</v>
      </c>
      <c r="AA1656" s="123"/>
      <c r="AB1656" s="1459">
        <f t="shared" si="1165"/>
        <v>0</v>
      </c>
      <c r="AC1656" s="1460" t="str">
        <f t="shared" si="1166"/>
        <v>-</v>
      </c>
      <c r="AD1656" s="1459">
        <f t="shared" si="1167"/>
        <v>0</v>
      </c>
      <c r="AE1656" s="964" t="str">
        <f t="shared" si="1168"/>
        <v/>
      </c>
      <c r="AF1656" s="964" t="str">
        <f t="shared" si="1169"/>
        <v/>
      </c>
      <c r="AG1656" s="964" t="str">
        <f t="shared" si="1170"/>
        <v/>
      </c>
      <c r="AH1656" s="964" t="str">
        <f t="shared" si="1171"/>
        <v/>
      </c>
      <c r="AI1656" s="964" t="str">
        <f t="shared" si="1172"/>
        <v/>
      </c>
      <c r="AJ1656" s="964"/>
      <c r="AK1656" s="964"/>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s="1396"/>
      <c r="CB1656" s="1396"/>
      <c r="CC1656"/>
      <c r="CD1656"/>
      <c r="CE1656"/>
    </row>
    <row r="1657" spans="1:83" ht="13.15" customHeight="1" outlineLevel="2" x14ac:dyDescent="0.2">
      <c r="A1657"/>
      <c r="B1657" s="1"/>
      <c r="C1657"/>
      <c r="D1657"/>
      <c r="E1657"/>
      <c r="F1657"/>
      <c r="G1657" s="1"/>
      <c r="H1657" s="1"/>
      <c r="I1657"/>
      <c r="J1657"/>
      <c r="K1657"/>
      <c r="L1657"/>
      <c r="M1657"/>
      <c r="N1657"/>
      <c r="O1657"/>
      <c r="P1657"/>
      <c r="Q1657"/>
      <c r="R1657" s="558" t="s">
        <v>3974</v>
      </c>
      <c r="S1657" s="83"/>
      <c r="T1657" s="56"/>
      <c r="U1657" s="955"/>
      <c r="V1657" s="43" t="str">
        <f>Z1645</f>
        <v>Q</v>
      </c>
      <c r="W1657" s="10"/>
      <c r="X1657" s="45" t="s">
        <v>769</v>
      </c>
      <c r="Y1657" s="10"/>
      <c r="Z1657" s="46" t="str">
        <f t="shared" si="1174"/>
        <v>L</v>
      </c>
      <c r="AA1657" s="123"/>
      <c r="AB1657" s="1459">
        <f t="shared" si="1165"/>
        <v>0</v>
      </c>
      <c r="AC1657" s="1460" t="str">
        <f t="shared" si="1166"/>
        <v>-</v>
      </c>
      <c r="AD1657" s="1459">
        <f t="shared" si="1167"/>
        <v>0</v>
      </c>
      <c r="AE1657" s="964" t="str">
        <f t="shared" si="1168"/>
        <v/>
      </c>
      <c r="AF1657" s="964" t="str">
        <f t="shared" si="1169"/>
        <v/>
      </c>
      <c r="AG1657" s="964" t="str">
        <f t="shared" si="1170"/>
        <v/>
      </c>
      <c r="AH1657" s="964" t="str">
        <f t="shared" si="1171"/>
        <v/>
      </c>
      <c r="AI1657" s="964" t="str">
        <f t="shared" si="1172"/>
        <v/>
      </c>
      <c r="AJ1657" s="964"/>
      <c r="AK1657" s="964"/>
      <c r="AL1657"/>
      <c r="AM1657"/>
      <c r="AN1657"/>
      <c r="AO1657"/>
      <c r="AP1657"/>
      <c r="AQ1657"/>
      <c r="AR1657"/>
      <c r="AS1657"/>
      <c r="AT1657"/>
      <c r="AU1657"/>
      <c r="AV1657"/>
      <c r="AW1657"/>
      <c r="AX1657" s="9"/>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s="1396"/>
      <c r="CB1657" s="1396"/>
      <c r="CC1657"/>
      <c r="CD1657"/>
      <c r="CE1657"/>
    </row>
    <row r="1658" spans="1:83" ht="13.15" customHeight="1" outlineLevel="2" x14ac:dyDescent="0.2">
      <c r="A1658"/>
      <c r="B1658" s="1"/>
      <c r="C1658"/>
      <c r="D1658"/>
      <c r="E1658"/>
      <c r="F1658"/>
      <c r="G1658" s="1"/>
      <c r="H1658" s="1"/>
      <c r="I1658"/>
      <c r="J1658"/>
      <c r="K1658"/>
      <c r="L1658"/>
      <c r="M1658"/>
      <c r="N1658"/>
      <c r="O1658"/>
      <c r="P1658"/>
      <c r="Q1658"/>
      <c r="R1658" s="558" t="s">
        <v>3974</v>
      </c>
      <c r="S1658" s="83"/>
      <c r="T1658" s="56"/>
      <c r="U1658" s="955"/>
      <c r="V1658" s="43" t="str">
        <f t="shared" si="1173"/>
        <v>O</v>
      </c>
      <c r="W1658" s="10"/>
      <c r="X1658" s="45" t="s">
        <v>769</v>
      </c>
      <c r="Y1658" s="10"/>
      <c r="Z1658" s="46" t="str">
        <f t="shared" si="1174"/>
        <v>J</v>
      </c>
      <c r="AA1658" s="123"/>
      <c r="AB1658" s="1459">
        <f t="shared" si="1165"/>
        <v>0</v>
      </c>
      <c r="AC1658" s="1460" t="str">
        <f t="shared" si="1166"/>
        <v>-</v>
      </c>
      <c r="AD1658" s="1459">
        <f t="shared" si="1167"/>
        <v>0</v>
      </c>
      <c r="AE1658" s="964" t="str">
        <f t="shared" si="1168"/>
        <v/>
      </c>
      <c r="AF1658" s="964" t="str">
        <f t="shared" si="1169"/>
        <v/>
      </c>
      <c r="AG1658" s="964" t="str">
        <f t="shared" si="1170"/>
        <v/>
      </c>
      <c r="AH1658" s="964" t="str">
        <f t="shared" si="1171"/>
        <v/>
      </c>
      <c r="AI1658" s="964" t="str">
        <f t="shared" si="1172"/>
        <v/>
      </c>
      <c r="AJ1658" s="964"/>
      <c r="AK1658" s="964"/>
      <c r="AL1658"/>
      <c r="AM1658"/>
      <c r="AN1658"/>
      <c r="AO1658"/>
      <c r="AP1658"/>
      <c r="AQ1658"/>
      <c r="AR1658"/>
      <c r="AS1658"/>
      <c r="AT1658"/>
      <c r="AU1658"/>
      <c r="AV1658"/>
      <c r="AW1658" s="9"/>
      <c r="AX1658" s="9"/>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s="1396"/>
      <c r="CB1658" s="1396"/>
      <c r="CC1658"/>
      <c r="CD1658"/>
      <c r="CE1658"/>
    </row>
    <row r="1659" spans="1:83" ht="13.15" customHeight="1" outlineLevel="2" x14ac:dyDescent="0.2">
      <c r="A1659"/>
      <c r="B1659" s="1"/>
      <c r="C1659"/>
      <c r="D1659"/>
      <c r="E1659"/>
      <c r="F1659"/>
      <c r="G1659" s="1"/>
      <c r="H1659" s="1"/>
      <c r="I1659"/>
      <c r="J1659"/>
      <c r="K1659"/>
      <c r="L1659"/>
      <c r="M1659"/>
      <c r="N1659"/>
      <c r="O1659"/>
      <c r="P1659"/>
      <c r="Q1659"/>
      <c r="R1659" s="558" t="s">
        <v>3974</v>
      </c>
      <c r="S1659" s="83"/>
      <c r="T1659" s="56"/>
      <c r="U1659" s="955"/>
      <c r="V1659" s="43" t="str">
        <f>Z1647</f>
        <v>M</v>
      </c>
      <c r="W1659" s="10"/>
      <c r="X1659" s="45" t="s">
        <v>769</v>
      </c>
      <c r="Y1659" s="10"/>
      <c r="Z1659" s="46" t="str">
        <f t="shared" si="1174"/>
        <v>H</v>
      </c>
      <c r="AA1659" s="123"/>
      <c r="AB1659" s="1459">
        <f t="shared" si="1165"/>
        <v>0</v>
      </c>
      <c r="AC1659" s="1460" t="str">
        <f t="shared" si="1166"/>
        <v>-</v>
      </c>
      <c r="AD1659" s="1459">
        <f t="shared" si="1167"/>
        <v>0</v>
      </c>
      <c r="AE1659" s="964" t="str">
        <f t="shared" si="1168"/>
        <v/>
      </c>
      <c r="AF1659" s="964" t="str">
        <f t="shared" si="1169"/>
        <v/>
      </c>
      <c r="AG1659" s="964" t="str">
        <f t="shared" si="1170"/>
        <v/>
      </c>
      <c r="AH1659" s="964" t="str">
        <f t="shared" si="1171"/>
        <v/>
      </c>
      <c r="AI1659" s="964" t="str">
        <f t="shared" si="1172"/>
        <v/>
      </c>
      <c r="AJ1659" s="964"/>
      <c r="AK1659" s="964"/>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s="1396"/>
      <c r="CB1659" s="1396"/>
      <c r="CC1659"/>
      <c r="CD1659"/>
      <c r="CE1659"/>
    </row>
    <row r="1660" spans="1:83" ht="13.15" customHeight="1" outlineLevel="2" x14ac:dyDescent="0.2">
      <c r="A1660"/>
      <c r="B1660" s="1"/>
      <c r="C1660"/>
      <c r="D1660"/>
      <c r="E1660"/>
      <c r="F1660"/>
      <c r="G1660" s="1"/>
      <c r="H1660" s="1"/>
      <c r="I1660"/>
      <c r="J1660"/>
      <c r="K1660"/>
      <c r="L1660"/>
      <c r="M1660"/>
      <c r="N1660"/>
      <c r="O1660"/>
      <c r="P1660"/>
      <c r="Q1660"/>
      <c r="R1660" s="558" t="s">
        <v>3974</v>
      </c>
      <c r="S1660" s="83"/>
      <c r="T1660" s="56"/>
      <c r="U1660" s="955"/>
      <c r="V1660" s="43" t="str">
        <f t="shared" si="1173"/>
        <v>K</v>
      </c>
      <c r="W1660" s="10"/>
      <c r="X1660" s="45" t="s">
        <v>769</v>
      </c>
      <c r="Y1660" s="10"/>
      <c r="Z1660" s="46" t="str">
        <f t="shared" si="1174"/>
        <v>F</v>
      </c>
      <c r="AA1660" s="123"/>
      <c r="AB1660" s="1459">
        <f t="shared" si="1165"/>
        <v>0</v>
      </c>
      <c r="AC1660" s="1460" t="str">
        <f t="shared" si="1166"/>
        <v>-</v>
      </c>
      <c r="AD1660" s="1459">
        <f t="shared" si="1167"/>
        <v>0</v>
      </c>
      <c r="AE1660" s="964" t="str">
        <f t="shared" si="1168"/>
        <v/>
      </c>
      <c r="AF1660" s="964" t="str">
        <f t="shared" si="1169"/>
        <v/>
      </c>
      <c r="AG1660" s="964" t="str">
        <f t="shared" si="1170"/>
        <v/>
      </c>
      <c r="AH1660" s="964" t="str">
        <f t="shared" si="1171"/>
        <v/>
      </c>
      <c r="AI1660" s="964" t="str">
        <f t="shared" si="1172"/>
        <v/>
      </c>
      <c r="AJ1660" s="964"/>
      <c r="AK1660" s="964"/>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s="1396"/>
      <c r="CB1660" s="1396"/>
      <c r="CC1660"/>
      <c r="CD1660"/>
      <c r="CE1660"/>
    </row>
    <row r="1661" spans="1:83" ht="13.15" customHeight="1" outlineLevel="2" x14ac:dyDescent="0.2">
      <c r="A1661"/>
      <c r="B1661" s="1"/>
      <c r="C1661"/>
      <c r="D1661"/>
      <c r="E1661"/>
      <c r="F1661"/>
      <c r="G1661" s="1"/>
      <c r="H1661" s="1"/>
      <c r="I1661"/>
      <c r="J1661"/>
      <c r="K1661"/>
      <c r="L1661"/>
      <c r="M1661"/>
      <c r="N1661"/>
      <c r="O1661"/>
      <c r="P1661"/>
      <c r="Q1661"/>
      <c r="R1661" s="558" t="s">
        <v>3974</v>
      </c>
      <c r="S1661" s="83"/>
      <c r="T1661" s="56"/>
      <c r="U1661" s="955"/>
      <c r="V1661" s="43" t="str">
        <f>Z1649</f>
        <v>I</v>
      </c>
      <c r="W1661" s="10"/>
      <c r="X1661" s="45" t="s">
        <v>769</v>
      </c>
      <c r="Y1661" s="10"/>
      <c r="Z1661" s="46" t="str">
        <f t="shared" si="1174"/>
        <v>D</v>
      </c>
      <c r="AA1661" s="123"/>
      <c r="AB1661" s="1459">
        <f t="shared" si="1165"/>
        <v>0</v>
      </c>
      <c r="AC1661" s="1460" t="str">
        <f t="shared" si="1166"/>
        <v>-</v>
      </c>
      <c r="AD1661" s="1459">
        <f t="shared" si="1167"/>
        <v>0</v>
      </c>
      <c r="AE1661" s="964" t="str">
        <f t="shared" si="1168"/>
        <v/>
      </c>
      <c r="AF1661" s="964" t="str">
        <f t="shared" si="1169"/>
        <v/>
      </c>
      <c r="AG1661" s="964" t="str">
        <f t="shared" si="1170"/>
        <v/>
      </c>
      <c r="AH1661" s="964" t="str">
        <f t="shared" si="1171"/>
        <v/>
      </c>
      <c r="AI1661" s="964" t="str">
        <f t="shared" si="1172"/>
        <v/>
      </c>
      <c r="AJ1661" s="964"/>
      <c r="AK1661" s="964"/>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s="1396"/>
      <c r="CB1661" s="1396"/>
      <c r="CC1661"/>
      <c r="CD1661"/>
      <c r="CE1661"/>
    </row>
    <row r="1662" spans="1:83" ht="13.15" customHeight="1" outlineLevel="2" x14ac:dyDescent="0.2">
      <c r="A1662"/>
      <c r="B1662" s="1"/>
      <c r="C1662"/>
      <c r="D1662"/>
      <c r="E1662"/>
      <c r="F1662"/>
      <c r="G1662" s="1"/>
      <c r="H1662" s="1"/>
      <c r="I1662"/>
      <c r="J1662"/>
      <c r="K1662"/>
      <c r="L1662"/>
      <c r="M1662"/>
      <c r="N1662"/>
      <c r="O1662"/>
      <c r="P1662"/>
      <c r="Q1662"/>
      <c r="R1662" s="558" t="s">
        <v>3974</v>
      </c>
      <c r="S1662" s="83"/>
      <c r="T1662" s="56"/>
      <c r="U1662" s="955"/>
      <c r="V1662" s="43" t="str">
        <f t="shared" si="1173"/>
        <v>G</v>
      </c>
      <c r="W1662" s="10"/>
      <c r="X1662" s="45" t="s">
        <v>769</v>
      </c>
      <c r="Y1662" s="10"/>
      <c r="Z1662" s="46" t="str">
        <f t="shared" si="1174"/>
        <v>B</v>
      </c>
      <c r="AA1662" s="123"/>
      <c r="AB1662" s="1459">
        <f t="shared" si="1165"/>
        <v>0</v>
      </c>
      <c r="AC1662" s="1460" t="str">
        <f t="shared" si="1166"/>
        <v>-</v>
      </c>
      <c r="AD1662" s="1459">
        <f t="shared" si="1167"/>
        <v>0</v>
      </c>
      <c r="AE1662" s="964" t="str">
        <f t="shared" si="1168"/>
        <v/>
      </c>
      <c r="AF1662" s="964" t="str">
        <f t="shared" si="1169"/>
        <v/>
      </c>
      <c r="AG1662" s="964" t="str">
        <f t="shared" si="1170"/>
        <v/>
      </c>
      <c r="AH1662" s="964" t="str">
        <f t="shared" si="1171"/>
        <v/>
      </c>
      <c r="AI1662" s="964" t="str">
        <f t="shared" si="1172"/>
        <v/>
      </c>
      <c r="AJ1662" s="964"/>
      <c r="AK1662" s="964"/>
      <c r="AL1662"/>
      <c r="AM1662"/>
      <c r="AN1662"/>
      <c r="AO1662"/>
      <c r="AP1662"/>
      <c r="AQ1662"/>
      <c r="AR1662"/>
      <c r="AS1662"/>
      <c r="AT1662"/>
      <c r="AU1662"/>
      <c r="AV1662"/>
      <c r="AW1662"/>
      <c r="AX1662" s="9"/>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s="1396"/>
      <c r="CB1662" s="1396"/>
      <c r="CC1662"/>
      <c r="CD1662"/>
      <c r="CE1662"/>
    </row>
    <row r="1663" spans="1:83" ht="13.9" customHeight="1" outlineLevel="2" thickBot="1" x14ac:dyDescent="0.25">
      <c r="A1663"/>
      <c r="B1663" s="1"/>
      <c r="C1663"/>
      <c r="D1663"/>
      <c r="E1663"/>
      <c r="F1663"/>
      <c r="G1663" s="1"/>
      <c r="H1663" s="1"/>
      <c r="I1663"/>
      <c r="J1663"/>
      <c r="K1663"/>
      <c r="L1663"/>
      <c r="M1663"/>
      <c r="N1663"/>
      <c r="O1663"/>
      <c r="P1663"/>
      <c r="Q1663"/>
      <c r="R1663" s="558" t="s">
        <v>3974</v>
      </c>
      <c r="S1663" s="956"/>
      <c r="T1663" s="58"/>
      <c r="U1663" s="957"/>
      <c r="V1663" s="958" t="str">
        <f>Z1651</f>
        <v>E</v>
      </c>
      <c r="W1663" s="175"/>
      <c r="X1663" s="52" t="s">
        <v>769</v>
      </c>
      <c r="Y1663" s="175"/>
      <c r="Z1663" s="959" t="str">
        <f>Z1652</f>
        <v>C</v>
      </c>
      <c r="AA1663" s="123"/>
      <c r="AB1663" s="1459">
        <f t="shared" si="1165"/>
        <v>0</v>
      </c>
      <c r="AC1663" s="1460" t="str">
        <f t="shared" si="1166"/>
        <v>-</v>
      </c>
      <c r="AD1663" s="1459">
        <f t="shared" si="1167"/>
        <v>0</v>
      </c>
      <c r="AE1663" s="964" t="str">
        <f t="shared" si="1168"/>
        <v/>
      </c>
      <c r="AF1663" s="964" t="str">
        <f t="shared" si="1169"/>
        <v/>
      </c>
      <c r="AG1663" s="964" t="str">
        <f t="shared" si="1170"/>
        <v/>
      </c>
      <c r="AH1663" s="964" t="str">
        <f t="shared" si="1171"/>
        <v/>
      </c>
      <c r="AI1663" s="964" t="str">
        <f t="shared" si="1172"/>
        <v/>
      </c>
      <c r="AJ1663" s="964"/>
      <c r="AK1663" s="964"/>
      <c r="AL1663"/>
      <c r="AM1663"/>
      <c r="AN1663"/>
      <c r="AO1663"/>
      <c r="AP1663"/>
      <c r="AQ1663"/>
      <c r="AR1663"/>
      <c r="AS1663"/>
      <c r="AT1663"/>
      <c r="AU1663"/>
      <c r="AV1663"/>
      <c r="AW1663" s="9"/>
      <c r="AX1663" s="9"/>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s="1396"/>
      <c r="CB1663" s="1396"/>
      <c r="CC1663"/>
      <c r="CD1663"/>
      <c r="CE1663"/>
    </row>
    <row r="1664" spans="1:83" ht="13.5" outlineLevel="1" thickBot="1" x14ac:dyDescent="0.25">
      <c r="A1664"/>
      <c r="B1664" s="1"/>
      <c r="C1664" s="1"/>
      <c r="D1664" s="76"/>
      <c r="E1664" s="76"/>
      <c r="F1664" s="76"/>
      <c r="G1664" s="9"/>
      <c r="H1664" s="9"/>
      <c r="I1664" s="1"/>
      <c r="J1664"/>
      <c r="K1664"/>
      <c r="L1664"/>
      <c r="M1664"/>
      <c r="N1664"/>
      <c r="O1664"/>
      <c r="P1664" s="89"/>
      <c r="Q1664"/>
      <c r="R1664" s="1"/>
      <c r="S1664" s="993">
        <f>S1653+1</f>
        <v>13</v>
      </c>
      <c r="T1664" s="961"/>
      <c r="U1664" s="961"/>
      <c r="V1664" s="961"/>
      <c r="W1664" s="960"/>
      <c r="X1664" s="960"/>
      <c r="Y1664" s="960"/>
      <c r="Z1664" s="962"/>
      <c r="AA1664" s="123"/>
      <c r="AB1664" s="963"/>
      <c r="AC1664" s="963"/>
      <c r="AD1664" s="963"/>
      <c r="AE1664" s="964"/>
      <c r="AF1664" s="964"/>
      <c r="AG1664" s="964"/>
      <c r="AH1664" s="964"/>
      <c r="AI1664" s="964"/>
      <c r="AJ1664" s="964"/>
      <c r="AK1664" s="9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s="1396"/>
      <c r="CB1664" s="1396"/>
      <c r="CC1664"/>
      <c r="CD1664"/>
      <c r="CE1664"/>
    </row>
    <row r="1665" spans="1:83" ht="13.9" customHeight="1" outlineLevel="2" thickBot="1" x14ac:dyDescent="0.25">
      <c r="A1665"/>
      <c r="B1665" s="1"/>
      <c r="C1665"/>
      <c r="D1665"/>
      <c r="E1665"/>
      <c r="F1665"/>
      <c r="G1665" s="1"/>
      <c r="H1665" s="1"/>
      <c r="I1665"/>
      <c r="J1665"/>
      <c r="K1665"/>
      <c r="L1665"/>
      <c r="M1665"/>
      <c r="N1665"/>
      <c r="O1665"/>
      <c r="P1665"/>
      <c r="Q1665"/>
      <c r="S1665" s="22" t="str">
        <f>N_Heure</f>
        <v>Heure</v>
      </c>
      <c r="T1665" s="22" t="str">
        <f>N_Table</f>
        <v>Table</v>
      </c>
      <c r="U1665" s="22" t="str">
        <f>N_Arbitre</f>
        <v>Arbitre</v>
      </c>
      <c r="V1665" s="293" t="str">
        <f>N_Matches</f>
        <v>Matches</v>
      </c>
      <c r="W1665" s="294"/>
      <c r="X1665" s="294"/>
      <c r="Y1665" s="294"/>
      <c r="Z1665" s="295"/>
      <c r="AA1665" s="8"/>
      <c r="AB1665" s="967"/>
      <c r="AC1665" s="967"/>
      <c r="AD1665" s="967"/>
      <c r="AE1665" s="964"/>
      <c r="AF1665" s="964"/>
      <c r="AG1665" s="964"/>
      <c r="AH1665" s="964"/>
      <c r="AI1665" s="964"/>
      <c r="AJ1665" s="964"/>
      <c r="AK1665" s="964"/>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s="1396"/>
      <c r="CB1665" s="1396"/>
      <c r="CC1665"/>
      <c r="CD1665"/>
      <c r="CE1665"/>
    </row>
    <row r="1666" spans="1:83" ht="13.15" customHeight="1" outlineLevel="2" x14ac:dyDescent="0.2">
      <c r="A1666"/>
      <c r="B1666" s="1"/>
      <c r="C1666"/>
      <c r="D1666"/>
      <c r="E1666"/>
      <c r="F1666"/>
      <c r="G1666" s="1"/>
      <c r="H1666" s="1"/>
      <c r="I1666"/>
      <c r="J1666"/>
      <c r="K1666"/>
      <c r="L1666"/>
      <c r="M1666"/>
      <c r="N1666"/>
      <c r="O1666"/>
      <c r="P1666"/>
      <c r="Q1666"/>
      <c r="R1666" s="558" t="s">
        <v>3975</v>
      </c>
      <c r="S1666" s="65"/>
      <c r="T1666" s="953"/>
      <c r="U1666" s="954"/>
      <c r="V1666" s="34" t="str">
        <f>Z1655</f>
        <v>A</v>
      </c>
      <c r="W1666" s="148"/>
      <c r="X1666" s="35" t="s">
        <v>769</v>
      </c>
      <c r="Y1666" s="148"/>
      <c r="Z1666" s="36" t="str">
        <f>V1645</f>
        <v>P</v>
      </c>
      <c r="AA1666" s="123"/>
      <c r="AB1666" s="1459">
        <f t="shared" ref="AB1666:AB1674" si="1175">IF(MaxScore,MaxGoals(W1666,Y1666,MaxGoalsValue),IF(W1666="","",W1666))</f>
        <v>0</v>
      </c>
      <c r="AC1666" s="1460" t="str">
        <f t="shared" ref="AC1666:AC1674" si="1176">IF(MaxScore,"-",IF(W1666="","","-"))</f>
        <v>-</v>
      </c>
      <c r="AD1666" s="1459">
        <f t="shared" ref="AD1666:AD1674" si="1177">IF(MaxScore,MaxGoals(Y1666,W1666,MaxGoalsValue),IF(Y1666="","",Y1666))</f>
        <v>0</v>
      </c>
      <c r="AE1666" s="964" t="str">
        <f t="shared" ref="AE1666:AE1674" si="1178">IF(W1666="","",IF(W1666&gt;Y1666,V1666,IF(W1666=Y1666,"",Z1666)))</f>
        <v/>
      </c>
      <c r="AF1666" s="964" t="str">
        <f t="shared" ref="AF1666:AF1674" si="1179">IF(W1666="","",IF(W1666=Y1666,V1666,""))</f>
        <v/>
      </c>
      <c r="AG1666" s="964" t="str">
        <f t="shared" ref="AG1666:AG1674" si="1180">IF(W1666="","",IF(W1666=Y1666,Z1666,""))</f>
        <v/>
      </c>
      <c r="AH1666" s="964" t="str">
        <f t="shared" ref="AH1666:AH1674" si="1181">IF(W1666="","",IF(W1666&lt;Y1666,V1666,IF(W1666=Y1666,"",Z1666)))</f>
        <v/>
      </c>
      <c r="AI1666" s="964" t="str">
        <f t="shared" ref="AI1666:AI1674" si="1182">CONCATENATE(AE1666,AH1666)</f>
        <v/>
      </c>
      <c r="AJ1666" s="964"/>
      <c r="AK1666" s="964"/>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s="1396"/>
      <c r="CB1666" s="1396"/>
      <c r="CC1666"/>
      <c r="CD1666"/>
      <c r="CE1666"/>
    </row>
    <row r="1667" spans="1:83" ht="13.15" customHeight="1" outlineLevel="2" x14ac:dyDescent="0.2">
      <c r="A1667"/>
      <c r="B1667" s="1"/>
      <c r="C1667"/>
      <c r="D1667"/>
      <c r="E1667"/>
      <c r="F1667"/>
      <c r="G1667" s="1"/>
      <c r="H1667" s="1"/>
      <c r="I1667"/>
      <c r="J1667"/>
      <c r="K1667"/>
      <c r="L1667"/>
      <c r="M1667"/>
      <c r="N1667"/>
      <c r="O1667"/>
      <c r="P1667"/>
      <c r="Q1667"/>
      <c r="R1667" s="558" t="s">
        <v>3975</v>
      </c>
      <c r="S1667" s="83"/>
      <c r="T1667" s="56"/>
      <c r="U1667" s="955"/>
      <c r="V1667" s="43" t="str">
        <f>Z1656</f>
        <v>N</v>
      </c>
      <c r="W1667" s="10"/>
      <c r="X1667" s="45" t="s">
        <v>769</v>
      </c>
      <c r="Y1667" s="10"/>
      <c r="Z1667" s="46" t="str">
        <f>V1655</f>
        <v>R</v>
      </c>
      <c r="AA1667" s="123"/>
      <c r="AB1667" s="1459">
        <f t="shared" si="1175"/>
        <v>0</v>
      </c>
      <c r="AC1667" s="1460" t="str">
        <f t="shared" si="1176"/>
        <v>-</v>
      </c>
      <c r="AD1667" s="1459">
        <f t="shared" si="1177"/>
        <v>0</v>
      </c>
      <c r="AE1667" s="964" t="str">
        <f t="shared" si="1178"/>
        <v/>
      </c>
      <c r="AF1667" s="964" t="str">
        <f t="shared" si="1179"/>
        <v/>
      </c>
      <c r="AG1667" s="964" t="str">
        <f t="shared" si="1180"/>
        <v/>
      </c>
      <c r="AH1667" s="964" t="str">
        <f t="shared" si="1181"/>
        <v/>
      </c>
      <c r="AI1667" s="964" t="str">
        <f t="shared" si="1182"/>
        <v/>
      </c>
      <c r="AJ1667" s="964"/>
      <c r="AK1667" s="964"/>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s="1396"/>
      <c r="CB1667" s="1396"/>
      <c r="CC1667"/>
      <c r="CD1667"/>
      <c r="CE1667"/>
    </row>
    <row r="1668" spans="1:83" ht="13.15" customHeight="1" outlineLevel="2" x14ac:dyDescent="0.2">
      <c r="A1668"/>
      <c r="B1668" s="1"/>
      <c r="C1668"/>
      <c r="D1668"/>
      <c r="E1668"/>
      <c r="F1668"/>
      <c r="G1668" s="1"/>
      <c r="H1668" s="1"/>
      <c r="I1668"/>
      <c r="J1668"/>
      <c r="K1668"/>
      <c r="L1668"/>
      <c r="M1668"/>
      <c r="N1668"/>
      <c r="O1668"/>
      <c r="P1668"/>
      <c r="Q1668"/>
      <c r="R1668" s="558" t="s">
        <v>3975</v>
      </c>
      <c r="S1668" s="83"/>
      <c r="T1668" s="56"/>
      <c r="U1668" s="955"/>
      <c r="V1668" s="43" t="str">
        <f t="shared" ref="V1668:V1673" si="1183">Z1658</f>
        <v>J</v>
      </c>
      <c r="W1668" s="10"/>
      <c r="X1668" s="45" t="s">
        <v>769</v>
      </c>
      <c r="Y1668" s="10"/>
      <c r="Z1668" s="46" t="str">
        <f t="shared" ref="Z1668:Z1674" si="1184">V1656</f>
        <v>S</v>
      </c>
      <c r="AA1668" s="123"/>
      <c r="AB1668" s="1459">
        <f t="shared" si="1175"/>
        <v>0</v>
      </c>
      <c r="AC1668" s="1460" t="str">
        <f t="shared" si="1176"/>
        <v>-</v>
      </c>
      <c r="AD1668" s="1459">
        <f t="shared" si="1177"/>
        <v>0</v>
      </c>
      <c r="AE1668" s="964" t="str">
        <f t="shared" si="1178"/>
        <v/>
      </c>
      <c r="AF1668" s="964" t="str">
        <f t="shared" si="1179"/>
        <v/>
      </c>
      <c r="AG1668" s="964" t="str">
        <f t="shared" si="1180"/>
        <v/>
      </c>
      <c r="AH1668" s="964" t="str">
        <f t="shared" si="1181"/>
        <v/>
      </c>
      <c r="AI1668" s="964" t="str">
        <f t="shared" si="1182"/>
        <v/>
      </c>
      <c r="AJ1668" s="964"/>
      <c r="AK1668" s="964"/>
      <c r="AL1668"/>
      <c r="AM1668"/>
      <c r="AN1668"/>
      <c r="AO1668"/>
      <c r="AP1668"/>
      <c r="AQ1668"/>
      <c r="AR1668"/>
      <c r="AS1668"/>
      <c r="AT1668"/>
      <c r="AU1668"/>
      <c r="AV1668"/>
      <c r="AW1668"/>
      <c r="AX1668" s="9"/>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s="1396"/>
      <c r="CB1668" s="1396"/>
      <c r="CC1668"/>
      <c r="CD1668"/>
      <c r="CE1668"/>
    </row>
    <row r="1669" spans="1:83" ht="13.15" customHeight="1" outlineLevel="2" x14ac:dyDescent="0.2">
      <c r="A1669"/>
      <c r="B1669" s="1"/>
      <c r="C1669"/>
      <c r="D1669"/>
      <c r="E1669"/>
      <c r="F1669"/>
      <c r="G1669" s="1"/>
      <c r="H1669" s="1"/>
      <c r="I1669"/>
      <c r="J1669"/>
      <c r="K1669"/>
      <c r="L1669"/>
      <c r="M1669"/>
      <c r="N1669"/>
      <c r="O1669"/>
      <c r="P1669"/>
      <c r="Q1669"/>
      <c r="R1669" s="558" t="s">
        <v>3975</v>
      </c>
      <c r="S1669" s="83"/>
      <c r="T1669" s="56"/>
      <c r="U1669" s="955"/>
      <c r="V1669" s="43" t="str">
        <f t="shared" si="1183"/>
        <v>H</v>
      </c>
      <c r="W1669" s="10"/>
      <c r="X1669" s="45" t="s">
        <v>769</v>
      </c>
      <c r="Y1669" s="10"/>
      <c r="Z1669" s="46" t="str">
        <f>V1657</f>
        <v>Q</v>
      </c>
      <c r="AA1669" s="123"/>
      <c r="AB1669" s="1459">
        <f t="shared" si="1175"/>
        <v>0</v>
      </c>
      <c r="AC1669" s="1460" t="str">
        <f t="shared" si="1176"/>
        <v>-</v>
      </c>
      <c r="AD1669" s="1459">
        <f t="shared" si="1177"/>
        <v>0</v>
      </c>
      <c r="AE1669" s="964" t="str">
        <f t="shared" si="1178"/>
        <v/>
      </c>
      <c r="AF1669" s="964" t="str">
        <f t="shared" si="1179"/>
        <v/>
      </c>
      <c r="AG1669" s="964" t="str">
        <f t="shared" si="1180"/>
        <v/>
      </c>
      <c r="AH1669" s="964" t="str">
        <f t="shared" si="1181"/>
        <v/>
      </c>
      <c r="AI1669" s="964" t="str">
        <f t="shared" si="1182"/>
        <v/>
      </c>
      <c r="AJ1669" s="964"/>
      <c r="AK1669" s="964"/>
      <c r="AL1669"/>
      <c r="AM1669"/>
      <c r="AN1669"/>
      <c r="AO1669"/>
      <c r="AP1669"/>
      <c r="AQ1669"/>
      <c r="AR1669"/>
      <c r="AS1669"/>
      <c r="AT1669"/>
      <c r="AU1669"/>
      <c r="AV1669"/>
      <c r="AW1669" s="9"/>
      <c r="AX1669" s="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s="1396"/>
      <c r="CB1669" s="1396"/>
      <c r="CC1669"/>
      <c r="CD1669"/>
      <c r="CE1669"/>
    </row>
    <row r="1670" spans="1:83" ht="13.15" customHeight="1" outlineLevel="2" x14ac:dyDescent="0.2">
      <c r="A1670"/>
      <c r="B1670" s="1"/>
      <c r="C1670"/>
      <c r="D1670"/>
      <c r="E1670"/>
      <c r="F1670"/>
      <c r="G1670" s="1"/>
      <c r="H1670" s="1"/>
      <c r="I1670"/>
      <c r="J1670"/>
      <c r="K1670"/>
      <c r="L1670"/>
      <c r="M1670"/>
      <c r="N1670"/>
      <c r="O1670"/>
      <c r="P1670"/>
      <c r="Q1670"/>
      <c r="R1670" s="558" t="s">
        <v>3975</v>
      </c>
      <c r="S1670" s="83"/>
      <c r="T1670" s="56"/>
      <c r="U1670" s="955"/>
      <c r="V1670" s="43" t="str">
        <f t="shared" si="1183"/>
        <v>F</v>
      </c>
      <c r="W1670" s="10"/>
      <c r="X1670" s="45" t="s">
        <v>769</v>
      </c>
      <c r="Y1670" s="10"/>
      <c r="Z1670" s="46" t="str">
        <f t="shared" si="1184"/>
        <v>O</v>
      </c>
      <c r="AA1670" s="123"/>
      <c r="AB1670" s="1459">
        <f t="shared" si="1175"/>
        <v>0</v>
      </c>
      <c r="AC1670" s="1460" t="str">
        <f t="shared" si="1176"/>
        <v>-</v>
      </c>
      <c r="AD1670" s="1459">
        <f t="shared" si="1177"/>
        <v>0</v>
      </c>
      <c r="AE1670" s="964" t="str">
        <f t="shared" si="1178"/>
        <v/>
      </c>
      <c r="AF1670" s="964" t="str">
        <f t="shared" si="1179"/>
        <v/>
      </c>
      <c r="AG1670" s="964" t="str">
        <f t="shared" si="1180"/>
        <v/>
      </c>
      <c r="AH1670" s="964" t="str">
        <f t="shared" si="1181"/>
        <v/>
      </c>
      <c r="AI1670" s="964" t="str">
        <f t="shared" si="1182"/>
        <v/>
      </c>
      <c r="AJ1670" s="964"/>
      <c r="AK1670" s="964"/>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s="1396"/>
      <c r="CB1670" s="1396"/>
      <c r="CC1670"/>
      <c r="CD1670"/>
      <c r="CE1670"/>
    </row>
    <row r="1671" spans="1:83" ht="13.15" customHeight="1" outlineLevel="2" x14ac:dyDescent="0.2">
      <c r="A1671"/>
      <c r="B1671" s="1"/>
      <c r="C1671"/>
      <c r="D1671"/>
      <c r="E1671"/>
      <c r="F1671"/>
      <c r="G1671" s="1"/>
      <c r="H1671" s="1"/>
      <c r="I1671"/>
      <c r="J1671"/>
      <c r="K1671"/>
      <c r="L1671"/>
      <c r="M1671"/>
      <c r="N1671"/>
      <c r="O1671"/>
      <c r="P1671"/>
      <c r="Q1671"/>
      <c r="R1671" s="558" t="s">
        <v>3975</v>
      </c>
      <c r="S1671" s="83"/>
      <c r="T1671" s="56"/>
      <c r="U1671" s="955"/>
      <c r="V1671" s="43" t="str">
        <f t="shared" si="1183"/>
        <v>D</v>
      </c>
      <c r="W1671" s="10"/>
      <c r="X1671" s="45" t="s">
        <v>769</v>
      </c>
      <c r="Y1671" s="10"/>
      <c r="Z1671" s="46" t="str">
        <f>V1659</f>
        <v>M</v>
      </c>
      <c r="AA1671" s="123"/>
      <c r="AB1671" s="1459">
        <f t="shared" si="1175"/>
        <v>0</v>
      </c>
      <c r="AC1671" s="1460" t="str">
        <f t="shared" si="1176"/>
        <v>-</v>
      </c>
      <c r="AD1671" s="1459">
        <f t="shared" si="1177"/>
        <v>0</v>
      </c>
      <c r="AE1671" s="964" t="str">
        <f t="shared" si="1178"/>
        <v/>
      </c>
      <c r="AF1671" s="964" t="str">
        <f t="shared" si="1179"/>
        <v/>
      </c>
      <c r="AG1671" s="964" t="str">
        <f t="shared" si="1180"/>
        <v/>
      </c>
      <c r="AH1671" s="964" t="str">
        <f t="shared" si="1181"/>
        <v/>
      </c>
      <c r="AI1671" s="964" t="str">
        <f t="shared" si="1182"/>
        <v/>
      </c>
      <c r="AJ1671" s="964"/>
      <c r="AK1671" s="964"/>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s="1396"/>
      <c r="CB1671" s="1396"/>
      <c r="CC1671"/>
      <c r="CD1671"/>
      <c r="CE1671"/>
    </row>
    <row r="1672" spans="1:83" ht="13.15" customHeight="1" outlineLevel="2" x14ac:dyDescent="0.2">
      <c r="A1672"/>
      <c r="B1672" s="1"/>
      <c r="C1672"/>
      <c r="D1672"/>
      <c r="E1672"/>
      <c r="F1672"/>
      <c r="G1672" s="1"/>
      <c r="H1672" s="1"/>
      <c r="I1672"/>
      <c r="J1672"/>
      <c r="K1672"/>
      <c r="L1672"/>
      <c r="M1672"/>
      <c r="N1672"/>
      <c r="O1672"/>
      <c r="P1672"/>
      <c r="Q1672"/>
      <c r="R1672" s="558" t="s">
        <v>3975</v>
      </c>
      <c r="S1672" s="83"/>
      <c r="T1672" s="56"/>
      <c r="U1672" s="955"/>
      <c r="V1672" s="43" t="str">
        <f t="shared" si="1183"/>
        <v>B</v>
      </c>
      <c r="W1672" s="10"/>
      <c r="X1672" s="45" t="s">
        <v>769</v>
      </c>
      <c r="Y1672" s="10"/>
      <c r="Z1672" s="46" t="str">
        <f t="shared" si="1184"/>
        <v>K</v>
      </c>
      <c r="AA1672" s="123"/>
      <c r="AB1672" s="1459">
        <f t="shared" si="1175"/>
        <v>0</v>
      </c>
      <c r="AC1672" s="1460" t="str">
        <f t="shared" si="1176"/>
        <v>-</v>
      </c>
      <c r="AD1672" s="1459">
        <f t="shared" si="1177"/>
        <v>0</v>
      </c>
      <c r="AE1672" s="964" t="str">
        <f t="shared" si="1178"/>
        <v/>
      </c>
      <c r="AF1672" s="964" t="str">
        <f t="shared" si="1179"/>
        <v/>
      </c>
      <c r="AG1672" s="964" t="str">
        <f t="shared" si="1180"/>
        <v/>
      </c>
      <c r="AH1672" s="964" t="str">
        <f t="shared" si="1181"/>
        <v/>
      </c>
      <c r="AI1672" s="964" t="str">
        <f t="shared" si="1182"/>
        <v/>
      </c>
      <c r="AJ1672" s="964"/>
      <c r="AK1672" s="964"/>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s="1396"/>
      <c r="CB1672" s="1396"/>
      <c r="CC1672"/>
      <c r="CD1672"/>
      <c r="CE1672"/>
    </row>
    <row r="1673" spans="1:83" ht="13.15" customHeight="1" outlineLevel="2" x14ac:dyDescent="0.2">
      <c r="A1673"/>
      <c r="B1673" s="1"/>
      <c r="C1673"/>
      <c r="D1673"/>
      <c r="E1673"/>
      <c r="F1673"/>
      <c r="G1673" s="1"/>
      <c r="H1673" s="1"/>
      <c r="I1673"/>
      <c r="J1673"/>
      <c r="K1673"/>
      <c r="L1673"/>
      <c r="M1673"/>
      <c r="N1673"/>
      <c r="O1673"/>
      <c r="P1673"/>
      <c r="Q1673"/>
      <c r="R1673" s="558" t="s">
        <v>3975</v>
      </c>
      <c r="S1673" s="83"/>
      <c r="T1673" s="56"/>
      <c r="U1673" s="955"/>
      <c r="V1673" s="43" t="str">
        <f t="shared" si="1183"/>
        <v>C</v>
      </c>
      <c r="W1673" s="10"/>
      <c r="X1673" s="45" t="s">
        <v>769</v>
      </c>
      <c r="Y1673" s="10"/>
      <c r="Z1673" s="46" t="str">
        <f>V1661</f>
        <v>I</v>
      </c>
      <c r="AA1673" s="123"/>
      <c r="AB1673" s="1459">
        <f t="shared" si="1175"/>
        <v>0</v>
      </c>
      <c r="AC1673" s="1460" t="str">
        <f t="shared" si="1176"/>
        <v>-</v>
      </c>
      <c r="AD1673" s="1459">
        <f t="shared" si="1177"/>
        <v>0</v>
      </c>
      <c r="AE1673" s="964" t="str">
        <f t="shared" si="1178"/>
        <v/>
      </c>
      <c r="AF1673" s="964" t="str">
        <f t="shared" si="1179"/>
        <v/>
      </c>
      <c r="AG1673" s="964" t="str">
        <f t="shared" si="1180"/>
        <v/>
      </c>
      <c r="AH1673" s="964" t="str">
        <f t="shared" si="1181"/>
        <v/>
      </c>
      <c r="AI1673" s="964" t="str">
        <f t="shared" si="1182"/>
        <v/>
      </c>
      <c r="AJ1673" s="964"/>
      <c r="AK1673" s="964"/>
      <c r="AL1673"/>
      <c r="AM1673"/>
      <c r="AN1673"/>
      <c r="AO1673"/>
      <c r="AP1673"/>
      <c r="AQ1673"/>
      <c r="AR1673"/>
      <c r="AS1673"/>
      <c r="AT1673"/>
      <c r="AU1673"/>
      <c r="AV1673"/>
      <c r="AW1673"/>
      <c r="AX1673" s="9"/>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s="1396"/>
      <c r="CB1673" s="1396"/>
      <c r="CC1673"/>
      <c r="CD1673"/>
      <c r="CE1673"/>
    </row>
    <row r="1674" spans="1:83" ht="13.9" customHeight="1" outlineLevel="2" thickBot="1" x14ac:dyDescent="0.25">
      <c r="A1674"/>
      <c r="B1674" s="1"/>
      <c r="C1674"/>
      <c r="D1674"/>
      <c r="E1674"/>
      <c r="F1674"/>
      <c r="G1674" s="1"/>
      <c r="H1674" s="1"/>
      <c r="I1674"/>
      <c r="J1674"/>
      <c r="K1674"/>
      <c r="L1674"/>
      <c r="M1674"/>
      <c r="N1674"/>
      <c r="O1674"/>
      <c r="P1674"/>
      <c r="Q1674"/>
      <c r="R1674" s="558" t="s">
        <v>3975</v>
      </c>
      <c r="S1674" s="956"/>
      <c r="T1674" s="58"/>
      <c r="U1674" s="957"/>
      <c r="V1674" s="958" t="str">
        <f>V1663</f>
        <v>E</v>
      </c>
      <c r="W1674" s="175"/>
      <c r="X1674" s="52" t="s">
        <v>769</v>
      </c>
      <c r="Y1674" s="175"/>
      <c r="Z1674" s="46" t="str">
        <f t="shared" si="1184"/>
        <v>G</v>
      </c>
      <c r="AA1674" s="123"/>
      <c r="AB1674" s="1459">
        <f t="shared" si="1175"/>
        <v>0</v>
      </c>
      <c r="AC1674" s="1460" t="str">
        <f t="shared" si="1176"/>
        <v>-</v>
      </c>
      <c r="AD1674" s="1459">
        <f t="shared" si="1177"/>
        <v>0</v>
      </c>
      <c r="AE1674" s="964" t="str">
        <f t="shared" si="1178"/>
        <v/>
      </c>
      <c r="AF1674" s="964" t="str">
        <f t="shared" si="1179"/>
        <v/>
      </c>
      <c r="AG1674" s="964" t="str">
        <f t="shared" si="1180"/>
        <v/>
      </c>
      <c r="AH1674" s="964" t="str">
        <f t="shared" si="1181"/>
        <v/>
      </c>
      <c r="AI1674" s="964" t="str">
        <f t="shared" si="1182"/>
        <v/>
      </c>
      <c r="AJ1674" s="964"/>
      <c r="AK1674" s="964"/>
      <c r="AL1674"/>
      <c r="AM1674"/>
      <c r="AN1674"/>
      <c r="AO1674"/>
      <c r="AP1674"/>
      <c r="AQ1674"/>
      <c r="AR1674"/>
      <c r="AS1674"/>
      <c r="AT1674"/>
      <c r="AU1674"/>
      <c r="AV1674"/>
      <c r="AW1674" s="9"/>
      <c r="AX1674" s="9"/>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s="1396"/>
      <c r="CB1674" s="1396"/>
      <c r="CC1674"/>
      <c r="CD1674"/>
      <c r="CE1674"/>
    </row>
    <row r="1675" spans="1:83" ht="13.5" outlineLevel="1" thickBot="1" x14ac:dyDescent="0.25">
      <c r="A1675"/>
      <c r="B1675" s="1"/>
      <c r="C1675" s="1"/>
      <c r="D1675" s="76"/>
      <c r="E1675" s="76"/>
      <c r="F1675" s="76"/>
      <c r="G1675" s="9"/>
      <c r="H1675" s="9"/>
      <c r="I1675" s="1"/>
      <c r="J1675"/>
      <c r="K1675"/>
      <c r="L1675"/>
      <c r="M1675"/>
      <c r="N1675"/>
      <c r="O1675"/>
      <c r="P1675" s="89"/>
      <c r="Q1675"/>
      <c r="R1675" s="1"/>
      <c r="S1675" s="993">
        <f>S1664+1</f>
        <v>14</v>
      </c>
      <c r="T1675" s="961"/>
      <c r="U1675" s="961"/>
      <c r="V1675" s="961"/>
      <c r="W1675" s="960"/>
      <c r="X1675" s="960"/>
      <c r="Y1675" s="960"/>
      <c r="Z1675" s="962"/>
      <c r="AA1675" s="123"/>
      <c r="AB1675" s="963"/>
      <c r="AC1675" s="963"/>
      <c r="AD1675" s="963"/>
      <c r="AE1675" s="964"/>
      <c r="AF1675" s="964"/>
      <c r="AG1675" s="964"/>
      <c r="AH1675" s="964"/>
      <c r="AI1675" s="964"/>
      <c r="AJ1675" s="964"/>
      <c r="AK1675" s="964"/>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s="1396"/>
      <c r="CB1675" s="1396"/>
      <c r="CC1675"/>
      <c r="CD1675"/>
      <c r="CE1675"/>
    </row>
    <row r="1676" spans="1:83" ht="13.9" customHeight="1" outlineLevel="2" thickBot="1" x14ac:dyDescent="0.25">
      <c r="A1676"/>
      <c r="B1676" s="1"/>
      <c r="C1676"/>
      <c r="D1676"/>
      <c r="E1676"/>
      <c r="F1676"/>
      <c r="G1676" s="1"/>
      <c r="H1676" s="1"/>
      <c r="I1676"/>
      <c r="J1676"/>
      <c r="K1676"/>
      <c r="L1676"/>
      <c r="M1676"/>
      <c r="N1676"/>
      <c r="O1676"/>
      <c r="P1676"/>
      <c r="Q1676"/>
      <c r="S1676" s="22" t="str">
        <f>N_Heure</f>
        <v>Heure</v>
      </c>
      <c r="T1676" s="22" t="str">
        <f>N_Table</f>
        <v>Table</v>
      </c>
      <c r="U1676" s="22" t="str">
        <f>N_Arbitre</f>
        <v>Arbitre</v>
      </c>
      <c r="V1676" s="293" t="str">
        <f>N_Matches</f>
        <v>Matches</v>
      </c>
      <c r="W1676" s="294"/>
      <c r="X1676" s="294"/>
      <c r="Y1676" s="294"/>
      <c r="Z1676" s="295"/>
      <c r="AA1676" s="8"/>
      <c r="AB1676" s="967"/>
      <c r="AC1676" s="967"/>
      <c r="AD1676" s="967"/>
      <c r="AE1676" s="964"/>
      <c r="AF1676" s="964"/>
      <c r="AG1676" s="964"/>
      <c r="AH1676" s="964"/>
      <c r="AI1676" s="964"/>
      <c r="AJ1676" s="964"/>
      <c r="AK1676" s="964"/>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s="1396"/>
      <c r="CB1676" s="1396"/>
      <c r="CC1676"/>
      <c r="CD1676"/>
      <c r="CE1676"/>
    </row>
    <row r="1677" spans="1:83" ht="13.15" customHeight="1" outlineLevel="2" x14ac:dyDescent="0.2">
      <c r="A1677"/>
      <c r="B1677" s="1"/>
      <c r="C1677"/>
      <c r="D1677"/>
      <c r="E1677"/>
      <c r="F1677"/>
      <c r="G1677" s="1"/>
      <c r="H1677" s="1"/>
      <c r="I1677"/>
      <c r="J1677"/>
      <c r="K1677"/>
      <c r="L1677"/>
      <c r="M1677"/>
      <c r="N1677"/>
      <c r="O1677"/>
      <c r="P1677"/>
      <c r="Q1677"/>
      <c r="R1677" s="558" t="s">
        <v>3976</v>
      </c>
      <c r="S1677" s="65"/>
      <c r="T1677" s="953"/>
      <c r="U1677" s="954"/>
      <c r="V1677" s="34" t="str">
        <f>V1667</f>
        <v>N</v>
      </c>
      <c r="W1677" s="148"/>
      <c r="X1677" s="35" t="s">
        <v>769</v>
      </c>
      <c r="Y1677" s="148"/>
      <c r="Z1677" s="36" t="str">
        <f>V1666</f>
        <v>A</v>
      </c>
      <c r="AA1677" s="123"/>
      <c r="AB1677" s="1459">
        <f t="shared" ref="AB1677:AB1685" si="1185">IF(MaxScore,MaxGoals(W1677,Y1677,MaxGoalsValue),IF(W1677="","",W1677))</f>
        <v>0</v>
      </c>
      <c r="AC1677" s="1460" t="str">
        <f t="shared" ref="AC1677:AC1685" si="1186">IF(MaxScore,"-",IF(W1677="","","-"))</f>
        <v>-</v>
      </c>
      <c r="AD1677" s="1459">
        <f t="shared" ref="AD1677:AD1685" si="1187">IF(MaxScore,MaxGoals(Y1677,W1677,MaxGoalsValue),IF(Y1677="","",Y1677))</f>
        <v>0</v>
      </c>
      <c r="AE1677" s="964" t="str">
        <f t="shared" ref="AE1677:AE1685" si="1188">IF(W1677="","",IF(W1677&gt;Y1677,V1677,IF(W1677=Y1677,"",Z1677)))</f>
        <v/>
      </c>
      <c r="AF1677" s="964" t="str">
        <f t="shared" ref="AF1677:AF1685" si="1189">IF(W1677="","",IF(W1677=Y1677,V1677,""))</f>
        <v/>
      </c>
      <c r="AG1677" s="964" t="str">
        <f t="shared" ref="AG1677:AG1685" si="1190">IF(W1677="","",IF(W1677=Y1677,Z1677,""))</f>
        <v/>
      </c>
      <c r="AH1677" s="964" t="str">
        <f t="shared" ref="AH1677:AH1685" si="1191">IF(W1677="","",IF(W1677&lt;Y1677,V1677,IF(W1677=Y1677,"",Z1677)))</f>
        <v/>
      </c>
      <c r="AI1677" s="964" t="str">
        <f t="shared" ref="AI1677:AI1685" si="1192">CONCATENATE(AE1677,AH1677)</f>
        <v/>
      </c>
      <c r="AJ1677" s="964"/>
      <c r="AK1677" s="964"/>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s="1396"/>
      <c r="CB1677" s="1396"/>
      <c r="CC1677"/>
      <c r="CD1677"/>
      <c r="CE1677"/>
    </row>
    <row r="1678" spans="1:83" ht="13.15" customHeight="1" outlineLevel="2" x14ac:dyDescent="0.2">
      <c r="A1678"/>
      <c r="B1678" s="1"/>
      <c r="C1678"/>
      <c r="D1678"/>
      <c r="E1678"/>
      <c r="F1678"/>
      <c r="G1678" s="1"/>
      <c r="H1678" s="1"/>
      <c r="I1678"/>
      <c r="J1678"/>
      <c r="K1678"/>
      <c r="L1678"/>
      <c r="M1678"/>
      <c r="N1678"/>
      <c r="O1678"/>
      <c r="P1678"/>
      <c r="Q1678"/>
      <c r="R1678" s="558" t="s">
        <v>3976</v>
      </c>
      <c r="S1678" s="83"/>
      <c r="T1678" s="56"/>
      <c r="U1678" s="955"/>
      <c r="V1678" s="43" t="str">
        <f t="shared" ref="V1678:V1685" si="1193">Z1666</f>
        <v>P</v>
      </c>
      <c r="W1678" s="10"/>
      <c r="X1678" s="45" t="s">
        <v>769</v>
      </c>
      <c r="Y1678" s="10"/>
      <c r="Z1678" s="46" t="str">
        <f>Z1657</f>
        <v>L</v>
      </c>
      <c r="AA1678" s="123"/>
      <c r="AB1678" s="1459">
        <f t="shared" si="1185"/>
        <v>0</v>
      </c>
      <c r="AC1678" s="1460" t="str">
        <f t="shared" si="1186"/>
        <v>-</v>
      </c>
      <c r="AD1678" s="1459">
        <f t="shared" si="1187"/>
        <v>0</v>
      </c>
      <c r="AE1678" s="964" t="str">
        <f t="shared" si="1188"/>
        <v/>
      </c>
      <c r="AF1678" s="964" t="str">
        <f t="shared" si="1189"/>
        <v/>
      </c>
      <c r="AG1678" s="964" t="str">
        <f t="shared" si="1190"/>
        <v/>
      </c>
      <c r="AH1678" s="964" t="str">
        <f t="shared" si="1191"/>
        <v/>
      </c>
      <c r="AI1678" s="964" t="str">
        <f t="shared" si="1192"/>
        <v/>
      </c>
      <c r="AJ1678" s="964"/>
      <c r="AK1678" s="964"/>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s="1396"/>
      <c r="CB1678" s="1396"/>
      <c r="CC1678"/>
      <c r="CD1678"/>
      <c r="CE1678"/>
    </row>
    <row r="1679" spans="1:83" ht="13.15" customHeight="1" outlineLevel="2" x14ac:dyDescent="0.2">
      <c r="A1679"/>
      <c r="B1679" s="1"/>
      <c r="C1679"/>
      <c r="D1679"/>
      <c r="E1679"/>
      <c r="F1679"/>
      <c r="G1679" s="1"/>
      <c r="H1679" s="1"/>
      <c r="I1679"/>
      <c r="J1679"/>
      <c r="K1679"/>
      <c r="L1679"/>
      <c r="M1679"/>
      <c r="N1679"/>
      <c r="O1679"/>
      <c r="P1679"/>
      <c r="Q1679"/>
      <c r="R1679" s="558" t="s">
        <v>3976</v>
      </c>
      <c r="S1679" s="83"/>
      <c r="T1679" s="56"/>
      <c r="U1679" s="955"/>
      <c r="V1679" s="43" t="str">
        <f t="shared" si="1193"/>
        <v>R</v>
      </c>
      <c r="W1679" s="10"/>
      <c r="X1679" s="45" t="s">
        <v>769</v>
      </c>
      <c r="Y1679" s="10"/>
      <c r="Z1679" s="46" t="str">
        <f>V1668</f>
        <v>J</v>
      </c>
      <c r="AA1679" s="123"/>
      <c r="AB1679" s="1459">
        <f t="shared" si="1185"/>
        <v>0</v>
      </c>
      <c r="AC1679" s="1460" t="str">
        <f t="shared" si="1186"/>
        <v>-</v>
      </c>
      <c r="AD1679" s="1459">
        <f t="shared" si="1187"/>
        <v>0</v>
      </c>
      <c r="AE1679" s="964" t="str">
        <f t="shared" si="1188"/>
        <v/>
      </c>
      <c r="AF1679" s="964" t="str">
        <f t="shared" si="1189"/>
        <v/>
      </c>
      <c r="AG1679" s="964" t="str">
        <f t="shared" si="1190"/>
        <v/>
      </c>
      <c r="AH1679" s="964" t="str">
        <f t="shared" si="1191"/>
        <v/>
      </c>
      <c r="AI1679" s="964" t="str">
        <f t="shared" si="1192"/>
        <v/>
      </c>
      <c r="AJ1679" s="964"/>
      <c r="AK1679" s="964"/>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s="1396"/>
      <c r="CB1679" s="1396"/>
      <c r="CC1679"/>
      <c r="CD1679"/>
      <c r="CE1679"/>
    </row>
    <row r="1680" spans="1:83" ht="13.15" customHeight="1" outlineLevel="2" x14ac:dyDescent="0.2">
      <c r="A1680"/>
      <c r="B1680" s="1"/>
      <c r="C1680"/>
      <c r="D1680"/>
      <c r="E1680"/>
      <c r="F1680"/>
      <c r="G1680" s="1"/>
      <c r="H1680" s="1"/>
      <c r="I1680"/>
      <c r="J1680"/>
      <c r="K1680"/>
      <c r="L1680"/>
      <c r="M1680"/>
      <c r="N1680"/>
      <c r="O1680"/>
      <c r="P1680"/>
      <c r="Q1680"/>
      <c r="R1680" s="558" t="s">
        <v>3976</v>
      </c>
      <c r="S1680" s="83"/>
      <c r="T1680" s="56"/>
      <c r="U1680" s="955"/>
      <c r="V1680" s="43" t="str">
        <f t="shared" si="1193"/>
        <v>S</v>
      </c>
      <c r="W1680" s="10"/>
      <c r="X1680" s="45" t="s">
        <v>769</v>
      </c>
      <c r="Y1680" s="10"/>
      <c r="Z1680" s="46" t="str">
        <f>V1670</f>
        <v>F</v>
      </c>
      <c r="AA1680" s="123"/>
      <c r="AB1680" s="1459">
        <f t="shared" si="1185"/>
        <v>0</v>
      </c>
      <c r="AC1680" s="1460" t="str">
        <f t="shared" si="1186"/>
        <v>-</v>
      </c>
      <c r="AD1680" s="1459">
        <f t="shared" si="1187"/>
        <v>0</v>
      </c>
      <c r="AE1680" s="964" t="str">
        <f t="shared" si="1188"/>
        <v/>
      </c>
      <c r="AF1680" s="964" t="str">
        <f t="shared" si="1189"/>
        <v/>
      </c>
      <c r="AG1680" s="964" t="str">
        <f t="shared" si="1190"/>
        <v/>
      </c>
      <c r="AH1680" s="964" t="str">
        <f t="shared" si="1191"/>
        <v/>
      </c>
      <c r="AI1680" s="964" t="str">
        <f t="shared" si="1192"/>
        <v/>
      </c>
      <c r="AJ1680" s="964"/>
      <c r="AK1680" s="964"/>
      <c r="AL1680"/>
      <c r="AM1680"/>
      <c r="AN1680"/>
      <c r="AO1680"/>
      <c r="AP1680"/>
      <c r="AQ1680"/>
      <c r="AR1680"/>
      <c r="AS1680"/>
      <c r="AT1680"/>
      <c r="AU1680"/>
      <c r="AV1680"/>
      <c r="AW1680" s="9"/>
      <c r="AX1680" s="9"/>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s="1396"/>
      <c r="CB1680" s="1396"/>
      <c r="CC1680"/>
      <c r="CD1680"/>
      <c r="CE1680"/>
    </row>
    <row r="1681" spans="1:83" ht="13.15" customHeight="1" outlineLevel="2" x14ac:dyDescent="0.2">
      <c r="A1681"/>
      <c r="B1681" s="1"/>
      <c r="C1681"/>
      <c r="D1681"/>
      <c r="E1681"/>
      <c r="F1681"/>
      <c r="G1681" s="1"/>
      <c r="H1681" s="1"/>
      <c r="I1681"/>
      <c r="J1681"/>
      <c r="K1681"/>
      <c r="L1681"/>
      <c r="M1681"/>
      <c r="N1681"/>
      <c r="O1681"/>
      <c r="P1681"/>
      <c r="Q1681"/>
      <c r="R1681" s="558" t="s">
        <v>3976</v>
      </c>
      <c r="S1681" s="83"/>
      <c r="T1681" s="56"/>
      <c r="U1681" s="955"/>
      <c r="V1681" s="43" t="str">
        <f t="shared" si="1193"/>
        <v>Q</v>
      </c>
      <c r="W1681" s="10"/>
      <c r="X1681" s="45" t="s">
        <v>769</v>
      </c>
      <c r="Y1681" s="10"/>
      <c r="Z1681" s="46" t="str">
        <f>V1671</f>
        <v>D</v>
      </c>
      <c r="AA1681" s="123"/>
      <c r="AB1681" s="1459">
        <f t="shared" si="1185"/>
        <v>0</v>
      </c>
      <c r="AC1681" s="1460" t="str">
        <f t="shared" si="1186"/>
        <v>-</v>
      </c>
      <c r="AD1681" s="1459">
        <f t="shared" si="1187"/>
        <v>0</v>
      </c>
      <c r="AE1681" s="964" t="str">
        <f t="shared" si="1188"/>
        <v/>
      </c>
      <c r="AF1681" s="964" t="str">
        <f t="shared" si="1189"/>
        <v/>
      </c>
      <c r="AG1681" s="964" t="str">
        <f t="shared" si="1190"/>
        <v/>
      </c>
      <c r="AH1681" s="964" t="str">
        <f t="shared" si="1191"/>
        <v/>
      </c>
      <c r="AI1681" s="964" t="str">
        <f t="shared" si="1192"/>
        <v/>
      </c>
      <c r="AJ1681" s="964"/>
      <c r="AK1681" s="964"/>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s="1396"/>
      <c r="CB1681" s="1396"/>
      <c r="CC1681"/>
      <c r="CD1681"/>
      <c r="CE1681"/>
    </row>
    <row r="1682" spans="1:83" ht="13.15" customHeight="1" outlineLevel="2" x14ac:dyDescent="0.2">
      <c r="A1682"/>
      <c r="B1682" s="1"/>
      <c r="C1682"/>
      <c r="D1682"/>
      <c r="E1682"/>
      <c r="F1682"/>
      <c r="G1682" s="1"/>
      <c r="H1682" s="1"/>
      <c r="I1682"/>
      <c r="J1682"/>
      <c r="K1682"/>
      <c r="L1682"/>
      <c r="M1682"/>
      <c r="N1682"/>
      <c r="O1682"/>
      <c r="P1682"/>
      <c r="Q1682"/>
      <c r="R1682" s="558" t="s">
        <v>3976</v>
      </c>
      <c r="S1682" s="83"/>
      <c r="T1682" s="56"/>
      <c r="U1682" s="955"/>
      <c r="V1682" s="43" t="str">
        <f t="shared" si="1193"/>
        <v>O</v>
      </c>
      <c r="W1682" s="10"/>
      <c r="X1682" s="45" t="s">
        <v>769</v>
      </c>
      <c r="Y1682" s="10"/>
      <c r="Z1682" s="46" t="str">
        <f>V1672</f>
        <v>B</v>
      </c>
      <c r="AA1682" s="123"/>
      <c r="AB1682" s="1459">
        <f t="shared" si="1185"/>
        <v>0</v>
      </c>
      <c r="AC1682" s="1460" t="str">
        <f t="shared" si="1186"/>
        <v>-</v>
      </c>
      <c r="AD1682" s="1459">
        <f t="shared" si="1187"/>
        <v>0</v>
      </c>
      <c r="AE1682" s="964" t="str">
        <f t="shared" si="1188"/>
        <v/>
      </c>
      <c r="AF1682" s="964" t="str">
        <f t="shared" si="1189"/>
        <v/>
      </c>
      <c r="AG1682" s="964" t="str">
        <f t="shared" si="1190"/>
        <v/>
      </c>
      <c r="AH1682" s="964" t="str">
        <f t="shared" si="1191"/>
        <v/>
      </c>
      <c r="AI1682" s="964" t="str">
        <f t="shared" si="1192"/>
        <v/>
      </c>
      <c r="AJ1682" s="964"/>
      <c r="AK1682" s="964"/>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s="1396"/>
      <c r="CB1682" s="1396"/>
      <c r="CC1682"/>
      <c r="CD1682"/>
      <c r="CE1682"/>
    </row>
    <row r="1683" spans="1:83" ht="13.15" customHeight="1" outlineLevel="2" x14ac:dyDescent="0.2">
      <c r="A1683"/>
      <c r="B1683" s="1"/>
      <c r="C1683"/>
      <c r="D1683"/>
      <c r="E1683"/>
      <c r="F1683"/>
      <c r="G1683" s="1"/>
      <c r="H1683" s="1"/>
      <c r="I1683"/>
      <c r="J1683"/>
      <c r="K1683"/>
      <c r="L1683"/>
      <c r="M1683"/>
      <c r="N1683"/>
      <c r="O1683"/>
      <c r="P1683"/>
      <c r="Q1683"/>
      <c r="R1683" s="558" t="s">
        <v>3976</v>
      </c>
      <c r="S1683" s="83"/>
      <c r="T1683" s="56"/>
      <c r="U1683" s="955"/>
      <c r="V1683" s="43" t="str">
        <f t="shared" si="1193"/>
        <v>M</v>
      </c>
      <c r="W1683" s="10"/>
      <c r="X1683" s="45" t="s">
        <v>769</v>
      </c>
      <c r="Y1683" s="10"/>
      <c r="Z1683" s="46" t="str">
        <f>V1673</f>
        <v>C</v>
      </c>
      <c r="AA1683" s="123"/>
      <c r="AB1683" s="1459">
        <f t="shared" si="1185"/>
        <v>0</v>
      </c>
      <c r="AC1683" s="1460" t="str">
        <f t="shared" si="1186"/>
        <v>-</v>
      </c>
      <c r="AD1683" s="1459">
        <f t="shared" si="1187"/>
        <v>0</v>
      </c>
      <c r="AE1683" s="964" t="str">
        <f t="shared" si="1188"/>
        <v/>
      </c>
      <c r="AF1683" s="964" t="str">
        <f t="shared" si="1189"/>
        <v/>
      </c>
      <c r="AG1683" s="964" t="str">
        <f t="shared" si="1190"/>
        <v/>
      </c>
      <c r="AH1683" s="964" t="str">
        <f t="shared" si="1191"/>
        <v/>
      </c>
      <c r="AI1683" s="964" t="str">
        <f t="shared" si="1192"/>
        <v/>
      </c>
      <c r="AJ1683" s="964"/>
      <c r="AK1683" s="964"/>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s="1396"/>
      <c r="CB1683" s="1396"/>
      <c r="CC1683"/>
      <c r="CD1683"/>
      <c r="CE1683"/>
    </row>
    <row r="1684" spans="1:83" ht="13.15" customHeight="1" outlineLevel="2" x14ac:dyDescent="0.2">
      <c r="A1684"/>
      <c r="B1684" s="1"/>
      <c r="C1684"/>
      <c r="D1684"/>
      <c r="E1684"/>
      <c r="F1684"/>
      <c r="G1684" s="1"/>
      <c r="H1684" s="1"/>
      <c r="I1684"/>
      <c r="J1684"/>
      <c r="K1684"/>
      <c r="L1684"/>
      <c r="M1684"/>
      <c r="N1684"/>
      <c r="O1684"/>
      <c r="P1684"/>
      <c r="Q1684"/>
      <c r="R1684" s="558" t="s">
        <v>3976</v>
      </c>
      <c r="S1684" s="83"/>
      <c r="T1684" s="56"/>
      <c r="U1684" s="955"/>
      <c r="V1684" s="43" t="str">
        <f t="shared" si="1193"/>
        <v>K</v>
      </c>
      <c r="W1684" s="10"/>
      <c r="X1684" s="45" t="s">
        <v>769</v>
      </c>
      <c r="Y1684" s="10"/>
      <c r="Z1684" s="46" t="str">
        <f>V1674</f>
        <v>E</v>
      </c>
      <c r="AA1684" s="123"/>
      <c r="AB1684" s="1459">
        <f t="shared" si="1185"/>
        <v>0</v>
      </c>
      <c r="AC1684" s="1460" t="str">
        <f t="shared" si="1186"/>
        <v>-</v>
      </c>
      <c r="AD1684" s="1459">
        <f t="shared" si="1187"/>
        <v>0</v>
      </c>
      <c r="AE1684" s="964" t="str">
        <f t="shared" si="1188"/>
        <v/>
      </c>
      <c r="AF1684" s="964" t="str">
        <f t="shared" si="1189"/>
        <v/>
      </c>
      <c r="AG1684" s="964" t="str">
        <f t="shared" si="1190"/>
        <v/>
      </c>
      <c r="AH1684" s="964" t="str">
        <f t="shared" si="1191"/>
        <v/>
      </c>
      <c r="AI1684" s="964" t="str">
        <f t="shared" si="1192"/>
        <v/>
      </c>
      <c r="AJ1684" s="964"/>
      <c r="AK1684" s="964"/>
      <c r="AL1684"/>
      <c r="AM1684"/>
      <c r="AN1684"/>
      <c r="AO1684"/>
      <c r="AP1684"/>
      <c r="AQ1684"/>
      <c r="AR1684"/>
      <c r="AS1684"/>
      <c r="AT1684"/>
      <c r="AU1684"/>
      <c r="AV1684"/>
      <c r="AW1684"/>
      <c r="AX1684" s="9"/>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s="1396"/>
      <c r="CB1684" s="1396"/>
      <c r="CC1684"/>
      <c r="CD1684"/>
      <c r="CE1684"/>
    </row>
    <row r="1685" spans="1:83" ht="13.9" customHeight="1" outlineLevel="2" thickBot="1" x14ac:dyDescent="0.25">
      <c r="A1685"/>
      <c r="B1685" s="1"/>
      <c r="C1685"/>
      <c r="D1685"/>
      <c r="E1685"/>
      <c r="F1685"/>
      <c r="G1685" s="1"/>
      <c r="H1685" s="1"/>
      <c r="I1685"/>
      <c r="J1685"/>
      <c r="K1685"/>
      <c r="L1685"/>
      <c r="M1685"/>
      <c r="N1685"/>
      <c r="O1685"/>
      <c r="P1685"/>
      <c r="Q1685"/>
      <c r="R1685" s="558" t="s">
        <v>3976</v>
      </c>
      <c r="S1685" s="956"/>
      <c r="T1685" s="58"/>
      <c r="U1685" s="957"/>
      <c r="V1685" s="958" t="str">
        <f t="shared" si="1193"/>
        <v>I</v>
      </c>
      <c r="W1685" s="175"/>
      <c r="X1685" s="52" t="s">
        <v>769</v>
      </c>
      <c r="Y1685" s="175"/>
      <c r="Z1685" s="959" t="str">
        <f>Z1674</f>
        <v>G</v>
      </c>
      <c r="AA1685" s="123"/>
      <c r="AB1685" s="1459">
        <f t="shared" si="1185"/>
        <v>0</v>
      </c>
      <c r="AC1685" s="1460" t="str">
        <f t="shared" si="1186"/>
        <v>-</v>
      </c>
      <c r="AD1685" s="1459">
        <f t="shared" si="1187"/>
        <v>0</v>
      </c>
      <c r="AE1685" s="964" t="str">
        <f t="shared" si="1188"/>
        <v/>
      </c>
      <c r="AF1685" s="964" t="str">
        <f t="shared" si="1189"/>
        <v/>
      </c>
      <c r="AG1685" s="964" t="str">
        <f t="shared" si="1190"/>
        <v/>
      </c>
      <c r="AH1685" s="964" t="str">
        <f t="shared" si="1191"/>
        <v/>
      </c>
      <c r="AI1685" s="964" t="str">
        <f t="shared" si="1192"/>
        <v/>
      </c>
      <c r="AJ1685" s="964"/>
      <c r="AK1685" s="964"/>
      <c r="AL1685"/>
      <c r="AM1685"/>
      <c r="AN1685"/>
      <c r="AO1685"/>
      <c r="AP1685"/>
      <c r="AQ1685"/>
      <c r="AR1685"/>
      <c r="AS1685"/>
      <c r="AT1685"/>
      <c r="AU1685"/>
      <c r="AV1685"/>
      <c r="AW1685" s="9"/>
      <c r="AX1685" s="9"/>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s="1396"/>
      <c r="CB1685" s="1396"/>
      <c r="CC1685"/>
      <c r="CD1685"/>
      <c r="CE1685"/>
    </row>
    <row r="1686" spans="1:83" ht="13.5" outlineLevel="1" thickBot="1" x14ac:dyDescent="0.25">
      <c r="A1686"/>
      <c r="B1686" s="1"/>
      <c r="C1686" s="1"/>
      <c r="D1686" s="76"/>
      <c r="E1686" s="76"/>
      <c r="F1686" s="76"/>
      <c r="G1686" s="9"/>
      <c r="H1686" s="9"/>
      <c r="I1686" s="1"/>
      <c r="J1686"/>
      <c r="K1686"/>
      <c r="L1686"/>
      <c r="M1686"/>
      <c r="N1686"/>
      <c r="O1686"/>
      <c r="P1686" s="89"/>
      <c r="Q1686"/>
      <c r="R1686" s="1"/>
      <c r="S1686" s="993">
        <f>S1675+1</f>
        <v>15</v>
      </c>
      <c r="T1686" s="961"/>
      <c r="U1686" s="961"/>
      <c r="V1686" s="961"/>
      <c r="W1686" s="960"/>
      <c r="X1686" s="960"/>
      <c r="Y1686" s="960"/>
      <c r="Z1686" s="962"/>
      <c r="AA1686" s="123"/>
      <c r="AB1686" s="963"/>
      <c r="AC1686" s="963"/>
      <c r="AD1686" s="963"/>
      <c r="AE1686" s="964"/>
      <c r="AF1686" s="964"/>
      <c r="AG1686" s="964"/>
      <c r="AH1686" s="964"/>
      <c r="AI1686" s="964"/>
      <c r="AJ1686" s="964"/>
      <c r="AK1686" s="964"/>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s="1396"/>
      <c r="CB1686" s="1396"/>
      <c r="CC1686"/>
      <c r="CD1686"/>
      <c r="CE1686"/>
    </row>
    <row r="1687" spans="1:83" ht="13.9" customHeight="1" outlineLevel="2" thickBot="1" x14ac:dyDescent="0.25">
      <c r="A1687"/>
      <c r="B1687" s="1"/>
      <c r="C1687"/>
      <c r="D1687"/>
      <c r="E1687"/>
      <c r="F1687"/>
      <c r="G1687" s="1"/>
      <c r="H1687" s="1"/>
      <c r="I1687"/>
      <c r="J1687"/>
      <c r="K1687"/>
      <c r="L1687"/>
      <c r="M1687"/>
      <c r="N1687"/>
      <c r="O1687"/>
      <c r="P1687"/>
      <c r="Q1687"/>
      <c r="S1687" s="22" t="str">
        <f>N_Heure</f>
        <v>Heure</v>
      </c>
      <c r="T1687" s="22" t="str">
        <f>N_Table</f>
        <v>Table</v>
      </c>
      <c r="U1687" s="22" t="str">
        <f>N_Arbitre</f>
        <v>Arbitre</v>
      </c>
      <c r="V1687" s="293" t="str">
        <f>N_Matches</f>
        <v>Matches</v>
      </c>
      <c r="W1687" s="294"/>
      <c r="X1687" s="294"/>
      <c r="Y1687" s="294"/>
      <c r="Z1687" s="295"/>
      <c r="AA1687" s="8"/>
      <c r="AB1687" s="967"/>
      <c r="AC1687" s="967"/>
      <c r="AD1687" s="967"/>
      <c r="AE1687" s="964"/>
      <c r="AF1687" s="964"/>
      <c r="AG1687" s="964"/>
      <c r="AH1687" s="964"/>
      <c r="AI1687" s="964"/>
      <c r="AJ1687" s="964"/>
      <c r="AK1687" s="964"/>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s="1396"/>
      <c r="CB1687" s="1396"/>
      <c r="CC1687"/>
      <c r="CD1687"/>
      <c r="CE1687"/>
    </row>
    <row r="1688" spans="1:83" ht="13.15" customHeight="1" outlineLevel="2" x14ac:dyDescent="0.2">
      <c r="A1688"/>
      <c r="B1688" s="1"/>
      <c r="C1688"/>
      <c r="D1688"/>
      <c r="E1688"/>
      <c r="F1688"/>
      <c r="G1688" s="1"/>
      <c r="H1688" s="1"/>
      <c r="I1688"/>
      <c r="J1688"/>
      <c r="K1688"/>
      <c r="L1688"/>
      <c r="M1688"/>
      <c r="N1688"/>
      <c r="O1688"/>
      <c r="P1688"/>
      <c r="Q1688"/>
      <c r="R1688" s="558" t="s">
        <v>3977</v>
      </c>
      <c r="S1688" s="65"/>
      <c r="T1688" s="953"/>
      <c r="U1688" s="954"/>
      <c r="V1688" s="34" t="str">
        <f>Z1677</f>
        <v>A</v>
      </c>
      <c r="W1688" s="148"/>
      <c r="X1688" s="35" t="s">
        <v>769</v>
      </c>
      <c r="Y1688" s="148"/>
      <c r="Z1688" s="36" t="str">
        <f>Z1678</f>
        <v>L</v>
      </c>
      <c r="AA1688" s="123"/>
      <c r="AB1688" s="1459">
        <f t="shared" ref="AB1688:AB1696" si="1194">IF(MaxScore,MaxGoals(W1688,Y1688,MaxGoalsValue),IF(W1688="","",W1688))</f>
        <v>0</v>
      </c>
      <c r="AC1688" s="1460" t="str">
        <f t="shared" ref="AC1688:AC1696" si="1195">IF(MaxScore,"-",IF(W1688="","","-"))</f>
        <v>-</v>
      </c>
      <c r="AD1688" s="1459">
        <f t="shared" ref="AD1688:AD1696" si="1196">IF(MaxScore,MaxGoals(Y1688,W1688,MaxGoalsValue),IF(Y1688="","",Y1688))</f>
        <v>0</v>
      </c>
      <c r="AE1688" s="964" t="str">
        <f t="shared" ref="AE1688:AE1696" si="1197">IF(W1688="","",IF(W1688&gt;Y1688,V1688,IF(W1688=Y1688,"",Z1688)))</f>
        <v/>
      </c>
      <c r="AF1688" s="964" t="str">
        <f t="shared" ref="AF1688:AF1696" si="1198">IF(W1688="","",IF(W1688=Y1688,V1688,""))</f>
        <v/>
      </c>
      <c r="AG1688" s="964" t="str">
        <f t="shared" ref="AG1688:AG1696" si="1199">IF(W1688="","",IF(W1688=Y1688,Z1688,""))</f>
        <v/>
      </c>
      <c r="AH1688" s="964" t="str">
        <f t="shared" ref="AH1688:AH1696" si="1200">IF(W1688="","",IF(W1688&lt;Y1688,V1688,IF(W1688=Y1688,"",Z1688)))</f>
        <v/>
      </c>
      <c r="AI1688" s="964" t="str">
        <f t="shared" ref="AI1688:AI1696" si="1201">CONCATENATE(AE1688,AH1688)</f>
        <v/>
      </c>
      <c r="AJ1688" s="964"/>
      <c r="AK1688" s="964"/>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s="1396"/>
      <c r="CB1688" s="1396"/>
      <c r="CC1688"/>
      <c r="CD1688"/>
      <c r="CE1688"/>
    </row>
    <row r="1689" spans="1:83" ht="13.15" customHeight="1" outlineLevel="2" x14ac:dyDescent="0.2">
      <c r="A1689"/>
      <c r="B1689" s="1"/>
      <c r="C1689"/>
      <c r="D1689"/>
      <c r="E1689"/>
      <c r="F1689"/>
      <c r="G1689" s="1"/>
      <c r="H1689" s="1"/>
      <c r="I1689"/>
      <c r="J1689"/>
      <c r="K1689"/>
      <c r="L1689"/>
      <c r="M1689"/>
      <c r="N1689"/>
      <c r="O1689"/>
      <c r="P1689"/>
      <c r="Q1689"/>
      <c r="R1689" s="558" t="s">
        <v>3977</v>
      </c>
      <c r="S1689" s="83"/>
      <c r="T1689" s="56"/>
      <c r="U1689" s="955"/>
      <c r="V1689" s="43" t="str">
        <f>Z1679</f>
        <v>J</v>
      </c>
      <c r="W1689" s="10"/>
      <c r="X1689" s="45" t="s">
        <v>769</v>
      </c>
      <c r="Y1689" s="10"/>
      <c r="Z1689" s="46" t="str">
        <f t="shared" ref="Z1689:Z1696" si="1202">V1677</f>
        <v>N</v>
      </c>
      <c r="AA1689" s="123"/>
      <c r="AB1689" s="1459">
        <f t="shared" si="1194"/>
        <v>0</v>
      </c>
      <c r="AC1689" s="1460" t="str">
        <f t="shared" si="1195"/>
        <v>-</v>
      </c>
      <c r="AD1689" s="1459">
        <f t="shared" si="1196"/>
        <v>0</v>
      </c>
      <c r="AE1689" s="964" t="str">
        <f t="shared" si="1197"/>
        <v/>
      </c>
      <c r="AF1689" s="964" t="str">
        <f t="shared" si="1198"/>
        <v/>
      </c>
      <c r="AG1689" s="964" t="str">
        <f t="shared" si="1199"/>
        <v/>
      </c>
      <c r="AH1689" s="964" t="str">
        <f t="shared" si="1200"/>
        <v/>
      </c>
      <c r="AI1689" s="964" t="str">
        <f t="shared" si="1201"/>
        <v/>
      </c>
      <c r="AJ1689" s="964"/>
      <c r="AK1689" s="964"/>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s="1396"/>
      <c r="CB1689" s="1396"/>
      <c r="CC1689"/>
      <c r="CD1689"/>
      <c r="CE1689"/>
    </row>
    <row r="1690" spans="1:83" ht="13.15" customHeight="1" outlineLevel="2" x14ac:dyDescent="0.2">
      <c r="A1690"/>
      <c r="B1690" s="1"/>
      <c r="C1690"/>
      <c r="D1690"/>
      <c r="E1690"/>
      <c r="F1690"/>
      <c r="G1690" s="1"/>
      <c r="H1690" s="1"/>
      <c r="I1690"/>
      <c r="J1690"/>
      <c r="K1690"/>
      <c r="L1690"/>
      <c r="M1690"/>
      <c r="N1690"/>
      <c r="O1690"/>
      <c r="P1690"/>
      <c r="Q1690"/>
      <c r="R1690" s="558" t="s">
        <v>3977</v>
      </c>
      <c r="S1690" s="83"/>
      <c r="T1690" s="56"/>
      <c r="U1690" s="955"/>
      <c r="V1690" s="43" t="str">
        <f>V1669</f>
        <v>H</v>
      </c>
      <c r="W1690" s="10"/>
      <c r="X1690" s="45" t="s">
        <v>769</v>
      </c>
      <c r="Y1690" s="10"/>
      <c r="Z1690" s="46" t="str">
        <f t="shared" si="1202"/>
        <v>P</v>
      </c>
      <c r="AA1690" s="123"/>
      <c r="AB1690" s="1459">
        <f t="shared" si="1194"/>
        <v>0</v>
      </c>
      <c r="AC1690" s="1460" t="str">
        <f t="shared" si="1195"/>
        <v>-</v>
      </c>
      <c r="AD1690" s="1459">
        <f t="shared" si="1196"/>
        <v>0</v>
      </c>
      <c r="AE1690" s="964" t="str">
        <f t="shared" si="1197"/>
        <v/>
      </c>
      <c r="AF1690" s="964" t="str">
        <f t="shared" si="1198"/>
        <v/>
      </c>
      <c r="AG1690" s="964" t="str">
        <f t="shared" si="1199"/>
        <v/>
      </c>
      <c r="AH1690" s="964" t="str">
        <f t="shared" si="1200"/>
        <v/>
      </c>
      <c r="AI1690" s="964" t="str">
        <f t="shared" si="1201"/>
        <v/>
      </c>
      <c r="AJ1690" s="964"/>
      <c r="AK1690" s="964"/>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s="1396"/>
      <c r="CB1690" s="1396"/>
      <c r="CC1690"/>
      <c r="CD1690"/>
      <c r="CE1690"/>
    </row>
    <row r="1691" spans="1:83" ht="13.15" customHeight="1" outlineLevel="2" x14ac:dyDescent="0.2">
      <c r="A1691"/>
      <c r="B1691" s="1"/>
      <c r="C1691"/>
      <c r="D1691"/>
      <c r="E1691"/>
      <c r="F1691"/>
      <c r="G1691" s="1"/>
      <c r="H1691" s="1"/>
      <c r="I1691"/>
      <c r="J1691"/>
      <c r="K1691"/>
      <c r="L1691"/>
      <c r="M1691"/>
      <c r="N1691"/>
      <c r="O1691"/>
      <c r="P1691"/>
      <c r="Q1691"/>
      <c r="R1691" s="558" t="s">
        <v>3977</v>
      </c>
      <c r="S1691" s="83"/>
      <c r="T1691" s="56"/>
      <c r="U1691" s="955"/>
      <c r="V1691" s="43" t="str">
        <f>Z1680</f>
        <v>F</v>
      </c>
      <c r="W1691" s="10"/>
      <c r="X1691" s="45" t="s">
        <v>769</v>
      </c>
      <c r="Y1691" s="10"/>
      <c r="Z1691" s="46" t="str">
        <f t="shared" si="1202"/>
        <v>R</v>
      </c>
      <c r="AA1691" s="123"/>
      <c r="AB1691" s="1459">
        <f t="shared" si="1194"/>
        <v>0</v>
      </c>
      <c r="AC1691" s="1460" t="str">
        <f t="shared" si="1195"/>
        <v>-</v>
      </c>
      <c r="AD1691" s="1459">
        <f t="shared" si="1196"/>
        <v>0</v>
      </c>
      <c r="AE1691" s="964" t="str">
        <f t="shared" si="1197"/>
        <v/>
      </c>
      <c r="AF1691" s="964" t="str">
        <f t="shared" si="1198"/>
        <v/>
      </c>
      <c r="AG1691" s="964" t="str">
        <f t="shared" si="1199"/>
        <v/>
      </c>
      <c r="AH1691" s="964" t="str">
        <f t="shared" si="1200"/>
        <v/>
      </c>
      <c r="AI1691" s="964" t="str">
        <f t="shared" si="1201"/>
        <v/>
      </c>
      <c r="AJ1691" s="964"/>
      <c r="AK1691" s="964"/>
      <c r="AL1691"/>
      <c r="AM1691"/>
      <c r="AN1691"/>
      <c r="AO1691"/>
      <c r="AP1691"/>
      <c r="AQ1691"/>
      <c r="AR1691"/>
      <c r="AS1691"/>
      <c r="AT1691"/>
      <c r="AU1691"/>
      <c r="AV1691"/>
      <c r="AW1691"/>
      <c r="AX1691" s="9"/>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s="1396"/>
      <c r="CB1691" s="1396"/>
      <c r="CC1691"/>
      <c r="CD1691"/>
      <c r="CE1691"/>
    </row>
    <row r="1692" spans="1:83" ht="13.15" customHeight="1" outlineLevel="2" x14ac:dyDescent="0.2">
      <c r="A1692"/>
      <c r="B1692" s="1"/>
      <c r="C1692"/>
      <c r="D1692"/>
      <c r="E1692"/>
      <c r="F1692"/>
      <c r="G1692" s="1"/>
      <c r="H1692" s="1"/>
      <c r="I1692"/>
      <c r="J1692"/>
      <c r="K1692"/>
      <c r="L1692"/>
      <c r="M1692"/>
      <c r="N1692"/>
      <c r="O1692"/>
      <c r="P1692"/>
      <c r="Q1692"/>
      <c r="R1692" s="558" t="s">
        <v>3977</v>
      </c>
      <c r="S1692" s="83"/>
      <c r="T1692" s="56"/>
      <c r="U1692" s="955"/>
      <c r="V1692" s="43" t="str">
        <f>Z1682</f>
        <v>B</v>
      </c>
      <c r="W1692" s="10"/>
      <c r="X1692" s="45" t="s">
        <v>769</v>
      </c>
      <c r="Y1692" s="10"/>
      <c r="Z1692" s="46" t="str">
        <f t="shared" si="1202"/>
        <v>S</v>
      </c>
      <c r="AA1692" s="123"/>
      <c r="AB1692" s="1459">
        <f t="shared" si="1194"/>
        <v>0</v>
      </c>
      <c r="AC1692" s="1460" t="str">
        <f t="shared" si="1195"/>
        <v>-</v>
      </c>
      <c r="AD1692" s="1459">
        <f t="shared" si="1196"/>
        <v>0</v>
      </c>
      <c r="AE1692" s="964" t="str">
        <f t="shared" si="1197"/>
        <v/>
      </c>
      <c r="AF1692" s="964" t="str">
        <f t="shared" si="1198"/>
        <v/>
      </c>
      <c r="AG1692" s="964" t="str">
        <f t="shared" si="1199"/>
        <v/>
      </c>
      <c r="AH1692" s="964" t="str">
        <f t="shared" si="1200"/>
        <v/>
      </c>
      <c r="AI1692" s="964" t="str">
        <f t="shared" si="1201"/>
        <v/>
      </c>
      <c r="AJ1692" s="964"/>
      <c r="AK1692" s="964"/>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s="1396"/>
      <c r="CB1692" s="1396"/>
      <c r="CC1692"/>
      <c r="CD1692"/>
      <c r="CE1692"/>
    </row>
    <row r="1693" spans="1:83" ht="13.15" customHeight="1" outlineLevel="2" x14ac:dyDescent="0.2">
      <c r="A1693"/>
      <c r="B1693" s="1"/>
      <c r="C1693"/>
      <c r="D1693"/>
      <c r="E1693"/>
      <c r="F1693"/>
      <c r="G1693" s="1"/>
      <c r="H1693" s="1"/>
      <c r="I1693"/>
      <c r="J1693"/>
      <c r="K1693"/>
      <c r="L1693"/>
      <c r="M1693"/>
      <c r="N1693"/>
      <c r="O1693"/>
      <c r="P1693"/>
      <c r="Q1693"/>
      <c r="R1693" s="558" t="s">
        <v>3977</v>
      </c>
      <c r="S1693" s="83"/>
      <c r="T1693" s="56"/>
      <c r="U1693" s="955"/>
      <c r="V1693" s="43" t="str">
        <f>Z1683</f>
        <v>C</v>
      </c>
      <c r="W1693" s="10"/>
      <c r="X1693" s="45" t="s">
        <v>769</v>
      </c>
      <c r="Y1693" s="10"/>
      <c r="Z1693" s="46" t="str">
        <f t="shared" si="1202"/>
        <v>Q</v>
      </c>
      <c r="AA1693" s="123"/>
      <c r="AB1693" s="1459">
        <f t="shared" si="1194"/>
        <v>0</v>
      </c>
      <c r="AC1693" s="1460" t="str">
        <f t="shared" si="1195"/>
        <v>-</v>
      </c>
      <c r="AD1693" s="1459">
        <f t="shared" si="1196"/>
        <v>0</v>
      </c>
      <c r="AE1693" s="964" t="str">
        <f t="shared" si="1197"/>
        <v/>
      </c>
      <c r="AF1693" s="964" t="str">
        <f t="shared" si="1198"/>
        <v/>
      </c>
      <c r="AG1693" s="964" t="str">
        <f t="shared" si="1199"/>
        <v/>
      </c>
      <c r="AH1693" s="964" t="str">
        <f t="shared" si="1200"/>
        <v/>
      </c>
      <c r="AI1693" s="964" t="str">
        <f t="shared" si="1201"/>
        <v/>
      </c>
      <c r="AJ1693" s="964"/>
      <c r="AK1693" s="964"/>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s="1396"/>
      <c r="CB1693" s="1396"/>
      <c r="CC1693"/>
      <c r="CD1693"/>
      <c r="CE1693"/>
    </row>
    <row r="1694" spans="1:83" ht="13.15" customHeight="1" outlineLevel="2" x14ac:dyDescent="0.2">
      <c r="A1694"/>
      <c r="B1694" s="1"/>
      <c r="C1694"/>
      <c r="D1694"/>
      <c r="E1694"/>
      <c r="F1694"/>
      <c r="G1694" s="1"/>
      <c r="H1694" s="1"/>
      <c r="I1694"/>
      <c r="J1694"/>
      <c r="K1694"/>
      <c r="L1694"/>
      <c r="M1694"/>
      <c r="N1694"/>
      <c r="O1694"/>
      <c r="P1694"/>
      <c r="Q1694"/>
      <c r="R1694" s="558" t="s">
        <v>3977</v>
      </c>
      <c r="S1694" s="83"/>
      <c r="T1694" s="56"/>
      <c r="U1694" s="955"/>
      <c r="V1694" s="43" t="str">
        <f>Z1684</f>
        <v>E</v>
      </c>
      <c r="W1694" s="10"/>
      <c r="X1694" s="45" t="s">
        <v>769</v>
      </c>
      <c r="Y1694" s="10"/>
      <c r="Z1694" s="46" t="str">
        <f t="shared" si="1202"/>
        <v>O</v>
      </c>
      <c r="AA1694" s="123"/>
      <c r="AB1694" s="1459">
        <f t="shared" si="1194"/>
        <v>0</v>
      </c>
      <c r="AC1694" s="1460" t="str">
        <f t="shared" si="1195"/>
        <v>-</v>
      </c>
      <c r="AD1694" s="1459">
        <f t="shared" si="1196"/>
        <v>0</v>
      </c>
      <c r="AE1694" s="964" t="str">
        <f t="shared" si="1197"/>
        <v/>
      </c>
      <c r="AF1694" s="964" t="str">
        <f t="shared" si="1198"/>
        <v/>
      </c>
      <c r="AG1694" s="964" t="str">
        <f t="shared" si="1199"/>
        <v/>
      </c>
      <c r="AH1694" s="964" t="str">
        <f t="shared" si="1200"/>
        <v/>
      </c>
      <c r="AI1694" s="964" t="str">
        <f t="shared" si="1201"/>
        <v/>
      </c>
      <c r="AJ1694" s="964"/>
      <c r="AK1694" s="96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s="1396"/>
      <c r="CB1694" s="1396"/>
      <c r="CC1694"/>
      <c r="CD1694"/>
      <c r="CE1694"/>
    </row>
    <row r="1695" spans="1:83" ht="13.15" customHeight="1" outlineLevel="2" x14ac:dyDescent="0.2">
      <c r="A1695"/>
      <c r="B1695" s="1"/>
      <c r="C1695"/>
      <c r="D1695"/>
      <c r="E1695"/>
      <c r="F1695"/>
      <c r="G1695" s="1"/>
      <c r="H1695" s="1"/>
      <c r="I1695"/>
      <c r="J1695"/>
      <c r="K1695"/>
      <c r="L1695"/>
      <c r="M1695"/>
      <c r="N1695"/>
      <c r="O1695"/>
      <c r="P1695"/>
      <c r="Q1695"/>
      <c r="R1695" s="558" t="s">
        <v>3977</v>
      </c>
      <c r="S1695" s="83"/>
      <c r="T1695" s="56"/>
      <c r="U1695" s="955"/>
      <c r="V1695" s="43" t="str">
        <f>Z1685</f>
        <v>G</v>
      </c>
      <c r="W1695" s="10"/>
      <c r="X1695" s="45" t="s">
        <v>769</v>
      </c>
      <c r="Y1695" s="10"/>
      <c r="Z1695" s="46" t="str">
        <f t="shared" si="1202"/>
        <v>M</v>
      </c>
      <c r="AA1695" s="123"/>
      <c r="AB1695" s="1459">
        <f t="shared" si="1194"/>
        <v>0</v>
      </c>
      <c r="AC1695" s="1460" t="str">
        <f t="shared" si="1195"/>
        <v>-</v>
      </c>
      <c r="AD1695" s="1459">
        <f t="shared" si="1196"/>
        <v>0</v>
      </c>
      <c r="AE1695" s="964" t="str">
        <f t="shared" si="1197"/>
        <v/>
      </c>
      <c r="AF1695" s="964" t="str">
        <f t="shared" si="1198"/>
        <v/>
      </c>
      <c r="AG1695" s="964" t="str">
        <f t="shared" si="1199"/>
        <v/>
      </c>
      <c r="AH1695" s="964" t="str">
        <f t="shared" si="1200"/>
        <v/>
      </c>
      <c r="AI1695" s="964" t="str">
        <f t="shared" si="1201"/>
        <v/>
      </c>
      <c r="AJ1695" s="964"/>
      <c r="AK1695" s="964"/>
      <c r="AL1695"/>
      <c r="AM1695"/>
      <c r="AN1695"/>
      <c r="AO1695"/>
      <c r="AP1695"/>
      <c r="AQ1695"/>
      <c r="AR1695"/>
      <c r="AS1695"/>
      <c r="AT1695"/>
      <c r="AU1695"/>
      <c r="AV1695"/>
      <c r="AW1695"/>
      <c r="AX1695" s="9"/>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s="1396"/>
      <c r="CB1695" s="1396"/>
      <c r="CC1695"/>
      <c r="CD1695"/>
      <c r="CE1695"/>
    </row>
    <row r="1696" spans="1:83" ht="13.9" customHeight="1" outlineLevel="2" thickBot="1" x14ac:dyDescent="0.25">
      <c r="A1696"/>
      <c r="B1696" s="1"/>
      <c r="C1696"/>
      <c r="D1696"/>
      <c r="E1696"/>
      <c r="F1696"/>
      <c r="G1696" s="1"/>
      <c r="H1696" s="1"/>
      <c r="I1696"/>
      <c r="J1696"/>
      <c r="K1696"/>
      <c r="L1696"/>
      <c r="M1696"/>
      <c r="N1696"/>
      <c r="O1696"/>
      <c r="P1696"/>
      <c r="Q1696"/>
      <c r="R1696" s="558" t="s">
        <v>3977</v>
      </c>
      <c r="S1696" s="956"/>
      <c r="T1696" s="58"/>
      <c r="U1696" s="957"/>
      <c r="V1696" s="958" t="str">
        <f>V1685</f>
        <v>I</v>
      </c>
      <c r="W1696" s="175"/>
      <c r="X1696" s="52" t="s">
        <v>769</v>
      </c>
      <c r="Y1696" s="175"/>
      <c r="Z1696" s="46" t="str">
        <f t="shared" si="1202"/>
        <v>K</v>
      </c>
      <c r="AA1696" s="123"/>
      <c r="AB1696" s="1459">
        <f t="shared" si="1194"/>
        <v>0</v>
      </c>
      <c r="AC1696" s="1460" t="str">
        <f t="shared" si="1195"/>
        <v>-</v>
      </c>
      <c r="AD1696" s="1459">
        <f t="shared" si="1196"/>
        <v>0</v>
      </c>
      <c r="AE1696" s="964" t="str">
        <f t="shared" si="1197"/>
        <v/>
      </c>
      <c r="AF1696" s="964" t="str">
        <f t="shared" si="1198"/>
        <v/>
      </c>
      <c r="AG1696" s="964" t="str">
        <f t="shared" si="1199"/>
        <v/>
      </c>
      <c r="AH1696" s="964" t="str">
        <f t="shared" si="1200"/>
        <v/>
      </c>
      <c r="AI1696" s="964" t="str">
        <f t="shared" si="1201"/>
        <v/>
      </c>
      <c r="AJ1696" s="964"/>
      <c r="AK1696" s="964"/>
      <c r="AL1696"/>
      <c r="AM1696"/>
      <c r="AN1696"/>
      <c r="AO1696"/>
      <c r="AP1696"/>
      <c r="AQ1696"/>
      <c r="AR1696"/>
      <c r="AS1696"/>
      <c r="AT1696"/>
      <c r="AU1696"/>
      <c r="AV1696"/>
      <c r="AW1696" s="9"/>
      <c r="AX1696" s="9"/>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s="1396"/>
      <c r="CB1696" s="1396"/>
      <c r="CC1696"/>
      <c r="CD1696"/>
      <c r="CE1696"/>
    </row>
    <row r="1697" spans="1:83" ht="13.5" outlineLevel="1" thickBot="1" x14ac:dyDescent="0.25">
      <c r="A1697"/>
      <c r="B1697" s="1"/>
      <c r="C1697" s="1"/>
      <c r="D1697" s="76"/>
      <c r="E1697" s="76"/>
      <c r="F1697" s="76"/>
      <c r="G1697" s="9"/>
      <c r="H1697" s="9"/>
      <c r="I1697" s="1"/>
      <c r="J1697"/>
      <c r="K1697"/>
      <c r="L1697"/>
      <c r="M1697"/>
      <c r="N1697"/>
      <c r="O1697"/>
      <c r="P1697" s="89"/>
      <c r="Q1697"/>
      <c r="R1697" s="1"/>
      <c r="S1697" s="993">
        <f>S1686+1</f>
        <v>16</v>
      </c>
      <c r="T1697" s="961"/>
      <c r="U1697" s="961"/>
      <c r="V1697" s="961"/>
      <c r="W1697" s="960"/>
      <c r="X1697" s="960"/>
      <c r="Y1697" s="960"/>
      <c r="Z1697" s="962"/>
      <c r="AA1697" s="123"/>
      <c r="AB1697" s="963"/>
      <c r="AC1697" s="963"/>
      <c r="AD1697" s="963"/>
      <c r="AE1697" s="964"/>
      <c r="AF1697" s="964"/>
      <c r="AG1697" s="964"/>
      <c r="AH1697" s="964"/>
      <c r="AI1697" s="964"/>
      <c r="AJ1697" s="964"/>
      <c r="AK1697" s="964"/>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s="1396"/>
      <c r="CB1697" s="1396"/>
      <c r="CC1697"/>
      <c r="CD1697"/>
      <c r="CE1697"/>
    </row>
    <row r="1698" spans="1:83" ht="13.9" customHeight="1" outlineLevel="2" thickBot="1" x14ac:dyDescent="0.25">
      <c r="A1698"/>
      <c r="B1698" s="1"/>
      <c r="C1698"/>
      <c r="D1698"/>
      <c r="E1698"/>
      <c r="F1698"/>
      <c r="G1698" s="1"/>
      <c r="H1698" s="1"/>
      <c r="I1698"/>
      <c r="J1698"/>
      <c r="K1698"/>
      <c r="L1698"/>
      <c r="M1698"/>
      <c r="N1698"/>
      <c r="O1698"/>
      <c r="P1698"/>
      <c r="Q1698"/>
      <c r="S1698" s="22" t="str">
        <f>N_Heure</f>
        <v>Heure</v>
      </c>
      <c r="T1698" s="22" t="str">
        <f>N_Table</f>
        <v>Table</v>
      </c>
      <c r="U1698" s="22" t="str">
        <f>N_Arbitre</f>
        <v>Arbitre</v>
      </c>
      <c r="V1698" s="293" t="str">
        <f>N_Matches</f>
        <v>Matches</v>
      </c>
      <c r="W1698" s="294"/>
      <c r="X1698" s="294"/>
      <c r="Y1698" s="294"/>
      <c r="Z1698" s="295"/>
      <c r="AA1698" s="8"/>
      <c r="AB1698" s="967"/>
      <c r="AC1698" s="967"/>
      <c r="AD1698" s="967"/>
      <c r="AE1698" s="964"/>
      <c r="AF1698" s="964"/>
      <c r="AG1698" s="964"/>
      <c r="AH1698" s="964"/>
      <c r="AI1698" s="964"/>
      <c r="AJ1698" s="964"/>
      <c r="AK1698" s="964"/>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s="1396"/>
      <c r="CB1698" s="1396"/>
      <c r="CC1698"/>
      <c r="CD1698"/>
      <c r="CE1698"/>
    </row>
    <row r="1699" spans="1:83" ht="13.15" customHeight="1" outlineLevel="2" x14ac:dyDescent="0.2">
      <c r="A1699"/>
      <c r="B1699" s="1"/>
      <c r="C1699"/>
      <c r="D1699"/>
      <c r="E1699"/>
      <c r="F1699"/>
      <c r="G1699" s="1"/>
      <c r="H1699" s="1"/>
      <c r="I1699"/>
      <c r="J1699"/>
      <c r="K1699"/>
      <c r="L1699"/>
      <c r="M1699"/>
      <c r="N1699"/>
      <c r="O1699"/>
      <c r="P1699"/>
      <c r="Q1699"/>
      <c r="R1699" s="558" t="s">
        <v>3978</v>
      </c>
      <c r="S1699" s="65"/>
      <c r="T1699" s="953"/>
      <c r="U1699" s="954"/>
      <c r="V1699" s="34" t="str">
        <f>V1689</f>
        <v>J</v>
      </c>
      <c r="W1699" s="148"/>
      <c r="X1699" s="35" t="s">
        <v>769</v>
      </c>
      <c r="Y1699" s="148"/>
      <c r="Z1699" s="36" t="str">
        <f>V1688</f>
        <v>A</v>
      </c>
      <c r="AA1699" s="123"/>
      <c r="AB1699" s="1459">
        <f t="shared" ref="AB1699:AB1707" si="1203">IF(MaxScore,MaxGoals(W1699,Y1699,MaxGoalsValue),IF(W1699="","",W1699))</f>
        <v>0</v>
      </c>
      <c r="AC1699" s="1460" t="str">
        <f t="shared" ref="AC1699:AC1707" si="1204">IF(MaxScore,"-",IF(W1699="","","-"))</f>
        <v>-</v>
      </c>
      <c r="AD1699" s="1459">
        <f t="shared" ref="AD1699:AD1707" si="1205">IF(MaxScore,MaxGoals(Y1699,W1699,MaxGoalsValue),IF(Y1699="","",Y1699))</f>
        <v>0</v>
      </c>
      <c r="AE1699" s="964" t="str">
        <f t="shared" ref="AE1699:AE1707" si="1206">IF(W1699="","",IF(W1699&gt;Y1699,V1699,IF(W1699=Y1699,"",Z1699)))</f>
        <v/>
      </c>
      <c r="AF1699" s="964" t="str">
        <f t="shared" ref="AF1699:AF1707" si="1207">IF(W1699="","",IF(W1699=Y1699,V1699,""))</f>
        <v/>
      </c>
      <c r="AG1699" s="964" t="str">
        <f t="shared" ref="AG1699:AG1707" si="1208">IF(W1699="","",IF(W1699=Y1699,Z1699,""))</f>
        <v/>
      </c>
      <c r="AH1699" s="964" t="str">
        <f t="shared" ref="AH1699:AH1707" si="1209">IF(W1699="","",IF(W1699&lt;Y1699,V1699,IF(W1699=Y1699,"",Z1699)))</f>
        <v/>
      </c>
      <c r="AI1699" s="964" t="str">
        <f t="shared" ref="AI1699:AI1707" si="1210">CONCATENATE(AE1699,AH1699)</f>
        <v/>
      </c>
      <c r="AJ1699" s="964"/>
      <c r="AK1699" s="964"/>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s="1396"/>
      <c r="CB1699" s="1396"/>
      <c r="CC1699"/>
      <c r="CD1699"/>
      <c r="CE1699"/>
    </row>
    <row r="1700" spans="1:83" ht="13.15" customHeight="1" outlineLevel="2" x14ac:dyDescent="0.2">
      <c r="A1700"/>
      <c r="B1700" s="1"/>
      <c r="C1700"/>
      <c r="D1700"/>
      <c r="E1700"/>
      <c r="F1700"/>
      <c r="G1700" s="1"/>
      <c r="H1700" s="1"/>
      <c r="I1700"/>
      <c r="J1700"/>
      <c r="K1700"/>
      <c r="L1700"/>
      <c r="M1700"/>
      <c r="N1700"/>
      <c r="O1700"/>
      <c r="P1700"/>
      <c r="Q1700"/>
      <c r="R1700" s="558" t="s">
        <v>3978</v>
      </c>
      <c r="S1700" s="83"/>
      <c r="T1700" s="56"/>
      <c r="U1700" s="955"/>
      <c r="V1700" s="43" t="str">
        <f t="shared" ref="V1700:V1707" si="1211">Z1688</f>
        <v>L</v>
      </c>
      <c r="W1700" s="10"/>
      <c r="X1700" s="45" t="s">
        <v>769</v>
      </c>
      <c r="Y1700" s="10"/>
      <c r="Z1700" s="46" t="str">
        <f>V1690</f>
        <v>H</v>
      </c>
      <c r="AA1700" s="123"/>
      <c r="AB1700" s="1459">
        <f t="shared" si="1203"/>
        <v>0</v>
      </c>
      <c r="AC1700" s="1460" t="str">
        <f t="shared" si="1204"/>
        <v>-</v>
      </c>
      <c r="AD1700" s="1459">
        <f t="shared" si="1205"/>
        <v>0</v>
      </c>
      <c r="AE1700" s="964" t="str">
        <f t="shared" si="1206"/>
        <v/>
      </c>
      <c r="AF1700" s="964" t="str">
        <f t="shared" si="1207"/>
        <v/>
      </c>
      <c r="AG1700" s="964" t="str">
        <f t="shared" si="1208"/>
        <v/>
      </c>
      <c r="AH1700" s="964" t="str">
        <f t="shared" si="1209"/>
        <v/>
      </c>
      <c r="AI1700" s="964" t="str">
        <f t="shared" si="1210"/>
        <v/>
      </c>
      <c r="AJ1700" s="964"/>
      <c r="AK1700" s="964"/>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s="1396"/>
      <c r="CB1700" s="1396"/>
      <c r="CC1700"/>
      <c r="CD1700"/>
      <c r="CE1700"/>
    </row>
    <row r="1701" spans="1:83" ht="13.15" customHeight="1" outlineLevel="2" x14ac:dyDescent="0.2">
      <c r="A1701"/>
      <c r="B1701" s="1"/>
      <c r="C1701"/>
      <c r="D1701"/>
      <c r="E1701"/>
      <c r="F1701"/>
      <c r="G1701" s="1"/>
      <c r="H1701" s="1"/>
      <c r="I1701"/>
      <c r="J1701"/>
      <c r="K1701"/>
      <c r="L1701"/>
      <c r="M1701"/>
      <c r="N1701"/>
      <c r="O1701"/>
      <c r="P1701"/>
      <c r="Q1701"/>
      <c r="R1701" s="558" t="s">
        <v>3978</v>
      </c>
      <c r="S1701" s="83"/>
      <c r="T1701" s="56"/>
      <c r="U1701" s="955"/>
      <c r="V1701" s="43" t="str">
        <f t="shared" si="1211"/>
        <v>N</v>
      </c>
      <c r="W1701" s="10"/>
      <c r="X1701" s="45" t="s">
        <v>769</v>
      </c>
      <c r="Y1701" s="10"/>
      <c r="Z1701" s="46" t="str">
        <f>V1691</f>
        <v>F</v>
      </c>
      <c r="AA1701" s="123"/>
      <c r="AB1701" s="1459">
        <f t="shared" si="1203"/>
        <v>0</v>
      </c>
      <c r="AC1701" s="1460" t="str">
        <f t="shared" si="1204"/>
        <v>-</v>
      </c>
      <c r="AD1701" s="1459">
        <f t="shared" si="1205"/>
        <v>0</v>
      </c>
      <c r="AE1701" s="964" t="str">
        <f t="shared" si="1206"/>
        <v/>
      </c>
      <c r="AF1701" s="964" t="str">
        <f t="shared" si="1207"/>
        <v/>
      </c>
      <c r="AG1701" s="964" t="str">
        <f t="shared" si="1208"/>
        <v/>
      </c>
      <c r="AH1701" s="964" t="str">
        <f t="shared" si="1209"/>
        <v/>
      </c>
      <c r="AI1701" s="964" t="str">
        <f t="shared" si="1210"/>
        <v/>
      </c>
      <c r="AJ1701" s="964"/>
      <c r="AK1701" s="964"/>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s="1396"/>
      <c r="CB1701" s="1396"/>
      <c r="CC1701"/>
      <c r="CD1701"/>
      <c r="CE1701"/>
    </row>
    <row r="1702" spans="1:83" ht="13.15" customHeight="1" outlineLevel="2" x14ac:dyDescent="0.2">
      <c r="A1702"/>
      <c r="B1702" s="1"/>
      <c r="C1702"/>
      <c r="D1702"/>
      <c r="E1702"/>
      <c r="F1702"/>
      <c r="G1702" s="1"/>
      <c r="H1702" s="1"/>
      <c r="I1702"/>
      <c r="J1702"/>
      <c r="K1702"/>
      <c r="L1702"/>
      <c r="M1702"/>
      <c r="N1702"/>
      <c r="O1702"/>
      <c r="P1702"/>
      <c r="Q1702"/>
      <c r="R1702" s="558" t="s">
        <v>3978</v>
      </c>
      <c r="S1702" s="83"/>
      <c r="T1702" s="56"/>
      <c r="U1702" s="955"/>
      <c r="V1702" s="43" t="str">
        <f t="shared" si="1211"/>
        <v>P</v>
      </c>
      <c r="W1702" s="10"/>
      <c r="X1702" s="45" t="s">
        <v>769</v>
      </c>
      <c r="Y1702" s="10"/>
      <c r="Z1702" s="46" t="str">
        <f>Z1681</f>
        <v>D</v>
      </c>
      <c r="AA1702" s="123"/>
      <c r="AB1702" s="1459">
        <f t="shared" si="1203"/>
        <v>0</v>
      </c>
      <c r="AC1702" s="1460" t="str">
        <f t="shared" si="1204"/>
        <v>-</v>
      </c>
      <c r="AD1702" s="1459">
        <f t="shared" si="1205"/>
        <v>0</v>
      </c>
      <c r="AE1702" s="964" t="str">
        <f t="shared" si="1206"/>
        <v/>
      </c>
      <c r="AF1702" s="964" t="str">
        <f t="shared" si="1207"/>
        <v/>
      </c>
      <c r="AG1702" s="964" t="str">
        <f t="shared" si="1208"/>
        <v/>
      </c>
      <c r="AH1702" s="964" t="str">
        <f t="shared" si="1209"/>
        <v/>
      </c>
      <c r="AI1702" s="964" t="str">
        <f t="shared" si="1210"/>
        <v/>
      </c>
      <c r="AJ1702" s="964"/>
      <c r="AK1702" s="964"/>
      <c r="AL1702"/>
      <c r="AM1702"/>
      <c r="AN1702"/>
      <c r="AO1702"/>
      <c r="AP1702"/>
      <c r="AQ1702"/>
      <c r="AR1702"/>
      <c r="AS1702"/>
      <c r="AT1702"/>
      <c r="AU1702"/>
      <c r="AV1702"/>
      <c r="AW1702"/>
      <c r="AX1702" s="9"/>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s="1396"/>
      <c r="CB1702" s="1396"/>
      <c r="CC1702"/>
      <c r="CD1702"/>
      <c r="CE1702"/>
    </row>
    <row r="1703" spans="1:83" ht="13.15" customHeight="1" outlineLevel="2" x14ac:dyDescent="0.2">
      <c r="A1703"/>
      <c r="B1703" s="1"/>
      <c r="C1703"/>
      <c r="D1703"/>
      <c r="E1703"/>
      <c r="F1703"/>
      <c r="G1703" s="1"/>
      <c r="H1703" s="1"/>
      <c r="I1703"/>
      <c r="J1703"/>
      <c r="K1703"/>
      <c r="L1703"/>
      <c r="M1703"/>
      <c r="N1703"/>
      <c r="O1703"/>
      <c r="P1703"/>
      <c r="Q1703"/>
      <c r="R1703" s="558" t="s">
        <v>3978</v>
      </c>
      <c r="S1703" s="83"/>
      <c r="T1703" s="56"/>
      <c r="U1703" s="955"/>
      <c r="V1703" s="43" t="str">
        <f t="shared" si="1211"/>
        <v>R</v>
      </c>
      <c r="W1703" s="10"/>
      <c r="X1703" s="45" t="s">
        <v>769</v>
      </c>
      <c r="Y1703" s="10"/>
      <c r="Z1703" s="46" t="str">
        <f>V1692</f>
        <v>B</v>
      </c>
      <c r="AA1703" s="123"/>
      <c r="AB1703" s="1459">
        <f t="shared" si="1203"/>
        <v>0</v>
      </c>
      <c r="AC1703" s="1460" t="str">
        <f t="shared" si="1204"/>
        <v>-</v>
      </c>
      <c r="AD1703" s="1459">
        <f t="shared" si="1205"/>
        <v>0</v>
      </c>
      <c r="AE1703" s="964" t="str">
        <f t="shared" si="1206"/>
        <v/>
      </c>
      <c r="AF1703" s="964" t="str">
        <f t="shared" si="1207"/>
        <v/>
      </c>
      <c r="AG1703" s="964" t="str">
        <f t="shared" si="1208"/>
        <v/>
      </c>
      <c r="AH1703" s="964" t="str">
        <f t="shared" si="1209"/>
        <v/>
      </c>
      <c r="AI1703" s="964" t="str">
        <f t="shared" si="1210"/>
        <v/>
      </c>
      <c r="AJ1703" s="964"/>
      <c r="AK1703" s="964"/>
      <c r="AL1703"/>
      <c r="AM1703"/>
      <c r="AN1703"/>
      <c r="AO1703"/>
      <c r="AP1703"/>
      <c r="AQ1703"/>
      <c r="AR1703"/>
      <c r="AS1703"/>
      <c r="AT1703"/>
      <c r="AU1703"/>
      <c r="AV1703"/>
      <c r="AW1703" s="9"/>
      <c r="AX1703" s="9"/>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s="1396"/>
      <c r="CB1703" s="1396"/>
      <c r="CC1703"/>
      <c r="CD1703"/>
      <c r="CE1703"/>
    </row>
    <row r="1704" spans="1:83" ht="13.15" customHeight="1" outlineLevel="2" x14ac:dyDescent="0.2">
      <c r="A1704"/>
      <c r="B1704" s="1"/>
      <c r="C1704"/>
      <c r="D1704"/>
      <c r="E1704"/>
      <c r="F1704"/>
      <c r="G1704" s="1"/>
      <c r="H1704" s="1"/>
      <c r="I1704"/>
      <c r="J1704"/>
      <c r="K1704"/>
      <c r="L1704"/>
      <c r="M1704"/>
      <c r="N1704"/>
      <c r="O1704"/>
      <c r="P1704"/>
      <c r="Q1704"/>
      <c r="R1704" s="558" t="s">
        <v>3978</v>
      </c>
      <c r="S1704" s="83"/>
      <c r="T1704" s="56"/>
      <c r="U1704" s="955"/>
      <c r="V1704" s="43" t="str">
        <f t="shared" si="1211"/>
        <v>S</v>
      </c>
      <c r="W1704" s="10"/>
      <c r="X1704" s="45" t="s">
        <v>769</v>
      </c>
      <c r="Y1704" s="10"/>
      <c r="Z1704" s="46" t="str">
        <f>V1694</f>
        <v>E</v>
      </c>
      <c r="AA1704" s="123"/>
      <c r="AB1704" s="1459">
        <f t="shared" si="1203"/>
        <v>0</v>
      </c>
      <c r="AC1704" s="1460" t="str">
        <f t="shared" si="1204"/>
        <v>-</v>
      </c>
      <c r="AD1704" s="1459">
        <f t="shared" si="1205"/>
        <v>0</v>
      </c>
      <c r="AE1704" s="964" t="str">
        <f t="shared" si="1206"/>
        <v/>
      </c>
      <c r="AF1704" s="964" t="str">
        <f t="shared" si="1207"/>
        <v/>
      </c>
      <c r="AG1704" s="964" t="str">
        <f t="shared" si="1208"/>
        <v/>
      </c>
      <c r="AH1704" s="964" t="str">
        <f t="shared" si="1209"/>
        <v/>
      </c>
      <c r="AI1704" s="964" t="str">
        <f t="shared" si="1210"/>
        <v/>
      </c>
      <c r="AJ1704" s="964"/>
      <c r="AK1704" s="96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s="1396"/>
      <c r="CB1704" s="1396"/>
      <c r="CC1704"/>
      <c r="CD1704"/>
      <c r="CE1704"/>
    </row>
    <row r="1705" spans="1:83" ht="13.15" customHeight="1" outlineLevel="2" x14ac:dyDescent="0.2">
      <c r="A1705"/>
      <c r="B1705" s="1"/>
      <c r="C1705"/>
      <c r="D1705"/>
      <c r="E1705"/>
      <c r="F1705"/>
      <c r="G1705" s="1"/>
      <c r="H1705" s="1"/>
      <c r="I1705"/>
      <c r="J1705"/>
      <c r="K1705"/>
      <c r="L1705"/>
      <c r="M1705"/>
      <c r="N1705"/>
      <c r="O1705"/>
      <c r="P1705"/>
      <c r="Q1705"/>
      <c r="R1705" s="558" t="s">
        <v>3978</v>
      </c>
      <c r="S1705" s="83"/>
      <c r="T1705" s="56"/>
      <c r="U1705" s="955"/>
      <c r="V1705" s="43" t="str">
        <f t="shared" si="1211"/>
        <v>Q</v>
      </c>
      <c r="W1705" s="10"/>
      <c r="X1705" s="45" t="s">
        <v>769</v>
      </c>
      <c r="Y1705" s="10"/>
      <c r="Z1705" s="46" t="str">
        <f>V1695</f>
        <v>G</v>
      </c>
      <c r="AA1705" s="123"/>
      <c r="AB1705" s="1459">
        <f t="shared" si="1203"/>
        <v>0</v>
      </c>
      <c r="AC1705" s="1460" t="str">
        <f t="shared" si="1204"/>
        <v>-</v>
      </c>
      <c r="AD1705" s="1459">
        <f t="shared" si="1205"/>
        <v>0</v>
      </c>
      <c r="AE1705" s="964" t="str">
        <f t="shared" si="1206"/>
        <v/>
      </c>
      <c r="AF1705" s="964" t="str">
        <f t="shared" si="1207"/>
        <v/>
      </c>
      <c r="AG1705" s="964" t="str">
        <f t="shared" si="1208"/>
        <v/>
      </c>
      <c r="AH1705" s="964" t="str">
        <f t="shared" si="1209"/>
        <v/>
      </c>
      <c r="AI1705" s="964" t="str">
        <f t="shared" si="1210"/>
        <v/>
      </c>
      <c r="AJ1705" s="964"/>
      <c r="AK1705" s="964"/>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s="1396"/>
      <c r="CB1705" s="1396"/>
      <c r="CC1705"/>
      <c r="CD1705"/>
      <c r="CE1705"/>
    </row>
    <row r="1706" spans="1:83" ht="13.15" customHeight="1" outlineLevel="2" x14ac:dyDescent="0.2">
      <c r="A1706"/>
      <c r="B1706" s="1"/>
      <c r="C1706"/>
      <c r="D1706"/>
      <c r="E1706"/>
      <c r="F1706"/>
      <c r="G1706" s="1"/>
      <c r="H1706" s="1"/>
      <c r="I1706"/>
      <c r="J1706"/>
      <c r="K1706"/>
      <c r="L1706"/>
      <c r="M1706"/>
      <c r="N1706"/>
      <c r="O1706"/>
      <c r="P1706"/>
      <c r="Q1706"/>
      <c r="R1706" s="558" t="s">
        <v>3978</v>
      </c>
      <c r="S1706" s="83"/>
      <c r="T1706" s="56"/>
      <c r="U1706" s="955"/>
      <c r="V1706" s="43" t="str">
        <f t="shared" si="1211"/>
        <v>O</v>
      </c>
      <c r="W1706" s="10"/>
      <c r="X1706" s="45" t="s">
        <v>769</v>
      </c>
      <c r="Y1706" s="10"/>
      <c r="Z1706" s="46" t="str">
        <f>V1696</f>
        <v>I</v>
      </c>
      <c r="AA1706" s="123"/>
      <c r="AB1706" s="1459">
        <f t="shared" si="1203"/>
        <v>0</v>
      </c>
      <c r="AC1706" s="1460" t="str">
        <f t="shared" si="1204"/>
        <v>-</v>
      </c>
      <c r="AD1706" s="1459">
        <f t="shared" si="1205"/>
        <v>0</v>
      </c>
      <c r="AE1706" s="964" t="str">
        <f t="shared" si="1206"/>
        <v/>
      </c>
      <c r="AF1706" s="964" t="str">
        <f t="shared" si="1207"/>
        <v/>
      </c>
      <c r="AG1706" s="964" t="str">
        <f t="shared" si="1208"/>
        <v/>
      </c>
      <c r="AH1706" s="964" t="str">
        <f t="shared" si="1209"/>
        <v/>
      </c>
      <c r="AI1706" s="964" t="str">
        <f t="shared" si="1210"/>
        <v/>
      </c>
      <c r="AJ1706" s="964"/>
      <c r="AK1706" s="964"/>
      <c r="AL1706"/>
      <c r="AM1706"/>
      <c r="AN1706"/>
      <c r="AO1706"/>
      <c r="AP1706"/>
      <c r="AQ1706"/>
      <c r="AR1706"/>
      <c r="AS1706"/>
      <c r="AT1706"/>
      <c r="AU1706"/>
      <c r="AV1706"/>
      <c r="AW1706"/>
      <c r="AX1706" s="9"/>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s="1396"/>
      <c r="CB1706" s="1396"/>
      <c r="CC1706"/>
      <c r="CD1706"/>
      <c r="CE1706"/>
    </row>
    <row r="1707" spans="1:83" ht="13.9" customHeight="1" outlineLevel="2" thickBot="1" x14ac:dyDescent="0.25">
      <c r="A1707"/>
      <c r="B1707" s="1"/>
      <c r="C1707"/>
      <c r="D1707"/>
      <c r="E1707"/>
      <c r="F1707"/>
      <c r="G1707" s="1"/>
      <c r="H1707" s="1"/>
      <c r="I1707"/>
      <c r="J1707"/>
      <c r="K1707"/>
      <c r="L1707"/>
      <c r="M1707"/>
      <c r="N1707"/>
      <c r="O1707"/>
      <c r="P1707"/>
      <c r="Q1707"/>
      <c r="R1707" s="558" t="s">
        <v>3978</v>
      </c>
      <c r="S1707" s="956"/>
      <c r="T1707" s="58"/>
      <c r="U1707" s="957"/>
      <c r="V1707" s="958" t="str">
        <f t="shared" si="1211"/>
        <v>M</v>
      </c>
      <c r="W1707" s="175"/>
      <c r="X1707" s="52" t="s">
        <v>769</v>
      </c>
      <c r="Y1707" s="175"/>
      <c r="Z1707" s="959" t="str">
        <f>Z1696</f>
        <v>K</v>
      </c>
      <c r="AA1707" s="123"/>
      <c r="AB1707" s="1459">
        <f t="shared" si="1203"/>
        <v>0</v>
      </c>
      <c r="AC1707" s="1460" t="str">
        <f t="shared" si="1204"/>
        <v>-</v>
      </c>
      <c r="AD1707" s="1459">
        <f t="shared" si="1205"/>
        <v>0</v>
      </c>
      <c r="AE1707" s="964" t="str">
        <f t="shared" si="1206"/>
        <v/>
      </c>
      <c r="AF1707" s="964" t="str">
        <f t="shared" si="1207"/>
        <v/>
      </c>
      <c r="AG1707" s="964" t="str">
        <f t="shared" si="1208"/>
        <v/>
      </c>
      <c r="AH1707" s="964" t="str">
        <f t="shared" si="1209"/>
        <v/>
      </c>
      <c r="AI1707" s="964" t="str">
        <f t="shared" si="1210"/>
        <v/>
      </c>
      <c r="AJ1707" s="964"/>
      <c r="AK1707" s="964"/>
      <c r="AL1707"/>
      <c r="AM1707"/>
      <c r="AN1707"/>
      <c r="AO1707"/>
      <c r="AP1707"/>
      <c r="AQ1707"/>
      <c r="AR1707"/>
      <c r="AS1707"/>
      <c r="AT1707"/>
      <c r="AU1707"/>
      <c r="AV1707"/>
      <c r="AW1707" s="9"/>
      <c r="AX1707" s="9"/>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s="1396"/>
      <c r="CB1707" s="1396"/>
      <c r="CC1707"/>
      <c r="CD1707"/>
      <c r="CE1707"/>
    </row>
    <row r="1708" spans="1:83" ht="13.5" outlineLevel="1" thickBot="1" x14ac:dyDescent="0.25">
      <c r="A1708"/>
      <c r="B1708" s="1"/>
      <c r="C1708" s="1"/>
      <c r="D1708" s="76"/>
      <c r="E1708" s="76"/>
      <c r="F1708" s="76"/>
      <c r="G1708" s="9"/>
      <c r="H1708" s="9"/>
      <c r="I1708" s="1"/>
      <c r="J1708"/>
      <c r="K1708"/>
      <c r="L1708"/>
      <c r="M1708"/>
      <c r="N1708"/>
      <c r="O1708"/>
      <c r="P1708" s="89"/>
      <c r="Q1708"/>
      <c r="R1708" s="1"/>
      <c r="S1708" s="993">
        <f>S1697+1</f>
        <v>17</v>
      </c>
      <c r="T1708" s="961"/>
      <c r="U1708" s="961"/>
      <c r="V1708" s="961"/>
      <c r="W1708" s="960"/>
      <c r="X1708" s="960"/>
      <c r="Y1708" s="960"/>
      <c r="Z1708" s="962"/>
      <c r="AA1708" s="123"/>
      <c r="AB1708" s="963"/>
      <c r="AC1708" s="963"/>
      <c r="AD1708" s="963"/>
      <c r="AE1708" s="964"/>
      <c r="AF1708" s="964"/>
      <c r="AG1708" s="964"/>
      <c r="AH1708" s="964"/>
      <c r="AI1708" s="964"/>
      <c r="AJ1708" s="964"/>
      <c r="AK1708" s="964"/>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s="1396"/>
      <c r="CB1708" s="1396"/>
      <c r="CC1708"/>
      <c r="CD1708"/>
      <c r="CE1708"/>
    </row>
    <row r="1709" spans="1:83" ht="13.9" customHeight="1" outlineLevel="2" thickBot="1" x14ac:dyDescent="0.25">
      <c r="A1709"/>
      <c r="B1709" s="1"/>
      <c r="C1709"/>
      <c r="D1709"/>
      <c r="E1709"/>
      <c r="F1709"/>
      <c r="G1709" s="1"/>
      <c r="H1709" s="1"/>
      <c r="I1709"/>
      <c r="J1709"/>
      <c r="K1709"/>
      <c r="L1709"/>
      <c r="M1709"/>
      <c r="N1709"/>
      <c r="O1709"/>
      <c r="P1709"/>
      <c r="Q1709"/>
      <c r="S1709" s="22" t="str">
        <f>N_Heure</f>
        <v>Heure</v>
      </c>
      <c r="T1709" s="22" t="str">
        <f>N_Table</f>
        <v>Table</v>
      </c>
      <c r="U1709" s="22" t="str">
        <f>N_Arbitre</f>
        <v>Arbitre</v>
      </c>
      <c r="V1709" s="293" t="str">
        <f>N_Matches</f>
        <v>Matches</v>
      </c>
      <c r="W1709" s="294"/>
      <c r="X1709" s="294"/>
      <c r="Y1709" s="294"/>
      <c r="Z1709" s="295"/>
      <c r="AA1709" s="8"/>
      <c r="AB1709" s="967"/>
      <c r="AC1709" s="967"/>
      <c r="AD1709" s="967"/>
      <c r="AE1709" s="964"/>
      <c r="AF1709" s="964"/>
      <c r="AG1709" s="964"/>
      <c r="AH1709" s="964"/>
      <c r="AI1709" s="964"/>
      <c r="AJ1709" s="964"/>
      <c r="AK1709" s="964"/>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s="1396"/>
      <c r="CB1709" s="1396"/>
      <c r="CC1709"/>
      <c r="CD1709"/>
      <c r="CE1709"/>
    </row>
    <row r="1710" spans="1:83" ht="13.15" customHeight="1" outlineLevel="2" x14ac:dyDescent="0.2">
      <c r="A1710"/>
      <c r="B1710" s="1"/>
      <c r="C1710"/>
      <c r="D1710"/>
      <c r="E1710"/>
      <c r="F1710"/>
      <c r="G1710" s="1"/>
      <c r="H1710" s="1"/>
      <c r="I1710"/>
      <c r="J1710"/>
      <c r="K1710"/>
      <c r="L1710"/>
      <c r="M1710"/>
      <c r="N1710"/>
      <c r="O1710"/>
      <c r="P1710"/>
      <c r="Q1710"/>
      <c r="R1710" s="558" t="s">
        <v>3979</v>
      </c>
      <c r="S1710" s="65"/>
      <c r="T1710" s="953"/>
      <c r="U1710" s="954"/>
      <c r="V1710" s="34" t="str">
        <f>Z1699</f>
        <v>A</v>
      </c>
      <c r="W1710" s="148"/>
      <c r="X1710" s="35" t="s">
        <v>769</v>
      </c>
      <c r="Y1710" s="148"/>
      <c r="Z1710" s="36" t="str">
        <f>Z1700</f>
        <v>H</v>
      </c>
      <c r="AA1710" s="123"/>
      <c r="AB1710" s="1459">
        <f t="shared" ref="AB1710:AB1718" si="1212">IF(MaxScore,MaxGoals(W1710,Y1710,MaxGoalsValue),IF(W1710="","",W1710))</f>
        <v>0</v>
      </c>
      <c r="AC1710" s="1460" t="str">
        <f t="shared" ref="AC1710:AC1718" si="1213">IF(MaxScore,"-",IF(W1710="","","-"))</f>
        <v>-</v>
      </c>
      <c r="AD1710" s="1459">
        <f t="shared" ref="AD1710:AD1718" si="1214">IF(MaxScore,MaxGoals(Y1710,W1710,MaxGoalsValue),IF(Y1710="","",Y1710))</f>
        <v>0</v>
      </c>
      <c r="AE1710" s="964" t="str">
        <f t="shared" ref="AE1710:AE1718" si="1215">IF(W1710="","",IF(W1710&gt;Y1710,V1710,IF(W1710=Y1710,"",Z1710)))</f>
        <v/>
      </c>
      <c r="AF1710" s="964" t="str">
        <f t="shared" ref="AF1710:AF1718" si="1216">IF(W1710="","",IF(W1710=Y1710,V1710,""))</f>
        <v/>
      </c>
      <c r="AG1710" s="964" t="str">
        <f t="shared" ref="AG1710:AG1718" si="1217">IF(W1710="","",IF(W1710=Y1710,Z1710,""))</f>
        <v/>
      </c>
      <c r="AH1710" s="964" t="str">
        <f t="shared" ref="AH1710:AH1718" si="1218">IF(W1710="","",IF(W1710&lt;Y1710,V1710,IF(W1710=Y1710,"",Z1710)))</f>
        <v/>
      </c>
      <c r="AI1710" s="964" t="str">
        <f t="shared" ref="AI1710:AI1718" si="1219">CONCATENATE(AE1710,AH1710)</f>
        <v/>
      </c>
      <c r="AJ1710" s="964"/>
      <c r="AK1710" s="964"/>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s="1396"/>
      <c r="CB1710" s="1396"/>
      <c r="CC1710"/>
      <c r="CD1710"/>
      <c r="CE1710"/>
    </row>
    <row r="1711" spans="1:83" ht="13.15" customHeight="1" outlineLevel="2" x14ac:dyDescent="0.2">
      <c r="A1711"/>
      <c r="B1711" s="1"/>
      <c r="C1711"/>
      <c r="D1711"/>
      <c r="E1711"/>
      <c r="F1711"/>
      <c r="G1711" s="1"/>
      <c r="H1711" s="1"/>
      <c r="I1711"/>
      <c r="J1711"/>
      <c r="K1711"/>
      <c r="L1711"/>
      <c r="M1711"/>
      <c r="N1711"/>
      <c r="O1711"/>
      <c r="P1711"/>
      <c r="Q1711"/>
      <c r="R1711" s="558" t="s">
        <v>3979</v>
      </c>
      <c r="S1711" s="83"/>
      <c r="T1711" s="56"/>
      <c r="U1711" s="955"/>
      <c r="V1711" s="43" t="str">
        <f>Z1701</f>
        <v>F</v>
      </c>
      <c r="W1711" s="10"/>
      <c r="X1711" s="45" t="s">
        <v>769</v>
      </c>
      <c r="Y1711" s="10"/>
      <c r="Z1711" s="46" t="str">
        <f t="shared" ref="Z1711:Z1718" si="1220">V1699</f>
        <v>J</v>
      </c>
      <c r="AA1711" s="123"/>
      <c r="AB1711" s="1459">
        <f t="shared" si="1212"/>
        <v>0</v>
      </c>
      <c r="AC1711" s="1460" t="str">
        <f t="shared" si="1213"/>
        <v>-</v>
      </c>
      <c r="AD1711" s="1459">
        <f t="shared" si="1214"/>
        <v>0</v>
      </c>
      <c r="AE1711" s="964" t="str">
        <f t="shared" si="1215"/>
        <v/>
      </c>
      <c r="AF1711" s="964" t="str">
        <f t="shared" si="1216"/>
        <v/>
      </c>
      <c r="AG1711" s="964" t="str">
        <f t="shared" si="1217"/>
        <v/>
      </c>
      <c r="AH1711" s="964" t="str">
        <f t="shared" si="1218"/>
        <v/>
      </c>
      <c r="AI1711" s="964" t="str">
        <f t="shared" si="1219"/>
        <v/>
      </c>
      <c r="AJ1711" s="964"/>
      <c r="AK1711" s="964"/>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s="1396"/>
      <c r="CB1711" s="1396"/>
      <c r="CC1711"/>
      <c r="CD1711"/>
      <c r="CE1711"/>
    </row>
    <row r="1712" spans="1:83" ht="13.15" customHeight="1" outlineLevel="2" x14ac:dyDescent="0.2">
      <c r="A1712"/>
      <c r="B1712" s="1"/>
      <c r="C1712"/>
      <c r="D1712"/>
      <c r="E1712"/>
      <c r="F1712"/>
      <c r="G1712" s="1"/>
      <c r="H1712" s="1"/>
      <c r="I1712"/>
      <c r="J1712"/>
      <c r="K1712"/>
      <c r="L1712"/>
      <c r="M1712"/>
      <c r="N1712"/>
      <c r="O1712"/>
      <c r="P1712"/>
      <c r="Q1712"/>
      <c r="R1712" s="558" t="s">
        <v>3979</v>
      </c>
      <c r="S1712" s="83"/>
      <c r="T1712" s="56"/>
      <c r="U1712" s="955"/>
      <c r="V1712" s="43" t="str">
        <f>Z1702</f>
        <v>D</v>
      </c>
      <c r="W1712" s="10"/>
      <c r="X1712" s="45" t="s">
        <v>769</v>
      </c>
      <c r="Y1712" s="10"/>
      <c r="Z1712" s="46" t="str">
        <f t="shared" si="1220"/>
        <v>L</v>
      </c>
      <c r="AA1712" s="123"/>
      <c r="AB1712" s="1459">
        <f t="shared" si="1212"/>
        <v>0</v>
      </c>
      <c r="AC1712" s="1460" t="str">
        <f t="shared" si="1213"/>
        <v>-</v>
      </c>
      <c r="AD1712" s="1459">
        <f t="shared" si="1214"/>
        <v>0</v>
      </c>
      <c r="AE1712" s="964" t="str">
        <f t="shared" si="1215"/>
        <v/>
      </c>
      <c r="AF1712" s="964" t="str">
        <f t="shared" si="1216"/>
        <v/>
      </c>
      <c r="AG1712" s="964" t="str">
        <f t="shared" si="1217"/>
        <v/>
      </c>
      <c r="AH1712" s="964" t="str">
        <f t="shared" si="1218"/>
        <v/>
      </c>
      <c r="AI1712" s="964" t="str">
        <f t="shared" si="1219"/>
        <v/>
      </c>
      <c r="AJ1712" s="964"/>
      <c r="AK1712" s="964"/>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s="1396"/>
      <c r="CB1712" s="1396"/>
      <c r="CC1712"/>
      <c r="CD1712"/>
      <c r="CE1712"/>
    </row>
    <row r="1713" spans="1:83" ht="13.15" customHeight="1" outlineLevel="2" x14ac:dyDescent="0.2">
      <c r="A1713"/>
      <c r="B1713" s="1"/>
      <c r="C1713"/>
      <c r="D1713"/>
      <c r="E1713"/>
      <c r="F1713"/>
      <c r="G1713" s="1"/>
      <c r="H1713" s="1"/>
      <c r="I1713"/>
      <c r="J1713"/>
      <c r="K1713"/>
      <c r="L1713"/>
      <c r="M1713"/>
      <c r="N1713"/>
      <c r="O1713"/>
      <c r="P1713"/>
      <c r="Q1713"/>
      <c r="R1713" s="558" t="s">
        <v>3979</v>
      </c>
      <c r="S1713" s="83"/>
      <c r="T1713" s="56"/>
      <c r="U1713" s="955"/>
      <c r="V1713" s="43" t="str">
        <f>Z1703</f>
        <v>B</v>
      </c>
      <c r="W1713" s="10"/>
      <c r="X1713" s="45" t="s">
        <v>769</v>
      </c>
      <c r="Y1713" s="10"/>
      <c r="Z1713" s="46" t="str">
        <f t="shared" si="1220"/>
        <v>N</v>
      </c>
      <c r="AA1713" s="123"/>
      <c r="AB1713" s="1459">
        <f t="shared" si="1212"/>
        <v>0</v>
      </c>
      <c r="AC1713" s="1460" t="str">
        <f t="shared" si="1213"/>
        <v>-</v>
      </c>
      <c r="AD1713" s="1459">
        <f t="shared" si="1214"/>
        <v>0</v>
      </c>
      <c r="AE1713" s="964" t="str">
        <f t="shared" si="1215"/>
        <v/>
      </c>
      <c r="AF1713" s="964" t="str">
        <f t="shared" si="1216"/>
        <v/>
      </c>
      <c r="AG1713" s="964" t="str">
        <f t="shared" si="1217"/>
        <v/>
      </c>
      <c r="AH1713" s="964" t="str">
        <f t="shared" si="1218"/>
        <v/>
      </c>
      <c r="AI1713" s="964" t="str">
        <f t="shared" si="1219"/>
        <v/>
      </c>
      <c r="AJ1713" s="964"/>
      <c r="AK1713" s="964"/>
      <c r="AL1713"/>
      <c r="AM1713"/>
      <c r="AN1713"/>
      <c r="AO1713"/>
      <c r="AP1713"/>
      <c r="AQ1713"/>
      <c r="AR1713"/>
      <c r="AS1713"/>
      <c r="AT1713"/>
      <c r="AU1713"/>
      <c r="AV1713"/>
      <c r="AW1713"/>
      <c r="AX1713" s="9"/>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s="1396"/>
      <c r="CB1713" s="1396"/>
      <c r="CC1713"/>
      <c r="CD1713"/>
      <c r="CE1713"/>
    </row>
    <row r="1714" spans="1:83" ht="13.15" customHeight="1" outlineLevel="2" x14ac:dyDescent="0.2">
      <c r="A1714"/>
      <c r="B1714" s="1"/>
      <c r="C1714"/>
      <c r="D1714"/>
      <c r="E1714"/>
      <c r="F1714"/>
      <c r="G1714" s="1"/>
      <c r="H1714" s="1"/>
      <c r="I1714"/>
      <c r="J1714"/>
      <c r="K1714"/>
      <c r="L1714"/>
      <c r="M1714"/>
      <c r="N1714"/>
      <c r="O1714"/>
      <c r="P1714"/>
      <c r="Q1714"/>
      <c r="R1714" s="558" t="s">
        <v>3979</v>
      </c>
      <c r="S1714" s="83"/>
      <c r="T1714" s="56"/>
      <c r="U1714" s="955"/>
      <c r="V1714" s="43" t="str">
        <f>V1693</f>
        <v>C</v>
      </c>
      <c r="W1714" s="10"/>
      <c r="X1714" s="45" t="s">
        <v>769</v>
      </c>
      <c r="Y1714" s="10"/>
      <c r="Z1714" s="46" t="str">
        <f t="shared" si="1220"/>
        <v>P</v>
      </c>
      <c r="AA1714" s="123"/>
      <c r="AB1714" s="1459">
        <f t="shared" si="1212"/>
        <v>0</v>
      </c>
      <c r="AC1714" s="1460" t="str">
        <f t="shared" si="1213"/>
        <v>-</v>
      </c>
      <c r="AD1714" s="1459">
        <f t="shared" si="1214"/>
        <v>0</v>
      </c>
      <c r="AE1714" s="964" t="str">
        <f t="shared" si="1215"/>
        <v/>
      </c>
      <c r="AF1714" s="964" t="str">
        <f t="shared" si="1216"/>
        <v/>
      </c>
      <c r="AG1714" s="964" t="str">
        <f t="shared" si="1217"/>
        <v/>
      </c>
      <c r="AH1714" s="964" t="str">
        <f t="shared" si="1218"/>
        <v/>
      </c>
      <c r="AI1714" s="964" t="str">
        <f t="shared" si="1219"/>
        <v/>
      </c>
      <c r="AJ1714" s="964"/>
      <c r="AK1714" s="964"/>
      <c r="AL1714"/>
      <c r="AM1714"/>
      <c r="AN1714"/>
      <c r="AO1714"/>
      <c r="AP1714"/>
      <c r="AQ1714"/>
      <c r="AR1714"/>
      <c r="AS1714"/>
      <c r="AT1714"/>
      <c r="AU1714"/>
      <c r="AV1714"/>
      <c r="AW1714" s="9"/>
      <c r="AX1714" s="9"/>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s="1396"/>
      <c r="CB1714" s="1396"/>
      <c r="CC1714"/>
      <c r="CD1714"/>
      <c r="CE1714"/>
    </row>
    <row r="1715" spans="1:83" ht="13.15" customHeight="1" outlineLevel="2" x14ac:dyDescent="0.2">
      <c r="A1715"/>
      <c r="B1715" s="1"/>
      <c r="C1715"/>
      <c r="D1715"/>
      <c r="E1715"/>
      <c r="F1715"/>
      <c r="G1715" s="1"/>
      <c r="H1715" s="1"/>
      <c r="I1715"/>
      <c r="J1715"/>
      <c r="K1715"/>
      <c r="L1715"/>
      <c r="M1715"/>
      <c r="N1715"/>
      <c r="O1715"/>
      <c r="P1715"/>
      <c r="Q1715"/>
      <c r="R1715" s="558" t="s">
        <v>3979</v>
      </c>
      <c r="S1715" s="83"/>
      <c r="T1715" s="56"/>
      <c r="U1715" s="955"/>
      <c r="V1715" s="43" t="str">
        <f>Z1704</f>
        <v>E</v>
      </c>
      <c r="W1715" s="10"/>
      <c r="X1715" s="45" t="s">
        <v>769</v>
      </c>
      <c r="Y1715" s="10"/>
      <c r="Z1715" s="46" t="str">
        <f t="shared" si="1220"/>
        <v>R</v>
      </c>
      <c r="AA1715" s="123"/>
      <c r="AB1715" s="1459">
        <f t="shared" si="1212"/>
        <v>0</v>
      </c>
      <c r="AC1715" s="1460" t="str">
        <f t="shared" si="1213"/>
        <v>-</v>
      </c>
      <c r="AD1715" s="1459">
        <f t="shared" si="1214"/>
        <v>0</v>
      </c>
      <c r="AE1715" s="964" t="str">
        <f t="shared" si="1215"/>
        <v/>
      </c>
      <c r="AF1715" s="964" t="str">
        <f t="shared" si="1216"/>
        <v/>
      </c>
      <c r="AG1715" s="964" t="str">
        <f t="shared" si="1217"/>
        <v/>
      </c>
      <c r="AH1715" s="964" t="str">
        <f t="shared" si="1218"/>
        <v/>
      </c>
      <c r="AI1715" s="964" t="str">
        <f t="shared" si="1219"/>
        <v/>
      </c>
      <c r="AJ1715" s="964"/>
      <c r="AK1715" s="964"/>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s="1396"/>
      <c r="CB1715" s="1396"/>
      <c r="CC1715"/>
      <c r="CD1715"/>
      <c r="CE1715"/>
    </row>
    <row r="1716" spans="1:83" ht="13.15" customHeight="1" outlineLevel="2" x14ac:dyDescent="0.2">
      <c r="A1716"/>
      <c r="B1716" s="1"/>
      <c r="C1716"/>
      <c r="D1716"/>
      <c r="E1716"/>
      <c r="F1716"/>
      <c r="G1716" s="1"/>
      <c r="H1716" s="1"/>
      <c r="I1716"/>
      <c r="J1716"/>
      <c r="K1716"/>
      <c r="L1716"/>
      <c r="M1716"/>
      <c r="N1716"/>
      <c r="O1716"/>
      <c r="P1716"/>
      <c r="Q1716"/>
      <c r="R1716" s="558" t="s">
        <v>3979</v>
      </c>
      <c r="S1716" s="83"/>
      <c r="T1716" s="56"/>
      <c r="U1716" s="955"/>
      <c r="V1716" s="43" t="str">
        <f>Z1706</f>
        <v>I</v>
      </c>
      <c r="W1716" s="10"/>
      <c r="X1716" s="45" t="s">
        <v>769</v>
      </c>
      <c r="Y1716" s="10"/>
      <c r="Z1716" s="46" t="str">
        <f t="shared" si="1220"/>
        <v>S</v>
      </c>
      <c r="AA1716" s="123"/>
      <c r="AB1716" s="1459">
        <f t="shared" si="1212"/>
        <v>0</v>
      </c>
      <c r="AC1716" s="1460" t="str">
        <f t="shared" si="1213"/>
        <v>-</v>
      </c>
      <c r="AD1716" s="1459">
        <f t="shared" si="1214"/>
        <v>0</v>
      </c>
      <c r="AE1716" s="964" t="str">
        <f t="shared" si="1215"/>
        <v/>
      </c>
      <c r="AF1716" s="964" t="str">
        <f t="shared" si="1216"/>
        <v/>
      </c>
      <c r="AG1716" s="964" t="str">
        <f t="shared" si="1217"/>
        <v/>
      </c>
      <c r="AH1716" s="964" t="str">
        <f t="shared" si="1218"/>
        <v/>
      </c>
      <c r="AI1716" s="964" t="str">
        <f t="shared" si="1219"/>
        <v/>
      </c>
      <c r="AJ1716" s="964"/>
      <c r="AK1716" s="964"/>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s="1396"/>
      <c r="CB1716" s="1396"/>
      <c r="CC1716"/>
      <c r="CD1716"/>
      <c r="CE1716"/>
    </row>
    <row r="1717" spans="1:83" ht="13.15" customHeight="1" outlineLevel="2" x14ac:dyDescent="0.2">
      <c r="A1717"/>
      <c r="B1717" s="1"/>
      <c r="C1717"/>
      <c r="D1717"/>
      <c r="E1717"/>
      <c r="F1717"/>
      <c r="G1717" s="1"/>
      <c r="H1717" s="1"/>
      <c r="I1717"/>
      <c r="J1717"/>
      <c r="K1717"/>
      <c r="L1717"/>
      <c r="M1717"/>
      <c r="N1717"/>
      <c r="O1717"/>
      <c r="P1717"/>
      <c r="Q1717"/>
      <c r="R1717" s="558" t="s">
        <v>3979</v>
      </c>
      <c r="S1717" s="83"/>
      <c r="T1717" s="56"/>
      <c r="U1717" s="955"/>
      <c r="V1717" s="43" t="str">
        <f>Z1707</f>
        <v>K</v>
      </c>
      <c r="W1717" s="10"/>
      <c r="X1717" s="45" t="s">
        <v>769</v>
      </c>
      <c r="Y1717" s="10"/>
      <c r="Z1717" s="46" t="str">
        <f t="shared" si="1220"/>
        <v>Q</v>
      </c>
      <c r="AA1717" s="123"/>
      <c r="AB1717" s="1459">
        <f t="shared" si="1212"/>
        <v>0</v>
      </c>
      <c r="AC1717" s="1460" t="str">
        <f t="shared" si="1213"/>
        <v>-</v>
      </c>
      <c r="AD1717" s="1459">
        <f t="shared" si="1214"/>
        <v>0</v>
      </c>
      <c r="AE1717" s="964" t="str">
        <f t="shared" si="1215"/>
        <v/>
      </c>
      <c r="AF1717" s="964" t="str">
        <f t="shared" si="1216"/>
        <v/>
      </c>
      <c r="AG1717" s="964" t="str">
        <f t="shared" si="1217"/>
        <v/>
      </c>
      <c r="AH1717" s="964" t="str">
        <f t="shared" si="1218"/>
        <v/>
      </c>
      <c r="AI1717" s="964" t="str">
        <f t="shared" si="1219"/>
        <v/>
      </c>
      <c r="AJ1717" s="964"/>
      <c r="AK1717" s="964"/>
      <c r="AL1717"/>
      <c r="AM1717"/>
      <c r="AN1717"/>
      <c r="AO1717"/>
      <c r="AP1717"/>
      <c r="AQ1717"/>
      <c r="AR1717"/>
      <c r="AS1717"/>
      <c r="AT1717"/>
      <c r="AU1717"/>
      <c r="AV1717"/>
      <c r="AW1717"/>
      <c r="AX1717" s="9"/>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s="1396"/>
      <c r="CB1717" s="1396"/>
      <c r="CC1717"/>
      <c r="CD1717"/>
      <c r="CE1717"/>
    </row>
    <row r="1718" spans="1:83" ht="13.9" customHeight="1" outlineLevel="2" thickBot="1" x14ac:dyDescent="0.25">
      <c r="A1718"/>
      <c r="B1718" s="1"/>
      <c r="C1718"/>
      <c r="D1718"/>
      <c r="E1718"/>
      <c r="F1718"/>
      <c r="G1718" s="1"/>
      <c r="H1718" s="1"/>
      <c r="I1718"/>
      <c r="J1718"/>
      <c r="K1718"/>
      <c r="L1718"/>
      <c r="M1718"/>
      <c r="N1718"/>
      <c r="O1718"/>
      <c r="P1718"/>
      <c r="Q1718"/>
      <c r="R1718" s="558" t="s">
        <v>3979</v>
      </c>
      <c r="S1718" s="956"/>
      <c r="T1718" s="58"/>
      <c r="U1718" s="957"/>
      <c r="V1718" s="958" t="str">
        <f>V1707</f>
        <v>M</v>
      </c>
      <c r="W1718" s="175"/>
      <c r="X1718" s="52" t="s">
        <v>769</v>
      </c>
      <c r="Y1718" s="175"/>
      <c r="Z1718" s="46" t="str">
        <f t="shared" si="1220"/>
        <v>O</v>
      </c>
      <c r="AA1718" s="123"/>
      <c r="AB1718" s="1459">
        <f t="shared" si="1212"/>
        <v>0</v>
      </c>
      <c r="AC1718" s="1460" t="str">
        <f t="shared" si="1213"/>
        <v>-</v>
      </c>
      <c r="AD1718" s="1459">
        <f t="shared" si="1214"/>
        <v>0</v>
      </c>
      <c r="AE1718" s="964" t="str">
        <f t="shared" si="1215"/>
        <v/>
      </c>
      <c r="AF1718" s="964" t="str">
        <f t="shared" si="1216"/>
        <v/>
      </c>
      <c r="AG1718" s="964" t="str">
        <f t="shared" si="1217"/>
        <v/>
      </c>
      <c r="AH1718" s="964" t="str">
        <f t="shared" si="1218"/>
        <v/>
      </c>
      <c r="AI1718" s="964" t="str">
        <f t="shared" si="1219"/>
        <v/>
      </c>
      <c r="AJ1718" s="964"/>
      <c r="AK1718" s="964"/>
      <c r="AL1718"/>
      <c r="AM1718"/>
      <c r="AN1718"/>
      <c r="AO1718"/>
      <c r="AP1718"/>
      <c r="AQ1718"/>
      <c r="AR1718"/>
      <c r="AS1718"/>
      <c r="AT1718"/>
      <c r="AU1718"/>
      <c r="AV1718"/>
      <c r="AW1718" s="9"/>
      <c r="AX1718" s="9"/>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s="1396"/>
      <c r="CB1718" s="1396"/>
      <c r="CC1718"/>
      <c r="CD1718"/>
      <c r="CE1718"/>
    </row>
    <row r="1719" spans="1:83" ht="13.5" outlineLevel="1" thickBot="1" x14ac:dyDescent="0.25">
      <c r="A1719"/>
      <c r="B1719" s="1"/>
      <c r="C1719" s="1"/>
      <c r="D1719" s="76"/>
      <c r="E1719" s="76"/>
      <c r="F1719" s="76"/>
      <c r="G1719" s="9"/>
      <c r="H1719" s="9"/>
      <c r="I1719" s="1"/>
      <c r="J1719"/>
      <c r="K1719"/>
      <c r="L1719"/>
      <c r="M1719"/>
      <c r="N1719"/>
      <c r="O1719"/>
      <c r="P1719" s="89"/>
      <c r="Q1719"/>
      <c r="R1719" s="1"/>
      <c r="S1719" s="993">
        <f>S1708+1</f>
        <v>18</v>
      </c>
      <c r="T1719" s="961"/>
      <c r="U1719" s="961"/>
      <c r="V1719" s="961"/>
      <c r="W1719" s="960"/>
      <c r="X1719" s="960"/>
      <c r="Y1719" s="960"/>
      <c r="Z1719" s="962"/>
      <c r="AA1719" s="123"/>
      <c r="AB1719" s="963"/>
      <c r="AC1719" s="963"/>
      <c r="AD1719" s="963"/>
      <c r="AE1719" s="964"/>
      <c r="AF1719" s="964"/>
      <c r="AG1719" s="964"/>
      <c r="AH1719" s="964"/>
      <c r="AI1719" s="964"/>
      <c r="AJ1719" s="964"/>
      <c r="AK1719" s="964"/>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s="1396"/>
      <c r="CB1719" s="1396"/>
      <c r="CC1719"/>
      <c r="CD1719"/>
      <c r="CE1719"/>
    </row>
    <row r="1720" spans="1:83" ht="13.9" customHeight="1" outlineLevel="2" thickBot="1" x14ac:dyDescent="0.25">
      <c r="A1720"/>
      <c r="B1720" s="1"/>
      <c r="C1720"/>
      <c r="D1720"/>
      <c r="E1720"/>
      <c r="F1720"/>
      <c r="G1720" s="1"/>
      <c r="H1720" s="1"/>
      <c r="I1720"/>
      <c r="J1720"/>
      <c r="K1720"/>
      <c r="L1720"/>
      <c r="M1720"/>
      <c r="N1720"/>
      <c r="O1720"/>
      <c r="P1720"/>
      <c r="Q1720"/>
      <c r="S1720" s="22" t="str">
        <f>N_Heure</f>
        <v>Heure</v>
      </c>
      <c r="T1720" s="22" t="str">
        <f>N_Table</f>
        <v>Table</v>
      </c>
      <c r="U1720" s="22" t="str">
        <f>N_Arbitre</f>
        <v>Arbitre</v>
      </c>
      <c r="V1720" s="293" t="str">
        <f>N_Matches</f>
        <v>Matches</v>
      </c>
      <c r="W1720" s="294"/>
      <c r="X1720" s="294"/>
      <c r="Y1720" s="294"/>
      <c r="Z1720" s="295"/>
      <c r="AA1720" s="8"/>
      <c r="AB1720" s="967"/>
      <c r="AC1720" s="967"/>
      <c r="AD1720" s="967"/>
      <c r="AE1720" s="964"/>
      <c r="AF1720" s="964"/>
      <c r="AG1720" s="964"/>
      <c r="AH1720" s="964"/>
      <c r="AI1720" s="964"/>
      <c r="AJ1720" s="964"/>
      <c r="AK1720" s="964"/>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s="1396"/>
      <c r="CB1720" s="1396"/>
      <c r="CC1720"/>
      <c r="CD1720"/>
      <c r="CE1720"/>
    </row>
    <row r="1721" spans="1:83" ht="13.15" customHeight="1" outlineLevel="2" x14ac:dyDescent="0.2">
      <c r="A1721"/>
      <c r="B1721" s="1"/>
      <c r="C1721"/>
      <c r="D1721"/>
      <c r="E1721"/>
      <c r="F1721"/>
      <c r="G1721" s="1"/>
      <c r="H1721" s="1"/>
      <c r="I1721"/>
      <c r="J1721"/>
      <c r="K1721"/>
      <c r="L1721"/>
      <c r="M1721"/>
      <c r="N1721"/>
      <c r="O1721"/>
      <c r="P1721"/>
      <c r="Q1721"/>
      <c r="R1721" s="558" t="s">
        <v>3980</v>
      </c>
      <c r="S1721" s="65"/>
      <c r="T1721" s="953"/>
      <c r="U1721" s="954"/>
      <c r="V1721" s="34" t="str">
        <f>V1711</f>
        <v>F</v>
      </c>
      <c r="W1721" s="148"/>
      <c r="X1721" s="35" t="s">
        <v>769</v>
      </c>
      <c r="Y1721" s="148"/>
      <c r="Z1721" s="36" t="str">
        <f>V1710</f>
        <v>A</v>
      </c>
      <c r="AA1721" s="123"/>
      <c r="AB1721" s="1459">
        <f t="shared" ref="AB1721:AB1729" si="1221">IF(MaxScore,MaxGoals(W1721,Y1721,MaxGoalsValue),IF(W1721="","",W1721))</f>
        <v>0</v>
      </c>
      <c r="AC1721" s="1460" t="str">
        <f t="shared" ref="AC1721:AC1729" si="1222">IF(MaxScore,"-",IF(W1721="","","-"))</f>
        <v>-</v>
      </c>
      <c r="AD1721" s="1459">
        <f t="shared" ref="AD1721:AD1729" si="1223">IF(MaxScore,MaxGoals(Y1721,W1721,MaxGoalsValue),IF(Y1721="","",Y1721))</f>
        <v>0</v>
      </c>
      <c r="AE1721" s="964" t="str">
        <f t="shared" ref="AE1721:AE1729" si="1224">IF(W1721="","",IF(W1721&gt;Y1721,V1721,IF(W1721=Y1721,"",Z1721)))</f>
        <v/>
      </c>
      <c r="AF1721" s="964" t="str">
        <f t="shared" ref="AF1721:AF1729" si="1225">IF(W1721="","",IF(W1721=Y1721,V1721,""))</f>
        <v/>
      </c>
      <c r="AG1721" s="964" t="str">
        <f t="shared" ref="AG1721:AG1729" si="1226">IF(W1721="","",IF(W1721=Y1721,Z1721,""))</f>
        <v/>
      </c>
      <c r="AH1721" s="964" t="str">
        <f t="shared" ref="AH1721:AH1729" si="1227">IF(W1721="","",IF(W1721&lt;Y1721,V1721,IF(W1721=Y1721,"",Z1721)))</f>
        <v/>
      </c>
      <c r="AI1721" s="964" t="str">
        <f t="shared" ref="AI1721:AI1729" si="1228">CONCATENATE(AE1721,AH1721)</f>
        <v/>
      </c>
      <c r="AJ1721" s="964"/>
      <c r="AK1721" s="964"/>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s="1396"/>
      <c r="CB1721" s="1396"/>
      <c r="CC1721"/>
      <c r="CD1721"/>
      <c r="CE1721"/>
    </row>
    <row r="1722" spans="1:83" ht="13.15" customHeight="1" outlineLevel="2" x14ac:dyDescent="0.2">
      <c r="A1722"/>
      <c r="B1722" s="1"/>
      <c r="C1722"/>
      <c r="D1722"/>
      <c r="E1722"/>
      <c r="F1722"/>
      <c r="G1722" s="1"/>
      <c r="H1722" s="1"/>
      <c r="I1722"/>
      <c r="J1722"/>
      <c r="K1722"/>
      <c r="L1722"/>
      <c r="M1722"/>
      <c r="N1722"/>
      <c r="O1722"/>
      <c r="P1722"/>
      <c r="Q1722"/>
      <c r="R1722" s="558" t="s">
        <v>3980</v>
      </c>
      <c r="S1722" s="83"/>
      <c r="T1722" s="56"/>
      <c r="U1722" s="955"/>
      <c r="V1722" s="43" t="str">
        <f t="shared" ref="V1722:V1729" si="1229">Z1710</f>
        <v>H</v>
      </c>
      <c r="W1722" s="10"/>
      <c r="X1722" s="45" t="s">
        <v>769</v>
      </c>
      <c r="Y1722" s="10"/>
      <c r="Z1722" s="46" t="str">
        <f>V1712</f>
        <v>D</v>
      </c>
      <c r="AA1722" s="123"/>
      <c r="AB1722" s="1459">
        <f t="shared" si="1221"/>
        <v>0</v>
      </c>
      <c r="AC1722" s="1460" t="str">
        <f t="shared" si="1222"/>
        <v>-</v>
      </c>
      <c r="AD1722" s="1459">
        <f t="shared" si="1223"/>
        <v>0</v>
      </c>
      <c r="AE1722" s="964" t="str">
        <f t="shared" si="1224"/>
        <v/>
      </c>
      <c r="AF1722" s="964" t="str">
        <f t="shared" si="1225"/>
        <v/>
      </c>
      <c r="AG1722" s="964" t="str">
        <f t="shared" si="1226"/>
        <v/>
      </c>
      <c r="AH1722" s="964" t="str">
        <f t="shared" si="1227"/>
        <v/>
      </c>
      <c r="AI1722" s="964" t="str">
        <f t="shared" si="1228"/>
        <v/>
      </c>
      <c r="AJ1722" s="964"/>
      <c r="AK1722" s="964"/>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s="1396"/>
      <c r="CB1722" s="1396"/>
      <c r="CC1722"/>
      <c r="CD1722"/>
      <c r="CE1722"/>
    </row>
    <row r="1723" spans="1:83" ht="13.15" customHeight="1" outlineLevel="2" x14ac:dyDescent="0.2">
      <c r="A1723"/>
      <c r="B1723" s="1"/>
      <c r="C1723"/>
      <c r="D1723"/>
      <c r="E1723"/>
      <c r="F1723"/>
      <c r="G1723" s="1"/>
      <c r="H1723" s="1"/>
      <c r="I1723"/>
      <c r="J1723"/>
      <c r="K1723"/>
      <c r="L1723"/>
      <c r="M1723"/>
      <c r="N1723"/>
      <c r="O1723"/>
      <c r="P1723"/>
      <c r="Q1723"/>
      <c r="R1723" s="558" t="s">
        <v>3980</v>
      </c>
      <c r="S1723" s="83"/>
      <c r="T1723" s="56"/>
      <c r="U1723" s="955"/>
      <c r="V1723" s="43" t="str">
        <f t="shared" si="1229"/>
        <v>J</v>
      </c>
      <c r="W1723" s="10"/>
      <c r="X1723" s="45" t="s">
        <v>769</v>
      </c>
      <c r="Y1723" s="10"/>
      <c r="Z1723" s="46" t="str">
        <f>V1713</f>
        <v>B</v>
      </c>
      <c r="AA1723" s="123"/>
      <c r="AB1723" s="1459">
        <f t="shared" si="1221"/>
        <v>0</v>
      </c>
      <c r="AC1723" s="1460" t="str">
        <f t="shared" si="1222"/>
        <v>-</v>
      </c>
      <c r="AD1723" s="1459">
        <f t="shared" si="1223"/>
        <v>0</v>
      </c>
      <c r="AE1723" s="964" t="str">
        <f t="shared" si="1224"/>
        <v/>
      </c>
      <c r="AF1723" s="964" t="str">
        <f t="shared" si="1225"/>
        <v/>
      </c>
      <c r="AG1723" s="964" t="str">
        <f t="shared" si="1226"/>
        <v/>
      </c>
      <c r="AH1723" s="964" t="str">
        <f t="shared" si="1227"/>
        <v/>
      </c>
      <c r="AI1723" s="964" t="str">
        <f t="shared" si="1228"/>
        <v/>
      </c>
      <c r="AJ1723" s="964"/>
      <c r="AK1723" s="964"/>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s="1396"/>
      <c r="CB1723" s="1396"/>
      <c r="CC1723"/>
      <c r="CD1723"/>
      <c r="CE1723"/>
    </row>
    <row r="1724" spans="1:83" ht="13.15" customHeight="1" outlineLevel="2" x14ac:dyDescent="0.2">
      <c r="A1724"/>
      <c r="B1724" s="1"/>
      <c r="C1724"/>
      <c r="D1724"/>
      <c r="E1724"/>
      <c r="F1724"/>
      <c r="G1724" s="1"/>
      <c r="H1724" s="1"/>
      <c r="I1724"/>
      <c r="J1724"/>
      <c r="K1724"/>
      <c r="L1724"/>
      <c r="M1724"/>
      <c r="N1724"/>
      <c r="O1724"/>
      <c r="P1724"/>
      <c r="Q1724"/>
      <c r="R1724" s="558" t="s">
        <v>3980</v>
      </c>
      <c r="S1724" s="83"/>
      <c r="T1724" s="56"/>
      <c r="U1724" s="955"/>
      <c r="V1724" s="43" t="str">
        <f t="shared" si="1229"/>
        <v>L</v>
      </c>
      <c r="W1724" s="10"/>
      <c r="X1724" s="45" t="s">
        <v>769</v>
      </c>
      <c r="Y1724" s="10"/>
      <c r="Z1724" s="46" t="str">
        <f>V1714</f>
        <v>C</v>
      </c>
      <c r="AA1724" s="123"/>
      <c r="AB1724" s="1459">
        <f t="shared" si="1221"/>
        <v>0</v>
      </c>
      <c r="AC1724" s="1460" t="str">
        <f t="shared" si="1222"/>
        <v>-</v>
      </c>
      <c r="AD1724" s="1459">
        <f t="shared" si="1223"/>
        <v>0</v>
      </c>
      <c r="AE1724" s="964" t="str">
        <f t="shared" si="1224"/>
        <v/>
      </c>
      <c r="AF1724" s="964" t="str">
        <f t="shared" si="1225"/>
        <v/>
      </c>
      <c r="AG1724" s="964" t="str">
        <f t="shared" si="1226"/>
        <v/>
      </c>
      <c r="AH1724" s="964" t="str">
        <f t="shared" si="1227"/>
        <v/>
      </c>
      <c r="AI1724" s="964" t="str">
        <f t="shared" si="1228"/>
        <v/>
      </c>
      <c r="AJ1724" s="964"/>
      <c r="AK1724" s="964"/>
      <c r="AL1724"/>
      <c r="AM1724"/>
      <c r="AN1724"/>
      <c r="AO1724"/>
      <c r="AP1724"/>
      <c r="AQ1724"/>
      <c r="AR1724"/>
      <c r="AS1724"/>
      <c r="AT1724"/>
      <c r="AU1724"/>
      <c r="AV1724"/>
      <c r="AW1724"/>
      <c r="AX1724" s="9"/>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s="1396"/>
      <c r="CB1724" s="1396"/>
      <c r="CC1724"/>
      <c r="CD1724"/>
      <c r="CE1724"/>
    </row>
    <row r="1725" spans="1:83" ht="13.15" customHeight="1" outlineLevel="2" x14ac:dyDescent="0.2">
      <c r="A1725"/>
      <c r="B1725" s="1"/>
      <c r="C1725"/>
      <c r="D1725"/>
      <c r="E1725"/>
      <c r="F1725"/>
      <c r="G1725" s="1"/>
      <c r="H1725" s="1"/>
      <c r="I1725"/>
      <c r="J1725"/>
      <c r="K1725"/>
      <c r="L1725"/>
      <c r="M1725"/>
      <c r="N1725"/>
      <c r="O1725"/>
      <c r="P1725"/>
      <c r="Q1725"/>
      <c r="R1725" s="558" t="s">
        <v>3980</v>
      </c>
      <c r="S1725" s="83"/>
      <c r="T1725" s="56"/>
      <c r="U1725" s="955"/>
      <c r="V1725" s="43" t="str">
        <f t="shared" si="1229"/>
        <v>N</v>
      </c>
      <c r="W1725" s="10"/>
      <c r="X1725" s="45" t="s">
        <v>769</v>
      </c>
      <c r="Y1725" s="10"/>
      <c r="Z1725" s="46" t="str">
        <f>V1715</f>
        <v>E</v>
      </c>
      <c r="AA1725" s="123"/>
      <c r="AB1725" s="1459">
        <f t="shared" si="1221"/>
        <v>0</v>
      </c>
      <c r="AC1725" s="1460" t="str">
        <f t="shared" si="1222"/>
        <v>-</v>
      </c>
      <c r="AD1725" s="1459">
        <f t="shared" si="1223"/>
        <v>0</v>
      </c>
      <c r="AE1725" s="964" t="str">
        <f t="shared" si="1224"/>
        <v/>
      </c>
      <c r="AF1725" s="964" t="str">
        <f t="shared" si="1225"/>
        <v/>
      </c>
      <c r="AG1725" s="964" t="str">
        <f t="shared" si="1226"/>
        <v/>
      </c>
      <c r="AH1725" s="964" t="str">
        <f t="shared" si="1227"/>
        <v/>
      </c>
      <c r="AI1725" s="964" t="str">
        <f t="shared" si="1228"/>
        <v/>
      </c>
      <c r="AJ1725" s="964"/>
      <c r="AK1725" s="964"/>
      <c r="AL1725"/>
      <c r="AM1725"/>
      <c r="AN1725"/>
      <c r="AO1725"/>
      <c r="AP1725"/>
      <c r="AQ1725"/>
      <c r="AR1725"/>
      <c r="AS1725"/>
      <c r="AT1725"/>
      <c r="AU1725"/>
      <c r="AV1725"/>
      <c r="AW1725" s="9"/>
      <c r="AX1725" s="9"/>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s="1396"/>
      <c r="CB1725" s="1396"/>
      <c r="CC1725"/>
      <c r="CD1725"/>
      <c r="CE1725"/>
    </row>
    <row r="1726" spans="1:83" ht="13.15" customHeight="1" outlineLevel="2" x14ac:dyDescent="0.2">
      <c r="A1726"/>
      <c r="B1726" s="1"/>
      <c r="C1726"/>
      <c r="D1726"/>
      <c r="E1726"/>
      <c r="F1726"/>
      <c r="G1726" s="1"/>
      <c r="H1726" s="1"/>
      <c r="I1726"/>
      <c r="J1726"/>
      <c r="K1726"/>
      <c r="L1726"/>
      <c r="M1726"/>
      <c r="N1726"/>
      <c r="O1726"/>
      <c r="P1726"/>
      <c r="Q1726"/>
      <c r="R1726" s="558" t="s">
        <v>3980</v>
      </c>
      <c r="S1726" s="83"/>
      <c r="T1726" s="56"/>
      <c r="U1726" s="955"/>
      <c r="V1726" s="43" t="str">
        <f t="shared" si="1229"/>
        <v>P</v>
      </c>
      <c r="W1726" s="10"/>
      <c r="X1726" s="45" t="s">
        <v>769</v>
      </c>
      <c r="Y1726" s="10"/>
      <c r="Z1726" s="46" t="str">
        <f>Z1705</f>
        <v>G</v>
      </c>
      <c r="AA1726" s="123"/>
      <c r="AB1726" s="1459">
        <f t="shared" si="1221"/>
        <v>0</v>
      </c>
      <c r="AC1726" s="1460" t="str">
        <f t="shared" si="1222"/>
        <v>-</v>
      </c>
      <c r="AD1726" s="1459">
        <f t="shared" si="1223"/>
        <v>0</v>
      </c>
      <c r="AE1726" s="964" t="str">
        <f t="shared" si="1224"/>
        <v/>
      </c>
      <c r="AF1726" s="964" t="str">
        <f t="shared" si="1225"/>
        <v/>
      </c>
      <c r="AG1726" s="964" t="str">
        <f t="shared" si="1226"/>
        <v/>
      </c>
      <c r="AH1726" s="964" t="str">
        <f t="shared" si="1227"/>
        <v/>
      </c>
      <c r="AI1726" s="964" t="str">
        <f t="shared" si="1228"/>
        <v/>
      </c>
      <c r="AJ1726" s="964"/>
      <c r="AK1726" s="964"/>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s="1396"/>
      <c r="CB1726" s="1396"/>
      <c r="CC1726"/>
      <c r="CD1726"/>
      <c r="CE1726"/>
    </row>
    <row r="1727" spans="1:83" ht="13.15" customHeight="1" outlineLevel="2" x14ac:dyDescent="0.2">
      <c r="A1727"/>
      <c r="B1727" s="1"/>
      <c r="C1727"/>
      <c r="D1727"/>
      <c r="E1727"/>
      <c r="F1727"/>
      <c r="G1727" s="1"/>
      <c r="H1727" s="1"/>
      <c r="I1727"/>
      <c r="J1727"/>
      <c r="K1727"/>
      <c r="L1727"/>
      <c r="M1727"/>
      <c r="N1727"/>
      <c r="O1727"/>
      <c r="P1727"/>
      <c r="Q1727"/>
      <c r="R1727" s="558" t="s">
        <v>3980</v>
      </c>
      <c r="S1727" s="83"/>
      <c r="T1727" s="56"/>
      <c r="U1727" s="955"/>
      <c r="V1727" s="43" t="str">
        <f t="shared" si="1229"/>
        <v>R</v>
      </c>
      <c r="W1727" s="10"/>
      <c r="X1727" s="45" t="s">
        <v>769</v>
      </c>
      <c r="Y1727" s="10"/>
      <c r="Z1727" s="46" t="str">
        <f>V1716</f>
        <v>I</v>
      </c>
      <c r="AA1727" s="123"/>
      <c r="AB1727" s="1459">
        <f t="shared" si="1221"/>
        <v>0</v>
      </c>
      <c r="AC1727" s="1460" t="str">
        <f t="shared" si="1222"/>
        <v>-</v>
      </c>
      <c r="AD1727" s="1459">
        <f t="shared" si="1223"/>
        <v>0</v>
      </c>
      <c r="AE1727" s="964" t="str">
        <f t="shared" si="1224"/>
        <v/>
      </c>
      <c r="AF1727" s="964" t="str">
        <f t="shared" si="1225"/>
        <v/>
      </c>
      <c r="AG1727" s="964" t="str">
        <f t="shared" si="1226"/>
        <v/>
      </c>
      <c r="AH1727" s="964" t="str">
        <f t="shared" si="1227"/>
        <v/>
      </c>
      <c r="AI1727" s="964" t="str">
        <f t="shared" si="1228"/>
        <v/>
      </c>
      <c r="AJ1727" s="964"/>
      <c r="AK1727" s="964"/>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s="1396"/>
      <c r="CB1727" s="1396"/>
      <c r="CC1727"/>
      <c r="CD1727"/>
      <c r="CE1727"/>
    </row>
    <row r="1728" spans="1:83" ht="13.15" customHeight="1" outlineLevel="2" x14ac:dyDescent="0.2">
      <c r="A1728"/>
      <c r="B1728" s="1"/>
      <c r="C1728"/>
      <c r="D1728"/>
      <c r="E1728"/>
      <c r="F1728"/>
      <c r="G1728" s="1"/>
      <c r="H1728" s="1"/>
      <c r="I1728"/>
      <c r="J1728"/>
      <c r="K1728"/>
      <c r="L1728"/>
      <c r="M1728"/>
      <c r="N1728"/>
      <c r="O1728"/>
      <c r="P1728"/>
      <c r="Q1728"/>
      <c r="R1728" s="558" t="s">
        <v>3980</v>
      </c>
      <c r="S1728" s="83"/>
      <c r="T1728" s="56"/>
      <c r="U1728" s="955"/>
      <c r="V1728" s="43" t="str">
        <f t="shared" si="1229"/>
        <v>S</v>
      </c>
      <c r="W1728" s="10"/>
      <c r="X1728" s="45" t="s">
        <v>769</v>
      </c>
      <c r="Y1728" s="10"/>
      <c r="Z1728" s="46" t="str">
        <f>V1718</f>
        <v>M</v>
      </c>
      <c r="AA1728" s="123"/>
      <c r="AB1728" s="1459">
        <f t="shared" si="1221"/>
        <v>0</v>
      </c>
      <c r="AC1728" s="1460" t="str">
        <f t="shared" si="1222"/>
        <v>-</v>
      </c>
      <c r="AD1728" s="1459">
        <f t="shared" si="1223"/>
        <v>0</v>
      </c>
      <c r="AE1728" s="964" t="str">
        <f t="shared" si="1224"/>
        <v/>
      </c>
      <c r="AF1728" s="964" t="str">
        <f t="shared" si="1225"/>
        <v/>
      </c>
      <c r="AG1728" s="964" t="str">
        <f t="shared" si="1226"/>
        <v/>
      </c>
      <c r="AH1728" s="964" t="str">
        <f t="shared" si="1227"/>
        <v/>
      </c>
      <c r="AI1728" s="964" t="str">
        <f t="shared" si="1228"/>
        <v/>
      </c>
      <c r="AJ1728" s="964"/>
      <c r="AK1728" s="964"/>
      <c r="AL1728"/>
      <c r="AM1728"/>
      <c r="AN1728"/>
      <c r="AO1728"/>
      <c r="AP1728"/>
      <c r="AQ1728"/>
      <c r="AR1728"/>
      <c r="AS1728"/>
      <c r="AT1728"/>
      <c r="AU1728"/>
      <c r="AV1728"/>
      <c r="AW1728"/>
      <c r="AX1728" s="9"/>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s="1396"/>
      <c r="CB1728" s="1396"/>
      <c r="CC1728"/>
      <c r="CD1728"/>
      <c r="CE1728"/>
    </row>
    <row r="1729" spans="1:83" ht="13.9" customHeight="1" outlineLevel="2" thickBot="1" x14ac:dyDescent="0.25">
      <c r="A1729"/>
      <c r="B1729" s="1"/>
      <c r="C1729"/>
      <c r="D1729"/>
      <c r="E1729"/>
      <c r="F1729"/>
      <c r="G1729" s="1"/>
      <c r="H1729" s="1"/>
      <c r="I1729"/>
      <c r="J1729"/>
      <c r="K1729"/>
      <c r="L1729"/>
      <c r="M1729"/>
      <c r="N1729"/>
      <c r="O1729"/>
      <c r="P1729"/>
      <c r="Q1729"/>
      <c r="R1729" s="558" t="s">
        <v>3980</v>
      </c>
      <c r="S1729" s="956"/>
      <c r="T1729" s="58"/>
      <c r="U1729" s="957"/>
      <c r="V1729" s="958" t="str">
        <f t="shared" si="1229"/>
        <v>Q</v>
      </c>
      <c r="W1729" s="175"/>
      <c r="X1729" s="52" t="s">
        <v>769</v>
      </c>
      <c r="Y1729" s="175"/>
      <c r="Z1729" s="959" t="str">
        <f>Z1718</f>
        <v>O</v>
      </c>
      <c r="AA1729" s="123"/>
      <c r="AB1729" s="1459">
        <f t="shared" si="1221"/>
        <v>0</v>
      </c>
      <c r="AC1729" s="1460" t="str">
        <f t="shared" si="1222"/>
        <v>-</v>
      </c>
      <c r="AD1729" s="1459">
        <f t="shared" si="1223"/>
        <v>0</v>
      </c>
      <c r="AE1729" s="964" t="str">
        <f t="shared" si="1224"/>
        <v/>
      </c>
      <c r="AF1729" s="964" t="str">
        <f t="shared" si="1225"/>
        <v/>
      </c>
      <c r="AG1729" s="964" t="str">
        <f t="shared" si="1226"/>
        <v/>
      </c>
      <c r="AH1729" s="964" t="str">
        <f t="shared" si="1227"/>
        <v/>
      </c>
      <c r="AI1729" s="964" t="str">
        <f t="shared" si="1228"/>
        <v/>
      </c>
      <c r="AJ1729" s="964"/>
      <c r="AK1729" s="964"/>
      <c r="AL1729"/>
      <c r="AM1729"/>
      <c r="AN1729"/>
      <c r="AO1729"/>
      <c r="AP1729"/>
      <c r="AQ1729"/>
      <c r="AR1729"/>
      <c r="AS1729"/>
      <c r="AT1729"/>
      <c r="AU1729"/>
      <c r="AV1729"/>
      <c r="AW1729" s="9"/>
      <c r="AX1729" s="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s="1396"/>
      <c r="CB1729" s="1396"/>
      <c r="CC1729"/>
      <c r="CD1729"/>
      <c r="CE1729"/>
    </row>
    <row r="1730" spans="1:83" ht="13.5" outlineLevel="1" thickBot="1" x14ac:dyDescent="0.25">
      <c r="A1730"/>
      <c r="B1730" s="1"/>
      <c r="C1730" s="1"/>
      <c r="D1730" s="76"/>
      <c r="E1730" s="76"/>
      <c r="F1730" s="76"/>
      <c r="G1730" s="9"/>
      <c r="H1730" s="9"/>
      <c r="I1730" s="1"/>
      <c r="J1730"/>
      <c r="K1730"/>
      <c r="L1730"/>
      <c r="M1730"/>
      <c r="N1730"/>
      <c r="O1730"/>
      <c r="P1730" s="89"/>
      <c r="Q1730"/>
      <c r="R1730" s="1"/>
      <c r="S1730" s="993">
        <f>S1719+1</f>
        <v>19</v>
      </c>
      <c r="T1730" s="961"/>
      <c r="U1730" s="961"/>
      <c r="V1730" s="961"/>
      <c r="W1730" s="960"/>
      <c r="X1730" s="960"/>
      <c r="Y1730" s="960"/>
      <c r="Z1730" s="962"/>
      <c r="AA1730" s="123"/>
      <c r="AB1730" s="963"/>
      <c r="AC1730" s="963"/>
      <c r="AD1730" s="963"/>
      <c r="AE1730" s="964"/>
      <c r="AF1730" s="964"/>
      <c r="AG1730" s="964"/>
      <c r="AH1730" s="964"/>
      <c r="AI1730" s="964"/>
      <c r="AJ1730" s="964"/>
      <c r="AK1730" s="964"/>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s="1396"/>
      <c r="CB1730" s="1396"/>
      <c r="CC1730"/>
      <c r="CD1730"/>
      <c r="CE1730"/>
    </row>
    <row r="1731" spans="1:83" ht="13.5" outlineLevel="2" thickBot="1" x14ac:dyDescent="0.25">
      <c r="A1731"/>
      <c r="B1731" s="1"/>
      <c r="C1731"/>
      <c r="D1731"/>
      <c r="E1731"/>
      <c r="F1731"/>
      <c r="G1731" s="1"/>
      <c r="H1731" s="1"/>
      <c r="I1731"/>
      <c r="J1731"/>
      <c r="K1731"/>
      <c r="L1731"/>
      <c r="M1731"/>
      <c r="N1731"/>
      <c r="O1731"/>
      <c r="P1731"/>
      <c r="Q1731"/>
      <c r="S1731" s="22" t="str">
        <f>N_Heure</f>
        <v>Heure</v>
      </c>
      <c r="T1731" s="22" t="str">
        <f>N_Table</f>
        <v>Table</v>
      </c>
      <c r="U1731" s="22" t="str">
        <f>N_Arbitre</f>
        <v>Arbitre</v>
      </c>
      <c r="V1731" s="293" t="str">
        <f>N_Matches</f>
        <v>Matches</v>
      </c>
      <c r="W1731" s="294"/>
      <c r="X1731" s="294"/>
      <c r="Y1731" s="294"/>
      <c r="Z1731" s="295"/>
      <c r="AA1731" s="8"/>
      <c r="AB1731" s="967"/>
      <c r="AC1731" s="967"/>
      <c r="AD1731" s="967"/>
      <c r="AE1731" s="964"/>
      <c r="AF1731" s="964"/>
      <c r="AG1731" s="964"/>
      <c r="AH1731" s="964"/>
      <c r="AI1731" s="964"/>
      <c r="AJ1731" s="964"/>
      <c r="AK1731" s="964"/>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s="1396"/>
      <c r="CB1731" s="1396"/>
      <c r="CC1731"/>
      <c r="CD1731"/>
      <c r="CE1731"/>
    </row>
    <row r="1732" spans="1:83" outlineLevel="2" x14ac:dyDescent="0.2">
      <c r="A1732"/>
      <c r="B1732" s="1"/>
      <c r="C1732"/>
      <c r="D1732"/>
      <c r="E1732"/>
      <c r="F1732"/>
      <c r="G1732" s="1"/>
      <c r="H1732" s="1"/>
      <c r="I1732"/>
      <c r="J1732"/>
      <c r="K1732"/>
      <c r="L1732"/>
      <c r="M1732"/>
      <c r="N1732"/>
      <c r="O1732"/>
      <c r="P1732"/>
      <c r="Q1732"/>
      <c r="R1732" s="558" t="s">
        <v>3981</v>
      </c>
      <c r="S1732" s="65"/>
      <c r="T1732" s="953"/>
      <c r="U1732" s="954"/>
      <c r="V1732" s="34" t="str">
        <f>Z1721</f>
        <v>A</v>
      </c>
      <c r="W1732" s="148"/>
      <c r="X1732" s="35" t="s">
        <v>769</v>
      </c>
      <c r="Y1732" s="148"/>
      <c r="Z1732" s="36" t="str">
        <f>Z1722</f>
        <v>D</v>
      </c>
      <c r="AA1732" s="123"/>
      <c r="AB1732" s="1459">
        <f t="shared" ref="AB1732:AB1740" si="1230">IF(MaxScore,MaxGoals(W1732,Y1732,MaxGoalsValue),IF(W1732="","",W1732))</f>
        <v>0</v>
      </c>
      <c r="AC1732" s="1460" t="str">
        <f t="shared" ref="AC1732:AC1740" si="1231">IF(MaxScore,"-",IF(W1732="","","-"))</f>
        <v>-</v>
      </c>
      <c r="AD1732" s="1459">
        <f t="shared" ref="AD1732:AD1740" si="1232">IF(MaxScore,MaxGoals(Y1732,W1732,MaxGoalsValue),IF(Y1732="","",Y1732))</f>
        <v>0</v>
      </c>
      <c r="AE1732" s="964" t="str">
        <f t="shared" ref="AE1732:AE1740" si="1233">IF(W1732="","",IF(W1732&gt;Y1732,V1732,IF(W1732=Y1732,"",Z1732)))</f>
        <v/>
      </c>
      <c r="AF1732" s="964" t="str">
        <f t="shared" ref="AF1732:AF1740" si="1234">IF(W1732="","",IF(W1732=Y1732,V1732,""))</f>
        <v/>
      </c>
      <c r="AG1732" s="964" t="str">
        <f t="shared" ref="AG1732:AG1740" si="1235">IF(W1732="","",IF(W1732=Y1732,Z1732,""))</f>
        <v/>
      </c>
      <c r="AH1732" s="964" t="str">
        <f t="shared" ref="AH1732:AH1740" si="1236">IF(W1732="","",IF(W1732&lt;Y1732,V1732,IF(W1732=Y1732,"",Z1732)))</f>
        <v/>
      </c>
      <c r="AI1732" s="964" t="str">
        <f t="shared" ref="AI1732:AI1740" si="1237">CONCATENATE(AE1732,AH1732)</f>
        <v/>
      </c>
      <c r="AJ1732" s="964"/>
      <c r="AK1732" s="964"/>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s="1396"/>
      <c r="CB1732" s="1396"/>
      <c r="CC1732"/>
      <c r="CD1732"/>
      <c r="CE1732"/>
    </row>
    <row r="1733" spans="1:83" outlineLevel="2" x14ac:dyDescent="0.2">
      <c r="A1733"/>
      <c r="B1733" s="1"/>
      <c r="C1733"/>
      <c r="D1733"/>
      <c r="E1733"/>
      <c r="F1733"/>
      <c r="G1733" s="1"/>
      <c r="H1733" s="1"/>
      <c r="I1733"/>
      <c r="J1733"/>
      <c r="K1733"/>
      <c r="L1733"/>
      <c r="M1733"/>
      <c r="N1733"/>
      <c r="O1733"/>
      <c r="P1733"/>
      <c r="Q1733"/>
      <c r="R1733" s="558" t="s">
        <v>3981</v>
      </c>
      <c r="S1733" s="83"/>
      <c r="T1733" s="56"/>
      <c r="U1733" s="955"/>
      <c r="V1733" s="43" t="str">
        <f>Z1723</f>
        <v>B</v>
      </c>
      <c r="W1733" s="10"/>
      <c r="X1733" s="45" t="s">
        <v>769</v>
      </c>
      <c r="Y1733" s="10"/>
      <c r="Z1733" s="46" t="str">
        <f t="shared" ref="Z1733:Z1740" si="1238">V1721</f>
        <v>F</v>
      </c>
      <c r="AA1733" s="123"/>
      <c r="AB1733" s="1459">
        <f t="shared" si="1230"/>
        <v>0</v>
      </c>
      <c r="AC1733" s="1460" t="str">
        <f t="shared" si="1231"/>
        <v>-</v>
      </c>
      <c r="AD1733" s="1459">
        <f t="shared" si="1232"/>
        <v>0</v>
      </c>
      <c r="AE1733" s="964" t="str">
        <f t="shared" si="1233"/>
        <v/>
      </c>
      <c r="AF1733" s="964" t="str">
        <f t="shared" si="1234"/>
        <v/>
      </c>
      <c r="AG1733" s="964" t="str">
        <f t="shared" si="1235"/>
        <v/>
      </c>
      <c r="AH1733" s="964" t="str">
        <f t="shared" si="1236"/>
        <v/>
      </c>
      <c r="AI1733" s="964" t="str">
        <f t="shared" si="1237"/>
        <v/>
      </c>
      <c r="AJ1733" s="964"/>
      <c r="AK1733" s="964"/>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s="1396"/>
      <c r="CB1733" s="1396"/>
      <c r="CC1733"/>
      <c r="CD1733"/>
      <c r="CE1733"/>
    </row>
    <row r="1734" spans="1:83" outlineLevel="2" x14ac:dyDescent="0.2">
      <c r="A1734"/>
      <c r="B1734" s="1"/>
      <c r="C1734"/>
      <c r="D1734"/>
      <c r="E1734"/>
      <c r="F1734"/>
      <c r="G1734" s="1"/>
      <c r="H1734" s="1"/>
      <c r="I1734"/>
      <c r="J1734"/>
      <c r="K1734"/>
      <c r="L1734"/>
      <c r="M1734"/>
      <c r="N1734"/>
      <c r="O1734"/>
      <c r="P1734"/>
      <c r="Q1734"/>
      <c r="R1734" s="558" t="s">
        <v>3981</v>
      </c>
      <c r="S1734" s="83"/>
      <c r="T1734" s="56"/>
      <c r="U1734" s="955"/>
      <c r="V1734" s="43" t="str">
        <f>Z1724</f>
        <v>C</v>
      </c>
      <c r="W1734" s="10"/>
      <c r="X1734" s="45" t="s">
        <v>769</v>
      </c>
      <c r="Y1734" s="10"/>
      <c r="Z1734" s="46" t="str">
        <f t="shared" si="1238"/>
        <v>H</v>
      </c>
      <c r="AA1734" s="123"/>
      <c r="AB1734" s="1459">
        <f t="shared" si="1230"/>
        <v>0</v>
      </c>
      <c r="AC1734" s="1460" t="str">
        <f t="shared" si="1231"/>
        <v>-</v>
      </c>
      <c r="AD1734" s="1459">
        <f t="shared" si="1232"/>
        <v>0</v>
      </c>
      <c r="AE1734" s="964" t="str">
        <f t="shared" si="1233"/>
        <v/>
      </c>
      <c r="AF1734" s="964" t="str">
        <f t="shared" si="1234"/>
        <v/>
      </c>
      <c r="AG1734" s="964" t="str">
        <f t="shared" si="1235"/>
        <v/>
      </c>
      <c r="AH1734" s="964" t="str">
        <f t="shared" si="1236"/>
        <v/>
      </c>
      <c r="AI1734" s="964" t="str">
        <f t="shared" si="1237"/>
        <v/>
      </c>
      <c r="AJ1734" s="964"/>
      <c r="AK1734" s="96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s="1396"/>
      <c r="CB1734" s="1396"/>
      <c r="CC1734"/>
      <c r="CD1734"/>
      <c r="CE1734"/>
    </row>
    <row r="1735" spans="1:83" outlineLevel="2" x14ac:dyDescent="0.2">
      <c r="A1735"/>
      <c r="B1735" s="1"/>
      <c r="C1735"/>
      <c r="D1735"/>
      <c r="E1735"/>
      <c r="F1735"/>
      <c r="G1735" s="1"/>
      <c r="H1735" s="1"/>
      <c r="I1735"/>
      <c r="J1735"/>
      <c r="K1735"/>
      <c r="L1735"/>
      <c r="M1735"/>
      <c r="N1735"/>
      <c r="O1735"/>
      <c r="P1735"/>
      <c r="Q1735"/>
      <c r="R1735" s="558" t="s">
        <v>3981</v>
      </c>
      <c r="S1735" s="83"/>
      <c r="T1735" s="56"/>
      <c r="U1735" s="955"/>
      <c r="V1735" s="43" t="str">
        <f>Z1725</f>
        <v>E</v>
      </c>
      <c r="W1735" s="10"/>
      <c r="X1735" s="45" t="s">
        <v>769</v>
      </c>
      <c r="Y1735" s="10"/>
      <c r="Z1735" s="46" t="str">
        <f t="shared" si="1238"/>
        <v>J</v>
      </c>
      <c r="AA1735" s="123"/>
      <c r="AB1735" s="1459">
        <f t="shared" si="1230"/>
        <v>0</v>
      </c>
      <c r="AC1735" s="1460" t="str">
        <f t="shared" si="1231"/>
        <v>-</v>
      </c>
      <c r="AD1735" s="1459">
        <f t="shared" si="1232"/>
        <v>0</v>
      </c>
      <c r="AE1735" s="964" t="str">
        <f t="shared" si="1233"/>
        <v/>
      </c>
      <c r="AF1735" s="964" t="str">
        <f t="shared" si="1234"/>
        <v/>
      </c>
      <c r="AG1735" s="964" t="str">
        <f t="shared" si="1235"/>
        <v/>
      </c>
      <c r="AH1735" s="964" t="str">
        <f t="shared" si="1236"/>
        <v/>
      </c>
      <c r="AI1735" s="964" t="str">
        <f t="shared" si="1237"/>
        <v/>
      </c>
      <c r="AJ1735" s="964"/>
      <c r="AK1735" s="964"/>
      <c r="AL1735"/>
      <c r="AM1735"/>
      <c r="AN1735"/>
      <c r="AO1735"/>
      <c r="AP1735"/>
      <c r="AQ1735"/>
      <c r="AR1735"/>
      <c r="AS1735"/>
      <c r="AT1735"/>
      <c r="AU1735"/>
      <c r="AV1735"/>
      <c r="AW1735"/>
      <c r="AX1735" s="9"/>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s="1396"/>
      <c r="CB1735" s="1396"/>
      <c r="CC1735"/>
      <c r="CD1735"/>
      <c r="CE1735"/>
    </row>
    <row r="1736" spans="1:83" outlineLevel="2" x14ac:dyDescent="0.2">
      <c r="A1736"/>
      <c r="B1736" s="1"/>
      <c r="C1736"/>
      <c r="D1736"/>
      <c r="E1736"/>
      <c r="F1736"/>
      <c r="G1736" s="1"/>
      <c r="H1736" s="1"/>
      <c r="I1736"/>
      <c r="J1736"/>
      <c r="K1736"/>
      <c r="L1736"/>
      <c r="M1736"/>
      <c r="N1736"/>
      <c r="O1736"/>
      <c r="P1736"/>
      <c r="Q1736"/>
      <c r="R1736" s="558" t="s">
        <v>3981</v>
      </c>
      <c r="S1736" s="83"/>
      <c r="T1736" s="56"/>
      <c r="U1736" s="955"/>
      <c r="V1736" s="43" t="str">
        <f>Z1726</f>
        <v>G</v>
      </c>
      <c r="W1736" s="10"/>
      <c r="X1736" s="45" t="s">
        <v>769</v>
      </c>
      <c r="Y1736" s="10"/>
      <c r="Z1736" s="46" t="str">
        <f t="shared" si="1238"/>
        <v>L</v>
      </c>
      <c r="AA1736" s="123"/>
      <c r="AB1736" s="1459">
        <f t="shared" si="1230"/>
        <v>0</v>
      </c>
      <c r="AC1736" s="1460" t="str">
        <f t="shared" si="1231"/>
        <v>-</v>
      </c>
      <c r="AD1736" s="1459">
        <f t="shared" si="1232"/>
        <v>0</v>
      </c>
      <c r="AE1736" s="964" t="str">
        <f t="shared" si="1233"/>
        <v/>
      </c>
      <c r="AF1736" s="964" t="str">
        <f t="shared" si="1234"/>
        <v/>
      </c>
      <c r="AG1736" s="964" t="str">
        <f t="shared" si="1235"/>
        <v/>
      </c>
      <c r="AH1736" s="964" t="str">
        <f t="shared" si="1236"/>
        <v/>
      </c>
      <c r="AI1736" s="964" t="str">
        <f t="shared" si="1237"/>
        <v/>
      </c>
      <c r="AJ1736" s="964"/>
      <c r="AK1736" s="964"/>
      <c r="AL1736"/>
      <c r="AM1736"/>
      <c r="AN1736"/>
      <c r="AO1736"/>
      <c r="AP1736"/>
      <c r="AQ1736"/>
      <c r="AR1736"/>
      <c r="AS1736"/>
      <c r="AT1736"/>
      <c r="AU1736"/>
      <c r="AV1736"/>
      <c r="AW1736" s="9"/>
      <c r="AX1736" s="9"/>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s="1396"/>
      <c r="CB1736" s="1396"/>
      <c r="CC1736"/>
      <c r="CD1736"/>
      <c r="CE1736"/>
    </row>
    <row r="1737" spans="1:83" outlineLevel="2" x14ac:dyDescent="0.2">
      <c r="A1737"/>
      <c r="B1737" s="1"/>
      <c r="C1737"/>
      <c r="D1737"/>
      <c r="E1737"/>
      <c r="F1737"/>
      <c r="G1737" s="1"/>
      <c r="H1737" s="1"/>
      <c r="I1737"/>
      <c r="J1737"/>
      <c r="K1737"/>
      <c r="L1737"/>
      <c r="M1737"/>
      <c r="N1737"/>
      <c r="O1737"/>
      <c r="P1737"/>
      <c r="Q1737"/>
      <c r="R1737" s="558" t="s">
        <v>3981</v>
      </c>
      <c r="S1737" s="83"/>
      <c r="T1737" s="56"/>
      <c r="U1737" s="955"/>
      <c r="V1737" s="43" t="str">
        <f>Z1727</f>
        <v>I</v>
      </c>
      <c r="W1737" s="10"/>
      <c r="X1737" s="45" t="s">
        <v>769</v>
      </c>
      <c r="Y1737" s="10"/>
      <c r="Z1737" s="46" t="str">
        <f t="shared" si="1238"/>
        <v>N</v>
      </c>
      <c r="AA1737" s="123"/>
      <c r="AB1737" s="1459">
        <f t="shared" si="1230"/>
        <v>0</v>
      </c>
      <c r="AC1737" s="1460" t="str">
        <f t="shared" si="1231"/>
        <v>-</v>
      </c>
      <c r="AD1737" s="1459">
        <f t="shared" si="1232"/>
        <v>0</v>
      </c>
      <c r="AE1737" s="964" t="str">
        <f t="shared" si="1233"/>
        <v/>
      </c>
      <c r="AF1737" s="964" t="str">
        <f t="shared" si="1234"/>
        <v/>
      </c>
      <c r="AG1737" s="964" t="str">
        <f t="shared" si="1235"/>
        <v/>
      </c>
      <c r="AH1737" s="964" t="str">
        <f t="shared" si="1236"/>
        <v/>
      </c>
      <c r="AI1737" s="964" t="str">
        <f t="shared" si="1237"/>
        <v/>
      </c>
      <c r="AJ1737" s="964"/>
      <c r="AK1737" s="964"/>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s="1396"/>
      <c r="CB1737" s="1396"/>
      <c r="CC1737"/>
      <c r="CD1737"/>
      <c r="CE1737"/>
    </row>
    <row r="1738" spans="1:83" outlineLevel="2" x14ac:dyDescent="0.2">
      <c r="A1738"/>
      <c r="B1738" s="1"/>
      <c r="C1738"/>
      <c r="D1738"/>
      <c r="E1738"/>
      <c r="F1738"/>
      <c r="G1738" s="1"/>
      <c r="H1738" s="1"/>
      <c r="I1738"/>
      <c r="J1738"/>
      <c r="K1738"/>
      <c r="L1738"/>
      <c r="M1738"/>
      <c r="N1738"/>
      <c r="O1738"/>
      <c r="P1738"/>
      <c r="Q1738"/>
      <c r="R1738" s="558" t="s">
        <v>3981</v>
      </c>
      <c r="S1738" s="83"/>
      <c r="T1738" s="56"/>
      <c r="U1738" s="955"/>
      <c r="V1738" s="43" t="str">
        <f>V1717</f>
        <v>K</v>
      </c>
      <c r="W1738" s="10"/>
      <c r="X1738" s="45" t="s">
        <v>769</v>
      </c>
      <c r="Y1738" s="10"/>
      <c r="Z1738" s="46" t="str">
        <f t="shared" si="1238"/>
        <v>P</v>
      </c>
      <c r="AA1738" s="123"/>
      <c r="AB1738" s="1459">
        <f t="shared" si="1230"/>
        <v>0</v>
      </c>
      <c r="AC1738" s="1460" t="str">
        <f t="shared" si="1231"/>
        <v>-</v>
      </c>
      <c r="AD1738" s="1459">
        <f t="shared" si="1232"/>
        <v>0</v>
      </c>
      <c r="AE1738" s="964" t="str">
        <f t="shared" si="1233"/>
        <v/>
      </c>
      <c r="AF1738" s="964" t="str">
        <f t="shared" si="1234"/>
        <v/>
      </c>
      <c r="AG1738" s="964" t="str">
        <f t="shared" si="1235"/>
        <v/>
      </c>
      <c r="AH1738" s="964" t="str">
        <f t="shared" si="1236"/>
        <v/>
      </c>
      <c r="AI1738" s="964" t="str">
        <f t="shared" si="1237"/>
        <v/>
      </c>
      <c r="AJ1738" s="964"/>
      <c r="AK1738" s="964"/>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s="1396"/>
      <c r="CB1738" s="1396"/>
      <c r="CC1738"/>
      <c r="CD1738"/>
      <c r="CE1738"/>
    </row>
    <row r="1739" spans="1:83" outlineLevel="2" x14ac:dyDescent="0.2">
      <c r="A1739"/>
      <c r="B1739" s="1"/>
      <c r="C1739"/>
      <c r="D1739"/>
      <c r="E1739"/>
      <c r="F1739"/>
      <c r="G1739" s="1"/>
      <c r="H1739" s="1"/>
      <c r="I1739"/>
      <c r="J1739"/>
      <c r="K1739"/>
      <c r="L1739"/>
      <c r="M1739"/>
      <c r="N1739"/>
      <c r="O1739"/>
      <c r="P1739"/>
      <c r="Q1739"/>
      <c r="R1739" s="558" t="s">
        <v>3981</v>
      </c>
      <c r="S1739" s="83"/>
      <c r="T1739" s="56"/>
      <c r="U1739" s="955"/>
      <c r="V1739" s="43" t="str">
        <f>Z1728</f>
        <v>M</v>
      </c>
      <c r="W1739" s="10"/>
      <c r="X1739" s="45" t="s">
        <v>769</v>
      </c>
      <c r="Y1739" s="10"/>
      <c r="Z1739" s="46" t="str">
        <f t="shared" si="1238"/>
        <v>R</v>
      </c>
      <c r="AA1739" s="123"/>
      <c r="AB1739" s="1459">
        <f t="shared" si="1230"/>
        <v>0</v>
      </c>
      <c r="AC1739" s="1460" t="str">
        <f t="shared" si="1231"/>
        <v>-</v>
      </c>
      <c r="AD1739" s="1459">
        <f t="shared" si="1232"/>
        <v>0</v>
      </c>
      <c r="AE1739" s="964" t="str">
        <f t="shared" si="1233"/>
        <v/>
      </c>
      <c r="AF1739" s="964" t="str">
        <f t="shared" si="1234"/>
        <v/>
      </c>
      <c r="AG1739" s="964" t="str">
        <f t="shared" si="1235"/>
        <v/>
      </c>
      <c r="AH1739" s="964" t="str">
        <f t="shared" si="1236"/>
        <v/>
      </c>
      <c r="AI1739" s="964" t="str">
        <f t="shared" si="1237"/>
        <v/>
      </c>
      <c r="AJ1739" s="964"/>
      <c r="AK1739" s="964"/>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s="1396"/>
      <c r="CB1739" s="1396"/>
      <c r="CC1739"/>
      <c r="CD1739"/>
      <c r="CE1739"/>
    </row>
    <row r="1740" spans="1:83" ht="13.5" outlineLevel="2" thickBot="1" x14ac:dyDescent="0.25">
      <c r="A1740"/>
      <c r="B1740" s="1"/>
      <c r="C1740"/>
      <c r="D1740"/>
      <c r="E1740"/>
      <c r="F1740"/>
      <c r="G1740" s="1"/>
      <c r="H1740" s="1"/>
      <c r="I1740"/>
      <c r="J1740"/>
      <c r="K1740"/>
      <c r="L1740"/>
      <c r="M1740"/>
      <c r="N1740"/>
      <c r="O1740"/>
      <c r="P1740"/>
      <c r="Q1740"/>
      <c r="R1740" s="558" t="s">
        <v>3981</v>
      </c>
      <c r="S1740" s="956"/>
      <c r="T1740" s="58"/>
      <c r="U1740" s="957"/>
      <c r="V1740" s="958" t="str">
        <f>V1729</f>
        <v>Q</v>
      </c>
      <c r="W1740" s="175"/>
      <c r="X1740" s="52" t="s">
        <v>769</v>
      </c>
      <c r="Y1740" s="175"/>
      <c r="Z1740" s="959" t="str">
        <f t="shared" si="1238"/>
        <v>S</v>
      </c>
      <c r="AA1740" s="123"/>
      <c r="AB1740" s="1459">
        <f t="shared" si="1230"/>
        <v>0</v>
      </c>
      <c r="AC1740" s="1460" t="str">
        <f t="shared" si="1231"/>
        <v>-</v>
      </c>
      <c r="AD1740" s="1459">
        <f t="shared" si="1232"/>
        <v>0</v>
      </c>
      <c r="AE1740" s="964" t="str">
        <f t="shared" si="1233"/>
        <v/>
      </c>
      <c r="AF1740" s="964" t="str">
        <f t="shared" si="1234"/>
        <v/>
      </c>
      <c r="AG1740" s="964" t="str">
        <f t="shared" si="1235"/>
        <v/>
      </c>
      <c r="AH1740" s="964" t="str">
        <f t="shared" si="1236"/>
        <v/>
      </c>
      <c r="AI1740" s="964" t="str">
        <f t="shared" si="1237"/>
        <v/>
      </c>
      <c r="AJ1740" s="964"/>
      <c r="AK1740" s="964"/>
      <c r="AL1740"/>
      <c r="AM1740"/>
      <c r="AN1740"/>
      <c r="AO1740"/>
      <c r="AP1740"/>
      <c r="AQ1740"/>
      <c r="AR1740"/>
      <c r="AS1740"/>
      <c r="AT1740"/>
      <c r="AU1740"/>
      <c r="AV1740"/>
      <c r="AW1740" s="9"/>
      <c r="AX1740" s="9"/>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s="1396"/>
      <c r="CB1740" s="1396"/>
      <c r="CC1740"/>
      <c r="CD1740"/>
      <c r="CE1740"/>
    </row>
    <row r="1741" spans="1:83" ht="13.5" thickBot="1" x14ac:dyDescent="0.25">
      <c r="A1741"/>
      <c r="B1741" s="1"/>
      <c r="C1741"/>
      <c r="D1741"/>
      <c r="E1741"/>
      <c r="F1741"/>
      <c r="G1741" s="1"/>
      <c r="H1741" s="1"/>
      <c r="I1741"/>
      <c r="J1741"/>
      <c r="K1741"/>
      <c r="L1741"/>
      <c r="M1741"/>
      <c r="N1741"/>
      <c r="O1741"/>
      <c r="P1741"/>
      <c r="Q1741"/>
      <c r="S1741"/>
      <c r="T1741"/>
      <c r="U1741"/>
      <c r="V1741"/>
      <c r="W1741" s="1"/>
      <c r="X1741" s="1"/>
      <c r="Y1741" s="1"/>
      <c r="Z1741"/>
      <c r="AB1741" s="964"/>
      <c r="AC1741" s="964"/>
      <c r="AD1741" s="969"/>
      <c r="AE1741" s="969"/>
      <c r="AF1741" s="964"/>
      <c r="AG1741" s="970"/>
      <c r="AH1741" s="964"/>
      <c r="AI1741" s="969"/>
      <c r="AJ1741" s="964"/>
      <c r="AK1741" s="963"/>
      <c r="AL1741" s="16"/>
      <c r="AM1741" s="16"/>
      <c r="AN1741" s="16"/>
      <c r="AO1741" s="16"/>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s="1396"/>
      <c r="CB1741" s="1396"/>
      <c r="CC1741"/>
      <c r="CD1741"/>
      <c r="CE1741"/>
    </row>
    <row r="1742" spans="1:83" ht="13.5" thickBot="1" x14ac:dyDescent="0.25">
      <c r="A1742"/>
      <c r="B1742" s="282" t="str">
        <f>N_Group_20</f>
        <v>Poule de 20</v>
      </c>
      <c r="C1742" s="283"/>
      <c r="D1742" s="283"/>
      <c r="E1742" s="283"/>
      <c r="F1742" s="283"/>
      <c r="G1742" s="283"/>
      <c r="H1742" s="283"/>
      <c r="I1742" s="283"/>
      <c r="J1742" s="283"/>
      <c r="K1742" s="283"/>
      <c r="L1742" s="283"/>
      <c r="M1742" s="283"/>
      <c r="N1742" s="283"/>
      <c r="O1742" s="283"/>
      <c r="P1742" s="283"/>
      <c r="Q1742" s="283"/>
      <c r="R1742" s="357"/>
      <c r="S1742" s="283"/>
      <c r="T1742" s="283"/>
      <c r="U1742" s="283"/>
      <c r="V1742" s="283"/>
      <c r="W1742" s="992"/>
      <c r="X1742" s="992"/>
      <c r="Y1742" s="992"/>
      <c r="Z1742" s="283"/>
      <c r="AA1742" s="283"/>
      <c r="AB1742" s="965"/>
      <c r="AC1742" s="965"/>
      <c r="AD1742" s="965"/>
      <c r="AE1742" s="966"/>
      <c r="AF1742" s="966"/>
      <c r="AG1742" s="966"/>
      <c r="AH1742" s="966"/>
      <c r="AI1742" s="966"/>
      <c r="AJ1742" s="966"/>
      <c r="AK1742" s="965"/>
      <c r="AL1742" s="283"/>
      <c r="AM1742" s="282" t="str">
        <f>B1742</f>
        <v>Poule de 20</v>
      </c>
      <c r="AN1742" s="283"/>
      <c r="AO1742" s="283"/>
      <c r="AP1742" s="283"/>
      <c r="AQ1742" s="283"/>
      <c r="AR1742" s="283"/>
      <c r="AS1742" s="283"/>
      <c r="AT1742" s="283"/>
      <c r="AU1742" s="283"/>
      <c r="AV1742" s="283"/>
      <c r="AW1742" s="283"/>
      <c r="AX1742" s="283"/>
      <c r="AY1742" s="283"/>
      <c r="AZ1742" s="283"/>
      <c r="BA1742" s="283"/>
      <c r="BB1742" s="283"/>
      <c r="BC1742" s="283"/>
      <c r="BD1742" s="283"/>
      <c r="BE1742" s="283"/>
      <c r="BF1742" s="283"/>
      <c r="BG1742" s="283"/>
      <c r="BH1742" s="283"/>
      <c r="BI1742" s="283"/>
      <c r="BJ1742" s="283"/>
      <c r="BK1742" s="283"/>
      <c r="BL1742" s="283"/>
      <c r="BM1742" s="283"/>
      <c r="BN1742" s="283"/>
      <c r="BO1742" s="283"/>
      <c r="BP1742" s="283"/>
      <c r="BQ1742" s="283"/>
      <c r="BR1742" s="283"/>
      <c r="BS1742" s="283"/>
      <c r="BT1742" s="283"/>
      <c r="BU1742" s="283"/>
      <c r="BV1742" s="283"/>
      <c r="BW1742" s="283"/>
      <c r="BX1742" s="283"/>
      <c r="BY1742" s="283"/>
      <c r="BZ1742"/>
      <c r="CA1742" s="1396"/>
      <c r="CB1742" s="1396"/>
      <c r="CC1742" s="284"/>
      <c r="CD1742"/>
      <c r="CE1742"/>
    </row>
    <row r="1743" spans="1:83" ht="13.5" outlineLevel="1" thickBot="1" x14ac:dyDescent="0.25">
      <c r="A1743"/>
      <c r="B1743" s="1"/>
      <c r="C1743"/>
      <c r="D1743"/>
      <c r="E1743"/>
      <c r="F1743"/>
      <c r="G1743" s="1"/>
      <c r="H1743" s="1"/>
      <c r="I1743"/>
      <c r="J1743"/>
      <c r="K1743"/>
      <c r="L1743"/>
      <c r="M1743"/>
      <c r="N1743"/>
      <c r="O1743"/>
      <c r="P1743"/>
      <c r="Q1743"/>
      <c r="S1743"/>
      <c r="T1743"/>
      <c r="U1743"/>
      <c r="V1743"/>
      <c r="W1743" s="1"/>
      <c r="X1743" s="1"/>
      <c r="Y1743" s="1"/>
      <c r="Z1743"/>
      <c r="AB1743" s="964"/>
      <c r="AC1743" s="964"/>
      <c r="AD1743" s="969"/>
      <c r="AE1743" s="969"/>
      <c r="AF1743" s="964"/>
      <c r="AG1743" s="970"/>
      <c r="AH1743" s="964"/>
      <c r="AI1743" s="969"/>
      <c r="AJ1743" s="964"/>
      <c r="AK1743" s="963"/>
      <c r="AL1743" s="16"/>
      <c r="AM1743" s="16"/>
      <c r="AN1743" s="16"/>
      <c r="AO1743" s="16"/>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s="1396"/>
      <c r="CB1743" s="1396"/>
      <c r="CC1743"/>
      <c r="CD1743"/>
      <c r="CE1743"/>
    </row>
    <row r="1744" spans="1:83" ht="13.5" outlineLevel="1" thickBot="1" x14ac:dyDescent="0.25">
      <c r="A1744"/>
      <c r="B1744" s="18" t="str">
        <f>N_Tirage</f>
        <v>Tirage</v>
      </c>
      <c r="C1744" s="971" t="s">
        <v>787</v>
      </c>
      <c r="D1744" s="972" t="s">
        <v>831</v>
      </c>
      <c r="E1744" s="972" t="s">
        <v>832</v>
      </c>
      <c r="F1744" s="973" t="s">
        <v>833</v>
      </c>
      <c r="G1744" s="22" t="str">
        <f>N_Joueurs</f>
        <v>Joueurs</v>
      </c>
      <c r="H1744" s="3" t="str">
        <f>N_RankPoints</f>
        <v>Pt. Clas.</v>
      </c>
      <c r="I1744" s="22" t="str">
        <f>N_Diff_Part</f>
        <v>Diff-Part</v>
      </c>
      <c r="J1744" s="983" t="s">
        <v>788</v>
      </c>
      <c r="K1744" s="984" t="s">
        <v>789</v>
      </c>
      <c r="L1744" s="972" t="s">
        <v>790</v>
      </c>
      <c r="M1744" s="972" t="s">
        <v>791</v>
      </c>
      <c r="N1744" s="972" t="s">
        <v>792</v>
      </c>
      <c r="O1744" s="972" t="s">
        <v>793</v>
      </c>
      <c r="P1744" s="972" t="s">
        <v>794</v>
      </c>
      <c r="Q1744" s="973" t="s">
        <v>781</v>
      </c>
      <c r="R1744"/>
      <c r="S1744"/>
      <c r="T1744"/>
      <c r="U1744"/>
      <c r="V1744"/>
      <c r="W1744" s="1"/>
      <c r="X1744" s="1"/>
      <c r="Y1744" s="1"/>
      <c r="Z1744"/>
      <c r="AB1744" s="964"/>
      <c r="AC1744" s="964"/>
      <c r="AD1744" s="964"/>
      <c r="AE1744" s="964" t="str">
        <f>N_G</f>
        <v>G</v>
      </c>
      <c r="AF1744" s="964" t="str">
        <f>N_N</f>
        <v>N</v>
      </c>
      <c r="AG1744" s="964" t="str">
        <f>N_N</f>
        <v>N</v>
      </c>
      <c r="AH1744" s="964" t="str">
        <f>N_P</f>
        <v>P</v>
      </c>
      <c r="AI1744" s="964" t="s">
        <v>1560</v>
      </c>
      <c r="AJ1744" s="964" t="s">
        <v>3714</v>
      </c>
      <c r="AK1744" s="964" t="str">
        <f>IF(COUNTA(W1767:W1992)=0,"","OK")</f>
        <v/>
      </c>
      <c r="AL1744"/>
      <c r="AM1744" s="16"/>
      <c r="AN1744" s="24" t="str">
        <f>N_Cla.</f>
        <v>Cla.</v>
      </c>
      <c r="AO1744" s="4" t="str">
        <f>N_Joueurs</f>
        <v>Joueurs</v>
      </c>
      <c r="AP1744" s="25" t="str">
        <f>N_Pts</f>
        <v>Pts</v>
      </c>
      <c r="AQ1744" s="25" t="str">
        <f>N_J</f>
        <v>J</v>
      </c>
      <c r="AR1744" s="26" t="str">
        <f>N_G</f>
        <v>G</v>
      </c>
      <c r="AS1744" s="26" t="str">
        <f>N_N</f>
        <v>N</v>
      </c>
      <c r="AT1744" s="26" t="str">
        <f>N_P</f>
        <v>P</v>
      </c>
      <c r="AU1744" s="26" t="str">
        <f>N_BP</f>
        <v>BP</v>
      </c>
      <c r="AV1744" s="26" t="str">
        <f>N_BC</f>
        <v>BC</v>
      </c>
      <c r="AW1744" s="5" t="str">
        <f>N_Diff.</f>
        <v>Diff.</v>
      </c>
      <c r="AX1744"/>
      <c r="AY1744"/>
      <c r="AZ1744" s="1"/>
      <c r="BA1744" s="1"/>
      <c r="BB1744"/>
      <c r="BC1744" s="6"/>
      <c r="BD1744"/>
      <c r="BE1744" s="1"/>
      <c r="BF1744"/>
      <c r="BG1744" s="16"/>
      <c r="BH1744"/>
      <c r="BI1744"/>
      <c r="BJ1744"/>
      <c r="BK1744"/>
      <c r="BL1744"/>
      <c r="BM1744"/>
      <c r="BN1744"/>
      <c r="BO1744"/>
      <c r="BP1744"/>
      <c r="BQ1744"/>
      <c r="BR1744"/>
      <c r="BS1744"/>
      <c r="BT1744"/>
      <c r="BU1744"/>
      <c r="BV1744"/>
      <c r="BW1744"/>
      <c r="BX1744"/>
      <c r="BY1744"/>
      <c r="BZ1744"/>
      <c r="CA1744" s="1396"/>
      <c r="CB1744" s="1396"/>
      <c r="CC1744"/>
      <c r="CD1744"/>
      <c r="CE1744"/>
    </row>
    <row r="1745" spans="1:83" outlineLevel="1" x14ac:dyDescent="0.2">
      <c r="A1745"/>
      <c r="B1745" s="941">
        <v>1</v>
      </c>
      <c r="C1745" s="974" t="str">
        <f>IF(AK1744="","",RANK(F1745,F1745:F1764)*1000+ROW())</f>
        <v/>
      </c>
      <c r="D1745" s="975" t="str">
        <f>IF(L1745="","",CritClassInd1_Points*J1745+CritClassInd1_Matches*L1745+CritClassInd1_Attaque*O1745+CritClassInd1_DiffButs*Q1745)</f>
        <v/>
      </c>
      <c r="E1745" s="975" t="str">
        <f>IF(L1745="","",Nb_Diff_Part(D1745,D1745:D1764,G1745,G1745:G1764,AI1767:AI1992)*CritClassInd_DiffPart+Nb_Goal_Part(D1745,D1745:D1764,G1745,G1745:G1764,V1767:Z1992)*CritClassInd_GoalPart+Nb_Score_Part(D1745,D1745:D1764,G1745,G1745:G1764,V1767:Z1992)*CritClassInd_ScorePart)</f>
        <v/>
      </c>
      <c r="F1745" s="976" t="str">
        <f>IF(L1745="","",D1745+E1745+CritClassInd2_Points*J1745+CritClassInd2_Matches*L1745+CritClassInd2_Attaque*O1745+CritClassInd2_DiffButs*Q1745+CritClassInd_Ranking*H1745+I1745)</f>
        <v/>
      </c>
      <c r="G1745" s="942" t="s">
        <v>2712</v>
      </c>
      <c r="H1745" s="499">
        <f t="shared" ref="H1745:H1764" si="1239">GMFTRANKINGPOINTS(G1745,Particular_Category)</f>
        <v>0</v>
      </c>
      <c r="I1745" s="942"/>
      <c r="J1745" s="974" t="str">
        <f>IF(AK1744="","",(L1745*Points_Victoire)+M1745*Points_Null)</f>
        <v/>
      </c>
      <c r="K1745" s="985" t="str">
        <f t="shared" ref="K1745:K1764" si="1240">IF(L1745="","",SUM(L1745:N1745))</f>
        <v/>
      </c>
      <c r="L1745" s="986" t="str">
        <f>IF(AK1744="","",COUNTIF(AE1767:AE1992,G1745))</f>
        <v/>
      </c>
      <c r="M1745" s="986" t="str">
        <f>IF(AK1744="","",COUNTIF(AF1767:AG1992,G1745))</f>
        <v/>
      </c>
      <c r="N1745" s="986" t="str">
        <f>IF(AK1744="","",COUNTIF(AH1767:AH1992,G1745))</f>
        <v/>
      </c>
      <c r="O1745" s="986" t="str">
        <f>IF(AK1744="","",SUMIF(V1767:V1992,G1745,AB1767:AB1992)+SUMIF(Z1767:Z1992,G1745,AD1767:AD1992))</f>
        <v/>
      </c>
      <c r="P1745" s="986" t="str">
        <f>IF(AK1744="","",SUMIF(V1767:V1992,G1745,AD1767:AD1992)+SUMIF(Z1767:Z1992,G1745,AB1767:AB1992))</f>
        <v/>
      </c>
      <c r="Q1745" s="987" t="str">
        <f>IF(AK1744="","",O1745-P1745)</f>
        <v/>
      </c>
      <c r="R1745"/>
      <c r="S1745"/>
      <c r="T1745"/>
      <c r="U1745"/>
      <c r="V1745"/>
      <c r="W1745" s="1"/>
      <c r="X1745" s="1"/>
      <c r="Y1745" s="1"/>
      <c r="Z1745"/>
      <c r="AB1745" s="964"/>
      <c r="AC1745" s="964"/>
      <c r="AD1745" s="964"/>
      <c r="AE1745" s="964"/>
      <c r="AF1745" s="964"/>
      <c r="AG1745" s="964"/>
      <c r="AH1745" s="964"/>
      <c r="AI1745" s="964"/>
      <c r="AJ1745" s="964"/>
      <c r="AK1745" s="968" t="str">
        <f>IF(AK1744="","",SMALL(C1745:C1764,1))</f>
        <v/>
      </c>
      <c r="AL1745"/>
      <c r="AM1745" s="16"/>
      <c r="AN1745" s="943" t="str">
        <f>IF(AK1744="","",INT(AK1745/1000))</f>
        <v/>
      </c>
      <c r="AO1745" s="33" t="str">
        <f>IF(AK1744="","",VLOOKUP(AK1745,C1745:Q1764,5,FALSE))</f>
        <v/>
      </c>
      <c r="AP1745" s="33" t="str">
        <f>VLOOKUP(AK1745,C1745:Q1764,8,FALSE)</f>
        <v/>
      </c>
      <c r="AQ1745" s="33" t="str">
        <f>VLOOKUP(AK1745,C1745:Q1764,9,FALSE)</f>
        <v/>
      </c>
      <c r="AR1745" s="33" t="str">
        <f>VLOOKUP(AK1745,C1745:Q1764,10,FALSE)</f>
        <v/>
      </c>
      <c r="AS1745" s="33" t="str">
        <f>VLOOKUP(AK1745,C1745:Q1764,11,FALSE)</f>
        <v/>
      </c>
      <c r="AT1745" s="33" t="str">
        <f>VLOOKUP(AK1745,C1745:Q1764,12,FALSE)</f>
        <v/>
      </c>
      <c r="AU1745" s="33" t="str">
        <f>VLOOKUP(AK1745,C1745:Q1764,13,FALSE)</f>
        <v/>
      </c>
      <c r="AV1745" s="33" t="str">
        <f>VLOOKUP(AK1745,C1745:Q1764,14,FALSE)</f>
        <v/>
      </c>
      <c r="AW1745" s="944" t="str">
        <f>VLOOKUP(AK1745,C1745:Q1764,15,FALSE)</f>
        <v/>
      </c>
      <c r="AX1745"/>
      <c r="AY1745"/>
      <c r="AZ1745" s="1"/>
      <c r="BA1745" s="1"/>
      <c r="BB1745"/>
      <c r="BC1745" s="6"/>
      <c r="BD1745"/>
      <c r="BE1745" s="1"/>
      <c r="BF1745"/>
      <c r="BG1745" s="16"/>
      <c r="BH1745"/>
      <c r="BI1745"/>
      <c r="BJ1745"/>
      <c r="BK1745"/>
      <c r="BL1745"/>
      <c r="BM1745"/>
      <c r="BN1745"/>
      <c r="BO1745"/>
      <c r="BP1745"/>
      <c r="BQ1745"/>
      <c r="BR1745"/>
      <c r="BS1745"/>
      <c r="BT1745"/>
      <c r="BU1745"/>
      <c r="BV1745"/>
      <c r="BW1745"/>
      <c r="BX1745"/>
      <c r="BY1745"/>
      <c r="BZ1745"/>
      <c r="CA1745" s="1396"/>
      <c r="CB1745" s="1396"/>
      <c r="CC1745"/>
      <c r="CD1745"/>
      <c r="CE1745"/>
    </row>
    <row r="1746" spans="1:83" outlineLevel="1" x14ac:dyDescent="0.2">
      <c r="A1746"/>
      <c r="B1746" s="945">
        <v>2</v>
      </c>
      <c r="C1746" s="977" t="str">
        <f>IF(AK1744="","",RANK(F1746,F1745:F1764)*1000+ROW())</f>
        <v/>
      </c>
      <c r="D1746" s="978" t="str">
        <f t="shared" ref="D1746:D1764" si="1241">IF(L1746="","",CritClassInd1_Points*J1746+CritClassInd1_Matches*L1746+CritClassInd1_Attaque*O1746+CritClassInd1_DiffButs*Q1746)</f>
        <v/>
      </c>
      <c r="E1746" s="978" t="str">
        <f>IF(L1746="","",Nb_Diff_Part(D1746,D1745:D1764,G1746,G1745:G1764,AI1767:AI1992)*CritClassInd_DiffPart+Nb_Goal_Part(D1746,D1745:D1764,G1746,G1745:G1764,V1767:Z1992)*CritClassInd_GoalPart+Nb_Score_Part(D1746,D1745:D1764,G1746,G1745:G1764,V1767:Z1992)*CritClassInd_ScorePart)</f>
        <v/>
      </c>
      <c r="F1746" s="979" t="str">
        <f t="shared" ref="F1746:F1764" si="1242">IF(L1746="","",D1746+E1746+CritClassInd2_Points*J1746+CritClassInd2_Matches*L1746+CritClassInd2_Attaque*O1746+CritClassInd2_DiffButs*Q1746+CritClassInd_Ranking*H1746+I1746)</f>
        <v/>
      </c>
      <c r="G1746" s="39" t="s">
        <v>3911</v>
      </c>
      <c r="H1746" s="501">
        <f t="shared" si="1239"/>
        <v>0</v>
      </c>
      <c r="I1746" s="39"/>
      <c r="J1746" s="977" t="str">
        <f>IF(AK1744="","",(L1746*Points_Victoire)+M1746*Points_Null)</f>
        <v/>
      </c>
      <c r="K1746" s="988" t="str">
        <f t="shared" si="1240"/>
        <v/>
      </c>
      <c r="L1746" s="988" t="str">
        <f>IF(AK1744="","",COUNTIF(AE1767:AE1992,G1746))</f>
        <v/>
      </c>
      <c r="M1746" s="988" t="str">
        <f>IF(AK1744="","",COUNTIF(AF1767:AG1992,G1746))</f>
        <v/>
      </c>
      <c r="N1746" s="988" t="str">
        <f>IF(AK1744="","",COUNTIF(AH1767:AH1992,G1746))</f>
        <v/>
      </c>
      <c r="O1746" s="988" t="str">
        <f>IF(AK1744="","",SUMIF(V1767:V1992,G1746,AB1767:AB1992)+SUMIF(Z1767:Z1992,G1746,AD1767:AD1992))</f>
        <v/>
      </c>
      <c r="P1746" s="988" t="str">
        <f>IF(AK1744="","",SUMIF(V1767:V1992,G1746,AD1767:AD1992)+SUMIF(Z1767:Z1992,G1746,AB1767:AB1992))</f>
        <v/>
      </c>
      <c r="Q1746" s="989" t="str">
        <f>IF(AK1744="","",O1746-P1746)</f>
        <v/>
      </c>
      <c r="R1746"/>
      <c r="S1746"/>
      <c r="T1746"/>
      <c r="U1746"/>
      <c r="V1746"/>
      <c r="W1746" s="1"/>
      <c r="X1746" s="1"/>
      <c r="Y1746" s="1"/>
      <c r="Z1746"/>
      <c r="AB1746" s="964"/>
      <c r="AC1746" s="964"/>
      <c r="AD1746" s="964"/>
      <c r="AE1746" s="964"/>
      <c r="AF1746" s="964"/>
      <c r="AG1746" s="964"/>
      <c r="AH1746" s="964"/>
      <c r="AI1746" s="964"/>
      <c r="AJ1746" s="964"/>
      <c r="AK1746" s="968" t="str">
        <f>IF(AK1744="","",SMALL(C1745:C1764,2))</f>
        <v/>
      </c>
      <c r="AL1746"/>
      <c r="AM1746" s="16"/>
      <c r="AN1746" s="946" t="str">
        <f>IF(AK1744="","",INT(AK1746/1000))</f>
        <v/>
      </c>
      <c r="AO1746" s="42" t="str">
        <f>IF(AK1744="","",VLOOKUP(AK1746,C1745:Q1764,5,FALSE))</f>
        <v/>
      </c>
      <c r="AP1746" s="42" t="str">
        <f>VLOOKUP(AK1746,C1745:Q1764,8,FALSE)</f>
        <v/>
      </c>
      <c r="AQ1746" s="42" t="str">
        <f>VLOOKUP(AK1746,C1745:Q1764,9,FALSE)</f>
        <v/>
      </c>
      <c r="AR1746" s="42" t="str">
        <f>VLOOKUP(AK1746,C1745:Q1764,10,FALSE)</f>
        <v/>
      </c>
      <c r="AS1746" s="42" t="str">
        <f>VLOOKUP(AK1746,C1745:Q1764,11,FALSE)</f>
        <v/>
      </c>
      <c r="AT1746" s="42" t="str">
        <f>VLOOKUP(AK1746,C1745:Q1764,12,FALSE)</f>
        <v/>
      </c>
      <c r="AU1746" s="42" t="str">
        <f>VLOOKUP(AK1746,C1745:Q1764,13,FALSE)</f>
        <v/>
      </c>
      <c r="AV1746" s="42" t="str">
        <f>VLOOKUP(AK1746,C1745:Q1764,14,FALSE)</f>
        <v/>
      </c>
      <c r="AW1746" s="947" t="str">
        <f>VLOOKUP(AK1746,C1745:Q1764,15,FALSE)</f>
        <v/>
      </c>
      <c r="AX1746"/>
      <c r="AY1746"/>
      <c r="AZ1746" s="1"/>
      <c r="BA1746" s="1"/>
      <c r="BB1746"/>
      <c r="BC1746" s="6"/>
      <c r="BD1746"/>
      <c r="BE1746" s="1"/>
      <c r="BF1746"/>
      <c r="BG1746" s="16"/>
      <c r="BH1746"/>
      <c r="BI1746"/>
      <c r="BJ1746"/>
      <c r="BK1746"/>
      <c r="BL1746"/>
      <c r="BM1746"/>
      <c r="BN1746"/>
      <c r="BO1746"/>
      <c r="BP1746"/>
      <c r="BQ1746"/>
      <c r="BR1746"/>
      <c r="BS1746"/>
      <c r="BT1746"/>
      <c r="BU1746"/>
      <c r="BV1746"/>
      <c r="BW1746"/>
      <c r="BX1746"/>
      <c r="BY1746"/>
      <c r="BZ1746"/>
      <c r="CA1746" s="1396"/>
      <c r="CB1746" s="1396"/>
      <c r="CC1746"/>
      <c r="CD1746"/>
      <c r="CE1746"/>
    </row>
    <row r="1747" spans="1:83" outlineLevel="1" x14ac:dyDescent="0.2">
      <c r="A1747"/>
      <c r="B1747" s="945">
        <v>3</v>
      </c>
      <c r="C1747" s="977" t="str">
        <f>IF(AK1744="","",RANK(F1747,F1745:F1764)*1000+ROW())</f>
        <v/>
      </c>
      <c r="D1747" s="978" t="str">
        <f t="shared" si="1241"/>
        <v/>
      </c>
      <c r="E1747" s="978" t="str">
        <f>IF(L1747="","",Nb_Diff_Part(D1747,D1745:D1764,G1747,G1745:G1764,AI1767:AI1992)*CritClassInd_DiffPart+Nb_Goal_Part(D1747,D1745:D1764,G1747,G1745:G1764,V1767:Z1992)*CritClassInd_GoalPart+Nb_Score_Part(D1747,D1745:D1764,G1747,G1745:G1764,V1767:Z1992)*CritClassInd_ScorePart)</f>
        <v/>
      </c>
      <c r="F1747" s="979" t="str">
        <f t="shared" si="1242"/>
        <v/>
      </c>
      <c r="G1747" s="39" t="s">
        <v>3912</v>
      </c>
      <c r="H1747" s="501">
        <f t="shared" si="1239"/>
        <v>0</v>
      </c>
      <c r="I1747" s="39"/>
      <c r="J1747" s="977" t="str">
        <f>IF(AK1744="","",(L1747*Points_Victoire)+M1747*Points_Null)</f>
        <v/>
      </c>
      <c r="K1747" s="988" t="str">
        <f t="shared" si="1240"/>
        <v/>
      </c>
      <c r="L1747" s="988" t="str">
        <f>IF(AK1744="","",COUNTIF(AE1767:AE1992,G1747))</f>
        <v/>
      </c>
      <c r="M1747" s="988" t="str">
        <f>IF(AK1744="","",COUNTIF(AF1767:AG1992,G1747))</f>
        <v/>
      </c>
      <c r="N1747" s="988" t="str">
        <f>IF(AK1744="","",COUNTIF(AH1767:AH1992,G1747))</f>
        <v/>
      </c>
      <c r="O1747" s="988" t="str">
        <f>IF(AK1744="","",SUMIF(V1767:V1992,G1747,AB1767:AB1992)+SUMIF(Z1767:Z1992,G1747,AD1767:AD1992))</f>
        <v/>
      </c>
      <c r="P1747" s="988" t="str">
        <f>IF(AK1744="","",SUMIF(V1767:V1992,G1747,AD1767:AD1992)+SUMIF(Z1767:Z1992,G1747,AB1767:AB1992))</f>
        <v/>
      </c>
      <c r="Q1747" s="989" t="str">
        <f>IF(AK1744="","",O1747-P1747)</f>
        <v/>
      </c>
      <c r="R1747"/>
      <c r="S1747"/>
      <c r="T1747"/>
      <c r="U1747"/>
      <c r="V1747"/>
      <c r="W1747" s="1"/>
      <c r="X1747" s="1"/>
      <c r="Y1747" s="1"/>
      <c r="Z1747"/>
      <c r="AB1747" s="964"/>
      <c r="AC1747" s="964"/>
      <c r="AD1747" s="964"/>
      <c r="AE1747" s="964"/>
      <c r="AF1747" s="964"/>
      <c r="AG1747" s="964"/>
      <c r="AH1747" s="964"/>
      <c r="AI1747" s="964"/>
      <c r="AJ1747" s="964"/>
      <c r="AK1747" s="968" t="str">
        <f>IF(AK1744="","",SMALL(C1745:C1764,3))</f>
        <v/>
      </c>
      <c r="AL1747"/>
      <c r="AM1747" s="16"/>
      <c r="AN1747" s="946" t="str">
        <f>IF(AK1744="","",INT(AK1747/1000))</f>
        <v/>
      </c>
      <c r="AO1747" s="42" t="str">
        <f>IF(AK1744="","",VLOOKUP(AK1747,C1745:Q1764,5,FALSE))</f>
        <v/>
      </c>
      <c r="AP1747" s="42" t="str">
        <f>VLOOKUP(AK1747,C1745:Q1764,8,FALSE)</f>
        <v/>
      </c>
      <c r="AQ1747" s="42" t="str">
        <f>VLOOKUP(AK1747,C1745:Q1764,9,FALSE)</f>
        <v/>
      </c>
      <c r="AR1747" s="42" t="str">
        <f>VLOOKUP(AK1747,C1745:Q1764,10,FALSE)</f>
        <v/>
      </c>
      <c r="AS1747" s="42" t="str">
        <f>VLOOKUP(AK1747,C1745:Q1764,11,FALSE)</f>
        <v/>
      </c>
      <c r="AT1747" s="42" t="str">
        <f>VLOOKUP(AK1747,C1745:Q1764,12,FALSE)</f>
        <v/>
      </c>
      <c r="AU1747" s="42" t="str">
        <f>VLOOKUP(AK1747,C1745:Q1764,13,FALSE)</f>
        <v/>
      </c>
      <c r="AV1747" s="42" t="str">
        <f>VLOOKUP(AK1747,C1745:Q1764,14,FALSE)</f>
        <v/>
      </c>
      <c r="AW1747" s="947" t="str">
        <f>VLOOKUP(AK1747,C1745:Q1764,15,FALSE)</f>
        <v/>
      </c>
      <c r="AX1747"/>
      <c r="AY1747"/>
      <c r="AZ1747" s="1"/>
      <c r="BA1747" s="1"/>
      <c r="BB1747"/>
      <c r="BC1747" s="6"/>
      <c r="BD1747"/>
      <c r="BE1747" s="1"/>
      <c r="BF1747"/>
      <c r="BG1747" s="16"/>
      <c r="BH1747"/>
      <c r="BI1747"/>
      <c r="BJ1747"/>
      <c r="BK1747"/>
      <c r="BL1747"/>
      <c r="BM1747"/>
      <c r="BN1747"/>
      <c r="BO1747"/>
      <c r="BP1747"/>
      <c r="BQ1747"/>
      <c r="BR1747"/>
      <c r="BS1747"/>
      <c r="BT1747"/>
      <c r="BU1747"/>
      <c r="BV1747"/>
      <c r="BW1747"/>
      <c r="BX1747"/>
      <c r="BY1747"/>
      <c r="BZ1747"/>
      <c r="CA1747" s="1396"/>
      <c r="CB1747" s="1396"/>
      <c r="CC1747"/>
      <c r="CD1747"/>
      <c r="CE1747"/>
    </row>
    <row r="1748" spans="1:83" outlineLevel="1" x14ac:dyDescent="0.2">
      <c r="A1748"/>
      <c r="B1748" s="945">
        <v>4</v>
      </c>
      <c r="C1748" s="977" t="str">
        <f>IF(AK1744="","",RANK(F1748,F1745:F1764)*1000+ROW())</f>
        <v/>
      </c>
      <c r="D1748" s="978" t="str">
        <f t="shared" si="1241"/>
        <v/>
      </c>
      <c r="E1748" s="978" t="str">
        <f>IF(L1748="","",Nb_Diff_Part(D1748,D1745:D1764,G1748,G1745:G1764,AI1767:AI1992)*CritClassInd_DiffPart+Nb_Goal_Part(D1748,D1745:D1764,G1748,G1745:G1764,V1767:Z1992)*CritClassInd_GoalPart+Nb_Score_Part(D1748,D1745:D1764,G1748,G1745:G1764,V1767:Z1992)*CritClassInd_ScorePart)</f>
        <v/>
      </c>
      <c r="F1748" s="979" t="str">
        <f t="shared" si="1242"/>
        <v/>
      </c>
      <c r="G1748" s="39" t="s">
        <v>2710</v>
      </c>
      <c r="H1748" s="501">
        <f t="shared" si="1239"/>
        <v>0</v>
      </c>
      <c r="I1748" s="39"/>
      <c r="J1748" s="977" t="str">
        <f>IF(AK1744="","",(L1748*Points_Victoire)+M1748*Points_Null)</f>
        <v/>
      </c>
      <c r="K1748" s="988" t="str">
        <f t="shared" si="1240"/>
        <v/>
      </c>
      <c r="L1748" s="988" t="str">
        <f>IF(AK1744="","",COUNTIF(AE1767:AE1992,G1748))</f>
        <v/>
      </c>
      <c r="M1748" s="988" t="str">
        <f>IF(AK1744="","",COUNTIF(AF1767:AG1992,G1748))</f>
        <v/>
      </c>
      <c r="N1748" s="988" t="str">
        <f>IF(AK1744="","",COUNTIF(AH1767:AH1992,G1748))</f>
        <v/>
      </c>
      <c r="O1748" s="988" t="str">
        <f>IF(AK1744="","",SUMIF(V1767:V1992,G1748,AB1767:AB1992)+SUMIF(Z1767:Z1992,G1748,AD1767:AD1992))</f>
        <v/>
      </c>
      <c r="P1748" s="988" t="str">
        <f>IF(AK1744="","",SUMIF(V1767:V1992,G1748,AD1767:AD1992)+SUMIF(Z1767:Z1992,G1748,AB1767:AB1992))</f>
        <v/>
      </c>
      <c r="Q1748" s="989" t="str">
        <f>IF(AK1744="","",O1748-P1748)</f>
        <v/>
      </c>
      <c r="R1748"/>
      <c r="S1748"/>
      <c r="T1748"/>
      <c r="U1748"/>
      <c r="V1748"/>
      <c r="W1748" s="1"/>
      <c r="X1748" s="1"/>
      <c r="Y1748" s="1"/>
      <c r="Z1748"/>
      <c r="AB1748" s="964"/>
      <c r="AC1748" s="964"/>
      <c r="AD1748" s="964"/>
      <c r="AE1748" s="964"/>
      <c r="AF1748" s="964"/>
      <c r="AG1748" s="964"/>
      <c r="AH1748" s="964"/>
      <c r="AI1748" s="964"/>
      <c r="AJ1748" s="964"/>
      <c r="AK1748" s="968" t="str">
        <f>IF(AK1744="","",SMALL(C1745:C1764,4))</f>
        <v/>
      </c>
      <c r="AL1748"/>
      <c r="AM1748" s="16"/>
      <c r="AN1748" s="946" t="str">
        <f>IF(AK1744="","",INT(AK1748/1000))</f>
        <v/>
      </c>
      <c r="AO1748" s="42" t="str">
        <f>IF(AK1744="","",VLOOKUP(AK1748,C1745:Q1764,5,FALSE))</f>
        <v/>
      </c>
      <c r="AP1748" s="42" t="str">
        <f>VLOOKUP(AK1748,C1745:Q1764,8,FALSE)</f>
        <v/>
      </c>
      <c r="AQ1748" s="42" t="str">
        <f>VLOOKUP(AK1748,C1745:Q1764,9,FALSE)</f>
        <v/>
      </c>
      <c r="AR1748" s="42" t="str">
        <f>VLOOKUP(AK1748,C1745:Q1764,10,FALSE)</f>
        <v/>
      </c>
      <c r="AS1748" s="42" t="str">
        <f>VLOOKUP(AK1748,C1745:Q1764,11,FALSE)</f>
        <v/>
      </c>
      <c r="AT1748" s="42" t="str">
        <f>VLOOKUP(AK1748,C1745:Q1764,12,FALSE)</f>
        <v/>
      </c>
      <c r="AU1748" s="42" t="str">
        <f>VLOOKUP(AK1748,C1745:Q1764,13,FALSE)</f>
        <v/>
      </c>
      <c r="AV1748" s="42" t="str">
        <f>VLOOKUP(AK1748,C1745:Q1764,14,FALSE)</f>
        <v/>
      </c>
      <c r="AW1748" s="947" t="str">
        <f>VLOOKUP(AK1748,C1745:Q1764,15,FALSE)</f>
        <v/>
      </c>
      <c r="AX1748"/>
      <c r="AY1748"/>
      <c r="AZ1748" s="1"/>
      <c r="BA1748" s="1"/>
      <c r="BB1748"/>
      <c r="BC1748" s="6"/>
      <c r="BD1748"/>
      <c r="BE1748" s="1"/>
      <c r="BF1748"/>
      <c r="BG1748" s="16"/>
      <c r="BH1748"/>
      <c r="BI1748"/>
      <c r="BJ1748"/>
      <c r="BK1748"/>
      <c r="BL1748"/>
      <c r="BM1748"/>
      <c r="BN1748"/>
      <c r="BO1748"/>
      <c r="BP1748"/>
      <c r="BQ1748"/>
      <c r="BR1748"/>
      <c r="BS1748"/>
      <c r="BT1748"/>
      <c r="BU1748"/>
      <c r="BV1748"/>
      <c r="BW1748"/>
      <c r="BX1748"/>
      <c r="BY1748"/>
      <c r="BZ1748"/>
      <c r="CA1748" s="1396"/>
      <c r="CB1748" s="1396"/>
      <c r="CC1748"/>
      <c r="CD1748"/>
      <c r="CE1748"/>
    </row>
    <row r="1749" spans="1:83" outlineLevel="1" x14ac:dyDescent="0.2">
      <c r="A1749"/>
      <c r="B1749" s="945">
        <v>5</v>
      </c>
      <c r="C1749" s="977" t="str">
        <f>IF(AK1744="","",RANK(F1749,F1745:F1764)*1000+ROW())</f>
        <v/>
      </c>
      <c r="D1749" s="978" t="str">
        <f t="shared" si="1241"/>
        <v/>
      </c>
      <c r="E1749" s="978" t="str">
        <f>IF(L1749="","",Nb_Diff_Part(D1749,D1745:D1764,G1749,G1745:G1764,AI1767:AI1992)*CritClassInd_DiffPart+Nb_Goal_Part(D1749,D1745:D1764,G1749,G1745:G1764,V1767:Z1992)*CritClassInd_GoalPart+Nb_Score_Part(D1749,D1745:D1764,G1749,G1745:G1764,V1767:Z1992)*CritClassInd_ScorePart)</f>
        <v/>
      </c>
      <c r="F1749" s="979" t="str">
        <f t="shared" si="1242"/>
        <v/>
      </c>
      <c r="G1749" s="39" t="s">
        <v>3913</v>
      </c>
      <c r="H1749" s="501">
        <f t="shared" si="1239"/>
        <v>0</v>
      </c>
      <c r="I1749" s="39"/>
      <c r="J1749" s="977" t="str">
        <f>IF(AK1744="","",(L1749*Points_Victoire)+M1749*Points_Null)</f>
        <v/>
      </c>
      <c r="K1749" s="988" t="str">
        <f t="shared" si="1240"/>
        <v/>
      </c>
      <c r="L1749" s="988" t="str">
        <f>IF(AK1744="","",COUNTIF(AE1767:AE1992,G1749))</f>
        <v/>
      </c>
      <c r="M1749" s="988" t="str">
        <f>IF(AK1744="","",COUNTIF(AF1767:AG1992,G1749))</f>
        <v/>
      </c>
      <c r="N1749" s="988" t="str">
        <f>IF(AK1744="","",COUNTIF(AH1767:AH1992,G1749))</f>
        <v/>
      </c>
      <c r="O1749" s="988" t="str">
        <f>IF(AK1744="","",SUMIF(V1767:V1992,G1749,AB1767:AB1992)+SUMIF(Z1767:Z1992,G1749,AD1767:AD1992))</f>
        <v/>
      </c>
      <c r="P1749" s="988" t="str">
        <f>IF(AK1744="","",SUMIF(V1767:V1992,G1749,AD1767:AD1992)+SUMIF(Z1767:Z1992,G1749,AB1767:AB1992))</f>
        <v/>
      </c>
      <c r="Q1749" s="989" t="str">
        <f>IF(AK1744="","",O1749-P1749)</f>
        <v/>
      </c>
      <c r="R1749"/>
      <c r="S1749"/>
      <c r="T1749"/>
      <c r="U1749"/>
      <c r="V1749"/>
      <c r="W1749" s="1"/>
      <c r="X1749" s="1"/>
      <c r="Y1749" s="1"/>
      <c r="Z1749"/>
      <c r="AB1749" s="964"/>
      <c r="AC1749" s="964"/>
      <c r="AD1749" s="964"/>
      <c r="AE1749" s="964"/>
      <c r="AF1749" s="964"/>
      <c r="AG1749" s="964"/>
      <c r="AH1749" s="964"/>
      <c r="AI1749" s="964"/>
      <c r="AJ1749" s="964"/>
      <c r="AK1749" s="968" t="str">
        <f>IF(AK1744="","",SMALL(C1745:C1764,5))</f>
        <v/>
      </c>
      <c r="AL1749"/>
      <c r="AM1749" s="16"/>
      <c r="AN1749" s="946" t="str">
        <f>IF(AK1744="","",INT(AK1749/1000))</f>
        <v/>
      </c>
      <c r="AO1749" s="42" t="str">
        <f>IF(AK1744="","",VLOOKUP(AK1749,C1745:Q1764,5,FALSE))</f>
        <v/>
      </c>
      <c r="AP1749" s="42" t="str">
        <f>VLOOKUP(AK1749,C1745:Q1764,8,FALSE)</f>
        <v/>
      </c>
      <c r="AQ1749" s="42" t="str">
        <f>VLOOKUP(AK1749,C1745:Q1764,9,FALSE)</f>
        <v/>
      </c>
      <c r="AR1749" s="42" t="str">
        <f>VLOOKUP(AK1749,C1745:Q1764,10,FALSE)</f>
        <v/>
      </c>
      <c r="AS1749" s="42" t="str">
        <f>VLOOKUP(AK1749,C1745:Q1764,11,FALSE)</f>
        <v/>
      </c>
      <c r="AT1749" s="42" t="str">
        <f>VLOOKUP(AK1749,C1745:Q1764,12,FALSE)</f>
        <v/>
      </c>
      <c r="AU1749" s="42" t="str">
        <f>VLOOKUP(AK1749,C1745:Q1764,13,FALSE)</f>
        <v/>
      </c>
      <c r="AV1749" s="42" t="str">
        <f>VLOOKUP(AK1749,C1745:Q1764,14,FALSE)</f>
        <v/>
      </c>
      <c r="AW1749" s="947" t="str">
        <f>VLOOKUP(AK1749,C1745:Q1764,15,FALSE)</f>
        <v/>
      </c>
      <c r="AX1749"/>
      <c r="AY1749"/>
      <c r="AZ1749" s="1"/>
      <c r="BA1749" s="1"/>
      <c r="BB1749"/>
      <c r="BC1749" s="6"/>
      <c r="BD1749"/>
      <c r="BE1749" s="1"/>
      <c r="BF1749"/>
      <c r="BG1749" s="16"/>
      <c r="BH1749"/>
      <c r="BI1749"/>
      <c r="BJ1749"/>
      <c r="BK1749"/>
      <c r="BL1749"/>
      <c r="BM1749"/>
      <c r="BN1749"/>
      <c r="BO1749"/>
      <c r="BP1749"/>
      <c r="BQ1749"/>
      <c r="BR1749"/>
      <c r="BS1749"/>
      <c r="BT1749"/>
      <c r="BU1749"/>
      <c r="BV1749"/>
      <c r="BW1749"/>
      <c r="BX1749"/>
      <c r="BY1749"/>
      <c r="BZ1749"/>
      <c r="CA1749" s="1396"/>
      <c r="CB1749" s="1396"/>
      <c r="CC1749"/>
      <c r="CD1749"/>
      <c r="CE1749"/>
    </row>
    <row r="1750" spans="1:83" outlineLevel="1" x14ac:dyDescent="0.2">
      <c r="A1750"/>
      <c r="B1750" s="945">
        <v>6</v>
      </c>
      <c r="C1750" s="977" t="str">
        <f>IF(AK1744="","",RANK(F1750,F1745:F1764)*1000+ROW())</f>
        <v/>
      </c>
      <c r="D1750" s="978" t="str">
        <f t="shared" si="1241"/>
        <v/>
      </c>
      <c r="E1750" s="978" t="str">
        <f>IF(L1750="","",Nb_Diff_Part(D1750,D1745:D1764,G1750,G1745:G1764,AI1767:AI1992)*CritClassInd_DiffPart+Nb_Goal_Part(D1750,D1745:D1764,G1750,G1745:G1764,V1767:Z1992)*CritClassInd_GoalPart+Nb_Score_Part(D1750,D1745:D1764,G1750,G1745:G1764,V1767:Z1992)*CritClassInd_ScorePart)</f>
        <v/>
      </c>
      <c r="F1750" s="979" t="str">
        <f t="shared" si="1242"/>
        <v/>
      </c>
      <c r="G1750" s="39" t="s">
        <v>2711</v>
      </c>
      <c r="H1750" s="501">
        <f t="shared" si="1239"/>
        <v>0</v>
      </c>
      <c r="I1750" s="39"/>
      <c r="J1750" s="977" t="str">
        <f>IF(AK1744="","",(L1750*Points_Victoire)+M1750*Points_Null)</f>
        <v/>
      </c>
      <c r="K1750" s="988" t="str">
        <f t="shared" si="1240"/>
        <v/>
      </c>
      <c r="L1750" s="988" t="str">
        <f>IF(AK1744="","",COUNTIF(AE1767:AE1992,G1750))</f>
        <v/>
      </c>
      <c r="M1750" s="988" t="str">
        <f>IF(AK1744="","",COUNTIF(AF1767:AG1992,G1750))</f>
        <v/>
      </c>
      <c r="N1750" s="988" t="str">
        <f>IF(AK1744="","",COUNTIF(AH1767:AH1992,G1750))</f>
        <v/>
      </c>
      <c r="O1750" s="988" t="str">
        <f>IF(AK1744="","",SUMIF(V1767:V1992,G1750,AB1767:AB1992)+SUMIF(Z1767:Z1992,G1750,AD1767:AD1992))</f>
        <v/>
      </c>
      <c r="P1750" s="988" t="str">
        <f>IF(AK1744="","",SUMIF(V1767:V1992,G1750,AD1767:AD1992)+SUMIF(Z1767:Z1992,G1750,AB1767:AB1992))</f>
        <v/>
      </c>
      <c r="Q1750" s="989" t="str">
        <f>IF(AK1744="","",O1750-P1750)</f>
        <v/>
      </c>
      <c r="R1750"/>
      <c r="S1750"/>
      <c r="T1750"/>
      <c r="U1750"/>
      <c r="V1750"/>
      <c r="W1750" s="1"/>
      <c r="X1750" s="1"/>
      <c r="Y1750" s="1"/>
      <c r="Z1750"/>
      <c r="AB1750" s="964"/>
      <c r="AC1750" s="964"/>
      <c r="AD1750" s="964"/>
      <c r="AE1750" s="964"/>
      <c r="AF1750" s="964"/>
      <c r="AG1750" s="964"/>
      <c r="AH1750" s="964"/>
      <c r="AI1750" s="964"/>
      <c r="AJ1750" s="964"/>
      <c r="AK1750" s="968" t="str">
        <f>IF(AK1744="","",SMALL(C1745:C1764,6))</f>
        <v/>
      </c>
      <c r="AL1750"/>
      <c r="AM1750" s="16"/>
      <c r="AN1750" s="946" t="str">
        <f>IF(AK1744="","",INT(AK1750/1000))</f>
        <v/>
      </c>
      <c r="AO1750" s="42" t="str">
        <f>IF(AK1744="","",VLOOKUP(AK1750,C1745:Q1764,5,FALSE))</f>
        <v/>
      </c>
      <c r="AP1750" s="42" t="str">
        <f>VLOOKUP(AK1750,C1745:Q1764,8,FALSE)</f>
        <v/>
      </c>
      <c r="AQ1750" s="42" t="str">
        <f>VLOOKUP(AK1750,C1745:Q1764,9,FALSE)</f>
        <v/>
      </c>
      <c r="AR1750" s="42" t="str">
        <f>VLOOKUP(AK1750,C1745:Q1764,10,FALSE)</f>
        <v/>
      </c>
      <c r="AS1750" s="42" t="str">
        <f>VLOOKUP(AK1750,C1745:Q1764,11,FALSE)</f>
        <v/>
      </c>
      <c r="AT1750" s="42" t="str">
        <f>VLOOKUP(AK1750,C1745:Q1764,12,FALSE)</f>
        <v/>
      </c>
      <c r="AU1750" s="42" t="str">
        <f>VLOOKUP(AK1750,C1745:Q1764,13,FALSE)</f>
        <v/>
      </c>
      <c r="AV1750" s="42" t="str">
        <f>VLOOKUP(AK1750,C1745:Q1764,14,FALSE)</f>
        <v/>
      </c>
      <c r="AW1750" s="947" t="str">
        <f>VLOOKUP(AK1750,C1745:Q1764,15,FALSE)</f>
        <v/>
      </c>
      <c r="AX1750"/>
      <c r="AY1750"/>
      <c r="AZ1750" s="1"/>
      <c r="BA1750" s="1"/>
      <c r="BB1750"/>
      <c r="BC1750" s="6"/>
      <c r="BD1750"/>
      <c r="BE1750" s="1"/>
      <c r="BF1750"/>
      <c r="BG1750" s="16"/>
      <c r="BH1750"/>
      <c r="BI1750"/>
      <c r="BJ1750"/>
      <c r="BK1750"/>
      <c r="BL1750"/>
      <c r="BM1750"/>
      <c r="BN1750"/>
      <c r="BO1750"/>
      <c r="BP1750"/>
      <c r="BQ1750"/>
      <c r="BR1750"/>
      <c r="BS1750"/>
      <c r="BT1750"/>
      <c r="BU1750"/>
      <c r="BV1750"/>
      <c r="BW1750"/>
      <c r="BX1750"/>
      <c r="BY1750"/>
      <c r="BZ1750"/>
      <c r="CA1750" s="1396"/>
      <c r="CB1750" s="1396"/>
      <c r="CC1750"/>
      <c r="CD1750"/>
      <c r="CE1750"/>
    </row>
    <row r="1751" spans="1:83" outlineLevel="1" x14ac:dyDescent="0.2">
      <c r="A1751"/>
      <c r="B1751" s="945">
        <v>7</v>
      </c>
      <c r="C1751" s="977" t="str">
        <f>IF(AK1744="","",RANK(F1751,F1745:F1764)*1000+ROW())</f>
        <v/>
      </c>
      <c r="D1751" s="978" t="str">
        <f t="shared" si="1241"/>
        <v/>
      </c>
      <c r="E1751" s="978" t="str">
        <f>IF(L1751="","",Nb_Diff_Part(D1751,D1745:D1764,G1751,G1745:G1764,AI1767:AI1992)*CritClassInd_DiffPart+Nb_Goal_Part(D1751,D1745:D1764,G1751,G1745:G1764,V1767:Z1992)*CritClassInd_GoalPart+Nb_Score_Part(D1751,D1745:D1764,G1751,G1745:G1764,V1767:Z1992)*CritClassInd_ScorePart)</f>
        <v/>
      </c>
      <c r="F1751" s="979" t="str">
        <f t="shared" si="1242"/>
        <v/>
      </c>
      <c r="G1751" s="39" t="s">
        <v>790</v>
      </c>
      <c r="H1751" s="501">
        <f t="shared" si="1239"/>
        <v>0</v>
      </c>
      <c r="I1751" s="39"/>
      <c r="J1751" s="977" t="str">
        <f>IF(AK1744="","",(L1751*Points_Victoire)+M1751*Points_Null)</f>
        <v/>
      </c>
      <c r="K1751" s="988" t="str">
        <f t="shared" si="1240"/>
        <v/>
      </c>
      <c r="L1751" s="988" t="str">
        <f>IF(AK1744="","",COUNTIF(AE1767:AE1992,G1751))</f>
        <v/>
      </c>
      <c r="M1751" s="988" t="str">
        <f>IF(AK1744="","",COUNTIF(AF1767:AG1992,G1751))</f>
        <v/>
      </c>
      <c r="N1751" s="988" t="str">
        <f>IF(AK1744="","",COUNTIF(AH1767:AH1992,G1751))</f>
        <v/>
      </c>
      <c r="O1751" s="988" t="str">
        <f>IF(AK1744="","",SUMIF(V1767:V1992,G1751,AB1767:AB1992)+SUMIF(Z1767:Z1992,G1751,AD1767:AD1992))</f>
        <v/>
      </c>
      <c r="P1751" s="988" t="str">
        <f>IF(AK1744="","",SUMIF(V1767:V1992,G1751,AD1767:AD1992)+SUMIF(Z1767:Z1992,G1751,AB1767:AB1992))</f>
        <v/>
      </c>
      <c r="Q1751" s="989" t="str">
        <f>IF(AK1744="","",O1751-P1751)</f>
        <v/>
      </c>
      <c r="R1751"/>
      <c r="S1751"/>
      <c r="T1751"/>
      <c r="U1751"/>
      <c r="V1751"/>
      <c r="W1751" s="1"/>
      <c r="X1751" s="1"/>
      <c r="Y1751" s="1"/>
      <c r="Z1751"/>
      <c r="AB1751" s="964"/>
      <c r="AC1751" s="964"/>
      <c r="AD1751" s="964"/>
      <c r="AE1751" s="964"/>
      <c r="AF1751" s="964"/>
      <c r="AG1751" s="964"/>
      <c r="AH1751" s="964"/>
      <c r="AI1751" s="964"/>
      <c r="AJ1751" s="964"/>
      <c r="AK1751" s="968" t="str">
        <f>IF(AK1744="","",SMALL(C1745:C1764,7))</f>
        <v/>
      </c>
      <c r="AL1751"/>
      <c r="AM1751" s="16"/>
      <c r="AN1751" s="946" t="str">
        <f>IF(AK1744="","",INT(AK1751/1000))</f>
        <v/>
      </c>
      <c r="AO1751" s="42" t="str">
        <f>IF(AK1744="","",VLOOKUP(AK1751,C1745:Q1764,5,FALSE))</f>
        <v/>
      </c>
      <c r="AP1751" s="42" t="str">
        <f>VLOOKUP(AK1751,C1745:Q1764,8,FALSE)</f>
        <v/>
      </c>
      <c r="AQ1751" s="42" t="str">
        <f>VLOOKUP(AK1751,C1745:Q1764,9,FALSE)</f>
        <v/>
      </c>
      <c r="AR1751" s="42" t="str">
        <f>VLOOKUP(AK1751,C1745:Q1764,10,FALSE)</f>
        <v/>
      </c>
      <c r="AS1751" s="42" t="str">
        <f>VLOOKUP(AK1751,C1745:Q1764,11,FALSE)</f>
        <v/>
      </c>
      <c r="AT1751" s="42" t="str">
        <f>VLOOKUP(AK1751,C1745:Q1764,12,FALSE)</f>
        <v/>
      </c>
      <c r="AU1751" s="42" t="str">
        <f>VLOOKUP(AK1751,C1745:Q1764,13,FALSE)</f>
        <v/>
      </c>
      <c r="AV1751" s="42" t="str">
        <f>VLOOKUP(AK1751,C1745:Q1764,14,FALSE)</f>
        <v/>
      </c>
      <c r="AW1751" s="947" t="str">
        <f>VLOOKUP(AK1751,C1745:Q1764,15,FALSE)</f>
        <v/>
      </c>
      <c r="AX1751"/>
      <c r="AY1751"/>
      <c r="AZ1751" s="1"/>
      <c r="BA1751" s="1"/>
      <c r="BB1751"/>
      <c r="BC1751" s="6"/>
      <c r="BD1751"/>
      <c r="BE1751" s="1"/>
      <c r="BF1751"/>
      <c r="BG1751" s="16"/>
      <c r="BH1751"/>
      <c r="BI1751"/>
      <c r="BJ1751"/>
      <c r="BK1751"/>
      <c r="BL1751"/>
      <c r="BM1751"/>
      <c r="BN1751"/>
      <c r="BO1751"/>
      <c r="BP1751"/>
      <c r="BQ1751"/>
      <c r="BR1751"/>
      <c r="BS1751"/>
      <c r="BT1751"/>
      <c r="BU1751"/>
      <c r="BV1751"/>
      <c r="BW1751"/>
      <c r="BX1751"/>
      <c r="BY1751"/>
      <c r="BZ1751"/>
      <c r="CA1751" s="1396"/>
      <c r="CB1751" s="1396"/>
      <c r="CC1751"/>
      <c r="CD1751"/>
      <c r="CE1751"/>
    </row>
    <row r="1752" spans="1:83" outlineLevel="1" x14ac:dyDescent="0.2">
      <c r="A1752"/>
      <c r="B1752" s="945">
        <v>8</v>
      </c>
      <c r="C1752" s="977" t="str">
        <f>IF(AK1744="","",RANK(F1752,F1745:F1764)*1000+ROW())</f>
        <v/>
      </c>
      <c r="D1752" s="978" t="str">
        <f t="shared" si="1241"/>
        <v/>
      </c>
      <c r="E1752" s="978" t="str">
        <f>IF(L1752="","",Nb_Diff_Part(D1752,D1745:D1764,G1752,G1745:G1764,AI1767:AI1992)*CritClassInd_DiffPart+Nb_Goal_Part(D1752,D1745:D1764,G1752,G1745:G1764,V1767:Z1992)*CritClassInd_GoalPart+Nb_Score_Part(D1752,D1745:D1764,G1752,G1745:G1764,V1767:Z1992)*CritClassInd_ScorePart)</f>
        <v/>
      </c>
      <c r="F1752" s="979" t="str">
        <f t="shared" si="1242"/>
        <v/>
      </c>
      <c r="G1752" s="39" t="s">
        <v>3914</v>
      </c>
      <c r="H1752" s="501">
        <f t="shared" si="1239"/>
        <v>0</v>
      </c>
      <c r="I1752" s="39"/>
      <c r="J1752" s="977" t="str">
        <f>IF(AK1744="","",(L1752*Points_Victoire)+M1752*Points_Null)</f>
        <v/>
      </c>
      <c r="K1752" s="988" t="str">
        <f t="shared" si="1240"/>
        <v/>
      </c>
      <c r="L1752" s="988" t="str">
        <f>IF(AK1744="","",COUNTIF(AE1767:AE1992,G1752))</f>
        <v/>
      </c>
      <c r="M1752" s="988" t="str">
        <f>IF(AK1744="","",COUNTIF(AF1767:AG1992,G1752))</f>
        <v/>
      </c>
      <c r="N1752" s="988" t="str">
        <f>IF(AK1744="","",COUNTIF(AH1767:AH1992,G1752))</f>
        <v/>
      </c>
      <c r="O1752" s="988" t="str">
        <f>IF(AK1744="","",SUMIF(V1767:V1992,G1752,AB1767:AB1992)+SUMIF(Z1767:Z1992,G1752,AD1767:AD1992))</f>
        <v/>
      </c>
      <c r="P1752" s="988" t="str">
        <f>IF(AK1744="","",SUMIF(V1767:V1992,G1752,AD1767:AD1992)+SUMIF(Z1767:Z1992,G1752,AB1767:AB1992))</f>
        <v/>
      </c>
      <c r="Q1752" s="989" t="str">
        <f>IF(AK1744="","",O1752-P1752)</f>
        <v/>
      </c>
      <c r="R1752"/>
      <c r="S1752"/>
      <c r="T1752"/>
      <c r="U1752"/>
      <c r="V1752"/>
      <c r="W1752" s="1"/>
      <c r="X1752" s="1"/>
      <c r="Y1752" s="1"/>
      <c r="Z1752"/>
      <c r="AB1752" s="964"/>
      <c r="AC1752" s="964"/>
      <c r="AD1752" s="964"/>
      <c r="AE1752" s="964"/>
      <c r="AF1752" s="964"/>
      <c r="AG1752" s="964"/>
      <c r="AH1752" s="964"/>
      <c r="AI1752" s="964"/>
      <c r="AJ1752" s="964"/>
      <c r="AK1752" s="968" t="str">
        <f>IF(AK1744="","",SMALL(C1745:C1764,8))</f>
        <v/>
      </c>
      <c r="AL1752"/>
      <c r="AM1752" s="16"/>
      <c r="AN1752" s="946" t="str">
        <f>IF(AK1744="","",INT(AK1752/1000))</f>
        <v/>
      </c>
      <c r="AO1752" s="42" t="str">
        <f>IF(AK1744="","",VLOOKUP(AK1752,C1745:Q1764,5,FALSE))</f>
        <v/>
      </c>
      <c r="AP1752" s="42" t="str">
        <f>VLOOKUP(AK1752,C1745:Q1764,8,FALSE)</f>
        <v/>
      </c>
      <c r="AQ1752" s="42" t="str">
        <f>VLOOKUP(AK1752,C1745:Q1764,9,FALSE)</f>
        <v/>
      </c>
      <c r="AR1752" s="42" t="str">
        <f>VLOOKUP(AK1752,C1745:Q1764,10,FALSE)</f>
        <v/>
      </c>
      <c r="AS1752" s="42" t="str">
        <f>VLOOKUP(AK1752,C1745:Q1764,11,FALSE)</f>
        <v/>
      </c>
      <c r="AT1752" s="42" t="str">
        <f>VLOOKUP(AK1752,C1745:Q1764,12,FALSE)</f>
        <v/>
      </c>
      <c r="AU1752" s="42" t="str">
        <f>VLOOKUP(AK1752,C1745:Q1764,13,FALSE)</f>
        <v/>
      </c>
      <c r="AV1752" s="42" t="str">
        <f>VLOOKUP(AK1752,C1745:Q1764,14,FALSE)</f>
        <v/>
      </c>
      <c r="AW1752" s="947" t="str">
        <f>VLOOKUP(AK1752,C1745:Q1764,15,FALSE)</f>
        <v/>
      </c>
      <c r="AX1752"/>
      <c r="AY1752"/>
      <c r="AZ1752" s="1"/>
      <c r="BA1752" s="1"/>
      <c r="BB1752"/>
      <c r="BC1752" s="6"/>
      <c r="BD1752"/>
      <c r="BE1752" s="1"/>
      <c r="BF1752"/>
      <c r="BG1752" s="16"/>
      <c r="BH1752"/>
      <c r="BI1752"/>
      <c r="BJ1752"/>
      <c r="BK1752"/>
      <c r="BL1752"/>
      <c r="BM1752"/>
      <c r="BN1752"/>
      <c r="BO1752"/>
      <c r="BP1752"/>
      <c r="BQ1752"/>
      <c r="BR1752"/>
      <c r="BS1752"/>
      <c r="BT1752"/>
      <c r="BU1752"/>
      <c r="BV1752"/>
      <c r="BW1752"/>
      <c r="BX1752"/>
      <c r="BY1752"/>
      <c r="BZ1752"/>
      <c r="CA1752" s="1396"/>
      <c r="CB1752" s="1396"/>
      <c r="CC1752"/>
      <c r="CD1752"/>
      <c r="CE1752"/>
    </row>
    <row r="1753" spans="1:83" outlineLevel="1" x14ac:dyDescent="0.2">
      <c r="A1753"/>
      <c r="B1753" s="945">
        <v>9</v>
      </c>
      <c r="C1753" s="977" t="str">
        <f>IF(AK1744="","",RANK(F1753,F1745:F1764)*1000+ROW())</f>
        <v/>
      </c>
      <c r="D1753" s="978" t="str">
        <f t="shared" si="1241"/>
        <v/>
      </c>
      <c r="E1753" s="978" t="str">
        <f>IF(L1753="","",Nb_Diff_Part(D1753,D1745:D1764,G1753,G1745:G1764,AI1767:AI1992)*CritClassInd_DiffPart+Nb_Goal_Part(D1753,D1745:D1764,G1753,G1745:G1764,V1767:Z1992)*CritClassInd_GoalPart+Nb_Score_Part(D1753,D1745:D1764,G1753,G1745:G1764,V1767:Z1992)*CritClassInd_ScorePart)</f>
        <v/>
      </c>
      <c r="F1753" s="979" t="str">
        <f t="shared" si="1242"/>
        <v/>
      </c>
      <c r="G1753" s="39" t="s">
        <v>3915</v>
      </c>
      <c r="H1753" s="501">
        <f t="shared" si="1239"/>
        <v>0</v>
      </c>
      <c r="I1753" s="39"/>
      <c r="J1753" s="977" t="str">
        <f>IF(AK1744="","",(L1753*Points_Victoire)+M1753*Points_Null)</f>
        <v/>
      </c>
      <c r="K1753" s="988" t="str">
        <f t="shared" si="1240"/>
        <v/>
      </c>
      <c r="L1753" s="988" t="str">
        <f>IF(AK1744="","",COUNTIF(AE1767:AE1992,G1753))</f>
        <v/>
      </c>
      <c r="M1753" s="988" t="str">
        <f>IF(AK1744="","",COUNTIF(AF1767:AG1992,G1753))</f>
        <v/>
      </c>
      <c r="N1753" s="988" t="str">
        <f>IF(AK1744="","",COUNTIF(AH1767:AH1992,G1753))</f>
        <v/>
      </c>
      <c r="O1753" s="988" t="str">
        <f>IF(AK1744="","",SUMIF(V1767:V1992,G1753,AB1767:AB1992)+SUMIF(Z1767:Z1992,G1753,AD1767:AD1992))</f>
        <v/>
      </c>
      <c r="P1753" s="988" t="str">
        <f>IF(AK1744="","",SUMIF(V1767:V1992,G1753,AD1767:AD1992)+SUMIF(Z1767:Z1992,G1753,AB1767:AB1992))</f>
        <v/>
      </c>
      <c r="Q1753" s="989" t="str">
        <f>IF(AK1744="","",O1753-P1753)</f>
        <v/>
      </c>
      <c r="R1753"/>
      <c r="S1753"/>
      <c r="T1753"/>
      <c r="U1753"/>
      <c r="V1753"/>
      <c r="W1753" s="1"/>
      <c r="X1753" s="1"/>
      <c r="Y1753" s="1"/>
      <c r="Z1753"/>
      <c r="AB1753" s="964"/>
      <c r="AC1753" s="964"/>
      <c r="AD1753" s="964"/>
      <c r="AE1753" s="964"/>
      <c r="AF1753" s="964"/>
      <c r="AG1753" s="964"/>
      <c r="AH1753" s="964"/>
      <c r="AI1753" s="964"/>
      <c r="AJ1753" s="964"/>
      <c r="AK1753" s="968" t="str">
        <f>IF(AK1744="","",SMALL(C1745:C1764,9))</f>
        <v/>
      </c>
      <c r="AL1753"/>
      <c r="AM1753" s="16"/>
      <c r="AN1753" s="946" t="str">
        <f>IF(AK1744="","",INT(AK1753/1000))</f>
        <v/>
      </c>
      <c r="AO1753" s="42" t="str">
        <f>IF(AK1744="","",VLOOKUP(AK1753,C1745:Q1764,5,FALSE))</f>
        <v/>
      </c>
      <c r="AP1753" s="42" t="str">
        <f>VLOOKUP(AK1753,C1745:Q1764,8,FALSE)</f>
        <v/>
      </c>
      <c r="AQ1753" s="42" t="str">
        <f>VLOOKUP(AK1753,C1745:Q1764,9,FALSE)</f>
        <v/>
      </c>
      <c r="AR1753" s="42" t="str">
        <f>VLOOKUP(AK1753,C1745:Q1764,10,FALSE)</f>
        <v/>
      </c>
      <c r="AS1753" s="42" t="str">
        <f>VLOOKUP(AK1753,C1745:Q1764,11,FALSE)</f>
        <v/>
      </c>
      <c r="AT1753" s="42" t="str">
        <f>VLOOKUP(AK1753,C1745:Q1764,12,FALSE)</f>
        <v/>
      </c>
      <c r="AU1753" s="42" t="str">
        <f>VLOOKUP(AK1753,C1745:Q1764,13,FALSE)</f>
        <v/>
      </c>
      <c r="AV1753" s="42" t="str">
        <f>VLOOKUP(AK1753,C1745:Q1764,14,FALSE)</f>
        <v/>
      </c>
      <c r="AW1753" s="947" t="str">
        <f>VLOOKUP(AK1753,C1745:Q1764,15,FALSE)</f>
        <v/>
      </c>
      <c r="AX1753"/>
      <c r="AY1753"/>
      <c r="AZ1753" s="1"/>
      <c r="BA1753" s="1"/>
      <c r="BB1753"/>
      <c r="BC1753" s="6"/>
      <c r="BD1753"/>
      <c r="BE1753" s="1"/>
      <c r="BF1753"/>
      <c r="BG1753" s="16"/>
      <c r="BH1753"/>
      <c r="BI1753"/>
      <c r="BJ1753"/>
      <c r="BK1753"/>
      <c r="BL1753"/>
      <c r="BM1753"/>
      <c r="BN1753"/>
      <c r="BO1753"/>
      <c r="BP1753"/>
      <c r="BQ1753"/>
      <c r="BR1753"/>
      <c r="BS1753"/>
      <c r="BT1753"/>
      <c r="BU1753"/>
      <c r="BV1753"/>
      <c r="BW1753"/>
      <c r="BX1753"/>
      <c r="BY1753"/>
      <c r="BZ1753"/>
      <c r="CA1753" s="1396"/>
      <c r="CB1753" s="1396"/>
      <c r="CC1753"/>
      <c r="CD1753"/>
      <c r="CE1753"/>
    </row>
    <row r="1754" spans="1:83" outlineLevel="1" x14ac:dyDescent="0.2">
      <c r="A1754"/>
      <c r="B1754" s="945">
        <v>10</v>
      </c>
      <c r="C1754" s="977" t="str">
        <f>IF(AK1744="","",RANK(F1754,F1745:F1764)*1000+ROW())</f>
        <v/>
      </c>
      <c r="D1754" s="978" t="str">
        <f t="shared" si="1241"/>
        <v/>
      </c>
      <c r="E1754" s="978" t="str">
        <f>IF(L1754="","",Nb_Diff_Part(D1754,D1745:D1764,G1754,G1745:G1764,AI1767:AI1992)*CritClassInd_DiffPart+Nb_Goal_Part(D1754,D1745:D1764,G1754,G1745:G1764,V1767:Z1992)*CritClassInd_GoalPart+Nb_Score_Part(D1754,D1745:D1764,G1754,G1745:G1764,V1767:Z1992)*CritClassInd_ScorePart)</f>
        <v/>
      </c>
      <c r="F1754" s="979" t="str">
        <f t="shared" si="1242"/>
        <v/>
      </c>
      <c r="G1754" s="39" t="s">
        <v>789</v>
      </c>
      <c r="H1754" s="501">
        <f t="shared" si="1239"/>
        <v>0</v>
      </c>
      <c r="I1754" s="39"/>
      <c r="J1754" s="977" t="str">
        <f>IF(AK1744="","",(L1754*Points_Victoire)+M1754*Points_Null)</f>
        <v/>
      </c>
      <c r="K1754" s="988" t="str">
        <f t="shared" si="1240"/>
        <v/>
      </c>
      <c r="L1754" s="988" t="str">
        <f>IF(AK1744="","",COUNTIF(AE1767:AE1992,G1754))</f>
        <v/>
      </c>
      <c r="M1754" s="988" t="str">
        <f>IF(AK1744="","",COUNTIF(AF1767:AG1992,G1754))</f>
        <v/>
      </c>
      <c r="N1754" s="988" t="str">
        <f>IF(AK1744="","",COUNTIF(AH1767:AH1992,G1754))</f>
        <v/>
      </c>
      <c r="O1754" s="988" t="str">
        <f>IF(AK1744="","",SUMIF(V1767:V1992,G1754,AB1767:AB1992)+SUMIF(Z1767:Z1992,G1754,AD1767:AD1992))</f>
        <v/>
      </c>
      <c r="P1754" s="988" t="str">
        <f>IF(AK1744="","",SUMIF(V1767:V1992,G1754,AD1767:AD1992)+SUMIF(Z1767:Z1992,G1754,AB1767:AB1992))</f>
        <v/>
      </c>
      <c r="Q1754" s="989" t="str">
        <f>IF(AK1744="","",O1754-P1754)</f>
        <v/>
      </c>
      <c r="R1754"/>
      <c r="S1754"/>
      <c r="T1754"/>
      <c r="U1754"/>
      <c r="V1754"/>
      <c r="W1754" s="1"/>
      <c r="X1754" s="1"/>
      <c r="Y1754" s="1"/>
      <c r="Z1754"/>
      <c r="AB1754" s="964"/>
      <c r="AC1754" s="964"/>
      <c r="AD1754" s="964"/>
      <c r="AE1754" s="964"/>
      <c r="AF1754" s="964"/>
      <c r="AG1754" s="964"/>
      <c r="AH1754" s="964"/>
      <c r="AI1754" s="964"/>
      <c r="AJ1754" s="964"/>
      <c r="AK1754" s="968" t="str">
        <f>IF(AK1744="","",SMALL(C1745:C1764,10))</f>
        <v/>
      </c>
      <c r="AL1754"/>
      <c r="AM1754" s="16"/>
      <c r="AN1754" s="946" t="str">
        <f>IF(AK1744="","",INT(AK1754/1000))</f>
        <v/>
      </c>
      <c r="AO1754" s="42" t="str">
        <f>IF(AK1744="","",VLOOKUP(AK1754,C1745:Q1764,5,FALSE))</f>
        <v/>
      </c>
      <c r="AP1754" s="42" t="str">
        <f>VLOOKUP(AK1754,C1745:Q1764,8,FALSE)</f>
        <v/>
      </c>
      <c r="AQ1754" s="42" t="str">
        <f>VLOOKUP(AK1754,C1745:Q1764,9,FALSE)</f>
        <v/>
      </c>
      <c r="AR1754" s="42" t="str">
        <f>VLOOKUP(AK1754,C1745:Q1764,10,FALSE)</f>
        <v/>
      </c>
      <c r="AS1754" s="42" t="str">
        <f>VLOOKUP(AK1754,C1745:Q1764,11,FALSE)</f>
        <v/>
      </c>
      <c r="AT1754" s="42" t="str">
        <f>VLOOKUP(AK1754,C1745:Q1764,12,FALSE)</f>
        <v/>
      </c>
      <c r="AU1754" s="42" t="str">
        <f>VLOOKUP(AK1754,C1745:Q1764,13,FALSE)</f>
        <v/>
      </c>
      <c r="AV1754" s="42" t="str">
        <f>VLOOKUP(AK1754,C1745:Q1764,14,FALSE)</f>
        <v/>
      </c>
      <c r="AW1754" s="947" t="str">
        <f>VLOOKUP(AK1754,C1745:Q1764,15,FALSE)</f>
        <v/>
      </c>
      <c r="AX1754"/>
      <c r="AY1754"/>
      <c r="AZ1754" s="1"/>
      <c r="BA1754" s="1"/>
      <c r="BB1754"/>
      <c r="BC1754" s="6"/>
      <c r="BD1754"/>
      <c r="BE1754" s="1"/>
      <c r="BF1754"/>
      <c r="BG1754" s="16"/>
      <c r="BH1754"/>
      <c r="BI1754"/>
      <c r="BJ1754"/>
      <c r="BK1754"/>
      <c r="BL1754"/>
      <c r="BM1754"/>
      <c r="BN1754"/>
      <c r="BO1754"/>
      <c r="BP1754"/>
      <c r="BQ1754"/>
      <c r="BR1754"/>
      <c r="BS1754"/>
      <c r="BT1754"/>
      <c r="BU1754"/>
      <c r="BV1754"/>
      <c r="BW1754"/>
      <c r="BX1754"/>
      <c r="BY1754"/>
      <c r="BZ1754"/>
      <c r="CA1754" s="1396"/>
      <c r="CB1754" s="1396"/>
      <c r="CC1754"/>
      <c r="CD1754"/>
      <c r="CE1754"/>
    </row>
    <row r="1755" spans="1:83" outlineLevel="1" x14ac:dyDescent="0.2">
      <c r="A1755"/>
      <c r="B1755" s="945">
        <v>11</v>
      </c>
      <c r="C1755" s="977" t="str">
        <f>IF(AK1744="","",RANK(F1755,F1745:F1764)*1000+ROW())</f>
        <v/>
      </c>
      <c r="D1755" s="978" t="str">
        <f t="shared" si="1241"/>
        <v/>
      </c>
      <c r="E1755" s="978" t="str">
        <f>IF(L1755="","",Nb_Diff_Part(D1755,D1745:D1764,G1755,G1745:G1764,AI1767:AI1992)*CritClassInd_DiffPart+Nb_Goal_Part(D1755,D1745:D1764,G1755,G1745:G1764,V1767:Z1992)*CritClassInd_GoalPart+Nb_Score_Part(D1755,D1745:D1764,G1755,G1745:G1764,V1767:Z1992)*CritClassInd_ScorePart)</f>
        <v/>
      </c>
      <c r="F1755" s="979" t="str">
        <f t="shared" si="1242"/>
        <v/>
      </c>
      <c r="G1755" s="39" t="s">
        <v>3916</v>
      </c>
      <c r="H1755" s="501">
        <f t="shared" si="1239"/>
        <v>0</v>
      </c>
      <c r="I1755" s="39"/>
      <c r="J1755" s="977" t="str">
        <f>IF(AK1744="","",(L1755*Points_Victoire)+M1755*Points_Null)</f>
        <v/>
      </c>
      <c r="K1755" s="988" t="str">
        <f t="shared" si="1240"/>
        <v/>
      </c>
      <c r="L1755" s="988" t="str">
        <f>IF(AK1744="","",COUNTIF(AE1767:AE1992,G1755))</f>
        <v/>
      </c>
      <c r="M1755" s="988" t="str">
        <f>IF(AK1744="","",COUNTIF(AF1767:AG1992,G1755))</f>
        <v/>
      </c>
      <c r="N1755" s="988" t="str">
        <f>IF(AK1744="","",COUNTIF(AH1767:AH1992,G1755))</f>
        <v/>
      </c>
      <c r="O1755" s="988" t="str">
        <f>IF(AK1744="","",SUMIF(V1767:V1992,G1755,AB1767:AB1992)+SUMIF(Z1767:Z1992,G1755,AD1767:AD1992))</f>
        <v/>
      </c>
      <c r="P1755" s="988" t="str">
        <f>IF(AK1744="","",SUMIF(V1767:V1992,G1755,AD1767:AD1992)+SUMIF(Z1767:Z1992,G1755,AB1767:AB1992))</f>
        <v/>
      </c>
      <c r="Q1755" s="989" t="str">
        <f>IF(AK1744="","",O1755-P1755)</f>
        <v/>
      </c>
      <c r="R1755"/>
      <c r="S1755"/>
      <c r="T1755"/>
      <c r="U1755"/>
      <c r="V1755"/>
      <c r="W1755" s="1"/>
      <c r="X1755" s="1"/>
      <c r="Y1755" s="1"/>
      <c r="Z1755"/>
      <c r="AB1755" s="964"/>
      <c r="AC1755" s="964"/>
      <c r="AD1755" s="964"/>
      <c r="AE1755" s="964"/>
      <c r="AF1755" s="964"/>
      <c r="AG1755" s="964"/>
      <c r="AH1755" s="964"/>
      <c r="AI1755" s="964"/>
      <c r="AJ1755" s="964"/>
      <c r="AK1755" s="968" t="str">
        <f>IF(AK1744="","",SMALL(C1745:C1764,11))</f>
        <v/>
      </c>
      <c r="AL1755"/>
      <c r="AM1755" s="16"/>
      <c r="AN1755" s="946" t="str">
        <f>IF(AK1744="","",INT(AK1755/1000))</f>
        <v/>
      </c>
      <c r="AO1755" s="42" t="str">
        <f>IF(AK1744="","",VLOOKUP(AK1755,C1745:Q1764,5,FALSE))</f>
        <v/>
      </c>
      <c r="AP1755" s="42" t="str">
        <f>VLOOKUP(AK1755,C1745:Q1764,8,FALSE)</f>
        <v/>
      </c>
      <c r="AQ1755" s="42" t="str">
        <f>VLOOKUP(AK1755,C1745:Q1764,9,FALSE)</f>
        <v/>
      </c>
      <c r="AR1755" s="42" t="str">
        <f>VLOOKUP(AK1755,C1745:Q1764,10,FALSE)</f>
        <v/>
      </c>
      <c r="AS1755" s="42" t="str">
        <f>VLOOKUP(AK1755,C1745:Q1764,11,FALSE)</f>
        <v/>
      </c>
      <c r="AT1755" s="42" t="str">
        <f>VLOOKUP(AK1755,C1745:Q1764,12,FALSE)</f>
        <v/>
      </c>
      <c r="AU1755" s="42" t="str">
        <f>VLOOKUP(AK1755,C1745:Q1764,13,FALSE)</f>
        <v/>
      </c>
      <c r="AV1755" s="42" t="str">
        <f>VLOOKUP(AK1755,C1745:Q1764,14,FALSE)</f>
        <v/>
      </c>
      <c r="AW1755" s="947" t="str">
        <f>VLOOKUP(AK1755,C1745:Q1764,15,FALSE)</f>
        <v/>
      </c>
      <c r="AX1755"/>
      <c r="AY1755"/>
      <c r="AZ1755" s="1"/>
      <c r="BA1755" s="1"/>
      <c r="BB1755"/>
      <c r="BC1755" s="6"/>
      <c r="BD1755"/>
      <c r="BE1755" s="1"/>
      <c r="BF1755"/>
      <c r="BG1755" s="16"/>
      <c r="BH1755"/>
      <c r="BI1755"/>
      <c r="BJ1755"/>
      <c r="BK1755"/>
      <c r="BL1755"/>
      <c r="BM1755"/>
      <c r="BN1755"/>
      <c r="BO1755"/>
      <c r="BP1755"/>
      <c r="BQ1755"/>
      <c r="BR1755"/>
      <c r="BS1755"/>
      <c r="BT1755"/>
      <c r="BU1755"/>
      <c r="BV1755"/>
      <c r="BW1755"/>
      <c r="BX1755"/>
      <c r="BY1755"/>
      <c r="BZ1755"/>
      <c r="CA1755" s="1396"/>
      <c r="CB1755" s="1396"/>
      <c r="CC1755"/>
      <c r="CD1755"/>
      <c r="CE1755"/>
    </row>
    <row r="1756" spans="1:83" outlineLevel="1" x14ac:dyDescent="0.2">
      <c r="A1756"/>
      <c r="B1756" s="945">
        <v>12</v>
      </c>
      <c r="C1756" s="977" t="str">
        <f>IF(AK1744="","",RANK(F1756,F1745:F1764)*1000+ROW())</f>
        <v/>
      </c>
      <c r="D1756" s="978" t="str">
        <f t="shared" si="1241"/>
        <v/>
      </c>
      <c r="E1756" s="978" t="str">
        <f>IF(L1756="","",Nb_Diff_Part(D1756,D1745:D1764,G1756,G1745:G1764,AI1767:AI1992)*CritClassInd_DiffPart+Nb_Goal_Part(D1756,D1745:D1764,G1756,G1745:G1764,V1767:Z1992)*CritClassInd_GoalPart+Nb_Score_Part(D1756,D1745:D1764,G1756,G1745:G1764,V1767:Z1992)*CritClassInd_ScorePart)</f>
        <v/>
      </c>
      <c r="F1756" s="979" t="str">
        <f t="shared" si="1242"/>
        <v/>
      </c>
      <c r="G1756" s="39" t="s">
        <v>1545</v>
      </c>
      <c r="H1756" s="501">
        <f t="shared" si="1239"/>
        <v>0</v>
      </c>
      <c r="I1756" s="39"/>
      <c r="J1756" s="977" t="str">
        <f>IF(AK1744="","",(L1756*Points_Victoire)+M1756*Points_Null)</f>
        <v/>
      </c>
      <c r="K1756" s="988" t="str">
        <f t="shared" si="1240"/>
        <v/>
      </c>
      <c r="L1756" s="988" t="str">
        <f>IF(AK1744="","",COUNTIF(AE1767:AE1992,G1756))</f>
        <v/>
      </c>
      <c r="M1756" s="988" t="str">
        <f>IF(AK1744="","",COUNTIF(AF1767:AG1992,G1756))</f>
        <v/>
      </c>
      <c r="N1756" s="988" t="str">
        <f>IF(AK1744="","",COUNTIF(AH1767:AH1992,G1756))</f>
        <v/>
      </c>
      <c r="O1756" s="988" t="str">
        <f>IF(AK1744="","",SUMIF(V1767:V1992,G1756,AB1767:AB1992)+SUMIF(Z1767:Z1992,G1756,AD1767:AD1992))</f>
        <v/>
      </c>
      <c r="P1756" s="988" t="str">
        <f>IF(AK1744="","",SUMIF(V1767:V1992,G1756,AD1767:AD1992)+SUMIF(Z1767:Z1992,G1756,AB1767:AB1992))</f>
        <v/>
      </c>
      <c r="Q1756" s="989" t="str">
        <f>IF(AK1744="","",O1756-P1756)</f>
        <v/>
      </c>
      <c r="R1756"/>
      <c r="S1756"/>
      <c r="T1756"/>
      <c r="U1756"/>
      <c r="V1756"/>
      <c r="W1756" s="1"/>
      <c r="X1756" s="1"/>
      <c r="Y1756" s="1"/>
      <c r="Z1756"/>
      <c r="AB1756" s="964"/>
      <c r="AC1756" s="964"/>
      <c r="AD1756" s="964"/>
      <c r="AE1756" s="964"/>
      <c r="AF1756" s="964"/>
      <c r="AG1756" s="964"/>
      <c r="AH1756" s="964"/>
      <c r="AI1756" s="964"/>
      <c r="AJ1756" s="964"/>
      <c r="AK1756" s="968" t="str">
        <f>IF(AK1744="","",SMALL(C1745:C1764,12))</f>
        <v/>
      </c>
      <c r="AL1756"/>
      <c r="AM1756" s="16"/>
      <c r="AN1756" s="946" t="str">
        <f>IF(AK1744="","",INT(AK1756/1000))</f>
        <v/>
      </c>
      <c r="AO1756" s="42" t="str">
        <f>IF(AK1744="","",VLOOKUP(AK1756,C1745:Q1764,5,FALSE))</f>
        <v/>
      </c>
      <c r="AP1756" s="42" t="str">
        <f>VLOOKUP(AK1756,C1745:Q1764,8,FALSE)</f>
        <v/>
      </c>
      <c r="AQ1756" s="42" t="str">
        <f>VLOOKUP(AK1756,C1745:Q1764,9,FALSE)</f>
        <v/>
      </c>
      <c r="AR1756" s="42" t="str">
        <f>VLOOKUP(AK1756,C1745:Q1764,10,FALSE)</f>
        <v/>
      </c>
      <c r="AS1756" s="42" t="str">
        <f>VLOOKUP(AK1756,C1745:Q1764,11,FALSE)</f>
        <v/>
      </c>
      <c r="AT1756" s="42" t="str">
        <f>VLOOKUP(AK1756,C1745:Q1764,12,FALSE)</f>
        <v/>
      </c>
      <c r="AU1756" s="42" t="str">
        <f>VLOOKUP(AK1756,C1745:Q1764,13,FALSE)</f>
        <v/>
      </c>
      <c r="AV1756" s="42" t="str">
        <f>VLOOKUP(AK1756,C1745:Q1764,14,FALSE)</f>
        <v/>
      </c>
      <c r="AW1756" s="947" t="str">
        <f>VLOOKUP(AK1756,C1745:Q1764,15,FALSE)</f>
        <v/>
      </c>
      <c r="AX1756"/>
      <c r="AY1756"/>
      <c r="AZ1756" s="1"/>
      <c r="BA1756" s="1"/>
      <c r="BB1756"/>
      <c r="BC1756" s="6"/>
      <c r="BD1756"/>
      <c r="BE1756" s="1"/>
      <c r="BF1756"/>
      <c r="BG1756" s="16"/>
      <c r="BH1756"/>
      <c r="BI1756"/>
      <c r="BJ1756"/>
      <c r="BK1756"/>
      <c r="BL1756"/>
      <c r="BM1756"/>
      <c r="BN1756"/>
      <c r="BO1756"/>
      <c r="BP1756"/>
      <c r="BQ1756"/>
      <c r="BR1756"/>
      <c r="BS1756"/>
      <c r="BT1756"/>
      <c r="BU1756"/>
      <c r="BV1756"/>
      <c r="BW1756"/>
      <c r="BX1756"/>
      <c r="BY1756"/>
      <c r="BZ1756"/>
      <c r="CA1756" s="1396"/>
      <c r="CB1756" s="1396"/>
      <c r="CC1756"/>
      <c r="CD1756"/>
      <c r="CE1756"/>
    </row>
    <row r="1757" spans="1:83" outlineLevel="1" x14ac:dyDescent="0.2">
      <c r="A1757"/>
      <c r="B1757" s="945">
        <v>13</v>
      </c>
      <c r="C1757" s="977" t="str">
        <f>IF(AK1744="","",RANK(F1757,F1745:F1764)*1000+ROW())</f>
        <v/>
      </c>
      <c r="D1757" s="978" t="str">
        <f t="shared" si="1241"/>
        <v/>
      </c>
      <c r="E1757" s="978" t="str">
        <f>IF(L1757="","",Nb_Diff_Part(D1757,D1745:D1764,G1757,G1745:G1764,AI1767:AI1992)*CritClassInd_DiffPart+Nb_Goal_Part(D1757,D1745:D1764,G1757,G1745:G1764,V1767:Z1992)*CritClassInd_GoalPart+Nb_Score_Part(D1757,D1745:D1764,G1757,G1745:G1764,V1767:Z1992)*CritClassInd_ScorePart)</f>
        <v/>
      </c>
      <c r="F1757" s="979" t="str">
        <f t="shared" si="1242"/>
        <v/>
      </c>
      <c r="G1757" s="39" t="s">
        <v>3917</v>
      </c>
      <c r="H1757" s="501">
        <f t="shared" si="1239"/>
        <v>0</v>
      </c>
      <c r="I1757" s="39"/>
      <c r="J1757" s="977" t="str">
        <f>IF(AK1744="","",(L1757*Points_Victoire)+M1757*Points_Null)</f>
        <v/>
      </c>
      <c r="K1757" s="988" t="str">
        <f t="shared" si="1240"/>
        <v/>
      </c>
      <c r="L1757" s="988" t="str">
        <f>IF(AK1744="","",COUNTIF(AE1767:AE1992,G1757))</f>
        <v/>
      </c>
      <c r="M1757" s="988" t="str">
        <f>IF(AK1744="","",COUNTIF(AF1767:AG1992,G1757))</f>
        <v/>
      </c>
      <c r="N1757" s="988" t="str">
        <f>IF(AK1744="","",COUNTIF(AH1767:AH1992,G1757))</f>
        <v/>
      </c>
      <c r="O1757" s="988" t="str">
        <f>IF(AK1744="","",SUMIF(V1767:V1992,G1757,AB1767:AB1992)+SUMIF(Z1767:Z1992,G1757,AD1767:AD1992))</f>
        <v/>
      </c>
      <c r="P1757" s="988" t="str">
        <f>IF(AK1744="","",SUMIF(V1767:V1992,G1757,AD1767:AD1992)+SUMIF(Z1767:Z1992,G1757,AB1767:AB1992))</f>
        <v/>
      </c>
      <c r="Q1757" s="989" t="str">
        <f>IF(AK1744="","",O1757-P1757)</f>
        <v/>
      </c>
      <c r="R1757"/>
      <c r="S1757"/>
      <c r="T1757"/>
      <c r="U1757"/>
      <c r="V1757"/>
      <c r="W1757" s="1"/>
      <c r="X1757" s="1"/>
      <c r="Y1757" s="1"/>
      <c r="Z1757"/>
      <c r="AB1757" s="964"/>
      <c r="AC1757" s="964"/>
      <c r="AD1757" s="964"/>
      <c r="AE1757" s="964"/>
      <c r="AF1757" s="964"/>
      <c r="AG1757" s="964"/>
      <c r="AH1757" s="964"/>
      <c r="AI1757" s="964"/>
      <c r="AJ1757" s="964"/>
      <c r="AK1757" s="968" t="str">
        <f>IF(AK1744="","",SMALL(C1745:C1764,13))</f>
        <v/>
      </c>
      <c r="AL1757"/>
      <c r="AM1757" s="16"/>
      <c r="AN1757" s="946" t="str">
        <f>IF(AK1744="","",INT(AK1757/1000))</f>
        <v/>
      </c>
      <c r="AO1757" s="42" t="str">
        <f>IF(AK1744="","",VLOOKUP(AK1757,C1745:Q1764,5,FALSE))</f>
        <v/>
      </c>
      <c r="AP1757" s="42" t="str">
        <f>VLOOKUP(AK1757,C1745:Q1764,8,FALSE)</f>
        <v/>
      </c>
      <c r="AQ1757" s="42" t="str">
        <f>VLOOKUP(AK1757,C1745:Q1764,9,FALSE)</f>
        <v/>
      </c>
      <c r="AR1757" s="42" t="str">
        <f>VLOOKUP(AK1757,C1745:Q1764,10,FALSE)</f>
        <v/>
      </c>
      <c r="AS1757" s="42" t="str">
        <f>VLOOKUP(AK1757,C1745:Q1764,11,FALSE)</f>
        <v/>
      </c>
      <c r="AT1757" s="42" t="str">
        <f>VLOOKUP(AK1757,C1745:Q1764,12,FALSE)</f>
        <v/>
      </c>
      <c r="AU1757" s="42" t="str">
        <f>VLOOKUP(AK1757,C1745:Q1764,13,FALSE)</f>
        <v/>
      </c>
      <c r="AV1757" s="42" t="str">
        <f>VLOOKUP(AK1757,C1745:Q1764,14,FALSE)</f>
        <v/>
      </c>
      <c r="AW1757" s="947" t="str">
        <f>VLOOKUP(AK1757,C1745:Q1764,15,FALSE)</f>
        <v/>
      </c>
      <c r="AX1757"/>
      <c r="AY1757"/>
      <c r="AZ1757" s="1"/>
      <c r="BA1757" s="1"/>
      <c r="BB1757"/>
      <c r="BC1757" s="6"/>
      <c r="BD1757"/>
      <c r="BE1757" s="1"/>
      <c r="BF1757"/>
      <c r="BG1757" s="16"/>
      <c r="BH1757"/>
      <c r="BI1757"/>
      <c r="BJ1757"/>
      <c r="BK1757"/>
      <c r="BL1757"/>
      <c r="BM1757"/>
      <c r="BN1757"/>
      <c r="BO1757"/>
      <c r="BP1757"/>
      <c r="BQ1757"/>
      <c r="BR1757"/>
      <c r="BS1757"/>
      <c r="BT1757"/>
      <c r="BU1757"/>
      <c r="BV1757"/>
      <c r="BW1757"/>
      <c r="BX1757"/>
      <c r="BY1757"/>
      <c r="BZ1757"/>
      <c r="CA1757" s="1396"/>
      <c r="CB1757" s="1396"/>
      <c r="CC1757"/>
      <c r="CD1757"/>
      <c r="CE1757"/>
    </row>
    <row r="1758" spans="1:83" outlineLevel="1" x14ac:dyDescent="0.2">
      <c r="A1758"/>
      <c r="B1758" s="945">
        <v>14</v>
      </c>
      <c r="C1758" s="977" t="str">
        <f>IF(AK1744="","",RANK(F1758,F1745:F1764)*1000+ROW())</f>
        <v/>
      </c>
      <c r="D1758" s="978" t="str">
        <f t="shared" si="1241"/>
        <v/>
      </c>
      <c r="E1758" s="978" t="str">
        <f>IF(L1758="","",Nb_Diff_Part(D1758,D1745:D1764,G1758,G1745:G1764,AI1767:AI1992)*CritClassInd_DiffPart+Nb_Goal_Part(D1758,D1745:D1764,G1758,G1745:G1764,V1767:Z1992)*CritClassInd_GoalPart+Nb_Score_Part(D1758,D1745:D1764,G1758,G1745:G1764,V1767:Z1992)*CritClassInd_ScorePart)</f>
        <v/>
      </c>
      <c r="F1758" s="979" t="str">
        <f t="shared" si="1242"/>
        <v/>
      </c>
      <c r="G1758" s="39" t="s">
        <v>791</v>
      </c>
      <c r="H1758" s="501">
        <f t="shared" si="1239"/>
        <v>0</v>
      </c>
      <c r="I1758" s="39"/>
      <c r="J1758" s="977" t="str">
        <f>IF(AK1744="","",(L1758*Points_Victoire)+M1758*Points_Null)</f>
        <v/>
      </c>
      <c r="K1758" s="988" t="str">
        <f t="shared" si="1240"/>
        <v/>
      </c>
      <c r="L1758" s="988" t="str">
        <f>IF(AK1744="","",COUNTIF(AE1767:AE1992,G1758))</f>
        <v/>
      </c>
      <c r="M1758" s="988" t="str">
        <f>IF(AK1744="","",COUNTIF(AF1767:AG1992,G1758))</f>
        <v/>
      </c>
      <c r="N1758" s="988" t="str">
        <f>IF(AK1744="","",COUNTIF(AH1767:AH1992,G1758))</f>
        <v/>
      </c>
      <c r="O1758" s="988" t="str">
        <f>IF(AK1744="","",SUMIF(V1767:V1992,G1758,AB1767:AB1992)+SUMIF(Z1767:Z1992,G1758,AD1767:AD1992))</f>
        <v/>
      </c>
      <c r="P1758" s="988" t="str">
        <f>IF(AK1744="","",SUMIF(V1767:V1992,G1758,AD1767:AD1992)+SUMIF(Z1767:Z1992,G1758,AB1767:AB1992))</f>
        <v/>
      </c>
      <c r="Q1758" s="989" t="str">
        <f>IF(AK1744="","",O1758-P1758)</f>
        <v/>
      </c>
      <c r="R1758"/>
      <c r="S1758"/>
      <c r="T1758"/>
      <c r="U1758"/>
      <c r="V1758"/>
      <c r="W1758" s="1"/>
      <c r="X1758" s="1"/>
      <c r="Y1758" s="1"/>
      <c r="Z1758"/>
      <c r="AB1758" s="964"/>
      <c r="AC1758" s="964"/>
      <c r="AD1758" s="964"/>
      <c r="AE1758" s="964"/>
      <c r="AF1758" s="964"/>
      <c r="AG1758" s="964"/>
      <c r="AH1758" s="964"/>
      <c r="AI1758" s="964"/>
      <c r="AJ1758" s="964"/>
      <c r="AK1758" s="968" t="str">
        <f>IF(AK1744="","",SMALL(C1745:C1764,14))</f>
        <v/>
      </c>
      <c r="AL1758"/>
      <c r="AM1758" s="16"/>
      <c r="AN1758" s="946" t="str">
        <f>IF(AK1744="","",INT(AK1758/1000))</f>
        <v/>
      </c>
      <c r="AO1758" s="42" t="str">
        <f>IF(AK1744="","",VLOOKUP(AK1758,C1745:Q1764,5,FALSE))</f>
        <v/>
      </c>
      <c r="AP1758" s="42" t="str">
        <f>VLOOKUP(AK1758,C1745:Q1764,8,FALSE)</f>
        <v/>
      </c>
      <c r="AQ1758" s="42" t="str">
        <f>VLOOKUP(AK1758,C1745:Q1764,9,FALSE)</f>
        <v/>
      </c>
      <c r="AR1758" s="42" t="str">
        <f>VLOOKUP(AK1758,C1745:Q1764,10,FALSE)</f>
        <v/>
      </c>
      <c r="AS1758" s="42" t="str">
        <f>VLOOKUP(AK1758,C1745:Q1764,11,FALSE)</f>
        <v/>
      </c>
      <c r="AT1758" s="42" t="str">
        <f>VLOOKUP(AK1758,C1745:Q1764,12,FALSE)</f>
        <v/>
      </c>
      <c r="AU1758" s="42" t="str">
        <f>VLOOKUP(AK1758,C1745:Q1764,13,FALSE)</f>
        <v/>
      </c>
      <c r="AV1758" s="42" t="str">
        <f>VLOOKUP(AK1758,C1745:Q1764,14,FALSE)</f>
        <v/>
      </c>
      <c r="AW1758" s="947" t="str">
        <f>VLOOKUP(AK1758,C1745:Q1764,15,FALSE)</f>
        <v/>
      </c>
      <c r="AX1758"/>
      <c r="AY1758"/>
      <c r="AZ1758" s="1"/>
      <c r="BA1758" s="1"/>
      <c r="BB1758"/>
      <c r="BC1758" s="6"/>
      <c r="BD1758"/>
      <c r="BE1758" s="1"/>
      <c r="BF1758"/>
      <c r="BG1758" s="16"/>
      <c r="BH1758"/>
      <c r="BI1758"/>
      <c r="BJ1758"/>
      <c r="BK1758"/>
      <c r="BL1758"/>
      <c r="BM1758"/>
      <c r="BN1758"/>
      <c r="BO1758"/>
      <c r="BP1758"/>
      <c r="BQ1758"/>
      <c r="BR1758"/>
      <c r="BS1758"/>
      <c r="BT1758"/>
      <c r="BU1758"/>
      <c r="BV1758"/>
      <c r="BW1758"/>
      <c r="BX1758"/>
      <c r="BY1758"/>
      <c r="BZ1758"/>
      <c r="CA1758" s="1396"/>
      <c r="CB1758" s="1396"/>
      <c r="CC1758"/>
      <c r="CD1758"/>
      <c r="CE1758"/>
    </row>
    <row r="1759" spans="1:83" outlineLevel="1" x14ac:dyDescent="0.2">
      <c r="A1759"/>
      <c r="B1759" s="945">
        <v>15</v>
      </c>
      <c r="C1759" s="977" t="str">
        <f>IF(AK1744="","",RANK(F1759,F1745:F1764)*1000+ROW())</f>
        <v/>
      </c>
      <c r="D1759" s="978" t="str">
        <f t="shared" si="1241"/>
        <v/>
      </c>
      <c r="E1759" s="978" t="str">
        <f>IF(L1759="","",Nb_Diff_Part(D1759,D1745:D1764,G1759,G1745:G1764,AI1767:AI1992)*CritClassInd_DiffPart+Nb_Goal_Part(D1759,D1745:D1764,G1759,G1745:G1764,V1767:Z1992)*CritClassInd_GoalPart+Nb_Score_Part(D1759,D1745:D1764,G1759,G1745:G1764,V1767:Z1992)*CritClassInd_ScorePart)</f>
        <v/>
      </c>
      <c r="F1759" s="979" t="str">
        <f t="shared" si="1242"/>
        <v/>
      </c>
      <c r="G1759" s="39" t="s">
        <v>3918</v>
      </c>
      <c r="H1759" s="501">
        <f t="shared" si="1239"/>
        <v>0</v>
      </c>
      <c r="I1759" s="39"/>
      <c r="J1759" s="977" t="str">
        <f>IF(AK1744="","",(L1759*Points_Victoire)+M1759*Points_Null)</f>
        <v/>
      </c>
      <c r="K1759" s="988" t="str">
        <f t="shared" si="1240"/>
        <v/>
      </c>
      <c r="L1759" s="988" t="str">
        <f>IF(AK1744="","",COUNTIF(AE1767:AE1992,G1759))</f>
        <v/>
      </c>
      <c r="M1759" s="988" t="str">
        <f>IF(AK1744="","",COUNTIF(AF1767:AG1992,G1759))</f>
        <v/>
      </c>
      <c r="N1759" s="988" t="str">
        <f>IF(AK1744="","",COUNTIF(AH1767:AH1992,G1759))</f>
        <v/>
      </c>
      <c r="O1759" s="988" t="str">
        <f>IF(AK1744="","",SUMIF(V1767:V1992,G1759,AB1767:AB1992)+SUMIF(Z1767:Z1992,G1759,AD1767:AD1992))</f>
        <v/>
      </c>
      <c r="P1759" s="988" t="str">
        <f>IF(AK1744="","",SUMIF(V1767:V1992,G1759,AD1767:AD1992)+SUMIF(Z1767:Z1992,G1759,AB1767:AB1992))</f>
        <v/>
      </c>
      <c r="Q1759" s="989" t="str">
        <f>IF(AK1744="","",O1759-P1759)</f>
        <v/>
      </c>
      <c r="R1759"/>
      <c r="S1759"/>
      <c r="T1759"/>
      <c r="U1759"/>
      <c r="V1759"/>
      <c r="W1759" s="1"/>
      <c r="X1759" s="1"/>
      <c r="Y1759" s="1"/>
      <c r="Z1759"/>
      <c r="AB1759" s="964"/>
      <c r="AC1759" s="964"/>
      <c r="AD1759" s="964"/>
      <c r="AE1759" s="964"/>
      <c r="AF1759" s="964"/>
      <c r="AG1759" s="964"/>
      <c r="AH1759" s="964"/>
      <c r="AI1759" s="964"/>
      <c r="AJ1759" s="964"/>
      <c r="AK1759" s="968" t="str">
        <f>IF(AK1744="","",SMALL(C1745:C1764,15))</f>
        <v/>
      </c>
      <c r="AL1759"/>
      <c r="AM1759" s="16"/>
      <c r="AN1759" s="946" t="str">
        <f>IF(AK1744="","",INT(AK1759/1000))</f>
        <v/>
      </c>
      <c r="AO1759" s="42" t="str">
        <f>IF(AK1744="","",VLOOKUP(AK1759,C1745:Q1764,5,FALSE))</f>
        <v/>
      </c>
      <c r="AP1759" s="42" t="str">
        <f>VLOOKUP(AK1759,C1745:Q1764,8,FALSE)</f>
        <v/>
      </c>
      <c r="AQ1759" s="42" t="str">
        <f>VLOOKUP(AK1759,C1745:Q1764,9,FALSE)</f>
        <v/>
      </c>
      <c r="AR1759" s="42" t="str">
        <f>VLOOKUP(AK1759,C1745:Q1764,10,FALSE)</f>
        <v/>
      </c>
      <c r="AS1759" s="42" t="str">
        <f>VLOOKUP(AK1759,C1745:Q1764,11,FALSE)</f>
        <v/>
      </c>
      <c r="AT1759" s="42" t="str">
        <f>VLOOKUP(AK1759,C1745:Q1764,12,FALSE)</f>
        <v/>
      </c>
      <c r="AU1759" s="42" t="str">
        <f>VLOOKUP(AK1759,C1745:Q1764,13,FALSE)</f>
        <v/>
      </c>
      <c r="AV1759" s="42" t="str">
        <f>VLOOKUP(AK1759,C1745:Q1764,14,FALSE)</f>
        <v/>
      </c>
      <c r="AW1759" s="947" t="str">
        <f>VLOOKUP(AK1759,C1745:Q1764,15,FALSE)</f>
        <v/>
      </c>
      <c r="AX1759"/>
      <c r="AY1759"/>
      <c r="AZ1759" s="1"/>
      <c r="BA1759" s="1"/>
      <c r="BB1759"/>
      <c r="BC1759" s="6"/>
      <c r="BD1759"/>
      <c r="BE1759" s="1"/>
      <c r="BF1759"/>
      <c r="BG1759" s="16"/>
      <c r="BH1759"/>
      <c r="BI1759"/>
      <c r="BJ1759"/>
      <c r="BK1759"/>
      <c r="BL1759"/>
      <c r="BM1759"/>
      <c r="BN1759"/>
      <c r="BO1759"/>
      <c r="BP1759"/>
      <c r="BQ1759"/>
      <c r="BR1759"/>
      <c r="BS1759"/>
      <c r="BT1759"/>
      <c r="BU1759"/>
      <c r="BV1759"/>
      <c r="BW1759"/>
      <c r="BX1759"/>
      <c r="BY1759"/>
      <c r="BZ1759"/>
      <c r="CA1759" s="1396"/>
      <c r="CB1759" s="1396"/>
      <c r="CC1759"/>
      <c r="CD1759"/>
      <c r="CE1759"/>
    </row>
    <row r="1760" spans="1:83" outlineLevel="1" x14ac:dyDescent="0.2">
      <c r="A1760"/>
      <c r="B1760" s="945">
        <v>16</v>
      </c>
      <c r="C1760" s="977" t="str">
        <f>IF(AK1744="","",RANK(F1760,F1745:F1764)*1000+ROW())</f>
        <v/>
      </c>
      <c r="D1760" s="978" t="str">
        <f t="shared" si="1241"/>
        <v/>
      </c>
      <c r="E1760" s="978" t="str">
        <f>IF(L1760="","",Nb_Diff_Part(D1760,D1745:D1764,G1760,G1745:G1764,AI1767:AI1992)*CritClassInd_DiffPart+Nb_Goal_Part(D1760,D1745:D1764,G1760,G1745:G1764,V1767:Z1992)*CritClassInd_GoalPart+Nb_Score_Part(D1760,D1745:D1764,G1760,G1745:G1764,V1767:Z1992)*CritClassInd_ScorePart)</f>
        <v/>
      </c>
      <c r="F1760" s="979" t="str">
        <f t="shared" si="1242"/>
        <v/>
      </c>
      <c r="G1760" s="39" t="s">
        <v>792</v>
      </c>
      <c r="H1760" s="501">
        <f t="shared" si="1239"/>
        <v>0</v>
      </c>
      <c r="I1760" s="39"/>
      <c r="J1760" s="977" t="str">
        <f>IF(AK1744="","",(L1760*Points_Victoire)+M1760*Points_Null)</f>
        <v/>
      </c>
      <c r="K1760" s="988" t="str">
        <f t="shared" si="1240"/>
        <v/>
      </c>
      <c r="L1760" s="988" t="str">
        <f>IF(AK1744="","",COUNTIF(AE1767:AE1992,G1760))</f>
        <v/>
      </c>
      <c r="M1760" s="988" t="str">
        <f>IF(AK1744="","",COUNTIF(AF1767:AG1992,G1760))</f>
        <v/>
      </c>
      <c r="N1760" s="988" t="str">
        <f>IF(AK1744="","",COUNTIF(AH1767:AH1992,G1760))</f>
        <v/>
      </c>
      <c r="O1760" s="988" t="str">
        <f>IF(AK1744="","",SUMIF(V1767:V1992,G1760,AB1767:AB1992)+SUMIF(Z1767:Z1992,G1760,AD1767:AD1992))</f>
        <v/>
      </c>
      <c r="P1760" s="988" t="str">
        <f>IF(AK1744="","",SUMIF(V1767:V1992,G1760,AD1767:AD1992)+SUMIF(Z1767:Z1992,G1760,AB1767:AB1992))</f>
        <v/>
      </c>
      <c r="Q1760" s="989" t="str">
        <f>IF(AK1744="","",O1760-P1760)</f>
        <v/>
      </c>
      <c r="R1760"/>
      <c r="S1760"/>
      <c r="T1760"/>
      <c r="U1760"/>
      <c r="V1760"/>
      <c r="W1760" s="1"/>
      <c r="X1760" s="1"/>
      <c r="Y1760" s="1"/>
      <c r="Z1760"/>
      <c r="AB1760" s="964"/>
      <c r="AC1760" s="964"/>
      <c r="AD1760" s="964"/>
      <c r="AE1760" s="964"/>
      <c r="AF1760" s="964"/>
      <c r="AG1760" s="964"/>
      <c r="AH1760" s="964"/>
      <c r="AI1760" s="964"/>
      <c r="AJ1760" s="964"/>
      <c r="AK1760" s="968" t="str">
        <f>IF(AK1744="","",SMALL(C1745:C1764,16))</f>
        <v/>
      </c>
      <c r="AL1760"/>
      <c r="AM1760" s="16"/>
      <c r="AN1760" s="946" t="str">
        <f>IF(AK1744="","",INT(AK1760/1000))</f>
        <v/>
      </c>
      <c r="AO1760" s="42" t="str">
        <f>IF(AK1744="","",VLOOKUP(AK1760,C1745:Q1764,5,FALSE))</f>
        <v/>
      </c>
      <c r="AP1760" s="42" t="str">
        <f>VLOOKUP(AK1760,C1745:Q1764,8,FALSE)</f>
        <v/>
      </c>
      <c r="AQ1760" s="42" t="str">
        <f>VLOOKUP(AK1760,C1745:Q1764,9,FALSE)</f>
        <v/>
      </c>
      <c r="AR1760" s="42" t="str">
        <f>VLOOKUP(AK1760,C1745:Q1764,10,FALSE)</f>
        <v/>
      </c>
      <c r="AS1760" s="42" t="str">
        <f>VLOOKUP(AK1760,C1745:Q1764,11,FALSE)</f>
        <v/>
      </c>
      <c r="AT1760" s="42" t="str">
        <f>VLOOKUP(AK1760,C1745:Q1764,12,FALSE)</f>
        <v/>
      </c>
      <c r="AU1760" s="42" t="str">
        <f>VLOOKUP(AK1760,C1745:Q1764,13,FALSE)</f>
        <v/>
      </c>
      <c r="AV1760" s="42" t="str">
        <f>VLOOKUP(AK1760,C1745:Q1764,14,FALSE)</f>
        <v/>
      </c>
      <c r="AW1760" s="947" t="str">
        <f>VLOOKUP(AK1760,C1745:Q1764,15,FALSE)</f>
        <v/>
      </c>
      <c r="AX1760"/>
      <c r="AY1760"/>
      <c r="AZ1760" s="1"/>
      <c r="BA1760" s="1"/>
      <c r="BB1760"/>
      <c r="BC1760" s="6"/>
      <c r="BD1760"/>
      <c r="BE1760" s="1"/>
      <c r="BF1760"/>
      <c r="BG1760" s="16"/>
      <c r="BH1760"/>
      <c r="BI1760"/>
      <c r="BJ1760"/>
      <c r="BK1760"/>
      <c r="BL1760"/>
      <c r="BM1760"/>
      <c r="BN1760"/>
      <c r="BO1760"/>
      <c r="BP1760"/>
      <c r="BQ1760"/>
      <c r="BR1760"/>
      <c r="BS1760"/>
      <c r="BT1760"/>
      <c r="BU1760"/>
      <c r="BV1760"/>
      <c r="BW1760"/>
      <c r="BX1760"/>
      <c r="BY1760"/>
      <c r="BZ1760"/>
      <c r="CA1760" s="1396"/>
      <c r="CB1760" s="1396"/>
      <c r="CC1760"/>
      <c r="CD1760"/>
      <c r="CE1760"/>
    </row>
    <row r="1761" spans="1:83" outlineLevel="1" x14ac:dyDescent="0.2">
      <c r="A1761"/>
      <c r="B1761" s="945">
        <v>17</v>
      </c>
      <c r="C1761" s="977" t="str">
        <f>IF(AK1744="","",RANK(F1761,F1745:F1764)*1000+ROW())</f>
        <v/>
      </c>
      <c r="D1761" s="978" t="str">
        <f t="shared" si="1241"/>
        <v/>
      </c>
      <c r="E1761" s="978" t="str">
        <f>IF(L1761="","",Nb_Diff_Part(D1761,D1745:D1764,G1761,G1745:G1764,AI1767:AI1992)*CritClassInd_DiffPart+Nb_Goal_Part(D1761,D1745:D1764,G1761,G1745:G1764,V1767:Z1992)*CritClassInd_GoalPart+Nb_Score_Part(D1761,D1745:D1764,G1761,G1745:G1764,V1767:Z1992)*CritClassInd_ScorePart)</f>
        <v/>
      </c>
      <c r="F1761" s="979" t="str">
        <f t="shared" si="1242"/>
        <v/>
      </c>
      <c r="G1761" s="39" t="s">
        <v>3919</v>
      </c>
      <c r="H1761" s="501">
        <f t="shared" si="1239"/>
        <v>0</v>
      </c>
      <c r="I1761" s="39"/>
      <c r="J1761" s="977" t="str">
        <f>IF(AK1744="","",(L1761*Points_Victoire)+M1761*Points_Null)</f>
        <v/>
      </c>
      <c r="K1761" s="988" t="str">
        <f t="shared" si="1240"/>
        <v/>
      </c>
      <c r="L1761" s="988" t="str">
        <f>IF(AK1744="","",COUNTIF(AE1767:AE1992,G1761))</f>
        <v/>
      </c>
      <c r="M1761" s="988" t="str">
        <f>IF(AK1744="","",COUNTIF(AF1767:AG1992,G1761))</f>
        <v/>
      </c>
      <c r="N1761" s="988" t="str">
        <f>IF(AK1744="","",COUNTIF(AH1767:AH1992,G1761))</f>
        <v/>
      </c>
      <c r="O1761" s="988" t="str">
        <f>IF(AK1744="","",SUMIF(V1767:V1992,G1761,AB1767:AB1992)+SUMIF(Z1767:Z1992,G1761,AD1767:AD1992))</f>
        <v/>
      </c>
      <c r="P1761" s="988" t="str">
        <f>IF(AK1744="","",SUMIF(V1767:V1992,G1761,AD1767:AD1992)+SUMIF(Z1767:Z1992,G1761,AB1767:AB1992))</f>
        <v/>
      </c>
      <c r="Q1761" s="989" t="str">
        <f>IF(AK1744="","",O1761-P1761)</f>
        <v/>
      </c>
      <c r="R1761"/>
      <c r="S1761"/>
      <c r="T1761"/>
      <c r="U1761"/>
      <c r="V1761"/>
      <c r="W1761" s="1"/>
      <c r="X1761" s="1"/>
      <c r="Y1761" s="1"/>
      <c r="Z1761"/>
      <c r="AB1761" s="964"/>
      <c r="AC1761" s="964"/>
      <c r="AD1761" s="964"/>
      <c r="AE1761" s="964"/>
      <c r="AF1761" s="964"/>
      <c r="AG1761" s="964"/>
      <c r="AH1761" s="964"/>
      <c r="AI1761" s="964"/>
      <c r="AJ1761" s="964"/>
      <c r="AK1761" s="968" t="str">
        <f>IF(AK1744="","",SMALL(C1745:C1764,17))</f>
        <v/>
      </c>
      <c r="AL1761"/>
      <c r="AM1761" s="16"/>
      <c r="AN1761" s="946" t="str">
        <f>IF(AK1744="","",INT(AK1761/1000))</f>
        <v/>
      </c>
      <c r="AO1761" s="42" t="str">
        <f>IF(AK1744="","",VLOOKUP(AK1761,C1745:Q1764,5,FALSE))</f>
        <v/>
      </c>
      <c r="AP1761" s="42" t="str">
        <f>VLOOKUP(AK1761,C1745:Q1764,8,FALSE)</f>
        <v/>
      </c>
      <c r="AQ1761" s="42" t="str">
        <f>VLOOKUP(AK1761,C1745:Q1764,9,FALSE)</f>
        <v/>
      </c>
      <c r="AR1761" s="42" t="str">
        <f>VLOOKUP(AK1761,C1745:Q1764,10,FALSE)</f>
        <v/>
      </c>
      <c r="AS1761" s="42" t="str">
        <f>VLOOKUP(AK1761,C1745:Q1764,11,FALSE)</f>
        <v/>
      </c>
      <c r="AT1761" s="42" t="str">
        <f>VLOOKUP(AK1761,C1745:Q1764,12,FALSE)</f>
        <v/>
      </c>
      <c r="AU1761" s="42" t="str">
        <f>VLOOKUP(AK1761,C1745:Q1764,13,FALSE)</f>
        <v/>
      </c>
      <c r="AV1761" s="42" t="str">
        <f>VLOOKUP(AK1761,C1745:Q1764,14,FALSE)</f>
        <v/>
      </c>
      <c r="AW1761" s="947" t="str">
        <f>VLOOKUP(AK1761,C1745:Q1764,15,FALSE)</f>
        <v/>
      </c>
      <c r="AX1761"/>
      <c r="AY1761"/>
      <c r="AZ1761" s="1"/>
      <c r="BA1761" s="1"/>
      <c r="BB1761"/>
      <c r="BC1761" s="6"/>
      <c r="BD1761"/>
      <c r="BE1761" s="1"/>
      <c r="BF1761"/>
      <c r="BG1761" s="16"/>
      <c r="BH1761"/>
      <c r="BI1761"/>
      <c r="BJ1761"/>
      <c r="BK1761"/>
      <c r="BL1761"/>
      <c r="BM1761"/>
      <c r="BN1761"/>
      <c r="BO1761"/>
      <c r="BP1761"/>
      <c r="BQ1761"/>
      <c r="BR1761"/>
      <c r="BS1761"/>
      <c r="BT1761"/>
      <c r="BU1761"/>
      <c r="BV1761"/>
      <c r="BW1761"/>
      <c r="BX1761"/>
      <c r="BY1761"/>
      <c r="BZ1761"/>
      <c r="CA1761" s="1396"/>
      <c r="CB1761" s="1396"/>
      <c r="CC1761"/>
      <c r="CD1761"/>
      <c r="CE1761"/>
    </row>
    <row r="1762" spans="1:83" outlineLevel="1" x14ac:dyDescent="0.2">
      <c r="A1762"/>
      <c r="B1762" s="945">
        <v>18</v>
      </c>
      <c r="C1762" s="977" t="str">
        <f>IF(AK1744="","",RANK(F1762,F1745:F1764)*1000+ROW())</f>
        <v/>
      </c>
      <c r="D1762" s="978" t="str">
        <f t="shared" si="1241"/>
        <v/>
      </c>
      <c r="E1762" s="978" t="str">
        <f>IF(L1762="","",Nb_Diff_Part(D1762,D1745:D1764,G1762,G1745:G1764,AI1767:AI1992)*CritClassInd_DiffPart+Nb_Goal_Part(D1762,D1745:D1764,G1762,G1745:G1764,V1767:Z1992)*CritClassInd_GoalPart+Nb_Score_Part(D1762,D1745:D1764,G1762,G1745:G1764,V1767:Z1992)*CritClassInd_ScorePart)</f>
        <v/>
      </c>
      <c r="F1762" s="979" t="str">
        <f t="shared" si="1242"/>
        <v/>
      </c>
      <c r="G1762" s="39" t="s">
        <v>3920</v>
      </c>
      <c r="H1762" s="501">
        <f t="shared" si="1239"/>
        <v>0</v>
      </c>
      <c r="I1762" s="39"/>
      <c r="J1762" s="977" t="str">
        <f>IF(AK1744="","",(L1762*Points_Victoire)+M1762*Points_Null)</f>
        <v/>
      </c>
      <c r="K1762" s="988" t="str">
        <f t="shared" si="1240"/>
        <v/>
      </c>
      <c r="L1762" s="988" t="str">
        <f>IF(AK1744="","",COUNTIF(AE1767:AE1992,G1762))</f>
        <v/>
      </c>
      <c r="M1762" s="988" t="str">
        <f>IF(AK1744="","",COUNTIF(AF1767:AG1992,G1762))</f>
        <v/>
      </c>
      <c r="N1762" s="988" t="str">
        <f>IF(AK1744="","",COUNTIF(AH1767:AH1992,G1762))</f>
        <v/>
      </c>
      <c r="O1762" s="988" t="str">
        <f>IF(AK1744="","",SUMIF(V1767:V1992,G1762,AB1767:AB1992)+SUMIF(Z1767:Z1992,G1762,AD1767:AD1992))</f>
        <v/>
      </c>
      <c r="P1762" s="988" t="str">
        <f>IF(AK1744="","",SUMIF(V1767:V1992,G1762,AD1767:AD1992)+SUMIF(Z1767:Z1992,G1762,AB1767:AB1992))</f>
        <v/>
      </c>
      <c r="Q1762" s="989" t="str">
        <f>IF(AK1744="","",O1762-P1762)</f>
        <v/>
      </c>
      <c r="R1762"/>
      <c r="S1762"/>
      <c r="T1762"/>
      <c r="U1762"/>
      <c r="V1762"/>
      <c r="W1762" s="1"/>
      <c r="X1762" s="1"/>
      <c r="Y1762" s="1"/>
      <c r="Z1762"/>
      <c r="AB1762" s="964"/>
      <c r="AC1762" s="964"/>
      <c r="AD1762" s="964"/>
      <c r="AE1762" s="964"/>
      <c r="AF1762" s="964"/>
      <c r="AG1762" s="964"/>
      <c r="AH1762" s="964"/>
      <c r="AI1762" s="964"/>
      <c r="AJ1762" s="964"/>
      <c r="AK1762" s="968" t="str">
        <f>IF(AK1744="","",SMALL(C1745:C1764,18))</f>
        <v/>
      </c>
      <c r="AL1762"/>
      <c r="AM1762" s="16"/>
      <c r="AN1762" s="946" t="str">
        <f>IF(AK1744="","",INT(AK1762/1000))</f>
        <v/>
      </c>
      <c r="AO1762" s="42" t="str">
        <f>IF(AK1744="","",VLOOKUP(AK1762,C1745:Q1764,5,FALSE))</f>
        <v/>
      </c>
      <c r="AP1762" s="42" t="str">
        <f>VLOOKUP(AK1762,C1745:Q1764,8,FALSE)</f>
        <v/>
      </c>
      <c r="AQ1762" s="42" t="str">
        <f>VLOOKUP(AK1762,C1745:Q1764,9,FALSE)</f>
        <v/>
      </c>
      <c r="AR1762" s="42" t="str">
        <f>VLOOKUP(AK1762,C1745:Q1764,10,FALSE)</f>
        <v/>
      </c>
      <c r="AS1762" s="42" t="str">
        <f>VLOOKUP(AK1762,C1745:Q1764,11,FALSE)</f>
        <v/>
      </c>
      <c r="AT1762" s="42" t="str">
        <f>VLOOKUP(AK1762,C1745:Q1764,12,FALSE)</f>
        <v/>
      </c>
      <c r="AU1762" s="42" t="str">
        <f>VLOOKUP(AK1762,C1745:Q1764,13,FALSE)</f>
        <v/>
      </c>
      <c r="AV1762" s="42" t="str">
        <f>VLOOKUP(AK1762,C1745:Q1764,14,FALSE)</f>
        <v/>
      </c>
      <c r="AW1762" s="947" t="str">
        <f>VLOOKUP(AK1762,C1745:Q1764,15,FALSE)</f>
        <v/>
      </c>
      <c r="AX1762"/>
      <c r="AY1762"/>
      <c r="AZ1762" s="1"/>
      <c r="BA1762" s="1"/>
      <c r="BB1762"/>
      <c r="BC1762" s="6"/>
      <c r="BD1762"/>
      <c r="BE1762" s="1"/>
      <c r="BF1762"/>
      <c r="BG1762" s="16"/>
      <c r="BH1762"/>
      <c r="BI1762"/>
      <c r="BJ1762"/>
      <c r="BK1762"/>
      <c r="BL1762"/>
      <c r="BM1762"/>
      <c r="BN1762"/>
      <c r="BO1762"/>
      <c r="BP1762"/>
      <c r="BQ1762"/>
      <c r="BR1762"/>
      <c r="BS1762"/>
      <c r="BT1762"/>
      <c r="BU1762"/>
      <c r="BV1762"/>
      <c r="BW1762"/>
      <c r="BX1762"/>
      <c r="BY1762"/>
      <c r="BZ1762"/>
      <c r="CA1762" s="1396"/>
      <c r="CB1762" s="1396"/>
      <c r="CC1762"/>
      <c r="CD1762"/>
      <c r="CE1762"/>
    </row>
    <row r="1763" spans="1:83" outlineLevel="1" x14ac:dyDescent="0.2">
      <c r="A1763"/>
      <c r="B1763" s="945">
        <v>19</v>
      </c>
      <c r="C1763" s="977" t="str">
        <f>IF(AK1744="","",RANK(F1763,F1745:F1764)*1000+ROW())</f>
        <v/>
      </c>
      <c r="D1763" s="978" t="str">
        <f t="shared" si="1241"/>
        <v/>
      </c>
      <c r="E1763" s="978" t="str">
        <f>IF(L1763="","",Nb_Diff_Part(D1763,D1745:D1764,G1763,G1745:G1764,AI1767:AI1992)*CritClassInd_DiffPart+Nb_Goal_Part(D1763,D1745:D1764,G1763,G1745:G1764,V1767:Z1992)*CritClassInd_GoalPart+Nb_Score_Part(D1763,D1745:D1764,G1763,G1745:G1764,V1767:Z1992)*CritClassInd_ScorePart)</f>
        <v/>
      </c>
      <c r="F1763" s="979" t="str">
        <f t="shared" si="1242"/>
        <v/>
      </c>
      <c r="G1763" s="39" t="s">
        <v>3921</v>
      </c>
      <c r="H1763" s="501">
        <f t="shared" si="1239"/>
        <v>0</v>
      </c>
      <c r="I1763" s="39"/>
      <c r="J1763" s="977" t="str">
        <f>IF(AK1744="","",(L1763*Points_Victoire)+M1763*Points_Null)</f>
        <v/>
      </c>
      <c r="K1763" s="988" t="str">
        <f t="shared" si="1240"/>
        <v/>
      </c>
      <c r="L1763" s="988" t="str">
        <f>IF(AK1744="","",COUNTIF(AE1767:AE1992,G1763))</f>
        <v/>
      </c>
      <c r="M1763" s="988" t="str">
        <f>IF(AK1744="","",COUNTIF(AF1767:AG1992,G1763))</f>
        <v/>
      </c>
      <c r="N1763" s="988" t="str">
        <f>IF(AK1744="","",COUNTIF(AH1767:AH1992,G1763))</f>
        <v/>
      </c>
      <c r="O1763" s="988" t="str">
        <f>IF(AK1744="","",SUMIF(V1767:V1992,G1763,AB1767:AB1992)+SUMIF(Z1767:Z1992,G1763,AD1767:AD1992))</f>
        <v/>
      </c>
      <c r="P1763" s="988" t="str">
        <f>IF(AK1744="","",SUMIF(V1767:V1992,G1763,AD1767:AD1992)+SUMIF(Z1767:Z1992,G1763,AB1767:AB1992))</f>
        <v/>
      </c>
      <c r="Q1763" s="989" t="str">
        <f>IF(AK1744="","",O1763-P1763)</f>
        <v/>
      </c>
      <c r="R1763"/>
      <c r="S1763"/>
      <c r="T1763"/>
      <c r="U1763"/>
      <c r="V1763"/>
      <c r="W1763" s="1"/>
      <c r="X1763" s="1"/>
      <c r="Y1763" s="1"/>
      <c r="Z1763"/>
      <c r="AB1763" s="964"/>
      <c r="AC1763" s="964"/>
      <c r="AD1763" s="964"/>
      <c r="AE1763" s="964"/>
      <c r="AF1763" s="964"/>
      <c r="AG1763" s="964"/>
      <c r="AH1763" s="964"/>
      <c r="AI1763" s="964"/>
      <c r="AJ1763" s="964"/>
      <c r="AK1763" s="968" t="str">
        <f>IF(AK1744="","",SMALL(C1745:C1764,19))</f>
        <v/>
      </c>
      <c r="AL1763"/>
      <c r="AM1763" s="16"/>
      <c r="AN1763" s="946" t="str">
        <f>IF(AK1744="","",INT(AK1763/1000))</f>
        <v/>
      </c>
      <c r="AO1763" s="42" t="str">
        <f>IF(AK1744="","",VLOOKUP(AK1763,C1745:Q1764,5,FALSE))</f>
        <v/>
      </c>
      <c r="AP1763" s="42" t="str">
        <f>VLOOKUP(AK1763,C1745:Q1764,8,FALSE)</f>
        <v/>
      </c>
      <c r="AQ1763" s="42" t="str">
        <f>VLOOKUP(AK1763,C1745:Q1764,9,FALSE)</f>
        <v/>
      </c>
      <c r="AR1763" s="42" t="str">
        <f>VLOOKUP(AK1763,C1745:Q1764,10,FALSE)</f>
        <v/>
      </c>
      <c r="AS1763" s="42" t="str">
        <f>VLOOKUP(AK1763,C1745:Q1764,11,FALSE)</f>
        <v/>
      </c>
      <c r="AT1763" s="42" t="str">
        <f>VLOOKUP(AK1763,C1745:Q1764,12,FALSE)</f>
        <v/>
      </c>
      <c r="AU1763" s="42" t="str">
        <f>VLOOKUP(AK1763,C1745:Q1764,13,FALSE)</f>
        <v/>
      </c>
      <c r="AV1763" s="42" t="str">
        <f>VLOOKUP(AK1763,C1745:Q1764,14,FALSE)</f>
        <v/>
      </c>
      <c r="AW1763" s="947" t="str">
        <f>VLOOKUP(AK1763,C1745:Q1764,15,FALSE)</f>
        <v/>
      </c>
      <c r="AX1763"/>
      <c r="AY1763"/>
      <c r="AZ1763" s="1"/>
      <c r="BA1763" s="1"/>
      <c r="BB1763"/>
      <c r="BC1763" s="6"/>
      <c r="BD1763"/>
      <c r="BE1763" s="1"/>
      <c r="BF1763"/>
      <c r="BG1763" s="16"/>
      <c r="BH1763"/>
      <c r="BI1763"/>
      <c r="BJ1763"/>
      <c r="BK1763"/>
      <c r="BL1763"/>
      <c r="BM1763"/>
      <c r="BN1763"/>
      <c r="BO1763"/>
      <c r="BP1763"/>
      <c r="BQ1763"/>
      <c r="BR1763"/>
      <c r="BS1763"/>
      <c r="BT1763"/>
      <c r="BU1763"/>
      <c r="BV1763"/>
      <c r="BW1763"/>
      <c r="BX1763"/>
      <c r="BY1763"/>
      <c r="BZ1763"/>
      <c r="CA1763" s="1396"/>
      <c r="CB1763" s="1396"/>
      <c r="CC1763"/>
      <c r="CD1763"/>
      <c r="CE1763"/>
    </row>
    <row r="1764" spans="1:83" ht="13.5" outlineLevel="1" thickBot="1" x14ac:dyDescent="0.25">
      <c r="A1764"/>
      <c r="B1764" s="948">
        <v>20</v>
      </c>
      <c r="C1764" s="980" t="str">
        <f>IF(AK1744="","",RANK(F1764,F1745:F1764)*1000+ROW())</f>
        <v/>
      </c>
      <c r="D1764" s="981" t="str">
        <f t="shared" si="1241"/>
        <v/>
      </c>
      <c r="E1764" s="981" t="str">
        <f>IF(L1764="","",Nb_Diff_Part(D1764,D1745:D1764,G1764,G1745:G1764,AI1767:AI1992)*CritClassInd_DiffPart+Nb_Goal_Part(D1764,D1745:D1764,G1764,G1745:G1764,V1767:Z1992)*CritClassInd_GoalPart+Nb_Score_Part(D1764,D1745:D1764,G1764,G1745:G1764,V1767:Z1992)*CritClassInd_ScorePart)</f>
        <v/>
      </c>
      <c r="F1764" s="982" t="str">
        <f t="shared" si="1242"/>
        <v/>
      </c>
      <c r="G1764" s="949" t="s">
        <v>3922</v>
      </c>
      <c r="H1764" s="503">
        <f t="shared" si="1239"/>
        <v>0</v>
      </c>
      <c r="I1764" s="949"/>
      <c r="J1764" s="980" t="str">
        <f>IF(AK1744="","",(L1764*Points_Victoire)+M1764*Points_Null)</f>
        <v/>
      </c>
      <c r="K1764" s="990" t="str">
        <f t="shared" si="1240"/>
        <v/>
      </c>
      <c r="L1764" s="990" t="str">
        <f>IF(AK1744="","",COUNTIF(AE1767:AE1992,G1764))</f>
        <v/>
      </c>
      <c r="M1764" s="990" t="str">
        <f>IF(AK1744="","",COUNTIF(AF1767:AG1992,G1764))</f>
        <v/>
      </c>
      <c r="N1764" s="990" t="str">
        <f>IF(AK1744="","",COUNTIF(AH1767:AH1992,G1764))</f>
        <v/>
      </c>
      <c r="O1764" s="990" t="str">
        <f>IF(AK1744="","",SUMIF(V1767:V1992,G1764,AB1767:AB1992)+SUMIF(Z1767:Z1992,G1764,AD1767:AD1992))</f>
        <v/>
      </c>
      <c r="P1764" s="990" t="str">
        <f>IF(AK1744="","",SUMIF(V1767:V1992,G1764,AD1767:AD1992)+SUMIF(Z1767:Z1992,G1764,AB1767:AB1992))</f>
        <v/>
      </c>
      <c r="Q1764" s="991" t="str">
        <f>IF(AK1744="","",O1764-P1764)</f>
        <v/>
      </c>
      <c r="R1764"/>
      <c r="S1764"/>
      <c r="T1764"/>
      <c r="U1764"/>
      <c r="V1764"/>
      <c r="W1764" s="1"/>
      <c r="X1764" s="1"/>
      <c r="Y1764" s="1"/>
      <c r="Z1764"/>
      <c r="AB1764" s="964"/>
      <c r="AC1764" s="964"/>
      <c r="AD1764" s="964"/>
      <c r="AE1764" s="964"/>
      <c r="AF1764" s="964"/>
      <c r="AG1764" s="964"/>
      <c r="AH1764" s="964"/>
      <c r="AI1764" s="964"/>
      <c r="AJ1764" s="964"/>
      <c r="AK1764" s="968" t="str">
        <f>IF(AK1744="","",SMALL(C1745:C1764,20))</f>
        <v/>
      </c>
      <c r="AL1764"/>
      <c r="AM1764" s="16"/>
      <c r="AN1764" s="950" t="str">
        <f>IF(AK1744="","",INT(AK1764/1000))</f>
        <v/>
      </c>
      <c r="AO1764" s="50" t="str">
        <f>IF(AK1744="","",VLOOKUP(AK1764,C1745:Q1764,5,FALSE))</f>
        <v/>
      </c>
      <c r="AP1764" s="50" t="str">
        <f>VLOOKUP(AK1764,C1745:Q1764,8,FALSE)</f>
        <v/>
      </c>
      <c r="AQ1764" s="50" t="str">
        <f>VLOOKUP(AK1764,C1745:Q1764,9,FALSE)</f>
        <v/>
      </c>
      <c r="AR1764" s="50" t="str">
        <f>VLOOKUP(AK1764,C1745:Q1764,10,FALSE)</f>
        <v/>
      </c>
      <c r="AS1764" s="50" t="str">
        <f>VLOOKUP(AK1764,C1745:Q1764,11,FALSE)</f>
        <v/>
      </c>
      <c r="AT1764" s="50" t="str">
        <f>VLOOKUP(AK1764,C1745:Q1764,12,FALSE)</f>
        <v/>
      </c>
      <c r="AU1764" s="50" t="str">
        <f>VLOOKUP(AK1764,C1745:Q1764,13,FALSE)</f>
        <v/>
      </c>
      <c r="AV1764" s="50" t="str">
        <f>VLOOKUP(AK1764,C1745:Q1764,14,FALSE)</f>
        <v/>
      </c>
      <c r="AW1764" s="951" t="str">
        <f>VLOOKUP(AK1764,C1745:Q1764,15,FALSE)</f>
        <v/>
      </c>
      <c r="AX1764"/>
      <c r="AY1764"/>
      <c r="AZ1764" s="1"/>
      <c r="BA1764" s="1"/>
      <c r="BB1764"/>
      <c r="BC1764" s="6"/>
      <c r="BD1764"/>
      <c r="BE1764" s="1"/>
      <c r="BF1764"/>
      <c r="BG1764" s="16"/>
      <c r="BH1764"/>
      <c r="BI1764"/>
      <c r="BJ1764"/>
      <c r="BK1764"/>
      <c r="BL1764"/>
      <c r="BM1764"/>
      <c r="BN1764"/>
      <c r="BO1764"/>
      <c r="BP1764"/>
      <c r="BQ1764"/>
      <c r="BR1764"/>
      <c r="BS1764"/>
      <c r="BT1764"/>
      <c r="BU1764"/>
      <c r="BV1764"/>
      <c r="BW1764"/>
      <c r="BX1764"/>
      <c r="BY1764"/>
      <c r="BZ1764"/>
      <c r="CA1764" s="1396"/>
      <c r="CB1764" s="1396"/>
      <c r="CC1764"/>
      <c r="CD1764"/>
      <c r="CE1764"/>
    </row>
    <row r="1765" spans="1:83" ht="13.5" outlineLevel="1" thickBot="1" x14ac:dyDescent="0.25">
      <c r="A1765"/>
      <c r="B1765" s="1"/>
      <c r="C1765" s="1"/>
      <c r="D1765" s="76"/>
      <c r="E1765" s="76"/>
      <c r="F1765" s="76"/>
      <c r="G1765" s="9"/>
      <c r="H1765" s="9"/>
      <c r="I1765" s="1"/>
      <c r="J1765"/>
      <c r="K1765"/>
      <c r="L1765"/>
      <c r="M1765"/>
      <c r="N1765"/>
      <c r="O1765"/>
      <c r="P1765" s="89"/>
      <c r="Q1765"/>
      <c r="R1765" s="1"/>
      <c r="S1765" s="993">
        <v>1</v>
      </c>
      <c r="T1765" s="961"/>
      <c r="U1765" s="961"/>
      <c r="V1765" s="961"/>
      <c r="W1765" s="960"/>
      <c r="X1765" s="960"/>
      <c r="Y1765" s="960"/>
      <c r="Z1765" s="962"/>
      <c r="AA1765" s="123"/>
      <c r="AB1765" s="1461" t="str">
        <f>IF(MaxScore,N_MaxScore,"")</f>
        <v>Score Max</v>
      </c>
      <c r="AC1765" s="1461"/>
      <c r="AD1765" s="1461"/>
      <c r="AE1765" s="964"/>
      <c r="AF1765" s="964"/>
      <c r="AG1765" s="964"/>
      <c r="AH1765" s="964"/>
      <c r="AI1765" s="964"/>
      <c r="AJ1765" s="964"/>
      <c r="AK1765" s="964"/>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s="1396"/>
      <c r="CB1765" s="1396"/>
      <c r="CC1765"/>
      <c r="CD1765"/>
      <c r="CE1765"/>
    </row>
    <row r="1766" spans="1:83" ht="13.9" customHeight="1" outlineLevel="2" thickBot="1" x14ac:dyDescent="0.25">
      <c r="A1766"/>
      <c r="B1766" s="1"/>
      <c r="C1766"/>
      <c r="D1766"/>
      <c r="E1766"/>
      <c r="F1766"/>
      <c r="G1766" s="1"/>
      <c r="H1766" s="1"/>
      <c r="I1766"/>
      <c r="J1766"/>
      <c r="K1766"/>
      <c r="L1766"/>
      <c r="M1766"/>
      <c r="N1766"/>
      <c r="O1766"/>
      <c r="P1766"/>
      <c r="Q1766"/>
      <c r="S1766" s="18" t="str">
        <f>N_Heure</f>
        <v>Heure</v>
      </c>
      <c r="T1766" s="22" t="str">
        <f>N_Table</f>
        <v>Table</v>
      </c>
      <c r="U1766" s="952" t="str">
        <f>N_Arbitre</f>
        <v>Arbitre</v>
      </c>
      <c r="V1766" s="293" t="str">
        <f>N_Matches</f>
        <v>Matches</v>
      </c>
      <c r="W1766" s="294"/>
      <c r="X1766" s="294"/>
      <c r="Y1766" s="294"/>
      <c r="Z1766" s="295"/>
      <c r="AA1766" s="8"/>
      <c r="AB1766" s="967"/>
      <c r="AC1766" s="967"/>
      <c r="AD1766" s="967"/>
      <c r="AE1766" s="964"/>
      <c r="AF1766" s="964"/>
      <c r="AG1766" s="964"/>
      <c r="AH1766" s="964"/>
      <c r="AI1766" s="964"/>
      <c r="AJ1766" s="964"/>
      <c r="AK1766" s="964"/>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s="1396"/>
      <c r="CB1766" s="1396"/>
      <c r="CC1766"/>
      <c r="CD1766"/>
      <c r="CE1766"/>
    </row>
    <row r="1767" spans="1:83" ht="13.15" customHeight="1" outlineLevel="2" x14ac:dyDescent="0.2">
      <c r="A1767"/>
      <c r="B1767" s="1"/>
      <c r="C1767"/>
      <c r="D1767"/>
      <c r="E1767"/>
      <c r="F1767"/>
      <c r="G1767" s="1"/>
      <c r="H1767" s="1"/>
      <c r="I1767"/>
      <c r="J1767"/>
      <c r="K1767"/>
      <c r="L1767"/>
      <c r="M1767"/>
      <c r="N1767"/>
      <c r="O1767"/>
      <c r="P1767"/>
      <c r="Q1767"/>
      <c r="R1767" s="558" t="s">
        <v>1726</v>
      </c>
      <c r="S1767" s="65"/>
      <c r="T1767" s="953"/>
      <c r="U1767" s="954"/>
      <c r="V1767" s="34" t="str">
        <f>IF(G1745="","",G1745)</f>
        <v>A</v>
      </c>
      <c r="W1767" s="148"/>
      <c r="X1767" s="35" t="s">
        <v>769</v>
      </c>
      <c r="Y1767" s="148"/>
      <c r="Z1767" s="36" t="str">
        <f>IF(G1746="","",G1746)</f>
        <v>B</v>
      </c>
      <c r="AA1767" s="123"/>
      <c r="AB1767" s="1459">
        <f t="shared" ref="AB1767:AB1776" si="1243">IF(MaxScore,MaxGoals(W1767,Y1767,MaxGoalsValue),IF(W1767="","",W1767))</f>
        <v>0</v>
      </c>
      <c r="AC1767" s="1460" t="str">
        <f t="shared" ref="AC1767:AC1776" si="1244">IF(MaxScore,"-",IF(W1767="","","-"))</f>
        <v>-</v>
      </c>
      <c r="AD1767" s="1459">
        <f t="shared" ref="AD1767:AD1776" si="1245">IF(MaxScore,MaxGoals(Y1767,W1767,MaxGoalsValue),IF(Y1767="","",Y1767))</f>
        <v>0</v>
      </c>
      <c r="AE1767" s="964" t="str">
        <f t="shared" ref="AE1767:AE1776" si="1246">IF(W1767="","",IF(W1767&gt;Y1767,V1767,IF(W1767=Y1767,"",Z1767)))</f>
        <v/>
      </c>
      <c r="AF1767" s="964" t="str">
        <f t="shared" ref="AF1767:AF1776" si="1247">IF(W1767="","",IF(W1767=Y1767,V1767,""))</f>
        <v/>
      </c>
      <c r="AG1767" s="964" t="str">
        <f t="shared" ref="AG1767:AG1776" si="1248">IF(W1767="","",IF(W1767=Y1767,Z1767,""))</f>
        <v/>
      </c>
      <c r="AH1767" s="964" t="str">
        <f t="shared" ref="AH1767:AH1776" si="1249">IF(W1767="","",IF(W1767&lt;Y1767,V1767,IF(W1767=Y1767,"",Z1767)))</f>
        <v/>
      </c>
      <c r="AI1767" s="964" t="str">
        <f t="shared" ref="AI1767:AI1776" si="1250">CONCATENATE(AE1767,AH1767)</f>
        <v/>
      </c>
      <c r="AJ1767" s="964"/>
      <c r="AK1767" s="964"/>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s="1396"/>
      <c r="CB1767" s="1396"/>
      <c r="CC1767"/>
      <c r="CD1767"/>
      <c r="CE1767"/>
    </row>
    <row r="1768" spans="1:83" ht="13.15" customHeight="1" outlineLevel="2" x14ac:dyDescent="0.2">
      <c r="A1768"/>
      <c r="B1768" s="1"/>
      <c r="C1768"/>
      <c r="D1768"/>
      <c r="E1768"/>
      <c r="F1768"/>
      <c r="G1768" s="1"/>
      <c r="H1768" s="1"/>
      <c r="I1768"/>
      <c r="J1768"/>
      <c r="K1768"/>
      <c r="L1768"/>
      <c r="M1768"/>
      <c r="N1768"/>
      <c r="O1768"/>
      <c r="P1768"/>
      <c r="Q1768"/>
      <c r="R1768" s="558" t="s">
        <v>1726</v>
      </c>
      <c r="S1768" s="83"/>
      <c r="T1768" s="56"/>
      <c r="U1768" s="955"/>
      <c r="V1768" s="43" t="str">
        <f>IF(G1747="","",G1747)</f>
        <v>C</v>
      </c>
      <c r="W1768" s="10"/>
      <c r="X1768" s="45" t="s">
        <v>769</v>
      </c>
      <c r="Y1768" s="10"/>
      <c r="Z1768" s="46" t="str">
        <f>IF(G1748="","",G1748)</f>
        <v>D</v>
      </c>
      <c r="AA1768" s="123"/>
      <c r="AB1768" s="1459">
        <f t="shared" si="1243"/>
        <v>0</v>
      </c>
      <c r="AC1768" s="1460" t="str">
        <f t="shared" si="1244"/>
        <v>-</v>
      </c>
      <c r="AD1768" s="1459">
        <f t="shared" si="1245"/>
        <v>0</v>
      </c>
      <c r="AE1768" s="964" t="str">
        <f t="shared" si="1246"/>
        <v/>
      </c>
      <c r="AF1768" s="964" t="str">
        <f t="shared" si="1247"/>
        <v/>
      </c>
      <c r="AG1768" s="964" t="str">
        <f t="shared" si="1248"/>
        <v/>
      </c>
      <c r="AH1768" s="964" t="str">
        <f t="shared" si="1249"/>
        <v/>
      </c>
      <c r="AI1768" s="964" t="str">
        <f t="shared" si="1250"/>
        <v/>
      </c>
      <c r="AJ1768" s="964"/>
      <c r="AK1768" s="964"/>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s="1396"/>
      <c r="CB1768" s="1396"/>
      <c r="CC1768"/>
      <c r="CD1768"/>
      <c r="CE1768"/>
    </row>
    <row r="1769" spans="1:83" ht="13.15" customHeight="1" outlineLevel="2" x14ac:dyDescent="0.2">
      <c r="A1769"/>
      <c r="B1769" s="1"/>
      <c r="C1769"/>
      <c r="D1769"/>
      <c r="E1769"/>
      <c r="F1769"/>
      <c r="G1769" s="1"/>
      <c r="H1769" s="1"/>
      <c r="I1769"/>
      <c r="J1769"/>
      <c r="K1769"/>
      <c r="L1769"/>
      <c r="M1769"/>
      <c r="N1769"/>
      <c r="O1769"/>
      <c r="P1769"/>
      <c r="Q1769"/>
      <c r="R1769" s="558" t="s">
        <v>1726</v>
      </c>
      <c r="S1769" s="83"/>
      <c r="T1769" s="56"/>
      <c r="U1769" s="955"/>
      <c r="V1769" s="43" t="str">
        <f>IF(G1749="","",G1749)</f>
        <v>E</v>
      </c>
      <c r="W1769" s="10"/>
      <c r="X1769" s="45" t="s">
        <v>769</v>
      </c>
      <c r="Y1769" s="10"/>
      <c r="Z1769" s="46" t="str">
        <f>IF(G1750="","",G1750)</f>
        <v>F</v>
      </c>
      <c r="AA1769" s="123"/>
      <c r="AB1769" s="1459">
        <f t="shared" si="1243"/>
        <v>0</v>
      </c>
      <c r="AC1769" s="1460" t="str">
        <f t="shared" si="1244"/>
        <v>-</v>
      </c>
      <c r="AD1769" s="1459">
        <f t="shared" si="1245"/>
        <v>0</v>
      </c>
      <c r="AE1769" s="964" t="str">
        <f t="shared" si="1246"/>
        <v/>
      </c>
      <c r="AF1769" s="964" t="str">
        <f t="shared" si="1247"/>
        <v/>
      </c>
      <c r="AG1769" s="964" t="str">
        <f t="shared" si="1248"/>
        <v/>
      </c>
      <c r="AH1769" s="964" t="str">
        <f t="shared" si="1249"/>
        <v/>
      </c>
      <c r="AI1769" s="964" t="str">
        <f t="shared" si="1250"/>
        <v/>
      </c>
      <c r="AJ1769" s="964"/>
      <c r="AK1769" s="964"/>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s="1396"/>
      <c r="CB1769" s="1396"/>
      <c r="CC1769"/>
      <c r="CD1769"/>
      <c r="CE1769"/>
    </row>
    <row r="1770" spans="1:83" ht="13.15" customHeight="1" outlineLevel="2" x14ac:dyDescent="0.2">
      <c r="A1770"/>
      <c r="B1770" s="1"/>
      <c r="C1770"/>
      <c r="D1770"/>
      <c r="E1770"/>
      <c r="F1770"/>
      <c r="G1770" s="1"/>
      <c r="H1770" s="1"/>
      <c r="I1770"/>
      <c r="J1770"/>
      <c r="K1770"/>
      <c r="L1770"/>
      <c r="M1770"/>
      <c r="N1770"/>
      <c r="O1770"/>
      <c r="P1770"/>
      <c r="Q1770"/>
      <c r="R1770" s="558" t="s">
        <v>1726</v>
      </c>
      <c r="S1770" s="83"/>
      <c r="T1770" s="56"/>
      <c r="U1770" s="955"/>
      <c r="V1770" s="43" t="str">
        <f>IF(G1751="","",G1751)</f>
        <v>G</v>
      </c>
      <c r="W1770" s="10"/>
      <c r="X1770" s="45" t="s">
        <v>769</v>
      </c>
      <c r="Y1770" s="10"/>
      <c r="Z1770" s="46" t="str">
        <f>IF(G1752="","",G1752)</f>
        <v>H</v>
      </c>
      <c r="AA1770" s="123"/>
      <c r="AB1770" s="1459">
        <f t="shared" si="1243"/>
        <v>0</v>
      </c>
      <c r="AC1770" s="1460" t="str">
        <f t="shared" si="1244"/>
        <v>-</v>
      </c>
      <c r="AD1770" s="1459">
        <f t="shared" si="1245"/>
        <v>0</v>
      </c>
      <c r="AE1770" s="964" t="str">
        <f t="shared" si="1246"/>
        <v/>
      </c>
      <c r="AF1770" s="964" t="str">
        <f t="shared" si="1247"/>
        <v/>
      </c>
      <c r="AG1770" s="964" t="str">
        <f t="shared" si="1248"/>
        <v/>
      </c>
      <c r="AH1770" s="964" t="str">
        <f t="shared" si="1249"/>
        <v/>
      </c>
      <c r="AI1770" s="964" t="str">
        <f t="shared" si="1250"/>
        <v/>
      </c>
      <c r="AJ1770" s="964"/>
      <c r="AK1770" s="964"/>
      <c r="AL1770"/>
      <c r="AM1770"/>
      <c r="AN1770"/>
      <c r="AO1770"/>
      <c r="AP1770"/>
      <c r="AQ1770"/>
      <c r="AR1770"/>
      <c r="AS1770"/>
      <c r="AT1770"/>
      <c r="AU1770"/>
      <c r="AV1770"/>
      <c r="AW1770"/>
      <c r="AX1770" s="9"/>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s="1396"/>
      <c r="CB1770" s="1396"/>
      <c r="CC1770"/>
      <c r="CD1770"/>
      <c r="CE1770"/>
    </row>
    <row r="1771" spans="1:83" ht="13.15" customHeight="1" outlineLevel="2" x14ac:dyDescent="0.2">
      <c r="A1771"/>
      <c r="B1771" s="1"/>
      <c r="C1771"/>
      <c r="D1771"/>
      <c r="E1771"/>
      <c r="F1771"/>
      <c r="G1771" s="1"/>
      <c r="H1771" s="1"/>
      <c r="I1771"/>
      <c r="J1771"/>
      <c r="K1771"/>
      <c r="L1771"/>
      <c r="M1771"/>
      <c r="N1771"/>
      <c r="O1771"/>
      <c r="P1771"/>
      <c r="Q1771"/>
      <c r="R1771" s="558" t="s">
        <v>1726</v>
      </c>
      <c r="S1771" s="83"/>
      <c r="T1771" s="56"/>
      <c r="U1771" s="955"/>
      <c r="V1771" s="43" t="str">
        <f>IF(G1753="","",G1753)</f>
        <v>I</v>
      </c>
      <c r="W1771" s="10"/>
      <c r="X1771" s="45" t="s">
        <v>769</v>
      </c>
      <c r="Y1771" s="10"/>
      <c r="Z1771" s="46" t="str">
        <f>IF(G1754="","",G1754)</f>
        <v>J</v>
      </c>
      <c r="AA1771" s="123"/>
      <c r="AB1771" s="1459">
        <f t="shared" si="1243"/>
        <v>0</v>
      </c>
      <c r="AC1771" s="1460" t="str">
        <f t="shared" si="1244"/>
        <v>-</v>
      </c>
      <c r="AD1771" s="1459">
        <f t="shared" si="1245"/>
        <v>0</v>
      </c>
      <c r="AE1771" s="964" t="str">
        <f t="shared" si="1246"/>
        <v/>
      </c>
      <c r="AF1771" s="964" t="str">
        <f t="shared" si="1247"/>
        <v/>
      </c>
      <c r="AG1771" s="964" t="str">
        <f t="shared" si="1248"/>
        <v/>
      </c>
      <c r="AH1771" s="964" t="str">
        <f t="shared" si="1249"/>
        <v/>
      </c>
      <c r="AI1771" s="964" t="str">
        <f t="shared" si="1250"/>
        <v/>
      </c>
      <c r="AJ1771" s="964"/>
      <c r="AK1771" s="964"/>
      <c r="AL1771"/>
      <c r="AM1771"/>
      <c r="AN1771"/>
      <c r="AO1771"/>
      <c r="AP1771"/>
      <c r="AQ1771"/>
      <c r="AR1771"/>
      <c r="AS1771"/>
      <c r="AT1771"/>
      <c r="AU1771"/>
      <c r="AV1771"/>
      <c r="AW1771" s="9"/>
      <c r="AX1771" s="9"/>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s="1396"/>
      <c r="CB1771" s="1396"/>
      <c r="CC1771"/>
      <c r="CD1771"/>
      <c r="CE1771"/>
    </row>
    <row r="1772" spans="1:83" ht="13.15" customHeight="1" outlineLevel="2" x14ac:dyDescent="0.2">
      <c r="A1772"/>
      <c r="B1772" s="1"/>
      <c r="C1772"/>
      <c r="D1772"/>
      <c r="E1772"/>
      <c r="F1772"/>
      <c r="G1772" s="1"/>
      <c r="H1772" s="1"/>
      <c r="I1772"/>
      <c r="J1772"/>
      <c r="K1772"/>
      <c r="L1772"/>
      <c r="M1772"/>
      <c r="N1772"/>
      <c r="O1772"/>
      <c r="P1772"/>
      <c r="Q1772"/>
      <c r="R1772" s="558" t="s">
        <v>1726</v>
      </c>
      <c r="S1772" s="83"/>
      <c r="T1772" s="56"/>
      <c r="U1772" s="955"/>
      <c r="V1772" s="43" t="str">
        <f>IF(G1755="","",G1755)</f>
        <v>K</v>
      </c>
      <c r="W1772" s="10"/>
      <c r="X1772" s="45" t="s">
        <v>769</v>
      </c>
      <c r="Y1772" s="10"/>
      <c r="Z1772" s="46" t="str">
        <f>IF(G1756="","",G1756)</f>
        <v>L</v>
      </c>
      <c r="AA1772" s="123"/>
      <c r="AB1772" s="1459">
        <f t="shared" si="1243"/>
        <v>0</v>
      </c>
      <c r="AC1772" s="1460" t="str">
        <f t="shared" si="1244"/>
        <v>-</v>
      </c>
      <c r="AD1772" s="1459">
        <f t="shared" si="1245"/>
        <v>0</v>
      </c>
      <c r="AE1772" s="964" t="str">
        <f t="shared" si="1246"/>
        <v/>
      </c>
      <c r="AF1772" s="964" t="str">
        <f t="shared" si="1247"/>
        <v/>
      </c>
      <c r="AG1772" s="964" t="str">
        <f t="shared" si="1248"/>
        <v/>
      </c>
      <c r="AH1772" s="964" t="str">
        <f t="shared" si="1249"/>
        <v/>
      </c>
      <c r="AI1772" s="964" t="str">
        <f t="shared" si="1250"/>
        <v/>
      </c>
      <c r="AJ1772" s="964"/>
      <c r="AK1772" s="964"/>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s="1396"/>
      <c r="CB1772" s="1396"/>
      <c r="CC1772"/>
      <c r="CD1772"/>
      <c r="CE1772"/>
    </row>
    <row r="1773" spans="1:83" ht="13.15" customHeight="1" outlineLevel="2" x14ac:dyDescent="0.2">
      <c r="A1773"/>
      <c r="B1773" s="1"/>
      <c r="C1773"/>
      <c r="D1773"/>
      <c r="E1773"/>
      <c r="F1773"/>
      <c r="G1773" s="1"/>
      <c r="H1773" s="1"/>
      <c r="I1773"/>
      <c r="J1773"/>
      <c r="K1773"/>
      <c r="L1773"/>
      <c r="M1773"/>
      <c r="N1773"/>
      <c r="O1773"/>
      <c r="P1773"/>
      <c r="Q1773"/>
      <c r="R1773" s="558" t="s">
        <v>1726</v>
      </c>
      <c r="S1773" s="83"/>
      <c r="T1773" s="56"/>
      <c r="U1773" s="955"/>
      <c r="V1773" s="43" t="str">
        <f>IF(G1757="","",G1757)</f>
        <v>M</v>
      </c>
      <c r="W1773" s="10"/>
      <c r="X1773" s="45" t="s">
        <v>769</v>
      </c>
      <c r="Y1773" s="10"/>
      <c r="Z1773" s="46" t="str">
        <f>IF(G1758="","",G1758)</f>
        <v>N</v>
      </c>
      <c r="AA1773" s="123"/>
      <c r="AB1773" s="1459">
        <f t="shared" si="1243"/>
        <v>0</v>
      </c>
      <c r="AC1773" s="1460" t="str">
        <f t="shared" si="1244"/>
        <v>-</v>
      </c>
      <c r="AD1773" s="1459">
        <f t="shared" si="1245"/>
        <v>0</v>
      </c>
      <c r="AE1773" s="964" t="str">
        <f t="shared" si="1246"/>
        <v/>
      </c>
      <c r="AF1773" s="964" t="str">
        <f t="shared" si="1247"/>
        <v/>
      </c>
      <c r="AG1773" s="964" t="str">
        <f t="shared" si="1248"/>
        <v/>
      </c>
      <c r="AH1773" s="964" t="str">
        <f t="shared" si="1249"/>
        <v/>
      </c>
      <c r="AI1773" s="964" t="str">
        <f t="shared" si="1250"/>
        <v/>
      </c>
      <c r="AJ1773" s="964"/>
      <c r="AK1773" s="964"/>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s="1396"/>
      <c r="CB1773" s="1396"/>
      <c r="CC1773"/>
      <c r="CD1773"/>
      <c r="CE1773"/>
    </row>
    <row r="1774" spans="1:83" ht="13.15" customHeight="1" outlineLevel="2" x14ac:dyDescent="0.2">
      <c r="A1774"/>
      <c r="B1774" s="1"/>
      <c r="C1774"/>
      <c r="D1774"/>
      <c r="E1774"/>
      <c r="F1774"/>
      <c r="G1774" s="1"/>
      <c r="H1774" s="1"/>
      <c r="I1774"/>
      <c r="J1774"/>
      <c r="K1774"/>
      <c r="L1774"/>
      <c r="M1774"/>
      <c r="N1774"/>
      <c r="O1774"/>
      <c r="P1774"/>
      <c r="Q1774"/>
      <c r="R1774" s="558" t="s">
        <v>1726</v>
      </c>
      <c r="S1774" s="83"/>
      <c r="T1774" s="56"/>
      <c r="U1774" s="955"/>
      <c r="V1774" s="43" t="str">
        <f>IF(G1759="","",G1759)</f>
        <v>O</v>
      </c>
      <c r="W1774" s="10"/>
      <c r="X1774" s="45" t="s">
        <v>769</v>
      </c>
      <c r="Y1774" s="10"/>
      <c r="Z1774" s="46" t="str">
        <f>IF(G1760="","",G1760)</f>
        <v>P</v>
      </c>
      <c r="AA1774" s="123"/>
      <c r="AB1774" s="1459">
        <f t="shared" si="1243"/>
        <v>0</v>
      </c>
      <c r="AC1774" s="1460" t="str">
        <f t="shared" si="1244"/>
        <v>-</v>
      </c>
      <c r="AD1774" s="1459">
        <f t="shared" si="1245"/>
        <v>0</v>
      </c>
      <c r="AE1774" s="964" t="str">
        <f t="shared" si="1246"/>
        <v/>
      </c>
      <c r="AF1774" s="964" t="str">
        <f t="shared" si="1247"/>
        <v/>
      </c>
      <c r="AG1774" s="964" t="str">
        <f t="shared" si="1248"/>
        <v/>
      </c>
      <c r="AH1774" s="964" t="str">
        <f t="shared" si="1249"/>
        <v/>
      </c>
      <c r="AI1774" s="964" t="str">
        <f t="shared" si="1250"/>
        <v/>
      </c>
      <c r="AJ1774" s="964"/>
      <c r="AK1774" s="96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s="1396"/>
      <c r="CB1774" s="1396"/>
      <c r="CC1774"/>
      <c r="CD1774"/>
      <c r="CE1774"/>
    </row>
    <row r="1775" spans="1:83" ht="13.15" customHeight="1" outlineLevel="2" x14ac:dyDescent="0.2">
      <c r="A1775"/>
      <c r="B1775" s="1"/>
      <c r="C1775"/>
      <c r="D1775"/>
      <c r="E1775"/>
      <c r="F1775"/>
      <c r="G1775" s="1"/>
      <c r="H1775" s="1"/>
      <c r="I1775"/>
      <c r="J1775"/>
      <c r="K1775"/>
      <c r="L1775"/>
      <c r="M1775"/>
      <c r="N1775"/>
      <c r="O1775"/>
      <c r="P1775"/>
      <c r="Q1775"/>
      <c r="R1775" s="558" t="s">
        <v>1726</v>
      </c>
      <c r="S1775" s="83"/>
      <c r="T1775" s="56"/>
      <c r="U1775" s="955"/>
      <c r="V1775" s="43" t="str">
        <f>IF(G1761="","",G1761)</f>
        <v>Q</v>
      </c>
      <c r="W1775" s="10"/>
      <c r="X1775" s="45" t="s">
        <v>769</v>
      </c>
      <c r="Y1775" s="10"/>
      <c r="Z1775" s="46" t="str">
        <f>IF(G1762="","",G1762)</f>
        <v>R</v>
      </c>
      <c r="AA1775" s="123"/>
      <c r="AB1775" s="1459">
        <f t="shared" si="1243"/>
        <v>0</v>
      </c>
      <c r="AC1775" s="1460" t="str">
        <f t="shared" si="1244"/>
        <v>-</v>
      </c>
      <c r="AD1775" s="1459">
        <f t="shared" si="1245"/>
        <v>0</v>
      </c>
      <c r="AE1775" s="964" t="str">
        <f t="shared" si="1246"/>
        <v/>
      </c>
      <c r="AF1775" s="964" t="str">
        <f t="shared" si="1247"/>
        <v/>
      </c>
      <c r="AG1775" s="964" t="str">
        <f t="shared" si="1248"/>
        <v/>
      </c>
      <c r="AH1775" s="964" t="str">
        <f t="shared" si="1249"/>
        <v/>
      </c>
      <c r="AI1775" s="964" t="str">
        <f t="shared" si="1250"/>
        <v/>
      </c>
      <c r="AJ1775" s="964"/>
      <c r="AK1775" s="964"/>
      <c r="AL1775"/>
      <c r="AM1775"/>
      <c r="AN1775"/>
      <c r="AO1775"/>
      <c r="AP1775"/>
      <c r="AQ1775"/>
      <c r="AR1775"/>
      <c r="AS1775"/>
      <c r="AT1775"/>
      <c r="AU1775"/>
      <c r="AV1775"/>
      <c r="AW1775"/>
      <c r="AX1775" s="9"/>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s="1396"/>
      <c r="CB1775" s="1396"/>
      <c r="CC1775"/>
      <c r="CD1775"/>
      <c r="CE1775"/>
    </row>
    <row r="1776" spans="1:83" ht="13.9" customHeight="1" outlineLevel="2" thickBot="1" x14ac:dyDescent="0.25">
      <c r="A1776"/>
      <c r="B1776" s="1"/>
      <c r="C1776"/>
      <c r="D1776"/>
      <c r="E1776"/>
      <c r="F1776"/>
      <c r="G1776" s="1"/>
      <c r="H1776" s="1"/>
      <c r="I1776"/>
      <c r="J1776"/>
      <c r="K1776"/>
      <c r="L1776"/>
      <c r="M1776"/>
      <c r="N1776"/>
      <c r="O1776"/>
      <c r="P1776"/>
      <c r="Q1776"/>
      <c r="R1776" s="558" t="s">
        <v>1726</v>
      </c>
      <c r="S1776" s="956"/>
      <c r="T1776" s="58"/>
      <c r="U1776" s="957"/>
      <c r="V1776" s="958" t="str">
        <f>IF(G1763="","",G1763)</f>
        <v>S</v>
      </c>
      <c r="W1776" s="175"/>
      <c r="X1776" s="52" t="s">
        <v>769</v>
      </c>
      <c r="Y1776" s="175"/>
      <c r="Z1776" s="959" t="str">
        <f>IF(G1764="","",G1764)</f>
        <v>T</v>
      </c>
      <c r="AA1776" s="123"/>
      <c r="AB1776" s="1459">
        <f t="shared" si="1243"/>
        <v>0</v>
      </c>
      <c r="AC1776" s="1460" t="str">
        <f t="shared" si="1244"/>
        <v>-</v>
      </c>
      <c r="AD1776" s="1459">
        <f t="shared" si="1245"/>
        <v>0</v>
      </c>
      <c r="AE1776" s="964" t="str">
        <f t="shared" si="1246"/>
        <v/>
      </c>
      <c r="AF1776" s="964" t="str">
        <f t="shared" si="1247"/>
        <v/>
      </c>
      <c r="AG1776" s="964" t="str">
        <f t="shared" si="1248"/>
        <v/>
      </c>
      <c r="AH1776" s="964" t="str">
        <f t="shared" si="1249"/>
        <v/>
      </c>
      <c r="AI1776" s="964" t="str">
        <f t="shared" si="1250"/>
        <v/>
      </c>
      <c r="AJ1776" s="964"/>
      <c r="AK1776" s="964"/>
      <c r="AL1776"/>
      <c r="AM1776"/>
      <c r="AN1776"/>
      <c r="AO1776"/>
      <c r="AP1776"/>
      <c r="AQ1776"/>
      <c r="AR1776"/>
      <c r="AS1776"/>
      <c r="AT1776"/>
      <c r="AU1776"/>
      <c r="AV1776"/>
      <c r="AW1776" s="9"/>
      <c r="AX1776" s="9"/>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s="1396"/>
      <c r="CB1776" s="1396"/>
      <c r="CC1776"/>
      <c r="CD1776"/>
      <c r="CE1776"/>
    </row>
    <row r="1777" spans="1:83" ht="13.5" outlineLevel="1" thickBot="1" x14ac:dyDescent="0.25">
      <c r="A1777"/>
      <c r="B1777" s="1"/>
      <c r="C1777" s="1"/>
      <c r="D1777" s="76"/>
      <c r="E1777" s="76"/>
      <c r="F1777" s="76"/>
      <c r="G1777" s="9"/>
      <c r="H1777" s="9"/>
      <c r="I1777" s="1"/>
      <c r="J1777"/>
      <c r="K1777"/>
      <c r="L1777"/>
      <c r="M1777"/>
      <c r="N1777"/>
      <c r="O1777"/>
      <c r="P1777" s="89"/>
      <c r="Q1777"/>
      <c r="R1777" s="1"/>
      <c r="S1777" s="993">
        <f>S1765+1</f>
        <v>2</v>
      </c>
      <c r="T1777" s="961"/>
      <c r="U1777" s="961"/>
      <c r="V1777" s="961"/>
      <c r="W1777" s="960"/>
      <c r="X1777" s="960"/>
      <c r="Y1777" s="960"/>
      <c r="Z1777" s="962"/>
      <c r="AA1777" s="123"/>
      <c r="AB1777" s="963"/>
      <c r="AC1777" s="963"/>
      <c r="AD1777" s="963"/>
      <c r="AE1777" s="964"/>
      <c r="AF1777" s="964"/>
      <c r="AG1777" s="964"/>
      <c r="AH1777" s="964"/>
      <c r="AI1777" s="964"/>
      <c r="AJ1777" s="964"/>
      <c r="AK1777" s="964"/>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s="1396"/>
      <c r="CB1777" s="1396"/>
      <c r="CC1777"/>
      <c r="CD1777"/>
      <c r="CE1777"/>
    </row>
    <row r="1778" spans="1:83" ht="13.9" customHeight="1" outlineLevel="2" thickBot="1" x14ac:dyDescent="0.25">
      <c r="A1778"/>
      <c r="B1778" s="1"/>
      <c r="C1778"/>
      <c r="D1778"/>
      <c r="E1778"/>
      <c r="F1778"/>
      <c r="G1778" s="1"/>
      <c r="H1778" s="1"/>
      <c r="I1778"/>
      <c r="J1778"/>
      <c r="K1778"/>
      <c r="L1778"/>
      <c r="M1778"/>
      <c r="N1778"/>
      <c r="O1778"/>
      <c r="P1778"/>
      <c r="Q1778"/>
      <c r="S1778" s="22" t="str">
        <f>N_Heure</f>
        <v>Heure</v>
      </c>
      <c r="T1778" s="22" t="str">
        <f>N_Table</f>
        <v>Table</v>
      </c>
      <c r="U1778" s="22" t="str">
        <f>N_Arbitre</f>
        <v>Arbitre</v>
      </c>
      <c r="V1778" s="293" t="str">
        <f>N_Matches</f>
        <v>Matches</v>
      </c>
      <c r="W1778" s="294"/>
      <c r="X1778" s="294"/>
      <c r="Y1778" s="294"/>
      <c r="Z1778" s="295"/>
      <c r="AA1778" s="8"/>
      <c r="AB1778" s="967"/>
      <c r="AC1778" s="967"/>
      <c r="AD1778" s="967"/>
      <c r="AE1778" s="964"/>
      <c r="AF1778" s="964"/>
      <c r="AG1778" s="964"/>
      <c r="AH1778" s="964"/>
      <c r="AI1778" s="964"/>
      <c r="AJ1778" s="964"/>
      <c r="AK1778" s="964"/>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s="1396"/>
      <c r="CB1778" s="1396"/>
      <c r="CC1778"/>
      <c r="CD1778"/>
      <c r="CE1778"/>
    </row>
    <row r="1779" spans="1:83" ht="13.15" customHeight="1" outlineLevel="2" x14ac:dyDescent="0.2">
      <c r="A1779"/>
      <c r="B1779" s="1"/>
      <c r="C1779"/>
      <c r="D1779"/>
      <c r="E1779"/>
      <c r="F1779"/>
      <c r="G1779" s="1"/>
      <c r="H1779" s="1"/>
      <c r="I1779"/>
      <c r="J1779"/>
      <c r="K1779"/>
      <c r="L1779"/>
      <c r="M1779"/>
      <c r="N1779"/>
      <c r="O1779"/>
      <c r="P1779"/>
      <c r="Q1779"/>
      <c r="R1779" s="558" t="s">
        <v>1727</v>
      </c>
      <c r="S1779" s="65"/>
      <c r="T1779" s="953"/>
      <c r="U1779" s="954"/>
      <c r="V1779" s="34" t="str">
        <f>V1768</f>
        <v>C</v>
      </c>
      <c r="W1779" s="148"/>
      <c r="X1779" s="35" t="s">
        <v>769</v>
      </c>
      <c r="Y1779" s="148"/>
      <c r="Z1779" s="36" t="str">
        <f>V1767</f>
        <v>A</v>
      </c>
      <c r="AA1779" s="123"/>
      <c r="AB1779" s="1459">
        <f t="shared" ref="AB1779:AB1788" si="1251">IF(MaxScore,MaxGoals(W1779,Y1779,MaxGoalsValue),IF(W1779="","",W1779))</f>
        <v>0</v>
      </c>
      <c r="AC1779" s="1460" t="str">
        <f t="shared" ref="AC1779:AC1788" si="1252">IF(MaxScore,"-",IF(W1779="","","-"))</f>
        <v>-</v>
      </c>
      <c r="AD1779" s="1459">
        <f t="shared" ref="AD1779:AD1788" si="1253">IF(MaxScore,MaxGoals(Y1779,W1779,MaxGoalsValue),IF(Y1779="","",Y1779))</f>
        <v>0</v>
      </c>
      <c r="AE1779" s="964" t="str">
        <f t="shared" ref="AE1779:AE1788" si="1254">IF(W1779="","",IF(W1779&gt;Y1779,V1779,IF(W1779=Y1779,"",Z1779)))</f>
        <v/>
      </c>
      <c r="AF1779" s="964" t="str">
        <f t="shared" ref="AF1779:AF1788" si="1255">IF(W1779="","",IF(W1779=Y1779,V1779,""))</f>
        <v/>
      </c>
      <c r="AG1779" s="964" t="str">
        <f t="shared" ref="AG1779:AG1788" si="1256">IF(W1779="","",IF(W1779=Y1779,Z1779,""))</f>
        <v/>
      </c>
      <c r="AH1779" s="964" t="str">
        <f t="shared" ref="AH1779:AH1788" si="1257">IF(W1779="","",IF(W1779&lt;Y1779,V1779,IF(W1779=Y1779,"",Z1779)))</f>
        <v/>
      </c>
      <c r="AI1779" s="964" t="str">
        <f t="shared" ref="AI1779:AI1788" si="1258">CONCATENATE(AE1779,AH1779)</f>
        <v/>
      </c>
      <c r="AJ1779" s="964"/>
      <c r="AK1779" s="964"/>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s="1396"/>
      <c r="CB1779" s="1396"/>
      <c r="CC1779"/>
      <c r="CD1779"/>
      <c r="CE1779"/>
    </row>
    <row r="1780" spans="1:83" ht="13.15" customHeight="1" outlineLevel="2" x14ac:dyDescent="0.2">
      <c r="A1780"/>
      <c r="B1780" s="1"/>
      <c r="C1780"/>
      <c r="D1780"/>
      <c r="E1780"/>
      <c r="F1780"/>
      <c r="G1780" s="1"/>
      <c r="H1780" s="1"/>
      <c r="I1780"/>
      <c r="J1780"/>
      <c r="K1780"/>
      <c r="L1780"/>
      <c r="M1780"/>
      <c r="N1780"/>
      <c r="O1780"/>
      <c r="P1780"/>
      <c r="Q1780"/>
      <c r="R1780" s="558" t="s">
        <v>1727</v>
      </c>
      <c r="S1780" s="83"/>
      <c r="T1780" s="56"/>
      <c r="U1780" s="955"/>
      <c r="V1780" s="43" t="str">
        <f t="shared" ref="V1780:V1788" si="1259">Z1767</f>
        <v>B</v>
      </c>
      <c r="W1780" s="10"/>
      <c r="X1780" s="45" t="s">
        <v>769</v>
      </c>
      <c r="Y1780" s="10"/>
      <c r="Z1780" s="46" t="str">
        <f t="shared" ref="Z1780:Z1787" si="1260">V1769</f>
        <v>E</v>
      </c>
      <c r="AA1780" s="123"/>
      <c r="AB1780" s="1459">
        <f t="shared" si="1251"/>
        <v>0</v>
      </c>
      <c r="AC1780" s="1460" t="str">
        <f t="shared" si="1252"/>
        <v>-</v>
      </c>
      <c r="AD1780" s="1459">
        <f t="shared" si="1253"/>
        <v>0</v>
      </c>
      <c r="AE1780" s="964" t="str">
        <f t="shared" si="1254"/>
        <v/>
      </c>
      <c r="AF1780" s="964" t="str">
        <f t="shared" si="1255"/>
        <v/>
      </c>
      <c r="AG1780" s="964" t="str">
        <f t="shared" si="1256"/>
        <v/>
      </c>
      <c r="AH1780" s="964" t="str">
        <f t="shared" si="1257"/>
        <v/>
      </c>
      <c r="AI1780" s="964" t="str">
        <f t="shared" si="1258"/>
        <v/>
      </c>
      <c r="AJ1780" s="964"/>
      <c r="AK1780" s="964"/>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s="1396"/>
      <c r="CB1780" s="1396"/>
      <c r="CC1780"/>
      <c r="CD1780"/>
      <c r="CE1780"/>
    </row>
    <row r="1781" spans="1:83" ht="13.15" customHeight="1" outlineLevel="2" x14ac:dyDescent="0.2">
      <c r="A1781"/>
      <c r="B1781" s="1"/>
      <c r="C1781"/>
      <c r="D1781"/>
      <c r="E1781"/>
      <c r="F1781"/>
      <c r="G1781" s="1"/>
      <c r="H1781" s="1"/>
      <c r="I1781"/>
      <c r="J1781"/>
      <c r="K1781"/>
      <c r="L1781"/>
      <c r="M1781"/>
      <c r="N1781"/>
      <c r="O1781"/>
      <c r="P1781"/>
      <c r="Q1781"/>
      <c r="R1781" s="558" t="s">
        <v>1727</v>
      </c>
      <c r="S1781" s="83"/>
      <c r="T1781" s="56"/>
      <c r="U1781" s="955"/>
      <c r="V1781" s="43" t="str">
        <f t="shared" si="1259"/>
        <v>D</v>
      </c>
      <c r="W1781" s="10"/>
      <c r="X1781" s="45" t="s">
        <v>769</v>
      </c>
      <c r="Y1781" s="10"/>
      <c r="Z1781" s="46" t="str">
        <f t="shared" si="1260"/>
        <v>G</v>
      </c>
      <c r="AA1781" s="123"/>
      <c r="AB1781" s="1459">
        <f t="shared" si="1251"/>
        <v>0</v>
      </c>
      <c r="AC1781" s="1460" t="str">
        <f t="shared" si="1252"/>
        <v>-</v>
      </c>
      <c r="AD1781" s="1459">
        <f t="shared" si="1253"/>
        <v>0</v>
      </c>
      <c r="AE1781" s="964" t="str">
        <f t="shared" si="1254"/>
        <v/>
      </c>
      <c r="AF1781" s="964" t="str">
        <f t="shared" si="1255"/>
        <v/>
      </c>
      <c r="AG1781" s="964" t="str">
        <f t="shared" si="1256"/>
        <v/>
      </c>
      <c r="AH1781" s="964" t="str">
        <f t="shared" si="1257"/>
        <v/>
      </c>
      <c r="AI1781" s="964" t="str">
        <f t="shared" si="1258"/>
        <v/>
      </c>
      <c r="AJ1781" s="964"/>
      <c r="AK1781" s="964"/>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s="1396"/>
      <c r="CB1781" s="1396"/>
      <c r="CC1781"/>
      <c r="CD1781"/>
      <c r="CE1781"/>
    </row>
    <row r="1782" spans="1:83" ht="13.15" customHeight="1" outlineLevel="2" x14ac:dyDescent="0.2">
      <c r="A1782"/>
      <c r="B1782" s="1"/>
      <c r="C1782"/>
      <c r="D1782"/>
      <c r="E1782"/>
      <c r="F1782"/>
      <c r="G1782" s="1"/>
      <c r="H1782" s="1"/>
      <c r="I1782"/>
      <c r="J1782"/>
      <c r="K1782"/>
      <c r="L1782"/>
      <c r="M1782"/>
      <c r="N1782"/>
      <c r="O1782"/>
      <c r="P1782"/>
      <c r="Q1782"/>
      <c r="R1782" s="558" t="s">
        <v>1727</v>
      </c>
      <c r="S1782" s="83"/>
      <c r="T1782" s="56"/>
      <c r="U1782" s="955"/>
      <c r="V1782" s="43" t="str">
        <f t="shared" si="1259"/>
        <v>F</v>
      </c>
      <c r="W1782" s="10"/>
      <c r="X1782" s="45" t="s">
        <v>769</v>
      </c>
      <c r="Y1782" s="10"/>
      <c r="Z1782" s="46" t="str">
        <f t="shared" si="1260"/>
        <v>I</v>
      </c>
      <c r="AA1782" s="123"/>
      <c r="AB1782" s="1459">
        <f t="shared" si="1251"/>
        <v>0</v>
      </c>
      <c r="AC1782" s="1460" t="str">
        <f t="shared" si="1252"/>
        <v>-</v>
      </c>
      <c r="AD1782" s="1459">
        <f t="shared" si="1253"/>
        <v>0</v>
      </c>
      <c r="AE1782" s="964" t="str">
        <f t="shared" si="1254"/>
        <v/>
      </c>
      <c r="AF1782" s="964" t="str">
        <f t="shared" si="1255"/>
        <v/>
      </c>
      <c r="AG1782" s="964" t="str">
        <f t="shared" si="1256"/>
        <v/>
      </c>
      <c r="AH1782" s="964" t="str">
        <f t="shared" si="1257"/>
        <v/>
      </c>
      <c r="AI1782" s="964" t="str">
        <f t="shared" si="1258"/>
        <v/>
      </c>
      <c r="AJ1782" s="964"/>
      <c r="AK1782" s="964"/>
      <c r="AL1782"/>
      <c r="AM1782"/>
      <c r="AN1782"/>
      <c r="AO1782"/>
      <c r="AP1782"/>
      <c r="AQ1782"/>
      <c r="AR1782"/>
      <c r="AS1782"/>
      <c r="AT1782"/>
      <c r="AU1782"/>
      <c r="AV1782"/>
      <c r="AW1782"/>
      <c r="AX1782" s="9"/>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s="1396"/>
      <c r="CB1782" s="1396"/>
      <c r="CC1782"/>
      <c r="CD1782"/>
      <c r="CE1782"/>
    </row>
    <row r="1783" spans="1:83" ht="13.15" customHeight="1" outlineLevel="2" x14ac:dyDescent="0.2">
      <c r="A1783"/>
      <c r="B1783" s="1"/>
      <c r="C1783"/>
      <c r="D1783"/>
      <c r="E1783"/>
      <c r="F1783"/>
      <c r="G1783" s="1"/>
      <c r="H1783" s="1"/>
      <c r="I1783"/>
      <c r="J1783"/>
      <c r="K1783"/>
      <c r="L1783"/>
      <c r="M1783"/>
      <c r="N1783"/>
      <c r="O1783"/>
      <c r="P1783"/>
      <c r="Q1783"/>
      <c r="R1783" s="558" t="s">
        <v>1727</v>
      </c>
      <c r="S1783" s="83"/>
      <c r="T1783" s="56"/>
      <c r="U1783" s="955"/>
      <c r="V1783" s="43" t="str">
        <f t="shared" si="1259"/>
        <v>H</v>
      </c>
      <c r="W1783" s="10"/>
      <c r="X1783" s="45" t="s">
        <v>769</v>
      </c>
      <c r="Y1783" s="10"/>
      <c r="Z1783" s="46" t="str">
        <f t="shared" si="1260"/>
        <v>K</v>
      </c>
      <c r="AA1783" s="123"/>
      <c r="AB1783" s="1459">
        <f t="shared" si="1251"/>
        <v>0</v>
      </c>
      <c r="AC1783" s="1460" t="str">
        <f t="shared" si="1252"/>
        <v>-</v>
      </c>
      <c r="AD1783" s="1459">
        <f t="shared" si="1253"/>
        <v>0</v>
      </c>
      <c r="AE1783" s="964" t="str">
        <f t="shared" si="1254"/>
        <v/>
      </c>
      <c r="AF1783" s="964" t="str">
        <f t="shared" si="1255"/>
        <v/>
      </c>
      <c r="AG1783" s="964" t="str">
        <f t="shared" si="1256"/>
        <v/>
      </c>
      <c r="AH1783" s="964" t="str">
        <f t="shared" si="1257"/>
        <v/>
      </c>
      <c r="AI1783" s="964" t="str">
        <f t="shared" si="1258"/>
        <v/>
      </c>
      <c r="AJ1783" s="964"/>
      <c r="AK1783" s="964"/>
      <c r="AL1783"/>
      <c r="AM1783"/>
      <c r="AN1783"/>
      <c r="AO1783"/>
      <c r="AP1783"/>
      <c r="AQ1783"/>
      <c r="AR1783"/>
      <c r="AS1783"/>
      <c r="AT1783"/>
      <c r="AU1783"/>
      <c r="AV1783"/>
      <c r="AW1783" s="9"/>
      <c r="AX1783" s="9"/>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s="1396"/>
      <c r="CB1783" s="1396"/>
      <c r="CC1783"/>
      <c r="CD1783"/>
      <c r="CE1783"/>
    </row>
    <row r="1784" spans="1:83" ht="13.15" customHeight="1" outlineLevel="2" x14ac:dyDescent="0.2">
      <c r="A1784"/>
      <c r="B1784" s="1"/>
      <c r="C1784"/>
      <c r="D1784"/>
      <c r="E1784"/>
      <c r="F1784"/>
      <c r="G1784" s="1"/>
      <c r="H1784" s="1"/>
      <c r="I1784"/>
      <c r="J1784"/>
      <c r="K1784"/>
      <c r="L1784"/>
      <c r="M1784"/>
      <c r="N1784"/>
      <c r="O1784"/>
      <c r="P1784"/>
      <c r="Q1784"/>
      <c r="R1784" s="558" t="s">
        <v>1727</v>
      </c>
      <c r="S1784" s="83"/>
      <c r="T1784" s="56"/>
      <c r="U1784" s="955"/>
      <c r="V1784" s="43" t="str">
        <f t="shared" si="1259"/>
        <v>J</v>
      </c>
      <c r="W1784" s="10"/>
      <c r="X1784" s="45" t="s">
        <v>769</v>
      </c>
      <c r="Y1784" s="10"/>
      <c r="Z1784" s="46" t="str">
        <f t="shared" si="1260"/>
        <v>M</v>
      </c>
      <c r="AA1784" s="123"/>
      <c r="AB1784" s="1459">
        <f t="shared" si="1251"/>
        <v>0</v>
      </c>
      <c r="AC1784" s="1460" t="str">
        <f t="shared" si="1252"/>
        <v>-</v>
      </c>
      <c r="AD1784" s="1459">
        <f t="shared" si="1253"/>
        <v>0</v>
      </c>
      <c r="AE1784" s="964" t="str">
        <f t="shared" si="1254"/>
        <v/>
      </c>
      <c r="AF1784" s="964" t="str">
        <f t="shared" si="1255"/>
        <v/>
      </c>
      <c r="AG1784" s="964" t="str">
        <f t="shared" si="1256"/>
        <v/>
      </c>
      <c r="AH1784" s="964" t="str">
        <f t="shared" si="1257"/>
        <v/>
      </c>
      <c r="AI1784" s="964" t="str">
        <f t="shared" si="1258"/>
        <v/>
      </c>
      <c r="AJ1784" s="964"/>
      <c r="AK1784" s="96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s="1396"/>
      <c r="CB1784" s="1396"/>
      <c r="CC1784"/>
      <c r="CD1784"/>
      <c r="CE1784"/>
    </row>
    <row r="1785" spans="1:83" ht="13.15" customHeight="1" outlineLevel="2" x14ac:dyDescent="0.2">
      <c r="A1785"/>
      <c r="B1785" s="1"/>
      <c r="C1785"/>
      <c r="D1785"/>
      <c r="E1785"/>
      <c r="F1785"/>
      <c r="G1785" s="1"/>
      <c r="H1785" s="1"/>
      <c r="I1785"/>
      <c r="J1785"/>
      <c r="K1785"/>
      <c r="L1785"/>
      <c r="M1785"/>
      <c r="N1785"/>
      <c r="O1785"/>
      <c r="P1785"/>
      <c r="Q1785"/>
      <c r="R1785" s="558" t="s">
        <v>1727</v>
      </c>
      <c r="S1785" s="83"/>
      <c r="T1785" s="56"/>
      <c r="U1785" s="955"/>
      <c r="V1785" s="43" t="str">
        <f t="shared" si="1259"/>
        <v>L</v>
      </c>
      <c r="W1785" s="10"/>
      <c r="X1785" s="45" t="s">
        <v>769</v>
      </c>
      <c r="Y1785" s="10"/>
      <c r="Z1785" s="46" t="str">
        <f t="shared" si="1260"/>
        <v>O</v>
      </c>
      <c r="AA1785" s="123"/>
      <c r="AB1785" s="1459">
        <f t="shared" si="1251"/>
        <v>0</v>
      </c>
      <c r="AC1785" s="1460" t="str">
        <f t="shared" si="1252"/>
        <v>-</v>
      </c>
      <c r="AD1785" s="1459">
        <f t="shared" si="1253"/>
        <v>0</v>
      </c>
      <c r="AE1785" s="964" t="str">
        <f t="shared" si="1254"/>
        <v/>
      </c>
      <c r="AF1785" s="964" t="str">
        <f t="shared" si="1255"/>
        <v/>
      </c>
      <c r="AG1785" s="964" t="str">
        <f t="shared" si="1256"/>
        <v/>
      </c>
      <c r="AH1785" s="964" t="str">
        <f t="shared" si="1257"/>
        <v/>
      </c>
      <c r="AI1785" s="964" t="str">
        <f t="shared" si="1258"/>
        <v/>
      </c>
      <c r="AJ1785" s="964"/>
      <c r="AK1785" s="964"/>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s="1396"/>
      <c r="CB1785" s="1396"/>
      <c r="CC1785"/>
      <c r="CD1785"/>
      <c r="CE1785"/>
    </row>
    <row r="1786" spans="1:83" ht="13.15" customHeight="1" outlineLevel="2" x14ac:dyDescent="0.2">
      <c r="A1786"/>
      <c r="B1786" s="1"/>
      <c r="C1786"/>
      <c r="D1786"/>
      <c r="E1786"/>
      <c r="F1786"/>
      <c r="G1786" s="1"/>
      <c r="H1786" s="1"/>
      <c r="I1786"/>
      <c r="J1786"/>
      <c r="K1786"/>
      <c r="L1786"/>
      <c r="M1786"/>
      <c r="N1786"/>
      <c r="O1786"/>
      <c r="P1786"/>
      <c r="Q1786"/>
      <c r="R1786" s="558" t="s">
        <v>1727</v>
      </c>
      <c r="S1786" s="83"/>
      <c r="T1786" s="56"/>
      <c r="U1786" s="955"/>
      <c r="V1786" s="43" t="str">
        <f t="shared" si="1259"/>
        <v>N</v>
      </c>
      <c r="W1786" s="10"/>
      <c r="X1786" s="45" t="s">
        <v>769</v>
      </c>
      <c r="Y1786" s="10"/>
      <c r="Z1786" s="46" t="str">
        <f t="shared" si="1260"/>
        <v>Q</v>
      </c>
      <c r="AA1786" s="123"/>
      <c r="AB1786" s="1459">
        <f t="shared" si="1251"/>
        <v>0</v>
      </c>
      <c r="AC1786" s="1460" t="str">
        <f t="shared" si="1252"/>
        <v>-</v>
      </c>
      <c r="AD1786" s="1459">
        <f t="shared" si="1253"/>
        <v>0</v>
      </c>
      <c r="AE1786" s="964" t="str">
        <f t="shared" si="1254"/>
        <v/>
      </c>
      <c r="AF1786" s="964" t="str">
        <f t="shared" si="1255"/>
        <v/>
      </c>
      <c r="AG1786" s="964" t="str">
        <f t="shared" si="1256"/>
        <v/>
      </c>
      <c r="AH1786" s="964" t="str">
        <f t="shared" si="1257"/>
        <v/>
      </c>
      <c r="AI1786" s="964" t="str">
        <f t="shared" si="1258"/>
        <v/>
      </c>
      <c r="AJ1786" s="964"/>
      <c r="AK1786" s="964"/>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s="1396"/>
      <c r="CB1786" s="1396"/>
      <c r="CC1786"/>
      <c r="CD1786"/>
      <c r="CE1786"/>
    </row>
    <row r="1787" spans="1:83" ht="13.15" customHeight="1" outlineLevel="2" x14ac:dyDescent="0.2">
      <c r="A1787"/>
      <c r="B1787" s="1"/>
      <c r="C1787"/>
      <c r="D1787"/>
      <c r="E1787"/>
      <c r="F1787"/>
      <c r="G1787" s="1"/>
      <c r="H1787" s="1"/>
      <c r="I1787"/>
      <c r="J1787"/>
      <c r="K1787"/>
      <c r="L1787"/>
      <c r="M1787"/>
      <c r="N1787"/>
      <c r="O1787"/>
      <c r="P1787"/>
      <c r="Q1787"/>
      <c r="R1787" s="558" t="s">
        <v>1727</v>
      </c>
      <c r="S1787" s="83"/>
      <c r="T1787" s="56"/>
      <c r="U1787" s="955"/>
      <c r="V1787" s="43" t="str">
        <f t="shared" si="1259"/>
        <v>P</v>
      </c>
      <c r="W1787" s="10"/>
      <c r="X1787" s="45" t="s">
        <v>769</v>
      </c>
      <c r="Y1787" s="10"/>
      <c r="Z1787" s="46" t="str">
        <f t="shared" si="1260"/>
        <v>S</v>
      </c>
      <c r="AA1787" s="123"/>
      <c r="AB1787" s="1459">
        <f t="shared" si="1251"/>
        <v>0</v>
      </c>
      <c r="AC1787" s="1460" t="str">
        <f t="shared" si="1252"/>
        <v>-</v>
      </c>
      <c r="AD1787" s="1459">
        <f t="shared" si="1253"/>
        <v>0</v>
      </c>
      <c r="AE1787" s="964" t="str">
        <f t="shared" si="1254"/>
        <v/>
      </c>
      <c r="AF1787" s="964" t="str">
        <f t="shared" si="1255"/>
        <v/>
      </c>
      <c r="AG1787" s="964" t="str">
        <f t="shared" si="1256"/>
        <v/>
      </c>
      <c r="AH1787" s="964" t="str">
        <f t="shared" si="1257"/>
        <v/>
      </c>
      <c r="AI1787" s="964" t="str">
        <f t="shared" si="1258"/>
        <v/>
      </c>
      <c r="AJ1787" s="964"/>
      <c r="AK1787" s="964"/>
      <c r="AL1787"/>
      <c r="AM1787"/>
      <c r="AN1787"/>
      <c r="AO1787"/>
      <c r="AP1787"/>
      <c r="AQ1787"/>
      <c r="AR1787"/>
      <c r="AS1787"/>
      <c r="AT1787"/>
      <c r="AU1787"/>
      <c r="AV1787"/>
      <c r="AW1787"/>
      <c r="AX1787" s="9"/>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s="1396"/>
      <c r="CB1787" s="1396"/>
      <c r="CC1787"/>
      <c r="CD1787"/>
      <c r="CE1787"/>
    </row>
    <row r="1788" spans="1:83" ht="13.9" customHeight="1" outlineLevel="2" thickBot="1" x14ac:dyDescent="0.25">
      <c r="A1788"/>
      <c r="B1788" s="1"/>
      <c r="C1788"/>
      <c r="D1788"/>
      <c r="E1788"/>
      <c r="F1788"/>
      <c r="G1788" s="1"/>
      <c r="H1788" s="1"/>
      <c r="I1788"/>
      <c r="J1788"/>
      <c r="K1788"/>
      <c r="L1788"/>
      <c r="M1788"/>
      <c r="N1788"/>
      <c r="O1788"/>
      <c r="P1788"/>
      <c r="Q1788"/>
      <c r="R1788" s="558" t="s">
        <v>1727</v>
      </c>
      <c r="S1788" s="956"/>
      <c r="T1788" s="58"/>
      <c r="U1788" s="957"/>
      <c r="V1788" s="958" t="str">
        <f t="shared" si="1259"/>
        <v>R</v>
      </c>
      <c r="W1788" s="175"/>
      <c r="X1788" s="52" t="s">
        <v>769</v>
      </c>
      <c r="Y1788" s="175"/>
      <c r="Z1788" s="959" t="str">
        <f>Z1776</f>
        <v>T</v>
      </c>
      <c r="AA1788" s="123"/>
      <c r="AB1788" s="1459">
        <f t="shared" si="1251"/>
        <v>0</v>
      </c>
      <c r="AC1788" s="1460" t="str">
        <f t="shared" si="1252"/>
        <v>-</v>
      </c>
      <c r="AD1788" s="1459">
        <f t="shared" si="1253"/>
        <v>0</v>
      </c>
      <c r="AE1788" s="964" t="str">
        <f t="shared" si="1254"/>
        <v/>
      </c>
      <c r="AF1788" s="964" t="str">
        <f t="shared" si="1255"/>
        <v/>
      </c>
      <c r="AG1788" s="964" t="str">
        <f t="shared" si="1256"/>
        <v/>
      </c>
      <c r="AH1788" s="964" t="str">
        <f t="shared" si="1257"/>
        <v/>
      </c>
      <c r="AI1788" s="964" t="str">
        <f t="shared" si="1258"/>
        <v/>
      </c>
      <c r="AJ1788" s="964"/>
      <c r="AK1788" s="964"/>
      <c r="AL1788"/>
      <c r="AM1788"/>
      <c r="AN1788"/>
      <c r="AO1788"/>
      <c r="AP1788"/>
      <c r="AQ1788"/>
      <c r="AR1788"/>
      <c r="AS1788"/>
      <c r="AT1788"/>
      <c r="AU1788"/>
      <c r="AV1788"/>
      <c r="AW1788" s="9"/>
      <c r="AX1788" s="9"/>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s="1396"/>
      <c r="CB1788" s="1396"/>
      <c r="CC1788"/>
      <c r="CD1788"/>
      <c r="CE1788"/>
    </row>
    <row r="1789" spans="1:83" ht="13.5" outlineLevel="1" thickBot="1" x14ac:dyDescent="0.25">
      <c r="A1789"/>
      <c r="B1789" s="1"/>
      <c r="C1789" s="1"/>
      <c r="D1789" s="76"/>
      <c r="E1789" s="76"/>
      <c r="F1789" s="76"/>
      <c r="G1789" s="9"/>
      <c r="H1789" s="9"/>
      <c r="I1789" s="1"/>
      <c r="J1789"/>
      <c r="K1789"/>
      <c r="L1789"/>
      <c r="M1789"/>
      <c r="N1789"/>
      <c r="O1789"/>
      <c r="P1789" s="89"/>
      <c r="Q1789"/>
      <c r="R1789" s="1"/>
      <c r="S1789" s="993">
        <f>S1777+1</f>
        <v>3</v>
      </c>
      <c r="T1789" s="961"/>
      <c r="U1789" s="961"/>
      <c r="V1789" s="961"/>
      <c r="W1789" s="960"/>
      <c r="X1789" s="960"/>
      <c r="Y1789" s="960"/>
      <c r="Z1789" s="962"/>
      <c r="AA1789" s="123"/>
      <c r="AB1789" s="963"/>
      <c r="AC1789" s="963"/>
      <c r="AD1789" s="963"/>
      <c r="AE1789" s="964"/>
      <c r="AF1789" s="964"/>
      <c r="AG1789" s="964"/>
      <c r="AH1789" s="964"/>
      <c r="AI1789" s="964"/>
      <c r="AJ1789" s="964"/>
      <c r="AK1789" s="964"/>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s="1396"/>
      <c r="CB1789" s="1396"/>
      <c r="CC1789"/>
      <c r="CD1789"/>
      <c r="CE1789"/>
    </row>
    <row r="1790" spans="1:83" ht="13.9" customHeight="1" outlineLevel="2" thickBot="1" x14ac:dyDescent="0.25">
      <c r="A1790"/>
      <c r="B1790" s="1"/>
      <c r="C1790"/>
      <c r="D1790"/>
      <c r="E1790"/>
      <c r="F1790"/>
      <c r="G1790" s="1"/>
      <c r="H1790" s="1"/>
      <c r="I1790"/>
      <c r="J1790"/>
      <c r="K1790"/>
      <c r="L1790"/>
      <c r="M1790"/>
      <c r="N1790"/>
      <c r="O1790"/>
      <c r="P1790"/>
      <c r="Q1790"/>
      <c r="S1790" s="22" t="str">
        <f>N_Heure</f>
        <v>Heure</v>
      </c>
      <c r="T1790" s="22" t="str">
        <f>N_Table</f>
        <v>Table</v>
      </c>
      <c r="U1790" s="22" t="str">
        <f>N_Arbitre</f>
        <v>Arbitre</v>
      </c>
      <c r="V1790" s="293" t="str">
        <f>N_Matches</f>
        <v>Matches</v>
      </c>
      <c r="W1790" s="294"/>
      <c r="X1790" s="294"/>
      <c r="Y1790" s="294"/>
      <c r="Z1790" s="295"/>
      <c r="AA1790" s="8"/>
      <c r="AB1790" s="967"/>
      <c r="AC1790" s="967"/>
      <c r="AD1790" s="967"/>
      <c r="AE1790" s="964"/>
      <c r="AF1790" s="964"/>
      <c r="AG1790" s="964"/>
      <c r="AH1790" s="964"/>
      <c r="AI1790" s="964"/>
      <c r="AJ1790" s="964"/>
      <c r="AK1790" s="964"/>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s="1396"/>
      <c r="CB1790" s="1396"/>
      <c r="CC1790"/>
      <c r="CD1790"/>
      <c r="CE1790"/>
    </row>
    <row r="1791" spans="1:83" ht="13.15" customHeight="1" outlineLevel="2" x14ac:dyDescent="0.2">
      <c r="A1791"/>
      <c r="B1791" s="1"/>
      <c r="C1791"/>
      <c r="D1791"/>
      <c r="E1791"/>
      <c r="F1791"/>
      <c r="G1791" s="1"/>
      <c r="H1791" s="1"/>
      <c r="I1791"/>
      <c r="J1791"/>
      <c r="K1791"/>
      <c r="L1791"/>
      <c r="M1791"/>
      <c r="N1791"/>
      <c r="O1791"/>
      <c r="P1791"/>
      <c r="Q1791"/>
      <c r="R1791" s="558" t="s">
        <v>1728</v>
      </c>
      <c r="S1791" s="65"/>
      <c r="T1791" s="953"/>
      <c r="U1791" s="954"/>
      <c r="V1791" s="34" t="str">
        <f>Z1779</f>
        <v>A</v>
      </c>
      <c r="W1791" s="148"/>
      <c r="X1791" s="35" t="s">
        <v>769</v>
      </c>
      <c r="Y1791" s="148"/>
      <c r="Z1791" s="36" t="str">
        <f>Z1780</f>
        <v>E</v>
      </c>
      <c r="AA1791" s="123"/>
      <c r="AB1791" s="1459">
        <f t="shared" ref="AB1791:AB1800" si="1261">IF(MaxScore,MaxGoals(W1791,Y1791,MaxGoalsValue),IF(W1791="","",W1791))</f>
        <v>0</v>
      </c>
      <c r="AC1791" s="1460" t="str">
        <f t="shared" ref="AC1791:AC1800" si="1262">IF(MaxScore,"-",IF(W1791="","","-"))</f>
        <v>-</v>
      </c>
      <c r="AD1791" s="1459">
        <f t="shared" ref="AD1791:AD1800" si="1263">IF(MaxScore,MaxGoals(Y1791,W1791,MaxGoalsValue),IF(Y1791="","",Y1791))</f>
        <v>0</v>
      </c>
      <c r="AE1791" s="964" t="str">
        <f t="shared" ref="AE1791:AE1800" si="1264">IF(W1791="","",IF(W1791&gt;Y1791,V1791,IF(W1791=Y1791,"",Z1791)))</f>
        <v/>
      </c>
      <c r="AF1791" s="964" t="str">
        <f t="shared" ref="AF1791:AF1800" si="1265">IF(W1791="","",IF(W1791=Y1791,V1791,""))</f>
        <v/>
      </c>
      <c r="AG1791" s="964" t="str">
        <f t="shared" ref="AG1791:AG1800" si="1266">IF(W1791="","",IF(W1791=Y1791,Z1791,""))</f>
        <v/>
      </c>
      <c r="AH1791" s="964" t="str">
        <f t="shared" ref="AH1791:AH1800" si="1267">IF(W1791="","",IF(W1791&lt;Y1791,V1791,IF(W1791=Y1791,"",Z1791)))</f>
        <v/>
      </c>
      <c r="AI1791" s="964" t="str">
        <f t="shared" ref="AI1791:AI1800" si="1268">CONCATENATE(AE1791,AH1791)</f>
        <v/>
      </c>
      <c r="AJ1791" s="964"/>
      <c r="AK1791" s="964"/>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s="1396"/>
      <c r="CB1791" s="1396"/>
      <c r="CC1791"/>
      <c r="CD1791"/>
      <c r="CE1791"/>
    </row>
    <row r="1792" spans="1:83" ht="13.15" customHeight="1" outlineLevel="2" x14ac:dyDescent="0.2">
      <c r="A1792"/>
      <c r="B1792" s="1"/>
      <c r="C1792"/>
      <c r="D1792"/>
      <c r="E1792"/>
      <c r="F1792"/>
      <c r="G1792" s="1"/>
      <c r="H1792" s="1"/>
      <c r="I1792"/>
      <c r="J1792"/>
      <c r="K1792"/>
      <c r="L1792"/>
      <c r="M1792"/>
      <c r="N1792"/>
      <c r="O1792"/>
      <c r="P1792"/>
      <c r="Q1792"/>
      <c r="R1792" s="558" t="s">
        <v>1728</v>
      </c>
      <c r="S1792" s="83"/>
      <c r="T1792" s="56"/>
      <c r="U1792" s="955"/>
      <c r="V1792" s="43" t="str">
        <f t="shared" ref="V1792:V1799" si="1269">Z1781</f>
        <v>G</v>
      </c>
      <c r="W1792" s="10"/>
      <c r="X1792" s="45" t="s">
        <v>769</v>
      </c>
      <c r="Y1792" s="10"/>
      <c r="Z1792" s="46" t="str">
        <f t="shared" ref="Z1792:Z1800" si="1270">V1779</f>
        <v>C</v>
      </c>
      <c r="AA1792" s="123"/>
      <c r="AB1792" s="1459">
        <f t="shared" si="1261"/>
        <v>0</v>
      </c>
      <c r="AC1792" s="1460" t="str">
        <f t="shared" si="1262"/>
        <v>-</v>
      </c>
      <c r="AD1792" s="1459">
        <f t="shared" si="1263"/>
        <v>0</v>
      </c>
      <c r="AE1792" s="964" t="str">
        <f t="shared" si="1264"/>
        <v/>
      </c>
      <c r="AF1792" s="964" t="str">
        <f t="shared" si="1265"/>
        <v/>
      </c>
      <c r="AG1792" s="964" t="str">
        <f t="shared" si="1266"/>
        <v/>
      </c>
      <c r="AH1792" s="964" t="str">
        <f t="shared" si="1267"/>
        <v/>
      </c>
      <c r="AI1792" s="964" t="str">
        <f t="shared" si="1268"/>
        <v/>
      </c>
      <c r="AJ1792" s="964"/>
      <c r="AK1792" s="964"/>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s="1396"/>
      <c r="CB1792" s="1396"/>
      <c r="CC1792"/>
      <c r="CD1792"/>
      <c r="CE1792"/>
    </row>
    <row r="1793" spans="1:83" ht="13.15" customHeight="1" outlineLevel="2" x14ac:dyDescent="0.2">
      <c r="A1793"/>
      <c r="B1793" s="1"/>
      <c r="C1793"/>
      <c r="D1793"/>
      <c r="E1793"/>
      <c r="F1793"/>
      <c r="G1793" s="1"/>
      <c r="H1793" s="1"/>
      <c r="I1793"/>
      <c r="J1793"/>
      <c r="K1793"/>
      <c r="L1793"/>
      <c r="M1793"/>
      <c r="N1793"/>
      <c r="O1793"/>
      <c r="P1793"/>
      <c r="Q1793"/>
      <c r="R1793" s="558" t="s">
        <v>1728</v>
      </c>
      <c r="S1793" s="83"/>
      <c r="T1793" s="56"/>
      <c r="U1793" s="955"/>
      <c r="V1793" s="43" t="str">
        <f t="shared" si="1269"/>
        <v>I</v>
      </c>
      <c r="W1793" s="10"/>
      <c r="X1793" s="45" t="s">
        <v>769</v>
      </c>
      <c r="Y1793" s="10"/>
      <c r="Z1793" s="46" t="str">
        <f t="shared" si="1270"/>
        <v>B</v>
      </c>
      <c r="AA1793" s="123"/>
      <c r="AB1793" s="1459">
        <f t="shared" si="1261"/>
        <v>0</v>
      </c>
      <c r="AC1793" s="1460" t="str">
        <f t="shared" si="1262"/>
        <v>-</v>
      </c>
      <c r="AD1793" s="1459">
        <f t="shared" si="1263"/>
        <v>0</v>
      </c>
      <c r="AE1793" s="964" t="str">
        <f t="shared" si="1264"/>
        <v/>
      </c>
      <c r="AF1793" s="964" t="str">
        <f t="shared" si="1265"/>
        <v/>
      </c>
      <c r="AG1793" s="964" t="str">
        <f t="shared" si="1266"/>
        <v/>
      </c>
      <c r="AH1793" s="964" t="str">
        <f t="shared" si="1267"/>
        <v/>
      </c>
      <c r="AI1793" s="964" t="str">
        <f t="shared" si="1268"/>
        <v/>
      </c>
      <c r="AJ1793" s="964"/>
      <c r="AK1793" s="964"/>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s="1396"/>
      <c r="CB1793" s="1396"/>
      <c r="CC1793"/>
      <c r="CD1793"/>
      <c r="CE1793"/>
    </row>
    <row r="1794" spans="1:83" ht="13.15" customHeight="1" outlineLevel="2" x14ac:dyDescent="0.2">
      <c r="A1794"/>
      <c r="B1794" s="1"/>
      <c r="C1794"/>
      <c r="D1794"/>
      <c r="E1794"/>
      <c r="F1794"/>
      <c r="G1794" s="1"/>
      <c r="H1794" s="1"/>
      <c r="I1794"/>
      <c r="J1794"/>
      <c r="K1794"/>
      <c r="L1794"/>
      <c r="M1794"/>
      <c r="N1794"/>
      <c r="O1794"/>
      <c r="P1794"/>
      <c r="Q1794"/>
      <c r="R1794" s="558" t="s">
        <v>1728</v>
      </c>
      <c r="S1794" s="83"/>
      <c r="T1794" s="56"/>
      <c r="U1794" s="955"/>
      <c r="V1794" s="43" t="str">
        <f t="shared" si="1269"/>
        <v>K</v>
      </c>
      <c r="W1794" s="10"/>
      <c r="X1794" s="45" t="s">
        <v>769</v>
      </c>
      <c r="Y1794" s="10"/>
      <c r="Z1794" s="46" t="str">
        <f t="shared" si="1270"/>
        <v>D</v>
      </c>
      <c r="AA1794" s="123"/>
      <c r="AB1794" s="1459">
        <f t="shared" si="1261"/>
        <v>0</v>
      </c>
      <c r="AC1794" s="1460" t="str">
        <f t="shared" si="1262"/>
        <v>-</v>
      </c>
      <c r="AD1794" s="1459">
        <f t="shared" si="1263"/>
        <v>0</v>
      </c>
      <c r="AE1794" s="964" t="str">
        <f t="shared" si="1264"/>
        <v/>
      </c>
      <c r="AF1794" s="964" t="str">
        <f t="shared" si="1265"/>
        <v/>
      </c>
      <c r="AG1794" s="964" t="str">
        <f t="shared" si="1266"/>
        <v/>
      </c>
      <c r="AH1794" s="964" t="str">
        <f t="shared" si="1267"/>
        <v/>
      </c>
      <c r="AI1794" s="964" t="str">
        <f t="shared" si="1268"/>
        <v/>
      </c>
      <c r="AJ1794" s="964"/>
      <c r="AK1794" s="964"/>
      <c r="AL1794"/>
      <c r="AM1794"/>
      <c r="AN1794"/>
      <c r="AO1794"/>
      <c r="AP1794"/>
      <c r="AQ1794"/>
      <c r="AR1794"/>
      <c r="AS1794"/>
      <c r="AT1794"/>
      <c r="AU1794"/>
      <c r="AV1794"/>
      <c r="AW1794"/>
      <c r="AX1794" s="9"/>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s="1396"/>
      <c r="CB1794" s="1396"/>
      <c r="CC1794"/>
      <c r="CD1794"/>
      <c r="CE1794"/>
    </row>
    <row r="1795" spans="1:83" ht="13.15" customHeight="1" outlineLevel="2" x14ac:dyDescent="0.2">
      <c r="A1795"/>
      <c r="B1795" s="1"/>
      <c r="C1795"/>
      <c r="D1795"/>
      <c r="E1795"/>
      <c r="F1795"/>
      <c r="G1795" s="1"/>
      <c r="H1795" s="1"/>
      <c r="I1795"/>
      <c r="J1795"/>
      <c r="K1795"/>
      <c r="L1795"/>
      <c r="M1795"/>
      <c r="N1795"/>
      <c r="O1795"/>
      <c r="P1795"/>
      <c r="Q1795"/>
      <c r="R1795" s="558" t="s">
        <v>1728</v>
      </c>
      <c r="S1795" s="83"/>
      <c r="T1795" s="56"/>
      <c r="U1795" s="955"/>
      <c r="V1795" s="43" t="str">
        <f t="shared" si="1269"/>
        <v>M</v>
      </c>
      <c r="W1795" s="10"/>
      <c r="X1795" s="45" t="s">
        <v>769</v>
      </c>
      <c r="Y1795" s="10"/>
      <c r="Z1795" s="46" t="str">
        <f t="shared" si="1270"/>
        <v>F</v>
      </c>
      <c r="AA1795" s="123"/>
      <c r="AB1795" s="1459">
        <f t="shared" si="1261"/>
        <v>0</v>
      </c>
      <c r="AC1795" s="1460" t="str">
        <f t="shared" si="1262"/>
        <v>-</v>
      </c>
      <c r="AD1795" s="1459">
        <f t="shared" si="1263"/>
        <v>0</v>
      </c>
      <c r="AE1795" s="964" t="str">
        <f t="shared" si="1264"/>
        <v/>
      </c>
      <c r="AF1795" s="964" t="str">
        <f t="shared" si="1265"/>
        <v/>
      </c>
      <c r="AG1795" s="964" t="str">
        <f t="shared" si="1266"/>
        <v/>
      </c>
      <c r="AH1795" s="964" t="str">
        <f t="shared" si="1267"/>
        <v/>
      </c>
      <c r="AI1795" s="964" t="str">
        <f t="shared" si="1268"/>
        <v/>
      </c>
      <c r="AJ1795" s="964"/>
      <c r="AK1795" s="964"/>
      <c r="AL1795"/>
      <c r="AM1795"/>
      <c r="AN1795"/>
      <c r="AO1795"/>
      <c r="AP1795"/>
      <c r="AQ1795"/>
      <c r="AR1795"/>
      <c r="AS1795"/>
      <c r="AT1795"/>
      <c r="AU1795"/>
      <c r="AV1795"/>
      <c r="AW1795" s="9"/>
      <c r="AX1795" s="9"/>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s="1396"/>
      <c r="CB1795" s="1396"/>
      <c r="CC1795"/>
      <c r="CD1795"/>
      <c r="CE1795"/>
    </row>
    <row r="1796" spans="1:83" ht="13.15" customHeight="1" outlineLevel="2" x14ac:dyDescent="0.2">
      <c r="A1796"/>
      <c r="B1796" s="1"/>
      <c r="C1796"/>
      <c r="D1796"/>
      <c r="E1796"/>
      <c r="F1796"/>
      <c r="G1796" s="1"/>
      <c r="H1796" s="1"/>
      <c r="I1796"/>
      <c r="J1796"/>
      <c r="K1796"/>
      <c r="L1796"/>
      <c r="M1796"/>
      <c r="N1796"/>
      <c r="O1796"/>
      <c r="P1796"/>
      <c r="Q1796"/>
      <c r="R1796" s="558" t="s">
        <v>1728</v>
      </c>
      <c r="S1796" s="83"/>
      <c r="T1796" s="56"/>
      <c r="U1796" s="955"/>
      <c r="V1796" s="43" t="str">
        <f t="shared" si="1269"/>
        <v>O</v>
      </c>
      <c r="W1796" s="10"/>
      <c r="X1796" s="45" t="s">
        <v>769</v>
      </c>
      <c r="Y1796" s="10"/>
      <c r="Z1796" s="46" t="str">
        <f t="shared" si="1270"/>
        <v>H</v>
      </c>
      <c r="AA1796" s="123"/>
      <c r="AB1796" s="1459">
        <f t="shared" si="1261"/>
        <v>0</v>
      </c>
      <c r="AC1796" s="1460" t="str">
        <f t="shared" si="1262"/>
        <v>-</v>
      </c>
      <c r="AD1796" s="1459">
        <f t="shared" si="1263"/>
        <v>0</v>
      </c>
      <c r="AE1796" s="964" t="str">
        <f t="shared" si="1264"/>
        <v/>
      </c>
      <c r="AF1796" s="964" t="str">
        <f t="shared" si="1265"/>
        <v/>
      </c>
      <c r="AG1796" s="964" t="str">
        <f t="shared" si="1266"/>
        <v/>
      </c>
      <c r="AH1796" s="964" t="str">
        <f t="shared" si="1267"/>
        <v/>
      </c>
      <c r="AI1796" s="964" t="str">
        <f t="shared" si="1268"/>
        <v/>
      </c>
      <c r="AJ1796" s="964"/>
      <c r="AK1796" s="964"/>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s="1396"/>
      <c r="CB1796" s="1396"/>
      <c r="CC1796"/>
      <c r="CD1796"/>
      <c r="CE1796"/>
    </row>
    <row r="1797" spans="1:83" ht="13.15" customHeight="1" outlineLevel="2" x14ac:dyDescent="0.2">
      <c r="A1797"/>
      <c r="B1797" s="1"/>
      <c r="C1797"/>
      <c r="D1797"/>
      <c r="E1797"/>
      <c r="F1797"/>
      <c r="G1797" s="1"/>
      <c r="H1797" s="1"/>
      <c r="I1797"/>
      <c r="J1797"/>
      <c r="K1797"/>
      <c r="L1797"/>
      <c r="M1797"/>
      <c r="N1797"/>
      <c r="O1797"/>
      <c r="P1797"/>
      <c r="Q1797"/>
      <c r="R1797" s="558" t="s">
        <v>1728</v>
      </c>
      <c r="S1797" s="83"/>
      <c r="T1797" s="56"/>
      <c r="U1797" s="955"/>
      <c r="V1797" s="43" t="str">
        <f t="shared" si="1269"/>
        <v>Q</v>
      </c>
      <c r="W1797" s="10"/>
      <c r="X1797" s="45" t="s">
        <v>769</v>
      </c>
      <c r="Y1797" s="10"/>
      <c r="Z1797" s="46" t="str">
        <f t="shared" si="1270"/>
        <v>J</v>
      </c>
      <c r="AA1797" s="123"/>
      <c r="AB1797" s="1459">
        <f t="shared" si="1261"/>
        <v>0</v>
      </c>
      <c r="AC1797" s="1460" t="str">
        <f t="shared" si="1262"/>
        <v>-</v>
      </c>
      <c r="AD1797" s="1459">
        <f t="shared" si="1263"/>
        <v>0</v>
      </c>
      <c r="AE1797" s="964" t="str">
        <f t="shared" si="1264"/>
        <v/>
      </c>
      <c r="AF1797" s="964" t="str">
        <f t="shared" si="1265"/>
        <v/>
      </c>
      <c r="AG1797" s="964" t="str">
        <f t="shared" si="1266"/>
        <v/>
      </c>
      <c r="AH1797" s="964" t="str">
        <f t="shared" si="1267"/>
        <v/>
      </c>
      <c r="AI1797" s="964" t="str">
        <f t="shared" si="1268"/>
        <v/>
      </c>
      <c r="AJ1797" s="964"/>
      <c r="AK1797" s="964"/>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s="1396"/>
      <c r="CB1797" s="1396"/>
      <c r="CC1797"/>
      <c r="CD1797"/>
      <c r="CE1797"/>
    </row>
    <row r="1798" spans="1:83" ht="13.15" customHeight="1" outlineLevel="2" x14ac:dyDescent="0.2">
      <c r="A1798"/>
      <c r="B1798" s="1"/>
      <c r="C1798"/>
      <c r="D1798"/>
      <c r="E1798"/>
      <c r="F1798"/>
      <c r="G1798" s="1"/>
      <c r="H1798" s="1"/>
      <c r="I1798"/>
      <c r="J1798"/>
      <c r="K1798"/>
      <c r="L1798"/>
      <c r="M1798"/>
      <c r="N1798"/>
      <c r="O1798"/>
      <c r="P1798"/>
      <c r="Q1798"/>
      <c r="R1798" s="558" t="s">
        <v>1728</v>
      </c>
      <c r="S1798" s="83"/>
      <c r="T1798" s="56"/>
      <c r="U1798" s="955"/>
      <c r="V1798" s="43" t="str">
        <f t="shared" si="1269"/>
        <v>S</v>
      </c>
      <c r="W1798" s="10"/>
      <c r="X1798" s="45" t="s">
        <v>769</v>
      </c>
      <c r="Y1798" s="10"/>
      <c r="Z1798" s="46" t="str">
        <f t="shared" si="1270"/>
        <v>L</v>
      </c>
      <c r="AA1798" s="123"/>
      <c r="AB1798" s="1459">
        <f t="shared" si="1261"/>
        <v>0</v>
      </c>
      <c r="AC1798" s="1460" t="str">
        <f t="shared" si="1262"/>
        <v>-</v>
      </c>
      <c r="AD1798" s="1459">
        <f t="shared" si="1263"/>
        <v>0</v>
      </c>
      <c r="AE1798" s="964" t="str">
        <f t="shared" si="1264"/>
        <v/>
      </c>
      <c r="AF1798" s="964" t="str">
        <f t="shared" si="1265"/>
        <v/>
      </c>
      <c r="AG1798" s="964" t="str">
        <f t="shared" si="1266"/>
        <v/>
      </c>
      <c r="AH1798" s="964" t="str">
        <f t="shared" si="1267"/>
        <v/>
      </c>
      <c r="AI1798" s="964" t="str">
        <f t="shared" si="1268"/>
        <v/>
      </c>
      <c r="AJ1798" s="964"/>
      <c r="AK1798" s="964"/>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s="1396"/>
      <c r="CB1798" s="1396"/>
      <c r="CC1798"/>
      <c r="CD1798"/>
      <c r="CE1798"/>
    </row>
    <row r="1799" spans="1:83" ht="13.15" customHeight="1" outlineLevel="2" x14ac:dyDescent="0.2">
      <c r="A1799"/>
      <c r="B1799" s="1"/>
      <c r="C1799"/>
      <c r="D1799"/>
      <c r="E1799"/>
      <c r="F1799"/>
      <c r="G1799" s="1"/>
      <c r="H1799" s="1"/>
      <c r="I1799"/>
      <c r="J1799"/>
      <c r="K1799"/>
      <c r="L1799"/>
      <c r="M1799"/>
      <c r="N1799"/>
      <c r="O1799"/>
      <c r="P1799"/>
      <c r="Q1799"/>
      <c r="R1799" s="558" t="s">
        <v>1728</v>
      </c>
      <c r="S1799" s="83"/>
      <c r="T1799" s="56"/>
      <c r="U1799" s="955"/>
      <c r="V1799" s="43" t="str">
        <f t="shared" si="1269"/>
        <v>T</v>
      </c>
      <c r="W1799" s="10"/>
      <c r="X1799" s="45" t="s">
        <v>769</v>
      </c>
      <c r="Y1799" s="10"/>
      <c r="Z1799" s="46" t="str">
        <f t="shared" si="1270"/>
        <v>N</v>
      </c>
      <c r="AA1799" s="123"/>
      <c r="AB1799" s="1459">
        <f t="shared" si="1261"/>
        <v>0</v>
      </c>
      <c r="AC1799" s="1460" t="str">
        <f t="shared" si="1262"/>
        <v>-</v>
      </c>
      <c r="AD1799" s="1459">
        <f t="shared" si="1263"/>
        <v>0</v>
      </c>
      <c r="AE1799" s="964" t="str">
        <f t="shared" si="1264"/>
        <v/>
      </c>
      <c r="AF1799" s="964" t="str">
        <f t="shared" si="1265"/>
        <v/>
      </c>
      <c r="AG1799" s="964" t="str">
        <f t="shared" si="1266"/>
        <v/>
      </c>
      <c r="AH1799" s="964" t="str">
        <f t="shared" si="1267"/>
        <v/>
      </c>
      <c r="AI1799" s="964" t="str">
        <f t="shared" si="1268"/>
        <v/>
      </c>
      <c r="AJ1799" s="964"/>
      <c r="AK1799" s="964"/>
      <c r="AL1799"/>
      <c r="AM1799"/>
      <c r="AN1799"/>
      <c r="AO1799"/>
      <c r="AP1799"/>
      <c r="AQ1799"/>
      <c r="AR1799"/>
      <c r="AS1799"/>
      <c r="AT1799"/>
      <c r="AU1799"/>
      <c r="AV1799"/>
      <c r="AW1799"/>
      <c r="AX1799" s="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s="1396"/>
      <c r="CB1799" s="1396"/>
      <c r="CC1799"/>
      <c r="CD1799"/>
      <c r="CE1799"/>
    </row>
    <row r="1800" spans="1:83" ht="13.9" customHeight="1" outlineLevel="2" thickBot="1" x14ac:dyDescent="0.25">
      <c r="A1800"/>
      <c r="B1800" s="1"/>
      <c r="C1800"/>
      <c r="D1800"/>
      <c r="E1800"/>
      <c r="F1800"/>
      <c r="G1800" s="1"/>
      <c r="H1800" s="1"/>
      <c r="I1800"/>
      <c r="J1800"/>
      <c r="K1800"/>
      <c r="L1800"/>
      <c r="M1800"/>
      <c r="N1800"/>
      <c r="O1800"/>
      <c r="P1800"/>
      <c r="Q1800"/>
      <c r="R1800" s="558" t="s">
        <v>1728</v>
      </c>
      <c r="S1800" s="956"/>
      <c r="T1800" s="58"/>
      <c r="U1800" s="957"/>
      <c r="V1800" s="958" t="str">
        <f>V1788</f>
        <v>R</v>
      </c>
      <c r="W1800" s="175"/>
      <c r="X1800" s="52" t="s">
        <v>769</v>
      </c>
      <c r="Y1800" s="175"/>
      <c r="Z1800" s="46" t="str">
        <f t="shared" si="1270"/>
        <v>P</v>
      </c>
      <c r="AA1800" s="123"/>
      <c r="AB1800" s="1459">
        <f t="shared" si="1261"/>
        <v>0</v>
      </c>
      <c r="AC1800" s="1460" t="str">
        <f t="shared" si="1262"/>
        <v>-</v>
      </c>
      <c r="AD1800" s="1459">
        <f t="shared" si="1263"/>
        <v>0</v>
      </c>
      <c r="AE1800" s="964" t="str">
        <f t="shared" si="1264"/>
        <v/>
      </c>
      <c r="AF1800" s="964" t="str">
        <f t="shared" si="1265"/>
        <v/>
      </c>
      <c r="AG1800" s="964" t="str">
        <f t="shared" si="1266"/>
        <v/>
      </c>
      <c r="AH1800" s="964" t="str">
        <f t="shared" si="1267"/>
        <v/>
      </c>
      <c r="AI1800" s="964" t="str">
        <f t="shared" si="1268"/>
        <v/>
      </c>
      <c r="AJ1800" s="964"/>
      <c r="AK1800" s="964"/>
      <c r="AL1800"/>
      <c r="AM1800"/>
      <c r="AN1800"/>
      <c r="AO1800"/>
      <c r="AP1800"/>
      <c r="AQ1800"/>
      <c r="AR1800"/>
      <c r="AS1800"/>
      <c r="AT1800"/>
      <c r="AU1800"/>
      <c r="AV1800"/>
      <c r="AW1800" s="9"/>
      <c r="AX1800" s="9"/>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s="1396"/>
      <c r="CB1800" s="1396"/>
      <c r="CC1800"/>
      <c r="CD1800"/>
      <c r="CE1800"/>
    </row>
    <row r="1801" spans="1:83" ht="13.5" outlineLevel="1" thickBot="1" x14ac:dyDescent="0.25">
      <c r="A1801"/>
      <c r="B1801" s="1"/>
      <c r="C1801" s="1"/>
      <c r="D1801" s="76"/>
      <c r="E1801" s="76"/>
      <c r="F1801" s="76"/>
      <c r="G1801" s="9"/>
      <c r="H1801" s="9"/>
      <c r="I1801" s="1"/>
      <c r="J1801"/>
      <c r="K1801"/>
      <c r="L1801"/>
      <c r="M1801"/>
      <c r="N1801"/>
      <c r="O1801"/>
      <c r="P1801" s="89"/>
      <c r="Q1801"/>
      <c r="R1801" s="1"/>
      <c r="S1801" s="993">
        <f>S1789+1</f>
        <v>4</v>
      </c>
      <c r="T1801" s="961"/>
      <c r="U1801" s="961"/>
      <c r="V1801" s="961"/>
      <c r="W1801" s="960"/>
      <c r="X1801" s="960"/>
      <c r="Y1801" s="960"/>
      <c r="Z1801" s="962"/>
      <c r="AA1801" s="123"/>
      <c r="AB1801" s="963"/>
      <c r="AC1801" s="963"/>
      <c r="AD1801" s="963"/>
      <c r="AE1801" s="964"/>
      <c r="AF1801" s="964"/>
      <c r="AG1801" s="964"/>
      <c r="AH1801" s="964"/>
      <c r="AI1801" s="964"/>
      <c r="AJ1801" s="964"/>
      <c r="AK1801" s="964"/>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s="1396"/>
      <c r="CB1801" s="1396"/>
      <c r="CC1801"/>
      <c r="CD1801"/>
      <c r="CE1801"/>
    </row>
    <row r="1802" spans="1:83" ht="13.9" customHeight="1" outlineLevel="2" thickBot="1" x14ac:dyDescent="0.25">
      <c r="A1802"/>
      <c r="B1802" s="1"/>
      <c r="C1802"/>
      <c r="D1802"/>
      <c r="E1802"/>
      <c r="F1802"/>
      <c r="G1802" s="1"/>
      <c r="H1802" s="1"/>
      <c r="I1802"/>
      <c r="J1802"/>
      <c r="K1802"/>
      <c r="L1802"/>
      <c r="M1802"/>
      <c r="N1802"/>
      <c r="O1802"/>
      <c r="P1802"/>
      <c r="Q1802"/>
      <c r="S1802" s="22" t="str">
        <f>N_Heure</f>
        <v>Heure</v>
      </c>
      <c r="T1802" s="22" t="str">
        <f>N_Table</f>
        <v>Table</v>
      </c>
      <c r="U1802" s="22" t="str">
        <f>N_Arbitre</f>
        <v>Arbitre</v>
      </c>
      <c r="V1802" s="293" t="str">
        <f>N_Matches</f>
        <v>Matches</v>
      </c>
      <c r="W1802" s="294"/>
      <c r="X1802" s="294"/>
      <c r="Y1802" s="294"/>
      <c r="Z1802" s="295"/>
      <c r="AA1802" s="8"/>
      <c r="AB1802" s="967"/>
      <c r="AC1802" s="967"/>
      <c r="AD1802" s="967"/>
      <c r="AE1802" s="964"/>
      <c r="AF1802" s="964"/>
      <c r="AG1802" s="964"/>
      <c r="AH1802" s="964"/>
      <c r="AI1802" s="964"/>
      <c r="AJ1802" s="964"/>
      <c r="AK1802" s="964"/>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s="1396"/>
      <c r="CB1802" s="1396"/>
      <c r="CC1802"/>
      <c r="CD1802"/>
      <c r="CE1802"/>
    </row>
    <row r="1803" spans="1:83" ht="13.15" customHeight="1" outlineLevel="2" x14ac:dyDescent="0.2">
      <c r="A1803"/>
      <c r="B1803" s="1"/>
      <c r="C1803"/>
      <c r="D1803"/>
      <c r="E1803"/>
      <c r="F1803"/>
      <c r="G1803" s="1"/>
      <c r="H1803" s="1"/>
      <c r="I1803"/>
      <c r="J1803"/>
      <c r="K1803"/>
      <c r="L1803"/>
      <c r="M1803"/>
      <c r="N1803"/>
      <c r="O1803"/>
      <c r="P1803"/>
      <c r="Q1803"/>
      <c r="R1803" s="558" t="s">
        <v>1729</v>
      </c>
      <c r="S1803" s="65"/>
      <c r="T1803" s="953"/>
      <c r="U1803" s="954"/>
      <c r="V1803" s="34" t="str">
        <f>V1792</f>
        <v>G</v>
      </c>
      <c r="W1803" s="148"/>
      <c r="X1803" s="35" t="s">
        <v>769</v>
      </c>
      <c r="Y1803" s="148"/>
      <c r="Z1803" s="36" t="str">
        <f>V1791</f>
        <v>A</v>
      </c>
      <c r="AA1803" s="123"/>
      <c r="AB1803" s="1459">
        <f t="shared" ref="AB1803:AB1812" si="1271">IF(MaxScore,MaxGoals(W1803,Y1803,MaxGoalsValue),IF(W1803="","",W1803))</f>
        <v>0</v>
      </c>
      <c r="AC1803" s="1460" t="str">
        <f t="shared" ref="AC1803:AC1812" si="1272">IF(MaxScore,"-",IF(W1803="","","-"))</f>
        <v>-</v>
      </c>
      <c r="AD1803" s="1459">
        <f t="shared" ref="AD1803:AD1812" si="1273">IF(MaxScore,MaxGoals(Y1803,W1803,MaxGoalsValue),IF(Y1803="","",Y1803))</f>
        <v>0</v>
      </c>
      <c r="AE1803" s="964" t="str">
        <f t="shared" ref="AE1803:AE1812" si="1274">IF(W1803="","",IF(W1803&gt;Y1803,V1803,IF(W1803=Y1803,"",Z1803)))</f>
        <v/>
      </c>
      <c r="AF1803" s="964" t="str">
        <f t="shared" ref="AF1803:AF1812" si="1275">IF(W1803="","",IF(W1803=Y1803,V1803,""))</f>
        <v/>
      </c>
      <c r="AG1803" s="964" t="str">
        <f t="shared" ref="AG1803:AG1812" si="1276">IF(W1803="","",IF(W1803=Y1803,Z1803,""))</f>
        <v/>
      </c>
      <c r="AH1803" s="964" t="str">
        <f t="shared" ref="AH1803:AH1812" si="1277">IF(W1803="","",IF(W1803&lt;Y1803,V1803,IF(W1803=Y1803,"",Z1803)))</f>
        <v/>
      </c>
      <c r="AI1803" s="964" t="str">
        <f t="shared" ref="AI1803:AI1812" si="1278">CONCATENATE(AE1803,AH1803)</f>
        <v/>
      </c>
      <c r="AJ1803" s="964"/>
      <c r="AK1803" s="964"/>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s="1396"/>
      <c r="CB1803" s="1396"/>
      <c r="CC1803"/>
      <c r="CD1803"/>
      <c r="CE1803"/>
    </row>
    <row r="1804" spans="1:83" ht="13.15" customHeight="1" outlineLevel="2" x14ac:dyDescent="0.2">
      <c r="A1804"/>
      <c r="B1804" s="1"/>
      <c r="C1804"/>
      <c r="D1804"/>
      <c r="E1804"/>
      <c r="F1804"/>
      <c r="G1804" s="1"/>
      <c r="H1804" s="1"/>
      <c r="I1804"/>
      <c r="J1804"/>
      <c r="K1804"/>
      <c r="L1804"/>
      <c r="M1804"/>
      <c r="N1804"/>
      <c r="O1804"/>
      <c r="P1804"/>
      <c r="Q1804"/>
      <c r="R1804" s="558" t="s">
        <v>1729</v>
      </c>
      <c r="S1804" s="83"/>
      <c r="T1804" s="56"/>
      <c r="U1804" s="955"/>
      <c r="V1804" s="43" t="str">
        <f t="shared" ref="V1804:V1812" si="1279">Z1791</f>
        <v>E</v>
      </c>
      <c r="W1804" s="10"/>
      <c r="X1804" s="45" t="s">
        <v>769</v>
      </c>
      <c r="Y1804" s="10"/>
      <c r="Z1804" s="46" t="str">
        <f t="shared" ref="Z1804:Z1811" si="1280">V1793</f>
        <v>I</v>
      </c>
      <c r="AA1804" s="123"/>
      <c r="AB1804" s="1459">
        <f t="shared" si="1271"/>
        <v>0</v>
      </c>
      <c r="AC1804" s="1460" t="str">
        <f t="shared" si="1272"/>
        <v>-</v>
      </c>
      <c r="AD1804" s="1459">
        <f t="shared" si="1273"/>
        <v>0</v>
      </c>
      <c r="AE1804" s="964" t="str">
        <f t="shared" si="1274"/>
        <v/>
      </c>
      <c r="AF1804" s="964" t="str">
        <f t="shared" si="1275"/>
        <v/>
      </c>
      <c r="AG1804" s="964" t="str">
        <f t="shared" si="1276"/>
        <v/>
      </c>
      <c r="AH1804" s="964" t="str">
        <f t="shared" si="1277"/>
        <v/>
      </c>
      <c r="AI1804" s="964" t="str">
        <f t="shared" si="1278"/>
        <v/>
      </c>
      <c r="AJ1804" s="964"/>
      <c r="AK1804" s="96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s="1396"/>
      <c r="CB1804" s="1396"/>
      <c r="CC1804"/>
      <c r="CD1804"/>
      <c r="CE1804"/>
    </row>
    <row r="1805" spans="1:83" ht="13.15" customHeight="1" outlineLevel="2" x14ac:dyDescent="0.2">
      <c r="A1805"/>
      <c r="B1805" s="1"/>
      <c r="C1805"/>
      <c r="D1805"/>
      <c r="E1805"/>
      <c r="F1805"/>
      <c r="G1805" s="1"/>
      <c r="H1805" s="1"/>
      <c r="I1805"/>
      <c r="J1805"/>
      <c r="K1805"/>
      <c r="L1805"/>
      <c r="M1805"/>
      <c r="N1805"/>
      <c r="O1805"/>
      <c r="P1805"/>
      <c r="Q1805"/>
      <c r="R1805" s="558" t="s">
        <v>1729</v>
      </c>
      <c r="S1805" s="83"/>
      <c r="T1805" s="56"/>
      <c r="U1805" s="955"/>
      <c r="V1805" s="43" t="str">
        <f t="shared" si="1279"/>
        <v>C</v>
      </c>
      <c r="W1805" s="10"/>
      <c r="X1805" s="45" t="s">
        <v>769</v>
      </c>
      <c r="Y1805" s="10"/>
      <c r="Z1805" s="46" t="str">
        <f t="shared" si="1280"/>
        <v>K</v>
      </c>
      <c r="AA1805" s="123"/>
      <c r="AB1805" s="1459">
        <f t="shared" si="1271"/>
        <v>0</v>
      </c>
      <c r="AC1805" s="1460" t="str">
        <f t="shared" si="1272"/>
        <v>-</v>
      </c>
      <c r="AD1805" s="1459">
        <f t="shared" si="1273"/>
        <v>0</v>
      </c>
      <c r="AE1805" s="964" t="str">
        <f t="shared" si="1274"/>
        <v/>
      </c>
      <c r="AF1805" s="964" t="str">
        <f t="shared" si="1275"/>
        <v/>
      </c>
      <c r="AG1805" s="964" t="str">
        <f t="shared" si="1276"/>
        <v/>
      </c>
      <c r="AH1805" s="964" t="str">
        <f t="shared" si="1277"/>
        <v/>
      </c>
      <c r="AI1805" s="964" t="str">
        <f t="shared" si="1278"/>
        <v/>
      </c>
      <c r="AJ1805" s="964"/>
      <c r="AK1805" s="964"/>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s="1396"/>
      <c r="CB1805" s="1396"/>
      <c r="CC1805"/>
      <c r="CD1805"/>
      <c r="CE1805"/>
    </row>
    <row r="1806" spans="1:83" ht="13.15" customHeight="1" outlineLevel="2" x14ac:dyDescent="0.2">
      <c r="A1806"/>
      <c r="B1806" s="1"/>
      <c r="C1806"/>
      <c r="D1806"/>
      <c r="E1806"/>
      <c r="F1806"/>
      <c r="G1806" s="1"/>
      <c r="H1806" s="1"/>
      <c r="I1806"/>
      <c r="J1806"/>
      <c r="K1806"/>
      <c r="L1806"/>
      <c r="M1806"/>
      <c r="N1806"/>
      <c r="O1806"/>
      <c r="P1806"/>
      <c r="Q1806"/>
      <c r="R1806" s="558" t="s">
        <v>1729</v>
      </c>
      <c r="S1806" s="83"/>
      <c r="T1806" s="56"/>
      <c r="U1806" s="955"/>
      <c r="V1806" s="43" t="str">
        <f t="shared" si="1279"/>
        <v>B</v>
      </c>
      <c r="W1806" s="10"/>
      <c r="X1806" s="45" t="s">
        <v>769</v>
      </c>
      <c r="Y1806" s="10"/>
      <c r="Z1806" s="46" t="str">
        <f t="shared" si="1280"/>
        <v>M</v>
      </c>
      <c r="AA1806" s="123"/>
      <c r="AB1806" s="1459">
        <f t="shared" si="1271"/>
        <v>0</v>
      </c>
      <c r="AC1806" s="1460" t="str">
        <f t="shared" si="1272"/>
        <v>-</v>
      </c>
      <c r="AD1806" s="1459">
        <f t="shared" si="1273"/>
        <v>0</v>
      </c>
      <c r="AE1806" s="964" t="str">
        <f t="shared" si="1274"/>
        <v/>
      </c>
      <c r="AF1806" s="964" t="str">
        <f t="shared" si="1275"/>
        <v/>
      </c>
      <c r="AG1806" s="964" t="str">
        <f t="shared" si="1276"/>
        <v/>
      </c>
      <c r="AH1806" s="964" t="str">
        <f t="shared" si="1277"/>
        <v/>
      </c>
      <c r="AI1806" s="964" t="str">
        <f t="shared" si="1278"/>
        <v/>
      </c>
      <c r="AJ1806" s="964"/>
      <c r="AK1806" s="964"/>
      <c r="AL1806"/>
      <c r="AM1806"/>
      <c r="AN1806"/>
      <c r="AO1806"/>
      <c r="AP1806"/>
      <c r="AQ1806"/>
      <c r="AR1806"/>
      <c r="AS1806"/>
      <c r="AT1806"/>
      <c r="AU1806"/>
      <c r="AV1806"/>
      <c r="AW1806"/>
      <c r="AX1806" s="9"/>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s="1396"/>
      <c r="CB1806" s="1396"/>
      <c r="CC1806"/>
      <c r="CD1806"/>
      <c r="CE1806"/>
    </row>
    <row r="1807" spans="1:83" ht="13.15" customHeight="1" outlineLevel="2" x14ac:dyDescent="0.2">
      <c r="A1807"/>
      <c r="B1807" s="1"/>
      <c r="C1807"/>
      <c r="D1807"/>
      <c r="E1807"/>
      <c r="F1807"/>
      <c r="G1807" s="1"/>
      <c r="H1807" s="1"/>
      <c r="I1807"/>
      <c r="J1807"/>
      <c r="K1807"/>
      <c r="L1807"/>
      <c r="M1807"/>
      <c r="N1807"/>
      <c r="O1807"/>
      <c r="P1807"/>
      <c r="Q1807"/>
      <c r="R1807" s="558" t="s">
        <v>1729</v>
      </c>
      <c r="S1807" s="83"/>
      <c r="T1807" s="56"/>
      <c r="U1807" s="955"/>
      <c r="V1807" s="43" t="str">
        <f t="shared" si="1279"/>
        <v>D</v>
      </c>
      <c r="W1807" s="10"/>
      <c r="X1807" s="45" t="s">
        <v>769</v>
      </c>
      <c r="Y1807" s="10"/>
      <c r="Z1807" s="46" t="str">
        <f t="shared" si="1280"/>
        <v>O</v>
      </c>
      <c r="AA1807" s="123"/>
      <c r="AB1807" s="1459">
        <f t="shared" si="1271"/>
        <v>0</v>
      </c>
      <c r="AC1807" s="1460" t="str">
        <f t="shared" si="1272"/>
        <v>-</v>
      </c>
      <c r="AD1807" s="1459">
        <f t="shared" si="1273"/>
        <v>0</v>
      </c>
      <c r="AE1807" s="964" t="str">
        <f t="shared" si="1274"/>
        <v/>
      </c>
      <c r="AF1807" s="964" t="str">
        <f t="shared" si="1275"/>
        <v/>
      </c>
      <c r="AG1807" s="964" t="str">
        <f t="shared" si="1276"/>
        <v/>
      </c>
      <c r="AH1807" s="964" t="str">
        <f t="shared" si="1277"/>
        <v/>
      </c>
      <c r="AI1807" s="964" t="str">
        <f t="shared" si="1278"/>
        <v/>
      </c>
      <c r="AJ1807" s="964"/>
      <c r="AK1807" s="964"/>
      <c r="AL1807"/>
      <c r="AM1807"/>
      <c r="AN1807"/>
      <c r="AO1807"/>
      <c r="AP1807"/>
      <c r="AQ1807"/>
      <c r="AR1807"/>
      <c r="AS1807"/>
      <c r="AT1807"/>
      <c r="AU1807"/>
      <c r="AV1807"/>
      <c r="AW1807" s="9"/>
      <c r="AX1807" s="9"/>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s="1396"/>
      <c r="CB1807" s="1396"/>
      <c r="CC1807"/>
      <c r="CD1807"/>
      <c r="CE1807"/>
    </row>
    <row r="1808" spans="1:83" ht="13.15" customHeight="1" outlineLevel="2" x14ac:dyDescent="0.2">
      <c r="A1808"/>
      <c r="B1808" s="1"/>
      <c r="C1808"/>
      <c r="D1808"/>
      <c r="E1808"/>
      <c r="F1808"/>
      <c r="G1808" s="1"/>
      <c r="H1808" s="1"/>
      <c r="I1808"/>
      <c r="J1808"/>
      <c r="K1808"/>
      <c r="L1808"/>
      <c r="M1808"/>
      <c r="N1808"/>
      <c r="O1808"/>
      <c r="P1808"/>
      <c r="Q1808"/>
      <c r="R1808" s="558" t="s">
        <v>1729</v>
      </c>
      <c r="S1808" s="83"/>
      <c r="T1808" s="56"/>
      <c r="U1808" s="955"/>
      <c r="V1808" s="43" t="str">
        <f t="shared" si="1279"/>
        <v>F</v>
      </c>
      <c r="W1808" s="10"/>
      <c r="X1808" s="45" t="s">
        <v>769</v>
      </c>
      <c r="Y1808" s="10"/>
      <c r="Z1808" s="46" t="str">
        <f t="shared" si="1280"/>
        <v>Q</v>
      </c>
      <c r="AA1808" s="123"/>
      <c r="AB1808" s="1459">
        <f t="shared" si="1271"/>
        <v>0</v>
      </c>
      <c r="AC1808" s="1460" t="str">
        <f t="shared" si="1272"/>
        <v>-</v>
      </c>
      <c r="AD1808" s="1459">
        <f t="shared" si="1273"/>
        <v>0</v>
      </c>
      <c r="AE1808" s="964" t="str">
        <f t="shared" si="1274"/>
        <v/>
      </c>
      <c r="AF1808" s="964" t="str">
        <f t="shared" si="1275"/>
        <v/>
      </c>
      <c r="AG1808" s="964" t="str">
        <f t="shared" si="1276"/>
        <v/>
      </c>
      <c r="AH1808" s="964" t="str">
        <f t="shared" si="1277"/>
        <v/>
      </c>
      <c r="AI1808" s="964" t="str">
        <f t="shared" si="1278"/>
        <v/>
      </c>
      <c r="AJ1808" s="964"/>
      <c r="AK1808" s="964"/>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s="1396"/>
      <c r="CB1808" s="1396"/>
      <c r="CC1808"/>
      <c r="CD1808"/>
      <c r="CE1808"/>
    </row>
    <row r="1809" spans="1:83" ht="13.15" customHeight="1" outlineLevel="2" x14ac:dyDescent="0.2">
      <c r="A1809"/>
      <c r="B1809" s="1"/>
      <c r="C1809"/>
      <c r="D1809"/>
      <c r="E1809"/>
      <c r="F1809"/>
      <c r="G1809" s="1"/>
      <c r="H1809" s="1"/>
      <c r="I1809"/>
      <c r="J1809"/>
      <c r="K1809"/>
      <c r="L1809"/>
      <c r="M1809"/>
      <c r="N1809"/>
      <c r="O1809"/>
      <c r="P1809"/>
      <c r="Q1809"/>
      <c r="R1809" s="558" t="s">
        <v>1729</v>
      </c>
      <c r="S1809" s="83"/>
      <c r="T1809" s="56"/>
      <c r="U1809" s="955"/>
      <c r="V1809" s="43" t="str">
        <f t="shared" si="1279"/>
        <v>H</v>
      </c>
      <c r="W1809" s="10"/>
      <c r="X1809" s="45" t="s">
        <v>769</v>
      </c>
      <c r="Y1809" s="10"/>
      <c r="Z1809" s="46" t="str">
        <f t="shared" si="1280"/>
        <v>S</v>
      </c>
      <c r="AA1809" s="123"/>
      <c r="AB1809" s="1459">
        <f t="shared" si="1271"/>
        <v>0</v>
      </c>
      <c r="AC1809" s="1460" t="str">
        <f t="shared" si="1272"/>
        <v>-</v>
      </c>
      <c r="AD1809" s="1459">
        <f t="shared" si="1273"/>
        <v>0</v>
      </c>
      <c r="AE1809" s="964" t="str">
        <f t="shared" si="1274"/>
        <v/>
      </c>
      <c r="AF1809" s="964" t="str">
        <f t="shared" si="1275"/>
        <v/>
      </c>
      <c r="AG1809" s="964" t="str">
        <f t="shared" si="1276"/>
        <v/>
      </c>
      <c r="AH1809" s="964" t="str">
        <f t="shared" si="1277"/>
        <v/>
      </c>
      <c r="AI1809" s="964" t="str">
        <f t="shared" si="1278"/>
        <v/>
      </c>
      <c r="AJ1809" s="964"/>
      <c r="AK1809" s="964"/>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s="1396"/>
      <c r="CB1809" s="1396"/>
      <c r="CC1809"/>
      <c r="CD1809"/>
      <c r="CE1809"/>
    </row>
    <row r="1810" spans="1:83" ht="13.15" customHeight="1" outlineLevel="2" x14ac:dyDescent="0.2">
      <c r="A1810"/>
      <c r="B1810" s="1"/>
      <c r="C1810"/>
      <c r="D1810"/>
      <c r="E1810"/>
      <c r="F1810"/>
      <c r="G1810" s="1"/>
      <c r="H1810" s="1"/>
      <c r="I1810"/>
      <c r="J1810"/>
      <c r="K1810"/>
      <c r="L1810"/>
      <c r="M1810"/>
      <c r="N1810"/>
      <c r="O1810"/>
      <c r="P1810"/>
      <c r="Q1810"/>
      <c r="R1810" s="558" t="s">
        <v>1729</v>
      </c>
      <c r="S1810" s="83"/>
      <c r="T1810" s="56"/>
      <c r="U1810" s="955"/>
      <c r="V1810" s="43" t="str">
        <f t="shared" si="1279"/>
        <v>J</v>
      </c>
      <c r="W1810" s="10"/>
      <c r="X1810" s="45" t="s">
        <v>769</v>
      </c>
      <c r="Y1810" s="10"/>
      <c r="Z1810" s="46" t="str">
        <f t="shared" si="1280"/>
        <v>T</v>
      </c>
      <c r="AA1810" s="123"/>
      <c r="AB1810" s="1459">
        <f t="shared" si="1271"/>
        <v>0</v>
      </c>
      <c r="AC1810" s="1460" t="str">
        <f t="shared" si="1272"/>
        <v>-</v>
      </c>
      <c r="AD1810" s="1459">
        <f t="shared" si="1273"/>
        <v>0</v>
      </c>
      <c r="AE1810" s="964" t="str">
        <f t="shared" si="1274"/>
        <v/>
      </c>
      <c r="AF1810" s="964" t="str">
        <f t="shared" si="1275"/>
        <v/>
      </c>
      <c r="AG1810" s="964" t="str">
        <f t="shared" si="1276"/>
        <v/>
      </c>
      <c r="AH1810" s="964" t="str">
        <f t="shared" si="1277"/>
        <v/>
      </c>
      <c r="AI1810" s="964" t="str">
        <f t="shared" si="1278"/>
        <v/>
      </c>
      <c r="AJ1810" s="964"/>
      <c r="AK1810" s="964"/>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s="1396"/>
      <c r="CB1810" s="1396"/>
      <c r="CC1810"/>
      <c r="CD1810"/>
      <c r="CE1810"/>
    </row>
    <row r="1811" spans="1:83" ht="13.15" customHeight="1" outlineLevel="2" x14ac:dyDescent="0.2">
      <c r="A1811"/>
      <c r="B1811" s="1"/>
      <c r="C1811"/>
      <c r="D1811"/>
      <c r="E1811"/>
      <c r="F1811"/>
      <c r="G1811" s="1"/>
      <c r="H1811" s="1"/>
      <c r="I1811"/>
      <c r="J1811"/>
      <c r="K1811"/>
      <c r="L1811"/>
      <c r="M1811"/>
      <c r="N1811"/>
      <c r="O1811"/>
      <c r="P1811"/>
      <c r="Q1811"/>
      <c r="R1811" s="558" t="s">
        <v>1729</v>
      </c>
      <c r="S1811" s="83"/>
      <c r="T1811" s="56"/>
      <c r="U1811" s="955"/>
      <c r="V1811" s="43" t="str">
        <f t="shared" si="1279"/>
        <v>L</v>
      </c>
      <c r="W1811" s="10"/>
      <c r="X1811" s="45" t="s">
        <v>769</v>
      </c>
      <c r="Y1811" s="10"/>
      <c r="Z1811" s="46" t="str">
        <f t="shared" si="1280"/>
        <v>R</v>
      </c>
      <c r="AA1811" s="123"/>
      <c r="AB1811" s="1459">
        <f t="shared" si="1271"/>
        <v>0</v>
      </c>
      <c r="AC1811" s="1460" t="str">
        <f t="shared" si="1272"/>
        <v>-</v>
      </c>
      <c r="AD1811" s="1459">
        <f t="shared" si="1273"/>
        <v>0</v>
      </c>
      <c r="AE1811" s="964" t="str">
        <f t="shared" si="1274"/>
        <v/>
      </c>
      <c r="AF1811" s="964" t="str">
        <f t="shared" si="1275"/>
        <v/>
      </c>
      <c r="AG1811" s="964" t="str">
        <f t="shared" si="1276"/>
        <v/>
      </c>
      <c r="AH1811" s="964" t="str">
        <f t="shared" si="1277"/>
        <v/>
      </c>
      <c r="AI1811" s="964" t="str">
        <f t="shared" si="1278"/>
        <v/>
      </c>
      <c r="AJ1811" s="964"/>
      <c r="AK1811" s="964"/>
      <c r="AL1811"/>
      <c r="AM1811"/>
      <c r="AN1811"/>
      <c r="AO1811"/>
      <c r="AP1811"/>
      <c r="AQ1811"/>
      <c r="AR1811"/>
      <c r="AS1811"/>
      <c r="AT1811"/>
      <c r="AU1811"/>
      <c r="AV1811"/>
      <c r="AW1811"/>
      <c r="AX1811" s="9"/>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s="1396"/>
      <c r="CB1811" s="1396"/>
      <c r="CC1811"/>
      <c r="CD1811"/>
      <c r="CE1811"/>
    </row>
    <row r="1812" spans="1:83" ht="13.9" customHeight="1" outlineLevel="2" thickBot="1" x14ac:dyDescent="0.25">
      <c r="A1812"/>
      <c r="B1812" s="1"/>
      <c r="C1812"/>
      <c r="D1812"/>
      <c r="E1812"/>
      <c r="F1812"/>
      <c r="G1812" s="1"/>
      <c r="H1812" s="1"/>
      <c r="I1812"/>
      <c r="J1812"/>
      <c r="K1812"/>
      <c r="L1812"/>
      <c r="M1812"/>
      <c r="N1812"/>
      <c r="O1812"/>
      <c r="P1812"/>
      <c r="Q1812"/>
      <c r="R1812" s="558" t="s">
        <v>1729</v>
      </c>
      <c r="S1812" s="956"/>
      <c r="T1812" s="58"/>
      <c r="U1812" s="957"/>
      <c r="V1812" s="958" t="str">
        <f t="shared" si="1279"/>
        <v>N</v>
      </c>
      <c r="W1812" s="175"/>
      <c r="X1812" s="52" t="s">
        <v>769</v>
      </c>
      <c r="Y1812" s="175"/>
      <c r="Z1812" s="959" t="str">
        <f>Z1800</f>
        <v>P</v>
      </c>
      <c r="AA1812" s="123"/>
      <c r="AB1812" s="1459">
        <f t="shared" si="1271"/>
        <v>0</v>
      </c>
      <c r="AC1812" s="1460" t="str">
        <f t="shared" si="1272"/>
        <v>-</v>
      </c>
      <c r="AD1812" s="1459">
        <f t="shared" si="1273"/>
        <v>0</v>
      </c>
      <c r="AE1812" s="964" t="str">
        <f t="shared" si="1274"/>
        <v/>
      </c>
      <c r="AF1812" s="964" t="str">
        <f t="shared" si="1275"/>
        <v/>
      </c>
      <c r="AG1812" s="964" t="str">
        <f t="shared" si="1276"/>
        <v/>
      </c>
      <c r="AH1812" s="964" t="str">
        <f t="shared" si="1277"/>
        <v/>
      </c>
      <c r="AI1812" s="964" t="str">
        <f t="shared" si="1278"/>
        <v/>
      </c>
      <c r="AJ1812" s="964"/>
      <c r="AK1812" s="964"/>
      <c r="AL1812"/>
      <c r="AM1812"/>
      <c r="AN1812"/>
      <c r="AO1812"/>
      <c r="AP1812"/>
      <c r="AQ1812"/>
      <c r="AR1812"/>
      <c r="AS1812"/>
      <c r="AT1812"/>
      <c r="AU1812"/>
      <c r="AV1812"/>
      <c r="AW1812" s="9"/>
      <c r="AX1812" s="9"/>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s="1396"/>
      <c r="CB1812" s="1396"/>
      <c r="CC1812"/>
      <c r="CD1812"/>
      <c r="CE1812"/>
    </row>
    <row r="1813" spans="1:83" ht="13.5" outlineLevel="1" thickBot="1" x14ac:dyDescent="0.25">
      <c r="A1813"/>
      <c r="B1813" s="1"/>
      <c r="C1813" s="1"/>
      <c r="D1813" s="76"/>
      <c r="E1813" s="76"/>
      <c r="F1813" s="76"/>
      <c r="G1813" s="9"/>
      <c r="H1813" s="9"/>
      <c r="I1813" s="1"/>
      <c r="J1813"/>
      <c r="K1813"/>
      <c r="L1813"/>
      <c r="M1813"/>
      <c r="N1813"/>
      <c r="O1813"/>
      <c r="P1813" s="89"/>
      <c r="Q1813"/>
      <c r="R1813" s="1"/>
      <c r="S1813" s="993">
        <f>S1801+1</f>
        <v>5</v>
      </c>
      <c r="T1813" s="961"/>
      <c r="U1813" s="961"/>
      <c r="V1813" s="961"/>
      <c r="W1813" s="960"/>
      <c r="X1813" s="960"/>
      <c r="Y1813" s="960"/>
      <c r="Z1813" s="962"/>
      <c r="AA1813" s="123"/>
      <c r="AB1813" s="963"/>
      <c r="AC1813" s="963"/>
      <c r="AD1813" s="963"/>
      <c r="AE1813" s="964"/>
      <c r="AF1813" s="964"/>
      <c r="AG1813" s="964"/>
      <c r="AH1813" s="964"/>
      <c r="AI1813" s="964"/>
      <c r="AJ1813" s="964"/>
      <c r="AK1813" s="964"/>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s="1396"/>
      <c r="CB1813" s="1396"/>
      <c r="CC1813"/>
      <c r="CD1813"/>
      <c r="CE1813"/>
    </row>
    <row r="1814" spans="1:83" ht="13.9" customHeight="1" outlineLevel="2" thickBot="1" x14ac:dyDescent="0.25">
      <c r="A1814"/>
      <c r="B1814" s="1"/>
      <c r="C1814"/>
      <c r="D1814"/>
      <c r="E1814"/>
      <c r="F1814"/>
      <c r="G1814" s="1"/>
      <c r="H1814" s="1"/>
      <c r="I1814"/>
      <c r="J1814"/>
      <c r="K1814"/>
      <c r="L1814"/>
      <c r="M1814"/>
      <c r="N1814"/>
      <c r="O1814"/>
      <c r="P1814"/>
      <c r="Q1814"/>
      <c r="S1814" s="22" t="str">
        <f>N_Heure</f>
        <v>Heure</v>
      </c>
      <c r="T1814" s="22" t="str">
        <f>N_Table</f>
        <v>Table</v>
      </c>
      <c r="U1814" s="22" t="str">
        <f>N_Arbitre</f>
        <v>Arbitre</v>
      </c>
      <c r="V1814" s="293" t="str">
        <f>N_Matches</f>
        <v>Matches</v>
      </c>
      <c r="W1814" s="294"/>
      <c r="X1814" s="294"/>
      <c r="Y1814" s="294"/>
      <c r="Z1814" s="295"/>
      <c r="AA1814" s="8"/>
      <c r="AB1814" s="967"/>
      <c r="AC1814" s="967"/>
      <c r="AD1814" s="967"/>
      <c r="AE1814" s="964"/>
      <c r="AF1814" s="964"/>
      <c r="AG1814" s="964"/>
      <c r="AH1814" s="964"/>
      <c r="AI1814" s="964"/>
      <c r="AJ1814" s="964"/>
      <c r="AK1814" s="96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s="1396"/>
      <c r="CB1814" s="1396"/>
      <c r="CC1814"/>
      <c r="CD1814"/>
      <c r="CE1814"/>
    </row>
    <row r="1815" spans="1:83" ht="13.15" customHeight="1" outlineLevel="2" x14ac:dyDescent="0.2">
      <c r="A1815"/>
      <c r="B1815" s="1"/>
      <c r="C1815"/>
      <c r="D1815"/>
      <c r="E1815"/>
      <c r="F1815"/>
      <c r="G1815" s="1"/>
      <c r="H1815" s="1"/>
      <c r="I1815"/>
      <c r="J1815"/>
      <c r="K1815"/>
      <c r="L1815"/>
      <c r="M1815"/>
      <c r="N1815"/>
      <c r="O1815"/>
      <c r="P1815"/>
      <c r="Q1815"/>
      <c r="R1815" s="558" t="s">
        <v>1730</v>
      </c>
      <c r="S1815" s="65"/>
      <c r="T1815" s="953"/>
      <c r="U1815" s="954"/>
      <c r="V1815" s="34" t="str">
        <f>Z1803</f>
        <v>A</v>
      </c>
      <c r="W1815" s="148"/>
      <c r="X1815" s="35" t="s">
        <v>769</v>
      </c>
      <c r="Y1815" s="148"/>
      <c r="Z1815" s="36" t="str">
        <f>Z1804</f>
        <v>I</v>
      </c>
      <c r="AA1815" s="123"/>
      <c r="AB1815" s="1459">
        <f t="shared" ref="AB1815:AB1824" si="1281">IF(MaxScore,MaxGoals(W1815,Y1815,MaxGoalsValue),IF(W1815="","",W1815))</f>
        <v>0</v>
      </c>
      <c r="AC1815" s="1460" t="str">
        <f t="shared" ref="AC1815:AC1824" si="1282">IF(MaxScore,"-",IF(W1815="","","-"))</f>
        <v>-</v>
      </c>
      <c r="AD1815" s="1459">
        <f t="shared" ref="AD1815:AD1824" si="1283">IF(MaxScore,MaxGoals(Y1815,W1815,MaxGoalsValue),IF(Y1815="","",Y1815))</f>
        <v>0</v>
      </c>
      <c r="AE1815" s="964" t="str">
        <f t="shared" ref="AE1815:AE1824" si="1284">IF(W1815="","",IF(W1815&gt;Y1815,V1815,IF(W1815=Y1815,"",Z1815)))</f>
        <v/>
      </c>
      <c r="AF1815" s="964" t="str">
        <f t="shared" ref="AF1815:AF1824" si="1285">IF(W1815="","",IF(W1815=Y1815,V1815,""))</f>
        <v/>
      </c>
      <c r="AG1815" s="964" t="str">
        <f t="shared" ref="AG1815:AG1824" si="1286">IF(W1815="","",IF(W1815=Y1815,Z1815,""))</f>
        <v/>
      </c>
      <c r="AH1815" s="964" t="str">
        <f t="shared" ref="AH1815:AH1824" si="1287">IF(W1815="","",IF(W1815&lt;Y1815,V1815,IF(W1815=Y1815,"",Z1815)))</f>
        <v/>
      </c>
      <c r="AI1815" s="964" t="str">
        <f t="shared" ref="AI1815:AI1824" si="1288">CONCATENATE(AE1815,AH1815)</f>
        <v/>
      </c>
      <c r="AJ1815" s="964"/>
      <c r="AK1815" s="964"/>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s="1396"/>
      <c r="CB1815" s="1396"/>
      <c r="CC1815"/>
      <c r="CD1815"/>
      <c r="CE1815"/>
    </row>
    <row r="1816" spans="1:83" ht="13.15" customHeight="1" outlineLevel="2" x14ac:dyDescent="0.2">
      <c r="A1816"/>
      <c r="B1816" s="1"/>
      <c r="C1816"/>
      <c r="D1816"/>
      <c r="E1816"/>
      <c r="F1816"/>
      <c r="G1816" s="1"/>
      <c r="H1816" s="1"/>
      <c r="I1816"/>
      <c r="J1816"/>
      <c r="K1816"/>
      <c r="L1816"/>
      <c r="M1816"/>
      <c r="N1816"/>
      <c r="O1816"/>
      <c r="P1816"/>
      <c r="Q1816"/>
      <c r="R1816" s="558" t="s">
        <v>1730</v>
      </c>
      <c r="S1816" s="83"/>
      <c r="T1816" s="56"/>
      <c r="U1816" s="955"/>
      <c r="V1816" s="43" t="str">
        <f t="shared" ref="V1816:V1823" si="1289">Z1805</f>
        <v>K</v>
      </c>
      <c r="W1816" s="10"/>
      <c r="X1816" s="45" t="s">
        <v>769</v>
      </c>
      <c r="Y1816" s="10"/>
      <c r="Z1816" s="46" t="str">
        <f t="shared" ref="Z1816:Z1824" si="1290">V1803</f>
        <v>G</v>
      </c>
      <c r="AA1816" s="123"/>
      <c r="AB1816" s="1459">
        <f t="shared" si="1281"/>
        <v>0</v>
      </c>
      <c r="AC1816" s="1460" t="str">
        <f t="shared" si="1282"/>
        <v>-</v>
      </c>
      <c r="AD1816" s="1459">
        <f t="shared" si="1283"/>
        <v>0</v>
      </c>
      <c r="AE1816" s="964" t="str">
        <f t="shared" si="1284"/>
        <v/>
      </c>
      <c r="AF1816" s="964" t="str">
        <f t="shared" si="1285"/>
        <v/>
      </c>
      <c r="AG1816" s="964" t="str">
        <f t="shared" si="1286"/>
        <v/>
      </c>
      <c r="AH1816" s="964" t="str">
        <f t="shared" si="1287"/>
        <v/>
      </c>
      <c r="AI1816" s="964" t="str">
        <f t="shared" si="1288"/>
        <v/>
      </c>
      <c r="AJ1816" s="964"/>
      <c r="AK1816" s="964"/>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s="1396"/>
      <c r="CB1816" s="1396"/>
      <c r="CC1816"/>
      <c r="CD1816"/>
      <c r="CE1816"/>
    </row>
    <row r="1817" spans="1:83" ht="13.15" customHeight="1" outlineLevel="2" x14ac:dyDescent="0.2">
      <c r="A1817"/>
      <c r="B1817" s="1"/>
      <c r="C1817"/>
      <c r="D1817"/>
      <c r="E1817"/>
      <c r="F1817"/>
      <c r="G1817" s="1"/>
      <c r="H1817" s="1"/>
      <c r="I1817"/>
      <c r="J1817"/>
      <c r="K1817"/>
      <c r="L1817"/>
      <c r="M1817"/>
      <c r="N1817"/>
      <c r="O1817"/>
      <c r="P1817"/>
      <c r="Q1817"/>
      <c r="R1817" s="558" t="s">
        <v>1730</v>
      </c>
      <c r="S1817" s="83"/>
      <c r="T1817" s="56"/>
      <c r="U1817" s="955"/>
      <c r="V1817" s="43" t="str">
        <f t="shared" si="1289"/>
        <v>M</v>
      </c>
      <c r="W1817" s="10"/>
      <c r="X1817" s="45" t="s">
        <v>769</v>
      </c>
      <c r="Y1817" s="10"/>
      <c r="Z1817" s="46" t="str">
        <f t="shared" si="1290"/>
        <v>E</v>
      </c>
      <c r="AA1817" s="123"/>
      <c r="AB1817" s="1459">
        <f t="shared" si="1281"/>
        <v>0</v>
      </c>
      <c r="AC1817" s="1460" t="str">
        <f t="shared" si="1282"/>
        <v>-</v>
      </c>
      <c r="AD1817" s="1459">
        <f t="shared" si="1283"/>
        <v>0</v>
      </c>
      <c r="AE1817" s="964" t="str">
        <f t="shared" si="1284"/>
        <v/>
      </c>
      <c r="AF1817" s="964" t="str">
        <f t="shared" si="1285"/>
        <v/>
      </c>
      <c r="AG1817" s="964" t="str">
        <f t="shared" si="1286"/>
        <v/>
      </c>
      <c r="AH1817" s="964" t="str">
        <f t="shared" si="1287"/>
        <v/>
      </c>
      <c r="AI1817" s="964" t="str">
        <f t="shared" si="1288"/>
        <v/>
      </c>
      <c r="AJ1817" s="964"/>
      <c r="AK1817" s="964"/>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s="1396"/>
      <c r="CB1817" s="1396"/>
      <c r="CC1817"/>
      <c r="CD1817"/>
      <c r="CE1817"/>
    </row>
    <row r="1818" spans="1:83" ht="13.15" customHeight="1" outlineLevel="2" x14ac:dyDescent="0.2">
      <c r="A1818"/>
      <c r="B1818" s="1"/>
      <c r="C1818"/>
      <c r="D1818"/>
      <c r="E1818"/>
      <c r="F1818"/>
      <c r="G1818" s="1"/>
      <c r="H1818" s="1"/>
      <c r="I1818"/>
      <c r="J1818"/>
      <c r="K1818"/>
      <c r="L1818"/>
      <c r="M1818"/>
      <c r="N1818"/>
      <c r="O1818"/>
      <c r="P1818"/>
      <c r="Q1818"/>
      <c r="R1818" s="558" t="s">
        <v>1730</v>
      </c>
      <c r="S1818" s="83"/>
      <c r="T1818" s="56"/>
      <c r="U1818" s="955"/>
      <c r="V1818" s="43" t="str">
        <f t="shared" si="1289"/>
        <v>O</v>
      </c>
      <c r="W1818" s="10"/>
      <c r="X1818" s="45" t="s">
        <v>769</v>
      </c>
      <c r="Y1818" s="10"/>
      <c r="Z1818" s="46" t="str">
        <f t="shared" si="1290"/>
        <v>C</v>
      </c>
      <c r="AA1818" s="123"/>
      <c r="AB1818" s="1459">
        <f t="shared" si="1281"/>
        <v>0</v>
      </c>
      <c r="AC1818" s="1460" t="str">
        <f t="shared" si="1282"/>
        <v>-</v>
      </c>
      <c r="AD1818" s="1459">
        <f t="shared" si="1283"/>
        <v>0</v>
      </c>
      <c r="AE1818" s="964" t="str">
        <f t="shared" si="1284"/>
        <v/>
      </c>
      <c r="AF1818" s="964" t="str">
        <f t="shared" si="1285"/>
        <v/>
      </c>
      <c r="AG1818" s="964" t="str">
        <f t="shared" si="1286"/>
        <v/>
      </c>
      <c r="AH1818" s="964" t="str">
        <f t="shared" si="1287"/>
        <v/>
      </c>
      <c r="AI1818" s="964" t="str">
        <f t="shared" si="1288"/>
        <v/>
      </c>
      <c r="AJ1818" s="964"/>
      <c r="AK1818" s="964"/>
      <c r="AL1818"/>
      <c r="AM1818"/>
      <c r="AN1818"/>
      <c r="AO1818"/>
      <c r="AP1818"/>
      <c r="AQ1818"/>
      <c r="AR1818"/>
      <c r="AS1818"/>
      <c r="AT1818"/>
      <c r="AU1818"/>
      <c r="AV1818"/>
      <c r="AW1818"/>
      <c r="AX1818" s="9"/>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s="1396"/>
      <c r="CB1818" s="1396"/>
      <c r="CC1818"/>
      <c r="CD1818"/>
      <c r="CE1818"/>
    </row>
    <row r="1819" spans="1:83" ht="13.15" customHeight="1" outlineLevel="2" x14ac:dyDescent="0.2">
      <c r="A1819"/>
      <c r="B1819" s="1"/>
      <c r="C1819"/>
      <c r="D1819"/>
      <c r="E1819"/>
      <c r="F1819"/>
      <c r="G1819" s="1"/>
      <c r="H1819" s="1"/>
      <c r="I1819"/>
      <c r="J1819"/>
      <c r="K1819"/>
      <c r="L1819"/>
      <c r="M1819"/>
      <c r="N1819"/>
      <c r="O1819"/>
      <c r="P1819"/>
      <c r="Q1819"/>
      <c r="R1819" s="558" t="s">
        <v>1730</v>
      </c>
      <c r="S1819" s="83"/>
      <c r="T1819" s="56"/>
      <c r="U1819" s="955"/>
      <c r="V1819" s="43" t="str">
        <f t="shared" si="1289"/>
        <v>Q</v>
      </c>
      <c r="W1819" s="10"/>
      <c r="X1819" s="45" t="s">
        <v>769</v>
      </c>
      <c r="Y1819" s="10"/>
      <c r="Z1819" s="46" t="str">
        <f t="shared" si="1290"/>
        <v>B</v>
      </c>
      <c r="AA1819" s="123"/>
      <c r="AB1819" s="1459">
        <f t="shared" si="1281"/>
        <v>0</v>
      </c>
      <c r="AC1819" s="1460" t="str">
        <f t="shared" si="1282"/>
        <v>-</v>
      </c>
      <c r="AD1819" s="1459">
        <f t="shared" si="1283"/>
        <v>0</v>
      </c>
      <c r="AE1819" s="964" t="str">
        <f t="shared" si="1284"/>
        <v/>
      </c>
      <c r="AF1819" s="964" t="str">
        <f t="shared" si="1285"/>
        <v/>
      </c>
      <c r="AG1819" s="964" t="str">
        <f t="shared" si="1286"/>
        <v/>
      </c>
      <c r="AH1819" s="964" t="str">
        <f t="shared" si="1287"/>
        <v/>
      </c>
      <c r="AI1819" s="964" t="str">
        <f t="shared" si="1288"/>
        <v/>
      </c>
      <c r="AJ1819" s="964"/>
      <c r="AK1819" s="964"/>
      <c r="AL1819"/>
      <c r="AM1819"/>
      <c r="AN1819"/>
      <c r="AO1819"/>
      <c r="AP1819"/>
      <c r="AQ1819"/>
      <c r="AR1819"/>
      <c r="AS1819"/>
      <c r="AT1819"/>
      <c r="AU1819"/>
      <c r="AV1819"/>
      <c r="AW1819" s="9"/>
      <c r="AX1819" s="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s="1396"/>
      <c r="CB1819" s="1396"/>
      <c r="CC1819"/>
      <c r="CD1819"/>
      <c r="CE1819"/>
    </row>
    <row r="1820" spans="1:83" ht="13.15" customHeight="1" outlineLevel="2" x14ac:dyDescent="0.2">
      <c r="A1820"/>
      <c r="B1820" s="1"/>
      <c r="C1820"/>
      <c r="D1820"/>
      <c r="E1820"/>
      <c r="F1820"/>
      <c r="G1820" s="1"/>
      <c r="H1820" s="1"/>
      <c r="I1820"/>
      <c r="J1820"/>
      <c r="K1820"/>
      <c r="L1820"/>
      <c r="M1820"/>
      <c r="N1820"/>
      <c r="O1820"/>
      <c r="P1820"/>
      <c r="Q1820"/>
      <c r="R1820" s="558" t="s">
        <v>1730</v>
      </c>
      <c r="S1820" s="83"/>
      <c r="T1820" s="56"/>
      <c r="U1820" s="955"/>
      <c r="V1820" s="43" t="str">
        <f t="shared" si="1289"/>
        <v>S</v>
      </c>
      <c r="W1820" s="10"/>
      <c r="X1820" s="45" t="s">
        <v>769</v>
      </c>
      <c r="Y1820" s="10"/>
      <c r="Z1820" s="46" t="str">
        <f t="shared" si="1290"/>
        <v>D</v>
      </c>
      <c r="AA1820" s="123"/>
      <c r="AB1820" s="1459">
        <f t="shared" si="1281"/>
        <v>0</v>
      </c>
      <c r="AC1820" s="1460" t="str">
        <f t="shared" si="1282"/>
        <v>-</v>
      </c>
      <c r="AD1820" s="1459">
        <f t="shared" si="1283"/>
        <v>0</v>
      </c>
      <c r="AE1820" s="964" t="str">
        <f t="shared" si="1284"/>
        <v/>
      </c>
      <c r="AF1820" s="964" t="str">
        <f t="shared" si="1285"/>
        <v/>
      </c>
      <c r="AG1820" s="964" t="str">
        <f t="shared" si="1286"/>
        <v/>
      </c>
      <c r="AH1820" s="964" t="str">
        <f t="shared" si="1287"/>
        <v/>
      </c>
      <c r="AI1820" s="964" t="str">
        <f t="shared" si="1288"/>
        <v/>
      </c>
      <c r="AJ1820" s="964"/>
      <c r="AK1820" s="964"/>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s="1396"/>
      <c r="CB1820" s="1396"/>
      <c r="CC1820"/>
      <c r="CD1820"/>
      <c r="CE1820"/>
    </row>
    <row r="1821" spans="1:83" ht="13.15" customHeight="1" outlineLevel="2" x14ac:dyDescent="0.2">
      <c r="A1821"/>
      <c r="B1821" s="1"/>
      <c r="C1821"/>
      <c r="D1821"/>
      <c r="E1821"/>
      <c r="F1821"/>
      <c r="G1821" s="1"/>
      <c r="H1821" s="1"/>
      <c r="I1821"/>
      <c r="J1821"/>
      <c r="K1821"/>
      <c r="L1821"/>
      <c r="M1821"/>
      <c r="N1821"/>
      <c r="O1821"/>
      <c r="P1821"/>
      <c r="Q1821"/>
      <c r="R1821" s="558" t="s">
        <v>1730</v>
      </c>
      <c r="S1821" s="83"/>
      <c r="T1821" s="56"/>
      <c r="U1821" s="955"/>
      <c r="V1821" s="43" t="str">
        <f t="shared" si="1289"/>
        <v>T</v>
      </c>
      <c r="W1821" s="10"/>
      <c r="X1821" s="45" t="s">
        <v>769</v>
      </c>
      <c r="Y1821" s="10"/>
      <c r="Z1821" s="46" t="str">
        <f t="shared" si="1290"/>
        <v>F</v>
      </c>
      <c r="AA1821" s="123"/>
      <c r="AB1821" s="1459">
        <f t="shared" si="1281"/>
        <v>0</v>
      </c>
      <c r="AC1821" s="1460" t="str">
        <f t="shared" si="1282"/>
        <v>-</v>
      </c>
      <c r="AD1821" s="1459">
        <f t="shared" si="1283"/>
        <v>0</v>
      </c>
      <c r="AE1821" s="964" t="str">
        <f t="shared" si="1284"/>
        <v/>
      </c>
      <c r="AF1821" s="964" t="str">
        <f t="shared" si="1285"/>
        <v/>
      </c>
      <c r="AG1821" s="964" t="str">
        <f t="shared" si="1286"/>
        <v/>
      </c>
      <c r="AH1821" s="964" t="str">
        <f t="shared" si="1287"/>
        <v/>
      </c>
      <c r="AI1821" s="964" t="str">
        <f t="shared" si="1288"/>
        <v/>
      </c>
      <c r="AJ1821" s="964"/>
      <c r="AK1821" s="964"/>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s="1396"/>
      <c r="CB1821" s="1396"/>
      <c r="CC1821"/>
      <c r="CD1821"/>
      <c r="CE1821"/>
    </row>
    <row r="1822" spans="1:83" ht="13.15" customHeight="1" outlineLevel="2" x14ac:dyDescent="0.2">
      <c r="A1822"/>
      <c r="B1822" s="1"/>
      <c r="C1822"/>
      <c r="D1822"/>
      <c r="E1822"/>
      <c r="F1822"/>
      <c r="G1822" s="1"/>
      <c r="H1822" s="1"/>
      <c r="I1822"/>
      <c r="J1822"/>
      <c r="K1822"/>
      <c r="L1822"/>
      <c r="M1822"/>
      <c r="N1822"/>
      <c r="O1822"/>
      <c r="P1822"/>
      <c r="Q1822"/>
      <c r="R1822" s="558" t="s">
        <v>1730</v>
      </c>
      <c r="S1822" s="83"/>
      <c r="T1822" s="56"/>
      <c r="U1822" s="955"/>
      <c r="V1822" s="43" t="str">
        <f t="shared" si="1289"/>
        <v>R</v>
      </c>
      <c r="W1822" s="10"/>
      <c r="X1822" s="45" t="s">
        <v>769</v>
      </c>
      <c r="Y1822" s="10"/>
      <c r="Z1822" s="46" t="str">
        <f t="shared" si="1290"/>
        <v>H</v>
      </c>
      <c r="AA1822" s="123"/>
      <c r="AB1822" s="1459">
        <f t="shared" si="1281"/>
        <v>0</v>
      </c>
      <c r="AC1822" s="1460" t="str">
        <f t="shared" si="1282"/>
        <v>-</v>
      </c>
      <c r="AD1822" s="1459">
        <f t="shared" si="1283"/>
        <v>0</v>
      </c>
      <c r="AE1822" s="964" t="str">
        <f t="shared" si="1284"/>
        <v/>
      </c>
      <c r="AF1822" s="964" t="str">
        <f t="shared" si="1285"/>
        <v/>
      </c>
      <c r="AG1822" s="964" t="str">
        <f t="shared" si="1286"/>
        <v/>
      </c>
      <c r="AH1822" s="964" t="str">
        <f t="shared" si="1287"/>
        <v/>
      </c>
      <c r="AI1822" s="964" t="str">
        <f t="shared" si="1288"/>
        <v/>
      </c>
      <c r="AJ1822" s="964"/>
      <c r="AK1822" s="964"/>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s="1396"/>
      <c r="CB1822" s="1396"/>
      <c r="CC1822"/>
      <c r="CD1822"/>
      <c r="CE1822"/>
    </row>
    <row r="1823" spans="1:83" ht="13.15" customHeight="1" outlineLevel="2" x14ac:dyDescent="0.2">
      <c r="A1823"/>
      <c r="B1823" s="1"/>
      <c r="C1823"/>
      <c r="D1823"/>
      <c r="E1823"/>
      <c r="F1823"/>
      <c r="G1823" s="1"/>
      <c r="H1823" s="1"/>
      <c r="I1823"/>
      <c r="J1823"/>
      <c r="K1823"/>
      <c r="L1823"/>
      <c r="M1823"/>
      <c r="N1823"/>
      <c r="O1823"/>
      <c r="P1823"/>
      <c r="Q1823"/>
      <c r="R1823" s="558" t="s">
        <v>1730</v>
      </c>
      <c r="S1823" s="83"/>
      <c r="T1823" s="56"/>
      <c r="U1823" s="955"/>
      <c r="V1823" s="43" t="str">
        <f t="shared" si="1289"/>
        <v>P</v>
      </c>
      <c r="W1823" s="10"/>
      <c r="X1823" s="45" t="s">
        <v>769</v>
      </c>
      <c r="Y1823" s="10"/>
      <c r="Z1823" s="46" t="str">
        <f t="shared" si="1290"/>
        <v>J</v>
      </c>
      <c r="AA1823" s="123"/>
      <c r="AB1823" s="1459">
        <f t="shared" si="1281"/>
        <v>0</v>
      </c>
      <c r="AC1823" s="1460" t="str">
        <f t="shared" si="1282"/>
        <v>-</v>
      </c>
      <c r="AD1823" s="1459">
        <f t="shared" si="1283"/>
        <v>0</v>
      </c>
      <c r="AE1823" s="964" t="str">
        <f t="shared" si="1284"/>
        <v/>
      </c>
      <c r="AF1823" s="964" t="str">
        <f t="shared" si="1285"/>
        <v/>
      </c>
      <c r="AG1823" s="964" t="str">
        <f t="shared" si="1286"/>
        <v/>
      </c>
      <c r="AH1823" s="964" t="str">
        <f t="shared" si="1287"/>
        <v/>
      </c>
      <c r="AI1823" s="964" t="str">
        <f t="shared" si="1288"/>
        <v/>
      </c>
      <c r="AJ1823" s="964"/>
      <c r="AK1823" s="964"/>
      <c r="AL1823"/>
      <c r="AM1823"/>
      <c r="AN1823"/>
      <c r="AO1823"/>
      <c r="AP1823"/>
      <c r="AQ1823"/>
      <c r="AR1823"/>
      <c r="AS1823"/>
      <c r="AT1823"/>
      <c r="AU1823"/>
      <c r="AV1823"/>
      <c r="AW1823"/>
      <c r="AX1823" s="9"/>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s="1396"/>
      <c r="CB1823" s="1396"/>
      <c r="CC1823"/>
      <c r="CD1823"/>
      <c r="CE1823"/>
    </row>
    <row r="1824" spans="1:83" ht="13.9" customHeight="1" outlineLevel="2" thickBot="1" x14ac:dyDescent="0.25">
      <c r="A1824"/>
      <c r="B1824" s="1"/>
      <c r="C1824"/>
      <c r="D1824"/>
      <c r="E1824"/>
      <c r="F1824"/>
      <c r="G1824" s="1"/>
      <c r="H1824" s="1"/>
      <c r="I1824"/>
      <c r="J1824"/>
      <c r="K1824"/>
      <c r="L1824"/>
      <c r="M1824"/>
      <c r="N1824"/>
      <c r="O1824"/>
      <c r="P1824"/>
      <c r="Q1824"/>
      <c r="R1824" s="558" t="s">
        <v>1730</v>
      </c>
      <c r="S1824" s="956"/>
      <c r="T1824" s="58"/>
      <c r="U1824" s="957"/>
      <c r="V1824" s="958" t="str">
        <f>V1812</f>
        <v>N</v>
      </c>
      <c r="W1824" s="175"/>
      <c r="X1824" s="52" t="s">
        <v>769</v>
      </c>
      <c r="Y1824" s="175"/>
      <c r="Z1824" s="46" t="str">
        <f t="shared" si="1290"/>
        <v>L</v>
      </c>
      <c r="AA1824" s="123"/>
      <c r="AB1824" s="1459">
        <f t="shared" si="1281"/>
        <v>0</v>
      </c>
      <c r="AC1824" s="1460" t="str">
        <f t="shared" si="1282"/>
        <v>-</v>
      </c>
      <c r="AD1824" s="1459">
        <f t="shared" si="1283"/>
        <v>0</v>
      </c>
      <c r="AE1824" s="964" t="str">
        <f t="shared" si="1284"/>
        <v/>
      </c>
      <c r="AF1824" s="964" t="str">
        <f t="shared" si="1285"/>
        <v/>
      </c>
      <c r="AG1824" s="964" t="str">
        <f t="shared" si="1286"/>
        <v/>
      </c>
      <c r="AH1824" s="964" t="str">
        <f t="shared" si="1287"/>
        <v/>
      </c>
      <c r="AI1824" s="964" t="str">
        <f t="shared" si="1288"/>
        <v/>
      </c>
      <c r="AJ1824" s="964"/>
      <c r="AK1824" s="964"/>
      <c r="AL1824"/>
      <c r="AM1824"/>
      <c r="AN1824"/>
      <c r="AO1824"/>
      <c r="AP1824"/>
      <c r="AQ1824"/>
      <c r="AR1824"/>
      <c r="AS1824"/>
      <c r="AT1824"/>
      <c r="AU1824"/>
      <c r="AV1824"/>
      <c r="AW1824" s="9"/>
      <c r="AX1824" s="9"/>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s="1396"/>
      <c r="CB1824" s="1396"/>
      <c r="CC1824"/>
      <c r="CD1824"/>
      <c r="CE1824"/>
    </row>
    <row r="1825" spans="1:83" ht="13.5" outlineLevel="1" thickBot="1" x14ac:dyDescent="0.25">
      <c r="A1825"/>
      <c r="B1825" s="1"/>
      <c r="C1825" s="1"/>
      <c r="D1825" s="76"/>
      <c r="E1825" s="76"/>
      <c r="F1825" s="76"/>
      <c r="G1825" s="9"/>
      <c r="H1825" s="9"/>
      <c r="I1825" s="1"/>
      <c r="J1825"/>
      <c r="K1825"/>
      <c r="L1825"/>
      <c r="M1825"/>
      <c r="N1825"/>
      <c r="O1825"/>
      <c r="P1825" s="89"/>
      <c r="Q1825"/>
      <c r="R1825" s="1"/>
      <c r="S1825" s="993">
        <f>S1813+1</f>
        <v>6</v>
      </c>
      <c r="T1825" s="961"/>
      <c r="U1825" s="961"/>
      <c r="V1825" s="961"/>
      <c r="W1825" s="960"/>
      <c r="X1825" s="960"/>
      <c r="Y1825" s="960"/>
      <c r="Z1825" s="962"/>
      <c r="AA1825" s="123"/>
      <c r="AB1825" s="963"/>
      <c r="AC1825" s="963"/>
      <c r="AD1825" s="963"/>
      <c r="AE1825" s="964"/>
      <c r="AF1825" s="964"/>
      <c r="AG1825" s="964"/>
      <c r="AH1825" s="964"/>
      <c r="AI1825" s="964"/>
      <c r="AJ1825" s="964"/>
      <c r="AK1825" s="964"/>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s="1396"/>
      <c r="CB1825" s="1396"/>
      <c r="CC1825"/>
      <c r="CD1825"/>
      <c r="CE1825"/>
    </row>
    <row r="1826" spans="1:83" ht="13.9" customHeight="1" outlineLevel="2" thickBot="1" x14ac:dyDescent="0.25">
      <c r="A1826"/>
      <c r="B1826" s="1"/>
      <c r="C1826"/>
      <c r="D1826"/>
      <c r="E1826"/>
      <c r="F1826"/>
      <c r="G1826" s="1"/>
      <c r="H1826" s="1"/>
      <c r="I1826"/>
      <c r="J1826"/>
      <c r="K1826"/>
      <c r="L1826"/>
      <c r="M1826"/>
      <c r="N1826"/>
      <c r="O1826"/>
      <c r="P1826"/>
      <c r="Q1826"/>
      <c r="S1826" s="22" t="str">
        <f>N_Heure</f>
        <v>Heure</v>
      </c>
      <c r="T1826" s="22" t="str">
        <f>N_Table</f>
        <v>Table</v>
      </c>
      <c r="U1826" s="22" t="str">
        <f>N_Arbitre</f>
        <v>Arbitre</v>
      </c>
      <c r="V1826" s="293" t="str">
        <f>N_Matches</f>
        <v>Matches</v>
      </c>
      <c r="W1826" s="294"/>
      <c r="X1826" s="294"/>
      <c r="Y1826" s="294"/>
      <c r="Z1826" s="295"/>
      <c r="AA1826" s="8"/>
      <c r="AB1826" s="967"/>
      <c r="AC1826" s="967"/>
      <c r="AD1826" s="967"/>
      <c r="AE1826" s="964"/>
      <c r="AF1826" s="964"/>
      <c r="AG1826" s="964"/>
      <c r="AH1826" s="964"/>
      <c r="AI1826" s="964"/>
      <c r="AJ1826" s="964"/>
      <c r="AK1826" s="964"/>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s="1396"/>
      <c r="CB1826" s="1396"/>
      <c r="CC1826"/>
      <c r="CD1826"/>
      <c r="CE1826"/>
    </row>
    <row r="1827" spans="1:83" ht="13.15" customHeight="1" outlineLevel="2" x14ac:dyDescent="0.2">
      <c r="A1827"/>
      <c r="B1827" s="1"/>
      <c r="C1827"/>
      <c r="D1827"/>
      <c r="E1827"/>
      <c r="F1827"/>
      <c r="G1827" s="1"/>
      <c r="H1827" s="1"/>
      <c r="I1827"/>
      <c r="J1827"/>
      <c r="K1827"/>
      <c r="L1827"/>
      <c r="M1827"/>
      <c r="N1827"/>
      <c r="O1827"/>
      <c r="P1827"/>
      <c r="Q1827"/>
      <c r="R1827" s="558" t="s">
        <v>1731</v>
      </c>
      <c r="S1827" s="65"/>
      <c r="T1827" s="953"/>
      <c r="U1827" s="954"/>
      <c r="V1827" s="34" t="str">
        <f>V1816</f>
        <v>K</v>
      </c>
      <c r="W1827" s="148"/>
      <c r="X1827" s="35" t="s">
        <v>769</v>
      </c>
      <c r="Y1827" s="148"/>
      <c r="Z1827" s="36" t="str">
        <f>V1815</f>
        <v>A</v>
      </c>
      <c r="AA1827" s="123"/>
      <c r="AB1827" s="1459">
        <f t="shared" ref="AB1827:AB1836" si="1291">IF(MaxScore,MaxGoals(W1827,Y1827,MaxGoalsValue),IF(W1827="","",W1827))</f>
        <v>0</v>
      </c>
      <c r="AC1827" s="1460" t="str">
        <f t="shared" ref="AC1827:AC1836" si="1292">IF(MaxScore,"-",IF(W1827="","","-"))</f>
        <v>-</v>
      </c>
      <c r="AD1827" s="1459">
        <f t="shared" ref="AD1827:AD1836" si="1293">IF(MaxScore,MaxGoals(Y1827,W1827,MaxGoalsValue),IF(Y1827="","",Y1827))</f>
        <v>0</v>
      </c>
      <c r="AE1827" s="964" t="str">
        <f t="shared" ref="AE1827:AE1836" si="1294">IF(W1827="","",IF(W1827&gt;Y1827,V1827,IF(W1827=Y1827,"",Z1827)))</f>
        <v/>
      </c>
      <c r="AF1827" s="964" t="str">
        <f t="shared" ref="AF1827:AF1836" si="1295">IF(W1827="","",IF(W1827=Y1827,V1827,""))</f>
        <v/>
      </c>
      <c r="AG1827" s="964" t="str">
        <f t="shared" ref="AG1827:AG1836" si="1296">IF(W1827="","",IF(W1827=Y1827,Z1827,""))</f>
        <v/>
      </c>
      <c r="AH1827" s="964" t="str">
        <f t="shared" ref="AH1827:AH1836" si="1297">IF(W1827="","",IF(W1827&lt;Y1827,V1827,IF(W1827=Y1827,"",Z1827)))</f>
        <v/>
      </c>
      <c r="AI1827" s="964" t="str">
        <f t="shared" ref="AI1827:AI1836" si="1298">CONCATENATE(AE1827,AH1827)</f>
        <v/>
      </c>
      <c r="AJ1827" s="964"/>
      <c r="AK1827" s="964"/>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s="1396"/>
      <c r="CB1827" s="1396"/>
      <c r="CC1827"/>
      <c r="CD1827"/>
      <c r="CE1827"/>
    </row>
    <row r="1828" spans="1:83" ht="13.15" customHeight="1" outlineLevel="2" x14ac:dyDescent="0.2">
      <c r="A1828"/>
      <c r="B1828" s="1"/>
      <c r="C1828"/>
      <c r="D1828"/>
      <c r="E1828"/>
      <c r="F1828"/>
      <c r="G1828" s="1"/>
      <c r="H1828" s="1"/>
      <c r="I1828"/>
      <c r="J1828"/>
      <c r="K1828"/>
      <c r="L1828"/>
      <c r="M1828"/>
      <c r="N1828"/>
      <c r="O1828"/>
      <c r="P1828"/>
      <c r="Q1828"/>
      <c r="R1828" s="558" t="s">
        <v>1731</v>
      </c>
      <c r="S1828" s="83"/>
      <c r="T1828" s="56"/>
      <c r="U1828" s="955"/>
      <c r="V1828" s="43" t="str">
        <f t="shared" ref="V1828:V1836" si="1299">Z1815</f>
        <v>I</v>
      </c>
      <c r="W1828" s="10"/>
      <c r="X1828" s="45" t="s">
        <v>769</v>
      </c>
      <c r="Y1828" s="10"/>
      <c r="Z1828" s="46" t="str">
        <f t="shared" ref="Z1828:Z1835" si="1300">V1817</f>
        <v>M</v>
      </c>
      <c r="AA1828" s="123"/>
      <c r="AB1828" s="1459">
        <f t="shared" si="1291"/>
        <v>0</v>
      </c>
      <c r="AC1828" s="1460" t="str">
        <f t="shared" si="1292"/>
        <v>-</v>
      </c>
      <c r="AD1828" s="1459">
        <f t="shared" si="1293"/>
        <v>0</v>
      </c>
      <c r="AE1828" s="964" t="str">
        <f t="shared" si="1294"/>
        <v/>
      </c>
      <c r="AF1828" s="964" t="str">
        <f t="shared" si="1295"/>
        <v/>
      </c>
      <c r="AG1828" s="964" t="str">
        <f t="shared" si="1296"/>
        <v/>
      </c>
      <c r="AH1828" s="964" t="str">
        <f t="shared" si="1297"/>
        <v/>
      </c>
      <c r="AI1828" s="964" t="str">
        <f t="shared" si="1298"/>
        <v/>
      </c>
      <c r="AJ1828" s="964"/>
      <c r="AK1828" s="964"/>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s="1396"/>
      <c r="CB1828" s="1396"/>
      <c r="CC1828"/>
      <c r="CD1828"/>
      <c r="CE1828"/>
    </row>
    <row r="1829" spans="1:83" ht="13.15" customHeight="1" outlineLevel="2" x14ac:dyDescent="0.2">
      <c r="A1829"/>
      <c r="B1829" s="1"/>
      <c r="C1829"/>
      <c r="D1829"/>
      <c r="E1829"/>
      <c r="F1829"/>
      <c r="G1829" s="1"/>
      <c r="H1829" s="1"/>
      <c r="I1829"/>
      <c r="J1829"/>
      <c r="K1829"/>
      <c r="L1829"/>
      <c r="M1829"/>
      <c r="N1829"/>
      <c r="O1829"/>
      <c r="P1829"/>
      <c r="Q1829"/>
      <c r="R1829" s="558" t="s">
        <v>1731</v>
      </c>
      <c r="S1829" s="83"/>
      <c r="T1829" s="56"/>
      <c r="U1829" s="955"/>
      <c r="V1829" s="43" t="str">
        <f t="shared" si="1299"/>
        <v>G</v>
      </c>
      <c r="W1829" s="10"/>
      <c r="X1829" s="45" t="s">
        <v>769</v>
      </c>
      <c r="Y1829" s="10"/>
      <c r="Z1829" s="46" t="str">
        <f t="shared" si="1300"/>
        <v>O</v>
      </c>
      <c r="AA1829" s="123"/>
      <c r="AB1829" s="1459">
        <f t="shared" si="1291"/>
        <v>0</v>
      </c>
      <c r="AC1829" s="1460" t="str">
        <f t="shared" si="1292"/>
        <v>-</v>
      </c>
      <c r="AD1829" s="1459">
        <f t="shared" si="1293"/>
        <v>0</v>
      </c>
      <c r="AE1829" s="964" t="str">
        <f t="shared" si="1294"/>
        <v/>
      </c>
      <c r="AF1829" s="964" t="str">
        <f t="shared" si="1295"/>
        <v/>
      </c>
      <c r="AG1829" s="964" t="str">
        <f t="shared" si="1296"/>
        <v/>
      </c>
      <c r="AH1829" s="964" t="str">
        <f t="shared" si="1297"/>
        <v/>
      </c>
      <c r="AI1829" s="964" t="str">
        <f t="shared" si="1298"/>
        <v/>
      </c>
      <c r="AJ1829" s="964"/>
      <c r="AK1829" s="964"/>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s="1396"/>
      <c r="CB1829" s="1396"/>
      <c r="CC1829"/>
      <c r="CD1829"/>
      <c r="CE1829"/>
    </row>
    <row r="1830" spans="1:83" ht="13.15" customHeight="1" outlineLevel="2" x14ac:dyDescent="0.2">
      <c r="A1830"/>
      <c r="B1830" s="1"/>
      <c r="C1830"/>
      <c r="D1830"/>
      <c r="E1830"/>
      <c r="F1830"/>
      <c r="G1830" s="1"/>
      <c r="H1830" s="1"/>
      <c r="I1830"/>
      <c r="J1830"/>
      <c r="K1830"/>
      <c r="L1830"/>
      <c r="M1830"/>
      <c r="N1830"/>
      <c r="O1830"/>
      <c r="P1830"/>
      <c r="Q1830"/>
      <c r="R1830" s="558" t="s">
        <v>1731</v>
      </c>
      <c r="S1830" s="83"/>
      <c r="T1830" s="56"/>
      <c r="U1830" s="955"/>
      <c r="V1830" s="43" t="str">
        <f t="shared" si="1299"/>
        <v>E</v>
      </c>
      <c r="W1830" s="10"/>
      <c r="X1830" s="45" t="s">
        <v>769</v>
      </c>
      <c r="Y1830" s="10"/>
      <c r="Z1830" s="46" t="str">
        <f t="shared" si="1300"/>
        <v>Q</v>
      </c>
      <c r="AA1830" s="123"/>
      <c r="AB1830" s="1459">
        <f t="shared" si="1291"/>
        <v>0</v>
      </c>
      <c r="AC1830" s="1460" t="str">
        <f t="shared" si="1292"/>
        <v>-</v>
      </c>
      <c r="AD1830" s="1459">
        <f t="shared" si="1293"/>
        <v>0</v>
      </c>
      <c r="AE1830" s="964" t="str">
        <f t="shared" si="1294"/>
        <v/>
      </c>
      <c r="AF1830" s="964" t="str">
        <f t="shared" si="1295"/>
        <v/>
      </c>
      <c r="AG1830" s="964" t="str">
        <f t="shared" si="1296"/>
        <v/>
      </c>
      <c r="AH1830" s="964" t="str">
        <f t="shared" si="1297"/>
        <v/>
      </c>
      <c r="AI1830" s="964" t="str">
        <f t="shared" si="1298"/>
        <v/>
      </c>
      <c r="AJ1830" s="964"/>
      <c r="AK1830" s="964"/>
      <c r="AL1830"/>
      <c r="AM1830"/>
      <c r="AN1830"/>
      <c r="AO1830"/>
      <c r="AP1830"/>
      <c r="AQ1830"/>
      <c r="AR1830"/>
      <c r="AS1830"/>
      <c r="AT1830"/>
      <c r="AU1830"/>
      <c r="AV1830"/>
      <c r="AW1830"/>
      <c r="AX1830" s="9"/>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s="1396"/>
      <c r="CB1830" s="1396"/>
      <c r="CC1830"/>
      <c r="CD1830"/>
      <c r="CE1830"/>
    </row>
    <row r="1831" spans="1:83" ht="13.15" customHeight="1" outlineLevel="2" x14ac:dyDescent="0.2">
      <c r="A1831"/>
      <c r="B1831" s="1"/>
      <c r="C1831"/>
      <c r="D1831"/>
      <c r="E1831"/>
      <c r="F1831"/>
      <c r="G1831" s="1"/>
      <c r="H1831" s="1"/>
      <c r="I1831"/>
      <c r="J1831"/>
      <c r="K1831"/>
      <c r="L1831"/>
      <c r="M1831"/>
      <c r="N1831"/>
      <c r="O1831"/>
      <c r="P1831"/>
      <c r="Q1831"/>
      <c r="R1831" s="558" t="s">
        <v>1731</v>
      </c>
      <c r="S1831" s="83"/>
      <c r="T1831" s="56"/>
      <c r="U1831" s="955"/>
      <c r="V1831" s="43" t="str">
        <f t="shared" si="1299"/>
        <v>C</v>
      </c>
      <c r="W1831" s="10"/>
      <c r="X1831" s="45" t="s">
        <v>769</v>
      </c>
      <c r="Y1831" s="10"/>
      <c r="Z1831" s="46" t="str">
        <f t="shared" si="1300"/>
        <v>S</v>
      </c>
      <c r="AA1831" s="123"/>
      <c r="AB1831" s="1459">
        <f t="shared" si="1291"/>
        <v>0</v>
      </c>
      <c r="AC1831" s="1460" t="str">
        <f t="shared" si="1292"/>
        <v>-</v>
      </c>
      <c r="AD1831" s="1459">
        <f t="shared" si="1293"/>
        <v>0</v>
      </c>
      <c r="AE1831" s="964" t="str">
        <f t="shared" si="1294"/>
        <v/>
      </c>
      <c r="AF1831" s="964" t="str">
        <f t="shared" si="1295"/>
        <v/>
      </c>
      <c r="AG1831" s="964" t="str">
        <f t="shared" si="1296"/>
        <v/>
      </c>
      <c r="AH1831" s="964" t="str">
        <f t="shared" si="1297"/>
        <v/>
      </c>
      <c r="AI1831" s="964" t="str">
        <f t="shared" si="1298"/>
        <v/>
      </c>
      <c r="AJ1831" s="964"/>
      <c r="AK1831" s="964"/>
      <c r="AL1831"/>
      <c r="AM1831"/>
      <c r="AN1831"/>
      <c r="AO1831"/>
      <c r="AP1831"/>
      <c r="AQ1831"/>
      <c r="AR1831"/>
      <c r="AS1831"/>
      <c r="AT1831"/>
      <c r="AU1831"/>
      <c r="AV1831"/>
      <c r="AW1831" s="9"/>
      <c r="AX1831" s="9"/>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s="1396"/>
      <c r="CB1831" s="1396"/>
      <c r="CC1831"/>
      <c r="CD1831"/>
      <c r="CE1831"/>
    </row>
    <row r="1832" spans="1:83" ht="13.15" customHeight="1" outlineLevel="2" x14ac:dyDescent="0.2">
      <c r="A1832"/>
      <c r="B1832" s="1"/>
      <c r="C1832"/>
      <c r="D1832"/>
      <c r="E1832"/>
      <c r="F1832"/>
      <c r="G1832" s="1"/>
      <c r="H1832" s="1"/>
      <c r="I1832"/>
      <c r="J1832"/>
      <c r="K1832"/>
      <c r="L1832"/>
      <c r="M1832"/>
      <c r="N1832"/>
      <c r="O1832"/>
      <c r="P1832"/>
      <c r="Q1832"/>
      <c r="R1832" s="558" t="s">
        <v>1731</v>
      </c>
      <c r="S1832" s="83"/>
      <c r="T1832" s="56"/>
      <c r="U1832" s="955"/>
      <c r="V1832" s="43" t="str">
        <f t="shared" si="1299"/>
        <v>B</v>
      </c>
      <c r="W1832" s="10"/>
      <c r="X1832" s="45" t="s">
        <v>769</v>
      </c>
      <c r="Y1832" s="10"/>
      <c r="Z1832" s="46" t="str">
        <f t="shared" si="1300"/>
        <v>T</v>
      </c>
      <c r="AA1832" s="123"/>
      <c r="AB1832" s="1459">
        <f t="shared" si="1291"/>
        <v>0</v>
      </c>
      <c r="AC1832" s="1460" t="str">
        <f t="shared" si="1292"/>
        <v>-</v>
      </c>
      <c r="AD1832" s="1459">
        <f t="shared" si="1293"/>
        <v>0</v>
      </c>
      <c r="AE1832" s="964" t="str">
        <f t="shared" si="1294"/>
        <v/>
      </c>
      <c r="AF1832" s="964" t="str">
        <f t="shared" si="1295"/>
        <v/>
      </c>
      <c r="AG1832" s="964" t="str">
        <f t="shared" si="1296"/>
        <v/>
      </c>
      <c r="AH1832" s="964" t="str">
        <f t="shared" si="1297"/>
        <v/>
      </c>
      <c r="AI1832" s="964" t="str">
        <f t="shared" si="1298"/>
        <v/>
      </c>
      <c r="AJ1832" s="964"/>
      <c r="AK1832" s="964"/>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s="1396"/>
      <c r="CB1832" s="1396"/>
      <c r="CC1832"/>
      <c r="CD1832"/>
      <c r="CE1832"/>
    </row>
    <row r="1833" spans="1:83" ht="13.15" customHeight="1" outlineLevel="2" x14ac:dyDescent="0.2">
      <c r="A1833"/>
      <c r="B1833" s="1"/>
      <c r="C1833"/>
      <c r="D1833"/>
      <c r="E1833"/>
      <c r="F1833"/>
      <c r="G1833" s="1"/>
      <c r="H1833" s="1"/>
      <c r="I1833"/>
      <c r="J1833"/>
      <c r="K1833"/>
      <c r="L1833"/>
      <c r="M1833"/>
      <c r="N1833"/>
      <c r="O1833"/>
      <c r="P1833"/>
      <c r="Q1833"/>
      <c r="R1833" s="558" t="s">
        <v>1731</v>
      </c>
      <c r="S1833" s="83"/>
      <c r="T1833" s="56"/>
      <c r="U1833" s="955"/>
      <c r="V1833" s="43" t="str">
        <f t="shared" si="1299"/>
        <v>D</v>
      </c>
      <c r="W1833" s="10"/>
      <c r="X1833" s="45" t="s">
        <v>769</v>
      </c>
      <c r="Y1833" s="10"/>
      <c r="Z1833" s="46" t="str">
        <f t="shared" si="1300"/>
        <v>R</v>
      </c>
      <c r="AA1833" s="123"/>
      <c r="AB1833" s="1459">
        <f t="shared" si="1291"/>
        <v>0</v>
      </c>
      <c r="AC1833" s="1460" t="str">
        <f t="shared" si="1292"/>
        <v>-</v>
      </c>
      <c r="AD1833" s="1459">
        <f t="shared" si="1293"/>
        <v>0</v>
      </c>
      <c r="AE1833" s="964" t="str">
        <f t="shared" si="1294"/>
        <v/>
      </c>
      <c r="AF1833" s="964" t="str">
        <f t="shared" si="1295"/>
        <v/>
      </c>
      <c r="AG1833" s="964" t="str">
        <f t="shared" si="1296"/>
        <v/>
      </c>
      <c r="AH1833" s="964" t="str">
        <f t="shared" si="1297"/>
        <v/>
      </c>
      <c r="AI1833" s="964" t="str">
        <f t="shared" si="1298"/>
        <v/>
      </c>
      <c r="AJ1833" s="964"/>
      <c r="AK1833" s="964"/>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s="1396"/>
      <c r="CB1833" s="1396"/>
      <c r="CC1833"/>
      <c r="CD1833"/>
      <c r="CE1833"/>
    </row>
    <row r="1834" spans="1:83" ht="13.15" customHeight="1" outlineLevel="2" x14ac:dyDescent="0.2">
      <c r="A1834"/>
      <c r="B1834" s="1"/>
      <c r="C1834"/>
      <c r="D1834"/>
      <c r="E1834"/>
      <c r="F1834"/>
      <c r="G1834" s="1"/>
      <c r="H1834" s="1"/>
      <c r="I1834"/>
      <c r="J1834"/>
      <c r="K1834"/>
      <c r="L1834"/>
      <c r="M1834"/>
      <c r="N1834"/>
      <c r="O1834"/>
      <c r="P1834"/>
      <c r="Q1834"/>
      <c r="R1834" s="558" t="s">
        <v>1731</v>
      </c>
      <c r="S1834" s="83"/>
      <c r="T1834" s="56"/>
      <c r="U1834" s="955"/>
      <c r="V1834" s="43" t="str">
        <f t="shared" si="1299"/>
        <v>F</v>
      </c>
      <c r="W1834" s="10"/>
      <c r="X1834" s="45" t="s">
        <v>769</v>
      </c>
      <c r="Y1834" s="10"/>
      <c r="Z1834" s="46" t="str">
        <f t="shared" si="1300"/>
        <v>P</v>
      </c>
      <c r="AA1834" s="123"/>
      <c r="AB1834" s="1459">
        <f t="shared" si="1291"/>
        <v>0</v>
      </c>
      <c r="AC1834" s="1460" t="str">
        <f t="shared" si="1292"/>
        <v>-</v>
      </c>
      <c r="AD1834" s="1459">
        <f t="shared" si="1293"/>
        <v>0</v>
      </c>
      <c r="AE1834" s="964" t="str">
        <f t="shared" si="1294"/>
        <v/>
      </c>
      <c r="AF1834" s="964" t="str">
        <f t="shared" si="1295"/>
        <v/>
      </c>
      <c r="AG1834" s="964" t="str">
        <f t="shared" si="1296"/>
        <v/>
      </c>
      <c r="AH1834" s="964" t="str">
        <f t="shared" si="1297"/>
        <v/>
      </c>
      <c r="AI1834" s="964" t="str">
        <f t="shared" si="1298"/>
        <v/>
      </c>
      <c r="AJ1834" s="964"/>
      <c r="AK1834" s="96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s="1396"/>
      <c r="CB1834" s="1396"/>
      <c r="CC1834"/>
      <c r="CD1834"/>
      <c r="CE1834"/>
    </row>
    <row r="1835" spans="1:83" ht="13.15" customHeight="1" outlineLevel="2" x14ac:dyDescent="0.2">
      <c r="A1835"/>
      <c r="B1835" s="1"/>
      <c r="C1835"/>
      <c r="D1835"/>
      <c r="E1835"/>
      <c r="F1835"/>
      <c r="G1835" s="1"/>
      <c r="H1835" s="1"/>
      <c r="I1835"/>
      <c r="J1835"/>
      <c r="K1835"/>
      <c r="L1835"/>
      <c r="M1835"/>
      <c r="N1835"/>
      <c r="O1835"/>
      <c r="P1835"/>
      <c r="Q1835"/>
      <c r="R1835" s="558" t="s">
        <v>1731</v>
      </c>
      <c r="S1835" s="83"/>
      <c r="T1835" s="56"/>
      <c r="U1835" s="955"/>
      <c r="V1835" s="43" t="str">
        <f t="shared" si="1299"/>
        <v>H</v>
      </c>
      <c r="W1835" s="10"/>
      <c r="X1835" s="45" t="s">
        <v>769</v>
      </c>
      <c r="Y1835" s="10"/>
      <c r="Z1835" s="46" t="str">
        <f t="shared" si="1300"/>
        <v>N</v>
      </c>
      <c r="AA1835" s="123"/>
      <c r="AB1835" s="1459">
        <f t="shared" si="1291"/>
        <v>0</v>
      </c>
      <c r="AC1835" s="1460" t="str">
        <f t="shared" si="1292"/>
        <v>-</v>
      </c>
      <c r="AD1835" s="1459">
        <f t="shared" si="1293"/>
        <v>0</v>
      </c>
      <c r="AE1835" s="964" t="str">
        <f t="shared" si="1294"/>
        <v/>
      </c>
      <c r="AF1835" s="964" t="str">
        <f t="shared" si="1295"/>
        <v/>
      </c>
      <c r="AG1835" s="964" t="str">
        <f t="shared" si="1296"/>
        <v/>
      </c>
      <c r="AH1835" s="964" t="str">
        <f t="shared" si="1297"/>
        <v/>
      </c>
      <c r="AI1835" s="964" t="str">
        <f t="shared" si="1298"/>
        <v/>
      </c>
      <c r="AJ1835" s="964"/>
      <c r="AK1835" s="964"/>
      <c r="AL1835"/>
      <c r="AM1835"/>
      <c r="AN1835"/>
      <c r="AO1835"/>
      <c r="AP1835"/>
      <c r="AQ1835"/>
      <c r="AR1835"/>
      <c r="AS1835"/>
      <c r="AT1835"/>
      <c r="AU1835"/>
      <c r="AV1835"/>
      <c r="AW1835"/>
      <c r="AX1835" s="9"/>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s="1396"/>
      <c r="CB1835" s="1396"/>
      <c r="CC1835"/>
      <c r="CD1835"/>
      <c r="CE1835"/>
    </row>
    <row r="1836" spans="1:83" ht="13.9" customHeight="1" outlineLevel="2" thickBot="1" x14ac:dyDescent="0.25">
      <c r="A1836"/>
      <c r="B1836" s="1"/>
      <c r="C1836"/>
      <c r="D1836"/>
      <c r="E1836"/>
      <c r="F1836"/>
      <c r="G1836" s="1"/>
      <c r="H1836" s="1"/>
      <c r="I1836"/>
      <c r="J1836"/>
      <c r="K1836"/>
      <c r="L1836"/>
      <c r="M1836"/>
      <c r="N1836"/>
      <c r="O1836"/>
      <c r="P1836"/>
      <c r="Q1836"/>
      <c r="R1836" s="558" t="s">
        <v>1731</v>
      </c>
      <c r="S1836" s="956"/>
      <c r="T1836" s="58"/>
      <c r="U1836" s="957"/>
      <c r="V1836" s="958" t="str">
        <f t="shared" si="1299"/>
        <v>J</v>
      </c>
      <c r="W1836" s="175"/>
      <c r="X1836" s="52" t="s">
        <v>769</v>
      </c>
      <c r="Y1836" s="175"/>
      <c r="Z1836" s="959" t="str">
        <f>Z1824</f>
        <v>L</v>
      </c>
      <c r="AA1836" s="123"/>
      <c r="AB1836" s="1459">
        <f t="shared" si="1291"/>
        <v>0</v>
      </c>
      <c r="AC1836" s="1460" t="str">
        <f t="shared" si="1292"/>
        <v>-</v>
      </c>
      <c r="AD1836" s="1459">
        <f t="shared" si="1293"/>
        <v>0</v>
      </c>
      <c r="AE1836" s="964" t="str">
        <f t="shared" si="1294"/>
        <v/>
      </c>
      <c r="AF1836" s="964" t="str">
        <f t="shared" si="1295"/>
        <v/>
      </c>
      <c r="AG1836" s="964" t="str">
        <f t="shared" si="1296"/>
        <v/>
      </c>
      <c r="AH1836" s="964" t="str">
        <f t="shared" si="1297"/>
        <v/>
      </c>
      <c r="AI1836" s="964" t="str">
        <f t="shared" si="1298"/>
        <v/>
      </c>
      <c r="AJ1836" s="964"/>
      <c r="AK1836" s="964"/>
      <c r="AL1836"/>
      <c r="AM1836"/>
      <c r="AN1836"/>
      <c r="AO1836"/>
      <c r="AP1836"/>
      <c r="AQ1836"/>
      <c r="AR1836"/>
      <c r="AS1836"/>
      <c r="AT1836"/>
      <c r="AU1836"/>
      <c r="AV1836"/>
      <c r="AW1836" s="9"/>
      <c r="AX1836" s="9"/>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s="1396"/>
      <c r="CB1836" s="1396"/>
      <c r="CC1836"/>
      <c r="CD1836"/>
      <c r="CE1836"/>
    </row>
    <row r="1837" spans="1:83" ht="13.5" outlineLevel="1" thickBot="1" x14ac:dyDescent="0.25">
      <c r="A1837"/>
      <c r="B1837" s="1"/>
      <c r="C1837" s="1"/>
      <c r="D1837" s="76"/>
      <c r="E1837" s="76"/>
      <c r="F1837" s="76"/>
      <c r="G1837" s="9"/>
      <c r="H1837" s="9"/>
      <c r="I1837" s="1"/>
      <c r="J1837"/>
      <c r="K1837"/>
      <c r="L1837"/>
      <c r="M1837"/>
      <c r="N1837"/>
      <c r="O1837"/>
      <c r="P1837" s="89"/>
      <c r="Q1837"/>
      <c r="R1837" s="1"/>
      <c r="S1837" s="993">
        <f>S1825+1</f>
        <v>7</v>
      </c>
      <c r="T1837" s="961"/>
      <c r="U1837" s="961"/>
      <c r="V1837" s="961"/>
      <c r="W1837" s="960"/>
      <c r="X1837" s="960"/>
      <c r="Y1837" s="960"/>
      <c r="Z1837" s="962"/>
      <c r="AA1837" s="123"/>
      <c r="AB1837" s="963"/>
      <c r="AC1837" s="963"/>
      <c r="AD1837" s="963"/>
      <c r="AE1837" s="964"/>
      <c r="AF1837" s="964"/>
      <c r="AG1837" s="964"/>
      <c r="AH1837" s="964"/>
      <c r="AI1837" s="964"/>
      <c r="AJ1837" s="964"/>
      <c r="AK1837" s="964"/>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s="1396"/>
      <c r="CB1837" s="1396"/>
      <c r="CC1837"/>
      <c r="CD1837"/>
      <c r="CE1837"/>
    </row>
    <row r="1838" spans="1:83" ht="13.9" customHeight="1" outlineLevel="2" thickBot="1" x14ac:dyDescent="0.25">
      <c r="A1838"/>
      <c r="B1838" s="1"/>
      <c r="C1838"/>
      <c r="D1838"/>
      <c r="E1838"/>
      <c r="F1838"/>
      <c r="G1838" s="1"/>
      <c r="H1838" s="1"/>
      <c r="I1838"/>
      <c r="J1838"/>
      <c r="K1838"/>
      <c r="L1838"/>
      <c r="M1838"/>
      <c r="N1838"/>
      <c r="O1838"/>
      <c r="P1838"/>
      <c r="Q1838"/>
      <c r="S1838" s="22" t="str">
        <f>N_Heure</f>
        <v>Heure</v>
      </c>
      <c r="T1838" s="22" t="str">
        <f>N_Table</f>
        <v>Table</v>
      </c>
      <c r="U1838" s="22" t="str">
        <f>N_Arbitre</f>
        <v>Arbitre</v>
      </c>
      <c r="V1838" s="293" t="str">
        <f>N_Matches</f>
        <v>Matches</v>
      </c>
      <c r="W1838" s="294"/>
      <c r="X1838" s="294"/>
      <c r="Y1838" s="294"/>
      <c r="Z1838" s="295"/>
      <c r="AA1838" s="8"/>
      <c r="AB1838" s="967"/>
      <c r="AC1838" s="967"/>
      <c r="AD1838" s="967"/>
      <c r="AE1838" s="964"/>
      <c r="AF1838" s="964"/>
      <c r="AG1838" s="964"/>
      <c r="AH1838" s="964"/>
      <c r="AI1838" s="964"/>
      <c r="AJ1838" s="964"/>
      <c r="AK1838" s="964"/>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s="1396"/>
      <c r="CB1838" s="1396"/>
      <c r="CC1838"/>
      <c r="CD1838"/>
      <c r="CE1838"/>
    </row>
    <row r="1839" spans="1:83" ht="13.15" customHeight="1" outlineLevel="2" x14ac:dyDescent="0.2">
      <c r="A1839"/>
      <c r="B1839" s="1"/>
      <c r="C1839"/>
      <c r="D1839"/>
      <c r="E1839"/>
      <c r="F1839"/>
      <c r="G1839" s="1"/>
      <c r="H1839" s="1"/>
      <c r="I1839"/>
      <c r="J1839"/>
      <c r="K1839"/>
      <c r="L1839"/>
      <c r="M1839"/>
      <c r="N1839"/>
      <c r="O1839"/>
      <c r="P1839"/>
      <c r="Q1839"/>
      <c r="R1839" s="558" t="s">
        <v>1740</v>
      </c>
      <c r="S1839" s="65"/>
      <c r="T1839" s="953"/>
      <c r="U1839" s="954"/>
      <c r="V1839" s="34" t="str">
        <f>Z1827</f>
        <v>A</v>
      </c>
      <c r="W1839" s="148"/>
      <c r="X1839" s="35" t="s">
        <v>769</v>
      </c>
      <c r="Y1839" s="148"/>
      <c r="Z1839" s="36" t="str">
        <f>Z1828</f>
        <v>M</v>
      </c>
      <c r="AA1839" s="123"/>
      <c r="AB1839" s="1459">
        <f t="shared" ref="AB1839:AB1848" si="1301">IF(MaxScore,MaxGoals(W1839,Y1839,MaxGoalsValue),IF(W1839="","",W1839))</f>
        <v>0</v>
      </c>
      <c r="AC1839" s="1460" t="str">
        <f t="shared" ref="AC1839:AC1848" si="1302">IF(MaxScore,"-",IF(W1839="","","-"))</f>
        <v>-</v>
      </c>
      <c r="AD1839" s="1459">
        <f t="shared" ref="AD1839:AD1848" si="1303">IF(MaxScore,MaxGoals(Y1839,W1839,MaxGoalsValue),IF(Y1839="","",Y1839))</f>
        <v>0</v>
      </c>
      <c r="AE1839" s="964" t="str">
        <f t="shared" ref="AE1839:AE1848" si="1304">IF(W1839="","",IF(W1839&gt;Y1839,V1839,IF(W1839=Y1839,"",Z1839)))</f>
        <v/>
      </c>
      <c r="AF1839" s="964" t="str">
        <f t="shared" ref="AF1839:AF1848" si="1305">IF(W1839="","",IF(W1839=Y1839,V1839,""))</f>
        <v/>
      </c>
      <c r="AG1839" s="964" t="str">
        <f t="shared" ref="AG1839:AG1848" si="1306">IF(W1839="","",IF(W1839=Y1839,Z1839,""))</f>
        <v/>
      </c>
      <c r="AH1839" s="964" t="str">
        <f t="shared" ref="AH1839:AH1848" si="1307">IF(W1839="","",IF(W1839&lt;Y1839,V1839,IF(W1839=Y1839,"",Z1839)))</f>
        <v/>
      </c>
      <c r="AI1839" s="964" t="str">
        <f t="shared" ref="AI1839:AI1848" si="1308">CONCATENATE(AE1839,AH1839)</f>
        <v/>
      </c>
      <c r="AJ1839" s="964"/>
      <c r="AK1839" s="964"/>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s="1396"/>
      <c r="CB1839" s="1396"/>
      <c r="CC1839"/>
      <c r="CD1839"/>
      <c r="CE1839"/>
    </row>
    <row r="1840" spans="1:83" ht="13.15" customHeight="1" outlineLevel="2" x14ac:dyDescent="0.2">
      <c r="A1840"/>
      <c r="B1840" s="1"/>
      <c r="C1840"/>
      <c r="D1840"/>
      <c r="E1840"/>
      <c r="F1840"/>
      <c r="G1840" s="1"/>
      <c r="H1840" s="1"/>
      <c r="I1840"/>
      <c r="J1840"/>
      <c r="K1840"/>
      <c r="L1840"/>
      <c r="M1840"/>
      <c r="N1840"/>
      <c r="O1840"/>
      <c r="P1840"/>
      <c r="Q1840"/>
      <c r="R1840" s="558" t="s">
        <v>1740</v>
      </c>
      <c r="S1840" s="83"/>
      <c r="T1840" s="56"/>
      <c r="U1840" s="955"/>
      <c r="V1840" s="43" t="str">
        <f t="shared" ref="V1840:V1847" si="1309">Z1829</f>
        <v>O</v>
      </c>
      <c r="W1840" s="10"/>
      <c r="X1840" s="45" t="s">
        <v>769</v>
      </c>
      <c r="Y1840" s="10"/>
      <c r="Z1840" s="46" t="str">
        <f t="shared" ref="Z1840:Z1848" si="1310">V1827</f>
        <v>K</v>
      </c>
      <c r="AA1840" s="123"/>
      <c r="AB1840" s="1459">
        <f t="shared" si="1301"/>
        <v>0</v>
      </c>
      <c r="AC1840" s="1460" t="str">
        <f t="shared" si="1302"/>
        <v>-</v>
      </c>
      <c r="AD1840" s="1459">
        <f t="shared" si="1303"/>
        <v>0</v>
      </c>
      <c r="AE1840" s="964" t="str">
        <f t="shared" si="1304"/>
        <v/>
      </c>
      <c r="AF1840" s="964" t="str">
        <f t="shared" si="1305"/>
        <v/>
      </c>
      <c r="AG1840" s="964" t="str">
        <f t="shared" si="1306"/>
        <v/>
      </c>
      <c r="AH1840" s="964" t="str">
        <f t="shared" si="1307"/>
        <v/>
      </c>
      <c r="AI1840" s="964" t="str">
        <f t="shared" si="1308"/>
        <v/>
      </c>
      <c r="AJ1840" s="964"/>
      <c r="AK1840" s="964"/>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s="1396"/>
      <c r="CB1840" s="1396"/>
      <c r="CC1840"/>
      <c r="CD1840"/>
      <c r="CE1840"/>
    </row>
    <row r="1841" spans="1:83" ht="13.15" customHeight="1" outlineLevel="2" x14ac:dyDescent="0.2">
      <c r="A1841"/>
      <c r="B1841" s="1"/>
      <c r="C1841"/>
      <c r="D1841"/>
      <c r="E1841"/>
      <c r="F1841"/>
      <c r="G1841" s="1"/>
      <c r="H1841" s="1"/>
      <c r="I1841"/>
      <c r="J1841"/>
      <c r="K1841"/>
      <c r="L1841"/>
      <c r="M1841"/>
      <c r="N1841"/>
      <c r="O1841"/>
      <c r="P1841"/>
      <c r="Q1841"/>
      <c r="R1841" s="558" t="s">
        <v>1740</v>
      </c>
      <c r="S1841" s="83"/>
      <c r="T1841" s="56"/>
      <c r="U1841" s="955"/>
      <c r="V1841" s="43" t="str">
        <f t="shared" si="1309"/>
        <v>Q</v>
      </c>
      <c r="W1841" s="10"/>
      <c r="X1841" s="45" t="s">
        <v>769</v>
      </c>
      <c r="Y1841" s="10"/>
      <c r="Z1841" s="46" t="str">
        <f t="shared" si="1310"/>
        <v>I</v>
      </c>
      <c r="AA1841" s="123"/>
      <c r="AB1841" s="1459">
        <f t="shared" si="1301"/>
        <v>0</v>
      </c>
      <c r="AC1841" s="1460" t="str">
        <f t="shared" si="1302"/>
        <v>-</v>
      </c>
      <c r="AD1841" s="1459">
        <f t="shared" si="1303"/>
        <v>0</v>
      </c>
      <c r="AE1841" s="964" t="str">
        <f t="shared" si="1304"/>
        <v/>
      </c>
      <c r="AF1841" s="964" t="str">
        <f t="shared" si="1305"/>
        <v/>
      </c>
      <c r="AG1841" s="964" t="str">
        <f t="shared" si="1306"/>
        <v/>
      </c>
      <c r="AH1841" s="964" t="str">
        <f t="shared" si="1307"/>
        <v/>
      </c>
      <c r="AI1841" s="964" t="str">
        <f t="shared" si="1308"/>
        <v/>
      </c>
      <c r="AJ1841" s="964"/>
      <c r="AK1841" s="964"/>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s="1396"/>
      <c r="CB1841" s="1396"/>
      <c r="CC1841"/>
      <c r="CD1841"/>
      <c r="CE1841"/>
    </row>
    <row r="1842" spans="1:83" ht="13.15" customHeight="1" outlineLevel="2" x14ac:dyDescent="0.2">
      <c r="A1842"/>
      <c r="B1842" s="1"/>
      <c r="C1842"/>
      <c r="D1842"/>
      <c r="E1842"/>
      <c r="F1842"/>
      <c r="G1842" s="1"/>
      <c r="H1842" s="1"/>
      <c r="I1842"/>
      <c r="J1842"/>
      <c r="K1842"/>
      <c r="L1842"/>
      <c r="M1842"/>
      <c r="N1842"/>
      <c r="O1842"/>
      <c r="P1842"/>
      <c r="Q1842"/>
      <c r="R1842" s="558" t="s">
        <v>1740</v>
      </c>
      <c r="S1842" s="83"/>
      <c r="T1842" s="56"/>
      <c r="U1842" s="955"/>
      <c r="V1842" s="43" t="str">
        <f t="shared" si="1309"/>
        <v>S</v>
      </c>
      <c r="W1842" s="10"/>
      <c r="X1842" s="45" t="s">
        <v>769</v>
      </c>
      <c r="Y1842" s="10"/>
      <c r="Z1842" s="46" t="str">
        <f t="shared" si="1310"/>
        <v>G</v>
      </c>
      <c r="AA1842" s="123"/>
      <c r="AB1842" s="1459">
        <f t="shared" si="1301"/>
        <v>0</v>
      </c>
      <c r="AC1842" s="1460" t="str">
        <f t="shared" si="1302"/>
        <v>-</v>
      </c>
      <c r="AD1842" s="1459">
        <f t="shared" si="1303"/>
        <v>0</v>
      </c>
      <c r="AE1842" s="964" t="str">
        <f t="shared" si="1304"/>
        <v/>
      </c>
      <c r="AF1842" s="964" t="str">
        <f t="shared" si="1305"/>
        <v/>
      </c>
      <c r="AG1842" s="964" t="str">
        <f t="shared" si="1306"/>
        <v/>
      </c>
      <c r="AH1842" s="964" t="str">
        <f t="shared" si="1307"/>
        <v/>
      </c>
      <c r="AI1842" s="964" t="str">
        <f t="shared" si="1308"/>
        <v/>
      </c>
      <c r="AJ1842" s="964"/>
      <c r="AK1842" s="964"/>
      <c r="AL1842"/>
      <c r="AM1842"/>
      <c r="AN1842"/>
      <c r="AO1842"/>
      <c r="AP1842"/>
      <c r="AQ1842"/>
      <c r="AR1842"/>
      <c r="AS1842"/>
      <c r="AT1842"/>
      <c r="AU1842"/>
      <c r="AV1842"/>
      <c r="AW1842"/>
      <c r="AX1842" s="9"/>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s="1396"/>
      <c r="CB1842" s="1396"/>
      <c r="CC1842"/>
      <c r="CD1842"/>
      <c r="CE1842"/>
    </row>
    <row r="1843" spans="1:83" ht="13.15" customHeight="1" outlineLevel="2" x14ac:dyDescent="0.2">
      <c r="A1843"/>
      <c r="B1843" s="1"/>
      <c r="C1843"/>
      <c r="D1843"/>
      <c r="E1843"/>
      <c r="F1843"/>
      <c r="G1843" s="1"/>
      <c r="H1843" s="1"/>
      <c r="I1843"/>
      <c r="J1843"/>
      <c r="K1843"/>
      <c r="L1843"/>
      <c r="M1843"/>
      <c r="N1843"/>
      <c r="O1843"/>
      <c r="P1843"/>
      <c r="Q1843"/>
      <c r="R1843" s="558" t="s">
        <v>1740</v>
      </c>
      <c r="S1843" s="83"/>
      <c r="T1843" s="56"/>
      <c r="U1843" s="955"/>
      <c r="V1843" s="43" t="str">
        <f t="shared" si="1309"/>
        <v>T</v>
      </c>
      <c r="W1843" s="10"/>
      <c r="X1843" s="45" t="s">
        <v>769</v>
      </c>
      <c r="Y1843" s="10"/>
      <c r="Z1843" s="46" t="str">
        <f t="shared" si="1310"/>
        <v>E</v>
      </c>
      <c r="AA1843" s="123"/>
      <c r="AB1843" s="1459">
        <f t="shared" si="1301"/>
        <v>0</v>
      </c>
      <c r="AC1843" s="1460" t="str">
        <f t="shared" si="1302"/>
        <v>-</v>
      </c>
      <c r="AD1843" s="1459">
        <f t="shared" si="1303"/>
        <v>0</v>
      </c>
      <c r="AE1843" s="964" t="str">
        <f t="shared" si="1304"/>
        <v/>
      </c>
      <c r="AF1843" s="964" t="str">
        <f t="shared" si="1305"/>
        <v/>
      </c>
      <c r="AG1843" s="964" t="str">
        <f t="shared" si="1306"/>
        <v/>
      </c>
      <c r="AH1843" s="964" t="str">
        <f t="shared" si="1307"/>
        <v/>
      </c>
      <c r="AI1843" s="964" t="str">
        <f t="shared" si="1308"/>
        <v/>
      </c>
      <c r="AJ1843" s="964"/>
      <c r="AK1843" s="964"/>
      <c r="AL1843"/>
      <c r="AM1843"/>
      <c r="AN1843"/>
      <c r="AO1843"/>
      <c r="AP1843"/>
      <c r="AQ1843"/>
      <c r="AR1843"/>
      <c r="AS1843"/>
      <c r="AT1843"/>
      <c r="AU1843"/>
      <c r="AV1843"/>
      <c r="AW1843" s="9"/>
      <c r="AX1843" s="9"/>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s="1396"/>
      <c r="CB1843" s="1396"/>
      <c r="CC1843"/>
      <c r="CD1843"/>
      <c r="CE1843"/>
    </row>
    <row r="1844" spans="1:83" ht="13.15" customHeight="1" outlineLevel="2" x14ac:dyDescent="0.2">
      <c r="A1844"/>
      <c r="B1844" s="1"/>
      <c r="C1844"/>
      <c r="D1844"/>
      <c r="E1844"/>
      <c r="F1844"/>
      <c r="G1844" s="1"/>
      <c r="H1844" s="1"/>
      <c r="I1844"/>
      <c r="J1844"/>
      <c r="K1844"/>
      <c r="L1844"/>
      <c r="M1844"/>
      <c r="N1844"/>
      <c r="O1844"/>
      <c r="P1844"/>
      <c r="Q1844"/>
      <c r="R1844" s="558" t="s">
        <v>1740</v>
      </c>
      <c r="S1844" s="83"/>
      <c r="T1844" s="56"/>
      <c r="U1844" s="955"/>
      <c r="V1844" s="43" t="str">
        <f t="shared" si="1309"/>
        <v>R</v>
      </c>
      <c r="W1844" s="10"/>
      <c r="X1844" s="45" t="s">
        <v>769</v>
      </c>
      <c r="Y1844" s="10"/>
      <c r="Z1844" s="46" t="str">
        <f t="shared" si="1310"/>
        <v>C</v>
      </c>
      <c r="AA1844" s="123"/>
      <c r="AB1844" s="1459">
        <f t="shared" si="1301"/>
        <v>0</v>
      </c>
      <c r="AC1844" s="1460" t="str">
        <f t="shared" si="1302"/>
        <v>-</v>
      </c>
      <c r="AD1844" s="1459">
        <f t="shared" si="1303"/>
        <v>0</v>
      </c>
      <c r="AE1844" s="964" t="str">
        <f t="shared" si="1304"/>
        <v/>
      </c>
      <c r="AF1844" s="964" t="str">
        <f t="shared" si="1305"/>
        <v/>
      </c>
      <c r="AG1844" s="964" t="str">
        <f t="shared" si="1306"/>
        <v/>
      </c>
      <c r="AH1844" s="964" t="str">
        <f t="shared" si="1307"/>
        <v/>
      </c>
      <c r="AI1844" s="964" t="str">
        <f t="shared" si="1308"/>
        <v/>
      </c>
      <c r="AJ1844" s="964"/>
      <c r="AK1844" s="96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s="1396"/>
      <c r="CB1844" s="1396"/>
      <c r="CC1844"/>
      <c r="CD1844"/>
      <c r="CE1844"/>
    </row>
    <row r="1845" spans="1:83" ht="13.15" customHeight="1" outlineLevel="2" x14ac:dyDescent="0.2">
      <c r="A1845"/>
      <c r="B1845" s="1"/>
      <c r="C1845"/>
      <c r="D1845"/>
      <c r="E1845"/>
      <c r="F1845"/>
      <c r="G1845" s="1"/>
      <c r="H1845" s="1"/>
      <c r="I1845"/>
      <c r="J1845"/>
      <c r="K1845"/>
      <c r="L1845"/>
      <c r="M1845"/>
      <c r="N1845"/>
      <c r="O1845"/>
      <c r="P1845"/>
      <c r="Q1845"/>
      <c r="R1845" s="558" t="s">
        <v>1740</v>
      </c>
      <c r="S1845" s="83"/>
      <c r="T1845" s="56"/>
      <c r="U1845" s="955"/>
      <c r="V1845" s="43" t="str">
        <f t="shared" si="1309"/>
        <v>P</v>
      </c>
      <c r="W1845" s="10"/>
      <c r="X1845" s="45" t="s">
        <v>769</v>
      </c>
      <c r="Y1845" s="10"/>
      <c r="Z1845" s="46" t="str">
        <f t="shared" si="1310"/>
        <v>B</v>
      </c>
      <c r="AA1845" s="123"/>
      <c r="AB1845" s="1459">
        <f t="shared" si="1301"/>
        <v>0</v>
      </c>
      <c r="AC1845" s="1460" t="str">
        <f t="shared" si="1302"/>
        <v>-</v>
      </c>
      <c r="AD1845" s="1459">
        <f t="shared" si="1303"/>
        <v>0</v>
      </c>
      <c r="AE1845" s="964" t="str">
        <f t="shared" si="1304"/>
        <v/>
      </c>
      <c r="AF1845" s="964" t="str">
        <f t="shared" si="1305"/>
        <v/>
      </c>
      <c r="AG1845" s="964" t="str">
        <f t="shared" si="1306"/>
        <v/>
      </c>
      <c r="AH1845" s="964" t="str">
        <f t="shared" si="1307"/>
        <v/>
      </c>
      <c r="AI1845" s="964" t="str">
        <f t="shared" si="1308"/>
        <v/>
      </c>
      <c r="AJ1845" s="964"/>
      <c r="AK1845" s="964"/>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s="1396"/>
      <c r="CB1845" s="1396"/>
      <c r="CC1845"/>
      <c r="CD1845"/>
      <c r="CE1845"/>
    </row>
    <row r="1846" spans="1:83" ht="13.15" customHeight="1" outlineLevel="2" x14ac:dyDescent="0.2">
      <c r="A1846"/>
      <c r="B1846" s="1"/>
      <c r="C1846"/>
      <c r="D1846"/>
      <c r="E1846"/>
      <c r="F1846"/>
      <c r="G1846" s="1"/>
      <c r="H1846" s="1"/>
      <c r="I1846"/>
      <c r="J1846"/>
      <c r="K1846"/>
      <c r="L1846"/>
      <c r="M1846"/>
      <c r="N1846"/>
      <c r="O1846"/>
      <c r="P1846"/>
      <c r="Q1846"/>
      <c r="R1846" s="558" t="s">
        <v>1740</v>
      </c>
      <c r="S1846" s="83"/>
      <c r="T1846" s="56"/>
      <c r="U1846" s="955"/>
      <c r="V1846" s="43" t="str">
        <f t="shared" si="1309"/>
        <v>N</v>
      </c>
      <c r="W1846" s="10"/>
      <c r="X1846" s="45" t="s">
        <v>769</v>
      </c>
      <c r="Y1846" s="10"/>
      <c r="Z1846" s="46" t="str">
        <f t="shared" si="1310"/>
        <v>D</v>
      </c>
      <c r="AA1846" s="123"/>
      <c r="AB1846" s="1459">
        <f t="shared" si="1301"/>
        <v>0</v>
      </c>
      <c r="AC1846" s="1460" t="str">
        <f t="shared" si="1302"/>
        <v>-</v>
      </c>
      <c r="AD1846" s="1459">
        <f t="shared" si="1303"/>
        <v>0</v>
      </c>
      <c r="AE1846" s="964" t="str">
        <f t="shared" si="1304"/>
        <v/>
      </c>
      <c r="AF1846" s="964" t="str">
        <f t="shared" si="1305"/>
        <v/>
      </c>
      <c r="AG1846" s="964" t="str">
        <f t="shared" si="1306"/>
        <v/>
      </c>
      <c r="AH1846" s="964" t="str">
        <f t="shared" si="1307"/>
        <v/>
      </c>
      <c r="AI1846" s="964" t="str">
        <f t="shared" si="1308"/>
        <v/>
      </c>
      <c r="AJ1846" s="964"/>
      <c r="AK1846" s="964"/>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s="1396"/>
      <c r="CB1846" s="1396"/>
      <c r="CC1846"/>
      <c r="CD1846"/>
      <c r="CE1846"/>
    </row>
    <row r="1847" spans="1:83" ht="13.15" customHeight="1" outlineLevel="2" x14ac:dyDescent="0.2">
      <c r="A1847"/>
      <c r="B1847" s="1"/>
      <c r="C1847"/>
      <c r="D1847"/>
      <c r="E1847"/>
      <c r="F1847"/>
      <c r="G1847" s="1"/>
      <c r="H1847" s="1"/>
      <c r="I1847"/>
      <c r="J1847"/>
      <c r="K1847"/>
      <c r="L1847"/>
      <c r="M1847"/>
      <c r="N1847"/>
      <c r="O1847"/>
      <c r="P1847"/>
      <c r="Q1847"/>
      <c r="R1847" s="558" t="s">
        <v>1740</v>
      </c>
      <c r="S1847" s="83"/>
      <c r="T1847" s="56"/>
      <c r="U1847" s="955"/>
      <c r="V1847" s="43" t="str">
        <f t="shared" si="1309"/>
        <v>L</v>
      </c>
      <c r="W1847" s="10"/>
      <c r="X1847" s="45" t="s">
        <v>769</v>
      </c>
      <c r="Y1847" s="10"/>
      <c r="Z1847" s="46" t="str">
        <f t="shared" si="1310"/>
        <v>F</v>
      </c>
      <c r="AA1847" s="123"/>
      <c r="AB1847" s="1459">
        <f t="shared" si="1301"/>
        <v>0</v>
      </c>
      <c r="AC1847" s="1460" t="str">
        <f t="shared" si="1302"/>
        <v>-</v>
      </c>
      <c r="AD1847" s="1459">
        <f t="shared" si="1303"/>
        <v>0</v>
      </c>
      <c r="AE1847" s="964" t="str">
        <f t="shared" si="1304"/>
        <v/>
      </c>
      <c r="AF1847" s="964" t="str">
        <f t="shared" si="1305"/>
        <v/>
      </c>
      <c r="AG1847" s="964" t="str">
        <f t="shared" si="1306"/>
        <v/>
      </c>
      <c r="AH1847" s="964" t="str">
        <f t="shared" si="1307"/>
        <v/>
      </c>
      <c r="AI1847" s="964" t="str">
        <f t="shared" si="1308"/>
        <v/>
      </c>
      <c r="AJ1847" s="964"/>
      <c r="AK1847" s="964"/>
      <c r="AL1847"/>
      <c r="AM1847"/>
      <c r="AN1847"/>
      <c r="AO1847"/>
      <c r="AP1847"/>
      <c r="AQ1847"/>
      <c r="AR1847"/>
      <c r="AS1847"/>
      <c r="AT1847"/>
      <c r="AU1847"/>
      <c r="AV1847"/>
      <c r="AW1847"/>
      <c r="AX1847" s="9"/>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s="1396"/>
      <c r="CB1847" s="1396"/>
      <c r="CC1847"/>
      <c r="CD1847"/>
      <c r="CE1847"/>
    </row>
    <row r="1848" spans="1:83" ht="13.9" customHeight="1" outlineLevel="2" thickBot="1" x14ac:dyDescent="0.25">
      <c r="A1848"/>
      <c r="B1848" s="1"/>
      <c r="C1848"/>
      <c r="D1848"/>
      <c r="E1848"/>
      <c r="F1848"/>
      <c r="G1848" s="1"/>
      <c r="H1848" s="1"/>
      <c r="I1848"/>
      <c r="J1848"/>
      <c r="K1848"/>
      <c r="L1848"/>
      <c r="M1848"/>
      <c r="N1848"/>
      <c r="O1848"/>
      <c r="P1848"/>
      <c r="Q1848"/>
      <c r="R1848" s="558" t="s">
        <v>1740</v>
      </c>
      <c r="S1848" s="956"/>
      <c r="T1848" s="58"/>
      <c r="U1848" s="957"/>
      <c r="V1848" s="958" t="str">
        <f>V1836</f>
        <v>J</v>
      </c>
      <c r="W1848" s="175"/>
      <c r="X1848" s="52" t="s">
        <v>769</v>
      </c>
      <c r="Y1848" s="175"/>
      <c r="Z1848" s="46" t="str">
        <f t="shared" si="1310"/>
        <v>H</v>
      </c>
      <c r="AA1848" s="123"/>
      <c r="AB1848" s="1459">
        <f t="shared" si="1301"/>
        <v>0</v>
      </c>
      <c r="AC1848" s="1460" t="str">
        <f t="shared" si="1302"/>
        <v>-</v>
      </c>
      <c r="AD1848" s="1459">
        <f t="shared" si="1303"/>
        <v>0</v>
      </c>
      <c r="AE1848" s="964" t="str">
        <f t="shared" si="1304"/>
        <v/>
      </c>
      <c r="AF1848" s="964" t="str">
        <f t="shared" si="1305"/>
        <v/>
      </c>
      <c r="AG1848" s="964" t="str">
        <f t="shared" si="1306"/>
        <v/>
      </c>
      <c r="AH1848" s="964" t="str">
        <f t="shared" si="1307"/>
        <v/>
      </c>
      <c r="AI1848" s="964" t="str">
        <f t="shared" si="1308"/>
        <v/>
      </c>
      <c r="AJ1848" s="964"/>
      <c r="AK1848" s="964"/>
      <c r="AL1848"/>
      <c r="AM1848"/>
      <c r="AN1848"/>
      <c r="AO1848"/>
      <c r="AP1848"/>
      <c r="AQ1848"/>
      <c r="AR1848"/>
      <c r="AS1848"/>
      <c r="AT1848"/>
      <c r="AU1848"/>
      <c r="AV1848"/>
      <c r="AW1848" s="9"/>
      <c r="AX1848" s="9"/>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s="1396"/>
      <c r="CB1848" s="1396"/>
      <c r="CC1848"/>
      <c r="CD1848"/>
      <c r="CE1848"/>
    </row>
    <row r="1849" spans="1:83" ht="13.5" outlineLevel="1" thickBot="1" x14ac:dyDescent="0.25">
      <c r="A1849"/>
      <c r="B1849" s="1"/>
      <c r="C1849" s="1"/>
      <c r="D1849" s="76"/>
      <c r="E1849" s="76"/>
      <c r="F1849" s="76"/>
      <c r="G1849" s="9"/>
      <c r="H1849" s="9"/>
      <c r="I1849" s="1"/>
      <c r="J1849"/>
      <c r="K1849"/>
      <c r="L1849"/>
      <c r="M1849"/>
      <c r="N1849"/>
      <c r="O1849"/>
      <c r="P1849" s="89"/>
      <c r="Q1849"/>
      <c r="R1849" s="1"/>
      <c r="S1849" s="993">
        <f>S1837+1</f>
        <v>8</v>
      </c>
      <c r="T1849" s="961"/>
      <c r="U1849" s="961"/>
      <c r="V1849" s="961"/>
      <c r="W1849" s="960"/>
      <c r="X1849" s="960"/>
      <c r="Y1849" s="960"/>
      <c r="Z1849" s="962"/>
      <c r="AA1849" s="123"/>
      <c r="AB1849" s="963"/>
      <c r="AC1849" s="963"/>
      <c r="AD1849" s="963"/>
      <c r="AE1849" s="964"/>
      <c r="AF1849" s="964"/>
      <c r="AG1849" s="964"/>
      <c r="AH1849" s="964"/>
      <c r="AI1849" s="964"/>
      <c r="AJ1849" s="964"/>
      <c r="AK1849" s="964"/>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s="1396"/>
      <c r="CB1849" s="1396"/>
      <c r="CC1849"/>
      <c r="CD1849"/>
      <c r="CE1849"/>
    </row>
    <row r="1850" spans="1:83" ht="13.9" customHeight="1" outlineLevel="2" thickBot="1" x14ac:dyDescent="0.25">
      <c r="A1850"/>
      <c r="B1850" s="1"/>
      <c r="C1850"/>
      <c r="D1850"/>
      <c r="E1850"/>
      <c r="F1850"/>
      <c r="G1850" s="1"/>
      <c r="H1850" s="1"/>
      <c r="I1850"/>
      <c r="J1850"/>
      <c r="K1850"/>
      <c r="L1850"/>
      <c r="M1850"/>
      <c r="N1850"/>
      <c r="O1850"/>
      <c r="P1850"/>
      <c r="Q1850"/>
      <c r="S1850" s="22" t="str">
        <f>N_Heure</f>
        <v>Heure</v>
      </c>
      <c r="T1850" s="22" t="str">
        <f>N_Table</f>
        <v>Table</v>
      </c>
      <c r="U1850" s="22" t="str">
        <f>N_Arbitre</f>
        <v>Arbitre</v>
      </c>
      <c r="V1850" s="293" t="str">
        <f>N_Matches</f>
        <v>Matches</v>
      </c>
      <c r="W1850" s="294"/>
      <c r="X1850" s="294"/>
      <c r="Y1850" s="294"/>
      <c r="Z1850" s="295"/>
      <c r="AA1850" s="8"/>
      <c r="AB1850" s="967"/>
      <c r="AC1850" s="967"/>
      <c r="AD1850" s="967"/>
      <c r="AE1850" s="964"/>
      <c r="AF1850" s="964"/>
      <c r="AG1850" s="964"/>
      <c r="AH1850" s="964"/>
      <c r="AI1850" s="964"/>
      <c r="AJ1850" s="964"/>
      <c r="AK1850" s="964"/>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s="1396"/>
      <c r="CB1850" s="1396"/>
      <c r="CC1850"/>
      <c r="CD1850"/>
      <c r="CE1850"/>
    </row>
    <row r="1851" spans="1:83" ht="13.15" customHeight="1" outlineLevel="2" x14ac:dyDescent="0.2">
      <c r="A1851"/>
      <c r="B1851" s="1"/>
      <c r="C1851"/>
      <c r="D1851"/>
      <c r="E1851"/>
      <c r="F1851"/>
      <c r="G1851" s="1"/>
      <c r="H1851" s="1"/>
      <c r="I1851"/>
      <c r="J1851"/>
      <c r="K1851"/>
      <c r="L1851"/>
      <c r="M1851"/>
      <c r="N1851"/>
      <c r="O1851"/>
      <c r="P1851"/>
      <c r="Q1851"/>
      <c r="R1851" s="558" t="s">
        <v>930</v>
      </c>
      <c r="S1851" s="65"/>
      <c r="T1851" s="953"/>
      <c r="U1851" s="954"/>
      <c r="V1851" s="34" t="str">
        <f>V1840</f>
        <v>O</v>
      </c>
      <c r="W1851" s="148"/>
      <c r="X1851" s="35" t="s">
        <v>769</v>
      </c>
      <c r="Y1851" s="148"/>
      <c r="Z1851" s="36" t="str">
        <f>V1839</f>
        <v>A</v>
      </c>
      <c r="AA1851" s="123"/>
      <c r="AB1851" s="1459">
        <f t="shared" ref="AB1851:AB1860" si="1311">IF(MaxScore,MaxGoals(W1851,Y1851,MaxGoalsValue),IF(W1851="","",W1851))</f>
        <v>0</v>
      </c>
      <c r="AC1851" s="1460" t="str">
        <f t="shared" ref="AC1851:AC1860" si="1312">IF(MaxScore,"-",IF(W1851="","","-"))</f>
        <v>-</v>
      </c>
      <c r="AD1851" s="1459">
        <f t="shared" ref="AD1851:AD1860" si="1313">IF(MaxScore,MaxGoals(Y1851,W1851,MaxGoalsValue),IF(Y1851="","",Y1851))</f>
        <v>0</v>
      </c>
      <c r="AE1851" s="964" t="str">
        <f t="shared" ref="AE1851:AE1860" si="1314">IF(W1851="","",IF(W1851&gt;Y1851,V1851,IF(W1851=Y1851,"",Z1851)))</f>
        <v/>
      </c>
      <c r="AF1851" s="964" t="str">
        <f t="shared" ref="AF1851:AF1860" si="1315">IF(W1851="","",IF(W1851=Y1851,V1851,""))</f>
        <v/>
      </c>
      <c r="AG1851" s="964" t="str">
        <f t="shared" ref="AG1851:AG1860" si="1316">IF(W1851="","",IF(W1851=Y1851,Z1851,""))</f>
        <v/>
      </c>
      <c r="AH1851" s="964" t="str">
        <f t="shared" ref="AH1851:AH1860" si="1317">IF(W1851="","",IF(W1851&lt;Y1851,V1851,IF(W1851=Y1851,"",Z1851)))</f>
        <v/>
      </c>
      <c r="AI1851" s="964" t="str">
        <f t="shared" ref="AI1851:AI1860" si="1318">CONCATENATE(AE1851,AH1851)</f>
        <v/>
      </c>
      <c r="AJ1851" s="964"/>
      <c r="AK1851" s="964"/>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s="1396"/>
      <c r="CB1851" s="1396"/>
      <c r="CC1851"/>
      <c r="CD1851"/>
      <c r="CE1851"/>
    </row>
    <row r="1852" spans="1:83" ht="13.15" customHeight="1" outlineLevel="2" x14ac:dyDescent="0.2">
      <c r="A1852"/>
      <c r="B1852" s="1"/>
      <c r="C1852"/>
      <c r="D1852"/>
      <c r="E1852"/>
      <c r="F1852"/>
      <c r="G1852" s="1"/>
      <c r="H1852" s="1"/>
      <c r="I1852"/>
      <c r="J1852"/>
      <c r="K1852"/>
      <c r="L1852"/>
      <c r="M1852"/>
      <c r="N1852"/>
      <c r="O1852"/>
      <c r="P1852"/>
      <c r="Q1852"/>
      <c r="R1852" s="558" t="s">
        <v>930</v>
      </c>
      <c r="S1852" s="83"/>
      <c r="T1852" s="56"/>
      <c r="U1852" s="955"/>
      <c r="V1852" s="43" t="str">
        <f t="shared" ref="V1852:V1860" si="1319">Z1839</f>
        <v>M</v>
      </c>
      <c r="W1852" s="10"/>
      <c r="X1852" s="45" t="s">
        <v>769</v>
      </c>
      <c r="Y1852" s="10"/>
      <c r="Z1852" s="46" t="str">
        <f t="shared" ref="Z1852:Z1859" si="1320">V1841</f>
        <v>Q</v>
      </c>
      <c r="AA1852" s="123"/>
      <c r="AB1852" s="1459">
        <f t="shared" si="1311"/>
        <v>0</v>
      </c>
      <c r="AC1852" s="1460" t="str">
        <f t="shared" si="1312"/>
        <v>-</v>
      </c>
      <c r="AD1852" s="1459">
        <f t="shared" si="1313"/>
        <v>0</v>
      </c>
      <c r="AE1852" s="964" t="str">
        <f t="shared" si="1314"/>
        <v/>
      </c>
      <c r="AF1852" s="964" t="str">
        <f t="shared" si="1315"/>
        <v/>
      </c>
      <c r="AG1852" s="964" t="str">
        <f t="shared" si="1316"/>
        <v/>
      </c>
      <c r="AH1852" s="964" t="str">
        <f t="shared" si="1317"/>
        <v/>
      </c>
      <c r="AI1852" s="964" t="str">
        <f t="shared" si="1318"/>
        <v/>
      </c>
      <c r="AJ1852" s="964"/>
      <c r="AK1852" s="964"/>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s="1396"/>
      <c r="CB1852" s="1396"/>
      <c r="CC1852"/>
      <c r="CD1852"/>
      <c r="CE1852"/>
    </row>
    <row r="1853" spans="1:83" ht="13.15" customHeight="1" outlineLevel="2" x14ac:dyDescent="0.2">
      <c r="A1853"/>
      <c r="B1853" s="1"/>
      <c r="C1853"/>
      <c r="D1853"/>
      <c r="E1853"/>
      <c r="F1853"/>
      <c r="G1853" s="1"/>
      <c r="H1853" s="1"/>
      <c r="I1853"/>
      <c r="J1853"/>
      <c r="K1853"/>
      <c r="L1853"/>
      <c r="M1853"/>
      <c r="N1853"/>
      <c r="O1853"/>
      <c r="P1853"/>
      <c r="Q1853"/>
      <c r="R1853" s="558" t="s">
        <v>930</v>
      </c>
      <c r="S1853" s="83"/>
      <c r="T1853" s="56"/>
      <c r="U1853" s="955"/>
      <c r="V1853" s="43" t="str">
        <f t="shared" si="1319"/>
        <v>K</v>
      </c>
      <c r="W1853" s="10"/>
      <c r="X1853" s="45" t="s">
        <v>769</v>
      </c>
      <c r="Y1853" s="10"/>
      <c r="Z1853" s="46" t="str">
        <f t="shared" si="1320"/>
        <v>S</v>
      </c>
      <c r="AA1853" s="123"/>
      <c r="AB1853" s="1459">
        <f t="shared" si="1311"/>
        <v>0</v>
      </c>
      <c r="AC1853" s="1460" t="str">
        <f t="shared" si="1312"/>
        <v>-</v>
      </c>
      <c r="AD1853" s="1459">
        <f t="shared" si="1313"/>
        <v>0</v>
      </c>
      <c r="AE1853" s="964" t="str">
        <f t="shared" si="1314"/>
        <v/>
      </c>
      <c r="AF1853" s="964" t="str">
        <f t="shared" si="1315"/>
        <v/>
      </c>
      <c r="AG1853" s="964" t="str">
        <f t="shared" si="1316"/>
        <v/>
      </c>
      <c r="AH1853" s="964" t="str">
        <f t="shared" si="1317"/>
        <v/>
      </c>
      <c r="AI1853" s="964" t="str">
        <f t="shared" si="1318"/>
        <v/>
      </c>
      <c r="AJ1853" s="964"/>
      <c r="AK1853" s="964"/>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s="1396"/>
      <c r="CB1853" s="1396"/>
      <c r="CC1853"/>
      <c r="CD1853"/>
      <c r="CE1853"/>
    </row>
    <row r="1854" spans="1:83" ht="13.15" customHeight="1" outlineLevel="2" x14ac:dyDescent="0.2">
      <c r="A1854"/>
      <c r="B1854" s="1"/>
      <c r="C1854"/>
      <c r="D1854"/>
      <c r="E1854"/>
      <c r="F1854"/>
      <c r="G1854" s="1"/>
      <c r="H1854" s="1"/>
      <c r="I1854"/>
      <c r="J1854"/>
      <c r="K1854"/>
      <c r="L1854"/>
      <c r="M1854"/>
      <c r="N1854"/>
      <c r="O1854"/>
      <c r="P1854"/>
      <c r="Q1854"/>
      <c r="R1854" s="558" t="s">
        <v>930</v>
      </c>
      <c r="S1854" s="83"/>
      <c r="T1854" s="56"/>
      <c r="U1854" s="955"/>
      <c r="V1854" s="43" t="str">
        <f t="shared" si="1319"/>
        <v>I</v>
      </c>
      <c r="W1854" s="10"/>
      <c r="X1854" s="45" t="s">
        <v>769</v>
      </c>
      <c r="Y1854" s="10"/>
      <c r="Z1854" s="46" t="str">
        <f t="shared" si="1320"/>
        <v>T</v>
      </c>
      <c r="AA1854" s="123"/>
      <c r="AB1854" s="1459">
        <f t="shared" si="1311"/>
        <v>0</v>
      </c>
      <c r="AC1854" s="1460" t="str">
        <f t="shared" si="1312"/>
        <v>-</v>
      </c>
      <c r="AD1854" s="1459">
        <f t="shared" si="1313"/>
        <v>0</v>
      </c>
      <c r="AE1854" s="964" t="str">
        <f t="shared" si="1314"/>
        <v/>
      </c>
      <c r="AF1854" s="964" t="str">
        <f t="shared" si="1315"/>
        <v/>
      </c>
      <c r="AG1854" s="964" t="str">
        <f t="shared" si="1316"/>
        <v/>
      </c>
      <c r="AH1854" s="964" t="str">
        <f t="shared" si="1317"/>
        <v/>
      </c>
      <c r="AI1854" s="964" t="str">
        <f t="shared" si="1318"/>
        <v/>
      </c>
      <c r="AJ1854" s="964"/>
      <c r="AK1854" s="964"/>
      <c r="AL1854"/>
      <c r="AM1854"/>
      <c r="AN1854"/>
      <c r="AO1854"/>
      <c r="AP1854"/>
      <c r="AQ1854"/>
      <c r="AR1854"/>
      <c r="AS1854"/>
      <c r="AT1854"/>
      <c r="AU1854"/>
      <c r="AV1854"/>
      <c r="AW1854"/>
      <c r="AX1854" s="9"/>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s="1396"/>
      <c r="CB1854" s="1396"/>
      <c r="CC1854"/>
      <c r="CD1854"/>
      <c r="CE1854"/>
    </row>
    <row r="1855" spans="1:83" ht="13.15" customHeight="1" outlineLevel="2" x14ac:dyDescent="0.2">
      <c r="A1855"/>
      <c r="B1855" s="1"/>
      <c r="C1855"/>
      <c r="D1855"/>
      <c r="E1855"/>
      <c r="F1855"/>
      <c r="G1855" s="1"/>
      <c r="H1855" s="1"/>
      <c r="I1855"/>
      <c r="J1855"/>
      <c r="K1855"/>
      <c r="L1855"/>
      <c r="M1855"/>
      <c r="N1855"/>
      <c r="O1855"/>
      <c r="P1855"/>
      <c r="Q1855"/>
      <c r="R1855" s="558" t="s">
        <v>930</v>
      </c>
      <c r="S1855" s="83"/>
      <c r="T1855" s="56"/>
      <c r="U1855" s="955"/>
      <c r="V1855" s="43" t="str">
        <f t="shared" si="1319"/>
        <v>G</v>
      </c>
      <c r="W1855" s="10"/>
      <c r="X1855" s="45" t="s">
        <v>769</v>
      </c>
      <c r="Y1855" s="10"/>
      <c r="Z1855" s="46" t="str">
        <f t="shared" si="1320"/>
        <v>R</v>
      </c>
      <c r="AA1855" s="123"/>
      <c r="AB1855" s="1459">
        <f t="shared" si="1311"/>
        <v>0</v>
      </c>
      <c r="AC1855" s="1460" t="str">
        <f t="shared" si="1312"/>
        <v>-</v>
      </c>
      <c r="AD1855" s="1459">
        <f t="shared" si="1313"/>
        <v>0</v>
      </c>
      <c r="AE1855" s="964" t="str">
        <f t="shared" si="1314"/>
        <v/>
      </c>
      <c r="AF1855" s="964" t="str">
        <f t="shared" si="1315"/>
        <v/>
      </c>
      <c r="AG1855" s="964" t="str">
        <f t="shared" si="1316"/>
        <v/>
      </c>
      <c r="AH1855" s="964" t="str">
        <f t="shared" si="1317"/>
        <v/>
      </c>
      <c r="AI1855" s="964" t="str">
        <f t="shared" si="1318"/>
        <v/>
      </c>
      <c r="AJ1855" s="964"/>
      <c r="AK1855" s="964"/>
      <c r="AL1855"/>
      <c r="AM1855"/>
      <c r="AN1855"/>
      <c r="AO1855"/>
      <c r="AP1855"/>
      <c r="AQ1855"/>
      <c r="AR1855"/>
      <c r="AS1855"/>
      <c r="AT1855"/>
      <c r="AU1855"/>
      <c r="AV1855"/>
      <c r="AW1855" s="9"/>
      <c r="AX1855" s="9"/>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s="1396"/>
      <c r="CB1855" s="1396"/>
      <c r="CC1855"/>
      <c r="CD1855"/>
      <c r="CE1855"/>
    </row>
    <row r="1856" spans="1:83" ht="13.15" customHeight="1" outlineLevel="2" x14ac:dyDescent="0.2">
      <c r="A1856"/>
      <c r="B1856" s="1"/>
      <c r="C1856"/>
      <c r="D1856"/>
      <c r="E1856"/>
      <c r="F1856"/>
      <c r="G1856" s="1"/>
      <c r="H1856" s="1"/>
      <c r="I1856"/>
      <c r="J1856"/>
      <c r="K1856"/>
      <c r="L1856"/>
      <c r="M1856"/>
      <c r="N1856"/>
      <c r="O1856"/>
      <c r="P1856"/>
      <c r="Q1856"/>
      <c r="R1856" s="558" t="s">
        <v>930</v>
      </c>
      <c r="S1856" s="83"/>
      <c r="T1856" s="56"/>
      <c r="U1856" s="955"/>
      <c r="V1856" s="43" t="str">
        <f t="shared" si="1319"/>
        <v>E</v>
      </c>
      <c r="W1856" s="10"/>
      <c r="X1856" s="45" t="s">
        <v>769</v>
      </c>
      <c r="Y1856" s="10"/>
      <c r="Z1856" s="46" t="str">
        <f t="shared" si="1320"/>
        <v>P</v>
      </c>
      <c r="AA1856" s="123"/>
      <c r="AB1856" s="1459">
        <f t="shared" si="1311"/>
        <v>0</v>
      </c>
      <c r="AC1856" s="1460" t="str">
        <f t="shared" si="1312"/>
        <v>-</v>
      </c>
      <c r="AD1856" s="1459">
        <f t="shared" si="1313"/>
        <v>0</v>
      </c>
      <c r="AE1856" s="964" t="str">
        <f t="shared" si="1314"/>
        <v/>
      </c>
      <c r="AF1856" s="964" t="str">
        <f t="shared" si="1315"/>
        <v/>
      </c>
      <c r="AG1856" s="964" t="str">
        <f t="shared" si="1316"/>
        <v/>
      </c>
      <c r="AH1856" s="964" t="str">
        <f t="shared" si="1317"/>
        <v/>
      </c>
      <c r="AI1856" s="964" t="str">
        <f t="shared" si="1318"/>
        <v/>
      </c>
      <c r="AJ1856" s="964"/>
      <c r="AK1856" s="964"/>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s="1396"/>
      <c r="CB1856" s="1396"/>
      <c r="CC1856"/>
      <c r="CD1856"/>
      <c r="CE1856"/>
    </row>
    <row r="1857" spans="1:83" ht="13.15" customHeight="1" outlineLevel="2" x14ac:dyDescent="0.2">
      <c r="A1857"/>
      <c r="B1857" s="1"/>
      <c r="C1857"/>
      <c r="D1857"/>
      <c r="E1857"/>
      <c r="F1857"/>
      <c r="G1857" s="1"/>
      <c r="H1857" s="1"/>
      <c r="I1857"/>
      <c r="J1857"/>
      <c r="K1857"/>
      <c r="L1857"/>
      <c r="M1857"/>
      <c r="N1857"/>
      <c r="O1857"/>
      <c r="P1857"/>
      <c r="Q1857"/>
      <c r="R1857" s="558" t="s">
        <v>930</v>
      </c>
      <c r="S1857" s="83"/>
      <c r="T1857" s="56"/>
      <c r="U1857" s="955"/>
      <c r="V1857" s="43" t="str">
        <f t="shared" si="1319"/>
        <v>C</v>
      </c>
      <c r="W1857" s="10"/>
      <c r="X1857" s="45" t="s">
        <v>769</v>
      </c>
      <c r="Y1857" s="10"/>
      <c r="Z1857" s="46" t="str">
        <f t="shared" si="1320"/>
        <v>N</v>
      </c>
      <c r="AA1857" s="123"/>
      <c r="AB1857" s="1459">
        <f t="shared" si="1311"/>
        <v>0</v>
      </c>
      <c r="AC1857" s="1460" t="str">
        <f t="shared" si="1312"/>
        <v>-</v>
      </c>
      <c r="AD1857" s="1459">
        <f t="shared" si="1313"/>
        <v>0</v>
      </c>
      <c r="AE1857" s="964" t="str">
        <f t="shared" si="1314"/>
        <v/>
      </c>
      <c r="AF1857" s="964" t="str">
        <f t="shared" si="1315"/>
        <v/>
      </c>
      <c r="AG1857" s="964" t="str">
        <f t="shared" si="1316"/>
        <v/>
      </c>
      <c r="AH1857" s="964" t="str">
        <f t="shared" si="1317"/>
        <v/>
      </c>
      <c r="AI1857" s="964" t="str">
        <f t="shared" si="1318"/>
        <v/>
      </c>
      <c r="AJ1857" s="964"/>
      <c r="AK1857" s="964"/>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s="1396"/>
      <c r="CB1857" s="1396"/>
      <c r="CC1857"/>
      <c r="CD1857"/>
      <c r="CE1857"/>
    </row>
    <row r="1858" spans="1:83" ht="13.15" customHeight="1" outlineLevel="2" x14ac:dyDescent="0.2">
      <c r="A1858"/>
      <c r="B1858" s="1"/>
      <c r="C1858"/>
      <c r="D1858"/>
      <c r="E1858"/>
      <c r="F1858"/>
      <c r="G1858" s="1"/>
      <c r="H1858" s="1"/>
      <c r="I1858"/>
      <c r="J1858"/>
      <c r="K1858"/>
      <c r="L1858"/>
      <c r="M1858"/>
      <c r="N1858"/>
      <c r="O1858"/>
      <c r="P1858"/>
      <c r="Q1858"/>
      <c r="R1858" s="558" t="s">
        <v>930</v>
      </c>
      <c r="S1858" s="83"/>
      <c r="T1858" s="56"/>
      <c r="U1858" s="955"/>
      <c r="V1858" s="43" t="str">
        <f t="shared" si="1319"/>
        <v>B</v>
      </c>
      <c r="W1858" s="10"/>
      <c r="X1858" s="45" t="s">
        <v>769</v>
      </c>
      <c r="Y1858" s="10"/>
      <c r="Z1858" s="46" t="str">
        <f t="shared" si="1320"/>
        <v>L</v>
      </c>
      <c r="AA1858" s="123"/>
      <c r="AB1858" s="1459">
        <f t="shared" si="1311"/>
        <v>0</v>
      </c>
      <c r="AC1858" s="1460" t="str">
        <f t="shared" si="1312"/>
        <v>-</v>
      </c>
      <c r="AD1858" s="1459">
        <f t="shared" si="1313"/>
        <v>0</v>
      </c>
      <c r="AE1858" s="964" t="str">
        <f t="shared" si="1314"/>
        <v/>
      </c>
      <c r="AF1858" s="964" t="str">
        <f t="shared" si="1315"/>
        <v/>
      </c>
      <c r="AG1858" s="964" t="str">
        <f t="shared" si="1316"/>
        <v/>
      </c>
      <c r="AH1858" s="964" t="str">
        <f t="shared" si="1317"/>
        <v/>
      </c>
      <c r="AI1858" s="964" t="str">
        <f t="shared" si="1318"/>
        <v/>
      </c>
      <c r="AJ1858" s="964"/>
      <c r="AK1858" s="964"/>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s="1396"/>
      <c r="CB1858" s="1396"/>
      <c r="CC1858"/>
      <c r="CD1858"/>
      <c r="CE1858"/>
    </row>
    <row r="1859" spans="1:83" ht="13.15" customHeight="1" outlineLevel="2" x14ac:dyDescent="0.2">
      <c r="A1859"/>
      <c r="B1859" s="1"/>
      <c r="C1859"/>
      <c r="D1859"/>
      <c r="E1859"/>
      <c r="F1859"/>
      <c r="G1859" s="1"/>
      <c r="H1859" s="1"/>
      <c r="I1859"/>
      <c r="J1859"/>
      <c r="K1859"/>
      <c r="L1859"/>
      <c r="M1859"/>
      <c r="N1859"/>
      <c r="O1859"/>
      <c r="P1859"/>
      <c r="Q1859"/>
      <c r="R1859" s="558" t="s">
        <v>930</v>
      </c>
      <c r="S1859" s="83"/>
      <c r="T1859" s="56"/>
      <c r="U1859" s="955"/>
      <c r="V1859" s="43" t="str">
        <f t="shared" si="1319"/>
        <v>D</v>
      </c>
      <c r="W1859" s="10"/>
      <c r="X1859" s="45" t="s">
        <v>769</v>
      </c>
      <c r="Y1859" s="10"/>
      <c r="Z1859" s="46" t="str">
        <f t="shared" si="1320"/>
        <v>J</v>
      </c>
      <c r="AA1859" s="123"/>
      <c r="AB1859" s="1459">
        <f t="shared" si="1311"/>
        <v>0</v>
      </c>
      <c r="AC1859" s="1460" t="str">
        <f t="shared" si="1312"/>
        <v>-</v>
      </c>
      <c r="AD1859" s="1459">
        <f t="shared" si="1313"/>
        <v>0</v>
      </c>
      <c r="AE1859" s="964" t="str">
        <f t="shared" si="1314"/>
        <v/>
      </c>
      <c r="AF1859" s="964" t="str">
        <f t="shared" si="1315"/>
        <v/>
      </c>
      <c r="AG1859" s="964" t="str">
        <f t="shared" si="1316"/>
        <v/>
      </c>
      <c r="AH1859" s="964" t="str">
        <f t="shared" si="1317"/>
        <v/>
      </c>
      <c r="AI1859" s="964" t="str">
        <f t="shared" si="1318"/>
        <v/>
      </c>
      <c r="AJ1859" s="964"/>
      <c r="AK1859" s="964"/>
      <c r="AL1859"/>
      <c r="AM1859"/>
      <c r="AN1859"/>
      <c r="AO1859"/>
      <c r="AP1859"/>
      <c r="AQ1859"/>
      <c r="AR1859"/>
      <c r="AS1859"/>
      <c r="AT1859"/>
      <c r="AU1859"/>
      <c r="AV1859"/>
      <c r="AW1859"/>
      <c r="AX1859" s="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s="1396"/>
      <c r="CB1859" s="1396"/>
      <c r="CC1859"/>
      <c r="CD1859"/>
      <c r="CE1859"/>
    </row>
    <row r="1860" spans="1:83" ht="13.9" customHeight="1" outlineLevel="2" thickBot="1" x14ac:dyDescent="0.25">
      <c r="A1860"/>
      <c r="B1860" s="1"/>
      <c r="C1860"/>
      <c r="D1860"/>
      <c r="E1860"/>
      <c r="F1860"/>
      <c r="G1860" s="1"/>
      <c r="H1860" s="1"/>
      <c r="I1860"/>
      <c r="J1860"/>
      <c r="K1860"/>
      <c r="L1860"/>
      <c r="M1860"/>
      <c r="N1860"/>
      <c r="O1860"/>
      <c r="P1860"/>
      <c r="Q1860"/>
      <c r="R1860" s="558" t="s">
        <v>930</v>
      </c>
      <c r="S1860" s="956"/>
      <c r="T1860" s="58"/>
      <c r="U1860" s="957"/>
      <c r="V1860" s="958" t="str">
        <f t="shared" si="1319"/>
        <v>F</v>
      </c>
      <c r="W1860" s="175"/>
      <c r="X1860" s="52" t="s">
        <v>769</v>
      </c>
      <c r="Y1860" s="175"/>
      <c r="Z1860" s="959" t="str">
        <f>Z1848</f>
        <v>H</v>
      </c>
      <c r="AA1860" s="123"/>
      <c r="AB1860" s="1459">
        <f t="shared" si="1311"/>
        <v>0</v>
      </c>
      <c r="AC1860" s="1460" t="str">
        <f t="shared" si="1312"/>
        <v>-</v>
      </c>
      <c r="AD1860" s="1459">
        <f t="shared" si="1313"/>
        <v>0</v>
      </c>
      <c r="AE1860" s="964" t="str">
        <f t="shared" si="1314"/>
        <v/>
      </c>
      <c r="AF1860" s="964" t="str">
        <f t="shared" si="1315"/>
        <v/>
      </c>
      <c r="AG1860" s="964" t="str">
        <f t="shared" si="1316"/>
        <v/>
      </c>
      <c r="AH1860" s="964" t="str">
        <f t="shared" si="1317"/>
        <v/>
      </c>
      <c r="AI1860" s="964" t="str">
        <f t="shared" si="1318"/>
        <v/>
      </c>
      <c r="AJ1860" s="964"/>
      <c r="AK1860" s="964"/>
      <c r="AL1860"/>
      <c r="AM1860"/>
      <c r="AN1860"/>
      <c r="AO1860"/>
      <c r="AP1860"/>
      <c r="AQ1860"/>
      <c r="AR1860"/>
      <c r="AS1860"/>
      <c r="AT1860"/>
      <c r="AU1860"/>
      <c r="AV1860"/>
      <c r="AW1860" s="9"/>
      <c r="AX1860" s="9"/>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s="1396"/>
      <c r="CB1860" s="1396"/>
      <c r="CC1860"/>
      <c r="CD1860"/>
      <c r="CE1860"/>
    </row>
    <row r="1861" spans="1:83" ht="13.5" outlineLevel="1" thickBot="1" x14ac:dyDescent="0.25">
      <c r="A1861"/>
      <c r="B1861" s="1"/>
      <c r="C1861" s="1"/>
      <c r="D1861" s="76"/>
      <c r="E1861" s="76"/>
      <c r="F1861" s="76"/>
      <c r="G1861" s="9"/>
      <c r="H1861" s="9"/>
      <c r="I1861" s="1"/>
      <c r="J1861"/>
      <c r="K1861"/>
      <c r="L1861"/>
      <c r="M1861"/>
      <c r="N1861"/>
      <c r="O1861"/>
      <c r="P1861" s="89"/>
      <c r="Q1861"/>
      <c r="R1861" s="1"/>
      <c r="S1861" s="993">
        <f>S1849+1</f>
        <v>9</v>
      </c>
      <c r="T1861" s="961"/>
      <c r="U1861" s="961"/>
      <c r="V1861" s="961"/>
      <c r="W1861" s="960"/>
      <c r="X1861" s="960"/>
      <c r="Y1861" s="960"/>
      <c r="Z1861" s="962"/>
      <c r="AA1861" s="123"/>
      <c r="AB1861" s="963"/>
      <c r="AC1861" s="963"/>
      <c r="AD1861" s="963"/>
      <c r="AE1861" s="964"/>
      <c r="AF1861" s="964"/>
      <c r="AG1861" s="964"/>
      <c r="AH1861" s="964"/>
      <c r="AI1861" s="964"/>
      <c r="AJ1861" s="964"/>
      <c r="AK1861" s="964"/>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s="1396"/>
      <c r="CB1861" s="1396"/>
      <c r="CC1861"/>
      <c r="CD1861"/>
      <c r="CE1861"/>
    </row>
    <row r="1862" spans="1:83" ht="13.9" customHeight="1" outlineLevel="2" thickBot="1" x14ac:dyDescent="0.25">
      <c r="A1862"/>
      <c r="B1862" s="1"/>
      <c r="C1862"/>
      <c r="D1862"/>
      <c r="E1862"/>
      <c r="F1862"/>
      <c r="G1862" s="1"/>
      <c r="H1862" s="1"/>
      <c r="I1862"/>
      <c r="J1862"/>
      <c r="K1862"/>
      <c r="L1862"/>
      <c r="M1862"/>
      <c r="N1862"/>
      <c r="O1862"/>
      <c r="P1862"/>
      <c r="Q1862"/>
      <c r="S1862" s="22" t="str">
        <f>N_Heure</f>
        <v>Heure</v>
      </c>
      <c r="T1862" s="22" t="str">
        <f>N_Table</f>
        <v>Table</v>
      </c>
      <c r="U1862" s="22" t="str">
        <f>N_Arbitre</f>
        <v>Arbitre</v>
      </c>
      <c r="V1862" s="293" t="str">
        <f>N_Matches</f>
        <v>Matches</v>
      </c>
      <c r="W1862" s="294"/>
      <c r="X1862" s="294"/>
      <c r="Y1862" s="294"/>
      <c r="Z1862" s="295"/>
      <c r="AA1862" s="8"/>
      <c r="AB1862" s="967"/>
      <c r="AC1862" s="967"/>
      <c r="AD1862" s="967"/>
      <c r="AE1862" s="964"/>
      <c r="AF1862" s="964"/>
      <c r="AG1862" s="964"/>
      <c r="AH1862" s="964"/>
      <c r="AI1862" s="964"/>
      <c r="AJ1862" s="964"/>
      <c r="AK1862" s="964"/>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s="1396"/>
      <c r="CB1862" s="1396"/>
      <c r="CC1862"/>
      <c r="CD1862"/>
      <c r="CE1862"/>
    </row>
    <row r="1863" spans="1:83" ht="13.15" customHeight="1" outlineLevel="2" x14ac:dyDescent="0.2">
      <c r="A1863"/>
      <c r="B1863" s="1"/>
      <c r="C1863"/>
      <c r="D1863"/>
      <c r="E1863"/>
      <c r="F1863"/>
      <c r="G1863" s="1"/>
      <c r="H1863" s="1"/>
      <c r="I1863"/>
      <c r="J1863"/>
      <c r="K1863"/>
      <c r="L1863"/>
      <c r="M1863"/>
      <c r="N1863"/>
      <c r="O1863"/>
      <c r="P1863"/>
      <c r="Q1863"/>
      <c r="R1863" s="558" t="s">
        <v>3971</v>
      </c>
      <c r="S1863" s="65"/>
      <c r="T1863" s="953"/>
      <c r="U1863" s="954"/>
      <c r="V1863" s="34" t="str">
        <f>Z1851</f>
        <v>A</v>
      </c>
      <c r="W1863" s="148"/>
      <c r="X1863" s="35" t="s">
        <v>769</v>
      </c>
      <c r="Y1863" s="148"/>
      <c r="Z1863" s="36" t="str">
        <f>Z1852</f>
        <v>Q</v>
      </c>
      <c r="AA1863" s="123"/>
      <c r="AB1863" s="1459">
        <f t="shared" ref="AB1863:AB1872" si="1321">IF(MaxScore,MaxGoals(W1863,Y1863,MaxGoalsValue),IF(W1863="","",W1863))</f>
        <v>0</v>
      </c>
      <c r="AC1863" s="1460" t="str">
        <f t="shared" ref="AC1863:AC1872" si="1322">IF(MaxScore,"-",IF(W1863="","","-"))</f>
        <v>-</v>
      </c>
      <c r="AD1863" s="1459">
        <f t="shared" ref="AD1863:AD1872" si="1323">IF(MaxScore,MaxGoals(Y1863,W1863,MaxGoalsValue),IF(Y1863="","",Y1863))</f>
        <v>0</v>
      </c>
      <c r="AE1863" s="964" t="str">
        <f t="shared" ref="AE1863:AE1872" si="1324">IF(W1863="","",IF(W1863&gt;Y1863,V1863,IF(W1863=Y1863,"",Z1863)))</f>
        <v/>
      </c>
      <c r="AF1863" s="964" t="str">
        <f t="shared" ref="AF1863:AF1872" si="1325">IF(W1863="","",IF(W1863=Y1863,V1863,""))</f>
        <v/>
      </c>
      <c r="AG1863" s="964" t="str">
        <f t="shared" ref="AG1863:AG1872" si="1326">IF(W1863="","",IF(W1863=Y1863,Z1863,""))</f>
        <v/>
      </c>
      <c r="AH1863" s="964" t="str">
        <f t="shared" ref="AH1863:AH1872" si="1327">IF(W1863="","",IF(W1863&lt;Y1863,V1863,IF(W1863=Y1863,"",Z1863)))</f>
        <v/>
      </c>
      <c r="AI1863" s="964" t="str">
        <f t="shared" ref="AI1863:AI1872" si="1328">CONCATENATE(AE1863,AH1863)</f>
        <v/>
      </c>
      <c r="AJ1863" s="964"/>
      <c r="AK1863" s="964"/>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s="1396"/>
      <c r="CB1863" s="1396"/>
      <c r="CC1863"/>
      <c r="CD1863"/>
      <c r="CE1863"/>
    </row>
    <row r="1864" spans="1:83" ht="13.15" customHeight="1" outlineLevel="2" x14ac:dyDescent="0.2">
      <c r="A1864"/>
      <c r="B1864" s="1"/>
      <c r="C1864"/>
      <c r="D1864"/>
      <c r="E1864"/>
      <c r="F1864"/>
      <c r="G1864" s="1"/>
      <c r="H1864" s="1"/>
      <c r="I1864"/>
      <c r="J1864"/>
      <c r="K1864"/>
      <c r="L1864"/>
      <c r="M1864"/>
      <c r="N1864"/>
      <c r="O1864"/>
      <c r="P1864"/>
      <c r="Q1864"/>
      <c r="R1864" s="558" t="s">
        <v>3971</v>
      </c>
      <c r="S1864" s="83"/>
      <c r="T1864" s="56"/>
      <c r="U1864" s="955"/>
      <c r="V1864" s="43" t="str">
        <f t="shared" ref="V1864:V1871" si="1329">Z1853</f>
        <v>S</v>
      </c>
      <c r="W1864" s="10"/>
      <c r="X1864" s="45" t="s">
        <v>769</v>
      </c>
      <c r="Y1864" s="10"/>
      <c r="Z1864" s="46" t="str">
        <f t="shared" ref="Z1864:Z1872" si="1330">V1851</f>
        <v>O</v>
      </c>
      <c r="AA1864" s="123"/>
      <c r="AB1864" s="1459">
        <f t="shared" si="1321"/>
        <v>0</v>
      </c>
      <c r="AC1864" s="1460" t="str">
        <f t="shared" si="1322"/>
        <v>-</v>
      </c>
      <c r="AD1864" s="1459">
        <f t="shared" si="1323"/>
        <v>0</v>
      </c>
      <c r="AE1864" s="964" t="str">
        <f t="shared" si="1324"/>
        <v/>
      </c>
      <c r="AF1864" s="964" t="str">
        <f t="shared" si="1325"/>
        <v/>
      </c>
      <c r="AG1864" s="964" t="str">
        <f t="shared" si="1326"/>
        <v/>
      </c>
      <c r="AH1864" s="964" t="str">
        <f t="shared" si="1327"/>
        <v/>
      </c>
      <c r="AI1864" s="964" t="str">
        <f t="shared" si="1328"/>
        <v/>
      </c>
      <c r="AJ1864" s="964"/>
      <c r="AK1864" s="9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s="1396"/>
      <c r="CB1864" s="1396"/>
      <c r="CC1864"/>
      <c r="CD1864"/>
      <c r="CE1864"/>
    </row>
    <row r="1865" spans="1:83" ht="13.15" customHeight="1" outlineLevel="2" x14ac:dyDescent="0.2">
      <c r="A1865"/>
      <c r="B1865" s="1"/>
      <c r="C1865"/>
      <c r="D1865"/>
      <c r="E1865"/>
      <c r="F1865"/>
      <c r="G1865" s="1"/>
      <c r="H1865" s="1"/>
      <c r="I1865"/>
      <c r="J1865"/>
      <c r="K1865"/>
      <c r="L1865"/>
      <c r="M1865"/>
      <c r="N1865"/>
      <c r="O1865"/>
      <c r="P1865"/>
      <c r="Q1865"/>
      <c r="R1865" s="558" t="s">
        <v>3971</v>
      </c>
      <c r="S1865" s="83"/>
      <c r="T1865" s="56"/>
      <c r="U1865" s="955"/>
      <c r="V1865" s="43" t="str">
        <f t="shared" si="1329"/>
        <v>T</v>
      </c>
      <c r="W1865" s="10"/>
      <c r="X1865" s="45" t="s">
        <v>769</v>
      </c>
      <c r="Y1865" s="10"/>
      <c r="Z1865" s="46" t="str">
        <f t="shared" si="1330"/>
        <v>M</v>
      </c>
      <c r="AA1865" s="123"/>
      <c r="AB1865" s="1459">
        <f t="shared" si="1321"/>
        <v>0</v>
      </c>
      <c r="AC1865" s="1460" t="str">
        <f t="shared" si="1322"/>
        <v>-</v>
      </c>
      <c r="AD1865" s="1459">
        <f t="shared" si="1323"/>
        <v>0</v>
      </c>
      <c r="AE1865" s="964" t="str">
        <f t="shared" si="1324"/>
        <v/>
      </c>
      <c r="AF1865" s="964" t="str">
        <f t="shared" si="1325"/>
        <v/>
      </c>
      <c r="AG1865" s="964" t="str">
        <f t="shared" si="1326"/>
        <v/>
      </c>
      <c r="AH1865" s="964" t="str">
        <f t="shared" si="1327"/>
        <v/>
      </c>
      <c r="AI1865" s="964" t="str">
        <f t="shared" si="1328"/>
        <v/>
      </c>
      <c r="AJ1865" s="964"/>
      <c r="AK1865" s="964"/>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s="1396"/>
      <c r="CB1865" s="1396"/>
      <c r="CC1865"/>
      <c r="CD1865"/>
      <c r="CE1865"/>
    </row>
    <row r="1866" spans="1:83" ht="13.15" customHeight="1" outlineLevel="2" x14ac:dyDescent="0.2">
      <c r="A1866"/>
      <c r="B1866" s="1"/>
      <c r="C1866"/>
      <c r="D1866"/>
      <c r="E1866"/>
      <c r="F1866"/>
      <c r="G1866" s="1"/>
      <c r="H1866" s="1"/>
      <c r="I1866"/>
      <c r="J1866"/>
      <c r="K1866"/>
      <c r="L1866"/>
      <c r="M1866"/>
      <c r="N1866"/>
      <c r="O1866"/>
      <c r="P1866"/>
      <c r="Q1866"/>
      <c r="R1866" s="558" t="s">
        <v>3971</v>
      </c>
      <c r="S1866" s="83"/>
      <c r="T1866" s="56"/>
      <c r="U1866" s="955"/>
      <c r="V1866" s="43" t="str">
        <f t="shared" si="1329"/>
        <v>R</v>
      </c>
      <c r="W1866" s="10"/>
      <c r="X1866" s="45" t="s">
        <v>769</v>
      </c>
      <c r="Y1866" s="10"/>
      <c r="Z1866" s="46" t="str">
        <f t="shared" si="1330"/>
        <v>K</v>
      </c>
      <c r="AA1866" s="123"/>
      <c r="AB1866" s="1459">
        <f t="shared" si="1321"/>
        <v>0</v>
      </c>
      <c r="AC1866" s="1460" t="str">
        <f t="shared" si="1322"/>
        <v>-</v>
      </c>
      <c r="AD1866" s="1459">
        <f t="shared" si="1323"/>
        <v>0</v>
      </c>
      <c r="AE1866" s="964" t="str">
        <f t="shared" si="1324"/>
        <v/>
      </c>
      <c r="AF1866" s="964" t="str">
        <f t="shared" si="1325"/>
        <v/>
      </c>
      <c r="AG1866" s="964" t="str">
        <f t="shared" si="1326"/>
        <v/>
      </c>
      <c r="AH1866" s="964" t="str">
        <f t="shared" si="1327"/>
        <v/>
      </c>
      <c r="AI1866" s="964" t="str">
        <f t="shared" si="1328"/>
        <v/>
      </c>
      <c r="AJ1866" s="964"/>
      <c r="AK1866" s="964"/>
      <c r="AL1866"/>
      <c r="AM1866"/>
      <c r="AN1866"/>
      <c r="AO1866"/>
      <c r="AP1866"/>
      <c r="AQ1866"/>
      <c r="AR1866"/>
      <c r="AS1866"/>
      <c r="AT1866"/>
      <c r="AU1866"/>
      <c r="AV1866"/>
      <c r="AW1866"/>
      <c r="AX1866" s="9"/>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s="1396"/>
      <c r="CB1866" s="1396"/>
      <c r="CC1866"/>
      <c r="CD1866"/>
      <c r="CE1866"/>
    </row>
    <row r="1867" spans="1:83" ht="13.15" customHeight="1" outlineLevel="2" x14ac:dyDescent="0.2">
      <c r="A1867"/>
      <c r="B1867" s="1"/>
      <c r="C1867"/>
      <c r="D1867"/>
      <c r="E1867"/>
      <c r="F1867"/>
      <c r="G1867" s="1"/>
      <c r="H1867" s="1"/>
      <c r="I1867"/>
      <c r="J1867"/>
      <c r="K1867"/>
      <c r="L1867"/>
      <c r="M1867"/>
      <c r="N1867"/>
      <c r="O1867"/>
      <c r="P1867"/>
      <c r="Q1867"/>
      <c r="R1867" s="558" t="s">
        <v>3971</v>
      </c>
      <c r="S1867" s="83"/>
      <c r="T1867" s="56"/>
      <c r="U1867" s="955"/>
      <c r="V1867" s="43" t="str">
        <f t="shared" si="1329"/>
        <v>P</v>
      </c>
      <c r="W1867" s="10"/>
      <c r="X1867" s="45" t="s">
        <v>769</v>
      </c>
      <c r="Y1867" s="10"/>
      <c r="Z1867" s="46" t="str">
        <f t="shared" si="1330"/>
        <v>I</v>
      </c>
      <c r="AA1867" s="123"/>
      <c r="AB1867" s="1459">
        <f t="shared" si="1321"/>
        <v>0</v>
      </c>
      <c r="AC1867" s="1460" t="str">
        <f t="shared" si="1322"/>
        <v>-</v>
      </c>
      <c r="AD1867" s="1459">
        <f t="shared" si="1323"/>
        <v>0</v>
      </c>
      <c r="AE1867" s="964" t="str">
        <f t="shared" si="1324"/>
        <v/>
      </c>
      <c r="AF1867" s="964" t="str">
        <f t="shared" si="1325"/>
        <v/>
      </c>
      <c r="AG1867" s="964" t="str">
        <f t="shared" si="1326"/>
        <v/>
      </c>
      <c r="AH1867" s="964" t="str">
        <f t="shared" si="1327"/>
        <v/>
      </c>
      <c r="AI1867" s="964" t="str">
        <f t="shared" si="1328"/>
        <v/>
      </c>
      <c r="AJ1867" s="964"/>
      <c r="AK1867" s="964"/>
      <c r="AL1867"/>
      <c r="AM1867"/>
      <c r="AN1867"/>
      <c r="AO1867"/>
      <c r="AP1867"/>
      <c r="AQ1867"/>
      <c r="AR1867"/>
      <c r="AS1867"/>
      <c r="AT1867"/>
      <c r="AU1867"/>
      <c r="AV1867"/>
      <c r="AW1867" s="9"/>
      <c r="AX1867" s="9"/>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s="1396"/>
      <c r="CB1867" s="1396"/>
      <c r="CC1867"/>
      <c r="CD1867"/>
      <c r="CE1867"/>
    </row>
    <row r="1868" spans="1:83" ht="13.15" customHeight="1" outlineLevel="2" x14ac:dyDescent="0.2">
      <c r="A1868"/>
      <c r="B1868" s="1"/>
      <c r="C1868"/>
      <c r="D1868"/>
      <c r="E1868"/>
      <c r="F1868"/>
      <c r="G1868" s="1"/>
      <c r="H1868" s="1"/>
      <c r="I1868"/>
      <c r="J1868"/>
      <c r="K1868"/>
      <c r="L1868"/>
      <c r="M1868"/>
      <c r="N1868"/>
      <c r="O1868"/>
      <c r="P1868"/>
      <c r="Q1868"/>
      <c r="R1868" s="558" t="s">
        <v>3971</v>
      </c>
      <c r="S1868" s="83"/>
      <c r="T1868" s="56"/>
      <c r="U1868" s="955"/>
      <c r="V1868" s="43" t="str">
        <f t="shared" si="1329"/>
        <v>N</v>
      </c>
      <c r="W1868" s="10"/>
      <c r="X1868" s="45" t="s">
        <v>769</v>
      </c>
      <c r="Y1868" s="10"/>
      <c r="Z1868" s="46" t="str">
        <f t="shared" si="1330"/>
        <v>G</v>
      </c>
      <c r="AA1868" s="123"/>
      <c r="AB1868" s="1459">
        <f t="shared" si="1321"/>
        <v>0</v>
      </c>
      <c r="AC1868" s="1460" t="str">
        <f t="shared" si="1322"/>
        <v>-</v>
      </c>
      <c r="AD1868" s="1459">
        <f t="shared" si="1323"/>
        <v>0</v>
      </c>
      <c r="AE1868" s="964" t="str">
        <f t="shared" si="1324"/>
        <v/>
      </c>
      <c r="AF1868" s="964" t="str">
        <f t="shared" si="1325"/>
        <v/>
      </c>
      <c r="AG1868" s="964" t="str">
        <f t="shared" si="1326"/>
        <v/>
      </c>
      <c r="AH1868" s="964" t="str">
        <f t="shared" si="1327"/>
        <v/>
      </c>
      <c r="AI1868" s="964" t="str">
        <f t="shared" si="1328"/>
        <v/>
      </c>
      <c r="AJ1868" s="964"/>
      <c r="AK1868" s="964"/>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s="1396"/>
      <c r="CB1868" s="1396"/>
      <c r="CC1868"/>
      <c r="CD1868"/>
      <c r="CE1868"/>
    </row>
    <row r="1869" spans="1:83" ht="13.15" customHeight="1" outlineLevel="2" x14ac:dyDescent="0.2">
      <c r="A1869"/>
      <c r="B1869" s="1"/>
      <c r="C1869"/>
      <c r="D1869"/>
      <c r="E1869"/>
      <c r="F1869"/>
      <c r="G1869" s="1"/>
      <c r="H1869" s="1"/>
      <c r="I1869"/>
      <c r="J1869"/>
      <c r="K1869"/>
      <c r="L1869"/>
      <c r="M1869"/>
      <c r="N1869"/>
      <c r="O1869"/>
      <c r="P1869"/>
      <c r="Q1869"/>
      <c r="R1869" s="558" t="s">
        <v>3971</v>
      </c>
      <c r="S1869" s="83"/>
      <c r="T1869" s="56"/>
      <c r="U1869" s="955"/>
      <c r="V1869" s="43" t="str">
        <f t="shared" si="1329"/>
        <v>L</v>
      </c>
      <c r="W1869" s="10"/>
      <c r="X1869" s="45" t="s">
        <v>769</v>
      </c>
      <c r="Y1869" s="10"/>
      <c r="Z1869" s="46" t="str">
        <f t="shared" si="1330"/>
        <v>E</v>
      </c>
      <c r="AA1869" s="123"/>
      <c r="AB1869" s="1459">
        <f t="shared" si="1321"/>
        <v>0</v>
      </c>
      <c r="AC1869" s="1460" t="str">
        <f t="shared" si="1322"/>
        <v>-</v>
      </c>
      <c r="AD1869" s="1459">
        <f t="shared" si="1323"/>
        <v>0</v>
      </c>
      <c r="AE1869" s="964" t="str">
        <f t="shared" si="1324"/>
        <v/>
      </c>
      <c r="AF1869" s="964" t="str">
        <f t="shared" si="1325"/>
        <v/>
      </c>
      <c r="AG1869" s="964" t="str">
        <f t="shared" si="1326"/>
        <v/>
      </c>
      <c r="AH1869" s="964" t="str">
        <f t="shared" si="1327"/>
        <v/>
      </c>
      <c r="AI1869" s="964" t="str">
        <f t="shared" si="1328"/>
        <v/>
      </c>
      <c r="AJ1869" s="964"/>
      <c r="AK1869" s="964"/>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s="1396"/>
      <c r="CB1869" s="1396"/>
      <c r="CC1869"/>
      <c r="CD1869"/>
      <c r="CE1869"/>
    </row>
    <row r="1870" spans="1:83" ht="13.15" customHeight="1" outlineLevel="2" x14ac:dyDescent="0.2">
      <c r="A1870"/>
      <c r="B1870" s="1"/>
      <c r="C1870"/>
      <c r="D1870"/>
      <c r="E1870"/>
      <c r="F1870"/>
      <c r="G1870" s="1"/>
      <c r="H1870" s="1"/>
      <c r="I1870"/>
      <c r="J1870"/>
      <c r="K1870"/>
      <c r="L1870"/>
      <c r="M1870"/>
      <c r="N1870"/>
      <c r="O1870"/>
      <c r="P1870"/>
      <c r="Q1870"/>
      <c r="R1870" s="558" t="s">
        <v>3971</v>
      </c>
      <c r="S1870" s="83"/>
      <c r="T1870" s="56"/>
      <c r="U1870" s="955"/>
      <c r="V1870" s="43" t="str">
        <f t="shared" si="1329"/>
        <v>J</v>
      </c>
      <c r="W1870" s="10"/>
      <c r="X1870" s="45" t="s">
        <v>769</v>
      </c>
      <c r="Y1870" s="10"/>
      <c r="Z1870" s="46" t="str">
        <f t="shared" si="1330"/>
        <v>C</v>
      </c>
      <c r="AA1870" s="123"/>
      <c r="AB1870" s="1459">
        <f t="shared" si="1321"/>
        <v>0</v>
      </c>
      <c r="AC1870" s="1460" t="str">
        <f t="shared" si="1322"/>
        <v>-</v>
      </c>
      <c r="AD1870" s="1459">
        <f t="shared" si="1323"/>
        <v>0</v>
      </c>
      <c r="AE1870" s="964" t="str">
        <f t="shared" si="1324"/>
        <v/>
      </c>
      <c r="AF1870" s="964" t="str">
        <f t="shared" si="1325"/>
        <v/>
      </c>
      <c r="AG1870" s="964" t="str">
        <f t="shared" si="1326"/>
        <v/>
      </c>
      <c r="AH1870" s="964" t="str">
        <f t="shared" si="1327"/>
        <v/>
      </c>
      <c r="AI1870" s="964" t="str">
        <f t="shared" si="1328"/>
        <v/>
      </c>
      <c r="AJ1870" s="964"/>
      <c r="AK1870" s="964"/>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s="1396"/>
      <c r="CB1870" s="1396"/>
      <c r="CC1870"/>
      <c r="CD1870"/>
      <c r="CE1870"/>
    </row>
    <row r="1871" spans="1:83" ht="13.15" customHeight="1" outlineLevel="2" x14ac:dyDescent="0.2">
      <c r="A1871"/>
      <c r="B1871" s="1"/>
      <c r="C1871"/>
      <c r="D1871"/>
      <c r="E1871"/>
      <c r="F1871"/>
      <c r="G1871" s="1"/>
      <c r="H1871" s="1"/>
      <c r="I1871"/>
      <c r="J1871"/>
      <c r="K1871"/>
      <c r="L1871"/>
      <c r="M1871"/>
      <c r="N1871"/>
      <c r="O1871"/>
      <c r="P1871"/>
      <c r="Q1871"/>
      <c r="R1871" s="558" t="s">
        <v>3971</v>
      </c>
      <c r="S1871" s="83"/>
      <c r="T1871" s="56"/>
      <c r="U1871" s="955"/>
      <c r="V1871" s="43" t="str">
        <f t="shared" si="1329"/>
        <v>H</v>
      </c>
      <c r="W1871" s="10"/>
      <c r="X1871" s="45" t="s">
        <v>769</v>
      </c>
      <c r="Y1871" s="10"/>
      <c r="Z1871" s="46" t="str">
        <f t="shared" si="1330"/>
        <v>B</v>
      </c>
      <c r="AA1871" s="123"/>
      <c r="AB1871" s="1459">
        <f t="shared" si="1321"/>
        <v>0</v>
      </c>
      <c r="AC1871" s="1460" t="str">
        <f t="shared" si="1322"/>
        <v>-</v>
      </c>
      <c r="AD1871" s="1459">
        <f t="shared" si="1323"/>
        <v>0</v>
      </c>
      <c r="AE1871" s="964" t="str">
        <f t="shared" si="1324"/>
        <v/>
      </c>
      <c r="AF1871" s="964" t="str">
        <f t="shared" si="1325"/>
        <v/>
      </c>
      <c r="AG1871" s="964" t="str">
        <f t="shared" si="1326"/>
        <v/>
      </c>
      <c r="AH1871" s="964" t="str">
        <f t="shared" si="1327"/>
        <v/>
      </c>
      <c r="AI1871" s="964" t="str">
        <f t="shared" si="1328"/>
        <v/>
      </c>
      <c r="AJ1871" s="964"/>
      <c r="AK1871" s="964"/>
      <c r="AL1871"/>
      <c r="AM1871"/>
      <c r="AN1871"/>
      <c r="AO1871"/>
      <c r="AP1871"/>
      <c r="AQ1871"/>
      <c r="AR1871"/>
      <c r="AS1871"/>
      <c r="AT1871"/>
      <c r="AU1871"/>
      <c r="AV1871"/>
      <c r="AW1871"/>
      <c r="AX1871" s="9"/>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s="1396"/>
      <c r="CB1871" s="1396"/>
      <c r="CC1871"/>
      <c r="CD1871"/>
      <c r="CE1871"/>
    </row>
    <row r="1872" spans="1:83" ht="13.9" customHeight="1" outlineLevel="2" thickBot="1" x14ac:dyDescent="0.25">
      <c r="A1872"/>
      <c r="B1872" s="1"/>
      <c r="C1872"/>
      <c r="D1872"/>
      <c r="E1872"/>
      <c r="F1872"/>
      <c r="G1872" s="1"/>
      <c r="H1872" s="1"/>
      <c r="I1872"/>
      <c r="J1872"/>
      <c r="K1872"/>
      <c r="L1872"/>
      <c r="M1872"/>
      <c r="N1872"/>
      <c r="O1872"/>
      <c r="P1872"/>
      <c r="Q1872"/>
      <c r="R1872" s="558" t="s">
        <v>3971</v>
      </c>
      <c r="S1872" s="956"/>
      <c r="T1872" s="58"/>
      <c r="U1872" s="957"/>
      <c r="V1872" s="958" t="str">
        <f>V1860</f>
        <v>F</v>
      </c>
      <c r="W1872" s="175"/>
      <c r="X1872" s="52" t="s">
        <v>769</v>
      </c>
      <c r="Y1872" s="175"/>
      <c r="Z1872" s="46" t="str">
        <f t="shared" si="1330"/>
        <v>D</v>
      </c>
      <c r="AA1872" s="123"/>
      <c r="AB1872" s="1459">
        <f t="shared" si="1321"/>
        <v>0</v>
      </c>
      <c r="AC1872" s="1460" t="str">
        <f t="shared" si="1322"/>
        <v>-</v>
      </c>
      <c r="AD1872" s="1459">
        <f t="shared" si="1323"/>
        <v>0</v>
      </c>
      <c r="AE1872" s="964" t="str">
        <f t="shared" si="1324"/>
        <v/>
      </c>
      <c r="AF1872" s="964" t="str">
        <f t="shared" si="1325"/>
        <v/>
      </c>
      <c r="AG1872" s="964" t="str">
        <f t="shared" si="1326"/>
        <v/>
      </c>
      <c r="AH1872" s="964" t="str">
        <f t="shared" si="1327"/>
        <v/>
      </c>
      <c r="AI1872" s="964" t="str">
        <f t="shared" si="1328"/>
        <v/>
      </c>
      <c r="AJ1872" s="964"/>
      <c r="AK1872" s="964"/>
      <c r="AL1872"/>
      <c r="AM1872"/>
      <c r="AN1872"/>
      <c r="AO1872"/>
      <c r="AP1872"/>
      <c r="AQ1872"/>
      <c r="AR1872"/>
      <c r="AS1872"/>
      <c r="AT1872"/>
      <c r="AU1872"/>
      <c r="AV1872"/>
      <c r="AW1872" s="9"/>
      <c r="AX1872" s="9"/>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s="1396"/>
      <c r="CB1872" s="1396"/>
      <c r="CC1872"/>
      <c r="CD1872"/>
      <c r="CE1872"/>
    </row>
    <row r="1873" spans="1:83" ht="13.5" outlineLevel="1" thickBot="1" x14ac:dyDescent="0.25">
      <c r="A1873"/>
      <c r="B1873" s="1"/>
      <c r="C1873" s="1"/>
      <c r="D1873" s="76"/>
      <c r="E1873" s="76"/>
      <c r="F1873" s="76"/>
      <c r="G1873" s="9"/>
      <c r="H1873" s="9"/>
      <c r="I1873" s="1"/>
      <c r="J1873"/>
      <c r="K1873"/>
      <c r="L1873"/>
      <c r="M1873"/>
      <c r="N1873"/>
      <c r="O1873"/>
      <c r="P1873" s="89"/>
      <c r="Q1873"/>
      <c r="R1873" s="1"/>
      <c r="S1873" s="993">
        <f>S1861+1</f>
        <v>10</v>
      </c>
      <c r="T1873" s="961"/>
      <c r="U1873" s="961"/>
      <c r="V1873" s="961"/>
      <c r="W1873" s="960"/>
      <c r="X1873" s="960"/>
      <c r="Y1873" s="960"/>
      <c r="Z1873" s="962"/>
      <c r="AA1873" s="123"/>
      <c r="AB1873" s="963"/>
      <c r="AC1873" s="963"/>
      <c r="AD1873" s="963"/>
      <c r="AE1873" s="964"/>
      <c r="AF1873" s="964"/>
      <c r="AG1873" s="964"/>
      <c r="AH1873" s="964"/>
      <c r="AI1873" s="964"/>
      <c r="AJ1873" s="964"/>
      <c r="AK1873" s="964"/>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s="1396"/>
      <c r="CB1873" s="1396"/>
      <c r="CC1873"/>
      <c r="CD1873"/>
      <c r="CE1873"/>
    </row>
    <row r="1874" spans="1:83" ht="13.9" customHeight="1" outlineLevel="2" thickBot="1" x14ac:dyDescent="0.25">
      <c r="A1874"/>
      <c r="B1874" s="1"/>
      <c r="C1874"/>
      <c r="D1874"/>
      <c r="E1874"/>
      <c r="F1874"/>
      <c r="G1874" s="1"/>
      <c r="H1874" s="1"/>
      <c r="I1874"/>
      <c r="J1874"/>
      <c r="K1874"/>
      <c r="L1874"/>
      <c r="M1874"/>
      <c r="N1874"/>
      <c r="O1874"/>
      <c r="P1874"/>
      <c r="Q1874"/>
      <c r="S1874" s="22" t="str">
        <f>N_Heure</f>
        <v>Heure</v>
      </c>
      <c r="T1874" s="22" t="str">
        <f>N_Table</f>
        <v>Table</v>
      </c>
      <c r="U1874" s="22" t="str">
        <f>N_Arbitre</f>
        <v>Arbitre</v>
      </c>
      <c r="V1874" s="293" t="str">
        <f>N_Matches</f>
        <v>Matches</v>
      </c>
      <c r="W1874" s="294"/>
      <c r="X1874" s="294"/>
      <c r="Y1874" s="294"/>
      <c r="Z1874" s="295"/>
      <c r="AA1874" s="8"/>
      <c r="AB1874" s="967"/>
      <c r="AC1874" s="967"/>
      <c r="AD1874" s="967"/>
      <c r="AE1874" s="964"/>
      <c r="AF1874" s="964"/>
      <c r="AG1874" s="964"/>
      <c r="AH1874" s="964"/>
      <c r="AI1874" s="964"/>
      <c r="AJ1874" s="964"/>
      <c r="AK1874" s="96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s="1396"/>
      <c r="CB1874" s="1396"/>
      <c r="CC1874"/>
      <c r="CD1874"/>
      <c r="CE1874"/>
    </row>
    <row r="1875" spans="1:83" ht="13.15" customHeight="1" outlineLevel="2" x14ac:dyDescent="0.2">
      <c r="A1875"/>
      <c r="B1875" s="1"/>
      <c r="C1875"/>
      <c r="D1875"/>
      <c r="E1875"/>
      <c r="F1875"/>
      <c r="G1875" s="1"/>
      <c r="H1875" s="1"/>
      <c r="I1875"/>
      <c r="J1875"/>
      <c r="K1875"/>
      <c r="L1875"/>
      <c r="M1875"/>
      <c r="N1875"/>
      <c r="O1875"/>
      <c r="P1875"/>
      <c r="Q1875"/>
      <c r="R1875" s="558" t="s">
        <v>3972</v>
      </c>
      <c r="S1875" s="65"/>
      <c r="T1875" s="953"/>
      <c r="U1875" s="954"/>
      <c r="V1875" s="34" t="str">
        <f>V1864</f>
        <v>S</v>
      </c>
      <c r="W1875" s="148"/>
      <c r="X1875" s="35" t="s">
        <v>769</v>
      </c>
      <c r="Y1875" s="148"/>
      <c r="Z1875" s="36" t="str">
        <f>V1863</f>
        <v>A</v>
      </c>
      <c r="AA1875" s="123"/>
      <c r="AB1875" s="1459">
        <f t="shared" ref="AB1875:AB1884" si="1331">IF(MaxScore,MaxGoals(W1875,Y1875,MaxGoalsValue),IF(W1875="","",W1875))</f>
        <v>0</v>
      </c>
      <c r="AC1875" s="1460" t="str">
        <f t="shared" ref="AC1875:AC1884" si="1332">IF(MaxScore,"-",IF(W1875="","","-"))</f>
        <v>-</v>
      </c>
      <c r="AD1875" s="1459">
        <f t="shared" ref="AD1875:AD1884" si="1333">IF(MaxScore,MaxGoals(Y1875,W1875,MaxGoalsValue),IF(Y1875="","",Y1875))</f>
        <v>0</v>
      </c>
      <c r="AE1875" s="964" t="str">
        <f t="shared" ref="AE1875:AE1884" si="1334">IF(W1875="","",IF(W1875&gt;Y1875,V1875,IF(W1875=Y1875,"",Z1875)))</f>
        <v/>
      </c>
      <c r="AF1875" s="964" t="str">
        <f t="shared" ref="AF1875:AF1884" si="1335">IF(W1875="","",IF(W1875=Y1875,V1875,""))</f>
        <v/>
      </c>
      <c r="AG1875" s="964" t="str">
        <f t="shared" ref="AG1875:AG1884" si="1336">IF(W1875="","",IF(W1875=Y1875,Z1875,""))</f>
        <v/>
      </c>
      <c r="AH1875" s="964" t="str">
        <f t="shared" ref="AH1875:AH1884" si="1337">IF(W1875="","",IF(W1875&lt;Y1875,V1875,IF(W1875=Y1875,"",Z1875)))</f>
        <v/>
      </c>
      <c r="AI1875" s="964" t="str">
        <f t="shared" ref="AI1875:AI1884" si="1338">CONCATENATE(AE1875,AH1875)</f>
        <v/>
      </c>
      <c r="AJ1875" s="964"/>
      <c r="AK1875" s="964"/>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s="1396"/>
      <c r="CB1875" s="1396"/>
      <c r="CC1875"/>
      <c r="CD1875"/>
      <c r="CE1875"/>
    </row>
    <row r="1876" spans="1:83" ht="13.15" customHeight="1" outlineLevel="2" x14ac:dyDescent="0.2">
      <c r="A1876"/>
      <c r="B1876" s="1"/>
      <c r="C1876"/>
      <c r="D1876"/>
      <c r="E1876"/>
      <c r="F1876"/>
      <c r="G1876" s="1"/>
      <c r="H1876" s="1"/>
      <c r="I1876"/>
      <c r="J1876"/>
      <c r="K1876"/>
      <c r="L1876"/>
      <c r="M1876"/>
      <c r="N1876"/>
      <c r="O1876"/>
      <c r="P1876"/>
      <c r="Q1876"/>
      <c r="R1876" s="558" t="s">
        <v>3972</v>
      </c>
      <c r="S1876" s="83"/>
      <c r="T1876" s="56"/>
      <c r="U1876" s="955"/>
      <c r="V1876" s="43" t="str">
        <f t="shared" ref="V1876:V1884" si="1339">Z1863</f>
        <v>Q</v>
      </c>
      <c r="W1876" s="10"/>
      <c r="X1876" s="45" t="s">
        <v>769</v>
      </c>
      <c r="Y1876" s="10"/>
      <c r="Z1876" s="46" t="str">
        <f t="shared" ref="Z1876:Z1883" si="1340">V1865</f>
        <v>T</v>
      </c>
      <c r="AA1876" s="123"/>
      <c r="AB1876" s="1459">
        <f t="shared" si="1331"/>
        <v>0</v>
      </c>
      <c r="AC1876" s="1460" t="str">
        <f t="shared" si="1332"/>
        <v>-</v>
      </c>
      <c r="AD1876" s="1459">
        <f t="shared" si="1333"/>
        <v>0</v>
      </c>
      <c r="AE1876" s="964" t="str">
        <f t="shared" si="1334"/>
        <v/>
      </c>
      <c r="AF1876" s="964" t="str">
        <f t="shared" si="1335"/>
        <v/>
      </c>
      <c r="AG1876" s="964" t="str">
        <f t="shared" si="1336"/>
        <v/>
      </c>
      <c r="AH1876" s="964" t="str">
        <f t="shared" si="1337"/>
        <v/>
      </c>
      <c r="AI1876" s="964" t="str">
        <f t="shared" si="1338"/>
        <v/>
      </c>
      <c r="AJ1876" s="964"/>
      <c r="AK1876" s="964"/>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s="1396"/>
      <c r="CB1876" s="1396"/>
      <c r="CC1876"/>
      <c r="CD1876"/>
      <c r="CE1876"/>
    </row>
    <row r="1877" spans="1:83" ht="13.15" customHeight="1" outlineLevel="2" x14ac:dyDescent="0.2">
      <c r="A1877"/>
      <c r="B1877" s="1"/>
      <c r="C1877"/>
      <c r="D1877"/>
      <c r="E1877"/>
      <c r="F1877"/>
      <c r="G1877" s="1"/>
      <c r="H1877" s="1"/>
      <c r="I1877"/>
      <c r="J1877"/>
      <c r="K1877"/>
      <c r="L1877"/>
      <c r="M1877"/>
      <c r="N1877"/>
      <c r="O1877"/>
      <c r="P1877"/>
      <c r="Q1877"/>
      <c r="R1877" s="558" t="s">
        <v>3972</v>
      </c>
      <c r="S1877" s="83"/>
      <c r="T1877" s="56"/>
      <c r="U1877" s="955"/>
      <c r="V1877" s="43" t="str">
        <f t="shared" si="1339"/>
        <v>O</v>
      </c>
      <c r="W1877" s="10"/>
      <c r="X1877" s="45" t="s">
        <v>769</v>
      </c>
      <c r="Y1877" s="10"/>
      <c r="Z1877" s="46" t="str">
        <f t="shared" si="1340"/>
        <v>R</v>
      </c>
      <c r="AA1877" s="123"/>
      <c r="AB1877" s="1459">
        <f t="shared" si="1331"/>
        <v>0</v>
      </c>
      <c r="AC1877" s="1460" t="str">
        <f t="shared" si="1332"/>
        <v>-</v>
      </c>
      <c r="AD1877" s="1459">
        <f t="shared" si="1333"/>
        <v>0</v>
      </c>
      <c r="AE1877" s="964" t="str">
        <f t="shared" si="1334"/>
        <v/>
      </c>
      <c r="AF1877" s="964" t="str">
        <f t="shared" si="1335"/>
        <v/>
      </c>
      <c r="AG1877" s="964" t="str">
        <f t="shared" si="1336"/>
        <v/>
      </c>
      <c r="AH1877" s="964" t="str">
        <f t="shared" si="1337"/>
        <v/>
      </c>
      <c r="AI1877" s="964" t="str">
        <f t="shared" si="1338"/>
        <v/>
      </c>
      <c r="AJ1877" s="964"/>
      <c r="AK1877" s="964"/>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s="1396"/>
      <c r="CB1877" s="1396"/>
      <c r="CC1877"/>
      <c r="CD1877"/>
      <c r="CE1877"/>
    </row>
    <row r="1878" spans="1:83" ht="13.15" customHeight="1" outlineLevel="2" x14ac:dyDescent="0.2">
      <c r="A1878"/>
      <c r="B1878" s="1"/>
      <c r="C1878"/>
      <c r="D1878"/>
      <c r="E1878"/>
      <c r="F1878"/>
      <c r="G1878" s="1"/>
      <c r="H1878" s="1"/>
      <c r="I1878"/>
      <c r="J1878"/>
      <c r="K1878"/>
      <c r="L1878"/>
      <c r="M1878"/>
      <c r="N1878"/>
      <c r="O1878"/>
      <c r="P1878"/>
      <c r="Q1878"/>
      <c r="R1878" s="558" t="s">
        <v>3972</v>
      </c>
      <c r="S1878" s="83"/>
      <c r="T1878" s="56"/>
      <c r="U1878" s="955"/>
      <c r="V1878" s="43" t="str">
        <f t="shared" si="1339"/>
        <v>M</v>
      </c>
      <c r="W1878" s="10"/>
      <c r="X1878" s="45" t="s">
        <v>769</v>
      </c>
      <c r="Y1878" s="10"/>
      <c r="Z1878" s="46" t="str">
        <f t="shared" si="1340"/>
        <v>P</v>
      </c>
      <c r="AA1878" s="123"/>
      <c r="AB1878" s="1459">
        <f t="shared" si="1331"/>
        <v>0</v>
      </c>
      <c r="AC1878" s="1460" t="str">
        <f t="shared" si="1332"/>
        <v>-</v>
      </c>
      <c r="AD1878" s="1459">
        <f t="shared" si="1333"/>
        <v>0</v>
      </c>
      <c r="AE1878" s="964" t="str">
        <f t="shared" si="1334"/>
        <v/>
      </c>
      <c r="AF1878" s="964" t="str">
        <f t="shared" si="1335"/>
        <v/>
      </c>
      <c r="AG1878" s="964" t="str">
        <f t="shared" si="1336"/>
        <v/>
      </c>
      <c r="AH1878" s="964" t="str">
        <f t="shared" si="1337"/>
        <v/>
      </c>
      <c r="AI1878" s="964" t="str">
        <f t="shared" si="1338"/>
        <v/>
      </c>
      <c r="AJ1878" s="964"/>
      <c r="AK1878" s="964"/>
      <c r="AL1878"/>
      <c r="AM1878"/>
      <c r="AN1878"/>
      <c r="AO1878"/>
      <c r="AP1878"/>
      <c r="AQ1878"/>
      <c r="AR1878"/>
      <c r="AS1878"/>
      <c r="AT1878"/>
      <c r="AU1878"/>
      <c r="AV1878"/>
      <c r="AW1878"/>
      <c r="AX1878" s="9"/>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s="1396"/>
      <c r="CB1878" s="1396"/>
      <c r="CC1878"/>
      <c r="CD1878"/>
      <c r="CE1878"/>
    </row>
    <row r="1879" spans="1:83" ht="13.15" customHeight="1" outlineLevel="2" x14ac:dyDescent="0.2">
      <c r="A1879"/>
      <c r="B1879" s="1"/>
      <c r="C1879"/>
      <c r="D1879"/>
      <c r="E1879"/>
      <c r="F1879"/>
      <c r="G1879" s="1"/>
      <c r="H1879" s="1"/>
      <c r="I1879"/>
      <c r="J1879"/>
      <c r="K1879"/>
      <c r="L1879"/>
      <c r="M1879"/>
      <c r="N1879"/>
      <c r="O1879"/>
      <c r="P1879"/>
      <c r="Q1879"/>
      <c r="R1879" s="558" t="s">
        <v>3972</v>
      </c>
      <c r="S1879" s="83"/>
      <c r="T1879" s="56"/>
      <c r="U1879" s="955"/>
      <c r="V1879" s="43" t="str">
        <f t="shared" si="1339"/>
        <v>K</v>
      </c>
      <c r="W1879" s="10"/>
      <c r="X1879" s="45" t="s">
        <v>769</v>
      </c>
      <c r="Y1879" s="10"/>
      <c r="Z1879" s="46" t="str">
        <f t="shared" si="1340"/>
        <v>N</v>
      </c>
      <c r="AA1879" s="123"/>
      <c r="AB1879" s="1459">
        <f t="shared" si="1331"/>
        <v>0</v>
      </c>
      <c r="AC1879" s="1460" t="str">
        <f t="shared" si="1332"/>
        <v>-</v>
      </c>
      <c r="AD1879" s="1459">
        <f t="shared" si="1333"/>
        <v>0</v>
      </c>
      <c r="AE1879" s="964" t="str">
        <f t="shared" si="1334"/>
        <v/>
      </c>
      <c r="AF1879" s="964" t="str">
        <f t="shared" si="1335"/>
        <v/>
      </c>
      <c r="AG1879" s="964" t="str">
        <f t="shared" si="1336"/>
        <v/>
      </c>
      <c r="AH1879" s="964" t="str">
        <f t="shared" si="1337"/>
        <v/>
      </c>
      <c r="AI1879" s="964" t="str">
        <f t="shared" si="1338"/>
        <v/>
      </c>
      <c r="AJ1879" s="964"/>
      <c r="AK1879" s="964"/>
      <c r="AL1879"/>
      <c r="AM1879"/>
      <c r="AN1879"/>
      <c r="AO1879"/>
      <c r="AP1879"/>
      <c r="AQ1879"/>
      <c r="AR1879"/>
      <c r="AS1879"/>
      <c r="AT1879"/>
      <c r="AU1879"/>
      <c r="AV1879"/>
      <c r="AW1879" s="9"/>
      <c r="AX1879" s="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s="1396"/>
      <c r="CB1879" s="1396"/>
      <c r="CC1879"/>
      <c r="CD1879"/>
      <c r="CE1879"/>
    </row>
    <row r="1880" spans="1:83" ht="13.15" customHeight="1" outlineLevel="2" x14ac:dyDescent="0.2">
      <c r="A1880"/>
      <c r="B1880" s="1"/>
      <c r="C1880"/>
      <c r="D1880"/>
      <c r="E1880"/>
      <c r="F1880"/>
      <c r="G1880" s="1"/>
      <c r="H1880" s="1"/>
      <c r="I1880"/>
      <c r="J1880"/>
      <c r="K1880"/>
      <c r="L1880"/>
      <c r="M1880"/>
      <c r="N1880"/>
      <c r="O1880"/>
      <c r="P1880"/>
      <c r="Q1880"/>
      <c r="R1880" s="558" t="s">
        <v>3972</v>
      </c>
      <c r="S1880" s="83"/>
      <c r="T1880" s="56"/>
      <c r="U1880" s="955"/>
      <c r="V1880" s="43" t="str">
        <f t="shared" si="1339"/>
        <v>I</v>
      </c>
      <c r="W1880" s="10"/>
      <c r="X1880" s="45" t="s">
        <v>769</v>
      </c>
      <c r="Y1880" s="10"/>
      <c r="Z1880" s="46" t="str">
        <f t="shared" si="1340"/>
        <v>L</v>
      </c>
      <c r="AA1880" s="123"/>
      <c r="AB1880" s="1459">
        <f t="shared" si="1331"/>
        <v>0</v>
      </c>
      <c r="AC1880" s="1460" t="str">
        <f t="shared" si="1332"/>
        <v>-</v>
      </c>
      <c r="AD1880" s="1459">
        <f t="shared" si="1333"/>
        <v>0</v>
      </c>
      <c r="AE1880" s="964" t="str">
        <f t="shared" si="1334"/>
        <v/>
      </c>
      <c r="AF1880" s="964" t="str">
        <f t="shared" si="1335"/>
        <v/>
      </c>
      <c r="AG1880" s="964" t="str">
        <f t="shared" si="1336"/>
        <v/>
      </c>
      <c r="AH1880" s="964" t="str">
        <f t="shared" si="1337"/>
        <v/>
      </c>
      <c r="AI1880" s="964" t="str">
        <f t="shared" si="1338"/>
        <v/>
      </c>
      <c r="AJ1880" s="964"/>
      <c r="AK1880" s="964"/>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s="1396"/>
      <c r="CB1880" s="1396"/>
      <c r="CC1880"/>
      <c r="CD1880"/>
      <c r="CE1880"/>
    </row>
    <row r="1881" spans="1:83" ht="13.15" customHeight="1" outlineLevel="2" x14ac:dyDescent="0.2">
      <c r="A1881"/>
      <c r="B1881" s="1"/>
      <c r="C1881"/>
      <c r="D1881"/>
      <c r="E1881"/>
      <c r="F1881"/>
      <c r="G1881" s="1"/>
      <c r="H1881" s="1"/>
      <c r="I1881"/>
      <c r="J1881"/>
      <c r="K1881"/>
      <c r="L1881"/>
      <c r="M1881"/>
      <c r="N1881"/>
      <c r="O1881"/>
      <c r="P1881"/>
      <c r="Q1881"/>
      <c r="R1881" s="558" t="s">
        <v>3972</v>
      </c>
      <c r="S1881" s="83"/>
      <c r="T1881" s="56"/>
      <c r="U1881" s="955"/>
      <c r="V1881" s="43" t="str">
        <f t="shared" si="1339"/>
        <v>G</v>
      </c>
      <c r="W1881" s="10"/>
      <c r="X1881" s="45" t="s">
        <v>769</v>
      </c>
      <c r="Y1881" s="10"/>
      <c r="Z1881" s="46" t="str">
        <f t="shared" si="1340"/>
        <v>J</v>
      </c>
      <c r="AA1881" s="123"/>
      <c r="AB1881" s="1459">
        <f t="shared" si="1331"/>
        <v>0</v>
      </c>
      <c r="AC1881" s="1460" t="str">
        <f t="shared" si="1332"/>
        <v>-</v>
      </c>
      <c r="AD1881" s="1459">
        <f t="shared" si="1333"/>
        <v>0</v>
      </c>
      <c r="AE1881" s="964" t="str">
        <f t="shared" si="1334"/>
        <v/>
      </c>
      <c r="AF1881" s="964" t="str">
        <f t="shared" si="1335"/>
        <v/>
      </c>
      <c r="AG1881" s="964" t="str">
        <f t="shared" si="1336"/>
        <v/>
      </c>
      <c r="AH1881" s="964" t="str">
        <f t="shared" si="1337"/>
        <v/>
      </c>
      <c r="AI1881" s="964" t="str">
        <f t="shared" si="1338"/>
        <v/>
      </c>
      <c r="AJ1881" s="964"/>
      <c r="AK1881" s="964"/>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s="1396"/>
      <c r="CB1881" s="1396"/>
      <c r="CC1881"/>
      <c r="CD1881"/>
      <c r="CE1881"/>
    </row>
    <row r="1882" spans="1:83" ht="13.15" customHeight="1" outlineLevel="2" x14ac:dyDescent="0.2">
      <c r="A1882"/>
      <c r="B1882" s="1"/>
      <c r="C1882"/>
      <c r="D1882"/>
      <c r="E1882"/>
      <c r="F1882"/>
      <c r="G1882" s="1"/>
      <c r="H1882" s="1"/>
      <c r="I1882"/>
      <c r="J1882"/>
      <c r="K1882"/>
      <c r="L1882"/>
      <c r="M1882"/>
      <c r="N1882"/>
      <c r="O1882"/>
      <c r="P1882"/>
      <c r="Q1882"/>
      <c r="R1882" s="558" t="s">
        <v>3972</v>
      </c>
      <c r="S1882" s="83"/>
      <c r="T1882" s="56"/>
      <c r="U1882" s="955"/>
      <c r="V1882" s="43" t="str">
        <f t="shared" si="1339"/>
        <v>E</v>
      </c>
      <c r="W1882" s="10"/>
      <c r="X1882" s="45" t="s">
        <v>769</v>
      </c>
      <c r="Y1882" s="10"/>
      <c r="Z1882" s="46" t="str">
        <f t="shared" si="1340"/>
        <v>H</v>
      </c>
      <c r="AA1882" s="123"/>
      <c r="AB1882" s="1459">
        <f t="shared" si="1331"/>
        <v>0</v>
      </c>
      <c r="AC1882" s="1460" t="str">
        <f t="shared" si="1332"/>
        <v>-</v>
      </c>
      <c r="AD1882" s="1459">
        <f t="shared" si="1333"/>
        <v>0</v>
      </c>
      <c r="AE1882" s="964" t="str">
        <f t="shared" si="1334"/>
        <v/>
      </c>
      <c r="AF1882" s="964" t="str">
        <f t="shared" si="1335"/>
        <v/>
      </c>
      <c r="AG1882" s="964" t="str">
        <f t="shared" si="1336"/>
        <v/>
      </c>
      <c r="AH1882" s="964" t="str">
        <f t="shared" si="1337"/>
        <v/>
      </c>
      <c r="AI1882" s="964" t="str">
        <f t="shared" si="1338"/>
        <v/>
      </c>
      <c r="AJ1882" s="964"/>
      <c r="AK1882" s="964"/>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s="1396"/>
      <c r="CB1882" s="1396"/>
      <c r="CC1882"/>
      <c r="CD1882"/>
      <c r="CE1882"/>
    </row>
    <row r="1883" spans="1:83" ht="13.15" customHeight="1" outlineLevel="2" x14ac:dyDescent="0.2">
      <c r="A1883"/>
      <c r="B1883" s="1"/>
      <c r="C1883"/>
      <c r="D1883"/>
      <c r="E1883"/>
      <c r="F1883"/>
      <c r="G1883" s="1"/>
      <c r="H1883" s="1"/>
      <c r="I1883"/>
      <c r="J1883"/>
      <c r="K1883"/>
      <c r="L1883"/>
      <c r="M1883"/>
      <c r="N1883"/>
      <c r="O1883"/>
      <c r="P1883"/>
      <c r="Q1883"/>
      <c r="R1883" s="558" t="s">
        <v>3972</v>
      </c>
      <c r="S1883" s="83"/>
      <c r="T1883" s="56"/>
      <c r="U1883" s="955"/>
      <c r="V1883" s="43" t="str">
        <f t="shared" si="1339"/>
        <v>C</v>
      </c>
      <c r="W1883" s="10"/>
      <c r="X1883" s="45" t="s">
        <v>769</v>
      </c>
      <c r="Y1883" s="10"/>
      <c r="Z1883" s="46" t="str">
        <f t="shared" si="1340"/>
        <v>F</v>
      </c>
      <c r="AA1883" s="123"/>
      <c r="AB1883" s="1459">
        <f t="shared" si="1331"/>
        <v>0</v>
      </c>
      <c r="AC1883" s="1460" t="str">
        <f t="shared" si="1332"/>
        <v>-</v>
      </c>
      <c r="AD1883" s="1459">
        <f t="shared" si="1333"/>
        <v>0</v>
      </c>
      <c r="AE1883" s="964" t="str">
        <f t="shared" si="1334"/>
        <v/>
      </c>
      <c r="AF1883" s="964" t="str">
        <f t="shared" si="1335"/>
        <v/>
      </c>
      <c r="AG1883" s="964" t="str">
        <f t="shared" si="1336"/>
        <v/>
      </c>
      <c r="AH1883" s="964" t="str">
        <f t="shared" si="1337"/>
        <v/>
      </c>
      <c r="AI1883" s="964" t="str">
        <f t="shared" si="1338"/>
        <v/>
      </c>
      <c r="AJ1883" s="964"/>
      <c r="AK1883" s="964"/>
      <c r="AL1883"/>
      <c r="AM1883"/>
      <c r="AN1883"/>
      <c r="AO1883"/>
      <c r="AP1883"/>
      <c r="AQ1883"/>
      <c r="AR1883"/>
      <c r="AS1883"/>
      <c r="AT1883"/>
      <c r="AU1883"/>
      <c r="AV1883"/>
      <c r="AW1883"/>
      <c r="AX1883" s="9"/>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s="1396"/>
      <c r="CB1883" s="1396"/>
      <c r="CC1883"/>
      <c r="CD1883"/>
      <c r="CE1883"/>
    </row>
    <row r="1884" spans="1:83" ht="13.9" customHeight="1" outlineLevel="2" thickBot="1" x14ac:dyDescent="0.25">
      <c r="A1884"/>
      <c r="B1884" s="1"/>
      <c r="C1884"/>
      <c r="D1884"/>
      <c r="E1884"/>
      <c r="F1884"/>
      <c r="G1884" s="1"/>
      <c r="H1884" s="1"/>
      <c r="I1884"/>
      <c r="J1884"/>
      <c r="K1884"/>
      <c r="L1884"/>
      <c r="M1884"/>
      <c r="N1884"/>
      <c r="O1884"/>
      <c r="P1884"/>
      <c r="Q1884"/>
      <c r="R1884" s="558" t="s">
        <v>3972</v>
      </c>
      <c r="S1884" s="956"/>
      <c r="T1884" s="58"/>
      <c r="U1884" s="957"/>
      <c r="V1884" s="958" t="str">
        <f t="shared" si="1339"/>
        <v>B</v>
      </c>
      <c r="W1884" s="175"/>
      <c r="X1884" s="52" t="s">
        <v>769</v>
      </c>
      <c r="Y1884" s="175"/>
      <c r="Z1884" s="959" t="str">
        <f>Z1872</f>
        <v>D</v>
      </c>
      <c r="AA1884" s="123"/>
      <c r="AB1884" s="1459">
        <f t="shared" si="1331"/>
        <v>0</v>
      </c>
      <c r="AC1884" s="1460" t="str">
        <f t="shared" si="1332"/>
        <v>-</v>
      </c>
      <c r="AD1884" s="1459">
        <f t="shared" si="1333"/>
        <v>0</v>
      </c>
      <c r="AE1884" s="964" t="str">
        <f t="shared" si="1334"/>
        <v/>
      </c>
      <c r="AF1884" s="964" t="str">
        <f t="shared" si="1335"/>
        <v/>
      </c>
      <c r="AG1884" s="964" t="str">
        <f t="shared" si="1336"/>
        <v/>
      </c>
      <c r="AH1884" s="964" t="str">
        <f t="shared" si="1337"/>
        <v/>
      </c>
      <c r="AI1884" s="964" t="str">
        <f t="shared" si="1338"/>
        <v/>
      </c>
      <c r="AJ1884" s="964"/>
      <c r="AK1884" s="964"/>
      <c r="AL1884"/>
      <c r="AM1884"/>
      <c r="AN1884"/>
      <c r="AO1884"/>
      <c r="AP1884"/>
      <c r="AQ1884"/>
      <c r="AR1884"/>
      <c r="AS1884"/>
      <c r="AT1884"/>
      <c r="AU1884"/>
      <c r="AV1884"/>
      <c r="AW1884" s="9"/>
      <c r="AX1884" s="9"/>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s="1396"/>
      <c r="CB1884" s="1396"/>
      <c r="CC1884"/>
      <c r="CD1884"/>
      <c r="CE1884"/>
    </row>
    <row r="1885" spans="1:83" ht="13.5" outlineLevel="1" thickBot="1" x14ac:dyDescent="0.25">
      <c r="A1885"/>
      <c r="B1885" s="1"/>
      <c r="C1885" s="1"/>
      <c r="D1885" s="76"/>
      <c r="E1885" s="76"/>
      <c r="F1885" s="76"/>
      <c r="G1885" s="9"/>
      <c r="H1885" s="9"/>
      <c r="I1885" s="1"/>
      <c r="J1885"/>
      <c r="K1885"/>
      <c r="L1885"/>
      <c r="M1885"/>
      <c r="N1885"/>
      <c r="O1885"/>
      <c r="P1885" s="89"/>
      <c r="Q1885"/>
      <c r="R1885" s="1"/>
      <c r="S1885" s="993">
        <f>S1873+1</f>
        <v>11</v>
      </c>
      <c r="T1885" s="961"/>
      <c r="U1885" s="961"/>
      <c r="V1885" s="961"/>
      <c r="W1885" s="960"/>
      <c r="X1885" s="960"/>
      <c r="Y1885" s="960"/>
      <c r="Z1885" s="962"/>
      <c r="AA1885" s="123"/>
      <c r="AB1885" s="963"/>
      <c r="AC1885" s="963"/>
      <c r="AD1885" s="963"/>
      <c r="AE1885" s="964"/>
      <c r="AF1885" s="964"/>
      <c r="AG1885" s="964"/>
      <c r="AH1885" s="964"/>
      <c r="AI1885" s="964"/>
      <c r="AJ1885" s="964"/>
      <c r="AK1885" s="964"/>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s="1396"/>
      <c r="CB1885" s="1396"/>
      <c r="CC1885"/>
      <c r="CD1885"/>
      <c r="CE1885"/>
    </row>
    <row r="1886" spans="1:83" ht="13.9" customHeight="1" outlineLevel="2" thickBot="1" x14ac:dyDescent="0.25">
      <c r="A1886"/>
      <c r="B1886" s="1"/>
      <c r="C1886"/>
      <c r="D1886"/>
      <c r="E1886"/>
      <c r="F1886"/>
      <c r="G1886" s="1"/>
      <c r="H1886" s="1"/>
      <c r="I1886"/>
      <c r="J1886"/>
      <c r="K1886"/>
      <c r="L1886"/>
      <c r="M1886"/>
      <c r="N1886"/>
      <c r="O1886"/>
      <c r="P1886"/>
      <c r="Q1886"/>
      <c r="S1886" s="22" t="str">
        <f>N_Heure</f>
        <v>Heure</v>
      </c>
      <c r="T1886" s="22" t="str">
        <f>N_Table</f>
        <v>Table</v>
      </c>
      <c r="U1886" s="22" t="str">
        <f>N_Arbitre</f>
        <v>Arbitre</v>
      </c>
      <c r="V1886" s="293" t="str">
        <f>N_Matches</f>
        <v>Matches</v>
      </c>
      <c r="W1886" s="294"/>
      <c r="X1886" s="294"/>
      <c r="Y1886" s="294"/>
      <c r="Z1886" s="295"/>
      <c r="AA1886" s="8"/>
      <c r="AB1886" s="967"/>
      <c r="AC1886" s="967"/>
      <c r="AD1886" s="967"/>
      <c r="AE1886" s="964"/>
      <c r="AF1886" s="964"/>
      <c r="AG1886" s="964"/>
      <c r="AH1886" s="964"/>
      <c r="AI1886" s="964"/>
      <c r="AJ1886" s="964"/>
      <c r="AK1886" s="964"/>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s="1396"/>
      <c r="CB1886" s="1396"/>
      <c r="CC1886"/>
      <c r="CD1886"/>
      <c r="CE1886"/>
    </row>
    <row r="1887" spans="1:83" ht="13.15" customHeight="1" outlineLevel="2" x14ac:dyDescent="0.2">
      <c r="A1887"/>
      <c r="B1887" s="1"/>
      <c r="C1887"/>
      <c r="D1887"/>
      <c r="E1887"/>
      <c r="F1887"/>
      <c r="G1887" s="1"/>
      <c r="H1887" s="1"/>
      <c r="I1887"/>
      <c r="J1887"/>
      <c r="K1887"/>
      <c r="L1887"/>
      <c r="M1887"/>
      <c r="N1887"/>
      <c r="O1887"/>
      <c r="P1887"/>
      <c r="Q1887"/>
      <c r="R1887" s="558" t="s">
        <v>3973</v>
      </c>
      <c r="S1887" s="65"/>
      <c r="T1887" s="953"/>
      <c r="U1887" s="954"/>
      <c r="V1887" s="34" t="str">
        <f>Z1875</f>
        <v>A</v>
      </c>
      <c r="W1887" s="148"/>
      <c r="X1887" s="35" t="s">
        <v>769</v>
      </c>
      <c r="Y1887" s="148"/>
      <c r="Z1887" s="36" t="str">
        <f>Z1876</f>
        <v>T</v>
      </c>
      <c r="AA1887" s="123"/>
      <c r="AB1887" s="1459">
        <f t="shared" ref="AB1887:AB1896" si="1341">IF(MaxScore,MaxGoals(W1887,Y1887,MaxGoalsValue),IF(W1887="","",W1887))</f>
        <v>0</v>
      </c>
      <c r="AC1887" s="1460" t="str">
        <f t="shared" ref="AC1887:AC1896" si="1342">IF(MaxScore,"-",IF(W1887="","","-"))</f>
        <v>-</v>
      </c>
      <c r="AD1887" s="1459">
        <f t="shared" ref="AD1887:AD1896" si="1343">IF(MaxScore,MaxGoals(Y1887,W1887,MaxGoalsValue),IF(Y1887="","",Y1887))</f>
        <v>0</v>
      </c>
      <c r="AE1887" s="964" t="str">
        <f t="shared" ref="AE1887:AE1896" si="1344">IF(W1887="","",IF(W1887&gt;Y1887,V1887,IF(W1887=Y1887,"",Z1887)))</f>
        <v/>
      </c>
      <c r="AF1887" s="964" t="str">
        <f t="shared" ref="AF1887:AF1896" si="1345">IF(W1887="","",IF(W1887=Y1887,V1887,""))</f>
        <v/>
      </c>
      <c r="AG1887" s="964" t="str">
        <f t="shared" ref="AG1887:AG1896" si="1346">IF(W1887="","",IF(W1887=Y1887,Z1887,""))</f>
        <v/>
      </c>
      <c r="AH1887" s="964" t="str">
        <f t="shared" ref="AH1887:AH1896" si="1347">IF(W1887="","",IF(W1887&lt;Y1887,V1887,IF(W1887=Y1887,"",Z1887)))</f>
        <v/>
      </c>
      <c r="AI1887" s="964" t="str">
        <f t="shared" ref="AI1887:AI1896" si="1348">CONCATENATE(AE1887,AH1887)</f>
        <v/>
      </c>
      <c r="AJ1887" s="964"/>
      <c r="AK1887" s="964"/>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s="1396"/>
      <c r="CB1887" s="1396"/>
      <c r="CC1887"/>
      <c r="CD1887"/>
      <c r="CE1887"/>
    </row>
    <row r="1888" spans="1:83" ht="13.15" customHeight="1" outlineLevel="2" x14ac:dyDescent="0.2">
      <c r="A1888"/>
      <c r="B1888" s="1"/>
      <c r="C1888"/>
      <c r="D1888"/>
      <c r="E1888"/>
      <c r="F1888"/>
      <c r="G1888" s="1"/>
      <c r="H1888" s="1"/>
      <c r="I1888"/>
      <c r="J1888"/>
      <c r="K1888"/>
      <c r="L1888"/>
      <c r="M1888"/>
      <c r="N1888"/>
      <c r="O1888"/>
      <c r="P1888"/>
      <c r="Q1888"/>
      <c r="R1888" s="558" t="s">
        <v>3973</v>
      </c>
      <c r="S1888" s="83"/>
      <c r="T1888" s="56"/>
      <c r="U1888" s="955"/>
      <c r="V1888" s="43" t="str">
        <f t="shared" ref="V1888:V1895" si="1349">Z1877</f>
        <v>R</v>
      </c>
      <c r="W1888" s="10"/>
      <c r="X1888" s="45" t="s">
        <v>769</v>
      </c>
      <c r="Y1888" s="10"/>
      <c r="Z1888" s="46" t="str">
        <f t="shared" ref="Z1888:Z1896" si="1350">V1875</f>
        <v>S</v>
      </c>
      <c r="AA1888" s="123"/>
      <c r="AB1888" s="1459">
        <f t="shared" si="1341"/>
        <v>0</v>
      </c>
      <c r="AC1888" s="1460" t="str">
        <f t="shared" si="1342"/>
        <v>-</v>
      </c>
      <c r="AD1888" s="1459">
        <f t="shared" si="1343"/>
        <v>0</v>
      </c>
      <c r="AE1888" s="964" t="str">
        <f t="shared" si="1344"/>
        <v/>
      </c>
      <c r="AF1888" s="964" t="str">
        <f t="shared" si="1345"/>
        <v/>
      </c>
      <c r="AG1888" s="964" t="str">
        <f t="shared" si="1346"/>
        <v/>
      </c>
      <c r="AH1888" s="964" t="str">
        <f t="shared" si="1347"/>
        <v/>
      </c>
      <c r="AI1888" s="964" t="str">
        <f t="shared" si="1348"/>
        <v/>
      </c>
      <c r="AJ1888" s="964"/>
      <c r="AK1888" s="964"/>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s="1396"/>
      <c r="CB1888" s="1396"/>
      <c r="CC1888"/>
      <c r="CD1888"/>
      <c r="CE1888"/>
    </row>
    <row r="1889" spans="1:83" ht="13.15" customHeight="1" outlineLevel="2" x14ac:dyDescent="0.2">
      <c r="A1889"/>
      <c r="B1889" s="1"/>
      <c r="C1889"/>
      <c r="D1889"/>
      <c r="E1889"/>
      <c r="F1889"/>
      <c r="G1889" s="1"/>
      <c r="H1889" s="1"/>
      <c r="I1889"/>
      <c r="J1889"/>
      <c r="K1889"/>
      <c r="L1889"/>
      <c r="M1889"/>
      <c r="N1889"/>
      <c r="O1889"/>
      <c r="P1889"/>
      <c r="Q1889"/>
      <c r="R1889" s="558" t="s">
        <v>3973</v>
      </c>
      <c r="S1889" s="83"/>
      <c r="T1889" s="56"/>
      <c r="U1889" s="955"/>
      <c r="V1889" s="43" t="str">
        <f t="shared" si="1349"/>
        <v>P</v>
      </c>
      <c r="W1889" s="10"/>
      <c r="X1889" s="45" t="s">
        <v>769</v>
      </c>
      <c r="Y1889" s="10"/>
      <c r="Z1889" s="46" t="str">
        <f t="shared" si="1350"/>
        <v>Q</v>
      </c>
      <c r="AA1889" s="123"/>
      <c r="AB1889" s="1459">
        <f t="shared" si="1341"/>
        <v>0</v>
      </c>
      <c r="AC1889" s="1460" t="str">
        <f t="shared" si="1342"/>
        <v>-</v>
      </c>
      <c r="AD1889" s="1459">
        <f t="shared" si="1343"/>
        <v>0</v>
      </c>
      <c r="AE1889" s="964" t="str">
        <f t="shared" si="1344"/>
        <v/>
      </c>
      <c r="AF1889" s="964" t="str">
        <f t="shared" si="1345"/>
        <v/>
      </c>
      <c r="AG1889" s="964" t="str">
        <f t="shared" si="1346"/>
        <v/>
      </c>
      <c r="AH1889" s="964" t="str">
        <f t="shared" si="1347"/>
        <v/>
      </c>
      <c r="AI1889" s="964" t="str">
        <f t="shared" si="1348"/>
        <v/>
      </c>
      <c r="AJ1889" s="964"/>
      <c r="AK1889" s="964"/>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s="1396"/>
      <c r="CB1889" s="1396"/>
      <c r="CC1889"/>
      <c r="CD1889"/>
      <c r="CE1889"/>
    </row>
    <row r="1890" spans="1:83" ht="13.15" customHeight="1" outlineLevel="2" x14ac:dyDescent="0.2">
      <c r="A1890"/>
      <c r="B1890" s="1"/>
      <c r="C1890"/>
      <c r="D1890"/>
      <c r="E1890"/>
      <c r="F1890"/>
      <c r="G1890" s="1"/>
      <c r="H1890" s="1"/>
      <c r="I1890"/>
      <c r="J1890"/>
      <c r="K1890"/>
      <c r="L1890"/>
      <c r="M1890"/>
      <c r="N1890"/>
      <c r="O1890"/>
      <c r="P1890"/>
      <c r="Q1890"/>
      <c r="R1890" s="558" t="s">
        <v>3973</v>
      </c>
      <c r="S1890" s="83"/>
      <c r="T1890" s="56"/>
      <c r="U1890" s="955"/>
      <c r="V1890" s="43" t="str">
        <f t="shared" si="1349"/>
        <v>N</v>
      </c>
      <c r="W1890" s="10"/>
      <c r="X1890" s="45" t="s">
        <v>769</v>
      </c>
      <c r="Y1890" s="10"/>
      <c r="Z1890" s="46" t="str">
        <f t="shared" si="1350"/>
        <v>O</v>
      </c>
      <c r="AA1890" s="123"/>
      <c r="AB1890" s="1459">
        <f t="shared" si="1341"/>
        <v>0</v>
      </c>
      <c r="AC1890" s="1460" t="str">
        <f t="shared" si="1342"/>
        <v>-</v>
      </c>
      <c r="AD1890" s="1459">
        <f t="shared" si="1343"/>
        <v>0</v>
      </c>
      <c r="AE1890" s="964" t="str">
        <f t="shared" si="1344"/>
        <v/>
      </c>
      <c r="AF1890" s="964" t="str">
        <f t="shared" si="1345"/>
        <v/>
      </c>
      <c r="AG1890" s="964" t="str">
        <f t="shared" si="1346"/>
        <v/>
      </c>
      <c r="AH1890" s="964" t="str">
        <f t="shared" si="1347"/>
        <v/>
      </c>
      <c r="AI1890" s="964" t="str">
        <f t="shared" si="1348"/>
        <v/>
      </c>
      <c r="AJ1890" s="964"/>
      <c r="AK1890" s="964"/>
      <c r="AL1890"/>
      <c r="AM1890"/>
      <c r="AN1890"/>
      <c r="AO1890"/>
      <c r="AP1890"/>
      <c r="AQ1890"/>
      <c r="AR1890"/>
      <c r="AS1890"/>
      <c r="AT1890"/>
      <c r="AU1890"/>
      <c r="AV1890"/>
      <c r="AW1890"/>
      <c r="AX1890" s="9"/>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s="1396"/>
      <c r="CB1890" s="1396"/>
      <c r="CC1890"/>
      <c r="CD1890"/>
      <c r="CE1890"/>
    </row>
    <row r="1891" spans="1:83" ht="13.15" customHeight="1" outlineLevel="2" x14ac:dyDescent="0.2">
      <c r="A1891"/>
      <c r="B1891" s="1"/>
      <c r="C1891"/>
      <c r="D1891"/>
      <c r="E1891"/>
      <c r="F1891"/>
      <c r="G1891" s="1"/>
      <c r="H1891" s="1"/>
      <c r="I1891"/>
      <c r="J1891"/>
      <c r="K1891"/>
      <c r="L1891"/>
      <c r="M1891"/>
      <c r="N1891"/>
      <c r="O1891"/>
      <c r="P1891"/>
      <c r="Q1891"/>
      <c r="R1891" s="558" t="s">
        <v>3973</v>
      </c>
      <c r="S1891" s="83"/>
      <c r="T1891" s="56"/>
      <c r="U1891" s="955"/>
      <c r="V1891" s="43" t="str">
        <f t="shared" si="1349"/>
        <v>L</v>
      </c>
      <c r="W1891" s="10"/>
      <c r="X1891" s="45" t="s">
        <v>769</v>
      </c>
      <c r="Y1891" s="10"/>
      <c r="Z1891" s="46" t="str">
        <f t="shared" si="1350"/>
        <v>M</v>
      </c>
      <c r="AA1891" s="123"/>
      <c r="AB1891" s="1459">
        <f t="shared" si="1341"/>
        <v>0</v>
      </c>
      <c r="AC1891" s="1460" t="str">
        <f t="shared" si="1342"/>
        <v>-</v>
      </c>
      <c r="AD1891" s="1459">
        <f t="shared" si="1343"/>
        <v>0</v>
      </c>
      <c r="AE1891" s="964" t="str">
        <f t="shared" si="1344"/>
        <v/>
      </c>
      <c r="AF1891" s="964" t="str">
        <f t="shared" si="1345"/>
        <v/>
      </c>
      <c r="AG1891" s="964" t="str">
        <f t="shared" si="1346"/>
        <v/>
      </c>
      <c r="AH1891" s="964" t="str">
        <f t="shared" si="1347"/>
        <v/>
      </c>
      <c r="AI1891" s="964" t="str">
        <f t="shared" si="1348"/>
        <v/>
      </c>
      <c r="AJ1891" s="964"/>
      <c r="AK1891" s="964"/>
      <c r="AL1891"/>
      <c r="AM1891"/>
      <c r="AN1891"/>
      <c r="AO1891"/>
      <c r="AP1891"/>
      <c r="AQ1891"/>
      <c r="AR1891"/>
      <c r="AS1891"/>
      <c r="AT1891"/>
      <c r="AU1891"/>
      <c r="AV1891"/>
      <c r="AW1891" s="9"/>
      <c r="AX1891" s="9"/>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s="1396"/>
      <c r="CB1891" s="1396"/>
      <c r="CC1891"/>
      <c r="CD1891"/>
      <c r="CE1891"/>
    </row>
    <row r="1892" spans="1:83" ht="13.15" customHeight="1" outlineLevel="2" x14ac:dyDescent="0.2">
      <c r="A1892"/>
      <c r="B1892" s="1"/>
      <c r="C1892"/>
      <c r="D1892"/>
      <c r="E1892"/>
      <c r="F1892"/>
      <c r="G1892" s="1"/>
      <c r="H1892" s="1"/>
      <c r="I1892"/>
      <c r="J1892"/>
      <c r="K1892"/>
      <c r="L1892"/>
      <c r="M1892"/>
      <c r="N1892"/>
      <c r="O1892"/>
      <c r="P1892"/>
      <c r="Q1892"/>
      <c r="R1892" s="558" t="s">
        <v>3973</v>
      </c>
      <c r="S1892" s="83"/>
      <c r="T1892" s="56"/>
      <c r="U1892" s="955"/>
      <c r="V1892" s="43" t="str">
        <f t="shared" si="1349"/>
        <v>J</v>
      </c>
      <c r="W1892" s="10"/>
      <c r="X1892" s="45" t="s">
        <v>769</v>
      </c>
      <c r="Y1892" s="10"/>
      <c r="Z1892" s="46" t="str">
        <f t="shared" si="1350"/>
        <v>K</v>
      </c>
      <c r="AA1892" s="123"/>
      <c r="AB1892" s="1459">
        <f t="shared" si="1341"/>
        <v>0</v>
      </c>
      <c r="AC1892" s="1460" t="str">
        <f t="shared" si="1342"/>
        <v>-</v>
      </c>
      <c r="AD1892" s="1459">
        <f t="shared" si="1343"/>
        <v>0</v>
      </c>
      <c r="AE1892" s="964" t="str">
        <f t="shared" si="1344"/>
        <v/>
      </c>
      <c r="AF1892" s="964" t="str">
        <f t="shared" si="1345"/>
        <v/>
      </c>
      <c r="AG1892" s="964" t="str">
        <f t="shared" si="1346"/>
        <v/>
      </c>
      <c r="AH1892" s="964" t="str">
        <f t="shared" si="1347"/>
        <v/>
      </c>
      <c r="AI1892" s="964" t="str">
        <f t="shared" si="1348"/>
        <v/>
      </c>
      <c r="AJ1892" s="964"/>
      <c r="AK1892" s="964"/>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s="1396"/>
      <c r="CB1892" s="1396"/>
      <c r="CC1892"/>
      <c r="CD1892"/>
      <c r="CE1892"/>
    </row>
    <row r="1893" spans="1:83" ht="13.15" customHeight="1" outlineLevel="2" x14ac:dyDescent="0.2">
      <c r="A1893"/>
      <c r="B1893" s="1"/>
      <c r="C1893"/>
      <c r="D1893"/>
      <c r="E1893"/>
      <c r="F1893"/>
      <c r="G1893" s="1"/>
      <c r="H1893" s="1"/>
      <c r="I1893"/>
      <c r="J1893"/>
      <c r="K1893"/>
      <c r="L1893"/>
      <c r="M1893"/>
      <c r="N1893"/>
      <c r="O1893"/>
      <c r="P1893"/>
      <c r="Q1893"/>
      <c r="R1893" s="558" t="s">
        <v>3973</v>
      </c>
      <c r="S1893" s="83"/>
      <c r="T1893" s="56"/>
      <c r="U1893" s="955"/>
      <c r="V1893" s="43" t="str">
        <f t="shared" si="1349"/>
        <v>H</v>
      </c>
      <c r="W1893" s="10"/>
      <c r="X1893" s="45" t="s">
        <v>769</v>
      </c>
      <c r="Y1893" s="10"/>
      <c r="Z1893" s="46" t="str">
        <f t="shared" si="1350"/>
        <v>I</v>
      </c>
      <c r="AA1893" s="123"/>
      <c r="AB1893" s="1459">
        <f t="shared" si="1341"/>
        <v>0</v>
      </c>
      <c r="AC1893" s="1460" t="str">
        <f t="shared" si="1342"/>
        <v>-</v>
      </c>
      <c r="AD1893" s="1459">
        <f t="shared" si="1343"/>
        <v>0</v>
      </c>
      <c r="AE1893" s="964" t="str">
        <f t="shared" si="1344"/>
        <v/>
      </c>
      <c r="AF1893" s="964" t="str">
        <f t="shared" si="1345"/>
        <v/>
      </c>
      <c r="AG1893" s="964" t="str">
        <f t="shared" si="1346"/>
        <v/>
      </c>
      <c r="AH1893" s="964" t="str">
        <f t="shared" si="1347"/>
        <v/>
      </c>
      <c r="AI1893" s="964" t="str">
        <f t="shared" si="1348"/>
        <v/>
      </c>
      <c r="AJ1893" s="964"/>
      <c r="AK1893" s="964"/>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s="1396"/>
      <c r="CB1893" s="1396"/>
      <c r="CC1893"/>
      <c r="CD1893"/>
      <c r="CE1893"/>
    </row>
    <row r="1894" spans="1:83" ht="13.15" customHeight="1" outlineLevel="2" x14ac:dyDescent="0.2">
      <c r="A1894"/>
      <c r="B1894" s="1"/>
      <c r="C1894"/>
      <c r="D1894"/>
      <c r="E1894"/>
      <c r="F1894"/>
      <c r="G1894" s="1"/>
      <c r="H1894" s="1"/>
      <c r="I1894"/>
      <c r="J1894"/>
      <c r="K1894"/>
      <c r="L1894"/>
      <c r="M1894"/>
      <c r="N1894"/>
      <c r="O1894"/>
      <c r="P1894"/>
      <c r="Q1894"/>
      <c r="R1894" s="558" t="s">
        <v>3973</v>
      </c>
      <c r="S1894" s="83"/>
      <c r="T1894" s="56"/>
      <c r="U1894" s="955"/>
      <c r="V1894" s="43" t="str">
        <f t="shared" si="1349"/>
        <v>F</v>
      </c>
      <c r="W1894" s="10"/>
      <c r="X1894" s="45" t="s">
        <v>769</v>
      </c>
      <c r="Y1894" s="10"/>
      <c r="Z1894" s="46" t="str">
        <f t="shared" si="1350"/>
        <v>G</v>
      </c>
      <c r="AA1894" s="123"/>
      <c r="AB1894" s="1459">
        <f t="shared" si="1341"/>
        <v>0</v>
      </c>
      <c r="AC1894" s="1460" t="str">
        <f t="shared" si="1342"/>
        <v>-</v>
      </c>
      <c r="AD1894" s="1459">
        <f t="shared" si="1343"/>
        <v>0</v>
      </c>
      <c r="AE1894" s="964" t="str">
        <f t="shared" si="1344"/>
        <v/>
      </c>
      <c r="AF1894" s="964" t="str">
        <f t="shared" si="1345"/>
        <v/>
      </c>
      <c r="AG1894" s="964" t="str">
        <f t="shared" si="1346"/>
        <v/>
      </c>
      <c r="AH1894" s="964" t="str">
        <f t="shared" si="1347"/>
        <v/>
      </c>
      <c r="AI1894" s="964" t="str">
        <f t="shared" si="1348"/>
        <v/>
      </c>
      <c r="AJ1894" s="964"/>
      <c r="AK1894" s="96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s="1396"/>
      <c r="CB1894" s="1396"/>
      <c r="CC1894"/>
      <c r="CD1894"/>
      <c r="CE1894"/>
    </row>
    <row r="1895" spans="1:83" ht="13.15" customHeight="1" outlineLevel="2" x14ac:dyDescent="0.2">
      <c r="A1895"/>
      <c r="B1895" s="1"/>
      <c r="C1895"/>
      <c r="D1895"/>
      <c r="E1895"/>
      <c r="F1895"/>
      <c r="G1895" s="1"/>
      <c r="H1895" s="1"/>
      <c r="I1895"/>
      <c r="J1895"/>
      <c r="K1895"/>
      <c r="L1895"/>
      <c r="M1895"/>
      <c r="N1895"/>
      <c r="O1895"/>
      <c r="P1895"/>
      <c r="Q1895"/>
      <c r="R1895" s="558" t="s">
        <v>3973</v>
      </c>
      <c r="S1895" s="83"/>
      <c r="T1895" s="56"/>
      <c r="U1895" s="955"/>
      <c r="V1895" s="43" t="str">
        <f t="shared" si="1349"/>
        <v>D</v>
      </c>
      <c r="W1895" s="10"/>
      <c r="X1895" s="45" t="s">
        <v>769</v>
      </c>
      <c r="Y1895" s="10"/>
      <c r="Z1895" s="46" t="str">
        <f t="shared" si="1350"/>
        <v>E</v>
      </c>
      <c r="AA1895" s="123"/>
      <c r="AB1895" s="1459">
        <f t="shared" si="1341"/>
        <v>0</v>
      </c>
      <c r="AC1895" s="1460" t="str">
        <f t="shared" si="1342"/>
        <v>-</v>
      </c>
      <c r="AD1895" s="1459">
        <f t="shared" si="1343"/>
        <v>0</v>
      </c>
      <c r="AE1895" s="964" t="str">
        <f t="shared" si="1344"/>
        <v/>
      </c>
      <c r="AF1895" s="964" t="str">
        <f t="shared" si="1345"/>
        <v/>
      </c>
      <c r="AG1895" s="964" t="str">
        <f t="shared" si="1346"/>
        <v/>
      </c>
      <c r="AH1895" s="964" t="str">
        <f t="shared" si="1347"/>
        <v/>
      </c>
      <c r="AI1895" s="964" t="str">
        <f t="shared" si="1348"/>
        <v/>
      </c>
      <c r="AJ1895" s="964"/>
      <c r="AK1895" s="964"/>
      <c r="AL1895"/>
      <c r="AM1895"/>
      <c r="AN1895"/>
      <c r="AO1895"/>
      <c r="AP1895"/>
      <c r="AQ1895"/>
      <c r="AR1895"/>
      <c r="AS1895"/>
      <c r="AT1895"/>
      <c r="AU1895"/>
      <c r="AV1895"/>
      <c r="AW1895"/>
      <c r="AX1895" s="9"/>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s="1396"/>
      <c r="CB1895" s="1396"/>
      <c r="CC1895"/>
      <c r="CD1895"/>
      <c r="CE1895"/>
    </row>
    <row r="1896" spans="1:83" ht="13.9" customHeight="1" outlineLevel="2" thickBot="1" x14ac:dyDescent="0.25">
      <c r="A1896"/>
      <c r="B1896" s="1"/>
      <c r="C1896"/>
      <c r="D1896"/>
      <c r="E1896"/>
      <c r="F1896"/>
      <c r="G1896" s="1"/>
      <c r="H1896" s="1"/>
      <c r="I1896"/>
      <c r="J1896"/>
      <c r="K1896"/>
      <c r="L1896"/>
      <c r="M1896"/>
      <c r="N1896"/>
      <c r="O1896"/>
      <c r="P1896"/>
      <c r="Q1896"/>
      <c r="R1896" s="558" t="s">
        <v>3973</v>
      </c>
      <c r="S1896" s="956"/>
      <c r="T1896" s="58"/>
      <c r="U1896" s="957"/>
      <c r="V1896" s="958" t="str">
        <f>V1884</f>
        <v>B</v>
      </c>
      <c r="W1896" s="175"/>
      <c r="X1896" s="52" t="s">
        <v>769</v>
      </c>
      <c r="Y1896" s="175"/>
      <c r="Z1896" s="46" t="str">
        <f t="shared" si="1350"/>
        <v>C</v>
      </c>
      <c r="AA1896" s="123"/>
      <c r="AB1896" s="1459">
        <f t="shared" si="1341"/>
        <v>0</v>
      </c>
      <c r="AC1896" s="1460" t="str">
        <f t="shared" si="1342"/>
        <v>-</v>
      </c>
      <c r="AD1896" s="1459">
        <f t="shared" si="1343"/>
        <v>0</v>
      </c>
      <c r="AE1896" s="964" t="str">
        <f t="shared" si="1344"/>
        <v/>
      </c>
      <c r="AF1896" s="964" t="str">
        <f t="shared" si="1345"/>
        <v/>
      </c>
      <c r="AG1896" s="964" t="str">
        <f t="shared" si="1346"/>
        <v/>
      </c>
      <c r="AH1896" s="964" t="str">
        <f t="shared" si="1347"/>
        <v/>
      </c>
      <c r="AI1896" s="964" t="str">
        <f t="shared" si="1348"/>
        <v/>
      </c>
      <c r="AJ1896" s="964"/>
      <c r="AK1896" s="964"/>
      <c r="AL1896"/>
      <c r="AM1896"/>
      <c r="AN1896"/>
      <c r="AO1896"/>
      <c r="AP1896"/>
      <c r="AQ1896"/>
      <c r="AR1896"/>
      <c r="AS1896"/>
      <c r="AT1896"/>
      <c r="AU1896"/>
      <c r="AV1896"/>
      <c r="AW1896" s="9"/>
      <c r="AX1896" s="9"/>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s="1396"/>
      <c r="CB1896" s="1396"/>
      <c r="CC1896"/>
      <c r="CD1896"/>
      <c r="CE1896"/>
    </row>
    <row r="1897" spans="1:83" ht="13.5" outlineLevel="1" thickBot="1" x14ac:dyDescent="0.25">
      <c r="A1897"/>
      <c r="B1897" s="1"/>
      <c r="C1897" s="1"/>
      <c r="D1897" s="76"/>
      <c r="E1897" s="76"/>
      <c r="F1897" s="76"/>
      <c r="G1897" s="9"/>
      <c r="H1897" s="9"/>
      <c r="I1897" s="1"/>
      <c r="J1897"/>
      <c r="K1897"/>
      <c r="L1897"/>
      <c r="M1897"/>
      <c r="N1897"/>
      <c r="O1897"/>
      <c r="P1897" s="89"/>
      <c r="Q1897"/>
      <c r="R1897" s="1"/>
      <c r="S1897" s="993">
        <f>S1885+1</f>
        <v>12</v>
      </c>
      <c r="T1897" s="961"/>
      <c r="U1897" s="961"/>
      <c r="V1897" s="961"/>
      <c r="W1897" s="960"/>
      <c r="X1897" s="960"/>
      <c r="Y1897" s="960"/>
      <c r="Z1897" s="962"/>
      <c r="AA1897" s="123"/>
      <c r="AB1897" s="963"/>
      <c r="AC1897" s="963"/>
      <c r="AD1897" s="963"/>
      <c r="AE1897" s="964"/>
      <c r="AF1897" s="964"/>
      <c r="AG1897" s="964"/>
      <c r="AH1897" s="964"/>
      <c r="AI1897" s="964"/>
      <c r="AJ1897" s="964"/>
      <c r="AK1897" s="964"/>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s="1396"/>
      <c r="CB1897" s="1396"/>
      <c r="CC1897"/>
      <c r="CD1897"/>
      <c r="CE1897"/>
    </row>
    <row r="1898" spans="1:83" ht="13.9" customHeight="1" outlineLevel="2" thickBot="1" x14ac:dyDescent="0.25">
      <c r="A1898"/>
      <c r="B1898" s="1"/>
      <c r="C1898"/>
      <c r="D1898"/>
      <c r="E1898"/>
      <c r="F1898"/>
      <c r="G1898" s="1"/>
      <c r="H1898" s="1"/>
      <c r="I1898"/>
      <c r="J1898"/>
      <c r="K1898"/>
      <c r="L1898"/>
      <c r="M1898"/>
      <c r="N1898"/>
      <c r="O1898"/>
      <c r="P1898"/>
      <c r="Q1898"/>
      <c r="S1898" s="22" t="str">
        <f>N_Heure</f>
        <v>Heure</v>
      </c>
      <c r="T1898" s="22" t="str">
        <f>N_Table</f>
        <v>Table</v>
      </c>
      <c r="U1898" s="22" t="str">
        <f>N_Arbitre</f>
        <v>Arbitre</v>
      </c>
      <c r="V1898" s="293" t="str">
        <f>N_Matches</f>
        <v>Matches</v>
      </c>
      <c r="W1898" s="294"/>
      <c r="X1898" s="294"/>
      <c r="Y1898" s="294"/>
      <c r="Z1898" s="295"/>
      <c r="AA1898" s="8"/>
      <c r="AB1898" s="967"/>
      <c r="AC1898" s="967"/>
      <c r="AD1898" s="967"/>
      <c r="AE1898" s="964"/>
      <c r="AF1898" s="964"/>
      <c r="AG1898" s="964"/>
      <c r="AH1898" s="964"/>
      <c r="AI1898" s="964"/>
      <c r="AJ1898" s="964"/>
      <c r="AK1898" s="964"/>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s="1396"/>
      <c r="CB1898" s="1396"/>
      <c r="CC1898"/>
      <c r="CD1898"/>
      <c r="CE1898"/>
    </row>
    <row r="1899" spans="1:83" ht="13.15" customHeight="1" outlineLevel="2" x14ac:dyDescent="0.2">
      <c r="A1899"/>
      <c r="B1899" s="1"/>
      <c r="C1899"/>
      <c r="D1899"/>
      <c r="E1899"/>
      <c r="F1899"/>
      <c r="G1899" s="1"/>
      <c r="H1899" s="1"/>
      <c r="I1899"/>
      <c r="J1899"/>
      <c r="K1899"/>
      <c r="L1899"/>
      <c r="M1899"/>
      <c r="N1899"/>
      <c r="O1899"/>
      <c r="P1899"/>
      <c r="Q1899"/>
      <c r="R1899" s="558" t="s">
        <v>3974</v>
      </c>
      <c r="S1899" s="65"/>
      <c r="T1899" s="953"/>
      <c r="U1899" s="954"/>
      <c r="V1899" s="34" t="str">
        <f>V1888</f>
        <v>R</v>
      </c>
      <c r="W1899" s="148"/>
      <c r="X1899" s="35" t="s">
        <v>769</v>
      </c>
      <c r="Y1899" s="148"/>
      <c r="Z1899" s="36" t="str">
        <f>V1887</f>
        <v>A</v>
      </c>
      <c r="AA1899" s="123"/>
      <c r="AB1899" s="1459">
        <f t="shared" ref="AB1899:AB1908" si="1351">IF(MaxScore,MaxGoals(W1899,Y1899,MaxGoalsValue),IF(W1899="","",W1899))</f>
        <v>0</v>
      </c>
      <c r="AC1899" s="1460" t="str">
        <f t="shared" ref="AC1899:AC1908" si="1352">IF(MaxScore,"-",IF(W1899="","","-"))</f>
        <v>-</v>
      </c>
      <c r="AD1899" s="1459">
        <f t="shared" ref="AD1899:AD1908" si="1353">IF(MaxScore,MaxGoals(Y1899,W1899,MaxGoalsValue),IF(Y1899="","",Y1899))</f>
        <v>0</v>
      </c>
      <c r="AE1899" s="964" t="str">
        <f t="shared" ref="AE1899:AE1908" si="1354">IF(W1899="","",IF(W1899&gt;Y1899,V1899,IF(W1899=Y1899,"",Z1899)))</f>
        <v/>
      </c>
      <c r="AF1899" s="964" t="str">
        <f t="shared" ref="AF1899:AF1908" si="1355">IF(W1899="","",IF(W1899=Y1899,V1899,""))</f>
        <v/>
      </c>
      <c r="AG1899" s="964" t="str">
        <f t="shared" ref="AG1899:AG1908" si="1356">IF(W1899="","",IF(W1899=Y1899,Z1899,""))</f>
        <v/>
      </c>
      <c r="AH1899" s="964" t="str">
        <f t="shared" ref="AH1899:AH1908" si="1357">IF(W1899="","",IF(W1899&lt;Y1899,V1899,IF(W1899=Y1899,"",Z1899)))</f>
        <v/>
      </c>
      <c r="AI1899" s="964" t="str">
        <f t="shared" ref="AI1899:AI1908" si="1358">CONCATENATE(AE1899,AH1899)</f>
        <v/>
      </c>
      <c r="AJ1899" s="964"/>
      <c r="AK1899" s="964"/>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s="1396"/>
      <c r="CB1899" s="1396"/>
      <c r="CC1899"/>
      <c r="CD1899"/>
      <c r="CE1899"/>
    </row>
    <row r="1900" spans="1:83" ht="13.15" customHeight="1" outlineLevel="2" x14ac:dyDescent="0.2">
      <c r="A1900"/>
      <c r="B1900" s="1"/>
      <c r="C1900"/>
      <c r="D1900"/>
      <c r="E1900"/>
      <c r="F1900"/>
      <c r="G1900" s="1"/>
      <c r="H1900" s="1"/>
      <c r="I1900"/>
      <c r="J1900"/>
      <c r="K1900"/>
      <c r="L1900"/>
      <c r="M1900"/>
      <c r="N1900"/>
      <c r="O1900"/>
      <c r="P1900"/>
      <c r="Q1900"/>
      <c r="R1900" s="558" t="s">
        <v>3974</v>
      </c>
      <c r="S1900" s="83"/>
      <c r="T1900" s="56"/>
      <c r="U1900" s="955"/>
      <c r="V1900" s="43" t="str">
        <f t="shared" ref="V1900:V1908" si="1359">Z1887</f>
        <v>T</v>
      </c>
      <c r="W1900" s="10"/>
      <c r="X1900" s="45" t="s">
        <v>769</v>
      </c>
      <c r="Y1900" s="10"/>
      <c r="Z1900" s="46" t="str">
        <f t="shared" ref="Z1900:Z1907" si="1360">V1889</f>
        <v>P</v>
      </c>
      <c r="AA1900" s="123"/>
      <c r="AB1900" s="1459">
        <f t="shared" si="1351"/>
        <v>0</v>
      </c>
      <c r="AC1900" s="1460" t="str">
        <f t="shared" si="1352"/>
        <v>-</v>
      </c>
      <c r="AD1900" s="1459">
        <f t="shared" si="1353"/>
        <v>0</v>
      </c>
      <c r="AE1900" s="964" t="str">
        <f t="shared" si="1354"/>
        <v/>
      </c>
      <c r="AF1900" s="964" t="str">
        <f t="shared" si="1355"/>
        <v/>
      </c>
      <c r="AG1900" s="964" t="str">
        <f t="shared" si="1356"/>
        <v/>
      </c>
      <c r="AH1900" s="964" t="str">
        <f t="shared" si="1357"/>
        <v/>
      </c>
      <c r="AI1900" s="964" t="str">
        <f t="shared" si="1358"/>
        <v/>
      </c>
      <c r="AJ1900" s="964"/>
      <c r="AK1900" s="964"/>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s="1396"/>
      <c r="CB1900" s="1396"/>
      <c r="CC1900"/>
      <c r="CD1900"/>
      <c r="CE1900"/>
    </row>
    <row r="1901" spans="1:83" ht="13.15" customHeight="1" outlineLevel="2" x14ac:dyDescent="0.2">
      <c r="A1901"/>
      <c r="B1901" s="1"/>
      <c r="C1901"/>
      <c r="D1901"/>
      <c r="E1901"/>
      <c r="F1901"/>
      <c r="G1901" s="1"/>
      <c r="H1901" s="1"/>
      <c r="I1901"/>
      <c r="J1901"/>
      <c r="K1901"/>
      <c r="L1901"/>
      <c r="M1901"/>
      <c r="N1901"/>
      <c r="O1901"/>
      <c r="P1901"/>
      <c r="Q1901"/>
      <c r="R1901" s="558" t="s">
        <v>3974</v>
      </c>
      <c r="S1901" s="83"/>
      <c r="T1901" s="56"/>
      <c r="U1901" s="955"/>
      <c r="V1901" s="43" t="str">
        <f t="shared" si="1359"/>
        <v>S</v>
      </c>
      <c r="W1901" s="10"/>
      <c r="X1901" s="45" t="s">
        <v>769</v>
      </c>
      <c r="Y1901" s="10"/>
      <c r="Z1901" s="46" t="str">
        <f t="shared" si="1360"/>
        <v>N</v>
      </c>
      <c r="AA1901" s="123"/>
      <c r="AB1901" s="1459">
        <f t="shared" si="1351"/>
        <v>0</v>
      </c>
      <c r="AC1901" s="1460" t="str">
        <f t="shared" si="1352"/>
        <v>-</v>
      </c>
      <c r="AD1901" s="1459">
        <f t="shared" si="1353"/>
        <v>0</v>
      </c>
      <c r="AE1901" s="964" t="str">
        <f t="shared" si="1354"/>
        <v/>
      </c>
      <c r="AF1901" s="964" t="str">
        <f t="shared" si="1355"/>
        <v/>
      </c>
      <c r="AG1901" s="964" t="str">
        <f t="shared" si="1356"/>
        <v/>
      </c>
      <c r="AH1901" s="964" t="str">
        <f t="shared" si="1357"/>
        <v/>
      </c>
      <c r="AI1901" s="964" t="str">
        <f t="shared" si="1358"/>
        <v/>
      </c>
      <c r="AJ1901" s="964"/>
      <c r="AK1901" s="964"/>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s="1396"/>
      <c r="CB1901" s="1396"/>
      <c r="CC1901"/>
      <c r="CD1901"/>
      <c r="CE1901"/>
    </row>
    <row r="1902" spans="1:83" ht="13.15" customHeight="1" outlineLevel="2" x14ac:dyDescent="0.2">
      <c r="A1902"/>
      <c r="B1902" s="1"/>
      <c r="C1902"/>
      <c r="D1902"/>
      <c r="E1902"/>
      <c r="F1902"/>
      <c r="G1902" s="1"/>
      <c r="H1902" s="1"/>
      <c r="I1902"/>
      <c r="J1902"/>
      <c r="K1902"/>
      <c r="L1902"/>
      <c r="M1902"/>
      <c r="N1902"/>
      <c r="O1902"/>
      <c r="P1902"/>
      <c r="Q1902"/>
      <c r="R1902" s="558" t="s">
        <v>3974</v>
      </c>
      <c r="S1902" s="83"/>
      <c r="T1902" s="56"/>
      <c r="U1902" s="955"/>
      <c r="V1902" s="43" t="str">
        <f t="shared" si="1359"/>
        <v>Q</v>
      </c>
      <c r="W1902" s="10"/>
      <c r="X1902" s="45" t="s">
        <v>769</v>
      </c>
      <c r="Y1902" s="10"/>
      <c r="Z1902" s="46" t="str">
        <f t="shared" si="1360"/>
        <v>L</v>
      </c>
      <c r="AA1902" s="123"/>
      <c r="AB1902" s="1459">
        <f t="shared" si="1351"/>
        <v>0</v>
      </c>
      <c r="AC1902" s="1460" t="str">
        <f t="shared" si="1352"/>
        <v>-</v>
      </c>
      <c r="AD1902" s="1459">
        <f t="shared" si="1353"/>
        <v>0</v>
      </c>
      <c r="AE1902" s="964" t="str">
        <f t="shared" si="1354"/>
        <v/>
      </c>
      <c r="AF1902" s="964" t="str">
        <f t="shared" si="1355"/>
        <v/>
      </c>
      <c r="AG1902" s="964" t="str">
        <f t="shared" si="1356"/>
        <v/>
      </c>
      <c r="AH1902" s="964" t="str">
        <f t="shared" si="1357"/>
        <v/>
      </c>
      <c r="AI1902" s="964" t="str">
        <f t="shared" si="1358"/>
        <v/>
      </c>
      <c r="AJ1902" s="964"/>
      <c r="AK1902" s="964"/>
      <c r="AL1902"/>
      <c r="AM1902"/>
      <c r="AN1902"/>
      <c r="AO1902"/>
      <c r="AP1902"/>
      <c r="AQ1902"/>
      <c r="AR1902"/>
      <c r="AS1902"/>
      <c r="AT1902"/>
      <c r="AU1902"/>
      <c r="AV1902"/>
      <c r="AW1902"/>
      <c r="AX1902" s="9"/>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s="1396"/>
      <c r="CB1902" s="1396"/>
      <c r="CC1902"/>
      <c r="CD1902"/>
      <c r="CE1902"/>
    </row>
    <row r="1903" spans="1:83" ht="13.15" customHeight="1" outlineLevel="2" x14ac:dyDescent="0.2">
      <c r="A1903"/>
      <c r="B1903" s="1"/>
      <c r="C1903"/>
      <c r="D1903"/>
      <c r="E1903"/>
      <c r="F1903"/>
      <c r="G1903" s="1"/>
      <c r="H1903" s="1"/>
      <c r="I1903"/>
      <c r="J1903"/>
      <c r="K1903"/>
      <c r="L1903"/>
      <c r="M1903"/>
      <c r="N1903"/>
      <c r="O1903"/>
      <c r="P1903"/>
      <c r="Q1903"/>
      <c r="R1903" s="558" t="s">
        <v>3974</v>
      </c>
      <c r="S1903" s="83"/>
      <c r="T1903" s="56"/>
      <c r="U1903" s="955"/>
      <c r="V1903" s="43" t="str">
        <f t="shared" si="1359"/>
        <v>O</v>
      </c>
      <c r="W1903" s="10"/>
      <c r="X1903" s="45" t="s">
        <v>769</v>
      </c>
      <c r="Y1903" s="10"/>
      <c r="Z1903" s="46" t="str">
        <f t="shared" si="1360"/>
        <v>J</v>
      </c>
      <c r="AA1903" s="123"/>
      <c r="AB1903" s="1459">
        <f t="shared" si="1351"/>
        <v>0</v>
      </c>
      <c r="AC1903" s="1460" t="str">
        <f t="shared" si="1352"/>
        <v>-</v>
      </c>
      <c r="AD1903" s="1459">
        <f t="shared" si="1353"/>
        <v>0</v>
      </c>
      <c r="AE1903" s="964" t="str">
        <f t="shared" si="1354"/>
        <v/>
      </c>
      <c r="AF1903" s="964" t="str">
        <f t="shared" si="1355"/>
        <v/>
      </c>
      <c r="AG1903" s="964" t="str">
        <f t="shared" si="1356"/>
        <v/>
      </c>
      <c r="AH1903" s="964" t="str">
        <f t="shared" si="1357"/>
        <v/>
      </c>
      <c r="AI1903" s="964" t="str">
        <f t="shared" si="1358"/>
        <v/>
      </c>
      <c r="AJ1903" s="964"/>
      <c r="AK1903" s="964"/>
      <c r="AL1903"/>
      <c r="AM1903"/>
      <c r="AN1903"/>
      <c r="AO1903"/>
      <c r="AP1903"/>
      <c r="AQ1903"/>
      <c r="AR1903"/>
      <c r="AS1903"/>
      <c r="AT1903"/>
      <c r="AU1903"/>
      <c r="AV1903"/>
      <c r="AW1903" s="9"/>
      <c r="AX1903" s="9"/>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s="1396"/>
      <c r="CB1903" s="1396"/>
      <c r="CC1903"/>
      <c r="CD1903"/>
      <c r="CE1903"/>
    </row>
    <row r="1904" spans="1:83" ht="13.15" customHeight="1" outlineLevel="2" x14ac:dyDescent="0.2">
      <c r="A1904"/>
      <c r="B1904" s="1"/>
      <c r="C1904"/>
      <c r="D1904"/>
      <c r="E1904"/>
      <c r="F1904"/>
      <c r="G1904" s="1"/>
      <c r="H1904" s="1"/>
      <c r="I1904"/>
      <c r="J1904"/>
      <c r="K1904"/>
      <c r="L1904"/>
      <c r="M1904"/>
      <c r="N1904"/>
      <c r="O1904"/>
      <c r="P1904"/>
      <c r="Q1904"/>
      <c r="R1904" s="558" t="s">
        <v>3974</v>
      </c>
      <c r="S1904" s="83"/>
      <c r="T1904" s="56"/>
      <c r="U1904" s="955"/>
      <c r="V1904" s="43" t="str">
        <f t="shared" si="1359"/>
        <v>M</v>
      </c>
      <c r="W1904" s="10"/>
      <c r="X1904" s="45" t="s">
        <v>769</v>
      </c>
      <c r="Y1904" s="10"/>
      <c r="Z1904" s="46" t="str">
        <f t="shared" si="1360"/>
        <v>H</v>
      </c>
      <c r="AA1904" s="123"/>
      <c r="AB1904" s="1459">
        <f t="shared" si="1351"/>
        <v>0</v>
      </c>
      <c r="AC1904" s="1460" t="str">
        <f t="shared" si="1352"/>
        <v>-</v>
      </c>
      <c r="AD1904" s="1459">
        <f t="shared" si="1353"/>
        <v>0</v>
      </c>
      <c r="AE1904" s="964" t="str">
        <f t="shared" si="1354"/>
        <v/>
      </c>
      <c r="AF1904" s="964" t="str">
        <f t="shared" si="1355"/>
        <v/>
      </c>
      <c r="AG1904" s="964" t="str">
        <f t="shared" si="1356"/>
        <v/>
      </c>
      <c r="AH1904" s="964" t="str">
        <f t="shared" si="1357"/>
        <v/>
      </c>
      <c r="AI1904" s="964" t="str">
        <f t="shared" si="1358"/>
        <v/>
      </c>
      <c r="AJ1904" s="964"/>
      <c r="AK1904" s="96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s="1396"/>
      <c r="CB1904" s="1396"/>
      <c r="CC1904"/>
      <c r="CD1904"/>
      <c r="CE1904"/>
    </row>
    <row r="1905" spans="1:83" ht="13.15" customHeight="1" outlineLevel="2" x14ac:dyDescent="0.2">
      <c r="A1905"/>
      <c r="B1905" s="1"/>
      <c r="C1905"/>
      <c r="D1905"/>
      <c r="E1905"/>
      <c r="F1905"/>
      <c r="G1905" s="1"/>
      <c r="H1905" s="1"/>
      <c r="I1905"/>
      <c r="J1905"/>
      <c r="K1905"/>
      <c r="L1905"/>
      <c r="M1905"/>
      <c r="N1905"/>
      <c r="O1905"/>
      <c r="P1905"/>
      <c r="Q1905"/>
      <c r="R1905" s="558" t="s">
        <v>3974</v>
      </c>
      <c r="S1905" s="83"/>
      <c r="T1905" s="56"/>
      <c r="U1905" s="955"/>
      <c r="V1905" s="43" t="str">
        <f t="shared" si="1359"/>
        <v>K</v>
      </c>
      <c r="W1905" s="10"/>
      <c r="X1905" s="45" t="s">
        <v>769</v>
      </c>
      <c r="Y1905" s="10"/>
      <c r="Z1905" s="46" t="str">
        <f t="shared" si="1360"/>
        <v>F</v>
      </c>
      <c r="AA1905" s="123"/>
      <c r="AB1905" s="1459">
        <f t="shared" si="1351"/>
        <v>0</v>
      </c>
      <c r="AC1905" s="1460" t="str">
        <f t="shared" si="1352"/>
        <v>-</v>
      </c>
      <c r="AD1905" s="1459">
        <f t="shared" si="1353"/>
        <v>0</v>
      </c>
      <c r="AE1905" s="964" t="str">
        <f t="shared" si="1354"/>
        <v/>
      </c>
      <c r="AF1905" s="964" t="str">
        <f t="shared" si="1355"/>
        <v/>
      </c>
      <c r="AG1905" s="964" t="str">
        <f t="shared" si="1356"/>
        <v/>
      </c>
      <c r="AH1905" s="964" t="str">
        <f t="shared" si="1357"/>
        <v/>
      </c>
      <c r="AI1905" s="964" t="str">
        <f t="shared" si="1358"/>
        <v/>
      </c>
      <c r="AJ1905" s="964"/>
      <c r="AK1905" s="964"/>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s="1396"/>
      <c r="CB1905" s="1396"/>
      <c r="CC1905"/>
      <c r="CD1905"/>
      <c r="CE1905"/>
    </row>
    <row r="1906" spans="1:83" ht="13.15" customHeight="1" outlineLevel="2" x14ac:dyDescent="0.2">
      <c r="A1906"/>
      <c r="B1906" s="1"/>
      <c r="C1906"/>
      <c r="D1906"/>
      <c r="E1906"/>
      <c r="F1906"/>
      <c r="G1906" s="1"/>
      <c r="H1906" s="1"/>
      <c r="I1906"/>
      <c r="J1906"/>
      <c r="K1906"/>
      <c r="L1906"/>
      <c r="M1906"/>
      <c r="N1906"/>
      <c r="O1906"/>
      <c r="P1906"/>
      <c r="Q1906"/>
      <c r="R1906" s="558" t="s">
        <v>3974</v>
      </c>
      <c r="S1906" s="83"/>
      <c r="T1906" s="56"/>
      <c r="U1906" s="955"/>
      <c r="V1906" s="43" t="str">
        <f t="shared" si="1359"/>
        <v>I</v>
      </c>
      <c r="W1906" s="10"/>
      <c r="X1906" s="45" t="s">
        <v>769</v>
      </c>
      <c r="Y1906" s="10"/>
      <c r="Z1906" s="46" t="str">
        <f t="shared" si="1360"/>
        <v>D</v>
      </c>
      <c r="AA1906" s="123"/>
      <c r="AB1906" s="1459">
        <f t="shared" si="1351"/>
        <v>0</v>
      </c>
      <c r="AC1906" s="1460" t="str">
        <f t="shared" si="1352"/>
        <v>-</v>
      </c>
      <c r="AD1906" s="1459">
        <f t="shared" si="1353"/>
        <v>0</v>
      </c>
      <c r="AE1906" s="964" t="str">
        <f t="shared" si="1354"/>
        <v/>
      </c>
      <c r="AF1906" s="964" t="str">
        <f t="shared" si="1355"/>
        <v/>
      </c>
      <c r="AG1906" s="964" t="str">
        <f t="shared" si="1356"/>
        <v/>
      </c>
      <c r="AH1906" s="964" t="str">
        <f t="shared" si="1357"/>
        <v/>
      </c>
      <c r="AI1906" s="964" t="str">
        <f t="shared" si="1358"/>
        <v/>
      </c>
      <c r="AJ1906" s="964"/>
      <c r="AK1906" s="964"/>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s="1396"/>
      <c r="CB1906" s="1396"/>
      <c r="CC1906"/>
      <c r="CD1906"/>
      <c r="CE1906"/>
    </row>
    <row r="1907" spans="1:83" ht="13.15" customHeight="1" outlineLevel="2" x14ac:dyDescent="0.2">
      <c r="A1907"/>
      <c r="B1907" s="1"/>
      <c r="C1907"/>
      <c r="D1907"/>
      <c r="E1907"/>
      <c r="F1907"/>
      <c r="G1907" s="1"/>
      <c r="H1907" s="1"/>
      <c r="I1907"/>
      <c r="J1907"/>
      <c r="K1907"/>
      <c r="L1907"/>
      <c r="M1907"/>
      <c r="N1907"/>
      <c r="O1907"/>
      <c r="P1907"/>
      <c r="Q1907"/>
      <c r="R1907" s="558" t="s">
        <v>3974</v>
      </c>
      <c r="S1907" s="83"/>
      <c r="T1907" s="56"/>
      <c r="U1907" s="955"/>
      <c r="V1907" s="43" t="str">
        <f t="shared" si="1359"/>
        <v>G</v>
      </c>
      <c r="W1907" s="10"/>
      <c r="X1907" s="45" t="s">
        <v>769</v>
      </c>
      <c r="Y1907" s="10"/>
      <c r="Z1907" s="46" t="str">
        <f t="shared" si="1360"/>
        <v>B</v>
      </c>
      <c r="AA1907" s="123"/>
      <c r="AB1907" s="1459">
        <f t="shared" si="1351"/>
        <v>0</v>
      </c>
      <c r="AC1907" s="1460" t="str">
        <f t="shared" si="1352"/>
        <v>-</v>
      </c>
      <c r="AD1907" s="1459">
        <f t="shared" si="1353"/>
        <v>0</v>
      </c>
      <c r="AE1907" s="964" t="str">
        <f t="shared" si="1354"/>
        <v/>
      </c>
      <c r="AF1907" s="964" t="str">
        <f t="shared" si="1355"/>
        <v/>
      </c>
      <c r="AG1907" s="964" t="str">
        <f t="shared" si="1356"/>
        <v/>
      </c>
      <c r="AH1907" s="964" t="str">
        <f t="shared" si="1357"/>
        <v/>
      </c>
      <c r="AI1907" s="964" t="str">
        <f t="shared" si="1358"/>
        <v/>
      </c>
      <c r="AJ1907" s="964"/>
      <c r="AK1907" s="964"/>
      <c r="AL1907"/>
      <c r="AM1907"/>
      <c r="AN1907"/>
      <c r="AO1907"/>
      <c r="AP1907"/>
      <c r="AQ1907"/>
      <c r="AR1907"/>
      <c r="AS1907"/>
      <c r="AT1907"/>
      <c r="AU1907"/>
      <c r="AV1907"/>
      <c r="AW1907"/>
      <c r="AX1907" s="9"/>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s="1396"/>
      <c r="CB1907" s="1396"/>
      <c r="CC1907"/>
      <c r="CD1907"/>
      <c r="CE1907"/>
    </row>
    <row r="1908" spans="1:83" ht="13.9" customHeight="1" outlineLevel="2" thickBot="1" x14ac:dyDescent="0.25">
      <c r="A1908"/>
      <c r="B1908" s="1"/>
      <c r="C1908"/>
      <c r="D1908"/>
      <c r="E1908"/>
      <c r="F1908"/>
      <c r="G1908" s="1"/>
      <c r="H1908" s="1"/>
      <c r="I1908"/>
      <c r="J1908"/>
      <c r="K1908"/>
      <c r="L1908"/>
      <c r="M1908"/>
      <c r="N1908"/>
      <c r="O1908"/>
      <c r="P1908"/>
      <c r="Q1908"/>
      <c r="R1908" s="558" t="s">
        <v>3974</v>
      </c>
      <c r="S1908" s="956"/>
      <c r="T1908" s="58"/>
      <c r="U1908" s="957"/>
      <c r="V1908" s="958" t="str">
        <f t="shared" si="1359"/>
        <v>E</v>
      </c>
      <c r="W1908" s="175"/>
      <c r="X1908" s="52" t="s">
        <v>769</v>
      </c>
      <c r="Y1908" s="175"/>
      <c r="Z1908" s="959" t="str">
        <f>Z1896</f>
        <v>C</v>
      </c>
      <c r="AA1908" s="123"/>
      <c r="AB1908" s="1459">
        <f t="shared" si="1351"/>
        <v>0</v>
      </c>
      <c r="AC1908" s="1460" t="str">
        <f t="shared" si="1352"/>
        <v>-</v>
      </c>
      <c r="AD1908" s="1459">
        <f t="shared" si="1353"/>
        <v>0</v>
      </c>
      <c r="AE1908" s="964" t="str">
        <f t="shared" si="1354"/>
        <v/>
      </c>
      <c r="AF1908" s="964" t="str">
        <f t="shared" si="1355"/>
        <v/>
      </c>
      <c r="AG1908" s="964" t="str">
        <f t="shared" si="1356"/>
        <v/>
      </c>
      <c r="AH1908" s="964" t="str">
        <f t="shared" si="1357"/>
        <v/>
      </c>
      <c r="AI1908" s="964" t="str">
        <f t="shared" si="1358"/>
        <v/>
      </c>
      <c r="AJ1908" s="964"/>
      <c r="AK1908" s="964"/>
      <c r="AL1908"/>
      <c r="AM1908"/>
      <c r="AN1908"/>
      <c r="AO1908"/>
      <c r="AP1908"/>
      <c r="AQ1908"/>
      <c r="AR1908"/>
      <c r="AS1908"/>
      <c r="AT1908"/>
      <c r="AU1908"/>
      <c r="AV1908"/>
      <c r="AW1908" s="9"/>
      <c r="AX1908" s="9"/>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s="1396"/>
      <c r="CB1908" s="1396"/>
      <c r="CC1908"/>
      <c r="CD1908"/>
      <c r="CE1908"/>
    </row>
    <row r="1909" spans="1:83" ht="13.5" outlineLevel="1" thickBot="1" x14ac:dyDescent="0.25">
      <c r="A1909"/>
      <c r="B1909" s="1"/>
      <c r="C1909" s="1"/>
      <c r="D1909" s="76"/>
      <c r="E1909" s="76"/>
      <c r="F1909" s="76"/>
      <c r="G1909" s="9"/>
      <c r="H1909" s="9"/>
      <c r="I1909" s="1"/>
      <c r="J1909"/>
      <c r="K1909"/>
      <c r="L1909"/>
      <c r="M1909"/>
      <c r="N1909"/>
      <c r="O1909"/>
      <c r="P1909" s="89"/>
      <c r="Q1909"/>
      <c r="R1909" s="1"/>
      <c r="S1909" s="993">
        <f>S1897+1</f>
        <v>13</v>
      </c>
      <c r="T1909" s="961"/>
      <c r="U1909" s="961"/>
      <c r="V1909" s="961"/>
      <c r="W1909" s="960"/>
      <c r="X1909" s="960"/>
      <c r="Y1909" s="960"/>
      <c r="Z1909" s="962"/>
      <c r="AA1909" s="123"/>
      <c r="AB1909" s="963"/>
      <c r="AC1909" s="963"/>
      <c r="AD1909" s="963"/>
      <c r="AE1909" s="964"/>
      <c r="AF1909" s="964"/>
      <c r="AG1909" s="964"/>
      <c r="AH1909" s="964"/>
      <c r="AI1909" s="964"/>
      <c r="AJ1909" s="964"/>
      <c r="AK1909" s="964"/>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s="1396"/>
      <c r="CB1909" s="1396"/>
      <c r="CC1909"/>
      <c r="CD1909"/>
      <c r="CE1909"/>
    </row>
    <row r="1910" spans="1:83" ht="13.9" customHeight="1" outlineLevel="2" thickBot="1" x14ac:dyDescent="0.25">
      <c r="A1910"/>
      <c r="B1910" s="1"/>
      <c r="C1910"/>
      <c r="D1910"/>
      <c r="E1910"/>
      <c r="F1910"/>
      <c r="G1910" s="1"/>
      <c r="H1910" s="1"/>
      <c r="I1910"/>
      <c r="J1910"/>
      <c r="K1910"/>
      <c r="L1910"/>
      <c r="M1910"/>
      <c r="N1910"/>
      <c r="O1910"/>
      <c r="P1910"/>
      <c r="Q1910"/>
      <c r="S1910" s="22" t="str">
        <f>N_Heure</f>
        <v>Heure</v>
      </c>
      <c r="T1910" s="22" t="str">
        <f>N_Table</f>
        <v>Table</v>
      </c>
      <c r="U1910" s="22" t="str">
        <f>N_Arbitre</f>
        <v>Arbitre</v>
      </c>
      <c r="V1910" s="293" t="str">
        <f>N_Matches</f>
        <v>Matches</v>
      </c>
      <c r="W1910" s="294"/>
      <c r="X1910" s="294"/>
      <c r="Y1910" s="294"/>
      <c r="Z1910" s="295"/>
      <c r="AA1910" s="8"/>
      <c r="AB1910" s="967"/>
      <c r="AC1910" s="967"/>
      <c r="AD1910" s="967"/>
      <c r="AE1910" s="964"/>
      <c r="AF1910" s="964"/>
      <c r="AG1910" s="964"/>
      <c r="AH1910" s="964"/>
      <c r="AI1910" s="964"/>
      <c r="AJ1910" s="964"/>
      <c r="AK1910" s="964"/>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s="1396"/>
      <c r="CB1910" s="1396"/>
      <c r="CC1910"/>
      <c r="CD1910"/>
      <c r="CE1910"/>
    </row>
    <row r="1911" spans="1:83" ht="13.15" customHeight="1" outlineLevel="2" x14ac:dyDescent="0.2">
      <c r="A1911"/>
      <c r="B1911" s="1"/>
      <c r="C1911"/>
      <c r="D1911"/>
      <c r="E1911"/>
      <c r="F1911"/>
      <c r="G1911" s="1"/>
      <c r="H1911" s="1"/>
      <c r="I1911"/>
      <c r="J1911"/>
      <c r="K1911"/>
      <c r="L1911"/>
      <c r="M1911"/>
      <c r="N1911"/>
      <c r="O1911"/>
      <c r="P1911"/>
      <c r="Q1911"/>
      <c r="R1911" s="558" t="s">
        <v>3975</v>
      </c>
      <c r="S1911" s="65"/>
      <c r="T1911" s="953"/>
      <c r="U1911" s="954"/>
      <c r="V1911" s="34" t="str">
        <f>Z1899</f>
        <v>A</v>
      </c>
      <c r="W1911" s="148"/>
      <c r="X1911" s="35" t="s">
        <v>769</v>
      </c>
      <c r="Y1911" s="148"/>
      <c r="Z1911" s="36" t="str">
        <f>Z1900</f>
        <v>P</v>
      </c>
      <c r="AA1911" s="123"/>
      <c r="AB1911" s="1459">
        <f t="shared" ref="AB1911:AB1920" si="1361">IF(MaxScore,MaxGoals(W1911,Y1911,MaxGoalsValue),IF(W1911="","",W1911))</f>
        <v>0</v>
      </c>
      <c r="AC1911" s="1460" t="str">
        <f t="shared" ref="AC1911:AC1920" si="1362">IF(MaxScore,"-",IF(W1911="","","-"))</f>
        <v>-</v>
      </c>
      <c r="AD1911" s="1459">
        <f t="shared" ref="AD1911:AD1920" si="1363">IF(MaxScore,MaxGoals(Y1911,W1911,MaxGoalsValue),IF(Y1911="","",Y1911))</f>
        <v>0</v>
      </c>
      <c r="AE1911" s="964" t="str">
        <f t="shared" ref="AE1911:AE1920" si="1364">IF(W1911="","",IF(W1911&gt;Y1911,V1911,IF(W1911=Y1911,"",Z1911)))</f>
        <v/>
      </c>
      <c r="AF1911" s="964" t="str">
        <f t="shared" ref="AF1911:AF1920" si="1365">IF(W1911="","",IF(W1911=Y1911,V1911,""))</f>
        <v/>
      </c>
      <c r="AG1911" s="964" t="str">
        <f t="shared" ref="AG1911:AG1920" si="1366">IF(W1911="","",IF(W1911=Y1911,Z1911,""))</f>
        <v/>
      </c>
      <c r="AH1911" s="964" t="str">
        <f t="shared" ref="AH1911:AH1920" si="1367">IF(W1911="","",IF(W1911&lt;Y1911,V1911,IF(W1911=Y1911,"",Z1911)))</f>
        <v/>
      </c>
      <c r="AI1911" s="964" t="str">
        <f t="shared" ref="AI1911:AI1920" si="1368">CONCATENATE(AE1911,AH1911)</f>
        <v/>
      </c>
      <c r="AJ1911" s="964"/>
      <c r="AK1911" s="964"/>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s="1396"/>
      <c r="CB1911" s="1396"/>
      <c r="CC1911"/>
      <c r="CD1911"/>
      <c r="CE1911"/>
    </row>
    <row r="1912" spans="1:83" ht="13.15" customHeight="1" outlineLevel="2" x14ac:dyDescent="0.2">
      <c r="A1912"/>
      <c r="B1912" s="1"/>
      <c r="C1912"/>
      <c r="D1912"/>
      <c r="E1912"/>
      <c r="F1912"/>
      <c r="G1912" s="1"/>
      <c r="H1912" s="1"/>
      <c r="I1912"/>
      <c r="J1912"/>
      <c r="K1912"/>
      <c r="L1912"/>
      <c r="M1912"/>
      <c r="N1912"/>
      <c r="O1912"/>
      <c r="P1912"/>
      <c r="Q1912"/>
      <c r="R1912" s="558" t="s">
        <v>3975</v>
      </c>
      <c r="S1912" s="83"/>
      <c r="T1912" s="56"/>
      <c r="U1912" s="955"/>
      <c r="V1912" s="43" t="str">
        <f t="shared" ref="V1912:V1919" si="1369">Z1901</f>
        <v>N</v>
      </c>
      <c r="W1912" s="10"/>
      <c r="X1912" s="45" t="s">
        <v>769</v>
      </c>
      <c r="Y1912" s="10"/>
      <c r="Z1912" s="46" t="str">
        <f t="shared" ref="Z1912:Z1920" si="1370">V1899</f>
        <v>R</v>
      </c>
      <c r="AA1912" s="123"/>
      <c r="AB1912" s="1459">
        <f t="shared" si="1361"/>
        <v>0</v>
      </c>
      <c r="AC1912" s="1460" t="str">
        <f t="shared" si="1362"/>
        <v>-</v>
      </c>
      <c r="AD1912" s="1459">
        <f t="shared" si="1363"/>
        <v>0</v>
      </c>
      <c r="AE1912" s="964" t="str">
        <f t="shared" si="1364"/>
        <v/>
      </c>
      <c r="AF1912" s="964" t="str">
        <f t="shared" si="1365"/>
        <v/>
      </c>
      <c r="AG1912" s="964" t="str">
        <f t="shared" si="1366"/>
        <v/>
      </c>
      <c r="AH1912" s="964" t="str">
        <f t="shared" si="1367"/>
        <v/>
      </c>
      <c r="AI1912" s="964" t="str">
        <f t="shared" si="1368"/>
        <v/>
      </c>
      <c r="AJ1912" s="964"/>
      <c r="AK1912" s="964"/>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s="1396"/>
      <c r="CB1912" s="1396"/>
      <c r="CC1912"/>
      <c r="CD1912"/>
      <c r="CE1912"/>
    </row>
    <row r="1913" spans="1:83" ht="13.15" customHeight="1" outlineLevel="2" x14ac:dyDescent="0.2">
      <c r="A1913"/>
      <c r="B1913" s="1"/>
      <c r="C1913"/>
      <c r="D1913"/>
      <c r="E1913"/>
      <c r="F1913"/>
      <c r="G1913" s="1"/>
      <c r="H1913" s="1"/>
      <c r="I1913"/>
      <c r="J1913"/>
      <c r="K1913"/>
      <c r="L1913"/>
      <c r="M1913"/>
      <c r="N1913"/>
      <c r="O1913"/>
      <c r="P1913"/>
      <c r="Q1913"/>
      <c r="R1913" s="558" t="s">
        <v>3975</v>
      </c>
      <c r="S1913" s="83"/>
      <c r="T1913" s="56"/>
      <c r="U1913" s="955"/>
      <c r="V1913" s="43" t="str">
        <f t="shared" si="1369"/>
        <v>L</v>
      </c>
      <c r="W1913" s="10"/>
      <c r="X1913" s="45" t="s">
        <v>769</v>
      </c>
      <c r="Y1913" s="10"/>
      <c r="Z1913" s="46" t="str">
        <f t="shared" si="1370"/>
        <v>T</v>
      </c>
      <c r="AA1913" s="123"/>
      <c r="AB1913" s="1459">
        <f t="shared" si="1361"/>
        <v>0</v>
      </c>
      <c r="AC1913" s="1460" t="str">
        <f t="shared" si="1362"/>
        <v>-</v>
      </c>
      <c r="AD1913" s="1459">
        <f t="shared" si="1363"/>
        <v>0</v>
      </c>
      <c r="AE1913" s="964" t="str">
        <f t="shared" si="1364"/>
        <v/>
      </c>
      <c r="AF1913" s="964" t="str">
        <f t="shared" si="1365"/>
        <v/>
      </c>
      <c r="AG1913" s="964" t="str">
        <f t="shared" si="1366"/>
        <v/>
      </c>
      <c r="AH1913" s="964" t="str">
        <f t="shared" si="1367"/>
        <v/>
      </c>
      <c r="AI1913" s="964" t="str">
        <f t="shared" si="1368"/>
        <v/>
      </c>
      <c r="AJ1913" s="964"/>
      <c r="AK1913" s="964"/>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s="1396"/>
      <c r="CB1913" s="1396"/>
      <c r="CC1913"/>
      <c r="CD1913"/>
      <c r="CE1913"/>
    </row>
    <row r="1914" spans="1:83" ht="13.15" customHeight="1" outlineLevel="2" x14ac:dyDescent="0.2">
      <c r="A1914"/>
      <c r="B1914" s="1"/>
      <c r="C1914"/>
      <c r="D1914"/>
      <c r="E1914"/>
      <c r="F1914"/>
      <c r="G1914" s="1"/>
      <c r="H1914" s="1"/>
      <c r="I1914"/>
      <c r="J1914"/>
      <c r="K1914"/>
      <c r="L1914"/>
      <c r="M1914"/>
      <c r="N1914"/>
      <c r="O1914"/>
      <c r="P1914"/>
      <c r="Q1914"/>
      <c r="R1914" s="558" t="s">
        <v>3975</v>
      </c>
      <c r="S1914" s="83"/>
      <c r="T1914" s="56"/>
      <c r="U1914" s="955"/>
      <c r="V1914" s="43" t="str">
        <f t="shared" si="1369"/>
        <v>J</v>
      </c>
      <c r="W1914" s="10"/>
      <c r="X1914" s="45" t="s">
        <v>769</v>
      </c>
      <c r="Y1914" s="10"/>
      <c r="Z1914" s="46" t="str">
        <f t="shared" si="1370"/>
        <v>S</v>
      </c>
      <c r="AA1914" s="123"/>
      <c r="AB1914" s="1459">
        <f t="shared" si="1361"/>
        <v>0</v>
      </c>
      <c r="AC1914" s="1460" t="str">
        <f t="shared" si="1362"/>
        <v>-</v>
      </c>
      <c r="AD1914" s="1459">
        <f t="shared" si="1363"/>
        <v>0</v>
      </c>
      <c r="AE1914" s="964" t="str">
        <f t="shared" si="1364"/>
        <v/>
      </c>
      <c r="AF1914" s="964" t="str">
        <f t="shared" si="1365"/>
        <v/>
      </c>
      <c r="AG1914" s="964" t="str">
        <f t="shared" si="1366"/>
        <v/>
      </c>
      <c r="AH1914" s="964" t="str">
        <f t="shared" si="1367"/>
        <v/>
      </c>
      <c r="AI1914" s="964" t="str">
        <f t="shared" si="1368"/>
        <v/>
      </c>
      <c r="AJ1914" s="964"/>
      <c r="AK1914" s="964"/>
      <c r="AL1914"/>
      <c r="AM1914"/>
      <c r="AN1914"/>
      <c r="AO1914"/>
      <c r="AP1914"/>
      <c r="AQ1914"/>
      <c r="AR1914"/>
      <c r="AS1914"/>
      <c r="AT1914"/>
      <c r="AU1914"/>
      <c r="AV1914"/>
      <c r="AW1914"/>
      <c r="AX1914" s="9"/>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s="1396"/>
      <c r="CB1914" s="1396"/>
      <c r="CC1914"/>
      <c r="CD1914"/>
      <c r="CE1914"/>
    </row>
    <row r="1915" spans="1:83" ht="13.15" customHeight="1" outlineLevel="2" x14ac:dyDescent="0.2">
      <c r="A1915"/>
      <c r="B1915" s="1"/>
      <c r="C1915"/>
      <c r="D1915"/>
      <c r="E1915"/>
      <c r="F1915"/>
      <c r="G1915" s="1"/>
      <c r="H1915" s="1"/>
      <c r="I1915"/>
      <c r="J1915"/>
      <c r="K1915"/>
      <c r="L1915"/>
      <c r="M1915"/>
      <c r="N1915"/>
      <c r="O1915"/>
      <c r="P1915"/>
      <c r="Q1915"/>
      <c r="R1915" s="558" t="s">
        <v>3975</v>
      </c>
      <c r="S1915" s="83"/>
      <c r="T1915" s="56"/>
      <c r="U1915" s="955"/>
      <c r="V1915" s="43" t="str">
        <f t="shared" si="1369"/>
        <v>H</v>
      </c>
      <c r="W1915" s="10"/>
      <c r="X1915" s="45" t="s">
        <v>769</v>
      </c>
      <c r="Y1915" s="10"/>
      <c r="Z1915" s="46" t="str">
        <f t="shared" si="1370"/>
        <v>Q</v>
      </c>
      <c r="AA1915" s="123"/>
      <c r="AB1915" s="1459">
        <f t="shared" si="1361"/>
        <v>0</v>
      </c>
      <c r="AC1915" s="1460" t="str">
        <f t="shared" si="1362"/>
        <v>-</v>
      </c>
      <c r="AD1915" s="1459">
        <f t="shared" si="1363"/>
        <v>0</v>
      </c>
      <c r="AE1915" s="964" t="str">
        <f t="shared" si="1364"/>
        <v/>
      </c>
      <c r="AF1915" s="964" t="str">
        <f t="shared" si="1365"/>
        <v/>
      </c>
      <c r="AG1915" s="964" t="str">
        <f t="shared" si="1366"/>
        <v/>
      </c>
      <c r="AH1915" s="964" t="str">
        <f t="shared" si="1367"/>
        <v/>
      </c>
      <c r="AI1915" s="964" t="str">
        <f t="shared" si="1368"/>
        <v/>
      </c>
      <c r="AJ1915" s="964"/>
      <c r="AK1915" s="964"/>
      <c r="AL1915"/>
      <c r="AM1915"/>
      <c r="AN1915"/>
      <c r="AO1915"/>
      <c r="AP1915"/>
      <c r="AQ1915"/>
      <c r="AR1915"/>
      <c r="AS1915"/>
      <c r="AT1915"/>
      <c r="AU1915"/>
      <c r="AV1915"/>
      <c r="AW1915" s="9"/>
      <c r="AX1915" s="9"/>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s="1396"/>
      <c r="CB1915" s="1396"/>
      <c r="CC1915"/>
      <c r="CD1915"/>
      <c r="CE1915"/>
    </row>
    <row r="1916" spans="1:83" ht="13.15" customHeight="1" outlineLevel="2" x14ac:dyDescent="0.2">
      <c r="A1916"/>
      <c r="B1916" s="1"/>
      <c r="C1916"/>
      <c r="D1916"/>
      <c r="E1916"/>
      <c r="F1916"/>
      <c r="G1916" s="1"/>
      <c r="H1916" s="1"/>
      <c r="I1916"/>
      <c r="J1916"/>
      <c r="K1916"/>
      <c r="L1916"/>
      <c r="M1916"/>
      <c r="N1916"/>
      <c r="O1916"/>
      <c r="P1916"/>
      <c r="Q1916"/>
      <c r="R1916" s="558" t="s">
        <v>3975</v>
      </c>
      <c r="S1916" s="83"/>
      <c r="T1916" s="56"/>
      <c r="U1916" s="955"/>
      <c r="V1916" s="43" t="str">
        <f t="shared" si="1369"/>
        <v>F</v>
      </c>
      <c r="W1916" s="10"/>
      <c r="X1916" s="45" t="s">
        <v>769</v>
      </c>
      <c r="Y1916" s="10"/>
      <c r="Z1916" s="46" t="str">
        <f t="shared" si="1370"/>
        <v>O</v>
      </c>
      <c r="AA1916" s="123"/>
      <c r="AB1916" s="1459">
        <f t="shared" si="1361"/>
        <v>0</v>
      </c>
      <c r="AC1916" s="1460" t="str">
        <f t="shared" si="1362"/>
        <v>-</v>
      </c>
      <c r="AD1916" s="1459">
        <f t="shared" si="1363"/>
        <v>0</v>
      </c>
      <c r="AE1916" s="964" t="str">
        <f t="shared" si="1364"/>
        <v/>
      </c>
      <c r="AF1916" s="964" t="str">
        <f t="shared" si="1365"/>
        <v/>
      </c>
      <c r="AG1916" s="964" t="str">
        <f t="shared" si="1366"/>
        <v/>
      </c>
      <c r="AH1916" s="964" t="str">
        <f t="shared" si="1367"/>
        <v/>
      </c>
      <c r="AI1916" s="964" t="str">
        <f t="shared" si="1368"/>
        <v/>
      </c>
      <c r="AJ1916" s="964"/>
      <c r="AK1916" s="964"/>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s="1396"/>
      <c r="CB1916" s="1396"/>
      <c r="CC1916"/>
      <c r="CD1916"/>
      <c r="CE1916"/>
    </row>
    <row r="1917" spans="1:83" ht="13.15" customHeight="1" outlineLevel="2" x14ac:dyDescent="0.2">
      <c r="A1917"/>
      <c r="B1917" s="1"/>
      <c r="C1917"/>
      <c r="D1917"/>
      <c r="E1917"/>
      <c r="F1917"/>
      <c r="G1917" s="1"/>
      <c r="H1917" s="1"/>
      <c r="I1917"/>
      <c r="J1917"/>
      <c r="K1917"/>
      <c r="L1917"/>
      <c r="M1917"/>
      <c r="N1917"/>
      <c r="O1917"/>
      <c r="P1917"/>
      <c r="Q1917"/>
      <c r="R1917" s="558" t="s">
        <v>3975</v>
      </c>
      <c r="S1917" s="83"/>
      <c r="T1917" s="56"/>
      <c r="U1917" s="955"/>
      <c r="V1917" s="43" t="str">
        <f t="shared" si="1369"/>
        <v>D</v>
      </c>
      <c r="W1917" s="10"/>
      <c r="X1917" s="45" t="s">
        <v>769</v>
      </c>
      <c r="Y1917" s="10"/>
      <c r="Z1917" s="46" t="str">
        <f t="shared" si="1370"/>
        <v>M</v>
      </c>
      <c r="AA1917" s="123"/>
      <c r="AB1917" s="1459">
        <f t="shared" si="1361"/>
        <v>0</v>
      </c>
      <c r="AC1917" s="1460" t="str">
        <f t="shared" si="1362"/>
        <v>-</v>
      </c>
      <c r="AD1917" s="1459">
        <f t="shared" si="1363"/>
        <v>0</v>
      </c>
      <c r="AE1917" s="964" t="str">
        <f t="shared" si="1364"/>
        <v/>
      </c>
      <c r="AF1917" s="964" t="str">
        <f t="shared" si="1365"/>
        <v/>
      </c>
      <c r="AG1917" s="964" t="str">
        <f t="shared" si="1366"/>
        <v/>
      </c>
      <c r="AH1917" s="964" t="str">
        <f t="shared" si="1367"/>
        <v/>
      </c>
      <c r="AI1917" s="964" t="str">
        <f t="shared" si="1368"/>
        <v/>
      </c>
      <c r="AJ1917" s="964"/>
      <c r="AK1917" s="964"/>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s="1396"/>
      <c r="CB1917" s="1396"/>
      <c r="CC1917"/>
      <c r="CD1917"/>
      <c r="CE1917"/>
    </row>
    <row r="1918" spans="1:83" ht="13.15" customHeight="1" outlineLevel="2" x14ac:dyDescent="0.2">
      <c r="A1918"/>
      <c r="B1918" s="1"/>
      <c r="C1918"/>
      <c r="D1918"/>
      <c r="E1918"/>
      <c r="F1918"/>
      <c r="G1918" s="1"/>
      <c r="H1918" s="1"/>
      <c r="I1918"/>
      <c r="J1918"/>
      <c r="K1918"/>
      <c r="L1918"/>
      <c r="M1918"/>
      <c r="N1918"/>
      <c r="O1918"/>
      <c r="P1918"/>
      <c r="Q1918"/>
      <c r="R1918" s="558" t="s">
        <v>3975</v>
      </c>
      <c r="S1918" s="83"/>
      <c r="T1918" s="56"/>
      <c r="U1918" s="955"/>
      <c r="V1918" s="43" t="str">
        <f t="shared" si="1369"/>
        <v>B</v>
      </c>
      <c r="W1918" s="10"/>
      <c r="X1918" s="45" t="s">
        <v>769</v>
      </c>
      <c r="Y1918" s="10"/>
      <c r="Z1918" s="46" t="str">
        <f t="shared" si="1370"/>
        <v>K</v>
      </c>
      <c r="AA1918" s="123"/>
      <c r="AB1918" s="1459">
        <f t="shared" si="1361"/>
        <v>0</v>
      </c>
      <c r="AC1918" s="1460" t="str">
        <f t="shared" si="1362"/>
        <v>-</v>
      </c>
      <c r="AD1918" s="1459">
        <f t="shared" si="1363"/>
        <v>0</v>
      </c>
      <c r="AE1918" s="964" t="str">
        <f t="shared" si="1364"/>
        <v/>
      </c>
      <c r="AF1918" s="964" t="str">
        <f t="shared" si="1365"/>
        <v/>
      </c>
      <c r="AG1918" s="964" t="str">
        <f t="shared" si="1366"/>
        <v/>
      </c>
      <c r="AH1918" s="964" t="str">
        <f t="shared" si="1367"/>
        <v/>
      </c>
      <c r="AI1918" s="964" t="str">
        <f t="shared" si="1368"/>
        <v/>
      </c>
      <c r="AJ1918" s="964"/>
      <c r="AK1918" s="964"/>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s="1396"/>
      <c r="CB1918" s="1396"/>
      <c r="CC1918"/>
      <c r="CD1918"/>
      <c r="CE1918"/>
    </row>
    <row r="1919" spans="1:83" ht="13.15" customHeight="1" outlineLevel="2" x14ac:dyDescent="0.2">
      <c r="A1919"/>
      <c r="B1919" s="1"/>
      <c r="C1919"/>
      <c r="D1919"/>
      <c r="E1919"/>
      <c r="F1919"/>
      <c r="G1919" s="1"/>
      <c r="H1919" s="1"/>
      <c r="I1919"/>
      <c r="J1919"/>
      <c r="K1919"/>
      <c r="L1919"/>
      <c r="M1919"/>
      <c r="N1919"/>
      <c r="O1919"/>
      <c r="P1919"/>
      <c r="Q1919"/>
      <c r="R1919" s="558" t="s">
        <v>3975</v>
      </c>
      <c r="S1919" s="83"/>
      <c r="T1919" s="56"/>
      <c r="U1919" s="955"/>
      <c r="V1919" s="43" t="str">
        <f t="shared" si="1369"/>
        <v>C</v>
      </c>
      <c r="W1919" s="10"/>
      <c r="X1919" s="45" t="s">
        <v>769</v>
      </c>
      <c r="Y1919" s="10"/>
      <c r="Z1919" s="46" t="str">
        <f t="shared" si="1370"/>
        <v>I</v>
      </c>
      <c r="AA1919" s="123"/>
      <c r="AB1919" s="1459">
        <f t="shared" si="1361"/>
        <v>0</v>
      </c>
      <c r="AC1919" s="1460" t="str">
        <f t="shared" si="1362"/>
        <v>-</v>
      </c>
      <c r="AD1919" s="1459">
        <f t="shared" si="1363"/>
        <v>0</v>
      </c>
      <c r="AE1919" s="964" t="str">
        <f t="shared" si="1364"/>
        <v/>
      </c>
      <c r="AF1919" s="964" t="str">
        <f t="shared" si="1365"/>
        <v/>
      </c>
      <c r="AG1919" s="964" t="str">
        <f t="shared" si="1366"/>
        <v/>
      </c>
      <c r="AH1919" s="964" t="str">
        <f t="shared" si="1367"/>
        <v/>
      </c>
      <c r="AI1919" s="964" t="str">
        <f t="shared" si="1368"/>
        <v/>
      </c>
      <c r="AJ1919" s="964"/>
      <c r="AK1919" s="964"/>
      <c r="AL1919"/>
      <c r="AM1919"/>
      <c r="AN1919"/>
      <c r="AO1919"/>
      <c r="AP1919"/>
      <c r="AQ1919"/>
      <c r="AR1919"/>
      <c r="AS1919"/>
      <c r="AT1919"/>
      <c r="AU1919"/>
      <c r="AV1919"/>
      <c r="AW1919"/>
      <c r="AX1919" s="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s="1396"/>
      <c r="CB1919" s="1396"/>
      <c r="CC1919"/>
      <c r="CD1919"/>
      <c r="CE1919"/>
    </row>
    <row r="1920" spans="1:83" ht="13.9" customHeight="1" outlineLevel="2" thickBot="1" x14ac:dyDescent="0.25">
      <c r="A1920"/>
      <c r="B1920" s="1"/>
      <c r="C1920"/>
      <c r="D1920"/>
      <c r="E1920"/>
      <c r="F1920"/>
      <c r="G1920" s="1"/>
      <c r="H1920" s="1"/>
      <c r="I1920"/>
      <c r="J1920"/>
      <c r="K1920"/>
      <c r="L1920"/>
      <c r="M1920"/>
      <c r="N1920"/>
      <c r="O1920"/>
      <c r="P1920"/>
      <c r="Q1920"/>
      <c r="R1920" s="558" t="s">
        <v>3975</v>
      </c>
      <c r="S1920" s="956"/>
      <c r="T1920" s="58"/>
      <c r="U1920" s="957"/>
      <c r="V1920" s="958" t="str">
        <f>V1908</f>
        <v>E</v>
      </c>
      <c r="W1920" s="175"/>
      <c r="X1920" s="52" t="s">
        <v>769</v>
      </c>
      <c r="Y1920" s="175"/>
      <c r="Z1920" s="46" t="str">
        <f t="shared" si="1370"/>
        <v>G</v>
      </c>
      <c r="AA1920" s="123"/>
      <c r="AB1920" s="1459">
        <f t="shared" si="1361"/>
        <v>0</v>
      </c>
      <c r="AC1920" s="1460" t="str">
        <f t="shared" si="1362"/>
        <v>-</v>
      </c>
      <c r="AD1920" s="1459">
        <f t="shared" si="1363"/>
        <v>0</v>
      </c>
      <c r="AE1920" s="964" t="str">
        <f t="shared" si="1364"/>
        <v/>
      </c>
      <c r="AF1920" s="964" t="str">
        <f t="shared" si="1365"/>
        <v/>
      </c>
      <c r="AG1920" s="964" t="str">
        <f t="shared" si="1366"/>
        <v/>
      </c>
      <c r="AH1920" s="964" t="str">
        <f t="shared" si="1367"/>
        <v/>
      </c>
      <c r="AI1920" s="964" t="str">
        <f t="shared" si="1368"/>
        <v/>
      </c>
      <c r="AJ1920" s="964"/>
      <c r="AK1920" s="964"/>
      <c r="AL1920"/>
      <c r="AM1920"/>
      <c r="AN1920"/>
      <c r="AO1920"/>
      <c r="AP1920"/>
      <c r="AQ1920"/>
      <c r="AR1920"/>
      <c r="AS1920"/>
      <c r="AT1920"/>
      <c r="AU1920"/>
      <c r="AV1920"/>
      <c r="AW1920" s="9"/>
      <c r="AX1920" s="9"/>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s="1396"/>
      <c r="CB1920" s="1396"/>
      <c r="CC1920"/>
      <c r="CD1920"/>
      <c r="CE1920"/>
    </row>
    <row r="1921" spans="1:83" ht="13.5" outlineLevel="1" thickBot="1" x14ac:dyDescent="0.25">
      <c r="A1921"/>
      <c r="B1921" s="1"/>
      <c r="C1921" s="1"/>
      <c r="D1921" s="76"/>
      <c r="E1921" s="76"/>
      <c r="F1921" s="76"/>
      <c r="G1921" s="9"/>
      <c r="H1921" s="9"/>
      <c r="I1921" s="1"/>
      <c r="J1921"/>
      <c r="K1921"/>
      <c r="L1921"/>
      <c r="M1921"/>
      <c r="N1921"/>
      <c r="O1921"/>
      <c r="P1921" s="89"/>
      <c r="Q1921"/>
      <c r="R1921" s="1"/>
      <c r="S1921" s="993">
        <f>S1909+1</f>
        <v>14</v>
      </c>
      <c r="T1921" s="961"/>
      <c r="U1921" s="961"/>
      <c r="V1921" s="961"/>
      <c r="W1921" s="960"/>
      <c r="X1921" s="960"/>
      <c r="Y1921" s="960"/>
      <c r="Z1921" s="962"/>
      <c r="AA1921" s="123"/>
      <c r="AB1921" s="963"/>
      <c r="AC1921" s="963"/>
      <c r="AD1921" s="963"/>
      <c r="AE1921" s="964"/>
      <c r="AF1921" s="964"/>
      <c r="AG1921" s="964"/>
      <c r="AH1921" s="964"/>
      <c r="AI1921" s="964"/>
      <c r="AJ1921" s="964"/>
      <c r="AK1921" s="964"/>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s="1396"/>
      <c r="CB1921" s="1396"/>
      <c r="CC1921"/>
      <c r="CD1921"/>
      <c r="CE1921"/>
    </row>
    <row r="1922" spans="1:83" ht="13.9" customHeight="1" outlineLevel="2" thickBot="1" x14ac:dyDescent="0.25">
      <c r="A1922"/>
      <c r="B1922" s="1"/>
      <c r="C1922"/>
      <c r="D1922"/>
      <c r="E1922"/>
      <c r="F1922"/>
      <c r="G1922" s="1"/>
      <c r="H1922" s="1"/>
      <c r="I1922"/>
      <c r="J1922"/>
      <c r="K1922"/>
      <c r="L1922"/>
      <c r="M1922"/>
      <c r="N1922"/>
      <c r="O1922"/>
      <c r="P1922"/>
      <c r="Q1922"/>
      <c r="S1922" s="22" t="str">
        <f>N_Heure</f>
        <v>Heure</v>
      </c>
      <c r="T1922" s="22" t="str">
        <f>N_Table</f>
        <v>Table</v>
      </c>
      <c r="U1922" s="22" t="str">
        <f>N_Arbitre</f>
        <v>Arbitre</v>
      </c>
      <c r="V1922" s="293" t="str">
        <f>N_Matches</f>
        <v>Matches</v>
      </c>
      <c r="W1922" s="294"/>
      <c r="X1922" s="294"/>
      <c r="Y1922" s="294"/>
      <c r="Z1922" s="295"/>
      <c r="AA1922" s="8"/>
      <c r="AB1922" s="967"/>
      <c r="AC1922" s="967"/>
      <c r="AD1922" s="967"/>
      <c r="AE1922" s="964"/>
      <c r="AF1922" s="964"/>
      <c r="AG1922" s="964"/>
      <c r="AH1922" s="964"/>
      <c r="AI1922" s="964"/>
      <c r="AJ1922" s="964"/>
      <c r="AK1922" s="964"/>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s="1396"/>
      <c r="CB1922" s="1396"/>
      <c r="CC1922"/>
      <c r="CD1922"/>
      <c r="CE1922"/>
    </row>
    <row r="1923" spans="1:83" ht="13.15" customHeight="1" outlineLevel="2" x14ac:dyDescent="0.2">
      <c r="A1923"/>
      <c r="B1923" s="1"/>
      <c r="C1923"/>
      <c r="D1923"/>
      <c r="E1923"/>
      <c r="F1923"/>
      <c r="G1923" s="1"/>
      <c r="H1923" s="1"/>
      <c r="I1923"/>
      <c r="J1923"/>
      <c r="K1923"/>
      <c r="L1923"/>
      <c r="M1923"/>
      <c r="N1923"/>
      <c r="O1923"/>
      <c r="P1923"/>
      <c r="Q1923"/>
      <c r="R1923" s="558" t="s">
        <v>3976</v>
      </c>
      <c r="S1923" s="65"/>
      <c r="T1923" s="953"/>
      <c r="U1923" s="954"/>
      <c r="V1923" s="34" t="str">
        <f>V1912</f>
        <v>N</v>
      </c>
      <c r="W1923" s="148"/>
      <c r="X1923" s="35" t="s">
        <v>769</v>
      </c>
      <c r="Y1923" s="148"/>
      <c r="Z1923" s="36" t="str">
        <f>V1911</f>
        <v>A</v>
      </c>
      <c r="AA1923" s="123"/>
      <c r="AB1923" s="1459">
        <f t="shared" ref="AB1923:AB1932" si="1371">IF(MaxScore,MaxGoals(W1923,Y1923,MaxGoalsValue),IF(W1923="","",W1923))</f>
        <v>0</v>
      </c>
      <c r="AC1923" s="1460" t="str">
        <f t="shared" ref="AC1923:AC1932" si="1372">IF(MaxScore,"-",IF(W1923="","","-"))</f>
        <v>-</v>
      </c>
      <c r="AD1923" s="1459">
        <f t="shared" ref="AD1923:AD1932" si="1373">IF(MaxScore,MaxGoals(Y1923,W1923,MaxGoalsValue),IF(Y1923="","",Y1923))</f>
        <v>0</v>
      </c>
      <c r="AE1923" s="964" t="str">
        <f t="shared" ref="AE1923:AE1932" si="1374">IF(W1923="","",IF(W1923&gt;Y1923,V1923,IF(W1923=Y1923,"",Z1923)))</f>
        <v/>
      </c>
      <c r="AF1923" s="964" t="str">
        <f t="shared" ref="AF1923:AF1932" si="1375">IF(W1923="","",IF(W1923=Y1923,V1923,""))</f>
        <v/>
      </c>
      <c r="AG1923" s="964" t="str">
        <f t="shared" ref="AG1923:AG1932" si="1376">IF(W1923="","",IF(W1923=Y1923,Z1923,""))</f>
        <v/>
      </c>
      <c r="AH1923" s="964" t="str">
        <f t="shared" ref="AH1923:AH1932" si="1377">IF(W1923="","",IF(W1923&lt;Y1923,V1923,IF(W1923=Y1923,"",Z1923)))</f>
        <v/>
      </c>
      <c r="AI1923" s="964" t="str">
        <f t="shared" ref="AI1923:AI1932" si="1378">CONCATENATE(AE1923,AH1923)</f>
        <v/>
      </c>
      <c r="AJ1923" s="964"/>
      <c r="AK1923" s="964"/>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s="1396"/>
      <c r="CB1923" s="1396"/>
      <c r="CC1923"/>
      <c r="CD1923"/>
      <c r="CE1923"/>
    </row>
    <row r="1924" spans="1:83" ht="13.15" customHeight="1" outlineLevel="2" x14ac:dyDescent="0.2">
      <c r="A1924"/>
      <c r="B1924" s="1"/>
      <c r="C1924"/>
      <c r="D1924"/>
      <c r="E1924"/>
      <c r="F1924"/>
      <c r="G1924" s="1"/>
      <c r="H1924" s="1"/>
      <c r="I1924"/>
      <c r="J1924"/>
      <c r="K1924"/>
      <c r="L1924"/>
      <c r="M1924"/>
      <c r="N1924"/>
      <c r="O1924"/>
      <c r="P1924"/>
      <c r="Q1924"/>
      <c r="R1924" s="558" t="s">
        <v>3976</v>
      </c>
      <c r="S1924" s="83"/>
      <c r="T1924" s="56"/>
      <c r="U1924" s="955"/>
      <c r="V1924" s="43" t="str">
        <f t="shared" ref="V1924:V1932" si="1379">Z1911</f>
        <v>P</v>
      </c>
      <c r="W1924" s="10"/>
      <c r="X1924" s="45" t="s">
        <v>769</v>
      </c>
      <c r="Y1924" s="10"/>
      <c r="Z1924" s="46" t="str">
        <f t="shared" ref="Z1924:Z1931" si="1380">V1913</f>
        <v>L</v>
      </c>
      <c r="AA1924" s="123"/>
      <c r="AB1924" s="1459">
        <f t="shared" si="1371"/>
        <v>0</v>
      </c>
      <c r="AC1924" s="1460" t="str">
        <f t="shared" si="1372"/>
        <v>-</v>
      </c>
      <c r="AD1924" s="1459">
        <f t="shared" si="1373"/>
        <v>0</v>
      </c>
      <c r="AE1924" s="964" t="str">
        <f t="shared" si="1374"/>
        <v/>
      </c>
      <c r="AF1924" s="964" t="str">
        <f t="shared" si="1375"/>
        <v/>
      </c>
      <c r="AG1924" s="964" t="str">
        <f t="shared" si="1376"/>
        <v/>
      </c>
      <c r="AH1924" s="964" t="str">
        <f t="shared" si="1377"/>
        <v/>
      </c>
      <c r="AI1924" s="964" t="str">
        <f t="shared" si="1378"/>
        <v/>
      </c>
      <c r="AJ1924" s="964"/>
      <c r="AK1924" s="96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s="1396"/>
      <c r="CB1924" s="1396"/>
      <c r="CC1924"/>
      <c r="CD1924"/>
      <c r="CE1924"/>
    </row>
    <row r="1925" spans="1:83" ht="13.15" customHeight="1" outlineLevel="2" x14ac:dyDescent="0.2">
      <c r="A1925"/>
      <c r="B1925" s="1"/>
      <c r="C1925"/>
      <c r="D1925"/>
      <c r="E1925"/>
      <c r="F1925"/>
      <c r="G1925" s="1"/>
      <c r="H1925" s="1"/>
      <c r="I1925"/>
      <c r="J1925"/>
      <c r="K1925"/>
      <c r="L1925"/>
      <c r="M1925"/>
      <c r="N1925"/>
      <c r="O1925"/>
      <c r="P1925"/>
      <c r="Q1925"/>
      <c r="R1925" s="558" t="s">
        <v>3976</v>
      </c>
      <c r="S1925" s="83"/>
      <c r="T1925" s="56"/>
      <c r="U1925" s="955"/>
      <c r="V1925" s="43" t="str">
        <f t="shared" si="1379"/>
        <v>R</v>
      </c>
      <c r="W1925" s="10"/>
      <c r="X1925" s="45" t="s">
        <v>769</v>
      </c>
      <c r="Y1925" s="10"/>
      <c r="Z1925" s="46" t="str">
        <f t="shared" si="1380"/>
        <v>J</v>
      </c>
      <c r="AA1925" s="123"/>
      <c r="AB1925" s="1459">
        <f t="shared" si="1371"/>
        <v>0</v>
      </c>
      <c r="AC1925" s="1460" t="str">
        <f t="shared" si="1372"/>
        <v>-</v>
      </c>
      <c r="AD1925" s="1459">
        <f t="shared" si="1373"/>
        <v>0</v>
      </c>
      <c r="AE1925" s="964" t="str">
        <f t="shared" si="1374"/>
        <v/>
      </c>
      <c r="AF1925" s="964" t="str">
        <f t="shared" si="1375"/>
        <v/>
      </c>
      <c r="AG1925" s="964" t="str">
        <f t="shared" si="1376"/>
        <v/>
      </c>
      <c r="AH1925" s="964" t="str">
        <f t="shared" si="1377"/>
        <v/>
      </c>
      <c r="AI1925" s="964" t="str">
        <f t="shared" si="1378"/>
        <v/>
      </c>
      <c r="AJ1925" s="964"/>
      <c r="AK1925" s="964"/>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s="1396"/>
      <c r="CB1925" s="1396"/>
      <c r="CC1925"/>
      <c r="CD1925"/>
      <c r="CE1925"/>
    </row>
    <row r="1926" spans="1:83" ht="13.15" customHeight="1" outlineLevel="2" x14ac:dyDescent="0.2">
      <c r="A1926"/>
      <c r="B1926" s="1"/>
      <c r="C1926"/>
      <c r="D1926"/>
      <c r="E1926"/>
      <c r="F1926"/>
      <c r="G1926" s="1"/>
      <c r="H1926" s="1"/>
      <c r="I1926"/>
      <c r="J1926"/>
      <c r="K1926"/>
      <c r="L1926"/>
      <c r="M1926"/>
      <c r="N1926"/>
      <c r="O1926"/>
      <c r="P1926"/>
      <c r="Q1926"/>
      <c r="R1926" s="558" t="s">
        <v>3976</v>
      </c>
      <c r="S1926" s="83"/>
      <c r="T1926" s="56"/>
      <c r="U1926" s="955"/>
      <c r="V1926" s="43" t="str">
        <f t="shared" si="1379"/>
        <v>T</v>
      </c>
      <c r="W1926" s="10"/>
      <c r="X1926" s="45" t="s">
        <v>769</v>
      </c>
      <c r="Y1926" s="10"/>
      <c r="Z1926" s="46" t="str">
        <f t="shared" si="1380"/>
        <v>H</v>
      </c>
      <c r="AA1926" s="123"/>
      <c r="AB1926" s="1459">
        <f t="shared" si="1371"/>
        <v>0</v>
      </c>
      <c r="AC1926" s="1460" t="str">
        <f t="shared" si="1372"/>
        <v>-</v>
      </c>
      <c r="AD1926" s="1459">
        <f t="shared" si="1373"/>
        <v>0</v>
      </c>
      <c r="AE1926" s="964" t="str">
        <f t="shared" si="1374"/>
        <v/>
      </c>
      <c r="AF1926" s="964" t="str">
        <f t="shared" si="1375"/>
        <v/>
      </c>
      <c r="AG1926" s="964" t="str">
        <f t="shared" si="1376"/>
        <v/>
      </c>
      <c r="AH1926" s="964" t="str">
        <f t="shared" si="1377"/>
        <v/>
      </c>
      <c r="AI1926" s="964" t="str">
        <f t="shared" si="1378"/>
        <v/>
      </c>
      <c r="AJ1926" s="964"/>
      <c r="AK1926" s="964"/>
      <c r="AL1926"/>
      <c r="AM1926"/>
      <c r="AN1926"/>
      <c r="AO1926"/>
      <c r="AP1926"/>
      <c r="AQ1926"/>
      <c r="AR1926"/>
      <c r="AS1926"/>
      <c r="AT1926"/>
      <c r="AU1926"/>
      <c r="AV1926"/>
      <c r="AW1926"/>
      <c r="AX1926" s="9"/>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s="1396"/>
      <c r="CB1926" s="1396"/>
      <c r="CC1926"/>
      <c r="CD1926"/>
      <c r="CE1926"/>
    </row>
    <row r="1927" spans="1:83" ht="13.15" customHeight="1" outlineLevel="2" x14ac:dyDescent="0.2">
      <c r="A1927"/>
      <c r="B1927" s="1"/>
      <c r="C1927"/>
      <c r="D1927"/>
      <c r="E1927"/>
      <c r="F1927"/>
      <c r="G1927" s="1"/>
      <c r="H1927" s="1"/>
      <c r="I1927"/>
      <c r="J1927"/>
      <c r="K1927"/>
      <c r="L1927"/>
      <c r="M1927"/>
      <c r="N1927"/>
      <c r="O1927"/>
      <c r="P1927"/>
      <c r="Q1927"/>
      <c r="R1927" s="558" t="s">
        <v>3976</v>
      </c>
      <c r="S1927" s="83"/>
      <c r="T1927" s="56"/>
      <c r="U1927" s="955"/>
      <c r="V1927" s="43" t="str">
        <f t="shared" si="1379"/>
        <v>S</v>
      </c>
      <c r="W1927" s="10"/>
      <c r="X1927" s="45" t="s">
        <v>769</v>
      </c>
      <c r="Y1927" s="10"/>
      <c r="Z1927" s="46" t="str">
        <f t="shared" si="1380"/>
        <v>F</v>
      </c>
      <c r="AA1927" s="123"/>
      <c r="AB1927" s="1459">
        <f t="shared" si="1371"/>
        <v>0</v>
      </c>
      <c r="AC1927" s="1460" t="str">
        <f t="shared" si="1372"/>
        <v>-</v>
      </c>
      <c r="AD1927" s="1459">
        <f t="shared" si="1373"/>
        <v>0</v>
      </c>
      <c r="AE1927" s="964" t="str">
        <f t="shared" si="1374"/>
        <v/>
      </c>
      <c r="AF1927" s="964" t="str">
        <f t="shared" si="1375"/>
        <v/>
      </c>
      <c r="AG1927" s="964" t="str">
        <f t="shared" si="1376"/>
        <v/>
      </c>
      <c r="AH1927" s="964" t="str">
        <f t="shared" si="1377"/>
        <v/>
      </c>
      <c r="AI1927" s="964" t="str">
        <f t="shared" si="1378"/>
        <v/>
      </c>
      <c r="AJ1927" s="964"/>
      <c r="AK1927" s="964"/>
      <c r="AL1927"/>
      <c r="AM1927"/>
      <c r="AN1927"/>
      <c r="AO1927"/>
      <c r="AP1927"/>
      <c r="AQ1927"/>
      <c r="AR1927"/>
      <c r="AS1927"/>
      <c r="AT1927"/>
      <c r="AU1927"/>
      <c r="AV1927"/>
      <c r="AW1927" s="9"/>
      <c r="AX1927" s="9"/>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s="1396"/>
      <c r="CB1927" s="1396"/>
      <c r="CC1927"/>
      <c r="CD1927"/>
      <c r="CE1927"/>
    </row>
    <row r="1928" spans="1:83" ht="13.15" customHeight="1" outlineLevel="2" x14ac:dyDescent="0.2">
      <c r="A1928"/>
      <c r="B1928" s="1"/>
      <c r="C1928"/>
      <c r="D1928"/>
      <c r="E1928"/>
      <c r="F1928"/>
      <c r="G1928" s="1"/>
      <c r="H1928" s="1"/>
      <c r="I1928"/>
      <c r="J1928"/>
      <c r="K1928"/>
      <c r="L1928"/>
      <c r="M1928"/>
      <c r="N1928"/>
      <c r="O1928"/>
      <c r="P1928"/>
      <c r="Q1928"/>
      <c r="R1928" s="558" t="s">
        <v>3976</v>
      </c>
      <c r="S1928" s="83"/>
      <c r="T1928" s="56"/>
      <c r="U1928" s="955"/>
      <c r="V1928" s="43" t="str">
        <f t="shared" si="1379"/>
        <v>Q</v>
      </c>
      <c r="W1928" s="10"/>
      <c r="X1928" s="45" t="s">
        <v>769</v>
      </c>
      <c r="Y1928" s="10"/>
      <c r="Z1928" s="46" t="str">
        <f t="shared" si="1380"/>
        <v>D</v>
      </c>
      <c r="AA1928" s="123"/>
      <c r="AB1928" s="1459">
        <f t="shared" si="1371"/>
        <v>0</v>
      </c>
      <c r="AC1928" s="1460" t="str">
        <f t="shared" si="1372"/>
        <v>-</v>
      </c>
      <c r="AD1928" s="1459">
        <f t="shared" si="1373"/>
        <v>0</v>
      </c>
      <c r="AE1928" s="964" t="str">
        <f t="shared" si="1374"/>
        <v/>
      </c>
      <c r="AF1928" s="964" t="str">
        <f t="shared" si="1375"/>
        <v/>
      </c>
      <c r="AG1928" s="964" t="str">
        <f t="shared" si="1376"/>
        <v/>
      </c>
      <c r="AH1928" s="964" t="str">
        <f t="shared" si="1377"/>
        <v/>
      </c>
      <c r="AI1928" s="964" t="str">
        <f t="shared" si="1378"/>
        <v/>
      </c>
      <c r="AJ1928" s="964"/>
      <c r="AK1928" s="964"/>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s="1396"/>
      <c r="CB1928" s="1396"/>
      <c r="CC1928"/>
      <c r="CD1928"/>
      <c r="CE1928"/>
    </row>
    <row r="1929" spans="1:83" ht="13.15" customHeight="1" outlineLevel="2" x14ac:dyDescent="0.2">
      <c r="A1929"/>
      <c r="B1929" s="1"/>
      <c r="C1929"/>
      <c r="D1929"/>
      <c r="E1929"/>
      <c r="F1929"/>
      <c r="G1929" s="1"/>
      <c r="H1929" s="1"/>
      <c r="I1929"/>
      <c r="J1929"/>
      <c r="K1929"/>
      <c r="L1929"/>
      <c r="M1929"/>
      <c r="N1929"/>
      <c r="O1929"/>
      <c r="P1929"/>
      <c r="Q1929"/>
      <c r="R1929" s="558" t="s">
        <v>3976</v>
      </c>
      <c r="S1929" s="83"/>
      <c r="T1929" s="56"/>
      <c r="U1929" s="955"/>
      <c r="V1929" s="43" t="str">
        <f t="shared" si="1379"/>
        <v>O</v>
      </c>
      <c r="W1929" s="10"/>
      <c r="X1929" s="45" t="s">
        <v>769</v>
      </c>
      <c r="Y1929" s="10"/>
      <c r="Z1929" s="46" t="str">
        <f t="shared" si="1380"/>
        <v>B</v>
      </c>
      <c r="AA1929" s="123"/>
      <c r="AB1929" s="1459">
        <f t="shared" si="1371"/>
        <v>0</v>
      </c>
      <c r="AC1929" s="1460" t="str">
        <f t="shared" si="1372"/>
        <v>-</v>
      </c>
      <c r="AD1929" s="1459">
        <f t="shared" si="1373"/>
        <v>0</v>
      </c>
      <c r="AE1929" s="964" t="str">
        <f t="shared" si="1374"/>
        <v/>
      </c>
      <c r="AF1929" s="964" t="str">
        <f t="shared" si="1375"/>
        <v/>
      </c>
      <c r="AG1929" s="964" t="str">
        <f t="shared" si="1376"/>
        <v/>
      </c>
      <c r="AH1929" s="964" t="str">
        <f t="shared" si="1377"/>
        <v/>
      </c>
      <c r="AI1929" s="964" t="str">
        <f t="shared" si="1378"/>
        <v/>
      </c>
      <c r="AJ1929" s="964"/>
      <c r="AK1929" s="964"/>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s="1396"/>
      <c r="CB1929" s="1396"/>
      <c r="CC1929"/>
      <c r="CD1929"/>
      <c r="CE1929"/>
    </row>
    <row r="1930" spans="1:83" ht="13.15" customHeight="1" outlineLevel="2" x14ac:dyDescent="0.2">
      <c r="A1930"/>
      <c r="B1930" s="1"/>
      <c r="C1930"/>
      <c r="D1930"/>
      <c r="E1930"/>
      <c r="F1930"/>
      <c r="G1930" s="1"/>
      <c r="H1930" s="1"/>
      <c r="I1930"/>
      <c r="J1930"/>
      <c r="K1930"/>
      <c r="L1930"/>
      <c r="M1930"/>
      <c r="N1930"/>
      <c r="O1930"/>
      <c r="P1930"/>
      <c r="Q1930"/>
      <c r="R1930" s="558" t="s">
        <v>3976</v>
      </c>
      <c r="S1930" s="83"/>
      <c r="T1930" s="56"/>
      <c r="U1930" s="955"/>
      <c r="V1930" s="43" t="str">
        <f t="shared" si="1379"/>
        <v>M</v>
      </c>
      <c r="W1930" s="10"/>
      <c r="X1930" s="45" t="s">
        <v>769</v>
      </c>
      <c r="Y1930" s="10"/>
      <c r="Z1930" s="46" t="str">
        <f t="shared" si="1380"/>
        <v>C</v>
      </c>
      <c r="AA1930" s="123"/>
      <c r="AB1930" s="1459">
        <f t="shared" si="1371"/>
        <v>0</v>
      </c>
      <c r="AC1930" s="1460" t="str">
        <f t="shared" si="1372"/>
        <v>-</v>
      </c>
      <c r="AD1930" s="1459">
        <f t="shared" si="1373"/>
        <v>0</v>
      </c>
      <c r="AE1930" s="964" t="str">
        <f t="shared" si="1374"/>
        <v/>
      </c>
      <c r="AF1930" s="964" t="str">
        <f t="shared" si="1375"/>
        <v/>
      </c>
      <c r="AG1930" s="964" t="str">
        <f t="shared" si="1376"/>
        <v/>
      </c>
      <c r="AH1930" s="964" t="str">
        <f t="shared" si="1377"/>
        <v/>
      </c>
      <c r="AI1930" s="964" t="str">
        <f t="shared" si="1378"/>
        <v/>
      </c>
      <c r="AJ1930" s="964"/>
      <c r="AK1930" s="964"/>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s="1396"/>
      <c r="CB1930" s="1396"/>
      <c r="CC1930"/>
      <c r="CD1930"/>
      <c r="CE1930"/>
    </row>
    <row r="1931" spans="1:83" ht="13.15" customHeight="1" outlineLevel="2" x14ac:dyDescent="0.2">
      <c r="A1931"/>
      <c r="B1931" s="1"/>
      <c r="C1931"/>
      <c r="D1931"/>
      <c r="E1931"/>
      <c r="F1931"/>
      <c r="G1931" s="1"/>
      <c r="H1931" s="1"/>
      <c r="I1931"/>
      <c r="J1931"/>
      <c r="K1931"/>
      <c r="L1931"/>
      <c r="M1931"/>
      <c r="N1931"/>
      <c r="O1931"/>
      <c r="P1931"/>
      <c r="Q1931"/>
      <c r="R1931" s="558" t="s">
        <v>3976</v>
      </c>
      <c r="S1931" s="83"/>
      <c r="T1931" s="56"/>
      <c r="U1931" s="955"/>
      <c r="V1931" s="43" t="str">
        <f t="shared" si="1379"/>
        <v>K</v>
      </c>
      <c r="W1931" s="10"/>
      <c r="X1931" s="45" t="s">
        <v>769</v>
      </c>
      <c r="Y1931" s="10"/>
      <c r="Z1931" s="46" t="str">
        <f t="shared" si="1380"/>
        <v>E</v>
      </c>
      <c r="AA1931" s="123"/>
      <c r="AB1931" s="1459">
        <f t="shared" si="1371"/>
        <v>0</v>
      </c>
      <c r="AC1931" s="1460" t="str">
        <f t="shared" si="1372"/>
        <v>-</v>
      </c>
      <c r="AD1931" s="1459">
        <f t="shared" si="1373"/>
        <v>0</v>
      </c>
      <c r="AE1931" s="964" t="str">
        <f t="shared" si="1374"/>
        <v/>
      </c>
      <c r="AF1931" s="964" t="str">
        <f t="shared" si="1375"/>
        <v/>
      </c>
      <c r="AG1931" s="964" t="str">
        <f t="shared" si="1376"/>
        <v/>
      </c>
      <c r="AH1931" s="964" t="str">
        <f t="shared" si="1377"/>
        <v/>
      </c>
      <c r="AI1931" s="964" t="str">
        <f t="shared" si="1378"/>
        <v/>
      </c>
      <c r="AJ1931" s="964"/>
      <c r="AK1931" s="964"/>
      <c r="AL1931"/>
      <c r="AM1931"/>
      <c r="AN1931"/>
      <c r="AO1931"/>
      <c r="AP1931"/>
      <c r="AQ1931"/>
      <c r="AR1931"/>
      <c r="AS1931"/>
      <c r="AT1931"/>
      <c r="AU1931"/>
      <c r="AV1931"/>
      <c r="AW1931"/>
      <c r="AX1931" s="9"/>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s="1396"/>
      <c r="CB1931" s="1396"/>
      <c r="CC1931"/>
      <c r="CD1931"/>
      <c r="CE1931"/>
    </row>
    <row r="1932" spans="1:83" ht="13.9" customHeight="1" outlineLevel="2" thickBot="1" x14ac:dyDescent="0.25">
      <c r="A1932"/>
      <c r="B1932" s="1"/>
      <c r="C1932"/>
      <c r="D1932"/>
      <c r="E1932"/>
      <c r="F1932"/>
      <c r="G1932" s="1"/>
      <c r="H1932" s="1"/>
      <c r="I1932"/>
      <c r="J1932"/>
      <c r="K1932"/>
      <c r="L1932"/>
      <c r="M1932"/>
      <c r="N1932"/>
      <c r="O1932"/>
      <c r="P1932"/>
      <c r="Q1932"/>
      <c r="R1932" s="558" t="s">
        <v>3976</v>
      </c>
      <c r="S1932" s="956"/>
      <c r="T1932" s="58"/>
      <c r="U1932" s="957"/>
      <c r="V1932" s="958" t="str">
        <f t="shared" si="1379"/>
        <v>I</v>
      </c>
      <c r="W1932" s="175"/>
      <c r="X1932" s="52" t="s">
        <v>769</v>
      </c>
      <c r="Y1932" s="175"/>
      <c r="Z1932" s="959" t="str">
        <f>Z1920</f>
        <v>G</v>
      </c>
      <c r="AA1932" s="123"/>
      <c r="AB1932" s="1459">
        <f t="shared" si="1371"/>
        <v>0</v>
      </c>
      <c r="AC1932" s="1460" t="str">
        <f t="shared" si="1372"/>
        <v>-</v>
      </c>
      <c r="AD1932" s="1459">
        <f t="shared" si="1373"/>
        <v>0</v>
      </c>
      <c r="AE1932" s="964" t="str">
        <f t="shared" si="1374"/>
        <v/>
      </c>
      <c r="AF1932" s="964" t="str">
        <f t="shared" si="1375"/>
        <v/>
      </c>
      <c r="AG1932" s="964" t="str">
        <f t="shared" si="1376"/>
        <v/>
      </c>
      <c r="AH1932" s="964" t="str">
        <f t="shared" si="1377"/>
        <v/>
      </c>
      <c r="AI1932" s="964" t="str">
        <f t="shared" si="1378"/>
        <v/>
      </c>
      <c r="AJ1932" s="964"/>
      <c r="AK1932" s="964"/>
      <c r="AL1932"/>
      <c r="AM1932"/>
      <c r="AN1932"/>
      <c r="AO1932"/>
      <c r="AP1932"/>
      <c r="AQ1932"/>
      <c r="AR1932"/>
      <c r="AS1932"/>
      <c r="AT1932"/>
      <c r="AU1932"/>
      <c r="AV1932"/>
      <c r="AW1932" s="9"/>
      <c r="AX1932" s="9"/>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s="1396"/>
      <c r="CB1932" s="1396"/>
      <c r="CC1932"/>
      <c r="CD1932"/>
      <c r="CE1932"/>
    </row>
    <row r="1933" spans="1:83" ht="13.5" outlineLevel="1" thickBot="1" x14ac:dyDescent="0.25">
      <c r="A1933"/>
      <c r="B1933" s="1"/>
      <c r="C1933" s="1"/>
      <c r="D1933" s="76"/>
      <c r="E1933" s="76"/>
      <c r="F1933" s="76"/>
      <c r="G1933" s="9"/>
      <c r="H1933" s="9"/>
      <c r="I1933" s="1"/>
      <c r="J1933"/>
      <c r="K1933"/>
      <c r="L1933"/>
      <c r="M1933"/>
      <c r="N1933"/>
      <c r="O1933"/>
      <c r="P1933" s="89"/>
      <c r="Q1933"/>
      <c r="R1933" s="1"/>
      <c r="S1933" s="993">
        <f>S1921+1</f>
        <v>15</v>
      </c>
      <c r="T1933" s="961"/>
      <c r="U1933" s="961"/>
      <c r="V1933" s="961"/>
      <c r="W1933" s="960"/>
      <c r="X1933" s="960"/>
      <c r="Y1933" s="960"/>
      <c r="Z1933" s="962"/>
      <c r="AA1933" s="123"/>
      <c r="AB1933" s="963"/>
      <c r="AC1933" s="963"/>
      <c r="AD1933" s="963"/>
      <c r="AE1933" s="964"/>
      <c r="AF1933" s="964"/>
      <c r="AG1933" s="964"/>
      <c r="AH1933" s="964"/>
      <c r="AI1933" s="964"/>
      <c r="AJ1933" s="964"/>
      <c r="AK1933" s="964"/>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s="1396"/>
      <c r="CB1933" s="1396"/>
      <c r="CC1933"/>
      <c r="CD1933"/>
      <c r="CE1933"/>
    </row>
    <row r="1934" spans="1:83" ht="13.9" customHeight="1" outlineLevel="2" thickBot="1" x14ac:dyDescent="0.25">
      <c r="A1934"/>
      <c r="B1934" s="1"/>
      <c r="C1934"/>
      <c r="D1934"/>
      <c r="E1934"/>
      <c r="F1934"/>
      <c r="G1934" s="1"/>
      <c r="H1934" s="1"/>
      <c r="I1934"/>
      <c r="J1934"/>
      <c r="K1934"/>
      <c r="L1934"/>
      <c r="M1934"/>
      <c r="N1934"/>
      <c r="O1934"/>
      <c r="P1934"/>
      <c r="Q1934"/>
      <c r="S1934" s="22" t="str">
        <f>N_Heure</f>
        <v>Heure</v>
      </c>
      <c r="T1934" s="22" t="str">
        <f>N_Table</f>
        <v>Table</v>
      </c>
      <c r="U1934" s="22" t="str">
        <f>N_Arbitre</f>
        <v>Arbitre</v>
      </c>
      <c r="V1934" s="293" t="str">
        <f>N_Matches</f>
        <v>Matches</v>
      </c>
      <c r="W1934" s="294"/>
      <c r="X1934" s="294"/>
      <c r="Y1934" s="294"/>
      <c r="Z1934" s="295"/>
      <c r="AA1934" s="8"/>
      <c r="AB1934" s="967"/>
      <c r="AC1934" s="967"/>
      <c r="AD1934" s="967"/>
      <c r="AE1934" s="964"/>
      <c r="AF1934" s="964"/>
      <c r="AG1934" s="964"/>
      <c r="AH1934" s="964"/>
      <c r="AI1934" s="964"/>
      <c r="AJ1934" s="964"/>
      <c r="AK1934" s="96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s="1396"/>
      <c r="CB1934" s="1396"/>
      <c r="CC1934"/>
      <c r="CD1934"/>
      <c r="CE1934"/>
    </row>
    <row r="1935" spans="1:83" ht="13.15" customHeight="1" outlineLevel="2" x14ac:dyDescent="0.2">
      <c r="A1935"/>
      <c r="B1935" s="1"/>
      <c r="C1935"/>
      <c r="D1935"/>
      <c r="E1935"/>
      <c r="F1935"/>
      <c r="G1935" s="1"/>
      <c r="H1935" s="1"/>
      <c r="I1935"/>
      <c r="J1935"/>
      <c r="K1935"/>
      <c r="L1935"/>
      <c r="M1935"/>
      <c r="N1935"/>
      <c r="O1935"/>
      <c r="P1935"/>
      <c r="Q1935"/>
      <c r="R1935" s="558" t="s">
        <v>3977</v>
      </c>
      <c r="S1935" s="65"/>
      <c r="T1935" s="953"/>
      <c r="U1935" s="954"/>
      <c r="V1935" s="34" t="str">
        <f>Z1923</f>
        <v>A</v>
      </c>
      <c r="W1935" s="148"/>
      <c r="X1935" s="35" t="s">
        <v>769</v>
      </c>
      <c r="Y1935" s="148"/>
      <c r="Z1935" s="36" t="str">
        <f>Z1924</f>
        <v>L</v>
      </c>
      <c r="AA1935" s="123"/>
      <c r="AB1935" s="1459">
        <f t="shared" ref="AB1935:AB1944" si="1381">IF(MaxScore,MaxGoals(W1935,Y1935,MaxGoalsValue),IF(W1935="","",W1935))</f>
        <v>0</v>
      </c>
      <c r="AC1935" s="1460" t="str">
        <f t="shared" ref="AC1935:AC1944" si="1382">IF(MaxScore,"-",IF(W1935="","","-"))</f>
        <v>-</v>
      </c>
      <c r="AD1935" s="1459">
        <f t="shared" ref="AD1935:AD1944" si="1383">IF(MaxScore,MaxGoals(Y1935,W1935,MaxGoalsValue),IF(Y1935="","",Y1935))</f>
        <v>0</v>
      </c>
      <c r="AE1935" s="964" t="str">
        <f t="shared" ref="AE1935:AE1944" si="1384">IF(W1935="","",IF(W1935&gt;Y1935,V1935,IF(W1935=Y1935,"",Z1935)))</f>
        <v/>
      </c>
      <c r="AF1935" s="964" t="str">
        <f t="shared" ref="AF1935:AF1944" si="1385">IF(W1935="","",IF(W1935=Y1935,V1935,""))</f>
        <v/>
      </c>
      <c r="AG1935" s="964" t="str">
        <f t="shared" ref="AG1935:AG1944" si="1386">IF(W1935="","",IF(W1935=Y1935,Z1935,""))</f>
        <v/>
      </c>
      <c r="AH1935" s="964" t="str">
        <f t="shared" ref="AH1935:AH1944" si="1387">IF(W1935="","",IF(W1935&lt;Y1935,V1935,IF(W1935=Y1935,"",Z1935)))</f>
        <v/>
      </c>
      <c r="AI1935" s="964" t="str">
        <f t="shared" ref="AI1935:AI1944" si="1388">CONCATENATE(AE1935,AH1935)</f>
        <v/>
      </c>
      <c r="AJ1935" s="964"/>
      <c r="AK1935" s="964"/>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s="1396"/>
      <c r="CB1935" s="1396"/>
      <c r="CC1935"/>
      <c r="CD1935"/>
      <c r="CE1935"/>
    </row>
    <row r="1936" spans="1:83" ht="13.15" customHeight="1" outlineLevel="2" x14ac:dyDescent="0.2">
      <c r="A1936"/>
      <c r="B1936" s="1"/>
      <c r="C1936"/>
      <c r="D1936"/>
      <c r="E1936"/>
      <c r="F1936"/>
      <c r="G1936" s="1"/>
      <c r="H1936" s="1"/>
      <c r="I1936"/>
      <c r="J1936"/>
      <c r="K1936"/>
      <c r="L1936"/>
      <c r="M1936"/>
      <c r="N1936"/>
      <c r="O1936"/>
      <c r="P1936"/>
      <c r="Q1936"/>
      <c r="R1936" s="558" t="s">
        <v>3977</v>
      </c>
      <c r="S1936" s="83"/>
      <c r="T1936" s="56"/>
      <c r="U1936" s="955"/>
      <c r="V1936" s="43" t="str">
        <f t="shared" ref="V1936:V1943" si="1389">Z1925</f>
        <v>J</v>
      </c>
      <c r="W1936" s="10"/>
      <c r="X1936" s="45" t="s">
        <v>769</v>
      </c>
      <c r="Y1936" s="10"/>
      <c r="Z1936" s="46" t="str">
        <f t="shared" ref="Z1936:Z1944" si="1390">V1923</f>
        <v>N</v>
      </c>
      <c r="AA1936" s="123"/>
      <c r="AB1936" s="1459">
        <f t="shared" si="1381"/>
        <v>0</v>
      </c>
      <c r="AC1936" s="1460" t="str">
        <f t="shared" si="1382"/>
        <v>-</v>
      </c>
      <c r="AD1936" s="1459">
        <f t="shared" si="1383"/>
        <v>0</v>
      </c>
      <c r="AE1936" s="964" t="str">
        <f t="shared" si="1384"/>
        <v/>
      </c>
      <c r="AF1936" s="964" t="str">
        <f t="shared" si="1385"/>
        <v/>
      </c>
      <c r="AG1936" s="964" t="str">
        <f t="shared" si="1386"/>
        <v/>
      </c>
      <c r="AH1936" s="964" t="str">
        <f t="shared" si="1387"/>
        <v/>
      </c>
      <c r="AI1936" s="964" t="str">
        <f t="shared" si="1388"/>
        <v/>
      </c>
      <c r="AJ1936" s="964"/>
      <c r="AK1936" s="964"/>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s="1396"/>
      <c r="CB1936" s="1396"/>
      <c r="CC1936"/>
      <c r="CD1936"/>
      <c r="CE1936"/>
    </row>
    <row r="1937" spans="1:83" ht="13.15" customHeight="1" outlineLevel="2" x14ac:dyDescent="0.2">
      <c r="A1937"/>
      <c r="B1937" s="1"/>
      <c r="C1937"/>
      <c r="D1937"/>
      <c r="E1937"/>
      <c r="F1937"/>
      <c r="G1937" s="1"/>
      <c r="H1937" s="1"/>
      <c r="I1937"/>
      <c r="J1937"/>
      <c r="K1937"/>
      <c r="L1937"/>
      <c r="M1937"/>
      <c r="N1937"/>
      <c r="O1937"/>
      <c r="P1937"/>
      <c r="Q1937"/>
      <c r="R1937" s="558" t="s">
        <v>3977</v>
      </c>
      <c r="S1937" s="83"/>
      <c r="T1937" s="56"/>
      <c r="U1937" s="955"/>
      <c r="V1937" s="43" t="str">
        <f t="shared" si="1389"/>
        <v>H</v>
      </c>
      <c r="W1937" s="10"/>
      <c r="X1937" s="45" t="s">
        <v>769</v>
      </c>
      <c r="Y1937" s="10"/>
      <c r="Z1937" s="46" t="str">
        <f t="shared" si="1390"/>
        <v>P</v>
      </c>
      <c r="AA1937" s="123"/>
      <c r="AB1937" s="1459">
        <f t="shared" si="1381"/>
        <v>0</v>
      </c>
      <c r="AC1937" s="1460" t="str">
        <f t="shared" si="1382"/>
        <v>-</v>
      </c>
      <c r="AD1937" s="1459">
        <f t="shared" si="1383"/>
        <v>0</v>
      </c>
      <c r="AE1937" s="964" t="str">
        <f t="shared" si="1384"/>
        <v/>
      </c>
      <c r="AF1937" s="964" t="str">
        <f t="shared" si="1385"/>
        <v/>
      </c>
      <c r="AG1937" s="964" t="str">
        <f t="shared" si="1386"/>
        <v/>
      </c>
      <c r="AH1937" s="964" t="str">
        <f t="shared" si="1387"/>
        <v/>
      </c>
      <c r="AI1937" s="964" t="str">
        <f t="shared" si="1388"/>
        <v/>
      </c>
      <c r="AJ1937" s="964"/>
      <c r="AK1937" s="964"/>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s="1396"/>
      <c r="CB1937" s="1396"/>
      <c r="CC1937"/>
      <c r="CD1937"/>
      <c r="CE1937"/>
    </row>
    <row r="1938" spans="1:83" ht="13.15" customHeight="1" outlineLevel="2" x14ac:dyDescent="0.2">
      <c r="A1938"/>
      <c r="B1938" s="1"/>
      <c r="C1938"/>
      <c r="D1938"/>
      <c r="E1938"/>
      <c r="F1938"/>
      <c r="G1938" s="1"/>
      <c r="H1938" s="1"/>
      <c r="I1938"/>
      <c r="J1938"/>
      <c r="K1938"/>
      <c r="L1938"/>
      <c r="M1938"/>
      <c r="N1938"/>
      <c r="O1938"/>
      <c r="P1938"/>
      <c r="Q1938"/>
      <c r="R1938" s="558" t="s">
        <v>3977</v>
      </c>
      <c r="S1938" s="83"/>
      <c r="T1938" s="56"/>
      <c r="U1938" s="955"/>
      <c r="V1938" s="43" t="str">
        <f t="shared" si="1389"/>
        <v>F</v>
      </c>
      <c r="W1938" s="10"/>
      <c r="X1938" s="45" t="s">
        <v>769</v>
      </c>
      <c r="Y1938" s="10"/>
      <c r="Z1938" s="46" t="str">
        <f t="shared" si="1390"/>
        <v>R</v>
      </c>
      <c r="AA1938" s="123"/>
      <c r="AB1938" s="1459">
        <f t="shared" si="1381"/>
        <v>0</v>
      </c>
      <c r="AC1938" s="1460" t="str">
        <f t="shared" si="1382"/>
        <v>-</v>
      </c>
      <c r="AD1938" s="1459">
        <f t="shared" si="1383"/>
        <v>0</v>
      </c>
      <c r="AE1938" s="964" t="str">
        <f t="shared" si="1384"/>
        <v/>
      </c>
      <c r="AF1938" s="964" t="str">
        <f t="shared" si="1385"/>
        <v/>
      </c>
      <c r="AG1938" s="964" t="str">
        <f t="shared" si="1386"/>
        <v/>
      </c>
      <c r="AH1938" s="964" t="str">
        <f t="shared" si="1387"/>
        <v/>
      </c>
      <c r="AI1938" s="964" t="str">
        <f t="shared" si="1388"/>
        <v/>
      </c>
      <c r="AJ1938" s="964"/>
      <c r="AK1938" s="964"/>
      <c r="AL1938"/>
      <c r="AM1938"/>
      <c r="AN1938"/>
      <c r="AO1938"/>
      <c r="AP1938"/>
      <c r="AQ1938"/>
      <c r="AR1938"/>
      <c r="AS1938"/>
      <c r="AT1938"/>
      <c r="AU1938"/>
      <c r="AV1938"/>
      <c r="AW1938"/>
      <c r="AX1938" s="9"/>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s="1396"/>
      <c r="CB1938" s="1396"/>
      <c r="CC1938"/>
      <c r="CD1938"/>
      <c r="CE1938"/>
    </row>
    <row r="1939" spans="1:83" ht="13.15" customHeight="1" outlineLevel="2" x14ac:dyDescent="0.2">
      <c r="A1939"/>
      <c r="B1939" s="1"/>
      <c r="C1939"/>
      <c r="D1939"/>
      <c r="E1939"/>
      <c r="F1939"/>
      <c r="G1939" s="1"/>
      <c r="H1939" s="1"/>
      <c r="I1939"/>
      <c r="J1939"/>
      <c r="K1939"/>
      <c r="L1939"/>
      <c r="M1939"/>
      <c r="N1939"/>
      <c r="O1939"/>
      <c r="P1939"/>
      <c r="Q1939"/>
      <c r="R1939" s="558" t="s">
        <v>3977</v>
      </c>
      <c r="S1939" s="83"/>
      <c r="T1939" s="56"/>
      <c r="U1939" s="955"/>
      <c r="V1939" s="43" t="str">
        <f t="shared" si="1389"/>
        <v>D</v>
      </c>
      <c r="W1939" s="10"/>
      <c r="X1939" s="45" t="s">
        <v>769</v>
      </c>
      <c r="Y1939" s="10"/>
      <c r="Z1939" s="46" t="str">
        <f t="shared" si="1390"/>
        <v>T</v>
      </c>
      <c r="AA1939" s="123"/>
      <c r="AB1939" s="1459">
        <f t="shared" si="1381"/>
        <v>0</v>
      </c>
      <c r="AC1939" s="1460" t="str">
        <f t="shared" si="1382"/>
        <v>-</v>
      </c>
      <c r="AD1939" s="1459">
        <f t="shared" si="1383"/>
        <v>0</v>
      </c>
      <c r="AE1939" s="964" t="str">
        <f t="shared" si="1384"/>
        <v/>
      </c>
      <c r="AF1939" s="964" t="str">
        <f t="shared" si="1385"/>
        <v/>
      </c>
      <c r="AG1939" s="964" t="str">
        <f t="shared" si="1386"/>
        <v/>
      </c>
      <c r="AH1939" s="964" t="str">
        <f t="shared" si="1387"/>
        <v/>
      </c>
      <c r="AI1939" s="964" t="str">
        <f t="shared" si="1388"/>
        <v/>
      </c>
      <c r="AJ1939" s="964"/>
      <c r="AK1939" s="964"/>
      <c r="AL1939"/>
      <c r="AM1939"/>
      <c r="AN1939"/>
      <c r="AO1939"/>
      <c r="AP1939"/>
      <c r="AQ1939"/>
      <c r="AR1939"/>
      <c r="AS1939"/>
      <c r="AT1939"/>
      <c r="AU1939"/>
      <c r="AV1939"/>
      <c r="AW1939" s="9"/>
      <c r="AX1939" s="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s="1396"/>
      <c r="CB1939" s="1396"/>
      <c r="CC1939"/>
      <c r="CD1939"/>
      <c r="CE1939"/>
    </row>
    <row r="1940" spans="1:83" ht="13.15" customHeight="1" outlineLevel="2" x14ac:dyDescent="0.2">
      <c r="A1940"/>
      <c r="B1940" s="1"/>
      <c r="C1940"/>
      <c r="D1940"/>
      <c r="E1940"/>
      <c r="F1940"/>
      <c r="G1940" s="1"/>
      <c r="H1940" s="1"/>
      <c r="I1940"/>
      <c r="J1940"/>
      <c r="K1940"/>
      <c r="L1940"/>
      <c r="M1940"/>
      <c r="N1940"/>
      <c r="O1940"/>
      <c r="P1940"/>
      <c r="Q1940"/>
      <c r="R1940" s="558" t="s">
        <v>3977</v>
      </c>
      <c r="S1940" s="83"/>
      <c r="T1940" s="56"/>
      <c r="U1940" s="955"/>
      <c r="V1940" s="43" t="str">
        <f t="shared" si="1389"/>
        <v>B</v>
      </c>
      <c r="W1940" s="10"/>
      <c r="X1940" s="45" t="s">
        <v>769</v>
      </c>
      <c r="Y1940" s="10"/>
      <c r="Z1940" s="46" t="str">
        <f t="shared" si="1390"/>
        <v>S</v>
      </c>
      <c r="AA1940" s="123"/>
      <c r="AB1940" s="1459">
        <f t="shared" si="1381"/>
        <v>0</v>
      </c>
      <c r="AC1940" s="1460" t="str">
        <f t="shared" si="1382"/>
        <v>-</v>
      </c>
      <c r="AD1940" s="1459">
        <f t="shared" si="1383"/>
        <v>0</v>
      </c>
      <c r="AE1940" s="964" t="str">
        <f t="shared" si="1384"/>
        <v/>
      </c>
      <c r="AF1940" s="964" t="str">
        <f t="shared" si="1385"/>
        <v/>
      </c>
      <c r="AG1940" s="964" t="str">
        <f t="shared" si="1386"/>
        <v/>
      </c>
      <c r="AH1940" s="964" t="str">
        <f t="shared" si="1387"/>
        <v/>
      </c>
      <c r="AI1940" s="964" t="str">
        <f t="shared" si="1388"/>
        <v/>
      </c>
      <c r="AJ1940" s="964"/>
      <c r="AK1940" s="964"/>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s="1396"/>
      <c r="CB1940" s="1396"/>
      <c r="CC1940"/>
      <c r="CD1940"/>
      <c r="CE1940"/>
    </row>
    <row r="1941" spans="1:83" ht="13.15" customHeight="1" outlineLevel="2" x14ac:dyDescent="0.2">
      <c r="A1941"/>
      <c r="B1941" s="1"/>
      <c r="C1941"/>
      <c r="D1941"/>
      <c r="E1941"/>
      <c r="F1941"/>
      <c r="G1941" s="1"/>
      <c r="H1941" s="1"/>
      <c r="I1941"/>
      <c r="J1941"/>
      <c r="K1941"/>
      <c r="L1941"/>
      <c r="M1941"/>
      <c r="N1941"/>
      <c r="O1941"/>
      <c r="P1941"/>
      <c r="Q1941"/>
      <c r="R1941" s="558" t="s">
        <v>3977</v>
      </c>
      <c r="S1941" s="83"/>
      <c r="T1941" s="56"/>
      <c r="U1941" s="955"/>
      <c r="V1941" s="43" t="str">
        <f t="shared" si="1389"/>
        <v>C</v>
      </c>
      <c r="W1941" s="10"/>
      <c r="X1941" s="45" t="s">
        <v>769</v>
      </c>
      <c r="Y1941" s="10"/>
      <c r="Z1941" s="46" t="str">
        <f t="shared" si="1390"/>
        <v>Q</v>
      </c>
      <c r="AA1941" s="123"/>
      <c r="AB1941" s="1459">
        <f t="shared" si="1381"/>
        <v>0</v>
      </c>
      <c r="AC1941" s="1460" t="str">
        <f t="shared" si="1382"/>
        <v>-</v>
      </c>
      <c r="AD1941" s="1459">
        <f t="shared" si="1383"/>
        <v>0</v>
      </c>
      <c r="AE1941" s="964" t="str">
        <f t="shared" si="1384"/>
        <v/>
      </c>
      <c r="AF1941" s="964" t="str">
        <f t="shared" si="1385"/>
        <v/>
      </c>
      <c r="AG1941" s="964" t="str">
        <f t="shared" si="1386"/>
        <v/>
      </c>
      <c r="AH1941" s="964" t="str">
        <f t="shared" si="1387"/>
        <v/>
      </c>
      <c r="AI1941" s="964" t="str">
        <f t="shared" si="1388"/>
        <v/>
      </c>
      <c r="AJ1941" s="964"/>
      <c r="AK1941" s="964"/>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s="1396"/>
      <c r="CB1941" s="1396"/>
      <c r="CC1941"/>
      <c r="CD1941"/>
      <c r="CE1941"/>
    </row>
    <row r="1942" spans="1:83" ht="13.15" customHeight="1" outlineLevel="2" x14ac:dyDescent="0.2">
      <c r="A1942"/>
      <c r="B1942" s="1"/>
      <c r="C1942"/>
      <c r="D1942"/>
      <c r="E1942"/>
      <c r="F1942"/>
      <c r="G1942" s="1"/>
      <c r="H1942" s="1"/>
      <c r="I1942"/>
      <c r="J1942"/>
      <c r="K1942"/>
      <c r="L1942"/>
      <c r="M1942"/>
      <c r="N1942"/>
      <c r="O1942"/>
      <c r="P1942"/>
      <c r="Q1942"/>
      <c r="R1942" s="558" t="s">
        <v>3977</v>
      </c>
      <c r="S1942" s="83"/>
      <c r="T1942" s="56"/>
      <c r="U1942" s="955"/>
      <c r="V1942" s="43" t="str">
        <f t="shared" si="1389"/>
        <v>E</v>
      </c>
      <c r="W1942" s="10"/>
      <c r="X1942" s="45" t="s">
        <v>769</v>
      </c>
      <c r="Y1942" s="10"/>
      <c r="Z1942" s="46" t="str">
        <f t="shared" si="1390"/>
        <v>O</v>
      </c>
      <c r="AA1942" s="123"/>
      <c r="AB1942" s="1459">
        <f t="shared" si="1381"/>
        <v>0</v>
      </c>
      <c r="AC1942" s="1460" t="str">
        <f t="shared" si="1382"/>
        <v>-</v>
      </c>
      <c r="AD1942" s="1459">
        <f t="shared" si="1383"/>
        <v>0</v>
      </c>
      <c r="AE1942" s="964" t="str">
        <f t="shared" si="1384"/>
        <v/>
      </c>
      <c r="AF1942" s="964" t="str">
        <f t="shared" si="1385"/>
        <v/>
      </c>
      <c r="AG1942" s="964" t="str">
        <f t="shared" si="1386"/>
        <v/>
      </c>
      <c r="AH1942" s="964" t="str">
        <f t="shared" si="1387"/>
        <v/>
      </c>
      <c r="AI1942" s="964" t="str">
        <f t="shared" si="1388"/>
        <v/>
      </c>
      <c r="AJ1942" s="964"/>
      <c r="AK1942" s="964"/>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s="1396"/>
      <c r="CB1942" s="1396"/>
      <c r="CC1942"/>
      <c r="CD1942"/>
      <c r="CE1942"/>
    </row>
    <row r="1943" spans="1:83" ht="13.15" customHeight="1" outlineLevel="2" x14ac:dyDescent="0.2">
      <c r="A1943"/>
      <c r="B1943" s="1"/>
      <c r="C1943"/>
      <c r="D1943"/>
      <c r="E1943"/>
      <c r="F1943"/>
      <c r="G1943" s="1"/>
      <c r="H1943" s="1"/>
      <c r="I1943"/>
      <c r="J1943"/>
      <c r="K1943"/>
      <c r="L1943"/>
      <c r="M1943"/>
      <c r="N1943"/>
      <c r="O1943"/>
      <c r="P1943"/>
      <c r="Q1943"/>
      <c r="R1943" s="558" t="s">
        <v>3977</v>
      </c>
      <c r="S1943" s="83"/>
      <c r="T1943" s="56"/>
      <c r="U1943" s="955"/>
      <c r="V1943" s="43" t="str">
        <f t="shared" si="1389"/>
        <v>G</v>
      </c>
      <c r="W1943" s="10"/>
      <c r="X1943" s="45" t="s">
        <v>769</v>
      </c>
      <c r="Y1943" s="10"/>
      <c r="Z1943" s="46" t="str">
        <f t="shared" si="1390"/>
        <v>M</v>
      </c>
      <c r="AA1943" s="123"/>
      <c r="AB1943" s="1459">
        <f t="shared" si="1381"/>
        <v>0</v>
      </c>
      <c r="AC1943" s="1460" t="str">
        <f t="shared" si="1382"/>
        <v>-</v>
      </c>
      <c r="AD1943" s="1459">
        <f t="shared" si="1383"/>
        <v>0</v>
      </c>
      <c r="AE1943" s="964" t="str">
        <f t="shared" si="1384"/>
        <v/>
      </c>
      <c r="AF1943" s="964" t="str">
        <f t="shared" si="1385"/>
        <v/>
      </c>
      <c r="AG1943" s="964" t="str">
        <f t="shared" si="1386"/>
        <v/>
      </c>
      <c r="AH1943" s="964" t="str">
        <f t="shared" si="1387"/>
        <v/>
      </c>
      <c r="AI1943" s="964" t="str">
        <f t="shared" si="1388"/>
        <v/>
      </c>
      <c r="AJ1943" s="964"/>
      <c r="AK1943" s="964"/>
      <c r="AL1943"/>
      <c r="AM1943"/>
      <c r="AN1943"/>
      <c r="AO1943"/>
      <c r="AP1943"/>
      <c r="AQ1943"/>
      <c r="AR1943"/>
      <c r="AS1943"/>
      <c r="AT1943"/>
      <c r="AU1943"/>
      <c r="AV1943"/>
      <c r="AW1943"/>
      <c r="AX1943" s="9"/>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s="1396"/>
      <c r="CB1943" s="1396"/>
      <c r="CC1943"/>
      <c r="CD1943"/>
      <c r="CE1943"/>
    </row>
    <row r="1944" spans="1:83" ht="13.9" customHeight="1" outlineLevel="2" thickBot="1" x14ac:dyDescent="0.25">
      <c r="A1944"/>
      <c r="B1944" s="1"/>
      <c r="C1944"/>
      <c r="D1944"/>
      <c r="E1944"/>
      <c r="F1944"/>
      <c r="G1944" s="1"/>
      <c r="H1944" s="1"/>
      <c r="I1944"/>
      <c r="J1944"/>
      <c r="K1944"/>
      <c r="L1944"/>
      <c r="M1944"/>
      <c r="N1944"/>
      <c r="O1944"/>
      <c r="P1944"/>
      <c r="Q1944"/>
      <c r="R1944" s="558" t="s">
        <v>3977</v>
      </c>
      <c r="S1944" s="956"/>
      <c r="T1944" s="58"/>
      <c r="U1944" s="957"/>
      <c r="V1944" s="958" t="str">
        <f>V1932</f>
        <v>I</v>
      </c>
      <c r="W1944" s="175"/>
      <c r="X1944" s="52" t="s">
        <v>769</v>
      </c>
      <c r="Y1944" s="175"/>
      <c r="Z1944" s="46" t="str">
        <f t="shared" si="1390"/>
        <v>K</v>
      </c>
      <c r="AA1944" s="123"/>
      <c r="AB1944" s="1459">
        <f t="shared" si="1381"/>
        <v>0</v>
      </c>
      <c r="AC1944" s="1460" t="str">
        <f t="shared" si="1382"/>
        <v>-</v>
      </c>
      <c r="AD1944" s="1459">
        <f t="shared" si="1383"/>
        <v>0</v>
      </c>
      <c r="AE1944" s="964" t="str">
        <f t="shared" si="1384"/>
        <v/>
      </c>
      <c r="AF1944" s="964" t="str">
        <f t="shared" si="1385"/>
        <v/>
      </c>
      <c r="AG1944" s="964" t="str">
        <f t="shared" si="1386"/>
        <v/>
      </c>
      <c r="AH1944" s="964" t="str">
        <f t="shared" si="1387"/>
        <v/>
      </c>
      <c r="AI1944" s="964" t="str">
        <f t="shared" si="1388"/>
        <v/>
      </c>
      <c r="AJ1944" s="964"/>
      <c r="AK1944" s="964"/>
      <c r="AL1944"/>
      <c r="AM1944"/>
      <c r="AN1944"/>
      <c r="AO1944"/>
      <c r="AP1944"/>
      <c r="AQ1944"/>
      <c r="AR1944"/>
      <c r="AS1944"/>
      <c r="AT1944"/>
      <c r="AU1944"/>
      <c r="AV1944"/>
      <c r="AW1944" s="9"/>
      <c r="AX1944" s="9"/>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s="1396"/>
      <c r="CB1944" s="1396"/>
      <c r="CC1944"/>
      <c r="CD1944"/>
      <c r="CE1944"/>
    </row>
    <row r="1945" spans="1:83" ht="13.5" outlineLevel="1" thickBot="1" x14ac:dyDescent="0.25">
      <c r="A1945"/>
      <c r="B1945" s="1"/>
      <c r="C1945" s="1"/>
      <c r="D1945" s="76"/>
      <c r="E1945" s="76"/>
      <c r="F1945" s="76"/>
      <c r="G1945" s="9"/>
      <c r="H1945" s="9"/>
      <c r="I1945" s="1"/>
      <c r="J1945"/>
      <c r="K1945"/>
      <c r="L1945"/>
      <c r="M1945"/>
      <c r="N1945"/>
      <c r="O1945"/>
      <c r="P1945" s="89"/>
      <c r="Q1945"/>
      <c r="R1945" s="1"/>
      <c r="S1945" s="993">
        <f>S1933+1</f>
        <v>16</v>
      </c>
      <c r="T1945" s="961"/>
      <c r="U1945" s="961"/>
      <c r="V1945" s="961"/>
      <c r="W1945" s="960"/>
      <c r="X1945" s="960"/>
      <c r="Y1945" s="960"/>
      <c r="Z1945" s="962"/>
      <c r="AA1945" s="123"/>
      <c r="AB1945" s="963"/>
      <c r="AC1945" s="963"/>
      <c r="AD1945" s="963"/>
      <c r="AE1945" s="964"/>
      <c r="AF1945" s="964"/>
      <c r="AG1945" s="964"/>
      <c r="AH1945" s="964"/>
      <c r="AI1945" s="964"/>
      <c r="AJ1945" s="964"/>
      <c r="AK1945" s="964"/>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s="1396"/>
      <c r="CB1945" s="1396"/>
      <c r="CC1945"/>
      <c r="CD1945"/>
      <c r="CE1945"/>
    </row>
    <row r="1946" spans="1:83" ht="13.9" customHeight="1" outlineLevel="2" thickBot="1" x14ac:dyDescent="0.25">
      <c r="A1946"/>
      <c r="B1946" s="1"/>
      <c r="C1946"/>
      <c r="D1946"/>
      <c r="E1946"/>
      <c r="F1946"/>
      <c r="G1946" s="1"/>
      <c r="H1946" s="1"/>
      <c r="I1946"/>
      <c r="J1946"/>
      <c r="K1946"/>
      <c r="L1946"/>
      <c r="M1946"/>
      <c r="N1946"/>
      <c r="O1946"/>
      <c r="P1946"/>
      <c r="Q1946"/>
      <c r="S1946" s="22" t="str">
        <f>N_Heure</f>
        <v>Heure</v>
      </c>
      <c r="T1946" s="22" t="str">
        <f>N_Table</f>
        <v>Table</v>
      </c>
      <c r="U1946" s="22" t="str">
        <f>N_Arbitre</f>
        <v>Arbitre</v>
      </c>
      <c r="V1946" s="293" t="str">
        <f>N_Matches</f>
        <v>Matches</v>
      </c>
      <c r="W1946" s="294"/>
      <c r="X1946" s="294"/>
      <c r="Y1946" s="294"/>
      <c r="Z1946" s="295"/>
      <c r="AA1946" s="8"/>
      <c r="AB1946" s="967"/>
      <c r="AC1946" s="967"/>
      <c r="AD1946" s="967"/>
      <c r="AE1946" s="964"/>
      <c r="AF1946" s="964"/>
      <c r="AG1946" s="964"/>
      <c r="AH1946" s="964"/>
      <c r="AI1946" s="964"/>
      <c r="AJ1946" s="964"/>
      <c r="AK1946" s="964"/>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s="1396"/>
      <c r="CB1946" s="1396"/>
      <c r="CC1946"/>
      <c r="CD1946"/>
      <c r="CE1946"/>
    </row>
    <row r="1947" spans="1:83" ht="13.15" customHeight="1" outlineLevel="2" x14ac:dyDescent="0.2">
      <c r="A1947"/>
      <c r="B1947" s="1"/>
      <c r="C1947"/>
      <c r="D1947"/>
      <c r="E1947"/>
      <c r="F1947"/>
      <c r="G1947" s="1"/>
      <c r="H1947" s="1"/>
      <c r="I1947"/>
      <c r="J1947"/>
      <c r="K1947"/>
      <c r="L1947"/>
      <c r="M1947"/>
      <c r="N1947"/>
      <c r="O1947"/>
      <c r="P1947"/>
      <c r="Q1947"/>
      <c r="R1947" s="558" t="s">
        <v>3978</v>
      </c>
      <c r="S1947" s="65"/>
      <c r="T1947" s="953"/>
      <c r="U1947" s="954"/>
      <c r="V1947" s="34" t="str">
        <f>V1936</f>
        <v>J</v>
      </c>
      <c r="W1947" s="148"/>
      <c r="X1947" s="35" t="s">
        <v>769</v>
      </c>
      <c r="Y1947" s="148"/>
      <c r="Z1947" s="36" t="str">
        <f>V1935</f>
        <v>A</v>
      </c>
      <c r="AA1947" s="123"/>
      <c r="AB1947" s="1459">
        <f t="shared" ref="AB1947:AB1956" si="1391">IF(MaxScore,MaxGoals(W1947,Y1947,MaxGoalsValue),IF(W1947="","",W1947))</f>
        <v>0</v>
      </c>
      <c r="AC1947" s="1460" t="str">
        <f t="shared" ref="AC1947:AC1956" si="1392">IF(MaxScore,"-",IF(W1947="","","-"))</f>
        <v>-</v>
      </c>
      <c r="AD1947" s="1459">
        <f t="shared" ref="AD1947:AD1956" si="1393">IF(MaxScore,MaxGoals(Y1947,W1947,MaxGoalsValue),IF(Y1947="","",Y1947))</f>
        <v>0</v>
      </c>
      <c r="AE1947" s="964" t="str">
        <f t="shared" ref="AE1947:AE1956" si="1394">IF(W1947="","",IF(W1947&gt;Y1947,V1947,IF(W1947=Y1947,"",Z1947)))</f>
        <v/>
      </c>
      <c r="AF1947" s="964" t="str">
        <f t="shared" ref="AF1947:AF1956" si="1395">IF(W1947="","",IF(W1947=Y1947,V1947,""))</f>
        <v/>
      </c>
      <c r="AG1947" s="964" t="str">
        <f t="shared" ref="AG1947:AG1956" si="1396">IF(W1947="","",IF(W1947=Y1947,Z1947,""))</f>
        <v/>
      </c>
      <c r="AH1947" s="964" t="str">
        <f t="shared" ref="AH1947:AH1956" si="1397">IF(W1947="","",IF(W1947&lt;Y1947,V1947,IF(W1947=Y1947,"",Z1947)))</f>
        <v/>
      </c>
      <c r="AI1947" s="964" t="str">
        <f t="shared" ref="AI1947:AI1956" si="1398">CONCATENATE(AE1947,AH1947)</f>
        <v/>
      </c>
      <c r="AJ1947" s="964"/>
      <c r="AK1947" s="964"/>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s="1396"/>
      <c r="CB1947" s="1396"/>
      <c r="CC1947"/>
      <c r="CD1947"/>
      <c r="CE1947"/>
    </row>
    <row r="1948" spans="1:83" ht="13.15" customHeight="1" outlineLevel="2" x14ac:dyDescent="0.2">
      <c r="A1948"/>
      <c r="B1948" s="1"/>
      <c r="C1948"/>
      <c r="D1948"/>
      <c r="E1948"/>
      <c r="F1948"/>
      <c r="G1948" s="1"/>
      <c r="H1948" s="1"/>
      <c r="I1948"/>
      <c r="J1948"/>
      <c r="K1948"/>
      <c r="L1948"/>
      <c r="M1948"/>
      <c r="N1948"/>
      <c r="O1948"/>
      <c r="P1948"/>
      <c r="Q1948"/>
      <c r="R1948" s="558" t="s">
        <v>3978</v>
      </c>
      <c r="S1948" s="83"/>
      <c r="T1948" s="56"/>
      <c r="U1948" s="955"/>
      <c r="V1948" s="43" t="str">
        <f t="shared" ref="V1948:V1956" si="1399">Z1935</f>
        <v>L</v>
      </c>
      <c r="W1948" s="10"/>
      <c r="X1948" s="45" t="s">
        <v>769</v>
      </c>
      <c r="Y1948" s="10"/>
      <c r="Z1948" s="46" t="str">
        <f t="shared" ref="Z1948:Z1955" si="1400">V1937</f>
        <v>H</v>
      </c>
      <c r="AA1948" s="123"/>
      <c r="AB1948" s="1459">
        <f t="shared" si="1391"/>
        <v>0</v>
      </c>
      <c r="AC1948" s="1460" t="str">
        <f t="shared" si="1392"/>
        <v>-</v>
      </c>
      <c r="AD1948" s="1459">
        <f t="shared" si="1393"/>
        <v>0</v>
      </c>
      <c r="AE1948" s="964" t="str">
        <f t="shared" si="1394"/>
        <v/>
      </c>
      <c r="AF1948" s="964" t="str">
        <f t="shared" si="1395"/>
        <v/>
      </c>
      <c r="AG1948" s="964" t="str">
        <f t="shared" si="1396"/>
        <v/>
      </c>
      <c r="AH1948" s="964" t="str">
        <f t="shared" si="1397"/>
        <v/>
      </c>
      <c r="AI1948" s="964" t="str">
        <f t="shared" si="1398"/>
        <v/>
      </c>
      <c r="AJ1948" s="964"/>
      <c r="AK1948" s="964"/>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s="1396"/>
      <c r="CB1948" s="1396"/>
      <c r="CC1948"/>
      <c r="CD1948"/>
      <c r="CE1948"/>
    </row>
    <row r="1949" spans="1:83" ht="13.15" customHeight="1" outlineLevel="2" x14ac:dyDescent="0.2">
      <c r="A1949"/>
      <c r="B1949" s="1"/>
      <c r="C1949"/>
      <c r="D1949"/>
      <c r="E1949"/>
      <c r="F1949"/>
      <c r="G1949" s="1"/>
      <c r="H1949" s="1"/>
      <c r="I1949"/>
      <c r="J1949"/>
      <c r="K1949"/>
      <c r="L1949"/>
      <c r="M1949"/>
      <c r="N1949"/>
      <c r="O1949"/>
      <c r="P1949"/>
      <c r="Q1949"/>
      <c r="R1949" s="558" t="s">
        <v>3978</v>
      </c>
      <c r="S1949" s="83"/>
      <c r="T1949" s="56"/>
      <c r="U1949" s="955"/>
      <c r="V1949" s="43" t="str">
        <f t="shared" si="1399"/>
        <v>N</v>
      </c>
      <c r="W1949" s="10"/>
      <c r="X1949" s="45" t="s">
        <v>769</v>
      </c>
      <c r="Y1949" s="10"/>
      <c r="Z1949" s="46" t="str">
        <f t="shared" si="1400"/>
        <v>F</v>
      </c>
      <c r="AA1949" s="123"/>
      <c r="AB1949" s="1459">
        <f t="shared" si="1391"/>
        <v>0</v>
      </c>
      <c r="AC1949" s="1460" t="str">
        <f t="shared" si="1392"/>
        <v>-</v>
      </c>
      <c r="AD1949" s="1459">
        <f t="shared" si="1393"/>
        <v>0</v>
      </c>
      <c r="AE1949" s="964" t="str">
        <f t="shared" si="1394"/>
        <v/>
      </c>
      <c r="AF1949" s="964" t="str">
        <f t="shared" si="1395"/>
        <v/>
      </c>
      <c r="AG1949" s="964" t="str">
        <f t="shared" si="1396"/>
        <v/>
      </c>
      <c r="AH1949" s="964" t="str">
        <f t="shared" si="1397"/>
        <v/>
      </c>
      <c r="AI1949" s="964" t="str">
        <f t="shared" si="1398"/>
        <v/>
      </c>
      <c r="AJ1949" s="964"/>
      <c r="AK1949" s="964"/>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s="1396"/>
      <c r="CB1949" s="1396"/>
      <c r="CC1949"/>
      <c r="CD1949"/>
      <c r="CE1949"/>
    </row>
    <row r="1950" spans="1:83" ht="13.15" customHeight="1" outlineLevel="2" x14ac:dyDescent="0.2">
      <c r="A1950"/>
      <c r="B1950" s="1"/>
      <c r="C1950"/>
      <c r="D1950"/>
      <c r="E1950"/>
      <c r="F1950"/>
      <c r="G1950" s="1"/>
      <c r="H1950" s="1"/>
      <c r="I1950"/>
      <c r="J1950"/>
      <c r="K1950"/>
      <c r="L1950"/>
      <c r="M1950"/>
      <c r="N1950"/>
      <c r="O1950"/>
      <c r="P1950"/>
      <c r="Q1950"/>
      <c r="R1950" s="558" t="s">
        <v>3978</v>
      </c>
      <c r="S1950" s="83"/>
      <c r="T1950" s="56"/>
      <c r="U1950" s="955"/>
      <c r="V1950" s="43" t="str">
        <f t="shared" si="1399"/>
        <v>P</v>
      </c>
      <c r="W1950" s="10"/>
      <c r="X1950" s="45" t="s">
        <v>769</v>
      </c>
      <c r="Y1950" s="10"/>
      <c r="Z1950" s="46" t="str">
        <f t="shared" si="1400"/>
        <v>D</v>
      </c>
      <c r="AA1950" s="123"/>
      <c r="AB1950" s="1459">
        <f t="shared" si="1391"/>
        <v>0</v>
      </c>
      <c r="AC1950" s="1460" t="str">
        <f t="shared" si="1392"/>
        <v>-</v>
      </c>
      <c r="AD1950" s="1459">
        <f t="shared" si="1393"/>
        <v>0</v>
      </c>
      <c r="AE1950" s="964" t="str">
        <f t="shared" si="1394"/>
        <v/>
      </c>
      <c r="AF1950" s="964" t="str">
        <f t="shared" si="1395"/>
        <v/>
      </c>
      <c r="AG1950" s="964" t="str">
        <f t="shared" si="1396"/>
        <v/>
      </c>
      <c r="AH1950" s="964" t="str">
        <f t="shared" si="1397"/>
        <v/>
      </c>
      <c r="AI1950" s="964" t="str">
        <f t="shared" si="1398"/>
        <v/>
      </c>
      <c r="AJ1950" s="964"/>
      <c r="AK1950" s="964"/>
      <c r="AL1950"/>
      <c r="AM1950"/>
      <c r="AN1950"/>
      <c r="AO1950"/>
      <c r="AP1950"/>
      <c r="AQ1950"/>
      <c r="AR1950"/>
      <c r="AS1950"/>
      <c r="AT1950"/>
      <c r="AU1950"/>
      <c r="AV1950"/>
      <c r="AW1950"/>
      <c r="AX1950" s="9"/>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s="1396"/>
      <c r="CB1950" s="1396"/>
      <c r="CC1950"/>
      <c r="CD1950"/>
      <c r="CE1950"/>
    </row>
    <row r="1951" spans="1:83" ht="13.15" customHeight="1" outlineLevel="2" x14ac:dyDescent="0.2">
      <c r="A1951"/>
      <c r="B1951" s="1"/>
      <c r="C1951"/>
      <c r="D1951"/>
      <c r="E1951"/>
      <c r="F1951"/>
      <c r="G1951" s="1"/>
      <c r="H1951" s="1"/>
      <c r="I1951"/>
      <c r="J1951"/>
      <c r="K1951"/>
      <c r="L1951"/>
      <c r="M1951"/>
      <c r="N1951"/>
      <c r="O1951"/>
      <c r="P1951"/>
      <c r="Q1951"/>
      <c r="R1951" s="558" t="s">
        <v>3978</v>
      </c>
      <c r="S1951" s="83"/>
      <c r="T1951" s="56"/>
      <c r="U1951" s="955"/>
      <c r="V1951" s="43" t="str">
        <f t="shared" si="1399"/>
        <v>R</v>
      </c>
      <c r="W1951" s="10"/>
      <c r="X1951" s="45" t="s">
        <v>769</v>
      </c>
      <c r="Y1951" s="10"/>
      <c r="Z1951" s="46" t="str">
        <f t="shared" si="1400"/>
        <v>B</v>
      </c>
      <c r="AA1951" s="123"/>
      <c r="AB1951" s="1459">
        <f t="shared" si="1391"/>
        <v>0</v>
      </c>
      <c r="AC1951" s="1460" t="str">
        <f t="shared" si="1392"/>
        <v>-</v>
      </c>
      <c r="AD1951" s="1459">
        <f t="shared" si="1393"/>
        <v>0</v>
      </c>
      <c r="AE1951" s="964" t="str">
        <f t="shared" si="1394"/>
        <v/>
      </c>
      <c r="AF1951" s="964" t="str">
        <f t="shared" si="1395"/>
        <v/>
      </c>
      <c r="AG1951" s="964" t="str">
        <f t="shared" si="1396"/>
        <v/>
      </c>
      <c r="AH1951" s="964" t="str">
        <f t="shared" si="1397"/>
        <v/>
      </c>
      <c r="AI1951" s="964" t="str">
        <f t="shared" si="1398"/>
        <v/>
      </c>
      <c r="AJ1951" s="964"/>
      <c r="AK1951" s="964"/>
      <c r="AL1951"/>
      <c r="AM1951"/>
      <c r="AN1951"/>
      <c r="AO1951"/>
      <c r="AP1951"/>
      <c r="AQ1951"/>
      <c r="AR1951"/>
      <c r="AS1951"/>
      <c r="AT1951"/>
      <c r="AU1951"/>
      <c r="AV1951"/>
      <c r="AW1951" s="9"/>
      <c r="AX1951" s="9"/>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s="1396"/>
      <c r="CB1951" s="1396"/>
      <c r="CC1951"/>
      <c r="CD1951"/>
      <c r="CE1951"/>
    </row>
    <row r="1952" spans="1:83" ht="13.15" customHeight="1" outlineLevel="2" x14ac:dyDescent="0.2">
      <c r="A1952"/>
      <c r="B1952" s="1"/>
      <c r="C1952"/>
      <c r="D1952"/>
      <c r="E1952"/>
      <c r="F1952"/>
      <c r="G1952" s="1"/>
      <c r="H1952" s="1"/>
      <c r="I1952"/>
      <c r="J1952"/>
      <c r="K1952"/>
      <c r="L1952"/>
      <c r="M1952"/>
      <c r="N1952"/>
      <c r="O1952"/>
      <c r="P1952"/>
      <c r="Q1952"/>
      <c r="R1952" s="558" t="s">
        <v>3978</v>
      </c>
      <c r="S1952" s="83"/>
      <c r="T1952" s="56"/>
      <c r="U1952" s="955"/>
      <c r="V1952" s="43" t="str">
        <f t="shared" si="1399"/>
        <v>T</v>
      </c>
      <c r="W1952" s="10"/>
      <c r="X1952" s="45" t="s">
        <v>769</v>
      </c>
      <c r="Y1952" s="10"/>
      <c r="Z1952" s="46" t="str">
        <f t="shared" si="1400"/>
        <v>C</v>
      </c>
      <c r="AA1952" s="123"/>
      <c r="AB1952" s="1459">
        <f t="shared" si="1391"/>
        <v>0</v>
      </c>
      <c r="AC1952" s="1460" t="str">
        <f t="shared" si="1392"/>
        <v>-</v>
      </c>
      <c r="AD1952" s="1459">
        <f t="shared" si="1393"/>
        <v>0</v>
      </c>
      <c r="AE1952" s="964" t="str">
        <f t="shared" si="1394"/>
        <v/>
      </c>
      <c r="AF1952" s="964" t="str">
        <f t="shared" si="1395"/>
        <v/>
      </c>
      <c r="AG1952" s="964" t="str">
        <f t="shared" si="1396"/>
        <v/>
      </c>
      <c r="AH1952" s="964" t="str">
        <f t="shared" si="1397"/>
        <v/>
      </c>
      <c r="AI1952" s="964" t="str">
        <f t="shared" si="1398"/>
        <v/>
      </c>
      <c r="AJ1952" s="964"/>
      <c r="AK1952" s="964"/>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s="1396"/>
      <c r="CB1952" s="1396"/>
      <c r="CC1952"/>
      <c r="CD1952"/>
      <c r="CE1952"/>
    </row>
    <row r="1953" spans="1:83" ht="13.15" customHeight="1" outlineLevel="2" x14ac:dyDescent="0.2">
      <c r="A1953"/>
      <c r="B1953" s="1"/>
      <c r="C1953"/>
      <c r="D1953"/>
      <c r="E1953"/>
      <c r="F1953"/>
      <c r="G1953" s="1"/>
      <c r="H1953" s="1"/>
      <c r="I1953"/>
      <c r="J1953"/>
      <c r="K1953"/>
      <c r="L1953"/>
      <c r="M1953"/>
      <c r="N1953"/>
      <c r="O1953"/>
      <c r="P1953"/>
      <c r="Q1953"/>
      <c r="R1953" s="558" t="s">
        <v>3978</v>
      </c>
      <c r="S1953" s="83"/>
      <c r="T1953" s="56"/>
      <c r="U1953" s="955"/>
      <c r="V1953" s="43" t="str">
        <f t="shared" si="1399"/>
        <v>S</v>
      </c>
      <c r="W1953" s="10"/>
      <c r="X1953" s="45" t="s">
        <v>769</v>
      </c>
      <c r="Y1953" s="10"/>
      <c r="Z1953" s="46" t="str">
        <f t="shared" si="1400"/>
        <v>E</v>
      </c>
      <c r="AA1953" s="123"/>
      <c r="AB1953" s="1459">
        <f t="shared" si="1391"/>
        <v>0</v>
      </c>
      <c r="AC1953" s="1460" t="str">
        <f t="shared" si="1392"/>
        <v>-</v>
      </c>
      <c r="AD1953" s="1459">
        <f t="shared" si="1393"/>
        <v>0</v>
      </c>
      <c r="AE1953" s="964" t="str">
        <f t="shared" si="1394"/>
        <v/>
      </c>
      <c r="AF1953" s="964" t="str">
        <f t="shared" si="1395"/>
        <v/>
      </c>
      <c r="AG1953" s="964" t="str">
        <f t="shared" si="1396"/>
        <v/>
      </c>
      <c r="AH1953" s="964" t="str">
        <f t="shared" si="1397"/>
        <v/>
      </c>
      <c r="AI1953" s="964" t="str">
        <f t="shared" si="1398"/>
        <v/>
      </c>
      <c r="AJ1953" s="964"/>
      <c r="AK1953" s="964"/>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s="1396"/>
      <c r="CB1953" s="1396"/>
      <c r="CC1953"/>
      <c r="CD1953"/>
      <c r="CE1953"/>
    </row>
    <row r="1954" spans="1:83" ht="13.15" customHeight="1" outlineLevel="2" x14ac:dyDescent="0.2">
      <c r="A1954"/>
      <c r="B1954" s="1"/>
      <c r="C1954"/>
      <c r="D1954"/>
      <c r="E1954"/>
      <c r="F1954"/>
      <c r="G1954" s="1"/>
      <c r="H1954" s="1"/>
      <c r="I1954"/>
      <c r="J1954"/>
      <c r="K1954"/>
      <c r="L1954"/>
      <c r="M1954"/>
      <c r="N1954"/>
      <c r="O1954"/>
      <c r="P1954"/>
      <c r="Q1954"/>
      <c r="R1954" s="558" t="s">
        <v>3978</v>
      </c>
      <c r="S1954" s="83"/>
      <c r="T1954" s="56"/>
      <c r="U1954" s="955"/>
      <c r="V1954" s="43" t="str">
        <f t="shared" si="1399"/>
        <v>Q</v>
      </c>
      <c r="W1954" s="10"/>
      <c r="X1954" s="45" t="s">
        <v>769</v>
      </c>
      <c r="Y1954" s="10"/>
      <c r="Z1954" s="46" t="str">
        <f t="shared" si="1400"/>
        <v>G</v>
      </c>
      <c r="AA1954" s="123"/>
      <c r="AB1954" s="1459">
        <f t="shared" si="1391"/>
        <v>0</v>
      </c>
      <c r="AC1954" s="1460" t="str">
        <f t="shared" si="1392"/>
        <v>-</v>
      </c>
      <c r="AD1954" s="1459">
        <f t="shared" si="1393"/>
        <v>0</v>
      </c>
      <c r="AE1954" s="964" t="str">
        <f t="shared" si="1394"/>
        <v/>
      </c>
      <c r="AF1954" s="964" t="str">
        <f t="shared" si="1395"/>
        <v/>
      </c>
      <c r="AG1954" s="964" t="str">
        <f t="shared" si="1396"/>
        <v/>
      </c>
      <c r="AH1954" s="964" t="str">
        <f t="shared" si="1397"/>
        <v/>
      </c>
      <c r="AI1954" s="964" t="str">
        <f t="shared" si="1398"/>
        <v/>
      </c>
      <c r="AJ1954" s="964"/>
      <c r="AK1954" s="96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s="1396"/>
      <c r="CB1954" s="1396"/>
      <c r="CC1954"/>
      <c r="CD1954"/>
      <c r="CE1954"/>
    </row>
    <row r="1955" spans="1:83" ht="13.15" customHeight="1" outlineLevel="2" x14ac:dyDescent="0.2">
      <c r="A1955"/>
      <c r="B1955" s="1"/>
      <c r="C1955"/>
      <c r="D1955"/>
      <c r="E1955"/>
      <c r="F1955"/>
      <c r="G1955" s="1"/>
      <c r="H1955" s="1"/>
      <c r="I1955"/>
      <c r="J1955"/>
      <c r="K1955"/>
      <c r="L1955"/>
      <c r="M1955"/>
      <c r="N1955"/>
      <c r="O1955"/>
      <c r="P1955"/>
      <c r="Q1955"/>
      <c r="R1955" s="558" t="s">
        <v>3978</v>
      </c>
      <c r="S1955" s="83"/>
      <c r="T1955" s="56"/>
      <c r="U1955" s="955"/>
      <c r="V1955" s="43" t="str">
        <f t="shared" si="1399"/>
        <v>O</v>
      </c>
      <c r="W1955" s="10"/>
      <c r="X1955" s="45" t="s">
        <v>769</v>
      </c>
      <c r="Y1955" s="10"/>
      <c r="Z1955" s="46" t="str">
        <f t="shared" si="1400"/>
        <v>I</v>
      </c>
      <c r="AA1955" s="123"/>
      <c r="AB1955" s="1459">
        <f t="shared" si="1391"/>
        <v>0</v>
      </c>
      <c r="AC1955" s="1460" t="str">
        <f t="shared" si="1392"/>
        <v>-</v>
      </c>
      <c r="AD1955" s="1459">
        <f t="shared" si="1393"/>
        <v>0</v>
      </c>
      <c r="AE1955" s="964" t="str">
        <f t="shared" si="1394"/>
        <v/>
      </c>
      <c r="AF1955" s="964" t="str">
        <f t="shared" si="1395"/>
        <v/>
      </c>
      <c r="AG1955" s="964" t="str">
        <f t="shared" si="1396"/>
        <v/>
      </c>
      <c r="AH1955" s="964" t="str">
        <f t="shared" si="1397"/>
        <v/>
      </c>
      <c r="AI1955" s="964" t="str">
        <f t="shared" si="1398"/>
        <v/>
      </c>
      <c r="AJ1955" s="964"/>
      <c r="AK1955" s="964"/>
      <c r="AL1955"/>
      <c r="AM1955"/>
      <c r="AN1955"/>
      <c r="AO1955"/>
      <c r="AP1955"/>
      <c r="AQ1955"/>
      <c r="AR1955"/>
      <c r="AS1955"/>
      <c r="AT1955"/>
      <c r="AU1955"/>
      <c r="AV1955"/>
      <c r="AW1955"/>
      <c r="AX1955" s="9"/>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s="1396"/>
      <c r="CB1955" s="1396"/>
      <c r="CC1955"/>
      <c r="CD1955"/>
      <c r="CE1955"/>
    </row>
    <row r="1956" spans="1:83" ht="13.9" customHeight="1" outlineLevel="2" thickBot="1" x14ac:dyDescent="0.25">
      <c r="A1956"/>
      <c r="B1956" s="1"/>
      <c r="C1956"/>
      <c r="D1956"/>
      <c r="E1956"/>
      <c r="F1956"/>
      <c r="G1956" s="1"/>
      <c r="H1956" s="1"/>
      <c r="I1956"/>
      <c r="J1956"/>
      <c r="K1956"/>
      <c r="L1956"/>
      <c r="M1956"/>
      <c r="N1956"/>
      <c r="O1956"/>
      <c r="P1956"/>
      <c r="Q1956"/>
      <c r="R1956" s="558" t="s">
        <v>3978</v>
      </c>
      <c r="S1956" s="956"/>
      <c r="T1956" s="58"/>
      <c r="U1956" s="957"/>
      <c r="V1956" s="958" t="str">
        <f t="shared" si="1399"/>
        <v>M</v>
      </c>
      <c r="W1956" s="175"/>
      <c r="X1956" s="52" t="s">
        <v>769</v>
      </c>
      <c r="Y1956" s="175"/>
      <c r="Z1956" s="959" t="str">
        <f>Z1944</f>
        <v>K</v>
      </c>
      <c r="AA1956" s="123"/>
      <c r="AB1956" s="1459">
        <f t="shared" si="1391"/>
        <v>0</v>
      </c>
      <c r="AC1956" s="1460" t="str">
        <f t="shared" si="1392"/>
        <v>-</v>
      </c>
      <c r="AD1956" s="1459">
        <f t="shared" si="1393"/>
        <v>0</v>
      </c>
      <c r="AE1956" s="964" t="str">
        <f t="shared" si="1394"/>
        <v/>
      </c>
      <c r="AF1956" s="964" t="str">
        <f t="shared" si="1395"/>
        <v/>
      </c>
      <c r="AG1956" s="964" t="str">
        <f t="shared" si="1396"/>
        <v/>
      </c>
      <c r="AH1956" s="964" t="str">
        <f t="shared" si="1397"/>
        <v/>
      </c>
      <c r="AI1956" s="964" t="str">
        <f t="shared" si="1398"/>
        <v/>
      </c>
      <c r="AJ1956" s="964"/>
      <c r="AK1956" s="964"/>
      <c r="AL1956"/>
      <c r="AM1956"/>
      <c r="AN1956"/>
      <c r="AO1956"/>
      <c r="AP1956"/>
      <c r="AQ1956"/>
      <c r="AR1956"/>
      <c r="AS1956"/>
      <c r="AT1956"/>
      <c r="AU1956"/>
      <c r="AV1956"/>
      <c r="AW1956" s="9"/>
      <c r="AX1956" s="9"/>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s="1396"/>
      <c r="CB1956" s="1396"/>
      <c r="CC1956"/>
      <c r="CD1956"/>
      <c r="CE1956"/>
    </row>
    <row r="1957" spans="1:83" ht="13.5" outlineLevel="1" thickBot="1" x14ac:dyDescent="0.25">
      <c r="A1957"/>
      <c r="B1957" s="1"/>
      <c r="C1957" s="1"/>
      <c r="D1957" s="76"/>
      <c r="E1957" s="76"/>
      <c r="F1957" s="76"/>
      <c r="G1957" s="9"/>
      <c r="H1957" s="9"/>
      <c r="I1957" s="1"/>
      <c r="J1957"/>
      <c r="K1957"/>
      <c r="L1957"/>
      <c r="M1957"/>
      <c r="N1957"/>
      <c r="O1957"/>
      <c r="P1957" s="89"/>
      <c r="Q1957"/>
      <c r="R1957" s="1"/>
      <c r="S1957" s="993">
        <f>S1945+1</f>
        <v>17</v>
      </c>
      <c r="T1957" s="961"/>
      <c r="U1957" s="961"/>
      <c r="V1957" s="961"/>
      <c r="W1957" s="960"/>
      <c r="X1957" s="960"/>
      <c r="Y1957" s="960"/>
      <c r="Z1957" s="962"/>
      <c r="AA1957" s="123"/>
      <c r="AB1957" s="963"/>
      <c r="AC1957" s="963"/>
      <c r="AD1957" s="963"/>
      <c r="AE1957" s="964"/>
      <c r="AF1957" s="964"/>
      <c r="AG1957" s="964"/>
      <c r="AH1957" s="964"/>
      <c r="AI1957" s="964"/>
      <c r="AJ1957" s="964"/>
      <c r="AK1957" s="964"/>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s="1396"/>
      <c r="CB1957" s="1396"/>
      <c r="CC1957"/>
      <c r="CD1957"/>
      <c r="CE1957"/>
    </row>
    <row r="1958" spans="1:83" ht="13.9" customHeight="1" outlineLevel="2" thickBot="1" x14ac:dyDescent="0.25">
      <c r="A1958"/>
      <c r="B1958" s="1"/>
      <c r="C1958"/>
      <c r="D1958"/>
      <c r="E1958"/>
      <c r="F1958"/>
      <c r="G1958" s="1"/>
      <c r="H1958" s="1"/>
      <c r="I1958"/>
      <c r="J1958"/>
      <c r="K1958"/>
      <c r="L1958"/>
      <c r="M1958"/>
      <c r="N1958"/>
      <c r="O1958"/>
      <c r="P1958"/>
      <c r="Q1958"/>
      <c r="S1958" s="22" t="str">
        <f>N_Heure</f>
        <v>Heure</v>
      </c>
      <c r="T1958" s="22" t="str">
        <f>N_Table</f>
        <v>Table</v>
      </c>
      <c r="U1958" s="22" t="str">
        <f>N_Arbitre</f>
        <v>Arbitre</v>
      </c>
      <c r="V1958" s="293" t="str">
        <f>N_Matches</f>
        <v>Matches</v>
      </c>
      <c r="W1958" s="294"/>
      <c r="X1958" s="294"/>
      <c r="Y1958" s="294"/>
      <c r="Z1958" s="295"/>
      <c r="AA1958" s="8"/>
      <c r="AB1958" s="967"/>
      <c r="AC1958" s="967"/>
      <c r="AD1958" s="967"/>
      <c r="AE1958" s="964"/>
      <c r="AF1958" s="964"/>
      <c r="AG1958" s="964"/>
      <c r="AH1958" s="964"/>
      <c r="AI1958" s="964"/>
      <c r="AJ1958" s="964"/>
      <c r="AK1958" s="964"/>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s="1396"/>
      <c r="CB1958" s="1396"/>
      <c r="CC1958"/>
      <c r="CD1958"/>
      <c r="CE1958"/>
    </row>
    <row r="1959" spans="1:83" ht="13.15" customHeight="1" outlineLevel="2" x14ac:dyDescent="0.2">
      <c r="A1959"/>
      <c r="B1959" s="1"/>
      <c r="C1959"/>
      <c r="D1959"/>
      <c r="E1959"/>
      <c r="F1959"/>
      <c r="G1959" s="1"/>
      <c r="H1959" s="1"/>
      <c r="I1959"/>
      <c r="J1959"/>
      <c r="K1959"/>
      <c r="L1959"/>
      <c r="M1959"/>
      <c r="N1959"/>
      <c r="O1959"/>
      <c r="P1959"/>
      <c r="Q1959"/>
      <c r="R1959" s="558" t="s">
        <v>3979</v>
      </c>
      <c r="S1959" s="65"/>
      <c r="T1959" s="953"/>
      <c r="U1959" s="954"/>
      <c r="V1959" s="34" t="str">
        <f>Z1947</f>
        <v>A</v>
      </c>
      <c r="W1959" s="148"/>
      <c r="X1959" s="35" t="s">
        <v>769</v>
      </c>
      <c r="Y1959" s="148"/>
      <c r="Z1959" s="36" t="str">
        <f>Z1948</f>
        <v>H</v>
      </c>
      <c r="AA1959" s="123"/>
      <c r="AB1959" s="1459">
        <f t="shared" ref="AB1959:AB1968" si="1401">IF(MaxScore,MaxGoals(W1959,Y1959,MaxGoalsValue),IF(W1959="","",W1959))</f>
        <v>0</v>
      </c>
      <c r="AC1959" s="1460" t="str">
        <f t="shared" ref="AC1959:AC1968" si="1402">IF(MaxScore,"-",IF(W1959="","","-"))</f>
        <v>-</v>
      </c>
      <c r="AD1959" s="1459">
        <f t="shared" ref="AD1959:AD1968" si="1403">IF(MaxScore,MaxGoals(Y1959,W1959,MaxGoalsValue),IF(Y1959="","",Y1959))</f>
        <v>0</v>
      </c>
      <c r="AE1959" s="964" t="str">
        <f t="shared" ref="AE1959:AE1968" si="1404">IF(W1959="","",IF(W1959&gt;Y1959,V1959,IF(W1959=Y1959,"",Z1959)))</f>
        <v/>
      </c>
      <c r="AF1959" s="964" t="str">
        <f t="shared" ref="AF1959:AF1968" si="1405">IF(W1959="","",IF(W1959=Y1959,V1959,""))</f>
        <v/>
      </c>
      <c r="AG1959" s="964" t="str">
        <f t="shared" ref="AG1959:AG1968" si="1406">IF(W1959="","",IF(W1959=Y1959,Z1959,""))</f>
        <v/>
      </c>
      <c r="AH1959" s="964" t="str">
        <f t="shared" ref="AH1959:AH1968" si="1407">IF(W1959="","",IF(W1959&lt;Y1959,V1959,IF(W1959=Y1959,"",Z1959)))</f>
        <v/>
      </c>
      <c r="AI1959" s="964" t="str">
        <f t="shared" ref="AI1959:AI1968" si="1408">CONCATENATE(AE1959,AH1959)</f>
        <v/>
      </c>
      <c r="AJ1959" s="964"/>
      <c r="AK1959" s="964"/>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s="1396"/>
      <c r="CB1959" s="1396"/>
      <c r="CC1959"/>
      <c r="CD1959"/>
      <c r="CE1959"/>
    </row>
    <row r="1960" spans="1:83" ht="13.15" customHeight="1" outlineLevel="2" x14ac:dyDescent="0.2">
      <c r="A1960"/>
      <c r="B1960" s="1"/>
      <c r="C1960"/>
      <c r="D1960"/>
      <c r="E1960"/>
      <c r="F1960"/>
      <c r="G1960" s="1"/>
      <c r="H1960" s="1"/>
      <c r="I1960"/>
      <c r="J1960"/>
      <c r="K1960"/>
      <c r="L1960"/>
      <c r="M1960"/>
      <c r="N1960"/>
      <c r="O1960"/>
      <c r="P1960"/>
      <c r="Q1960"/>
      <c r="R1960" s="558" t="s">
        <v>3979</v>
      </c>
      <c r="S1960" s="83"/>
      <c r="T1960" s="56"/>
      <c r="U1960" s="955"/>
      <c r="V1960" s="43" t="str">
        <f t="shared" ref="V1960:V1967" si="1409">Z1949</f>
        <v>F</v>
      </c>
      <c r="W1960" s="10"/>
      <c r="X1960" s="45" t="s">
        <v>769</v>
      </c>
      <c r="Y1960" s="10"/>
      <c r="Z1960" s="46" t="str">
        <f t="shared" ref="Z1960:Z1968" si="1410">V1947</f>
        <v>J</v>
      </c>
      <c r="AA1960" s="123"/>
      <c r="AB1960" s="1459">
        <f t="shared" si="1401"/>
        <v>0</v>
      </c>
      <c r="AC1960" s="1460" t="str">
        <f t="shared" si="1402"/>
        <v>-</v>
      </c>
      <c r="AD1960" s="1459">
        <f t="shared" si="1403"/>
        <v>0</v>
      </c>
      <c r="AE1960" s="964" t="str">
        <f t="shared" si="1404"/>
        <v/>
      </c>
      <c r="AF1960" s="964" t="str">
        <f t="shared" si="1405"/>
        <v/>
      </c>
      <c r="AG1960" s="964" t="str">
        <f t="shared" si="1406"/>
        <v/>
      </c>
      <c r="AH1960" s="964" t="str">
        <f t="shared" si="1407"/>
        <v/>
      </c>
      <c r="AI1960" s="964" t="str">
        <f t="shared" si="1408"/>
        <v/>
      </c>
      <c r="AJ1960" s="964"/>
      <c r="AK1960" s="964"/>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s="1396"/>
      <c r="CB1960" s="1396"/>
      <c r="CC1960"/>
      <c r="CD1960"/>
      <c r="CE1960"/>
    </row>
    <row r="1961" spans="1:83" ht="13.15" customHeight="1" outlineLevel="2" x14ac:dyDescent="0.2">
      <c r="A1961"/>
      <c r="B1961" s="1"/>
      <c r="C1961"/>
      <c r="D1961"/>
      <c r="E1961"/>
      <c r="F1961"/>
      <c r="G1961" s="1"/>
      <c r="H1961" s="1"/>
      <c r="I1961"/>
      <c r="J1961"/>
      <c r="K1961"/>
      <c r="L1961"/>
      <c r="M1961"/>
      <c r="N1961"/>
      <c r="O1961"/>
      <c r="P1961"/>
      <c r="Q1961"/>
      <c r="R1961" s="558" t="s">
        <v>3979</v>
      </c>
      <c r="S1961" s="83"/>
      <c r="T1961" s="56"/>
      <c r="U1961" s="955"/>
      <c r="V1961" s="43" t="str">
        <f t="shared" si="1409"/>
        <v>D</v>
      </c>
      <c r="W1961" s="10"/>
      <c r="X1961" s="45" t="s">
        <v>769</v>
      </c>
      <c r="Y1961" s="10"/>
      <c r="Z1961" s="46" t="str">
        <f t="shared" si="1410"/>
        <v>L</v>
      </c>
      <c r="AA1961" s="123"/>
      <c r="AB1961" s="1459">
        <f t="shared" si="1401"/>
        <v>0</v>
      </c>
      <c r="AC1961" s="1460" t="str">
        <f t="shared" si="1402"/>
        <v>-</v>
      </c>
      <c r="AD1961" s="1459">
        <f t="shared" si="1403"/>
        <v>0</v>
      </c>
      <c r="AE1961" s="964" t="str">
        <f t="shared" si="1404"/>
        <v/>
      </c>
      <c r="AF1961" s="964" t="str">
        <f t="shared" si="1405"/>
        <v/>
      </c>
      <c r="AG1961" s="964" t="str">
        <f t="shared" si="1406"/>
        <v/>
      </c>
      <c r="AH1961" s="964" t="str">
        <f t="shared" si="1407"/>
        <v/>
      </c>
      <c r="AI1961" s="964" t="str">
        <f t="shared" si="1408"/>
        <v/>
      </c>
      <c r="AJ1961" s="964"/>
      <c r="AK1961" s="964"/>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s="1396"/>
      <c r="CB1961" s="1396"/>
      <c r="CC1961"/>
      <c r="CD1961"/>
      <c r="CE1961"/>
    </row>
    <row r="1962" spans="1:83" ht="13.15" customHeight="1" outlineLevel="2" x14ac:dyDescent="0.2">
      <c r="A1962"/>
      <c r="B1962" s="1"/>
      <c r="C1962"/>
      <c r="D1962"/>
      <c r="E1962"/>
      <c r="F1962"/>
      <c r="G1962" s="1"/>
      <c r="H1962" s="1"/>
      <c r="I1962"/>
      <c r="J1962"/>
      <c r="K1962"/>
      <c r="L1962"/>
      <c r="M1962"/>
      <c r="N1962"/>
      <c r="O1962"/>
      <c r="P1962"/>
      <c r="Q1962"/>
      <c r="R1962" s="558" t="s">
        <v>3979</v>
      </c>
      <c r="S1962" s="83"/>
      <c r="T1962" s="56"/>
      <c r="U1962" s="955"/>
      <c r="V1962" s="43" t="str">
        <f t="shared" si="1409"/>
        <v>B</v>
      </c>
      <c r="W1962" s="10"/>
      <c r="X1962" s="45" t="s">
        <v>769</v>
      </c>
      <c r="Y1962" s="10"/>
      <c r="Z1962" s="46" t="str">
        <f t="shared" si="1410"/>
        <v>N</v>
      </c>
      <c r="AA1962" s="123"/>
      <c r="AB1962" s="1459">
        <f t="shared" si="1401"/>
        <v>0</v>
      </c>
      <c r="AC1962" s="1460" t="str">
        <f t="shared" si="1402"/>
        <v>-</v>
      </c>
      <c r="AD1962" s="1459">
        <f t="shared" si="1403"/>
        <v>0</v>
      </c>
      <c r="AE1962" s="964" t="str">
        <f t="shared" si="1404"/>
        <v/>
      </c>
      <c r="AF1962" s="964" t="str">
        <f t="shared" si="1405"/>
        <v/>
      </c>
      <c r="AG1962" s="964" t="str">
        <f t="shared" si="1406"/>
        <v/>
      </c>
      <c r="AH1962" s="964" t="str">
        <f t="shared" si="1407"/>
        <v/>
      </c>
      <c r="AI1962" s="964" t="str">
        <f t="shared" si="1408"/>
        <v/>
      </c>
      <c r="AJ1962" s="964"/>
      <c r="AK1962" s="964"/>
      <c r="AL1962"/>
      <c r="AM1962"/>
      <c r="AN1962"/>
      <c r="AO1962"/>
      <c r="AP1962"/>
      <c r="AQ1962"/>
      <c r="AR1962"/>
      <c r="AS1962"/>
      <c r="AT1962"/>
      <c r="AU1962"/>
      <c r="AV1962"/>
      <c r="AW1962"/>
      <c r="AX1962" s="9"/>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s="1396"/>
      <c r="CB1962" s="1396"/>
      <c r="CC1962"/>
      <c r="CD1962"/>
      <c r="CE1962"/>
    </row>
    <row r="1963" spans="1:83" ht="13.15" customHeight="1" outlineLevel="2" x14ac:dyDescent="0.2">
      <c r="A1963"/>
      <c r="B1963" s="1"/>
      <c r="C1963"/>
      <c r="D1963"/>
      <c r="E1963"/>
      <c r="F1963"/>
      <c r="G1963" s="1"/>
      <c r="H1963" s="1"/>
      <c r="I1963"/>
      <c r="J1963"/>
      <c r="K1963"/>
      <c r="L1963"/>
      <c r="M1963"/>
      <c r="N1963"/>
      <c r="O1963"/>
      <c r="P1963"/>
      <c r="Q1963"/>
      <c r="R1963" s="558" t="s">
        <v>3979</v>
      </c>
      <c r="S1963" s="83"/>
      <c r="T1963" s="56"/>
      <c r="U1963" s="955"/>
      <c r="V1963" s="43" t="str">
        <f t="shared" si="1409"/>
        <v>C</v>
      </c>
      <c r="W1963" s="10"/>
      <c r="X1963" s="45" t="s">
        <v>769</v>
      </c>
      <c r="Y1963" s="10"/>
      <c r="Z1963" s="46" t="str">
        <f t="shared" si="1410"/>
        <v>P</v>
      </c>
      <c r="AA1963" s="123"/>
      <c r="AB1963" s="1459">
        <f t="shared" si="1401"/>
        <v>0</v>
      </c>
      <c r="AC1963" s="1460" t="str">
        <f t="shared" si="1402"/>
        <v>-</v>
      </c>
      <c r="AD1963" s="1459">
        <f t="shared" si="1403"/>
        <v>0</v>
      </c>
      <c r="AE1963" s="964" t="str">
        <f t="shared" si="1404"/>
        <v/>
      </c>
      <c r="AF1963" s="964" t="str">
        <f t="shared" si="1405"/>
        <v/>
      </c>
      <c r="AG1963" s="964" t="str">
        <f t="shared" si="1406"/>
        <v/>
      </c>
      <c r="AH1963" s="964" t="str">
        <f t="shared" si="1407"/>
        <v/>
      </c>
      <c r="AI1963" s="964" t="str">
        <f t="shared" si="1408"/>
        <v/>
      </c>
      <c r="AJ1963" s="964"/>
      <c r="AK1963" s="964"/>
      <c r="AL1963"/>
      <c r="AM1963"/>
      <c r="AN1963"/>
      <c r="AO1963"/>
      <c r="AP1963"/>
      <c r="AQ1963"/>
      <c r="AR1963"/>
      <c r="AS1963"/>
      <c r="AT1963"/>
      <c r="AU1963"/>
      <c r="AV1963"/>
      <c r="AW1963" s="9"/>
      <c r="AX1963" s="9"/>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s="1396"/>
      <c r="CB1963" s="1396"/>
      <c r="CC1963"/>
      <c r="CD1963"/>
      <c r="CE1963"/>
    </row>
    <row r="1964" spans="1:83" ht="13.15" customHeight="1" outlineLevel="2" x14ac:dyDescent="0.2">
      <c r="A1964"/>
      <c r="B1964" s="1"/>
      <c r="C1964"/>
      <c r="D1964"/>
      <c r="E1964"/>
      <c r="F1964"/>
      <c r="G1964" s="1"/>
      <c r="H1964" s="1"/>
      <c r="I1964"/>
      <c r="J1964"/>
      <c r="K1964"/>
      <c r="L1964"/>
      <c r="M1964"/>
      <c r="N1964"/>
      <c r="O1964"/>
      <c r="P1964"/>
      <c r="Q1964"/>
      <c r="R1964" s="558" t="s">
        <v>3979</v>
      </c>
      <c r="S1964" s="83"/>
      <c r="T1964" s="56"/>
      <c r="U1964" s="955"/>
      <c r="V1964" s="43" t="str">
        <f t="shared" si="1409"/>
        <v>E</v>
      </c>
      <c r="W1964" s="10"/>
      <c r="X1964" s="45" t="s">
        <v>769</v>
      </c>
      <c r="Y1964" s="10"/>
      <c r="Z1964" s="46" t="str">
        <f t="shared" si="1410"/>
        <v>R</v>
      </c>
      <c r="AA1964" s="123"/>
      <c r="AB1964" s="1459">
        <f t="shared" si="1401"/>
        <v>0</v>
      </c>
      <c r="AC1964" s="1460" t="str">
        <f t="shared" si="1402"/>
        <v>-</v>
      </c>
      <c r="AD1964" s="1459">
        <f t="shared" si="1403"/>
        <v>0</v>
      </c>
      <c r="AE1964" s="964" t="str">
        <f t="shared" si="1404"/>
        <v/>
      </c>
      <c r="AF1964" s="964" t="str">
        <f t="shared" si="1405"/>
        <v/>
      </c>
      <c r="AG1964" s="964" t="str">
        <f t="shared" si="1406"/>
        <v/>
      </c>
      <c r="AH1964" s="964" t="str">
        <f t="shared" si="1407"/>
        <v/>
      </c>
      <c r="AI1964" s="964" t="str">
        <f t="shared" si="1408"/>
        <v/>
      </c>
      <c r="AJ1964" s="964"/>
      <c r="AK1964" s="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s="1396"/>
      <c r="CB1964" s="1396"/>
      <c r="CC1964"/>
      <c r="CD1964"/>
      <c r="CE1964"/>
    </row>
    <row r="1965" spans="1:83" ht="13.15" customHeight="1" outlineLevel="2" x14ac:dyDescent="0.2">
      <c r="A1965"/>
      <c r="B1965" s="1"/>
      <c r="C1965"/>
      <c r="D1965"/>
      <c r="E1965"/>
      <c r="F1965"/>
      <c r="G1965" s="1"/>
      <c r="H1965" s="1"/>
      <c r="I1965"/>
      <c r="J1965"/>
      <c r="K1965"/>
      <c r="L1965"/>
      <c r="M1965"/>
      <c r="N1965"/>
      <c r="O1965"/>
      <c r="P1965"/>
      <c r="Q1965"/>
      <c r="R1965" s="558" t="s">
        <v>3979</v>
      </c>
      <c r="S1965" s="83"/>
      <c r="T1965" s="56"/>
      <c r="U1965" s="955"/>
      <c r="V1965" s="43" t="str">
        <f t="shared" si="1409"/>
        <v>G</v>
      </c>
      <c r="W1965" s="10"/>
      <c r="X1965" s="45" t="s">
        <v>769</v>
      </c>
      <c r="Y1965" s="10"/>
      <c r="Z1965" s="46" t="str">
        <f t="shared" si="1410"/>
        <v>T</v>
      </c>
      <c r="AA1965" s="123"/>
      <c r="AB1965" s="1459">
        <f t="shared" si="1401"/>
        <v>0</v>
      </c>
      <c r="AC1965" s="1460" t="str">
        <f t="shared" si="1402"/>
        <v>-</v>
      </c>
      <c r="AD1965" s="1459">
        <f t="shared" si="1403"/>
        <v>0</v>
      </c>
      <c r="AE1965" s="964" t="str">
        <f t="shared" si="1404"/>
        <v/>
      </c>
      <c r="AF1965" s="964" t="str">
        <f t="shared" si="1405"/>
        <v/>
      </c>
      <c r="AG1965" s="964" t="str">
        <f t="shared" si="1406"/>
        <v/>
      </c>
      <c r="AH1965" s="964" t="str">
        <f t="shared" si="1407"/>
        <v/>
      </c>
      <c r="AI1965" s="964" t="str">
        <f t="shared" si="1408"/>
        <v/>
      </c>
      <c r="AJ1965" s="964"/>
      <c r="AK1965" s="964"/>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s="1396"/>
      <c r="CB1965" s="1396"/>
      <c r="CC1965"/>
      <c r="CD1965"/>
      <c r="CE1965"/>
    </row>
    <row r="1966" spans="1:83" ht="13.15" customHeight="1" outlineLevel="2" x14ac:dyDescent="0.2">
      <c r="A1966"/>
      <c r="B1966" s="1"/>
      <c r="C1966"/>
      <c r="D1966"/>
      <c r="E1966"/>
      <c r="F1966"/>
      <c r="G1966" s="1"/>
      <c r="H1966" s="1"/>
      <c r="I1966"/>
      <c r="J1966"/>
      <c r="K1966"/>
      <c r="L1966"/>
      <c r="M1966"/>
      <c r="N1966"/>
      <c r="O1966"/>
      <c r="P1966"/>
      <c r="Q1966"/>
      <c r="R1966" s="558" t="s">
        <v>3979</v>
      </c>
      <c r="S1966" s="83"/>
      <c r="T1966" s="56"/>
      <c r="U1966" s="955"/>
      <c r="V1966" s="43" t="str">
        <f t="shared" si="1409"/>
        <v>I</v>
      </c>
      <c r="W1966" s="10"/>
      <c r="X1966" s="45" t="s">
        <v>769</v>
      </c>
      <c r="Y1966" s="10"/>
      <c r="Z1966" s="46" t="str">
        <f t="shared" si="1410"/>
        <v>S</v>
      </c>
      <c r="AA1966" s="123"/>
      <c r="AB1966" s="1459">
        <f t="shared" si="1401"/>
        <v>0</v>
      </c>
      <c r="AC1966" s="1460" t="str">
        <f t="shared" si="1402"/>
        <v>-</v>
      </c>
      <c r="AD1966" s="1459">
        <f t="shared" si="1403"/>
        <v>0</v>
      </c>
      <c r="AE1966" s="964" t="str">
        <f t="shared" si="1404"/>
        <v/>
      </c>
      <c r="AF1966" s="964" t="str">
        <f t="shared" si="1405"/>
        <v/>
      </c>
      <c r="AG1966" s="964" t="str">
        <f t="shared" si="1406"/>
        <v/>
      </c>
      <c r="AH1966" s="964" t="str">
        <f t="shared" si="1407"/>
        <v/>
      </c>
      <c r="AI1966" s="964" t="str">
        <f t="shared" si="1408"/>
        <v/>
      </c>
      <c r="AJ1966" s="964"/>
      <c r="AK1966" s="964"/>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s="1396"/>
      <c r="CB1966" s="1396"/>
      <c r="CC1966"/>
      <c r="CD1966"/>
      <c r="CE1966"/>
    </row>
    <row r="1967" spans="1:83" ht="13.15" customHeight="1" outlineLevel="2" x14ac:dyDescent="0.2">
      <c r="A1967"/>
      <c r="B1967" s="1"/>
      <c r="C1967"/>
      <c r="D1967"/>
      <c r="E1967"/>
      <c r="F1967"/>
      <c r="G1967" s="1"/>
      <c r="H1967" s="1"/>
      <c r="I1967"/>
      <c r="J1967"/>
      <c r="K1967"/>
      <c r="L1967"/>
      <c r="M1967"/>
      <c r="N1967"/>
      <c r="O1967"/>
      <c r="P1967"/>
      <c r="Q1967"/>
      <c r="R1967" s="558" t="s">
        <v>3979</v>
      </c>
      <c r="S1967" s="83"/>
      <c r="T1967" s="56"/>
      <c r="U1967" s="955"/>
      <c r="V1967" s="43" t="str">
        <f t="shared" si="1409"/>
        <v>K</v>
      </c>
      <c r="W1967" s="10"/>
      <c r="X1967" s="45" t="s">
        <v>769</v>
      </c>
      <c r="Y1967" s="10"/>
      <c r="Z1967" s="46" t="str">
        <f t="shared" si="1410"/>
        <v>Q</v>
      </c>
      <c r="AA1967" s="123"/>
      <c r="AB1967" s="1459">
        <f t="shared" si="1401"/>
        <v>0</v>
      </c>
      <c r="AC1967" s="1460" t="str">
        <f t="shared" si="1402"/>
        <v>-</v>
      </c>
      <c r="AD1967" s="1459">
        <f t="shared" si="1403"/>
        <v>0</v>
      </c>
      <c r="AE1967" s="964" t="str">
        <f t="shared" si="1404"/>
        <v/>
      </c>
      <c r="AF1967" s="964" t="str">
        <f t="shared" si="1405"/>
        <v/>
      </c>
      <c r="AG1967" s="964" t="str">
        <f t="shared" si="1406"/>
        <v/>
      </c>
      <c r="AH1967" s="964" t="str">
        <f t="shared" si="1407"/>
        <v/>
      </c>
      <c r="AI1967" s="964" t="str">
        <f t="shared" si="1408"/>
        <v/>
      </c>
      <c r="AJ1967" s="964"/>
      <c r="AK1967" s="964"/>
      <c r="AL1967"/>
      <c r="AM1967"/>
      <c r="AN1967"/>
      <c r="AO1967"/>
      <c r="AP1967"/>
      <c r="AQ1967"/>
      <c r="AR1967"/>
      <c r="AS1967"/>
      <c r="AT1967"/>
      <c r="AU1967"/>
      <c r="AV1967"/>
      <c r="AW1967"/>
      <c r="AX1967" s="9"/>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s="1396"/>
      <c r="CB1967" s="1396"/>
      <c r="CC1967"/>
      <c r="CD1967"/>
      <c r="CE1967"/>
    </row>
    <row r="1968" spans="1:83" ht="13.9" customHeight="1" outlineLevel="2" thickBot="1" x14ac:dyDescent="0.25">
      <c r="A1968"/>
      <c r="B1968" s="1"/>
      <c r="C1968"/>
      <c r="D1968"/>
      <c r="E1968"/>
      <c r="F1968"/>
      <c r="G1968" s="1"/>
      <c r="H1968" s="1"/>
      <c r="I1968"/>
      <c r="J1968"/>
      <c r="K1968"/>
      <c r="L1968"/>
      <c r="M1968"/>
      <c r="N1968"/>
      <c r="O1968"/>
      <c r="P1968"/>
      <c r="Q1968"/>
      <c r="R1968" s="558" t="s">
        <v>3979</v>
      </c>
      <c r="S1968" s="956"/>
      <c r="T1968" s="58"/>
      <c r="U1968" s="957"/>
      <c r="V1968" s="958" t="str">
        <f>V1956</f>
        <v>M</v>
      </c>
      <c r="W1968" s="175"/>
      <c r="X1968" s="52" t="s">
        <v>769</v>
      </c>
      <c r="Y1968" s="175"/>
      <c r="Z1968" s="46" t="str">
        <f t="shared" si="1410"/>
        <v>O</v>
      </c>
      <c r="AA1968" s="123"/>
      <c r="AB1968" s="1459">
        <f t="shared" si="1401"/>
        <v>0</v>
      </c>
      <c r="AC1968" s="1460" t="str">
        <f t="shared" si="1402"/>
        <v>-</v>
      </c>
      <c r="AD1968" s="1459">
        <f t="shared" si="1403"/>
        <v>0</v>
      </c>
      <c r="AE1968" s="964" t="str">
        <f t="shared" si="1404"/>
        <v/>
      </c>
      <c r="AF1968" s="964" t="str">
        <f t="shared" si="1405"/>
        <v/>
      </c>
      <c r="AG1968" s="964" t="str">
        <f t="shared" si="1406"/>
        <v/>
      </c>
      <c r="AH1968" s="964" t="str">
        <f t="shared" si="1407"/>
        <v/>
      </c>
      <c r="AI1968" s="964" t="str">
        <f t="shared" si="1408"/>
        <v/>
      </c>
      <c r="AJ1968" s="964"/>
      <c r="AK1968" s="964"/>
      <c r="AL1968"/>
      <c r="AM1968"/>
      <c r="AN1968"/>
      <c r="AO1968"/>
      <c r="AP1968"/>
      <c r="AQ1968"/>
      <c r="AR1968"/>
      <c r="AS1968"/>
      <c r="AT1968"/>
      <c r="AU1968"/>
      <c r="AV1968"/>
      <c r="AW1968" s="9"/>
      <c r="AX1968" s="9"/>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s="1396"/>
      <c r="CB1968" s="1396"/>
      <c r="CC1968"/>
      <c r="CD1968"/>
      <c r="CE1968"/>
    </row>
    <row r="1969" spans="1:83" ht="13.5" outlineLevel="1" thickBot="1" x14ac:dyDescent="0.25">
      <c r="A1969"/>
      <c r="B1969" s="1"/>
      <c r="C1969" s="1"/>
      <c r="D1969" s="76"/>
      <c r="E1969" s="76"/>
      <c r="F1969" s="76"/>
      <c r="G1969" s="9"/>
      <c r="H1969" s="9"/>
      <c r="I1969" s="1"/>
      <c r="J1969"/>
      <c r="K1969"/>
      <c r="L1969"/>
      <c r="M1969"/>
      <c r="N1969"/>
      <c r="O1969"/>
      <c r="P1969" s="89"/>
      <c r="Q1969"/>
      <c r="R1969" s="1"/>
      <c r="S1969" s="993">
        <f>S1957+1</f>
        <v>18</v>
      </c>
      <c r="T1969" s="961"/>
      <c r="U1969" s="961"/>
      <c r="V1969" s="961"/>
      <c r="W1969" s="960"/>
      <c r="X1969" s="960"/>
      <c r="Y1969" s="960"/>
      <c r="Z1969" s="962"/>
      <c r="AA1969" s="123"/>
      <c r="AB1969" s="963"/>
      <c r="AC1969" s="963"/>
      <c r="AD1969" s="963"/>
      <c r="AE1969" s="964"/>
      <c r="AF1969" s="964"/>
      <c r="AG1969" s="964"/>
      <c r="AH1969" s="964"/>
      <c r="AI1969" s="964"/>
      <c r="AJ1969" s="964"/>
      <c r="AK1969" s="964"/>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s="1396"/>
      <c r="CB1969" s="1396"/>
      <c r="CC1969"/>
      <c r="CD1969"/>
      <c r="CE1969"/>
    </row>
    <row r="1970" spans="1:83" ht="13.9" customHeight="1" outlineLevel="2" thickBot="1" x14ac:dyDescent="0.25">
      <c r="A1970"/>
      <c r="B1970" s="1"/>
      <c r="C1970"/>
      <c r="D1970"/>
      <c r="E1970"/>
      <c r="F1970"/>
      <c r="G1970" s="1"/>
      <c r="H1970" s="1"/>
      <c r="I1970"/>
      <c r="J1970"/>
      <c r="K1970"/>
      <c r="L1970"/>
      <c r="M1970"/>
      <c r="N1970"/>
      <c r="O1970"/>
      <c r="P1970"/>
      <c r="Q1970"/>
      <c r="S1970" s="22" t="str">
        <f>N_Heure</f>
        <v>Heure</v>
      </c>
      <c r="T1970" s="22" t="str">
        <f>N_Table</f>
        <v>Table</v>
      </c>
      <c r="U1970" s="22" t="str">
        <f>N_Arbitre</f>
        <v>Arbitre</v>
      </c>
      <c r="V1970" s="293" t="str">
        <f>N_Matches</f>
        <v>Matches</v>
      </c>
      <c r="W1970" s="294"/>
      <c r="X1970" s="294"/>
      <c r="Y1970" s="294"/>
      <c r="Z1970" s="295"/>
      <c r="AA1970" s="8"/>
      <c r="AB1970" s="967"/>
      <c r="AC1970" s="967"/>
      <c r="AD1970" s="967"/>
      <c r="AE1970" s="964"/>
      <c r="AF1970" s="964"/>
      <c r="AG1970" s="964"/>
      <c r="AH1970" s="964"/>
      <c r="AI1970" s="964"/>
      <c r="AJ1970" s="964"/>
      <c r="AK1970" s="964"/>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s="1396"/>
      <c r="CB1970" s="1396"/>
      <c r="CC1970"/>
      <c r="CD1970"/>
      <c r="CE1970"/>
    </row>
    <row r="1971" spans="1:83" ht="13.15" customHeight="1" outlineLevel="2" x14ac:dyDescent="0.2">
      <c r="A1971"/>
      <c r="B1971" s="1"/>
      <c r="C1971"/>
      <c r="D1971"/>
      <c r="E1971"/>
      <c r="F1971"/>
      <c r="G1971" s="1"/>
      <c r="H1971" s="1"/>
      <c r="I1971"/>
      <c r="J1971"/>
      <c r="K1971"/>
      <c r="L1971"/>
      <c r="M1971"/>
      <c r="N1971"/>
      <c r="O1971"/>
      <c r="P1971"/>
      <c r="Q1971"/>
      <c r="R1971" s="558" t="s">
        <v>3980</v>
      </c>
      <c r="S1971" s="65"/>
      <c r="T1971" s="953"/>
      <c r="U1971" s="954"/>
      <c r="V1971" s="34" t="str">
        <f>V1960</f>
        <v>F</v>
      </c>
      <c r="W1971" s="148"/>
      <c r="X1971" s="35" t="s">
        <v>769</v>
      </c>
      <c r="Y1971" s="148"/>
      <c r="Z1971" s="36" t="str">
        <f>V1959</f>
        <v>A</v>
      </c>
      <c r="AA1971" s="123"/>
      <c r="AB1971" s="1459">
        <f t="shared" ref="AB1971:AB1980" si="1411">IF(MaxScore,MaxGoals(W1971,Y1971,MaxGoalsValue),IF(W1971="","",W1971))</f>
        <v>0</v>
      </c>
      <c r="AC1971" s="1460" t="str">
        <f t="shared" ref="AC1971:AC1980" si="1412">IF(MaxScore,"-",IF(W1971="","","-"))</f>
        <v>-</v>
      </c>
      <c r="AD1971" s="1459">
        <f t="shared" ref="AD1971:AD1980" si="1413">IF(MaxScore,MaxGoals(Y1971,W1971,MaxGoalsValue),IF(Y1971="","",Y1971))</f>
        <v>0</v>
      </c>
      <c r="AE1971" s="964" t="str">
        <f t="shared" ref="AE1971:AE1980" si="1414">IF(W1971="","",IF(W1971&gt;Y1971,V1971,IF(W1971=Y1971,"",Z1971)))</f>
        <v/>
      </c>
      <c r="AF1971" s="964" t="str">
        <f t="shared" ref="AF1971:AF1980" si="1415">IF(W1971="","",IF(W1971=Y1971,V1971,""))</f>
        <v/>
      </c>
      <c r="AG1971" s="964" t="str">
        <f t="shared" ref="AG1971:AG1980" si="1416">IF(W1971="","",IF(W1971=Y1971,Z1971,""))</f>
        <v/>
      </c>
      <c r="AH1971" s="964" t="str">
        <f t="shared" ref="AH1971:AH1980" si="1417">IF(W1971="","",IF(W1971&lt;Y1971,V1971,IF(W1971=Y1971,"",Z1971)))</f>
        <v/>
      </c>
      <c r="AI1971" s="964" t="str">
        <f t="shared" ref="AI1971:AI1980" si="1418">CONCATENATE(AE1971,AH1971)</f>
        <v/>
      </c>
      <c r="AJ1971" s="964"/>
      <c r="AK1971" s="964"/>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s="1396"/>
      <c r="CB1971" s="1396"/>
      <c r="CC1971"/>
      <c r="CD1971"/>
      <c r="CE1971"/>
    </row>
    <row r="1972" spans="1:83" ht="13.15" customHeight="1" outlineLevel="2" x14ac:dyDescent="0.2">
      <c r="A1972"/>
      <c r="B1972" s="1"/>
      <c r="C1972"/>
      <c r="D1972"/>
      <c r="E1972"/>
      <c r="F1972"/>
      <c r="G1972" s="1"/>
      <c r="H1972" s="1"/>
      <c r="I1972"/>
      <c r="J1972"/>
      <c r="K1972"/>
      <c r="L1972"/>
      <c r="M1972"/>
      <c r="N1972"/>
      <c r="O1972"/>
      <c r="P1972"/>
      <c r="Q1972"/>
      <c r="R1972" s="558" t="s">
        <v>3980</v>
      </c>
      <c r="S1972" s="83"/>
      <c r="T1972" s="56"/>
      <c r="U1972" s="955"/>
      <c r="V1972" s="43" t="str">
        <f t="shared" ref="V1972:V1980" si="1419">Z1959</f>
        <v>H</v>
      </c>
      <c r="W1972" s="10"/>
      <c r="X1972" s="45" t="s">
        <v>769</v>
      </c>
      <c r="Y1972" s="10"/>
      <c r="Z1972" s="46" t="str">
        <f t="shared" ref="Z1972:Z1979" si="1420">V1961</f>
        <v>D</v>
      </c>
      <c r="AA1972" s="123"/>
      <c r="AB1972" s="1459">
        <f t="shared" si="1411"/>
        <v>0</v>
      </c>
      <c r="AC1972" s="1460" t="str">
        <f t="shared" si="1412"/>
        <v>-</v>
      </c>
      <c r="AD1972" s="1459">
        <f t="shared" si="1413"/>
        <v>0</v>
      </c>
      <c r="AE1972" s="964" t="str">
        <f t="shared" si="1414"/>
        <v/>
      </c>
      <c r="AF1972" s="964" t="str">
        <f t="shared" si="1415"/>
        <v/>
      </c>
      <c r="AG1972" s="964" t="str">
        <f t="shared" si="1416"/>
        <v/>
      </c>
      <c r="AH1972" s="964" t="str">
        <f t="shared" si="1417"/>
        <v/>
      </c>
      <c r="AI1972" s="964" t="str">
        <f t="shared" si="1418"/>
        <v/>
      </c>
      <c r="AJ1972" s="964"/>
      <c r="AK1972" s="964"/>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s="1396"/>
      <c r="CB1972" s="1396"/>
      <c r="CC1972"/>
      <c r="CD1972"/>
      <c r="CE1972"/>
    </row>
    <row r="1973" spans="1:83" ht="13.15" customHeight="1" outlineLevel="2" x14ac:dyDescent="0.2">
      <c r="A1973"/>
      <c r="B1973" s="1"/>
      <c r="C1973"/>
      <c r="D1973"/>
      <c r="E1973"/>
      <c r="F1973"/>
      <c r="G1973" s="1"/>
      <c r="H1973" s="1"/>
      <c r="I1973"/>
      <c r="J1973"/>
      <c r="K1973"/>
      <c r="L1973"/>
      <c r="M1973"/>
      <c r="N1973"/>
      <c r="O1973"/>
      <c r="P1973"/>
      <c r="Q1973"/>
      <c r="R1973" s="558" t="s">
        <v>3980</v>
      </c>
      <c r="S1973" s="83"/>
      <c r="T1973" s="56"/>
      <c r="U1973" s="955"/>
      <c r="V1973" s="43" t="str">
        <f t="shared" si="1419"/>
        <v>J</v>
      </c>
      <c r="W1973" s="10"/>
      <c r="X1973" s="45" t="s">
        <v>769</v>
      </c>
      <c r="Y1973" s="10"/>
      <c r="Z1973" s="46" t="str">
        <f t="shared" si="1420"/>
        <v>B</v>
      </c>
      <c r="AA1973" s="123"/>
      <c r="AB1973" s="1459">
        <f t="shared" si="1411"/>
        <v>0</v>
      </c>
      <c r="AC1973" s="1460" t="str">
        <f t="shared" si="1412"/>
        <v>-</v>
      </c>
      <c r="AD1973" s="1459">
        <f t="shared" si="1413"/>
        <v>0</v>
      </c>
      <c r="AE1973" s="964" t="str">
        <f t="shared" si="1414"/>
        <v/>
      </c>
      <c r="AF1973" s="964" t="str">
        <f t="shared" si="1415"/>
        <v/>
      </c>
      <c r="AG1973" s="964" t="str">
        <f t="shared" si="1416"/>
        <v/>
      </c>
      <c r="AH1973" s="964" t="str">
        <f t="shared" si="1417"/>
        <v/>
      </c>
      <c r="AI1973" s="964" t="str">
        <f t="shared" si="1418"/>
        <v/>
      </c>
      <c r="AJ1973" s="964"/>
      <c r="AK1973" s="964"/>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s="1396"/>
      <c r="CB1973" s="1396"/>
      <c r="CC1973"/>
      <c r="CD1973"/>
      <c r="CE1973"/>
    </row>
    <row r="1974" spans="1:83" ht="13.15" customHeight="1" outlineLevel="2" x14ac:dyDescent="0.2">
      <c r="A1974"/>
      <c r="B1974" s="1"/>
      <c r="C1974"/>
      <c r="D1974"/>
      <c r="E1974"/>
      <c r="F1974"/>
      <c r="G1974" s="1"/>
      <c r="H1974" s="1"/>
      <c r="I1974"/>
      <c r="J1974"/>
      <c r="K1974"/>
      <c r="L1974"/>
      <c r="M1974"/>
      <c r="N1974"/>
      <c r="O1974"/>
      <c r="P1974"/>
      <c r="Q1974"/>
      <c r="R1974" s="558" t="s">
        <v>3980</v>
      </c>
      <c r="S1974" s="83"/>
      <c r="T1974" s="56"/>
      <c r="U1974" s="955"/>
      <c r="V1974" s="43" t="str">
        <f t="shared" si="1419"/>
        <v>L</v>
      </c>
      <c r="W1974" s="10"/>
      <c r="X1974" s="45" t="s">
        <v>769</v>
      </c>
      <c r="Y1974" s="10"/>
      <c r="Z1974" s="46" t="str">
        <f t="shared" si="1420"/>
        <v>C</v>
      </c>
      <c r="AA1974" s="123"/>
      <c r="AB1974" s="1459">
        <f t="shared" si="1411"/>
        <v>0</v>
      </c>
      <c r="AC1974" s="1460" t="str">
        <f t="shared" si="1412"/>
        <v>-</v>
      </c>
      <c r="AD1974" s="1459">
        <f t="shared" si="1413"/>
        <v>0</v>
      </c>
      <c r="AE1974" s="964" t="str">
        <f t="shared" si="1414"/>
        <v/>
      </c>
      <c r="AF1974" s="964" t="str">
        <f t="shared" si="1415"/>
        <v/>
      </c>
      <c r="AG1974" s="964" t="str">
        <f t="shared" si="1416"/>
        <v/>
      </c>
      <c r="AH1974" s="964" t="str">
        <f t="shared" si="1417"/>
        <v/>
      </c>
      <c r="AI1974" s="964" t="str">
        <f t="shared" si="1418"/>
        <v/>
      </c>
      <c r="AJ1974" s="964"/>
      <c r="AK1974" s="964"/>
      <c r="AL1974"/>
      <c r="AM1974"/>
      <c r="AN1974"/>
      <c r="AO1974"/>
      <c r="AP1974"/>
      <c r="AQ1974"/>
      <c r="AR1974"/>
      <c r="AS1974"/>
      <c r="AT1974"/>
      <c r="AU1974"/>
      <c r="AV1974"/>
      <c r="AW1974"/>
      <c r="AX1974" s="9"/>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s="1396"/>
      <c r="CB1974" s="1396"/>
      <c r="CC1974"/>
      <c r="CD1974"/>
      <c r="CE1974"/>
    </row>
    <row r="1975" spans="1:83" ht="13.15" customHeight="1" outlineLevel="2" x14ac:dyDescent="0.2">
      <c r="A1975"/>
      <c r="B1975" s="1"/>
      <c r="C1975"/>
      <c r="D1975"/>
      <c r="E1975"/>
      <c r="F1975"/>
      <c r="G1975" s="1"/>
      <c r="H1975" s="1"/>
      <c r="I1975"/>
      <c r="J1975"/>
      <c r="K1975"/>
      <c r="L1975"/>
      <c r="M1975"/>
      <c r="N1975"/>
      <c r="O1975"/>
      <c r="P1975"/>
      <c r="Q1975"/>
      <c r="R1975" s="558" t="s">
        <v>3980</v>
      </c>
      <c r="S1975" s="83"/>
      <c r="T1975" s="56"/>
      <c r="U1975" s="955"/>
      <c r="V1975" s="43" t="str">
        <f t="shared" si="1419"/>
        <v>N</v>
      </c>
      <c r="W1975" s="10"/>
      <c r="X1975" s="45" t="s">
        <v>769</v>
      </c>
      <c r="Y1975" s="10"/>
      <c r="Z1975" s="46" t="str">
        <f t="shared" si="1420"/>
        <v>E</v>
      </c>
      <c r="AA1975" s="123"/>
      <c r="AB1975" s="1459">
        <f t="shared" si="1411"/>
        <v>0</v>
      </c>
      <c r="AC1975" s="1460" t="str">
        <f t="shared" si="1412"/>
        <v>-</v>
      </c>
      <c r="AD1975" s="1459">
        <f t="shared" si="1413"/>
        <v>0</v>
      </c>
      <c r="AE1975" s="964" t="str">
        <f t="shared" si="1414"/>
        <v/>
      </c>
      <c r="AF1975" s="964" t="str">
        <f t="shared" si="1415"/>
        <v/>
      </c>
      <c r="AG1975" s="964" t="str">
        <f t="shared" si="1416"/>
        <v/>
      </c>
      <c r="AH1975" s="964" t="str">
        <f t="shared" si="1417"/>
        <v/>
      </c>
      <c r="AI1975" s="964" t="str">
        <f t="shared" si="1418"/>
        <v/>
      </c>
      <c r="AJ1975" s="964"/>
      <c r="AK1975" s="964"/>
      <c r="AL1975"/>
      <c r="AM1975"/>
      <c r="AN1975"/>
      <c r="AO1975"/>
      <c r="AP1975"/>
      <c r="AQ1975"/>
      <c r="AR1975"/>
      <c r="AS1975"/>
      <c r="AT1975"/>
      <c r="AU1975"/>
      <c r="AV1975"/>
      <c r="AW1975" s="9"/>
      <c r="AX1975" s="9"/>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s="1396"/>
      <c r="CB1975" s="1396"/>
      <c r="CC1975"/>
      <c r="CD1975"/>
      <c r="CE1975"/>
    </row>
    <row r="1976" spans="1:83" ht="13.15" customHeight="1" outlineLevel="2" x14ac:dyDescent="0.2">
      <c r="A1976"/>
      <c r="B1976" s="1"/>
      <c r="C1976"/>
      <c r="D1976"/>
      <c r="E1976"/>
      <c r="F1976"/>
      <c r="G1976" s="1"/>
      <c r="H1976" s="1"/>
      <c r="I1976"/>
      <c r="J1976"/>
      <c r="K1976"/>
      <c r="L1976"/>
      <c r="M1976"/>
      <c r="N1976"/>
      <c r="O1976"/>
      <c r="P1976"/>
      <c r="Q1976"/>
      <c r="R1976" s="558" t="s">
        <v>3980</v>
      </c>
      <c r="S1976" s="83"/>
      <c r="T1976" s="56"/>
      <c r="U1976" s="955"/>
      <c r="V1976" s="43" t="str">
        <f t="shared" si="1419"/>
        <v>P</v>
      </c>
      <c r="W1976" s="10"/>
      <c r="X1976" s="45" t="s">
        <v>769</v>
      </c>
      <c r="Y1976" s="10"/>
      <c r="Z1976" s="46" t="str">
        <f t="shared" si="1420"/>
        <v>G</v>
      </c>
      <c r="AA1976" s="123"/>
      <c r="AB1976" s="1459">
        <f t="shared" si="1411"/>
        <v>0</v>
      </c>
      <c r="AC1976" s="1460" t="str">
        <f t="shared" si="1412"/>
        <v>-</v>
      </c>
      <c r="AD1976" s="1459">
        <f t="shared" si="1413"/>
        <v>0</v>
      </c>
      <c r="AE1976" s="964" t="str">
        <f t="shared" si="1414"/>
        <v/>
      </c>
      <c r="AF1976" s="964" t="str">
        <f t="shared" si="1415"/>
        <v/>
      </c>
      <c r="AG1976" s="964" t="str">
        <f t="shared" si="1416"/>
        <v/>
      </c>
      <c r="AH1976" s="964" t="str">
        <f t="shared" si="1417"/>
        <v/>
      </c>
      <c r="AI1976" s="964" t="str">
        <f t="shared" si="1418"/>
        <v/>
      </c>
      <c r="AJ1976" s="964"/>
      <c r="AK1976" s="964"/>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s="1396"/>
      <c r="CB1976" s="1396"/>
      <c r="CC1976"/>
      <c r="CD1976"/>
      <c r="CE1976"/>
    </row>
    <row r="1977" spans="1:83" ht="13.15" customHeight="1" outlineLevel="2" x14ac:dyDescent="0.2">
      <c r="A1977"/>
      <c r="B1977" s="1"/>
      <c r="C1977"/>
      <c r="D1977"/>
      <c r="E1977"/>
      <c r="F1977"/>
      <c r="G1977" s="1"/>
      <c r="H1977" s="1"/>
      <c r="I1977"/>
      <c r="J1977"/>
      <c r="K1977"/>
      <c r="L1977"/>
      <c r="M1977"/>
      <c r="N1977"/>
      <c r="O1977"/>
      <c r="P1977"/>
      <c r="Q1977"/>
      <c r="R1977" s="558" t="s">
        <v>3980</v>
      </c>
      <c r="S1977" s="83"/>
      <c r="T1977" s="56"/>
      <c r="U1977" s="955"/>
      <c r="V1977" s="43" t="str">
        <f t="shared" si="1419"/>
        <v>R</v>
      </c>
      <c r="W1977" s="10"/>
      <c r="X1977" s="45" t="s">
        <v>769</v>
      </c>
      <c r="Y1977" s="10"/>
      <c r="Z1977" s="46" t="str">
        <f t="shared" si="1420"/>
        <v>I</v>
      </c>
      <c r="AA1977" s="123"/>
      <c r="AB1977" s="1459">
        <f t="shared" si="1411"/>
        <v>0</v>
      </c>
      <c r="AC1977" s="1460" t="str">
        <f t="shared" si="1412"/>
        <v>-</v>
      </c>
      <c r="AD1977" s="1459">
        <f t="shared" si="1413"/>
        <v>0</v>
      </c>
      <c r="AE1977" s="964" t="str">
        <f t="shared" si="1414"/>
        <v/>
      </c>
      <c r="AF1977" s="964" t="str">
        <f t="shared" si="1415"/>
        <v/>
      </c>
      <c r="AG1977" s="964" t="str">
        <f t="shared" si="1416"/>
        <v/>
      </c>
      <c r="AH1977" s="964" t="str">
        <f t="shared" si="1417"/>
        <v/>
      </c>
      <c r="AI1977" s="964" t="str">
        <f t="shared" si="1418"/>
        <v/>
      </c>
      <c r="AJ1977" s="964"/>
      <c r="AK1977" s="964"/>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s="1396"/>
      <c r="CB1977" s="1396"/>
      <c r="CC1977"/>
      <c r="CD1977"/>
      <c r="CE1977"/>
    </row>
    <row r="1978" spans="1:83" ht="13.15" customHeight="1" outlineLevel="2" x14ac:dyDescent="0.2">
      <c r="A1978"/>
      <c r="B1978" s="1"/>
      <c r="C1978"/>
      <c r="D1978"/>
      <c r="E1978"/>
      <c r="F1978"/>
      <c r="G1978" s="1"/>
      <c r="H1978" s="1"/>
      <c r="I1978"/>
      <c r="J1978"/>
      <c r="K1978"/>
      <c r="L1978"/>
      <c r="M1978"/>
      <c r="N1978"/>
      <c r="O1978"/>
      <c r="P1978"/>
      <c r="Q1978"/>
      <c r="R1978" s="558" t="s">
        <v>3980</v>
      </c>
      <c r="S1978" s="83"/>
      <c r="T1978" s="56"/>
      <c r="U1978" s="955"/>
      <c r="V1978" s="43" t="str">
        <f t="shared" si="1419"/>
        <v>T</v>
      </c>
      <c r="W1978" s="10"/>
      <c r="X1978" s="45" t="s">
        <v>769</v>
      </c>
      <c r="Y1978" s="10"/>
      <c r="Z1978" s="46" t="str">
        <f t="shared" si="1420"/>
        <v>K</v>
      </c>
      <c r="AA1978" s="123"/>
      <c r="AB1978" s="1459">
        <f t="shared" si="1411"/>
        <v>0</v>
      </c>
      <c r="AC1978" s="1460" t="str">
        <f t="shared" si="1412"/>
        <v>-</v>
      </c>
      <c r="AD1978" s="1459">
        <f t="shared" si="1413"/>
        <v>0</v>
      </c>
      <c r="AE1978" s="964" t="str">
        <f t="shared" si="1414"/>
        <v/>
      </c>
      <c r="AF1978" s="964" t="str">
        <f t="shared" si="1415"/>
        <v/>
      </c>
      <c r="AG1978" s="964" t="str">
        <f t="shared" si="1416"/>
        <v/>
      </c>
      <c r="AH1978" s="964" t="str">
        <f t="shared" si="1417"/>
        <v/>
      </c>
      <c r="AI1978" s="964" t="str">
        <f t="shared" si="1418"/>
        <v/>
      </c>
      <c r="AJ1978" s="964"/>
      <c r="AK1978" s="964"/>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s="1396"/>
      <c r="CB1978" s="1396"/>
      <c r="CC1978"/>
      <c r="CD1978"/>
      <c r="CE1978"/>
    </row>
    <row r="1979" spans="1:83" ht="13.15" customHeight="1" outlineLevel="2" x14ac:dyDescent="0.2">
      <c r="A1979"/>
      <c r="B1979" s="1"/>
      <c r="C1979"/>
      <c r="D1979"/>
      <c r="E1979"/>
      <c r="F1979"/>
      <c r="G1979" s="1"/>
      <c r="H1979" s="1"/>
      <c r="I1979"/>
      <c r="J1979"/>
      <c r="K1979"/>
      <c r="L1979"/>
      <c r="M1979"/>
      <c r="N1979"/>
      <c r="O1979"/>
      <c r="P1979"/>
      <c r="Q1979"/>
      <c r="R1979" s="558" t="s">
        <v>3980</v>
      </c>
      <c r="S1979" s="83"/>
      <c r="T1979" s="56"/>
      <c r="U1979" s="955"/>
      <c r="V1979" s="43" t="str">
        <f t="shared" si="1419"/>
        <v>S</v>
      </c>
      <c r="W1979" s="10"/>
      <c r="X1979" s="45" t="s">
        <v>769</v>
      </c>
      <c r="Y1979" s="10"/>
      <c r="Z1979" s="46" t="str">
        <f t="shared" si="1420"/>
        <v>M</v>
      </c>
      <c r="AA1979" s="123"/>
      <c r="AB1979" s="1459">
        <f t="shared" si="1411"/>
        <v>0</v>
      </c>
      <c r="AC1979" s="1460" t="str">
        <f t="shared" si="1412"/>
        <v>-</v>
      </c>
      <c r="AD1979" s="1459">
        <f t="shared" si="1413"/>
        <v>0</v>
      </c>
      <c r="AE1979" s="964" t="str">
        <f t="shared" si="1414"/>
        <v/>
      </c>
      <c r="AF1979" s="964" t="str">
        <f t="shared" si="1415"/>
        <v/>
      </c>
      <c r="AG1979" s="964" t="str">
        <f t="shared" si="1416"/>
        <v/>
      </c>
      <c r="AH1979" s="964" t="str">
        <f t="shared" si="1417"/>
        <v/>
      </c>
      <c r="AI1979" s="964" t="str">
        <f t="shared" si="1418"/>
        <v/>
      </c>
      <c r="AJ1979" s="964"/>
      <c r="AK1979" s="964"/>
      <c r="AL1979"/>
      <c r="AM1979"/>
      <c r="AN1979"/>
      <c r="AO1979"/>
      <c r="AP1979"/>
      <c r="AQ1979"/>
      <c r="AR1979"/>
      <c r="AS1979"/>
      <c r="AT1979"/>
      <c r="AU1979"/>
      <c r="AV1979"/>
      <c r="AW1979"/>
      <c r="AX1979" s="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s="1396"/>
      <c r="CB1979" s="1396"/>
      <c r="CC1979"/>
      <c r="CD1979"/>
      <c r="CE1979"/>
    </row>
    <row r="1980" spans="1:83" ht="13.9" customHeight="1" outlineLevel="2" thickBot="1" x14ac:dyDescent="0.25">
      <c r="A1980"/>
      <c r="B1980" s="1"/>
      <c r="C1980"/>
      <c r="D1980"/>
      <c r="E1980"/>
      <c r="F1980"/>
      <c r="G1980" s="1"/>
      <c r="H1980" s="1"/>
      <c r="I1980"/>
      <c r="J1980"/>
      <c r="K1980"/>
      <c r="L1980"/>
      <c r="M1980"/>
      <c r="N1980"/>
      <c r="O1980"/>
      <c r="P1980"/>
      <c r="Q1980"/>
      <c r="R1980" s="558" t="s">
        <v>3980</v>
      </c>
      <c r="S1980" s="956"/>
      <c r="T1980" s="58"/>
      <c r="U1980" s="957"/>
      <c r="V1980" s="958" t="str">
        <f t="shared" si="1419"/>
        <v>Q</v>
      </c>
      <c r="W1980" s="175"/>
      <c r="X1980" s="52" t="s">
        <v>769</v>
      </c>
      <c r="Y1980" s="175"/>
      <c r="Z1980" s="959" t="str">
        <f>Z1968</f>
        <v>O</v>
      </c>
      <c r="AA1980" s="123"/>
      <c r="AB1980" s="1459">
        <f t="shared" si="1411"/>
        <v>0</v>
      </c>
      <c r="AC1980" s="1460" t="str">
        <f t="shared" si="1412"/>
        <v>-</v>
      </c>
      <c r="AD1980" s="1459">
        <f t="shared" si="1413"/>
        <v>0</v>
      </c>
      <c r="AE1980" s="964" t="str">
        <f t="shared" si="1414"/>
        <v/>
      </c>
      <c r="AF1980" s="964" t="str">
        <f t="shared" si="1415"/>
        <v/>
      </c>
      <c r="AG1980" s="964" t="str">
        <f t="shared" si="1416"/>
        <v/>
      </c>
      <c r="AH1980" s="964" t="str">
        <f t="shared" si="1417"/>
        <v/>
      </c>
      <c r="AI1980" s="964" t="str">
        <f t="shared" si="1418"/>
        <v/>
      </c>
      <c r="AJ1980" s="964"/>
      <c r="AK1980" s="964"/>
      <c r="AL1980"/>
      <c r="AM1980"/>
      <c r="AN1980"/>
      <c r="AO1980"/>
      <c r="AP1980"/>
      <c r="AQ1980"/>
      <c r="AR1980"/>
      <c r="AS1980"/>
      <c r="AT1980"/>
      <c r="AU1980"/>
      <c r="AV1980"/>
      <c r="AW1980" s="9"/>
      <c r="AX1980" s="9"/>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s="1396"/>
      <c r="CB1980" s="1396"/>
      <c r="CC1980"/>
      <c r="CD1980"/>
      <c r="CE1980"/>
    </row>
    <row r="1981" spans="1:83" ht="13.5" outlineLevel="1" thickBot="1" x14ac:dyDescent="0.25">
      <c r="A1981"/>
      <c r="B1981" s="1"/>
      <c r="C1981" s="1"/>
      <c r="D1981" s="76"/>
      <c r="E1981" s="76"/>
      <c r="F1981" s="76"/>
      <c r="G1981" s="9"/>
      <c r="H1981" s="9"/>
      <c r="I1981" s="1"/>
      <c r="J1981"/>
      <c r="K1981"/>
      <c r="L1981"/>
      <c r="M1981"/>
      <c r="N1981"/>
      <c r="O1981"/>
      <c r="P1981" s="89"/>
      <c r="Q1981"/>
      <c r="R1981" s="1"/>
      <c r="S1981" s="993">
        <f>S1969+1</f>
        <v>19</v>
      </c>
      <c r="T1981" s="961"/>
      <c r="U1981" s="961"/>
      <c r="V1981" s="961"/>
      <c r="W1981" s="960"/>
      <c r="X1981" s="960"/>
      <c r="Y1981" s="960"/>
      <c r="Z1981" s="962"/>
      <c r="AA1981" s="123"/>
      <c r="AB1981" s="963"/>
      <c r="AC1981" s="963"/>
      <c r="AD1981" s="963"/>
      <c r="AE1981" s="964"/>
      <c r="AF1981" s="964"/>
      <c r="AG1981" s="964"/>
      <c r="AH1981" s="964"/>
      <c r="AI1981" s="964"/>
      <c r="AJ1981" s="964"/>
      <c r="AK1981" s="964"/>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s="1396"/>
      <c r="CB1981" s="1396"/>
      <c r="CC1981"/>
      <c r="CD1981"/>
      <c r="CE1981"/>
    </row>
    <row r="1982" spans="1:83" ht="13.5" outlineLevel="2" thickBot="1" x14ac:dyDescent="0.25">
      <c r="A1982"/>
      <c r="B1982" s="1"/>
      <c r="C1982"/>
      <c r="D1982"/>
      <c r="E1982"/>
      <c r="F1982"/>
      <c r="G1982" s="1"/>
      <c r="H1982" s="1"/>
      <c r="I1982"/>
      <c r="J1982"/>
      <c r="K1982"/>
      <c r="L1982"/>
      <c r="M1982"/>
      <c r="N1982"/>
      <c r="O1982"/>
      <c r="P1982"/>
      <c r="Q1982"/>
      <c r="S1982" s="22" t="str">
        <f>N_Heure</f>
        <v>Heure</v>
      </c>
      <c r="T1982" s="22" t="str">
        <f>N_Table</f>
        <v>Table</v>
      </c>
      <c r="U1982" s="22" t="str">
        <f>N_Arbitre</f>
        <v>Arbitre</v>
      </c>
      <c r="V1982" s="293" t="str">
        <f>N_Matches</f>
        <v>Matches</v>
      </c>
      <c r="W1982" s="294"/>
      <c r="X1982" s="294"/>
      <c r="Y1982" s="294"/>
      <c r="Z1982" s="295"/>
      <c r="AA1982" s="8"/>
      <c r="AB1982" s="967"/>
      <c r="AC1982" s="967"/>
      <c r="AD1982" s="967"/>
      <c r="AE1982" s="964"/>
      <c r="AF1982" s="964"/>
      <c r="AG1982" s="964"/>
      <c r="AH1982" s="964"/>
      <c r="AI1982" s="964"/>
      <c r="AJ1982" s="964"/>
      <c r="AK1982" s="964"/>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s="1396"/>
      <c r="CB1982" s="1396"/>
      <c r="CC1982"/>
      <c r="CD1982"/>
      <c r="CE1982"/>
    </row>
    <row r="1983" spans="1:83" outlineLevel="2" x14ac:dyDescent="0.2">
      <c r="A1983"/>
      <c r="B1983" s="1"/>
      <c r="C1983"/>
      <c r="D1983"/>
      <c r="E1983"/>
      <c r="F1983"/>
      <c r="G1983" s="1"/>
      <c r="H1983" s="1"/>
      <c r="I1983"/>
      <c r="J1983"/>
      <c r="K1983"/>
      <c r="L1983"/>
      <c r="M1983"/>
      <c r="N1983"/>
      <c r="O1983"/>
      <c r="P1983"/>
      <c r="Q1983"/>
      <c r="R1983" s="558" t="s">
        <v>3981</v>
      </c>
      <c r="S1983" s="65"/>
      <c r="T1983" s="953"/>
      <c r="U1983" s="954"/>
      <c r="V1983" s="34" t="str">
        <f>Z1971</f>
        <v>A</v>
      </c>
      <c r="W1983" s="148"/>
      <c r="X1983" s="35" t="s">
        <v>769</v>
      </c>
      <c r="Y1983" s="148"/>
      <c r="Z1983" s="36" t="str">
        <f>Z1972</f>
        <v>D</v>
      </c>
      <c r="AA1983" s="123"/>
      <c r="AB1983" s="1459">
        <f t="shared" ref="AB1983:AB1992" si="1421">IF(MaxScore,MaxGoals(W1983,Y1983,MaxGoalsValue),IF(W1983="","",W1983))</f>
        <v>0</v>
      </c>
      <c r="AC1983" s="1460" t="str">
        <f t="shared" ref="AC1983:AC1992" si="1422">IF(MaxScore,"-",IF(W1983="","","-"))</f>
        <v>-</v>
      </c>
      <c r="AD1983" s="1459">
        <f t="shared" ref="AD1983:AD1992" si="1423">IF(MaxScore,MaxGoals(Y1983,W1983,MaxGoalsValue),IF(Y1983="","",Y1983))</f>
        <v>0</v>
      </c>
      <c r="AE1983" s="964" t="str">
        <f t="shared" ref="AE1983:AE1992" si="1424">IF(W1983="","",IF(W1983&gt;Y1983,V1983,IF(W1983=Y1983,"",Z1983)))</f>
        <v/>
      </c>
      <c r="AF1983" s="964" t="str">
        <f t="shared" ref="AF1983:AF1992" si="1425">IF(W1983="","",IF(W1983=Y1983,V1983,""))</f>
        <v/>
      </c>
      <c r="AG1983" s="964" t="str">
        <f t="shared" ref="AG1983:AG1992" si="1426">IF(W1983="","",IF(W1983=Y1983,Z1983,""))</f>
        <v/>
      </c>
      <c r="AH1983" s="964" t="str">
        <f t="shared" ref="AH1983:AH1992" si="1427">IF(W1983="","",IF(W1983&lt;Y1983,V1983,IF(W1983=Y1983,"",Z1983)))</f>
        <v/>
      </c>
      <c r="AI1983" s="964" t="str">
        <f t="shared" ref="AI1983:AI1992" si="1428">CONCATENATE(AE1983,AH1983)</f>
        <v/>
      </c>
      <c r="AJ1983" s="964"/>
      <c r="AK1983" s="964"/>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s="1396"/>
      <c r="CB1983" s="1396"/>
      <c r="CC1983"/>
      <c r="CD1983"/>
      <c r="CE1983"/>
    </row>
    <row r="1984" spans="1:83" outlineLevel="2" x14ac:dyDescent="0.2">
      <c r="A1984"/>
      <c r="B1984" s="1"/>
      <c r="C1984"/>
      <c r="D1984"/>
      <c r="E1984"/>
      <c r="F1984"/>
      <c r="G1984" s="1"/>
      <c r="H1984" s="1"/>
      <c r="I1984"/>
      <c r="J1984"/>
      <c r="K1984"/>
      <c r="L1984"/>
      <c r="M1984"/>
      <c r="N1984"/>
      <c r="O1984"/>
      <c r="P1984"/>
      <c r="Q1984"/>
      <c r="R1984" s="558" t="s">
        <v>3981</v>
      </c>
      <c r="S1984" s="83"/>
      <c r="T1984" s="56"/>
      <c r="U1984" s="955"/>
      <c r="V1984" s="43" t="str">
        <f t="shared" ref="V1984:V1991" si="1429">Z1973</f>
        <v>B</v>
      </c>
      <c r="W1984" s="10"/>
      <c r="X1984" s="45" t="s">
        <v>769</v>
      </c>
      <c r="Y1984" s="10"/>
      <c r="Z1984" s="46" t="str">
        <f t="shared" ref="Z1984:Z1992" si="1430">V1971</f>
        <v>F</v>
      </c>
      <c r="AA1984" s="123"/>
      <c r="AB1984" s="1459">
        <f t="shared" si="1421"/>
        <v>0</v>
      </c>
      <c r="AC1984" s="1460" t="str">
        <f t="shared" si="1422"/>
        <v>-</v>
      </c>
      <c r="AD1984" s="1459">
        <f t="shared" si="1423"/>
        <v>0</v>
      </c>
      <c r="AE1984" s="964" t="str">
        <f t="shared" si="1424"/>
        <v/>
      </c>
      <c r="AF1984" s="964" t="str">
        <f t="shared" si="1425"/>
        <v/>
      </c>
      <c r="AG1984" s="964" t="str">
        <f t="shared" si="1426"/>
        <v/>
      </c>
      <c r="AH1984" s="964" t="str">
        <f t="shared" si="1427"/>
        <v/>
      </c>
      <c r="AI1984" s="964" t="str">
        <f t="shared" si="1428"/>
        <v/>
      </c>
      <c r="AJ1984" s="964"/>
      <c r="AK1984" s="96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s="1396"/>
      <c r="CB1984" s="1396"/>
      <c r="CC1984"/>
      <c r="CD1984"/>
      <c r="CE1984"/>
    </row>
    <row r="1985" spans="1:83" outlineLevel="2" x14ac:dyDescent="0.2">
      <c r="A1985"/>
      <c r="B1985" s="1"/>
      <c r="C1985"/>
      <c r="D1985"/>
      <c r="E1985"/>
      <c r="F1985"/>
      <c r="G1985" s="1"/>
      <c r="H1985" s="1"/>
      <c r="I1985"/>
      <c r="J1985"/>
      <c r="K1985"/>
      <c r="L1985"/>
      <c r="M1985"/>
      <c r="N1985"/>
      <c r="O1985"/>
      <c r="P1985"/>
      <c r="Q1985"/>
      <c r="R1985" s="558" t="s">
        <v>3981</v>
      </c>
      <c r="S1985" s="83"/>
      <c r="T1985" s="56"/>
      <c r="U1985" s="955"/>
      <c r="V1985" s="43" t="str">
        <f t="shared" si="1429"/>
        <v>C</v>
      </c>
      <c r="W1985" s="10"/>
      <c r="X1985" s="45" t="s">
        <v>769</v>
      </c>
      <c r="Y1985" s="10"/>
      <c r="Z1985" s="46" t="str">
        <f t="shared" si="1430"/>
        <v>H</v>
      </c>
      <c r="AA1985" s="123"/>
      <c r="AB1985" s="1459">
        <f t="shared" si="1421"/>
        <v>0</v>
      </c>
      <c r="AC1985" s="1460" t="str">
        <f t="shared" si="1422"/>
        <v>-</v>
      </c>
      <c r="AD1985" s="1459">
        <f t="shared" si="1423"/>
        <v>0</v>
      </c>
      <c r="AE1985" s="964" t="str">
        <f t="shared" si="1424"/>
        <v/>
      </c>
      <c r="AF1985" s="964" t="str">
        <f t="shared" si="1425"/>
        <v/>
      </c>
      <c r="AG1985" s="964" t="str">
        <f t="shared" si="1426"/>
        <v/>
      </c>
      <c r="AH1985" s="964" t="str">
        <f t="shared" si="1427"/>
        <v/>
      </c>
      <c r="AI1985" s="964" t="str">
        <f t="shared" si="1428"/>
        <v/>
      </c>
      <c r="AJ1985" s="964"/>
      <c r="AK1985" s="964"/>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s="1396"/>
      <c r="CB1985" s="1396"/>
      <c r="CC1985"/>
      <c r="CD1985"/>
      <c r="CE1985"/>
    </row>
    <row r="1986" spans="1:83" outlineLevel="2" x14ac:dyDescent="0.2">
      <c r="A1986"/>
      <c r="B1986" s="1"/>
      <c r="C1986"/>
      <c r="D1986"/>
      <c r="E1986"/>
      <c r="F1986"/>
      <c r="G1986" s="1"/>
      <c r="H1986" s="1"/>
      <c r="I1986"/>
      <c r="J1986"/>
      <c r="K1986"/>
      <c r="L1986"/>
      <c r="M1986"/>
      <c r="N1986"/>
      <c r="O1986"/>
      <c r="P1986"/>
      <c r="Q1986"/>
      <c r="R1986" s="558" t="s">
        <v>3981</v>
      </c>
      <c r="S1986" s="83"/>
      <c r="T1986" s="56"/>
      <c r="U1986" s="955"/>
      <c r="V1986" s="43" t="str">
        <f t="shared" si="1429"/>
        <v>E</v>
      </c>
      <c r="W1986" s="10"/>
      <c r="X1986" s="45" t="s">
        <v>769</v>
      </c>
      <c r="Y1986" s="10"/>
      <c r="Z1986" s="46" t="str">
        <f t="shared" si="1430"/>
        <v>J</v>
      </c>
      <c r="AA1986" s="123"/>
      <c r="AB1986" s="1459">
        <f t="shared" si="1421"/>
        <v>0</v>
      </c>
      <c r="AC1986" s="1460" t="str">
        <f t="shared" si="1422"/>
        <v>-</v>
      </c>
      <c r="AD1986" s="1459">
        <f t="shared" si="1423"/>
        <v>0</v>
      </c>
      <c r="AE1986" s="964" t="str">
        <f t="shared" si="1424"/>
        <v/>
      </c>
      <c r="AF1986" s="964" t="str">
        <f t="shared" si="1425"/>
        <v/>
      </c>
      <c r="AG1986" s="964" t="str">
        <f t="shared" si="1426"/>
        <v/>
      </c>
      <c r="AH1986" s="964" t="str">
        <f t="shared" si="1427"/>
        <v/>
      </c>
      <c r="AI1986" s="964" t="str">
        <f t="shared" si="1428"/>
        <v/>
      </c>
      <c r="AJ1986" s="964"/>
      <c r="AK1986" s="964"/>
      <c r="AL1986"/>
      <c r="AM1986"/>
      <c r="AN1986"/>
      <c r="AO1986"/>
      <c r="AP1986"/>
      <c r="AQ1986"/>
      <c r="AR1986"/>
      <c r="AS1986"/>
      <c r="AT1986"/>
      <c r="AU1986"/>
      <c r="AV1986"/>
      <c r="AW1986"/>
      <c r="AX1986" s="9"/>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s="1396"/>
      <c r="CB1986" s="1396"/>
      <c r="CC1986"/>
      <c r="CD1986"/>
      <c r="CE1986"/>
    </row>
    <row r="1987" spans="1:83" outlineLevel="2" x14ac:dyDescent="0.2">
      <c r="A1987"/>
      <c r="B1987" s="1"/>
      <c r="C1987"/>
      <c r="D1987"/>
      <c r="E1987"/>
      <c r="F1987"/>
      <c r="G1987" s="1"/>
      <c r="H1987" s="1"/>
      <c r="I1987"/>
      <c r="J1987"/>
      <c r="K1987"/>
      <c r="L1987"/>
      <c r="M1987"/>
      <c r="N1987"/>
      <c r="O1987"/>
      <c r="P1987"/>
      <c r="Q1987"/>
      <c r="R1987" s="558" t="s">
        <v>3981</v>
      </c>
      <c r="S1987" s="83"/>
      <c r="T1987" s="56"/>
      <c r="U1987" s="955"/>
      <c r="V1987" s="43" t="str">
        <f t="shared" si="1429"/>
        <v>G</v>
      </c>
      <c r="W1987" s="10"/>
      <c r="X1987" s="45" t="s">
        <v>769</v>
      </c>
      <c r="Y1987" s="10"/>
      <c r="Z1987" s="46" t="str">
        <f t="shared" si="1430"/>
        <v>L</v>
      </c>
      <c r="AA1987" s="123"/>
      <c r="AB1987" s="1459">
        <f t="shared" si="1421"/>
        <v>0</v>
      </c>
      <c r="AC1987" s="1460" t="str">
        <f t="shared" si="1422"/>
        <v>-</v>
      </c>
      <c r="AD1987" s="1459">
        <f t="shared" si="1423"/>
        <v>0</v>
      </c>
      <c r="AE1987" s="964" t="str">
        <f t="shared" si="1424"/>
        <v/>
      </c>
      <c r="AF1987" s="964" t="str">
        <f t="shared" si="1425"/>
        <v/>
      </c>
      <c r="AG1987" s="964" t="str">
        <f t="shared" si="1426"/>
        <v/>
      </c>
      <c r="AH1987" s="964" t="str">
        <f t="shared" si="1427"/>
        <v/>
      </c>
      <c r="AI1987" s="964" t="str">
        <f t="shared" si="1428"/>
        <v/>
      </c>
      <c r="AJ1987" s="964"/>
      <c r="AK1987" s="964"/>
      <c r="AL1987"/>
      <c r="AM1987"/>
      <c r="AN1987"/>
      <c r="AO1987"/>
      <c r="AP1987"/>
      <c r="AQ1987"/>
      <c r="AR1987"/>
      <c r="AS1987"/>
      <c r="AT1987"/>
      <c r="AU1987"/>
      <c r="AV1987"/>
      <c r="AW1987" s="9"/>
      <c r="AX1987" s="9"/>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s="1396"/>
      <c r="CB1987" s="1396"/>
      <c r="CC1987"/>
      <c r="CD1987"/>
      <c r="CE1987"/>
    </row>
    <row r="1988" spans="1:83" outlineLevel="2" x14ac:dyDescent="0.2">
      <c r="A1988"/>
      <c r="B1988" s="1"/>
      <c r="C1988"/>
      <c r="D1988"/>
      <c r="E1988"/>
      <c r="F1988"/>
      <c r="G1988" s="1"/>
      <c r="H1988" s="1"/>
      <c r="I1988"/>
      <c r="J1988"/>
      <c r="K1988"/>
      <c r="L1988"/>
      <c r="M1988"/>
      <c r="N1988"/>
      <c r="O1988"/>
      <c r="P1988"/>
      <c r="Q1988"/>
      <c r="R1988" s="558" t="s">
        <v>3981</v>
      </c>
      <c r="S1988" s="83"/>
      <c r="T1988" s="56"/>
      <c r="U1988" s="955"/>
      <c r="V1988" s="43" t="str">
        <f t="shared" si="1429"/>
        <v>I</v>
      </c>
      <c r="W1988" s="10"/>
      <c r="X1988" s="45" t="s">
        <v>769</v>
      </c>
      <c r="Y1988" s="10"/>
      <c r="Z1988" s="46" t="str">
        <f t="shared" si="1430"/>
        <v>N</v>
      </c>
      <c r="AA1988" s="123"/>
      <c r="AB1988" s="1459">
        <f t="shared" si="1421"/>
        <v>0</v>
      </c>
      <c r="AC1988" s="1460" t="str">
        <f t="shared" si="1422"/>
        <v>-</v>
      </c>
      <c r="AD1988" s="1459">
        <f t="shared" si="1423"/>
        <v>0</v>
      </c>
      <c r="AE1988" s="964" t="str">
        <f t="shared" si="1424"/>
        <v/>
      </c>
      <c r="AF1988" s="964" t="str">
        <f t="shared" si="1425"/>
        <v/>
      </c>
      <c r="AG1988" s="964" t="str">
        <f t="shared" si="1426"/>
        <v/>
      </c>
      <c r="AH1988" s="964" t="str">
        <f t="shared" si="1427"/>
        <v/>
      </c>
      <c r="AI1988" s="964" t="str">
        <f t="shared" si="1428"/>
        <v/>
      </c>
      <c r="AJ1988" s="964"/>
      <c r="AK1988" s="964"/>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s="1396"/>
      <c r="CB1988" s="1396"/>
      <c r="CC1988"/>
      <c r="CD1988"/>
      <c r="CE1988"/>
    </row>
    <row r="1989" spans="1:83" outlineLevel="2" x14ac:dyDescent="0.2">
      <c r="A1989"/>
      <c r="B1989" s="1"/>
      <c r="C1989"/>
      <c r="D1989"/>
      <c r="E1989"/>
      <c r="F1989"/>
      <c r="G1989" s="1"/>
      <c r="H1989" s="1"/>
      <c r="I1989"/>
      <c r="J1989"/>
      <c r="K1989"/>
      <c r="L1989"/>
      <c r="M1989"/>
      <c r="N1989"/>
      <c r="O1989"/>
      <c r="P1989"/>
      <c r="Q1989"/>
      <c r="R1989" s="558" t="s">
        <v>3981</v>
      </c>
      <c r="S1989" s="83"/>
      <c r="T1989" s="56"/>
      <c r="U1989" s="955"/>
      <c r="V1989" s="43" t="str">
        <f t="shared" si="1429"/>
        <v>K</v>
      </c>
      <c r="W1989" s="10"/>
      <c r="X1989" s="45" t="s">
        <v>769</v>
      </c>
      <c r="Y1989" s="10"/>
      <c r="Z1989" s="46" t="str">
        <f t="shared" si="1430"/>
        <v>P</v>
      </c>
      <c r="AA1989" s="123"/>
      <c r="AB1989" s="1459">
        <f t="shared" si="1421"/>
        <v>0</v>
      </c>
      <c r="AC1989" s="1460" t="str">
        <f t="shared" si="1422"/>
        <v>-</v>
      </c>
      <c r="AD1989" s="1459">
        <f t="shared" si="1423"/>
        <v>0</v>
      </c>
      <c r="AE1989" s="964" t="str">
        <f t="shared" si="1424"/>
        <v/>
      </c>
      <c r="AF1989" s="964" t="str">
        <f t="shared" si="1425"/>
        <v/>
      </c>
      <c r="AG1989" s="964" t="str">
        <f t="shared" si="1426"/>
        <v/>
      </c>
      <c r="AH1989" s="964" t="str">
        <f t="shared" si="1427"/>
        <v/>
      </c>
      <c r="AI1989" s="964" t="str">
        <f t="shared" si="1428"/>
        <v/>
      </c>
      <c r="AJ1989" s="964"/>
      <c r="AK1989" s="964"/>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s="1396"/>
      <c r="CB1989" s="1396"/>
      <c r="CC1989"/>
      <c r="CD1989"/>
      <c r="CE1989"/>
    </row>
    <row r="1990" spans="1:83" outlineLevel="2" x14ac:dyDescent="0.2">
      <c r="A1990"/>
      <c r="B1990" s="1"/>
      <c r="C1990"/>
      <c r="D1990"/>
      <c r="E1990"/>
      <c r="F1990"/>
      <c r="G1990" s="1"/>
      <c r="H1990" s="1"/>
      <c r="I1990"/>
      <c r="J1990"/>
      <c r="K1990"/>
      <c r="L1990"/>
      <c r="M1990"/>
      <c r="N1990"/>
      <c r="O1990"/>
      <c r="P1990"/>
      <c r="Q1990"/>
      <c r="R1990" s="558" t="s">
        <v>3981</v>
      </c>
      <c r="S1990" s="83"/>
      <c r="T1990" s="56"/>
      <c r="U1990" s="955"/>
      <c r="V1990" s="43" t="str">
        <f t="shared" si="1429"/>
        <v>M</v>
      </c>
      <c r="W1990" s="10"/>
      <c r="X1990" s="45" t="s">
        <v>769</v>
      </c>
      <c r="Y1990" s="10"/>
      <c r="Z1990" s="46" t="str">
        <f t="shared" si="1430"/>
        <v>R</v>
      </c>
      <c r="AA1990" s="123"/>
      <c r="AB1990" s="1459">
        <f t="shared" si="1421"/>
        <v>0</v>
      </c>
      <c r="AC1990" s="1460" t="str">
        <f t="shared" si="1422"/>
        <v>-</v>
      </c>
      <c r="AD1990" s="1459">
        <f t="shared" si="1423"/>
        <v>0</v>
      </c>
      <c r="AE1990" s="964" t="str">
        <f t="shared" si="1424"/>
        <v/>
      </c>
      <c r="AF1990" s="964" t="str">
        <f t="shared" si="1425"/>
        <v/>
      </c>
      <c r="AG1990" s="964" t="str">
        <f t="shared" si="1426"/>
        <v/>
      </c>
      <c r="AH1990" s="964" t="str">
        <f t="shared" si="1427"/>
        <v/>
      </c>
      <c r="AI1990" s="964" t="str">
        <f t="shared" si="1428"/>
        <v/>
      </c>
      <c r="AJ1990" s="964"/>
      <c r="AK1990" s="964"/>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s="1396"/>
      <c r="CB1990" s="1396"/>
      <c r="CC1990"/>
      <c r="CD1990"/>
      <c r="CE1990"/>
    </row>
    <row r="1991" spans="1:83" outlineLevel="2" x14ac:dyDescent="0.2">
      <c r="A1991"/>
      <c r="B1991" s="1"/>
      <c r="C1991"/>
      <c r="D1991"/>
      <c r="E1991"/>
      <c r="F1991"/>
      <c r="G1991" s="1"/>
      <c r="H1991" s="1"/>
      <c r="I1991"/>
      <c r="J1991"/>
      <c r="K1991"/>
      <c r="L1991"/>
      <c r="M1991"/>
      <c r="N1991"/>
      <c r="O1991"/>
      <c r="P1991"/>
      <c r="Q1991"/>
      <c r="R1991" s="558" t="s">
        <v>3981</v>
      </c>
      <c r="S1991" s="83"/>
      <c r="T1991" s="56"/>
      <c r="U1991" s="955"/>
      <c r="V1991" s="43" t="str">
        <f t="shared" si="1429"/>
        <v>O</v>
      </c>
      <c r="W1991" s="10"/>
      <c r="X1991" s="45" t="s">
        <v>769</v>
      </c>
      <c r="Y1991" s="10"/>
      <c r="Z1991" s="46" t="str">
        <f t="shared" si="1430"/>
        <v>T</v>
      </c>
      <c r="AA1991" s="123"/>
      <c r="AB1991" s="1459">
        <f t="shared" si="1421"/>
        <v>0</v>
      </c>
      <c r="AC1991" s="1460" t="str">
        <f t="shared" si="1422"/>
        <v>-</v>
      </c>
      <c r="AD1991" s="1459">
        <f t="shared" si="1423"/>
        <v>0</v>
      </c>
      <c r="AE1991" s="964" t="str">
        <f t="shared" si="1424"/>
        <v/>
      </c>
      <c r="AF1991" s="964" t="str">
        <f t="shared" si="1425"/>
        <v/>
      </c>
      <c r="AG1991" s="964" t="str">
        <f t="shared" si="1426"/>
        <v/>
      </c>
      <c r="AH1991" s="964" t="str">
        <f t="shared" si="1427"/>
        <v/>
      </c>
      <c r="AI1991" s="964" t="str">
        <f t="shared" si="1428"/>
        <v/>
      </c>
      <c r="AJ1991" s="964"/>
      <c r="AK1991" s="964"/>
      <c r="AL1991"/>
      <c r="AM1991"/>
      <c r="AN1991"/>
      <c r="AO1991"/>
      <c r="AP1991"/>
      <c r="AQ1991"/>
      <c r="AR1991"/>
      <c r="AS1991"/>
      <c r="AT1991"/>
      <c r="AU1991"/>
      <c r="AV1991"/>
      <c r="AW1991"/>
      <c r="AX1991" s="9"/>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s="1396"/>
      <c r="CB1991" s="1396"/>
      <c r="CC1991"/>
      <c r="CD1991"/>
      <c r="CE1991"/>
    </row>
    <row r="1992" spans="1:83" outlineLevel="2" x14ac:dyDescent="0.2">
      <c r="A1992"/>
      <c r="B1992" s="1"/>
      <c r="C1992"/>
      <c r="D1992"/>
      <c r="E1992"/>
      <c r="F1992"/>
      <c r="G1992" s="1"/>
      <c r="H1992" s="1"/>
      <c r="I1992"/>
      <c r="J1992"/>
      <c r="K1992"/>
      <c r="L1992"/>
      <c r="M1992"/>
      <c r="N1992"/>
      <c r="O1992"/>
      <c r="P1992"/>
      <c r="Q1992"/>
      <c r="R1992" s="558" t="s">
        <v>3981</v>
      </c>
      <c r="S1992" s="2087"/>
      <c r="T1992" s="2088"/>
      <c r="U1992" s="2089"/>
      <c r="V1992" s="2090" t="str">
        <f>V1980</f>
        <v>Q</v>
      </c>
      <c r="W1992" s="736"/>
      <c r="X1992" s="2091" t="s">
        <v>769</v>
      </c>
      <c r="Y1992" s="736"/>
      <c r="Z1992" s="2092" t="str">
        <f t="shared" si="1430"/>
        <v>S</v>
      </c>
      <c r="AA1992" s="123"/>
      <c r="AB1992" s="1459">
        <f t="shared" si="1421"/>
        <v>0</v>
      </c>
      <c r="AC1992" s="1460" t="str">
        <f t="shared" si="1422"/>
        <v>-</v>
      </c>
      <c r="AD1992" s="1459">
        <f t="shared" si="1423"/>
        <v>0</v>
      </c>
      <c r="AE1992" s="964" t="str">
        <f t="shared" si="1424"/>
        <v/>
      </c>
      <c r="AF1992" s="964" t="str">
        <f t="shared" si="1425"/>
        <v/>
      </c>
      <c r="AG1992" s="964" t="str">
        <f t="shared" si="1426"/>
        <v/>
      </c>
      <c r="AH1992" s="964" t="str">
        <f t="shared" si="1427"/>
        <v/>
      </c>
      <c r="AI1992" s="964" t="str">
        <f t="shared" si="1428"/>
        <v/>
      </c>
      <c r="AJ1992" s="964"/>
      <c r="AK1992" s="964"/>
      <c r="AL1992"/>
      <c r="AM1992"/>
      <c r="AN1992"/>
      <c r="AO1992"/>
      <c r="AP1992"/>
      <c r="AQ1992"/>
      <c r="AR1992"/>
      <c r="AS1992"/>
      <c r="AT1992"/>
      <c r="AU1992"/>
      <c r="AV1992"/>
      <c r="AW1992" s="9"/>
      <c r="AX1992" s="9"/>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s="1396"/>
      <c r="CB1992" s="1396"/>
      <c r="CC1992"/>
      <c r="CD1992"/>
      <c r="CE1992"/>
    </row>
  </sheetData>
  <sheetProtection sheet="1" objects="1" scenarios="1" formatColumns="0" formatRows="0"/>
  <dataConsolidate/>
  <customSheetViews>
    <customSheetView guid="{13F24B0A-7740-483A-BEF7-5257F8522605}" scale="130" colorId="18" showGridLines="0" fitToPage="1" hiddenRows="1" hiddenColumns="1">
      <selection activeCell="R9" sqref="R9"/>
      <pageMargins left="0.59055118110236227" right="0.59055118110236227" top="0.94488188976377963" bottom="0.70866141732283472" header="0.31496062992125984" footer="0.31496062992125984"/>
      <printOptions horizontalCentered="1"/>
      <pageSetup paperSize="9" fitToHeight="20" orientation="landscape" r:id="rId1"/>
      <headerFooter alignWithMargins="0"/>
    </customSheetView>
  </customSheetViews>
  <phoneticPr fontId="0" type="noConversion"/>
  <dataValidations count="169">
    <dataValidation type="list" allowBlank="1" showInputMessage="1" showErrorMessage="1" sqref="V7 V15 V18" xr:uid="{00000000-0002-0000-1200-000000000000}">
      <formula1>G7:G9</formula1>
    </dataValidation>
    <dataValidation type="list" allowBlank="1" showInputMessage="1" showErrorMessage="1" sqref="Z7 Z15 Z18" xr:uid="{00000000-0002-0000-1200-000001000000}">
      <formula1>G7:G9</formula1>
    </dataValidation>
    <dataValidation type="list" allowBlank="1" showInputMessage="1" showErrorMessage="1" sqref="Z8 Z16 Z19" xr:uid="{00000000-0002-0000-1200-000002000000}">
      <formula1>G7:G9</formula1>
    </dataValidation>
    <dataValidation type="list" allowBlank="1" showInputMessage="1" showErrorMessage="1" sqref="Z9 Z17 Z20" xr:uid="{00000000-0002-0000-1200-000003000000}">
      <formula1>G7:G9</formula1>
    </dataValidation>
    <dataValidation type="list" allowBlank="1" showInputMessage="1" showErrorMessage="1" sqref="V54 V69 V71:V72 V75:V88" xr:uid="{00000000-0002-0000-1200-000004000000}">
      <formula1>G54:G58</formula1>
    </dataValidation>
    <dataValidation type="list" allowBlank="1" showInputMessage="1" showErrorMessage="1" sqref="V55 V70" xr:uid="{00000000-0002-0000-1200-000005000000}">
      <formula1>G54:G58</formula1>
    </dataValidation>
    <dataValidation type="list" allowBlank="1" showInputMessage="1" showErrorMessage="1" sqref="V56" xr:uid="{00000000-0002-0000-1200-000006000000}">
      <formula1>G54:G58</formula1>
    </dataValidation>
    <dataValidation type="list" allowBlank="1" showInputMessage="1" showErrorMessage="1" sqref="V57" xr:uid="{00000000-0002-0000-1200-000007000000}">
      <formula1>G54:G58</formula1>
    </dataValidation>
    <dataValidation type="list" allowBlank="1" showInputMessage="1" showErrorMessage="1" sqref="V58 V73" xr:uid="{00000000-0002-0000-1200-000008000000}">
      <formula1>G54:G58</formula1>
    </dataValidation>
    <dataValidation type="list" allowBlank="1" showInputMessage="1" showErrorMessage="1" sqref="V59 V74" xr:uid="{00000000-0002-0000-1200-000009000000}">
      <formula1>G54:G58</formula1>
    </dataValidation>
    <dataValidation type="list" allowBlank="1" showInputMessage="1" showErrorMessage="1" sqref="V60" xr:uid="{00000000-0002-0000-1200-00000A000000}">
      <formula1>G54:G58</formula1>
    </dataValidation>
    <dataValidation type="list" allowBlank="1" showInputMessage="1" showErrorMessage="1" sqref="V61" xr:uid="{00000000-0002-0000-1200-00000B000000}">
      <formula1>G54:G58</formula1>
    </dataValidation>
    <dataValidation type="list" allowBlank="1" showInputMessage="1" showErrorMessage="1" sqref="V62" xr:uid="{00000000-0002-0000-1200-00000C000000}">
      <formula1>G54:G58</formula1>
    </dataValidation>
    <dataValidation type="list" allowBlank="1" showInputMessage="1" showErrorMessage="1" sqref="V63" xr:uid="{00000000-0002-0000-1200-00000D000000}">
      <formula1>G54:G58</formula1>
    </dataValidation>
    <dataValidation type="list" allowBlank="1" showInputMessage="1" showErrorMessage="1" sqref="Z54 Z69 Z71:Z72 Z75:Z88" xr:uid="{00000000-0002-0000-1200-00000E000000}">
      <formula1>G54:G58</formula1>
    </dataValidation>
    <dataValidation type="list" allowBlank="1" showInputMessage="1" showErrorMessage="1" sqref="Z55 Z70" xr:uid="{00000000-0002-0000-1200-00000F000000}">
      <formula1>G54:G58</formula1>
    </dataValidation>
    <dataValidation type="list" allowBlank="1" showInputMessage="1" showErrorMessage="1" sqref="Z56" xr:uid="{00000000-0002-0000-1200-000010000000}">
      <formula1>G54:G58</formula1>
    </dataValidation>
    <dataValidation type="list" allowBlank="1" showInputMessage="1" showErrorMessage="1" sqref="Z57" xr:uid="{00000000-0002-0000-1200-000011000000}">
      <formula1>G54:G58</formula1>
    </dataValidation>
    <dataValidation type="list" allowBlank="1" showInputMessage="1" showErrorMessage="1" sqref="Z58 Z73" xr:uid="{00000000-0002-0000-1200-000012000000}">
      <formula1>G54:G58</formula1>
    </dataValidation>
    <dataValidation type="list" allowBlank="1" showInputMessage="1" showErrorMessage="1" sqref="Z59 Z74" xr:uid="{00000000-0002-0000-1200-000013000000}">
      <formula1>G54:G58</formula1>
    </dataValidation>
    <dataValidation type="list" allowBlank="1" showInputMessage="1" showErrorMessage="1" sqref="Z60" xr:uid="{00000000-0002-0000-1200-000014000000}">
      <formula1>G54:G58</formula1>
    </dataValidation>
    <dataValidation type="list" allowBlank="1" showInputMessage="1" showErrorMessage="1" sqref="Z61" xr:uid="{00000000-0002-0000-1200-000015000000}">
      <formula1>G54:G58</formula1>
    </dataValidation>
    <dataValidation type="list" allowBlank="1" showInputMessage="1" showErrorMessage="1" sqref="Z62" xr:uid="{00000000-0002-0000-1200-000016000000}">
      <formula1>G54:G58</formula1>
    </dataValidation>
    <dataValidation type="list" allowBlank="1" showInputMessage="1" showErrorMessage="1" sqref="Z63" xr:uid="{00000000-0002-0000-1200-000017000000}">
      <formula1>G54:G58</formula1>
    </dataValidation>
    <dataValidation type="list" allowBlank="1" showInputMessage="1" showErrorMessage="1" sqref="V114 V94" xr:uid="{00000000-0002-0000-1200-000018000000}">
      <formula1>G94:G99</formula1>
    </dataValidation>
    <dataValidation type="list" allowBlank="1" showInputMessage="1" showErrorMessage="1" sqref="V115 V95" xr:uid="{00000000-0002-0000-1200-000019000000}">
      <formula1>G94:G99</formula1>
    </dataValidation>
    <dataValidation type="list" allowBlank="1" showInputMessage="1" showErrorMessage="1" sqref="V116 V96" xr:uid="{00000000-0002-0000-1200-00001A000000}">
      <formula1>G94:G99</formula1>
    </dataValidation>
    <dataValidation type="list" allowBlank="1" showInputMessage="1" showErrorMessage="1" sqref="V117 V97" xr:uid="{00000000-0002-0000-1200-00001B000000}">
      <formula1>G94:G99</formula1>
    </dataValidation>
    <dataValidation type="list" allowBlank="1" showInputMessage="1" showErrorMessage="1" sqref="V118 V98" xr:uid="{00000000-0002-0000-1200-00001C000000}">
      <formula1>G94:G99</formula1>
    </dataValidation>
    <dataValidation type="list" allowBlank="1" showInputMessage="1" showErrorMessage="1" sqref="V119 V99" xr:uid="{00000000-0002-0000-1200-00001D000000}">
      <formula1>G94:G99</formula1>
    </dataValidation>
    <dataValidation type="list" allowBlank="1" showInputMessage="1" showErrorMessage="1" sqref="V120 V100" xr:uid="{00000000-0002-0000-1200-00001E000000}">
      <formula1>G94:G99</formula1>
    </dataValidation>
    <dataValidation type="list" allowBlank="1" showInputMessage="1" showErrorMessage="1" sqref="V121 V101" xr:uid="{00000000-0002-0000-1200-00001F000000}">
      <formula1>G94:G99</formula1>
    </dataValidation>
    <dataValidation type="list" allowBlank="1" showInputMessage="1" showErrorMessage="1" sqref="V122 V102" xr:uid="{00000000-0002-0000-1200-000020000000}">
      <formula1>G94:G99</formula1>
    </dataValidation>
    <dataValidation type="list" allowBlank="1" showInputMessage="1" showErrorMessage="1" sqref="V123 V103" xr:uid="{00000000-0002-0000-1200-000021000000}">
      <formula1>G94:G99</formula1>
    </dataValidation>
    <dataValidation type="list" allowBlank="1" showInputMessage="1" showErrorMessage="1" sqref="V124 V104" xr:uid="{00000000-0002-0000-1200-000022000000}">
      <formula1>G94:G99</formula1>
    </dataValidation>
    <dataValidation type="list" allowBlank="1" showInputMessage="1" showErrorMessage="1" sqref="V105 V125" xr:uid="{00000000-0002-0000-1200-000023000000}">
      <formula1>G94:G99</formula1>
    </dataValidation>
    <dataValidation type="list" allowBlank="1" showInputMessage="1" showErrorMessage="1" sqref="V126 V106" xr:uid="{00000000-0002-0000-1200-000024000000}">
      <formula1>G94:G99</formula1>
    </dataValidation>
    <dataValidation type="list" allowBlank="1" showInputMessage="1" showErrorMessage="1" sqref="V107 V127" xr:uid="{00000000-0002-0000-1200-000025000000}">
      <formula1>G94:G99</formula1>
    </dataValidation>
    <dataValidation type="list" allowBlank="1" showInputMessage="1" showErrorMessage="1" sqref="V128 V108" xr:uid="{00000000-0002-0000-1200-000026000000}">
      <formula1>G94:G99</formula1>
    </dataValidation>
    <dataValidation type="list" allowBlank="1" showInputMessage="1" showErrorMessage="1" sqref="Z114 Z94" xr:uid="{00000000-0002-0000-1200-000027000000}">
      <formula1>G94:G99</formula1>
    </dataValidation>
    <dataValidation type="list" allowBlank="1" showInputMessage="1" showErrorMessage="1" sqref="Z115 Z95" xr:uid="{00000000-0002-0000-1200-000028000000}">
      <formula1>G94:G99</formula1>
    </dataValidation>
    <dataValidation type="list" allowBlank="1" showInputMessage="1" showErrorMessage="1" sqref="Z116 Z96" xr:uid="{00000000-0002-0000-1200-000029000000}">
      <formula1>G94:G99</formula1>
    </dataValidation>
    <dataValidation type="list" allowBlank="1" showInputMessage="1" showErrorMessage="1" sqref="Z117 Z97" xr:uid="{00000000-0002-0000-1200-00002A000000}">
      <formula1>G94:G99</formula1>
    </dataValidation>
    <dataValidation type="list" allowBlank="1" showInputMessage="1" showErrorMessage="1" sqref="Z118 Z98" xr:uid="{00000000-0002-0000-1200-00002B000000}">
      <formula1>G94:G99</formula1>
    </dataValidation>
    <dataValidation type="list" allowBlank="1" showInputMessage="1" showErrorMessage="1" sqref="Z119 Z99" xr:uid="{00000000-0002-0000-1200-00002C000000}">
      <formula1>G94:G99</formula1>
    </dataValidation>
    <dataValidation type="list" allowBlank="1" showInputMessage="1" showErrorMessage="1" sqref="Z120 Z100" xr:uid="{00000000-0002-0000-1200-00002D000000}">
      <formula1>G94:G99</formula1>
    </dataValidation>
    <dataValidation type="list" allowBlank="1" showInputMessage="1" showErrorMessage="1" sqref="Z121 Z101" xr:uid="{00000000-0002-0000-1200-00002E000000}">
      <formula1>G94:G99</formula1>
    </dataValidation>
    <dataValidation type="list" allowBlank="1" showInputMessage="1" showErrorMessage="1" sqref="Z122 Z102" xr:uid="{00000000-0002-0000-1200-00002F000000}">
      <formula1>G94:G99</formula1>
    </dataValidation>
    <dataValidation type="list" allowBlank="1" showInputMessage="1" showErrorMessage="1" sqref="Z123 Z103" xr:uid="{00000000-0002-0000-1200-000030000000}">
      <formula1>G94:G99</formula1>
    </dataValidation>
    <dataValidation type="list" allowBlank="1" showInputMessage="1" showErrorMessage="1" sqref="Z124 Z104" xr:uid="{00000000-0002-0000-1200-000031000000}">
      <formula1>G94:G99</formula1>
    </dataValidation>
    <dataValidation type="list" allowBlank="1" showInputMessage="1" showErrorMessage="1" sqref="Z105 Z125" xr:uid="{00000000-0002-0000-1200-000032000000}">
      <formula1>G94:G99</formula1>
    </dataValidation>
    <dataValidation type="list" allowBlank="1" showInputMessage="1" showErrorMessage="1" sqref="Z126 Z106" xr:uid="{00000000-0002-0000-1200-000033000000}">
      <formula1>G94:G99</formula1>
    </dataValidation>
    <dataValidation type="list" allowBlank="1" showInputMessage="1" showErrorMessage="1" sqref="Z107 Z127" xr:uid="{00000000-0002-0000-1200-000034000000}">
      <formula1>G94:G99</formula1>
    </dataValidation>
    <dataValidation type="list" allowBlank="1" showInputMessage="1" showErrorMessage="1" sqref="Z128 Z108" xr:uid="{00000000-0002-0000-1200-000035000000}">
      <formula1>G94:G99</formula1>
    </dataValidation>
    <dataValidation type="list" allowBlank="1" showInputMessage="1" showErrorMessage="1" sqref="V134" xr:uid="{00000000-0002-0000-1200-000036000000}">
      <formula1>G134:G140</formula1>
    </dataValidation>
    <dataValidation type="list" allowBlank="1" showInputMessage="1" showErrorMessage="1" sqref="V135" xr:uid="{00000000-0002-0000-1200-000037000000}">
      <formula1>G134:G140</formula1>
    </dataValidation>
    <dataValidation type="list" allowBlank="1" showInputMessage="1" showErrorMessage="1" sqref="V136" xr:uid="{00000000-0002-0000-1200-000038000000}">
      <formula1>G134:G140</formula1>
    </dataValidation>
    <dataValidation type="list" allowBlank="1" showInputMessage="1" showErrorMessage="1" sqref="V137" xr:uid="{00000000-0002-0000-1200-000039000000}">
      <formula1>G134:G140</formula1>
    </dataValidation>
    <dataValidation type="list" allowBlank="1" showInputMessage="1" showErrorMessage="1" sqref="V138" xr:uid="{00000000-0002-0000-1200-00003A000000}">
      <formula1>G134:G140</formula1>
    </dataValidation>
    <dataValidation type="list" allowBlank="1" showInputMessage="1" showErrorMessage="1" sqref="V139" xr:uid="{00000000-0002-0000-1200-00003B000000}">
      <formula1>G134:G140</formula1>
    </dataValidation>
    <dataValidation type="list" allowBlank="1" showInputMessage="1" showErrorMessage="1" sqref="V140" xr:uid="{00000000-0002-0000-1200-00003C000000}">
      <formula1>G134:G140</formula1>
    </dataValidation>
    <dataValidation type="list" allowBlank="1" showInputMessage="1" showErrorMessage="1" sqref="V141" xr:uid="{00000000-0002-0000-1200-00003D000000}">
      <formula1>G134:G140</formula1>
    </dataValidation>
    <dataValidation type="list" allowBlank="1" showInputMessage="1" showErrorMessage="1" sqref="V142" xr:uid="{00000000-0002-0000-1200-00003E000000}">
      <formula1>G134:G140</formula1>
    </dataValidation>
    <dataValidation type="list" allowBlank="1" showInputMessage="1" showErrorMessage="1" sqref="V143" xr:uid="{00000000-0002-0000-1200-00003F000000}">
      <formula1>G134:G140</formula1>
    </dataValidation>
    <dataValidation type="list" allowBlank="1" showInputMessage="1" showErrorMessage="1" sqref="V145" xr:uid="{00000000-0002-0000-1200-000040000000}">
      <formula1>G134:G140</formula1>
    </dataValidation>
    <dataValidation type="list" allowBlank="1" showInputMessage="1" showErrorMessage="1" sqref="V144" xr:uid="{00000000-0002-0000-1200-000041000000}">
      <formula1>G134:G140</formula1>
    </dataValidation>
    <dataValidation type="list" allowBlank="1" showInputMessage="1" showErrorMessage="1" sqref="V146" xr:uid="{00000000-0002-0000-1200-000042000000}">
      <formula1>G134:G140</formula1>
    </dataValidation>
    <dataValidation type="list" allowBlank="1" showInputMessage="1" showErrorMessage="1" sqref="V147" xr:uid="{00000000-0002-0000-1200-000043000000}">
      <formula1>G134:G140</formula1>
    </dataValidation>
    <dataValidation type="list" allowBlank="1" showInputMessage="1" showErrorMessage="1" sqref="V148" xr:uid="{00000000-0002-0000-1200-000044000000}">
      <formula1>G134:G140</formula1>
    </dataValidation>
    <dataValidation type="list" allowBlank="1" showInputMessage="1" showErrorMessage="1" sqref="V149" xr:uid="{00000000-0002-0000-1200-000045000000}">
      <formula1>G134:G140</formula1>
    </dataValidation>
    <dataValidation type="list" allowBlank="1" showInputMessage="1" showErrorMessage="1" sqref="V150" xr:uid="{00000000-0002-0000-1200-000046000000}">
      <formula1>G134:G140</formula1>
    </dataValidation>
    <dataValidation type="list" allowBlank="1" showInputMessage="1" showErrorMessage="1" sqref="V151" xr:uid="{00000000-0002-0000-1200-000047000000}">
      <formula1>G134:G140</formula1>
    </dataValidation>
    <dataValidation type="list" allowBlank="1" showInputMessage="1" showErrorMessage="1" sqref="V152" xr:uid="{00000000-0002-0000-1200-000048000000}">
      <formula1>G134:G140</formula1>
    </dataValidation>
    <dataValidation type="list" allowBlank="1" showInputMessage="1" showErrorMessage="1" sqref="V153" xr:uid="{00000000-0002-0000-1200-000049000000}">
      <formula1>G134:G140</formula1>
    </dataValidation>
    <dataValidation type="list" allowBlank="1" showInputMessage="1" showErrorMessage="1" sqref="V154" xr:uid="{00000000-0002-0000-1200-00004A000000}">
      <formula1>G134:G140</formula1>
    </dataValidation>
    <dataValidation type="list" allowBlank="1" showInputMessage="1" showErrorMessage="1" sqref="Z134" xr:uid="{00000000-0002-0000-1200-00004B000000}">
      <formula1>G134:G140</formula1>
    </dataValidation>
    <dataValidation type="list" allowBlank="1" showInputMessage="1" showErrorMessage="1" sqref="Z135" xr:uid="{00000000-0002-0000-1200-00004C000000}">
      <formula1>G134:G140</formula1>
    </dataValidation>
    <dataValidation type="list" allowBlank="1" showInputMessage="1" showErrorMessage="1" sqref="Z136" xr:uid="{00000000-0002-0000-1200-00004D000000}">
      <formula1>G134:G140</formula1>
    </dataValidation>
    <dataValidation type="list" allowBlank="1" showInputMessage="1" showErrorMessage="1" sqref="Z137" xr:uid="{00000000-0002-0000-1200-00004E000000}">
      <formula1>G134:G140</formula1>
    </dataValidation>
    <dataValidation type="list" allowBlank="1" showInputMessage="1" showErrorMessage="1" sqref="Z138" xr:uid="{00000000-0002-0000-1200-00004F000000}">
      <formula1>G134:G140</formula1>
    </dataValidation>
    <dataValidation type="list" allowBlank="1" showInputMessage="1" showErrorMessage="1" sqref="Z139" xr:uid="{00000000-0002-0000-1200-000050000000}">
      <formula1>G134:G140</formula1>
    </dataValidation>
    <dataValidation type="list" allowBlank="1" showInputMessage="1" showErrorMessage="1" sqref="Z140" xr:uid="{00000000-0002-0000-1200-000051000000}">
      <formula1>G134:G140</formula1>
    </dataValidation>
    <dataValidation type="list" allowBlank="1" showInputMessage="1" showErrorMessage="1" sqref="Z141" xr:uid="{00000000-0002-0000-1200-000052000000}">
      <formula1>G134:G140</formula1>
    </dataValidation>
    <dataValidation type="list" allowBlank="1" showInputMessage="1" showErrorMessage="1" sqref="Z142" xr:uid="{00000000-0002-0000-1200-000053000000}">
      <formula1>G134:G140</formula1>
    </dataValidation>
    <dataValidation type="list" allowBlank="1" showInputMessage="1" showErrorMessage="1" sqref="Z143" xr:uid="{00000000-0002-0000-1200-000054000000}">
      <formula1>G134:G140</formula1>
    </dataValidation>
    <dataValidation type="list" allowBlank="1" showInputMessage="1" showErrorMessage="1" sqref="Z145" xr:uid="{00000000-0002-0000-1200-000055000000}">
      <formula1>G134:G140</formula1>
    </dataValidation>
    <dataValidation type="list" allowBlank="1" showInputMessage="1" showErrorMessage="1" sqref="Z144" xr:uid="{00000000-0002-0000-1200-000056000000}">
      <formula1>G134:G140</formula1>
    </dataValidation>
    <dataValidation type="list" allowBlank="1" showInputMessage="1" showErrorMessage="1" sqref="Z146" xr:uid="{00000000-0002-0000-1200-000057000000}">
      <formula1>G134:G140</formula1>
    </dataValidation>
    <dataValidation type="list" allowBlank="1" showInputMessage="1" showErrorMessage="1" sqref="Z147" xr:uid="{00000000-0002-0000-1200-000058000000}">
      <formula1>G134:G140</formula1>
    </dataValidation>
    <dataValidation type="list" allowBlank="1" showInputMessage="1" showErrorMessage="1" sqref="Z148" xr:uid="{00000000-0002-0000-1200-000059000000}">
      <formula1>G134:G140</formula1>
    </dataValidation>
    <dataValidation type="list" allowBlank="1" showInputMessage="1" showErrorMessage="1" sqref="Z149" xr:uid="{00000000-0002-0000-1200-00005A000000}">
      <formula1>G134:G140</formula1>
    </dataValidation>
    <dataValidation type="list" allowBlank="1" showInputMessage="1" showErrorMessage="1" sqref="Z150" xr:uid="{00000000-0002-0000-1200-00005B000000}">
      <formula1>G134:G140</formula1>
    </dataValidation>
    <dataValidation type="list" allowBlank="1" showInputMessage="1" showErrorMessage="1" sqref="Z151" xr:uid="{00000000-0002-0000-1200-00005C000000}">
      <formula1>G134:G140</formula1>
    </dataValidation>
    <dataValidation type="list" allowBlank="1" showInputMessage="1" showErrorMessage="1" sqref="Z152" xr:uid="{00000000-0002-0000-1200-00005D000000}">
      <formula1>G134:G140</formula1>
    </dataValidation>
    <dataValidation type="list" allowBlank="1" showInputMessage="1" showErrorMessage="1" sqref="Z153" xr:uid="{00000000-0002-0000-1200-00005E000000}">
      <formula1>G134:G140</formula1>
    </dataValidation>
    <dataValidation type="list" allowBlank="1" showInputMessage="1" showErrorMessage="1" sqref="Z154" xr:uid="{00000000-0002-0000-1200-00005F000000}">
      <formula1>G134:G140</formula1>
    </dataValidation>
    <dataValidation type="list" allowBlank="1" showInputMessage="1" showErrorMessage="1" sqref="V160" xr:uid="{00000000-0002-0000-1200-000060000000}">
      <formula1>G160:G167</formula1>
    </dataValidation>
    <dataValidation type="list" allowBlank="1" showInputMessage="1" showErrorMessage="1" sqref="V161" xr:uid="{00000000-0002-0000-1200-000061000000}">
      <formula1>G160:G167</formula1>
    </dataValidation>
    <dataValidation type="list" allowBlank="1" showInputMessage="1" showErrorMessage="1" sqref="V162" xr:uid="{00000000-0002-0000-1200-000062000000}">
      <formula1>G160:G167</formula1>
    </dataValidation>
    <dataValidation type="list" allowBlank="1" showInputMessage="1" showErrorMessage="1" sqref="V163" xr:uid="{00000000-0002-0000-1200-000063000000}">
      <formula1>G160:G167</formula1>
    </dataValidation>
    <dataValidation type="list" allowBlank="1" showInputMessage="1" showErrorMessage="1" sqref="V164" xr:uid="{00000000-0002-0000-1200-000064000000}">
      <formula1>G160:G167</formula1>
    </dataValidation>
    <dataValidation type="list" allowBlank="1" showInputMessage="1" showErrorMessage="1" sqref="V165" xr:uid="{00000000-0002-0000-1200-000065000000}">
      <formula1>G160:G167</formula1>
    </dataValidation>
    <dataValidation type="list" allowBlank="1" showInputMessage="1" showErrorMessage="1" sqref="V166" xr:uid="{00000000-0002-0000-1200-000066000000}">
      <formula1>G160:G167</formula1>
    </dataValidation>
    <dataValidation type="list" allowBlank="1" showInputMessage="1" showErrorMessage="1" sqref="V167" xr:uid="{00000000-0002-0000-1200-000067000000}">
      <formula1>G160:G167</formula1>
    </dataValidation>
    <dataValidation type="list" allowBlank="1" showInputMessage="1" showErrorMessage="1" sqref="V168" xr:uid="{00000000-0002-0000-1200-000068000000}">
      <formula1>G160:G167</formula1>
    </dataValidation>
    <dataValidation type="list" allowBlank="1" showInputMessage="1" showErrorMessage="1" sqref="V169" xr:uid="{00000000-0002-0000-1200-000069000000}">
      <formula1>G160:G167</formula1>
    </dataValidation>
    <dataValidation type="list" allowBlank="1" showInputMessage="1" showErrorMessage="1" sqref="V170" xr:uid="{00000000-0002-0000-1200-00006A000000}">
      <formula1>G160:G167</formula1>
    </dataValidation>
    <dataValidation type="list" allowBlank="1" showInputMessage="1" showErrorMessage="1" sqref="V171" xr:uid="{00000000-0002-0000-1200-00006B000000}">
      <formula1>G160:G167</formula1>
    </dataValidation>
    <dataValidation type="list" allowBlank="1" showInputMessage="1" showErrorMessage="1" sqref="V172" xr:uid="{00000000-0002-0000-1200-00006C000000}">
      <formula1>G160:G167</formula1>
    </dataValidation>
    <dataValidation type="list" allowBlank="1" showInputMessage="1" showErrorMessage="1" sqref="V173" xr:uid="{00000000-0002-0000-1200-00006D000000}">
      <formula1>G160:G167</formula1>
    </dataValidation>
    <dataValidation type="list" allowBlank="1" showInputMessage="1" showErrorMessage="1" sqref="V174" xr:uid="{00000000-0002-0000-1200-00006E000000}">
      <formula1>G160:G167</formula1>
    </dataValidation>
    <dataValidation type="list" allowBlank="1" showInputMessage="1" showErrorMessage="1" sqref="V175" xr:uid="{00000000-0002-0000-1200-00006F000000}">
      <formula1>G160:G167</formula1>
    </dataValidation>
    <dataValidation type="list" allowBlank="1" showInputMessage="1" showErrorMessage="1" sqref="V176" xr:uid="{00000000-0002-0000-1200-000070000000}">
      <formula1>G160:G167</formula1>
    </dataValidation>
    <dataValidation type="list" allowBlank="1" showInputMessage="1" showErrorMessage="1" sqref="V177" xr:uid="{00000000-0002-0000-1200-000071000000}">
      <formula1>G160:G167</formula1>
    </dataValidation>
    <dataValidation type="list" allowBlank="1" showInputMessage="1" showErrorMessage="1" sqref="V178" xr:uid="{00000000-0002-0000-1200-000072000000}">
      <formula1>G160:G167</formula1>
    </dataValidation>
    <dataValidation type="list" allowBlank="1" showInputMessage="1" showErrorMessage="1" sqref="V179" xr:uid="{00000000-0002-0000-1200-000073000000}">
      <formula1>G160:G167</formula1>
    </dataValidation>
    <dataValidation type="list" allowBlank="1" showInputMessage="1" showErrorMessage="1" sqref="V180" xr:uid="{00000000-0002-0000-1200-000074000000}">
      <formula1>G160:G167</formula1>
    </dataValidation>
    <dataValidation type="list" allowBlank="1" showInputMessage="1" showErrorMessage="1" sqref="V181" xr:uid="{00000000-0002-0000-1200-000075000000}">
      <formula1>G160:G167</formula1>
    </dataValidation>
    <dataValidation type="list" allowBlank="1" showInputMessage="1" showErrorMessage="1" sqref="V182" xr:uid="{00000000-0002-0000-1200-000076000000}">
      <formula1>G160:G167</formula1>
    </dataValidation>
    <dataValidation type="list" allowBlank="1" showInputMessage="1" showErrorMessage="1" sqref="V183" xr:uid="{00000000-0002-0000-1200-000077000000}">
      <formula1>G160:G167</formula1>
    </dataValidation>
    <dataValidation type="list" allowBlank="1" showInputMessage="1" showErrorMessage="1" sqref="V184" xr:uid="{00000000-0002-0000-1200-000078000000}">
      <formula1>G160:G167</formula1>
    </dataValidation>
    <dataValidation type="list" allowBlank="1" showInputMessage="1" showErrorMessage="1" sqref="V185" xr:uid="{00000000-0002-0000-1200-000079000000}">
      <formula1>G160:G167</formula1>
    </dataValidation>
    <dataValidation type="list" allowBlank="1" showInputMessage="1" showErrorMessage="1" sqref="V186" xr:uid="{00000000-0002-0000-1200-00007A000000}">
      <formula1>G160:G167</formula1>
    </dataValidation>
    <dataValidation type="list" allowBlank="1" showInputMessage="1" showErrorMessage="1" sqref="V187" xr:uid="{00000000-0002-0000-1200-00007B000000}">
      <formula1>G160:G167</formula1>
    </dataValidation>
    <dataValidation type="list" allowBlank="1" showInputMessage="1" showErrorMessage="1" sqref="Z160" xr:uid="{00000000-0002-0000-1200-00007C000000}">
      <formula1>G160:G167</formula1>
    </dataValidation>
    <dataValidation type="list" allowBlank="1" showInputMessage="1" showErrorMessage="1" sqref="Z161" xr:uid="{00000000-0002-0000-1200-00007D000000}">
      <formula1>G160:G167</formula1>
    </dataValidation>
    <dataValidation type="list" allowBlank="1" showInputMessage="1" showErrorMessage="1" sqref="Z162" xr:uid="{00000000-0002-0000-1200-00007E000000}">
      <formula1>G160:G167</formula1>
    </dataValidation>
    <dataValidation type="list" allowBlank="1" showInputMessage="1" showErrorMessage="1" sqref="Z163" xr:uid="{00000000-0002-0000-1200-00007F000000}">
      <formula1>G160:G167</formula1>
    </dataValidation>
    <dataValidation type="list" allowBlank="1" showInputMessage="1" showErrorMessage="1" sqref="Z164" xr:uid="{00000000-0002-0000-1200-000080000000}">
      <formula1>G160:G167</formula1>
    </dataValidation>
    <dataValidation type="list" allowBlank="1" showInputMessage="1" showErrorMessage="1" sqref="Z165" xr:uid="{00000000-0002-0000-1200-000081000000}">
      <formula1>G160:G167</formula1>
    </dataValidation>
    <dataValidation type="list" allowBlank="1" showInputMessage="1" showErrorMessage="1" sqref="Z166" xr:uid="{00000000-0002-0000-1200-000082000000}">
      <formula1>G160:G167</formula1>
    </dataValidation>
    <dataValidation type="list" allowBlank="1" showInputMessage="1" showErrorMessage="1" sqref="Z167" xr:uid="{00000000-0002-0000-1200-000083000000}">
      <formula1>G160:G167</formula1>
    </dataValidation>
    <dataValidation type="list" allowBlank="1" showInputMessage="1" showErrorMessage="1" sqref="Z168" xr:uid="{00000000-0002-0000-1200-000084000000}">
      <formula1>G160:G167</formula1>
    </dataValidation>
    <dataValidation type="list" allowBlank="1" showInputMessage="1" showErrorMessage="1" sqref="Z169" xr:uid="{00000000-0002-0000-1200-000085000000}">
      <formula1>G160:G167</formula1>
    </dataValidation>
    <dataValidation type="list" allowBlank="1" showInputMessage="1" showErrorMessage="1" sqref="Z170" xr:uid="{00000000-0002-0000-1200-000086000000}">
      <formula1>G160:G167</formula1>
    </dataValidation>
    <dataValidation type="list" allowBlank="1" showInputMessage="1" showErrorMessage="1" sqref="Z171" xr:uid="{00000000-0002-0000-1200-000087000000}">
      <formula1>G160:G167</formula1>
    </dataValidation>
    <dataValidation type="list" allowBlank="1" showInputMessage="1" showErrorMessage="1" sqref="Z172" xr:uid="{00000000-0002-0000-1200-000088000000}">
      <formula1>G160:G167</formula1>
    </dataValidation>
    <dataValidation type="list" allowBlank="1" showInputMessage="1" showErrorMessage="1" sqref="Z173" xr:uid="{00000000-0002-0000-1200-000089000000}">
      <formula1>G160:G167</formula1>
    </dataValidation>
    <dataValidation type="list" allowBlank="1" showInputMessage="1" showErrorMessage="1" sqref="Z174" xr:uid="{00000000-0002-0000-1200-00008A000000}">
      <formula1>G160:G167</formula1>
    </dataValidation>
    <dataValidation type="list" allowBlank="1" showInputMessage="1" showErrorMessage="1" sqref="Z175" xr:uid="{00000000-0002-0000-1200-00008B000000}">
      <formula1>G160:G167</formula1>
    </dataValidation>
    <dataValidation type="list" allowBlank="1" showInputMessage="1" showErrorMessage="1" sqref="Z176" xr:uid="{00000000-0002-0000-1200-00008C000000}">
      <formula1>G160:G167</formula1>
    </dataValidation>
    <dataValidation type="list" allowBlank="1" showInputMessage="1" showErrorMessage="1" sqref="Z177" xr:uid="{00000000-0002-0000-1200-00008D000000}">
      <formula1>G160:G167</formula1>
    </dataValidation>
    <dataValidation type="list" allowBlank="1" showInputMessage="1" showErrorMessage="1" sqref="Z178" xr:uid="{00000000-0002-0000-1200-00008E000000}">
      <formula1>G160:G167</formula1>
    </dataValidation>
    <dataValidation type="list" allowBlank="1" showInputMessage="1" showErrorMessage="1" sqref="Z179" xr:uid="{00000000-0002-0000-1200-00008F000000}">
      <formula1>G160:G167</formula1>
    </dataValidation>
    <dataValidation type="list" allowBlank="1" showInputMessage="1" showErrorMessage="1" sqref="Z180" xr:uid="{00000000-0002-0000-1200-000090000000}">
      <formula1>G160:G167</formula1>
    </dataValidation>
    <dataValidation type="list" allowBlank="1" showInputMessage="1" showErrorMessage="1" sqref="Z181" xr:uid="{00000000-0002-0000-1200-000091000000}">
      <formula1>G160:G167</formula1>
    </dataValidation>
    <dataValidation type="list" allowBlank="1" showInputMessage="1" showErrorMessage="1" sqref="Z182" xr:uid="{00000000-0002-0000-1200-000092000000}">
      <formula1>G160:G167</formula1>
    </dataValidation>
    <dataValidation type="list" allowBlank="1" showInputMessage="1" showErrorMessage="1" sqref="Z183" xr:uid="{00000000-0002-0000-1200-000093000000}">
      <formula1>G160:G167</formula1>
    </dataValidation>
    <dataValidation type="list" allowBlank="1" showInputMessage="1" showErrorMessage="1" sqref="Z184" xr:uid="{00000000-0002-0000-1200-000094000000}">
      <formula1>G160:G167</formula1>
    </dataValidation>
    <dataValidation type="list" allowBlank="1" showInputMessage="1" showErrorMessage="1" sqref="Z185" xr:uid="{00000000-0002-0000-1200-000095000000}">
      <formula1>G160:G167</formula1>
    </dataValidation>
    <dataValidation type="list" allowBlank="1" showInputMessage="1" showErrorMessage="1" sqref="Z186" xr:uid="{00000000-0002-0000-1200-000096000000}">
      <formula1>G160:G167</formula1>
    </dataValidation>
    <dataValidation type="list" allowBlank="1" showInputMessage="1" showErrorMessage="1" sqref="Z187" xr:uid="{00000000-0002-0000-1200-000097000000}">
      <formula1>G160:G167</formula1>
    </dataValidation>
    <dataValidation type="list" allowBlank="1" showInputMessage="1" showErrorMessage="1" sqref="V8 V16 V19" xr:uid="{00000000-0002-0000-1200-000098000000}">
      <formula1>G7:G9</formula1>
    </dataValidation>
    <dataValidation type="list" allowBlank="1" showInputMessage="1" showErrorMessage="1" sqref="V9 V17 V20" xr:uid="{00000000-0002-0000-1200-000099000000}">
      <formula1>G7:G9</formula1>
    </dataValidation>
    <dataValidation type="whole" allowBlank="1" showInputMessage="1" showErrorMessage="1" errorTitle="Erreur de saisie" error="Vous devez tapez un nombre entier entre 0 et 100" sqref="W1983:W1992 Y1971:Y1980 W1971:W1980 Y1959:Y1968 W1959:W1968 Y1947:Y1956 W1947:W1956 W1935:W1944 Y1935:Y1944 Y1923:Y1932 W1923:W1932 Y1911:Y1920 W1911:W1920 Y1899:Y1908 W1899:W1908 W1887:W1896 Y1887:Y1896 Y1875:Y1884 W1875:W1884 Y1863:Y1872 W1863:W1872 Y1851:Y1860 W1851:W1860 W1839:W1848 Y1839:Y1848 Y1827:Y1836 W1827:W1836 Y1815:Y1824 W1815:W1824 Y1803:Y1812 W1803:W1812 W1791:W1800 Y1791:Y1800 Y1779:Y1788 W1767:W1776 W1779:W1788 Y1767:Y1776 Y1983:Y1992 Y1721:Y1729 W1721:W1729 Y1699:Y1707 W1699:W1707 Y1677:Y1685 W1677:W1685 Y1655:Y1663 W1655:W1663 Y1633:Y1641 W1633:W1641 Y1611:Y1619 W1611:W1619 Y1578:Y1586 W1578:W1586 Y1567:Y1575 W1567:W1575 Y1545:Y1553 W1545:W1553 Y1534:Y1542 W1534:W1542 Y1556:Y1564 W1556:W1564 W1478:W1486 Y1478:Y1486 Y1589:Y1597 W1589:W1597 W1622:W1630 Y1622:Y1630 Y1644:Y1652 W1644:W1652 W1666:W1674 Y1666:Y1674 Y1688:Y1696 W1688:W1696 W1710:W1718 Y1710:Y1718 Y1732:Y1740 W1732:W1740 W1467:W1475 Y1467:Y1475 W1434:W1442 Y1434:Y1442 W1445:W1453 Y1445:Y1453 W1401:W1409 Y1401:Y1409 W1379:W1387 Y1379:Y1387 W1357:W1365 Y1357:Y1365 W1346:W1354 Y1346:Y1354 W1324:W1332 Y1324:Y1332 Y1600:Y1608 W1600:W1608 W1335:W1343 Y1335:Y1343 W1368:W1376 Y1368:Y1376 W1390:W1398 Y1390:Y1398 W1412:W1420 Y1412:Y1420 W1423:W1431 Y1423:Y1431 W1456:W1464 Y1456:Y1464 W1489:W1497 Y1489:Y1497 W1500:W1508 Y1500:Y1508 W1282:W1289 Y1282:Y1289 W1262:W1269 Y1262:Y1269 W1242:W1249 Y1242:Y1249 W1222:W1229 Y1222:Y1229 W1202:W1209 Y1202:Y1209 W1182:W1189 Y1182:Y1189 W1162:W1169 Y1162:Y1169 W1142:W1149 Y1142:Y1149 Y1132:Y1139 W1132:W1139 Y1152:Y1159 W1152:W1159 Y1172:Y1179 W1172:W1179 Y1192:Y1199 W1192:W1199 Y1212:Y1219 W1212:W1219 Y1232:Y1239 W1232:W1239 Y1252:Y1259 W1252:W1259 Y1272:Y1279 W1272:W1279 Y1292:Y1299 W1292:W1299 W1091:W1098 Y1091:Y1098 W1051:W1058 Y1051:Y1058 W1031:W1038 Y1031:Y1038 W1011:W1018 Y1011:Y1018 W991:W998 Y991:Y998 W971:W978 Y971:Y978 W961:W968 Y961:Y968 W981:W988 Y981:Y988 W1001:W1008 Y1001:Y1008 W1021:W1028 Y1021:Y1028 W1041:W1048 Y1041:Y1048 W1061:W1068 Y1061:Y1068 W1071:W1078 Y1071:Y1078 W1081:W1088 Y1081:Y1088 W1101:W1108 Y1101:Y1108 W923:W929 Y923:Y929 W905:W911 Y905:Y911 W887:W893 Y887:Y893 W869:W875 Y869:Y875 W851:W857 Y851:Y857 W833:W839 Y833:Y839 W815:W821 Y815:Y821 Y806:Y812 W806:W812 Y824:Y830 W824:W830 Y842:Y848 W842:W848 Y860:Y866 W860:W866 Y878:Y884 W878:W884 Y896:Y902 W896:W902 Y914:Y920 W914:W920 Y932:Y938 W932:W938 W778:W784 Y778:Y784 Y769:Y775 W769:W775 Y751:Y757 W751:W757 Y733:Y739 W733:W739 Y715:Y721 W715:W721 Y697:Y703 W697:W703 W688:W694 Y688:Y694 W670:W676 Y670:Y676 Y679:Y685 W679:W685 W706:W712 Y706:Y712 W724:W730 Y724:Y730 W742:W748 Y742:Y748 W760:W766 Y760:Y766 Y636:Y641 W636:W641 Y620:Y625 W620:W625 Y604:Y609 W604:W609 Y588:Y593 W588:W593 Y572:Y577 W572:W577 Y556:Y561 W556:W561 Y548:Y553 W548:W553 Y564:Y569 W564:W569 Y580:Y585 W580:W585 Y596:Y601 W596:W601 Y612:Y617 W612:W617 Y628:Y633 W628:W633 Y644:Y649 W644:W649 W515:W520 Y515:Y520 W499:W504 Y499:Y504 W483:W488 Y483:Y488 W467:W472 Y467:Y472 W459:W464 Y459:Y464 W443:W448 Y443:Y448 W451:W456 Y451:Y456 W475:W480 Y475:Y480 W491:W496 Y491:Y496 W507:W512 Y507:Y512 W523:W528 Y523:Y528 W413:W417 Y413:Y417 W399:W403 Y399:Y403 W385:W389 Y385:Y389 W371:W375 Y371:Y375 W357:W361 Y357:Y361 Y350:Y354 W350:W354 Y364:Y368 W364:W368 Y378:Y382 W378:W382 Y392:Y396 W392:W396 Y406:Y410 W406:W410 Y420:Y424 W420:W424 Y321:Y325 W321:W325 Y307:Y311 W307:W311 Y293:Y297 W293:W297 W286:W290 Y286:Y290 W272:W276 Y272:Y276 Y279:Y283 W279:W283 W300:W304 Y300:Y304 W314:W318 Y314:Y318 W328:W332 Y328:Y332 Y246:Y249 W240:W243 Y234:Y237 W228:W231 Y222:Y225 W216:W219 Y210:Y213 W204:W207 Y54:Y63 Y7:Y9 Y134:Y154 Y15:Y20 W15:W20 W7:W9 Y26:Y31 Y114:Y128 W114:W128 Y160:Y187 W252:W255 W54:W63 Y204:Y207 W160:W187 Y216:Y219 W210:W213 Y228:Y231 W222:W225 Y240:Y243 W234:W237 Y252:Y255 W246:W249 W26:W31 Y69:Y78 W69:W78 W94:W108 Y94:Y108 W134:W154 W37:W48 Y37:Y48" xr:uid="{00000000-0002-0000-1200-00009A000000}">
      <formula1>0</formula1>
      <formula2>100</formula2>
    </dataValidation>
    <dataValidation type="list" allowBlank="1" showInputMessage="1" showErrorMessage="1" sqref="U114:U128 U160:U187 U134:U154 U94:U108 U54:U63 U37:U48 U26:U31 U15:U20 U7:U9 U69:U88" xr:uid="{00000000-0002-0000-1200-00009B000000}">
      <formula1>List_Referee</formula1>
    </dataValidation>
    <dataValidation type="list" allowBlank="1" showInputMessage="1" sqref="G1745:G1764 G7:G9 G15:G17 G26:G29 G37:G40 G54:G58 G69:G73 G94:G99 G114:G119 G134:G140 G160:G167 G1513:G1531 G193:G201 G337:G347 G429:G440 G533:G545 G654:G667 G789:G803 G943:G958 G1113:G1129 G1304:G1321 G260:G269" xr:uid="{00000000-0002-0000-1200-00009C000000}">
      <formula1>OFFSET(List_headers,1,MATCH(Particular_Category,List_headers,0)-1,OFFSET(List_headers,-1,MATCH(Particular_Category,List_headers,0)-1,1,1)+1,1)</formula1>
    </dataValidation>
    <dataValidation type="list" allowBlank="1" showInputMessage="1" showErrorMessage="1" sqref="Z30 Z41" xr:uid="{00000000-0002-0000-1200-00009D000000}">
      <formula1>G26:G29</formula1>
    </dataValidation>
    <dataValidation type="list" allowBlank="1" showInputMessage="1" showErrorMessage="1" sqref="Z31 Z42" xr:uid="{00000000-0002-0000-1200-00009E000000}">
      <formula1>G26:G29</formula1>
    </dataValidation>
    <dataValidation type="list" allowBlank="1" showInputMessage="1" showErrorMessage="1" sqref="Z28 Z39" xr:uid="{00000000-0002-0000-1200-00009F000000}">
      <formula1>G26:G29</formula1>
    </dataValidation>
    <dataValidation type="list" allowBlank="1" showInputMessage="1" showErrorMessage="1" sqref="Z27 Z38" xr:uid="{00000000-0002-0000-1200-0000A0000000}">
      <formula1>G26:G29</formula1>
    </dataValidation>
    <dataValidation type="list" allowBlank="1" showInputMessage="1" showErrorMessage="1" sqref="Z26 Z37" xr:uid="{00000000-0002-0000-1200-0000A1000000}">
      <formula1>G26:G29</formula1>
    </dataValidation>
    <dataValidation type="list" allowBlank="1" showInputMessage="1" showErrorMessage="1" sqref="V31 V42" xr:uid="{00000000-0002-0000-1200-0000A2000000}">
      <formula1>G26:G29</formula1>
    </dataValidation>
    <dataValidation type="list" allowBlank="1" showInputMessage="1" showErrorMessage="1" sqref="V30 V41" xr:uid="{00000000-0002-0000-1200-0000A3000000}">
      <formula1>G26:G29</formula1>
    </dataValidation>
    <dataValidation type="list" allowBlank="1" showInputMessage="1" showErrorMessage="1" sqref="V29 V40" xr:uid="{00000000-0002-0000-1200-0000A4000000}">
      <formula1>G26:G29</formula1>
    </dataValidation>
    <dataValidation type="list" allowBlank="1" showInputMessage="1" showErrorMessage="1" sqref="V28 V39" xr:uid="{00000000-0002-0000-1200-0000A5000000}">
      <formula1>G26:G29</formula1>
    </dataValidation>
    <dataValidation type="list" allowBlank="1" showInputMessage="1" showErrorMessage="1" sqref="V26 V37" xr:uid="{00000000-0002-0000-1200-0000A6000000}">
      <formula1>G26:G29</formula1>
    </dataValidation>
    <dataValidation type="list" allowBlank="1" showInputMessage="1" showErrorMessage="1" sqref="V27 V38" xr:uid="{00000000-0002-0000-1200-0000A7000000}">
      <formula1>G26:G29</formula1>
    </dataValidation>
    <dataValidation type="list" allowBlank="1" showInputMessage="1" showErrorMessage="1" sqref="Z29 Z40" xr:uid="{00000000-0002-0000-1200-0000A8000000}">
      <formula1>G26:G29</formula1>
    </dataValidation>
  </dataValidations>
  <printOptions horizontalCentered="1"/>
  <pageMargins left="0.59055118110236227" right="0.59055118110236227" top="0.94488188976377963" bottom="0.70866141732283472" header="0.31496062992125984" footer="0.31496062992125984"/>
  <pageSetup paperSize="9" fitToHeight="20" orientation="landscape"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t_GroupsDoubles">
    <tabColor theme="0" tint="-0.249977111117893"/>
    <outlinePr summaryBelow="0" summaryRight="0"/>
    <pageSetUpPr fitToPage="1"/>
  </sheetPr>
  <dimension ref="A1:CJ174"/>
  <sheetViews>
    <sheetView showGridLines="0" defaultGridColor="0" colorId="18" zoomScaleNormal="100" workbookViewId="0">
      <selection activeCell="C1" sqref="C1:F1048576"/>
    </sheetView>
  </sheetViews>
  <sheetFormatPr baseColWidth="10" defaultColWidth="4.5703125" defaultRowHeight="12.75" outlineLevelRow="3" outlineLevelCol="1" x14ac:dyDescent="0.2"/>
  <cols>
    <col min="1" max="1" width="3.7109375" style="7" customWidth="1"/>
    <col min="2" max="2" width="6.85546875" style="7" bestFit="1" customWidth="1"/>
    <col min="3" max="3" width="5" style="7" hidden="1" customWidth="1"/>
    <col min="4" max="4" width="12" style="7" hidden="1" customWidth="1"/>
    <col min="5" max="5" width="8" style="7" hidden="1" customWidth="1"/>
    <col min="6" max="6" width="12" style="7" hidden="1" customWidth="1"/>
    <col min="7" max="7" width="15.140625" style="7" bestFit="1" customWidth="1" collapsed="1"/>
    <col min="8" max="8" width="3.7109375" style="7" hidden="1" customWidth="1" outlineLevel="1"/>
    <col min="9" max="9" width="2" style="7" hidden="1" customWidth="1" outlineLevel="1"/>
    <col min="10" max="10" width="2.42578125" style="7" hidden="1" customWidth="1" outlineLevel="1"/>
    <col min="11" max="12" width="2.28515625" style="7" hidden="1" customWidth="1" outlineLevel="1"/>
    <col min="13" max="13" width="5.85546875" style="7" hidden="1" customWidth="1" outlineLevel="1"/>
    <col min="14" max="15" width="3.85546875" style="7" hidden="1" customWidth="1" outlineLevel="1"/>
    <col min="16" max="16" width="6.140625" style="7" hidden="1" customWidth="1" outlineLevel="1"/>
    <col min="17" max="18" width="3.5703125" style="7" hidden="1" customWidth="1" outlineLevel="1"/>
    <col min="19" max="19" width="6.5703125" style="7" hidden="1" customWidth="1" outlineLevel="1"/>
    <col min="20" max="20" width="3.28515625" style="7" customWidth="1"/>
    <col min="21" max="21" width="4.28515625" style="7" customWidth="1" collapsed="1"/>
    <col min="22" max="22" width="6.42578125" style="7" hidden="1" customWidth="1" outlineLevel="1"/>
    <col min="23" max="23" width="6.140625" style="7" hidden="1" customWidth="1" outlineLevel="1"/>
    <col min="24" max="24" width="7.140625" style="7" hidden="1" customWidth="1" outlineLevel="1"/>
    <col min="25" max="25" width="12" style="7" customWidth="1"/>
    <col min="26" max="26" width="3.140625" style="7" customWidth="1"/>
    <col min="27" max="27" width="1.5703125" style="7" bestFit="1" customWidth="1"/>
    <col min="28" max="28" width="3" style="7" customWidth="1"/>
    <col min="29" max="29" width="11.42578125" style="7" customWidth="1"/>
    <col min="30" max="30" width="2.42578125" style="7" customWidth="1"/>
    <col min="31" max="34" width="2.28515625" style="7" customWidth="1"/>
    <col min="35" max="35" width="4.28515625" style="7" customWidth="1"/>
    <col min="36" max="36" width="2.42578125" style="7" customWidth="1"/>
    <col min="37" max="37" width="2.5703125" style="7" customWidth="1"/>
    <col min="38" max="38" width="7.42578125" style="7" customWidth="1"/>
    <col min="39" max="40" width="2.5703125" style="7" customWidth="1"/>
    <col min="41" max="41" width="4.5703125" style="7" bestFit="1" customWidth="1"/>
    <col min="42" max="42" width="10.5703125" style="7" bestFit="1" customWidth="1"/>
    <col min="43" max="43" width="3.7109375" style="7" bestFit="1" customWidth="1"/>
    <col min="44" max="44" width="2" style="7" bestFit="1" customWidth="1"/>
    <col min="45" max="45" width="2.42578125" style="7" bestFit="1" customWidth="1"/>
    <col min="46" max="47" width="2.28515625" style="7" bestFit="1" customWidth="1"/>
    <col min="48" max="48" width="5.85546875" style="7" bestFit="1" customWidth="1"/>
    <col min="49" max="50" width="3.85546875" style="7" bestFit="1" customWidth="1"/>
    <col min="51" max="51" width="6.140625" style="7" bestFit="1" customWidth="1"/>
    <col min="52" max="53" width="3.5703125" style="7" bestFit="1" customWidth="1"/>
    <col min="54" max="54" width="5.85546875" style="7" bestFit="1" customWidth="1" collapsed="1"/>
    <col min="55" max="69" width="3.42578125" style="7" hidden="1" customWidth="1" outlineLevel="1"/>
    <col min="70" max="72" width="5.85546875" style="7" hidden="1" customWidth="1"/>
    <col min="73" max="73" width="3.5703125" style="7" customWidth="1"/>
    <col min="74" max="74" width="3.42578125" style="7" customWidth="1"/>
    <col min="75" max="75" width="11.42578125" style="7" customWidth="1"/>
    <col min="76" max="87" width="4.5703125" style="7"/>
    <col min="88" max="88" width="6.42578125" style="270" hidden="1" customWidth="1"/>
    <col min="89" max="16384" width="4.5703125" style="7"/>
  </cols>
  <sheetData>
    <row r="1" spans="1:88" x14ac:dyDescent="0.2">
      <c r="A1"/>
      <c r="B1" s="1"/>
      <c r="D1" s="1268" t="str">
        <f>Event6</f>
        <v>U12</v>
      </c>
      <c r="E1"/>
      <c r="F1"/>
      <c r="G1"/>
      <c r="H1"/>
      <c r="I1"/>
      <c r="J1"/>
      <c r="K1"/>
      <c r="L1"/>
      <c r="M1"/>
      <c r="N1"/>
      <c r="O1"/>
      <c r="P1"/>
      <c r="Q1"/>
      <c r="R1"/>
      <c r="S1"/>
      <c r="U1" s="1"/>
      <c r="V1" s="1"/>
      <c r="W1"/>
      <c r="X1" s="6"/>
      <c r="Y1"/>
      <c r="Z1" s="1"/>
      <c r="AA1"/>
      <c r="AB1" s="16"/>
      <c r="AC1" s="16"/>
      <c r="AD1"/>
      <c r="AE1"/>
      <c r="AF1"/>
      <c r="AG1"/>
      <c r="AH1"/>
      <c r="AI1"/>
      <c r="AJ1"/>
      <c r="AK1"/>
      <c r="AL1"/>
      <c r="AM1"/>
      <c r="AO1"/>
      <c r="AP1"/>
      <c r="AQ1"/>
      <c r="AR1"/>
      <c r="AS1"/>
      <c r="AT1"/>
      <c r="AU1"/>
      <c r="AV1"/>
      <c r="AW1"/>
      <c r="AX1"/>
      <c r="AY1"/>
      <c r="AZ1"/>
      <c r="BA1"/>
      <c r="BB1"/>
      <c r="BC1"/>
      <c r="BD1"/>
      <c r="BE1"/>
      <c r="BF1"/>
      <c r="BG1"/>
      <c r="BH1"/>
      <c r="BI1"/>
      <c r="BJ1"/>
      <c r="BK1"/>
      <c r="BL1"/>
      <c r="BM1"/>
      <c r="BN1"/>
      <c r="BO1"/>
      <c r="BP1"/>
      <c r="BQ1"/>
      <c r="BR1" s="1396"/>
      <c r="BS1" s="1396"/>
      <c r="BT1"/>
      <c r="BU1"/>
      <c r="BV1" s="1396"/>
      <c r="BW1"/>
    </row>
    <row r="2" spans="1:88" ht="20.25" x14ac:dyDescent="0.3">
      <c r="A2"/>
      <c r="B2" s="1"/>
      <c r="C2" s="1495"/>
      <c r="D2" s="833" t="s">
        <v>1570</v>
      </c>
      <c r="E2"/>
      <c r="F2"/>
      <c r="G2" s="1"/>
      <c r="H2"/>
      <c r="I2"/>
      <c r="J2"/>
      <c r="K2"/>
      <c r="L2"/>
      <c r="M2"/>
      <c r="N2"/>
      <c r="O2"/>
      <c r="P2"/>
      <c r="Q2"/>
      <c r="R2"/>
      <c r="S2"/>
      <c r="T2"/>
      <c r="V2" s="1"/>
      <c r="W2" s="1"/>
      <c r="X2"/>
      <c r="Y2" s="2086" t="str">
        <f>SHEETNAME(D1)</f>
        <v>Dble Groups</v>
      </c>
      <c r="Z2" s="2086"/>
      <c r="AA2" s="2086"/>
      <c r="AB2" s="2086"/>
      <c r="AC2" s="2086"/>
      <c r="AD2" s="16"/>
      <c r="AE2"/>
      <c r="AF2"/>
      <c r="AG2"/>
      <c r="AH2"/>
      <c r="AI2"/>
      <c r="AJ2"/>
      <c r="AK2"/>
      <c r="AL2"/>
      <c r="AM2"/>
      <c r="AN2"/>
      <c r="AP2"/>
      <c r="AQ2"/>
      <c r="AR2"/>
      <c r="AS2" s="6"/>
      <c r="AT2"/>
      <c r="AU2"/>
      <c r="AV2"/>
      <c r="AW2"/>
      <c r="AX2"/>
      <c r="AY2"/>
      <c r="AZ2"/>
      <c r="BA2"/>
      <c r="BB2"/>
      <c r="BC2"/>
      <c r="BD2"/>
      <c r="BE2"/>
      <c r="BF2"/>
      <c r="BG2"/>
      <c r="BH2"/>
      <c r="BI2"/>
      <c r="BJ2"/>
      <c r="BK2"/>
      <c r="BL2"/>
      <c r="BM2"/>
      <c r="BN2"/>
      <c r="BO2"/>
      <c r="BP2"/>
      <c r="BQ2"/>
      <c r="BR2"/>
      <c r="BS2" s="1396"/>
      <c r="BT2" s="1396"/>
      <c r="BU2"/>
      <c r="BV2"/>
      <c r="BW2"/>
      <c r="CJ2" s="575" t="s">
        <v>5471</v>
      </c>
    </row>
    <row r="3" spans="1:88" ht="13.5" thickBot="1" x14ac:dyDescent="0.25">
      <c r="A3"/>
      <c r="B3" s="1"/>
      <c r="C3"/>
      <c r="D3"/>
      <c r="E3"/>
      <c r="F3"/>
      <c r="G3" s="1268" t="s">
        <v>1570</v>
      </c>
      <c r="H3"/>
      <c r="I3"/>
      <c r="J3"/>
      <c r="K3"/>
      <c r="L3"/>
      <c r="M3"/>
      <c r="N3"/>
      <c r="O3"/>
      <c r="P3"/>
      <c r="Q3"/>
      <c r="R3"/>
      <c r="S3"/>
      <c r="T3"/>
      <c r="V3" s="1"/>
      <c r="W3" s="1"/>
      <c r="X3"/>
      <c r="Y3" s="6"/>
      <c r="Z3"/>
      <c r="AA3" s="1"/>
      <c r="AB3"/>
      <c r="AC3" s="16"/>
      <c r="AD3" s="16"/>
      <c r="AE3"/>
      <c r="AF3"/>
      <c r="AG3"/>
      <c r="AH3"/>
      <c r="AI3"/>
      <c r="AJ3"/>
      <c r="AK3"/>
      <c r="AL3"/>
      <c r="AM3"/>
      <c r="AN3"/>
      <c r="AP3"/>
      <c r="AQ3"/>
      <c r="AR3"/>
      <c r="AS3" s="6"/>
      <c r="AT3"/>
      <c r="AU3"/>
      <c r="AV3"/>
      <c r="AW3"/>
      <c r="AX3"/>
      <c r="AY3"/>
      <c r="AZ3"/>
      <c r="BA3"/>
      <c r="BB3"/>
      <c r="BC3"/>
      <c r="BD3"/>
      <c r="BE3"/>
      <c r="BF3"/>
      <c r="BG3"/>
      <c r="BH3"/>
      <c r="BI3"/>
      <c r="BJ3"/>
      <c r="BK3"/>
      <c r="BL3"/>
      <c r="BM3"/>
      <c r="BN3"/>
      <c r="BO3"/>
      <c r="BP3"/>
      <c r="BQ3"/>
      <c r="BR3"/>
      <c r="BS3" s="1396"/>
      <c r="BT3" s="1396"/>
      <c r="BU3"/>
      <c r="BV3"/>
      <c r="BW3"/>
      <c r="CJ3" s="270">
        <f>COUNTA(CJ4:CJ67)-COUNTIF(CJ4:CJ67,"")</f>
        <v>0</v>
      </c>
    </row>
    <row r="4" spans="1:88" ht="13.5" thickBot="1" x14ac:dyDescent="0.25">
      <c r="A4"/>
      <c r="B4" s="282" t="str">
        <f>N_Group_3</f>
        <v>Group of 3</v>
      </c>
      <c r="C4" s="283"/>
      <c r="D4" s="283"/>
      <c r="E4" s="283"/>
      <c r="F4" s="283"/>
      <c r="G4" s="283"/>
      <c r="H4" s="283"/>
      <c r="I4" s="283"/>
      <c r="J4" s="283"/>
      <c r="K4" s="283"/>
      <c r="L4" s="283"/>
      <c r="M4" s="283"/>
      <c r="N4" s="283"/>
      <c r="O4" s="283"/>
      <c r="P4" s="283"/>
      <c r="Q4" s="283"/>
      <c r="R4" s="283"/>
      <c r="S4" s="283"/>
      <c r="T4" s="283"/>
      <c r="U4" s="283"/>
      <c r="V4" s="283"/>
      <c r="W4" s="283"/>
      <c r="X4" s="283"/>
      <c r="Y4" s="283"/>
      <c r="Z4" s="283"/>
      <c r="AA4" s="283"/>
      <c r="AB4" s="283"/>
      <c r="AC4" s="283"/>
      <c r="AD4" s="283"/>
      <c r="AE4" s="283"/>
      <c r="AF4" s="283"/>
      <c r="AG4" s="283"/>
      <c r="AH4" s="283"/>
      <c r="AI4" s="283"/>
      <c r="AJ4" s="283"/>
      <c r="AK4" s="283"/>
      <c r="AL4" s="283"/>
      <c r="AM4" s="284"/>
      <c r="AN4" s="320" t="str">
        <f>B4</f>
        <v>Group of 3</v>
      </c>
      <c r="AO4" s="1488"/>
      <c r="AP4" s="1488"/>
      <c r="AQ4" s="1488"/>
      <c r="AR4" s="1488"/>
      <c r="AS4" s="1488"/>
      <c r="AT4" s="1488"/>
      <c r="AU4" s="1488"/>
      <c r="AV4" s="1488"/>
      <c r="AW4" s="1488"/>
      <c r="AX4" s="1488"/>
      <c r="AY4" s="1488"/>
      <c r="AZ4" s="1488"/>
      <c r="BA4" s="1488"/>
      <c r="BB4" s="1488"/>
      <c r="BC4" s="1488"/>
      <c r="BD4" s="1488"/>
      <c r="BE4" s="1488"/>
      <c r="BF4" s="1488"/>
      <c r="BG4" s="1488"/>
      <c r="BH4" s="1488"/>
      <c r="BI4" s="1488"/>
      <c r="BJ4" s="1488"/>
      <c r="BK4" s="1488"/>
      <c r="BL4" s="1488"/>
      <c r="BM4" s="1488"/>
      <c r="BN4" s="1488"/>
      <c r="BO4" s="1488"/>
      <c r="BP4" s="1488"/>
      <c r="BQ4" s="1488"/>
      <c r="BR4" s="1395" t="s">
        <v>7639</v>
      </c>
      <c r="BS4" s="1450"/>
      <c r="BT4" s="1450"/>
      <c r="BU4" s="1489"/>
      <c r="BV4"/>
      <c r="BW4"/>
      <c r="CJ4" s="270" t="str">
        <f t="array" ref="CJ4:CJ67">TEAMLISTEVT(Particular_Category)</f>
        <v/>
      </c>
    </row>
    <row r="5" spans="1:88" ht="13.5" outlineLevel="1" thickBot="1" x14ac:dyDescent="0.25">
      <c r="A5"/>
      <c r="B5" s="1"/>
      <c r="C5"/>
      <c r="D5"/>
      <c r="E5"/>
      <c r="F5"/>
      <c r="G5" s="1"/>
      <c r="H5"/>
      <c r="I5"/>
      <c r="J5"/>
      <c r="K5"/>
      <c r="L5"/>
      <c r="M5"/>
      <c r="N5"/>
      <c r="O5"/>
      <c r="P5"/>
      <c r="Q5"/>
      <c r="R5"/>
      <c r="S5"/>
      <c r="T5"/>
      <c r="V5" s="1"/>
      <c r="W5" s="1"/>
      <c r="X5"/>
      <c r="Y5" s="6"/>
      <c r="Z5"/>
      <c r="AA5" s="1"/>
      <c r="AB5"/>
      <c r="AC5" s="16"/>
      <c r="AD5" s="16"/>
      <c r="AE5"/>
      <c r="AF5"/>
      <c r="AG5"/>
      <c r="AH5"/>
      <c r="AI5"/>
      <c r="AJ5"/>
      <c r="AK5"/>
      <c r="AL5"/>
      <c r="AM5"/>
      <c r="AN5"/>
      <c r="AP5"/>
      <c r="AQ5"/>
      <c r="AR5"/>
      <c r="AS5"/>
      <c r="AT5"/>
      <c r="AU5"/>
      <c r="AV5"/>
      <c r="AW5"/>
      <c r="AX5"/>
      <c r="AY5"/>
      <c r="AZ5"/>
      <c r="BA5"/>
      <c r="BB5"/>
      <c r="BC5"/>
      <c r="BD5"/>
      <c r="BE5"/>
      <c r="BF5"/>
      <c r="BG5"/>
      <c r="BH5"/>
      <c r="BI5"/>
      <c r="BJ5"/>
      <c r="BK5"/>
      <c r="BL5"/>
      <c r="BM5"/>
      <c r="BN5"/>
      <c r="BO5"/>
      <c r="BP5"/>
      <c r="BQ5"/>
      <c r="BR5" s="1395"/>
      <c r="BS5" s="1450"/>
      <c r="BT5" s="1450"/>
      <c r="BU5"/>
      <c r="BV5"/>
      <c r="BW5"/>
      <c r="CJ5" s="270" t="str">
        <v/>
      </c>
    </row>
    <row r="6" spans="1:88" ht="13.5" outlineLevel="1" thickBot="1" x14ac:dyDescent="0.25">
      <c r="A6"/>
      <c r="B6" s="18" t="str">
        <f>N_Tirage</f>
        <v>Tirage</v>
      </c>
      <c r="C6" s="19" t="s">
        <v>787</v>
      </c>
      <c r="D6" s="20" t="s">
        <v>831</v>
      </c>
      <c r="E6" s="20" t="s">
        <v>832</v>
      </c>
      <c r="F6" s="67" t="s">
        <v>833</v>
      </c>
      <c r="G6" s="22" t="str">
        <f>N_Equipes</f>
        <v>Equipes</v>
      </c>
      <c r="H6" s="25" t="str">
        <f>N_Pts</f>
        <v>Pts</v>
      </c>
      <c r="I6" s="25" t="str">
        <f>N_J</f>
        <v>J</v>
      </c>
      <c r="J6" s="26" t="str">
        <f>N_G</f>
        <v>G</v>
      </c>
      <c r="K6" s="26" t="str">
        <f>N_N</f>
        <v>N</v>
      </c>
      <c r="L6" s="26" t="str">
        <f>N_P</f>
        <v>P</v>
      </c>
      <c r="M6" s="26" t="str">
        <f>N_Diff_R</f>
        <v>Diff R</v>
      </c>
      <c r="N6" s="26" t="str">
        <f>N_MP</f>
        <v>MP</v>
      </c>
      <c r="O6" s="26" t="str">
        <f>N_MC</f>
        <v>MC</v>
      </c>
      <c r="P6" s="5" t="str">
        <f>N_Diff_M</f>
        <v>Diff M</v>
      </c>
      <c r="Q6" s="26" t="str">
        <f>N_BP</f>
        <v>BP</v>
      </c>
      <c r="R6" s="26" t="str">
        <f>N_BC</f>
        <v>BC</v>
      </c>
      <c r="S6" s="68" t="str">
        <f>N_Diff_B</f>
        <v>Diff B</v>
      </c>
      <c r="T6"/>
      <c r="V6" s="1"/>
      <c r="W6" s="1"/>
      <c r="X6"/>
      <c r="Y6" s="6"/>
      <c r="Z6"/>
      <c r="AA6" s="1"/>
      <c r="AB6"/>
      <c r="AC6" s="16"/>
      <c r="AD6" s="16"/>
      <c r="AE6"/>
      <c r="AF6"/>
      <c r="AG6"/>
      <c r="AH6"/>
      <c r="AI6"/>
      <c r="AJ6"/>
      <c r="AK6"/>
      <c r="AL6"/>
      <c r="AM6"/>
      <c r="AN6"/>
      <c r="AO6" s="69" t="str">
        <f>N_Cla.</f>
        <v>Cla.</v>
      </c>
      <c r="AP6" s="3" t="str">
        <f>N_Equipes</f>
        <v>Equipes</v>
      </c>
      <c r="AQ6" s="23" t="str">
        <f>N_Pts</f>
        <v>Pts</v>
      </c>
      <c r="AR6" s="23" t="str">
        <f>N_J</f>
        <v>J</v>
      </c>
      <c r="AS6" s="20" t="str">
        <f>N_G</f>
        <v>G</v>
      </c>
      <c r="AT6" s="20" t="str">
        <f>N_N</f>
        <v>N</v>
      </c>
      <c r="AU6" s="20" t="str">
        <f>N_P</f>
        <v>P</v>
      </c>
      <c r="AV6" s="21" t="str">
        <f>N_Diff_R</f>
        <v>Diff R</v>
      </c>
      <c r="AW6" s="70" t="str">
        <f>N_MP</f>
        <v>MP</v>
      </c>
      <c r="AX6" s="20" t="str">
        <f>N_MC</f>
        <v>MC</v>
      </c>
      <c r="AY6" s="71" t="str">
        <f>N_Diff_M</f>
        <v>Diff M</v>
      </c>
      <c r="AZ6" s="70" t="str">
        <f>N_BP</f>
        <v>BP</v>
      </c>
      <c r="BA6" s="20" t="str">
        <f>N_BC</f>
        <v>BC</v>
      </c>
      <c r="BB6" s="21" t="str">
        <f>N_Diff_B</f>
        <v>Diff B</v>
      </c>
      <c r="BC6" s="286" t="str">
        <f>N_Matches</f>
        <v>Matches</v>
      </c>
      <c r="BD6" s="287"/>
      <c r="BE6" s="288"/>
      <c r="BF6"/>
      <c r="BG6"/>
      <c r="BH6"/>
      <c r="BI6"/>
      <c r="BJ6"/>
      <c r="BK6"/>
      <c r="BL6"/>
      <c r="BM6"/>
      <c r="BN6"/>
      <c r="BO6"/>
      <c r="BP6"/>
      <c r="BQ6"/>
      <c r="BR6" s="1395"/>
      <c r="BS6" s="1450"/>
      <c r="BT6" s="1450"/>
      <c r="BU6"/>
      <c r="BV6"/>
      <c r="BW6"/>
      <c r="CJ6" s="270" t="str">
        <v/>
      </c>
    </row>
    <row r="7" spans="1:88" outlineLevel="1" x14ac:dyDescent="0.2">
      <c r="A7"/>
      <c r="B7" s="31">
        <v>1</v>
      </c>
      <c r="C7" s="53" t="str">
        <f>IF(AL10="","",RANK(F7,F7:F9)*1000+ROW())</f>
        <v/>
      </c>
      <c r="D7" s="28" t="str">
        <f>IF(J7="","",H7*CritClassEq1_Points+M7*CritClassEq1_DiffRencontres+P7*CritClassEq1_DiffMatches+S7*CritClassEq1_DiffButs+N7*CritClassEq1_Matches+Q7*CritClassEq1_Attaque)</f>
        <v/>
      </c>
      <c r="E7" s="28" t="str">
        <f>IF(J7="","",Nb_Diff_Part(D7,D7:D9,G7,G7:G9,AK11:AK19)*CritClassInd_DiffPart)</f>
        <v/>
      </c>
      <c r="F7" s="72" t="str">
        <f>IF(J7="","",D7+E7+H7*CritClassEq2_Points+M7*CritClassEq2_DiffRencontres+P7*CritClassEq2_DiffMatches+S7*CritClassEq2_DiffButs+N7*CritClassEq2_Matches+Q7*CritClassEq2_Attaque)</f>
        <v/>
      </c>
      <c r="G7" s="454" t="s">
        <v>892</v>
      </c>
      <c r="H7" s="340" t="str">
        <f>IF(AL10="","",(J7*Points_Victoire)+K7*Points_Null)</f>
        <v/>
      </c>
      <c r="I7" s="33" t="str">
        <f>IF(J7="","",SUM(J7:L7))</f>
        <v/>
      </c>
      <c r="J7" s="33" t="str">
        <f>IF(AL10="","",COUNTIF(AE11:AE17,G7))</f>
        <v/>
      </c>
      <c r="K7" s="33" t="str">
        <f>IF(AL10="","",COUNTIF(AF11:AG17,G7))</f>
        <v/>
      </c>
      <c r="L7" s="33" t="str">
        <f>IF(AL10="","",COUNTIF(AH11:AH17,G7))</f>
        <v/>
      </c>
      <c r="M7" s="338" t="str">
        <f>IF(AL10="","",J7-L7)</f>
        <v/>
      </c>
      <c r="N7" s="100" t="str">
        <f>IF(AL10="","",SUMIF(Y11:Y17,G7,Z10:AL17)+SUMIF(AC11:AC17,G7,AB11:AB17))</f>
        <v/>
      </c>
      <c r="O7" s="33" t="str">
        <f>IF(AL10="","",SUMIF(Y11:Y17,G7,AB11:AB17)+SUMIF(AC11:AC17,G7,Z10:AL17))</f>
        <v/>
      </c>
      <c r="P7" s="101" t="str">
        <f>IF(AL10="","",N7-O7)</f>
        <v/>
      </c>
      <c r="Q7" s="33" t="str">
        <f>IF(AL10="","",SUMIF(Y11:Y19,G7,AI11:AI19)+SUMIF(AC11:AC19,G7,AJ11:AJ19))</f>
        <v/>
      </c>
      <c r="R7" s="33" t="str">
        <f>IF(AL10="","",SUMIF(Y11:Y19,G7,AJ11:AJ19)+SUMIF(AC11:AC19,G7,AI11:AI19))</f>
        <v/>
      </c>
      <c r="S7" s="102" t="str">
        <f>IF(AL10="","",Q7-R7)</f>
        <v/>
      </c>
      <c r="T7"/>
      <c r="V7" s="1"/>
      <c r="W7" s="1"/>
      <c r="X7"/>
      <c r="Y7" s="6"/>
      <c r="Z7"/>
      <c r="AA7" s="1"/>
      <c r="AB7"/>
      <c r="AC7" s="16"/>
      <c r="AD7" s="16"/>
      <c r="AE7"/>
      <c r="AF7"/>
      <c r="AG7"/>
      <c r="AH7"/>
      <c r="AI7"/>
      <c r="AJ7"/>
      <c r="AK7"/>
      <c r="AL7" t="str">
        <f>IF(AL10="","",SMALL(C7:C9,1))</f>
        <v/>
      </c>
      <c r="AM7"/>
      <c r="AN7"/>
      <c r="AO7" s="31" t="str">
        <f>IF(AL10="","",INT(AL7/1000))</f>
        <v/>
      </c>
      <c r="AP7" s="99" t="str">
        <f>IF(AL10="",IF(HidePlayerFormulas,"","("&amp;G7&amp;")"),VLOOKUP(AL7,C7:S9,5,FALSE))</f>
        <v/>
      </c>
      <c r="AQ7" s="100" t="str">
        <f>VLOOKUP(AL7,C7:S9,6,FALSE)</f>
        <v/>
      </c>
      <c r="AR7" s="33" t="str">
        <f>VLOOKUP(AL7,C7:S9,7,FALSE)</f>
        <v/>
      </c>
      <c r="AS7" s="33" t="str">
        <f>VLOOKUP(AL7,C7:S9,8,FALSE)</f>
        <v/>
      </c>
      <c r="AT7" s="33" t="str">
        <f>VLOOKUP(AL7,C7:S9,9,FALSE)</f>
        <v/>
      </c>
      <c r="AU7" s="33" t="str">
        <f>VLOOKUP(AL7,C7:S9,10,FALSE)</f>
        <v/>
      </c>
      <c r="AV7" s="101" t="str">
        <f>VLOOKUP(AL7,C7:S9,11,FALSE)</f>
        <v/>
      </c>
      <c r="AW7" s="32" t="str">
        <f>VLOOKUP(AL7,C7:S9,12,FALSE)</f>
        <v/>
      </c>
      <c r="AX7" s="33" t="str">
        <f>VLOOKUP(AL7,C7:S9,13,FALSE)</f>
        <v/>
      </c>
      <c r="AY7" s="102" t="str">
        <f>VLOOKUP(AL7,C7:S9,14,FALSE)</f>
        <v/>
      </c>
      <c r="AZ7" s="32" t="str">
        <f>VLOOKUP(AL7,C7:S9,15,FALSE)</f>
        <v/>
      </c>
      <c r="BA7" s="33" t="str">
        <f>VLOOKUP(AL7,C7:S9,16,FALSE)</f>
        <v/>
      </c>
      <c r="BB7" s="102" t="str">
        <f>VLOOKUP(AL7,C7:S9,17,FALSE)</f>
        <v/>
      </c>
      <c r="BC7" s="27" t="str">
        <f>IF(Z11="","",IF(AP7=Y11,Z11,IF(AP7=AC11,AB11,"")))</f>
        <v/>
      </c>
      <c r="BD7" s="344" t="str">
        <f>IF(Z14="","",IF(AP7=Y14,Z14,IF(AP7=AC14,AB14,"")))</f>
        <v/>
      </c>
      <c r="BE7" s="345" t="str">
        <f>IF(Z17="","",IF(AP7=Y17,Z17,IF(AP7=AC17,AB17,"")))</f>
        <v/>
      </c>
      <c r="BF7"/>
      <c r="BG7"/>
      <c r="BH7"/>
      <c r="BI7"/>
      <c r="BJ7"/>
      <c r="BK7"/>
      <c r="BL7"/>
      <c r="BM7"/>
      <c r="BN7"/>
      <c r="BO7"/>
      <c r="BP7"/>
      <c r="BQ7"/>
      <c r="BR7" s="1395" t="b">
        <f>IF(G7="[---WithDraw---]",FALSE,IF(COUNTIF(PlayerNamesWithinGroups,G7)&gt;1,TRUE,FALSE))</f>
        <v>1</v>
      </c>
      <c r="BS7" s="1450" t="b">
        <f>AND(LEFT($AP7,1) = "(", RIGHT($AP7,1) =")")</f>
        <v>0</v>
      </c>
      <c r="BT7" s="1450" t="b">
        <f>IF(OR($AO7=$AO6,$AO7=$AO8),TRUE,FALSE)</f>
        <v>1</v>
      </c>
      <c r="BU7"/>
      <c r="BV7"/>
      <c r="BW7"/>
      <c r="CJ7" s="270" t="str">
        <v/>
      </c>
    </row>
    <row r="8" spans="1:88" outlineLevel="1" x14ac:dyDescent="0.2">
      <c r="A8"/>
      <c r="B8" s="40">
        <v>2</v>
      </c>
      <c r="C8" s="55" t="str">
        <f>IF(AL10="","",RANK(F8,F7:F9)*1000+ROW())</f>
        <v/>
      </c>
      <c r="D8" s="37" t="str">
        <f>IF(J8="","",H8*CritClassEq1_Points+M8*CritClassEq1_DiffRencontres+P8*CritClassEq1_DiffMatches+S8*CritClassEq1_DiffButs+N8*CritClassEq1_Matches+Q8*CritClassEq1_Attaque)</f>
        <v/>
      </c>
      <c r="E8" s="37" t="str">
        <f>IF(J8="","",Nb_Diff_Part(D8,D7:D9,G8,G7:G9,AK11:AK19)*CritClassInd_DiffPart)</f>
        <v/>
      </c>
      <c r="F8" s="80" t="str">
        <f>IF(J8="","",D8+E8+H8*CritClassEq2_Points+M8*CritClassEq2_DiffRencontres+P8*CritClassEq2_DiffMatches+S8*CritClassEq2_DiffButs+N8*CritClassEq2_Matches+Q8*CritClassEq2_Attaque)</f>
        <v/>
      </c>
      <c r="G8" s="39" t="s">
        <v>893</v>
      </c>
      <c r="H8" s="341" t="str">
        <f>IF(AL10="","",(J8*Points_Victoire)+K8*Points_Null)</f>
        <v/>
      </c>
      <c r="I8" s="42" t="str">
        <f>IF(J8="","",SUM(J8:L8))</f>
        <v/>
      </c>
      <c r="J8" s="42" t="str">
        <f>IF(AL10="","",COUNTIF(AE11:AE17,G8))</f>
        <v/>
      </c>
      <c r="K8" s="42" t="str">
        <f>IF(AL10="","",COUNTIF(AF11:AG17,G8))</f>
        <v/>
      </c>
      <c r="L8" s="42" t="str">
        <f>IF(AL10="","",COUNTIF(AH11:AH17,G8))</f>
        <v/>
      </c>
      <c r="M8" s="339" t="str">
        <f>IF(AL10="","",J8-L8)</f>
        <v/>
      </c>
      <c r="N8" s="42" t="str">
        <f>IF(AL10="","",SUMIF(Y11:Y17,G8,Z10:AL17)+SUMIF(AC11:AC17,G8,AB11:AB17))</f>
        <v/>
      </c>
      <c r="O8" s="42" t="str">
        <f>IF(AL10="","",SUMIF(Y11:Y17,G8,AB11:AB17)+SUMIF(AC11:AC17,G8,Z10:AL17))</f>
        <v/>
      </c>
      <c r="P8" s="339" t="str">
        <f>IF(AL10="","",N8-O8)</f>
        <v/>
      </c>
      <c r="Q8" s="42" t="str">
        <f>IF(AL10="","",SUMIF(Y11:Y19,G8,AI11:AI19)+SUMIF(AC11:AC19,G8,AJ11:AJ19))</f>
        <v/>
      </c>
      <c r="R8" s="42" t="str">
        <f>IF(AL10="","",SUMIF(Y11:Y19,G8,AJ11:AJ19)+SUMIF(AC11:AC19,G8,AI11:AI19))</f>
        <v/>
      </c>
      <c r="S8" s="82" t="str">
        <f>IF(AL10="","",Q8-R8)</f>
        <v/>
      </c>
      <c r="T8"/>
      <c r="V8" s="1"/>
      <c r="W8" s="1"/>
      <c r="X8"/>
      <c r="Y8" s="6"/>
      <c r="Z8"/>
      <c r="AA8" s="1"/>
      <c r="AB8"/>
      <c r="AC8" s="16"/>
      <c r="AD8" s="16"/>
      <c r="AE8"/>
      <c r="AF8"/>
      <c r="AG8"/>
      <c r="AH8"/>
      <c r="AI8"/>
      <c r="AJ8"/>
      <c r="AK8"/>
      <c r="AL8" t="str">
        <f>IF(AL10="","",SMALL(C7:C9,2))</f>
        <v/>
      </c>
      <c r="AM8"/>
      <c r="AN8"/>
      <c r="AO8" s="40" t="str">
        <f>IF(AL10="","",INT(AL8/1000))</f>
        <v/>
      </c>
      <c r="AP8" s="81" t="str">
        <f>IF(AL10="",IF(HidePlayerFormulas,"","("&amp;G8&amp;")"),VLOOKUP(AL8,C7:S9,5,FALSE))</f>
        <v/>
      </c>
      <c r="AQ8" s="41" t="str">
        <f>VLOOKUP(AL8,C7:S9,6,FALSE)</f>
        <v/>
      </c>
      <c r="AR8" s="42" t="str">
        <f>VLOOKUP(AL8,C7:S9,7,FALSE)</f>
        <v/>
      </c>
      <c r="AS8" s="42" t="str">
        <f>VLOOKUP(AL8,C7:S9,8,FALSE)</f>
        <v/>
      </c>
      <c r="AT8" s="42" t="str">
        <f>VLOOKUP(AL8,C7:S9,9,FALSE)</f>
        <v/>
      </c>
      <c r="AU8" s="42" t="str">
        <f>VLOOKUP(AL8,C7:S9,10,FALSE)</f>
        <v/>
      </c>
      <c r="AV8" s="82" t="str">
        <f>VLOOKUP(AL8,C7:S9,11,FALSE)</f>
        <v/>
      </c>
      <c r="AW8" s="41" t="str">
        <f>VLOOKUP(AL8,C7:S9,12,FALSE)</f>
        <v/>
      </c>
      <c r="AX8" s="42" t="str">
        <f>VLOOKUP(AL8,C7:S9,13,FALSE)</f>
        <v/>
      </c>
      <c r="AY8" s="82" t="str">
        <f>VLOOKUP(AL8,C7:S9,14,FALSE)</f>
        <v/>
      </c>
      <c r="AZ8" s="41" t="str">
        <f>VLOOKUP(AL8,C7:S9,15,FALSE)</f>
        <v/>
      </c>
      <c r="BA8" s="42" t="str">
        <f>VLOOKUP(AL8,C7:S9,16,FALSE)</f>
        <v/>
      </c>
      <c r="BB8" s="82" t="str">
        <f>VLOOKUP(AL8,C7:S9,17,FALSE)</f>
        <v/>
      </c>
      <c r="BC8" s="346" t="str">
        <f>IF(Z11="","",IF(AP8=Y11,Z11,IF(AP8=AC11,AB11,"")))</f>
        <v/>
      </c>
      <c r="BD8" s="122" t="str">
        <f>IF(Z14="","",IF(AP8=Y14,Z14,IF(AP8=AC14,AB14,"")))</f>
        <v/>
      </c>
      <c r="BE8" s="347" t="str">
        <f>IF(Z17="","",IF(AP8=Y17,Z17,IF(AP8=AC17,AB17,"")))</f>
        <v/>
      </c>
      <c r="BF8"/>
      <c r="BG8"/>
      <c r="BH8"/>
      <c r="BI8"/>
      <c r="BJ8"/>
      <c r="BK8"/>
      <c r="BL8"/>
      <c r="BM8"/>
      <c r="BN8"/>
      <c r="BO8"/>
      <c r="BP8"/>
      <c r="BQ8"/>
      <c r="BR8" s="1395" t="b">
        <f>IF(G8="[---WithDraw---]",FALSE,IF(COUNTIF(PlayerNamesWithinGroups,G8)&gt;1,TRUE,FALSE))</f>
        <v>1</v>
      </c>
      <c r="BS8" s="1450" t="b">
        <f>AND(LEFT($AP8,1) = "(", RIGHT($AP8,1) =")")</f>
        <v>0</v>
      </c>
      <c r="BT8" s="1450" t="b">
        <f>IF(OR($AO8=$AO7,$AO8=$AO9),TRUE,FALSE)</f>
        <v>1</v>
      </c>
      <c r="BU8"/>
      <c r="BV8"/>
      <c r="BW8"/>
      <c r="CJ8" s="270" t="str">
        <v/>
      </c>
    </row>
    <row r="9" spans="1:88" ht="13.5" outlineLevel="1" collapsed="1" thickBot="1" x14ac:dyDescent="0.25">
      <c r="A9"/>
      <c r="B9" s="48">
        <v>3</v>
      </c>
      <c r="C9" s="57" t="str">
        <f>IF(AL10="","",RANK(F9,F7:F9)*1000+ROW())</f>
        <v/>
      </c>
      <c r="D9" s="47" t="str">
        <f>IF(J9="","",H9*CritClassEq1_Points+M9*CritClassEq1_DiffRencontres+P9*CritClassEq1_DiffMatches+S9*CritClassEq1_DiffButs+N9*CritClassEq1_Matches+Q9*CritClassEq1_Attaque)</f>
        <v/>
      </c>
      <c r="E9" s="47" t="str">
        <f>IF(J9="","",Nb_Diff_Part(D9,D7:D9,G9,G7:G9,AK11:AK19)*CritClassInd_DiffPart)</f>
        <v/>
      </c>
      <c r="F9" s="292" t="str">
        <f>IF(J9="","",D9+E9+H9*CritClassEq2_Points+M9*CritClassEq2_DiffRencontres+P9*CritClassEq2_DiffMatches+S9*CritClassEq2_DiffButs+N9*CritClassEq2_Matches+Q9*CritClassEq2_Attaque)</f>
        <v/>
      </c>
      <c r="G9" s="30" t="s">
        <v>894</v>
      </c>
      <c r="H9" s="342" t="str">
        <f>IF(AL10="","",(J9*Points_Victoire)+K9*Points_Null)</f>
        <v/>
      </c>
      <c r="I9" s="50" t="str">
        <f>IF(J9="","",SUM(J9:L9))</f>
        <v/>
      </c>
      <c r="J9" s="50" t="str">
        <f>IF(AL10="","",COUNTIF(AE11:AE17,G9))</f>
        <v/>
      </c>
      <c r="K9" s="50" t="str">
        <f>IF(AL10="","",COUNTIF(AF11:AG17,G9))</f>
        <v/>
      </c>
      <c r="L9" s="50" t="str">
        <f>IF(AL10="","",COUNTIF(AH11:AH17,G9))</f>
        <v/>
      </c>
      <c r="M9" s="343" t="str">
        <f>IF(AL10="","",J9-L9)</f>
        <v/>
      </c>
      <c r="N9" s="50" t="str">
        <f>IF(AL10="","",SUMIF(Y11:Y17,G9,Z10:AL17)+SUMIF(AC11:AC17,G9,AB11:AB17))</f>
        <v/>
      </c>
      <c r="O9" s="50" t="str">
        <f>IF(AL10="","",SUMIF(Y11:Y17,G9,AB11:AB17)+SUMIF(AC11:AC17,G9,Z10:AL17))</f>
        <v/>
      </c>
      <c r="P9" s="343" t="str">
        <f>IF(AL10="","",N9-O9)</f>
        <v/>
      </c>
      <c r="Q9" s="50" t="str">
        <f>IF(AL10="","",SUMIF(Y11:Y19,G9,AI11:AI19)+SUMIF(AC11:AC19,G9,AJ11:AJ19))</f>
        <v/>
      </c>
      <c r="R9" s="50" t="str">
        <f>IF(AL10="","",SUMIF(Y11:Y19,G9,AJ11:AJ19)+SUMIF(AC11:AC19,G9,AI11:AI19))</f>
        <v/>
      </c>
      <c r="S9" s="88" t="str">
        <f>IF(AL10="","",Q9-R9)</f>
        <v/>
      </c>
      <c r="T9"/>
      <c r="V9" s="1"/>
      <c r="W9" s="1"/>
      <c r="X9"/>
      <c r="Y9" s="6"/>
      <c r="Z9"/>
      <c r="AA9" s="1"/>
      <c r="AB9"/>
      <c r="AC9" s="16"/>
      <c r="AD9" s="16"/>
      <c r="AE9"/>
      <c r="AF9"/>
      <c r="AG9"/>
      <c r="AH9"/>
      <c r="AI9"/>
      <c r="AJ9"/>
      <c r="AK9"/>
      <c r="AL9" t="str">
        <f>IF(AL10="","",SMALL(C7:C9,3))</f>
        <v/>
      </c>
      <c r="AM9"/>
      <c r="AN9"/>
      <c r="AO9" s="48" t="str">
        <f>IF(AL10="","",INT(AL9/1000))</f>
        <v/>
      </c>
      <c r="AP9" s="87" t="str">
        <f>IF(AL10="",IF(HidePlayerFormulas,"","("&amp;G9&amp;")"),VLOOKUP(AL9,C7:S9,5,FALSE))</f>
        <v/>
      </c>
      <c r="AQ9" s="49" t="str">
        <f>VLOOKUP(AL9,C7:S9,6,FALSE)</f>
        <v/>
      </c>
      <c r="AR9" s="50" t="str">
        <f>VLOOKUP(AL9,C7:S9,7,FALSE)</f>
        <v/>
      </c>
      <c r="AS9" s="50" t="str">
        <f>VLOOKUP(AL9,C7:S9,8,FALSE)</f>
        <v/>
      </c>
      <c r="AT9" s="50" t="str">
        <f>VLOOKUP(AL9,C7:S9,9,FALSE)</f>
        <v/>
      </c>
      <c r="AU9" s="50" t="str">
        <f>VLOOKUP(AL9,C7:S9,10,FALSE)</f>
        <v/>
      </c>
      <c r="AV9" s="88" t="str">
        <f>VLOOKUP(AL9,C7:S9,11,FALSE)</f>
        <v/>
      </c>
      <c r="AW9" s="49" t="str">
        <f>VLOOKUP(AL9,C7:S9,12,FALSE)</f>
        <v/>
      </c>
      <c r="AX9" s="50" t="str">
        <f>VLOOKUP(AL9,C7:S9,13,FALSE)</f>
        <v/>
      </c>
      <c r="AY9" s="88" t="str">
        <f>VLOOKUP(AL9,C7:S9,14,FALSE)</f>
        <v/>
      </c>
      <c r="AZ9" s="49" t="str">
        <f>VLOOKUP(AL9,C7:S9,15,FALSE)</f>
        <v/>
      </c>
      <c r="BA9" s="50" t="str">
        <f>VLOOKUP(AL9,C7:S9,16,FALSE)</f>
        <v/>
      </c>
      <c r="BB9" s="88" t="str">
        <f>VLOOKUP(AL9,C7:S9,17,FALSE)</f>
        <v/>
      </c>
      <c r="BC9" s="348" t="str">
        <f>IF(Z11="","",IF(AP9=Y11,Z11,IF(AP9=AC11,AB11,"")))</f>
        <v/>
      </c>
      <c r="BD9" s="349" t="str">
        <f>IF(Z14="","",IF(AP9=Y14,Z14,IF(AP9=AC14,AB14,"")))</f>
        <v/>
      </c>
      <c r="BE9" s="350" t="str">
        <f>IF(Z17="","",IF(AP9=Y17,Z17,IF(AP9=AC17,AB17,"")))</f>
        <v/>
      </c>
      <c r="BF9"/>
      <c r="BG9"/>
      <c r="BH9"/>
      <c r="BI9"/>
      <c r="BJ9"/>
      <c r="BK9"/>
      <c r="BL9"/>
      <c r="BM9"/>
      <c r="BN9"/>
      <c r="BO9"/>
      <c r="BP9"/>
      <c r="BQ9"/>
      <c r="BR9" s="1395" t="b">
        <f>IF(G9="[---WithDraw---]",FALSE,IF(COUNTIF(PlayerNamesWithinGroups,G9)&gt;1,TRUE,FALSE))</f>
        <v>1</v>
      </c>
      <c r="BS9" s="1450" t="b">
        <f>AND(LEFT($AP9,1) = "(", RIGHT($AP9,1) =")")</f>
        <v>0</v>
      </c>
      <c r="BT9" s="1450" t="b">
        <f>IF(OR($AO9=$AO8,$AO9=$AO10),TRUE,FALSE)</f>
        <v>1</v>
      </c>
      <c r="BU9"/>
      <c r="BV9"/>
      <c r="BW9"/>
      <c r="CJ9" s="270" t="str">
        <v/>
      </c>
    </row>
    <row r="10" spans="1:88" ht="13.5" hidden="1" outlineLevel="2" thickBot="1" x14ac:dyDescent="0.25">
      <c r="A10"/>
      <c r="B10" s="1"/>
      <c r="C10"/>
      <c r="D10"/>
      <c r="E10"/>
      <c r="F10"/>
      <c r="G10" s="1"/>
      <c r="H10"/>
      <c r="I10"/>
      <c r="J10"/>
      <c r="K10"/>
      <c r="L10"/>
      <c r="M10"/>
      <c r="N10"/>
      <c r="O10"/>
      <c r="P10"/>
      <c r="Q10"/>
      <c r="R10"/>
      <c r="S10"/>
      <c r="T10"/>
      <c r="U10" s="8"/>
      <c r="V10" s="3" t="str">
        <f>N_Heure</f>
        <v>Heure</v>
      </c>
      <c r="W10" s="22" t="str">
        <f>N_Table</f>
        <v>Table</v>
      </c>
      <c r="X10" s="22" t="str">
        <f>N_Arbitre</f>
        <v>Arbitre</v>
      </c>
      <c r="Y10" s="286" t="str">
        <f>N_Matches</f>
        <v>Matches</v>
      </c>
      <c r="Z10" s="287"/>
      <c r="AA10" s="287"/>
      <c r="AB10" s="287"/>
      <c r="AC10" s="288"/>
      <c r="AD10" s="8"/>
      <c r="AE10"/>
      <c r="AF10"/>
      <c r="AG10"/>
      <c r="AH10"/>
      <c r="AI10"/>
      <c r="AJ10"/>
      <c r="AK10"/>
      <c r="AL10" t="str">
        <f>IF(COUNTA(Z11:Z19)&gt;3,"OK","")</f>
        <v/>
      </c>
      <c r="AM10"/>
      <c r="AN10"/>
      <c r="AP10"/>
      <c r="AQ10"/>
      <c r="AR10"/>
      <c r="AS10"/>
      <c r="AT10"/>
      <c r="AU10"/>
      <c r="AV10"/>
      <c r="AW10"/>
      <c r="AX10"/>
      <c r="AY10"/>
      <c r="AZ10"/>
      <c r="BA10"/>
      <c r="BB10"/>
      <c r="BC10"/>
      <c r="BD10"/>
      <c r="BE10"/>
      <c r="BF10"/>
      <c r="BG10"/>
      <c r="BH10"/>
      <c r="BI10"/>
      <c r="BJ10"/>
      <c r="BK10"/>
      <c r="BL10"/>
      <c r="BM10"/>
      <c r="BN10"/>
      <c r="BO10"/>
      <c r="BP10"/>
      <c r="BQ10"/>
      <c r="BR10" s="1395"/>
      <c r="BS10" s="1450"/>
      <c r="BT10" s="1450"/>
      <c r="BU10"/>
      <c r="BV10"/>
      <c r="BW10"/>
      <c r="CJ10" s="270" t="str">
        <v/>
      </c>
    </row>
    <row r="11" spans="1:88" hidden="1" outlineLevel="2" x14ac:dyDescent="0.2">
      <c r="A11"/>
      <c r="B11" s="1"/>
      <c r="C11"/>
      <c r="D11"/>
      <c r="E11"/>
      <c r="F11"/>
      <c r="G11" s="1"/>
      <c r="H11"/>
      <c r="I11"/>
      <c r="J11"/>
      <c r="K11"/>
      <c r="L11"/>
      <c r="M11"/>
      <c r="N11"/>
      <c r="O11"/>
      <c r="P11"/>
      <c r="Q11"/>
      <c r="R11"/>
      <c r="S11"/>
      <c r="T11"/>
      <c r="U11" s="331" t="s">
        <v>1726</v>
      </c>
      <c r="V11" s="73"/>
      <c r="W11" s="278"/>
      <c r="X11" s="279"/>
      <c r="Y11" s="34" t="str">
        <f>IF(COUNTA(G7:G9) =3,GMFTGROUPORDERDBLE(G7:G9,Y11:Y19,AC11:AC19),"")</f>
        <v>Db3</v>
      </c>
      <c r="Z11" s="95" t="str">
        <f>IF(OR(ISNUMBER(Z12),ISNUMBER(Z13)),2-COUNTBLANK(AI12:AI13),"")</f>
        <v/>
      </c>
      <c r="AA11" s="35" t="s">
        <v>769</v>
      </c>
      <c r="AB11" s="95" t="str">
        <f>IF(OR(ISNUMBER(Z12),ISNUMBER(Z13)),2-COUNTBLANK(AJ12:AJ13),"")</f>
        <v/>
      </c>
      <c r="AC11" s="36" t="str">
        <f>IF(COUNTA(G7:G9) =3,GMFTGROUPORDERDBLE(G7:G9,Y11:Y19,AC11:AC19),"")</f>
        <v>Db1</v>
      </c>
      <c r="AD11" s="16"/>
      <c r="AE11" t="str">
        <f t="shared" ref="AE11:AE19" si="0">IF(Z11="","",IF(Z11&gt;AB11,Y11,IF(Z11=AB11,"",AC11)))</f>
        <v/>
      </c>
      <c r="AF11" t="str">
        <f t="shared" ref="AF11:AF19" si="1">IF(Z11="","",IF(Z11=AB11,Y11,""))</f>
        <v/>
      </c>
      <c r="AG11" t="str">
        <f t="shared" ref="AG11:AG19" si="2">IF(Z11="","",IF(Z11=AB11,AC11,""))</f>
        <v/>
      </c>
      <c r="AH11" t="str">
        <f t="shared" ref="AH11:AH19" si="3">IF(Z11="","",IF(Z11&lt;AB11,Y11,IF(Z11=AB11,"",AC11)))</f>
        <v/>
      </c>
      <c r="AI11" s="270" t="str">
        <f>IF(Z11="","",SUM(Z12:Z13))</f>
        <v/>
      </c>
      <c r="AJ11" s="270" t="str">
        <f>IF(Z11="","",SUM(AB12:AB13))</f>
        <v/>
      </c>
      <c r="AK11" t="str">
        <f t="shared" ref="AK11:AK19" si="4">CONCATENATE(AE11,AH11)</f>
        <v/>
      </c>
      <c r="AL11"/>
      <c r="AM11"/>
      <c r="AN11"/>
      <c r="AP11"/>
      <c r="AQ11"/>
      <c r="AR11"/>
      <c r="AS11"/>
      <c r="AT11"/>
      <c r="AU11"/>
      <c r="AV11"/>
      <c r="AW11"/>
      <c r="AX11"/>
      <c r="AY11"/>
      <c r="AZ11"/>
      <c r="BA11"/>
      <c r="BB11"/>
      <c r="BC11"/>
      <c r="BD11"/>
      <c r="BE11"/>
      <c r="BF11"/>
      <c r="BG11"/>
      <c r="BH11"/>
      <c r="BI11"/>
      <c r="BJ11"/>
      <c r="BK11"/>
      <c r="BL11"/>
      <c r="BM11"/>
      <c r="BN11"/>
      <c r="BO11"/>
      <c r="BP11"/>
      <c r="BQ11"/>
      <c r="BR11" s="1395"/>
      <c r="BS11" s="1450"/>
      <c r="BT11" s="1450"/>
      <c r="BU11"/>
      <c r="BV11"/>
      <c r="BW11"/>
      <c r="CJ11" s="270" t="str">
        <v/>
      </c>
    </row>
    <row r="12" spans="1:88" hidden="1" outlineLevel="3" x14ac:dyDescent="0.2">
      <c r="A12"/>
      <c r="B12" s="1"/>
      <c r="C12"/>
      <c r="D12"/>
      <c r="E12"/>
      <c r="F12"/>
      <c r="G12" s="1"/>
      <c r="H12"/>
      <c r="I12"/>
      <c r="J12"/>
      <c r="K12"/>
      <c r="L12"/>
      <c r="M12"/>
      <c r="N12"/>
      <c r="O12"/>
      <c r="P12"/>
      <c r="Q12"/>
      <c r="R12"/>
      <c r="S12"/>
      <c r="T12"/>
      <c r="U12" s="332"/>
      <c r="V12" s="77"/>
      <c r="W12" s="59"/>
      <c r="X12" s="277"/>
      <c r="Y12" s="276"/>
      <c r="Z12" s="272"/>
      <c r="AA12" s="273" t="s">
        <v>769</v>
      </c>
      <c r="AB12" s="274"/>
      <c r="AC12" s="275"/>
      <c r="AD12" s="290"/>
      <c r="AE12" t="str">
        <f t="shared" si="0"/>
        <v/>
      </c>
      <c r="AF12" t="str">
        <f t="shared" si="1"/>
        <v/>
      </c>
      <c r="AG12" t="str">
        <f t="shared" si="2"/>
        <v/>
      </c>
      <c r="AH12" t="str">
        <f t="shared" si="3"/>
        <v/>
      </c>
      <c r="AI12" s="270" t="str">
        <f>IF(Z12="","",IF(Z12&gt;AB12,Y11,""))</f>
        <v/>
      </c>
      <c r="AJ12" s="270" t="str">
        <f>IF(Z12="","",IF(Z12&lt;AB12,AC11,""))</f>
        <v/>
      </c>
      <c r="AK12" t="str">
        <f t="shared" si="4"/>
        <v/>
      </c>
      <c r="AL12"/>
      <c r="AM12"/>
      <c r="AN12"/>
      <c r="AP12"/>
      <c r="AQ12"/>
      <c r="AR12"/>
      <c r="AS12"/>
      <c r="AT12"/>
      <c r="AU12"/>
      <c r="AV12"/>
      <c r="AW12"/>
      <c r="AX12"/>
      <c r="AY12"/>
      <c r="AZ12"/>
      <c r="BA12"/>
      <c r="BB12"/>
      <c r="BC12"/>
      <c r="BD12"/>
      <c r="BE12"/>
      <c r="BF12"/>
      <c r="BG12"/>
      <c r="BH12"/>
      <c r="BI12"/>
      <c r="BJ12"/>
      <c r="BK12"/>
      <c r="BL12"/>
      <c r="BM12"/>
      <c r="BN12"/>
      <c r="BO12"/>
      <c r="BP12"/>
      <c r="BQ12"/>
      <c r="BR12" s="1395"/>
      <c r="BS12" s="1450"/>
      <c r="BT12" s="1450"/>
      <c r="BU12"/>
      <c r="BV12"/>
      <c r="BW12"/>
      <c r="CJ12" s="270" t="str">
        <v/>
      </c>
    </row>
    <row r="13" spans="1:88" hidden="1" outlineLevel="3" x14ac:dyDescent="0.2">
      <c r="A13"/>
      <c r="B13" s="1"/>
      <c r="C13"/>
      <c r="D13"/>
      <c r="E13"/>
      <c r="F13"/>
      <c r="G13" s="1"/>
      <c r="H13"/>
      <c r="I13"/>
      <c r="J13"/>
      <c r="K13"/>
      <c r="L13"/>
      <c r="M13"/>
      <c r="N13"/>
      <c r="O13"/>
      <c r="P13"/>
      <c r="Q13"/>
      <c r="R13"/>
      <c r="S13"/>
      <c r="T13"/>
      <c r="U13" s="331"/>
      <c r="V13" s="77"/>
      <c r="W13" s="56"/>
      <c r="X13" s="78"/>
      <c r="Y13" s="276"/>
      <c r="Z13" s="272"/>
      <c r="AA13" s="273" t="s">
        <v>769</v>
      </c>
      <c r="AB13" s="274"/>
      <c r="AC13" s="275"/>
      <c r="AD13" s="290"/>
      <c r="AE13" t="str">
        <f t="shared" si="0"/>
        <v/>
      </c>
      <c r="AF13" t="str">
        <f t="shared" si="1"/>
        <v/>
      </c>
      <c r="AG13" t="str">
        <f t="shared" si="2"/>
        <v/>
      </c>
      <c r="AH13" t="str">
        <f t="shared" si="3"/>
        <v/>
      </c>
      <c r="AI13" s="270" t="str">
        <f>IF(Z13="","",IF(Z13&gt;AB13,Y11,""))</f>
        <v/>
      </c>
      <c r="AJ13" s="270" t="str">
        <f>IF(Z13="","",IF(Z13&lt;AB13,AC11,""))</f>
        <v/>
      </c>
      <c r="AK13" t="str">
        <f t="shared" si="4"/>
        <v/>
      </c>
      <c r="AL13"/>
      <c r="AM13"/>
      <c r="AN13"/>
      <c r="AP13"/>
      <c r="AQ13"/>
      <c r="AR13"/>
      <c r="AS13"/>
      <c r="AT13"/>
      <c r="AU13"/>
      <c r="AV13"/>
      <c r="AW13"/>
      <c r="AX13"/>
      <c r="AY13"/>
      <c r="AZ13"/>
      <c r="BA13"/>
      <c r="BB13"/>
      <c r="BC13"/>
      <c r="BD13"/>
      <c r="BE13"/>
      <c r="BF13"/>
      <c r="BG13"/>
      <c r="BH13"/>
      <c r="BI13"/>
      <c r="BJ13"/>
      <c r="BK13"/>
      <c r="BL13"/>
      <c r="BM13"/>
      <c r="BN13"/>
      <c r="BO13"/>
      <c r="BP13"/>
      <c r="BQ13"/>
      <c r="BR13" s="1395"/>
      <c r="BS13" s="1450"/>
      <c r="BT13" s="1450"/>
      <c r="BU13"/>
      <c r="BV13"/>
      <c r="BW13"/>
      <c r="CJ13" s="270" t="str">
        <v/>
      </c>
    </row>
    <row r="14" spans="1:88" hidden="1" outlineLevel="2" x14ac:dyDescent="0.2">
      <c r="A14"/>
      <c r="B14" s="1"/>
      <c r="C14"/>
      <c r="D14"/>
      <c r="E14"/>
      <c r="F14"/>
      <c r="G14" s="1"/>
      <c r="H14"/>
      <c r="I14"/>
      <c r="J14"/>
      <c r="K14"/>
      <c r="L14"/>
      <c r="M14"/>
      <c r="N14"/>
      <c r="O14"/>
      <c r="P14"/>
      <c r="Q14"/>
      <c r="R14"/>
      <c r="S14"/>
      <c r="T14"/>
      <c r="U14" s="331" t="s">
        <v>1727</v>
      </c>
      <c r="V14" s="83"/>
      <c r="W14" s="84"/>
      <c r="X14" s="85"/>
      <c r="Y14" s="43" t="str">
        <f>IF(COUNTA(G7:G9) =3,GMFTGROUPORDERDBLE(G7:G9,Y11:Y19,AC11:AC19),"")</f>
        <v>Db2</v>
      </c>
      <c r="Z14" s="86" t="str">
        <f>IF(OR(ISNUMBER(Z15),ISNUMBER(Z16)),2-COUNTBLANK(AI15:AI16),"")</f>
        <v/>
      </c>
      <c r="AA14" s="45" t="s">
        <v>769</v>
      </c>
      <c r="AB14" s="86" t="str">
        <f>IF(OR(ISNUMBER(Z15),ISNUMBER(Z16)),2-COUNTBLANK(AJ15:AJ16),"")</f>
        <v/>
      </c>
      <c r="AC14" s="46" t="str">
        <f>IF(COUNTA(G7:G9) =3,GMFTGROUPORDERDBLE(G7:G9,Y11:Y19,AC11:AC19),"")</f>
        <v>Db3</v>
      </c>
      <c r="AD14" s="16"/>
      <c r="AE14" t="str">
        <f t="shared" si="0"/>
        <v/>
      </c>
      <c r="AF14" t="str">
        <f t="shared" si="1"/>
        <v/>
      </c>
      <c r="AG14" t="str">
        <f t="shared" si="2"/>
        <v/>
      </c>
      <c r="AH14" t="str">
        <f t="shared" si="3"/>
        <v/>
      </c>
      <c r="AI14" s="270" t="str">
        <f>IF(Z14="","",SUM(Z15:Z16))</f>
        <v/>
      </c>
      <c r="AJ14" s="270" t="str">
        <f>IF(Z14="","",SUM(AB15:AB16))</f>
        <v/>
      </c>
      <c r="AK14" t="str">
        <f t="shared" si="4"/>
        <v/>
      </c>
      <c r="AL14"/>
      <c r="AM14"/>
      <c r="AN14"/>
      <c r="AP14"/>
      <c r="AQ14"/>
      <c r="AR14"/>
      <c r="AS14"/>
      <c r="AT14"/>
      <c r="AU14"/>
      <c r="AV14"/>
      <c r="AW14"/>
      <c r="AX14"/>
      <c r="AY14"/>
      <c r="AZ14"/>
      <c r="BA14"/>
      <c r="BB14"/>
      <c r="BC14"/>
      <c r="BD14"/>
      <c r="BE14"/>
      <c r="BF14"/>
      <c r="BG14"/>
      <c r="BH14"/>
      <c r="BI14"/>
      <c r="BJ14"/>
      <c r="BK14"/>
      <c r="BL14"/>
      <c r="BM14"/>
      <c r="BN14"/>
      <c r="BO14"/>
      <c r="BP14"/>
      <c r="BQ14"/>
      <c r="BR14" s="1395"/>
      <c r="BS14" s="1450"/>
      <c r="BT14" s="1450"/>
      <c r="BU14"/>
      <c r="BV14"/>
      <c r="BW14"/>
      <c r="CJ14" s="270" t="str">
        <v/>
      </c>
    </row>
    <row r="15" spans="1:88" ht="12.75" hidden="1" customHeight="1" outlineLevel="3" x14ac:dyDescent="0.2">
      <c r="A15"/>
      <c r="B15" s="1"/>
      <c r="C15"/>
      <c r="D15"/>
      <c r="E15"/>
      <c r="F15"/>
      <c r="G15" s="1"/>
      <c r="H15"/>
      <c r="I15"/>
      <c r="J15"/>
      <c r="K15"/>
      <c r="L15"/>
      <c r="M15"/>
      <c r="N15"/>
      <c r="O15"/>
      <c r="P15"/>
      <c r="Q15"/>
      <c r="R15"/>
      <c r="S15"/>
      <c r="T15"/>
      <c r="U15" s="331"/>
      <c r="V15" s="77"/>
      <c r="W15" s="56"/>
      <c r="X15" s="78"/>
      <c r="Y15" s="103"/>
      <c r="Z15" s="44"/>
      <c r="AA15" s="45" t="s">
        <v>769</v>
      </c>
      <c r="AB15" s="44"/>
      <c r="AC15" s="79"/>
      <c r="AD15" s="16"/>
      <c r="AE15" t="str">
        <f t="shared" si="0"/>
        <v/>
      </c>
      <c r="AF15" t="str">
        <f t="shared" si="1"/>
        <v/>
      </c>
      <c r="AG15" t="str">
        <f t="shared" si="2"/>
        <v/>
      </c>
      <c r="AH15" t="str">
        <f t="shared" si="3"/>
        <v/>
      </c>
      <c r="AI15" t="str">
        <f>IF(Z15="","",IF(Z15&gt;AB15,Y14,""))</f>
        <v/>
      </c>
      <c r="AJ15" t="str">
        <f>IF(Z15="","",IF(Z15&lt;AB15,AC14,""))</f>
        <v/>
      </c>
      <c r="AK15" t="str">
        <f t="shared" si="4"/>
        <v/>
      </c>
      <c r="AL15"/>
      <c r="AM15"/>
      <c r="AN15"/>
      <c r="AP15"/>
      <c r="AQ15"/>
      <c r="AR15"/>
      <c r="AS15"/>
      <c r="AT15"/>
      <c r="AU15"/>
      <c r="AV15"/>
      <c r="AW15"/>
      <c r="AX15"/>
      <c r="AY15"/>
      <c r="AZ15"/>
      <c r="BA15"/>
      <c r="BB15"/>
      <c r="BC15"/>
      <c r="BD15"/>
      <c r="BE15"/>
      <c r="BF15"/>
      <c r="BG15"/>
      <c r="BH15"/>
      <c r="BI15"/>
      <c r="BJ15"/>
      <c r="BK15"/>
      <c r="BL15"/>
      <c r="BM15"/>
      <c r="BN15"/>
      <c r="BO15"/>
      <c r="BP15"/>
      <c r="BQ15"/>
      <c r="BR15" s="1395"/>
      <c r="BS15" s="1450"/>
      <c r="BT15" s="1450"/>
      <c r="BU15"/>
      <c r="BV15"/>
      <c r="BW15"/>
      <c r="CJ15" s="270" t="str">
        <v/>
      </c>
    </row>
    <row r="16" spans="1:88" ht="12.75" hidden="1" customHeight="1" outlineLevel="3" x14ac:dyDescent="0.2">
      <c r="A16"/>
      <c r="B16" s="1"/>
      <c r="C16"/>
      <c r="D16"/>
      <c r="E16"/>
      <c r="F16"/>
      <c r="G16" s="1"/>
      <c r="H16"/>
      <c r="I16"/>
      <c r="J16"/>
      <c r="K16"/>
      <c r="L16"/>
      <c r="M16"/>
      <c r="N16"/>
      <c r="O16"/>
      <c r="P16"/>
      <c r="Q16"/>
      <c r="R16"/>
      <c r="S16"/>
      <c r="T16"/>
      <c r="U16" s="331"/>
      <c r="V16" s="77"/>
      <c r="W16" s="56"/>
      <c r="X16" s="78"/>
      <c r="Y16" s="103"/>
      <c r="Z16" s="44"/>
      <c r="AA16" s="45" t="s">
        <v>769</v>
      </c>
      <c r="AB16" s="44"/>
      <c r="AC16" s="79"/>
      <c r="AD16" s="16"/>
      <c r="AE16" t="str">
        <f t="shared" si="0"/>
        <v/>
      </c>
      <c r="AF16" t="str">
        <f t="shared" si="1"/>
        <v/>
      </c>
      <c r="AG16" t="str">
        <f t="shared" si="2"/>
        <v/>
      </c>
      <c r="AH16" t="str">
        <f t="shared" si="3"/>
        <v/>
      </c>
      <c r="AI16" t="str">
        <f>IF(Z16="","",IF(Z16&gt;AB16,Y14,""))</f>
        <v/>
      </c>
      <c r="AJ16" t="str">
        <f>IF(Z16="","",IF(Z16&lt;AB16,AC14,""))</f>
        <v/>
      </c>
      <c r="AK16" t="str">
        <f t="shared" si="4"/>
        <v/>
      </c>
      <c r="AL16"/>
      <c r="AM16"/>
      <c r="AN16"/>
      <c r="AP16"/>
      <c r="AQ16"/>
      <c r="AR16"/>
      <c r="AS16"/>
      <c r="AT16"/>
      <c r="AU16"/>
      <c r="AV16"/>
      <c r="AW16"/>
      <c r="AX16"/>
      <c r="AY16"/>
      <c r="AZ16"/>
      <c r="BA16"/>
      <c r="BB16"/>
      <c r="BC16"/>
      <c r="BD16"/>
      <c r="BE16"/>
      <c r="BF16"/>
      <c r="BG16"/>
      <c r="BH16"/>
      <c r="BI16"/>
      <c r="BJ16"/>
      <c r="BK16"/>
      <c r="BL16"/>
      <c r="BM16"/>
      <c r="BN16"/>
      <c r="BO16"/>
      <c r="BP16"/>
      <c r="BQ16"/>
      <c r="BR16" s="1395"/>
      <c r="BS16" s="1450"/>
      <c r="BT16" s="1450"/>
      <c r="BU16"/>
      <c r="BV16"/>
      <c r="BW16"/>
      <c r="CJ16" s="270" t="str">
        <v/>
      </c>
    </row>
    <row r="17" spans="1:88" hidden="1" outlineLevel="2" x14ac:dyDescent="0.2">
      <c r="A17"/>
      <c r="B17" s="1"/>
      <c r="C17"/>
      <c r="D17"/>
      <c r="E17"/>
      <c r="F17"/>
      <c r="G17" s="1"/>
      <c r="H17"/>
      <c r="I17"/>
      <c r="J17"/>
      <c r="K17"/>
      <c r="L17"/>
      <c r="M17"/>
      <c r="N17"/>
      <c r="O17"/>
      <c r="P17"/>
      <c r="Q17"/>
      <c r="R17"/>
      <c r="S17"/>
      <c r="T17"/>
      <c r="U17" s="331" t="s">
        <v>1728</v>
      </c>
      <c r="V17" s="83"/>
      <c r="W17" s="84"/>
      <c r="X17" s="85"/>
      <c r="Y17" s="43" t="str">
        <f>IF(COUNTA(G7:G9) =3,GMFTGROUPORDERDBLE(G7:G9,Y11:Y19,AC11:AC19),"")</f>
        <v>Db1</v>
      </c>
      <c r="Z17" s="86" t="str">
        <f>IF(OR(ISNUMBER(Z18),ISNUMBER(Z19)),2-COUNTBLANK(AI18:AI19),"")</f>
        <v/>
      </c>
      <c r="AA17" s="45" t="s">
        <v>769</v>
      </c>
      <c r="AB17" s="86" t="str">
        <f>IF(OR(ISNUMBER(Z18),ISNUMBER(Z19)),2-COUNTBLANK(AJ18:AJ19),"")</f>
        <v/>
      </c>
      <c r="AC17" s="46" t="str">
        <f>IF(COUNTA(G7:G9) =3,GMFTGROUPORDERDBLE(G7:G9,Y11:Y19,AC11:AC19),"")</f>
        <v>Db2</v>
      </c>
      <c r="AD17" s="16"/>
      <c r="AE17" t="str">
        <f t="shared" si="0"/>
        <v/>
      </c>
      <c r="AF17" t="str">
        <f t="shared" si="1"/>
        <v/>
      </c>
      <c r="AG17" t="str">
        <f t="shared" si="2"/>
        <v/>
      </c>
      <c r="AH17" t="str">
        <f t="shared" si="3"/>
        <v/>
      </c>
      <c r="AI17" s="270" t="str">
        <f>IF(Z17="","",SUM(Z18:Z19))</f>
        <v/>
      </c>
      <c r="AJ17" s="270" t="str">
        <f>IF(Z17="","",SUM(AB18:AB19))</f>
        <v/>
      </c>
      <c r="AK17" t="str">
        <f t="shared" si="4"/>
        <v/>
      </c>
      <c r="AL17"/>
      <c r="AM17"/>
      <c r="AN17"/>
      <c r="AP17"/>
      <c r="AQ17"/>
      <c r="AR17"/>
      <c r="AS17"/>
      <c r="AT17"/>
      <c r="AU17"/>
      <c r="AV17"/>
      <c r="AW17"/>
      <c r="AX17"/>
      <c r="AY17"/>
      <c r="AZ17"/>
      <c r="BA17"/>
      <c r="BB17"/>
      <c r="BC17"/>
      <c r="BD17"/>
      <c r="BE17"/>
      <c r="BF17"/>
      <c r="BG17"/>
      <c r="BH17"/>
      <c r="BI17"/>
      <c r="BJ17"/>
      <c r="BK17"/>
      <c r="BL17"/>
      <c r="BM17"/>
      <c r="BN17"/>
      <c r="BO17"/>
      <c r="BP17"/>
      <c r="BQ17"/>
      <c r="BR17" s="1395"/>
      <c r="BS17" s="1450"/>
      <c r="BT17" s="1450"/>
      <c r="BU17"/>
      <c r="BV17"/>
      <c r="BW17"/>
      <c r="CJ17" s="270" t="str">
        <v/>
      </c>
    </row>
    <row r="18" spans="1:88" ht="12.75" hidden="1" customHeight="1" outlineLevel="3" x14ac:dyDescent="0.2">
      <c r="A18"/>
      <c r="B18" s="1"/>
      <c r="C18"/>
      <c r="D18"/>
      <c r="E18"/>
      <c r="F18"/>
      <c r="G18" s="1"/>
      <c r="H18"/>
      <c r="I18"/>
      <c r="J18"/>
      <c r="K18"/>
      <c r="L18"/>
      <c r="M18"/>
      <c r="N18"/>
      <c r="O18"/>
      <c r="P18"/>
      <c r="Q18"/>
      <c r="R18"/>
      <c r="S18"/>
      <c r="T18"/>
      <c r="U18" s="11"/>
      <c r="V18" s="77"/>
      <c r="W18" s="56"/>
      <c r="X18" s="78"/>
      <c r="Y18" s="103"/>
      <c r="Z18" s="44"/>
      <c r="AA18" s="45" t="s">
        <v>769</v>
      </c>
      <c r="AB18" s="44"/>
      <c r="AC18" s="79"/>
      <c r="AD18" s="16"/>
      <c r="AE18" t="str">
        <f t="shared" si="0"/>
        <v/>
      </c>
      <c r="AF18" t="str">
        <f t="shared" si="1"/>
        <v/>
      </c>
      <c r="AG18" t="str">
        <f t="shared" si="2"/>
        <v/>
      </c>
      <c r="AH18" t="str">
        <f t="shared" si="3"/>
        <v/>
      </c>
      <c r="AI18" t="str">
        <f>IF(Z18="","",IF(Z18&gt;AB18,Y17,""))</f>
        <v/>
      </c>
      <c r="AJ18" t="str">
        <f>IF(Z18="","",IF(Z18&lt;AB18,AC17,""))</f>
        <v/>
      </c>
      <c r="AK18" t="str">
        <f t="shared" si="4"/>
        <v/>
      </c>
      <c r="AL18"/>
      <c r="AM18"/>
      <c r="AN18"/>
      <c r="AP18"/>
      <c r="AQ18"/>
      <c r="AR18"/>
      <c r="AS18"/>
      <c r="AT18"/>
      <c r="AU18"/>
      <c r="AV18"/>
      <c r="AW18"/>
      <c r="AX18"/>
      <c r="AY18"/>
      <c r="AZ18"/>
      <c r="BA18"/>
      <c r="BB18"/>
      <c r="BC18"/>
      <c r="BD18"/>
      <c r="BE18"/>
      <c r="BF18"/>
      <c r="BG18"/>
      <c r="BH18"/>
      <c r="BI18"/>
      <c r="BJ18"/>
      <c r="BK18"/>
      <c r="BL18"/>
      <c r="BM18"/>
      <c r="BN18"/>
      <c r="BO18"/>
      <c r="BP18"/>
      <c r="BQ18"/>
      <c r="BR18" s="1395"/>
      <c r="BS18" s="1450"/>
      <c r="BT18" s="1450"/>
      <c r="BU18"/>
      <c r="BV18"/>
      <c r="BW18"/>
      <c r="CJ18" s="270" t="str">
        <v/>
      </c>
    </row>
    <row r="19" spans="1:88" ht="13.5" hidden="1" customHeight="1" outlineLevel="3" thickBot="1" x14ac:dyDescent="0.25">
      <c r="A19"/>
      <c r="B19" s="1"/>
      <c r="C19"/>
      <c r="D19"/>
      <c r="E19"/>
      <c r="F19"/>
      <c r="G19" s="1"/>
      <c r="H19"/>
      <c r="I19"/>
      <c r="J19"/>
      <c r="K19"/>
      <c r="L19"/>
      <c r="M19"/>
      <c r="N19"/>
      <c r="O19"/>
      <c r="P19"/>
      <c r="Q19"/>
      <c r="R19"/>
      <c r="S19"/>
      <c r="T19"/>
      <c r="U19" s="11"/>
      <c r="V19" s="90"/>
      <c r="W19" s="58"/>
      <c r="X19" s="91"/>
      <c r="Y19" s="174"/>
      <c r="Z19" s="51"/>
      <c r="AA19" s="52" t="s">
        <v>769</v>
      </c>
      <c r="AB19" s="51"/>
      <c r="AC19" s="96"/>
      <c r="AD19" s="16"/>
      <c r="AE19" t="str">
        <f t="shared" si="0"/>
        <v/>
      </c>
      <c r="AF19" t="str">
        <f t="shared" si="1"/>
        <v/>
      </c>
      <c r="AG19" t="str">
        <f t="shared" si="2"/>
        <v/>
      </c>
      <c r="AH19" t="str">
        <f t="shared" si="3"/>
        <v/>
      </c>
      <c r="AI19" t="str">
        <f>IF(Z19="","",IF(Z19&gt;AB19,Y17,""))</f>
        <v/>
      </c>
      <c r="AJ19" t="str">
        <f>IF(Z19="","",IF(Z19&lt;AB19,AC17,""))</f>
        <v/>
      </c>
      <c r="AK19" t="str">
        <f t="shared" si="4"/>
        <v/>
      </c>
      <c r="AL19"/>
      <c r="AM19"/>
      <c r="AN19"/>
      <c r="AP19"/>
      <c r="AQ19"/>
      <c r="AR19"/>
      <c r="AS19"/>
      <c r="AT19"/>
      <c r="AU19"/>
      <c r="AV19"/>
      <c r="AW19"/>
      <c r="AX19"/>
      <c r="AY19"/>
      <c r="AZ19"/>
      <c r="BA19"/>
      <c r="BB19"/>
      <c r="BC19"/>
      <c r="BD19"/>
      <c r="BE19"/>
      <c r="BF19"/>
      <c r="BG19"/>
      <c r="BH19"/>
      <c r="BI19"/>
      <c r="BJ19"/>
      <c r="BK19"/>
      <c r="BL19"/>
      <c r="BM19"/>
      <c r="BN19"/>
      <c r="BO19"/>
      <c r="BP19"/>
      <c r="BQ19"/>
      <c r="BR19" s="1395"/>
      <c r="BS19" s="1450"/>
      <c r="BT19" s="1450"/>
      <c r="BU19"/>
      <c r="BV19"/>
      <c r="BW19"/>
      <c r="CJ19" s="270" t="str">
        <v/>
      </c>
    </row>
    <row r="20" spans="1:88" ht="13.5" customHeight="1" outlineLevel="1" x14ac:dyDescent="0.2">
      <c r="A20"/>
      <c r="B20" s="1"/>
      <c r="C20"/>
      <c r="D20"/>
      <c r="E20"/>
      <c r="F20"/>
      <c r="G20" s="1"/>
      <c r="H20"/>
      <c r="I20"/>
      <c r="J20"/>
      <c r="K20"/>
      <c r="L20"/>
      <c r="M20"/>
      <c r="N20"/>
      <c r="O20"/>
      <c r="P20"/>
      <c r="Q20"/>
      <c r="R20"/>
      <c r="S20"/>
      <c r="T20"/>
      <c r="U20" s="11"/>
      <c r="V20" s="97"/>
      <c r="W20" s="98"/>
      <c r="X20" s="14"/>
      <c r="Y20" s="6"/>
      <c r="Z20" s="15"/>
      <c r="AA20" s="1"/>
      <c r="AB20" s="15"/>
      <c r="AC20" s="16"/>
      <c r="AD20" s="16"/>
      <c r="AE20"/>
      <c r="AF20"/>
      <c r="AG20"/>
      <c r="AH20"/>
      <c r="AI20"/>
      <c r="AJ20"/>
      <c r="AK20"/>
      <c r="AL20"/>
      <c r="AM20"/>
      <c r="AN20"/>
      <c r="AP20"/>
      <c r="AQ20"/>
      <c r="AR20"/>
      <c r="AS20"/>
      <c r="AT20"/>
      <c r="AU20"/>
      <c r="AV20"/>
      <c r="AW20"/>
      <c r="AX20"/>
      <c r="AY20"/>
      <c r="AZ20"/>
      <c r="BA20"/>
      <c r="BB20"/>
      <c r="BC20"/>
      <c r="BD20"/>
      <c r="BE20"/>
      <c r="BF20"/>
      <c r="BG20"/>
      <c r="BH20"/>
      <c r="BI20"/>
      <c r="BJ20"/>
      <c r="BK20"/>
      <c r="BL20"/>
      <c r="BM20"/>
      <c r="BN20"/>
      <c r="BO20"/>
      <c r="BP20"/>
      <c r="BQ20"/>
      <c r="BR20" s="1395"/>
      <c r="BS20" s="1450"/>
      <c r="BT20" s="1450"/>
      <c r="BU20"/>
      <c r="BV20"/>
      <c r="BW20"/>
      <c r="CJ20" s="270" t="str">
        <v/>
      </c>
    </row>
    <row r="21" spans="1:88" ht="13.5" thickBot="1" x14ac:dyDescent="0.25">
      <c r="A21"/>
      <c r="B21" s="1"/>
      <c r="C21"/>
      <c r="D21"/>
      <c r="E21"/>
      <c r="F21"/>
      <c r="G21" s="1"/>
      <c r="H21"/>
      <c r="I21"/>
      <c r="J21"/>
      <c r="K21"/>
      <c r="L21"/>
      <c r="M21"/>
      <c r="N21"/>
      <c r="O21"/>
      <c r="P21"/>
      <c r="Q21"/>
      <c r="R21"/>
      <c r="S21"/>
      <c r="T21"/>
      <c r="V21" s="1"/>
      <c r="W21" s="1"/>
      <c r="X21"/>
      <c r="Y21" s="6"/>
      <c r="Z21"/>
      <c r="AA21" s="1"/>
      <c r="AB21"/>
      <c r="AC21" s="16"/>
      <c r="AD21" s="16"/>
      <c r="AE21"/>
      <c r="AF21"/>
      <c r="AG21"/>
      <c r="AH21"/>
      <c r="AI21"/>
      <c r="AJ21"/>
      <c r="AK21"/>
      <c r="AL21"/>
      <c r="AM21"/>
      <c r="AN21"/>
      <c r="AP21"/>
      <c r="AQ21"/>
      <c r="AR21"/>
      <c r="AS21"/>
      <c r="AT21"/>
      <c r="AU21"/>
      <c r="AV21"/>
      <c r="AW21"/>
      <c r="AX21"/>
      <c r="AY21"/>
      <c r="AZ21"/>
      <c r="BA21"/>
      <c r="BB21"/>
      <c r="BC21"/>
      <c r="BD21"/>
      <c r="BE21"/>
      <c r="BF21"/>
      <c r="BG21"/>
      <c r="BH21"/>
      <c r="BI21"/>
      <c r="BJ21"/>
      <c r="BK21"/>
      <c r="BL21"/>
      <c r="BM21"/>
      <c r="BN21"/>
      <c r="BO21"/>
      <c r="BP21"/>
      <c r="BQ21"/>
      <c r="BR21" s="1395"/>
      <c r="BS21" s="1450"/>
      <c r="BT21" s="1450"/>
      <c r="BU21"/>
      <c r="BV21"/>
      <c r="BW21"/>
      <c r="CJ21" s="270" t="str">
        <v/>
      </c>
    </row>
    <row r="22" spans="1:88" ht="13.5" thickBot="1" x14ac:dyDescent="0.25">
      <c r="A22"/>
      <c r="B22" s="282" t="str">
        <f>N_Group_3_2Leg</f>
        <v>Poule de 3 en A/R</v>
      </c>
      <c r="C22" s="283"/>
      <c r="D22" s="283"/>
      <c r="E22" s="283"/>
      <c r="F22" s="283"/>
      <c r="G22" s="283"/>
      <c r="H22" s="283"/>
      <c r="I22" s="283"/>
      <c r="J22" s="283"/>
      <c r="K22" s="283"/>
      <c r="L22" s="283"/>
      <c r="M22" s="283"/>
      <c r="N22" s="283"/>
      <c r="O22" s="283"/>
      <c r="P22" s="283"/>
      <c r="Q22" s="283"/>
      <c r="R22" s="283"/>
      <c r="S22" s="283"/>
      <c r="T22" s="283"/>
      <c r="U22" s="283"/>
      <c r="V22" s="283"/>
      <c r="W22" s="283"/>
      <c r="X22" s="283"/>
      <c r="Y22" s="283"/>
      <c r="Z22" s="283"/>
      <c r="AA22" s="283"/>
      <c r="AB22" s="283"/>
      <c r="AC22" s="283"/>
      <c r="AD22" s="283"/>
      <c r="AE22" s="283"/>
      <c r="AF22" s="283"/>
      <c r="AG22" s="283"/>
      <c r="AH22" s="283"/>
      <c r="AI22" s="283"/>
      <c r="AJ22" s="283"/>
      <c r="AK22" s="283"/>
      <c r="AL22" s="283"/>
      <c r="AM22" s="284"/>
      <c r="AN22" s="320" t="str">
        <f>B22</f>
        <v>Poule de 3 en A/R</v>
      </c>
      <c r="AO22" s="1488"/>
      <c r="AP22" s="1488"/>
      <c r="AQ22" s="1488"/>
      <c r="AR22" s="1488"/>
      <c r="AS22" s="1488"/>
      <c r="AT22" s="1488"/>
      <c r="AU22" s="1488"/>
      <c r="AV22" s="1488"/>
      <c r="AW22" s="1488"/>
      <c r="AX22" s="1488"/>
      <c r="AY22" s="1488"/>
      <c r="AZ22" s="1488"/>
      <c r="BA22" s="1488"/>
      <c r="BB22" s="1488"/>
      <c r="BC22" s="1488"/>
      <c r="BD22" s="1488"/>
      <c r="BE22" s="1488"/>
      <c r="BF22" s="1488"/>
      <c r="BG22" s="1488"/>
      <c r="BH22" s="1488"/>
      <c r="BI22" s="1488"/>
      <c r="BJ22" s="1488"/>
      <c r="BK22" s="1488"/>
      <c r="BL22" s="1488"/>
      <c r="BM22" s="1488"/>
      <c r="BN22" s="1488"/>
      <c r="BO22" s="1488"/>
      <c r="BP22" s="1488"/>
      <c r="BQ22" s="1488"/>
      <c r="BR22" s="1395"/>
      <c r="BS22" s="1450"/>
      <c r="BT22" s="1450"/>
      <c r="BU22" s="1489"/>
      <c r="BV22"/>
      <c r="BW22"/>
      <c r="CJ22" s="270" t="str">
        <v/>
      </c>
    </row>
    <row r="23" spans="1:88" ht="13.5" outlineLevel="1" thickBot="1" x14ac:dyDescent="0.25">
      <c r="A23"/>
      <c r="B23" s="1"/>
      <c r="C23"/>
      <c r="D23"/>
      <c r="E23"/>
      <c r="F23"/>
      <c r="G23" s="1"/>
      <c r="H23"/>
      <c r="I23"/>
      <c r="J23"/>
      <c r="K23"/>
      <c r="L23"/>
      <c r="M23"/>
      <c r="N23"/>
      <c r="O23"/>
      <c r="P23"/>
      <c r="Q23"/>
      <c r="R23"/>
      <c r="S23"/>
      <c r="T23"/>
      <c r="V23" s="1"/>
      <c r="W23" s="1"/>
      <c r="X23"/>
      <c r="Y23" s="6"/>
      <c r="Z23"/>
      <c r="AA23" s="1"/>
      <c r="AB23"/>
      <c r="AC23" s="16"/>
      <c r="AD23" s="16"/>
      <c r="AE23"/>
      <c r="AF23"/>
      <c r="AG23"/>
      <c r="AH23"/>
      <c r="AI23"/>
      <c r="AJ23"/>
      <c r="AK23"/>
      <c r="AL23"/>
      <c r="AM23"/>
      <c r="AN23"/>
      <c r="AP23"/>
      <c r="AQ23"/>
      <c r="AR23"/>
      <c r="AS23"/>
      <c r="AT23"/>
      <c r="AU23"/>
      <c r="AV23"/>
      <c r="AW23"/>
      <c r="AX23"/>
      <c r="AY23"/>
      <c r="AZ23"/>
      <c r="BA23"/>
      <c r="BB23"/>
      <c r="BC23"/>
      <c r="BD23"/>
      <c r="BE23"/>
      <c r="BF23"/>
      <c r="BG23"/>
      <c r="BH23"/>
      <c r="BI23"/>
      <c r="BJ23"/>
      <c r="BK23"/>
      <c r="BL23"/>
      <c r="BM23"/>
      <c r="BN23"/>
      <c r="BO23"/>
      <c r="BP23"/>
      <c r="BQ23"/>
      <c r="BR23" s="1395"/>
      <c r="BS23" s="1450"/>
      <c r="BT23" s="1450"/>
      <c r="BU23"/>
      <c r="BV23"/>
      <c r="BW23"/>
      <c r="CJ23" s="270" t="str">
        <v/>
      </c>
    </row>
    <row r="24" spans="1:88" ht="13.5" outlineLevel="1" thickBot="1" x14ac:dyDescent="0.25">
      <c r="A24"/>
      <c r="B24" s="18" t="str">
        <f>N_Tirage</f>
        <v>Tirage</v>
      </c>
      <c r="C24" s="19" t="s">
        <v>787</v>
      </c>
      <c r="D24" s="20" t="s">
        <v>831</v>
      </c>
      <c r="E24" s="20" t="s">
        <v>832</v>
      </c>
      <c r="F24" s="67" t="s">
        <v>833</v>
      </c>
      <c r="G24" s="22" t="str">
        <f>N_Equipes</f>
        <v>Equipes</v>
      </c>
      <c r="H24" s="25" t="str">
        <f>N_Pts</f>
        <v>Pts</v>
      </c>
      <c r="I24" s="25" t="str">
        <f>N_J</f>
        <v>J</v>
      </c>
      <c r="J24" s="26" t="str">
        <f>N_G</f>
        <v>G</v>
      </c>
      <c r="K24" s="26" t="str">
        <f>N_N</f>
        <v>N</v>
      </c>
      <c r="L24" s="26" t="str">
        <f>N_P</f>
        <v>P</v>
      </c>
      <c r="M24" s="26" t="str">
        <f>N_Diff_R</f>
        <v>Diff R</v>
      </c>
      <c r="N24" s="26" t="str">
        <f>N_MP</f>
        <v>MP</v>
      </c>
      <c r="O24" s="26" t="str">
        <f>N_MC</f>
        <v>MC</v>
      </c>
      <c r="P24" s="5" t="str">
        <f>N_Diff_M</f>
        <v>Diff M</v>
      </c>
      <c r="Q24" s="26" t="str">
        <f>N_BP</f>
        <v>BP</v>
      </c>
      <c r="R24" s="26" t="str">
        <f>N_BC</f>
        <v>BC</v>
      </c>
      <c r="S24" s="68" t="str">
        <f>N_Diff_B</f>
        <v>Diff B</v>
      </c>
      <c r="T24"/>
      <c r="V24"/>
      <c r="W24"/>
      <c r="X24"/>
      <c r="Y24"/>
      <c r="Z24"/>
      <c r="AA24"/>
      <c r="AB24"/>
      <c r="AC24"/>
      <c r="AD24"/>
      <c r="AE24"/>
      <c r="AF24"/>
      <c r="AG24"/>
      <c r="AH24"/>
      <c r="AI24"/>
      <c r="AJ24"/>
      <c r="AK24"/>
      <c r="AL24"/>
      <c r="AM24"/>
      <c r="AN24"/>
      <c r="AO24" s="69" t="str">
        <f>N_Cla.</f>
        <v>Cla.</v>
      </c>
      <c r="AP24" s="3" t="str">
        <f>N_Equipes</f>
        <v>Equipes</v>
      </c>
      <c r="AQ24" s="23" t="str">
        <f>N_Pts</f>
        <v>Pts</v>
      </c>
      <c r="AR24" s="23" t="str">
        <f>N_J</f>
        <v>J</v>
      </c>
      <c r="AS24" s="20" t="str">
        <f>N_G</f>
        <v>G</v>
      </c>
      <c r="AT24" s="20" t="str">
        <f>N_N</f>
        <v>N</v>
      </c>
      <c r="AU24" s="20" t="str">
        <f>N_P</f>
        <v>P</v>
      </c>
      <c r="AV24" s="21" t="str">
        <f>N_Diff_R</f>
        <v>Diff R</v>
      </c>
      <c r="AW24" s="70" t="str">
        <f>N_MP</f>
        <v>MP</v>
      </c>
      <c r="AX24" s="20" t="str">
        <f>N_MC</f>
        <v>MC</v>
      </c>
      <c r="AY24" s="71" t="str">
        <f>N_Diff_M</f>
        <v>Diff M</v>
      </c>
      <c r="AZ24" s="70" t="str">
        <f>N_BP</f>
        <v>BP</v>
      </c>
      <c r="BA24" s="20" t="str">
        <f>N_BC</f>
        <v>BC</v>
      </c>
      <c r="BB24" s="21" t="str">
        <f>N_Diff_B</f>
        <v>Diff B</v>
      </c>
      <c r="BC24" s="286" t="str">
        <f>N_Matches</f>
        <v>Matches</v>
      </c>
      <c r="BD24" s="287"/>
      <c r="BE24" s="287"/>
      <c r="BF24" s="287"/>
      <c r="BG24" s="287"/>
      <c r="BH24" s="288"/>
      <c r="BI24"/>
      <c r="BJ24"/>
      <c r="BK24"/>
      <c r="BL24"/>
      <c r="BM24"/>
      <c r="BN24"/>
      <c r="BO24"/>
      <c r="BP24"/>
      <c r="BQ24"/>
      <c r="BR24" s="1395"/>
      <c r="BS24" s="1450"/>
      <c r="BT24" s="1450"/>
      <c r="BU24"/>
      <c r="BV24"/>
      <c r="BW24"/>
      <c r="CJ24" s="270" t="str">
        <v/>
      </c>
    </row>
    <row r="25" spans="1:88" outlineLevel="1" x14ac:dyDescent="0.2">
      <c r="A25"/>
      <c r="B25" s="31">
        <v>1</v>
      </c>
      <c r="C25" s="53" t="str">
        <f>IF(AL28="","",RANK(F25,F25:F27)*1000+ROW())</f>
        <v/>
      </c>
      <c r="D25" s="28" t="str">
        <f>IF(J25="","",H25*CritClassEq1_Points+M25*CritClassEq1_DiffRencontres+P25*CritClassEq1_DiffMatches+S25*CritClassEq1_DiffButs+N25*CritClassEq1_Matches+Q25*CritClassEq1_Attaque)</f>
        <v/>
      </c>
      <c r="E25" s="28" t="str">
        <f>IF(J25="","",Nb_Diff_Part(D25,D25:D27,G25,G25:G27,AK29:AK46)*CritClassInd_DiffPart)</f>
        <v/>
      </c>
      <c r="F25" s="72" t="str">
        <f>IF(J25="","",D25+E25+H25*CritClassEq2_Points+M25*CritClassEq2_DiffRencontres+P25*CritClassEq2_DiffMatches+S25*CritClassEq2_DiffButs+N25*CritClassEq2_Matches+Q25*CritClassEq2_Attaque)</f>
        <v/>
      </c>
      <c r="G25" s="454" t="s">
        <v>892</v>
      </c>
      <c r="H25" s="340" t="str">
        <f>IF(AL28="","",(J25*Points_Victoire)+K25*Points_Null)</f>
        <v/>
      </c>
      <c r="I25" s="33" t="str">
        <f>IF(J25="","",SUM(J25:L25))</f>
        <v/>
      </c>
      <c r="J25" s="33" t="str">
        <f>IF(AL28="","",COUNTIF(AE29:AE46,G25))</f>
        <v/>
      </c>
      <c r="K25" s="33" t="str">
        <f>IF(AL28="","",COUNTIF(AF29:AG46,G25))</f>
        <v/>
      </c>
      <c r="L25" s="33" t="str">
        <f>IF(AL28="","",COUNTIF(AH29:AH46,G25))</f>
        <v/>
      </c>
      <c r="M25" s="338" t="str">
        <f>IF(AL28="","",J25-L25)</f>
        <v/>
      </c>
      <c r="N25" s="100" t="str">
        <f>IF(AL28="","",SUMIF(Y29:Y46,G25,Z28:AL46)+SUMIF(AC29:AC46,G25,AB29:AB46))</f>
        <v/>
      </c>
      <c r="O25" s="33" t="str">
        <f>IF(AL28="","",SUMIF(Y29:Y46,G25,AB29:AB46)+SUMIF(AC29:AC46,G25,Z28:AL46))</f>
        <v/>
      </c>
      <c r="P25" s="101" t="str">
        <f>IF(AL28="","",N25-O25)</f>
        <v/>
      </c>
      <c r="Q25" s="33" t="str">
        <f>IF(AL28="","",SUMIF(Y29:Y46,G25,AI29:AI46)+SUMIF(AC29:AC46,G25,AJ29:AJ46))</f>
        <v/>
      </c>
      <c r="R25" s="33" t="str">
        <f>IF(AL28="","",SUMIF(Y29:Y46,G25,AJ29:AJ46)+SUMIF(AC29:AC46,G25,AI29:AI46))</f>
        <v/>
      </c>
      <c r="S25" s="102" t="str">
        <f>IF(AL28="","",Q25-R25)</f>
        <v/>
      </c>
      <c r="T25"/>
      <c r="V25"/>
      <c r="W25"/>
      <c r="X25"/>
      <c r="Y25"/>
      <c r="Z25"/>
      <c r="AA25"/>
      <c r="AB25"/>
      <c r="AC25"/>
      <c r="AD25"/>
      <c r="AE25"/>
      <c r="AF25"/>
      <c r="AG25"/>
      <c r="AH25"/>
      <c r="AI25"/>
      <c r="AJ25"/>
      <c r="AK25"/>
      <c r="AL25" t="str">
        <f>IF(AL28="","",SMALL(C25:C27,1))</f>
        <v/>
      </c>
      <c r="AM25"/>
      <c r="AN25"/>
      <c r="AO25" s="31" t="str">
        <f>IF(AL28="","",INT(AL25/1000))</f>
        <v/>
      </c>
      <c r="AP25" s="99" t="str">
        <f>IF(AL28="",IF(HidePlayerFormulas,"","("&amp;G25&amp;")"),VLOOKUP(AL25,C25:S27,5,FALSE))</f>
        <v/>
      </c>
      <c r="AQ25" s="100" t="str">
        <f>VLOOKUP(AL25,C25:S27,6,FALSE)</f>
        <v/>
      </c>
      <c r="AR25" s="33" t="str">
        <f>VLOOKUP(AL25,C25:S27,7,FALSE)</f>
        <v/>
      </c>
      <c r="AS25" s="33" t="str">
        <f>VLOOKUP(AL25,C25:S27,8,FALSE)</f>
        <v/>
      </c>
      <c r="AT25" s="33" t="str">
        <f>VLOOKUP(AL25,C25:S27,9,FALSE)</f>
        <v/>
      </c>
      <c r="AU25" s="33" t="str">
        <f>VLOOKUP(AL25,C25:S27,10,FALSE)</f>
        <v/>
      </c>
      <c r="AV25" s="101" t="str">
        <f>VLOOKUP(AL25,C25:S27,11,FALSE)</f>
        <v/>
      </c>
      <c r="AW25" s="32" t="str">
        <f>VLOOKUP(AL25,C25:S27,12,FALSE)</f>
        <v/>
      </c>
      <c r="AX25" s="33" t="str">
        <f>VLOOKUP(AL25,C25:S27,13,FALSE)</f>
        <v/>
      </c>
      <c r="AY25" s="102" t="str">
        <f>VLOOKUP(AL25,C25:S27,14,FALSE)</f>
        <v/>
      </c>
      <c r="AZ25" s="32" t="str">
        <f>VLOOKUP(AL25,C25:S27,15,FALSE)</f>
        <v/>
      </c>
      <c r="BA25" s="33" t="str">
        <f>VLOOKUP(AL25,C25:S27,16,FALSE)</f>
        <v/>
      </c>
      <c r="BB25" s="102" t="str">
        <f>VLOOKUP(AL25,C25:S27,17,FALSE)</f>
        <v/>
      </c>
      <c r="BC25" s="27" t="str">
        <f>IF(Z29="","",IF(AP25=Y29,Z29,IF(AP25=AC29,AB29,"")))</f>
        <v/>
      </c>
      <c r="BD25" s="344" t="str">
        <f>IF(Z32="","",IF(AP25=Y32,Z32,IF(AP25=AC32,AB32,"")))</f>
        <v/>
      </c>
      <c r="BE25" s="344" t="str">
        <f>IF(Z35="","",IF(AP25=Y35,Z35,IF(AP25=AC35,AB35,"")))</f>
        <v/>
      </c>
      <c r="BF25" s="344" t="str">
        <f>IF(Z38="","",IF(AP25=Y38,Z38,IF(AP25=AC38,AB38,"")))</f>
        <v/>
      </c>
      <c r="BG25" s="344" t="str">
        <f>IF(Z41="","",IF(AP25=Y41,Z41,IF(AP25=AC41,AB41,"")))</f>
        <v/>
      </c>
      <c r="BH25" s="345" t="str">
        <f>IF(Z44="","",IF(AP25=Y44,Z44,IF(AP25=AC44,AB44,"")))</f>
        <v/>
      </c>
      <c r="BI25"/>
      <c r="BJ25"/>
      <c r="BK25"/>
      <c r="BL25"/>
      <c r="BM25"/>
      <c r="BN25"/>
      <c r="BO25"/>
      <c r="BP25"/>
      <c r="BQ25"/>
      <c r="BR25" s="1395" t="b">
        <f>IF(G25="[---WithDraw---]",FALSE,IF(COUNTIF(PlayerNamesWithinGroups,G25)&gt;1,TRUE,FALSE))</f>
        <v>1</v>
      </c>
      <c r="BS25" s="1450" t="b">
        <f>AND(LEFT($AP25,1) = "(", RIGHT($AP25,1) =")")</f>
        <v>0</v>
      </c>
      <c r="BT25" s="1450" t="b">
        <f>IF(OR($AO25=$AO24,$AO25=$AO26),TRUE,FALSE)</f>
        <v>1</v>
      </c>
      <c r="BU25"/>
      <c r="BV25"/>
      <c r="BW25"/>
      <c r="CJ25" s="270" t="str">
        <v/>
      </c>
    </row>
    <row r="26" spans="1:88" outlineLevel="1" x14ac:dyDescent="0.2">
      <c r="A26"/>
      <c r="B26" s="40">
        <v>2</v>
      </c>
      <c r="C26" s="55" t="str">
        <f>IF(AL28="","",RANK(F26,F25:F27)*1000+ROW())</f>
        <v/>
      </c>
      <c r="D26" s="37" t="str">
        <f>IF(J26="","",H26*CritClassEq1_Points+M26*CritClassEq1_DiffRencontres+P26*CritClassEq1_DiffMatches+S26*CritClassEq1_DiffButs+N26*CritClassEq1_Matches+Q26*CritClassEq1_Attaque)</f>
        <v/>
      </c>
      <c r="E26" s="37" t="str">
        <f>IF(J26="","",Nb_Diff_Part(D26,D25:D27,G26,G25:G27,AK29:AK46)*CritClassInd_DiffPart)</f>
        <v/>
      </c>
      <c r="F26" s="80" t="str">
        <f>IF(J26="","",D26+E26+H26*CritClassEq2_Points+M26*CritClassEq2_DiffRencontres+P26*CritClassEq2_DiffMatches+S26*CritClassEq2_DiffButs+N26*CritClassEq2_Matches+Q26*CritClassEq2_Attaque)</f>
        <v/>
      </c>
      <c r="G26" s="39" t="s">
        <v>893</v>
      </c>
      <c r="H26" s="341" t="str">
        <f>IF(AL28="","",(J26*Points_Victoire)+K26*Points_Null)</f>
        <v/>
      </c>
      <c r="I26" s="42" t="str">
        <f>IF(J26="","",SUM(J26:L26))</f>
        <v/>
      </c>
      <c r="J26" s="42" t="str">
        <f>IF(AL28="","",COUNTIF(AE29:AE46,G26))</f>
        <v/>
      </c>
      <c r="K26" s="42" t="str">
        <f>IF(AL28="","",COUNTIF(AF29:AG46,G26))</f>
        <v/>
      </c>
      <c r="L26" s="42" t="str">
        <f>IF(AL28="","",COUNTIF(AH29:AH46,G26))</f>
        <v/>
      </c>
      <c r="M26" s="339" t="str">
        <f>IF(AL28="","",J26-L26)</f>
        <v/>
      </c>
      <c r="N26" s="42" t="str">
        <f>IF(AL28="","",SUMIF(Y29:Y46,G26,Z28:AL46)+SUMIF(AC29:AC46,G26,AB29:AB46))</f>
        <v/>
      </c>
      <c r="O26" s="42" t="str">
        <f>IF(AL28="","",SUMIF(Y29:Y46,G26,AB29:AB46)+SUMIF(AC29:AC46,G26,Z28:AL46))</f>
        <v/>
      </c>
      <c r="P26" s="339" t="str">
        <f>IF(AL28="","",N26-O26)</f>
        <v/>
      </c>
      <c r="Q26" s="42" t="str">
        <f>IF(AL28="","",SUMIF(Y29:Y46,G26,AI29:AI46)+SUMIF(AC29:AC46,G26,AJ29:AJ46))</f>
        <v/>
      </c>
      <c r="R26" s="42" t="str">
        <f>IF(AL28="","",SUMIF(Y29:Y46,G26,AJ29:AJ46)+SUMIF(AC29:AC46,G26,AI29:AI46))</f>
        <v/>
      </c>
      <c r="S26" s="82" t="str">
        <f>IF(AL28="","",Q26-R26)</f>
        <v/>
      </c>
      <c r="T26"/>
      <c r="V26"/>
      <c r="W26"/>
      <c r="X26"/>
      <c r="Y26"/>
      <c r="Z26"/>
      <c r="AA26"/>
      <c r="AB26"/>
      <c r="AC26"/>
      <c r="AD26"/>
      <c r="AE26"/>
      <c r="AF26"/>
      <c r="AG26"/>
      <c r="AH26"/>
      <c r="AI26"/>
      <c r="AJ26"/>
      <c r="AK26"/>
      <c r="AL26" t="str">
        <f>IF(AL28="","",SMALL(C25:C27,2))</f>
        <v/>
      </c>
      <c r="AM26"/>
      <c r="AN26"/>
      <c r="AO26" s="40" t="str">
        <f>IF(AL28="","",INT(AL26/1000))</f>
        <v/>
      </c>
      <c r="AP26" s="81" t="str">
        <f>IF(AL28="",IF(HidePlayerFormulas,"","("&amp;G26&amp;")"),VLOOKUP(AL26,C25:S27,5,FALSE))</f>
        <v/>
      </c>
      <c r="AQ26" s="41" t="str">
        <f>VLOOKUP(AL26,C25:S27,6,FALSE)</f>
        <v/>
      </c>
      <c r="AR26" s="42" t="str">
        <f>VLOOKUP(AL26,C25:S27,7,FALSE)</f>
        <v/>
      </c>
      <c r="AS26" s="42" t="str">
        <f>VLOOKUP(AL26,C25:S27,8,FALSE)</f>
        <v/>
      </c>
      <c r="AT26" s="42" t="str">
        <f>VLOOKUP(AL26,C25:S27,9,FALSE)</f>
        <v/>
      </c>
      <c r="AU26" s="42" t="str">
        <f>VLOOKUP(AL26,C25:S27,10,FALSE)</f>
        <v/>
      </c>
      <c r="AV26" s="82" t="str">
        <f>VLOOKUP(AL26,C25:S27,11,FALSE)</f>
        <v/>
      </c>
      <c r="AW26" s="41" t="str">
        <f>VLOOKUP(AL26,C25:S27,12,FALSE)</f>
        <v/>
      </c>
      <c r="AX26" s="42" t="str">
        <f>VLOOKUP(AL26,C25:S27,13,FALSE)</f>
        <v/>
      </c>
      <c r="AY26" s="82" t="str">
        <f>VLOOKUP(AL26,C25:S27,14,FALSE)</f>
        <v/>
      </c>
      <c r="AZ26" s="41" t="str">
        <f>VLOOKUP(AL26,C25:S27,15,FALSE)</f>
        <v/>
      </c>
      <c r="BA26" s="42" t="str">
        <f>VLOOKUP(AL26,C25:S27,16,FALSE)</f>
        <v/>
      </c>
      <c r="BB26" s="82" t="str">
        <f>VLOOKUP(AL26,C25:S27,17,FALSE)</f>
        <v/>
      </c>
      <c r="BC26" s="346" t="str">
        <f>IF(Z29="","",IF(AP26=Y29,Z29,IF(AP26=AC29,AB29,"")))</f>
        <v/>
      </c>
      <c r="BD26" s="122" t="str">
        <f>IF(Z32="","",IF(AP26=Y32,Z32,IF(AP26=AC32,AB32,"")))</f>
        <v/>
      </c>
      <c r="BE26" s="122" t="str">
        <f>IF(Z35="","",IF(AP26=Y35,Z35,IF(AP26=AC35,AB35,"")))</f>
        <v/>
      </c>
      <c r="BF26" s="122" t="str">
        <f>IF(Z38="","",IF(AP26=Y38,Z38,IF(AP26=AC38,AB38,"")))</f>
        <v/>
      </c>
      <c r="BG26" s="122" t="str">
        <f>IF(Z41="","",IF(AP26=Y41,Z41,IF(AP26=AC41,AB41,"")))</f>
        <v/>
      </c>
      <c r="BH26" s="347" t="str">
        <f>IF(Z44="","",IF(AP26=Y44,Z44,IF(AP26=AC44,AB44,"")))</f>
        <v/>
      </c>
      <c r="BI26"/>
      <c r="BJ26"/>
      <c r="BK26"/>
      <c r="BL26"/>
      <c r="BM26"/>
      <c r="BN26"/>
      <c r="BO26"/>
      <c r="BP26"/>
      <c r="BQ26"/>
      <c r="BR26" s="1395" t="b">
        <f>IF(G26="[---WithDraw---]",FALSE,IF(COUNTIF(PlayerNamesWithinGroups,G26)&gt;1,TRUE,FALSE))</f>
        <v>1</v>
      </c>
      <c r="BS26" s="1450" t="b">
        <f>AND(LEFT($AP26,1) = "(", RIGHT($AP26,1) =")")</f>
        <v>0</v>
      </c>
      <c r="BT26" s="1450" t="b">
        <f>IF(OR($AO26=$AO25,$AO26=$AO27),TRUE,FALSE)</f>
        <v>1</v>
      </c>
      <c r="BU26"/>
      <c r="BV26"/>
      <c r="BW26"/>
      <c r="CJ26" s="270" t="str">
        <v/>
      </c>
    </row>
    <row r="27" spans="1:88" ht="13.5" outlineLevel="1" collapsed="1" thickBot="1" x14ac:dyDescent="0.25">
      <c r="A27"/>
      <c r="B27" s="48">
        <v>3</v>
      </c>
      <c r="C27" s="57" t="str">
        <f>IF(AL28="","",RANK(F27,F25:F27)*1000+ROW())</f>
        <v/>
      </c>
      <c r="D27" s="47" t="str">
        <f>IF(J27="","",H27*CritClassEq1_Points+M27*CritClassEq1_DiffRencontres+P27*CritClassEq1_DiffMatches+S27*CritClassEq1_DiffButs+N27*CritClassEq1_Matches+Q27*CritClassEq1_Attaque)</f>
        <v/>
      </c>
      <c r="E27" s="47" t="str">
        <f>IF(J27="","",Nb_Diff_Part(D27,D25:D27,G27,G25:G27,AK29:AK46)*CritClassInd_DiffPart)</f>
        <v/>
      </c>
      <c r="F27" s="292" t="str">
        <f>IF(J27="","",D27+E27+H27*CritClassEq2_Points+M27*CritClassEq2_DiffRencontres+P27*CritClassEq2_DiffMatches+S27*CritClassEq2_DiffButs+N27*CritClassEq2_Matches+Q27*CritClassEq2_Attaque)</f>
        <v/>
      </c>
      <c r="G27" s="30" t="s">
        <v>894</v>
      </c>
      <c r="H27" s="342" t="str">
        <f>IF(AL28="","",(J27*Points_Victoire)+K27*Points_Null)</f>
        <v/>
      </c>
      <c r="I27" s="50" t="str">
        <f>IF(J27="","",SUM(J27:L27))</f>
        <v/>
      </c>
      <c r="J27" s="50" t="str">
        <f>IF(AL28="","",COUNTIF(AE29:AE46,G27))</f>
        <v/>
      </c>
      <c r="K27" s="50" t="str">
        <f>IF(AL28="","",COUNTIF(AF29:AG46,G27))</f>
        <v/>
      </c>
      <c r="L27" s="50" t="str">
        <f>IF(AL28="","",COUNTIF(AH29:AH46,G27))</f>
        <v/>
      </c>
      <c r="M27" s="343" t="str">
        <f>IF(AL28="","",J27-L27)</f>
        <v/>
      </c>
      <c r="N27" s="50" t="str">
        <f>IF(AL28="","",SUMIF(Y29:Y46,G27,Z28:AL46)+SUMIF(AC29:AC46,G27,AB29:AB46))</f>
        <v/>
      </c>
      <c r="O27" s="50" t="str">
        <f>IF(AL28="","",SUMIF(Y29:Y46,G27,AB29:AB46)+SUMIF(AC29:AC46,G27,Z28:AL46))</f>
        <v/>
      </c>
      <c r="P27" s="343" t="str">
        <f>IF(AL28="","",N27-O27)</f>
        <v/>
      </c>
      <c r="Q27" s="50" t="str">
        <f>IF(AL28="","",SUMIF(Y29:Y46,G27,AI29:AI46)+SUMIF(AC29:AC46,G27,AJ29:AJ46))</f>
        <v/>
      </c>
      <c r="R27" s="50" t="str">
        <f>IF(AL28="","",SUMIF(Y29:Y46,G27,AJ29:AJ46)+SUMIF(AC29:AC46,G27,AI29:AI46))</f>
        <v/>
      </c>
      <c r="S27" s="88" t="str">
        <f>IF(AL28="","",Q27-R27)</f>
        <v/>
      </c>
      <c r="T27"/>
      <c r="V27"/>
      <c r="W27"/>
      <c r="X27"/>
      <c r="Y27"/>
      <c r="Z27"/>
      <c r="AA27"/>
      <c r="AB27"/>
      <c r="AC27"/>
      <c r="AD27"/>
      <c r="AE27"/>
      <c r="AF27"/>
      <c r="AG27"/>
      <c r="AH27"/>
      <c r="AI27"/>
      <c r="AJ27"/>
      <c r="AK27"/>
      <c r="AL27" t="str">
        <f>IF(AL28="","",SMALL(C25:C27,3))</f>
        <v/>
      </c>
      <c r="AM27"/>
      <c r="AN27"/>
      <c r="AO27" s="48" t="str">
        <f>IF(AL28="","",INT(AL27/1000))</f>
        <v/>
      </c>
      <c r="AP27" s="87" t="str">
        <f>IF(AL28="",IF(HidePlayerFormulas,"","("&amp;G27&amp;")"),VLOOKUP(AL27,C25:S27,5,FALSE))</f>
        <v/>
      </c>
      <c r="AQ27" s="49" t="str">
        <f>VLOOKUP(AL27,C25:S27,6,FALSE)</f>
        <v/>
      </c>
      <c r="AR27" s="50" t="str">
        <f>VLOOKUP(AL27,C25:S27,7,FALSE)</f>
        <v/>
      </c>
      <c r="AS27" s="50" t="str">
        <f>VLOOKUP(AL27,C25:S27,8,FALSE)</f>
        <v/>
      </c>
      <c r="AT27" s="50" t="str">
        <f>VLOOKUP(AL27,C25:S27,9,FALSE)</f>
        <v/>
      </c>
      <c r="AU27" s="50" t="str">
        <f>VLOOKUP(AL27,C25:S27,10,FALSE)</f>
        <v/>
      </c>
      <c r="AV27" s="88" t="str">
        <f>VLOOKUP(AL27,C25:S27,11,FALSE)</f>
        <v/>
      </c>
      <c r="AW27" s="49" t="str">
        <f>VLOOKUP(AL27,C25:S27,12,FALSE)</f>
        <v/>
      </c>
      <c r="AX27" s="50" t="str">
        <f>VLOOKUP(AL27,C25:S27,13,FALSE)</f>
        <v/>
      </c>
      <c r="AY27" s="88" t="str">
        <f>VLOOKUP(AL27,C25:S27,14,FALSE)</f>
        <v/>
      </c>
      <c r="AZ27" s="49" t="str">
        <f>VLOOKUP(AL27,C25:S27,15,FALSE)</f>
        <v/>
      </c>
      <c r="BA27" s="50" t="str">
        <f>VLOOKUP(AL27,C25:S27,16,FALSE)</f>
        <v/>
      </c>
      <c r="BB27" s="88" t="str">
        <f>VLOOKUP(AL27,C25:S27,17,FALSE)</f>
        <v/>
      </c>
      <c r="BC27" s="348" t="str">
        <f>IF(Z29="","",IF(AP27=Y29,Z29,IF(AP27=AC29,AB29,"")))</f>
        <v/>
      </c>
      <c r="BD27" s="349" t="str">
        <f>IF(Z32="","",IF(AP27=Y32,Z32,IF(AP27=AC32,AB32,"")))</f>
        <v/>
      </c>
      <c r="BE27" s="349" t="str">
        <f>IF(Z35="","",IF(AP27=Y35,Z35,IF(AP27=AC35,AB35,"")))</f>
        <v/>
      </c>
      <c r="BF27" s="349" t="str">
        <f>IF(Z38="","",IF(AP27=Y38,Z38,IF(AP27=AC38,AB38,"")))</f>
        <v/>
      </c>
      <c r="BG27" s="349" t="str">
        <f>IF(Z41="","",IF(AP27=Y41,Z41,IF(AP27=AC41,AB41,"")))</f>
        <v/>
      </c>
      <c r="BH27" s="350" t="str">
        <f>IF(Z44="","",IF(AP27=Y44,Z44,IF(AP27=AC44,AB44,"")))</f>
        <v/>
      </c>
      <c r="BI27"/>
      <c r="BJ27"/>
      <c r="BK27"/>
      <c r="BL27"/>
      <c r="BM27"/>
      <c r="BN27"/>
      <c r="BO27"/>
      <c r="BP27"/>
      <c r="BQ27"/>
      <c r="BR27" s="1395" t="b">
        <f>IF(G27="[---WithDraw---]",FALSE,IF(COUNTIF(PlayerNamesWithinGroups,G27)&gt;1,TRUE,FALSE))</f>
        <v>1</v>
      </c>
      <c r="BS27" s="1450" t="b">
        <f>AND(LEFT($AP27,1) = "(", RIGHT($AP27,1) =")")</f>
        <v>0</v>
      </c>
      <c r="BT27" s="1450" t="b">
        <f>IF(OR($AO27=$AO26,$AO27=$AO28),TRUE,FALSE)</f>
        <v>1</v>
      </c>
      <c r="BU27"/>
      <c r="BV27"/>
      <c r="BW27"/>
      <c r="CJ27" s="270" t="str">
        <v/>
      </c>
    </row>
    <row r="28" spans="1:88" ht="13.5" hidden="1" outlineLevel="2" thickBot="1" x14ac:dyDescent="0.25">
      <c r="A28"/>
      <c r="B28" s="1"/>
      <c r="C28"/>
      <c r="D28"/>
      <c r="E28"/>
      <c r="F28"/>
      <c r="G28" s="1"/>
      <c r="H28"/>
      <c r="I28"/>
      <c r="J28"/>
      <c r="K28"/>
      <c r="L28"/>
      <c r="M28"/>
      <c r="N28"/>
      <c r="O28"/>
      <c r="P28"/>
      <c r="Q28"/>
      <c r="R28"/>
      <c r="S28"/>
      <c r="T28"/>
      <c r="U28" s="8"/>
      <c r="V28" s="3" t="str">
        <f>N_Heure</f>
        <v>Heure</v>
      </c>
      <c r="W28" s="22" t="str">
        <f>N_Table</f>
        <v>Table</v>
      </c>
      <c r="X28" s="22" t="str">
        <f>N_Arbitre</f>
        <v>Arbitre</v>
      </c>
      <c r="Y28" s="286" t="str">
        <f>N_Matches</f>
        <v>Matches</v>
      </c>
      <c r="Z28" s="287"/>
      <c r="AA28" s="287"/>
      <c r="AB28" s="287"/>
      <c r="AC28" s="288"/>
      <c r="AD28" s="8"/>
      <c r="AE28"/>
      <c r="AF28"/>
      <c r="AG28"/>
      <c r="AH28"/>
      <c r="AI28"/>
      <c r="AJ28"/>
      <c r="AK28"/>
      <c r="AL28" t="str">
        <f>IF(COUNTA(Z29:Z46)&gt;6,"OK","")</f>
        <v/>
      </c>
      <c r="AM28"/>
      <c r="AN28"/>
      <c r="AP28"/>
      <c r="AQ28"/>
      <c r="AR28"/>
      <c r="AS28"/>
      <c r="AT28"/>
      <c r="AU28"/>
      <c r="AV28"/>
      <c r="AW28"/>
      <c r="AX28"/>
      <c r="AY28"/>
      <c r="AZ28"/>
      <c r="BA28"/>
      <c r="BB28"/>
      <c r="BC28"/>
      <c r="BD28"/>
      <c r="BE28"/>
      <c r="BF28"/>
      <c r="BG28"/>
      <c r="BH28"/>
      <c r="BI28"/>
      <c r="BJ28"/>
      <c r="BK28"/>
      <c r="BL28"/>
      <c r="BM28"/>
      <c r="BN28"/>
      <c r="BO28"/>
      <c r="BP28"/>
      <c r="BQ28"/>
      <c r="BR28" s="1395"/>
      <c r="BS28" s="1450"/>
      <c r="BT28" s="1450"/>
      <c r="BU28"/>
      <c r="BV28"/>
      <c r="BW28"/>
      <c r="CJ28" s="270" t="str">
        <v/>
      </c>
    </row>
    <row r="29" spans="1:88" hidden="1" outlineLevel="2" x14ac:dyDescent="0.2">
      <c r="A29"/>
      <c r="B29" s="1"/>
      <c r="C29" s="11"/>
      <c r="D29" s="76"/>
      <c r="E29" s="76"/>
      <c r="F29" s="76"/>
      <c r="G29" s="9"/>
      <c r="H29" s="1"/>
      <c r="I29"/>
      <c r="J29"/>
      <c r="K29"/>
      <c r="L29"/>
      <c r="M29"/>
      <c r="N29"/>
      <c r="O29"/>
      <c r="P29" s="89"/>
      <c r="Q29"/>
      <c r="R29"/>
      <c r="S29" s="89"/>
      <c r="T29"/>
      <c r="U29" s="331" t="s">
        <v>1726</v>
      </c>
      <c r="V29" s="54"/>
      <c r="W29" s="74"/>
      <c r="X29" s="75"/>
      <c r="Y29" s="34" t="str">
        <f>IF(COUNTA(G25:G27) =3,GMFTGROUPORDERDBLE(G25:G27,Y29:Y37,AC29:AC37),"")</f>
        <v>Db3</v>
      </c>
      <c r="Z29" s="95" t="str">
        <f>IF(OR(ISNUMBER(Z30),ISNUMBER(Z31)),2-COUNTBLANK(AI30:AI31),"")</f>
        <v/>
      </c>
      <c r="AA29" s="35" t="s">
        <v>769</v>
      </c>
      <c r="AB29" s="95" t="str">
        <f>IF(OR(ISNUMBER(Z30),ISNUMBER(Z31)),2-COUNTBLANK(AJ30:AJ31),"")</f>
        <v/>
      </c>
      <c r="AC29" s="36" t="str">
        <f>IF(COUNTA(G25:G27) =3,GMFTGROUPORDERDBLE(G25:G27,Y29:Y37,AC29:AC37),"")</f>
        <v>Db1</v>
      </c>
      <c r="AD29" s="16"/>
      <c r="AE29" t="str">
        <f t="shared" ref="AE29:AE46" si="5">IF(Z29="","",IF(Z29&gt;AB29,Y29,IF(Z29=AB29,"",AC29)))</f>
        <v/>
      </c>
      <c r="AF29" t="str">
        <f t="shared" ref="AF29:AF46" si="6">IF(Z29="","",IF(Z29=AB29,Y29,""))</f>
        <v/>
      </c>
      <c r="AG29" t="str">
        <f t="shared" ref="AG29:AG46" si="7">IF(Z29="","",IF(Z29=AB29,AC29,""))</f>
        <v/>
      </c>
      <c r="AH29" t="str">
        <f t="shared" ref="AH29:AH46" si="8">IF(Z29="","",IF(Z29&lt;AB29,Y29,IF(Z29=AB29,"",AC29)))</f>
        <v/>
      </c>
      <c r="AI29" s="270" t="str">
        <f>IF(Z29="","",SUM(Z30:Z31))</f>
        <v/>
      </c>
      <c r="AJ29" s="270" t="str">
        <f>IF(Z29="","",SUM(AB30:AB31))</f>
        <v/>
      </c>
      <c r="AK29" t="str">
        <f t="shared" ref="AK29:AK46" si="9">CONCATENATE(AE29,AH29)</f>
        <v/>
      </c>
      <c r="AL29"/>
      <c r="AM29"/>
      <c r="AN29"/>
      <c r="AO29" s="1"/>
      <c r="AP29"/>
      <c r="AQ29"/>
      <c r="AR29"/>
      <c r="AS29"/>
      <c r="AT29"/>
      <c r="AU29"/>
      <c r="AV29"/>
      <c r="AW29"/>
      <c r="AX29"/>
      <c r="AY29" s="89"/>
      <c r="AZ29"/>
      <c r="BA29"/>
      <c r="BB29" s="89"/>
      <c r="BC29"/>
      <c r="BD29"/>
      <c r="BE29"/>
      <c r="BF29"/>
      <c r="BG29"/>
      <c r="BH29"/>
      <c r="BI29"/>
      <c r="BJ29"/>
      <c r="BK29"/>
      <c r="BL29"/>
      <c r="BM29"/>
      <c r="BN29"/>
      <c r="BO29"/>
      <c r="BP29"/>
      <c r="BQ29"/>
      <c r="BR29" s="1395"/>
      <c r="BS29" s="1450"/>
      <c r="BT29" s="1450"/>
      <c r="BU29"/>
      <c r="BV29"/>
      <c r="BW29"/>
      <c r="CJ29" s="270" t="str">
        <v/>
      </c>
    </row>
    <row r="30" spans="1:88" ht="12.75" hidden="1" customHeight="1" outlineLevel="3" x14ac:dyDescent="0.2">
      <c r="A30"/>
      <c r="B30" s="1"/>
      <c r="C30" s="11"/>
      <c r="D30" s="76"/>
      <c r="E30" s="76"/>
      <c r="F30" s="76"/>
      <c r="G30" s="9"/>
      <c r="H30" s="1"/>
      <c r="I30"/>
      <c r="J30"/>
      <c r="K30"/>
      <c r="L30"/>
      <c r="M30"/>
      <c r="N30"/>
      <c r="O30"/>
      <c r="P30" s="89"/>
      <c r="Q30"/>
      <c r="R30"/>
      <c r="S30" s="89"/>
      <c r="T30"/>
      <c r="U30" s="332"/>
      <c r="V30" s="92"/>
      <c r="W30" s="56"/>
      <c r="X30" s="78"/>
      <c r="Y30" s="276"/>
      <c r="Z30" s="272"/>
      <c r="AA30" s="273" t="s">
        <v>769</v>
      </c>
      <c r="AB30" s="274"/>
      <c r="AC30" s="275"/>
      <c r="AD30" s="16"/>
      <c r="AE30" t="str">
        <f t="shared" si="5"/>
        <v/>
      </c>
      <c r="AF30" t="str">
        <f t="shared" si="6"/>
        <v/>
      </c>
      <c r="AG30" t="str">
        <f t="shared" si="7"/>
        <v/>
      </c>
      <c r="AH30" t="str">
        <f t="shared" si="8"/>
        <v/>
      </c>
      <c r="AI30" t="str">
        <f>IF(Z30="","",IF(Z30&gt;AB30,Y29,""))</f>
        <v/>
      </c>
      <c r="AJ30" t="str">
        <f>IF(Z30="","",IF(Z30&lt;AB30,AC29,""))</f>
        <v/>
      </c>
      <c r="AK30" t="str">
        <f t="shared" si="9"/>
        <v/>
      </c>
      <c r="AL30"/>
      <c r="AM30"/>
      <c r="AN30"/>
      <c r="AO30" s="1"/>
      <c r="AP30"/>
      <c r="AQ30"/>
      <c r="AR30"/>
      <c r="AS30"/>
      <c r="AT30"/>
      <c r="AU30"/>
      <c r="AV30"/>
      <c r="AW30"/>
      <c r="AX30"/>
      <c r="AY30" s="89"/>
      <c r="AZ30"/>
      <c r="BA30"/>
      <c r="BB30" s="89"/>
      <c r="BC30"/>
      <c r="BD30"/>
      <c r="BE30"/>
      <c r="BF30"/>
      <c r="BG30"/>
      <c r="BH30"/>
      <c r="BI30"/>
      <c r="BJ30"/>
      <c r="BK30"/>
      <c r="BL30"/>
      <c r="BM30"/>
      <c r="BN30"/>
      <c r="BO30"/>
      <c r="BP30"/>
      <c r="BQ30"/>
      <c r="BR30" s="1395"/>
      <c r="BS30" s="1450"/>
      <c r="BT30" s="1450"/>
      <c r="BU30"/>
      <c r="BV30"/>
      <c r="BW30"/>
      <c r="CJ30" s="270" t="str">
        <v/>
      </c>
    </row>
    <row r="31" spans="1:88" ht="12.75" hidden="1" customHeight="1" outlineLevel="3" x14ac:dyDescent="0.2">
      <c r="A31"/>
      <c r="B31" s="1"/>
      <c r="C31"/>
      <c r="D31"/>
      <c r="E31"/>
      <c r="F31"/>
      <c r="G31" s="1"/>
      <c r="H31"/>
      <c r="I31"/>
      <c r="J31"/>
      <c r="K31"/>
      <c r="L31"/>
      <c r="M31"/>
      <c r="N31"/>
      <c r="O31"/>
      <c r="P31"/>
      <c r="Q31"/>
      <c r="R31"/>
      <c r="S31"/>
      <c r="T31"/>
      <c r="U31" s="331"/>
      <c r="V31" s="92"/>
      <c r="W31" s="56"/>
      <c r="X31" s="78"/>
      <c r="Y31" s="276"/>
      <c r="Z31" s="272"/>
      <c r="AA31" s="273" t="s">
        <v>769</v>
      </c>
      <c r="AB31" s="274"/>
      <c r="AC31" s="275"/>
      <c r="AD31" s="16"/>
      <c r="AE31" t="str">
        <f t="shared" si="5"/>
        <v/>
      </c>
      <c r="AF31" t="str">
        <f t="shared" si="6"/>
        <v/>
      </c>
      <c r="AG31" t="str">
        <f t="shared" si="7"/>
        <v/>
      </c>
      <c r="AH31" t="str">
        <f t="shared" si="8"/>
        <v/>
      </c>
      <c r="AI31" t="str">
        <f>IF(Z31="","",IF(Z31&gt;AB31,Y29,""))</f>
        <v/>
      </c>
      <c r="AJ31" t="str">
        <f>IF(Z31="","",IF(Z31&lt;AB31,AC29,""))</f>
        <v/>
      </c>
      <c r="AK31" t="str">
        <f t="shared" si="9"/>
        <v/>
      </c>
      <c r="AL31"/>
      <c r="AM31"/>
      <c r="AN31"/>
      <c r="AP31"/>
      <c r="AQ31"/>
      <c r="AR31"/>
      <c r="AS31"/>
      <c r="AT31"/>
      <c r="AU31"/>
      <c r="AV31"/>
      <c r="AW31"/>
      <c r="AX31"/>
      <c r="AY31"/>
      <c r="AZ31"/>
      <c r="BA31"/>
      <c r="BB31"/>
      <c r="BC31"/>
      <c r="BD31"/>
      <c r="BE31"/>
      <c r="BF31"/>
      <c r="BG31"/>
      <c r="BH31"/>
      <c r="BI31"/>
      <c r="BJ31"/>
      <c r="BK31"/>
      <c r="BL31"/>
      <c r="BM31"/>
      <c r="BN31"/>
      <c r="BO31"/>
      <c r="BP31"/>
      <c r="BQ31"/>
      <c r="BR31" s="1395"/>
      <c r="BS31" s="1450"/>
      <c r="BT31" s="1450"/>
      <c r="BU31"/>
      <c r="BV31"/>
      <c r="BW31"/>
      <c r="CJ31" s="270" t="str">
        <v/>
      </c>
    </row>
    <row r="32" spans="1:88" hidden="1" outlineLevel="2" x14ac:dyDescent="0.2">
      <c r="A32"/>
      <c r="B32" s="1"/>
      <c r="C32" s="11"/>
      <c r="D32" s="76"/>
      <c r="E32" s="76"/>
      <c r="F32" s="76"/>
      <c r="G32" s="9"/>
      <c r="H32" s="1"/>
      <c r="I32"/>
      <c r="J32"/>
      <c r="K32"/>
      <c r="L32"/>
      <c r="M32"/>
      <c r="N32"/>
      <c r="O32"/>
      <c r="P32" s="89"/>
      <c r="Q32"/>
      <c r="R32"/>
      <c r="S32" s="89"/>
      <c r="T32"/>
      <c r="U32" s="331" t="s">
        <v>1727</v>
      </c>
      <c r="V32" s="93"/>
      <c r="W32" s="84"/>
      <c r="X32" s="85"/>
      <c r="Y32" s="43" t="str">
        <f>IF(COUNTA(G25:G27) =3,GMFTGROUPORDERDBLE(G25:G27,Y29:Y37,AC29:AC37),"")</f>
        <v>Db2</v>
      </c>
      <c r="Z32" s="86" t="str">
        <f>IF(OR(ISNUMBER(Z33),ISNUMBER(Z34)),2-COUNTBLANK(AI33:AI34),"")</f>
        <v/>
      </c>
      <c r="AA32" s="45" t="s">
        <v>769</v>
      </c>
      <c r="AB32" s="86" t="str">
        <f>IF(OR(ISNUMBER(Z33),ISNUMBER(Z34)),2-COUNTBLANK(AJ33:AJ34),"")</f>
        <v/>
      </c>
      <c r="AC32" s="46" t="str">
        <f>IF(COUNTA(G25:G27) =3,GMFTGROUPORDERDBLE(G25:G27,Y29:Y37,AC29:AC37),"")</f>
        <v>Db3</v>
      </c>
      <c r="AD32" s="16"/>
      <c r="AE32" t="str">
        <f t="shared" si="5"/>
        <v/>
      </c>
      <c r="AF32" t="str">
        <f t="shared" si="6"/>
        <v/>
      </c>
      <c r="AG32" t="str">
        <f t="shared" si="7"/>
        <v/>
      </c>
      <c r="AH32" t="str">
        <f t="shared" si="8"/>
        <v/>
      </c>
      <c r="AI32" s="270" t="str">
        <f>IF(Z32="","",SUM(Z33:Z34))</f>
        <v/>
      </c>
      <c r="AJ32" s="270" t="str">
        <f>IF(Z32="","",SUM(AB33:AB34))</f>
        <v/>
      </c>
      <c r="AK32" t="str">
        <f t="shared" si="9"/>
        <v/>
      </c>
      <c r="AL32"/>
      <c r="AM32"/>
      <c r="AN32"/>
      <c r="AO32" s="1"/>
      <c r="AP32"/>
      <c r="AQ32"/>
      <c r="AR32"/>
      <c r="AS32"/>
      <c r="AT32"/>
      <c r="AU32"/>
      <c r="AV32"/>
      <c r="AW32"/>
      <c r="AX32"/>
      <c r="AY32" s="89"/>
      <c r="AZ32"/>
      <c r="BA32"/>
      <c r="BB32" s="89"/>
      <c r="BC32"/>
      <c r="BD32"/>
      <c r="BE32"/>
      <c r="BF32"/>
      <c r="BG32"/>
      <c r="BH32"/>
      <c r="BI32"/>
      <c r="BJ32"/>
      <c r="BK32"/>
      <c r="BL32"/>
      <c r="BM32"/>
      <c r="BN32"/>
      <c r="BO32"/>
      <c r="BP32"/>
      <c r="BQ32"/>
      <c r="BR32" s="1395"/>
      <c r="BS32" s="1450"/>
      <c r="BT32" s="1450"/>
      <c r="BU32"/>
      <c r="BV32"/>
      <c r="BW32"/>
      <c r="CJ32" s="270" t="str">
        <v/>
      </c>
    </row>
    <row r="33" spans="1:88" ht="12.75" hidden="1" customHeight="1" outlineLevel="3" x14ac:dyDescent="0.2">
      <c r="A33"/>
      <c r="B33" s="1"/>
      <c r="C33" s="11"/>
      <c r="D33" s="76"/>
      <c r="E33" s="76"/>
      <c r="F33" s="76"/>
      <c r="G33" s="9"/>
      <c r="H33" s="1"/>
      <c r="I33"/>
      <c r="J33"/>
      <c r="K33"/>
      <c r="L33"/>
      <c r="M33"/>
      <c r="N33"/>
      <c r="O33"/>
      <c r="P33" s="89"/>
      <c r="Q33"/>
      <c r="R33"/>
      <c r="S33" s="89"/>
      <c r="T33"/>
      <c r="U33" s="331"/>
      <c r="V33" s="92"/>
      <c r="W33" s="56"/>
      <c r="X33" s="78"/>
      <c r="Y33" s="103"/>
      <c r="Z33" s="44"/>
      <c r="AA33" s="45" t="s">
        <v>769</v>
      </c>
      <c r="AB33" s="44"/>
      <c r="AC33" s="79"/>
      <c r="AD33" s="16"/>
      <c r="AE33" t="str">
        <f t="shared" si="5"/>
        <v/>
      </c>
      <c r="AF33" t="str">
        <f t="shared" si="6"/>
        <v/>
      </c>
      <c r="AG33" t="str">
        <f t="shared" si="7"/>
        <v/>
      </c>
      <c r="AH33" t="str">
        <f t="shared" si="8"/>
        <v/>
      </c>
      <c r="AI33" t="str">
        <f>IF(Z33="","",IF(Z33&gt;AB33,Y32,""))</f>
        <v/>
      </c>
      <c r="AJ33" t="str">
        <f>IF(Z33="","",IF(Z33&lt;AB33,AC32,""))</f>
        <v/>
      </c>
      <c r="AK33" t="str">
        <f t="shared" si="9"/>
        <v/>
      </c>
      <c r="AL33"/>
      <c r="AM33"/>
      <c r="AN33"/>
      <c r="AO33" s="1"/>
      <c r="AP33"/>
      <c r="AQ33"/>
      <c r="AR33"/>
      <c r="AS33"/>
      <c r="AT33"/>
      <c r="AU33"/>
      <c r="AV33"/>
      <c r="AW33"/>
      <c r="AX33"/>
      <c r="AY33" s="89"/>
      <c r="AZ33"/>
      <c r="BA33"/>
      <c r="BB33" s="89"/>
      <c r="BC33"/>
      <c r="BD33"/>
      <c r="BE33"/>
      <c r="BF33"/>
      <c r="BG33"/>
      <c r="BH33"/>
      <c r="BI33"/>
      <c r="BJ33"/>
      <c r="BK33"/>
      <c r="BL33"/>
      <c r="BM33"/>
      <c r="BN33"/>
      <c r="BO33"/>
      <c r="BP33"/>
      <c r="BQ33"/>
      <c r="BR33" s="1395"/>
      <c r="BS33" s="1450"/>
      <c r="BT33" s="1450"/>
      <c r="BU33"/>
      <c r="BV33"/>
      <c r="BW33"/>
      <c r="CJ33" s="270" t="str">
        <v/>
      </c>
    </row>
    <row r="34" spans="1:88" ht="12.75" hidden="1" customHeight="1" outlineLevel="3" x14ac:dyDescent="0.2">
      <c r="A34"/>
      <c r="B34" s="1"/>
      <c r="C34"/>
      <c r="D34"/>
      <c r="E34"/>
      <c r="F34"/>
      <c r="G34" s="1"/>
      <c r="H34"/>
      <c r="I34"/>
      <c r="J34"/>
      <c r="K34"/>
      <c r="L34"/>
      <c r="M34"/>
      <c r="N34"/>
      <c r="O34"/>
      <c r="P34"/>
      <c r="Q34"/>
      <c r="R34"/>
      <c r="S34"/>
      <c r="T34"/>
      <c r="U34" s="331"/>
      <c r="V34" s="92"/>
      <c r="W34" s="56"/>
      <c r="X34" s="78"/>
      <c r="Y34" s="103"/>
      <c r="Z34" s="44"/>
      <c r="AA34" s="45" t="s">
        <v>769</v>
      </c>
      <c r="AB34" s="44"/>
      <c r="AC34" s="79"/>
      <c r="AD34" s="16"/>
      <c r="AE34" t="str">
        <f t="shared" si="5"/>
        <v/>
      </c>
      <c r="AF34" t="str">
        <f t="shared" si="6"/>
        <v/>
      </c>
      <c r="AG34" t="str">
        <f t="shared" si="7"/>
        <v/>
      </c>
      <c r="AH34" t="str">
        <f t="shared" si="8"/>
        <v/>
      </c>
      <c r="AI34" t="str">
        <f>IF(Z34="","",IF(Z34&gt;AB34,Y32,""))</f>
        <v/>
      </c>
      <c r="AJ34" t="str">
        <f>IF(Z34="","",IF(Z34&lt;AB34,AC32,""))</f>
        <v/>
      </c>
      <c r="AK34" t="str">
        <f t="shared" si="9"/>
        <v/>
      </c>
      <c r="AL34"/>
      <c r="AM34"/>
      <c r="AN34"/>
      <c r="AP34"/>
      <c r="AQ34"/>
      <c r="AR34"/>
      <c r="AS34"/>
      <c r="AT34"/>
      <c r="AU34"/>
      <c r="AV34"/>
      <c r="AW34"/>
      <c r="AX34"/>
      <c r="AY34"/>
      <c r="AZ34"/>
      <c r="BA34"/>
      <c r="BB34"/>
      <c r="BC34"/>
      <c r="BD34"/>
      <c r="BE34"/>
      <c r="BF34"/>
      <c r="BG34"/>
      <c r="BH34"/>
      <c r="BI34"/>
      <c r="BJ34"/>
      <c r="BK34"/>
      <c r="BL34"/>
      <c r="BM34"/>
      <c r="BN34"/>
      <c r="BO34"/>
      <c r="BP34"/>
      <c r="BQ34"/>
      <c r="BR34" s="1395"/>
      <c r="BS34" s="1450"/>
      <c r="BT34" s="1450"/>
      <c r="BU34"/>
      <c r="BV34"/>
      <c r="BW34"/>
      <c r="CJ34" s="270" t="str">
        <v/>
      </c>
    </row>
    <row r="35" spans="1:88" hidden="1" outlineLevel="2" x14ac:dyDescent="0.2">
      <c r="A35"/>
      <c r="B35" s="1"/>
      <c r="C35" s="11"/>
      <c r="D35" s="76"/>
      <c r="E35" s="76"/>
      <c r="F35" s="76"/>
      <c r="G35" s="9"/>
      <c r="H35" s="1"/>
      <c r="I35"/>
      <c r="J35"/>
      <c r="K35"/>
      <c r="L35"/>
      <c r="M35"/>
      <c r="N35"/>
      <c r="O35"/>
      <c r="P35" s="89"/>
      <c r="Q35"/>
      <c r="R35"/>
      <c r="S35" s="89"/>
      <c r="T35"/>
      <c r="U35" s="331" t="s">
        <v>1728</v>
      </c>
      <c r="V35" s="93"/>
      <c r="W35" s="84"/>
      <c r="X35" s="85"/>
      <c r="Y35" s="43" t="str">
        <f>IF(COUNTA(G25:G27) =3,GMFTGROUPORDERDBLE(G25:G27,Y29:Y37,AC29:AC37),"")</f>
        <v>Db1</v>
      </c>
      <c r="Z35" s="86" t="str">
        <f>IF(OR(ISNUMBER(Z36),ISNUMBER(Z37)),2-COUNTBLANK(AI36:AI37),"")</f>
        <v/>
      </c>
      <c r="AA35" s="45" t="s">
        <v>769</v>
      </c>
      <c r="AB35" s="86" t="str">
        <f>IF(OR(ISNUMBER(Z36),ISNUMBER(Z37)),2-COUNTBLANK(AJ36:AJ37),"")</f>
        <v/>
      </c>
      <c r="AC35" s="46" t="str">
        <f>IF(COUNTA(G25:G27) =3,GMFTGROUPORDERDBLE(G25:G27,Y29:Y37,AC29:AC37),"")</f>
        <v>Db2</v>
      </c>
      <c r="AD35" s="16"/>
      <c r="AE35" t="str">
        <f t="shared" si="5"/>
        <v/>
      </c>
      <c r="AF35" t="str">
        <f t="shared" si="6"/>
        <v/>
      </c>
      <c r="AG35" t="str">
        <f t="shared" si="7"/>
        <v/>
      </c>
      <c r="AH35" t="str">
        <f t="shared" si="8"/>
        <v/>
      </c>
      <c r="AI35" s="270" t="str">
        <f>IF(Z35="","",SUM(Z36:Z37))</f>
        <v/>
      </c>
      <c r="AJ35" s="270" t="str">
        <f>IF(Z35="","",SUM(AB36:AB37))</f>
        <v/>
      </c>
      <c r="AK35" t="str">
        <f t="shared" si="9"/>
        <v/>
      </c>
      <c r="AL35"/>
      <c r="AM35"/>
      <c r="AN35"/>
      <c r="AO35" s="1"/>
      <c r="AP35"/>
      <c r="AQ35"/>
      <c r="AR35"/>
      <c r="AS35"/>
      <c r="AT35"/>
      <c r="AU35"/>
      <c r="AV35"/>
      <c r="AW35"/>
      <c r="AX35"/>
      <c r="AY35" s="89"/>
      <c r="AZ35"/>
      <c r="BA35"/>
      <c r="BB35" s="89"/>
      <c r="BC35"/>
      <c r="BD35"/>
      <c r="BE35"/>
      <c r="BF35"/>
      <c r="BG35"/>
      <c r="BH35"/>
      <c r="BI35"/>
      <c r="BJ35"/>
      <c r="BK35"/>
      <c r="BL35"/>
      <c r="BM35"/>
      <c r="BN35"/>
      <c r="BO35"/>
      <c r="BP35"/>
      <c r="BQ35"/>
      <c r="BR35" s="1395"/>
      <c r="BS35" s="1450"/>
      <c r="BT35" s="1450"/>
      <c r="BU35"/>
      <c r="BV35"/>
      <c r="BW35"/>
      <c r="CJ35" s="270" t="str">
        <v/>
      </c>
    </row>
    <row r="36" spans="1:88" ht="12.75" hidden="1" customHeight="1" outlineLevel="3" x14ac:dyDescent="0.2">
      <c r="A36"/>
      <c r="B36" s="1"/>
      <c r="C36" s="11"/>
      <c r="D36" s="76"/>
      <c r="E36" s="76"/>
      <c r="F36" s="76"/>
      <c r="G36" s="9"/>
      <c r="H36" s="1"/>
      <c r="I36"/>
      <c r="J36"/>
      <c r="K36"/>
      <c r="L36"/>
      <c r="M36"/>
      <c r="N36"/>
      <c r="O36"/>
      <c r="P36" s="89"/>
      <c r="Q36"/>
      <c r="R36"/>
      <c r="S36" s="89"/>
      <c r="T36"/>
      <c r="U36" s="11"/>
      <c r="V36" s="92"/>
      <c r="W36" s="56"/>
      <c r="X36" s="78"/>
      <c r="Y36" s="103"/>
      <c r="Z36" s="44"/>
      <c r="AA36" s="45" t="s">
        <v>769</v>
      </c>
      <c r="AB36" s="44"/>
      <c r="AC36" s="79"/>
      <c r="AD36" s="16"/>
      <c r="AE36" t="str">
        <f t="shared" si="5"/>
        <v/>
      </c>
      <c r="AF36" t="str">
        <f t="shared" si="6"/>
        <v/>
      </c>
      <c r="AG36" t="str">
        <f t="shared" si="7"/>
        <v/>
      </c>
      <c r="AH36" t="str">
        <f t="shared" si="8"/>
        <v/>
      </c>
      <c r="AI36" t="str">
        <f>IF(Z36="","",IF(Z36&gt;AB36,Y35,""))</f>
        <v/>
      </c>
      <c r="AJ36" t="str">
        <f>IF(Z36="","",IF(Z36&lt;AB36,AC35,""))</f>
        <v/>
      </c>
      <c r="AK36" t="str">
        <f t="shared" si="9"/>
        <v/>
      </c>
      <c r="AL36"/>
      <c r="AM36"/>
      <c r="AN36"/>
      <c r="AO36" s="1"/>
      <c r="AP36"/>
      <c r="AQ36"/>
      <c r="AR36"/>
      <c r="AS36"/>
      <c r="AT36"/>
      <c r="AU36"/>
      <c r="AV36"/>
      <c r="AW36"/>
      <c r="AX36"/>
      <c r="AY36" s="89"/>
      <c r="AZ36"/>
      <c r="BA36"/>
      <c r="BB36" s="89"/>
      <c r="BC36"/>
      <c r="BD36"/>
      <c r="BE36"/>
      <c r="BF36"/>
      <c r="BG36"/>
      <c r="BH36"/>
      <c r="BI36"/>
      <c r="BJ36"/>
      <c r="BK36"/>
      <c r="BL36"/>
      <c r="BM36"/>
      <c r="BN36"/>
      <c r="BO36"/>
      <c r="BP36"/>
      <c r="BQ36"/>
      <c r="BR36" s="1395"/>
      <c r="BS36" s="1450"/>
      <c r="BT36" s="1450"/>
      <c r="BU36"/>
      <c r="BV36"/>
      <c r="BW36"/>
      <c r="CJ36" s="270" t="str">
        <v/>
      </c>
    </row>
    <row r="37" spans="1:88" ht="13.5" hidden="1" customHeight="1" outlineLevel="3" thickBot="1" x14ac:dyDescent="0.25">
      <c r="A37"/>
      <c r="B37" s="1"/>
      <c r="C37"/>
      <c r="D37"/>
      <c r="E37"/>
      <c r="F37"/>
      <c r="G37" s="1"/>
      <c r="H37"/>
      <c r="I37"/>
      <c r="J37"/>
      <c r="K37"/>
      <c r="L37"/>
      <c r="M37"/>
      <c r="N37"/>
      <c r="O37"/>
      <c r="P37"/>
      <c r="Q37"/>
      <c r="R37"/>
      <c r="S37"/>
      <c r="T37"/>
      <c r="U37" s="11"/>
      <c r="V37" s="92"/>
      <c r="W37" s="56"/>
      <c r="X37" s="78"/>
      <c r="Y37" s="103"/>
      <c r="Z37" s="44"/>
      <c r="AA37" s="45" t="s">
        <v>769</v>
      </c>
      <c r="AB37" s="44"/>
      <c r="AC37" s="79"/>
      <c r="AD37" s="16"/>
      <c r="AE37" t="str">
        <f t="shared" si="5"/>
        <v/>
      </c>
      <c r="AF37" t="str">
        <f t="shared" si="6"/>
        <v/>
      </c>
      <c r="AG37" t="str">
        <f t="shared" si="7"/>
        <v/>
      </c>
      <c r="AH37" t="str">
        <f t="shared" si="8"/>
        <v/>
      </c>
      <c r="AI37" t="str">
        <f>IF(Z37="","",IF(Z37&gt;AB37,Y35,""))</f>
        <v/>
      </c>
      <c r="AJ37" t="str">
        <f>IF(Z37="","",IF(Z37&lt;AB37,AC35,""))</f>
        <v/>
      </c>
      <c r="AK37" t="str">
        <f t="shared" si="9"/>
        <v/>
      </c>
      <c r="AL37"/>
      <c r="AM37"/>
      <c r="AN37"/>
      <c r="AP37"/>
      <c r="AQ37"/>
      <c r="AR37"/>
      <c r="AS37"/>
      <c r="AT37"/>
      <c r="AU37"/>
      <c r="AV37"/>
      <c r="AW37"/>
      <c r="AX37"/>
      <c r="AY37"/>
      <c r="AZ37"/>
      <c r="BA37"/>
      <c r="BB37"/>
      <c r="BC37"/>
      <c r="BD37"/>
      <c r="BE37"/>
      <c r="BF37"/>
      <c r="BG37"/>
      <c r="BH37"/>
      <c r="BI37"/>
      <c r="BJ37"/>
      <c r="BK37"/>
      <c r="BL37"/>
      <c r="BM37"/>
      <c r="BN37"/>
      <c r="BO37"/>
      <c r="BP37"/>
      <c r="BQ37"/>
      <c r="BR37" s="1395"/>
      <c r="BS37" s="1450"/>
      <c r="BT37" s="1450"/>
      <c r="BU37"/>
      <c r="BV37"/>
      <c r="BW37"/>
      <c r="CJ37" s="270" t="str">
        <v/>
      </c>
    </row>
    <row r="38" spans="1:88" hidden="1" outlineLevel="2" x14ac:dyDescent="0.2">
      <c r="A38"/>
      <c r="B38" s="1"/>
      <c r="C38"/>
      <c r="D38"/>
      <c r="E38"/>
      <c r="F38"/>
      <c r="G38" s="1"/>
      <c r="H38"/>
      <c r="I38"/>
      <c r="J38"/>
      <c r="K38"/>
      <c r="L38"/>
      <c r="M38"/>
      <c r="N38"/>
      <c r="O38"/>
      <c r="P38"/>
      <c r="Q38"/>
      <c r="R38"/>
      <c r="S38"/>
      <c r="T38"/>
      <c r="U38" s="331" t="s">
        <v>1729</v>
      </c>
      <c r="V38" s="54"/>
      <c r="W38" s="74"/>
      <c r="X38" s="75"/>
      <c r="Y38" s="34" t="str">
        <f>AC29</f>
        <v>Db1</v>
      </c>
      <c r="Z38" s="95" t="str">
        <f>IF(OR(ISNUMBER(Z39),ISNUMBER(Z40)),2-COUNTBLANK(AI39:AI40),"")</f>
        <v/>
      </c>
      <c r="AA38" s="35" t="s">
        <v>769</v>
      </c>
      <c r="AB38" s="95" t="str">
        <f>IF(OR(ISNUMBER(Z39),ISNUMBER(Z40)),2-COUNTBLANK(AJ39:AJ40),"")</f>
        <v/>
      </c>
      <c r="AC38" s="36" t="str">
        <f>Y29</f>
        <v>Db3</v>
      </c>
      <c r="AD38" s="16"/>
      <c r="AE38" t="str">
        <f t="shared" si="5"/>
        <v/>
      </c>
      <c r="AF38" t="str">
        <f t="shared" si="6"/>
        <v/>
      </c>
      <c r="AG38" t="str">
        <f t="shared" si="7"/>
        <v/>
      </c>
      <c r="AH38" t="str">
        <f t="shared" si="8"/>
        <v/>
      </c>
      <c r="AI38" s="270" t="str">
        <f>IF(Z38="","",SUM(Z39:Z40))</f>
        <v/>
      </c>
      <c r="AJ38" s="270" t="str">
        <f>IF(Z38="","",SUM(AB39:AB40))</f>
        <v/>
      </c>
      <c r="AK38" t="str">
        <f t="shared" si="9"/>
        <v/>
      </c>
      <c r="AL38"/>
      <c r="AM38"/>
      <c r="AN38"/>
      <c r="AP38"/>
      <c r="AQ38"/>
      <c r="AR38"/>
      <c r="AS38"/>
      <c r="AT38"/>
      <c r="AU38"/>
      <c r="AV38"/>
      <c r="AW38"/>
      <c r="AX38"/>
      <c r="AY38"/>
      <c r="AZ38"/>
      <c r="BA38"/>
      <c r="BB38"/>
      <c r="BC38"/>
      <c r="BD38"/>
      <c r="BE38"/>
      <c r="BF38"/>
      <c r="BG38"/>
      <c r="BH38"/>
      <c r="BI38"/>
      <c r="BJ38"/>
      <c r="BK38"/>
      <c r="BL38"/>
      <c r="BM38"/>
      <c r="BN38"/>
      <c r="BO38"/>
      <c r="BP38"/>
      <c r="BQ38"/>
      <c r="BR38" s="1395"/>
      <c r="BS38" s="1450"/>
      <c r="BT38" s="1450"/>
      <c r="BU38"/>
      <c r="BV38"/>
      <c r="BW38"/>
      <c r="CJ38" s="270" t="str">
        <v/>
      </c>
    </row>
    <row r="39" spans="1:88" ht="12.75" hidden="1" customHeight="1" outlineLevel="3" x14ac:dyDescent="0.2">
      <c r="A39"/>
      <c r="B39" s="1"/>
      <c r="C39"/>
      <c r="D39"/>
      <c r="E39"/>
      <c r="F39"/>
      <c r="G39" s="1"/>
      <c r="H39"/>
      <c r="I39"/>
      <c r="J39"/>
      <c r="K39"/>
      <c r="L39"/>
      <c r="M39"/>
      <c r="N39"/>
      <c r="O39"/>
      <c r="P39"/>
      <c r="Q39"/>
      <c r="R39"/>
      <c r="S39"/>
      <c r="T39"/>
      <c r="U39" s="331"/>
      <c r="V39" s="92"/>
      <c r="W39" s="56"/>
      <c r="X39" s="78"/>
      <c r="Y39" s="103"/>
      <c r="Z39" s="44"/>
      <c r="AA39" s="45" t="s">
        <v>769</v>
      </c>
      <c r="AB39" s="44"/>
      <c r="AC39" s="79"/>
      <c r="AD39" s="16"/>
      <c r="AE39" t="str">
        <f t="shared" si="5"/>
        <v/>
      </c>
      <c r="AF39" t="str">
        <f t="shared" si="6"/>
        <v/>
      </c>
      <c r="AG39" t="str">
        <f t="shared" si="7"/>
        <v/>
      </c>
      <c r="AH39" t="str">
        <f t="shared" si="8"/>
        <v/>
      </c>
      <c r="AI39" t="str">
        <f>IF(Z39="","",IF(Z39&gt;AB39,Y38,""))</f>
        <v/>
      </c>
      <c r="AJ39" t="str">
        <f>IF(Z39="","",IF(Z39&lt;AB39,AC38,""))</f>
        <v/>
      </c>
      <c r="AK39" t="str">
        <f t="shared" si="9"/>
        <v/>
      </c>
      <c r="AL39"/>
      <c r="AM39"/>
      <c r="AN39"/>
      <c r="AP39"/>
      <c r="AQ39"/>
      <c r="AR39"/>
      <c r="AS39"/>
      <c r="AT39"/>
      <c r="AU39"/>
      <c r="AV39"/>
      <c r="AW39"/>
      <c r="AX39"/>
      <c r="AY39"/>
      <c r="AZ39"/>
      <c r="BA39"/>
      <c r="BB39"/>
      <c r="BC39"/>
      <c r="BD39"/>
      <c r="BE39"/>
      <c r="BF39"/>
      <c r="BG39"/>
      <c r="BH39"/>
      <c r="BI39"/>
      <c r="BJ39"/>
      <c r="BK39"/>
      <c r="BL39"/>
      <c r="BM39"/>
      <c r="BN39"/>
      <c r="BO39"/>
      <c r="BP39"/>
      <c r="BQ39"/>
      <c r="BR39" s="1395"/>
      <c r="BS39" s="1450"/>
      <c r="BT39" s="1450"/>
      <c r="BU39"/>
      <c r="BV39"/>
      <c r="BW39"/>
      <c r="CJ39" s="270" t="str">
        <v/>
      </c>
    </row>
    <row r="40" spans="1:88" ht="12.75" hidden="1" customHeight="1" outlineLevel="3" x14ac:dyDescent="0.2">
      <c r="A40"/>
      <c r="B40" s="1"/>
      <c r="C40"/>
      <c r="D40"/>
      <c r="E40"/>
      <c r="F40"/>
      <c r="G40" s="1"/>
      <c r="H40"/>
      <c r="I40"/>
      <c r="J40"/>
      <c r="K40"/>
      <c r="L40"/>
      <c r="M40"/>
      <c r="N40"/>
      <c r="O40"/>
      <c r="P40"/>
      <c r="Q40"/>
      <c r="R40"/>
      <c r="S40"/>
      <c r="T40"/>
      <c r="U40" s="331"/>
      <c r="V40" s="92"/>
      <c r="W40" s="56"/>
      <c r="X40" s="78"/>
      <c r="Y40" s="103"/>
      <c r="Z40" s="44"/>
      <c r="AA40" s="45" t="s">
        <v>769</v>
      </c>
      <c r="AB40" s="44"/>
      <c r="AC40" s="79"/>
      <c r="AD40" s="16"/>
      <c r="AE40" t="str">
        <f t="shared" si="5"/>
        <v/>
      </c>
      <c r="AF40" t="str">
        <f t="shared" si="6"/>
        <v/>
      </c>
      <c r="AG40" t="str">
        <f t="shared" si="7"/>
        <v/>
      </c>
      <c r="AH40" t="str">
        <f t="shared" si="8"/>
        <v/>
      </c>
      <c r="AI40" t="str">
        <f>IF(Z40="","",IF(Z40&gt;AB40,Y38,""))</f>
        <v/>
      </c>
      <c r="AJ40" t="str">
        <f>IF(Z40="","",IF(Z40&lt;AB40,AC38,""))</f>
        <v/>
      </c>
      <c r="AK40" t="str">
        <f t="shared" si="9"/>
        <v/>
      </c>
      <c r="AL40"/>
      <c r="AM40"/>
      <c r="AN40"/>
      <c r="AP40"/>
      <c r="AQ40"/>
      <c r="AR40"/>
      <c r="AS40"/>
      <c r="AT40"/>
      <c r="AU40"/>
      <c r="AV40"/>
      <c r="AW40"/>
      <c r="AX40"/>
      <c r="AY40"/>
      <c r="AZ40"/>
      <c r="BA40"/>
      <c r="BB40"/>
      <c r="BC40"/>
      <c r="BD40"/>
      <c r="BE40"/>
      <c r="BF40"/>
      <c r="BG40"/>
      <c r="BH40"/>
      <c r="BI40"/>
      <c r="BJ40"/>
      <c r="BK40"/>
      <c r="BL40"/>
      <c r="BM40"/>
      <c r="BN40"/>
      <c r="BO40"/>
      <c r="BP40"/>
      <c r="BQ40"/>
      <c r="BR40" s="1395"/>
      <c r="BS40" s="1450"/>
      <c r="BT40" s="1450"/>
      <c r="BU40"/>
      <c r="BV40"/>
      <c r="BW40"/>
      <c r="CJ40" s="270" t="str">
        <v/>
      </c>
    </row>
    <row r="41" spans="1:88" hidden="1" outlineLevel="2" x14ac:dyDescent="0.2">
      <c r="A41"/>
      <c r="B41" s="1"/>
      <c r="C41"/>
      <c r="D41"/>
      <c r="E41"/>
      <c r="F41"/>
      <c r="G41" s="1"/>
      <c r="H41"/>
      <c r="I41"/>
      <c r="J41"/>
      <c r="K41"/>
      <c r="L41"/>
      <c r="M41"/>
      <c r="N41"/>
      <c r="O41"/>
      <c r="P41"/>
      <c r="Q41"/>
      <c r="R41"/>
      <c r="S41"/>
      <c r="T41"/>
      <c r="U41" s="331" t="s">
        <v>1730</v>
      </c>
      <c r="V41" s="93"/>
      <c r="W41" s="84"/>
      <c r="X41" s="85"/>
      <c r="Y41" s="43" t="str">
        <f>AC32</f>
        <v>Db3</v>
      </c>
      <c r="Z41" s="86" t="str">
        <f>IF(OR(ISNUMBER(Z42),ISNUMBER(Z43)),2-COUNTBLANK(AI42:AI43),"")</f>
        <v/>
      </c>
      <c r="AA41" s="45" t="s">
        <v>769</v>
      </c>
      <c r="AB41" s="86" t="str">
        <f>IF(OR(ISNUMBER(Z42),ISNUMBER(Z43)),2-COUNTBLANK(AJ42:AJ43),"")</f>
        <v/>
      </c>
      <c r="AC41" s="46" t="str">
        <f>Y32</f>
        <v>Db2</v>
      </c>
      <c r="AD41" s="16"/>
      <c r="AE41" t="str">
        <f t="shared" si="5"/>
        <v/>
      </c>
      <c r="AF41" t="str">
        <f t="shared" si="6"/>
        <v/>
      </c>
      <c r="AG41" t="str">
        <f t="shared" si="7"/>
        <v/>
      </c>
      <c r="AH41" t="str">
        <f t="shared" si="8"/>
        <v/>
      </c>
      <c r="AI41" s="270" t="str">
        <f>IF(Z41="","",SUM(Z42:Z43))</f>
        <v/>
      </c>
      <c r="AJ41" s="270" t="str">
        <f>IF(Z41="","",SUM(AB42:AB43))</f>
        <v/>
      </c>
      <c r="AK41" t="str">
        <f t="shared" si="9"/>
        <v/>
      </c>
      <c r="AL41"/>
      <c r="AM41"/>
      <c r="AN41"/>
      <c r="AP41"/>
      <c r="AQ41"/>
      <c r="AR41"/>
      <c r="AS41"/>
      <c r="AT41"/>
      <c r="AU41"/>
      <c r="AV41"/>
      <c r="AW41"/>
      <c r="AX41"/>
      <c r="AY41"/>
      <c r="AZ41"/>
      <c r="BA41"/>
      <c r="BB41"/>
      <c r="BC41"/>
      <c r="BD41"/>
      <c r="BE41"/>
      <c r="BF41"/>
      <c r="BG41"/>
      <c r="BH41"/>
      <c r="BI41"/>
      <c r="BJ41"/>
      <c r="BK41"/>
      <c r="BL41"/>
      <c r="BM41"/>
      <c r="BN41"/>
      <c r="BO41"/>
      <c r="BP41"/>
      <c r="BQ41"/>
      <c r="BR41" s="1395"/>
      <c r="BS41" s="1450"/>
      <c r="BT41" s="1450"/>
      <c r="BU41"/>
      <c r="BV41"/>
      <c r="BW41"/>
      <c r="CJ41" s="270" t="str">
        <v/>
      </c>
    </row>
    <row r="42" spans="1:88" ht="12.75" hidden="1" customHeight="1" outlineLevel="3" x14ac:dyDescent="0.2">
      <c r="A42"/>
      <c r="B42" s="1"/>
      <c r="C42"/>
      <c r="D42"/>
      <c r="E42"/>
      <c r="F42"/>
      <c r="G42" s="1"/>
      <c r="H42"/>
      <c r="I42"/>
      <c r="J42"/>
      <c r="K42"/>
      <c r="L42"/>
      <c r="M42"/>
      <c r="N42"/>
      <c r="O42"/>
      <c r="P42"/>
      <c r="Q42"/>
      <c r="R42"/>
      <c r="S42"/>
      <c r="T42"/>
      <c r="U42" s="331"/>
      <c r="V42" s="92"/>
      <c r="W42" s="56"/>
      <c r="X42" s="78"/>
      <c r="Y42" s="103"/>
      <c r="Z42" s="44"/>
      <c r="AA42" s="45" t="s">
        <v>769</v>
      </c>
      <c r="AB42" s="44"/>
      <c r="AC42" s="79"/>
      <c r="AD42" s="16"/>
      <c r="AE42" t="str">
        <f t="shared" si="5"/>
        <v/>
      </c>
      <c r="AF42" t="str">
        <f t="shared" si="6"/>
        <v/>
      </c>
      <c r="AG42" t="str">
        <f t="shared" si="7"/>
        <v/>
      </c>
      <c r="AH42" t="str">
        <f t="shared" si="8"/>
        <v/>
      </c>
      <c r="AI42" t="str">
        <f>IF(Z42="","",IF(Z42&gt;AB42,Y41,""))</f>
        <v/>
      </c>
      <c r="AJ42" t="str">
        <f>IF(Z42="","",IF(Z42&lt;AB42,AC41,""))</f>
        <v/>
      </c>
      <c r="AK42" t="str">
        <f t="shared" si="9"/>
        <v/>
      </c>
      <c r="AL42"/>
      <c r="AM42"/>
      <c r="AN42"/>
      <c r="AP42"/>
      <c r="AQ42"/>
      <c r="AR42"/>
      <c r="AS42"/>
      <c r="AT42"/>
      <c r="AU42"/>
      <c r="AV42"/>
      <c r="AW42"/>
      <c r="AX42"/>
      <c r="AY42"/>
      <c r="AZ42"/>
      <c r="BA42"/>
      <c r="BB42"/>
      <c r="BC42"/>
      <c r="BD42"/>
      <c r="BE42"/>
      <c r="BF42"/>
      <c r="BG42"/>
      <c r="BH42"/>
      <c r="BI42"/>
      <c r="BJ42"/>
      <c r="BK42"/>
      <c r="BL42"/>
      <c r="BM42"/>
      <c r="BN42"/>
      <c r="BO42"/>
      <c r="BP42"/>
      <c r="BQ42"/>
      <c r="BR42" s="1395"/>
      <c r="BS42" s="1450"/>
      <c r="BT42" s="1450"/>
      <c r="BU42"/>
      <c r="BV42"/>
      <c r="BW42"/>
      <c r="CJ42" s="270" t="str">
        <v/>
      </c>
    </row>
    <row r="43" spans="1:88" ht="12.75" hidden="1" customHeight="1" outlineLevel="3" x14ac:dyDescent="0.2">
      <c r="A43"/>
      <c r="B43" s="1"/>
      <c r="C43"/>
      <c r="D43"/>
      <c r="E43"/>
      <c r="F43"/>
      <c r="G43" s="1"/>
      <c r="H43"/>
      <c r="I43"/>
      <c r="J43"/>
      <c r="K43"/>
      <c r="L43"/>
      <c r="M43"/>
      <c r="N43"/>
      <c r="O43"/>
      <c r="P43"/>
      <c r="Q43"/>
      <c r="R43"/>
      <c r="S43"/>
      <c r="T43"/>
      <c r="U43" s="331"/>
      <c r="V43" s="92"/>
      <c r="W43" s="56"/>
      <c r="X43" s="78"/>
      <c r="Y43" s="103"/>
      <c r="Z43" s="44"/>
      <c r="AA43" s="45" t="s">
        <v>769</v>
      </c>
      <c r="AB43" s="44"/>
      <c r="AC43" s="79"/>
      <c r="AD43" s="16"/>
      <c r="AE43" t="str">
        <f t="shared" si="5"/>
        <v/>
      </c>
      <c r="AF43" t="str">
        <f t="shared" si="6"/>
        <v/>
      </c>
      <c r="AG43" t="str">
        <f t="shared" si="7"/>
        <v/>
      </c>
      <c r="AH43" t="str">
        <f t="shared" si="8"/>
        <v/>
      </c>
      <c r="AI43" t="str">
        <f>IF(Z43="","",IF(Z43&gt;AB43,Y41,""))</f>
        <v/>
      </c>
      <c r="AJ43" t="str">
        <f>IF(Z43="","",IF(Z43&lt;AB43,AC41,""))</f>
        <v/>
      </c>
      <c r="AK43" t="str">
        <f t="shared" si="9"/>
        <v/>
      </c>
      <c r="AL43"/>
      <c r="AM43"/>
      <c r="AN43"/>
      <c r="AP43"/>
      <c r="AQ43"/>
      <c r="AR43"/>
      <c r="AS43"/>
      <c r="AT43"/>
      <c r="AU43"/>
      <c r="AV43"/>
      <c r="AW43"/>
      <c r="AX43"/>
      <c r="AY43"/>
      <c r="AZ43"/>
      <c r="BA43"/>
      <c r="BB43"/>
      <c r="BC43"/>
      <c r="BD43"/>
      <c r="BE43"/>
      <c r="BF43"/>
      <c r="BG43"/>
      <c r="BH43"/>
      <c r="BI43"/>
      <c r="BJ43"/>
      <c r="BK43"/>
      <c r="BL43"/>
      <c r="BM43"/>
      <c r="BN43"/>
      <c r="BO43"/>
      <c r="BP43"/>
      <c r="BQ43"/>
      <c r="BR43" s="1395"/>
      <c r="BS43" s="1450"/>
      <c r="BT43" s="1450"/>
      <c r="BU43"/>
      <c r="BV43"/>
      <c r="BW43"/>
      <c r="CJ43" s="270" t="str">
        <v/>
      </c>
    </row>
    <row r="44" spans="1:88" hidden="1" outlineLevel="2" x14ac:dyDescent="0.2">
      <c r="A44"/>
      <c r="B44" s="1"/>
      <c r="C44"/>
      <c r="D44"/>
      <c r="E44"/>
      <c r="F44"/>
      <c r="G44" s="1"/>
      <c r="H44"/>
      <c r="I44"/>
      <c r="J44"/>
      <c r="K44"/>
      <c r="L44"/>
      <c r="M44"/>
      <c r="N44"/>
      <c r="O44"/>
      <c r="P44"/>
      <c r="Q44"/>
      <c r="R44"/>
      <c r="S44"/>
      <c r="T44"/>
      <c r="U44" s="331" t="s">
        <v>1731</v>
      </c>
      <c r="V44" s="93"/>
      <c r="W44" s="84"/>
      <c r="X44" s="85"/>
      <c r="Y44" s="43" t="str">
        <f>AC35</f>
        <v>Db2</v>
      </c>
      <c r="Z44" s="86" t="str">
        <f>IF(OR(ISNUMBER(Z45),ISNUMBER(Z46)),2-COUNTBLANK(AI45:AI46),"")</f>
        <v/>
      </c>
      <c r="AA44" s="45" t="s">
        <v>769</v>
      </c>
      <c r="AB44" s="86" t="str">
        <f>IF(OR(ISNUMBER(Z45),ISNUMBER(Z46)),2-COUNTBLANK(AJ45:AJ46),"")</f>
        <v/>
      </c>
      <c r="AC44" s="46" t="str">
        <f>Y35</f>
        <v>Db1</v>
      </c>
      <c r="AD44" s="16"/>
      <c r="AE44" t="str">
        <f t="shared" si="5"/>
        <v/>
      </c>
      <c r="AF44" t="str">
        <f t="shared" si="6"/>
        <v/>
      </c>
      <c r="AG44" t="str">
        <f t="shared" si="7"/>
        <v/>
      </c>
      <c r="AH44" t="str">
        <f t="shared" si="8"/>
        <v/>
      </c>
      <c r="AI44" s="270" t="str">
        <f>IF(Z44="","",SUM(Z45:Z46))</f>
        <v/>
      </c>
      <c r="AJ44" s="270" t="str">
        <f>IF(Z44="","",SUM(AB45:AB46))</f>
        <v/>
      </c>
      <c r="AK44" t="str">
        <f t="shared" si="9"/>
        <v/>
      </c>
      <c r="AL44"/>
      <c r="AM44"/>
      <c r="AN44"/>
      <c r="AP44"/>
      <c r="AQ44"/>
      <c r="AR44"/>
      <c r="AS44"/>
      <c r="AT44"/>
      <c r="AU44"/>
      <c r="AV44"/>
      <c r="AW44"/>
      <c r="AX44"/>
      <c r="AY44"/>
      <c r="AZ44"/>
      <c r="BA44"/>
      <c r="BB44"/>
      <c r="BC44"/>
      <c r="BD44"/>
      <c r="BE44"/>
      <c r="BF44"/>
      <c r="BG44"/>
      <c r="BH44"/>
      <c r="BI44"/>
      <c r="BJ44"/>
      <c r="BK44"/>
      <c r="BL44"/>
      <c r="BM44"/>
      <c r="BN44"/>
      <c r="BO44"/>
      <c r="BP44"/>
      <c r="BQ44"/>
      <c r="BR44" s="1395"/>
      <c r="BS44" s="1450"/>
      <c r="BT44" s="1450"/>
      <c r="BU44"/>
      <c r="BV44"/>
      <c r="BW44"/>
      <c r="CJ44" s="270" t="str">
        <v/>
      </c>
    </row>
    <row r="45" spans="1:88" ht="12.75" hidden="1" customHeight="1" outlineLevel="3" x14ac:dyDescent="0.2">
      <c r="A45"/>
      <c r="B45" s="1"/>
      <c r="C45"/>
      <c r="D45"/>
      <c r="E45"/>
      <c r="F45"/>
      <c r="G45" s="1"/>
      <c r="H45"/>
      <c r="I45"/>
      <c r="J45"/>
      <c r="K45"/>
      <c r="L45"/>
      <c r="M45"/>
      <c r="N45"/>
      <c r="O45"/>
      <c r="P45"/>
      <c r="Q45"/>
      <c r="R45"/>
      <c r="S45"/>
      <c r="T45"/>
      <c r="U45" s="11"/>
      <c r="V45" s="92"/>
      <c r="W45" s="56"/>
      <c r="X45" s="78"/>
      <c r="Y45" s="103"/>
      <c r="Z45" s="44"/>
      <c r="AA45" s="45" t="s">
        <v>769</v>
      </c>
      <c r="AB45" s="44"/>
      <c r="AC45" s="79"/>
      <c r="AD45" s="16"/>
      <c r="AE45" t="str">
        <f t="shared" si="5"/>
        <v/>
      </c>
      <c r="AF45" t="str">
        <f t="shared" si="6"/>
        <v/>
      </c>
      <c r="AG45" t="str">
        <f t="shared" si="7"/>
        <v/>
      </c>
      <c r="AH45" t="str">
        <f t="shared" si="8"/>
        <v/>
      </c>
      <c r="AI45" t="str">
        <f>IF(Z45="","",IF(Z45&gt;AB45,Y44,""))</f>
        <v/>
      </c>
      <c r="AJ45" t="str">
        <f>IF(Z45="","",IF(Z45&lt;AB45,AC44,""))</f>
        <v/>
      </c>
      <c r="AK45" t="str">
        <f t="shared" si="9"/>
        <v/>
      </c>
      <c r="AL45"/>
      <c r="AM45"/>
      <c r="AN45"/>
      <c r="AP45"/>
      <c r="AQ45"/>
      <c r="AR45"/>
      <c r="AS45"/>
      <c r="AT45"/>
      <c r="AU45"/>
      <c r="AV45"/>
      <c r="AW45"/>
      <c r="AX45"/>
      <c r="AY45"/>
      <c r="AZ45"/>
      <c r="BA45"/>
      <c r="BB45"/>
      <c r="BC45"/>
      <c r="BD45"/>
      <c r="BE45"/>
      <c r="BF45"/>
      <c r="BG45"/>
      <c r="BH45"/>
      <c r="BI45"/>
      <c r="BJ45"/>
      <c r="BK45"/>
      <c r="BL45"/>
      <c r="BM45"/>
      <c r="BN45"/>
      <c r="BO45"/>
      <c r="BP45"/>
      <c r="BQ45"/>
      <c r="BR45" s="1395"/>
      <c r="BS45" s="1450"/>
      <c r="BT45" s="1450"/>
      <c r="BU45"/>
      <c r="BV45"/>
      <c r="BW45"/>
      <c r="CJ45" s="270" t="str">
        <v/>
      </c>
    </row>
    <row r="46" spans="1:88" ht="13.5" hidden="1" customHeight="1" outlineLevel="3" thickBot="1" x14ac:dyDescent="0.25">
      <c r="A46"/>
      <c r="B46" s="1"/>
      <c r="C46"/>
      <c r="D46"/>
      <c r="E46"/>
      <c r="F46"/>
      <c r="G46" s="1"/>
      <c r="H46"/>
      <c r="I46"/>
      <c r="J46"/>
      <c r="K46"/>
      <c r="L46"/>
      <c r="M46"/>
      <c r="N46"/>
      <c r="O46"/>
      <c r="P46"/>
      <c r="Q46"/>
      <c r="R46"/>
      <c r="S46"/>
      <c r="T46"/>
      <c r="U46" s="11"/>
      <c r="V46" s="94"/>
      <c r="W46" s="58"/>
      <c r="X46" s="91"/>
      <c r="Y46" s="174"/>
      <c r="Z46" s="51"/>
      <c r="AA46" s="52" t="s">
        <v>769</v>
      </c>
      <c r="AB46" s="51"/>
      <c r="AC46" s="96"/>
      <c r="AD46" s="16"/>
      <c r="AE46" t="str">
        <f t="shared" si="5"/>
        <v/>
      </c>
      <c r="AF46" t="str">
        <f t="shared" si="6"/>
        <v/>
      </c>
      <c r="AG46" t="str">
        <f t="shared" si="7"/>
        <v/>
      </c>
      <c r="AH46" t="str">
        <f t="shared" si="8"/>
        <v/>
      </c>
      <c r="AI46" t="str">
        <f>IF(Z46="","",IF(Z46&gt;AB46,Y44,""))</f>
        <v/>
      </c>
      <c r="AJ46" t="str">
        <f>IF(Z46="","",IF(Z46&lt;AB46,AC44,""))</f>
        <v/>
      </c>
      <c r="AK46" t="str">
        <f t="shared" si="9"/>
        <v/>
      </c>
      <c r="AL46"/>
      <c r="AM46"/>
      <c r="AN46"/>
      <c r="AP46"/>
      <c r="AQ46"/>
      <c r="AR46"/>
      <c r="AS46"/>
      <c r="AT46"/>
      <c r="AU46"/>
      <c r="AV46"/>
      <c r="AW46"/>
      <c r="AX46"/>
      <c r="AY46"/>
      <c r="AZ46"/>
      <c r="BA46"/>
      <c r="BB46"/>
      <c r="BC46"/>
      <c r="BD46"/>
      <c r="BE46"/>
      <c r="BF46"/>
      <c r="BG46"/>
      <c r="BH46"/>
      <c r="BI46"/>
      <c r="BJ46"/>
      <c r="BK46"/>
      <c r="BL46"/>
      <c r="BM46"/>
      <c r="BN46"/>
      <c r="BO46"/>
      <c r="BP46"/>
      <c r="BQ46"/>
      <c r="BR46" s="1395"/>
      <c r="BS46" s="1450"/>
      <c r="BT46" s="1450"/>
      <c r="BU46"/>
      <c r="BV46"/>
      <c r="BW46"/>
      <c r="CJ46" s="270" t="str">
        <v/>
      </c>
    </row>
    <row r="47" spans="1:88" ht="13.5" customHeight="1" outlineLevel="1" x14ac:dyDescent="0.2">
      <c r="A47"/>
      <c r="B47" s="1"/>
      <c r="C47"/>
      <c r="D47"/>
      <c r="E47"/>
      <c r="F47"/>
      <c r="G47" s="1"/>
      <c r="H47"/>
      <c r="I47"/>
      <c r="J47"/>
      <c r="K47"/>
      <c r="L47"/>
      <c r="M47"/>
      <c r="N47"/>
      <c r="O47"/>
      <c r="P47"/>
      <c r="Q47"/>
      <c r="R47"/>
      <c r="S47"/>
      <c r="T47"/>
      <c r="U47" s="11"/>
      <c r="V47" s="97"/>
      <c r="W47" s="98"/>
      <c r="X47" s="14"/>
      <c r="Y47" s="6"/>
      <c r="Z47" s="15"/>
      <c r="AA47" s="1"/>
      <c r="AB47" s="15"/>
      <c r="AC47" s="16"/>
      <c r="AD47" s="16"/>
      <c r="AE47"/>
      <c r="AF47"/>
      <c r="AG47"/>
      <c r="AH47"/>
      <c r="AI47"/>
      <c r="AJ47"/>
      <c r="AK47"/>
      <c r="AL47"/>
      <c r="AM47"/>
      <c r="AN47"/>
      <c r="AP47"/>
      <c r="AQ47"/>
      <c r="AR47"/>
      <c r="AS47"/>
      <c r="AT47"/>
      <c r="AU47"/>
      <c r="AV47"/>
      <c r="AW47"/>
      <c r="AX47"/>
      <c r="AY47"/>
      <c r="AZ47"/>
      <c r="BA47"/>
      <c r="BB47"/>
      <c r="BC47"/>
      <c r="BD47"/>
      <c r="BE47"/>
      <c r="BF47"/>
      <c r="BG47"/>
      <c r="BH47"/>
      <c r="BI47"/>
      <c r="BJ47"/>
      <c r="BK47"/>
      <c r="BL47"/>
      <c r="BM47"/>
      <c r="BN47"/>
      <c r="BO47"/>
      <c r="BP47"/>
      <c r="BQ47"/>
      <c r="BR47" s="1395"/>
      <c r="BS47" s="1450"/>
      <c r="BT47" s="1450"/>
      <c r="BU47"/>
      <c r="BV47"/>
      <c r="BW47"/>
      <c r="CJ47" s="270" t="str">
        <v/>
      </c>
    </row>
    <row r="48" spans="1:88" ht="13.5" thickBot="1" x14ac:dyDescent="0.25">
      <c r="A48"/>
      <c r="B48" s="1"/>
      <c r="C48"/>
      <c r="D48"/>
      <c r="E48"/>
      <c r="F48"/>
      <c r="G48" s="1"/>
      <c r="H48"/>
      <c r="I48"/>
      <c r="J48"/>
      <c r="K48"/>
      <c r="L48"/>
      <c r="M48"/>
      <c r="N48"/>
      <c r="O48"/>
      <c r="P48"/>
      <c r="Q48"/>
      <c r="R48"/>
      <c r="S48"/>
      <c r="T48"/>
      <c r="V48" s="1"/>
      <c r="W48" s="1"/>
      <c r="X48"/>
      <c r="Y48" s="6"/>
      <c r="Z48"/>
      <c r="AA48" s="1"/>
      <c r="AB48"/>
      <c r="AC48" s="16"/>
      <c r="AD48" s="16"/>
      <c r="AE48"/>
      <c r="AF48"/>
      <c r="AG48"/>
      <c r="AH48"/>
      <c r="AI48"/>
      <c r="AJ48"/>
      <c r="AK48"/>
      <c r="AL48"/>
      <c r="AM48"/>
      <c r="AN48"/>
      <c r="AP48"/>
      <c r="AQ48"/>
      <c r="AR48"/>
      <c r="AS48"/>
      <c r="AT48"/>
      <c r="AU48"/>
      <c r="AV48"/>
      <c r="AW48"/>
      <c r="AX48"/>
      <c r="AY48"/>
      <c r="AZ48"/>
      <c r="BA48"/>
      <c r="BB48"/>
      <c r="BC48"/>
      <c r="BD48"/>
      <c r="BE48"/>
      <c r="BF48"/>
      <c r="BG48"/>
      <c r="BH48"/>
      <c r="BI48"/>
      <c r="BJ48"/>
      <c r="BK48"/>
      <c r="BL48"/>
      <c r="BM48"/>
      <c r="BN48"/>
      <c r="BO48"/>
      <c r="BP48"/>
      <c r="BQ48"/>
      <c r="BR48" s="1395"/>
      <c r="BS48" s="1450"/>
      <c r="BT48" s="1450"/>
      <c r="BU48"/>
      <c r="BV48"/>
      <c r="BW48"/>
      <c r="CJ48" s="270" t="str">
        <v/>
      </c>
    </row>
    <row r="49" spans="1:88" ht="13.5" thickBot="1" x14ac:dyDescent="0.25">
      <c r="A49"/>
      <c r="B49" s="282" t="str">
        <f>N_Group_4</f>
        <v>Poule de 4</v>
      </c>
      <c r="C49" s="283"/>
      <c r="D49" s="283"/>
      <c r="E49" s="283"/>
      <c r="F49" s="283"/>
      <c r="G49" s="283"/>
      <c r="H49" s="283"/>
      <c r="I49" s="283"/>
      <c r="J49" s="283"/>
      <c r="K49" s="283"/>
      <c r="L49" s="283"/>
      <c r="M49" s="283"/>
      <c r="N49" s="283"/>
      <c r="O49" s="283"/>
      <c r="P49" s="283"/>
      <c r="Q49" s="283"/>
      <c r="R49" s="283"/>
      <c r="S49" s="283"/>
      <c r="T49" s="283"/>
      <c r="U49" s="283"/>
      <c r="V49" s="283"/>
      <c r="W49" s="283"/>
      <c r="X49" s="283"/>
      <c r="Y49" s="283"/>
      <c r="Z49" s="283"/>
      <c r="AA49" s="283"/>
      <c r="AB49" s="283"/>
      <c r="AC49" s="283"/>
      <c r="AD49" s="283"/>
      <c r="AE49" s="283"/>
      <c r="AF49" s="283"/>
      <c r="AG49" s="283"/>
      <c r="AH49" s="283"/>
      <c r="AI49" s="283"/>
      <c r="AJ49" s="283"/>
      <c r="AK49" s="283"/>
      <c r="AL49" s="283"/>
      <c r="AM49" s="284"/>
      <c r="AN49" s="320" t="str">
        <f>B49</f>
        <v>Poule de 4</v>
      </c>
      <c r="AO49" s="1488"/>
      <c r="AP49" s="1488"/>
      <c r="AQ49" s="1488"/>
      <c r="AR49" s="1488"/>
      <c r="AS49" s="1488"/>
      <c r="AT49" s="1488"/>
      <c r="AU49" s="1488"/>
      <c r="AV49" s="1488"/>
      <c r="AW49" s="1488"/>
      <c r="AX49" s="1488"/>
      <c r="AY49" s="1488"/>
      <c r="AZ49" s="1488"/>
      <c r="BA49" s="1488"/>
      <c r="BB49" s="1488"/>
      <c r="BC49" s="1488"/>
      <c r="BD49" s="1488"/>
      <c r="BE49" s="1488"/>
      <c r="BF49" s="1488"/>
      <c r="BG49" s="1488"/>
      <c r="BH49" s="1488"/>
      <c r="BI49" s="1488"/>
      <c r="BJ49" s="1488"/>
      <c r="BK49" s="1488"/>
      <c r="BL49" s="1488"/>
      <c r="BM49" s="1488"/>
      <c r="BN49" s="1488"/>
      <c r="BO49" s="1488"/>
      <c r="BP49" s="1488"/>
      <c r="BQ49" s="1488"/>
      <c r="BR49" s="1395"/>
      <c r="BS49" s="1450"/>
      <c r="BT49" s="1450"/>
      <c r="BU49" s="1489"/>
      <c r="BV49"/>
      <c r="BW49"/>
      <c r="CJ49" s="270" t="str">
        <v/>
      </c>
    </row>
    <row r="50" spans="1:88" ht="13.5" outlineLevel="1" thickBot="1" x14ac:dyDescent="0.25">
      <c r="A50"/>
      <c r="B50" s="1"/>
      <c r="C50"/>
      <c r="D50"/>
      <c r="E50"/>
      <c r="F50"/>
      <c r="G50" s="1"/>
      <c r="H50"/>
      <c r="I50"/>
      <c r="J50"/>
      <c r="K50"/>
      <c r="L50"/>
      <c r="M50"/>
      <c r="N50"/>
      <c r="O50"/>
      <c r="P50"/>
      <c r="Q50"/>
      <c r="R50"/>
      <c r="S50"/>
      <c r="T50"/>
      <c r="V50" s="1"/>
      <c r="W50" s="1"/>
      <c r="X50"/>
      <c r="Y50" s="6"/>
      <c r="Z50"/>
      <c r="AA50" s="1"/>
      <c r="AB50"/>
      <c r="AC50" s="16"/>
      <c r="AD50" s="16"/>
      <c r="AE50"/>
      <c r="AF50"/>
      <c r="AG50"/>
      <c r="AH50"/>
      <c r="AI50"/>
      <c r="AJ50"/>
      <c r="AK50"/>
      <c r="AL50"/>
      <c r="AM50"/>
      <c r="AN50"/>
      <c r="AP50"/>
      <c r="AQ50"/>
      <c r="AR50"/>
      <c r="AS50"/>
      <c r="AT50"/>
      <c r="AU50"/>
      <c r="AV50"/>
      <c r="AW50"/>
      <c r="AX50"/>
      <c r="AY50"/>
      <c r="AZ50"/>
      <c r="BA50"/>
      <c r="BB50"/>
      <c r="BC50"/>
      <c r="BD50"/>
      <c r="BE50"/>
      <c r="BF50"/>
      <c r="BG50"/>
      <c r="BH50"/>
      <c r="BI50"/>
      <c r="BJ50"/>
      <c r="BK50"/>
      <c r="BL50"/>
      <c r="BM50"/>
      <c r="BN50"/>
      <c r="BO50"/>
      <c r="BP50"/>
      <c r="BQ50"/>
      <c r="BR50" s="1395"/>
      <c r="BS50" s="1450"/>
      <c r="BT50" s="1450"/>
      <c r="BU50"/>
      <c r="BV50"/>
      <c r="BW50"/>
      <c r="CJ50" s="270" t="str">
        <v/>
      </c>
    </row>
    <row r="51" spans="1:88" ht="13.5" outlineLevel="1" thickBot="1" x14ac:dyDescent="0.25">
      <c r="A51"/>
      <c r="B51" s="18" t="str">
        <f>N_Tirage</f>
        <v>Tirage</v>
      </c>
      <c r="C51" s="19" t="s">
        <v>787</v>
      </c>
      <c r="D51" s="20" t="s">
        <v>831</v>
      </c>
      <c r="E51" s="20" t="s">
        <v>832</v>
      </c>
      <c r="F51" s="67" t="s">
        <v>833</v>
      </c>
      <c r="G51" s="22" t="str">
        <f>N_Equipes</f>
        <v>Equipes</v>
      </c>
      <c r="H51" s="25" t="str">
        <f>N_Pts</f>
        <v>Pts</v>
      </c>
      <c r="I51" s="25" t="str">
        <f>N_J</f>
        <v>J</v>
      </c>
      <c r="J51" s="26" t="str">
        <f>N_G</f>
        <v>G</v>
      </c>
      <c r="K51" s="26" t="str">
        <f>N_N</f>
        <v>N</v>
      </c>
      <c r="L51" s="26" t="str">
        <f>N_P</f>
        <v>P</v>
      </c>
      <c r="M51" s="26" t="str">
        <f>N_Diff_R</f>
        <v>Diff R</v>
      </c>
      <c r="N51" s="26" t="str">
        <f>N_MP</f>
        <v>MP</v>
      </c>
      <c r="O51" s="26" t="str">
        <f>N_MC</f>
        <v>MC</v>
      </c>
      <c r="P51" s="5" t="str">
        <f>N_Diff_M</f>
        <v>Diff M</v>
      </c>
      <c r="Q51" s="26" t="str">
        <f>N_BP</f>
        <v>BP</v>
      </c>
      <c r="R51" s="26" t="str">
        <f>N_BC</f>
        <v>BC</v>
      </c>
      <c r="S51" s="68" t="str">
        <f>N_Diff_B</f>
        <v>Diff B</v>
      </c>
      <c r="T51"/>
      <c r="V51"/>
      <c r="W51"/>
      <c r="X51"/>
      <c r="Y51"/>
      <c r="Z51"/>
      <c r="AA51"/>
      <c r="AB51"/>
      <c r="AC51"/>
      <c r="AD51"/>
      <c r="AE51"/>
      <c r="AF51"/>
      <c r="AG51"/>
      <c r="AH51"/>
      <c r="AI51"/>
      <c r="AJ51"/>
      <c r="AK51"/>
      <c r="AL51"/>
      <c r="AM51"/>
      <c r="AN51"/>
      <c r="AO51" s="69" t="str">
        <f>N_Cla.</f>
        <v>Cla.</v>
      </c>
      <c r="AP51" s="3" t="str">
        <f>N_Equipes</f>
        <v>Equipes</v>
      </c>
      <c r="AQ51" s="23" t="str">
        <f>N_Pts</f>
        <v>Pts</v>
      </c>
      <c r="AR51" s="23" t="str">
        <f>N_J</f>
        <v>J</v>
      </c>
      <c r="AS51" s="20" t="str">
        <f>N_G</f>
        <v>G</v>
      </c>
      <c r="AT51" s="20" t="str">
        <f>N_N</f>
        <v>N</v>
      </c>
      <c r="AU51" s="20" t="str">
        <f>N_P</f>
        <v>P</v>
      </c>
      <c r="AV51" s="21" t="str">
        <f>N_Diff_R</f>
        <v>Diff R</v>
      </c>
      <c r="AW51" s="70" t="str">
        <f>N_MP</f>
        <v>MP</v>
      </c>
      <c r="AX51" s="20" t="str">
        <f>N_MC</f>
        <v>MC</v>
      </c>
      <c r="AY51" s="71" t="str">
        <f>N_Diff_M</f>
        <v>Diff M</v>
      </c>
      <c r="AZ51" s="70" t="str">
        <f>N_BP</f>
        <v>BP</v>
      </c>
      <c r="BA51" s="20" t="str">
        <f>N_BC</f>
        <v>BC</v>
      </c>
      <c r="BB51" s="21" t="str">
        <f>N_Diff_B</f>
        <v>Diff B</v>
      </c>
      <c r="BC51" s="286" t="str">
        <f>N_Matches</f>
        <v>Matches</v>
      </c>
      <c r="BD51" s="287"/>
      <c r="BE51" s="287"/>
      <c r="BF51" s="287"/>
      <c r="BG51" s="287"/>
      <c r="BH51" s="288"/>
      <c r="BI51"/>
      <c r="BJ51"/>
      <c r="BK51"/>
      <c r="BL51"/>
      <c r="BM51"/>
      <c r="BN51"/>
      <c r="BO51"/>
      <c r="BP51"/>
      <c r="BQ51"/>
      <c r="BR51" s="1395"/>
      <c r="BS51" s="1450"/>
      <c r="BT51" s="1450"/>
      <c r="BU51"/>
      <c r="BV51"/>
      <c r="BW51"/>
      <c r="CJ51" s="270" t="str">
        <v/>
      </c>
    </row>
    <row r="52" spans="1:88" outlineLevel="1" x14ac:dyDescent="0.2">
      <c r="A52"/>
      <c r="B52" s="31">
        <v>1</v>
      </c>
      <c r="C52" s="53" t="str">
        <f>IF(AL56="","",RANK(F52,F52:F54)*1000+ROW())</f>
        <v/>
      </c>
      <c r="D52" s="28" t="str">
        <f>IF(J52="","",H52*CritClassEq1_Points+M52*CritClassEq1_DiffRencontres+P52*CritClassEq1_DiffMatches+S52*CritClassEq1_DiffButs+N52*CritClassEq1_Matches+Q52*CritClassEq1_Attaque)</f>
        <v/>
      </c>
      <c r="E52" s="28" t="str">
        <f>IF(J52="","",Nb_Diff_Part(D52,D52:D55,G52,G52:G55,AK57:AK74)*CritClassInd_DiffPart)</f>
        <v/>
      </c>
      <c r="F52" s="72" t="str">
        <f>IF(J52="","",D52+E52+H52*CritClassEq2_Points+M52*CritClassEq2_DiffRencontres+P52*CritClassEq2_DiffMatches+S52*CritClassEq2_DiffButs+N52*CritClassEq2_Matches+Q52*CritClassEq2_Attaque)</f>
        <v/>
      </c>
      <c r="G52" s="454" t="s">
        <v>892</v>
      </c>
      <c r="H52" s="340" t="str">
        <f>IF(AL56="","",(J52*Points_Victoire)+K52*Points_Null)</f>
        <v/>
      </c>
      <c r="I52" s="33" t="str">
        <f>IF(J52="","",SUM(J52:L52))</f>
        <v/>
      </c>
      <c r="J52" s="33" t="str">
        <f>IF(AL56="","",COUNTIF(AE57:AE74,G52))</f>
        <v/>
      </c>
      <c r="K52" s="33" t="str">
        <f>IF(AL56="","",COUNTIF(AF57:AG74,G52))</f>
        <v/>
      </c>
      <c r="L52" s="33" t="str">
        <f>IF(AL56="","",COUNTIF(AH57:AH74,G52))</f>
        <v/>
      </c>
      <c r="M52" s="338" t="str">
        <f>IF(AL56="","",J52-L52)</f>
        <v/>
      </c>
      <c r="N52" s="100" t="str">
        <f>IF(AL56="","",SUMIF(Y57:Y74,G52,Z56:AL74)+SUMIF(AC57:AC74,G52,AB57:AB74))</f>
        <v/>
      </c>
      <c r="O52" s="33" t="str">
        <f>IF(AL56="","",SUMIF(Y57:Y74,G52,AB57:AB74)+SUMIF(AC57:AC74,G52,Z56:AL74))</f>
        <v/>
      </c>
      <c r="P52" s="101" t="str">
        <f>IF(AL56="","",N52-O52)</f>
        <v/>
      </c>
      <c r="Q52" s="33" t="str">
        <f>IF(AL56="","",SUMIF(Y57:Y74,G52,AI57:AI74)+SUMIF(AC57:AC74,G52,AJ57:AJ74))</f>
        <v/>
      </c>
      <c r="R52" s="33" t="str">
        <f>IF(AL56="","",SUMIF(Y57:Y74,G52,AJ57:AJ74)+SUMIF(AC57:AC74,G52,AI57:AI74))</f>
        <v/>
      </c>
      <c r="S52" s="102" t="str">
        <f>IF(AL56="","",Q52-R52)</f>
        <v/>
      </c>
      <c r="T52"/>
      <c r="V52"/>
      <c r="W52"/>
      <c r="X52"/>
      <c r="Y52"/>
      <c r="Z52"/>
      <c r="AA52"/>
      <c r="AB52"/>
      <c r="AC52"/>
      <c r="AD52"/>
      <c r="AE52"/>
      <c r="AF52"/>
      <c r="AG52"/>
      <c r="AH52"/>
      <c r="AI52"/>
      <c r="AJ52"/>
      <c r="AK52"/>
      <c r="AL52" t="str">
        <f>IF(AL56="","",SMALL(C52:C55,1))</f>
        <v/>
      </c>
      <c r="AM52"/>
      <c r="AN52"/>
      <c r="AO52" s="31" t="str">
        <f>IF(AL56="","",INT(AL52/1000))</f>
        <v/>
      </c>
      <c r="AP52" s="99" t="str">
        <f>IF(AL56="",IF(HidePlayerFormulas,"","("&amp;G52&amp;")"),VLOOKUP(AL52,C52:S55,5,FALSE))</f>
        <v/>
      </c>
      <c r="AQ52" s="100" t="str">
        <f>VLOOKUP(AL52,C52:S55,6,FALSE)</f>
        <v/>
      </c>
      <c r="AR52" s="33" t="str">
        <f>VLOOKUP(AL52,C52:S55,7,FALSE)</f>
        <v/>
      </c>
      <c r="AS52" s="33" t="str">
        <f>VLOOKUP(AL52,C52:S55,8,FALSE)</f>
        <v/>
      </c>
      <c r="AT52" s="33" t="str">
        <f>VLOOKUP(AL52,C52:S55,9,FALSE)</f>
        <v/>
      </c>
      <c r="AU52" s="33" t="str">
        <f>VLOOKUP(AL52,C52:S55,10,FALSE)</f>
        <v/>
      </c>
      <c r="AV52" s="101" t="str">
        <f>VLOOKUP(AL52,C52:S55,11,FALSE)</f>
        <v/>
      </c>
      <c r="AW52" s="32" t="str">
        <f>VLOOKUP(AL52,C52:S55,12,FALSE)</f>
        <v/>
      </c>
      <c r="AX52" s="33" t="str">
        <f>VLOOKUP(AL52,C52:S55,13,FALSE)</f>
        <v/>
      </c>
      <c r="AY52" s="102" t="str">
        <f>VLOOKUP(AL52,C52:S55,14,FALSE)</f>
        <v/>
      </c>
      <c r="AZ52" s="32" t="str">
        <f>VLOOKUP(AL52,C52:S55,15,FALSE)</f>
        <v/>
      </c>
      <c r="BA52" s="33" t="str">
        <f>VLOOKUP(AL52,C52:S55,16,FALSE)</f>
        <v/>
      </c>
      <c r="BB52" s="102" t="str">
        <f>VLOOKUP(AL52,C52:S55,17,FALSE)</f>
        <v/>
      </c>
      <c r="BC52" s="27" t="str">
        <f>IF(Z57="","",IF(AP52=Y57,Z57,IF(AP52=AC57,AB57,"")))</f>
        <v/>
      </c>
      <c r="BD52" s="344" t="str">
        <f>IF(Z60="","",IF(AP52=Y60,Z60,IF(AP52=AC60,AB60,"")))</f>
        <v/>
      </c>
      <c r="BE52" s="344" t="str">
        <f>IF(Z63="","",IF(AP52=Y63,Z63,IF(AP52=AC63,AB63,"")))</f>
        <v/>
      </c>
      <c r="BF52" s="344" t="str">
        <f>IF(Z66="","",IF(AP52=Y66,Z66,IF(AP52=AC66,AB66,"")))</f>
        <v/>
      </c>
      <c r="BG52" s="344" t="str">
        <f>IF(Z69="","",IF(AP52=Y69,Z69,IF(AP52=AC69,AB69,"")))</f>
        <v/>
      </c>
      <c r="BH52" s="345" t="str">
        <f>IF(Z72="","",IF(AP52=Y72,Z72,IF(AP52=AC72,AB72,"")))</f>
        <v/>
      </c>
      <c r="BI52"/>
      <c r="BJ52"/>
      <c r="BK52"/>
      <c r="BL52"/>
      <c r="BM52"/>
      <c r="BN52"/>
      <c r="BO52"/>
      <c r="BP52"/>
      <c r="BQ52"/>
      <c r="BR52" s="1395" t="b">
        <f>IF(G52="[---WithDraw---]",FALSE,IF(COUNTIF(PlayerNamesWithinGroups,G52)&gt;1,TRUE,FALSE))</f>
        <v>1</v>
      </c>
      <c r="BS52" s="1450" t="b">
        <f>AND(LEFT($AP52,1) = "(", RIGHT($AP52,1) =")")</f>
        <v>0</v>
      </c>
      <c r="BT52" s="1450" t="b">
        <f>IF(OR($AO52=$AO51,$AO52=$AO53),TRUE,FALSE)</f>
        <v>1</v>
      </c>
      <c r="BU52"/>
      <c r="BV52"/>
      <c r="BW52"/>
      <c r="CJ52" s="270" t="str">
        <v/>
      </c>
    </row>
    <row r="53" spans="1:88" outlineLevel="1" x14ac:dyDescent="0.2">
      <c r="A53"/>
      <c r="B53" s="40">
        <v>2</v>
      </c>
      <c r="C53" s="55" t="str">
        <f>IF(AL56="","",RANK(D53,D52:D55)*1000+ROW())</f>
        <v/>
      </c>
      <c r="D53" s="37" t="str">
        <f>IF(J53="","",H53*CritClassEq1_Points+M53*CritClassEq1_DiffRencontres+P53*CritClassEq1_DiffMatches+S53*CritClassEq1_DiffButs+N53*CritClassEq1_Matches+Q53*CritClassEq1_Attaque)</f>
        <v/>
      </c>
      <c r="E53" s="37" t="str">
        <f>IF(J53="","",Nb_Diff_Part(D53,D52:D55,G53,G52:G55,AK57:AK74)*CritClassInd_DiffPart)</f>
        <v/>
      </c>
      <c r="F53" s="80" t="str">
        <f>IF(J53="","",D53+E53+H53*CritClassEq2_Points+M53*CritClassEq2_DiffRencontres+P53*CritClassEq2_DiffMatches+S53*CritClassEq2_DiffButs+N53*CritClassEq2_Matches+Q53*CritClassEq2_Attaque)</f>
        <v/>
      </c>
      <c r="G53" s="39" t="s">
        <v>893</v>
      </c>
      <c r="H53" s="341" t="str">
        <f>IF(AL56="","",(J53*Points_Victoire)+K53*Points_Null)</f>
        <v/>
      </c>
      <c r="I53" s="42" t="str">
        <f>IF(J53="","",SUM(J53:L53))</f>
        <v/>
      </c>
      <c r="J53" s="42" t="str">
        <f>IF(AL56="","",COUNTIF(AE57:AE74,G53))</f>
        <v/>
      </c>
      <c r="K53" s="42" t="str">
        <f>IF(AL56="","",COUNTIF(AF57:AG74,G53))</f>
        <v/>
      </c>
      <c r="L53" s="42" t="str">
        <f>IF(AL56="","",COUNTIF(AH57:AH74,G53))</f>
        <v/>
      </c>
      <c r="M53" s="339" t="str">
        <f>IF(AL56="","",J53-L53)</f>
        <v/>
      </c>
      <c r="N53" s="42" t="str">
        <f>IF(AL56="","",SUMIF(Y57:Y74,G53,Z56:AL74)+SUMIF(AC57:AC74,G53,AB57:AB74))</f>
        <v/>
      </c>
      <c r="O53" s="42" t="str">
        <f>IF(AL56="","",SUMIF(Y57:Y74,G53,AB57:AB74)+SUMIF(AC57:AC74,G53,Z56:AL74))</f>
        <v/>
      </c>
      <c r="P53" s="339" t="str">
        <f>IF(AL56="","",N53-O53)</f>
        <v/>
      </c>
      <c r="Q53" s="42" t="str">
        <f>IF(AL56="","",SUMIF(Y57:Y74,G53,AI57:AI74)+SUMIF(AC57:AC74,G53,AJ57:AJ74))</f>
        <v/>
      </c>
      <c r="R53" s="42" t="str">
        <f>IF(AL56="","",SUMIF(Y57:Y74,G53,AJ57:AJ74)+SUMIF(AC57:AC74,G53,AI57:AI74))</f>
        <v/>
      </c>
      <c r="S53" s="82" t="str">
        <f>IF(AL56="","",Q53-R53)</f>
        <v/>
      </c>
      <c r="T53"/>
      <c r="V53"/>
      <c r="W53"/>
      <c r="X53"/>
      <c r="Y53"/>
      <c r="Z53"/>
      <c r="AA53"/>
      <c r="AB53"/>
      <c r="AC53"/>
      <c r="AD53"/>
      <c r="AE53"/>
      <c r="AF53"/>
      <c r="AG53"/>
      <c r="AH53"/>
      <c r="AI53"/>
      <c r="AJ53"/>
      <c r="AK53"/>
      <c r="AL53" t="str">
        <f>IF(AL56="","",SMALL(C52:C55,2))</f>
        <v/>
      </c>
      <c r="AM53"/>
      <c r="AN53"/>
      <c r="AO53" s="40" t="str">
        <f>IF(AL56="","",INT(AL53/1000))</f>
        <v/>
      </c>
      <c r="AP53" s="81" t="str">
        <f>IF(AL56="",IF(HidePlayerFormulas,"","("&amp;G53&amp;")"),VLOOKUP(AL53,C52:S55,5,FALSE))</f>
        <v/>
      </c>
      <c r="AQ53" s="104" t="str">
        <f>VLOOKUP(AL53,C52:S55,6,FALSE)</f>
        <v/>
      </c>
      <c r="AR53" s="42" t="str">
        <f>VLOOKUP(AL53,C52:S55,7,FALSE)</f>
        <v/>
      </c>
      <c r="AS53" s="42" t="str">
        <f>VLOOKUP(AL53,C52:S55,8,FALSE)</f>
        <v/>
      </c>
      <c r="AT53" s="42" t="str">
        <f>VLOOKUP(AL53,C52:S55,9,FALSE)</f>
        <v/>
      </c>
      <c r="AU53" s="42" t="str">
        <f>VLOOKUP(AL53,C52:S55,10,FALSE)</f>
        <v/>
      </c>
      <c r="AV53" s="105" t="str">
        <f>VLOOKUP(AL53,C52:S55,11,FALSE)</f>
        <v/>
      </c>
      <c r="AW53" s="41" t="str">
        <f>VLOOKUP(AL53,C52:S55,12,FALSE)</f>
        <v/>
      </c>
      <c r="AX53" s="42" t="str">
        <f>VLOOKUP(AL53,C52:S55,13,FALSE)</f>
        <v/>
      </c>
      <c r="AY53" s="82" t="str">
        <f>VLOOKUP(AL53,C52:S55,14,FALSE)</f>
        <v/>
      </c>
      <c r="AZ53" s="41" t="str">
        <f>VLOOKUP(AL53,C52:S55,15,FALSE)</f>
        <v/>
      </c>
      <c r="BA53" s="42" t="str">
        <f>VLOOKUP(AL53,C52:S55,16,FALSE)</f>
        <v/>
      </c>
      <c r="BB53" s="82" t="str">
        <f>VLOOKUP(AL53,C52:S55,17,FALSE)</f>
        <v/>
      </c>
      <c r="BC53" s="346" t="str">
        <f>IF(Z57="","",IF(AP53=Y57,Z57,IF(AP53=AC57,AB57,"")))</f>
        <v/>
      </c>
      <c r="BD53" s="122" t="str">
        <f>IF(Z60="","",IF(AP53=Y60,Z60,IF(AP53=AC60,AB60,"")))</f>
        <v/>
      </c>
      <c r="BE53" s="122" t="str">
        <f>IF(Z63="","",IF(AP53=Y63,Z63,IF(AP53=AC63,AB63,"")))</f>
        <v/>
      </c>
      <c r="BF53" s="122" t="str">
        <f>IF(Z66="","",IF(AP53=Y66,Z66,IF(AP53=AC66,AB66,"")))</f>
        <v/>
      </c>
      <c r="BG53" s="122" t="str">
        <f>IF(Z69="","",IF(AP53=Y69,Z69,IF(AP53=AC69,AB69,"")))</f>
        <v/>
      </c>
      <c r="BH53" s="347" t="str">
        <f>IF(Z72="","",IF(AP53=Y72,Z72,IF(AP53=AC72,AB72,"")))</f>
        <v/>
      </c>
      <c r="BI53"/>
      <c r="BJ53"/>
      <c r="BK53"/>
      <c r="BL53"/>
      <c r="BM53"/>
      <c r="BN53"/>
      <c r="BO53"/>
      <c r="BP53"/>
      <c r="BQ53"/>
      <c r="BR53" s="1395" t="b">
        <f>IF(G53="[---WithDraw---]",FALSE,IF(COUNTIF(PlayerNamesWithinGroups,G53)&gt;1,TRUE,FALSE))</f>
        <v>1</v>
      </c>
      <c r="BS53" s="1450" t="b">
        <f>AND(LEFT($AP53,1) = "(", RIGHT($AP53,1) =")")</f>
        <v>0</v>
      </c>
      <c r="BT53" s="1450" t="b">
        <f>IF(OR($AO53=$AO52,$AO53=$AO54),TRUE,FALSE)</f>
        <v>1</v>
      </c>
      <c r="BU53"/>
      <c r="BV53"/>
      <c r="BW53"/>
      <c r="CJ53" s="270" t="str">
        <v/>
      </c>
    </row>
    <row r="54" spans="1:88" outlineLevel="1" x14ac:dyDescent="0.2">
      <c r="A54"/>
      <c r="B54" s="40">
        <v>3</v>
      </c>
      <c r="C54" s="55" t="str">
        <f>IF(AL56="","",RANK(D54,D52:D55)*1000+ROW())</f>
        <v/>
      </c>
      <c r="D54" s="37" t="str">
        <f>IF(J54="","",H54*CritClassEq1_Points+M54*CritClassEq1_DiffRencontres+P54*CritClassEq1_DiffMatches+S54*CritClassEq1_DiffButs+N54*CritClassEq1_Matches+Q54*CritClassEq1_Attaque)</f>
        <v/>
      </c>
      <c r="E54" s="37" t="str">
        <f>IF(J54="","",Nb_Diff_Part(D54,D52:D55,G54,G52:G55,AK57:AK74)*CritClassInd_DiffPart)</f>
        <v/>
      </c>
      <c r="F54" s="80" t="str">
        <f>IF(J54="","",D54+E54+H54*CritClassEq2_Points+M54*CritClassEq2_DiffRencontres+P54*CritClassEq2_DiffMatches+S54*CritClassEq2_DiffButs+N54*CritClassEq2_Matches+Q54*CritClassEq2_Attaque)</f>
        <v/>
      </c>
      <c r="G54" s="39" t="s">
        <v>894</v>
      </c>
      <c r="H54" s="341" t="str">
        <f>IF(AL56="","",(J54*Points_Victoire)+K54*Points_Null)</f>
        <v/>
      </c>
      <c r="I54" s="42" t="str">
        <f>IF(J54="","",SUM(J54:L54))</f>
        <v/>
      </c>
      <c r="J54" s="42" t="str">
        <f>IF(AL56="","",COUNTIF(AE57:AE74,G54))</f>
        <v/>
      </c>
      <c r="K54" s="42" t="str">
        <f>IF(AL56="","",COUNTIF(AF57:AG74,G54))</f>
        <v/>
      </c>
      <c r="L54" s="42" t="str">
        <f>IF(AL56="","",COUNTIF(AH57:AH74,G54))</f>
        <v/>
      </c>
      <c r="M54" s="339" t="str">
        <f>IF(AL56="","",J54-L54)</f>
        <v/>
      </c>
      <c r="N54" s="42" t="str">
        <f>IF(AL56="","",SUMIF(Y57:Y74,G54,Z56:AL74)+SUMIF(AC57:AC74,G54,AB57:AB74))</f>
        <v/>
      </c>
      <c r="O54" s="42" t="str">
        <f>IF(AL56="","",SUMIF(Y57:Y74,G54,AB57:AB74)+SUMIF(AC57:AC74,G54,Z56:AL74))</f>
        <v/>
      </c>
      <c r="P54" s="339" t="str">
        <f>IF(AL56="","",N54-O54)</f>
        <v/>
      </c>
      <c r="Q54" s="42" t="str">
        <f>IF(AL56="","",SUMIF(Y57:Y74,G54,AI57:AI74)+SUMIF(AC57:AC74,G54,AJ57:AJ74))</f>
        <v/>
      </c>
      <c r="R54" s="42" t="str">
        <f>IF(AL56="","",SUMIF(Y57:Y74,G54,AJ57:AJ74)+SUMIF(AC57:AC74,G54,AI57:AI74))</f>
        <v/>
      </c>
      <c r="S54" s="82" t="str">
        <f>IF(AL56="","",Q54-R54)</f>
        <v/>
      </c>
      <c r="T54"/>
      <c r="V54"/>
      <c r="W54"/>
      <c r="X54"/>
      <c r="Y54"/>
      <c r="Z54"/>
      <c r="AA54"/>
      <c r="AB54"/>
      <c r="AC54"/>
      <c r="AD54"/>
      <c r="AE54"/>
      <c r="AF54"/>
      <c r="AG54"/>
      <c r="AH54"/>
      <c r="AI54"/>
      <c r="AJ54"/>
      <c r="AK54"/>
      <c r="AL54" t="str">
        <f>IF(AL56="","",SMALL(C52:C55,3))</f>
        <v/>
      </c>
      <c r="AM54"/>
      <c r="AN54"/>
      <c r="AO54" s="40" t="str">
        <f>IF(AL56="","",INT(AL54/1000))</f>
        <v/>
      </c>
      <c r="AP54" s="81" t="str">
        <f>IF(AL56="",IF(HidePlayerFormulas,"","("&amp;G54&amp;")"),VLOOKUP(AL54,C52:S55,5,FALSE))</f>
        <v/>
      </c>
      <c r="AQ54" s="104" t="str">
        <f>VLOOKUP(AL54,C52:S55,6,FALSE)</f>
        <v/>
      </c>
      <c r="AR54" s="42" t="str">
        <f>VLOOKUP(AL54,C52:S55,7,FALSE)</f>
        <v/>
      </c>
      <c r="AS54" s="42" t="str">
        <f>VLOOKUP(AL54,C52:S55,8,FALSE)</f>
        <v/>
      </c>
      <c r="AT54" s="42" t="str">
        <f>VLOOKUP(AL54,C52:S55,9,FALSE)</f>
        <v/>
      </c>
      <c r="AU54" s="42" t="str">
        <f>VLOOKUP(AL54,C52:S55,10,FALSE)</f>
        <v/>
      </c>
      <c r="AV54" s="105" t="str">
        <f>VLOOKUP(AL54,C52:S55,11,FALSE)</f>
        <v/>
      </c>
      <c r="AW54" s="41" t="str">
        <f>VLOOKUP(AL54,C52:S55,12,FALSE)</f>
        <v/>
      </c>
      <c r="AX54" s="42" t="str">
        <f>VLOOKUP(AL54,C52:S55,13,FALSE)</f>
        <v/>
      </c>
      <c r="AY54" s="82" t="str">
        <f>VLOOKUP(AL54,C52:S55,14,FALSE)</f>
        <v/>
      </c>
      <c r="AZ54" s="41" t="str">
        <f>VLOOKUP(AL54,C52:S55,15,FALSE)</f>
        <v/>
      </c>
      <c r="BA54" s="42" t="str">
        <f>VLOOKUP(AL54,C52:S55,16,FALSE)</f>
        <v/>
      </c>
      <c r="BB54" s="82" t="str">
        <f>VLOOKUP(AL54,C52:S55,17,FALSE)</f>
        <v/>
      </c>
      <c r="BC54" s="346" t="str">
        <f>IF(Z57="","",IF(AP54=Y57,Z57,IF(AP54=AC57,AB57,"")))</f>
        <v/>
      </c>
      <c r="BD54" s="122" t="str">
        <f>IF(Z60="","",IF(AP54=Y60,Z60,IF(AP54=AC60,AB60,"")))</f>
        <v/>
      </c>
      <c r="BE54" s="122" t="str">
        <f>IF(Z63="","",IF(AP54=Y63,Z63,IF(AP54=AC63,AB63,"")))</f>
        <v/>
      </c>
      <c r="BF54" s="122" t="str">
        <f>IF(Z66="","",IF(AP54=Y66,Z66,IF(AP54=AC66,AB66,"")))</f>
        <v/>
      </c>
      <c r="BG54" s="122" t="str">
        <f>IF(Z69="","",IF(AP54=Y69,Z69,IF(AP54=AC69,AB69,"")))</f>
        <v/>
      </c>
      <c r="BH54" s="347" t="str">
        <f>IF(Z72="","",IF(AP54=Y72,Z72,IF(AP54=AC72,AB72,"")))</f>
        <v/>
      </c>
      <c r="BI54"/>
      <c r="BJ54"/>
      <c r="BK54"/>
      <c r="BL54"/>
      <c r="BM54"/>
      <c r="BN54"/>
      <c r="BO54"/>
      <c r="BP54"/>
      <c r="BQ54"/>
      <c r="BR54" s="1395" t="b">
        <f>IF(G54="[---WithDraw---]",FALSE,IF(COUNTIF(PlayerNamesWithinGroups,G54)&gt;1,TRUE,FALSE))</f>
        <v>1</v>
      </c>
      <c r="BS54" s="1450" t="b">
        <f>AND(LEFT($AP54,1) = "(", RIGHT($AP54,1) =")")</f>
        <v>0</v>
      </c>
      <c r="BT54" s="1450" t="b">
        <f>IF(OR($AO54=$AO53,$AO54=$AO55),TRUE,FALSE)</f>
        <v>1</v>
      </c>
      <c r="BU54"/>
      <c r="BV54"/>
      <c r="BW54"/>
      <c r="CJ54" s="270" t="str">
        <v/>
      </c>
    </row>
    <row r="55" spans="1:88" ht="13.5" outlineLevel="1" collapsed="1" thickBot="1" x14ac:dyDescent="0.25">
      <c r="A55"/>
      <c r="B55" s="40">
        <v>4</v>
      </c>
      <c r="C55" s="55" t="str">
        <f>IF(AL56="","",RANK(D55,D52:D55)*1000+ROW())</f>
        <v/>
      </c>
      <c r="D55" s="37" t="str">
        <f>IF(J55="","",H55*CritClassEq1_Points+M55*CritClassEq1_DiffRencontres+P55*CritClassEq1_DiffMatches+S55*CritClassEq1_DiffButs+N55*CritClassEq1_Matches+Q55*CritClassEq1_Attaque)</f>
        <v/>
      </c>
      <c r="E55" s="37" t="str">
        <f>IF(J55="","",Nb_Diff_Part(D55,D52:D55,G55,G52:G55,AK57:AK74)*CritClassInd_DiffPart)</f>
        <v/>
      </c>
      <c r="F55" s="80" t="str">
        <f>IF(J55="","",D55+E55+H55*CritClassEq2_Points+M55*CritClassEq2_DiffRencontres+P55*CritClassEq2_DiffMatches+S55*CritClassEq2_DiffButs+N55*CritClassEq2_Matches+Q55*CritClassEq2_Attaque)</f>
        <v/>
      </c>
      <c r="G55" s="30" t="s">
        <v>895</v>
      </c>
      <c r="H55" s="342" t="str">
        <f>IF(AL56="","",(J55*Points_Victoire)+K55*Points_Null)</f>
        <v/>
      </c>
      <c r="I55" s="50" t="str">
        <f>IF(J55="","",SUM(J55:L55))</f>
        <v/>
      </c>
      <c r="J55" s="50" t="str">
        <f>IF(AL56="","",COUNTIF(AE57:AE74,G55))</f>
        <v/>
      </c>
      <c r="K55" s="50" t="str">
        <f>IF(AL56="","",COUNTIF(AF57:AG74,G55))</f>
        <v/>
      </c>
      <c r="L55" s="50" t="str">
        <f>IF(AL56="","",COUNTIF(AH57:AH74,G55))</f>
        <v/>
      </c>
      <c r="M55" s="343" t="str">
        <f>IF(AL56="","",J55-L55)</f>
        <v/>
      </c>
      <c r="N55" s="50" t="str">
        <f>IF(AL56="","",SUMIF(Y57:Y74,G55,Z56:AL74)+SUMIF(AC57:AC74,G55,AB57:AB74))</f>
        <v/>
      </c>
      <c r="O55" s="50" t="str">
        <f>IF(AL56="","",SUMIF(Y57:Y74,G55,AB57:AB74)+SUMIF(AC57:AC74,G55,Z56:AL74))</f>
        <v/>
      </c>
      <c r="P55" s="343" t="str">
        <f>IF(AL56="","",N55-O55)</f>
        <v/>
      </c>
      <c r="Q55" s="50" t="str">
        <f>IF(AL56="","",SUMIF(Y57:Y74,G55,AI57:AI74)+SUMIF(AC57:AC74,G55,AJ57:AJ74))</f>
        <v/>
      </c>
      <c r="R55" s="50" t="str">
        <f>IF(AL56="","",SUMIF(Y57:Y74,G55,AJ57:AJ74)+SUMIF(AC57:AC74,G55,AI57:AI74))</f>
        <v/>
      </c>
      <c r="S55" s="88" t="str">
        <f>IF(AL56="","",Q55-R55)</f>
        <v/>
      </c>
      <c r="T55"/>
      <c r="V55"/>
      <c r="W55"/>
      <c r="X55"/>
      <c r="Y55"/>
      <c r="Z55"/>
      <c r="AA55"/>
      <c r="AB55"/>
      <c r="AC55"/>
      <c r="AD55"/>
      <c r="AE55"/>
      <c r="AF55"/>
      <c r="AG55"/>
      <c r="AH55"/>
      <c r="AI55"/>
      <c r="AJ55"/>
      <c r="AK55"/>
      <c r="AL55" t="str">
        <f>IF(AL56="","",SMALL(C52:C55,4))</f>
        <v/>
      </c>
      <c r="AM55"/>
      <c r="AN55"/>
      <c r="AO55" s="48" t="str">
        <f>IF(AL56="","",INT(AL55/1000))</f>
        <v/>
      </c>
      <c r="AP55" s="87" t="str">
        <f>IF(AL56="",IF(HidePlayerFormulas,"","("&amp;G55&amp;")"),VLOOKUP(AL55,C52:S55,5,FALSE))</f>
        <v/>
      </c>
      <c r="AQ55" s="106" t="str">
        <f>VLOOKUP(AL55,C52:S55,6,FALSE)</f>
        <v/>
      </c>
      <c r="AR55" s="50" t="str">
        <f>VLOOKUP(AL55,C52:S55,7,FALSE)</f>
        <v/>
      </c>
      <c r="AS55" s="50" t="str">
        <f>VLOOKUP(AL55,C52:S55,8,FALSE)</f>
        <v/>
      </c>
      <c r="AT55" s="50" t="str">
        <f>VLOOKUP(AL55,C52:S55,9,FALSE)</f>
        <v/>
      </c>
      <c r="AU55" s="50" t="str">
        <f>VLOOKUP(AL55,C52:S55,10,FALSE)</f>
        <v/>
      </c>
      <c r="AV55" s="107" t="str">
        <f>VLOOKUP(AL55,C52:S55,11,FALSE)</f>
        <v/>
      </c>
      <c r="AW55" s="49" t="str">
        <f>VLOOKUP(AL55,C52:S55,12,FALSE)</f>
        <v/>
      </c>
      <c r="AX55" s="50" t="str">
        <f>VLOOKUP(AL55,C52:S55,13,FALSE)</f>
        <v/>
      </c>
      <c r="AY55" s="88" t="str">
        <f>VLOOKUP(AL55,C52:S55,14,FALSE)</f>
        <v/>
      </c>
      <c r="AZ55" s="49" t="str">
        <f>VLOOKUP(AL55,C52:S55,15,FALSE)</f>
        <v/>
      </c>
      <c r="BA55" s="50" t="str">
        <f>VLOOKUP(AL55,C52:S55,16,FALSE)</f>
        <v/>
      </c>
      <c r="BB55" s="88" t="str">
        <f>VLOOKUP(AL55,C52:S55,17,FALSE)</f>
        <v/>
      </c>
      <c r="BC55" s="348" t="str">
        <f>IF(Z57="","",IF(AP55=Y57,Z57,IF(AP55=AC57,AB57,"")))</f>
        <v/>
      </c>
      <c r="BD55" s="349" t="str">
        <f>IF(Z60="","",IF(AP55=Y60,Z60,IF(AP55=AC60,AB60,"")))</f>
        <v/>
      </c>
      <c r="BE55" s="349" t="str">
        <f>IF(Z63="","",IF(AP55=Y63,Z63,IF(AP55=AC63,AB63,"")))</f>
        <v/>
      </c>
      <c r="BF55" s="349" t="str">
        <f>IF(Z66="","",IF(AP55=Y66,Z66,IF(AP55=AC66,AB66,"")))</f>
        <v/>
      </c>
      <c r="BG55" s="349" t="str">
        <f>IF(Z69="","",IF(AP55=Y69,Z69,IF(AP55=AC69,AB69,"")))</f>
        <v/>
      </c>
      <c r="BH55" s="350" t="str">
        <f>IF(Z72="","",IF(AP55=Y72,Z72,IF(AP55=AC72,AB72,"")))</f>
        <v/>
      </c>
      <c r="BI55"/>
      <c r="BJ55"/>
      <c r="BK55"/>
      <c r="BL55"/>
      <c r="BM55"/>
      <c r="BN55"/>
      <c r="BO55"/>
      <c r="BP55"/>
      <c r="BQ55"/>
      <c r="BR55" s="1395" t="b">
        <f>IF(G55="[---WithDraw---]",FALSE,IF(COUNTIF(PlayerNamesWithinGroups,G55)&gt;1,TRUE,FALSE))</f>
        <v>1</v>
      </c>
      <c r="BS55" s="1450" t="b">
        <f>AND(LEFT($AP55,1) = "(", RIGHT($AP55,1) =")")</f>
        <v>0</v>
      </c>
      <c r="BT55" s="1450" t="b">
        <f>IF(OR($AO55=$AO54,$AO55=$AO56),TRUE,FALSE)</f>
        <v>1</v>
      </c>
      <c r="BU55"/>
      <c r="BV55"/>
      <c r="BW55"/>
      <c r="CJ55" s="270" t="str">
        <v/>
      </c>
    </row>
    <row r="56" spans="1:88" ht="14.25" hidden="1" customHeight="1" outlineLevel="2" thickBot="1" x14ac:dyDescent="0.25">
      <c r="A56"/>
      <c r="B56" s="1"/>
      <c r="C56"/>
      <c r="D56"/>
      <c r="E56"/>
      <c r="F56"/>
      <c r="G56" s="1"/>
      <c r="H56"/>
      <c r="I56"/>
      <c r="J56"/>
      <c r="K56"/>
      <c r="L56"/>
      <c r="M56"/>
      <c r="N56"/>
      <c r="O56"/>
      <c r="P56"/>
      <c r="Q56"/>
      <c r="R56"/>
      <c r="S56"/>
      <c r="T56"/>
      <c r="U56" s="8"/>
      <c r="V56" s="22" t="str">
        <f>N_Heure</f>
        <v>Heure</v>
      </c>
      <c r="W56" s="22" t="str">
        <f>N_Table</f>
        <v>Table</v>
      </c>
      <c r="X56" s="22" t="str">
        <f>N_Arbitre</f>
        <v>Arbitre</v>
      </c>
      <c r="Y56" s="293" t="str">
        <f>N_Matches</f>
        <v>Matches</v>
      </c>
      <c r="Z56" s="294"/>
      <c r="AA56" s="294"/>
      <c r="AB56" s="294"/>
      <c r="AC56" s="295"/>
      <c r="AD56" s="8"/>
      <c r="AE56"/>
      <c r="AF56"/>
      <c r="AG56"/>
      <c r="AH56"/>
      <c r="AI56"/>
      <c r="AJ56"/>
      <c r="AK56"/>
      <c r="AL56" t="str">
        <f>IF(COUNTA(Z57:Z74)&gt;6,"OK","")</f>
        <v/>
      </c>
      <c r="AM56"/>
      <c r="AN56"/>
      <c r="AP56"/>
      <c r="AQ56"/>
      <c r="AR56"/>
      <c r="AS56"/>
      <c r="AT56"/>
      <c r="AU56"/>
      <c r="AV56"/>
      <c r="AW56"/>
      <c r="AX56"/>
      <c r="AY56"/>
      <c r="AZ56"/>
      <c r="BA56"/>
      <c r="BB56"/>
      <c r="BC56"/>
      <c r="BD56"/>
      <c r="BE56"/>
      <c r="BF56"/>
      <c r="BG56"/>
      <c r="BH56"/>
      <c r="BI56"/>
      <c r="BJ56"/>
      <c r="BK56"/>
      <c r="BL56"/>
      <c r="BM56"/>
      <c r="BN56"/>
      <c r="BO56"/>
      <c r="BP56"/>
      <c r="BQ56"/>
      <c r="BR56" s="1395"/>
      <c r="BS56" s="1450"/>
      <c r="BT56" s="1450"/>
      <c r="BU56"/>
      <c r="BV56"/>
      <c r="BW56"/>
      <c r="CJ56" s="270" t="str">
        <v/>
      </c>
    </row>
    <row r="57" spans="1:88" hidden="1" outlineLevel="2" x14ac:dyDescent="0.2">
      <c r="A57"/>
      <c r="B57" s="1"/>
      <c r="C57" s="11"/>
      <c r="D57" s="76"/>
      <c r="E57" s="76"/>
      <c r="F57" s="76"/>
      <c r="G57" s="9"/>
      <c r="H57" s="1"/>
      <c r="I57"/>
      <c r="J57"/>
      <c r="K57"/>
      <c r="L57"/>
      <c r="M57"/>
      <c r="N57"/>
      <c r="O57"/>
      <c r="P57" s="89"/>
      <c r="Q57"/>
      <c r="R57"/>
      <c r="S57" s="89"/>
      <c r="T57"/>
      <c r="U57" s="331" t="s">
        <v>1726</v>
      </c>
      <c r="V57" s="65"/>
      <c r="W57" s="278"/>
      <c r="X57" s="279"/>
      <c r="Y57" s="34" t="str">
        <f>IF(COUNTA(G52:G55) =4,GMFTGROUPORDERDBLE(G52:G55,Y57:Y74,AC57:AC74),"")</f>
        <v>Db1</v>
      </c>
      <c r="Z57" s="95" t="str">
        <f>IF(OR(ISNUMBER(Z58),ISNUMBER(Z59)),2-COUNTBLANK(AI58:AI59),"")</f>
        <v/>
      </c>
      <c r="AA57" s="35" t="s">
        <v>769</v>
      </c>
      <c r="AB57" s="95" t="str">
        <f>IF(OR(ISNUMBER(Z58),ISNUMBER(Z59)),2-COUNTBLANK(AJ58:AJ59),"")</f>
        <v/>
      </c>
      <c r="AC57" s="36" t="str">
        <f>IF(COUNTA(G52:G55) =4,GMFTGROUPORDERDBLE(G52:G55,Y57:Y74,AC57:AC74),"")</f>
        <v>Db4</v>
      </c>
      <c r="AD57" s="16"/>
      <c r="AE57" t="str">
        <f t="shared" ref="AE57:AE74" si="10">IF(Z57="","",IF(Z57&gt;AB57,Y57,IF(Z57=AB57,"",AC57)))</f>
        <v/>
      </c>
      <c r="AF57" t="str">
        <f t="shared" ref="AF57:AF74" si="11">IF(Z57="","",IF(Z57=AB57,Y57,""))</f>
        <v/>
      </c>
      <c r="AG57" t="str">
        <f t="shared" ref="AG57:AG74" si="12">IF(Z57="","",IF(Z57=AB57,AC57,""))</f>
        <v/>
      </c>
      <c r="AH57" t="str">
        <f t="shared" ref="AH57:AH74" si="13">IF(Z57="","",IF(Z57&lt;AB57,Y57,IF(Z57=AB57,"",AC57)))</f>
        <v/>
      </c>
      <c r="AI57" s="270" t="str">
        <f>IF(Z57="","",SUM(Z58:Z59))</f>
        <v/>
      </c>
      <c r="AJ57" s="270" t="str">
        <f>IF(Z57="","",SUM(AB58:AB59))</f>
        <v/>
      </c>
      <c r="AK57" t="str">
        <f t="shared" ref="AK57:AK74" si="14">CONCATENATE(AE57,AH57)</f>
        <v/>
      </c>
      <c r="AL57"/>
      <c r="AM57"/>
      <c r="AN57"/>
      <c r="AO57" s="1"/>
      <c r="AP57"/>
      <c r="AQ57"/>
      <c r="AR57"/>
      <c r="AS57"/>
      <c r="AT57"/>
      <c r="AU57"/>
      <c r="AV57"/>
      <c r="AW57"/>
      <c r="AX57"/>
      <c r="AY57" s="89"/>
      <c r="AZ57"/>
      <c r="BA57"/>
      <c r="BB57" s="89"/>
      <c r="BC57"/>
      <c r="BD57"/>
      <c r="BE57"/>
      <c r="BF57"/>
      <c r="BG57"/>
      <c r="BH57"/>
      <c r="BI57"/>
      <c r="BJ57"/>
      <c r="BK57"/>
      <c r="BL57"/>
      <c r="BM57"/>
      <c r="BN57"/>
      <c r="BO57"/>
      <c r="BP57"/>
      <c r="BQ57"/>
      <c r="BR57" s="1395"/>
      <c r="BS57" s="1450"/>
      <c r="BT57" s="1450"/>
      <c r="BU57"/>
      <c r="BV57"/>
      <c r="BW57"/>
      <c r="CJ57" s="270" t="str">
        <v/>
      </c>
    </row>
    <row r="58" spans="1:88" ht="12.75" hidden="1" customHeight="1" outlineLevel="3" x14ac:dyDescent="0.2">
      <c r="A58"/>
      <c r="B58" s="1"/>
      <c r="C58" s="11"/>
      <c r="D58" s="76"/>
      <c r="E58" s="76"/>
      <c r="F58" s="76"/>
      <c r="G58" s="9"/>
      <c r="H58" s="1"/>
      <c r="I58"/>
      <c r="J58"/>
      <c r="K58"/>
      <c r="L58"/>
      <c r="M58"/>
      <c r="N58"/>
      <c r="O58"/>
      <c r="P58" s="89"/>
      <c r="Q58"/>
      <c r="R58"/>
      <c r="S58" s="89"/>
      <c r="T58"/>
      <c r="U58" s="331"/>
      <c r="V58" s="77"/>
      <c r="W58" s="56"/>
      <c r="X58" s="78"/>
      <c r="Y58" s="103"/>
      <c r="Z58" s="44"/>
      <c r="AA58" s="45" t="s">
        <v>769</v>
      </c>
      <c r="AB58" s="44"/>
      <c r="AC58" s="79"/>
      <c r="AD58" s="16"/>
      <c r="AE58" t="str">
        <f t="shared" si="10"/>
        <v/>
      </c>
      <c r="AF58" t="str">
        <f t="shared" si="11"/>
        <v/>
      </c>
      <c r="AG58" t="str">
        <f t="shared" si="12"/>
        <v/>
      </c>
      <c r="AH58" t="str">
        <f t="shared" si="13"/>
        <v/>
      </c>
      <c r="AI58" t="str">
        <f>IF(Z58="","",IF(Z58&gt;AB58,Y57,""))</f>
        <v/>
      </c>
      <c r="AJ58" t="str">
        <f>IF(Z58="","",IF(Z58&lt;AB58,AC57,""))</f>
        <v/>
      </c>
      <c r="AK58" t="str">
        <f t="shared" si="14"/>
        <v/>
      </c>
      <c r="AL58"/>
      <c r="AM58"/>
      <c r="AN58"/>
      <c r="AO58" s="1"/>
      <c r="AP58"/>
      <c r="AQ58"/>
      <c r="AR58"/>
      <c r="AS58"/>
      <c r="AT58"/>
      <c r="AU58"/>
      <c r="AV58"/>
      <c r="AW58"/>
      <c r="AX58"/>
      <c r="AY58" s="89"/>
      <c r="AZ58"/>
      <c r="BA58"/>
      <c r="BB58" s="89"/>
      <c r="BC58"/>
      <c r="BD58"/>
      <c r="BE58"/>
      <c r="BF58"/>
      <c r="BG58"/>
      <c r="BH58"/>
      <c r="BI58"/>
      <c r="BJ58"/>
      <c r="BK58"/>
      <c r="BL58"/>
      <c r="BM58"/>
      <c r="BN58"/>
      <c r="BO58"/>
      <c r="BP58"/>
      <c r="BQ58"/>
      <c r="BR58" s="1395"/>
      <c r="BS58" s="1450"/>
      <c r="BT58" s="1450"/>
      <c r="BU58"/>
      <c r="BV58"/>
      <c r="BW58"/>
      <c r="CJ58" s="270" t="str">
        <v/>
      </c>
    </row>
    <row r="59" spans="1:88" ht="12.75" hidden="1" customHeight="1" outlineLevel="3" x14ac:dyDescent="0.2">
      <c r="A59"/>
      <c r="B59" s="1"/>
      <c r="C59"/>
      <c r="D59"/>
      <c r="E59"/>
      <c r="F59"/>
      <c r="G59" s="1"/>
      <c r="H59"/>
      <c r="I59"/>
      <c r="J59"/>
      <c r="K59"/>
      <c r="L59"/>
      <c r="M59"/>
      <c r="N59"/>
      <c r="O59"/>
      <c r="P59"/>
      <c r="Q59"/>
      <c r="R59"/>
      <c r="S59"/>
      <c r="T59"/>
      <c r="U59" s="331"/>
      <c r="V59" s="77"/>
      <c r="W59" s="56"/>
      <c r="X59" s="78"/>
      <c r="Y59" s="103"/>
      <c r="Z59" s="44"/>
      <c r="AA59" s="45" t="s">
        <v>769</v>
      </c>
      <c r="AB59" s="44"/>
      <c r="AC59" s="79"/>
      <c r="AD59" s="16"/>
      <c r="AE59" t="str">
        <f t="shared" si="10"/>
        <v/>
      </c>
      <c r="AF59" t="str">
        <f t="shared" si="11"/>
        <v/>
      </c>
      <c r="AG59" t="str">
        <f t="shared" si="12"/>
        <v/>
      </c>
      <c r="AH59" t="str">
        <f t="shared" si="13"/>
        <v/>
      </c>
      <c r="AI59" t="str">
        <f>IF(Z59="","",IF(Z59&gt;AB59,Y57,""))</f>
        <v/>
      </c>
      <c r="AJ59" t="str">
        <f>IF(Z59="","",IF(Z59&lt;AB59,AC57,""))</f>
        <v/>
      </c>
      <c r="AK59" t="str">
        <f t="shared" si="14"/>
        <v/>
      </c>
      <c r="AL59"/>
      <c r="AM59"/>
      <c r="AN59"/>
      <c r="AP59"/>
      <c r="AQ59"/>
      <c r="AR59"/>
      <c r="AS59"/>
      <c r="AT59"/>
      <c r="AU59"/>
      <c r="AV59"/>
      <c r="AW59"/>
      <c r="AX59"/>
      <c r="AY59"/>
      <c r="AZ59"/>
      <c r="BA59"/>
      <c r="BB59"/>
      <c r="BC59"/>
      <c r="BD59"/>
      <c r="BE59"/>
      <c r="BF59"/>
      <c r="BG59"/>
      <c r="BH59"/>
      <c r="BI59"/>
      <c r="BJ59"/>
      <c r="BK59"/>
      <c r="BL59"/>
      <c r="BM59"/>
      <c r="BN59"/>
      <c r="BO59"/>
      <c r="BP59"/>
      <c r="BQ59"/>
      <c r="BR59" s="1395"/>
      <c r="BS59" s="1450"/>
      <c r="BT59" s="1450"/>
      <c r="BU59"/>
      <c r="BV59"/>
      <c r="BW59"/>
      <c r="CJ59" s="270" t="str">
        <v/>
      </c>
    </row>
    <row r="60" spans="1:88" hidden="1" outlineLevel="2" x14ac:dyDescent="0.2">
      <c r="A60"/>
      <c r="B60" s="1"/>
      <c r="C60" s="11"/>
      <c r="D60" s="76"/>
      <c r="E60" s="76"/>
      <c r="F60" s="76"/>
      <c r="G60" s="9"/>
      <c r="H60" s="1"/>
      <c r="I60"/>
      <c r="J60"/>
      <c r="K60"/>
      <c r="L60"/>
      <c r="M60"/>
      <c r="N60"/>
      <c r="O60"/>
      <c r="P60" s="89"/>
      <c r="Q60"/>
      <c r="R60"/>
      <c r="S60" s="89"/>
      <c r="T60"/>
      <c r="U60" s="331" t="s">
        <v>1726</v>
      </c>
      <c r="V60" s="83"/>
      <c r="W60" s="84"/>
      <c r="X60" s="85"/>
      <c r="Y60" s="43" t="str">
        <f>IF(COUNTA(G52:G55) =4,GMFTGROUPORDERDBLE(G52:G55,Y57:Y74,AC57:AC74),"")</f>
        <v>Db2</v>
      </c>
      <c r="Z60" s="86" t="str">
        <f>IF(OR(ISNUMBER(Z61),ISNUMBER(Z62)),2-COUNTBLANK(AI61:AI62),"")</f>
        <v/>
      </c>
      <c r="AA60" s="45" t="s">
        <v>769</v>
      </c>
      <c r="AB60" s="86" t="str">
        <f>IF(OR(ISNUMBER(Z61),ISNUMBER(Z62)),2-COUNTBLANK(AJ61:AJ62),"")</f>
        <v/>
      </c>
      <c r="AC60" s="46" t="str">
        <f>IF(COUNTA(G52:G55) =4,GMFTGROUPORDERDBLE(G52:G55,Y57:Y74,AC57:AC74),"")</f>
        <v>Db3</v>
      </c>
      <c r="AD60" s="16"/>
      <c r="AE60" t="str">
        <f t="shared" si="10"/>
        <v/>
      </c>
      <c r="AF60" t="str">
        <f t="shared" si="11"/>
        <v/>
      </c>
      <c r="AG60" t="str">
        <f t="shared" si="12"/>
        <v/>
      </c>
      <c r="AH60" t="str">
        <f t="shared" si="13"/>
        <v/>
      </c>
      <c r="AI60" s="270" t="str">
        <f>IF(Z60="","",SUM(Z61:Z62))</f>
        <v/>
      </c>
      <c r="AJ60" s="270" t="str">
        <f>IF(Z60="","",SUM(AB61:AB62))</f>
        <v/>
      </c>
      <c r="AK60" t="str">
        <f t="shared" si="14"/>
        <v/>
      </c>
      <c r="AL60"/>
      <c r="AM60"/>
      <c r="AN60"/>
      <c r="AO60" s="1"/>
      <c r="AP60"/>
      <c r="AQ60"/>
      <c r="AR60"/>
      <c r="AS60"/>
      <c r="AT60"/>
      <c r="AU60"/>
      <c r="AV60"/>
      <c r="AW60"/>
      <c r="AX60"/>
      <c r="AY60" s="89"/>
      <c r="AZ60"/>
      <c r="BA60"/>
      <c r="BB60" s="89"/>
      <c r="BC60"/>
      <c r="BD60"/>
      <c r="BE60"/>
      <c r="BF60"/>
      <c r="BG60"/>
      <c r="BH60"/>
      <c r="BI60"/>
      <c r="BJ60"/>
      <c r="BK60"/>
      <c r="BL60"/>
      <c r="BM60"/>
      <c r="BN60"/>
      <c r="BO60"/>
      <c r="BP60"/>
      <c r="BQ60"/>
      <c r="BR60" s="1395"/>
      <c r="BS60" s="1450"/>
      <c r="BT60" s="1450"/>
      <c r="BU60"/>
      <c r="BV60"/>
      <c r="BW60"/>
      <c r="CJ60" s="270" t="str">
        <v/>
      </c>
    </row>
    <row r="61" spans="1:88" ht="12.75" hidden="1" customHeight="1" outlineLevel="3" x14ac:dyDescent="0.2">
      <c r="A61"/>
      <c r="B61" s="1"/>
      <c r="C61" s="11"/>
      <c r="D61" s="76"/>
      <c r="E61" s="76"/>
      <c r="F61" s="76"/>
      <c r="G61" s="9"/>
      <c r="H61" s="1"/>
      <c r="I61"/>
      <c r="J61"/>
      <c r="K61"/>
      <c r="L61"/>
      <c r="M61"/>
      <c r="N61"/>
      <c r="O61"/>
      <c r="P61" s="89"/>
      <c r="Q61"/>
      <c r="R61"/>
      <c r="S61" s="89"/>
      <c r="T61"/>
      <c r="U61" s="331"/>
      <c r="V61" s="77"/>
      <c r="W61" s="56"/>
      <c r="X61" s="78"/>
      <c r="Y61" s="103"/>
      <c r="Z61" s="44"/>
      <c r="AA61" s="45" t="s">
        <v>769</v>
      </c>
      <c r="AB61" s="44"/>
      <c r="AC61" s="79"/>
      <c r="AD61" s="16"/>
      <c r="AE61" t="str">
        <f t="shared" si="10"/>
        <v/>
      </c>
      <c r="AF61" t="str">
        <f t="shared" si="11"/>
        <v/>
      </c>
      <c r="AG61" t="str">
        <f t="shared" si="12"/>
        <v/>
      </c>
      <c r="AH61" t="str">
        <f t="shared" si="13"/>
        <v/>
      </c>
      <c r="AI61" t="str">
        <f>IF(Z61="","",IF(Z61&gt;AB61,Y60,""))</f>
        <v/>
      </c>
      <c r="AJ61" t="str">
        <f>IF(Z61="","",IF(Z61&lt;AB61,AC60,""))</f>
        <v/>
      </c>
      <c r="AK61" t="str">
        <f t="shared" si="14"/>
        <v/>
      </c>
      <c r="AL61"/>
      <c r="AM61"/>
      <c r="AN61"/>
      <c r="AO61" s="1"/>
      <c r="AP61"/>
      <c r="AQ61"/>
      <c r="AR61"/>
      <c r="AS61"/>
      <c r="AT61"/>
      <c r="AU61"/>
      <c r="AV61"/>
      <c r="AW61"/>
      <c r="AX61"/>
      <c r="AY61" s="89"/>
      <c r="AZ61"/>
      <c r="BA61"/>
      <c r="BB61" s="89"/>
      <c r="BC61"/>
      <c r="BD61"/>
      <c r="BE61"/>
      <c r="BF61"/>
      <c r="BG61"/>
      <c r="BH61"/>
      <c r="BI61"/>
      <c r="BJ61"/>
      <c r="BK61"/>
      <c r="BL61"/>
      <c r="BM61"/>
      <c r="BN61"/>
      <c r="BO61"/>
      <c r="BP61"/>
      <c r="BQ61"/>
      <c r="BR61" s="1395"/>
      <c r="BS61" s="1450"/>
      <c r="BT61" s="1450"/>
      <c r="BU61"/>
      <c r="BV61"/>
      <c r="BW61"/>
      <c r="CJ61" s="270" t="str">
        <v/>
      </c>
    </row>
    <row r="62" spans="1:88" ht="12.75" hidden="1" customHeight="1" outlineLevel="3" x14ac:dyDescent="0.2">
      <c r="A62"/>
      <c r="B62" s="1"/>
      <c r="C62"/>
      <c r="D62"/>
      <c r="E62"/>
      <c r="F62"/>
      <c r="G62" s="1"/>
      <c r="H62"/>
      <c r="I62"/>
      <c r="J62"/>
      <c r="K62"/>
      <c r="L62"/>
      <c r="M62"/>
      <c r="N62"/>
      <c r="O62"/>
      <c r="P62"/>
      <c r="Q62"/>
      <c r="R62"/>
      <c r="S62"/>
      <c r="T62"/>
      <c r="U62" s="331"/>
      <c r="V62" s="77"/>
      <c r="W62" s="56"/>
      <c r="X62" s="78"/>
      <c r="Y62" s="103"/>
      <c r="Z62" s="44"/>
      <c r="AA62" s="45" t="s">
        <v>769</v>
      </c>
      <c r="AB62" s="44"/>
      <c r="AC62" s="79"/>
      <c r="AD62" s="16"/>
      <c r="AE62" t="str">
        <f t="shared" si="10"/>
        <v/>
      </c>
      <c r="AF62" t="str">
        <f t="shared" si="11"/>
        <v/>
      </c>
      <c r="AG62" t="str">
        <f t="shared" si="12"/>
        <v/>
      </c>
      <c r="AH62" t="str">
        <f t="shared" si="13"/>
        <v/>
      </c>
      <c r="AI62" t="str">
        <f>IF(Z62="","",IF(Z62&gt;AB62,Y60,""))</f>
        <v/>
      </c>
      <c r="AJ62" t="str">
        <f>IF(Z62="","",IF(Z62&lt;AB62,AC60,""))</f>
        <v/>
      </c>
      <c r="AK62" t="str">
        <f t="shared" si="14"/>
        <v/>
      </c>
      <c r="AL62"/>
      <c r="AM62"/>
      <c r="AN62"/>
      <c r="AP62"/>
      <c r="AQ62"/>
      <c r="AR62"/>
      <c r="AS62"/>
      <c r="AT62"/>
      <c r="AU62"/>
      <c r="AV62"/>
      <c r="AW62"/>
      <c r="AX62"/>
      <c r="AY62"/>
      <c r="AZ62"/>
      <c r="BA62"/>
      <c r="BB62"/>
      <c r="BC62"/>
      <c r="BD62"/>
      <c r="BE62"/>
      <c r="BF62"/>
      <c r="BG62"/>
      <c r="BH62"/>
      <c r="BI62"/>
      <c r="BJ62"/>
      <c r="BK62"/>
      <c r="BL62"/>
      <c r="BM62"/>
      <c r="BN62"/>
      <c r="BO62"/>
      <c r="BP62"/>
      <c r="BQ62"/>
      <c r="BR62" s="1395"/>
      <c r="BS62" s="1450"/>
      <c r="BT62" s="1450"/>
      <c r="BU62"/>
      <c r="BV62"/>
      <c r="BW62"/>
      <c r="CJ62" s="270" t="str">
        <v/>
      </c>
    </row>
    <row r="63" spans="1:88" hidden="1" outlineLevel="2" x14ac:dyDescent="0.2">
      <c r="A63"/>
      <c r="B63" s="1"/>
      <c r="C63"/>
      <c r="D63"/>
      <c r="E63"/>
      <c r="F63"/>
      <c r="G63" s="1"/>
      <c r="H63"/>
      <c r="I63"/>
      <c r="J63"/>
      <c r="K63"/>
      <c r="L63"/>
      <c r="M63"/>
      <c r="N63"/>
      <c r="O63"/>
      <c r="P63"/>
      <c r="Q63"/>
      <c r="R63"/>
      <c r="S63"/>
      <c r="T63"/>
      <c r="U63" s="331" t="s">
        <v>1727</v>
      </c>
      <c r="V63" s="83"/>
      <c r="W63" s="84"/>
      <c r="X63" s="85"/>
      <c r="Y63" s="43" t="str">
        <f>IF(COUNTA(G52:G55) =4,GMFTGROUPORDERDBLE(G52:G55,Y57:Y74,AC57:AC74),"")</f>
        <v>Db3</v>
      </c>
      <c r="Z63" s="86" t="str">
        <f>IF(OR(ISNUMBER(Z64),ISNUMBER(Z65)),2-COUNTBLANK(AI64:AI65),"")</f>
        <v/>
      </c>
      <c r="AA63" s="45" t="s">
        <v>769</v>
      </c>
      <c r="AB63" s="86" t="str">
        <f>IF(OR(ISNUMBER(Z64),ISNUMBER(Z65)),2-COUNTBLANK(AJ64:AJ65),"")</f>
        <v/>
      </c>
      <c r="AC63" s="46" t="str">
        <f>IF(COUNTA(G52:G55) =4,GMFTGROUPORDERDBLE(G52:G55,Y57:Y74,AC57:AC74),"")</f>
        <v>Db1</v>
      </c>
      <c r="AD63" s="16"/>
      <c r="AE63" t="str">
        <f t="shared" si="10"/>
        <v/>
      </c>
      <c r="AF63" t="str">
        <f t="shared" si="11"/>
        <v/>
      </c>
      <c r="AG63" t="str">
        <f t="shared" si="12"/>
        <v/>
      </c>
      <c r="AH63" t="str">
        <f t="shared" si="13"/>
        <v/>
      </c>
      <c r="AI63" s="270" t="str">
        <f>IF(Z63="","",SUM(Z64:Z65))</f>
        <v/>
      </c>
      <c r="AJ63" s="270" t="str">
        <f>IF(Z63="","",SUM(AB64:AB65))</f>
        <v/>
      </c>
      <c r="AK63" t="str">
        <f t="shared" si="14"/>
        <v/>
      </c>
      <c r="AL63"/>
      <c r="AM63"/>
      <c r="AN63"/>
      <c r="AP63"/>
      <c r="AQ63"/>
      <c r="AR63"/>
      <c r="AS63"/>
      <c r="AT63"/>
      <c r="AU63"/>
      <c r="AV63"/>
      <c r="AW63"/>
      <c r="AX63"/>
      <c r="AY63"/>
      <c r="AZ63"/>
      <c r="BA63"/>
      <c r="BB63"/>
      <c r="BC63"/>
      <c r="BD63"/>
      <c r="BE63"/>
      <c r="BF63"/>
      <c r="BG63"/>
      <c r="BH63"/>
      <c r="BI63"/>
      <c r="BJ63"/>
      <c r="BK63"/>
      <c r="BL63"/>
      <c r="BM63"/>
      <c r="BN63"/>
      <c r="BO63"/>
      <c r="BP63"/>
      <c r="BQ63"/>
      <c r="BR63" s="1395"/>
      <c r="BS63" s="1450"/>
      <c r="BT63" s="1450"/>
      <c r="BU63"/>
      <c r="BV63"/>
      <c r="BW63"/>
      <c r="CJ63" s="270" t="str">
        <v/>
      </c>
    </row>
    <row r="64" spans="1:88" ht="12.75" hidden="1" customHeight="1" outlineLevel="3" x14ac:dyDescent="0.2">
      <c r="A64"/>
      <c r="B64" s="1"/>
      <c r="C64"/>
      <c r="D64"/>
      <c r="E64"/>
      <c r="F64"/>
      <c r="G64" s="1"/>
      <c r="H64"/>
      <c r="I64"/>
      <c r="J64"/>
      <c r="K64"/>
      <c r="L64"/>
      <c r="M64"/>
      <c r="N64"/>
      <c r="O64"/>
      <c r="P64"/>
      <c r="Q64"/>
      <c r="R64"/>
      <c r="S64"/>
      <c r="T64"/>
      <c r="U64" s="331"/>
      <c r="V64" s="77"/>
      <c r="W64" s="56"/>
      <c r="X64" s="78"/>
      <c r="Y64" s="103"/>
      <c r="Z64" s="44"/>
      <c r="AA64" s="45" t="s">
        <v>769</v>
      </c>
      <c r="AB64" s="44"/>
      <c r="AC64" s="79"/>
      <c r="AD64" s="16"/>
      <c r="AE64" t="str">
        <f t="shared" si="10"/>
        <v/>
      </c>
      <c r="AF64" t="str">
        <f t="shared" si="11"/>
        <v/>
      </c>
      <c r="AG64" t="str">
        <f t="shared" si="12"/>
        <v/>
      </c>
      <c r="AH64" t="str">
        <f t="shared" si="13"/>
        <v/>
      </c>
      <c r="AI64" t="str">
        <f>IF(Z64="","",IF(Z64&gt;AB64,Y63,""))</f>
        <v/>
      </c>
      <c r="AJ64" t="str">
        <f>IF(Z64="","",IF(Z64&lt;AB64,AC63,""))</f>
        <v/>
      </c>
      <c r="AK64" t="str">
        <f t="shared" si="14"/>
        <v/>
      </c>
      <c r="AL64"/>
      <c r="AM64"/>
      <c r="AN64"/>
      <c r="AP64"/>
      <c r="AQ64"/>
      <c r="AR64"/>
      <c r="AS64"/>
      <c r="AT64"/>
      <c r="AU64"/>
      <c r="AV64"/>
      <c r="AW64"/>
      <c r="AX64"/>
      <c r="AY64"/>
      <c r="AZ64"/>
      <c r="BA64"/>
      <c r="BB64"/>
      <c r="BC64"/>
      <c r="BD64"/>
      <c r="BE64"/>
      <c r="BF64"/>
      <c r="BG64"/>
      <c r="BH64"/>
      <c r="BI64"/>
      <c r="BJ64"/>
      <c r="BK64"/>
      <c r="BL64"/>
      <c r="BM64"/>
      <c r="BN64"/>
      <c r="BO64"/>
      <c r="BP64"/>
      <c r="BQ64"/>
      <c r="BR64" s="1395"/>
      <c r="BS64" s="1450"/>
      <c r="BT64" s="1450"/>
      <c r="BU64"/>
      <c r="BV64"/>
      <c r="BW64"/>
      <c r="CJ64" s="270" t="str">
        <v/>
      </c>
    </row>
    <row r="65" spans="1:88" ht="12.75" hidden="1" customHeight="1" outlineLevel="3" x14ac:dyDescent="0.2">
      <c r="A65"/>
      <c r="B65" s="1"/>
      <c r="C65"/>
      <c r="D65"/>
      <c r="E65"/>
      <c r="F65"/>
      <c r="G65" s="1"/>
      <c r="H65"/>
      <c r="I65"/>
      <c r="J65"/>
      <c r="K65"/>
      <c r="L65"/>
      <c r="M65"/>
      <c r="N65"/>
      <c r="O65"/>
      <c r="P65"/>
      <c r="Q65"/>
      <c r="R65"/>
      <c r="S65"/>
      <c r="T65"/>
      <c r="U65" s="331"/>
      <c r="V65" s="77"/>
      <c r="W65" s="56"/>
      <c r="X65" s="78"/>
      <c r="Y65" s="103"/>
      <c r="Z65" s="44"/>
      <c r="AA65" s="45" t="s">
        <v>769</v>
      </c>
      <c r="AB65" s="44"/>
      <c r="AC65" s="79"/>
      <c r="AD65" s="16"/>
      <c r="AE65" t="str">
        <f t="shared" si="10"/>
        <v/>
      </c>
      <c r="AF65" t="str">
        <f t="shared" si="11"/>
        <v/>
      </c>
      <c r="AG65" t="str">
        <f t="shared" si="12"/>
        <v/>
      </c>
      <c r="AH65" t="str">
        <f t="shared" si="13"/>
        <v/>
      </c>
      <c r="AI65" t="str">
        <f>IF(Z65="","",IF(Z65&gt;AB65,Y63,""))</f>
        <v/>
      </c>
      <c r="AJ65" t="str">
        <f>IF(Z65="","",IF(Z65&lt;AB65,AC63,""))</f>
        <v/>
      </c>
      <c r="AK65" t="str">
        <f t="shared" si="14"/>
        <v/>
      </c>
      <c r="AL65"/>
      <c r="AM65"/>
      <c r="AN65"/>
      <c r="AP65"/>
      <c r="AQ65"/>
      <c r="AR65"/>
      <c r="AS65"/>
      <c r="AT65"/>
      <c r="AU65"/>
      <c r="AV65"/>
      <c r="AW65"/>
      <c r="AX65"/>
      <c r="AY65"/>
      <c r="AZ65"/>
      <c r="BA65"/>
      <c r="BB65"/>
      <c r="BC65"/>
      <c r="BD65"/>
      <c r="BE65"/>
      <c r="BF65"/>
      <c r="BG65"/>
      <c r="BH65"/>
      <c r="BI65"/>
      <c r="BJ65"/>
      <c r="BK65"/>
      <c r="BL65"/>
      <c r="BM65"/>
      <c r="BN65"/>
      <c r="BO65"/>
      <c r="BP65"/>
      <c r="BQ65"/>
      <c r="BR65" s="1395"/>
      <c r="BS65" s="1450"/>
      <c r="BT65" s="1450"/>
      <c r="BU65"/>
      <c r="BV65"/>
      <c r="BW65"/>
      <c r="CJ65" s="270" t="str">
        <v/>
      </c>
    </row>
    <row r="66" spans="1:88" hidden="1" outlineLevel="2" x14ac:dyDescent="0.2">
      <c r="A66"/>
      <c r="B66" s="1"/>
      <c r="C66"/>
      <c r="D66"/>
      <c r="E66"/>
      <c r="F66"/>
      <c r="G66" s="1"/>
      <c r="H66"/>
      <c r="I66"/>
      <c r="J66"/>
      <c r="K66"/>
      <c r="L66"/>
      <c r="M66"/>
      <c r="N66"/>
      <c r="O66"/>
      <c r="P66"/>
      <c r="Q66"/>
      <c r="R66"/>
      <c r="S66"/>
      <c r="T66"/>
      <c r="U66" s="331" t="s">
        <v>1727</v>
      </c>
      <c r="V66" s="83"/>
      <c r="W66" s="84"/>
      <c r="X66" s="85"/>
      <c r="Y66" s="43" t="str">
        <f>IF(COUNTA(G52:G55) =4,GMFTGROUPORDERDBLE(G52:G55,Y57:Y74,AC57:AC74),"")</f>
        <v>Db4</v>
      </c>
      <c r="Z66" s="86" t="str">
        <f>IF(OR(ISNUMBER(Z67),ISNUMBER(Z68)),2-COUNTBLANK(AI67:AI68),"")</f>
        <v/>
      </c>
      <c r="AA66" s="45" t="s">
        <v>769</v>
      </c>
      <c r="AB66" s="86" t="str">
        <f>IF(OR(ISNUMBER(Z67),ISNUMBER(Z68)),2-COUNTBLANK(AJ67:AJ68),"")</f>
        <v/>
      </c>
      <c r="AC66" s="46" t="str">
        <f>IF(COUNTA(G52:G55) =4,GMFTGROUPORDERDBLE(G52:G55,Y57:Y74,AC57:AC74),"")</f>
        <v>Db2</v>
      </c>
      <c r="AD66" s="16"/>
      <c r="AE66" t="str">
        <f t="shared" si="10"/>
        <v/>
      </c>
      <c r="AF66" t="str">
        <f t="shared" si="11"/>
        <v/>
      </c>
      <c r="AG66" t="str">
        <f t="shared" si="12"/>
        <v/>
      </c>
      <c r="AH66" t="str">
        <f t="shared" si="13"/>
        <v/>
      </c>
      <c r="AI66" s="270" t="str">
        <f>IF(Z66="","",SUM(Z67:Z68))</f>
        <v/>
      </c>
      <c r="AJ66" s="270" t="str">
        <f>IF(Z66="","",SUM(AB67:AB68))</f>
        <v/>
      </c>
      <c r="AK66" t="str">
        <f t="shared" si="14"/>
        <v/>
      </c>
      <c r="AL66"/>
      <c r="AM66"/>
      <c r="AN66"/>
      <c r="AP66"/>
      <c r="AQ66"/>
      <c r="AR66"/>
      <c r="AS66"/>
      <c r="AT66"/>
      <c r="AU66"/>
      <c r="AV66"/>
      <c r="AW66"/>
      <c r="AX66"/>
      <c r="AY66"/>
      <c r="AZ66"/>
      <c r="BA66"/>
      <c r="BB66"/>
      <c r="BC66"/>
      <c r="BD66"/>
      <c r="BE66"/>
      <c r="BF66"/>
      <c r="BG66"/>
      <c r="BH66"/>
      <c r="BI66"/>
      <c r="BJ66"/>
      <c r="BK66"/>
      <c r="BL66"/>
      <c r="BM66"/>
      <c r="BN66"/>
      <c r="BO66"/>
      <c r="BP66"/>
      <c r="BQ66"/>
      <c r="BR66" s="1395"/>
      <c r="BS66" s="1450"/>
      <c r="BT66" s="1450"/>
      <c r="BU66"/>
      <c r="BV66"/>
      <c r="BW66"/>
      <c r="CJ66" s="270" t="str">
        <v/>
      </c>
    </row>
    <row r="67" spans="1:88" ht="12.75" hidden="1" customHeight="1" outlineLevel="3" x14ac:dyDescent="0.2">
      <c r="A67"/>
      <c r="B67" s="1"/>
      <c r="C67"/>
      <c r="D67"/>
      <c r="E67"/>
      <c r="F67"/>
      <c r="G67" s="1"/>
      <c r="H67"/>
      <c r="I67"/>
      <c r="J67"/>
      <c r="K67"/>
      <c r="L67"/>
      <c r="M67"/>
      <c r="N67"/>
      <c r="O67"/>
      <c r="P67"/>
      <c r="Q67"/>
      <c r="R67"/>
      <c r="S67"/>
      <c r="T67"/>
      <c r="U67" s="331"/>
      <c r="V67" s="77"/>
      <c r="W67" s="56"/>
      <c r="X67" s="78"/>
      <c r="Y67" s="103"/>
      <c r="Z67" s="44"/>
      <c r="AA67" s="45" t="s">
        <v>769</v>
      </c>
      <c r="AB67" s="44"/>
      <c r="AC67" s="79"/>
      <c r="AD67" s="16"/>
      <c r="AE67" t="str">
        <f t="shared" si="10"/>
        <v/>
      </c>
      <c r="AF67" t="str">
        <f t="shared" si="11"/>
        <v/>
      </c>
      <c r="AG67" t="str">
        <f t="shared" si="12"/>
        <v/>
      </c>
      <c r="AH67" t="str">
        <f t="shared" si="13"/>
        <v/>
      </c>
      <c r="AI67" t="str">
        <f>IF(Z67="","",IF(Z67&gt;AB67,Y66,""))</f>
        <v/>
      </c>
      <c r="AJ67" t="str">
        <f>IF(Z67="","",IF(Z67&lt;AB67,AC66,""))</f>
        <v/>
      </c>
      <c r="AK67" t="str">
        <f t="shared" si="14"/>
        <v/>
      </c>
      <c r="AL67"/>
      <c r="AM67"/>
      <c r="AN67"/>
      <c r="AP67"/>
      <c r="AQ67"/>
      <c r="AR67"/>
      <c r="AS67"/>
      <c r="AT67"/>
      <c r="AU67"/>
      <c r="AV67"/>
      <c r="AW67"/>
      <c r="AX67"/>
      <c r="AY67"/>
      <c r="AZ67"/>
      <c r="BA67"/>
      <c r="BB67"/>
      <c r="BC67"/>
      <c r="BD67"/>
      <c r="BE67"/>
      <c r="BF67"/>
      <c r="BG67"/>
      <c r="BH67"/>
      <c r="BI67"/>
      <c r="BJ67"/>
      <c r="BK67"/>
      <c r="BL67"/>
      <c r="BM67"/>
      <c r="BN67"/>
      <c r="BO67"/>
      <c r="BP67"/>
      <c r="BQ67"/>
      <c r="BR67" s="1395"/>
      <c r="BS67" s="1450"/>
      <c r="BT67" s="1450"/>
      <c r="BU67"/>
      <c r="BV67"/>
      <c r="BW67"/>
      <c r="CJ67" s="270" t="str">
        <v/>
      </c>
    </row>
    <row r="68" spans="1:88" ht="12.75" hidden="1" customHeight="1" outlineLevel="3" x14ac:dyDescent="0.2">
      <c r="A68"/>
      <c r="B68" s="1"/>
      <c r="C68"/>
      <c r="D68"/>
      <c r="E68"/>
      <c r="F68"/>
      <c r="G68" s="1"/>
      <c r="H68"/>
      <c r="I68"/>
      <c r="J68"/>
      <c r="K68"/>
      <c r="L68"/>
      <c r="M68"/>
      <c r="N68"/>
      <c r="O68"/>
      <c r="P68"/>
      <c r="Q68"/>
      <c r="R68"/>
      <c r="S68"/>
      <c r="T68"/>
      <c r="U68" s="331"/>
      <c r="V68" s="77"/>
      <c r="W68" s="56"/>
      <c r="X68" s="78"/>
      <c r="Y68" s="103"/>
      <c r="Z68" s="44"/>
      <c r="AA68" s="45" t="s">
        <v>769</v>
      </c>
      <c r="AB68" s="44"/>
      <c r="AC68" s="79"/>
      <c r="AD68" s="16"/>
      <c r="AE68" t="str">
        <f t="shared" si="10"/>
        <v/>
      </c>
      <c r="AF68" t="str">
        <f t="shared" si="11"/>
        <v/>
      </c>
      <c r="AG68" t="str">
        <f t="shared" si="12"/>
        <v/>
      </c>
      <c r="AH68" t="str">
        <f t="shared" si="13"/>
        <v/>
      </c>
      <c r="AI68" t="str">
        <f>IF(Z68="","",IF(Z68&gt;AB68,Y66,""))</f>
        <v/>
      </c>
      <c r="AJ68" t="str">
        <f>IF(Z68="","",IF(Z68&lt;AB68,AC66,""))</f>
        <v/>
      </c>
      <c r="AK68" t="str">
        <f t="shared" si="14"/>
        <v/>
      </c>
      <c r="AL68"/>
      <c r="AM68"/>
      <c r="AN68"/>
      <c r="AP68"/>
      <c r="AQ68"/>
      <c r="AR68"/>
      <c r="AS68"/>
      <c r="AT68"/>
      <c r="AU68"/>
      <c r="AV68"/>
      <c r="AW68"/>
      <c r="AX68"/>
      <c r="AY68"/>
      <c r="AZ68"/>
      <c r="BA68"/>
      <c r="BB68"/>
      <c r="BC68"/>
      <c r="BD68"/>
      <c r="BE68"/>
      <c r="BF68"/>
      <c r="BG68"/>
      <c r="BH68"/>
      <c r="BI68"/>
      <c r="BJ68"/>
      <c r="BK68"/>
      <c r="BL68"/>
      <c r="BM68"/>
      <c r="BN68"/>
      <c r="BO68"/>
      <c r="BP68"/>
      <c r="BQ68"/>
      <c r="BR68" s="1395"/>
      <c r="BS68" s="1450"/>
      <c r="BT68" s="1450"/>
      <c r="BU68"/>
      <c r="BV68"/>
      <c r="BW68"/>
    </row>
    <row r="69" spans="1:88" hidden="1" outlineLevel="2" x14ac:dyDescent="0.2">
      <c r="A69"/>
      <c r="B69" s="1"/>
      <c r="C69"/>
      <c r="D69"/>
      <c r="E69"/>
      <c r="F69"/>
      <c r="G69" s="1"/>
      <c r="H69"/>
      <c r="I69"/>
      <c r="J69"/>
      <c r="K69"/>
      <c r="L69"/>
      <c r="M69"/>
      <c r="N69"/>
      <c r="O69"/>
      <c r="P69"/>
      <c r="Q69"/>
      <c r="R69"/>
      <c r="S69"/>
      <c r="T69"/>
      <c r="U69" s="331" t="s">
        <v>1728</v>
      </c>
      <c r="V69" s="83"/>
      <c r="W69" s="84"/>
      <c r="X69" s="85"/>
      <c r="Y69" s="43" t="str">
        <f>IF(COUNTA(G52:G55) =4,GMFTGROUPORDERDBLE(G52:G55,Y57:Y74,AC57:AC74),"")</f>
        <v>Db1</v>
      </c>
      <c r="Z69" s="86" t="str">
        <f>IF(OR(ISNUMBER(Z70),ISNUMBER(Z71)),2-COUNTBLANK(AI70:AI71),"")</f>
        <v/>
      </c>
      <c r="AA69" s="45" t="s">
        <v>769</v>
      </c>
      <c r="AB69" s="86" t="str">
        <f>IF(OR(ISNUMBER(Z70),ISNUMBER(Z71)),2-COUNTBLANK(AJ70:AJ71),"")</f>
        <v/>
      </c>
      <c r="AC69" s="46" t="str">
        <f>IF(COUNTA(G52:G55) =4,GMFTGROUPORDERDBLE(G52:G55,Y57:Y74,AC57:AC74),"")</f>
        <v>Db2</v>
      </c>
      <c r="AD69" s="16"/>
      <c r="AE69" t="str">
        <f t="shared" si="10"/>
        <v/>
      </c>
      <c r="AF69" t="str">
        <f t="shared" si="11"/>
        <v/>
      </c>
      <c r="AG69" t="str">
        <f t="shared" si="12"/>
        <v/>
      </c>
      <c r="AH69" t="str">
        <f t="shared" si="13"/>
        <v/>
      </c>
      <c r="AI69" s="270" t="str">
        <f>IF(Z69="","",SUM(Z70:Z71))</f>
        <v/>
      </c>
      <c r="AJ69" s="270" t="str">
        <f>IF(Z69="","",SUM(AB70:AB71))</f>
        <v/>
      </c>
      <c r="AK69" t="str">
        <f t="shared" si="14"/>
        <v/>
      </c>
      <c r="AL69"/>
      <c r="AM69"/>
      <c r="AN69"/>
      <c r="AP69"/>
      <c r="AQ69"/>
      <c r="AR69"/>
      <c r="AS69"/>
      <c r="AT69"/>
      <c r="AU69"/>
      <c r="AV69"/>
      <c r="AW69"/>
      <c r="AX69"/>
      <c r="AY69"/>
      <c r="AZ69"/>
      <c r="BA69"/>
      <c r="BB69"/>
      <c r="BC69"/>
      <c r="BD69"/>
      <c r="BE69"/>
      <c r="BF69"/>
      <c r="BG69"/>
      <c r="BH69"/>
      <c r="BI69"/>
      <c r="BJ69"/>
      <c r="BK69"/>
      <c r="BL69"/>
      <c r="BM69"/>
      <c r="BN69"/>
      <c r="BO69"/>
      <c r="BP69"/>
      <c r="BQ69"/>
      <c r="BR69" s="1395"/>
      <c r="BS69" s="1450"/>
      <c r="BT69" s="1450"/>
      <c r="BU69"/>
      <c r="BV69"/>
      <c r="BW69"/>
    </row>
    <row r="70" spans="1:88" ht="12.75" hidden="1" customHeight="1" outlineLevel="3" x14ac:dyDescent="0.2">
      <c r="A70"/>
      <c r="B70" s="1"/>
      <c r="C70"/>
      <c r="D70"/>
      <c r="E70"/>
      <c r="F70"/>
      <c r="G70" s="1"/>
      <c r="H70"/>
      <c r="I70"/>
      <c r="J70"/>
      <c r="K70"/>
      <c r="L70"/>
      <c r="M70"/>
      <c r="N70"/>
      <c r="O70"/>
      <c r="P70"/>
      <c r="Q70"/>
      <c r="R70"/>
      <c r="S70"/>
      <c r="T70"/>
      <c r="U70" s="331"/>
      <c r="V70" s="77"/>
      <c r="W70" s="56"/>
      <c r="X70" s="78"/>
      <c r="Y70" s="103"/>
      <c r="Z70" s="44"/>
      <c r="AA70" s="45" t="s">
        <v>769</v>
      </c>
      <c r="AB70" s="44"/>
      <c r="AC70" s="79"/>
      <c r="AD70" s="16"/>
      <c r="AE70" t="str">
        <f t="shared" si="10"/>
        <v/>
      </c>
      <c r="AF70" t="str">
        <f t="shared" si="11"/>
        <v/>
      </c>
      <c r="AG70" t="str">
        <f t="shared" si="12"/>
        <v/>
      </c>
      <c r="AH70" t="str">
        <f t="shared" si="13"/>
        <v/>
      </c>
      <c r="AI70" t="str">
        <f>IF(Z70="","",IF(Z70&gt;AB70,Y69,""))</f>
        <v/>
      </c>
      <c r="AJ70" t="str">
        <f>IF(Z70="","",IF(Z70&lt;AB70,AC69,""))</f>
        <v/>
      </c>
      <c r="AK70" t="str">
        <f t="shared" si="14"/>
        <v/>
      </c>
      <c r="AL70"/>
      <c r="AM70"/>
      <c r="AN70"/>
      <c r="AP70"/>
      <c r="AQ70"/>
      <c r="AR70"/>
      <c r="AS70"/>
      <c r="AT70"/>
      <c r="AU70"/>
      <c r="AV70"/>
      <c r="AW70"/>
      <c r="AX70"/>
      <c r="AY70"/>
      <c r="AZ70"/>
      <c r="BA70"/>
      <c r="BB70"/>
      <c r="BC70"/>
      <c r="BD70"/>
      <c r="BE70"/>
      <c r="BF70"/>
      <c r="BG70"/>
      <c r="BH70"/>
      <c r="BI70"/>
      <c r="BJ70"/>
      <c r="BK70"/>
      <c r="BL70"/>
      <c r="BM70"/>
      <c r="BN70"/>
      <c r="BO70"/>
      <c r="BP70"/>
      <c r="BQ70"/>
      <c r="BR70" s="1395"/>
      <c r="BS70" s="1450"/>
      <c r="BT70" s="1450"/>
      <c r="BU70"/>
      <c r="BV70"/>
      <c r="BW70"/>
    </row>
    <row r="71" spans="1:88" ht="12.75" hidden="1" customHeight="1" outlineLevel="3" x14ac:dyDescent="0.2">
      <c r="A71"/>
      <c r="B71" s="1"/>
      <c r="C71"/>
      <c r="D71"/>
      <c r="E71"/>
      <c r="F71"/>
      <c r="G71" s="1"/>
      <c r="H71"/>
      <c r="I71"/>
      <c r="J71"/>
      <c r="K71"/>
      <c r="L71"/>
      <c r="M71"/>
      <c r="N71"/>
      <c r="O71"/>
      <c r="P71"/>
      <c r="Q71"/>
      <c r="R71"/>
      <c r="S71"/>
      <c r="T71"/>
      <c r="U71" s="331"/>
      <c r="V71" s="77"/>
      <c r="W71" s="56"/>
      <c r="X71" s="78"/>
      <c r="Y71" s="103"/>
      <c r="Z71" s="44"/>
      <c r="AA71" s="45" t="s">
        <v>769</v>
      </c>
      <c r="AB71" s="44"/>
      <c r="AC71" s="79"/>
      <c r="AD71" s="16"/>
      <c r="AE71" t="str">
        <f t="shared" si="10"/>
        <v/>
      </c>
      <c r="AF71" t="str">
        <f t="shared" si="11"/>
        <v/>
      </c>
      <c r="AG71" t="str">
        <f t="shared" si="12"/>
        <v/>
      </c>
      <c r="AH71" t="str">
        <f t="shared" si="13"/>
        <v/>
      </c>
      <c r="AI71" t="str">
        <f>IF(Z71="","",IF(Z71&gt;AB71,Y69,""))</f>
        <v/>
      </c>
      <c r="AJ71" t="str">
        <f>IF(Z71="","",IF(Z71&lt;AB71,AC69,""))</f>
        <v/>
      </c>
      <c r="AK71" t="str">
        <f t="shared" si="14"/>
        <v/>
      </c>
      <c r="AL71"/>
      <c r="AM71"/>
      <c r="AN71"/>
      <c r="AP71"/>
      <c r="AQ71"/>
      <c r="AR71"/>
      <c r="AS71"/>
      <c r="AT71"/>
      <c r="AU71"/>
      <c r="AV71"/>
      <c r="AW71"/>
      <c r="AX71"/>
      <c r="AY71"/>
      <c r="AZ71"/>
      <c r="BA71"/>
      <c r="BB71"/>
      <c r="BC71"/>
      <c r="BD71"/>
      <c r="BE71"/>
      <c r="BF71"/>
      <c r="BG71"/>
      <c r="BH71"/>
      <c r="BI71"/>
      <c r="BJ71"/>
      <c r="BK71"/>
      <c r="BL71"/>
      <c r="BM71"/>
      <c r="BN71"/>
      <c r="BO71"/>
      <c r="BP71"/>
      <c r="BQ71"/>
      <c r="BR71" s="1395"/>
      <c r="BS71" s="1450"/>
      <c r="BT71" s="1450"/>
      <c r="BU71"/>
      <c r="BV71"/>
      <c r="BW71"/>
    </row>
    <row r="72" spans="1:88" hidden="1" outlineLevel="2" x14ac:dyDescent="0.2">
      <c r="A72"/>
      <c r="B72" s="1"/>
      <c r="C72"/>
      <c r="D72"/>
      <c r="E72"/>
      <c r="F72"/>
      <c r="G72" s="1"/>
      <c r="H72"/>
      <c r="I72"/>
      <c r="J72"/>
      <c r="K72"/>
      <c r="L72"/>
      <c r="M72"/>
      <c r="N72"/>
      <c r="O72"/>
      <c r="P72"/>
      <c r="Q72"/>
      <c r="R72"/>
      <c r="S72"/>
      <c r="T72"/>
      <c r="U72" s="331" t="s">
        <v>1728</v>
      </c>
      <c r="V72" s="83"/>
      <c r="W72" s="84"/>
      <c r="X72" s="85"/>
      <c r="Y72" s="43" t="str">
        <f>IF(COUNTA(G52:G55) =4,GMFTGROUPORDERDBLE(G52:G55,Y57:Y74,AC57:AC74),"")</f>
        <v>Db3</v>
      </c>
      <c r="Z72" s="86" t="str">
        <f>IF(OR(ISNUMBER(Z73),ISNUMBER(Z74)),2-COUNTBLANK(AI73:AI74),"")</f>
        <v/>
      </c>
      <c r="AA72" s="45" t="s">
        <v>769</v>
      </c>
      <c r="AB72" s="86" t="str">
        <f>IF(OR(ISNUMBER(Z73),ISNUMBER(Z74)),2-COUNTBLANK(AJ73:AJ74),"")</f>
        <v/>
      </c>
      <c r="AC72" s="46" t="str">
        <f>IF(COUNTA(G52:G55) =4,GMFTGROUPORDERDBLE(G52:G55,Y57:Y74,AC57:AC74),"")</f>
        <v>Db4</v>
      </c>
      <c r="AD72" s="16"/>
      <c r="AE72" t="str">
        <f t="shared" si="10"/>
        <v/>
      </c>
      <c r="AF72" t="str">
        <f t="shared" si="11"/>
        <v/>
      </c>
      <c r="AG72" t="str">
        <f t="shared" si="12"/>
        <v/>
      </c>
      <c r="AH72" t="str">
        <f t="shared" si="13"/>
        <v/>
      </c>
      <c r="AI72" s="270" t="str">
        <f>IF(Z72="","",SUM(Z73:Z74))</f>
        <v/>
      </c>
      <c r="AJ72" s="270" t="str">
        <f>IF(Z72="","",SUM(AB73:AB74))</f>
        <v/>
      </c>
      <c r="AK72" t="str">
        <f t="shared" si="14"/>
        <v/>
      </c>
      <c r="AL72"/>
      <c r="AM72"/>
      <c r="AN72"/>
      <c r="AP72"/>
      <c r="AQ72"/>
      <c r="AR72"/>
      <c r="AS72"/>
      <c r="AT72"/>
      <c r="AU72"/>
      <c r="AV72"/>
      <c r="AW72"/>
      <c r="AX72"/>
      <c r="AY72"/>
      <c r="AZ72"/>
      <c r="BA72"/>
      <c r="BB72"/>
      <c r="BC72"/>
      <c r="BD72"/>
      <c r="BE72"/>
      <c r="BF72"/>
      <c r="BG72"/>
      <c r="BH72"/>
      <c r="BI72"/>
      <c r="BJ72"/>
      <c r="BK72"/>
      <c r="BL72"/>
      <c r="BM72"/>
      <c r="BN72"/>
      <c r="BO72"/>
      <c r="BP72"/>
      <c r="BQ72"/>
      <c r="BR72" s="1395"/>
      <c r="BS72" s="1450"/>
      <c r="BT72" s="1450"/>
      <c r="BU72"/>
      <c r="BV72"/>
      <c r="BW72"/>
    </row>
    <row r="73" spans="1:88" ht="12.75" hidden="1" customHeight="1" outlineLevel="3" x14ac:dyDescent="0.2">
      <c r="A73"/>
      <c r="B73" s="1"/>
      <c r="C73"/>
      <c r="D73"/>
      <c r="E73"/>
      <c r="F73"/>
      <c r="G73" s="1"/>
      <c r="H73"/>
      <c r="I73"/>
      <c r="J73"/>
      <c r="K73"/>
      <c r="L73"/>
      <c r="M73"/>
      <c r="N73"/>
      <c r="O73"/>
      <c r="P73"/>
      <c r="Q73"/>
      <c r="R73"/>
      <c r="S73"/>
      <c r="T73"/>
      <c r="V73" s="77"/>
      <c r="W73" s="56"/>
      <c r="X73" s="78"/>
      <c r="Y73" s="103"/>
      <c r="Z73" s="44"/>
      <c r="AA73" s="45" t="s">
        <v>769</v>
      </c>
      <c r="AB73" s="44"/>
      <c r="AC73" s="79"/>
      <c r="AD73" s="16"/>
      <c r="AE73" t="str">
        <f t="shared" si="10"/>
        <v/>
      </c>
      <c r="AF73" t="str">
        <f t="shared" si="11"/>
        <v/>
      </c>
      <c r="AG73" t="str">
        <f t="shared" si="12"/>
        <v/>
      </c>
      <c r="AH73" t="str">
        <f t="shared" si="13"/>
        <v/>
      </c>
      <c r="AI73" t="str">
        <f>IF(Z73="","",IF(Z73&gt;AB73,Y72,""))</f>
        <v/>
      </c>
      <c r="AJ73" t="str">
        <f>IF(Z73="","",IF(Z73&lt;AB73,AC72,""))</f>
        <v/>
      </c>
      <c r="AK73" t="str">
        <f t="shared" si="14"/>
        <v/>
      </c>
      <c r="AL73"/>
      <c r="AM73"/>
      <c r="AN73"/>
      <c r="AP73"/>
      <c r="AQ73"/>
      <c r="AR73"/>
      <c r="AS73"/>
      <c r="AT73"/>
      <c r="AU73"/>
      <c r="AV73"/>
      <c r="AW73"/>
      <c r="AX73"/>
      <c r="AY73"/>
      <c r="AZ73"/>
      <c r="BA73"/>
      <c r="BB73"/>
      <c r="BC73"/>
      <c r="BD73"/>
      <c r="BE73"/>
      <c r="BF73"/>
      <c r="BG73"/>
      <c r="BH73"/>
      <c r="BI73"/>
      <c r="BJ73"/>
      <c r="BK73"/>
      <c r="BL73"/>
      <c r="BM73"/>
      <c r="BN73"/>
      <c r="BO73"/>
      <c r="BP73"/>
      <c r="BQ73"/>
      <c r="BR73" s="1395"/>
      <c r="BS73" s="1450"/>
      <c r="BT73" s="1450"/>
      <c r="BU73"/>
      <c r="BV73"/>
      <c r="BW73"/>
    </row>
    <row r="74" spans="1:88" ht="13.5" hidden="1" customHeight="1" outlineLevel="3" thickBot="1" x14ac:dyDescent="0.25">
      <c r="A74"/>
      <c r="B74" s="1"/>
      <c r="C74"/>
      <c r="D74"/>
      <c r="E74"/>
      <c r="F74"/>
      <c r="G74" s="1"/>
      <c r="H74"/>
      <c r="I74"/>
      <c r="J74"/>
      <c r="K74"/>
      <c r="L74"/>
      <c r="M74"/>
      <c r="N74"/>
      <c r="O74"/>
      <c r="P74"/>
      <c r="Q74"/>
      <c r="R74"/>
      <c r="S74"/>
      <c r="T74"/>
      <c r="V74" s="90"/>
      <c r="W74" s="58"/>
      <c r="X74" s="91"/>
      <c r="Y74" s="174"/>
      <c r="Z74" s="51"/>
      <c r="AA74" s="52" t="s">
        <v>769</v>
      </c>
      <c r="AB74" s="51"/>
      <c r="AC74" s="96"/>
      <c r="AD74" s="16"/>
      <c r="AE74" t="str">
        <f t="shared" si="10"/>
        <v/>
      </c>
      <c r="AF74" t="str">
        <f t="shared" si="11"/>
        <v/>
      </c>
      <c r="AG74" t="str">
        <f t="shared" si="12"/>
        <v/>
      </c>
      <c r="AH74" t="str">
        <f t="shared" si="13"/>
        <v/>
      </c>
      <c r="AI74" t="str">
        <f>IF(Z74="","",IF(Z74&gt;AB74,Y72,""))</f>
        <v/>
      </c>
      <c r="AJ74" t="str">
        <f>IF(Z74="","",IF(Z74&lt;AB74,AC72,""))</f>
        <v/>
      </c>
      <c r="AK74" t="str">
        <f t="shared" si="14"/>
        <v/>
      </c>
      <c r="AL74"/>
      <c r="AM74"/>
      <c r="AN74"/>
      <c r="AP74"/>
      <c r="AQ74"/>
      <c r="AR74"/>
      <c r="AS74"/>
      <c r="AT74"/>
      <c r="AU74"/>
      <c r="AV74"/>
      <c r="AW74"/>
      <c r="AX74"/>
      <c r="AY74"/>
      <c r="AZ74"/>
      <c r="BA74"/>
      <c r="BB74"/>
      <c r="BC74"/>
      <c r="BD74"/>
      <c r="BE74"/>
      <c r="BF74"/>
      <c r="BG74"/>
      <c r="BH74"/>
      <c r="BI74"/>
      <c r="BJ74"/>
      <c r="BK74"/>
      <c r="BL74"/>
      <c r="BM74"/>
      <c r="BN74"/>
      <c r="BO74"/>
      <c r="BP74"/>
      <c r="BQ74"/>
      <c r="BR74" s="1395"/>
      <c r="BS74" s="1450"/>
      <c r="BT74" s="1450"/>
      <c r="BU74"/>
      <c r="BV74"/>
      <c r="BW74"/>
    </row>
    <row r="75" spans="1:88" ht="13.5" customHeight="1" outlineLevel="1" x14ac:dyDescent="0.2">
      <c r="A75"/>
      <c r="B75" s="1"/>
      <c r="C75"/>
      <c r="D75"/>
      <c r="E75"/>
      <c r="F75"/>
      <c r="G75" s="1"/>
      <c r="H75"/>
      <c r="I75"/>
      <c r="J75"/>
      <c r="K75"/>
      <c r="L75"/>
      <c r="M75"/>
      <c r="N75"/>
      <c r="O75"/>
      <c r="P75"/>
      <c r="Q75"/>
      <c r="R75"/>
      <c r="S75"/>
      <c r="T75"/>
      <c r="U75" s="11"/>
      <c r="V75" s="97"/>
      <c r="W75" s="98"/>
      <c r="X75" s="14"/>
      <c r="Y75" s="6"/>
      <c r="Z75" s="15"/>
      <c r="AA75" s="1"/>
      <c r="AB75" s="15"/>
      <c r="AC75" s="16"/>
      <c r="AD75" s="16"/>
      <c r="AE75"/>
      <c r="AF75"/>
      <c r="AG75"/>
      <c r="AH75"/>
      <c r="AI75"/>
      <c r="AJ75"/>
      <c r="AK75"/>
      <c r="AL75"/>
      <c r="AM75"/>
      <c r="AN75"/>
      <c r="AP75"/>
      <c r="AQ75"/>
      <c r="AR75"/>
      <c r="AS75"/>
      <c r="AT75"/>
      <c r="AU75"/>
      <c r="AV75"/>
      <c r="AW75"/>
      <c r="AX75"/>
      <c r="AY75"/>
      <c r="AZ75"/>
      <c r="BA75"/>
      <c r="BB75"/>
      <c r="BC75"/>
      <c r="BD75"/>
      <c r="BE75"/>
      <c r="BF75"/>
      <c r="BG75"/>
      <c r="BH75"/>
      <c r="BI75"/>
      <c r="BJ75"/>
      <c r="BK75"/>
      <c r="BL75"/>
      <c r="BM75"/>
      <c r="BN75"/>
      <c r="BO75"/>
      <c r="BP75"/>
      <c r="BQ75"/>
      <c r="BR75" s="1395"/>
      <c r="BS75" s="1450"/>
      <c r="BT75" s="1450"/>
      <c r="BU75"/>
      <c r="BV75"/>
      <c r="BW75"/>
    </row>
    <row r="76" spans="1:88" ht="13.5" thickBot="1" x14ac:dyDescent="0.25">
      <c r="A76"/>
      <c r="B76" s="1"/>
      <c r="C76"/>
      <c r="D76"/>
      <c r="E76"/>
      <c r="F76"/>
      <c r="G76" s="1"/>
      <c r="H76"/>
      <c r="I76"/>
      <c r="J76"/>
      <c r="K76"/>
      <c r="L76"/>
      <c r="M76"/>
      <c r="N76"/>
      <c r="O76"/>
      <c r="P76"/>
      <c r="Q76"/>
      <c r="R76"/>
      <c r="S76"/>
      <c r="T76"/>
      <c r="V76" s="1"/>
      <c r="W76" s="1"/>
      <c r="X76"/>
      <c r="Y76" s="6"/>
      <c r="Z76"/>
      <c r="AA76" s="1"/>
      <c r="AB76"/>
      <c r="AC76" s="16"/>
      <c r="AD76" s="16"/>
      <c r="AE76"/>
      <c r="AF76"/>
      <c r="AG76"/>
      <c r="AH76"/>
      <c r="AI76"/>
      <c r="AJ76"/>
      <c r="AK76"/>
      <c r="AL76"/>
      <c r="AM76"/>
      <c r="AN76"/>
      <c r="AP76"/>
      <c r="AQ76"/>
      <c r="AR76"/>
      <c r="AS76"/>
      <c r="AT76"/>
      <c r="AU76"/>
      <c r="AV76"/>
      <c r="AW76"/>
      <c r="AX76"/>
      <c r="AY76"/>
      <c r="AZ76"/>
      <c r="BA76"/>
      <c r="BB76"/>
      <c r="BC76"/>
      <c r="BD76"/>
      <c r="BE76"/>
      <c r="BF76"/>
      <c r="BG76"/>
      <c r="BH76"/>
      <c r="BI76"/>
      <c r="BJ76"/>
      <c r="BK76"/>
      <c r="BL76"/>
      <c r="BM76"/>
      <c r="BN76"/>
      <c r="BO76"/>
      <c r="BP76"/>
      <c r="BQ76"/>
      <c r="BR76" s="1395"/>
      <c r="BS76" s="1450"/>
      <c r="BT76" s="1450"/>
      <c r="BU76"/>
      <c r="BV76"/>
      <c r="BW76"/>
    </row>
    <row r="77" spans="1:88" ht="13.5" thickBot="1" x14ac:dyDescent="0.25">
      <c r="A77"/>
      <c r="B77" s="282" t="str">
        <f>N_Group_5</f>
        <v>Poule de 5</v>
      </c>
      <c r="C77" s="283"/>
      <c r="D77" s="283"/>
      <c r="E77" s="283"/>
      <c r="F77" s="283"/>
      <c r="G77" s="283"/>
      <c r="H77" s="283"/>
      <c r="I77" s="283"/>
      <c r="J77" s="283"/>
      <c r="K77" s="283"/>
      <c r="L77" s="283"/>
      <c r="M77" s="283"/>
      <c r="N77" s="283"/>
      <c r="O77" s="283"/>
      <c r="P77" s="283"/>
      <c r="Q77" s="283"/>
      <c r="R77" s="283"/>
      <c r="S77" s="283"/>
      <c r="T77" s="283"/>
      <c r="U77" s="283"/>
      <c r="V77" s="283"/>
      <c r="W77" s="283"/>
      <c r="X77" s="283"/>
      <c r="Y77" s="283"/>
      <c r="Z77" s="283"/>
      <c r="AA77" s="283"/>
      <c r="AB77" s="283"/>
      <c r="AC77" s="283"/>
      <c r="AD77" s="283"/>
      <c r="AE77" s="283"/>
      <c r="AF77" s="283"/>
      <c r="AG77" s="283"/>
      <c r="AH77" s="283"/>
      <c r="AI77" s="283"/>
      <c r="AJ77" s="283"/>
      <c r="AK77" s="283"/>
      <c r="AL77" s="283"/>
      <c r="AM77" s="284"/>
      <c r="AN77" s="320" t="str">
        <f>B77</f>
        <v>Poule de 5</v>
      </c>
      <c r="AO77" s="1488"/>
      <c r="AP77" s="1488"/>
      <c r="AQ77" s="1488"/>
      <c r="AR77" s="1488"/>
      <c r="AS77" s="1488"/>
      <c r="AT77" s="1488"/>
      <c r="AU77" s="1488"/>
      <c r="AV77" s="1488"/>
      <c r="AW77" s="1488"/>
      <c r="AX77" s="1488"/>
      <c r="AY77" s="1488"/>
      <c r="AZ77" s="1488"/>
      <c r="BA77" s="1488"/>
      <c r="BB77" s="1488"/>
      <c r="BC77" s="1488"/>
      <c r="BD77" s="1488"/>
      <c r="BE77" s="1488"/>
      <c r="BF77" s="1488"/>
      <c r="BG77" s="1488"/>
      <c r="BH77" s="1488"/>
      <c r="BI77" s="1488"/>
      <c r="BJ77" s="1488"/>
      <c r="BK77" s="1488"/>
      <c r="BL77" s="1488"/>
      <c r="BM77" s="1488"/>
      <c r="BN77" s="1488"/>
      <c r="BO77" s="1488"/>
      <c r="BP77" s="1488"/>
      <c r="BQ77" s="1488"/>
      <c r="BR77" s="1395"/>
      <c r="BS77" s="1450"/>
      <c r="BT77" s="1450"/>
      <c r="BU77" s="1489"/>
      <c r="BV77"/>
      <c r="BW77"/>
    </row>
    <row r="78" spans="1:88" ht="13.5" outlineLevel="1" thickBot="1" x14ac:dyDescent="0.25">
      <c r="A78"/>
      <c r="B78" s="1"/>
      <c r="C78"/>
      <c r="D78"/>
      <c r="E78"/>
      <c r="F78"/>
      <c r="G78" s="1"/>
      <c r="H78"/>
      <c r="I78"/>
      <c r="J78"/>
      <c r="K78"/>
      <c r="L78"/>
      <c r="M78"/>
      <c r="N78"/>
      <c r="O78"/>
      <c r="P78"/>
      <c r="Q78"/>
      <c r="R78"/>
      <c r="S78"/>
      <c r="T78"/>
      <c r="V78" s="1"/>
      <c r="W78" s="1"/>
      <c r="X78"/>
      <c r="Y78" s="6"/>
      <c r="Z78"/>
      <c r="AA78" s="1"/>
      <c r="AB78"/>
      <c r="AC78" s="16"/>
      <c r="AD78" s="16"/>
      <c r="AE78"/>
      <c r="AF78"/>
      <c r="AG78"/>
      <c r="AH78"/>
      <c r="AI78"/>
      <c r="AJ78"/>
      <c r="AK78"/>
      <c r="AL78"/>
      <c r="AM78"/>
      <c r="AN78"/>
      <c r="AP78"/>
      <c r="AQ78"/>
      <c r="AR78"/>
      <c r="AS78"/>
      <c r="AT78"/>
      <c r="AU78"/>
      <c r="AV78"/>
      <c r="AW78"/>
      <c r="AX78"/>
      <c r="AY78"/>
      <c r="AZ78"/>
      <c r="BA78"/>
      <c r="BB78"/>
      <c r="BC78"/>
      <c r="BD78"/>
      <c r="BE78"/>
      <c r="BF78"/>
      <c r="BG78"/>
      <c r="BH78"/>
      <c r="BI78"/>
      <c r="BJ78"/>
      <c r="BK78"/>
      <c r="BL78"/>
      <c r="BM78"/>
      <c r="BN78"/>
      <c r="BO78"/>
      <c r="BP78"/>
      <c r="BQ78"/>
      <c r="BR78" s="1395"/>
      <c r="BS78" s="1450"/>
      <c r="BT78" s="1450"/>
      <c r="BU78"/>
      <c r="BV78"/>
      <c r="BW78"/>
    </row>
    <row r="79" spans="1:88" ht="13.5" outlineLevel="1" thickBot="1" x14ac:dyDescent="0.25">
      <c r="A79"/>
      <c r="B79" s="18" t="str">
        <f>N_Tirage</f>
        <v>Tirage</v>
      </c>
      <c r="C79" s="19" t="s">
        <v>787</v>
      </c>
      <c r="D79" s="20" t="s">
        <v>831</v>
      </c>
      <c r="E79" s="20" t="s">
        <v>832</v>
      </c>
      <c r="F79" s="67" t="s">
        <v>833</v>
      </c>
      <c r="G79" s="22" t="str">
        <f>N_Equipes</f>
        <v>Equipes</v>
      </c>
      <c r="H79" s="25" t="str">
        <f>N_Pts</f>
        <v>Pts</v>
      </c>
      <c r="I79" s="25" t="str">
        <f>N_J</f>
        <v>J</v>
      </c>
      <c r="J79" s="26" t="str">
        <f>N_G</f>
        <v>G</v>
      </c>
      <c r="K79" s="26" t="str">
        <f>N_N</f>
        <v>N</v>
      </c>
      <c r="L79" s="26" t="str">
        <f>N_P</f>
        <v>P</v>
      </c>
      <c r="M79" s="26" t="str">
        <f>N_Diff_R</f>
        <v>Diff R</v>
      </c>
      <c r="N79" s="26" t="str">
        <f>N_MP</f>
        <v>MP</v>
      </c>
      <c r="O79" s="26" t="str">
        <f>N_MC</f>
        <v>MC</v>
      </c>
      <c r="P79" s="5" t="str">
        <f>N_Diff_M</f>
        <v>Diff M</v>
      </c>
      <c r="Q79" s="26" t="str">
        <f>N_BP</f>
        <v>BP</v>
      </c>
      <c r="R79" s="26" t="str">
        <f>N_BC</f>
        <v>BC</v>
      </c>
      <c r="S79" s="68" t="str">
        <f>N_Diff_B</f>
        <v>Diff B</v>
      </c>
      <c r="T79"/>
      <c r="V79"/>
      <c r="W79"/>
      <c r="X79"/>
      <c r="Y79"/>
      <c r="Z79"/>
      <c r="AA79"/>
      <c r="AB79"/>
      <c r="AC79"/>
      <c r="AD79"/>
      <c r="AE79"/>
      <c r="AF79"/>
      <c r="AG79"/>
      <c r="AH79"/>
      <c r="AI79"/>
      <c r="AJ79"/>
      <c r="AK79"/>
      <c r="AL79"/>
      <c r="AM79"/>
      <c r="AN79"/>
      <c r="AO79" s="69" t="str">
        <f>N_Cla.</f>
        <v>Cla.</v>
      </c>
      <c r="AP79" s="3" t="str">
        <f>N_Equipes</f>
        <v>Equipes</v>
      </c>
      <c r="AQ79" s="23" t="str">
        <f>N_Pts</f>
        <v>Pts</v>
      </c>
      <c r="AR79" s="23" t="str">
        <f>N_J</f>
        <v>J</v>
      </c>
      <c r="AS79" s="20" t="str">
        <f>N_G</f>
        <v>G</v>
      </c>
      <c r="AT79" s="20" t="str">
        <f>N_N</f>
        <v>N</v>
      </c>
      <c r="AU79" s="20" t="str">
        <f>N_P</f>
        <v>P</v>
      </c>
      <c r="AV79" s="21" t="str">
        <f>N_Diff_R</f>
        <v>Diff R</v>
      </c>
      <c r="AW79" s="70" t="str">
        <f>N_MP</f>
        <v>MP</v>
      </c>
      <c r="AX79" s="20" t="str">
        <f>N_MC</f>
        <v>MC</v>
      </c>
      <c r="AY79" s="71" t="str">
        <f>N_Diff_M</f>
        <v>Diff M</v>
      </c>
      <c r="AZ79" s="70" t="str">
        <f>N_BP</f>
        <v>BP</v>
      </c>
      <c r="BA79" s="20" t="str">
        <f>N_BC</f>
        <v>BC</v>
      </c>
      <c r="BB79" s="21" t="str">
        <f>N_Diff_B</f>
        <v>Diff B</v>
      </c>
      <c r="BC79" s="286" t="str">
        <f>N_Matches</f>
        <v>Matches</v>
      </c>
      <c r="BD79" s="287"/>
      <c r="BE79" s="287"/>
      <c r="BF79" s="287"/>
      <c r="BG79" s="287"/>
      <c r="BH79" s="287"/>
      <c r="BI79" s="287"/>
      <c r="BJ79" s="287"/>
      <c r="BK79" s="287"/>
      <c r="BL79" s="288"/>
      <c r="BM79"/>
      <c r="BN79"/>
      <c r="BO79"/>
      <c r="BP79"/>
      <c r="BQ79"/>
      <c r="BR79" s="1395"/>
      <c r="BS79" s="1450"/>
      <c r="BT79" s="1450"/>
      <c r="BU79"/>
      <c r="BV79"/>
      <c r="BW79"/>
    </row>
    <row r="80" spans="1:88" outlineLevel="1" x14ac:dyDescent="0.2">
      <c r="A80"/>
      <c r="B80" s="31">
        <v>1</v>
      </c>
      <c r="C80" s="53" t="str">
        <f>IF(AL85="","",RANK(F80,F80:F84)*1000+ROW())</f>
        <v/>
      </c>
      <c r="D80" s="28" t="str">
        <f>IF(J80="","",H80*CritClassEq1_Points+M80*CritClassEq1_DiffRencontres+P80*CritClassEq1_DiffMatches+S80*CritClassEq1_DiffButs+N80*CritClassEq1_Matches+Q80*CritClassEq1_Attaque)</f>
        <v/>
      </c>
      <c r="E80" s="28" t="str">
        <f>IF(J80="","",Nb_Diff_Part(D80,D80:D84,G80,G80:G84,AK86:AK115)*CritClassInd_DiffPart)</f>
        <v/>
      </c>
      <c r="F80" s="29" t="str">
        <f>IF(J80="","",D80+E80+H80*CritClassEq2_Points+M80*CritClassEq2_DiffRencontres+P80*CritClassEq2_DiffMatches+S80*CritClassEq2_DiffButs+N80*CritClassEq2_Matches+Q80*CritClassEq2_Attaque)</f>
        <v/>
      </c>
      <c r="G80" s="454" t="s">
        <v>892</v>
      </c>
      <c r="H80" s="340" t="str">
        <f>IF(AL85="","",(J80*Points_Victoire)+K80*Points_Null)</f>
        <v/>
      </c>
      <c r="I80" s="33" t="str">
        <f>IF(J80="","",SUM(J80:L80))</f>
        <v/>
      </c>
      <c r="J80" s="33" t="str">
        <f>IF(AL85="","",COUNTIF(AE86:AE115,G80))</f>
        <v/>
      </c>
      <c r="K80" s="33" t="str">
        <f>IF(AL85="","",COUNTIF(AF86:AG115,G80))</f>
        <v/>
      </c>
      <c r="L80" s="33" t="str">
        <f>IF(AL85="","",COUNTIF(AH86:AH115,G80))</f>
        <v/>
      </c>
      <c r="M80" s="338" t="str">
        <f>IF(AL85="","",J80-L80)</f>
        <v/>
      </c>
      <c r="N80" s="100" t="str">
        <f>IF(AL85="","",SUMIF(Y86:Y115,G80,Z85:AL115)+SUMIF(AC86:AC115,G80,AB86:AB115))</f>
        <v/>
      </c>
      <c r="O80" s="33" t="str">
        <f>IF(AL85="","",SUMIF(Y86:Y115,G80,AB86:AB115)+SUMIF(AC86:AC115,G80,Z85:AL115))</f>
        <v/>
      </c>
      <c r="P80" s="101" t="str">
        <f>IF(AL85="","",N80-O80)</f>
        <v/>
      </c>
      <c r="Q80" s="33" t="str">
        <f>IF(AL85="","",SUMIF(Y86:Y115,G80,AI86:AI115)+SUMIF(AC86:AC115,G80,AJ86:AJ115))</f>
        <v/>
      </c>
      <c r="R80" s="33" t="str">
        <f>IF(AL85="","",SUMIF(Y86:Y115,G80,AJ86:AJ115)+SUMIF(AC86:AC115,G80,AI86:AI115))</f>
        <v/>
      </c>
      <c r="S80" s="102" t="str">
        <f>IF(AL85="","",Q80-R80)</f>
        <v/>
      </c>
      <c r="T80"/>
      <c r="V80"/>
      <c r="W80"/>
      <c r="X80"/>
      <c r="Y80"/>
      <c r="Z80"/>
      <c r="AA80"/>
      <c r="AB80"/>
      <c r="AC80"/>
      <c r="AD80"/>
      <c r="AE80"/>
      <c r="AF80"/>
      <c r="AG80"/>
      <c r="AH80"/>
      <c r="AI80"/>
      <c r="AJ80"/>
      <c r="AK80"/>
      <c r="AL80" t="str">
        <f>IF(AL85="","",SMALL(C80:C84,1))</f>
        <v/>
      </c>
      <c r="AM80"/>
      <c r="AN80"/>
      <c r="AO80" s="31" t="str">
        <f>IF(AL85="","",INT(AL80/1000))</f>
        <v/>
      </c>
      <c r="AP80" s="99" t="str">
        <f>IF(AL85="",IF(HidePlayerFormulas,"","("&amp;G80&amp;")"),VLOOKUP(AL80,C80:S84,5,FALSE))</f>
        <v/>
      </c>
      <c r="AQ80" s="32" t="str">
        <f>VLOOKUP(AL80,C80:S84,6,FALSE)</f>
        <v/>
      </c>
      <c r="AR80" s="33" t="str">
        <f>VLOOKUP(AL80,C80:S84,7,FALSE)</f>
        <v/>
      </c>
      <c r="AS80" s="33" t="str">
        <f>VLOOKUP(AL80,C80:S84,8,FALSE)</f>
        <v/>
      </c>
      <c r="AT80" s="33" t="str">
        <f>VLOOKUP(AL80,C80:S84,9,FALSE)</f>
        <v/>
      </c>
      <c r="AU80" s="33" t="str">
        <f>VLOOKUP(AL80,C80:S84,10,FALSE)</f>
        <v/>
      </c>
      <c r="AV80" s="102" t="str">
        <f>VLOOKUP(AL80,C80:S84,11,FALSE)</f>
        <v/>
      </c>
      <c r="AW80" s="32" t="str">
        <f>VLOOKUP(AL80,C80:S84,12,FALSE)</f>
        <v/>
      </c>
      <c r="AX80" s="33" t="str">
        <f>VLOOKUP(AL80,C80:S84,13,FALSE)</f>
        <v/>
      </c>
      <c r="AY80" s="102" t="str">
        <f>VLOOKUP(AL80,C80:S84,14,FALSE)</f>
        <v/>
      </c>
      <c r="AZ80" s="32" t="str">
        <f>VLOOKUP(AL80,C80:S84,15,FALSE)</f>
        <v/>
      </c>
      <c r="BA80" s="33" t="str">
        <f>VLOOKUP(AL80,C80:S84,16,FALSE)</f>
        <v/>
      </c>
      <c r="BB80" s="102" t="str">
        <f>VLOOKUP(AL80,C80:S84,17,FALSE)</f>
        <v/>
      </c>
      <c r="BC80" s="27" t="str">
        <f>IF(Z86="","",IF(AP80=Y86,Z86,IF(AP80=AC86,AB86,"")))</f>
        <v/>
      </c>
      <c r="BD80" s="344" t="str">
        <f>IF(Z89="","",IF(AP80=Y89,Z89,IF(AP80=AC89,AB89,"")))</f>
        <v/>
      </c>
      <c r="BE80" s="344" t="str">
        <f>IF(Z92="","",IF(AP80=Y92,Z92,IF(AP80=AC92,AB92,"")))</f>
        <v/>
      </c>
      <c r="BF80" s="344" t="str">
        <f>IF(Z95="","",IF(AP80=Y95,Z95,IF(AP80=AC95,AB95,"")))</f>
        <v/>
      </c>
      <c r="BG80" s="344" t="str">
        <f>IF(Z98="","",IF(AP80=Y98,Z98,IF(AP80=AC98,AB98,"")))</f>
        <v/>
      </c>
      <c r="BH80" s="344" t="str">
        <f>IF(Z101="","",IF(AP80=Y101,Z101,IF(AP80=AC101,AB101,"")))</f>
        <v/>
      </c>
      <c r="BI80" s="344" t="str">
        <f>IF(Z104="","",IF(AP80=Y104,Z104,IF(AP80=AC104,AB104,"")))</f>
        <v/>
      </c>
      <c r="BJ80" s="344" t="str">
        <f>IF(Z107="","",IF(AP80=Y107,Z107,IF(AP80=AC107,AB107,"")))</f>
        <v/>
      </c>
      <c r="BK80" s="344" t="str">
        <f>IF(Z110="","",IF(AP80=Y110,Z110,IF(AP80=AC110,AB110,"")))</f>
        <v/>
      </c>
      <c r="BL80" s="345" t="str">
        <f>IF(Z113="","",IF(AP80=Y113,Z113,IF(AP80=AC113,AB113,"")))</f>
        <v/>
      </c>
      <c r="BM80"/>
      <c r="BN80"/>
      <c r="BO80"/>
      <c r="BP80"/>
      <c r="BQ80"/>
      <c r="BR80" s="1395" t="b">
        <f>IF(G80="[---WithDraw---]",FALSE,IF(COUNTIF(PlayerNamesWithinGroups,G80)&gt;1,TRUE,FALSE))</f>
        <v>1</v>
      </c>
      <c r="BS80" s="1450" t="b">
        <f>AND(LEFT($AP80,1) = "(", RIGHT($AP80,1) =")")</f>
        <v>0</v>
      </c>
      <c r="BT80" s="1450" t="b">
        <f>IF(OR($AO80=$AO79,$AO80=$AO81),TRUE,FALSE)</f>
        <v>1</v>
      </c>
      <c r="BU80"/>
      <c r="BV80"/>
      <c r="BW80"/>
    </row>
    <row r="81" spans="1:75" outlineLevel="1" x14ac:dyDescent="0.2">
      <c r="A81"/>
      <c r="B81" s="40">
        <v>2</v>
      </c>
      <c r="C81" s="55" t="str">
        <f>IF(AL85="","",RANK(F81,F80:F84)*1000+ROW())</f>
        <v/>
      </c>
      <c r="D81" s="37" t="str">
        <f>IF(J81="","",H81*CritClassEq1_Points+M81*CritClassEq1_DiffRencontres+P81*CritClassEq1_DiffMatches+S81*CritClassEq1_DiffButs+N81*CritClassEq1_Matches+Q81*CritClassEq1_Attaque)</f>
        <v/>
      </c>
      <c r="E81" s="37" t="str">
        <f>IF(J81="","",Nb_Diff_Part(D81,D80:D84,G81,G80:G84,AK86:AK115)*CritClassInd_DiffPart)</f>
        <v/>
      </c>
      <c r="F81" s="38" t="str">
        <f>IF(J81="","",D81+E81+H81*CritClassEq2_Points+M81*CritClassEq2_DiffRencontres+P81*CritClassEq2_DiffMatches+S81*CritClassEq2_DiffButs+N81*CritClassEq2_Matches+Q81*CritClassEq2_Attaque)</f>
        <v/>
      </c>
      <c r="G81" s="39" t="s">
        <v>893</v>
      </c>
      <c r="H81" s="341" t="str">
        <f>IF(AL85="","",(J81*Points_Victoire)+K81*Points_Null)</f>
        <v/>
      </c>
      <c r="I81" s="42" t="str">
        <f>IF(J81="","",SUM(J81:L81))</f>
        <v/>
      </c>
      <c r="J81" s="42" t="str">
        <f>IF(AL85="","",COUNTIF(AE86:AE115,G81))</f>
        <v/>
      </c>
      <c r="K81" s="42" t="str">
        <f>IF(AL85="","",COUNTIF(AF86:AG115,G81))</f>
        <v/>
      </c>
      <c r="L81" s="42" t="str">
        <f>IF(AL85="","",COUNTIF(AH86:AH115,G81))</f>
        <v/>
      </c>
      <c r="M81" s="339" t="str">
        <f>IF(AL85="","",J81-L81)</f>
        <v/>
      </c>
      <c r="N81" s="42" t="str">
        <f>IF(AL85="","",SUMIF(Y86:Y115,G81,Z85:AL115)+SUMIF(AC86:AC115,G81,AB86:AB115))</f>
        <v/>
      </c>
      <c r="O81" s="42" t="str">
        <f>IF(AL85="","",SUMIF(Y86:Y115,G81,AB86:AB115)+SUMIF(AC86:AC115,G81,Z85:AL115))</f>
        <v/>
      </c>
      <c r="P81" s="339" t="str">
        <f>IF(AL85="","",N81-O81)</f>
        <v/>
      </c>
      <c r="Q81" s="42" t="str">
        <f>IF(AL85="","",SUMIF(Y86:Y115,G81,AI86:AI115)+SUMIF(AC86:AC115,G81,AJ86:AJ115))</f>
        <v/>
      </c>
      <c r="R81" s="42" t="str">
        <f>IF(AL85="","",SUMIF(Y86:Y115,G81,AJ86:AJ115)+SUMIF(AC86:AC115,G81,AI86:AI115))</f>
        <v/>
      </c>
      <c r="S81" s="82" t="str">
        <f>IF(AL85="","",Q81-R81)</f>
        <v/>
      </c>
      <c r="T81"/>
      <c r="V81"/>
      <c r="W81"/>
      <c r="X81"/>
      <c r="Y81"/>
      <c r="Z81"/>
      <c r="AA81"/>
      <c r="AB81"/>
      <c r="AC81"/>
      <c r="AD81"/>
      <c r="AE81"/>
      <c r="AF81"/>
      <c r="AG81"/>
      <c r="AH81"/>
      <c r="AI81"/>
      <c r="AJ81"/>
      <c r="AK81"/>
      <c r="AL81" t="str">
        <f>IF(AL85="","",SMALL(C80:C84,2))</f>
        <v/>
      </c>
      <c r="AM81"/>
      <c r="AN81"/>
      <c r="AO81" s="40" t="str">
        <f>IF(AL85="","",INT(AL81/1000))</f>
        <v/>
      </c>
      <c r="AP81" s="81" t="str">
        <f>IF(AL85="",IF(HidePlayerFormulas,"","("&amp;G81&amp;")"),VLOOKUP(AL81,C80:S84,5,FALSE))</f>
        <v/>
      </c>
      <c r="AQ81" s="41" t="str">
        <f>VLOOKUP(AL81,C80:S84,6,FALSE)</f>
        <v/>
      </c>
      <c r="AR81" s="42" t="str">
        <f>VLOOKUP(AL81,C80:S84,7,FALSE)</f>
        <v/>
      </c>
      <c r="AS81" s="42" t="str">
        <f>VLOOKUP(AL81,C80:S84,8,FALSE)</f>
        <v/>
      </c>
      <c r="AT81" s="42" t="str">
        <f>VLOOKUP(AL81,C80:S84,9,FALSE)</f>
        <v/>
      </c>
      <c r="AU81" s="42" t="str">
        <f>VLOOKUP(AL81,C80:S84,10,FALSE)</f>
        <v/>
      </c>
      <c r="AV81" s="82" t="str">
        <f>VLOOKUP(AL81,C80:S84,11,FALSE)</f>
        <v/>
      </c>
      <c r="AW81" s="41" t="str">
        <f>VLOOKUP(AL81,C80:S84,12,FALSE)</f>
        <v/>
      </c>
      <c r="AX81" s="42" t="str">
        <f>VLOOKUP(AL81,C80:S84,13,FALSE)</f>
        <v/>
      </c>
      <c r="AY81" s="82" t="str">
        <f>VLOOKUP(AL81,C80:S84,14,FALSE)</f>
        <v/>
      </c>
      <c r="AZ81" s="41" t="str">
        <f>VLOOKUP(AL81,C80:S84,15,FALSE)</f>
        <v/>
      </c>
      <c r="BA81" s="42" t="str">
        <f>VLOOKUP(AL81,C80:S84,16,FALSE)</f>
        <v/>
      </c>
      <c r="BB81" s="82" t="str">
        <f>VLOOKUP(AL81,C80:S84,17,FALSE)</f>
        <v/>
      </c>
      <c r="BC81" s="346" t="str">
        <f>IF(Z86="","",IF(AP81=Y86,Z86,IF(AP81=AC86,AB86,"")))</f>
        <v/>
      </c>
      <c r="BD81" s="122" t="str">
        <f>IF(Z89="","",IF(AP81=Y89,Z89,IF(AP81=AC89,AB89,"")))</f>
        <v/>
      </c>
      <c r="BE81" s="122" t="str">
        <f>IF(Z92="","",IF(AP81=Y92,Z92,IF(AP81=AC92,AB92,"")))</f>
        <v/>
      </c>
      <c r="BF81" s="122" t="str">
        <f>IF(Z95="","",IF(AP81=Y95,Z95,IF(AP81=AC95,AB95,"")))</f>
        <v/>
      </c>
      <c r="BG81" s="122" t="str">
        <f>IF(Z98="","",IF(AP81=Y98,Z98,IF(AP81=AC98,AB98,"")))</f>
        <v/>
      </c>
      <c r="BH81" s="122" t="str">
        <f>IF(Z101="","",IF(AP81=Y101,Z101,IF(AP81=AC101,AB101,"")))</f>
        <v/>
      </c>
      <c r="BI81" s="122" t="str">
        <f>IF(Z104="","",IF(AP81=Y104,Z104,IF(AP81=AC104,AB104,"")))</f>
        <v/>
      </c>
      <c r="BJ81" s="122" t="str">
        <f>IF(Z107="","",IF(AP81=Y107,Z107,IF(AP81=AC107,AB107,"")))</f>
        <v/>
      </c>
      <c r="BK81" s="122" t="str">
        <f>IF(Z110="","",IF(AP81=Y110,Z110,IF(AP81=AC110,AB110,"")))</f>
        <v/>
      </c>
      <c r="BL81" s="347" t="str">
        <f>IF(Z113="","",IF(AP81=Y113,Z113,IF(AP81=AC113,AB113,"")))</f>
        <v/>
      </c>
      <c r="BM81"/>
      <c r="BN81"/>
      <c r="BO81"/>
      <c r="BP81"/>
      <c r="BQ81"/>
      <c r="BR81" s="1395" t="b">
        <f>IF(G81="[---WithDraw---]",FALSE,IF(COUNTIF(PlayerNamesWithinGroups,G81)&gt;1,TRUE,FALSE))</f>
        <v>1</v>
      </c>
      <c r="BS81" s="1450" t="b">
        <f>AND(LEFT($AP81,1) = "(", RIGHT($AP81,1) =")")</f>
        <v>0</v>
      </c>
      <c r="BT81" s="1450" t="b">
        <f>IF(OR($AO81=$AO80,$AO81=$AO82),TRUE,FALSE)</f>
        <v>1</v>
      </c>
      <c r="BU81"/>
      <c r="BV81"/>
      <c r="BW81"/>
    </row>
    <row r="82" spans="1:75" outlineLevel="1" x14ac:dyDescent="0.2">
      <c r="A82"/>
      <c r="B82" s="40">
        <v>3</v>
      </c>
      <c r="C82" s="55" t="str">
        <f>IF(AL85="","",RANK(F82,F80:F84)*1000+ROW())</f>
        <v/>
      </c>
      <c r="D82" s="37" t="str">
        <f>IF(J82="","",H82*CritClassEq1_Points+M82*CritClassEq1_DiffRencontres+P82*CritClassEq1_DiffMatches+S82*CritClassEq1_DiffButs+N82*CritClassEq1_Matches+Q82*CritClassEq1_Attaque)</f>
        <v/>
      </c>
      <c r="E82" s="37" t="str">
        <f>IF(J82="","",Nb_Diff_Part(D82,D80:D84,G82,G80:G84,AK86:AK115)*CritClassInd_DiffPart)</f>
        <v/>
      </c>
      <c r="F82" s="38" t="str">
        <f>IF(J82="","",D82+E82+H82*CritClassEq2_Points+M82*CritClassEq2_DiffRencontres+P82*CritClassEq2_DiffMatches+S82*CritClassEq2_DiffButs+N82*CritClassEq2_Matches+Q82*CritClassEq2_Attaque)</f>
        <v/>
      </c>
      <c r="G82" s="39" t="s">
        <v>894</v>
      </c>
      <c r="H82" s="341" t="str">
        <f>IF(AL85="","",(J82*Points_Victoire)+K82*Points_Null)</f>
        <v/>
      </c>
      <c r="I82" s="42" t="str">
        <f>IF(J82="","",SUM(J82:L82))</f>
        <v/>
      </c>
      <c r="J82" s="42" t="str">
        <f>IF(AL85="","",COUNTIF(AE86:AE115,G82))</f>
        <v/>
      </c>
      <c r="K82" s="42" t="str">
        <f>IF(AL85="","",COUNTIF(AF86:AG115,G82))</f>
        <v/>
      </c>
      <c r="L82" s="42" t="str">
        <f>IF(AL85="","",COUNTIF(AH86:AH115,G82))</f>
        <v/>
      </c>
      <c r="M82" s="339" t="str">
        <f>IF(AL85="","",J82-L82)</f>
        <v/>
      </c>
      <c r="N82" s="42" t="str">
        <f>IF(AL85="","",SUMIF(Y86:Y115,G82,Z85:AL115)+SUMIF(AC86:AC115,G82,AB86:AB115))</f>
        <v/>
      </c>
      <c r="O82" s="42" t="str">
        <f>IF(AL85="","",SUMIF(Y86:Y115,G82,AB86:AB115)+SUMIF(AC86:AC115,G82,Z85:AL115))</f>
        <v/>
      </c>
      <c r="P82" s="339" t="str">
        <f>IF(AL85="","",N82-O82)</f>
        <v/>
      </c>
      <c r="Q82" s="42" t="str">
        <f>IF(AL85="","",SUMIF(Y86:Y115,G82,AI86:AI115)+SUMIF(AC86:AC115,G82,AJ86:AJ115))</f>
        <v/>
      </c>
      <c r="R82" s="42" t="str">
        <f>IF(AL85="","",SUMIF(Y86:Y115,G82,AJ86:AJ115)+SUMIF(AC86:AC115,G82,AI86:AI115))</f>
        <v/>
      </c>
      <c r="S82" s="82" t="str">
        <f>IF(AL85="","",Q82-R82)</f>
        <v/>
      </c>
      <c r="T82"/>
      <c r="V82"/>
      <c r="W82"/>
      <c r="X82"/>
      <c r="Y82"/>
      <c r="Z82"/>
      <c r="AA82"/>
      <c r="AB82"/>
      <c r="AC82"/>
      <c r="AD82"/>
      <c r="AE82"/>
      <c r="AF82"/>
      <c r="AG82"/>
      <c r="AH82"/>
      <c r="AI82"/>
      <c r="AJ82"/>
      <c r="AK82"/>
      <c r="AL82" t="str">
        <f>IF(AL85="","",SMALL(C80:C84,3))</f>
        <v/>
      </c>
      <c r="AM82"/>
      <c r="AN82"/>
      <c r="AO82" s="40" t="str">
        <f>IF(AL85="","",INT(AL82/1000))</f>
        <v/>
      </c>
      <c r="AP82" s="81" t="str">
        <f>IF(AL85="",IF(HidePlayerFormulas,"","("&amp;G82&amp;")"),VLOOKUP(AL82,C80:S84,5,FALSE))</f>
        <v/>
      </c>
      <c r="AQ82" s="41" t="str">
        <f>VLOOKUP(AL82,C80:S84,6,FALSE)</f>
        <v/>
      </c>
      <c r="AR82" s="42" t="str">
        <f>VLOOKUP(AL82,C80:S84,7,FALSE)</f>
        <v/>
      </c>
      <c r="AS82" s="42" t="str">
        <f>VLOOKUP(AL82,C80:S84,8,FALSE)</f>
        <v/>
      </c>
      <c r="AT82" s="42" t="str">
        <f>VLOOKUP(AL82,C80:S84,9,FALSE)</f>
        <v/>
      </c>
      <c r="AU82" s="42" t="str">
        <f>VLOOKUP(AL82,C80:S84,10,FALSE)</f>
        <v/>
      </c>
      <c r="AV82" s="82" t="str">
        <f>VLOOKUP(AL82,C80:S84,11,FALSE)</f>
        <v/>
      </c>
      <c r="AW82" s="41" t="str">
        <f>VLOOKUP(AL82,C80:S84,12,FALSE)</f>
        <v/>
      </c>
      <c r="AX82" s="42" t="str">
        <f>VLOOKUP(AL82,C80:S84,13,FALSE)</f>
        <v/>
      </c>
      <c r="AY82" s="82" t="str">
        <f>VLOOKUP(AL82,C80:S84,14,FALSE)</f>
        <v/>
      </c>
      <c r="AZ82" s="41" t="str">
        <f>VLOOKUP(AL82,C80:S84,15,FALSE)</f>
        <v/>
      </c>
      <c r="BA82" s="42" t="str">
        <f>VLOOKUP(AL82,C80:S84,16,FALSE)</f>
        <v/>
      </c>
      <c r="BB82" s="82" t="str">
        <f>VLOOKUP(AL82,C80:S84,17,FALSE)</f>
        <v/>
      </c>
      <c r="BC82" s="346" t="str">
        <f>IF(Z86="","",IF(AP82=Y86,Z86,IF(AP82=AC86,AB86,"")))</f>
        <v/>
      </c>
      <c r="BD82" s="122" t="str">
        <f>IF(Z89="","",IF(AP82=Y89,Z89,IF(AP82=AC89,AB89,"")))</f>
        <v/>
      </c>
      <c r="BE82" s="122" t="str">
        <f>IF(Z92="","",IF(AP82=Y92,Z92,IF(AP82=AC92,AB92,"")))</f>
        <v/>
      </c>
      <c r="BF82" s="122" t="str">
        <f>IF(Z95="","",IF(AP82=Y95,Z95,IF(AP82=AC95,AB95,"")))</f>
        <v/>
      </c>
      <c r="BG82" s="122" t="str">
        <f>IF(Z98="","",IF(AP82=Y98,Z98,IF(AP82=AC98,AB98,"")))</f>
        <v/>
      </c>
      <c r="BH82" s="122" t="str">
        <f>IF(Z101="","",IF(AP82=Y101,Z101,IF(AP82=AC101,AB101,"")))</f>
        <v/>
      </c>
      <c r="BI82" s="122" t="str">
        <f>IF(Z104="","",IF(AP82=Y104,Z104,IF(AP82=AC104,AB104,"")))</f>
        <v/>
      </c>
      <c r="BJ82" s="122" t="str">
        <f>IF(Z107="","",IF(AP82=Y107,Z107,IF(AP82=AC107,AB107,"")))</f>
        <v/>
      </c>
      <c r="BK82" s="122" t="str">
        <f>IF(Z110="","",IF(AP82=Y110,Z110,IF(AP82=AC110,AB110,"")))</f>
        <v/>
      </c>
      <c r="BL82" s="347" t="str">
        <f>IF(Z113="","",IF(AP82=Y113,Z113,IF(AP82=AC113,AB113,"")))</f>
        <v/>
      </c>
      <c r="BM82"/>
      <c r="BN82"/>
      <c r="BO82"/>
      <c r="BP82"/>
      <c r="BQ82"/>
      <c r="BR82" s="1395" t="b">
        <f>IF(G82="[---WithDraw---]",FALSE,IF(COUNTIF(PlayerNamesWithinGroups,G82)&gt;1,TRUE,FALSE))</f>
        <v>1</v>
      </c>
      <c r="BS82" s="1450" t="b">
        <f>AND(LEFT($AP82,1) = "(", RIGHT($AP82,1) =")")</f>
        <v>0</v>
      </c>
      <c r="BT82" s="1450" t="b">
        <f>IF(OR($AO82=$AO81,$AO82=$AO83),TRUE,FALSE)</f>
        <v>1</v>
      </c>
      <c r="BU82"/>
      <c r="BV82"/>
      <c r="BW82"/>
    </row>
    <row r="83" spans="1:75" outlineLevel="1" x14ac:dyDescent="0.2">
      <c r="A83"/>
      <c r="B83" s="40">
        <v>4</v>
      </c>
      <c r="C83" s="55" t="str">
        <f>IF(AL85="","",RANK(F83,F80:F84)*1000+ROW())</f>
        <v/>
      </c>
      <c r="D83" s="37" t="str">
        <f>IF(J83="","",H83*CritClassEq1_Points+M83*CritClassEq1_DiffRencontres+P83*CritClassEq1_DiffMatches+S83*CritClassEq1_DiffButs+N83*CritClassEq1_Matches+Q83*CritClassEq1_Attaque)</f>
        <v/>
      </c>
      <c r="E83" s="37" t="str">
        <f>IF(J83="","",Nb_Diff_Part(D83,D80:D84,G83,G80:G84,AK86:AK115)*CritClassInd_DiffPart)</f>
        <v/>
      </c>
      <c r="F83" s="38" t="str">
        <f>IF(J83="","",D83+E83+H83*CritClassEq2_Points+M83*CritClassEq2_DiffRencontres+P83*CritClassEq2_DiffMatches+S83*CritClassEq2_DiffButs+N83*CritClassEq2_Matches+Q83*CritClassEq2_Attaque)</f>
        <v/>
      </c>
      <c r="G83" s="39" t="s">
        <v>895</v>
      </c>
      <c r="H83" s="341" t="str">
        <f>IF(AL85="","",(J83*Points_Victoire)+K83*Points_Null)</f>
        <v/>
      </c>
      <c r="I83" s="42" t="str">
        <f>IF(J83="","",SUM(J83:L83))</f>
        <v/>
      </c>
      <c r="J83" s="42" t="str">
        <f>IF(AL85="","",COUNTIF(AE86:AE115,G83))</f>
        <v/>
      </c>
      <c r="K83" s="42" t="str">
        <f>IF(AL85="","",COUNTIF(AF86:AG115,G83))</f>
        <v/>
      </c>
      <c r="L83" s="42" t="str">
        <f>IF(AL85="","",COUNTIF(AH86:AH115,G83))</f>
        <v/>
      </c>
      <c r="M83" s="339" t="str">
        <f>IF(AL85="","",J83-L83)</f>
        <v/>
      </c>
      <c r="N83" s="42" t="str">
        <f>IF(AL85="","",SUMIF(Y86:Y115,G83,Z85:AL115)+SUMIF(AC86:AC115,G83,AB86:AB115))</f>
        <v/>
      </c>
      <c r="O83" s="42" t="str">
        <f>IF(AL85="","",SUMIF(Y86:Y115,G83,AB86:AB115)+SUMIF(AC86:AC115,G83,Z85:AL115))</f>
        <v/>
      </c>
      <c r="P83" s="339" t="str">
        <f>IF(AL85="","",N83-O83)</f>
        <v/>
      </c>
      <c r="Q83" s="42" t="str">
        <f>IF(AL85="","",SUMIF(Y86:Y115,G83,AI86:AI115)+SUMIF(AC86:AC115,G83,AJ86:AJ115))</f>
        <v/>
      </c>
      <c r="R83" s="42" t="str">
        <f>IF(AL85="","",SUMIF(Y86:Y115,G83,AJ86:AJ115)+SUMIF(AC86:AC115,G83,AI86:AI115))</f>
        <v/>
      </c>
      <c r="S83" s="82" t="str">
        <f>IF(AL85="","",Q83-R83)</f>
        <v/>
      </c>
      <c r="T83"/>
      <c r="V83"/>
      <c r="W83"/>
      <c r="X83"/>
      <c r="Y83"/>
      <c r="Z83"/>
      <c r="AA83"/>
      <c r="AB83"/>
      <c r="AC83"/>
      <c r="AD83"/>
      <c r="AE83"/>
      <c r="AF83"/>
      <c r="AG83"/>
      <c r="AH83"/>
      <c r="AI83"/>
      <c r="AJ83"/>
      <c r="AK83"/>
      <c r="AL83" t="str">
        <f>IF(AL85="","",SMALL(C80:C84,4))</f>
        <v/>
      </c>
      <c r="AM83"/>
      <c r="AN83"/>
      <c r="AO83" s="40" t="str">
        <f>IF(AL85="","",INT(AL83/1000))</f>
        <v/>
      </c>
      <c r="AP83" s="81" t="str">
        <f>IF(AL85="",IF(HidePlayerFormulas,"","("&amp;G83&amp;")"),VLOOKUP(AL83,C80:S84,5,FALSE))</f>
        <v/>
      </c>
      <c r="AQ83" s="41" t="str">
        <f>VLOOKUP(AL83,C80:S84,6,FALSE)</f>
        <v/>
      </c>
      <c r="AR83" s="42" t="str">
        <f>VLOOKUP(AL83,C80:S84,7,FALSE)</f>
        <v/>
      </c>
      <c r="AS83" s="42" t="str">
        <f>VLOOKUP(AL83,C80:S84,8,FALSE)</f>
        <v/>
      </c>
      <c r="AT83" s="42" t="str">
        <f>VLOOKUP(AL83,C80:S84,9,FALSE)</f>
        <v/>
      </c>
      <c r="AU83" s="42" t="str">
        <f>VLOOKUP(AL83,C80:S84,10,FALSE)</f>
        <v/>
      </c>
      <c r="AV83" s="82" t="str">
        <f>VLOOKUP(AL83,C80:S84,11,FALSE)</f>
        <v/>
      </c>
      <c r="AW83" s="41" t="str">
        <f>VLOOKUP(AL83,C80:S84,12,FALSE)</f>
        <v/>
      </c>
      <c r="AX83" s="42" t="str">
        <f>VLOOKUP(AL83,C80:S84,13,FALSE)</f>
        <v/>
      </c>
      <c r="AY83" s="82" t="str">
        <f>VLOOKUP(AL83,C80:S84,14,FALSE)</f>
        <v/>
      </c>
      <c r="AZ83" s="41" t="str">
        <f>VLOOKUP(AL83,C80:S84,15,FALSE)</f>
        <v/>
      </c>
      <c r="BA83" s="42" t="str">
        <f>VLOOKUP(AL83,C80:S84,16,FALSE)</f>
        <v/>
      </c>
      <c r="BB83" s="82" t="str">
        <f>VLOOKUP(AL83,C80:S84,17,FALSE)</f>
        <v/>
      </c>
      <c r="BC83" s="346" t="str">
        <f>IF(Z86="","",IF(AP83=Y86,Z86,IF(AP83=AC86,AB86,"")))</f>
        <v/>
      </c>
      <c r="BD83" s="122" t="str">
        <f>IF(Z89="","",IF(AP83=Y89,Z89,IF(AP83=AC89,AB89,"")))</f>
        <v/>
      </c>
      <c r="BE83" s="122" t="str">
        <f>IF(Z92="","",IF(AP83=Y92,Z92,IF(AP83=AC92,AB92,"")))</f>
        <v/>
      </c>
      <c r="BF83" s="122" t="str">
        <f>IF(Z95="","",IF(AP83=Y95,Z95,IF(AP83=AC95,AB95,"")))</f>
        <v/>
      </c>
      <c r="BG83" s="122" t="str">
        <f>IF(Z98="","",IF(AP83=Y98,Z98,IF(AP83=AC98,AB98,"")))</f>
        <v/>
      </c>
      <c r="BH83" s="122" t="str">
        <f>IF(Z101="","",IF(AP83=Y101,Z101,IF(AP83=AC101,AB101,"")))</f>
        <v/>
      </c>
      <c r="BI83" s="122" t="str">
        <f>IF(Z104="","",IF(AP83=Y104,Z104,IF(AP83=AC104,AB104,"")))</f>
        <v/>
      </c>
      <c r="BJ83" s="122" t="str">
        <f>IF(Z107="","",IF(AP83=Y107,Z107,IF(AP83=AC107,AB107,"")))</f>
        <v/>
      </c>
      <c r="BK83" s="122" t="str">
        <f>IF(Z110="","",IF(AP83=Y110,Z110,IF(AP83=AC110,AB110,"")))</f>
        <v/>
      </c>
      <c r="BL83" s="347" t="str">
        <f>IF(Z113="","",IF(AP83=Y113,Z113,IF(AP83=AC113,AB113,"")))</f>
        <v/>
      </c>
      <c r="BM83"/>
      <c r="BN83"/>
      <c r="BO83"/>
      <c r="BP83"/>
      <c r="BQ83"/>
      <c r="BR83" s="1395" t="b">
        <f>IF(G83="[---WithDraw---]",FALSE,IF(COUNTIF(PlayerNamesWithinGroups,G83)&gt;1,TRUE,FALSE))</f>
        <v>1</v>
      </c>
      <c r="BS83" s="1450" t="b">
        <f>AND(LEFT($AP83,1) = "(", RIGHT($AP83,1) =")")</f>
        <v>0</v>
      </c>
      <c r="BT83" s="1450" t="b">
        <f>IF(OR($AO83=$AO82,$AO83=$AO84),TRUE,FALSE)</f>
        <v>1</v>
      </c>
      <c r="BU83"/>
      <c r="BV83"/>
      <c r="BW83"/>
    </row>
    <row r="84" spans="1:75" ht="13.5" outlineLevel="1" collapsed="1" thickBot="1" x14ac:dyDescent="0.25">
      <c r="A84"/>
      <c r="B84" s="40">
        <v>5</v>
      </c>
      <c r="C84" s="2" t="str">
        <f>IF(AL85="","",RANK(F84,F80:F84)*1000+ROW())</f>
        <v/>
      </c>
      <c r="D84" s="37" t="str">
        <f>IF(J84="","",H84*CritClassEq1_Points+M84*CritClassEq1_DiffRencontres+P84*CritClassEq1_DiffMatches+S84*CritClassEq1_DiffButs+N84*CritClassEq1_Matches+Q84*CritClassEq1_Attaque)</f>
        <v/>
      </c>
      <c r="E84" s="37" t="str">
        <f>IF(J84="","",Nb_Diff_Part(D84,D80:D84,G84,G80:G84,AK86:AK115)*CritClassInd_DiffPart)</f>
        <v/>
      </c>
      <c r="F84" s="38" t="str">
        <f>IF(J84="","",D84+E84+H84*CritClassEq2_Points+M84*CritClassEq2_DiffRencontres+P84*CritClassEq2_DiffMatches+S84*CritClassEq2_DiffButs+N84*CritClassEq2_Matches+Q84*CritClassEq2_Attaque)</f>
        <v/>
      </c>
      <c r="G84" s="30" t="s">
        <v>896</v>
      </c>
      <c r="H84" s="342" t="str">
        <f>IF(AL85="","",(J84*Points_Victoire)+K84*Points_Null)</f>
        <v/>
      </c>
      <c r="I84" s="50" t="str">
        <f>IF(J84="","",SUM(J84:L84))</f>
        <v/>
      </c>
      <c r="J84" s="50" t="str">
        <f>IF(AL85="","",COUNTIF(AE86:AE115,G84))</f>
        <v/>
      </c>
      <c r="K84" s="50" t="str">
        <f>IF(AL85="","",COUNTIF(AF86:AG115,G84))</f>
        <v/>
      </c>
      <c r="L84" s="50" t="str">
        <f>IF(AL85="","",COUNTIF(AH86:AH115,G84))</f>
        <v/>
      </c>
      <c r="M84" s="343" t="str">
        <f>IF(AL85="","",J84-L84)</f>
        <v/>
      </c>
      <c r="N84" s="50" t="str">
        <f>IF(AL85="","",SUMIF(Y86:Y115,G84,Z85:AL115)+SUMIF(AC86:AC115,G84,AB86:AB115))</f>
        <v/>
      </c>
      <c r="O84" s="50" t="str">
        <f>IF(AL85="","",SUMIF(Y86:Y115,G84,AB86:AB115)+SUMIF(AC86:AC115,G84,Z85:AL115))</f>
        <v/>
      </c>
      <c r="P84" s="343" t="str">
        <f>IF(AL85="","",N84-O84)</f>
        <v/>
      </c>
      <c r="Q84" s="50" t="str">
        <f>IF(AL85="","",SUMIF(Y86:Y115,G84,AI86:AI115)+SUMIF(AC86:AC115,G84,AJ86:AJ115))</f>
        <v/>
      </c>
      <c r="R84" s="50" t="str">
        <f>IF(AL85="","",SUMIF(Y86:Y115,G84,AJ86:AJ115)+SUMIF(AC86:AC115,G84,AI86:AI115))</f>
        <v/>
      </c>
      <c r="S84" s="88" t="str">
        <f>IF(AL85="","",Q84-R84)</f>
        <v/>
      </c>
      <c r="T84"/>
      <c r="V84"/>
      <c r="W84"/>
      <c r="X84"/>
      <c r="Y84"/>
      <c r="Z84"/>
      <c r="AA84"/>
      <c r="AB84"/>
      <c r="AC84"/>
      <c r="AD84"/>
      <c r="AE84"/>
      <c r="AF84"/>
      <c r="AG84"/>
      <c r="AH84"/>
      <c r="AI84"/>
      <c r="AJ84"/>
      <c r="AK84"/>
      <c r="AL84" t="str">
        <f>IF(AL85="","",SMALL(C80:C84,5))</f>
        <v/>
      </c>
      <c r="AM84"/>
      <c r="AN84"/>
      <c r="AO84" s="48" t="str">
        <f>IF(AL85="","",INT(AL84/1000))</f>
        <v/>
      </c>
      <c r="AP84" s="87" t="str">
        <f>IF(AL85="",IF(HidePlayerFormulas,"","("&amp;G84&amp;")"),VLOOKUP(AL84,C80:S84,5,FALSE))</f>
        <v/>
      </c>
      <c r="AQ84" s="49" t="str">
        <f>VLOOKUP(AL84,C80:S84,6,FALSE)</f>
        <v/>
      </c>
      <c r="AR84" s="50" t="str">
        <f>VLOOKUP(AL84,C80:S84,7,FALSE)</f>
        <v/>
      </c>
      <c r="AS84" s="50" t="str">
        <f>VLOOKUP(AL84,C80:S84,8,FALSE)</f>
        <v/>
      </c>
      <c r="AT84" s="50" t="str">
        <f>VLOOKUP(AL84,C80:S84,9,FALSE)</f>
        <v/>
      </c>
      <c r="AU84" s="50" t="str">
        <f>VLOOKUP(AL84,C80:S84,10,FALSE)</f>
        <v/>
      </c>
      <c r="AV84" s="88" t="str">
        <f>VLOOKUP(AL84,C80:S84,11,FALSE)</f>
        <v/>
      </c>
      <c r="AW84" s="49" t="str">
        <f>VLOOKUP(AL84,C80:S84,12,FALSE)</f>
        <v/>
      </c>
      <c r="AX84" s="50" t="str">
        <f>VLOOKUP(AL84,C80:S84,13,FALSE)</f>
        <v/>
      </c>
      <c r="AY84" s="88" t="str">
        <f>VLOOKUP(AL84,C80:S84,14,FALSE)</f>
        <v/>
      </c>
      <c r="AZ84" s="49" t="str">
        <f>VLOOKUP(AL84,C80:S84,15,FALSE)</f>
        <v/>
      </c>
      <c r="BA84" s="50" t="str">
        <f>VLOOKUP(AL84,C80:S84,16,FALSE)</f>
        <v/>
      </c>
      <c r="BB84" s="88" t="str">
        <f>VLOOKUP(AL84,C80:S84,17,FALSE)</f>
        <v/>
      </c>
      <c r="BC84" s="348" t="str">
        <f>IF(Z86="","",IF(AP84=Y86,Z86,IF(AP84=AC86,AB86,"")))</f>
        <v/>
      </c>
      <c r="BD84" s="349" t="str">
        <f>IF(Z89="","",IF(AP84=Y89,Z89,IF(AP84=AC89,AB89,"")))</f>
        <v/>
      </c>
      <c r="BE84" s="349" t="str">
        <f>IF(Z92="","",IF(AP84=Y92,Z92,IF(AP84=AC92,AB92,"")))</f>
        <v/>
      </c>
      <c r="BF84" s="349" t="str">
        <f>IF(Z95="","",IF(AP84=Y95,Z95,IF(AP84=AC95,AB95,"")))</f>
        <v/>
      </c>
      <c r="BG84" s="349" t="str">
        <f>IF(Z98="","",IF(AP84=Y98,Z98,IF(AP84=AC98,AB98,"")))</f>
        <v/>
      </c>
      <c r="BH84" s="349" t="str">
        <f>IF(Z101="","",IF(AP84=Y101,Z101,IF(AP84=AC101,AB101,"")))</f>
        <v/>
      </c>
      <c r="BI84" s="349" t="str">
        <f>IF(Z104="","",IF(AP84=Y104,Z104,IF(AP84=AC104,AB104,"")))</f>
        <v/>
      </c>
      <c r="BJ84" s="349" t="str">
        <f>IF(Z107="","",IF(AP84=Y107,Z107,IF(AP84=AC107,AB107,"")))</f>
        <v/>
      </c>
      <c r="BK84" s="349" t="str">
        <f>IF(Z110="","",IF(AP84=Y110,Z110,IF(AP84=AC110,AB110,"")))</f>
        <v/>
      </c>
      <c r="BL84" s="350" t="str">
        <f>IF(Z113="","",IF(AP84=Y113,Z113,IF(AP84=AC113,AB113,"")))</f>
        <v/>
      </c>
      <c r="BM84"/>
      <c r="BN84"/>
      <c r="BO84"/>
      <c r="BP84"/>
      <c r="BQ84"/>
      <c r="BR84" s="1395" t="b">
        <f>IF(G84="[---WithDraw---]",FALSE,IF(COUNTIF(PlayerNamesWithinGroups,G84)&gt;1,TRUE,FALSE))</f>
        <v>1</v>
      </c>
      <c r="BS84" s="1450" t="b">
        <f>AND(LEFT($AP84,1) = "(", RIGHT($AP84,1) =")")</f>
        <v>0</v>
      </c>
      <c r="BT84" s="1450" t="b">
        <f>IF(OR($AO84=$AO83,$AO84=$AO85),TRUE,FALSE)</f>
        <v>1</v>
      </c>
      <c r="BU84"/>
      <c r="BV84"/>
      <c r="BW84"/>
    </row>
    <row r="85" spans="1:75" ht="13.5" hidden="1" outlineLevel="2" thickBot="1" x14ac:dyDescent="0.25">
      <c r="A85"/>
      <c r="B85" s="1"/>
      <c r="C85"/>
      <c r="D85"/>
      <c r="E85"/>
      <c r="F85"/>
      <c r="G85" s="1"/>
      <c r="H85"/>
      <c r="I85"/>
      <c r="J85"/>
      <c r="K85"/>
      <c r="L85"/>
      <c r="M85"/>
      <c r="N85"/>
      <c r="O85"/>
      <c r="P85"/>
      <c r="Q85"/>
      <c r="R85"/>
      <c r="S85"/>
      <c r="T85"/>
      <c r="U85" s="8"/>
      <c r="V85" s="22" t="str">
        <f>N_Heure</f>
        <v>Heure</v>
      </c>
      <c r="W85" s="22" t="str">
        <f>N_Table</f>
        <v>Table</v>
      </c>
      <c r="X85" s="22" t="str">
        <f>N_Arbitre</f>
        <v>Arbitre</v>
      </c>
      <c r="Y85" s="293" t="str">
        <f>N_Matches</f>
        <v>Matches</v>
      </c>
      <c r="Z85" s="294"/>
      <c r="AA85" s="294"/>
      <c r="AB85" s="294"/>
      <c r="AC85" s="295"/>
      <c r="AD85" s="8"/>
      <c r="AE85"/>
      <c r="AF85"/>
      <c r="AG85"/>
      <c r="AH85"/>
      <c r="AI85"/>
      <c r="AJ85"/>
      <c r="AK85"/>
      <c r="AL85" t="str">
        <f>IF(COUNTA(Z86:Z115)&gt;10,"OK","")</f>
        <v/>
      </c>
      <c r="AM85"/>
      <c r="AN85"/>
      <c r="AP85"/>
      <c r="AQ85"/>
      <c r="AR85"/>
      <c r="AS85"/>
      <c r="AT85"/>
      <c r="AU85"/>
      <c r="AV85"/>
      <c r="AW85"/>
      <c r="AX85"/>
      <c r="AY85"/>
      <c r="AZ85"/>
      <c r="BA85"/>
      <c r="BB85"/>
      <c r="BC85"/>
      <c r="BD85"/>
      <c r="BE85"/>
      <c r="BF85"/>
      <c r="BG85"/>
      <c r="BH85"/>
      <c r="BI85"/>
      <c r="BJ85"/>
      <c r="BK85"/>
      <c r="BL85"/>
      <c r="BM85"/>
      <c r="BN85"/>
      <c r="BO85"/>
      <c r="BP85"/>
      <c r="BQ85"/>
      <c r="BR85" s="1395"/>
      <c r="BS85" s="1450"/>
      <c r="BT85" s="1450"/>
      <c r="BU85"/>
      <c r="BV85"/>
      <c r="BW85"/>
    </row>
    <row r="86" spans="1:75" hidden="1" outlineLevel="2" x14ac:dyDescent="0.2">
      <c r="A86"/>
      <c r="B86" s="1"/>
      <c r="C86" s="11"/>
      <c r="D86" s="76"/>
      <c r="E86" s="76"/>
      <c r="F86" s="76"/>
      <c r="G86" s="9"/>
      <c r="H86" s="1"/>
      <c r="I86"/>
      <c r="J86"/>
      <c r="K86"/>
      <c r="L86"/>
      <c r="M86"/>
      <c r="N86"/>
      <c r="O86"/>
      <c r="P86" s="89"/>
      <c r="Q86"/>
      <c r="R86"/>
      <c r="S86" s="89"/>
      <c r="T86"/>
      <c r="U86" s="331" t="s">
        <v>1726</v>
      </c>
      <c r="V86" s="54"/>
      <c r="W86" s="278"/>
      <c r="X86" s="279"/>
      <c r="Y86" s="34" t="str">
        <f>IF(G80="","",G80)</f>
        <v>Db1</v>
      </c>
      <c r="Z86" s="95" t="str">
        <f>IF(OR(ISNUMBER(Z87),ISNUMBER(Z88)),2-COUNTBLANK(AI87:AI88),"")</f>
        <v/>
      </c>
      <c r="AA86" s="35" t="s">
        <v>769</v>
      </c>
      <c r="AB86" s="95" t="str">
        <f>IF(OR(ISNUMBER(Z87),ISNUMBER(Z88)),2-COUNTBLANK(AJ87:AJ88),"")</f>
        <v/>
      </c>
      <c r="AC86" s="36" t="str">
        <f>IF(G84="","",G84)</f>
        <v>Db5</v>
      </c>
      <c r="AD86" s="16"/>
      <c r="AE86" t="str">
        <f t="shared" ref="AE86:AE115" si="15">IF(Z86="","",IF(Z86&gt;AB86,Y86,IF(Z86=AB86,"",AC86)))</f>
        <v/>
      </c>
      <c r="AF86" t="str">
        <f t="shared" ref="AF86:AF115" si="16">IF(Z86="","",IF(Z86=AB86,Y86,""))</f>
        <v/>
      </c>
      <c r="AG86" t="str">
        <f t="shared" ref="AG86:AG115" si="17">IF(Z86="","",IF(Z86=AB86,AC86,""))</f>
        <v/>
      </c>
      <c r="AH86" t="str">
        <f t="shared" ref="AH86:AH115" si="18">IF(Z86="","",IF(Z86&lt;AB86,Y86,IF(Z86=AB86,"",AC86)))</f>
        <v/>
      </c>
      <c r="AI86" s="270" t="str">
        <f>IF(Z86="","",SUM(Z87:Z88))</f>
        <v/>
      </c>
      <c r="AJ86" s="270" t="str">
        <f>IF(Z86="","",SUM(AB87:AB88))</f>
        <v/>
      </c>
      <c r="AK86" t="str">
        <f t="shared" ref="AK86:AK115" si="19">CONCATENATE(AE86,AH86)</f>
        <v/>
      </c>
      <c r="AL86"/>
      <c r="AM86"/>
      <c r="AN86"/>
      <c r="AO86" s="1"/>
      <c r="AP86"/>
      <c r="AQ86"/>
      <c r="AR86"/>
      <c r="AS86"/>
      <c r="AT86"/>
      <c r="AU86"/>
      <c r="AV86"/>
      <c r="AW86"/>
      <c r="AX86"/>
      <c r="AY86" s="89"/>
      <c r="AZ86"/>
      <c r="BA86"/>
      <c r="BB86" s="89"/>
      <c r="BC86"/>
      <c r="BD86"/>
      <c r="BE86"/>
      <c r="BF86"/>
      <c r="BG86"/>
      <c r="BH86"/>
      <c r="BI86"/>
      <c r="BJ86"/>
      <c r="BK86"/>
      <c r="BL86"/>
      <c r="BM86"/>
      <c r="BN86"/>
      <c r="BO86"/>
      <c r="BP86"/>
      <c r="BQ86"/>
      <c r="BR86" s="1395"/>
      <c r="BS86" s="1450"/>
      <c r="BT86" s="1450"/>
      <c r="BU86"/>
      <c r="BV86"/>
      <c r="BW86"/>
    </row>
    <row r="87" spans="1:75" ht="12.75" hidden="1" customHeight="1" outlineLevel="3" x14ac:dyDescent="0.2">
      <c r="A87"/>
      <c r="B87" s="1"/>
      <c r="C87" s="11"/>
      <c r="D87" s="76"/>
      <c r="E87" s="76"/>
      <c r="F87" s="76"/>
      <c r="G87" s="9"/>
      <c r="H87" s="1"/>
      <c r="I87"/>
      <c r="J87"/>
      <c r="K87"/>
      <c r="L87"/>
      <c r="M87"/>
      <c r="N87"/>
      <c r="O87"/>
      <c r="P87" s="89"/>
      <c r="Q87"/>
      <c r="R87"/>
      <c r="S87" s="89"/>
      <c r="T87"/>
      <c r="U87" s="331"/>
      <c r="V87" s="92"/>
      <c r="W87" s="56"/>
      <c r="X87" s="78"/>
      <c r="Y87" s="103"/>
      <c r="Z87" s="44"/>
      <c r="AA87" s="45" t="s">
        <v>769</v>
      </c>
      <c r="AB87" s="44"/>
      <c r="AC87" s="79"/>
      <c r="AD87" s="16"/>
      <c r="AE87" t="str">
        <f t="shared" si="15"/>
        <v/>
      </c>
      <c r="AF87" t="str">
        <f t="shared" si="16"/>
        <v/>
      </c>
      <c r="AG87" t="str">
        <f t="shared" si="17"/>
        <v/>
      </c>
      <c r="AH87" t="str">
        <f t="shared" si="18"/>
        <v/>
      </c>
      <c r="AI87" t="str">
        <f>IF(Z87="","",IF(Z87&gt;AB87,Y86,""))</f>
        <v/>
      </c>
      <c r="AJ87" t="str">
        <f>IF(Z87="","",IF(Z87&lt;AB87,AC86,""))</f>
        <v/>
      </c>
      <c r="AK87" t="str">
        <f t="shared" si="19"/>
        <v/>
      </c>
      <c r="AL87"/>
      <c r="AM87"/>
      <c r="AN87"/>
      <c r="AO87" s="1"/>
      <c r="AP87"/>
      <c r="AQ87"/>
      <c r="AR87"/>
      <c r="AS87"/>
      <c r="AT87"/>
      <c r="AU87"/>
      <c r="AV87"/>
      <c r="AW87"/>
      <c r="AX87"/>
      <c r="AY87" s="89"/>
      <c r="AZ87"/>
      <c r="BA87"/>
      <c r="BB87" s="89"/>
      <c r="BC87"/>
      <c r="BD87"/>
      <c r="BE87"/>
      <c r="BF87"/>
      <c r="BG87"/>
      <c r="BH87"/>
      <c r="BI87"/>
      <c r="BJ87"/>
      <c r="BK87"/>
      <c r="BL87"/>
      <c r="BM87"/>
      <c r="BN87"/>
      <c r="BO87"/>
      <c r="BP87"/>
      <c r="BQ87"/>
      <c r="BR87" s="1395"/>
      <c r="BS87" s="1450"/>
      <c r="BT87" s="1450"/>
      <c r="BU87"/>
      <c r="BV87"/>
      <c r="BW87"/>
    </row>
    <row r="88" spans="1:75" ht="12.75" hidden="1" customHeight="1" outlineLevel="3" x14ac:dyDescent="0.2">
      <c r="A88"/>
      <c r="B88" s="1"/>
      <c r="C88"/>
      <c r="D88"/>
      <c r="E88"/>
      <c r="F88"/>
      <c r="G88" s="1"/>
      <c r="H88"/>
      <c r="I88"/>
      <c r="J88"/>
      <c r="K88"/>
      <c r="L88"/>
      <c r="M88"/>
      <c r="N88"/>
      <c r="O88"/>
      <c r="P88"/>
      <c r="Q88"/>
      <c r="R88"/>
      <c r="S88"/>
      <c r="T88"/>
      <c r="U88" s="331"/>
      <c r="V88" s="92"/>
      <c r="W88" s="56"/>
      <c r="X88" s="78"/>
      <c r="Y88" s="103"/>
      <c r="Z88" s="44"/>
      <c r="AA88" s="45" t="s">
        <v>769</v>
      </c>
      <c r="AB88" s="44"/>
      <c r="AC88" s="79"/>
      <c r="AD88" s="16"/>
      <c r="AE88" t="str">
        <f t="shared" si="15"/>
        <v/>
      </c>
      <c r="AF88" t="str">
        <f t="shared" si="16"/>
        <v/>
      </c>
      <c r="AG88" t="str">
        <f t="shared" si="17"/>
        <v/>
      </c>
      <c r="AH88" t="str">
        <f t="shared" si="18"/>
        <v/>
      </c>
      <c r="AI88" t="str">
        <f>IF(Z88="","",IF(Z88&gt;AB88,Y86,""))</f>
        <v/>
      </c>
      <c r="AJ88" t="str">
        <f>IF(Z88="","",IF(Z88&lt;AB88,AC86,""))</f>
        <v/>
      </c>
      <c r="AK88" t="str">
        <f t="shared" si="19"/>
        <v/>
      </c>
      <c r="AL88"/>
      <c r="AM88"/>
      <c r="AN88"/>
      <c r="AP88"/>
      <c r="AQ88"/>
      <c r="AR88"/>
      <c r="AS88"/>
      <c r="AT88"/>
      <c r="AU88"/>
      <c r="AV88"/>
      <c r="AW88"/>
      <c r="AX88"/>
      <c r="AY88"/>
      <c r="AZ88"/>
      <c r="BA88"/>
      <c r="BB88"/>
      <c r="BC88"/>
      <c r="BD88"/>
      <c r="BE88"/>
      <c r="BF88"/>
      <c r="BG88"/>
      <c r="BH88"/>
      <c r="BI88"/>
      <c r="BJ88"/>
      <c r="BK88"/>
      <c r="BL88"/>
      <c r="BM88"/>
      <c r="BN88"/>
      <c r="BO88"/>
      <c r="BP88"/>
      <c r="BQ88"/>
      <c r="BR88" s="1395"/>
      <c r="BS88" s="1450"/>
      <c r="BT88" s="1450"/>
      <c r="BU88"/>
      <c r="BV88"/>
      <c r="BW88"/>
    </row>
    <row r="89" spans="1:75" hidden="1" outlineLevel="2" x14ac:dyDescent="0.2">
      <c r="A89"/>
      <c r="B89" s="1"/>
      <c r="C89" s="11"/>
      <c r="D89" s="76"/>
      <c r="E89" s="76"/>
      <c r="F89" s="76"/>
      <c r="G89" s="9"/>
      <c r="H89" s="1"/>
      <c r="I89"/>
      <c r="J89"/>
      <c r="K89"/>
      <c r="L89"/>
      <c r="M89"/>
      <c r="N89"/>
      <c r="O89"/>
      <c r="P89" s="89"/>
      <c r="Q89"/>
      <c r="R89"/>
      <c r="S89" s="89"/>
      <c r="T89"/>
      <c r="U89" s="331" t="s">
        <v>1726</v>
      </c>
      <c r="V89" s="93"/>
      <c r="W89" s="84"/>
      <c r="X89" s="85"/>
      <c r="Y89" s="43" t="str">
        <f>IF(G81="","",G81)</f>
        <v>Db2</v>
      </c>
      <c r="Z89" s="86" t="str">
        <f>IF(OR(ISNUMBER(Z90),ISNUMBER(Z91)),2-COUNTBLANK(AI90:AI91),"")</f>
        <v/>
      </c>
      <c r="AA89" s="45" t="s">
        <v>769</v>
      </c>
      <c r="AB89" s="86" t="str">
        <f>IF(OR(ISNUMBER(Z90),ISNUMBER(Z91)),2-COUNTBLANK(AJ90:AJ91),"")</f>
        <v/>
      </c>
      <c r="AC89" s="46" t="str">
        <f>IF(G83="","",G83)</f>
        <v>Db4</v>
      </c>
      <c r="AD89" s="16"/>
      <c r="AE89" t="str">
        <f t="shared" si="15"/>
        <v/>
      </c>
      <c r="AF89" t="str">
        <f t="shared" si="16"/>
        <v/>
      </c>
      <c r="AG89" t="str">
        <f t="shared" si="17"/>
        <v/>
      </c>
      <c r="AH89" t="str">
        <f t="shared" si="18"/>
        <v/>
      </c>
      <c r="AI89" s="270" t="str">
        <f>IF(Z89="","",SUM(Z90:Z91))</f>
        <v/>
      </c>
      <c r="AJ89" s="270" t="str">
        <f>IF(Z89="","",SUM(AB90:AB91))</f>
        <v/>
      </c>
      <c r="AK89" t="str">
        <f t="shared" si="19"/>
        <v/>
      </c>
      <c r="AL89"/>
      <c r="AM89"/>
      <c r="AN89"/>
      <c r="AO89" s="1"/>
      <c r="AP89"/>
      <c r="AQ89"/>
      <c r="AR89"/>
      <c r="AS89"/>
      <c r="AT89"/>
      <c r="AU89"/>
      <c r="AV89"/>
      <c r="AW89"/>
      <c r="AX89"/>
      <c r="AY89" s="89"/>
      <c r="AZ89"/>
      <c r="BA89"/>
      <c r="BB89" s="89"/>
      <c r="BC89"/>
      <c r="BD89"/>
      <c r="BE89"/>
      <c r="BF89"/>
      <c r="BG89"/>
      <c r="BH89"/>
      <c r="BI89"/>
      <c r="BJ89"/>
      <c r="BK89"/>
      <c r="BL89"/>
      <c r="BM89"/>
      <c r="BN89"/>
      <c r="BO89"/>
      <c r="BP89"/>
      <c r="BQ89"/>
      <c r="BR89" s="1395"/>
      <c r="BS89" s="1450"/>
      <c r="BT89" s="1450"/>
      <c r="BU89"/>
      <c r="BV89"/>
      <c r="BW89"/>
    </row>
    <row r="90" spans="1:75" ht="12.75" hidden="1" customHeight="1" outlineLevel="3" x14ac:dyDescent="0.2">
      <c r="A90"/>
      <c r="B90" s="1"/>
      <c r="C90" s="11"/>
      <c r="D90" s="76"/>
      <c r="E90" s="76"/>
      <c r="F90" s="76"/>
      <c r="G90" s="9"/>
      <c r="H90" s="1"/>
      <c r="I90"/>
      <c r="J90"/>
      <c r="K90"/>
      <c r="L90"/>
      <c r="M90"/>
      <c r="N90"/>
      <c r="O90"/>
      <c r="P90" s="89"/>
      <c r="Q90"/>
      <c r="R90"/>
      <c r="S90" s="89"/>
      <c r="T90"/>
      <c r="U90" s="331"/>
      <c r="V90" s="92"/>
      <c r="W90" s="56"/>
      <c r="X90" s="78"/>
      <c r="Y90" s="103"/>
      <c r="Z90" s="44"/>
      <c r="AA90" s="45" t="s">
        <v>769</v>
      </c>
      <c r="AB90" s="44"/>
      <c r="AC90" s="79"/>
      <c r="AD90" s="16"/>
      <c r="AE90" t="str">
        <f t="shared" si="15"/>
        <v/>
      </c>
      <c r="AF90" t="str">
        <f t="shared" si="16"/>
        <v/>
      </c>
      <c r="AG90" t="str">
        <f t="shared" si="17"/>
        <v/>
      </c>
      <c r="AH90" t="str">
        <f t="shared" si="18"/>
        <v/>
      </c>
      <c r="AI90" t="str">
        <f>IF(Z90="","",IF(Z90&gt;AB90,Y89,""))</f>
        <v/>
      </c>
      <c r="AJ90" t="str">
        <f>IF(Z90="","",IF(Z90&lt;AB90,AC89,""))</f>
        <v/>
      </c>
      <c r="AK90" t="str">
        <f t="shared" si="19"/>
        <v/>
      </c>
      <c r="AL90"/>
      <c r="AM90"/>
      <c r="AN90"/>
      <c r="AO90" s="1"/>
      <c r="AP90"/>
      <c r="AQ90"/>
      <c r="AR90"/>
      <c r="AS90"/>
      <c r="AT90"/>
      <c r="AU90"/>
      <c r="AV90"/>
      <c r="AW90"/>
      <c r="AX90"/>
      <c r="AY90" s="89"/>
      <c r="AZ90"/>
      <c r="BA90"/>
      <c r="BB90" s="89"/>
      <c r="BC90"/>
      <c r="BD90"/>
      <c r="BE90"/>
      <c r="BF90"/>
      <c r="BG90"/>
      <c r="BH90"/>
      <c r="BI90"/>
      <c r="BJ90"/>
      <c r="BK90"/>
      <c r="BL90"/>
      <c r="BM90"/>
      <c r="BN90"/>
      <c r="BO90"/>
      <c r="BP90"/>
      <c r="BQ90"/>
      <c r="BR90" s="1395"/>
      <c r="BS90" s="1450"/>
      <c r="BT90" s="1450"/>
      <c r="BU90"/>
      <c r="BV90"/>
      <c r="BW90"/>
    </row>
    <row r="91" spans="1:75" ht="12.75" hidden="1" customHeight="1" outlineLevel="3" x14ac:dyDescent="0.2">
      <c r="A91"/>
      <c r="B91" s="1"/>
      <c r="C91"/>
      <c r="D91"/>
      <c r="E91"/>
      <c r="F91"/>
      <c r="G91" s="1"/>
      <c r="H91"/>
      <c r="I91"/>
      <c r="J91"/>
      <c r="K91"/>
      <c r="L91"/>
      <c r="M91"/>
      <c r="N91"/>
      <c r="O91"/>
      <c r="P91"/>
      <c r="Q91"/>
      <c r="R91"/>
      <c r="S91"/>
      <c r="T91"/>
      <c r="U91" s="331"/>
      <c r="V91" s="92"/>
      <c r="W91" s="56"/>
      <c r="X91" s="78"/>
      <c r="Y91" s="103"/>
      <c r="Z91" s="44"/>
      <c r="AA91" s="45" t="s">
        <v>769</v>
      </c>
      <c r="AB91" s="44"/>
      <c r="AC91" s="79"/>
      <c r="AD91" s="16"/>
      <c r="AE91" t="str">
        <f t="shared" si="15"/>
        <v/>
      </c>
      <c r="AF91" t="str">
        <f t="shared" si="16"/>
        <v/>
      </c>
      <c r="AG91" t="str">
        <f t="shared" si="17"/>
        <v/>
      </c>
      <c r="AH91" t="str">
        <f t="shared" si="18"/>
        <v/>
      </c>
      <c r="AI91" t="str">
        <f>IF(Z91="","",IF(Z91&gt;AB91,Y89,""))</f>
        <v/>
      </c>
      <c r="AJ91" t="str">
        <f>IF(Z91="","",IF(Z91&lt;AB91,AC89,""))</f>
        <v/>
      </c>
      <c r="AK91" t="str">
        <f t="shared" si="19"/>
        <v/>
      </c>
      <c r="AL91"/>
      <c r="AM91"/>
      <c r="AN91"/>
      <c r="AP91"/>
      <c r="AQ91"/>
      <c r="AR91"/>
      <c r="AS91"/>
      <c r="AT91"/>
      <c r="AU91"/>
      <c r="AV91"/>
      <c r="AW91"/>
      <c r="AX91"/>
      <c r="AY91"/>
      <c r="AZ91"/>
      <c r="BA91"/>
      <c r="BB91"/>
      <c r="BC91"/>
      <c r="BD91"/>
      <c r="BE91"/>
      <c r="BF91"/>
      <c r="BG91"/>
      <c r="BH91"/>
      <c r="BI91"/>
      <c r="BJ91"/>
      <c r="BK91"/>
      <c r="BL91"/>
      <c r="BM91"/>
      <c r="BN91"/>
      <c r="BO91"/>
      <c r="BP91"/>
      <c r="BQ91"/>
      <c r="BR91" s="1395"/>
      <c r="BS91" s="1450"/>
      <c r="BT91" s="1450"/>
      <c r="BU91"/>
      <c r="BV91"/>
      <c r="BW91"/>
    </row>
    <row r="92" spans="1:75" hidden="1" outlineLevel="2" x14ac:dyDescent="0.2">
      <c r="A92"/>
      <c r="B92" s="1"/>
      <c r="C92" s="11"/>
      <c r="D92" s="76"/>
      <c r="E92" s="76"/>
      <c r="F92" s="76"/>
      <c r="G92" s="9"/>
      <c r="H92" s="1"/>
      <c r="I92"/>
      <c r="J92"/>
      <c r="K92"/>
      <c r="L92"/>
      <c r="M92"/>
      <c r="N92"/>
      <c r="O92"/>
      <c r="P92" s="89"/>
      <c r="Q92"/>
      <c r="R92"/>
      <c r="S92" s="89"/>
      <c r="T92"/>
      <c r="U92" s="331" t="s">
        <v>1727</v>
      </c>
      <c r="V92" s="93"/>
      <c r="W92" s="84"/>
      <c r="X92" s="85"/>
      <c r="Y92" s="43" t="str">
        <f>IF(G80="","",G80)</f>
        <v>Db1</v>
      </c>
      <c r="Z92" s="86" t="str">
        <f>IF(OR(ISNUMBER(Z93),ISNUMBER(Z94)),2-COUNTBLANK(AI93:AI94),"")</f>
        <v/>
      </c>
      <c r="AA92" s="45" t="s">
        <v>769</v>
      </c>
      <c r="AB92" s="86" t="str">
        <f>IF(OR(ISNUMBER(Z93),ISNUMBER(Z94)),2-COUNTBLANK(AJ93:AJ94),"")</f>
        <v/>
      </c>
      <c r="AC92" s="46" t="str">
        <f>IF(G83="","",G83)</f>
        <v>Db4</v>
      </c>
      <c r="AD92" s="16"/>
      <c r="AE92" t="str">
        <f t="shared" si="15"/>
        <v/>
      </c>
      <c r="AF92" t="str">
        <f t="shared" si="16"/>
        <v/>
      </c>
      <c r="AG92" t="str">
        <f t="shared" si="17"/>
        <v/>
      </c>
      <c r="AH92" t="str">
        <f t="shared" si="18"/>
        <v/>
      </c>
      <c r="AI92" s="270" t="str">
        <f>IF(Z92="","",SUM(Z93:Z94))</f>
        <v/>
      </c>
      <c r="AJ92" s="270" t="str">
        <f>IF(Z92="","",SUM(AB93:AB94))</f>
        <v/>
      </c>
      <c r="AK92" t="str">
        <f t="shared" si="19"/>
        <v/>
      </c>
      <c r="AL92"/>
      <c r="AM92"/>
      <c r="AN92"/>
      <c r="AO92" s="1"/>
      <c r="AP92"/>
      <c r="AQ92"/>
      <c r="AR92"/>
      <c r="AS92"/>
      <c r="AT92"/>
      <c r="AU92"/>
      <c r="AV92"/>
      <c r="AW92"/>
      <c r="AX92"/>
      <c r="AY92" s="89"/>
      <c r="AZ92"/>
      <c r="BA92"/>
      <c r="BB92" s="89"/>
      <c r="BC92"/>
      <c r="BD92"/>
      <c r="BE92"/>
      <c r="BF92"/>
      <c r="BG92"/>
      <c r="BH92"/>
      <c r="BI92"/>
      <c r="BJ92"/>
      <c r="BK92"/>
      <c r="BL92"/>
      <c r="BM92"/>
      <c r="BN92"/>
      <c r="BO92"/>
      <c r="BP92"/>
      <c r="BQ92"/>
      <c r="BR92" s="1395"/>
      <c r="BS92" s="1450"/>
      <c r="BT92" s="1450"/>
      <c r="BU92"/>
      <c r="BV92"/>
      <c r="BW92"/>
    </row>
    <row r="93" spans="1:75" ht="12.75" hidden="1" customHeight="1" outlineLevel="3" x14ac:dyDescent="0.2">
      <c r="A93"/>
      <c r="B93" s="1"/>
      <c r="C93" s="11"/>
      <c r="D93" s="76"/>
      <c r="E93" s="76"/>
      <c r="F93" s="76"/>
      <c r="G93" s="9"/>
      <c r="H93" s="1"/>
      <c r="I93"/>
      <c r="J93"/>
      <c r="K93"/>
      <c r="L93"/>
      <c r="M93"/>
      <c r="N93"/>
      <c r="O93"/>
      <c r="P93" s="89"/>
      <c r="Q93"/>
      <c r="R93"/>
      <c r="S93" s="89"/>
      <c r="T93"/>
      <c r="U93" s="331"/>
      <c r="V93" s="92"/>
      <c r="W93" s="56"/>
      <c r="X93" s="78"/>
      <c r="Y93" s="103"/>
      <c r="Z93" s="44"/>
      <c r="AA93" s="45" t="s">
        <v>769</v>
      </c>
      <c r="AB93" s="44"/>
      <c r="AC93" s="79"/>
      <c r="AD93" s="16"/>
      <c r="AE93" t="str">
        <f t="shared" si="15"/>
        <v/>
      </c>
      <c r="AF93" t="str">
        <f t="shared" si="16"/>
        <v/>
      </c>
      <c r="AG93" t="str">
        <f t="shared" si="17"/>
        <v/>
      </c>
      <c r="AH93" t="str">
        <f t="shared" si="18"/>
        <v/>
      </c>
      <c r="AI93" t="str">
        <f>IF(Z93="","",IF(Z93&gt;AB93,Y92,""))</f>
        <v/>
      </c>
      <c r="AJ93" t="str">
        <f>IF(Z93="","",IF(Z93&lt;AB93,AC92,""))</f>
        <v/>
      </c>
      <c r="AK93" t="str">
        <f t="shared" si="19"/>
        <v/>
      </c>
      <c r="AL93"/>
      <c r="AM93"/>
      <c r="AN93"/>
      <c r="AO93" s="1"/>
      <c r="AP93"/>
      <c r="AQ93"/>
      <c r="AR93"/>
      <c r="AS93"/>
      <c r="AT93"/>
      <c r="AU93"/>
      <c r="AV93"/>
      <c r="AW93"/>
      <c r="AX93"/>
      <c r="AY93" s="89"/>
      <c r="AZ93"/>
      <c r="BA93"/>
      <c r="BB93" s="89"/>
      <c r="BC93"/>
      <c r="BD93"/>
      <c r="BE93"/>
      <c r="BF93"/>
      <c r="BG93"/>
      <c r="BH93"/>
      <c r="BI93"/>
      <c r="BJ93"/>
      <c r="BK93"/>
      <c r="BL93"/>
      <c r="BM93"/>
      <c r="BN93"/>
      <c r="BO93"/>
      <c r="BP93"/>
      <c r="BQ93"/>
      <c r="BR93" s="1395"/>
      <c r="BS93" s="1450"/>
      <c r="BT93" s="1450"/>
      <c r="BU93"/>
      <c r="BV93"/>
      <c r="BW93"/>
    </row>
    <row r="94" spans="1:75" ht="12.75" hidden="1" customHeight="1" outlineLevel="3" x14ac:dyDescent="0.2">
      <c r="A94"/>
      <c r="B94" s="1"/>
      <c r="C94"/>
      <c r="D94"/>
      <c r="E94"/>
      <c r="F94"/>
      <c r="G94" s="1"/>
      <c r="H94"/>
      <c r="I94"/>
      <c r="J94"/>
      <c r="K94"/>
      <c r="L94"/>
      <c r="M94"/>
      <c r="N94"/>
      <c r="O94"/>
      <c r="P94"/>
      <c r="Q94"/>
      <c r="R94"/>
      <c r="S94"/>
      <c r="T94"/>
      <c r="U94" s="331"/>
      <c r="V94" s="92"/>
      <c r="W94" s="56"/>
      <c r="X94" s="78"/>
      <c r="Y94" s="103"/>
      <c r="Z94" s="44"/>
      <c r="AA94" s="45" t="s">
        <v>769</v>
      </c>
      <c r="AB94" s="44"/>
      <c r="AC94" s="79"/>
      <c r="AD94" s="16"/>
      <c r="AE94" t="str">
        <f t="shared" si="15"/>
        <v/>
      </c>
      <c r="AF94" t="str">
        <f t="shared" si="16"/>
        <v/>
      </c>
      <c r="AG94" t="str">
        <f t="shared" si="17"/>
        <v/>
      </c>
      <c r="AH94" t="str">
        <f t="shared" si="18"/>
        <v/>
      </c>
      <c r="AI94" t="str">
        <f>IF(Z94="","",IF(Z94&gt;AB94,Y92,""))</f>
        <v/>
      </c>
      <c r="AJ94" t="str">
        <f>IF(Z94="","",IF(Z94&lt;AB94,AC92,""))</f>
        <v/>
      </c>
      <c r="AK94" t="str">
        <f t="shared" si="19"/>
        <v/>
      </c>
      <c r="AL94"/>
      <c r="AM94"/>
      <c r="AN94"/>
      <c r="AP94"/>
      <c r="AQ94"/>
      <c r="AR94"/>
      <c r="AS94"/>
      <c r="AT94"/>
      <c r="AU94"/>
      <c r="AV94"/>
      <c r="AW94"/>
      <c r="AX94"/>
      <c r="AY94"/>
      <c r="AZ94"/>
      <c r="BA94"/>
      <c r="BB94"/>
      <c r="BC94"/>
      <c r="BD94"/>
      <c r="BE94"/>
      <c r="BF94"/>
      <c r="BG94"/>
      <c r="BH94"/>
      <c r="BI94"/>
      <c r="BJ94"/>
      <c r="BK94"/>
      <c r="BL94"/>
      <c r="BM94"/>
      <c r="BN94"/>
      <c r="BO94"/>
      <c r="BP94"/>
      <c r="BQ94"/>
      <c r="BR94" s="1395"/>
      <c r="BS94" s="1450"/>
      <c r="BT94" s="1450"/>
      <c r="BU94"/>
      <c r="BV94"/>
      <c r="BW94"/>
    </row>
    <row r="95" spans="1:75" hidden="1" outlineLevel="2" x14ac:dyDescent="0.2">
      <c r="A95"/>
      <c r="B95" s="1"/>
      <c r="C95" s="11"/>
      <c r="D95" s="76"/>
      <c r="E95" s="76"/>
      <c r="F95" s="76"/>
      <c r="G95" s="9"/>
      <c r="H95" s="1"/>
      <c r="I95"/>
      <c r="J95"/>
      <c r="K95"/>
      <c r="L95"/>
      <c r="M95"/>
      <c r="N95"/>
      <c r="O95"/>
      <c r="P95" s="89"/>
      <c r="Q95"/>
      <c r="R95"/>
      <c r="S95" s="89"/>
      <c r="T95"/>
      <c r="U95" s="331" t="s">
        <v>1727</v>
      </c>
      <c r="V95" s="93"/>
      <c r="W95" s="84"/>
      <c r="X95" s="85"/>
      <c r="Y95" s="43" t="str">
        <f>IF(G81="","",G81)</f>
        <v>Db2</v>
      </c>
      <c r="Z95" s="86" t="str">
        <f>IF(OR(ISNUMBER(Z96),ISNUMBER(Z97)),2-COUNTBLANK(AI96:AI97),"")</f>
        <v/>
      </c>
      <c r="AA95" s="45" t="s">
        <v>769</v>
      </c>
      <c r="AB95" s="86" t="str">
        <f>IF(OR(ISNUMBER(Z96),ISNUMBER(Z97)),2-COUNTBLANK(AJ96:AJ97),"")</f>
        <v/>
      </c>
      <c r="AC95" s="46" t="str">
        <f>IF(G82="","",G82)</f>
        <v>Db3</v>
      </c>
      <c r="AD95" s="16"/>
      <c r="AE95" t="str">
        <f t="shared" si="15"/>
        <v/>
      </c>
      <c r="AF95" t="str">
        <f t="shared" si="16"/>
        <v/>
      </c>
      <c r="AG95" t="str">
        <f t="shared" si="17"/>
        <v/>
      </c>
      <c r="AH95" t="str">
        <f t="shared" si="18"/>
        <v/>
      </c>
      <c r="AI95" s="270" t="str">
        <f>IF(Z95="","",SUM(Z96:Z97))</f>
        <v/>
      </c>
      <c r="AJ95" s="270" t="str">
        <f>IF(Z95="","",SUM(AB96:AB97))</f>
        <v/>
      </c>
      <c r="AK95" t="str">
        <f t="shared" si="19"/>
        <v/>
      </c>
      <c r="AL95"/>
      <c r="AM95"/>
      <c r="AN95"/>
      <c r="AO95" s="1"/>
      <c r="AP95"/>
      <c r="AQ95"/>
      <c r="AR95"/>
      <c r="AS95"/>
      <c r="AT95"/>
      <c r="AU95"/>
      <c r="AV95"/>
      <c r="AW95"/>
      <c r="AX95"/>
      <c r="AY95" s="89"/>
      <c r="AZ95"/>
      <c r="BA95"/>
      <c r="BB95" s="89"/>
      <c r="BC95"/>
      <c r="BD95"/>
      <c r="BE95"/>
      <c r="BF95"/>
      <c r="BG95"/>
      <c r="BH95"/>
      <c r="BI95"/>
      <c r="BJ95"/>
      <c r="BK95"/>
      <c r="BL95"/>
      <c r="BM95"/>
      <c r="BN95"/>
      <c r="BO95"/>
      <c r="BP95"/>
      <c r="BQ95"/>
      <c r="BR95" s="1395"/>
      <c r="BS95" s="1450"/>
      <c r="BT95" s="1450"/>
      <c r="BU95"/>
      <c r="BV95"/>
      <c r="BW95"/>
    </row>
    <row r="96" spans="1:75" ht="12.75" hidden="1" customHeight="1" outlineLevel="3" x14ac:dyDescent="0.2">
      <c r="A96"/>
      <c r="B96" s="1"/>
      <c r="C96" s="11"/>
      <c r="D96" s="76"/>
      <c r="E96" s="76"/>
      <c r="F96" s="76"/>
      <c r="G96" s="9"/>
      <c r="H96" s="1"/>
      <c r="I96"/>
      <c r="J96"/>
      <c r="K96"/>
      <c r="L96"/>
      <c r="M96"/>
      <c r="N96"/>
      <c r="O96"/>
      <c r="P96" s="89"/>
      <c r="Q96"/>
      <c r="R96"/>
      <c r="S96" s="89"/>
      <c r="T96"/>
      <c r="U96" s="331"/>
      <c r="V96" s="92"/>
      <c r="W96" s="56"/>
      <c r="X96" s="78"/>
      <c r="Y96" s="103"/>
      <c r="Z96" s="44"/>
      <c r="AA96" s="45" t="s">
        <v>769</v>
      </c>
      <c r="AB96" s="44"/>
      <c r="AC96" s="79"/>
      <c r="AD96" s="16"/>
      <c r="AE96" t="str">
        <f t="shared" si="15"/>
        <v/>
      </c>
      <c r="AF96" t="str">
        <f t="shared" si="16"/>
        <v/>
      </c>
      <c r="AG96" t="str">
        <f t="shared" si="17"/>
        <v/>
      </c>
      <c r="AH96" t="str">
        <f t="shared" si="18"/>
        <v/>
      </c>
      <c r="AI96" t="str">
        <f>IF(Z96="","",IF(Z96&gt;AB96,Y95,""))</f>
        <v/>
      </c>
      <c r="AJ96" t="str">
        <f>IF(Z96="","",IF(Z96&lt;AB96,AC95,""))</f>
        <v/>
      </c>
      <c r="AK96" t="str">
        <f t="shared" si="19"/>
        <v/>
      </c>
      <c r="AL96"/>
      <c r="AM96"/>
      <c r="AN96"/>
      <c r="AO96" s="1"/>
      <c r="AP96"/>
      <c r="AQ96"/>
      <c r="AR96"/>
      <c r="AS96"/>
      <c r="AT96"/>
      <c r="AU96"/>
      <c r="AV96"/>
      <c r="AW96"/>
      <c r="AX96"/>
      <c r="AY96" s="89"/>
      <c r="AZ96"/>
      <c r="BA96"/>
      <c r="BB96" s="89"/>
      <c r="BC96"/>
      <c r="BD96"/>
      <c r="BE96"/>
      <c r="BF96"/>
      <c r="BG96"/>
      <c r="BH96"/>
      <c r="BI96"/>
      <c r="BJ96"/>
      <c r="BK96"/>
      <c r="BL96"/>
      <c r="BM96"/>
      <c r="BN96"/>
      <c r="BO96"/>
      <c r="BP96"/>
      <c r="BQ96"/>
      <c r="BR96" s="1395"/>
      <c r="BS96" s="1450"/>
      <c r="BT96" s="1450"/>
      <c r="BU96"/>
      <c r="BV96"/>
      <c r="BW96"/>
    </row>
    <row r="97" spans="1:75" ht="12.75" hidden="1" customHeight="1" outlineLevel="3" x14ac:dyDescent="0.2">
      <c r="A97"/>
      <c r="B97" s="1"/>
      <c r="C97"/>
      <c r="D97"/>
      <c r="E97"/>
      <c r="F97"/>
      <c r="G97" s="1"/>
      <c r="H97"/>
      <c r="I97"/>
      <c r="J97"/>
      <c r="K97"/>
      <c r="L97"/>
      <c r="M97"/>
      <c r="N97"/>
      <c r="O97"/>
      <c r="P97"/>
      <c r="Q97"/>
      <c r="R97"/>
      <c r="S97"/>
      <c r="T97"/>
      <c r="U97" s="331"/>
      <c r="V97" s="92"/>
      <c r="W97" s="56"/>
      <c r="X97" s="78"/>
      <c r="Y97" s="103"/>
      <c r="Z97" s="44"/>
      <c r="AA97" s="45" t="s">
        <v>769</v>
      </c>
      <c r="AB97" s="44"/>
      <c r="AC97" s="79"/>
      <c r="AD97" s="16"/>
      <c r="AE97" t="str">
        <f t="shared" si="15"/>
        <v/>
      </c>
      <c r="AF97" t="str">
        <f t="shared" si="16"/>
        <v/>
      </c>
      <c r="AG97" t="str">
        <f t="shared" si="17"/>
        <v/>
      </c>
      <c r="AH97" t="str">
        <f t="shared" si="18"/>
        <v/>
      </c>
      <c r="AI97" t="str">
        <f>IF(Z97="","",IF(Z97&gt;AB97,Y95,""))</f>
        <v/>
      </c>
      <c r="AJ97" t="str">
        <f>IF(Z97="","",IF(Z97&lt;AB97,AC95,""))</f>
        <v/>
      </c>
      <c r="AK97" t="str">
        <f t="shared" si="19"/>
        <v/>
      </c>
      <c r="AL97"/>
      <c r="AM97"/>
      <c r="AN97"/>
      <c r="AP97"/>
      <c r="AQ97"/>
      <c r="AR97"/>
      <c r="AS97"/>
      <c r="AT97"/>
      <c r="AU97"/>
      <c r="AV97"/>
      <c r="AW97"/>
      <c r="AX97"/>
      <c r="AY97"/>
      <c r="AZ97"/>
      <c r="BA97"/>
      <c r="BB97"/>
      <c r="BC97"/>
      <c r="BD97"/>
      <c r="BE97"/>
      <c r="BF97"/>
      <c r="BG97"/>
      <c r="BH97"/>
      <c r="BI97"/>
      <c r="BJ97"/>
      <c r="BK97"/>
      <c r="BL97"/>
      <c r="BM97"/>
      <c r="BN97"/>
      <c r="BO97"/>
      <c r="BP97"/>
      <c r="BQ97"/>
      <c r="BR97" s="1395"/>
      <c r="BS97" s="1450"/>
      <c r="BT97" s="1450"/>
      <c r="BU97"/>
      <c r="BV97"/>
      <c r="BW97"/>
    </row>
    <row r="98" spans="1:75" hidden="1" outlineLevel="2" x14ac:dyDescent="0.2">
      <c r="A98"/>
      <c r="B98" s="1"/>
      <c r="C98" s="11"/>
      <c r="D98" s="76"/>
      <c r="E98" s="76"/>
      <c r="F98" s="76"/>
      <c r="G98" s="9"/>
      <c r="H98" s="1"/>
      <c r="I98"/>
      <c r="J98"/>
      <c r="K98"/>
      <c r="L98"/>
      <c r="M98"/>
      <c r="N98"/>
      <c r="O98"/>
      <c r="P98" s="89"/>
      <c r="Q98"/>
      <c r="R98"/>
      <c r="S98" s="89"/>
      <c r="T98"/>
      <c r="U98" s="331" t="s">
        <v>1728</v>
      </c>
      <c r="V98" s="93"/>
      <c r="W98" s="84"/>
      <c r="X98" s="85"/>
      <c r="Y98" s="43" t="str">
        <f>IF(G80="","",G80)</f>
        <v>Db1</v>
      </c>
      <c r="Z98" s="86" t="str">
        <f>IF(OR(ISNUMBER(Z99),ISNUMBER(Z100)),2-COUNTBLANK(AI99:AI100),"")</f>
        <v/>
      </c>
      <c r="AA98" s="45" t="s">
        <v>769</v>
      </c>
      <c r="AB98" s="86" t="str">
        <f>IF(OR(ISNUMBER(Z99),ISNUMBER(Z100)),2-COUNTBLANK(AJ99:AJ100),"")</f>
        <v/>
      </c>
      <c r="AC98" s="46" t="str">
        <f>IF(G82="","",G82)</f>
        <v>Db3</v>
      </c>
      <c r="AD98" s="16"/>
      <c r="AE98" t="str">
        <f t="shared" si="15"/>
        <v/>
      </c>
      <c r="AF98" t="str">
        <f t="shared" si="16"/>
        <v/>
      </c>
      <c r="AG98" t="str">
        <f t="shared" si="17"/>
        <v/>
      </c>
      <c r="AH98" t="str">
        <f t="shared" si="18"/>
        <v/>
      </c>
      <c r="AI98" s="270" t="str">
        <f>IF(Z98="","",SUM(Z99:Z100))</f>
        <v/>
      </c>
      <c r="AJ98" s="270" t="str">
        <f>IF(Z98="","",SUM(AB99:AB100))</f>
        <v/>
      </c>
      <c r="AK98" t="str">
        <f t="shared" si="19"/>
        <v/>
      </c>
      <c r="AL98"/>
      <c r="AM98"/>
      <c r="AN98"/>
      <c r="AO98" s="1"/>
      <c r="AP98"/>
      <c r="AQ98"/>
      <c r="AR98"/>
      <c r="AS98"/>
      <c r="AT98"/>
      <c r="AU98"/>
      <c r="AV98"/>
      <c r="AW98"/>
      <c r="AX98"/>
      <c r="AY98" s="89"/>
      <c r="AZ98"/>
      <c r="BA98"/>
      <c r="BB98" s="89"/>
      <c r="BC98"/>
      <c r="BD98"/>
      <c r="BE98"/>
      <c r="BF98"/>
      <c r="BG98"/>
      <c r="BH98"/>
      <c r="BI98"/>
      <c r="BJ98"/>
      <c r="BK98"/>
      <c r="BL98"/>
      <c r="BM98"/>
      <c r="BN98"/>
      <c r="BO98"/>
      <c r="BP98"/>
      <c r="BQ98"/>
      <c r="BR98" s="1395"/>
      <c r="BS98" s="1450"/>
      <c r="BT98" s="1450"/>
      <c r="BU98"/>
      <c r="BV98"/>
      <c r="BW98"/>
    </row>
    <row r="99" spans="1:75" ht="12.75" hidden="1" customHeight="1" outlineLevel="3" x14ac:dyDescent="0.2">
      <c r="A99"/>
      <c r="B99" s="1"/>
      <c r="C99" s="11"/>
      <c r="D99" s="76"/>
      <c r="E99" s="76"/>
      <c r="F99" s="76"/>
      <c r="G99" s="9"/>
      <c r="H99" s="1"/>
      <c r="I99"/>
      <c r="J99"/>
      <c r="K99"/>
      <c r="L99"/>
      <c r="M99"/>
      <c r="N99"/>
      <c r="O99"/>
      <c r="P99" s="89"/>
      <c r="Q99"/>
      <c r="R99"/>
      <c r="S99" s="89"/>
      <c r="T99"/>
      <c r="U99" s="331"/>
      <c r="V99" s="92"/>
      <c r="W99" s="56"/>
      <c r="X99" s="78"/>
      <c r="Y99" s="103"/>
      <c r="Z99" s="44"/>
      <c r="AA99" s="45" t="s">
        <v>769</v>
      </c>
      <c r="AB99" s="44"/>
      <c r="AC99" s="79"/>
      <c r="AD99" s="16"/>
      <c r="AE99" t="str">
        <f t="shared" si="15"/>
        <v/>
      </c>
      <c r="AF99" t="str">
        <f t="shared" si="16"/>
        <v/>
      </c>
      <c r="AG99" t="str">
        <f t="shared" si="17"/>
        <v/>
      </c>
      <c r="AH99" t="str">
        <f t="shared" si="18"/>
        <v/>
      </c>
      <c r="AI99" t="str">
        <f>IF(Z99="","",IF(Z99&gt;AB99,Y98,""))</f>
        <v/>
      </c>
      <c r="AJ99" t="str">
        <f>IF(Z99="","",IF(Z99&lt;AB99,AC98,""))</f>
        <v/>
      </c>
      <c r="AK99" t="str">
        <f t="shared" si="19"/>
        <v/>
      </c>
      <c r="AL99"/>
      <c r="AM99"/>
      <c r="AN99"/>
      <c r="AO99" s="1"/>
      <c r="AP99"/>
      <c r="AQ99"/>
      <c r="AR99"/>
      <c r="AS99"/>
      <c r="AT99"/>
      <c r="AU99"/>
      <c r="AV99"/>
      <c r="AW99"/>
      <c r="AX99"/>
      <c r="AY99" s="89"/>
      <c r="AZ99"/>
      <c r="BA99"/>
      <c r="BB99" s="89"/>
      <c r="BC99"/>
      <c r="BD99"/>
      <c r="BE99"/>
      <c r="BF99"/>
      <c r="BG99"/>
      <c r="BH99"/>
      <c r="BI99"/>
      <c r="BJ99"/>
      <c r="BK99"/>
      <c r="BL99"/>
      <c r="BM99"/>
      <c r="BN99"/>
      <c r="BO99"/>
      <c r="BP99"/>
      <c r="BQ99"/>
      <c r="BR99" s="1395"/>
      <c r="BS99" s="1450"/>
      <c r="BT99" s="1450"/>
      <c r="BU99"/>
      <c r="BV99"/>
      <c r="BW99"/>
    </row>
    <row r="100" spans="1:75" ht="12.75" hidden="1" customHeight="1" outlineLevel="3" x14ac:dyDescent="0.2">
      <c r="A100"/>
      <c r="B100" s="1"/>
      <c r="C100"/>
      <c r="D100"/>
      <c r="E100"/>
      <c r="F100"/>
      <c r="G100" s="1"/>
      <c r="H100"/>
      <c r="I100"/>
      <c r="J100"/>
      <c r="K100"/>
      <c r="L100"/>
      <c r="M100"/>
      <c r="N100"/>
      <c r="O100"/>
      <c r="P100"/>
      <c r="Q100"/>
      <c r="R100"/>
      <c r="S100"/>
      <c r="T100"/>
      <c r="U100" s="331"/>
      <c r="V100" s="92"/>
      <c r="W100" s="56"/>
      <c r="X100" s="78"/>
      <c r="Y100" s="103"/>
      <c r="Z100" s="44"/>
      <c r="AA100" s="45" t="s">
        <v>769</v>
      </c>
      <c r="AB100" s="44"/>
      <c r="AC100" s="79"/>
      <c r="AD100" s="16"/>
      <c r="AE100" t="str">
        <f t="shared" si="15"/>
        <v/>
      </c>
      <c r="AF100" t="str">
        <f t="shared" si="16"/>
        <v/>
      </c>
      <c r="AG100" t="str">
        <f t="shared" si="17"/>
        <v/>
      </c>
      <c r="AH100" t="str">
        <f t="shared" si="18"/>
        <v/>
      </c>
      <c r="AI100" t="str">
        <f>IF(Z100="","",IF(Z100&gt;AB100,Y98,""))</f>
        <v/>
      </c>
      <c r="AJ100" t="str">
        <f>IF(Z100="","",IF(Z100&lt;AB100,AC98,""))</f>
        <v/>
      </c>
      <c r="AK100" t="str">
        <f t="shared" si="19"/>
        <v/>
      </c>
      <c r="AL100"/>
      <c r="AM100"/>
      <c r="AN100"/>
      <c r="AP100"/>
      <c r="AQ100"/>
      <c r="AR100"/>
      <c r="AS100"/>
      <c r="AT100"/>
      <c r="AU100"/>
      <c r="AV100"/>
      <c r="AW100"/>
      <c r="AX100"/>
      <c r="AY100"/>
      <c r="AZ100"/>
      <c r="BA100"/>
      <c r="BB100"/>
      <c r="BC100"/>
      <c r="BD100"/>
      <c r="BE100"/>
      <c r="BF100"/>
      <c r="BG100"/>
      <c r="BH100"/>
      <c r="BI100"/>
      <c r="BJ100"/>
      <c r="BK100"/>
      <c r="BL100"/>
      <c r="BM100"/>
      <c r="BN100"/>
      <c r="BO100"/>
      <c r="BP100"/>
      <c r="BQ100"/>
      <c r="BR100" s="1395"/>
      <c r="BS100" s="1450"/>
      <c r="BT100" s="1450"/>
      <c r="BU100"/>
      <c r="BV100"/>
      <c r="BW100"/>
    </row>
    <row r="101" spans="1:75" hidden="1" outlineLevel="2" x14ac:dyDescent="0.2">
      <c r="A101"/>
      <c r="B101" s="1"/>
      <c r="C101"/>
      <c r="D101"/>
      <c r="E101"/>
      <c r="F101"/>
      <c r="G101" s="1"/>
      <c r="H101"/>
      <c r="I101"/>
      <c r="J101"/>
      <c r="K101"/>
      <c r="L101"/>
      <c r="M101"/>
      <c r="N101"/>
      <c r="O101"/>
      <c r="P101"/>
      <c r="Q101"/>
      <c r="R101"/>
      <c r="S101"/>
      <c r="T101"/>
      <c r="U101" s="331" t="s">
        <v>1728</v>
      </c>
      <c r="V101" s="93"/>
      <c r="W101" s="84"/>
      <c r="X101" s="85"/>
      <c r="Y101" s="43" t="str">
        <f>IF(G83="","",G83)</f>
        <v>Db4</v>
      </c>
      <c r="Z101" s="86" t="str">
        <f>IF(OR(ISNUMBER(Z102),ISNUMBER(Z103)),2-COUNTBLANK(AI102:AI103),"")</f>
        <v/>
      </c>
      <c r="AA101" s="45" t="s">
        <v>769</v>
      </c>
      <c r="AB101" s="86" t="str">
        <f>IF(OR(ISNUMBER(Z102),ISNUMBER(Z103)),2-COUNTBLANK(AJ102:AJ103),"")</f>
        <v/>
      </c>
      <c r="AC101" s="46" t="str">
        <f>IF(G84="","",G84)</f>
        <v>Db5</v>
      </c>
      <c r="AD101" s="16"/>
      <c r="AE101" t="str">
        <f t="shared" si="15"/>
        <v/>
      </c>
      <c r="AF101" t="str">
        <f t="shared" si="16"/>
        <v/>
      </c>
      <c r="AG101" t="str">
        <f t="shared" si="17"/>
        <v/>
      </c>
      <c r="AH101" t="str">
        <f t="shared" si="18"/>
        <v/>
      </c>
      <c r="AI101" s="270" t="str">
        <f>IF(Z101="","",SUM(Z103:Z115))</f>
        <v/>
      </c>
      <c r="AJ101" s="270" t="str">
        <f>IF(Z101="","",SUM(AB103:AB115))</f>
        <v/>
      </c>
      <c r="AK101" t="str">
        <f t="shared" si="19"/>
        <v/>
      </c>
      <c r="AL101"/>
      <c r="AM101"/>
      <c r="AN101"/>
      <c r="AP101"/>
      <c r="AQ101"/>
      <c r="AR101"/>
      <c r="AS101"/>
      <c r="AT101"/>
      <c r="AU101"/>
      <c r="AV101"/>
      <c r="AW101"/>
      <c r="AX101"/>
      <c r="AY101"/>
      <c r="AZ101"/>
      <c r="BA101"/>
      <c r="BB101"/>
      <c r="BC101"/>
      <c r="BD101"/>
      <c r="BE101"/>
      <c r="BF101"/>
      <c r="BG101"/>
      <c r="BH101"/>
      <c r="BI101"/>
      <c r="BJ101"/>
      <c r="BK101"/>
      <c r="BL101"/>
      <c r="BM101"/>
      <c r="BN101"/>
      <c r="BO101"/>
      <c r="BP101"/>
      <c r="BQ101"/>
      <c r="BR101" s="1395"/>
      <c r="BS101" s="1450"/>
      <c r="BT101" s="1450"/>
      <c r="BU101"/>
      <c r="BV101"/>
      <c r="BW101"/>
    </row>
    <row r="102" spans="1:75" ht="12.75" hidden="1" customHeight="1" outlineLevel="3" x14ac:dyDescent="0.2">
      <c r="A102"/>
      <c r="B102" s="1"/>
      <c r="C102"/>
      <c r="D102"/>
      <c r="E102"/>
      <c r="F102"/>
      <c r="G102" s="1"/>
      <c r="H102"/>
      <c r="I102"/>
      <c r="J102"/>
      <c r="K102"/>
      <c r="L102"/>
      <c r="M102"/>
      <c r="N102"/>
      <c r="O102"/>
      <c r="P102"/>
      <c r="Q102"/>
      <c r="R102"/>
      <c r="S102"/>
      <c r="T102"/>
      <c r="U102" s="11"/>
      <c r="V102" s="92"/>
      <c r="W102" s="56"/>
      <c r="X102" s="78"/>
      <c r="Y102" s="103"/>
      <c r="Z102" s="44"/>
      <c r="AA102" s="45" t="s">
        <v>769</v>
      </c>
      <c r="AB102" s="44"/>
      <c r="AC102" s="79"/>
      <c r="AD102" s="16"/>
      <c r="AE102" t="str">
        <f>IF(Z102="","",IF(Z102&gt;AB102,Y102,IF(Z102=AB102,"",AC102)))</f>
        <v/>
      </c>
      <c r="AF102" t="str">
        <f>IF(Z102="","",IF(Z102=AB102,Y102,""))</f>
        <v/>
      </c>
      <c r="AG102" t="str">
        <f>IF(Z102="","",IF(Z102=AB102,AC102,""))</f>
        <v/>
      </c>
      <c r="AH102" t="str">
        <f>IF(Z102="","",IF(Z102&lt;AB102,Y102,IF(Z102=AB102,"",AC102)))</f>
        <v/>
      </c>
      <c r="AI102" t="str">
        <f>IF(Z102="","",IF(Z102&gt;AB102,Y101,""))</f>
        <v/>
      </c>
      <c r="AJ102" t="str">
        <f>IF(Z102="","",IF(Z102&lt;AB102,AC101,""))</f>
        <v/>
      </c>
      <c r="AK102" t="str">
        <f>CONCATENATE(AE102,AH102)</f>
        <v/>
      </c>
      <c r="AL102"/>
      <c r="AM102"/>
      <c r="AN102"/>
      <c r="AP102"/>
      <c r="AQ102"/>
      <c r="AR102"/>
      <c r="AS102"/>
      <c r="AT102"/>
      <c r="AU102"/>
      <c r="AV102"/>
      <c r="AW102"/>
      <c r="AX102"/>
      <c r="AY102"/>
      <c r="AZ102"/>
      <c r="BA102"/>
      <c r="BB102"/>
      <c r="BC102"/>
      <c r="BD102"/>
      <c r="BE102"/>
      <c r="BF102"/>
      <c r="BG102"/>
      <c r="BH102"/>
      <c r="BI102"/>
      <c r="BJ102"/>
      <c r="BK102"/>
      <c r="BL102"/>
      <c r="BM102"/>
      <c r="BN102"/>
      <c r="BO102"/>
      <c r="BP102"/>
      <c r="BQ102"/>
      <c r="BR102" s="1395"/>
      <c r="BS102" s="1450"/>
      <c r="BT102" s="1450"/>
      <c r="BU102"/>
      <c r="BV102"/>
      <c r="BW102"/>
    </row>
    <row r="103" spans="1:75" ht="12.75" hidden="1" customHeight="1" outlineLevel="3" x14ac:dyDescent="0.2">
      <c r="A103"/>
      <c r="B103" s="1"/>
      <c r="C103"/>
      <c r="D103"/>
      <c r="E103"/>
      <c r="F103"/>
      <c r="G103" s="1"/>
      <c r="H103"/>
      <c r="I103"/>
      <c r="J103"/>
      <c r="K103"/>
      <c r="L103"/>
      <c r="M103"/>
      <c r="N103"/>
      <c r="O103"/>
      <c r="P103"/>
      <c r="Q103"/>
      <c r="R103"/>
      <c r="S103"/>
      <c r="T103"/>
      <c r="U103" s="11"/>
      <c r="V103" s="92"/>
      <c r="W103" s="56"/>
      <c r="X103" s="78"/>
      <c r="Y103" s="103"/>
      <c r="Z103" s="44"/>
      <c r="AA103" s="45" t="s">
        <v>769</v>
      </c>
      <c r="AB103" s="44"/>
      <c r="AC103" s="79"/>
      <c r="AD103" s="16"/>
      <c r="AE103" t="str">
        <f>IF(Z103="","",IF(Z103&gt;AB103,Y103,IF(Z103=AB103,"",AC103)))</f>
        <v/>
      </c>
      <c r="AF103" t="str">
        <f>IF(Z103="","",IF(Z103=AB103,Y103,""))</f>
        <v/>
      </c>
      <c r="AG103" t="str">
        <f>IF(Z103="","",IF(Z103=AB103,AC103,""))</f>
        <v/>
      </c>
      <c r="AH103" t="str">
        <f>IF(Z103="","",IF(Z103&lt;AB103,Y103,IF(Z103=AB103,"",AC103)))</f>
        <v/>
      </c>
      <c r="AI103" t="str">
        <f>IF(Z103="","",IF(Z103&gt;AB103,Y101,""))</f>
        <v/>
      </c>
      <c r="AJ103" t="str">
        <f>IF(Z103="","",IF(Z103&lt;AB103,AC101,""))</f>
        <v/>
      </c>
      <c r="AK103" t="str">
        <f>CONCATENATE(AE103,AH103)</f>
        <v/>
      </c>
      <c r="AL103"/>
      <c r="AM103"/>
      <c r="AN103"/>
      <c r="AP103"/>
      <c r="AQ103"/>
      <c r="AR103"/>
      <c r="AS103"/>
      <c r="AT103"/>
      <c r="AU103"/>
      <c r="AV103"/>
      <c r="AW103"/>
      <c r="AX103"/>
      <c r="AY103"/>
      <c r="AZ103"/>
      <c r="BA103"/>
      <c r="BB103"/>
      <c r="BC103"/>
      <c r="BD103"/>
      <c r="BE103"/>
      <c r="BF103"/>
      <c r="BG103"/>
      <c r="BH103"/>
      <c r="BI103"/>
      <c r="BJ103"/>
      <c r="BK103"/>
      <c r="BL103"/>
      <c r="BM103"/>
      <c r="BN103"/>
      <c r="BO103"/>
      <c r="BP103"/>
      <c r="BQ103"/>
      <c r="BR103" s="1395"/>
      <c r="BS103" s="1450"/>
      <c r="BT103" s="1450"/>
      <c r="BU103"/>
      <c r="BV103"/>
      <c r="BW103"/>
    </row>
    <row r="104" spans="1:75" hidden="1" outlineLevel="2" x14ac:dyDescent="0.2">
      <c r="A104"/>
      <c r="B104" s="1"/>
      <c r="C104"/>
      <c r="D104"/>
      <c r="E104"/>
      <c r="F104"/>
      <c r="G104" s="1"/>
      <c r="H104"/>
      <c r="I104"/>
      <c r="J104"/>
      <c r="K104"/>
      <c r="L104"/>
      <c r="M104"/>
      <c r="N104"/>
      <c r="O104"/>
      <c r="P104"/>
      <c r="Q104"/>
      <c r="R104"/>
      <c r="S104"/>
      <c r="T104"/>
      <c r="U104" s="331" t="s">
        <v>1729</v>
      </c>
      <c r="V104" s="93"/>
      <c r="W104" s="84"/>
      <c r="X104" s="85"/>
      <c r="Y104" s="43" t="str">
        <f>IF(G81="","",G81)</f>
        <v>Db2</v>
      </c>
      <c r="Z104" s="86" t="str">
        <f>IF(OR(ISNUMBER(Z105),ISNUMBER(Z106)),2-COUNTBLANK(AI105:AI106),"")</f>
        <v/>
      </c>
      <c r="AA104" s="45" t="s">
        <v>769</v>
      </c>
      <c r="AB104" s="86" t="str">
        <f>IF(OR(ISNUMBER(Z105),ISNUMBER(Z106)),2-COUNTBLANK(AJ105:AJ106),"")</f>
        <v/>
      </c>
      <c r="AC104" s="46" t="str">
        <f>IF(G84="","",G84)</f>
        <v>Db5</v>
      </c>
      <c r="AD104" s="16"/>
      <c r="AE104" t="str">
        <f t="shared" si="15"/>
        <v/>
      </c>
      <c r="AF104" t="str">
        <f t="shared" si="16"/>
        <v/>
      </c>
      <c r="AG104" t="str">
        <f t="shared" si="17"/>
        <v/>
      </c>
      <c r="AH104" t="str">
        <f t="shared" si="18"/>
        <v/>
      </c>
      <c r="AI104" s="270" t="str">
        <f>IF(Z104="","",SUM(Z105:Z106))</f>
        <v/>
      </c>
      <c r="AJ104" s="270" t="str">
        <f>IF(Z104="","",SUM(AB105:AB106))</f>
        <v/>
      </c>
      <c r="AK104" t="str">
        <f t="shared" si="19"/>
        <v/>
      </c>
      <c r="AL104"/>
      <c r="AM104"/>
      <c r="AN104"/>
      <c r="AP104"/>
      <c r="AQ104"/>
      <c r="AR104"/>
      <c r="AS104"/>
      <c r="AT104"/>
      <c r="AU104"/>
      <c r="AV104"/>
      <c r="AW104"/>
      <c r="AX104"/>
      <c r="AY104"/>
      <c r="AZ104"/>
      <c r="BA104"/>
      <c r="BB104"/>
      <c r="BC104"/>
      <c r="BD104"/>
      <c r="BE104"/>
      <c r="BF104"/>
      <c r="BG104"/>
      <c r="BH104"/>
      <c r="BI104"/>
      <c r="BJ104"/>
      <c r="BK104"/>
      <c r="BL104"/>
      <c r="BM104"/>
      <c r="BN104"/>
      <c r="BO104"/>
      <c r="BP104"/>
      <c r="BQ104"/>
      <c r="BR104" s="1395"/>
      <c r="BS104" s="1450"/>
      <c r="BT104" s="1450"/>
      <c r="BU104"/>
      <c r="BV104"/>
      <c r="BW104"/>
    </row>
    <row r="105" spans="1:75" ht="12.75" hidden="1" customHeight="1" outlineLevel="3" x14ac:dyDescent="0.2">
      <c r="A105"/>
      <c r="B105" s="1"/>
      <c r="C105"/>
      <c r="D105"/>
      <c r="E105"/>
      <c r="F105"/>
      <c r="G105" s="1"/>
      <c r="H105"/>
      <c r="I105"/>
      <c r="J105"/>
      <c r="K105"/>
      <c r="L105"/>
      <c r="M105"/>
      <c r="N105"/>
      <c r="O105"/>
      <c r="P105"/>
      <c r="Q105"/>
      <c r="R105"/>
      <c r="S105"/>
      <c r="T105"/>
      <c r="U105" s="331"/>
      <c r="V105" s="92"/>
      <c r="W105" s="56"/>
      <c r="X105" s="78"/>
      <c r="Y105" s="103"/>
      <c r="Z105" s="44"/>
      <c r="AA105" s="45" t="s">
        <v>769</v>
      </c>
      <c r="AB105" s="44"/>
      <c r="AC105" s="79"/>
      <c r="AD105" s="16"/>
      <c r="AE105" t="str">
        <f t="shared" si="15"/>
        <v/>
      </c>
      <c r="AF105" t="str">
        <f t="shared" si="16"/>
        <v/>
      </c>
      <c r="AG105" t="str">
        <f t="shared" si="17"/>
        <v/>
      </c>
      <c r="AH105" t="str">
        <f t="shared" si="18"/>
        <v/>
      </c>
      <c r="AI105" t="str">
        <f>IF(Z105="","",IF(Z105&gt;AB105,Y104,""))</f>
        <v/>
      </c>
      <c r="AJ105" t="str">
        <f>IF(Z105="","",IF(Z105&lt;AB105,AC104,""))</f>
        <v/>
      </c>
      <c r="AK105" t="str">
        <f t="shared" si="19"/>
        <v/>
      </c>
      <c r="AL105"/>
      <c r="AM105"/>
      <c r="AN105"/>
      <c r="AP105"/>
      <c r="AQ105"/>
      <c r="AR105"/>
      <c r="AS105"/>
      <c r="AT105"/>
      <c r="AU105"/>
      <c r="AV105"/>
      <c r="AW105"/>
      <c r="AX105"/>
      <c r="AY105"/>
      <c r="AZ105"/>
      <c r="BA105"/>
      <c r="BB105"/>
      <c r="BC105"/>
      <c r="BD105"/>
      <c r="BE105"/>
      <c r="BF105"/>
      <c r="BG105"/>
      <c r="BH105"/>
      <c r="BI105"/>
      <c r="BJ105"/>
      <c r="BK105"/>
      <c r="BL105"/>
      <c r="BM105"/>
      <c r="BN105"/>
      <c r="BO105"/>
      <c r="BP105"/>
      <c r="BQ105"/>
      <c r="BR105" s="1395"/>
      <c r="BS105" s="1450"/>
      <c r="BT105" s="1450"/>
      <c r="BU105"/>
      <c r="BV105"/>
      <c r="BW105"/>
    </row>
    <row r="106" spans="1:75" ht="12.75" hidden="1" customHeight="1" outlineLevel="3" x14ac:dyDescent="0.2">
      <c r="A106"/>
      <c r="B106" s="1"/>
      <c r="C106"/>
      <c r="D106"/>
      <c r="E106"/>
      <c r="F106"/>
      <c r="G106" s="1"/>
      <c r="H106"/>
      <c r="I106"/>
      <c r="J106"/>
      <c r="K106"/>
      <c r="L106"/>
      <c r="M106"/>
      <c r="N106"/>
      <c r="O106"/>
      <c r="P106"/>
      <c r="Q106"/>
      <c r="R106"/>
      <c r="S106"/>
      <c r="T106"/>
      <c r="U106" s="331"/>
      <c r="V106" s="92"/>
      <c r="W106" s="56"/>
      <c r="X106" s="78"/>
      <c r="Y106" s="103"/>
      <c r="Z106" s="44"/>
      <c r="AA106" s="45" t="s">
        <v>769</v>
      </c>
      <c r="AB106" s="44"/>
      <c r="AC106" s="79"/>
      <c r="AD106" s="16"/>
      <c r="AE106" t="str">
        <f t="shared" si="15"/>
        <v/>
      </c>
      <c r="AF106" t="str">
        <f t="shared" si="16"/>
        <v/>
      </c>
      <c r="AG106" t="str">
        <f t="shared" si="17"/>
        <v/>
      </c>
      <c r="AH106" t="str">
        <f t="shared" si="18"/>
        <v/>
      </c>
      <c r="AI106" t="str">
        <f>IF(Z106="","",IF(Z106&gt;AB106,Y104,""))</f>
        <v/>
      </c>
      <c r="AJ106" t="str">
        <f>IF(Z106="","",IF(Z106&lt;AB106,AC104,""))</f>
        <v/>
      </c>
      <c r="AK106" t="str">
        <f t="shared" si="19"/>
        <v/>
      </c>
      <c r="AL106"/>
      <c r="AM106"/>
      <c r="AN106"/>
      <c r="AP106"/>
      <c r="AQ106"/>
      <c r="AR106"/>
      <c r="AS106"/>
      <c r="AT106"/>
      <c r="AU106"/>
      <c r="AV106"/>
      <c r="AW106"/>
      <c r="AX106"/>
      <c r="AY106"/>
      <c r="AZ106"/>
      <c r="BA106"/>
      <c r="BB106"/>
      <c r="BC106"/>
      <c r="BD106"/>
      <c r="BE106"/>
      <c r="BF106"/>
      <c r="BG106"/>
      <c r="BH106"/>
      <c r="BI106"/>
      <c r="BJ106"/>
      <c r="BK106"/>
      <c r="BL106"/>
      <c r="BM106"/>
      <c r="BN106"/>
      <c r="BO106"/>
      <c r="BP106"/>
      <c r="BQ106"/>
      <c r="BR106" s="1395"/>
      <c r="BS106" s="1450"/>
      <c r="BT106" s="1450"/>
      <c r="BU106"/>
      <c r="BV106"/>
      <c r="BW106"/>
    </row>
    <row r="107" spans="1:75" hidden="1" outlineLevel="2" x14ac:dyDescent="0.2">
      <c r="A107"/>
      <c r="B107" s="1"/>
      <c r="C107"/>
      <c r="D107"/>
      <c r="E107"/>
      <c r="F107"/>
      <c r="G107" s="1"/>
      <c r="H107"/>
      <c r="I107"/>
      <c r="J107"/>
      <c r="K107"/>
      <c r="L107"/>
      <c r="M107"/>
      <c r="N107"/>
      <c r="O107"/>
      <c r="P107"/>
      <c r="Q107"/>
      <c r="R107"/>
      <c r="S107"/>
      <c r="T107"/>
      <c r="U107" s="331" t="s">
        <v>1729</v>
      </c>
      <c r="V107" s="93"/>
      <c r="W107" s="84"/>
      <c r="X107" s="85"/>
      <c r="Y107" s="43" t="str">
        <f>IF(G82="","",G82)</f>
        <v>Db3</v>
      </c>
      <c r="Z107" s="86" t="str">
        <f>IF(OR(ISNUMBER(Z108),ISNUMBER(Z109)),2-COUNTBLANK(AI108:AI109),"")</f>
        <v/>
      </c>
      <c r="AA107" s="45" t="s">
        <v>769</v>
      </c>
      <c r="AB107" s="86" t="str">
        <f>IF(OR(ISNUMBER(Z108),ISNUMBER(Z109)),2-COUNTBLANK(AJ108:AJ109),"")</f>
        <v/>
      </c>
      <c r="AC107" s="46" t="str">
        <f>IF(G83="","",G83)</f>
        <v>Db4</v>
      </c>
      <c r="AD107" s="16"/>
      <c r="AE107" t="str">
        <f t="shared" si="15"/>
        <v/>
      </c>
      <c r="AF107" t="str">
        <f t="shared" si="16"/>
        <v/>
      </c>
      <c r="AG107" t="str">
        <f t="shared" si="17"/>
        <v/>
      </c>
      <c r="AH107" t="str">
        <f t="shared" si="18"/>
        <v/>
      </c>
      <c r="AI107" s="270" t="str">
        <f>IF(Z107="","",SUM(Z108:Z109))</f>
        <v/>
      </c>
      <c r="AJ107" s="270" t="str">
        <f>IF(Z107="","",SUM(AB108:AB109))</f>
        <v/>
      </c>
      <c r="AK107" t="str">
        <f t="shared" si="19"/>
        <v/>
      </c>
      <c r="AL107"/>
      <c r="AM107"/>
      <c r="AN107"/>
      <c r="AP107"/>
      <c r="AQ107"/>
      <c r="AR107"/>
      <c r="AS107"/>
      <c r="AT107"/>
      <c r="AU107"/>
      <c r="AV107"/>
      <c r="AW107"/>
      <c r="AX107"/>
      <c r="AY107"/>
      <c r="AZ107"/>
      <c r="BA107"/>
      <c r="BB107"/>
      <c r="BC107"/>
      <c r="BD107"/>
      <c r="BE107"/>
      <c r="BF107"/>
      <c r="BG107"/>
      <c r="BH107"/>
      <c r="BI107"/>
      <c r="BJ107"/>
      <c r="BK107"/>
      <c r="BL107"/>
      <c r="BM107"/>
      <c r="BN107"/>
      <c r="BO107"/>
      <c r="BP107"/>
      <c r="BQ107"/>
      <c r="BR107" s="1395"/>
      <c r="BS107" s="1450"/>
      <c r="BT107" s="1450"/>
      <c r="BU107"/>
      <c r="BV107"/>
      <c r="BW107"/>
    </row>
    <row r="108" spans="1:75" ht="12.75" hidden="1" customHeight="1" outlineLevel="3" x14ac:dyDescent="0.2">
      <c r="A108"/>
      <c r="B108" s="1"/>
      <c r="C108"/>
      <c r="D108"/>
      <c r="E108"/>
      <c r="F108"/>
      <c r="G108" s="1"/>
      <c r="H108"/>
      <c r="I108"/>
      <c r="J108"/>
      <c r="K108"/>
      <c r="L108"/>
      <c r="M108"/>
      <c r="N108"/>
      <c r="O108"/>
      <c r="P108"/>
      <c r="Q108"/>
      <c r="R108"/>
      <c r="S108"/>
      <c r="T108"/>
      <c r="U108" s="331"/>
      <c r="V108" s="92"/>
      <c r="W108" s="56"/>
      <c r="X108" s="78"/>
      <c r="Y108" s="103"/>
      <c r="Z108" s="44"/>
      <c r="AA108" s="45" t="s">
        <v>769</v>
      </c>
      <c r="AB108" s="44"/>
      <c r="AC108" s="79"/>
      <c r="AD108" s="16"/>
      <c r="AE108" t="str">
        <f t="shared" si="15"/>
        <v/>
      </c>
      <c r="AF108" t="str">
        <f t="shared" si="16"/>
        <v/>
      </c>
      <c r="AG108" t="str">
        <f t="shared" si="17"/>
        <v/>
      </c>
      <c r="AH108" t="str">
        <f t="shared" si="18"/>
        <v/>
      </c>
      <c r="AI108" t="str">
        <f>IF(Z108="","",IF(Z108&gt;AB108,Y107,""))</f>
        <v/>
      </c>
      <c r="AJ108" t="str">
        <f>IF(Z108="","",IF(Z108&lt;AB108,AC107,""))</f>
        <v/>
      </c>
      <c r="AK108" t="str">
        <f t="shared" si="19"/>
        <v/>
      </c>
      <c r="AL108"/>
      <c r="AM108"/>
      <c r="AN108"/>
      <c r="AP108"/>
      <c r="AQ108"/>
      <c r="AR108"/>
      <c r="AS108"/>
      <c r="AT108"/>
      <c r="AU108"/>
      <c r="AV108"/>
      <c r="AW108"/>
      <c r="AX108"/>
      <c r="AY108"/>
      <c r="AZ108"/>
      <c r="BA108"/>
      <c r="BB108"/>
      <c r="BC108"/>
      <c r="BD108"/>
      <c r="BE108"/>
      <c r="BF108"/>
      <c r="BG108"/>
      <c r="BH108"/>
      <c r="BI108"/>
      <c r="BJ108"/>
      <c r="BK108"/>
      <c r="BL108"/>
      <c r="BM108"/>
      <c r="BN108"/>
      <c r="BO108"/>
      <c r="BP108"/>
      <c r="BQ108"/>
      <c r="BR108" s="1395"/>
      <c r="BS108" s="1450"/>
      <c r="BT108" s="1450"/>
      <c r="BU108"/>
      <c r="BV108"/>
      <c r="BW108"/>
    </row>
    <row r="109" spans="1:75" ht="12.75" hidden="1" customHeight="1" outlineLevel="3" x14ac:dyDescent="0.2">
      <c r="A109"/>
      <c r="B109" s="1"/>
      <c r="C109"/>
      <c r="D109"/>
      <c r="E109"/>
      <c r="F109"/>
      <c r="G109" s="1"/>
      <c r="H109"/>
      <c r="I109"/>
      <c r="J109"/>
      <c r="K109"/>
      <c r="L109"/>
      <c r="M109"/>
      <c r="N109"/>
      <c r="O109"/>
      <c r="P109"/>
      <c r="Q109"/>
      <c r="R109"/>
      <c r="S109"/>
      <c r="T109"/>
      <c r="U109" s="331"/>
      <c r="V109" s="92"/>
      <c r="W109" s="56"/>
      <c r="X109" s="78"/>
      <c r="Y109" s="103"/>
      <c r="Z109" s="44"/>
      <c r="AA109" s="45" t="s">
        <v>769</v>
      </c>
      <c r="AB109" s="44"/>
      <c r="AC109" s="79"/>
      <c r="AD109" s="16"/>
      <c r="AE109" t="str">
        <f t="shared" si="15"/>
        <v/>
      </c>
      <c r="AF109" t="str">
        <f t="shared" si="16"/>
        <v/>
      </c>
      <c r="AG109" t="str">
        <f t="shared" si="17"/>
        <v/>
      </c>
      <c r="AH109" t="str">
        <f t="shared" si="18"/>
        <v/>
      </c>
      <c r="AI109" t="str">
        <f>IF(Z109="","",IF(Z109&gt;AB109,Y107,""))</f>
        <v/>
      </c>
      <c r="AJ109" t="str">
        <f>IF(Z109="","",IF(Z109&lt;AB109,AC107,""))</f>
        <v/>
      </c>
      <c r="AK109" t="str">
        <f t="shared" si="19"/>
        <v/>
      </c>
      <c r="AL109"/>
      <c r="AM109"/>
      <c r="AN109"/>
      <c r="AP109"/>
      <c r="AQ109"/>
      <c r="AR109"/>
      <c r="AS109"/>
      <c r="AT109"/>
      <c r="AU109"/>
      <c r="AV109"/>
      <c r="AW109"/>
      <c r="AX109"/>
      <c r="AY109"/>
      <c r="AZ109"/>
      <c r="BA109"/>
      <c r="BB109"/>
      <c r="BC109"/>
      <c r="BD109"/>
      <c r="BE109"/>
      <c r="BF109"/>
      <c r="BG109"/>
      <c r="BH109"/>
      <c r="BI109"/>
      <c r="BJ109"/>
      <c r="BK109"/>
      <c r="BL109"/>
      <c r="BM109"/>
      <c r="BN109"/>
      <c r="BO109"/>
      <c r="BP109"/>
      <c r="BQ109"/>
      <c r="BR109" s="1395"/>
      <c r="BS109" s="1450"/>
      <c r="BT109" s="1450"/>
      <c r="BU109"/>
      <c r="BV109"/>
      <c r="BW109"/>
    </row>
    <row r="110" spans="1:75" hidden="1" outlineLevel="2" x14ac:dyDescent="0.2">
      <c r="A110"/>
      <c r="B110" s="1"/>
      <c r="C110"/>
      <c r="D110"/>
      <c r="E110"/>
      <c r="F110"/>
      <c r="G110" s="1"/>
      <c r="H110"/>
      <c r="I110"/>
      <c r="J110"/>
      <c r="K110"/>
      <c r="L110"/>
      <c r="M110"/>
      <c r="N110"/>
      <c r="O110"/>
      <c r="P110"/>
      <c r="Q110"/>
      <c r="R110"/>
      <c r="S110"/>
      <c r="T110"/>
      <c r="U110" s="331" t="s">
        <v>1730</v>
      </c>
      <c r="V110" s="93"/>
      <c r="W110" s="84"/>
      <c r="X110" s="85"/>
      <c r="Y110" s="43" t="str">
        <f>IF(G80="","",G80)</f>
        <v>Db1</v>
      </c>
      <c r="Z110" s="86" t="str">
        <f>IF(OR(ISNUMBER(Z111),ISNUMBER(Z112)),2-COUNTBLANK(AI111:AI112),"")</f>
        <v/>
      </c>
      <c r="AA110" s="45" t="s">
        <v>769</v>
      </c>
      <c r="AB110" s="86" t="str">
        <f>IF(OR(ISNUMBER(Z111),ISNUMBER(Z112)),2-COUNTBLANK(AJ111:AJ112),"")</f>
        <v/>
      </c>
      <c r="AC110" s="46" t="str">
        <f>IF(G81="","",G81)</f>
        <v>Db2</v>
      </c>
      <c r="AD110" s="16"/>
      <c r="AE110" t="str">
        <f t="shared" si="15"/>
        <v/>
      </c>
      <c r="AF110" t="str">
        <f t="shared" si="16"/>
        <v/>
      </c>
      <c r="AG110" t="str">
        <f t="shared" si="17"/>
        <v/>
      </c>
      <c r="AH110" t="str">
        <f t="shared" si="18"/>
        <v/>
      </c>
      <c r="AI110" s="270" t="str">
        <f>IF(Z110="","",SUM(Z111:Z112))</f>
        <v/>
      </c>
      <c r="AJ110" s="270" t="str">
        <f>IF(Z110="","",SUM(AB111:AB112))</f>
        <v/>
      </c>
      <c r="AK110" t="str">
        <f t="shared" si="19"/>
        <v/>
      </c>
      <c r="AL110"/>
      <c r="AM110"/>
      <c r="AN110"/>
      <c r="AP110"/>
      <c r="AQ110"/>
      <c r="AR110"/>
      <c r="AS110"/>
      <c r="AT110"/>
      <c r="AU110"/>
      <c r="AV110"/>
      <c r="AW110"/>
      <c r="AX110"/>
      <c r="AY110"/>
      <c r="AZ110"/>
      <c r="BA110"/>
      <c r="BB110"/>
      <c r="BC110"/>
      <c r="BD110"/>
      <c r="BE110"/>
      <c r="BF110"/>
      <c r="BG110"/>
      <c r="BH110"/>
      <c r="BI110"/>
      <c r="BJ110"/>
      <c r="BK110"/>
      <c r="BL110"/>
      <c r="BM110"/>
      <c r="BN110"/>
      <c r="BO110"/>
      <c r="BP110"/>
      <c r="BQ110"/>
      <c r="BR110" s="1395"/>
      <c r="BS110" s="1450"/>
      <c r="BT110" s="1450"/>
      <c r="BU110"/>
      <c r="BV110"/>
      <c r="BW110"/>
    </row>
    <row r="111" spans="1:75" ht="12.75" hidden="1" customHeight="1" outlineLevel="3" x14ac:dyDescent="0.2">
      <c r="A111"/>
      <c r="B111" s="1"/>
      <c r="C111"/>
      <c r="D111"/>
      <c r="E111"/>
      <c r="F111"/>
      <c r="G111" s="1"/>
      <c r="H111"/>
      <c r="I111"/>
      <c r="J111"/>
      <c r="K111"/>
      <c r="L111"/>
      <c r="M111"/>
      <c r="N111"/>
      <c r="O111"/>
      <c r="P111"/>
      <c r="Q111"/>
      <c r="R111"/>
      <c r="S111"/>
      <c r="T111"/>
      <c r="U111" s="331"/>
      <c r="V111" s="92"/>
      <c r="W111" s="56"/>
      <c r="X111" s="78"/>
      <c r="Y111" s="103"/>
      <c r="Z111" s="44"/>
      <c r="AA111" s="45" t="s">
        <v>769</v>
      </c>
      <c r="AB111" s="44"/>
      <c r="AC111" s="79"/>
      <c r="AD111" s="16"/>
      <c r="AE111" t="str">
        <f t="shared" si="15"/>
        <v/>
      </c>
      <c r="AF111" t="str">
        <f t="shared" si="16"/>
        <v/>
      </c>
      <c r="AG111" t="str">
        <f t="shared" si="17"/>
        <v/>
      </c>
      <c r="AH111" t="str">
        <f t="shared" si="18"/>
        <v/>
      </c>
      <c r="AI111" t="str">
        <f>IF(Z111="","",IF(Z111&gt;AB111,Y110,""))</f>
        <v/>
      </c>
      <c r="AJ111" t="str">
        <f>IF(Z111="","",IF(Z111&lt;AB111,AC110,""))</f>
        <v/>
      </c>
      <c r="AK111" t="str">
        <f t="shared" si="19"/>
        <v/>
      </c>
      <c r="AL111"/>
      <c r="AM111"/>
      <c r="AN111"/>
      <c r="AP111"/>
      <c r="AQ111"/>
      <c r="AR111"/>
      <c r="AS111"/>
      <c r="AT111"/>
      <c r="AU111"/>
      <c r="AV111"/>
      <c r="AW111"/>
      <c r="AX111"/>
      <c r="AY111"/>
      <c r="AZ111"/>
      <c r="BA111"/>
      <c r="BB111"/>
      <c r="BC111"/>
      <c r="BD111"/>
      <c r="BE111"/>
      <c r="BF111"/>
      <c r="BG111"/>
      <c r="BH111"/>
      <c r="BI111"/>
      <c r="BJ111"/>
      <c r="BK111"/>
      <c r="BL111"/>
      <c r="BM111"/>
      <c r="BN111"/>
      <c r="BO111"/>
      <c r="BP111"/>
      <c r="BQ111"/>
      <c r="BR111" s="1395"/>
      <c r="BS111" s="1450"/>
      <c r="BT111" s="1450"/>
      <c r="BU111"/>
      <c r="BV111"/>
      <c r="BW111"/>
    </row>
    <row r="112" spans="1:75" ht="12.75" hidden="1" customHeight="1" outlineLevel="3" x14ac:dyDescent="0.2">
      <c r="A112"/>
      <c r="B112" s="1"/>
      <c r="C112"/>
      <c r="D112"/>
      <c r="E112"/>
      <c r="F112"/>
      <c r="G112" s="1"/>
      <c r="H112"/>
      <c r="I112"/>
      <c r="J112"/>
      <c r="K112"/>
      <c r="L112"/>
      <c r="M112"/>
      <c r="N112"/>
      <c r="O112"/>
      <c r="P112"/>
      <c r="Q112"/>
      <c r="R112"/>
      <c r="S112"/>
      <c r="T112"/>
      <c r="U112" s="331"/>
      <c r="V112" s="92"/>
      <c r="W112" s="56"/>
      <c r="X112" s="78"/>
      <c r="Y112" s="103"/>
      <c r="Z112" s="44"/>
      <c r="AA112" s="45" t="s">
        <v>769</v>
      </c>
      <c r="AB112" s="44"/>
      <c r="AC112" s="79"/>
      <c r="AD112" s="16"/>
      <c r="AE112" t="str">
        <f t="shared" si="15"/>
        <v/>
      </c>
      <c r="AF112" t="str">
        <f t="shared" si="16"/>
        <v/>
      </c>
      <c r="AG112" t="str">
        <f t="shared" si="17"/>
        <v/>
      </c>
      <c r="AH112" t="str">
        <f t="shared" si="18"/>
        <v/>
      </c>
      <c r="AI112" t="str">
        <f>IF(Z112="","",IF(Z112&gt;AB112,Y110,""))</f>
        <v/>
      </c>
      <c r="AJ112" t="str">
        <f>IF(Z112="","",IF(Z112&lt;AB112,AC110,""))</f>
        <v/>
      </c>
      <c r="AK112" t="str">
        <f t="shared" si="19"/>
        <v/>
      </c>
      <c r="AL112"/>
      <c r="AM112"/>
      <c r="AN112"/>
      <c r="AP112"/>
      <c r="AQ112"/>
      <c r="AR112"/>
      <c r="AS112"/>
      <c r="AT112"/>
      <c r="AU112"/>
      <c r="AV112"/>
      <c r="AW112"/>
      <c r="AX112"/>
      <c r="AY112"/>
      <c r="AZ112"/>
      <c r="BA112"/>
      <c r="BB112"/>
      <c r="BC112"/>
      <c r="BD112"/>
      <c r="BE112"/>
      <c r="BF112"/>
      <c r="BG112"/>
      <c r="BH112"/>
      <c r="BI112"/>
      <c r="BJ112"/>
      <c r="BK112"/>
      <c r="BL112"/>
      <c r="BM112"/>
      <c r="BN112"/>
      <c r="BO112"/>
      <c r="BP112"/>
      <c r="BQ112"/>
      <c r="BR112" s="1395"/>
      <c r="BS112" s="1450"/>
      <c r="BT112" s="1450"/>
      <c r="BU112"/>
      <c r="BV112"/>
      <c r="BW112"/>
    </row>
    <row r="113" spans="1:75" hidden="1" outlineLevel="2" x14ac:dyDescent="0.2">
      <c r="A113"/>
      <c r="B113" s="1"/>
      <c r="C113"/>
      <c r="D113"/>
      <c r="E113"/>
      <c r="F113"/>
      <c r="G113" s="1"/>
      <c r="H113"/>
      <c r="I113"/>
      <c r="J113"/>
      <c r="K113"/>
      <c r="L113"/>
      <c r="M113"/>
      <c r="N113"/>
      <c r="O113"/>
      <c r="P113"/>
      <c r="Q113"/>
      <c r="R113"/>
      <c r="S113"/>
      <c r="T113"/>
      <c r="U113" s="331" t="s">
        <v>1730</v>
      </c>
      <c r="V113" s="93"/>
      <c r="W113" s="84"/>
      <c r="X113" s="85"/>
      <c r="Y113" s="43" t="str">
        <f>IF(G82="","",G82)</f>
        <v>Db3</v>
      </c>
      <c r="Z113" s="86" t="str">
        <f>IF(OR(ISNUMBER(Z114),ISNUMBER(Z115)),2-COUNTBLANK(AI114:AI115),"")</f>
        <v/>
      </c>
      <c r="AA113" s="45" t="s">
        <v>769</v>
      </c>
      <c r="AB113" s="86" t="str">
        <f>IF(OR(ISNUMBER(Z114),ISNUMBER(Z115)),2-COUNTBLANK(AJ114:AJ115),"")</f>
        <v/>
      </c>
      <c r="AC113" s="46" t="str">
        <f>IF(G84="","",G84)</f>
        <v>Db5</v>
      </c>
      <c r="AD113" s="16"/>
      <c r="AE113" t="str">
        <f t="shared" si="15"/>
        <v/>
      </c>
      <c r="AF113" t="str">
        <f t="shared" si="16"/>
        <v/>
      </c>
      <c r="AG113" t="str">
        <f t="shared" si="17"/>
        <v/>
      </c>
      <c r="AH113" t="str">
        <f t="shared" si="18"/>
        <v/>
      </c>
      <c r="AI113" s="270" t="str">
        <f>IF(Z113="","",SUM(Z114:Z115))</f>
        <v/>
      </c>
      <c r="AJ113" s="270" t="str">
        <f>IF(Z113="","",SUM(AB114:AB115))</f>
        <v/>
      </c>
      <c r="AK113" t="str">
        <f t="shared" si="19"/>
        <v/>
      </c>
      <c r="AL113"/>
      <c r="AM113"/>
      <c r="AN113"/>
      <c r="AP113"/>
      <c r="AQ113"/>
      <c r="AR113"/>
      <c r="AS113"/>
      <c r="AT113"/>
      <c r="AU113"/>
      <c r="AV113"/>
      <c r="AW113"/>
      <c r="AX113"/>
      <c r="AY113"/>
      <c r="AZ113"/>
      <c r="BA113"/>
      <c r="BB113"/>
      <c r="BC113"/>
      <c r="BD113"/>
      <c r="BE113"/>
      <c r="BF113"/>
      <c r="BG113"/>
      <c r="BH113"/>
      <c r="BI113"/>
      <c r="BJ113"/>
      <c r="BK113"/>
      <c r="BL113"/>
      <c r="BM113"/>
      <c r="BN113"/>
      <c r="BO113"/>
      <c r="BP113"/>
      <c r="BQ113"/>
      <c r="BR113" s="1395"/>
      <c r="BS113" s="1450"/>
      <c r="BT113" s="1450"/>
      <c r="BU113"/>
      <c r="BV113"/>
      <c r="BW113"/>
    </row>
    <row r="114" spans="1:75" ht="12.75" hidden="1" customHeight="1" outlineLevel="3" x14ac:dyDescent="0.2">
      <c r="A114"/>
      <c r="B114" s="1"/>
      <c r="C114"/>
      <c r="D114"/>
      <c r="E114"/>
      <c r="F114"/>
      <c r="G114" s="1"/>
      <c r="H114"/>
      <c r="I114"/>
      <c r="J114"/>
      <c r="K114"/>
      <c r="L114"/>
      <c r="M114"/>
      <c r="N114"/>
      <c r="O114"/>
      <c r="P114"/>
      <c r="Q114"/>
      <c r="R114"/>
      <c r="S114"/>
      <c r="T114"/>
      <c r="U114" s="11"/>
      <c r="V114" s="92"/>
      <c r="W114" s="56"/>
      <c r="X114" s="78"/>
      <c r="Y114" s="103"/>
      <c r="Z114" s="44"/>
      <c r="AA114" s="45" t="s">
        <v>769</v>
      </c>
      <c r="AB114" s="44"/>
      <c r="AC114" s="79"/>
      <c r="AD114" s="16"/>
      <c r="AE114" t="str">
        <f t="shared" si="15"/>
        <v/>
      </c>
      <c r="AF114" t="str">
        <f t="shared" si="16"/>
        <v/>
      </c>
      <c r="AG114" t="str">
        <f t="shared" si="17"/>
        <v/>
      </c>
      <c r="AH114" t="str">
        <f t="shared" si="18"/>
        <v/>
      </c>
      <c r="AI114" t="str">
        <f>IF(Z114="","",IF(Z114&gt;AB114,Y113,""))</f>
        <v/>
      </c>
      <c r="AJ114" t="str">
        <f>IF(Z114="","",IF(Z114&lt;AB114,AC113,""))</f>
        <v/>
      </c>
      <c r="AK114" t="str">
        <f t="shared" si="19"/>
        <v/>
      </c>
      <c r="AL114"/>
      <c r="AM114"/>
      <c r="AN114"/>
      <c r="AP114"/>
      <c r="AQ114"/>
      <c r="AR114"/>
      <c r="AS114"/>
      <c r="AT114"/>
      <c r="AU114"/>
      <c r="AV114"/>
      <c r="AW114"/>
      <c r="AX114"/>
      <c r="AY114"/>
      <c r="AZ114"/>
      <c r="BA114"/>
      <c r="BB114"/>
      <c r="BC114"/>
      <c r="BD114"/>
      <c r="BE114"/>
      <c r="BF114"/>
      <c r="BG114"/>
      <c r="BH114"/>
      <c r="BI114"/>
      <c r="BJ114"/>
      <c r="BK114"/>
      <c r="BL114"/>
      <c r="BM114"/>
      <c r="BN114"/>
      <c r="BO114"/>
      <c r="BP114"/>
      <c r="BQ114"/>
      <c r="BR114" s="1395"/>
      <c r="BS114" s="1450"/>
      <c r="BT114" s="1450"/>
      <c r="BU114"/>
      <c r="BV114"/>
      <c r="BW114"/>
    </row>
    <row r="115" spans="1:75" ht="13.5" hidden="1" customHeight="1" outlineLevel="3" thickBot="1" x14ac:dyDescent="0.25">
      <c r="A115"/>
      <c r="B115" s="1"/>
      <c r="C115"/>
      <c r="D115"/>
      <c r="E115"/>
      <c r="F115"/>
      <c r="G115" s="1"/>
      <c r="H115"/>
      <c r="I115"/>
      <c r="J115"/>
      <c r="K115"/>
      <c r="L115"/>
      <c r="M115"/>
      <c r="N115"/>
      <c r="O115"/>
      <c r="P115"/>
      <c r="Q115"/>
      <c r="R115"/>
      <c r="S115"/>
      <c r="T115"/>
      <c r="U115" s="11"/>
      <c r="V115" s="94"/>
      <c r="W115" s="58"/>
      <c r="X115" s="91"/>
      <c r="Y115" s="174"/>
      <c r="Z115" s="51"/>
      <c r="AA115" s="52" t="s">
        <v>769</v>
      </c>
      <c r="AB115" s="51"/>
      <c r="AC115" s="96"/>
      <c r="AD115" s="16"/>
      <c r="AE115" t="str">
        <f t="shared" si="15"/>
        <v/>
      </c>
      <c r="AF115" t="str">
        <f t="shared" si="16"/>
        <v/>
      </c>
      <c r="AG115" t="str">
        <f t="shared" si="17"/>
        <v/>
      </c>
      <c r="AH115" t="str">
        <f t="shared" si="18"/>
        <v/>
      </c>
      <c r="AI115" t="str">
        <f>IF(Z115="","",IF(Z115&gt;AB115,Y113,""))</f>
        <v/>
      </c>
      <c r="AJ115" t="str">
        <f>IF(Z115="","",IF(Z115&lt;AB115,AC113,""))</f>
        <v/>
      </c>
      <c r="AK115" t="str">
        <f t="shared" si="19"/>
        <v/>
      </c>
      <c r="AL115"/>
      <c r="AM115"/>
      <c r="AN115"/>
      <c r="AP115"/>
      <c r="AQ115"/>
      <c r="AR115"/>
      <c r="AS115"/>
      <c r="AT115"/>
      <c r="AU115"/>
      <c r="AV115"/>
      <c r="AW115"/>
      <c r="AX115"/>
      <c r="AY115"/>
      <c r="AZ115"/>
      <c r="BA115"/>
      <c r="BB115"/>
      <c r="BC115"/>
      <c r="BD115"/>
      <c r="BE115"/>
      <c r="BF115"/>
      <c r="BG115"/>
      <c r="BH115"/>
      <c r="BI115"/>
      <c r="BJ115"/>
      <c r="BK115"/>
      <c r="BL115"/>
      <c r="BM115"/>
      <c r="BN115"/>
      <c r="BO115"/>
      <c r="BP115"/>
      <c r="BQ115"/>
      <c r="BR115" s="1395"/>
      <c r="BS115" s="1450"/>
      <c r="BT115" s="1450"/>
      <c r="BU115"/>
      <c r="BV115"/>
      <c r="BW115"/>
    </row>
    <row r="116" spans="1:75" ht="13.5" customHeight="1" outlineLevel="1" x14ac:dyDescent="0.2">
      <c r="A116"/>
      <c r="B116" s="1"/>
      <c r="C116"/>
      <c r="D116"/>
      <c r="E116"/>
      <c r="F116"/>
      <c r="G116" s="1"/>
      <c r="H116"/>
      <c r="I116"/>
      <c r="J116"/>
      <c r="K116"/>
      <c r="L116"/>
      <c r="M116"/>
      <c r="N116"/>
      <c r="O116"/>
      <c r="P116"/>
      <c r="Q116"/>
      <c r="R116"/>
      <c r="S116"/>
      <c r="T116"/>
      <c r="U116" s="11"/>
      <c r="V116" s="97"/>
      <c r="W116" s="98"/>
      <c r="X116" s="14"/>
      <c r="Y116" s="6"/>
      <c r="Z116" s="15"/>
      <c r="AA116" s="1"/>
      <c r="AB116" s="15"/>
      <c r="AC116" s="16"/>
      <c r="AD116" s="16"/>
      <c r="AE116"/>
      <c r="AF116"/>
      <c r="AG116"/>
      <c r="AH116"/>
      <c r="AI116"/>
      <c r="AJ116"/>
      <c r="AK116"/>
      <c r="AL116"/>
      <c r="AM116"/>
      <c r="AN116"/>
      <c r="AP116"/>
      <c r="AQ116"/>
      <c r="AR116"/>
      <c r="AS116"/>
      <c r="AT116"/>
      <c r="AU116"/>
      <c r="AV116"/>
      <c r="AW116"/>
      <c r="AX116"/>
      <c r="AY116"/>
      <c r="AZ116"/>
      <c r="BA116"/>
      <c r="BB116"/>
      <c r="BC116"/>
      <c r="BD116"/>
      <c r="BE116"/>
      <c r="BF116"/>
      <c r="BG116"/>
      <c r="BH116"/>
      <c r="BI116"/>
      <c r="BJ116"/>
      <c r="BK116"/>
      <c r="BL116"/>
      <c r="BM116"/>
      <c r="BN116"/>
      <c r="BO116"/>
      <c r="BP116"/>
      <c r="BQ116"/>
      <c r="BR116" s="1395"/>
      <c r="BS116" s="1450"/>
      <c r="BT116" s="1450"/>
      <c r="BU116"/>
      <c r="BV116"/>
      <c r="BW116"/>
    </row>
    <row r="117" spans="1:75" ht="13.5" thickBot="1" x14ac:dyDescent="0.25">
      <c r="A117"/>
      <c r="B117" s="1"/>
      <c r="C117"/>
      <c r="D117"/>
      <c r="E117"/>
      <c r="F117"/>
      <c r="G117" s="1"/>
      <c r="H117"/>
      <c r="I117"/>
      <c r="J117"/>
      <c r="K117"/>
      <c r="L117"/>
      <c r="M117"/>
      <c r="N117"/>
      <c r="O117"/>
      <c r="P117"/>
      <c r="Q117"/>
      <c r="R117"/>
      <c r="S117"/>
      <c r="T117"/>
      <c r="V117" s="1"/>
      <c r="W117" s="1"/>
      <c r="X117"/>
      <c r="Y117" s="6"/>
      <c r="Z117"/>
      <c r="AA117" s="1"/>
      <c r="AB117"/>
      <c r="AC117" s="16"/>
      <c r="AD117" s="16"/>
      <c r="AE117"/>
      <c r="AF117"/>
      <c r="AG117"/>
      <c r="AH117"/>
      <c r="AI117"/>
      <c r="AJ117"/>
      <c r="AK117"/>
      <c r="AL117"/>
      <c r="AM117"/>
      <c r="AN117"/>
      <c r="AP117"/>
      <c r="AQ117"/>
      <c r="AR117"/>
      <c r="AS117"/>
      <c r="AT117"/>
      <c r="AU117"/>
      <c r="AV117"/>
      <c r="AW117"/>
      <c r="AX117"/>
      <c r="AY117"/>
      <c r="AZ117"/>
      <c r="BA117"/>
      <c r="BB117"/>
      <c r="BC117"/>
      <c r="BD117"/>
      <c r="BE117"/>
      <c r="BF117"/>
      <c r="BG117"/>
      <c r="BH117"/>
      <c r="BI117"/>
      <c r="BJ117"/>
      <c r="BK117"/>
      <c r="BL117"/>
      <c r="BM117"/>
      <c r="BN117"/>
      <c r="BO117"/>
      <c r="BP117"/>
      <c r="BQ117"/>
      <c r="BR117" s="1395"/>
      <c r="BS117" s="1450"/>
      <c r="BT117" s="1450"/>
      <c r="BU117"/>
      <c r="BV117"/>
      <c r="BW117"/>
    </row>
    <row r="118" spans="1:75" ht="13.5" thickBot="1" x14ac:dyDescent="0.25">
      <c r="A118"/>
      <c r="B118" s="282" t="str">
        <f>N_Group_6</f>
        <v>Poule de 6</v>
      </c>
      <c r="C118" s="283"/>
      <c r="D118" s="283"/>
      <c r="E118" s="283"/>
      <c r="F118" s="283"/>
      <c r="G118" s="283"/>
      <c r="H118" s="283"/>
      <c r="I118" s="283"/>
      <c r="J118" s="283"/>
      <c r="K118" s="283"/>
      <c r="L118" s="283"/>
      <c r="M118" s="283"/>
      <c r="N118" s="283"/>
      <c r="O118" s="283"/>
      <c r="P118" s="283"/>
      <c r="Q118" s="283"/>
      <c r="R118" s="283"/>
      <c r="S118" s="283"/>
      <c r="T118" s="283"/>
      <c r="U118" s="283"/>
      <c r="V118" s="283"/>
      <c r="W118" s="283"/>
      <c r="X118" s="283"/>
      <c r="Y118" s="283"/>
      <c r="Z118" s="283"/>
      <c r="AA118" s="283"/>
      <c r="AB118" s="283"/>
      <c r="AC118" s="283"/>
      <c r="AD118" s="283"/>
      <c r="AE118" s="283"/>
      <c r="AF118" s="283"/>
      <c r="AG118" s="283"/>
      <c r="AH118" s="283"/>
      <c r="AI118" s="283"/>
      <c r="AJ118" s="283"/>
      <c r="AK118" s="283"/>
      <c r="AL118" s="283"/>
      <c r="AM118" s="284"/>
      <c r="AN118" s="320" t="str">
        <f>B118</f>
        <v>Poule de 6</v>
      </c>
      <c r="AO118" s="1488"/>
      <c r="AP118" s="1488"/>
      <c r="AQ118" s="1488"/>
      <c r="AR118" s="1488"/>
      <c r="AS118" s="1488"/>
      <c r="AT118" s="1488"/>
      <c r="AU118" s="1488"/>
      <c r="AV118" s="1488"/>
      <c r="AW118" s="1488"/>
      <c r="AX118" s="1488"/>
      <c r="AY118" s="1488"/>
      <c r="AZ118" s="1488"/>
      <c r="BA118" s="1488"/>
      <c r="BB118" s="1488"/>
      <c r="BC118" s="1488"/>
      <c r="BD118" s="1488"/>
      <c r="BE118" s="1488"/>
      <c r="BF118" s="1488"/>
      <c r="BG118" s="1488"/>
      <c r="BH118" s="1488"/>
      <c r="BI118" s="1488"/>
      <c r="BJ118" s="1488"/>
      <c r="BK118" s="1488"/>
      <c r="BL118" s="1488"/>
      <c r="BM118" s="1488"/>
      <c r="BN118" s="1488"/>
      <c r="BO118" s="1488"/>
      <c r="BP118" s="1488"/>
      <c r="BQ118" s="1488"/>
      <c r="BR118" s="1395"/>
      <c r="BS118" s="1450"/>
      <c r="BT118" s="1450"/>
      <c r="BU118" s="1489"/>
      <c r="BV118"/>
      <c r="BW118"/>
    </row>
    <row r="119" spans="1:75" ht="13.5" outlineLevel="1" thickBot="1" x14ac:dyDescent="0.25">
      <c r="A119"/>
      <c r="B119" s="1"/>
      <c r="C119"/>
      <c r="D119"/>
      <c r="E119"/>
      <c r="F119"/>
      <c r="G119" s="1"/>
      <c r="H119"/>
      <c r="I119"/>
      <c r="J119"/>
      <c r="K119"/>
      <c r="L119"/>
      <c r="M119"/>
      <c r="N119"/>
      <c r="O119"/>
      <c r="P119"/>
      <c r="Q119"/>
      <c r="R119"/>
      <c r="S119"/>
      <c r="T119"/>
      <c r="V119" s="1"/>
      <c r="W119" s="1"/>
      <c r="X119"/>
      <c r="Y119" s="6"/>
      <c r="Z119"/>
      <c r="AA119" s="1"/>
      <c r="AB119"/>
      <c r="AC119" s="16"/>
      <c r="AD119" s="16"/>
      <c r="AE119"/>
      <c r="AF119"/>
      <c r="AG119"/>
      <c r="AH119"/>
      <c r="AI119"/>
      <c r="AJ119"/>
      <c r="AK119"/>
      <c r="AL119"/>
      <c r="AM119"/>
      <c r="AN119"/>
      <c r="AP119"/>
      <c r="AQ119"/>
      <c r="AR119"/>
      <c r="AS119"/>
      <c r="AT119"/>
      <c r="AU119"/>
      <c r="AV119"/>
      <c r="AW119"/>
      <c r="AX119"/>
      <c r="AY119"/>
      <c r="AZ119"/>
      <c r="BA119"/>
      <c r="BB119"/>
      <c r="BC119"/>
      <c r="BD119"/>
      <c r="BE119"/>
      <c r="BF119"/>
      <c r="BG119"/>
      <c r="BH119"/>
      <c r="BI119"/>
      <c r="BJ119"/>
      <c r="BK119"/>
      <c r="BL119"/>
      <c r="BM119"/>
      <c r="BN119"/>
      <c r="BO119"/>
      <c r="BP119"/>
      <c r="BQ119"/>
      <c r="BR119" s="1395"/>
      <c r="BS119" s="1450"/>
      <c r="BT119" s="1450"/>
      <c r="BU119"/>
      <c r="BV119"/>
      <c r="BW119"/>
    </row>
    <row r="120" spans="1:75" ht="13.5" outlineLevel="1" thickBot="1" x14ac:dyDescent="0.25">
      <c r="A120"/>
      <c r="B120" s="18" t="str">
        <f>N_Tirage</f>
        <v>Tirage</v>
      </c>
      <c r="C120" s="19" t="s">
        <v>787</v>
      </c>
      <c r="D120" s="20" t="s">
        <v>831</v>
      </c>
      <c r="E120" s="20" t="s">
        <v>832</v>
      </c>
      <c r="F120" s="67" t="s">
        <v>833</v>
      </c>
      <c r="G120" s="22" t="str">
        <f>N_Equipes</f>
        <v>Equipes</v>
      </c>
      <c r="H120" s="25" t="str">
        <f>N_Pts</f>
        <v>Pts</v>
      </c>
      <c r="I120" s="25" t="str">
        <f>N_J</f>
        <v>J</v>
      </c>
      <c r="J120" s="26" t="str">
        <f>N_G</f>
        <v>G</v>
      </c>
      <c r="K120" s="26" t="str">
        <f>N_N</f>
        <v>N</v>
      </c>
      <c r="L120" s="26" t="str">
        <f>N_P</f>
        <v>P</v>
      </c>
      <c r="M120" s="26" t="str">
        <f>N_Diff_R</f>
        <v>Diff R</v>
      </c>
      <c r="N120" s="26" t="str">
        <f>N_MP</f>
        <v>MP</v>
      </c>
      <c r="O120" s="26" t="str">
        <f>N_MC</f>
        <v>MC</v>
      </c>
      <c r="P120" s="5" t="str">
        <f>N_Diff_M</f>
        <v>Diff M</v>
      </c>
      <c r="Q120" s="26" t="str">
        <f>N_BP</f>
        <v>BP</v>
      </c>
      <c r="R120" s="26" t="str">
        <f>N_BC</f>
        <v>BC</v>
      </c>
      <c r="S120" s="68" t="str">
        <f>N_Diff_B</f>
        <v>Diff B</v>
      </c>
      <c r="T120"/>
      <c r="V120"/>
      <c r="W120"/>
      <c r="X120"/>
      <c r="Y120"/>
      <c r="Z120"/>
      <c r="AA120"/>
      <c r="AB120"/>
      <c r="AC120"/>
      <c r="AD120"/>
      <c r="AE120"/>
      <c r="AF120"/>
      <c r="AG120"/>
      <c r="AH120"/>
      <c r="AI120"/>
      <c r="AJ120"/>
      <c r="AK120"/>
      <c r="AL120"/>
      <c r="AM120"/>
      <c r="AN120"/>
      <c r="AO120" s="69" t="str">
        <f>N_Cla.</f>
        <v>Cla.</v>
      </c>
      <c r="AP120" s="3" t="str">
        <f>N_Equipes</f>
        <v>Equipes</v>
      </c>
      <c r="AQ120" s="23" t="str">
        <f>N_Pts</f>
        <v>Pts</v>
      </c>
      <c r="AR120" s="23" t="str">
        <f>N_J</f>
        <v>J</v>
      </c>
      <c r="AS120" s="20" t="str">
        <f>N_G</f>
        <v>G</v>
      </c>
      <c r="AT120" s="20" t="str">
        <f>N_N</f>
        <v>N</v>
      </c>
      <c r="AU120" s="20" t="str">
        <f>N_P</f>
        <v>P</v>
      </c>
      <c r="AV120" s="21" t="str">
        <f>N_Diff_R</f>
        <v>Diff R</v>
      </c>
      <c r="AW120" s="70" t="str">
        <f>N_MP</f>
        <v>MP</v>
      </c>
      <c r="AX120" s="20" t="str">
        <f>N_MC</f>
        <v>MC</v>
      </c>
      <c r="AY120" s="71" t="str">
        <f>N_Diff_M</f>
        <v>Diff M</v>
      </c>
      <c r="AZ120" s="70" t="str">
        <f>N_BP</f>
        <v>BP</v>
      </c>
      <c r="BA120" s="20" t="str">
        <f>N_BC</f>
        <v>BC</v>
      </c>
      <c r="BB120" s="21" t="str">
        <f>N_Diff_B</f>
        <v>Diff B</v>
      </c>
      <c r="BC120" s="286" t="str">
        <f>N_Matches</f>
        <v>Matches</v>
      </c>
      <c r="BD120" s="287"/>
      <c r="BE120" s="287"/>
      <c r="BF120" s="287"/>
      <c r="BG120" s="287"/>
      <c r="BH120" s="287"/>
      <c r="BI120" s="287"/>
      <c r="BJ120" s="287"/>
      <c r="BK120" s="287"/>
      <c r="BL120" s="287"/>
      <c r="BM120" s="287"/>
      <c r="BN120" s="287"/>
      <c r="BO120" s="287"/>
      <c r="BP120" s="287"/>
      <c r="BQ120" s="288"/>
      <c r="BR120" s="1395"/>
      <c r="BS120" s="1450"/>
      <c r="BT120" s="1450"/>
      <c r="BU120"/>
      <c r="BV120"/>
      <c r="BW120"/>
    </row>
    <row r="121" spans="1:75" outlineLevel="1" x14ac:dyDescent="0.2">
      <c r="A121"/>
      <c r="B121" s="31">
        <v>1</v>
      </c>
      <c r="C121" s="27" t="str">
        <f>IF(AL127="","",RANK(F121,F121:F126)*1000+ROW())</f>
        <v/>
      </c>
      <c r="D121" s="28" t="str">
        <f t="shared" ref="D121:D126" si="20">IF(J121="","",H121*CritClassEq1_Points+M121*CritClassEq1_DiffRencontres+P121*CritClassEq1_DiffMatches+S121*CritClassEq1_DiffButs+N121*CritClassEq1_Matches+Q121*CritClassEq1_Attaque)</f>
        <v/>
      </c>
      <c r="E121" s="28" t="str">
        <f>IF(J121="","",Nb_Diff_Part(D121,D121:D126,G121,G121:G126,AK128:AK172)*CritClassInd_DiffPart)</f>
        <v/>
      </c>
      <c r="F121" s="29" t="str">
        <f t="shared" ref="F121:F126" si="21">IF(J121="","",D121+E121+H121*CritClassEq2_Points+M121*CritClassEq2_DiffRencontres+P121*CritClassEq2_DiffMatches+S121*CritClassEq2_DiffButs+N121*CritClassEq2_Matches+Q121*CritClassEq2_Attaque)</f>
        <v/>
      </c>
      <c r="G121" s="454" t="s">
        <v>892</v>
      </c>
      <c r="H121" s="340" t="str">
        <f>IF(AL127="","",(J121*Points_Victoire)+K121*Points_Null)</f>
        <v/>
      </c>
      <c r="I121" s="33" t="str">
        <f t="shared" ref="I121:I126" si="22">IF(J121="","",SUM(J121:L121))</f>
        <v/>
      </c>
      <c r="J121" s="33" t="str">
        <f>IF(AL127="","",COUNTIF(AE128:AE172,G121))</f>
        <v/>
      </c>
      <c r="K121" s="33" t="str">
        <f>IF(AL127="","",COUNTIF(AF128:AG172,G121))</f>
        <v/>
      </c>
      <c r="L121" s="33" t="str">
        <f>IF(AL127="","",COUNTIF(AH128:AH172,G121))</f>
        <v/>
      </c>
      <c r="M121" s="338" t="str">
        <f>IF(AL127="","",J121-L121)</f>
        <v/>
      </c>
      <c r="N121" s="33" t="str">
        <f>IF(AL127="","",SUMIF(Y128:Y172,G121,Z128:Z172)+SUMIF(AC128:AC172,G121,AB128:AB172))</f>
        <v/>
      </c>
      <c r="O121" s="33" t="str">
        <f>IF(AL127="","",SUMIF(Y128:Y172,G121,AB128:AB172)+SUMIF(AC128:AC172,G121,Z128:Z172))</f>
        <v/>
      </c>
      <c r="P121" s="338" t="str">
        <f>IF(AL127="","",N121-O121)</f>
        <v/>
      </c>
      <c r="Q121" s="33" t="str">
        <f>IF(AL127="","",SUMIF(Y128:Y172,G121,AI128:AI172)+SUMIF(AC128:AC172,G121,AJ128:AJ172))</f>
        <v/>
      </c>
      <c r="R121" s="33" t="str">
        <f>IF(AL127="","",SUMIF(Y128:Y172,G121,AJ128:AJ172)+SUMIF(AC128:AC172,G121,AI128:AI172))</f>
        <v/>
      </c>
      <c r="S121" s="102" t="str">
        <f>IF(AL127="","",Q121-R121)</f>
        <v/>
      </c>
      <c r="T121"/>
      <c r="V121"/>
      <c r="W121"/>
      <c r="X121"/>
      <c r="Y121"/>
      <c r="Z121"/>
      <c r="AA121"/>
      <c r="AB121"/>
      <c r="AC121"/>
      <c r="AD121"/>
      <c r="AE121"/>
      <c r="AF121"/>
      <c r="AG121"/>
      <c r="AH121"/>
      <c r="AI121"/>
      <c r="AJ121"/>
      <c r="AK121"/>
      <c r="AL121" t="str">
        <f>IF(AL127="","",SMALL(C121:C126,1))</f>
        <v/>
      </c>
      <c r="AM121"/>
      <c r="AN121"/>
      <c r="AO121" s="31" t="str">
        <f>IF(AL127="","",INT(AL121/1000))</f>
        <v/>
      </c>
      <c r="AP121" s="99" t="str">
        <f>IF(AL127="",IF(HidePlayerFormulas,"","("&amp;G121&amp;")"),VLOOKUP(AL121,C121:S126,5,FALSE))</f>
        <v/>
      </c>
      <c r="AQ121" s="32" t="str">
        <f>VLOOKUP(AL121,C121:S126,6,FALSE)</f>
        <v/>
      </c>
      <c r="AR121" s="33" t="str">
        <f>VLOOKUP(AL121,C121:S126,7,FALSE)</f>
        <v/>
      </c>
      <c r="AS121" s="33" t="str">
        <f>VLOOKUP(AL121,C121:S126,8,FALSE)</f>
        <v/>
      </c>
      <c r="AT121" s="33" t="str">
        <f>VLOOKUP(AL121,C121:S126,9,FALSE)</f>
        <v/>
      </c>
      <c r="AU121" s="33" t="str">
        <f>VLOOKUP(AL121,C121:S126,10,FALSE)</f>
        <v/>
      </c>
      <c r="AV121" s="102" t="str">
        <f>VLOOKUP(AL121,C121:S126,11,FALSE)</f>
        <v/>
      </c>
      <c r="AW121" s="32" t="str">
        <f>VLOOKUP(AL121,C121:S126,12,FALSE)</f>
        <v/>
      </c>
      <c r="AX121" s="33" t="str">
        <f>VLOOKUP(AL121,C121:S126,13,FALSE)</f>
        <v/>
      </c>
      <c r="AY121" s="102" t="str">
        <f>VLOOKUP(AL121,C121:S126,14,FALSE)</f>
        <v/>
      </c>
      <c r="AZ121" s="32" t="str">
        <f>VLOOKUP(AL121,C121:S126,15,FALSE)</f>
        <v/>
      </c>
      <c r="BA121" s="33" t="str">
        <f>VLOOKUP(AL121,C121:S126,16,FALSE)</f>
        <v/>
      </c>
      <c r="BB121" s="102" t="str">
        <f>VLOOKUP(AL121,C121:S126,17,FALSE)</f>
        <v/>
      </c>
      <c r="BC121" s="27" t="str">
        <f>IF(Z128="","",IF(AP121=Y128,Z128,IF(AP121=AC128,AB128,"")))</f>
        <v/>
      </c>
      <c r="BD121" s="344" t="str">
        <f>IF(Z131="","",IF(AP121=Y131,Z131,IF(AP121=AC131,AB131,"")))</f>
        <v/>
      </c>
      <c r="BE121" s="344" t="str">
        <f>IF(Z134="","",IF(AP121=Y134,Z134,IF(AP121=AC134,AB134,"")))</f>
        <v/>
      </c>
      <c r="BF121" s="344" t="str">
        <f>IF(Z137="","",IF(AP121=Y137,Z137,IF(AP121=AC137,AB137,"")))</f>
        <v/>
      </c>
      <c r="BG121" s="344" t="str">
        <f>IF(Z140="","",IF(AP121=Y140,Z140,IF(AP121=AC140,AB140,"")))</f>
        <v/>
      </c>
      <c r="BH121" s="344" t="str">
        <f>IF(Z143="","",IF(AP121=Y143,Z143,IF(AP121=AC143,AB143,"")))</f>
        <v/>
      </c>
      <c r="BI121" s="344" t="str">
        <f>IF(Z146="","",IF(AP121=Y146,Z146,IF(AP121=AC146,AB146,"")))</f>
        <v/>
      </c>
      <c r="BJ121" s="344" t="str">
        <f>IF(Z149="","",IF(AP121=Y149,Z149,IF(AP121=AC149,AB149,"")))</f>
        <v/>
      </c>
      <c r="BK121" s="344" t="str">
        <f>IF(Z152="","",IF(AP121=Y152,Z152,IF(AP121=AC152,AB152,"")))</f>
        <v/>
      </c>
      <c r="BL121" s="344" t="str">
        <f>IF(Z155="","",IF(AP121=Y155,Z155,IF(AP121=AC155,AB155,"")))</f>
        <v/>
      </c>
      <c r="BM121" s="344" t="str">
        <f>IF(Z158="","",IF(AP121=Y158,Z158,IF(AP121=AC158,AB158,"")))</f>
        <v/>
      </c>
      <c r="BN121" s="344" t="str">
        <f>IF(Z161="","",IF(AP121=Y161,Z161,IF(AP121=AC161,AB161,"")))</f>
        <v/>
      </c>
      <c r="BO121" s="344" t="str">
        <f>IF(Z164="","",IF(AP121=Y164,Z164,IF(AP121=AC164,AB164,"")))</f>
        <v/>
      </c>
      <c r="BP121" s="344" t="str">
        <f>IF(Z167="","",IF(AP121=Y167,Z167,IF(AP121=AC167,AB167,"")))</f>
        <v/>
      </c>
      <c r="BQ121" s="345" t="str">
        <f>IF(Z170="","",IF(AP121=Y170,Z170,IF(AP121=AC170,AB170,"")))</f>
        <v/>
      </c>
      <c r="BR121" s="1395" t="b">
        <f t="shared" ref="BR121:BR126" si="23">IF(G121="[---WithDraw---]",FALSE,IF(COUNTIF(PlayerNamesWithinGroups,G121)&gt;1,TRUE,FALSE))</f>
        <v>1</v>
      </c>
      <c r="BS121" s="1450" t="b">
        <f t="shared" ref="BS121:BS126" si="24">AND(LEFT($AP121,1) = "(", RIGHT($AP121,1) =")")</f>
        <v>0</v>
      </c>
      <c r="BT121" s="1450" t="b">
        <f t="shared" ref="BT121:BT126" si="25">IF(OR($AO121=$AO120,$AO121=$AO122),TRUE,FALSE)</f>
        <v>1</v>
      </c>
      <c r="BU121"/>
      <c r="BV121"/>
      <c r="BW121"/>
    </row>
    <row r="122" spans="1:75" outlineLevel="1" x14ac:dyDescent="0.2">
      <c r="A122"/>
      <c r="B122" s="40">
        <v>2</v>
      </c>
      <c r="C122" s="346" t="str">
        <f>IF(AL127="","",RANK(F122,F121:F126)*1000+ROW())</f>
        <v/>
      </c>
      <c r="D122" s="37" t="str">
        <f t="shared" si="20"/>
        <v/>
      </c>
      <c r="E122" s="37" t="str">
        <f>IF(J122="","",Nb_Diff_Part(D122,D121:D126,G122,G121:G126,AK128:AK172)*CritClassInd_DiffPart)</f>
        <v/>
      </c>
      <c r="F122" s="38" t="str">
        <f t="shared" si="21"/>
        <v/>
      </c>
      <c r="G122" s="39" t="s">
        <v>893</v>
      </c>
      <c r="H122" s="341" t="str">
        <f>IF(AL127="","",(J122*Points_Victoire)+K122*Points_Null)</f>
        <v/>
      </c>
      <c r="I122" s="42" t="str">
        <f t="shared" si="22"/>
        <v/>
      </c>
      <c r="J122" s="42" t="str">
        <f>IF(AL127="","",COUNTIF(AE128:AE172,G122))</f>
        <v/>
      </c>
      <c r="K122" s="42" t="str">
        <f>IF(AL127="","",COUNTIF(AF128:AG172,G122))</f>
        <v/>
      </c>
      <c r="L122" s="42" t="str">
        <f>IF(AL127="","",COUNTIF(AH128:AH172,G122))</f>
        <v/>
      </c>
      <c r="M122" s="339" t="str">
        <f>IF(AL127="","",J122-L122)</f>
        <v/>
      </c>
      <c r="N122" s="42" t="str">
        <f>IF(AL127="","",SUMIF(Y128:Y172,G122,Z128:Z172)+SUMIF(AC128:AC172,G122,AB128:AB172))</f>
        <v/>
      </c>
      <c r="O122" s="42" t="str">
        <f>IF(AL127="","",SUMIF(Y128:Y172,G122,AB128:AB172)+SUMIF(AC128:AC172,G122,Z128:Z172))</f>
        <v/>
      </c>
      <c r="P122" s="339" t="str">
        <f>IF(AL127="","",N122-O122)</f>
        <v/>
      </c>
      <c r="Q122" s="42" t="str">
        <f>IF(AL127="","",SUMIF(Y128:Y172,G122,AI128:AI172)+SUMIF(AC128:AC172,G122,AJ128:AJ172))</f>
        <v/>
      </c>
      <c r="R122" s="42" t="str">
        <f>IF(AL127="","",SUMIF(Y128:Y172,G122,AJ128:AJ172)+SUMIF(AC128:AC172,G122,AI128:AI172))</f>
        <v/>
      </c>
      <c r="S122" s="82" t="str">
        <f>IF(AL127="","",Q122-R122)</f>
        <v/>
      </c>
      <c r="T122"/>
      <c r="V122"/>
      <c r="W122"/>
      <c r="X122"/>
      <c r="Y122"/>
      <c r="Z122"/>
      <c r="AA122"/>
      <c r="AB122"/>
      <c r="AC122"/>
      <c r="AD122"/>
      <c r="AE122"/>
      <c r="AF122"/>
      <c r="AG122"/>
      <c r="AH122"/>
      <c r="AI122"/>
      <c r="AJ122"/>
      <c r="AK122"/>
      <c r="AL122" t="str">
        <f>IF(AL127="","",SMALL(C121:C126,2))</f>
        <v/>
      </c>
      <c r="AM122"/>
      <c r="AN122"/>
      <c r="AO122" s="40" t="str">
        <f>IF(AL127="","",INT(AL122/1000))</f>
        <v/>
      </c>
      <c r="AP122" s="81" t="str">
        <f>IF(AL127="",IF(HidePlayerFormulas,"","("&amp;G122&amp;")"),VLOOKUP(AL122,C121:S126,5,FALSE))</f>
        <v/>
      </c>
      <c r="AQ122" s="41" t="str">
        <f>VLOOKUP(AL122,C121:S126,6,FALSE)</f>
        <v/>
      </c>
      <c r="AR122" s="42" t="str">
        <f>VLOOKUP(AL122,C121:S126,7,FALSE)</f>
        <v/>
      </c>
      <c r="AS122" s="42" t="str">
        <f>VLOOKUP(AL122,C121:S126,8,FALSE)</f>
        <v/>
      </c>
      <c r="AT122" s="42" t="str">
        <f>VLOOKUP(AL122,C121:S126,9,FALSE)</f>
        <v/>
      </c>
      <c r="AU122" s="42" t="str">
        <f>VLOOKUP(AL122,C121:S126,10,FALSE)</f>
        <v/>
      </c>
      <c r="AV122" s="82" t="str">
        <f>VLOOKUP(AL122,C121:S126,11,FALSE)</f>
        <v/>
      </c>
      <c r="AW122" s="41" t="str">
        <f>VLOOKUP(AL122,C121:S126,12,FALSE)</f>
        <v/>
      </c>
      <c r="AX122" s="42" t="str">
        <f>VLOOKUP(AL122,C121:S126,13,FALSE)</f>
        <v/>
      </c>
      <c r="AY122" s="82" t="str">
        <f>VLOOKUP(AL122,C121:S126,14,FALSE)</f>
        <v/>
      </c>
      <c r="AZ122" s="41" t="str">
        <f>VLOOKUP(AL122,C121:S126,15,FALSE)</f>
        <v/>
      </c>
      <c r="BA122" s="42" t="str">
        <f>VLOOKUP(AL122,C121:S126,16,FALSE)</f>
        <v/>
      </c>
      <c r="BB122" s="82" t="str">
        <f>VLOOKUP(AL122,C121:S126,17,FALSE)</f>
        <v/>
      </c>
      <c r="BC122" s="346" t="str">
        <f>IF(Z128="","",IF(AP122=Y128,Z128,IF(AP122=AC128,AB128,"")))</f>
        <v/>
      </c>
      <c r="BD122" s="122" t="str">
        <f>IF(Z131="","",IF(AP122=Y131,Z131,IF(AP122=AC131,AB131,"")))</f>
        <v/>
      </c>
      <c r="BE122" s="122" t="str">
        <f>IF(Z134="","",IF(AP122=Y134,Z134,IF(AP122=AC134,AB134,"")))</f>
        <v/>
      </c>
      <c r="BF122" s="122" t="str">
        <f>IF(Z137="","",IF(AP122=Y137,Z137,IF(AP122=AC137,AB137,"")))</f>
        <v/>
      </c>
      <c r="BG122" s="122" t="str">
        <f>IF(Z140="","",IF(AP122=Y140,Z140,IF(AP122=AC140,AB140,"")))</f>
        <v/>
      </c>
      <c r="BH122" s="122" t="str">
        <f>IF(Z143="","",IF(AP122=Y143,Z143,IF(AP122=AC143,AB143,"")))</f>
        <v/>
      </c>
      <c r="BI122" s="122" t="str">
        <f>IF(Z146="","",IF(AP122=Y146,Z146,IF(AP122=AC146,AB146,"")))</f>
        <v/>
      </c>
      <c r="BJ122" s="122" t="str">
        <f>IF(Z149="","",IF(AP122=Y149,Z149,IF(AP122=AC149,AB149,"")))</f>
        <v/>
      </c>
      <c r="BK122" s="122" t="str">
        <f>IF(Z152="","",IF(AP122=Y152,Z152,IF(AP122=AC152,AB152,"")))</f>
        <v/>
      </c>
      <c r="BL122" s="122" t="str">
        <f>IF(Z155="","",IF(AP122=Y155,Z155,IF(AP122=AC155,AB155,"")))</f>
        <v/>
      </c>
      <c r="BM122" s="122" t="str">
        <f>IF(Z158="","",IF(AP122=Y158,Z158,IF(AP122=AC158,AB158,"")))</f>
        <v/>
      </c>
      <c r="BN122" s="122" t="str">
        <f>IF(Z161="","",IF(AP122=Y161,Z161,IF(AP122=AC161,AB161,"")))</f>
        <v/>
      </c>
      <c r="BO122" s="122" t="str">
        <f>IF(Z164="","",IF(AP122=Y164,Z164,IF(AP122=AC164,AB164,"")))</f>
        <v/>
      </c>
      <c r="BP122" s="122" t="str">
        <f>IF(Z167="","",IF(AP122=Y167,Z167,IF(AP122=AC167,AB167,"")))</f>
        <v/>
      </c>
      <c r="BQ122" s="347" t="str">
        <f>IF(Z170="","",IF(AP122=Y170,Z170,IF(AP122=AC170,AB170,"")))</f>
        <v/>
      </c>
      <c r="BR122" s="1395" t="b">
        <f t="shared" si="23"/>
        <v>1</v>
      </c>
      <c r="BS122" s="1450" t="b">
        <f t="shared" si="24"/>
        <v>0</v>
      </c>
      <c r="BT122" s="1450" t="b">
        <f t="shared" si="25"/>
        <v>1</v>
      </c>
      <c r="BU122"/>
      <c r="BV122"/>
      <c r="BW122"/>
    </row>
    <row r="123" spans="1:75" outlineLevel="1" x14ac:dyDescent="0.2">
      <c r="A123"/>
      <c r="B123" s="40">
        <v>3</v>
      </c>
      <c r="C123" s="346" t="str">
        <f>IF(AL127="","",RANK(F123,F121:F126)*1000+ROW())</f>
        <v/>
      </c>
      <c r="D123" s="37" t="str">
        <f t="shared" si="20"/>
        <v/>
      </c>
      <c r="E123" s="37" t="str">
        <f>IF(J123="","",Nb_Diff_Part(D123,D121:D126,G123,G121:G126,AK128:AK172)*CritClassInd_DiffPart)</f>
        <v/>
      </c>
      <c r="F123" s="38" t="str">
        <f t="shared" si="21"/>
        <v/>
      </c>
      <c r="G123" s="39" t="s">
        <v>894</v>
      </c>
      <c r="H123" s="341" t="str">
        <f>IF(AL127="","",(J123*Points_Victoire)+K123*Points_Null)</f>
        <v/>
      </c>
      <c r="I123" s="42" t="str">
        <f t="shared" si="22"/>
        <v/>
      </c>
      <c r="J123" s="42" t="str">
        <f>IF(AL127="","",COUNTIF(AE128:AE172,G123))</f>
        <v/>
      </c>
      <c r="K123" s="42" t="str">
        <f>IF(AL127="","",COUNTIF(AF128:AG172,G123))</f>
        <v/>
      </c>
      <c r="L123" s="42" t="str">
        <f>IF(AL127="","",COUNTIF(AH128:AH172,G123))</f>
        <v/>
      </c>
      <c r="M123" s="339" t="str">
        <f>IF(AL127="","",J123-L123)</f>
        <v/>
      </c>
      <c r="N123" s="42" t="str">
        <f>IF(AL127="","",SUMIF(Y128:Y172,G123,Z128:Z172)+SUMIF(AC128:AC172,G123,AB128:AB172))</f>
        <v/>
      </c>
      <c r="O123" s="42" t="str">
        <f>IF(AL127="","",SUMIF(Y128:Y172,G123,AB128:AB172)+SUMIF(AC128:AC172,G123,Z128:Z172))</f>
        <v/>
      </c>
      <c r="P123" s="339" t="str">
        <f>IF(AL127="","",N123-O123)</f>
        <v/>
      </c>
      <c r="Q123" s="42" t="str">
        <f>IF(AL127="","",SUMIF(Y128:Y172,G123,AI128:AI172)+SUMIF(AC128:AC172,G123,AJ128:AJ172))</f>
        <v/>
      </c>
      <c r="R123" s="42" t="str">
        <f>IF(AL127="","",SUMIF(Y128:Y172,G123,AJ128:AJ172)+SUMIF(AC128:AC172,G123,AI128:AI172))</f>
        <v/>
      </c>
      <c r="S123" s="82" t="str">
        <f>IF(AL127="","",Q123-R123)</f>
        <v/>
      </c>
      <c r="T123"/>
      <c r="V123"/>
      <c r="W123"/>
      <c r="X123"/>
      <c r="Y123"/>
      <c r="Z123"/>
      <c r="AA123"/>
      <c r="AB123"/>
      <c r="AC123"/>
      <c r="AD123"/>
      <c r="AE123"/>
      <c r="AF123"/>
      <c r="AG123"/>
      <c r="AH123"/>
      <c r="AI123"/>
      <c r="AJ123"/>
      <c r="AK123"/>
      <c r="AL123" t="str">
        <f>IF(AL127="","",SMALL(C121:C126,3))</f>
        <v/>
      </c>
      <c r="AM123"/>
      <c r="AN123"/>
      <c r="AO123" s="40" t="str">
        <f>IF(AL127="","",INT(AL123/1000))</f>
        <v/>
      </c>
      <c r="AP123" s="81" t="str">
        <f>IF(AL127="",IF(HidePlayerFormulas,"","("&amp;G123&amp;")"),VLOOKUP(AL123,C121:S126,5,FALSE))</f>
        <v/>
      </c>
      <c r="AQ123" s="41" t="str">
        <f>VLOOKUP(AL123,C121:S126,6,FALSE)</f>
        <v/>
      </c>
      <c r="AR123" s="42" t="str">
        <f>VLOOKUP(AL123,C121:S126,7,FALSE)</f>
        <v/>
      </c>
      <c r="AS123" s="42" t="str">
        <f>VLOOKUP(AL123,C121:S126,8,FALSE)</f>
        <v/>
      </c>
      <c r="AT123" s="42" t="str">
        <f>VLOOKUP(AL123,C121:S126,9,FALSE)</f>
        <v/>
      </c>
      <c r="AU123" s="42" t="str">
        <f>VLOOKUP(AL123,C121:S126,10,FALSE)</f>
        <v/>
      </c>
      <c r="AV123" s="82" t="str">
        <f>VLOOKUP(AL123,C121:S126,11,FALSE)</f>
        <v/>
      </c>
      <c r="AW123" s="41" t="str">
        <f>VLOOKUP(AL123,C121:S126,12,FALSE)</f>
        <v/>
      </c>
      <c r="AX123" s="42" t="str">
        <f>VLOOKUP(AL123,C121:S126,13,FALSE)</f>
        <v/>
      </c>
      <c r="AY123" s="82" t="str">
        <f>VLOOKUP(AL123,C121:S126,14,FALSE)</f>
        <v/>
      </c>
      <c r="AZ123" s="41" t="str">
        <f>VLOOKUP(AL123,C121:S126,15,FALSE)</f>
        <v/>
      </c>
      <c r="BA123" s="42" t="str">
        <f>VLOOKUP(AL123,C121:S126,16,FALSE)</f>
        <v/>
      </c>
      <c r="BB123" s="82" t="str">
        <f>VLOOKUP(AL123,C121:S126,17,FALSE)</f>
        <v/>
      </c>
      <c r="BC123" s="346" t="str">
        <f>IF(Z128="","",IF(AP123=Y128,Z128,IF(AP123=AC128,AB128,"")))</f>
        <v/>
      </c>
      <c r="BD123" s="122" t="str">
        <f>IF(Z131="","",IF(AP123=Y131,Z131,IF(AP123=AC131,AB131,"")))</f>
        <v/>
      </c>
      <c r="BE123" s="122" t="str">
        <f>IF(Z134="","",IF(AP123=Y134,Z134,IF(AP123=AC134,AB134,"")))</f>
        <v/>
      </c>
      <c r="BF123" s="122" t="str">
        <f>IF(Z137="","",IF(AP123=Y137,Z137,IF(AP123=AC137,AB137,"")))</f>
        <v/>
      </c>
      <c r="BG123" s="122" t="str">
        <f>IF(Z140="","",IF(AP123=Y140,Z140,IF(AP123=AC140,AB140,"")))</f>
        <v/>
      </c>
      <c r="BH123" s="122" t="str">
        <f>IF(Z143="","",IF(AP123=Y143,Z143,IF(AP123=AC143,AB143,"")))</f>
        <v/>
      </c>
      <c r="BI123" s="122" t="str">
        <f>IF(Z146="","",IF(AP123=Y146,Z146,IF(AP123=AC146,AB146,"")))</f>
        <v/>
      </c>
      <c r="BJ123" s="122" t="str">
        <f>IF(Z149="","",IF(AP123=Y149,Z149,IF(AP123=AC149,AB149,"")))</f>
        <v/>
      </c>
      <c r="BK123" s="122" t="str">
        <f>IF(Z152="","",IF(AP123=Y152,Z152,IF(AP123=AC152,AB152,"")))</f>
        <v/>
      </c>
      <c r="BL123" s="122" t="str">
        <f>IF(Z155="","",IF(AP123=Y155,Z155,IF(AP123=AC155,AB155,"")))</f>
        <v/>
      </c>
      <c r="BM123" s="122" t="str">
        <f>IF(Z158="","",IF(AP123=Y158,Z158,IF(AP123=AC158,AB158,"")))</f>
        <v/>
      </c>
      <c r="BN123" s="122" t="str">
        <f>IF(Z161="","",IF(AP123=Y161,Z161,IF(AP123=AC161,AB161,"")))</f>
        <v/>
      </c>
      <c r="BO123" s="122" t="str">
        <f>IF(Z164="","",IF(AP123=Y164,Z164,IF(AP123=AC164,AB164,"")))</f>
        <v/>
      </c>
      <c r="BP123" s="122" t="str">
        <f>IF(Z167="","",IF(AP123=Y167,Z167,IF(AP123=AC167,AB167,"")))</f>
        <v/>
      </c>
      <c r="BQ123" s="347" t="str">
        <f>IF(Z170="","",IF(AP123=Y170,Z170,IF(AP123=AC170,AB170,"")))</f>
        <v/>
      </c>
      <c r="BR123" s="1395" t="b">
        <f t="shared" si="23"/>
        <v>1</v>
      </c>
      <c r="BS123" s="1450" t="b">
        <f t="shared" si="24"/>
        <v>0</v>
      </c>
      <c r="BT123" s="1450" t="b">
        <f t="shared" si="25"/>
        <v>1</v>
      </c>
      <c r="BU123"/>
      <c r="BV123"/>
      <c r="BW123"/>
    </row>
    <row r="124" spans="1:75" outlineLevel="1" x14ac:dyDescent="0.2">
      <c r="A124"/>
      <c r="B124" s="40">
        <v>4</v>
      </c>
      <c r="C124" s="346" t="str">
        <f>IF(AL127="","",RANK(F124,F121:F126)*1000+ROW())</f>
        <v/>
      </c>
      <c r="D124" s="37" t="str">
        <f t="shared" si="20"/>
        <v/>
      </c>
      <c r="E124" s="37" t="str">
        <f>IF(J124="","",Nb_Diff_Part(D124,D121:D126,G124,G121:G126,AK128:AK172)*CritClassInd_DiffPart)</f>
        <v/>
      </c>
      <c r="F124" s="38" t="str">
        <f t="shared" si="21"/>
        <v/>
      </c>
      <c r="G124" s="39" t="s">
        <v>895</v>
      </c>
      <c r="H124" s="341" t="str">
        <f>IF(AL127="","",(J124*Points_Victoire)+K124*Points_Null)</f>
        <v/>
      </c>
      <c r="I124" s="42" t="str">
        <f t="shared" si="22"/>
        <v/>
      </c>
      <c r="J124" s="42" t="str">
        <f>IF(AL127="","",COUNTIF(AE128:AE172,G124))</f>
        <v/>
      </c>
      <c r="K124" s="42" t="str">
        <f>IF(AL127="","",COUNTIF(AF128:AG172,G124))</f>
        <v/>
      </c>
      <c r="L124" s="42" t="str">
        <f>IF(AL127="","",COUNTIF(AH128:AH172,G124))</f>
        <v/>
      </c>
      <c r="M124" s="339" t="str">
        <f>IF(AL127="","",J124-L124)</f>
        <v/>
      </c>
      <c r="N124" s="42" t="str">
        <f>IF(AL127="","",SUMIF(Y128:Y172,G124,Z128:Z172)+SUMIF(AC128:AC172,G124,AB128:AB172))</f>
        <v/>
      </c>
      <c r="O124" s="42" t="str">
        <f>IF(AL127="","",SUMIF(Y128:Y172,G124,AB128:AB172)+SUMIF(AC128:AC172,G124,Z128:Z172))</f>
        <v/>
      </c>
      <c r="P124" s="339" t="str">
        <f>IF(AL127="","",N124-O124)</f>
        <v/>
      </c>
      <c r="Q124" s="42" t="str">
        <f>IF(AL127="","",SUMIF(Y128:Y172,G124,AI128:AI172)+SUMIF(AC128:AC172,G124,AJ128:AJ172))</f>
        <v/>
      </c>
      <c r="R124" s="42" t="str">
        <f>IF(AL127="","",SUMIF(Y128:Y172,G124,AJ128:AJ172)+SUMIF(AC128:AC172,G124,AI128:AI172))</f>
        <v/>
      </c>
      <c r="S124" s="82" t="str">
        <f>IF(AL127="","",Q124-R124)</f>
        <v/>
      </c>
      <c r="T124"/>
      <c r="V124"/>
      <c r="W124"/>
      <c r="X124"/>
      <c r="Y124"/>
      <c r="Z124"/>
      <c r="AA124"/>
      <c r="AB124"/>
      <c r="AC124"/>
      <c r="AD124"/>
      <c r="AE124"/>
      <c r="AF124"/>
      <c r="AG124"/>
      <c r="AH124"/>
      <c r="AI124"/>
      <c r="AJ124"/>
      <c r="AK124"/>
      <c r="AL124" t="str">
        <f>IF(AL127="","",SMALL(C121:C126,4))</f>
        <v/>
      </c>
      <c r="AM124"/>
      <c r="AN124"/>
      <c r="AO124" s="40" t="str">
        <f>IF(AL127="","",INT(AL124/1000))</f>
        <v/>
      </c>
      <c r="AP124" s="81" t="str">
        <f>IF(AL127="",IF(HidePlayerFormulas,"","("&amp;G124&amp;")"),VLOOKUP(AL124,C121:S126,5,FALSE))</f>
        <v/>
      </c>
      <c r="AQ124" s="41" t="str">
        <f>VLOOKUP(AL124,C121:S126,6,FALSE)</f>
        <v/>
      </c>
      <c r="AR124" s="42" t="str">
        <f>VLOOKUP(AL124,C121:S126,7,FALSE)</f>
        <v/>
      </c>
      <c r="AS124" s="42" t="str">
        <f>VLOOKUP(AL124,C121:S126,8,FALSE)</f>
        <v/>
      </c>
      <c r="AT124" s="42" t="str">
        <f>VLOOKUP(AL124,C121:S126,9,FALSE)</f>
        <v/>
      </c>
      <c r="AU124" s="42" t="str">
        <f>VLOOKUP(AL124,C121:S126,10,FALSE)</f>
        <v/>
      </c>
      <c r="AV124" s="82" t="str">
        <f>VLOOKUP(AL124,C121:S126,11,FALSE)</f>
        <v/>
      </c>
      <c r="AW124" s="41" t="str">
        <f>VLOOKUP(AL124,C121:S126,12,FALSE)</f>
        <v/>
      </c>
      <c r="AX124" s="42" t="str">
        <f>VLOOKUP(AL124,C121:S126,13,FALSE)</f>
        <v/>
      </c>
      <c r="AY124" s="82" t="str">
        <f>VLOOKUP(AL124,C121:S126,14,FALSE)</f>
        <v/>
      </c>
      <c r="AZ124" s="41" t="str">
        <f>VLOOKUP(AL124,C121:S126,15,FALSE)</f>
        <v/>
      </c>
      <c r="BA124" s="42" t="str">
        <f>VLOOKUP(AL124,C121:S126,16,FALSE)</f>
        <v/>
      </c>
      <c r="BB124" s="82" t="str">
        <f>VLOOKUP(AL124,C121:S126,17,FALSE)</f>
        <v/>
      </c>
      <c r="BC124" s="346" t="str">
        <f>IF(Z128="","",IF(AP124=Y128,Z128,IF(AP124=AC128,AB128,"")))</f>
        <v/>
      </c>
      <c r="BD124" s="122" t="str">
        <f>IF(Z131="","",IF(AP124=Y131,Z131,IF(AP124=AC131,AB131,"")))</f>
        <v/>
      </c>
      <c r="BE124" s="122" t="str">
        <f>IF(Z134="","",IF(AP124=Y134,Z134,IF(AP124=AC134,AB134,"")))</f>
        <v/>
      </c>
      <c r="BF124" s="122" t="str">
        <f>IF(Z137="","",IF(AP124=Y137,Z137,IF(AP124=AC137,AB137,"")))</f>
        <v/>
      </c>
      <c r="BG124" s="122" t="str">
        <f>IF(Z140="","",IF(AP124=Y140,Z140,IF(AP124=AC140,AB140,"")))</f>
        <v/>
      </c>
      <c r="BH124" s="122" t="str">
        <f>IF(Z143="","",IF(AP124=Y143,Z143,IF(AP124=AC143,AB143,"")))</f>
        <v/>
      </c>
      <c r="BI124" s="122" t="str">
        <f>IF(Z146="","",IF(AP124=Y146,Z146,IF(AP124=AC146,AB146,"")))</f>
        <v/>
      </c>
      <c r="BJ124" s="122" t="str">
        <f>IF(Z149="","",IF(AP124=Y149,Z149,IF(AP124=AC149,AB149,"")))</f>
        <v/>
      </c>
      <c r="BK124" s="122" t="str">
        <f>IF(Z152="","",IF(AP124=Y152,Z152,IF(AP124=AC152,AB152,"")))</f>
        <v/>
      </c>
      <c r="BL124" s="122" t="str">
        <f>IF(Z155="","",IF(AP124=Y155,Z155,IF(AP124=AC155,AB155,"")))</f>
        <v/>
      </c>
      <c r="BM124" s="122" t="str">
        <f>IF(Z158="","",IF(AP124=Y158,Z158,IF(AP124=AC158,AB158,"")))</f>
        <v/>
      </c>
      <c r="BN124" s="122" t="str">
        <f>IF(Z161="","",IF(AP124=Y161,Z161,IF(AP124=AC161,AB161,"")))</f>
        <v/>
      </c>
      <c r="BO124" s="122" t="str">
        <f>IF(Z164="","",IF(AP124=Y164,Z164,IF(AP124=AC164,AB164,"")))</f>
        <v/>
      </c>
      <c r="BP124" s="122" t="str">
        <f>IF(Z167="","",IF(AP124=Y167,Z167,IF(AP124=AC167,AB167,"")))</f>
        <v/>
      </c>
      <c r="BQ124" s="347" t="str">
        <f>IF(Z170="","",IF(AP124=Y170,Z170,IF(AP124=AC170,AB170,"")))</f>
        <v/>
      </c>
      <c r="BR124" s="1395" t="b">
        <f t="shared" si="23"/>
        <v>1</v>
      </c>
      <c r="BS124" s="1450" t="b">
        <f t="shared" si="24"/>
        <v>0</v>
      </c>
      <c r="BT124" s="1450" t="b">
        <f t="shared" si="25"/>
        <v>1</v>
      </c>
      <c r="BU124"/>
      <c r="BV124"/>
      <c r="BW124"/>
    </row>
    <row r="125" spans="1:75" outlineLevel="1" x14ac:dyDescent="0.2">
      <c r="A125"/>
      <c r="B125" s="40">
        <v>5</v>
      </c>
      <c r="C125" s="346" t="str">
        <f>IF(AL127="","",RANK(F125,F121:F126)*1000+ROW())</f>
        <v/>
      </c>
      <c r="D125" s="37" t="str">
        <f t="shared" si="20"/>
        <v/>
      </c>
      <c r="E125" s="37" t="str">
        <f>IF(J125="","",Nb_Diff_Part(D125,D121:D126,G125,G121:G126,AK128:AK172)*CritClassInd_DiffPart)</f>
        <v/>
      </c>
      <c r="F125" s="38" t="str">
        <f t="shared" si="21"/>
        <v/>
      </c>
      <c r="G125" s="39" t="s">
        <v>896</v>
      </c>
      <c r="H125" s="341" t="str">
        <f>IF(AL127="","",(J125*Points_Victoire)+K125*Points_Null)</f>
        <v/>
      </c>
      <c r="I125" s="42" t="str">
        <f t="shared" si="22"/>
        <v/>
      </c>
      <c r="J125" s="42" t="str">
        <f>IF(AL127="","",COUNTIF(AE128:AE172,G125))</f>
        <v/>
      </c>
      <c r="K125" s="42" t="str">
        <f>IF(AL127="","",COUNTIF(AF128:AG172,G125))</f>
        <v/>
      </c>
      <c r="L125" s="42" t="str">
        <f>IF(AL127="","",COUNTIF(AH128:AH172,G125))</f>
        <v/>
      </c>
      <c r="M125" s="339" t="str">
        <f>IF(AL127="","",J125-L125)</f>
        <v/>
      </c>
      <c r="N125" s="42" t="str">
        <f>IF(AL127="","",SUMIF(Y128:Y172,G125,Z128:Z172)+SUMIF(AC128:AC172,G125,AB128:AB172))</f>
        <v/>
      </c>
      <c r="O125" s="42" t="str">
        <f>IF(AL127="","",SUMIF(Y128:Y172,G125,AB128:AB172)+SUMIF(AC128:AC172,G125,Z128:Z172))</f>
        <v/>
      </c>
      <c r="P125" s="339" t="str">
        <f>IF(AL127="","",N125-O125)</f>
        <v/>
      </c>
      <c r="Q125" s="42" t="str">
        <f>IF(AL127="","",SUMIF(Y128:Y172,G125,AI128:AI172)+SUMIF(AC128:AC172,G125,AJ128:AJ172))</f>
        <v/>
      </c>
      <c r="R125" s="42" t="str">
        <f>IF(AL127="","",SUMIF(Y128:Y172,G125,AJ128:AJ172)+SUMIF(AC128:AC172,G125,AI128:AI172))</f>
        <v/>
      </c>
      <c r="S125" s="82" t="str">
        <f>IF(AL127="","",Q125-R125)</f>
        <v/>
      </c>
      <c r="T125"/>
      <c r="V125"/>
      <c r="W125"/>
      <c r="X125"/>
      <c r="Y125"/>
      <c r="Z125"/>
      <c r="AA125"/>
      <c r="AB125"/>
      <c r="AC125"/>
      <c r="AD125"/>
      <c r="AE125"/>
      <c r="AF125"/>
      <c r="AG125"/>
      <c r="AH125"/>
      <c r="AI125"/>
      <c r="AJ125"/>
      <c r="AK125"/>
      <c r="AL125" t="str">
        <f>IF(AL127="","",SMALL(C121:C126,5))</f>
        <v/>
      </c>
      <c r="AM125"/>
      <c r="AN125"/>
      <c r="AO125" s="40" t="str">
        <f>IF(AL127="","",INT(AL125/1000))</f>
        <v/>
      </c>
      <c r="AP125" s="81" t="str">
        <f>IF(AL127="",IF(HidePlayerFormulas,"","("&amp;G125&amp;")"),VLOOKUP(AL125,C121:S126,5,FALSE))</f>
        <v/>
      </c>
      <c r="AQ125" s="41" t="str">
        <f>VLOOKUP(AL125,C121:S126,6,FALSE)</f>
        <v/>
      </c>
      <c r="AR125" s="42" t="str">
        <f>VLOOKUP(AL125,C121:S126,7,FALSE)</f>
        <v/>
      </c>
      <c r="AS125" s="42" t="str">
        <f>VLOOKUP(AL125,C121:S126,8,FALSE)</f>
        <v/>
      </c>
      <c r="AT125" s="42" t="str">
        <f>VLOOKUP(AL125,C121:S126,9,FALSE)</f>
        <v/>
      </c>
      <c r="AU125" s="42" t="str">
        <f>VLOOKUP(AL125,C121:S126,10,FALSE)</f>
        <v/>
      </c>
      <c r="AV125" s="82" t="str">
        <f>VLOOKUP(AL125,C121:S126,11,FALSE)</f>
        <v/>
      </c>
      <c r="AW125" s="41" t="str">
        <f>VLOOKUP(AL125,C121:S126,12,FALSE)</f>
        <v/>
      </c>
      <c r="AX125" s="42" t="str">
        <f>VLOOKUP(AL125,C121:S126,13,FALSE)</f>
        <v/>
      </c>
      <c r="AY125" s="82" t="str">
        <f>VLOOKUP(AL125,C121:S126,14,FALSE)</f>
        <v/>
      </c>
      <c r="AZ125" s="41" t="str">
        <f>VLOOKUP(AL125,C121:S126,15,FALSE)</f>
        <v/>
      </c>
      <c r="BA125" s="42" t="str">
        <f>VLOOKUP(AL125,C121:S126,16,FALSE)</f>
        <v/>
      </c>
      <c r="BB125" s="82" t="str">
        <f>VLOOKUP(AL125,C121:S126,17,FALSE)</f>
        <v/>
      </c>
      <c r="BC125" s="346" t="str">
        <f>IF(Z128="","",IF(AP125=Y128,Z128,IF(AP125=AC128,AB128,"")))</f>
        <v/>
      </c>
      <c r="BD125" s="122" t="str">
        <f>IF(Z131="","",IF(AP125=Y131,Z131,IF(AP125=AC131,AB131,"")))</f>
        <v/>
      </c>
      <c r="BE125" s="122" t="str">
        <f>IF(Z134="","",IF(AP125=Y134,Z134,IF(AP125=AC134,AB134,"")))</f>
        <v/>
      </c>
      <c r="BF125" s="122" t="str">
        <f>IF(Z137="","",IF(AP125=Y137,Z137,IF(AP125=AC137,AB137,"")))</f>
        <v/>
      </c>
      <c r="BG125" s="122" t="str">
        <f>IF(Z140="","",IF(AP125=Y140,Z140,IF(AP125=AC140,AB140,"")))</f>
        <v/>
      </c>
      <c r="BH125" s="122" t="str">
        <f>IF(Z143="","",IF(AP125=Y143,Z143,IF(AP125=AC143,AB143,"")))</f>
        <v/>
      </c>
      <c r="BI125" s="122" t="str">
        <f>IF(Z146="","",IF(AP125=Y146,Z146,IF(AP125=AC146,AB146,"")))</f>
        <v/>
      </c>
      <c r="BJ125" s="122" t="str">
        <f>IF(Z149="","",IF(AP125=Y149,Z149,IF(AP125=AC149,AB149,"")))</f>
        <v/>
      </c>
      <c r="BK125" s="122" t="str">
        <f>IF(Z152="","",IF(AP125=Y152,Z152,IF(AP125=AC152,AB152,"")))</f>
        <v/>
      </c>
      <c r="BL125" s="122" t="str">
        <f>IF(Z155="","",IF(AP125=Y155,Z155,IF(AP125=AC155,AB155,"")))</f>
        <v/>
      </c>
      <c r="BM125" s="122" t="str">
        <f>IF(Z158="","",IF(AP125=Y158,Z158,IF(AP125=AC158,AB158,"")))</f>
        <v/>
      </c>
      <c r="BN125" s="122" t="str">
        <f>IF(Z161="","",IF(AP125=Y161,Z161,IF(AP125=AC161,AB161,"")))</f>
        <v/>
      </c>
      <c r="BO125" s="122" t="str">
        <f>IF(Z164="","",IF(AP125=Y164,Z164,IF(AP125=AC164,AB164,"")))</f>
        <v/>
      </c>
      <c r="BP125" s="122" t="str">
        <f>IF(Z167="","",IF(AP125=Y167,Z167,IF(AP125=AC167,AB167,"")))</f>
        <v/>
      </c>
      <c r="BQ125" s="347" t="str">
        <f>IF(Z170="","",IF(AP125=Y170,Z170,IF(AP125=AC170,AB170,"")))</f>
        <v/>
      </c>
      <c r="BR125" s="1395" t="b">
        <f t="shared" si="23"/>
        <v>1</v>
      </c>
      <c r="BS125" s="1450" t="b">
        <f t="shared" si="24"/>
        <v>0</v>
      </c>
      <c r="BT125" s="1450" t="b">
        <f t="shared" si="25"/>
        <v>1</v>
      </c>
      <c r="BU125"/>
      <c r="BV125"/>
      <c r="BW125"/>
    </row>
    <row r="126" spans="1:75" ht="13.5" outlineLevel="1" collapsed="1" thickBot="1" x14ac:dyDescent="0.25">
      <c r="A126"/>
      <c r="B126" s="40">
        <v>6</v>
      </c>
      <c r="C126" s="387" t="str">
        <f>IF(AL127="","",RANK(F126,F121:F126)*1000+ROW())</f>
        <v/>
      </c>
      <c r="D126" s="37" t="str">
        <f t="shared" si="20"/>
        <v/>
      </c>
      <c r="E126" s="37" t="str">
        <f>IF(J126="","",Nb_Diff_Part(D126,D121:D126,G126,G121:G126,AK128:AK172)*CritClassInd_DiffPart)</f>
        <v/>
      </c>
      <c r="F126" s="38" t="str">
        <f t="shared" si="21"/>
        <v/>
      </c>
      <c r="G126" s="30" t="s">
        <v>1676</v>
      </c>
      <c r="H126" s="342" t="str">
        <f>IF(AL127="","",(J126*Points_Victoire)+K126*Points_Null)</f>
        <v/>
      </c>
      <c r="I126" s="50" t="str">
        <f t="shared" si="22"/>
        <v/>
      </c>
      <c r="J126" s="50" t="str">
        <f>IF(AL127="","",COUNTIF(AE128:AE172,G126))</f>
        <v/>
      </c>
      <c r="K126" s="50" t="str">
        <f>IF(AL127="","",COUNTIF(AF128:AG172,G126))</f>
        <v/>
      </c>
      <c r="L126" s="50" t="str">
        <f>IF(AL127="","",COUNTIF(AH128:AH172,G126))</f>
        <v/>
      </c>
      <c r="M126" s="343" t="str">
        <f>IF(AL127="","",J126-L126)</f>
        <v/>
      </c>
      <c r="N126" s="50" t="str">
        <f>IF(AL127="","",SUMIF(Y128:Y172,G126,Z128:Z172)+SUMIF(AC128:AC172,G126,AB128:AB172))</f>
        <v/>
      </c>
      <c r="O126" s="50" t="str">
        <f>IF(AL127="","",SUMIF(Y128:Y172,G126,AB128:AB172)+SUMIF(AC128:AC172,G126,Z128:Z172))</f>
        <v/>
      </c>
      <c r="P126" s="343" t="str">
        <f>IF(AL127="","",N126-O126)</f>
        <v/>
      </c>
      <c r="Q126" s="50" t="str">
        <f>IF(AL127="","",SUMIF(Y128:Y172,G126,AI128:AI172)+SUMIF(AC128:AC172,G126,AJ128:AJ172))</f>
        <v/>
      </c>
      <c r="R126" s="50" t="str">
        <f>IF(AL127="","",SUMIF(Y128:Y172,G126,AJ128:AJ172)+SUMIF(AC128:AC172,G126,AI128:AI172))</f>
        <v/>
      </c>
      <c r="S126" s="88" t="str">
        <f>IF(AL127="","",Q126-R126)</f>
        <v/>
      </c>
      <c r="T126"/>
      <c r="V126"/>
      <c r="W126"/>
      <c r="X126"/>
      <c r="Y126"/>
      <c r="Z126"/>
      <c r="AA126"/>
      <c r="AB126"/>
      <c r="AC126"/>
      <c r="AD126"/>
      <c r="AE126"/>
      <c r="AF126"/>
      <c r="AG126"/>
      <c r="AH126"/>
      <c r="AI126"/>
      <c r="AJ126"/>
      <c r="AK126"/>
      <c r="AL126" t="str">
        <f>IF(AL127="","",SMALL(C121:C126,6))</f>
        <v/>
      </c>
      <c r="AM126"/>
      <c r="AN126"/>
      <c r="AO126" s="63" t="str">
        <f>IF(AL127="","",INT(AL126/1000))</f>
        <v/>
      </c>
      <c r="AP126" s="87" t="str">
        <f>IF(AL127="",IF(HidePlayerFormulas,"","("&amp;G126&amp;")"),VLOOKUP(AL126,C121:S126,5,FALSE))</f>
        <v/>
      </c>
      <c r="AQ126" s="64" t="str">
        <f>VLOOKUP(AL126,C121:S126,6,FALSE)</f>
        <v/>
      </c>
      <c r="AR126" s="291" t="str">
        <f>VLOOKUP(AL126,C121:S126,7,FALSE)</f>
        <v/>
      </c>
      <c r="AS126" s="291" t="str">
        <f>VLOOKUP(AL126,C121:S126,8,FALSE)</f>
        <v/>
      </c>
      <c r="AT126" s="291" t="str">
        <f>VLOOKUP(AL126,C121:S126,9,FALSE)</f>
        <v/>
      </c>
      <c r="AU126" s="291" t="str">
        <f>VLOOKUP(AL126,C121:S126,10,FALSE)</f>
        <v/>
      </c>
      <c r="AV126" s="281" t="str">
        <f>VLOOKUP(AL126,C121:S126,11,FALSE)</f>
        <v/>
      </c>
      <c r="AW126" s="64" t="str">
        <f>VLOOKUP(AL126,C121:S126,12,FALSE)</f>
        <v/>
      </c>
      <c r="AX126" s="291" t="str">
        <f>VLOOKUP(AL126,C121:S126,13,FALSE)</f>
        <v/>
      </c>
      <c r="AY126" s="281" t="str">
        <f>VLOOKUP(AL126,C121:S126,14,FALSE)</f>
        <v/>
      </c>
      <c r="AZ126" s="64" t="str">
        <f>VLOOKUP(AL126,C121:S126,15,FALSE)</f>
        <v/>
      </c>
      <c r="BA126" s="291" t="str">
        <f>VLOOKUP(AL126,C121:S126,16,FALSE)</f>
        <v/>
      </c>
      <c r="BB126" s="281" t="str">
        <f>VLOOKUP(AL126,C121:S126,17,FALSE)</f>
        <v/>
      </c>
      <c r="BC126" s="384" t="str">
        <f>IF(Z128="","",IF(AP126=Y128,Z128,IF(AP126=AC128,AB128,"")))</f>
        <v/>
      </c>
      <c r="BD126" s="385" t="str">
        <f>IF(Z131="","",IF(AP126=Y131,Z131,IF(AP126=AC131,AB131,"")))</f>
        <v/>
      </c>
      <c r="BE126" s="385" t="str">
        <f>IF(Z134="","",IF(AP126=Y134,Z134,IF(AP126=AC134,AB134,"")))</f>
        <v/>
      </c>
      <c r="BF126" s="385" t="str">
        <f>IF(Z137="","",IF(AP126=Y137,Z137,IF(AP126=AC137,AB137,"")))</f>
        <v/>
      </c>
      <c r="BG126" s="385" t="str">
        <f>IF(Z140="","",IF(AP126=Y140,Z140,IF(AP126=AC140,AB140,"")))</f>
        <v/>
      </c>
      <c r="BH126" s="385" t="str">
        <f>IF(Z143="","",IF(AP126=Y143,Z143,IF(AP126=AC143,AB143,"")))</f>
        <v/>
      </c>
      <c r="BI126" s="385" t="str">
        <f>IF(Z146="","",IF(AP126=Y146,Z146,IF(AP126=AC146,AB146,"")))</f>
        <v/>
      </c>
      <c r="BJ126" s="385" t="str">
        <f>IF(Z149="","",IF(AP126=Y149,Z149,IF(AP126=AC149,AB149,"")))</f>
        <v/>
      </c>
      <c r="BK126" s="385" t="str">
        <f>IF(Z152="","",IF(AP126=Y152,Z152,IF(AP126=AC152,AB152,"")))</f>
        <v/>
      </c>
      <c r="BL126" s="385" t="str">
        <f>IF(Z155="","",IF(AP126=Y155,Z155,IF(AP126=AC155,AB155,"")))</f>
        <v/>
      </c>
      <c r="BM126" s="385" t="str">
        <f>IF(Z158="","",IF(AP126=Y158,Z158,IF(AP126=AC158,AB158,"")))</f>
        <v/>
      </c>
      <c r="BN126" s="385" t="str">
        <f>IF(Z161="","",IF(AP126=Y161,Z161,IF(AP126=AC161,AB161,"")))</f>
        <v/>
      </c>
      <c r="BO126" s="385" t="str">
        <f>IF(Z164="","",IF(AP126=Y164,Z164,IF(AP126=AC164,AB164,"")))</f>
        <v/>
      </c>
      <c r="BP126" s="385" t="str">
        <f>IF(Z167="","",IF(AP126=Y167,Z167,IF(AP126=AC167,AB167,"")))</f>
        <v/>
      </c>
      <c r="BQ126" s="386" t="str">
        <f>IF(Z170="","",IF(AP126=Y170,Z170,IF(AP126=AC170,AB170,"")))</f>
        <v/>
      </c>
      <c r="BR126" s="1395" t="b">
        <f t="shared" si="23"/>
        <v>0</v>
      </c>
      <c r="BS126" s="1450" t="b">
        <f t="shared" si="24"/>
        <v>0</v>
      </c>
      <c r="BT126" s="1450" t="b">
        <f t="shared" si="25"/>
        <v>1</v>
      </c>
      <c r="BU126"/>
      <c r="BV126"/>
      <c r="BW126"/>
    </row>
    <row r="127" spans="1:75" ht="13.5" hidden="1" outlineLevel="2" thickBot="1" x14ac:dyDescent="0.25">
      <c r="A127"/>
      <c r="B127" s="1"/>
      <c r="C127"/>
      <c r="D127"/>
      <c r="E127"/>
      <c r="F127"/>
      <c r="G127" s="1"/>
      <c r="H127"/>
      <c r="I127"/>
      <c r="J127"/>
      <c r="K127"/>
      <c r="L127"/>
      <c r="M127"/>
      <c r="N127"/>
      <c r="O127"/>
      <c r="P127"/>
      <c r="Q127"/>
      <c r="R127"/>
      <c r="S127"/>
      <c r="T127"/>
      <c r="U127" s="8"/>
      <c r="V127" s="22" t="str">
        <f>N_Heure</f>
        <v>Heure</v>
      </c>
      <c r="W127" s="22" t="str">
        <f>N_Table</f>
        <v>Table</v>
      </c>
      <c r="X127" s="22" t="str">
        <f>N_Arbitre</f>
        <v>Arbitre</v>
      </c>
      <c r="Y127" s="293" t="str">
        <f>N_Matches</f>
        <v>Matches</v>
      </c>
      <c r="Z127" s="294"/>
      <c r="AA127" s="294"/>
      <c r="AB127" s="294"/>
      <c r="AC127" s="295"/>
      <c r="AD127" s="8"/>
      <c r="AE127"/>
      <c r="AF127"/>
      <c r="AG127"/>
      <c r="AH127"/>
      <c r="AI127"/>
      <c r="AJ127"/>
      <c r="AK127"/>
      <c r="AL127" t="str">
        <f>IF(COUNTA(Z128:Z172)&gt;15,"OK","")</f>
        <v/>
      </c>
      <c r="AM127"/>
      <c r="AN127"/>
      <c r="AP127"/>
      <c r="AQ127"/>
      <c r="AR127"/>
      <c r="AS127"/>
      <c r="AT127"/>
      <c r="AU127"/>
      <c r="AV127"/>
      <c r="AW127"/>
      <c r="AX127"/>
      <c r="AY127"/>
      <c r="AZ127"/>
      <c r="BA127"/>
      <c r="BB127"/>
      <c r="BC127"/>
      <c r="BD127"/>
      <c r="BE127"/>
      <c r="BF127"/>
      <c r="BG127"/>
      <c r="BH127"/>
      <c r="BI127"/>
      <c r="BJ127"/>
      <c r="BK127"/>
      <c r="BL127"/>
      <c r="BM127"/>
      <c r="BN127"/>
      <c r="BO127"/>
      <c r="BP127"/>
      <c r="BQ127"/>
      <c r="BR127" s="1395"/>
      <c r="BS127" s="1450"/>
      <c r="BT127" s="1450"/>
      <c r="BU127"/>
      <c r="BV127"/>
      <c r="BW127"/>
    </row>
    <row r="128" spans="1:75" hidden="1" outlineLevel="2" x14ac:dyDescent="0.2">
      <c r="A128"/>
      <c r="B128" s="1"/>
      <c r="C128" s="11"/>
      <c r="D128" s="76"/>
      <c r="E128" s="76"/>
      <c r="F128" s="76"/>
      <c r="G128" s="9"/>
      <c r="H128" s="1"/>
      <c r="I128"/>
      <c r="J128"/>
      <c r="K128"/>
      <c r="L128"/>
      <c r="M128"/>
      <c r="N128"/>
      <c r="O128"/>
      <c r="P128" s="89"/>
      <c r="Q128"/>
      <c r="R128"/>
      <c r="S128" s="89"/>
      <c r="T128"/>
      <c r="U128" s="331" t="s">
        <v>1726</v>
      </c>
      <c r="V128" s="54"/>
      <c r="W128" s="278"/>
      <c r="X128" s="279"/>
      <c r="Y128" s="34" t="str">
        <f>IF(G121="","",G121)</f>
        <v>Db1</v>
      </c>
      <c r="Z128" s="95" t="str">
        <f>IF(OR(ISNUMBER(Z129),ISNUMBER(Z130)),2-COUNTBLANK(AI129:AI130),"")</f>
        <v/>
      </c>
      <c r="AA128" s="35" t="s">
        <v>769</v>
      </c>
      <c r="AB128" s="95" t="str">
        <f>IF(OR(ISNUMBER(Z129),ISNUMBER(Z130)),2-COUNTBLANK(AJ129:AJ130),"")</f>
        <v/>
      </c>
      <c r="AC128" s="36" t="str">
        <f>IF(G126="","",G126)</f>
        <v>Db6</v>
      </c>
      <c r="AD128" s="16"/>
      <c r="AE128" t="str">
        <f t="shared" ref="AE128:AE143" si="26">IF(Z128="","",IF(Z128&gt;AB128,Y128,IF(Z128=AB128,"",AC128)))</f>
        <v/>
      </c>
      <c r="AF128" t="str">
        <f t="shared" ref="AF128:AF143" si="27">IF(Z128="","",IF(Z128=AB128,Y128,""))</f>
        <v/>
      </c>
      <c r="AG128" t="str">
        <f t="shared" ref="AG128:AG143" si="28">IF(Z128="","",IF(Z128=AB128,AC128,""))</f>
        <v/>
      </c>
      <c r="AH128" t="str">
        <f t="shared" ref="AH128:AH143" si="29">IF(Z128="","",IF(Z128&lt;AB128,Y128,IF(Z128=AB128,"",AC128)))</f>
        <v/>
      </c>
      <c r="AI128" s="270" t="str">
        <f>IF(Z128="","",SUM(Z129:Z130))</f>
        <v/>
      </c>
      <c r="AJ128" s="270" t="str">
        <f>IF(Z128="","",SUM(AB129:AB130))</f>
        <v/>
      </c>
      <c r="AK128" t="str">
        <f t="shared" ref="AK128:AK143" si="30">CONCATENATE(AE128,AH128)</f>
        <v/>
      </c>
      <c r="AL128"/>
      <c r="AM128"/>
      <c r="AN128"/>
      <c r="AO128" s="1"/>
      <c r="AP128"/>
      <c r="AQ128"/>
      <c r="AR128"/>
      <c r="AS128"/>
      <c r="AT128"/>
      <c r="AU128"/>
      <c r="AV128"/>
      <c r="AW128"/>
      <c r="AX128"/>
      <c r="AY128" s="89"/>
      <c r="AZ128"/>
      <c r="BA128"/>
      <c r="BB128" s="89"/>
      <c r="BC128"/>
      <c r="BD128"/>
      <c r="BE128"/>
      <c r="BF128"/>
      <c r="BG128"/>
      <c r="BH128"/>
      <c r="BI128"/>
      <c r="BJ128"/>
      <c r="BK128"/>
      <c r="BL128"/>
      <c r="BM128"/>
      <c r="BN128"/>
      <c r="BO128"/>
      <c r="BP128"/>
      <c r="BQ128"/>
      <c r="BR128" s="1395"/>
      <c r="BS128" s="1450"/>
      <c r="BT128" s="1450"/>
      <c r="BU128"/>
      <c r="BV128"/>
      <c r="BW128"/>
    </row>
    <row r="129" spans="1:75" ht="12.75" hidden="1" customHeight="1" outlineLevel="3" x14ac:dyDescent="0.2">
      <c r="A129"/>
      <c r="B129" s="1"/>
      <c r="C129" s="11"/>
      <c r="D129" s="76"/>
      <c r="E129" s="76"/>
      <c r="F129" s="76"/>
      <c r="G129" s="9"/>
      <c r="H129" s="1"/>
      <c r="I129"/>
      <c r="J129"/>
      <c r="K129"/>
      <c r="L129"/>
      <c r="M129"/>
      <c r="N129"/>
      <c r="O129"/>
      <c r="P129" s="89"/>
      <c r="Q129"/>
      <c r="R129"/>
      <c r="S129" s="89"/>
      <c r="T129"/>
      <c r="U129" s="331"/>
      <c r="V129" s="92"/>
      <c r="W129" s="56"/>
      <c r="X129" s="78"/>
      <c r="Y129" s="103"/>
      <c r="Z129" s="44"/>
      <c r="AA129" s="45" t="s">
        <v>769</v>
      </c>
      <c r="AB129" s="44"/>
      <c r="AC129" s="79"/>
      <c r="AD129" s="16"/>
      <c r="AE129" t="str">
        <f t="shared" si="26"/>
        <v/>
      </c>
      <c r="AF129" t="str">
        <f t="shared" si="27"/>
        <v/>
      </c>
      <c r="AG129" t="str">
        <f t="shared" si="28"/>
        <v/>
      </c>
      <c r="AH129" t="str">
        <f t="shared" si="29"/>
        <v/>
      </c>
      <c r="AI129" t="str">
        <f>IF(Z129="","",IF(Z129&gt;AB129,Y128,""))</f>
        <v/>
      </c>
      <c r="AJ129" t="str">
        <f>IF(Z129="","",IF(Z129&lt;AB129,AC128,""))</f>
        <v/>
      </c>
      <c r="AK129" t="str">
        <f t="shared" si="30"/>
        <v/>
      </c>
      <c r="AL129"/>
      <c r="AM129"/>
      <c r="AN129"/>
      <c r="AO129" s="1"/>
      <c r="AP129"/>
      <c r="AQ129"/>
      <c r="AR129"/>
      <c r="AS129"/>
      <c r="AT129"/>
      <c r="AU129"/>
      <c r="AV129"/>
      <c r="AW129"/>
      <c r="AX129"/>
      <c r="AY129" s="89"/>
      <c r="AZ129"/>
      <c r="BA129"/>
      <c r="BB129" s="89"/>
      <c r="BC129"/>
      <c r="BD129"/>
      <c r="BE129"/>
      <c r="BF129"/>
      <c r="BG129"/>
      <c r="BH129"/>
      <c r="BI129"/>
      <c r="BJ129"/>
      <c r="BK129"/>
      <c r="BL129"/>
      <c r="BM129"/>
      <c r="BN129"/>
      <c r="BO129"/>
      <c r="BP129"/>
      <c r="BQ129"/>
      <c r="BR129" s="1395"/>
      <c r="BS129" s="1450"/>
      <c r="BT129" s="1450"/>
      <c r="BU129"/>
      <c r="BV129"/>
      <c r="BW129"/>
    </row>
    <row r="130" spans="1:75" ht="12.75" hidden="1" customHeight="1" outlineLevel="3" x14ac:dyDescent="0.2">
      <c r="A130"/>
      <c r="B130" s="1"/>
      <c r="C130"/>
      <c r="D130"/>
      <c r="E130"/>
      <c r="F130"/>
      <c r="G130" s="1"/>
      <c r="H130"/>
      <c r="I130"/>
      <c r="J130"/>
      <c r="K130"/>
      <c r="L130"/>
      <c r="M130"/>
      <c r="N130"/>
      <c r="O130"/>
      <c r="P130"/>
      <c r="Q130"/>
      <c r="R130"/>
      <c r="S130"/>
      <c r="T130"/>
      <c r="U130" s="331"/>
      <c r="V130" s="92"/>
      <c r="W130" s="56"/>
      <c r="X130" s="78"/>
      <c r="Y130" s="103"/>
      <c r="Z130" s="44"/>
      <c r="AA130" s="45" t="s">
        <v>769</v>
      </c>
      <c r="AB130" s="44"/>
      <c r="AC130" s="79"/>
      <c r="AD130" s="16"/>
      <c r="AE130" t="str">
        <f t="shared" si="26"/>
        <v/>
      </c>
      <c r="AF130" t="str">
        <f t="shared" si="27"/>
        <v/>
      </c>
      <c r="AG130" t="str">
        <f t="shared" si="28"/>
        <v/>
      </c>
      <c r="AH130" t="str">
        <f t="shared" si="29"/>
        <v/>
      </c>
      <c r="AI130" t="str">
        <f>IF(Z130="","",IF(Z130&gt;AB130,Y128,""))</f>
        <v/>
      </c>
      <c r="AJ130" t="str">
        <f>IF(Z130="","",IF(Z130&lt;AB130,AC128,""))</f>
        <v/>
      </c>
      <c r="AK130" t="str">
        <f t="shared" si="30"/>
        <v/>
      </c>
      <c r="AL130"/>
      <c r="AM130"/>
      <c r="AN130"/>
      <c r="AP130"/>
      <c r="AQ130"/>
      <c r="AR130"/>
      <c r="AS130"/>
      <c r="AT130"/>
      <c r="AU130"/>
      <c r="AV130"/>
      <c r="AW130"/>
      <c r="AX130"/>
      <c r="AY130"/>
      <c r="AZ130"/>
      <c r="BA130"/>
      <c r="BB130"/>
      <c r="BC130"/>
      <c r="BD130"/>
      <c r="BE130"/>
      <c r="BF130"/>
      <c r="BG130"/>
      <c r="BH130"/>
      <c r="BI130"/>
      <c r="BJ130"/>
      <c r="BK130"/>
      <c r="BL130"/>
      <c r="BM130"/>
      <c r="BN130"/>
      <c r="BO130"/>
      <c r="BP130"/>
      <c r="BQ130"/>
      <c r="BR130" s="1395"/>
      <c r="BS130" s="1450"/>
      <c r="BT130" s="1450"/>
      <c r="BU130"/>
      <c r="BV130"/>
      <c r="BW130"/>
    </row>
    <row r="131" spans="1:75" hidden="1" outlineLevel="2" x14ac:dyDescent="0.2">
      <c r="A131"/>
      <c r="B131" s="1"/>
      <c r="C131" s="11"/>
      <c r="D131" s="76"/>
      <c r="E131" s="76"/>
      <c r="F131" s="76"/>
      <c r="G131" s="9"/>
      <c r="H131" s="1"/>
      <c r="I131"/>
      <c r="J131"/>
      <c r="K131"/>
      <c r="L131"/>
      <c r="M131"/>
      <c r="N131"/>
      <c r="O131"/>
      <c r="P131" s="89"/>
      <c r="Q131"/>
      <c r="R131"/>
      <c r="S131" s="89"/>
      <c r="T131"/>
      <c r="U131" s="331" t="s">
        <v>1726</v>
      </c>
      <c r="V131" s="93"/>
      <c r="W131" s="84"/>
      <c r="X131" s="85"/>
      <c r="Y131" s="43" t="str">
        <f>IF(G123="","",G123)</f>
        <v>Db3</v>
      </c>
      <c r="Z131" s="86" t="str">
        <f>IF(OR(ISNUMBER(Z132),ISNUMBER(Z133)),2-COUNTBLANK(AI132:AI133),"")</f>
        <v/>
      </c>
      <c r="AA131" s="45" t="s">
        <v>769</v>
      </c>
      <c r="AB131" s="86" t="str">
        <f>IF(OR(ISNUMBER(Z132),ISNUMBER(Z133)),2-COUNTBLANK(AJ132:AJ133),"")</f>
        <v/>
      </c>
      <c r="AC131" s="46" t="str">
        <f>IF(G125="","",G125)</f>
        <v>Db5</v>
      </c>
      <c r="AD131" s="16"/>
      <c r="AE131" t="str">
        <f t="shared" si="26"/>
        <v/>
      </c>
      <c r="AF131" t="str">
        <f t="shared" si="27"/>
        <v/>
      </c>
      <c r="AG131" t="str">
        <f t="shared" si="28"/>
        <v/>
      </c>
      <c r="AH131" t="str">
        <f t="shared" si="29"/>
        <v/>
      </c>
      <c r="AI131" s="270" t="str">
        <f>IF(Z131="","",SUM(Z132:Z133))</f>
        <v/>
      </c>
      <c r="AJ131" s="270" t="str">
        <f>IF(Z131="","",SUM(AB132:AB133))</f>
        <v/>
      </c>
      <c r="AK131" t="str">
        <f t="shared" si="30"/>
        <v/>
      </c>
      <c r="AL131"/>
      <c r="AM131"/>
      <c r="AN131"/>
      <c r="AO131" s="1"/>
      <c r="AP131"/>
      <c r="AQ131"/>
      <c r="AR131"/>
      <c r="AS131"/>
      <c r="AT131"/>
      <c r="AU131"/>
      <c r="AV131"/>
      <c r="AW131"/>
      <c r="AX131"/>
      <c r="AY131" s="89"/>
      <c r="AZ131"/>
      <c r="BA131"/>
      <c r="BB131" s="89"/>
      <c r="BC131"/>
      <c r="BD131"/>
      <c r="BE131"/>
      <c r="BF131"/>
      <c r="BG131"/>
      <c r="BH131"/>
      <c r="BI131"/>
      <c r="BJ131"/>
      <c r="BK131"/>
      <c r="BL131"/>
      <c r="BM131"/>
      <c r="BN131"/>
      <c r="BO131"/>
      <c r="BP131"/>
      <c r="BQ131"/>
      <c r="BR131" s="1395"/>
      <c r="BS131" s="1450"/>
      <c r="BT131" s="1450"/>
      <c r="BU131"/>
      <c r="BV131"/>
      <c r="BW131"/>
    </row>
    <row r="132" spans="1:75" ht="12.75" hidden="1" customHeight="1" outlineLevel="3" x14ac:dyDescent="0.2">
      <c r="A132"/>
      <c r="B132" s="1"/>
      <c r="C132" s="11"/>
      <c r="D132" s="76"/>
      <c r="E132" s="76"/>
      <c r="F132" s="76"/>
      <c r="G132" s="9"/>
      <c r="H132" s="1"/>
      <c r="I132"/>
      <c r="J132"/>
      <c r="K132"/>
      <c r="L132"/>
      <c r="M132"/>
      <c r="N132"/>
      <c r="O132"/>
      <c r="P132" s="89"/>
      <c r="Q132"/>
      <c r="R132"/>
      <c r="S132" s="89"/>
      <c r="T132"/>
      <c r="U132" s="331"/>
      <c r="V132" s="92"/>
      <c r="W132" s="56"/>
      <c r="X132" s="78"/>
      <c r="Y132" s="103"/>
      <c r="Z132" s="44"/>
      <c r="AA132" s="45" t="s">
        <v>769</v>
      </c>
      <c r="AB132" s="44"/>
      <c r="AC132" s="79"/>
      <c r="AD132" s="16"/>
      <c r="AE132" t="str">
        <f t="shared" si="26"/>
        <v/>
      </c>
      <c r="AF132" t="str">
        <f t="shared" si="27"/>
        <v/>
      </c>
      <c r="AG132" t="str">
        <f t="shared" si="28"/>
        <v/>
      </c>
      <c r="AH132" t="str">
        <f t="shared" si="29"/>
        <v/>
      </c>
      <c r="AI132" t="str">
        <f>IF(Z132="","",IF(Z132&gt;AB132,Y131,""))</f>
        <v/>
      </c>
      <c r="AJ132" t="str">
        <f>IF(Z132="","",IF(Z132&lt;AB132,AC131,""))</f>
        <v/>
      </c>
      <c r="AK132" t="str">
        <f t="shared" si="30"/>
        <v/>
      </c>
      <c r="AL132"/>
      <c r="AM132"/>
      <c r="AN132"/>
      <c r="AO132" s="1"/>
      <c r="AP132"/>
      <c r="AQ132"/>
      <c r="AR132"/>
      <c r="AS132"/>
      <c r="AT132"/>
      <c r="AU132"/>
      <c r="AV132"/>
      <c r="AW132"/>
      <c r="AX132"/>
      <c r="AY132" s="89"/>
      <c r="AZ132"/>
      <c r="BA132"/>
      <c r="BB132" s="89"/>
      <c r="BC132"/>
      <c r="BD132"/>
      <c r="BE132"/>
      <c r="BF132"/>
      <c r="BG132"/>
      <c r="BH132"/>
      <c r="BI132"/>
      <c r="BJ132"/>
      <c r="BK132"/>
      <c r="BL132"/>
      <c r="BM132"/>
      <c r="BN132"/>
      <c r="BO132"/>
      <c r="BP132"/>
      <c r="BQ132"/>
      <c r="BR132" s="1395"/>
      <c r="BS132" s="1450"/>
      <c r="BT132" s="1450"/>
      <c r="BU132"/>
      <c r="BV132"/>
      <c r="BW132"/>
    </row>
    <row r="133" spans="1:75" ht="12.75" hidden="1" customHeight="1" outlineLevel="3" thickBot="1" x14ac:dyDescent="0.25">
      <c r="A133"/>
      <c r="B133" s="1"/>
      <c r="C133"/>
      <c r="D133"/>
      <c r="E133"/>
      <c r="F133"/>
      <c r="G133" s="1"/>
      <c r="H133"/>
      <c r="I133"/>
      <c r="J133"/>
      <c r="K133"/>
      <c r="L133"/>
      <c r="M133"/>
      <c r="N133"/>
      <c r="O133"/>
      <c r="P133"/>
      <c r="Q133"/>
      <c r="R133"/>
      <c r="S133"/>
      <c r="T133"/>
      <c r="U133" s="331"/>
      <c r="V133" s="94"/>
      <c r="W133" s="58"/>
      <c r="X133" s="91"/>
      <c r="Y133" s="174"/>
      <c r="Z133" s="51"/>
      <c r="AA133" s="52" t="s">
        <v>769</v>
      </c>
      <c r="AB133" s="51"/>
      <c r="AC133" s="96"/>
      <c r="AD133" s="16"/>
      <c r="AE133" t="str">
        <f t="shared" si="26"/>
        <v/>
      </c>
      <c r="AF133" t="str">
        <f t="shared" si="27"/>
        <v/>
      </c>
      <c r="AG133" t="str">
        <f t="shared" si="28"/>
        <v/>
      </c>
      <c r="AH133" t="str">
        <f t="shared" si="29"/>
        <v/>
      </c>
      <c r="AI133" t="str">
        <f>IF(Z133="","",IF(Z133&gt;AB133,Y131,""))</f>
        <v/>
      </c>
      <c r="AJ133" t="str">
        <f>IF(Z133="","",IF(Z133&lt;AB133,AC131,""))</f>
        <v/>
      </c>
      <c r="AK133" t="str">
        <f t="shared" si="30"/>
        <v/>
      </c>
      <c r="AL133"/>
      <c r="AM133"/>
      <c r="AN133"/>
      <c r="AP133"/>
      <c r="AQ133"/>
      <c r="AR133"/>
      <c r="AS133"/>
      <c r="AT133"/>
      <c r="AU133"/>
      <c r="AV133"/>
      <c r="AW133"/>
      <c r="AX133"/>
      <c r="AY133"/>
      <c r="AZ133"/>
      <c r="BA133"/>
      <c r="BB133"/>
      <c r="BC133"/>
      <c r="BD133"/>
      <c r="BE133"/>
      <c r="BF133"/>
      <c r="BG133"/>
      <c r="BH133"/>
      <c r="BI133"/>
      <c r="BJ133"/>
      <c r="BK133"/>
      <c r="BL133"/>
      <c r="BM133"/>
      <c r="BN133"/>
      <c r="BO133"/>
      <c r="BP133"/>
      <c r="BQ133"/>
      <c r="BR133" s="1395"/>
      <c r="BS133" s="1450"/>
      <c r="BT133" s="1450"/>
      <c r="BU133"/>
      <c r="BV133"/>
      <c r="BW133"/>
    </row>
    <row r="134" spans="1:75" hidden="1" outlineLevel="2" x14ac:dyDescent="0.2">
      <c r="A134"/>
      <c r="B134" s="1"/>
      <c r="C134" s="11"/>
      <c r="D134" s="76"/>
      <c r="E134" s="76"/>
      <c r="F134" s="76"/>
      <c r="G134" s="9"/>
      <c r="H134" s="1"/>
      <c r="I134"/>
      <c r="J134"/>
      <c r="K134"/>
      <c r="L134"/>
      <c r="M134"/>
      <c r="N134"/>
      <c r="O134"/>
      <c r="P134" s="89"/>
      <c r="Q134"/>
      <c r="R134"/>
      <c r="S134" s="89"/>
      <c r="T134"/>
      <c r="U134" s="331" t="s">
        <v>1727</v>
      </c>
      <c r="V134" s="54"/>
      <c r="W134" s="278"/>
      <c r="X134" s="279"/>
      <c r="Y134" s="34" t="str">
        <f>IF(G122="","",G122)</f>
        <v>Db2</v>
      </c>
      <c r="Z134" s="95" t="str">
        <f>IF(OR(ISNUMBER(Z135),ISNUMBER(Z136)),2-COUNTBLANK(AI135:AI136),"")</f>
        <v/>
      </c>
      <c r="AA134" s="35" t="s">
        <v>769</v>
      </c>
      <c r="AB134" s="95" t="str">
        <f>IF(OR(ISNUMBER(Z135),ISNUMBER(Z136)),2-COUNTBLANK(AJ135:AJ136),"")</f>
        <v/>
      </c>
      <c r="AC134" s="36" t="str">
        <f>IF(G124="","",G124)</f>
        <v>Db4</v>
      </c>
      <c r="AD134" s="16"/>
      <c r="AE134" t="str">
        <f t="shared" si="26"/>
        <v/>
      </c>
      <c r="AF134" t="str">
        <f t="shared" si="27"/>
        <v/>
      </c>
      <c r="AG134" t="str">
        <f t="shared" si="28"/>
        <v/>
      </c>
      <c r="AH134" t="str">
        <f t="shared" si="29"/>
        <v/>
      </c>
      <c r="AI134" s="270" t="str">
        <f>IF(Z134="","",SUM(Z135:Z136))</f>
        <v/>
      </c>
      <c r="AJ134" s="270" t="str">
        <f>IF(Z134="","",SUM(AB135:AB136))</f>
        <v/>
      </c>
      <c r="AK134" t="str">
        <f t="shared" si="30"/>
        <v/>
      </c>
      <c r="AL134"/>
      <c r="AM134"/>
      <c r="AN134"/>
      <c r="AO134" s="1"/>
      <c r="AP134"/>
      <c r="AQ134"/>
      <c r="AR134"/>
      <c r="AS134"/>
      <c r="AT134"/>
      <c r="AU134"/>
      <c r="AV134"/>
      <c r="AW134"/>
      <c r="AX134"/>
      <c r="AY134" s="89"/>
      <c r="AZ134"/>
      <c r="BA134"/>
      <c r="BB134" s="89"/>
      <c r="BC134"/>
      <c r="BD134"/>
      <c r="BE134"/>
      <c r="BF134"/>
      <c r="BG134"/>
      <c r="BH134"/>
      <c r="BI134"/>
      <c r="BJ134"/>
      <c r="BK134"/>
      <c r="BL134"/>
      <c r="BM134"/>
      <c r="BN134"/>
      <c r="BO134"/>
      <c r="BP134"/>
      <c r="BQ134"/>
      <c r="BR134" s="1395"/>
      <c r="BS134" s="1450"/>
      <c r="BT134" s="1450"/>
      <c r="BU134"/>
      <c r="BV134"/>
      <c r="BW134"/>
    </row>
    <row r="135" spans="1:75" ht="12.75" hidden="1" customHeight="1" outlineLevel="3" x14ac:dyDescent="0.2">
      <c r="A135"/>
      <c r="B135" s="1"/>
      <c r="C135" s="11"/>
      <c r="D135" s="76"/>
      <c r="E135" s="76"/>
      <c r="F135" s="76"/>
      <c r="G135" s="9"/>
      <c r="H135" s="1"/>
      <c r="I135"/>
      <c r="J135"/>
      <c r="K135"/>
      <c r="L135"/>
      <c r="M135"/>
      <c r="N135"/>
      <c r="O135"/>
      <c r="P135" s="89"/>
      <c r="Q135"/>
      <c r="R135"/>
      <c r="S135" s="89"/>
      <c r="T135"/>
      <c r="U135" s="331"/>
      <c r="V135" s="92"/>
      <c r="W135" s="56"/>
      <c r="X135" s="78"/>
      <c r="Y135" s="103"/>
      <c r="Z135" s="44"/>
      <c r="AA135" s="45" t="s">
        <v>769</v>
      </c>
      <c r="AB135" s="44"/>
      <c r="AC135" s="79"/>
      <c r="AD135" s="16"/>
      <c r="AE135" t="str">
        <f t="shared" si="26"/>
        <v/>
      </c>
      <c r="AF135" t="str">
        <f t="shared" si="27"/>
        <v/>
      </c>
      <c r="AG135" t="str">
        <f t="shared" si="28"/>
        <v/>
      </c>
      <c r="AH135" t="str">
        <f t="shared" si="29"/>
        <v/>
      </c>
      <c r="AI135" t="str">
        <f>IF(Z135="","",IF(Z135&gt;AB135,Y134,""))</f>
        <v/>
      </c>
      <c r="AJ135" t="str">
        <f>IF(Z135="","",IF(Z135&lt;AB135,AC134,""))</f>
        <v/>
      </c>
      <c r="AK135" t="str">
        <f t="shared" si="30"/>
        <v/>
      </c>
      <c r="AL135"/>
      <c r="AM135"/>
      <c r="AN135"/>
      <c r="AO135" s="1"/>
      <c r="AP135"/>
      <c r="AQ135"/>
      <c r="AR135"/>
      <c r="AS135"/>
      <c r="AT135"/>
      <c r="AU135"/>
      <c r="AV135"/>
      <c r="AW135"/>
      <c r="AX135"/>
      <c r="AY135" s="89"/>
      <c r="AZ135"/>
      <c r="BA135"/>
      <c r="BB135" s="89"/>
      <c r="BC135"/>
      <c r="BD135"/>
      <c r="BE135"/>
      <c r="BF135"/>
      <c r="BG135"/>
      <c r="BH135"/>
      <c r="BI135"/>
      <c r="BJ135"/>
      <c r="BK135"/>
      <c r="BL135"/>
      <c r="BM135"/>
      <c r="BN135"/>
      <c r="BO135"/>
      <c r="BP135"/>
      <c r="BQ135"/>
      <c r="BR135" s="1395"/>
      <c r="BS135" s="1450"/>
      <c r="BT135" s="1450"/>
      <c r="BU135"/>
      <c r="BV135"/>
      <c r="BW135"/>
    </row>
    <row r="136" spans="1:75" ht="12.75" hidden="1" customHeight="1" outlineLevel="3" x14ac:dyDescent="0.2">
      <c r="A136"/>
      <c r="B136" s="1"/>
      <c r="C136"/>
      <c r="D136"/>
      <c r="E136"/>
      <c r="F136"/>
      <c r="G136" s="1"/>
      <c r="H136"/>
      <c r="I136"/>
      <c r="J136"/>
      <c r="K136"/>
      <c r="L136"/>
      <c r="M136"/>
      <c r="N136"/>
      <c r="O136"/>
      <c r="P136"/>
      <c r="Q136"/>
      <c r="R136"/>
      <c r="S136"/>
      <c r="T136"/>
      <c r="U136" s="331"/>
      <c r="V136" s="92"/>
      <c r="W136" s="56"/>
      <c r="X136" s="78"/>
      <c r="Y136" s="103"/>
      <c r="Z136" s="44"/>
      <c r="AA136" s="45" t="s">
        <v>769</v>
      </c>
      <c r="AB136" s="44"/>
      <c r="AC136" s="79"/>
      <c r="AD136" s="16"/>
      <c r="AE136" t="str">
        <f t="shared" si="26"/>
        <v/>
      </c>
      <c r="AF136" t="str">
        <f t="shared" si="27"/>
        <v/>
      </c>
      <c r="AG136" t="str">
        <f t="shared" si="28"/>
        <v/>
      </c>
      <c r="AH136" t="str">
        <f t="shared" si="29"/>
        <v/>
      </c>
      <c r="AI136" t="str">
        <f>IF(Z136="","",IF(Z136&gt;AB136,Y134,""))</f>
        <v/>
      </c>
      <c r="AJ136" t="str">
        <f>IF(Z136="","",IF(Z136&lt;AB136,AC134,""))</f>
        <v/>
      </c>
      <c r="AK136" t="str">
        <f t="shared" si="30"/>
        <v/>
      </c>
      <c r="AL136"/>
      <c r="AM136"/>
      <c r="AN136"/>
      <c r="AP136"/>
      <c r="AQ136"/>
      <c r="AR136"/>
      <c r="AS136"/>
      <c r="AT136"/>
      <c r="AU136"/>
      <c r="AV136"/>
      <c r="AW136"/>
      <c r="AX136"/>
      <c r="AY136"/>
      <c r="AZ136"/>
      <c r="BA136"/>
      <c r="BB136"/>
      <c r="BC136"/>
      <c r="BD136"/>
      <c r="BE136"/>
      <c r="BF136"/>
      <c r="BG136"/>
      <c r="BH136"/>
      <c r="BI136"/>
      <c r="BJ136"/>
      <c r="BK136"/>
      <c r="BL136"/>
      <c r="BM136"/>
      <c r="BN136"/>
      <c r="BO136"/>
      <c r="BP136"/>
      <c r="BQ136"/>
      <c r="BR136" s="1395"/>
      <c r="BS136" s="1450"/>
      <c r="BT136" s="1450"/>
      <c r="BU136"/>
      <c r="BV136"/>
      <c r="BW136"/>
    </row>
    <row r="137" spans="1:75" hidden="1" outlineLevel="2" x14ac:dyDescent="0.2">
      <c r="A137"/>
      <c r="B137" s="1"/>
      <c r="C137" s="11"/>
      <c r="D137" s="76"/>
      <c r="E137" s="76"/>
      <c r="F137" s="76"/>
      <c r="G137" s="9"/>
      <c r="H137" s="1"/>
      <c r="I137"/>
      <c r="J137"/>
      <c r="K137"/>
      <c r="L137"/>
      <c r="M137"/>
      <c r="N137"/>
      <c r="O137"/>
      <c r="P137" s="89"/>
      <c r="Q137"/>
      <c r="R137"/>
      <c r="S137" s="89"/>
      <c r="T137"/>
      <c r="U137" s="331" t="s">
        <v>1727</v>
      </c>
      <c r="V137" s="93"/>
      <c r="W137" s="84"/>
      <c r="X137" s="85"/>
      <c r="Y137" s="43" t="str">
        <f>IF(G123="","",G123)</f>
        <v>Db3</v>
      </c>
      <c r="Z137" s="86" t="str">
        <f>IF(OR(ISNUMBER(Z138),ISNUMBER(Z139)),2-COUNTBLANK(AI138:AI139),"")</f>
        <v/>
      </c>
      <c r="AA137" s="45" t="s">
        <v>769</v>
      </c>
      <c r="AB137" s="86" t="str">
        <f>IF(OR(ISNUMBER(Z138),ISNUMBER(Z139)),2-COUNTBLANK(AJ138:AJ139),"")</f>
        <v/>
      </c>
      <c r="AC137" s="46" t="str">
        <f>IF(G126="","",G126)</f>
        <v>Db6</v>
      </c>
      <c r="AD137" s="16"/>
      <c r="AE137" t="str">
        <f t="shared" si="26"/>
        <v/>
      </c>
      <c r="AF137" t="str">
        <f t="shared" si="27"/>
        <v/>
      </c>
      <c r="AG137" t="str">
        <f t="shared" si="28"/>
        <v/>
      </c>
      <c r="AH137" t="str">
        <f t="shared" si="29"/>
        <v/>
      </c>
      <c r="AI137" s="270" t="str">
        <f>IF(Z137="","",SUM(Z138:Z139))</f>
        <v/>
      </c>
      <c r="AJ137" s="270" t="str">
        <f>IF(Z137="","",SUM(AB138:AB139))</f>
        <v/>
      </c>
      <c r="AK137" t="str">
        <f t="shared" si="30"/>
        <v/>
      </c>
      <c r="AL137"/>
      <c r="AM137"/>
      <c r="AN137"/>
      <c r="AO137" s="1"/>
      <c r="AP137"/>
      <c r="AQ137"/>
      <c r="AR137"/>
      <c r="AS137"/>
      <c r="AT137"/>
      <c r="AU137"/>
      <c r="AV137"/>
      <c r="AW137"/>
      <c r="AX137"/>
      <c r="AY137" s="89"/>
      <c r="AZ137"/>
      <c r="BA137"/>
      <c r="BB137" s="89"/>
      <c r="BC137"/>
      <c r="BD137"/>
      <c r="BE137"/>
      <c r="BF137"/>
      <c r="BG137"/>
      <c r="BH137"/>
      <c r="BI137"/>
      <c r="BJ137"/>
      <c r="BK137"/>
      <c r="BL137"/>
      <c r="BM137"/>
      <c r="BN137"/>
      <c r="BO137"/>
      <c r="BP137"/>
      <c r="BQ137"/>
      <c r="BR137" s="1395"/>
      <c r="BS137" s="1450"/>
      <c r="BT137" s="1450"/>
      <c r="BU137"/>
      <c r="BV137"/>
      <c r="BW137"/>
    </row>
    <row r="138" spans="1:75" ht="12.75" hidden="1" customHeight="1" outlineLevel="3" x14ac:dyDescent="0.2">
      <c r="A138"/>
      <c r="B138" s="1"/>
      <c r="C138" s="11"/>
      <c r="D138" s="76"/>
      <c r="E138" s="76"/>
      <c r="F138" s="76"/>
      <c r="G138" s="9"/>
      <c r="H138" s="1"/>
      <c r="I138"/>
      <c r="J138"/>
      <c r="K138"/>
      <c r="L138"/>
      <c r="M138"/>
      <c r="N138"/>
      <c r="O138"/>
      <c r="P138" s="89"/>
      <c r="Q138"/>
      <c r="R138"/>
      <c r="S138" s="89"/>
      <c r="T138"/>
      <c r="U138" s="331"/>
      <c r="V138" s="92"/>
      <c r="W138" s="56"/>
      <c r="X138" s="78"/>
      <c r="Y138" s="103"/>
      <c r="Z138" s="44"/>
      <c r="AA138" s="45" t="s">
        <v>769</v>
      </c>
      <c r="AB138" s="44"/>
      <c r="AC138" s="79"/>
      <c r="AD138" s="16"/>
      <c r="AE138" t="str">
        <f t="shared" si="26"/>
        <v/>
      </c>
      <c r="AF138" t="str">
        <f t="shared" si="27"/>
        <v/>
      </c>
      <c r="AG138" t="str">
        <f t="shared" si="28"/>
        <v/>
      </c>
      <c r="AH138" t="str">
        <f t="shared" si="29"/>
        <v/>
      </c>
      <c r="AI138" t="str">
        <f>IF(Z138="","",IF(Z138&gt;AB138,Y137,""))</f>
        <v/>
      </c>
      <c r="AJ138" t="str">
        <f>IF(Z138="","",IF(Z138&lt;AB138,AC137,""))</f>
        <v/>
      </c>
      <c r="AK138" t="str">
        <f t="shared" si="30"/>
        <v/>
      </c>
      <c r="AL138"/>
      <c r="AM138"/>
      <c r="AN138"/>
      <c r="AO138" s="1"/>
      <c r="AP138"/>
      <c r="AQ138"/>
      <c r="AR138"/>
      <c r="AS138"/>
      <c r="AT138"/>
      <c r="AU138"/>
      <c r="AV138"/>
      <c r="AW138"/>
      <c r="AX138"/>
      <c r="AY138" s="89"/>
      <c r="AZ138"/>
      <c r="BA138"/>
      <c r="BB138" s="89"/>
      <c r="BC138"/>
      <c r="BD138"/>
      <c r="BE138"/>
      <c r="BF138"/>
      <c r="BG138"/>
      <c r="BH138"/>
      <c r="BI138"/>
      <c r="BJ138"/>
      <c r="BK138"/>
      <c r="BL138"/>
      <c r="BM138"/>
      <c r="BN138"/>
      <c r="BO138"/>
      <c r="BP138"/>
      <c r="BQ138"/>
      <c r="BR138" s="1395"/>
      <c r="BS138" s="1450"/>
      <c r="BT138" s="1450"/>
      <c r="BU138"/>
      <c r="BV138"/>
      <c r="BW138"/>
    </row>
    <row r="139" spans="1:75" ht="12.75" hidden="1" customHeight="1" outlineLevel="3" thickBot="1" x14ac:dyDescent="0.25">
      <c r="A139"/>
      <c r="B139" s="1"/>
      <c r="C139"/>
      <c r="D139"/>
      <c r="E139"/>
      <c r="F139"/>
      <c r="G139" s="1"/>
      <c r="H139"/>
      <c r="I139"/>
      <c r="J139"/>
      <c r="K139"/>
      <c r="L139"/>
      <c r="M139"/>
      <c r="N139"/>
      <c r="O139"/>
      <c r="P139"/>
      <c r="Q139"/>
      <c r="R139"/>
      <c r="S139"/>
      <c r="T139"/>
      <c r="U139" s="331"/>
      <c r="V139" s="94"/>
      <c r="W139" s="58"/>
      <c r="X139" s="91"/>
      <c r="Y139" s="174"/>
      <c r="Z139" s="51"/>
      <c r="AA139" s="52" t="s">
        <v>769</v>
      </c>
      <c r="AB139" s="51"/>
      <c r="AC139" s="96"/>
      <c r="AD139" s="16"/>
      <c r="AE139" t="str">
        <f t="shared" si="26"/>
        <v/>
      </c>
      <c r="AF139" t="str">
        <f t="shared" si="27"/>
        <v/>
      </c>
      <c r="AG139" t="str">
        <f t="shared" si="28"/>
        <v/>
      </c>
      <c r="AH139" t="str">
        <f t="shared" si="29"/>
        <v/>
      </c>
      <c r="AI139" t="str">
        <f>IF(Z139="","",IF(Z139&gt;AB139,Y137,""))</f>
        <v/>
      </c>
      <c r="AJ139" t="str">
        <f>IF(Z139="","",IF(Z139&lt;AB139,AC137,""))</f>
        <v/>
      </c>
      <c r="AK139" t="str">
        <f t="shared" si="30"/>
        <v/>
      </c>
      <c r="AL139"/>
      <c r="AM139"/>
      <c r="AN139"/>
      <c r="AP139"/>
      <c r="AQ139"/>
      <c r="AR139"/>
      <c r="AS139"/>
      <c r="AT139"/>
      <c r="AU139"/>
      <c r="AV139"/>
      <c r="AW139"/>
      <c r="AX139"/>
      <c r="AY139"/>
      <c r="AZ139"/>
      <c r="BA139"/>
      <c r="BB139"/>
      <c r="BC139"/>
      <c r="BD139"/>
      <c r="BE139"/>
      <c r="BF139"/>
      <c r="BG139"/>
      <c r="BH139"/>
      <c r="BI139"/>
      <c r="BJ139"/>
      <c r="BK139"/>
      <c r="BL139"/>
      <c r="BM139"/>
      <c r="BN139"/>
      <c r="BO139"/>
      <c r="BP139"/>
      <c r="BQ139"/>
      <c r="BR139" s="1395"/>
      <c r="BS139" s="1450"/>
      <c r="BT139" s="1450"/>
      <c r="BU139"/>
      <c r="BV139"/>
      <c r="BW139"/>
    </row>
    <row r="140" spans="1:75" hidden="1" outlineLevel="2" x14ac:dyDescent="0.2">
      <c r="A140"/>
      <c r="B140" s="1"/>
      <c r="C140" s="11"/>
      <c r="D140" s="76"/>
      <c r="E140" s="76"/>
      <c r="F140" s="76"/>
      <c r="G140" s="9"/>
      <c r="H140" s="1"/>
      <c r="I140"/>
      <c r="J140"/>
      <c r="K140"/>
      <c r="L140"/>
      <c r="M140"/>
      <c r="N140"/>
      <c r="O140"/>
      <c r="P140" s="89"/>
      <c r="Q140"/>
      <c r="R140"/>
      <c r="S140" s="89"/>
      <c r="T140"/>
      <c r="U140" s="331" t="s">
        <v>1728</v>
      </c>
      <c r="V140" s="54"/>
      <c r="W140" s="278"/>
      <c r="X140" s="279"/>
      <c r="Y140" s="34" t="str">
        <f>IF(G122="","",G122)</f>
        <v>Db2</v>
      </c>
      <c r="Z140" s="95" t="str">
        <f>IF(OR(ISNUMBER(Z141),ISNUMBER(Z142)),2-COUNTBLANK(AI141:AI142),"")</f>
        <v/>
      </c>
      <c r="AA140" s="35" t="s">
        <v>769</v>
      </c>
      <c r="AB140" s="95" t="str">
        <f>IF(OR(ISNUMBER(Z141),ISNUMBER(Z142)),2-COUNTBLANK(AJ141:AJ142),"")</f>
        <v/>
      </c>
      <c r="AC140" s="36" t="str">
        <f>IF(G125="","",G125)</f>
        <v>Db5</v>
      </c>
      <c r="AD140" s="16"/>
      <c r="AE140" t="str">
        <f t="shared" si="26"/>
        <v/>
      </c>
      <c r="AF140" t="str">
        <f t="shared" si="27"/>
        <v/>
      </c>
      <c r="AG140" t="str">
        <f t="shared" si="28"/>
        <v/>
      </c>
      <c r="AH140" t="str">
        <f t="shared" si="29"/>
        <v/>
      </c>
      <c r="AI140" s="270" t="str">
        <f>IF(Z140="","",SUM(Z141:Z142))</f>
        <v/>
      </c>
      <c r="AJ140" s="270" t="str">
        <f>IF(Z140="","",SUM(AB141:AB142))</f>
        <v/>
      </c>
      <c r="AK140" t="str">
        <f t="shared" si="30"/>
        <v/>
      </c>
      <c r="AL140"/>
      <c r="AM140"/>
      <c r="AN140"/>
      <c r="AO140" s="1"/>
      <c r="AP140"/>
      <c r="AQ140"/>
      <c r="AR140"/>
      <c r="AS140"/>
      <c r="AT140"/>
      <c r="AU140"/>
      <c r="AV140"/>
      <c r="AW140"/>
      <c r="AX140"/>
      <c r="AY140" s="89"/>
      <c r="AZ140"/>
      <c r="BA140"/>
      <c r="BB140" s="89"/>
      <c r="BC140"/>
      <c r="BD140"/>
      <c r="BE140"/>
      <c r="BF140"/>
      <c r="BG140"/>
      <c r="BH140"/>
      <c r="BI140"/>
      <c r="BJ140"/>
      <c r="BK140"/>
      <c r="BL140"/>
      <c r="BM140"/>
      <c r="BN140"/>
      <c r="BO140"/>
      <c r="BP140"/>
      <c r="BQ140"/>
      <c r="BR140" s="1395"/>
      <c r="BS140" s="1450"/>
      <c r="BT140" s="1450"/>
      <c r="BU140"/>
      <c r="BV140"/>
      <c r="BW140"/>
    </row>
    <row r="141" spans="1:75" ht="12.75" hidden="1" customHeight="1" outlineLevel="3" x14ac:dyDescent="0.2">
      <c r="A141"/>
      <c r="B141" s="1"/>
      <c r="C141" s="11"/>
      <c r="D141" s="76"/>
      <c r="E141" s="76"/>
      <c r="F141" s="76"/>
      <c r="G141" s="9"/>
      <c r="H141" s="1"/>
      <c r="I141"/>
      <c r="J141"/>
      <c r="K141"/>
      <c r="L141"/>
      <c r="M141"/>
      <c r="N141"/>
      <c r="O141"/>
      <c r="P141" s="89"/>
      <c r="Q141"/>
      <c r="R141"/>
      <c r="S141" s="89"/>
      <c r="T141"/>
      <c r="U141" s="331"/>
      <c r="V141" s="92"/>
      <c r="W141" s="56"/>
      <c r="X141" s="78"/>
      <c r="Y141" s="103"/>
      <c r="Z141" s="44"/>
      <c r="AA141" s="45" t="s">
        <v>769</v>
      </c>
      <c r="AB141" s="44"/>
      <c r="AC141" s="79"/>
      <c r="AD141" s="16"/>
      <c r="AE141" t="str">
        <f t="shared" si="26"/>
        <v/>
      </c>
      <c r="AF141" t="str">
        <f t="shared" si="27"/>
        <v/>
      </c>
      <c r="AG141" t="str">
        <f t="shared" si="28"/>
        <v/>
      </c>
      <c r="AH141" t="str">
        <f t="shared" si="29"/>
        <v/>
      </c>
      <c r="AI141" t="str">
        <f>IF(Z141="","",IF(Z141&gt;AB141,Y140,""))</f>
        <v/>
      </c>
      <c r="AJ141" t="str">
        <f>IF(Z141="","",IF(Z141&lt;AB141,AC140,""))</f>
        <v/>
      </c>
      <c r="AK141" t="str">
        <f t="shared" si="30"/>
        <v/>
      </c>
      <c r="AL141"/>
      <c r="AM141"/>
      <c r="AN141"/>
      <c r="AO141" s="1"/>
      <c r="AP141"/>
      <c r="AQ141"/>
      <c r="AR141"/>
      <c r="AS141"/>
      <c r="AT141"/>
      <c r="AU141"/>
      <c r="AV141"/>
      <c r="AW141"/>
      <c r="AX141"/>
      <c r="AY141" s="89"/>
      <c r="AZ141"/>
      <c r="BA141"/>
      <c r="BB141" s="89"/>
      <c r="BC141"/>
      <c r="BD141"/>
      <c r="BE141"/>
      <c r="BF141"/>
      <c r="BG141"/>
      <c r="BH141"/>
      <c r="BI141"/>
      <c r="BJ141"/>
      <c r="BK141"/>
      <c r="BL141"/>
      <c r="BM141"/>
      <c r="BN141"/>
      <c r="BO141"/>
      <c r="BP141"/>
      <c r="BQ141"/>
      <c r="BR141" s="1395"/>
      <c r="BS141" s="1450"/>
      <c r="BT141" s="1450"/>
      <c r="BU141"/>
      <c r="BV141"/>
      <c r="BW141"/>
    </row>
    <row r="142" spans="1:75" ht="12.75" hidden="1" customHeight="1" outlineLevel="3" x14ac:dyDescent="0.2">
      <c r="A142"/>
      <c r="B142" s="1"/>
      <c r="C142"/>
      <c r="D142"/>
      <c r="E142"/>
      <c r="F142"/>
      <c r="G142" s="1"/>
      <c r="H142"/>
      <c r="I142"/>
      <c r="J142"/>
      <c r="K142"/>
      <c r="L142"/>
      <c r="M142"/>
      <c r="N142"/>
      <c r="O142"/>
      <c r="P142"/>
      <c r="Q142"/>
      <c r="R142"/>
      <c r="S142"/>
      <c r="T142"/>
      <c r="U142" s="331"/>
      <c r="V142" s="92"/>
      <c r="W142" s="56"/>
      <c r="X142" s="78"/>
      <c r="Y142" s="103"/>
      <c r="Z142" s="44"/>
      <c r="AA142" s="45" t="s">
        <v>769</v>
      </c>
      <c r="AB142" s="44"/>
      <c r="AC142" s="79"/>
      <c r="AD142" s="16"/>
      <c r="AE142" t="str">
        <f t="shared" si="26"/>
        <v/>
      </c>
      <c r="AF142" t="str">
        <f t="shared" si="27"/>
        <v/>
      </c>
      <c r="AG142" t="str">
        <f t="shared" si="28"/>
        <v/>
      </c>
      <c r="AH142" t="str">
        <f t="shared" si="29"/>
        <v/>
      </c>
      <c r="AI142" t="str">
        <f>IF(Z142="","",IF(Z142&gt;AB142,Y140,""))</f>
        <v/>
      </c>
      <c r="AJ142" t="str">
        <f>IF(Z142="","",IF(Z142&lt;AB142,AC140,""))</f>
        <v/>
      </c>
      <c r="AK142" t="str">
        <f t="shared" si="30"/>
        <v/>
      </c>
      <c r="AL142"/>
      <c r="AM142"/>
      <c r="AN142"/>
      <c r="AP142"/>
      <c r="AQ142"/>
      <c r="AR142"/>
      <c r="AS142"/>
      <c r="AT142"/>
      <c r="AU142"/>
      <c r="AV142"/>
      <c r="AW142"/>
      <c r="AX142"/>
      <c r="AY142"/>
      <c r="AZ142"/>
      <c r="BA142"/>
      <c r="BB142"/>
      <c r="BC142"/>
      <c r="BD142"/>
      <c r="BE142"/>
      <c r="BF142"/>
      <c r="BG142"/>
      <c r="BH142"/>
      <c r="BI142"/>
      <c r="BJ142"/>
      <c r="BK142"/>
      <c r="BL142"/>
      <c r="BM142"/>
      <c r="BN142"/>
      <c r="BO142"/>
      <c r="BP142"/>
      <c r="BQ142"/>
      <c r="BR142" s="1395"/>
      <c r="BS142" s="1450"/>
      <c r="BT142" s="1450"/>
      <c r="BU142"/>
      <c r="BV142"/>
      <c r="BW142"/>
    </row>
    <row r="143" spans="1:75" hidden="1" outlineLevel="2" x14ac:dyDescent="0.2">
      <c r="A143"/>
      <c r="B143" s="1"/>
      <c r="C143"/>
      <c r="D143"/>
      <c r="E143"/>
      <c r="F143"/>
      <c r="G143" s="1"/>
      <c r="H143"/>
      <c r="I143"/>
      <c r="J143"/>
      <c r="K143"/>
      <c r="L143"/>
      <c r="M143"/>
      <c r="N143"/>
      <c r="O143"/>
      <c r="P143"/>
      <c r="Q143"/>
      <c r="R143"/>
      <c r="S143"/>
      <c r="T143"/>
      <c r="U143" s="331" t="s">
        <v>1728</v>
      </c>
      <c r="V143" s="93"/>
      <c r="W143" s="84"/>
      <c r="X143" s="85"/>
      <c r="Y143" s="43" t="str">
        <f>IF(G121="","",G121)</f>
        <v>Db1</v>
      </c>
      <c r="Z143" s="86" t="str">
        <f>IF(OR(ISNUMBER(Z144),ISNUMBER(Z145)),2-COUNTBLANK(AI144:AI145),"")</f>
        <v/>
      </c>
      <c r="AA143" s="45" t="s">
        <v>769</v>
      </c>
      <c r="AB143" s="86" t="str">
        <f>IF(OR(ISNUMBER(Z144),ISNUMBER(Z145)),2-COUNTBLANK(AJ144:AJ145),"")</f>
        <v/>
      </c>
      <c r="AC143" s="46" t="str">
        <f>IF(G124="","",G124)</f>
        <v>Db4</v>
      </c>
      <c r="AD143" s="16"/>
      <c r="AE143" t="str">
        <f t="shared" si="26"/>
        <v/>
      </c>
      <c r="AF143" t="str">
        <f t="shared" si="27"/>
        <v/>
      </c>
      <c r="AG143" t="str">
        <f t="shared" si="28"/>
        <v/>
      </c>
      <c r="AH143" t="str">
        <f t="shared" si="29"/>
        <v/>
      </c>
      <c r="AI143" s="270" t="str">
        <f>IF(Z143="","",SUM(Z145:Z157))</f>
        <v/>
      </c>
      <c r="AJ143" s="270" t="str">
        <f>IF(Z143="","",SUM(AB145:AB157))</f>
        <v/>
      </c>
      <c r="AK143" t="str">
        <f t="shared" si="30"/>
        <v/>
      </c>
      <c r="AL143"/>
      <c r="AM143"/>
      <c r="AN143"/>
      <c r="AP143"/>
      <c r="AQ143"/>
      <c r="AR143"/>
      <c r="AS143"/>
      <c r="AT143"/>
      <c r="AU143"/>
      <c r="AV143"/>
      <c r="AW143"/>
      <c r="AX143"/>
      <c r="AY143"/>
      <c r="AZ143"/>
      <c r="BA143"/>
      <c r="BB143"/>
      <c r="BC143"/>
      <c r="BD143"/>
      <c r="BE143"/>
      <c r="BF143"/>
      <c r="BG143"/>
      <c r="BH143"/>
      <c r="BI143"/>
      <c r="BJ143"/>
      <c r="BK143"/>
      <c r="BL143"/>
      <c r="BM143"/>
      <c r="BN143"/>
      <c r="BO143"/>
      <c r="BP143"/>
      <c r="BQ143"/>
      <c r="BR143" s="1395"/>
      <c r="BS143" s="1450"/>
      <c r="BT143" s="1450"/>
      <c r="BU143"/>
      <c r="BV143"/>
      <c r="BW143"/>
    </row>
    <row r="144" spans="1:75" ht="12.75" hidden="1" customHeight="1" outlineLevel="3" x14ac:dyDescent="0.2">
      <c r="A144"/>
      <c r="B144" s="1"/>
      <c r="C144"/>
      <c r="D144"/>
      <c r="E144"/>
      <c r="F144"/>
      <c r="G144" s="1"/>
      <c r="H144"/>
      <c r="I144"/>
      <c r="J144"/>
      <c r="K144"/>
      <c r="L144"/>
      <c r="M144"/>
      <c r="N144"/>
      <c r="O144"/>
      <c r="P144"/>
      <c r="Q144"/>
      <c r="R144"/>
      <c r="S144"/>
      <c r="T144"/>
      <c r="U144" s="11"/>
      <c r="V144" s="92"/>
      <c r="W144" s="56"/>
      <c r="X144" s="78"/>
      <c r="Y144" s="103"/>
      <c r="Z144" s="44"/>
      <c r="AA144" s="45" t="s">
        <v>769</v>
      </c>
      <c r="AB144" s="44"/>
      <c r="AC144" s="79"/>
      <c r="AD144" s="16"/>
      <c r="AE144" t="str">
        <f t="shared" ref="AE144:AE160" si="31">IF(Z144="","",IF(Z144&gt;AB144,Y144,IF(Z144=AB144,"",AC144)))</f>
        <v/>
      </c>
      <c r="AF144" t="str">
        <f t="shared" ref="AF144:AF160" si="32">IF(Z144="","",IF(Z144=AB144,Y144,""))</f>
        <v/>
      </c>
      <c r="AG144" t="str">
        <f t="shared" ref="AG144:AG160" si="33">IF(Z144="","",IF(Z144=AB144,AC144,""))</f>
        <v/>
      </c>
      <c r="AH144" t="str">
        <f t="shared" ref="AH144:AH160" si="34">IF(Z144="","",IF(Z144&lt;AB144,Y144,IF(Z144=AB144,"",AC144)))</f>
        <v/>
      </c>
      <c r="AI144" t="str">
        <f>IF(Z144="","",IF(Z144&gt;AB144,Y143,""))</f>
        <v/>
      </c>
      <c r="AJ144" t="str">
        <f>IF(Z144="","",IF(Z144&lt;AB144,AC143,""))</f>
        <v/>
      </c>
      <c r="AK144" t="str">
        <f t="shared" ref="AK144:AK160" si="35">CONCATENATE(AE144,AH144)</f>
        <v/>
      </c>
      <c r="AL144"/>
      <c r="AM144"/>
      <c r="AN144"/>
      <c r="AP144"/>
      <c r="AQ144"/>
      <c r="AR144"/>
      <c r="AS144"/>
      <c r="AT144"/>
      <c r="AU144"/>
      <c r="AV144"/>
      <c r="AW144"/>
      <c r="AX144"/>
      <c r="AY144"/>
      <c r="AZ144"/>
      <c r="BA144"/>
      <c r="BB144"/>
      <c r="BC144"/>
      <c r="BD144"/>
      <c r="BE144"/>
      <c r="BF144"/>
      <c r="BG144"/>
      <c r="BH144"/>
      <c r="BI144"/>
      <c r="BJ144"/>
      <c r="BK144"/>
      <c r="BL144"/>
      <c r="BM144"/>
      <c r="BN144"/>
      <c r="BO144"/>
      <c r="BP144"/>
      <c r="BQ144"/>
      <c r="BR144" s="1395"/>
      <c r="BS144" s="1450"/>
      <c r="BT144" s="1450"/>
      <c r="BU144"/>
      <c r="BV144"/>
      <c r="BW144"/>
    </row>
    <row r="145" spans="1:75" ht="12.75" hidden="1" customHeight="1" outlineLevel="3" thickBot="1" x14ac:dyDescent="0.25">
      <c r="A145"/>
      <c r="B145" s="1"/>
      <c r="C145"/>
      <c r="D145"/>
      <c r="E145"/>
      <c r="F145"/>
      <c r="G145" s="1"/>
      <c r="H145"/>
      <c r="I145"/>
      <c r="J145"/>
      <c r="K145"/>
      <c r="L145"/>
      <c r="M145"/>
      <c r="N145"/>
      <c r="O145"/>
      <c r="P145"/>
      <c r="Q145"/>
      <c r="R145"/>
      <c r="S145"/>
      <c r="T145"/>
      <c r="U145" s="11"/>
      <c r="V145" s="94"/>
      <c r="W145" s="58"/>
      <c r="X145" s="91"/>
      <c r="Y145" s="174"/>
      <c r="Z145" s="51"/>
      <c r="AA145" s="52" t="s">
        <v>769</v>
      </c>
      <c r="AB145" s="51"/>
      <c r="AC145" s="96"/>
      <c r="AD145" s="16"/>
      <c r="AE145" t="str">
        <f t="shared" si="31"/>
        <v/>
      </c>
      <c r="AF145" t="str">
        <f t="shared" si="32"/>
        <v/>
      </c>
      <c r="AG145" t="str">
        <f t="shared" si="33"/>
        <v/>
      </c>
      <c r="AH145" t="str">
        <f t="shared" si="34"/>
        <v/>
      </c>
      <c r="AI145" t="str">
        <f>IF(Z145="","",IF(Z145&gt;AB145,Y143,""))</f>
        <v/>
      </c>
      <c r="AJ145" t="str">
        <f>IF(Z145="","",IF(Z145&lt;AB145,AC143,""))</f>
        <v/>
      </c>
      <c r="AK145" t="str">
        <f t="shared" si="35"/>
        <v/>
      </c>
      <c r="AL145"/>
      <c r="AM145"/>
      <c r="AN145"/>
      <c r="AP145"/>
      <c r="AQ145"/>
      <c r="AR145"/>
      <c r="AS145"/>
      <c r="AT145"/>
      <c r="AU145"/>
      <c r="AV145"/>
      <c r="AW145"/>
      <c r="AX145"/>
      <c r="AY145"/>
      <c r="AZ145"/>
      <c r="BA145"/>
      <c r="BB145"/>
      <c r="BC145"/>
      <c r="BD145"/>
      <c r="BE145"/>
      <c r="BF145"/>
      <c r="BG145"/>
      <c r="BH145"/>
      <c r="BI145"/>
      <c r="BJ145"/>
      <c r="BK145"/>
      <c r="BL145"/>
      <c r="BM145"/>
      <c r="BN145"/>
      <c r="BO145"/>
      <c r="BP145"/>
      <c r="BQ145"/>
      <c r="BR145" s="1395"/>
      <c r="BS145" s="1450"/>
      <c r="BT145" s="1450"/>
      <c r="BU145"/>
      <c r="BV145"/>
      <c r="BW145"/>
    </row>
    <row r="146" spans="1:75" hidden="1" outlineLevel="2" x14ac:dyDescent="0.2">
      <c r="A146"/>
      <c r="B146" s="1"/>
      <c r="C146"/>
      <c r="D146"/>
      <c r="E146"/>
      <c r="F146"/>
      <c r="G146" s="1"/>
      <c r="H146"/>
      <c r="I146"/>
      <c r="J146"/>
      <c r="K146"/>
      <c r="L146"/>
      <c r="M146"/>
      <c r="N146"/>
      <c r="O146"/>
      <c r="P146"/>
      <c r="Q146"/>
      <c r="R146"/>
      <c r="S146"/>
      <c r="T146"/>
      <c r="U146" s="331" t="s">
        <v>1729</v>
      </c>
      <c r="V146" s="54"/>
      <c r="W146" s="278"/>
      <c r="X146" s="279"/>
      <c r="Y146" s="34" t="str">
        <f>IF(G121="","",G121)</f>
        <v>Db1</v>
      </c>
      <c r="Z146" s="95" t="str">
        <f>IF(OR(ISNUMBER(Z147),ISNUMBER(Z148)),2-COUNTBLANK(AI147:AI148),"")</f>
        <v/>
      </c>
      <c r="AA146" s="35" t="s">
        <v>769</v>
      </c>
      <c r="AB146" s="95" t="str">
        <f>IF(OR(ISNUMBER(Z147),ISNUMBER(Z148)),2-COUNTBLANK(AJ147:AJ148),"")</f>
        <v/>
      </c>
      <c r="AC146" s="36" t="str">
        <f>IF(G125="","",G125)</f>
        <v>Db5</v>
      </c>
      <c r="AD146" s="16"/>
      <c r="AE146" t="str">
        <f t="shared" si="31"/>
        <v/>
      </c>
      <c r="AF146" t="str">
        <f t="shared" si="32"/>
        <v/>
      </c>
      <c r="AG146" t="str">
        <f t="shared" si="33"/>
        <v/>
      </c>
      <c r="AH146" t="str">
        <f t="shared" si="34"/>
        <v/>
      </c>
      <c r="AI146" s="270" t="str">
        <f>IF(Z146="","",SUM(Z147:Z148))</f>
        <v/>
      </c>
      <c r="AJ146" s="270" t="str">
        <f>IF(Z146="","",SUM(AB147:AB148))</f>
        <v/>
      </c>
      <c r="AK146" t="str">
        <f t="shared" si="35"/>
        <v/>
      </c>
      <c r="AL146"/>
      <c r="AM146"/>
      <c r="AN146"/>
      <c r="AP146"/>
      <c r="AQ146"/>
      <c r="AR146"/>
      <c r="AS146"/>
      <c r="AT146"/>
      <c r="AU146"/>
      <c r="AV146"/>
      <c r="AW146"/>
      <c r="AX146"/>
      <c r="AY146"/>
      <c r="AZ146"/>
      <c r="BA146"/>
      <c r="BB146"/>
      <c r="BC146"/>
      <c r="BD146"/>
      <c r="BE146"/>
      <c r="BF146"/>
      <c r="BG146"/>
      <c r="BH146"/>
      <c r="BI146"/>
      <c r="BJ146"/>
      <c r="BK146"/>
      <c r="BL146"/>
      <c r="BM146"/>
      <c r="BN146"/>
      <c r="BO146"/>
      <c r="BP146"/>
      <c r="BQ146"/>
      <c r="BR146" s="1395"/>
      <c r="BS146" s="1450"/>
      <c r="BT146" s="1450"/>
      <c r="BU146"/>
      <c r="BV146"/>
      <c r="BW146"/>
    </row>
    <row r="147" spans="1:75" ht="12.75" hidden="1" customHeight="1" outlineLevel="3" x14ac:dyDescent="0.2">
      <c r="A147"/>
      <c r="B147" s="1"/>
      <c r="C147"/>
      <c r="D147"/>
      <c r="E147"/>
      <c r="F147"/>
      <c r="G147" s="1"/>
      <c r="H147"/>
      <c r="I147"/>
      <c r="J147"/>
      <c r="K147"/>
      <c r="L147"/>
      <c r="M147"/>
      <c r="N147"/>
      <c r="O147"/>
      <c r="P147"/>
      <c r="Q147"/>
      <c r="R147"/>
      <c r="S147"/>
      <c r="T147"/>
      <c r="U147" s="331"/>
      <c r="V147" s="92"/>
      <c r="W147" s="56"/>
      <c r="X147" s="78"/>
      <c r="Y147" s="103"/>
      <c r="Z147" s="44"/>
      <c r="AA147" s="45" t="s">
        <v>769</v>
      </c>
      <c r="AB147" s="44"/>
      <c r="AC147" s="79"/>
      <c r="AD147" s="16"/>
      <c r="AE147" t="str">
        <f t="shared" si="31"/>
        <v/>
      </c>
      <c r="AF147" t="str">
        <f t="shared" si="32"/>
        <v/>
      </c>
      <c r="AG147" t="str">
        <f t="shared" si="33"/>
        <v/>
      </c>
      <c r="AH147" t="str">
        <f t="shared" si="34"/>
        <v/>
      </c>
      <c r="AI147" t="str">
        <f>IF(Z147="","",IF(Z147&gt;AB147,Y146,""))</f>
        <v/>
      </c>
      <c r="AJ147" t="str">
        <f>IF(Z147="","",IF(Z147&lt;AB147,AC146,""))</f>
        <v/>
      </c>
      <c r="AK147" t="str">
        <f t="shared" si="35"/>
        <v/>
      </c>
      <c r="AL147"/>
      <c r="AM147"/>
      <c r="AN147"/>
      <c r="AP147"/>
      <c r="AQ147"/>
      <c r="AR147"/>
      <c r="AS147"/>
      <c r="AT147"/>
      <c r="AU147"/>
      <c r="AV147"/>
      <c r="AW147"/>
      <c r="AX147"/>
      <c r="AY147"/>
      <c r="AZ147"/>
      <c r="BA147"/>
      <c r="BB147"/>
      <c r="BC147"/>
      <c r="BD147"/>
      <c r="BE147"/>
      <c r="BF147"/>
      <c r="BG147"/>
      <c r="BH147"/>
      <c r="BI147"/>
      <c r="BJ147"/>
      <c r="BK147"/>
      <c r="BL147"/>
      <c r="BM147"/>
      <c r="BN147"/>
      <c r="BO147"/>
      <c r="BP147"/>
      <c r="BQ147"/>
      <c r="BR147" s="1395"/>
      <c r="BS147" s="1450"/>
      <c r="BT147" s="1450"/>
      <c r="BU147"/>
      <c r="BV147"/>
      <c r="BW147"/>
    </row>
    <row r="148" spans="1:75" ht="12.75" hidden="1" customHeight="1" outlineLevel="3" x14ac:dyDescent="0.2">
      <c r="A148"/>
      <c r="B148" s="1"/>
      <c r="C148"/>
      <c r="D148"/>
      <c r="E148"/>
      <c r="F148"/>
      <c r="G148" s="1"/>
      <c r="H148"/>
      <c r="I148"/>
      <c r="J148"/>
      <c r="K148"/>
      <c r="L148"/>
      <c r="M148"/>
      <c r="N148"/>
      <c r="O148"/>
      <c r="P148"/>
      <c r="Q148"/>
      <c r="R148"/>
      <c r="S148"/>
      <c r="T148"/>
      <c r="U148" s="331"/>
      <c r="V148" s="92"/>
      <c r="W148" s="56"/>
      <c r="X148" s="78"/>
      <c r="Y148" s="103"/>
      <c r="Z148" s="44"/>
      <c r="AA148" s="45" t="s">
        <v>769</v>
      </c>
      <c r="AB148" s="44"/>
      <c r="AC148" s="79"/>
      <c r="AD148" s="16"/>
      <c r="AE148" t="str">
        <f t="shared" si="31"/>
        <v/>
      </c>
      <c r="AF148" t="str">
        <f t="shared" si="32"/>
        <v/>
      </c>
      <c r="AG148" t="str">
        <f t="shared" si="33"/>
        <v/>
      </c>
      <c r="AH148" t="str">
        <f t="shared" si="34"/>
        <v/>
      </c>
      <c r="AI148" t="str">
        <f>IF(Z148="","",IF(Z148&gt;AB148,Y146,""))</f>
        <v/>
      </c>
      <c r="AJ148" t="str">
        <f>IF(Z148="","",IF(Z148&lt;AB148,AC146,""))</f>
        <v/>
      </c>
      <c r="AK148" t="str">
        <f t="shared" si="35"/>
        <v/>
      </c>
      <c r="AL148"/>
      <c r="AM148"/>
      <c r="AN148"/>
      <c r="AP148"/>
      <c r="AQ148"/>
      <c r="AR148"/>
      <c r="AS148"/>
      <c r="AT148"/>
      <c r="AU148"/>
      <c r="AV148"/>
      <c r="AW148"/>
      <c r="AX148"/>
      <c r="AY148"/>
      <c r="AZ148"/>
      <c r="BA148"/>
      <c r="BB148"/>
      <c r="BC148"/>
      <c r="BD148"/>
      <c r="BE148"/>
      <c r="BF148"/>
      <c r="BG148"/>
      <c r="BH148"/>
      <c r="BI148"/>
      <c r="BJ148"/>
      <c r="BK148"/>
      <c r="BL148"/>
      <c r="BM148"/>
      <c r="BN148"/>
      <c r="BO148"/>
      <c r="BP148"/>
      <c r="BQ148"/>
      <c r="BR148" s="1395"/>
      <c r="BS148" s="1450"/>
      <c r="BT148" s="1450"/>
      <c r="BU148"/>
      <c r="BV148"/>
      <c r="BW148"/>
    </row>
    <row r="149" spans="1:75" hidden="1" outlineLevel="2" x14ac:dyDescent="0.2">
      <c r="A149"/>
      <c r="B149" s="1"/>
      <c r="C149"/>
      <c r="D149"/>
      <c r="E149"/>
      <c r="F149"/>
      <c r="G149" s="1"/>
      <c r="H149"/>
      <c r="I149"/>
      <c r="J149"/>
      <c r="K149"/>
      <c r="L149"/>
      <c r="M149"/>
      <c r="N149"/>
      <c r="O149"/>
      <c r="P149"/>
      <c r="Q149"/>
      <c r="R149"/>
      <c r="S149"/>
      <c r="T149"/>
      <c r="U149" s="331" t="s">
        <v>1729</v>
      </c>
      <c r="V149" s="93"/>
      <c r="W149" s="84"/>
      <c r="X149" s="85"/>
      <c r="Y149" s="43" t="str">
        <f>IF(G122="","",G122)</f>
        <v>Db2</v>
      </c>
      <c r="Z149" s="86" t="str">
        <f>IF(OR(ISNUMBER(Z150),ISNUMBER(Z151)),2-COUNTBLANK(AI150:AI151),"")</f>
        <v/>
      </c>
      <c r="AA149" s="45" t="s">
        <v>769</v>
      </c>
      <c r="AB149" s="86" t="str">
        <f>IF(OR(ISNUMBER(Z150),ISNUMBER(Z151)),2-COUNTBLANK(AJ150:AJ151),"")</f>
        <v/>
      </c>
      <c r="AC149" s="46" t="str">
        <f>IF(G123="","",G123)</f>
        <v>Db3</v>
      </c>
      <c r="AD149" s="16"/>
      <c r="AE149" t="str">
        <f t="shared" si="31"/>
        <v/>
      </c>
      <c r="AF149" t="str">
        <f t="shared" si="32"/>
        <v/>
      </c>
      <c r="AG149" t="str">
        <f t="shared" si="33"/>
        <v/>
      </c>
      <c r="AH149" t="str">
        <f t="shared" si="34"/>
        <v/>
      </c>
      <c r="AI149" s="270" t="str">
        <f>IF(Z149="","",SUM(Z150:Z151))</f>
        <v/>
      </c>
      <c r="AJ149" s="270" t="str">
        <f>IF(Z149="","",SUM(AB150:AB151))</f>
        <v/>
      </c>
      <c r="AK149" t="str">
        <f t="shared" si="35"/>
        <v/>
      </c>
      <c r="AL149"/>
      <c r="AM149"/>
      <c r="AN149"/>
      <c r="AP149"/>
      <c r="AQ149"/>
      <c r="AR149"/>
      <c r="AS149"/>
      <c r="AT149"/>
      <c r="AU149"/>
      <c r="AV149"/>
      <c r="AW149"/>
      <c r="AX149"/>
      <c r="AY149"/>
      <c r="AZ149"/>
      <c r="BA149"/>
      <c r="BB149"/>
      <c r="BC149"/>
      <c r="BD149"/>
      <c r="BE149"/>
      <c r="BF149"/>
      <c r="BG149"/>
      <c r="BH149"/>
      <c r="BI149"/>
      <c r="BJ149"/>
      <c r="BK149"/>
      <c r="BL149"/>
      <c r="BM149"/>
      <c r="BN149"/>
      <c r="BO149"/>
      <c r="BP149"/>
      <c r="BQ149"/>
      <c r="BR149" s="1395"/>
      <c r="BS149" s="1450"/>
      <c r="BT149" s="1450"/>
      <c r="BU149"/>
      <c r="BV149"/>
      <c r="BW149"/>
    </row>
    <row r="150" spans="1:75" ht="12.75" hidden="1" customHeight="1" outlineLevel="3" x14ac:dyDescent="0.2">
      <c r="A150"/>
      <c r="B150" s="1"/>
      <c r="C150"/>
      <c r="D150"/>
      <c r="E150"/>
      <c r="F150"/>
      <c r="G150" s="1"/>
      <c r="H150"/>
      <c r="I150"/>
      <c r="J150"/>
      <c r="K150"/>
      <c r="L150"/>
      <c r="M150"/>
      <c r="N150"/>
      <c r="O150"/>
      <c r="P150"/>
      <c r="Q150"/>
      <c r="R150"/>
      <c r="S150"/>
      <c r="T150"/>
      <c r="U150" s="331"/>
      <c r="V150" s="92"/>
      <c r="W150" s="56"/>
      <c r="X150" s="78"/>
      <c r="Y150" s="103"/>
      <c r="Z150" s="44"/>
      <c r="AA150" s="45" t="s">
        <v>769</v>
      </c>
      <c r="AB150" s="44"/>
      <c r="AC150" s="79"/>
      <c r="AD150" s="16"/>
      <c r="AE150" t="str">
        <f t="shared" si="31"/>
        <v/>
      </c>
      <c r="AF150" t="str">
        <f t="shared" si="32"/>
        <v/>
      </c>
      <c r="AG150" t="str">
        <f t="shared" si="33"/>
        <v/>
      </c>
      <c r="AH150" t="str">
        <f t="shared" si="34"/>
        <v/>
      </c>
      <c r="AI150" t="str">
        <f>IF(Z150="","",IF(Z150&gt;AB150,Y149,""))</f>
        <v/>
      </c>
      <c r="AJ150" t="str">
        <f>IF(Z150="","",IF(Z150&lt;AB150,AC149,""))</f>
        <v/>
      </c>
      <c r="AK150" t="str">
        <f t="shared" si="35"/>
        <v/>
      </c>
      <c r="AL150"/>
      <c r="AM150"/>
      <c r="AN150"/>
      <c r="AP150"/>
      <c r="AQ150"/>
      <c r="AR150"/>
      <c r="AS150"/>
      <c r="AT150"/>
      <c r="AU150"/>
      <c r="AV150"/>
      <c r="AW150"/>
      <c r="AX150"/>
      <c r="AY150"/>
      <c r="AZ150"/>
      <c r="BA150"/>
      <c r="BB150"/>
      <c r="BC150"/>
      <c r="BD150"/>
      <c r="BE150"/>
      <c r="BF150"/>
      <c r="BG150"/>
      <c r="BH150"/>
      <c r="BI150"/>
      <c r="BJ150"/>
      <c r="BK150"/>
      <c r="BL150"/>
      <c r="BM150"/>
      <c r="BN150"/>
      <c r="BO150"/>
      <c r="BP150"/>
      <c r="BQ150"/>
      <c r="BR150" s="1395"/>
      <c r="BS150" s="1450"/>
      <c r="BT150" s="1450"/>
      <c r="BU150"/>
      <c r="BV150"/>
      <c r="BW150"/>
    </row>
    <row r="151" spans="1:75" ht="12.75" hidden="1" customHeight="1" outlineLevel="3" thickBot="1" x14ac:dyDescent="0.25">
      <c r="A151"/>
      <c r="B151" s="1"/>
      <c r="C151"/>
      <c r="D151"/>
      <c r="E151"/>
      <c r="F151"/>
      <c r="G151" s="1"/>
      <c r="H151"/>
      <c r="I151"/>
      <c r="J151"/>
      <c r="K151"/>
      <c r="L151"/>
      <c r="M151"/>
      <c r="N151"/>
      <c r="O151"/>
      <c r="P151"/>
      <c r="Q151"/>
      <c r="R151"/>
      <c r="S151"/>
      <c r="T151"/>
      <c r="U151" s="331"/>
      <c r="V151" s="94"/>
      <c r="W151" s="58"/>
      <c r="X151" s="91"/>
      <c r="Y151" s="174"/>
      <c r="Z151" s="51"/>
      <c r="AA151" s="52" t="s">
        <v>769</v>
      </c>
      <c r="AB151" s="51"/>
      <c r="AC151" s="96"/>
      <c r="AD151" s="16"/>
      <c r="AE151" t="str">
        <f t="shared" si="31"/>
        <v/>
      </c>
      <c r="AF151" t="str">
        <f t="shared" si="32"/>
        <v/>
      </c>
      <c r="AG151" t="str">
        <f t="shared" si="33"/>
        <v/>
      </c>
      <c r="AH151" t="str">
        <f t="shared" si="34"/>
        <v/>
      </c>
      <c r="AI151" t="str">
        <f>IF(Z151="","",IF(Z151&gt;AB151,Y149,""))</f>
        <v/>
      </c>
      <c r="AJ151" t="str">
        <f>IF(Z151="","",IF(Z151&lt;AB151,AC149,""))</f>
        <v/>
      </c>
      <c r="AK151" t="str">
        <f t="shared" si="35"/>
        <v/>
      </c>
      <c r="AL151"/>
      <c r="AM151"/>
      <c r="AN151"/>
      <c r="AP151"/>
      <c r="AQ151"/>
      <c r="AR151"/>
      <c r="AS151"/>
      <c r="AT151"/>
      <c r="AU151"/>
      <c r="AV151"/>
      <c r="AW151"/>
      <c r="AX151"/>
      <c r="AY151"/>
      <c r="AZ151"/>
      <c r="BA151"/>
      <c r="BB151"/>
      <c r="BC151"/>
      <c r="BD151"/>
      <c r="BE151"/>
      <c r="BF151"/>
      <c r="BG151"/>
      <c r="BH151"/>
      <c r="BI151"/>
      <c r="BJ151"/>
      <c r="BK151"/>
      <c r="BL151"/>
      <c r="BM151"/>
      <c r="BN151"/>
      <c r="BO151"/>
      <c r="BP151"/>
      <c r="BQ151"/>
      <c r="BR151" s="1395"/>
      <c r="BS151" s="1450"/>
      <c r="BT151" s="1450"/>
      <c r="BU151"/>
      <c r="BV151"/>
      <c r="BW151"/>
    </row>
    <row r="152" spans="1:75" hidden="1" outlineLevel="2" x14ac:dyDescent="0.2">
      <c r="A152"/>
      <c r="B152" s="1"/>
      <c r="C152"/>
      <c r="D152"/>
      <c r="E152"/>
      <c r="F152"/>
      <c r="G152" s="1"/>
      <c r="H152"/>
      <c r="I152"/>
      <c r="J152"/>
      <c r="K152"/>
      <c r="L152"/>
      <c r="M152"/>
      <c r="N152"/>
      <c r="O152"/>
      <c r="P152"/>
      <c r="Q152"/>
      <c r="R152"/>
      <c r="S152"/>
      <c r="T152"/>
      <c r="U152" s="331" t="s">
        <v>1730</v>
      </c>
      <c r="V152" s="336"/>
      <c r="W152" s="381"/>
      <c r="X152" s="382"/>
      <c r="Y152" s="62" t="str">
        <f>IF(G124="","",G124)</f>
        <v>Db4</v>
      </c>
      <c r="Z152" s="383" t="str">
        <f>IF(OR(ISNUMBER(Z153),ISNUMBER(Z154)),2-COUNTBLANK(AI153:AI154),"")</f>
        <v/>
      </c>
      <c r="AA152" s="60" t="s">
        <v>769</v>
      </c>
      <c r="AB152" s="383" t="str">
        <f>IF(OR(ISNUMBER(Z153),ISNUMBER(Z154)),2-COUNTBLANK(AJ153:AJ154),"")</f>
        <v/>
      </c>
      <c r="AC152" s="61" t="str">
        <f>IF(G126="","",G126)</f>
        <v>Db6</v>
      </c>
      <c r="AD152" s="16"/>
      <c r="AE152" t="str">
        <f t="shared" si="31"/>
        <v/>
      </c>
      <c r="AF152" t="str">
        <f t="shared" si="32"/>
        <v/>
      </c>
      <c r="AG152" t="str">
        <f t="shared" si="33"/>
        <v/>
      </c>
      <c r="AH152" t="str">
        <f t="shared" si="34"/>
        <v/>
      </c>
      <c r="AI152" s="270" t="str">
        <f>IF(Z152="","",SUM(Z153:Z154))</f>
        <v/>
      </c>
      <c r="AJ152" s="270" t="str">
        <f>IF(Z152="","",SUM(AB153:AB154))</f>
        <v/>
      </c>
      <c r="AK152" t="str">
        <f t="shared" si="35"/>
        <v/>
      </c>
      <c r="AL152"/>
      <c r="AM152"/>
      <c r="AN152"/>
      <c r="AP152"/>
      <c r="AQ152"/>
      <c r="AR152"/>
      <c r="AS152"/>
      <c r="AT152"/>
      <c r="AU152"/>
      <c r="AV152"/>
      <c r="AW152"/>
      <c r="AX152"/>
      <c r="AY152"/>
      <c r="AZ152"/>
      <c r="BA152"/>
      <c r="BB152"/>
      <c r="BC152"/>
      <c r="BD152"/>
      <c r="BE152"/>
      <c r="BF152"/>
      <c r="BG152"/>
      <c r="BH152"/>
      <c r="BI152"/>
      <c r="BJ152"/>
      <c r="BK152"/>
      <c r="BL152"/>
      <c r="BM152"/>
      <c r="BN152"/>
      <c r="BO152"/>
      <c r="BP152"/>
      <c r="BQ152"/>
      <c r="BR152" s="1395"/>
      <c r="BS152" s="1450"/>
      <c r="BT152" s="1450"/>
      <c r="BU152"/>
      <c r="BV152"/>
      <c r="BW152"/>
    </row>
    <row r="153" spans="1:75" ht="12.75" hidden="1" customHeight="1" outlineLevel="3" x14ac:dyDescent="0.2">
      <c r="A153"/>
      <c r="B153" s="1"/>
      <c r="C153"/>
      <c r="D153"/>
      <c r="E153"/>
      <c r="F153"/>
      <c r="G153" s="1"/>
      <c r="H153"/>
      <c r="I153"/>
      <c r="J153"/>
      <c r="K153"/>
      <c r="L153"/>
      <c r="M153"/>
      <c r="N153"/>
      <c r="O153"/>
      <c r="P153"/>
      <c r="Q153"/>
      <c r="R153"/>
      <c r="S153"/>
      <c r="T153"/>
      <c r="U153" s="331"/>
      <c r="V153" s="92"/>
      <c r="W153" s="56"/>
      <c r="X153" s="78"/>
      <c r="Y153" s="103"/>
      <c r="Z153" s="44"/>
      <c r="AA153" s="45" t="s">
        <v>769</v>
      </c>
      <c r="AB153" s="44"/>
      <c r="AC153" s="79"/>
      <c r="AD153" s="16"/>
      <c r="AE153" t="str">
        <f t="shared" si="31"/>
        <v/>
      </c>
      <c r="AF153" t="str">
        <f t="shared" si="32"/>
        <v/>
      </c>
      <c r="AG153" t="str">
        <f t="shared" si="33"/>
        <v/>
      </c>
      <c r="AH153" t="str">
        <f t="shared" si="34"/>
        <v/>
      </c>
      <c r="AI153" t="str">
        <f>IF(Z153="","",IF(Z153&gt;AB153,Y152,""))</f>
        <v/>
      </c>
      <c r="AJ153" t="str">
        <f>IF(Z153="","",IF(Z153&lt;AB153,AC152,""))</f>
        <v/>
      </c>
      <c r="AK153" t="str">
        <f t="shared" si="35"/>
        <v/>
      </c>
      <c r="AL153"/>
      <c r="AM153"/>
      <c r="AN153"/>
      <c r="AP153"/>
      <c r="AQ153"/>
      <c r="AR153"/>
      <c r="AS153"/>
      <c r="AT153"/>
      <c r="AU153"/>
      <c r="AV153"/>
      <c r="AW153"/>
      <c r="AX153"/>
      <c r="AY153"/>
      <c r="AZ153"/>
      <c r="BA153"/>
      <c r="BB153"/>
      <c r="BC153"/>
      <c r="BD153"/>
      <c r="BE153"/>
      <c r="BF153"/>
      <c r="BG153"/>
      <c r="BH153"/>
      <c r="BI153"/>
      <c r="BJ153"/>
      <c r="BK153"/>
      <c r="BL153"/>
      <c r="BM153"/>
      <c r="BN153"/>
      <c r="BO153"/>
      <c r="BP153"/>
      <c r="BQ153"/>
      <c r="BR153" s="1395"/>
      <c r="BS153" s="1450"/>
      <c r="BT153" s="1450"/>
      <c r="BU153"/>
      <c r="BV153"/>
      <c r="BW153"/>
    </row>
    <row r="154" spans="1:75" ht="12.75" hidden="1" customHeight="1" outlineLevel="3" x14ac:dyDescent="0.2">
      <c r="A154"/>
      <c r="B154" s="1"/>
      <c r="C154"/>
      <c r="D154"/>
      <c r="E154"/>
      <c r="F154"/>
      <c r="G154" s="1"/>
      <c r="H154"/>
      <c r="I154"/>
      <c r="J154"/>
      <c r="K154"/>
      <c r="L154"/>
      <c r="M154"/>
      <c r="N154"/>
      <c r="O154"/>
      <c r="P154"/>
      <c r="Q154"/>
      <c r="R154"/>
      <c r="S154"/>
      <c r="T154"/>
      <c r="U154" s="331"/>
      <c r="V154" s="92"/>
      <c r="W154" s="56"/>
      <c r="X154" s="78"/>
      <c r="Y154" s="103"/>
      <c r="Z154" s="44"/>
      <c r="AA154" s="45" t="s">
        <v>769</v>
      </c>
      <c r="AB154" s="44"/>
      <c r="AC154" s="79"/>
      <c r="AD154" s="16"/>
      <c r="AE154" t="str">
        <f t="shared" si="31"/>
        <v/>
      </c>
      <c r="AF154" t="str">
        <f t="shared" si="32"/>
        <v/>
      </c>
      <c r="AG154" t="str">
        <f t="shared" si="33"/>
        <v/>
      </c>
      <c r="AH154" t="str">
        <f t="shared" si="34"/>
        <v/>
      </c>
      <c r="AI154" t="str">
        <f>IF(Z154="","",IF(Z154&gt;AB154,Y152,""))</f>
        <v/>
      </c>
      <c r="AJ154" t="str">
        <f>IF(Z154="","",IF(Z154&lt;AB154,AC152,""))</f>
        <v/>
      </c>
      <c r="AK154" t="str">
        <f t="shared" si="35"/>
        <v/>
      </c>
      <c r="AL154"/>
      <c r="AM154"/>
      <c r="AN154"/>
      <c r="AP154"/>
      <c r="AQ154"/>
      <c r="AR154"/>
      <c r="AS154"/>
      <c r="AT154"/>
      <c r="AU154"/>
      <c r="AV154"/>
      <c r="AW154"/>
      <c r="AX154"/>
      <c r="AY154"/>
      <c r="AZ154"/>
      <c r="BA154"/>
      <c r="BB154"/>
      <c r="BC154"/>
      <c r="BD154"/>
      <c r="BE154"/>
      <c r="BF154"/>
      <c r="BG154"/>
      <c r="BH154"/>
      <c r="BI154"/>
      <c r="BJ154"/>
      <c r="BK154"/>
      <c r="BL154"/>
      <c r="BM154"/>
      <c r="BN154"/>
      <c r="BO154"/>
      <c r="BP154"/>
      <c r="BQ154"/>
      <c r="BR154" s="1395"/>
      <c r="BS154" s="1450"/>
      <c r="BT154" s="1450"/>
      <c r="BU154"/>
      <c r="BV154"/>
      <c r="BW154"/>
    </row>
    <row r="155" spans="1:75" hidden="1" outlineLevel="2" x14ac:dyDescent="0.2">
      <c r="A155"/>
      <c r="B155" s="1"/>
      <c r="C155"/>
      <c r="D155"/>
      <c r="E155"/>
      <c r="F155"/>
      <c r="G155" s="1"/>
      <c r="H155"/>
      <c r="I155"/>
      <c r="J155"/>
      <c r="K155"/>
      <c r="L155"/>
      <c r="M155"/>
      <c r="N155"/>
      <c r="O155"/>
      <c r="P155"/>
      <c r="Q155"/>
      <c r="R155"/>
      <c r="S155"/>
      <c r="T155"/>
      <c r="U155" s="331" t="s">
        <v>1730</v>
      </c>
      <c r="V155" s="93"/>
      <c r="W155" s="84"/>
      <c r="X155" s="85"/>
      <c r="Y155" s="43" t="str">
        <f>IF(G121="","",G121)</f>
        <v>Db1</v>
      </c>
      <c r="Z155" s="86" t="str">
        <f>IF(OR(ISNUMBER(Z156),ISNUMBER(Z157)),2-COUNTBLANK(AI156:AI157),"")</f>
        <v/>
      </c>
      <c r="AA155" s="45" t="s">
        <v>769</v>
      </c>
      <c r="AB155" s="86" t="str">
        <f>IF(OR(ISNUMBER(Z156),ISNUMBER(Z157)),2-COUNTBLANK(AJ156:AJ157),"")</f>
        <v/>
      </c>
      <c r="AC155" s="46" t="str">
        <f>IF(G123="","",G123)</f>
        <v>Db3</v>
      </c>
      <c r="AD155" s="16"/>
      <c r="AE155" t="str">
        <f t="shared" si="31"/>
        <v/>
      </c>
      <c r="AF155" t="str">
        <f t="shared" si="32"/>
        <v/>
      </c>
      <c r="AG155" t="str">
        <f t="shared" si="33"/>
        <v/>
      </c>
      <c r="AH155" t="str">
        <f t="shared" si="34"/>
        <v/>
      </c>
      <c r="AI155" s="270" t="str">
        <f>IF(Z155="","",SUM(Z156:Z157))</f>
        <v/>
      </c>
      <c r="AJ155" s="270" t="str">
        <f>IF(Z155="","",SUM(AB156:AB157))</f>
        <v/>
      </c>
      <c r="AK155" t="str">
        <f t="shared" si="35"/>
        <v/>
      </c>
      <c r="AL155"/>
      <c r="AM155"/>
      <c r="AN155"/>
      <c r="AP155"/>
      <c r="AQ155"/>
      <c r="AR155"/>
      <c r="AS155"/>
      <c r="AT155"/>
      <c r="AU155"/>
      <c r="AV155"/>
      <c r="AW155"/>
      <c r="AX155"/>
      <c r="AY155"/>
      <c r="AZ155"/>
      <c r="BA155"/>
      <c r="BB155"/>
      <c r="BC155"/>
      <c r="BD155"/>
      <c r="BE155"/>
      <c r="BF155"/>
      <c r="BG155"/>
      <c r="BH155"/>
      <c r="BI155"/>
      <c r="BJ155"/>
      <c r="BK155"/>
      <c r="BL155"/>
      <c r="BM155"/>
      <c r="BN155"/>
      <c r="BO155"/>
      <c r="BP155"/>
      <c r="BQ155"/>
      <c r="BR155" s="1395"/>
      <c r="BS155" s="1450"/>
      <c r="BT155" s="1450"/>
      <c r="BU155"/>
      <c r="BV155"/>
      <c r="BW155"/>
    </row>
    <row r="156" spans="1:75" ht="12.75" hidden="1" customHeight="1" outlineLevel="3" x14ac:dyDescent="0.2">
      <c r="A156"/>
      <c r="B156" s="1"/>
      <c r="C156"/>
      <c r="D156"/>
      <c r="E156"/>
      <c r="F156"/>
      <c r="G156" s="1"/>
      <c r="H156"/>
      <c r="I156"/>
      <c r="J156"/>
      <c r="K156"/>
      <c r="L156"/>
      <c r="M156"/>
      <c r="N156"/>
      <c r="O156"/>
      <c r="P156"/>
      <c r="Q156"/>
      <c r="R156"/>
      <c r="S156"/>
      <c r="T156"/>
      <c r="U156" s="11"/>
      <c r="V156" s="92"/>
      <c r="W156" s="56"/>
      <c r="X156" s="78"/>
      <c r="Y156" s="103"/>
      <c r="Z156" s="44"/>
      <c r="AA156" s="45" t="s">
        <v>769</v>
      </c>
      <c r="AB156" s="44"/>
      <c r="AC156" s="79"/>
      <c r="AD156" s="16"/>
      <c r="AE156" t="str">
        <f t="shared" si="31"/>
        <v/>
      </c>
      <c r="AF156" t="str">
        <f t="shared" si="32"/>
        <v/>
      </c>
      <c r="AG156" t="str">
        <f t="shared" si="33"/>
        <v/>
      </c>
      <c r="AH156" t="str">
        <f t="shared" si="34"/>
        <v/>
      </c>
      <c r="AI156" t="str">
        <f>IF(Z156="","",IF(Z156&gt;AB156,Y155,""))</f>
        <v/>
      </c>
      <c r="AJ156" t="str">
        <f>IF(Z156="","",IF(Z156&lt;AB156,AC155,""))</f>
        <v/>
      </c>
      <c r="AK156" t="str">
        <f t="shared" si="35"/>
        <v/>
      </c>
      <c r="AL156"/>
      <c r="AM156"/>
      <c r="AN156"/>
      <c r="AP156"/>
      <c r="AQ156"/>
      <c r="AR156"/>
      <c r="AS156"/>
      <c r="AT156"/>
      <c r="AU156"/>
      <c r="AV156"/>
      <c r="AW156"/>
      <c r="AX156"/>
      <c r="AY156"/>
      <c r="AZ156"/>
      <c r="BA156"/>
      <c r="BB156"/>
      <c r="BC156"/>
      <c r="BD156"/>
      <c r="BE156"/>
      <c r="BF156"/>
      <c r="BG156"/>
      <c r="BH156"/>
      <c r="BI156"/>
      <c r="BJ156"/>
      <c r="BK156"/>
      <c r="BL156"/>
      <c r="BM156"/>
      <c r="BN156"/>
      <c r="BO156"/>
      <c r="BP156"/>
      <c r="BQ156"/>
      <c r="BR156" s="1395"/>
      <c r="BS156" s="1450"/>
      <c r="BT156" s="1450"/>
      <c r="BU156"/>
      <c r="BV156"/>
      <c r="BW156"/>
    </row>
    <row r="157" spans="1:75" ht="13.5" hidden="1" customHeight="1" outlineLevel="3" thickBot="1" x14ac:dyDescent="0.25">
      <c r="A157"/>
      <c r="B157" s="1"/>
      <c r="C157"/>
      <c r="D157"/>
      <c r="E157"/>
      <c r="F157"/>
      <c r="G157" s="1"/>
      <c r="H157"/>
      <c r="I157"/>
      <c r="J157"/>
      <c r="K157"/>
      <c r="L157"/>
      <c r="M157"/>
      <c r="N157"/>
      <c r="O157"/>
      <c r="P157"/>
      <c r="Q157"/>
      <c r="R157"/>
      <c r="S157"/>
      <c r="T157"/>
      <c r="U157" s="11"/>
      <c r="V157" s="94"/>
      <c r="W157" s="58"/>
      <c r="X157" s="91"/>
      <c r="Y157" s="174"/>
      <c r="Z157" s="51"/>
      <c r="AA157" s="52" t="s">
        <v>769</v>
      </c>
      <c r="AB157" s="51"/>
      <c r="AC157" s="96"/>
      <c r="AD157" s="16"/>
      <c r="AE157" t="str">
        <f t="shared" si="31"/>
        <v/>
      </c>
      <c r="AF157" t="str">
        <f t="shared" si="32"/>
        <v/>
      </c>
      <c r="AG157" t="str">
        <f t="shared" si="33"/>
        <v/>
      </c>
      <c r="AH157" t="str">
        <f t="shared" si="34"/>
        <v/>
      </c>
      <c r="AI157" t="str">
        <f>IF(Z157="","",IF(Z157&gt;AB157,Y155,""))</f>
        <v/>
      </c>
      <c r="AJ157" t="str">
        <f>IF(Z157="","",IF(Z157&lt;AB157,AC155,""))</f>
        <v/>
      </c>
      <c r="AK157" t="str">
        <f t="shared" si="35"/>
        <v/>
      </c>
      <c r="AL157"/>
      <c r="AM157"/>
      <c r="AN157"/>
      <c r="AP157"/>
      <c r="AQ157"/>
      <c r="AR157"/>
      <c r="AS157"/>
      <c r="AT157"/>
      <c r="AU157"/>
      <c r="AV157"/>
      <c r="AW157"/>
      <c r="AX157"/>
      <c r="AY157"/>
      <c r="AZ157"/>
      <c r="BA157"/>
      <c r="BB157"/>
      <c r="BC157"/>
      <c r="BD157"/>
      <c r="BE157"/>
      <c r="BF157"/>
      <c r="BG157"/>
      <c r="BH157"/>
      <c r="BI157"/>
      <c r="BJ157"/>
      <c r="BK157"/>
      <c r="BL157"/>
      <c r="BM157"/>
      <c r="BN157"/>
      <c r="BO157"/>
      <c r="BP157"/>
      <c r="BQ157"/>
      <c r="BR157" s="1395"/>
      <c r="BS157" s="1450"/>
      <c r="BT157" s="1450"/>
      <c r="BU157"/>
      <c r="BV157"/>
      <c r="BW157"/>
    </row>
    <row r="158" spans="1:75" hidden="1" outlineLevel="2" x14ac:dyDescent="0.2">
      <c r="A158"/>
      <c r="B158" s="1"/>
      <c r="C158"/>
      <c r="D158"/>
      <c r="E158"/>
      <c r="F158"/>
      <c r="G158" s="1"/>
      <c r="H158"/>
      <c r="I158"/>
      <c r="J158"/>
      <c r="K158"/>
      <c r="L158"/>
      <c r="M158"/>
      <c r="N158"/>
      <c r="O158"/>
      <c r="P158"/>
      <c r="Q158"/>
      <c r="R158"/>
      <c r="S158"/>
      <c r="T158"/>
      <c r="U158" s="331" t="s">
        <v>1731</v>
      </c>
      <c r="V158" s="54"/>
      <c r="W158" s="278"/>
      <c r="X158" s="279"/>
      <c r="Y158" s="34" t="str">
        <f>IF(G122="","",G122)</f>
        <v>Db2</v>
      </c>
      <c r="Z158" s="95" t="str">
        <f>IF(OR(ISNUMBER(Z159),ISNUMBER(Z160)),2-COUNTBLANK(AI159:AI160),"")</f>
        <v/>
      </c>
      <c r="AA158" s="35" t="s">
        <v>769</v>
      </c>
      <c r="AB158" s="95" t="str">
        <f>IF(OR(ISNUMBER(Z159),ISNUMBER(Z160)),2-COUNTBLANK(AJ159:AJ160),"")</f>
        <v/>
      </c>
      <c r="AC158" s="36" t="str">
        <f t="shared" ref="AC158:AC169" si="36">IF(G126="","",G126)</f>
        <v>Db6</v>
      </c>
      <c r="AD158" s="16"/>
      <c r="AE158" t="str">
        <f t="shared" si="31"/>
        <v/>
      </c>
      <c r="AF158" t="str">
        <f t="shared" si="32"/>
        <v/>
      </c>
      <c r="AG158" t="str">
        <f t="shared" si="33"/>
        <v/>
      </c>
      <c r="AH158" t="str">
        <f t="shared" si="34"/>
        <v/>
      </c>
      <c r="AI158" s="270" t="str">
        <f>IF(Z158="","",SUM(Z160:Z172))</f>
        <v/>
      </c>
      <c r="AJ158" s="270" t="str">
        <f>IF(Z158="","",SUM(AB160:AB172))</f>
        <v/>
      </c>
      <c r="AK158" t="str">
        <f t="shared" si="35"/>
        <v/>
      </c>
      <c r="AL158"/>
      <c r="AM158"/>
      <c r="AN158"/>
      <c r="AP158"/>
      <c r="AQ158"/>
      <c r="AR158"/>
      <c r="AS158"/>
      <c r="AT158"/>
      <c r="AU158"/>
      <c r="AV158"/>
      <c r="AW158"/>
      <c r="AX158"/>
      <c r="AY158"/>
      <c r="AZ158"/>
      <c r="BA158"/>
      <c r="BB158"/>
      <c r="BC158"/>
      <c r="BD158"/>
      <c r="BE158"/>
      <c r="BF158"/>
      <c r="BG158"/>
      <c r="BH158"/>
      <c r="BI158"/>
      <c r="BJ158"/>
      <c r="BK158"/>
      <c r="BL158"/>
      <c r="BM158"/>
      <c r="BN158"/>
      <c r="BO158"/>
      <c r="BP158"/>
      <c r="BQ158"/>
      <c r="BR158" s="1395"/>
      <c r="BS158" s="1450"/>
      <c r="BT158" s="1450"/>
      <c r="BU158"/>
      <c r="BV158"/>
      <c r="BW158"/>
    </row>
    <row r="159" spans="1:75" ht="12.75" hidden="1" customHeight="1" outlineLevel="3" x14ac:dyDescent="0.2">
      <c r="A159"/>
      <c r="B159" s="1"/>
      <c r="C159"/>
      <c r="D159"/>
      <c r="E159"/>
      <c r="F159"/>
      <c r="G159" s="1"/>
      <c r="H159"/>
      <c r="I159"/>
      <c r="J159"/>
      <c r="K159"/>
      <c r="L159"/>
      <c r="M159"/>
      <c r="N159"/>
      <c r="O159"/>
      <c r="P159"/>
      <c r="Q159"/>
      <c r="R159"/>
      <c r="S159"/>
      <c r="T159"/>
      <c r="U159" s="11"/>
      <c r="V159" s="92"/>
      <c r="W159" s="56"/>
      <c r="X159" s="78"/>
      <c r="Y159" s="103"/>
      <c r="Z159" s="44"/>
      <c r="AA159" s="45" t="s">
        <v>769</v>
      </c>
      <c r="AB159" s="44"/>
      <c r="AC159" s="79" t="str">
        <f t="shared" si="36"/>
        <v/>
      </c>
      <c r="AD159" s="16"/>
      <c r="AE159" t="str">
        <f t="shared" si="31"/>
        <v/>
      </c>
      <c r="AF159" t="str">
        <f t="shared" si="32"/>
        <v/>
      </c>
      <c r="AG159" t="str">
        <f t="shared" si="33"/>
        <v/>
      </c>
      <c r="AH159" t="str">
        <f t="shared" si="34"/>
        <v/>
      </c>
      <c r="AI159" t="str">
        <f>IF(Z159="","",IF(Z159&gt;AB159,Y158,""))</f>
        <v/>
      </c>
      <c r="AJ159" t="str">
        <f>IF(Z159="","",IF(Z159&lt;AB159,AC158,""))</f>
        <v/>
      </c>
      <c r="AK159" t="str">
        <f t="shared" si="35"/>
        <v/>
      </c>
      <c r="AL159"/>
      <c r="AM159"/>
      <c r="AN159"/>
      <c r="AP159"/>
      <c r="AQ159"/>
      <c r="AR159"/>
      <c r="AS159"/>
      <c r="AT159"/>
      <c r="AU159"/>
      <c r="AV159"/>
      <c r="AW159"/>
      <c r="AX159"/>
      <c r="AY159"/>
      <c r="AZ159"/>
      <c r="BA159"/>
      <c r="BB159"/>
      <c r="BC159"/>
      <c r="BD159"/>
      <c r="BE159"/>
      <c r="BF159"/>
      <c r="BG159"/>
      <c r="BH159"/>
      <c r="BI159"/>
      <c r="BJ159"/>
      <c r="BK159"/>
      <c r="BL159"/>
      <c r="BM159"/>
      <c r="BN159"/>
      <c r="BO159"/>
      <c r="BP159"/>
      <c r="BQ159"/>
      <c r="BR159" s="1395"/>
      <c r="BS159" s="1450"/>
      <c r="BT159" s="1450"/>
      <c r="BU159"/>
      <c r="BV159"/>
      <c r="BW159"/>
    </row>
    <row r="160" spans="1:75" ht="12.75" hidden="1" customHeight="1" outlineLevel="3" x14ac:dyDescent="0.2">
      <c r="A160"/>
      <c r="B160" s="1"/>
      <c r="C160"/>
      <c r="D160"/>
      <c r="E160"/>
      <c r="F160"/>
      <c r="G160" s="1"/>
      <c r="H160"/>
      <c r="I160"/>
      <c r="J160"/>
      <c r="K160"/>
      <c r="L160"/>
      <c r="M160"/>
      <c r="N160"/>
      <c r="O160"/>
      <c r="P160"/>
      <c r="Q160"/>
      <c r="R160"/>
      <c r="S160"/>
      <c r="T160"/>
      <c r="U160" s="11"/>
      <c r="V160" s="92"/>
      <c r="W160" s="56"/>
      <c r="X160" s="78"/>
      <c r="Y160" s="103"/>
      <c r="Z160" s="44"/>
      <c r="AA160" s="45" t="s">
        <v>769</v>
      </c>
      <c r="AB160" s="44"/>
      <c r="AC160" s="79" t="str">
        <f t="shared" si="36"/>
        <v/>
      </c>
      <c r="AD160" s="16"/>
      <c r="AE160" t="str">
        <f t="shared" si="31"/>
        <v/>
      </c>
      <c r="AF160" t="str">
        <f t="shared" si="32"/>
        <v/>
      </c>
      <c r="AG160" t="str">
        <f t="shared" si="33"/>
        <v/>
      </c>
      <c r="AH160" t="str">
        <f t="shared" si="34"/>
        <v/>
      </c>
      <c r="AI160" t="str">
        <f>IF(Z160="","",IF(Z160&gt;AB160,Y158,""))</f>
        <v/>
      </c>
      <c r="AJ160" t="str">
        <f>IF(Z160="","",IF(Z160&lt;AB160,AC158,""))</f>
        <v/>
      </c>
      <c r="AK160" t="str">
        <f t="shared" si="35"/>
        <v/>
      </c>
      <c r="AL160"/>
      <c r="AM160"/>
      <c r="AN160"/>
      <c r="AP160"/>
      <c r="AQ160"/>
      <c r="AR160"/>
      <c r="AS160"/>
      <c r="AT160"/>
      <c r="AU160"/>
      <c r="AV160"/>
      <c r="AW160"/>
      <c r="AX160"/>
      <c r="AY160"/>
      <c r="AZ160"/>
      <c r="BA160"/>
      <c r="BB160"/>
      <c r="BC160"/>
      <c r="BD160"/>
      <c r="BE160"/>
      <c r="BF160"/>
      <c r="BG160"/>
      <c r="BH160"/>
      <c r="BI160"/>
      <c r="BJ160"/>
      <c r="BK160"/>
      <c r="BL160"/>
      <c r="BM160"/>
      <c r="BN160"/>
      <c r="BO160"/>
      <c r="BP160"/>
      <c r="BQ160"/>
      <c r="BR160" s="1395"/>
      <c r="BS160" s="1450"/>
      <c r="BT160" s="1450"/>
      <c r="BU160"/>
      <c r="BV160"/>
      <c r="BW160"/>
    </row>
    <row r="161" spans="1:75" hidden="1" outlineLevel="2" x14ac:dyDescent="0.2">
      <c r="A161"/>
      <c r="B161" s="1"/>
      <c r="C161"/>
      <c r="D161"/>
      <c r="E161"/>
      <c r="F161"/>
      <c r="G161" s="1"/>
      <c r="H161"/>
      <c r="I161"/>
      <c r="J161"/>
      <c r="K161"/>
      <c r="L161"/>
      <c r="M161"/>
      <c r="N161"/>
      <c r="O161"/>
      <c r="P161"/>
      <c r="Q161"/>
      <c r="R161"/>
      <c r="S161"/>
      <c r="T161"/>
      <c r="U161" s="331" t="s">
        <v>1731</v>
      </c>
      <c r="V161" s="93"/>
      <c r="W161" s="84"/>
      <c r="X161" s="85"/>
      <c r="Y161" s="43" t="str">
        <f>IF(G124="","",G124)</f>
        <v>Db4</v>
      </c>
      <c r="Z161" s="86" t="str">
        <f>IF(OR(ISNUMBER(Z162),ISNUMBER(Z163)),2-COUNTBLANK(AI162:AI163),"")</f>
        <v/>
      </c>
      <c r="AA161" s="45" t="s">
        <v>769</v>
      </c>
      <c r="AB161" s="86" t="str">
        <f>IF(OR(ISNUMBER(Z162),ISNUMBER(Z163)),2-COUNTBLANK(AJ162:AJ163),"")</f>
        <v/>
      </c>
      <c r="AC161" s="46" t="str">
        <f>IF(G125="","",G125)</f>
        <v>Db5</v>
      </c>
      <c r="AD161" s="16"/>
      <c r="AE161" t="str">
        <f t="shared" ref="AE161:AE172" si="37">IF(Z161="","",IF(Z161&gt;AB161,Y161,IF(Z161=AB161,"",AC161)))</f>
        <v/>
      </c>
      <c r="AF161" t="str">
        <f t="shared" ref="AF161:AF172" si="38">IF(Z161="","",IF(Z161=AB161,Y161,""))</f>
        <v/>
      </c>
      <c r="AG161" t="str">
        <f t="shared" ref="AG161:AG172" si="39">IF(Z161="","",IF(Z161=AB161,AC161,""))</f>
        <v/>
      </c>
      <c r="AH161" t="str">
        <f t="shared" ref="AH161:AH172" si="40">IF(Z161="","",IF(Z161&lt;AB161,Y161,IF(Z161=AB161,"",AC161)))</f>
        <v/>
      </c>
      <c r="AI161" s="270" t="str">
        <f>IF(Z161="","",SUM(Z162:Z163))</f>
        <v/>
      </c>
      <c r="AJ161" s="270" t="str">
        <f>IF(Z161="","",SUM(AB162:AB163))</f>
        <v/>
      </c>
      <c r="AK161" t="str">
        <f t="shared" ref="AK161:AK172" si="41">CONCATENATE(AE161,AH161)</f>
        <v/>
      </c>
      <c r="AL161"/>
      <c r="AM161"/>
      <c r="AN161"/>
      <c r="AP161"/>
      <c r="AQ161"/>
      <c r="AR161"/>
      <c r="AS161"/>
      <c r="AT161"/>
      <c r="AU161"/>
      <c r="AV161"/>
      <c r="AW161"/>
      <c r="AX161"/>
      <c r="AY161"/>
      <c r="AZ161"/>
      <c r="BA161"/>
      <c r="BB161"/>
      <c r="BC161"/>
      <c r="BD161"/>
      <c r="BE161"/>
      <c r="BF161"/>
      <c r="BG161"/>
      <c r="BH161"/>
      <c r="BI161"/>
      <c r="BJ161"/>
      <c r="BK161"/>
      <c r="BL161"/>
      <c r="BM161"/>
      <c r="BN161"/>
      <c r="BO161"/>
      <c r="BP161"/>
      <c r="BQ161"/>
      <c r="BR161" s="1395"/>
      <c r="BS161" s="1450"/>
      <c r="BT161" s="1450"/>
      <c r="BU161"/>
      <c r="BV161"/>
      <c r="BW161"/>
    </row>
    <row r="162" spans="1:75" ht="12.75" hidden="1" customHeight="1" outlineLevel="3" x14ac:dyDescent="0.2">
      <c r="A162"/>
      <c r="B162" s="1"/>
      <c r="C162"/>
      <c r="D162"/>
      <c r="E162"/>
      <c r="F162"/>
      <c r="G162" s="1"/>
      <c r="H162"/>
      <c r="I162"/>
      <c r="J162"/>
      <c r="K162"/>
      <c r="L162"/>
      <c r="M162"/>
      <c r="N162"/>
      <c r="O162"/>
      <c r="P162"/>
      <c r="Q162"/>
      <c r="R162"/>
      <c r="S162"/>
      <c r="T162"/>
      <c r="U162" s="331"/>
      <c r="V162" s="92"/>
      <c r="W162" s="56"/>
      <c r="X162" s="78"/>
      <c r="Y162" s="103" t="str">
        <f t="shared" ref="Y162:Y169" si="42">IF(G128="","",G128)</f>
        <v/>
      </c>
      <c r="Z162" s="44"/>
      <c r="AA162" s="45" t="s">
        <v>769</v>
      </c>
      <c r="AB162" s="44"/>
      <c r="AC162" s="79" t="str">
        <f t="shared" si="36"/>
        <v/>
      </c>
      <c r="AD162" s="16"/>
      <c r="AE162" t="str">
        <f t="shared" si="37"/>
        <v/>
      </c>
      <c r="AF162" t="str">
        <f t="shared" si="38"/>
        <v/>
      </c>
      <c r="AG162" t="str">
        <f t="shared" si="39"/>
        <v/>
      </c>
      <c r="AH162" t="str">
        <f t="shared" si="40"/>
        <v/>
      </c>
      <c r="AI162" t="str">
        <f>IF(Z162="","",IF(Z162&gt;AB162,Y161,""))</f>
        <v/>
      </c>
      <c r="AJ162" t="str">
        <f>IF(Z162="","",IF(Z162&lt;AB162,AC161,""))</f>
        <v/>
      </c>
      <c r="AK162" t="str">
        <f t="shared" si="41"/>
        <v/>
      </c>
      <c r="AL162"/>
      <c r="AM162"/>
      <c r="AN162"/>
      <c r="AP162"/>
      <c r="AQ162"/>
      <c r="AR162"/>
      <c r="AS162"/>
      <c r="AT162"/>
      <c r="AU162"/>
      <c r="AV162"/>
      <c r="AW162"/>
      <c r="AX162"/>
      <c r="AY162"/>
      <c r="AZ162"/>
      <c r="BA162"/>
      <c r="BB162"/>
      <c r="BC162"/>
      <c r="BD162"/>
      <c r="BE162"/>
      <c r="BF162"/>
      <c r="BG162"/>
      <c r="BH162"/>
      <c r="BI162"/>
      <c r="BJ162"/>
      <c r="BK162"/>
      <c r="BL162"/>
      <c r="BM162"/>
      <c r="BN162"/>
      <c r="BO162"/>
      <c r="BP162"/>
      <c r="BQ162"/>
      <c r="BR162" s="1395"/>
      <c r="BS162" s="1450"/>
      <c r="BT162" s="1450"/>
      <c r="BU162"/>
      <c r="BV162"/>
      <c r="BW162"/>
    </row>
    <row r="163" spans="1:75" ht="12.75" hidden="1" customHeight="1" outlineLevel="3" thickBot="1" x14ac:dyDescent="0.25">
      <c r="A163"/>
      <c r="B163" s="1"/>
      <c r="C163"/>
      <c r="D163"/>
      <c r="E163"/>
      <c r="F163"/>
      <c r="G163" s="1"/>
      <c r="H163"/>
      <c r="I163"/>
      <c r="J163"/>
      <c r="K163"/>
      <c r="L163"/>
      <c r="M163"/>
      <c r="N163"/>
      <c r="O163"/>
      <c r="P163"/>
      <c r="Q163"/>
      <c r="R163"/>
      <c r="S163"/>
      <c r="T163"/>
      <c r="U163" s="331"/>
      <c r="V163" s="94"/>
      <c r="W163" s="58"/>
      <c r="X163" s="91"/>
      <c r="Y163" s="174" t="str">
        <f t="shared" si="42"/>
        <v/>
      </c>
      <c r="Z163" s="51"/>
      <c r="AA163" s="52" t="s">
        <v>769</v>
      </c>
      <c r="AB163" s="51"/>
      <c r="AC163" s="96" t="str">
        <f t="shared" si="36"/>
        <v/>
      </c>
      <c r="AD163" s="16"/>
      <c r="AE163" t="str">
        <f t="shared" si="37"/>
        <v/>
      </c>
      <c r="AF163" t="str">
        <f t="shared" si="38"/>
        <v/>
      </c>
      <c r="AG163" t="str">
        <f t="shared" si="39"/>
        <v/>
      </c>
      <c r="AH163" t="str">
        <f t="shared" si="40"/>
        <v/>
      </c>
      <c r="AI163" t="str">
        <f>IF(Z163="","",IF(Z163&gt;AB163,Y161,""))</f>
        <v/>
      </c>
      <c r="AJ163" t="str">
        <f>IF(Z163="","",IF(Z163&lt;AB163,AC161,""))</f>
        <v/>
      </c>
      <c r="AK163" t="str">
        <f t="shared" si="41"/>
        <v/>
      </c>
      <c r="AL163"/>
      <c r="AM163"/>
      <c r="AN163"/>
      <c r="AP163"/>
      <c r="AQ163"/>
      <c r="AR163"/>
      <c r="AS163"/>
      <c r="AT163"/>
      <c r="AU163"/>
      <c r="AV163"/>
      <c r="AW163"/>
      <c r="AX163"/>
      <c r="AY163"/>
      <c r="AZ163"/>
      <c r="BA163"/>
      <c r="BB163"/>
      <c r="BC163"/>
      <c r="BD163"/>
      <c r="BE163"/>
      <c r="BF163"/>
      <c r="BG163"/>
      <c r="BH163"/>
      <c r="BI163"/>
      <c r="BJ163"/>
      <c r="BK163"/>
      <c r="BL163"/>
      <c r="BM163"/>
      <c r="BN163"/>
      <c r="BO163"/>
      <c r="BP163"/>
      <c r="BQ163"/>
      <c r="BR163" s="1395"/>
      <c r="BS163" s="1450"/>
      <c r="BT163" s="1450"/>
      <c r="BU163"/>
      <c r="BV163"/>
      <c r="BW163"/>
    </row>
    <row r="164" spans="1:75" hidden="1" outlineLevel="2" x14ac:dyDescent="0.2">
      <c r="A164"/>
      <c r="B164" s="1"/>
      <c r="C164"/>
      <c r="D164"/>
      <c r="E164"/>
      <c r="F164"/>
      <c r="G164" s="1"/>
      <c r="H164"/>
      <c r="I164"/>
      <c r="J164"/>
      <c r="K164"/>
      <c r="L164"/>
      <c r="M164"/>
      <c r="N164"/>
      <c r="O164"/>
      <c r="P164"/>
      <c r="Q164"/>
      <c r="R164"/>
      <c r="S164"/>
      <c r="T164"/>
      <c r="U164" s="331" t="s">
        <v>1740</v>
      </c>
      <c r="V164" s="54"/>
      <c r="W164" s="278"/>
      <c r="X164" s="279"/>
      <c r="Y164" s="34" t="str">
        <f>IF(G125="","",G125)</f>
        <v>Db5</v>
      </c>
      <c r="Z164" s="95" t="str">
        <f>IF(OR(ISNUMBER(Z165),ISNUMBER(Z166)),2-COUNTBLANK(AI165:AI166),"")</f>
        <v/>
      </c>
      <c r="AA164" s="35" t="s">
        <v>769</v>
      </c>
      <c r="AB164" s="95" t="str">
        <f>IF(OR(ISNUMBER(Z165),ISNUMBER(Z166)),2-COUNTBLANK(AJ165:AJ166),"")</f>
        <v/>
      </c>
      <c r="AC164" s="36" t="str">
        <f>IF(G126="","",G126)</f>
        <v>Db6</v>
      </c>
      <c r="AD164" s="16"/>
      <c r="AE164" t="str">
        <f t="shared" si="37"/>
        <v/>
      </c>
      <c r="AF164" t="str">
        <f t="shared" si="38"/>
        <v/>
      </c>
      <c r="AG164" t="str">
        <f t="shared" si="39"/>
        <v/>
      </c>
      <c r="AH164" t="str">
        <f t="shared" si="40"/>
        <v/>
      </c>
      <c r="AI164" s="270" t="str">
        <f>IF(Z164="","",SUM(Z165:Z166))</f>
        <v/>
      </c>
      <c r="AJ164" s="270" t="str">
        <f>IF(Z164="","",SUM(AB165:AB166))</f>
        <v/>
      </c>
      <c r="AK164" t="str">
        <f t="shared" si="41"/>
        <v/>
      </c>
      <c r="AL164"/>
      <c r="AM164"/>
      <c r="AN164"/>
      <c r="AP164"/>
      <c r="AQ164"/>
      <c r="AR164"/>
      <c r="AS164"/>
      <c r="AT164"/>
      <c r="AU164"/>
      <c r="AV164"/>
      <c r="AW164"/>
      <c r="AX164"/>
      <c r="AY164"/>
      <c r="AZ164"/>
      <c r="BA164"/>
      <c r="BB164"/>
      <c r="BC164"/>
      <c r="BD164"/>
      <c r="BE164"/>
      <c r="BF164"/>
      <c r="BG164"/>
      <c r="BH164"/>
      <c r="BI164"/>
      <c r="BJ164"/>
      <c r="BK164"/>
      <c r="BL164"/>
      <c r="BM164"/>
      <c r="BN164"/>
      <c r="BO164"/>
      <c r="BP164"/>
      <c r="BQ164"/>
      <c r="BR164" s="1395"/>
      <c r="BS164" s="1450"/>
      <c r="BT164" s="1450"/>
      <c r="BU164"/>
      <c r="BV164"/>
      <c r="BW164"/>
    </row>
    <row r="165" spans="1:75" ht="12.75" hidden="1" customHeight="1" outlineLevel="3" x14ac:dyDescent="0.2">
      <c r="A165"/>
      <c r="B165" s="1"/>
      <c r="C165"/>
      <c r="D165"/>
      <c r="E165"/>
      <c r="F165"/>
      <c r="G165" s="1"/>
      <c r="H165"/>
      <c r="I165"/>
      <c r="J165"/>
      <c r="K165"/>
      <c r="L165"/>
      <c r="M165"/>
      <c r="N165"/>
      <c r="O165"/>
      <c r="P165"/>
      <c r="Q165"/>
      <c r="R165"/>
      <c r="S165"/>
      <c r="T165"/>
      <c r="U165" s="331"/>
      <c r="V165" s="92"/>
      <c r="W165" s="56"/>
      <c r="X165" s="78"/>
      <c r="Y165" s="103" t="str">
        <f t="shared" si="42"/>
        <v/>
      </c>
      <c r="Z165" s="44"/>
      <c r="AA165" s="45" t="s">
        <v>769</v>
      </c>
      <c r="AB165" s="44"/>
      <c r="AC165" s="79" t="str">
        <f t="shared" si="36"/>
        <v/>
      </c>
      <c r="AD165" s="16"/>
      <c r="AE165" t="str">
        <f t="shared" si="37"/>
        <v/>
      </c>
      <c r="AF165" t="str">
        <f t="shared" si="38"/>
        <v/>
      </c>
      <c r="AG165" t="str">
        <f t="shared" si="39"/>
        <v/>
      </c>
      <c r="AH165" t="str">
        <f t="shared" si="40"/>
        <v/>
      </c>
      <c r="AI165" t="str">
        <f>IF(Z165="","",IF(Z165&gt;AB165,Y164,""))</f>
        <v/>
      </c>
      <c r="AJ165" t="str">
        <f>IF(Z165="","",IF(Z165&lt;AB165,AC164,""))</f>
        <v/>
      </c>
      <c r="AK165" t="str">
        <f t="shared" si="41"/>
        <v/>
      </c>
      <c r="AL165"/>
      <c r="AM165"/>
      <c r="AN165"/>
      <c r="AP165"/>
      <c r="AQ165"/>
      <c r="AR165"/>
      <c r="AS165"/>
      <c r="AT165"/>
      <c r="AU165"/>
      <c r="AV165"/>
      <c r="AW165"/>
      <c r="AX165"/>
      <c r="AY165"/>
      <c r="AZ165"/>
      <c r="BA165"/>
      <c r="BB165"/>
      <c r="BC165"/>
      <c r="BD165"/>
      <c r="BE165"/>
      <c r="BF165"/>
      <c r="BG165"/>
      <c r="BH165"/>
      <c r="BI165"/>
      <c r="BJ165"/>
      <c r="BK165"/>
      <c r="BL165"/>
      <c r="BM165"/>
      <c r="BN165"/>
      <c r="BO165"/>
      <c r="BP165"/>
      <c r="BQ165"/>
      <c r="BR165" s="1395"/>
      <c r="BS165" s="1450"/>
      <c r="BT165" s="1450"/>
      <c r="BU165"/>
      <c r="BV165"/>
      <c r="BW165"/>
    </row>
    <row r="166" spans="1:75" ht="12.75" hidden="1" customHeight="1" outlineLevel="3" thickBot="1" x14ac:dyDescent="0.25">
      <c r="A166"/>
      <c r="B166" s="1"/>
      <c r="C166"/>
      <c r="D166"/>
      <c r="E166"/>
      <c r="F166"/>
      <c r="G166" s="1"/>
      <c r="H166"/>
      <c r="I166"/>
      <c r="J166"/>
      <c r="K166"/>
      <c r="L166"/>
      <c r="M166"/>
      <c r="N166"/>
      <c r="O166"/>
      <c r="P166"/>
      <c r="Q166"/>
      <c r="R166"/>
      <c r="S166"/>
      <c r="T166"/>
      <c r="U166" s="331"/>
      <c r="V166" s="94"/>
      <c r="W166" s="58"/>
      <c r="X166" s="91"/>
      <c r="Y166" s="174" t="str">
        <f t="shared" si="42"/>
        <v/>
      </c>
      <c r="Z166" s="51"/>
      <c r="AA166" s="52" t="s">
        <v>769</v>
      </c>
      <c r="AB166" s="51"/>
      <c r="AC166" s="96" t="str">
        <f t="shared" si="36"/>
        <v/>
      </c>
      <c r="AD166" s="16"/>
      <c r="AE166" t="str">
        <f t="shared" si="37"/>
        <v/>
      </c>
      <c r="AF166" t="str">
        <f t="shared" si="38"/>
        <v/>
      </c>
      <c r="AG166" t="str">
        <f t="shared" si="39"/>
        <v/>
      </c>
      <c r="AH166" t="str">
        <f t="shared" si="40"/>
        <v/>
      </c>
      <c r="AI166" t="str">
        <f>IF(Z166="","",IF(Z166&gt;AB166,Y164,""))</f>
        <v/>
      </c>
      <c r="AJ166" t="str">
        <f>IF(Z166="","",IF(Z166&lt;AB166,AC164,""))</f>
        <v/>
      </c>
      <c r="AK166" t="str">
        <f t="shared" si="41"/>
        <v/>
      </c>
      <c r="AL166"/>
      <c r="AM166"/>
      <c r="AN166"/>
      <c r="AP166"/>
      <c r="AQ166"/>
      <c r="AR166"/>
      <c r="AS166"/>
      <c r="AT166"/>
      <c r="AU166"/>
      <c r="AV166"/>
      <c r="AW166"/>
      <c r="AX166"/>
      <c r="AY166"/>
      <c r="AZ166"/>
      <c r="BA166"/>
      <c r="BB166"/>
      <c r="BC166"/>
      <c r="BD166"/>
      <c r="BE166"/>
      <c r="BF166"/>
      <c r="BG166"/>
      <c r="BH166"/>
      <c r="BI166"/>
      <c r="BJ166"/>
      <c r="BK166"/>
      <c r="BL166"/>
      <c r="BM166"/>
      <c r="BN166"/>
      <c r="BO166"/>
      <c r="BP166"/>
      <c r="BQ166"/>
      <c r="BR166" s="1395"/>
      <c r="BS166" s="1450"/>
      <c r="BT166" s="1450"/>
      <c r="BU166"/>
      <c r="BV166"/>
      <c r="BW166"/>
    </row>
    <row r="167" spans="1:75" hidden="1" outlineLevel="2" x14ac:dyDescent="0.2">
      <c r="A167"/>
      <c r="B167" s="1"/>
      <c r="C167"/>
      <c r="D167"/>
      <c r="E167"/>
      <c r="F167"/>
      <c r="G167" s="1"/>
      <c r="H167"/>
      <c r="I167"/>
      <c r="J167"/>
      <c r="K167"/>
      <c r="L167"/>
      <c r="M167"/>
      <c r="N167"/>
      <c r="O167"/>
      <c r="P167"/>
      <c r="Q167"/>
      <c r="R167"/>
      <c r="S167"/>
      <c r="T167"/>
      <c r="U167" s="331" t="s">
        <v>930</v>
      </c>
      <c r="V167" s="336"/>
      <c r="W167" s="381"/>
      <c r="X167" s="382"/>
      <c r="Y167" s="62" t="str">
        <f>IF(G123="","",G123)</f>
        <v>Db3</v>
      </c>
      <c r="Z167" s="383" t="str">
        <f>IF(OR(ISNUMBER(Z168),ISNUMBER(Z169)),2-COUNTBLANK(AI168:AI169),"")</f>
        <v/>
      </c>
      <c r="AA167" s="60" t="s">
        <v>769</v>
      </c>
      <c r="AB167" s="383" t="str">
        <f>IF(OR(ISNUMBER(Z168),ISNUMBER(Z169)),2-COUNTBLANK(AJ168:AJ169),"")</f>
        <v/>
      </c>
      <c r="AC167" s="61" t="str">
        <f>IF(G124="","",G124)</f>
        <v>Db4</v>
      </c>
      <c r="AD167" s="16"/>
      <c r="AE167" t="str">
        <f t="shared" si="37"/>
        <v/>
      </c>
      <c r="AF167" t="str">
        <f t="shared" si="38"/>
        <v/>
      </c>
      <c r="AG167" t="str">
        <f t="shared" si="39"/>
        <v/>
      </c>
      <c r="AH167" t="str">
        <f t="shared" si="40"/>
        <v/>
      </c>
      <c r="AI167" s="270" t="str">
        <f>IF(Z167="","",SUM(Z168:Z169))</f>
        <v/>
      </c>
      <c r="AJ167" s="270" t="str">
        <f>IF(Z167="","",SUM(AB168:AB169))</f>
        <v/>
      </c>
      <c r="AK167" t="str">
        <f t="shared" si="41"/>
        <v/>
      </c>
      <c r="AL167"/>
      <c r="AM167"/>
      <c r="AN167"/>
      <c r="AP167"/>
      <c r="AQ167"/>
      <c r="AR167"/>
      <c r="AS167"/>
      <c r="AT167"/>
      <c r="AU167"/>
      <c r="AV167"/>
      <c r="AW167"/>
      <c r="AX167"/>
      <c r="AY167"/>
      <c r="AZ167"/>
      <c r="BA167"/>
      <c r="BB167"/>
      <c r="BC167"/>
      <c r="BD167"/>
      <c r="BE167"/>
      <c r="BF167"/>
      <c r="BG167"/>
      <c r="BH167"/>
      <c r="BI167"/>
      <c r="BJ167"/>
      <c r="BK167"/>
      <c r="BL167"/>
      <c r="BM167"/>
      <c r="BN167"/>
      <c r="BO167"/>
      <c r="BP167"/>
      <c r="BQ167"/>
      <c r="BR167" s="1395"/>
      <c r="BS167" s="1450"/>
      <c r="BT167" s="1450"/>
      <c r="BU167"/>
      <c r="BV167"/>
      <c r="BW167"/>
    </row>
    <row r="168" spans="1:75" ht="12.75" hidden="1" customHeight="1" outlineLevel="3" x14ac:dyDescent="0.2">
      <c r="A168"/>
      <c r="B168" s="1"/>
      <c r="C168"/>
      <c r="D168"/>
      <c r="E168"/>
      <c r="F168"/>
      <c r="G168" s="1"/>
      <c r="H168"/>
      <c r="I168"/>
      <c r="J168"/>
      <c r="K168"/>
      <c r="L168"/>
      <c r="M168"/>
      <c r="N168"/>
      <c r="O168"/>
      <c r="P168"/>
      <c r="Q168"/>
      <c r="R168"/>
      <c r="S168"/>
      <c r="T168"/>
      <c r="U168" s="331"/>
      <c r="V168" s="92"/>
      <c r="W168" s="56"/>
      <c r="X168" s="78"/>
      <c r="Y168" s="103" t="str">
        <f t="shared" si="42"/>
        <v/>
      </c>
      <c r="Z168" s="44"/>
      <c r="AA168" s="45" t="s">
        <v>769</v>
      </c>
      <c r="AB168" s="44"/>
      <c r="AC168" s="79" t="str">
        <f t="shared" si="36"/>
        <v/>
      </c>
      <c r="AD168" s="16"/>
      <c r="AE168" t="str">
        <f t="shared" si="37"/>
        <v/>
      </c>
      <c r="AF168" t="str">
        <f t="shared" si="38"/>
        <v/>
      </c>
      <c r="AG168" t="str">
        <f t="shared" si="39"/>
        <v/>
      </c>
      <c r="AH168" t="str">
        <f t="shared" si="40"/>
        <v/>
      </c>
      <c r="AI168" t="str">
        <f>IF(Z168="","",IF(Z168&gt;AB168,Y167,""))</f>
        <v/>
      </c>
      <c r="AJ168" t="str">
        <f>IF(Z168="","",IF(Z168&lt;AB168,AC167,""))</f>
        <v/>
      </c>
      <c r="AK168" t="str">
        <f t="shared" si="41"/>
        <v/>
      </c>
      <c r="AL168"/>
      <c r="AM168"/>
      <c r="AN168"/>
      <c r="AP168"/>
      <c r="AQ168"/>
      <c r="AR168"/>
      <c r="AS168"/>
      <c r="AT168"/>
      <c r="AU168"/>
      <c r="AV168"/>
      <c r="AW168"/>
      <c r="AX168"/>
      <c r="AY168"/>
      <c r="AZ168"/>
      <c r="BA168"/>
      <c r="BB168"/>
      <c r="BC168"/>
      <c r="BD168"/>
      <c r="BE168"/>
      <c r="BF168"/>
      <c r="BG168"/>
      <c r="BH168"/>
      <c r="BI168"/>
      <c r="BJ168"/>
      <c r="BK168"/>
      <c r="BL168"/>
      <c r="BM168"/>
      <c r="BN168"/>
      <c r="BO168"/>
      <c r="BP168"/>
      <c r="BQ168"/>
      <c r="BR168" s="1395"/>
      <c r="BS168" s="1450"/>
      <c r="BT168" s="1450"/>
      <c r="BU168"/>
      <c r="BV168"/>
      <c r="BW168"/>
    </row>
    <row r="169" spans="1:75" ht="12.75" hidden="1" customHeight="1" outlineLevel="3" x14ac:dyDescent="0.2">
      <c r="A169"/>
      <c r="B169" s="1"/>
      <c r="C169"/>
      <c r="D169"/>
      <c r="E169"/>
      <c r="F169"/>
      <c r="G169" s="1"/>
      <c r="H169"/>
      <c r="I169"/>
      <c r="J169"/>
      <c r="K169"/>
      <c r="L169"/>
      <c r="M169"/>
      <c r="N169"/>
      <c r="O169"/>
      <c r="P169"/>
      <c r="Q169"/>
      <c r="R169"/>
      <c r="S169"/>
      <c r="T169"/>
      <c r="U169" s="331"/>
      <c r="V169" s="92"/>
      <c r="W169" s="56"/>
      <c r="X169" s="78"/>
      <c r="Y169" s="103" t="str">
        <f t="shared" si="42"/>
        <v/>
      </c>
      <c r="Z169" s="44"/>
      <c r="AA169" s="45" t="s">
        <v>769</v>
      </c>
      <c r="AB169" s="44"/>
      <c r="AC169" s="79" t="str">
        <f t="shared" si="36"/>
        <v/>
      </c>
      <c r="AD169" s="16"/>
      <c r="AE169" t="str">
        <f t="shared" si="37"/>
        <v/>
      </c>
      <c r="AF169" t="str">
        <f t="shared" si="38"/>
        <v/>
      </c>
      <c r="AG169" t="str">
        <f t="shared" si="39"/>
        <v/>
      </c>
      <c r="AH169" t="str">
        <f t="shared" si="40"/>
        <v/>
      </c>
      <c r="AI169" t="str">
        <f>IF(Z169="","",IF(Z169&gt;AB169,Y167,""))</f>
        <v/>
      </c>
      <c r="AJ169" t="str">
        <f>IF(Z169="","",IF(Z169&lt;AB169,AC167,""))</f>
        <v/>
      </c>
      <c r="AK169" t="str">
        <f t="shared" si="41"/>
        <v/>
      </c>
      <c r="AL169"/>
      <c r="AM169"/>
      <c r="AN169"/>
      <c r="AP169"/>
      <c r="AQ169"/>
      <c r="AR169"/>
      <c r="AS169"/>
      <c r="AT169"/>
      <c r="AU169"/>
      <c r="AV169"/>
      <c r="AW169"/>
      <c r="AX169"/>
      <c r="AY169"/>
      <c r="AZ169"/>
      <c r="BA169"/>
      <c r="BB169"/>
      <c r="BC169"/>
      <c r="BD169"/>
      <c r="BE169"/>
      <c r="BF169"/>
      <c r="BG169"/>
      <c r="BH169"/>
      <c r="BI169"/>
      <c r="BJ169"/>
      <c r="BK169"/>
      <c r="BL169"/>
      <c r="BM169"/>
      <c r="BN169"/>
      <c r="BO169"/>
      <c r="BP169"/>
      <c r="BQ169"/>
      <c r="BR169" s="1395"/>
      <c r="BS169" s="1450"/>
      <c r="BT169" s="1450"/>
      <c r="BU169"/>
      <c r="BV169"/>
      <c r="BW169"/>
    </row>
    <row r="170" spans="1:75" hidden="1" outlineLevel="2" x14ac:dyDescent="0.2">
      <c r="A170"/>
      <c r="B170" s="1"/>
      <c r="C170"/>
      <c r="D170"/>
      <c r="E170"/>
      <c r="F170"/>
      <c r="G170" s="1"/>
      <c r="H170"/>
      <c r="I170"/>
      <c r="J170"/>
      <c r="K170"/>
      <c r="L170"/>
      <c r="M170"/>
      <c r="N170"/>
      <c r="O170"/>
      <c r="P170"/>
      <c r="Q170"/>
      <c r="R170"/>
      <c r="S170"/>
      <c r="T170"/>
      <c r="U170" s="331" t="s">
        <v>930</v>
      </c>
      <c r="V170" s="93"/>
      <c r="W170" s="84"/>
      <c r="X170" s="85"/>
      <c r="Y170" s="43" t="str">
        <f>IF(G121="","",G121)</f>
        <v>Db1</v>
      </c>
      <c r="Z170" s="86" t="str">
        <f>IF(OR(ISNUMBER(Z171),ISNUMBER(Z172)),2-COUNTBLANK(AI171:AI172),"")</f>
        <v/>
      </c>
      <c r="AA170" s="45" t="s">
        <v>769</v>
      </c>
      <c r="AB170" s="86" t="str">
        <f>IF(OR(ISNUMBER(Z171),ISNUMBER(Z172)),2-COUNTBLANK(AJ171:AJ172),"")</f>
        <v/>
      </c>
      <c r="AC170" s="46" t="str">
        <f>IF(G122="","",G122)</f>
        <v>Db2</v>
      </c>
      <c r="AD170" s="16"/>
      <c r="AE170" t="str">
        <f t="shared" si="37"/>
        <v/>
      </c>
      <c r="AF170" t="str">
        <f t="shared" si="38"/>
        <v/>
      </c>
      <c r="AG170" t="str">
        <f t="shared" si="39"/>
        <v/>
      </c>
      <c r="AH170" t="str">
        <f t="shared" si="40"/>
        <v/>
      </c>
      <c r="AI170" s="270" t="str">
        <f>IF(Z170="","",SUM(Z171:Z172))</f>
        <v/>
      </c>
      <c r="AJ170" s="270" t="str">
        <f>IF(Z170="","",SUM(AB171:AB172))</f>
        <v/>
      </c>
      <c r="AK170" t="str">
        <f t="shared" si="41"/>
        <v/>
      </c>
      <c r="AL170"/>
      <c r="AM170"/>
      <c r="AN170"/>
      <c r="AP170"/>
      <c r="AQ170"/>
      <c r="AR170"/>
      <c r="AS170"/>
      <c r="AT170"/>
      <c r="AU170"/>
      <c r="AV170"/>
      <c r="AW170"/>
      <c r="AX170"/>
      <c r="AY170"/>
      <c r="AZ170"/>
      <c r="BA170"/>
      <c r="BB170"/>
      <c r="BC170"/>
      <c r="BD170"/>
      <c r="BE170"/>
      <c r="BF170"/>
      <c r="BG170"/>
      <c r="BH170"/>
      <c r="BI170"/>
      <c r="BJ170"/>
      <c r="BK170"/>
      <c r="BL170"/>
      <c r="BM170"/>
      <c r="BN170"/>
      <c r="BO170"/>
      <c r="BP170"/>
      <c r="BQ170"/>
      <c r="BR170" s="1395"/>
      <c r="BS170" s="1450"/>
      <c r="BT170" s="1450"/>
      <c r="BU170"/>
      <c r="BV170"/>
      <c r="BW170"/>
    </row>
    <row r="171" spans="1:75" ht="12.75" hidden="1" customHeight="1" outlineLevel="3" x14ac:dyDescent="0.2">
      <c r="A171"/>
      <c r="B171" s="1"/>
      <c r="C171"/>
      <c r="D171"/>
      <c r="E171"/>
      <c r="F171"/>
      <c r="G171" s="1"/>
      <c r="H171"/>
      <c r="I171"/>
      <c r="J171"/>
      <c r="K171"/>
      <c r="L171"/>
      <c r="M171"/>
      <c r="N171"/>
      <c r="O171"/>
      <c r="P171"/>
      <c r="Q171"/>
      <c r="R171"/>
      <c r="S171"/>
      <c r="T171"/>
      <c r="U171" s="11"/>
      <c r="V171" s="92"/>
      <c r="W171" s="56"/>
      <c r="X171" s="78"/>
      <c r="Y171" s="103"/>
      <c r="Z171" s="44"/>
      <c r="AA171" s="45" t="s">
        <v>769</v>
      </c>
      <c r="AB171" s="44"/>
      <c r="AC171" s="79"/>
      <c r="AD171" s="16"/>
      <c r="AE171" t="str">
        <f t="shared" si="37"/>
        <v/>
      </c>
      <c r="AF171" t="str">
        <f t="shared" si="38"/>
        <v/>
      </c>
      <c r="AG171" t="str">
        <f t="shared" si="39"/>
        <v/>
      </c>
      <c r="AH171" t="str">
        <f t="shared" si="40"/>
        <v/>
      </c>
      <c r="AI171" t="str">
        <f>IF(Z171="","",IF(Z171&gt;AB171,Y170,""))</f>
        <v/>
      </c>
      <c r="AJ171" t="str">
        <f>IF(Z171="","",IF(Z171&lt;AB171,AC170,""))</f>
        <v/>
      </c>
      <c r="AK171" t="str">
        <f t="shared" si="41"/>
        <v/>
      </c>
      <c r="AL171"/>
      <c r="AM171"/>
      <c r="AN171"/>
      <c r="AP171"/>
      <c r="AQ171"/>
      <c r="AR171"/>
      <c r="AS171"/>
      <c r="AT171"/>
      <c r="AU171"/>
      <c r="AV171"/>
      <c r="AW171"/>
      <c r="AX171"/>
      <c r="AY171"/>
      <c r="AZ171"/>
      <c r="BA171"/>
      <c r="BB171"/>
      <c r="BC171"/>
      <c r="BD171"/>
      <c r="BE171"/>
      <c r="BF171"/>
      <c r="BG171"/>
      <c r="BH171"/>
      <c r="BI171"/>
      <c r="BJ171"/>
      <c r="BK171"/>
      <c r="BL171"/>
      <c r="BM171"/>
      <c r="BN171"/>
      <c r="BO171"/>
      <c r="BP171"/>
      <c r="BQ171"/>
      <c r="BR171" s="1395"/>
      <c r="BS171" s="1450"/>
      <c r="BT171" s="1450"/>
      <c r="BU171"/>
      <c r="BV171"/>
      <c r="BW171"/>
    </row>
    <row r="172" spans="1:75" ht="13.5" hidden="1" customHeight="1" outlineLevel="3" thickBot="1" x14ac:dyDescent="0.25">
      <c r="A172"/>
      <c r="B172" s="1"/>
      <c r="C172"/>
      <c r="D172"/>
      <c r="E172"/>
      <c r="F172"/>
      <c r="G172" s="1"/>
      <c r="H172"/>
      <c r="I172"/>
      <c r="J172"/>
      <c r="K172"/>
      <c r="L172"/>
      <c r="M172"/>
      <c r="N172"/>
      <c r="O172"/>
      <c r="P172"/>
      <c r="Q172"/>
      <c r="R172"/>
      <c r="S172"/>
      <c r="T172"/>
      <c r="U172" s="11"/>
      <c r="V172" s="94"/>
      <c r="W172" s="58"/>
      <c r="X172" s="91"/>
      <c r="Y172" s="174"/>
      <c r="Z172" s="51"/>
      <c r="AA172" s="52" t="s">
        <v>769</v>
      </c>
      <c r="AB172" s="51"/>
      <c r="AC172" s="96"/>
      <c r="AD172" s="16"/>
      <c r="AE172" t="str">
        <f t="shared" si="37"/>
        <v/>
      </c>
      <c r="AF172" t="str">
        <f t="shared" si="38"/>
        <v/>
      </c>
      <c r="AG172" t="str">
        <f t="shared" si="39"/>
        <v/>
      </c>
      <c r="AH172" t="str">
        <f t="shared" si="40"/>
        <v/>
      </c>
      <c r="AI172" t="str">
        <f>IF(Z172="","",IF(Z172&gt;AB172,Y170,""))</f>
        <v/>
      </c>
      <c r="AJ172" t="str">
        <f>IF(Z172="","",IF(Z172&lt;AB172,AC170,""))</f>
        <v/>
      </c>
      <c r="AK172" t="str">
        <f t="shared" si="41"/>
        <v/>
      </c>
      <c r="AL172"/>
      <c r="AM172"/>
      <c r="AN172"/>
      <c r="AP172"/>
      <c r="AQ172"/>
      <c r="AR172"/>
      <c r="AS172"/>
      <c r="AT172"/>
      <c r="AU172"/>
      <c r="AV172"/>
      <c r="AW172"/>
      <c r="AX172"/>
      <c r="AY172"/>
      <c r="AZ172"/>
      <c r="BA172"/>
      <c r="BB172"/>
      <c r="BC172"/>
      <c r="BD172"/>
      <c r="BE172"/>
      <c r="BF172"/>
      <c r="BG172"/>
      <c r="BH172"/>
      <c r="BI172"/>
      <c r="BJ172"/>
      <c r="BK172"/>
      <c r="BL172"/>
      <c r="BM172"/>
      <c r="BN172"/>
      <c r="BO172"/>
      <c r="BP172"/>
      <c r="BQ172"/>
      <c r="BR172" s="1395"/>
      <c r="BS172" s="1450"/>
      <c r="BT172" s="1450"/>
      <c r="BU172"/>
      <c r="BV172"/>
      <c r="BW172"/>
    </row>
    <row r="173" spans="1:75" ht="13.5" customHeight="1" outlineLevel="1" x14ac:dyDescent="0.2">
      <c r="A173"/>
      <c r="B173" s="1"/>
      <c r="C173"/>
      <c r="D173"/>
      <c r="E173"/>
      <c r="F173"/>
      <c r="G173" s="1"/>
      <c r="H173"/>
      <c r="I173"/>
      <c r="J173"/>
      <c r="K173"/>
      <c r="L173"/>
      <c r="M173"/>
      <c r="N173"/>
      <c r="O173"/>
      <c r="P173"/>
      <c r="Q173"/>
      <c r="R173"/>
      <c r="S173"/>
      <c r="T173"/>
      <c r="U173" s="11"/>
      <c r="V173" s="97"/>
      <c r="W173" s="98"/>
      <c r="X173" s="14"/>
      <c r="Y173" s="6"/>
      <c r="Z173" s="15"/>
      <c r="AA173" s="1"/>
      <c r="AB173" s="15"/>
      <c r="AC173" s="16"/>
      <c r="AD173" s="16"/>
      <c r="AE173"/>
      <c r="AF173"/>
      <c r="AG173"/>
      <c r="AH173"/>
      <c r="AI173"/>
      <c r="AJ173"/>
      <c r="AK173"/>
      <c r="AL173"/>
      <c r="AM173"/>
      <c r="AN173"/>
      <c r="AP173"/>
      <c r="AQ173"/>
      <c r="AR173"/>
      <c r="AS173"/>
      <c r="AT173"/>
      <c r="AU173"/>
      <c r="AV173"/>
      <c r="AW173"/>
      <c r="AX173"/>
      <c r="AY173"/>
      <c r="AZ173"/>
      <c r="BA173"/>
      <c r="BB173"/>
      <c r="BC173"/>
      <c r="BD173"/>
      <c r="BE173"/>
      <c r="BF173"/>
      <c r="BG173"/>
      <c r="BH173"/>
      <c r="BI173"/>
      <c r="BJ173"/>
      <c r="BK173"/>
      <c r="BL173"/>
      <c r="BM173"/>
      <c r="BN173"/>
      <c r="BO173"/>
      <c r="BP173"/>
      <c r="BQ173"/>
      <c r="BR173" s="1395"/>
      <c r="BS173" s="1450"/>
      <c r="BT173" s="1450"/>
      <c r="BU173"/>
      <c r="BV173"/>
      <c r="BW173"/>
    </row>
    <row r="174" spans="1:75" x14ac:dyDescent="0.2">
      <c r="A174"/>
      <c r="B174" s="1"/>
      <c r="C174"/>
      <c r="D174"/>
      <c r="E174"/>
      <c r="F174"/>
      <c r="G174" s="1"/>
      <c r="H174"/>
      <c r="I174"/>
      <c r="J174"/>
      <c r="K174"/>
      <c r="L174"/>
      <c r="M174"/>
      <c r="N174"/>
      <c r="O174"/>
      <c r="P174"/>
      <c r="Q174"/>
      <c r="R174"/>
      <c r="S174"/>
      <c r="T174"/>
      <c r="V174" s="1"/>
      <c r="W174" s="1"/>
      <c r="X174"/>
      <c r="Y174" s="6"/>
      <c r="Z174"/>
      <c r="AA174" s="1"/>
      <c r="AB174"/>
      <c r="AC174" s="16"/>
      <c r="AD174" s="16"/>
      <c r="AE174"/>
      <c r="AF174"/>
      <c r="AG174"/>
      <c r="AH174"/>
      <c r="AI174"/>
      <c r="AJ174"/>
      <c r="AK174"/>
      <c r="AL174"/>
      <c r="AM174"/>
      <c r="AN174"/>
      <c r="AP174"/>
      <c r="AQ174"/>
      <c r="AR174"/>
      <c r="AS174"/>
      <c r="AT174"/>
      <c r="AU174"/>
      <c r="AV174"/>
      <c r="AW174"/>
      <c r="AX174"/>
      <c r="AY174"/>
      <c r="AZ174"/>
      <c r="BA174"/>
      <c r="BB174"/>
      <c r="BC174"/>
      <c r="BD174"/>
      <c r="BE174"/>
      <c r="BF174"/>
      <c r="BG174"/>
      <c r="BH174"/>
      <c r="BI174"/>
      <c r="BJ174"/>
      <c r="BK174"/>
      <c r="BL174"/>
      <c r="BM174"/>
      <c r="BN174"/>
      <c r="BO174"/>
      <c r="BP174"/>
      <c r="BQ174"/>
      <c r="BR174" s="1395"/>
      <c r="BS174" s="1450"/>
      <c r="BT174" s="1450"/>
      <c r="BU174"/>
      <c r="BV174"/>
      <c r="BW174"/>
    </row>
  </sheetData>
  <sheetProtection formatColumns="0" formatRows="0"/>
  <dataConsolidate/>
  <customSheetViews>
    <customSheetView guid="{13F24B0A-7740-483A-BEF7-5257F8522605}" scale="130" colorId="18" showGridLines="0" fitToPage="1" hiddenRows="1" hiddenColumns="1">
      <selection activeCell="BW50" sqref="BW50"/>
      <pageMargins left="0.78740157499999996" right="0.78740157499999996" top="0.984251969" bottom="0.984251969" header="0.4921259845" footer="0.4921259845"/>
      <pageSetup paperSize="9" scale="53" orientation="portrait" r:id="rId1"/>
      <headerFooter alignWithMargins="0"/>
    </customSheetView>
  </customSheetViews>
  <phoneticPr fontId="0" type="noConversion"/>
  <conditionalFormatting sqref="AO53:BB55 AO26:BB27 AO8:BB9 AO81:BB84 AO122:BB124">
    <cfRule type="expression" dxfId="87" priority="31" stopIfTrue="1">
      <formula>IF(OR($AO8=$AO7,$AO8=$AO9),TRUE,FALSE)</formula>
    </cfRule>
  </conditionalFormatting>
  <conditionalFormatting sqref="AO25:BB25">
    <cfRule type="expression" dxfId="86" priority="32" stopIfTrue="1">
      <formula>IF(OR($AO25=$AO9,$AO25=$AO26),TRUE,FALSE)</formula>
    </cfRule>
  </conditionalFormatting>
  <conditionalFormatting sqref="AO80:BB80 AO121:BB121">
    <cfRule type="expression" dxfId="85" priority="33" stopIfTrue="1">
      <formula>IF(OR($AO80=$AO61,$AO80=$AO81),TRUE,FALSE)</formula>
    </cfRule>
  </conditionalFormatting>
  <conditionalFormatting sqref="AO52:BB52">
    <cfRule type="expression" dxfId="84" priority="36" stopIfTrue="1">
      <formula>IF(OR($AO52=$AO35,$AO52=$AO53),TRUE,FALSE)</formula>
    </cfRule>
  </conditionalFormatting>
  <conditionalFormatting sqref="AO7:BB7">
    <cfRule type="expression" dxfId="83" priority="35" stopIfTrue="1">
      <formula>IF(OR($AO7=$AO6,$AO7=$AO8),TRUE,FALSE)</formula>
    </cfRule>
  </conditionalFormatting>
  <conditionalFormatting sqref="AO125:BB126">
    <cfRule type="expression" dxfId="82" priority="42" stopIfTrue="1">
      <formula>IF(OR($AO125=$AO124,$AO125=$AO127),TRUE,FALSE)</formula>
    </cfRule>
  </conditionalFormatting>
  <conditionalFormatting sqref="AP8:AP9">
    <cfRule type="expression" dxfId="81" priority="30" stopIfTrue="1">
      <formula>IF(OR($AO8=$AO7,$AO8=$AO9),TRUE,FALSE)</formula>
    </cfRule>
  </conditionalFormatting>
  <conditionalFormatting sqref="AP7">
    <cfRule type="expression" dxfId="80" priority="29" stopIfTrue="1">
      <formula>IF(OR($AO7=$AO6,$AO7=$AO8),TRUE,FALSE)</formula>
    </cfRule>
  </conditionalFormatting>
  <conditionalFormatting sqref="AP7:AP9 AP25:AP27 AP52:AP55 AP80:AP84 AP121:AP126">
    <cfRule type="expression" dxfId="79" priority="20">
      <formula>AND(LEFT($AP7,1) = "(", RIGHT($AP7,1) =")")</formula>
    </cfRule>
  </conditionalFormatting>
  <conditionalFormatting sqref="G7:G9 G25:G27 G52:G55 G80:G84 G121:G126">
    <cfRule type="expression" dxfId="78" priority="15" stopIfTrue="1">
      <formula>IF(COUNTIF(G:G,G7)&gt;1,TRUE,FALSE)</formula>
    </cfRule>
  </conditionalFormatting>
  <dataValidations count="82">
    <dataValidation type="list" allowBlank="1" showInputMessage="1" showErrorMessage="1" sqref="AC12:AD12 Y93 AC15:AD15 AC93:AD93 Y18 AC18:AD18 AC30:AD30 Y87 AC90:AD90 AC87:AD87 Y36 AC36:AD36 Y39 AC39:AD39 Y42 AC42:AD42 Y45 AC45:AD45 Y90 AD64 AC162:AD162 AD67 Y159 AD70 AD61 AC159:AD159 Y73 AC73:AD73 Y58 AC58:AD58 Y114 AC114:AD114 Y111 AC111:AD111 Y108 AC108:AD108 Y105 AC105:AD105 Y102 AC102:AD102 Y99 AC99:AD99 Y96 AC96:AD96 Y12 Y15 Y135 AC135:AD135 Y129 AC132:AD132 AC129:AD129 Y132 Y156 AC156:AD156 Y153 AC153:AD153 Y150 AC150:AD150 Y147 AC147:AD147 Y144 AC144:AD144 Y141 AC141:AD141 Y138 AC138:AD138 Y171 AC171:AD171 Y168 AC168:AD168 Y165 AC165:AD165 Y162 AC33:AD33 Y30 Y33" xr:uid="{00000000-0002-0000-1300-000000000000}">
      <formula1>OFFSET(Liste_Doubles,MATCH(Y11,Liste_Doubles,0)-1,1,1,OFFSET(Liste_Nb_Equipiers_Doubles,MATCH(Y11,Liste_Doubles,0)-1,0,1,1))</formula1>
    </dataValidation>
    <dataValidation type="list" allowBlank="1" showInputMessage="1" showErrorMessage="1" sqref="AC13:AD13 Y94 AC16:AD16 AC94:AD94 Y19:Y20 AC19:AD20 AC31:AD31 Y88 AC91:AD91 AC88:AD88 Y37 AC37:AD37 Y40 AC40:AD40 Y43 AC43:AD43 AC46:AD47 Y16 Y91 AD65 AC160:AD160 AD68 AC172:AD172 AD71 AD62 Y172 AC74:AD75 Y46:Y47 Y59 AC59:AD59 AC115:AD116 Y74:Y75 Y112 AC112:AD112 Y109 AC109:AD109 Y106 AC106:AD106 Y103 AC103:AD103 Y100 AC100:AD100 Y97 AC97:AD97 Y13 Y115:Y116 Y136 AC136:AD136 Y130 AC133:AD133 AC130:AD130 Y133 Y154 AC154:AD154 Y151 AC151:AD151 Y148 AC148:AD148 Y145 AC145:AD145 Y142 AC142:AD142 Y139 AC139:AD139 AC157:AD157 Y157 Y169 AC169:AD169 Y166 AC166:AD166 Y163 AC163:AD163 Y160 AC34:AD34 Y34 Y31" xr:uid="{00000000-0002-0000-1300-000001000000}">
      <formula1>OFFSET(Liste_Doubles,MATCH(Y11,Liste_Doubles,0)-1,1,1,OFFSET(Liste_Nb_Equipiers_Doubles,MATCH(Y11,Liste_Doubles,0)-1,0,1,1))</formula1>
    </dataValidation>
    <dataValidation type="list" allowBlank="1" showInputMessage="1" showErrorMessage="1" sqref="Y170" xr:uid="{00000000-0002-0000-1300-000002000000}">
      <formula1>G121:G126</formula1>
    </dataValidation>
    <dataValidation type="list" allowBlank="1" showInputMessage="1" showErrorMessage="1" sqref="AC170" xr:uid="{00000000-0002-0000-1300-000003000000}">
      <formula1>G121:G126</formula1>
    </dataValidation>
    <dataValidation type="list" allowBlank="1" showInputMessage="1" showErrorMessage="1" sqref="AC61:AC62 AC64:AC65 AC67:AC68 AC70:AC71" xr:uid="{00000000-0002-0000-1300-000004000000}">
      <formula1>OFFSET(AC61,-5-(U61-1)*3,-22,MAX(OFFSET(AC61,-5-(U61-1)*3,-27,8,1),1))</formula1>
    </dataValidation>
    <dataValidation type="list" allowBlank="1" showInputMessage="1" showErrorMessage="1" sqref="Y61:Y62 Y64:Y65 Y67:Y68 Y70:Y71" xr:uid="{00000000-0002-0000-1300-000005000000}">
      <formula1>OFFSET(Y61,-5-(U61-1)*3,-18,MAX(OFFSET(Y61,-5-(U61-1)*3,-23,8,1),1))</formula1>
    </dataValidation>
    <dataValidation type="list" allowBlank="1" showInputMessage="1" showErrorMessage="1" sqref="Y44" xr:uid="{00000000-0002-0000-1300-000006000000}">
      <formula1>G25:G27</formula1>
    </dataValidation>
    <dataValidation type="list" allowBlank="1" showInputMessage="1" showErrorMessage="1" sqref="AC44" xr:uid="{00000000-0002-0000-1300-000007000000}">
      <formula1>G25:G27</formula1>
    </dataValidation>
    <dataValidation type="list" allowBlank="1" showInputMessage="1" showErrorMessage="1" sqref="AC173:AD173 Y173" xr:uid="{00000000-0002-0000-1300-000008000000}">
      <formula1>OFFSET(Liste_Doubles,MATCH(Y156,Liste_Doubles,0)-1,1,1,OFFSET(Liste_Nb_Equipiers_Doubles,MATCH(Y156,Liste_Doubles,0)-1,0,1,1))</formula1>
    </dataValidation>
    <dataValidation type="list" allowBlank="1" showInputMessage="1" showErrorMessage="1" sqref="Y11 Y29" xr:uid="{00000000-0002-0000-1300-000009000000}">
      <formula1>G7:G9</formula1>
    </dataValidation>
    <dataValidation type="list" allowBlank="1" showInputMessage="1" showErrorMessage="1" sqref="Y14 Y32" xr:uid="{00000000-0002-0000-1300-00000A000000}">
      <formula1>G7:G9</formula1>
    </dataValidation>
    <dataValidation type="list" allowBlank="1" showInputMessage="1" showErrorMessage="1" sqref="Y17 Y35" xr:uid="{00000000-0002-0000-1300-00000B000000}">
      <formula1>G7:G9</formula1>
    </dataValidation>
    <dataValidation type="list" allowBlank="1" showInputMessage="1" showErrorMessage="1" sqref="AC11 AC29" xr:uid="{00000000-0002-0000-1300-00000C000000}">
      <formula1>G7:G9</formula1>
    </dataValidation>
    <dataValidation type="list" allowBlank="1" showInputMessage="1" showErrorMessage="1" sqref="AC14 AC32" xr:uid="{00000000-0002-0000-1300-00000D000000}">
      <formula1>G7:G9</formula1>
    </dataValidation>
    <dataValidation type="list" allowBlank="1" showInputMessage="1" showErrorMessage="1" sqref="AC17 AC35" xr:uid="{00000000-0002-0000-1300-00000E000000}">
      <formula1>G7:G9</formula1>
    </dataValidation>
    <dataValidation type="list" allowBlank="1" showInputMessage="1" showErrorMessage="1" sqref="AC38" xr:uid="{00000000-0002-0000-1300-00000F000000}">
      <formula1>G25:G27</formula1>
    </dataValidation>
    <dataValidation type="list" allowBlank="1" showInputMessage="1" showErrorMessage="1" sqref="AC41" xr:uid="{00000000-0002-0000-1300-000010000000}">
      <formula1>G25:G27</formula1>
    </dataValidation>
    <dataValidation type="list" allowBlank="1" showInputMessage="1" showErrorMessage="1" sqref="Y38" xr:uid="{00000000-0002-0000-1300-000011000000}">
      <formula1>G25:G27</formula1>
    </dataValidation>
    <dataValidation type="list" allowBlank="1" showInputMessage="1" showErrorMessage="1" sqref="Y41" xr:uid="{00000000-0002-0000-1300-000012000000}">
      <formula1>G25:G27</formula1>
    </dataValidation>
    <dataValidation type="list" allowBlank="1" showInputMessage="1" showErrorMessage="1" sqref="Y60" xr:uid="{00000000-0002-0000-1300-000013000000}">
      <formula1>G52:G55</formula1>
    </dataValidation>
    <dataValidation type="list" allowBlank="1" showInputMessage="1" showErrorMessage="1" sqref="Y63" xr:uid="{00000000-0002-0000-1300-000014000000}">
      <formula1>G52:G55</formula1>
    </dataValidation>
    <dataValidation type="list" allowBlank="1" showInputMessage="1" showErrorMessage="1" sqref="Y66" xr:uid="{00000000-0002-0000-1300-000015000000}">
      <formula1>G52:G55</formula1>
    </dataValidation>
    <dataValidation type="list" allowBlank="1" showInputMessage="1" showErrorMessage="1" sqref="Y69" xr:uid="{00000000-0002-0000-1300-000016000000}">
      <formula1>G52:G55</formula1>
    </dataValidation>
    <dataValidation type="list" allowBlank="1" showInputMessage="1" showErrorMessage="1" sqref="Y72" xr:uid="{00000000-0002-0000-1300-000017000000}">
      <formula1>G52:G55</formula1>
    </dataValidation>
    <dataValidation type="list" allowBlank="1" showInputMessage="1" showErrorMessage="1" sqref="AC57" xr:uid="{00000000-0002-0000-1300-000018000000}">
      <formula1>G52:G55</formula1>
    </dataValidation>
    <dataValidation type="list" allowBlank="1" showInputMessage="1" showErrorMessage="1" sqref="AC60" xr:uid="{00000000-0002-0000-1300-000019000000}">
      <formula1>G52:G55</formula1>
    </dataValidation>
    <dataValidation type="list" allowBlank="1" showInputMessage="1" showErrorMessage="1" sqref="AC63" xr:uid="{00000000-0002-0000-1300-00001A000000}">
      <formula1>G52:G55</formula1>
    </dataValidation>
    <dataValidation type="list" allowBlank="1" showInputMessage="1" showErrorMessage="1" sqref="AC66" xr:uid="{00000000-0002-0000-1300-00001B000000}">
      <formula1>G52:G55</formula1>
    </dataValidation>
    <dataValidation type="list" allowBlank="1" showInputMessage="1" showErrorMessage="1" sqref="AC69" xr:uid="{00000000-0002-0000-1300-00001C000000}">
      <formula1>G52:G55</formula1>
    </dataValidation>
    <dataValidation type="list" allowBlank="1" showInputMessage="1" showErrorMessage="1" sqref="AC72" xr:uid="{00000000-0002-0000-1300-00001D000000}">
      <formula1>G52:G55</formula1>
    </dataValidation>
    <dataValidation type="list" allowBlank="1" showInputMessage="1" showErrorMessage="1" sqref="Y86" xr:uid="{00000000-0002-0000-1300-00001E000000}">
      <formula1>G80:G84</formula1>
    </dataValidation>
    <dataValidation type="list" allowBlank="1" showInputMessage="1" showErrorMessage="1" sqref="Y89" xr:uid="{00000000-0002-0000-1300-00001F000000}">
      <formula1>G80:G84</formula1>
    </dataValidation>
    <dataValidation type="list" allowBlank="1" showInputMessage="1" showErrorMessage="1" sqref="Y92" xr:uid="{00000000-0002-0000-1300-000020000000}">
      <formula1>G80:G84</formula1>
    </dataValidation>
    <dataValidation type="list" allowBlank="1" showInputMessage="1" showErrorMessage="1" sqref="Y95" xr:uid="{00000000-0002-0000-1300-000021000000}">
      <formula1>G80:G84</formula1>
    </dataValidation>
    <dataValidation type="list" allowBlank="1" showInputMessage="1" showErrorMessage="1" sqref="Y98" xr:uid="{00000000-0002-0000-1300-000022000000}">
      <formula1>G80:G84</formula1>
    </dataValidation>
    <dataValidation type="list" allowBlank="1" showInputMessage="1" showErrorMessage="1" sqref="Y101" xr:uid="{00000000-0002-0000-1300-000023000000}">
      <formula1>G80:G84</formula1>
    </dataValidation>
    <dataValidation type="list" allowBlank="1" showInputMessage="1" showErrorMessage="1" sqref="Y104" xr:uid="{00000000-0002-0000-1300-000024000000}">
      <formula1>G80:G84</formula1>
    </dataValidation>
    <dataValidation type="list" allowBlank="1" showInputMessage="1" showErrorMessage="1" sqref="Y107" xr:uid="{00000000-0002-0000-1300-000025000000}">
      <formula1>G80:G84</formula1>
    </dataValidation>
    <dataValidation type="list" allowBlank="1" showInputMessage="1" showErrorMessage="1" sqref="Y110" xr:uid="{00000000-0002-0000-1300-000026000000}">
      <formula1>G80:G84</formula1>
    </dataValidation>
    <dataValidation type="list" allowBlank="1" showInputMessage="1" showErrorMessage="1" sqref="Y113" xr:uid="{00000000-0002-0000-1300-000027000000}">
      <formula1>G80:G84</formula1>
    </dataValidation>
    <dataValidation type="list" allowBlank="1" showInputMessage="1" showErrorMessage="1" sqref="AC86" xr:uid="{00000000-0002-0000-1300-000028000000}">
      <formula1>G80:G84</formula1>
    </dataValidation>
    <dataValidation type="list" allowBlank="1" showInputMessage="1" showErrorMessage="1" sqref="AC89" xr:uid="{00000000-0002-0000-1300-000029000000}">
      <formula1>G80:G84</formula1>
    </dataValidation>
    <dataValidation type="list" allowBlank="1" showInputMessage="1" showErrorMessage="1" sqref="AC92" xr:uid="{00000000-0002-0000-1300-00002A000000}">
      <formula1>G80:G84</formula1>
    </dataValidation>
    <dataValidation type="list" allowBlank="1" showInputMessage="1" showErrorMessage="1" sqref="AC95" xr:uid="{00000000-0002-0000-1300-00002B000000}">
      <formula1>G80:G84</formula1>
    </dataValidation>
    <dataValidation type="list" allowBlank="1" showInputMessage="1" showErrorMessage="1" sqref="AC98" xr:uid="{00000000-0002-0000-1300-00002C000000}">
      <formula1>G80:G84</formula1>
    </dataValidation>
    <dataValidation type="list" allowBlank="1" showInputMessage="1" showErrorMessage="1" sqref="AC101" xr:uid="{00000000-0002-0000-1300-00002D000000}">
      <formula1>G80:G84</formula1>
    </dataValidation>
    <dataValidation type="list" allowBlank="1" showInputMessage="1" showErrorMessage="1" sqref="AC104" xr:uid="{00000000-0002-0000-1300-00002E000000}">
      <formula1>G80:G84</formula1>
    </dataValidation>
    <dataValidation type="list" allowBlank="1" showInputMessage="1" showErrorMessage="1" sqref="AC107" xr:uid="{00000000-0002-0000-1300-00002F000000}">
      <formula1>G80:G84</formula1>
    </dataValidation>
    <dataValidation type="list" allowBlank="1" showInputMessage="1" showErrorMessage="1" sqref="AC110" xr:uid="{00000000-0002-0000-1300-000030000000}">
      <formula1>G80:G84</formula1>
    </dataValidation>
    <dataValidation type="list" allowBlank="1" showInputMessage="1" showErrorMessage="1" sqref="AC113" xr:uid="{00000000-0002-0000-1300-000031000000}">
      <formula1>G80:G84</formula1>
    </dataValidation>
    <dataValidation type="list" allowBlank="1" showInputMessage="1" showErrorMessage="1" sqref="Y128" xr:uid="{00000000-0002-0000-1300-000032000000}">
      <formula1>G121:G126</formula1>
    </dataValidation>
    <dataValidation type="list" allowBlank="1" showInputMessage="1" showErrorMessage="1" sqref="Y131" xr:uid="{00000000-0002-0000-1300-000033000000}">
      <formula1>G121:G126</formula1>
    </dataValidation>
    <dataValidation type="list" allowBlank="1" showInputMessage="1" showErrorMessage="1" sqref="Y134" xr:uid="{00000000-0002-0000-1300-000034000000}">
      <formula1>G121:G126</formula1>
    </dataValidation>
    <dataValidation type="list" allowBlank="1" showInputMessage="1" showErrorMessage="1" sqref="Y137" xr:uid="{00000000-0002-0000-1300-000035000000}">
      <formula1>G121:G126</formula1>
    </dataValidation>
    <dataValidation type="list" allowBlank="1" showInputMessage="1" showErrorMessage="1" sqref="Y140" xr:uid="{00000000-0002-0000-1300-000036000000}">
      <formula1>G121:G126</formula1>
    </dataValidation>
    <dataValidation type="list" allowBlank="1" showInputMessage="1" showErrorMessage="1" sqref="Y143" xr:uid="{00000000-0002-0000-1300-000037000000}">
      <formula1>G121:G126</formula1>
    </dataValidation>
    <dataValidation type="list" allowBlank="1" showInputMessage="1" showErrorMessage="1" sqref="Y146" xr:uid="{00000000-0002-0000-1300-000038000000}">
      <formula1>G121:G126</formula1>
    </dataValidation>
    <dataValidation type="list" allowBlank="1" showInputMessage="1" showErrorMessage="1" sqref="Y149" xr:uid="{00000000-0002-0000-1300-000039000000}">
      <formula1>G121:G126</formula1>
    </dataValidation>
    <dataValidation type="list" allowBlank="1" showInputMessage="1" showErrorMessage="1" sqref="Y152" xr:uid="{00000000-0002-0000-1300-00003A000000}">
      <formula1>G121:G126</formula1>
    </dataValidation>
    <dataValidation type="list" allowBlank="1" showInputMessage="1" showErrorMessage="1" sqref="Y155" xr:uid="{00000000-0002-0000-1300-00003B000000}">
      <formula1>G121:G126</formula1>
    </dataValidation>
    <dataValidation type="list" allowBlank="1" showInputMessage="1" showErrorMessage="1" sqref="Y158" xr:uid="{00000000-0002-0000-1300-00003C000000}">
      <formula1>G121:G126</formula1>
    </dataValidation>
    <dataValidation type="list" allowBlank="1" showInputMessage="1" showErrorMessage="1" sqref="Y161" xr:uid="{00000000-0002-0000-1300-00003D000000}">
      <formula1>G121:G126</formula1>
    </dataValidation>
    <dataValidation type="list" allowBlank="1" showInputMessage="1" showErrorMessage="1" sqref="Y164" xr:uid="{00000000-0002-0000-1300-00003E000000}">
      <formula1>G121:G126</formula1>
    </dataValidation>
    <dataValidation type="list" allowBlank="1" showInputMessage="1" showErrorMessage="1" sqref="Y167" xr:uid="{00000000-0002-0000-1300-00003F000000}">
      <formula1>G121:G126</formula1>
    </dataValidation>
    <dataValidation type="list" allowBlank="1" showInputMessage="1" showErrorMessage="1" sqref="AC128" xr:uid="{00000000-0002-0000-1300-000040000000}">
      <formula1>G121:G126</formula1>
    </dataValidation>
    <dataValidation type="list" allowBlank="1" showInputMessage="1" showErrorMessage="1" sqref="AC131" xr:uid="{00000000-0002-0000-1300-000041000000}">
      <formula1>G121:G126</formula1>
    </dataValidation>
    <dataValidation type="list" allowBlank="1" showInputMessage="1" showErrorMessage="1" sqref="AC134" xr:uid="{00000000-0002-0000-1300-000042000000}">
      <formula1>G121:G126</formula1>
    </dataValidation>
    <dataValidation type="list" allowBlank="1" showInputMessage="1" showErrorMessage="1" sqref="AC137" xr:uid="{00000000-0002-0000-1300-000043000000}">
      <formula1>G121:G126</formula1>
    </dataValidation>
    <dataValidation type="list" allowBlank="1" showInputMessage="1" showErrorMessage="1" sqref="AC140" xr:uid="{00000000-0002-0000-1300-000044000000}">
      <formula1>G121:G126</formula1>
    </dataValidation>
    <dataValidation type="list" allowBlank="1" showInputMessage="1" showErrorMessage="1" sqref="AC143" xr:uid="{00000000-0002-0000-1300-000045000000}">
      <formula1>G121:G126</formula1>
    </dataValidation>
    <dataValidation type="list" allowBlank="1" showInputMessage="1" showErrorMessage="1" sqref="AC146" xr:uid="{00000000-0002-0000-1300-000046000000}">
      <formula1>G121:G126</formula1>
    </dataValidation>
    <dataValidation type="list" allowBlank="1" showInputMessage="1" showErrorMessage="1" sqref="AC149" xr:uid="{00000000-0002-0000-1300-000047000000}">
      <formula1>G121:G126</formula1>
    </dataValidation>
    <dataValidation type="list" allowBlank="1" showInputMessage="1" showErrorMessage="1" sqref="AC152" xr:uid="{00000000-0002-0000-1300-000048000000}">
      <formula1>G121:G126</formula1>
    </dataValidation>
    <dataValidation type="list" allowBlank="1" showInputMessage="1" showErrorMessage="1" sqref="AC155" xr:uid="{00000000-0002-0000-1300-000049000000}">
      <formula1>G121:G126</formula1>
    </dataValidation>
    <dataValidation type="list" allowBlank="1" showInputMessage="1" showErrorMessage="1" sqref="AC158" xr:uid="{00000000-0002-0000-1300-00004A000000}">
      <formula1>G121:G126</formula1>
    </dataValidation>
    <dataValidation type="list" allowBlank="1" showInputMessage="1" showErrorMessage="1" sqref="AC161" xr:uid="{00000000-0002-0000-1300-00004B000000}">
      <formula1>G121:G126</formula1>
    </dataValidation>
    <dataValidation type="list" allowBlank="1" showInputMessage="1" showErrorMessage="1" sqref="AC164" xr:uid="{00000000-0002-0000-1300-00004C000000}">
      <formula1>G121:G126</formula1>
    </dataValidation>
    <dataValidation type="list" allowBlank="1" showInputMessage="1" showErrorMessage="1" sqref="AC167" xr:uid="{00000000-0002-0000-1300-00004D000000}">
      <formula1>G121:G126</formula1>
    </dataValidation>
    <dataValidation type="list" allowBlank="1" showInputMessage="1" sqref="Y57" xr:uid="{00000000-0002-0000-1300-00004E000000}">
      <formula1>G52:G55</formula1>
    </dataValidation>
    <dataValidation type="whole" allowBlank="1" showInputMessage="1" showErrorMessage="1" errorTitle="Erreur de saisie" error="Vous devez tapez un nombre entier entre 0 et 100" sqref="AB86:AB116 AB128:AB173 Z128:Z173 Z86:Z116 AB11:AB20 Z29:Z47 Z57:Z75 AB57:AB75 Z11:Z20 AB29:AB47" xr:uid="{00000000-0002-0000-1300-00004F000000}">
      <formula1>0</formula1>
      <formula2>100</formula2>
    </dataValidation>
    <dataValidation type="list" allowBlank="1" showInputMessage="1" showErrorMessage="1" sqref="G121:G126 G25:G27 G52:G55 G80:G84" xr:uid="{00000000-0002-0000-1300-000050000000}">
      <formula1>OFFSET(ListOfTeams,0,0,NbOfTeams)</formula1>
    </dataValidation>
    <dataValidation type="list" allowBlank="1" showInputMessage="1" sqref="G7:G9" xr:uid="{00000000-0002-0000-1300-000051000000}">
      <formula1>OFFSET(ListOfTeams,0,0,NbOfTeams)</formula1>
    </dataValidation>
  </dataValidations>
  <pageMargins left="0.78740157499999996" right="0.78740157499999996" top="0.984251969" bottom="0.984251969" header="0.4921259845" footer="0.4921259845"/>
  <pageSetup paperSize="9" scale="53" orientation="portrait" r:id="rId2"/>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t_GroupsTeams">
    <tabColor theme="0" tint="-0.249977111117893"/>
    <outlinePr summaryBelow="0" summaryRight="0"/>
    <pageSetUpPr fitToPage="1"/>
  </sheetPr>
  <dimension ref="A1:CM704"/>
  <sheetViews>
    <sheetView showGridLines="0" defaultGridColor="0" topLeftCell="A88" colorId="18" workbookViewId="0">
      <selection activeCell="BF222" sqref="BF222"/>
    </sheetView>
  </sheetViews>
  <sheetFormatPr baseColWidth="10" defaultColWidth="11.42578125" defaultRowHeight="12.75" outlineLevelRow="3" outlineLevelCol="1" x14ac:dyDescent="0.2"/>
  <cols>
    <col min="1" max="1" width="3.7109375" style="7" customWidth="1"/>
    <col min="2" max="2" width="6.85546875" style="7" bestFit="1" customWidth="1"/>
    <col min="3" max="3" width="9.85546875" style="7" hidden="1" customWidth="1"/>
    <col min="4" max="4" width="11.85546875" style="7" hidden="1" customWidth="1"/>
    <col min="5" max="5" width="11.140625" style="7" hidden="1" customWidth="1"/>
    <col min="6" max="6" width="12.28515625" style="7" hidden="1" customWidth="1"/>
    <col min="7" max="7" width="15.5703125" style="7" customWidth="1" collapsed="1"/>
    <col min="8" max="12" width="3.7109375" style="7" hidden="1" customWidth="1" outlineLevel="1"/>
    <col min="13" max="13" width="5.85546875" style="7" hidden="1" customWidth="1" outlineLevel="1"/>
    <col min="14" max="15" width="3.85546875" style="7" hidden="1" customWidth="1" outlineLevel="1"/>
    <col min="16" max="16" width="6.140625" style="7" hidden="1" customWidth="1" outlineLevel="1"/>
    <col min="17" max="18" width="3.5703125" style="7" hidden="1" customWidth="1" outlineLevel="1"/>
    <col min="19" max="19" width="7.42578125" style="7" hidden="1" customWidth="1" outlineLevel="1"/>
    <col min="20" max="20" width="3.28515625" style="7" customWidth="1"/>
    <col min="21" max="21" width="5.7109375" style="7" customWidth="1" collapsed="1"/>
    <col min="22" max="22" width="6.42578125" style="7" hidden="1" customWidth="1" outlineLevel="1"/>
    <col min="23" max="23" width="10.5703125" style="7" hidden="1" customWidth="1" outlineLevel="1"/>
    <col min="24" max="24" width="12.140625" style="7" hidden="1" customWidth="1" outlineLevel="1"/>
    <col min="25" max="25" width="17.140625" style="7" customWidth="1"/>
    <col min="26" max="26" width="3.7109375" style="7" customWidth="1"/>
    <col min="27" max="27" width="1.5703125" style="7" bestFit="1" customWidth="1"/>
    <col min="28" max="28" width="3.7109375" style="7" customWidth="1"/>
    <col min="29" max="29" width="17.28515625" style="7" customWidth="1"/>
    <col min="30" max="30" width="4" style="7" customWidth="1"/>
    <col min="31" max="31" width="4.28515625" style="7" hidden="1" customWidth="1"/>
    <col min="32" max="32" width="4.7109375" style="7" hidden="1" customWidth="1"/>
    <col min="33" max="33" width="4.42578125" style="7" hidden="1" customWidth="1"/>
    <col min="34" max="34" width="4.28515625" style="7" hidden="1" customWidth="1"/>
    <col min="35" max="35" width="6.140625" style="7" hidden="1" customWidth="1"/>
    <col min="36" max="36" width="3.42578125" style="7" hidden="1" customWidth="1"/>
    <col min="37" max="37" width="7.5703125" style="7" hidden="1" customWidth="1"/>
    <col min="38" max="38" width="9.85546875" style="7" hidden="1" customWidth="1"/>
    <col min="39" max="40" width="3" style="7" customWidth="1"/>
    <col min="41" max="41" width="5.42578125" style="7" customWidth="1"/>
    <col min="42" max="42" width="16.7109375" style="7" customWidth="1"/>
    <col min="43" max="53" width="5.7109375" style="7" customWidth="1"/>
    <col min="54" max="54" width="5.7109375" style="7" customWidth="1" collapsed="1"/>
    <col min="55" max="63" width="5.5703125" style="7" hidden="1" customWidth="1" outlineLevel="1"/>
    <col min="64" max="64" width="6.5703125" style="7" hidden="1" customWidth="1" outlineLevel="1"/>
    <col min="65" max="82" width="5.5703125" style="7" hidden="1" customWidth="1" outlineLevel="1"/>
    <col min="83" max="83" width="11.5703125" style="7" hidden="1" customWidth="1"/>
    <col min="84" max="85" width="11.5703125" style="1397" hidden="1" customWidth="1"/>
    <col min="86" max="86" width="3" style="7" customWidth="1"/>
    <col min="87" max="87" width="3.5703125" style="7" customWidth="1"/>
    <col min="88" max="88" width="23.28515625" style="7" hidden="1" customWidth="1"/>
    <col min="89" max="16383" width="11.42578125" style="7"/>
    <col min="16384" max="16384" width="2.5703125" style="7" customWidth="1"/>
  </cols>
  <sheetData>
    <row r="1" spans="1:91" x14ac:dyDescent="0.2">
      <c r="A1" s="270"/>
      <c r="B1" s="271"/>
      <c r="D1" s="1268" t="str">
        <f>Event6</f>
        <v>U12</v>
      </c>
      <c r="E1" s="270"/>
      <c r="F1" s="270"/>
      <c r="G1" s="270"/>
      <c r="H1" s="270"/>
      <c r="I1" s="270"/>
      <c r="J1" s="270"/>
      <c r="K1" s="270"/>
      <c r="L1" s="270"/>
      <c r="M1" s="270"/>
      <c r="N1" s="270"/>
      <c r="O1" s="270"/>
      <c r="P1" s="270"/>
      <c r="Q1" s="270"/>
      <c r="R1" s="270"/>
      <c r="S1" s="270"/>
      <c r="T1" s="270"/>
      <c r="U1" s="271"/>
      <c r="V1" s="271"/>
      <c r="W1" s="270"/>
      <c r="X1" s="646"/>
      <c r="Y1" s="270"/>
      <c r="Z1" s="271"/>
      <c r="AA1" s="270"/>
      <c r="AB1" s="290"/>
      <c r="AC1" s="839"/>
      <c r="AD1" s="270"/>
      <c r="AE1" s="270"/>
      <c r="AF1" s="270"/>
      <c r="AG1" s="270"/>
      <c r="AH1" s="270"/>
      <c r="AI1" s="270"/>
      <c r="AJ1" s="270"/>
      <c r="AK1" s="270"/>
      <c r="AL1" s="270"/>
      <c r="AM1" s="270"/>
      <c r="AN1" s="575"/>
      <c r="AO1" s="270"/>
      <c r="AP1" s="270"/>
      <c r="AQ1" s="270"/>
      <c r="AR1" s="270"/>
      <c r="AS1" s="270"/>
      <c r="AT1" s="270"/>
      <c r="AU1" s="270"/>
      <c r="AV1" s="270"/>
      <c r="AW1" s="270"/>
      <c r="AX1" s="270"/>
      <c r="AY1" s="270"/>
      <c r="AZ1" s="270"/>
      <c r="BA1" s="270"/>
      <c r="BB1" s="270"/>
      <c r="BC1" s="270"/>
      <c r="BD1" s="270"/>
      <c r="BE1" s="270"/>
      <c r="BF1" s="270"/>
      <c r="BG1" s="270"/>
      <c r="BH1" s="270"/>
      <c r="BI1" s="270"/>
      <c r="BJ1" s="270"/>
      <c r="BK1" s="270"/>
      <c r="BL1" s="270"/>
      <c r="BM1" s="270"/>
      <c r="BN1" s="270"/>
      <c r="BO1" s="270"/>
      <c r="BP1" s="270"/>
      <c r="BQ1" s="270"/>
      <c r="BR1" s="270"/>
      <c r="BS1" s="270"/>
      <c r="BT1" s="270"/>
      <c r="BU1" s="270"/>
      <c r="BV1" s="270"/>
      <c r="BW1" s="270"/>
      <c r="BX1" s="270"/>
      <c r="BY1" s="270"/>
      <c r="BZ1" s="270"/>
      <c r="CA1" s="270"/>
      <c r="CB1" s="270"/>
      <c r="CC1" s="270"/>
      <c r="CD1"/>
      <c r="CE1" s="1396"/>
      <c r="CF1" s="1396"/>
      <c r="CG1" s="270"/>
      <c r="CH1" s="270"/>
      <c r="CI1" s="270"/>
      <c r="CJ1" s="270"/>
      <c r="CK1" s="270"/>
      <c r="CL1" s="270"/>
      <c r="CM1" s="270"/>
    </row>
    <row r="2" spans="1:91" ht="20.25" x14ac:dyDescent="0.3">
      <c r="A2" s="270"/>
      <c r="B2" s="271"/>
      <c r="C2" s="1019"/>
      <c r="D2" s="1334" t="s">
        <v>1569</v>
      </c>
      <c r="E2" s="270"/>
      <c r="F2" s="270"/>
      <c r="G2" s="271"/>
      <c r="H2" s="270"/>
      <c r="I2" s="270"/>
      <c r="J2" s="270"/>
      <c r="K2" s="270"/>
      <c r="L2" s="270"/>
      <c r="M2" s="270"/>
      <c r="N2" s="270"/>
      <c r="O2" s="270"/>
      <c r="P2" s="270"/>
      <c r="Q2" s="270"/>
      <c r="R2" s="270"/>
      <c r="S2" s="270"/>
      <c r="T2" s="270"/>
      <c r="U2" s="270"/>
      <c r="V2" s="271"/>
      <c r="W2" s="271"/>
      <c r="X2" s="270"/>
      <c r="Y2" s="2086" t="str">
        <f>SHEETNAME(A1)</f>
        <v>Team Groups</v>
      </c>
      <c r="Z2" s="2086"/>
      <c r="AA2" s="2086"/>
      <c r="AB2" s="2086"/>
      <c r="AC2" s="2086"/>
      <c r="AD2" s="839"/>
      <c r="AE2" s="270"/>
      <c r="AF2" s="270"/>
      <c r="AG2" s="270"/>
      <c r="AH2" s="270"/>
      <c r="AI2" s="270"/>
      <c r="AJ2" s="270"/>
      <c r="AK2" s="270"/>
      <c r="AL2" s="270"/>
      <c r="AM2" s="270"/>
      <c r="AN2" s="270"/>
      <c r="AO2" s="575"/>
      <c r="AP2" s="270"/>
      <c r="AQ2" s="270"/>
      <c r="AR2" s="270"/>
      <c r="AS2" s="270"/>
      <c r="AT2" s="270"/>
      <c r="AU2" s="270"/>
      <c r="AV2" s="270"/>
      <c r="AW2" s="270"/>
      <c r="AX2" s="270"/>
      <c r="AY2" s="270"/>
      <c r="AZ2" s="270"/>
      <c r="BA2" s="270"/>
      <c r="BB2" s="270"/>
      <c r="BC2" s="270"/>
      <c r="BD2" s="270"/>
      <c r="BE2" s="270"/>
      <c r="BF2" s="270"/>
      <c r="BG2" s="270"/>
      <c r="BH2" s="270"/>
      <c r="BI2" s="270"/>
      <c r="BJ2" s="270"/>
      <c r="BK2" s="270"/>
      <c r="BL2" s="270"/>
      <c r="BM2" s="270"/>
      <c r="BN2" s="270"/>
      <c r="BO2" s="270"/>
      <c r="BP2" s="270"/>
      <c r="BQ2" s="270"/>
      <c r="BR2" s="270"/>
      <c r="BS2" s="270"/>
      <c r="BT2" s="270"/>
      <c r="BU2" s="270"/>
      <c r="BV2" s="270"/>
      <c r="BW2" s="270"/>
      <c r="BX2" s="270"/>
      <c r="BY2" s="270"/>
      <c r="BZ2" s="270"/>
      <c r="CA2" s="270"/>
      <c r="CB2" s="270"/>
      <c r="CC2" s="270"/>
      <c r="CD2" s="270"/>
      <c r="CE2"/>
      <c r="CF2" s="1396"/>
      <c r="CG2" s="1396"/>
      <c r="CH2" s="270"/>
      <c r="CI2" s="270"/>
      <c r="CJ2" s="575" t="s">
        <v>5471</v>
      </c>
      <c r="CK2" s="270"/>
      <c r="CL2" s="270"/>
      <c r="CM2" s="270"/>
    </row>
    <row r="3" spans="1:91" ht="13.5" thickBot="1" x14ac:dyDescent="0.25">
      <c r="A3" s="270"/>
      <c r="B3" s="271"/>
      <c r="C3" s="270"/>
      <c r="D3" s="270"/>
      <c r="E3" s="270"/>
      <c r="F3" s="270"/>
      <c r="G3" s="1020" t="s">
        <v>1569</v>
      </c>
      <c r="H3" s="270"/>
      <c r="I3" s="270"/>
      <c r="J3" s="270"/>
      <c r="K3" s="270"/>
      <c r="L3" s="270"/>
      <c r="M3" s="270"/>
      <c r="N3" s="270"/>
      <c r="O3" s="270"/>
      <c r="P3" s="270"/>
      <c r="Q3" s="270"/>
      <c r="R3" s="270"/>
      <c r="S3" s="270"/>
      <c r="T3" s="270"/>
      <c r="U3" s="270"/>
      <c r="V3" s="271"/>
      <c r="W3" s="271"/>
      <c r="X3" s="270"/>
      <c r="Y3" s="646"/>
      <c r="Z3" s="270"/>
      <c r="AA3" s="271"/>
      <c r="AB3" s="270"/>
      <c r="AC3" s="290"/>
      <c r="AD3" s="839"/>
      <c r="AE3" s="270"/>
      <c r="AF3" s="270"/>
      <c r="AG3" s="270"/>
      <c r="AH3" s="270"/>
      <c r="AI3" s="270"/>
      <c r="AJ3" s="270"/>
      <c r="AK3" s="270"/>
      <c r="AL3" s="270"/>
      <c r="AM3" s="270"/>
      <c r="AN3" s="270"/>
      <c r="AO3" s="575"/>
      <c r="AP3" s="270"/>
      <c r="AQ3" s="270"/>
      <c r="AR3" s="270"/>
      <c r="AS3" s="646"/>
      <c r="AT3" s="270"/>
      <c r="AU3" s="270"/>
      <c r="AV3" s="270"/>
      <c r="AW3" s="270"/>
      <c r="AX3" s="270"/>
      <c r="AY3" s="270"/>
      <c r="AZ3" s="270"/>
      <c r="BA3" s="270"/>
      <c r="BB3" s="270"/>
      <c r="BC3" s="270"/>
      <c r="BD3" s="270"/>
      <c r="BE3" s="270"/>
      <c r="BF3" s="270"/>
      <c r="BG3" s="270"/>
      <c r="BH3" s="270"/>
      <c r="BI3" s="270"/>
      <c r="BJ3" s="270"/>
      <c r="BK3" s="270"/>
      <c r="BL3" s="270"/>
      <c r="BM3" s="270"/>
      <c r="BN3" s="270"/>
      <c r="BO3" s="270"/>
      <c r="BP3" s="270"/>
      <c r="BQ3" s="270"/>
      <c r="BR3" s="270"/>
      <c r="BS3" s="270"/>
      <c r="BT3" s="270"/>
      <c r="BU3" s="270"/>
      <c r="BV3" s="270"/>
      <c r="BW3" s="270"/>
      <c r="BX3" s="270"/>
      <c r="BY3" s="270"/>
      <c r="BZ3" s="270"/>
      <c r="CA3" s="270"/>
      <c r="CB3" s="270"/>
      <c r="CC3" s="270"/>
      <c r="CD3" s="270"/>
      <c r="CE3"/>
      <c r="CF3" s="1396"/>
      <c r="CG3" s="1396"/>
      <c r="CH3" s="270"/>
      <c r="CI3" s="270"/>
      <c r="CJ3" s="270">
        <f>COUNTA(CJ4:CJ67)-COUNTIF(CJ4:CJ67,"")</f>
        <v>0</v>
      </c>
      <c r="CK3" s="270"/>
      <c r="CL3" s="270"/>
      <c r="CM3" s="270"/>
    </row>
    <row r="4" spans="1:91" ht="13.5" thickBot="1" x14ac:dyDescent="0.25">
      <c r="A4" s="270"/>
      <c r="B4" s="1021" t="str">
        <f>N_Group_3</f>
        <v>Group of 3</v>
      </c>
      <c r="C4" s="1022"/>
      <c r="D4" s="1022"/>
      <c r="E4" s="1022"/>
      <c r="F4" s="1022"/>
      <c r="G4" s="1022"/>
      <c r="H4" s="1022"/>
      <c r="I4" s="1022"/>
      <c r="J4" s="1022"/>
      <c r="K4" s="1022"/>
      <c r="L4" s="1022"/>
      <c r="M4" s="1022"/>
      <c r="N4" s="1022"/>
      <c r="O4" s="1022"/>
      <c r="P4" s="1022"/>
      <c r="Q4" s="1022"/>
      <c r="R4" s="1022"/>
      <c r="S4" s="1022"/>
      <c r="T4" s="1022"/>
      <c r="U4" s="1022"/>
      <c r="V4" s="1022"/>
      <c r="W4" s="1022"/>
      <c r="X4" s="1022"/>
      <c r="Y4" s="1022"/>
      <c r="Z4" s="1022"/>
      <c r="AA4" s="1022"/>
      <c r="AB4" s="1022"/>
      <c r="AC4" s="1022"/>
      <c r="AD4" s="1022"/>
      <c r="AE4" s="1022"/>
      <c r="AF4" s="1022"/>
      <c r="AG4" s="1022"/>
      <c r="AH4" s="1022"/>
      <c r="AI4" s="1022"/>
      <c r="AJ4" s="1022"/>
      <c r="AK4" s="1022"/>
      <c r="AL4" s="1022"/>
      <c r="AM4" s="1023"/>
      <c r="AN4" s="1022" t="str">
        <f>B4</f>
        <v>Group of 3</v>
      </c>
      <c r="AO4" s="1022"/>
      <c r="AP4" s="1022"/>
      <c r="AQ4" s="1022"/>
      <c r="AR4" s="1022"/>
      <c r="AS4" s="1022"/>
      <c r="AT4" s="1022"/>
      <c r="AU4" s="1022"/>
      <c r="AV4" s="1022"/>
      <c r="AW4" s="1022"/>
      <c r="AX4" s="1022"/>
      <c r="AY4" s="1022"/>
      <c r="AZ4" s="1022"/>
      <c r="BA4" s="1022"/>
      <c r="BB4" s="1022"/>
      <c r="BC4" s="1022"/>
      <c r="BD4" s="1022"/>
      <c r="BE4" s="1022"/>
      <c r="BF4" s="1022"/>
      <c r="BG4" s="1022"/>
      <c r="BH4" s="1022"/>
      <c r="BI4" s="1022"/>
      <c r="BJ4" s="1022"/>
      <c r="BK4" s="1022"/>
      <c r="BL4" s="1022"/>
      <c r="BM4" s="1022"/>
      <c r="BN4" s="1022"/>
      <c r="BO4" s="1022"/>
      <c r="BP4" s="1022"/>
      <c r="BQ4" s="1022"/>
      <c r="BR4" s="1022"/>
      <c r="BS4" s="1022"/>
      <c r="BT4" s="1022"/>
      <c r="BU4" s="1022"/>
      <c r="BV4" s="1022"/>
      <c r="BW4" s="1022"/>
      <c r="BX4" s="1022"/>
      <c r="BY4" s="1022"/>
      <c r="BZ4" s="1022"/>
      <c r="CA4" s="1022"/>
      <c r="CB4" s="1022"/>
      <c r="CC4" s="1022"/>
      <c r="CD4" s="1022"/>
      <c r="CE4" s="1395" t="s">
        <v>7639</v>
      </c>
      <c r="CF4" s="1450"/>
      <c r="CG4" s="1450"/>
      <c r="CH4" s="1023"/>
      <c r="CI4" s="270"/>
      <c r="CJ4" s="270" t="str">
        <f t="array" ref="CJ4:CJ67">TEAMLISTEVT(Particular_Category)</f>
        <v/>
      </c>
      <c r="CK4" s="270"/>
      <c r="CL4" s="270"/>
      <c r="CM4" s="270"/>
    </row>
    <row r="5" spans="1:91" ht="13.5" outlineLevel="1" thickBot="1" x14ac:dyDescent="0.25">
      <c r="A5" s="270"/>
      <c r="B5" s="271"/>
      <c r="C5" s="270"/>
      <c r="D5" s="270"/>
      <c r="E5" s="270"/>
      <c r="F5" s="270"/>
      <c r="G5" s="271"/>
      <c r="H5" s="270"/>
      <c r="I5" s="270"/>
      <c r="J5" s="270"/>
      <c r="K5" s="270"/>
      <c r="L5" s="270"/>
      <c r="M5" s="270"/>
      <c r="N5" s="270"/>
      <c r="O5" s="270"/>
      <c r="P5" s="270"/>
      <c r="Q5" s="270"/>
      <c r="R5" s="270"/>
      <c r="S5" s="270"/>
      <c r="T5" s="270"/>
      <c r="U5" s="270"/>
      <c r="V5" s="271"/>
      <c r="W5" s="271"/>
      <c r="X5" s="270"/>
      <c r="Y5" s="646"/>
      <c r="Z5" s="270"/>
      <c r="AA5" s="271"/>
      <c r="AB5" s="270"/>
      <c r="AC5" s="290"/>
      <c r="AD5" s="839"/>
      <c r="AE5" s="270"/>
      <c r="AF5" s="270"/>
      <c r="AG5" s="270"/>
      <c r="AH5" s="270"/>
      <c r="AI5" s="270"/>
      <c r="AJ5" s="270"/>
      <c r="AK5" s="270"/>
      <c r="AL5" s="270"/>
      <c r="AM5" s="270"/>
      <c r="AN5" s="270"/>
      <c r="AO5" s="575"/>
      <c r="AP5" s="270"/>
      <c r="AQ5" s="270"/>
      <c r="AR5" s="270"/>
      <c r="AS5" s="270"/>
      <c r="AT5" s="270"/>
      <c r="AU5" s="270"/>
      <c r="AV5" s="270"/>
      <c r="AW5" s="270"/>
      <c r="AX5" s="270"/>
      <c r="AY5" s="270"/>
      <c r="AZ5" s="270"/>
      <c r="BA5" s="270"/>
      <c r="BB5" s="270"/>
      <c r="BC5" s="270"/>
      <c r="BD5" s="270"/>
      <c r="BE5" s="270"/>
      <c r="BF5" s="270"/>
      <c r="BG5" s="270"/>
      <c r="BH5" s="270"/>
      <c r="BI5" s="270"/>
      <c r="BJ5" s="270"/>
      <c r="BK5" s="270"/>
      <c r="BL5" s="270"/>
      <c r="BM5" s="270"/>
      <c r="BN5" s="270"/>
      <c r="BO5" s="270"/>
      <c r="BP5" s="270"/>
      <c r="BQ5" s="270"/>
      <c r="BR5" s="270"/>
      <c r="BS5" s="270"/>
      <c r="BT5" s="270"/>
      <c r="BU5" s="270"/>
      <c r="BV5" s="270"/>
      <c r="BW5" s="270"/>
      <c r="BX5" s="270"/>
      <c r="BY5" s="270"/>
      <c r="BZ5" s="270"/>
      <c r="CA5" s="270"/>
      <c r="CB5" s="270"/>
      <c r="CC5" s="270"/>
      <c r="CD5" s="270"/>
      <c r="CE5" s="1395"/>
      <c r="CF5" s="1450"/>
      <c r="CG5" s="1450"/>
      <c r="CH5" s="270"/>
      <c r="CI5" s="270"/>
      <c r="CJ5" s="270" t="str">
        <v/>
      </c>
      <c r="CK5" s="270"/>
      <c r="CL5" s="270"/>
      <c r="CM5" s="270"/>
    </row>
    <row r="6" spans="1:91" ht="13.5" outlineLevel="1" thickBot="1" x14ac:dyDescent="0.25">
      <c r="A6" s="270"/>
      <c r="B6" s="1024" t="str">
        <f>N_Tirage</f>
        <v>Tirage</v>
      </c>
      <c r="C6" s="1025" t="s">
        <v>787</v>
      </c>
      <c r="D6" s="1026" t="s">
        <v>831</v>
      </c>
      <c r="E6" s="1026" t="s">
        <v>832</v>
      </c>
      <c r="F6" s="1027" t="s">
        <v>833</v>
      </c>
      <c r="G6" s="1028" t="str">
        <f>N_Equipes</f>
        <v>Equipes</v>
      </c>
      <c r="H6" s="1029" t="str">
        <f>N_Pts</f>
        <v>Pts</v>
      </c>
      <c r="I6" s="1029" t="str">
        <f>N_J</f>
        <v>J</v>
      </c>
      <c r="J6" s="1030" t="str">
        <f>N_G</f>
        <v>G</v>
      </c>
      <c r="K6" s="1030" t="str">
        <f>N_N</f>
        <v>N</v>
      </c>
      <c r="L6" s="1030" t="str">
        <f>N_P</f>
        <v>P</v>
      </c>
      <c r="M6" s="1030" t="str">
        <f>N_Diff_R</f>
        <v>Diff R</v>
      </c>
      <c r="N6" s="1030" t="str">
        <f>N_MP</f>
        <v>MP</v>
      </c>
      <c r="O6" s="1030" t="str">
        <f>N_MC</f>
        <v>MC</v>
      </c>
      <c r="P6" s="1031" t="str">
        <f>N_Diff_M</f>
        <v>Diff M</v>
      </c>
      <c r="Q6" s="1030" t="str">
        <f>N_BP</f>
        <v>BP</v>
      </c>
      <c r="R6" s="1030" t="str">
        <f>N_BC</f>
        <v>BC</v>
      </c>
      <c r="S6" s="1032" t="str">
        <f>N_Diff_B</f>
        <v>Diff B</v>
      </c>
      <c r="T6" s="270"/>
      <c r="U6" s="270"/>
      <c r="V6" s="271"/>
      <c r="W6" s="271"/>
      <c r="X6" s="270"/>
      <c r="Y6" s="646"/>
      <c r="Z6" s="270"/>
      <c r="AA6" s="271"/>
      <c r="AB6" s="270"/>
      <c r="AC6" s="290"/>
      <c r="AD6" s="629"/>
      <c r="AE6" s="270"/>
      <c r="AF6" s="270"/>
      <c r="AG6" s="270"/>
      <c r="AH6" s="270"/>
      <c r="AI6" s="270"/>
      <c r="AJ6" s="270"/>
      <c r="AK6" s="270"/>
      <c r="AL6" s="270"/>
      <c r="AM6" s="270"/>
      <c r="AN6" s="270"/>
      <c r="AO6" s="1033" t="str">
        <f>N_Cla.</f>
        <v>Cla.</v>
      </c>
      <c r="AP6" s="630" t="str">
        <f>N_Equipes</f>
        <v>Equipes</v>
      </c>
      <c r="AQ6" s="1034" t="str">
        <f>N_Pts</f>
        <v>Pts</v>
      </c>
      <c r="AR6" s="1034" t="str">
        <f>N_J</f>
        <v>J</v>
      </c>
      <c r="AS6" s="1026" t="str">
        <f>N_G</f>
        <v>G</v>
      </c>
      <c r="AT6" s="1026" t="str">
        <f>N_N</f>
        <v>N</v>
      </c>
      <c r="AU6" s="1026" t="str">
        <f>N_P</f>
        <v>P</v>
      </c>
      <c r="AV6" s="1035" t="str">
        <f>N_Diff_R</f>
        <v>Diff R</v>
      </c>
      <c r="AW6" s="1036" t="str">
        <f>N_MP</f>
        <v>MP</v>
      </c>
      <c r="AX6" s="1026" t="str">
        <f>N_MC</f>
        <v>MC</v>
      </c>
      <c r="AY6" s="1037" t="str">
        <f>N_Diff_M</f>
        <v>Diff M</v>
      </c>
      <c r="AZ6" s="1036" t="str">
        <f>N_BP</f>
        <v>BP</v>
      </c>
      <c r="BA6" s="1026" t="str">
        <f>N_BC</f>
        <v>BC</v>
      </c>
      <c r="BB6" s="1035" t="str">
        <f>N_Diff_B</f>
        <v>Diff B</v>
      </c>
      <c r="BC6" s="1038" t="str">
        <f>N_Matches</f>
        <v>Matches</v>
      </c>
      <c r="BD6" s="1039"/>
      <c r="BE6" s="1040"/>
      <c r="BF6" s="270"/>
      <c r="BG6" s="270"/>
      <c r="BH6" s="270"/>
      <c r="BI6" s="270"/>
      <c r="BJ6" s="270"/>
      <c r="BK6" s="270"/>
      <c r="BL6" s="270"/>
      <c r="BM6" s="270"/>
      <c r="BN6" s="270"/>
      <c r="BO6" s="270"/>
      <c r="BP6" s="270"/>
      <c r="BQ6" s="270"/>
      <c r="BR6" s="270"/>
      <c r="BS6" s="270"/>
      <c r="BT6" s="270"/>
      <c r="BU6" s="270"/>
      <c r="BV6" s="270"/>
      <c r="BW6" s="270"/>
      <c r="BX6" s="270"/>
      <c r="BY6" s="270"/>
      <c r="BZ6" s="270"/>
      <c r="CA6" s="270"/>
      <c r="CB6" s="270"/>
      <c r="CC6" s="270"/>
      <c r="CD6" s="270"/>
      <c r="CE6" s="1395"/>
      <c r="CF6" s="1450"/>
      <c r="CG6" s="1450"/>
      <c r="CH6" s="270"/>
      <c r="CI6" s="270"/>
      <c r="CJ6" s="270" t="str">
        <v/>
      </c>
      <c r="CK6" s="270"/>
      <c r="CL6" s="270"/>
      <c r="CM6" s="270"/>
    </row>
    <row r="7" spans="1:91" outlineLevel="1" x14ac:dyDescent="0.2">
      <c r="A7" s="270"/>
      <c r="B7" s="543">
        <v>1</v>
      </c>
      <c r="C7" s="1041" t="str">
        <f>IF(AL10="","",RANK(F7,F7:F9)*1000+ROW())</f>
        <v/>
      </c>
      <c r="D7" s="1042" t="str">
        <f>IF(J7="","",H7*CritClassEq1_Points+M7*CritClassEq1_DiffRencontres+P7*CritClassEq1_DiffMatches+S7*CritClassEq1_DiffButs+N7*CritClassEq1_Matches+Q7*CritClassEq1_Attaque)</f>
        <v/>
      </c>
      <c r="E7" s="1042" t="str">
        <f>IF(J7="","",Nb_Diff_Part(D7,D7:D9,G7,G7:G9,AK11:AK29)*CritClassEq_DiffPart+Nb_Goal_Part(D7,D7:D9,G7,G7:G9,Y11:AC29)*CritClassEq_IndsPart+Nb_Score_Part(D7,D7:D9,G7,G7:G9,Y11:AC29)*CritClassEq_WinsPart+Nb_GoalTeam_Part(D7,D7:D9,G7,G7:G9,Y11:AC29)*CritClassEq_GoalPart+Nb_ScoreTeam_Part(D7,D7:D9,G7,G7:G9,Y11:AC29)*CritClassEq_ScorePart)</f>
        <v/>
      </c>
      <c r="F7" s="1043" t="str">
        <f>IF(J7="","",D7+E7+H7*CritClassEq2_Points+M7*CritClassEq2_DiffRencontres+P7*CritClassEq2_DiffMatches+S7*CritClassEq2_DiffButs+N7*CritClassEq2_Matches+Q7*CritClassEq2_Attaque)</f>
        <v/>
      </c>
      <c r="G7" s="476" t="s">
        <v>825</v>
      </c>
      <c r="H7" s="1044" t="str">
        <f>IF(AL10="","",(J7*Points_Victoire)+K7*Points_Null)</f>
        <v/>
      </c>
      <c r="I7" s="535" t="str">
        <f>IF(J7="","",SUM(J7:L7))</f>
        <v/>
      </c>
      <c r="J7" s="535" t="str">
        <f>IF(AL10="","",COUNTIF(AE11:AE25,G7))</f>
        <v/>
      </c>
      <c r="K7" s="535" t="str">
        <f>IF(AL10="","",COUNTIF(AF11:AG25,G7))</f>
        <v/>
      </c>
      <c r="L7" s="535" t="str">
        <f>IF(AL10="","",COUNTIF(AH11:AH25,G7))</f>
        <v/>
      </c>
      <c r="M7" s="1045" t="str">
        <f>IF(AL10="","",J7-L7)</f>
        <v/>
      </c>
      <c r="N7" s="1046" t="str">
        <f>IF(AL10="","",SUMIF(Y11:Y25,G7,Z11:Z25)+SUMIF(AC11:AC25,G7,AB11:AB25))</f>
        <v/>
      </c>
      <c r="O7" s="535" t="str">
        <f>IF(AL10="","",SUMIF(Y11:Y25,G7,AB11:AB25)+SUMIF(AC11:AC25,G7,Z11:AL25))</f>
        <v/>
      </c>
      <c r="P7" s="1047" t="str">
        <f>IF(AL10="","",N7-O7)</f>
        <v/>
      </c>
      <c r="Q7" s="535" t="str">
        <f>IF(AL10="","",SUMIF(Y11:Y29,G7,AI11:AI29)+SUMIF(AC11:AC29,G7,AJ11:AJ29))</f>
        <v/>
      </c>
      <c r="R7" s="535" t="str">
        <f>IF(AL10="","",SUMIF(Y11:Y29,G7,AJ11:AJ29)+SUMIF(AC11:AC29,G7,AI11:AI29))</f>
        <v/>
      </c>
      <c r="S7" s="508" t="str">
        <f>IF(AL10="","",Q7-R7)</f>
        <v/>
      </c>
      <c r="T7" s="270"/>
      <c r="U7" s="270"/>
      <c r="V7" s="271"/>
      <c r="W7" s="271"/>
      <c r="X7" s="270"/>
      <c r="Y7" s="646"/>
      <c r="Z7" s="270"/>
      <c r="AA7" s="271"/>
      <c r="AB7" s="270"/>
      <c r="AC7" s="290"/>
      <c r="AD7" s="839"/>
      <c r="AE7" s="270"/>
      <c r="AF7" s="270"/>
      <c r="AG7" s="270"/>
      <c r="AH7" s="270"/>
      <c r="AI7" s="270"/>
      <c r="AJ7" s="270"/>
      <c r="AK7" s="270"/>
      <c r="AL7" s="270" t="str">
        <f>IF(AL10="","",SMALL(C7:C9,1))</f>
        <v/>
      </c>
      <c r="AM7" s="270"/>
      <c r="AN7" s="270"/>
      <c r="AO7" s="505" t="str">
        <f>IF(AL10="","",INT(AL7/1000))</f>
        <v/>
      </c>
      <c r="AP7" s="1048" t="str">
        <f>IF(AL10="",IF(HidePlayerFormulas,"","("&amp;G7&amp;")"),VLOOKUP(AL7,C7:S9,5,FALSE))</f>
        <v/>
      </c>
      <c r="AQ7" s="1046" t="str">
        <f>VLOOKUP(AL7,C7:S9,6,FALSE)</f>
        <v/>
      </c>
      <c r="AR7" s="535" t="str">
        <f>VLOOKUP(AL7,C7:S9,7,FALSE)</f>
        <v/>
      </c>
      <c r="AS7" s="535" t="str">
        <f>VLOOKUP(AL7,C7:S9,8,FALSE)</f>
        <v/>
      </c>
      <c r="AT7" s="535" t="str">
        <f>VLOOKUP(AL7,C7:S9,9,FALSE)</f>
        <v/>
      </c>
      <c r="AU7" s="535" t="str">
        <f>VLOOKUP(AL7,C7:S9,10,FALSE)</f>
        <v/>
      </c>
      <c r="AV7" s="1047" t="str">
        <f>VLOOKUP(AL7,C7:S9,11,FALSE)</f>
        <v/>
      </c>
      <c r="AW7" s="506" t="str">
        <f>VLOOKUP(AL7,C7:S9,12,FALSE)</f>
        <v/>
      </c>
      <c r="AX7" s="535" t="str">
        <f>VLOOKUP(AL7,C7:S9,13,FALSE)</f>
        <v/>
      </c>
      <c r="AY7" s="508" t="str">
        <f>VLOOKUP(AL7,C7:S9,14,FALSE)</f>
        <v/>
      </c>
      <c r="AZ7" s="506" t="str">
        <f>VLOOKUP(AL7,C7:S9,15,FALSE)</f>
        <v/>
      </c>
      <c r="BA7" s="535" t="str">
        <f>VLOOKUP(AL7,C7:S9,16,FALSE)</f>
        <v/>
      </c>
      <c r="BB7" s="508" t="str">
        <f>VLOOKUP(AL7,C7:S9,17,FALSE)</f>
        <v/>
      </c>
      <c r="BC7" s="1041" t="str">
        <f>IF(Z11="","",IF(AP7=Y11,Z11&amp;"("&amp;SUM(Z12:Z15)&amp;")",IF(AP7=AC11,AB11&amp;"("&amp;SUM(AB12:AB15)&amp;")","")))</f>
        <v/>
      </c>
      <c r="BD7" s="1049" t="str">
        <f>IF(Z18="","",IF(AP7=Y18,Z18&amp;"("&amp;SUM(Z19:Z22)&amp;")",IF(AP7=AC18,AB18&amp;"("&amp;SUM(AB19:AB22)&amp;")","")))</f>
        <v/>
      </c>
      <c r="BE7" s="1050" t="str">
        <f>IF(Z25="","",IF(AP7=Y25,Z25&amp;"("&amp;SUM(Z26:Z29)&amp;")",IF(AP7=AC25,AB25&amp;"("&amp;SUM(AB26:AB29)&amp;")","")))</f>
        <v/>
      </c>
      <c r="BF7" s="270"/>
      <c r="BG7" s="270"/>
      <c r="BH7" s="270"/>
      <c r="BI7" s="270"/>
      <c r="BJ7" s="270"/>
      <c r="BK7" s="270"/>
      <c r="BL7" s="270"/>
      <c r="BM7" s="270"/>
      <c r="BN7" s="270"/>
      <c r="BO7" s="270"/>
      <c r="BP7" s="270"/>
      <c r="BQ7" s="270"/>
      <c r="BR7" s="270"/>
      <c r="BS7" s="270"/>
      <c r="BT7" s="270"/>
      <c r="BU7" s="270"/>
      <c r="BV7" s="270"/>
      <c r="BW7" s="270"/>
      <c r="BX7" s="270"/>
      <c r="BY7" s="270"/>
      <c r="BZ7" s="270"/>
      <c r="CA7" s="270"/>
      <c r="CB7" s="270"/>
      <c r="CC7" s="270"/>
      <c r="CD7" s="270"/>
      <c r="CE7" s="1395" t="b">
        <f>IF(G7="[---WithDraw---]",FALSE,IF(COUNTIF(PlayerNamesWithinGroups,G7)&gt;1,TRUE,FALSE))</f>
        <v>1</v>
      </c>
      <c r="CF7" s="1450" t="b">
        <f>AND(LEFT($AP7,1) = "(", RIGHT($AP7,1) =")")</f>
        <v>0</v>
      </c>
      <c r="CG7" s="1450" t="b">
        <f>IF(OR($AO7=$AO6,$AO7=$AO8),TRUE,FALSE)</f>
        <v>1</v>
      </c>
      <c r="CH7" s="270"/>
      <c r="CI7" s="270"/>
      <c r="CJ7" s="270" t="str">
        <v/>
      </c>
      <c r="CK7" s="270"/>
      <c r="CL7" s="270"/>
      <c r="CM7" s="270"/>
    </row>
    <row r="8" spans="1:91" outlineLevel="1" x14ac:dyDescent="0.2">
      <c r="A8" s="270"/>
      <c r="B8" s="536">
        <v>2</v>
      </c>
      <c r="C8" s="126" t="str">
        <f>IF(AL10="","",RANK(F8,F7:F9)*1000+ROW())</f>
        <v/>
      </c>
      <c r="D8" s="1051" t="str">
        <f>IF(J8="","",H8*CritClassEq1_Points+M8*CritClassEq1_DiffRencontres+P8*CritClassEq1_DiffMatches+S8*CritClassEq1_DiffButs+N8*CritClassEq1_Matches+Q8*CritClassEq1_Attaque)</f>
        <v/>
      </c>
      <c r="E8" s="1051" t="str">
        <f>IF(J8="","",Nb_Diff_Part(D8,D7:D9,G8,G7:G9,AK11:AK29)*CritClassEq_DiffPart+Nb_Goal_Part(D8,D7:D9,G8,G7:G9,Y11:AC29)*CritClassEq_IndsPart+Nb_Score_Part(D8,D7:D9,G8,G7:G9,Y11:AC29)*CritClassEq_WinsPart+Nb_GoalTeam_Part(D8,D7:D9,G8,G7:G9,Y11:AC29)*CritClassEq_GoalPart+Nb_ScoreTeam_Part(D8,D7:D9,G8,G7:G9,Y11:AC29)*CritClassEq_ScorePart)</f>
        <v/>
      </c>
      <c r="F8" s="1052" t="str">
        <f>IF(J8="","",D8+E8+H8*CritClassEq2_Points+M8*CritClassEq2_DiffRencontres+P8*CritClassEq2_DiffMatches+S8*CritClassEq2_DiffButs+N8*CritClassEq2_Matches+Q8*CritClassEq2_Attaque)</f>
        <v/>
      </c>
      <c r="G8" s="477" t="s">
        <v>826</v>
      </c>
      <c r="H8" s="541" t="str">
        <f>IF(AL10="","",(J8*Points_Victoire)+K8*Points_Null)</f>
        <v/>
      </c>
      <c r="I8" s="537" t="str">
        <f>IF(J8="","",SUM(J8:L8))</f>
        <v/>
      </c>
      <c r="J8" s="537" t="str">
        <f>IF(AL10="","",COUNTIF(AE11:AE25,G8))</f>
        <v/>
      </c>
      <c r="K8" s="537" t="str">
        <f>IF(AL10="","",COUNTIF(AF11:AG25,G8))</f>
        <v/>
      </c>
      <c r="L8" s="537" t="str">
        <f>IF(AL10="","",COUNTIF(AH11:AH25,G8))</f>
        <v/>
      </c>
      <c r="M8" s="1053" t="str">
        <f>IF(AL10="","",J8-L8)</f>
        <v/>
      </c>
      <c r="N8" s="537" t="str">
        <f>IF(AL10="","",SUMIF(Y11:Y25,G8,Z11:Z25)+SUMIF(AC11:AC25,G8,AB11:AB25))</f>
        <v/>
      </c>
      <c r="O8" s="537" t="str">
        <f>IF(AL10="","",SUMIF(Y11:Y25,G8,AB11:AB25)+SUMIF(AC11:AC25,G8,Z11:AL25))</f>
        <v/>
      </c>
      <c r="P8" s="1053" t="str">
        <f>IF(AL10="","",N8-O8)</f>
        <v/>
      </c>
      <c r="Q8" s="537" t="str">
        <f>IF(AL10="","",SUMIF(Y11:Y29,G8,AI11:AI29)+SUMIF(AC11:AC29,G8,AJ11:AJ29))</f>
        <v/>
      </c>
      <c r="R8" s="537" t="str">
        <f>IF(AL10="","",SUMIF(Y11:Y29,G8,AJ11:AJ29)+SUMIF(AC11:AC29,G8,AI11:AI29))</f>
        <v/>
      </c>
      <c r="S8" s="512" t="str">
        <f>IF(AL10="","",Q8-R8)</f>
        <v/>
      </c>
      <c r="T8" s="270"/>
      <c r="U8" s="270"/>
      <c r="V8" s="271"/>
      <c r="W8" s="271"/>
      <c r="X8" s="270"/>
      <c r="Y8" s="646"/>
      <c r="Z8" s="270"/>
      <c r="AA8" s="271"/>
      <c r="AB8" s="270"/>
      <c r="AC8" s="290"/>
      <c r="AD8" s="839"/>
      <c r="AE8" s="270"/>
      <c r="AF8" s="270"/>
      <c r="AG8" s="270"/>
      <c r="AH8" s="270"/>
      <c r="AI8" s="270"/>
      <c r="AJ8" s="270"/>
      <c r="AK8" s="270"/>
      <c r="AL8" s="270" t="str">
        <f>IF(AL10="","",SMALL(C7:C9,2))</f>
        <v/>
      </c>
      <c r="AM8" s="270"/>
      <c r="AN8" s="270"/>
      <c r="AO8" s="509" t="str">
        <f>IF(AL10="","",INT(AL8/1000))</f>
        <v/>
      </c>
      <c r="AP8" s="1054" t="str">
        <f>IF(AL10="",IF(HidePlayerFormulas,"","("&amp;G8&amp;")"),VLOOKUP(AL8,C7:S9,5,FALSE))</f>
        <v/>
      </c>
      <c r="AQ8" s="510" t="str">
        <f>VLOOKUP(AL8,C7:S9,6,FALSE)</f>
        <v/>
      </c>
      <c r="AR8" s="537" t="str">
        <f>VLOOKUP(AL8,C7:S9,7,FALSE)</f>
        <v/>
      </c>
      <c r="AS8" s="537" t="str">
        <f>VLOOKUP(AL8,C7:S9,8,FALSE)</f>
        <v/>
      </c>
      <c r="AT8" s="537" t="str">
        <f>VLOOKUP(AL8,C7:S9,9,FALSE)</f>
        <v/>
      </c>
      <c r="AU8" s="537" t="str">
        <f>VLOOKUP(AL8,C7:S9,10,FALSE)</f>
        <v/>
      </c>
      <c r="AV8" s="512" t="str">
        <f>VLOOKUP(AL8,C7:S9,11,FALSE)</f>
        <v/>
      </c>
      <c r="AW8" s="510" t="str">
        <f>VLOOKUP(AL8,C7:S9,12,FALSE)</f>
        <v/>
      </c>
      <c r="AX8" s="537" t="str">
        <f>VLOOKUP(AL8,C7:S9,13,FALSE)</f>
        <v/>
      </c>
      <c r="AY8" s="512" t="str">
        <f>VLOOKUP(AL8,C7:S9,14,FALSE)</f>
        <v/>
      </c>
      <c r="AZ8" s="510" t="str">
        <f>VLOOKUP(AL8,C7:S9,15,FALSE)</f>
        <v/>
      </c>
      <c r="BA8" s="537" t="str">
        <f>VLOOKUP(AL8,C7:S9,16,FALSE)</f>
        <v/>
      </c>
      <c r="BB8" s="512" t="str">
        <f>VLOOKUP(AL8,C7:S9,17,FALSE)</f>
        <v/>
      </c>
      <c r="BC8" s="1055" t="str">
        <f>IF(Z11="","",IF(AP8=Y11,Z11&amp;"("&amp;SUM(Z12:Z15)&amp;")",IF(AP8=AC11,AB11&amp;"("&amp;SUM(AB12:AB15)&amp;")","")))</f>
        <v/>
      </c>
      <c r="BD8" s="126" t="str">
        <f>IF(Z18="","",IF(AP8=Y18,Z18&amp;"("&amp;SUM(Z19:Z22)&amp;")",IF(AP8=AC18,AB18&amp;"("&amp;SUM(AB19:AB22)&amp;")","")))</f>
        <v/>
      </c>
      <c r="BE8" s="1056" t="str">
        <f>IF(Z25="","",IF(AP8=Y25,Z25&amp;"("&amp;SUM(Z26:Z29)&amp;")",IF(AP8=AC25,AB25&amp;"("&amp;SUM(AB26:AB29)&amp;")","")))</f>
        <v/>
      </c>
      <c r="BF8" s="270"/>
      <c r="BG8" s="270"/>
      <c r="BH8" s="270"/>
      <c r="BI8" s="270"/>
      <c r="BJ8" s="270"/>
      <c r="BK8" s="270"/>
      <c r="BL8" s="270"/>
      <c r="BM8" s="270"/>
      <c r="BN8" s="270"/>
      <c r="BO8" s="270"/>
      <c r="BP8" s="270"/>
      <c r="BQ8" s="270"/>
      <c r="BR8" s="270"/>
      <c r="BS8" s="270"/>
      <c r="BT8" s="270"/>
      <c r="BU8" s="270"/>
      <c r="BV8" s="270"/>
      <c r="BW8" s="270"/>
      <c r="BX8" s="270"/>
      <c r="BY8" s="270"/>
      <c r="BZ8" s="270"/>
      <c r="CA8" s="270"/>
      <c r="CB8" s="270"/>
      <c r="CC8" s="270"/>
      <c r="CD8" s="270"/>
      <c r="CE8" s="1395" t="b">
        <f>IF(G8="[---WithDraw---]",FALSE,IF(COUNTIF(PlayerNamesWithinGroups,G8)&gt;1,TRUE,FALSE))</f>
        <v>1</v>
      </c>
      <c r="CF8" s="1450" t="b">
        <f>AND(LEFT($AP8,1) = "(", RIGHT($AP8,1) =")")</f>
        <v>0</v>
      </c>
      <c r="CG8" s="1450" t="b">
        <f>IF(OR($AO8=$AO7,$AO8=$AO9),TRUE,FALSE)</f>
        <v>1</v>
      </c>
      <c r="CH8" s="270"/>
      <c r="CI8" s="270"/>
      <c r="CJ8" s="270" t="str">
        <v/>
      </c>
      <c r="CK8" s="270"/>
      <c r="CL8" s="270"/>
      <c r="CM8" s="270"/>
    </row>
    <row r="9" spans="1:91" ht="13.5" outlineLevel="1" collapsed="1" thickBot="1" x14ac:dyDescent="0.25">
      <c r="A9" s="270"/>
      <c r="B9" s="536">
        <v>3</v>
      </c>
      <c r="C9" s="126" t="str">
        <f>IF(AL10="","",RANK(F9,F7:F9)*1000+ROW())</f>
        <v/>
      </c>
      <c r="D9" s="1051" t="str">
        <f>IF(J9="","",H9*CritClassEq1_Points+M9*CritClassEq1_DiffRencontres+P9*CritClassEq1_DiffMatches+S9*CritClassEq1_DiffButs+N9*CritClassEq1_Matches+Q9*CritClassEq1_Attaque)</f>
        <v/>
      </c>
      <c r="E9" s="1051" t="str">
        <f>IF(J9="","",Nb_Diff_Part(D9,D7:D9,G9,G7:G9,AK11:AK29)*CritClassEq_DiffPart+Nb_Goal_Part(D9,D7:D9,G9,G7:G9,Y11:AC29)*CritClassEq_IndsPart+Nb_Score_Part(D9,D7:D9,G9,G7:G9,Y11:AC29)*CritClassEq_WinsPart+Nb_GoalTeam_Part(D9,D7:D9,G9,G7:G9,Y11:AC29)*CritClassEq_GoalPart+Nb_ScoreTeam_Part(D9,D7:D9,G9,G7:G9,Y11:AC29)*CritClassEq_ScorePart)</f>
        <v/>
      </c>
      <c r="F9" s="1052" t="str">
        <f>IF(J9="","",D9+E9+H9*CritClassEq2_Points+M9*CritClassEq2_DiffRencontres+P9*CritClassEq2_DiffMatches+S9*CritClassEq2_DiffButs+N9*CritClassEq2_Matches+Q9*CritClassEq2_Attaque)</f>
        <v/>
      </c>
      <c r="G9" s="478" t="s">
        <v>827</v>
      </c>
      <c r="H9" s="541" t="str">
        <f>IF(AL10="","",(J9*Points_Victoire)+K9*Points_Null)</f>
        <v/>
      </c>
      <c r="I9" s="537" t="str">
        <f>IF(J9="","",SUM(J9:L9))</f>
        <v/>
      </c>
      <c r="J9" s="537" t="str">
        <f>IF(AL10="","",COUNTIF(AE11:AE25,G9))</f>
        <v/>
      </c>
      <c r="K9" s="537" t="str">
        <f>IF(AL10="","",COUNTIF(AF11:AG25,G9))</f>
        <v/>
      </c>
      <c r="L9" s="537" t="str">
        <f>IF(AL10="","",COUNTIF(AH11:AH25,G9))</f>
        <v/>
      </c>
      <c r="M9" s="1053" t="str">
        <f>IF(AL10="","",J9-L9)</f>
        <v/>
      </c>
      <c r="N9" s="537" t="str">
        <f>IF(AL10="","",SUMIF(Y11:Y25,G9,Z11:Z25)+SUMIF(AC11:AC25,G9,AB11:AB25))</f>
        <v/>
      </c>
      <c r="O9" s="537" t="str">
        <f>IF(AL10="","",SUMIF(Y11:Y25,G9,AB11:AB25)+SUMIF(AC11:AC25,G9,Z11:AL25))</f>
        <v/>
      </c>
      <c r="P9" s="1053" t="str">
        <f>IF(AL10="","",N9-O9)</f>
        <v/>
      </c>
      <c r="Q9" s="537" t="str">
        <f>IF(AL10="","",SUMIF(Y11:Y29,G9,AI11:AI29)+SUMIF(AC11:AC29,G9,AJ11:AJ29))</f>
        <v/>
      </c>
      <c r="R9" s="537" t="str">
        <f>IF(AL10="","",SUMIF(Y11:Y29,G9,AJ11:AJ29)+SUMIF(AC11:AC29,G9,AI11:AI29))</f>
        <v/>
      </c>
      <c r="S9" s="512" t="str">
        <f>IF(AL10="","",Q9-R9)</f>
        <v/>
      </c>
      <c r="T9" s="270"/>
      <c r="U9" s="270"/>
      <c r="V9" s="271"/>
      <c r="W9" s="271"/>
      <c r="X9" s="270"/>
      <c r="Y9" s="646"/>
      <c r="Z9" s="270"/>
      <c r="AA9" s="271"/>
      <c r="AB9" s="270"/>
      <c r="AC9" s="290"/>
      <c r="AD9" s="839"/>
      <c r="AE9" s="270"/>
      <c r="AF9" s="270"/>
      <c r="AG9" s="270"/>
      <c r="AH9" s="270"/>
      <c r="AI9" s="270"/>
      <c r="AJ9" s="270"/>
      <c r="AK9" s="270"/>
      <c r="AL9" s="270" t="str">
        <f>IF(AL10="","",SMALL(C7:C9,3))</f>
        <v/>
      </c>
      <c r="AM9" s="270"/>
      <c r="AN9" s="270"/>
      <c r="AO9" s="513" t="str">
        <f>IF(AL10="","",INT(AL9/1000))</f>
        <v/>
      </c>
      <c r="AP9" s="1057" t="str">
        <f>IF(AL10="",IF(HidePlayerFormulas,"","("&amp;G9&amp;")"),VLOOKUP(AL9,C7:S9,5,FALSE))</f>
        <v/>
      </c>
      <c r="AQ9" s="514" t="str">
        <f>VLOOKUP(AL9,C7:S9,6,FALSE)</f>
        <v/>
      </c>
      <c r="AR9" s="539" t="str">
        <f>VLOOKUP(AL9,C7:S9,7,FALSE)</f>
        <v/>
      </c>
      <c r="AS9" s="539" t="str">
        <f>VLOOKUP(AL9,C7:S9,8,FALSE)</f>
        <v/>
      </c>
      <c r="AT9" s="539" t="str">
        <f>VLOOKUP(AL9,C7:S9,9,FALSE)</f>
        <v/>
      </c>
      <c r="AU9" s="539" t="str">
        <f>VLOOKUP(AL9,C7:S9,10,FALSE)</f>
        <v/>
      </c>
      <c r="AV9" s="516" t="str">
        <f>VLOOKUP(AL9,C7:S9,11,FALSE)</f>
        <v/>
      </c>
      <c r="AW9" s="514" t="str">
        <f>VLOOKUP(AL9,C7:S9,12,FALSE)</f>
        <v/>
      </c>
      <c r="AX9" s="539" t="str">
        <f>VLOOKUP(AL9,C7:S9,13,FALSE)</f>
        <v/>
      </c>
      <c r="AY9" s="516" t="str">
        <f>VLOOKUP(AL9,C7:S9,14,FALSE)</f>
        <v/>
      </c>
      <c r="AZ9" s="514" t="str">
        <f>VLOOKUP(AL9,C7:S9,15,FALSE)</f>
        <v/>
      </c>
      <c r="BA9" s="539" t="str">
        <f>VLOOKUP(AL9,C7:S9,16,FALSE)</f>
        <v/>
      </c>
      <c r="BB9" s="516" t="str">
        <f>VLOOKUP(AL9,C7:S9,17,FALSE)</f>
        <v/>
      </c>
      <c r="BC9" s="1058" t="str">
        <f>IF(Z11="","",IF(AP9=Y11,Z11&amp;"("&amp;SUM(Z12:Z15)&amp;")",IF(AP9=AC11,AB11&amp;"("&amp;SUM(AB12:AB15)&amp;")","")))</f>
        <v/>
      </c>
      <c r="BD9" s="1059" t="str">
        <f>IF(Z18="","",IF(AP9=Y18,Z18&amp;"("&amp;SUM(Z19:Z22)&amp;")",IF(AP9=AC18,AB18&amp;"("&amp;SUM(AB19:AB22)&amp;")","")))</f>
        <v/>
      </c>
      <c r="BE9" s="1060" t="str">
        <f>IF(Z25="","",IF(AP9=Y25,Z25&amp;"("&amp;SUM(Z26:Z29)&amp;")",IF(AP9=AC25,AB25&amp;"("&amp;SUM(AB26:AB29)&amp;")","")))</f>
        <v/>
      </c>
      <c r="BF9" s="270"/>
      <c r="BG9" s="270"/>
      <c r="BH9" s="270"/>
      <c r="BI9" s="270"/>
      <c r="BJ9" s="270"/>
      <c r="BK9" s="270"/>
      <c r="BL9" s="270"/>
      <c r="BM9" s="270"/>
      <c r="BN9" s="270"/>
      <c r="BO9" s="270"/>
      <c r="BP9" s="270"/>
      <c r="BQ9" s="270"/>
      <c r="BR9" s="270"/>
      <c r="BS9" s="270"/>
      <c r="BT9" s="270"/>
      <c r="BU9" s="270"/>
      <c r="BV9" s="270"/>
      <c r="BW9" s="270"/>
      <c r="BX9" s="270"/>
      <c r="BY9" s="270"/>
      <c r="BZ9" s="270"/>
      <c r="CA9" s="270"/>
      <c r="CB9" s="270"/>
      <c r="CC9" s="270"/>
      <c r="CD9" s="270"/>
      <c r="CE9" s="1395" t="b">
        <f>IF(G9="[---WithDraw---]",FALSE,IF(COUNTIF(PlayerNamesWithinGroups,G9)&gt;1,TRUE,FALSE))</f>
        <v>1</v>
      </c>
      <c r="CF9" s="1450" t="b">
        <f>AND(LEFT($AP9,1) = "(", RIGHT($AP9,1) =")")</f>
        <v>0</v>
      </c>
      <c r="CG9" s="1450" t="b">
        <f>IF(OR($AO9=$AO8,$AO9=$AO10),TRUE,FALSE)</f>
        <v>1</v>
      </c>
      <c r="CH9" s="270"/>
      <c r="CI9" s="270"/>
      <c r="CJ9" s="270" t="str">
        <v/>
      </c>
      <c r="CK9" s="270"/>
      <c r="CL9" s="270"/>
      <c r="CM9" s="270"/>
    </row>
    <row r="10" spans="1:91" ht="13.5" hidden="1" outlineLevel="2" thickBot="1" x14ac:dyDescent="0.25">
      <c r="A10" s="270"/>
      <c r="B10" s="271"/>
      <c r="C10" s="270"/>
      <c r="D10" s="270"/>
      <c r="E10" s="270"/>
      <c r="F10" s="270"/>
      <c r="G10" s="271"/>
      <c r="H10" s="270"/>
      <c r="I10" s="270"/>
      <c r="J10" s="270"/>
      <c r="K10" s="270"/>
      <c r="L10" s="270"/>
      <c r="M10" s="270"/>
      <c r="N10" s="270"/>
      <c r="O10" s="270"/>
      <c r="P10" s="270"/>
      <c r="Q10" s="270"/>
      <c r="R10" s="270"/>
      <c r="S10" s="270"/>
      <c r="T10" s="270"/>
      <c r="U10" s="270"/>
      <c r="V10" s="630" t="str">
        <f>N_Heure</f>
        <v>Heure</v>
      </c>
      <c r="W10" s="1028" t="str">
        <f>N_Table</f>
        <v>Table</v>
      </c>
      <c r="X10" s="1028" t="str">
        <f>N_Arbitre</f>
        <v>Arbitre</v>
      </c>
      <c r="Y10" s="1038" t="str">
        <f>N_Matches</f>
        <v>Matches</v>
      </c>
      <c r="Z10" s="1039"/>
      <c r="AA10" s="1039"/>
      <c r="AB10" s="1039"/>
      <c r="AC10" s="1040"/>
      <c r="AD10" s="839"/>
      <c r="AE10" s="270"/>
      <c r="AF10" s="270"/>
      <c r="AG10" s="270"/>
      <c r="AH10" s="270"/>
      <c r="AI10" s="270"/>
      <c r="AJ10" s="270"/>
      <c r="AK10" s="270"/>
      <c r="AL10" s="270" t="str">
        <f>IF(COUNTA(Z11:Z29)&gt;3,"OK","")</f>
        <v/>
      </c>
      <c r="AM10" s="270"/>
      <c r="AN10" s="270"/>
      <c r="AO10" s="575"/>
      <c r="AP10" s="270"/>
      <c r="AQ10" s="270"/>
      <c r="AR10" s="270"/>
      <c r="AS10" s="270"/>
      <c r="AT10" s="270"/>
      <c r="AU10" s="270"/>
      <c r="AV10" s="270"/>
      <c r="AW10" s="270"/>
      <c r="AX10" s="270"/>
      <c r="AY10" s="270"/>
      <c r="AZ10" s="270"/>
      <c r="BA10" s="270"/>
      <c r="BB10" s="270"/>
      <c r="BC10" s="270"/>
      <c r="BD10" s="270"/>
      <c r="BE10" s="270"/>
      <c r="BF10" s="270"/>
      <c r="BG10" s="270"/>
      <c r="BH10" s="270"/>
      <c r="BI10" s="270"/>
      <c r="BJ10" s="270"/>
      <c r="BK10" s="270"/>
      <c r="BL10" s="270"/>
      <c r="BM10" s="270"/>
      <c r="BN10" s="270"/>
      <c r="BO10" s="270"/>
      <c r="BP10" s="270"/>
      <c r="BQ10" s="270"/>
      <c r="BR10" s="270"/>
      <c r="BS10" s="270"/>
      <c r="BT10" s="270"/>
      <c r="BU10" s="270"/>
      <c r="BV10" s="270"/>
      <c r="BW10" s="270"/>
      <c r="BX10" s="270"/>
      <c r="BY10" s="270"/>
      <c r="BZ10" s="270"/>
      <c r="CA10" s="270"/>
      <c r="CB10" s="270"/>
      <c r="CC10" s="270"/>
      <c r="CD10" s="270"/>
      <c r="CE10" s="1395"/>
      <c r="CF10" s="1450"/>
      <c r="CG10" s="1450"/>
      <c r="CH10" s="270"/>
      <c r="CI10" s="270"/>
      <c r="CJ10" s="270" t="str">
        <v/>
      </c>
      <c r="CK10" s="270"/>
      <c r="CL10" s="270"/>
      <c r="CM10" s="270"/>
    </row>
    <row r="11" spans="1:91" ht="13.5" hidden="1" outlineLevel="2" collapsed="1" thickBot="1" x14ac:dyDescent="0.25">
      <c r="A11" s="270"/>
      <c r="B11" s="271"/>
      <c r="C11" s="270"/>
      <c r="D11" s="270"/>
      <c r="E11" s="270"/>
      <c r="F11" s="270"/>
      <c r="G11" s="271"/>
      <c r="H11" s="270"/>
      <c r="I11" s="270"/>
      <c r="J11" s="270"/>
      <c r="K11" s="270"/>
      <c r="L11" s="270"/>
      <c r="M11" s="270"/>
      <c r="N11" s="270"/>
      <c r="O11" s="270"/>
      <c r="P11" s="270"/>
      <c r="Q11" s="270"/>
      <c r="R11" s="270"/>
      <c r="S11" s="270"/>
      <c r="T11" s="270"/>
      <c r="U11" s="1019" t="s">
        <v>1726</v>
      </c>
      <c r="V11" s="1061"/>
      <c r="W11" s="1520"/>
      <c r="X11" s="1521"/>
      <c r="Y11" s="1062" t="str">
        <f>IF(COUNTA(G7:G9) =3,GMFTGROUPORDERTEAM(G7:G9,Y11:Y31,AC11:AC31),"")</f>
        <v>Eq3</v>
      </c>
      <c r="Z11" s="1063" t="str">
        <f>IF(OR(ISNUMBER(Z12),ISNUMBER(Z13),ISNUMBER(Z14),ISNUMBER(Z15)),4-COUNTBLANK(AI12:AI15),"")</f>
        <v/>
      </c>
      <c r="AA11" s="1064" t="s">
        <v>769</v>
      </c>
      <c r="AB11" s="1063" t="str">
        <f>IF(OR(ISNUMBER(Z12),ISNUMBER(Z13),ISNUMBER(Z14),ISNUMBER(Z15)),4-COUNTBLANK(AJ12:AJ15),"")</f>
        <v/>
      </c>
      <c r="AC11" s="1065" t="str">
        <f>IF(COUNTA(G7:G9) =3,GMFTGROUPORDERTEAM(G7:G9,Y11:Y31,AC11:AC31),"")</f>
        <v>Eq1</v>
      </c>
      <c r="AD11" s="839"/>
      <c r="AE11" s="270" t="str">
        <f>IF(Z11="","",IF(Z11&gt;AB11,Y11,IF(Z11=AB11,IF(NoDrawWithWithdraw,IF(AL11=Y11,AC11,IF(AL11=AC11,Y11,"")),""),AC11)))</f>
        <v/>
      </c>
      <c r="AF11" s="270" t="str">
        <f>IF(Z11="","",IF(Z11=AB11,IF(NoDrawWithWithdraw,IF(AL11=Y11,"",IF(AL11=AC11,"",Y11)),Y11),""))</f>
        <v/>
      </c>
      <c r="AG11" s="270" t="str">
        <f>IF(Z11="","",IF(Z11=AB11,IF(NoDrawWithWithdraw,IF(AL11=Y11,"",IF(AL11=AC11,"",AC11)),AC11),""))</f>
        <v/>
      </c>
      <c r="AH11" s="270" t="str">
        <f>IF(Z11="","",IF(Z11&lt;AB11,Y11,IF(Z11=AB11,IF(NoDrawWithWithdraw,IF(AL11=Y11,Y11,IF(AL11=AC11,AC11,"")),""),AC11)))</f>
        <v/>
      </c>
      <c r="AI11" s="270" t="str">
        <f>IF(Z11="","",SUM(Z12:Z15))</f>
        <v/>
      </c>
      <c r="AJ11" s="270" t="str">
        <f>IF(Z11="","",SUM(AB12:AB15))</f>
        <v/>
      </c>
      <c r="AK11" s="270" t="str">
        <f>CONCATENATE(AE11,AH11)</f>
        <v/>
      </c>
      <c r="AL11" s="270" t="str">
        <f>IF(COUNTIF(Y12:Y15,WithdrawLabel)&gt;COUNTIF(AC12:AC15,WithdrawLabel),Y11,IF(COUNTIF(AC12:AC15,WithdrawLabel)&gt;COUNTIF(Y12:Y15,WithdrawLabel),AC11,""))</f>
        <v/>
      </c>
      <c r="AM11" s="270"/>
      <c r="AN11" s="270"/>
      <c r="AO11" s="575"/>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1395"/>
      <c r="CF11" s="1450"/>
      <c r="CG11" s="1450"/>
      <c r="CH11" s="270"/>
      <c r="CI11" s="270"/>
      <c r="CJ11" s="270" t="str">
        <v/>
      </c>
      <c r="CK11" s="270"/>
      <c r="CL11" s="270"/>
      <c r="CM11" s="270"/>
    </row>
    <row r="12" spans="1:91" hidden="1" outlineLevel="3" x14ac:dyDescent="0.2">
      <c r="A12" s="270"/>
      <c r="B12" s="271"/>
      <c r="C12" s="270"/>
      <c r="D12" s="270"/>
      <c r="E12" s="270"/>
      <c r="F12" s="270"/>
      <c r="G12" s="271"/>
      <c r="H12" s="270"/>
      <c r="I12" s="270"/>
      <c r="J12" s="270"/>
      <c r="K12" s="270"/>
      <c r="L12" s="270"/>
      <c r="M12" s="270"/>
      <c r="N12" s="270"/>
      <c r="O12" s="270"/>
      <c r="P12" s="270"/>
      <c r="Q12" s="270"/>
      <c r="R12" s="270"/>
      <c r="S12" s="270"/>
      <c r="T12" s="270"/>
      <c r="U12" s="1019"/>
      <c r="V12" s="1066"/>
      <c r="W12" s="1067"/>
      <c r="X12" s="1068"/>
      <c r="Y12" s="627"/>
      <c r="Z12" s="492"/>
      <c r="AA12" s="493" t="s">
        <v>769</v>
      </c>
      <c r="AB12" s="1069"/>
      <c r="AC12" s="1070"/>
      <c r="AD12" s="839"/>
      <c r="AE12" s="270" t="str">
        <f t="shared" ref="AE12:AE29" si="0">IF(Z12="","",IF(Z12&gt;AB12,Y12,IF(Z12=AB12,"",AC12)))</f>
        <v/>
      </c>
      <c r="AF12" s="270" t="str">
        <f t="shared" ref="AF12:AF29" si="1">IF(Z12="","",IF(Z12=AB12,Y12,""))</f>
        <v/>
      </c>
      <c r="AG12" s="270" t="str">
        <f t="shared" ref="AG12:AG29" si="2">IF(Z12="","",IF(Z12=AB12,AC12,""))</f>
        <v/>
      </c>
      <c r="AH12" s="270" t="str">
        <f t="shared" ref="AH12:AH29" si="3">IF(Z12="","",IF(Z12&lt;AB12,Y12,IF(Z12=AB12,"",AC12)))</f>
        <v/>
      </c>
      <c r="AI12" s="270" t="str">
        <f>IF(Z12="","",IF(Z12&gt;AB12,Y11,""))</f>
        <v/>
      </c>
      <c r="AJ12" s="270" t="str">
        <f>IF(Z12="","",IF(Z12&lt;AB12,AC11,""))</f>
        <v/>
      </c>
      <c r="AK12" s="270" t="str">
        <f t="shared" ref="AK12:AK29" si="4">CONCATENATE(AE12,AH12)</f>
        <v/>
      </c>
      <c r="AL12" s="270"/>
      <c r="AM12" s="270"/>
      <c r="AN12" s="270"/>
      <c r="AO12" s="575"/>
      <c r="AP12" s="270"/>
      <c r="AQ12" s="270"/>
      <c r="AR12" s="270"/>
      <c r="AS12" s="270"/>
      <c r="AT12" s="270"/>
      <c r="AU12" s="270"/>
      <c r="AV12" s="270"/>
      <c r="AW12" s="270"/>
      <c r="AX12" s="270"/>
      <c r="AY12" s="270"/>
      <c r="AZ12" s="270"/>
      <c r="BA12" s="270"/>
      <c r="BB12" s="270"/>
      <c r="BC12" s="270"/>
      <c r="BD12" s="270"/>
      <c r="BE12" s="270"/>
      <c r="BF12" s="270"/>
      <c r="BG12" s="270"/>
      <c r="BH12" s="270"/>
      <c r="BI12" s="270"/>
      <c r="BJ12" s="270"/>
      <c r="BK12" s="270"/>
      <c r="BL12" s="270"/>
      <c r="BM12" s="270"/>
      <c r="BN12" s="270"/>
      <c r="BO12" s="270"/>
      <c r="BP12" s="270"/>
      <c r="BQ12" s="270"/>
      <c r="BR12" s="270"/>
      <c r="BS12" s="270"/>
      <c r="BT12" s="270"/>
      <c r="BU12" s="270"/>
      <c r="BV12" s="270"/>
      <c r="BW12" s="270"/>
      <c r="BX12" s="270"/>
      <c r="BY12" s="270"/>
      <c r="BZ12" s="270"/>
      <c r="CA12" s="270"/>
      <c r="CB12" s="270"/>
      <c r="CC12" s="270"/>
      <c r="CD12" s="270"/>
      <c r="CE12" s="1395"/>
      <c r="CF12" s="1450"/>
      <c r="CG12" s="1450"/>
      <c r="CH12" s="270"/>
      <c r="CI12" s="270"/>
      <c r="CJ12" s="270" t="str">
        <v/>
      </c>
      <c r="CK12" s="270"/>
      <c r="CL12" s="270"/>
      <c r="CM12" s="270"/>
    </row>
    <row r="13" spans="1:91" hidden="1" outlineLevel="3" x14ac:dyDescent="0.2">
      <c r="A13" s="270"/>
      <c r="B13" s="271"/>
      <c r="C13" s="270"/>
      <c r="D13" s="270"/>
      <c r="E13" s="270"/>
      <c r="F13" s="270"/>
      <c r="G13" s="271"/>
      <c r="H13" s="270"/>
      <c r="I13" s="270"/>
      <c r="J13" s="270"/>
      <c r="K13" s="270"/>
      <c r="L13" s="270"/>
      <c r="M13" s="270"/>
      <c r="N13" s="270"/>
      <c r="O13" s="270"/>
      <c r="P13" s="270"/>
      <c r="Q13" s="270"/>
      <c r="R13" s="270"/>
      <c r="S13" s="270"/>
      <c r="T13" s="270"/>
      <c r="U13" s="1019"/>
      <c r="V13" s="1066"/>
      <c r="W13" s="1067"/>
      <c r="X13" s="1068"/>
      <c r="Y13" s="627"/>
      <c r="Z13" s="492"/>
      <c r="AA13" s="493" t="s">
        <v>769</v>
      </c>
      <c r="AB13" s="1069"/>
      <c r="AC13" s="1070"/>
      <c r="AD13" s="839"/>
      <c r="AE13" s="270" t="str">
        <f t="shared" si="0"/>
        <v/>
      </c>
      <c r="AF13" s="270" t="str">
        <f t="shared" si="1"/>
        <v/>
      </c>
      <c r="AG13" s="270" t="str">
        <f t="shared" si="2"/>
        <v/>
      </c>
      <c r="AH13" s="270" t="str">
        <f t="shared" si="3"/>
        <v/>
      </c>
      <c r="AI13" s="270" t="str">
        <f>IF(Z13="","",IF(Z13&gt;AB13,Y11,""))</f>
        <v/>
      </c>
      <c r="AJ13" s="270" t="str">
        <f>IF(Z13="","",IF(Z13&lt;AB13,AC11,""))</f>
        <v/>
      </c>
      <c r="AK13" s="270" t="str">
        <f t="shared" si="4"/>
        <v/>
      </c>
      <c r="AL13" s="270"/>
      <c r="AM13" s="270"/>
      <c r="AN13" s="270"/>
      <c r="AO13" s="575"/>
      <c r="AP13" s="270"/>
      <c r="AQ13" s="270"/>
      <c r="AR13" s="270"/>
      <c r="AS13" s="270"/>
      <c r="AT13" s="270"/>
      <c r="AU13" s="270"/>
      <c r="AV13" s="270"/>
      <c r="AW13" s="270"/>
      <c r="AX13" s="270"/>
      <c r="AY13" s="270"/>
      <c r="AZ13" s="270"/>
      <c r="BA13" s="270"/>
      <c r="BB13" s="270"/>
      <c r="BC13" s="270"/>
      <c r="BD13" s="270"/>
      <c r="BE13" s="270"/>
      <c r="BF13" s="270"/>
      <c r="BG13" s="270"/>
      <c r="BH13" s="270"/>
      <c r="BI13" s="270"/>
      <c r="BJ13" s="270"/>
      <c r="BK13" s="270"/>
      <c r="BL13" s="270"/>
      <c r="BM13" s="270"/>
      <c r="BN13" s="270"/>
      <c r="BO13" s="270"/>
      <c r="BP13" s="270"/>
      <c r="BQ13" s="270"/>
      <c r="BR13" s="270"/>
      <c r="BS13" s="270"/>
      <c r="BT13" s="270"/>
      <c r="BU13" s="270"/>
      <c r="BV13" s="270"/>
      <c r="BW13" s="270"/>
      <c r="BX13" s="270"/>
      <c r="BY13" s="270"/>
      <c r="BZ13" s="270"/>
      <c r="CA13" s="270"/>
      <c r="CB13" s="270"/>
      <c r="CC13" s="270"/>
      <c r="CD13" s="270"/>
      <c r="CE13" s="1395"/>
      <c r="CF13" s="1450"/>
      <c r="CG13" s="1450"/>
      <c r="CH13" s="270"/>
      <c r="CI13" s="270"/>
      <c r="CJ13" s="270" t="str">
        <v/>
      </c>
      <c r="CK13" s="270"/>
      <c r="CL13" s="270"/>
      <c r="CM13" s="270"/>
    </row>
    <row r="14" spans="1:91" hidden="1" outlineLevel="3" x14ac:dyDescent="0.2">
      <c r="A14" s="270"/>
      <c r="B14" s="271"/>
      <c r="C14" s="270"/>
      <c r="D14" s="270"/>
      <c r="E14" s="270"/>
      <c r="F14" s="270"/>
      <c r="G14" s="271"/>
      <c r="H14" s="270"/>
      <c r="I14" s="270"/>
      <c r="J14" s="270"/>
      <c r="K14" s="270"/>
      <c r="L14" s="270"/>
      <c r="M14" s="270"/>
      <c r="N14" s="270"/>
      <c r="O14" s="270"/>
      <c r="P14" s="270"/>
      <c r="Q14" s="270"/>
      <c r="R14" s="270"/>
      <c r="S14" s="270"/>
      <c r="T14" s="270"/>
      <c r="U14" s="1019"/>
      <c r="V14" s="1066"/>
      <c r="W14" s="1067"/>
      <c r="X14" s="1068"/>
      <c r="Y14" s="627"/>
      <c r="Z14" s="492"/>
      <c r="AA14" s="493" t="s">
        <v>769</v>
      </c>
      <c r="AB14" s="1069"/>
      <c r="AC14" s="1070"/>
      <c r="AD14" s="839"/>
      <c r="AE14" s="270" t="str">
        <f t="shared" si="0"/>
        <v/>
      </c>
      <c r="AF14" s="270" t="str">
        <f t="shared" si="1"/>
        <v/>
      </c>
      <c r="AG14" s="270" t="str">
        <f t="shared" si="2"/>
        <v/>
      </c>
      <c r="AH14" s="270" t="str">
        <f t="shared" si="3"/>
        <v/>
      </c>
      <c r="AI14" s="270" t="str">
        <f>IF(Z14="","",IF(Z14&gt;AB14,Y11,""))</f>
        <v/>
      </c>
      <c r="AJ14" s="270" t="str">
        <f>IF(Z14="","",IF(Z14&lt;AB14,AC11,""))</f>
        <v/>
      </c>
      <c r="AK14" s="270" t="str">
        <f t="shared" si="4"/>
        <v/>
      </c>
      <c r="AL14" s="270"/>
      <c r="AM14" s="270"/>
      <c r="AN14" s="270"/>
      <c r="AO14" s="575"/>
      <c r="AP14" s="270"/>
      <c r="AQ14" s="270"/>
      <c r="AR14" s="270"/>
      <c r="AS14" s="270"/>
      <c r="AT14" s="270"/>
      <c r="AU14" s="270"/>
      <c r="AV14" s="270"/>
      <c r="AW14" s="270"/>
      <c r="AX14" s="270"/>
      <c r="AY14" s="270"/>
      <c r="AZ14" s="270"/>
      <c r="BA14" s="270"/>
      <c r="BB14" s="270"/>
      <c r="BC14" s="270"/>
      <c r="BD14" s="270"/>
      <c r="BE14" s="270"/>
      <c r="BF14" s="270"/>
      <c r="BG14" s="270"/>
      <c r="BH14" s="270"/>
      <c r="BI14" s="270"/>
      <c r="BJ14" s="270"/>
      <c r="BK14" s="270"/>
      <c r="BL14" s="270"/>
      <c r="BM14" s="270"/>
      <c r="BN14" s="270"/>
      <c r="BO14" s="270"/>
      <c r="BP14" s="270"/>
      <c r="BQ14" s="270"/>
      <c r="BR14" s="270"/>
      <c r="BS14" s="270"/>
      <c r="BT14" s="270"/>
      <c r="BU14" s="270"/>
      <c r="BV14" s="270"/>
      <c r="BW14" s="270"/>
      <c r="BX14" s="270"/>
      <c r="BY14" s="270"/>
      <c r="BZ14" s="270"/>
      <c r="CA14" s="270"/>
      <c r="CB14" s="270"/>
      <c r="CC14" s="270"/>
      <c r="CD14" s="270"/>
      <c r="CE14" s="1395"/>
      <c r="CF14" s="1450"/>
      <c r="CG14" s="1450"/>
      <c r="CH14" s="270"/>
      <c r="CI14" s="270"/>
      <c r="CJ14" s="270" t="str">
        <v/>
      </c>
      <c r="CK14" s="270"/>
      <c r="CL14" s="270"/>
      <c r="CM14" s="270"/>
    </row>
    <row r="15" spans="1:91" hidden="1" outlineLevel="3" x14ac:dyDescent="0.2">
      <c r="A15" s="270"/>
      <c r="B15" s="271"/>
      <c r="C15" s="270"/>
      <c r="D15" s="270"/>
      <c r="E15" s="270"/>
      <c r="F15" s="270"/>
      <c r="G15" s="271"/>
      <c r="H15" s="270"/>
      <c r="I15" s="270"/>
      <c r="J15" s="270"/>
      <c r="K15" s="270"/>
      <c r="L15" s="270"/>
      <c r="M15" s="270"/>
      <c r="N15" s="270"/>
      <c r="O15" s="270"/>
      <c r="P15" s="270"/>
      <c r="Q15" s="270"/>
      <c r="R15" s="270"/>
      <c r="S15" s="270"/>
      <c r="T15" s="270"/>
      <c r="U15" s="1019"/>
      <c r="V15" s="1066"/>
      <c r="W15" s="1067"/>
      <c r="X15" s="1068"/>
      <c r="Y15" s="627"/>
      <c r="Z15" s="492"/>
      <c r="AA15" s="493" t="s">
        <v>769</v>
      </c>
      <c r="AB15" s="1069"/>
      <c r="AC15" s="1070"/>
      <c r="AD15" s="839"/>
      <c r="AE15" s="270" t="str">
        <f t="shared" si="0"/>
        <v/>
      </c>
      <c r="AF15" s="270" t="str">
        <f t="shared" si="1"/>
        <v/>
      </c>
      <c r="AG15" s="270" t="str">
        <f t="shared" si="2"/>
        <v/>
      </c>
      <c r="AH15" s="270" t="str">
        <f t="shared" si="3"/>
        <v/>
      </c>
      <c r="AI15" s="270" t="str">
        <f>IF(Z15="","",IF(Z15&gt;AB15,Y11,""))</f>
        <v/>
      </c>
      <c r="AJ15" s="270" t="str">
        <f>IF(Z15="","",IF(Z15&lt;AB15,AC11,""))</f>
        <v/>
      </c>
      <c r="AK15" s="270" t="str">
        <f t="shared" si="4"/>
        <v/>
      </c>
      <c r="AL15" s="270"/>
      <c r="AM15" s="270"/>
      <c r="AN15" s="270"/>
      <c r="AO15" s="575"/>
      <c r="AP15" s="270"/>
      <c r="AQ15" s="270"/>
      <c r="AR15" s="270"/>
      <c r="AS15" s="270"/>
      <c r="AT15" s="270"/>
      <c r="AU15" s="270"/>
      <c r="AV15" s="270"/>
      <c r="AW15" s="270"/>
      <c r="AX15" s="270"/>
      <c r="AY15" s="270"/>
      <c r="AZ15" s="270"/>
      <c r="BA15" s="270"/>
      <c r="BB15" s="270"/>
      <c r="BC15" s="270"/>
      <c r="BD15" s="270"/>
      <c r="BE15" s="270"/>
      <c r="BF15" s="270"/>
      <c r="BG15" s="270"/>
      <c r="BH15" s="270"/>
      <c r="BI15" s="270"/>
      <c r="BJ15" s="270"/>
      <c r="BK15" s="270"/>
      <c r="BL15" s="270"/>
      <c r="BM15" s="270"/>
      <c r="BN15" s="270"/>
      <c r="BO15" s="270"/>
      <c r="BP15" s="270"/>
      <c r="BQ15" s="270"/>
      <c r="BR15" s="270"/>
      <c r="BS15" s="270"/>
      <c r="BT15" s="270"/>
      <c r="BU15" s="270"/>
      <c r="BV15" s="270"/>
      <c r="BW15" s="270"/>
      <c r="BX15" s="270"/>
      <c r="BY15" s="270"/>
      <c r="BZ15" s="270"/>
      <c r="CA15" s="270"/>
      <c r="CB15" s="270"/>
      <c r="CC15" s="270"/>
      <c r="CD15" s="270"/>
      <c r="CE15" s="1395"/>
      <c r="CF15" s="1450"/>
      <c r="CG15" s="1450"/>
      <c r="CH15" s="270"/>
      <c r="CI15" s="270"/>
      <c r="CJ15" s="270" t="str">
        <v/>
      </c>
      <c r="CK15" s="270"/>
      <c r="CL15" s="270"/>
      <c r="CM15" s="270"/>
    </row>
    <row r="16" spans="1:91" hidden="1" outlineLevel="3" x14ac:dyDescent="0.2">
      <c r="A16" s="270"/>
      <c r="B16" s="271"/>
      <c r="C16" s="12"/>
      <c r="D16" s="1071"/>
      <c r="E16" s="1071"/>
      <c r="F16" s="1071"/>
      <c r="G16" s="626"/>
      <c r="H16" s="271"/>
      <c r="I16" s="270"/>
      <c r="J16" s="270"/>
      <c r="K16" s="270"/>
      <c r="L16" s="270"/>
      <c r="M16" s="270"/>
      <c r="N16" s="270"/>
      <c r="O16" s="270"/>
      <c r="P16" s="1072"/>
      <c r="Q16" s="270"/>
      <c r="R16" s="270"/>
      <c r="S16" s="1072"/>
      <c r="T16" s="270"/>
      <c r="U16" s="1019"/>
      <c r="V16" s="1073"/>
      <c r="W16" s="1074"/>
      <c r="X16" s="1075" t="str">
        <f>N_Substitute</f>
        <v>Remplaçant</v>
      </c>
      <c r="Y16" s="627"/>
      <c r="Z16" s="492"/>
      <c r="AA16" s="1076"/>
      <c r="AB16" s="1069"/>
      <c r="AC16" s="1070"/>
      <c r="AD16" s="839"/>
      <c r="AE16" s="270"/>
      <c r="AF16" s="270"/>
      <c r="AG16" s="270"/>
      <c r="AH16" s="270"/>
      <c r="AI16" s="270"/>
      <c r="AJ16" s="270"/>
      <c r="AK16" s="270"/>
      <c r="AL16" s="270"/>
      <c r="AM16" s="270"/>
      <c r="AN16" s="270"/>
      <c r="AO16" s="271"/>
      <c r="AP16" s="270"/>
      <c r="AQ16" s="270"/>
      <c r="AR16" s="270"/>
      <c r="AS16" s="270"/>
      <c r="AT16" s="270"/>
      <c r="AU16" s="270"/>
      <c r="AV16" s="270"/>
      <c r="AW16" s="270"/>
      <c r="AX16" s="270"/>
      <c r="AY16" s="1072"/>
      <c r="AZ16" s="270"/>
      <c r="BA16" s="270"/>
      <c r="BB16" s="1072"/>
      <c r="BC16" s="270"/>
      <c r="BD16" s="270"/>
      <c r="BE16" s="270"/>
      <c r="BF16" s="270"/>
      <c r="BG16" s="270"/>
      <c r="BH16" s="270"/>
      <c r="BI16" s="270"/>
      <c r="BJ16" s="270"/>
      <c r="BK16" s="270"/>
      <c r="BL16" s="270"/>
      <c r="BM16" s="270"/>
      <c r="BN16" s="270"/>
      <c r="BO16" s="270"/>
      <c r="BP16" s="270"/>
      <c r="BQ16" s="270"/>
      <c r="BR16" s="270"/>
      <c r="BS16" s="270"/>
      <c r="BT16" s="270"/>
      <c r="BU16" s="270"/>
      <c r="BV16" s="270"/>
      <c r="BW16" s="270"/>
      <c r="BX16" s="270"/>
      <c r="BY16" s="270"/>
      <c r="BZ16" s="270"/>
      <c r="CA16" s="270"/>
      <c r="CB16" s="270"/>
      <c r="CC16" s="270"/>
      <c r="CD16" s="270"/>
      <c r="CE16" s="1395"/>
      <c r="CF16" s="1450"/>
      <c r="CG16" s="1450"/>
      <c r="CH16" s="270"/>
      <c r="CI16" s="270"/>
      <c r="CJ16" s="270" t="str">
        <v/>
      </c>
      <c r="CK16" s="270"/>
      <c r="CL16" s="270"/>
      <c r="CM16" s="270"/>
    </row>
    <row r="17" spans="1:91" ht="13.5" hidden="1" outlineLevel="3" thickBot="1" x14ac:dyDescent="0.25">
      <c r="A17" s="270"/>
      <c r="B17" s="271"/>
      <c r="C17" s="12"/>
      <c r="D17" s="1071"/>
      <c r="E17" s="1071"/>
      <c r="F17" s="1071"/>
      <c r="G17" s="626"/>
      <c r="H17" s="271"/>
      <c r="I17" s="270"/>
      <c r="J17" s="270"/>
      <c r="K17" s="270"/>
      <c r="L17" s="270"/>
      <c r="M17" s="270"/>
      <c r="N17" s="270"/>
      <c r="O17" s="270"/>
      <c r="P17" s="1072"/>
      <c r="Q17" s="270"/>
      <c r="R17" s="270"/>
      <c r="S17" s="1072"/>
      <c r="T17" s="270"/>
      <c r="U17" s="1019"/>
      <c r="V17" s="1077"/>
      <c r="W17" s="1078"/>
      <c r="X17" s="1079" t="str">
        <f>N_Substitute</f>
        <v>Remplaçant</v>
      </c>
      <c r="Y17" s="1080"/>
      <c r="Z17" s="1081"/>
      <c r="AA17" s="1082"/>
      <c r="AB17" s="1083"/>
      <c r="AC17" s="1084"/>
      <c r="AD17" s="839"/>
      <c r="AE17" s="270"/>
      <c r="AF17" s="270"/>
      <c r="AG17" s="270"/>
      <c r="AH17" s="270"/>
      <c r="AI17" s="270"/>
      <c r="AJ17" s="270"/>
      <c r="AK17" s="270"/>
      <c r="AL17" s="270"/>
      <c r="AM17" s="270"/>
      <c r="AN17" s="270"/>
      <c r="AO17" s="271"/>
      <c r="AP17" s="270"/>
      <c r="AQ17" s="270"/>
      <c r="AR17" s="270"/>
      <c r="AS17" s="270"/>
      <c r="AT17" s="270"/>
      <c r="AU17" s="270"/>
      <c r="AV17" s="270"/>
      <c r="AW17" s="270"/>
      <c r="AX17" s="270"/>
      <c r="AY17" s="1072"/>
      <c r="AZ17" s="270"/>
      <c r="BA17" s="270"/>
      <c r="BB17" s="1072"/>
      <c r="BC17" s="270"/>
      <c r="BD17" s="270"/>
      <c r="BE17" s="270"/>
      <c r="BF17" s="270"/>
      <c r="BG17" s="270"/>
      <c r="BH17" s="270"/>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1395"/>
      <c r="CF17" s="1450"/>
      <c r="CG17" s="1450"/>
      <c r="CH17" s="270"/>
      <c r="CI17" s="270"/>
      <c r="CJ17" s="270" t="str">
        <v/>
      </c>
      <c r="CK17" s="270"/>
      <c r="CL17" s="270"/>
      <c r="CM17" s="270"/>
    </row>
    <row r="18" spans="1:91" ht="13.5" hidden="1" outlineLevel="2" collapsed="1" thickBot="1" x14ac:dyDescent="0.25">
      <c r="A18" s="270"/>
      <c r="B18" s="271"/>
      <c r="C18" s="270"/>
      <c r="D18" s="270"/>
      <c r="E18" s="270"/>
      <c r="F18" s="270"/>
      <c r="G18" s="271"/>
      <c r="H18" s="270"/>
      <c r="I18" s="270"/>
      <c r="J18" s="270"/>
      <c r="K18" s="270"/>
      <c r="L18" s="270"/>
      <c r="M18" s="270"/>
      <c r="N18" s="270"/>
      <c r="O18" s="270"/>
      <c r="P18" s="270"/>
      <c r="Q18" s="270"/>
      <c r="R18" s="270"/>
      <c r="S18" s="270"/>
      <c r="T18" s="270"/>
      <c r="U18" s="1019" t="s">
        <v>1727</v>
      </c>
      <c r="V18" s="1085"/>
      <c r="W18" s="1522"/>
      <c r="X18" s="1523"/>
      <c r="Y18" s="1062" t="str">
        <f>IF(COUNTA(G7:G9) =3,GMFTGROUPORDERTEAM(G7:G9,Y11:Y31,AC11:AC31),"")</f>
        <v>Eq2</v>
      </c>
      <c r="Z18" s="1086" t="str">
        <f>IF(OR(ISNUMBER(Z19),ISNUMBER(Z20),ISNUMBER(Z21),ISNUMBER(Z22)),4-COUNTBLANK(AI19:AI22),"")</f>
        <v/>
      </c>
      <c r="AA18" s="1064" t="s">
        <v>769</v>
      </c>
      <c r="AB18" s="1063" t="str">
        <f>IF(OR(ISNUMBER(Z19),ISNUMBER(Z20),ISNUMBER(Z21),ISNUMBER(Z22)),4-COUNTBLANK(AJ19:AJ22),"")</f>
        <v/>
      </c>
      <c r="AC18" s="1065" t="str">
        <f>IF(COUNTA(G7:G9) =3,GMFTGROUPORDERTEAM(G7:G9,Y11:Y31,AC11:AC31),"")</f>
        <v>Eq3</v>
      </c>
      <c r="AD18" s="839"/>
      <c r="AE18" s="270" t="str">
        <f>IF(Z18="","",IF(Z18&gt;AB18,Y18,IF(Z18=AB18,IF(NoDrawWithWithdraw,IF(AL18=Y18,AC18,IF(AL18=AC18,Y18,"")),""),AC18)))</f>
        <v/>
      </c>
      <c r="AF18" s="270" t="str">
        <f>IF(Z18="","",IF(Z18=AB18,IF(NoDrawWithWithdraw,IF(AL18=Y18,"",IF(AL18=AC18,"",Y18)),Y18),""))</f>
        <v/>
      </c>
      <c r="AG18" s="270" t="str">
        <f>IF(Z18="","",IF(Z18=AB18,IF(NoDrawWithWithdraw,IF(AL18=Y18,"",IF(AL18=AC18,"",AC18)),AC18),""))</f>
        <v/>
      </c>
      <c r="AH18" s="270" t="str">
        <f>IF(Z18="","",IF(Z18&lt;AB18,Y18,IF(Z18=AB18,IF(NoDrawWithWithdraw,IF(AL18=Y18,Y18,IF(AL18=AC18,AC18,"")),""),AC18)))</f>
        <v/>
      </c>
      <c r="AI18" s="270" t="str">
        <f>IF(Z18="","",SUM(Z19:Z22))</f>
        <v/>
      </c>
      <c r="AJ18" s="270" t="str">
        <f>IF(Z18="","",SUM(AB19:AB22))</f>
        <v/>
      </c>
      <c r="AK18" s="270" t="str">
        <f>CONCATENATE(AE18,AH18)</f>
        <v/>
      </c>
      <c r="AL18" s="270" t="str">
        <f>IF(COUNTIF(Y19:Y22,WithdrawLabel)&gt;COUNTIF(AC19:AC22,WithdrawLabel),Y18,IF(COUNTIF(AC19:AC22,WithdrawLabel)&gt;COUNTIF(Y19:Y22,WithdrawLabel),AC18,""))</f>
        <v/>
      </c>
      <c r="AM18" s="270"/>
      <c r="AN18" s="270"/>
      <c r="AO18" s="575"/>
      <c r="AP18" s="270"/>
      <c r="AQ18" s="270"/>
      <c r="AR18" s="270"/>
      <c r="AS18" s="270"/>
      <c r="AT18" s="270"/>
      <c r="AU18" s="270"/>
      <c r="AV18" s="270"/>
      <c r="AW18" s="270"/>
      <c r="AX18" s="270"/>
      <c r="AY18" s="270"/>
      <c r="AZ18" s="270"/>
      <c r="BA18" s="270"/>
      <c r="BB18" s="270"/>
      <c r="BC18" s="270"/>
      <c r="BD18" s="270"/>
      <c r="BE18" s="270"/>
      <c r="BF18" s="270"/>
      <c r="BG18" s="270"/>
      <c r="BH18" s="270"/>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1395"/>
      <c r="CF18" s="1450"/>
      <c r="CG18" s="1450"/>
      <c r="CH18" s="270"/>
      <c r="CI18" s="270"/>
      <c r="CJ18" s="270" t="str">
        <v/>
      </c>
      <c r="CK18" s="270"/>
      <c r="CL18" s="270"/>
      <c r="CM18" s="270"/>
    </row>
    <row r="19" spans="1:91" hidden="1" outlineLevel="3" x14ac:dyDescent="0.2">
      <c r="A19" s="270"/>
      <c r="B19" s="271"/>
      <c r="C19" s="270"/>
      <c r="D19" s="270"/>
      <c r="E19" s="270"/>
      <c r="F19" s="270"/>
      <c r="G19" s="271"/>
      <c r="H19" s="270"/>
      <c r="I19" s="270"/>
      <c r="J19" s="270"/>
      <c r="K19" s="270"/>
      <c r="L19" s="270"/>
      <c r="M19" s="270"/>
      <c r="N19" s="270"/>
      <c r="O19" s="270"/>
      <c r="P19" s="270"/>
      <c r="Q19" s="270"/>
      <c r="R19" s="270"/>
      <c r="S19" s="270"/>
      <c r="T19" s="270"/>
      <c r="U19" s="1019"/>
      <c r="V19" s="1066"/>
      <c r="W19" s="1067"/>
      <c r="X19" s="1068"/>
      <c r="Y19" s="627"/>
      <c r="Z19" s="492"/>
      <c r="AA19" s="493" t="s">
        <v>769</v>
      </c>
      <c r="AB19" s="1069"/>
      <c r="AC19" s="1070"/>
      <c r="AD19" s="839"/>
      <c r="AE19" s="270" t="str">
        <f t="shared" si="0"/>
        <v/>
      </c>
      <c r="AF19" s="270" t="str">
        <f t="shared" si="1"/>
        <v/>
      </c>
      <c r="AG19" s="270" t="str">
        <f t="shared" si="2"/>
        <v/>
      </c>
      <c r="AH19" s="270" t="str">
        <f t="shared" si="3"/>
        <v/>
      </c>
      <c r="AI19" s="270" t="str">
        <f>IF(Z19="","",IF(Z19&gt;AB19,Y18,""))</f>
        <v/>
      </c>
      <c r="AJ19" s="270" t="str">
        <f>IF(Z19="","",IF(Z19&lt;AB19,AC18,""))</f>
        <v/>
      </c>
      <c r="AK19" s="270" t="str">
        <f t="shared" si="4"/>
        <v/>
      </c>
      <c r="AL19" s="270"/>
      <c r="AM19" s="270"/>
      <c r="AN19" s="270"/>
      <c r="AO19" s="575"/>
      <c r="AP19" s="270"/>
      <c r="AQ19" s="270"/>
      <c r="AR19" s="270"/>
      <c r="AS19" s="270"/>
      <c r="AT19" s="270"/>
      <c r="AU19" s="270"/>
      <c r="AV19" s="270"/>
      <c r="AW19" s="270"/>
      <c r="AX19" s="270"/>
      <c r="AY19" s="270"/>
      <c r="AZ19" s="270"/>
      <c r="BA19" s="270"/>
      <c r="BB19" s="270"/>
      <c r="BC19" s="270"/>
      <c r="BD19" s="270"/>
      <c r="BE19" s="270"/>
      <c r="BF19" s="270"/>
      <c r="BG19" s="270"/>
      <c r="BH19" s="270"/>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1395"/>
      <c r="CF19" s="1450"/>
      <c r="CG19" s="1450"/>
      <c r="CH19" s="270"/>
      <c r="CI19" s="270"/>
      <c r="CJ19" s="270" t="str">
        <v/>
      </c>
      <c r="CK19" s="270"/>
      <c r="CL19" s="270"/>
      <c r="CM19" s="270"/>
    </row>
    <row r="20" spans="1:91" hidden="1" outlineLevel="3" x14ac:dyDescent="0.2">
      <c r="A20" s="270"/>
      <c r="B20" s="271"/>
      <c r="C20" s="270"/>
      <c r="D20" s="270"/>
      <c r="E20" s="270"/>
      <c r="F20" s="270"/>
      <c r="G20" s="271"/>
      <c r="H20" s="270"/>
      <c r="I20" s="270"/>
      <c r="J20" s="270"/>
      <c r="K20" s="270"/>
      <c r="L20" s="270"/>
      <c r="M20" s="270"/>
      <c r="N20" s="270"/>
      <c r="O20" s="270"/>
      <c r="P20" s="270"/>
      <c r="Q20" s="270"/>
      <c r="R20" s="270"/>
      <c r="S20" s="270"/>
      <c r="T20" s="270"/>
      <c r="U20" s="1019"/>
      <c r="V20" s="1066"/>
      <c r="W20" s="1067"/>
      <c r="X20" s="1068"/>
      <c r="Y20" s="627"/>
      <c r="Z20" s="492"/>
      <c r="AA20" s="493" t="s">
        <v>769</v>
      </c>
      <c r="AB20" s="1069"/>
      <c r="AC20" s="1070"/>
      <c r="AD20" s="839"/>
      <c r="AE20" s="270" t="str">
        <f t="shared" si="0"/>
        <v/>
      </c>
      <c r="AF20" s="270" t="str">
        <f t="shared" si="1"/>
        <v/>
      </c>
      <c r="AG20" s="270" t="str">
        <f t="shared" si="2"/>
        <v/>
      </c>
      <c r="AH20" s="270" t="str">
        <f t="shared" si="3"/>
        <v/>
      </c>
      <c r="AI20" s="270" t="str">
        <f>IF(Z20="","",IF(Z20&gt;AB20,Y18,""))</f>
        <v/>
      </c>
      <c r="AJ20" s="270" t="str">
        <f>IF(Z20="","",IF(Z20&lt;AB20,AC18,""))</f>
        <v/>
      </c>
      <c r="AK20" s="270" t="str">
        <f t="shared" si="4"/>
        <v/>
      </c>
      <c r="AL20" s="270"/>
      <c r="AM20" s="270"/>
      <c r="AN20" s="270"/>
      <c r="AO20" s="575"/>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1395"/>
      <c r="CF20" s="1450"/>
      <c r="CG20" s="1450"/>
      <c r="CH20" s="270"/>
      <c r="CI20" s="270"/>
      <c r="CJ20" s="270" t="str">
        <v/>
      </c>
      <c r="CK20" s="270"/>
      <c r="CL20" s="270"/>
      <c r="CM20" s="270"/>
    </row>
    <row r="21" spans="1:91" hidden="1" outlineLevel="3" x14ac:dyDescent="0.2">
      <c r="A21" s="270"/>
      <c r="B21" s="271"/>
      <c r="C21" s="270"/>
      <c r="D21" s="270"/>
      <c r="E21" s="270"/>
      <c r="F21" s="270"/>
      <c r="G21" s="271"/>
      <c r="H21" s="270"/>
      <c r="I21" s="270"/>
      <c r="J21" s="270"/>
      <c r="K21" s="270"/>
      <c r="L21" s="270"/>
      <c r="M21" s="270"/>
      <c r="N21" s="270"/>
      <c r="O21" s="270"/>
      <c r="P21" s="270"/>
      <c r="Q21" s="270"/>
      <c r="R21" s="270"/>
      <c r="S21" s="270"/>
      <c r="T21" s="270"/>
      <c r="U21" s="1019"/>
      <c r="V21" s="1066"/>
      <c r="W21" s="1067"/>
      <c r="X21" s="1068"/>
      <c r="Y21" s="627"/>
      <c r="Z21" s="492"/>
      <c r="AA21" s="493" t="s">
        <v>769</v>
      </c>
      <c r="AB21" s="1069"/>
      <c r="AC21" s="1070"/>
      <c r="AD21" s="839"/>
      <c r="AE21" s="270" t="str">
        <f t="shared" si="0"/>
        <v/>
      </c>
      <c r="AF21" s="270" t="str">
        <f t="shared" si="1"/>
        <v/>
      </c>
      <c r="AG21" s="270" t="str">
        <f t="shared" si="2"/>
        <v/>
      </c>
      <c r="AH21" s="270" t="str">
        <f t="shared" si="3"/>
        <v/>
      </c>
      <c r="AI21" s="270" t="str">
        <f>IF(Z21="","",IF(Z21&gt;AB21,Y18,""))</f>
        <v/>
      </c>
      <c r="AJ21" s="270" t="str">
        <f>IF(Z21="","",IF(Z21&lt;AB21,AC18,""))</f>
        <v/>
      </c>
      <c r="AK21" s="270" t="str">
        <f t="shared" si="4"/>
        <v/>
      </c>
      <c r="AL21" s="270"/>
      <c r="AM21" s="270"/>
      <c r="AN21" s="270"/>
      <c r="AO21" s="575"/>
      <c r="AP21" s="270"/>
      <c r="AQ21" s="270"/>
      <c r="AR21" s="270"/>
      <c r="AS21" s="270"/>
      <c r="AT21" s="270"/>
      <c r="AU21" s="270"/>
      <c r="AV21" s="270"/>
      <c r="AW21" s="270"/>
      <c r="AX21" s="270"/>
      <c r="AY21" s="270"/>
      <c r="AZ21" s="270"/>
      <c r="BA21" s="270"/>
      <c r="BB21" s="270"/>
      <c r="BC21" s="270"/>
      <c r="BD21" s="270"/>
      <c r="BE21" s="270"/>
      <c r="BF21" s="270"/>
      <c r="BG21" s="270"/>
      <c r="BH21" s="270"/>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1395"/>
      <c r="CF21" s="1450"/>
      <c r="CG21" s="1450"/>
      <c r="CH21" s="270"/>
      <c r="CI21" s="270"/>
      <c r="CJ21" s="270" t="str">
        <v/>
      </c>
      <c r="CK21" s="270"/>
      <c r="CL21" s="270"/>
      <c r="CM21" s="270"/>
    </row>
    <row r="22" spans="1:91" hidden="1" outlineLevel="3" x14ac:dyDescent="0.2">
      <c r="A22" s="270"/>
      <c r="B22" s="271"/>
      <c r="C22" s="270"/>
      <c r="D22" s="270"/>
      <c r="E22" s="270"/>
      <c r="F22" s="270"/>
      <c r="G22" s="271"/>
      <c r="H22" s="270"/>
      <c r="I22" s="270"/>
      <c r="J22" s="270"/>
      <c r="K22" s="270"/>
      <c r="L22" s="270"/>
      <c r="M22" s="270"/>
      <c r="N22" s="270"/>
      <c r="O22" s="270"/>
      <c r="P22" s="270"/>
      <c r="Q22" s="270"/>
      <c r="R22" s="270"/>
      <c r="S22" s="270"/>
      <c r="T22" s="270"/>
      <c r="U22" s="1019"/>
      <c r="V22" s="1066"/>
      <c r="W22" s="1067"/>
      <c r="X22" s="1068"/>
      <c r="Y22" s="627"/>
      <c r="Z22" s="492"/>
      <c r="AA22" s="493" t="s">
        <v>769</v>
      </c>
      <c r="AB22" s="1069"/>
      <c r="AC22" s="1070"/>
      <c r="AD22" s="839"/>
      <c r="AE22" s="270" t="str">
        <f t="shared" si="0"/>
        <v/>
      </c>
      <c r="AF22" s="270" t="str">
        <f t="shared" si="1"/>
        <v/>
      </c>
      <c r="AG22" s="270" t="str">
        <f t="shared" si="2"/>
        <v/>
      </c>
      <c r="AH22" s="270" t="str">
        <f t="shared" si="3"/>
        <v/>
      </c>
      <c r="AI22" s="270" t="str">
        <f>IF(Z22="","",IF(Z22&gt;AB22,Y18,""))</f>
        <v/>
      </c>
      <c r="AJ22" s="270" t="str">
        <f>IF(Z22="","",IF(Z22&lt;AB22,AC18,""))</f>
        <v/>
      </c>
      <c r="AK22" s="270" t="str">
        <f t="shared" si="4"/>
        <v/>
      </c>
      <c r="AL22" s="270"/>
      <c r="AM22" s="270"/>
      <c r="AN22" s="270"/>
      <c r="AO22" s="575"/>
      <c r="AP22" s="270"/>
      <c r="AQ22" s="270"/>
      <c r="AR22" s="270"/>
      <c r="AS22" s="270"/>
      <c r="AT22" s="270"/>
      <c r="AU22" s="270"/>
      <c r="AV22" s="270"/>
      <c r="AW22" s="270"/>
      <c r="AX22" s="270"/>
      <c r="AY22" s="270"/>
      <c r="AZ22" s="270"/>
      <c r="BA22" s="270"/>
      <c r="BB22" s="270"/>
      <c r="BC22" s="270"/>
      <c r="BD22" s="270"/>
      <c r="BE22" s="270"/>
      <c r="BF22" s="270"/>
      <c r="BG22" s="270"/>
      <c r="BH22" s="270"/>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1395"/>
      <c r="CF22" s="1450"/>
      <c r="CG22" s="1450"/>
      <c r="CH22" s="270"/>
      <c r="CI22" s="270"/>
      <c r="CJ22" s="270" t="str">
        <v/>
      </c>
      <c r="CK22" s="270"/>
      <c r="CL22" s="270"/>
      <c r="CM22" s="270"/>
    </row>
    <row r="23" spans="1:91" hidden="1" outlineLevel="3" x14ac:dyDescent="0.2">
      <c r="A23" s="270"/>
      <c r="B23" s="271"/>
      <c r="C23" s="12"/>
      <c r="D23" s="1071"/>
      <c r="E23" s="1071"/>
      <c r="F23" s="1071"/>
      <c r="G23" s="626"/>
      <c r="H23" s="271"/>
      <c r="I23" s="270"/>
      <c r="J23" s="270"/>
      <c r="K23" s="270"/>
      <c r="L23" s="270"/>
      <c r="M23" s="270"/>
      <c r="N23" s="270"/>
      <c r="O23" s="270"/>
      <c r="P23" s="1072"/>
      <c r="Q23" s="270"/>
      <c r="R23" s="270"/>
      <c r="S23" s="1072"/>
      <c r="T23" s="270"/>
      <c r="U23" s="1019"/>
      <c r="V23" s="1073"/>
      <c r="W23" s="1074"/>
      <c r="X23" s="1075" t="str">
        <f>N_Substitute</f>
        <v>Remplaçant</v>
      </c>
      <c r="Y23" s="627"/>
      <c r="Z23" s="492"/>
      <c r="AA23" s="1076"/>
      <c r="AB23" s="1069"/>
      <c r="AC23" s="1070"/>
      <c r="AD23" s="839"/>
      <c r="AE23" s="270"/>
      <c r="AF23" s="270"/>
      <c r="AG23" s="270"/>
      <c r="AH23" s="270"/>
      <c r="AI23" s="270"/>
      <c r="AJ23" s="270"/>
      <c r="AK23" s="270"/>
      <c r="AL23" s="270"/>
      <c r="AM23" s="270"/>
      <c r="AN23" s="270"/>
      <c r="AO23" s="271"/>
      <c r="AP23" s="270"/>
      <c r="AQ23" s="270"/>
      <c r="AR23" s="270"/>
      <c r="AS23" s="270"/>
      <c r="AT23" s="270"/>
      <c r="AU23" s="270"/>
      <c r="AV23" s="270"/>
      <c r="AW23" s="270"/>
      <c r="AX23" s="270"/>
      <c r="AY23" s="1072"/>
      <c r="AZ23" s="270"/>
      <c r="BA23" s="270"/>
      <c r="BB23" s="1072"/>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1395"/>
      <c r="CF23" s="1450"/>
      <c r="CG23" s="1450"/>
      <c r="CH23" s="270"/>
      <c r="CI23" s="270"/>
      <c r="CJ23" s="270" t="str">
        <v/>
      </c>
      <c r="CK23" s="270"/>
      <c r="CL23" s="270"/>
      <c r="CM23" s="270"/>
    </row>
    <row r="24" spans="1:91" ht="13.5" hidden="1" outlineLevel="3" thickBot="1" x14ac:dyDescent="0.25">
      <c r="A24" s="270"/>
      <c r="B24" s="271"/>
      <c r="C24" s="12"/>
      <c r="D24" s="1071"/>
      <c r="E24" s="1071"/>
      <c r="F24" s="1071"/>
      <c r="G24" s="626"/>
      <c r="H24" s="271"/>
      <c r="I24" s="270"/>
      <c r="J24" s="270"/>
      <c r="K24" s="270"/>
      <c r="L24" s="270"/>
      <c r="M24" s="270"/>
      <c r="N24" s="270"/>
      <c r="O24" s="270"/>
      <c r="P24" s="1072"/>
      <c r="Q24" s="270"/>
      <c r="R24" s="270"/>
      <c r="S24" s="1072"/>
      <c r="T24" s="270"/>
      <c r="U24" s="1019"/>
      <c r="V24" s="1087"/>
      <c r="W24" s="1088"/>
      <c r="X24" s="1089" t="str">
        <f>N_Substitute</f>
        <v>Remplaçant</v>
      </c>
      <c r="Y24" s="631"/>
      <c r="Z24" s="496"/>
      <c r="AA24" s="1090"/>
      <c r="AB24" s="1091"/>
      <c r="AC24" s="1092"/>
      <c r="AD24" s="839"/>
      <c r="AE24" s="270"/>
      <c r="AF24" s="270"/>
      <c r="AG24" s="270"/>
      <c r="AH24" s="270"/>
      <c r="AI24" s="270"/>
      <c r="AJ24" s="270"/>
      <c r="AK24" s="270"/>
      <c r="AL24" s="270"/>
      <c r="AM24" s="270"/>
      <c r="AN24" s="270"/>
      <c r="AO24" s="271"/>
      <c r="AP24" s="270"/>
      <c r="AQ24" s="270"/>
      <c r="AR24" s="270"/>
      <c r="AS24" s="270"/>
      <c r="AT24" s="270"/>
      <c r="AU24" s="270"/>
      <c r="AV24" s="270"/>
      <c r="AW24" s="270"/>
      <c r="AX24" s="270"/>
      <c r="AY24" s="1072"/>
      <c r="AZ24" s="270"/>
      <c r="BA24" s="270"/>
      <c r="BB24" s="1072"/>
      <c r="BC24" s="270"/>
      <c r="BD24" s="270"/>
      <c r="BE24" s="270"/>
      <c r="BF24" s="270"/>
      <c r="BG24" s="270"/>
      <c r="BH24" s="270"/>
      <c r="BI24" s="270"/>
      <c r="BJ24" s="270"/>
      <c r="BK24" s="270"/>
      <c r="BL24" s="270"/>
      <c r="BM24" s="270"/>
      <c r="BN24" s="270"/>
      <c r="BO24" s="270"/>
      <c r="BP24" s="270"/>
      <c r="BQ24" s="270"/>
      <c r="BR24" s="270"/>
      <c r="BS24" s="270"/>
      <c r="BT24" s="270"/>
      <c r="BU24" s="270"/>
      <c r="BV24" s="270"/>
      <c r="BW24" s="270"/>
      <c r="BX24" s="270"/>
      <c r="BY24" s="270"/>
      <c r="BZ24" s="270"/>
      <c r="CA24" s="270"/>
      <c r="CB24" s="270"/>
      <c r="CC24" s="270"/>
      <c r="CD24" s="270"/>
      <c r="CE24" s="1395"/>
      <c r="CF24" s="1450"/>
      <c r="CG24" s="1450"/>
      <c r="CH24" s="270"/>
      <c r="CI24" s="270"/>
      <c r="CJ24" s="270" t="str">
        <v/>
      </c>
      <c r="CK24" s="270"/>
      <c r="CL24" s="270"/>
      <c r="CM24" s="270"/>
    </row>
    <row r="25" spans="1:91" ht="13.5" hidden="1" outlineLevel="2" collapsed="1" thickBot="1" x14ac:dyDescent="0.25">
      <c r="A25" s="270"/>
      <c r="B25" s="271"/>
      <c r="C25" s="270"/>
      <c r="D25" s="270"/>
      <c r="E25" s="270"/>
      <c r="F25" s="270"/>
      <c r="G25" s="271"/>
      <c r="H25" s="270"/>
      <c r="I25" s="270"/>
      <c r="J25" s="270"/>
      <c r="K25" s="270"/>
      <c r="L25" s="270"/>
      <c r="M25" s="270"/>
      <c r="N25" s="270"/>
      <c r="O25" s="270"/>
      <c r="P25" s="270"/>
      <c r="Q25" s="270"/>
      <c r="R25" s="270"/>
      <c r="S25" s="270"/>
      <c r="T25" s="270"/>
      <c r="U25" s="1019" t="s">
        <v>1728</v>
      </c>
      <c r="V25" s="1061"/>
      <c r="W25" s="1520"/>
      <c r="X25" s="1521"/>
      <c r="Y25" s="1093" t="str">
        <f>IF(COUNTA(G7:G9) =3,GMFTGROUPORDERTEAM(G7:G9,Y11:Y31,AC11:AC31),"")</f>
        <v>Eq1</v>
      </c>
      <c r="Z25" s="1094" t="str">
        <f>IF(OR(ISNUMBER(Z26),ISNUMBER(Z27),ISNUMBER(Z28),ISNUMBER(Z29)),4-COUNTBLANK(AI26:AI29),"")</f>
        <v/>
      </c>
      <c r="AA25" s="1095" t="s">
        <v>769</v>
      </c>
      <c r="AB25" s="1094" t="str">
        <f>IF(OR(ISNUMBER(Z26),ISNUMBER(Z27),ISNUMBER(Z28),ISNUMBER(Z29)),4-COUNTBLANK(AJ26:AJ29),"")</f>
        <v/>
      </c>
      <c r="AC25" s="1096" t="str">
        <f>IF(COUNTA(G7:G9) =3,GMFTGROUPORDERTEAM(G7:G9,Y11:Y31,AC11:AC31),"")</f>
        <v>Eq2</v>
      </c>
      <c r="AD25" s="839"/>
      <c r="AE25" s="270" t="str">
        <f>IF(Z25="","",IF(Z25&gt;AB25,Y25,IF(Z25=AB25,IF(NoDrawWithWithdraw,IF(AL25=Y25,AC25,IF(AL25=AC25,Y25,"")),""),AC25)))</f>
        <v/>
      </c>
      <c r="AF25" s="270" t="str">
        <f>IF(Z25="","",IF(Z25=AB25,IF(NoDrawWithWithdraw,IF(AL25=Y25,"",IF(AL25=AC25,"",Y25)),Y25),""))</f>
        <v/>
      </c>
      <c r="AG25" s="270" t="str">
        <f>IF(Z25="","",IF(Z25=AB25,IF(NoDrawWithWithdraw,IF(AL25=Y25,"",IF(AL25=AC25,"",AC25)),AC25),""))</f>
        <v/>
      </c>
      <c r="AH25" s="270" t="str">
        <f>IF(Z25="","",IF(Z25&lt;AB25,Y25,IF(Z25=AB25,IF(NoDrawWithWithdraw,IF(AL25=Y25,Y25,IF(AL25=AC25,AC25,"")),""),AC25)))</f>
        <v/>
      </c>
      <c r="AI25" s="270" t="str">
        <f>IF(Z25="","",SUM(Z26:Z29))</f>
        <v/>
      </c>
      <c r="AJ25" s="270" t="str">
        <f>IF(Z25="","",SUM(AB26:AB29))</f>
        <v/>
      </c>
      <c r="AK25" s="270" t="str">
        <f>CONCATENATE(AE25,AH25)</f>
        <v/>
      </c>
      <c r="AL25" s="270" t="str">
        <f>IF(COUNTIF(Y26:Y29,WithdrawLabel)&gt;COUNTIF(AC26:AC29,WithdrawLabel),Y25,IF(COUNTIF(AC26:AC29,WithdrawLabel)&gt;COUNTIF(Y26:Y29,WithdrawLabel),AC25,""))</f>
        <v/>
      </c>
      <c r="AM25" s="270"/>
      <c r="AN25" s="270"/>
      <c r="AO25" s="575"/>
      <c r="AP25" s="270"/>
      <c r="AQ25" s="270"/>
      <c r="AR25" s="270"/>
      <c r="AS25" s="270"/>
      <c r="AT25" s="270"/>
      <c r="AU25" s="270"/>
      <c r="AV25" s="270"/>
      <c r="AW25" s="270"/>
      <c r="AX25" s="270"/>
      <c r="AY25" s="270"/>
      <c r="AZ25" s="270"/>
      <c r="BA25" s="270"/>
      <c r="BB25" s="270"/>
      <c r="BC25" s="270"/>
      <c r="BD25" s="270"/>
      <c r="BE25" s="270"/>
      <c r="BF25" s="270"/>
      <c r="BG25" s="270"/>
      <c r="BH25" s="270"/>
      <c r="BI25" s="270"/>
      <c r="BJ25" s="270"/>
      <c r="BK25" s="270"/>
      <c r="BL25" s="270"/>
      <c r="BM25" s="270"/>
      <c r="BN25" s="270"/>
      <c r="BO25" s="270"/>
      <c r="BP25" s="270"/>
      <c r="BQ25" s="270"/>
      <c r="BR25" s="270"/>
      <c r="BS25" s="270"/>
      <c r="BT25" s="270"/>
      <c r="BU25" s="270"/>
      <c r="BV25" s="270"/>
      <c r="BW25" s="270"/>
      <c r="BX25" s="270"/>
      <c r="BY25" s="270"/>
      <c r="BZ25" s="270"/>
      <c r="CA25" s="270"/>
      <c r="CB25" s="270"/>
      <c r="CC25" s="270"/>
      <c r="CD25" s="270"/>
      <c r="CE25" s="1395"/>
      <c r="CF25" s="1450"/>
      <c r="CG25" s="1450"/>
      <c r="CH25" s="270"/>
      <c r="CI25" s="270"/>
      <c r="CJ25" s="270" t="str">
        <v/>
      </c>
      <c r="CK25" s="270"/>
      <c r="CL25" s="270"/>
      <c r="CM25" s="270"/>
    </row>
    <row r="26" spans="1:91" hidden="1" outlineLevel="3" x14ac:dyDescent="0.2">
      <c r="A26" s="270"/>
      <c r="B26" s="271"/>
      <c r="C26" s="270"/>
      <c r="D26" s="270"/>
      <c r="E26" s="270"/>
      <c r="F26" s="270"/>
      <c r="G26" s="271"/>
      <c r="H26" s="270"/>
      <c r="I26" s="270"/>
      <c r="J26" s="270"/>
      <c r="K26" s="270"/>
      <c r="L26" s="270"/>
      <c r="M26" s="270"/>
      <c r="N26" s="270"/>
      <c r="O26" s="270"/>
      <c r="P26" s="270"/>
      <c r="Q26" s="270"/>
      <c r="R26" s="270"/>
      <c r="S26" s="270"/>
      <c r="T26" s="270"/>
      <c r="U26" s="270"/>
      <c r="V26" s="1066"/>
      <c r="W26" s="1067"/>
      <c r="X26" s="1068"/>
      <c r="Y26" s="627"/>
      <c r="Z26" s="492"/>
      <c r="AA26" s="493" t="s">
        <v>769</v>
      </c>
      <c r="AB26" s="1069"/>
      <c r="AC26" s="1070"/>
      <c r="AD26" s="839"/>
      <c r="AE26" s="270" t="str">
        <f t="shared" si="0"/>
        <v/>
      </c>
      <c r="AF26" s="270" t="str">
        <f t="shared" si="1"/>
        <v/>
      </c>
      <c r="AG26" s="270" t="str">
        <f t="shared" si="2"/>
        <v/>
      </c>
      <c r="AH26" s="270" t="str">
        <f t="shared" si="3"/>
        <v/>
      </c>
      <c r="AI26" s="270" t="str">
        <f>IF(Z26="","",IF(Z26&gt;AB26,Y25,""))</f>
        <v/>
      </c>
      <c r="AJ26" s="270" t="str">
        <f>IF(Z26="","",IF(Z26&lt;AB26,AC25,""))</f>
        <v/>
      </c>
      <c r="AK26" s="270" t="str">
        <f t="shared" si="4"/>
        <v/>
      </c>
      <c r="AL26" s="270"/>
      <c r="AM26" s="270"/>
      <c r="AN26" s="270"/>
      <c r="AO26" s="575"/>
      <c r="AP26" s="270"/>
      <c r="AQ26" s="270"/>
      <c r="AR26" s="270"/>
      <c r="AS26" s="270"/>
      <c r="AT26" s="270"/>
      <c r="AU26" s="270"/>
      <c r="AV26" s="270"/>
      <c r="AW26" s="270"/>
      <c r="AX26" s="270"/>
      <c r="AY26" s="270"/>
      <c r="AZ26" s="270"/>
      <c r="BA26" s="270"/>
      <c r="BB26" s="270"/>
      <c r="BC26" s="270"/>
      <c r="BD26" s="270"/>
      <c r="BE26" s="270"/>
      <c r="BF26" s="270"/>
      <c r="BG26" s="270"/>
      <c r="BH26" s="270"/>
      <c r="BI26" s="270"/>
      <c r="BJ26" s="270"/>
      <c r="BK26" s="270"/>
      <c r="BL26" s="270"/>
      <c r="BM26" s="270"/>
      <c r="BN26" s="270"/>
      <c r="BO26" s="270"/>
      <c r="BP26" s="270"/>
      <c r="BQ26" s="270"/>
      <c r="BR26" s="270"/>
      <c r="BS26" s="270"/>
      <c r="BT26" s="270"/>
      <c r="BU26" s="270"/>
      <c r="BV26" s="270"/>
      <c r="BW26" s="270"/>
      <c r="BX26" s="270"/>
      <c r="BY26" s="270"/>
      <c r="BZ26" s="270"/>
      <c r="CA26" s="270"/>
      <c r="CB26" s="270"/>
      <c r="CC26" s="270"/>
      <c r="CD26" s="270"/>
      <c r="CE26" s="1395"/>
      <c r="CF26" s="1450"/>
      <c r="CG26" s="1450"/>
      <c r="CH26" s="270"/>
      <c r="CI26" s="270"/>
      <c r="CJ26" s="270" t="str">
        <v/>
      </c>
      <c r="CK26" s="270"/>
      <c r="CL26" s="270"/>
      <c r="CM26" s="270"/>
    </row>
    <row r="27" spans="1:91" hidden="1" outlineLevel="3" x14ac:dyDescent="0.2">
      <c r="A27" s="270"/>
      <c r="B27" s="271"/>
      <c r="C27" s="270"/>
      <c r="D27" s="270"/>
      <c r="E27" s="270"/>
      <c r="F27" s="270"/>
      <c r="G27" s="271"/>
      <c r="H27" s="270"/>
      <c r="I27" s="270"/>
      <c r="J27" s="270"/>
      <c r="K27" s="270"/>
      <c r="L27" s="270"/>
      <c r="M27" s="270"/>
      <c r="N27" s="270"/>
      <c r="O27" s="270"/>
      <c r="P27" s="270"/>
      <c r="Q27" s="270"/>
      <c r="R27" s="270"/>
      <c r="S27" s="270"/>
      <c r="T27" s="270"/>
      <c r="U27" s="270"/>
      <c r="V27" s="1066"/>
      <c r="W27" s="1067"/>
      <c r="X27" s="1068"/>
      <c r="Y27" s="627"/>
      <c r="Z27" s="492"/>
      <c r="AA27" s="493" t="s">
        <v>769</v>
      </c>
      <c r="AB27" s="1069"/>
      <c r="AC27" s="1070"/>
      <c r="AD27" s="839"/>
      <c r="AE27" s="270" t="str">
        <f t="shared" si="0"/>
        <v/>
      </c>
      <c r="AF27" s="270" t="str">
        <f t="shared" si="1"/>
        <v/>
      </c>
      <c r="AG27" s="270" t="str">
        <f t="shared" si="2"/>
        <v/>
      </c>
      <c r="AH27" s="270" t="str">
        <f t="shared" si="3"/>
        <v/>
      </c>
      <c r="AI27" s="270" t="str">
        <f>IF(Z27="","",IF(Z27&gt;AB27,Y25,""))</f>
        <v/>
      </c>
      <c r="AJ27" s="270" t="str">
        <f>IF(Z27="","",IF(Z27&lt;AB27,AC25,""))</f>
        <v/>
      </c>
      <c r="AK27" s="270" t="str">
        <f t="shared" si="4"/>
        <v/>
      </c>
      <c r="AL27" s="270"/>
      <c r="AM27" s="270"/>
      <c r="AN27" s="270"/>
      <c r="AO27" s="575"/>
      <c r="AP27" s="270"/>
      <c r="AQ27" s="270"/>
      <c r="AR27" s="270"/>
      <c r="AS27" s="270"/>
      <c r="AT27" s="270"/>
      <c r="AU27" s="270"/>
      <c r="AV27" s="270"/>
      <c r="AW27" s="270"/>
      <c r="AX27" s="270"/>
      <c r="AY27" s="270"/>
      <c r="AZ27" s="270"/>
      <c r="BA27" s="270"/>
      <c r="BB27" s="270"/>
      <c r="BC27" s="270"/>
      <c r="BD27" s="270"/>
      <c r="BE27" s="270"/>
      <c r="BF27" s="270"/>
      <c r="BG27" s="270"/>
      <c r="BH27" s="270"/>
      <c r="BI27" s="270"/>
      <c r="BJ27" s="270"/>
      <c r="BK27" s="270"/>
      <c r="BL27" s="270"/>
      <c r="BM27" s="270"/>
      <c r="BN27" s="270"/>
      <c r="BO27" s="270"/>
      <c r="BP27" s="270"/>
      <c r="BQ27" s="270"/>
      <c r="BR27" s="270"/>
      <c r="BS27" s="270"/>
      <c r="BT27" s="270"/>
      <c r="BU27" s="270"/>
      <c r="BV27" s="270"/>
      <c r="BW27" s="270"/>
      <c r="BX27" s="270"/>
      <c r="BY27" s="270"/>
      <c r="BZ27" s="270"/>
      <c r="CA27" s="270"/>
      <c r="CB27" s="270"/>
      <c r="CC27" s="270"/>
      <c r="CD27" s="270"/>
      <c r="CE27" s="1395"/>
      <c r="CF27" s="1450"/>
      <c r="CG27" s="1450"/>
      <c r="CH27" s="270"/>
      <c r="CI27" s="270"/>
      <c r="CJ27" s="270" t="str">
        <v/>
      </c>
      <c r="CK27" s="270"/>
      <c r="CL27" s="270"/>
      <c r="CM27" s="270"/>
    </row>
    <row r="28" spans="1:91" hidden="1" outlineLevel="3" x14ac:dyDescent="0.2">
      <c r="A28" s="270"/>
      <c r="B28" s="271"/>
      <c r="C28" s="270"/>
      <c r="D28" s="270"/>
      <c r="E28" s="270"/>
      <c r="F28" s="270"/>
      <c r="G28" s="271"/>
      <c r="H28" s="270"/>
      <c r="I28" s="270"/>
      <c r="J28" s="270"/>
      <c r="K28" s="270"/>
      <c r="L28" s="270"/>
      <c r="M28" s="270"/>
      <c r="N28" s="270"/>
      <c r="O28" s="270"/>
      <c r="P28" s="270"/>
      <c r="Q28" s="270"/>
      <c r="R28" s="270"/>
      <c r="S28" s="270"/>
      <c r="T28" s="270"/>
      <c r="U28" s="270"/>
      <c r="V28" s="1066"/>
      <c r="W28" s="1067"/>
      <c r="X28" s="1068"/>
      <c r="Y28" s="627"/>
      <c r="Z28" s="492"/>
      <c r="AA28" s="493" t="s">
        <v>769</v>
      </c>
      <c r="AB28" s="1069"/>
      <c r="AC28" s="1070"/>
      <c r="AD28" s="839"/>
      <c r="AE28" s="270" t="str">
        <f t="shared" si="0"/>
        <v/>
      </c>
      <c r="AF28" s="270" t="str">
        <f t="shared" si="1"/>
        <v/>
      </c>
      <c r="AG28" s="270" t="str">
        <f t="shared" si="2"/>
        <v/>
      </c>
      <c r="AH28" s="270" t="str">
        <f t="shared" si="3"/>
        <v/>
      </c>
      <c r="AI28" s="270" t="str">
        <f>IF(Z28="","",IF(Z28&gt;AB28,Y25,""))</f>
        <v/>
      </c>
      <c r="AJ28" s="270" t="str">
        <f>IF(Z28="","",IF(Z28&lt;AB28,AC25,""))</f>
        <v/>
      </c>
      <c r="AK28" s="270" t="str">
        <f t="shared" si="4"/>
        <v/>
      </c>
      <c r="AL28" s="270"/>
      <c r="AM28" s="270"/>
      <c r="AN28" s="270"/>
      <c r="AO28" s="575"/>
      <c r="AP28" s="270"/>
      <c r="AQ28" s="270"/>
      <c r="AR28" s="270"/>
      <c r="AS28" s="270"/>
      <c r="AT28" s="270"/>
      <c r="AU28" s="270"/>
      <c r="AV28" s="270"/>
      <c r="AW28" s="270"/>
      <c r="AX28" s="270"/>
      <c r="AY28" s="270"/>
      <c r="AZ28" s="270"/>
      <c r="BA28" s="270"/>
      <c r="BB28" s="270"/>
      <c r="BC28" s="270"/>
      <c r="BD28" s="270"/>
      <c r="BE28" s="270"/>
      <c r="BF28" s="270"/>
      <c r="BG28" s="270"/>
      <c r="BH28" s="270"/>
      <c r="BI28" s="270"/>
      <c r="BJ28" s="270"/>
      <c r="BK28" s="270"/>
      <c r="BL28" s="270"/>
      <c r="BM28" s="270"/>
      <c r="BN28" s="270"/>
      <c r="BO28" s="270"/>
      <c r="BP28" s="270"/>
      <c r="BQ28" s="270"/>
      <c r="BR28" s="270"/>
      <c r="BS28" s="270"/>
      <c r="BT28" s="270"/>
      <c r="BU28" s="270"/>
      <c r="BV28" s="270"/>
      <c r="BW28" s="270"/>
      <c r="BX28" s="270"/>
      <c r="BY28" s="270"/>
      <c r="BZ28" s="270"/>
      <c r="CA28" s="270"/>
      <c r="CB28" s="270"/>
      <c r="CC28" s="270"/>
      <c r="CD28" s="270"/>
      <c r="CE28" s="1395"/>
      <c r="CF28" s="1450"/>
      <c r="CG28" s="1450"/>
      <c r="CH28" s="270"/>
      <c r="CI28" s="270"/>
      <c r="CJ28" s="270" t="str">
        <v/>
      </c>
      <c r="CK28" s="270"/>
      <c r="CL28" s="270"/>
      <c r="CM28" s="270"/>
    </row>
    <row r="29" spans="1:91" hidden="1" outlineLevel="3" x14ac:dyDescent="0.2">
      <c r="A29" s="270"/>
      <c r="B29" s="271"/>
      <c r="C29" s="270"/>
      <c r="D29" s="270"/>
      <c r="E29" s="270"/>
      <c r="F29" s="270"/>
      <c r="G29" s="271"/>
      <c r="H29" s="270"/>
      <c r="I29" s="270"/>
      <c r="J29" s="270"/>
      <c r="K29" s="270"/>
      <c r="L29" s="270"/>
      <c r="M29" s="270"/>
      <c r="N29" s="270"/>
      <c r="O29" s="270"/>
      <c r="P29" s="270"/>
      <c r="Q29" s="270"/>
      <c r="R29" s="270"/>
      <c r="S29" s="270"/>
      <c r="T29" s="270"/>
      <c r="U29" s="270"/>
      <c r="V29" s="1066"/>
      <c r="W29" s="1067"/>
      <c r="X29" s="1068"/>
      <c r="Y29" s="627"/>
      <c r="Z29" s="492"/>
      <c r="AA29" s="493" t="s">
        <v>769</v>
      </c>
      <c r="AB29" s="1069"/>
      <c r="AC29" s="1070"/>
      <c r="AD29" s="839"/>
      <c r="AE29" s="270" t="str">
        <f t="shared" si="0"/>
        <v/>
      </c>
      <c r="AF29" s="270" t="str">
        <f t="shared" si="1"/>
        <v/>
      </c>
      <c r="AG29" s="270" t="str">
        <f t="shared" si="2"/>
        <v/>
      </c>
      <c r="AH29" s="270" t="str">
        <f t="shared" si="3"/>
        <v/>
      </c>
      <c r="AI29" s="270" t="str">
        <f>IF(Z29="","",IF(Z29&gt;AB29,Y25,""))</f>
        <v/>
      </c>
      <c r="AJ29" s="270" t="str">
        <f>IF(Z29="","",IF(Z29&lt;AB29,AC25,""))</f>
        <v/>
      </c>
      <c r="AK29" s="270" t="str">
        <f t="shared" si="4"/>
        <v/>
      </c>
      <c r="AL29" s="270"/>
      <c r="AM29" s="270"/>
      <c r="AN29" s="270"/>
      <c r="AO29" s="575"/>
      <c r="AP29" s="270"/>
      <c r="AQ29" s="270"/>
      <c r="AR29" s="270"/>
      <c r="AS29" s="270"/>
      <c r="AT29" s="270"/>
      <c r="AU29" s="270"/>
      <c r="AV29" s="270"/>
      <c r="AW29" s="270"/>
      <c r="AX29" s="270"/>
      <c r="AY29" s="270"/>
      <c r="AZ29" s="270"/>
      <c r="BA29" s="270"/>
      <c r="BB29" s="270"/>
      <c r="BC29" s="270"/>
      <c r="BD29" s="270"/>
      <c r="BE29" s="270"/>
      <c r="BF29" s="270"/>
      <c r="BG29" s="270"/>
      <c r="BH29" s="270"/>
      <c r="BI29" s="270"/>
      <c r="BJ29" s="270"/>
      <c r="BK29" s="270"/>
      <c r="BL29" s="270"/>
      <c r="BM29" s="270"/>
      <c r="BN29" s="270"/>
      <c r="BO29" s="270"/>
      <c r="BP29" s="270"/>
      <c r="BQ29" s="270"/>
      <c r="BR29" s="270"/>
      <c r="BS29" s="270"/>
      <c r="BT29" s="270"/>
      <c r="BU29" s="270"/>
      <c r="BV29" s="270"/>
      <c r="BW29" s="270"/>
      <c r="BX29" s="270"/>
      <c r="BY29" s="270"/>
      <c r="BZ29" s="270"/>
      <c r="CA29" s="270"/>
      <c r="CB29" s="270"/>
      <c r="CC29" s="270"/>
      <c r="CD29" s="270"/>
      <c r="CE29" s="1395"/>
      <c r="CF29" s="1450"/>
      <c r="CG29" s="1450"/>
      <c r="CH29" s="270"/>
      <c r="CI29" s="270"/>
      <c r="CJ29" s="270" t="str">
        <v/>
      </c>
      <c r="CK29" s="270"/>
      <c r="CL29" s="270"/>
      <c r="CM29" s="270"/>
    </row>
    <row r="30" spans="1:91" hidden="1" outlineLevel="3" x14ac:dyDescent="0.2">
      <c r="A30" s="270"/>
      <c r="B30" s="271"/>
      <c r="C30" s="12"/>
      <c r="D30" s="1071"/>
      <c r="E30" s="1071"/>
      <c r="F30" s="1071"/>
      <c r="G30" s="626"/>
      <c r="H30" s="271"/>
      <c r="I30" s="270"/>
      <c r="J30" s="270"/>
      <c r="K30" s="270"/>
      <c r="L30" s="270"/>
      <c r="M30" s="270"/>
      <c r="N30" s="270"/>
      <c r="O30" s="270"/>
      <c r="P30" s="1072"/>
      <c r="Q30" s="270"/>
      <c r="R30" s="270"/>
      <c r="S30" s="1072"/>
      <c r="T30" s="270"/>
      <c r="U30" s="1019"/>
      <c r="V30" s="1077"/>
      <c r="W30" s="1078"/>
      <c r="X30" s="1075" t="str">
        <f>N_Substitute</f>
        <v>Remplaçant</v>
      </c>
      <c r="Y30" s="627"/>
      <c r="Z30" s="492"/>
      <c r="AA30" s="1076"/>
      <c r="AB30" s="1069"/>
      <c r="AC30" s="1070"/>
      <c r="AD30" s="839"/>
      <c r="AE30" s="270"/>
      <c r="AF30" s="270"/>
      <c r="AG30" s="270"/>
      <c r="AH30" s="270"/>
      <c r="AI30" s="270"/>
      <c r="AJ30" s="270"/>
      <c r="AK30" s="270"/>
      <c r="AL30" s="270"/>
      <c r="AM30" s="270"/>
      <c r="AN30" s="270"/>
      <c r="AO30" s="271"/>
      <c r="AP30" s="270"/>
      <c r="AQ30" s="270"/>
      <c r="AR30" s="270"/>
      <c r="AS30" s="270"/>
      <c r="AT30" s="270"/>
      <c r="AU30" s="270"/>
      <c r="AV30" s="270"/>
      <c r="AW30" s="270"/>
      <c r="AX30" s="270"/>
      <c r="AY30" s="1072"/>
      <c r="AZ30" s="270"/>
      <c r="BA30" s="270"/>
      <c r="BB30" s="1072"/>
      <c r="BC30" s="270"/>
      <c r="BD30" s="270"/>
      <c r="BE30" s="270"/>
      <c r="BF30" s="270"/>
      <c r="BG30" s="270"/>
      <c r="BH30" s="270"/>
      <c r="BI30" s="270"/>
      <c r="BJ30" s="270"/>
      <c r="BK30" s="270"/>
      <c r="BL30" s="270"/>
      <c r="BM30" s="270"/>
      <c r="BN30" s="270"/>
      <c r="BO30" s="270"/>
      <c r="BP30" s="270"/>
      <c r="BQ30" s="270"/>
      <c r="BR30" s="270"/>
      <c r="BS30" s="270"/>
      <c r="BT30" s="270"/>
      <c r="BU30" s="270"/>
      <c r="BV30" s="270"/>
      <c r="BW30" s="270"/>
      <c r="BX30" s="270"/>
      <c r="BY30" s="270"/>
      <c r="BZ30" s="270"/>
      <c r="CA30" s="270"/>
      <c r="CB30" s="270"/>
      <c r="CC30" s="270"/>
      <c r="CD30" s="270"/>
      <c r="CE30" s="1395"/>
      <c r="CF30" s="1450"/>
      <c r="CG30" s="1450"/>
      <c r="CH30" s="270"/>
      <c r="CI30" s="270"/>
      <c r="CJ30" s="270" t="str">
        <v/>
      </c>
      <c r="CK30" s="270"/>
      <c r="CL30" s="270"/>
      <c r="CM30" s="270"/>
    </row>
    <row r="31" spans="1:91" ht="13.5" hidden="1" outlineLevel="3" thickBot="1" x14ac:dyDescent="0.25">
      <c r="A31" s="270"/>
      <c r="B31" s="271"/>
      <c r="C31" s="12"/>
      <c r="D31" s="1071"/>
      <c r="E31" s="1071"/>
      <c r="F31" s="1071"/>
      <c r="G31" s="626"/>
      <c r="H31" s="271"/>
      <c r="I31" s="270"/>
      <c r="J31" s="270"/>
      <c r="K31" s="270"/>
      <c r="L31" s="270"/>
      <c r="M31" s="270"/>
      <c r="N31" s="270"/>
      <c r="O31" s="270"/>
      <c r="P31" s="1072"/>
      <c r="Q31" s="270"/>
      <c r="R31" s="270"/>
      <c r="S31" s="1072"/>
      <c r="T31" s="270"/>
      <c r="U31" s="1019"/>
      <c r="V31" s="1087"/>
      <c r="W31" s="1088"/>
      <c r="X31" s="1089" t="str">
        <f>N_Substitute</f>
        <v>Remplaçant</v>
      </c>
      <c r="Y31" s="631"/>
      <c r="Z31" s="496"/>
      <c r="AA31" s="1090"/>
      <c r="AB31" s="496"/>
      <c r="AC31" s="1092"/>
      <c r="AD31" s="839"/>
      <c r="AE31" s="270"/>
      <c r="AF31" s="270"/>
      <c r="AG31" s="270"/>
      <c r="AH31" s="270"/>
      <c r="AI31" s="270"/>
      <c r="AJ31" s="270"/>
      <c r="AK31" s="270"/>
      <c r="AL31" s="270"/>
      <c r="AM31" s="270"/>
      <c r="AN31" s="270"/>
      <c r="AO31" s="271"/>
      <c r="AP31" s="270"/>
      <c r="AQ31" s="270"/>
      <c r="AR31" s="270"/>
      <c r="AS31" s="270"/>
      <c r="AT31" s="270"/>
      <c r="AU31" s="270"/>
      <c r="AV31" s="270"/>
      <c r="AW31" s="270"/>
      <c r="AX31" s="270"/>
      <c r="AY31" s="1072"/>
      <c r="AZ31" s="270"/>
      <c r="BA31" s="270"/>
      <c r="BB31" s="1072"/>
      <c r="BC31" s="270"/>
      <c r="BD31" s="270"/>
      <c r="BE31" s="270"/>
      <c r="BF31" s="270"/>
      <c r="BG31" s="270"/>
      <c r="BH31" s="270"/>
      <c r="BI31" s="270"/>
      <c r="BJ31" s="270"/>
      <c r="BK31" s="270"/>
      <c r="BL31" s="270"/>
      <c r="BM31" s="270"/>
      <c r="BN31" s="270"/>
      <c r="BO31" s="270"/>
      <c r="BP31" s="270"/>
      <c r="BQ31" s="270"/>
      <c r="BR31" s="270"/>
      <c r="BS31" s="270"/>
      <c r="BT31" s="270"/>
      <c r="BU31" s="270"/>
      <c r="BV31" s="270"/>
      <c r="BW31" s="270"/>
      <c r="BX31" s="270"/>
      <c r="BY31" s="270"/>
      <c r="BZ31" s="270"/>
      <c r="CA31" s="270"/>
      <c r="CB31" s="270"/>
      <c r="CC31" s="270"/>
      <c r="CD31" s="270"/>
      <c r="CE31" s="1395"/>
      <c r="CF31" s="1450"/>
      <c r="CG31" s="1450"/>
      <c r="CH31" s="270"/>
      <c r="CI31" s="270"/>
      <c r="CJ31" s="270" t="str">
        <v/>
      </c>
      <c r="CK31" s="270"/>
      <c r="CL31" s="270"/>
      <c r="CM31" s="270"/>
    </row>
    <row r="32" spans="1:91" outlineLevel="1" x14ac:dyDescent="0.2">
      <c r="A32" s="270"/>
      <c r="B32" s="271"/>
      <c r="C32" s="270"/>
      <c r="D32" s="270"/>
      <c r="E32" s="270"/>
      <c r="F32" s="270"/>
      <c r="G32" s="271"/>
      <c r="H32" s="270"/>
      <c r="I32" s="270"/>
      <c r="J32" s="270"/>
      <c r="K32" s="270"/>
      <c r="L32" s="270"/>
      <c r="M32" s="270"/>
      <c r="N32" s="270"/>
      <c r="O32" s="270"/>
      <c r="P32" s="270"/>
      <c r="Q32" s="270"/>
      <c r="R32" s="270"/>
      <c r="S32" s="270"/>
      <c r="T32" s="270"/>
      <c r="U32" s="270"/>
      <c r="V32" s="1097"/>
      <c r="W32" s="1097"/>
      <c r="X32" s="1098"/>
      <c r="Y32" s="1099"/>
      <c r="Z32" s="1098"/>
      <c r="AA32" s="1097"/>
      <c r="AB32" s="1098"/>
      <c r="AC32" s="1100"/>
      <c r="AD32" s="839"/>
      <c r="AE32" s="270"/>
      <c r="AF32" s="270"/>
      <c r="AG32" s="270"/>
      <c r="AH32" s="270"/>
      <c r="AI32" s="270"/>
      <c r="AJ32" s="270"/>
      <c r="AK32" s="270"/>
      <c r="AL32" s="270"/>
      <c r="AM32" s="270"/>
      <c r="AN32" s="270"/>
      <c r="AO32" s="575"/>
      <c r="AP32" s="270"/>
      <c r="AQ32" s="270"/>
      <c r="AR32" s="270"/>
      <c r="AS32" s="270"/>
      <c r="AT32" s="270"/>
      <c r="AU32" s="270"/>
      <c r="AV32" s="270"/>
      <c r="AW32" s="270"/>
      <c r="AX32" s="270"/>
      <c r="AY32" s="270"/>
      <c r="AZ32" s="270"/>
      <c r="BA32" s="270"/>
      <c r="BB32" s="270"/>
      <c r="BC32" s="270"/>
      <c r="BD32" s="270"/>
      <c r="BE32" s="270"/>
      <c r="BF32" s="270"/>
      <c r="BG32" s="270"/>
      <c r="BH32" s="270"/>
      <c r="BI32" s="270"/>
      <c r="BJ32" s="270"/>
      <c r="BK32" s="270"/>
      <c r="BL32" s="270"/>
      <c r="BM32" s="270"/>
      <c r="BN32" s="270"/>
      <c r="BO32" s="270"/>
      <c r="BP32" s="270"/>
      <c r="BQ32" s="270"/>
      <c r="BR32" s="270"/>
      <c r="BS32" s="270"/>
      <c r="BT32" s="270"/>
      <c r="BU32" s="270"/>
      <c r="BV32" s="270"/>
      <c r="BW32" s="270"/>
      <c r="BX32" s="270"/>
      <c r="BY32" s="270"/>
      <c r="BZ32" s="270"/>
      <c r="CA32" s="270"/>
      <c r="CB32" s="270"/>
      <c r="CC32" s="270"/>
      <c r="CD32" s="270"/>
      <c r="CE32" s="1395"/>
      <c r="CF32" s="1450"/>
      <c r="CG32" s="1450"/>
      <c r="CH32" s="270"/>
      <c r="CI32" s="270"/>
      <c r="CJ32" s="270" t="str">
        <v/>
      </c>
      <c r="CK32" s="270"/>
      <c r="CL32" s="270"/>
      <c r="CM32" s="270"/>
    </row>
    <row r="33" spans="1:91" ht="13.5" thickBot="1" x14ac:dyDescent="0.25">
      <c r="A33" s="270"/>
      <c r="B33" s="271"/>
      <c r="C33" s="270"/>
      <c r="D33" s="270"/>
      <c r="E33" s="270"/>
      <c r="F33" s="270"/>
      <c r="G33" s="271"/>
      <c r="H33" s="270"/>
      <c r="I33" s="270"/>
      <c r="J33" s="270"/>
      <c r="K33" s="270"/>
      <c r="L33" s="270"/>
      <c r="M33" s="270"/>
      <c r="N33" s="270"/>
      <c r="O33" s="270"/>
      <c r="P33" s="270"/>
      <c r="Q33" s="270"/>
      <c r="R33" s="270"/>
      <c r="S33" s="270"/>
      <c r="T33" s="270"/>
      <c r="U33" s="270"/>
      <c r="V33" s="271"/>
      <c r="W33" s="271"/>
      <c r="X33" s="270"/>
      <c r="Y33" s="646"/>
      <c r="Z33" s="270"/>
      <c r="AA33" s="271"/>
      <c r="AB33" s="270"/>
      <c r="AC33" s="290"/>
      <c r="AD33" s="839"/>
      <c r="AE33" s="270"/>
      <c r="AF33" s="270"/>
      <c r="AG33" s="270"/>
      <c r="AH33" s="270"/>
      <c r="AI33" s="270"/>
      <c r="AJ33" s="270"/>
      <c r="AK33" s="270"/>
      <c r="AL33" s="270"/>
      <c r="AM33" s="270"/>
      <c r="AN33" s="270"/>
      <c r="AO33" s="575"/>
      <c r="AP33" s="270"/>
      <c r="AQ33" s="270"/>
      <c r="AR33" s="270"/>
      <c r="AS33" s="270"/>
      <c r="AT33" s="270"/>
      <c r="AU33" s="270"/>
      <c r="AV33" s="270"/>
      <c r="AW33" s="270"/>
      <c r="AX33" s="270"/>
      <c r="AY33" s="270"/>
      <c r="AZ33" s="270"/>
      <c r="BA33" s="270"/>
      <c r="BB33" s="270"/>
      <c r="BC33" s="270"/>
      <c r="BD33" s="270"/>
      <c r="BE33" s="270"/>
      <c r="BF33" s="270"/>
      <c r="BG33" s="270"/>
      <c r="BH33" s="270"/>
      <c r="BI33" s="270"/>
      <c r="BJ33" s="270"/>
      <c r="BK33" s="270"/>
      <c r="BL33" s="270"/>
      <c r="BM33" s="270"/>
      <c r="BN33" s="270"/>
      <c r="BO33" s="270"/>
      <c r="BP33" s="270"/>
      <c r="BQ33" s="270"/>
      <c r="BR33" s="270"/>
      <c r="BS33" s="270"/>
      <c r="BT33" s="270"/>
      <c r="BU33" s="270"/>
      <c r="BV33" s="270"/>
      <c r="BW33" s="270"/>
      <c r="BX33" s="270"/>
      <c r="BY33" s="270"/>
      <c r="BZ33" s="270"/>
      <c r="CA33" s="270"/>
      <c r="CB33" s="270"/>
      <c r="CC33" s="270"/>
      <c r="CD33" s="270"/>
      <c r="CE33" s="1395"/>
      <c r="CF33" s="1450"/>
      <c r="CG33" s="1450"/>
      <c r="CH33" s="270"/>
      <c r="CI33" s="270"/>
      <c r="CJ33" s="270" t="str">
        <v/>
      </c>
      <c r="CK33" s="270"/>
      <c r="CL33" s="270"/>
      <c r="CM33" s="270"/>
    </row>
    <row r="34" spans="1:91" ht="13.5" thickBot="1" x14ac:dyDescent="0.25">
      <c r="A34" s="270"/>
      <c r="B34" s="1101" t="str">
        <f>N_Group_3_2Leg</f>
        <v>Poule de 3 en A/R</v>
      </c>
      <c r="C34" s="1022"/>
      <c r="D34" s="1022"/>
      <c r="E34" s="1022"/>
      <c r="F34" s="1022"/>
      <c r="G34" s="1022"/>
      <c r="H34" s="1022"/>
      <c r="I34" s="1022"/>
      <c r="J34" s="1022"/>
      <c r="K34" s="1022"/>
      <c r="L34" s="1022"/>
      <c r="M34" s="1022"/>
      <c r="N34" s="1022"/>
      <c r="O34" s="1022"/>
      <c r="P34" s="1022"/>
      <c r="Q34" s="1022"/>
      <c r="R34" s="1022"/>
      <c r="S34" s="1022"/>
      <c r="T34" s="1022"/>
      <c r="U34" s="1022"/>
      <c r="V34" s="1022"/>
      <c r="W34" s="1022"/>
      <c r="X34" s="1022"/>
      <c r="Y34" s="1022"/>
      <c r="Z34" s="1022"/>
      <c r="AA34" s="1022"/>
      <c r="AB34" s="1022"/>
      <c r="AC34" s="1022"/>
      <c r="AD34" s="1022"/>
      <c r="AE34" s="1022"/>
      <c r="AF34" s="1022"/>
      <c r="AG34" s="1022"/>
      <c r="AH34" s="1022"/>
      <c r="AI34" s="1022"/>
      <c r="AJ34" s="1022"/>
      <c r="AK34" s="1022"/>
      <c r="AL34" s="1022"/>
      <c r="AM34" s="1023"/>
      <c r="AN34" s="1022" t="str">
        <f>B34</f>
        <v>Poule de 3 en A/R</v>
      </c>
      <c r="AO34" s="1022"/>
      <c r="AP34" s="1022"/>
      <c r="AQ34" s="1022"/>
      <c r="AR34" s="1022"/>
      <c r="AS34" s="1022"/>
      <c r="AT34" s="1022"/>
      <c r="AU34" s="1022"/>
      <c r="AV34" s="1022"/>
      <c r="AW34" s="1022"/>
      <c r="AX34" s="1022"/>
      <c r="AY34" s="1022"/>
      <c r="AZ34" s="1022"/>
      <c r="BA34" s="1022"/>
      <c r="BB34" s="1022"/>
      <c r="BC34" s="1022"/>
      <c r="BD34" s="1022"/>
      <c r="BE34" s="1022"/>
      <c r="BF34" s="1022"/>
      <c r="BG34" s="1022"/>
      <c r="BH34" s="1022"/>
      <c r="BI34" s="1022"/>
      <c r="BJ34" s="1022"/>
      <c r="BK34" s="1022"/>
      <c r="BL34" s="1022"/>
      <c r="BM34" s="1022"/>
      <c r="BN34" s="1022"/>
      <c r="BO34" s="1022"/>
      <c r="BP34" s="1022"/>
      <c r="BQ34" s="1022"/>
      <c r="BR34" s="1022"/>
      <c r="BS34" s="1022"/>
      <c r="BT34" s="1022"/>
      <c r="BU34" s="1022"/>
      <c r="BV34" s="1022"/>
      <c r="BW34" s="1022"/>
      <c r="BX34" s="1022"/>
      <c r="BY34" s="1022"/>
      <c r="BZ34" s="1022"/>
      <c r="CA34" s="1022"/>
      <c r="CB34" s="1022"/>
      <c r="CC34" s="1022"/>
      <c r="CD34" s="1022"/>
      <c r="CE34" s="1395"/>
      <c r="CF34" s="1450"/>
      <c r="CG34" s="1450"/>
      <c r="CH34" s="1023"/>
      <c r="CI34" s="270"/>
      <c r="CJ34" s="270" t="str">
        <v/>
      </c>
      <c r="CK34" s="270"/>
      <c r="CL34" s="270"/>
      <c r="CM34" s="270"/>
    </row>
    <row r="35" spans="1:91" ht="13.5" outlineLevel="1" thickBot="1" x14ac:dyDescent="0.25">
      <c r="A35" s="270"/>
      <c r="B35" s="271"/>
      <c r="C35" s="270"/>
      <c r="D35" s="270"/>
      <c r="E35" s="270"/>
      <c r="F35" s="270"/>
      <c r="G35" s="271"/>
      <c r="H35" s="270"/>
      <c r="I35" s="270"/>
      <c r="J35" s="270"/>
      <c r="K35" s="270"/>
      <c r="L35" s="270"/>
      <c r="M35" s="270"/>
      <c r="N35" s="270"/>
      <c r="O35" s="270"/>
      <c r="P35" s="270"/>
      <c r="Q35" s="270"/>
      <c r="R35" s="270"/>
      <c r="S35" s="270"/>
      <c r="T35" s="270"/>
      <c r="U35" s="270"/>
      <c r="V35" s="271"/>
      <c r="W35" s="271"/>
      <c r="X35" s="270"/>
      <c r="Y35" s="646"/>
      <c r="Z35" s="270"/>
      <c r="AA35" s="271"/>
      <c r="AB35" s="270"/>
      <c r="AC35" s="290"/>
      <c r="AD35" s="839"/>
      <c r="AE35" s="270"/>
      <c r="AF35" s="270"/>
      <c r="AG35" s="270"/>
      <c r="AH35" s="270"/>
      <c r="AI35" s="270"/>
      <c r="AJ35" s="270"/>
      <c r="AK35" s="270"/>
      <c r="AL35" s="270"/>
      <c r="AM35" s="270"/>
      <c r="AN35" s="270"/>
      <c r="AO35" s="575"/>
      <c r="AP35" s="270"/>
      <c r="AQ35" s="270"/>
      <c r="AR35" s="270"/>
      <c r="AS35" s="270"/>
      <c r="AT35" s="270"/>
      <c r="AU35" s="270"/>
      <c r="AV35" s="270"/>
      <c r="AW35" s="270"/>
      <c r="AX35" s="270"/>
      <c r="AY35" s="270"/>
      <c r="AZ35" s="270"/>
      <c r="BA35" s="270"/>
      <c r="BB35" s="270"/>
      <c r="BC35" s="270"/>
      <c r="BD35" s="270"/>
      <c r="BE35" s="270"/>
      <c r="BF35" s="270"/>
      <c r="BG35" s="270"/>
      <c r="BH35" s="270"/>
      <c r="BI35" s="270"/>
      <c r="BJ35" s="270"/>
      <c r="BK35" s="270"/>
      <c r="BL35" s="270"/>
      <c r="BM35" s="270"/>
      <c r="BN35" s="270"/>
      <c r="BO35" s="270"/>
      <c r="BP35" s="270"/>
      <c r="BQ35" s="270"/>
      <c r="BR35" s="270"/>
      <c r="BS35" s="270"/>
      <c r="BT35" s="270"/>
      <c r="BU35" s="270"/>
      <c r="BV35" s="270"/>
      <c r="BW35" s="270"/>
      <c r="BX35" s="270"/>
      <c r="BY35" s="270"/>
      <c r="BZ35" s="270"/>
      <c r="CA35" s="270"/>
      <c r="CB35" s="270"/>
      <c r="CC35" s="270"/>
      <c r="CD35" s="270"/>
      <c r="CE35" s="1395"/>
      <c r="CF35" s="1450"/>
      <c r="CG35" s="1450"/>
      <c r="CH35" s="270"/>
      <c r="CI35" s="270"/>
      <c r="CJ35" s="270" t="str">
        <v/>
      </c>
      <c r="CK35" s="270"/>
      <c r="CL35" s="270"/>
      <c r="CM35" s="270"/>
    </row>
    <row r="36" spans="1:91" ht="13.5" outlineLevel="1" thickBot="1" x14ac:dyDescent="0.25">
      <c r="A36" s="270"/>
      <c r="B36" s="1024" t="str">
        <f>N_Tirage</f>
        <v>Tirage</v>
      </c>
      <c r="C36" s="1025" t="s">
        <v>787</v>
      </c>
      <c r="D36" s="1026" t="s">
        <v>831</v>
      </c>
      <c r="E36" s="1026" t="s">
        <v>832</v>
      </c>
      <c r="F36" s="1027" t="s">
        <v>833</v>
      </c>
      <c r="G36" s="1028" t="str">
        <f>N_Equipes</f>
        <v>Equipes</v>
      </c>
      <c r="H36" s="1029" t="str">
        <f>N_Pts</f>
        <v>Pts</v>
      </c>
      <c r="I36" s="1029" t="str">
        <f>N_J</f>
        <v>J</v>
      </c>
      <c r="J36" s="1030" t="str">
        <f>N_G</f>
        <v>G</v>
      </c>
      <c r="K36" s="1030" t="str">
        <f>N_N</f>
        <v>N</v>
      </c>
      <c r="L36" s="1030" t="str">
        <f>N_P</f>
        <v>P</v>
      </c>
      <c r="M36" s="1030" t="str">
        <f>N_Diff_R</f>
        <v>Diff R</v>
      </c>
      <c r="N36" s="1030" t="str">
        <f>N_MP</f>
        <v>MP</v>
      </c>
      <c r="O36" s="1030" t="str">
        <f>N_MC</f>
        <v>MC</v>
      </c>
      <c r="P36" s="1031" t="str">
        <f>N_Diff_M</f>
        <v>Diff M</v>
      </c>
      <c r="Q36" s="1030" t="str">
        <f>N_BP</f>
        <v>BP</v>
      </c>
      <c r="R36" s="1030" t="str">
        <f>N_BC</f>
        <v>BC</v>
      </c>
      <c r="S36" s="1032" t="str">
        <f>N_Diff_B</f>
        <v>Diff B</v>
      </c>
      <c r="T36" s="270"/>
      <c r="U36" s="270"/>
      <c r="V36" s="271"/>
      <c r="W36" s="271"/>
      <c r="X36" s="270"/>
      <c r="Y36" s="646"/>
      <c r="Z36" s="270"/>
      <c r="AA36" s="271"/>
      <c r="AB36" s="270"/>
      <c r="AC36" s="290"/>
      <c r="AD36" s="629"/>
      <c r="AE36" s="270"/>
      <c r="AF36" s="270"/>
      <c r="AG36" s="270"/>
      <c r="AH36" s="270"/>
      <c r="AI36" s="270"/>
      <c r="AJ36" s="270"/>
      <c r="AK36" s="270"/>
      <c r="AL36" s="270"/>
      <c r="AM36" s="270"/>
      <c r="AN36" s="270"/>
      <c r="AO36" s="1033" t="str">
        <f>N_Cla.</f>
        <v>Cla.</v>
      </c>
      <c r="AP36" s="630" t="str">
        <f>N_Equipes</f>
        <v>Equipes</v>
      </c>
      <c r="AQ36" s="1034" t="str">
        <f>N_Pts</f>
        <v>Pts</v>
      </c>
      <c r="AR36" s="1034" t="str">
        <f>N_J</f>
        <v>J</v>
      </c>
      <c r="AS36" s="1026" t="str">
        <f>N_G</f>
        <v>G</v>
      </c>
      <c r="AT36" s="1026" t="str">
        <f>N_N</f>
        <v>N</v>
      </c>
      <c r="AU36" s="1026" t="str">
        <f>N_P</f>
        <v>P</v>
      </c>
      <c r="AV36" s="1035" t="str">
        <f>N_Diff_R</f>
        <v>Diff R</v>
      </c>
      <c r="AW36" s="1036" t="str">
        <f>N_MP</f>
        <v>MP</v>
      </c>
      <c r="AX36" s="1026" t="str">
        <f>N_MC</f>
        <v>MC</v>
      </c>
      <c r="AY36" s="1037" t="str">
        <f>N_Diff_M</f>
        <v>Diff M</v>
      </c>
      <c r="AZ36" s="1036" t="str">
        <f>N_BP</f>
        <v>BP</v>
      </c>
      <c r="BA36" s="1026" t="str">
        <f>N_BC</f>
        <v>BC</v>
      </c>
      <c r="BB36" s="1035" t="str">
        <f>N_Diff_B</f>
        <v>Diff B</v>
      </c>
      <c r="BC36" s="1038" t="str">
        <f>N_Matches</f>
        <v>Matches</v>
      </c>
      <c r="BD36" s="1039"/>
      <c r="BE36" s="1039"/>
      <c r="BF36" s="1039"/>
      <c r="BG36" s="1039"/>
      <c r="BH36" s="1040"/>
      <c r="BI36" s="270"/>
      <c r="BJ36" s="270"/>
      <c r="BK36" s="270"/>
      <c r="BL36" s="270"/>
      <c r="BM36" s="270"/>
      <c r="BN36" s="270"/>
      <c r="BO36" s="270"/>
      <c r="BP36" s="270"/>
      <c r="BQ36" s="270"/>
      <c r="BR36" s="270"/>
      <c r="BS36" s="270"/>
      <c r="BT36" s="270"/>
      <c r="BU36" s="270"/>
      <c r="BV36" s="270"/>
      <c r="BW36" s="270"/>
      <c r="BX36" s="270"/>
      <c r="BY36" s="270"/>
      <c r="BZ36" s="270"/>
      <c r="CA36" s="270"/>
      <c r="CB36" s="270"/>
      <c r="CC36" s="270"/>
      <c r="CD36" s="270"/>
      <c r="CE36" s="1395"/>
      <c r="CF36" s="1450"/>
      <c r="CG36" s="1450"/>
      <c r="CH36" s="270"/>
      <c r="CI36" s="270"/>
      <c r="CJ36" s="270" t="str">
        <v/>
      </c>
      <c r="CK36" s="270"/>
      <c r="CL36" s="270"/>
      <c r="CM36" s="270"/>
    </row>
    <row r="37" spans="1:91" outlineLevel="1" x14ac:dyDescent="0.2">
      <c r="A37" s="270"/>
      <c r="B37" s="543">
        <v>1</v>
      </c>
      <c r="C37" s="1041" t="str">
        <f>IF(AL40="","",RANK(F37,F37:F39)*1000+ROW())</f>
        <v/>
      </c>
      <c r="D37" s="1042" t="str">
        <f>IF(J37="","",H37*CritClassEq1_Points+M37*CritClassEq1_DiffRencontres+P37*CritClassEq1_DiffMatches+S37*CritClassEq1_DiffButs+N37*CritClassEq1_Matches+Q37*CritClassEq1_Attaque)</f>
        <v/>
      </c>
      <c r="E37" s="1042" t="str">
        <f>IF(J37="","",Nb_Diff_Part(D37,D37:D39,G37,G37:G39,AK41:AK76)*CritClassEq_DiffPart+Nb_Goal_Part(D37,D37:D39,G37,G37:G39,Y41:AC76)*CritClassEq_IndsPart+Nb_Score_Part(D37,D37:D39,G37,G37:G39,Y41:AC76)*CritClassEq_WinsPart+Nb_GoalTeam_Part(D37,D37:D39,G37,G37:G39,Y41:AC76)*CritClassEq_GoalPart+Nb_ScoreTeam_Part(D37,D37:D39,G37,G37:G39,Y41:AC76)*CritClassEq_ScorePart)</f>
        <v/>
      </c>
      <c r="F37" s="1043" t="str">
        <f>IF(J37="","",D37+E37+H37*CritClassEq2_Points+M37*CritClassEq2_DiffRencontres+P37*CritClassEq2_DiffMatches+S37*CritClassEq2_DiffButs+N37*CritClassEq2_Matches+Q37*CritClassEq2_Attaque)</f>
        <v/>
      </c>
      <c r="G37" s="476" t="s">
        <v>825</v>
      </c>
      <c r="H37" s="1044" t="str">
        <f>IF(AL40="","",(J37*Points_Victoire)+K37*Points_Null)</f>
        <v/>
      </c>
      <c r="I37" s="535" t="str">
        <f>IF(J37="","",SUM(J37:L37))</f>
        <v/>
      </c>
      <c r="J37" s="535" t="str">
        <f>IF(AL40="","",COUNTIF(AE41:AE80,G37))</f>
        <v/>
      </c>
      <c r="K37" s="535" t="str">
        <f>IF(AL40="","",COUNTIF(AF41:AG80,G37))</f>
        <v/>
      </c>
      <c r="L37" s="535" t="str">
        <f>IF(AL40="","",COUNTIF(AH41:AH80,G37))</f>
        <v/>
      </c>
      <c r="M37" s="1045" t="str">
        <f>IF(AL40="","",J37-L37)</f>
        <v/>
      </c>
      <c r="N37" s="1046" t="str">
        <f>IF(AL40="","",SUMIF(Y41:Y80,G37,Z41:Z80)+SUMIF(AC41:AC80,G37,AB41:AB80))</f>
        <v/>
      </c>
      <c r="O37" s="535" t="str">
        <f>IF(AL40="","",SUMIF(Y41:Y80,G37,AB41:AB80)+SUMIF(AC41:AC80,G37,Z41:AL80))</f>
        <v/>
      </c>
      <c r="P37" s="1047" t="str">
        <f>IF(AL40="","",N37-O37)</f>
        <v/>
      </c>
      <c r="Q37" s="535" t="str">
        <f>IF(AL40="","",SUMIF(Y41:Y80,G37,AI41:AI80)+SUMIF(AC41:AC80,G37,AJ41:AJ80))</f>
        <v/>
      </c>
      <c r="R37" s="535" t="str">
        <f>IF(AL40="","",SUMIF(Y41:Y80,G37,AJ41:AJ80)+SUMIF(AC41:AC80,G37,AI41:AI80))</f>
        <v/>
      </c>
      <c r="S37" s="508" t="str">
        <f>IF(AL40="","",Q37-R37)</f>
        <v/>
      </c>
      <c r="T37" s="270"/>
      <c r="U37" s="270"/>
      <c r="V37" s="271"/>
      <c r="W37" s="271"/>
      <c r="X37" s="270"/>
      <c r="Y37" s="646"/>
      <c r="Z37" s="270"/>
      <c r="AA37" s="271"/>
      <c r="AB37" s="270"/>
      <c r="AC37" s="290"/>
      <c r="AD37" s="839"/>
      <c r="AE37" s="270"/>
      <c r="AF37" s="270"/>
      <c r="AG37" s="270"/>
      <c r="AH37" s="270"/>
      <c r="AI37" s="270"/>
      <c r="AJ37" s="270"/>
      <c r="AK37" s="270"/>
      <c r="AL37" s="270" t="str">
        <f>IF(AL40="","",SMALL(C37:C39,1))</f>
        <v/>
      </c>
      <c r="AM37" s="270"/>
      <c r="AN37" s="270"/>
      <c r="AO37" s="505" t="str">
        <f>IF(AL40="","",INT(AL37/1000))</f>
        <v/>
      </c>
      <c r="AP37" s="1048" t="str">
        <f>IF(AL40="",IF(HidePlayerFormulas,"","("&amp;G37&amp;")"),VLOOKUP(AL37,C37:S39,5,FALSE))</f>
        <v/>
      </c>
      <c r="AQ37" s="1046" t="str">
        <f>VLOOKUP(AL37,C37:S39,6,FALSE)</f>
        <v/>
      </c>
      <c r="AR37" s="535" t="str">
        <f>VLOOKUP(AL37,C37:S39,7,FALSE)</f>
        <v/>
      </c>
      <c r="AS37" s="535" t="str">
        <f>VLOOKUP(AL37,C37:S39,8,FALSE)</f>
        <v/>
      </c>
      <c r="AT37" s="535" t="str">
        <f>VLOOKUP(AL37,C37:S39,9,FALSE)</f>
        <v/>
      </c>
      <c r="AU37" s="535" t="str">
        <f>VLOOKUP(AL37,C37:S39,10,FALSE)</f>
        <v/>
      </c>
      <c r="AV37" s="1047" t="str">
        <f>VLOOKUP(AL37,C37:S39,11,FALSE)</f>
        <v/>
      </c>
      <c r="AW37" s="506" t="str">
        <f>VLOOKUP(AL37,C37:S39,12,FALSE)</f>
        <v/>
      </c>
      <c r="AX37" s="535" t="str">
        <f>VLOOKUP(AL37,C37:S39,13,FALSE)</f>
        <v/>
      </c>
      <c r="AY37" s="508" t="str">
        <f>VLOOKUP(AL37,C37:S39,14,FALSE)</f>
        <v/>
      </c>
      <c r="AZ37" s="506" t="str">
        <f>VLOOKUP(AL37,C37:S39,15,FALSE)</f>
        <v/>
      </c>
      <c r="BA37" s="535" t="str">
        <f>VLOOKUP(AL37,C37:S39,16,FALSE)</f>
        <v/>
      </c>
      <c r="BB37" s="508" t="str">
        <f>VLOOKUP(AL37,C37:S39,17,FALSE)</f>
        <v/>
      </c>
      <c r="BC37" s="1041" t="str">
        <f>IF(Z41="","",IF(AP37=Y41,Z41&amp;"("&amp;SUM(Z42:Z45)&amp;")",IF(AP37=AC41,AB41&amp;"("&amp;SUM(AB42:AB45)&amp;")","")))</f>
        <v/>
      </c>
      <c r="BD37" s="1049" t="str">
        <f>IF(Z48="","",IF(AP37=Y48,Z48&amp;"("&amp;SUM(Z49:Z52)&amp;")",IF(AP37=AC48,AB48&amp;"("&amp;SUM(AB49:AB52)&amp;")","")))</f>
        <v/>
      </c>
      <c r="BE37" s="1050" t="str">
        <f>IF(Z55="","",IF(AP37=Y55,Z55&amp;"("&amp;SUM(Z56:Z59)&amp;")",IF(AP37=AC55,AB55&amp;"("&amp;SUM(AB56:AB59)&amp;")","")))</f>
        <v/>
      </c>
      <c r="BF37" s="1041" t="str">
        <f>IF(Z62="","",IF(AP37=Y62,Z62&amp;"("&amp;SUM(Z63:Z66)&amp;")",IF(AP37=AC62,AB62&amp;"("&amp;SUM(AB63:AB66)&amp;")","")))</f>
        <v/>
      </c>
      <c r="BG37" s="1049" t="str">
        <f>IF(Z69="","",IF(AP37=Y69,Z69&amp;"("&amp;SUM(Z70:Z73)&amp;")",IF(AP37=AC69,AB69&amp;"("&amp;SUM(AB70:AB73)&amp;")","")))</f>
        <v/>
      </c>
      <c r="BH37" s="1050" t="str">
        <f>IF(Z76="","",IF(AP37=Y76,Z76&amp;"("&amp;SUM(Z77:Z80)&amp;")",IF(AP37=AC76,AB76&amp;"("&amp;SUM(AB77:AB80)&amp;")","")))</f>
        <v/>
      </c>
      <c r="BI37" s="270"/>
      <c r="BJ37" s="270"/>
      <c r="BK37" s="270"/>
      <c r="BL37" s="270"/>
      <c r="BM37" s="270"/>
      <c r="BN37" s="270"/>
      <c r="BO37" s="270"/>
      <c r="BP37" s="270"/>
      <c r="BQ37" s="270"/>
      <c r="BR37" s="270"/>
      <c r="BS37" s="270"/>
      <c r="BT37" s="270"/>
      <c r="BU37" s="270"/>
      <c r="BV37" s="270"/>
      <c r="BW37" s="270"/>
      <c r="BX37" s="270"/>
      <c r="BY37" s="270"/>
      <c r="BZ37" s="270"/>
      <c r="CA37" s="270"/>
      <c r="CB37" s="270"/>
      <c r="CC37" s="270"/>
      <c r="CD37" s="270"/>
      <c r="CE37" s="1395" t="b">
        <f>IF(G37="[---WithDraw---]",FALSE,IF(COUNTIF(PlayerNamesWithinGroups,G37)&gt;1,TRUE,FALSE))</f>
        <v>1</v>
      </c>
      <c r="CF37" s="1450" t="b">
        <f>AND(LEFT($AP37,1) = "(", RIGHT($AP37,1) =")")</f>
        <v>0</v>
      </c>
      <c r="CG37" s="1450" t="b">
        <f>IF(OR($AO37=$AO36,$AO37=$AO38),TRUE,FALSE)</f>
        <v>1</v>
      </c>
      <c r="CH37" s="270"/>
      <c r="CI37" s="270"/>
      <c r="CJ37" s="270" t="str">
        <v/>
      </c>
      <c r="CK37" s="270"/>
      <c r="CL37" s="270"/>
      <c r="CM37" s="270"/>
    </row>
    <row r="38" spans="1:91" outlineLevel="1" x14ac:dyDescent="0.2">
      <c r="A38" s="270"/>
      <c r="B38" s="536">
        <v>2</v>
      </c>
      <c r="C38" s="126" t="str">
        <f>IF(AL40="","",RANK(F38,F37:F39)*1000+ROW())</f>
        <v/>
      </c>
      <c r="D38" s="1051" t="str">
        <f>IF(J38="","",H38*CritClassEq1_Points+M38*CritClassEq1_DiffRencontres+P38*CritClassEq1_DiffMatches+S38*CritClassEq1_DiffButs+N38*CritClassEq1_Matches+Q38*CritClassEq1_Attaque)</f>
        <v/>
      </c>
      <c r="E38" s="1051" t="str">
        <f>IF(J38="","",Nb_Diff_Part(D38,D37:D39,G38,G37:G39,AK41:AK76)*CritClassEq_DiffPart+Nb_Goal_Part(D38,D37:D39,G38,G37:G39,Y41:AC76)*CritClassEq_IndsPart+Nb_Score_Part(D38,D37:D39,G38,G37:G39,Y41:AC76)*CritClassEq_WinsPart+Nb_GoalTeam_Part(D38,D37:D39,G38,G37:G39,Y41:AC76)*CritClassEq_GoalPart+Nb_ScoreTeam_Part(D38,D37:D39,G38,G37:G39,Y41:AC76)*CritClassEq_ScorePart)</f>
        <v/>
      </c>
      <c r="F38" s="1052" t="str">
        <f>IF(J38="","",D38+E38+H38*CritClassEq2_Points+M38*CritClassEq2_DiffRencontres+P38*CritClassEq2_DiffMatches+S38*CritClassEq2_DiffButs+N38*CritClassEq2_Matches+Q38*CritClassEq2_Attaque)</f>
        <v/>
      </c>
      <c r="G38" s="477" t="s">
        <v>826</v>
      </c>
      <c r="H38" s="541" t="str">
        <f>IF(AL40="","",(J38*Points_Victoire)+K38*Points_Null)</f>
        <v/>
      </c>
      <c r="I38" s="537" t="str">
        <f>IF(J38="","",SUM(J38:L38))</f>
        <v/>
      </c>
      <c r="J38" s="537" t="str">
        <f>IF(AL40="","",COUNTIF(AE41:AE80,G38))</f>
        <v/>
      </c>
      <c r="K38" s="537" t="str">
        <f>IF(AL40="","",COUNTIF(AF41:AG80,G38))</f>
        <v/>
      </c>
      <c r="L38" s="537" t="str">
        <f>IF(AL40="","",COUNTIF(AH41:AH80,G38))</f>
        <v/>
      </c>
      <c r="M38" s="1053" t="str">
        <f>IF(AL40="","",J38-L38)</f>
        <v/>
      </c>
      <c r="N38" s="537" t="str">
        <f>IF(AL40="","",SUMIF(Y41:Y80,G38,Z41:Z80)+SUMIF(AC41:AC80,G38,AB41:AB80))</f>
        <v/>
      </c>
      <c r="O38" s="537" t="str">
        <f>IF(AL40="","",SUMIF(Y41:Y80,G38,AB41:AB80)+SUMIF(AC41:AC80,G38,Z41:AL80))</f>
        <v/>
      </c>
      <c r="P38" s="1053" t="str">
        <f>IF(AL40="","",N38-O38)</f>
        <v/>
      </c>
      <c r="Q38" s="537" t="str">
        <f>IF(AL40="","",SUMIF(Y41:Y80,G38,AI41:AI80)+SUMIF(AC41:AC80,G38,AJ41:AJ80))</f>
        <v/>
      </c>
      <c r="R38" s="537" t="str">
        <f>IF(AL40="","",SUMIF(Y41:Y80,G38,AJ41:AJ80)+SUMIF(AC41:AC80,G38,AI41:AI80))</f>
        <v/>
      </c>
      <c r="S38" s="512" t="str">
        <f>IF(AL40="","",Q38-R38)</f>
        <v/>
      </c>
      <c r="T38" s="270"/>
      <c r="U38" s="270"/>
      <c r="V38" s="271"/>
      <c r="W38" s="271"/>
      <c r="X38" s="270"/>
      <c r="Y38" s="646"/>
      <c r="Z38" s="270"/>
      <c r="AA38" s="271"/>
      <c r="AB38" s="270"/>
      <c r="AC38" s="290"/>
      <c r="AD38" s="839"/>
      <c r="AE38" s="270"/>
      <c r="AF38" s="270"/>
      <c r="AG38" s="270"/>
      <c r="AH38" s="270"/>
      <c r="AI38" s="270"/>
      <c r="AJ38" s="270"/>
      <c r="AK38" s="270"/>
      <c r="AL38" s="270" t="str">
        <f>IF(AL40="","",SMALL(C37:C39,2))</f>
        <v/>
      </c>
      <c r="AM38" s="270"/>
      <c r="AN38" s="270"/>
      <c r="AO38" s="509" t="str">
        <f>IF(AL40="","",INT(AL38/1000))</f>
        <v/>
      </c>
      <c r="AP38" s="1054" t="str">
        <f>IF(AL40="",IF(HidePlayerFormulas,"","("&amp;G38&amp;")"),VLOOKUP(AL38,C37:S39,5,FALSE))</f>
        <v/>
      </c>
      <c r="AQ38" s="510" t="str">
        <f>VLOOKUP(AL38,C37:S39,6,FALSE)</f>
        <v/>
      </c>
      <c r="AR38" s="537" t="str">
        <f>VLOOKUP(AL38,C37:S39,7,FALSE)</f>
        <v/>
      </c>
      <c r="AS38" s="537" t="str">
        <f>VLOOKUP(AL38,C37:S39,8,FALSE)</f>
        <v/>
      </c>
      <c r="AT38" s="537" t="str">
        <f>VLOOKUP(AL38,C37:S39,9,FALSE)</f>
        <v/>
      </c>
      <c r="AU38" s="537" t="str">
        <f>VLOOKUP(AL38,C37:S39,10,FALSE)</f>
        <v/>
      </c>
      <c r="AV38" s="512" t="str">
        <f>VLOOKUP(AL38,C37:S39,11,FALSE)</f>
        <v/>
      </c>
      <c r="AW38" s="510" t="str">
        <f>VLOOKUP(AL38,C37:S39,12,FALSE)</f>
        <v/>
      </c>
      <c r="AX38" s="537" t="str">
        <f>VLOOKUP(AL38,C37:S39,13,FALSE)</f>
        <v/>
      </c>
      <c r="AY38" s="512" t="str">
        <f>VLOOKUP(AL38,C37:S39,14,FALSE)</f>
        <v/>
      </c>
      <c r="AZ38" s="510" t="str">
        <f>VLOOKUP(AL38,C37:S39,15,FALSE)</f>
        <v/>
      </c>
      <c r="BA38" s="537" t="str">
        <f>VLOOKUP(AL38,C37:S39,16,FALSE)</f>
        <v/>
      </c>
      <c r="BB38" s="512" t="str">
        <f>VLOOKUP(AL38,C37:S39,17,FALSE)</f>
        <v/>
      </c>
      <c r="BC38" s="1055" t="str">
        <f>IF(Z41="","",IF(AP38=Y41,Z41&amp;"("&amp;SUM(Z42:Z45)&amp;")",IF(AP38=AC41,AB41&amp;"("&amp;SUM(AB42:AB45)&amp;")","")))</f>
        <v/>
      </c>
      <c r="BD38" s="126" t="str">
        <f>IF(Z48="","",IF(AP38=Y48,Z48&amp;"("&amp;SUM(Z49:Z52)&amp;")",IF(AP38=AC48,AB48&amp;"("&amp;SUM(AB49:AB52)&amp;")","")))</f>
        <v/>
      </c>
      <c r="BE38" s="1056" t="str">
        <f>IF(Z55="","",IF(AP38=Y55,Z55&amp;"("&amp;SUM(Z56:Z59)&amp;")",IF(AP38=AC55,AB55&amp;"("&amp;SUM(AB56:AB59)&amp;")","")))</f>
        <v/>
      </c>
      <c r="BF38" s="126" t="str">
        <f>IF(Z62="","",IF(AP38=Y62,Z62&amp;"("&amp;SUM(Z63:Z66)&amp;")",IF(AP38=AC62,AB62&amp;"("&amp;SUM(AB63:AB66)&amp;")","")))</f>
        <v/>
      </c>
      <c r="BG38" s="126" t="str">
        <f>IF(Z69="","",IF(AP38=Y69,Z69&amp;"("&amp;SUM(Z70:Z73)&amp;")",IF(AP38=AC69,AB69&amp;"("&amp;SUM(AB70:AB73)&amp;")","")))</f>
        <v/>
      </c>
      <c r="BH38" s="1056" t="str">
        <f>IF(Z76="","",IF(AP38=Y76,Z76&amp;"("&amp;SUM(Z77:Z80)&amp;")",IF(AP38=AC76,AB76&amp;"("&amp;SUM(AB77:AB80)&amp;")","")))</f>
        <v/>
      </c>
      <c r="BI38" s="270"/>
      <c r="BJ38" s="270"/>
      <c r="BK38" s="270"/>
      <c r="BL38" s="270"/>
      <c r="BM38" s="270"/>
      <c r="BN38" s="270"/>
      <c r="BO38" s="270"/>
      <c r="BP38" s="270"/>
      <c r="BQ38" s="270"/>
      <c r="BR38" s="270"/>
      <c r="BS38" s="270"/>
      <c r="BT38" s="270"/>
      <c r="BU38" s="270"/>
      <c r="BV38" s="270"/>
      <c r="BW38" s="270"/>
      <c r="BX38" s="270"/>
      <c r="BY38" s="270"/>
      <c r="BZ38" s="270"/>
      <c r="CA38" s="270"/>
      <c r="CB38" s="270"/>
      <c r="CC38" s="270"/>
      <c r="CD38" s="270"/>
      <c r="CE38" s="1395" t="b">
        <f>IF(G38="[---WithDraw---]",FALSE,IF(COUNTIF(PlayerNamesWithinGroups,G38)&gt;1,TRUE,FALSE))</f>
        <v>1</v>
      </c>
      <c r="CF38" s="1450" t="b">
        <f>AND(LEFT($AP38,1) = "(", RIGHT($AP38,1) =")")</f>
        <v>0</v>
      </c>
      <c r="CG38" s="1450" t="b">
        <f>IF(OR($AO38=$AO37,$AO38=$AO39),TRUE,FALSE)</f>
        <v>1</v>
      </c>
      <c r="CH38" s="270"/>
      <c r="CI38" s="270"/>
      <c r="CJ38" s="270" t="str">
        <v/>
      </c>
      <c r="CK38" s="270"/>
      <c r="CL38" s="270"/>
      <c r="CM38" s="270"/>
    </row>
    <row r="39" spans="1:91" ht="13.5" outlineLevel="1" collapsed="1" thickBot="1" x14ac:dyDescent="0.25">
      <c r="A39" s="270"/>
      <c r="B39" s="536">
        <v>3</v>
      </c>
      <c r="C39" s="126" t="str">
        <f>IF(AL40="","",RANK(F39,F37:F39)*1000+ROW())</f>
        <v/>
      </c>
      <c r="D39" s="1051" t="str">
        <f>IF(J39="","",H39*CritClassEq1_Points+M39*CritClassEq1_DiffRencontres+P39*CritClassEq1_DiffMatches+S39*CritClassEq1_DiffButs+N39*CritClassEq1_Matches+Q39*CritClassEq1_Attaque)</f>
        <v/>
      </c>
      <c r="E39" s="1051" t="str">
        <f>IF(J39="","",Nb_Diff_Part(D39,D37:D39,G39,G37:G39,AK41:AK76)*CritClassEq_DiffPart+Nb_Goal_Part(D39,D37:D39,G39,G37:G39,Y41:AC76)*CritClassEq_IndsPart+Nb_Score_Part(D39,D37:D39,G39,G37:G39,Y41:AC76)*CritClassEq_WinsPart+Nb_GoalTeam_Part(D39,D37:D39,G39,G37:G39,Y41:AC76)*CritClassEq_GoalPart+Nb_ScoreTeam_Part(D39,D37:D39,G39,G37:G39,Y41:AC76)*CritClassEq_ScorePart)</f>
        <v/>
      </c>
      <c r="F39" s="1052" t="str">
        <f>IF(J39="","",D39+E39+H39*CritClassEq2_Points+M39*CritClassEq2_DiffRencontres+P39*CritClassEq2_DiffMatches+S39*CritClassEq2_DiffButs+N39*CritClassEq2_Matches+Q39*CritClassEq2_Attaque)</f>
        <v/>
      </c>
      <c r="G39" s="478" t="s">
        <v>827</v>
      </c>
      <c r="H39" s="541" t="str">
        <f>IF(AL40="","",(J39*Points_Victoire)+K39*Points_Null)</f>
        <v/>
      </c>
      <c r="I39" s="537" t="str">
        <f>IF(J39="","",SUM(J39:L39))</f>
        <v/>
      </c>
      <c r="J39" s="537" t="str">
        <f>IF(AL40="","",COUNTIF(AE41:AE80,G39))</f>
        <v/>
      </c>
      <c r="K39" s="537" t="str">
        <f>IF(AL40="","",COUNTIF(AF41:AG80,G39))</f>
        <v/>
      </c>
      <c r="L39" s="537" t="str">
        <f>IF(AL40="","",COUNTIF(AH41:AH80,G39))</f>
        <v/>
      </c>
      <c r="M39" s="1053" t="str">
        <f>IF(AL40="","",J39-L39)</f>
        <v/>
      </c>
      <c r="N39" s="537" t="str">
        <f>IF(AL40="","",SUMIF(Y41:Y80,G39,Z41:Z80)+SUMIF(AC41:AC80,G39,AB41:AB80))</f>
        <v/>
      </c>
      <c r="O39" s="537" t="str">
        <f>IF(AL40="","",SUMIF(Y41:Y80,G39,AB41:AB80)+SUMIF(AC41:AC80,G39,Z41:AL80))</f>
        <v/>
      </c>
      <c r="P39" s="1053" t="str">
        <f>IF(AL40="","",N39-O39)</f>
        <v/>
      </c>
      <c r="Q39" s="537" t="str">
        <f>IF(AL40="","",SUMIF(Y41:Y80,G39,AI41:AI80)+SUMIF(AC41:AC80,G39,AJ41:AJ80))</f>
        <v/>
      </c>
      <c r="R39" s="537" t="str">
        <f>IF(AL40="","",SUMIF(Y41:Y80,G39,AJ41:AJ80)+SUMIF(AC41:AC80,G39,AI41:AI80))</f>
        <v/>
      </c>
      <c r="S39" s="512" t="str">
        <f>IF(AL40="","",Q39-R39)</f>
        <v/>
      </c>
      <c r="T39" s="270"/>
      <c r="U39" s="270"/>
      <c r="V39" s="271"/>
      <c r="W39" s="271"/>
      <c r="X39" s="270"/>
      <c r="Y39" s="646"/>
      <c r="Z39" s="270"/>
      <c r="AA39" s="271"/>
      <c r="AB39" s="270"/>
      <c r="AC39" s="290"/>
      <c r="AD39" s="839"/>
      <c r="AE39" s="270"/>
      <c r="AF39" s="270"/>
      <c r="AG39" s="270"/>
      <c r="AH39" s="270"/>
      <c r="AI39" s="270"/>
      <c r="AJ39" s="270"/>
      <c r="AK39" s="270"/>
      <c r="AL39" s="270" t="str">
        <f>IF(AL40="","",SMALL(C37:C39,3))</f>
        <v/>
      </c>
      <c r="AM39" s="270"/>
      <c r="AN39" s="270"/>
      <c r="AO39" s="513" t="str">
        <f>IF(AL40="","",INT(AL39/1000))</f>
        <v/>
      </c>
      <c r="AP39" s="1057" t="str">
        <f>IF(AL40="",IF(HidePlayerFormulas,"","("&amp;G39&amp;")"),VLOOKUP(AL39,C37:S39,5,FALSE))</f>
        <v/>
      </c>
      <c r="AQ39" s="514" t="str">
        <f>VLOOKUP(AL39,C37:S39,6,FALSE)</f>
        <v/>
      </c>
      <c r="AR39" s="539" t="str">
        <f>VLOOKUP(AL39,C37:S39,7,FALSE)</f>
        <v/>
      </c>
      <c r="AS39" s="539" t="str">
        <f>VLOOKUP(AL39,C37:S39,8,FALSE)</f>
        <v/>
      </c>
      <c r="AT39" s="539" t="str">
        <f>VLOOKUP(AL39,C37:S39,9,FALSE)</f>
        <v/>
      </c>
      <c r="AU39" s="539" t="str">
        <f>VLOOKUP(AL39,C37:S39,10,FALSE)</f>
        <v/>
      </c>
      <c r="AV39" s="516" t="str">
        <f>VLOOKUP(AL39,C37:S39,11,FALSE)</f>
        <v/>
      </c>
      <c r="AW39" s="514" t="str">
        <f>VLOOKUP(AL39,C37:S39,12,FALSE)</f>
        <v/>
      </c>
      <c r="AX39" s="539" t="str">
        <f>VLOOKUP(AL39,C37:S39,13,FALSE)</f>
        <v/>
      </c>
      <c r="AY39" s="516" t="str">
        <f>VLOOKUP(AL39,C37:S39,14,FALSE)</f>
        <v/>
      </c>
      <c r="AZ39" s="514" t="str">
        <f>VLOOKUP(AL39,C37:S39,15,FALSE)</f>
        <v/>
      </c>
      <c r="BA39" s="539" t="str">
        <f>VLOOKUP(AL39,C37:S39,16,FALSE)</f>
        <v/>
      </c>
      <c r="BB39" s="516" t="str">
        <f>VLOOKUP(AL39,C37:S39,17,FALSE)</f>
        <v/>
      </c>
      <c r="BC39" s="1058" t="str">
        <f>IF(Z41="","",IF(AP39=Y41,Z41&amp;"("&amp;SUM(Z42:Z45)&amp;")",IF(AP39=AC41,AB41&amp;"("&amp;SUM(AB42:AB45)&amp;")","")))</f>
        <v/>
      </c>
      <c r="BD39" s="1059" t="str">
        <f>IF(Z48="","",IF(AP39=Y48,Z48&amp;"("&amp;SUM(Z49:Z52)&amp;")",IF(AP39=AC48,AB48&amp;"("&amp;SUM(AB49:AB52)&amp;")","")))</f>
        <v/>
      </c>
      <c r="BE39" s="1060" t="str">
        <f>IF(Z55="","",IF(AP39=Y55,Z55&amp;"("&amp;SUM(Z56:Z59)&amp;")",IF(AP39=AC55,AB55&amp;"("&amp;SUM(AB56:AB59)&amp;")","")))</f>
        <v/>
      </c>
      <c r="BF39" s="1059" t="str">
        <f>IF(Z62="","",IF(AP39=Y62,Z62&amp;"("&amp;SUM(Z63:Z66)&amp;")",IF(AP39=AC62,AB62&amp;"("&amp;SUM(AB63:AB66)&amp;")","")))</f>
        <v/>
      </c>
      <c r="BG39" s="1059" t="str">
        <f>IF(Z69="","",IF(AP39=Y69,Z69&amp;"("&amp;SUM(Z70:Z73)&amp;")",IF(AP39=AC69,AB69&amp;"("&amp;SUM(AB70:AB73)&amp;")","")))</f>
        <v/>
      </c>
      <c r="BH39" s="1060" t="str">
        <f>IF(Z76="","",IF(AP39=Y76,Z76&amp;"("&amp;SUM(Z77:Z80)&amp;")",IF(AP39=AC76,AB76&amp;"("&amp;SUM(AB77:AB80)&amp;")","")))</f>
        <v/>
      </c>
      <c r="BI39" s="270"/>
      <c r="BJ39" s="270"/>
      <c r="BK39" s="270"/>
      <c r="BL39" s="270"/>
      <c r="BM39" s="270"/>
      <c r="BN39" s="270"/>
      <c r="BO39" s="270"/>
      <c r="BP39" s="270"/>
      <c r="BQ39" s="270"/>
      <c r="BR39" s="270"/>
      <c r="BS39" s="270"/>
      <c r="BT39" s="270"/>
      <c r="BU39" s="270"/>
      <c r="BV39" s="270"/>
      <c r="BW39" s="270"/>
      <c r="BX39" s="270"/>
      <c r="BY39" s="270"/>
      <c r="BZ39" s="270"/>
      <c r="CA39" s="270"/>
      <c r="CB39" s="270"/>
      <c r="CC39" s="270"/>
      <c r="CD39" s="270"/>
      <c r="CE39" s="1395" t="b">
        <f>IF(G39="[---WithDraw---]",FALSE,IF(COUNTIF(PlayerNamesWithinGroups,G39)&gt;1,TRUE,FALSE))</f>
        <v>1</v>
      </c>
      <c r="CF39" s="1450" t="b">
        <f>AND(LEFT($AP39,1) = "(", RIGHT($AP39,1) =")")</f>
        <v>0</v>
      </c>
      <c r="CG39" s="1450" t="b">
        <f>IF(OR($AO39=$AO38,$AO39=$AO40),TRUE,FALSE)</f>
        <v>1</v>
      </c>
      <c r="CH39" s="270"/>
      <c r="CI39" s="270"/>
      <c r="CJ39" s="270" t="str">
        <v/>
      </c>
      <c r="CK39" s="270"/>
      <c r="CL39" s="270"/>
      <c r="CM39" s="270"/>
    </row>
    <row r="40" spans="1:91" ht="13.5" hidden="1" outlineLevel="2" thickBot="1" x14ac:dyDescent="0.25">
      <c r="A40" s="270"/>
      <c r="B40" s="271"/>
      <c r="C40" s="270"/>
      <c r="D40" s="270"/>
      <c r="E40" s="270"/>
      <c r="F40" s="270"/>
      <c r="G40" s="271"/>
      <c r="H40" s="270"/>
      <c r="I40" s="270"/>
      <c r="J40" s="270"/>
      <c r="K40" s="270"/>
      <c r="L40" s="270"/>
      <c r="M40" s="270"/>
      <c r="N40" s="270"/>
      <c r="O40" s="270"/>
      <c r="P40" s="270"/>
      <c r="Q40" s="270"/>
      <c r="R40" s="270"/>
      <c r="S40" s="270"/>
      <c r="T40" s="270"/>
      <c r="U40" s="270"/>
      <c r="V40" s="630" t="str">
        <f>N_Heure</f>
        <v>Heure</v>
      </c>
      <c r="W40" s="1028" t="str">
        <f>N_Table</f>
        <v>Table</v>
      </c>
      <c r="X40" s="1028" t="str">
        <f>N_Arbitre</f>
        <v>Arbitre</v>
      </c>
      <c r="Y40" s="1038" t="str">
        <f>N_Matches</f>
        <v>Matches</v>
      </c>
      <c r="Z40" s="1039"/>
      <c r="AA40" s="1039"/>
      <c r="AB40" s="1039"/>
      <c r="AC40" s="1040"/>
      <c r="AD40" s="839"/>
      <c r="AE40" s="270"/>
      <c r="AF40" s="270"/>
      <c r="AG40" s="270"/>
      <c r="AH40" s="270"/>
      <c r="AI40" s="270"/>
      <c r="AJ40" s="270"/>
      <c r="AK40" s="270"/>
      <c r="AL40" s="270" t="str">
        <f>IF(COUNTA(Z41:Z80)&gt;6,"OK","")</f>
        <v/>
      </c>
      <c r="AM40" s="270"/>
      <c r="AN40" s="270"/>
      <c r="AO40" s="575"/>
      <c r="AP40" s="270"/>
      <c r="AQ40" s="270"/>
      <c r="AR40" s="270"/>
      <c r="AS40" s="270"/>
      <c r="AT40" s="270"/>
      <c r="AU40" s="270"/>
      <c r="AV40" s="270"/>
      <c r="AW40" s="270"/>
      <c r="AX40" s="270"/>
      <c r="AY40" s="270"/>
      <c r="AZ40" s="270"/>
      <c r="BA40" s="270"/>
      <c r="BB40" s="270"/>
      <c r="BC40" s="270"/>
      <c r="BD40" s="270"/>
      <c r="BE40" s="270"/>
      <c r="BF40" s="270"/>
      <c r="BG40" s="270"/>
      <c r="BH40" s="270"/>
      <c r="BI40" s="270"/>
      <c r="BJ40" s="270"/>
      <c r="BK40" s="270"/>
      <c r="BL40" s="270"/>
      <c r="BM40" s="270"/>
      <c r="BN40" s="270"/>
      <c r="BO40" s="270"/>
      <c r="BP40" s="270"/>
      <c r="BQ40" s="270"/>
      <c r="BR40" s="270"/>
      <c r="BS40" s="270"/>
      <c r="BT40" s="270"/>
      <c r="BU40" s="270"/>
      <c r="BV40" s="270"/>
      <c r="BW40" s="270"/>
      <c r="BX40" s="270"/>
      <c r="BY40" s="270"/>
      <c r="BZ40" s="270"/>
      <c r="CA40" s="270"/>
      <c r="CB40" s="270"/>
      <c r="CC40" s="270"/>
      <c r="CD40" s="270"/>
      <c r="CE40" s="1395"/>
      <c r="CF40" s="1450"/>
      <c r="CG40" s="1450"/>
      <c r="CH40" s="270"/>
      <c r="CI40" s="270"/>
      <c r="CJ40" s="270" t="str">
        <v/>
      </c>
      <c r="CK40" s="270"/>
      <c r="CL40" s="270"/>
      <c r="CM40" s="270"/>
    </row>
    <row r="41" spans="1:91" ht="13.5" hidden="1" outlineLevel="2" collapsed="1" thickBot="1" x14ac:dyDescent="0.25">
      <c r="A41" s="270"/>
      <c r="B41" s="271"/>
      <c r="C41" s="12"/>
      <c r="D41" s="1071"/>
      <c r="E41" s="1071"/>
      <c r="F41" s="1071"/>
      <c r="G41" s="626"/>
      <c r="H41" s="271"/>
      <c r="I41" s="270"/>
      <c r="J41" s="270"/>
      <c r="K41" s="270"/>
      <c r="L41" s="270"/>
      <c r="M41" s="270"/>
      <c r="N41" s="270"/>
      <c r="O41" s="270"/>
      <c r="P41" s="1072"/>
      <c r="Q41" s="270"/>
      <c r="R41" s="270"/>
      <c r="S41" s="1072"/>
      <c r="T41" s="270"/>
      <c r="U41" s="1019" t="s">
        <v>1726</v>
      </c>
      <c r="V41" s="1085"/>
      <c r="W41" s="1524"/>
      <c r="X41" s="1521"/>
      <c r="Y41" s="1102" t="str">
        <f>IF(COUNTA(G37:G39) =3,GMFTGROUPORDERTEAM(G37:G39,Y41:Y61,AC41:AC61),"")</f>
        <v>Eq3</v>
      </c>
      <c r="Z41" s="1103" t="str">
        <f>IF(OR(ISNUMBER(Z42),ISNUMBER(Z43),ISNUMBER(Z44),ISNUMBER(Z45)),4-COUNTBLANK(AI42:AI45),"")</f>
        <v/>
      </c>
      <c r="AA41" s="1104" t="s">
        <v>769</v>
      </c>
      <c r="AB41" s="1103" t="str">
        <f>IF(OR(ISNUMBER(Z42),ISNUMBER(Z43),ISNUMBER(Z44),ISNUMBER(Z45)),4-COUNTBLANK(AJ42:AJ45),"")</f>
        <v/>
      </c>
      <c r="AC41" s="1105" t="str">
        <f>IF(COUNTA(G37:G39) =3,GMFTGROUPORDERTEAM(G37:G39,Y41:Y61,AC41:AC61),"")</f>
        <v>Eq1</v>
      </c>
      <c r="AD41" s="839"/>
      <c r="AE41" s="270" t="str">
        <f>IF(Z41="","",IF(Z41&gt;AB41,Y41,IF(Z41=AB41,IF(NoDrawWithWithdraw,IF(AL41=Y41,AC41,IF(AL41=AC41,Y41,"")),""),AC41)))</f>
        <v/>
      </c>
      <c r="AF41" s="270" t="str">
        <f>IF(Z41="","",IF(Z41=AB41,IF(NoDrawWithWithdraw,IF(AL41=Y41,"",IF(AL41=AC41,"",Y41)),Y41),""))</f>
        <v/>
      </c>
      <c r="AG41" s="270" t="str">
        <f>IF(Z41="","",IF(Z41=AB41,IF(NoDrawWithWithdraw,IF(AL41=Y41,"",IF(AL41=AC41,"",AC41)),AC41),""))</f>
        <v/>
      </c>
      <c r="AH41" s="270" t="str">
        <f>IF(Z41="","",IF(Z41&lt;AB41,Y41,IF(Z41=AB41,IF(NoDrawWithWithdraw,IF(AL41=Y41,Y41,IF(AL41=AC41,AC41,"")),""),AC41)))</f>
        <v/>
      </c>
      <c r="AI41" s="270" t="str">
        <f>IF(Z41="","",SUM(Z42:Z45))</f>
        <v/>
      </c>
      <c r="AJ41" s="270" t="str">
        <f>IF(Z41="","",SUM(AB42:AB45))</f>
        <v/>
      </c>
      <c r="AK41" s="270" t="str">
        <f>CONCATENATE(AE41,AH41)</f>
        <v/>
      </c>
      <c r="AL41" s="270" t="str">
        <f>IF(COUNTIF(Y42:Y45,WithdrawLabel)&gt;COUNTIF(AC42:AC45,WithdrawLabel),Y41,IF(COUNTIF(AC42:AC45,WithdrawLabel)&gt;COUNTIF(Y42:Y45,WithdrawLabel),AC41,""))</f>
        <v/>
      </c>
      <c r="AM41" s="270"/>
      <c r="AN41" s="270"/>
      <c r="AO41" s="271"/>
      <c r="AP41" s="270"/>
      <c r="AQ41" s="270"/>
      <c r="AR41" s="270"/>
      <c r="AS41" s="270"/>
      <c r="AT41" s="270"/>
      <c r="AU41" s="270"/>
      <c r="AV41" s="270"/>
      <c r="AW41" s="270"/>
      <c r="AX41" s="270"/>
      <c r="AY41" s="1072"/>
      <c r="AZ41" s="270"/>
      <c r="BA41" s="270"/>
      <c r="BB41" s="1072"/>
      <c r="BC41" s="270"/>
      <c r="BD41" s="270"/>
      <c r="BE41" s="270"/>
      <c r="BF41" s="270"/>
      <c r="BG41" s="270"/>
      <c r="BH41" s="270"/>
      <c r="BI41" s="270"/>
      <c r="BJ41" s="270"/>
      <c r="BK41" s="270"/>
      <c r="BL41" s="270"/>
      <c r="BM41" s="270"/>
      <c r="BN41" s="270"/>
      <c r="BO41" s="270"/>
      <c r="BP41" s="270"/>
      <c r="BQ41" s="270"/>
      <c r="BR41" s="270"/>
      <c r="BS41" s="270"/>
      <c r="BT41" s="270"/>
      <c r="BU41" s="270"/>
      <c r="BV41" s="270"/>
      <c r="BW41" s="270"/>
      <c r="BX41" s="270"/>
      <c r="BY41" s="270"/>
      <c r="BZ41" s="270"/>
      <c r="CA41" s="270"/>
      <c r="CB41" s="270"/>
      <c r="CC41" s="270"/>
      <c r="CD41" s="270"/>
      <c r="CE41" s="1395"/>
      <c r="CF41" s="1450"/>
      <c r="CG41" s="1450"/>
      <c r="CH41" s="270"/>
      <c r="CI41" s="270"/>
      <c r="CJ41" s="270" t="str">
        <v/>
      </c>
      <c r="CK41" s="270"/>
      <c r="CL41" s="270"/>
      <c r="CM41" s="270"/>
    </row>
    <row r="42" spans="1:91" hidden="1" outlineLevel="3" x14ac:dyDescent="0.2">
      <c r="A42" s="270"/>
      <c r="B42" s="271"/>
      <c r="C42" s="12"/>
      <c r="D42" s="1071"/>
      <c r="E42" s="1071"/>
      <c r="F42" s="1071"/>
      <c r="G42" s="626"/>
      <c r="H42" s="271"/>
      <c r="I42" s="270"/>
      <c r="J42" s="270"/>
      <c r="K42" s="270"/>
      <c r="L42" s="270"/>
      <c r="M42" s="270"/>
      <c r="N42" s="270"/>
      <c r="O42" s="270"/>
      <c r="P42" s="1072"/>
      <c r="Q42" s="270"/>
      <c r="R42" s="270"/>
      <c r="S42" s="1072"/>
      <c r="T42" s="270"/>
      <c r="U42" s="1019"/>
      <c r="V42" s="1066"/>
      <c r="W42" s="618"/>
      <c r="X42" s="1068"/>
      <c r="Y42" s="627"/>
      <c r="Z42" s="492"/>
      <c r="AA42" s="493" t="s">
        <v>769</v>
      </c>
      <c r="AB42" s="1069"/>
      <c r="AC42" s="1070"/>
      <c r="AD42" s="839"/>
      <c r="AE42" s="270" t="str">
        <f>IF(Z42="","",IF(Z42&gt;AB42,Y42,IF(Z42=AB42,"",AC42)))</f>
        <v/>
      </c>
      <c r="AF42" s="270" t="str">
        <f>IF(Z42="","",IF(Z42=AB42,Y42,""))</f>
        <v/>
      </c>
      <c r="AG42" s="270" t="str">
        <f>IF(Z42="","",IF(Z42=AB42,AC42,""))</f>
        <v/>
      </c>
      <c r="AH42" s="270" t="str">
        <f>IF(Z42="","",IF(Z42&lt;AB42,Y42,IF(Z42=AB42,"",AC42)))</f>
        <v/>
      </c>
      <c r="AI42" s="270" t="str">
        <f>IF(Z42="","",IF(Z42&gt;AB42,Y41,""))</f>
        <v/>
      </c>
      <c r="AJ42" s="270" t="str">
        <f>IF(Z42="","",IF(Z42&lt;AB42,AC41,""))</f>
        <v/>
      </c>
      <c r="AK42" s="270" t="str">
        <f>CONCATENATE(AE42,AH42)</f>
        <v/>
      </c>
      <c r="AL42" s="270"/>
      <c r="AM42" s="270"/>
      <c r="AN42" s="270"/>
      <c r="AO42" s="271"/>
      <c r="AP42" s="270"/>
      <c r="AQ42" s="270"/>
      <c r="AR42" s="270"/>
      <c r="AS42" s="270"/>
      <c r="AT42" s="270"/>
      <c r="AU42" s="270"/>
      <c r="AV42" s="270"/>
      <c r="AW42" s="270"/>
      <c r="AX42" s="270"/>
      <c r="AY42" s="1072"/>
      <c r="AZ42" s="270"/>
      <c r="BA42" s="270"/>
      <c r="BB42" s="1072"/>
      <c r="BC42" s="270"/>
      <c r="BD42" s="270"/>
      <c r="BE42" s="270"/>
      <c r="BF42" s="270"/>
      <c r="BG42" s="270"/>
      <c r="BH42" s="270"/>
      <c r="BI42" s="270"/>
      <c r="BJ42" s="270"/>
      <c r="BK42" s="270"/>
      <c r="BL42" s="270"/>
      <c r="BM42" s="270"/>
      <c r="BN42" s="270"/>
      <c r="BO42" s="270"/>
      <c r="BP42" s="270"/>
      <c r="BQ42" s="270"/>
      <c r="BR42" s="270"/>
      <c r="BS42" s="270"/>
      <c r="BT42" s="270"/>
      <c r="BU42" s="270"/>
      <c r="BV42" s="270"/>
      <c r="BW42" s="270"/>
      <c r="BX42" s="270"/>
      <c r="BY42" s="270"/>
      <c r="BZ42" s="270"/>
      <c r="CA42" s="270"/>
      <c r="CB42" s="270"/>
      <c r="CC42" s="270"/>
      <c r="CD42" s="270"/>
      <c r="CE42" s="1395"/>
      <c r="CF42" s="1450"/>
      <c r="CG42" s="1450"/>
      <c r="CH42" s="270"/>
      <c r="CI42" s="270"/>
      <c r="CJ42" s="270" t="str">
        <v/>
      </c>
      <c r="CK42" s="270"/>
      <c r="CL42" s="270"/>
      <c r="CM42" s="270"/>
    </row>
    <row r="43" spans="1:91" hidden="1" outlineLevel="3" x14ac:dyDescent="0.2">
      <c r="A43" s="270"/>
      <c r="B43" s="271"/>
      <c r="C43" s="12"/>
      <c r="D43" s="1071"/>
      <c r="E43" s="1071"/>
      <c r="F43" s="1071"/>
      <c r="G43" s="626"/>
      <c r="H43" s="271"/>
      <c r="I43" s="270"/>
      <c r="J43" s="270"/>
      <c r="K43" s="270"/>
      <c r="L43" s="270"/>
      <c r="M43" s="270"/>
      <c r="N43" s="270"/>
      <c r="O43" s="270"/>
      <c r="P43" s="1072"/>
      <c r="Q43" s="270"/>
      <c r="R43" s="270"/>
      <c r="S43" s="1072"/>
      <c r="T43" s="270"/>
      <c r="U43" s="1019"/>
      <c r="V43" s="1066"/>
      <c r="W43" s="618"/>
      <c r="X43" s="1068"/>
      <c r="Y43" s="627"/>
      <c r="Z43" s="492"/>
      <c r="AA43" s="493" t="s">
        <v>769</v>
      </c>
      <c r="AB43" s="1069"/>
      <c r="AC43" s="1070"/>
      <c r="AD43" s="839"/>
      <c r="AE43" s="270" t="str">
        <f>IF(Z43="","",IF(Z43&gt;AB43,Y43,IF(Z43=AB43,"",AC43)))</f>
        <v/>
      </c>
      <c r="AF43" s="270" t="str">
        <f>IF(Z43="","",IF(Z43=AB43,Y43,""))</f>
        <v/>
      </c>
      <c r="AG43" s="270" t="str">
        <f>IF(Z43="","",IF(Z43=AB43,AC43,""))</f>
        <v/>
      </c>
      <c r="AH43" s="270" t="str">
        <f>IF(Z43="","",IF(Z43&lt;AB43,Y43,IF(Z43=AB43,"",AC43)))</f>
        <v/>
      </c>
      <c r="AI43" s="270" t="str">
        <f>IF(Z43="","",IF(Z43&gt;AB43,Y41,""))</f>
        <v/>
      </c>
      <c r="AJ43" s="270" t="str">
        <f>IF(Z43="","",IF(Z43&lt;AB43,AC41,""))</f>
        <v/>
      </c>
      <c r="AK43" s="270" t="str">
        <f>CONCATENATE(AE43,AH43)</f>
        <v/>
      </c>
      <c r="AL43" s="270"/>
      <c r="AM43" s="270"/>
      <c r="AN43" s="270"/>
      <c r="AO43" s="271"/>
      <c r="AP43" s="270"/>
      <c r="AQ43" s="270"/>
      <c r="AR43" s="270"/>
      <c r="AS43" s="270"/>
      <c r="AT43" s="270"/>
      <c r="AU43" s="270"/>
      <c r="AV43" s="270"/>
      <c r="AW43" s="270"/>
      <c r="AX43" s="270"/>
      <c r="AY43" s="1072"/>
      <c r="AZ43" s="270"/>
      <c r="BA43" s="270"/>
      <c r="BB43" s="1072"/>
      <c r="BC43" s="270"/>
      <c r="BD43" s="270"/>
      <c r="BE43" s="270"/>
      <c r="BF43" s="270"/>
      <c r="BG43" s="270"/>
      <c r="BH43" s="270"/>
      <c r="BI43" s="270"/>
      <c r="BJ43" s="270"/>
      <c r="BK43" s="270"/>
      <c r="BL43" s="270"/>
      <c r="BM43" s="270"/>
      <c r="BN43" s="270"/>
      <c r="BO43" s="270"/>
      <c r="BP43" s="270"/>
      <c r="BQ43" s="270"/>
      <c r="BR43" s="270"/>
      <c r="BS43" s="270"/>
      <c r="BT43" s="270"/>
      <c r="BU43" s="270"/>
      <c r="BV43" s="270"/>
      <c r="BW43" s="270"/>
      <c r="BX43" s="270"/>
      <c r="BY43" s="270"/>
      <c r="BZ43" s="270"/>
      <c r="CA43" s="270"/>
      <c r="CB43" s="270"/>
      <c r="CC43" s="270"/>
      <c r="CD43" s="270"/>
      <c r="CE43" s="1395"/>
      <c r="CF43" s="1450"/>
      <c r="CG43" s="1450"/>
      <c r="CH43" s="270"/>
      <c r="CI43" s="270"/>
      <c r="CJ43" s="270" t="str">
        <v/>
      </c>
      <c r="CK43" s="270"/>
      <c r="CL43" s="270"/>
      <c r="CM43" s="270"/>
    </row>
    <row r="44" spans="1:91" hidden="1" outlineLevel="3" x14ac:dyDescent="0.2">
      <c r="A44" s="270"/>
      <c r="B44" s="271"/>
      <c r="C44" s="12"/>
      <c r="D44" s="1071"/>
      <c r="E44" s="1071"/>
      <c r="F44" s="1071"/>
      <c r="G44" s="626"/>
      <c r="H44" s="271"/>
      <c r="I44" s="270"/>
      <c r="J44" s="270"/>
      <c r="K44" s="270"/>
      <c r="L44" s="270"/>
      <c r="M44" s="270"/>
      <c r="N44" s="270"/>
      <c r="O44" s="270"/>
      <c r="P44" s="1072"/>
      <c r="Q44" s="270"/>
      <c r="R44" s="270"/>
      <c r="S44" s="1072"/>
      <c r="T44" s="270"/>
      <c r="U44" s="1019"/>
      <c r="V44" s="1066"/>
      <c r="W44" s="618"/>
      <c r="X44" s="1068"/>
      <c r="Y44" s="627"/>
      <c r="Z44" s="492"/>
      <c r="AA44" s="493" t="s">
        <v>769</v>
      </c>
      <c r="AB44" s="1069"/>
      <c r="AC44" s="1070"/>
      <c r="AD44" s="839"/>
      <c r="AE44" s="270" t="str">
        <f>IF(Z44="","",IF(Z44&gt;AB44,Y44,IF(Z44=AB44,"",AC44)))</f>
        <v/>
      </c>
      <c r="AF44" s="270" t="str">
        <f>IF(Z44="","",IF(Z44=AB44,Y44,""))</f>
        <v/>
      </c>
      <c r="AG44" s="270" t="str">
        <f>IF(Z44="","",IF(Z44=AB44,AC44,""))</f>
        <v/>
      </c>
      <c r="AH44" s="270" t="str">
        <f>IF(Z44="","",IF(Z44&lt;AB44,Y44,IF(Z44=AB44,"",AC44)))</f>
        <v/>
      </c>
      <c r="AI44" s="270" t="str">
        <f>IF(Z44="","",IF(Z44&gt;AB44,Y41,""))</f>
        <v/>
      </c>
      <c r="AJ44" s="270" t="str">
        <f>IF(Z44="","",IF(Z44&lt;AB44,AC41,""))</f>
        <v/>
      </c>
      <c r="AK44" s="270" t="str">
        <f>CONCATENATE(AE44,AH44)</f>
        <v/>
      </c>
      <c r="AL44" s="270"/>
      <c r="AM44" s="270"/>
      <c r="AN44" s="270"/>
      <c r="AO44" s="271"/>
      <c r="AP44" s="270"/>
      <c r="AQ44" s="270"/>
      <c r="AR44" s="270"/>
      <c r="AS44" s="270"/>
      <c r="AT44" s="270"/>
      <c r="AU44" s="270"/>
      <c r="AV44" s="270"/>
      <c r="AW44" s="270"/>
      <c r="AX44" s="270"/>
      <c r="AY44" s="1072"/>
      <c r="AZ44" s="270"/>
      <c r="BA44" s="270"/>
      <c r="BB44" s="1072"/>
      <c r="BC44" s="270"/>
      <c r="BD44" s="270"/>
      <c r="BE44" s="270"/>
      <c r="BF44" s="270"/>
      <c r="BG44" s="270"/>
      <c r="BH44" s="270"/>
      <c r="BI44" s="270"/>
      <c r="BJ44" s="270"/>
      <c r="BK44" s="270"/>
      <c r="BL44" s="270"/>
      <c r="BM44" s="270"/>
      <c r="BN44" s="270"/>
      <c r="BO44" s="270"/>
      <c r="BP44" s="270"/>
      <c r="BQ44" s="270"/>
      <c r="BR44" s="270"/>
      <c r="BS44" s="270"/>
      <c r="BT44" s="270"/>
      <c r="BU44" s="270"/>
      <c r="BV44" s="270"/>
      <c r="BW44" s="270"/>
      <c r="BX44" s="270"/>
      <c r="BY44" s="270"/>
      <c r="BZ44" s="270"/>
      <c r="CA44" s="270"/>
      <c r="CB44" s="270"/>
      <c r="CC44" s="270"/>
      <c r="CD44" s="270"/>
      <c r="CE44" s="1395"/>
      <c r="CF44" s="1450"/>
      <c r="CG44" s="1450"/>
      <c r="CH44" s="270"/>
      <c r="CI44" s="270"/>
      <c r="CJ44" s="270" t="str">
        <v/>
      </c>
      <c r="CK44" s="270"/>
      <c r="CL44" s="270"/>
      <c r="CM44" s="270"/>
    </row>
    <row r="45" spans="1:91" hidden="1" outlineLevel="3" x14ac:dyDescent="0.2">
      <c r="A45" s="270"/>
      <c r="B45" s="271"/>
      <c r="C45" s="12"/>
      <c r="D45" s="1071"/>
      <c r="E45" s="1071"/>
      <c r="F45" s="1071"/>
      <c r="G45" s="626"/>
      <c r="H45" s="271"/>
      <c r="I45" s="270"/>
      <c r="J45" s="270"/>
      <c r="K45" s="270"/>
      <c r="L45" s="270"/>
      <c r="M45" s="270"/>
      <c r="N45" s="270"/>
      <c r="O45" s="270"/>
      <c r="P45" s="1072"/>
      <c r="Q45" s="270"/>
      <c r="R45" s="270"/>
      <c r="S45" s="1072"/>
      <c r="T45" s="270"/>
      <c r="U45" s="1019"/>
      <c r="V45" s="1066"/>
      <c r="W45" s="618"/>
      <c r="X45" s="1068"/>
      <c r="Y45" s="627"/>
      <c r="Z45" s="492"/>
      <c r="AA45" s="493" t="s">
        <v>769</v>
      </c>
      <c r="AB45" s="1069"/>
      <c r="AC45" s="1070"/>
      <c r="AD45" s="839"/>
      <c r="AE45" s="270" t="str">
        <f>IF(Z45="","",IF(Z45&gt;AB45,Y45,IF(Z45=AB45,"",AC45)))</f>
        <v/>
      </c>
      <c r="AF45" s="270" t="str">
        <f>IF(Z45="","",IF(Z45=AB45,Y45,""))</f>
        <v/>
      </c>
      <c r="AG45" s="270" t="str">
        <f>IF(Z45="","",IF(Z45=AB45,AC45,""))</f>
        <v/>
      </c>
      <c r="AH45" s="270" t="str">
        <f>IF(Z45="","",IF(Z45&lt;AB45,Y45,IF(Z45=AB45,"",AC45)))</f>
        <v/>
      </c>
      <c r="AI45" s="270" t="str">
        <f>IF(Z45="","",IF(Z45&gt;AB45,Y41,""))</f>
        <v/>
      </c>
      <c r="AJ45" s="270" t="str">
        <f>IF(Z45="","",IF(Z45&lt;AB45,AC41,""))</f>
        <v/>
      </c>
      <c r="AK45" s="270" t="str">
        <f>CONCATENATE(AE45,AH45)</f>
        <v/>
      </c>
      <c r="AL45" s="270"/>
      <c r="AM45" s="270"/>
      <c r="AN45" s="270"/>
      <c r="AO45" s="271"/>
      <c r="AP45" s="270"/>
      <c r="AQ45" s="270"/>
      <c r="AR45" s="270"/>
      <c r="AS45" s="270"/>
      <c r="AT45" s="270"/>
      <c r="AU45" s="270"/>
      <c r="AV45" s="270"/>
      <c r="AW45" s="270"/>
      <c r="AX45" s="270"/>
      <c r="AY45" s="1072"/>
      <c r="AZ45" s="270"/>
      <c r="BA45" s="270"/>
      <c r="BB45" s="1072"/>
      <c r="BC45" s="270"/>
      <c r="BD45" s="270"/>
      <c r="BE45" s="270"/>
      <c r="BF45" s="270"/>
      <c r="BG45" s="270"/>
      <c r="BH45" s="270"/>
      <c r="BI45" s="270"/>
      <c r="BJ45" s="270"/>
      <c r="BK45" s="270"/>
      <c r="BL45" s="270"/>
      <c r="BM45" s="270"/>
      <c r="BN45" s="270"/>
      <c r="BO45" s="270"/>
      <c r="BP45" s="270"/>
      <c r="BQ45" s="270"/>
      <c r="BR45" s="270"/>
      <c r="BS45" s="270"/>
      <c r="BT45" s="270"/>
      <c r="BU45" s="270"/>
      <c r="BV45" s="270"/>
      <c r="BW45" s="270"/>
      <c r="BX45" s="270"/>
      <c r="BY45" s="270"/>
      <c r="BZ45" s="270"/>
      <c r="CA45" s="270"/>
      <c r="CB45" s="270"/>
      <c r="CC45" s="270"/>
      <c r="CD45" s="270"/>
      <c r="CE45" s="1395"/>
      <c r="CF45" s="1450"/>
      <c r="CG45" s="1450"/>
      <c r="CH45" s="270"/>
      <c r="CI45" s="270"/>
      <c r="CJ45" s="270" t="str">
        <v/>
      </c>
      <c r="CK45" s="270"/>
      <c r="CL45" s="270"/>
      <c r="CM45" s="270"/>
    </row>
    <row r="46" spans="1:91" hidden="1" outlineLevel="3" x14ac:dyDescent="0.2">
      <c r="A46" s="270"/>
      <c r="B46" s="271"/>
      <c r="C46" s="12"/>
      <c r="D46" s="1071"/>
      <c r="E46" s="1071"/>
      <c r="F46" s="1071"/>
      <c r="G46" s="626"/>
      <c r="H46" s="271"/>
      <c r="I46" s="270"/>
      <c r="J46" s="270"/>
      <c r="K46" s="270"/>
      <c r="L46" s="270"/>
      <c r="M46" s="270"/>
      <c r="N46" s="270"/>
      <c r="O46" s="270"/>
      <c r="P46" s="1072"/>
      <c r="Q46" s="270"/>
      <c r="R46" s="270"/>
      <c r="S46" s="1072"/>
      <c r="T46" s="270"/>
      <c r="U46" s="1019"/>
      <c r="V46" s="1073"/>
      <c r="W46" s="1074"/>
      <c r="X46" s="1075" t="str">
        <f>N_Substitute</f>
        <v>Remplaçant</v>
      </c>
      <c r="Y46" s="627"/>
      <c r="Z46" s="492"/>
      <c r="AA46" s="1076"/>
      <c r="AB46" s="1069"/>
      <c r="AC46" s="1070"/>
      <c r="AD46" s="839"/>
      <c r="AE46" s="270"/>
      <c r="AF46" s="270"/>
      <c r="AG46" s="270"/>
      <c r="AH46" s="270"/>
      <c r="AI46" s="270"/>
      <c r="AJ46" s="270"/>
      <c r="AK46" s="270"/>
      <c r="AL46" s="270"/>
      <c r="AM46" s="270"/>
      <c r="AN46" s="270"/>
      <c r="AO46" s="271"/>
      <c r="AP46" s="270"/>
      <c r="AQ46" s="270"/>
      <c r="AR46" s="270"/>
      <c r="AS46" s="270"/>
      <c r="AT46" s="270"/>
      <c r="AU46" s="270"/>
      <c r="AV46" s="270"/>
      <c r="AW46" s="270"/>
      <c r="AX46" s="270"/>
      <c r="AY46" s="1072"/>
      <c r="AZ46" s="270"/>
      <c r="BA46" s="270"/>
      <c r="BB46" s="1072"/>
      <c r="BC46" s="270"/>
      <c r="BD46" s="270"/>
      <c r="BE46" s="270"/>
      <c r="BF46" s="270"/>
      <c r="BG46" s="270"/>
      <c r="BH46" s="270"/>
      <c r="BI46" s="270"/>
      <c r="BJ46" s="270"/>
      <c r="BK46" s="270"/>
      <c r="BL46" s="270"/>
      <c r="BM46" s="270"/>
      <c r="BN46" s="270"/>
      <c r="BO46" s="270"/>
      <c r="BP46" s="270"/>
      <c r="BQ46" s="270"/>
      <c r="BR46" s="270"/>
      <c r="BS46" s="270"/>
      <c r="BT46" s="270"/>
      <c r="BU46" s="270"/>
      <c r="BV46" s="270"/>
      <c r="BW46" s="270"/>
      <c r="BX46" s="270"/>
      <c r="BY46" s="270"/>
      <c r="BZ46" s="270"/>
      <c r="CA46" s="270"/>
      <c r="CB46" s="270"/>
      <c r="CC46" s="270"/>
      <c r="CD46" s="270"/>
      <c r="CE46" s="1395"/>
      <c r="CF46" s="1450"/>
      <c r="CG46" s="1450"/>
      <c r="CH46" s="270"/>
      <c r="CI46" s="270"/>
      <c r="CJ46" s="270" t="str">
        <v/>
      </c>
      <c r="CK46" s="270"/>
      <c r="CL46" s="270"/>
      <c r="CM46" s="270"/>
    </row>
    <row r="47" spans="1:91" ht="13.5" hidden="1" outlineLevel="3" thickBot="1" x14ac:dyDescent="0.25">
      <c r="A47" s="270"/>
      <c r="B47" s="271"/>
      <c r="C47" s="12"/>
      <c r="D47" s="1071"/>
      <c r="E47" s="1071"/>
      <c r="F47" s="1071"/>
      <c r="G47" s="626"/>
      <c r="H47" s="271"/>
      <c r="I47" s="270"/>
      <c r="J47" s="270"/>
      <c r="K47" s="270"/>
      <c r="L47" s="270"/>
      <c r="M47" s="270"/>
      <c r="N47" s="270"/>
      <c r="O47" s="270"/>
      <c r="P47" s="1072"/>
      <c r="Q47" s="270"/>
      <c r="R47" s="270"/>
      <c r="S47" s="1072"/>
      <c r="T47" s="270"/>
      <c r="U47" s="1019"/>
      <c r="V47" s="1077"/>
      <c r="W47" s="1078"/>
      <c r="X47" s="1079" t="str">
        <f>N_Substitute</f>
        <v>Remplaçant</v>
      </c>
      <c r="Y47" s="1080"/>
      <c r="Z47" s="1081"/>
      <c r="AA47" s="1082"/>
      <c r="AB47" s="1083"/>
      <c r="AC47" s="1084"/>
      <c r="AD47" s="839"/>
      <c r="AE47" s="270"/>
      <c r="AF47" s="270"/>
      <c r="AG47" s="270"/>
      <c r="AH47" s="270"/>
      <c r="AI47" s="270"/>
      <c r="AJ47" s="270"/>
      <c r="AK47" s="270"/>
      <c r="AL47" s="270"/>
      <c r="AM47" s="270"/>
      <c r="AN47" s="270"/>
      <c r="AO47" s="271"/>
      <c r="AP47" s="270"/>
      <c r="AQ47" s="270"/>
      <c r="AR47" s="270"/>
      <c r="AS47" s="270"/>
      <c r="AT47" s="270"/>
      <c r="AU47" s="270"/>
      <c r="AV47" s="270"/>
      <c r="AW47" s="270"/>
      <c r="AX47" s="270"/>
      <c r="AY47" s="1072"/>
      <c r="AZ47" s="270"/>
      <c r="BA47" s="270"/>
      <c r="BB47" s="1072"/>
      <c r="BC47" s="270"/>
      <c r="BD47" s="270"/>
      <c r="BE47" s="270"/>
      <c r="BF47" s="270"/>
      <c r="BG47" s="270"/>
      <c r="BH47" s="270"/>
      <c r="BI47" s="270"/>
      <c r="BJ47" s="270"/>
      <c r="BK47" s="270"/>
      <c r="BL47" s="270"/>
      <c r="BM47" s="270"/>
      <c r="BN47" s="270"/>
      <c r="BO47" s="270"/>
      <c r="BP47" s="270"/>
      <c r="BQ47" s="270"/>
      <c r="BR47" s="270"/>
      <c r="BS47" s="270"/>
      <c r="BT47" s="270"/>
      <c r="BU47" s="270"/>
      <c r="BV47" s="270"/>
      <c r="BW47" s="270"/>
      <c r="BX47" s="270"/>
      <c r="BY47" s="270"/>
      <c r="BZ47" s="270"/>
      <c r="CA47" s="270"/>
      <c r="CB47" s="270"/>
      <c r="CC47" s="270"/>
      <c r="CD47" s="270"/>
      <c r="CE47" s="1395"/>
      <c r="CF47" s="1450"/>
      <c r="CG47" s="1450"/>
      <c r="CH47" s="270"/>
      <c r="CI47" s="270"/>
      <c r="CJ47" s="270" t="str">
        <v/>
      </c>
      <c r="CK47" s="270"/>
      <c r="CL47" s="270"/>
      <c r="CM47" s="270"/>
    </row>
    <row r="48" spans="1:91" ht="13.5" hidden="1" outlineLevel="2" collapsed="1" thickBot="1" x14ac:dyDescent="0.25">
      <c r="A48" s="270"/>
      <c r="B48" s="271"/>
      <c r="C48" s="12"/>
      <c r="D48" s="1071"/>
      <c r="E48" s="1071"/>
      <c r="F48" s="1071"/>
      <c r="G48" s="626"/>
      <c r="H48" s="271"/>
      <c r="I48" s="270"/>
      <c r="J48" s="270"/>
      <c r="K48" s="270"/>
      <c r="L48" s="270"/>
      <c r="M48" s="270"/>
      <c r="N48" s="270"/>
      <c r="O48" s="270"/>
      <c r="P48" s="1072"/>
      <c r="Q48" s="270"/>
      <c r="R48" s="270"/>
      <c r="S48" s="1072"/>
      <c r="T48" s="270"/>
      <c r="U48" s="1019" t="s">
        <v>1727</v>
      </c>
      <c r="V48" s="1085"/>
      <c r="W48" s="617"/>
      <c r="X48" s="1523"/>
      <c r="Y48" s="1062" t="str">
        <f>IF(COUNTA(G37:G39) =3,GMFTGROUPORDERTEAM(G37:G39,Y41:Y61,AC41:AC61),"")</f>
        <v>Eq2</v>
      </c>
      <c r="Z48" s="1086" t="str">
        <f>IF(OR(ISNUMBER(Z49),ISNUMBER(Z50),ISNUMBER(Z51),ISNUMBER(Z52)),4-COUNTBLANK(AI49:AI52),"")</f>
        <v/>
      </c>
      <c r="AA48" s="1064" t="s">
        <v>769</v>
      </c>
      <c r="AB48" s="1063" t="str">
        <f>IF(OR(ISNUMBER(Z49),ISNUMBER(Z50),ISNUMBER(Z51),ISNUMBER(Z52)),4-COUNTBLANK(AJ49:AJ52),"")</f>
        <v/>
      </c>
      <c r="AC48" s="1065" t="str">
        <f>IF(COUNTA(G37:G39) =3,GMFTGROUPORDERTEAM(G37:G39,Y41:Y61,AC41:AC61),"")</f>
        <v>Eq3</v>
      </c>
      <c r="AD48" s="839"/>
      <c r="AE48" s="270" t="str">
        <f>IF(Z48="","",IF(Z48&gt;AB48,Y48,IF(Z48=AB48,IF(NoDrawWithWithdraw,IF(AL48=Y48,AC48,IF(AL48=AC48,Y48,"")),""),AC48)))</f>
        <v/>
      </c>
      <c r="AF48" s="270" t="str">
        <f>IF(Z48="","",IF(Z48=AB48,IF(NoDrawWithWithdraw,IF(AL48=Y48,"",IF(AL48=AC48,"",Y48)),Y48),""))</f>
        <v/>
      </c>
      <c r="AG48" s="270" t="str">
        <f>IF(Z48="","",IF(Z48=AB48,IF(NoDrawWithWithdraw,IF(AL48=Y48,"",IF(AL48=AC48,"",AC48)),AC48),""))</f>
        <v/>
      </c>
      <c r="AH48" s="270" t="str">
        <f>IF(Z48="","",IF(Z48&lt;AB48,Y48,IF(Z48=AB48,IF(NoDrawWithWithdraw,IF(AL48=Y48,Y48,IF(AL48=AC48,AC48,"")),""),AC48)))</f>
        <v/>
      </c>
      <c r="AI48" s="270" t="str">
        <f>IF(Z48="","",SUM(Z49:Z52))</f>
        <v/>
      </c>
      <c r="AJ48" s="270" t="str">
        <f>IF(Z48="","",SUM(AB49:AB52))</f>
        <v/>
      </c>
      <c r="AK48" s="270" t="str">
        <f>CONCATENATE(AE48,AH48)</f>
        <v/>
      </c>
      <c r="AL48" s="270" t="str">
        <f>IF(COUNTIF(Y49:Y52,WithdrawLabel)&gt;COUNTIF(AC49:AC52,WithdrawLabel),Y48,IF(COUNTIF(AC49:AC52,WithdrawLabel)&gt;COUNTIF(Y49:Y52,WithdrawLabel),AC48,""))</f>
        <v/>
      </c>
      <c r="AM48" s="270"/>
      <c r="AN48" s="270"/>
      <c r="AO48" s="271"/>
      <c r="AP48" s="270"/>
      <c r="AQ48" s="270"/>
      <c r="AR48" s="270"/>
      <c r="AS48" s="270"/>
      <c r="AT48" s="270"/>
      <c r="AU48" s="270"/>
      <c r="AV48" s="270"/>
      <c r="AW48" s="270"/>
      <c r="AX48" s="270"/>
      <c r="AY48" s="1072"/>
      <c r="AZ48" s="270"/>
      <c r="BA48" s="270"/>
      <c r="BB48" s="1072"/>
      <c r="BC48" s="270"/>
      <c r="BD48" s="270"/>
      <c r="BE48" s="270"/>
      <c r="BF48" s="270"/>
      <c r="BG48" s="270"/>
      <c r="BH48" s="270"/>
      <c r="BI48" s="270"/>
      <c r="BJ48" s="270"/>
      <c r="BK48" s="270"/>
      <c r="BL48" s="270"/>
      <c r="BM48" s="270"/>
      <c r="BN48" s="270"/>
      <c r="BO48" s="270"/>
      <c r="BP48" s="270"/>
      <c r="BQ48" s="270"/>
      <c r="BR48" s="270"/>
      <c r="BS48" s="270"/>
      <c r="BT48" s="270"/>
      <c r="BU48" s="270"/>
      <c r="BV48" s="270"/>
      <c r="BW48" s="270"/>
      <c r="BX48" s="270"/>
      <c r="BY48" s="270"/>
      <c r="BZ48" s="270"/>
      <c r="CA48" s="270"/>
      <c r="CB48" s="270"/>
      <c r="CC48" s="270"/>
      <c r="CD48" s="270"/>
      <c r="CE48" s="1395"/>
      <c r="CF48" s="1450"/>
      <c r="CG48" s="1450"/>
      <c r="CH48" s="270"/>
      <c r="CI48" s="270"/>
      <c r="CJ48" s="270" t="str">
        <v/>
      </c>
      <c r="CK48" s="270"/>
      <c r="CL48" s="270"/>
      <c r="CM48" s="270"/>
    </row>
    <row r="49" spans="1:91" hidden="1" outlineLevel="3" x14ac:dyDescent="0.2">
      <c r="A49" s="270"/>
      <c r="B49" s="271"/>
      <c r="C49" s="12"/>
      <c r="D49" s="1071"/>
      <c r="E49" s="1071"/>
      <c r="F49" s="1071"/>
      <c r="G49" s="626"/>
      <c r="H49" s="271"/>
      <c r="I49" s="270"/>
      <c r="J49" s="270"/>
      <c r="K49" s="270"/>
      <c r="L49" s="270"/>
      <c r="M49" s="270"/>
      <c r="N49" s="270"/>
      <c r="O49" s="270"/>
      <c r="P49" s="1072"/>
      <c r="Q49" s="270"/>
      <c r="R49" s="270"/>
      <c r="S49" s="1072"/>
      <c r="T49" s="270"/>
      <c r="U49" s="1019"/>
      <c r="V49" s="1066"/>
      <c r="W49" s="618"/>
      <c r="X49" s="1068"/>
      <c r="Y49" s="627"/>
      <c r="Z49" s="492"/>
      <c r="AA49" s="493" t="s">
        <v>769</v>
      </c>
      <c r="AB49" s="1069"/>
      <c r="AC49" s="1070"/>
      <c r="AD49" s="839"/>
      <c r="AE49" s="270" t="str">
        <f>IF(Z49="","",IF(Z49&gt;AB49,Y49,IF(Z49=AB49,"",AC49)))</f>
        <v/>
      </c>
      <c r="AF49" s="270" t="str">
        <f>IF(Z49="","",IF(Z49=AB49,Y49,""))</f>
        <v/>
      </c>
      <c r="AG49" s="270" t="str">
        <f>IF(Z49="","",IF(Z49=AB49,AC49,""))</f>
        <v/>
      </c>
      <c r="AH49" s="270" t="str">
        <f>IF(Z49="","",IF(Z49&lt;AB49,Y49,IF(Z49=AB49,"",AC49)))</f>
        <v/>
      </c>
      <c r="AI49" s="270" t="str">
        <f>IF(Z49="","",IF(Z49&gt;AB49,Y48,""))</f>
        <v/>
      </c>
      <c r="AJ49" s="270" t="str">
        <f>IF(Z49="","",IF(Z49&lt;AB49,AC48,""))</f>
        <v/>
      </c>
      <c r="AK49" s="270" t="str">
        <f>CONCATENATE(AE49,AH49)</f>
        <v/>
      </c>
      <c r="AL49" s="270"/>
      <c r="AM49" s="270"/>
      <c r="AN49" s="270"/>
      <c r="AO49" s="271"/>
      <c r="AP49" s="270"/>
      <c r="AQ49" s="270"/>
      <c r="AR49" s="270"/>
      <c r="AS49" s="270"/>
      <c r="AT49" s="270"/>
      <c r="AU49" s="270"/>
      <c r="AV49" s="270"/>
      <c r="AW49" s="270"/>
      <c r="AX49" s="270"/>
      <c r="AY49" s="1072"/>
      <c r="AZ49" s="270"/>
      <c r="BA49" s="270"/>
      <c r="BB49" s="1072"/>
      <c r="BC49" s="270"/>
      <c r="BD49" s="270"/>
      <c r="BE49" s="270"/>
      <c r="BF49" s="270"/>
      <c r="BG49" s="270"/>
      <c r="BH49" s="270"/>
      <c r="BI49" s="270"/>
      <c r="BJ49" s="270"/>
      <c r="BK49" s="270"/>
      <c r="BL49" s="270"/>
      <c r="BM49" s="270"/>
      <c r="BN49" s="270"/>
      <c r="BO49" s="270"/>
      <c r="BP49" s="270"/>
      <c r="BQ49" s="270"/>
      <c r="BR49" s="270"/>
      <c r="BS49" s="270"/>
      <c r="BT49" s="270"/>
      <c r="BU49" s="270"/>
      <c r="BV49" s="270"/>
      <c r="BW49" s="270"/>
      <c r="BX49" s="270"/>
      <c r="BY49" s="270"/>
      <c r="BZ49" s="270"/>
      <c r="CA49" s="270"/>
      <c r="CB49" s="270"/>
      <c r="CC49" s="270"/>
      <c r="CD49" s="270"/>
      <c r="CE49" s="1395"/>
      <c r="CF49" s="1450"/>
      <c r="CG49" s="1450"/>
      <c r="CH49" s="270"/>
      <c r="CI49" s="270"/>
      <c r="CJ49" s="270" t="str">
        <v/>
      </c>
      <c r="CK49" s="270"/>
      <c r="CL49" s="270"/>
      <c r="CM49" s="270"/>
    </row>
    <row r="50" spans="1:91" hidden="1" outlineLevel="3" x14ac:dyDescent="0.2">
      <c r="A50" s="270"/>
      <c r="B50" s="271"/>
      <c r="C50" s="12"/>
      <c r="D50" s="1071"/>
      <c r="E50" s="1071"/>
      <c r="F50" s="1071"/>
      <c r="G50" s="626"/>
      <c r="H50" s="271"/>
      <c r="I50" s="270"/>
      <c r="J50" s="270"/>
      <c r="K50" s="270"/>
      <c r="L50" s="270"/>
      <c r="M50" s="270"/>
      <c r="N50" s="270"/>
      <c r="O50" s="270"/>
      <c r="P50" s="1072"/>
      <c r="Q50" s="270"/>
      <c r="R50" s="270"/>
      <c r="S50" s="1072"/>
      <c r="T50" s="270"/>
      <c r="U50" s="1019"/>
      <c r="V50" s="1066"/>
      <c r="W50" s="618"/>
      <c r="X50" s="1068"/>
      <c r="Y50" s="627"/>
      <c r="Z50" s="492"/>
      <c r="AA50" s="493" t="s">
        <v>769</v>
      </c>
      <c r="AB50" s="1069"/>
      <c r="AC50" s="1070"/>
      <c r="AD50" s="839"/>
      <c r="AE50" s="270" t="str">
        <f>IF(Z50="","",IF(Z50&gt;AB50,Y50,IF(Z50=AB50,"",AC50)))</f>
        <v/>
      </c>
      <c r="AF50" s="270" t="str">
        <f>IF(Z50="","",IF(Z50=AB50,Y50,""))</f>
        <v/>
      </c>
      <c r="AG50" s="270" t="str">
        <f>IF(Z50="","",IF(Z50=AB50,AC50,""))</f>
        <v/>
      </c>
      <c r="AH50" s="270" t="str">
        <f>IF(Z50="","",IF(Z50&lt;AB50,Y50,IF(Z50=AB50,"",AC50)))</f>
        <v/>
      </c>
      <c r="AI50" s="270" t="str">
        <f>IF(Z50="","",IF(Z50&gt;AB50,Y48,""))</f>
        <v/>
      </c>
      <c r="AJ50" s="270" t="str">
        <f>IF(Z50="","",IF(Z50&lt;AB50,AC48,""))</f>
        <v/>
      </c>
      <c r="AK50" s="270" t="str">
        <f>CONCATENATE(AE50,AH50)</f>
        <v/>
      </c>
      <c r="AL50" s="270"/>
      <c r="AM50" s="270"/>
      <c r="AN50" s="270"/>
      <c r="AO50" s="271"/>
      <c r="AP50" s="270"/>
      <c r="AQ50" s="270"/>
      <c r="AR50" s="270"/>
      <c r="AS50" s="270"/>
      <c r="AT50" s="270"/>
      <c r="AU50" s="270"/>
      <c r="AV50" s="270"/>
      <c r="AW50" s="270"/>
      <c r="AX50" s="270"/>
      <c r="AY50" s="1072"/>
      <c r="AZ50" s="270"/>
      <c r="BA50" s="270"/>
      <c r="BB50" s="1072"/>
      <c r="BC50" s="270"/>
      <c r="BD50" s="270"/>
      <c r="BE50" s="270"/>
      <c r="BF50" s="270"/>
      <c r="BG50" s="270"/>
      <c r="BH50" s="270"/>
      <c r="BI50" s="270"/>
      <c r="BJ50" s="270"/>
      <c r="BK50" s="270"/>
      <c r="BL50" s="270"/>
      <c r="BM50" s="270"/>
      <c r="BN50" s="270"/>
      <c r="BO50" s="270"/>
      <c r="BP50" s="270"/>
      <c r="BQ50" s="270"/>
      <c r="BR50" s="270"/>
      <c r="BS50" s="270"/>
      <c r="BT50" s="270"/>
      <c r="BU50" s="270"/>
      <c r="BV50" s="270"/>
      <c r="BW50" s="270"/>
      <c r="BX50" s="270"/>
      <c r="BY50" s="270"/>
      <c r="BZ50" s="270"/>
      <c r="CA50" s="270"/>
      <c r="CB50" s="270"/>
      <c r="CC50" s="270"/>
      <c r="CD50" s="270"/>
      <c r="CE50" s="1395"/>
      <c r="CF50" s="1450"/>
      <c r="CG50" s="1450"/>
      <c r="CH50" s="270"/>
      <c r="CI50" s="270"/>
      <c r="CJ50" s="270" t="str">
        <v/>
      </c>
      <c r="CK50" s="270"/>
      <c r="CL50" s="270"/>
      <c r="CM50" s="270"/>
    </row>
    <row r="51" spans="1:91" hidden="1" outlineLevel="3" x14ac:dyDescent="0.2">
      <c r="A51" s="270"/>
      <c r="B51" s="271"/>
      <c r="C51" s="12"/>
      <c r="D51" s="1071"/>
      <c r="E51" s="1071"/>
      <c r="F51" s="1071"/>
      <c r="G51" s="626"/>
      <c r="H51" s="271"/>
      <c r="I51" s="270"/>
      <c r="J51" s="270"/>
      <c r="K51" s="270"/>
      <c r="L51" s="270"/>
      <c r="M51" s="270"/>
      <c r="N51" s="270"/>
      <c r="O51" s="270"/>
      <c r="P51" s="1072"/>
      <c r="Q51" s="270"/>
      <c r="R51" s="270"/>
      <c r="S51" s="1072"/>
      <c r="T51" s="270"/>
      <c r="U51" s="1019"/>
      <c r="V51" s="1066"/>
      <c r="W51" s="618"/>
      <c r="X51" s="1068"/>
      <c r="Y51" s="627"/>
      <c r="Z51" s="492"/>
      <c r="AA51" s="493" t="s">
        <v>769</v>
      </c>
      <c r="AB51" s="1069"/>
      <c r="AC51" s="1070"/>
      <c r="AD51" s="839"/>
      <c r="AE51" s="270" t="str">
        <f>IF(Z51="","",IF(Z51&gt;AB51,Y51,IF(Z51=AB51,"",AC51)))</f>
        <v/>
      </c>
      <c r="AF51" s="270" t="str">
        <f>IF(Z51="","",IF(Z51=AB51,Y51,""))</f>
        <v/>
      </c>
      <c r="AG51" s="270" t="str">
        <f>IF(Z51="","",IF(Z51=AB51,AC51,""))</f>
        <v/>
      </c>
      <c r="AH51" s="270" t="str">
        <f>IF(Z51="","",IF(Z51&lt;AB51,Y51,IF(Z51=AB51,"",AC51)))</f>
        <v/>
      </c>
      <c r="AI51" s="270" t="str">
        <f>IF(Z51="","",IF(Z51&gt;AB51,Y48,""))</f>
        <v/>
      </c>
      <c r="AJ51" s="270" t="str">
        <f>IF(Z51="","",IF(Z51&lt;AB51,AC48,""))</f>
        <v/>
      </c>
      <c r="AK51" s="270" t="str">
        <f>CONCATENATE(AE51,AH51)</f>
        <v/>
      </c>
      <c r="AL51" s="270"/>
      <c r="AM51" s="270"/>
      <c r="AN51" s="270"/>
      <c r="AO51" s="271"/>
      <c r="AP51" s="270"/>
      <c r="AQ51" s="270"/>
      <c r="AR51" s="270"/>
      <c r="AS51" s="270"/>
      <c r="AT51" s="270"/>
      <c r="AU51" s="270"/>
      <c r="AV51" s="270"/>
      <c r="AW51" s="270"/>
      <c r="AX51" s="270"/>
      <c r="AY51" s="1072"/>
      <c r="AZ51" s="270"/>
      <c r="BA51" s="270"/>
      <c r="BB51" s="1072"/>
      <c r="BC51" s="270"/>
      <c r="BD51" s="270"/>
      <c r="BE51" s="270"/>
      <c r="BF51" s="270"/>
      <c r="BG51" s="270"/>
      <c r="BH51" s="270"/>
      <c r="BI51" s="270"/>
      <c r="BJ51" s="270"/>
      <c r="BK51" s="270"/>
      <c r="BL51" s="270"/>
      <c r="BM51" s="270"/>
      <c r="BN51" s="270"/>
      <c r="BO51" s="270"/>
      <c r="BP51" s="270"/>
      <c r="BQ51" s="270"/>
      <c r="BR51" s="270"/>
      <c r="BS51" s="270"/>
      <c r="BT51" s="270"/>
      <c r="BU51" s="270"/>
      <c r="BV51" s="270"/>
      <c r="BW51" s="270"/>
      <c r="BX51" s="270"/>
      <c r="BY51" s="270"/>
      <c r="BZ51" s="270"/>
      <c r="CA51" s="270"/>
      <c r="CB51" s="270"/>
      <c r="CC51" s="270"/>
      <c r="CD51" s="270"/>
      <c r="CE51" s="1395"/>
      <c r="CF51" s="1450"/>
      <c r="CG51" s="1450"/>
      <c r="CH51" s="270"/>
      <c r="CI51" s="270"/>
      <c r="CJ51" s="270" t="str">
        <v/>
      </c>
      <c r="CK51" s="270"/>
      <c r="CL51" s="270"/>
      <c r="CM51" s="270"/>
    </row>
    <row r="52" spans="1:91" hidden="1" outlineLevel="3" x14ac:dyDescent="0.2">
      <c r="A52" s="270"/>
      <c r="B52" s="271"/>
      <c r="C52" s="12"/>
      <c r="D52" s="1071"/>
      <c r="E52" s="1071"/>
      <c r="F52" s="1071"/>
      <c r="G52" s="626"/>
      <c r="H52" s="271"/>
      <c r="I52" s="270"/>
      <c r="J52" s="270"/>
      <c r="K52" s="270"/>
      <c r="L52" s="270"/>
      <c r="M52" s="270"/>
      <c r="N52" s="270"/>
      <c r="O52" s="270"/>
      <c r="P52" s="1072"/>
      <c r="Q52" s="270"/>
      <c r="R52" s="270"/>
      <c r="S52" s="1072"/>
      <c r="T52" s="270"/>
      <c r="U52" s="1019"/>
      <c r="V52" s="1066"/>
      <c r="W52" s="618"/>
      <c r="X52" s="1068"/>
      <c r="Y52" s="627"/>
      <c r="Z52" s="492"/>
      <c r="AA52" s="493" t="s">
        <v>769</v>
      </c>
      <c r="AB52" s="1069"/>
      <c r="AC52" s="1070"/>
      <c r="AD52" s="839"/>
      <c r="AE52" s="270" t="str">
        <f>IF(Z52="","",IF(Z52&gt;AB52,Y52,IF(Z52=AB52,"",AC52)))</f>
        <v/>
      </c>
      <c r="AF52" s="270" t="str">
        <f>IF(Z52="","",IF(Z52=AB52,Y52,""))</f>
        <v/>
      </c>
      <c r="AG52" s="270" t="str">
        <f>IF(Z52="","",IF(Z52=AB52,AC52,""))</f>
        <v/>
      </c>
      <c r="AH52" s="270" t="str">
        <f>IF(Z52="","",IF(Z52&lt;AB52,Y52,IF(Z52=AB52,"",AC52)))</f>
        <v/>
      </c>
      <c r="AI52" s="270" t="str">
        <f>IF(Z52="","",IF(Z52&gt;AB52,Y48,""))</f>
        <v/>
      </c>
      <c r="AJ52" s="270" t="str">
        <f>IF(Z52="","",IF(Z52&lt;AB52,AC48,""))</f>
        <v/>
      </c>
      <c r="AK52" s="270" t="str">
        <f>CONCATENATE(AE52,AH52)</f>
        <v/>
      </c>
      <c r="AL52" s="270"/>
      <c r="AM52" s="270"/>
      <c r="AN52" s="270"/>
      <c r="AO52" s="271"/>
      <c r="AP52" s="270"/>
      <c r="AQ52" s="270"/>
      <c r="AR52" s="270"/>
      <c r="AS52" s="270"/>
      <c r="AT52" s="270"/>
      <c r="AU52" s="270"/>
      <c r="AV52" s="270"/>
      <c r="AW52" s="270"/>
      <c r="AX52" s="270"/>
      <c r="AY52" s="1072"/>
      <c r="AZ52" s="270"/>
      <c r="BA52" s="270"/>
      <c r="BB52" s="1072"/>
      <c r="BC52" s="270"/>
      <c r="BD52" s="270"/>
      <c r="BE52" s="270"/>
      <c r="BF52" s="270"/>
      <c r="BG52" s="270"/>
      <c r="BH52" s="270"/>
      <c r="BI52" s="270"/>
      <c r="BJ52" s="270"/>
      <c r="BK52" s="270"/>
      <c r="BL52" s="270"/>
      <c r="BM52" s="270"/>
      <c r="BN52" s="270"/>
      <c r="BO52" s="270"/>
      <c r="BP52" s="270"/>
      <c r="BQ52" s="270"/>
      <c r="BR52" s="270"/>
      <c r="BS52" s="270"/>
      <c r="BT52" s="270"/>
      <c r="BU52" s="270"/>
      <c r="BV52" s="270"/>
      <c r="BW52" s="270"/>
      <c r="BX52" s="270"/>
      <c r="BY52" s="270"/>
      <c r="BZ52" s="270"/>
      <c r="CA52" s="270"/>
      <c r="CB52" s="270"/>
      <c r="CC52" s="270"/>
      <c r="CD52" s="270"/>
      <c r="CE52" s="1395"/>
      <c r="CF52" s="1450"/>
      <c r="CG52" s="1450"/>
      <c r="CH52" s="270"/>
      <c r="CI52" s="270"/>
      <c r="CJ52" s="270" t="str">
        <v/>
      </c>
      <c r="CK52" s="270"/>
      <c r="CL52" s="270"/>
      <c r="CM52" s="270"/>
    </row>
    <row r="53" spans="1:91" hidden="1" outlineLevel="3" x14ac:dyDescent="0.2">
      <c r="A53" s="270"/>
      <c r="B53" s="271"/>
      <c r="C53" s="12"/>
      <c r="D53" s="1071"/>
      <c r="E53" s="1071"/>
      <c r="F53" s="1071"/>
      <c r="G53" s="626"/>
      <c r="H53" s="271"/>
      <c r="I53" s="270"/>
      <c r="J53" s="270"/>
      <c r="K53" s="270"/>
      <c r="L53" s="270"/>
      <c r="M53" s="270"/>
      <c r="N53" s="270"/>
      <c r="O53" s="270"/>
      <c r="P53" s="1072"/>
      <c r="Q53" s="270"/>
      <c r="R53" s="270"/>
      <c r="S53" s="1072"/>
      <c r="T53" s="270"/>
      <c r="U53" s="1019"/>
      <c r="V53" s="1073"/>
      <c r="W53" s="1074"/>
      <c r="X53" s="1075" t="str">
        <f>N_Substitute</f>
        <v>Remplaçant</v>
      </c>
      <c r="Y53" s="627"/>
      <c r="Z53" s="492"/>
      <c r="AA53" s="1076"/>
      <c r="AB53" s="1069"/>
      <c r="AC53" s="1070"/>
      <c r="AD53" s="839"/>
      <c r="AE53" s="270"/>
      <c r="AF53" s="270"/>
      <c r="AG53" s="270"/>
      <c r="AH53" s="270"/>
      <c r="AI53" s="270"/>
      <c r="AJ53" s="270"/>
      <c r="AK53" s="270"/>
      <c r="AL53" s="270"/>
      <c r="AM53" s="270"/>
      <c r="AN53" s="270"/>
      <c r="AO53" s="271"/>
      <c r="AP53" s="270"/>
      <c r="AQ53" s="270"/>
      <c r="AR53" s="270"/>
      <c r="AS53" s="270"/>
      <c r="AT53" s="270"/>
      <c r="AU53" s="270"/>
      <c r="AV53" s="270"/>
      <c r="AW53" s="270"/>
      <c r="AX53" s="270"/>
      <c r="AY53" s="1072"/>
      <c r="AZ53" s="270"/>
      <c r="BA53" s="270"/>
      <c r="BB53" s="1072"/>
      <c r="BC53" s="270"/>
      <c r="BD53" s="270"/>
      <c r="BE53" s="270"/>
      <c r="BF53" s="270"/>
      <c r="BG53" s="270"/>
      <c r="BH53" s="270"/>
      <c r="BI53" s="270"/>
      <c r="BJ53" s="270"/>
      <c r="BK53" s="270"/>
      <c r="BL53" s="270"/>
      <c r="BM53" s="270"/>
      <c r="BN53" s="270"/>
      <c r="BO53" s="270"/>
      <c r="BP53" s="270"/>
      <c r="BQ53" s="270"/>
      <c r="BR53" s="270"/>
      <c r="BS53" s="270"/>
      <c r="BT53" s="270"/>
      <c r="BU53" s="270"/>
      <c r="BV53" s="270"/>
      <c r="BW53" s="270"/>
      <c r="BX53" s="270"/>
      <c r="BY53" s="270"/>
      <c r="BZ53" s="270"/>
      <c r="CA53" s="270"/>
      <c r="CB53" s="270"/>
      <c r="CC53" s="270"/>
      <c r="CD53" s="270"/>
      <c r="CE53" s="1395"/>
      <c r="CF53" s="1450"/>
      <c r="CG53" s="1450"/>
      <c r="CH53" s="270"/>
      <c r="CI53" s="270"/>
      <c r="CJ53" s="270" t="str">
        <v/>
      </c>
      <c r="CK53" s="270"/>
      <c r="CL53" s="270"/>
      <c r="CM53" s="270"/>
    </row>
    <row r="54" spans="1:91" ht="13.5" hidden="1" outlineLevel="3" thickBot="1" x14ac:dyDescent="0.25">
      <c r="A54" s="270"/>
      <c r="B54" s="271"/>
      <c r="C54" s="12"/>
      <c r="D54" s="1071"/>
      <c r="E54" s="1071"/>
      <c r="F54" s="1071"/>
      <c r="G54" s="626"/>
      <c r="H54" s="271"/>
      <c r="I54" s="270"/>
      <c r="J54" s="270"/>
      <c r="K54" s="270"/>
      <c r="L54" s="270"/>
      <c r="M54" s="270"/>
      <c r="N54" s="270"/>
      <c r="O54" s="270"/>
      <c r="P54" s="1072"/>
      <c r="Q54" s="270"/>
      <c r="R54" s="270"/>
      <c r="S54" s="1072"/>
      <c r="T54" s="270"/>
      <c r="U54" s="1019"/>
      <c r="V54" s="1087"/>
      <c r="W54" s="1088"/>
      <c r="X54" s="1089" t="str">
        <f>N_Substitute</f>
        <v>Remplaçant</v>
      </c>
      <c r="Y54" s="631"/>
      <c r="Z54" s="496"/>
      <c r="AA54" s="1090"/>
      <c r="AB54" s="1091"/>
      <c r="AC54" s="1092"/>
      <c r="AD54" s="839"/>
      <c r="AE54" s="270"/>
      <c r="AF54" s="270"/>
      <c r="AG54" s="270"/>
      <c r="AH54" s="270"/>
      <c r="AI54" s="270"/>
      <c r="AJ54" s="270"/>
      <c r="AK54" s="270"/>
      <c r="AL54" s="270"/>
      <c r="AM54" s="270"/>
      <c r="AN54" s="270"/>
      <c r="AO54" s="271"/>
      <c r="AP54" s="270"/>
      <c r="AQ54" s="270"/>
      <c r="AR54" s="270"/>
      <c r="AS54" s="270"/>
      <c r="AT54" s="270"/>
      <c r="AU54" s="270"/>
      <c r="AV54" s="270"/>
      <c r="AW54" s="270"/>
      <c r="AX54" s="270"/>
      <c r="AY54" s="1072"/>
      <c r="AZ54" s="270"/>
      <c r="BA54" s="270"/>
      <c r="BB54" s="1072"/>
      <c r="BC54" s="270"/>
      <c r="BD54" s="270"/>
      <c r="BE54" s="270"/>
      <c r="BF54" s="270"/>
      <c r="BG54" s="270"/>
      <c r="BH54" s="270"/>
      <c r="BI54" s="270"/>
      <c r="BJ54" s="270"/>
      <c r="BK54" s="270"/>
      <c r="BL54" s="270"/>
      <c r="BM54" s="270"/>
      <c r="BN54" s="270"/>
      <c r="BO54" s="270"/>
      <c r="BP54" s="270"/>
      <c r="BQ54" s="270"/>
      <c r="BR54" s="270"/>
      <c r="BS54" s="270"/>
      <c r="BT54" s="270"/>
      <c r="BU54" s="270"/>
      <c r="BV54" s="270"/>
      <c r="BW54" s="270"/>
      <c r="BX54" s="270"/>
      <c r="BY54" s="270"/>
      <c r="BZ54" s="270"/>
      <c r="CA54" s="270"/>
      <c r="CB54" s="270"/>
      <c r="CC54" s="270"/>
      <c r="CD54" s="270"/>
      <c r="CE54" s="1395"/>
      <c r="CF54" s="1450"/>
      <c r="CG54" s="1450"/>
      <c r="CH54" s="270"/>
      <c r="CI54" s="270"/>
      <c r="CJ54" s="270" t="str">
        <v/>
      </c>
      <c r="CK54" s="270"/>
      <c r="CL54" s="270"/>
      <c r="CM54" s="270"/>
    </row>
    <row r="55" spans="1:91" ht="13.5" hidden="1" outlineLevel="2" collapsed="1" thickBot="1" x14ac:dyDescent="0.25">
      <c r="A55" s="270"/>
      <c r="B55" s="271"/>
      <c r="C55" s="12"/>
      <c r="D55" s="1071"/>
      <c r="E55" s="1071"/>
      <c r="F55" s="1071"/>
      <c r="G55" s="626"/>
      <c r="H55" s="271"/>
      <c r="I55" s="270"/>
      <c r="J55" s="270"/>
      <c r="K55" s="270"/>
      <c r="L55" s="270"/>
      <c r="M55" s="270"/>
      <c r="N55" s="270"/>
      <c r="O55" s="270"/>
      <c r="P55" s="1072"/>
      <c r="Q55" s="270"/>
      <c r="R55" s="270"/>
      <c r="S55" s="1072"/>
      <c r="T55" s="270"/>
      <c r="U55" s="1019" t="s">
        <v>1728</v>
      </c>
      <c r="V55" s="1085"/>
      <c r="W55" s="617"/>
      <c r="X55" s="1523"/>
      <c r="Y55" s="1062" t="str">
        <f>IF(COUNTA(G37:G39) =3,GMFTGROUPORDERTEAM(G37:G39,Y41:Y61,AC41:AC61),"")</f>
        <v>Eq1</v>
      </c>
      <c r="Z55" s="1063" t="str">
        <f>IF(OR(ISNUMBER(Z56),ISNUMBER(Z57),ISNUMBER(Z58),ISNUMBER(Z59)),4-COUNTBLANK(AI56:AI59),"")</f>
        <v/>
      </c>
      <c r="AA55" s="1064" t="s">
        <v>769</v>
      </c>
      <c r="AB55" s="1063" t="str">
        <f>IF(OR(ISNUMBER(Z56),ISNUMBER(Z57),ISNUMBER(Z58),ISNUMBER(Z59)),4-COUNTBLANK(AJ56:AJ59),"")</f>
        <v/>
      </c>
      <c r="AC55" s="1065" t="str">
        <f>IF(COUNTA(G37:G39) =3,GMFTGROUPORDERTEAM(G37:G39,Y41:Y61,AC41:AC61),"")</f>
        <v>Eq2</v>
      </c>
      <c r="AD55" s="839"/>
      <c r="AE55" s="270" t="str">
        <f>IF(Z55="","",IF(Z55&gt;AB55,Y55,IF(Z55=AB55,IF(NoDrawWithWithdraw,IF(AL55=Y55,AC55,IF(AL55=AC55,Y55,"")),""),AC55)))</f>
        <v/>
      </c>
      <c r="AF55" s="270" t="str">
        <f>IF(Z55="","",IF(Z55=AB55,IF(NoDrawWithWithdraw,IF(AL55=Y55,"",IF(AL55=AC55,"",Y55)),Y55),""))</f>
        <v/>
      </c>
      <c r="AG55" s="270" t="str">
        <f>IF(Z55="","",IF(Z55=AB55,IF(NoDrawWithWithdraw,IF(AL55=Y55,"",IF(AL55=AC55,"",AC55)),AC55),""))</f>
        <v/>
      </c>
      <c r="AH55" s="270" t="str">
        <f>IF(Z55="","",IF(Z55&lt;AB55,Y55,IF(Z55=AB55,IF(NoDrawWithWithdraw,IF(AL55=Y55,Y55,IF(AL55=AC55,AC55,"")),""),AC55)))</f>
        <v/>
      </c>
      <c r="AI55" s="270" t="str">
        <f>IF(Z55="","",SUM(Z56:Z59))</f>
        <v/>
      </c>
      <c r="AJ55" s="270" t="str">
        <f>IF(Z55="","",SUM(AB56:AB59))</f>
        <v/>
      </c>
      <c r="AK55" s="270" t="str">
        <f>CONCATENATE(AE55,AH55)</f>
        <v/>
      </c>
      <c r="AL55" s="270" t="str">
        <f>IF(COUNTIF(Y56:Y59,WithdrawLabel)&gt;COUNTIF(AC56:AC59,WithdrawLabel),Y55,IF(COUNTIF(AC56:AC59,WithdrawLabel)&gt;COUNTIF(Y56:Y59,WithdrawLabel),AC55,""))</f>
        <v/>
      </c>
      <c r="AM55" s="270"/>
      <c r="AN55" s="270"/>
      <c r="AO55" s="271"/>
      <c r="AP55" s="270"/>
      <c r="AQ55" s="270"/>
      <c r="AR55" s="270"/>
      <c r="AS55" s="270"/>
      <c r="AT55" s="270"/>
      <c r="AU55" s="270"/>
      <c r="AV55" s="270"/>
      <c r="AW55" s="270"/>
      <c r="AX55" s="270"/>
      <c r="AY55" s="1072"/>
      <c r="AZ55" s="270"/>
      <c r="BA55" s="270"/>
      <c r="BB55" s="1072"/>
      <c r="BC55" s="270"/>
      <c r="BD55" s="270"/>
      <c r="BE55" s="270"/>
      <c r="BF55" s="270"/>
      <c r="BG55" s="270"/>
      <c r="BH55" s="270"/>
      <c r="BI55" s="270"/>
      <c r="BJ55" s="270"/>
      <c r="BK55" s="270"/>
      <c r="BL55" s="270"/>
      <c r="BM55" s="270"/>
      <c r="BN55" s="270"/>
      <c r="BO55" s="270"/>
      <c r="BP55" s="270"/>
      <c r="BQ55" s="270"/>
      <c r="BR55" s="270"/>
      <c r="BS55" s="270"/>
      <c r="BT55" s="270"/>
      <c r="BU55" s="270"/>
      <c r="BV55" s="270"/>
      <c r="BW55" s="270"/>
      <c r="BX55" s="270"/>
      <c r="BY55" s="270"/>
      <c r="BZ55" s="270"/>
      <c r="CA55" s="270"/>
      <c r="CB55" s="270"/>
      <c r="CC55" s="270"/>
      <c r="CD55" s="270"/>
      <c r="CE55" s="1395"/>
      <c r="CF55" s="1450"/>
      <c r="CG55" s="1450"/>
      <c r="CH55" s="270"/>
      <c r="CI55" s="270"/>
      <c r="CJ55" s="270" t="str">
        <v/>
      </c>
      <c r="CK55" s="270"/>
      <c r="CL55" s="270"/>
      <c r="CM55" s="270"/>
    </row>
    <row r="56" spans="1:91" hidden="1" outlineLevel="3" x14ac:dyDescent="0.2">
      <c r="A56" s="270"/>
      <c r="B56" s="271"/>
      <c r="C56" s="12"/>
      <c r="D56" s="1071"/>
      <c r="E56" s="1071"/>
      <c r="F56" s="1071"/>
      <c r="G56" s="626"/>
      <c r="H56" s="271"/>
      <c r="I56" s="270"/>
      <c r="J56" s="270"/>
      <c r="K56" s="270"/>
      <c r="L56" s="270"/>
      <c r="M56" s="270"/>
      <c r="N56" s="270"/>
      <c r="O56" s="270"/>
      <c r="P56" s="1072"/>
      <c r="Q56" s="270"/>
      <c r="R56" s="270"/>
      <c r="S56" s="1072"/>
      <c r="T56" s="270"/>
      <c r="U56" s="1019"/>
      <c r="V56" s="1066"/>
      <c r="W56" s="618"/>
      <c r="X56" s="1068"/>
      <c r="Y56" s="627"/>
      <c r="Z56" s="492"/>
      <c r="AA56" s="493" t="s">
        <v>769</v>
      </c>
      <c r="AB56" s="1069"/>
      <c r="AC56" s="1070"/>
      <c r="AD56" s="839"/>
      <c r="AE56" s="270" t="str">
        <f>IF(Z56="","",IF(Z56&gt;AB56,Y56,IF(Z56=AB56,"",AC56)))</f>
        <v/>
      </c>
      <c r="AF56" s="270" t="str">
        <f>IF(Z56="","",IF(Z56=AB56,Y56,""))</f>
        <v/>
      </c>
      <c r="AG56" s="270" t="str">
        <f>IF(Z56="","",IF(Z56=AB56,AC56,""))</f>
        <v/>
      </c>
      <c r="AH56" s="270" t="str">
        <f>IF(Z56="","",IF(Z56&lt;AB56,Y56,IF(Z56=AB56,"",AC56)))</f>
        <v/>
      </c>
      <c r="AI56" s="270" t="str">
        <f>IF(Z56="","",IF(Z56&gt;AB56,Y55,""))</f>
        <v/>
      </c>
      <c r="AJ56" s="270" t="str">
        <f>IF(Z56="","",IF(Z56&lt;AB56,AC55,""))</f>
        <v/>
      </c>
      <c r="AK56" s="270" t="str">
        <f>CONCATENATE(AE56,AH56)</f>
        <v/>
      </c>
      <c r="AL56" s="270"/>
      <c r="AM56" s="270"/>
      <c r="AN56" s="270"/>
      <c r="AO56" s="271"/>
      <c r="AP56" s="270"/>
      <c r="AQ56" s="270"/>
      <c r="AR56" s="270"/>
      <c r="AS56" s="270"/>
      <c r="AT56" s="270"/>
      <c r="AU56" s="270"/>
      <c r="AV56" s="270"/>
      <c r="AW56" s="270"/>
      <c r="AX56" s="270"/>
      <c r="AY56" s="1072"/>
      <c r="AZ56" s="270"/>
      <c r="BA56" s="270"/>
      <c r="BB56" s="1072"/>
      <c r="BC56" s="270"/>
      <c r="BD56" s="270"/>
      <c r="BE56" s="270"/>
      <c r="BF56" s="270"/>
      <c r="BG56" s="270"/>
      <c r="BH56" s="270"/>
      <c r="BI56" s="270"/>
      <c r="BJ56" s="270"/>
      <c r="BK56" s="270"/>
      <c r="BL56" s="270"/>
      <c r="BM56" s="270"/>
      <c r="BN56" s="270"/>
      <c r="BO56" s="270"/>
      <c r="BP56" s="270"/>
      <c r="BQ56" s="270"/>
      <c r="BR56" s="270"/>
      <c r="BS56" s="270"/>
      <c r="BT56" s="270"/>
      <c r="BU56" s="270"/>
      <c r="BV56" s="270"/>
      <c r="BW56" s="270"/>
      <c r="BX56" s="270"/>
      <c r="BY56" s="270"/>
      <c r="BZ56" s="270"/>
      <c r="CA56" s="270"/>
      <c r="CB56" s="270"/>
      <c r="CC56" s="270"/>
      <c r="CD56" s="270"/>
      <c r="CE56" s="1395"/>
      <c r="CF56" s="1450"/>
      <c r="CG56" s="1450"/>
      <c r="CH56" s="270"/>
      <c r="CI56" s="270"/>
      <c r="CJ56" s="270" t="str">
        <v/>
      </c>
      <c r="CK56" s="270"/>
      <c r="CL56" s="270"/>
      <c r="CM56" s="270"/>
    </row>
    <row r="57" spans="1:91" hidden="1" outlineLevel="3" x14ac:dyDescent="0.2">
      <c r="A57" s="270"/>
      <c r="B57" s="271"/>
      <c r="C57" s="12"/>
      <c r="D57" s="1071"/>
      <c r="E57" s="1071"/>
      <c r="F57" s="1071"/>
      <c r="G57" s="626"/>
      <c r="H57" s="271"/>
      <c r="I57" s="270"/>
      <c r="J57" s="270"/>
      <c r="K57" s="270"/>
      <c r="L57" s="270"/>
      <c r="M57" s="270"/>
      <c r="N57" s="270"/>
      <c r="O57" s="270"/>
      <c r="P57" s="1072"/>
      <c r="Q57" s="270"/>
      <c r="R57" s="270"/>
      <c r="S57" s="1072"/>
      <c r="T57" s="270"/>
      <c r="U57" s="1019"/>
      <c r="V57" s="1066"/>
      <c r="W57" s="618"/>
      <c r="X57" s="1068"/>
      <c r="Y57" s="627"/>
      <c r="Z57" s="492"/>
      <c r="AA57" s="493" t="s">
        <v>769</v>
      </c>
      <c r="AB57" s="1069"/>
      <c r="AC57" s="1070"/>
      <c r="AD57" s="839"/>
      <c r="AE57" s="270" t="str">
        <f>IF(Z57="","",IF(Z57&gt;AB57,Y57,IF(Z57=AB57,"",AC57)))</f>
        <v/>
      </c>
      <c r="AF57" s="270" t="str">
        <f>IF(Z57="","",IF(Z57=AB57,Y57,""))</f>
        <v/>
      </c>
      <c r="AG57" s="270" t="str">
        <f>IF(Z57="","",IF(Z57=AB57,AC57,""))</f>
        <v/>
      </c>
      <c r="AH57" s="270" t="str">
        <f>IF(Z57="","",IF(Z57&lt;AB57,Y57,IF(Z57=AB57,"",AC57)))</f>
        <v/>
      </c>
      <c r="AI57" s="270" t="str">
        <f>IF(Z57="","",IF(Z57&gt;AB57,Y55,""))</f>
        <v/>
      </c>
      <c r="AJ57" s="270" t="str">
        <f>IF(Z57="","",IF(Z57&lt;AB57,AC55,""))</f>
        <v/>
      </c>
      <c r="AK57" s="270" t="str">
        <f>CONCATENATE(AE57,AH57)</f>
        <v/>
      </c>
      <c r="AL57" s="270"/>
      <c r="AM57" s="270"/>
      <c r="AN57" s="270"/>
      <c r="AO57" s="271"/>
      <c r="AP57" s="270"/>
      <c r="AQ57" s="270"/>
      <c r="AR57" s="270"/>
      <c r="AS57" s="270"/>
      <c r="AT57" s="270"/>
      <c r="AU57" s="270"/>
      <c r="AV57" s="270"/>
      <c r="AW57" s="270"/>
      <c r="AX57" s="270"/>
      <c r="AY57" s="1072"/>
      <c r="AZ57" s="270"/>
      <c r="BA57" s="270"/>
      <c r="BB57" s="1072"/>
      <c r="BC57" s="270"/>
      <c r="BD57" s="270"/>
      <c r="BE57" s="270"/>
      <c r="BF57" s="270"/>
      <c r="BG57" s="270"/>
      <c r="BH57" s="270"/>
      <c r="BI57" s="270"/>
      <c r="BJ57" s="270"/>
      <c r="BK57" s="270"/>
      <c r="BL57" s="270"/>
      <c r="BM57" s="270"/>
      <c r="BN57" s="270"/>
      <c r="BO57" s="270"/>
      <c r="BP57" s="270"/>
      <c r="BQ57" s="270"/>
      <c r="BR57" s="270"/>
      <c r="BS57" s="270"/>
      <c r="BT57" s="270"/>
      <c r="BU57" s="270"/>
      <c r="BV57" s="270"/>
      <c r="BW57" s="270"/>
      <c r="BX57" s="270"/>
      <c r="BY57" s="270"/>
      <c r="BZ57" s="270"/>
      <c r="CA57" s="270"/>
      <c r="CB57" s="270"/>
      <c r="CC57" s="270"/>
      <c r="CD57" s="270"/>
      <c r="CE57" s="1395"/>
      <c r="CF57" s="1450"/>
      <c r="CG57" s="1450"/>
      <c r="CH57" s="270"/>
      <c r="CI57" s="270"/>
      <c r="CJ57" s="270" t="str">
        <v/>
      </c>
      <c r="CK57" s="270"/>
      <c r="CL57" s="270"/>
      <c r="CM57" s="270"/>
    </row>
    <row r="58" spans="1:91" hidden="1" outlineLevel="3" x14ac:dyDescent="0.2">
      <c r="A58" s="270"/>
      <c r="B58" s="271"/>
      <c r="C58" s="12"/>
      <c r="D58" s="1071"/>
      <c r="E58" s="1071"/>
      <c r="F58" s="1071"/>
      <c r="G58" s="626"/>
      <c r="H58" s="271"/>
      <c r="I58" s="270"/>
      <c r="J58" s="270"/>
      <c r="K58" s="270"/>
      <c r="L58" s="270"/>
      <c r="M58" s="270"/>
      <c r="N58" s="270"/>
      <c r="O58" s="270"/>
      <c r="P58" s="1072"/>
      <c r="Q58" s="270"/>
      <c r="R58" s="270"/>
      <c r="S58" s="1072"/>
      <c r="T58" s="270"/>
      <c r="U58" s="1019"/>
      <c r="V58" s="1066"/>
      <c r="W58" s="618"/>
      <c r="X58" s="1068"/>
      <c r="Y58" s="627"/>
      <c r="Z58" s="492"/>
      <c r="AA58" s="493" t="s">
        <v>769</v>
      </c>
      <c r="AB58" s="1069"/>
      <c r="AC58" s="1070"/>
      <c r="AD58" s="839"/>
      <c r="AE58" s="270" t="str">
        <f>IF(Z58="","",IF(Z58&gt;AB58,Y58,IF(Z58=AB58,"",AC58)))</f>
        <v/>
      </c>
      <c r="AF58" s="270" t="str">
        <f>IF(Z58="","",IF(Z58=AB58,Y58,""))</f>
        <v/>
      </c>
      <c r="AG58" s="270" t="str">
        <f>IF(Z58="","",IF(Z58=AB58,AC58,""))</f>
        <v/>
      </c>
      <c r="AH58" s="270" t="str">
        <f>IF(Z58="","",IF(Z58&lt;AB58,Y58,IF(Z58=AB58,"",AC58)))</f>
        <v/>
      </c>
      <c r="AI58" s="270" t="str">
        <f>IF(Z58="","",IF(Z58&gt;AB58,Y55,""))</f>
        <v/>
      </c>
      <c r="AJ58" s="270" t="str">
        <f>IF(Z58="","",IF(Z58&lt;AB58,AC55,""))</f>
        <v/>
      </c>
      <c r="AK58" s="270" t="str">
        <f>CONCATENATE(AE58,AH58)</f>
        <v/>
      </c>
      <c r="AL58" s="270"/>
      <c r="AM58" s="270"/>
      <c r="AN58" s="270"/>
      <c r="AO58" s="271"/>
      <c r="AP58" s="270"/>
      <c r="AQ58" s="270"/>
      <c r="AR58" s="270"/>
      <c r="AS58" s="270"/>
      <c r="AT58" s="270"/>
      <c r="AU58" s="270"/>
      <c r="AV58" s="270"/>
      <c r="AW58" s="270"/>
      <c r="AX58" s="270"/>
      <c r="AY58" s="1072"/>
      <c r="AZ58" s="270"/>
      <c r="BA58" s="270"/>
      <c r="BB58" s="1072"/>
      <c r="BC58" s="270"/>
      <c r="BD58" s="270"/>
      <c r="BE58" s="270"/>
      <c r="BF58" s="270"/>
      <c r="BG58" s="270"/>
      <c r="BH58" s="270"/>
      <c r="BI58" s="270"/>
      <c r="BJ58" s="270"/>
      <c r="BK58" s="270"/>
      <c r="BL58" s="270"/>
      <c r="BM58" s="270"/>
      <c r="BN58" s="270"/>
      <c r="BO58" s="270"/>
      <c r="BP58" s="270"/>
      <c r="BQ58" s="270"/>
      <c r="BR58" s="270"/>
      <c r="BS58" s="270"/>
      <c r="BT58" s="270"/>
      <c r="BU58" s="270"/>
      <c r="BV58" s="270"/>
      <c r="BW58" s="270"/>
      <c r="BX58" s="270"/>
      <c r="BY58" s="270"/>
      <c r="BZ58" s="270"/>
      <c r="CA58" s="270"/>
      <c r="CB58" s="270"/>
      <c r="CC58" s="270"/>
      <c r="CD58" s="270"/>
      <c r="CE58" s="1395"/>
      <c r="CF58" s="1450"/>
      <c r="CG58" s="1450"/>
      <c r="CH58" s="270"/>
      <c r="CI58" s="270"/>
      <c r="CJ58" s="270" t="str">
        <v/>
      </c>
      <c r="CK58" s="270"/>
      <c r="CL58" s="270"/>
      <c r="CM58" s="270"/>
    </row>
    <row r="59" spans="1:91" hidden="1" outlineLevel="3" x14ac:dyDescent="0.2">
      <c r="A59" s="270"/>
      <c r="B59" s="271"/>
      <c r="C59" s="12"/>
      <c r="D59" s="1071"/>
      <c r="E59" s="1071"/>
      <c r="F59" s="1071"/>
      <c r="G59" s="626"/>
      <c r="H59" s="271"/>
      <c r="I59" s="270"/>
      <c r="J59" s="270"/>
      <c r="K59" s="270"/>
      <c r="L59" s="270"/>
      <c r="M59" s="270"/>
      <c r="N59" s="270"/>
      <c r="O59" s="270"/>
      <c r="P59" s="1072"/>
      <c r="Q59" s="270"/>
      <c r="R59" s="270"/>
      <c r="S59" s="1072"/>
      <c r="T59" s="270"/>
      <c r="U59" s="1019"/>
      <c r="V59" s="1066"/>
      <c r="W59" s="618"/>
      <c r="X59" s="1068"/>
      <c r="Y59" s="627"/>
      <c r="Z59" s="492"/>
      <c r="AA59" s="493" t="s">
        <v>769</v>
      </c>
      <c r="AB59" s="1069"/>
      <c r="AC59" s="1070"/>
      <c r="AD59" s="839"/>
      <c r="AE59" s="270" t="str">
        <f>IF(Z59="","",IF(Z59&gt;AB59,Y59,IF(Z59=AB59,"",AC59)))</f>
        <v/>
      </c>
      <c r="AF59" s="270" t="str">
        <f>IF(Z59="","",IF(Z59=AB59,Y59,""))</f>
        <v/>
      </c>
      <c r="AG59" s="270" t="str">
        <f>IF(Z59="","",IF(Z59=AB59,AC59,""))</f>
        <v/>
      </c>
      <c r="AH59" s="270" t="str">
        <f>IF(Z59="","",IF(Z59&lt;AB59,Y59,IF(Z59=AB59,"",AC59)))</f>
        <v/>
      </c>
      <c r="AI59" s="270" t="str">
        <f>IF(Z59="","",IF(Z59&gt;AB59,Y55,""))</f>
        <v/>
      </c>
      <c r="AJ59" s="270" t="str">
        <f>IF(Z59="","",IF(Z59&lt;AB59,AC55,""))</f>
        <v/>
      </c>
      <c r="AK59" s="270" t="str">
        <f>CONCATENATE(AE59,AH59)</f>
        <v/>
      </c>
      <c r="AL59" s="270"/>
      <c r="AM59" s="270"/>
      <c r="AN59" s="270"/>
      <c r="AO59" s="271"/>
      <c r="AP59" s="270"/>
      <c r="AQ59" s="270"/>
      <c r="AR59" s="270"/>
      <c r="AS59" s="270"/>
      <c r="AT59" s="270"/>
      <c r="AU59" s="270"/>
      <c r="AV59" s="270"/>
      <c r="AW59" s="270"/>
      <c r="AX59" s="270"/>
      <c r="AY59" s="1072"/>
      <c r="AZ59" s="270"/>
      <c r="BA59" s="270"/>
      <c r="BB59" s="1072"/>
      <c r="BC59" s="270"/>
      <c r="BD59" s="270"/>
      <c r="BE59" s="270"/>
      <c r="BF59" s="270"/>
      <c r="BG59" s="270"/>
      <c r="BH59" s="270"/>
      <c r="BI59" s="270"/>
      <c r="BJ59" s="270"/>
      <c r="BK59" s="270"/>
      <c r="BL59" s="270"/>
      <c r="BM59" s="270"/>
      <c r="BN59" s="270"/>
      <c r="BO59" s="270"/>
      <c r="BP59" s="270"/>
      <c r="BQ59" s="270"/>
      <c r="BR59" s="270"/>
      <c r="BS59" s="270"/>
      <c r="BT59" s="270"/>
      <c r="BU59" s="270"/>
      <c r="BV59" s="270"/>
      <c r="BW59" s="270"/>
      <c r="BX59" s="270"/>
      <c r="BY59" s="270"/>
      <c r="BZ59" s="270"/>
      <c r="CA59" s="270"/>
      <c r="CB59" s="270"/>
      <c r="CC59" s="270"/>
      <c r="CD59" s="270"/>
      <c r="CE59" s="1395"/>
      <c r="CF59" s="1450"/>
      <c r="CG59" s="1450"/>
      <c r="CH59" s="270"/>
      <c r="CI59" s="270"/>
      <c r="CJ59" s="270" t="str">
        <v/>
      </c>
      <c r="CK59" s="270"/>
      <c r="CL59" s="270"/>
      <c r="CM59" s="270"/>
    </row>
    <row r="60" spans="1:91" hidden="1" outlineLevel="3" x14ac:dyDescent="0.2">
      <c r="A60" s="270"/>
      <c r="B60" s="271"/>
      <c r="C60" s="12"/>
      <c r="D60" s="1071"/>
      <c r="E60" s="1071"/>
      <c r="F60" s="1071"/>
      <c r="G60" s="626"/>
      <c r="H60" s="271"/>
      <c r="I60" s="270"/>
      <c r="J60" s="270"/>
      <c r="K60" s="270"/>
      <c r="L60" s="270"/>
      <c r="M60" s="270"/>
      <c r="N60" s="270"/>
      <c r="O60" s="270"/>
      <c r="P60" s="1072"/>
      <c r="Q60" s="270"/>
      <c r="R60" s="270"/>
      <c r="S60" s="1072"/>
      <c r="T60" s="270"/>
      <c r="U60" s="1019"/>
      <c r="V60" s="1073"/>
      <c r="W60" s="1074"/>
      <c r="X60" s="1075" t="str">
        <f>N_Substitute</f>
        <v>Remplaçant</v>
      </c>
      <c r="Y60" s="627"/>
      <c r="Z60" s="492"/>
      <c r="AA60" s="1076"/>
      <c r="AB60" s="1069"/>
      <c r="AC60" s="1070"/>
      <c r="AD60" s="839"/>
      <c r="AE60" s="270"/>
      <c r="AF60" s="270"/>
      <c r="AG60" s="270"/>
      <c r="AH60" s="270"/>
      <c r="AI60" s="270"/>
      <c r="AJ60" s="270"/>
      <c r="AK60" s="270"/>
      <c r="AL60" s="270"/>
      <c r="AM60" s="270"/>
      <c r="AN60" s="270"/>
      <c r="AO60" s="271"/>
      <c r="AP60" s="270"/>
      <c r="AQ60" s="270"/>
      <c r="AR60" s="270"/>
      <c r="AS60" s="270"/>
      <c r="AT60" s="270"/>
      <c r="AU60" s="270"/>
      <c r="AV60" s="270"/>
      <c r="AW60" s="270"/>
      <c r="AX60" s="270"/>
      <c r="AY60" s="1072"/>
      <c r="AZ60" s="270"/>
      <c r="BA60" s="270"/>
      <c r="BB60" s="1072"/>
      <c r="BC60" s="270"/>
      <c r="BD60" s="270"/>
      <c r="BE60" s="270"/>
      <c r="BF60" s="270"/>
      <c r="BG60" s="270"/>
      <c r="BH60" s="270"/>
      <c r="BI60" s="270"/>
      <c r="BJ60" s="270"/>
      <c r="BK60" s="270"/>
      <c r="BL60" s="270"/>
      <c r="BM60" s="270"/>
      <c r="BN60" s="270"/>
      <c r="BO60" s="270"/>
      <c r="BP60" s="270"/>
      <c r="BQ60" s="270"/>
      <c r="BR60" s="270"/>
      <c r="BS60" s="270"/>
      <c r="BT60" s="270"/>
      <c r="BU60" s="270"/>
      <c r="BV60" s="270"/>
      <c r="BW60" s="270"/>
      <c r="BX60" s="270"/>
      <c r="BY60" s="270"/>
      <c r="BZ60" s="270"/>
      <c r="CA60" s="270"/>
      <c r="CB60" s="270"/>
      <c r="CC60" s="270"/>
      <c r="CD60" s="270"/>
      <c r="CE60" s="1395"/>
      <c r="CF60" s="1450"/>
      <c r="CG60" s="1450"/>
      <c r="CH60" s="270"/>
      <c r="CI60" s="270"/>
      <c r="CJ60" s="270" t="str">
        <v/>
      </c>
      <c r="CK60" s="270"/>
      <c r="CL60" s="270"/>
      <c r="CM60" s="270"/>
    </row>
    <row r="61" spans="1:91" ht="13.5" hidden="1" outlineLevel="3" thickBot="1" x14ac:dyDescent="0.25">
      <c r="A61" s="270"/>
      <c r="B61" s="271"/>
      <c r="C61" s="12"/>
      <c r="D61" s="1071"/>
      <c r="E61" s="1071"/>
      <c r="F61" s="1071"/>
      <c r="G61" s="626"/>
      <c r="H61" s="271"/>
      <c r="I61" s="270"/>
      <c r="J61" s="270"/>
      <c r="K61" s="270"/>
      <c r="L61" s="270"/>
      <c r="M61" s="270"/>
      <c r="N61" s="270"/>
      <c r="O61" s="270"/>
      <c r="P61" s="1072"/>
      <c r="Q61" s="270"/>
      <c r="R61" s="270"/>
      <c r="S61" s="1072"/>
      <c r="T61" s="270"/>
      <c r="U61" s="1019"/>
      <c r="V61" s="1087"/>
      <c r="W61" s="1088"/>
      <c r="X61" s="1089" t="str">
        <f>N_Substitute</f>
        <v>Remplaçant</v>
      </c>
      <c r="Y61" s="631"/>
      <c r="Z61" s="496"/>
      <c r="AA61" s="1090"/>
      <c r="AB61" s="496"/>
      <c r="AC61" s="1092"/>
      <c r="AD61" s="839"/>
      <c r="AE61" s="270"/>
      <c r="AF61" s="270"/>
      <c r="AG61" s="270"/>
      <c r="AH61" s="270"/>
      <c r="AI61" s="270"/>
      <c r="AJ61" s="270"/>
      <c r="AK61" s="270"/>
      <c r="AL61" s="270"/>
      <c r="AM61" s="270"/>
      <c r="AN61" s="270"/>
      <c r="AO61" s="271"/>
      <c r="AP61" s="270"/>
      <c r="AQ61" s="270"/>
      <c r="AR61" s="270"/>
      <c r="AS61" s="270"/>
      <c r="AT61" s="270"/>
      <c r="AU61" s="270"/>
      <c r="AV61" s="270"/>
      <c r="AW61" s="270"/>
      <c r="AX61" s="270"/>
      <c r="AY61" s="1072"/>
      <c r="AZ61" s="270"/>
      <c r="BA61" s="270"/>
      <c r="BB61" s="1072"/>
      <c r="BC61" s="270"/>
      <c r="BD61" s="270"/>
      <c r="BE61" s="270"/>
      <c r="BF61" s="270"/>
      <c r="BG61" s="270"/>
      <c r="BH61" s="270"/>
      <c r="BI61" s="270"/>
      <c r="BJ61" s="270"/>
      <c r="BK61" s="270"/>
      <c r="BL61" s="270"/>
      <c r="BM61" s="270"/>
      <c r="BN61" s="270"/>
      <c r="BO61" s="270"/>
      <c r="BP61" s="270"/>
      <c r="BQ61" s="270"/>
      <c r="BR61" s="270"/>
      <c r="BS61" s="270"/>
      <c r="BT61" s="270"/>
      <c r="BU61" s="270"/>
      <c r="BV61" s="270"/>
      <c r="BW61" s="270"/>
      <c r="BX61" s="270"/>
      <c r="BY61" s="270"/>
      <c r="BZ61" s="270"/>
      <c r="CA61" s="270"/>
      <c r="CB61" s="270"/>
      <c r="CC61" s="270"/>
      <c r="CD61" s="270"/>
      <c r="CE61" s="1395"/>
      <c r="CF61" s="1450"/>
      <c r="CG61" s="1450"/>
      <c r="CH61" s="270"/>
      <c r="CI61" s="270"/>
      <c r="CJ61" s="270" t="str">
        <v/>
      </c>
      <c r="CK61" s="270"/>
      <c r="CL61" s="270"/>
      <c r="CM61" s="270"/>
    </row>
    <row r="62" spans="1:91" ht="13.5" hidden="1" outlineLevel="2" collapsed="1" thickBot="1" x14ac:dyDescent="0.25">
      <c r="A62" s="270"/>
      <c r="B62" s="271"/>
      <c r="C62" s="270"/>
      <c r="D62" s="270"/>
      <c r="E62" s="270"/>
      <c r="F62" s="270"/>
      <c r="G62" s="271"/>
      <c r="H62" s="270"/>
      <c r="I62" s="270"/>
      <c r="J62" s="270"/>
      <c r="K62" s="270"/>
      <c r="L62" s="270"/>
      <c r="M62" s="270"/>
      <c r="N62" s="270"/>
      <c r="O62" s="270"/>
      <c r="P62" s="270"/>
      <c r="Q62" s="270"/>
      <c r="R62" s="270"/>
      <c r="S62" s="270"/>
      <c r="T62" s="270"/>
      <c r="U62" s="1019" t="s">
        <v>1729</v>
      </c>
      <c r="V62" s="1061"/>
      <c r="W62" s="1524"/>
      <c r="X62" s="1521"/>
      <c r="Y62" s="1093" t="str">
        <f>AC41</f>
        <v>Eq1</v>
      </c>
      <c r="Z62" s="1094" t="str">
        <f>IF(OR(ISNUMBER(Z63),ISNUMBER(Z64),ISNUMBER(Z65),ISNUMBER(Z66)),4-COUNTBLANK(AI63:AI66),"")</f>
        <v/>
      </c>
      <c r="AA62" s="1095" t="s">
        <v>769</v>
      </c>
      <c r="AB62" s="1094" t="str">
        <f>IF(OR(ISNUMBER(Z63),ISNUMBER(Z64),ISNUMBER(Z65),ISNUMBER(Z66)),4-COUNTBLANK(AJ63:AJ66),"")</f>
        <v/>
      </c>
      <c r="AC62" s="1096" t="str">
        <f>Y41</f>
        <v>Eq3</v>
      </c>
      <c r="AD62" s="839"/>
      <c r="AE62" s="270" t="str">
        <f>IF(Z62="","",IF(Z62&gt;AB62,Y62,IF(Z62=AB62,IF(NoDrawWithWithdraw,IF(AL62=Y62,AC62,IF(AL62=AC62,Y62,"")),""),AC62)))</f>
        <v/>
      </c>
      <c r="AF62" s="270" t="str">
        <f>IF(Z62="","",IF(Z62=AB62,IF(NoDrawWithWithdraw,IF(AL62=Y62,"",IF(AL62=AC62,"",Y62)),Y62),""))</f>
        <v/>
      </c>
      <c r="AG62" s="270" t="str">
        <f>IF(Z62="","",IF(Z62=AB62,IF(NoDrawWithWithdraw,IF(AL62=Y62,"",IF(AL62=AC62,"",AC62)),AC62),""))</f>
        <v/>
      </c>
      <c r="AH62" s="270" t="str">
        <f>IF(Z62="","",IF(Z62&lt;AB62,Y62,IF(Z62=AB62,IF(NoDrawWithWithdraw,IF(AL62=Y62,Y62,IF(AL62=AC62,AC62,"")),""),AC62)))</f>
        <v/>
      </c>
      <c r="AI62" s="270" t="str">
        <f>IF(Z62="","",SUM(Z63:Z66))</f>
        <v/>
      </c>
      <c r="AJ62" s="270" t="str">
        <f>IF(Z62="","",SUM(AB63:AB66))</f>
        <v/>
      </c>
      <c r="AK62" s="270" t="str">
        <f>CONCATENATE(AE62,AH62)</f>
        <v/>
      </c>
      <c r="AL62" s="270" t="str">
        <f>IF(COUNTIF(Y63:Y66,WithdrawLabel)&gt;COUNTIF(AC63:AC66,WithdrawLabel),Y62,IF(COUNTIF(AC63:AC66,WithdrawLabel)&gt;COUNTIF(Y63:Y66,WithdrawLabel),AC62,""))</f>
        <v/>
      </c>
      <c r="AM62" s="270"/>
      <c r="AN62" s="270"/>
      <c r="AO62" s="575"/>
      <c r="AP62" s="270"/>
      <c r="AQ62" s="270"/>
      <c r="AR62" s="270"/>
      <c r="AS62" s="270"/>
      <c r="AT62" s="270"/>
      <c r="AU62" s="270"/>
      <c r="AV62" s="270"/>
      <c r="AW62" s="270"/>
      <c r="AX62" s="270"/>
      <c r="AY62" s="270"/>
      <c r="AZ62" s="270"/>
      <c r="BA62" s="270"/>
      <c r="BB62" s="270"/>
      <c r="BC62" s="270"/>
      <c r="BD62" s="270"/>
      <c r="BE62" s="270"/>
      <c r="BF62" s="270"/>
      <c r="BG62" s="270"/>
      <c r="BH62" s="270"/>
      <c r="BI62" s="270"/>
      <c r="BJ62" s="270"/>
      <c r="BK62" s="270"/>
      <c r="BL62" s="270"/>
      <c r="BM62" s="270"/>
      <c r="BN62" s="270"/>
      <c r="BO62" s="270"/>
      <c r="BP62" s="270"/>
      <c r="BQ62" s="270"/>
      <c r="BR62" s="270"/>
      <c r="BS62" s="270"/>
      <c r="BT62" s="270"/>
      <c r="BU62" s="270"/>
      <c r="BV62" s="270"/>
      <c r="BW62" s="270"/>
      <c r="BX62" s="270"/>
      <c r="BY62" s="270"/>
      <c r="BZ62" s="270"/>
      <c r="CA62" s="270"/>
      <c r="CB62" s="270"/>
      <c r="CC62" s="270"/>
      <c r="CD62" s="270"/>
      <c r="CE62" s="1395"/>
      <c r="CF62" s="1450"/>
      <c r="CG62" s="1450"/>
      <c r="CH62" s="270"/>
      <c r="CI62" s="270"/>
      <c r="CJ62" s="270" t="str">
        <v/>
      </c>
      <c r="CK62" s="270"/>
      <c r="CL62" s="270"/>
      <c r="CM62" s="270"/>
    </row>
    <row r="63" spans="1:91" hidden="1" outlineLevel="3" x14ac:dyDescent="0.2">
      <c r="A63" s="270"/>
      <c r="B63" s="271"/>
      <c r="C63" s="270"/>
      <c r="D63" s="270"/>
      <c r="E63" s="270"/>
      <c r="F63" s="270"/>
      <c r="G63" s="271"/>
      <c r="H63" s="270"/>
      <c r="I63" s="270"/>
      <c r="J63" s="270"/>
      <c r="K63" s="270"/>
      <c r="L63" s="270"/>
      <c r="M63" s="270"/>
      <c r="N63" s="270"/>
      <c r="O63" s="270"/>
      <c r="P63" s="270"/>
      <c r="Q63" s="270"/>
      <c r="R63" s="270"/>
      <c r="S63" s="270"/>
      <c r="T63" s="270"/>
      <c r="U63" s="1019"/>
      <c r="V63" s="1066"/>
      <c r="W63" s="618"/>
      <c r="X63" s="1068"/>
      <c r="Y63" s="627"/>
      <c r="Z63" s="492"/>
      <c r="AA63" s="493" t="s">
        <v>769</v>
      </c>
      <c r="AB63" s="1069"/>
      <c r="AC63" s="1070"/>
      <c r="AD63" s="839"/>
      <c r="AE63" s="270" t="str">
        <f>IF(Z63="","",IF(Z63&gt;AB63,Y63,IF(Z63=AB63,"",AC63)))</f>
        <v/>
      </c>
      <c r="AF63" s="270" t="str">
        <f>IF(Z63="","",IF(Z63=AB63,Y63,""))</f>
        <v/>
      </c>
      <c r="AG63" s="270" t="str">
        <f>IF(Z63="","",IF(Z63=AB63,AC63,""))</f>
        <v/>
      </c>
      <c r="AH63" s="270" t="str">
        <f>IF(Z63="","",IF(Z63&lt;AB63,Y63,IF(Z63=AB63,"",AC63)))</f>
        <v/>
      </c>
      <c r="AI63" s="270" t="str">
        <f>IF(Z63="","",IF(Z63&gt;AB63,Y62,""))</f>
        <v/>
      </c>
      <c r="AJ63" s="270" t="str">
        <f>IF(Z63="","",IF(Z63&lt;AB63,AC62,""))</f>
        <v/>
      </c>
      <c r="AK63" s="270" t="str">
        <f>CONCATENATE(AE63,AH63)</f>
        <v/>
      </c>
      <c r="AL63" s="270"/>
      <c r="AM63" s="270"/>
      <c r="AN63" s="270"/>
      <c r="AO63" s="575"/>
      <c r="AP63" s="270"/>
      <c r="AQ63" s="270"/>
      <c r="AR63" s="270"/>
      <c r="AS63" s="270"/>
      <c r="AT63" s="270"/>
      <c r="AU63" s="270"/>
      <c r="AV63" s="270"/>
      <c r="AW63" s="270"/>
      <c r="AX63" s="270"/>
      <c r="AY63" s="270"/>
      <c r="AZ63" s="270"/>
      <c r="BA63" s="270"/>
      <c r="BB63" s="270"/>
      <c r="BC63" s="270"/>
      <c r="BD63" s="270"/>
      <c r="BE63" s="270"/>
      <c r="BF63" s="270"/>
      <c r="BG63" s="270"/>
      <c r="BH63" s="270"/>
      <c r="BI63" s="270"/>
      <c r="BJ63" s="270"/>
      <c r="BK63" s="270"/>
      <c r="BL63" s="270"/>
      <c r="BM63" s="270"/>
      <c r="BN63" s="270"/>
      <c r="BO63" s="270"/>
      <c r="BP63" s="270"/>
      <c r="BQ63" s="270"/>
      <c r="BR63" s="270"/>
      <c r="BS63" s="270"/>
      <c r="BT63" s="270"/>
      <c r="BU63" s="270"/>
      <c r="BV63" s="270"/>
      <c r="BW63" s="270"/>
      <c r="BX63" s="270"/>
      <c r="BY63" s="270"/>
      <c r="BZ63" s="270"/>
      <c r="CA63" s="270"/>
      <c r="CB63" s="270"/>
      <c r="CC63" s="270"/>
      <c r="CD63" s="270"/>
      <c r="CE63" s="1395"/>
      <c r="CF63" s="1450"/>
      <c r="CG63" s="1450"/>
      <c r="CH63" s="270"/>
      <c r="CI63" s="270"/>
      <c r="CJ63" s="270" t="str">
        <v/>
      </c>
      <c r="CK63" s="270"/>
      <c r="CL63" s="270"/>
      <c r="CM63" s="270"/>
    </row>
    <row r="64" spans="1:91" hidden="1" outlineLevel="3" x14ac:dyDescent="0.2">
      <c r="A64" s="270"/>
      <c r="B64" s="271"/>
      <c r="C64" s="270"/>
      <c r="D64" s="270"/>
      <c r="E64" s="270"/>
      <c r="F64" s="270"/>
      <c r="G64" s="271"/>
      <c r="H64" s="270"/>
      <c r="I64" s="270"/>
      <c r="J64" s="270"/>
      <c r="K64" s="270"/>
      <c r="L64" s="270"/>
      <c r="M64" s="270"/>
      <c r="N64" s="270"/>
      <c r="O64" s="270"/>
      <c r="P64" s="270"/>
      <c r="Q64" s="270"/>
      <c r="R64" s="270"/>
      <c r="S64" s="270"/>
      <c r="T64" s="270"/>
      <c r="U64" s="1019"/>
      <c r="V64" s="1066"/>
      <c r="W64" s="618"/>
      <c r="X64" s="1068"/>
      <c r="Y64" s="627"/>
      <c r="Z64" s="492"/>
      <c r="AA64" s="493" t="s">
        <v>769</v>
      </c>
      <c r="AB64" s="1069"/>
      <c r="AC64" s="1070"/>
      <c r="AD64" s="839"/>
      <c r="AE64" s="270" t="str">
        <f>IF(Z64="","",IF(Z64&gt;AB64,Y64,IF(Z64=AB64,"",AC64)))</f>
        <v/>
      </c>
      <c r="AF64" s="270" t="str">
        <f>IF(Z64="","",IF(Z64=AB64,Y64,""))</f>
        <v/>
      </c>
      <c r="AG64" s="270" t="str">
        <f>IF(Z64="","",IF(Z64=AB64,AC64,""))</f>
        <v/>
      </c>
      <c r="AH64" s="270" t="str">
        <f>IF(Z64="","",IF(Z64&lt;AB64,Y64,IF(Z64=AB64,"",AC64)))</f>
        <v/>
      </c>
      <c r="AI64" s="270" t="str">
        <f>IF(Z64="","",IF(Z64&gt;AB64,Y62,""))</f>
        <v/>
      </c>
      <c r="AJ64" s="270" t="str">
        <f>IF(Z64="","",IF(Z64&lt;AB64,AC62,""))</f>
        <v/>
      </c>
      <c r="AK64" s="270" t="str">
        <f>CONCATENATE(AE64,AH64)</f>
        <v/>
      </c>
      <c r="AL64" s="270"/>
      <c r="AM64" s="270"/>
      <c r="AN64" s="270"/>
      <c r="AO64" s="575"/>
      <c r="AP64" s="270"/>
      <c r="AQ64" s="270"/>
      <c r="AR64" s="270"/>
      <c r="AS64" s="270"/>
      <c r="AT64" s="270"/>
      <c r="AU64" s="270"/>
      <c r="AV64" s="270"/>
      <c r="AW64" s="270"/>
      <c r="AX64" s="270"/>
      <c r="AY64" s="270"/>
      <c r="AZ64" s="270"/>
      <c r="BA64" s="270"/>
      <c r="BB64" s="270"/>
      <c r="BC64" s="270"/>
      <c r="BD64" s="270"/>
      <c r="BE64" s="270"/>
      <c r="BF64" s="270"/>
      <c r="BG64" s="270"/>
      <c r="BH64" s="270"/>
      <c r="BI64" s="270"/>
      <c r="BJ64" s="270"/>
      <c r="BK64" s="270"/>
      <c r="BL64" s="270"/>
      <c r="BM64" s="270"/>
      <c r="BN64" s="270"/>
      <c r="BO64" s="270"/>
      <c r="BP64" s="270"/>
      <c r="BQ64" s="270"/>
      <c r="BR64" s="270"/>
      <c r="BS64" s="270"/>
      <c r="BT64" s="270"/>
      <c r="BU64" s="270"/>
      <c r="BV64" s="270"/>
      <c r="BW64" s="270"/>
      <c r="BX64" s="270"/>
      <c r="BY64" s="270"/>
      <c r="BZ64" s="270"/>
      <c r="CA64" s="270"/>
      <c r="CB64" s="270"/>
      <c r="CC64" s="270"/>
      <c r="CD64" s="270"/>
      <c r="CE64" s="1395"/>
      <c r="CF64" s="1450"/>
      <c r="CG64" s="1450"/>
      <c r="CH64" s="270"/>
      <c r="CI64" s="270"/>
      <c r="CJ64" s="270" t="str">
        <v/>
      </c>
      <c r="CK64" s="270"/>
      <c r="CL64" s="270"/>
      <c r="CM64" s="270"/>
    </row>
    <row r="65" spans="1:91" hidden="1" outlineLevel="3" x14ac:dyDescent="0.2">
      <c r="A65" s="270"/>
      <c r="B65" s="271"/>
      <c r="C65" s="270"/>
      <c r="D65" s="270"/>
      <c r="E65" s="270"/>
      <c r="F65" s="270"/>
      <c r="G65" s="271"/>
      <c r="H65" s="270"/>
      <c r="I65" s="270"/>
      <c r="J65" s="270"/>
      <c r="K65" s="270"/>
      <c r="L65" s="270"/>
      <c r="M65" s="270"/>
      <c r="N65" s="270"/>
      <c r="O65" s="270"/>
      <c r="P65" s="270"/>
      <c r="Q65" s="270"/>
      <c r="R65" s="270"/>
      <c r="S65" s="270"/>
      <c r="T65" s="270"/>
      <c r="U65" s="1019"/>
      <c r="V65" s="1066"/>
      <c r="W65" s="618"/>
      <c r="X65" s="1068"/>
      <c r="Y65" s="627"/>
      <c r="Z65" s="492"/>
      <c r="AA65" s="493" t="s">
        <v>769</v>
      </c>
      <c r="AB65" s="1069"/>
      <c r="AC65" s="1070"/>
      <c r="AD65" s="839"/>
      <c r="AE65" s="270" t="str">
        <f>IF(Z65="","",IF(Z65&gt;AB65,Y65,IF(Z65=AB65,"",AC65)))</f>
        <v/>
      </c>
      <c r="AF65" s="270" t="str">
        <f>IF(Z65="","",IF(Z65=AB65,Y65,""))</f>
        <v/>
      </c>
      <c r="AG65" s="270" t="str">
        <f>IF(Z65="","",IF(Z65=AB65,AC65,""))</f>
        <v/>
      </c>
      <c r="AH65" s="270" t="str">
        <f>IF(Z65="","",IF(Z65&lt;AB65,Y65,IF(Z65=AB65,"",AC65)))</f>
        <v/>
      </c>
      <c r="AI65" s="270" t="str">
        <f>IF(Z65="","",IF(Z65&gt;AB65,Y62,""))</f>
        <v/>
      </c>
      <c r="AJ65" s="270" t="str">
        <f>IF(Z65="","",IF(Z65&lt;AB65,AC62,""))</f>
        <v/>
      </c>
      <c r="AK65" s="270" t="str">
        <f>CONCATENATE(AE65,AH65)</f>
        <v/>
      </c>
      <c r="AL65" s="270"/>
      <c r="AM65" s="270"/>
      <c r="AN65" s="270"/>
      <c r="AO65" s="575"/>
      <c r="AP65" s="270"/>
      <c r="AQ65" s="270"/>
      <c r="AR65" s="270"/>
      <c r="AS65" s="270"/>
      <c r="AT65" s="270"/>
      <c r="AU65" s="270"/>
      <c r="AV65" s="270"/>
      <c r="AW65" s="270"/>
      <c r="AX65" s="270"/>
      <c r="AY65" s="270"/>
      <c r="AZ65" s="270"/>
      <c r="BA65" s="270"/>
      <c r="BB65" s="270"/>
      <c r="BC65" s="270"/>
      <c r="BD65" s="270"/>
      <c r="BE65" s="270"/>
      <c r="BF65" s="270"/>
      <c r="BG65" s="270"/>
      <c r="BH65" s="270"/>
      <c r="BI65" s="270"/>
      <c r="BJ65" s="270"/>
      <c r="BK65" s="270"/>
      <c r="BL65" s="270"/>
      <c r="BM65" s="270"/>
      <c r="BN65" s="270"/>
      <c r="BO65" s="270"/>
      <c r="BP65" s="270"/>
      <c r="BQ65" s="270"/>
      <c r="BR65" s="270"/>
      <c r="BS65" s="270"/>
      <c r="BT65" s="270"/>
      <c r="BU65" s="270"/>
      <c r="BV65" s="270"/>
      <c r="BW65" s="270"/>
      <c r="BX65" s="270"/>
      <c r="BY65" s="270"/>
      <c r="BZ65" s="270"/>
      <c r="CA65" s="270"/>
      <c r="CB65" s="270"/>
      <c r="CC65" s="270"/>
      <c r="CD65" s="270"/>
      <c r="CE65" s="1395"/>
      <c r="CF65" s="1450"/>
      <c r="CG65" s="1450"/>
      <c r="CH65" s="270"/>
      <c r="CI65" s="270"/>
      <c r="CJ65" s="270" t="str">
        <v/>
      </c>
      <c r="CK65" s="270"/>
      <c r="CL65" s="270"/>
      <c r="CM65" s="270"/>
    </row>
    <row r="66" spans="1:91" hidden="1" outlineLevel="3" x14ac:dyDescent="0.2">
      <c r="A66" s="270"/>
      <c r="B66" s="271"/>
      <c r="C66" s="270"/>
      <c r="D66" s="270"/>
      <c r="E66" s="270"/>
      <c r="F66" s="270"/>
      <c r="G66" s="271"/>
      <c r="H66" s="270"/>
      <c r="I66" s="270"/>
      <c r="J66" s="270"/>
      <c r="K66" s="270"/>
      <c r="L66" s="270"/>
      <c r="M66" s="270"/>
      <c r="N66" s="270"/>
      <c r="O66" s="270"/>
      <c r="P66" s="270"/>
      <c r="Q66" s="270"/>
      <c r="R66" s="270"/>
      <c r="S66" s="270"/>
      <c r="T66" s="270"/>
      <c r="U66" s="1019"/>
      <c r="V66" s="1066"/>
      <c r="W66" s="618"/>
      <c r="X66" s="1068"/>
      <c r="Y66" s="627"/>
      <c r="Z66" s="492"/>
      <c r="AA66" s="493" t="s">
        <v>769</v>
      </c>
      <c r="AB66" s="1069"/>
      <c r="AC66" s="1070"/>
      <c r="AD66" s="839"/>
      <c r="AE66" s="270" t="str">
        <f>IF(Z66="","",IF(Z66&gt;AB66,Y66,IF(Z66=AB66,"",AC66)))</f>
        <v/>
      </c>
      <c r="AF66" s="270" t="str">
        <f>IF(Z66="","",IF(Z66=AB66,Y66,""))</f>
        <v/>
      </c>
      <c r="AG66" s="270" t="str">
        <f>IF(Z66="","",IF(Z66=AB66,AC66,""))</f>
        <v/>
      </c>
      <c r="AH66" s="270" t="str">
        <f>IF(Z66="","",IF(Z66&lt;AB66,Y66,IF(Z66=AB66,"",AC66)))</f>
        <v/>
      </c>
      <c r="AI66" s="270" t="str">
        <f>IF(Z66="","",IF(Z66&gt;AB66,Y62,""))</f>
        <v/>
      </c>
      <c r="AJ66" s="270" t="str">
        <f>IF(Z66="","",IF(Z66&lt;AB66,AC62,""))</f>
        <v/>
      </c>
      <c r="AK66" s="270" t="str">
        <f>CONCATENATE(AE66,AH66)</f>
        <v/>
      </c>
      <c r="AL66" s="270"/>
      <c r="AM66" s="270"/>
      <c r="AN66" s="270"/>
      <c r="AO66" s="575"/>
      <c r="AP66" s="270"/>
      <c r="AQ66" s="270"/>
      <c r="AR66" s="270"/>
      <c r="AS66" s="270"/>
      <c r="AT66" s="270"/>
      <c r="AU66" s="270"/>
      <c r="AV66" s="270"/>
      <c r="AW66" s="270"/>
      <c r="AX66" s="270"/>
      <c r="AY66" s="270"/>
      <c r="AZ66" s="270"/>
      <c r="BA66" s="270"/>
      <c r="BB66" s="270"/>
      <c r="BC66" s="270"/>
      <c r="BD66" s="270"/>
      <c r="BE66" s="270"/>
      <c r="BF66" s="270"/>
      <c r="BG66" s="270"/>
      <c r="BH66" s="270"/>
      <c r="BI66" s="270"/>
      <c r="BJ66" s="270"/>
      <c r="BK66" s="270"/>
      <c r="BL66" s="270"/>
      <c r="BM66" s="270"/>
      <c r="BN66" s="270"/>
      <c r="BO66" s="270"/>
      <c r="BP66" s="270"/>
      <c r="BQ66" s="270"/>
      <c r="BR66" s="270"/>
      <c r="BS66" s="270"/>
      <c r="BT66" s="270"/>
      <c r="BU66" s="270"/>
      <c r="BV66" s="270"/>
      <c r="BW66" s="270"/>
      <c r="BX66" s="270"/>
      <c r="BY66" s="270"/>
      <c r="BZ66" s="270"/>
      <c r="CA66" s="270"/>
      <c r="CB66" s="270"/>
      <c r="CC66" s="270"/>
      <c r="CD66" s="270"/>
      <c r="CE66" s="1395"/>
      <c r="CF66" s="1450"/>
      <c r="CG66" s="1450"/>
      <c r="CH66" s="270"/>
      <c r="CI66" s="270"/>
      <c r="CJ66" s="270" t="str">
        <v/>
      </c>
      <c r="CK66" s="270"/>
      <c r="CL66" s="270"/>
      <c r="CM66" s="270"/>
    </row>
    <row r="67" spans="1:91" hidden="1" outlineLevel="3" x14ac:dyDescent="0.2">
      <c r="A67" s="270"/>
      <c r="B67" s="271"/>
      <c r="C67" s="12"/>
      <c r="D67" s="1071"/>
      <c r="E67" s="1071"/>
      <c r="F67" s="1071"/>
      <c r="G67" s="626"/>
      <c r="H67" s="271"/>
      <c r="I67" s="270"/>
      <c r="J67" s="270"/>
      <c r="K67" s="270"/>
      <c r="L67" s="270"/>
      <c r="M67" s="270"/>
      <c r="N67" s="270"/>
      <c r="O67" s="270"/>
      <c r="P67" s="1072"/>
      <c r="Q67" s="270"/>
      <c r="R67" s="270"/>
      <c r="S67" s="1072"/>
      <c r="T67" s="270"/>
      <c r="U67" s="1019"/>
      <c r="V67" s="1073"/>
      <c r="W67" s="1074"/>
      <c r="X67" s="1075" t="str">
        <f>N_Substitute</f>
        <v>Remplaçant</v>
      </c>
      <c r="Y67" s="627"/>
      <c r="Z67" s="492"/>
      <c r="AA67" s="1076"/>
      <c r="AB67" s="1069"/>
      <c r="AC67" s="1070"/>
      <c r="AD67" s="839"/>
      <c r="AE67" s="270"/>
      <c r="AF67" s="270"/>
      <c r="AG67" s="270"/>
      <c r="AH67" s="270"/>
      <c r="AI67" s="270"/>
      <c r="AJ67" s="270"/>
      <c r="AK67" s="270"/>
      <c r="AL67" s="270"/>
      <c r="AM67" s="270"/>
      <c r="AN67" s="270"/>
      <c r="AO67" s="271"/>
      <c r="AP67" s="270"/>
      <c r="AQ67" s="270"/>
      <c r="AR67" s="270"/>
      <c r="AS67" s="270"/>
      <c r="AT67" s="270"/>
      <c r="AU67" s="270"/>
      <c r="AV67" s="270"/>
      <c r="AW67" s="270"/>
      <c r="AX67" s="270"/>
      <c r="AY67" s="1072"/>
      <c r="AZ67" s="270"/>
      <c r="BA67" s="270"/>
      <c r="BB67" s="1072"/>
      <c r="BC67" s="270"/>
      <c r="BD67" s="270"/>
      <c r="BE67" s="270"/>
      <c r="BF67" s="270"/>
      <c r="BG67" s="270"/>
      <c r="BH67" s="270"/>
      <c r="BI67" s="270"/>
      <c r="BJ67" s="270"/>
      <c r="BK67" s="270"/>
      <c r="BL67" s="270"/>
      <c r="BM67" s="270"/>
      <c r="BN67" s="270"/>
      <c r="BO67" s="270"/>
      <c r="BP67" s="270"/>
      <c r="BQ67" s="270"/>
      <c r="BR67" s="270"/>
      <c r="BS67" s="270"/>
      <c r="BT67" s="270"/>
      <c r="BU67" s="270"/>
      <c r="BV67" s="270"/>
      <c r="BW67" s="270"/>
      <c r="BX67" s="270"/>
      <c r="BY67" s="270"/>
      <c r="BZ67" s="270"/>
      <c r="CA67" s="270"/>
      <c r="CB67" s="270"/>
      <c r="CC67" s="270"/>
      <c r="CD67" s="270"/>
      <c r="CE67" s="1395"/>
      <c r="CF67" s="1450"/>
      <c r="CG67" s="1450"/>
      <c r="CH67" s="270"/>
      <c r="CI67" s="270"/>
      <c r="CJ67" s="270" t="str">
        <v/>
      </c>
      <c r="CK67" s="270"/>
      <c r="CL67" s="270"/>
      <c r="CM67" s="270"/>
    </row>
    <row r="68" spans="1:91" ht="13.5" hidden="1" outlineLevel="3" thickBot="1" x14ac:dyDescent="0.25">
      <c r="A68" s="270"/>
      <c r="B68" s="271"/>
      <c r="C68" s="12"/>
      <c r="D68" s="1071"/>
      <c r="E68" s="1071"/>
      <c r="F68" s="1071"/>
      <c r="G68" s="626"/>
      <c r="H68" s="271"/>
      <c r="I68" s="270"/>
      <c r="J68" s="270"/>
      <c r="K68" s="270"/>
      <c r="L68" s="270"/>
      <c r="M68" s="270"/>
      <c r="N68" s="270"/>
      <c r="O68" s="270"/>
      <c r="P68" s="1072"/>
      <c r="Q68" s="270"/>
      <c r="R68" s="270"/>
      <c r="S68" s="1072"/>
      <c r="T68" s="270"/>
      <c r="U68" s="1019"/>
      <c r="V68" s="1077"/>
      <c r="W68" s="1078"/>
      <c r="X68" s="1079" t="str">
        <f>N_Substitute</f>
        <v>Remplaçant</v>
      </c>
      <c r="Y68" s="1080"/>
      <c r="Z68" s="1081"/>
      <c r="AA68" s="1082"/>
      <c r="AB68" s="1083"/>
      <c r="AC68" s="1084"/>
      <c r="AD68" s="839"/>
      <c r="AE68" s="270"/>
      <c r="AF68" s="270"/>
      <c r="AG68" s="270"/>
      <c r="AH68" s="270"/>
      <c r="AI68" s="270"/>
      <c r="AJ68" s="270"/>
      <c r="AK68" s="270"/>
      <c r="AL68" s="270"/>
      <c r="AM68" s="270"/>
      <c r="AN68" s="270"/>
      <c r="AO68" s="271"/>
      <c r="AP68" s="270"/>
      <c r="AQ68" s="270"/>
      <c r="AR68" s="270"/>
      <c r="AS68" s="270"/>
      <c r="AT68" s="270"/>
      <c r="AU68" s="270"/>
      <c r="AV68" s="270"/>
      <c r="AW68" s="270"/>
      <c r="AX68" s="270"/>
      <c r="AY68" s="1072"/>
      <c r="AZ68" s="270"/>
      <c r="BA68" s="270"/>
      <c r="BB68" s="1072"/>
      <c r="BC68" s="270"/>
      <c r="BD68" s="270"/>
      <c r="BE68" s="270"/>
      <c r="BF68" s="270"/>
      <c r="BG68" s="270"/>
      <c r="BH68" s="270"/>
      <c r="BI68" s="270"/>
      <c r="BJ68" s="270"/>
      <c r="BK68" s="270"/>
      <c r="BL68" s="270"/>
      <c r="BM68" s="270"/>
      <c r="BN68" s="270"/>
      <c r="BO68" s="270"/>
      <c r="BP68" s="270"/>
      <c r="BQ68" s="270"/>
      <c r="BR68" s="270"/>
      <c r="BS68" s="270"/>
      <c r="BT68" s="270"/>
      <c r="BU68" s="270"/>
      <c r="BV68" s="270"/>
      <c r="BW68" s="270"/>
      <c r="BX68" s="270"/>
      <c r="BY68" s="270"/>
      <c r="BZ68" s="270"/>
      <c r="CA68" s="270"/>
      <c r="CB68" s="270"/>
      <c r="CC68" s="270"/>
      <c r="CD68" s="270"/>
      <c r="CE68" s="1395"/>
      <c r="CF68" s="1450"/>
      <c r="CG68" s="1450"/>
      <c r="CH68" s="270"/>
      <c r="CI68" s="270"/>
      <c r="CJ68" s="270"/>
      <c r="CK68" s="270"/>
      <c r="CL68" s="270"/>
      <c r="CM68" s="270"/>
    </row>
    <row r="69" spans="1:91" ht="13.5" hidden="1" outlineLevel="2" collapsed="1" thickBot="1" x14ac:dyDescent="0.25">
      <c r="A69" s="270"/>
      <c r="B69" s="271"/>
      <c r="C69" s="270"/>
      <c r="D69" s="270"/>
      <c r="E69" s="270"/>
      <c r="F69" s="270"/>
      <c r="G69" s="271"/>
      <c r="H69" s="270"/>
      <c r="I69" s="270"/>
      <c r="J69" s="270"/>
      <c r="K69" s="270"/>
      <c r="L69" s="270"/>
      <c r="M69" s="270"/>
      <c r="N69" s="270"/>
      <c r="O69" s="270"/>
      <c r="P69" s="270"/>
      <c r="Q69" s="270"/>
      <c r="R69" s="270"/>
      <c r="S69" s="270"/>
      <c r="T69" s="270"/>
      <c r="U69" s="1019" t="s">
        <v>1730</v>
      </c>
      <c r="V69" s="1085"/>
      <c r="W69" s="617"/>
      <c r="X69" s="1523"/>
      <c r="Y69" s="1062" t="str">
        <f>AC48</f>
        <v>Eq3</v>
      </c>
      <c r="Z69" s="1086" t="str">
        <f>IF(OR(ISNUMBER(Z70),ISNUMBER(Z71),ISNUMBER(Z72),ISNUMBER(Z73)),4-COUNTBLANK(AI70:AI73),"")</f>
        <v/>
      </c>
      <c r="AA69" s="1064" t="s">
        <v>769</v>
      </c>
      <c r="AB69" s="1063" t="str">
        <f>IF(OR(ISNUMBER(Z70),ISNUMBER(Z71),ISNUMBER(Z72),ISNUMBER(Z73)),4-COUNTBLANK(AJ70:AJ73),"")</f>
        <v/>
      </c>
      <c r="AC69" s="1065" t="str">
        <f>Y48</f>
        <v>Eq2</v>
      </c>
      <c r="AD69" s="839"/>
      <c r="AE69" s="270" t="str">
        <f>IF(Z69="","",IF(Z69&gt;AB69,Y69,IF(Z69=AB69,IF(NoDrawWithWithdraw,IF(AL69=Y69,AC69,IF(AL69=AC69,Y69,"")),""),AC69)))</f>
        <v/>
      </c>
      <c r="AF69" s="270" t="str">
        <f>IF(Z69="","",IF(Z69=AB69,IF(NoDrawWithWithdraw,IF(AL69=Y69,"",IF(AL69=AC69,"",Y69)),Y69),""))</f>
        <v/>
      </c>
      <c r="AG69" s="270" t="str">
        <f>IF(Z69="","",IF(Z69=AB69,IF(NoDrawWithWithdraw,IF(AL69=Y69,"",IF(AL69=AC69,"",AC69)),AC69),""))</f>
        <v/>
      </c>
      <c r="AH69" s="270" t="str">
        <f>IF(Z69="","",IF(Z69&lt;AB69,Y69,IF(Z69=AB69,IF(NoDrawWithWithdraw,IF(AL69=Y69,Y69,IF(AL69=AC69,AC69,"")),""),AC69)))</f>
        <v/>
      </c>
      <c r="AI69" s="270" t="str">
        <f>IF(Z69="","",SUM(Z70:Z73))</f>
        <v/>
      </c>
      <c r="AJ69" s="270" t="str">
        <f>IF(Z69="","",SUM(AB70:AB73))</f>
        <v/>
      </c>
      <c r="AK69" s="270" t="str">
        <f>CONCATENATE(AE69,AH69)</f>
        <v/>
      </c>
      <c r="AL69" s="270" t="str">
        <f>IF(COUNTIF(Y70:Y73,WithdrawLabel)&gt;COUNTIF(AC70:AC73,WithdrawLabel),Y69,IF(COUNTIF(AC70:AC73,WithdrawLabel)&gt;COUNTIF(Y70:Y73,WithdrawLabel),AC69,""))</f>
        <v/>
      </c>
      <c r="AM69" s="270"/>
      <c r="AN69" s="270"/>
      <c r="AO69" s="575"/>
      <c r="AP69" s="270"/>
      <c r="AQ69" s="270"/>
      <c r="AR69" s="270"/>
      <c r="AS69" s="270"/>
      <c r="AT69" s="270"/>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c r="BR69" s="270"/>
      <c r="BS69" s="270"/>
      <c r="BT69" s="270"/>
      <c r="BU69" s="270"/>
      <c r="BV69" s="270"/>
      <c r="BW69" s="270"/>
      <c r="BX69" s="270"/>
      <c r="BY69" s="270"/>
      <c r="BZ69" s="270"/>
      <c r="CA69" s="270"/>
      <c r="CB69" s="270"/>
      <c r="CC69" s="270"/>
      <c r="CD69" s="270"/>
      <c r="CE69" s="1395"/>
      <c r="CF69" s="1450"/>
      <c r="CG69" s="1450"/>
      <c r="CH69" s="270"/>
      <c r="CI69" s="270"/>
      <c r="CJ69" s="270"/>
      <c r="CK69" s="270"/>
      <c r="CL69" s="270"/>
      <c r="CM69" s="270"/>
    </row>
    <row r="70" spans="1:91" hidden="1" outlineLevel="3" x14ac:dyDescent="0.2">
      <c r="A70" s="270"/>
      <c r="B70" s="271"/>
      <c r="C70" s="270"/>
      <c r="D70" s="270"/>
      <c r="E70" s="270"/>
      <c r="F70" s="270"/>
      <c r="G70" s="271"/>
      <c r="H70" s="270"/>
      <c r="I70" s="270"/>
      <c r="J70" s="270"/>
      <c r="K70" s="270"/>
      <c r="L70" s="270"/>
      <c r="M70" s="270"/>
      <c r="N70" s="270"/>
      <c r="O70" s="270"/>
      <c r="P70" s="270"/>
      <c r="Q70" s="270"/>
      <c r="R70" s="270"/>
      <c r="S70" s="270"/>
      <c r="T70" s="270"/>
      <c r="U70" s="1019"/>
      <c r="V70" s="1066"/>
      <c r="W70" s="618"/>
      <c r="X70" s="1068"/>
      <c r="Y70" s="627"/>
      <c r="Z70" s="492"/>
      <c r="AA70" s="493" t="s">
        <v>769</v>
      </c>
      <c r="AB70" s="1069"/>
      <c r="AC70" s="1070"/>
      <c r="AD70" s="839"/>
      <c r="AE70" s="270" t="str">
        <f>IF(Z70="","",IF(Z70&gt;AB70,Y70,IF(Z70=AB70,"",AC70)))</f>
        <v/>
      </c>
      <c r="AF70" s="270" t="str">
        <f>IF(Z70="","",IF(Z70=AB70,Y70,""))</f>
        <v/>
      </c>
      <c r="AG70" s="270" t="str">
        <f>IF(Z70="","",IF(Z70=AB70,AC70,""))</f>
        <v/>
      </c>
      <c r="AH70" s="270" t="str">
        <f>IF(Z70="","",IF(Z70&lt;AB70,Y70,IF(Z70=AB70,"",AC70)))</f>
        <v/>
      </c>
      <c r="AI70" s="270" t="str">
        <f>IF(Z70="","",IF(Z70&gt;AB70,Y69,""))</f>
        <v/>
      </c>
      <c r="AJ70" s="270" t="str">
        <f>IF(Z70="","",IF(Z70&lt;AB70,AC69,""))</f>
        <v/>
      </c>
      <c r="AK70" s="270" t="str">
        <f>CONCATENATE(AE70,AH70)</f>
        <v/>
      </c>
      <c r="AL70" s="270"/>
      <c r="AM70" s="270"/>
      <c r="AN70" s="270"/>
      <c r="AO70" s="575"/>
      <c r="AP70" s="270"/>
      <c r="AQ70" s="270"/>
      <c r="AR70" s="270"/>
      <c r="AS70" s="270"/>
      <c r="AT70" s="270"/>
      <c r="AU70" s="270"/>
      <c r="AV70" s="270"/>
      <c r="AW70" s="270"/>
      <c r="AX70" s="270"/>
      <c r="AY70" s="270"/>
      <c r="AZ70" s="270"/>
      <c r="BA70" s="270"/>
      <c r="BB70" s="270"/>
      <c r="BC70" s="270"/>
      <c r="BD70" s="270"/>
      <c r="BE70" s="270"/>
      <c r="BF70" s="270"/>
      <c r="BG70" s="270"/>
      <c r="BH70" s="270"/>
      <c r="BI70" s="270"/>
      <c r="BJ70" s="270"/>
      <c r="BK70" s="270"/>
      <c r="BL70" s="270"/>
      <c r="BM70" s="270"/>
      <c r="BN70" s="270"/>
      <c r="BO70" s="270"/>
      <c r="BP70" s="270"/>
      <c r="BQ70" s="270"/>
      <c r="BR70" s="270"/>
      <c r="BS70" s="270"/>
      <c r="BT70" s="270"/>
      <c r="BU70" s="270"/>
      <c r="BV70" s="270"/>
      <c r="BW70" s="270"/>
      <c r="BX70" s="270"/>
      <c r="BY70" s="270"/>
      <c r="BZ70" s="270"/>
      <c r="CA70" s="270"/>
      <c r="CB70" s="270"/>
      <c r="CC70" s="270"/>
      <c r="CD70" s="270"/>
      <c r="CE70" s="1395"/>
      <c r="CF70" s="1450"/>
      <c r="CG70" s="1450"/>
      <c r="CH70" s="270"/>
      <c r="CI70" s="270"/>
      <c r="CJ70" s="270"/>
      <c r="CK70" s="270"/>
      <c r="CL70" s="270"/>
      <c r="CM70" s="270"/>
    </row>
    <row r="71" spans="1:91" hidden="1" outlineLevel="3" x14ac:dyDescent="0.2">
      <c r="A71" s="270"/>
      <c r="B71" s="271"/>
      <c r="C71" s="270"/>
      <c r="D71" s="270"/>
      <c r="E71" s="270"/>
      <c r="F71" s="270"/>
      <c r="G71" s="271"/>
      <c r="H71" s="270"/>
      <c r="I71" s="270"/>
      <c r="J71" s="270"/>
      <c r="K71" s="270"/>
      <c r="L71" s="270"/>
      <c r="M71" s="270"/>
      <c r="N71" s="270"/>
      <c r="O71" s="270"/>
      <c r="P71" s="270"/>
      <c r="Q71" s="270"/>
      <c r="R71" s="270"/>
      <c r="S71" s="270"/>
      <c r="T71" s="270"/>
      <c r="U71" s="1019"/>
      <c r="V71" s="1066"/>
      <c r="W71" s="618"/>
      <c r="X71" s="1068"/>
      <c r="Y71" s="627"/>
      <c r="Z71" s="492"/>
      <c r="AA71" s="493" t="s">
        <v>769</v>
      </c>
      <c r="AB71" s="1069"/>
      <c r="AC71" s="1070"/>
      <c r="AD71" s="839"/>
      <c r="AE71" s="270" t="str">
        <f>IF(Z71="","",IF(Z71&gt;AB71,Y71,IF(Z71=AB71,"",AC71)))</f>
        <v/>
      </c>
      <c r="AF71" s="270" t="str">
        <f>IF(Z71="","",IF(Z71=AB71,Y71,""))</f>
        <v/>
      </c>
      <c r="AG71" s="270" t="str">
        <f>IF(Z71="","",IF(Z71=AB71,AC71,""))</f>
        <v/>
      </c>
      <c r="AH71" s="270" t="str">
        <f>IF(Z71="","",IF(Z71&lt;AB71,Y71,IF(Z71=AB71,"",AC71)))</f>
        <v/>
      </c>
      <c r="AI71" s="270" t="str">
        <f>IF(Z71="","",IF(Z71&gt;AB71,Y69,""))</f>
        <v/>
      </c>
      <c r="AJ71" s="270" t="str">
        <f>IF(Z71="","",IF(Z71&lt;AB71,AC69,""))</f>
        <v/>
      </c>
      <c r="AK71" s="270" t="str">
        <f>CONCATENATE(AE71,AH71)</f>
        <v/>
      </c>
      <c r="AL71" s="270"/>
      <c r="AM71" s="270"/>
      <c r="AN71" s="270"/>
      <c r="AO71" s="575"/>
      <c r="AP71" s="270"/>
      <c r="AQ71" s="270"/>
      <c r="AR71" s="270"/>
      <c r="AS71" s="270"/>
      <c r="AT71" s="270"/>
      <c r="AU71" s="270"/>
      <c r="AV71" s="270"/>
      <c r="AW71" s="270"/>
      <c r="AX71" s="270"/>
      <c r="AY71" s="270"/>
      <c r="AZ71" s="270"/>
      <c r="BA71" s="270"/>
      <c r="BB71" s="270"/>
      <c r="BC71" s="270"/>
      <c r="BD71" s="270"/>
      <c r="BE71" s="270"/>
      <c r="BF71" s="270"/>
      <c r="BG71" s="270"/>
      <c r="BH71" s="270"/>
      <c r="BI71" s="270"/>
      <c r="BJ71" s="270"/>
      <c r="BK71" s="270"/>
      <c r="BL71" s="270"/>
      <c r="BM71" s="270"/>
      <c r="BN71" s="270"/>
      <c r="BO71" s="270"/>
      <c r="BP71" s="270"/>
      <c r="BQ71" s="270"/>
      <c r="BR71" s="270"/>
      <c r="BS71" s="270"/>
      <c r="BT71" s="270"/>
      <c r="BU71" s="270"/>
      <c r="BV71" s="270"/>
      <c r="BW71" s="270"/>
      <c r="BX71" s="270"/>
      <c r="BY71" s="270"/>
      <c r="BZ71" s="270"/>
      <c r="CA71" s="270"/>
      <c r="CB71" s="270"/>
      <c r="CC71" s="270"/>
      <c r="CD71" s="270"/>
      <c r="CE71" s="1395"/>
      <c r="CF71" s="1450"/>
      <c r="CG71" s="1450"/>
      <c r="CH71" s="270"/>
      <c r="CI71" s="270"/>
      <c r="CJ71" s="270"/>
      <c r="CK71" s="270"/>
      <c r="CL71" s="270"/>
      <c r="CM71" s="270"/>
    </row>
    <row r="72" spans="1:91" hidden="1" outlineLevel="3" x14ac:dyDescent="0.2">
      <c r="A72" s="270"/>
      <c r="B72" s="271"/>
      <c r="C72" s="270"/>
      <c r="D72" s="270"/>
      <c r="E72" s="270"/>
      <c r="F72" s="270"/>
      <c r="G72" s="271"/>
      <c r="H72" s="270"/>
      <c r="I72" s="270"/>
      <c r="J72" s="270"/>
      <c r="K72" s="270"/>
      <c r="L72" s="270"/>
      <c r="M72" s="270"/>
      <c r="N72" s="270"/>
      <c r="O72" s="270"/>
      <c r="P72" s="270"/>
      <c r="Q72" s="270"/>
      <c r="R72" s="270"/>
      <c r="S72" s="270"/>
      <c r="T72" s="270"/>
      <c r="U72" s="1019"/>
      <c r="V72" s="1066"/>
      <c r="W72" s="618"/>
      <c r="X72" s="1068"/>
      <c r="Y72" s="627"/>
      <c r="Z72" s="492"/>
      <c r="AA72" s="493" t="s">
        <v>769</v>
      </c>
      <c r="AB72" s="1069"/>
      <c r="AC72" s="1070"/>
      <c r="AD72" s="839"/>
      <c r="AE72" s="270" t="str">
        <f>IF(Z72="","",IF(Z72&gt;AB72,Y72,IF(Z72=AB72,"",AC72)))</f>
        <v/>
      </c>
      <c r="AF72" s="270" t="str">
        <f>IF(Z72="","",IF(Z72=AB72,Y72,""))</f>
        <v/>
      </c>
      <c r="AG72" s="270" t="str">
        <f>IF(Z72="","",IF(Z72=AB72,AC72,""))</f>
        <v/>
      </c>
      <c r="AH72" s="270" t="str">
        <f>IF(Z72="","",IF(Z72&lt;AB72,Y72,IF(Z72=AB72,"",AC72)))</f>
        <v/>
      </c>
      <c r="AI72" s="270" t="str">
        <f>IF(Z72="","",IF(Z72&gt;AB72,Y69,""))</f>
        <v/>
      </c>
      <c r="AJ72" s="270" t="str">
        <f>IF(Z72="","",IF(Z72&lt;AB72,AC69,""))</f>
        <v/>
      </c>
      <c r="AK72" s="270" t="str">
        <f>CONCATENATE(AE72,AH72)</f>
        <v/>
      </c>
      <c r="AL72" s="270"/>
      <c r="AM72" s="270"/>
      <c r="AN72" s="270"/>
      <c r="AO72" s="575"/>
      <c r="AP72" s="270"/>
      <c r="AQ72" s="270"/>
      <c r="AR72" s="270"/>
      <c r="AS72" s="270"/>
      <c r="AT72" s="270"/>
      <c r="AU72" s="270"/>
      <c r="AV72" s="270"/>
      <c r="AW72" s="270"/>
      <c r="AX72" s="270"/>
      <c r="AY72" s="270"/>
      <c r="AZ72" s="270"/>
      <c r="BA72" s="270"/>
      <c r="BB72" s="270"/>
      <c r="BC72" s="270"/>
      <c r="BD72" s="270"/>
      <c r="BE72" s="270"/>
      <c r="BF72" s="270"/>
      <c r="BG72" s="270"/>
      <c r="BH72" s="270"/>
      <c r="BI72" s="270"/>
      <c r="BJ72" s="270"/>
      <c r="BK72" s="270"/>
      <c r="BL72" s="270"/>
      <c r="BM72" s="270"/>
      <c r="BN72" s="270"/>
      <c r="BO72" s="270"/>
      <c r="BP72" s="270"/>
      <c r="BQ72" s="270"/>
      <c r="BR72" s="270"/>
      <c r="BS72" s="270"/>
      <c r="BT72" s="270"/>
      <c r="BU72" s="270"/>
      <c r="BV72" s="270"/>
      <c r="BW72" s="270"/>
      <c r="BX72" s="270"/>
      <c r="BY72" s="270"/>
      <c r="BZ72" s="270"/>
      <c r="CA72" s="270"/>
      <c r="CB72" s="270"/>
      <c r="CC72" s="270"/>
      <c r="CD72" s="270"/>
      <c r="CE72" s="1395"/>
      <c r="CF72" s="1450"/>
      <c r="CG72" s="1450"/>
      <c r="CH72" s="270"/>
      <c r="CI72" s="270"/>
      <c r="CJ72" s="270"/>
      <c r="CK72" s="270"/>
      <c r="CL72" s="270"/>
      <c r="CM72" s="270"/>
    </row>
    <row r="73" spans="1:91" hidden="1" outlineLevel="3" x14ac:dyDescent="0.2">
      <c r="A73" s="270"/>
      <c r="B73" s="271"/>
      <c r="C73" s="270"/>
      <c r="D73" s="270"/>
      <c r="E73" s="270"/>
      <c r="F73" s="270"/>
      <c r="G73" s="271"/>
      <c r="H73" s="270"/>
      <c r="I73" s="270"/>
      <c r="J73" s="270"/>
      <c r="K73" s="270"/>
      <c r="L73" s="270"/>
      <c r="M73" s="270"/>
      <c r="N73" s="270"/>
      <c r="O73" s="270"/>
      <c r="P73" s="270"/>
      <c r="Q73" s="270"/>
      <c r="R73" s="270"/>
      <c r="S73" s="270"/>
      <c r="T73" s="270"/>
      <c r="U73" s="1019"/>
      <c r="V73" s="1066"/>
      <c r="W73" s="618"/>
      <c r="X73" s="1068"/>
      <c r="Y73" s="627"/>
      <c r="Z73" s="492"/>
      <c r="AA73" s="493" t="s">
        <v>769</v>
      </c>
      <c r="AB73" s="1069"/>
      <c r="AC73" s="1070"/>
      <c r="AD73" s="839"/>
      <c r="AE73" s="270" t="str">
        <f>IF(Z73="","",IF(Z73&gt;AB73,Y73,IF(Z73=AB73,"",AC73)))</f>
        <v/>
      </c>
      <c r="AF73" s="270" t="str">
        <f>IF(Z73="","",IF(Z73=AB73,Y73,""))</f>
        <v/>
      </c>
      <c r="AG73" s="270" t="str">
        <f>IF(Z73="","",IF(Z73=AB73,AC73,""))</f>
        <v/>
      </c>
      <c r="AH73" s="270" t="str">
        <f>IF(Z73="","",IF(Z73&lt;AB73,Y73,IF(Z73=AB73,"",AC73)))</f>
        <v/>
      </c>
      <c r="AI73" s="270" t="str">
        <f>IF(Z73="","",IF(Z73&gt;AB73,Y69,""))</f>
        <v/>
      </c>
      <c r="AJ73" s="270" t="str">
        <f>IF(Z73="","",IF(Z73&lt;AB73,AC69,""))</f>
        <v/>
      </c>
      <c r="AK73" s="270" t="str">
        <f>CONCATENATE(AE73,AH73)</f>
        <v/>
      </c>
      <c r="AL73" s="270"/>
      <c r="AM73" s="270"/>
      <c r="AN73" s="270"/>
      <c r="AO73" s="575"/>
      <c r="AP73" s="270"/>
      <c r="AQ73" s="270"/>
      <c r="AR73" s="270"/>
      <c r="AS73" s="270"/>
      <c r="AT73" s="270"/>
      <c r="AU73" s="270"/>
      <c r="AV73" s="270"/>
      <c r="AW73" s="270"/>
      <c r="AX73" s="270"/>
      <c r="AY73" s="270"/>
      <c r="AZ73" s="270"/>
      <c r="BA73" s="270"/>
      <c r="BB73" s="270"/>
      <c r="BC73" s="270"/>
      <c r="BD73" s="270"/>
      <c r="BE73" s="270"/>
      <c r="BF73" s="270"/>
      <c r="BG73" s="270"/>
      <c r="BH73" s="270"/>
      <c r="BI73" s="270"/>
      <c r="BJ73" s="270"/>
      <c r="BK73" s="270"/>
      <c r="BL73" s="270"/>
      <c r="BM73" s="270"/>
      <c r="BN73" s="270"/>
      <c r="BO73" s="270"/>
      <c r="BP73" s="270"/>
      <c r="BQ73" s="270"/>
      <c r="BR73" s="270"/>
      <c r="BS73" s="270"/>
      <c r="BT73" s="270"/>
      <c r="BU73" s="270"/>
      <c r="BV73" s="270"/>
      <c r="BW73" s="270"/>
      <c r="BX73" s="270"/>
      <c r="BY73" s="270"/>
      <c r="BZ73" s="270"/>
      <c r="CA73" s="270"/>
      <c r="CB73" s="270"/>
      <c r="CC73" s="270"/>
      <c r="CD73" s="270"/>
      <c r="CE73" s="1395"/>
      <c r="CF73" s="1450"/>
      <c r="CG73" s="1450"/>
      <c r="CH73" s="270"/>
      <c r="CI73" s="270"/>
      <c r="CJ73" s="270"/>
      <c r="CK73" s="270"/>
      <c r="CL73" s="270"/>
      <c r="CM73" s="270"/>
    </row>
    <row r="74" spans="1:91" hidden="1" outlineLevel="3" x14ac:dyDescent="0.2">
      <c r="A74" s="270"/>
      <c r="B74" s="271"/>
      <c r="C74" s="12"/>
      <c r="D74" s="1071"/>
      <c r="E74" s="1071"/>
      <c r="F74" s="1071"/>
      <c r="G74" s="626"/>
      <c r="H74" s="271"/>
      <c r="I74" s="270"/>
      <c r="J74" s="270"/>
      <c r="K74" s="270"/>
      <c r="L74" s="270"/>
      <c r="M74" s="270"/>
      <c r="N74" s="270"/>
      <c r="O74" s="270"/>
      <c r="P74" s="1072"/>
      <c r="Q74" s="270"/>
      <c r="R74" s="270"/>
      <c r="S74" s="1072"/>
      <c r="T74" s="270"/>
      <c r="U74" s="1019"/>
      <c r="V74" s="1073"/>
      <c r="W74" s="1074"/>
      <c r="X74" s="1075" t="str">
        <f>N_Substitute</f>
        <v>Remplaçant</v>
      </c>
      <c r="Y74" s="627"/>
      <c r="Z74" s="492"/>
      <c r="AA74" s="1076"/>
      <c r="AB74" s="1069"/>
      <c r="AC74" s="1070"/>
      <c r="AD74" s="839"/>
      <c r="AE74" s="270"/>
      <c r="AF74" s="270"/>
      <c r="AG74" s="270"/>
      <c r="AH74" s="270"/>
      <c r="AI74" s="270"/>
      <c r="AJ74" s="270"/>
      <c r="AK74" s="270"/>
      <c r="AL74" s="270"/>
      <c r="AM74" s="270"/>
      <c r="AN74" s="270"/>
      <c r="AO74" s="271"/>
      <c r="AP74" s="270"/>
      <c r="AQ74" s="270"/>
      <c r="AR74" s="270"/>
      <c r="AS74" s="270"/>
      <c r="AT74" s="270"/>
      <c r="AU74" s="270"/>
      <c r="AV74" s="270"/>
      <c r="AW74" s="270"/>
      <c r="AX74" s="270"/>
      <c r="AY74" s="1072"/>
      <c r="AZ74" s="270"/>
      <c r="BA74" s="270"/>
      <c r="BB74" s="1072"/>
      <c r="BC74" s="270"/>
      <c r="BD74" s="270"/>
      <c r="BE74" s="270"/>
      <c r="BF74" s="270"/>
      <c r="BG74" s="270"/>
      <c r="BH74" s="270"/>
      <c r="BI74" s="270"/>
      <c r="BJ74" s="270"/>
      <c r="BK74" s="270"/>
      <c r="BL74" s="270"/>
      <c r="BM74" s="270"/>
      <c r="BN74" s="270"/>
      <c r="BO74" s="270"/>
      <c r="BP74" s="270"/>
      <c r="BQ74" s="270"/>
      <c r="BR74" s="270"/>
      <c r="BS74" s="270"/>
      <c r="BT74" s="270"/>
      <c r="BU74" s="270"/>
      <c r="BV74" s="270"/>
      <c r="BW74" s="270"/>
      <c r="BX74" s="270"/>
      <c r="BY74" s="270"/>
      <c r="BZ74" s="270"/>
      <c r="CA74" s="270"/>
      <c r="CB74" s="270"/>
      <c r="CC74" s="270"/>
      <c r="CD74" s="270"/>
      <c r="CE74" s="1395"/>
      <c r="CF74" s="1450"/>
      <c r="CG74" s="1450"/>
      <c r="CH74" s="270"/>
      <c r="CI74" s="270"/>
      <c r="CJ74" s="270"/>
      <c r="CK74" s="270"/>
      <c r="CL74" s="270"/>
      <c r="CM74" s="270"/>
    </row>
    <row r="75" spans="1:91" ht="13.5" hidden="1" outlineLevel="3" thickBot="1" x14ac:dyDescent="0.25">
      <c r="A75" s="270"/>
      <c r="B75" s="271"/>
      <c r="C75" s="12"/>
      <c r="D75" s="1071"/>
      <c r="E75" s="1071"/>
      <c r="F75" s="1071"/>
      <c r="G75" s="626"/>
      <c r="H75" s="271"/>
      <c r="I75" s="270"/>
      <c r="J75" s="270"/>
      <c r="K75" s="270"/>
      <c r="L75" s="270"/>
      <c r="M75" s="270"/>
      <c r="N75" s="270"/>
      <c r="O75" s="270"/>
      <c r="P75" s="1072"/>
      <c r="Q75" s="270"/>
      <c r="R75" s="270"/>
      <c r="S75" s="1072"/>
      <c r="T75" s="270"/>
      <c r="U75" s="1019"/>
      <c r="V75" s="1087"/>
      <c r="W75" s="1088"/>
      <c r="X75" s="1089" t="str">
        <f>N_Substitute</f>
        <v>Remplaçant</v>
      </c>
      <c r="Y75" s="631"/>
      <c r="Z75" s="496"/>
      <c r="AA75" s="1090"/>
      <c r="AB75" s="1091"/>
      <c r="AC75" s="1092"/>
      <c r="AD75" s="839"/>
      <c r="AE75" s="270"/>
      <c r="AF75" s="270"/>
      <c r="AG75" s="270"/>
      <c r="AH75" s="270"/>
      <c r="AI75" s="270"/>
      <c r="AJ75" s="270"/>
      <c r="AK75" s="270"/>
      <c r="AL75" s="270"/>
      <c r="AM75" s="270"/>
      <c r="AN75" s="270"/>
      <c r="AO75" s="271"/>
      <c r="AP75" s="270"/>
      <c r="AQ75" s="270"/>
      <c r="AR75" s="270"/>
      <c r="AS75" s="270"/>
      <c r="AT75" s="270"/>
      <c r="AU75" s="270"/>
      <c r="AV75" s="270"/>
      <c r="AW75" s="270"/>
      <c r="AX75" s="270"/>
      <c r="AY75" s="1072"/>
      <c r="AZ75" s="270"/>
      <c r="BA75" s="270"/>
      <c r="BB75" s="1072"/>
      <c r="BC75" s="270"/>
      <c r="BD75" s="270"/>
      <c r="BE75" s="270"/>
      <c r="BF75" s="270"/>
      <c r="BG75" s="270"/>
      <c r="BH75" s="270"/>
      <c r="BI75" s="270"/>
      <c r="BJ75" s="270"/>
      <c r="BK75" s="270"/>
      <c r="BL75" s="270"/>
      <c r="BM75" s="270"/>
      <c r="BN75" s="270"/>
      <c r="BO75" s="270"/>
      <c r="BP75" s="270"/>
      <c r="BQ75" s="270"/>
      <c r="BR75" s="270"/>
      <c r="BS75" s="270"/>
      <c r="BT75" s="270"/>
      <c r="BU75" s="270"/>
      <c r="BV75" s="270"/>
      <c r="BW75" s="270"/>
      <c r="BX75" s="270"/>
      <c r="BY75" s="270"/>
      <c r="BZ75" s="270"/>
      <c r="CA75" s="270"/>
      <c r="CB75" s="270"/>
      <c r="CC75" s="270"/>
      <c r="CD75" s="270"/>
      <c r="CE75" s="1395"/>
      <c r="CF75" s="1450"/>
      <c r="CG75" s="1450"/>
      <c r="CH75" s="270"/>
      <c r="CI75" s="270"/>
      <c r="CJ75" s="270"/>
      <c r="CK75" s="270"/>
      <c r="CL75" s="270"/>
      <c r="CM75" s="270"/>
    </row>
    <row r="76" spans="1:91" ht="13.5" hidden="1" outlineLevel="2" collapsed="1" thickBot="1" x14ac:dyDescent="0.25">
      <c r="A76" s="270"/>
      <c r="B76" s="271"/>
      <c r="C76" s="270"/>
      <c r="D76" s="270"/>
      <c r="E76" s="270"/>
      <c r="F76" s="270"/>
      <c r="G76" s="271"/>
      <c r="H76" s="270"/>
      <c r="I76" s="270"/>
      <c r="J76" s="270"/>
      <c r="K76" s="270"/>
      <c r="L76" s="270"/>
      <c r="M76" s="270"/>
      <c r="N76" s="270"/>
      <c r="O76" s="270"/>
      <c r="P76" s="270"/>
      <c r="Q76" s="270"/>
      <c r="R76" s="270"/>
      <c r="S76" s="270"/>
      <c r="T76" s="270"/>
      <c r="U76" s="1019" t="s">
        <v>1731</v>
      </c>
      <c r="V76" s="1085"/>
      <c r="W76" s="617"/>
      <c r="X76" s="1523"/>
      <c r="Y76" s="1062" t="str">
        <f>AC55</f>
        <v>Eq2</v>
      </c>
      <c r="Z76" s="1063" t="str">
        <f>IF(OR(ISNUMBER(Z77),ISNUMBER(Z78),ISNUMBER(Z79),ISNUMBER(Z80)),4-COUNTBLANK(AI77:AI80),"")</f>
        <v/>
      </c>
      <c r="AA76" s="1064" t="s">
        <v>769</v>
      </c>
      <c r="AB76" s="1063" t="str">
        <f>IF(OR(ISNUMBER(Z77),ISNUMBER(Z78),ISNUMBER(Z79),ISNUMBER(Z80)),4-COUNTBLANK(AJ77:AJ80),"")</f>
        <v/>
      </c>
      <c r="AC76" s="1065" t="str">
        <f>Y55</f>
        <v>Eq1</v>
      </c>
      <c r="AD76" s="839"/>
      <c r="AE76" s="270" t="str">
        <f>IF(Z76="","",IF(Z76&gt;AB76,Y76,IF(Z76=AB76,IF(NoDrawWithWithdraw,IF(AL76=Y76,AC76,IF(AL76=AC76,Y76,"")),""),AC76)))</f>
        <v/>
      </c>
      <c r="AF76" s="270" t="str">
        <f>IF(Z76="","",IF(Z76=AB76,IF(NoDrawWithWithdraw,IF(AL76=Y76,"",IF(AL76=AC76,"",Y76)),Y76),""))</f>
        <v/>
      </c>
      <c r="AG76" s="270" t="str">
        <f>IF(Z76="","",IF(Z76=AB76,IF(NoDrawWithWithdraw,IF(AL76=Y76,"",IF(AL76=AC76,"",AC76)),AC76),""))</f>
        <v/>
      </c>
      <c r="AH76" s="270" t="str">
        <f>IF(Z76="","",IF(Z76&lt;AB76,Y76,IF(Z76=AB76,IF(NoDrawWithWithdraw,IF(AL76=Y76,Y76,IF(AL76=AC76,AC76,"")),""),AC76)))</f>
        <v/>
      </c>
      <c r="AI76" s="270" t="str">
        <f>IF(Z76="","",SUM(Z77:Z80))</f>
        <v/>
      </c>
      <c r="AJ76" s="270" t="str">
        <f>IF(Z76="","",SUM(AB77:AB80))</f>
        <v/>
      </c>
      <c r="AK76" s="270" t="str">
        <f>CONCATENATE(AE76,AH76)</f>
        <v/>
      </c>
      <c r="AL76" s="270" t="str">
        <f>IF(COUNTIF(Y77:Y80,WithdrawLabel)&gt;COUNTIF(AC77:AC80,WithdrawLabel),Y76,IF(COUNTIF(AC77:AC80,WithdrawLabel)&gt;COUNTIF(Y77:Y80,WithdrawLabel),AC76,""))</f>
        <v/>
      </c>
      <c r="AM76" s="270"/>
      <c r="AN76" s="270"/>
      <c r="AO76" s="575"/>
      <c r="AP76" s="270"/>
      <c r="AQ76" s="270"/>
      <c r="AR76" s="270"/>
      <c r="AS76" s="270"/>
      <c r="AT76" s="270"/>
      <c r="AU76" s="270"/>
      <c r="AV76" s="270"/>
      <c r="AW76" s="270"/>
      <c r="AX76" s="270"/>
      <c r="AY76" s="270"/>
      <c r="AZ76" s="270"/>
      <c r="BA76" s="270"/>
      <c r="BB76" s="270"/>
      <c r="BC76" s="270"/>
      <c r="BD76" s="270"/>
      <c r="BE76" s="270"/>
      <c r="BF76" s="270"/>
      <c r="BG76" s="270"/>
      <c r="BH76" s="270"/>
      <c r="BI76" s="270"/>
      <c r="BJ76" s="270"/>
      <c r="BK76" s="270"/>
      <c r="BL76" s="270"/>
      <c r="BM76" s="270"/>
      <c r="BN76" s="270"/>
      <c r="BO76" s="270"/>
      <c r="BP76" s="270"/>
      <c r="BQ76" s="270"/>
      <c r="BR76" s="270"/>
      <c r="BS76" s="270"/>
      <c r="BT76" s="270"/>
      <c r="BU76" s="270"/>
      <c r="BV76" s="270"/>
      <c r="BW76" s="270"/>
      <c r="BX76" s="270"/>
      <c r="BY76" s="270"/>
      <c r="BZ76" s="270"/>
      <c r="CA76" s="270"/>
      <c r="CB76" s="270"/>
      <c r="CC76" s="270"/>
      <c r="CD76" s="270"/>
      <c r="CE76" s="1395"/>
      <c r="CF76" s="1450"/>
      <c r="CG76" s="1450"/>
      <c r="CH76" s="270"/>
      <c r="CI76" s="270"/>
      <c r="CJ76" s="270"/>
      <c r="CK76" s="270"/>
      <c r="CL76" s="270"/>
      <c r="CM76" s="270"/>
    </row>
    <row r="77" spans="1:91" hidden="1" outlineLevel="3" x14ac:dyDescent="0.2">
      <c r="A77" s="270"/>
      <c r="B77" s="271"/>
      <c r="C77" s="270"/>
      <c r="D77" s="270"/>
      <c r="E77" s="270"/>
      <c r="F77" s="270"/>
      <c r="G77" s="271"/>
      <c r="H77" s="270"/>
      <c r="I77" s="270"/>
      <c r="J77" s="270"/>
      <c r="K77" s="270"/>
      <c r="L77" s="270"/>
      <c r="M77" s="270"/>
      <c r="N77" s="270"/>
      <c r="O77" s="270"/>
      <c r="P77" s="270"/>
      <c r="Q77" s="270"/>
      <c r="R77" s="270"/>
      <c r="S77" s="270"/>
      <c r="T77" s="270"/>
      <c r="U77" s="270"/>
      <c r="V77" s="1066"/>
      <c r="W77" s="618"/>
      <c r="X77" s="1068"/>
      <c r="Y77" s="627"/>
      <c r="Z77" s="492"/>
      <c r="AA77" s="493" t="s">
        <v>769</v>
      </c>
      <c r="AB77" s="1069"/>
      <c r="AC77" s="1070"/>
      <c r="AD77" s="839"/>
      <c r="AE77" s="270" t="str">
        <f>IF(Z77="","",IF(Z77&gt;AB77,Y77,IF(Z77=AB77,"",AC77)))</f>
        <v/>
      </c>
      <c r="AF77" s="270" t="str">
        <f>IF(Z77="","",IF(Z77=AB77,Y77,""))</f>
        <v/>
      </c>
      <c r="AG77" s="270" t="str">
        <f>IF(Z77="","",IF(Z77=AB77,AC77,""))</f>
        <v/>
      </c>
      <c r="AH77" s="270" t="str">
        <f>IF(Z77="","",IF(Z77&lt;AB77,Y77,IF(Z77=AB77,"",AC77)))</f>
        <v/>
      </c>
      <c r="AI77" s="270" t="str">
        <f>IF(Z77="","",IF(Z77&gt;AB77,Y76,""))</f>
        <v/>
      </c>
      <c r="AJ77" s="270" t="str">
        <f>IF(Z77="","",IF(Z77&lt;AB77,AC76,""))</f>
        <v/>
      </c>
      <c r="AK77" s="270" t="str">
        <f>CONCATENATE(AE77,AH77)</f>
        <v/>
      </c>
      <c r="AL77" s="270"/>
      <c r="AM77" s="270"/>
      <c r="AN77" s="270"/>
      <c r="AO77" s="575"/>
      <c r="AP77" s="270"/>
      <c r="AQ77" s="270"/>
      <c r="AR77" s="270"/>
      <c r="AS77" s="270"/>
      <c r="AT77" s="270"/>
      <c r="AU77" s="270"/>
      <c r="AV77" s="270"/>
      <c r="AW77" s="270"/>
      <c r="AX77" s="270"/>
      <c r="AY77" s="270"/>
      <c r="AZ77" s="270"/>
      <c r="BA77" s="270"/>
      <c r="BB77" s="270"/>
      <c r="BC77" s="270"/>
      <c r="BD77" s="270"/>
      <c r="BE77" s="270"/>
      <c r="BF77" s="270"/>
      <c r="BG77" s="270"/>
      <c r="BH77" s="270"/>
      <c r="BI77" s="270"/>
      <c r="BJ77" s="270"/>
      <c r="BK77" s="270"/>
      <c r="BL77" s="270"/>
      <c r="BM77" s="270"/>
      <c r="BN77" s="270"/>
      <c r="BO77" s="270"/>
      <c r="BP77" s="270"/>
      <c r="BQ77" s="270"/>
      <c r="BR77" s="270"/>
      <c r="BS77" s="270"/>
      <c r="BT77" s="270"/>
      <c r="BU77" s="270"/>
      <c r="BV77" s="270"/>
      <c r="BW77" s="270"/>
      <c r="BX77" s="270"/>
      <c r="BY77" s="270"/>
      <c r="BZ77" s="270"/>
      <c r="CA77" s="270"/>
      <c r="CB77" s="270"/>
      <c r="CC77" s="270"/>
      <c r="CD77" s="270"/>
      <c r="CE77" s="1395"/>
      <c r="CF77" s="1450"/>
      <c r="CG77" s="1450"/>
      <c r="CH77" s="270"/>
      <c r="CI77" s="270"/>
      <c r="CJ77" s="270"/>
      <c r="CK77" s="270"/>
      <c r="CL77" s="270"/>
      <c r="CM77" s="270"/>
    </row>
    <row r="78" spans="1:91" hidden="1" outlineLevel="3" x14ac:dyDescent="0.2">
      <c r="A78" s="270"/>
      <c r="B78" s="271"/>
      <c r="C78" s="270"/>
      <c r="D78" s="270"/>
      <c r="E78" s="270"/>
      <c r="F78" s="270"/>
      <c r="G78" s="271"/>
      <c r="H78" s="270"/>
      <c r="I78" s="270"/>
      <c r="J78" s="270"/>
      <c r="K78" s="270"/>
      <c r="L78" s="270"/>
      <c r="M78" s="270"/>
      <c r="N78" s="270"/>
      <c r="O78" s="270"/>
      <c r="P78" s="270"/>
      <c r="Q78" s="270"/>
      <c r="R78" s="270"/>
      <c r="S78" s="270"/>
      <c r="T78" s="270"/>
      <c r="U78" s="270"/>
      <c r="V78" s="1066"/>
      <c r="W78" s="618"/>
      <c r="X78" s="1068"/>
      <c r="Y78" s="627"/>
      <c r="Z78" s="492"/>
      <c r="AA78" s="493" t="s">
        <v>769</v>
      </c>
      <c r="AB78" s="1069"/>
      <c r="AC78" s="1070"/>
      <c r="AD78" s="839"/>
      <c r="AE78" s="270" t="str">
        <f>IF(Z78="","",IF(Z78&gt;AB78,Y78,IF(Z78=AB78,"",AC78)))</f>
        <v/>
      </c>
      <c r="AF78" s="270" t="str">
        <f>IF(Z78="","",IF(Z78=AB78,Y78,""))</f>
        <v/>
      </c>
      <c r="AG78" s="270" t="str">
        <f>IF(Z78="","",IF(Z78=AB78,AC78,""))</f>
        <v/>
      </c>
      <c r="AH78" s="270" t="str">
        <f>IF(Z78="","",IF(Z78&lt;AB78,Y78,IF(Z78=AB78,"",AC78)))</f>
        <v/>
      </c>
      <c r="AI78" s="270" t="str">
        <f>IF(Z78="","",IF(Z78&gt;AB78,Y76,""))</f>
        <v/>
      </c>
      <c r="AJ78" s="270" t="str">
        <f>IF(Z78="","",IF(Z78&lt;AB78,AC76,""))</f>
        <v/>
      </c>
      <c r="AK78" s="270" t="str">
        <f>CONCATENATE(AE78,AH78)</f>
        <v/>
      </c>
      <c r="AL78" s="270"/>
      <c r="AM78" s="270"/>
      <c r="AN78" s="270"/>
      <c r="AO78" s="575"/>
      <c r="AP78" s="270"/>
      <c r="AQ78" s="270"/>
      <c r="AR78" s="270"/>
      <c r="AS78" s="270"/>
      <c r="AT78" s="270"/>
      <c r="AU78" s="270"/>
      <c r="AV78" s="270"/>
      <c r="AW78" s="270"/>
      <c r="AX78" s="270"/>
      <c r="AY78" s="270"/>
      <c r="AZ78" s="270"/>
      <c r="BA78" s="270"/>
      <c r="BB78" s="270"/>
      <c r="BC78" s="270"/>
      <c r="BD78" s="270"/>
      <c r="BE78" s="270"/>
      <c r="BF78" s="270"/>
      <c r="BG78" s="270"/>
      <c r="BH78" s="270"/>
      <c r="BI78" s="270"/>
      <c r="BJ78" s="270"/>
      <c r="BK78" s="270"/>
      <c r="BL78" s="270"/>
      <c r="BM78" s="270"/>
      <c r="BN78" s="270"/>
      <c r="BO78" s="270"/>
      <c r="BP78" s="270"/>
      <c r="BQ78" s="270"/>
      <c r="BR78" s="270"/>
      <c r="BS78" s="270"/>
      <c r="BT78" s="270"/>
      <c r="BU78" s="270"/>
      <c r="BV78" s="270"/>
      <c r="BW78" s="270"/>
      <c r="BX78" s="270"/>
      <c r="BY78" s="270"/>
      <c r="BZ78" s="270"/>
      <c r="CA78" s="270"/>
      <c r="CB78" s="270"/>
      <c r="CC78" s="270"/>
      <c r="CD78" s="270"/>
      <c r="CE78" s="1395"/>
      <c r="CF78" s="1450"/>
      <c r="CG78" s="1450"/>
      <c r="CH78" s="270"/>
      <c r="CI78" s="270"/>
      <c r="CJ78" s="270"/>
      <c r="CK78" s="270"/>
      <c r="CL78" s="270"/>
      <c r="CM78" s="270"/>
    </row>
    <row r="79" spans="1:91" hidden="1" outlineLevel="3" x14ac:dyDescent="0.2">
      <c r="A79" s="270"/>
      <c r="B79" s="271"/>
      <c r="C79" s="270"/>
      <c r="D79" s="270"/>
      <c r="E79" s="270"/>
      <c r="F79" s="270"/>
      <c r="G79" s="271"/>
      <c r="H79" s="270"/>
      <c r="I79" s="270"/>
      <c r="J79" s="270"/>
      <c r="K79" s="270"/>
      <c r="L79" s="270"/>
      <c r="M79" s="270"/>
      <c r="N79" s="270"/>
      <c r="O79" s="270"/>
      <c r="P79" s="270"/>
      <c r="Q79" s="270"/>
      <c r="R79" s="270"/>
      <c r="S79" s="270"/>
      <c r="T79" s="270"/>
      <c r="U79" s="270"/>
      <c r="V79" s="1066"/>
      <c r="W79" s="618"/>
      <c r="X79" s="1068"/>
      <c r="Y79" s="627"/>
      <c r="Z79" s="492"/>
      <c r="AA79" s="493" t="s">
        <v>769</v>
      </c>
      <c r="AB79" s="1069"/>
      <c r="AC79" s="1070"/>
      <c r="AD79" s="839"/>
      <c r="AE79" s="270" t="str">
        <f>IF(Z79="","",IF(Z79&gt;AB79,Y79,IF(Z79=AB79,"",AC79)))</f>
        <v/>
      </c>
      <c r="AF79" s="270" t="str">
        <f>IF(Z79="","",IF(Z79=AB79,Y79,""))</f>
        <v/>
      </c>
      <c r="AG79" s="270" t="str">
        <f>IF(Z79="","",IF(Z79=AB79,AC79,""))</f>
        <v/>
      </c>
      <c r="AH79" s="270" t="str">
        <f>IF(Z79="","",IF(Z79&lt;AB79,Y79,IF(Z79=AB79,"",AC79)))</f>
        <v/>
      </c>
      <c r="AI79" s="270" t="str">
        <f>IF(Z79="","",IF(Z79&gt;AB79,Y76,""))</f>
        <v/>
      </c>
      <c r="AJ79" s="270" t="str">
        <f>IF(Z79="","",IF(Z79&lt;AB79,AC76,""))</f>
        <v/>
      </c>
      <c r="AK79" s="270" t="str">
        <f>CONCATENATE(AE79,AH79)</f>
        <v/>
      </c>
      <c r="AL79" s="270"/>
      <c r="AM79" s="270"/>
      <c r="AN79" s="270"/>
      <c r="AO79" s="575"/>
      <c r="AP79" s="270"/>
      <c r="AQ79" s="270"/>
      <c r="AR79" s="270"/>
      <c r="AS79" s="270"/>
      <c r="AT79" s="270"/>
      <c r="AU79" s="270"/>
      <c r="AV79" s="270"/>
      <c r="AW79" s="270"/>
      <c r="AX79" s="270"/>
      <c r="AY79" s="270"/>
      <c r="AZ79" s="270"/>
      <c r="BA79" s="270"/>
      <c r="BB79" s="270"/>
      <c r="BC79" s="270"/>
      <c r="BD79" s="270"/>
      <c r="BE79" s="270"/>
      <c r="BF79" s="270"/>
      <c r="BG79" s="270"/>
      <c r="BH79" s="270"/>
      <c r="BI79" s="270"/>
      <c r="BJ79" s="270"/>
      <c r="BK79" s="270"/>
      <c r="BL79" s="270"/>
      <c r="BM79" s="270"/>
      <c r="BN79" s="270"/>
      <c r="BO79" s="270"/>
      <c r="BP79" s="270"/>
      <c r="BQ79" s="270"/>
      <c r="BR79" s="270"/>
      <c r="BS79" s="270"/>
      <c r="BT79" s="270"/>
      <c r="BU79" s="270"/>
      <c r="BV79" s="270"/>
      <c r="BW79" s="270"/>
      <c r="BX79" s="270"/>
      <c r="BY79" s="270"/>
      <c r="BZ79" s="270"/>
      <c r="CA79" s="270"/>
      <c r="CB79" s="270"/>
      <c r="CC79" s="270"/>
      <c r="CD79" s="270"/>
      <c r="CE79" s="1395"/>
      <c r="CF79" s="1450"/>
      <c r="CG79" s="1450"/>
      <c r="CH79" s="270"/>
      <c r="CI79" s="270"/>
      <c r="CJ79" s="270"/>
      <c r="CK79" s="270"/>
      <c r="CL79" s="270"/>
      <c r="CM79" s="270"/>
    </row>
    <row r="80" spans="1:91" hidden="1" outlineLevel="3" x14ac:dyDescent="0.2">
      <c r="A80" s="270"/>
      <c r="B80" s="271"/>
      <c r="C80" s="270"/>
      <c r="D80" s="270"/>
      <c r="E80" s="270"/>
      <c r="F80" s="270"/>
      <c r="G80" s="271"/>
      <c r="H80" s="270"/>
      <c r="I80" s="270"/>
      <c r="J80" s="270"/>
      <c r="K80" s="270"/>
      <c r="L80" s="270"/>
      <c r="M80" s="270"/>
      <c r="N80" s="270"/>
      <c r="O80" s="270"/>
      <c r="P80" s="270"/>
      <c r="Q80" s="270"/>
      <c r="R80" s="270"/>
      <c r="S80" s="270"/>
      <c r="T80" s="270"/>
      <c r="U80" s="270"/>
      <c r="V80" s="1066"/>
      <c r="W80" s="618"/>
      <c r="X80" s="1068"/>
      <c r="Y80" s="627"/>
      <c r="Z80" s="492"/>
      <c r="AA80" s="493" t="s">
        <v>769</v>
      </c>
      <c r="AB80" s="1069"/>
      <c r="AC80" s="1070"/>
      <c r="AD80" s="839"/>
      <c r="AE80" s="270" t="str">
        <f>IF(Z80="","",IF(Z80&gt;AB80,Y80,IF(Z80=AB80,"",AC80)))</f>
        <v/>
      </c>
      <c r="AF80" s="270" t="str">
        <f>IF(Z80="","",IF(Z80=AB80,Y80,""))</f>
        <v/>
      </c>
      <c r="AG80" s="270" t="str">
        <f>IF(Z80="","",IF(Z80=AB80,AC80,""))</f>
        <v/>
      </c>
      <c r="AH80" s="270" t="str">
        <f>IF(Z80="","",IF(Z80&lt;AB80,Y80,IF(Z80=AB80,"",AC80)))</f>
        <v/>
      </c>
      <c r="AI80" s="270" t="str">
        <f>IF(Z80="","",IF(Z80&gt;AB80,Y76,""))</f>
        <v/>
      </c>
      <c r="AJ80" s="270" t="str">
        <f>IF(Z80="","",IF(Z80&lt;AB80,AC76,""))</f>
        <v/>
      </c>
      <c r="AK80" s="270" t="str">
        <f>CONCATENATE(AE80,AH80)</f>
        <v/>
      </c>
      <c r="AL80" s="270"/>
      <c r="AM80" s="270"/>
      <c r="AN80" s="270"/>
      <c r="AO80" s="575"/>
      <c r="AP80" s="270"/>
      <c r="AQ80" s="270"/>
      <c r="AR80" s="270"/>
      <c r="AS80" s="270"/>
      <c r="AT80" s="270"/>
      <c r="AU80" s="270"/>
      <c r="AV80" s="270"/>
      <c r="AW80" s="270"/>
      <c r="AX80" s="270"/>
      <c r="AY80" s="270"/>
      <c r="AZ80" s="270"/>
      <c r="BA80" s="270"/>
      <c r="BB80" s="270"/>
      <c r="BC80" s="270"/>
      <c r="BD80" s="270"/>
      <c r="BE80" s="270"/>
      <c r="BF80" s="270"/>
      <c r="BG80" s="270"/>
      <c r="BH80" s="270"/>
      <c r="BI80" s="270"/>
      <c r="BJ80" s="270"/>
      <c r="BK80" s="270"/>
      <c r="BL80" s="270"/>
      <c r="BM80" s="270"/>
      <c r="BN80" s="270"/>
      <c r="BO80" s="270"/>
      <c r="BP80" s="270"/>
      <c r="BQ80" s="270"/>
      <c r="BR80" s="270"/>
      <c r="BS80" s="270"/>
      <c r="BT80" s="270"/>
      <c r="BU80" s="270"/>
      <c r="BV80" s="270"/>
      <c r="BW80" s="270"/>
      <c r="BX80" s="270"/>
      <c r="BY80" s="270"/>
      <c r="BZ80" s="270"/>
      <c r="CA80" s="270"/>
      <c r="CB80" s="270"/>
      <c r="CC80" s="270"/>
      <c r="CD80" s="270"/>
      <c r="CE80" s="1395"/>
      <c r="CF80" s="1450"/>
      <c r="CG80" s="1450"/>
      <c r="CH80" s="270"/>
      <c r="CI80" s="270"/>
      <c r="CJ80" s="270"/>
      <c r="CK80" s="270"/>
      <c r="CL80" s="270"/>
      <c r="CM80" s="270"/>
    </row>
    <row r="81" spans="1:91" hidden="1" outlineLevel="3" x14ac:dyDescent="0.2">
      <c r="A81" s="270"/>
      <c r="B81" s="271"/>
      <c r="C81" s="12"/>
      <c r="D81" s="1071"/>
      <c r="E81" s="1071"/>
      <c r="F81" s="1071"/>
      <c r="G81" s="626"/>
      <c r="H81" s="271"/>
      <c r="I81" s="270"/>
      <c r="J81" s="270"/>
      <c r="K81" s="270"/>
      <c r="L81" s="270"/>
      <c r="M81" s="270"/>
      <c r="N81" s="270"/>
      <c r="O81" s="270"/>
      <c r="P81" s="1072"/>
      <c r="Q81" s="270"/>
      <c r="R81" s="270"/>
      <c r="S81" s="1072"/>
      <c r="T81" s="270"/>
      <c r="U81" s="1019"/>
      <c r="V81" s="1077"/>
      <c r="W81" s="1078"/>
      <c r="X81" s="1075" t="str">
        <f>N_Substitute</f>
        <v>Remplaçant</v>
      </c>
      <c r="Y81" s="627"/>
      <c r="Z81" s="492"/>
      <c r="AA81" s="1076"/>
      <c r="AB81" s="1069"/>
      <c r="AC81" s="1070"/>
      <c r="AD81" s="839"/>
      <c r="AE81" s="270"/>
      <c r="AF81" s="270"/>
      <c r="AG81" s="270"/>
      <c r="AH81" s="270"/>
      <c r="AI81" s="270"/>
      <c r="AJ81" s="270"/>
      <c r="AK81" s="270"/>
      <c r="AL81" s="270"/>
      <c r="AM81" s="270"/>
      <c r="AN81" s="270"/>
      <c r="AO81" s="271"/>
      <c r="AP81" s="270"/>
      <c r="AQ81" s="270"/>
      <c r="AR81" s="270"/>
      <c r="AS81" s="270"/>
      <c r="AT81" s="270"/>
      <c r="AU81" s="270"/>
      <c r="AV81" s="270"/>
      <c r="AW81" s="270"/>
      <c r="AX81" s="270"/>
      <c r="AY81" s="1072"/>
      <c r="AZ81" s="270"/>
      <c r="BA81" s="270"/>
      <c r="BB81" s="1072"/>
      <c r="BC81" s="270"/>
      <c r="BD81" s="270"/>
      <c r="BE81" s="270"/>
      <c r="BF81" s="270"/>
      <c r="BG81" s="270"/>
      <c r="BH81" s="270"/>
      <c r="BI81" s="270"/>
      <c r="BJ81" s="270"/>
      <c r="BK81" s="270"/>
      <c r="BL81" s="270"/>
      <c r="BM81" s="270"/>
      <c r="BN81" s="270"/>
      <c r="BO81" s="270"/>
      <c r="BP81" s="270"/>
      <c r="BQ81" s="270"/>
      <c r="BR81" s="270"/>
      <c r="BS81" s="270"/>
      <c r="BT81" s="270"/>
      <c r="BU81" s="270"/>
      <c r="BV81" s="270"/>
      <c r="BW81" s="270"/>
      <c r="BX81" s="270"/>
      <c r="BY81" s="270"/>
      <c r="BZ81" s="270"/>
      <c r="CA81" s="270"/>
      <c r="CB81" s="270"/>
      <c r="CC81" s="270"/>
      <c r="CD81" s="270"/>
      <c r="CE81" s="1395"/>
      <c r="CF81" s="1450"/>
      <c r="CG81" s="1450"/>
      <c r="CH81" s="270"/>
      <c r="CI81" s="270"/>
      <c r="CJ81" s="270"/>
      <c r="CK81" s="270"/>
      <c r="CL81" s="270"/>
      <c r="CM81" s="270"/>
    </row>
    <row r="82" spans="1:91" ht="13.5" hidden="1" outlineLevel="3" thickBot="1" x14ac:dyDescent="0.25">
      <c r="A82" s="270"/>
      <c r="B82" s="271"/>
      <c r="C82" s="12"/>
      <c r="D82" s="1071"/>
      <c r="E82" s="1071"/>
      <c r="F82" s="1071"/>
      <c r="G82" s="626"/>
      <c r="H82" s="271"/>
      <c r="I82" s="270"/>
      <c r="J82" s="270"/>
      <c r="K82" s="270"/>
      <c r="L82" s="270"/>
      <c r="M82" s="270"/>
      <c r="N82" s="270"/>
      <c r="O82" s="270"/>
      <c r="P82" s="1072"/>
      <c r="Q82" s="270"/>
      <c r="R82" s="270"/>
      <c r="S82" s="1072"/>
      <c r="T82" s="270"/>
      <c r="U82" s="1019"/>
      <c r="V82" s="1087"/>
      <c r="W82" s="1088"/>
      <c r="X82" s="1089" t="str">
        <f>N_Substitute</f>
        <v>Remplaçant</v>
      </c>
      <c r="Y82" s="631"/>
      <c r="Z82" s="496"/>
      <c r="AA82" s="1090"/>
      <c r="AB82" s="496"/>
      <c r="AC82" s="1092"/>
      <c r="AD82" s="839"/>
      <c r="AE82" s="270"/>
      <c r="AF82" s="270"/>
      <c r="AG82" s="270"/>
      <c r="AH82" s="270"/>
      <c r="AI82" s="270"/>
      <c r="AJ82" s="270"/>
      <c r="AK82" s="270"/>
      <c r="AL82" s="270"/>
      <c r="AM82" s="270"/>
      <c r="AN82" s="270"/>
      <c r="AO82" s="271"/>
      <c r="AP82" s="270"/>
      <c r="AQ82" s="270"/>
      <c r="AR82" s="270"/>
      <c r="AS82" s="270"/>
      <c r="AT82" s="270"/>
      <c r="AU82" s="270"/>
      <c r="AV82" s="270"/>
      <c r="AW82" s="270"/>
      <c r="AX82" s="270"/>
      <c r="AY82" s="1072"/>
      <c r="AZ82" s="270"/>
      <c r="BA82" s="270"/>
      <c r="BB82" s="1072"/>
      <c r="BC82" s="270"/>
      <c r="BD82" s="270"/>
      <c r="BE82" s="270"/>
      <c r="BF82" s="270"/>
      <c r="BG82" s="270"/>
      <c r="BH82" s="270"/>
      <c r="BI82" s="270"/>
      <c r="BJ82" s="270"/>
      <c r="BK82" s="270"/>
      <c r="BL82" s="270"/>
      <c r="BM82" s="270"/>
      <c r="BN82" s="270"/>
      <c r="BO82" s="270"/>
      <c r="BP82" s="270"/>
      <c r="BQ82" s="270"/>
      <c r="BR82" s="270"/>
      <c r="BS82" s="270"/>
      <c r="BT82" s="270"/>
      <c r="BU82" s="270"/>
      <c r="BV82" s="270"/>
      <c r="BW82" s="270"/>
      <c r="BX82" s="270"/>
      <c r="BY82" s="270"/>
      <c r="BZ82" s="270"/>
      <c r="CA82" s="270"/>
      <c r="CB82" s="270"/>
      <c r="CC82" s="270"/>
      <c r="CD82" s="270"/>
      <c r="CE82" s="1395"/>
      <c r="CF82" s="1450"/>
      <c r="CG82" s="1450"/>
      <c r="CH82" s="270"/>
      <c r="CI82" s="270"/>
      <c r="CJ82" s="270"/>
      <c r="CK82" s="270"/>
      <c r="CL82" s="270"/>
      <c r="CM82" s="270"/>
    </row>
    <row r="83" spans="1:91" hidden="1" outlineLevel="2" x14ac:dyDescent="0.2">
      <c r="A83" s="270"/>
      <c r="B83" s="271"/>
      <c r="C83" s="270"/>
      <c r="D83" s="270"/>
      <c r="E83" s="270"/>
      <c r="F83" s="270"/>
      <c r="G83" s="271"/>
      <c r="H83" s="270"/>
      <c r="I83" s="270"/>
      <c r="J83" s="270"/>
      <c r="K83" s="270"/>
      <c r="L83" s="270"/>
      <c r="M83" s="270"/>
      <c r="N83" s="270"/>
      <c r="O83" s="270"/>
      <c r="P83" s="270"/>
      <c r="Q83" s="270"/>
      <c r="R83" s="270"/>
      <c r="S83" s="270"/>
      <c r="T83" s="270"/>
      <c r="U83" s="270"/>
      <c r="V83" s="1097"/>
      <c r="W83" s="1097"/>
      <c r="X83" s="1098"/>
      <c r="Y83" s="1099"/>
      <c r="Z83" s="1098"/>
      <c r="AA83" s="1097"/>
      <c r="AB83" s="1098"/>
      <c r="AC83" s="1100"/>
      <c r="AD83" s="839"/>
      <c r="AE83" s="270"/>
      <c r="AF83" s="270"/>
      <c r="AG83" s="270"/>
      <c r="AH83" s="270"/>
      <c r="AI83" s="270"/>
      <c r="AJ83" s="270"/>
      <c r="AK83" s="270"/>
      <c r="AL83" s="270"/>
      <c r="AM83" s="270"/>
      <c r="AN83" s="270"/>
      <c r="AO83" s="575"/>
      <c r="AP83" s="270"/>
      <c r="AQ83" s="270"/>
      <c r="AR83" s="270"/>
      <c r="AS83" s="270"/>
      <c r="AT83" s="270"/>
      <c r="AU83" s="270"/>
      <c r="AV83" s="270"/>
      <c r="AW83" s="270"/>
      <c r="AX83" s="270"/>
      <c r="AY83" s="270"/>
      <c r="AZ83" s="270"/>
      <c r="BA83" s="270"/>
      <c r="BB83" s="270"/>
      <c r="BC83" s="270"/>
      <c r="BD83" s="270"/>
      <c r="BE83" s="270"/>
      <c r="BF83" s="270"/>
      <c r="BG83" s="270"/>
      <c r="BH83" s="270"/>
      <c r="BI83" s="270"/>
      <c r="BJ83" s="270"/>
      <c r="BK83" s="270"/>
      <c r="BL83" s="270"/>
      <c r="BM83" s="270"/>
      <c r="BN83" s="270"/>
      <c r="BO83" s="270"/>
      <c r="BP83" s="270"/>
      <c r="BQ83" s="270"/>
      <c r="BR83" s="270"/>
      <c r="BS83" s="270"/>
      <c r="BT83" s="270"/>
      <c r="BU83" s="270"/>
      <c r="BV83" s="270"/>
      <c r="BW83" s="270"/>
      <c r="BX83" s="270"/>
      <c r="BY83" s="270"/>
      <c r="BZ83" s="270"/>
      <c r="CA83" s="270"/>
      <c r="CB83" s="270"/>
      <c r="CC83" s="270"/>
      <c r="CD83" s="270"/>
      <c r="CE83" s="1395"/>
      <c r="CF83" s="1450"/>
      <c r="CG83" s="1450"/>
      <c r="CH83" s="270"/>
      <c r="CI83" s="270"/>
      <c r="CJ83" s="270"/>
      <c r="CK83" s="270"/>
      <c r="CL83" s="270"/>
      <c r="CM83" s="270"/>
    </row>
    <row r="84" spans="1:91" ht="13.5" thickBot="1" x14ac:dyDescent="0.25">
      <c r="A84" s="270"/>
      <c r="B84" s="271"/>
      <c r="C84" s="270"/>
      <c r="D84" s="270"/>
      <c r="E84" s="270"/>
      <c r="F84" s="270"/>
      <c r="G84" s="271"/>
      <c r="H84" s="270"/>
      <c r="I84" s="270"/>
      <c r="J84" s="270"/>
      <c r="K84" s="270"/>
      <c r="L84" s="270"/>
      <c r="M84" s="270"/>
      <c r="N84" s="270"/>
      <c r="O84" s="270"/>
      <c r="P84" s="270"/>
      <c r="Q84" s="270"/>
      <c r="R84" s="270"/>
      <c r="S84" s="270"/>
      <c r="T84" s="270"/>
      <c r="U84" s="270"/>
      <c r="V84" s="271"/>
      <c r="W84" s="271"/>
      <c r="X84" s="270"/>
      <c r="Y84" s="646"/>
      <c r="Z84" s="270"/>
      <c r="AA84" s="271"/>
      <c r="AB84" s="270"/>
      <c r="AC84" s="290"/>
      <c r="AD84" s="839"/>
      <c r="AE84" s="270"/>
      <c r="AF84" s="270"/>
      <c r="AG84" s="270"/>
      <c r="AH84" s="270"/>
      <c r="AI84" s="270"/>
      <c r="AJ84" s="270"/>
      <c r="AK84" s="270"/>
      <c r="AL84" s="270"/>
      <c r="AM84" s="270"/>
      <c r="AN84" s="270"/>
      <c r="AO84" s="575"/>
      <c r="AP84" s="270"/>
      <c r="AQ84" s="270"/>
      <c r="AR84" s="270"/>
      <c r="AS84" s="270"/>
      <c r="AT84" s="270"/>
      <c r="AU84" s="270"/>
      <c r="AV84" s="270"/>
      <c r="AW84" s="270"/>
      <c r="AX84" s="270"/>
      <c r="AY84" s="270"/>
      <c r="AZ84" s="270"/>
      <c r="BA84" s="270"/>
      <c r="BB84" s="270"/>
      <c r="BC84" s="270"/>
      <c r="BD84" s="270"/>
      <c r="BE84" s="270"/>
      <c r="BF84" s="270"/>
      <c r="BG84" s="270"/>
      <c r="BH84" s="270"/>
      <c r="BI84" s="270"/>
      <c r="BJ84" s="270"/>
      <c r="BK84" s="270"/>
      <c r="BL84" s="270"/>
      <c r="BM84" s="270"/>
      <c r="BN84" s="270"/>
      <c r="BO84" s="270"/>
      <c r="BP84" s="270"/>
      <c r="BQ84" s="270"/>
      <c r="BR84" s="270"/>
      <c r="BS84" s="270"/>
      <c r="BT84" s="270"/>
      <c r="BU84" s="270"/>
      <c r="BV84" s="270"/>
      <c r="BW84" s="270"/>
      <c r="BX84" s="270"/>
      <c r="BY84" s="270"/>
      <c r="BZ84" s="270"/>
      <c r="CA84" s="270"/>
      <c r="CB84" s="270"/>
      <c r="CC84" s="270"/>
      <c r="CD84" s="270"/>
      <c r="CE84" s="1395"/>
      <c r="CF84" s="1450"/>
      <c r="CG84" s="1450"/>
      <c r="CH84" s="270"/>
      <c r="CI84" s="270"/>
      <c r="CJ84" s="270"/>
      <c r="CK84" s="270"/>
      <c r="CL84" s="270"/>
      <c r="CM84" s="270"/>
    </row>
    <row r="85" spans="1:91" ht="13.5" thickBot="1" x14ac:dyDescent="0.25">
      <c r="A85" s="270"/>
      <c r="B85" s="1101" t="str">
        <f>N_Group_4</f>
        <v>Poule de 4</v>
      </c>
      <c r="C85" s="1022"/>
      <c r="D85" s="1022"/>
      <c r="E85" s="1022"/>
      <c r="F85" s="1022"/>
      <c r="G85" s="1022"/>
      <c r="H85" s="1022"/>
      <c r="I85" s="1022"/>
      <c r="J85" s="1022"/>
      <c r="K85" s="1022"/>
      <c r="L85" s="1022"/>
      <c r="M85" s="1022"/>
      <c r="N85" s="1022"/>
      <c r="O85" s="1022"/>
      <c r="P85" s="1022"/>
      <c r="Q85" s="1022"/>
      <c r="R85" s="1022"/>
      <c r="S85" s="1022"/>
      <c r="T85" s="1022"/>
      <c r="U85" s="1022"/>
      <c r="V85" s="1022"/>
      <c r="W85" s="1022"/>
      <c r="X85" s="1022"/>
      <c r="Y85" s="1022"/>
      <c r="Z85" s="1022"/>
      <c r="AA85" s="1022"/>
      <c r="AB85" s="1022"/>
      <c r="AC85" s="1022"/>
      <c r="AD85" s="1022"/>
      <c r="AE85" s="1022"/>
      <c r="AF85" s="1022"/>
      <c r="AG85" s="1022"/>
      <c r="AH85" s="1022"/>
      <c r="AI85" s="1022"/>
      <c r="AJ85" s="1022"/>
      <c r="AK85" s="1022"/>
      <c r="AL85" s="1022"/>
      <c r="AM85" s="1023"/>
      <c r="AN85" s="1022" t="str">
        <f>B85</f>
        <v>Poule de 4</v>
      </c>
      <c r="AO85" s="1022"/>
      <c r="AP85" s="1022"/>
      <c r="AQ85" s="1022"/>
      <c r="AR85" s="1022"/>
      <c r="AS85" s="1022"/>
      <c r="AT85" s="1022"/>
      <c r="AU85" s="1022"/>
      <c r="AV85" s="1022"/>
      <c r="AW85" s="1022"/>
      <c r="AX85" s="1022"/>
      <c r="AY85" s="1022"/>
      <c r="AZ85" s="1022"/>
      <c r="BA85" s="1022"/>
      <c r="BB85" s="1022"/>
      <c r="BC85" s="1022"/>
      <c r="BD85" s="1022"/>
      <c r="BE85" s="1022"/>
      <c r="BF85" s="1022"/>
      <c r="BG85" s="1022"/>
      <c r="BH85" s="1022"/>
      <c r="BI85" s="1022"/>
      <c r="BJ85" s="1022"/>
      <c r="BK85" s="1022"/>
      <c r="BL85" s="1022"/>
      <c r="BM85" s="1022"/>
      <c r="BN85" s="1022"/>
      <c r="BO85" s="1022"/>
      <c r="BP85" s="1022"/>
      <c r="BQ85" s="1022"/>
      <c r="BR85" s="1022"/>
      <c r="BS85" s="1022"/>
      <c r="BT85" s="1022"/>
      <c r="BU85" s="1022"/>
      <c r="BV85" s="1022"/>
      <c r="BW85" s="1022"/>
      <c r="BX85" s="1022"/>
      <c r="BY85" s="1022"/>
      <c r="BZ85" s="1022"/>
      <c r="CA85" s="1022"/>
      <c r="CB85" s="1022"/>
      <c r="CC85" s="1022"/>
      <c r="CD85" s="1022"/>
      <c r="CE85" s="1395"/>
      <c r="CF85" s="1450"/>
      <c r="CG85" s="1450"/>
      <c r="CH85" s="1023"/>
      <c r="CI85" s="270"/>
      <c r="CJ85" s="270"/>
      <c r="CK85" s="270"/>
      <c r="CL85" s="270"/>
      <c r="CM85" s="270"/>
    </row>
    <row r="86" spans="1:91" ht="13.5" outlineLevel="1" thickBot="1" x14ac:dyDescent="0.25">
      <c r="A86" s="270"/>
      <c r="B86" s="271"/>
      <c r="C86" s="270"/>
      <c r="D86" s="270"/>
      <c r="E86" s="270"/>
      <c r="F86" s="270"/>
      <c r="G86" s="271"/>
      <c r="H86" s="270"/>
      <c r="I86" s="270"/>
      <c r="J86" s="270"/>
      <c r="K86" s="270"/>
      <c r="L86" s="270"/>
      <c r="M86" s="270"/>
      <c r="N86" s="270"/>
      <c r="O86" s="270"/>
      <c r="P86" s="270"/>
      <c r="Q86" s="270"/>
      <c r="R86" s="270"/>
      <c r="S86" s="270"/>
      <c r="T86" s="270"/>
      <c r="U86" s="270"/>
      <c r="V86" s="271"/>
      <c r="W86" s="271"/>
      <c r="X86" s="270"/>
      <c r="Y86" s="646"/>
      <c r="Z86" s="270"/>
      <c r="AA86" s="271"/>
      <c r="AB86" s="270"/>
      <c r="AC86" s="290"/>
      <c r="AD86" s="839"/>
      <c r="AE86" s="270"/>
      <c r="AF86" s="270"/>
      <c r="AG86" s="270"/>
      <c r="AH86" s="270"/>
      <c r="AI86" s="270"/>
      <c r="AJ86" s="270"/>
      <c r="AK86" s="270"/>
      <c r="AL86" s="270"/>
      <c r="AM86" s="270"/>
      <c r="AN86" s="270"/>
      <c r="AO86" s="575"/>
      <c r="AP86" s="270"/>
      <c r="AQ86" s="270"/>
      <c r="AR86" s="270"/>
      <c r="AS86" s="270"/>
      <c r="AT86" s="270"/>
      <c r="AU86" s="270"/>
      <c r="AV86" s="270"/>
      <c r="AW86" s="270"/>
      <c r="AX86" s="270"/>
      <c r="AY86" s="270"/>
      <c r="AZ86" s="270"/>
      <c r="BA86" s="270"/>
      <c r="BB86" s="270"/>
      <c r="BC86" s="270"/>
      <c r="BD86" s="270"/>
      <c r="BE86" s="270"/>
      <c r="BF86" s="270"/>
      <c r="BG86" s="270"/>
      <c r="BH86" s="270"/>
      <c r="BI86" s="270"/>
      <c r="BJ86" s="270"/>
      <c r="BK86" s="270"/>
      <c r="BL86" s="270"/>
      <c r="BM86" s="270"/>
      <c r="BN86" s="270"/>
      <c r="BO86" s="270"/>
      <c r="BP86" s="270"/>
      <c r="BQ86" s="270"/>
      <c r="BR86" s="270"/>
      <c r="BS86" s="270"/>
      <c r="BT86" s="270"/>
      <c r="BU86" s="270"/>
      <c r="BV86" s="270"/>
      <c r="BW86" s="270"/>
      <c r="BX86" s="270"/>
      <c r="BY86" s="270"/>
      <c r="BZ86" s="270"/>
      <c r="CA86" s="270"/>
      <c r="CB86" s="270"/>
      <c r="CC86" s="270"/>
      <c r="CD86" s="270"/>
      <c r="CE86" s="1395"/>
      <c r="CF86" s="1450"/>
      <c r="CG86" s="1450"/>
      <c r="CH86" s="270"/>
      <c r="CI86" s="270"/>
      <c r="CJ86" s="270"/>
      <c r="CK86" s="270"/>
      <c r="CL86" s="270"/>
      <c r="CM86" s="270"/>
    </row>
    <row r="87" spans="1:91" ht="13.5" outlineLevel="1" thickBot="1" x14ac:dyDescent="0.25">
      <c r="A87" s="270"/>
      <c r="B87" s="1024" t="str">
        <f>N_Tirage</f>
        <v>Tirage</v>
      </c>
      <c r="C87" s="1025" t="s">
        <v>787</v>
      </c>
      <c r="D87" s="1026" t="s">
        <v>831</v>
      </c>
      <c r="E87" s="1026" t="s">
        <v>832</v>
      </c>
      <c r="F87" s="1027" t="s">
        <v>833</v>
      </c>
      <c r="G87" s="1028" t="str">
        <f>N_Equipes</f>
        <v>Equipes</v>
      </c>
      <c r="H87" s="1029" t="str">
        <f>N_Pts</f>
        <v>Pts</v>
      </c>
      <c r="I87" s="1029" t="str">
        <f>N_J</f>
        <v>J</v>
      </c>
      <c r="J87" s="1030" t="str">
        <f>N_G</f>
        <v>G</v>
      </c>
      <c r="K87" s="1030" t="str">
        <f>N_N</f>
        <v>N</v>
      </c>
      <c r="L87" s="1030" t="str">
        <f>N_P</f>
        <v>P</v>
      </c>
      <c r="M87" s="1030" t="str">
        <f>N_Diff_R</f>
        <v>Diff R</v>
      </c>
      <c r="N87" s="1030" t="str">
        <f>N_MP</f>
        <v>MP</v>
      </c>
      <c r="O87" s="1030" t="str">
        <f>N_MC</f>
        <v>MC</v>
      </c>
      <c r="P87" s="1031" t="str">
        <f>N_Diff_M</f>
        <v>Diff M</v>
      </c>
      <c r="Q87" s="1030" t="str">
        <f>N_BP</f>
        <v>BP</v>
      </c>
      <c r="R87" s="1030" t="str">
        <f>N_BC</f>
        <v>BC</v>
      </c>
      <c r="S87" s="1032" t="str">
        <f>N_Diff_B</f>
        <v>Diff B</v>
      </c>
      <c r="T87" s="270"/>
      <c r="U87" s="270"/>
      <c r="V87" s="270"/>
      <c r="W87" s="270"/>
      <c r="X87" s="270"/>
      <c r="Y87" s="270"/>
      <c r="Z87" s="270"/>
      <c r="AA87" s="270"/>
      <c r="AB87" s="270"/>
      <c r="AC87" s="270"/>
      <c r="AD87" s="575"/>
      <c r="AE87" s="270"/>
      <c r="AF87" s="270"/>
      <c r="AG87" s="270"/>
      <c r="AH87" s="270"/>
      <c r="AI87" s="270"/>
      <c r="AJ87" s="270"/>
      <c r="AK87" s="270"/>
      <c r="AL87" s="270"/>
      <c r="AM87" s="270"/>
      <c r="AN87" s="270"/>
      <c r="AO87" s="1033" t="str">
        <f>N_Cla.</f>
        <v>Cla.</v>
      </c>
      <c r="AP87" s="630" t="str">
        <f>N_Equipes</f>
        <v>Equipes</v>
      </c>
      <c r="AQ87" s="1034" t="str">
        <f>N_Pts</f>
        <v>Pts</v>
      </c>
      <c r="AR87" s="1034" t="str">
        <f>N_J</f>
        <v>J</v>
      </c>
      <c r="AS87" s="1026" t="str">
        <f>N_G</f>
        <v>G</v>
      </c>
      <c r="AT87" s="1026" t="str">
        <f>N_N</f>
        <v>N</v>
      </c>
      <c r="AU87" s="1026" t="str">
        <f>N_P</f>
        <v>P</v>
      </c>
      <c r="AV87" s="1035" t="str">
        <f>N_Diff_R</f>
        <v>Diff R</v>
      </c>
      <c r="AW87" s="1036" t="str">
        <f>N_MP</f>
        <v>MP</v>
      </c>
      <c r="AX87" s="1026" t="str">
        <f>N_MC</f>
        <v>MC</v>
      </c>
      <c r="AY87" s="1037" t="str">
        <f>N_Diff_M</f>
        <v>Diff M</v>
      </c>
      <c r="AZ87" s="1036" t="str">
        <f>N_BP</f>
        <v>BP</v>
      </c>
      <c r="BA87" s="1026" t="str">
        <f>N_BC</f>
        <v>BC</v>
      </c>
      <c r="BB87" s="1035" t="str">
        <f>N_Diff_B</f>
        <v>Diff B</v>
      </c>
      <c r="BC87" s="1038" t="str">
        <f>N_Matches</f>
        <v>Matches</v>
      </c>
      <c r="BD87" s="1039"/>
      <c r="BE87" s="1039"/>
      <c r="BF87" s="1039"/>
      <c r="BG87" s="1039"/>
      <c r="BH87" s="1040"/>
      <c r="BI87" s="270"/>
      <c r="BJ87" s="270"/>
      <c r="BK87" s="270"/>
      <c r="BL87" s="270"/>
      <c r="BM87" s="270"/>
      <c r="BN87" s="270"/>
      <c r="BO87" s="270"/>
      <c r="BP87" s="270"/>
      <c r="BQ87" s="270"/>
      <c r="BR87" s="270"/>
      <c r="BS87" s="270"/>
      <c r="BT87" s="270"/>
      <c r="BU87" s="270"/>
      <c r="BV87" s="270"/>
      <c r="BW87" s="270"/>
      <c r="BX87" s="270"/>
      <c r="BY87" s="270"/>
      <c r="BZ87" s="270"/>
      <c r="CA87" s="270"/>
      <c r="CB87" s="270"/>
      <c r="CC87" s="270"/>
      <c r="CD87" s="270"/>
      <c r="CE87" s="1395"/>
      <c r="CF87" s="1450"/>
      <c r="CG87" s="1450"/>
      <c r="CH87" s="270"/>
      <c r="CI87" s="270"/>
      <c r="CJ87" s="270"/>
      <c r="CK87" s="270"/>
      <c r="CL87" s="270"/>
      <c r="CM87" s="270"/>
    </row>
    <row r="88" spans="1:91" outlineLevel="1" x14ac:dyDescent="0.2">
      <c r="A88" s="270"/>
      <c r="B88" s="505">
        <v>1</v>
      </c>
      <c r="C88" s="1041" t="str">
        <f>IF(AL92="","",RANK(F88,F88:F91)*1000+ROW())</f>
        <v/>
      </c>
      <c r="D88" s="1042" t="str">
        <f>IF(J88="","",H88*CritClassEq1_Points+M88*CritClassEq1_DiffRencontres+P88*CritClassEq1_DiffMatches+S88*CritClassEq1_DiffButs+N88*CritClassEq1_Matches+Q88*CritClassEq1_Attaque)</f>
        <v/>
      </c>
      <c r="E88" s="1042" t="str">
        <f>IF(J88="","",Nb_Diff_Part(D88,D88:D91,G88,G88:G91,AK93:AK128)*CritClassEq_DiffPart+Nb_Goal_Part(D88,D88:D91,G88,G88:G91,Y93:AC128)*CritClassEq_IndsPart+Nb_Score_Part(D88,D88:D91,G88,G88:G91,Y93:AC128)*CritClassEq_WinsPart+Nb_GoalTeam_Part(D88,D88:D91,G88,G88:G91,Y93:AC128)*CritClassEq_GoalPart+Nb_ScoreTeam_Part(D88,D88:D91,G88,G88:G91,Y93:AC128)*CritClassEq_ScorePart)</f>
        <v/>
      </c>
      <c r="F88" s="1043" t="str">
        <f>IF(J88="","",D88+E88+H88*CritClassEq2_Points+M88*CritClassEq2_DiffRencontres+P88*CritClassEq2_DiffMatches+S88*CritClassEq2_DiffButs+N88*CritClassEq2_Matches+Q88*CritClassEq2_Attaque)</f>
        <v/>
      </c>
      <c r="G88" s="476" t="s">
        <v>825</v>
      </c>
      <c r="H88" s="1044" t="str">
        <f>IF(AL92="","",(J88*Points_Victoire)+K88*Points_Null)</f>
        <v/>
      </c>
      <c r="I88" s="535" t="str">
        <f>IF(J88="","",SUM(J88:L88))</f>
        <v/>
      </c>
      <c r="J88" s="535" t="str">
        <f>IF(AL92="","",COUNTIF(AE93:AE132,G88))</f>
        <v/>
      </c>
      <c r="K88" s="535" t="str">
        <f>IF(AL92="","",COUNTIF(AF93:AG132,G88))</f>
        <v/>
      </c>
      <c r="L88" s="535" t="str">
        <f>IF(AL92="","",COUNTIF(AH93:AH132,G88))</f>
        <v/>
      </c>
      <c r="M88" s="1045" t="str">
        <f>IF(AL92="","",J88-L88)</f>
        <v/>
      </c>
      <c r="N88" s="1046" t="str">
        <f>IF(AL92="","",SUMIF(Y93:Y132,G88,Z93:Z132)+SUMIF(AC93:AC132,G88,AB93:AB132))</f>
        <v/>
      </c>
      <c r="O88" s="535" t="str">
        <f>IF(AL92="","",SUMIF(Y93:Y132,G88,AB93:AB132)+SUMIF(AC93:AC132,G88,Z93:AL132))</f>
        <v/>
      </c>
      <c r="P88" s="1047" t="str">
        <f>IF(AL92="","",N88-O88)</f>
        <v/>
      </c>
      <c r="Q88" s="535" t="str">
        <f>IF(AL92="","",SUMIF(Y93:Y132,G88,AI93:AI132)+SUMIF(AC93:AC132,G88,AJ93:AJ132))</f>
        <v/>
      </c>
      <c r="R88" s="535" t="str">
        <f>IF(AL92="","",SUMIF(Y93:Y132,G88,AJ93:AJ132)+SUMIF(AC93:AC132,G88,AI93:AI132))</f>
        <v/>
      </c>
      <c r="S88" s="508" t="str">
        <f>IF(AL92="","",Q88-R88)</f>
        <v/>
      </c>
      <c r="T88" s="270"/>
      <c r="U88" s="270"/>
      <c r="V88" s="270"/>
      <c r="W88" s="270"/>
      <c r="X88" s="270"/>
      <c r="Y88" s="270"/>
      <c r="Z88" s="270"/>
      <c r="AA88" s="270"/>
      <c r="AB88" s="270"/>
      <c r="AC88" s="270"/>
      <c r="AD88" s="575"/>
      <c r="AE88" s="270"/>
      <c r="AF88" s="270"/>
      <c r="AG88" s="270"/>
      <c r="AH88" s="270"/>
      <c r="AI88" s="270"/>
      <c r="AJ88" s="270"/>
      <c r="AK88" s="270"/>
      <c r="AL88" s="270" t="str">
        <f>IF(AL92="","",SMALL(C88:C91,1))</f>
        <v/>
      </c>
      <c r="AM88" s="270"/>
      <c r="AN88" s="270"/>
      <c r="AO88" s="505" t="str">
        <f>IF(AL92="","",INT(AL88/1000))</f>
        <v/>
      </c>
      <c r="AP88" s="1107" t="str">
        <f>IF(AL92="",IF(HidePlayerFormulas,"","("&amp;G88&amp;")"),VLOOKUP(AL88,C88:S91,5,FALSE))</f>
        <v/>
      </c>
      <c r="AQ88" s="1046" t="str">
        <f>VLOOKUP(AL88,C88:S91,6,FALSE)</f>
        <v/>
      </c>
      <c r="AR88" s="535" t="str">
        <f>VLOOKUP(AL88,C88:S91,7,FALSE)</f>
        <v/>
      </c>
      <c r="AS88" s="535" t="str">
        <f>VLOOKUP(AL88,C88:S91,8,FALSE)</f>
        <v/>
      </c>
      <c r="AT88" s="535" t="str">
        <f>VLOOKUP(AL88,C88:S91,9,FALSE)</f>
        <v/>
      </c>
      <c r="AU88" s="535" t="str">
        <f>VLOOKUP(AL88,C88:S91,10,FALSE)</f>
        <v/>
      </c>
      <c r="AV88" s="1047" t="str">
        <f>VLOOKUP(AL88,C88:S91,11,FALSE)</f>
        <v/>
      </c>
      <c r="AW88" s="506" t="str">
        <f>VLOOKUP(AL88,C88:S91,12,FALSE)</f>
        <v/>
      </c>
      <c r="AX88" s="535" t="str">
        <f>VLOOKUP(AL88,C88:S91,13,FALSE)</f>
        <v/>
      </c>
      <c r="AY88" s="508" t="str">
        <f>VLOOKUP(AL88,C88:S91,14,FALSE)</f>
        <v/>
      </c>
      <c r="AZ88" s="506" t="str">
        <f>VLOOKUP(AL88,C88:S91,15,FALSE)</f>
        <v/>
      </c>
      <c r="BA88" s="535" t="str">
        <f>VLOOKUP(AL88,C88:S91,16,FALSE)</f>
        <v/>
      </c>
      <c r="BB88" s="508" t="str">
        <f>VLOOKUP(AL88,C88:S91,17,FALSE)</f>
        <v/>
      </c>
      <c r="BC88" s="1041" t="str">
        <f>IF(Z93="","",IF(AP88=Y93,Z93&amp;"("&amp;SUM(Z94:Z97)&amp;")",IF(AP88=AC93,AB93&amp;"("&amp;SUM(AB94:AB97)&amp;")","")))</f>
        <v/>
      </c>
      <c r="BD88" s="1049" t="str">
        <f>IF(Z100="","",IF(AP88=Y100,Z100&amp;"("&amp;SUM(Z101:Z104)&amp;")",IF(AP88=AC100,AB100&amp;"("&amp;SUM(AB101:AB104)&amp;")","")))</f>
        <v/>
      </c>
      <c r="BE88" s="1049" t="str">
        <f>IF(Z107="","",IF(AP88=Y107,Z107&amp;"("&amp;SUM(Z108:Z111)&amp;")",IF(AP88=AC107,AB107&amp;"("&amp;SUM(AB108:AB111)&amp;")","")))</f>
        <v/>
      </c>
      <c r="BF88" s="1049" t="str">
        <f>IF(Z114="","",IF(AP88=Y114,Z114&amp;"("&amp;SUM(Z115:Z118)&amp;")",IF(AP88=AC114,AB114&amp;"("&amp;SUM(AB115:AB118)&amp;")","")))</f>
        <v/>
      </c>
      <c r="BG88" s="1049" t="str">
        <f>IF(Z121="","",IF(AP88=Y121,Z121&amp;"("&amp;SUM(Z122:Z125)&amp;")",IF(AP88=AC121,AB121&amp;"("&amp;SUM(AB122:AB125)&amp;")","")))</f>
        <v/>
      </c>
      <c r="BH88" s="1050" t="str">
        <f>IF(Z128="","",IF(AP88=Y128,Z128&amp;"("&amp;SUM(Z129:Z132)&amp;")",IF(AP88=AC128,AB128&amp;"("&amp;SUM(AB129:AB132)&amp;")","")))</f>
        <v/>
      </c>
      <c r="BI88" s="270"/>
      <c r="BJ88" s="270"/>
      <c r="BK88" s="270"/>
      <c r="BL88" s="270"/>
      <c r="BM88" s="270"/>
      <c r="BN88" s="270"/>
      <c r="BO88" s="270"/>
      <c r="BP88" s="270"/>
      <c r="BQ88" s="270"/>
      <c r="BR88" s="270"/>
      <c r="BS88" s="270"/>
      <c r="BT88" s="270"/>
      <c r="BU88" s="270"/>
      <c r="BV88" s="270"/>
      <c r="BW88" s="270"/>
      <c r="BX88" s="270"/>
      <c r="BY88" s="270"/>
      <c r="BZ88" s="270"/>
      <c r="CA88" s="270"/>
      <c r="CB88" s="270"/>
      <c r="CC88" s="270"/>
      <c r="CD88" s="270"/>
      <c r="CE88" s="1395" t="b">
        <f>IF(G88="[---WithDraw---]",FALSE,IF(COUNTIF(PlayerNamesWithinGroups,G88)&gt;1,TRUE,FALSE))</f>
        <v>1</v>
      </c>
      <c r="CF88" s="1450" t="b">
        <f>AND(LEFT($AP88,1) = "(", RIGHT($AP88,1) =")")</f>
        <v>0</v>
      </c>
      <c r="CG88" s="1450" t="b">
        <f>IF(OR($AO88=$AO87,$AO88=$AO89),TRUE,FALSE)</f>
        <v>1</v>
      </c>
      <c r="CH88" s="270"/>
      <c r="CI88" s="270"/>
      <c r="CJ88" s="270"/>
      <c r="CK88" s="270"/>
      <c r="CL88" s="270"/>
      <c r="CM88" s="270"/>
    </row>
    <row r="89" spans="1:91" outlineLevel="1" x14ac:dyDescent="0.2">
      <c r="A89" s="270"/>
      <c r="B89" s="536">
        <v>2</v>
      </c>
      <c r="C89" s="126" t="str">
        <f>IF(AL92="","",RANK(F89,F88:F91)*1000+ROW())</f>
        <v/>
      </c>
      <c r="D89" s="1051" t="str">
        <f>IF(J89="","",H89*CritClassEq1_Points+M89*CritClassEq1_DiffRencontres+P89*CritClassEq1_DiffMatches+S89*CritClassEq1_DiffButs+N89*CritClassEq1_Matches+Q89*CritClassEq1_Attaque)</f>
        <v/>
      </c>
      <c r="E89" s="1051" t="str">
        <f>IF(J89="","",Nb_Diff_Part(D89,D88:D91,G89,G88:G91,AK93:AK128)*CritClassEq_DiffPart+Nb_Goal_Part(D89,D88:D91,G89,G88:G91,Y93:AC128)*CritClassEq_IndsPart+Nb_Score_Part(D89,D88:D91,G89,G88:G91,Y93:AC128)*CritClassEq_WinsPart+Nb_GoalTeam_Part(D89,D88:D91,G89,G88:G91,Y93:AC128)*CritClassEq_GoalPart+Nb_ScoreTeam_Part(D89,D88:D91,G89,G88:G91,Y93:AC128)*CritClassEq_ScorePart)</f>
        <v/>
      </c>
      <c r="F89" s="1052" t="str">
        <f>IF(J89="","",D89+E89+H89*CritClassEq2_Points+M89*CritClassEq2_DiffRencontres+P89*CritClassEq2_DiffMatches+S89*CritClassEq2_DiffButs+N89*CritClassEq2_Matches+Q89*CritClassEq2_Attaque)</f>
        <v/>
      </c>
      <c r="G89" s="477" t="s">
        <v>826</v>
      </c>
      <c r="H89" s="541" t="str">
        <f>IF(AL92="","",(J89*Points_Victoire)+K89*Points_Null)</f>
        <v/>
      </c>
      <c r="I89" s="537" t="str">
        <f>IF(J89="","",SUM(J89:L89))</f>
        <v/>
      </c>
      <c r="J89" s="537" t="str">
        <f>IF(AL92="","",COUNTIF(AE93:AE132,G89))</f>
        <v/>
      </c>
      <c r="K89" s="537" t="str">
        <f>IF(AL92="","",COUNTIF(AF93:AG132,G89))</f>
        <v/>
      </c>
      <c r="L89" s="537" t="str">
        <f>IF(AL92="","",COUNTIF(AH93:AH132,G89))</f>
        <v/>
      </c>
      <c r="M89" s="1053" t="str">
        <f>IF(AL92="","",J89-L89)</f>
        <v/>
      </c>
      <c r="N89" s="537" t="str">
        <f>IF(AL92="","",SUMIF(Y93:Y132,G89,Z93:Z132)+SUMIF(AC93:AC132,G89,AB93:AB132))</f>
        <v/>
      </c>
      <c r="O89" s="537" t="str">
        <f>IF(AL92="","",SUMIF(Y93:Y132,G89,AB93:AB132)+SUMIF(AC93:AC132,G89,Z93:AL132))</f>
        <v/>
      </c>
      <c r="P89" s="1053" t="str">
        <f>IF(AL92="","",N89-O89)</f>
        <v/>
      </c>
      <c r="Q89" s="537" t="str">
        <f>IF(AL92="","",SUMIF(Y93:Y132,G89,AI93:AI132)+SUMIF(AC93:AC132,G89,AJ93:AJ132))</f>
        <v/>
      </c>
      <c r="R89" s="537" t="str">
        <f>IF(AL92="","",SUMIF(Y93:Y132,G89,AJ93:AJ132)+SUMIF(AC93:AC132,G89,AI93:AI132))</f>
        <v/>
      </c>
      <c r="S89" s="512" t="str">
        <f>IF(AL92="","",Q89-R89)</f>
        <v/>
      </c>
      <c r="T89" s="270"/>
      <c r="U89" s="270"/>
      <c r="V89" s="270"/>
      <c r="W89" s="270"/>
      <c r="X89" s="270"/>
      <c r="Y89" s="270"/>
      <c r="Z89" s="270"/>
      <c r="AA89" s="270"/>
      <c r="AB89" s="270"/>
      <c r="AC89" s="270"/>
      <c r="AD89" s="575"/>
      <c r="AE89" s="270"/>
      <c r="AF89" s="270"/>
      <c r="AG89" s="270"/>
      <c r="AH89" s="270"/>
      <c r="AI89" s="270"/>
      <c r="AJ89" s="270"/>
      <c r="AK89" s="270"/>
      <c r="AL89" s="270" t="str">
        <f>IF(AL92="","",SMALL(C88:C91,2))</f>
        <v/>
      </c>
      <c r="AM89" s="270"/>
      <c r="AN89" s="270"/>
      <c r="AO89" s="509" t="str">
        <f>IF(AL92="","",INT(AL89/1000))</f>
        <v/>
      </c>
      <c r="AP89" s="1108" t="str">
        <f>IF(AL92="",IF(HidePlayerFormulas,"","("&amp;G89&amp;")"),VLOOKUP(AL89,C88:S91,5,FALSE))</f>
        <v/>
      </c>
      <c r="AQ89" s="1109" t="str">
        <f>VLOOKUP(AL89,C88:S91,6,FALSE)</f>
        <v/>
      </c>
      <c r="AR89" s="537" t="str">
        <f>VLOOKUP(AL89,C88:S91,7,FALSE)</f>
        <v/>
      </c>
      <c r="AS89" s="537" t="str">
        <f>VLOOKUP(AL89,C88:S91,8,FALSE)</f>
        <v/>
      </c>
      <c r="AT89" s="537" t="str">
        <f>VLOOKUP(AL89,C88:S91,9,FALSE)</f>
        <v/>
      </c>
      <c r="AU89" s="537" t="str">
        <f>VLOOKUP(AL89,C88:S91,10,FALSE)</f>
        <v/>
      </c>
      <c r="AV89" s="1110" t="str">
        <f>VLOOKUP(AL89,C88:S91,11,FALSE)</f>
        <v/>
      </c>
      <c r="AW89" s="510" t="str">
        <f>VLOOKUP(AL89,C88:S91,12,FALSE)</f>
        <v/>
      </c>
      <c r="AX89" s="537" t="str">
        <f>VLOOKUP(AL89,C88:S91,13,FALSE)</f>
        <v/>
      </c>
      <c r="AY89" s="512" t="str">
        <f>VLOOKUP(AL89,C88:S91,14,FALSE)</f>
        <v/>
      </c>
      <c r="AZ89" s="510" t="str">
        <f>VLOOKUP(AL89,C88:S91,15,FALSE)</f>
        <v/>
      </c>
      <c r="BA89" s="537" t="str">
        <f>VLOOKUP(AL89,C88:S91,16,FALSE)</f>
        <v/>
      </c>
      <c r="BB89" s="512" t="str">
        <f>VLOOKUP(AL89,C88:S91,17,FALSE)</f>
        <v/>
      </c>
      <c r="BC89" s="1055" t="str">
        <f>IF(Z93="","",IF(AP89=Y93,Z93&amp;"("&amp;SUM(Z94:Z97)&amp;")",IF(AP89=AC93,AB93&amp;"("&amp;SUM(AB94:AB97)&amp;")","")))</f>
        <v/>
      </c>
      <c r="BD89" s="126" t="str">
        <f>IF(Z100="","",IF(AP89=Y100,Z100&amp;"("&amp;SUM(Z101:Z104)&amp;")",IF(AP89=AC100,AB100&amp;"("&amp;SUM(AB101:AB104)&amp;")","")))</f>
        <v/>
      </c>
      <c r="BE89" s="126" t="str">
        <f>IF(Z107="","",IF(AP89=Y107,Z107&amp;"("&amp;SUM(Z108:Z111)&amp;")",IF(AP89=AC107,AB107&amp;"("&amp;SUM(AB108:AB111)&amp;")","")))</f>
        <v/>
      </c>
      <c r="BF89" s="126" t="str">
        <f>IF(Z114="","",IF(AP89=Y114,Z114&amp;"("&amp;SUM(Z115:Z118)&amp;")",IF(AP89=AC114,AB114&amp;"("&amp;SUM(AB115:AB118)&amp;")","")))</f>
        <v/>
      </c>
      <c r="BG89" s="126" t="str">
        <f>IF(Z121="","",IF(AP89=Y121,Z121&amp;"("&amp;SUM(Z122:Z125)&amp;")",IF(AP89=AC121,AB121&amp;"("&amp;SUM(AB122:AB125)&amp;")","")))</f>
        <v/>
      </c>
      <c r="BH89" s="1056" t="str">
        <f>IF(Z128="","",IF(AP89=Y128,Z128&amp;"("&amp;SUM(Z129:Z132)&amp;")",IF(AP89=AC128,AB128&amp;"("&amp;SUM(AB129:AB132)&amp;")","")))</f>
        <v/>
      </c>
      <c r="BI89" s="270"/>
      <c r="BJ89" s="270"/>
      <c r="BK89" s="270"/>
      <c r="BL89" s="270"/>
      <c r="BM89" s="270"/>
      <c r="BN89" s="270"/>
      <c r="BO89" s="270"/>
      <c r="BP89" s="270"/>
      <c r="BQ89" s="270"/>
      <c r="BR89" s="270"/>
      <c r="BS89" s="270"/>
      <c r="BT89" s="270"/>
      <c r="BU89" s="270"/>
      <c r="BV89" s="270"/>
      <c r="BW89" s="270"/>
      <c r="BX89" s="270"/>
      <c r="BY89" s="270"/>
      <c r="BZ89" s="270"/>
      <c r="CA89" s="270"/>
      <c r="CB89" s="270"/>
      <c r="CC89" s="270"/>
      <c r="CD89" s="270"/>
      <c r="CE89" s="1395" t="b">
        <f>IF(G89="[---WithDraw---]",FALSE,IF(COUNTIF(PlayerNamesWithinGroups,G89)&gt;1,TRUE,FALSE))</f>
        <v>1</v>
      </c>
      <c r="CF89" s="1450" t="b">
        <f>AND(LEFT($AP89,1) = "(", RIGHT($AP89,1) =")")</f>
        <v>0</v>
      </c>
      <c r="CG89" s="1450" t="b">
        <f>IF(OR($AO89=$AO88,$AO89=$AO90),TRUE,FALSE)</f>
        <v>1</v>
      </c>
      <c r="CH89" s="270"/>
      <c r="CI89" s="270"/>
      <c r="CJ89" s="270"/>
      <c r="CK89" s="270"/>
      <c r="CL89" s="270"/>
      <c r="CM89" s="270"/>
    </row>
    <row r="90" spans="1:91" outlineLevel="1" x14ac:dyDescent="0.2">
      <c r="A90" s="270"/>
      <c r="B90" s="536">
        <v>3</v>
      </c>
      <c r="C90" s="126" t="str">
        <f>IF(AL92="","",RANK(F90,F88:F91)*1000+ROW())</f>
        <v/>
      </c>
      <c r="D90" s="1051" t="str">
        <f>IF(J90="","",H90*CritClassEq1_Points+M90*CritClassEq1_DiffRencontres+P90*CritClassEq1_DiffMatches+S90*CritClassEq1_DiffButs+N90*CritClassEq1_Matches+Q90*CritClassEq1_Attaque)</f>
        <v/>
      </c>
      <c r="E90" s="1051" t="str">
        <f>IF(J90="","",Nb_Diff_Part(D90,D88:D91,G90,G88:G91,AK93:AK128)*CritClassEq_DiffPart+Nb_Goal_Part(D90,D88:D91,G90,G88:G91,Y93:AC128)*CritClassEq_IndsPart+Nb_Score_Part(D90,D88:D91,G90,G88:G91,Y93:AC128)*CritClassEq_WinsPart+Nb_GoalTeam_Part(D90,D88:D91,G90,G88:G91,Y93:AC128)*CritClassEq_GoalPart+Nb_ScoreTeam_Part(D90,D88:D91,G90,G88:G91,Y93:AC128)*CritClassEq_ScorePart)</f>
        <v/>
      </c>
      <c r="F90" s="1052" t="str">
        <f>IF(J90="","",D90+E90+H90*CritClassEq2_Points+M90*CritClassEq2_DiffRencontres+P90*CritClassEq2_DiffMatches+S90*CritClassEq2_DiffButs+N90*CritClassEq2_Matches+Q90*CritClassEq2_Attaque)</f>
        <v/>
      </c>
      <c r="G90" s="478" t="s">
        <v>827</v>
      </c>
      <c r="H90" s="541" t="str">
        <f>IF(AL92="","",(J90*Points_Victoire)+K90*Points_Null)</f>
        <v/>
      </c>
      <c r="I90" s="537" t="str">
        <f>IF(J90="","",SUM(J90:L90))</f>
        <v/>
      </c>
      <c r="J90" s="537" t="str">
        <f>IF(AL92="","",COUNTIF(AE93:AE132,G90))</f>
        <v/>
      </c>
      <c r="K90" s="537" t="str">
        <f>IF(AL92="","",COUNTIF(AF93:AG132,G90))</f>
        <v/>
      </c>
      <c r="L90" s="537" t="str">
        <f>IF(AL92="","",COUNTIF(AH93:AH132,G90))</f>
        <v/>
      </c>
      <c r="M90" s="1053" t="str">
        <f>IF(AL92="","",J90-L90)</f>
        <v/>
      </c>
      <c r="N90" s="537" t="str">
        <f>IF(AL92="","",SUMIF(Y93:Y132,G90,Z93:Z132)+SUMIF(AC93:AC132,G90,AB93:AB132))</f>
        <v/>
      </c>
      <c r="O90" s="537" t="str">
        <f>IF(AL92="","",SUMIF(Y93:Y132,G90,AB93:AB132)+SUMIF(AC93:AC132,G90,Z93:AL132))</f>
        <v/>
      </c>
      <c r="P90" s="1053" t="str">
        <f>IF(AL92="","",N90-O90)</f>
        <v/>
      </c>
      <c r="Q90" s="537" t="str">
        <f>IF(AL92="","",SUMIF(Y93:Y132,G90,AI93:AI132)+SUMIF(AC93:AC132,G90,AJ93:AJ132))</f>
        <v/>
      </c>
      <c r="R90" s="537" t="str">
        <f>IF(AL92="","",SUMIF(Y93:Y132,G90,AJ93:AJ132)+SUMIF(AC93:AC132,G90,AI93:AI132))</f>
        <v/>
      </c>
      <c r="S90" s="512" t="str">
        <f>IF(AL92="","",Q90-R90)</f>
        <v/>
      </c>
      <c r="T90" s="270"/>
      <c r="U90" s="270"/>
      <c r="V90" s="270"/>
      <c r="W90" s="270"/>
      <c r="X90" s="270"/>
      <c r="Y90" s="270"/>
      <c r="Z90" s="270"/>
      <c r="AA90" s="270"/>
      <c r="AB90" s="270"/>
      <c r="AC90" s="270"/>
      <c r="AD90" s="575"/>
      <c r="AE90" s="270"/>
      <c r="AF90" s="270"/>
      <c r="AG90" s="270"/>
      <c r="AH90" s="270"/>
      <c r="AI90" s="270"/>
      <c r="AJ90" s="270"/>
      <c r="AK90" s="270"/>
      <c r="AL90" s="270" t="str">
        <f>IF(AL92="","",SMALL(C88:C91,3))</f>
        <v/>
      </c>
      <c r="AM90" s="270"/>
      <c r="AN90" s="270"/>
      <c r="AO90" s="509" t="str">
        <f>IF(AL92="","",INT(AL90/1000))</f>
        <v/>
      </c>
      <c r="AP90" s="1108" t="str">
        <f>IF(AL92="",IF(HidePlayerFormulas,"","("&amp;G90&amp;")"),VLOOKUP(AL90,C88:S91,5,FALSE))</f>
        <v/>
      </c>
      <c r="AQ90" s="1109" t="str">
        <f>VLOOKUP(AL90,C88:S91,6,FALSE)</f>
        <v/>
      </c>
      <c r="AR90" s="537" t="str">
        <f>VLOOKUP(AL90,C88:S91,7,FALSE)</f>
        <v/>
      </c>
      <c r="AS90" s="537" t="str">
        <f>VLOOKUP(AL90,C88:S91,8,FALSE)</f>
        <v/>
      </c>
      <c r="AT90" s="537" t="str">
        <f>VLOOKUP(AL90,C88:S91,9,FALSE)</f>
        <v/>
      </c>
      <c r="AU90" s="537" t="str">
        <f>VLOOKUP(AL90,C88:S91,10,FALSE)</f>
        <v/>
      </c>
      <c r="AV90" s="1110" t="str">
        <f>VLOOKUP(AL90,C88:S91,11,FALSE)</f>
        <v/>
      </c>
      <c r="AW90" s="510" t="str">
        <f>VLOOKUP(AL90,C88:S91,12,FALSE)</f>
        <v/>
      </c>
      <c r="AX90" s="537" t="str">
        <f>VLOOKUP(AL90,C88:S91,13,FALSE)</f>
        <v/>
      </c>
      <c r="AY90" s="512" t="str">
        <f>VLOOKUP(AL90,C88:S91,14,FALSE)</f>
        <v/>
      </c>
      <c r="AZ90" s="510" t="str">
        <f>VLOOKUP(AL90,C88:S91,15,FALSE)</f>
        <v/>
      </c>
      <c r="BA90" s="537" t="str">
        <f>VLOOKUP(AL90,C88:S91,16,FALSE)</f>
        <v/>
      </c>
      <c r="BB90" s="512" t="str">
        <f>VLOOKUP(AL90,C88:S91,17,FALSE)</f>
        <v/>
      </c>
      <c r="BC90" s="1055" t="str">
        <f>IF(Z93="","",IF(AP90=Y93,Z93&amp;"("&amp;SUM(Z94:Z97)&amp;")",IF(AP90=AC93,AB93&amp;"("&amp;SUM(AB94:AB97)&amp;")","")))</f>
        <v/>
      </c>
      <c r="BD90" s="126" t="str">
        <f>IF(Z100="","",IF(AP90=Y100,Z100&amp;"("&amp;SUM(Z101:Z104)&amp;")",IF(AP90=AC100,AB100&amp;"("&amp;SUM(AB101:AB104)&amp;")","")))</f>
        <v/>
      </c>
      <c r="BE90" s="126" t="str">
        <f>IF(Z107="","",IF(AP90=Y107,Z107&amp;"("&amp;SUM(Z108:Z111)&amp;")",IF(AP90=AC107,AB107&amp;"("&amp;SUM(AB108:AB111)&amp;")","")))</f>
        <v/>
      </c>
      <c r="BF90" s="126" t="str">
        <f>IF(Z114="","",IF(AP90=Y114,Z114&amp;"("&amp;SUM(Z115:Z118)&amp;")",IF(AP90=AC114,AB114&amp;"("&amp;SUM(AB115:AB118)&amp;")","")))</f>
        <v/>
      </c>
      <c r="BG90" s="126" t="str">
        <f>IF(Z121="","",IF(AP90=Y121,Z121&amp;"("&amp;SUM(Z122:Z125)&amp;")",IF(AP90=AC121,AB121&amp;"("&amp;SUM(AB122:AB125)&amp;")","")))</f>
        <v/>
      </c>
      <c r="BH90" s="1056" t="str">
        <f>IF(Z128="","",IF(AP90=Y128,Z128&amp;"("&amp;SUM(Z129:Z132)&amp;")",IF(AP90=AC128,AB128&amp;"("&amp;SUM(AB129:AB132)&amp;")","")))</f>
        <v/>
      </c>
      <c r="BI90" s="270"/>
      <c r="BJ90" s="270"/>
      <c r="BK90" s="270"/>
      <c r="BL90" s="270"/>
      <c r="BM90" s="270"/>
      <c r="BN90" s="270"/>
      <c r="BO90" s="270"/>
      <c r="BP90" s="270"/>
      <c r="BQ90" s="270"/>
      <c r="BR90" s="270"/>
      <c r="BS90" s="270"/>
      <c r="BT90" s="270"/>
      <c r="BU90" s="270"/>
      <c r="BV90" s="270"/>
      <c r="BW90" s="270"/>
      <c r="BX90" s="270"/>
      <c r="BY90" s="270"/>
      <c r="BZ90" s="270"/>
      <c r="CA90" s="270"/>
      <c r="CB90" s="270"/>
      <c r="CC90" s="270"/>
      <c r="CD90" s="270"/>
      <c r="CE90" s="1395" t="b">
        <f>IF(G90="[---WithDraw---]",FALSE,IF(COUNTIF(PlayerNamesWithinGroups,G90)&gt;1,TRUE,FALSE))</f>
        <v>1</v>
      </c>
      <c r="CF90" s="1450" t="b">
        <f>AND(LEFT($AP90,1) = "(", RIGHT($AP90,1) =")")</f>
        <v>0</v>
      </c>
      <c r="CG90" s="1450" t="b">
        <f>IF(OR($AO90=$AO89,$AO90=$AO91),TRUE,FALSE)</f>
        <v>1</v>
      </c>
      <c r="CH90" s="270"/>
      <c r="CI90" s="270"/>
      <c r="CJ90" s="270"/>
      <c r="CK90" s="270"/>
      <c r="CL90" s="270"/>
      <c r="CM90" s="270"/>
    </row>
    <row r="91" spans="1:91" ht="13.5" outlineLevel="1" collapsed="1" thickBot="1" x14ac:dyDescent="0.25">
      <c r="A91" s="270"/>
      <c r="B91" s="536">
        <v>4</v>
      </c>
      <c r="C91" s="126" t="str">
        <f>IF(AL92="","",RANK(F91,F88:F91)*1000+ROW())</f>
        <v/>
      </c>
      <c r="D91" s="1051" t="str">
        <f>IF(J91="","",H91*CritClassEq1_Points+M91*CritClassEq1_DiffRencontres+P91*CritClassEq1_DiffMatches+S91*CritClassEq1_DiffButs+N91*CritClassEq1_Matches+Q91*CritClassEq1_Attaque)</f>
        <v/>
      </c>
      <c r="E91" s="1051" t="str">
        <f>IF(J91="","",Nb_Diff_Part(D91,D88:D91,G91,G88:G91,AK93:AK128)*CritClassEq_DiffPart+Nb_Goal_Part(D91,D88:D91,G91,G88:G91,Y93:AC128)*CritClassEq_IndsPart+Nb_Score_Part(D91,D88:D91,G91,G88:G91,Y93:AC128)*CritClassEq_WinsPart+Nb_GoalTeam_Part(D91,D88:D91,G91,G88:G91,Y93:AC128)*CritClassEq_GoalPart+Nb_ScoreTeam_Part(D91,D88:D91,G91,G88:G91,Y93:AC128)*CritClassEq_ScorePart)</f>
        <v/>
      </c>
      <c r="F91" s="1052" t="str">
        <f>IF(J91="","",D91+E91+H91*CritClassEq2_Points+M91*CritClassEq2_DiffRencontres+P91*CritClassEq2_DiffMatches+S91*CritClassEq2_DiffButs+N91*CritClassEq2_Matches+Q91*CritClassEq2_Attaque)</f>
        <v/>
      </c>
      <c r="G91" s="478" t="s">
        <v>828</v>
      </c>
      <c r="H91" s="541" t="str">
        <f>IF(AL92="","",(J91*Points_Victoire)+K91*Points_Null)</f>
        <v/>
      </c>
      <c r="I91" s="537" t="str">
        <f>IF(J91="","",SUM(J91:L91))</f>
        <v/>
      </c>
      <c r="J91" s="537" t="str">
        <f>IF(AL92="","",COUNTIF(AE93:AE132,G91))</f>
        <v/>
      </c>
      <c r="K91" s="537" t="str">
        <f>IF(AL92="","",COUNTIF(AF93:AG132,G91))</f>
        <v/>
      </c>
      <c r="L91" s="537" t="str">
        <f>IF(AL92="","",COUNTIF(AH93:AH132,G91))</f>
        <v/>
      </c>
      <c r="M91" s="1053" t="str">
        <f>IF(AL92="","",J91-L91)</f>
        <v/>
      </c>
      <c r="N91" s="537" t="str">
        <f>IF(AL92="","",SUMIF(Y93:Y132,G91,Z93:Z132)+SUMIF(AC93:AC132,G91,AB93:AB132))</f>
        <v/>
      </c>
      <c r="O91" s="537" t="str">
        <f>IF(AL92="","",SUMIF(Y93:Y132,G91,AB93:AB132)+SUMIF(AC93:AC132,G91,Z93:AL132))</f>
        <v/>
      </c>
      <c r="P91" s="1053" t="str">
        <f>IF(AL92="","",N91-O91)</f>
        <v/>
      </c>
      <c r="Q91" s="537" t="str">
        <f>IF(AL92="","",SUMIF(Y93:Y132,G91,AI93:AI132)+SUMIF(AC93:AC132,G91,AJ93:AJ132))</f>
        <v/>
      </c>
      <c r="R91" s="537" t="str">
        <f>IF(AL92="","",SUMIF(Y93:Y132,G91,AJ93:AJ132)+SUMIF(AC93:AC132,G91,AI93:AI132))</f>
        <v/>
      </c>
      <c r="S91" s="512" t="str">
        <f>IF(AL92="","",Q91-R91)</f>
        <v/>
      </c>
      <c r="T91" s="270"/>
      <c r="U91" s="270"/>
      <c r="V91" s="270"/>
      <c r="W91" s="270"/>
      <c r="X91" s="270"/>
      <c r="Y91" s="270"/>
      <c r="Z91" s="270"/>
      <c r="AA91" s="270"/>
      <c r="AB91" s="270"/>
      <c r="AC91" s="270"/>
      <c r="AD91" s="575"/>
      <c r="AE91" s="270"/>
      <c r="AF91" s="270"/>
      <c r="AG91" s="270"/>
      <c r="AH91" s="270"/>
      <c r="AI91" s="270"/>
      <c r="AJ91" s="270"/>
      <c r="AK91" s="270"/>
      <c r="AL91" s="270" t="str">
        <f>IF(AL92="","",SMALL(C88:C91,4))</f>
        <v/>
      </c>
      <c r="AM91" s="270"/>
      <c r="AN91" s="270"/>
      <c r="AO91" s="513" t="str">
        <f>IF(AL92="","",INT(AL91/1000))</f>
        <v/>
      </c>
      <c r="AP91" s="1111" t="str">
        <f>IF(AL92="",IF(HidePlayerFormulas,"","("&amp;G91&amp;")"),VLOOKUP(AL91,C88:S91,5,FALSE))</f>
        <v/>
      </c>
      <c r="AQ91" s="1112" t="str">
        <f>VLOOKUP(AL91,C88:S91,6,FALSE)</f>
        <v/>
      </c>
      <c r="AR91" s="539" t="str">
        <f>VLOOKUP(AL91,C88:S91,7,FALSE)</f>
        <v/>
      </c>
      <c r="AS91" s="539" t="str">
        <f>VLOOKUP(AL91,C88:S91,8,FALSE)</f>
        <v/>
      </c>
      <c r="AT91" s="539" t="str">
        <f>VLOOKUP(AL91,C88:S91,9,FALSE)</f>
        <v/>
      </c>
      <c r="AU91" s="539" t="str">
        <f>VLOOKUP(AL91,C88:S91,10,FALSE)</f>
        <v/>
      </c>
      <c r="AV91" s="1113" t="str">
        <f>VLOOKUP(AL91,C88:S91,11,FALSE)</f>
        <v/>
      </c>
      <c r="AW91" s="514" t="str">
        <f>VLOOKUP(AL91,C88:S91,12,FALSE)</f>
        <v/>
      </c>
      <c r="AX91" s="539" t="str">
        <f>VLOOKUP(AL91,C88:S91,13,FALSE)</f>
        <v/>
      </c>
      <c r="AY91" s="516" t="str">
        <f>VLOOKUP(AL91,C88:S91,14,FALSE)</f>
        <v/>
      </c>
      <c r="AZ91" s="514" t="str">
        <f>VLOOKUP(AL91,C88:S91,15,FALSE)</f>
        <v/>
      </c>
      <c r="BA91" s="539" t="str">
        <f>VLOOKUP(AL91,C88:S91,16,FALSE)</f>
        <v/>
      </c>
      <c r="BB91" s="516" t="str">
        <f>VLOOKUP(AL91,C88:S91,17,FALSE)</f>
        <v/>
      </c>
      <c r="BC91" s="1058" t="str">
        <f>IF(Z93="","",IF(AP91=Y93,Z93&amp;"("&amp;SUM(Z94:Z97)&amp;")",IF(AP91=AC93,AB93&amp;"("&amp;SUM(AB94:AB97)&amp;")","")))</f>
        <v/>
      </c>
      <c r="BD91" s="1059" t="str">
        <f>IF(Z100="","",IF(AP91=Y100,Z100&amp;"("&amp;SUM(Z101:Z104)&amp;")",IF(AP91=AC100,AB100&amp;"("&amp;SUM(AB101:AB104)&amp;")","")))</f>
        <v/>
      </c>
      <c r="BE91" s="1059" t="str">
        <f>IF(Z107="","",IF(AP91=Y107,Z107&amp;"("&amp;SUM(Z108:Z111)&amp;")",IF(AP91=AC107,AB107&amp;"("&amp;SUM(AB108:AB111)&amp;")","")))</f>
        <v/>
      </c>
      <c r="BF91" s="1059" t="str">
        <f>IF(Z114="","",IF(AP91=Y114,Z114&amp;"("&amp;SUM(Z115:Z118)&amp;")",IF(AP91=AC114,AB114&amp;"("&amp;SUM(AB115:AB118)&amp;")","")))</f>
        <v/>
      </c>
      <c r="BG91" s="1059" t="str">
        <f>IF(Z121="","",IF(AP91=Y121,Z121&amp;"("&amp;SUM(Z122:Z125)&amp;")",IF(AP91=AC121,AB121&amp;"("&amp;SUM(AB122:AB125)&amp;")","")))</f>
        <v/>
      </c>
      <c r="BH91" s="1060" t="str">
        <f>IF(Z128="","",IF(AP91=Y128,Z128&amp;"("&amp;SUM(Z129:Z132)&amp;")",IF(AP91=AC128,AB128&amp;"("&amp;SUM(AB129:AB132)&amp;")","")))</f>
        <v/>
      </c>
      <c r="BI91" s="270"/>
      <c r="BJ91" s="270"/>
      <c r="BK91" s="270"/>
      <c r="BL91" s="270"/>
      <c r="BM91" s="270"/>
      <c r="BN91" s="270"/>
      <c r="BO91" s="270"/>
      <c r="BP91" s="270"/>
      <c r="BQ91" s="270"/>
      <c r="BR91" s="270"/>
      <c r="BS91" s="270"/>
      <c r="BT91" s="270"/>
      <c r="BU91" s="270"/>
      <c r="BV91" s="270"/>
      <c r="BW91" s="270"/>
      <c r="BX91" s="270"/>
      <c r="BY91" s="270"/>
      <c r="BZ91" s="270"/>
      <c r="CA91" s="270"/>
      <c r="CB91" s="270"/>
      <c r="CC91" s="270"/>
      <c r="CD91" s="270"/>
      <c r="CE91" s="1395" t="b">
        <f>IF(G91="[---WithDraw---]",FALSE,IF(COUNTIF(PlayerNamesWithinGroups,G91)&gt;1,TRUE,FALSE))</f>
        <v>1</v>
      </c>
      <c r="CF91" s="1450" t="b">
        <f>AND(LEFT($AP91,1) = "(", RIGHT($AP91,1) =")")</f>
        <v>0</v>
      </c>
      <c r="CG91" s="1450" t="b">
        <f>IF(OR($AO91=$AO90,$AO91=$AO92),TRUE,FALSE)</f>
        <v>1</v>
      </c>
      <c r="CH91" s="270"/>
      <c r="CI91" s="270"/>
      <c r="CJ91" s="270"/>
      <c r="CK91" s="270"/>
      <c r="CL91" s="270"/>
      <c r="CM91" s="270"/>
    </row>
    <row r="92" spans="1:91" ht="13.5" hidden="1" outlineLevel="2" thickBot="1" x14ac:dyDescent="0.25">
      <c r="A92" s="270"/>
      <c r="B92" s="271"/>
      <c r="C92" s="270"/>
      <c r="D92" s="270"/>
      <c r="E92" s="270"/>
      <c r="F92" s="270"/>
      <c r="G92" s="271"/>
      <c r="H92" s="270"/>
      <c r="I92" s="270"/>
      <c r="J92" s="270"/>
      <c r="K92" s="270"/>
      <c r="L92" s="270"/>
      <c r="M92" s="270"/>
      <c r="N92" s="270"/>
      <c r="O92" s="270"/>
      <c r="P92" s="270"/>
      <c r="Q92" s="270"/>
      <c r="R92" s="270"/>
      <c r="S92" s="270"/>
      <c r="T92" s="270"/>
      <c r="U92" s="270"/>
      <c r="V92" s="1028" t="str">
        <f>N_Heure</f>
        <v>Heure</v>
      </c>
      <c r="W92" s="1028" t="str">
        <f>N_Table</f>
        <v>Table</v>
      </c>
      <c r="X92" s="1028" t="str">
        <f>N_Arbitre</f>
        <v>Arbitre</v>
      </c>
      <c r="Y92" s="1114" t="str">
        <f>N_Matches</f>
        <v>Matches</v>
      </c>
      <c r="Z92" s="1115"/>
      <c r="AA92" s="1115"/>
      <c r="AB92" s="1115"/>
      <c r="AC92" s="1116"/>
      <c r="AD92" s="629"/>
      <c r="AE92" s="270"/>
      <c r="AF92" s="270"/>
      <c r="AG92" s="270"/>
      <c r="AH92" s="270"/>
      <c r="AI92" s="270"/>
      <c r="AJ92" s="270"/>
      <c r="AK92" s="270"/>
      <c r="AL92" s="270" t="str">
        <f>IF(COUNTA(Z93:Z132)&gt;6,"OK","")</f>
        <v/>
      </c>
      <c r="AM92" s="270"/>
      <c r="AN92" s="270"/>
      <c r="AO92" s="575"/>
      <c r="AP92" s="270"/>
      <c r="AQ92" s="270"/>
      <c r="AR92" s="270"/>
      <c r="AS92" s="270"/>
      <c r="AT92" s="270"/>
      <c r="AU92" s="270"/>
      <c r="AV92" s="270"/>
      <c r="AW92" s="270"/>
      <c r="AX92" s="270"/>
      <c r="AY92" s="270"/>
      <c r="AZ92" s="270"/>
      <c r="BA92" s="270"/>
      <c r="BB92" s="270"/>
      <c r="BC92" s="270"/>
      <c r="BD92" s="270"/>
      <c r="BE92" s="270"/>
      <c r="BF92" s="270"/>
      <c r="BG92" s="270"/>
      <c r="BH92" s="270"/>
      <c r="BI92" s="270"/>
      <c r="BJ92" s="270"/>
      <c r="BK92" s="270"/>
      <c r="BL92" s="270"/>
      <c r="BM92" s="270"/>
      <c r="BN92" s="270"/>
      <c r="BO92" s="270"/>
      <c r="BP92" s="270"/>
      <c r="BQ92" s="270"/>
      <c r="BR92" s="270"/>
      <c r="BS92" s="270"/>
      <c r="BT92" s="270"/>
      <c r="BU92" s="270"/>
      <c r="BV92" s="270"/>
      <c r="BW92" s="270"/>
      <c r="BX92" s="270"/>
      <c r="BY92" s="270"/>
      <c r="BZ92" s="270"/>
      <c r="CA92" s="270"/>
      <c r="CB92" s="270"/>
      <c r="CC92" s="270"/>
      <c r="CD92" s="270"/>
      <c r="CE92" s="1395"/>
      <c r="CF92" s="1450"/>
      <c r="CG92" s="1450"/>
      <c r="CH92" s="270"/>
      <c r="CI92" s="270"/>
      <c r="CJ92" s="270"/>
      <c r="CK92" s="270"/>
      <c r="CL92" s="270"/>
      <c r="CM92" s="270"/>
    </row>
    <row r="93" spans="1:91" hidden="1" outlineLevel="2" collapsed="1" x14ac:dyDescent="0.2">
      <c r="A93" s="270"/>
      <c r="B93" s="271"/>
      <c r="C93" s="12"/>
      <c r="D93" s="1071"/>
      <c r="E93" s="1071"/>
      <c r="F93" s="1071"/>
      <c r="G93" s="626"/>
      <c r="H93" s="271"/>
      <c r="I93" s="270"/>
      <c r="J93" s="270"/>
      <c r="K93" s="270"/>
      <c r="L93" s="270"/>
      <c r="M93" s="270"/>
      <c r="N93" s="270"/>
      <c r="O93" s="270"/>
      <c r="P93" s="1072"/>
      <c r="Q93" s="270"/>
      <c r="R93" s="270"/>
      <c r="S93" s="1072"/>
      <c r="T93" s="270"/>
      <c r="U93" s="1019" t="s">
        <v>1726</v>
      </c>
      <c r="V93" s="1117"/>
      <c r="W93" s="617"/>
      <c r="X93" s="1523"/>
      <c r="Y93" s="1062" t="str">
        <f>IF(COUNTA(G88:G91) =4,GMFTGROUPORDERTEAM(G88:G91,Y93:Y134,AC93:AC134),"")</f>
        <v>Eq1</v>
      </c>
      <c r="Z93" s="1063" t="str">
        <f>IF(OR(ISNUMBER(Z94),ISNUMBER(Z95),ISNUMBER(Z96),ISNUMBER(Z97)),4-COUNTBLANK(AI94:AI97),"")</f>
        <v/>
      </c>
      <c r="AA93" s="1064" t="s">
        <v>769</v>
      </c>
      <c r="AB93" s="1063" t="str">
        <f>IF(OR(ISNUMBER(Z94),ISNUMBER(Z95),ISNUMBER(Z96),ISNUMBER(Z97)),4-COUNTBLANK(AJ94:AJ97),"")</f>
        <v/>
      </c>
      <c r="AC93" s="1065" t="str">
        <f>IF(COUNTA(G88:G91) =4,GMFTGROUPORDERTEAM(G88:G91,Y93:Y134,AC93:AC134),"")</f>
        <v>Eq4</v>
      </c>
      <c r="AD93" s="839"/>
      <c r="AE93" s="270" t="str">
        <f>IF(Z93="","",IF(Z93&gt;AB93,Y93,IF(Z93=AB93,IF(NoDrawWithWithdraw,IF(AL93=Y93,AC93,IF(AL93=AC93,Y93,"")),""),AC93)))</f>
        <v/>
      </c>
      <c r="AF93" s="270" t="str">
        <f>IF(Z93="","",IF(Z93=AB93,IF(NoDrawWithWithdraw,IF(AL93=Y93,"",IF(AL93=AC93,"",Y93)),Y93),""))</f>
        <v/>
      </c>
      <c r="AG93" s="270" t="str">
        <f>IF(Z93="","",IF(Z93=AB93,IF(NoDrawWithWithdraw,IF(AL93=Y93,"",IF(AL93=AC93,"",AC93)),AC93),""))</f>
        <v/>
      </c>
      <c r="AH93" s="270" t="str">
        <f>IF(Z93="","",IF(Z93&lt;AB93,Y93,IF(Z93=AB93,IF(NoDrawWithWithdraw,IF(AL93=Y93,Y93,IF(AL93=AC93,AC93,"")),""),AC93)))</f>
        <v/>
      </c>
      <c r="AI93" s="270" t="str">
        <f>IF(Z93="","",SUM(Z94:Z97))</f>
        <v/>
      </c>
      <c r="AJ93" s="270" t="str">
        <f>IF(Z93="","",SUM(AB94:AB97))</f>
        <v/>
      </c>
      <c r="AK93" s="270" t="str">
        <f>CONCATENATE(AE93,AH93)</f>
        <v/>
      </c>
      <c r="AL93" s="270" t="str">
        <f>IF(COUNTIF(Y94:Y97,WithdrawLabel)&gt;COUNTIF(AC94:AC97,WithdrawLabel),Y93,IF(COUNTIF(AC94:AC97,WithdrawLabel)&gt;COUNTIF(Y94:Y97,WithdrawLabel),AC93,""))</f>
        <v/>
      </c>
      <c r="AM93" s="270"/>
      <c r="AN93" s="270"/>
      <c r="AO93" s="271"/>
      <c r="AP93" s="270"/>
      <c r="AQ93" s="270"/>
      <c r="AR93" s="270"/>
      <c r="AS93" s="270"/>
      <c r="AT93" s="270"/>
      <c r="AU93" s="270"/>
      <c r="AV93" s="270"/>
      <c r="AW93" s="270"/>
      <c r="AX93" s="270"/>
      <c r="AY93" s="1072"/>
      <c r="AZ93" s="270"/>
      <c r="BA93" s="270"/>
      <c r="BB93" s="1072"/>
      <c r="BC93" s="270"/>
      <c r="BD93" s="270"/>
      <c r="BE93" s="270"/>
      <c r="BF93" s="270"/>
      <c r="BG93" s="270"/>
      <c r="BH93" s="270"/>
      <c r="BI93" s="270"/>
      <c r="BJ93" s="270"/>
      <c r="BK93" s="270"/>
      <c r="BL93" s="270"/>
      <c r="BM93" s="270"/>
      <c r="BN93" s="270"/>
      <c r="BO93" s="270"/>
      <c r="BP93" s="270"/>
      <c r="BQ93" s="270"/>
      <c r="BR93" s="270"/>
      <c r="BS93" s="270"/>
      <c r="BT93" s="270"/>
      <c r="BU93" s="270"/>
      <c r="BV93" s="270"/>
      <c r="BW93" s="270"/>
      <c r="BX93" s="270"/>
      <c r="BY93" s="270"/>
      <c r="BZ93" s="270"/>
      <c r="CA93" s="270"/>
      <c r="CB93" s="270"/>
      <c r="CC93" s="270"/>
      <c r="CD93" s="270"/>
      <c r="CE93" s="1395"/>
      <c r="CF93" s="1450"/>
      <c r="CG93" s="1450"/>
      <c r="CH93" s="270"/>
      <c r="CI93" s="270"/>
      <c r="CJ93" s="270"/>
      <c r="CK93" s="270"/>
      <c r="CL93" s="270"/>
      <c r="CM93" s="270"/>
    </row>
    <row r="94" spans="1:91" ht="13.5" hidden="1" outlineLevel="3" thickBot="1" x14ac:dyDescent="0.25">
      <c r="A94" s="270"/>
      <c r="B94" s="271"/>
      <c r="C94" s="12"/>
      <c r="D94" s="1071"/>
      <c r="E94" s="1071"/>
      <c r="F94" s="1071"/>
      <c r="G94" s="626"/>
      <c r="H94" s="271"/>
      <c r="I94" s="270"/>
      <c r="J94" s="270"/>
      <c r="K94" s="270"/>
      <c r="L94" s="270"/>
      <c r="M94" s="270"/>
      <c r="N94" s="270"/>
      <c r="O94" s="270"/>
      <c r="P94" s="1072"/>
      <c r="Q94" s="270"/>
      <c r="R94" s="270"/>
      <c r="S94" s="1072"/>
      <c r="T94" s="270"/>
      <c r="U94" s="1019"/>
      <c r="V94" s="1118"/>
      <c r="W94" s="618"/>
      <c r="X94" s="1068"/>
      <c r="Y94" s="627"/>
      <c r="Z94" s="492"/>
      <c r="AA94" s="493" t="s">
        <v>769</v>
      </c>
      <c r="AB94" s="1069"/>
      <c r="AC94" s="1070"/>
      <c r="AD94" s="839"/>
      <c r="AE94" s="270" t="str">
        <f>IF(Z94="","",IF(Z94&gt;AB94,Y94,IF(Z94=AB94,"",AC94)))</f>
        <v/>
      </c>
      <c r="AF94" s="270" t="str">
        <f>IF(Z94="","",IF(Z94=AB94,Y94,""))</f>
        <v/>
      </c>
      <c r="AG94" s="270" t="str">
        <f>IF(Z94="","",IF(Z94=AB94,AC94,""))</f>
        <v/>
      </c>
      <c r="AH94" s="270" t="str">
        <f>IF(Z94="","",IF(Z94&lt;AB94,Y94,IF(Z94=AB94,"",AC94)))</f>
        <v/>
      </c>
      <c r="AI94" s="270" t="str">
        <f>IF(Z94="","",IF(Z94&gt;AB94,Y93,""))</f>
        <v/>
      </c>
      <c r="AJ94" s="270" t="str">
        <f>IF(Z94="","",IF(Z94&lt;AB94,AC93,""))</f>
        <v/>
      </c>
      <c r="AK94" s="270" t="str">
        <f>CONCATENATE(AE94,AH94)</f>
        <v/>
      </c>
      <c r="AL94" s="270"/>
      <c r="AM94" s="270"/>
      <c r="AN94" s="270"/>
      <c r="AO94" s="271"/>
      <c r="AP94" s="270"/>
      <c r="AQ94" s="270"/>
      <c r="AR94" s="270"/>
      <c r="AS94" s="270"/>
      <c r="AT94" s="270"/>
      <c r="AU94" s="270"/>
      <c r="AV94" s="270"/>
      <c r="AW94" s="270"/>
      <c r="AX94" s="270"/>
      <c r="AY94" s="1072"/>
      <c r="AZ94" s="270"/>
      <c r="BA94" s="270"/>
      <c r="BB94" s="1072"/>
      <c r="BC94" s="270"/>
      <c r="BD94" s="270"/>
      <c r="BE94" s="270"/>
      <c r="BF94" s="270"/>
      <c r="BG94" s="270"/>
      <c r="BH94" s="270"/>
      <c r="BI94" s="270"/>
      <c r="BJ94" s="270"/>
      <c r="BK94" s="270"/>
      <c r="BL94" s="270"/>
      <c r="BM94" s="270"/>
      <c r="BN94" s="270"/>
      <c r="BO94" s="270"/>
      <c r="BP94" s="270"/>
      <c r="BQ94" s="270"/>
      <c r="BR94" s="270"/>
      <c r="BS94" s="270"/>
      <c r="BT94" s="270"/>
      <c r="BU94" s="270"/>
      <c r="BV94" s="270"/>
      <c r="BW94" s="270"/>
      <c r="BX94" s="270"/>
      <c r="BY94" s="270"/>
      <c r="BZ94" s="270"/>
      <c r="CA94" s="270"/>
      <c r="CB94" s="270"/>
      <c r="CC94" s="270"/>
      <c r="CD94" s="270"/>
      <c r="CE94" s="1395"/>
      <c r="CF94" s="1450"/>
      <c r="CG94" s="1450"/>
      <c r="CH94" s="270"/>
      <c r="CI94" s="270"/>
      <c r="CJ94" s="270"/>
      <c r="CK94" s="270"/>
      <c r="CL94" s="270"/>
      <c r="CM94" s="270"/>
    </row>
    <row r="95" spans="1:91" ht="13.5" hidden="1" outlineLevel="3" thickBot="1" x14ac:dyDescent="0.25">
      <c r="A95" s="270"/>
      <c r="B95" s="271"/>
      <c r="C95" s="12"/>
      <c r="D95" s="1071"/>
      <c r="E95" s="1071"/>
      <c r="F95" s="1071"/>
      <c r="G95" s="626"/>
      <c r="H95" s="271"/>
      <c r="I95" s="270"/>
      <c r="J95" s="270"/>
      <c r="K95" s="270"/>
      <c r="L95" s="270"/>
      <c r="M95" s="270"/>
      <c r="N95" s="270"/>
      <c r="O95" s="270"/>
      <c r="P95" s="1072"/>
      <c r="Q95" s="270"/>
      <c r="R95" s="270"/>
      <c r="S95" s="1072"/>
      <c r="T95" s="270"/>
      <c r="U95" s="1019"/>
      <c r="V95" s="1118"/>
      <c r="W95" s="618"/>
      <c r="X95" s="1068"/>
      <c r="Y95" s="627"/>
      <c r="Z95" s="492"/>
      <c r="AA95" s="493" t="s">
        <v>769</v>
      </c>
      <c r="AB95" s="1069"/>
      <c r="AC95" s="1070"/>
      <c r="AD95" s="839"/>
      <c r="AE95" s="270" t="str">
        <f>IF(Z95="","",IF(Z95&gt;AB95,Y95,IF(Z95=AB95,"",AC95)))</f>
        <v/>
      </c>
      <c r="AF95" s="270" t="str">
        <f>IF(Z95="","",IF(Z95=AB95,Y95,""))</f>
        <v/>
      </c>
      <c r="AG95" s="270" t="str">
        <f>IF(Z95="","",IF(Z95=AB95,AC95,""))</f>
        <v/>
      </c>
      <c r="AH95" s="270" t="str">
        <f>IF(Z95="","",IF(Z95&lt;AB95,Y95,IF(Z95=AB95,"",AC95)))</f>
        <v/>
      </c>
      <c r="AI95" s="270" t="str">
        <f>IF(Z95="","",IF(Z95&gt;AB95,Y93,""))</f>
        <v/>
      </c>
      <c r="AJ95" s="270" t="str">
        <f>IF(Z95="","",IF(Z95&lt;AB95,AC93,""))</f>
        <v/>
      </c>
      <c r="AK95" s="270" t="str">
        <f>CONCATENATE(AE95,AH95)</f>
        <v/>
      </c>
      <c r="AL95" s="270"/>
      <c r="AM95" s="270"/>
      <c r="AN95" s="270"/>
      <c r="AO95" s="271"/>
      <c r="AP95" s="270"/>
      <c r="AQ95" s="270"/>
      <c r="AR95" s="270"/>
      <c r="AS95" s="270"/>
      <c r="AT95" s="270"/>
      <c r="AU95" s="270"/>
      <c r="AV95" s="270"/>
      <c r="AW95" s="270"/>
      <c r="AX95" s="270"/>
      <c r="AY95" s="1072"/>
      <c r="AZ95" s="270"/>
      <c r="BA95" s="270"/>
      <c r="BB95" s="1072"/>
      <c r="BC95" s="270"/>
      <c r="BD95" s="270"/>
      <c r="BE95" s="270"/>
      <c r="BF95" s="270"/>
      <c r="BG95" s="270"/>
      <c r="BH95" s="270"/>
      <c r="BI95" s="270"/>
      <c r="BJ95" s="270"/>
      <c r="BK95" s="270"/>
      <c r="BL95" s="270"/>
      <c r="BM95" s="270"/>
      <c r="BN95" s="270"/>
      <c r="BO95" s="270"/>
      <c r="BP95" s="270"/>
      <c r="BQ95" s="270"/>
      <c r="BR95" s="270"/>
      <c r="BS95" s="270"/>
      <c r="BT95" s="270"/>
      <c r="BU95" s="270"/>
      <c r="BV95" s="270"/>
      <c r="BW95" s="270"/>
      <c r="BX95" s="270"/>
      <c r="BY95" s="270"/>
      <c r="BZ95" s="270"/>
      <c r="CA95" s="270"/>
      <c r="CB95" s="270"/>
      <c r="CC95" s="270"/>
      <c r="CD95" s="270"/>
      <c r="CE95" s="1395"/>
      <c r="CF95" s="1450"/>
      <c r="CG95" s="1450"/>
      <c r="CH95" s="270"/>
      <c r="CI95" s="270"/>
      <c r="CJ95" s="270"/>
      <c r="CK95" s="270"/>
      <c r="CL95" s="270"/>
      <c r="CM95" s="270"/>
    </row>
    <row r="96" spans="1:91" ht="13.5" hidden="1" outlineLevel="3" thickBot="1" x14ac:dyDescent="0.25">
      <c r="A96" s="270"/>
      <c r="B96" s="271"/>
      <c r="C96" s="12"/>
      <c r="D96" s="1071"/>
      <c r="E96" s="1071"/>
      <c r="F96" s="1071"/>
      <c r="G96" s="626"/>
      <c r="H96" s="271"/>
      <c r="I96" s="270"/>
      <c r="J96" s="270"/>
      <c r="K96" s="270"/>
      <c r="L96" s="270"/>
      <c r="M96" s="270"/>
      <c r="N96" s="270"/>
      <c r="O96" s="270"/>
      <c r="P96" s="1072"/>
      <c r="Q96" s="270"/>
      <c r="R96" s="270"/>
      <c r="S96" s="1072"/>
      <c r="T96" s="270"/>
      <c r="U96" s="1019"/>
      <c r="V96" s="1118"/>
      <c r="W96" s="618"/>
      <c r="X96" s="1068"/>
      <c r="Y96" s="627"/>
      <c r="Z96" s="492"/>
      <c r="AA96" s="493" t="s">
        <v>769</v>
      </c>
      <c r="AB96" s="1069"/>
      <c r="AC96" s="1070"/>
      <c r="AD96" s="839"/>
      <c r="AE96" s="270" t="str">
        <f>IF(Z96="","",IF(Z96&gt;AB96,Y96,IF(Z96=AB96,"",AC96)))</f>
        <v/>
      </c>
      <c r="AF96" s="270" t="str">
        <f>IF(Z96="","",IF(Z96=AB96,Y96,""))</f>
        <v/>
      </c>
      <c r="AG96" s="270" t="str">
        <f>IF(Z96="","",IF(Z96=AB96,AC96,""))</f>
        <v/>
      </c>
      <c r="AH96" s="270" t="str">
        <f>IF(Z96="","",IF(Z96&lt;AB96,Y96,IF(Z96=AB96,"",AC96)))</f>
        <v/>
      </c>
      <c r="AI96" s="270" t="str">
        <f>IF(Z96="","",IF(Z96&gt;AB96,Y93,""))</f>
        <v/>
      </c>
      <c r="AJ96" s="270" t="str">
        <f>IF(Z96="","",IF(Z96&lt;AB96,AC93,""))</f>
        <v/>
      </c>
      <c r="AK96" s="270" t="str">
        <f>CONCATENATE(AE96,AH96)</f>
        <v/>
      </c>
      <c r="AL96" s="270"/>
      <c r="AM96" s="270"/>
      <c r="AN96" s="270"/>
      <c r="AO96" s="271"/>
      <c r="AP96" s="270"/>
      <c r="AQ96" s="270"/>
      <c r="AR96" s="270"/>
      <c r="AS96" s="270"/>
      <c r="AT96" s="270"/>
      <c r="AU96" s="270"/>
      <c r="AV96" s="270"/>
      <c r="AW96" s="270"/>
      <c r="AX96" s="270"/>
      <c r="AY96" s="1072"/>
      <c r="AZ96" s="270"/>
      <c r="BA96" s="270"/>
      <c r="BB96" s="1072"/>
      <c r="BC96" s="270"/>
      <c r="BD96" s="270"/>
      <c r="BE96" s="270"/>
      <c r="BF96" s="270"/>
      <c r="BG96" s="270"/>
      <c r="BH96" s="270"/>
      <c r="BI96" s="270"/>
      <c r="BJ96" s="270"/>
      <c r="BK96" s="270"/>
      <c r="BL96" s="270"/>
      <c r="BM96" s="270"/>
      <c r="BN96" s="270"/>
      <c r="BO96" s="270"/>
      <c r="BP96" s="270"/>
      <c r="BQ96" s="270"/>
      <c r="BR96" s="270"/>
      <c r="BS96" s="270"/>
      <c r="BT96" s="270"/>
      <c r="BU96" s="270"/>
      <c r="BV96" s="270"/>
      <c r="BW96" s="270"/>
      <c r="BX96" s="270"/>
      <c r="BY96" s="270"/>
      <c r="BZ96" s="270"/>
      <c r="CA96" s="270"/>
      <c r="CB96" s="270"/>
      <c r="CC96" s="270"/>
      <c r="CD96" s="270"/>
      <c r="CE96" s="1395"/>
      <c r="CF96" s="1450"/>
      <c r="CG96" s="1450"/>
      <c r="CH96" s="270"/>
      <c r="CI96" s="270"/>
      <c r="CJ96" s="270"/>
      <c r="CK96" s="270"/>
      <c r="CL96" s="270"/>
      <c r="CM96" s="270"/>
    </row>
    <row r="97" spans="1:91" ht="13.5" hidden="1" outlineLevel="3" thickBot="1" x14ac:dyDescent="0.25">
      <c r="A97" s="270"/>
      <c r="B97" s="271"/>
      <c r="C97" s="12"/>
      <c r="D97" s="1071"/>
      <c r="E97" s="1071"/>
      <c r="F97" s="1071"/>
      <c r="G97" s="626"/>
      <c r="H97" s="271"/>
      <c r="I97" s="270"/>
      <c r="J97" s="270"/>
      <c r="K97" s="270"/>
      <c r="L97" s="270"/>
      <c r="M97" s="270"/>
      <c r="N97" s="270"/>
      <c r="O97" s="270"/>
      <c r="P97" s="1072"/>
      <c r="Q97" s="270"/>
      <c r="R97" s="270"/>
      <c r="S97" s="1072"/>
      <c r="T97" s="270"/>
      <c r="U97" s="1019"/>
      <c r="V97" s="1118"/>
      <c r="W97" s="618"/>
      <c r="X97" s="1068"/>
      <c r="Y97" s="627"/>
      <c r="Z97" s="492"/>
      <c r="AA97" s="493" t="s">
        <v>769</v>
      </c>
      <c r="AB97" s="1069"/>
      <c r="AC97" s="1070"/>
      <c r="AD97" s="839"/>
      <c r="AE97" s="270" t="str">
        <f>IF(Z97="","",IF(Z97&gt;AB97,Y97,IF(Z97=AB97,"",AC97)))</f>
        <v/>
      </c>
      <c r="AF97" s="270" t="str">
        <f>IF(Z97="","",IF(Z97=AB97,Y97,""))</f>
        <v/>
      </c>
      <c r="AG97" s="270" t="str">
        <f>IF(Z97="","",IF(Z97=AB97,AC97,""))</f>
        <v/>
      </c>
      <c r="AH97" s="270" t="str">
        <f>IF(Z97="","",IF(Z97&lt;AB97,Y97,IF(Z97=AB97,"",AC97)))</f>
        <v/>
      </c>
      <c r="AI97" s="270" t="str">
        <f>IF(Z97="","",IF(Z97&gt;AB97,Y93,""))</f>
        <v/>
      </c>
      <c r="AJ97" s="270" t="str">
        <f>IF(Z97="","",IF(Z97&lt;AB97,AC93,""))</f>
        <v/>
      </c>
      <c r="AK97" s="270" t="str">
        <f>CONCATENATE(AE97,AH97)</f>
        <v/>
      </c>
      <c r="AL97" s="270"/>
      <c r="AM97" s="270"/>
      <c r="AN97" s="270"/>
      <c r="AO97" s="271"/>
      <c r="AP97" s="270"/>
      <c r="AQ97" s="270"/>
      <c r="AR97" s="270"/>
      <c r="AS97" s="270"/>
      <c r="AT97" s="270"/>
      <c r="AU97" s="270"/>
      <c r="AV97" s="270"/>
      <c r="AW97" s="270"/>
      <c r="AX97" s="270"/>
      <c r="AY97" s="1072"/>
      <c r="AZ97" s="270"/>
      <c r="BA97" s="270"/>
      <c r="BB97" s="1072"/>
      <c r="BC97" s="270"/>
      <c r="BD97" s="270"/>
      <c r="BE97" s="270"/>
      <c r="BF97" s="270"/>
      <c r="BG97" s="270"/>
      <c r="BH97" s="270"/>
      <c r="BI97" s="270"/>
      <c r="BJ97" s="270"/>
      <c r="BK97" s="270"/>
      <c r="BL97" s="270"/>
      <c r="BM97" s="270"/>
      <c r="BN97" s="270"/>
      <c r="BO97" s="270"/>
      <c r="BP97" s="270"/>
      <c r="BQ97" s="270"/>
      <c r="BR97" s="270"/>
      <c r="BS97" s="270"/>
      <c r="BT97" s="270"/>
      <c r="BU97" s="270"/>
      <c r="BV97" s="270"/>
      <c r="BW97" s="270"/>
      <c r="BX97" s="270"/>
      <c r="BY97" s="270"/>
      <c r="BZ97" s="270"/>
      <c r="CA97" s="270"/>
      <c r="CB97" s="270"/>
      <c r="CC97" s="270"/>
      <c r="CD97" s="270"/>
      <c r="CE97" s="1395"/>
      <c r="CF97" s="1450"/>
      <c r="CG97" s="1450"/>
      <c r="CH97" s="270"/>
      <c r="CI97" s="270"/>
      <c r="CJ97" s="270"/>
      <c r="CK97" s="270"/>
      <c r="CL97" s="270"/>
      <c r="CM97" s="270"/>
    </row>
    <row r="98" spans="1:91" ht="13.5" hidden="1" outlineLevel="3" thickBot="1" x14ac:dyDescent="0.25">
      <c r="A98" s="270"/>
      <c r="B98" s="271"/>
      <c r="C98" s="12"/>
      <c r="D98" s="1071"/>
      <c r="E98" s="1071"/>
      <c r="F98" s="1071"/>
      <c r="G98" s="626"/>
      <c r="H98" s="271"/>
      <c r="I98" s="270"/>
      <c r="J98" s="270"/>
      <c r="K98" s="270"/>
      <c r="L98" s="270"/>
      <c r="M98" s="270"/>
      <c r="N98" s="270"/>
      <c r="O98" s="270"/>
      <c r="P98" s="1072"/>
      <c r="Q98" s="270"/>
      <c r="R98" s="270"/>
      <c r="S98" s="1072"/>
      <c r="T98" s="270"/>
      <c r="U98" s="1019"/>
      <c r="V98" s="1073"/>
      <c r="W98" s="1074"/>
      <c r="X98" s="1075" t="str">
        <f>N_Substitute</f>
        <v>Remplaçant</v>
      </c>
      <c r="Y98" s="627"/>
      <c r="Z98" s="492"/>
      <c r="AA98" s="1076"/>
      <c r="AB98" s="1069"/>
      <c r="AC98" s="1070"/>
      <c r="AD98" s="839"/>
      <c r="AE98" s="270"/>
      <c r="AF98" s="270"/>
      <c r="AG98" s="270"/>
      <c r="AH98" s="270"/>
      <c r="AI98" s="270"/>
      <c r="AJ98" s="270"/>
      <c r="AK98" s="270"/>
      <c r="AL98" s="270"/>
      <c r="AM98" s="270"/>
      <c r="AN98" s="270"/>
      <c r="AO98" s="271"/>
      <c r="AP98" s="270"/>
      <c r="AQ98" s="270"/>
      <c r="AR98" s="270"/>
      <c r="AS98" s="270"/>
      <c r="AT98" s="270"/>
      <c r="AU98" s="270"/>
      <c r="AV98" s="270"/>
      <c r="AW98" s="270"/>
      <c r="AX98" s="270"/>
      <c r="AY98" s="1072"/>
      <c r="AZ98" s="270"/>
      <c r="BA98" s="270"/>
      <c r="BB98" s="1072"/>
      <c r="BC98" s="270"/>
      <c r="BD98" s="270"/>
      <c r="BE98" s="270"/>
      <c r="BF98" s="270"/>
      <c r="BG98" s="270"/>
      <c r="BH98" s="270"/>
      <c r="BI98" s="270"/>
      <c r="BJ98" s="270"/>
      <c r="BK98" s="270"/>
      <c r="BL98" s="270"/>
      <c r="BM98" s="270"/>
      <c r="BN98" s="270"/>
      <c r="BO98" s="270"/>
      <c r="BP98" s="270"/>
      <c r="BQ98" s="270"/>
      <c r="BR98" s="270"/>
      <c r="BS98" s="270"/>
      <c r="BT98" s="270"/>
      <c r="BU98" s="270"/>
      <c r="BV98" s="270"/>
      <c r="BW98" s="270"/>
      <c r="BX98" s="270"/>
      <c r="BY98" s="270"/>
      <c r="BZ98" s="270"/>
      <c r="CA98" s="270"/>
      <c r="CB98" s="270"/>
      <c r="CC98" s="270"/>
      <c r="CD98" s="270"/>
      <c r="CE98" s="1395"/>
      <c r="CF98" s="1450"/>
      <c r="CG98" s="1450"/>
      <c r="CH98" s="270"/>
      <c r="CI98" s="270"/>
      <c r="CJ98" s="270"/>
      <c r="CK98" s="270"/>
      <c r="CL98" s="270"/>
      <c r="CM98" s="270"/>
    </row>
    <row r="99" spans="1:91" ht="13.5" hidden="1" outlineLevel="3" thickBot="1" x14ac:dyDescent="0.25">
      <c r="A99" s="270"/>
      <c r="B99" s="271"/>
      <c r="C99" s="12"/>
      <c r="D99" s="1071"/>
      <c r="E99" s="1071"/>
      <c r="F99" s="1071"/>
      <c r="G99" s="626"/>
      <c r="H99" s="271"/>
      <c r="I99" s="270"/>
      <c r="J99" s="270"/>
      <c r="K99" s="270"/>
      <c r="L99" s="270"/>
      <c r="M99" s="270"/>
      <c r="N99" s="270"/>
      <c r="O99" s="270"/>
      <c r="P99" s="1072"/>
      <c r="Q99" s="270"/>
      <c r="R99" s="270"/>
      <c r="S99" s="1072"/>
      <c r="T99" s="270"/>
      <c r="U99" s="1019"/>
      <c r="V99" s="1119"/>
      <c r="W99" s="1120"/>
      <c r="X99" s="1075" t="str">
        <f>N_Substitute</f>
        <v>Remplaçant</v>
      </c>
      <c r="Y99" s="627"/>
      <c r="Z99" s="492"/>
      <c r="AA99" s="1121"/>
      <c r="AB99" s="1069"/>
      <c r="AC99" s="1070"/>
      <c r="AD99" s="839"/>
      <c r="AE99" s="270"/>
      <c r="AF99" s="270"/>
      <c r="AG99" s="270"/>
      <c r="AH99" s="270"/>
      <c r="AI99" s="270"/>
      <c r="AJ99" s="270"/>
      <c r="AK99" s="270"/>
      <c r="AL99" s="270"/>
      <c r="AM99" s="270"/>
      <c r="AN99" s="270"/>
      <c r="AO99" s="271"/>
      <c r="AP99" s="270"/>
      <c r="AQ99" s="270"/>
      <c r="AR99" s="270"/>
      <c r="AS99" s="270"/>
      <c r="AT99" s="270"/>
      <c r="AU99" s="270"/>
      <c r="AV99" s="270"/>
      <c r="AW99" s="270"/>
      <c r="AX99" s="270"/>
      <c r="AY99" s="1072"/>
      <c r="AZ99" s="270"/>
      <c r="BA99" s="270"/>
      <c r="BB99" s="1072"/>
      <c r="BC99" s="270"/>
      <c r="BD99" s="270"/>
      <c r="BE99" s="270"/>
      <c r="BF99" s="270"/>
      <c r="BG99" s="270"/>
      <c r="BH99" s="270"/>
      <c r="BI99" s="270"/>
      <c r="BJ99" s="270"/>
      <c r="BK99" s="270"/>
      <c r="BL99" s="270"/>
      <c r="BM99" s="270"/>
      <c r="BN99" s="270"/>
      <c r="BO99" s="270"/>
      <c r="BP99" s="270"/>
      <c r="BQ99" s="270"/>
      <c r="BR99" s="270"/>
      <c r="BS99" s="270"/>
      <c r="BT99" s="270"/>
      <c r="BU99" s="270"/>
      <c r="BV99" s="270"/>
      <c r="BW99" s="270"/>
      <c r="BX99" s="270"/>
      <c r="BY99" s="270"/>
      <c r="BZ99" s="270"/>
      <c r="CA99" s="270"/>
      <c r="CB99" s="270"/>
      <c r="CC99" s="270"/>
      <c r="CD99" s="270"/>
      <c r="CE99" s="1395"/>
      <c r="CF99" s="1450"/>
      <c r="CG99" s="1450"/>
      <c r="CH99" s="270"/>
      <c r="CI99" s="270"/>
      <c r="CJ99" s="270"/>
      <c r="CK99" s="270"/>
      <c r="CL99" s="270"/>
      <c r="CM99" s="270"/>
    </row>
    <row r="100" spans="1:91" ht="13.5" hidden="1" outlineLevel="2" collapsed="1" thickBot="1" x14ac:dyDescent="0.25">
      <c r="A100" s="270"/>
      <c r="B100" s="271"/>
      <c r="C100" s="12"/>
      <c r="D100" s="1071"/>
      <c r="E100" s="1071"/>
      <c r="F100" s="1071"/>
      <c r="G100" s="626"/>
      <c r="H100" s="271"/>
      <c r="I100" s="270"/>
      <c r="J100" s="270"/>
      <c r="K100" s="270"/>
      <c r="L100" s="270"/>
      <c r="M100" s="270"/>
      <c r="N100" s="270"/>
      <c r="O100" s="270"/>
      <c r="P100" s="1072"/>
      <c r="Q100" s="270"/>
      <c r="R100" s="270"/>
      <c r="S100" s="1072"/>
      <c r="T100" s="270"/>
      <c r="U100" s="1019" t="s">
        <v>1726</v>
      </c>
      <c r="V100" s="1122"/>
      <c r="W100" s="618"/>
      <c r="X100" s="1068"/>
      <c r="Y100" s="1102" t="str">
        <f>IF(COUNTA(G88:G91) =4,GMFTGROUPORDERTEAM(G88:G91,Y93:Y134,AC93:AC134),"")</f>
        <v>Eq2</v>
      </c>
      <c r="Z100" s="1123" t="str">
        <f>IF(OR(ISNUMBER(Z101),ISNUMBER(Z102),ISNUMBER(Z103),ISNUMBER(Z104)),4-COUNTBLANK(AI101:AI104),"")</f>
        <v/>
      </c>
      <c r="AA100" s="1124" t="s">
        <v>769</v>
      </c>
      <c r="AB100" s="1125" t="str">
        <f>IF(OR(ISNUMBER(Z101),ISNUMBER(Z102),ISNUMBER(Z103),ISNUMBER(Z104)),4-COUNTBLANK(AJ101:AJ104),"")</f>
        <v/>
      </c>
      <c r="AC100" s="1105" t="str">
        <f>IF(COUNTA(G88:G91) =4,GMFTGROUPORDERTEAM(G88:G91,Y93:Y134,AC93:AC134),"")</f>
        <v>Eq3</v>
      </c>
      <c r="AD100" s="839"/>
      <c r="AE100" s="270" t="str">
        <f>IF(Z100="","",IF(Z100&gt;AB100,Y100,IF(Z100=AB100,IF(NoDrawWithWithdraw,IF(AL100=Y100,AC100,IF(AL100=AC100,Y100,"")),""),AC100)))</f>
        <v/>
      </c>
      <c r="AF100" s="270" t="str">
        <f>IF(Z100="","",IF(Z100=AB100,IF(NoDrawWithWithdraw,IF(AL100=Y100,"",IF(AL100=AC100,"",Y100)),Y100),""))</f>
        <v/>
      </c>
      <c r="AG100" s="270" t="str">
        <f>IF(Z100="","",IF(Z100=AB100,IF(NoDrawWithWithdraw,IF(AL100=Y100,"",IF(AL100=AC100,"",AC100)),AC100),""))</f>
        <v/>
      </c>
      <c r="AH100" s="270" t="str">
        <f>IF(Z100="","",IF(Z100&lt;AB100,Y100,IF(Z100=AB100,IF(NoDrawWithWithdraw,IF(AL100=Y100,Y100,IF(AL100=AC100,AC100,"")),""),AC100)))</f>
        <v/>
      </c>
      <c r="AI100" s="270" t="str">
        <f>IF(Z100="","",SUM(Z101:Z104))</f>
        <v/>
      </c>
      <c r="AJ100" s="270" t="str">
        <f>IF(Z100="","",SUM(AB101:AB104))</f>
        <v/>
      </c>
      <c r="AK100" s="270" t="str">
        <f>CONCATENATE(AE100,AH100)</f>
        <v/>
      </c>
      <c r="AL100" s="270" t="str">
        <f>IF(COUNTIF(Y101:Y104,WithdrawLabel)&gt;COUNTIF(AC101:AC104,WithdrawLabel),Y100,IF(COUNTIF(AC101:AC104,WithdrawLabel)&gt;COUNTIF(Y101:Y104,WithdrawLabel),AC100,""))</f>
        <v/>
      </c>
      <c r="AM100" s="270"/>
      <c r="AN100" s="270"/>
      <c r="AO100" s="271"/>
      <c r="AP100" s="270"/>
      <c r="AQ100" s="270"/>
      <c r="AR100" s="270"/>
      <c r="AS100" s="270"/>
      <c r="AT100" s="270"/>
      <c r="AU100" s="270"/>
      <c r="AV100" s="270"/>
      <c r="AW100" s="270"/>
      <c r="AX100" s="270"/>
      <c r="AY100" s="1072"/>
      <c r="AZ100" s="270"/>
      <c r="BA100" s="270"/>
      <c r="BB100" s="1072"/>
      <c r="BC100" s="270"/>
      <c r="BD100" s="270"/>
      <c r="BE100" s="270"/>
      <c r="BF100" s="270"/>
      <c r="BG100" s="270"/>
      <c r="BH100" s="270"/>
      <c r="BI100" s="270"/>
      <c r="BJ100" s="270"/>
      <c r="BK100" s="270"/>
      <c r="BL100" s="270"/>
      <c r="BM100" s="270"/>
      <c r="BN100" s="270"/>
      <c r="BO100" s="270"/>
      <c r="BP100" s="270"/>
      <c r="BQ100" s="270"/>
      <c r="BR100" s="270"/>
      <c r="BS100" s="270"/>
      <c r="BT100" s="270"/>
      <c r="BU100" s="270"/>
      <c r="BV100" s="270"/>
      <c r="BW100" s="270"/>
      <c r="BX100" s="270"/>
      <c r="BY100" s="270"/>
      <c r="BZ100" s="270"/>
      <c r="CA100" s="270"/>
      <c r="CB100" s="270"/>
      <c r="CC100" s="270"/>
      <c r="CD100" s="270"/>
      <c r="CE100" s="1395"/>
      <c r="CF100" s="1450"/>
      <c r="CG100" s="1450"/>
      <c r="CH100" s="270"/>
      <c r="CI100" s="270"/>
      <c r="CJ100" s="270"/>
      <c r="CK100" s="270"/>
      <c r="CL100" s="270"/>
      <c r="CM100" s="270"/>
    </row>
    <row r="101" spans="1:91" ht="13.5" hidden="1" outlineLevel="3" thickBot="1" x14ac:dyDescent="0.25">
      <c r="A101" s="270"/>
      <c r="B101" s="271"/>
      <c r="C101" s="12"/>
      <c r="D101" s="1071"/>
      <c r="E101" s="1071"/>
      <c r="F101" s="1071"/>
      <c r="G101" s="626"/>
      <c r="H101" s="271"/>
      <c r="I101" s="270"/>
      <c r="J101" s="270"/>
      <c r="K101" s="270"/>
      <c r="L101" s="270"/>
      <c r="M101" s="270"/>
      <c r="N101" s="270"/>
      <c r="O101" s="270"/>
      <c r="P101" s="1072"/>
      <c r="Q101" s="270"/>
      <c r="R101" s="270"/>
      <c r="S101" s="1072"/>
      <c r="T101" s="270"/>
      <c r="U101" s="1019"/>
      <c r="V101" s="1118"/>
      <c r="W101" s="618"/>
      <c r="X101" s="1068"/>
      <c r="Y101" s="627"/>
      <c r="Z101" s="492"/>
      <c r="AA101" s="493" t="s">
        <v>769</v>
      </c>
      <c r="AB101" s="1069"/>
      <c r="AC101" s="1070"/>
      <c r="AD101" s="839"/>
      <c r="AE101" s="270" t="str">
        <f>IF(Z101="","",IF(Z101&gt;AB101,Y101,IF(Z101=AB101,"",AC101)))</f>
        <v/>
      </c>
      <c r="AF101" s="270" t="str">
        <f>IF(Z101="","",IF(Z101=AB101,Y101,""))</f>
        <v/>
      </c>
      <c r="AG101" s="270" t="str">
        <f>IF(Z101="","",IF(Z101=AB101,AC101,""))</f>
        <v/>
      </c>
      <c r="AH101" s="270" t="str">
        <f>IF(Z101="","",IF(Z101&lt;AB101,Y101,IF(Z101=AB101,"",AC101)))</f>
        <v/>
      </c>
      <c r="AI101" s="270" t="str">
        <f>IF(Z101="","",IF(Z101&gt;AB101,Y100,""))</f>
        <v/>
      </c>
      <c r="AJ101" s="270" t="str">
        <f>IF(Z101="","",IF(Z101&lt;AB101,AC100,""))</f>
        <v/>
      </c>
      <c r="AK101" s="270" t="str">
        <f>CONCATENATE(AE101,AH101)</f>
        <v/>
      </c>
      <c r="AL101" s="270"/>
      <c r="AM101" s="270"/>
      <c r="AN101" s="270"/>
      <c r="AO101" s="271"/>
      <c r="AP101" s="270"/>
      <c r="AQ101" s="270"/>
      <c r="AR101" s="270"/>
      <c r="AS101" s="270"/>
      <c r="AT101" s="270"/>
      <c r="AU101" s="270"/>
      <c r="AV101" s="270"/>
      <c r="AW101" s="270"/>
      <c r="AX101" s="270"/>
      <c r="AY101" s="1072"/>
      <c r="AZ101" s="270"/>
      <c r="BA101" s="270"/>
      <c r="BB101" s="1072"/>
      <c r="BC101" s="270"/>
      <c r="BD101" s="270"/>
      <c r="BE101" s="270"/>
      <c r="BF101" s="270"/>
      <c r="BG101" s="270"/>
      <c r="BH101" s="270"/>
      <c r="BI101" s="270"/>
      <c r="BJ101" s="270"/>
      <c r="BK101" s="270"/>
      <c r="BL101" s="270"/>
      <c r="BM101" s="270"/>
      <c r="BN101" s="270"/>
      <c r="BO101" s="270"/>
      <c r="BP101" s="270"/>
      <c r="BQ101" s="270"/>
      <c r="BR101" s="270"/>
      <c r="BS101" s="270"/>
      <c r="BT101" s="270"/>
      <c r="BU101" s="270"/>
      <c r="BV101" s="270"/>
      <c r="BW101" s="270"/>
      <c r="BX101" s="270"/>
      <c r="BY101" s="270"/>
      <c r="BZ101" s="270"/>
      <c r="CA101" s="270"/>
      <c r="CB101" s="270"/>
      <c r="CC101" s="270"/>
      <c r="CD101" s="270"/>
      <c r="CE101" s="1395"/>
      <c r="CF101" s="1450"/>
      <c r="CG101" s="1450"/>
      <c r="CH101" s="270"/>
      <c r="CI101" s="270"/>
      <c r="CJ101" s="270"/>
      <c r="CK101" s="270"/>
      <c r="CL101" s="270"/>
      <c r="CM101" s="270"/>
    </row>
    <row r="102" spans="1:91" ht="13.5" hidden="1" outlineLevel="3" thickBot="1" x14ac:dyDescent="0.25">
      <c r="A102" s="270"/>
      <c r="B102" s="271"/>
      <c r="C102" s="12"/>
      <c r="D102" s="1071"/>
      <c r="E102" s="1071"/>
      <c r="F102" s="1071"/>
      <c r="G102" s="626"/>
      <c r="H102" s="271"/>
      <c r="I102" s="270"/>
      <c r="J102" s="270"/>
      <c r="K102" s="270"/>
      <c r="L102" s="270"/>
      <c r="M102" s="270"/>
      <c r="N102" s="270"/>
      <c r="O102" s="270"/>
      <c r="P102" s="1072"/>
      <c r="Q102" s="270"/>
      <c r="R102" s="270"/>
      <c r="S102" s="1072"/>
      <c r="T102" s="270"/>
      <c r="U102" s="1019"/>
      <c r="V102" s="1118"/>
      <c r="W102" s="618"/>
      <c r="X102" s="1068"/>
      <c r="Y102" s="627"/>
      <c r="Z102" s="492"/>
      <c r="AA102" s="493" t="s">
        <v>769</v>
      </c>
      <c r="AB102" s="1069"/>
      <c r="AC102" s="1070"/>
      <c r="AD102" s="839"/>
      <c r="AE102" s="270" t="str">
        <f>IF(Z102="","",IF(Z102&gt;AB102,Y102,IF(Z102=AB102,"",AC102)))</f>
        <v/>
      </c>
      <c r="AF102" s="270" t="str">
        <f>IF(Z102="","",IF(Z102=AB102,Y102,""))</f>
        <v/>
      </c>
      <c r="AG102" s="270" t="str">
        <f>IF(Z102="","",IF(Z102=AB102,AC102,""))</f>
        <v/>
      </c>
      <c r="AH102" s="270" t="str">
        <f>IF(Z102="","",IF(Z102&lt;AB102,Y102,IF(Z102=AB102,"",AC102)))</f>
        <v/>
      </c>
      <c r="AI102" s="270" t="str">
        <f>IF(Z102="","",IF(Z102&gt;AB102,Y100,""))</f>
        <v/>
      </c>
      <c r="AJ102" s="270" t="str">
        <f>IF(Z102="","",IF(Z102&lt;AB102,AC100,""))</f>
        <v/>
      </c>
      <c r="AK102" s="270" t="str">
        <f>CONCATENATE(AE102,AH102)</f>
        <v/>
      </c>
      <c r="AL102" s="270"/>
      <c r="AM102" s="270"/>
      <c r="AN102" s="270"/>
      <c r="AO102" s="271"/>
      <c r="AP102" s="270"/>
      <c r="AQ102" s="270"/>
      <c r="AR102" s="270"/>
      <c r="AS102" s="270"/>
      <c r="AT102" s="270"/>
      <c r="AU102" s="270"/>
      <c r="AV102" s="270"/>
      <c r="AW102" s="270"/>
      <c r="AX102" s="270"/>
      <c r="AY102" s="1072"/>
      <c r="AZ102" s="270"/>
      <c r="BA102" s="270"/>
      <c r="BB102" s="1072"/>
      <c r="BC102" s="270"/>
      <c r="BD102" s="270"/>
      <c r="BE102" s="270"/>
      <c r="BF102" s="270"/>
      <c r="BG102" s="270"/>
      <c r="BH102" s="270"/>
      <c r="BI102" s="270"/>
      <c r="BJ102" s="270"/>
      <c r="BK102" s="270"/>
      <c r="BL102" s="270"/>
      <c r="BM102" s="270"/>
      <c r="BN102" s="270"/>
      <c r="BO102" s="270"/>
      <c r="BP102" s="270"/>
      <c r="BQ102" s="270"/>
      <c r="BR102" s="270"/>
      <c r="BS102" s="270"/>
      <c r="BT102" s="270"/>
      <c r="BU102" s="270"/>
      <c r="BV102" s="270"/>
      <c r="BW102" s="270"/>
      <c r="BX102" s="270"/>
      <c r="BY102" s="270"/>
      <c r="BZ102" s="270"/>
      <c r="CA102" s="270"/>
      <c r="CB102" s="270"/>
      <c r="CC102" s="270"/>
      <c r="CD102" s="270"/>
      <c r="CE102" s="1395"/>
      <c r="CF102" s="1450"/>
      <c r="CG102" s="1450"/>
      <c r="CH102" s="270"/>
      <c r="CI102" s="270"/>
      <c r="CJ102" s="270"/>
      <c r="CK102" s="270"/>
      <c r="CL102" s="270"/>
      <c r="CM102" s="270"/>
    </row>
    <row r="103" spans="1:91" ht="13.5" hidden="1" outlineLevel="3" thickBot="1" x14ac:dyDescent="0.25">
      <c r="A103" s="270"/>
      <c r="B103" s="271"/>
      <c r="C103" s="12"/>
      <c r="D103" s="1071"/>
      <c r="E103" s="1071"/>
      <c r="F103" s="1071"/>
      <c r="G103" s="626"/>
      <c r="H103" s="271"/>
      <c r="I103" s="270"/>
      <c r="J103" s="270"/>
      <c r="K103" s="270"/>
      <c r="L103" s="270"/>
      <c r="M103" s="270"/>
      <c r="N103" s="270"/>
      <c r="O103" s="270"/>
      <c r="P103" s="1072"/>
      <c r="Q103" s="270"/>
      <c r="R103" s="270"/>
      <c r="S103" s="1072"/>
      <c r="T103" s="270"/>
      <c r="U103" s="1019"/>
      <c r="V103" s="1118"/>
      <c r="W103" s="618"/>
      <c r="X103" s="1068"/>
      <c r="Y103" s="627"/>
      <c r="Z103" s="492"/>
      <c r="AA103" s="493" t="s">
        <v>769</v>
      </c>
      <c r="AB103" s="1069"/>
      <c r="AC103" s="1070"/>
      <c r="AD103" s="839"/>
      <c r="AE103" s="270" t="str">
        <f>IF(Z103="","",IF(Z103&gt;AB103,Y103,IF(Z103=AB103,"",AC103)))</f>
        <v/>
      </c>
      <c r="AF103" s="270" t="str">
        <f>IF(Z103="","",IF(Z103=AB103,Y103,""))</f>
        <v/>
      </c>
      <c r="AG103" s="270" t="str">
        <f>IF(Z103="","",IF(Z103=AB103,AC103,""))</f>
        <v/>
      </c>
      <c r="AH103" s="270" t="str">
        <f>IF(Z103="","",IF(Z103&lt;AB103,Y103,IF(Z103=AB103,"",AC103)))</f>
        <v/>
      </c>
      <c r="AI103" s="270" t="str">
        <f>IF(Z103="","",IF(Z103&gt;AB103,Y100,""))</f>
        <v/>
      </c>
      <c r="AJ103" s="270" t="str">
        <f>IF(Z103="","",IF(Z103&lt;AB103,AC100,""))</f>
        <v/>
      </c>
      <c r="AK103" s="270" t="str">
        <f>CONCATENATE(AE103,AH103)</f>
        <v/>
      </c>
      <c r="AL103" s="270"/>
      <c r="AM103" s="270"/>
      <c r="AN103" s="270"/>
      <c r="AO103" s="271"/>
      <c r="AP103" s="270"/>
      <c r="AQ103" s="270"/>
      <c r="AR103" s="270"/>
      <c r="AS103" s="270"/>
      <c r="AT103" s="270"/>
      <c r="AU103" s="270"/>
      <c r="AV103" s="270"/>
      <c r="AW103" s="270"/>
      <c r="AX103" s="270"/>
      <c r="AY103" s="1072"/>
      <c r="AZ103" s="270"/>
      <c r="BA103" s="270"/>
      <c r="BB103" s="1072"/>
      <c r="BC103" s="270"/>
      <c r="BD103" s="270"/>
      <c r="BE103" s="270"/>
      <c r="BF103" s="270"/>
      <c r="BG103" s="270"/>
      <c r="BH103" s="270"/>
      <c r="BI103" s="270"/>
      <c r="BJ103" s="270"/>
      <c r="BK103" s="270"/>
      <c r="BL103" s="270"/>
      <c r="BM103" s="270"/>
      <c r="BN103" s="270"/>
      <c r="BO103" s="270"/>
      <c r="BP103" s="270"/>
      <c r="BQ103" s="270"/>
      <c r="BR103" s="270"/>
      <c r="BS103" s="270"/>
      <c r="BT103" s="270"/>
      <c r="BU103" s="270"/>
      <c r="BV103" s="270"/>
      <c r="BW103" s="270"/>
      <c r="BX103" s="270"/>
      <c r="BY103" s="270"/>
      <c r="BZ103" s="270"/>
      <c r="CA103" s="270"/>
      <c r="CB103" s="270"/>
      <c r="CC103" s="270"/>
      <c r="CD103" s="270"/>
      <c r="CE103" s="1395"/>
      <c r="CF103" s="1450"/>
      <c r="CG103" s="1450"/>
      <c r="CH103" s="270"/>
      <c r="CI103" s="270"/>
      <c r="CJ103" s="270"/>
      <c r="CK103" s="270"/>
      <c r="CL103" s="270"/>
      <c r="CM103" s="270"/>
    </row>
    <row r="104" spans="1:91" ht="13.5" hidden="1" outlineLevel="3" thickBot="1" x14ac:dyDescent="0.25">
      <c r="A104" s="270"/>
      <c r="B104" s="271"/>
      <c r="C104" s="12"/>
      <c r="D104" s="1071"/>
      <c r="E104" s="1071"/>
      <c r="F104" s="1071"/>
      <c r="G104" s="626"/>
      <c r="H104" s="271"/>
      <c r="I104" s="270"/>
      <c r="J104" s="270"/>
      <c r="K104" s="270"/>
      <c r="L104" s="270"/>
      <c r="M104" s="270"/>
      <c r="N104" s="270"/>
      <c r="O104" s="270"/>
      <c r="P104" s="1072"/>
      <c r="Q104" s="270"/>
      <c r="R104" s="270"/>
      <c r="S104" s="1072"/>
      <c r="T104" s="270"/>
      <c r="U104" s="1019"/>
      <c r="V104" s="1118"/>
      <c r="W104" s="618"/>
      <c r="X104" s="1068"/>
      <c r="Y104" s="627"/>
      <c r="Z104" s="492"/>
      <c r="AA104" s="493" t="s">
        <v>769</v>
      </c>
      <c r="AB104" s="1069"/>
      <c r="AC104" s="1070"/>
      <c r="AD104" s="839"/>
      <c r="AE104" s="270" t="str">
        <f>IF(Z104="","",IF(Z104&gt;AB104,Y104,IF(Z104=AB104,"",AC104)))</f>
        <v/>
      </c>
      <c r="AF104" s="270" t="str">
        <f>IF(Z104="","",IF(Z104=AB104,Y104,""))</f>
        <v/>
      </c>
      <c r="AG104" s="270" t="str">
        <f>IF(Z104="","",IF(Z104=AB104,AC104,""))</f>
        <v/>
      </c>
      <c r="AH104" s="270" t="str">
        <f>IF(Z104="","",IF(Z104&lt;AB104,Y104,IF(Z104=AB104,"",AC104)))</f>
        <v/>
      </c>
      <c r="AI104" s="270" t="str">
        <f>IF(Z104="","",IF(Z104&gt;AB104,Y100,""))</f>
        <v/>
      </c>
      <c r="AJ104" s="270" t="str">
        <f>IF(Z104="","",IF(Z104&lt;AB104,AC100,""))</f>
        <v/>
      </c>
      <c r="AK104" s="270" t="str">
        <f>CONCATENATE(AE104,AH104)</f>
        <v/>
      </c>
      <c r="AL104" s="270"/>
      <c r="AM104" s="270"/>
      <c r="AN104" s="270"/>
      <c r="AO104" s="271"/>
      <c r="AP104" s="270"/>
      <c r="AQ104" s="270"/>
      <c r="AR104" s="270"/>
      <c r="AS104" s="270"/>
      <c r="AT104" s="270"/>
      <c r="AU104" s="270"/>
      <c r="AV104" s="270"/>
      <c r="AW104" s="270"/>
      <c r="AX104" s="270"/>
      <c r="AY104" s="1072"/>
      <c r="AZ104" s="270"/>
      <c r="BA104" s="270"/>
      <c r="BB104" s="1072"/>
      <c r="BC104" s="270"/>
      <c r="BD104" s="270"/>
      <c r="BE104" s="270"/>
      <c r="BF104" s="270"/>
      <c r="BG104" s="270"/>
      <c r="BH104" s="270"/>
      <c r="BI104" s="270"/>
      <c r="BJ104" s="270"/>
      <c r="BK104" s="270"/>
      <c r="BL104" s="270"/>
      <c r="BM104" s="270"/>
      <c r="BN104" s="270"/>
      <c r="BO104" s="270"/>
      <c r="BP104" s="270"/>
      <c r="BQ104" s="270"/>
      <c r="BR104" s="270"/>
      <c r="BS104" s="270"/>
      <c r="BT104" s="270"/>
      <c r="BU104" s="270"/>
      <c r="BV104" s="270"/>
      <c r="BW104" s="270"/>
      <c r="BX104" s="270"/>
      <c r="BY104" s="270"/>
      <c r="BZ104" s="270"/>
      <c r="CA104" s="270"/>
      <c r="CB104" s="270"/>
      <c r="CC104" s="270"/>
      <c r="CD104" s="270"/>
      <c r="CE104" s="1395"/>
      <c r="CF104" s="1450"/>
      <c r="CG104" s="1450"/>
      <c r="CH104" s="270"/>
      <c r="CI104" s="270"/>
      <c r="CJ104" s="270"/>
      <c r="CK104" s="270"/>
      <c r="CL104" s="270"/>
      <c r="CM104" s="270"/>
    </row>
    <row r="105" spans="1:91" ht="13.5" hidden="1" outlineLevel="3" thickBot="1" x14ac:dyDescent="0.25">
      <c r="A105" s="270"/>
      <c r="B105" s="271"/>
      <c r="C105" s="12"/>
      <c r="D105" s="1071"/>
      <c r="E105" s="1071"/>
      <c r="F105" s="1071"/>
      <c r="G105" s="626"/>
      <c r="H105" s="271"/>
      <c r="I105" s="270"/>
      <c r="J105" s="270"/>
      <c r="K105" s="270"/>
      <c r="L105" s="270"/>
      <c r="M105" s="270"/>
      <c r="N105" s="270"/>
      <c r="O105" s="270"/>
      <c r="P105" s="1072"/>
      <c r="Q105" s="270"/>
      <c r="R105" s="270"/>
      <c r="S105" s="1072"/>
      <c r="T105" s="270"/>
      <c r="U105" s="1019"/>
      <c r="V105" s="1073"/>
      <c r="W105" s="1074"/>
      <c r="X105" s="1075" t="str">
        <f>N_Substitute</f>
        <v>Remplaçant</v>
      </c>
      <c r="Y105" s="627"/>
      <c r="Z105" s="492"/>
      <c r="AA105" s="1076"/>
      <c r="AB105" s="1069"/>
      <c r="AC105" s="1070"/>
      <c r="AD105" s="839"/>
      <c r="AE105" s="270"/>
      <c r="AF105" s="270"/>
      <c r="AG105" s="270"/>
      <c r="AH105" s="270"/>
      <c r="AI105" s="270"/>
      <c r="AJ105" s="270"/>
      <c r="AK105" s="270"/>
      <c r="AL105" s="270"/>
      <c r="AM105" s="270"/>
      <c r="AN105" s="270"/>
      <c r="AO105" s="271"/>
      <c r="AP105" s="270"/>
      <c r="AQ105" s="270"/>
      <c r="AR105" s="270"/>
      <c r="AS105" s="270"/>
      <c r="AT105" s="270"/>
      <c r="AU105" s="270"/>
      <c r="AV105" s="270"/>
      <c r="AW105" s="270"/>
      <c r="AX105" s="270"/>
      <c r="AY105" s="1072"/>
      <c r="AZ105" s="270"/>
      <c r="BA105" s="270"/>
      <c r="BB105" s="1072"/>
      <c r="BC105" s="270"/>
      <c r="BD105" s="270"/>
      <c r="BE105" s="270"/>
      <c r="BF105" s="270"/>
      <c r="BG105" s="270"/>
      <c r="BH105" s="270"/>
      <c r="BI105" s="270"/>
      <c r="BJ105" s="270"/>
      <c r="BK105" s="270"/>
      <c r="BL105" s="270"/>
      <c r="BM105" s="270"/>
      <c r="BN105" s="270"/>
      <c r="BO105" s="270"/>
      <c r="BP105" s="270"/>
      <c r="BQ105" s="270"/>
      <c r="BR105" s="270"/>
      <c r="BS105" s="270"/>
      <c r="BT105" s="270"/>
      <c r="BU105" s="270"/>
      <c r="BV105" s="270"/>
      <c r="BW105" s="270"/>
      <c r="BX105" s="270"/>
      <c r="BY105" s="270"/>
      <c r="BZ105" s="270"/>
      <c r="CA105" s="270"/>
      <c r="CB105" s="270"/>
      <c r="CC105" s="270"/>
      <c r="CD105" s="270"/>
      <c r="CE105" s="1395"/>
      <c r="CF105" s="1450"/>
      <c r="CG105" s="1450"/>
      <c r="CH105" s="270"/>
      <c r="CI105" s="270"/>
      <c r="CJ105" s="270"/>
      <c r="CK105" s="270"/>
      <c r="CL105" s="270"/>
      <c r="CM105" s="270"/>
    </row>
    <row r="106" spans="1:91" ht="13.5" hidden="1" outlineLevel="3" thickBot="1" x14ac:dyDescent="0.25">
      <c r="A106" s="270"/>
      <c r="B106" s="271"/>
      <c r="C106" s="12"/>
      <c r="D106" s="1071"/>
      <c r="E106" s="1071"/>
      <c r="F106" s="1071"/>
      <c r="G106" s="626"/>
      <c r="H106" s="271"/>
      <c r="I106" s="270"/>
      <c r="J106" s="270"/>
      <c r="K106" s="270"/>
      <c r="L106" s="270"/>
      <c r="M106" s="270"/>
      <c r="N106" s="270"/>
      <c r="O106" s="270"/>
      <c r="P106" s="1072"/>
      <c r="Q106" s="270"/>
      <c r="R106" s="270"/>
      <c r="S106" s="1072"/>
      <c r="T106" s="270"/>
      <c r="U106" s="1019"/>
      <c r="V106" s="1087"/>
      <c r="W106" s="1088"/>
      <c r="X106" s="1089" t="str">
        <f>N_Substitute</f>
        <v>Remplaçant</v>
      </c>
      <c r="Y106" s="631"/>
      <c r="Z106" s="496"/>
      <c r="AA106" s="1090"/>
      <c r="AB106" s="1091"/>
      <c r="AC106" s="1092"/>
      <c r="AD106" s="839"/>
      <c r="AE106" s="270"/>
      <c r="AF106" s="270"/>
      <c r="AG106" s="270"/>
      <c r="AH106" s="270"/>
      <c r="AI106" s="270"/>
      <c r="AJ106" s="270"/>
      <c r="AK106" s="270"/>
      <c r="AL106" s="270"/>
      <c r="AM106" s="270"/>
      <c r="AN106" s="270"/>
      <c r="AO106" s="271"/>
      <c r="AP106" s="270"/>
      <c r="AQ106" s="270"/>
      <c r="AR106" s="270"/>
      <c r="AS106" s="270"/>
      <c r="AT106" s="270"/>
      <c r="AU106" s="270"/>
      <c r="AV106" s="270"/>
      <c r="AW106" s="270"/>
      <c r="AX106" s="270"/>
      <c r="AY106" s="1072"/>
      <c r="AZ106" s="270"/>
      <c r="BA106" s="270"/>
      <c r="BB106" s="1072"/>
      <c r="BC106" s="270"/>
      <c r="BD106" s="270"/>
      <c r="BE106" s="270"/>
      <c r="BF106" s="270"/>
      <c r="BG106" s="270"/>
      <c r="BH106" s="270"/>
      <c r="BI106" s="270"/>
      <c r="BJ106" s="270"/>
      <c r="BK106" s="270"/>
      <c r="BL106" s="270"/>
      <c r="BM106" s="270"/>
      <c r="BN106" s="270"/>
      <c r="BO106" s="270"/>
      <c r="BP106" s="270"/>
      <c r="BQ106" s="270"/>
      <c r="BR106" s="270"/>
      <c r="BS106" s="270"/>
      <c r="BT106" s="270"/>
      <c r="BU106" s="270"/>
      <c r="BV106" s="270"/>
      <c r="BW106" s="270"/>
      <c r="BX106" s="270"/>
      <c r="BY106" s="270"/>
      <c r="BZ106" s="270"/>
      <c r="CA106" s="270"/>
      <c r="CB106" s="270"/>
      <c r="CC106" s="270"/>
      <c r="CD106" s="270"/>
      <c r="CE106" s="1395"/>
      <c r="CF106" s="1450"/>
      <c r="CG106" s="1450"/>
      <c r="CH106" s="270"/>
      <c r="CI106" s="270"/>
      <c r="CJ106" s="270"/>
      <c r="CK106" s="270"/>
      <c r="CL106" s="270"/>
      <c r="CM106" s="270"/>
    </row>
    <row r="107" spans="1:91" hidden="1" outlineLevel="2" collapsed="1" x14ac:dyDescent="0.2">
      <c r="A107" s="270"/>
      <c r="B107" s="271"/>
      <c r="C107" s="270"/>
      <c r="D107" s="270"/>
      <c r="E107" s="270"/>
      <c r="F107" s="270"/>
      <c r="G107" s="271"/>
      <c r="H107" s="270"/>
      <c r="I107" s="270"/>
      <c r="J107" s="270"/>
      <c r="K107" s="270"/>
      <c r="L107" s="270"/>
      <c r="M107" s="270"/>
      <c r="N107" s="270"/>
      <c r="O107" s="270"/>
      <c r="P107" s="270"/>
      <c r="Q107" s="270"/>
      <c r="R107" s="270"/>
      <c r="S107" s="270"/>
      <c r="T107" s="270"/>
      <c r="U107" s="1019" t="s">
        <v>1727</v>
      </c>
      <c r="V107" s="1117"/>
      <c r="W107" s="617"/>
      <c r="X107" s="1523"/>
      <c r="Y107" s="1062" t="str">
        <f>IF(COUNTA(G88:G91) =4,GMFTGROUPORDERTEAM(G88:G91,Y93:Y134,AC93:AC134),"")</f>
        <v>Eq3</v>
      </c>
      <c r="Z107" s="1063" t="str">
        <f>IF(OR(ISNUMBER(Z108),ISNUMBER(Z109),ISNUMBER(Z110),ISNUMBER(Z111)),4-COUNTBLANK(AI108:AI111),"")</f>
        <v/>
      </c>
      <c r="AA107" s="1064" t="s">
        <v>769</v>
      </c>
      <c r="AB107" s="1063" t="str">
        <f>IF(OR(ISNUMBER(Z108),ISNUMBER(Z109),ISNUMBER(Z110),ISNUMBER(Z111)),4-COUNTBLANK(AJ108:AJ111),"")</f>
        <v/>
      </c>
      <c r="AC107" s="1065" t="str">
        <f>IF(COUNTA(G88:G91) =4,GMFTGROUPORDERTEAM(G88:G91,Y93:Y134,AC93:AC134),"")</f>
        <v>Eq1</v>
      </c>
      <c r="AD107" s="839"/>
      <c r="AE107" s="270" t="str">
        <f>IF(Z107="","",IF(Z107&gt;AB107,Y107,IF(Z107=AB107,IF(NoDrawWithWithdraw,IF(AL107=Y107,AC107,IF(AL107=AC107,Y107,"")),""),AC107)))</f>
        <v/>
      </c>
      <c r="AF107" s="270" t="str">
        <f>IF(Z107="","",IF(Z107=AB107,IF(NoDrawWithWithdraw,IF(AL107=Y107,"",IF(AL107=AC107,"",Y107)),Y107),""))</f>
        <v/>
      </c>
      <c r="AG107" s="270" t="str">
        <f>IF(Z107="","",IF(Z107=AB107,IF(NoDrawWithWithdraw,IF(AL107=Y107,"",IF(AL107=AC107,"",AC107)),AC107),""))</f>
        <v/>
      </c>
      <c r="AH107" s="270" t="str">
        <f>IF(Z107="","",IF(Z107&lt;AB107,Y107,IF(Z107=AB107,IF(NoDrawWithWithdraw,IF(AL107=Y107,Y107,IF(AL107=AC107,AC107,"")),""),AC107)))</f>
        <v/>
      </c>
      <c r="AI107" s="270" t="str">
        <f>IF(Z107="","",SUM(Z108:Z111))</f>
        <v/>
      </c>
      <c r="AJ107" s="270" t="str">
        <f>IF(Z107="","",SUM(AB108:AB111))</f>
        <v/>
      </c>
      <c r="AK107" s="270" t="str">
        <f>CONCATENATE(AE107,AH107)</f>
        <v/>
      </c>
      <c r="AL107" s="270" t="str">
        <f>IF(COUNTIF(Y108:Y111,WithdrawLabel)&gt;COUNTIF(AC108:AC111,WithdrawLabel),Y107,IF(COUNTIF(AC108:AC111,WithdrawLabel)&gt;COUNTIF(Y108:Y111,WithdrawLabel),AC107,""))</f>
        <v/>
      </c>
      <c r="AM107" s="270"/>
      <c r="AN107" s="270"/>
      <c r="AO107" s="575"/>
      <c r="AP107" s="270"/>
      <c r="AQ107" s="270"/>
      <c r="AR107" s="270"/>
      <c r="AS107" s="270"/>
      <c r="AT107" s="270"/>
      <c r="AU107" s="270"/>
      <c r="AV107" s="270"/>
      <c r="AW107" s="270"/>
      <c r="AX107" s="270"/>
      <c r="AY107" s="270"/>
      <c r="AZ107" s="270"/>
      <c r="BA107" s="270"/>
      <c r="BB107" s="270"/>
      <c r="BC107" s="270"/>
      <c r="BD107" s="270"/>
      <c r="BE107" s="270"/>
      <c r="BF107" s="270"/>
      <c r="BG107" s="270"/>
      <c r="BH107" s="270"/>
      <c r="BI107" s="270"/>
      <c r="BJ107" s="270"/>
      <c r="BK107" s="270"/>
      <c r="BL107" s="270"/>
      <c r="BM107" s="270"/>
      <c r="BN107" s="270"/>
      <c r="BO107" s="270"/>
      <c r="BP107" s="270"/>
      <c r="BQ107" s="270"/>
      <c r="BR107" s="270"/>
      <c r="BS107" s="270"/>
      <c r="BT107" s="270"/>
      <c r="BU107" s="270"/>
      <c r="BV107" s="270"/>
      <c r="BW107" s="270"/>
      <c r="BX107" s="270"/>
      <c r="BY107" s="270"/>
      <c r="BZ107" s="270"/>
      <c r="CA107" s="270"/>
      <c r="CB107" s="270"/>
      <c r="CC107" s="270"/>
      <c r="CD107" s="270"/>
      <c r="CE107" s="1395"/>
      <c r="CF107" s="1450"/>
      <c r="CG107" s="1450"/>
      <c r="CH107" s="270"/>
      <c r="CI107" s="270"/>
      <c r="CJ107" s="270"/>
      <c r="CK107" s="270"/>
      <c r="CL107" s="270"/>
      <c r="CM107" s="270"/>
    </row>
    <row r="108" spans="1:91" ht="13.5" hidden="1" outlineLevel="3" thickBot="1" x14ac:dyDescent="0.25">
      <c r="A108" s="270"/>
      <c r="B108" s="271"/>
      <c r="C108" s="270"/>
      <c r="D108" s="270"/>
      <c r="E108" s="270"/>
      <c r="F108" s="270"/>
      <c r="G108" s="271"/>
      <c r="H108" s="270"/>
      <c r="I108" s="270"/>
      <c r="J108" s="270"/>
      <c r="K108" s="270"/>
      <c r="L108" s="270"/>
      <c r="M108" s="270"/>
      <c r="N108" s="270"/>
      <c r="O108" s="270"/>
      <c r="P108" s="270"/>
      <c r="Q108" s="270"/>
      <c r="R108" s="270"/>
      <c r="S108" s="270"/>
      <c r="T108" s="270"/>
      <c r="U108" s="1019"/>
      <c r="V108" s="1118"/>
      <c r="W108" s="618"/>
      <c r="X108" s="1068"/>
      <c r="Y108" s="627"/>
      <c r="Z108" s="492"/>
      <c r="AA108" s="493" t="s">
        <v>769</v>
      </c>
      <c r="AB108" s="1069"/>
      <c r="AC108" s="1070"/>
      <c r="AD108" s="839"/>
      <c r="AE108" s="270" t="str">
        <f>IF(Z108="","",IF(Z108&gt;AB108,Y108,IF(Z108=AB108,"",AC108)))</f>
        <v/>
      </c>
      <c r="AF108" s="270" t="str">
        <f>IF(Z108="","",IF(Z108=AB108,Y108,""))</f>
        <v/>
      </c>
      <c r="AG108" s="270" t="str">
        <f>IF(Z108="","",IF(Z108=AB108,AC108,""))</f>
        <v/>
      </c>
      <c r="AH108" s="270" t="str">
        <f>IF(Z108="","",IF(Z108&lt;AB108,Y108,IF(Z108=AB108,"",AC108)))</f>
        <v/>
      </c>
      <c r="AI108" s="270" t="str">
        <f>IF(Z108="","",IF(Z108&gt;AB108,Y107,""))</f>
        <v/>
      </c>
      <c r="AJ108" s="270" t="str">
        <f>IF(Z108="","",IF(Z108&lt;AB108,AC107,""))</f>
        <v/>
      </c>
      <c r="AK108" s="270" t="str">
        <f>CONCATENATE(AE108,AH108)</f>
        <v/>
      </c>
      <c r="AL108" s="270"/>
      <c r="AM108" s="270"/>
      <c r="AN108" s="270"/>
      <c r="AO108" s="575"/>
      <c r="AP108" s="270"/>
      <c r="AQ108" s="270"/>
      <c r="AR108" s="270"/>
      <c r="AS108" s="270"/>
      <c r="AT108" s="270"/>
      <c r="AU108" s="270"/>
      <c r="AV108" s="270"/>
      <c r="AW108" s="270"/>
      <c r="AX108" s="270"/>
      <c r="AY108" s="270"/>
      <c r="AZ108" s="270"/>
      <c r="BA108" s="270"/>
      <c r="BB108" s="270"/>
      <c r="BC108" s="270"/>
      <c r="BD108" s="270"/>
      <c r="BE108" s="270"/>
      <c r="BF108" s="270"/>
      <c r="BG108" s="270"/>
      <c r="BH108" s="270"/>
      <c r="BI108" s="270"/>
      <c r="BJ108" s="270"/>
      <c r="BK108" s="270"/>
      <c r="BL108" s="270"/>
      <c r="BM108" s="270"/>
      <c r="BN108" s="270"/>
      <c r="BO108" s="270"/>
      <c r="BP108" s="270"/>
      <c r="BQ108" s="270"/>
      <c r="BR108" s="270"/>
      <c r="BS108" s="270"/>
      <c r="BT108" s="270"/>
      <c r="BU108" s="270"/>
      <c r="BV108" s="270"/>
      <c r="BW108" s="270"/>
      <c r="BX108" s="270"/>
      <c r="BY108" s="270"/>
      <c r="BZ108" s="270"/>
      <c r="CA108" s="270"/>
      <c r="CB108" s="270"/>
      <c r="CC108" s="270"/>
      <c r="CD108" s="270"/>
      <c r="CE108" s="1395"/>
      <c r="CF108" s="1450"/>
      <c r="CG108" s="1450"/>
      <c r="CH108" s="270"/>
      <c r="CI108" s="270"/>
      <c r="CJ108" s="270"/>
      <c r="CK108" s="270"/>
      <c r="CL108" s="270"/>
      <c r="CM108" s="270"/>
    </row>
    <row r="109" spans="1:91" ht="13.5" hidden="1" outlineLevel="3" thickBot="1" x14ac:dyDescent="0.25">
      <c r="A109" s="270"/>
      <c r="B109" s="271"/>
      <c r="C109" s="270"/>
      <c r="D109" s="270"/>
      <c r="E109" s="270"/>
      <c r="F109" s="270"/>
      <c r="G109" s="271"/>
      <c r="H109" s="270"/>
      <c r="I109" s="270"/>
      <c r="J109" s="270"/>
      <c r="K109" s="270"/>
      <c r="L109" s="270"/>
      <c r="M109" s="270"/>
      <c r="N109" s="270"/>
      <c r="O109" s="270"/>
      <c r="P109" s="270"/>
      <c r="Q109" s="270"/>
      <c r="R109" s="270"/>
      <c r="S109" s="270"/>
      <c r="T109" s="270"/>
      <c r="U109" s="1019"/>
      <c r="V109" s="1118"/>
      <c r="W109" s="618"/>
      <c r="X109" s="1068"/>
      <c r="Y109" s="627"/>
      <c r="Z109" s="492"/>
      <c r="AA109" s="493" t="s">
        <v>769</v>
      </c>
      <c r="AB109" s="1069"/>
      <c r="AC109" s="1070"/>
      <c r="AD109" s="839"/>
      <c r="AE109" s="270" t="str">
        <f>IF(Z109="","",IF(Z109&gt;AB109,Y109,IF(Z109=AB109,"",AC109)))</f>
        <v/>
      </c>
      <c r="AF109" s="270" t="str">
        <f>IF(Z109="","",IF(Z109=AB109,Y109,""))</f>
        <v/>
      </c>
      <c r="AG109" s="270" t="str">
        <f>IF(Z109="","",IF(Z109=AB109,AC109,""))</f>
        <v/>
      </c>
      <c r="AH109" s="270" t="str">
        <f>IF(Z109="","",IF(Z109&lt;AB109,Y109,IF(Z109=AB109,"",AC109)))</f>
        <v/>
      </c>
      <c r="AI109" s="270" t="str">
        <f>IF(Z109="","",IF(Z109&gt;AB109,Y107,""))</f>
        <v/>
      </c>
      <c r="AJ109" s="270" t="str">
        <f>IF(Z109="","",IF(Z109&lt;AB109,AC107,""))</f>
        <v/>
      </c>
      <c r="AK109" s="270" t="str">
        <f>CONCATENATE(AE109,AH109)</f>
        <v/>
      </c>
      <c r="AL109" s="270"/>
      <c r="AM109" s="270"/>
      <c r="AN109" s="270"/>
      <c r="AO109" s="575"/>
      <c r="AP109" s="270"/>
      <c r="AQ109" s="270"/>
      <c r="AR109" s="270"/>
      <c r="AS109" s="270"/>
      <c r="AT109" s="270"/>
      <c r="AU109" s="270"/>
      <c r="AV109" s="270"/>
      <c r="AW109" s="270"/>
      <c r="AX109" s="270"/>
      <c r="AY109" s="270"/>
      <c r="AZ109" s="270"/>
      <c r="BA109" s="270"/>
      <c r="BB109" s="270"/>
      <c r="BC109" s="270"/>
      <c r="BD109" s="270"/>
      <c r="BE109" s="270"/>
      <c r="BF109" s="270"/>
      <c r="BG109" s="270"/>
      <c r="BH109" s="270"/>
      <c r="BI109" s="270"/>
      <c r="BJ109" s="270"/>
      <c r="BK109" s="270"/>
      <c r="BL109" s="270"/>
      <c r="BM109" s="270"/>
      <c r="BN109" s="270"/>
      <c r="BO109" s="270"/>
      <c r="BP109" s="270"/>
      <c r="BQ109" s="270"/>
      <c r="BR109" s="270"/>
      <c r="BS109" s="270"/>
      <c r="BT109" s="270"/>
      <c r="BU109" s="270"/>
      <c r="BV109" s="270"/>
      <c r="BW109" s="270"/>
      <c r="BX109" s="270"/>
      <c r="BY109" s="270"/>
      <c r="BZ109" s="270"/>
      <c r="CA109" s="270"/>
      <c r="CB109" s="270"/>
      <c r="CC109" s="270"/>
      <c r="CD109" s="270"/>
      <c r="CE109" s="1395"/>
      <c r="CF109" s="1450"/>
      <c r="CG109" s="1450"/>
      <c r="CH109" s="270"/>
      <c r="CI109" s="270"/>
      <c r="CJ109" s="270"/>
      <c r="CK109" s="270"/>
      <c r="CL109" s="270"/>
      <c r="CM109" s="270"/>
    </row>
    <row r="110" spans="1:91" ht="13.5" hidden="1" outlineLevel="3" thickBot="1" x14ac:dyDescent="0.25">
      <c r="A110" s="270"/>
      <c r="B110" s="271"/>
      <c r="C110" s="270"/>
      <c r="D110" s="270"/>
      <c r="E110" s="270"/>
      <c r="F110" s="270"/>
      <c r="G110" s="271"/>
      <c r="H110" s="270"/>
      <c r="I110" s="270"/>
      <c r="J110" s="270"/>
      <c r="K110" s="270"/>
      <c r="L110" s="270"/>
      <c r="M110" s="270"/>
      <c r="N110" s="270"/>
      <c r="O110" s="270"/>
      <c r="P110" s="270"/>
      <c r="Q110" s="270"/>
      <c r="R110" s="270"/>
      <c r="S110" s="270"/>
      <c r="T110" s="270"/>
      <c r="U110" s="1019"/>
      <c r="V110" s="1118"/>
      <c r="W110" s="618"/>
      <c r="X110" s="1068"/>
      <c r="Y110" s="627"/>
      <c r="Z110" s="492"/>
      <c r="AA110" s="493" t="s">
        <v>769</v>
      </c>
      <c r="AB110" s="1069"/>
      <c r="AC110" s="1070"/>
      <c r="AD110" s="839"/>
      <c r="AE110" s="270" t="str">
        <f>IF(Z110="","",IF(Z110&gt;AB110,Y110,IF(Z110=AB110,"",AC110)))</f>
        <v/>
      </c>
      <c r="AF110" s="270" t="str">
        <f>IF(Z110="","",IF(Z110=AB110,Y110,""))</f>
        <v/>
      </c>
      <c r="AG110" s="270" t="str">
        <f>IF(Z110="","",IF(Z110=AB110,AC110,""))</f>
        <v/>
      </c>
      <c r="AH110" s="270" t="str">
        <f>IF(Z110="","",IF(Z110&lt;AB110,Y110,IF(Z110=AB110,"",AC110)))</f>
        <v/>
      </c>
      <c r="AI110" s="270" t="str">
        <f>IF(Z110="","",IF(Z110&gt;AB110,Y107,""))</f>
        <v/>
      </c>
      <c r="AJ110" s="270" t="str">
        <f>IF(Z110="","",IF(Z110&lt;AB110,AC107,""))</f>
        <v/>
      </c>
      <c r="AK110" s="270" t="str">
        <f>CONCATENATE(AE110,AH110)</f>
        <v/>
      </c>
      <c r="AL110" s="270"/>
      <c r="AM110" s="270"/>
      <c r="AN110" s="270"/>
      <c r="AO110" s="575"/>
      <c r="AP110" s="270"/>
      <c r="AQ110" s="270"/>
      <c r="AR110" s="270"/>
      <c r="AS110" s="270"/>
      <c r="AT110" s="270"/>
      <c r="AU110" s="270"/>
      <c r="AV110" s="270"/>
      <c r="AW110" s="270"/>
      <c r="AX110" s="270"/>
      <c r="AY110" s="270"/>
      <c r="AZ110" s="270"/>
      <c r="BA110" s="270"/>
      <c r="BB110" s="270"/>
      <c r="BC110" s="270"/>
      <c r="BD110" s="270"/>
      <c r="BE110" s="270"/>
      <c r="BF110" s="270"/>
      <c r="BG110" s="270"/>
      <c r="BH110" s="270"/>
      <c r="BI110" s="270"/>
      <c r="BJ110" s="270"/>
      <c r="BK110" s="270"/>
      <c r="BL110" s="270"/>
      <c r="BM110" s="270"/>
      <c r="BN110" s="270"/>
      <c r="BO110" s="270"/>
      <c r="BP110" s="270"/>
      <c r="BQ110" s="270"/>
      <c r="BR110" s="270"/>
      <c r="BS110" s="270"/>
      <c r="BT110" s="270"/>
      <c r="BU110" s="270"/>
      <c r="BV110" s="270"/>
      <c r="BW110" s="270"/>
      <c r="BX110" s="270"/>
      <c r="BY110" s="270"/>
      <c r="BZ110" s="270"/>
      <c r="CA110" s="270"/>
      <c r="CB110" s="270"/>
      <c r="CC110" s="270"/>
      <c r="CD110" s="270"/>
      <c r="CE110" s="1395"/>
      <c r="CF110" s="1450"/>
      <c r="CG110" s="1450"/>
      <c r="CH110" s="270"/>
      <c r="CI110" s="270"/>
      <c r="CJ110" s="270"/>
      <c r="CK110" s="270"/>
      <c r="CL110" s="270"/>
      <c r="CM110" s="270"/>
    </row>
    <row r="111" spans="1:91" ht="13.5" hidden="1" outlineLevel="3" thickBot="1" x14ac:dyDescent="0.25">
      <c r="A111" s="270"/>
      <c r="B111" s="271"/>
      <c r="C111" s="270"/>
      <c r="D111" s="270"/>
      <c r="E111" s="270"/>
      <c r="F111" s="270"/>
      <c r="G111" s="271"/>
      <c r="H111" s="270"/>
      <c r="I111" s="270"/>
      <c r="J111" s="270"/>
      <c r="K111" s="270"/>
      <c r="L111" s="270"/>
      <c r="M111" s="270"/>
      <c r="N111" s="270"/>
      <c r="O111" s="270"/>
      <c r="P111" s="270"/>
      <c r="Q111" s="270"/>
      <c r="R111" s="270"/>
      <c r="S111" s="270"/>
      <c r="T111" s="270"/>
      <c r="U111" s="1019"/>
      <c r="V111" s="1118"/>
      <c r="W111" s="618"/>
      <c r="X111" s="1068"/>
      <c r="Y111" s="627"/>
      <c r="Z111" s="492"/>
      <c r="AA111" s="493" t="s">
        <v>769</v>
      </c>
      <c r="AB111" s="1069"/>
      <c r="AC111" s="1070"/>
      <c r="AD111" s="839"/>
      <c r="AE111" s="270" t="str">
        <f>IF(Z111="","",IF(Z111&gt;AB111,Y111,IF(Z111=AB111,"",AC111)))</f>
        <v/>
      </c>
      <c r="AF111" s="270" t="str">
        <f>IF(Z111="","",IF(Z111=AB111,Y111,""))</f>
        <v/>
      </c>
      <c r="AG111" s="270" t="str">
        <f>IF(Z111="","",IF(Z111=AB111,AC111,""))</f>
        <v/>
      </c>
      <c r="AH111" s="270" t="str">
        <f>IF(Z111="","",IF(Z111&lt;AB111,Y111,IF(Z111=AB111,"",AC111)))</f>
        <v/>
      </c>
      <c r="AI111" s="270" t="str">
        <f>IF(Z111="","",IF(Z111&gt;AB111,Y107,""))</f>
        <v/>
      </c>
      <c r="AJ111" s="270" t="str">
        <f>IF(Z111="","",IF(Z111&lt;AB111,AC107,""))</f>
        <v/>
      </c>
      <c r="AK111" s="270" t="str">
        <f>CONCATENATE(AE111,AH111)</f>
        <v/>
      </c>
      <c r="AL111" s="270"/>
      <c r="AM111" s="270"/>
      <c r="AN111" s="270"/>
      <c r="AO111" s="575"/>
      <c r="AP111" s="270"/>
      <c r="AQ111" s="270"/>
      <c r="AR111" s="270"/>
      <c r="AS111" s="270"/>
      <c r="AT111" s="270"/>
      <c r="AU111" s="270"/>
      <c r="AV111" s="270"/>
      <c r="AW111" s="270"/>
      <c r="AX111" s="270"/>
      <c r="AY111" s="270"/>
      <c r="AZ111" s="270"/>
      <c r="BA111" s="270"/>
      <c r="BB111" s="270"/>
      <c r="BC111" s="270"/>
      <c r="BD111" s="270"/>
      <c r="BE111" s="270"/>
      <c r="BF111" s="270"/>
      <c r="BG111" s="270"/>
      <c r="BH111" s="270"/>
      <c r="BI111" s="270"/>
      <c r="BJ111" s="270"/>
      <c r="BK111" s="270"/>
      <c r="BL111" s="270"/>
      <c r="BM111" s="270"/>
      <c r="BN111" s="270"/>
      <c r="BO111" s="270"/>
      <c r="BP111" s="270"/>
      <c r="BQ111" s="270"/>
      <c r="BR111" s="270"/>
      <c r="BS111" s="270"/>
      <c r="BT111" s="270"/>
      <c r="BU111" s="270"/>
      <c r="BV111" s="270"/>
      <c r="BW111" s="270"/>
      <c r="BX111" s="270"/>
      <c r="BY111" s="270"/>
      <c r="BZ111" s="270"/>
      <c r="CA111" s="270"/>
      <c r="CB111" s="270"/>
      <c r="CC111" s="270"/>
      <c r="CD111" s="270"/>
      <c r="CE111" s="1395"/>
      <c r="CF111" s="1450"/>
      <c r="CG111" s="1450"/>
      <c r="CH111" s="270"/>
      <c r="CI111" s="270"/>
      <c r="CJ111" s="270"/>
      <c r="CK111" s="270"/>
      <c r="CL111" s="270"/>
      <c r="CM111" s="270"/>
    </row>
    <row r="112" spans="1:91" ht="13.5" hidden="1" outlineLevel="3" thickBot="1" x14ac:dyDescent="0.25">
      <c r="A112" s="270"/>
      <c r="B112" s="271"/>
      <c r="C112" s="12"/>
      <c r="D112" s="1071"/>
      <c r="E112" s="1071"/>
      <c r="F112" s="1071"/>
      <c r="G112" s="626"/>
      <c r="H112" s="271"/>
      <c r="I112" s="270"/>
      <c r="J112" s="270"/>
      <c r="K112" s="270"/>
      <c r="L112" s="270"/>
      <c r="M112" s="270"/>
      <c r="N112" s="270"/>
      <c r="O112" s="270"/>
      <c r="P112" s="1072"/>
      <c r="Q112" s="270"/>
      <c r="R112" s="270"/>
      <c r="S112" s="1072"/>
      <c r="T112" s="270"/>
      <c r="U112" s="1019"/>
      <c r="V112" s="1073"/>
      <c r="W112" s="1074"/>
      <c r="X112" s="1075" t="str">
        <f>N_Substitute</f>
        <v>Remplaçant</v>
      </c>
      <c r="Y112" s="627"/>
      <c r="Z112" s="1081"/>
      <c r="AA112" s="1076"/>
      <c r="AB112" s="1083"/>
      <c r="AC112" s="1070"/>
      <c r="AD112" s="839"/>
      <c r="AE112" s="270"/>
      <c r="AF112" s="270"/>
      <c r="AG112" s="270"/>
      <c r="AH112" s="270"/>
      <c r="AI112" s="270"/>
      <c r="AJ112" s="270"/>
      <c r="AK112" s="270"/>
      <c r="AL112" s="270"/>
      <c r="AM112" s="270"/>
      <c r="AN112" s="270"/>
      <c r="AO112" s="271"/>
      <c r="AP112" s="270"/>
      <c r="AQ112" s="270"/>
      <c r="AR112" s="270"/>
      <c r="AS112" s="270"/>
      <c r="AT112" s="270"/>
      <c r="AU112" s="270"/>
      <c r="AV112" s="270"/>
      <c r="AW112" s="270"/>
      <c r="AX112" s="270"/>
      <c r="AY112" s="1072"/>
      <c r="AZ112" s="270"/>
      <c r="BA112" s="270"/>
      <c r="BB112" s="1072"/>
      <c r="BC112" s="270"/>
      <c r="BD112" s="270"/>
      <c r="BE112" s="270"/>
      <c r="BF112" s="270"/>
      <c r="BG112" s="270"/>
      <c r="BH112" s="270"/>
      <c r="BI112" s="270"/>
      <c r="BJ112" s="270"/>
      <c r="BK112" s="270"/>
      <c r="BL112" s="270"/>
      <c r="BM112" s="270"/>
      <c r="BN112" s="270"/>
      <c r="BO112" s="270"/>
      <c r="BP112" s="270"/>
      <c r="BQ112" s="270"/>
      <c r="BR112" s="270"/>
      <c r="BS112" s="270"/>
      <c r="BT112" s="270"/>
      <c r="BU112" s="270"/>
      <c r="BV112" s="270"/>
      <c r="BW112" s="270"/>
      <c r="BX112" s="270"/>
      <c r="BY112" s="270"/>
      <c r="BZ112" s="270"/>
      <c r="CA112" s="270"/>
      <c r="CB112" s="270"/>
      <c r="CC112" s="270"/>
      <c r="CD112" s="270"/>
      <c r="CE112" s="1395"/>
      <c r="CF112" s="1450"/>
      <c r="CG112" s="1450"/>
      <c r="CH112" s="270"/>
      <c r="CI112" s="270"/>
      <c r="CJ112" s="270"/>
      <c r="CK112" s="270"/>
      <c r="CL112" s="270"/>
      <c r="CM112" s="270"/>
    </row>
    <row r="113" spans="1:91" ht="13.5" hidden="1" outlineLevel="3" thickBot="1" x14ac:dyDescent="0.25">
      <c r="A113" s="270"/>
      <c r="B113" s="271"/>
      <c r="C113" s="12"/>
      <c r="D113" s="1071"/>
      <c r="E113" s="1071"/>
      <c r="F113" s="1071"/>
      <c r="G113" s="626"/>
      <c r="H113" s="271"/>
      <c r="I113" s="270"/>
      <c r="J113" s="270"/>
      <c r="K113" s="270"/>
      <c r="L113" s="270"/>
      <c r="M113" s="270"/>
      <c r="N113" s="270"/>
      <c r="O113" s="270"/>
      <c r="P113" s="1072"/>
      <c r="Q113" s="270"/>
      <c r="R113" s="270"/>
      <c r="S113" s="1072"/>
      <c r="T113" s="270"/>
      <c r="U113" s="1019"/>
      <c r="V113" s="1119"/>
      <c r="W113" s="1120"/>
      <c r="X113" s="1075" t="str">
        <f>N_Substitute</f>
        <v>Remplaçant</v>
      </c>
      <c r="Y113" s="627"/>
      <c r="Z113" s="492"/>
      <c r="AA113" s="1126"/>
      <c r="AB113" s="492"/>
      <c r="AC113" s="1070"/>
      <c r="AD113" s="839"/>
      <c r="AE113" s="270"/>
      <c r="AF113" s="270"/>
      <c r="AG113" s="270"/>
      <c r="AH113" s="270"/>
      <c r="AI113" s="270"/>
      <c r="AJ113" s="270"/>
      <c r="AK113" s="270"/>
      <c r="AL113" s="270"/>
      <c r="AM113" s="270"/>
      <c r="AN113" s="270"/>
      <c r="AO113" s="271"/>
      <c r="AP113" s="270"/>
      <c r="AQ113" s="270"/>
      <c r="AR113" s="270"/>
      <c r="AS113" s="270"/>
      <c r="AT113" s="270"/>
      <c r="AU113" s="270"/>
      <c r="AV113" s="270"/>
      <c r="AW113" s="270"/>
      <c r="AX113" s="270"/>
      <c r="AY113" s="1072"/>
      <c r="AZ113" s="270"/>
      <c r="BA113" s="270"/>
      <c r="BB113" s="1072"/>
      <c r="BC113" s="270"/>
      <c r="BD113" s="270"/>
      <c r="BE113" s="270"/>
      <c r="BF113" s="270"/>
      <c r="BG113" s="270"/>
      <c r="BH113" s="270"/>
      <c r="BI113" s="270"/>
      <c r="BJ113" s="270"/>
      <c r="BK113" s="270"/>
      <c r="BL113" s="270"/>
      <c r="BM113" s="270"/>
      <c r="BN113" s="270"/>
      <c r="BO113" s="270"/>
      <c r="BP113" s="270"/>
      <c r="BQ113" s="270"/>
      <c r="BR113" s="270"/>
      <c r="BS113" s="270"/>
      <c r="BT113" s="270"/>
      <c r="BU113" s="270"/>
      <c r="BV113" s="270"/>
      <c r="BW113" s="270"/>
      <c r="BX113" s="270"/>
      <c r="BY113" s="270"/>
      <c r="BZ113" s="270"/>
      <c r="CA113" s="270"/>
      <c r="CB113" s="270"/>
      <c r="CC113" s="270"/>
      <c r="CD113" s="270"/>
      <c r="CE113" s="1395"/>
      <c r="CF113" s="1450"/>
      <c r="CG113" s="1450"/>
      <c r="CH113" s="270"/>
      <c r="CI113" s="270"/>
      <c r="CJ113" s="270"/>
      <c r="CK113" s="270"/>
      <c r="CL113" s="270"/>
      <c r="CM113" s="270"/>
    </row>
    <row r="114" spans="1:91" ht="13.5" hidden="1" outlineLevel="2" collapsed="1" thickBot="1" x14ac:dyDescent="0.25">
      <c r="A114" s="270"/>
      <c r="B114" s="271"/>
      <c r="C114" s="270"/>
      <c r="D114" s="270"/>
      <c r="E114" s="270"/>
      <c r="F114" s="270"/>
      <c r="G114" s="271"/>
      <c r="H114" s="270"/>
      <c r="I114" s="270"/>
      <c r="J114" s="270"/>
      <c r="K114" s="270"/>
      <c r="L114" s="270"/>
      <c r="M114" s="270"/>
      <c r="N114" s="270"/>
      <c r="O114" s="270"/>
      <c r="P114" s="270"/>
      <c r="Q114" s="270"/>
      <c r="R114" s="270"/>
      <c r="S114" s="270"/>
      <c r="T114" s="270"/>
      <c r="U114" s="1019" t="s">
        <v>1727</v>
      </c>
      <c r="V114" s="1122"/>
      <c r="W114" s="618"/>
      <c r="X114" s="1068"/>
      <c r="Y114" s="1102" t="str">
        <f>IF(COUNTA(G88:G91) =4,GMFTGROUPORDERTEAM(G88:G91,Y93:Y134,AC93:AC134),"")</f>
        <v>Eq4</v>
      </c>
      <c r="Z114" s="1125" t="str">
        <f>IF(OR(ISNUMBER(Z115),ISNUMBER(Z116),ISNUMBER(Z117),ISNUMBER(Z118)),4-COUNTBLANK(AI115:AI118),"")</f>
        <v/>
      </c>
      <c r="AA114" s="1124" t="s">
        <v>769</v>
      </c>
      <c r="AB114" s="1125" t="str">
        <f>IF(OR(ISNUMBER(Z115),ISNUMBER(Z116),ISNUMBER(Z117),ISNUMBER(Z118)),4-COUNTBLANK(AJ115:AJ118),"")</f>
        <v/>
      </c>
      <c r="AC114" s="1105" t="str">
        <f>IF(COUNTA(G88:G91) =4,GMFTGROUPORDERTEAM(G88:G91,Y93:Y134,AC93:AC134),"")</f>
        <v>Eq2</v>
      </c>
      <c r="AD114" s="839"/>
      <c r="AE114" s="270" t="str">
        <f>IF(Z114="","",IF(Z114&gt;AB114,Y114,IF(Z114=AB114,IF(NoDrawWithWithdraw,IF(AL114=Y114,AC114,IF(AL114=AC114,Y114,"")),""),AC114)))</f>
        <v/>
      </c>
      <c r="AF114" s="270" t="str">
        <f>IF(Z114="","",IF(Z114=AB114,IF(NoDrawWithWithdraw,IF(AL114=Y114,"",IF(AL114=AC114,"",Y114)),Y114),""))</f>
        <v/>
      </c>
      <c r="AG114" s="270" t="str">
        <f>IF(Z114="","",IF(Z114=AB114,IF(NoDrawWithWithdraw,IF(AL114=Y114,"",IF(AL114=AC114,"",AC114)),AC114),""))</f>
        <v/>
      </c>
      <c r="AH114" s="270" t="str">
        <f>IF(Z114="","",IF(Z114&lt;AB114,Y114,IF(Z114=AB114,IF(NoDrawWithWithdraw,IF(AL114=Y114,Y114,IF(AL114=AC114,AC114,"")),""),AC114)))</f>
        <v/>
      </c>
      <c r="AI114" s="270" t="str">
        <f>IF(Z114="","",SUM(Z115:Z118))</f>
        <v/>
      </c>
      <c r="AJ114" s="270" t="str">
        <f>IF(Z114="","",SUM(AB115:AB118))</f>
        <v/>
      </c>
      <c r="AK114" s="270" t="str">
        <f>CONCATENATE(AE114,AH114)</f>
        <v/>
      </c>
      <c r="AL114" s="270" t="str">
        <f>IF(COUNTIF(Y115:Y118,WithdrawLabel)&gt;COUNTIF(AC115:AC118,WithdrawLabel),Y114,IF(COUNTIF(AC115:AC118,WithdrawLabel)&gt;COUNTIF(Y115:Y118,WithdrawLabel),AC114,""))</f>
        <v/>
      </c>
      <c r="AM114" s="270"/>
      <c r="AN114" s="270"/>
      <c r="AO114" s="575"/>
      <c r="AP114" s="270"/>
      <c r="AQ114" s="270"/>
      <c r="AR114" s="270"/>
      <c r="AS114" s="270"/>
      <c r="AT114" s="270"/>
      <c r="AU114" s="270"/>
      <c r="AV114" s="270"/>
      <c r="AW114" s="270"/>
      <c r="AX114" s="270"/>
      <c r="AY114" s="270"/>
      <c r="AZ114" s="270"/>
      <c r="BA114" s="270"/>
      <c r="BB114" s="270"/>
      <c r="BC114" s="270"/>
      <c r="BD114" s="270"/>
      <c r="BE114" s="270"/>
      <c r="BF114" s="270"/>
      <c r="BG114" s="270"/>
      <c r="BH114" s="270"/>
      <c r="BI114" s="270"/>
      <c r="BJ114" s="270"/>
      <c r="BK114" s="270"/>
      <c r="BL114" s="270"/>
      <c r="BM114" s="270"/>
      <c r="BN114" s="270"/>
      <c r="BO114" s="270"/>
      <c r="BP114" s="270"/>
      <c r="BQ114" s="270"/>
      <c r="BR114" s="270"/>
      <c r="BS114" s="270"/>
      <c r="BT114" s="270"/>
      <c r="BU114" s="270"/>
      <c r="BV114" s="270"/>
      <c r="BW114" s="270"/>
      <c r="BX114" s="270"/>
      <c r="BY114" s="270"/>
      <c r="BZ114" s="270"/>
      <c r="CA114" s="270"/>
      <c r="CB114" s="270"/>
      <c r="CC114" s="270"/>
      <c r="CD114" s="270"/>
      <c r="CE114" s="1395"/>
      <c r="CF114" s="1450"/>
      <c r="CG114" s="1450"/>
      <c r="CH114" s="270"/>
      <c r="CI114" s="270"/>
      <c r="CJ114" s="270"/>
      <c r="CK114" s="270"/>
      <c r="CL114" s="270"/>
      <c r="CM114" s="270"/>
    </row>
    <row r="115" spans="1:91" ht="13.5" hidden="1" outlineLevel="3" thickBot="1" x14ac:dyDescent="0.25">
      <c r="A115" s="270"/>
      <c r="B115" s="271"/>
      <c r="C115" s="270"/>
      <c r="D115" s="270"/>
      <c r="E115" s="270"/>
      <c r="F115" s="270"/>
      <c r="G115" s="271"/>
      <c r="H115" s="270"/>
      <c r="I115" s="270"/>
      <c r="J115" s="270"/>
      <c r="K115" s="270"/>
      <c r="L115" s="270"/>
      <c r="M115" s="270"/>
      <c r="N115" s="270"/>
      <c r="O115" s="270"/>
      <c r="P115" s="270"/>
      <c r="Q115" s="270"/>
      <c r="R115" s="270"/>
      <c r="S115" s="270"/>
      <c r="T115" s="270"/>
      <c r="U115" s="1019"/>
      <c r="V115" s="1118"/>
      <c r="W115" s="618"/>
      <c r="X115" s="1068"/>
      <c r="Y115" s="627"/>
      <c r="Z115" s="492"/>
      <c r="AA115" s="493" t="s">
        <v>769</v>
      </c>
      <c r="AB115" s="1069"/>
      <c r="AC115" s="1070"/>
      <c r="AD115" s="839"/>
      <c r="AE115" s="270" t="str">
        <f>IF(Z115="","",IF(Z115&gt;AB115,Y115,IF(Z115=AB115,"",AC115)))</f>
        <v/>
      </c>
      <c r="AF115" s="270" t="str">
        <f>IF(Z115="","",IF(Z115=AB115,Y115,""))</f>
        <v/>
      </c>
      <c r="AG115" s="270" t="str">
        <f>IF(Z115="","",IF(Z115=AB115,AC115,""))</f>
        <v/>
      </c>
      <c r="AH115" s="270" t="str">
        <f>IF(Z115="","",IF(Z115&lt;AB115,Y115,IF(Z115=AB115,"",AC115)))</f>
        <v/>
      </c>
      <c r="AI115" s="270" t="str">
        <f>IF(Z115="","",IF(Z115&gt;AB115,Y114,""))</f>
        <v/>
      </c>
      <c r="AJ115" s="270" t="str">
        <f>IF(Z115="","",IF(Z115&lt;AB115,AC114,""))</f>
        <v/>
      </c>
      <c r="AK115" s="270" t="str">
        <f>CONCATENATE(AE115,AH115)</f>
        <v/>
      </c>
      <c r="AL115" s="270"/>
      <c r="AM115" s="270"/>
      <c r="AN115" s="270"/>
      <c r="AO115" s="575"/>
      <c r="AP115" s="270"/>
      <c r="AQ115" s="270"/>
      <c r="AR115" s="270"/>
      <c r="AS115" s="270"/>
      <c r="AT115" s="270"/>
      <c r="AU115" s="270"/>
      <c r="AV115" s="270"/>
      <c r="AW115" s="270"/>
      <c r="AX115" s="270"/>
      <c r="AY115" s="270"/>
      <c r="AZ115" s="270"/>
      <c r="BA115" s="270"/>
      <c r="BB115" s="270"/>
      <c r="BC115" s="270"/>
      <c r="BD115" s="270"/>
      <c r="BE115" s="270"/>
      <c r="BF115" s="270"/>
      <c r="BG115" s="270"/>
      <c r="BH115" s="270"/>
      <c r="BI115" s="270"/>
      <c r="BJ115" s="270"/>
      <c r="BK115" s="270"/>
      <c r="BL115" s="270"/>
      <c r="BM115" s="270"/>
      <c r="BN115" s="270"/>
      <c r="BO115" s="270"/>
      <c r="BP115" s="270"/>
      <c r="BQ115" s="270"/>
      <c r="BR115" s="270"/>
      <c r="BS115" s="270"/>
      <c r="BT115" s="270"/>
      <c r="BU115" s="270"/>
      <c r="BV115" s="270"/>
      <c r="BW115" s="270"/>
      <c r="BX115" s="270"/>
      <c r="BY115" s="270"/>
      <c r="BZ115" s="270"/>
      <c r="CA115" s="270"/>
      <c r="CB115" s="270"/>
      <c r="CC115" s="270"/>
      <c r="CD115" s="270"/>
      <c r="CE115" s="1395"/>
      <c r="CF115" s="1450"/>
      <c r="CG115" s="1450"/>
      <c r="CH115" s="270"/>
      <c r="CI115" s="270"/>
      <c r="CJ115" s="270"/>
      <c r="CK115" s="270"/>
      <c r="CL115" s="270"/>
      <c r="CM115" s="270"/>
    </row>
    <row r="116" spans="1:91" ht="13.5" hidden="1" outlineLevel="3" thickBot="1" x14ac:dyDescent="0.25">
      <c r="A116" s="270"/>
      <c r="B116" s="271"/>
      <c r="C116" s="270"/>
      <c r="D116" s="270"/>
      <c r="E116" s="270"/>
      <c r="F116" s="270"/>
      <c r="G116" s="271"/>
      <c r="H116" s="270"/>
      <c r="I116" s="270"/>
      <c r="J116" s="270"/>
      <c r="K116" s="270"/>
      <c r="L116" s="270"/>
      <c r="M116" s="270"/>
      <c r="N116" s="270"/>
      <c r="O116" s="270"/>
      <c r="P116" s="270"/>
      <c r="Q116" s="270"/>
      <c r="R116" s="270"/>
      <c r="S116" s="270"/>
      <c r="T116" s="270"/>
      <c r="U116" s="1019"/>
      <c r="V116" s="1118"/>
      <c r="W116" s="618"/>
      <c r="X116" s="1068"/>
      <c r="Y116" s="627"/>
      <c r="Z116" s="492"/>
      <c r="AA116" s="493" t="s">
        <v>769</v>
      </c>
      <c r="AB116" s="1069"/>
      <c r="AC116" s="1070"/>
      <c r="AD116" s="839"/>
      <c r="AE116" s="270" t="str">
        <f>IF(Z116="","",IF(Z116&gt;AB116,Y116,IF(Z116=AB116,"",AC116)))</f>
        <v/>
      </c>
      <c r="AF116" s="270" t="str">
        <f>IF(Z116="","",IF(Z116=AB116,Y116,""))</f>
        <v/>
      </c>
      <c r="AG116" s="270" t="str">
        <f>IF(Z116="","",IF(Z116=AB116,AC116,""))</f>
        <v/>
      </c>
      <c r="AH116" s="270" t="str">
        <f>IF(Z116="","",IF(Z116&lt;AB116,Y116,IF(Z116=AB116,"",AC116)))</f>
        <v/>
      </c>
      <c r="AI116" s="270" t="str">
        <f>IF(Z116="","",IF(Z116&gt;AB116,Y114,""))</f>
        <v/>
      </c>
      <c r="AJ116" s="270" t="str">
        <f>IF(Z116="","",IF(Z116&lt;AB116,AC114,""))</f>
        <v/>
      </c>
      <c r="AK116" s="270" t="str">
        <f>CONCATENATE(AE116,AH116)</f>
        <v/>
      </c>
      <c r="AL116" s="270"/>
      <c r="AM116" s="270"/>
      <c r="AN116" s="270"/>
      <c r="AO116" s="575"/>
      <c r="AP116" s="270"/>
      <c r="AQ116" s="270"/>
      <c r="AR116" s="270"/>
      <c r="AS116" s="270"/>
      <c r="AT116" s="270"/>
      <c r="AU116" s="270"/>
      <c r="AV116" s="270"/>
      <c r="AW116" s="270"/>
      <c r="AX116" s="270"/>
      <c r="AY116" s="270"/>
      <c r="AZ116" s="270"/>
      <c r="BA116" s="270"/>
      <c r="BB116" s="270"/>
      <c r="BC116" s="270"/>
      <c r="BD116" s="270"/>
      <c r="BE116" s="270"/>
      <c r="BF116" s="270"/>
      <c r="BG116" s="270"/>
      <c r="BH116" s="270"/>
      <c r="BI116" s="270"/>
      <c r="BJ116" s="270"/>
      <c r="BK116" s="270"/>
      <c r="BL116" s="270"/>
      <c r="BM116" s="270"/>
      <c r="BN116" s="270"/>
      <c r="BO116" s="270"/>
      <c r="BP116" s="270"/>
      <c r="BQ116" s="270"/>
      <c r="BR116" s="270"/>
      <c r="BS116" s="270"/>
      <c r="BT116" s="270"/>
      <c r="BU116" s="270"/>
      <c r="BV116" s="270"/>
      <c r="BW116" s="270"/>
      <c r="BX116" s="270"/>
      <c r="BY116" s="270"/>
      <c r="BZ116" s="270"/>
      <c r="CA116" s="270"/>
      <c r="CB116" s="270"/>
      <c r="CC116" s="270"/>
      <c r="CD116" s="270"/>
      <c r="CE116" s="1395"/>
      <c r="CF116" s="1450"/>
      <c r="CG116" s="1450"/>
      <c r="CH116" s="270"/>
      <c r="CI116" s="270"/>
      <c r="CJ116" s="270"/>
      <c r="CK116" s="270"/>
      <c r="CL116" s="270"/>
      <c r="CM116" s="270"/>
    </row>
    <row r="117" spans="1:91" ht="13.5" hidden="1" outlineLevel="3" thickBot="1" x14ac:dyDescent="0.25">
      <c r="A117" s="270"/>
      <c r="B117" s="271"/>
      <c r="C117" s="270"/>
      <c r="D117" s="270"/>
      <c r="E117" s="270"/>
      <c r="F117" s="270"/>
      <c r="G117" s="271"/>
      <c r="H117" s="270"/>
      <c r="I117" s="270"/>
      <c r="J117" s="270"/>
      <c r="K117" s="270"/>
      <c r="L117" s="270"/>
      <c r="M117" s="270"/>
      <c r="N117" s="270"/>
      <c r="O117" s="270"/>
      <c r="P117" s="270"/>
      <c r="Q117" s="270"/>
      <c r="R117" s="270"/>
      <c r="S117" s="270"/>
      <c r="T117" s="270"/>
      <c r="U117" s="1019"/>
      <c r="V117" s="1118"/>
      <c r="W117" s="618"/>
      <c r="X117" s="1068"/>
      <c r="Y117" s="627"/>
      <c r="Z117" s="492"/>
      <c r="AA117" s="493" t="s">
        <v>769</v>
      </c>
      <c r="AB117" s="1069"/>
      <c r="AC117" s="1070"/>
      <c r="AD117" s="839"/>
      <c r="AE117" s="270" t="str">
        <f>IF(Z117="","",IF(Z117&gt;AB117,Y117,IF(Z117=AB117,"",AC117)))</f>
        <v/>
      </c>
      <c r="AF117" s="270" t="str">
        <f>IF(Z117="","",IF(Z117=AB117,Y117,""))</f>
        <v/>
      </c>
      <c r="AG117" s="270" t="str">
        <f>IF(Z117="","",IF(Z117=AB117,AC117,""))</f>
        <v/>
      </c>
      <c r="AH117" s="270" t="str">
        <f>IF(Z117="","",IF(Z117&lt;AB117,Y117,IF(Z117=AB117,"",AC117)))</f>
        <v/>
      </c>
      <c r="AI117" s="270" t="str">
        <f>IF(Z117="","",IF(Z117&gt;AB117,Y114,""))</f>
        <v/>
      </c>
      <c r="AJ117" s="270" t="str">
        <f>IF(Z117="","",IF(Z117&lt;AB117,AC114,""))</f>
        <v/>
      </c>
      <c r="AK117" s="270" t="str">
        <f>CONCATENATE(AE117,AH117)</f>
        <v/>
      </c>
      <c r="AL117" s="270"/>
      <c r="AM117" s="270"/>
      <c r="AN117" s="270"/>
      <c r="AO117" s="575"/>
      <c r="AP117" s="270"/>
      <c r="AQ117" s="270"/>
      <c r="AR117" s="270"/>
      <c r="AS117" s="270"/>
      <c r="AT117" s="270"/>
      <c r="AU117" s="270"/>
      <c r="AV117" s="270"/>
      <c r="AW117" s="270"/>
      <c r="AX117" s="270"/>
      <c r="AY117" s="270"/>
      <c r="AZ117" s="270"/>
      <c r="BA117" s="270"/>
      <c r="BB117" s="270"/>
      <c r="BC117" s="270"/>
      <c r="BD117" s="270"/>
      <c r="BE117" s="270"/>
      <c r="BF117" s="270"/>
      <c r="BG117" s="270"/>
      <c r="BH117" s="270"/>
      <c r="BI117" s="270"/>
      <c r="BJ117" s="270"/>
      <c r="BK117" s="270"/>
      <c r="BL117" s="270"/>
      <c r="BM117" s="270"/>
      <c r="BN117" s="270"/>
      <c r="BO117" s="270"/>
      <c r="BP117" s="270"/>
      <c r="BQ117" s="270"/>
      <c r="BR117" s="270"/>
      <c r="BS117" s="270"/>
      <c r="BT117" s="270"/>
      <c r="BU117" s="270"/>
      <c r="BV117" s="270"/>
      <c r="BW117" s="270"/>
      <c r="BX117" s="270"/>
      <c r="BY117" s="270"/>
      <c r="BZ117" s="270"/>
      <c r="CA117" s="270"/>
      <c r="CB117" s="270"/>
      <c r="CC117" s="270"/>
      <c r="CD117" s="270"/>
      <c r="CE117" s="1395"/>
      <c r="CF117" s="1450"/>
      <c r="CG117" s="1450"/>
      <c r="CH117" s="270"/>
      <c r="CI117" s="270"/>
      <c r="CJ117" s="270"/>
      <c r="CK117" s="270"/>
      <c r="CL117" s="270"/>
      <c r="CM117" s="270"/>
    </row>
    <row r="118" spans="1:91" ht="13.5" hidden="1" outlineLevel="3" thickBot="1" x14ac:dyDescent="0.25">
      <c r="A118" s="270"/>
      <c r="B118" s="271"/>
      <c r="C118" s="270"/>
      <c r="D118" s="270"/>
      <c r="E118" s="270"/>
      <c r="F118" s="270"/>
      <c r="G118" s="271"/>
      <c r="H118" s="270"/>
      <c r="I118" s="270"/>
      <c r="J118" s="270"/>
      <c r="K118" s="270"/>
      <c r="L118" s="270"/>
      <c r="M118" s="270"/>
      <c r="N118" s="270"/>
      <c r="O118" s="270"/>
      <c r="P118" s="270"/>
      <c r="Q118" s="270"/>
      <c r="R118" s="270"/>
      <c r="S118" s="270"/>
      <c r="T118" s="270"/>
      <c r="U118" s="1019"/>
      <c r="V118" s="1118"/>
      <c r="W118" s="618"/>
      <c r="X118" s="1068"/>
      <c r="Y118" s="627"/>
      <c r="Z118" s="492"/>
      <c r="AA118" s="493" t="s">
        <v>769</v>
      </c>
      <c r="AB118" s="1069"/>
      <c r="AC118" s="1070"/>
      <c r="AD118" s="839"/>
      <c r="AE118" s="270" t="str">
        <f>IF(Z118="","",IF(Z118&gt;AB118,Y118,IF(Z118=AB118,"",AC118)))</f>
        <v/>
      </c>
      <c r="AF118" s="270" t="str">
        <f>IF(Z118="","",IF(Z118=AB118,Y118,""))</f>
        <v/>
      </c>
      <c r="AG118" s="270" t="str">
        <f>IF(Z118="","",IF(Z118=AB118,AC118,""))</f>
        <v/>
      </c>
      <c r="AH118" s="270" t="str">
        <f>IF(Z118="","",IF(Z118&lt;AB118,Y118,IF(Z118=AB118,"",AC118)))</f>
        <v/>
      </c>
      <c r="AI118" s="270" t="str">
        <f>IF(Z118="","",IF(Z118&gt;AB118,Y114,""))</f>
        <v/>
      </c>
      <c r="AJ118" s="270" t="str">
        <f>IF(Z118="","",IF(Z118&lt;AB118,AC114,""))</f>
        <v/>
      </c>
      <c r="AK118" s="270" t="str">
        <f>CONCATENATE(AE118,AH118)</f>
        <v/>
      </c>
      <c r="AL118" s="270"/>
      <c r="AM118" s="270"/>
      <c r="AN118" s="270"/>
      <c r="AO118" s="575"/>
      <c r="AP118" s="270"/>
      <c r="AQ118" s="270"/>
      <c r="AR118" s="270"/>
      <c r="AS118" s="270"/>
      <c r="AT118" s="270"/>
      <c r="AU118" s="270"/>
      <c r="AV118" s="270"/>
      <c r="AW118" s="270"/>
      <c r="AX118" s="270"/>
      <c r="AY118" s="270"/>
      <c r="AZ118" s="270"/>
      <c r="BA118" s="270"/>
      <c r="BB118" s="270"/>
      <c r="BC118" s="270"/>
      <c r="BD118" s="270"/>
      <c r="BE118" s="270"/>
      <c r="BF118" s="270"/>
      <c r="BG118" s="270"/>
      <c r="BH118" s="270"/>
      <c r="BI118" s="270"/>
      <c r="BJ118" s="270"/>
      <c r="BK118" s="270"/>
      <c r="BL118" s="270"/>
      <c r="BM118" s="270"/>
      <c r="BN118" s="270"/>
      <c r="BO118" s="270"/>
      <c r="BP118" s="270"/>
      <c r="BQ118" s="270"/>
      <c r="BR118" s="270"/>
      <c r="BS118" s="270"/>
      <c r="BT118" s="270"/>
      <c r="BU118" s="270"/>
      <c r="BV118" s="270"/>
      <c r="BW118" s="270"/>
      <c r="BX118" s="270"/>
      <c r="BY118" s="270"/>
      <c r="BZ118" s="270"/>
      <c r="CA118" s="270"/>
      <c r="CB118" s="270"/>
      <c r="CC118" s="270"/>
      <c r="CD118" s="270"/>
      <c r="CE118" s="1395"/>
      <c r="CF118" s="1450"/>
      <c r="CG118" s="1450"/>
      <c r="CH118" s="270"/>
      <c r="CI118" s="270"/>
      <c r="CJ118" s="270"/>
      <c r="CK118" s="270"/>
      <c r="CL118" s="270"/>
      <c r="CM118" s="270"/>
    </row>
    <row r="119" spans="1:91" ht="13.5" hidden="1" outlineLevel="3" thickBot="1" x14ac:dyDescent="0.25">
      <c r="A119" s="270"/>
      <c r="B119" s="271"/>
      <c r="C119" s="12"/>
      <c r="D119" s="1071"/>
      <c r="E119" s="1071"/>
      <c r="F119" s="1071"/>
      <c r="G119" s="626"/>
      <c r="H119" s="271"/>
      <c r="I119" s="270"/>
      <c r="J119" s="270"/>
      <c r="K119" s="270"/>
      <c r="L119" s="270"/>
      <c r="M119" s="270"/>
      <c r="N119" s="270"/>
      <c r="O119" s="270"/>
      <c r="P119" s="1072"/>
      <c r="Q119" s="270"/>
      <c r="R119" s="270"/>
      <c r="S119" s="1072"/>
      <c r="T119" s="270"/>
      <c r="U119" s="1019"/>
      <c r="V119" s="1073"/>
      <c r="W119" s="1074"/>
      <c r="X119" s="1075" t="str">
        <f>N_Substitute</f>
        <v>Remplaçant</v>
      </c>
      <c r="Y119" s="627"/>
      <c r="Z119" s="492"/>
      <c r="AA119" s="1076"/>
      <c r="AB119" s="1069"/>
      <c r="AC119" s="1070"/>
      <c r="AD119" s="839"/>
      <c r="AE119" s="270"/>
      <c r="AF119" s="270"/>
      <c r="AG119" s="270"/>
      <c r="AH119" s="270"/>
      <c r="AI119" s="270"/>
      <c r="AJ119" s="270"/>
      <c r="AK119" s="270"/>
      <c r="AL119" s="270"/>
      <c r="AM119" s="270"/>
      <c r="AN119" s="270"/>
      <c r="AO119" s="271"/>
      <c r="AP119" s="270"/>
      <c r="AQ119" s="270"/>
      <c r="AR119" s="270"/>
      <c r="AS119" s="270"/>
      <c r="AT119" s="270"/>
      <c r="AU119" s="270"/>
      <c r="AV119" s="270"/>
      <c r="AW119" s="270"/>
      <c r="AX119" s="270"/>
      <c r="AY119" s="1072"/>
      <c r="AZ119" s="270"/>
      <c r="BA119" s="270"/>
      <c r="BB119" s="1072"/>
      <c r="BC119" s="270"/>
      <c r="BD119" s="270"/>
      <c r="BE119" s="270"/>
      <c r="BF119" s="270"/>
      <c r="BG119" s="270"/>
      <c r="BH119" s="270"/>
      <c r="BI119" s="270"/>
      <c r="BJ119" s="270"/>
      <c r="BK119" s="270"/>
      <c r="BL119" s="270"/>
      <c r="BM119" s="270"/>
      <c r="BN119" s="270"/>
      <c r="BO119" s="270"/>
      <c r="BP119" s="270"/>
      <c r="BQ119" s="270"/>
      <c r="BR119" s="270"/>
      <c r="BS119" s="270"/>
      <c r="BT119" s="270"/>
      <c r="BU119" s="270"/>
      <c r="BV119" s="270"/>
      <c r="BW119" s="270"/>
      <c r="BX119" s="270"/>
      <c r="BY119" s="270"/>
      <c r="BZ119" s="270"/>
      <c r="CA119" s="270"/>
      <c r="CB119" s="270"/>
      <c r="CC119" s="270"/>
      <c r="CD119" s="270"/>
      <c r="CE119" s="1395"/>
      <c r="CF119" s="1450"/>
      <c r="CG119" s="1450"/>
      <c r="CH119" s="270"/>
      <c r="CI119" s="270"/>
      <c r="CJ119" s="270"/>
      <c r="CK119" s="270"/>
      <c r="CL119" s="270"/>
      <c r="CM119" s="270"/>
    </row>
    <row r="120" spans="1:91" ht="13.5" hidden="1" outlineLevel="3" thickBot="1" x14ac:dyDescent="0.25">
      <c r="A120" s="270"/>
      <c r="B120" s="271"/>
      <c r="C120" s="12"/>
      <c r="D120" s="1071"/>
      <c r="E120" s="1071"/>
      <c r="F120" s="1071"/>
      <c r="G120" s="626"/>
      <c r="H120" s="271"/>
      <c r="I120" s="270"/>
      <c r="J120" s="270"/>
      <c r="K120" s="270"/>
      <c r="L120" s="270"/>
      <c r="M120" s="270"/>
      <c r="N120" s="270"/>
      <c r="O120" s="270"/>
      <c r="P120" s="1072"/>
      <c r="Q120" s="270"/>
      <c r="R120" s="270"/>
      <c r="S120" s="1072"/>
      <c r="T120" s="270"/>
      <c r="U120" s="1019"/>
      <c r="V120" s="1087"/>
      <c r="W120" s="1088"/>
      <c r="X120" s="1089" t="str">
        <f>N_Substitute</f>
        <v>Remplaçant</v>
      </c>
      <c r="Y120" s="631"/>
      <c r="Z120" s="496"/>
      <c r="AA120" s="1090"/>
      <c r="AB120" s="1091"/>
      <c r="AC120" s="1092"/>
      <c r="AD120" s="839"/>
      <c r="AE120" s="270"/>
      <c r="AF120" s="270"/>
      <c r="AG120" s="270"/>
      <c r="AH120" s="270"/>
      <c r="AI120" s="270"/>
      <c r="AJ120" s="270"/>
      <c r="AK120" s="270"/>
      <c r="AL120" s="270"/>
      <c r="AM120" s="270"/>
      <c r="AN120" s="270"/>
      <c r="AO120" s="271"/>
      <c r="AP120" s="270"/>
      <c r="AQ120" s="270"/>
      <c r="AR120" s="270"/>
      <c r="AS120" s="270"/>
      <c r="AT120" s="270"/>
      <c r="AU120" s="270"/>
      <c r="AV120" s="270"/>
      <c r="AW120" s="270"/>
      <c r="AX120" s="270"/>
      <c r="AY120" s="1072"/>
      <c r="AZ120" s="270"/>
      <c r="BA120" s="270"/>
      <c r="BB120" s="1072"/>
      <c r="BC120" s="270"/>
      <c r="BD120" s="270"/>
      <c r="BE120" s="270"/>
      <c r="BF120" s="270"/>
      <c r="BG120" s="270"/>
      <c r="BH120" s="270"/>
      <c r="BI120" s="270"/>
      <c r="BJ120" s="270"/>
      <c r="BK120" s="270"/>
      <c r="BL120" s="270"/>
      <c r="BM120" s="270"/>
      <c r="BN120" s="270"/>
      <c r="BO120" s="270"/>
      <c r="BP120" s="270"/>
      <c r="BQ120" s="270"/>
      <c r="BR120" s="270"/>
      <c r="BS120" s="270"/>
      <c r="BT120" s="270"/>
      <c r="BU120" s="270"/>
      <c r="BV120" s="270"/>
      <c r="BW120" s="270"/>
      <c r="BX120" s="270"/>
      <c r="BY120" s="270"/>
      <c r="BZ120" s="270"/>
      <c r="CA120" s="270"/>
      <c r="CB120" s="270"/>
      <c r="CC120" s="270"/>
      <c r="CD120" s="270"/>
      <c r="CE120" s="1395"/>
      <c r="CF120" s="1450"/>
      <c r="CG120" s="1450"/>
      <c r="CH120" s="270"/>
      <c r="CI120" s="270"/>
      <c r="CJ120" s="270"/>
      <c r="CK120" s="270"/>
      <c r="CL120" s="270"/>
      <c r="CM120" s="270"/>
    </row>
    <row r="121" spans="1:91" hidden="1" outlineLevel="2" collapsed="1" x14ac:dyDescent="0.2">
      <c r="A121" s="270"/>
      <c r="B121" s="271"/>
      <c r="C121" s="270"/>
      <c r="D121" s="270"/>
      <c r="E121" s="270"/>
      <c r="F121" s="270"/>
      <c r="G121" s="271"/>
      <c r="H121" s="270"/>
      <c r="I121" s="270"/>
      <c r="J121" s="270"/>
      <c r="K121" s="270"/>
      <c r="L121" s="270"/>
      <c r="M121" s="270"/>
      <c r="N121" s="270"/>
      <c r="O121" s="270"/>
      <c r="P121" s="270"/>
      <c r="Q121" s="270"/>
      <c r="R121" s="270"/>
      <c r="S121" s="270"/>
      <c r="T121" s="270"/>
      <c r="U121" s="1019" t="s">
        <v>1728</v>
      </c>
      <c r="V121" s="1117"/>
      <c r="W121" s="617"/>
      <c r="X121" s="1523"/>
      <c r="Y121" s="1062" t="str">
        <f>IF(COUNTA(G88:G91) =4,GMFTGROUPORDERTEAM(G88:G91,Y93:Y134,AC93:AC134),"")</f>
        <v>Eq1</v>
      </c>
      <c r="Z121" s="1086" t="str">
        <f>IF(OR(ISNUMBER(Z122),ISNUMBER(Z123),ISNUMBER(Z124),ISNUMBER(Z125)),4-COUNTBLANK(AI122:AI125),"")</f>
        <v/>
      </c>
      <c r="AA121" s="1064" t="s">
        <v>769</v>
      </c>
      <c r="AB121" s="1063" t="str">
        <f>IF(OR(ISNUMBER(Z122),ISNUMBER(Z123),ISNUMBER(Z124),ISNUMBER(Z125)),4-COUNTBLANK(AJ122:AJ125),"")</f>
        <v/>
      </c>
      <c r="AC121" s="1065" t="str">
        <f>IF(COUNTA(G88:G91) =4,GMFTGROUPORDERTEAM(G88:G91,Y93:Y134,AC93:AC134),"")</f>
        <v>Eq2</v>
      </c>
      <c r="AD121" s="839"/>
      <c r="AE121" s="270" t="str">
        <f>IF(Z121="","",IF(Z121&gt;AB121,Y121,IF(Z121=AB121,IF(NoDrawWithWithdraw,IF(AL121=Y121,AC121,IF(AL121=AC121,Y121,"")),""),AC121)))</f>
        <v/>
      </c>
      <c r="AF121" s="270" t="str">
        <f>IF(Z121="","",IF(Z121=AB121,IF(NoDrawWithWithdraw,IF(AL121=Y121,"",IF(AL121=AC121,"",Y121)),Y121),""))</f>
        <v/>
      </c>
      <c r="AG121" s="270" t="str">
        <f>IF(Z121="","",IF(Z121=AB121,IF(NoDrawWithWithdraw,IF(AL121=Y121,"",IF(AL121=AC121,"",AC121)),AC121),""))</f>
        <v/>
      </c>
      <c r="AH121" s="270" t="str">
        <f>IF(Z121="","",IF(Z121&lt;AB121,Y121,IF(Z121=AB121,IF(NoDrawWithWithdraw,IF(AL121=Y121,Y121,IF(AL121=AC121,AC121,"")),""),AC121)))</f>
        <v/>
      </c>
      <c r="AI121" s="270" t="str">
        <f>IF(Z121="","",SUM(Z122:Z125))</f>
        <v/>
      </c>
      <c r="AJ121" s="270" t="str">
        <f>IF(Z121="","",SUM(AB122:AB125))</f>
        <v/>
      </c>
      <c r="AK121" s="270" t="str">
        <f>CONCATENATE(AE121,AH121)</f>
        <v/>
      </c>
      <c r="AL121" s="270" t="str">
        <f>IF(COUNTIF(Y122:Y125,WithdrawLabel)&gt;COUNTIF(AC122:AC125,WithdrawLabel),Y121,IF(COUNTIF(AC122:AC125,WithdrawLabel)&gt;COUNTIF(Y122:Y125,WithdrawLabel),AC121,""))</f>
        <v/>
      </c>
      <c r="AM121" s="270"/>
      <c r="AN121" s="270"/>
      <c r="AO121" s="575"/>
      <c r="AP121" s="270"/>
      <c r="AQ121" s="270"/>
      <c r="AR121" s="270"/>
      <c r="AS121" s="270"/>
      <c r="AT121" s="270"/>
      <c r="AU121" s="270"/>
      <c r="AV121" s="270"/>
      <c r="AW121" s="270"/>
      <c r="AX121" s="270"/>
      <c r="AY121" s="270"/>
      <c r="AZ121" s="270"/>
      <c r="BA121" s="270"/>
      <c r="BB121" s="270"/>
      <c r="BC121" s="270"/>
      <c r="BD121" s="270"/>
      <c r="BE121" s="270"/>
      <c r="BF121" s="270"/>
      <c r="BG121" s="270"/>
      <c r="BH121" s="270"/>
      <c r="BI121" s="270"/>
      <c r="BJ121" s="270"/>
      <c r="BK121" s="270"/>
      <c r="BL121" s="270"/>
      <c r="BM121" s="270"/>
      <c r="BN121" s="270"/>
      <c r="BO121" s="270"/>
      <c r="BP121" s="270"/>
      <c r="BQ121" s="270"/>
      <c r="BR121" s="270"/>
      <c r="BS121" s="270"/>
      <c r="BT121" s="270"/>
      <c r="BU121" s="270"/>
      <c r="BV121" s="270"/>
      <c r="BW121" s="270"/>
      <c r="BX121" s="270"/>
      <c r="BY121" s="270"/>
      <c r="BZ121" s="270"/>
      <c r="CA121" s="270"/>
      <c r="CB121" s="270"/>
      <c r="CC121" s="270"/>
      <c r="CD121" s="270"/>
      <c r="CE121" s="1395"/>
      <c r="CF121" s="1450"/>
      <c r="CG121" s="1450"/>
      <c r="CH121" s="270"/>
      <c r="CI121" s="270"/>
      <c r="CJ121" s="270"/>
      <c r="CK121" s="270"/>
      <c r="CL121" s="270"/>
      <c r="CM121" s="270"/>
    </row>
    <row r="122" spans="1:91" ht="13.5" hidden="1" outlineLevel="3" thickBot="1" x14ac:dyDescent="0.25">
      <c r="A122" s="270"/>
      <c r="B122" s="271"/>
      <c r="C122" s="270"/>
      <c r="D122" s="270"/>
      <c r="E122" s="270"/>
      <c r="F122" s="270"/>
      <c r="G122" s="271"/>
      <c r="H122" s="270"/>
      <c r="I122" s="270"/>
      <c r="J122" s="270"/>
      <c r="K122" s="270"/>
      <c r="L122" s="270"/>
      <c r="M122" s="270"/>
      <c r="N122" s="270"/>
      <c r="O122" s="270"/>
      <c r="P122" s="270"/>
      <c r="Q122" s="270"/>
      <c r="R122" s="270"/>
      <c r="S122" s="270"/>
      <c r="T122" s="270"/>
      <c r="U122" s="1019"/>
      <c r="V122" s="1118"/>
      <c r="W122" s="618"/>
      <c r="X122" s="1068"/>
      <c r="Y122" s="627"/>
      <c r="Z122" s="492"/>
      <c r="AA122" s="493" t="s">
        <v>769</v>
      </c>
      <c r="AB122" s="1069"/>
      <c r="AC122" s="1070"/>
      <c r="AD122" s="839"/>
      <c r="AE122" s="270" t="str">
        <f>IF(Z122="","",IF(Z122&gt;AB122,Y122,IF(Z122=AB122,"",AC122)))</f>
        <v/>
      </c>
      <c r="AF122" s="270" t="str">
        <f>IF(Z122="","",IF(Z122=AB122,Y122,""))</f>
        <v/>
      </c>
      <c r="AG122" s="270" t="str">
        <f>IF(Z122="","",IF(Z122=AB122,AC122,""))</f>
        <v/>
      </c>
      <c r="AH122" s="270" t="str">
        <f>IF(Z122="","",IF(Z122&lt;AB122,Y122,IF(Z122=AB122,"",AC122)))</f>
        <v/>
      </c>
      <c r="AI122" s="270" t="str">
        <f>IF(Z122="","",IF(Z122&gt;AB122,Y121,""))</f>
        <v/>
      </c>
      <c r="AJ122" s="270" t="str">
        <f>IF(Z122="","",IF(Z122&lt;AB122,AC121,""))</f>
        <v/>
      </c>
      <c r="AK122" s="270" t="str">
        <f>CONCATENATE(AE122,AH122)</f>
        <v/>
      </c>
      <c r="AL122" s="270"/>
      <c r="AM122" s="270"/>
      <c r="AN122" s="270"/>
      <c r="AO122" s="575"/>
      <c r="AP122" s="270"/>
      <c r="AQ122" s="270"/>
      <c r="AR122" s="270"/>
      <c r="AS122" s="270"/>
      <c r="AT122" s="270"/>
      <c r="AU122" s="270"/>
      <c r="AV122" s="270"/>
      <c r="AW122" s="270"/>
      <c r="AX122" s="270"/>
      <c r="AY122" s="270"/>
      <c r="AZ122" s="270"/>
      <c r="BA122" s="270"/>
      <c r="BB122" s="270"/>
      <c r="BC122" s="270"/>
      <c r="BD122" s="270"/>
      <c r="BE122" s="270"/>
      <c r="BF122" s="270"/>
      <c r="BG122" s="270"/>
      <c r="BH122" s="270"/>
      <c r="BI122" s="270"/>
      <c r="BJ122" s="270"/>
      <c r="BK122" s="270"/>
      <c r="BL122" s="270"/>
      <c r="BM122" s="270"/>
      <c r="BN122" s="270"/>
      <c r="BO122" s="270"/>
      <c r="BP122" s="270"/>
      <c r="BQ122" s="270"/>
      <c r="BR122" s="270"/>
      <c r="BS122" s="270"/>
      <c r="BT122" s="270"/>
      <c r="BU122" s="270"/>
      <c r="BV122" s="270"/>
      <c r="BW122" s="270"/>
      <c r="BX122" s="270"/>
      <c r="BY122" s="270"/>
      <c r="BZ122" s="270"/>
      <c r="CA122" s="270"/>
      <c r="CB122" s="270"/>
      <c r="CC122" s="270"/>
      <c r="CD122" s="270"/>
      <c r="CE122" s="1395"/>
      <c r="CF122" s="1450"/>
      <c r="CG122" s="1450"/>
      <c r="CH122" s="270"/>
      <c r="CI122" s="270"/>
      <c r="CJ122" s="270"/>
      <c r="CK122" s="270"/>
      <c r="CL122" s="270"/>
      <c r="CM122" s="270"/>
    </row>
    <row r="123" spans="1:91" ht="13.5" hidden="1" outlineLevel="3" thickBot="1" x14ac:dyDescent="0.25">
      <c r="A123" s="270"/>
      <c r="B123" s="271"/>
      <c r="C123" s="270"/>
      <c r="D123" s="270"/>
      <c r="E123" s="270"/>
      <c r="F123" s="270"/>
      <c r="G123" s="271"/>
      <c r="H123" s="270"/>
      <c r="I123" s="270"/>
      <c r="J123" s="270"/>
      <c r="K123" s="270"/>
      <c r="L123" s="270"/>
      <c r="M123" s="270"/>
      <c r="N123" s="270"/>
      <c r="O123" s="270"/>
      <c r="P123" s="270"/>
      <c r="Q123" s="270"/>
      <c r="R123" s="270"/>
      <c r="S123" s="270"/>
      <c r="T123" s="270"/>
      <c r="U123" s="1019"/>
      <c r="V123" s="1118"/>
      <c r="W123" s="618"/>
      <c r="X123" s="1068"/>
      <c r="Y123" s="627"/>
      <c r="Z123" s="492"/>
      <c r="AA123" s="493" t="s">
        <v>769</v>
      </c>
      <c r="AB123" s="1069"/>
      <c r="AC123" s="1070"/>
      <c r="AD123" s="839"/>
      <c r="AE123" s="270" t="str">
        <f>IF(Z123="","",IF(Z123&gt;AB123,Y123,IF(Z123=AB123,"",AC123)))</f>
        <v/>
      </c>
      <c r="AF123" s="270" t="str">
        <f>IF(Z123="","",IF(Z123=AB123,Y123,""))</f>
        <v/>
      </c>
      <c r="AG123" s="270" t="str">
        <f>IF(Z123="","",IF(Z123=AB123,AC123,""))</f>
        <v/>
      </c>
      <c r="AH123" s="270" t="str">
        <f>IF(Z123="","",IF(Z123&lt;AB123,Y123,IF(Z123=AB123,"",AC123)))</f>
        <v/>
      </c>
      <c r="AI123" s="270" t="str">
        <f>IF(Z123="","",IF(Z123&gt;AB123,Y121,""))</f>
        <v/>
      </c>
      <c r="AJ123" s="270" t="str">
        <f>IF(Z123="","",IF(Z123&lt;AB123,AC121,""))</f>
        <v/>
      </c>
      <c r="AK123" s="270" t="str">
        <f>CONCATENATE(AE123,AH123)</f>
        <v/>
      </c>
      <c r="AL123" s="270"/>
      <c r="AM123" s="270"/>
      <c r="AN123" s="270"/>
      <c r="AO123" s="575"/>
      <c r="AP123" s="270"/>
      <c r="AQ123" s="270"/>
      <c r="AR123" s="270"/>
      <c r="AS123" s="270"/>
      <c r="AT123" s="270"/>
      <c r="AU123" s="270"/>
      <c r="AV123" s="270"/>
      <c r="AW123" s="270"/>
      <c r="AX123" s="270"/>
      <c r="AY123" s="270"/>
      <c r="AZ123" s="270"/>
      <c r="BA123" s="270"/>
      <c r="BB123" s="270"/>
      <c r="BC123" s="270"/>
      <c r="BD123" s="270"/>
      <c r="BE123" s="270"/>
      <c r="BF123" s="270"/>
      <c r="BG123" s="270"/>
      <c r="BH123" s="270"/>
      <c r="BI123" s="270"/>
      <c r="BJ123" s="270"/>
      <c r="BK123" s="270"/>
      <c r="BL123" s="270"/>
      <c r="BM123" s="270"/>
      <c r="BN123" s="270"/>
      <c r="BO123" s="270"/>
      <c r="BP123" s="270"/>
      <c r="BQ123" s="270"/>
      <c r="BR123" s="270"/>
      <c r="BS123" s="270"/>
      <c r="BT123" s="270"/>
      <c r="BU123" s="270"/>
      <c r="BV123" s="270"/>
      <c r="BW123" s="270"/>
      <c r="BX123" s="270"/>
      <c r="BY123" s="270"/>
      <c r="BZ123" s="270"/>
      <c r="CA123" s="270"/>
      <c r="CB123" s="270"/>
      <c r="CC123" s="270"/>
      <c r="CD123" s="270"/>
      <c r="CE123" s="1395"/>
      <c r="CF123" s="1450"/>
      <c r="CG123" s="1450"/>
      <c r="CH123" s="270"/>
      <c r="CI123" s="270"/>
      <c r="CJ123" s="270"/>
      <c r="CK123" s="270"/>
      <c r="CL123" s="270"/>
      <c r="CM123" s="270"/>
    </row>
    <row r="124" spans="1:91" ht="13.5" hidden="1" outlineLevel="3" thickBot="1" x14ac:dyDescent="0.25">
      <c r="A124" s="270"/>
      <c r="B124" s="271"/>
      <c r="C124" s="270"/>
      <c r="D124" s="270"/>
      <c r="E124" s="270"/>
      <c r="F124" s="270"/>
      <c r="G124" s="271"/>
      <c r="H124" s="270"/>
      <c r="I124" s="270"/>
      <c r="J124" s="270"/>
      <c r="K124" s="270"/>
      <c r="L124" s="270"/>
      <c r="M124" s="270"/>
      <c r="N124" s="270"/>
      <c r="O124" s="270"/>
      <c r="P124" s="270"/>
      <c r="Q124" s="270"/>
      <c r="R124" s="270"/>
      <c r="S124" s="270"/>
      <c r="T124" s="270"/>
      <c r="U124" s="1019"/>
      <c r="V124" s="1118"/>
      <c r="W124" s="618"/>
      <c r="X124" s="1068"/>
      <c r="Y124" s="627"/>
      <c r="Z124" s="492"/>
      <c r="AA124" s="493" t="s">
        <v>769</v>
      </c>
      <c r="AB124" s="1069"/>
      <c r="AC124" s="1070"/>
      <c r="AD124" s="839"/>
      <c r="AE124" s="270" t="str">
        <f>IF(Z124="","",IF(Z124&gt;AB124,Y124,IF(Z124=AB124,"",AC124)))</f>
        <v/>
      </c>
      <c r="AF124" s="270" t="str">
        <f>IF(Z124="","",IF(Z124=AB124,Y124,""))</f>
        <v/>
      </c>
      <c r="AG124" s="270" t="str">
        <f>IF(Z124="","",IF(Z124=AB124,AC124,""))</f>
        <v/>
      </c>
      <c r="AH124" s="270" t="str">
        <f>IF(Z124="","",IF(Z124&lt;AB124,Y124,IF(Z124=AB124,"",AC124)))</f>
        <v/>
      </c>
      <c r="AI124" s="270" t="str">
        <f>IF(Z124="","",IF(Z124&gt;AB124,Y121,""))</f>
        <v/>
      </c>
      <c r="AJ124" s="270" t="str">
        <f>IF(Z124="","",IF(Z124&lt;AB124,AC121,""))</f>
        <v/>
      </c>
      <c r="AK124" s="270" t="str">
        <f>CONCATENATE(AE124,AH124)</f>
        <v/>
      </c>
      <c r="AL124" s="270"/>
      <c r="AM124" s="270"/>
      <c r="AN124" s="270"/>
      <c r="AO124" s="575"/>
      <c r="AP124" s="270"/>
      <c r="AQ124" s="270"/>
      <c r="AR124" s="270"/>
      <c r="AS124" s="270"/>
      <c r="AT124" s="270"/>
      <c r="AU124" s="270"/>
      <c r="AV124" s="270"/>
      <c r="AW124" s="270"/>
      <c r="AX124" s="270"/>
      <c r="AY124" s="270"/>
      <c r="AZ124" s="270"/>
      <c r="BA124" s="270"/>
      <c r="BB124" s="270"/>
      <c r="BC124" s="270"/>
      <c r="BD124" s="270"/>
      <c r="BE124" s="270"/>
      <c r="BF124" s="270"/>
      <c r="BG124" s="270"/>
      <c r="BH124" s="270"/>
      <c r="BI124" s="270"/>
      <c r="BJ124" s="270"/>
      <c r="BK124" s="270"/>
      <c r="BL124" s="270"/>
      <c r="BM124" s="270"/>
      <c r="BN124" s="270"/>
      <c r="BO124" s="270"/>
      <c r="BP124" s="270"/>
      <c r="BQ124" s="270"/>
      <c r="BR124" s="270"/>
      <c r="BS124" s="270"/>
      <c r="BT124" s="270"/>
      <c r="BU124" s="270"/>
      <c r="BV124" s="270"/>
      <c r="BW124" s="270"/>
      <c r="BX124" s="270"/>
      <c r="BY124" s="270"/>
      <c r="BZ124" s="270"/>
      <c r="CA124" s="270"/>
      <c r="CB124" s="270"/>
      <c r="CC124" s="270"/>
      <c r="CD124" s="270"/>
      <c r="CE124" s="1395"/>
      <c r="CF124" s="1450"/>
      <c r="CG124" s="1450"/>
      <c r="CH124" s="270"/>
      <c r="CI124" s="270"/>
      <c r="CJ124" s="270"/>
      <c r="CK124" s="270"/>
      <c r="CL124" s="270"/>
      <c r="CM124" s="270"/>
    </row>
    <row r="125" spans="1:91" ht="13.5" hidden="1" outlineLevel="3" thickBot="1" x14ac:dyDescent="0.25">
      <c r="A125" s="270"/>
      <c r="B125" s="271"/>
      <c r="C125" s="270"/>
      <c r="D125" s="270"/>
      <c r="E125" s="270"/>
      <c r="F125" s="270"/>
      <c r="G125" s="271"/>
      <c r="H125" s="270"/>
      <c r="I125" s="270"/>
      <c r="J125" s="270"/>
      <c r="K125" s="270"/>
      <c r="L125" s="270"/>
      <c r="M125" s="270"/>
      <c r="N125" s="270"/>
      <c r="O125" s="270"/>
      <c r="P125" s="270"/>
      <c r="Q125" s="270"/>
      <c r="R125" s="270"/>
      <c r="S125" s="270"/>
      <c r="T125" s="270"/>
      <c r="U125" s="1019"/>
      <c r="V125" s="1118"/>
      <c r="W125" s="618"/>
      <c r="X125" s="1068"/>
      <c r="Y125" s="627"/>
      <c r="Z125" s="492"/>
      <c r="AA125" s="493" t="s">
        <v>769</v>
      </c>
      <c r="AB125" s="1069"/>
      <c r="AC125" s="1070"/>
      <c r="AD125" s="839"/>
      <c r="AE125" s="270" t="str">
        <f>IF(Z125="","",IF(Z125&gt;AB125,Y125,IF(Z125=AB125,"",AC125)))</f>
        <v/>
      </c>
      <c r="AF125" s="270" t="str">
        <f>IF(Z125="","",IF(Z125=AB125,Y125,""))</f>
        <v/>
      </c>
      <c r="AG125" s="270" t="str">
        <f>IF(Z125="","",IF(Z125=AB125,AC125,""))</f>
        <v/>
      </c>
      <c r="AH125" s="270" t="str">
        <f>IF(Z125="","",IF(Z125&lt;AB125,Y125,IF(Z125=AB125,"",AC125)))</f>
        <v/>
      </c>
      <c r="AI125" s="270" t="str">
        <f>IF(Z125="","",IF(Z125&gt;AB125,Y121,""))</f>
        <v/>
      </c>
      <c r="AJ125" s="270" t="str">
        <f>IF(Z125="","",IF(Z125&lt;AB125,AC121,""))</f>
        <v/>
      </c>
      <c r="AK125" s="270" t="str">
        <f>CONCATENATE(AE125,AH125)</f>
        <v/>
      </c>
      <c r="AL125" s="270"/>
      <c r="AM125" s="270"/>
      <c r="AN125" s="270"/>
      <c r="AO125" s="575"/>
      <c r="AP125" s="270"/>
      <c r="AQ125" s="270"/>
      <c r="AR125" s="270"/>
      <c r="AS125" s="270"/>
      <c r="AT125" s="270"/>
      <c r="AU125" s="270"/>
      <c r="AV125" s="270"/>
      <c r="AW125" s="270"/>
      <c r="AX125" s="270"/>
      <c r="AY125" s="270"/>
      <c r="AZ125" s="270"/>
      <c r="BA125" s="270"/>
      <c r="BB125" s="270"/>
      <c r="BC125" s="270"/>
      <c r="BD125" s="270"/>
      <c r="BE125" s="270"/>
      <c r="BF125" s="270"/>
      <c r="BG125" s="270"/>
      <c r="BH125" s="270"/>
      <c r="BI125" s="270"/>
      <c r="BJ125" s="270"/>
      <c r="BK125" s="270"/>
      <c r="BL125" s="270"/>
      <c r="BM125" s="270"/>
      <c r="BN125" s="270"/>
      <c r="BO125" s="270"/>
      <c r="BP125" s="270"/>
      <c r="BQ125" s="270"/>
      <c r="BR125" s="270"/>
      <c r="BS125" s="270"/>
      <c r="BT125" s="270"/>
      <c r="BU125" s="270"/>
      <c r="BV125" s="270"/>
      <c r="BW125" s="270"/>
      <c r="BX125" s="270"/>
      <c r="BY125" s="270"/>
      <c r="BZ125" s="270"/>
      <c r="CA125" s="270"/>
      <c r="CB125" s="270"/>
      <c r="CC125" s="270"/>
      <c r="CD125" s="270"/>
      <c r="CE125" s="1395"/>
      <c r="CF125" s="1450"/>
      <c r="CG125" s="1450"/>
      <c r="CH125" s="270"/>
      <c r="CI125" s="270"/>
      <c r="CJ125" s="270"/>
      <c r="CK125" s="270"/>
      <c r="CL125" s="270"/>
      <c r="CM125" s="270"/>
    </row>
    <row r="126" spans="1:91" ht="13.5" hidden="1" outlineLevel="3" thickBot="1" x14ac:dyDescent="0.25">
      <c r="A126" s="270"/>
      <c r="B126" s="271"/>
      <c r="C126" s="12"/>
      <c r="D126" s="1071"/>
      <c r="E126" s="1071"/>
      <c r="F126" s="1071"/>
      <c r="G126" s="626"/>
      <c r="H126" s="271"/>
      <c r="I126" s="270"/>
      <c r="J126" s="270"/>
      <c r="K126" s="270"/>
      <c r="L126" s="270"/>
      <c r="M126" s="270"/>
      <c r="N126" s="270"/>
      <c r="O126" s="270"/>
      <c r="P126" s="1072"/>
      <c r="Q126" s="270"/>
      <c r="R126" s="270"/>
      <c r="S126" s="1072"/>
      <c r="T126" s="270"/>
      <c r="U126" s="1019"/>
      <c r="V126" s="1073"/>
      <c r="W126" s="1074"/>
      <c r="X126" s="1075" t="str">
        <f>N_Substitute</f>
        <v>Remplaçant</v>
      </c>
      <c r="Y126" s="627"/>
      <c r="Z126" s="492"/>
      <c r="AA126" s="1076"/>
      <c r="AB126" s="1069"/>
      <c r="AC126" s="1070"/>
      <c r="AD126" s="839"/>
      <c r="AE126" s="270"/>
      <c r="AF126" s="270"/>
      <c r="AG126" s="270"/>
      <c r="AH126" s="270"/>
      <c r="AI126" s="270"/>
      <c r="AJ126" s="270"/>
      <c r="AK126" s="270"/>
      <c r="AL126" s="270"/>
      <c r="AM126" s="270"/>
      <c r="AN126" s="270"/>
      <c r="AO126" s="271"/>
      <c r="AP126" s="270"/>
      <c r="AQ126" s="270"/>
      <c r="AR126" s="270"/>
      <c r="AS126" s="270"/>
      <c r="AT126" s="270"/>
      <c r="AU126" s="270"/>
      <c r="AV126" s="270"/>
      <c r="AW126" s="270"/>
      <c r="AX126" s="270"/>
      <c r="AY126" s="1072"/>
      <c r="AZ126" s="270"/>
      <c r="BA126" s="270"/>
      <c r="BB126" s="1072"/>
      <c r="BC126" s="270"/>
      <c r="BD126" s="270"/>
      <c r="BE126" s="270"/>
      <c r="BF126" s="270"/>
      <c r="BG126" s="270"/>
      <c r="BH126" s="270"/>
      <c r="BI126" s="270"/>
      <c r="BJ126" s="270"/>
      <c r="BK126" s="270"/>
      <c r="BL126" s="270"/>
      <c r="BM126" s="270"/>
      <c r="BN126" s="270"/>
      <c r="BO126" s="270"/>
      <c r="BP126" s="270"/>
      <c r="BQ126" s="270"/>
      <c r="BR126" s="270"/>
      <c r="BS126" s="270"/>
      <c r="BT126" s="270"/>
      <c r="BU126" s="270"/>
      <c r="BV126" s="270"/>
      <c r="BW126" s="270"/>
      <c r="BX126" s="270"/>
      <c r="BY126" s="270"/>
      <c r="BZ126" s="270"/>
      <c r="CA126" s="270"/>
      <c r="CB126" s="270"/>
      <c r="CC126" s="270"/>
      <c r="CD126" s="270"/>
      <c r="CE126" s="1395"/>
      <c r="CF126" s="1450"/>
      <c r="CG126" s="1450"/>
      <c r="CH126" s="270"/>
      <c r="CI126" s="270"/>
      <c r="CJ126" s="270"/>
      <c r="CK126" s="270"/>
      <c r="CL126" s="270"/>
      <c r="CM126" s="270"/>
    </row>
    <row r="127" spans="1:91" ht="13.5" hidden="1" outlineLevel="3" thickBot="1" x14ac:dyDescent="0.25">
      <c r="A127" s="270"/>
      <c r="B127" s="271"/>
      <c r="C127" s="12"/>
      <c r="D127" s="1071"/>
      <c r="E127" s="1071"/>
      <c r="F127" s="1071"/>
      <c r="G127" s="626"/>
      <c r="H127" s="271"/>
      <c r="I127" s="270"/>
      <c r="J127" s="270"/>
      <c r="K127" s="270"/>
      <c r="L127" s="270"/>
      <c r="M127" s="270"/>
      <c r="N127" s="270"/>
      <c r="O127" s="270"/>
      <c r="P127" s="1072"/>
      <c r="Q127" s="270"/>
      <c r="R127" s="270"/>
      <c r="S127" s="1072"/>
      <c r="T127" s="270"/>
      <c r="U127" s="1019"/>
      <c r="V127" s="1119"/>
      <c r="W127" s="1120"/>
      <c r="X127" s="1075" t="str">
        <f>N_Substitute</f>
        <v>Remplaçant</v>
      </c>
      <c r="Y127" s="627"/>
      <c r="Z127" s="492"/>
      <c r="AA127" s="1121"/>
      <c r="AB127" s="1069"/>
      <c r="AC127" s="1070"/>
      <c r="AD127" s="839"/>
      <c r="AE127" s="270"/>
      <c r="AF127" s="270"/>
      <c r="AG127" s="270"/>
      <c r="AH127" s="270"/>
      <c r="AI127" s="270"/>
      <c r="AJ127" s="270"/>
      <c r="AK127" s="270"/>
      <c r="AL127" s="270"/>
      <c r="AM127" s="270"/>
      <c r="AN127" s="270"/>
      <c r="AO127" s="271"/>
      <c r="AP127" s="270"/>
      <c r="AQ127" s="270"/>
      <c r="AR127" s="270"/>
      <c r="AS127" s="270"/>
      <c r="AT127" s="270"/>
      <c r="AU127" s="270"/>
      <c r="AV127" s="270"/>
      <c r="AW127" s="270"/>
      <c r="AX127" s="270"/>
      <c r="AY127" s="1072"/>
      <c r="AZ127" s="270"/>
      <c r="BA127" s="270"/>
      <c r="BB127" s="1072"/>
      <c r="BC127" s="270"/>
      <c r="BD127" s="270"/>
      <c r="BE127" s="270"/>
      <c r="BF127" s="270"/>
      <c r="BG127" s="270"/>
      <c r="BH127" s="270"/>
      <c r="BI127" s="270"/>
      <c r="BJ127" s="270"/>
      <c r="BK127" s="270"/>
      <c r="BL127" s="270"/>
      <c r="BM127" s="270"/>
      <c r="BN127" s="270"/>
      <c r="BO127" s="270"/>
      <c r="BP127" s="270"/>
      <c r="BQ127" s="270"/>
      <c r="BR127" s="270"/>
      <c r="BS127" s="270"/>
      <c r="BT127" s="270"/>
      <c r="BU127" s="270"/>
      <c r="BV127" s="270"/>
      <c r="BW127" s="270"/>
      <c r="BX127" s="270"/>
      <c r="BY127" s="270"/>
      <c r="BZ127" s="270"/>
      <c r="CA127" s="270"/>
      <c r="CB127" s="270"/>
      <c r="CC127" s="270"/>
      <c r="CD127" s="270"/>
      <c r="CE127" s="1395"/>
      <c r="CF127" s="1450"/>
      <c r="CG127" s="1450"/>
      <c r="CH127" s="270"/>
      <c r="CI127" s="270"/>
      <c r="CJ127" s="270"/>
      <c r="CK127" s="270"/>
      <c r="CL127" s="270"/>
      <c r="CM127" s="270"/>
    </row>
    <row r="128" spans="1:91" ht="13.5" hidden="1" outlineLevel="2" collapsed="1" thickBot="1" x14ac:dyDescent="0.25">
      <c r="A128" s="270"/>
      <c r="B128" s="271"/>
      <c r="C128" s="270"/>
      <c r="D128" s="270"/>
      <c r="E128" s="270"/>
      <c r="F128" s="270"/>
      <c r="G128" s="271"/>
      <c r="H128" s="270"/>
      <c r="I128" s="270"/>
      <c r="J128" s="270"/>
      <c r="K128" s="270"/>
      <c r="L128" s="270"/>
      <c r="M128" s="270"/>
      <c r="N128" s="270"/>
      <c r="O128" s="270"/>
      <c r="P128" s="270"/>
      <c r="Q128" s="270"/>
      <c r="R128" s="270"/>
      <c r="S128" s="270"/>
      <c r="T128" s="270"/>
      <c r="U128" s="1019" t="s">
        <v>1728</v>
      </c>
      <c r="V128" s="1122"/>
      <c r="W128" s="618"/>
      <c r="X128" s="1068"/>
      <c r="Y128" s="1102" t="str">
        <f>IF(COUNTA(G88:G91) =4,GMFTGROUPORDERTEAM(G88:G91,Y93:Y134,AC93:AC134),"")</f>
        <v>Eq3</v>
      </c>
      <c r="Z128" s="1103" t="str">
        <f>IF(OR(ISNUMBER(Z129),ISNUMBER(Z130),ISNUMBER(Z131),ISNUMBER(Z132)),4-COUNTBLANK(AI129:AI132),"")</f>
        <v/>
      </c>
      <c r="AA128" s="1104" t="s">
        <v>769</v>
      </c>
      <c r="AB128" s="1103" t="str">
        <f>IF(OR(ISNUMBER(Z129),ISNUMBER(Z130),ISNUMBER(Z131),ISNUMBER(Z132)),4-COUNTBLANK(AJ129:AJ132),"")</f>
        <v/>
      </c>
      <c r="AC128" s="1105" t="str">
        <f>IF(COUNTA(G88:G91) =4,GMFTGROUPORDERTEAM(G88:G91,Y93:Y134,AC93:AC134),"")</f>
        <v>Eq4</v>
      </c>
      <c r="AD128" s="839"/>
      <c r="AE128" s="270" t="str">
        <f>IF(Z128="","",IF(Z128&gt;AB128,Y128,IF(Z128=AB128,IF(NoDrawWithWithdraw,IF(AL128=Y128,AC128,IF(AL128=AC128,Y128,"")),""),AC128)))</f>
        <v/>
      </c>
      <c r="AF128" s="270" t="str">
        <f>IF(Z128="","",IF(Z128=AB128,IF(NoDrawWithWithdraw,IF(AL128=Y128,"",IF(AL128=AC128,"",Y128)),Y128),""))</f>
        <v/>
      </c>
      <c r="AG128" s="270" t="str">
        <f>IF(Z128="","",IF(Z128=AB128,IF(NoDrawWithWithdraw,IF(AL128=Y128,"",IF(AL128=AC128,"",AC128)),AC128),""))</f>
        <v/>
      </c>
      <c r="AH128" s="270" t="str">
        <f>IF(Z128="","",IF(Z128&lt;AB128,Y128,IF(Z128=AB128,IF(NoDrawWithWithdraw,IF(AL128=Y128,Y128,IF(AL128=AC128,AC128,"")),""),AC128)))</f>
        <v/>
      </c>
      <c r="AI128" s="270" t="str">
        <f>IF(Z128="","",SUM(Z129:Z132))</f>
        <v/>
      </c>
      <c r="AJ128" s="270" t="str">
        <f>IF(Z128="","",SUM(AB129:AB132))</f>
        <v/>
      </c>
      <c r="AK128" s="270" t="str">
        <f>CONCATENATE(AE128,AH128)</f>
        <v/>
      </c>
      <c r="AL128" s="270" t="str">
        <f>IF(COUNTIF(Y129:Y132,WithdrawLabel)&gt;COUNTIF(AC129:AC132,WithdrawLabel),Y128,IF(COUNTIF(AC129:AC132,WithdrawLabel)&gt;COUNTIF(Y129:Y132,WithdrawLabel),AC128,""))</f>
        <v/>
      </c>
      <c r="AM128" s="270"/>
      <c r="AN128" s="270"/>
      <c r="AO128" s="575"/>
      <c r="AP128" s="270"/>
      <c r="AQ128" s="270"/>
      <c r="AR128" s="270"/>
      <c r="AS128" s="270"/>
      <c r="AT128" s="270"/>
      <c r="AU128" s="270"/>
      <c r="AV128" s="270"/>
      <c r="AW128" s="270"/>
      <c r="AX128" s="270"/>
      <c r="AY128" s="270"/>
      <c r="AZ128" s="270"/>
      <c r="BA128" s="270"/>
      <c r="BB128" s="270"/>
      <c r="BC128" s="270"/>
      <c r="BD128" s="270"/>
      <c r="BE128" s="270"/>
      <c r="BF128" s="270"/>
      <c r="BG128" s="270"/>
      <c r="BH128" s="270"/>
      <c r="BI128" s="270"/>
      <c r="BJ128" s="270"/>
      <c r="BK128" s="270"/>
      <c r="BL128" s="270"/>
      <c r="BM128" s="270"/>
      <c r="BN128" s="270"/>
      <c r="BO128" s="270"/>
      <c r="BP128" s="270"/>
      <c r="BQ128" s="270"/>
      <c r="BR128" s="270"/>
      <c r="BS128" s="270"/>
      <c r="BT128" s="270"/>
      <c r="BU128" s="270"/>
      <c r="BV128" s="270"/>
      <c r="BW128" s="270"/>
      <c r="BX128" s="270"/>
      <c r="BY128" s="270"/>
      <c r="BZ128" s="270"/>
      <c r="CA128" s="270"/>
      <c r="CB128" s="270"/>
      <c r="CC128" s="270"/>
      <c r="CD128" s="270"/>
      <c r="CE128" s="1395"/>
      <c r="CF128" s="1450"/>
      <c r="CG128" s="1450"/>
      <c r="CH128" s="270"/>
      <c r="CI128" s="270"/>
      <c r="CJ128" s="270"/>
      <c r="CK128" s="270"/>
      <c r="CL128" s="270"/>
      <c r="CM128" s="270"/>
    </row>
    <row r="129" spans="1:91" ht="13.5" hidden="1" outlineLevel="3" thickBot="1" x14ac:dyDescent="0.25">
      <c r="A129" s="270"/>
      <c r="B129" s="271"/>
      <c r="C129" s="270"/>
      <c r="D129" s="270"/>
      <c r="E129" s="270"/>
      <c r="F129" s="270"/>
      <c r="G129" s="271"/>
      <c r="H129" s="270"/>
      <c r="I129" s="270"/>
      <c r="J129" s="270"/>
      <c r="K129" s="270"/>
      <c r="L129" s="270"/>
      <c r="M129" s="270"/>
      <c r="N129" s="270"/>
      <c r="O129" s="270"/>
      <c r="P129" s="270"/>
      <c r="Q129" s="270"/>
      <c r="R129" s="270"/>
      <c r="S129" s="270"/>
      <c r="T129" s="270"/>
      <c r="U129" s="270"/>
      <c r="V129" s="1118"/>
      <c r="W129" s="618"/>
      <c r="X129" s="1068"/>
      <c r="Y129" s="627"/>
      <c r="Z129" s="492"/>
      <c r="AA129" s="493" t="s">
        <v>769</v>
      </c>
      <c r="AB129" s="1069"/>
      <c r="AC129" s="1070"/>
      <c r="AD129" s="839"/>
      <c r="AE129" s="270" t="str">
        <f>IF(Z129="","",IF(Z129&gt;AB129,Y129,IF(Z129=AB129,"",AC129)))</f>
        <v/>
      </c>
      <c r="AF129" s="270" t="str">
        <f>IF(Z129="","",IF(Z129=AB129,Y129,""))</f>
        <v/>
      </c>
      <c r="AG129" s="270" t="str">
        <f>IF(Z129="","",IF(Z129=AB129,AC129,""))</f>
        <v/>
      </c>
      <c r="AH129" s="270" t="str">
        <f>IF(Z129="","",IF(Z129&lt;AB129,Y129,IF(Z129=AB129,"",AC129)))</f>
        <v/>
      </c>
      <c r="AI129" s="270" t="str">
        <f>IF(Z129="","",IF(Z129&gt;AB129,Y128,""))</f>
        <v/>
      </c>
      <c r="AJ129" s="270" t="str">
        <f>IF(Z129="","",IF(Z129&lt;AB129,AC128,""))</f>
        <v/>
      </c>
      <c r="AK129" s="270" t="str">
        <f>CONCATENATE(AE129,AH129)</f>
        <v/>
      </c>
      <c r="AL129" s="270"/>
      <c r="AM129" s="270"/>
      <c r="AN129" s="270"/>
      <c r="AO129" s="575"/>
      <c r="AP129" s="270"/>
      <c r="AQ129" s="270"/>
      <c r="AR129" s="270"/>
      <c r="AS129" s="270"/>
      <c r="AT129" s="270"/>
      <c r="AU129" s="270"/>
      <c r="AV129" s="270"/>
      <c r="AW129" s="270"/>
      <c r="AX129" s="270"/>
      <c r="AY129" s="270"/>
      <c r="AZ129" s="270"/>
      <c r="BA129" s="270"/>
      <c r="BB129" s="270"/>
      <c r="BC129" s="270"/>
      <c r="BD129" s="270"/>
      <c r="BE129" s="270"/>
      <c r="BF129" s="270"/>
      <c r="BG129" s="270"/>
      <c r="BH129" s="270"/>
      <c r="BI129" s="270"/>
      <c r="BJ129" s="270"/>
      <c r="BK129" s="270"/>
      <c r="BL129" s="270"/>
      <c r="BM129" s="270"/>
      <c r="BN129" s="270"/>
      <c r="BO129" s="270"/>
      <c r="BP129" s="270"/>
      <c r="BQ129" s="270"/>
      <c r="BR129" s="270"/>
      <c r="BS129" s="270"/>
      <c r="BT129" s="270"/>
      <c r="BU129" s="270"/>
      <c r="BV129" s="270"/>
      <c r="BW129" s="270"/>
      <c r="BX129" s="270"/>
      <c r="BY129" s="270"/>
      <c r="BZ129" s="270"/>
      <c r="CA129" s="270"/>
      <c r="CB129" s="270"/>
      <c r="CC129" s="270"/>
      <c r="CD129" s="270"/>
      <c r="CE129" s="1395"/>
      <c r="CF129" s="1450"/>
      <c r="CG129" s="1450"/>
      <c r="CH129" s="270"/>
      <c r="CI129" s="270"/>
      <c r="CJ129" s="270"/>
      <c r="CK129" s="270"/>
      <c r="CL129" s="270"/>
      <c r="CM129" s="270"/>
    </row>
    <row r="130" spans="1:91" ht="13.5" hidden="1" outlineLevel="3" thickBot="1" x14ac:dyDescent="0.25">
      <c r="A130" s="270"/>
      <c r="B130" s="271"/>
      <c r="C130" s="270"/>
      <c r="D130" s="270"/>
      <c r="E130" s="270"/>
      <c r="F130" s="270"/>
      <c r="G130" s="271"/>
      <c r="H130" s="270"/>
      <c r="I130" s="270"/>
      <c r="J130" s="270"/>
      <c r="K130" s="270"/>
      <c r="L130" s="270"/>
      <c r="M130" s="270"/>
      <c r="N130" s="270"/>
      <c r="O130" s="270"/>
      <c r="P130" s="270"/>
      <c r="Q130" s="270"/>
      <c r="R130" s="270"/>
      <c r="S130" s="270"/>
      <c r="T130" s="270"/>
      <c r="U130" s="270"/>
      <c r="V130" s="1118"/>
      <c r="W130" s="618"/>
      <c r="X130" s="1068"/>
      <c r="Y130" s="627"/>
      <c r="Z130" s="492"/>
      <c r="AA130" s="493" t="s">
        <v>769</v>
      </c>
      <c r="AB130" s="1069"/>
      <c r="AC130" s="1070"/>
      <c r="AD130" s="839"/>
      <c r="AE130" s="270" t="str">
        <f>IF(Z130="","",IF(Z130&gt;AB130,Y130,IF(Z130=AB130,"",AC130)))</f>
        <v/>
      </c>
      <c r="AF130" s="270" t="str">
        <f>IF(Z130="","",IF(Z130=AB130,Y130,""))</f>
        <v/>
      </c>
      <c r="AG130" s="270" t="str">
        <f>IF(Z130="","",IF(Z130=AB130,AC130,""))</f>
        <v/>
      </c>
      <c r="AH130" s="270" t="str">
        <f>IF(Z130="","",IF(Z130&lt;AB130,Y130,IF(Z130=AB130,"",AC130)))</f>
        <v/>
      </c>
      <c r="AI130" s="270" t="str">
        <f>IF(Z130="","",IF(Z130&gt;AB130,Y128,""))</f>
        <v/>
      </c>
      <c r="AJ130" s="270" t="str">
        <f>IF(Z130="","",IF(Z130&lt;AB130,AC128,""))</f>
        <v/>
      </c>
      <c r="AK130" s="270" t="str">
        <f>CONCATENATE(AE130,AH130)</f>
        <v/>
      </c>
      <c r="AL130" s="270"/>
      <c r="AM130" s="270"/>
      <c r="AN130" s="270"/>
      <c r="AO130" s="575"/>
      <c r="AP130" s="270"/>
      <c r="AQ130" s="270"/>
      <c r="AR130" s="270"/>
      <c r="AS130" s="270"/>
      <c r="AT130" s="270"/>
      <c r="AU130" s="270"/>
      <c r="AV130" s="270"/>
      <c r="AW130" s="270"/>
      <c r="AX130" s="270"/>
      <c r="AY130" s="270"/>
      <c r="AZ130" s="270"/>
      <c r="BA130" s="270"/>
      <c r="BB130" s="270"/>
      <c r="BC130" s="270"/>
      <c r="BD130" s="270"/>
      <c r="BE130" s="270"/>
      <c r="BF130" s="270"/>
      <c r="BG130" s="270"/>
      <c r="BH130" s="270"/>
      <c r="BI130" s="270"/>
      <c r="BJ130" s="270"/>
      <c r="BK130" s="270"/>
      <c r="BL130" s="270"/>
      <c r="BM130" s="270"/>
      <c r="BN130" s="270"/>
      <c r="BO130" s="270"/>
      <c r="BP130" s="270"/>
      <c r="BQ130" s="270"/>
      <c r="BR130" s="270"/>
      <c r="BS130" s="270"/>
      <c r="BT130" s="270"/>
      <c r="BU130" s="270"/>
      <c r="BV130" s="270"/>
      <c r="BW130" s="270"/>
      <c r="BX130" s="270"/>
      <c r="BY130" s="270"/>
      <c r="BZ130" s="270"/>
      <c r="CA130" s="270"/>
      <c r="CB130" s="270"/>
      <c r="CC130" s="270"/>
      <c r="CD130" s="270"/>
      <c r="CE130" s="1395"/>
      <c r="CF130" s="1450"/>
      <c r="CG130" s="1450"/>
      <c r="CH130" s="270"/>
      <c r="CI130" s="270"/>
      <c r="CJ130" s="270"/>
      <c r="CK130" s="270"/>
      <c r="CL130" s="270"/>
      <c r="CM130" s="270"/>
    </row>
    <row r="131" spans="1:91" ht="13.5" hidden="1" outlineLevel="3" thickBot="1" x14ac:dyDescent="0.25">
      <c r="A131" s="270"/>
      <c r="B131" s="271"/>
      <c r="C131" s="270"/>
      <c r="D131" s="270"/>
      <c r="E131" s="270"/>
      <c r="F131" s="270"/>
      <c r="G131" s="271"/>
      <c r="H131" s="270"/>
      <c r="I131" s="270"/>
      <c r="J131" s="270"/>
      <c r="K131" s="270"/>
      <c r="L131" s="270"/>
      <c r="M131" s="270"/>
      <c r="N131" s="270"/>
      <c r="O131" s="270"/>
      <c r="P131" s="270"/>
      <c r="Q131" s="270"/>
      <c r="R131" s="270"/>
      <c r="S131" s="270"/>
      <c r="T131" s="270"/>
      <c r="U131" s="270"/>
      <c r="V131" s="1118"/>
      <c r="W131" s="618"/>
      <c r="X131" s="1068"/>
      <c r="Y131" s="627"/>
      <c r="Z131" s="492"/>
      <c r="AA131" s="493" t="s">
        <v>769</v>
      </c>
      <c r="AB131" s="1069"/>
      <c r="AC131" s="1070"/>
      <c r="AD131" s="839"/>
      <c r="AE131" s="270" t="str">
        <f>IF(Z131="","",IF(Z131&gt;AB131,Y131,IF(Z131=AB131,"",AC131)))</f>
        <v/>
      </c>
      <c r="AF131" s="270" t="str">
        <f>IF(Z131="","",IF(Z131=AB131,Y131,""))</f>
        <v/>
      </c>
      <c r="AG131" s="270" t="str">
        <f>IF(Z131="","",IF(Z131=AB131,AC131,""))</f>
        <v/>
      </c>
      <c r="AH131" s="270" t="str">
        <f>IF(Z131="","",IF(Z131&lt;AB131,Y131,IF(Z131=AB131,"",AC131)))</f>
        <v/>
      </c>
      <c r="AI131" s="270" t="str">
        <f>IF(Z131="","",IF(Z131&gt;AB131,Y128,""))</f>
        <v/>
      </c>
      <c r="AJ131" s="270" t="str">
        <f>IF(Z131="","",IF(Z131&lt;AB131,AC128,""))</f>
        <v/>
      </c>
      <c r="AK131" s="270" t="str">
        <f>CONCATENATE(AE131,AH131)</f>
        <v/>
      </c>
      <c r="AL131" s="270"/>
      <c r="AM131" s="270"/>
      <c r="AN131" s="270"/>
      <c r="AO131" s="575"/>
      <c r="AP131" s="270"/>
      <c r="AQ131" s="270"/>
      <c r="AR131" s="270"/>
      <c r="AS131" s="270"/>
      <c r="AT131" s="270"/>
      <c r="AU131" s="270"/>
      <c r="AV131" s="270"/>
      <c r="AW131" s="270"/>
      <c r="AX131" s="270"/>
      <c r="AY131" s="270"/>
      <c r="AZ131" s="270"/>
      <c r="BA131" s="270"/>
      <c r="BB131" s="270"/>
      <c r="BC131" s="270"/>
      <c r="BD131" s="270"/>
      <c r="BE131" s="270"/>
      <c r="BF131" s="270"/>
      <c r="BG131" s="270"/>
      <c r="BH131" s="270"/>
      <c r="BI131" s="270"/>
      <c r="BJ131" s="270"/>
      <c r="BK131" s="270"/>
      <c r="BL131" s="270"/>
      <c r="BM131" s="270"/>
      <c r="BN131" s="270"/>
      <c r="BO131" s="270"/>
      <c r="BP131" s="270"/>
      <c r="BQ131" s="270"/>
      <c r="BR131" s="270"/>
      <c r="BS131" s="270"/>
      <c r="BT131" s="270"/>
      <c r="BU131" s="270"/>
      <c r="BV131" s="270"/>
      <c r="BW131" s="270"/>
      <c r="BX131" s="270"/>
      <c r="BY131" s="270"/>
      <c r="BZ131" s="270"/>
      <c r="CA131" s="270"/>
      <c r="CB131" s="270"/>
      <c r="CC131" s="270"/>
      <c r="CD131" s="270"/>
      <c r="CE131" s="1395"/>
      <c r="CF131" s="1450"/>
      <c r="CG131" s="1450"/>
      <c r="CH131" s="270"/>
      <c r="CI131" s="270"/>
      <c r="CJ131" s="270"/>
      <c r="CK131" s="270"/>
      <c r="CL131" s="270"/>
      <c r="CM131" s="270"/>
    </row>
    <row r="132" spans="1:91" ht="13.5" hidden="1" outlineLevel="3" thickBot="1" x14ac:dyDescent="0.25">
      <c r="A132" s="270"/>
      <c r="B132" s="271"/>
      <c r="C132" s="270"/>
      <c r="D132" s="270"/>
      <c r="E132" s="270"/>
      <c r="F132" s="270"/>
      <c r="G132" s="271"/>
      <c r="H132" s="270"/>
      <c r="I132" s="270"/>
      <c r="J132" s="270"/>
      <c r="K132" s="270"/>
      <c r="L132" s="270"/>
      <c r="M132" s="270"/>
      <c r="N132" s="270"/>
      <c r="O132" s="270"/>
      <c r="P132" s="270"/>
      <c r="Q132" s="270"/>
      <c r="R132" s="270"/>
      <c r="S132" s="270"/>
      <c r="T132" s="270"/>
      <c r="U132" s="270"/>
      <c r="V132" s="1118"/>
      <c r="W132" s="618"/>
      <c r="X132" s="1068"/>
      <c r="Y132" s="627"/>
      <c r="Z132" s="492"/>
      <c r="AA132" s="493" t="s">
        <v>769</v>
      </c>
      <c r="AB132" s="1069"/>
      <c r="AC132" s="1070"/>
      <c r="AD132" s="839"/>
      <c r="AE132" s="270" t="str">
        <f>IF(Z132="","",IF(Z132&gt;AB132,Y132,IF(Z132=AB132,"",AC132)))</f>
        <v/>
      </c>
      <c r="AF132" s="270" t="str">
        <f>IF(Z132="","",IF(Z132=AB132,Y132,""))</f>
        <v/>
      </c>
      <c r="AG132" s="270" t="str">
        <f>IF(Z132="","",IF(Z132=AB132,AC132,""))</f>
        <v/>
      </c>
      <c r="AH132" s="270" t="str">
        <f>IF(Z132="","",IF(Z132&lt;AB132,Y132,IF(Z132=AB132,"",AC132)))</f>
        <v/>
      </c>
      <c r="AI132" s="270" t="str">
        <f>IF(Z132="","",IF(Z132&gt;AB132,Y128,""))</f>
        <v/>
      </c>
      <c r="AJ132" s="270" t="str">
        <f>IF(Z132="","",IF(Z132&lt;AB132,AC128,""))</f>
        <v/>
      </c>
      <c r="AK132" s="270" t="str">
        <f>CONCATENATE(AE132,AH132)</f>
        <v/>
      </c>
      <c r="AL132" s="270"/>
      <c r="AM132" s="270"/>
      <c r="AN132" s="270"/>
      <c r="AO132" s="575"/>
      <c r="AP132" s="270"/>
      <c r="AQ132" s="270"/>
      <c r="AR132" s="270"/>
      <c r="AS132" s="270"/>
      <c r="AT132" s="270"/>
      <c r="AU132" s="270"/>
      <c r="AV132" s="270"/>
      <c r="AW132" s="270"/>
      <c r="AX132" s="270"/>
      <c r="AY132" s="270"/>
      <c r="AZ132" s="270"/>
      <c r="BA132" s="270"/>
      <c r="BB132" s="270"/>
      <c r="BC132" s="270"/>
      <c r="BD132" s="270"/>
      <c r="BE132" s="270"/>
      <c r="BF132" s="270"/>
      <c r="BG132" s="270"/>
      <c r="BH132" s="270"/>
      <c r="BI132" s="270"/>
      <c r="BJ132" s="270"/>
      <c r="BK132" s="270"/>
      <c r="BL132" s="270"/>
      <c r="BM132" s="270"/>
      <c r="BN132" s="270"/>
      <c r="BO132" s="270"/>
      <c r="BP132" s="270"/>
      <c r="BQ132" s="270"/>
      <c r="BR132" s="270"/>
      <c r="BS132" s="270"/>
      <c r="BT132" s="270"/>
      <c r="BU132" s="270"/>
      <c r="BV132" s="270"/>
      <c r="BW132" s="270"/>
      <c r="BX132" s="270"/>
      <c r="BY132" s="270"/>
      <c r="BZ132" s="270"/>
      <c r="CA132" s="270"/>
      <c r="CB132" s="270"/>
      <c r="CC132" s="270"/>
      <c r="CD132" s="270"/>
      <c r="CE132" s="1395"/>
      <c r="CF132" s="1450"/>
      <c r="CG132" s="1450"/>
      <c r="CH132" s="270"/>
      <c r="CI132" s="270"/>
      <c r="CJ132" s="270"/>
      <c r="CK132" s="270"/>
      <c r="CL132" s="270"/>
      <c r="CM132" s="270"/>
    </row>
    <row r="133" spans="1:91" ht="13.5" hidden="1" outlineLevel="3" thickBot="1" x14ac:dyDescent="0.25">
      <c r="A133" s="270"/>
      <c r="B133" s="271"/>
      <c r="C133" s="12"/>
      <c r="D133" s="1071"/>
      <c r="E133" s="1071"/>
      <c r="F133" s="1071"/>
      <c r="G133" s="626"/>
      <c r="H133" s="271"/>
      <c r="I133" s="270"/>
      <c r="J133" s="270"/>
      <c r="K133" s="270"/>
      <c r="L133" s="270"/>
      <c r="M133" s="270"/>
      <c r="N133" s="270"/>
      <c r="O133" s="270"/>
      <c r="P133" s="1072"/>
      <c r="Q133" s="270"/>
      <c r="R133" s="270"/>
      <c r="S133" s="1072"/>
      <c r="T133" s="270"/>
      <c r="U133" s="1019"/>
      <c r="V133" s="1077"/>
      <c r="W133" s="1078"/>
      <c r="X133" s="1075" t="str">
        <f>N_Substitute</f>
        <v>Remplaçant</v>
      </c>
      <c r="Y133" s="627"/>
      <c r="Z133" s="492"/>
      <c r="AA133" s="1076"/>
      <c r="AB133" s="1069"/>
      <c r="AC133" s="1070"/>
      <c r="AD133" s="839"/>
      <c r="AE133" s="270"/>
      <c r="AF133" s="270"/>
      <c r="AG133" s="270"/>
      <c r="AH133" s="270"/>
      <c r="AI133" s="270"/>
      <c r="AJ133" s="270"/>
      <c r="AK133" s="270"/>
      <c r="AL133" s="270"/>
      <c r="AM133" s="270"/>
      <c r="AN133" s="270"/>
      <c r="AO133" s="271"/>
      <c r="AP133" s="270"/>
      <c r="AQ133" s="270"/>
      <c r="AR133" s="270"/>
      <c r="AS133" s="270"/>
      <c r="AT133" s="270"/>
      <c r="AU133" s="270"/>
      <c r="AV133" s="270"/>
      <c r="AW133" s="270"/>
      <c r="AX133" s="270"/>
      <c r="AY133" s="1072"/>
      <c r="AZ133" s="270"/>
      <c r="BA133" s="270"/>
      <c r="BB133" s="1072"/>
      <c r="BC133" s="270"/>
      <c r="BD133" s="270"/>
      <c r="BE133" s="270"/>
      <c r="BF133" s="270"/>
      <c r="BG133" s="270"/>
      <c r="BH133" s="270"/>
      <c r="BI133" s="270"/>
      <c r="BJ133" s="270"/>
      <c r="BK133" s="270"/>
      <c r="BL133" s="270"/>
      <c r="BM133" s="270"/>
      <c r="BN133" s="270"/>
      <c r="BO133" s="270"/>
      <c r="BP133" s="270"/>
      <c r="BQ133" s="270"/>
      <c r="BR133" s="270"/>
      <c r="BS133" s="270"/>
      <c r="BT133" s="270"/>
      <c r="BU133" s="270"/>
      <c r="BV133" s="270"/>
      <c r="BW133" s="270"/>
      <c r="BX133" s="270"/>
      <c r="BY133" s="270"/>
      <c r="BZ133" s="270"/>
      <c r="CA133" s="270"/>
      <c r="CB133" s="270"/>
      <c r="CC133" s="270"/>
      <c r="CD133" s="270"/>
      <c r="CE133" s="1395"/>
      <c r="CF133" s="1450"/>
      <c r="CG133" s="1450"/>
      <c r="CH133" s="270"/>
      <c r="CI133" s="270"/>
      <c r="CJ133" s="270"/>
      <c r="CK133" s="270"/>
      <c r="CL133" s="270"/>
      <c r="CM133" s="270"/>
    </row>
    <row r="134" spans="1:91" ht="13.5" hidden="1" outlineLevel="3" thickBot="1" x14ac:dyDescent="0.25">
      <c r="A134" s="270"/>
      <c r="B134" s="271"/>
      <c r="C134" s="12"/>
      <c r="D134" s="1071"/>
      <c r="E134" s="1071"/>
      <c r="F134" s="1071"/>
      <c r="G134" s="626"/>
      <c r="H134" s="271"/>
      <c r="I134" s="270"/>
      <c r="J134" s="270"/>
      <c r="K134" s="270"/>
      <c r="L134" s="270"/>
      <c r="M134" s="270"/>
      <c r="N134" s="270"/>
      <c r="O134" s="270"/>
      <c r="P134" s="1072"/>
      <c r="Q134" s="270"/>
      <c r="R134" s="270"/>
      <c r="S134" s="1072"/>
      <c r="T134" s="270"/>
      <c r="U134" s="1019"/>
      <c r="V134" s="1087"/>
      <c r="W134" s="1088"/>
      <c r="X134" s="1089" t="str">
        <f>N_Substitute</f>
        <v>Remplaçant</v>
      </c>
      <c r="Y134" s="631"/>
      <c r="Z134" s="496"/>
      <c r="AA134" s="1090"/>
      <c r="AB134" s="496"/>
      <c r="AC134" s="1092"/>
      <c r="AD134" s="839"/>
      <c r="AE134" s="270"/>
      <c r="AF134" s="270"/>
      <c r="AG134" s="270"/>
      <c r="AH134" s="270"/>
      <c r="AI134" s="270"/>
      <c r="AJ134" s="270"/>
      <c r="AK134" s="270"/>
      <c r="AL134" s="270"/>
      <c r="AM134" s="270"/>
      <c r="AN134" s="270"/>
      <c r="AO134" s="271"/>
      <c r="AP134" s="270"/>
      <c r="AQ134" s="270"/>
      <c r="AR134" s="270"/>
      <c r="AS134" s="270"/>
      <c r="AT134" s="270"/>
      <c r="AU134" s="270"/>
      <c r="AV134" s="270"/>
      <c r="AW134" s="270"/>
      <c r="AX134" s="270"/>
      <c r="AY134" s="1072"/>
      <c r="AZ134" s="270"/>
      <c r="BA134" s="270"/>
      <c r="BB134" s="1072"/>
      <c r="BC134" s="270"/>
      <c r="BD134" s="270"/>
      <c r="BE134" s="270"/>
      <c r="BF134" s="270"/>
      <c r="BG134" s="270"/>
      <c r="BH134" s="270"/>
      <c r="BI134" s="270"/>
      <c r="BJ134" s="270"/>
      <c r="BK134" s="270"/>
      <c r="BL134" s="270"/>
      <c r="BM134" s="270"/>
      <c r="BN134" s="270"/>
      <c r="BO134" s="270"/>
      <c r="BP134" s="270"/>
      <c r="BQ134" s="270"/>
      <c r="BR134" s="270"/>
      <c r="BS134" s="270"/>
      <c r="BT134" s="270"/>
      <c r="BU134" s="270"/>
      <c r="BV134" s="270"/>
      <c r="BW134" s="270"/>
      <c r="BX134" s="270"/>
      <c r="BY134" s="270"/>
      <c r="BZ134" s="270"/>
      <c r="CA134" s="270"/>
      <c r="CB134" s="270"/>
      <c r="CC134" s="270"/>
      <c r="CD134" s="270"/>
      <c r="CE134" s="1395"/>
      <c r="CF134" s="1450"/>
      <c r="CG134" s="1450"/>
      <c r="CH134" s="270"/>
      <c r="CI134" s="270"/>
      <c r="CJ134" s="270"/>
      <c r="CK134" s="270"/>
      <c r="CL134" s="270"/>
      <c r="CM134" s="270"/>
    </row>
    <row r="135" spans="1:91" outlineLevel="1" x14ac:dyDescent="0.2">
      <c r="A135" s="270"/>
      <c r="B135" s="271"/>
      <c r="C135" s="270"/>
      <c r="D135" s="270"/>
      <c r="E135" s="270"/>
      <c r="F135" s="270"/>
      <c r="G135" s="271"/>
      <c r="H135" s="270"/>
      <c r="I135" s="270"/>
      <c r="J135" s="270"/>
      <c r="K135" s="270"/>
      <c r="L135" s="270"/>
      <c r="M135" s="270"/>
      <c r="N135" s="270"/>
      <c r="O135" s="270"/>
      <c r="P135" s="270"/>
      <c r="Q135" s="270"/>
      <c r="R135" s="270"/>
      <c r="S135" s="270"/>
      <c r="T135" s="270"/>
      <c r="U135" s="270"/>
      <c r="V135" s="1097"/>
      <c r="W135" s="1097"/>
      <c r="X135" s="1098"/>
      <c r="Y135" s="1099"/>
      <c r="Z135" s="1098"/>
      <c r="AA135" s="1097"/>
      <c r="AB135" s="1098"/>
      <c r="AC135" s="1100"/>
      <c r="AD135" s="839"/>
      <c r="AE135" s="270"/>
      <c r="AF135" s="270"/>
      <c r="AG135" s="270"/>
      <c r="AH135" s="270"/>
      <c r="AI135" s="270"/>
      <c r="AJ135" s="270"/>
      <c r="AK135" s="270"/>
      <c r="AL135" s="270"/>
      <c r="AM135" s="270"/>
      <c r="AN135" s="270"/>
      <c r="AO135" s="575"/>
      <c r="AP135" s="270"/>
      <c r="AQ135" s="270"/>
      <c r="AR135" s="270"/>
      <c r="AS135" s="270"/>
      <c r="AT135" s="270"/>
      <c r="AU135" s="270"/>
      <c r="AV135" s="270"/>
      <c r="AW135" s="270"/>
      <c r="AX135" s="270"/>
      <c r="AY135" s="270"/>
      <c r="AZ135" s="270"/>
      <c r="BA135" s="270"/>
      <c r="BB135" s="270"/>
      <c r="BC135" s="270"/>
      <c r="BD135" s="270"/>
      <c r="BE135" s="270"/>
      <c r="BF135" s="270"/>
      <c r="BG135" s="270"/>
      <c r="BH135" s="270"/>
      <c r="BI135" s="270"/>
      <c r="BJ135" s="270"/>
      <c r="BK135" s="270"/>
      <c r="BL135" s="270"/>
      <c r="BM135" s="270"/>
      <c r="BN135" s="270"/>
      <c r="BO135" s="270"/>
      <c r="BP135" s="270"/>
      <c r="BQ135" s="270"/>
      <c r="BR135" s="270"/>
      <c r="BS135" s="270"/>
      <c r="BT135" s="270"/>
      <c r="BU135" s="270"/>
      <c r="BV135" s="270"/>
      <c r="BW135" s="270"/>
      <c r="BX135" s="270"/>
      <c r="BY135" s="270"/>
      <c r="BZ135" s="270"/>
      <c r="CA135" s="270"/>
      <c r="CB135" s="270"/>
      <c r="CC135" s="270"/>
      <c r="CD135" s="270"/>
      <c r="CE135" s="1395"/>
      <c r="CF135" s="1450"/>
      <c r="CG135" s="1450"/>
      <c r="CH135" s="270"/>
      <c r="CI135" s="270"/>
      <c r="CJ135" s="270"/>
      <c r="CK135" s="270"/>
      <c r="CL135" s="270"/>
      <c r="CM135" s="270"/>
    </row>
    <row r="136" spans="1:91" ht="13.5" thickBot="1" x14ac:dyDescent="0.25">
      <c r="A136" s="270"/>
      <c r="B136" s="271"/>
      <c r="C136" s="270"/>
      <c r="D136" s="270"/>
      <c r="E136" s="270"/>
      <c r="F136" s="270"/>
      <c r="G136" s="271"/>
      <c r="H136" s="270"/>
      <c r="I136" s="270"/>
      <c r="J136" s="270"/>
      <c r="K136" s="270"/>
      <c r="L136" s="270"/>
      <c r="M136" s="270"/>
      <c r="N136" s="270"/>
      <c r="O136" s="270"/>
      <c r="P136" s="270"/>
      <c r="Q136" s="270"/>
      <c r="R136" s="270"/>
      <c r="S136" s="270"/>
      <c r="T136" s="270"/>
      <c r="U136" s="270"/>
      <c r="V136" s="271"/>
      <c r="W136" s="271"/>
      <c r="X136" s="270"/>
      <c r="Y136" s="646"/>
      <c r="Z136" s="270"/>
      <c r="AA136" s="271"/>
      <c r="AB136" s="270"/>
      <c r="AC136" s="290"/>
      <c r="AD136" s="839"/>
      <c r="AE136" s="270"/>
      <c r="AF136" s="270"/>
      <c r="AG136" s="270"/>
      <c r="AH136" s="270"/>
      <c r="AI136" s="270"/>
      <c r="AJ136" s="270"/>
      <c r="AK136" s="270"/>
      <c r="AL136" s="270"/>
      <c r="AM136" s="270"/>
      <c r="AN136" s="270"/>
      <c r="AO136" s="575"/>
      <c r="AP136" s="270"/>
      <c r="AQ136" s="270"/>
      <c r="AR136" s="270"/>
      <c r="AS136" s="270"/>
      <c r="AT136" s="270"/>
      <c r="AU136" s="270"/>
      <c r="AV136" s="270"/>
      <c r="AW136" s="270"/>
      <c r="AX136" s="270"/>
      <c r="AY136" s="270"/>
      <c r="AZ136" s="270"/>
      <c r="BA136" s="270"/>
      <c r="BB136" s="270"/>
      <c r="BC136" s="270"/>
      <c r="BD136" s="270"/>
      <c r="BE136" s="270"/>
      <c r="BF136" s="270"/>
      <c r="BG136" s="270"/>
      <c r="BH136" s="270"/>
      <c r="BI136" s="270"/>
      <c r="BJ136" s="270"/>
      <c r="BK136" s="270"/>
      <c r="BL136" s="270"/>
      <c r="BM136" s="270"/>
      <c r="BN136" s="270"/>
      <c r="BO136" s="270"/>
      <c r="BP136" s="270"/>
      <c r="BQ136" s="270"/>
      <c r="BR136" s="270"/>
      <c r="BS136" s="270"/>
      <c r="BT136" s="270"/>
      <c r="BU136" s="270"/>
      <c r="BV136" s="270"/>
      <c r="BW136" s="270"/>
      <c r="BX136" s="270"/>
      <c r="BY136" s="270"/>
      <c r="BZ136" s="270"/>
      <c r="CA136" s="270"/>
      <c r="CB136" s="270"/>
      <c r="CC136" s="270"/>
      <c r="CD136" s="270"/>
      <c r="CE136" s="1395"/>
      <c r="CF136" s="1450"/>
      <c r="CG136" s="1450"/>
      <c r="CH136" s="270"/>
      <c r="CI136" s="270"/>
      <c r="CJ136" s="270"/>
      <c r="CK136" s="270"/>
      <c r="CL136" s="270"/>
      <c r="CM136" s="270"/>
    </row>
    <row r="137" spans="1:91" ht="13.5" thickBot="1" x14ac:dyDescent="0.25">
      <c r="A137" s="270"/>
      <c r="B137" s="1101" t="str">
        <f>N_Group_5</f>
        <v>Poule de 5</v>
      </c>
      <c r="C137" s="1022"/>
      <c r="D137" s="1022"/>
      <c r="E137" s="1022"/>
      <c r="F137" s="1022"/>
      <c r="G137" s="1022"/>
      <c r="H137" s="1022"/>
      <c r="I137" s="1022"/>
      <c r="J137" s="1022"/>
      <c r="K137" s="1022"/>
      <c r="L137" s="1022"/>
      <c r="M137" s="1022"/>
      <c r="N137" s="1022"/>
      <c r="O137" s="1022"/>
      <c r="P137" s="1022"/>
      <c r="Q137" s="1022"/>
      <c r="R137" s="1022"/>
      <c r="S137" s="1022"/>
      <c r="T137" s="1022"/>
      <c r="U137" s="1022"/>
      <c r="V137" s="1022"/>
      <c r="W137" s="1022"/>
      <c r="X137" s="1022"/>
      <c r="Y137" s="1022"/>
      <c r="Z137" s="1022"/>
      <c r="AA137" s="1022"/>
      <c r="AB137" s="1022"/>
      <c r="AC137" s="1022"/>
      <c r="AD137" s="1022"/>
      <c r="AE137" s="1022"/>
      <c r="AF137" s="1022"/>
      <c r="AG137" s="1022"/>
      <c r="AH137" s="1022"/>
      <c r="AI137" s="1022"/>
      <c r="AJ137" s="1022"/>
      <c r="AK137" s="1022"/>
      <c r="AL137" s="1022"/>
      <c r="AM137" s="1023"/>
      <c r="AN137" s="1022" t="str">
        <f>B137</f>
        <v>Poule de 5</v>
      </c>
      <c r="AO137" s="1022"/>
      <c r="AP137" s="1022"/>
      <c r="AQ137" s="1022"/>
      <c r="AR137" s="1022"/>
      <c r="AS137" s="1022"/>
      <c r="AT137" s="1022"/>
      <c r="AU137" s="1022"/>
      <c r="AV137" s="1022"/>
      <c r="AW137" s="1022"/>
      <c r="AX137" s="1022"/>
      <c r="AY137" s="1022"/>
      <c r="AZ137" s="1022"/>
      <c r="BA137" s="1022"/>
      <c r="BB137" s="1022"/>
      <c r="BC137" s="1022"/>
      <c r="BD137" s="1022"/>
      <c r="BE137" s="1022"/>
      <c r="BF137" s="1022"/>
      <c r="BG137" s="1022"/>
      <c r="BH137" s="1022"/>
      <c r="BI137" s="1022"/>
      <c r="BJ137" s="1022"/>
      <c r="BK137" s="1022"/>
      <c r="BL137" s="1022"/>
      <c r="BM137" s="1022"/>
      <c r="BN137" s="1022"/>
      <c r="BO137" s="1022"/>
      <c r="BP137" s="1022"/>
      <c r="BQ137" s="1022"/>
      <c r="BR137" s="1022"/>
      <c r="BS137" s="1022"/>
      <c r="BT137" s="1022"/>
      <c r="BU137" s="1022"/>
      <c r="BV137" s="1022"/>
      <c r="BW137" s="1022"/>
      <c r="BX137" s="1022"/>
      <c r="BY137" s="1022"/>
      <c r="BZ137" s="1022"/>
      <c r="CA137" s="1022"/>
      <c r="CB137" s="1022"/>
      <c r="CC137" s="1022"/>
      <c r="CD137" s="1022"/>
      <c r="CE137" s="1395"/>
      <c r="CF137" s="1450"/>
      <c r="CG137" s="1450"/>
      <c r="CH137" s="1023"/>
      <c r="CI137" s="270"/>
      <c r="CJ137" s="270"/>
      <c r="CK137" s="270"/>
      <c r="CL137" s="270"/>
      <c r="CM137" s="270"/>
    </row>
    <row r="138" spans="1:91" ht="13.5" outlineLevel="1" thickBot="1" x14ac:dyDescent="0.25">
      <c r="A138" s="270"/>
      <c r="B138" s="271"/>
      <c r="C138" s="270"/>
      <c r="D138" s="270"/>
      <c r="E138" s="270"/>
      <c r="F138" s="270"/>
      <c r="G138" s="271"/>
      <c r="H138" s="270"/>
      <c r="I138" s="270"/>
      <c r="J138" s="270"/>
      <c r="K138" s="270"/>
      <c r="L138" s="270"/>
      <c r="M138" s="270"/>
      <c r="N138" s="270"/>
      <c r="O138" s="270"/>
      <c r="P138" s="270"/>
      <c r="Q138" s="270"/>
      <c r="R138" s="270"/>
      <c r="S138" s="270"/>
      <c r="T138" s="270"/>
      <c r="U138" s="270"/>
      <c r="V138" s="271"/>
      <c r="W138" s="271"/>
      <c r="X138" s="270"/>
      <c r="Y138" s="646"/>
      <c r="Z138" s="270"/>
      <c r="AA138" s="271"/>
      <c r="AB138" s="270"/>
      <c r="AC138" s="290"/>
      <c r="AD138" s="839"/>
      <c r="AE138" s="270"/>
      <c r="AF138" s="270"/>
      <c r="AG138" s="270"/>
      <c r="AH138" s="270"/>
      <c r="AI138" s="270"/>
      <c r="AJ138" s="270"/>
      <c r="AK138" s="270"/>
      <c r="AL138" s="270"/>
      <c r="AM138" s="270"/>
      <c r="AN138" s="270"/>
      <c r="AO138" s="575"/>
      <c r="AP138" s="270"/>
      <c r="AQ138" s="270"/>
      <c r="AR138" s="270"/>
      <c r="AS138" s="270"/>
      <c r="AT138" s="270"/>
      <c r="AU138" s="270"/>
      <c r="AV138" s="270"/>
      <c r="AW138" s="270"/>
      <c r="AX138" s="270"/>
      <c r="AY138" s="270"/>
      <c r="AZ138" s="270"/>
      <c r="BA138" s="270"/>
      <c r="BB138" s="270"/>
      <c r="BC138" s="270"/>
      <c r="BD138" s="270"/>
      <c r="BE138" s="270"/>
      <c r="BF138" s="270"/>
      <c r="BG138" s="270"/>
      <c r="BH138" s="270"/>
      <c r="BI138" s="270"/>
      <c r="BJ138" s="270"/>
      <c r="BK138" s="270"/>
      <c r="BL138" s="270"/>
      <c r="BM138" s="270"/>
      <c r="BN138" s="270"/>
      <c r="BO138" s="270"/>
      <c r="BP138" s="270"/>
      <c r="BQ138" s="270"/>
      <c r="BR138" s="270"/>
      <c r="BS138" s="270"/>
      <c r="BT138" s="270"/>
      <c r="BU138" s="270"/>
      <c r="BV138" s="270"/>
      <c r="BW138" s="270"/>
      <c r="BX138" s="270"/>
      <c r="BY138" s="270"/>
      <c r="BZ138" s="270"/>
      <c r="CA138" s="270"/>
      <c r="CB138" s="270"/>
      <c r="CC138" s="270"/>
      <c r="CD138" s="270"/>
      <c r="CE138" s="1395"/>
      <c r="CF138" s="1450"/>
      <c r="CG138" s="1450"/>
      <c r="CH138" s="270"/>
      <c r="CI138" s="270"/>
      <c r="CJ138" s="270"/>
      <c r="CK138" s="270"/>
      <c r="CL138" s="270"/>
      <c r="CM138" s="270"/>
    </row>
    <row r="139" spans="1:91" ht="13.5" outlineLevel="1" thickBot="1" x14ac:dyDescent="0.25">
      <c r="A139" s="270"/>
      <c r="B139" s="1024" t="str">
        <f>N_Tirage</f>
        <v>Tirage</v>
      </c>
      <c r="C139" s="1025" t="s">
        <v>787</v>
      </c>
      <c r="D139" s="1026" t="s">
        <v>831</v>
      </c>
      <c r="E139" s="1026" t="s">
        <v>832</v>
      </c>
      <c r="F139" s="1027" t="s">
        <v>833</v>
      </c>
      <c r="G139" s="1028" t="str">
        <f>N_Equipes</f>
        <v>Equipes</v>
      </c>
      <c r="H139" s="1029" t="str">
        <f>N_Pts</f>
        <v>Pts</v>
      </c>
      <c r="I139" s="1029" t="str">
        <f>N_J</f>
        <v>J</v>
      </c>
      <c r="J139" s="1030" t="str">
        <f>N_G</f>
        <v>G</v>
      </c>
      <c r="K139" s="1030" t="str">
        <f>N_N</f>
        <v>N</v>
      </c>
      <c r="L139" s="1030" t="str">
        <f>N_P</f>
        <v>P</v>
      </c>
      <c r="M139" s="1030" t="str">
        <f>N_Diff_R</f>
        <v>Diff R</v>
      </c>
      <c r="N139" s="1030" t="str">
        <f>N_MP</f>
        <v>MP</v>
      </c>
      <c r="O139" s="1030" t="str">
        <f>N_MC</f>
        <v>MC</v>
      </c>
      <c r="P139" s="1031" t="str">
        <f>N_Diff_M</f>
        <v>Diff M</v>
      </c>
      <c r="Q139" s="1030" t="str">
        <f>N_BP</f>
        <v>BP</v>
      </c>
      <c r="R139" s="1030" t="str">
        <f>N_BC</f>
        <v>BC</v>
      </c>
      <c r="S139" s="1032" t="str">
        <f>N_Diff_B</f>
        <v>Diff B</v>
      </c>
      <c r="T139" s="270"/>
      <c r="U139" s="270"/>
      <c r="V139" s="270"/>
      <c r="W139" s="270"/>
      <c r="X139" s="270"/>
      <c r="Y139" s="270"/>
      <c r="Z139" s="270"/>
      <c r="AA139" s="270"/>
      <c r="AB139" s="270"/>
      <c r="AC139" s="270"/>
      <c r="AD139" s="575"/>
      <c r="AE139" s="270"/>
      <c r="AF139" s="270"/>
      <c r="AG139" s="270"/>
      <c r="AH139" s="270"/>
      <c r="AI139" s="270"/>
      <c r="AJ139" s="270"/>
      <c r="AK139" s="270"/>
      <c r="AL139" s="270"/>
      <c r="AM139" s="270"/>
      <c r="AN139" s="270"/>
      <c r="AO139" s="1033" t="str">
        <f>N_Cla.</f>
        <v>Cla.</v>
      </c>
      <c r="AP139" s="630" t="str">
        <f>N_Equipes</f>
        <v>Equipes</v>
      </c>
      <c r="AQ139" s="1034" t="str">
        <f>N_Pts</f>
        <v>Pts</v>
      </c>
      <c r="AR139" s="1034" t="str">
        <f>N_J</f>
        <v>J</v>
      </c>
      <c r="AS139" s="1026" t="str">
        <f>N_G</f>
        <v>G</v>
      </c>
      <c r="AT139" s="1026" t="str">
        <f>N_N</f>
        <v>N</v>
      </c>
      <c r="AU139" s="1026" t="str">
        <f>N_P</f>
        <v>P</v>
      </c>
      <c r="AV139" s="1035" t="str">
        <f>N_Diff_R</f>
        <v>Diff R</v>
      </c>
      <c r="AW139" s="1036" t="str">
        <f>N_MP</f>
        <v>MP</v>
      </c>
      <c r="AX139" s="1026" t="str">
        <f>N_MC</f>
        <v>MC</v>
      </c>
      <c r="AY139" s="1037" t="str">
        <f>N_Diff_M</f>
        <v>Diff M</v>
      </c>
      <c r="AZ139" s="1036" t="str">
        <f>N_BP</f>
        <v>BP</v>
      </c>
      <c r="BA139" s="1026" t="str">
        <f>N_BC</f>
        <v>BC</v>
      </c>
      <c r="BB139" s="1035" t="str">
        <f>N_Diff_B</f>
        <v>Diff B</v>
      </c>
      <c r="BC139" s="1038" t="str">
        <f>N_Matches</f>
        <v>Matches</v>
      </c>
      <c r="BD139" s="1039"/>
      <c r="BE139" s="1039"/>
      <c r="BF139" s="1039"/>
      <c r="BG139" s="1039"/>
      <c r="BH139" s="1039"/>
      <c r="BI139" s="1039"/>
      <c r="BJ139" s="1039"/>
      <c r="BK139" s="1039"/>
      <c r="BL139" s="1040"/>
      <c r="BM139" s="270"/>
      <c r="BN139" s="270"/>
      <c r="BO139" s="270"/>
      <c r="BP139" s="270"/>
      <c r="BQ139" s="270"/>
      <c r="BR139" s="270"/>
      <c r="BS139" s="270"/>
      <c r="BT139" s="270"/>
      <c r="BU139" s="270"/>
      <c r="BV139" s="270"/>
      <c r="BW139" s="270"/>
      <c r="BX139" s="270"/>
      <c r="BY139" s="270"/>
      <c r="BZ139" s="270"/>
      <c r="CA139" s="270"/>
      <c r="CB139" s="270"/>
      <c r="CC139" s="270"/>
      <c r="CD139" s="270"/>
      <c r="CE139" s="1395"/>
      <c r="CF139" s="1450"/>
      <c r="CG139" s="1450"/>
      <c r="CH139" s="270"/>
      <c r="CI139" s="270"/>
      <c r="CJ139" s="270"/>
      <c r="CK139" s="270"/>
      <c r="CL139" s="270"/>
      <c r="CM139" s="270"/>
    </row>
    <row r="140" spans="1:91" outlineLevel="1" x14ac:dyDescent="0.2">
      <c r="A140" s="270"/>
      <c r="B140" s="505">
        <v>1</v>
      </c>
      <c r="C140" s="1041" t="str">
        <f>IF(AL145="","",RANK(F140,F140:F144)*1000+ROW())</f>
        <v/>
      </c>
      <c r="D140" s="1042" t="str">
        <f>IF(J140="","",H140*CritClassEq1_Points+M140*CritClassEq1_DiffRencontres+P140*CritClassEq1_DiffMatches+S140*CritClassEq1_DiffButs+N140*CritClassEq1_Matches+Q140*CritClassEq1_Attaque)</f>
        <v/>
      </c>
      <c r="E140" s="1042" t="str">
        <f>IF(J140="","",Nb_Diff_Part(D140,D140:D144,G140,G140:G144,AK146:AK209)*CritClassEq_DiffPart+Nb_Goal_Part(D140,D140:D144,G140,G140:G144,Y146:AC209)*CritClassEq_IndsPart+Nb_Score_Part(D140,D140:D144,G140,G140:G144,Y146:AC209)*CritClassEq_WinsPart+Nb_GoalTeam_Part(D140,D140:D144,G140,G140:G144,Y146:AC209)*CritClassEq_GoalPart+Nb_ScoreTeam_Part(D140,D140:D144,G140,G140:G144,Y146:AC209)*CritClassEq_ScorePart)</f>
        <v/>
      </c>
      <c r="F140" s="1127" t="str">
        <f>IF(J140="","",D140+E140+H140*CritClassEq2_Points+M140*CritClassEq2_DiffRencontres+P140*CritClassEq2_DiffMatches+S140*CritClassEq2_DiffButs+N140*CritClassEq2_Matches+Q140*CritClassEq2_Attaque)</f>
        <v/>
      </c>
      <c r="G140" s="476" t="s">
        <v>825</v>
      </c>
      <c r="H140" s="1128" t="str">
        <f>IF(AL145="","",(J140*Points_Victoire)+K140*Points_Null)</f>
        <v/>
      </c>
      <c r="I140" s="535" t="str">
        <f>IF(J140="","",SUM(J140:L140))</f>
        <v/>
      </c>
      <c r="J140" s="535" t="str">
        <f>IF(AL145="","",COUNTIF(AE146:AE213,G140))</f>
        <v/>
      </c>
      <c r="K140" s="535" t="str">
        <f>IF(AL145="","",COUNTIF(AF146:AG213,G140))</f>
        <v/>
      </c>
      <c r="L140" s="535" t="str">
        <f>IF(AL145="","",COUNTIF(AH146:AH213,G140))</f>
        <v/>
      </c>
      <c r="M140" s="1045" t="str">
        <f>IF(AL145="","",J140-L140)</f>
        <v/>
      </c>
      <c r="N140" s="535" t="str">
        <f>IF(AL145="","",SUMIF(Y146:Y213,G140,Z146:Z213)+SUMIF(AC146:AC213,G140,AB146:AB213))</f>
        <v/>
      </c>
      <c r="O140" s="535" t="str">
        <f>IF(AL145="","",SUMIF(Y146:Y213,G140,AB146:AB213)+SUMIF(AC146:AC213,G140,Z146:AL213))</f>
        <v/>
      </c>
      <c r="P140" s="1045" t="str">
        <f>IF(AL145="","",N140-O140)</f>
        <v/>
      </c>
      <c r="Q140" s="535" t="str">
        <f>IF(AL145="","",SUMIF(Y146:Y213,G140,AI146:AI213)+SUMIF(AC146:AC213,G140,AJ146:AJ213))</f>
        <v/>
      </c>
      <c r="R140" s="535" t="str">
        <f>IF(AL145="","",SUMIF(Y146:Y213,G140,AJ146:AJ213)+SUMIF(AC146:AC213,G140,AI146:AI213))</f>
        <v/>
      </c>
      <c r="S140" s="508" t="str">
        <f>IF(AL145="","",Q140-R140)</f>
        <v/>
      </c>
      <c r="T140" s="270"/>
      <c r="U140" s="270"/>
      <c r="V140" s="270"/>
      <c r="W140" s="270"/>
      <c r="X140" s="270"/>
      <c r="Y140" s="270"/>
      <c r="Z140" s="270"/>
      <c r="AA140" s="270"/>
      <c r="AB140" s="270"/>
      <c r="AC140" s="270"/>
      <c r="AD140" s="575"/>
      <c r="AE140" s="270"/>
      <c r="AF140" s="270"/>
      <c r="AG140" s="270"/>
      <c r="AH140" s="270"/>
      <c r="AI140" s="270"/>
      <c r="AJ140" s="270"/>
      <c r="AK140" s="270"/>
      <c r="AL140" s="270" t="str">
        <f>IF(AL145="","",SMALL(C140:C144,1))</f>
        <v/>
      </c>
      <c r="AM140" s="270"/>
      <c r="AN140" s="270"/>
      <c r="AO140" s="505" t="str">
        <f>IF(AL145="","",INT(AL140/1000))</f>
        <v/>
      </c>
      <c r="AP140" s="1129" t="str">
        <f>IF(AL145="",IF(HidePlayerFormulas,"","("&amp;G140&amp;")"),VLOOKUP(AL140,C140:S144,5,FALSE))</f>
        <v/>
      </c>
      <c r="AQ140" s="506" t="str">
        <f>VLOOKUP(AL140,C140:S144,6,FALSE)</f>
        <v/>
      </c>
      <c r="AR140" s="535" t="str">
        <f>VLOOKUP(AL140,C140:S144,7,FALSE)</f>
        <v/>
      </c>
      <c r="AS140" s="535" t="str">
        <f>VLOOKUP(AL140,C140:S144,8,FALSE)</f>
        <v/>
      </c>
      <c r="AT140" s="535" t="str">
        <f>VLOOKUP(AL140,C140:S144,9,FALSE)</f>
        <v/>
      </c>
      <c r="AU140" s="535" t="str">
        <f>VLOOKUP(AL140,C140:S144,10,FALSE)</f>
        <v/>
      </c>
      <c r="AV140" s="508" t="str">
        <f>VLOOKUP(AL140,C140:S144,11,FALSE)</f>
        <v/>
      </c>
      <c r="AW140" s="506" t="str">
        <f>VLOOKUP(AL140,C140:S144,12,FALSE)</f>
        <v/>
      </c>
      <c r="AX140" s="535" t="str">
        <f>VLOOKUP(AL140,C140:S144,13,FALSE)</f>
        <v/>
      </c>
      <c r="AY140" s="508" t="str">
        <f>VLOOKUP(AL140,C140:S144,14,FALSE)</f>
        <v/>
      </c>
      <c r="AZ140" s="506" t="str">
        <f>VLOOKUP(AL140,C140:S144,15,FALSE)</f>
        <v/>
      </c>
      <c r="BA140" s="535" t="str">
        <f>VLOOKUP(AL140,C140:S144,16,FALSE)</f>
        <v/>
      </c>
      <c r="BB140" s="508" t="str">
        <f>VLOOKUP(AL140,C140:S144,17,FALSE)</f>
        <v/>
      </c>
      <c r="BC140" s="1041" t="str">
        <f>IF($Z146="","",IF($AP140=$Y146,$Z146&amp;"("&amp;SUM($Z147:$Z150)&amp;")",IF($AP140=$AC146,$AB146&amp;"("&amp;SUM($AB147:$AB150)&amp;")","")))</f>
        <v/>
      </c>
      <c r="BD140" s="1049" t="str">
        <f>IF($Z153="","",IF($AP140=$Y153,$Z153&amp;"("&amp;SUM($Z154:$Z157)&amp;")",IF($AP140=$AC153,$AB153&amp;"("&amp;SUM($AB154:$AB157)&amp;")","")))</f>
        <v/>
      </c>
      <c r="BE140" s="1049" t="str">
        <f>IF($Z160="","",IF($AP140=$Y160,$Z160&amp;"("&amp;SUM($Z161:$Z164)&amp;")",IF($AP140=$AC160,$AB160&amp;"("&amp;SUM($AB161:$AB164)&amp;")","")))</f>
        <v/>
      </c>
      <c r="BF140" s="1049" t="str">
        <f>IF($Z167="","",IF($AP140=$Y167,$Z167&amp;"("&amp;SUM($Z168:$Z171)&amp;")",IF($AP140=$AC167,$AB167&amp;"("&amp;SUM($AB168:$AB171)&amp;")","")))</f>
        <v/>
      </c>
      <c r="BG140" s="1049" t="str">
        <f>IF($Z174="","",IF($AP140=$Y174,$Z174&amp;"("&amp;SUM($Z175:$Z178)&amp;")",IF($AP140=$AC174,$AB174&amp;"("&amp;SUM($AB175:$AB178)&amp;")","")))</f>
        <v/>
      </c>
      <c r="BH140" s="1049" t="str">
        <f>IF($Z181="","",IF($AP140=$Y181,$Z181&amp;"("&amp;SUM($Z182:$Z185)&amp;")",IF($AP140=$AC181,$AB181&amp;"("&amp;SUM($AB182:$AB185)&amp;")","")))</f>
        <v/>
      </c>
      <c r="BI140" s="1049" t="str">
        <f>IF($Z188="","",IF($AP140=$Y188,$Z188&amp;"("&amp;SUM($Z189:$Z192)&amp;")",IF($AP140=$AC188,$AB188&amp;"("&amp;SUM($AB189:$AB192)&amp;")","")))</f>
        <v/>
      </c>
      <c r="BJ140" s="1049" t="str">
        <f>IF($Z195="","",IF($AP140=$Y195,$Z195&amp;"("&amp;SUM($Z196:$Z199)&amp;")",IF($AP140=$AC195,$AB195&amp;"("&amp;SUM($AB196:$AB199)&amp;")","")))</f>
        <v/>
      </c>
      <c r="BK140" s="1049" t="str">
        <f>IF($Z202="","",IF($AP140=$Y202,$Z202&amp;"("&amp;SUM($Z203:$Z206)&amp;")",IF($AP140=$AC202,$AB202&amp;"("&amp;SUM($AB203:$AB206)&amp;")","")))</f>
        <v/>
      </c>
      <c r="BL140" s="1050" t="str">
        <f>IF($Z209="","",IF($AP140=$Y209,$Z209&amp;"("&amp;SUM($Z210:$Z213)&amp;")",IF($AP140=$AC209,$AB209&amp;"("&amp;SUM($AB210:$AB213)&amp;")","")))</f>
        <v/>
      </c>
      <c r="BM140" s="270"/>
      <c r="BN140" s="270"/>
      <c r="BO140" s="270"/>
      <c r="BP140" s="270"/>
      <c r="BQ140" s="270"/>
      <c r="BR140" s="270"/>
      <c r="BS140" s="270"/>
      <c r="BT140" s="270"/>
      <c r="BU140" s="270"/>
      <c r="BV140" s="270"/>
      <c r="BW140" s="270"/>
      <c r="BX140" s="270"/>
      <c r="BY140" s="270"/>
      <c r="BZ140" s="270"/>
      <c r="CA140" s="270"/>
      <c r="CB140" s="270"/>
      <c r="CC140" s="270"/>
      <c r="CD140" s="270"/>
      <c r="CE140" s="1395" t="b">
        <f>IF(G140="[---WithDraw---]",FALSE,IF(COUNTIF(PlayerNamesWithinGroups,G140)&gt;1,TRUE,FALSE))</f>
        <v>1</v>
      </c>
      <c r="CF140" s="1450" t="b">
        <f>AND(LEFT($AP140,1) = "(", RIGHT($AP140,1) =")")</f>
        <v>0</v>
      </c>
      <c r="CG140" s="1450" t="b">
        <f>IF(OR($AO140=$AO139,$AO140=$AO141),TRUE,FALSE)</f>
        <v>1</v>
      </c>
      <c r="CH140" s="270"/>
      <c r="CI140" s="270"/>
      <c r="CJ140" s="270"/>
      <c r="CK140" s="270"/>
      <c r="CL140" s="270"/>
      <c r="CM140" s="270"/>
    </row>
    <row r="141" spans="1:91" outlineLevel="1" x14ac:dyDescent="0.2">
      <c r="A141" s="270"/>
      <c r="B141" s="545">
        <v>2</v>
      </c>
      <c r="C141" s="126" t="str">
        <f>IF(AL145="","",RANK(F141,F140:F144)*1000+ROW())</f>
        <v/>
      </c>
      <c r="D141" s="1051" t="str">
        <f>IF(J141="","",H141*CritClassEq1_Points+M141*CritClassEq1_DiffRencontres+P141*CritClassEq1_DiffMatches+S141*CritClassEq1_DiffButs+N141*CritClassEq1_Matches+Q141*CritClassEq1_Attaque)</f>
        <v/>
      </c>
      <c r="E141" s="1051" t="str">
        <f>IF(J141="","",Nb_Diff_Part(D141,D140:D144,G141,G140:G144,AK146:AK209)*CritClassEq_DiffPart+Nb_Goal_Part(D141,D140:D144,G141,G140:G144,Y146:AC209)*CritClassEq_IndsPart+Nb_Score_Part(D141,D140:D144,G141,G140:G144,Y146:AC209)*CritClassEq_WinsPart+Nb_GoalTeam_Part(D141,D140:D144,G141,G140:G144,Y146:AC209)*CritClassEq_GoalPart+Nb_ScoreTeam_Part(D141,D140:D144,G141,G140:G144,Y146:AC209)*CritClassEq_ScorePart)</f>
        <v/>
      </c>
      <c r="F141" s="1130" t="str">
        <f>IF(J141="","",D141+E141+H141*CritClassEq2_Points+M141*CritClassEq2_DiffRencontres+P141*CritClassEq2_DiffMatches+S141*CritClassEq2_DiffButs+N141*CritClassEq2_Matches+Q141*CritClassEq2_Attaque)</f>
        <v/>
      </c>
      <c r="G141" s="477" t="s">
        <v>826</v>
      </c>
      <c r="H141" s="1131" t="str">
        <f>IF(AL145="","",(J141*Points_Victoire)+K141*Points_Null)</f>
        <v/>
      </c>
      <c r="I141" s="537" t="str">
        <f>IF(J141="","",SUM(J141:L141))</f>
        <v/>
      </c>
      <c r="J141" s="537" t="str">
        <f>IF(AL145="","",COUNTIF(AE146:AE213,G141))</f>
        <v/>
      </c>
      <c r="K141" s="537" t="str">
        <f>IF(AL145="","",COUNTIF(AF146:AG213,G141))</f>
        <v/>
      </c>
      <c r="L141" s="537" t="str">
        <f>IF(AL145="","",COUNTIF(AH146:AH213,G141))</f>
        <v/>
      </c>
      <c r="M141" s="1053" t="str">
        <f>IF(AL145="","",J141-L141)</f>
        <v/>
      </c>
      <c r="N141" s="537" t="str">
        <f>IF(AL145="","",SUMIF(Y146:Y213,G141,Z146:Z213)+SUMIF(AC146:AC213,G141,AB146:AB213))</f>
        <v/>
      </c>
      <c r="O141" s="537" t="str">
        <f>IF(AL145="","",SUMIF(Y146:Y213,G141,AB146:AB213)+SUMIF(AC146:AC213,G141,Z146:AL213))</f>
        <v/>
      </c>
      <c r="P141" s="1053" t="str">
        <f>IF(AL145="","",N141-O141)</f>
        <v/>
      </c>
      <c r="Q141" s="537" t="str">
        <f>IF(AL145="","",SUMIF(Y146:Y213,G141,AI146:AI213)+SUMIF(AC146:AC213,G141,AJ146:AJ213))</f>
        <v/>
      </c>
      <c r="R141" s="537" t="str">
        <f>IF(AL145="","",SUMIF(Y146:Y213,G141,AJ146:AJ213)+SUMIF(AC146:AC213,G141,AI146:AI213))</f>
        <v/>
      </c>
      <c r="S141" s="512" t="str">
        <f>IF(AL145="","",Q141-R141)</f>
        <v/>
      </c>
      <c r="T141" s="270"/>
      <c r="U141" s="270"/>
      <c r="V141" s="270"/>
      <c r="W141" s="270"/>
      <c r="X141" s="270"/>
      <c r="Y141" s="270"/>
      <c r="Z141" s="270"/>
      <c r="AA141" s="270"/>
      <c r="AB141" s="270"/>
      <c r="AC141" s="270"/>
      <c r="AD141" s="575"/>
      <c r="AE141" s="270"/>
      <c r="AF141" s="270"/>
      <c r="AG141" s="270"/>
      <c r="AH141" s="270"/>
      <c r="AI141" s="270"/>
      <c r="AJ141" s="270"/>
      <c r="AK141" s="270"/>
      <c r="AL141" s="270" t="str">
        <f>IF(AL145="","",SMALL(C140:C144,2))</f>
        <v/>
      </c>
      <c r="AM141" s="270"/>
      <c r="AN141" s="270"/>
      <c r="AO141" s="509" t="str">
        <f>IF(AL145="","",INT(AL141/1000))</f>
        <v/>
      </c>
      <c r="AP141" s="1132" t="str">
        <f>IF(AL145="",IF(HidePlayerFormulas,"","("&amp;G141&amp;")"),VLOOKUP(AL141,C140:S144,5,FALSE))</f>
        <v/>
      </c>
      <c r="AQ141" s="510" t="str">
        <f>VLOOKUP(AL141,C140:S144,6,FALSE)</f>
        <v/>
      </c>
      <c r="AR141" s="537" t="str">
        <f>VLOOKUP(AL141,C140:S144,7,FALSE)</f>
        <v/>
      </c>
      <c r="AS141" s="537" t="str">
        <f>VLOOKUP(AL141,C140:S144,8,FALSE)</f>
        <v/>
      </c>
      <c r="AT141" s="537" t="str">
        <f>VLOOKUP(AL141,C140:S144,9,FALSE)</f>
        <v/>
      </c>
      <c r="AU141" s="537" t="str">
        <f>VLOOKUP(AL141,C140:S144,10,FALSE)</f>
        <v/>
      </c>
      <c r="AV141" s="512" t="str">
        <f>VLOOKUP(AL141,C140:S144,11,FALSE)</f>
        <v/>
      </c>
      <c r="AW141" s="510" t="str">
        <f>VLOOKUP(AL141,C140:S144,12,FALSE)</f>
        <v/>
      </c>
      <c r="AX141" s="537" t="str">
        <f>VLOOKUP(AL141,C140:S144,13,FALSE)</f>
        <v/>
      </c>
      <c r="AY141" s="512" t="str">
        <f>VLOOKUP(AL141,C140:S144,14,FALSE)</f>
        <v/>
      </c>
      <c r="AZ141" s="510" t="str">
        <f>VLOOKUP(AL141,C140:S144,15,FALSE)</f>
        <v/>
      </c>
      <c r="BA141" s="537" t="str">
        <f>VLOOKUP(AL141,C140:S144,16,FALSE)</f>
        <v/>
      </c>
      <c r="BB141" s="512" t="str">
        <f>VLOOKUP(AL141,C140:S144,17,FALSE)</f>
        <v/>
      </c>
      <c r="BC141" s="1055" t="str">
        <f>IF($Z146="","",IF($AP141=$Y146,$Z146&amp;"("&amp;SUM($Z147:$Z150)&amp;")",IF($AP141=$AC146,$AB146&amp;"("&amp;SUM($AB147:$AB150)&amp;")","")))</f>
        <v/>
      </c>
      <c r="BD141" s="126" t="str">
        <f>IF($Z153="","",IF($AP141=$Y153,$Z153&amp;"("&amp;SUM($Z154:$Z157)&amp;")",IF($AP141=$AC153,$AB153&amp;"("&amp;SUM($AB154:$AB157)&amp;")","")))</f>
        <v/>
      </c>
      <c r="BE141" s="126" t="str">
        <f>IF($Z160="","",IF($AP141=$Y160,$Z160&amp;"("&amp;SUM($Z161:$Z164)&amp;")",IF($AP141=$AC160,$AB160&amp;"("&amp;SUM($AB161:$AB164)&amp;")","")))</f>
        <v/>
      </c>
      <c r="BF141" s="126" t="str">
        <f>IF($Z167="","",IF($AP141=$Y167,$Z167&amp;"("&amp;SUM($Z168:$Z171)&amp;")",IF($AP141=$AC167,$AB167&amp;"("&amp;SUM($AB168:$AB171)&amp;")","")))</f>
        <v/>
      </c>
      <c r="BG141" s="126" t="str">
        <f>IF($Z174="","",IF($AP141=$Y174,$Z174&amp;"("&amp;SUM($Z175:$Z178)&amp;")",IF($AP141=$AC174,$AB174&amp;"("&amp;SUM($AB175:$AB178)&amp;")","")))</f>
        <v/>
      </c>
      <c r="BH141" s="126" t="str">
        <f>IF($Z181="","",IF($AP141=$Y181,$Z181&amp;"("&amp;SUM($Z182:$Z185)&amp;")",IF($AP141=$AC181,$AB181&amp;"("&amp;SUM($AB182:$AB185)&amp;")","")))</f>
        <v/>
      </c>
      <c r="BI141" s="126" t="str">
        <f>IF($Z188="","",IF($AP141=$Y188,$Z188&amp;"("&amp;SUM($Z189:$Z192)&amp;")",IF($AP141=$AC188,$AB188&amp;"("&amp;SUM($AB189:$AB192)&amp;")","")))</f>
        <v/>
      </c>
      <c r="BJ141" s="126" t="str">
        <f>IF($Z195="","",IF($AP141=$Y195,$Z195&amp;"("&amp;SUM($Z196:$Z199)&amp;")",IF($AP141=$AC195,$AB195&amp;"("&amp;SUM($AB196:$AB199)&amp;")","")))</f>
        <v/>
      </c>
      <c r="BK141" s="126" t="str">
        <f>IF($Z202="","",IF($AP141=$Y202,$Z202&amp;"("&amp;SUM($Z203:$Z206)&amp;")",IF($AP141=$AC202,$AB202&amp;"("&amp;SUM($AB203:$AB206)&amp;")","")))</f>
        <v/>
      </c>
      <c r="BL141" s="1056" t="str">
        <f>IF($Z209="","",IF($AP141=$Y209,$Z209&amp;"("&amp;SUM($Z210:$Z213)&amp;")",IF($AP141=$AC209,$AB209&amp;"("&amp;SUM($AB210:$AB213)&amp;")","")))</f>
        <v/>
      </c>
      <c r="BM141" s="270"/>
      <c r="BN141" s="270"/>
      <c r="BO141" s="270"/>
      <c r="BP141" s="270"/>
      <c r="BQ141" s="270"/>
      <c r="BR141" s="270"/>
      <c r="BS141" s="270"/>
      <c r="BT141" s="270"/>
      <c r="BU141" s="270"/>
      <c r="BV141" s="270"/>
      <c r="BW141" s="270"/>
      <c r="BX141" s="270"/>
      <c r="BY141" s="270"/>
      <c r="BZ141" s="270"/>
      <c r="CA141" s="270"/>
      <c r="CB141" s="270"/>
      <c r="CC141" s="270"/>
      <c r="CD141" s="270"/>
      <c r="CE141" s="1395" t="b">
        <f>IF(G141="[---WithDraw---]",FALSE,IF(COUNTIF(PlayerNamesWithinGroups,G141)&gt;1,TRUE,FALSE))</f>
        <v>1</v>
      </c>
      <c r="CF141" s="1450" t="b">
        <f>AND(LEFT($AP141,1) = "(", RIGHT($AP141,1) =")")</f>
        <v>0</v>
      </c>
      <c r="CG141" s="1450" t="b">
        <f>IF(OR($AO141=$AO140,$AO141=$AO142),TRUE,FALSE)</f>
        <v>1</v>
      </c>
      <c r="CH141" s="270"/>
      <c r="CI141" s="270"/>
      <c r="CJ141" s="270"/>
      <c r="CK141" s="270"/>
      <c r="CL141" s="270"/>
      <c r="CM141" s="270"/>
    </row>
    <row r="142" spans="1:91" outlineLevel="1" x14ac:dyDescent="0.2">
      <c r="A142" s="270"/>
      <c r="B142" s="545">
        <v>3</v>
      </c>
      <c r="C142" s="126" t="str">
        <f>IF(AL145="","",RANK(F142,F140:F144)*1000+ROW())</f>
        <v/>
      </c>
      <c r="D142" s="1051" t="str">
        <f>IF(J142="","",H142*CritClassEq1_Points+M142*CritClassEq1_DiffRencontres+P142*CritClassEq1_DiffMatches+S142*CritClassEq1_DiffButs+N142*CritClassEq1_Matches+Q142*CritClassEq1_Attaque)</f>
        <v/>
      </c>
      <c r="E142" s="1051" t="str">
        <f>IF(J142="","",Nb_Diff_Part(D142,D140:D144,G142,G140:G144,AK146:AK209)*CritClassEq_DiffPart+Nb_Goal_Part(D142,D140:D144,G142,G140:G144,Y146:AC209)*CritClassEq_IndsPart+Nb_Score_Part(D142,D140:D144,G142,G140:G144,Y146:AC209)*CritClassEq_WinsPart+Nb_GoalTeam_Part(D142,D140:D144,G142,G140:G144,Y146:AC209)*CritClassEq_GoalPart+Nb_ScoreTeam_Part(D142,D140:D144,G142,G140:G144,Y146:AC209)*CritClassEq_ScorePart)</f>
        <v/>
      </c>
      <c r="F142" s="1130" t="str">
        <f>IF(J142="","",D142+E142+H142*CritClassEq2_Points+M142*CritClassEq2_DiffRencontres+P142*CritClassEq2_DiffMatches+S142*CritClassEq2_DiffButs+N142*CritClassEq2_Matches+Q142*CritClassEq2_Attaque)</f>
        <v/>
      </c>
      <c r="G142" s="478" t="s">
        <v>827</v>
      </c>
      <c r="H142" s="1131" t="str">
        <f>IF(AL145="","",(J142*Points_Victoire)+K142*Points_Null)</f>
        <v/>
      </c>
      <c r="I142" s="537" t="str">
        <f>IF(J142="","",SUM(J142:L142))</f>
        <v/>
      </c>
      <c r="J142" s="537" t="str">
        <f>IF(AL145="","",COUNTIF(AE146:AE213,G142))</f>
        <v/>
      </c>
      <c r="K142" s="537" t="str">
        <f>IF(AL145="","",COUNTIF(AF146:AG213,G142))</f>
        <v/>
      </c>
      <c r="L142" s="537" t="str">
        <f>IF(AL145="","",COUNTIF(AH146:AH213,G142))</f>
        <v/>
      </c>
      <c r="M142" s="1053" t="str">
        <f>IF(AL145="","",J142-L142)</f>
        <v/>
      </c>
      <c r="N142" s="537" t="str">
        <f>IF(AL145="","",SUMIF(Y146:Y213,G142,Z146:Z213)+SUMIF(AC146:AC213,G142,AB146:AB213))</f>
        <v/>
      </c>
      <c r="O142" s="537" t="str">
        <f>IF(AL145="","",SUMIF(Y146:Y213,G142,AB146:AB213)+SUMIF(AC146:AC213,G142,Z146:AL213))</f>
        <v/>
      </c>
      <c r="P142" s="1053" t="str">
        <f>IF(AL145="","",N142-O142)</f>
        <v/>
      </c>
      <c r="Q142" s="537" t="str">
        <f>IF(AL145="","",SUMIF(Y146:Y213,G142,AI146:AI213)+SUMIF(AC146:AC213,G142,AJ146:AJ213))</f>
        <v/>
      </c>
      <c r="R142" s="537" t="str">
        <f>IF(AL145="","",SUMIF(Y146:Y213,G142,AJ146:AJ213)+SUMIF(AC146:AC213,G142,AI146:AI213))</f>
        <v/>
      </c>
      <c r="S142" s="512" t="str">
        <f>IF(AL145="","",Q142-R142)</f>
        <v/>
      </c>
      <c r="T142" s="270"/>
      <c r="U142" s="270"/>
      <c r="V142" s="270"/>
      <c r="W142" s="270"/>
      <c r="X142" s="270"/>
      <c r="Y142" s="270"/>
      <c r="Z142" s="270"/>
      <c r="AA142" s="270"/>
      <c r="AB142" s="270"/>
      <c r="AC142" s="270"/>
      <c r="AD142" s="575"/>
      <c r="AE142" s="270"/>
      <c r="AF142" s="270"/>
      <c r="AG142" s="270"/>
      <c r="AH142" s="270"/>
      <c r="AI142" s="270"/>
      <c r="AJ142" s="270"/>
      <c r="AK142" s="270"/>
      <c r="AL142" s="270" t="str">
        <f>IF(AL145="","",SMALL(C140:C144,3))</f>
        <v/>
      </c>
      <c r="AM142" s="270"/>
      <c r="AN142" s="270"/>
      <c r="AO142" s="509" t="str">
        <f>IF(AL145="","",INT(AL142/1000))</f>
        <v/>
      </c>
      <c r="AP142" s="1132" t="str">
        <f>IF(AL145="",IF(HidePlayerFormulas,"","("&amp;G142&amp;")"),VLOOKUP(AL142,C140:S144,5,FALSE))</f>
        <v/>
      </c>
      <c r="AQ142" s="510" t="str">
        <f>VLOOKUP(AL142,C140:S144,6,FALSE)</f>
        <v/>
      </c>
      <c r="AR142" s="537" t="str">
        <f>VLOOKUP(AL142,C140:S144,7,FALSE)</f>
        <v/>
      </c>
      <c r="AS142" s="537" t="str">
        <f>VLOOKUP(AL142,C140:S144,8,FALSE)</f>
        <v/>
      </c>
      <c r="AT142" s="537" t="str">
        <f>VLOOKUP(AL142,C140:S144,9,FALSE)</f>
        <v/>
      </c>
      <c r="AU142" s="537" t="str">
        <f>VLOOKUP(AL142,C140:S144,10,FALSE)</f>
        <v/>
      </c>
      <c r="AV142" s="512" t="str">
        <f>VLOOKUP(AL142,C140:S144,11,FALSE)</f>
        <v/>
      </c>
      <c r="AW142" s="510" t="str">
        <f>VLOOKUP(AL142,C140:S144,12,FALSE)</f>
        <v/>
      </c>
      <c r="AX142" s="537" t="str">
        <f>VLOOKUP(AL142,C140:S144,13,FALSE)</f>
        <v/>
      </c>
      <c r="AY142" s="512" t="str">
        <f>VLOOKUP(AL142,C140:S144,14,FALSE)</f>
        <v/>
      </c>
      <c r="AZ142" s="510" t="str">
        <f>VLOOKUP(AL142,C140:S144,15,FALSE)</f>
        <v/>
      </c>
      <c r="BA142" s="537" t="str">
        <f>VLOOKUP(AL142,C140:S144,16,FALSE)</f>
        <v/>
      </c>
      <c r="BB142" s="512" t="str">
        <f>VLOOKUP(AL142,C140:S144,17,FALSE)</f>
        <v/>
      </c>
      <c r="BC142" s="1055" t="str">
        <f>IF($Z146="","",IF($AP142=$Y146,$Z146&amp;"("&amp;SUM($Z147:$Z150)&amp;")",IF($AP142=$AC146,$AB146&amp;"("&amp;SUM($AB147:$AB150)&amp;")","")))</f>
        <v/>
      </c>
      <c r="BD142" s="126" t="str">
        <f>IF($Z153="","",IF($AP142=$Y153,$Z153&amp;"("&amp;SUM($Z154:$Z157)&amp;")",IF($AP142=$AC153,$AB153&amp;"("&amp;SUM($AB154:$AB157)&amp;")","")))</f>
        <v/>
      </c>
      <c r="BE142" s="126" t="str">
        <f>IF($Z160="","",IF($AP142=$Y160,$Z160&amp;"("&amp;SUM($Z161:$Z164)&amp;")",IF($AP142=$AC160,$AB160&amp;"("&amp;SUM($AB161:$AB164)&amp;")","")))</f>
        <v/>
      </c>
      <c r="BF142" s="126" t="str">
        <f>IF($Z167="","",IF($AP142=$Y167,$Z167&amp;"("&amp;SUM($Z168:$Z171)&amp;")",IF($AP142=$AC167,$AB167&amp;"("&amp;SUM($AB168:$AB171)&amp;")","")))</f>
        <v/>
      </c>
      <c r="BG142" s="126" t="str">
        <f>IF($Z174="","",IF($AP142=$Y174,$Z174&amp;"("&amp;SUM($Z175:$Z178)&amp;")",IF($AP142=$AC174,$AB174&amp;"("&amp;SUM($AB175:$AB178)&amp;")","")))</f>
        <v/>
      </c>
      <c r="BH142" s="126" t="str">
        <f>IF($Z181="","",IF($AP142=$Y181,$Z181&amp;"("&amp;SUM($Z182:$Z185)&amp;")",IF($AP142=$AC181,$AB181&amp;"("&amp;SUM($AB182:$AB185)&amp;")","")))</f>
        <v/>
      </c>
      <c r="BI142" s="126" t="str">
        <f>IF($Z188="","",IF($AP142=$Y188,$Z188&amp;"("&amp;SUM($Z189:$Z192)&amp;")",IF($AP142=$AC188,$AB188&amp;"("&amp;SUM($AB189:$AB192)&amp;")","")))</f>
        <v/>
      </c>
      <c r="BJ142" s="126" t="str">
        <f>IF($Z195="","",IF($AP142=$Y195,$Z195&amp;"("&amp;SUM($Z196:$Z199)&amp;")",IF($AP142=$AC195,$AB195&amp;"("&amp;SUM($AB196:$AB199)&amp;")","")))</f>
        <v/>
      </c>
      <c r="BK142" s="126" t="str">
        <f>IF($Z202="","",IF($AP142=$Y202,$Z202&amp;"("&amp;SUM($Z203:$Z206)&amp;")",IF($AP142=$AC202,$AB202&amp;"("&amp;SUM($AB203:$AB206)&amp;")","")))</f>
        <v/>
      </c>
      <c r="BL142" s="1056" t="str">
        <f>IF($Z209="","",IF($AP142=$Y209,$Z209&amp;"("&amp;SUM($Z210:$Z213)&amp;")",IF($AP142=$AC209,$AB209&amp;"("&amp;SUM($AB210:$AB213)&amp;")","")))</f>
        <v/>
      </c>
      <c r="BM142" s="270"/>
      <c r="BN142" s="270"/>
      <c r="BO142" s="270"/>
      <c r="BP142" s="270"/>
      <c r="BQ142" s="270"/>
      <c r="BR142" s="270"/>
      <c r="BS142" s="270"/>
      <c r="BT142" s="270"/>
      <c r="BU142" s="270"/>
      <c r="BV142" s="270"/>
      <c r="BW142" s="270"/>
      <c r="BX142" s="270"/>
      <c r="BY142" s="270"/>
      <c r="BZ142" s="270"/>
      <c r="CA142" s="270"/>
      <c r="CB142" s="270"/>
      <c r="CC142" s="270"/>
      <c r="CD142" s="270"/>
      <c r="CE142" s="1395" t="b">
        <f>IF(G142="[---WithDraw---]",FALSE,IF(COUNTIF(PlayerNamesWithinGroups,G142)&gt;1,TRUE,FALSE))</f>
        <v>1</v>
      </c>
      <c r="CF142" s="1450" t="b">
        <f>AND(LEFT($AP142,1) = "(", RIGHT($AP142,1) =")")</f>
        <v>0</v>
      </c>
      <c r="CG142" s="1450" t="b">
        <f>IF(OR($AO142=$AO141,$AO142=$AO143),TRUE,FALSE)</f>
        <v>1</v>
      </c>
      <c r="CH142" s="270"/>
      <c r="CI142" s="270"/>
      <c r="CJ142" s="270"/>
      <c r="CK142" s="270"/>
      <c r="CL142" s="270"/>
      <c r="CM142" s="270"/>
    </row>
    <row r="143" spans="1:91" outlineLevel="1" x14ac:dyDescent="0.2">
      <c r="A143" s="270"/>
      <c r="B143" s="536">
        <v>4</v>
      </c>
      <c r="C143" s="126" t="str">
        <f>IF(AL145="","",RANK(F143,F140:F144)*1000+ROW())</f>
        <v/>
      </c>
      <c r="D143" s="1051" t="str">
        <f>IF(J143="","",H143*CritClassEq1_Points+M143*CritClassEq1_DiffRencontres+P143*CritClassEq1_DiffMatches+S143*CritClassEq1_DiffButs+N143*CritClassEq1_Matches+Q143*CritClassEq1_Attaque)</f>
        <v/>
      </c>
      <c r="E143" s="1051" t="str">
        <f>IF(J143="","",Nb_Diff_Part(D143,D140:D144,G143,G140:G144,AK146:AK209)*CritClassEq_DiffPart+Nb_Goal_Part(D143,D140:D144,G143,G140:G144,Y146:AC209)*CritClassEq_IndsPart+Nb_Score_Part(D143,D140:D144,G143,G140:G144,Y146:AC209)*CritClassEq_WinsPart+Nb_GoalTeam_Part(D143,D140:D144,G143,G140:G144,Y146:AC209)*CritClassEq_GoalPart+Nb_ScoreTeam_Part(D143,D140:D144,G143,G140:G144,Y146:AC209)*CritClassEq_ScorePart)</f>
        <v/>
      </c>
      <c r="F143" s="1130" t="str">
        <f>IF(J143="","",D143+E143+H143*CritClassEq2_Points+M143*CritClassEq2_DiffRencontres+P143*CritClassEq2_DiffMatches+S143*CritClassEq2_DiffButs+N143*CritClassEq2_Matches+Q143*CritClassEq2_Attaque)</f>
        <v/>
      </c>
      <c r="G143" s="478" t="s">
        <v>828</v>
      </c>
      <c r="H143" s="1131" t="str">
        <f>IF(AL145="","",(J143*Points_Victoire)+K143*Points_Null)</f>
        <v/>
      </c>
      <c r="I143" s="537" t="str">
        <f>IF(J143="","",SUM(J143:L143))</f>
        <v/>
      </c>
      <c r="J143" s="537" t="str">
        <f>IF(AL145="","",COUNTIF(AE146:AE213,G143))</f>
        <v/>
      </c>
      <c r="K143" s="537" t="str">
        <f>IF(AL145="","",COUNTIF(AF146:AG213,G143))</f>
        <v/>
      </c>
      <c r="L143" s="537" t="str">
        <f>IF(AL145="","",COUNTIF(AH146:AH213,G143))</f>
        <v/>
      </c>
      <c r="M143" s="1053" t="str">
        <f>IF(AL145="","",J143-L143)</f>
        <v/>
      </c>
      <c r="N143" s="537" t="str">
        <f>IF(AL145="","",SUMIF(Y146:Y213,G143,Z146:Z213)+SUMIF(AC146:AC213,G143,AB146:AB213))</f>
        <v/>
      </c>
      <c r="O143" s="537" t="str">
        <f>IF(AL145="","",SUMIF(Y146:Y213,G143,AB146:AB213)+SUMIF(AC146:AC213,G143,Z146:AL213))</f>
        <v/>
      </c>
      <c r="P143" s="1053" t="str">
        <f>IF(AL145="","",N143-O143)</f>
        <v/>
      </c>
      <c r="Q143" s="537" t="str">
        <f>IF(AL145="","",SUMIF(Y146:Y213,G143,AI146:AI213)+SUMIF(AC146:AC213,G143,AJ146:AJ213))</f>
        <v/>
      </c>
      <c r="R143" s="537" t="str">
        <f>IF(AL145="","",SUMIF(Y146:Y213,G143,AJ146:AJ213)+SUMIF(AC146:AC213,G143,AI146:AI213))</f>
        <v/>
      </c>
      <c r="S143" s="512" t="str">
        <f>IF(AL145="","",Q143-R143)</f>
        <v/>
      </c>
      <c r="T143" s="270"/>
      <c r="U143" s="270"/>
      <c r="V143" s="270"/>
      <c r="W143" s="270"/>
      <c r="X143" s="270"/>
      <c r="Y143" s="270"/>
      <c r="Z143" s="270"/>
      <c r="AA143" s="270"/>
      <c r="AB143" s="270"/>
      <c r="AC143" s="270"/>
      <c r="AD143" s="575"/>
      <c r="AE143" s="270"/>
      <c r="AF143" s="270"/>
      <c r="AG143" s="270"/>
      <c r="AH143" s="270"/>
      <c r="AI143" s="270"/>
      <c r="AJ143" s="270"/>
      <c r="AK143" s="270"/>
      <c r="AL143" s="270" t="str">
        <f>IF(AL145="","",SMALL(C140:C144,4))</f>
        <v/>
      </c>
      <c r="AM143" s="270"/>
      <c r="AN143" s="270"/>
      <c r="AO143" s="509" t="str">
        <f>IF(AL145="","",INT(AL143/1000))</f>
        <v/>
      </c>
      <c r="AP143" s="1132" t="str">
        <f>IF(AL145="",IF(HidePlayerFormulas,"","("&amp;G143&amp;")"),VLOOKUP(AL143,C140:S144,5,FALSE))</f>
        <v/>
      </c>
      <c r="AQ143" s="510" t="str">
        <f>VLOOKUP(AL143,C140:S144,6,FALSE)</f>
        <v/>
      </c>
      <c r="AR143" s="537" t="str">
        <f>VLOOKUP(AL143,C140:S144,7,FALSE)</f>
        <v/>
      </c>
      <c r="AS143" s="537" t="str">
        <f>VLOOKUP(AL143,C140:S144,8,FALSE)</f>
        <v/>
      </c>
      <c r="AT143" s="537" t="str">
        <f>VLOOKUP(AL143,C140:S144,9,FALSE)</f>
        <v/>
      </c>
      <c r="AU143" s="537" t="str">
        <f>VLOOKUP(AL143,C140:S144,10,FALSE)</f>
        <v/>
      </c>
      <c r="AV143" s="512" t="str">
        <f>VLOOKUP(AL143,C140:S144,11,FALSE)</f>
        <v/>
      </c>
      <c r="AW143" s="510" t="str">
        <f>VLOOKUP(AL143,C140:S144,12,FALSE)</f>
        <v/>
      </c>
      <c r="AX143" s="537" t="str">
        <f>VLOOKUP(AL143,C140:S144,13,FALSE)</f>
        <v/>
      </c>
      <c r="AY143" s="512" t="str">
        <f>VLOOKUP(AL143,C140:S144,14,FALSE)</f>
        <v/>
      </c>
      <c r="AZ143" s="510" t="str">
        <f>VLOOKUP(AL143,C140:S144,15,FALSE)</f>
        <v/>
      </c>
      <c r="BA143" s="537" t="str">
        <f>VLOOKUP(AL143,C140:S144,16,FALSE)</f>
        <v/>
      </c>
      <c r="BB143" s="512" t="str">
        <f>VLOOKUP(AL143,C140:S144,17,FALSE)</f>
        <v/>
      </c>
      <c r="BC143" s="1055" t="str">
        <f>IF($Z146="","",IF($AP143=$Y146,$Z146&amp;"("&amp;SUM($Z147:$Z150)&amp;")",IF($AP143=$AC146,$AB146&amp;"("&amp;SUM($AB147:$AB150)&amp;")","")))</f>
        <v/>
      </c>
      <c r="BD143" s="126" t="str">
        <f>IF($Z153="","",IF($AP143=$Y153,$Z153&amp;"("&amp;SUM($Z154:$Z157)&amp;")",IF($AP143=$AC153,$AB153&amp;"("&amp;SUM($AB154:$AB157)&amp;")","")))</f>
        <v/>
      </c>
      <c r="BE143" s="126" t="str">
        <f>IF($Z160="","",IF($AP143=$Y160,$Z160&amp;"("&amp;SUM($Z161:$Z164)&amp;")",IF($AP143=$AC160,$AB160&amp;"("&amp;SUM($AB161:$AB164)&amp;")","")))</f>
        <v/>
      </c>
      <c r="BF143" s="126" t="str">
        <f>IF($Z167="","",IF($AP143=$Y167,$Z167&amp;"("&amp;SUM($Z168:$Z171)&amp;")",IF($AP143=$AC167,$AB167&amp;"("&amp;SUM($AB168:$AB171)&amp;")","")))</f>
        <v/>
      </c>
      <c r="BG143" s="126" t="str">
        <f>IF($Z174="","",IF($AP143=$Y174,$Z174&amp;"("&amp;SUM($Z175:$Z178)&amp;")",IF($AP143=$AC174,$AB174&amp;"("&amp;SUM($AB175:$AB178)&amp;")","")))</f>
        <v/>
      </c>
      <c r="BH143" s="126" t="str">
        <f>IF($Z181="","",IF($AP143=$Y181,$Z181&amp;"("&amp;SUM($Z182:$Z185)&amp;")",IF($AP143=$AC181,$AB181&amp;"("&amp;SUM($AB182:$AB185)&amp;")","")))</f>
        <v/>
      </c>
      <c r="BI143" s="126" t="str">
        <f>IF($Z188="","",IF($AP143=$Y188,$Z188&amp;"("&amp;SUM($Z189:$Z192)&amp;")",IF($AP143=$AC188,$AB188&amp;"("&amp;SUM($AB189:$AB192)&amp;")","")))</f>
        <v/>
      </c>
      <c r="BJ143" s="126" t="str">
        <f>IF($Z195="","",IF($AP143=$Y195,$Z195&amp;"("&amp;SUM($Z196:$Z199)&amp;")",IF($AP143=$AC195,$AB195&amp;"("&amp;SUM($AB196:$AB199)&amp;")","")))</f>
        <v/>
      </c>
      <c r="BK143" s="126" t="str">
        <f>IF($Z202="","",IF($AP143=$Y202,$Z202&amp;"("&amp;SUM($Z203:$Z206)&amp;")",IF($AP143=$AC202,$AB202&amp;"("&amp;SUM($AB203:$AB206)&amp;")","")))</f>
        <v/>
      </c>
      <c r="BL143" s="1056" t="str">
        <f>IF($Z209="","",IF($AP143=$Y209,$Z209&amp;"("&amp;SUM($Z210:$Z213)&amp;")",IF($AP143=$AC209,$AB209&amp;"("&amp;SUM($AB210:$AB213)&amp;")","")))</f>
        <v/>
      </c>
      <c r="BM143" s="270"/>
      <c r="BN143" s="270"/>
      <c r="BO143" s="270"/>
      <c r="BP143" s="270"/>
      <c r="BQ143" s="270"/>
      <c r="BR143" s="270"/>
      <c r="BS143" s="270"/>
      <c r="BT143" s="270"/>
      <c r="BU143" s="270"/>
      <c r="BV143" s="270"/>
      <c r="BW143" s="270"/>
      <c r="BX143" s="270"/>
      <c r="BY143" s="270"/>
      <c r="BZ143" s="270"/>
      <c r="CA143" s="270"/>
      <c r="CB143" s="270"/>
      <c r="CC143" s="270"/>
      <c r="CD143" s="270"/>
      <c r="CE143" s="1395" t="b">
        <f>IF(G143="[---WithDraw---]",FALSE,IF(COUNTIF(PlayerNamesWithinGroups,G143)&gt;1,TRUE,FALSE))</f>
        <v>1</v>
      </c>
      <c r="CF143" s="1450" t="b">
        <f>AND(LEFT($AP143,1) = "(", RIGHT($AP143,1) =")")</f>
        <v>0</v>
      </c>
      <c r="CG143" s="1450" t="b">
        <f>IF(OR($AO143=$AO142,$AO143=$AO144),TRUE,FALSE)</f>
        <v>1</v>
      </c>
      <c r="CH143" s="270"/>
      <c r="CI143" s="270"/>
      <c r="CJ143" s="270"/>
      <c r="CK143" s="270"/>
      <c r="CL143" s="270"/>
      <c r="CM143" s="270"/>
    </row>
    <row r="144" spans="1:91" ht="13.5" outlineLevel="1" thickBot="1" x14ac:dyDescent="0.25">
      <c r="A144" s="270"/>
      <c r="B144" s="538">
        <v>5</v>
      </c>
      <c r="C144" s="1133" t="str">
        <f>IF(AL145="","",RANK(F144,F140:F144)*1000+ROW())</f>
        <v/>
      </c>
      <c r="D144" s="1134" t="str">
        <f>IF(J144="","",H144*CritClassEq1_Points+M144*CritClassEq1_DiffRencontres+P144*CritClassEq1_DiffMatches+S144*CritClassEq1_DiffButs+N144*CritClassEq1_Matches+Q144*CritClassEq1_Attaque)</f>
        <v/>
      </c>
      <c r="E144" s="1134" t="str">
        <f>IF(J144="","",Nb_Diff_Part(D144,D140:D144,G144,G140:G144,AK146:AK209)*CritClassEq_DiffPart+Nb_Goal_Part(D144,D140:D144,G144,G140:G144,Y146:AC209)*CritClassEq_IndsPart+Nb_Score_Part(D144,D140:D144,G144,G140:G144,Y146:AC209)*CritClassEq_WinsPart+Nb_GoalTeam_Part(D144,D140:D144,G144,G140:G144,Y146:AC209)*CritClassEq_GoalPart+Nb_ScoreTeam_Part(D144,D140:D144,G144,G140:G144,Y146:AC209)*CritClassEq_ScorePart)</f>
        <v/>
      </c>
      <c r="F144" s="1135" t="str">
        <f>IF(J144="","",D144+E144+H144*CritClassEq2_Points+M144*CritClassEq2_DiffRencontres+P144*CritClassEq2_DiffMatches+S144*CritClassEq2_DiffButs+N144*CritClassEq2_Matches+Q144*CritClassEq2_Attaque)</f>
        <v/>
      </c>
      <c r="G144" s="478" t="s">
        <v>4025</v>
      </c>
      <c r="H144" s="1136" t="str">
        <f>IF(AL145="","",(J144*Points_Victoire)+K144*Points_Null)</f>
        <v/>
      </c>
      <c r="I144" s="539" t="str">
        <f>IF(J144="","",SUM(J144:L144))</f>
        <v/>
      </c>
      <c r="J144" s="539" t="str">
        <f>IF(AL145="","",COUNTIF(AE146:AE213,G144))</f>
        <v/>
      </c>
      <c r="K144" s="539" t="str">
        <f>IF(AL145="","",COUNTIF(AF146:AG213,G144))</f>
        <v/>
      </c>
      <c r="L144" s="539" t="str">
        <f>IF(AL145="","",COUNTIF(AH146:AH213,G144))</f>
        <v/>
      </c>
      <c r="M144" s="1137" t="str">
        <f>IF(AL145="","",J144-L144)</f>
        <v/>
      </c>
      <c r="N144" s="539" t="str">
        <f>IF(AL145="","",SUMIF(Y146:Y213,G144,Z146:Z213)+SUMIF(AC146:AC213,G144,AB146:AB213))</f>
        <v/>
      </c>
      <c r="O144" s="539" t="str">
        <f>IF(AL145="","",SUMIF(Y146:Y213,G144,AB146:AB213)+SUMIF(AC146:AC213,G144,Z146:AL213))</f>
        <v/>
      </c>
      <c r="P144" s="1137" t="str">
        <f>IF(AL145="","",N144-O144)</f>
        <v/>
      </c>
      <c r="Q144" s="539" t="str">
        <f>IF(AL145="","",SUMIF(Y146:Y213,G144,AI146:AI213)+SUMIF(AC146:AC213,G144,AJ146:AJ213))</f>
        <v/>
      </c>
      <c r="R144" s="539" t="str">
        <f>IF(AL145="","",SUMIF(Y146:Y213,G144,AJ146:AJ213)+SUMIF(AC146:AC213,G144,AI146:AI213))</f>
        <v/>
      </c>
      <c r="S144" s="516" t="str">
        <f>IF(AL145="","",Q144-R144)</f>
        <v/>
      </c>
      <c r="T144" s="270"/>
      <c r="U144" s="270"/>
      <c r="V144" s="270"/>
      <c r="W144" s="270"/>
      <c r="X144" s="270"/>
      <c r="Y144" s="270"/>
      <c r="Z144" s="270"/>
      <c r="AA144" s="270"/>
      <c r="AB144" s="270"/>
      <c r="AC144" s="270"/>
      <c r="AD144" s="575"/>
      <c r="AE144" s="270"/>
      <c r="AF144" s="270"/>
      <c r="AG144" s="270"/>
      <c r="AH144" s="270"/>
      <c r="AI144" s="270"/>
      <c r="AJ144" s="270"/>
      <c r="AK144" s="270"/>
      <c r="AL144" s="270" t="str">
        <f>IF(AL145="","",SMALL(C140:C144,5))</f>
        <v/>
      </c>
      <c r="AM144" s="270"/>
      <c r="AN144" s="270"/>
      <c r="AO144" s="513" t="str">
        <f>IF(AL145="","",INT(AL144/1000))</f>
        <v/>
      </c>
      <c r="AP144" s="1138" t="str">
        <f>IF(AL145="",IF(HidePlayerFormulas,"","("&amp;G144&amp;")"),VLOOKUP(AL144,C140:S144,5,FALSE))</f>
        <v/>
      </c>
      <c r="AQ144" s="514" t="str">
        <f>VLOOKUP(AL144,C140:S144,6,FALSE)</f>
        <v/>
      </c>
      <c r="AR144" s="539" t="str">
        <f>VLOOKUP(AL144,C140:S144,7,FALSE)</f>
        <v/>
      </c>
      <c r="AS144" s="539" t="str">
        <f>VLOOKUP(AL144,C140:S144,8,FALSE)</f>
        <v/>
      </c>
      <c r="AT144" s="539" t="str">
        <f>VLOOKUP(AL144,C140:S144,9,FALSE)</f>
        <v/>
      </c>
      <c r="AU144" s="539" t="str">
        <f>VLOOKUP(AL144,C140:S144,10,FALSE)</f>
        <v/>
      </c>
      <c r="AV144" s="516" t="str">
        <f>VLOOKUP(AL144,C140:S144,11,FALSE)</f>
        <v/>
      </c>
      <c r="AW144" s="514" t="str">
        <f>VLOOKUP(AL144,C140:S144,12,FALSE)</f>
        <v/>
      </c>
      <c r="AX144" s="539" t="str">
        <f>VLOOKUP(AL144,C140:S144,13,FALSE)</f>
        <v/>
      </c>
      <c r="AY144" s="516" t="str">
        <f>VLOOKUP(AL144,C140:S144,14,FALSE)</f>
        <v/>
      </c>
      <c r="AZ144" s="514" t="str">
        <f>VLOOKUP(AL144,C140:S144,15,FALSE)</f>
        <v/>
      </c>
      <c r="BA144" s="539" t="str">
        <f>VLOOKUP(AL144,C140:S144,16,FALSE)</f>
        <v/>
      </c>
      <c r="BB144" s="516" t="str">
        <f>VLOOKUP(AL144,C140:S144,17,FALSE)</f>
        <v/>
      </c>
      <c r="BC144" s="1058" t="str">
        <f>IF($Z146="","",IF($AP144=$Y146,$Z146&amp;"("&amp;SUM($Z147:$Z150)&amp;")",IF($AP144=$AC146,$AB146&amp;"("&amp;SUM($AB147:$AB150)&amp;")","")))</f>
        <v/>
      </c>
      <c r="BD144" s="1059" t="str">
        <f>IF($Z153="","",IF($AP144=$Y153,$Z153&amp;"("&amp;SUM($Z154:$Z157)&amp;")",IF($AP144=$AC153,$AB153&amp;"("&amp;SUM($AB154:$AB157)&amp;")","")))</f>
        <v/>
      </c>
      <c r="BE144" s="1059" t="str">
        <f>IF($Z160="","",IF($AP144=$Y160,$Z160&amp;"("&amp;SUM($Z161:$Z164)&amp;")",IF($AP144=$AC160,$AB160&amp;"("&amp;SUM($AB161:$AB164)&amp;")","")))</f>
        <v/>
      </c>
      <c r="BF144" s="1059" t="str">
        <f>IF($Z167="","",IF($AP144=$Y167,$Z167&amp;"("&amp;SUM($Z168:$Z171)&amp;")",IF($AP144=$AC167,$AB167&amp;"("&amp;SUM($AB168:$AB171)&amp;")","")))</f>
        <v/>
      </c>
      <c r="BG144" s="1059" t="str">
        <f>IF($Z174="","",IF($AP144=$Y174,$Z174&amp;"("&amp;SUM($Z175:$Z178)&amp;")",IF($AP144=$AC174,$AB174&amp;"("&amp;SUM($AB175:$AB178)&amp;")","")))</f>
        <v/>
      </c>
      <c r="BH144" s="1059" t="str">
        <f>IF($Z181="","",IF($AP144=$Y181,$Z181&amp;"("&amp;SUM($Z182:$Z185)&amp;")",IF($AP144=$AC181,$AB181&amp;"("&amp;SUM($AB182:$AB185)&amp;")","")))</f>
        <v/>
      </c>
      <c r="BI144" s="1059" t="str">
        <f>IF($Z188="","",IF($AP144=$Y188,$Z188&amp;"("&amp;SUM($Z189:$Z192)&amp;")",IF($AP144=$AC188,$AB188&amp;"("&amp;SUM($AB189:$AB192)&amp;")","")))</f>
        <v/>
      </c>
      <c r="BJ144" s="1059" t="str">
        <f>IF($Z195="","",IF($AP144=$Y195,$Z195&amp;"("&amp;SUM($Z196:$Z199)&amp;")",IF($AP144=$AC195,$AB195&amp;"("&amp;SUM($AB196:$AB199)&amp;")","")))</f>
        <v/>
      </c>
      <c r="BK144" s="1059" t="str">
        <f>IF($Z202="","",IF($AP144=$Y202,$Z202&amp;"("&amp;SUM($Z203:$Z206)&amp;")",IF($AP144=$AC202,$AB202&amp;"("&amp;SUM($AB203:$AB206)&amp;")","")))</f>
        <v/>
      </c>
      <c r="BL144" s="1060" t="str">
        <f>IF($Z209="","",IF($AP144=$Y209,$Z209&amp;"("&amp;SUM($Z210:$Z213)&amp;")",IF($AP144=$AC209,$AB209&amp;"("&amp;SUM($AB210:$AB213)&amp;")","")))</f>
        <v/>
      </c>
      <c r="BM144" s="270"/>
      <c r="BN144" s="270"/>
      <c r="BO144" s="270"/>
      <c r="BP144" s="270"/>
      <c r="BQ144" s="270"/>
      <c r="BR144" s="270"/>
      <c r="BS144" s="270"/>
      <c r="BT144" s="270"/>
      <c r="BU144" s="270"/>
      <c r="BV144" s="270"/>
      <c r="BW144" s="270"/>
      <c r="BX144" s="270"/>
      <c r="BY144" s="270"/>
      <c r="BZ144" s="270"/>
      <c r="CA144" s="270"/>
      <c r="CB144" s="270"/>
      <c r="CC144" s="270"/>
      <c r="CD144" s="270"/>
      <c r="CE144" s="1395" t="b">
        <f>IF(G144="[---WithDraw---]",FALSE,IF(COUNTIF(PlayerNamesWithinGroups,G144)&gt;1,TRUE,FALSE))</f>
        <v>1</v>
      </c>
      <c r="CF144" s="1450" t="b">
        <f>AND(LEFT($AP144,1) = "(", RIGHT($AP144,1) =")")</f>
        <v>0</v>
      </c>
      <c r="CG144" s="1450" t="b">
        <f>IF(OR($AO144=$AO143,$AO144=$AO145),TRUE,FALSE)</f>
        <v>1</v>
      </c>
      <c r="CH144" s="270"/>
      <c r="CI144" s="270"/>
      <c r="CJ144" s="270"/>
      <c r="CK144" s="270"/>
      <c r="CL144" s="270"/>
      <c r="CM144" s="270"/>
    </row>
    <row r="145" spans="1:91" ht="13.5" outlineLevel="2" thickBot="1" x14ac:dyDescent="0.25">
      <c r="A145" s="270"/>
      <c r="B145" s="271"/>
      <c r="C145" s="270"/>
      <c r="D145" s="270"/>
      <c r="E145" s="270"/>
      <c r="F145" s="270"/>
      <c r="G145" s="271"/>
      <c r="H145" s="270"/>
      <c r="I145" s="270"/>
      <c r="J145" s="270"/>
      <c r="K145" s="270"/>
      <c r="L145" s="270"/>
      <c r="M145" s="270"/>
      <c r="N145" s="270"/>
      <c r="O145" s="270"/>
      <c r="P145" s="270"/>
      <c r="Q145" s="270"/>
      <c r="R145" s="270"/>
      <c r="S145" s="270"/>
      <c r="T145" s="270"/>
      <c r="U145" s="270"/>
      <c r="V145" s="1028" t="str">
        <f>N_Heure</f>
        <v>Heure</v>
      </c>
      <c r="W145" s="1028" t="str">
        <f>N_Table</f>
        <v>Table</v>
      </c>
      <c r="X145" s="1028" t="str">
        <f>N_Arbitre</f>
        <v>Arbitre</v>
      </c>
      <c r="Y145" s="1114" t="str">
        <f>N_Matches</f>
        <v>Matches</v>
      </c>
      <c r="Z145" s="1115"/>
      <c r="AA145" s="1115"/>
      <c r="AB145" s="1115"/>
      <c r="AC145" s="1116"/>
      <c r="AD145" s="629"/>
      <c r="AE145" s="270"/>
      <c r="AF145" s="270"/>
      <c r="AG145" s="270"/>
      <c r="AH145" s="270"/>
      <c r="AI145" s="270"/>
      <c r="AJ145" s="270"/>
      <c r="AK145" s="270"/>
      <c r="AL145" s="270" t="str">
        <f>IF(COUNTA(Z146:Z213)&gt;10,"OK","")</f>
        <v/>
      </c>
      <c r="AM145" s="270"/>
      <c r="AN145" s="270"/>
      <c r="AO145" s="575"/>
      <c r="AP145" s="270"/>
      <c r="AQ145" s="270"/>
      <c r="AR145" s="270"/>
      <c r="AS145" s="270"/>
      <c r="AT145" s="270"/>
      <c r="AU145" s="270"/>
      <c r="AV145" s="270"/>
      <c r="AW145" s="270"/>
      <c r="AX145" s="270"/>
      <c r="AY145" s="270"/>
      <c r="AZ145" s="270"/>
      <c r="BA145" s="270"/>
      <c r="BB145" s="270"/>
      <c r="BC145" s="270"/>
      <c r="BD145" s="270"/>
      <c r="BE145" s="270"/>
      <c r="BF145" s="270"/>
      <c r="BG145" s="270"/>
      <c r="BH145" s="270"/>
      <c r="BI145" s="270"/>
      <c r="BJ145" s="270"/>
      <c r="BK145" s="270"/>
      <c r="BL145" s="270"/>
      <c r="BM145" s="270"/>
      <c r="BN145" s="270"/>
      <c r="BO145" s="270"/>
      <c r="BP145" s="270"/>
      <c r="BQ145" s="270"/>
      <c r="BR145" s="270"/>
      <c r="BS145" s="270"/>
      <c r="BT145" s="270"/>
      <c r="BU145" s="270"/>
      <c r="BV145" s="270"/>
      <c r="BW145" s="270"/>
      <c r="BX145" s="270"/>
      <c r="BY145" s="270"/>
      <c r="BZ145" s="270"/>
      <c r="CA145" s="270"/>
      <c r="CB145" s="270"/>
      <c r="CC145" s="270"/>
      <c r="CD145" s="270"/>
      <c r="CE145" s="1395"/>
      <c r="CF145" s="1450"/>
      <c r="CG145" s="1450"/>
      <c r="CH145" s="270"/>
      <c r="CI145" s="270"/>
      <c r="CJ145" s="270"/>
      <c r="CK145" s="270"/>
      <c r="CL145" s="270"/>
      <c r="CM145" s="270"/>
    </row>
    <row r="146" spans="1:91" outlineLevel="2" collapsed="1" x14ac:dyDescent="0.2">
      <c r="A146" s="270"/>
      <c r="B146" s="271"/>
      <c r="C146" s="12"/>
      <c r="D146" s="1071"/>
      <c r="E146" s="1071"/>
      <c r="F146" s="1071"/>
      <c r="G146" s="626"/>
      <c r="H146" s="271"/>
      <c r="I146" s="270"/>
      <c r="J146" s="270"/>
      <c r="K146" s="270"/>
      <c r="L146" s="270"/>
      <c r="M146" s="270"/>
      <c r="N146" s="270"/>
      <c r="O146" s="270"/>
      <c r="P146" s="1072"/>
      <c r="Q146" s="270"/>
      <c r="R146" s="270"/>
      <c r="S146" s="1072"/>
      <c r="T146" s="270"/>
      <c r="U146" s="1019" t="s">
        <v>1726</v>
      </c>
      <c r="V146" s="1117"/>
      <c r="W146" s="617"/>
      <c r="X146" s="617"/>
      <c r="Y146" s="1139" t="str">
        <f>IF(G141="","",G141)</f>
        <v>Eq2</v>
      </c>
      <c r="Z146" s="1063" t="str">
        <f>IF(OR(ISNUMBER(Z147),ISNUMBER(Z148),ISNUMBER(Z149),ISNUMBER(Z150)),4-COUNTBLANK(AI147:AI150),"")</f>
        <v/>
      </c>
      <c r="AA146" s="1064" t="s">
        <v>769</v>
      </c>
      <c r="AB146" s="1063" t="str">
        <f>IF(OR(ISNUMBER(Z147),ISNUMBER(Z148),ISNUMBER(Z149),ISNUMBER(Z150)),4-COUNTBLANK(AJ147:AJ150),"")</f>
        <v/>
      </c>
      <c r="AC146" s="1140" t="str">
        <f>IF(G142="","",G142)</f>
        <v>Eq3</v>
      </c>
      <c r="AD146" s="839"/>
      <c r="AE146" s="270" t="str">
        <f>IF(Z146="","",IF(Z146&gt;AB146,Y146,IF(Z146=AB146,IF(NoDrawWithWithdraw,IF(AL146=Y146,AC146,IF(AL146=AC146,Y146,"")),""),AC146)))</f>
        <v/>
      </c>
      <c r="AF146" s="270" t="str">
        <f>IF(Z146="","",IF(Z146=AB146,IF(NoDrawWithWithdraw,IF(AL146=Y146,"",IF(AL146=AC146,"",Y146)),Y146),""))</f>
        <v/>
      </c>
      <c r="AG146" s="270" t="str">
        <f>IF(Z146="","",IF(Z146=AB146,IF(NoDrawWithWithdraw,IF(AL146=Y146,"",IF(AL146=AC146,"",AC146)),AC146),""))</f>
        <v/>
      </c>
      <c r="AH146" s="270" t="str">
        <f>IF(Z146="","",IF(Z146&lt;AB146,Y146,IF(Z146=AB146,IF(NoDrawWithWithdraw,IF(AL146=Y146,Y146,IF(AL146=AC146,AC146,"")),""),AC146)))</f>
        <v/>
      </c>
      <c r="AI146" s="270" t="str">
        <f>IF(Z146="","",SUM(Z147:Z150))</f>
        <v/>
      </c>
      <c r="AJ146" s="270" t="str">
        <f>IF(Z146="","",SUM(AB147:AB150))</f>
        <v/>
      </c>
      <c r="AK146" s="270" t="str">
        <f>CONCATENATE(AE146,AH146)</f>
        <v/>
      </c>
      <c r="AL146" s="270" t="str">
        <f>IF(COUNTIF(Y147:Y150,WithdrawLabel)&gt;COUNTIF(AC147:AC150,WithdrawLabel),Y146,IF(COUNTIF(AC147:AC150,WithdrawLabel)&gt;COUNTIF(Y147:Y150,WithdrawLabel),AC146,""))</f>
        <v/>
      </c>
      <c r="AM146" s="270"/>
      <c r="AN146" s="270"/>
      <c r="AO146" s="271"/>
      <c r="AP146" s="270"/>
      <c r="AQ146" s="270"/>
      <c r="AR146" s="270"/>
      <c r="AS146" s="270"/>
      <c r="AT146" s="270"/>
      <c r="AU146" s="270"/>
      <c r="AV146" s="270"/>
      <c r="AW146" s="270"/>
      <c r="AX146" s="270"/>
      <c r="AY146" s="1072"/>
      <c r="AZ146" s="270"/>
      <c r="BA146" s="270"/>
      <c r="BB146" s="1072"/>
      <c r="BC146" s="270"/>
      <c r="BD146" s="270"/>
      <c r="BE146" s="270"/>
      <c r="BF146" s="270"/>
      <c r="BG146" s="270"/>
      <c r="BH146" s="270"/>
      <c r="BI146" s="270"/>
      <c r="BJ146" s="270"/>
      <c r="BK146" s="270"/>
      <c r="BL146" s="270"/>
      <c r="BM146" s="270"/>
      <c r="BN146" s="270"/>
      <c r="BO146" s="270"/>
      <c r="BP146" s="270"/>
      <c r="BQ146" s="270"/>
      <c r="BR146" s="270"/>
      <c r="BS146" s="270"/>
      <c r="BT146" s="270"/>
      <c r="BU146" s="270"/>
      <c r="BV146" s="270"/>
      <c r="BW146" s="270"/>
      <c r="BX146" s="270"/>
      <c r="BY146" s="270"/>
      <c r="BZ146" s="270"/>
      <c r="CA146" s="270"/>
      <c r="CB146" s="270"/>
      <c r="CC146" s="270"/>
      <c r="CD146" s="270"/>
      <c r="CE146" s="1395"/>
      <c r="CF146" s="1450"/>
      <c r="CG146" s="1450"/>
      <c r="CH146" s="270"/>
      <c r="CI146" s="270"/>
      <c r="CJ146" s="270"/>
      <c r="CK146" s="270"/>
      <c r="CL146" s="270"/>
      <c r="CM146" s="270"/>
    </row>
    <row r="147" spans="1:91" ht="13.5" hidden="1" outlineLevel="3" thickBot="1" x14ac:dyDescent="0.25">
      <c r="A147" s="270"/>
      <c r="B147" s="271"/>
      <c r="C147" s="12"/>
      <c r="D147" s="1071"/>
      <c r="E147" s="1071"/>
      <c r="F147" s="1071"/>
      <c r="G147" s="626"/>
      <c r="H147" s="271"/>
      <c r="I147" s="270"/>
      <c r="J147" s="270"/>
      <c r="K147" s="270"/>
      <c r="L147" s="270"/>
      <c r="M147" s="270"/>
      <c r="N147" s="270"/>
      <c r="O147" s="270"/>
      <c r="P147" s="1072"/>
      <c r="Q147" s="270"/>
      <c r="R147" s="270"/>
      <c r="S147" s="1072"/>
      <c r="T147" s="270"/>
      <c r="U147" s="1019"/>
      <c r="V147" s="1118"/>
      <c r="W147" s="618"/>
      <c r="X147" s="618"/>
      <c r="Y147" s="1141"/>
      <c r="Z147" s="492"/>
      <c r="AA147" s="493" t="s">
        <v>769</v>
      </c>
      <c r="AB147" s="1069"/>
      <c r="AC147" s="1142"/>
      <c r="AD147" s="839"/>
      <c r="AE147" s="270" t="str">
        <f>IF(Z147="","",IF(Z147&gt;AB147,Y147,IF(Z147=AB147,"",AC147)))</f>
        <v/>
      </c>
      <c r="AF147" s="270" t="str">
        <f>IF(Z147="","",IF(Z147=AB147,Y147,""))</f>
        <v/>
      </c>
      <c r="AG147" s="270" t="str">
        <f>IF(Z147="","",IF(Z147=AB147,AC147,""))</f>
        <v/>
      </c>
      <c r="AH147" s="270" t="str">
        <f>IF(Z147="","",IF(Z147&lt;AB147,Y147,IF(Z147=AB147,"",AC147)))</f>
        <v/>
      </c>
      <c r="AI147" s="270" t="str">
        <f>IF(Z147="","",IF(Z147&gt;AB147,Y146,""))</f>
        <v/>
      </c>
      <c r="AJ147" s="270" t="str">
        <f>IF(Z147="","",IF(Z147&lt;AB147,AC146,""))</f>
        <v/>
      </c>
      <c r="AK147" s="270" t="str">
        <f>CONCATENATE(AE147,AH147)</f>
        <v/>
      </c>
      <c r="AL147" s="270"/>
      <c r="AM147" s="270"/>
      <c r="AN147" s="270"/>
      <c r="AO147" s="271"/>
      <c r="AP147" s="270"/>
      <c r="AQ147" s="270"/>
      <c r="AR147" s="270"/>
      <c r="AS147" s="270"/>
      <c r="AT147" s="270"/>
      <c r="AU147" s="270"/>
      <c r="AV147" s="270"/>
      <c r="AW147" s="270"/>
      <c r="AX147" s="270"/>
      <c r="AY147" s="1072"/>
      <c r="AZ147" s="270"/>
      <c r="BA147" s="270"/>
      <c r="BB147" s="1072"/>
      <c r="BC147" s="270"/>
      <c r="BD147" s="270"/>
      <c r="BE147" s="270"/>
      <c r="BF147" s="270"/>
      <c r="BG147" s="270"/>
      <c r="BH147" s="270"/>
      <c r="BI147" s="270"/>
      <c r="BJ147" s="270"/>
      <c r="BK147" s="270"/>
      <c r="BL147" s="270"/>
      <c r="BM147" s="270"/>
      <c r="BN147" s="270"/>
      <c r="BO147" s="270"/>
      <c r="BP147" s="270"/>
      <c r="BQ147" s="270"/>
      <c r="BR147" s="270"/>
      <c r="BS147" s="270"/>
      <c r="BT147" s="270"/>
      <c r="BU147" s="270"/>
      <c r="BV147" s="270"/>
      <c r="BW147" s="270"/>
      <c r="BX147" s="270"/>
      <c r="BY147" s="270"/>
      <c r="BZ147" s="270"/>
      <c r="CA147" s="270"/>
      <c r="CB147" s="270"/>
      <c r="CC147" s="270"/>
      <c r="CD147" s="270"/>
      <c r="CE147" s="1395"/>
      <c r="CF147" s="1450"/>
      <c r="CG147" s="1450"/>
      <c r="CH147" s="270"/>
      <c r="CI147" s="270"/>
      <c r="CJ147" s="270"/>
      <c r="CK147" s="270"/>
      <c r="CL147" s="270"/>
      <c r="CM147" s="270"/>
    </row>
    <row r="148" spans="1:91" ht="13.5" hidden="1" outlineLevel="3" thickBot="1" x14ac:dyDescent="0.25">
      <c r="A148" s="270"/>
      <c r="B148" s="271"/>
      <c r="C148" s="12"/>
      <c r="D148" s="1071"/>
      <c r="E148" s="1071"/>
      <c r="F148" s="1071"/>
      <c r="G148" s="626"/>
      <c r="H148" s="271"/>
      <c r="I148" s="270"/>
      <c r="J148" s="270"/>
      <c r="K148" s="270"/>
      <c r="L148" s="270"/>
      <c r="M148" s="270"/>
      <c r="N148" s="270"/>
      <c r="O148" s="270"/>
      <c r="P148" s="1072"/>
      <c r="Q148" s="270"/>
      <c r="R148" s="270"/>
      <c r="S148" s="1072"/>
      <c r="T148" s="270"/>
      <c r="U148" s="1019"/>
      <c r="V148" s="1118"/>
      <c r="W148" s="618"/>
      <c r="X148" s="618"/>
      <c r="Y148" s="1141"/>
      <c r="Z148" s="492"/>
      <c r="AA148" s="493" t="s">
        <v>769</v>
      </c>
      <c r="AB148" s="1069"/>
      <c r="AC148" s="1142"/>
      <c r="AD148" s="839"/>
      <c r="AE148" s="270" t="str">
        <f>IF(Z148="","",IF(Z148&gt;AB148,Y148,IF(Z148=AB148,"",AC148)))</f>
        <v/>
      </c>
      <c r="AF148" s="270" t="str">
        <f>IF(Z148="","",IF(Z148=AB148,Y148,""))</f>
        <v/>
      </c>
      <c r="AG148" s="270" t="str">
        <f>IF(Z148="","",IF(Z148=AB148,AC148,""))</f>
        <v/>
      </c>
      <c r="AH148" s="270" t="str">
        <f>IF(Z148="","",IF(Z148&lt;AB148,Y148,IF(Z148=AB148,"",AC148)))</f>
        <v/>
      </c>
      <c r="AI148" s="270" t="str">
        <f>IF(Z148="","",IF(Z148&gt;AB148,Y146,""))</f>
        <v/>
      </c>
      <c r="AJ148" s="270" t="str">
        <f>IF(Z148="","",IF(Z148&lt;AB148,AC146,""))</f>
        <v/>
      </c>
      <c r="AK148" s="270" t="str">
        <f>CONCATENATE(AE148,AH148)</f>
        <v/>
      </c>
      <c r="AL148" s="270"/>
      <c r="AM148" s="270"/>
      <c r="AN148" s="270"/>
      <c r="AO148" s="271"/>
      <c r="AP148" s="270"/>
      <c r="AQ148" s="270"/>
      <c r="AR148" s="270"/>
      <c r="AS148" s="270"/>
      <c r="AT148" s="270"/>
      <c r="AU148" s="270"/>
      <c r="AV148" s="270"/>
      <c r="AW148" s="270"/>
      <c r="AX148" s="270"/>
      <c r="AY148" s="1072"/>
      <c r="AZ148" s="270"/>
      <c r="BA148" s="270"/>
      <c r="BB148" s="1072"/>
      <c r="BC148" s="270"/>
      <c r="BD148" s="270"/>
      <c r="BE148" s="270"/>
      <c r="BF148" s="270"/>
      <c r="BG148" s="270"/>
      <c r="BH148" s="270"/>
      <c r="BI148" s="270"/>
      <c r="BJ148" s="270"/>
      <c r="BK148" s="270"/>
      <c r="BL148" s="270"/>
      <c r="BM148" s="270"/>
      <c r="BN148" s="270"/>
      <c r="BO148" s="270"/>
      <c r="BP148" s="270"/>
      <c r="BQ148" s="270"/>
      <c r="BR148" s="270"/>
      <c r="BS148" s="270"/>
      <c r="BT148" s="270"/>
      <c r="BU148" s="270"/>
      <c r="BV148" s="270"/>
      <c r="BW148" s="270"/>
      <c r="BX148" s="270"/>
      <c r="BY148" s="270"/>
      <c r="BZ148" s="270"/>
      <c r="CA148" s="270"/>
      <c r="CB148" s="270"/>
      <c r="CC148" s="270"/>
      <c r="CD148" s="270"/>
      <c r="CE148" s="1395"/>
      <c r="CF148" s="1450"/>
      <c r="CG148" s="1450"/>
      <c r="CH148" s="270"/>
      <c r="CI148" s="270"/>
      <c r="CJ148" s="270"/>
      <c r="CK148" s="270"/>
      <c r="CL148" s="270"/>
      <c r="CM148" s="270"/>
    </row>
    <row r="149" spans="1:91" ht="13.5" hidden="1" outlineLevel="3" thickBot="1" x14ac:dyDescent="0.25">
      <c r="A149" s="270"/>
      <c r="B149" s="271"/>
      <c r="C149" s="12"/>
      <c r="D149" s="1071"/>
      <c r="E149" s="1071"/>
      <c r="F149" s="1071"/>
      <c r="G149" s="626"/>
      <c r="H149" s="271"/>
      <c r="I149" s="270"/>
      <c r="J149" s="270"/>
      <c r="K149" s="270"/>
      <c r="L149" s="270"/>
      <c r="M149" s="270"/>
      <c r="N149" s="270"/>
      <c r="O149" s="270"/>
      <c r="P149" s="1072"/>
      <c r="Q149" s="270"/>
      <c r="R149" s="270"/>
      <c r="S149" s="1072"/>
      <c r="T149" s="270"/>
      <c r="U149" s="1019"/>
      <c r="V149" s="1118"/>
      <c r="W149" s="618"/>
      <c r="X149" s="618"/>
      <c r="Y149" s="1141"/>
      <c r="Z149" s="492"/>
      <c r="AA149" s="493" t="s">
        <v>769</v>
      </c>
      <c r="AB149" s="1069"/>
      <c r="AC149" s="1142"/>
      <c r="AD149" s="839"/>
      <c r="AE149" s="270" t="str">
        <f>IF(Z149="","",IF(Z149&gt;AB149,Y149,IF(Z149=AB149,"",AC149)))</f>
        <v/>
      </c>
      <c r="AF149" s="270" t="str">
        <f>IF(Z149="","",IF(Z149=AB149,Y149,""))</f>
        <v/>
      </c>
      <c r="AG149" s="270" t="str">
        <f>IF(Z149="","",IF(Z149=AB149,AC149,""))</f>
        <v/>
      </c>
      <c r="AH149" s="270" t="str">
        <f>IF(Z149="","",IF(Z149&lt;AB149,Y149,IF(Z149=AB149,"",AC149)))</f>
        <v/>
      </c>
      <c r="AI149" s="270" t="str">
        <f>IF(Z149="","",IF(Z149&gt;AB149,Y146,""))</f>
        <v/>
      </c>
      <c r="AJ149" s="270" t="str">
        <f>IF(Z149="","",IF(Z149&lt;AB149,AC146,""))</f>
        <v/>
      </c>
      <c r="AK149" s="270" t="str">
        <f>CONCATENATE(AE149,AH149)</f>
        <v/>
      </c>
      <c r="AL149" s="270"/>
      <c r="AM149" s="270"/>
      <c r="AN149" s="270"/>
      <c r="AO149" s="271"/>
      <c r="AP149" s="270"/>
      <c r="AQ149" s="270"/>
      <c r="AR149" s="270"/>
      <c r="AS149" s="270"/>
      <c r="AT149" s="270"/>
      <c r="AU149" s="270"/>
      <c r="AV149" s="270"/>
      <c r="AW149" s="270"/>
      <c r="AX149" s="270"/>
      <c r="AY149" s="1072"/>
      <c r="AZ149" s="270"/>
      <c r="BA149" s="270"/>
      <c r="BB149" s="1072"/>
      <c r="BC149" s="270"/>
      <c r="BD149" s="270"/>
      <c r="BE149" s="270"/>
      <c r="BF149" s="270"/>
      <c r="BG149" s="270"/>
      <c r="BH149" s="270"/>
      <c r="BI149" s="270"/>
      <c r="BJ149" s="270"/>
      <c r="BK149" s="270"/>
      <c r="BL149" s="270"/>
      <c r="BM149" s="270"/>
      <c r="BN149" s="270"/>
      <c r="BO149" s="270"/>
      <c r="BP149" s="270"/>
      <c r="BQ149" s="270"/>
      <c r="BR149" s="270"/>
      <c r="BS149" s="270"/>
      <c r="BT149" s="270"/>
      <c r="BU149" s="270"/>
      <c r="BV149" s="270"/>
      <c r="BW149" s="270"/>
      <c r="BX149" s="270"/>
      <c r="BY149" s="270"/>
      <c r="BZ149" s="270"/>
      <c r="CA149" s="270"/>
      <c r="CB149" s="270"/>
      <c r="CC149" s="270"/>
      <c r="CD149" s="270"/>
      <c r="CE149" s="1395"/>
      <c r="CF149" s="1450"/>
      <c r="CG149" s="1450"/>
      <c r="CH149" s="270"/>
      <c r="CI149" s="270"/>
      <c r="CJ149" s="270"/>
      <c r="CK149" s="270"/>
      <c r="CL149" s="270"/>
      <c r="CM149" s="270"/>
    </row>
    <row r="150" spans="1:91" ht="13.5" hidden="1" outlineLevel="3" thickBot="1" x14ac:dyDescent="0.25">
      <c r="A150" s="270"/>
      <c r="B150" s="271"/>
      <c r="C150" s="12"/>
      <c r="D150" s="1071"/>
      <c r="E150" s="1071"/>
      <c r="F150" s="1071"/>
      <c r="G150" s="626"/>
      <c r="H150" s="271"/>
      <c r="I150" s="270"/>
      <c r="J150" s="270"/>
      <c r="K150" s="270"/>
      <c r="L150" s="270"/>
      <c r="M150" s="270"/>
      <c r="N150" s="270"/>
      <c r="O150" s="270"/>
      <c r="P150" s="1072"/>
      <c r="Q150" s="270"/>
      <c r="R150" s="270"/>
      <c r="S150" s="1072"/>
      <c r="T150" s="270"/>
      <c r="U150" s="1019"/>
      <c r="V150" s="1118"/>
      <c r="W150" s="618"/>
      <c r="X150" s="618"/>
      <c r="Y150" s="1141"/>
      <c r="Z150" s="492"/>
      <c r="AA150" s="493" t="s">
        <v>769</v>
      </c>
      <c r="AB150" s="1069"/>
      <c r="AC150" s="1142"/>
      <c r="AD150" s="839"/>
      <c r="AE150" s="270" t="str">
        <f>IF(Z150="","",IF(Z150&gt;AB150,Y150,IF(Z150=AB150,"",AC150)))</f>
        <v/>
      </c>
      <c r="AF150" s="270" t="str">
        <f>IF(Z150="","",IF(Z150=AB150,Y150,""))</f>
        <v/>
      </c>
      <c r="AG150" s="270" t="str">
        <f>IF(Z150="","",IF(Z150=AB150,AC150,""))</f>
        <v/>
      </c>
      <c r="AH150" s="270" t="str">
        <f>IF(Z150="","",IF(Z150&lt;AB150,Y150,IF(Z150=AB150,"",AC150)))</f>
        <v/>
      </c>
      <c r="AI150" s="270" t="str">
        <f>IF(Z150="","",IF(Z150&gt;AB150,Y146,""))</f>
        <v/>
      </c>
      <c r="AJ150" s="270" t="str">
        <f>IF(Z150="","",IF(Z150&lt;AB150,AC146,""))</f>
        <v/>
      </c>
      <c r="AK150" s="270" t="str">
        <f>CONCATENATE(AE150,AH150)</f>
        <v/>
      </c>
      <c r="AL150" s="270"/>
      <c r="AM150" s="270"/>
      <c r="AN150" s="270"/>
      <c r="AO150" s="271"/>
      <c r="AP150" s="270"/>
      <c r="AQ150" s="270"/>
      <c r="AR150" s="270"/>
      <c r="AS150" s="270"/>
      <c r="AT150" s="270"/>
      <c r="AU150" s="270"/>
      <c r="AV150" s="270"/>
      <c r="AW150" s="270"/>
      <c r="AX150" s="270"/>
      <c r="AY150" s="1072"/>
      <c r="AZ150" s="270"/>
      <c r="BA150" s="270"/>
      <c r="BB150" s="1072"/>
      <c r="BC150" s="270"/>
      <c r="BD150" s="270"/>
      <c r="BE150" s="270"/>
      <c r="BF150" s="270"/>
      <c r="BG150" s="270"/>
      <c r="BH150" s="270"/>
      <c r="BI150" s="270"/>
      <c r="BJ150" s="270"/>
      <c r="BK150" s="270"/>
      <c r="BL150" s="270"/>
      <c r="BM150" s="270"/>
      <c r="BN150" s="270"/>
      <c r="BO150" s="270"/>
      <c r="BP150" s="270"/>
      <c r="BQ150" s="270"/>
      <c r="BR150" s="270"/>
      <c r="BS150" s="270"/>
      <c r="BT150" s="270"/>
      <c r="BU150" s="270"/>
      <c r="BV150" s="270"/>
      <c r="BW150" s="270"/>
      <c r="BX150" s="270"/>
      <c r="BY150" s="270"/>
      <c r="BZ150" s="270"/>
      <c r="CA150" s="270"/>
      <c r="CB150" s="270"/>
      <c r="CC150" s="270"/>
      <c r="CD150" s="270"/>
      <c r="CE150" s="1395"/>
      <c r="CF150" s="1450"/>
      <c r="CG150" s="1450"/>
      <c r="CH150" s="270"/>
      <c r="CI150" s="270"/>
      <c r="CJ150" s="270"/>
      <c r="CK150" s="270"/>
      <c r="CL150" s="270"/>
      <c r="CM150" s="270"/>
    </row>
    <row r="151" spans="1:91" ht="13.5" hidden="1" outlineLevel="3" thickBot="1" x14ac:dyDescent="0.25">
      <c r="A151" s="270"/>
      <c r="B151" s="271"/>
      <c r="C151" s="12"/>
      <c r="D151" s="1071"/>
      <c r="E151" s="1071"/>
      <c r="F151" s="1071"/>
      <c r="G151" s="626"/>
      <c r="H151" s="271"/>
      <c r="I151" s="270"/>
      <c r="J151" s="270"/>
      <c r="K151" s="270"/>
      <c r="L151" s="270"/>
      <c r="M151" s="270"/>
      <c r="N151" s="270"/>
      <c r="O151" s="270"/>
      <c r="P151" s="1072"/>
      <c r="Q151" s="270"/>
      <c r="R151" s="270"/>
      <c r="S151" s="1072"/>
      <c r="T151" s="270"/>
      <c r="U151" s="1019"/>
      <c r="V151" s="1073"/>
      <c r="W151" s="1074"/>
      <c r="X151" s="1075" t="str">
        <f>N_Substitute</f>
        <v>Remplaçant</v>
      </c>
      <c r="Y151" s="1141"/>
      <c r="Z151" s="492"/>
      <c r="AA151" s="1076"/>
      <c r="AB151" s="1069"/>
      <c r="AC151" s="1142"/>
      <c r="AD151" s="839"/>
      <c r="AE151" s="270"/>
      <c r="AF151" s="270"/>
      <c r="AG151" s="270"/>
      <c r="AH151" s="270"/>
      <c r="AI151" s="270"/>
      <c r="AJ151" s="270"/>
      <c r="AK151" s="270"/>
      <c r="AL151" s="270"/>
      <c r="AM151" s="270"/>
      <c r="AN151" s="270"/>
      <c r="AO151" s="271"/>
      <c r="AP151" s="270"/>
      <c r="AQ151" s="270"/>
      <c r="AR151" s="270"/>
      <c r="AS151" s="270"/>
      <c r="AT151" s="270"/>
      <c r="AU151" s="270"/>
      <c r="AV151" s="270"/>
      <c r="AW151" s="270"/>
      <c r="AX151" s="270"/>
      <c r="AY151" s="1072"/>
      <c r="AZ151" s="270"/>
      <c r="BA151" s="270"/>
      <c r="BB151" s="1072"/>
      <c r="BC151" s="270"/>
      <c r="BD151" s="270"/>
      <c r="BE151" s="270"/>
      <c r="BF151" s="270"/>
      <c r="BG151" s="270"/>
      <c r="BH151" s="270"/>
      <c r="BI151" s="270"/>
      <c r="BJ151" s="270"/>
      <c r="BK151" s="270"/>
      <c r="BL151" s="270"/>
      <c r="BM151" s="270"/>
      <c r="BN151" s="270"/>
      <c r="BO151" s="270"/>
      <c r="BP151" s="270"/>
      <c r="BQ151" s="270"/>
      <c r="BR151" s="270"/>
      <c r="BS151" s="270"/>
      <c r="BT151" s="270"/>
      <c r="BU151" s="270"/>
      <c r="BV151" s="270"/>
      <c r="BW151" s="270"/>
      <c r="BX151" s="270"/>
      <c r="BY151" s="270"/>
      <c r="BZ151" s="270"/>
      <c r="CA151" s="270"/>
      <c r="CB151" s="270"/>
      <c r="CC151" s="270"/>
      <c r="CD151" s="270"/>
      <c r="CE151" s="1395"/>
      <c r="CF151" s="1450"/>
      <c r="CG151" s="1450"/>
      <c r="CH151" s="270"/>
      <c r="CI151" s="270"/>
      <c r="CJ151" s="270"/>
      <c r="CK151" s="270"/>
      <c r="CL151" s="270"/>
      <c r="CM151" s="270"/>
    </row>
    <row r="152" spans="1:91" ht="13.5" hidden="1" outlineLevel="3" thickBot="1" x14ac:dyDescent="0.25">
      <c r="A152" s="270"/>
      <c r="B152" s="271"/>
      <c r="C152" s="12"/>
      <c r="D152" s="1071"/>
      <c r="E152" s="1071"/>
      <c r="F152" s="1071"/>
      <c r="G152" s="626"/>
      <c r="H152" s="271"/>
      <c r="I152" s="270"/>
      <c r="J152" s="270"/>
      <c r="K152" s="270"/>
      <c r="L152" s="270"/>
      <c r="M152" s="270"/>
      <c r="N152" s="270"/>
      <c r="O152" s="270"/>
      <c r="P152" s="1072"/>
      <c r="Q152" s="270"/>
      <c r="R152" s="270"/>
      <c r="S152" s="1072"/>
      <c r="T152" s="270"/>
      <c r="U152" s="1019"/>
      <c r="V152" s="1119"/>
      <c r="W152" s="1120"/>
      <c r="X152" s="1075" t="str">
        <f>N_Substitute</f>
        <v>Remplaçant</v>
      </c>
      <c r="Y152" s="1141"/>
      <c r="Z152" s="492"/>
      <c r="AA152" s="1121"/>
      <c r="AB152" s="1069"/>
      <c r="AC152" s="1142"/>
      <c r="AD152" s="839"/>
      <c r="AE152" s="270"/>
      <c r="AF152" s="270"/>
      <c r="AG152" s="270"/>
      <c r="AH152" s="270"/>
      <c r="AI152" s="270"/>
      <c r="AJ152" s="270"/>
      <c r="AK152" s="270"/>
      <c r="AL152" s="270"/>
      <c r="AM152" s="270"/>
      <c r="AN152" s="270"/>
      <c r="AO152" s="271"/>
      <c r="AP152" s="270"/>
      <c r="AQ152" s="270"/>
      <c r="AR152" s="270"/>
      <c r="AS152" s="270"/>
      <c r="AT152" s="270"/>
      <c r="AU152" s="270"/>
      <c r="AV152" s="270"/>
      <c r="AW152" s="270"/>
      <c r="AX152" s="270"/>
      <c r="AY152" s="1072"/>
      <c r="AZ152" s="270"/>
      <c r="BA152" s="270"/>
      <c r="BB152" s="1072"/>
      <c r="BC152" s="270"/>
      <c r="BD152" s="270"/>
      <c r="BE152" s="270"/>
      <c r="BF152" s="270"/>
      <c r="BG152" s="270"/>
      <c r="BH152" s="270"/>
      <c r="BI152" s="270"/>
      <c r="BJ152" s="270"/>
      <c r="BK152" s="270"/>
      <c r="BL152" s="270"/>
      <c r="BM152" s="270"/>
      <c r="BN152" s="270"/>
      <c r="BO152" s="270"/>
      <c r="BP152" s="270"/>
      <c r="BQ152" s="270"/>
      <c r="BR152" s="270"/>
      <c r="BS152" s="270"/>
      <c r="BT152" s="270"/>
      <c r="BU152" s="270"/>
      <c r="BV152" s="270"/>
      <c r="BW152" s="270"/>
      <c r="BX152" s="270"/>
      <c r="BY152" s="270"/>
      <c r="BZ152" s="270"/>
      <c r="CA152" s="270"/>
      <c r="CB152" s="270"/>
      <c r="CC152" s="270"/>
      <c r="CD152" s="270"/>
      <c r="CE152" s="1395"/>
      <c r="CF152" s="1450"/>
      <c r="CG152" s="1450"/>
      <c r="CH152" s="270"/>
      <c r="CI152" s="270"/>
      <c r="CJ152" s="270"/>
      <c r="CK152" s="270"/>
      <c r="CL152" s="270"/>
      <c r="CM152" s="270"/>
    </row>
    <row r="153" spans="1:91" ht="13.5" outlineLevel="2" collapsed="1" thickBot="1" x14ac:dyDescent="0.25">
      <c r="A153" s="270"/>
      <c r="B153" s="271"/>
      <c r="C153" s="12"/>
      <c r="D153" s="1071"/>
      <c r="E153" s="1071"/>
      <c r="F153" s="1071"/>
      <c r="G153" s="626"/>
      <c r="H153" s="271"/>
      <c r="I153" s="270"/>
      <c r="J153" s="270"/>
      <c r="K153" s="270"/>
      <c r="L153" s="270"/>
      <c r="M153" s="270"/>
      <c r="N153" s="270"/>
      <c r="O153" s="270"/>
      <c r="P153" s="1072"/>
      <c r="Q153" s="270"/>
      <c r="R153" s="270"/>
      <c r="S153" s="1072"/>
      <c r="T153" s="270"/>
      <c r="U153" s="1019" t="s">
        <v>1726</v>
      </c>
      <c r="V153" s="1122"/>
      <c r="W153" s="618"/>
      <c r="X153" s="618"/>
      <c r="Y153" s="1143" t="str">
        <f>IF(G144="","",G144)</f>
        <v>Eq5</v>
      </c>
      <c r="Z153" s="1123" t="str">
        <f>IF(OR(ISNUMBER(Z154),ISNUMBER(Z155),ISNUMBER(Z156),ISNUMBER(Z157)),4-COUNTBLANK(AI154:AI157),"")</f>
        <v/>
      </c>
      <c r="AA153" s="1124" t="s">
        <v>769</v>
      </c>
      <c r="AB153" s="1125" t="str">
        <f>IF(OR(ISNUMBER(Z154),ISNUMBER(Z155),ISNUMBER(Z156),ISNUMBER(Z157)),4-COUNTBLANK(AJ154:AJ157),"")</f>
        <v/>
      </c>
      <c r="AC153" s="1144" t="str">
        <f>IF(G140="","",G140)</f>
        <v>Eq1</v>
      </c>
      <c r="AD153" s="839"/>
      <c r="AE153" s="270" t="str">
        <f>IF(Z153="","",IF(Z153&gt;AB153,Y153,IF(Z153=AB153,IF(NoDrawWithWithdraw,IF(AL153=Y153,AC153,IF(AL153=AC153,Y153,"")),""),AC153)))</f>
        <v/>
      </c>
      <c r="AF153" s="270" t="str">
        <f>IF(Z153="","",IF(Z153=AB153,IF(NoDrawWithWithdraw,IF(AL153=Y153,"",IF(AL153=AC153,"",Y153)),Y153),""))</f>
        <v/>
      </c>
      <c r="AG153" s="270" t="str">
        <f>IF(Z153="","",IF(Z153=AB153,IF(NoDrawWithWithdraw,IF(AL153=Y153,"",IF(AL153=AC153,"",AC153)),AC153),""))</f>
        <v/>
      </c>
      <c r="AH153" s="270" t="str">
        <f>IF(Z153="","",IF(Z153&lt;AB153,Y153,IF(Z153=AB153,IF(NoDrawWithWithdraw,IF(AL153=Y153,Y153,IF(AL153=AC153,AC153,"")),""),AC153)))</f>
        <v/>
      </c>
      <c r="AI153" s="270" t="str">
        <f>IF(Z153="","",SUM(Z154:Z157))</f>
        <v/>
      </c>
      <c r="AJ153" s="270" t="str">
        <f>IF(Z153="","",SUM(AB154:AB157))</f>
        <v/>
      </c>
      <c r="AK153" s="270" t="str">
        <f>CONCATENATE(AE153,AH153)</f>
        <v/>
      </c>
      <c r="AL153" s="270" t="str">
        <f>IF(COUNTIF(Y154:Y157,WithdrawLabel)&gt;COUNTIF(AC154:AC157,WithdrawLabel),Y153,IF(COUNTIF(AC154:AC157,WithdrawLabel)&gt;COUNTIF(Y154:Y157,WithdrawLabel),AC153,""))</f>
        <v/>
      </c>
      <c r="AM153" s="270"/>
      <c r="AN153" s="270"/>
      <c r="AO153" s="271"/>
      <c r="AP153" s="270"/>
      <c r="AQ153" s="270"/>
      <c r="AR153" s="270"/>
      <c r="AS153" s="270"/>
      <c r="AT153" s="270"/>
      <c r="AU153" s="270"/>
      <c r="AV153" s="270"/>
      <c r="AW153" s="270"/>
      <c r="AX153" s="270"/>
      <c r="AY153" s="1072"/>
      <c r="AZ153" s="270"/>
      <c r="BA153" s="270"/>
      <c r="BB153" s="1072"/>
      <c r="BC153" s="270"/>
      <c r="BD153" s="270"/>
      <c r="BE153" s="270"/>
      <c r="BF153" s="270"/>
      <c r="BG153" s="270"/>
      <c r="BH153" s="270"/>
      <c r="BI153" s="270"/>
      <c r="BJ153" s="270"/>
      <c r="BK153" s="270"/>
      <c r="BL153" s="270"/>
      <c r="BM153" s="270"/>
      <c r="BN153" s="270"/>
      <c r="BO153" s="270"/>
      <c r="BP153" s="270"/>
      <c r="BQ153" s="270"/>
      <c r="BR153" s="270"/>
      <c r="BS153" s="270"/>
      <c r="BT153" s="270"/>
      <c r="BU153" s="270"/>
      <c r="BV153" s="270"/>
      <c r="BW153" s="270"/>
      <c r="BX153" s="270"/>
      <c r="BY153" s="270"/>
      <c r="BZ153" s="270"/>
      <c r="CA153" s="270"/>
      <c r="CB153" s="270"/>
      <c r="CC153" s="270"/>
      <c r="CD153" s="270"/>
      <c r="CE153" s="1395"/>
      <c r="CF153" s="1450"/>
      <c r="CG153" s="1450"/>
      <c r="CH153" s="270"/>
      <c r="CI153" s="270"/>
      <c r="CJ153" s="270"/>
      <c r="CK153" s="270"/>
      <c r="CL153" s="270"/>
      <c r="CM153" s="270"/>
    </row>
    <row r="154" spans="1:91" ht="13.5" hidden="1" outlineLevel="3" thickBot="1" x14ac:dyDescent="0.25">
      <c r="A154" s="270"/>
      <c r="B154" s="271"/>
      <c r="C154" s="12"/>
      <c r="D154" s="1071"/>
      <c r="E154" s="1071"/>
      <c r="F154" s="1071"/>
      <c r="G154" s="626"/>
      <c r="H154" s="271"/>
      <c r="I154" s="270"/>
      <c r="J154" s="270"/>
      <c r="K154" s="270"/>
      <c r="L154" s="270"/>
      <c r="M154" s="270"/>
      <c r="N154" s="270"/>
      <c r="O154" s="270"/>
      <c r="P154" s="1072"/>
      <c r="Q154" s="270"/>
      <c r="R154" s="270"/>
      <c r="S154" s="1072"/>
      <c r="T154" s="270"/>
      <c r="U154" s="1019"/>
      <c r="V154" s="1118"/>
      <c r="W154" s="618"/>
      <c r="X154" s="618"/>
      <c r="Y154" s="1141"/>
      <c r="Z154" s="492"/>
      <c r="AA154" s="493" t="s">
        <v>769</v>
      </c>
      <c r="AB154" s="1069"/>
      <c r="AC154" s="1142"/>
      <c r="AD154" s="839"/>
      <c r="AE154" s="270" t="str">
        <f>IF(Z154="","",IF(Z154&gt;AB154,Y154,IF(Z154=AB154,"",AC154)))</f>
        <v/>
      </c>
      <c r="AF154" s="270" t="str">
        <f>IF(Z154="","",IF(Z154=AB154,Y154,""))</f>
        <v/>
      </c>
      <c r="AG154" s="270" t="str">
        <f>IF(Z154="","",IF(Z154=AB154,AC154,""))</f>
        <v/>
      </c>
      <c r="AH154" s="270" t="str">
        <f>IF(Z154="","",IF(Z154&lt;AB154,Y154,IF(Z154=AB154,"",AC154)))</f>
        <v/>
      </c>
      <c r="AI154" s="270" t="str">
        <f>IF(Z154="","",IF(Z154&gt;AB154,Y153,""))</f>
        <v/>
      </c>
      <c r="AJ154" s="270" t="str">
        <f>IF(Z154="","",IF(Z154&lt;AB154,AC153,""))</f>
        <v/>
      </c>
      <c r="AK154" s="270" t="str">
        <f>CONCATENATE(AE154,AH154)</f>
        <v/>
      </c>
      <c r="AL154" s="270"/>
      <c r="AM154" s="270"/>
      <c r="AN154" s="270"/>
      <c r="AO154" s="271"/>
      <c r="AP154" s="270"/>
      <c r="AQ154" s="270"/>
      <c r="AR154" s="270"/>
      <c r="AS154" s="270"/>
      <c r="AT154" s="270"/>
      <c r="AU154" s="270"/>
      <c r="AV154" s="270"/>
      <c r="AW154" s="270"/>
      <c r="AX154" s="270"/>
      <c r="AY154" s="1072"/>
      <c r="AZ154" s="270"/>
      <c r="BA154" s="270"/>
      <c r="BB154" s="1072"/>
      <c r="BC154" s="270"/>
      <c r="BD154" s="270"/>
      <c r="BE154" s="270"/>
      <c r="BF154" s="270"/>
      <c r="BG154" s="270"/>
      <c r="BH154" s="270"/>
      <c r="BI154" s="270"/>
      <c r="BJ154" s="270"/>
      <c r="BK154" s="270"/>
      <c r="BL154" s="270"/>
      <c r="BM154" s="270"/>
      <c r="BN154" s="270"/>
      <c r="BO154" s="270"/>
      <c r="BP154" s="270"/>
      <c r="BQ154" s="270"/>
      <c r="BR154" s="270"/>
      <c r="BS154" s="270"/>
      <c r="BT154" s="270"/>
      <c r="BU154" s="270"/>
      <c r="BV154" s="270"/>
      <c r="BW154" s="270"/>
      <c r="BX154" s="270"/>
      <c r="BY154" s="270"/>
      <c r="BZ154" s="270"/>
      <c r="CA154" s="270"/>
      <c r="CB154" s="270"/>
      <c r="CC154" s="270"/>
      <c r="CD154" s="270"/>
      <c r="CE154" s="1395"/>
      <c r="CF154" s="1450"/>
      <c r="CG154" s="1450"/>
      <c r="CH154" s="270"/>
      <c r="CI154" s="270"/>
      <c r="CJ154" s="270"/>
      <c r="CK154" s="270"/>
      <c r="CL154" s="270"/>
      <c r="CM154" s="270"/>
    </row>
    <row r="155" spans="1:91" ht="13.5" hidden="1" outlineLevel="3" thickBot="1" x14ac:dyDescent="0.25">
      <c r="A155" s="270"/>
      <c r="B155" s="271"/>
      <c r="C155" s="12"/>
      <c r="D155" s="1071"/>
      <c r="E155" s="1071"/>
      <c r="F155" s="1071"/>
      <c r="G155" s="626"/>
      <c r="H155" s="271"/>
      <c r="I155" s="270"/>
      <c r="J155" s="270"/>
      <c r="K155" s="270"/>
      <c r="L155" s="270"/>
      <c r="M155" s="270"/>
      <c r="N155" s="270"/>
      <c r="O155" s="270"/>
      <c r="P155" s="1072"/>
      <c r="Q155" s="270"/>
      <c r="R155" s="270"/>
      <c r="S155" s="1072"/>
      <c r="T155" s="270"/>
      <c r="U155" s="1019"/>
      <c r="V155" s="1118"/>
      <c r="W155" s="618"/>
      <c r="X155" s="618"/>
      <c r="Y155" s="1141"/>
      <c r="Z155" s="492"/>
      <c r="AA155" s="493" t="s">
        <v>769</v>
      </c>
      <c r="AB155" s="1069"/>
      <c r="AC155" s="1142"/>
      <c r="AD155" s="839"/>
      <c r="AE155" s="270" t="str">
        <f>IF(Z155="","",IF(Z155&gt;AB155,Y155,IF(Z155=AB155,"",AC155)))</f>
        <v/>
      </c>
      <c r="AF155" s="270" t="str">
        <f>IF(Z155="","",IF(Z155=AB155,Y155,""))</f>
        <v/>
      </c>
      <c r="AG155" s="270" t="str">
        <f>IF(Z155="","",IF(Z155=AB155,AC155,""))</f>
        <v/>
      </c>
      <c r="AH155" s="270" t="str">
        <f>IF(Z155="","",IF(Z155&lt;AB155,Y155,IF(Z155=AB155,"",AC155)))</f>
        <v/>
      </c>
      <c r="AI155" s="270" t="str">
        <f>IF(Z155="","",IF(Z155&gt;AB155,Y153,""))</f>
        <v/>
      </c>
      <c r="AJ155" s="270" t="str">
        <f>IF(Z155="","",IF(Z155&lt;AB155,AC153,""))</f>
        <v/>
      </c>
      <c r="AK155" s="270" t="str">
        <f>CONCATENATE(AE155,AH155)</f>
        <v/>
      </c>
      <c r="AL155" s="270"/>
      <c r="AM155" s="270"/>
      <c r="AN155" s="270"/>
      <c r="AO155" s="271"/>
      <c r="AP155" s="270"/>
      <c r="AQ155" s="270"/>
      <c r="AR155" s="270"/>
      <c r="AS155" s="270"/>
      <c r="AT155" s="270"/>
      <c r="AU155" s="270"/>
      <c r="AV155" s="270"/>
      <c r="AW155" s="270"/>
      <c r="AX155" s="270"/>
      <c r="AY155" s="1072"/>
      <c r="AZ155" s="270"/>
      <c r="BA155" s="270"/>
      <c r="BB155" s="1072"/>
      <c r="BC155" s="270"/>
      <c r="BD155" s="270"/>
      <c r="BE155" s="270"/>
      <c r="BF155" s="270"/>
      <c r="BG155" s="270"/>
      <c r="BH155" s="270"/>
      <c r="BI155" s="270"/>
      <c r="BJ155" s="270"/>
      <c r="BK155" s="270"/>
      <c r="BL155" s="270"/>
      <c r="BM155" s="270"/>
      <c r="BN155" s="270"/>
      <c r="BO155" s="270"/>
      <c r="BP155" s="270"/>
      <c r="BQ155" s="270"/>
      <c r="BR155" s="270"/>
      <c r="BS155" s="270"/>
      <c r="BT155" s="270"/>
      <c r="BU155" s="270"/>
      <c r="BV155" s="270"/>
      <c r="BW155" s="270"/>
      <c r="BX155" s="270"/>
      <c r="BY155" s="270"/>
      <c r="BZ155" s="270"/>
      <c r="CA155" s="270"/>
      <c r="CB155" s="270"/>
      <c r="CC155" s="270"/>
      <c r="CD155" s="270"/>
      <c r="CE155" s="1395"/>
      <c r="CF155" s="1450"/>
      <c r="CG155" s="1450"/>
      <c r="CH155" s="270"/>
      <c r="CI155" s="270"/>
      <c r="CJ155" s="270"/>
      <c r="CK155" s="270"/>
      <c r="CL155" s="270"/>
      <c r="CM155" s="270"/>
    </row>
    <row r="156" spans="1:91" ht="13.5" hidden="1" outlineLevel="3" thickBot="1" x14ac:dyDescent="0.25">
      <c r="A156" s="270"/>
      <c r="B156" s="271"/>
      <c r="C156" s="12"/>
      <c r="D156" s="1071"/>
      <c r="E156" s="1071"/>
      <c r="F156" s="1071"/>
      <c r="G156" s="626"/>
      <c r="H156" s="271"/>
      <c r="I156" s="270"/>
      <c r="J156" s="270"/>
      <c r="K156" s="270"/>
      <c r="L156" s="270"/>
      <c r="M156" s="270"/>
      <c r="N156" s="270"/>
      <c r="O156" s="270"/>
      <c r="P156" s="1072"/>
      <c r="Q156" s="270"/>
      <c r="R156" s="270"/>
      <c r="S156" s="1072"/>
      <c r="T156" s="270"/>
      <c r="U156" s="1019"/>
      <c r="V156" s="1118"/>
      <c r="W156" s="618"/>
      <c r="X156" s="618"/>
      <c r="Y156" s="1141"/>
      <c r="Z156" s="492"/>
      <c r="AA156" s="493" t="s">
        <v>769</v>
      </c>
      <c r="AB156" s="1069"/>
      <c r="AC156" s="1142"/>
      <c r="AD156" s="839"/>
      <c r="AE156" s="270" t="str">
        <f>IF(Z156="","",IF(Z156&gt;AB156,Y156,IF(Z156=AB156,"",AC156)))</f>
        <v/>
      </c>
      <c r="AF156" s="270" t="str">
        <f>IF(Z156="","",IF(Z156=AB156,Y156,""))</f>
        <v/>
      </c>
      <c r="AG156" s="270" t="str">
        <f>IF(Z156="","",IF(Z156=AB156,AC156,""))</f>
        <v/>
      </c>
      <c r="AH156" s="270" t="str">
        <f>IF(Z156="","",IF(Z156&lt;AB156,Y156,IF(Z156=AB156,"",AC156)))</f>
        <v/>
      </c>
      <c r="AI156" s="270" t="str">
        <f>IF(Z156="","",IF(Z156&gt;AB156,Y153,""))</f>
        <v/>
      </c>
      <c r="AJ156" s="270" t="str">
        <f>IF(Z156="","",IF(Z156&lt;AB156,AC153,""))</f>
        <v/>
      </c>
      <c r="AK156" s="270" t="str">
        <f>CONCATENATE(AE156,AH156)</f>
        <v/>
      </c>
      <c r="AL156" s="270"/>
      <c r="AM156" s="270"/>
      <c r="AN156" s="270"/>
      <c r="AO156" s="271"/>
      <c r="AP156" s="270"/>
      <c r="AQ156" s="270"/>
      <c r="AR156" s="270"/>
      <c r="AS156" s="270"/>
      <c r="AT156" s="270"/>
      <c r="AU156" s="270"/>
      <c r="AV156" s="270"/>
      <c r="AW156" s="270"/>
      <c r="AX156" s="270"/>
      <c r="AY156" s="1072"/>
      <c r="AZ156" s="270"/>
      <c r="BA156" s="270"/>
      <c r="BB156" s="1072"/>
      <c r="BC156" s="270"/>
      <c r="BD156" s="270"/>
      <c r="BE156" s="270"/>
      <c r="BF156" s="270"/>
      <c r="BG156" s="270"/>
      <c r="BH156" s="270"/>
      <c r="BI156" s="270"/>
      <c r="BJ156" s="270"/>
      <c r="BK156" s="270"/>
      <c r="BL156" s="270"/>
      <c r="BM156" s="270"/>
      <c r="BN156" s="270"/>
      <c r="BO156" s="270"/>
      <c r="BP156" s="270"/>
      <c r="BQ156" s="270"/>
      <c r="BR156" s="270"/>
      <c r="BS156" s="270"/>
      <c r="BT156" s="270"/>
      <c r="BU156" s="270"/>
      <c r="BV156" s="270"/>
      <c r="BW156" s="270"/>
      <c r="BX156" s="270"/>
      <c r="BY156" s="270"/>
      <c r="BZ156" s="270"/>
      <c r="CA156" s="270"/>
      <c r="CB156" s="270"/>
      <c r="CC156" s="270"/>
      <c r="CD156" s="270"/>
      <c r="CE156" s="1395"/>
      <c r="CF156" s="1450"/>
      <c r="CG156" s="1450"/>
      <c r="CH156" s="270"/>
      <c r="CI156" s="270"/>
      <c r="CJ156" s="270"/>
      <c r="CK156" s="270"/>
      <c r="CL156" s="270"/>
      <c r="CM156" s="270"/>
    </row>
    <row r="157" spans="1:91" ht="13.5" hidden="1" outlineLevel="3" thickBot="1" x14ac:dyDescent="0.25">
      <c r="A157" s="270"/>
      <c r="B157" s="271"/>
      <c r="C157" s="12"/>
      <c r="D157" s="1071"/>
      <c r="E157" s="1071"/>
      <c r="F157" s="1071"/>
      <c r="G157" s="626"/>
      <c r="H157" s="271"/>
      <c r="I157" s="270"/>
      <c r="J157" s="270"/>
      <c r="K157" s="270"/>
      <c r="L157" s="270"/>
      <c r="M157" s="270"/>
      <c r="N157" s="270"/>
      <c r="O157" s="270"/>
      <c r="P157" s="1072"/>
      <c r="Q157" s="270"/>
      <c r="R157" s="270"/>
      <c r="S157" s="1072"/>
      <c r="T157" s="270"/>
      <c r="U157" s="1019"/>
      <c r="V157" s="1118"/>
      <c r="W157" s="618"/>
      <c r="X157" s="618"/>
      <c r="Y157" s="1141"/>
      <c r="Z157" s="492"/>
      <c r="AA157" s="493" t="s">
        <v>769</v>
      </c>
      <c r="AB157" s="1069"/>
      <c r="AC157" s="1142"/>
      <c r="AD157" s="839"/>
      <c r="AE157" s="270" t="str">
        <f>IF(Z157="","",IF(Z157&gt;AB157,Y157,IF(Z157=AB157,"",AC157)))</f>
        <v/>
      </c>
      <c r="AF157" s="270" t="str">
        <f>IF(Z157="","",IF(Z157=AB157,Y157,""))</f>
        <v/>
      </c>
      <c r="AG157" s="270" t="str">
        <f>IF(Z157="","",IF(Z157=AB157,AC157,""))</f>
        <v/>
      </c>
      <c r="AH157" s="270" t="str">
        <f>IF(Z157="","",IF(Z157&lt;AB157,Y157,IF(Z157=AB157,"",AC157)))</f>
        <v/>
      </c>
      <c r="AI157" s="270" t="str">
        <f>IF(Z157="","",IF(Z157&gt;AB157,Y153,""))</f>
        <v/>
      </c>
      <c r="AJ157" s="270" t="str">
        <f>IF(Z157="","",IF(Z157&lt;AB157,AC153,""))</f>
        <v/>
      </c>
      <c r="AK157" s="270" t="str">
        <f>CONCATENATE(AE157,AH157)</f>
        <v/>
      </c>
      <c r="AL157" s="270"/>
      <c r="AM157" s="270"/>
      <c r="AN157" s="270"/>
      <c r="AO157" s="271"/>
      <c r="AP157" s="270"/>
      <c r="AQ157" s="270"/>
      <c r="AR157" s="270"/>
      <c r="AS157" s="270"/>
      <c r="AT157" s="270"/>
      <c r="AU157" s="270"/>
      <c r="AV157" s="270"/>
      <c r="AW157" s="270"/>
      <c r="AX157" s="270"/>
      <c r="AY157" s="1072"/>
      <c r="AZ157" s="270"/>
      <c r="BA157" s="270"/>
      <c r="BB157" s="1072"/>
      <c r="BC157" s="270"/>
      <c r="BD157" s="270"/>
      <c r="BE157" s="270"/>
      <c r="BF157" s="270"/>
      <c r="BG157" s="270"/>
      <c r="BH157" s="270"/>
      <c r="BI157" s="270"/>
      <c r="BJ157" s="270"/>
      <c r="BK157" s="270"/>
      <c r="BL157" s="270"/>
      <c r="BM157" s="270"/>
      <c r="BN157" s="270"/>
      <c r="BO157" s="270"/>
      <c r="BP157" s="270"/>
      <c r="BQ157" s="270"/>
      <c r="BR157" s="270"/>
      <c r="BS157" s="270"/>
      <c r="BT157" s="270"/>
      <c r="BU157" s="270"/>
      <c r="BV157" s="270"/>
      <c r="BW157" s="270"/>
      <c r="BX157" s="270"/>
      <c r="BY157" s="270"/>
      <c r="BZ157" s="270"/>
      <c r="CA157" s="270"/>
      <c r="CB157" s="270"/>
      <c r="CC157" s="270"/>
      <c r="CD157" s="270"/>
      <c r="CE157" s="1395"/>
      <c r="CF157" s="1450"/>
      <c r="CG157" s="1450"/>
      <c r="CH157" s="270"/>
      <c r="CI157" s="270"/>
      <c r="CJ157" s="270"/>
      <c r="CK157" s="270"/>
      <c r="CL157" s="270"/>
      <c r="CM157" s="270"/>
    </row>
    <row r="158" spans="1:91" ht="13.5" hidden="1" outlineLevel="3" thickBot="1" x14ac:dyDescent="0.25">
      <c r="A158" s="270"/>
      <c r="B158" s="271"/>
      <c r="C158" s="12"/>
      <c r="D158" s="1071"/>
      <c r="E158" s="1071"/>
      <c r="F158" s="1071"/>
      <c r="G158" s="626"/>
      <c r="H158" s="271"/>
      <c r="I158" s="270"/>
      <c r="J158" s="270"/>
      <c r="K158" s="270"/>
      <c r="L158" s="270"/>
      <c r="M158" s="270"/>
      <c r="N158" s="270"/>
      <c r="O158" s="270"/>
      <c r="P158" s="1072"/>
      <c r="Q158" s="270"/>
      <c r="R158" s="270"/>
      <c r="S158" s="1072"/>
      <c r="T158" s="270"/>
      <c r="U158" s="1019"/>
      <c r="V158" s="1073"/>
      <c r="W158" s="1074"/>
      <c r="X158" s="1075" t="str">
        <f>N_Substitute</f>
        <v>Remplaçant</v>
      </c>
      <c r="Y158" s="1141"/>
      <c r="Z158" s="492"/>
      <c r="AA158" s="1076"/>
      <c r="AB158" s="1069"/>
      <c r="AC158" s="1142"/>
      <c r="AD158" s="839"/>
      <c r="AE158" s="270"/>
      <c r="AF158" s="270"/>
      <c r="AG158" s="270"/>
      <c r="AH158" s="270"/>
      <c r="AI158" s="270"/>
      <c r="AJ158" s="270"/>
      <c r="AK158" s="270"/>
      <c r="AL158" s="270"/>
      <c r="AM158" s="270"/>
      <c r="AN158" s="270"/>
      <c r="AO158" s="271"/>
      <c r="AP158" s="270"/>
      <c r="AQ158" s="270"/>
      <c r="AR158" s="270"/>
      <c r="AS158" s="270"/>
      <c r="AT158" s="270"/>
      <c r="AU158" s="270"/>
      <c r="AV158" s="270"/>
      <c r="AW158" s="270"/>
      <c r="AX158" s="270"/>
      <c r="AY158" s="1072"/>
      <c r="AZ158" s="270"/>
      <c r="BA158" s="270"/>
      <c r="BB158" s="1072"/>
      <c r="BC158" s="270"/>
      <c r="BD158" s="270"/>
      <c r="BE158" s="270"/>
      <c r="BF158" s="270"/>
      <c r="BG158" s="270"/>
      <c r="BH158" s="270"/>
      <c r="BI158" s="270"/>
      <c r="BJ158" s="270"/>
      <c r="BK158" s="270"/>
      <c r="BL158" s="270"/>
      <c r="BM158" s="270"/>
      <c r="BN158" s="270"/>
      <c r="BO158" s="270"/>
      <c r="BP158" s="270"/>
      <c r="BQ158" s="270"/>
      <c r="BR158" s="270"/>
      <c r="BS158" s="270"/>
      <c r="BT158" s="270"/>
      <c r="BU158" s="270"/>
      <c r="BV158" s="270"/>
      <c r="BW158" s="270"/>
      <c r="BX158" s="270"/>
      <c r="BY158" s="270"/>
      <c r="BZ158" s="270"/>
      <c r="CA158" s="270"/>
      <c r="CB158" s="270"/>
      <c r="CC158" s="270"/>
      <c r="CD158" s="270"/>
      <c r="CE158" s="1395"/>
      <c r="CF158" s="1450"/>
      <c r="CG158" s="1450"/>
      <c r="CH158" s="270"/>
      <c r="CI158" s="270"/>
      <c r="CJ158" s="270"/>
      <c r="CK158" s="270"/>
      <c r="CL158" s="270"/>
      <c r="CM158" s="270"/>
    </row>
    <row r="159" spans="1:91" ht="13.5" hidden="1" outlineLevel="3" thickBot="1" x14ac:dyDescent="0.25">
      <c r="A159" s="270"/>
      <c r="B159" s="271"/>
      <c r="C159" s="12"/>
      <c r="D159" s="1071"/>
      <c r="E159" s="1071"/>
      <c r="F159" s="1071"/>
      <c r="G159" s="626"/>
      <c r="H159" s="271"/>
      <c r="I159" s="270"/>
      <c r="J159" s="270"/>
      <c r="K159" s="270"/>
      <c r="L159" s="270"/>
      <c r="M159" s="270"/>
      <c r="N159" s="270"/>
      <c r="O159" s="270"/>
      <c r="P159" s="1072"/>
      <c r="Q159" s="270"/>
      <c r="R159" s="270"/>
      <c r="S159" s="1072"/>
      <c r="T159" s="270"/>
      <c r="U159" s="1019"/>
      <c r="V159" s="1087"/>
      <c r="W159" s="1088"/>
      <c r="X159" s="1089" t="str">
        <f>N_Substitute</f>
        <v>Remplaçant</v>
      </c>
      <c r="Y159" s="1145"/>
      <c r="Z159" s="496"/>
      <c r="AA159" s="1090"/>
      <c r="AB159" s="1091"/>
      <c r="AC159" s="1146"/>
      <c r="AD159" s="839"/>
      <c r="AE159" s="270"/>
      <c r="AF159" s="270"/>
      <c r="AG159" s="270"/>
      <c r="AH159" s="270"/>
      <c r="AI159" s="270"/>
      <c r="AJ159" s="270"/>
      <c r="AK159" s="270"/>
      <c r="AL159" s="270"/>
      <c r="AM159" s="270"/>
      <c r="AN159" s="270"/>
      <c r="AO159" s="271"/>
      <c r="AP159" s="270"/>
      <c r="AQ159" s="270"/>
      <c r="AR159" s="270"/>
      <c r="AS159" s="270"/>
      <c r="AT159" s="270"/>
      <c r="AU159" s="270"/>
      <c r="AV159" s="270"/>
      <c r="AW159" s="270"/>
      <c r="AX159" s="270"/>
      <c r="AY159" s="1072"/>
      <c r="AZ159" s="270"/>
      <c r="BA159" s="270"/>
      <c r="BB159" s="1072"/>
      <c r="BC159" s="270"/>
      <c r="BD159" s="270"/>
      <c r="BE159" s="270"/>
      <c r="BF159" s="270"/>
      <c r="BG159" s="270"/>
      <c r="BH159" s="270"/>
      <c r="BI159" s="270"/>
      <c r="BJ159" s="270"/>
      <c r="BK159" s="270"/>
      <c r="BL159" s="270"/>
      <c r="BM159" s="270"/>
      <c r="BN159" s="270"/>
      <c r="BO159" s="270"/>
      <c r="BP159" s="270"/>
      <c r="BQ159" s="270"/>
      <c r="BR159" s="270"/>
      <c r="BS159" s="270"/>
      <c r="BT159" s="270"/>
      <c r="BU159" s="270"/>
      <c r="BV159" s="270"/>
      <c r="BW159" s="270"/>
      <c r="BX159" s="270"/>
      <c r="BY159" s="270"/>
      <c r="BZ159" s="270"/>
      <c r="CA159" s="270"/>
      <c r="CB159" s="270"/>
      <c r="CC159" s="270"/>
      <c r="CD159" s="270"/>
      <c r="CE159" s="1395"/>
      <c r="CF159" s="1450"/>
      <c r="CG159" s="1450"/>
      <c r="CH159" s="270"/>
      <c r="CI159" s="270"/>
      <c r="CJ159" s="270"/>
      <c r="CK159" s="270"/>
      <c r="CL159" s="270"/>
      <c r="CM159" s="270"/>
    </row>
    <row r="160" spans="1:91" outlineLevel="2" collapsed="1" x14ac:dyDescent="0.2">
      <c r="A160" s="270"/>
      <c r="B160" s="271"/>
      <c r="C160" s="12"/>
      <c r="D160" s="1071"/>
      <c r="E160" s="1071"/>
      <c r="F160" s="1071"/>
      <c r="G160" s="626"/>
      <c r="H160" s="271"/>
      <c r="I160" s="270"/>
      <c r="J160" s="270"/>
      <c r="K160" s="270"/>
      <c r="L160" s="270"/>
      <c r="M160" s="270"/>
      <c r="N160" s="270"/>
      <c r="O160" s="270"/>
      <c r="P160" s="1072"/>
      <c r="Q160" s="270"/>
      <c r="R160" s="270"/>
      <c r="S160" s="1072"/>
      <c r="T160" s="270"/>
      <c r="U160" s="1019" t="s">
        <v>1727</v>
      </c>
      <c r="V160" s="1117"/>
      <c r="W160" s="617"/>
      <c r="X160" s="617"/>
      <c r="Y160" s="1139" t="str">
        <f>IF(G141="","",G141)</f>
        <v>Eq2</v>
      </c>
      <c r="Z160" s="1063" t="str">
        <f>IF(OR(ISNUMBER(Z161),ISNUMBER(Z162),ISNUMBER(Z163),ISNUMBER(Z164)),4-COUNTBLANK(AI161:AI164),"")</f>
        <v/>
      </c>
      <c r="AA160" s="1064" t="s">
        <v>769</v>
      </c>
      <c r="AB160" s="1063" t="str">
        <f>IF(OR(ISNUMBER(Z161),ISNUMBER(Z162),ISNUMBER(Z163),ISNUMBER(Z164)),4-COUNTBLANK(AJ161:AJ164),"")</f>
        <v/>
      </c>
      <c r="AC160" s="1140" t="str">
        <f>IF(G143="","",G143)</f>
        <v>Eq4</v>
      </c>
      <c r="AD160" s="839"/>
      <c r="AE160" s="270" t="str">
        <f>IF(Z160="","",IF(Z160&gt;AB160,Y160,IF(Z160=AB160,IF(NoDrawWithWithdraw,IF(AL160=Y160,AC160,IF(AL160=AC160,Y160,"")),""),AC160)))</f>
        <v/>
      </c>
      <c r="AF160" s="270" t="str">
        <f>IF(Z160="","",IF(Z160=AB160,IF(NoDrawWithWithdraw,IF(AL160=Y160,"",IF(AL160=AC160,"",Y160)),Y160),""))</f>
        <v/>
      </c>
      <c r="AG160" s="270" t="str">
        <f>IF(Z160="","",IF(Z160=AB160,IF(NoDrawWithWithdraw,IF(AL160=Y160,"",IF(AL160=AC160,"",AC160)),AC160),""))</f>
        <v/>
      </c>
      <c r="AH160" s="270" t="str">
        <f>IF(Z160="","",IF(Z160&lt;AB160,Y160,IF(Z160=AB160,IF(NoDrawWithWithdraw,IF(AL160=Y160,Y160,IF(AL160=AC160,AC160,"")),""),AC160)))</f>
        <v/>
      </c>
      <c r="AI160" s="270" t="str">
        <f>IF(Z160="","",SUM(Z161:Z164))</f>
        <v/>
      </c>
      <c r="AJ160" s="270" t="str">
        <f>IF(Z160="","",SUM(AB161:AB164))</f>
        <v/>
      </c>
      <c r="AK160" s="270" t="str">
        <f>CONCATENATE(AE160,AH160)</f>
        <v/>
      </c>
      <c r="AL160" s="270" t="str">
        <f>IF(COUNTIF(Y161:Y164,WithdrawLabel)&gt;COUNTIF(AC161:AC164,WithdrawLabel),Y160,IF(COUNTIF(AC161:AC164,WithdrawLabel)&gt;COUNTIF(Y161:Y164,WithdrawLabel),AC160,""))</f>
        <v/>
      </c>
      <c r="AM160" s="270"/>
      <c r="AN160" s="270"/>
      <c r="AO160" s="271"/>
      <c r="AP160" s="270"/>
      <c r="AQ160" s="270"/>
      <c r="AR160" s="270"/>
      <c r="AS160" s="270"/>
      <c r="AT160" s="270"/>
      <c r="AU160" s="270"/>
      <c r="AV160" s="270"/>
      <c r="AW160" s="270"/>
      <c r="AX160" s="270"/>
      <c r="AY160" s="1072"/>
      <c r="AZ160" s="270"/>
      <c r="BA160" s="270"/>
      <c r="BB160" s="1072"/>
      <c r="BC160" s="270"/>
      <c r="BD160" s="270"/>
      <c r="BE160" s="270"/>
      <c r="BF160" s="270"/>
      <c r="BG160" s="270"/>
      <c r="BH160" s="270"/>
      <c r="BI160" s="270"/>
      <c r="BJ160" s="270"/>
      <c r="BK160" s="270"/>
      <c r="BL160" s="270"/>
      <c r="BM160" s="270"/>
      <c r="BN160" s="270"/>
      <c r="BO160" s="270"/>
      <c r="BP160" s="270"/>
      <c r="BQ160" s="270"/>
      <c r="BR160" s="270"/>
      <c r="BS160" s="270"/>
      <c r="BT160" s="270"/>
      <c r="BU160" s="270"/>
      <c r="BV160" s="270"/>
      <c r="BW160" s="270"/>
      <c r="BX160" s="270"/>
      <c r="BY160" s="270"/>
      <c r="BZ160" s="270"/>
      <c r="CA160" s="270"/>
      <c r="CB160" s="270"/>
      <c r="CC160" s="270"/>
      <c r="CD160" s="270"/>
      <c r="CE160" s="1395"/>
      <c r="CF160" s="1450"/>
      <c r="CG160" s="1450"/>
      <c r="CH160" s="270"/>
      <c r="CI160" s="270"/>
      <c r="CJ160" s="270"/>
      <c r="CK160" s="270"/>
      <c r="CL160" s="270"/>
      <c r="CM160" s="270"/>
    </row>
    <row r="161" spans="1:91" ht="13.5" hidden="1" outlineLevel="3" thickBot="1" x14ac:dyDescent="0.25">
      <c r="A161" s="270"/>
      <c r="B161" s="271"/>
      <c r="C161" s="12"/>
      <c r="D161" s="1071"/>
      <c r="E161" s="1071"/>
      <c r="F161" s="1071"/>
      <c r="G161" s="626"/>
      <c r="H161" s="271"/>
      <c r="I161" s="270"/>
      <c r="J161" s="270"/>
      <c r="K161" s="270"/>
      <c r="L161" s="270"/>
      <c r="M161" s="270"/>
      <c r="N161" s="270"/>
      <c r="O161" s="270"/>
      <c r="P161" s="1072"/>
      <c r="Q161" s="270"/>
      <c r="R161" s="270"/>
      <c r="S161" s="1072"/>
      <c r="T161" s="270"/>
      <c r="U161" s="1019"/>
      <c r="V161" s="1118"/>
      <c r="W161" s="618"/>
      <c r="X161" s="618"/>
      <c r="Y161" s="1141"/>
      <c r="Z161" s="492"/>
      <c r="AA161" s="493" t="s">
        <v>769</v>
      </c>
      <c r="AB161" s="1069"/>
      <c r="AC161" s="1142"/>
      <c r="AD161" s="839"/>
      <c r="AE161" s="270" t="str">
        <f>IF(Z161="","",IF(Z161&gt;AB161,Y161,IF(Z161=AB161,"",AC161)))</f>
        <v/>
      </c>
      <c r="AF161" s="270" t="str">
        <f>IF(Z161="","",IF(Z161=AB161,Y161,""))</f>
        <v/>
      </c>
      <c r="AG161" s="270" t="str">
        <f>IF(Z161="","",IF(Z161=AB161,AC161,""))</f>
        <v/>
      </c>
      <c r="AH161" s="270" t="str">
        <f>IF(Z161="","",IF(Z161&lt;AB161,Y161,IF(Z161=AB161,"",AC161)))</f>
        <v/>
      </c>
      <c r="AI161" s="270" t="str">
        <f>IF(Z161="","",IF(Z161&gt;AB161,Y160,""))</f>
        <v/>
      </c>
      <c r="AJ161" s="270" t="str">
        <f>IF(Z161="","",IF(Z161&lt;AB161,AC160,""))</f>
        <v/>
      </c>
      <c r="AK161" s="270" t="str">
        <f>CONCATENATE(AE161,AH161)</f>
        <v/>
      </c>
      <c r="AL161" s="270"/>
      <c r="AM161" s="270"/>
      <c r="AN161" s="270"/>
      <c r="AO161" s="271"/>
      <c r="AP161" s="270"/>
      <c r="AQ161" s="270"/>
      <c r="AR161" s="270"/>
      <c r="AS161" s="270"/>
      <c r="AT161" s="270"/>
      <c r="AU161" s="270"/>
      <c r="AV161" s="270"/>
      <c r="AW161" s="270"/>
      <c r="AX161" s="270"/>
      <c r="AY161" s="1072"/>
      <c r="AZ161" s="270"/>
      <c r="BA161" s="270"/>
      <c r="BB161" s="1072"/>
      <c r="BC161" s="270"/>
      <c r="BD161" s="270"/>
      <c r="BE161" s="270"/>
      <c r="BF161" s="270"/>
      <c r="BG161" s="270"/>
      <c r="BH161" s="270"/>
      <c r="BI161" s="270"/>
      <c r="BJ161" s="270"/>
      <c r="BK161" s="270"/>
      <c r="BL161" s="270"/>
      <c r="BM161" s="270"/>
      <c r="BN161" s="270"/>
      <c r="BO161" s="270"/>
      <c r="BP161" s="270"/>
      <c r="BQ161" s="270"/>
      <c r="BR161" s="270"/>
      <c r="BS161" s="270"/>
      <c r="BT161" s="270"/>
      <c r="BU161" s="270"/>
      <c r="BV161" s="270"/>
      <c r="BW161" s="270"/>
      <c r="BX161" s="270"/>
      <c r="BY161" s="270"/>
      <c r="BZ161" s="270"/>
      <c r="CA161" s="270"/>
      <c r="CB161" s="270"/>
      <c r="CC161" s="270"/>
      <c r="CD161" s="270"/>
      <c r="CE161" s="1395"/>
      <c r="CF161" s="1450"/>
      <c r="CG161" s="1450"/>
      <c r="CH161" s="270"/>
      <c r="CI161" s="270"/>
      <c r="CJ161" s="270"/>
      <c r="CK161" s="270"/>
      <c r="CL161" s="270"/>
      <c r="CM161" s="270"/>
    </row>
    <row r="162" spans="1:91" ht="13.5" hidden="1" outlineLevel="3" thickBot="1" x14ac:dyDescent="0.25">
      <c r="A162" s="270"/>
      <c r="B162" s="271"/>
      <c r="C162" s="12"/>
      <c r="D162" s="1071"/>
      <c r="E162" s="1071"/>
      <c r="F162" s="1071"/>
      <c r="G162" s="626"/>
      <c r="H162" s="271"/>
      <c r="I162" s="270"/>
      <c r="J162" s="270"/>
      <c r="K162" s="270"/>
      <c r="L162" s="270"/>
      <c r="M162" s="270"/>
      <c r="N162" s="270"/>
      <c r="O162" s="270"/>
      <c r="P162" s="1072"/>
      <c r="Q162" s="270"/>
      <c r="R162" s="270"/>
      <c r="S162" s="1072"/>
      <c r="T162" s="270"/>
      <c r="U162" s="1019"/>
      <c r="V162" s="1118"/>
      <c r="W162" s="618"/>
      <c r="X162" s="618"/>
      <c r="Y162" s="1141"/>
      <c r="Z162" s="492"/>
      <c r="AA162" s="493" t="s">
        <v>769</v>
      </c>
      <c r="AB162" s="1069"/>
      <c r="AC162" s="1142"/>
      <c r="AD162" s="839"/>
      <c r="AE162" s="270" t="str">
        <f>IF(Z162="","",IF(Z162&gt;AB162,Y162,IF(Z162=AB162,"",AC162)))</f>
        <v/>
      </c>
      <c r="AF162" s="270" t="str">
        <f>IF(Z162="","",IF(Z162=AB162,Y162,""))</f>
        <v/>
      </c>
      <c r="AG162" s="270" t="str">
        <f>IF(Z162="","",IF(Z162=AB162,AC162,""))</f>
        <v/>
      </c>
      <c r="AH162" s="270" t="str">
        <f>IF(Z162="","",IF(Z162&lt;AB162,Y162,IF(Z162=AB162,"",AC162)))</f>
        <v/>
      </c>
      <c r="AI162" s="270" t="str">
        <f>IF(Z162="","",IF(Z162&gt;AB162,Y160,""))</f>
        <v/>
      </c>
      <c r="AJ162" s="270" t="str">
        <f>IF(Z162="","",IF(Z162&lt;AB162,AC160,""))</f>
        <v/>
      </c>
      <c r="AK162" s="270" t="str">
        <f>CONCATENATE(AE162,AH162)</f>
        <v/>
      </c>
      <c r="AL162" s="270"/>
      <c r="AM162" s="270"/>
      <c r="AN162" s="270"/>
      <c r="AO162" s="271"/>
      <c r="AP162" s="270"/>
      <c r="AQ162" s="270"/>
      <c r="AR162" s="270"/>
      <c r="AS162" s="270"/>
      <c r="AT162" s="270"/>
      <c r="AU162" s="270"/>
      <c r="AV162" s="270"/>
      <c r="AW162" s="270"/>
      <c r="AX162" s="270"/>
      <c r="AY162" s="1072"/>
      <c r="AZ162" s="270"/>
      <c r="BA162" s="270"/>
      <c r="BB162" s="1072"/>
      <c r="BC162" s="270"/>
      <c r="BD162" s="270"/>
      <c r="BE162" s="270"/>
      <c r="BF162" s="270"/>
      <c r="BG162" s="270"/>
      <c r="BH162" s="270"/>
      <c r="BI162" s="270"/>
      <c r="BJ162" s="270"/>
      <c r="BK162" s="270"/>
      <c r="BL162" s="270"/>
      <c r="BM162" s="270"/>
      <c r="BN162" s="270"/>
      <c r="BO162" s="270"/>
      <c r="BP162" s="270"/>
      <c r="BQ162" s="270"/>
      <c r="BR162" s="270"/>
      <c r="BS162" s="270"/>
      <c r="BT162" s="270"/>
      <c r="BU162" s="270"/>
      <c r="BV162" s="270"/>
      <c r="BW162" s="270"/>
      <c r="BX162" s="270"/>
      <c r="BY162" s="270"/>
      <c r="BZ162" s="270"/>
      <c r="CA162" s="270"/>
      <c r="CB162" s="270"/>
      <c r="CC162" s="270"/>
      <c r="CD162" s="270"/>
      <c r="CE162" s="1395"/>
      <c r="CF162" s="1450"/>
      <c r="CG162" s="1450"/>
      <c r="CH162" s="270"/>
      <c r="CI162" s="270"/>
      <c r="CJ162" s="270"/>
      <c r="CK162" s="270"/>
      <c r="CL162" s="270"/>
      <c r="CM162" s="270"/>
    </row>
    <row r="163" spans="1:91" ht="13.5" hidden="1" outlineLevel="3" thickBot="1" x14ac:dyDescent="0.25">
      <c r="A163" s="270"/>
      <c r="B163" s="271"/>
      <c r="C163" s="12"/>
      <c r="D163" s="1071"/>
      <c r="E163" s="1071"/>
      <c r="F163" s="1071"/>
      <c r="G163" s="626"/>
      <c r="H163" s="271"/>
      <c r="I163" s="270"/>
      <c r="J163" s="270"/>
      <c r="K163" s="270"/>
      <c r="L163" s="270"/>
      <c r="M163" s="270"/>
      <c r="N163" s="270"/>
      <c r="O163" s="270"/>
      <c r="P163" s="1072"/>
      <c r="Q163" s="270"/>
      <c r="R163" s="270"/>
      <c r="S163" s="1072"/>
      <c r="T163" s="270"/>
      <c r="U163" s="1019"/>
      <c r="V163" s="1118"/>
      <c r="W163" s="618"/>
      <c r="X163" s="618"/>
      <c r="Y163" s="1141"/>
      <c r="Z163" s="492"/>
      <c r="AA163" s="493" t="s">
        <v>769</v>
      </c>
      <c r="AB163" s="1069"/>
      <c r="AC163" s="1142"/>
      <c r="AD163" s="839"/>
      <c r="AE163" s="270" t="str">
        <f>IF(Z163="","",IF(Z163&gt;AB163,Y163,IF(Z163=AB163,"",AC163)))</f>
        <v/>
      </c>
      <c r="AF163" s="270" t="str">
        <f>IF(Z163="","",IF(Z163=AB163,Y163,""))</f>
        <v/>
      </c>
      <c r="AG163" s="270" t="str">
        <f>IF(Z163="","",IF(Z163=AB163,AC163,""))</f>
        <v/>
      </c>
      <c r="AH163" s="270" t="str">
        <f>IF(Z163="","",IF(Z163&lt;AB163,Y163,IF(Z163=AB163,"",AC163)))</f>
        <v/>
      </c>
      <c r="AI163" s="270" t="str">
        <f>IF(Z163="","",IF(Z163&gt;AB163,Y160,""))</f>
        <v/>
      </c>
      <c r="AJ163" s="270" t="str">
        <f>IF(Z163="","",IF(Z163&lt;AB163,AC160,""))</f>
        <v/>
      </c>
      <c r="AK163" s="270" t="str">
        <f>CONCATENATE(AE163,AH163)</f>
        <v/>
      </c>
      <c r="AL163" s="270"/>
      <c r="AM163" s="270"/>
      <c r="AN163" s="270"/>
      <c r="AO163" s="271"/>
      <c r="AP163" s="270"/>
      <c r="AQ163" s="270"/>
      <c r="AR163" s="270"/>
      <c r="AS163" s="270"/>
      <c r="AT163" s="270"/>
      <c r="AU163" s="270"/>
      <c r="AV163" s="270"/>
      <c r="AW163" s="270"/>
      <c r="AX163" s="270"/>
      <c r="AY163" s="1072"/>
      <c r="AZ163" s="270"/>
      <c r="BA163" s="270"/>
      <c r="BB163" s="1072"/>
      <c r="BC163" s="270"/>
      <c r="BD163" s="270"/>
      <c r="BE163" s="270"/>
      <c r="BF163" s="270"/>
      <c r="BG163" s="270"/>
      <c r="BH163" s="270"/>
      <c r="BI163" s="270"/>
      <c r="BJ163" s="270"/>
      <c r="BK163" s="270"/>
      <c r="BL163" s="270"/>
      <c r="BM163" s="270"/>
      <c r="BN163" s="270"/>
      <c r="BO163" s="270"/>
      <c r="BP163" s="270"/>
      <c r="BQ163" s="270"/>
      <c r="BR163" s="270"/>
      <c r="BS163" s="270"/>
      <c r="BT163" s="270"/>
      <c r="BU163" s="270"/>
      <c r="BV163" s="270"/>
      <c r="BW163" s="270"/>
      <c r="BX163" s="270"/>
      <c r="BY163" s="270"/>
      <c r="BZ163" s="270"/>
      <c r="CA163" s="270"/>
      <c r="CB163" s="270"/>
      <c r="CC163" s="270"/>
      <c r="CD163" s="270"/>
      <c r="CE163" s="1395"/>
      <c r="CF163" s="1450"/>
      <c r="CG163" s="1450"/>
      <c r="CH163" s="270"/>
      <c r="CI163" s="270"/>
      <c r="CJ163" s="270"/>
      <c r="CK163" s="270"/>
      <c r="CL163" s="270"/>
      <c r="CM163" s="270"/>
    </row>
    <row r="164" spans="1:91" ht="13.5" hidden="1" outlineLevel="3" thickBot="1" x14ac:dyDescent="0.25">
      <c r="A164" s="270"/>
      <c r="B164" s="271"/>
      <c r="C164" s="12"/>
      <c r="D164" s="1071"/>
      <c r="E164" s="1071"/>
      <c r="F164" s="1071"/>
      <c r="G164" s="626"/>
      <c r="H164" s="271"/>
      <c r="I164" s="270"/>
      <c r="J164" s="270"/>
      <c r="K164" s="270"/>
      <c r="L164" s="270"/>
      <c r="M164" s="270"/>
      <c r="N164" s="270"/>
      <c r="O164" s="270"/>
      <c r="P164" s="1072"/>
      <c r="Q164" s="270"/>
      <c r="R164" s="270"/>
      <c r="S164" s="1072"/>
      <c r="T164" s="270"/>
      <c r="U164" s="1019"/>
      <c r="V164" s="1118"/>
      <c r="W164" s="618"/>
      <c r="X164" s="618"/>
      <c r="Y164" s="1141"/>
      <c r="Z164" s="492"/>
      <c r="AA164" s="493" t="s">
        <v>769</v>
      </c>
      <c r="AB164" s="1069"/>
      <c r="AC164" s="1142"/>
      <c r="AD164" s="839"/>
      <c r="AE164" s="270" t="str">
        <f>IF(Z164="","",IF(Z164&gt;AB164,Y164,IF(Z164=AB164,"",AC164)))</f>
        <v/>
      </c>
      <c r="AF164" s="270" t="str">
        <f>IF(Z164="","",IF(Z164=AB164,Y164,""))</f>
        <v/>
      </c>
      <c r="AG164" s="270" t="str">
        <f>IF(Z164="","",IF(Z164=AB164,AC164,""))</f>
        <v/>
      </c>
      <c r="AH164" s="270" t="str">
        <f>IF(Z164="","",IF(Z164&lt;AB164,Y164,IF(Z164=AB164,"",AC164)))</f>
        <v/>
      </c>
      <c r="AI164" s="270" t="str">
        <f>IF(Z164="","",IF(Z164&gt;AB164,Y160,""))</f>
        <v/>
      </c>
      <c r="AJ164" s="270" t="str">
        <f>IF(Z164="","",IF(Z164&lt;AB164,AC160,""))</f>
        <v/>
      </c>
      <c r="AK164" s="270" t="str">
        <f>CONCATENATE(AE164,AH164)</f>
        <v/>
      </c>
      <c r="AL164" s="270"/>
      <c r="AM164" s="270"/>
      <c r="AN164" s="270"/>
      <c r="AO164" s="271"/>
      <c r="AP164" s="270"/>
      <c r="AQ164" s="270"/>
      <c r="AR164" s="270"/>
      <c r="AS164" s="270"/>
      <c r="AT164" s="270"/>
      <c r="AU164" s="270"/>
      <c r="AV164" s="270"/>
      <c r="AW164" s="270"/>
      <c r="AX164" s="270"/>
      <c r="AY164" s="1072"/>
      <c r="AZ164" s="270"/>
      <c r="BA164" s="270"/>
      <c r="BB164" s="1072"/>
      <c r="BC164" s="270"/>
      <c r="BD164" s="270"/>
      <c r="BE164" s="270"/>
      <c r="BF164" s="270"/>
      <c r="BG164" s="270"/>
      <c r="BH164" s="270"/>
      <c r="BI164" s="270"/>
      <c r="BJ164" s="270"/>
      <c r="BK164" s="270"/>
      <c r="BL164" s="270"/>
      <c r="BM164" s="270"/>
      <c r="BN164" s="270"/>
      <c r="BO164" s="270"/>
      <c r="BP164" s="270"/>
      <c r="BQ164" s="270"/>
      <c r="BR164" s="270"/>
      <c r="BS164" s="270"/>
      <c r="BT164" s="270"/>
      <c r="BU164" s="270"/>
      <c r="BV164" s="270"/>
      <c r="BW164" s="270"/>
      <c r="BX164" s="270"/>
      <c r="BY164" s="270"/>
      <c r="BZ164" s="270"/>
      <c r="CA164" s="270"/>
      <c r="CB164" s="270"/>
      <c r="CC164" s="270"/>
      <c r="CD164" s="270"/>
      <c r="CE164" s="1395"/>
      <c r="CF164" s="1450"/>
      <c r="CG164" s="1450"/>
      <c r="CH164" s="270"/>
      <c r="CI164" s="270"/>
      <c r="CJ164" s="270"/>
      <c r="CK164" s="270"/>
      <c r="CL164" s="270"/>
      <c r="CM164" s="270"/>
    </row>
    <row r="165" spans="1:91" ht="13.5" hidden="1" outlineLevel="3" thickBot="1" x14ac:dyDescent="0.25">
      <c r="A165" s="270"/>
      <c r="B165" s="271"/>
      <c r="C165" s="12"/>
      <c r="D165" s="1071"/>
      <c r="E165" s="1071"/>
      <c r="F165" s="1071"/>
      <c r="G165" s="626"/>
      <c r="H165" s="271"/>
      <c r="I165" s="270"/>
      <c r="J165" s="270"/>
      <c r="K165" s="270"/>
      <c r="L165" s="270"/>
      <c r="M165" s="270"/>
      <c r="N165" s="270"/>
      <c r="O165" s="270"/>
      <c r="P165" s="1072"/>
      <c r="Q165" s="270"/>
      <c r="R165" s="270"/>
      <c r="S165" s="1072"/>
      <c r="T165" s="270"/>
      <c r="U165" s="1019"/>
      <c r="V165" s="1073"/>
      <c r="W165" s="1074"/>
      <c r="X165" s="1075" t="str">
        <f>N_Substitute</f>
        <v>Remplaçant</v>
      </c>
      <c r="Y165" s="1141"/>
      <c r="Z165" s="1081"/>
      <c r="AA165" s="1076"/>
      <c r="AB165" s="1083"/>
      <c r="AC165" s="1142"/>
      <c r="AD165" s="839"/>
      <c r="AE165" s="270"/>
      <c r="AF165" s="270"/>
      <c r="AG165" s="270"/>
      <c r="AH165" s="270"/>
      <c r="AI165" s="270"/>
      <c r="AJ165" s="270"/>
      <c r="AK165" s="270"/>
      <c r="AL165" s="270"/>
      <c r="AM165" s="270"/>
      <c r="AN165" s="270"/>
      <c r="AO165" s="271"/>
      <c r="AP165" s="270"/>
      <c r="AQ165" s="270"/>
      <c r="AR165" s="270"/>
      <c r="AS165" s="270"/>
      <c r="AT165" s="270"/>
      <c r="AU165" s="270"/>
      <c r="AV165" s="270"/>
      <c r="AW165" s="270"/>
      <c r="AX165" s="270"/>
      <c r="AY165" s="1072"/>
      <c r="AZ165" s="270"/>
      <c r="BA165" s="270"/>
      <c r="BB165" s="1072"/>
      <c r="BC165" s="270"/>
      <c r="BD165" s="270"/>
      <c r="BE165" s="270"/>
      <c r="BF165" s="270"/>
      <c r="BG165" s="270"/>
      <c r="BH165" s="270"/>
      <c r="BI165" s="270"/>
      <c r="BJ165" s="270"/>
      <c r="BK165" s="270"/>
      <c r="BL165" s="270"/>
      <c r="BM165" s="270"/>
      <c r="BN165" s="270"/>
      <c r="BO165" s="270"/>
      <c r="BP165" s="270"/>
      <c r="BQ165" s="270"/>
      <c r="BR165" s="270"/>
      <c r="BS165" s="270"/>
      <c r="BT165" s="270"/>
      <c r="BU165" s="270"/>
      <c r="BV165" s="270"/>
      <c r="BW165" s="270"/>
      <c r="BX165" s="270"/>
      <c r="BY165" s="270"/>
      <c r="BZ165" s="270"/>
      <c r="CA165" s="270"/>
      <c r="CB165" s="270"/>
      <c r="CC165" s="270"/>
      <c r="CD165" s="270"/>
      <c r="CE165" s="1395"/>
      <c r="CF165" s="1450"/>
      <c r="CG165" s="1450"/>
      <c r="CH165" s="270"/>
      <c r="CI165" s="270"/>
      <c r="CJ165" s="270"/>
      <c r="CK165" s="270"/>
      <c r="CL165" s="270"/>
      <c r="CM165" s="270"/>
    </row>
    <row r="166" spans="1:91" ht="13.5" hidden="1" outlineLevel="3" thickBot="1" x14ac:dyDescent="0.25">
      <c r="A166" s="270"/>
      <c r="B166" s="271"/>
      <c r="C166" s="12"/>
      <c r="D166" s="1071"/>
      <c r="E166" s="1071"/>
      <c r="F166" s="1071"/>
      <c r="G166" s="626"/>
      <c r="H166" s="271"/>
      <c r="I166" s="270"/>
      <c r="J166" s="270"/>
      <c r="K166" s="270"/>
      <c r="L166" s="270"/>
      <c r="M166" s="270"/>
      <c r="N166" s="270"/>
      <c r="O166" s="270"/>
      <c r="P166" s="1072"/>
      <c r="Q166" s="270"/>
      <c r="R166" s="270"/>
      <c r="S166" s="1072"/>
      <c r="T166" s="270"/>
      <c r="U166" s="1019"/>
      <c r="V166" s="1119"/>
      <c r="W166" s="1120"/>
      <c r="X166" s="1075" t="str">
        <f>N_Substitute</f>
        <v>Remplaçant</v>
      </c>
      <c r="Y166" s="1141"/>
      <c r="Z166" s="492"/>
      <c r="AA166" s="1126"/>
      <c r="AB166" s="492"/>
      <c r="AC166" s="1142"/>
      <c r="AD166" s="839"/>
      <c r="AE166" s="270"/>
      <c r="AF166" s="270"/>
      <c r="AG166" s="270"/>
      <c r="AH166" s="270"/>
      <c r="AI166" s="270"/>
      <c r="AJ166" s="270"/>
      <c r="AK166" s="270"/>
      <c r="AL166" s="270"/>
      <c r="AM166" s="270"/>
      <c r="AN166" s="270"/>
      <c r="AO166" s="271"/>
      <c r="AP166" s="270"/>
      <c r="AQ166" s="270"/>
      <c r="AR166" s="270"/>
      <c r="AS166" s="270"/>
      <c r="AT166" s="270"/>
      <c r="AU166" s="270"/>
      <c r="AV166" s="270"/>
      <c r="AW166" s="270"/>
      <c r="AX166" s="270"/>
      <c r="AY166" s="1072"/>
      <c r="AZ166" s="270"/>
      <c r="BA166" s="270"/>
      <c r="BB166" s="1072"/>
      <c r="BC166" s="270"/>
      <c r="BD166" s="270"/>
      <c r="BE166" s="270"/>
      <c r="BF166" s="270"/>
      <c r="BG166" s="270"/>
      <c r="BH166" s="270"/>
      <c r="BI166" s="270"/>
      <c r="BJ166" s="270"/>
      <c r="BK166" s="270"/>
      <c r="BL166" s="270"/>
      <c r="BM166" s="270"/>
      <c r="BN166" s="270"/>
      <c r="BO166" s="270"/>
      <c r="BP166" s="270"/>
      <c r="BQ166" s="270"/>
      <c r="BR166" s="270"/>
      <c r="BS166" s="270"/>
      <c r="BT166" s="270"/>
      <c r="BU166" s="270"/>
      <c r="BV166" s="270"/>
      <c r="BW166" s="270"/>
      <c r="BX166" s="270"/>
      <c r="BY166" s="270"/>
      <c r="BZ166" s="270"/>
      <c r="CA166" s="270"/>
      <c r="CB166" s="270"/>
      <c r="CC166" s="270"/>
      <c r="CD166" s="270"/>
      <c r="CE166" s="1395"/>
      <c r="CF166" s="1450"/>
      <c r="CG166" s="1450"/>
      <c r="CH166" s="270"/>
      <c r="CI166" s="270"/>
      <c r="CJ166" s="270"/>
      <c r="CK166" s="270"/>
      <c r="CL166" s="270"/>
      <c r="CM166" s="270"/>
    </row>
    <row r="167" spans="1:91" ht="13.5" outlineLevel="2" collapsed="1" thickBot="1" x14ac:dyDescent="0.25">
      <c r="A167" s="270"/>
      <c r="B167" s="271"/>
      <c r="C167" s="12"/>
      <c r="D167" s="1071"/>
      <c r="E167" s="1071"/>
      <c r="F167" s="1071"/>
      <c r="G167" s="626"/>
      <c r="H167" s="271"/>
      <c r="I167" s="270"/>
      <c r="J167" s="270"/>
      <c r="K167" s="270"/>
      <c r="L167" s="270"/>
      <c r="M167" s="270"/>
      <c r="N167" s="270"/>
      <c r="O167" s="270"/>
      <c r="P167" s="1072"/>
      <c r="Q167" s="270"/>
      <c r="R167" s="270"/>
      <c r="S167" s="1072"/>
      <c r="T167" s="270"/>
      <c r="U167" s="1019" t="s">
        <v>1727</v>
      </c>
      <c r="V167" s="1122"/>
      <c r="W167" s="618"/>
      <c r="X167" s="618"/>
      <c r="Y167" s="1143" t="str">
        <f>IF(G142="","",G142)</f>
        <v>Eq3</v>
      </c>
      <c r="Z167" s="1125" t="str">
        <f>IF(OR(ISNUMBER(Z168),ISNUMBER(Z169),ISNUMBER(Z170),ISNUMBER(Z171)),4-COUNTBLANK(AI168:AI171),"")</f>
        <v/>
      </c>
      <c r="AA167" s="1124" t="s">
        <v>769</v>
      </c>
      <c r="AB167" s="1125" t="str">
        <f>IF(OR(ISNUMBER(Z168),ISNUMBER(Z169),ISNUMBER(Z170),ISNUMBER(Z171)),4-COUNTBLANK(AJ168:AJ171),"")</f>
        <v/>
      </c>
      <c r="AC167" s="1144" t="str">
        <f>IF(G144="","",G144)</f>
        <v>Eq5</v>
      </c>
      <c r="AD167" s="839"/>
      <c r="AE167" s="270" t="str">
        <f>IF(Z167="","",IF(Z167&gt;AB167,Y167,IF(Z167=AB167,IF(NoDrawWithWithdraw,IF(AL167=Y167,AC167,IF(AL167=AC167,Y167,"")),""),AC167)))</f>
        <v/>
      </c>
      <c r="AF167" s="270" t="str">
        <f>IF(Z167="","",IF(Z167=AB167,IF(NoDrawWithWithdraw,IF(AL167=Y167,"",IF(AL167=AC167,"",Y167)),Y167),""))</f>
        <v/>
      </c>
      <c r="AG167" s="270" t="str">
        <f>IF(Z167="","",IF(Z167=AB167,IF(NoDrawWithWithdraw,IF(AL167=Y167,"",IF(AL167=AC167,"",AC167)),AC167),""))</f>
        <v/>
      </c>
      <c r="AH167" s="270" t="str">
        <f>IF(Z167="","",IF(Z167&lt;AB167,Y167,IF(Z167=AB167,IF(NoDrawWithWithdraw,IF(AL167=Y167,Y167,IF(AL167=AC167,AC167,"")),""),AC167)))</f>
        <v/>
      </c>
      <c r="AI167" s="270" t="str">
        <f>IF(Z167="","",SUM(Z168:Z171))</f>
        <v/>
      </c>
      <c r="AJ167" s="270" t="str">
        <f>IF(Z167="","",SUM(AB168:AB171))</f>
        <v/>
      </c>
      <c r="AK167" s="270" t="str">
        <f>CONCATENATE(AE167,AH167)</f>
        <v/>
      </c>
      <c r="AL167" s="270" t="str">
        <f>IF(COUNTIF(Y168:Y171,WithdrawLabel)&gt;COUNTIF(AC168:AC171,WithdrawLabel),Y167,IF(COUNTIF(AC168:AC171,WithdrawLabel)&gt;COUNTIF(Y168:Y171,WithdrawLabel),AC167,""))</f>
        <v/>
      </c>
      <c r="AM167" s="270"/>
      <c r="AN167" s="270"/>
      <c r="AO167" s="271"/>
      <c r="AP167" s="270"/>
      <c r="AQ167" s="270"/>
      <c r="AR167" s="270"/>
      <c r="AS167" s="270"/>
      <c r="AT167" s="270"/>
      <c r="AU167" s="270"/>
      <c r="AV167" s="270"/>
      <c r="AW167" s="270"/>
      <c r="AX167" s="270"/>
      <c r="AY167" s="1072"/>
      <c r="AZ167" s="270"/>
      <c r="BA167" s="270"/>
      <c r="BB167" s="1072"/>
      <c r="BC167" s="270"/>
      <c r="BD167" s="270"/>
      <c r="BE167" s="270"/>
      <c r="BF167" s="270"/>
      <c r="BG167" s="270"/>
      <c r="BH167" s="270"/>
      <c r="BI167" s="270"/>
      <c r="BJ167" s="270"/>
      <c r="BK167" s="270"/>
      <c r="BL167" s="270"/>
      <c r="BM167" s="270"/>
      <c r="BN167" s="270"/>
      <c r="BO167" s="270"/>
      <c r="BP167" s="270"/>
      <c r="BQ167" s="270"/>
      <c r="BR167" s="270"/>
      <c r="BS167" s="270"/>
      <c r="BT167" s="270"/>
      <c r="BU167" s="270"/>
      <c r="BV167" s="270"/>
      <c r="BW167" s="270"/>
      <c r="BX167" s="270"/>
      <c r="BY167" s="270"/>
      <c r="BZ167" s="270"/>
      <c r="CA167" s="270"/>
      <c r="CB167" s="270"/>
      <c r="CC167" s="270"/>
      <c r="CD167" s="270"/>
      <c r="CE167" s="1395"/>
      <c r="CF167" s="1450"/>
      <c r="CG167" s="1450"/>
      <c r="CH167" s="270"/>
      <c r="CI167" s="270"/>
      <c r="CJ167" s="270"/>
      <c r="CK167" s="270"/>
      <c r="CL167" s="270"/>
      <c r="CM167" s="270"/>
    </row>
    <row r="168" spans="1:91" ht="13.5" hidden="1" outlineLevel="3" thickBot="1" x14ac:dyDescent="0.25">
      <c r="A168" s="270"/>
      <c r="B168" s="271"/>
      <c r="C168" s="12"/>
      <c r="D168" s="1071"/>
      <c r="E168" s="1071"/>
      <c r="F168" s="1071"/>
      <c r="G168" s="626"/>
      <c r="H168" s="271"/>
      <c r="I168" s="270"/>
      <c r="J168" s="270"/>
      <c r="K168" s="270"/>
      <c r="L168" s="270"/>
      <c r="M168" s="270"/>
      <c r="N168" s="270"/>
      <c r="O168" s="270"/>
      <c r="P168" s="1072"/>
      <c r="Q168" s="270"/>
      <c r="R168" s="270"/>
      <c r="S168" s="1072"/>
      <c r="T168" s="270"/>
      <c r="U168" s="1019"/>
      <c r="V168" s="1118"/>
      <c r="W168" s="618"/>
      <c r="X168" s="618"/>
      <c r="Y168" s="1141"/>
      <c r="Z168" s="492"/>
      <c r="AA168" s="493" t="s">
        <v>769</v>
      </c>
      <c r="AB168" s="1069"/>
      <c r="AC168" s="1142"/>
      <c r="AD168" s="839"/>
      <c r="AE168" s="270" t="str">
        <f>IF(Z168="","",IF(Z168&gt;AB168,Y168,IF(Z168=AB168,"",AC168)))</f>
        <v/>
      </c>
      <c r="AF168" s="270" t="str">
        <f>IF(Z168="","",IF(Z168=AB168,Y168,""))</f>
        <v/>
      </c>
      <c r="AG168" s="270" t="str">
        <f>IF(Z168="","",IF(Z168=AB168,AC168,""))</f>
        <v/>
      </c>
      <c r="AH168" s="270" t="str">
        <f>IF(Z168="","",IF(Z168&lt;AB168,Y168,IF(Z168=AB168,"",AC168)))</f>
        <v/>
      </c>
      <c r="AI168" s="270" t="str">
        <f>IF(Z168="","",IF(Z168&gt;AB168,Y167,""))</f>
        <v/>
      </c>
      <c r="AJ168" s="270" t="str">
        <f>IF(Z168="","",IF(Z168&lt;AB168,AC167,""))</f>
        <v/>
      </c>
      <c r="AK168" s="270" t="str">
        <f>CONCATENATE(AE168,AH168)</f>
        <v/>
      </c>
      <c r="AL168" s="270"/>
      <c r="AM168" s="270"/>
      <c r="AN168" s="270"/>
      <c r="AO168" s="271"/>
      <c r="AP168" s="270"/>
      <c r="AQ168" s="270"/>
      <c r="AR168" s="270"/>
      <c r="AS168" s="270"/>
      <c r="AT168" s="270"/>
      <c r="AU168" s="270"/>
      <c r="AV168" s="270"/>
      <c r="AW168" s="270"/>
      <c r="AX168" s="270"/>
      <c r="AY168" s="1072"/>
      <c r="AZ168" s="270"/>
      <c r="BA168" s="270"/>
      <c r="BB168" s="1072"/>
      <c r="BC168" s="270"/>
      <c r="BD168" s="270"/>
      <c r="BE168" s="270"/>
      <c r="BF168" s="270"/>
      <c r="BG168" s="270"/>
      <c r="BH168" s="270"/>
      <c r="BI168" s="270"/>
      <c r="BJ168" s="270"/>
      <c r="BK168" s="270"/>
      <c r="BL168" s="270"/>
      <c r="BM168" s="270"/>
      <c r="BN168" s="270"/>
      <c r="BO168" s="270"/>
      <c r="BP168" s="270"/>
      <c r="BQ168" s="270"/>
      <c r="BR168" s="270"/>
      <c r="BS168" s="270"/>
      <c r="BT168" s="270"/>
      <c r="BU168" s="270"/>
      <c r="BV168" s="270"/>
      <c r="BW168" s="270"/>
      <c r="BX168" s="270"/>
      <c r="BY168" s="270"/>
      <c r="BZ168" s="270"/>
      <c r="CA168" s="270"/>
      <c r="CB168" s="270"/>
      <c r="CC168" s="270"/>
      <c r="CD168" s="270"/>
      <c r="CE168" s="1395"/>
      <c r="CF168" s="1450"/>
      <c r="CG168" s="1450"/>
      <c r="CH168" s="270"/>
      <c r="CI168" s="270"/>
      <c r="CJ168" s="270"/>
      <c r="CK168" s="270"/>
      <c r="CL168" s="270"/>
      <c r="CM168" s="270"/>
    </row>
    <row r="169" spans="1:91" ht="13.5" hidden="1" outlineLevel="3" thickBot="1" x14ac:dyDescent="0.25">
      <c r="A169" s="270"/>
      <c r="B169" s="271"/>
      <c r="C169" s="12"/>
      <c r="D169" s="1071"/>
      <c r="E169" s="1071"/>
      <c r="F169" s="1071"/>
      <c r="G169" s="626"/>
      <c r="H169" s="271"/>
      <c r="I169" s="270"/>
      <c r="J169" s="270"/>
      <c r="K169" s="270"/>
      <c r="L169" s="270"/>
      <c r="M169" s="270"/>
      <c r="N169" s="270"/>
      <c r="O169" s="270"/>
      <c r="P169" s="1072"/>
      <c r="Q169" s="270"/>
      <c r="R169" s="270"/>
      <c r="S169" s="1072"/>
      <c r="T169" s="270"/>
      <c r="U169" s="1019"/>
      <c r="V169" s="1118"/>
      <c r="W169" s="618"/>
      <c r="X169" s="618"/>
      <c r="Y169" s="1141"/>
      <c r="Z169" s="492"/>
      <c r="AA169" s="493" t="s">
        <v>769</v>
      </c>
      <c r="AB169" s="1069"/>
      <c r="AC169" s="1142"/>
      <c r="AD169" s="839"/>
      <c r="AE169" s="270" t="str">
        <f>IF(Z169="","",IF(Z169&gt;AB169,Y169,IF(Z169=AB169,"",AC169)))</f>
        <v/>
      </c>
      <c r="AF169" s="270" t="str">
        <f>IF(Z169="","",IF(Z169=AB169,Y169,""))</f>
        <v/>
      </c>
      <c r="AG169" s="270" t="str">
        <f>IF(Z169="","",IF(Z169=AB169,AC169,""))</f>
        <v/>
      </c>
      <c r="AH169" s="270" t="str">
        <f>IF(Z169="","",IF(Z169&lt;AB169,Y169,IF(Z169=AB169,"",AC169)))</f>
        <v/>
      </c>
      <c r="AI169" s="270" t="str">
        <f>IF(Z169="","",IF(Z169&gt;AB169,Y167,""))</f>
        <v/>
      </c>
      <c r="AJ169" s="270" t="str">
        <f>IF(Z169="","",IF(Z169&lt;AB169,AC167,""))</f>
        <v/>
      </c>
      <c r="AK169" s="270" t="str">
        <f>CONCATENATE(AE169,AH169)</f>
        <v/>
      </c>
      <c r="AL169" s="270"/>
      <c r="AM169" s="270"/>
      <c r="AN169" s="270"/>
      <c r="AO169" s="271"/>
      <c r="AP169" s="270"/>
      <c r="AQ169" s="270"/>
      <c r="AR169" s="270"/>
      <c r="AS169" s="270"/>
      <c r="AT169" s="270"/>
      <c r="AU169" s="270"/>
      <c r="AV169" s="270"/>
      <c r="AW169" s="270"/>
      <c r="AX169" s="270"/>
      <c r="AY169" s="1072"/>
      <c r="AZ169" s="270"/>
      <c r="BA169" s="270"/>
      <c r="BB169" s="1072"/>
      <c r="BC169" s="270"/>
      <c r="BD169" s="270"/>
      <c r="BE169" s="270"/>
      <c r="BF169" s="270"/>
      <c r="BG169" s="270"/>
      <c r="BH169" s="270"/>
      <c r="BI169" s="270"/>
      <c r="BJ169" s="270"/>
      <c r="BK169" s="270"/>
      <c r="BL169" s="270"/>
      <c r="BM169" s="270"/>
      <c r="BN169" s="270"/>
      <c r="BO169" s="270"/>
      <c r="BP169" s="270"/>
      <c r="BQ169" s="270"/>
      <c r="BR169" s="270"/>
      <c r="BS169" s="270"/>
      <c r="BT169" s="270"/>
      <c r="BU169" s="270"/>
      <c r="BV169" s="270"/>
      <c r="BW169" s="270"/>
      <c r="BX169" s="270"/>
      <c r="BY169" s="270"/>
      <c r="BZ169" s="270"/>
      <c r="CA169" s="270"/>
      <c r="CB169" s="270"/>
      <c r="CC169" s="270"/>
      <c r="CD169" s="270"/>
      <c r="CE169" s="1395"/>
      <c r="CF169" s="1450"/>
      <c r="CG169" s="1450"/>
      <c r="CH169" s="270"/>
      <c r="CI169" s="270"/>
      <c r="CJ169" s="270"/>
      <c r="CK169" s="270"/>
      <c r="CL169" s="270"/>
      <c r="CM169" s="270"/>
    </row>
    <row r="170" spans="1:91" ht="13.5" hidden="1" outlineLevel="3" thickBot="1" x14ac:dyDescent="0.25">
      <c r="A170" s="270"/>
      <c r="B170" s="271"/>
      <c r="C170" s="12"/>
      <c r="D170" s="1071"/>
      <c r="E170" s="1071"/>
      <c r="F170" s="1071"/>
      <c r="G170" s="626"/>
      <c r="H170" s="271"/>
      <c r="I170" s="270"/>
      <c r="J170" s="270"/>
      <c r="K170" s="270"/>
      <c r="L170" s="270"/>
      <c r="M170" s="270"/>
      <c r="N170" s="270"/>
      <c r="O170" s="270"/>
      <c r="P170" s="1072"/>
      <c r="Q170" s="270"/>
      <c r="R170" s="270"/>
      <c r="S170" s="1072"/>
      <c r="T170" s="270"/>
      <c r="U170" s="1019"/>
      <c r="V170" s="1118"/>
      <c r="W170" s="618"/>
      <c r="X170" s="618"/>
      <c r="Y170" s="1141"/>
      <c r="Z170" s="492"/>
      <c r="AA170" s="493" t="s">
        <v>769</v>
      </c>
      <c r="AB170" s="1069"/>
      <c r="AC170" s="1142"/>
      <c r="AD170" s="839"/>
      <c r="AE170" s="270" t="str">
        <f>IF(Z170="","",IF(Z170&gt;AB170,Y170,IF(Z170=AB170,"",AC170)))</f>
        <v/>
      </c>
      <c r="AF170" s="270" t="str">
        <f>IF(Z170="","",IF(Z170=AB170,Y170,""))</f>
        <v/>
      </c>
      <c r="AG170" s="270" t="str">
        <f>IF(Z170="","",IF(Z170=AB170,AC170,""))</f>
        <v/>
      </c>
      <c r="AH170" s="270" t="str">
        <f>IF(Z170="","",IF(Z170&lt;AB170,Y170,IF(Z170=AB170,"",AC170)))</f>
        <v/>
      </c>
      <c r="AI170" s="270" t="str">
        <f>IF(Z170="","",IF(Z170&gt;AB170,Y167,""))</f>
        <v/>
      </c>
      <c r="AJ170" s="270" t="str">
        <f>IF(Z170="","",IF(Z170&lt;AB170,AC167,""))</f>
        <v/>
      </c>
      <c r="AK170" s="270" t="str">
        <f>CONCATENATE(AE170,AH170)</f>
        <v/>
      </c>
      <c r="AL170" s="270"/>
      <c r="AM170" s="270"/>
      <c r="AN170" s="270"/>
      <c r="AO170" s="271"/>
      <c r="AP170" s="270"/>
      <c r="AQ170" s="270"/>
      <c r="AR170" s="270"/>
      <c r="AS170" s="270"/>
      <c r="AT170" s="270"/>
      <c r="AU170" s="270"/>
      <c r="AV170" s="270"/>
      <c r="AW170" s="270"/>
      <c r="AX170" s="270"/>
      <c r="AY170" s="1072"/>
      <c r="AZ170" s="270"/>
      <c r="BA170" s="270"/>
      <c r="BB170" s="1072"/>
      <c r="BC170" s="270"/>
      <c r="BD170" s="270"/>
      <c r="BE170" s="270"/>
      <c r="BF170" s="270"/>
      <c r="BG170" s="270"/>
      <c r="BH170" s="270"/>
      <c r="BI170" s="270"/>
      <c r="BJ170" s="270"/>
      <c r="BK170" s="270"/>
      <c r="BL170" s="270"/>
      <c r="BM170" s="270"/>
      <c r="BN170" s="270"/>
      <c r="BO170" s="270"/>
      <c r="BP170" s="270"/>
      <c r="BQ170" s="270"/>
      <c r="BR170" s="270"/>
      <c r="BS170" s="270"/>
      <c r="BT170" s="270"/>
      <c r="BU170" s="270"/>
      <c r="BV170" s="270"/>
      <c r="BW170" s="270"/>
      <c r="BX170" s="270"/>
      <c r="BY170" s="270"/>
      <c r="BZ170" s="270"/>
      <c r="CA170" s="270"/>
      <c r="CB170" s="270"/>
      <c r="CC170" s="270"/>
      <c r="CD170" s="270"/>
      <c r="CE170" s="1395"/>
      <c r="CF170" s="1450"/>
      <c r="CG170" s="1450"/>
      <c r="CH170" s="270"/>
      <c r="CI170" s="270"/>
      <c r="CJ170" s="270"/>
      <c r="CK170" s="270"/>
      <c r="CL170" s="270"/>
      <c r="CM170" s="270"/>
    </row>
    <row r="171" spans="1:91" ht="13.5" hidden="1" outlineLevel="3" thickBot="1" x14ac:dyDescent="0.25">
      <c r="A171" s="270"/>
      <c r="B171" s="271"/>
      <c r="C171" s="12"/>
      <c r="D171" s="1071"/>
      <c r="E171" s="1071"/>
      <c r="F171" s="1071"/>
      <c r="G171" s="626"/>
      <c r="H171" s="271"/>
      <c r="I171" s="270"/>
      <c r="J171" s="270"/>
      <c r="K171" s="270"/>
      <c r="L171" s="270"/>
      <c r="M171" s="270"/>
      <c r="N171" s="270"/>
      <c r="O171" s="270"/>
      <c r="P171" s="1072"/>
      <c r="Q171" s="270"/>
      <c r="R171" s="270"/>
      <c r="S171" s="1072"/>
      <c r="T171" s="270"/>
      <c r="U171" s="1019"/>
      <c r="V171" s="1118"/>
      <c r="W171" s="618"/>
      <c r="X171" s="618"/>
      <c r="Y171" s="1141"/>
      <c r="Z171" s="492"/>
      <c r="AA171" s="493" t="s">
        <v>769</v>
      </c>
      <c r="AB171" s="1069"/>
      <c r="AC171" s="1142"/>
      <c r="AD171" s="839"/>
      <c r="AE171" s="270" t="str">
        <f>IF(Z171="","",IF(Z171&gt;AB171,Y171,IF(Z171=AB171,"",AC171)))</f>
        <v/>
      </c>
      <c r="AF171" s="270" t="str">
        <f>IF(Z171="","",IF(Z171=AB171,Y171,""))</f>
        <v/>
      </c>
      <c r="AG171" s="270" t="str">
        <f>IF(Z171="","",IF(Z171=AB171,AC171,""))</f>
        <v/>
      </c>
      <c r="AH171" s="270" t="str">
        <f>IF(Z171="","",IF(Z171&lt;AB171,Y171,IF(Z171=AB171,"",AC171)))</f>
        <v/>
      </c>
      <c r="AI171" s="270" t="str">
        <f>IF(Z171="","",IF(Z171&gt;AB171,Y167,""))</f>
        <v/>
      </c>
      <c r="AJ171" s="270" t="str">
        <f>IF(Z171="","",IF(Z171&lt;AB171,AC167,""))</f>
        <v/>
      </c>
      <c r="AK171" s="270" t="str">
        <f>CONCATENATE(AE171,AH171)</f>
        <v/>
      </c>
      <c r="AL171" s="270"/>
      <c r="AM171" s="270"/>
      <c r="AN171" s="270"/>
      <c r="AO171" s="271"/>
      <c r="AP171" s="270"/>
      <c r="AQ171" s="270"/>
      <c r="AR171" s="270"/>
      <c r="AS171" s="270"/>
      <c r="AT171" s="270"/>
      <c r="AU171" s="270"/>
      <c r="AV171" s="270"/>
      <c r="AW171" s="270"/>
      <c r="AX171" s="270"/>
      <c r="AY171" s="1072"/>
      <c r="AZ171" s="270"/>
      <c r="BA171" s="270"/>
      <c r="BB171" s="1072"/>
      <c r="BC171" s="270"/>
      <c r="BD171" s="270"/>
      <c r="BE171" s="270"/>
      <c r="BF171" s="270"/>
      <c r="BG171" s="270"/>
      <c r="BH171" s="270"/>
      <c r="BI171" s="270"/>
      <c r="BJ171" s="270"/>
      <c r="BK171" s="270"/>
      <c r="BL171" s="270"/>
      <c r="BM171" s="270"/>
      <c r="BN171" s="270"/>
      <c r="BO171" s="270"/>
      <c r="BP171" s="270"/>
      <c r="BQ171" s="270"/>
      <c r="BR171" s="270"/>
      <c r="BS171" s="270"/>
      <c r="BT171" s="270"/>
      <c r="BU171" s="270"/>
      <c r="BV171" s="270"/>
      <c r="BW171" s="270"/>
      <c r="BX171" s="270"/>
      <c r="BY171" s="270"/>
      <c r="BZ171" s="270"/>
      <c r="CA171" s="270"/>
      <c r="CB171" s="270"/>
      <c r="CC171" s="270"/>
      <c r="CD171" s="270"/>
      <c r="CE171" s="1395"/>
      <c r="CF171" s="1450"/>
      <c r="CG171" s="1450"/>
      <c r="CH171" s="270"/>
      <c r="CI171" s="270"/>
      <c r="CJ171" s="270"/>
      <c r="CK171" s="270"/>
      <c r="CL171" s="270"/>
      <c r="CM171" s="270"/>
    </row>
    <row r="172" spans="1:91" ht="13.5" hidden="1" outlineLevel="3" thickBot="1" x14ac:dyDescent="0.25">
      <c r="A172" s="270"/>
      <c r="B172" s="271"/>
      <c r="C172" s="12"/>
      <c r="D172" s="1071"/>
      <c r="E172" s="1071"/>
      <c r="F172" s="1071"/>
      <c r="G172" s="626"/>
      <c r="H172" s="271"/>
      <c r="I172" s="270"/>
      <c r="J172" s="270"/>
      <c r="K172" s="270"/>
      <c r="L172" s="270"/>
      <c r="M172" s="270"/>
      <c r="N172" s="270"/>
      <c r="O172" s="270"/>
      <c r="P172" s="1072"/>
      <c r="Q172" s="270"/>
      <c r="R172" s="270"/>
      <c r="S172" s="1072"/>
      <c r="T172" s="270"/>
      <c r="U172" s="1019"/>
      <c r="V172" s="1073"/>
      <c r="W172" s="1074"/>
      <c r="X172" s="1075" t="str">
        <f>N_Substitute</f>
        <v>Remplaçant</v>
      </c>
      <c r="Y172" s="1141"/>
      <c r="Z172" s="492"/>
      <c r="AA172" s="1076"/>
      <c r="AB172" s="1069"/>
      <c r="AC172" s="1142"/>
      <c r="AD172" s="839"/>
      <c r="AE172" s="270"/>
      <c r="AF172" s="270"/>
      <c r="AG172" s="270"/>
      <c r="AH172" s="270"/>
      <c r="AI172" s="270"/>
      <c r="AJ172" s="270"/>
      <c r="AK172" s="270"/>
      <c r="AL172" s="270"/>
      <c r="AM172" s="270"/>
      <c r="AN172" s="270"/>
      <c r="AO172" s="271"/>
      <c r="AP172" s="270"/>
      <c r="AQ172" s="270"/>
      <c r="AR172" s="270"/>
      <c r="AS172" s="270"/>
      <c r="AT172" s="270"/>
      <c r="AU172" s="270"/>
      <c r="AV172" s="270"/>
      <c r="AW172" s="270"/>
      <c r="AX172" s="270"/>
      <c r="AY172" s="1072"/>
      <c r="AZ172" s="270"/>
      <c r="BA172" s="270"/>
      <c r="BB172" s="1072"/>
      <c r="BC172" s="270"/>
      <c r="BD172" s="270"/>
      <c r="BE172" s="270"/>
      <c r="BF172" s="270"/>
      <c r="BG172" s="270"/>
      <c r="BH172" s="270"/>
      <c r="BI172" s="270"/>
      <c r="BJ172" s="270"/>
      <c r="BK172" s="270"/>
      <c r="BL172" s="270"/>
      <c r="BM172" s="270"/>
      <c r="BN172" s="270"/>
      <c r="BO172" s="270"/>
      <c r="BP172" s="270"/>
      <c r="BQ172" s="270"/>
      <c r="BR172" s="270"/>
      <c r="BS172" s="270"/>
      <c r="BT172" s="270"/>
      <c r="BU172" s="270"/>
      <c r="BV172" s="270"/>
      <c r="BW172" s="270"/>
      <c r="BX172" s="270"/>
      <c r="BY172" s="270"/>
      <c r="BZ172" s="270"/>
      <c r="CA172" s="270"/>
      <c r="CB172" s="270"/>
      <c r="CC172" s="270"/>
      <c r="CD172" s="270"/>
      <c r="CE172" s="1395"/>
      <c r="CF172" s="1450"/>
      <c r="CG172" s="1450"/>
      <c r="CH172" s="270"/>
      <c r="CI172" s="270"/>
      <c r="CJ172" s="270"/>
      <c r="CK172" s="270"/>
      <c r="CL172" s="270"/>
      <c r="CM172" s="270"/>
    </row>
    <row r="173" spans="1:91" ht="13.5" hidden="1" outlineLevel="3" thickBot="1" x14ac:dyDescent="0.25">
      <c r="A173" s="270"/>
      <c r="B173" s="271"/>
      <c r="C173" s="12"/>
      <c r="D173" s="1071"/>
      <c r="E173" s="1071"/>
      <c r="F173" s="1071"/>
      <c r="G173" s="626"/>
      <c r="H173" s="271"/>
      <c r="I173" s="270"/>
      <c r="J173" s="270"/>
      <c r="K173" s="270"/>
      <c r="L173" s="270"/>
      <c r="M173" s="270"/>
      <c r="N173" s="270"/>
      <c r="O173" s="270"/>
      <c r="P173" s="1072"/>
      <c r="Q173" s="270"/>
      <c r="R173" s="270"/>
      <c r="S173" s="1072"/>
      <c r="T173" s="270"/>
      <c r="U173" s="1019"/>
      <c r="V173" s="1087"/>
      <c r="W173" s="1088"/>
      <c r="X173" s="1089" t="str">
        <f>N_Substitute</f>
        <v>Remplaçant</v>
      </c>
      <c r="Y173" s="1145"/>
      <c r="Z173" s="496"/>
      <c r="AA173" s="1090"/>
      <c r="AB173" s="496"/>
      <c r="AC173" s="1146"/>
      <c r="AD173" s="839"/>
      <c r="AE173" s="270"/>
      <c r="AF173" s="270"/>
      <c r="AG173" s="270"/>
      <c r="AH173" s="270"/>
      <c r="AI173" s="270"/>
      <c r="AJ173" s="270"/>
      <c r="AK173" s="270"/>
      <c r="AL173" s="270"/>
      <c r="AM173" s="270"/>
      <c r="AN173" s="270"/>
      <c r="AO173" s="271"/>
      <c r="AP173" s="270"/>
      <c r="AQ173" s="270"/>
      <c r="AR173" s="270"/>
      <c r="AS173" s="270"/>
      <c r="AT173" s="270"/>
      <c r="AU173" s="270"/>
      <c r="AV173" s="270"/>
      <c r="AW173" s="270"/>
      <c r="AX173" s="270"/>
      <c r="AY173" s="1072"/>
      <c r="AZ173" s="270"/>
      <c r="BA173" s="270"/>
      <c r="BB173" s="1072"/>
      <c r="BC173" s="270"/>
      <c r="BD173" s="270"/>
      <c r="BE173" s="270"/>
      <c r="BF173" s="270"/>
      <c r="BG173" s="270"/>
      <c r="BH173" s="270"/>
      <c r="BI173" s="270"/>
      <c r="BJ173" s="270"/>
      <c r="BK173" s="270"/>
      <c r="BL173" s="270"/>
      <c r="BM173" s="270"/>
      <c r="BN173" s="270"/>
      <c r="BO173" s="270"/>
      <c r="BP173" s="270"/>
      <c r="BQ173" s="270"/>
      <c r="BR173" s="270"/>
      <c r="BS173" s="270"/>
      <c r="BT173" s="270"/>
      <c r="BU173" s="270"/>
      <c r="BV173" s="270"/>
      <c r="BW173" s="270"/>
      <c r="BX173" s="270"/>
      <c r="BY173" s="270"/>
      <c r="BZ173" s="270"/>
      <c r="CA173" s="270"/>
      <c r="CB173" s="270"/>
      <c r="CC173" s="270"/>
      <c r="CD173" s="270"/>
      <c r="CE173" s="1395"/>
      <c r="CF173" s="1450"/>
      <c r="CG173" s="1450"/>
      <c r="CH173" s="270"/>
      <c r="CI173" s="270"/>
      <c r="CJ173" s="270"/>
      <c r="CK173" s="270"/>
      <c r="CL173" s="270"/>
      <c r="CM173" s="270"/>
    </row>
    <row r="174" spans="1:91" outlineLevel="2" collapsed="1" x14ac:dyDescent="0.2">
      <c r="A174" s="270"/>
      <c r="B174" s="271"/>
      <c r="C174" s="12"/>
      <c r="D174" s="1071"/>
      <c r="E174" s="1071"/>
      <c r="F174" s="1071"/>
      <c r="G174" s="626"/>
      <c r="H174" s="271"/>
      <c r="I174" s="270"/>
      <c r="J174" s="270"/>
      <c r="K174" s="270"/>
      <c r="L174" s="270"/>
      <c r="M174" s="270"/>
      <c r="N174" s="270"/>
      <c r="O174" s="270"/>
      <c r="P174" s="1072"/>
      <c r="Q174" s="270"/>
      <c r="R174" s="270"/>
      <c r="S174" s="1072"/>
      <c r="T174" s="270"/>
      <c r="U174" s="1019" t="s">
        <v>1728</v>
      </c>
      <c r="V174" s="1117"/>
      <c r="W174" s="617"/>
      <c r="X174" s="617"/>
      <c r="Y174" s="1139" t="str">
        <f>IF(G143="","",G143)</f>
        <v>Eq4</v>
      </c>
      <c r="Z174" s="1063" t="str">
        <f>IF(OR(ISNUMBER(Z175),ISNUMBER(Z176),ISNUMBER(Z177),ISNUMBER(Z178)),4-COUNTBLANK(AI175:AI178),"")</f>
        <v/>
      </c>
      <c r="AA174" s="1064" t="s">
        <v>769</v>
      </c>
      <c r="AB174" s="1063" t="str">
        <f>IF(OR(ISNUMBER(Z175),ISNUMBER(Z176),ISNUMBER(Z177),ISNUMBER(Z178)),4-COUNTBLANK(AJ175:AJ178),"")</f>
        <v/>
      </c>
      <c r="AC174" s="1140" t="str">
        <f>IF(G140="","",G140)</f>
        <v>Eq1</v>
      </c>
      <c r="AD174" s="839"/>
      <c r="AE174" s="270" t="str">
        <f>IF(Z174="","",IF(Z174&gt;AB174,Y174,IF(Z174=AB174,IF(NoDrawWithWithdraw,IF(AL174=Y174,AC174,IF(AL174=AC174,Y174,"")),""),AC174)))</f>
        <v/>
      </c>
      <c r="AF174" s="270" t="str">
        <f>IF(Z174="","",IF(Z174=AB174,IF(NoDrawWithWithdraw,IF(AL174=Y174,"",IF(AL174=AC174,"",Y174)),Y174),""))</f>
        <v/>
      </c>
      <c r="AG174" s="270" t="str">
        <f>IF(Z174="","",IF(Z174=AB174,IF(NoDrawWithWithdraw,IF(AL174=Y174,"",IF(AL174=AC174,"",AC174)),AC174),""))</f>
        <v/>
      </c>
      <c r="AH174" s="270" t="str">
        <f>IF(Z174="","",IF(Z174&lt;AB174,Y174,IF(Z174=AB174,IF(NoDrawWithWithdraw,IF(AL174=Y174,Y174,IF(AL174=AC174,AC174,"")),""),AC174)))</f>
        <v/>
      </c>
      <c r="AI174" s="270" t="str">
        <f>IF(Z174="","",SUM(Z175:Z178))</f>
        <v/>
      </c>
      <c r="AJ174" s="270" t="str">
        <f>IF(Z174="","",SUM(AB175:AB178))</f>
        <v/>
      </c>
      <c r="AK174" s="270" t="str">
        <f>CONCATENATE(AE174,AH174)</f>
        <v/>
      </c>
      <c r="AL174" s="270" t="str">
        <f>IF(COUNTIF(Y175:Y178,WithdrawLabel)&gt;COUNTIF(AC175:AC178,WithdrawLabel),Y174,IF(COUNTIF(AC175:AC178,WithdrawLabel)&gt;COUNTIF(Y175:Y178,WithdrawLabel),AC174,""))</f>
        <v/>
      </c>
      <c r="AM174" s="270"/>
      <c r="AN174" s="270"/>
      <c r="AO174" s="271"/>
      <c r="AP174" s="270"/>
      <c r="AQ174" s="270"/>
      <c r="AR174" s="270"/>
      <c r="AS174" s="270"/>
      <c r="AT174" s="270"/>
      <c r="AU174" s="270"/>
      <c r="AV174" s="270"/>
      <c r="AW174" s="270"/>
      <c r="AX174" s="270"/>
      <c r="AY174" s="1072"/>
      <c r="AZ174" s="270"/>
      <c r="BA174" s="270"/>
      <c r="BB174" s="1072"/>
      <c r="BC174" s="270"/>
      <c r="BD174" s="270"/>
      <c r="BE174" s="270"/>
      <c r="BF174" s="270"/>
      <c r="BG174" s="270"/>
      <c r="BH174" s="270"/>
      <c r="BI174" s="270"/>
      <c r="BJ174" s="270"/>
      <c r="BK174" s="270"/>
      <c r="BL174" s="270"/>
      <c r="BM174" s="270"/>
      <c r="BN174" s="270"/>
      <c r="BO174" s="270"/>
      <c r="BP174" s="270"/>
      <c r="BQ174" s="270"/>
      <c r="BR174" s="270"/>
      <c r="BS174" s="270"/>
      <c r="BT174" s="270"/>
      <c r="BU174" s="270"/>
      <c r="BV174" s="270"/>
      <c r="BW174" s="270"/>
      <c r="BX174" s="270"/>
      <c r="BY174" s="270"/>
      <c r="BZ174" s="270"/>
      <c r="CA174" s="270"/>
      <c r="CB174" s="270"/>
      <c r="CC174" s="270"/>
      <c r="CD174" s="270"/>
      <c r="CE174" s="1395"/>
      <c r="CF174" s="1450"/>
      <c r="CG174" s="1450"/>
      <c r="CH174" s="270"/>
      <c r="CI174" s="270"/>
      <c r="CJ174" s="270"/>
      <c r="CK174" s="270"/>
      <c r="CL174" s="270"/>
      <c r="CM174" s="270"/>
    </row>
    <row r="175" spans="1:91" ht="13.5" hidden="1" outlineLevel="3" thickBot="1" x14ac:dyDescent="0.25">
      <c r="A175" s="270"/>
      <c r="B175" s="271"/>
      <c r="C175" s="12"/>
      <c r="D175" s="1071"/>
      <c r="E175" s="1071"/>
      <c r="F175" s="1071"/>
      <c r="G175" s="626"/>
      <c r="H175" s="271"/>
      <c r="I175" s="270"/>
      <c r="J175" s="270"/>
      <c r="K175" s="270"/>
      <c r="L175" s="270"/>
      <c r="M175" s="270"/>
      <c r="N175" s="270"/>
      <c r="O175" s="270"/>
      <c r="P175" s="1072"/>
      <c r="Q175" s="270"/>
      <c r="R175" s="270"/>
      <c r="S175" s="1072"/>
      <c r="T175" s="270"/>
      <c r="U175" s="1019"/>
      <c r="V175" s="1118"/>
      <c r="W175" s="618"/>
      <c r="X175" s="618"/>
      <c r="Y175" s="1141"/>
      <c r="Z175" s="492"/>
      <c r="AA175" s="493" t="s">
        <v>769</v>
      </c>
      <c r="AB175" s="1069"/>
      <c r="AC175" s="1142"/>
      <c r="AD175" s="839"/>
      <c r="AE175" s="270" t="str">
        <f>IF(Z175="","",IF(Z175&gt;AB175,Y175,IF(Z175=AB175,"",AC175)))</f>
        <v/>
      </c>
      <c r="AF175" s="270" t="str">
        <f>IF(Z175="","",IF(Z175=AB175,Y175,""))</f>
        <v/>
      </c>
      <c r="AG175" s="270" t="str">
        <f>IF(Z175="","",IF(Z175=AB175,AC175,""))</f>
        <v/>
      </c>
      <c r="AH175" s="270" t="str">
        <f>IF(Z175="","",IF(Z175&lt;AB175,Y175,IF(Z175=AB175,"",AC175)))</f>
        <v/>
      </c>
      <c r="AI175" s="270" t="str">
        <f>IF(Z175="","",IF(Z175&gt;AB175,Y174,""))</f>
        <v/>
      </c>
      <c r="AJ175" s="270" t="str">
        <f>IF(Z175="","",IF(Z175&lt;AB175,AC174,""))</f>
        <v/>
      </c>
      <c r="AK175" s="270" t="str">
        <f>CONCATENATE(AE175,AH175)</f>
        <v/>
      </c>
      <c r="AL175" s="270"/>
      <c r="AM175" s="270"/>
      <c r="AN175" s="270"/>
      <c r="AO175" s="271"/>
      <c r="AP175" s="270"/>
      <c r="AQ175" s="270"/>
      <c r="AR175" s="270"/>
      <c r="AS175" s="270"/>
      <c r="AT175" s="270"/>
      <c r="AU175" s="270"/>
      <c r="AV175" s="270"/>
      <c r="AW175" s="270"/>
      <c r="AX175" s="270"/>
      <c r="AY175" s="1072"/>
      <c r="AZ175" s="270"/>
      <c r="BA175" s="270"/>
      <c r="BB175" s="1072"/>
      <c r="BC175" s="270"/>
      <c r="BD175" s="270"/>
      <c r="BE175" s="270"/>
      <c r="BF175" s="270"/>
      <c r="BG175" s="270"/>
      <c r="BH175" s="270"/>
      <c r="BI175" s="270"/>
      <c r="BJ175" s="270"/>
      <c r="BK175" s="270"/>
      <c r="BL175" s="270"/>
      <c r="BM175" s="270"/>
      <c r="BN175" s="270"/>
      <c r="BO175" s="270"/>
      <c r="BP175" s="270"/>
      <c r="BQ175" s="270"/>
      <c r="BR175" s="270"/>
      <c r="BS175" s="270"/>
      <c r="BT175" s="270"/>
      <c r="BU175" s="270"/>
      <c r="BV175" s="270"/>
      <c r="BW175" s="270"/>
      <c r="BX175" s="270"/>
      <c r="BY175" s="270"/>
      <c r="BZ175" s="270"/>
      <c r="CA175" s="270"/>
      <c r="CB175" s="270"/>
      <c r="CC175" s="270"/>
      <c r="CD175" s="270"/>
      <c r="CE175" s="1395"/>
      <c r="CF175" s="1450"/>
      <c r="CG175" s="1450"/>
      <c r="CH175" s="270"/>
      <c r="CI175" s="270"/>
      <c r="CJ175" s="270"/>
      <c r="CK175" s="270"/>
      <c r="CL175" s="270"/>
      <c r="CM175" s="270"/>
    </row>
    <row r="176" spans="1:91" ht="13.5" hidden="1" outlineLevel="3" thickBot="1" x14ac:dyDescent="0.25">
      <c r="A176" s="270"/>
      <c r="B176" s="271"/>
      <c r="C176" s="12"/>
      <c r="D176" s="1071"/>
      <c r="E176" s="1071"/>
      <c r="F176" s="1071"/>
      <c r="G176" s="626"/>
      <c r="H176" s="271"/>
      <c r="I176" s="270"/>
      <c r="J176" s="270"/>
      <c r="K176" s="270"/>
      <c r="L176" s="270"/>
      <c r="M176" s="270"/>
      <c r="N176" s="270"/>
      <c r="O176" s="270"/>
      <c r="P176" s="1072"/>
      <c r="Q176" s="270"/>
      <c r="R176" s="270"/>
      <c r="S176" s="1072"/>
      <c r="T176" s="270"/>
      <c r="U176" s="1019"/>
      <c r="V176" s="1118"/>
      <c r="W176" s="618"/>
      <c r="X176" s="618"/>
      <c r="Y176" s="1141"/>
      <c r="Z176" s="492"/>
      <c r="AA176" s="493" t="s">
        <v>769</v>
      </c>
      <c r="AB176" s="1069"/>
      <c r="AC176" s="1142"/>
      <c r="AD176" s="839"/>
      <c r="AE176" s="270" t="str">
        <f>IF(Z176="","",IF(Z176&gt;AB176,Y176,IF(Z176=AB176,"",AC176)))</f>
        <v/>
      </c>
      <c r="AF176" s="270" t="str">
        <f>IF(Z176="","",IF(Z176=AB176,Y176,""))</f>
        <v/>
      </c>
      <c r="AG176" s="270" t="str">
        <f>IF(Z176="","",IF(Z176=AB176,AC176,""))</f>
        <v/>
      </c>
      <c r="AH176" s="270" t="str">
        <f>IF(Z176="","",IF(Z176&lt;AB176,Y176,IF(Z176=AB176,"",AC176)))</f>
        <v/>
      </c>
      <c r="AI176" s="270" t="str">
        <f>IF(Z176="","",IF(Z176&gt;AB176,Y174,""))</f>
        <v/>
      </c>
      <c r="AJ176" s="270" t="str">
        <f>IF(Z176="","",IF(Z176&lt;AB176,AC174,""))</f>
        <v/>
      </c>
      <c r="AK176" s="270" t="str">
        <f>CONCATENATE(AE176,AH176)</f>
        <v/>
      </c>
      <c r="AL176" s="270"/>
      <c r="AM176" s="270"/>
      <c r="AN176" s="270"/>
      <c r="AO176" s="271"/>
      <c r="AP176" s="270"/>
      <c r="AQ176" s="270"/>
      <c r="AR176" s="270"/>
      <c r="AS176" s="270"/>
      <c r="AT176" s="270"/>
      <c r="AU176" s="270"/>
      <c r="AV176" s="270"/>
      <c r="AW176" s="270"/>
      <c r="AX176" s="270"/>
      <c r="AY176" s="1072"/>
      <c r="AZ176" s="270"/>
      <c r="BA176" s="270"/>
      <c r="BB176" s="1072"/>
      <c r="BC176" s="270"/>
      <c r="BD176" s="270"/>
      <c r="BE176" s="270"/>
      <c r="BF176" s="270"/>
      <c r="BG176" s="270"/>
      <c r="BH176" s="270"/>
      <c r="BI176" s="270"/>
      <c r="BJ176" s="270"/>
      <c r="BK176" s="270"/>
      <c r="BL176" s="270"/>
      <c r="BM176" s="270"/>
      <c r="BN176" s="270"/>
      <c r="BO176" s="270"/>
      <c r="BP176" s="270"/>
      <c r="BQ176" s="270"/>
      <c r="BR176" s="270"/>
      <c r="BS176" s="270"/>
      <c r="BT176" s="270"/>
      <c r="BU176" s="270"/>
      <c r="BV176" s="270"/>
      <c r="BW176" s="270"/>
      <c r="BX176" s="270"/>
      <c r="BY176" s="270"/>
      <c r="BZ176" s="270"/>
      <c r="CA176" s="270"/>
      <c r="CB176" s="270"/>
      <c r="CC176" s="270"/>
      <c r="CD176" s="270"/>
      <c r="CE176" s="1395"/>
      <c r="CF176" s="1450"/>
      <c r="CG176" s="1450"/>
      <c r="CH176" s="270"/>
      <c r="CI176" s="270"/>
      <c r="CJ176" s="270"/>
      <c r="CK176" s="270"/>
      <c r="CL176" s="270"/>
      <c r="CM176" s="270"/>
    </row>
    <row r="177" spans="1:91" ht="13.5" hidden="1" outlineLevel="3" thickBot="1" x14ac:dyDescent="0.25">
      <c r="A177" s="270"/>
      <c r="B177" s="271"/>
      <c r="C177" s="12"/>
      <c r="D177" s="1071"/>
      <c r="E177" s="1071"/>
      <c r="F177" s="1071"/>
      <c r="G177" s="626"/>
      <c r="H177" s="271"/>
      <c r="I177" s="270"/>
      <c r="J177" s="270"/>
      <c r="K177" s="270"/>
      <c r="L177" s="270"/>
      <c r="M177" s="270"/>
      <c r="N177" s="270"/>
      <c r="O177" s="270"/>
      <c r="P177" s="1072"/>
      <c r="Q177" s="270"/>
      <c r="R177" s="270"/>
      <c r="S177" s="1072"/>
      <c r="T177" s="270"/>
      <c r="U177" s="1019"/>
      <c r="V177" s="1118"/>
      <c r="W177" s="618"/>
      <c r="X177" s="618"/>
      <c r="Y177" s="1141"/>
      <c r="Z177" s="492"/>
      <c r="AA177" s="493" t="s">
        <v>769</v>
      </c>
      <c r="AB177" s="1069"/>
      <c r="AC177" s="1142"/>
      <c r="AD177" s="839"/>
      <c r="AE177" s="270" t="str">
        <f>IF(Z177="","",IF(Z177&gt;AB177,Y177,IF(Z177=AB177,"",AC177)))</f>
        <v/>
      </c>
      <c r="AF177" s="270" t="str">
        <f>IF(Z177="","",IF(Z177=AB177,Y177,""))</f>
        <v/>
      </c>
      <c r="AG177" s="270" t="str">
        <f>IF(Z177="","",IF(Z177=AB177,AC177,""))</f>
        <v/>
      </c>
      <c r="AH177" s="270" t="str">
        <f>IF(Z177="","",IF(Z177&lt;AB177,Y177,IF(Z177=AB177,"",AC177)))</f>
        <v/>
      </c>
      <c r="AI177" s="270" t="str">
        <f>IF(Z177="","",IF(Z177&gt;AB177,Y174,""))</f>
        <v/>
      </c>
      <c r="AJ177" s="270" t="str">
        <f>IF(Z177="","",IF(Z177&lt;AB177,AC174,""))</f>
        <v/>
      </c>
      <c r="AK177" s="270" t="str">
        <f>CONCATENATE(AE177,AH177)</f>
        <v/>
      </c>
      <c r="AL177" s="270"/>
      <c r="AM177" s="270"/>
      <c r="AN177" s="270"/>
      <c r="AO177" s="271"/>
      <c r="AP177" s="270"/>
      <c r="AQ177" s="270"/>
      <c r="AR177" s="270"/>
      <c r="AS177" s="270"/>
      <c r="AT177" s="270"/>
      <c r="AU177" s="270"/>
      <c r="AV177" s="270"/>
      <c r="AW177" s="270"/>
      <c r="AX177" s="270"/>
      <c r="AY177" s="1072"/>
      <c r="AZ177" s="270"/>
      <c r="BA177" s="270"/>
      <c r="BB177" s="1072"/>
      <c r="BC177" s="270"/>
      <c r="BD177" s="270"/>
      <c r="BE177" s="270"/>
      <c r="BF177" s="270"/>
      <c r="BG177" s="270"/>
      <c r="BH177" s="270"/>
      <c r="BI177" s="270"/>
      <c r="BJ177" s="270"/>
      <c r="BK177" s="270"/>
      <c r="BL177" s="270"/>
      <c r="BM177" s="270"/>
      <c r="BN177" s="270"/>
      <c r="BO177" s="270"/>
      <c r="BP177" s="270"/>
      <c r="BQ177" s="270"/>
      <c r="BR177" s="270"/>
      <c r="BS177" s="270"/>
      <c r="BT177" s="270"/>
      <c r="BU177" s="270"/>
      <c r="BV177" s="270"/>
      <c r="BW177" s="270"/>
      <c r="BX177" s="270"/>
      <c r="BY177" s="270"/>
      <c r="BZ177" s="270"/>
      <c r="CA177" s="270"/>
      <c r="CB177" s="270"/>
      <c r="CC177" s="270"/>
      <c r="CD177" s="270"/>
      <c r="CE177" s="1395"/>
      <c r="CF177" s="1450"/>
      <c r="CG177" s="1450"/>
      <c r="CH177" s="270"/>
      <c r="CI177" s="270"/>
      <c r="CJ177" s="270"/>
      <c r="CK177" s="270"/>
      <c r="CL177" s="270"/>
      <c r="CM177" s="270"/>
    </row>
    <row r="178" spans="1:91" ht="13.5" hidden="1" outlineLevel="3" thickBot="1" x14ac:dyDescent="0.25">
      <c r="A178" s="270"/>
      <c r="B178" s="271"/>
      <c r="C178" s="12"/>
      <c r="D178" s="1071"/>
      <c r="E178" s="1071"/>
      <c r="F178" s="1071"/>
      <c r="G178" s="626"/>
      <c r="H178" s="271"/>
      <c r="I178" s="270"/>
      <c r="J178" s="270"/>
      <c r="K178" s="270"/>
      <c r="L178" s="270"/>
      <c r="M178" s="270"/>
      <c r="N178" s="270"/>
      <c r="O178" s="270"/>
      <c r="P178" s="1072"/>
      <c r="Q178" s="270"/>
      <c r="R178" s="270"/>
      <c r="S178" s="1072"/>
      <c r="T178" s="270"/>
      <c r="U178" s="1019"/>
      <c r="V178" s="1118"/>
      <c r="W178" s="618"/>
      <c r="X178" s="618"/>
      <c r="Y178" s="1141"/>
      <c r="Z178" s="492"/>
      <c r="AA178" s="493" t="s">
        <v>769</v>
      </c>
      <c r="AB178" s="1069"/>
      <c r="AC178" s="1142"/>
      <c r="AD178" s="839"/>
      <c r="AE178" s="270" t="str">
        <f>IF(Z178="","",IF(Z178&gt;AB178,Y178,IF(Z178=AB178,"",AC178)))</f>
        <v/>
      </c>
      <c r="AF178" s="270" t="str">
        <f>IF(Z178="","",IF(Z178=AB178,Y178,""))</f>
        <v/>
      </c>
      <c r="AG178" s="270" t="str">
        <f>IF(Z178="","",IF(Z178=AB178,AC178,""))</f>
        <v/>
      </c>
      <c r="AH178" s="270" t="str">
        <f>IF(Z178="","",IF(Z178&lt;AB178,Y178,IF(Z178=AB178,"",AC178)))</f>
        <v/>
      </c>
      <c r="AI178" s="270" t="str">
        <f>IF(Z178="","",IF(Z178&gt;AB178,Y174,""))</f>
        <v/>
      </c>
      <c r="AJ178" s="270" t="str">
        <f>IF(Z178="","",IF(Z178&lt;AB178,AC174,""))</f>
        <v/>
      </c>
      <c r="AK178" s="270" t="str">
        <f>CONCATENATE(AE178,AH178)</f>
        <v/>
      </c>
      <c r="AL178" s="270"/>
      <c r="AM178" s="270"/>
      <c r="AN178" s="270"/>
      <c r="AO178" s="271"/>
      <c r="AP178" s="270"/>
      <c r="AQ178" s="270"/>
      <c r="AR178" s="270"/>
      <c r="AS178" s="270"/>
      <c r="AT178" s="270"/>
      <c r="AU178" s="270"/>
      <c r="AV178" s="270"/>
      <c r="AW178" s="270"/>
      <c r="AX178" s="270"/>
      <c r="AY178" s="1072"/>
      <c r="AZ178" s="270"/>
      <c r="BA178" s="270"/>
      <c r="BB178" s="1072"/>
      <c r="BC178" s="270"/>
      <c r="BD178" s="270"/>
      <c r="BE178" s="270"/>
      <c r="BF178" s="270"/>
      <c r="BG178" s="270"/>
      <c r="BH178" s="270"/>
      <c r="BI178" s="270"/>
      <c r="BJ178" s="270"/>
      <c r="BK178" s="270"/>
      <c r="BL178" s="270"/>
      <c r="BM178" s="270"/>
      <c r="BN178" s="270"/>
      <c r="BO178" s="270"/>
      <c r="BP178" s="270"/>
      <c r="BQ178" s="270"/>
      <c r="BR178" s="270"/>
      <c r="BS178" s="270"/>
      <c r="BT178" s="270"/>
      <c r="BU178" s="270"/>
      <c r="BV178" s="270"/>
      <c r="BW178" s="270"/>
      <c r="BX178" s="270"/>
      <c r="BY178" s="270"/>
      <c r="BZ178" s="270"/>
      <c r="CA178" s="270"/>
      <c r="CB178" s="270"/>
      <c r="CC178" s="270"/>
      <c r="CD178" s="270"/>
      <c r="CE178" s="1395"/>
      <c r="CF178" s="1450"/>
      <c r="CG178" s="1450"/>
      <c r="CH178" s="270"/>
      <c r="CI178" s="270"/>
      <c r="CJ178" s="270"/>
      <c r="CK178" s="270"/>
      <c r="CL178" s="270"/>
      <c r="CM178" s="270"/>
    </row>
    <row r="179" spans="1:91" ht="13.5" hidden="1" outlineLevel="3" thickBot="1" x14ac:dyDescent="0.25">
      <c r="A179" s="270"/>
      <c r="B179" s="271"/>
      <c r="C179" s="12"/>
      <c r="D179" s="1071"/>
      <c r="E179" s="1071"/>
      <c r="F179" s="1071"/>
      <c r="G179" s="626"/>
      <c r="H179" s="271"/>
      <c r="I179" s="270"/>
      <c r="J179" s="270"/>
      <c r="K179" s="270"/>
      <c r="L179" s="270"/>
      <c r="M179" s="270"/>
      <c r="N179" s="270"/>
      <c r="O179" s="270"/>
      <c r="P179" s="1072"/>
      <c r="Q179" s="270"/>
      <c r="R179" s="270"/>
      <c r="S179" s="1072"/>
      <c r="T179" s="270"/>
      <c r="U179" s="1019"/>
      <c r="V179" s="1073"/>
      <c r="W179" s="1074"/>
      <c r="X179" s="1075" t="str">
        <f>N_Substitute</f>
        <v>Remplaçant</v>
      </c>
      <c r="Y179" s="1141"/>
      <c r="Z179" s="492"/>
      <c r="AA179" s="1076"/>
      <c r="AB179" s="1069"/>
      <c r="AC179" s="1142"/>
      <c r="AD179" s="839"/>
      <c r="AE179" s="270"/>
      <c r="AF179" s="270"/>
      <c r="AG179" s="270"/>
      <c r="AH179" s="270"/>
      <c r="AI179" s="270"/>
      <c r="AJ179" s="270"/>
      <c r="AK179" s="270"/>
      <c r="AL179" s="270"/>
      <c r="AM179" s="270"/>
      <c r="AN179" s="270"/>
      <c r="AO179" s="271"/>
      <c r="AP179" s="270"/>
      <c r="AQ179" s="270"/>
      <c r="AR179" s="270"/>
      <c r="AS179" s="270"/>
      <c r="AT179" s="270"/>
      <c r="AU179" s="270"/>
      <c r="AV179" s="270"/>
      <c r="AW179" s="270"/>
      <c r="AX179" s="270"/>
      <c r="AY179" s="1072"/>
      <c r="AZ179" s="270"/>
      <c r="BA179" s="270"/>
      <c r="BB179" s="1072"/>
      <c r="BC179" s="270"/>
      <c r="BD179" s="270"/>
      <c r="BE179" s="270"/>
      <c r="BF179" s="270"/>
      <c r="BG179" s="270"/>
      <c r="BH179" s="270"/>
      <c r="BI179" s="270"/>
      <c r="BJ179" s="270"/>
      <c r="BK179" s="270"/>
      <c r="BL179" s="270"/>
      <c r="BM179" s="270"/>
      <c r="BN179" s="270"/>
      <c r="BO179" s="270"/>
      <c r="BP179" s="270"/>
      <c r="BQ179" s="270"/>
      <c r="BR179" s="270"/>
      <c r="BS179" s="270"/>
      <c r="BT179" s="270"/>
      <c r="BU179" s="270"/>
      <c r="BV179" s="270"/>
      <c r="BW179" s="270"/>
      <c r="BX179" s="270"/>
      <c r="BY179" s="270"/>
      <c r="BZ179" s="270"/>
      <c r="CA179" s="270"/>
      <c r="CB179" s="270"/>
      <c r="CC179" s="270"/>
      <c r="CD179" s="270"/>
      <c r="CE179" s="1395"/>
      <c r="CF179" s="1450"/>
      <c r="CG179" s="1450"/>
      <c r="CH179" s="270"/>
      <c r="CI179" s="270"/>
      <c r="CJ179" s="270"/>
      <c r="CK179" s="270"/>
      <c r="CL179" s="270"/>
      <c r="CM179" s="270"/>
    </row>
    <row r="180" spans="1:91" ht="13.5" hidden="1" outlineLevel="3" thickBot="1" x14ac:dyDescent="0.25">
      <c r="A180" s="270"/>
      <c r="B180" s="271"/>
      <c r="C180" s="12"/>
      <c r="D180" s="1071"/>
      <c r="E180" s="1071"/>
      <c r="F180" s="1071"/>
      <c r="G180" s="626"/>
      <c r="H180" s="271"/>
      <c r="I180" s="270"/>
      <c r="J180" s="270"/>
      <c r="K180" s="270"/>
      <c r="L180" s="270"/>
      <c r="M180" s="270"/>
      <c r="N180" s="270"/>
      <c r="O180" s="270"/>
      <c r="P180" s="1072"/>
      <c r="Q180" s="270"/>
      <c r="R180" s="270"/>
      <c r="S180" s="1072"/>
      <c r="T180" s="270"/>
      <c r="U180" s="1019"/>
      <c r="V180" s="1119"/>
      <c r="W180" s="1120"/>
      <c r="X180" s="1075" t="str">
        <f>N_Substitute</f>
        <v>Remplaçant</v>
      </c>
      <c r="Y180" s="1141"/>
      <c r="Z180" s="492"/>
      <c r="AA180" s="1121"/>
      <c r="AB180" s="1069"/>
      <c r="AC180" s="1142"/>
      <c r="AD180" s="839"/>
      <c r="AE180" s="270"/>
      <c r="AF180" s="270"/>
      <c r="AG180" s="270"/>
      <c r="AH180" s="270"/>
      <c r="AI180" s="270"/>
      <c r="AJ180" s="270"/>
      <c r="AK180" s="270"/>
      <c r="AL180" s="270"/>
      <c r="AM180" s="270"/>
      <c r="AN180" s="270"/>
      <c r="AO180" s="271"/>
      <c r="AP180" s="270"/>
      <c r="AQ180" s="270"/>
      <c r="AR180" s="270"/>
      <c r="AS180" s="270"/>
      <c r="AT180" s="270"/>
      <c r="AU180" s="270"/>
      <c r="AV180" s="270"/>
      <c r="AW180" s="270"/>
      <c r="AX180" s="270"/>
      <c r="AY180" s="1072"/>
      <c r="AZ180" s="270"/>
      <c r="BA180" s="270"/>
      <c r="BB180" s="1072"/>
      <c r="BC180" s="270"/>
      <c r="BD180" s="270"/>
      <c r="BE180" s="270"/>
      <c r="BF180" s="270"/>
      <c r="BG180" s="270"/>
      <c r="BH180" s="270"/>
      <c r="BI180" s="270"/>
      <c r="BJ180" s="270"/>
      <c r="BK180" s="270"/>
      <c r="BL180" s="270"/>
      <c r="BM180" s="270"/>
      <c r="BN180" s="270"/>
      <c r="BO180" s="270"/>
      <c r="BP180" s="270"/>
      <c r="BQ180" s="270"/>
      <c r="BR180" s="270"/>
      <c r="BS180" s="270"/>
      <c r="BT180" s="270"/>
      <c r="BU180" s="270"/>
      <c r="BV180" s="270"/>
      <c r="BW180" s="270"/>
      <c r="BX180" s="270"/>
      <c r="BY180" s="270"/>
      <c r="BZ180" s="270"/>
      <c r="CA180" s="270"/>
      <c r="CB180" s="270"/>
      <c r="CC180" s="270"/>
      <c r="CD180" s="270"/>
      <c r="CE180" s="1395"/>
      <c r="CF180" s="1450"/>
      <c r="CG180" s="1450"/>
      <c r="CH180" s="270"/>
      <c r="CI180" s="270"/>
      <c r="CJ180" s="270"/>
      <c r="CK180" s="270"/>
      <c r="CL180" s="270"/>
      <c r="CM180" s="270"/>
    </row>
    <row r="181" spans="1:91" ht="13.5" outlineLevel="2" collapsed="1" thickBot="1" x14ac:dyDescent="0.25">
      <c r="A181" s="270"/>
      <c r="B181" s="271"/>
      <c r="C181" s="270"/>
      <c r="D181" s="270"/>
      <c r="E181" s="270"/>
      <c r="F181" s="270"/>
      <c r="G181" s="271"/>
      <c r="H181" s="270"/>
      <c r="I181" s="270"/>
      <c r="J181" s="270"/>
      <c r="K181" s="270"/>
      <c r="L181" s="270"/>
      <c r="M181" s="270"/>
      <c r="N181" s="270"/>
      <c r="O181" s="270"/>
      <c r="P181" s="270"/>
      <c r="Q181" s="270"/>
      <c r="R181" s="270"/>
      <c r="S181" s="270"/>
      <c r="T181" s="270"/>
      <c r="U181" s="1019" t="s">
        <v>1728</v>
      </c>
      <c r="V181" s="1122"/>
      <c r="W181" s="618"/>
      <c r="X181" s="618"/>
      <c r="Y181" s="1143" t="str">
        <f>IF(G144="","",G144)</f>
        <v>Eq5</v>
      </c>
      <c r="Z181" s="1123" t="str">
        <f>IF(OR(ISNUMBER(Z182),ISNUMBER(Z183),ISNUMBER(Z184),ISNUMBER(Z185)),4-COUNTBLANK(AI182:AI185),"")</f>
        <v/>
      </c>
      <c r="AA181" s="1124" t="s">
        <v>769</v>
      </c>
      <c r="AB181" s="1125" t="str">
        <f>IF(OR(ISNUMBER(Z182),ISNUMBER(Z183),ISNUMBER(Z184),ISNUMBER(Z185)),4-COUNTBLANK(AJ182:AJ185),"")</f>
        <v/>
      </c>
      <c r="AC181" s="1144" t="str">
        <f>IF(G141="","",G141)</f>
        <v>Eq2</v>
      </c>
      <c r="AD181" s="839"/>
      <c r="AE181" s="270" t="str">
        <f>IF(Z181="","",IF(Z181&gt;AB181,Y181,IF(Z181=AB181,IF(NoDrawWithWithdraw,IF(AL181=Y181,AC181,IF(AL181=AC181,Y181,"")),""),AC181)))</f>
        <v/>
      </c>
      <c r="AF181" s="270" t="str">
        <f>IF(Z181="","",IF(Z181=AB181,IF(NoDrawWithWithdraw,IF(AL181=Y181,"",IF(AL181=AC181,"",Y181)),Y181),""))</f>
        <v/>
      </c>
      <c r="AG181" s="270" t="str">
        <f>IF(Z181="","",IF(Z181=AB181,IF(NoDrawWithWithdraw,IF(AL181=Y181,"",IF(AL181=AC181,"",AC181)),AC181),""))</f>
        <v/>
      </c>
      <c r="AH181" s="270" t="str">
        <f>IF(Z181="","",IF(Z181&lt;AB181,Y181,IF(Z181=AB181,IF(NoDrawWithWithdraw,IF(AL181=Y181,Y181,IF(AL181=AC181,AC181,"")),""),AC181)))</f>
        <v/>
      </c>
      <c r="AI181" s="270" t="str">
        <f>IF(Z181="","",SUM(Z182:Z185))</f>
        <v/>
      </c>
      <c r="AJ181" s="270" t="str">
        <f>IF(Z181="","",SUM(AB182:AB185))</f>
        <v/>
      </c>
      <c r="AK181" s="270" t="str">
        <f>CONCATENATE(AE181,AH181)</f>
        <v/>
      </c>
      <c r="AL181" s="270" t="str">
        <f>IF(COUNTIF(Y182:Y185,WithdrawLabel)&gt;COUNTIF(AC182:AC185,WithdrawLabel),Y181,IF(COUNTIF(AC182:AC185,WithdrawLabel)&gt;COUNTIF(Y182:Y185,WithdrawLabel),AC181,""))</f>
        <v/>
      </c>
      <c r="AM181" s="270"/>
      <c r="AN181" s="270"/>
      <c r="AO181" s="575"/>
      <c r="AP181" s="270"/>
      <c r="AQ181" s="270"/>
      <c r="AR181" s="270"/>
      <c r="AS181" s="270"/>
      <c r="AT181" s="270"/>
      <c r="AU181" s="270"/>
      <c r="AV181" s="270"/>
      <c r="AW181" s="270"/>
      <c r="AX181" s="270"/>
      <c r="AY181" s="270"/>
      <c r="AZ181" s="270"/>
      <c r="BA181" s="270"/>
      <c r="BB181" s="270"/>
      <c r="BC181" s="270"/>
      <c r="BD181" s="270"/>
      <c r="BE181" s="270"/>
      <c r="BF181" s="270"/>
      <c r="BG181" s="270"/>
      <c r="BH181" s="270"/>
      <c r="BI181" s="270"/>
      <c r="BJ181" s="270"/>
      <c r="BK181" s="270"/>
      <c r="BL181" s="270"/>
      <c r="BM181" s="270"/>
      <c r="BN181" s="270"/>
      <c r="BO181" s="270"/>
      <c r="BP181" s="270"/>
      <c r="BQ181" s="270"/>
      <c r="BR181" s="270"/>
      <c r="BS181" s="270"/>
      <c r="BT181" s="270"/>
      <c r="BU181" s="270"/>
      <c r="BV181" s="270"/>
      <c r="BW181" s="270"/>
      <c r="BX181" s="270"/>
      <c r="BY181" s="270"/>
      <c r="BZ181" s="270"/>
      <c r="CA181" s="270"/>
      <c r="CB181" s="270"/>
      <c r="CC181" s="270"/>
      <c r="CD181" s="270"/>
      <c r="CE181" s="1395"/>
      <c r="CF181" s="1450"/>
      <c r="CG181" s="1450"/>
      <c r="CH181" s="270"/>
      <c r="CI181" s="270"/>
      <c r="CJ181" s="270"/>
      <c r="CK181" s="270"/>
      <c r="CL181" s="270"/>
      <c r="CM181" s="270"/>
    </row>
    <row r="182" spans="1:91" ht="13.5" hidden="1" outlineLevel="3" thickBot="1" x14ac:dyDescent="0.25">
      <c r="A182" s="270"/>
      <c r="B182" s="271"/>
      <c r="C182" s="270"/>
      <c r="D182" s="270"/>
      <c r="E182" s="270"/>
      <c r="F182" s="270"/>
      <c r="G182" s="271"/>
      <c r="H182" s="270"/>
      <c r="I182" s="270"/>
      <c r="J182" s="270"/>
      <c r="K182" s="270"/>
      <c r="L182" s="270"/>
      <c r="M182" s="270"/>
      <c r="N182" s="270"/>
      <c r="O182" s="270"/>
      <c r="P182" s="270"/>
      <c r="Q182" s="270"/>
      <c r="R182" s="270"/>
      <c r="S182" s="270"/>
      <c r="T182" s="270"/>
      <c r="U182" s="1019"/>
      <c r="V182" s="1118"/>
      <c r="W182" s="618"/>
      <c r="X182" s="618"/>
      <c r="Y182" s="1141"/>
      <c r="Z182" s="492"/>
      <c r="AA182" s="493" t="s">
        <v>769</v>
      </c>
      <c r="AB182" s="1069"/>
      <c r="AC182" s="1142"/>
      <c r="AD182" s="839"/>
      <c r="AE182" s="270" t="str">
        <f>IF(Z182="","",IF(Z182&gt;AB182,Y182,IF(Z182=AB182,"",AC182)))</f>
        <v/>
      </c>
      <c r="AF182" s="270" t="str">
        <f>IF(Z182="","",IF(Z182=AB182,Y182,""))</f>
        <v/>
      </c>
      <c r="AG182" s="270" t="str">
        <f>IF(Z182="","",IF(Z182=AB182,AC182,""))</f>
        <v/>
      </c>
      <c r="AH182" s="270" t="str">
        <f>IF(Z182="","",IF(Z182&lt;AB182,Y182,IF(Z182=AB182,"",AC182)))</f>
        <v/>
      </c>
      <c r="AI182" s="270" t="str">
        <f>IF(Z182="","",IF(Z182&gt;AB182,Y181,""))</f>
        <v/>
      </c>
      <c r="AJ182" s="270" t="str">
        <f>IF(Z182="","",IF(Z182&lt;AB182,AC181,""))</f>
        <v/>
      </c>
      <c r="AK182" s="270" t="str">
        <f>CONCATENATE(AE182,AH182)</f>
        <v/>
      </c>
      <c r="AL182" s="270"/>
      <c r="AM182" s="270"/>
      <c r="AN182" s="270"/>
      <c r="AO182" s="575"/>
      <c r="AP182" s="270"/>
      <c r="AQ182" s="270"/>
      <c r="AR182" s="270"/>
      <c r="AS182" s="270"/>
      <c r="AT182" s="270"/>
      <c r="AU182" s="270"/>
      <c r="AV182" s="270"/>
      <c r="AW182" s="270"/>
      <c r="AX182" s="270"/>
      <c r="AY182" s="270"/>
      <c r="AZ182" s="270"/>
      <c r="BA182" s="270"/>
      <c r="BB182" s="270"/>
      <c r="BC182" s="270"/>
      <c r="BD182" s="270"/>
      <c r="BE182" s="270"/>
      <c r="BF182" s="270"/>
      <c r="BG182" s="270"/>
      <c r="BH182" s="270"/>
      <c r="BI182" s="270"/>
      <c r="BJ182" s="270"/>
      <c r="BK182" s="270"/>
      <c r="BL182" s="270"/>
      <c r="BM182" s="270"/>
      <c r="BN182" s="270"/>
      <c r="BO182" s="270"/>
      <c r="BP182" s="270"/>
      <c r="BQ182" s="270"/>
      <c r="BR182" s="270"/>
      <c r="BS182" s="270"/>
      <c r="BT182" s="270"/>
      <c r="BU182" s="270"/>
      <c r="BV182" s="270"/>
      <c r="BW182" s="270"/>
      <c r="BX182" s="270"/>
      <c r="BY182" s="270"/>
      <c r="BZ182" s="270"/>
      <c r="CA182" s="270"/>
      <c r="CB182" s="270"/>
      <c r="CC182" s="270"/>
      <c r="CD182" s="270"/>
      <c r="CE182" s="1395"/>
      <c r="CF182" s="1450"/>
      <c r="CG182" s="1450"/>
      <c r="CH182" s="270"/>
      <c r="CI182" s="270"/>
      <c r="CJ182" s="270"/>
      <c r="CK182" s="270"/>
      <c r="CL182" s="270"/>
      <c r="CM182" s="270"/>
    </row>
    <row r="183" spans="1:91" ht="13.5" hidden="1" outlineLevel="3" thickBot="1" x14ac:dyDescent="0.25">
      <c r="A183" s="270"/>
      <c r="B183" s="271"/>
      <c r="C183" s="270"/>
      <c r="D183" s="270"/>
      <c r="E183" s="270"/>
      <c r="F183" s="270"/>
      <c r="G183" s="271"/>
      <c r="H183" s="270"/>
      <c r="I183" s="270"/>
      <c r="J183" s="270"/>
      <c r="K183" s="270"/>
      <c r="L183" s="270"/>
      <c r="M183" s="270"/>
      <c r="N183" s="270"/>
      <c r="O183" s="270"/>
      <c r="P183" s="270"/>
      <c r="Q183" s="270"/>
      <c r="R183" s="270"/>
      <c r="S183" s="270"/>
      <c r="T183" s="270"/>
      <c r="U183" s="1019"/>
      <c r="V183" s="1118"/>
      <c r="W183" s="618"/>
      <c r="X183" s="618"/>
      <c r="Y183" s="1141"/>
      <c r="Z183" s="492"/>
      <c r="AA183" s="493" t="s">
        <v>769</v>
      </c>
      <c r="AB183" s="1069"/>
      <c r="AC183" s="1142"/>
      <c r="AD183" s="839"/>
      <c r="AE183" s="270" t="str">
        <f>IF(Z183="","",IF(Z183&gt;AB183,Y183,IF(Z183=AB183,"",AC183)))</f>
        <v/>
      </c>
      <c r="AF183" s="270" t="str">
        <f>IF(Z183="","",IF(Z183=AB183,Y183,""))</f>
        <v/>
      </c>
      <c r="AG183" s="270" t="str">
        <f>IF(Z183="","",IF(Z183=AB183,AC183,""))</f>
        <v/>
      </c>
      <c r="AH183" s="270" t="str">
        <f>IF(Z183="","",IF(Z183&lt;AB183,Y183,IF(Z183=AB183,"",AC183)))</f>
        <v/>
      </c>
      <c r="AI183" s="270" t="str">
        <f>IF(Z183="","",IF(Z183&gt;AB183,Y181,""))</f>
        <v/>
      </c>
      <c r="AJ183" s="270" t="str">
        <f>IF(Z183="","",IF(Z183&lt;AB183,AC181,""))</f>
        <v/>
      </c>
      <c r="AK183" s="270" t="str">
        <f>CONCATENATE(AE183,AH183)</f>
        <v/>
      </c>
      <c r="AL183" s="270"/>
      <c r="AM183" s="270"/>
      <c r="AN183" s="270"/>
      <c r="AO183" s="575"/>
      <c r="AP183" s="270"/>
      <c r="AQ183" s="270"/>
      <c r="AR183" s="270"/>
      <c r="AS183" s="270"/>
      <c r="AT183" s="270"/>
      <c r="AU183" s="270"/>
      <c r="AV183" s="270"/>
      <c r="AW183" s="270"/>
      <c r="AX183" s="270"/>
      <c r="AY183" s="270"/>
      <c r="AZ183" s="270"/>
      <c r="BA183" s="270"/>
      <c r="BB183" s="270"/>
      <c r="BC183" s="270"/>
      <c r="BD183" s="270"/>
      <c r="BE183" s="270"/>
      <c r="BF183" s="270"/>
      <c r="BG183" s="270"/>
      <c r="BH183" s="270"/>
      <c r="BI183" s="270"/>
      <c r="BJ183" s="270"/>
      <c r="BK183" s="270"/>
      <c r="BL183" s="270"/>
      <c r="BM183" s="270"/>
      <c r="BN183" s="270"/>
      <c r="BO183" s="270"/>
      <c r="BP183" s="270"/>
      <c r="BQ183" s="270"/>
      <c r="BR183" s="270"/>
      <c r="BS183" s="270"/>
      <c r="BT183" s="270"/>
      <c r="BU183" s="270"/>
      <c r="BV183" s="270"/>
      <c r="BW183" s="270"/>
      <c r="BX183" s="270"/>
      <c r="BY183" s="270"/>
      <c r="BZ183" s="270"/>
      <c r="CA183" s="270"/>
      <c r="CB183" s="270"/>
      <c r="CC183" s="270"/>
      <c r="CD183" s="270"/>
      <c r="CE183" s="1395"/>
      <c r="CF183" s="1450"/>
      <c r="CG183" s="1450"/>
      <c r="CH183" s="270"/>
      <c r="CI183" s="270"/>
      <c r="CJ183" s="270"/>
      <c r="CK183" s="270"/>
      <c r="CL183" s="270"/>
      <c r="CM183" s="270"/>
    </row>
    <row r="184" spans="1:91" ht="13.5" hidden="1" outlineLevel="3" thickBot="1" x14ac:dyDescent="0.25">
      <c r="A184" s="270"/>
      <c r="B184" s="271"/>
      <c r="C184" s="270"/>
      <c r="D184" s="270"/>
      <c r="E184" s="270"/>
      <c r="F184" s="270"/>
      <c r="G184" s="271"/>
      <c r="H184" s="270"/>
      <c r="I184" s="270"/>
      <c r="J184" s="270"/>
      <c r="K184" s="270"/>
      <c r="L184" s="270"/>
      <c r="M184" s="270"/>
      <c r="N184" s="270"/>
      <c r="O184" s="270"/>
      <c r="P184" s="270"/>
      <c r="Q184" s="270"/>
      <c r="R184" s="270"/>
      <c r="S184" s="270"/>
      <c r="T184" s="270"/>
      <c r="U184" s="1019"/>
      <c r="V184" s="1118"/>
      <c r="W184" s="618"/>
      <c r="X184" s="618"/>
      <c r="Y184" s="1141"/>
      <c r="Z184" s="492"/>
      <c r="AA184" s="493" t="s">
        <v>769</v>
      </c>
      <c r="AB184" s="1069"/>
      <c r="AC184" s="1142"/>
      <c r="AD184" s="839"/>
      <c r="AE184" s="270" t="str">
        <f>IF(Z184="","",IF(Z184&gt;AB184,Y184,IF(Z184=AB184,"",AC184)))</f>
        <v/>
      </c>
      <c r="AF184" s="270" t="str">
        <f>IF(Z184="","",IF(Z184=AB184,Y184,""))</f>
        <v/>
      </c>
      <c r="AG184" s="270" t="str">
        <f>IF(Z184="","",IF(Z184=AB184,AC184,""))</f>
        <v/>
      </c>
      <c r="AH184" s="270" t="str">
        <f>IF(Z184="","",IF(Z184&lt;AB184,Y184,IF(Z184=AB184,"",AC184)))</f>
        <v/>
      </c>
      <c r="AI184" s="270" t="str">
        <f>IF(Z184="","",IF(Z184&gt;AB184,Y181,""))</f>
        <v/>
      </c>
      <c r="AJ184" s="270" t="str">
        <f>IF(Z184="","",IF(Z184&lt;AB184,AC181,""))</f>
        <v/>
      </c>
      <c r="AK184" s="270" t="str">
        <f>CONCATENATE(AE184,AH184)</f>
        <v/>
      </c>
      <c r="AL184" s="270"/>
      <c r="AM184" s="270"/>
      <c r="AN184" s="270"/>
      <c r="AO184" s="575"/>
      <c r="AP184" s="270"/>
      <c r="AQ184" s="270"/>
      <c r="AR184" s="270"/>
      <c r="AS184" s="270"/>
      <c r="AT184" s="270"/>
      <c r="AU184" s="270"/>
      <c r="AV184" s="270"/>
      <c r="AW184" s="270"/>
      <c r="AX184" s="270"/>
      <c r="AY184" s="270"/>
      <c r="AZ184" s="270"/>
      <c r="BA184" s="270"/>
      <c r="BB184" s="270"/>
      <c r="BC184" s="270"/>
      <c r="BD184" s="270"/>
      <c r="BE184" s="270"/>
      <c r="BF184" s="270"/>
      <c r="BG184" s="270"/>
      <c r="BH184" s="270"/>
      <c r="BI184" s="270"/>
      <c r="BJ184" s="270"/>
      <c r="BK184" s="270"/>
      <c r="BL184" s="270"/>
      <c r="BM184" s="270"/>
      <c r="BN184" s="270"/>
      <c r="BO184" s="270"/>
      <c r="BP184" s="270"/>
      <c r="BQ184" s="270"/>
      <c r="BR184" s="270"/>
      <c r="BS184" s="270"/>
      <c r="BT184" s="270"/>
      <c r="BU184" s="270"/>
      <c r="BV184" s="270"/>
      <c r="BW184" s="270"/>
      <c r="BX184" s="270"/>
      <c r="BY184" s="270"/>
      <c r="BZ184" s="270"/>
      <c r="CA184" s="270"/>
      <c r="CB184" s="270"/>
      <c r="CC184" s="270"/>
      <c r="CD184" s="270"/>
      <c r="CE184" s="1395"/>
      <c r="CF184" s="1450"/>
      <c r="CG184" s="1450"/>
      <c r="CH184" s="270"/>
      <c r="CI184" s="270"/>
      <c r="CJ184" s="270"/>
      <c r="CK184" s="270"/>
      <c r="CL184" s="270"/>
      <c r="CM184" s="270"/>
    </row>
    <row r="185" spans="1:91" ht="13.5" hidden="1" outlineLevel="3" thickBot="1" x14ac:dyDescent="0.25">
      <c r="A185" s="270"/>
      <c r="B185" s="271"/>
      <c r="C185" s="270"/>
      <c r="D185" s="270"/>
      <c r="E185" s="270"/>
      <c r="F185" s="270"/>
      <c r="G185" s="271"/>
      <c r="H185" s="270"/>
      <c r="I185" s="270"/>
      <c r="J185" s="270"/>
      <c r="K185" s="270"/>
      <c r="L185" s="270"/>
      <c r="M185" s="270"/>
      <c r="N185" s="270"/>
      <c r="O185" s="270"/>
      <c r="P185" s="270"/>
      <c r="Q185" s="270"/>
      <c r="R185" s="270"/>
      <c r="S185" s="270"/>
      <c r="T185" s="270"/>
      <c r="U185" s="1019"/>
      <c r="V185" s="1118"/>
      <c r="W185" s="618"/>
      <c r="X185" s="618"/>
      <c r="Y185" s="1141"/>
      <c r="Z185" s="492"/>
      <c r="AA185" s="493" t="s">
        <v>769</v>
      </c>
      <c r="AB185" s="1069"/>
      <c r="AC185" s="1142"/>
      <c r="AD185" s="839"/>
      <c r="AE185" s="270" t="str">
        <f>IF(Z185="","",IF(Z185&gt;AB185,Y185,IF(Z185=AB185,"",AC185)))</f>
        <v/>
      </c>
      <c r="AF185" s="270" t="str">
        <f>IF(Z185="","",IF(Z185=AB185,Y185,""))</f>
        <v/>
      </c>
      <c r="AG185" s="270" t="str">
        <f>IF(Z185="","",IF(Z185=AB185,AC185,""))</f>
        <v/>
      </c>
      <c r="AH185" s="270" t="str">
        <f>IF(Z185="","",IF(Z185&lt;AB185,Y185,IF(Z185=AB185,"",AC185)))</f>
        <v/>
      </c>
      <c r="AI185" s="270" t="str">
        <f>IF(Z185="","",IF(Z185&gt;AB185,Y181,""))</f>
        <v/>
      </c>
      <c r="AJ185" s="270" t="str">
        <f>IF(Z185="","",IF(Z185&lt;AB185,AC181,""))</f>
        <v/>
      </c>
      <c r="AK185" s="270" t="str">
        <f>CONCATENATE(AE185,AH185)</f>
        <v/>
      </c>
      <c r="AL185" s="270"/>
      <c r="AM185" s="270"/>
      <c r="AN185" s="270"/>
      <c r="AO185" s="575"/>
      <c r="AP185" s="270"/>
      <c r="AQ185" s="270"/>
      <c r="AR185" s="270"/>
      <c r="AS185" s="270"/>
      <c r="AT185" s="270"/>
      <c r="AU185" s="270"/>
      <c r="AV185" s="270"/>
      <c r="AW185" s="270"/>
      <c r="AX185" s="270"/>
      <c r="AY185" s="270"/>
      <c r="AZ185" s="270"/>
      <c r="BA185" s="270"/>
      <c r="BB185" s="270"/>
      <c r="BC185" s="270"/>
      <c r="BD185" s="270"/>
      <c r="BE185" s="270"/>
      <c r="BF185" s="270"/>
      <c r="BG185" s="270"/>
      <c r="BH185" s="270"/>
      <c r="BI185" s="270"/>
      <c r="BJ185" s="270"/>
      <c r="BK185" s="270"/>
      <c r="BL185" s="270"/>
      <c r="BM185" s="270"/>
      <c r="BN185" s="270"/>
      <c r="BO185" s="270"/>
      <c r="BP185" s="270"/>
      <c r="BQ185" s="270"/>
      <c r="BR185" s="270"/>
      <c r="BS185" s="270"/>
      <c r="BT185" s="270"/>
      <c r="BU185" s="270"/>
      <c r="BV185" s="270"/>
      <c r="BW185" s="270"/>
      <c r="BX185" s="270"/>
      <c r="BY185" s="270"/>
      <c r="BZ185" s="270"/>
      <c r="CA185" s="270"/>
      <c r="CB185" s="270"/>
      <c r="CC185" s="270"/>
      <c r="CD185" s="270"/>
      <c r="CE185" s="1395"/>
      <c r="CF185" s="1450"/>
      <c r="CG185" s="1450"/>
      <c r="CH185" s="270"/>
      <c r="CI185" s="270"/>
      <c r="CJ185" s="270"/>
      <c r="CK185" s="270"/>
      <c r="CL185" s="270"/>
      <c r="CM185" s="270"/>
    </row>
    <row r="186" spans="1:91" ht="13.5" hidden="1" outlineLevel="3" thickBot="1" x14ac:dyDescent="0.25">
      <c r="A186" s="270"/>
      <c r="B186" s="271"/>
      <c r="C186" s="12"/>
      <c r="D186" s="1071"/>
      <c r="E186" s="1071"/>
      <c r="F186" s="1071"/>
      <c r="G186" s="626"/>
      <c r="H186" s="271"/>
      <c r="I186" s="270"/>
      <c r="J186" s="270"/>
      <c r="K186" s="270"/>
      <c r="L186" s="270"/>
      <c r="M186" s="270"/>
      <c r="N186" s="270"/>
      <c r="O186" s="270"/>
      <c r="P186" s="1072"/>
      <c r="Q186" s="270"/>
      <c r="R186" s="270"/>
      <c r="S186" s="1072"/>
      <c r="T186" s="270"/>
      <c r="U186" s="1019"/>
      <c r="V186" s="1073"/>
      <c r="W186" s="1074"/>
      <c r="X186" s="1075" t="str">
        <f>N_Substitute</f>
        <v>Remplaçant</v>
      </c>
      <c r="Y186" s="1141"/>
      <c r="Z186" s="492"/>
      <c r="AA186" s="1076"/>
      <c r="AB186" s="1069"/>
      <c r="AC186" s="1142"/>
      <c r="AD186" s="839"/>
      <c r="AE186" s="270"/>
      <c r="AF186" s="270"/>
      <c r="AG186" s="270"/>
      <c r="AH186" s="270"/>
      <c r="AI186" s="270"/>
      <c r="AJ186" s="270"/>
      <c r="AK186" s="270"/>
      <c r="AL186" s="270"/>
      <c r="AM186" s="270"/>
      <c r="AN186" s="270"/>
      <c r="AO186" s="271"/>
      <c r="AP186" s="270"/>
      <c r="AQ186" s="270"/>
      <c r="AR186" s="270"/>
      <c r="AS186" s="270"/>
      <c r="AT186" s="270"/>
      <c r="AU186" s="270"/>
      <c r="AV186" s="270"/>
      <c r="AW186" s="270"/>
      <c r="AX186" s="270"/>
      <c r="AY186" s="1072"/>
      <c r="AZ186" s="270"/>
      <c r="BA186" s="270"/>
      <c r="BB186" s="1072"/>
      <c r="BC186" s="270"/>
      <c r="BD186" s="270"/>
      <c r="BE186" s="270"/>
      <c r="BF186" s="270"/>
      <c r="BG186" s="270"/>
      <c r="BH186" s="270"/>
      <c r="BI186" s="270"/>
      <c r="BJ186" s="270"/>
      <c r="BK186" s="270"/>
      <c r="BL186" s="270"/>
      <c r="BM186" s="270"/>
      <c r="BN186" s="270"/>
      <c r="BO186" s="270"/>
      <c r="BP186" s="270"/>
      <c r="BQ186" s="270"/>
      <c r="BR186" s="270"/>
      <c r="BS186" s="270"/>
      <c r="BT186" s="270"/>
      <c r="BU186" s="270"/>
      <c r="BV186" s="270"/>
      <c r="BW186" s="270"/>
      <c r="BX186" s="270"/>
      <c r="BY186" s="270"/>
      <c r="BZ186" s="270"/>
      <c r="CA186" s="270"/>
      <c r="CB186" s="270"/>
      <c r="CC186" s="270"/>
      <c r="CD186" s="270"/>
      <c r="CE186" s="1395"/>
      <c r="CF186" s="1450"/>
      <c r="CG186" s="1450"/>
      <c r="CH186" s="270"/>
      <c r="CI186" s="270"/>
      <c r="CJ186" s="270"/>
      <c r="CK186" s="270"/>
      <c r="CL186" s="270"/>
      <c r="CM186" s="270"/>
    </row>
    <row r="187" spans="1:91" ht="13.5" hidden="1" outlineLevel="3" thickBot="1" x14ac:dyDescent="0.25">
      <c r="A187" s="270"/>
      <c r="B187" s="271"/>
      <c r="C187" s="12"/>
      <c r="D187" s="1071"/>
      <c r="E187" s="1071"/>
      <c r="F187" s="1071"/>
      <c r="G187" s="626"/>
      <c r="H187" s="271"/>
      <c r="I187" s="270"/>
      <c r="J187" s="270"/>
      <c r="K187" s="270"/>
      <c r="L187" s="270"/>
      <c r="M187" s="270"/>
      <c r="N187" s="270"/>
      <c r="O187" s="270"/>
      <c r="P187" s="1072"/>
      <c r="Q187" s="270"/>
      <c r="R187" s="270"/>
      <c r="S187" s="1072"/>
      <c r="T187" s="270"/>
      <c r="U187" s="1019"/>
      <c r="V187" s="1087"/>
      <c r="W187" s="1088"/>
      <c r="X187" s="1089" t="str">
        <f>N_Substitute</f>
        <v>Remplaçant</v>
      </c>
      <c r="Y187" s="1145"/>
      <c r="Z187" s="496"/>
      <c r="AA187" s="1090"/>
      <c r="AB187" s="1091"/>
      <c r="AC187" s="1146"/>
      <c r="AD187" s="839"/>
      <c r="AE187" s="270"/>
      <c r="AF187" s="270"/>
      <c r="AG187" s="270"/>
      <c r="AH187" s="270"/>
      <c r="AI187" s="270"/>
      <c r="AJ187" s="270"/>
      <c r="AK187" s="270"/>
      <c r="AL187" s="270"/>
      <c r="AM187" s="270"/>
      <c r="AN187" s="270"/>
      <c r="AO187" s="271"/>
      <c r="AP187" s="270"/>
      <c r="AQ187" s="270"/>
      <c r="AR187" s="270"/>
      <c r="AS187" s="270"/>
      <c r="AT187" s="270"/>
      <c r="AU187" s="270"/>
      <c r="AV187" s="270"/>
      <c r="AW187" s="270"/>
      <c r="AX187" s="270"/>
      <c r="AY187" s="1072"/>
      <c r="AZ187" s="270"/>
      <c r="BA187" s="270"/>
      <c r="BB187" s="1072"/>
      <c r="BC187" s="270"/>
      <c r="BD187" s="270"/>
      <c r="BE187" s="270"/>
      <c r="BF187" s="270"/>
      <c r="BG187" s="270"/>
      <c r="BH187" s="270"/>
      <c r="BI187" s="270"/>
      <c r="BJ187" s="270"/>
      <c r="BK187" s="270"/>
      <c r="BL187" s="270"/>
      <c r="BM187" s="270"/>
      <c r="BN187" s="270"/>
      <c r="BO187" s="270"/>
      <c r="BP187" s="270"/>
      <c r="BQ187" s="270"/>
      <c r="BR187" s="270"/>
      <c r="BS187" s="270"/>
      <c r="BT187" s="270"/>
      <c r="BU187" s="270"/>
      <c r="BV187" s="270"/>
      <c r="BW187" s="270"/>
      <c r="BX187" s="270"/>
      <c r="BY187" s="270"/>
      <c r="BZ187" s="270"/>
      <c r="CA187" s="270"/>
      <c r="CB187" s="270"/>
      <c r="CC187" s="270"/>
      <c r="CD187" s="270"/>
      <c r="CE187" s="1395"/>
      <c r="CF187" s="1450"/>
      <c r="CG187" s="1450"/>
      <c r="CH187" s="270"/>
      <c r="CI187" s="270"/>
      <c r="CJ187" s="270"/>
      <c r="CK187" s="270"/>
      <c r="CL187" s="270"/>
      <c r="CM187" s="270"/>
    </row>
    <row r="188" spans="1:91" outlineLevel="2" collapsed="1" x14ac:dyDescent="0.2">
      <c r="A188" s="270"/>
      <c r="B188" s="271"/>
      <c r="C188" s="270"/>
      <c r="D188" s="270"/>
      <c r="E188" s="270"/>
      <c r="F188" s="270"/>
      <c r="G188" s="271"/>
      <c r="H188" s="270"/>
      <c r="I188" s="270"/>
      <c r="J188" s="270"/>
      <c r="K188" s="270"/>
      <c r="L188" s="270"/>
      <c r="M188" s="270"/>
      <c r="N188" s="270"/>
      <c r="O188" s="270"/>
      <c r="P188" s="270"/>
      <c r="Q188" s="270"/>
      <c r="R188" s="270"/>
      <c r="S188" s="270"/>
      <c r="T188" s="270"/>
      <c r="U188" s="1019" t="s">
        <v>1729</v>
      </c>
      <c r="V188" s="1117"/>
      <c r="W188" s="617"/>
      <c r="X188" s="617"/>
      <c r="Y188" s="1139" t="str">
        <f>IF(G140="","",G140)</f>
        <v>Eq1</v>
      </c>
      <c r="Z188" s="1063" t="str">
        <f>IF(OR(ISNUMBER(Z189),ISNUMBER(Z190),ISNUMBER(Z191),ISNUMBER(Z192)),4-COUNTBLANK(AI189:AI192),"")</f>
        <v/>
      </c>
      <c r="AA188" s="1064" t="s">
        <v>769</v>
      </c>
      <c r="AB188" s="1063" t="str">
        <f>IF(OR(ISNUMBER(Z189),ISNUMBER(Z190),ISNUMBER(Z191),ISNUMBER(Z192)),4-COUNTBLANK(AJ189:AJ192),"")</f>
        <v/>
      </c>
      <c r="AC188" s="1140" t="str">
        <f>IF(G142="","",G142)</f>
        <v>Eq3</v>
      </c>
      <c r="AD188" s="839"/>
      <c r="AE188" s="270" t="str">
        <f>IF(Z188="","",IF(Z188&gt;AB188,Y188,IF(Z188=AB188,IF(NoDrawWithWithdraw,IF(AL188=Y188,AC188,IF(AL188=AC188,Y188,"")),""),AC188)))</f>
        <v/>
      </c>
      <c r="AF188" s="270" t="str">
        <f>IF(Z188="","",IF(Z188=AB188,IF(NoDrawWithWithdraw,IF(AL188=Y188,"",IF(AL188=AC188,"",Y188)),Y188),""))</f>
        <v/>
      </c>
      <c r="AG188" s="270" t="str">
        <f>IF(Z188="","",IF(Z188=AB188,IF(NoDrawWithWithdraw,IF(AL188=Y188,"",IF(AL188=AC188,"",AC188)),AC188),""))</f>
        <v/>
      </c>
      <c r="AH188" s="270" t="str">
        <f>IF(Z188="","",IF(Z188&lt;AB188,Y188,IF(Z188=AB188,IF(NoDrawWithWithdraw,IF(AL188=Y188,Y188,IF(AL188=AC188,AC188,"")),""),AC188)))</f>
        <v/>
      </c>
      <c r="AI188" s="270" t="str">
        <f>IF(Z188="","",SUM(Z189:Z192))</f>
        <v/>
      </c>
      <c r="AJ188" s="270" t="str">
        <f>IF(Z188="","",SUM(AB189:AB192))</f>
        <v/>
      </c>
      <c r="AK188" s="270" t="str">
        <f>CONCATENATE(AE188,AH188)</f>
        <v/>
      </c>
      <c r="AL188" s="270" t="str">
        <f>IF(COUNTIF(Y189:Y192,WithdrawLabel)&gt;COUNTIF(AC189:AC192,WithdrawLabel),Y188,IF(COUNTIF(AC189:AC192,WithdrawLabel)&gt;COUNTIF(Y189:Y192,WithdrawLabel),AC188,""))</f>
        <v/>
      </c>
      <c r="AM188" s="270"/>
      <c r="AN188" s="270"/>
      <c r="AO188" s="575"/>
      <c r="AP188" s="270"/>
      <c r="AQ188" s="270"/>
      <c r="AR188" s="270"/>
      <c r="AS188" s="270"/>
      <c r="AT188" s="270"/>
      <c r="AU188" s="270"/>
      <c r="AV188" s="270"/>
      <c r="AW188" s="270"/>
      <c r="AX188" s="270"/>
      <c r="AY188" s="270"/>
      <c r="AZ188" s="270"/>
      <c r="BA188" s="270"/>
      <c r="BB188" s="270"/>
      <c r="BC188" s="270"/>
      <c r="BD188" s="270"/>
      <c r="BE188" s="270"/>
      <c r="BF188" s="270"/>
      <c r="BG188" s="270"/>
      <c r="BH188" s="270"/>
      <c r="BI188" s="270"/>
      <c r="BJ188" s="270"/>
      <c r="BK188" s="270"/>
      <c r="BL188" s="270"/>
      <c r="BM188" s="270"/>
      <c r="BN188" s="270"/>
      <c r="BO188" s="270"/>
      <c r="BP188" s="270"/>
      <c r="BQ188" s="270"/>
      <c r="BR188" s="270"/>
      <c r="BS188" s="270"/>
      <c r="BT188" s="270"/>
      <c r="BU188" s="270"/>
      <c r="BV188" s="270"/>
      <c r="BW188" s="270"/>
      <c r="BX188" s="270"/>
      <c r="BY188" s="270"/>
      <c r="BZ188" s="270"/>
      <c r="CA188" s="270"/>
      <c r="CB188" s="270"/>
      <c r="CC188" s="270"/>
      <c r="CD188" s="270"/>
      <c r="CE188" s="1395"/>
      <c r="CF188" s="1450"/>
      <c r="CG188" s="1450"/>
      <c r="CH188" s="270"/>
      <c r="CI188" s="270"/>
      <c r="CJ188" s="270"/>
      <c r="CK188" s="270"/>
      <c r="CL188" s="270"/>
      <c r="CM188" s="270"/>
    </row>
    <row r="189" spans="1:91" ht="13.5" hidden="1" outlineLevel="3" thickBot="1" x14ac:dyDescent="0.25">
      <c r="A189" s="270"/>
      <c r="B189" s="271"/>
      <c r="C189" s="270"/>
      <c r="D189" s="270"/>
      <c r="E189" s="270"/>
      <c r="F189" s="270"/>
      <c r="G189" s="271"/>
      <c r="H189" s="270"/>
      <c r="I189" s="270"/>
      <c r="J189" s="270"/>
      <c r="K189" s="270"/>
      <c r="L189" s="270"/>
      <c r="M189" s="270"/>
      <c r="N189" s="270"/>
      <c r="O189" s="270"/>
      <c r="P189" s="270"/>
      <c r="Q189" s="270"/>
      <c r="R189" s="270"/>
      <c r="S189" s="270"/>
      <c r="T189" s="270"/>
      <c r="U189" s="1019"/>
      <c r="V189" s="1118"/>
      <c r="W189" s="618"/>
      <c r="X189" s="618"/>
      <c r="Y189" s="1141"/>
      <c r="Z189" s="492"/>
      <c r="AA189" s="493" t="s">
        <v>769</v>
      </c>
      <c r="AB189" s="1069"/>
      <c r="AC189" s="1142"/>
      <c r="AD189" s="839"/>
      <c r="AE189" s="270" t="str">
        <f>IF(Z189="","",IF(Z189&gt;AB189,Y189,IF(Z189=AB189,"",AC189)))</f>
        <v/>
      </c>
      <c r="AF189" s="270" t="str">
        <f>IF(Z189="","",IF(Z189=AB189,Y189,""))</f>
        <v/>
      </c>
      <c r="AG189" s="270" t="str">
        <f>IF(Z189="","",IF(Z189=AB189,AC189,""))</f>
        <v/>
      </c>
      <c r="AH189" s="270" t="str">
        <f>IF(Z189="","",IF(Z189&lt;AB189,Y189,IF(Z189=AB189,"",AC189)))</f>
        <v/>
      </c>
      <c r="AI189" s="270" t="str">
        <f>IF(Z189="","",IF(Z189&gt;AB189,Y188,""))</f>
        <v/>
      </c>
      <c r="AJ189" s="270" t="str">
        <f>IF(Z189="","",IF(Z189&lt;AB189,AC188,""))</f>
        <v/>
      </c>
      <c r="AK189" s="270" t="str">
        <f>CONCATENATE(AE189,AH189)</f>
        <v/>
      </c>
      <c r="AL189" s="270"/>
      <c r="AM189" s="270"/>
      <c r="AN189" s="270"/>
      <c r="AO189" s="575"/>
      <c r="AP189" s="270"/>
      <c r="AQ189" s="270"/>
      <c r="AR189" s="270"/>
      <c r="AS189" s="270"/>
      <c r="AT189" s="270"/>
      <c r="AU189" s="270"/>
      <c r="AV189" s="270"/>
      <c r="AW189" s="270"/>
      <c r="AX189" s="270"/>
      <c r="AY189" s="270"/>
      <c r="AZ189" s="270"/>
      <c r="BA189" s="270"/>
      <c r="BB189" s="270"/>
      <c r="BC189" s="270"/>
      <c r="BD189" s="270"/>
      <c r="BE189" s="270"/>
      <c r="BF189" s="270"/>
      <c r="BG189" s="270"/>
      <c r="BH189" s="270"/>
      <c r="BI189" s="270"/>
      <c r="BJ189" s="270"/>
      <c r="BK189" s="270"/>
      <c r="BL189" s="270"/>
      <c r="BM189" s="270"/>
      <c r="BN189" s="270"/>
      <c r="BO189" s="270"/>
      <c r="BP189" s="270"/>
      <c r="BQ189" s="270"/>
      <c r="BR189" s="270"/>
      <c r="BS189" s="270"/>
      <c r="BT189" s="270"/>
      <c r="BU189" s="270"/>
      <c r="BV189" s="270"/>
      <c r="BW189" s="270"/>
      <c r="BX189" s="270"/>
      <c r="BY189" s="270"/>
      <c r="BZ189" s="270"/>
      <c r="CA189" s="270"/>
      <c r="CB189" s="270"/>
      <c r="CC189" s="270"/>
      <c r="CD189" s="270"/>
      <c r="CE189" s="1395"/>
      <c r="CF189" s="1450"/>
      <c r="CG189" s="1450"/>
      <c r="CH189" s="270"/>
      <c r="CI189" s="270"/>
      <c r="CJ189" s="270"/>
      <c r="CK189" s="270"/>
      <c r="CL189" s="270"/>
      <c r="CM189" s="270"/>
    </row>
    <row r="190" spans="1:91" ht="13.5" hidden="1" outlineLevel="3" thickBot="1" x14ac:dyDescent="0.25">
      <c r="A190" s="270"/>
      <c r="B190" s="271"/>
      <c r="C190" s="270"/>
      <c r="D190" s="270"/>
      <c r="E190" s="270"/>
      <c r="F190" s="270"/>
      <c r="G190" s="271"/>
      <c r="H190" s="270"/>
      <c r="I190" s="270"/>
      <c r="J190" s="270"/>
      <c r="K190" s="270"/>
      <c r="L190" s="270"/>
      <c r="M190" s="270"/>
      <c r="N190" s="270"/>
      <c r="O190" s="270"/>
      <c r="P190" s="270"/>
      <c r="Q190" s="270"/>
      <c r="R190" s="270"/>
      <c r="S190" s="270"/>
      <c r="T190" s="270"/>
      <c r="U190" s="1019"/>
      <c r="V190" s="1118"/>
      <c r="W190" s="618"/>
      <c r="X190" s="618"/>
      <c r="Y190" s="1141"/>
      <c r="Z190" s="492"/>
      <c r="AA190" s="493" t="s">
        <v>769</v>
      </c>
      <c r="AB190" s="1069"/>
      <c r="AC190" s="1142"/>
      <c r="AD190" s="839"/>
      <c r="AE190" s="270" t="str">
        <f>IF(Z190="","",IF(Z190&gt;AB190,Y190,IF(Z190=AB190,"",AC190)))</f>
        <v/>
      </c>
      <c r="AF190" s="270" t="str">
        <f>IF(Z190="","",IF(Z190=AB190,Y190,""))</f>
        <v/>
      </c>
      <c r="AG190" s="270" t="str">
        <f>IF(Z190="","",IF(Z190=AB190,AC190,""))</f>
        <v/>
      </c>
      <c r="AH190" s="270" t="str">
        <f>IF(Z190="","",IF(Z190&lt;AB190,Y190,IF(Z190=AB190,"",AC190)))</f>
        <v/>
      </c>
      <c r="AI190" s="270" t="str">
        <f>IF(Z190="","",IF(Z190&gt;AB190,Y188,""))</f>
        <v/>
      </c>
      <c r="AJ190" s="270" t="str">
        <f>IF(Z190="","",IF(Z190&lt;AB190,AC188,""))</f>
        <v/>
      </c>
      <c r="AK190" s="270" t="str">
        <f>CONCATENATE(AE190,AH190)</f>
        <v/>
      </c>
      <c r="AL190" s="270"/>
      <c r="AM190" s="270"/>
      <c r="AN190" s="270"/>
      <c r="AO190" s="575"/>
      <c r="AP190" s="270"/>
      <c r="AQ190" s="270"/>
      <c r="AR190" s="270"/>
      <c r="AS190" s="270"/>
      <c r="AT190" s="270"/>
      <c r="AU190" s="270"/>
      <c r="AV190" s="270"/>
      <c r="AW190" s="270"/>
      <c r="AX190" s="270"/>
      <c r="AY190" s="270"/>
      <c r="AZ190" s="270"/>
      <c r="BA190" s="270"/>
      <c r="BB190" s="270"/>
      <c r="BC190" s="270"/>
      <c r="BD190" s="270"/>
      <c r="BE190" s="270"/>
      <c r="BF190" s="270"/>
      <c r="BG190" s="270"/>
      <c r="BH190" s="270"/>
      <c r="BI190" s="270"/>
      <c r="BJ190" s="270"/>
      <c r="BK190" s="270"/>
      <c r="BL190" s="270"/>
      <c r="BM190" s="270"/>
      <c r="BN190" s="270"/>
      <c r="BO190" s="270"/>
      <c r="BP190" s="270"/>
      <c r="BQ190" s="270"/>
      <c r="BR190" s="270"/>
      <c r="BS190" s="270"/>
      <c r="BT190" s="270"/>
      <c r="BU190" s="270"/>
      <c r="BV190" s="270"/>
      <c r="BW190" s="270"/>
      <c r="BX190" s="270"/>
      <c r="BY190" s="270"/>
      <c r="BZ190" s="270"/>
      <c r="CA190" s="270"/>
      <c r="CB190" s="270"/>
      <c r="CC190" s="270"/>
      <c r="CD190" s="270"/>
      <c r="CE190" s="1395"/>
      <c r="CF190" s="1450"/>
      <c r="CG190" s="1450"/>
      <c r="CH190" s="270"/>
      <c r="CI190" s="270"/>
      <c r="CJ190" s="270"/>
      <c r="CK190" s="270"/>
      <c r="CL190" s="270"/>
      <c r="CM190" s="270"/>
    </row>
    <row r="191" spans="1:91" ht="13.5" hidden="1" outlineLevel="3" thickBot="1" x14ac:dyDescent="0.25">
      <c r="A191" s="270"/>
      <c r="B191" s="271"/>
      <c r="C191" s="270"/>
      <c r="D191" s="270"/>
      <c r="E191" s="270"/>
      <c r="F191" s="270"/>
      <c r="G191" s="271"/>
      <c r="H191" s="270"/>
      <c r="I191" s="270"/>
      <c r="J191" s="270"/>
      <c r="K191" s="270"/>
      <c r="L191" s="270"/>
      <c r="M191" s="270"/>
      <c r="N191" s="270"/>
      <c r="O191" s="270"/>
      <c r="P191" s="270"/>
      <c r="Q191" s="270"/>
      <c r="R191" s="270"/>
      <c r="S191" s="270"/>
      <c r="T191" s="270"/>
      <c r="U191" s="1019"/>
      <c r="V191" s="1118"/>
      <c r="W191" s="618"/>
      <c r="X191" s="618"/>
      <c r="Y191" s="1141"/>
      <c r="Z191" s="492"/>
      <c r="AA191" s="493" t="s">
        <v>769</v>
      </c>
      <c r="AB191" s="1069"/>
      <c r="AC191" s="1142"/>
      <c r="AD191" s="839"/>
      <c r="AE191" s="270" t="str">
        <f>IF(Z191="","",IF(Z191&gt;AB191,Y191,IF(Z191=AB191,"",AC191)))</f>
        <v/>
      </c>
      <c r="AF191" s="270" t="str">
        <f>IF(Z191="","",IF(Z191=AB191,Y191,""))</f>
        <v/>
      </c>
      <c r="AG191" s="270" t="str">
        <f>IF(Z191="","",IF(Z191=AB191,AC191,""))</f>
        <v/>
      </c>
      <c r="AH191" s="270" t="str">
        <f>IF(Z191="","",IF(Z191&lt;AB191,Y191,IF(Z191=AB191,"",AC191)))</f>
        <v/>
      </c>
      <c r="AI191" s="270" t="str">
        <f>IF(Z191="","",IF(Z191&gt;AB191,Y188,""))</f>
        <v/>
      </c>
      <c r="AJ191" s="270" t="str">
        <f>IF(Z191="","",IF(Z191&lt;AB191,AC188,""))</f>
        <v/>
      </c>
      <c r="AK191" s="270" t="str">
        <f>CONCATENATE(AE191,AH191)</f>
        <v/>
      </c>
      <c r="AL191" s="270"/>
      <c r="AM191" s="270"/>
      <c r="AN191" s="270"/>
      <c r="AO191" s="575"/>
      <c r="AP191" s="270"/>
      <c r="AQ191" s="270"/>
      <c r="AR191" s="270"/>
      <c r="AS191" s="270"/>
      <c r="AT191" s="270"/>
      <c r="AU191" s="270"/>
      <c r="AV191" s="270"/>
      <c r="AW191" s="270"/>
      <c r="AX191" s="270"/>
      <c r="AY191" s="270"/>
      <c r="AZ191" s="270"/>
      <c r="BA191" s="270"/>
      <c r="BB191" s="270"/>
      <c r="BC191" s="270"/>
      <c r="BD191" s="270"/>
      <c r="BE191" s="270"/>
      <c r="BF191" s="270"/>
      <c r="BG191" s="270"/>
      <c r="BH191" s="270"/>
      <c r="BI191" s="270"/>
      <c r="BJ191" s="270"/>
      <c r="BK191" s="270"/>
      <c r="BL191" s="270"/>
      <c r="BM191" s="270"/>
      <c r="BN191" s="270"/>
      <c r="BO191" s="270"/>
      <c r="BP191" s="270"/>
      <c r="BQ191" s="270"/>
      <c r="BR191" s="270"/>
      <c r="BS191" s="270"/>
      <c r="BT191" s="270"/>
      <c r="BU191" s="270"/>
      <c r="BV191" s="270"/>
      <c r="BW191" s="270"/>
      <c r="BX191" s="270"/>
      <c r="BY191" s="270"/>
      <c r="BZ191" s="270"/>
      <c r="CA191" s="270"/>
      <c r="CB191" s="270"/>
      <c r="CC191" s="270"/>
      <c r="CD191" s="270"/>
      <c r="CE191" s="1395"/>
      <c r="CF191" s="1450"/>
      <c r="CG191" s="1450"/>
      <c r="CH191" s="270"/>
      <c r="CI191" s="270"/>
      <c r="CJ191" s="270"/>
      <c r="CK191" s="270"/>
      <c r="CL191" s="270"/>
      <c r="CM191" s="270"/>
    </row>
    <row r="192" spans="1:91" ht="13.5" hidden="1" outlineLevel="3" thickBot="1" x14ac:dyDescent="0.25">
      <c r="A192" s="270"/>
      <c r="B192" s="271"/>
      <c r="C192" s="270"/>
      <c r="D192" s="270"/>
      <c r="E192" s="270"/>
      <c r="F192" s="270"/>
      <c r="G192" s="271"/>
      <c r="H192" s="270"/>
      <c r="I192" s="270"/>
      <c r="J192" s="270"/>
      <c r="K192" s="270"/>
      <c r="L192" s="270"/>
      <c r="M192" s="270"/>
      <c r="N192" s="270"/>
      <c r="O192" s="270"/>
      <c r="P192" s="270"/>
      <c r="Q192" s="270"/>
      <c r="R192" s="270"/>
      <c r="S192" s="270"/>
      <c r="T192" s="270"/>
      <c r="U192" s="1019"/>
      <c r="V192" s="1118"/>
      <c r="W192" s="618"/>
      <c r="X192" s="618"/>
      <c r="Y192" s="1141"/>
      <c r="Z192" s="492"/>
      <c r="AA192" s="493" t="s">
        <v>769</v>
      </c>
      <c r="AB192" s="1069"/>
      <c r="AC192" s="1142"/>
      <c r="AD192" s="839"/>
      <c r="AE192" s="270" t="str">
        <f>IF(Z192="","",IF(Z192&gt;AB192,Y192,IF(Z192=AB192,"",AC192)))</f>
        <v/>
      </c>
      <c r="AF192" s="270" t="str">
        <f>IF(Z192="","",IF(Z192=AB192,Y192,""))</f>
        <v/>
      </c>
      <c r="AG192" s="270" t="str">
        <f>IF(Z192="","",IF(Z192=AB192,AC192,""))</f>
        <v/>
      </c>
      <c r="AH192" s="270" t="str">
        <f>IF(Z192="","",IF(Z192&lt;AB192,Y192,IF(Z192=AB192,"",AC192)))</f>
        <v/>
      </c>
      <c r="AI192" s="270" t="str">
        <f>IF(Z192="","",IF(Z192&gt;AB192,Y188,""))</f>
        <v/>
      </c>
      <c r="AJ192" s="270" t="str">
        <f>IF(Z192="","",IF(Z192&lt;AB192,AC188,""))</f>
        <v/>
      </c>
      <c r="AK192" s="270" t="str">
        <f>CONCATENATE(AE192,AH192)</f>
        <v/>
      </c>
      <c r="AL192" s="270"/>
      <c r="AM192" s="270"/>
      <c r="AN192" s="270"/>
      <c r="AO192" s="575"/>
      <c r="AP192" s="270"/>
      <c r="AQ192" s="270"/>
      <c r="AR192" s="270"/>
      <c r="AS192" s="270"/>
      <c r="AT192" s="270"/>
      <c r="AU192" s="270"/>
      <c r="AV192" s="270"/>
      <c r="AW192" s="270"/>
      <c r="AX192" s="270"/>
      <c r="AY192" s="270"/>
      <c r="AZ192" s="270"/>
      <c r="BA192" s="270"/>
      <c r="BB192" s="270"/>
      <c r="BC192" s="270"/>
      <c r="BD192" s="270"/>
      <c r="BE192" s="270"/>
      <c r="BF192" s="270"/>
      <c r="BG192" s="270"/>
      <c r="BH192" s="270"/>
      <c r="BI192" s="270"/>
      <c r="BJ192" s="270"/>
      <c r="BK192" s="270"/>
      <c r="BL192" s="270"/>
      <c r="BM192" s="270"/>
      <c r="BN192" s="270"/>
      <c r="BO192" s="270"/>
      <c r="BP192" s="270"/>
      <c r="BQ192" s="270"/>
      <c r="BR192" s="270"/>
      <c r="BS192" s="270"/>
      <c r="BT192" s="270"/>
      <c r="BU192" s="270"/>
      <c r="BV192" s="270"/>
      <c r="BW192" s="270"/>
      <c r="BX192" s="270"/>
      <c r="BY192" s="270"/>
      <c r="BZ192" s="270"/>
      <c r="CA192" s="270"/>
      <c r="CB192" s="270"/>
      <c r="CC192" s="270"/>
      <c r="CD192" s="270"/>
      <c r="CE192" s="1395"/>
      <c r="CF192" s="1450"/>
      <c r="CG192" s="1450"/>
      <c r="CH192" s="270"/>
      <c r="CI192" s="270"/>
      <c r="CJ192" s="270"/>
      <c r="CK192" s="270"/>
      <c r="CL192" s="270"/>
      <c r="CM192" s="270"/>
    </row>
    <row r="193" spans="1:91" ht="13.5" hidden="1" outlineLevel="3" thickBot="1" x14ac:dyDescent="0.25">
      <c r="A193" s="270"/>
      <c r="B193" s="271"/>
      <c r="C193" s="12"/>
      <c r="D193" s="1071"/>
      <c r="E193" s="1071"/>
      <c r="F193" s="1071"/>
      <c r="G193" s="626"/>
      <c r="H193" s="271"/>
      <c r="I193" s="270"/>
      <c r="J193" s="270"/>
      <c r="K193" s="270"/>
      <c r="L193" s="270"/>
      <c r="M193" s="270"/>
      <c r="N193" s="270"/>
      <c r="O193" s="270"/>
      <c r="P193" s="1072"/>
      <c r="Q193" s="270"/>
      <c r="R193" s="270"/>
      <c r="S193" s="1072"/>
      <c r="T193" s="270"/>
      <c r="U193" s="1019"/>
      <c r="V193" s="1073"/>
      <c r="W193" s="1074"/>
      <c r="X193" s="1075" t="str">
        <f>N_Substitute</f>
        <v>Remplaçant</v>
      </c>
      <c r="Y193" s="1141"/>
      <c r="Z193" s="1081"/>
      <c r="AA193" s="1076"/>
      <c r="AB193" s="1083"/>
      <c r="AC193" s="1142"/>
      <c r="AD193" s="839"/>
      <c r="AE193" s="270"/>
      <c r="AF193" s="270"/>
      <c r="AG193" s="270"/>
      <c r="AH193" s="270"/>
      <c r="AI193" s="270"/>
      <c r="AJ193" s="270"/>
      <c r="AK193" s="270"/>
      <c r="AL193" s="270"/>
      <c r="AM193" s="270"/>
      <c r="AN193" s="270"/>
      <c r="AO193" s="271"/>
      <c r="AP193" s="270"/>
      <c r="AQ193" s="270"/>
      <c r="AR193" s="270"/>
      <c r="AS193" s="270"/>
      <c r="AT193" s="270"/>
      <c r="AU193" s="270"/>
      <c r="AV193" s="270"/>
      <c r="AW193" s="270"/>
      <c r="AX193" s="270"/>
      <c r="AY193" s="1072"/>
      <c r="AZ193" s="270"/>
      <c r="BA193" s="270"/>
      <c r="BB193" s="1072"/>
      <c r="BC193" s="270"/>
      <c r="BD193" s="270"/>
      <c r="BE193" s="270"/>
      <c r="BF193" s="270"/>
      <c r="BG193" s="270"/>
      <c r="BH193" s="270"/>
      <c r="BI193" s="270"/>
      <c r="BJ193" s="270"/>
      <c r="BK193" s="270"/>
      <c r="BL193" s="270"/>
      <c r="BM193" s="270"/>
      <c r="BN193" s="270"/>
      <c r="BO193" s="270"/>
      <c r="BP193" s="270"/>
      <c r="BQ193" s="270"/>
      <c r="BR193" s="270"/>
      <c r="BS193" s="270"/>
      <c r="BT193" s="270"/>
      <c r="BU193" s="270"/>
      <c r="BV193" s="270"/>
      <c r="BW193" s="270"/>
      <c r="BX193" s="270"/>
      <c r="BY193" s="270"/>
      <c r="BZ193" s="270"/>
      <c r="CA193" s="270"/>
      <c r="CB193" s="270"/>
      <c r="CC193" s="270"/>
      <c r="CD193" s="270"/>
      <c r="CE193" s="1395"/>
      <c r="CF193" s="1450"/>
      <c r="CG193" s="1450"/>
      <c r="CH193" s="270"/>
      <c r="CI193" s="270"/>
      <c r="CJ193" s="270"/>
      <c r="CK193" s="270"/>
      <c r="CL193" s="270"/>
      <c r="CM193" s="270"/>
    </row>
    <row r="194" spans="1:91" ht="13.5" hidden="1" outlineLevel="3" thickBot="1" x14ac:dyDescent="0.25">
      <c r="A194" s="270"/>
      <c r="B194" s="271"/>
      <c r="C194" s="12"/>
      <c r="D194" s="1071"/>
      <c r="E194" s="1071"/>
      <c r="F194" s="1071"/>
      <c r="G194" s="626"/>
      <c r="H194" s="271"/>
      <c r="I194" s="270"/>
      <c r="J194" s="270"/>
      <c r="K194" s="270"/>
      <c r="L194" s="270"/>
      <c r="M194" s="270"/>
      <c r="N194" s="270"/>
      <c r="O194" s="270"/>
      <c r="P194" s="1072"/>
      <c r="Q194" s="270"/>
      <c r="R194" s="270"/>
      <c r="S194" s="1072"/>
      <c r="T194" s="270"/>
      <c r="U194" s="1019"/>
      <c r="V194" s="1119"/>
      <c r="W194" s="1120"/>
      <c r="X194" s="1075" t="str">
        <f>N_Substitute</f>
        <v>Remplaçant</v>
      </c>
      <c r="Y194" s="1141"/>
      <c r="Z194" s="492"/>
      <c r="AA194" s="1126"/>
      <c r="AB194" s="492"/>
      <c r="AC194" s="1142"/>
      <c r="AD194" s="839"/>
      <c r="AE194" s="270"/>
      <c r="AF194" s="270"/>
      <c r="AG194" s="270"/>
      <c r="AH194" s="270"/>
      <c r="AI194" s="270"/>
      <c r="AJ194" s="270"/>
      <c r="AK194" s="270"/>
      <c r="AL194" s="270"/>
      <c r="AM194" s="270"/>
      <c r="AN194" s="270"/>
      <c r="AO194" s="271"/>
      <c r="AP194" s="270"/>
      <c r="AQ194" s="270"/>
      <c r="AR194" s="270"/>
      <c r="AS194" s="270"/>
      <c r="AT194" s="270"/>
      <c r="AU194" s="270"/>
      <c r="AV194" s="270"/>
      <c r="AW194" s="270"/>
      <c r="AX194" s="270"/>
      <c r="AY194" s="1072"/>
      <c r="AZ194" s="270"/>
      <c r="BA194" s="270"/>
      <c r="BB194" s="1072"/>
      <c r="BC194" s="270"/>
      <c r="BD194" s="270"/>
      <c r="BE194" s="270"/>
      <c r="BF194" s="270"/>
      <c r="BG194" s="270"/>
      <c r="BH194" s="270"/>
      <c r="BI194" s="270"/>
      <c r="BJ194" s="270"/>
      <c r="BK194" s="270"/>
      <c r="BL194" s="270"/>
      <c r="BM194" s="270"/>
      <c r="BN194" s="270"/>
      <c r="BO194" s="270"/>
      <c r="BP194" s="270"/>
      <c r="BQ194" s="270"/>
      <c r="BR194" s="270"/>
      <c r="BS194" s="270"/>
      <c r="BT194" s="270"/>
      <c r="BU194" s="270"/>
      <c r="BV194" s="270"/>
      <c r="BW194" s="270"/>
      <c r="BX194" s="270"/>
      <c r="BY194" s="270"/>
      <c r="BZ194" s="270"/>
      <c r="CA194" s="270"/>
      <c r="CB194" s="270"/>
      <c r="CC194" s="270"/>
      <c r="CD194" s="270"/>
      <c r="CE194" s="1395"/>
      <c r="CF194" s="1450"/>
      <c r="CG194" s="1450"/>
      <c r="CH194" s="270"/>
      <c r="CI194" s="270"/>
      <c r="CJ194" s="270"/>
      <c r="CK194" s="270"/>
      <c r="CL194" s="270"/>
      <c r="CM194" s="270"/>
    </row>
    <row r="195" spans="1:91" ht="13.5" outlineLevel="2" collapsed="1" thickBot="1" x14ac:dyDescent="0.25">
      <c r="A195" s="270"/>
      <c r="B195" s="271"/>
      <c r="C195" s="270"/>
      <c r="D195" s="270"/>
      <c r="E195" s="270"/>
      <c r="F195" s="270"/>
      <c r="G195" s="271"/>
      <c r="H195" s="270"/>
      <c r="I195" s="270"/>
      <c r="J195" s="270"/>
      <c r="K195" s="270"/>
      <c r="L195" s="270"/>
      <c r="M195" s="270"/>
      <c r="N195" s="270"/>
      <c r="O195" s="270"/>
      <c r="P195" s="270"/>
      <c r="Q195" s="270"/>
      <c r="R195" s="270"/>
      <c r="S195" s="270"/>
      <c r="T195" s="270"/>
      <c r="U195" s="1019" t="s">
        <v>1729</v>
      </c>
      <c r="V195" s="1122"/>
      <c r="W195" s="618"/>
      <c r="X195" s="618"/>
      <c r="Y195" s="1143" t="str">
        <f>IF(G143="","",G143)</f>
        <v>Eq4</v>
      </c>
      <c r="Z195" s="1125" t="str">
        <f>IF(OR(ISNUMBER(Z196),ISNUMBER(Z197),ISNUMBER(Z198),ISNUMBER(Z199)),4-COUNTBLANK(AI196:AI199),"")</f>
        <v/>
      </c>
      <c r="AA195" s="1124" t="s">
        <v>769</v>
      </c>
      <c r="AB195" s="1125" t="str">
        <f>IF(OR(ISNUMBER(Z196),ISNUMBER(Z197),ISNUMBER(Z198),ISNUMBER(Z199)),4-COUNTBLANK(AJ196:AJ199),"")</f>
        <v/>
      </c>
      <c r="AC195" s="1144" t="str">
        <f>IF(G144="","",G144)</f>
        <v>Eq5</v>
      </c>
      <c r="AD195" s="839"/>
      <c r="AE195" s="270" t="str">
        <f>IF(Z195="","",IF(Z195&gt;AB195,Y195,IF(Z195=AB195,IF(NoDrawWithWithdraw,IF(AL195=Y195,AC195,IF(AL195=AC195,Y195,"")),""),AC195)))</f>
        <v/>
      </c>
      <c r="AF195" s="270" t="str">
        <f>IF(Z195="","",IF(Z195=AB195,IF(NoDrawWithWithdraw,IF(AL195=Y195,"",IF(AL195=AC195,"",Y195)),Y195),""))</f>
        <v/>
      </c>
      <c r="AG195" s="270" t="str">
        <f>IF(Z195="","",IF(Z195=AB195,IF(NoDrawWithWithdraw,IF(AL195=Y195,"",IF(AL195=AC195,"",AC195)),AC195),""))</f>
        <v/>
      </c>
      <c r="AH195" s="270" t="str">
        <f>IF(Z195="","",IF(Z195&lt;AB195,Y195,IF(Z195=AB195,IF(NoDrawWithWithdraw,IF(AL195=Y195,Y195,IF(AL195=AC195,AC195,"")),""),AC195)))</f>
        <v/>
      </c>
      <c r="AI195" s="270" t="str">
        <f>IF(Z195="","",SUM(Z196:Z199))</f>
        <v/>
      </c>
      <c r="AJ195" s="270" t="str">
        <f>IF(Z195="","",SUM(AB196:AB199))</f>
        <v/>
      </c>
      <c r="AK195" s="270" t="str">
        <f>CONCATENATE(AE195,AH195)</f>
        <v/>
      </c>
      <c r="AL195" s="270" t="str">
        <f>IF(COUNTIF(Y196:Y199,WithdrawLabel)&gt;COUNTIF(AC196:AC199,WithdrawLabel),Y195,IF(COUNTIF(AC196:AC199,WithdrawLabel)&gt;COUNTIF(Y196:Y199,WithdrawLabel),AC195,""))</f>
        <v/>
      </c>
      <c r="AM195" s="270"/>
      <c r="AN195" s="270"/>
      <c r="AO195" s="575"/>
      <c r="AP195" s="270"/>
      <c r="AQ195" s="270"/>
      <c r="AR195" s="270"/>
      <c r="AS195" s="270"/>
      <c r="AT195" s="270"/>
      <c r="AU195" s="270"/>
      <c r="AV195" s="270"/>
      <c r="AW195" s="270"/>
      <c r="AX195" s="270"/>
      <c r="AY195" s="270"/>
      <c r="AZ195" s="270"/>
      <c r="BA195" s="270"/>
      <c r="BB195" s="270"/>
      <c r="BC195" s="270"/>
      <c r="BD195" s="270"/>
      <c r="BE195" s="270"/>
      <c r="BF195" s="270"/>
      <c r="BG195" s="270"/>
      <c r="BH195" s="270"/>
      <c r="BI195" s="270"/>
      <c r="BJ195" s="270"/>
      <c r="BK195" s="270"/>
      <c r="BL195" s="270"/>
      <c r="BM195" s="270"/>
      <c r="BN195" s="270"/>
      <c r="BO195" s="270"/>
      <c r="BP195" s="270"/>
      <c r="BQ195" s="270"/>
      <c r="BR195" s="270"/>
      <c r="BS195" s="270"/>
      <c r="BT195" s="270"/>
      <c r="BU195" s="270"/>
      <c r="BV195" s="270"/>
      <c r="BW195" s="270"/>
      <c r="BX195" s="270"/>
      <c r="BY195" s="270"/>
      <c r="BZ195" s="270"/>
      <c r="CA195" s="270"/>
      <c r="CB195" s="270"/>
      <c r="CC195" s="270"/>
      <c r="CD195" s="270"/>
      <c r="CE195" s="1395"/>
      <c r="CF195" s="1450"/>
      <c r="CG195" s="1450"/>
      <c r="CH195" s="270"/>
      <c r="CI195" s="270"/>
      <c r="CJ195" s="270"/>
      <c r="CK195" s="270"/>
      <c r="CL195" s="270"/>
      <c r="CM195" s="270"/>
    </row>
    <row r="196" spans="1:91" ht="13.5" hidden="1" outlineLevel="3" thickBot="1" x14ac:dyDescent="0.25">
      <c r="A196" s="270"/>
      <c r="B196" s="271"/>
      <c r="C196" s="270"/>
      <c r="D196" s="270"/>
      <c r="E196" s="270"/>
      <c r="F196" s="270"/>
      <c r="G196" s="271"/>
      <c r="H196" s="270"/>
      <c r="I196" s="270"/>
      <c r="J196" s="270"/>
      <c r="K196" s="270"/>
      <c r="L196" s="270"/>
      <c r="M196" s="270"/>
      <c r="N196" s="270"/>
      <c r="O196" s="270"/>
      <c r="P196" s="270"/>
      <c r="Q196" s="270"/>
      <c r="R196" s="270"/>
      <c r="S196" s="270"/>
      <c r="T196" s="270"/>
      <c r="U196" s="1019"/>
      <c r="V196" s="1118"/>
      <c r="W196" s="618"/>
      <c r="X196" s="618"/>
      <c r="Y196" s="1141"/>
      <c r="Z196" s="492"/>
      <c r="AA196" s="493" t="s">
        <v>769</v>
      </c>
      <c r="AB196" s="1069"/>
      <c r="AC196" s="1142"/>
      <c r="AD196" s="839"/>
      <c r="AE196" s="270" t="str">
        <f>IF(Z196="","",IF(Z196&gt;AB196,Y196,IF(Z196=AB196,"",AC196)))</f>
        <v/>
      </c>
      <c r="AF196" s="270" t="str">
        <f>IF(Z196="","",IF(Z196=AB196,Y196,""))</f>
        <v/>
      </c>
      <c r="AG196" s="270" t="str">
        <f>IF(Z196="","",IF(Z196=AB196,AC196,""))</f>
        <v/>
      </c>
      <c r="AH196" s="270" t="str">
        <f>IF(Z196="","",IF(Z196&lt;AB196,Y196,IF(Z196=AB196,"",AC196)))</f>
        <v/>
      </c>
      <c r="AI196" s="270" t="str">
        <f>IF(Z196="","",IF(Z196&gt;AB196,Y195,""))</f>
        <v/>
      </c>
      <c r="AJ196" s="270" t="str">
        <f>IF(Z196="","",IF(Z196&lt;AB196,AC195,""))</f>
        <v/>
      </c>
      <c r="AK196" s="270" t="str">
        <f>CONCATENATE(AE196,AH196)</f>
        <v/>
      </c>
      <c r="AL196" s="270"/>
      <c r="AM196" s="270"/>
      <c r="AN196" s="270"/>
      <c r="AO196" s="575"/>
      <c r="AP196" s="270"/>
      <c r="AQ196" s="270"/>
      <c r="AR196" s="270"/>
      <c r="AS196" s="270"/>
      <c r="AT196" s="270"/>
      <c r="AU196" s="270"/>
      <c r="AV196" s="270"/>
      <c r="AW196" s="270"/>
      <c r="AX196" s="270"/>
      <c r="AY196" s="270"/>
      <c r="AZ196" s="270"/>
      <c r="BA196" s="270"/>
      <c r="BB196" s="270"/>
      <c r="BC196" s="270"/>
      <c r="BD196" s="270"/>
      <c r="BE196" s="270"/>
      <c r="BF196" s="270"/>
      <c r="BG196" s="270"/>
      <c r="BH196" s="270"/>
      <c r="BI196" s="270"/>
      <c r="BJ196" s="270"/>
      <c r="BK196" s="270"/>
      <c r="BL196" s="270"/>
      <c r="BM196" s="270"/>
      <c r="BN196" s="270"/>
      <c r="BO196" s="270"/>
      <c r="BP196" s="270"/>
      <c r="BQ196" s="270"/>
      <c r="BR196" s="270"/>
      <c r="BS196" s="270"/>
      <c r="BT196" s="270"/>
      <c r="BU196" s="270"/>
      <c r="BV196" s="270"/>
      <c r="BW196" s="270"/>
      <c r="BX196" s="270"/>
      <c r="BY196" s="270"/>
      <c r="BZ196" s="270"/>
      <c r="CA196" s="270"/>
      <c r="CB196" s="270"/>
      <c r="CC196" s="270"/>
      <c r="CD196" s="270"/>
      <c r="CE196" s="1395"/>
      <c r="CF196" s="1450"/>
      <c r="CG196" s="1450"/>
      <c r="CH196" s="270"/>
      <c r="CI196" s="270"/>
      <c r="CJ196" s="270"/>
      <c r="CK196" s="270"/>
      <c r="CL196" s="270"/>
      <c r="CM196" s="270"/>
    </row>
    <row r="197" spans="1:91" ht="13.5" hidden="1" outlineLevel="3" thickBot="1" x14ac:dyDescent="0.25">
      <c r="A197" s="270"/>
      <c r="B197" s="271"/>
      <c r="C197" s="270"/>
      <c r="D197" s="270"/>
      <c r="E197" s="270"/>
      <c r="F197" s="270"/>
      <c r="G197" s="271"/>
      <c r="H197" s="270"/>
      <c r="I197" s="270"/>
      <c r="J197" s="270"/>
      <c r="K197" s="270"/>
      <c r="L197" s="270"/>
      <c r="M197" s="270"/>
      <c r="N197" s="270"/>
      <c r="O197" s="270"/>
      <c r="P197" s="270"/>
      <c r="Q197" s="270"/>
      <c r="R197" s="270"/>
      <c r="S197" s="270"/>
      <c r="T197" s="270"/>
      <c r="U197" s="1019"/>
      <c r="V197" s="1118"/>
      <c r="W197" s="618"/>
      <c r="X197" s="618"/>
      <c r="Y197" s="1141"/>
      <c r="Z197" s="492"/>
      <c r="AA197" s="493" t="s">
        <v>769</v>
      </c>
      <c r="AB197" s="1069"/>
      <c r="AC197" s="1142"/>
      <c r="AD197" s="839"/>
      <c r="AE197" s="270" t="str">
        <f>IF(Z197="","",IF(Z197&gt;AB197,Y197,IF(Z197=AB197,"",AC197)))</f>
        <v/>
      </c>
      <c r="AF197" s="270" t="str">
        <f>IF(Z197="","",IF(Z197=AB197,Y197,""))</f>
        <v/>
      </c>
      <c r="AG197" s="270" t="str">
        <f>IF(Z197="","",IF(Z197=AB197,AC197,""))</f>
        <v/>
      </c>
      <c r="AH197" s="270" t="str">
        <f>IF(Z197="","",IF(Z197&lt;AB197,Y197,IF(Z197=AB197,"",AC197)))</f>
        <v/>
      </c>
      <c r="AI197" s="270" t="str">
        <f>IF(Z197="","",IF(Z197&gt;AB197,Y195,""))</f>
        <v/>
      </c>
      <c r="AJ197" s="270" t="str">
        <f>IF(Z197="","",IF(Z197&lt;AB197,AC195,""))</f>
        <v/>
      </c>
      <c r="AK197" s="270" t="str">
        <f>CONCATENATE(AE197,AH197)</f>
        <v/>
      </c>
      <c r="AL197" s="270"/>
      <c r="AM197" s="270"/>
      <c r="AN197" s="270"/>
      <c r="AO197" s="575"/>
      <c r="AP197" s="270"/>
      <c r="AQ197" s="270"/>
      <c r="AR197" s="270"/>
      <c r="AS197" s="270"/>
      <c r="AT197" s="270"/>
      <c r="AU197" s="270"/>
      <c r="AV197" s="270"/>
      <c r="AW197" s="270"/>
      <c r="AX197" s="270"/>
      <c r="AY197" s="270"/>
      <c r="AZ197" s="270"/>
      <c r="BA197" s="270"/>
      <c r="BB197" s="270"/>
      <c r="BC197" s="270"/>
      <c r="BD197" s="270"/>
      <c r="BE197" s="270"/>
      <c r="BF197" s="270"/>
      <c r="BG197" s="270"/>
      <c r="BH197" s="270"/>
      <c r="BI197" s="270"/>
      <c r="BJ197" s="270"/>
      <c r="BK197" s="270"/>
      <c r="BL197" s="270"/>
      <c r="BM197" s="270"/>
      <c r="BN197" s="270"/>
      <c r="BO197" s="270"/>
      <c r="BP197" s="270"/>
      <c r="BQ197" s="270"/>
      <c r="BR197" s="270"/>
      <c r="BS197" s="270"/>
      <c r="BT197" s="270"/>
      <c r="BU197" s="270"/>
      <c r="BV197" s="270"/>
      <c r="BW197" s="270"/>
      <c r="BX197" s="270"/>
      <c r="BY197" s="270"/>
      <c r="BZ197" s="270"/>
      <c r="CA197" s="270"/>
      <c r="CB197" s="270"/>
      <c r="CC197" s="270"/>
      <c r="CD197" s="270"/>
      <c r="CE197" s="1395"/>
      <c r="CF197" s="1450"/>
      <c r="CG197" s="1450"/>
      <c r="CH197" s="270"/>
      <c r="CI197" s="270"/>
      <c r="CJ197" s="270"/>
      <c r="CK197" s="270"/>
      <c r="CL197" s="270"/>
      <c r="CM197" s="270"/>
    </row>
    <row r="198" spans="1:91" ht="13.5" hidden="1" outlineLevel="3" thickBot="1" x14ac:dyDescent="0.25">
      <c r="A198" s="270"/>
      <c r="B198" s="271"/>
      <c r="C198" s="270"/>
      <c r="D198" s="270"/>
      <c r="E198" s="270"/>
      <c r="F198" s="270"/>
      <c r="G198" s="271"/>
      <c r="H198" s="270"/>
      <c r="I198" s="270"/>
      <c r="J198" s="270"/>
      <c r="K198" s="270"/>
      <c r="L198" s="270"/>
      <c r="M198" s="270"/>
      <c r="N198" s="270"/>
      <c r="O198" s="270"/>
      <c r="P198" s="270"/>
      <c r="Q198" s="270"/>
      <c r="R198" s="270"/>
      <c r="S198" s="270"/>
      <c r="T198" s="270"/>
      <c r="U198" s="1019"/>
      <c r="V198" s="1118"/>
      <c r="W198" s="618"/>
      <c r="X198" s="618"/>
      <c r="Y198" s="1141"/>
      <c r="Z198" s="492"/>
      <c r="AA198" s="493" t="s">
        <v>769</v>
      </c>
      <c r="AB198" s="1069"/>
      <c r="AC198" s="1142"/>
      <c r="AD198" s="839"/>
      <c r="AE198" s="270" t="str">
        <f>IF(Z198="","",IF(Z198&gt;AB198,Y198,IF(Z198=AB198,"",AC198)))</f>
        <v/>
      </c>
      <c r="AF198" s="270" t="str">
        <f>IF(Z198="","",IF(Z198=AB198,Y198,""))</f>
        <v/>
      </c>
      <c r="AG198" s="270" t="str">
        <f>IF(Z198="","",IF(Z198=AB198,AC198,""))</f>
        <v/>
      </c>
      <c r="AH198" s="270" t="str">
        <f>IF(Z198="","",IF(Z198&lt;AB198,Y198,IF(Z198=AB198,"",AC198)))</f>
        <v/>
      </c>
      <c r="AI198" s="270" t="str">
        <f>IF(Z198="","",IF(Z198&gt;AB198,Y195,""))</f>
        <v/>
      </c>
      <c r="AJ198" s="270" t="str">
        <f>IF(Z198="","",IF(Z198&lt;AB198,AC195,""))</f>
        <v/>
      </c>
      <c r="AK198" s="270" t="str">
        <f>CONCATENATE(AE198,AH198)</f>
        <v/>
      </c>
      <c r="AL198" s="270"/>
      <c r="AM198" s="270"/>
      <c r="AN198" s="270"/>
      <c r="AO198" s="575"/>
      <c r="AP198" s="270"/>
      <c r="AQ198" s="270"/>
      <c r="AR198" s="270"/>
      <c r="AS198" s="270"/>
      <c r="AT198" s="270"/>
      <c r="AU198" s="270"/>
      <c r="AV198" s="270"/>
      <c r="AW198" s="270"/>
      <c r="AX198" s="270"/>
      <c r="AY198" s="270"/>
      <c r="AZ198" s="270"/>
      <c r="BA198" s="270"/>
      <c r="BB198" s="270"/>
      <c r="BC198" s="270"/>
      <c r="BD198" s="270"/>
      <c r="BE198" s="270"/>
      <c r="BF198" s="270"/>
      <c r="BG198" s="270"/>
      <c r="BH198" s="270"/>
      <c r="BI198" s="270"/>
      <c r="BJ198" s="270"/>
      <c r="BK198" s="270"/>
      <c r="BL198" s="270"/>
      <c r="BM198" s="270"/>
      <c r="BN198" s="270"/>
      <c r="BO198" s="270"/>
      <c r="BP198" s="270"/>
      <c r="BQ198" s="270"/>
      <c r="BR198" s="270"/>
      <c r="BS198" s="270"/>
      <c r="BT198" s="270"/>
      <c r="BU198" s="270"/>
      <c r="BV198" s="270"/>
      <c r="BW198" s="270"/>
      <c r="BX198" s="270"/>
      <c r="BY198" s="270"/>
      <c r="BZ198" s="270"/>
      <c r="CA198" s="270"/>
      <c r="CB198" s="270"/>
      <c r="CC198" s="270"/>
      <c r="CD198" s="270"/>
      <c r="CE198" s="1395"/>
      <c r="CF198" s="1450"/>
      <c r="CG198" s="1450"/>
      <c r="CH198" s="270"/>
      <c r="CI198" s="270"/>
      <c r="CJ198" s="270"/>
      <c r="CK198" s="270"/>
      <c r="CL198" s="270"/>
      <c r="CM198" s="270"/>
    </row>
    <row r="199" spans="1:91" ht="13.5" hidden="1" outlineLevel="3" thickBot="1" x14ac:dyDescent="0.25">
      <c r="A199" s="270"/>
      <c r="B199" s="271"/>
      <c r="C199" s="270"/>
      <c r="D199" s="270"/>
      <c r="E199" s="270"/>
      <c r="F199" s="270"/>
      <c r="G199" s="271"/>
      <c r="H199" s="270"/>
      <c r="I199" s="270"/>
      <c r="J199" s="270"/>
      <c r="K199" s="270"/>
      <c r="L199" s="270"/>
      <c r="M199" s="270"/>
      <c r="N199" s="270"/>
      <c r="O199" s="270"/>
      <c r="P199" s="270"/>
      <c r="Q199" s="270"/>
      <c r="R199" s="270"/>
      <c r="S199" s="270"/>
      <c r="T199" s="270"/>
      <c r="U199" s="1019"/>
      <c r="V199" s="1118"/>
      <c r="W199" s="618"/>
      <c r="X199" s="618"/>
      <c r="Y199" s="1141"/>
      <c r="Z199" s="492"/>
      <c r="AA199" s="493" t="s">
        <v>769</v>
      </c>
      <c r="AB199" s="1069"/>
      <c r="AC199" s="1142"/>
      <c r="AD199" s="839"/>
      <c r="AE199" s="270" t="str">
        <f>IF(Z199="","",IF(Z199&gt;AB199,Y199,IF(Z199=AB199,"",AC199)))</f>
        <v/>
      </c>
      <c r="AF199" s="270" t="str">
        <f>IF(Z199="","",IF(Z199=AB199,Y199,""))</f>
        <v/>
      </c>
      <c r="AG199" s="270" t="str">
        <f>IF(Z199="","",IF(Z199=AB199,AC199,""))</f>
        <v/>
      </c>
      <c r="AH199" s="270" t="str">
        <f>IF(Z199="","",IF(Z199&lt;AB199,Y199,IF(Z199=AB199,"",AC199)))</f>
        <v/>
      </c>
      <c r="AI199" s="270" t="str">
        <f>IF(Z199="","",IF(Z199&gt;AB199,Y195,""))</f>
        <v/>
      </c>
      <c r="AJ199" s="270" t="str">
        <f>IF(Z199="","",IF(Z199&lt;AB199,AC195,""))</f>
        <v/>
      </c>
      <c r="AK199" s="270" t="str">
        <f>CONCATENATE(AE199,AH199)</f>
        <v/>
      </c>
      <c r="AL199" s="270"/>
      <c r="AM199" s="270"/>
      <c r="AN199" s="270"/>
      <c r="AO199" s="575"/>
      <c r="AP199" s="270"/>
      <c r="AQ199" s="270"/>
      <c r="AR199" s="270"/>
      <c r="AS199" s="270"/>
      <c r="AT199" s="270"/>
      <c r="AU199" s="270"/>
      <c r="AV199" s="270"/>
      <c r="AW199" s="270"/>
      <c r="AX199" s="270"/>
      <c r="AY199" s="270"/>
      <c r="AZ199" s="270"/>
      <c r="BA199" s="270"/>
      <c r="BB199" s="270"/>
      <c r="BC199" s="270"/>
      <c r="BD199" s="270"/>
      <c r="BE199" s="270"/>
      <c r="BF199" s="270"/>
      <c r="BG199" s="270"/>
      <c r="BH199" s="270"/>
      <c r="BI199" s="270"/>
      <c r="BJ199" s="270"/>
      <c r="BK199" s="270"/>
      <c r="BL199" s="270"/>
      <c r="BM199" s="270"/>
      <c r="BN199" s="270"/>
      <c r="BO199" s="270"/>
      <c r="BP199" s="270"/>
      <c r="BQ199" s="270"/>
      <c r="BR199" s="270"/>
      <c r="BS199" s="270"/>
      <c r="BT199" s="270"/>
      <c r="BU199" s="270"/>
      <c r="BV199" s="270"/>
      <c r="BW199" s="270"/>
      <c r="BX199" s="270"/>
      <c r="BY199" s="270"/>
      <c r="BZ199" s="270"/>
      <c r="CA199" s="270"/>
      <c r="CB199" s="270"/>
      <c r="CC199" s="270"/>
      <c r="CD199" s="270"/>
      <c r="CE199" s="1395"/>
      <c r="CF199" s="1450"/>
      <c r="CG199" s="1450"/>
      <c r="CH199" s="270"/>
      <c r="CI199" s="270"/>
      <c r="CJ199" s="270"/>
      <c r="CK199" s="270"/>
      <c r="CL199" s="270"/>
      <c r="CM199" s="270"/>
    </row>
    <row r="200" spans="1:91" ht="13.5" hidden="1" outlineLevel="3" thickBot="1" x14ac:dyDescent="0.25">
      <c r="A200" s="270"/>
      <c r="B200" s="271"/>
      <c r="C200" s="12"/>
      <c r="D200" s="1071"/>
      <c r="E200" s="1071"/>
      <c r="F200" s="1071"/>
      <c r="G200" s="626"/>
      <c r="H200" s="271"/>
      <c r="I200" s="270"/>
      <c r="J200" s="270"/>
      <c r="K200" s="270"/>
      <c r="L200" s="270"/>
      <c r="M200" s="270"/>
      <c r="N200" s="270"/>
      <c r="O200" s="270"/>
      <c r="P200" s="1072"/>
      <c r="Q200" s="270"/>
      <c r="R200" s="270"/>
      <c r="S200" s="1072"/>
      <c r="T200" s="270"/>
      <c r="U200" s="1019"/>
      <c r="V200" s="1073"/>
      <c r="W200" s="1074"/>
      <c r="X200" s="1075" t="str">
        <f>N_Substitute</f>
        <v>Remplaçant</v>
      </c>
      <c r="Y200" s="1141"/>
      <c r="Z200" s="492"/>
      <c r="AA200" s="1076"/>
      <c r="AB200" s="1069"/>
      <c r="AC200" s="1142"/>
      <c r="AD200" s="839"/>
      <c r="AE200" s="270"/>
      <c r="AF200" s="270"/>
      <c r="AG200" s="270"/>
      <c r="AH200" s="270"/>
      <c r="AI200" s="270"/>
      <c r="AJ200" s="270"/>
      <c r="AK200" s="270"/>
      <c r="AL200" s="270"/>
      <c r="AM200" s="270"/>
      <c r="AN200" s="270"/>
      <c r="AO200" s="271"/>
      <c r="AP200" s="270"/>
      <c r="AQ200" s="270"/>
      <c r="AR200" s="270"/>
      <c r="AS200" s="270"/>
      <c r="AT200" s="270"/>
      <c r="AU200" s="270"/>
      <c r="AV200" s="270"/>
      <c r="AW200" s="270"/>
      <c r="AX200" s="270"/>
      <c r="AY200" s="1072"/>
      <c r="AZ200" s="270"/>
      <c r="BA200" s="270"/>
      <c r="BB200" s="1072"/>
      <c r="BC200" s="270"/>
      <c r="BD200" s="270"/>
      <c r="BE200" s="270"/>
      <c r="BF200" s="270"/>
      <c r="BG200" s="270"/>
      <c r="BH200" s="270"/>
      <c r="BI200" s="270"/>
      <c r="BJ200" s="270"/>
      <c r="BK200" s="270"/>
      <c r="BL200" s="270"/>
      <c r="BM200" s="270"/>
      <c r="BN200" s="270"/>
      <c r="BO200" s="270"/>
      <c r="BP200" s="270"/>
      <c r="BQ200" s="270"/>
      <c r="BR200" s="270"/>
      <c r="BS200" s="270"/>
      <c r="BT200" s="270"/>
      <c r="BU200" s="270"/>
      <c r="BV200" s="270"/>
      <c r="BW200" s="270"/>
      <c r="BX200" s="270"/>
      <c r="BY200" s="270"/>
      <c r="BZ200" s="270"/>
      <c r="CA200" s="270"/>
      <c r="CB200" s="270"/>
      <c r="CC200" s="270"/>
      <c r="CD200" s="270"/>
      <c r="CE200" s="1395"/>
      <c r="CF200" s="1450"/>
      <c r="CG200" s="1450"/>
      <c r="CH200" s="270"/>
      <c r="CI200" s="270"/>
      <c r="CJ200" s="270"/>
      <c r="CK200" s="270"/>
      <c r="CL200" s="270"/>
      <c r="CM200" s="270"/>
    </row>
    <row r="201" spans="1:91" ht="13.5" hidden="1" outlineLevel="3" thickBot="1" x14ac:dyDescent="0.25">
      <c r="A201" s="270"/>
      <c r="B201" s="271"/>
      <c r="C201" s="12"/>
      <c r="D201" s="1071"/>
      <c r="E201" s="1071"/>
      <c r="F201" s="1071"/>
      <c r="G201" s="626"/>
      <c r="H201" s="271"/>
      <c r="I201" s="270"/>
      <c r="J201" s="270"/>
      <c r="K201" s="270"/>
      <c r="L201" s="270"/>
      <c r="M201" s="270"/>
      <c r="N201" s="270"/>
      <c r="O201" s="270"/>
      <c r="P201" s="1072"/>
      <c r="Q201" s="270"/>
      <c r="R201" s="270"/>
      <c r="S201" s="1072"/>
      <c r="T201" s="270"/>
      <c r="U201" s="1019"/>
      <c r="V201" s="1087"/>
      <c r="W201" s="1088"/>
      <c r="X201" s="1089" t="str">
        <f>N_Substitute</f>
        <v>Remplaçant</v>
      </c>
      <c r="Y201" s="1145"/>
      <c r="Z201" s="496"/>
      <c r="AA201" s="1090"/>
      <c r="AB201" s="1091"/>
      <c r="AC201" s="1146"/>
      <c r="AD201" s="839"/>
      <c r="AE201" s="270"/>
      <c r="AF201" s="270"/>
      <c r="AG201" s="270"/>
      <c r="AH201" s="270"/>
      <c r="AI201" s="270"/>
      <c r="AJ201" s="270"/>
      <c r="AK201" s="270"/>
      <c r="AL201" s="270"/>
      <c r="AM201" s="270"/>
      <c r="AN201" s="270"/>
      <c r="AO201" s="271"/>
      <c r="AP201" s="270"/>
      <c r="AQ201" s="270"/>
      <c r="AR201" s="270"/>
      <c r="AS201" s="270"/>
      <c r="AT201" s="270"/>
      <c r="AU201" s="270"/>
      <c r="AV201" s="270"/>
      <c r="AW201" s="270"/>
      <c r="AX201" s="270"/>
      <c r="AY201" s="1072"/>
      <c r="AZ201" s="270"/>
      <c r="BA201" s="270"/>
      <c r="BB201" s="1072"/>
      <c r="BC201" s="270"/>
      <c r="BD201" s="270"/>
      <c r="BE201" s="270"/>
      <c r="BF201" s="270"/>
      <c r="BG201" s="270"/>
      <c r="BH201" s="270"/>
      <c r="BI201" s="270"/>
      <c r="BJ201" s="270"/>
      <c r="BK201" s="270"/>
      <c r="BL201" s="270"/>
      <c r="BM201" s="270"/>
      <c r="BN201" s="270"/>
      <c r="BO201" s="270"/>
      <c r="BP201" s="270"/>
      <c r="BQ201" s="270"/>
      <c r="BR201" s="270"/>
      <c r="BS201" s="270"/>
      <c r="BT201" s="270"/>
      <c r="BU201" s="270"/>
      <c r="BV201" s="270"/>
      <c r="BW201" s="270"/>
      <c r="BX201" s="270"/>
      <c r="BY201" s="270"/>
      <c r="BZ201" s="270"/>
      <c r="CA201" s="270"/>
      <c r="CB201" s="270"/>
      <c r="CC201" s="270"/>
      <c r="CD201" s="270"/>
      <c r="CE201" s="1395"/>
      <c r="CF201" s="1450"/>
      <c r="CG201" s="1450"/>
      <c r="CH201" s="270"/>
      <c r="CI201" s="270"/>
      <c r="CJ201" s="270"/>
      <c r="CK201" s="270"/>
      <c r="CL201" s="270"/>
      <c r="CM201" s="270"/>
    </row>
    <row r="202" spans="1:91" outlineLevel="2" collapsed="1" x14ac:dyDescent="0.2">
      <c r="A202" s="270"/>
      <c r="B202" s="271"/>
      <c r="C202" s="270"/>
      <c r="D202" s="270"/>
      <c r="E202" s="270"/>
      <c r="F202" s="270"/>
      <c r="G202" s="271"/>
      <c r="H202" s="270"/>
      <c r="I202" s="270"/>
      <c r="J202" s="270"/>
      <c r="K202" s="270"/>
      <c r="L202" s="270"/>
      <c r="M202" s="270"/>
      <c r="N202" s="270"/>
      <c r="O202" s="270"/>
      <c r="P202" s="270"/>
      <c r="Q202" s="270"/>
      <c r="R202" s="270"/>
      <c r="S202" s="270"/>
      <c r="T202" s="270"/>
      <c r="U202" s="1019" t="s">
        <v>1730</v>
      </c>
      <c r="V202" s="1117"/>
      <c r="W202" s="617"/>
      <c r="X202" s="617"/>
      <c r="Y202" s="1139" t="str">
        <f>IF(G140="","",G140)</f>
        <v>Eq1</v>
      </c>
      <c r="Z202" s="1086" t="str">
        <f>IF(OR(ISNUMBER(Z203),ISNUMBER(Z204),ISNUMBER(Z205),ISNUMBER(Z206)),4-COUNTBLANK(AI203:AI206),"")</f>
        <v/>
      </c>
      <c r="AA202" s="1064" t="s">
        <v>769</v>
      </c>
      <c r="AB202" s="1063" t="str">
        <f>IF(OR(ISNUMBER(Z203),ISNUMBER(Z204),ISNUMBER(Z205),ISNUMBER(Z206)),4-COUNTBLANK(AJ203:AJ206),"")</f>
        <v/>
      </c>
      <c r="AC202" s="1140" t="str">
        <f>IF(G141="","",G141)</f>
        <v>Eq2</v>
      </c>
      <c r="AD202" s="839"/>
      <c r="AE202" s="270" t="str">
        <f>IF(Z202="","",IF(Z202&gt;AB202,Y202,IF(Z202=AB202,IF(NoDrawWithWithdraw,IF(AL202=Y202,AC202,IF(AL202=AC202,Y202,"")),""),AC202)))</f>
        <v/>
      </c>
      <c r="AF202" s="270" t="str">
        <f>IF(Z202="","",IF(Z202=AB202,IF(NoDrawWithWithdraw,IF(AL202=Y202,"",IF(AL202=AC202,"",Y202)),Y202),""))</f>
        <v/>
      </c>
      <c r="AG202" s="270" t="str">
        <f>IF(Z202="","",IF(Z202=AB202,IF(NoDrawWithWithdraw,IF(AL202=Y202,"",IF(AL202=AC202,"",AC202)),AC202),""))</f>
        <v/>
      </c>
      <c r="AH202" s="270" t="str">
        <f>IF(Z202="","",IF(Z202&lt;AB202,Y202,IF(Z202=AB202,IF(NoDrawWithWithdraw,IF(AL202=Y202,Y202,IF(AL202=AC202,AC202,"")),""),AC202)))</f>
        <v/>
      </c>
      <c r="AI202" s="270" t="str">
        <f>IF(Z202="","",SUM(Z203:Z206))</f>
        <v/>
      </c>
      <c r="AJ202" s="270" t="str">
        <f>IF(Z202="","",SUM(AB203:AB206))</f>
        <v/>
      </c>
      <c r="AK202" s="270" t="str">
        <f>CONCATENATE(AE202,AH202)</f>
        <v/>
      </c>
      <c r="AL202" s="270" t="str">
        <f>IF(COUNTIF(Y203:Y206,WithdrawLabel)&gt;COUNTIF(AC203:AC206,WithdrawLabel),Y202,IF(COUNTIF(AC203:AC206,WithdrawLabel)&gt;COUNTIF(Y203:Y206,WithdrawLabel),AC202,""))</f>
        <v/>
      </c>
      <c r="AM202" s="270"/>
      <c r="AN202" s="270"/>
      <c r="AO202" s="575"/>
      <c r="AP202" s="270"/>
      <c r="AQ202" s="270"/>
      <c r="AR202" s="270"/>
      <c r="AS202" s="270"/>
      <c r="AT202" s="270"/>
      <c r="AU202" s="270"/>
      <c r="AV202" s="270"/>
      <c r="AW202" s="270"/>
      <c r="AX202" s="270"/>
      <c r="AY202" s="270"/>
      <c r="AZ202" s="270"/>
      <c r="BA202" s="270"/>
      <c r="BB202" s="270"/>
      <c r="BC202" s="270"/>
      <c r="BD202" s="270"/>
      <c r="BE202" s="270"/>
      <c r="BF202" s="270"/>
      <c r="BG202" s="270"/>
      <c r="BH202" s="270"/>
      <c r="BI202" s="270"/>
      <c r="BJ202" s="270"/>
      <c r="BK202" s="270"/>
      <c r="BL202" s="270"/>
      <c r="BM202" s="270"/>
      <c r="BN202" s="270"/>
      <c r="BO202" s="270"/>
      <c r="BP202" s="270"/>
      <c r="BQ202" s="270"/>
      <c r="BR202" s="270"/>
      <c r="BS202" s="270"/>
      <c r="BT202" s="270"/>
      <c r="BU202" s="270"/>
      <c r="BV202" s="270"/>
      <c r="BW202" s="270"/>
      <c r="BX202" s="270"/>
      <c r="BY202" s="270"/>
      <c r="BZ202" s="270"/>
      <c r="CA202" s="270"/>
      <c r="CB202" s="270"/>
      <c r="CC202" s="270"/>
      <c r="CD202" s="270"/>
      <c r="CE202" s="1395"/>
      <c r="CF202" s="1450"/>
      <c r="CG202" s="1450"/>
      <c r="CH202" s="270"/>
      <c r="CI202" s="270"/>
      <c r="CJ202" s="270"/>
      <c r="CK202" s="270"/>
      <c r="CL202" s="270"/>
      <c r="CM202" s="270"/>
    </row>
    <row r="203" spans="1:91" ht="13.5" hidden="1" outlineLevel="3" thickBot="1" x14ac:dyDescent="0.25">
      <c r="A203" s="270"/>
      <c r="B203" s="271"/>
      <c r="C203" s="270"/>
      <c r="D203" s="270"/>
      <c r="E203" s="270"/>
      <c r="F203" s="270"/>
      <c r="G203" s="271"/>
      <c r="H203" s="270"/>
      <c r="I203" s="270"/>
      <c r="J203" s="270"/>
      <c r="K203" s="270"/>
      <c r="L203" s="270"/>
      <c r="M203" s="270"/>
      <c r="N203" s="270"/>
      <c r="O203" s="270"/>
      <c r="P203" s="270"/>
      <c r="Q203" s="270"/>
      <c r="R203" s="270"/>
      <c r="S203" s="270"/>
      <c r="T203" s="270"/>
      <c r="U203" s="1019"/>
      <c r="V203" s="1118"/>
      <c r="W203" s="618"/>
      <c r="X203" s="618"/>
      <c r="Y203" s="1141"/>
      <c r="Z203" s="492"/>
      <c r="AA203" s="493" t="s">
        <v>769</v>
      </c>
      <c r="AB203" s="1069"/>
      <c r="AC203" s="1142"/>
      <c r="AD203" s="839"/>
      <c r="AE203" s="270" t="str">
        <f>IF(Z203="","",IF(Z203&gt;AB203,Y203,IF(Z203=AB203,"",AC203)))</f>
        <v/>
      </c>
      <c r="AF203" s="270" t="str">
        <f>IF(Z203="","",IF(Z203=AB203,Y203,""))</f>
        <v/>
      </c>
      <c r="AG203" s="270" t="str">
        <f>IF(Z203="","",IF(Z203=AB203,AC203,""))</f>
        <v/>
      </c>
      <c r="AH203" s="270" t="str">
        <f>IF(Z203="","",IF(Z203&lt;AB203,Y203,IF(Z203=AB203,"",AC203)))</f>
        <v/>
      </c>
      <c r="AI203" s="270" t="str">
        <f>IF(Z203="","",IF(Z203&gt;AB203,Y202,""))</f>
        <v/>
      </c>
      <c r="AJ203" s="270" t="str">
        <f>IF(Z203="","",IF(Z203&lt;AB203,AC202,""))</f>
        <v/>
      </c>
      <c r="AK203" s="270" t="str">
        <f>CONCATENATE(AE203,AH203)</f>
        <v/>
      </c>
      <c r="AL203" s="270"/>
      <c r="AM203" s="270"/>
      <c r="AN203" s="270"/>
      <c r="AO203" s="575"/>
      <c r="AP203" s="270"/>
      <c r="AQ203" s="270"/>
      <c r="AR203" s="270"/>
      <c r="AS203" s="270"/>
      <c r="AT203" s="270"/>
      <c r="AU203" s="270"/>
      <c r="AV203" s="270"/>
      <c r="AW203" s="270"/>
      <c r="AX203" s="270"/>
      <c r="AY203" s="270"/>
      <c r="AZ203" s="270"/>
      <c r="BA203" s="270"/>
      <c r="BB203" s="270"/>
      <c r="BC203" s="270"/>
      <c r="BD203" s="270"/>
      <c r="BE203" s="270"/>
      <c r="BF203" s="270"/>
      <c r="BG203" s="270"/>
      <c r="BH203" s="270"/>
      <c r="BI203" s="270"/>
      <c r="BJ203" s="270"/>
      <c r="BK203" s="270"/>
      <c r="BL203" s="270"/>
      <c r="BM203" s="270"/>
      <c r="BN203" s="270"/>
      <c r="BO203" s="270"/>
      <c r="BP203" s="270"/>
      <c r="BQ203" s="270"/>
      <c r="BR203" s="270"/>
      <c r="BS203" s="270"/>
      <c r="BT203" s="270"/>
      <c r="BU203" s="270"/>
      <c r="BV203" s="270"/>
      <c r="BW203" s="270"/>
      <c r="BX203" s="270"/>
      <c r="BY203" s="270"/>
      <c r="BZ203" s="270"/>
      <c r="CA203" s="270"/>
      <c r="CB203" s="270"/>
      <c r="CC203" s="270"/>
      <c r="CD203" s="270"/>
      <c r="CE203" s="1395"/>
      <c r="CF203" s="1450"/>
      <c r="CG203" s="1450"/>
      <c r="CH203" s="270"/>
      <c r="CI203" s="270"/>
      <c r="CJ203" s="270"/>
      <c r="CK203" s="270"/>
      <c r="CL203" s="270"/>
      <c r="CM203" s="270"/>
    </row>
    <row r="204" spans="1:91" ht="13.5" hidden="1" outlineLevel="3" thickBot="1" x14ac:dyDescent="0.25">
      <c r="A204" s="270"/>
      <c r="B204" s="271"/>
      <c r="C204" s="270"/>
      <c r="D204" s="270"/>
      <c r="E204" s="270"/>
      <c r="F204" s="270"/>
      <c r="G204" s="271"/>
      <c r="H204" s="270"/>
      <c r="I204" s="270"/>
      <c r="J204" s="270"/>
      <c r="K204" s="270"/>
      <c r="L204" s="270"/>
      <c r="M204" s="270"/>
      <c r="N204" s="270"/>
      <c r="O204" s="270"/>
      <c r="P204" s="270"/>
      <c r="Q204" s="270"/>
      <c r="R204" s="270"/>
      <c r="S204" s="270"/>
      <c r="T204" s="270"/>
      <c r="U204" s="1019"/>
      <c r="V204" s="1118"/>
      <c r="W204" s="618"/>
      <c r="X204" s="618"/>
      <c r="Y204" s="1141"/>
      <c r="Z204" s="492"/>
      <c r="AA204" s="493" t="s">
        <v>769</v>
      </c>
      <c r="AB204" s="1069"/>
      <c r="AC204" s="1142"/>
      <c r="AD204" s="839"/>
      <c r="AE204" s="270" t="str">
        <f>IF(Z204="","",IF(Z204&gt;AB204,Y204,IF(Z204=AB204,"",AC204)))</f>
        <v/>
      </c>
      <c r="AF204" s="270" t="str">
        <f>IF(Z204="","",IF(Z204=AB204,Y204,""))</f>
        <v/>
      </c>
      <c r="AG204" s="270" t="str">
        <f>IF(Z204="","",IF(Z204=AB204,AC204,""))</f>
        <v/>
      </c>
      <c r="AH204" s="270" t="str">
        <f>IF(Z204="","",IF(Z204&lt;AB204,Y204,IF(Z204=AB204,"",AC204)))</f>
        <v/>
      </c>
      <c r="AI204" s="270" t="str">
        <f>IF(Z204="","",IF(Z204&gt;AB204,Y202,""))</f>
        <v/>
      </c>
      <c r="AJ204" s="270" t="str">
        <f>IF(Z204="","",IF(Z204&lt;AB204,AC202,""))</f>
        <v/>
      </c>
      <c r="AK204" s="270" t="str">
        <f>CONCATENATE(AE204,AH204)</f>
        <v/>
      </c>
      <c r="AL204" s="270"/>
      <c r="AM204" s="270"/>
      <c r="AN204" s="270"/>
      <c r="AO204" s="575"/>
      <c r="AP204" s="270"/>
      <c r="AQ204" s="270"/>
      <c r="AR204" s="270"/>
      <c r="AS204" s="270"/>
      <c r="AT204" s="270"/>
      <c r="AU204" s="270"/>
      <c r="AV204" s="270"/>
      <c r="AW204" s="270"/>
      <c r="AX204" s="270"/>
      <c r="AY204" s="270"/>
      <c r="AZ204" s="270"/>
      <c r="BA204" s="270"/>
      <c r="BB204" s="270"/>
      <c r="BC204" s="270"/>
      <c r="BD204" s="270"/>
      <c r="BE204" s="270"/>
      <c r="BF204" s="270"/>
      <c r="BG204" s="270"/>
      <c r="BH204" s="270"/>
      <c r="BI204" s="270"/>
      <c r="BJ204" s="270"/>
      <c r="BK204" s="270"/>
      <c r="BL204" s="270"/>
      <c r="BM204" s="270"/>
      <c r="BN204" s="270"/>
      <c r="BO204" s="270"/>
      <c r="BP204" s="270"/>
      <c r="BQ204" s="270"/>
      <c r="BR204" s="270"/>
      <c r="BS204" s="270"/>
      <c r="BT204" s="270"/>
      <c r="BU204" s="270"/>
      <c r="BV204" s="270"/>
      <c r="BW204" s="270"/>
      <c r="BX204" s="270"/>
      <c r="BY204" s="270"/>
      <c r="BZ204" s="270"/>
      <c r="CA204" s="270"/>
      <c r="CB204" s="270"/>
      <c r="CC204" s="270"/>
      <c r="CD204" s="270"/>
      <c r="CE204" s="1395"/>
      <c r="CF204" s="1450"/>
      <c r="CG204" s="1450"/>
      <c r="CH204" s="270"/>
      <c r="CI204" s="270"/>
      <c r="CJ204" s="270"/>
      <c r="CK204" s="270"/>
      <c r="CL204" s="270"/>
      <c r="CM204" s="270"/>
    </row>
    <row r="205" spans="1:91" ht="13.5" hidden="1" outlineLevel="3" thickBot="1" x14ac:dyDescent="0.25">
      <c r="A205" s="270"/>
      <c r="B205" s="271"/>
      <c r="C205" s="270"/>
      <c r="D205" s="270"/>
      <c r="E205" s="270"/>
      <c r="F205" s="270"/>
      <c r="G205" s="271"/>
      <c r="H205" s="270"/>
      <c r="I205" s="270"/>
      <c r="J205" s="270"/>
      <c r="K205" s="270"/>
      <c r="L205" s="270"/>
      <c r="M205" s="270"/>
      <c r="N205" s="270"/>
      <c r="O205" s="270"/>
      <c r="P205" s="270"/>
      <c r="Q205" s="270"/>
      <c r="R205" s="270"/>
      <c r="S205" s="270"/>
      <c r="T205" s="270"/>
      <c r="U205" s="1019"/>
      <c r="V205" s="1118"/>
      <c r="W205" s="618"/>
      <c r="X205" s="618"/>
      <c r="Y205" s="1141"/>
      <c r="Z205" s="492"/>
      <c r="AA205" s="493" t="s">
        <v>769</v>
      </c>
      <c r="AB205" s="1069"/>
      <c r="AC205" s="1142"/>
      <c r="AD205" s="839"/>
      <c r="AE205" s="270" t="str">
        <f>IF(Z205="","",IF(Z205&gt;AB205,Y205,IF(Z205=AB205,"",AC205)))</f>
        <v/>
      </c>
      <c r="AF205" s="270" t="str">
        <f>IF(Z205="","",IF(Z205=AB205,Y205,""))</f>
        <v/>
      </c>
      <c r="AG205" s="270" t="str">
        <f>IF(Z205="","",IF(Z205=AB205,AC205,""))</f>
        <v/>
      </c>
      <c r="AH205" s="270" t="str">
        <f>IF(Z205="","",IF(Z205&lt;AB205,Y205,IF(Z205=AB205,"",AC205)))</f>
        <v/>
      </c>
      <c r="AI205" s="270" t="str">
        <f>IF(Z205="","",IF(Z205&gt;AB205,Y202,""))</f>
        <v/>
      </c>
      <c r="AJ205" s="270" t="str">
        <f>IF(Z205="","",IF(Z205&lt;AB205,AC202,""))</f>
        <v/>
      </c>
      <c r="AK205" s="270" t="str">
        <f>CONCATENATE(AE205,AH205)</f>
        <v/>
      </c>
      <c r="AL205" s="270"/>
      <c r="AM205" s="270"/>
      <c r="AN205" s="270"/>
      <c r="AO205" s="575"/>
      <c r="AP205" s="270"/>
      <c r="AQ205" s="270"/>
      <c r="AR205" s="270"/>
      <c r="AS205" s="270"/>
      <c r="AT205" s="270"/>
      <c r="AU205" s="270"/>
      <c r="AV205" s="270"/>
      <c r="AW205" s="270"/>
      <c r="AX205" s="270"/>
      <c r="AY205" s="270"/>
      <c r="AZ205" s="270"/>
      <c r="BA205" s="270"/>
      <c r="BB205" s="270"/>
      <c r="BC205" s="270"/>
      <c r="BD205" s="270"/>
      <c r="BE205" s="270"/>
      <c r="BF205" s="270"/>
      <c r="BG205" s="270"/>
      <c r="BH205" s="270"/>
      <c r="BI205" s="270"/>
      <c r="BJ205" s="270"/>
      <c r="BK205" s="270"/>
      <c r="BL205" s="270"/>
      <c r="BM205" s="270"/>
      <c r="BN205" s="270"/>
      <c r="BO205" s="270"/>
      <c r="BP205" s="270"/>
      <c r="BQ205" s="270"/>
      <c r="BR205" s="270"/>
      <c r="BS205" s="270"/>
      <c r="BT205" s="270"/>
      <c r="BU205" s="270"/>
      <c r="BV205" s="270"/>
      <c r="BW205" s="270"/>
      <c r="BX205" s="270"/>
      <c r="BY205" s="270"/>
      <c r="BZ205" s="270"/>
      <c r="CA205" s="270"/>
      <c r="CB205" s="270"/>
      <c r="CC205" s="270"/>
      <c r="CD205" s="270"/>
      <c r="CE205" s="1395"/>
      <c r="CF205" s="1450"/>
      <c r="CG205" s="1450"/>
      <c r="CH205" s="270"/>
      <c r="CI205" s="270"/>
      <c r="CJ205" s="270"/>
      <c r="CK205" s="270"/>
      <c r="CL205" s="270"/>
      <c r="CM205" s="270"/>
    </row>
    <row r="206" spans="1:91" ht="13.5" hidden="1" outlineLevel="3" thickBot="1" x14ac:dyDescent="0.25">
      <c r="A206" s="270"/>
      <c r="B206" s="271"/>
      <c r="C206" s="270"/>
      <c r="D206" s="270"/>
      <c r="E206" s="270"/>
      <c r="F206" s="270"/>
      <c r="G206" s="271"/>
      <c r="H206" s="270"/>
      <c r="I206" s="270"/>
      <c r="J206" s="270"/>
      <c r="K206" s="270"/>
      <c r="L206" s="270"/>
      <c r="M206" s="270"/>
      <c r="N206" s="270"/>
      <c r="O206" s="270"/>
      <c r="P206" s="270"/>
      <c r="Q206" s="270"/>
      <c r="R206" s="270"/>
      <c r="S206" s="270"/>
      <c r="T206" s="270"/>
      <c r="U206" s="1019"/>
      <c r="V206" s="1118"/>
      <c r="W206" s="618"/>
      <c r="X206" s="618"/>
      <c r="Y206" s="1141"/>
      <c r="Z206" s="492"/>
      <c r="AA206" s="493" t="s">
        <v>769</v>
      </c>
      <c r="AB206" s="1069"/>
      <c r="AC206" s="1142"/>
      <c r="AD206" s="839"/>
      <c r="AE206" s="270" t="str">
        <f>IF(Z206="","",IF(Z206&gt;AB206,Y206,IF(Z206=AB206,"",AC206)))</f>
        <v/>
      </c>
      <c r="AF206" s="270" t="str">
        <f>IF(Z206="","",IF(Z206=AB206,Y206,""))</f>
        <v/>
      </c>
      <c r="AG206" s="270" t="str">
        <f>IF(Z206="","",IF(Z206=AB206,AC206,""))</f>
        <v/>
      </c>
      <c r="AH206" s="270" t="str">
        <f>IF(Z206="","",IF(Z206&lt;AB206,Y206,IF(Z206=AB206,"",AC206)))</f>
        <v/>
      </c>
      <c r="AI206" s="270" t="str">
        <f>IF(Z206="","",IF(Z206&gt;AB206,Y202,""))</f>
        <v/>
      </c>
      <c r="AJ206" s="270" t="str">
        <f>IF(Z206="","",IF(Z206&lt;AB206,AC202,""))</f>
        <v/>
      </c>
      <c r="AK206" s="270" t="str">
        <f>CONCATENATE(AE206,AH206)</f>
        <v/>
      </c>
      <c r="AL206" s="270"/>
      <c r="AM206" s="270"/>
      <c r="AN206" s="270"/>
      <c r="AO206" s="575"/>
      <c r="AP206" s="270"/>
      <c r="AQ206" s="270"/>
      <c r="AR206" s="270"/>
      <c r="AS206" s="270"/>
      <c r="AT206" s="270"/>
      <c r="AU206" s="270"/>
      <c r="AV206" s="270"/>
      <c r="AW206" s="270"/>
      <c r="AX206" s="270"/>
      <c r="AY206" s="270"/>
      <c r="AZ206" s="270"/>
      <c r="BA206" s="270"/>
      <c r="BB206" s="270"/>
      <c r="BC206" s="270"/>
      <c r="BD206" s="270"/>
      <c r="BE206" s="270"/>
      <c r="BF206" s="270"/>
      <c r="BG206" s="270"/>
      <c r="BH206" s="270"/>
      <c r="BI206" s="270"/>
      <c r="BJ206" s="270"/>
      <c r="BK206" s="270"/>
      <c r="BL206" s="270"/>
      <c r="BM206" s="270"/>
      <c r="BN206" s="270"/>
      <c r="BO206" s="270"/>
      <c r="BP206" s="270"/>
      <c r="BQ206" s="270"/>
      <c r="BR206" s="270"/>
      <c r="BS206" s="270"/>
      <c r="BT206" s="270"/>
      <c r="BU206" s="270"/>
      <c r="BV206" s="270"/>
      <c r="BW206" s="270"/>
      <c r="BX206" s="270"/>
      <c r="BY206" s="270"/>
      <c r="BZ206" s="270"/>
      <c r="CA206" s="270"/>
      <c r="CB206" s="270"/>
      <c r="CC206" s="270"/>
      <c r="CD206" s="270"/>
      <c r="CE206" s="1395"/>
      <c r="CF206" s="1450"/>
      <c r="CG206" s="1450"/>
      <c r="CH206" s="270"/>
      <c r="CI206" s="270"/>
      <c r="CJ206" s="270"/>
      <c r="CK206" s="270"/>
      <c r="CL206" s="270"/>
      <c r="CM206" s="270"/>
    </row>
    <row r="207" spans="1:91" ht="13.5" hidden="1" outlineLevel="3" thickBot="1" x14ac:dyDescent="0.25">
      <c r="A207" s="270"/>
      <c r="B207" s="271"/>
      <c r="C207" s="12"/>
      <c r="D207" s="1071"/>
      <c r="E207" s="1071"/>
      <c r="F207" s="1071"/>
      <c r="G207" s="626"/>
      <c r="H207" s="271"/>
      <c r="I207" s="270"/>
      <c r="J207" s="270"/>
      <c r="K207" s="270"/>
      <c r="L207" s="270"/>
      <c r="M207" s="270"/>
      <c r="N207" s="270"/>
      <c r="O207" s="270"/>
      <c r="P207" s="1072"/>
      <c r="Q207" s="270"/>
      <c r="R207" s="270"/>
      <c r="S207" s="1072"/>
      <c r="T207" s="270"/>
      <c r="U207" s="1019"/>
      <c r="V207" s="1073"/>
      <c r="W207" s="1074"/>
      <c r="X207" s="1075" t="str">
        <f>N_Substitute</f>
        <v>Remplaçant</v>
      </c>
      <c r="Y207" s="1141"/>
      <c r="Z207" s="492"/>
      <c r="AA207" s="1076"/>
      <c r="AB207" s="1069"/>
      <c r="AC207" s="1142"/>
      <c r="AD207" s="839"/>
      <c r="AE207" s="270"/>
      <c r="AF207" s="270"/>
      <c r="AG207" s="270"/>
      <c r="AH207" s="270"/>
      <c r="AI207" s="270"/>
      <c r="AJ207" s="270"/>
      <c r="AK207" s="270"/>
      <c r="AL207" s="270"/>
      <c r="AM207" s="270"/>
      <c r="AN207" s="270"/>
      <c r="AO207" s="271"/>
      <c r="AP207" s="270"/>
      <c r="AQ207" s="270"/>
      <c r="AR207" s="270"/>
      <c r="AS207" s="270"/>
      <c r="AT207" s="270"/>
      <c r="AU207" s="270"/>
      <c r="AV207" s="270"/>
      <c r="AW207" s="270"/>
      <c r="AX207" s="270"/>
      <c r="AY207" s="1072"/>
      <c r="AZ207" s="270"/>
      <c r="BA207" s="270"/>
      <c r="BB207" s="1072"/>
      <c r="BC207" s="270"/>
      <c r="BD207" s="270"/>
      <c r="BE207" s="270"/>
      <c r="BF207" s="270"/>
      <c r="BG207" s="270"/>
      <c r="BH207" s="270"/>
      <c r="BI207" s="270"/>
      <c r="BJ207" s="270"/>
      <c r="BK207" s="270"/>
      <c r="BL207" s="270"/>
      <c r="BM207" s="270"/>
      <c r="BN207" s="270"/>
      <c r="BO207" s="270"/>
      <c r="BP207" s="270"/>
      <c r="BQ207" s="270"/>
      <c r="BR207" s="270"/>
      <c r="BS207" s="270"/>
      <c r="BT207" s="270"/>
      <c r="BU207" s="270"/>
      <c r="BV207" s="270"/>
      <c r="BW207" s="270"/>
      <c r="BX207" s="270"/>
      <c r="BY207" s="270"/>
      <c r="BZ207" s="270"/>
      <c r="CA207" s="270"/>
      <c r="CB207" s="270"/>
      <c r="CC207" s="270"/>
      <c r="CD207" s="270"/>
      <c r="CE207" s="1395"/>
      <c r="CF207" s="1450"/>
      <c r="CG207" s="1450"/>
      <c r="CH207" s="270"/>
      <c r="CI207" s="270"/>
      <c r="CJ207" s="270"/>
      <c r="CK207" s="270"/>
      <c r="CL207" s="270"/>
      <c r="CM207" s="270"/>
    </row>
    <row r="208" spans="1:91" ht="13.5" hidden="1" outlineLevel="3" thickBot="1" x14ac:dyDescent="0.25">
      <c r="A208" s="270"/>
      <c r="B208" s="271"/>
      <c r="C208" s="12"/>
      <c r="D208" s="1071"/>
      <c r="E208" s="1071"/>
      <c r="F208" s="1071"/>
      <c r="G208" s="626"/>
      <c r="H208" s="271"/>
      <c r="I208" s="270"/>
      <c r="J208" s="270"/>
      <c r="K208" s="270"/>
      <c r="L208" s="270"/>
      <c r="M208" s="270"/>
      <c r="N208" s="270"/>
      <c r="O208" s="270"/>
      <c r="P208" s="1072"/>
      <c r="Q208" s="270"/>
      <c r="R208" s="270"/>
      <c r="S208" s="1072"/>
      <c r="T208" s="270"/>
      <c r="U208" s="1019"/>
      <c r="V208" s="1119"/>
      <c r="W208" s="1120"/>
      <c r="X208" s="1075" t="str">
        <f>N_Substitute</f>
        <v>Remplaçant</v>
      </c>
      <c r="Y208" s="1147"/>
      <c r="Z208" s="492"/>
      <c r="AA208" s="1121"/>
      <c r="AB208" s="1069"/>
      <c r="AC208" s="1148"/>
      <c r="AD208" s="839"/>
      <c r="AE208" s="270"/>
      <c r="AF208" s="270"/>
      <c r="AG208" s="270"/>
      <c r="AH208" s="270"/>
      <c r="AI208" s="270"/>
      <c r="AJ208" s="270"/>
      <c r="AK208" s="270"/>
      <c r="AL208" s="270"/>
      <c r="AM208" s="270"/>
      <c r="AN208" s="270"/>
      <c r="AO208" s="271"/>
      <c r="AP208" s="270"/>
      <c r="AQ208" s="270"/>
      <c r="AR208" s="270"/>
      <c r="AS208" s="270"/>
      <c r="AT208" s="270"/>
      <c r="AU208" s="270"/>
      <c r="AV208" s="270"/>
      <c r="AW208" s="270"/>
      <c r="AX208" s="270"/>
      <c r="AY208" s="1072"/>
      <c r="AZ208" s="270"/>
      <c r="BA208" s="270"/>
      <c r="BB208" s="1072"/>
      <c r="BC208" s="270"/>
      <c r="BD208" s="270"/>
      <c r="BE208" s="270"/>
      <c r="BF208" s="270"/>
      <c r="BG208" s="270"/>
      <c r="BH208" s="270"/>
      <c r="BI208" s="270"/>
      <c r="BJ208" s="270"/>
      <c r="BK208" s="270"/>
      <c r="BL208" s="270"/>
      <c r="BM208" s="270"/>
      <c r="BN208" s="270"/>
      <c r="BO208" s="270"/>
      <c r="BP208" s="270"/>
      <c r="BQ208" s="270"/>
      <c r="BR208" s="270"/>
      <c r="BS208" s="270"/>
      <c r="BT208" s="270"/>
      <c r="BU208" s="270"/>
      <c r="BV208" s="270"/>
      <c r="BW208" s="270"/>
      <c r="BX208" s="270"/>
      <c r="BY208" s="270"/>
      <c r="BZ208" s="270"/>
      <c r="CA208" s="270"/>
      <c r="CB208" s="270"/>
      <c r="CC208" s="270"/>
      <c r="CD208" s="270"/>
      <c r="CE208" s="1395"/>
      <c r="CF208" s="1450"/>
      <c r="CG208" s="1450"/>
      <c r="CH208" s="270"/>
      <c r="CI208" s="270"/>
      <c r="CJ208" s="270"/>
      <c r="CK208" s="270"/>
      <c r="CL208" s="270"/>
      <c r="CM208" s="270"/>
    </row>
    <row r="209" spans="1:91" ht="13.5" outlineLevel="2" collapsed="1" thickBot="1" x14ac:dyDescent="0.25">
      <c r="A209" s="270"/>
      <c r="B209" s="271"/>
      <c r="C209" s="270"/>
      <c r="D209" s="270"/>
      <c r="E209" s="270"/>
      <c r="F209" s="270"/>
      <c r="G209" s="271"/>
      <c r="H209" s="270"/>
      <c r="I209" s="270"/>
      <c r="J209" s="270"/>
      <c r="K209" s="270"/>
      <c r="L209" s="270"/>
      <c r="M209" s="270"/>
      <c r="N209" s="270"/>
      <c r="O209" s="270"/>
      <c r="P209" s="270"/>
      <c r="Q209" s="270"/>
      <c r="R209" s="270"/>
      <c r="S209" s="270"/>
      <c r="T209" s="270"/>
      <c r="U209" s="1019" t="s">
        <v>1730</v>
      </c>
      <c r="V209" s="1122"/>
      <c r="W209" s="618"/>
      <c r="X209" s="618"/>
      <c r="Y209" s="1143" t="str">
        <f>IF(G142="","",G142)</f>
        <v>Eq3</v>
      </c>
      <c r="Z209" s="1103" t="str">
        <f>IF(OR(ISNUMBER(Z210),ISNUMBER(Z211),ISNUMBER(Z212),ISNUMBER(Z213)),4-COUNTBLANK(AI210:AI213),"")</f>
        <v/>
      </c>
      <c r="AA209" s="1104" t="s">
        <v>769</v>
      </c>
      <c r="AB209" s="1103" t="str">
        <f>IF(OR(ISNUMBER(Z210),ISNUMBER(Z211),ISNUMBER(Z212),ISNUMBER(Z213)),4-COUNTBLANK(AJ210:AJ213),"")</f>
        <v/>
      </c>
      <c r="AC209" s="1144" t="str">
        <f>IF(G143="","",G143)</f>
        <v>Eq4</v>
      </c>
      <c r="AD209" s="839"/>
      <c r="AE209" s="270" t="str">
        <f>IF(Z209="","",IF(Z209&gt;AB209,Y209,IF(Z209=AB209,IF(NoDrawWithWithdraw,IF(AL209=Y209,AC209,IF(AL209=AC209,Y209,"")),""),AC209)))</f>
        <v/>
      </c>
      <c r="AF209" s="270" t="str">
        <f>IF(Z209="","",IF(Z209=AB209,IF(NoDrawWithWithdraw,IF(AL209=Y209,"",IF(AL209=AC209,"",Y209)),Y209),""))</f>
        <v/>
      </c>
      <c r="AG209" s="270" t="str">
        <f>IF(Z209="","",IF(Z209=AB209,IF(NoDrawWithWithdraw,IF(AL209=Y209,"",IF(AL209=AC209,"",AC209)),AC209),""))</f>
        <v/>
      </c>
      <c r="AH209" s="270" t="str">
        <f>IF(Z209="","",IF(Z209&lt;AB209,Y209,IF(Z209=AB209,IF(NoDrawWithWithdraw,IF(AL209=Y209,Y209,IF(AL209=AC209,AC209,"")),""),AC209)))</f>
        <v/>
      </c>
      <c r="AI209" s="270" t="str">
        <f>IF(Z209="","",SUM(Z210:Z213))</f>
        <v/>
      </c>
      <c r="AJ209" s="270" t="str">
        <f>IF(Z209="","",SUM(AB210:AB213))</f>
        <v/>
      </c>
      <c r="AK209" s="270" t="str">
        <f>CONCATENATE(AE209,AH209)</f>
        <v/>
      </c>
      <c r="AL209" s="270" t="str">
        <f>IF(COUNTIF(Y210:Y213,WithdrawLabel)&gt;COUNTIF(AC210:AC213,WithdrawLabel),Y209,IF(COUNTIF(AC210:AC213,WithdrawLabel)&gt;COUNTIF(Y210:Y213,WithdrawLabel),AC209,""))</f>
        <v/>
      </c>
      <c r="AM209" s="270"/>
      <c r="AN209" s="270"/>
      <c r="AO209" s="575"/>
      <c r="AP209" s="270"/>
      <c r="AQ209" s="270"/>
      <c r="AR209" s="270"/>
      <c r="AS209" s="270"/>
      <c r="AT209" s="270"/>
      <c r="AU209" s="270"/>
      <c r="AV209" s="270"/>
      <c r="AW209" s="270"/>
      <c r="AX209" s="270"/>
      <c r="AY209" s="270"/>
      <c r="AZ209" s="270"/>
      <c r="BA209" s="270"/>
      <c r="BB209" s="270"/>
      <c r="BC209" s="270"/>
      <c r="BD209" s="270"/>
      <c r="BE209" s="270"/>
      <c r="BF209" s="270"/>
      <c r="BG209" s="270"/>
      <c r="BH209" s="270"/>
      <c r="BI209" s="270"/>
      <c r="BJ209" s="270"/>
      <c r="BK209" s="270"/>
      <c r="BL209" s="270"/>
      <c r="BM209" s="270"/>
      <c r="BN209" s="270"/>
      <c r="BO209" s="270"/>
      <c r="BP209" s="270"/>
      <c r="BQ209" s="270"/>
      <c r="BR209" s="270"/>
      <c r="BS209" s="270"/>
      <c r="BT209" s="270"/>
      <c r="BU209" s="270"/>
      <c r="BV209" s="270"/>
      <c r="BW209" s="270"/>
      <c r="BX209" s="270"/>
      <c r="BY209" s="270"/>
      <c r="BZ209" s="270"/>
      <c r="CA209" s="270"/>
      <c r="CB209" s="270"/>
      <c r="CC209" s="270"/>
      <c r="CD209" s="270"/>
      <c r="CE209" s="1395"/>
      <c r="CF209" s="1450"/>
      <c r="CG209" s="1450"/>
      <c r="CH209" s="270"/>
      <c r="CI209" s="270"/>
      <c r="CJ209" s="270"/>
      <c r="CK209" s="270"/>
      <c r="CL209" s="270"/>
      <c r="CM209" s="270"/>
    </row>
    <row r="210" spans="1:91" ht="13.5" hidden="1" outlineLevel="3" thickBot="1" x14ac:dyDescent="0.25">
      <c r="A210" s="270"/>
      <c r="B210" s="271"/>
      <c r="C210" s="270"/>
      <c r="D210" s="270"/>
      <c r="E210" s="270"/>
      <c r="F210" s="270"/>
      <c r="G210" s="271"/>
      <c r="H210" s="270"/>
      <c r="I210" s="270"/>
      <c r="J210" s="270"/>
      <c r="K210" s="270"/>
      <c r="L210" s="270"/>
      <c r="M210" s="270"/>
      <c r="N210" s="270"/>
      <c r="O210" s="270"/>
      <c r="P210" s="270"/>
      <c r="Q210" s="270"/>
      <c r="R210" s="270"/>
      <c r="S210" s="270"/>
      <c r="T210" s="270"/>
      <c r="U210" s="270"/>
      <c r="V210" s="1118"/>
      <c r="W210" s="618"/>
      <c r="X210" s="618"/>
      <c r="Y210" s="1141"/>
      <c r="Z210" s="492"/>
      <c r="AA210" s="493" t="s">
        <v>769</v>
      </c>
      <c r="AB210" s="1069"/>
      <c r="AC210" s="1142"/>
      <c r="AD210" s="839"/>
      <c r="AE210" s="270" t="str">
        <f>IF(Z210="","",IF(Z210&gt;AB210,Y210,IF(Z210=AB210,"",AC210)))</f>
        <v/>
      </c>
      <c r="AF210" s="270" t="str">
        <f>IF(Z210="","",IF(Z210=AB210,Y210,""))</f>
        <v/>
      </c>
      <c r="AG210" s="270" t="str">
        <f>IF(Z210="","",IF(Z210=AB210,AC210,""))</f>
        <v/>
      </c>
      <c r="AH210" s="270" t="str">
        <f>IF(Z210="","",IF(Z210&lt;AB210,Y210,IF(Z210=AB210,"",AC210)))</f>
        <v/>
      </c>
      <c r="AI210" s="270" t="str">
        <f>IF(Z210="","",IF(Z210&gt;AB210,Y209,""))</f>
        <v/>
      </c>
      <c r="AJ210" s="270" t="str">
        <f>IF(Z210="","",IF(Z210&lt;AB210,AC209,""))</f>
        <v/>
      </c>
      <c r="AK210" s="270" t="str">
        <f>CONCATENATE(AE210,AH210)</f>
        <v/>
      </c>
      <c r="AL210" s="270"/>
      <c r="AM210" s="270"/>
      <c r="AN210" s="270"/>
      <c r="AO210" s="575"/>
      <c r="AP210" s="270"/>
      <c r="AQ210" s="270"/>
      <c r="AR210" s="270"/>
      <c r="AS210" s="270"/>
      <c r="AT210" s="270"/>
      <c r="AU210" s="270"/>
      <c r="AV210" s="270"/>
      <c r="AW210" s="270"/>
      <c r="AX210" s="270"/>
      <c r="AY210" s="270"/>
      <c r="AZ210" s="270"/>
      <c r="BA210" s="270"/>
      <c r="BB210" s="270"/>
      <c r="BC210" s="270"/>
      <c r="BD210" s="270"/>
      <c r="BE210" s="270"/>
      <c r="BF210" s="270"/>
      <c r="BG210" s="270"/>
      <c r="BH210" s="270"/>
      <c r="BI210" s="270"/>
      <c r="BJ210" s="270"/>
      <c r="BK210" s="270"/>
      <c r="BL210" s="270"/>
      <c r="BM210" s="270"/>
      <c r="BN210" s="270"/>
      <c r="BO210" s="270"/>
      <c r="BP210" s="270"/>
      <c r="BQ210" s="270"/>
      <c r="BR210" s="270"/>
      <c r="BS210" s="270"/>
      <c r="BT210" s="270"/>
      <c r="BU210" s="270"/>
      <c r="BV210" s="270"/>
      <c r="BW210" s="270"/>
      <c r="BX210" s="270"/>
      <c r="BY210" s="270"/>
      <c r="BZ210" s="270"/>
      <c r="CA210" s="270"/>
      <c r="CB210" s="270"/>
      <c r="CC210" s="270"/>
      <c r="CD210" s="270"/>
      <c r="CE210" s="1395"/>
      <c r="CF210" s="1450"/>
      <c r="CG210" s="1450"/>
      <c r="CH210" s="270"/>
      <c r="CI210" s="270"/>
      <c r="CJ210" s="270"/>
      <c r="CK210" s="270"/>
      <c r="CL210" s="270"/>
      <c r="CM210" s="270"/>
    </row>
    <row r="211" spans="1:91" ht="13.5" hidden="1" outlineLevel="3" thickBot="1" x14ac:dyDescent="0.25">
      <c r="A211" s="270"/>
      <c r="B211" s="271"/>
      <c r="C211" s="270"/>
      <c r="D211" s="270"/>
      <c r="E211" s="270"/>
      <c r="F211" s="270"/>
      <c r="G211" s="271"/>
      <c r="H211" s="270"/>
      <c r="I211" s="270"/>
      <c r="J211" s="270"/>
      <c r="K211" s="270"/>
      <c r="L211" s="270"/>
      <c r="M211" s="270"/>
      <c r="N211" s="270"/>
      <c r="O211" s="270"/>
      <c r="P211" s="270"/>
      <c r="Q211" s="270"/>
      <c r="R211" s="270"/>
      <c r="S211" s="270"/>
      <c r="T211" s="270"/>
      <c r="U211" s="270"/>
      <c r="V211" s="1118"/>
      <c r="W211" s="618"/>
      <c r="X211" s="618"/>
      <c r="Y211" s="1141"/>
      <c r="Z211" s="492"/>
      <c r="AA211" s="493" t="s">
        <v>769</v>
      </c>
      <c r="AB211" s="1069"/>
      <c r="AC211" s="1142"/>
      <c r="AD211" s="839"/>
      <c r="AE211" s="270" t="str">
        <f>IF(Z211="","",IF(Z211&gt;AB211,Y211,IF(Z211=AB211,"",AC211)))</f>
        <v/>
      </c>
      <c r="AF211" s="270" t="str">
        <f>IF(Z211="","",IF(Z211=AB211,Y211,""))</f>
        <v/>
      </c>
      <c r="AG211" s="270" t="str">
        <f>IF(Z211="","",IF(Z211=AB211,AC211,""))</f>
        <v/>
      </c>
      <c r="AH211" s="270" t="str">
        <f>IF(Z211="","",IF(Z211&lt;AB211,Y211,IF(Z211=AB211,"",AC211)))</f>
        <v/>
      </c>
      <c r="AI211" s="270" t="str">
        <f>IF(Z211="","",IF(Z211&gt;AB211,Y209,""))</f>
        <v/>
      </c>
      <c r="AJ211" s="270" t="str">
        <f>IF(Z211="","",IF(Z211&lt;AB211,AC209,""))</f>
        <v/>
      </c>
      <c r="AK211" s="270" t="str">
        <f>CONCATENATE(AE211,AH211)</f>
        <v/>
      </c>
      <c r="AL211" s="270"/>
      <c r="AM211" s="270"/>
      <c r="AN211" s="270"/>
      <c r="AO211" s="575"/>
      <c r="AP211" s="270"/>
      <c r="AQ211" s="270"/>
      <c r="AR211" s="270"/>
      <c r="AS211" s="270"/>
      <c r="AT211" s="270"/>
      <c r="AU211" s="270"/>
      <c r="AV211" s="270"/>
      <c r="AW211" s="270"/>
      <c r="AX211" s="270"/>
      <c r="AY211" s="270"/>
      <c r="AZ211" s="270"/>
      <c r="BA211" s="270"/>
      <c r="BB211" s="270"/>
      <c r="BC211" s="270"/>
      <c r="BD211" s="270"/>
      <c r="BE211" s="270"/>
      <c r="BF211" s="270"/>
      <c r="BG211" s="270"/>
      <c r="BH211" s="270"/>
      <c r="BI211" s="270"/>
      <c r="BJ211" s="270"/>
      <c r="BK211" s="270"/>
      <c r="BL211" s="270"/>
      <c r="BM211" s="270"/>
      <c r="BN211" s="270"/>
      <c r="BO211" s="270"/>
      <c r="BP211" s="270"/>
      <c r="BQ211" s="270"/>
      <c r="BR211" s="270"/>
      <c r="BS211" s="270"/>
      <c r="BT211" s="270"/>
      <c r="BU211" s="270"/>
      <c r="BV211" s="270"/>
      <c r="BW211" s="270"/>
      <c r="BX211" s="270"/>
      <c r="BY211" s="270"/>
      <c r="BZ211" s="270"/>
      <c r="CA211" s="270"/>
      <c r="CB211" s="270"/>
      <c r="CC211" s="270"/>
      <c r="CD211" s="270"/>
      <c r="CE211" s="1395"/>
      <c r="CF211" s="1450"/>
      <c r="CG211" s="1450"/>
      <c r="CH211" s="270"/>
      <c r="CI211" s="270"/>
      <c r="CJ211" s="270"/>
      <c r="CK211" s="270"/>
      <c r="CL211" s="270"/>
      <c r="CM211" s="270"/>
    </row>
    <row r="212" spans="1:91" ht="13.5" hidden="1" outlineLevel="3" thickBot="1" x14ac:dyDescent="0.25">
      <c r="A212" s="270"/>
      <c r="B212" s="271"/>
      <c r="C212" s="270"/>
      <c r="D212" s="270"/>
      <c r="E212" s="270"/>
      <c r="F212" s="270"/>
      <c r="G212" s="271"/>
      <c r="H212" s="270"/>
      <c r="I212" s="270"/>
      <c r="J212" s="270"/>
      <c r="K212" s="270"/>
      <c r="L212" s="270"/>
      <c r="M212" s="270"/>
      <c r="N212" s="270"/>
      <c r="O212" s="270"/>
      <c r="P212" s="270"/>
      <c r="Q212" s="270"/>
      <c r="R212" s="270"/>
      <c r="S212" s="270"/>
      <c r="T212" s="270"/>
      <c r="U212" s="270"/>
      <c r="V212" s="1118"/>
      <c r="W212" s="618"/>
      <c r="X212" s="618"/>
      <c r="Y212" s="1141"/>
      <c r="Z212" s="492"/>
      <c r="AA212" s="493" t="s">
        <v>769</v>
      </c>
      <c r="AB212" s="1069"/>
      <c r="AC212" s="1142"/>
      <c r="AD212" s="839"/>
      <c r="AE212" s="270" t="str">
        <f>IF(Z212="","",IF(Z212&gt;AB212,Y212,IF(Z212=AB212,"",AC212)))</f>
        <v/>
      </c>
      <c r="AF212" s="270" t="str">
        <f>IF(Z212="","",IF(Z212=AB212,Y212,""))</f>
        <v/>
      </c>
      <c r="AG212" s="270" t="str">
        <f>IF(Z212="","",IF(Z212=AB212,AC212,""))</f>
        <v/>
      </c>
      <c r="AH212" s="270" t="str">
        <f>IF(Z212="","",IF(Z212&lt;AB212,Y212,IF(Z212=AB212,"",AC212)))</f>
        <v/>
      </c>
      <c r="AI212" s="270" t="str">
        <f>IF(Z212="","",IF(Z212&gt;AB212,Y209,""))</f>
        <v/>
      </c>
      <c r="AJ212" s="270" t="str">
        <f>IF(Z212="","",IF(Z212&lt;AB212,AC209,""))</f>
        <v/>
      </c>
      <c r="AK212" s="270" t="str">
        <f>CONCATENATE(AE212,AH212)</f>
        <v/>
      </c>
      <c r="AL212" s="270"/>
      <c r="AM212" s="270"/>
      <c r="AN212" s="270"/>
      <c r="AO212" s="575"/>
      <c r="AP212" s="270"/>
      <c r="AQ212" s="270"/>
      <c r="AR212" s="270"/>
      <c r="AS212" s="270"/>
      <c r="AT212" s="270"/>
      <c r="AU212" s="270"/>
      <c r="AV212" s="270"/>
      <c r="AW212" s="270"/>
      <c r="AX212" s="270"/>
      <c r="AY212" s="270"/>
      <c r="AZ212" s="270"/>
      <c r="BA212" s="270"/>
      <c r="BB212" s="270"/>
      <c r="BC212" s="270"/>
      <c r="BD212" s="270"/>
      <c r="BE212" s="270"/>
      <c r="BF212" s="270"/>
      <c r="BG212" s="270"/>
      <c r="BH212" s="270"/>
      <c r="BI212" s="270"/>
      <c r="BJ212" s="270"/>
      <c r="BK212" s="270"/>
      <c r="BL212" s="270"/>
      <c r="BM212" s="270"/>
      <c r="BN212" s="270"/>
      <c r="BO212" s="270"/>
      <c r="BP212" s="270"/>
      <c r="BQ212" s="270"/>
      <c r="BR212" s="270"/>
      <c r="BS212" s="270"/>
      <c r="BT212" s="270"/>
      <c r="BU212" s="270"/>
      <c r="BV212" s="270"/>
      <c r="BW212" s="270"/>
      <c r="BX212" s="270"/>
      <c r="BY212" s="270"/>
      <c r="BZ212" s="270"/>
      <c r="CA212" s="270"/>
      <c r="CB212" s="270"/>
      <c r="CC212" s="270"/>
      <c r="CD212" s="270"/>
      <c r="CE212" s="1395"/>
      <c r="CF212" s="1450"/>
      <c r="CG212" s="1450"/>
      <c r="CH212" s="270"/>
      <c r="CI212" s="270"/>
      <c r="CJ212" s="270"/>
      <c r="CK212" s="270"/>
      <c r="CL212" s="270"/>
      <c r="CM212" s="270"/>
    </row>
    <row r="213" spans="1:91" ht="13.5" hidden="1" outlineLevel="3" thickBot="1" x14ac:dyDescent="0.25">
      <c r="A213" s="270"/>
      <c r="B213" s="271"/>
      <c r="C213" s="270"/>
      <c r="D213" s="270"/>
      <c r="E213" s="270"/>
      <c r="F213" s="270"/>
      <c r="G213" s="271"/>
      <c r="H213" s="270"/>
      <c r="I213" s="270"/>
      <c r="J213" s="270"/>
      <c r="K213" s="270"/>
      <c r="L213" s="270"/>
      <c r="M213" s="270"/>
      <c r="N213" s="270"/>
      <c r="O213" s="270"/>
      <c r="P213" s="270"/>
      <c r="Q213" s="270"/>
      <c r="R213" s="270"/>
      <c r="S213" s="270"/>
      <c r="T213" s="270"/>
      <c r="U213" s="270"/>
      <c r="V213" s="1118"/>
      <c r="W213" s="618"/>
      <c r="X213" s="618"/>
      <c r="Y213" s="1141"/>
      <c r="Z213" s="492"/>
      <c r="AA213" s="493" t="s">
        <v>769</v>
      </c>
      <c r="AB213" s="1069"/>
      <c r="AC213" s="1142"/>
      <c r="AD213" s="839"/>
      <c r="AE213" s="270" t="str">
        <f>IF(Z213="","",IF(Z213&gt;AB213,Y213,IF(Z213=AB213,"",AC213)))</f>
        <v/>
      </c>
      <c r="AF213" s="270" t="str">
        <f>IF(Z213="","",IF(Z213=AB213,Y213,""))</f>
        <v/>
      </c>
      <c r="AG213" s="270" t="str">
        <f>IF(Z213="","",IF(Z213=AB213,AC213,""))</f>
        <v/>
      </c>
      <c r="AH213" s="270" t="str">
        <f>IF(Z213="","",IF(Z213&lt;AB213,Y213,IF(Z213=AB213,"",AC213)))</f>
        <v/>
      </c>
      <c r="AI213" s="270" t="str">
        <f>IF(Z213="","",IF(Z213&gt;AB213,Y209,""))</f>
        <v/>
      </c>
      <c r="AJ213" s="270" t="str">
        <f>IF(Z213="","",IF(Z213&lt;AB213,AC209,""))</f>
        <v/>
      </c>
      <c r="AK213" s="270" t="str">
        <f>CONCATENATE(AE213,AH213)</f>
        <v/>
      </c>
      <c r="AL213" s="270"/>
      <c r="AM213" s="270"/>
      <c r="AN213" s="270"/>
      <c r="AO213" s="575"/>
      <c r="AP213" s="270"/>
      <c r="AQ213" s="270"/>
      <c r="AR213" s="270"/>
      <c r="AS213" s="270"/>
      <c r="AT213" s="270"/>
      <c r="AU213" s="270"/>
      <c r="AV213" s="270"/>
      <c r="AW213" s="270"/>
      <c r="AX213" s="270"/>
      <c r="AY213" s="270"/>
      <c r="AZ213" s="270"/>
      <c r="BA213" s="270"/>
      <c r="BB213" s="270"/>
      <c r="BC213" s="270"/>
      <c r="BD213" s="270"/>
      <c r="BE213" s="270"/>
      <c r="BF213" s="270"/>
      <c r="BG213" s="270"/>
      <c r="BH213" s="270"/>
      <c r="BI213" s="270"/>
      <c r="BJ213" s="270"/>
      <c r="BK213" s="270"/>
      <c r="BL213" s="270"/>
      <c r="BM213" s="270"/>
      <c r="BN213" s="270"/>
      <c r="BO213" s="270"/>
      <c r="BP213" s="270"/>
      <c r="BQ213" s="270"/>
      <c r="BR213" s="270"/>
      <c r="BS213" s="270"/>
      <c r="BT213" s="270"/>
      <c r="BU213" s="270"/>
      <c r="BV213" s="270"/>
      <c r="BW213" s="270"/>
      <c r="BX213" s="270"/>
      <c r="BY213" s="270"/>
      <c r="BZ213" s="270"/>
      <c r="CA213" s="270"/>
      <c r="CB213" s="270"/>
      <c r="CC213" s="270"/>
      <c r="CD213" s="270"/>
      <c r="CE213" s="1395"/>
      <c r="CF213" s="1450"/>
      <c r="CG213" s="1450"/>
      <c r="CH213" s="270"/>
      <c r="CI213" s="270"/>
      <c r="CJ213" s="270"/>
      <c r="CK213" s="270"/>
      <c r="CL213" s="270"/>
      <c r="CM213" s="270"/>
    </row>
    <row r="214" spans="1:91" ht="13.5" hidden="1" outlineLevel="3" thickBot="1" x14ac:dyDescent="0.25">
      <c r="A214" s="270"/>
      <c r="B214" s="271"/>
      <c r="C214" s="12"/>
      <c r="D214" s="1071"/>
      <c r="E214" s="1071"/>
      <c r="F214" s="1071"/>
      <c r="G214" s="626"/>
      <c r="H214" s="271"/>
      <c r="I214" s="270"/>
      <c r="J214" s="270"/>
      <c r="K214" s="270"/>
      <c r="L214" s="270"/>
      <c r="M214" s="270"/>
      <c r="N214" s="270"/>
      <c r="O214" s="270"/>
      <c r="P214" s="1072"/>
      <c r="Q214" s="270"/>
      <c r="R214" s="270"/>
      <c r="S214" s="1072"/>
      <c r="T214" s="270"/>
      <c r="U214" s="1019"/>
      <c r="V214" s="1077"/>
      <c r="W214" s="1078"/>
      <c r="X214" s="1075" t="str">
        <f>N_Substitute</f>
        <v>Remplaçant</v>
      </c>
      <c r="Y214" s="1141"/>
      <c r="Z214" s="492"/>
      <c r="AA214" s="1076"/>
      <c r="AB214" s="1069"/>
      <c r="AC214" s="1142"/>
      <c r="AD214" s="839"/>
      <c r="AE214" s="270"/>
      <c r="AF214" s="270"/>
      <c r="AG214" s="270"/>
      <c r="AH214" s="270"/>
      <c r="AI214" s="270"/>
      <c r="AJ214" s="270"/>
      <c r="AK214" s="270"/>
      <c r="AL214" s="270"/>
      <c r="AM214" s="270"/>
      <c r="AN214" s="270"/>
      <c r="AO214" s="271"/>
      <c r="AP214" s="270"/>
      <c r="AQ214" s="270"/>
      <c r="AR214" s="270"/>
      <c r="AS214" s="270"/>
      <c r="AT214" s="270"/>
      <c r="AU214" s="270"/>
      <c r="AV214" s="270"/>
      <c r="AW214" s="270"/>
      <c r="AX214" s="270"/>
      <c r="AY214" s="1072"/>
      <c r="AZ214" s="270"/>
      <c r="BA214" s="270"/>
      <c r="BB214" s="1072"/>
      <c r="BC214" s="270"/>
      <c r="BD214" s="270"/>
      <c r="BE214" s="270"/>
      <c r="BF214" s="270"/>
      <c r="BG214" s="270"/>
      <c r="BH214" s="270"/>
      <c r="BI214" s="270"/>
      <c r="BJ214" s="270"/>
      <c r="BK214" s="270"/>
      <c r="BL214" s="270"/>
      <c r="BM214" s="270"/>
      <c r="BN214" s="270"/>
      <c r="BO214" s="270"/>
      <c r="BP214" s="270"/>
      <c r="BQ214" s="270"/>
      <c r="BR214" s="270"/>
      <c r="BS214" s="270"/>
      <c r="BT214" s="270"/>
      <c r="BU214" s="270"/>
      <c r="BV214" s="270"/>
      <c r="BW214" s="270"/>
      <c r="BX214" s="270"/>
      <c r="BY214" s="270"/>
      <c r="BZ214" s="270"/>
      <c r="CA214" s="270"/>
      <c r="CB214" s="270"/>
      <c r="CC214" s="270"/>
      <c r="CD214" s="270"/>
      <c r="CE214" s="1395"/>
      <c r="CF214" s="1450"/>
      <c r="CG214" s="1450"/>
      <c r="CH214" s="270"/>
      <c r="CI214" s="270"/>
      <c r="CJ214" s="270"/>
      <c r="CK214" s="270"/>
      <c r="CL214" s="270"/>
      <c r="CM214" s="270"/>
    </row>
    <row r="215" spans="1:91" ht="13.5" hidden="1" outlineLevel="3" thickBot="1" x14ac:dyDescent="0.25">
      <c r="A215" s="270"/>
      <c r="B215" s="271"/>
      <c r="C215" s="12"/>
      <c r="D215" s="1071"/>
      <c r="E215" s="1071"/>
      <c r="F215" s="1071"/>
      <c r="G215" s="626"/>
      <c r="H215" s="271"/>
      <c r="I215" s="270"/>
      <c r="J215" s="270"/>
      <c r="K215" s="270"/>
      <c r="L215" s="270"/>
      <c r="M215" s="270"/>
      <c r="N215" s="270"/>
      <c r="O215" s="270"/>
      <c r="P215" s="1072"/>
      <c r="Q215" s="270"/>
      <c r="R215" s="270"/>
      <c r="S215" s="1072"/>
      <c r="T215" s="270"/>
      <c r="U215" s="1019"/>
      <c r="V215" s="1087"/>
      <c r="W215" s="1088"/>
      <c r="X215" s="1089" t="str">
        <f>N_Substitute</f>
        <v>Remplaçant</v>
      </c>
      <c r="Y215" s="1145"/>
      <c r="Z215" s="496"/>
      <c r="AA215" s="1090"/>
      <c r="AB215" s="496"/>
      <c r="AC215" s="1146"/>
      <c r="AD215" s="839"/>
      <c r="AE215" s="270"/>
      <c r="AF215" s="270"/>
      <c r="AG215" s="270"/>
      <c r="AH215" s="270"/>
      <c r="AI215" s="270"/>
      <c r="AJ215" s="270"/>
      <c r="AK215" s="270"/>
      <c r="AL215" s="270"/>
      <c r="AM215" s="270"/>
      <c r="AN215" s="270"/>
      <c r="AO215" s="271"/>
      <c r="AP215" s="270"/>
      <c r="AQ215" s="270"/>
      <c r="AR215" s="270"/>
      <c r="AS215" s="270"/>
      <c r="AT215" s="270"/>
      <c r="AU215" s="270"/>
      <c r="AV215" s="270"/>
      <c r="AW215" s="270"/>
      <c r="AX215" s="270"/>
      <c r="AY215" s="1072"/>
      <c r="AZ215" s="270"/>
      <c r="BA215" s="270"/>
      <c r="BB215" s="1072"/>
      <c r="BC215" s="270"/>
      <c r="BD215" s="270"/>
      <c r="BE215" s="270"/>
      <c r="BF215" s="270"/>
      <c r="BG215" s="270"/>
      <c r="BH215" s="270"/>
      <c r="BI215" s="270"/>
      <c r="BJ215" s="270"/>
      <c r="BK215" s="270"/>
      <c r="BL215" s="270"/>
      <c r="BM215" s="270"/>
      <c r="BN215" s="270"/>
      <c r="BO215" s="270"/>
      <c r="BP215" s="270"/>
      <c r="BQ215" s="270"/>
      <c r="BR215" s="270"/>
      <c r="BS215" s="270"/>
      <c r="BT215" s="270"/>
      <c r="BU215" s="270"/>
      <c r="BV215" s="270"/>
      <c r="BW215" s="270"/>
      <c r="BX215" s="270"/>
      <c r="BY215" s="270"/>
      <c r="BZ215" s="270"/>
      <c r="CA215" s="270"/>
      <c r="CB215" s="270"/>
      <c r="CC215" s="270"/>
      <c r="CD215" s="270"/>
      <c r="CE215" s="1395"/>
      <c r="CF215" s="1450"/>
      <c r="CG215" s="1450"/>
      <c r="CH215" s="270"/>
      <c r="CI215" s="270"/>
      <c r="CJ215" s="270"/>
      <c r="CK215" s="270"/>
      <c r="CL215" s="270"/>
      <c r="CM215" s="270"/>
    </row>
    <row r="216" spans="1:91" outlineLevel="1" x14ac:dyDescent="0.2">
      <c r="A216" s="270"/>
      <c r="B216" s="271"/>
      <c r="C216" s="270"/>
      <c r="D216" s="270"/>
      <c r="E216" s="270"/>
      <c r="F216" s="270"/>
      <c r="G216" s="271"/>
      <c r="H216" s="270"/>
      <c r="I216" s="270"/>
      <c r="J216" s="270"/>
      <c r="K216" s="270"/>
      <c r="L216" s="270"/>
      <c r="M216" s="270"/>
      <c r="N216" s="270"/>
      <c r="O216" s="270"/>
      <c r="P216" s="270"/>
      <c r="Q216" s="270"/>
      <c r="R216" s="270"/>
      <c r="S216" s="270"/>
      <c r="T216" s="270"/>
      <c r="U216" s="270"/>
      <c r="V216" s="1097"/>
      <c r="W216" s="1097"/>
      <c r="X216" s="1098"/>
      <c r="Y216" s="1099"/>
      <c r="Z216" s="1098"/>
      <c r="AA216" s="1097"/>
      <c r="AB216" s="1098"/>
      <c r="AC216" s="1100"/>
      <c r="AD216" s="839"/>
      <c r="AE216" s="270"/>
      <c r="AF216" s="270"/>
      <c r="AG216" s="270"/>
      <c r="AH216" s="270"/>
      <c r="AI216" s="270"/>
      <c r="AJ216" s="270"/>
      <c r="AK216" s="270"/>
      <c r="AL216" s="270"/>
      <c r="AM216" s="270"/>
      <c r="AN216" s="270"/>
      <c r="AO216" s="575"/>
      <c r="AP216" s="270"/>
      <c r="AQ216" s="270"/>
      <c r="AR216" s="270"/>
      <c r="AS216" s="270"/>
      <c r="AT216" s="270"/>
      <c r="AU216" s="270"/>
      <c r="AV216" s="270"/>
      <c r="AW216" s="270"/>
      <c r="AX216" s="270"/>
      <c r="AY216" s="270"/>
      <c r="AZ216" s="270"/>
      <c r="BA216" s="270"/>
      <c r="BB216" s="270"/>
      <c r="BC216" s="270"/>
      <c r="BD216" s="270"/>
      <c r="BE216" s="270"/>
      <c r="BF216" s="270"/>
      <c r="BG216" s="270"/>
      <c r="BH216" s="270"/>
      <c r="BI216" s="270"/>
      <c r="BJ216" s="270"/>
      <c r="BK216" s="270"/>
      <c r="BL216" s="270"/>
      <c r="BM216" s="270"/>
      <c r="BN216" s="270"/>
      <c r="BO216" s="270"/>
      <c r="BP216" s="270"/>
      <c r="BQ216" s="270"/>
      <c r="BR216" s="270"/>
      <c r="BS216" s="270"/>
      <c r="BT216" s="270"/>
      <c r="BU216" s="270"/>
      <c r="BV216" s="270"/>
      <c r="BW216" s="270"/>
      <c r="BX216" s="270"/>
      <c r="BY216" s="270"/>
      <c r="BZ216" s="270"/>
      <c r="CA216" s="270"/>
      <c r="CB216" s="270"/>
      <c r="CC216" s="270"/>
      <c r="CD216" s="270"/>
      <c r="CE216" s="1395"/>
      <c r="CF216" s="1450"/>
      <c r="CG216" s="1450"/>
      <c r="CH216" s="270"/>
      <c r="CI216" s="270"/>
      <c r="CJ216" s="270"/>
      <c r="CK216" s="270"/>
      <c r="CL216" s="270"/>
      <c r="CM216" s="270"/>
    </row>
    <row r="217" spans="1:91" ht="13.5" thickBot="1" x14ac:dyDescent="0.25">
      <c r="A217" s="270"/>
      <c r="B217" s="271"/>
      <c r="C217" s="270"/>
      <c r="D217" s="270"/>
      <c r="E217" s="270"/>
      <c r="F217" s="270"/>
      <c r="G217" s="271"/>
      <c r="H217" s="270"/>
      <c r="I217" s="270"/>
      <c r="J217" s="270"/>
      <c r="K217" s="270"/>
      <c r="L217" s="270"/>
      <c r="M217" s="270"/>
      <c r="N217" s="270"/>
      <c r="O217" s="270"/>
      <c r="P217" s="270"/>
      <c r="Q217" s="270"/>
      <c r="R217" s="270"/>
      <c r="S217" s="270"/>
      <c r="T217" s="270"/>
      <c r="U217" s="270"/>
      <c r="V217" s="271"/>
      <c r="W217" s="271"/>
      <c r="X217" s="270"/>
      <c r="Y217" s="646"/>
      <c r="Z217" s="270"/>
      <c r="AA217" s="271"/>
      <c r="AB217" s="270"/>
      <c r="AC217" s="290"/>
      <c r="AD217" s="839"/>
      <c r="AE217" s="270"/>
      <c r="AF217" s="270"/>
      <c r="AG217" s="270"/>
      <c r="AH217" s="270"/>
      <c r="AI217" s="270"/>
      <c r="AJ217" s="270"/>
      <c r="AK217" s="270"/>
      <c r="AL217" s="270"/>
      <c r="AM217" s="270"/>
      <c r="AN217" s="270"/>
      <c r="AO217" s="575"/>
      <c r="AP217" s="270"/>
      <c r="AQ217" s="270"/>
      <c r="AR217" s="270"/>
      <c r="AS217" s="270"/>
      <c r="AT217" s="270"/>
      <c r="AU217" s="270"/>
      <c r="AV217" s="270"/>
      <c r="AW217" s="270"/>
      <c r="AX217" s="270"/>
      <c r="AY217" s="270"/>
      <c r="AZ217" s="270"/>
      <c r="BA217" s="270"/>
      <c r="BB217" s="270"/>
      <c r="BC217" s="270"/>
      <c r="BD217" s="270"/>
      <c r="BE217" s="270"/>
      <c r="BF217" s="270"/>
      <c r="BG217" s="270"/>
      <c r="BH217" s="270"/>
      <c r="BI217" s="270"/>
      <c r="BJ217" s="270"/>
      <c r="BK217" s="270"/>
      <c r="BL217" s="270"/>
      <c r="BM217" s="270"/>
      <c r="BN217" s="270"/>
      <c r="BO217" s="270"/>
      <c r="BP217" s="270"/>
      <c r="BQ217" s="270"/>
      <c r="BR217" s="270"/>
      <c r="BS217" s="270"/>
      <c r="BT217" s="270"/>
      <c r="BU217" s="270"/>
      <c r="BV217" s="270"/>
      <c r="BW217" s="270"/>
      <c r="BX217" s="270"/>
      <c r="BY217" s="270"/>
      <c r="BZ217" s="270"/>
      <c r="CA217" s="270"/>
      <c r="CB217" s="270"/>
      <c r="CC217" s="270"/>
      <c r="CD217" s="270"/>
      <c r="CE217" s="1395"/>
      <c r="CF217" s="1450"/>
      <c r="CG217" s="1450"/>
      <c r="CH217" s="270"/>
      <c r="CI217" s="270"/>
      <c r="CJ217" s="270"/>
      <c r="CK217" s="270"/>
      <c r="CL217" s="270"/>
      <c r="CM217" s="270"/>
    </row>
    <row r="218" spans="1:91" ht="13.5" thickBot="1" x14ac:dyDescent="0.25">
      <c r="A218" s="270"/>
      <c r="B218" s="1101" t="str">
        <f>N_Group_6</f>
        <v>Poule de 6</v>
      </c>
      <c r="C218" s="1022"/>
      <c r="D218" s="1022"/>
      <c r="E218" s="1022"/>
      <c r="F218" s="1022"/>
      <c r="G218" s="1022"/>
      <c r="H218" s="1022"/>
      <c r="I218" s="1022"/>
      <c r="J218" s="1022"/>
      <c r="K218" s="1022"/>
      <c r="L218" s="1022"/>
      <c r="M218" s="1022"/>
      <c r="N218" s="1022"/>
      <c r="O218" s="1022"/>
      <c r="P218" s="1022"/>
      <c r="Q218" s="1022"/>
      <c r="R218" s="1022"/>
      <c r="S218" s="1022"/>
      <c r="T218" s="1022"/>
      <c r="U218" s="1022"/>
      <c r="V218" s="1022"/>
      <c r="W218" s="1022"/>
      <c r="X218" s="1022"/>
      <c r="Y218" s="1022"/>
      <c r="Z218" s="1022"/>
      <c r="AA218" s="1022"/>
      <c r="AB218" s="1022"/>
      <c r="AC218" s="1022"/>
      <c r="AD218" s="1022"/>
      <c r="AE218" s="1022"/>
      <c r="AF218" s="1022"/>
      <c r="AG218" s="1022"/>
      <c r="AH218" s="1022"/>
      <c r="AI218" s="1022"/>
      <c r="AJ218" s="1022"/>
      <c r="AK218" s="1022"/>
      <c r="AL218" s="1022"/>
      <c r="AM218" s="1023"/>
      <c r="AN218" s="1022" t="str">
        <f>B218</f>
        <v>Poule de 6</v>
      </c>
      <c r="AO218" s="1022"/>
      <c r="AP218" s="1022"/>
      <c r="AQ218" s="1022"/>
      <c r="AR218" s="1022"/>
      <c r="AS218" s="1022"/>
      <c r="AT218" s="1022"/>
      <c r="AU218" s="1022"/>
      <c r="AV218" s="1022"/>
      <c r="AW218" s="1022"/>
      <c r="AX218" s="1022"/>
      <c r="AY218" s="1022"/>
      <c r="AZ218" s="1022"/>
      <c r="BA218" s="1022"/>
      <c r="BB218" s="1022"/>
      <c r="BC218" s="1022"/>
      <c r="BD218" s="1022"/>
      <c r="BE218" s="1022"/>
      <c r="BF218" s="1022"/>
      <c r="BG218" s="1022"/>
      <c r="BH218" s="1022"/>
      <c r="BI218" s="1022"/>
      <c r="BJ218" s="1022"/>
      <c r="BK218" s="1022"/>
      <c r="BL218" s="1022"/>
      <c r="BM218" s="1022"/>
      <c r="BN218" s="1022"/>
      <c r="BO218" s="1022"/>
      <c r="BP218" s="1022"/>
      <c r="BQ218" s="1022"/>
      <c r="BR218" s="1022"/>
      <c r="BS218" s="1022"/>
      <c r="BT218" s="1022"/>
      <c r="BU218" s="1022"/>
      <c r="BV218" s="1022"/>
      <c r="BW218" s="1022"/>
      <c r="BX218" s="1022"/>
      <c r="BY218" s="1022"/>
      <c r="BZ218" s="1022"/>
      <c r="CA218" s="1022"/>
      <c r="CB218" s="1022"/>
      <c r="CC218" s="1022"/>
      <c r="CD218" s="1022"/>
      <c r="CE218" s="1395"/>
      <c r="CF218" s="1450"/>
      <c r="CG218" s="1450"/>
      <c r="CH218" s="1023"/>
      <c r="CI218" s="270"/>
      <c r="CJ218" s="270"/>
      <c r="CK218" s="270"/>
      <c r="CL218" s="270"/>
      <c r="CM218" s="270"/>
    </row>
    <row r="219" spans="1:91" ht="13.5" outlineLevel="1" thickBot="1" x14ac:dyDescent="0.25">
      <c r="A219" s="270"/>
      <c r="B219" s="271"/>
      <c r="C219" s="270"/>
      <c r="D219" s="270"/>
      <c r="E219" s="270"/>
      <c r="F219" s="270"/>
      <c r="G219" s="271"/>
      <c r="H219" s="270"/>
      <c r="I219" s="270"/>
      <c r="J219" s="270"/>
      <c r="K219" s="270"/>
      <c r="L219" s="270"/>
      <c r="M219" s="270"/>
      <c r="N219" s="270"/>
      <c r="O219" s="270"/>
      <c r="P219" s="270"/>
      <c r="Q219" s="270"/>
      <c r="R219" s="270"/>
      <c r="S219" s="270"/>
      <c r="T219" s="270"/>
      <c r="U219" s="270"/>
      <c r="V219" s="271"/>
      <c r="W219" s="271"/>
      <c r="X219" s="270"/>
      <c r="Y219" s="646"/>
      <c r="Z219" s="271"/>
      <c r="AA219" s="271"/>
      <c r="AB219" s="271"/>
      <c r="AC219" s="290"/>
      <c r="AD219" s="839"/>
      <c r="AE219" s="270"/>
      <c r="AF219" s="270"/>
      <c r="AG219" s="270"/>
      <c r="AH219" s="270"/>
      <c r="AI219" s="270"/>
      <c r="AJ219" s="270"/>
      <c r="AK219" s="270"/>
      <c r="AL219" s="270"/>
      <c r="AM219" s="270"/>
      <c r="AN219" s="270"/>
      <c r="AO219" s="575"/>
      <c r="AP219" s="270"/>
      <c r="AQ219" s="270"/>
      <c r="AR219" s="270"/>
      <c r="AS219" s="270"/>
      <c r="AT219" s="270"/>
      <c r="AU219" s="270"/>
      <c r="AV219" s="270"/>
      <c r="AW219" s="270"/>
      <c r="AX219" s="270"/>
      <c r="AY219" s="270"/>
      <c r="AZ219" s="270"/>
      <c r="BA219" s="270"/>
      <c r="BB219" s="270"/>
      <c r="BC219" s="270"/>
      <c r="BD219" s="270"/>
      <c r="BE219" s="270"/>
      <c r="BF219" s="270"/>
      <c r="BG219" s="270"/>
      <c r="BH219" s="270"/>
      <c r="BI219" s="270"/>
      <c r="BJ219" s="270"/>
      <c r="BK219" s="270"/>
      <c r="BL219" s="270"/>
      <c r="BM219" s="270"/>
      <c r="BN219" s="270"/>
      <c r="BO219" s="270"/>
      <c r="BP219" s="270"/>
      <c r="BQ219" s="270"/>
      <c r="BR219" s="270"/>
      <c r="BS219" s="270"/>
      <c r="BT219" s="270"/>
      <c r="BU219" s="270"/>
      <c r="BV219" s="270"/>
      <c r="BW219" s="270"/>
      <c r="BX219" s="270"/>
      <c r="BY219" s="270"/>
      <c r="BZ219" s="270"/>
      <c r="CA219" s="270"/>
      <c r="CB219" s="270"/>
      <c r="CC219" s="270"/>
      <c r="CD219" s="270"/>
      <c r="CE219" s="1395"/>
      <c r="CF219" s="1450"/>
      <c r="CG219" s="1450"/>
      <c r="CH219" s="270"/>
      <c r="CI219" s="270"/>
      <c r="CJ219" s="270"/>
      <c r="CK219" s="270"/>
      <c r="CL219" s="270"/>
      <c r="CM219" s="270"/>
    </row>
    <row r="220" spans="1:91" ht="13.5" outlineLevel="1" thickBot="1" x14ac:dyDescent="0.25">
      <c r="A220" s="270"/>
      <c r="B220" s="1149" t="str">
        <f>N_Tirage</f>
        <v>Tirage</v>
      </c>
      <c r="C220" s="1150" t="s">
        <v>787</v>
      </c>
      <c r="D220" s="1151" t="s">
        <v>831</v>
      </c>
      <c r="E220" s="1151" t="s">
        <v>832</v>
      </c>
      <c r="F220" s="1152" t="s">
        <v>833</v>
      </c>
      <c r="G220" s="1153" t="str">
        <f>N_Equipes</f>
        <v>Equipes</v>
      </c>
      <c r="H220" s="1154" t="str">
        <f>N_Pts</f>
        <v>Pts</v>
      </c>
      <c r="I220" s="1154" t="str">
        <f>N_J</f>
        <v>J</v>
      </c>
      <c r="J220" s="1155" t="str">
        <f>N_G</f>
        <v>G</v>
      </c>
      <c r="K220" s="1155" t="str">
        <f>N_N</f>
        <v>N</v>
      </c>
      <c r="L220" s="1155" t="str">
        <f>N_P</f>
        <v>P</v>
      </c>
      <c r="M220" s="1155" t="str">
        <f>N_Diff_R</f>
        <v>Diff R</v>
      </c>
      <c r="N220" s="1155" t="str">
        <f>N_MP</f>
        <v>MP</v>
      </c>
      <c r="O220" s="1155" t="str">
        <f>N_MC</f>
        <v>MC</v>
      </c>
      <c r="P220" s="1156" t="str">
        <f>N_Diff_M</f>
        <v>Diff M</v>
      </c>
      <c r="Q220" s="1155" t="str">
        <f>N_BP</f>
        <v>BP</v>
      </c>
      <c r="R220" s="1155" t="str">
        <f>N_BC</f>
        <v>BC</v>
      </c>
      <c r="S220" s="1157" t="str">
        <f>N_Diff_B</f>
        <v>Diff B</v>
      </c>
      <c r="T220" s="270"/>
      <c r="U220" s="1158"/>
      <c r="V220" s="1158"/>
      <c r="W220" s="1158"/>
      <c r="X220" s="1159"/>
      <c r="Y220" s="1159"/>
      <c r="Z220" s="271"/>
      <c r="AA220" s="271"/>
      <c r="AB220" s="271"/>
      <c r="AC220" s="290"/>
      <c r="AD220" s="839"/>
      <c r="AE220" s="270"/>
      <c r="AF220" s="270"/>
      <c r="AG220" s="270"/>
      <c r="AH220" s="270"/>
      <c r="AI220" s="270"/>
      <c r="AJ220" s="270"/>
      <c r="AK220" s="270"/>
      <c r="AL220" s="270"/>
      <c r="AM220" s="270"/>
      <c r="AN220" s="270"/>
      <c r="AO220" s="1160" t="str">
        <f>N_Cla.</f>
        <v>Cla.</v>
      </c>
      <c r="AP220" s="1161" t="str">
        <f>N_Equipes</f>
        <v>Equipes</v>
      </c>
      <c r="AQ220" s="1162" t="str">
        <f>N_Pts</f>
        <v>Pts</v>
      </c>
      <c r="AR220" s="1162" t="str">
        <f>N_J</f>
        <v>J</v>
      </c>
      <c r="AS220" s="1151" t="str">
        <f>N_G</f>
        <v>G</v>
      </c>
      <c r="AT220" s="1151" t="str">
        <f>N_N</f>
        <v>N</v>
      </c>
      <c r="AU220" s="1151" t="str">
        <f>N_P</f>
        <v>P</v>
      </c>
      <c r="AV220" s="1163" t="str">
        <f>N_Diff_R</f>
        <v>Diff R</v>
      </c>
      <c r="AW220" s="1164" t="str">
        <f>N_MP</f>
        <v>MP</v>
      </c>
      <c r="AX220" s="1151" t="str">
        <f>N_MC</f>
        <v>MC</v>
      </c>
      <c r="AY220" s="1165" t="str">
        <f>N_Diff_M</f>
        <v>Diff M</v>
      </c>
      <c r="AZ220" s="1164" t="str">
        <f>N_BP</f>
        <v>BP</v>
      </c>
      <c r="BA220" s="1151" t="str">
        <f>N_BC</f>
        <v>BC</v>
      </c>
      <c r="BB220" s="1163" t="str">
        <f>N_Diff_B</f>
        <v>Diff B</v>
      </c>
      <c r="BC220" s="1038" t="str">
        <f>N_Matches</f>
        <v>Matches</v>
      </c>
      <c r="BD220" s="1039"/>
      <c r="BE220" s="1039"/>
      <c r="BF220" s="1039"/>
      <c r="BG220" s="1039"/>
      <c r="BH220" s="1039"/>
      <c r="BI220" s="1039"/>
      <c r="BJ220" s="1039"/>
      <c r="BK220" s="1039"/>
      <c r="BL220" s="1039"/>
      <c r="BM220" s="1039"/>
      <c r="BN220" s="1039"/>
      <c r="BO220" s="1039"/>
      <c r="BP220" s="1039"/>
      <c r="BQ220" s="1040"/>
      <c r="BR220" s="270"/>
      <c r="BS220" s="270"/>
      <c r="BT220" s="270"/>
      <c r="BU220" s="270"/>
      <c r="BV220" s="270"/>
      <c r="BW220" s="270"/>
      <c r="BX220" s="270"/>
      <c r="BY220" s="270"/>
      <c r="BZ220" s="270"/>
      <c r="CA220" s="270"/>
      <c r="CB220" s="270"/>
      <c r="CC220" s="270"/>
      <c r="CD220" s="270"/>
      <c r="CE220" s="1395"/>
      <c r="CF220" s="1450"/>
      <c r="CG220" s="1450"/>
      <c r="CH220" s="270"/>
      <c r="CI220" s="270"/>
      <c r="CJ220" s="270"/>
      <c r="CK220" s="270"/>
      <c r="CL220" s="270"/>
      <c r="CM220" s="270"/>
    </row>
    <row r="221" spans="1:91" outlineLevel="1" x14ac:dyDescent="0.2">
      <c r="A221" s="270"/>
      <c r="B221" s="505">
        <v>1</v>
      </c>
      <c r="C221" s="1041" t="str">
        <f>IF(AL227="","",RANK(F221,F221:F226)*1000+ROW())</f>
        <v/>
      </c>
      <c r="D221" s="1042" t="str">
        <f t="shared" ref="D221:D226" si="5">IF(J221="","",H221*CritClassEq1_Points+M221*CritClassEq1_DiffRencontres+P221*CritClassEq1_DiffMatches+S221*CritClassEq1_DiffButs+N221*CritClassEq1_Matches+Q221*CritClassEq1_Attaque)</f>
        <v/>
      </c>
      <c r="E221" s="1042" t="str">
        <f>IF(J221="","",Nb_Diff_Part(D221,D221:D226,G221,G221:G226,AK228:AK326)*CritClassEq_DiffPart+Nb_Goal_Part(D221,D221:D226,G221,G221:G226,Y228:AC326)*CritClassEq_IndsPart+Nb_Score_Part(D221,D221:D226,G221,G221:G226,Y228:AC326)*CritClassEq_WinsPart+Nb_GoalTeam_Part(D221,D221:D226,G221,G221:G226,Y228:AC326)*CritClassEq_GoalPart+Nb_ScoreTeam_Part(D221,D221:D226,G221,G221:G226,Y228:AC326)*CritClassEq_ScorePart)</f>
        <v/>
      </c>
      <c r="F221" s="1127" t="str">
        <f t="shared" ref="F221:F226" si="6">IF(J221="","",D221+E221+H221*CritClassEq2_Points+M221*CritClassEq2_DiffRencontres+P221*CritClassEq2_DiffMatches+S221*CritClassEq2_DiffButs+N221*CritClassEq2_Matches+Q221*CritClassEq2_Attaque)</f>
        <v/>
      </c>
      <c r="G221" s="476" t="s">
        <v>825</v>
      </c>
      <c r="H221" s="1128" t="str">
        <f>IF(AL227="","",(J221*Points_Victoire)+K221*Points_Null)</f>
        <v/>
      </c>
      <c r="I221" s="535" t="str">
        <f t="shared" ref="I221:I226" si="7">IF(J221="","",SUM(J221:L221))</f>
        <v/>
      </c>
      <c r="J221" s="535" t="str">
        <f>IF(AL227="","",COUNTIF(AE228:AE330,G221))</f>
        <v/>
      </c>
      <c r="K221" s="535" t="str">
        <f>IF(AL227="","",COUNTIF(AF228:AG330,G221))</f>
        <v/>
      </c>
      <c r="L221" s="535" t="str">
        <f>IF(AL227="","",COUNTIF(AH228:AH330,G221))</f>
        <v/>
      </c>
      <c r="M221" s="1045" t="str">
        <f>IF(AL227="","",J221-L221)</f>
        <v/>
      </c>
      <c r="N221" s="535" t="str">
        <f>IF(AL227="","",SUMIF(Y228:Y330,G221,Z228:Z330)+SUMIF(AC228:AC330,G221,AB228:AB330))</f>
        <v/>
      </c>
      <c r="O221" s="535" t="str">
        <f>IF(AL227="","",SUMIF(Y228:Y330,G221,AB228:AB330)+SUMIF(AC228:AC330,G221,Z228:Z330))</f>
        <v/>
      </c>
      <c r="P221" s="1045" t="str">
        <f>IF(AL227="","",N221-O221)</f>
        <v/>
      </c>
      <c r="Q221" s="535" t="str">
        <f>IF(AL227="","",SUMIF(Y228:Y330,G221,AI228:AI330)+SUMIF(AC228:AC330,G221,AJ228:AJ330))</f>
        <v/>
      </c>
      <c r="R221" s="535" t="str">
        <f>IF(AL227="","",SUMIF(Y228:Y330,G221,AJ228:AJ330)+SUMIF(AC228:AC330,G221,AI228:AI330))</f>
        <v/>
      </c>
      <c r="S221" s="508" t="str">
        <f>IF(AL227="","",Q221-R221)</f>
        <v/>
      </c>
      <c r="T221" s="270"/>
      <c r="U221" s="1158"/>
      <c r="V221" s="1158"/>
      <c r="W221" s="1166"/>
      <c r="X221" s="1159"/>
      <c r="Y221" s="1167"/>
      <c r="Z221" s="271"/>
      <c r="AA221" s="271"/>
      <c r="AB221" s="271"/>
      <c r="AC221" s="290"/>
      <c r="AD221" s="839"/>
      <c r="AE221" s="270"/>
      <c r="AF221" s="270"/>
      <c r="AG221" s="270"/>
      <c r="AH221" s="270"/>
      <c r="AI221" s="270"/>
      <c r="AJ221" s="270"/>
      <c r="AK221" s="270"/>
      <c r="AL221" s="270" t="str">
        <f>IF(AL227="","",SMALL(C221:C226,1))</f>
        <v/>
      </c>
      <c r="AM221" s="270"/>
      <c r="AN221" s="270"/>
      <c r="AO221" s="505" t="str">
        <f>IF(AL227="","",INT(AL221/1000))</f>
        <v/>
      </c>
      <c r="AP221" s="1129" t="str">
        <f>IF(AL227="",IF(HidePlayerFormulas,"","("&amp;G221&amp;")"),VLOOKUP(AL221,C221:S226,5,FALSE))</f>
        <v/>
      </c>
      <c r="AQ221" s="506" t="str">
        <f>VLOOKUP(AL221,C221:S226,6,FALSE)</f>
        <v/>
      </c>
      <c r="AR221" s="535" t="str">
        <f>VLOOKUP(AL221,C221:S226,7,FALSE)</f>
        <v/>
      </c>
      <c r="AS221" s="535" t="str">
        <f>VLOOKUP(AL221,C221:S226,8,FALSE)</f>
        <v/>
      </c>
      <c r="AT221" s="535" t="str">
        <f>VLOOKUP(AL221,C221:S226,9,FALSE)</f>
        <v/>
      </c>
      <c r="AU221" s="535" t="str">
        <f>VLOOKUP(AL221,C221:S226,10,FALSE)</f>
        <v/>
      </c>
      <c r="AV221" s="508" t="str">
        <f>VLOOKUP(AL221,C221:S226,11,FALSE)</f>
        <v/>
      </c>
      <c r="AW221" s="506" t="str">
        <f>VLOOKUP(AL221,C221:S226,12,FALSE)</f>
        <v/>
      </c>
      <c r="AX221" s="535" t="str">
        <f>VLOOKUP(AL221,C221:S226,13,FALSE)</f>
        <v/>
      </c>
      <c r="AY221" s="508" t="str">
        <f>VLOOKUP(AL221,C221:S226,14,FALSE)</f>
        <v/>
      </c>
      <c r="AZ221" s="506" t="str">
        <f>VLOOKUP(AL221,C221:S226,15,FALSE)</f>
        <v/>
      </c>
      <c r="BA221" s="535" t="str">
        <f>VLOOKUP(AL221,C221:S226,16,FALSE)</f>
        <v/>
      </c>
      <c r="BB221" s="508" t="str">
        <f>VLOOKUP(AL221,C221:S226,17,FALSE)</f>
        <v/>
      </c>
      <c r="BC221" s="1041" t="str">
        <f>IF(Z228="","",IF(AP221=Y228,Z228&amp;"("&amp;SUM(Z229:Z232)&amp;")",IF(AP221=AC228,AB228&amp;"("&amp;SUM(AB229:AB232)&amp;")","")))</f>
        <v/>
      </c>
      <c r="BD221" s="1049" t="str">
        <f>IF(Z235="","",IF(AP221=Y235,Z235&amp;"("&amp;SUM(Z236:Z239)&amp;")",IF(AP221=AC235,AB235&amp;"("&amp;SUM(AB236:AB239)&amp;")","")))</f>
        <v/>
      </c>
      <c r="BE221" s="1049" t="str">
        <f>IF(Z242="","",IF(AP221=Y242,Z242&amp;"("&amp;SUM(Z243:Z246)&amp;")",IF(AP221=AC242,AB242&amp;"("&amp;SUM(AB243:AB246)&amp;")","")))</f>
        <v/>
      </c>
      <c r="BF221" s="1049" t="str">
        <f>IF(Z249="","",IF(AP221=Y249,Z249&amp;"("&amp;SUM(Z250:Z253)&amp;")",IF(AP221=AC249,AB249&amp;"("&amp;SUM(AB250:AB253)&amp;")","")))</f>
        <v/>
      </c>
      <c r="BG221" s="1049" t="str">
        <f>IF(Z256="","",IF(AP221=Y256,Z256&amp;"("&amp;SUM(Z257:Z260)&amp;")",IF(AP221=AC256,AB256&amp;"("&amp;SUM(AB257:AB260)&amp;")","")))</f>
        <v/>
      </c>
      <c r="BH221" s="1049" t="str">
        <f>IF(Z263="","",IF(AP221=Y263,Z263&amp;"("&amp;SUM(Z264:Z267)&amp;")",IF(AP221=AC263,AB263&amp;"("&amp;SUM(AB264:AB267)&amp;")","")))</f>
        <v/>
      </c>
      <c r="BI221" s="1049" t="str">
        <f>IF(Z270="","",IF(AP221=Y270,Z270&amp;"("&amp;SUM(Z271:Z274)&amp;")",IF(AP221=AC270,AB270&amp;"("&amp;SUM(AB271:AB274)&amp;")","")))</f>
        <v/>
      </c>
      <c r="BJ221" s="1049" t="str">
        <f>IF(Z277="","",IF(AP221=Y277,Z277&amp;"("&amp;SUM(Z278:Z281)&amp;")",IF(AP221=AC277,AB277&amp;"("&amp;SUM(AB278:AB281)&amp;")","")))</f>
        <v/>
      </c>
      <c r="BK221" s="1049" t="str">
        <f>IF(Z284="","",IF(AP221=Y284,Z284&amp;"("&amp;SUM(Z285:Z288)&amp;")",IF(AP221=AC284,AB284&amp;"("&amp;SUM(AB285:AB288)&amp;")","")))</f>
        <v/>
      </c>
      <c r="BL221" s="1049" t="str">
        <f>IF(Z291="","",IF(AP221=Y291,Z291&amp;"("&amp;SUM(Z292:Z295)&amp;")",IF(AP221=AC291,AB291&amp;"("&amp;SUM(AB292:AB295)&amp;")","")))</f>
        <v/>
      </c>
      <c r="BM221" s="1049" t="str">
        <f>IF(Z298="","",IF(AP221=Y298,Z298&amp;"("&amp;SUM(Z299:Z302)&amp;")",IF(AP221=AC298,AB298&amp;"("&amp;SUM(AB299:AB302)&amp;")","")))</f>
        <v/>
      </c>
      <c r="BN221" s="1049" t="str">
        <f>IF(Z305="","",IF(AP221=Y305,Z305&amp;"("&amp;SUM(Z306:Z309)&amp;")",IF(AP221=AC305,AB305&amp;"("&amp;SUM(AB306:AB309)&amp;")","")))</f>
        <v/>
      </c>
      <c r="BO221" s="1049" t="str">
        <f>IF(Z312="","",IF(AP221=Y312,Z312&amp;"("&amp;SUM(Z313:Z316)&amp;")",IF(AP221=AC312,AB312&amp;"("&amp;SUM(AB313:AB316)&amp;")","")))</f>
        <v/>
      </c>
      <c r="BP221" s="1049" t="str">
        <f>IF(Z319="","",IF(AP221=Y319,Z319&amp;"("&amp;SUM(Z320:Z323)&amp;")",IF(AP221=AC319,AB319&amp;"("&amp;SUM(AB320:AB323)&amp;")","")))</f>
        <v/>
      </c>
      <c r="BQ221" s="1050" t="str">
        <f>IF(Z326="","",IF(AP221=Y326,Z326&amp;"("&amp;SUM(Z327:Z330)&amp;")",IF(AP221=AC326,AB326&amp;"("&amp;SUM(AB327:AB330)&amp;")","")))</f>
        <v/>
      </c>
      <c r="BR221" s="270"/>
      <c r="BS221" s="270"/>
      <c r="BT221" s="270"/>
      <c r="BU221" s="270"/>
      <c r="BV221" s="270"/>
      <c r="BW221" s="270"/>
      <c r="BX221" s="270"/>
      <c r="BY221" s="270"/>
      <c r="BZ221" s="270"/>
      <c r="CA221" s="270"/>
      <c r="CB221" s="270"/>
      <c r="CC221" s="270"/>
      <c r="CD221" s="270"/>
      <c r="CE221" s="1395" t="b">
        <f t="shared" ref="CE221:CE226" si="8">IF(G221="[---WithDraw---]",FALSE,IF(COUNTIF(PlayerNamesWithinGroups,G221)&gt;1,TRUE,FALSE))</f>
        <v>1</v>
      </c>
      <c r="CF221" s="1450" t="b">
        <f t="shared" ref="CF221:CF226" si="9">AND(LEFT($AP221,1) = "(", RIGHT($AP221,1) =")")</f>
        <v>0</v>
      </c>
      <c r="CG221" s="1450" t="b">
        <f t="shared" ref="CG221:CG226" si="10">IF(OR($AO221=$AO220,$AO221=$AO222),TRUE,FALSE)</f>
        <v>1</v>
      </c>
      <c r="CH221" s="270"/>
      <c r="CI221" s="270"/>
      <c r="CJ221" s="270"/>
      <c r="CK221" s="270"/>
      <c r="CL221" s="270"/>
      <c r="CM221" s="270"/>
    </row>
    <row r="222" spans="1:91" outlineLevel="1" x14ac:dyDescent="0.2">
      <c r="A222" s="270"/>
      <c r="B222" s="545">
        <v>2</v>
      </c>
      <c r="C222" s="126" t="str">
        <f>IF(AL227="","",RANK(F222,F221:F226)*1000+ROW())</f>
        <v/>
      </c>
      <c r="D222" s="1051" t="str">
        <f t="shared" si="5"/>
        <v/>
      </c>
      <c r="E222" s="1051" t="str">
        <f>IF(J222="","",Nb_Diff_Part(D222,D221:D226,G222,G221:G226,AK228:AK326)*CritClassEq_DiffPart+Nb_Goal_Part(D222,D221:D226,G222,G221:G226,Y228:AC326)*CritClassEq_IndsPart+Nb_Score_Part(D222,D221:D226,G222,G221:G226,Y228:AC326)*CritClassEq_WinsPart+Nb_GoalTeam_Part(D222,D221:D226,G222,G221:G226,Y228:AC326)*CritClassEq_GoalPart+Nb_ScoreTeam_Part(D222,D221:D226,G222,G221:G226,Y228:AC326)*CritClassEq_ScorePart)</f>
        <v/>
      </c>
      <c r="F222" s="1130" t="str">
        <f t="shared" si="6"/>
        <v/>
      </c>
      <c r="G222" s="477" t="s">
        <v>826</v>
      </c>
      <c r="H222" s="1131" t="str">
        <f>IF(AL227="","",(J222*Points_Victoire)+K222*Points_Null)</f>
        <v/>
      </c>
      <c r="I222" s="537" t="str">
        <f t="shared" si="7"/>
        <v/>
      </c>
      <c r="J222" s="537" t="str">
        <f>IF(AL227="","",COUNTIF(AE228:AE330,G222))</f>
        <v/>
      </c>
      <c r="K222" s="537" t="str">
        <f>IF(AL227="","",COUNTIF(AF228:AG330,G222))</f>
        <v/>
      </c>
      <c r="L222" s="537" t="str">
        <f>IF(AL227="","",COUNTIF(AH228:AH330,G222))</f>
        <v/>
      </c>
      <c r="M222" s="1053" t="str">
        <f>IF(AL227="","",J222-L222)</f>
        <v/>
      </c>
      <c r="N222" s="537" t="str">
        <f>IF(AL227="","",SUMIF(Y228:Y330,G222,Z228:Z330)+SUMIF(AC228:AC330,G222,AB228:AB330))</f>
        <v/>
      </c>
      <c r="O222" s="537" t="str">
        <f>IF(AL227="","",SUMIF(Y228:Y330,G222,AB228:AB330)+SUMIF(AC228:AC330,G222,Z228:Z330))</f>
        <v/>
      </c>
      <c r="P222" s="1053" t="str">
        <f>IF(AL227="","",N222-O222)</f>
        <v/>
      </c>
      <c r="Q222" s="537" t="str">
        <f>IF(AL227="","",SUMIF(Y228:Y330,G222,AI228:AI330)+SUMIF(AC228:AC330,G222,AJ228:AJ330))</f>
        <v/>
      </c>
      <c r="R222" s="537" t="str">
        <f>IF(AL227="","",SUMIF(Y228:Y330,G222,AJ228:AJ330)+SUMIF(AC228:AC330,G222,AI228:AI330))</f>
        <v/>
      </c>
      <c r="S222" s="512" t="str">
        <f>IF(AL227="","",Q222-R222)</f>
        <v/>
      </c>
      <c r="T222" s="270"/>
      <c r="U222" s="1158"/>
      <c r="V222" s="1158"/>
      <c r="W222" s="1166"/>
      <c r="X222" s="1159"/>
      <c r="Y222" s="1167"/>
      <c r="Z222" s="271"/>
      <c r="AA222" s="271"/>
      <c r="AB222" s="271"/>
      <c r="AC222" s="290"/>
      <c r="AD222" s="839"/>
      <c r="AE222" s="270"/>
      <c r="AF222" s="270"/>
      <c r="AG222" s="270"/>
      <c r="AH222" s="270"/>
      <c r="AI222" s="270"/>
      <c r="AJ222" s="270"/>
      <c r="AK222" s="270"/>
      <c r="AL222" s="270" t="str">
        <f>IF(AL227="","",SMALL(C221:C226,2))</f>
        <v/>
      </c>
      <c r="AM222" s="270"/>
      <c r="AN222" s="270"/>
      <c r="AO222" s="509" t="str">
        <f>IF(AL227="","",INT(AL222/1000))</f>
        <v/>
      </c>
      <c r="AP222" s="1132" t="str">
        <f>IF(AL227="",IF(HidePlayerFormulas,"","("&amp;G222&amp;")"),VLOOKUP(AL222,C221:S226,5,FALSE))</f>
        <v/>
      </c>
      <c r="AQ222" s="510" t="str">
        <f>VLOOKUP(AL222,C221:S226,6,FALSE)</f>
        <v/>
      </c>
      <c r="AR222" s="537" t="str">
        <f>VLOOKUP(AL222,C221:S226,7,FALSE)</f>
        <v/>
      </c>
      <c r="AS222" s="537" t="str">
        <f>VLOOKUP(AL222,C221:S226,8,FALSE)</f>
        <v/>
      </c>
      <c r="AT222" s="537" t="str">
        <f>VLOOKUP(AL222,C221:S226,9,FALSE)</f>
        <v/>
      </c>
      <c r="AU222" s="537" t="str">
        <f>VLOOKUP(AL222,C221:S226,10,FALSE)</f>
        <v/>
      </c>
      <c r="AV222" s="512" t="str">
        <f>VLOOKUP(AL222,C221:S226,11,FALSE)</f>
        <v/>
      </c>
      <c r="AW222" s="510" t="str">
        <f>VLOOKUP(AL222,C221:S226,12,FALSE)</f>
        <v/>
      </c>
      <c r="AX222" s="537" t="str">
        <f>VLOOKUP(AL222,C221:S226,13,FALSE)</f>
        <v/>
      </c>
      <c r="AY222" s="512" t="str">
        <f>VLOOKUP(AL222,C221:S226,14,FALSE)</f>
        <v/>
      </c>
      <c r="AZ222" s="510" t="str">
        <f>VLOOKUP(AL222,C221:S226,15,FALSE)</f>
        <v/>
      </c>
      <c r="BA222" s="537" t="str">
        <f>VLOOKUP(AL222,C221:S226,16,FALSE)</f>
        <v/>
      </c>
      <c r="BB222" s="512" t="str">
        <f>VLOOKUP(AL222,C221:S226,17,FALSE)</f>
        <v/>
      </c>
      <c r="BC222" s="1055" t="str">
        <f>IF(Z228="","",IF(AP222=Y228,Z228&amp;"("&amp;SUM(Z229:Z232)&amp;")",IF(AP222=AC228,AB228&amp;"("&amp;SUM(AB229:AB232)&amp;")","")))</f>
        <v/>
      </c>
      <c r="BD222" s="126" t="str">
        <f>IF(Z235="","",IF(AP222=Y235,Z235&amp;"("&amp;SUM(Z236:Z239)&amp;")",IF(AP222=AC235,AB235&amp;"("&amp;SUM(AB236:AB239)&amp;")","")))</f>
        <v/>
      </c>
      <c r="BE222" s="126" t="str">
        <f>IF(Z242="","",IF(AP222=Y242,Z242&amp;"("&amp;SUM(Z243:Z246)&amp;")",IF(AP222=AC242,AB242&amp;"("&amp;SUM(AB243:AB246)&amp;")","")))</f>
        <v/>
      </c>
      <c r="BF222" s="126" t="str">
        <f>IF(Z249="","",IF(AP222=Y249,Z249&amp;"("&amp;SUM(Z250:Z253)&amp;")",IF(AP222=AC249,AB249&amp;"("&amp;SUM(AB250:AB253)&amp;")","")))</f>
        <v/>
      </c>
      <c r="BG222" s="126" t="str">
        <f>IF(Z256="","",IF(AP222=Y256,Z256&amp;"("&amp;SUM(Z257:Z260)&amp;")",IF(AP222=AC256,AB256&amp;"("&amp;SUM(AB257:AB260)&amp;")","")))</f>
        <v/>
      </c>
      <c r="BH222" s="126" t="str">
        <f>IF(Z263="","",IF(AP222=Y263,Z263&amp;"("&amp;SUM(Z264:Z267)&amp;")",IF(AP222=AC263,AB263&amp;"("&amp;SUM(AB264:AB267)&amp;")","")))</f>
        <v/>
      </c>
      <c r="BI222" s="126" t="str">
        <f>IF(Z270="","",IF(AP222=Y270,Z270&amp;"("&amp;SUM(Z271:Z274)&amp;")",IF(AP222=AC270,AB270&amp;"("&amp;SUM(AB271:AB274)&amp;")","")))</f>
        <v/>
      </c>
      <c r="BJ222" s="126" t="str">
        <f>IF(Z277="","",IF(AP222=Y277,Z277&amp;"("&amp;SUM(Z278:Z281)&amp;")",IF(AP222=AC277,AB277&amp;"("&amp;SUM(AB278:AB281)&amp;")","")))</f>
        <v/>
      </c>
      <c r="BK222" s="126" t="str">
        <f>IF(Z284="","",IF(AP222=Y284,Z284&amp;"("&amp;SUM(Z285:Z288)&amp;")",IF(AP222=AC284,AB284&amp;"("&amp;SUM(AB285:AB288)&amp;")","")))</f>
        <v/>
      </c>
      <c r="BL222" s="126" t="str">
        <f>IF(Z291="","",IF(AP222=Y291,Z291&amp;"("&amp;SUM(Z292:Z295)&amp;")",IF(AP222=AC291,AB291&amp;"("&amp;SUM(AB292:AB295)&amp;")","")))</f>
        <v/>
      </c>
      <c r="BM222" s="126" t="str">
        <f>IF(Z298="","",IF(AP222=Y298,Z298&amp;"("&amp;SUM(Z299:Z302)&amp;")",IF(AP222=AC298,AB298&amp;"("&amp;SUM(AB299:AB302)&amp;")","")))</f>
        <v/>
      </c>
      <c r="BN222" s="126" t="str">
        <f>IF(Z305="","",IF(AP222=Y305,Z305&amp;"("&amp;SUM(Z306:Z309)&amp;")",IF(AP222=AC305,AB305&amp;"("&amp;SUM(AB306:AB309)&amp;")","")))</f>
        <v/>
      </c>
      <c r="BO222" s="126" t="str">
        <f>IF(Z312="","",IF(AP222=Y312,Z312&amp;"("&amp;SUM(Z313:Z316)&amp;")",IF(AP222=AC312,AB312&amp;"("&amp;SUM(AB313:AB316)&amp;")","")))</f>
        <v/>
      </c>
      <c r="BP222" s="126" t="str">
        <f>IF(Z319="","",IF(AP222=Y319,Z319&amp;"("&amp;SUM(Z320:Z323)&amp;")",IF(AP222=AC319,AB319&amp;"("&amp;SUM(AB320:AB323)&amp;")","")))</f>
        <v/>
      </c>
      <c r="BQ222" s="1056" t="str">
        <f>IF(Z326="","",IF(AP222=Y326,Z326&amp;"("&amp;SUM(Z327:Z330)&amp;")",IF(AP222=AC326,AB326&amp;"("&amp;SUM(AB327:AB330)&amp;")","")))</f>
        <v/>
      </c>
      <c r="BR222" s="270"/>
      <c r="BS222" s="270"/>
      <c r="BT222" s="270"/>
      <c r="BU222" s="270"/>
      <c r="BV222" s="270"/>
      <c r="BW222" s="270"/>
      <c r="BX222" s="270"/>
      <c r="BY222" s="270"/>
      <c r="BZ222" s="270"/>
      <c r="CA222" s="270"/>
      <c r="CB222" s="270"/>
      <c r="CC222" s="270"/>
      <c r="CD222" s="270"/>
      <c r="CE222" s="1395" t="b">
        <f t="shared" si="8"/>
        <v>1</v>
      </c>
      <c r="CF222" s="1450" t="b">
        <f t="shared" si="9"/>
        <v>0</v>
      </c>
      <c r="CG222" s="1450" t="b">
        <f t="shared" si="10"/>
        <v>1</v>
      </c>
      <c r="CH222" s="270"/>
      <c r="CI222" s="270"/>
      <c r="CJ222" s="270"/>
      <c r="CK222" s="270"/>
      <c r="CL222" s="270"/>
      <c r="CM222" s="270"/>
    </row>
    <row r="223" spans="1:91" outlineLevel="1" x14ac:dyDescent="0.2">
      <c r="A223" s="270"/>
      <c r="B223" s="545">
        <v>3</v>
      </c>
      <c r="C223" s="126" t="str">
        <f>IF(AL227="","",RANK(F223,F221:F226)*1000+ROW())</f>
        <v/>
      </c>
      <c r="D223" s="1051" t="str">
        <f t="shared" si="5"/>
        <v/>
      </c>
      <c r="E223" s="1051" t="str">
        <f>IF(J223="","",Nb_Diff_Part(D223,D221:D226,G223,G221:G226,AK228:AK326)*CritClassEq_DiffPart+Nb_Goal_Part(D223,D221:D226,G223,G221:G226,Y228:AC326)*CritClassEq_IndsPart+Nb_Score_Part(D223,D221:D226,G223,G221:G226,Y228:AC326)*CritClassEq_WinsPart+Nb_GoalTeam_Part(D223,D221:D226,G223,G221:G226,Y228:AC326)*CritClassEq_GoalPart+Nb_ScoreTeam_Part(D223,D221:D226,G223,G221:G226,Y228:AC326)*CritClassEq_ScorePart)</f>
        <v/>
      </c>
      <c r="F223" s="1130" t="str">
        <f t="shared" si="6"/>
        <v/>
      </c>
      <c r="G223" s="478" t="s">
        <v>827</v>
      </c>
      <c r="H223" s="1131" t="str">
        <f>IF(AL227="","",(J223*Points_Victoire)+K223*Points_Null)</f>
        <v/>
      </c>
      <c r="I223" s="537" t="str">
        <f t="shared" si="7"/>
        <v/>
      </c>
      <c r="J223" s="537" t="str">
        <f>IF(AL227="","",COUNTIF(AE228:AE330,G223))</f>
        <v/>
      </c>
      <c r="K223" s="537" t="str">
        <f>IF(AL227="","",COUNTIF(AF228:AG330,G223))</f>
        <v/>
      </c>
      <c r="L223" s="537" t="str">
        <f>IF(AL227="","",COUNTIF(AH228:AH330,G223))</f>
        <v/>
      </c>
      <c r="M223" s="1053" t="str">
        <f>IF(AL227="","",J223-L223)</f>
        <v/>
      </c>
      <c r="N223" s="537" t="str">
        <f>IF(AL227="","",SUMIF(Y228:Y330,G223,Z228:Z330)+SUMIF(AC228:AC330,G223,AB228:AB330))</f>
        <v/>
      </c>
      <c r="O223" s="537" t="str">
        <f>IF(AL227="","",SUMIF(Y228:Y330,G223,AB228:AB330)+SUMIF(AC228:AC330,G223,Z228:Z330))</f>
        <v/>
      </c>
      <c r="P223" s="1053" t="str">
        <f>IF(AL227="","",N223-O223)</f>
        <v/>
      </c>
      <c r="Q223" s="537" t="str">
        <f>IF(AL227="","",SUMIF(Y228:Y330,G223,AI228:AI330)+SUMIF(AC228:AC330,G223,AJ228:AJ330))</f>
        <v/>
      </c>
      <c r="R223" s="537" t="str">
        <f>IF(AL227="","",SUMIF(Y228:Y330,G223,AJ228:AJ330)+SUMIF(AC228:AC330,G223,AI228:AI330))</f>
        <v/>
      </c>
      <c r="S223" s="512" t="str">
        <f>IF(AL227="","",Q223-R223)</f>
        <v/>
      </c>
      <c r="T223" s="270"/>
      <c r="U223" s="1158"/>
      <c r="V223" s="1158"/>
      <c r="W223" s="1166"/>
      <c r="X223" s="1159"/>
      <c r="Y223" s="1167"/>
      <c r="Z223" s="271"/>
      <c r="AA223" s="271"/>
      <c r="AB223" s="271"/>
      <c r="AC223" s="290"/>
      <c r="AD223" s="839"/>
      <c r="AE223" s="270"/>
      <c r="AF223" s="270"/>
      <c r="AG223" s="270"/>
      <c r="AH223" s="270"/>
      <c r="AI223" s="270"/>
      <c r="AJ223" s="270"/>
      <c r="AK223" s="270"/>
      <c r="AL223" s="270" t="str">
        <f>IF(AL227="","",SMALL(C221:C226,3))</f>
        <v/>
      </c>
      <c r="AM223" s="270"/>
      <c r="AN223" s="270"/>
      <c r="AO223" s="509" t="str">
        <f>IF(AL227="","",INT(AL223/1000))</f>
        <v/>
      </c>
      <c r="AP223" s="1132" t="str">
        <f>IF(AL227="",IF(HidePlayerFormulas,"","("&amp;G223&amp;")"),VLOOKUP(AL223,C221:S226,5,FALSE))</f>
        <v/>
      </c>
      <c r="AQ223" s="510" t="str">
        <f>VLOOKUP(AL223,C221:S226,6,FALSE)</f>
        <v/>
      </c>
      <c r="AR223" s="537" t="str">
        <f>VLOOKUP(AL223,C221:S226,7,FALSE)</f>
        <v/>
      </c>
      <c r="AS223" s="537" t="str">
        <f>VLOOKUP(AL223,C221:S226,8,FALSE)</f>
        <v/>
      </c>
      <c r="AT223" s="537" t="str">
        <f>VLOOKUP(AL223,C221:S226,9,FALSE)</f>
        <v/>
      </c>
      <c r="AU223" s="537" t="str">
        <f>VLOOKUP(AL223,C221:S226,10,FALSE)</f>
        <v/>
      </c>
      <c r="AV223" s="512" t="str">
        <f>VLOOKUP(AL223,C221:S226,11,FALSE)</f>
        <v/>
      </c>
      <c r="AW223" s="510" t="str">
        <f>VLOOKUP(AL223,C221:S226,12,FALSE)</f>
        <v/>
      </c>
      <c r="AX223" s="537" t="str">
        <f>VLOOKUP(AL223,C221:S226,13,FALSE)</f>
        <v/>
      </c>
      <c r="AY223" s="512" t="str">
        <f>VLOOKUP(AL223,C221:S226,14,FALSE)</f>
        <v/>
      </c>
      <c r="AZ223" s="510" t="str">
        <f>VLOOKUP(AL223,C221:S226,15,FALSE)</f>
        <v/>
      </c>
      <c r="BA223" s="537" t="str">
        <f>VLOOKUP(AL223,C221:S226,16,FALSE)</f>
        <v/>
      </c>
      <c r="BB223" s="512" t="str">
        <f>VLOOKUP(AL223,C221:S226,17,FALSE)</f>
        <v/>
      </c>
      <c r="BC223" s="1055" t="str">
        <f>IF(Z228="","",IF(AP223=Y228,Z228&amp;"("&amp;SUM(Z229:Z232)&amp;")",IF(AP223=AC228,AB228&amp;"("&amp;SUM(AB229:AB232)&amp;")","")))</f>
        <v/>
      </c>
      <c r="BD223" s="126" t="str">
        <f>IF(Z235="","",IF(AP223=Y235,Z235&amp;"("&amp;SUM(Z236:Z239)&amp;")",IF(AP223=AC235,AB235&amp;"("&amp;SUM(AB236:AB239)&amp;")","")))</f>
        <v/>
      </c>
      <c r="BE223" s="126" t="str">
        <f>IF(Z242="","",IF(AP223=Y242,Z242&amp;"("&amp;SUM(Z243:Z246)&amp;")",IF(AP223=AC242,AB242&amp;"("&amp;SUM(AB243:AB246)&amp;")","")))</f>
        <v/>
      </c>
      <c r="BF223" s="126" t="str">
        <f>IF(Z249="","",IF(AP223=Y249,Z249&amp;"("&amp;SUM(Z250:Z253)&amp;")",IF(AP223=AC249,AB249&amp;"("&amp;SUM(AB250:AB253)&amp;")","")))</f>
        <v/>
      </c>
      <c r="BG223" s="126" t="str">
        <f>IF(Z256="","",IF(AP223=Y256,Z256&amp;"("&amp;SUM(Z257:Z260)&amp;")",IF(AP223=AC256,AB256&amp;"("&amp;SUM(AB257:AB260)&amp;")","")))</f>
        <v/>
      </c>
      <c r="BH223" s="126" t="str">
        <f>IF(Z263="","",IF(AP223=Y263,Z263&amp;"("&amp;SUM(Z264:Z267)&amp;")",IF(AP223=AC263,AB263&amp;"("&amp;SUM(AB264:AB267)&amp;")","")))</f>
        <v/>
      </c>
      <c r="BI223" s="126" t="str">
        <f>IF(Z270="","",IF(AP223=Y270,Z270&amp;"("&amp;SUM(Z271:Z274)&amp;")",IF(AP223=AC270,AB270&amp;"("&amp;SUM(AB271:AB274)&amp;")","")))</f>
        <v/>
      </c>
      <c r="BJ223" s="126" t="str">
        <f>IF(Z277="","",IF(AP223=Y277,Z277&amp;"("&amp;SUM(Z278:Z281)&amp;")",IF(AP223=AC277,AB277&amp;"("&amp;SUM(AB278:AB281)&amp;")","")))</f>
        <v/>
      </c>
      <c r="BK223" s="126" t="str">
        <f>IF(Z284="","",IF(AP223=Y284,Z284&amp;"("&amp;SUM(Z285:Z288)&amp;")",IF(AP223=AC284,AB284&amp;"("&amp;SUM(AB285:AB288)&amp;")","")))</f>
        <v/>
      </c>
      <c r="BL223" s="126" t="str">
        <f>IF(Z291="","",IF(AP223=Y291,Z291&amp;"("&amp;SUM(Z292:Z295)&amp;")",IF(AP223=AC291,AB291&amp;"("&amp;SUM(AB292:AB295)&amp;")","")))</f>
        <v/>
      </c>
      <c r="BM223" s="126" t="str">
        <f>IF(Z298="","",IF(AP223=Y298,Z298&amp;"("&amp;SUM(Z299:Z302)&amp;")",IF(AP223=AC298,AB298&amp;"("&amp;SUM(AB299:AB302)&amp;")","")))</f>
        <v/>
      </c>
      <c r="BN223" s="126" t="str">
        <f>IF(Z305="","",IF(AP223=Y305,Z305&amp;"("&amp;SUM(Z306:Z309)&amp;")",IF(AP223=AC305,AB305&amp;"("&amp;SUM(AB306:AB309)&amp;")","")))</f>
        <v/>
      </c>
      <c r="BO223" s="126" t="str">
        <f>IF(Z312="","",IF(AP223=Y312,Z312&amp;"("&amp;SUM(Z313:Z316)&amp;")",IF(AP223=AC312,AB312&amp;"("&amp;SUM(AB313:AB316)&amp;")","")))</f>
        <v/>
      </c>
      <c r="BP223" s="126" t="str">
        <f>IF(Z319="","",IF(AP223=Y319,Z319&amp;"("&amp;SUM(Z320:Z323)&amp;")",IF(AP223=AC319,AB319&amp;"("&amp;SUM(AB320:AB323)&amp;")","")))</f>
        <v/>
      </c>
      <c r="BQ223" s="1056" t="str">
        <f>IF(Z326="","",IF(AP223=Y326,Z326&amp;"("&amp;SUM(Z327:Z330)&amp;")",IF(AP223=AC326,AB326&amp;"("&amp;SUM(AB327:AB330)&amp;")","")))</f>
        <v/>
      </c>
      <c r="BR223" s="270"/>
      <c r="BS223" s="270"/>
      <c r="BT223" s="270"/>
      <c r="BU223" s="270"/>
      <c r="BV223" s="270"/>
      <c r="BW223" s="270"/>
      <c r="BX223" s="270"/>
      <c r="BY223" s="270"/>
      <c r="BZ223" s="270"/>
      <c r="CA223" s="270"/>
      <c r="CB223" s="270"/>
      <c r="CC223" s="270"/>
      <c r="CD223" s="270"/>
      <c r="CE223" s="1395" t="b">
        <f t="shared" si="8"/>
        <v>1</v>
      </c>
      <c r="CF223" s="1450" t="b">
        <f t="shared" si="9"/>
        <v>0</v>
      </c>
      <c r="CG223" s="1450" t="b">
        <f t="shared" si="10"/>
        <v>1</v>
      </c>
      <c r="CH223" s="270"/>
      <c r="CI223" s="270"/>
      <c r="CJ223" s="270"/>
      <c r="CK223" s="270"/>
      <c r="CL223" s="270"/>
      <c r="CM223" s="270"/>
    </row>
    <row r="224" spans="1:91" outlineLevel="1" x14ac:dyDescent="0.2">
      <c r="A224" s="270"/>
      <c r="B224" s="536">
        <v>4</v>
      </c>
      <c r="C224" s="126" t="str">
        <f>IF(AL227="","",RANK(F224,F221:F226)*1000+ROW())</f>
        <v/>
      </c>
      <c r="D224" s="1051" t="str">
        <f t="shared" si="5"/>
        <v/>
      </c>
      <c r="E224" s="1051" t="str">
        <f>IF(J224="","",Nb_Diff_Part(D224,D221:D226,G224,G221:G226,AK228:AK326)*CritClassEq_DiffPart+Nb_Goal_Part(D224,D221:D226,G224,G221:G226,Y228:AC326)*CritClassEq_IndsPart+Nb_Score_Part(D224,D221:D226,G224,G221:G226,Y228:AC326)*CritClassEq_WinsPart+Nb_GoalTeam_Part(D224,D221:D226,G224,G221:G226,Y228:AC326)*CritClassEq_GoalPart+Nb_ScoreTeam_Part(D224,D221:D226,G224,G221:G226,Y228:AC326)*CritClassEq_ScorePart)</f>
        <v/>
      </c>
      <c r="F224" s="1130" t="str">
        <f t="shared" si="6"/>
        <v/>
      </c>
      <c r="G224" s="478" t="s">
        <v>828</v>
      </c>
      <c r="H224" s="1131" t="str">
        <f>IF(AL227="","",(J224*Points_Victoire)+K224*Points_Null)</f>
        <v/>
      </c>
      <c r="I224" s="537" t="str">
        <f t="shared" si="7"/>
        <v/>
      </c>
      <c r="J224" s="537" t="str">
        <f>IF(AL227="","",COUNTIF(AE228:AE330,G224))</f>
        <v/>
      </c>
      <c r="K224" s="537" t="str">
        <f>IF(AL227="","",COUNTIF(AF228:AG330,G224))</f>
        <v/>
      </c>
      <c r="L224" s="537" t="str">
        <f>IF(AL227="","",COUNTIF(AH228:AH330,G224))</f>
        <v/>
      </c>
      <c r="M224" s="1053" t="str">
        <f>IF(AL227="","",J224-L224)</f>
        <v/>
      </c>
      <c r="N224" s="537" t="str">
        <f>IF(AL227="","",SUMIF(Y228:Y330,G224,Z228:Z330)+SUMIF(AC228:AC330,G224,AB228:AB330))</f>
        <v/>
      </c>
      <c r="O224" s="537" t="str">
        <f>IF(AL227="","",SUMIF(Y228:Y330,G224,AB228:AB330)+SUMIF(AC228:AC330,G224,Z228:Z330))</f>
        <v/>
      </c>
      <c r="P224" s="1053" t="str">
        <f>IF(AL227="","",N224-O224)</f>
        <v/>
      </c>
      <c r="Q224" s="537" t="str">
        <f>IF(AL227="","",SUMIF(Y228:Y330,G224,AI228:AI330)+SUMIF(AC228:AC330,G224,AJ228:AJ330))</f>
        <v/>
      </c>
      <c r="R224" s="537" t="str">
        <f>IF(AL227="","",SUMIF(Y228:Y330,G224,AJ228:AJ330)+SUMIF(AC228:AC330,G224,AI228:AI330))</f>
        <v/>
      </c>
      <c r="S224" s="512" t="str">
        <f>IF(AL227="","",Q224-R224)</f>
        <v/>
      </c>
      <c r="T224" s="270"/>
      <c r="U224" s="1158"/>
      <c r="V224" s="1158"/>
      <c r="W224" s="1166"/>
      <c r="X224" s="1159"/>
      <c r="Y224" s="1167"/>
      <c r="Z224" s="271"/>
      <c r="AA224" s="271"/>
      <c r="AB224" s="271"/>
      <c r="AC224" s="290"/>
      <c r="AD224" s="839"/>
      <c r="AE224" s="270"/>
      <c r="AF224" s="270"/>
      <c r="AG224" s="270"/>
      <c r="AH224" s="270"/>
      <c r="AI224" s="270"/>
      <c r="AJ224" s="270"/>
      <c r="AK224" s="270"/>
      <c r="AL224" s="270" t="str">
        <f>IF(AL227="","",SMALL(C221:C226,4))</f>
        <v/>
      </c>
      <c r="AM224" s="270"/>
      <c r="AN224" s="270"/>
      <c r="AO224" s="509" t="str">
        <f>IF(AL227="","",INT(AL224/1000))</f>
        <v/>
      </c>
      <c r="AP224" s="1132" t="str">
        <f>IF(AL227="",IF(HidePlayerFormulas,"","("&amp;G224&amp;")"),VLOOKUP(AL224,C221:S226,5,FALSE))</f>
        <v/>
      </c>
      <c r="AQ224" s="510" t="str">
        <f>VLOOKUP(AL224,C221:S226,6,FALSE)</f>
        <v/>
      </c>
      <c r="AR224" s="537" t="str">
        <f>VLOOKUP(AL224,C221:S226,7,FALSE)</f>
        <v/>
      </c>
      <c r="AS224" s="537" t="str">
        <f>VLOOKUP(AL224,C221:S226,8,FALSE)</f>
        <v/>
      </c>
      <c r="AT224" s="537" t="str">
        <f>VLOOKUP(AL224,C221:S226,9,FALSE)</f>
        <v/>
      </c>
      <c r="AU224" s="537" t="str">
        <f>VLOOKUP(AL224,C221:S226,10,FALSE)</f>
        <v/>
      </c>
      <c r="AV224" s="512" t="str">
        <f>VLOOKUP(AL224,C221:S226,11,FALSE)</f>
        <v/>
      </c>
      <c r="AW224" s="510" t="str">
        <f>VLOOKUP(AL224,C221:S226,12,FALSE)</f>
        <v/>
      </c>
      <c r="AX224" s="537" t="str">
        <f>VLOOKUP(AL224,C221:S226,13,FALSE)</f>
        <v/>
      </c>
      <c r="AY224" s="512" t="str">
        <f>VLOOKUP(AL224,C221:S226,14,FALSE)</f>
        <v/>
      </c>
      <c r="AZ224" s="510" t="str">
        <f>VLOOKUP(AL224,C221:S226,15,FALSE)</f>
        <v/>
      </c>
      <c r="BA224" s="537" t="str">
        <f>VLOOKUP(AL224,C221:S226,16,FALSE)</f>
        <v/>
      </c>
      <c r="BB224" s="512" t="str">
        <f>VLOOKUP(AL224,C221:S226,17,FALSE)</f>
        <v/>
      </c>
      <c r="BC224" s="1055" t="str">
        <f>IF(Z228="","",IF(AP224=Y228,Z228&amp;"("&amp;SUM(Z229:Z232)&amp;")",IF(AP224=AC228,AB228&amp;"("&amp;SUM(AB229:AB232)&amp;")","")))</f>
        <v/>
      </c>
      <c r="BD224" s="126" t="str">
        <f>IF(Z235="","",IF(AP224=Y235,Z235&amp;"("&amp;SUM(Z236:Z239)&amp;")",IF(AP224=AC235,AB235&amp;"("&amp;SUM(AB236:AB239)&amp;")","")))</f>
        <v/>
      </c>
      <c r="BE224" s="126" t="str">
        <f>IF(Z242="","",IF(AP224=Y242,Z242&amp;"("&amp;SUM(Z243:Z246)&amp;")",IF(AP224=AC242,AB242&amp;"("&amp;SUM(AB243:AB246)&amp;")","")))</f>
        <v/>
      </c>
      <c r="BF224" s="126" t="str">
        <f>IF(Z249="","",IF(AP224=Y249,Z249&amp;"("&amp;SUM(Z250:Z253)&amp;")",IF(AP224=AC249,AB249&amp;"("&amp;SUM(AB250:AB253)&amp;")","")))</f>
        <v/>
      </c>
      <c r="BG224" s="126" t="str">
        <f>IF(Z256="","",IF(AP224=Y256,Z256&amp;"("&amp;SUM(Z257:Z260)&amp;")",IF(AP224=AC256,AB256&amp;"("&amp;SUM(AB257:AB260)&amp;")","")))</f>
        <v/>
      </c>
      <c r="BH224" s="126" t="str">
        <f>IF(Z263="","",IF(AP224=Y263,Z263&amp;"("&amp;SUM(Z264:Z267)&amp;")",IF(AP224=AC263,AB263&amp;"("&amp;SUM(AB264:AB267)&amp;")","")))</f>
        <v/>
      </c>
      <c r="BI224" s="126" t="str">
        <f>IF(Z270="","",IF(AP224=Y270,Z270&amp;"("&amp;SUM(Z271:Z274)&amp;")",IF(AP224=AC270,AB270&amp;"("&amp;SUM(AB271:AB274)&amp;")","")))</f>
        <v/>
      </c>
      <c r="BJ224" s="126" t="str">
        <f>IF(Z277="","",IF(AP224=Y277,Z277&amp;"("&amp;SUM(Z278:Z281)&amp;")",IF(AP224=AC277,AB277&amp;"("&amp;SUM(AB278:AB281)&amp;")","")))</f>
        <v/>
      </c>
      <c r="BK224" s="126" t="str">
        <f>IF(Z284="","",IF(AP224=Y284,Z284&amp;"("&amp;SUM(Z285:Z288)&amp;")",IF(AP224=AC284,AB284&amp;"("&amp;SUM(AB285:AB288)&amp;")","")))</f>
        <v/>
      </c>
      <c r="BL224" s="126" t="str">
        <f>IF(Z291="","",IF(AP224=Y291,Z291&amp;"("&amp;SUM(Z292:Z295)&amp;")",IF(AP224=AC291,AB291&amp;"("&amp;SUM(AB292:AB295)&amp;")","")))</f>
        <v/>
      </c>
      <c r="BM224" s="126" t="str">
        <f>IF(Z298="","",IF(AP224=Y298,Z298&amp;"("&amp;SUM(Z299:Z302)&amp;")",IF(AP224=AC298,AB298&amp;"("&amp;SUM(AB299:AB302)&amp;")","")))</f>
        <v/>
      </c>
      <c r="BN224" s="126" t="str">
        <f>IF(Z305="","",IF(AP224=Y305,Z305&amp;"("&amp;SUM(Z306:Z309)&amp;")",IF(AP224=AC305,AB305&amp;"("&amp;SUM(AB306:AB309)&amp;")","")))</f>
        <v/>
      </c>
      <c r="BO224" s="126" t="str">
        <f>IF(Z312="","",IF(AP224=Y312,Z312&amp;"("&amp;SUM(Z313:Z316)&amp;")",IF(AP224=AC312,AB312&amp;"("&amp;SUM(AB313:AB316)&amp;")","")))</f>
        <v/>
      </c>
      <c r="BP224" s="126" t="str">
        <f>IF(Z319="","",IF(AP224=Y319,Z319&amp;"("&amp;SUM(Z320:Z323)&amp;")",IF(AP224=AC319,AB319&amp;"("&amp;SUM(AB320:AB323)&amp;")","")))</f>
        <v/>
      </c>
      <c r="BQ224" s="1056" t="str">
        <f>IF(Z326="","",IF(AP224=Y326,Z326&amp;"("&amp;SUM(Z327:Z330)&amp;")",IF(AP224=AC326,AB326&amp;"("&amp;SUM(AB327:AB330)&amp;")","")))</f>
        <v/>
      </c>
      <c r="BR224" s="270"/>
      <c r="BS224" s="270"/>
      <c r="BT224" s="270"/>
      <c r="BU224" s="270"/>
      <c r="BV224" s="270"/>
      <c r="BW224" s="270"/>
      <c r="BX224" s="270"/>
      <c r="BY224" s="270"/>
      <c r="BZ224" s="270"/>
      <c r="CA224" s="270"/>
      <c r="CB224" s="270"/>
      <c r="CC224" s="270"/>
      <c r="CD224" s="270"/>
      <c r="CE224" s="1395" t="b">
        <f t="shared" si="8"/>
        <v>1</v>
      </c>
      <c r="CF224" s="1450" t="b">
        <f t="shared" si="9"/>
        <v>0</v>
      </c>
      <c r="CG224" s="1450" t="b">
        <f t="shared" si="10"/>
        <v>1</v>
      </c>
      <c r="CH224" s="270"/>
      <c r="CI224" s="270"/>
      <c r="CJ224" s="270"/>
      <c r="CK224" s="270"/>
      <c r="CL224" s="270"/>
      <c r="CM224" s="270"/>
    </row>
    <row r="225" spans="1:91" outlineLevel="1" x14ac:dyDescent="0.2">
      <c r="A225" s="270"/>
      <c r="B225" s="536">
        <v>5</v>
      </c>
      <c r="C225" s="1168" t="str">
        <f>IF(AL227="","",RANK(F225,F221:F226)*1000+ROW())</f>
        <v/>
      </c>
      <c r="D225" s="1051" t="str">
        <f t="shared" si="5"/>
        <v/>
      </c>
      <c r="E225" s="1051" t="str">
        <f>IF(J225="","",Nb_Diff_Part(D225,D221:D226,G225,G221:G226,AK228:AK326)*CritClassEq_DiffPart+Nb_Goal_Part(D225,D221:D226,G225,G221:G226,Y228:AC326)*CritClassEq_IndsPart+Nb_Score_Part(D225,D221:D226,G225,G221:G226,Y228:AC326)*CritClassEq_WinsPart+Nb_GoalTeam_Part(D225,D221:D226,G225,G221:G226,Y228:AC326)*CritClassEq_GoalPart+Nb_ScoreTeam_Part(D225,D221:D226,G225,G221:G226,Y228:AC326)*CritClassEq_ScorePart)</f>
        <v/>
      </c>
      <c r="F225" s="1130" t="str">
        <f t="shared" si="6"/>
        <v/>
      </c>
      <c r="G225" s="478" t="s">
        <v>4025</v>
      </c>
      <c r="H225" s="1131" t="str">
        <f>IF(AL227="","",(J225*Points_Victoire)+K225*Points_Null)</f>
        <v/>
      </c>
      <c r="I225" s="537" t="str">
        <f t="shared" si="7"/>
        <v/>
      </c>
      <c r="J225" s="537" t="str">
        <f>IF(AL227="","",COUNTIF(AE228:AE330,G225))</f>
        <v/>
      </c>
      <c r="K225" s="537" t="str">
        <f>IF(AL227="","",COUNTIF(AF228:AG330,G225))</f>
        <v/>
      </c>
      <c r="L225" s="537" t="str">
        <f>IF(AL227="","",COUNTIF(AH228:AH330,G225))</f>
        <v/>
      </c>
      <c r="M225" s="1053" t="str">
        <f>IF(AL227="","",J225-L225)</f>
        <v/>
      </c>
      <c r="N225" s="537" t="str">
        <f>IF(AL227="","",SUMIF(Y228:Y330,G225,Z228:Z330)+SUMIF(AC228:AC330,G225,AB228:AB330))</f>
        <v/>
      </c>
      <c r="O225" s="537" t="str">
        <f>IF(AL227="","",SUMIF(Y228:Y330,G225,AB228:AB330)+SUMIF(AC228:AC330,G225,Z228:Z330))</f>
        <v/>
      </c>
      <c r="P225" s="1053" t="str">
        <f>IF(AL227="","",N225-O225)</f>
        <v/>
      </c>
      <c r="Q225" s="537" t="str">
        <f>IF(AL227="","",SUMIF(Y228:Y330,G225,AI228:AI330)+SUMIF(AC228:AC330,G225,AJ228:AJ330))</f>
        <v/>
      </c>
      <c r="R225" s="537" t="str">
        <f>IF(AL227="","",SUMIF(Y228:Y330,G225,AJ228:AJ330)+SUMIF(AC228:AC330,G225,AI228:AI330))</f>
        <v/>
      </c>
      <c r="S225" s="512" t="str">
        <f>IF(AL227="","",Q225-R225)</f>
        <v/>
      </c>
      <c r="T225" s="270"/>
      <c r="U225" s="1158"/>
      <c r="V225" s="1158"/>
      <c r="W225" s="1166"/>
      <c r="X225" s="1159"/>
      <c r="Y225" s="1167"/>
      <c r="Z225" s="271"/>
      <c r="AA225" s="271"/>
      <c r="AB225" s="271"/>
      <c r="AC225" s="290"/>
      <c r="AD225" s="839"/>
      <c r="AE225" s="270"/>
      <c r="AF225" s="270"/>
      <c r="AG225" s="270"/>
      <c r="AH225" s="270"/>
      <c r="AI225" s="270"/>
      <c r="AJ225" s="270"/>
      <c r="AK225" s="270"/>
      <c r="AL225" s="270" t="str">
        <f>IF(AL227="","",SMALL(C221:C226,5))</f>
        <v/>
      </c>
      <c r="AM225" s="270"/>
      <c r="AN225" s="270"/>
      <c r="AO225" s="509" t="str">
        <f>IF(AL227="","",INT(AL225/1000))</f>
        <v/>
      </c>
      <c r="AP225" s="1132" t="str">
        <f>IF(AL227="",IF(HidePlayerFormulas,"","("&amp;G225&amp;")"),VLOOKUP(AL225,C221:S226,5,FALSE))</f>
        <v/>
      </c>
      <c r="AQ225" s="510" t="str">
        <f>VLOOKUP(AL225,C221:S226,6,FALSE)</f>
        <v/>
      </c>
      <c r="AR225" s="537" t="str">
        <f>VLOOKUP(AL225,C221:S226,7,FALSE)</f>
        <v/>
      </c>
      <c r="AS225" s="537" t="str">
        <f>VLOOKUP(AL225,C221:S226,8,FALSE)</f>
        <v/>
      </c>
      <c r="AT225" s="537" t="str">
        <f>VLOOKUP(AL225,C221:S226,9,FALSE)</f>
        <v/>
      </c>
      <c r="AU225" s="537" t="str">
        <f>VLOOKUP(AL225,C221:S226,10,FALSE)</f>
        <v/>
      </c>
      <c r="AV225" s="512" t="str">
        <f>VLOOKUP(AL225,C221:S226,11,FALSE)</f>
        <v/>
      </c>
      <c r="AW225" s="510" t="str">
        <f>VLOOKUP(AL225,C221:S226,12,FALSE)</f>
        <v/>
      </c>
      <c r="AX225" s="537" t="str">
        <f>VLOOKUP(AL225,C221:S226,13,FALSE)</f>
        <v/>
      </c>
      <c r="AY225" s="512" t="str">
        <f>VLOOKUP(AL225,C221:S226,14,FALSE)</f>
        <v/>
      </c>
      <c r="AZ225" s="510" t="str">
        <f>VLOOKUP(AL225,C221:S226,15,FALSE)</f>
        <v/>
      </c>
      <c r="BA225" s="537" t="str">
        <f>VLOOKUP(AL225,C221:S226,16,FALSE)</f>
        <v/>
      </c>
      <c r="BB225" s="512" t="str">
        <f>VLOOKUP(AL225,C221:S226,17,FALSE)</f>
        <v/>
      </c>
      <c r="BC225" s="1055" t="str">
        <f>IF(Z228="","",IF(AP225=Y228,Z228&amp;"("&amp;SUM(Z229:Z232)&amp;")",IF(AP225=AC228,AB228&amp;"("&amp;SUM(AB229:AB232)&amp;")","")))</f>
        <v/>
      </c>
      <c r="BD225" s="126" t="str">
        <f>IF(Z235="","",IF(AP225=Y235,Z235&amp;"("&amp;SUM(Z236:Z239)&amp;")",IF(AP225=AC235,AB235&amp;"("&amp;SUM(AB236:AB239)&amp;")","")))</f>
        <v/>
      </c>
      <c r="BE225" s="126" t="str">
        <f>IF(Z242="","",IF(AP225=Y242,Z242&amp;"("&amp;SUM(Z243:Z246)&amp;")",IF(AP225=AC242,AB242&amp;"("&amp;SUM(AB243:AB246)&amp;")","")))</f>
        <v/>
      </c>
      <c r="BF225" s="126" t="str">
        <f>IF(Z249="","",IF(AP225=Y249,Z249&amp;"("&amp;SUM(Z250:Z253)&amp;")",IF(AP225=AC249,AB249&amp;"("&amp;SUM(AB250:AB253)&amp;")","")))</f>
        <v/>
      </c>
      <c r="BG225" s="126" t="str">
        <f>IF(Z256="","",IF(AP225=Y256,Z256&amp;"("&amp;SUM(Z257:Z260)&amp;")",IF(AP225=AC256,AB256&amp;"("&amp;SUM(AB257:AB260)&amp;")","")))</f>
        <v/>
      </c>
      <c r="BH225" s="126" t="str">
        <f>IF(Z263="","",IF(AP225=Y263,Z263&amp;"("&amp;SUM(Z264:Z267)&amp;")",IF(AP225=AC263,AB263&amp;"("&amp;SUM(AB264:AB267)&amp;")","")))</f>
        <v/>
      </c>
      <c r="BI225" s="126" t="str">
        <f>IF(Z270="","",IF(AP225=Y270,Z270&amp;"("&amp;SUM(Z271:Z274)&amp;")",IF(AP225=AC270,AB270&amp;"("&amp;SUM(AB271:AB274)&amp;")","")))</f>
        <v/>
      </c>
      <c r="BJ225" s="126" t="str">
        <f>IF(Z277="","",IF(AP225=Y277,Z277&amp;"("&amp;SUM(Z278:Z281)&amp;")",IF(AP225=AC277,AB277&amp;"("&amp;SUM(AB278:AB281)&amp;")","")))</f>
        <v/>
      </c>
      <c r="BK225" s="126" t="str">
        <f>IF(Z284="","",IF(AP225=Y284,Z284&amp;"("&amp;SUM(Z285:Z288)&amp;")",IF(AP225=AC284,AB284&amp;"("&amp;SUM(AB285:AB288)&amp;")","")))</f>
        <v/>
      </c>
      <c r="BL225" s="126" t="str">
        <f>IF(Z291="","",IF(AP225=Y291,Z291&amp;"("&amp;SUM(Z292:Z295)&amp;")",IF(AP225=AC291,AB291&amp;"("&amp;SUM(AB292:AB295)&amp;")","")))</f>
        <v/>
      </c>
      <c r="BM225" s="126" t="str">
        <f>IF(Z298="","",IF(AP225=Y298,Z298&amp;"("&amp;SUM(Z299:Z302)&amp;")",IF(AP225=AC298,AB298&amp;"("&amp;SUM(AB299:AB302)&amp;")","")))</f>
        <v/>
      </c>
      <c r="BN225" s="126" t="str">
        <f>IF(Z305="","",IF(AP225=Y305,Z305&amp;"("&amp;SUM(Z306:Z309)&amp;")",IF(AP225=AC305,AB305&amp;"("&amp;SUM(AB306:AB309)&amp;")","")))</f>
        <v/>
      </c>
      <c r="BO225" s="126" t="str">
        <f>IF(Z312="","",IF(AP225=Y312,Z312&amp;"("&amp;SUM(Z313:Z316)&amp;")",IF(AP225=AC312,AB312&amp;"("&amp;SUM(AB313:AB316)&amp;")","")))</f>
        <v/>
      </c>
      <c r="BP225" s="126" t="str">
        <f>IF(Z319="","",IF(AP225=Y319,Z319&amp;"("&amp;SUM(Z320:Z323)&amp;")",IF(AP225=AC319,AB319&amp;"("&amp;SUM(AB320:AB323)&amp;")","")))</f>
        <v/>
      </c>
      <c r="BQ225" s="1056" t="str">
        <f>IF(Z326="","",IF(AP225=Y326,Z326&amp;"("&amp;SUM(Z327:Z330)&amp;")",IF(AP225=AC326,AB326&amp;"("&amp;SUM(AB327:AB330)&amp;")","")))</f>
        <v/>
      </c>
      <c r="BR225" s="270"/>
      <c r="BS225" s="270"/>
      <c r="BT225" s="270"/>
      <c r="BU225" s="270"/>
      <c r="BV225" s="270"/>
      <c r="BW225" s="270"/>
      <c r="BX225" s="270"/>
      <c r="BY225" s="270"/>
      <c r="BZ225" s="270"/>
      <c r="CA225" s="270"/>
      <c r="CB225" s="270"/>
      <c r="CC225" s="270"/>
      <c r="CD225" s="270"/>
      <c r="CE225" s="1395" t="b">
        <f t="shared" si="8"/>
        <v>1</v>
      </c>
      <c r="CF225" s="1450" t="b">
        <f t="shared" si="9"/>
        <v>0</v>
      </c>
      <c r="CG225" s="1450" t="b">
        <f t="shared" si="10"/>
        <v>1</v>
      </c>
      <c r="CH225" s="270"/>
      <c r="CI225" s="270"/>
      <c r="CJ225" s="270"/>
      <c r="CK225" s="270"/>
      <c r="CL225" s="270"/>
      <c r="CM225" s="270"/>
    </row>
    <row r="226" spans="1:91" ht="13.5" outlineLevel="1" collapsed="1" thickBot="1" x14ac:dyDescent="0.25">
      <c r="A226" s="270"/>
      <c r="B226" s="536">
        <v>6</v>
      </c>
      <c r="C226" s="1168" t="str">
        <f>IF(AL227="","",RANK(F226,F221:F226)*1000+ROW())</f>
        <v/>
      </c>
      <c r="D226" s="1051" t="str">
        <f t="shared" si="5"/>
        <v/>
      </c>
      <c r="E226" s="1051" t="str">
        <f>IF(J226="","",Nb_Diff_Part(D226,D221:D226,G226,G221:G226,AK228:AK326)*CritClassEq_DiffPart+Nb_Goal_Part(D226,D221:D226,G226,G221:G226,Y228:AC326)*CritClassEq_IndsPart+Nb_Score_Part(D226,D221:D226,G226,G221:G226,Y228:AC326)*CritClassEq_WinsPart+Nb_GoalTeam_Part(D226,D221:D226,G226,G221:G226,Y228:AC326)*CritClassEq_GoalPart+Nb_ScoreTeam_Part(D226,D221:D226,G226,G221:G226,Y228:AC326)*CritClassEq_ScorePart)</f>
        <v/>
      </c>
      <c r="F226" s="1130" t="str">
        <f t="shared" si="6"/>
        <v/>
      </c>
      <c r="G226" s="502" t="s">
        <v>4026</v>
      </c>
      <c r="H226" s="1136" t="str">
        <f>IF(AL227="","",(J226*Points_Victoire)+K226*Points_Null)</f>
        <v/>
      </c>
      <c r="I226" s="539" t="str">
        <f t="shared" si="7"/>
        <v/>
      </c>
      <c r="J226" s="539" t="str">
        <f>IF(AL227="","",COUNTIF(AE228:AE330,G226))</f>
        <v/>
      </c>
      <c r="K226" s="539" t="str">
        <f>IF(AL227="","",COUNTIF(AF228:AG330,G226))</f>
        <v/>
      </c>
      <c r="L226" s="539" t="str">
        <f>IF(AL227="","",COUNTIF(AH228:AH330,G226))</f>
        <v/>
      </c>
      <c r="M226" s="1137" t="str">
        <f>IF(AL227="","",J226-L226)</f>
        <v/>
      </c>
      <c r="N226" s="539" t="str">
        <f>IF(AL227="","",SUMIF(Y228:Y330,G226,Z228:Z330)+SUMIF(AC228:AC330,G226,AB228:AB330))</f>
        <v/>
      </c>
      <c r="O226" s="539" t="str">
        <f>IF(AL227="","",SUMIF(Y228:Y330,G226,AB228:AB330)+SUMIF(AC228:AC330,G226,Z228:Z330))</f>
        <v/>
      </c>
      <c r="P226" s="1137" t="str">
        <f>IF(AL227="","",N226-O226)</f>
        <v/>
      </c>
      <c r="Q226" s="539" t="str">
        <f>IF(AL227="","",SUMIF(Y228:Y330,G226,AI228:AI330)+SUMIF(AC228:AC330,G226,AJ228:AJ330))</f>
        <v/>
      </c>
      <c r="R226" s="539" t="str">
        <f>IF(AL227="","",SUMIF(Y228:Y330,G226,AJ228:AJ330)+SUMIF(AC228:AC330,G226,AI228:AI330))</f>
        <v/>
      </c>
      <c r="S226" s="516" t="str">
        <f>IF(AL227="","",Q226-R226)</f>
        <v/>
      </c>
      <c r="T226" s="270"/>
      <c r="U226" s="1158"/>
      <c r="V226" s="1158"/>
      <c r="W226" s="1166"/>
      <c r="X226" s="1159"/>
      <c r="Y226" s="1167"/>
      <c r="Z226" s="271"/>
      <c r="AA226" s="271"/>
      <c r="AB226" s="271"/>
      <c r="AC226" s="290"/>
      <c r="AD226" s="839"/>
      <c r="AE226" s="270"/>
      <c r="AF226" s="270"/>
      <c r="AG226" s="270"/>
      <c r="AH226" s="270"/>
      <c r="AI226" s="270"/>
      <c r="AJ226" s="270"/>
      <c r="AK226" s="270"/>
      <c r="AL226" s="270" t="str">
        <f>IF(AL227="","",SMALL(C221:C226,6))</f>
        <v/>
      </c>
      <c r="AM226" s="270"/>
      <c r="AN226" s="270"/>
      <c r="AO226" s="513" t="str">
        <f>IF(AL227="","",INT(AL226/1000))</f>
        <v/>
      </c>
      <c r="AP226" s="1138" t="str">
        <f>IF(AL227="",IF(HidePlayerFormulas,"","("&amp;G226&amp;")"),VLOOKUP(AL226,C221:S226,5,FALSE))</f>
        <v/>
      </c>
      <c r="AQ226" s="514" t="str">
        <f>VLOOKUP(AL226,C221:S226,6,FALSE)</f>
        <v/>
      </c>
      <c r="AR226" s="539" t="str">
        <f>VLOOKUP(AL226,C221:S226,7,FALSE)</f>
        <v/>
      </c>
      <c r="AS226" s="539" t="str">
        <f>VLOOKUP(AL226,C221:S226,8,FALSE)</f>
        <v/>
      </c>
      <c r="AT226" s="539" t="str">
        <f>VLOOKUP(AL226,C221:S226,9,FALSE)</f>
        <v/>
      </c>
      <c r="AU226" s="539" t="str">
        <f>VLOOKUP(AL226,C221:S226,10,FALSE)</f>
        <v/>
      </c>
      <c r="AV226" s="516" t="str">
        <f>VLOOKUP(AL226,C221:S226,11,FALSE)</f>
        <v/>
      </c>
      <c r="AW226" s="514" t="str">
        <f>VLOOKUP(AL226,C221:S226,12,FALSE)</f>
        <v/>
      </c>
      <c r="AX226" s="539" t="str">
        <f>VLOOKUP(AL226,C221:S226,13,FALSE)</f>
        <v/>
      </c>
      <c r="AY226" s="516" t="str">
        <f>VLOOKUP(AL226,C221:S226,14,FALSE)</f>
        <v/>
      </c>
      <c r="AZ226" s="514" t="str">
        <f>VLOOKUP(AL226,C221:S226,15,FALSE)</f>
        <v/>
      </c>
      <c r="BA226" s="539" t="str">
        <f>VLOOKUP(AL226,C221:S226,16,FALSE)</f>
        <v/>
      </c>
      <c r="BB226" s="516" t="str">
        <f>VLOOKUP(AL226,C221:S226,17,FALSE)</f>
        <v/>
      </c>
      <c r="BC226" s="1058" t="str">
        <f>IF(Z228="","",IF(AP226=Y228,Z228&amp;"("&amp;SUM(Z229:Z232)&amp;")",IF(AP226=AC228,AB228&amp;"("&amp;SUM(AB229:AB232)&amp;")","")))</f>
        <v/>
      </c>
      <c r="BD226" s="1059" t="str">
        <f>IF(Z235="","",IF(AP226=Y235,Z235&amp;"("&amp;SUM(Z236:Z239)&amp;")",IF(AP226=AC235,AB235&amp;"("&amp;SUM(AB236:AB239)&amp;")","")))</f>
        <v/>
      </c>
      <c r="BE226" s="1059" t="str">
        <f>IF(Z242="","",IF(AP226=Y242,Z242&amp;"("&amp;SUM(Z243:Z246)&amp;")",IF(AP226=AC242,AB242&amp;"("&amp;SUM(AB243:AB246)&amp;")","")))</f>
        <v/>
      </c>
      <c r="BF226" s="1059" t="str">
        <f>IF(Z249="","",IF(AP226=Y249,Z249&amp;"("&amp;SUM(Z250:Z253)&amp;")",IF(AP226=AC249,AB249&amp;"("&amp;SUM(AB250:AB253)&amp;")","")))</f>
        <v/>
      </c>
      <c r="BG226" s="1059" t="str">
        <f>IF(Z256="","",IF(AP226=Y256,Z256&amp;"("&amp;SUM(Z257:Z260)&amp;")",IF(AP226=AC256,AB256&amp;"("&amp;SUM(AB257:AB260)&amp;")","")))</f>
        <v/>
      </c>
      <c r="BH226" s="1059" t="str">
        <f>IF(Z263="","",IF(AP226=Y263,Z263&amp;"("&amp;SUM(Z264:Z267)&amp;")",IF(AP226=AC263,AB263&amp;"("&amp;SUM(AB264:AB267)&amp;")","")))</f>
        <v/>
      </c>
      <c r="BI226" s="1059" t="str">
        <f>IF(Z270="","",IF(AP226=Y270,Z270&amp;"("&amp;SUM(Z271:Z274)&amp;")",IF(AP226=AC270,AB270&amp;"("&amp;SUM(AB271:AB274)&amp;")","")))</f>
        <v/>
      </c>
      <c r="BJ226" s="1059" t="str">
        <f>IF(Z277="","",IF(AP226=Y277,Z277&amp;"("&amp;SUM(Z278:Z281)&amp;")",IF(AP226=AC277,AB277&amp;"("&amp;SUM(AB278:AB281)&amp;")","")))</f>
        <v/>
      </c>
      <c r="BK226" s="1059" t="str">
        <f>IF(Z284="","",IF(AP226=Y284,Z284&amp;"("&amp;SUM(Z285:Z288)&amp;")",IF(AP226=AC284,AB284&amp;"("&amp;SUM(AB285:AB288)&amp;")","")))</f>
        <v/>
      </c>
      <c r="BL226" s="1059" t="str">
        <f>IF(Z291="","",IF(AP226=Y291,Z291&amp;"("&amp;SUM(Z292:Z295)&amp;")",IF(AP226=AC291,AB291&amp;"("&amp;SUM(AB292:AB295)&amp;")","")))</f>
        <v/>
      </c>
      <c r="BM226" s="1059" t="str">
        <f>IF(Z298="","",IF(AP226=Y298,Z298&amp;"("&amp;SUM(Z299:Z302)&amp;")",IF(AP226=AC298,AB298&amp;"("&amp;SUM(AB299:AB302)&amp;")","")))</f>
        <v/>
      </c>
      <c r="BN226" s="1059" t="str">
        <f>IF(Z305="","",IF(AP226=Y305,Z305&amp;"("&amp;SUM(Z306:Z309)&amp;")",IF(AP226=AC305,AB305&amp;"("&amp;SUM(AB306:AB309)&amp;")","")))</f>
        <v/>
      </c>
      <c r="BO226" s="1059" t="str">
        <f>IF(Z312="","",IF(AP226=Y312,Z312&amp;"("&amp;SUM(Z313:Z316)&amp;")",IF(AP226=AC312,AB312&amp;"("&amp;SUM(AB313:AB316)&amp;")","")))</f>
        <v/>
      </c>
      <c r="BP226" s="1059" t="str">
        <f>IF(Z319="","",IF(AP226=Y319,Z319&amp;"("&amp;SUM(Z320:Z323)&amp;")",IF(AP226=AC319,AB319&amp;"("&amp;SUM(AB320:AB323)&amp;")","")))</f>
        <v/>
      </c>
      <c r="BQ226" s="1060" t="str">
        <f>IF(Z326="","",IF(AP226=Y326,Z326&amp;"("&amp;SUM(Z327:Z330)&amp;")",IF(AP226=AC326,AB326&amp;"("&amp;SUM(AB327:AB330)&amp;")","")))</f>
        <v/>
      </c>
      <c r="BR226" s="270"/>
      <c r="BS226" s="270"/>
      <c r="BT226" s="270"/>
      <c r="BU226" s="270"/>
      <c r="BV226" s="270"/>
      <c r="BW226" s="270"/>
      <c r="BX226" s="270"/>
      <c r="BY226" s="270"/>
      <c r="BZ226" s="270"/>
      <c r="CA226" s="270"/>
      <c r="CB226" s="270"/>
      <c r="CC226" s="270"/>
      <c r="CD226" s="270"/>
      <c r="CE226" s="1395" t="b">
        <f t="shared" si="8"/>
        <v>1</v>
      </c>
      <c r="CF226" s="1450" t="b">
        <f t="shared" si="9"/>
        <v>0</v>
      </c>
      <c r="CG226" s="1450" t="b">
        <f t="shared" si="10"/>
        <v>1</v>
      </c>
      <c r="CH226" s="270"/>
      <c r="CI226" s="270"/>
      <c r="CJ226" s="270"/>
      <c r="CK226" s="270"/>
      <c r="CL226" s="270"/>
      <c r="CM226" s="270"/>
    </row>
    <row r="227" spans="1:91" ht="13.5" hidden="1" outlineLevel="2" thickBot="1" x14ac:dyDescent="0.25">
      <c r="A227" s="270"/>
      <c r="B227" s="271"/>
      <c r="C227" s="270"/>
      <c r="D227" s="270"/>
      <c r="E227" s="270"/>
      <c r="F227" s="270"/>
      <c r="G227" s="271"/>
      <c r="H227" s="270"/>
      <c r="I227" s="270"/>
      <c r="J227" s="270"/>
      <c r="K227" s="270"/>
      <c r="L227" s="270"/>
      <c r="M227" s="270"/>
      <c r="N227" s="270"/>
      <c r="O227" s="270"/>
      <c r="P227" s="270"/>
      <c r="Q227" s="270"/>
      <c r="R227" s="270"/>
      <c r="S227" s="270"/>
      <c r="T227" s="270"/>
      <c r="U227" s="270"/>
      <c r="V227" s="1153" t="str">
        <f>N_Heure</f>
        <v>Heure</v>
      </c>
      <c r="W227" s="1153" t="str">
        <f>N_Table</f>
        <v>Table</v>
      </c>
      <c r="X227" s="1153" t="str">
        <f>N_Arbitre</f>
        <v>Arbitre</v>
      </c>
      <c r="Y227" s="1169" t="str">
        <f>N_Matches</f>
        <v>Matches</v>
      </c>
      <c r="Z227" s="1170"/>
      <c r="AA227" s="1170"/>
      <c r="AB227" s="1170"/>
      <c r="AC227" s="1171"/>
      <c r="AD227" s="629"/>
      <c r="AE227" s="270"/>
      <c r="AF227" s="270"/>
      <c r="AG227" s="270"/>
      <c r="AH227" s="270"/>
      <c r="AI227" s="270"/>
      <c r="AJ227" s="270"/>
      <c r="AK227" s="270"/>
      <c r="AL227" s="270" t="str">
        <f>IF(COUNTA(Z228:Z330)&gt;15,"OK","")</f>
        <v/>
      </c>
      <c r="AM227" s="270"/>
      <c r="AN227" s="270"/>
      <c r="AO227" s="575"/>
      <c r="AP227" s="270"/>
      <c r="AQ227" s="270"/>
      <c r="AR227" s="270"/>
      <c r="AS227" s="270"/>
      <c r="AT227" s="270"/>
      <c r="AU227" s="270"/>
      <c r="AV227" s="270"/>
      <c r="AW227" s="270"/>
      <c r="AX227" s="270"/>
      <c r="AY227" s="270"/>
      <c r="AZ227" s="270"/>
      <c r="BA227" s="270"/>
      <c r="BB227" s="270"/>
      <c r="BC227" s="270"/>
      <c r="BD227" s="270"/>
      <c r="BE227" s="270"/>
      <c r="BF227" s="270"/>
      <c r="BG227" s="270"/>
      <c r="BH227" s="270"/>
      <c r="BI227" s="270"/>
      <c r="BJ227" s="270"/>
      <c r="BK227" s="270"/>
      <c r="BL227" s="270"/>
      <c r="BM227" s="270"/>
      <c r="BN227" s="270"/>
      <c r="BO227" s="270"/>
      <c r="BP227" s="270"/>
      <c r="BQ227" s="270"/>
      <c r="BR227" s="270"/>
      <c r="BS227" s="270"/>
      <c r="BT227" s="270"/>
      <c r="BU227" s="270"/>
      <c r="BV227" s="270"/>
      <c r="BW227" s="270"/>
      <c r="BX227" s="270"/>
      <c r="BY227" s="270"/>
      <c r="BZ227" s="270"/>
      <c r="CA227" s="270"/>
      <c r="CB227" s="270"/>
      <c r="CC227" s="270"/>
      <c r="CD227" s="270"/>
      <c r="CE227" s="1395"/>
      <c r="CF227" s="1450"/>
      <c r="CG227" s="1450"/>
      <c r="CH227" s="270"/>
      <c r="CI227" s="270"/>
      <c r="CJ227" s="270"/>
      <c r="CK227" s="270"/>
      <c r="CL227" s="270"/>
      <c r="CM227" s="270"/>
    </row>
    <row r="228" spans="1:91" hidden="1" outlineLevel="2" collapsed="1" x14ac:dyDescent="0.2">
      <c r="A228" s="270"/>
      <c r="B228" s="271"/>
      <c r="C228" s="12"/>
      <c r="D228" s="1071"/>
      <c r="E228" s="1071"/>
      <c r="F228" s="1071"/>
      <c r="G228" s="1172"/>
      <c r="H228" s="271"/>
      <c r="I228" s="270"/>
      <c r="J228" s="270"/>
      <c r="K228" s="270"/>
      <c r="L228" s="270"/>
      <c r="M228" s="270"/>
      <c r="N228" s="270"/>
      <c r="O228" s="270"/>
      <c r="P228" s="1072"/>
      <c r="Q228" s="270"/>
      <c r="R228" s="270"/>
      <c r="S228" s="1072"/>
      <c r="T228" s="270"/>
      <c r="U228" s="1019" t="s">
        <v>1726</v>
      </c>
      <c r="V228" s="1173"/>
      <c r="W228" s="1525"/>
      <c r="X228" s="1526"/>
      <c r="Y228" s="1174" t="str">
        <f>IF(G221="","",G221)</f>
        <v>Eq1</v>
      </c>
      <c r="Z228" s="1063" t="str">
        <f>IF(OR(ISNUMBER(Z229),ISNUMBER(Z230),ISNUMBER(Z231),ISNUMBER(Z232)),4-COUNTBLANK(AI229:AI232),"")</f>
        <v/>
      </c>
      <c r="AA228" s="1064" t="s">
        <v>769</v>
      </c>
      <c r="AB228" s="1063" t="str">
        <f>IF(OR(ISNUMBER(Z229),ISNUMBER(Z230),ISNUMBER(Z231),ISNUMBER(Z232)),4-COUNTBLANK(AJ229:AJ232),"")</f>
        <v/>
      </c>
      <c r="AC228" s="1175" t="str">
        <f>IF(G225="","",G225)</f>
        <v>Eq5</v>
      </c>
      <c r="AD228" s="839"/>
      <c r="AE228" s="270" t="str">
        <f>IF(Z228="","",IF(Z228&gt;AB228,Y228,IF(Z228=AB228,IF(NoDrawWithWithdraw,IF(AL228=Y228,AC228,IF(AL228=AC228,Y228,"")),""),AC228)))</f>
        <v/>
      </c>
      <c r="AF228" s="270" t="str">
        <f>IF(Z228="","",IF(Z228=AB228,IF(NoDrawWithWithdraw,IF(AL228=Y228,"",IF(AL228=AC228,"",Y228)),Y228),""))</f>
        <v/>
      </c>
      <c r="AG228" s="270" t="str">
        <f>IF(Z228="","",IF(Z228=AB228,IF(NoDrawWithWithdraw,IF(AL228=Y228,"",IF(AL228=AC228,"",AC228)),AC228),""))</f>
        <v/>
      </c>
      <c r="AH228" s="270" t="str">
        <f>IF(Z228="","",IF(Z228&lt;AB228,Y228,IF(Z228=AB228,IF(NoDrawWithWithdraw,IF(AL228=Y228,Y228,IF(AL228=AC228,AC228,"")),""),AC228)))</f>
        <v/>
      </c>
      <c r="AI228" s="270" t="str">
        <f>IF(Z228="","",SUM(Z229:Z232))</f>
        <v/>
      </c>
      <c r="AJ228" s="270" t="str">
        <f>IF(Z228="","",SUM(AB229:AB232))</f>
        <v/>
      </c>
      <c r="AK228" s="270" t="str">
        <f>CONCATENATE(AE228,AH228)</f>
        <v/>
      </c>
      <c r="AL228" s="270" t="str">
        <f>IF(COUNTIF(Y229:Y232,WithdrawLabel)&gt;COUNTIF(AC229:AC232,WithdrawLabel),Y228,IF(COUNTIF(AC229:AC232,WithdrawLabel)&gt;COUNTIF(Y229:Y232,WithdrawLabel),AC228,""))</f>
        <v/>
      </c>
      <c r="AM228" s="270"/>
      <c r="AN228" s="270"/>
      <c r="AO228" s="271"/>
      <c r="AP228" s="270"/>
      <c r="AQ228" s="270"/>
      <c r="AR228" s="270"/>
      <c r="AS228" s="270"/>
      <c r="AT228" s="270"/>
      <c r="AU228" s="270"/>
      <c r="AV228" s="270"/>
      <c r="AW228" s="270"/>
      <c r="AX228" s="270"/>
      <c r="AY228" s="1072"/>
      <c r="AZ228" s="270"/>
      <c r="BA228" s="270"/>
      <c r="BB228" s="1072"/>
      <c r="BC228" s="270"/>
      <c r="BD228" s="270"/>
      <c r="BE228" s="270"/>
      <c r="BF228" s="270"/>
      <c r="BG228" s="270"/>
      <c r="BH228" s="270"/>
      <c r="BI228" s="270"/>
      <c r="BJ228" s="270"/>
      <c r="BK228" s="270"/>
      <c r="BL228" s="270"/>
      <c r="BM228" s="270"/>
      <c r="BN228" s="270"/>
      <c r="BO228" s="270"/>
      <c r="BP228" s="270"/>
      <c r="BQ228" s="270"/>
      <c r="BR228" s="270"/>
      <c r="BS228" s="270"/>
      <c r="BT228" s="270"/>
      <c r="BU228" s="270"/>
      <c r="BV228" s="270"/>
      <c r="BW228" s="270"/>
      <c r="BX228" s="270"/>
      <c r="BY228" s="270"/>
      <c r="BZ228" s="270"/>
      <c r="CA228" s="270"/>
      <c r="CB228" s="270"/>
      <c r="CC228" s="270"/>
      <c r="CD228" s="270"/>
      <c r="CE228" s="1395"/>
      <c r="CF228" s="1450"/>
      <c r="CG228" s="1450"/>
      <c r="CH228" s="270"/>
      <c r="CI228" s="270"/>
      <c r="CJ228" s="270"/>
      <c r="CK228" s="270"/>
      <c r="CL228" s="270"/>
      <c r="CM228" s="270"/>
    </row>
    <row r="229" spans="1:91" ht="13.5" hidden="1" outlineLevel="3" thickBot="1" x14ac:dyDescent="0.25">
      <c r="A229" s="270"/>
      <c r="B229" s="271"/>
      <c r="C229" s="12"/>
      <c r="D229" s="1071"/>
      <c r="E229" s="1071"/>
      <c r="F229" s="1071"/>
      <c r="G229" s="1172"/>
      <c r="H229" s="271"/>
      <c r="I229" s="270"/>
      <c r="J229" s="270"/>
      <c r="K229" s="270"/>
      <c r="L229" s="270"/>
      <c r="M229" s="270"/>
      <c r="N229" s="270"/>
      <c r="O229" s="270"/>
      <c r="P229" s="1072"/>
      <c r="Q229" s="270"/>
      <c r="R229" s="270"/>
      <c r="S229" s="1072"/>
      <c r="T229" s="270"/>
      <c r="U229" s="1019"/>
      <c r="V229" s="1176"/>
      <c r="W229" s="1177"/>
      <c r="X229" s="1178"/>
      <c r="Y229" s="1141"/>
      <c r="Z229" s="492"/>
      <c r="AA229" s="493" t="s">
        <v>769</v>
      </c>
      <c r="AB229" s="1069"/>
      <c r="AC229" s="1142"/>
      <c r="AD229" s="839"/>
      <c r="AE229" s="270" t="str">
        <f>IF(Z229="","",IF(Z229&gt;AB229,Y229,IF(Z229=AB229,"",AC229)))</f>
        <v/>
      </c>
      <c r="AF229" s="270" t="str">
        <f>IF(Z229="","",IF(Z229=AB229,Y229,""))</f>
        <v/>
      </c>
      <c r="AG229" s="270" t="str">
        <f>IF(Z229="","",IF(Z229=AB229,AC229,""))</f>
        <v/>
      </c>
      <c r="AH229" s="270" t="str">
        <f>IF(Z229="","",IF(Z229&lt;AB229,Y229,IF(Z229=AB229,"",AC229)))</f>
        <v/>
      </c>
      <c r="AI229" s="270" t="str">
        <f>IF(Z229="","",IF(Z229&gt;AB229,Y228,""))</f>
        <v/>
      </c>
      <c r="AJ229" s="270" t="str">
        <f>IF(Z229="","",IF(Z229&lt;AB229,AC228,""))</f>
        <v/>
      </c>
      <c r="AK229" s="270" t="str">
        <f>CONCATENATE(AE229,AH229)</f>
        <v/>
      </c>
      <c r="AL229" s="270"/>
      <c r="AM229" s="270"/>
      <c r="AN229" s="270"/>
      <c r="AO229" s="271"/>
      <c r="AP229" s="270"/>
      <c r="AQ229" s="270"/>
      <c r="AR229" s="270"/>
      <c r="AS229" s="270"/>
      <c r="AT229" s="270"/>
      <c r="AU229" s="270"/>
      <c r="AV229" s="270"/>
      <c r="AW229" s="270"/>
      <c r="AX229" s="270"/>
      <c r="AY229" s="1072"/>
      <c r="AZ229" s="270"/>
      <c r="BA229" s="270"/>
      <c r="BB229" s="1072"/>
      <c r="BC229" s="270"/>
      <c r="BD229" s="270"/>
      <c r="BE229" s="270"/>
      <c r="BF229" s="270"/>
      <c r="BG229" s="270"/>
      <c r="BH229" s="270"/>
      <c r="BI229" s="270"/>
      <c r="BJ229" s="270"/>
      <c r="BK229" s="270"/>
      <c r="BL229" s="270"/>
      <c r="BM229" s="270"/>
      <c r="BN229" s="270"/>
      <c r="BO229" s="270"/>
      <c r="BP229" s="270"/>
      <c r="BQ229" s="270"/>
      <c r="BR229" s="270"/>
      <c r="BS229" s="270"/>
      <c r="BT229" s="270"/>
      <c r="BU229" s="270"/>
      <c r="BV229" s="270"/>
      <c r="BW229" s="270"/>
      <c r="BX229" s="270"/>
      <c r="BY229" s="270"/>
      <c r="BZ229" s="270"/>
      <c r="CA229" s="270"/>
      <c r="CB229" s="270"/>
      <c r="CC229" s="270"/>
      <c r="CD229" s="270"/>
      <c r="CE229" s="1395"/>
      <c r="CF229" s="1450"/>
      <c r="CG229" s="1450"/>
      <c r="CH229" s="270"/>
      <c r="CI229" s="270"/>
      <c r="CJ229" s="270"/>
      <c r="CK229" s="270"/>
      <c r="CL229" s="270"/>
      <c r="CM229" s="270"/>
    </row>
    <row r="230" spans="1:91" ht="13.5" hidden="1" outlineLevel="3" thickBot="1" x14ac:dyDescent="0.25">
      <c r="A230" s="270"/>
      <c r="B230" s="271"/>
      <c r="C230" s="12"/>
      <c r="D230" s="1071"/>
      <c r="E230" s="1071"/>
      <c r="F230" s="1071"/>
      <c r="G230" s="1172"/>
      <c r="H230" s="271"/>
      <c r="I230" s="270"/>
      <c r="J230" s="270"/>
      <c r="K230" s="270"/>
      <c r="L230" s="270"/>
      <c r="M230" s="270"/>
      <c r="N230" s="270"/>
      <c r="O230" s="270"/>
      <c r="P230" s="1072"/>
      <c r="Q230" s="270"/>
      <c r="R230" s="270"/>
      <c r="S230" s="1072"/>
      <c r="T230" s="270"/>
      <c r="U230" s="1019"/>
      <c r="V230" s="1176"/>
      <c r="W230" s="1177"/>
      <c r="X230" s="1178"/>
      <c r="Y230" s="1141"/>
      <c r="Z230" s="492"/>
      <c r="AA230" s="493" t="s">
        <v>769</v>
      </c>
      <c r="AB230" s="1069"/>
      <c r="AC230" s="1142"/>
      <c r="AD230" s="839"/>
      <c r="AE230" s="270" t="str">
        <f>IF(Z230="","",IF(Z230&gt;AB230,Y230,IF(Z230=AB230,"",AC230)))</f>
        <v/>
      </c>
      <c r="AF230" s="270" t="str">
        <f>IF(Z230="","",IF(Z230=AB230,Y230,""))</f>
        <v/>
      </c>
      <c r="AG230" s="270" t="str">
        <f>IF(Z230="","",IF(Z230=AB230,AC230,""))</f>
        <v/>
      </c>
      <c r="AH230" s="270" t="str">
        <f>IF(Z230="","",IF(Z230&lt;AB230,Y230,IF(Z230=AB230,"",AC230)))</f>
        <v/>
      </c>
      <c r="AI230" s="270" t="str">
        <f>IF(Z230="","",IF(Z230&gt;AB230,Y228,""))</f>
        <v/>
      </c>
      <c r="AJ230" s="270" t="str">
        <f>IF(Z230="","",IF(Z230&lt;AB230,AC228,""))</f>
        <v/>
      </c>
      <c r="AK230" s="270" t="str">
        <f>CONCATENATE(AE230,AH230)</f>
        <v/>
      </c>
      <c r="AL230" s="270"/>
      <c r="AM230" s="270"/>
      <c r="AN230" s="270"/>
      <c r="AO230" s="271"/>
      <c r="AP230" s="270"/>
      <c r="AQ230" s="270"/>
      <c r="AR230" s="270"/>
      <c r="AS230" s="270"/>
      <c r="AT230" s="270"/>
      <c r="AU230" s="270"/>
      <c r="AV230" s="270"/>
      <c r="AW230" s="270"/>
      <c r="AX230" s="270"/>
      <c r="AY230" s="1072"/>
      <c r="AZ230" s="270"/>
      <c r="BA230" s="270"/>
      <c r="BB230" s="1072"/>
      <c r="BC230" s="270"/>
      <c r="BD230" s="270"/>
      <c r="BE230" s="270"/>
      <c r="BF230" s="270"/>
      <c r="BG230" s="270"/>
      <c r="BH230" s="270"/>
      <c r="BI230" s="270"/>
      <c r="BJ230" s="270"/>
      <c r="BK230" s="270"/>
      <c r="BL230" s="270"/>
      <c r="BM230" s="270"/>
      <c r="BN230" s="270"/>
      <c r="BO230" s="270"/>
      <c r="BP230" s="270"/>
      <c r="BQ230" s="270"/>
      <c r="BR230" s="270"/>
      <c r="BS230" s="270"/>
      <c r="BT230" s="270"/>
      <c r="BU230" s="270"/>
      <c r="BV230" s="270"/>
      <c r="BW230" s="270"/>
      <c r="BX230" s="270"/>
      <c r="BY230" s="270"/>
      <c r="BZ230" s="270"/>
      <c r="CA230" s="270"/>
      <c r="CB230" s="270"/>
      <c r="CC230" s="270"/>
      <c r="CD230" s="270"/>
      <c r="CE230" s="1395"/>
      <c r="CF230" s="1450"/>
      <c r="CG230" s="1450"/>
      <c r="CH230" s="270"/>
      <c r="CI230" s="270"/>
      <c r="CJ230" s="270"/>
      <c r="CK230" s="270"/>
      <c r="CL230" s="270"/>
      <c r="CM230" s="270"/>
    </row>
    <row r="231" spans="1:91" ht="13.5" hidden="1" outlineLevel="3" thickBot="1" x14ac:dyDescent="0.25">
      <c r="A231" s="270"/>
      <c r="B231" s="271"/>
      <c r="C231" s="12"/>
      <c r="D231" s="1071"/>
      <c r="E231" s="1071"/>
      <c r="F231" s="1071"/>
      <c r="G231" s="1172"/>
      <c r="H231" s="271"/>
      <c r="I231" s="270"/>
      <c r="J231" s="270"/>
      <c r="K231" s="270"/>
      <c r="L231" s="270"/>
      <c r="M231" s="270"/>
      <c r="N231" s="270"/>
      <c r="O231" s="270"/>
      <c r="P231" s="1072"/>
      <c r="Q231" s="270"/>
      <c r="R231" s="270"/>
      <c r="S231" s="1072"/>
      <c r="T231" s="270"/>
      <c r="U231" s="1019"/>
      <c r="V231" s="1176"/>
      <c r="W231" s="1177"/>
      <c r="X231" s="1178"/>
      <c r="Y231" s="1141"/>
      <c r="Z231" s="492"/>
      <c r="AA231" s="493" t="s">
        <v>769</v>
      </c>
      <c r="AB231" s="1069"/>
      <c r="AC231" s="1142"/>
      <c r="AD231" s="839"/>
      <c r="AE231" s="270" t="str">
        <f>IF(Z231="","",IF(Z231&gt;AB231,Y231,IF(Z231=AB231,"",AC231)))</f>
        <v/>
      </c>
      <c r="AF231" s="270" t="str">
        <f>IF(Z231="","",IF(Z231=AB231,Y231,""))</f>
        <v/>
      </c>
      <c r="AG231" s="270" t="str">
        <f>IF(Z231="","",IF(Z231=AB231,AC231,""))</f>
        <v/>
      </c>
      <c r="AH231" s="270" t="str">
        <f>IF(Z231="","",IF(Z231&lt;AB231,Y231,IF(Z231=AB231,"",AC231)))</f>
        <v/>
      </c>
      <c r="AI231" s="270" t="str">
        <f>IF(Z231="","",IF(Z231&gt;AB231,Y228,""))</f>
        <v/>
      </c>
      <c r="AJ231" s="270" t="str">
        <f>IF(Z231="","",IF(Z231&lt;AB231,AC228,""))</f>
        <v/>
      </c>
      <c r="AK231" s="270" t="str">
        <f>CONCATENATE(AE231,AH231)</f>
        <v/>
      </c>
      <c r="AL231" s="270"/>
      <c r="AM231" s="270"/>
      <c r="AN231" s="270"/>
      <c r="AO231" s="271"/>
      <c r="AP231" s="270"/>
      <c r="AQ231" s="270"/>
      <c r="AR231" s="270"/>
      <c r="AS231" s="270"/>
      <c r="AT231" s="270"/>
      <c r="AU231" s="270"/>
      <c r="AV231" s="270"/>
      <c r="AW231" s="270"/>
      <c r="AX231" s="270"/>
      <c r="AY231" s="1072"/>
      <c r="AZ231" s="270"/>
      <c r="BA231" s="270"/>
      <c r="BB231" s="1072"/>
      <c r="BC231" s="270"/>
      <c r="BD231" s="270"/>
      <c r="BE231" s="270"/>
      <c r="BF231" s="270"/>
      <c r="BG231" s="270"/>
      <c r="BH231" s="270"/>
      <c r="BI231" s="270"/>
      <c r="BJ231" s="270"/>
      <c r="BK231" s="270"/>
      <c r="BL231" s="270"/>
      <c r="BM231" s="270"/>
      <c r="BN231" s="270"/>
      <c r="BO231" s="270"/>
      <c r="BP231" s="270"/>
      <c r="BQ231" s="270"/>
      <c r="BR231" s="270"/>
      <c r="BS231" s="270"/>
      <c r="BT231" s="270"/>
      <c r="BU231" s="270"/>
      <c r="BV231" s="270"/>
      <c r="BW231" s="270"/>
      <c r="BX231" s="270"/>
      <c r="BY231" s="270"/>
      <c r="BZ231" s="270"/>
      <c r="CA231" s="270"/>
      <c r="CB231" s="270"/>
      <c r="CC231" s="270"/>
      <c r="CD231" s="270"/>
      <c r="CE231" s="1395"/>
      <c r="CF231" s="1450"/>
      <c r="CG231" s="1450"/>
      <c r="CH231" s="270"/>
      <c r="CI231" s="270"/>
      <c r="CJ231" s="270"/>
      <c r="CK231" s="270"/>
      <c r="CL231" s="270"/>
      <c r="CM231" s="270"/>
    </row>
    <row r="232" spans="1:91" ht="13.5" hidden="1" outlineLevel="3" thickBot="1" x14ac:dyDescent="0.25">
      <c r="A232" s="270"/>
      <c r="B232" s="271"/>
      <c r="C232" s="12"/>
      <c r="D232" s="1071"/>
      <c r="E232" s="1071"/>
      <c r="F232" s="1071"/>
      <c r="G232" s="1172"/>
      <c r="H232" s="271"/>
      <c r="I232" s="270"/>
      <c r="J232" s="270"/>
      <c r="K232" s="270"/>
      <c r="L232" s="270"/>
      <c r="M232" s="270"/>
      <c r="N232" s="270"/>
      <c r="O232" s="270"/>
      <c r="P232" s="1072"/>
      <c r="Q232" s="270"/>
      <c r="R232" s="270"/>
      <c r="S232" s="1072"/>
      <c r="T232" s="270"/>
      <c r="U232" s="1019"/>
      <c r="V232" s="1176"/>
      <c r="W232" s="1177"/>
      <c r="X232" s="1178"/>
      <c r="Y232" s="1141"/>
      <c r="Z232" s="492"/>
      <c r="AA232" s="493" t="s">
        <v>769</v>
      </c>
      <c r="AB232" s="1069"/>
      <c r="AC232" s="1142"/>
      <c r="AD232" s="839"/>
      <c r="AE232" s="270" t="str">
        <f>IF(Z232="","",IF(Z232&gt;AB232,Y232,IF(Z232=AB232,"",AC232)))</f>
        <v/>
      </c>
      <c r="AF232" s="270" t="str">
        <f>IF(Z232="","",IF(Z232=AB232,Y232,""))</f>
        <v/>
      </c>
      <c r="AG232" s="270" t="str">
        <f>IF(Z232="","",IF(Z232=AB232,AC232,""))</f>
        <v/>
      </c>
      <c r="AH232" s="270" t="str">
        <f>IF(Z232="","",IF(Z232&lt;AB232,Y232,IF(Z232=AB232,"",AC232)))</f>
        <v/>
      </c>
      <c r="AI232" s="270" t="str">
        <f>IF(Z232="","",IF(Z232&gt;AB232,Y228,""))</f>
        <v/>
      </c>
      <c r="AJ232" s="270" t="str">
        <f>IF(Z232="","",IF(Z232&lt;AB232,AC228,""))</f>
        <v/>
      </c>
      <c r="AK232" s="270" t="str">
        <f>CONCATENATE(AE232,AH232)</f>
        <v/>
      </c>
      <c r="AL232" s="270"/>
      <c r="AM232" s="270"/>
      <c r="AN232" s="270"/>
      <c r="AO232" s="271"/>
      <c r="AP232" s="270"/>
      <c r="AQ232" s="270"/>
      <c r="AR232" s="270"/>
      <c r="AS232" s="270"/>
      <c r="AT232" s="270"/>
      <c r="AU232" s="270"/>
      <c r="AV232" s="270"/>
      <c r="AW232" s="270"/>
      <c r="AX232" s="270"/>
      <c r="AY232" s="1072"/>
      <c r="AZ232" s="270"/>
      <c r="BA232" s="270"/>
      <c r="BB232" s="1072"/>
      <c r="BC232" s="270"/>
      <c r="BD232" s="270"/>
      <c r="BE232" s="270"/>
      <c r="BF232" s="270"/>
      <c r="BG232" s="270"/>
      <c r="BH232" s="270"/>
      <c r="BI232" s="270"/>
      <c r="BJ232" s="270"/>
      <c r="BK232" s="270"/>
      <c r="BL232" s="270"/>
      <c r="BM232" s="270"/>
      <c r="BN232" s="270"/>
      <c r="BO232" s="270"/>
      <c r="BP232" s="270"/>
      <c r="BQ232" s="270"/>
      <c r="BR232" s="270"/>
      <c r="BS232" s="270"/>
      <c r="BT232" s="270"/>
      <c r="BU232" s="270"/>
      <c r="BV232" s="270"/>
      <c r="BW232" s="270"/>
      <c r="BX232" s="270"/>
      <c r="BY232" s="270"/>
      <c r="BZ232" s="270"/>
      <c r="CA232" s="270"/>
      <c r="CB232" s="270"/>
      <c r="CC232" s="270"/>
      <c r="CD232" s="270"/>
      <c r="CE232" s="1395"/>
      <c r="CF232" s="1450"/>
      <c r="CG232" s="1450"/>
      <c r="CH232" s="270"/>
      <c r="CI232" s="270"/>
      <c r="CJ232" s="270"/>
      <c r="CK232" s="270"/>
      <c r="CL232" s="270"/>
      <c r="CM232" s="270"/>
    </row>
    <row r="233" spans="1:91" ht="13.5" hidden="1" outlineLevel="3" thickBot="1" x14ac:dyDescent="0.25">
      <c r="A233" s="270"/>
      <c r="B233" s="271"/>
      <c r="C233" s="12"/>
      <c r="D233" s="1071"/>
      <c r="E233" s="1071"/>
      <c r="F233" s="1071"/>
      <c r="G233" s="626"/>
      <c r="H233" s="271"/>
      <c r="I233" s="270"/>
      <c r="J233" s="270"/>
      <c r="K233" s="270"/>
      <c r="L233" s="270"/>
      <c r="M233" s="270"/>
      <c r="N233" s="270"/>
      <c r="O233" s="270"/>
      <c r="P233" s="1072"/>
      <c r="Q233" s="270"/>
      <c r="R233" s="270"/>
      <c r="S233" s="1072"/>
      <c r="T233" s="270"/>
      <c r="U233" s="1019"/>
      <c r="V233" s="1073"/>
      <c r="W233" s="1074"/>
      <c r="X233" s="1075" t="str">
        <f>N_Substitute</f>
        <v>Remplaçant</v>
      </c>
      <c r="Y233" s="1141"/>
      <c r="Z233" s="492"/>
      <c r="AA233" s="1076"/>
      <c r="AB233" s="1069"/>
      <c r="AC233" s="1142"/>
      <c r="AD233" s="839"/>
      <c r="AE233" s="270"/>
      <c r="AF233" s="270"/>
      <c r="AG233" s="270"/>
      <c r="AH233" s="270"/>
      <c r="AI233" s="270"/>
      <c r="AJ233" s="270"/>
      <c r="AK233" s="270"/>
      <c r="AL233" s="270"/>
      <c r="AM233" s="270"/>
      <c r="AN233" s="270"/>
      <c r="AO233" s="271"/>
      <c r="AP233" s="270"/>
      <c r="AQ233" s="270"/>
      <c r="AR233" s="270"/>
      <c r="AS233" s="270"/>
      <c r="AT233" s="270"/>
      <c r="AU233" s="270"/>
      <c r="AV233" s="270"/>
      <c r="AW233" s="270"/>
      <c r="AX233" s="270"/>
      <c r="AY233" s="1072"/>
      <c r="AZ233" s="270"/>
      <c r="BA233" s="270"/>
      <c r="BB233" s="1072"/>
      <c r="BC233" s="270"/>
      <c r="BD233" s="270"/>
      <c r="BE233" s="270"/>
      <c r="BF233" s="270"/>
      <c r="BG233" s="270"/>
      <c r="BH233" s="270"/>
      <c r="BI233" s="270"/>
      <c r="BJ233" s="270"/>
      <c r="BK233" s="270"/>
      <c r="BL233" s="270"/>
      <c r="BM233" s="270"/>
      <c r="BN233" s="270"/>
      <c r="BO233" s="270"/>
      <c r="BP233" s="270"/>
      <c r="BQ233" s="270"/>
      <c r="BR233" s="270"/>
      <c r="BS233" s="270"/>
      <c r="BT233" s="270"/>
      <c r="BU233" s="270"/>
      <c r="BV233" s="270"/>
      <c r="BW233" s="270"/>
      <c r="BX233" s="270"/>
      <c r="BY233" s="270"/>
      <c r="BZ233" s="270"/>
      <c r="CA233" s="270"/>
      <c r="CB233" s="270"/>
      <c r="CC233" s="270"/>
      <c r="CD233" s="270"/>
      <c r="CE233" s="1395"/>
      <c r="CF233" s="1450"/>
      <c r="CG233" s="1450"/>
      <c r="CH233" s="270"/>
      <c r="CI233" s="270"/>
      <c r="CJ233" s="270"/>
      <c r="CK233" s="270"/>
      <c r="CL233" s="270"/>
      <c r="CM233" s="270"/>
    </row>
    <row r="234" spans="1:91" ht="13.5" hidden="1" outlineLevel="3" thickBot="1" x14ac:dyDescent="0.25">
      <c r="A234" s="270"/>
      <c r="B234" s="271"/>
      <c r="C234" s="12"/>
      <c r="D234" s="1071"/>
      <c r="E234" s="1071"/>
      <c r="F234" s="1071"/>
      <c r="G234" s="626"/>
      <c r="H234" s="271"/>
      <c r="I234" s="270"/>
      <c r="J234" s="270"/>
      <c r="K234" s="270"/>
      <c r="L234" s="270"/>
      <c r="M234" s="270"/>
      <c r="N234" s="270"/>
      <c r="O234" s="270"/>
      <c r="P234" s="1072"/>
      <c r="Q234" s="270"/>
      <c r="R234" s="270"/>
      <c r="S234" s="1072"/>
      <c r="T234" s="270"/>
      <c r="U234" s="1019"/>
      <c r="V234" s="1119"/>
      <c r="W234" s="1120"/>
      <c r="X234" s="1075" t="str">
        <f>N_Substitute</f>
        <v>Remplaçant</v>
      </c>
      <c r="Y234" s="1141"/>
      <c r="Z234" s="492"/>
      <c r="AA234" s="1121"/>
      <c r="AB234" s="1069"/>
      <c r="AC234" s="1142"/>
      <c r="AD234" s="839"/>
      <c r="AE234" s="270"/>
      <c r="AF234" s="270"/>
      <c r="AG234" s="270"/>
      <c r="AH234" s="270"/>
      <c r="AI234" s="270"/>
      <c r="AJ234" s="270"/>
      <c r="AK234" s="270"/>
      <c r="AL234" s="270"/>
      <c r="AM234" s="270"/>
      <c r="AN234" s="270"/>
      <c r="AO234" s="271"/>
      <c r="AP234" s="270"/>
      <c r="AQ234" s="270"/>
      <c r="AR234" s="270"/>
      <c r="AS234" s="270"/>
      <c r="AT234" s="270"/>
      <c r="AU234" s="270"/>
      <c r="AV234" s="270"/>
      <c r="AW234" s="270"/>
      <c r="AX234" s="270"/>
      <c r="AY234" s="1072"/>
      <c r="AZ234" s="270"/>
      <c r="BA234" s="270"/>
      <c r="BB234" s="1072"/>
      <c r="BC234" s="270"/>
      <c r="BD234" s="270"/>
      <c r="BE234" s="270"/>
      <c r="BF234" s="270"/>
      <c r="BG234" s="270"/>
      <c r="BH234" s="270"/>
      <c r="BI234" s="270"/>
      <c r="BJ234" s="270"/>
      <c r="BK234" s="270"/>
      <c r="BL234" s="270"/>
      <c r="BM234" s="270"/>
      <c r="BN234" s="270"/>
      <c r="BO234" s="270"/>
      <c r="BP234" s="270"/>
      <c r="BQ234" s="270"/>
      <c r="BR234" s="270"/>
      <c r="BS234" s="270"/>
      <c r="BT234" s="270"/>
      <c r="BU234" s="270"/>
      <c r="BV234" s="270"/>
      <c r="BW234" s="270"/>
      <c r="BX234" s="270"/>
      <c r="BY234" s="270"/>
      <c r="BZ234" s="270"/>
      <c r="CA234" s="270"/>
      <c r="CB234" s="270"/>
      <c r="CC234" s="270"/>
      <c r="CD234" s="270"/>
      <c r="CE234" s="1395"/>
      <c r="CF234" s="1450"/>
      <c r="CG234" s="1450"/>
      <c r="CH234" s="270"/>
      <c r="CI234" s="270"/>
      <c r="CJ234" s="270"/>
      <c r="CK234" s="270"/>
      <c r="CL234" s="270"/>
      <c r="CM234" s="270"/>
    </row>
    <row r="235" spans="1:91" hidden="1" outlineLevel="2" collapsed="1" x14ac:dyDescent="0.2">
      <c r="A235" s="270"/>
      <c r="B235" s="271"/>
      <c r="C235" s="270"/>
      <c r="D235" s="270"/>
      <c r="E235" s="270"/>
      <c r="F235" s="270"/>
      <c r="G235" s="271"/>
      <c r="H235" s="270"/>
      <c r="I235" s="270"/>
      <c r="J235" s="270"/>
      <c r="K235" s="270"/>
      <c r="L235" s="270"/>
      <c r="M235" s="270"/>
      <c r="N235" s="270"/>
      <c r="O235" s="270"/>
      <c r="P235" s="270"/>
      <c r="Q235" s="270"/>
      <c r="R235" s="270"/>
      <c r="S235" s="270"/>
      <c r="T235" s="270"/>
      <c r="U235" s="1019" t="s">
        <v>1726</v>
      </c>
      <c r="V235" s="1179"/>
      <c r="W235" s="1177"/>
      <c r="X235" s="1178"/>
      <c r="Y235" s="1180" t="str">
        <f>IF(G222="","",G222)</f>
        <v>Eq2</v>
      </c>
      <c r="Z235" s="1123" t="str">
        <f>IF(OR(ISNUMBER(Z236),ISNUMBER(Z237),ISNUMBER(Z238),ISNUMBER(Z239)),4-COUNTBLANK(AI236:AI239),"")</f>
        <v/>
      </c>
      <c r="AA235" s="1124" t="s">
        <v>769</v>
      </c>
      <c r="AB235" s="1125" t="str">
        <f>IF(OR(ISNUMBER(Z236),ISNUMBER(Z237),ISNUMBER(Z238),ISNUMBER(Z239)),4-COUNTBLANK(AJ236:AJ239),"")</f>
        <v/>
      </c>
      <c r="AC235" s="1181" t="str">
        <f>IF(G223="","",G223)</f>
        <v>Eq3</v>
      </c>
      <c r="AD235" s="839"/>
      <c r="AE235" s="270" t="str">
        <f>IF(Z235="","",IF(Z235&gt;AB235,Y235,IF(Z235=AB235,IF(NoDrawWithWithdraw,IF(AL235=Y235,AC235,IF(AL235=AC235,Y235,"")),""),AC235)))</f>
        <v/>
      </c>
      <c r="AF235" s="270" t="str">
        <f>IF(Z235="","",IF(Z235=AB235,IF(NoDrawWithWithdraw,IF(AL235=Y235,"",IF(AL235=AC235,"",Y235)),Y235),""))</f>
        <v/>
      </c>
      <c r="AG235" s="270" t="str">
        <f>IF(Z235="","",IF(Z235=AB235,IF(NoDrawWithWithdraw,IF(AL235=Y235,"",IF(AL235=AC235,"",AC235)),AC235),""))</f>
        <v/>
      </c>
      <c r="AH235" s="270" t="str">
        <f>IF(Z235="","",IF(Z235&lt;AB235,Y235,IF(Z235=AB235,IF(NoDrawWithWithdraw,IF(AL235=Y235,Y235,IF(AL235=AC235,AC235,"")),""),AC235)))</f>
        <v/>
      </c>
      <c r="AI235" s="270" t="str">
        <f>IF(Z235="","",SUM(Z236:Z239))</f>
        <v/>
      </c>
      <c r="AJ235" s="270" t="str">
        <f>IF(Z235="","",SUM(AB236:AB239))</f>
        <v/>
      </c>
      <c r="AK235" s="270" t="str">
        <f>CONCATENATE(AE235,AH235)</f>
        <v/>
      </c>
      <c r="AL235" s="270" t="str">
        <f>IF(COUNTIF(Y236:Y239,WithdrawLabel)&gt;COUNTIF(AC236:AC239,WithdrawLabel),Y235,IF(COUNTIF(AC236:AC239,WithdrawLabel)&gt;COUNTIF(Y236:Y239,WithdrawLabel),AC235,""))</f>
        <v/>
      </c>
      <c r="AM235" s="270"/>
      <c r="AN235" s="270"/>
      <c r="AO235" s="575"/>
      <c r="AP235" s="270"/>
      <c r="AQ235" s="270"/>
      <c r="AR235" s="270"/>
      <c r="AS235" s="270"/>
      <c r="AT235" s="270"/>
      <c r="AU235" s="270"/>
      <c r="AV235" s="270"/>
      <c r="AW235" s="270"/>
      <c r="AX235" s="270"/>
      <c r="AY235" s="270"/>
      <c r="AZ235" s="270"/>
      <c r="BA235" s="270"/>
      <c r="BB235" s="270"/>
      <c r="BC235" s="270"/>
      <c r="BD235" s="270"/>
      <c r="BE235" s="270"/>
      <c r="BF235" s="270"/>
      <c r="BG235" s="270"/>
      <c r="BH235" s="270"/>
      <c r="BI235" s="270"/>
      <c r="BJ235" s="270"/>
      <c r="BK235" s="270"/>
      <c r="BL235" s="270"/>
      <c r="BM235" s="270"/>
      <c r="BN235" s="270"/>
      <c r="BO235" s="270"/>
      <c r="BP235" s="270"/>
      <c r="BQ235" s="270"/>
      <c r="BR235" s="270"/>
      <c r="BS235" s="270"/>
      <c r="BT235" s="270"/>
      <c r="BU235" s="270"/>
      <c r="BV235" s="270"/>
      <c r="BW235" s="270"/>
      <c r="BX235" s="270"/>
      <c r="BY235" s="270"/>
      <c r="BZ235" s="270"/>
      <c r="CA235" s="270"/>
      <c r="CB235" s="270"/>
      <c r="CC235" s="270"/>
      <c r="CD235" s="270"/>
      <c r="CE235" s="1395"/>
      <c r="CF235" s="1450"/>
      <c r="CG235" s="1450"/>
      <c r="CH235" s="270"/>
      <c r="CI235" s="270"/>
      <c r="CJ235" s="270"/>
      <c r="CK235" s="270"/>
      <c r="CL235" s="270"/>
      <c r="CM235" s="270"/>
    </row>
    <row r="236" spans="1:91" ht="13.5" hidden="1" outlineLevel="3" thickBot="1" x14ac:dyDescent="0.25">
      <c r="A236" s="270"/>
      <c r="B236" s="271"/>
      <c r="C236" s="12"/>
      <c r="D236" s="1071"/>
      <c r="E236" s="1071"/>
      <c r="F236" s="1071"/>
      <c r="G236" s="1172"/>
      <c r="H236" s="271"/>
      <c r="I236" s="270"/>
      <c r="J236" s="270"/>
      <c r="K236" s="270"/>
      <c r="L236" s="270"/>
      <c r="M236" s="270"/>
      <c r="N236" s="270"/>
      <c r="O236" s="270"/>
      <c r="P236" s="1072"/>
      <c r="Q236" s="270"/>
      <c r="R236" s="270"/>
      <c r="S236" s="1072"/>
      <c r="T236" s="270"/>
      <c r="U236" s="1019"/>
      <c r="V236" s="1176"/>
      <c r="W236" s="1177"/>
      <c r="X236" s="1178"/>
      <c r="Y236" s="1141"/>
      <c r="Z236" s="492"/>
      <c r="AA236" s="493" t="s">
        <v>769</v>
      </c>
      <c r="AB236" s="1069"/>
      <c r="AC236" s="1142"/>
      <c r="AD236" s="839"/>
      <c r="AE236" s="270" t="str">
        <f>IF(Z236="","",IF(Z236&gt;AB236,Y236,IF(Z236=AB236,"",AC236)))</f>
        <v/>
      </c>
      <c r="AF236" s="270" t="str">
        <f>IF(Z236="","",IF(Z236=AB236,Y236,""))</f>
        <v/>
      </c>
      <c r="AG236" s="270" t="str">
        <f>IF(Z236="","",IF(Z236=AB236,AC236,""))</f>
        <v/>
      </c>
      <c r="AH236" s="270" t="str">
        <f>IF(Z236="","",IF(Z236&lt;AB236,Y236,IF(Z236=AB236,"",AC236)))</f>
        <v/>
      </c>
      <c r="AI236" s="270" t="str">
        <f>IF(Z236="","",IF(Z236&gt;AB236,Y235,""))</f>
        <v/>
      </c>
      <c r="AJ236" s="270" t="str">
        <f>IF(Z236="","",IF(Z236&lt;AB236,AC235,""))</f>
        <v/>
      </c>
      <c r="AK236" s="270" t="str">
        <f>CONCATENATE(AE236,AH236)</f>
        <v/>
      </c>
      <c r="AL236" s="270"/>
      <c r="AM236" s="270"/>
      <c r="AN236" s="270"/>
      <c r="AO236" s="271"/>
      <c r="AP236" s="270"/>
      <c r="AQ236" s="270"/>
      <c r="AR236" s="270"/>
      <c r="AS236" s="270"/>
      <c r="AT236" s="270"/>
      <c r="AU236" s="270"/>
      <c r="AV236" s="270"/>
      <c r="AW236" s="270"/>
      <c r="AX236" s="270"/>
      <c r="AY236" s="1072"/>
      <c r="AZ236" s="270"/>
      <c r="BA236" s="270"/>
      <c r="BB236" s="1072"/>
      <c r="BC236" s="270"/>
      <c r="BD236" s="270"/>
      <c r="BE236" s="270"/>
      <c r="BF236" s="270"/>
      <c r="BG236" s="270"/>
      <c r="BH236" s="270"/>
      <c r="BI236" s="270"/>
      <c r="BJ236" s="270"/>
      <c r="BK236" s="270"/>
      <c r="BL236" s="270"/>
      <c r="BM236" s="270"/>
      <c r="BN236" s="270"/>
      <c r="BO236" s="270"/>
      <c r="BP236" s="270"/>
      <c r="BQ236" s="270"/>
      <c r="BR236" s="270"/>
      <c r="BS236" s="270"/>
      <c r="BT236" s="270"/>
      <c r="BU236" s="270"/>
      <c r="BV236" s="270"/>
      <c r="BW236" s="270"/>
      <c r="BX236" s="270"/>
      <c r="BY236" s="270"/>
      <c r="BZ236" s="270"/>
      <c r="CA236" s="270"/>
      <c r="CB236" s="270"/>
      <c r="CC236" s="270"/>
      <c r="CD236" s="270"/>
      <c r="CE236" s="1395"/>
      <c r="CF236" s="1450"/>
      <c r="CG236" s="1450"/>
      <c r="CH236" s="270"/>
      <c r="CI236" s="270"/>
      <c r="CJ236" s="270"/>
      <c r="CK236" s="270"/>
      <c r="CL236" s="270"/>
      <c r="CM236" s="270"/>
    </row>
    <row r="237" spans="1:91" ht="13.5" hidden="1" outlineLevel="3" thickBot="1" x14ac:dyDescent="0.25">
      <c r="A237" s="270"/>
      <c r="B237" s="271"/>
      <c r="C237" s="12"/>
      <c r="D237" s="1071"/>
      <c r="E237" s="1071"/>
      <c r="F237" s="1071"/>
      <c r="G237" s="1172"/>
      <c r="H237" s="271"/>
      <c r="I237" s="270"/>
      <c r="J237" s="270"/>
      <c r="K237" s="270"/>
      <c r="L237" s="270"/>
      <c r="M237" s="270"/>
      <c r="N237" s="270"/>
      <c r="O237" s="270"/>
      <c r="P237" s="1072"/>
      <c r="Q237" s="270"/>
      <c r="R237" s="270"/>
      <c r="S237" s="1072"/>
      <c r="T237" s="270"/>
      <c r="U237" s="1019"/>
      <c r="V237" s="1176"/>
      <c r="W237" s="1177"/>
      <c r="X237" s="1178"/>
      <c r="Y237" s="1141"/>
      <c r="Z237" s="492"/>
      <c r="AA237" s="493" t="s">
        <v>769</v>
      </c>
      <c r="AB237" s="1069"/>
      <c r="AC237" s="1142"/>
      <c r="AD237" s="839"/>
      <c r="AE237" s="270" t="str">
        <f>IF(Z237="","",IF(Z237&gt;AB237,Y237,IF(Z237=AB237,"",AC237)))</f>
        <v/>
      </c>
      <c r="AF237" s="270" t="str">
        <f>IF(Z237="","",IF(Z237=AB237,Y237,""))</f>
        <v/>
      </c>
      <c r="AG237" s="270" t="str">
        <f>IF(Z237="","",IF(Z237=AB237,AC237,""))</f>
        <v/>
      </c>
      <c r="AH237" s="270" t="str">
        <f>IF(Z237="","",IF(Z237&lt;AB237,Y237,IF(Z237=AB237,"",AC237)))</f>
        <v/>
      </c>
      <c r="AI237" s="270" t="str">
        <f>IF(Z237="","",IF(Z237&gt;AB237,Y235,""))</f>
        <v/>
      </c>
      <c r="AJ237" s="270" t="str">
        <f>IF(Z237="","",IF(Z237&lt;AB237,AC235,""))</f>
        <v/>
      </c>
      <c r="AK237" s="270" t="str">
        <f>CONCATENATE(AE237,AH237)</f>
        <v/>
      </c>
      <c r="AL237" s="270"/>
      <c r="AM237" s="270"/>
      <c r="AN237" s="270"/>
      <c r="AO237" s="271"/>
      <c r="AP237" s="270"/>
      <c r="AQ237" s="270"/>
      <c r="AR237" s="270"/>
      <c r="AS237" s="270"/>
      <c r="AT237" s="270"/>
      <c r="AU237" s="270"/>
      <c r="AV237" s="270"/>
      <c r="AW237" s="270"/>
      <c r="AX237" s="270"/>
      <c r="AY237" s="1072"/>
      <c r="AZ237" s="270"/>
      <c r="BA237" s="270"/>
      <c r="BB237" s="1072"/>
      <c r="BC237" s="270"/>
      <c r="BD237" s="270"/>
      <c r="BE237" s="270"/>
      <c r="BF237" s="270"/>
      <c r="BG237" s="270"/>
      <c r="BH237" s="270"/>
      <c r="BI237" s="270"/>
      <c r="BJ237" s="270"/>
      <c r="BK237" s="270"/>
      <c r="BL237" s="270"/>
      <c r="BM237" s="270"/>
      <c r="BN237" s="270"/>
      <c r="BO237" s="270"/>
      <c r="BP237" s="270"/>
      <c r="BQ237" s="270"/>
      <c r="BR237" s="270"/>
      <c r="BS237" s="270"/>
      <c r="BT237" s="270"/>
      <c r="BU237" s="270"/>
      <c r="BV237" s="270"/>
      <c r="BW237" s="270"/>
      <c r="BX237" s="270"/>
      <c r="BY237" s="270"/>
      <c r="BZ237" s="270"/>
      <c r="CA237" s="270"/>
      <c r="CB237" s="270"/>
      <c r="CC237" s="270"/>
      <c r="CD237" s="270"/>
      <c r="CE237" s="1395"/>
      <c r="CF237" s="1450"/>
      <c r="CG237" s="1450"/>
      <c r="CH237" s="270"/>
      <c r="CI237" s="270"/>
      <c r="CJ237" s="270"/>
      <c r="CK237" s="270"/>
      <c r="CL237" s="270"/>
      <c r="CM237" s="270"/>
    </row>
    <row r="238" spans="1:91" ht="13.5" hidden="1" outlineLevel="3" thickBot="1" x14ac:dyDescent="0.25">
      <c r="A238" s="270"/>
      <c r="B238" s="271"/>
      <c r="C238" s="12"/>
      <c r="D238" s="1071"/>
      <c r="E238" s="1071"/>
      <c r="F238" s="1071"/>
      <c r="G238" s="1172"/>
      <c r="H238" s="271"/>
      <c r="I238" s="270"/>
      <c r="J238" s="270"/>
      <c r="K238" s="270"/>
      <c r="L238" s="270"/>
      <c r="M238" s="270"/>
      <c r="N238" s="270"/>
      <c r="O238" s="270"/>
      <c r="P238" s="1072"/>
      <c r="Q238" s="270"/>
      <c r="R238" s="270"/>
      <c r="S238" s="1072"/>
      <c r="T238" s="270"/>
      <c r="U238" s="1019"/>
      <c r="V238" s="1176"/>
      <c r="W238" s="1177"/>
      <c r="X238" s="1178"/>
      <c r="Y238" s="1141"/>
      <c r="Z238" s="492"/>
      <c r="AA238" s="493" t="s">
        <v>769</v>
      </c>
      <c r="AB238" s="1069"/>
      <c r="AC238" s="1142"/>
      <c r="AD238" s="839"/>
      <c r="AE238" s="270" t="str">
        <f>IF(Z238="","",IF(Z238&gt;AB238,Y238,IF(Z238=AB238,"",AC238)))</f>
        <v/>
      </c>
      <c r="AF238" s="270" t="str">
        <f>IF(Z238="","",IF(Z238=AB238,Y238,""))</f>
        <v/>
      </c>
      <c r="AG238" s="270" t="str">
        <f>IF(Z238="","",IF(Z238=AB238,AC238,""))</f>
        <v/>
      </c>
      <c r="AH238" s="270" t="str">
        <f>IF(Z238="","",IF(Z238&lt;AB238,Y238,IF(Z238=AB238,"",AC238)))</f>
        <v/>
      </c>
      <c r="AI238" s="270" t="str">
        <f>IF(Z238="","",IF(Z238&gt;AB238,Y235,""))</f>
        <v/>
      </c>
      <c r="AJ238" s="270" t="str">
        <f>IF(Z238="","",IF(Z238&lt;AB238,AC235,""))</f>
        <v/>
      </c>
      <c r="AK238" s="270" t="str">
        <f>CONCATENATE(AE238,AH238)</f>
        <v/>
      </c>
      <c r="AL238" s="270"/>
      <c r="AM238" s="270"/>
      <c r="AN238" s="270"/>
      <c r="AO238" s="271"/>
      <c r="AP238" s="270"/>
      <c r="AQ238" s="270"/>
      <c r="AR238" s="270"/>
      <c r="AS238" s="270"/>
      <c r="AT238" s="270"/>
      <c r="AU238" s="270"/>
      <c r="AV238" s="270"/>
      <c r="AW238" s="270"/>
      <c r="AX238" s="270"/>
      <c r="AY238" s="1072"/>
      <c r="AZ238" s="270"/>
      <c r="BA238" s="270"/>
      <c r="BB238" s="1072"/>
      <c r="BC238" s="270"/>
      <c r="BD238" s="270"/>
      <c r="BE238" s="270"/>
      <c r="BF238" s="270"/>
      <c r="BG238" s="270"/>
      <c r="BH238" s="270"/>
      <c r="BI238" s="270"/>
      <c r="BJ238" s="270"/>
      <c r="BK238" s="270"/>
      <c r="BL238" s="270"/>
      <c r="BM238" s="270"/>
      <c r="BN238" s="270"/>
      <c r="BO238" s="270"/>
      <c r="BP238" s="270"/>
      <c r="BQ238" s="270"/>
      <c r="BR238" s="270"/>
      <c r="BS238" s="270"/>
      <c r="BT238" s="270"/>
      <c r="BU238" s="270"/>
      <c r="BV238" s="270"/>
      <c r="BW238" s="270"/>
      <c r="BX238" s="270"/>
      <c r="BY238" s="270"/>
      <c r="BZ238" s="270"/>
      <c r="CA238" s="270"/>
      <c r="CB238" s="270"/>
      <c r="CC238" s="270"/>
      <c r="CD238" s="270"/>
      <c r="CE238" s="1395"/>
      <c r="CF238" s="1450"/>
      <c r="CG238" s="1450"/>
      <c r="CH238" s="270"/>
      <c r="CI238" s="270"/>
      <c r="CJ238" s="270"/>
      <c r="CK238" s="270"/>
      <c r="CL238" s="270"/>
      <c r="CM238" s="270"/>
    </row>
    <row r="239" spans="1:91" ht="13.5" hidden="1" outlineLevel="3" thickBot="1" x14ac:dyDescent="0.25">
      <c r="A239" s="270"/>
      <c r="B239" s="271"/>
      <c r="C239" s="12"/>
      <c r="D239" s="1071"/>
      <c r="E239" s="1071"/>
      <c r="F239" s="1071"/>
      <c r="G239" s="1172"/>
      <c r="H239" s="271"/>
      <c r="I239" s="270"/>
      <c r="J239" s="270"/>
      <c r="K239" s="270"/>
      <c r="L239" s="270"/>
      <c r="M239" s="270"/>
      <c r="N239" s="270"/>
      <c r="O239" s="270"/>
      <c r="P239" s="1072"/>
      <c r="Q239" s="270"/>
      <c r="R239" s="270"/>
      <c r="S239" s="1072"/>
      <c r="T239" s="270"/>
      <c r="U239" s="1019"/>
      <c r="V239" s="1176"/>
      <c r="W239" s="1177"/>
      <c r="X239" s="1178"/>
      <c r="Y239" s="1141"/>
      <c r="Z239" s="492"/>
      <c r="AA239" s="493" t="s">
        <v>769</v>
      </c>
      <c r="AB239" s="1069"/>
      <c r="AC239" s="1142"/>
      <c r="AD239" s="839"/>
      <c r="AE239" s="270" t="str">
        <f>IF(Z239="","",IF(Z239&gt;AB239,Y239,IF(Z239=AB239,"",AC239)))</f>
        <v/>
      </c>
      <c r="AF239" s="270" t="str">
        <f>IF(Z239="","",IF(Z239=AB239,Y239,""))</f>
        <v/>
      </c>
      <c r="AG239" s="270" t="str">
        <f>IF(Z239="","",IF(Z239=AB239,AC239,""))</f>
        <v/>
      </c>
      <c r="AH239" s="270" t="str">
        <f>IF(Z239="","",IF(Z239&lt;AB239,Y239,IF(Z239=AB239,"",AC239)))</f>
        <v/>
      </c>
      <c r="AI239" s="270" t="str">
        <f>IF(Z239="","",IF(Z239&gt;AB239,Y235,""))</f>
        <v/>
      </c>
      <c r="AJ239" s="270" t="str">
        <f>IF(Z239="","",IF(Z239&lt;AB239,AC235,""))</f>
        <v/>
      </c>
      <c r="AK239" s="270" t="str">
        <f>CONCATENATE(AE239,AH239)</f>
        <v/>
      </c>
      <c r="AL239" s="270"/>
      <c r="AM239" s="270"/>
      <c r="AN239" s="270"/>
      <c r="AO239" s="271"/>
      <c r="AP239" s="270"/>
      <c r="AQ239" s="270"/>
      <c r="AR239" s="270"/>
      <c r="AS239" s="270"/>
      <c r="AT239" s="270"/>
      <c r="AU239" s="270"/>
      <c r="AV239" s="270"/>
      <c r="AW239" s="270"/>
      <c r="AX239" s="270"/>
      <c r="AY239" s="1072"/>
      <c r="AZ239" s="270"/>
      <c r="BA239" s="270"/>
      <c r="BB239" s="1072"/>
      <c r="BC239" s="270"/>
      <c r="BD239" s="270"/>
      <c r="BE239" s="270"/>
      <c r="BF239" s="270"/>
      <c r="BG239" s="270"/>
      <c r="BH239" s="270"/>
      <c r="BI239" s="270"/>
      <c r="BJ239" s="270"/>
      <c r="BK239" s="270"/>
      <c r="BL239" s="270"/>
      <c r="BM239" s="270"/>
      <c r="BN239" s="270"/>
      <c r="BO239" s="270"/>
      <c r="BP239" s="270"/>
      <c r="BQ239" s="270"/>
      <c r="BR239" s="270"/>
      <c r="BS239" s="270"/>
      <c r="BT239" s="270"/>
      <c r="BU239" s="270"/>
      <c r="BV239" s="270"/>
      <c r="BW239" s="270"/>
      <c r="BX239" s="270"/>
      <c r="BY239" s="270"/>
      <c r="BZ239" s="270"/>
      <c r="CA239" s="270"/>
      <c r="CB239" s="270"/>
      <c r="CC239" s="270"/>
      <c r="CD239" s="270"/>
      <c r="CE239" s="1395"/>
      <c r="CF239" s="1450"/>
      <c r="CG239" s="1450"/>
      <c r="CH239" s="270"/>
      <c r="CI239" s="270"/>
      <c r="CJ239" s="270"/>
      <c r="CK239" s="270"/>
      <c r="CL239" s="270"/>
      <c r="CM239" s="270"/>
    </row>
    <row r="240" spans="1:91" ht="13.5" hidden="1" outlineLevel="3" thickBot="1" x14ac:dyDescent="0.25">
      <c r="A240" s="270"/>
      <c r="B240" s="271"/>
      <c r="C240" s="12"/>
      <c r="D240" s="1071"/>
      <c r="E240" s="1071"/>
      <c r="F240" s="1071"/>
      <c r="G240" s="626"/>
      <c r="H240" s="271"/>
      <c r="I240" s="270"/>
      <c r="J240" s="270"/>
      <c r="K240" s="270"/>
      <c r="L240" s="270"/>
      <c r="M240" s="270"/>
      <c r="N240" s="270"/>
      <c r="O240" s="270"/>
      <c r="P240" s="1072"/>
      <c r="Q240" s="270"/>
      <c r="R240" s="270"/>
      <c r="S240" s="1072"/>
      <c r="T240" s="270"/>
      <c r="U240" s="1019"/>
      <c r="V240" s="1077"/>
      <c r="W240" s="1078"/>
      <c r="X240" s="1079" t="str">
        <f>N_Substitute</f>
        <v>Remplaçant</v>
      </c>
      <c r="Y240" s="1147"/>
      <c r="Z240" s="1081"/>
      <c r="AA240" s="1076"/>
      <c r="AB240" s="1083"/>
      <c r="AC240" s="1148"/>
      <c r="AD240" s="839"/>
      <c r="AE240" s="270"/>
      <c r="AF240" s="270"/>
      <c r="AG240" s="270"/>
      <c r="AH240" s="270"/>
      <c r="AI240" s="270"/>
      <c r="AJ240" s="270"/>
      <c r="AK240" s="270"/>
      <c r="AL240" s="270"/>
      <c r="AM240" s="270"/>
      <c r="AN240" s="270"/>
      <c r="AO240" s="271"/>
      <c r="AP240" s="270"/>
      <c r="AQ240" s="270"/>
      <c r="AR240" s="270"/>
      <c r="AS240" s="270"/>
      <c r="AT240" s="270"/>
      <c r="AU240" s="270"/>
      <c r="AV240" s="270"/>
      <c r="AW240" s="270"/>
      <c r="AX240" s="270"/>
      <c r="AY240" s="1072"/>
      <c r="AZ240" s="270"/>
      <c r="BA240" s="270"/>
      <c r="BB240" s="1072"/>
      <c r="BC240" s="270"/>
      <c r="BD240" s="270"/>
      <c r="BE240" s="270"/>
      <c r="BF240" s="270"/>
      <c r="BG240" s="270"/>
      <c r="BH240" s="270"/>
      <c r="BI240" s="270"/>
      <c r="BJ240" s="270"/>
      <c r="BK240" s="270"/>
      <c r="BL240" s="270"/>
      <c r="BM240" s="270"/>
      <c r="BN240" s="270"/>
      <c r="BO240" s="270"/>
      <c r="BP240" s="270"/>
      <c r="BQ240" s="270"/>
      <c r="BR240" s="270"/>
      <c r="BS240" s="270"/>
      <c r="BT240" s="270"/>
      <c r="BU240" s="270"/>
      <c r="BV240" s="270"/>
      <c r="BW240" s="270"/>
      <c r="BX240" s="270"/>
      <c r="BY240" s="270"/>
      <c r="BZ240" s="270"/>
      <c r="CA240" s="270"/>
      <c r="CB240" s="270"/>
      <c r="CC240" s="270"/>
      <c r="CD240" s="270"/>
      <c r="CE240" s="1395"/>
      <c r="CF240" s="1450"/>
      <c r="CG240" s="1450"/>
      <c r="CH240" s="270"/>
      <c r="CI240" s="270"/>
      <c r="CJ240" s="270"/>
      <c r="CK240" s="270"/>
      <c r="CL240" s="270"/>
      <c r="CM240" s="270"/>
    </row>
    <row r="241" spans="1:91" ht="13.5" hidden="1" outlineLevel="3" thickBot="1" x14ac:dyDescent="0.25">
      <c r="A241" s="270"/>
      <c r="B241" s="271"/>
      <c r="C241" s="12"/>
      <c r="D241" s="1071"/>
      <c r="E241" s="1071"/>
      <c r="F241" s="1071"/>
      <c r="G241" s="626"/>
      <c r="H241" s="271"/>
      <c r="I241" s="270"/>
      <c r="J241" s="270"/>
      <c r="K241" s="270"/>
      <c r="L241" s="270"/>
      <c r="M241" s="270"/>
      <c r="N241" s="270"/>
      <c r="O241" s="270"/>
      <c r="P241" s="1072"/>
      <c r="Q241" s="270"/>
      <c r="R241" s="270"/>
      <c r="S241" s="1072"/>
      <c r="T241" s="270"/>
      <c r="U241" s="1019"/>
      <c r="V241" s="1073"/>
      <c r="W241" s="1182"/>
      <c r="X241" s="1075" t="str">
        <f>N_Substitute</f>
        <v>Remplaçant</v>
      </c>
      <c r="Y241" s="1141"/>
      <c r="Z241" s="492"/>
      <c r="AA241" s="1121"/>
      <c r="AB241" s="1069"/>
      <c r="AC241" s="1142"/>
      <c r="AD241" s="839"/>
      <c r="AE241" s="270"/>
      <c r="AF241" s="270"/>
      <c r="AG241" s="270"/>
      <c r="AH241" s="270"/>
      <c r="AI241" s="270"/>
      <c r="AJ241" s="270"/>
      <c r="AK241" s="270"/>
      <c r="AL241" s="270"/>
      <c r="AM241" s="270"/>
      <c r="AN241" s="270"/>
      <c r="AO241" s="271"/>
      <c r="AP241" s="270"/>
      <c r="AQ241" s="270"/>
      <c r="AR241" s="270"/>
      <c r="AS241" s="270"/>
      <c r="AT241" s="270"/>
      <c r="AU241" s="270"/>
      <c r="AV241" s="270"/>
      <c r="AW241" s="270"/>
      <c r="AX241" s="270"/>
      <c r="AY241" s="1072"/>
      <c r="AZ241" s="270"/>
      <c r="BA241" s="270"/>
      <c r="BB241" s="1072"/>
      <c r="BC241" s="270"/>
      <c r="BD241" s="270"/>
      <c r="BE241" s="270"/>
      <c r="BF241" s="270"/>
      <c r="BG241" s="270"/>
      <c r="BH241" s="270"/>
      <c r="BI241" s="270"/>
      <c r="BJ241" s="270"/>
      <c r="BK241" s="270"/>
      <c r="BL241" s="270"/>
      <c r="BM241" s="270"/>
      <c r="BN241" s="270"/>
      <c r="BO241" s="270"/>
      <c r="BP241" s="270"/>
      <c r="BQ241" s="270"/>
      <c r="BR241" s="270"/>
      <c r="BS241" s="270"/>
      <c r="BT241" s="270"/>
      <c r="BU241" s="270"/>
      <c r="BV241" s="270"/>
      <c r="BW241" s="270"/>
      <c r="BX241" s="270"/>
      <c r="BY241" s="270"/>
      <c r="BZ241" s="270"/>
      <c r="CA241" s="270"/>
      <c r="CB241" s="270"/>
      <c r="CC241" s="270"/>
      <c r="CD241" s="270"/>
      <c r="CE241" s="1395"/>
      <c r="CF241" s="1450"/>
      <c r="CG241" s="1450"/>
      <c r="CH241" s="270"/>
      <c r="CI241" s="270"/>
      <c r="CJ241" s="270"/>
      <c r="CK241" s="270"/>
      <c r="CL241" s="270"/>
      <c r="CM241" s="270"/>
    </row>
    <row r="242" spans="1:91" ht="13.5" hidden="1" outlineLevel="2" collapsed="1" thickBot="1" x14ac:dyDescent="0.25">
      <c r="A242" s="270"/>
      <c r="B242" s="271"/>
      <c r="C242" s="270"/>
      <c r="D242" s="270"/>
      <c r="E242" s="270"/>
      <c r="F242" s="270"/>
      <c r="G242" s="271"/>
      <c r="H242" s="270"/>
      <c r="I242" s="270"/>
      <c r="J242" s="270"/>
      <c r="K242" s="270"/>
      <c r="L242" s="270"/>
      <c r="M242" s="270"/>
      <c r="N242" s="270"/>
      <c r="O242" s="270"/>
      <c r="P242" s="270"/>
      <c r="Q242" s="270"/>
      <c r="R242" s="270"/>
      <c r="S242" s="270"/>
      <c r="T242" s="270"/>
      <c r="U242" s="1019" t="s">
        <v>1726</v>
      </c>
      <c r="V242" s="1183"/>
      <c r="W242" s="1195"/>
      <c r="X242" s="1196"/>
      <c r="Y242" s="1184" t="str">
        <f>IF(G224="","",G224)</f>
        <v>Eq4</v>
      </c>
      <c r="Z242" s="1125" t="str">
        <f>IF(OR(ISNUMBER(Z243),ISNUMBER(Z244),ISNUMBER(Z245),ISNUMBER(Z246)),4-COUNTBLANK(AI243:AI246),"")</f>
        <v/>
      </c>
      <c r="AA242" s="1124" t="s">
        <v>769</v>
      </c>
      <c r="AB242" s="1125" t="str">
        <f>IF(OR(ISNUMBER(Z243),ISNUMBER(Z244),ISNUMBER(Z245),ISNUMBER(Z246)),4-COUNTBLANK(AJ243:AJ246),"")</f>
        <v/>
      </c>
      <c r="AC242" s="1185" t="str">
        <f>IF(G226="","",G226)</f>
        <v>Eq6</v>
      </c>
      <c r="AD242" s="839"/>
      <c r="AE242" s="270" t="str">
        <f>IF(Z242="","",IF(Z242&gt;AB242,Y242,IF(Z242=AB242,IF(NoDrawWithWithdraw,IF(AL242=Y242,AC242,IF(AL242=AC242,Y242,"")),""),AC242)))</f>
        <v/>
      </c>
      <c r="AF242" s="270" t="str">
        <f>IF(Z242="","",IF(Z242=AB242,IF(NoDrawWithWithdraw,IF(AL242=Y242,"",IF(AL242=AC242,"",Y242)),Y242),""))</f>
        <v/>
      </c>
      <c r="AG242" s="270" t="str">
        <f>IF(Z242="","",IF(Z242=AB242,IF(NoDrawWithWithdraw,IF(AL242=Y242,"",IF(AL242=AC242,"",AC242)),AC242),""))</f>
        <v/>
      </c>
      <c r="AH242" s="270" t="str">
        <f>IF(Z242="","",IF(Z242&lt;AB242,Y242,IF(Z242=AB242,IF(NoDrawWithWithdraw,IF(AL242=Y242,Y242,IF(AL242=AC242,AC242,"")),""),AC242)))</f>
        <v/>
      </c>
      <c r="AI242" s="270" t="str">
        <f>IF(Z242="","",SUM(Z243:Z246))</f>
        <v/>
      </c>
      <c r="AJ242" s="270" t="str">
        <f>IF(Z242="","",SUM(AB243:AB246))</f>
        <v/>
      </c>
      <c r="AK242" s="270" t="str">
        <f>CONCATENATE(AE242,AH242)</f>
        <v/>
      </c>
      <c r="AL242" s="270" t="str">
        <f>IF(COUNTIF(Y243:Y246,WithdrawLabel)&gt;COUNTIF(AC243:AC246,WithdrawLabel),Y242,IF(COUNTIF(AC243:AC246,WithdrawLabel)&gt;COUNTIF(Y243:Y246,WithdrawLabel),AC242,""))</f>
        <v/>
      </c>
      <c r="AM242" s="270"/>
      <c r="AN242" s="270"/>
      <c r="AO242" s="575"/>
      <c r="AP242" s="270"/>
      <c r="AQ242" s="270"/>
      <c r="AR242" s="270"/>
      <c r="AS242" s="270"/>
      <c r="AT242" s="270"/>
      <c r="AU242" s="270"/>
      <c r="AV242" s="270"/>
      <c r="AW242" s="270"/>
      <c r="AX242" s="270"/>
      <c r="AY242" s="270"/>
      <c r="AZ242" s="270"/>
      <c r="BA242" s="270"/>
      <c r="BB242" s="270"/>
      <c r="BC242" s="270"/>
      <c r="BD242" s="270"/>
      <c r="BE242" s="270"/>
      <c r="BF242" s="270"/>
      <c r="BG242" s="270"/>
      <c r="BH242" s="270"/>
      <c r="BI242" s="270"/>
      <c r="BJ242" s="270"/>
      <c r="BK242" s="270"/>
      <c r="BL242" s="270"/>
      <c r="BM242" s="270"/>
      <c r="BN242" s="270"/>
      <c r="BO242" s="270"/>
      <c r="BP242" s="270"/>
      <c r="BQ242" s="270"/>
      <c r="BR242" s="270"/>
      <c r="BS242" s="270"/>
      <c r="BT242" s="270"/>
      <c r="BU242" s="270"/>
      <c r="BV242" s="270"/>
      <c r="BW242" s="270"/>
      <c r="BX242" s="270"/>
      <c r="BY242" s="270"/>
      <c r="BZ242" s="270"/>
      <c r="CA242" s="270"/>
      <c r="CB242" s="270"/>
      <c r="CC242" s="270"/>
      <c r="CD242" s="270"/>
      <c r="CE242" s="1395"/>
      <c r="CF242" s="1450"/>
      <c r="CG242" s="1450"/>
      <c r="CH242" s="270"/>
      <c r="CI242" s="270"/>
      <c r="CJ242" s="270"/>
      <c r="CK242" s="270"/>
      <c r="CL242" s="270"/>
      <c r="CM242" s="270"/>
    </row>
    <row r="243" spans="1:91" ht="13.5" hidden="1" outlineLevel="3" thickBot="1" x14ac:dyDescent="0.25">
      <c r="A243" s="270"/>
      <c r="B243" s="271"/>
      <c r="C243" s="12"/>
      <c r="D243" s="1071"/>
      <c r="E243" s="1071"/>
      <c r="F243" s="1071"/>
      <c r="G243" s="1172"/>
      <c r="H243" s="271"/>
      <c r="I243" s="270"/>
      <c r="J243" s="270"/>
      <c r="K243" s="270"/>
      <c r="L243" s="270"/>
      <c r="M243" s="270"/>
      <c r="N243" s="270"/>
      <c r="O243" s="270"/>
      <c r="P243" s="1072"/>
      <c r="Q243" s="270"/>
      <c r="R243" s="270"/>
      <c r="S243" s="1072"/>
      <c r="T243" s="270"/>
      <c r="U243" s="1019"/>
      <c r="V243" s="1118"/>
      <c r="W243" s="1177"/>
      <c r="X243" s="1186"/>
      <c r="Y243" s="1141"/>
      <c r="Z243" s="492"/>
      <c r="AA243" s="493" t="s">
        <v>769</v>
      </c>
      <c r="AB243" s="1069"/>
      <c r="AC243" s="1142"/>
      <c r="AD243" s="839"/>
      <c r="AE243" s="270" t="str">
        <f>IF(Z243="","",IF(Z243&gt;AB243,Y243,IF(Z243=AB243,"",AC243)))</f>
        <v/>
      </c>
      <c r="AF243" s="270" t="str">
        <f>IF(Z243="","",IF(Z243=AB243,Y243,""))</f>
        <v/>
      </c>
      <c r="AG243" s="270" t="str">
        <f>IF(Z243="","",IF(Z243=AB243,AC243,""))</f>
        <v/>
      </c>
      <c r="AH243" s="270" t="str">
        <f>IF(Z243="","",IF(Z243&lt;AB243,Y243,IF(Z243=AB243,"",AC243)))</f>
        <v/>
      </c>
      <c r="AI243" s="270" t="str">
        <f>IF(Z243="","",IF(Z243&gt;AB243,Y242,""))</f>
        <v/>
      </c>
      <c r="AJ243" s="270" t="str">
        <f>IF(Z243="","",IF(Z243&lt;AB243,AC242,""))</f>
        <v/>
      </c>
      <c r="AK243" s="270" t="str">
        <f>CONCATENATE(AE243,AH243)</f>
        <v/>
      </c>
      <c r="AL243" s="270"/>
      <c r="AM243" s="270"/>
      <c r="AN243" s="270"/>
      <c r="AO243" s="271"/>
      <c r="AP243" s="270"/>
      <c r="AQ243" s="270"/>
      <c r="AR243" s="270"/>
      <c r="AS243" s="270"/>
      <c r="AT243" s="270"/>
      <c r="AU243" s="270"/>
      <c r="AV243" s="270"/>
      <c r="AW243" s="270"/>
      <c r="AX243" s="270"/>
      <c r="AY243" s="1072"/>
      <c r="AZ243" s="270"/>
      <c r="BA243" s="270"/>
      <c r="BB243" s="1072"/>
      <c r="BC243" s="270"/>
      <c r="BD243" s="270"/>
      <c r="BE243" s="270"/>
      <c r="BF243" s="270"/>
      <c r="BG243" s="270"/>
      <c r="BH243" s="270"/>
      <c r="BI243" s="270"/>
      <c r="BJ243" s="270"/>
      <c r="BK243" s="270"/>
      <c r="BL243" s="270"/>
      <c r="BM243" s="270"/>
      <c r="BN243" s="270"/>
      <c r="BO243" s="270"/>
      <c r="BP243" s="270"/>
      <c r="BQ243" s="270"/>
      <c r="BR243" s="270"/>
      <c r="BS243" s="270"/>
      <c r="BT243" s="270"/>
      <c r="BU243" s="270"/>
      <c r="BV243" s="270"/>
      <c r="BW243" s="270"/>
      <c r="BX243" s="270"/>
      <c r="BY243" s="270"/>
      <c r="BZ243" s="270"/>
      <c r="CA243" s="270"/>
      <c r="CB243" s="270"/>
      <c r="CC243" s="270"/>
      <c r="CD243" s="270"/>
      <c r="CE243" s="1395"/>
      <c r="CF243" s="1450"/>
      <c r="CG243" s="1450"/>
      <c r="CH243" s="270"/>
      <c r="CI243" s="270"/>
      <c r="CJ243" s="270"/>
      <c r="CK243" s="270"/>
      <c r="CL243" s="270"/>
      <c r="CM243" s="270"/>
    </row>
    <row r="244" spans="1:91" ht="13.5" hidden="1" outlineLevel="3" thickBot="1" x14ac:dyDescent="0.25">
      <c r="A244" s="270"/>
      <c r="B244" s="271"/>
      <c r="C244" s="12"/>
      <c r="D244" s="1071"/>
      <c r="E244" s="1071"/>
      <c r="F244" s="1071"/>
      <c r="G244" s="1172"/>
      <c r="H244" s="271"/>
      <c r="I244" s="270"/>
      <c r="J244" s="270"/>
      <c r="K244" s="270"/>
      <c r="L244" s="270"/>
      <c r="M244" s="270"/>
      <c r="N244" s="270"/>
      <c r="O244" s="270"/>
      <c r="P244" s="1072"/>
      <c r="Q244" s="270"/>
      <c r="R244" s="270"/>
      <c r="S244" s="1072"/>
      <c r="T244" s="270"/>
      <c r="U244" s="1019"/>
      <c r="V244" s="1118"/>
      <c r="W244" s="1177"/>
      <c r="X244" s="1186"/>
      <c r="Y244" s="1141"/>
      <c r="Z244" s="492"/>
      <c r="AA244" s="493" t="s">
        <v>769</v>
      </c>
      <c r="AB244" s="1069"/>
      <c r="AC244" s="1142"/>
      <c r="AD244" s="839"/>
      <c r="AE244" s="270" t="str">
        <f>IF(Z244="","",IF(Z244&gt;AB244,Y244,IF(Z244=AB244,"",AC244)))</f>
        <v/>
      </c>
      <c r="AF244" s="270" t="str">
        <f>IF(Z244="","",IF(Z244=AB244,Y244,""))</f>
        <v/>
      </c>
      <c r="AG244" s="270" t="str">
        <f>IF(Z244="","",IF(Z244=AB244,AC244,""))</f>
        <v/>
      </c>
      <c r="AH244" s="270" t="str">
        <f>IF(Z244="","",IF(Z244&lt;AB244,Y244,IF(Z244=AB244,"",AC244)))</f>
        <v/>
      </c>
      <c r="AI244" s="270" t="str">
        <f>IF(Z244="","",IF(Z244&gt;AB244,Y242,""))</f>
        <v/>
      </c>
      <c r="AJ244" s="270" t="str">
        <f>IF(Z244="","",IF(Z244&lt;AB244,AC242,""))</f>
        <v/>
      </c>
      <c r="AK244" s="270" t="str">
        <f>CONCATENATE(AE244,AH244)</f>
        <v/>
      </c>
      <c r="AL244" s="270"/>
      <c r="AM244" s="270"/>
      <c r="AN244" s="270"/>
      <c r="AO244" s="271"/>
      <c r="AP244" s="270"/>
      <c r="AQ244" s="270"/>
      <c r="AR244" s="270"/>
      <c r="AS244" s="270"/>
      <c r="AT244" s="270"/>
      <c r="AU244" s="270"/>
      <c r="AV244" s="270"/>
      <c r="AW244" s="270"/>
      <c r="AX244" s="270"/>
      <c r="AY244" s="1072"/>
      <c r="AZ244" s="270"/>
      <c r="BA244" s="270"/>
      <c r="BB244" s="1072"/>
      <c r="BC244" s="270"/>
      <c r="BD244" s="270"/>
      <c r="BE244" s="270"/>
      <c r="BF244" s="270"/>
      <c r="BG244" s="270"/>
      <c r="BH244" s="270"/>
      <c r="BI244" s="270"/>
      <c r="BJ244" s="270"/>
      <c r="BK244" s="270"/>
      <c r="BL244" s="270"/>
      <c r="BM244" s="270"/>
      <c r="BN244" s="270"/>
      <c r="BO244" s="270"/>
      <c r="BP244" s="270"/>
      <c r="BQ244" s="270"/>
      <c r="BR244" s="270"/>
      <c r="BS244" s="270"/>
      <c r="BT244" s="270"/>
      <c r="BU244" s="270"/>
      <c r="BV244" s="270"/>
      <c r="BW244" s="270"/>
      <c r="BX244" s="270"/>
      <c r="BY244" s="270"/>
      <c r="BZ244" s="270"/>
      <c r="CA244" s="270"/>
      <c r="CB244" s="270"/>
      <c r="CC244" s="270"/>
      <c r="CD244" s="270"/>
      <c r="CE244" s="1395"/>
      <c r="CF244" s="1450"/>
      <c r="CG244" s="1450"/>
      <c r="CH244" s="270"/>
      <c r="CI244" s="270"/>
      <c r="CJ244" s="270"/>
      <c r="CK244" s="270"/>
      <c r="CL244" s="270"/>
      <c r="CM244" s="270"/>
    </row>
    <row r="245" spans="1:91" ht="13.5" hidden="1" outlineLevel="3" thickBot="1" x14ac:dyDescent="0.25">
      <c r="A245" s="270"/>
      <c r="B245" s="271"/>
      <c r="C245" s="12"/>
      <c r="D245" s="1071"/>
      <c r="E245" s="1071"/>
      <c r="F245" s="1071"/>
      <c r="G245" s="1172"/>
      <c r="H245" s="271"/>
      <c r="I245" s="270"/>
      <c r="J245" s="270"/>
      <c r="K245" s="270"/>
      <c r="L245" s="270"/>
      <c r="M245" s="270"/>
      <c r="N245" s="270"/>
      <c r="O245" s="270"/>
      <c r="P245" s="1072"/>
      <c r="Q245" s="270"/>
      <c r="R245" s="270"/>
      <c r="S245" s="1072"/>
      <c r="T245" s="270"/>
      <c r="U245" s="1019"/>
      <c r="V245" s="1118"/>
      <c r="W245" s="1177"/>
      <c r="X245" s="1186"/>
      <c r="Y245" s="1141"/>
      <c r="Z245" s="492"/>
      <c r="AA245" s="493" t="s">
        <v>769</v>
      </c>
      <c r="AB245" s="1069"/>
      <c r="AC245" s="1142"/>
      <c r="AD245" s="839"/>
      <c r="AE245" s="270" t="str">
        <f>IF(Z245="","",IF(Z245&gt;AB245,Y245,IF(Z245=AB245,"",AC245)))</f>
        <v/>
      </c>
      <c r="AF245" s="270" t="str">
        <f>IF(Z245="","",IF(Z245=AB245,Y245,""))</f>
        <v/>
      </c>
      <c r="AG245" s="270" t="str">
        <f>IF(Z245="","",IF(Z245=AB245,AC245,""))</f>
        <v/>
      </c>
      <c r="AH245" s="270" t="str">
        <f>IF(Z245="","",IF(Z245&lt;AB245,Y245,IF(Z245=AB245,"",AC245)))</f>
        <v/>
      </c>
      <c r="AI245" s="270" t="str">
        <f>IF(Z245="","",IF(Z245&gt;AB245,Y242,""))</f>
        <v/>
      </c>
      <c r="AJ245" s="270" t="str">
        <f>IF(Z245="","",IF(Z245&lt;AB245,AC242,""))</f>
        <v/>
      </c>
      <c r="AK245" s="270" t="str">
        <f>CONCATENATE(AE245,AH245)</f>
        <v/>
      </c>
      <c r="AL245" s="270"/>
      <c r="AM245" s="270"/>
      <c r="AN245" s="270"/>
      <c r="AO245" s="271"/>
      <c r="AP245" s="270"/>
      <c r="AQ245" s="270"/>
      <c r="AR245" s="270"/>
      <c r="AS245" s="270"/>
      <c r="AT245" s="270"/>
      <c r="AU245" s="270"/>
      <c r="AV245" s="270"/>
      <c r="AW245" s="270"/>
      <c r="AX245" s="270"/>
      <c r="AY245" s="1072"/>
      <c r="AZ245" s="270"/>
      <c r="BA245" s="270"/>
      <c r="BB245" s="1072"/>
      <c r="BC245" s="270"/>
      <c r="BD245" s="270"/>
      <c r="BE245" s="270"/>
      <c r="BF245" s="270"/>
      <c r="BG245" s="270"/>
      <c r="BH245" s="270"/>
      <c r="BI245" s="270"/>
      <c r="BJ245" s="270"/>
      <c r="BK245" s="270"/>
      <c r="BL245" s="270"/>
      <c r="BM245" s="270"/>
      <c r="BN245" s="270"/>
      <c r="BO245" s="270"/>
      <c r="BP245" s="270"/>
      <c r="BQ245" s="270"/>
      <c r="BR245" s="270"/>
      <c r="BS245" s="270"/>
      <c r="BT245" s="270"/>
      <c r="BU245" s="270"/>
      <c r="BV245" s="270"/>
      <c r="BW245" s="270"/>
      <c r="BX245" s="270"/>
      <c r="BY245" s="270"/>
      <c r="BZ245" s="270"/>
      <c r="CA245" s="270"/>
      <c r="CB245" s="270"/>
      <c r="CC245" s="270"/>
      <c r="CD245" s="270"/>
      <c r="CE245" s="1395"/>
      <c r="CF245" s="1450"/>
      <c r="CG245" s="1450"/>
      <c r="CH245" s="270"/>
      <c r="CI245" s="270"/>
      <c r="CJ245" s="270"/>
      <c r="CK245" s="270"/>
      <c r="CL245" s="270"/>
      <c r="CM245" s="270"/>
    </row>
    <row r="246" spans="1:91" ht="13.5" hidden="1" outlineLevel="3" thickBot="1" x14ac:dyDescent="0.25">
      <c r="A246" s="270"/>
      <c r="B246" s="271"/>
      <c r="C246" s="12"/>
      <c r="D246" s="1071"/>
      <c r="E246" s="1071"/>
      <c r="F246" s="1071"/>
      <c r="G246" s="1172"/>
      <c r="H246" s="271"/>
      <c r="I246" s="270"/>
      <c r="J246" s="270"/>
      <c r="K246" s="270"/>
      <c r="L246" s="270"/>
      <c r="M246" s="270"/>
      <c r="N246" s="270"/>
      <c r="O246" s="270"/>
      <c r="P246" s="1072"/>
      <c r="Q246" s="270"/>
      <c r="R246" s="270"/>
      <c r="S246" s="1072"/>
      <c r="T246" s="270"/>
      <c r="U246" s="1019"/>
      <c r="V246" s="1118"/>
      <c r="W246" s="1177"/>
      <c r="X246" s="1186"/>
      <c r="Y246" s="1141"/>
      <c r="Z246" s="492"/>
      <c r="AA246" s="493" t="s">
        <v>769</v>
      </c>
      <c r="AB246" s="1069"/>
      <c r="AC246" s="1142"/>
      <c r="AD246" s="839"/>
      <c r="AE246" s="270" t="str">
        <f>IF(Z246="","",IF(Z246&gt;AB246,Y246,IF(Z246=AB246,"",AC246)))</f>
        <v/>
      </c>
      <c r="AF246" s="270" t="str">
        <f>IF(Z246="","",IF(Z246=AB246,Y246,""))</f>
        <v/>
      </c>
      <c r="AG246" s="270" t="str">
        <f>IF(Z246="","",IF(Z246=AB246,AC246,""))</f>
        <v/>
      </c>
      <c r="AH246" s="270" t="str">
        <f>IF(Z246="","",IF(Z246&lt;AB246,Y246,IF(Z246=AB246,"",AC246)))</f>
        <v/>
      </c>
      <c r="AI246" s="270" t="str">
        <f>IF(Z246="","",IF(Z246&gt;AB246,Y242,""))</f>
        <v/>
      </c>
      <c r="AJ246" s="270" t="str">
        <f>IF(Z246="","",IF(Z246&lt;AB246,AC242,""))</f>
        <v/>
      </c>
      <c r="AK246" s="270" t="str">
        <f>CONCATENATE(AE246,AH246)</f>
        <v/>
      </c>
      <c r="AL246" s="270"/>
      <c r="AM246" s="270"/>
      <c r="AN246" s="270"/>
      <c r="AO246" s="271"/>
      <c r="AP246" s="270"/>
      <c r="AQ246" s="270"/>
      <c r="AR246" s="270"/>
      <c r="AS246" s="270"/>
      <c r="AT246" s="270"/>
      <c r="AU246" s="270"/>
      <c r="AV246" s="270"/>
      <c r="AW246" s="270"/>
      <c r="AX246" s="270"/>
      <c r="AY246" s="1072"/>
      <c r="AZ246" s="270"/>
      <c r="BA246" s="270"/>
      <c r="BB246" s="1072"/>
      <c r="BC246" s="270"/>
      <c r="BD246" s="270"/>
      <c r="BE246" s="270"/>
      <c r="BF246" s="270"/>
      <c r="BG246" s="270"/>
      <c r="BH246" s="270"/>
      <c r="BI246" s="270"/>
      <c r="BJ246" s="270"/>
      <c r="BK246" s="270"/>
      <c r="BL246" s="270"/>
      <c r="BM246" s="270"/>
      <c r="BN246" s="270"/>
      <c r="BO246" s="270"/>
      <c r="BP246" s="270"/>
      <c r="BQ246" s="270"/>
      <c r="BR246" s="270"/>
      <c r="BS246" s="270"/>
      <c r="BT246" s="270"/>
      <c r="BU246" s="270"/>
      <c r="BV246" s="270"/>
      <c r="BW246" s="270"/>
      <c r="BX246" s="270"/>
      <c r="BY246" s="270"/>
      <c r="BZ246" s="270"/>
      <c r="CA246" s="270"/>
      <c r="CB246" s="270"/>
      <c r="CC246" s="270"/>
      <c r="CD246" s="270"/>
      <c r="CE246" s="1395"/>
      <c r="CF246" s="1450"/>
      <c r="CG246" s="1450"/>
      <c r="CH246" s="270"/>
      <c r="CI246" s="270"/>
      <c r="CJ246" s="270"/>
      <c r="CK246" s="270"/>
      <c r="CL246" s="270"/>
      <c r="CM246" s="270"/>
    </row>
    <row r="247" spans="1:91" ht="13.5" hidden="1" outlineLevel="3" thickBot="1" x14ac:dyDescent="0.25">
      <c r="A247" s="270"/>
      <c r="B247" s="271"/>
      <c r="C247" s="12"/>
      <c r="D247" s="1071"/>
      <c r="E247" s="1071"/>
      <c r="F247" s="1071"/>
      <c r="G247" s="626"/>
      <c r="H247" s="271"/>
      <c r="I247" s="270"/>
      <c r="J247" s="270"/>
      <c r="K247" s="270"/>
      <c r="L247" s="270"/>
      <c r="M247" s="270"/>
      <c r="N247" s="270"/>
      <c r="O247" s="270"/>
      <c r="P247" s="1072"/>
      <c r="Q247" s="270"/>
      <c r="R247" s="270"/>
      <c r="S247" s="1072"/>
      <c r="T247" s="270"/>
      <c r="U247" s="1019"/>
      <c r="V247" s="1073"/>
      <c r="W247" s="1074"/>
      <c r="X247" s="1075" t="str">
        <f>N_Substitute</f>
        <v>Remplaçant</v>
      </c>
      <c r="Y247" s="1141"/>
      <c r="Z247" s="492"/>
      <c r="AA247" s="1076"/>
      <c r="AB247" s="1069"/>
      <c r="AC247" s="1142"/>
      <c r="AD247" s="839"/>
      <c r="AE247" s="270"/>
      <c r="AF247" s="270"/>
      <c r="AG247" s="270"/>
      <c r="AH247" s="270"/>
      <c r="AI247" s="270"/>
      <c r="AJ247" s="270"/>
      <c r="AK247" s="270"/>
      <c r="AL247" s="270"/>
      <c r="AM247" s="270"/>
      <c r="AN247" s="270"/>
      <c r="AO247" s="271"/>
      <c r="AP247" s="270"/>
      <c r="AQ247" s="270"/>
      <c r="AR247" s="270"/>
      <c r="AS247" s="270"/>
      <c r="AT247" s="270"/>
      <c r="AU247" s="270"/>
      <c r="AV247" s="270"/>
      <c r="AW247" s="270"/>
      <c r="AX247" s="270"/>
      <c r="AY247" s="1072"/>
      <c r="AZ247" s="270"/>
      <c r="BA247" s="270"/>
      <c r="BB247" s="1072"/>
      <c r="BC247" s="270"/>
      <c r="BD247" s="270"/>
      <c r="BE247" s="270"/>
      <c r="BF247" s="270"/>
      <c r="BG247" s="270"/>
      <c r="BH247" s="270"/>
      <c r="BI247" s="270"/>
      <c r="BJ247" s="270"/>
      <c r="BK247" s="270"/>
      <c r="BL247" s="270"/>
      <c r="BM247" s="270"/>
      <c r="BN247" s="270"/>
      <c r="BO247" s="270"/>
      <c r="BP247" s="270"/>
      <c r="BQ247" s="270"/>
      <c r="BR247" s="270"/>
      <c r="BS247" s="270"/>
      <c r="BT247" s="270"/>
      <c r="BU247" s="270"/>
      <c r="BV247" s="270"/>
      <c r="BW247" s="270"/>
      <c r="BX247" s="270"/>
      <c r="BY247" s="270"/>
      <c r="BZ247" s="270"/>
      <c r="CA247" s="270"/>
      <c r="CB247" s="270"/>
      <c r="CC247" s="270"/>
      <c r="CD247" s="270"/>
      <c r="CE247" s="1395"/>
      <c r="CF247" s="1450"/>
      <c r="CG247" s="1450"/>
      <c r="CH247" s="270"/>
      <c r="CI247" s="270"/>
      <c r="CJ247" s="270"/>
      <c r="CK247" s="270"/>
      <c r="CL247" s="270"/>
      <c r="CM247" s="270"/>
    </row>
    <row r="248" spans="1:91" ht="13.5" hidden="1" outlineLevel="3" thickBot="1" x14ac:dyDescent="0.25">
      <c r="A248" s="270"/>
      <c r="B248" s="271"/>
      <c r="C248" s="12"/>
      <c r="D248" s="1071"/>
      <c r="E248" s="1071"/>
      <c r="F248" s="1071"/>
      <c r="G248" s="626"/>
      <c r="H248" s="271"/>
      <c r="I248" s="270"/>
      <c r="J248" s="270"/>
      <c r="K248" s="270"/>
      <c r="L248" s="270"/>
      <c r="M248" s="270"/>
      <c r="N248" s="270"/>
      <c r="O248" s="270"/>
      <c r="P248" s="1072"/>
      <c r="Q248" s="270"/>
      <c r="R248" s="270"/>
      <c r="S248" s="1072"/>
      <c r="T248" s="270"/>
      <c r="U248" s="1019"/>
      <c r="V248" s="1077"/>
      <c r="W248" s="1078"/>
      <c r="X248" s="1079" t="str">
        <f>N_Substitute</f>
        <v>Remplaçant</v>
      </c>
      <c r="Y248" s="1147"/>
      <c r="Z248" s="1081"/>
      <c r="AA248" s="1082"/>
      <c r="AB248" s="1081"/>
      <c r="AC248" s="1148"/>
      <c r="AD248" s="839"/>
      <c r="AE248" s="270"/>
      <c r="AF248" s="270"/>
      <c r="AG248" s="270"/>
      <c r="AH248" s="270"/>
      <c r="AI248" s="270"/>
      <c r="AJ248" s="270"/>
      <c r="AK248" s="270"/>
      <c r="AL248" s="270"/>
      <c r="AM248" s="270"/>
      <c r="AN248" s="270"/>
      <c r="AO248" s="271"/>
      <c r="AP248" s="270"/>
      <c r="AQ248" s="270"/>
      <c r="AR248" s="270"/>
      <c r="AS248" s="270"/>
      <c r="AT248" s="270"/>
      <c r="AU248" s="270"/>
      <c r="AV248" s="270"/>
      <c r="AW248" s="270"/>
      <c r="AX248" s="270"/>
      <c r="AY248" s="1072"/>
      <c r="AZ248" s="270"/>
      <c r="BA248" s="270"/>
      <c r="BB248" s="1072"/>
      <c r="BC248" s="270"/>
      <c r="BD248" s="270"/>
      <c r="BE248" s="270"/>
      <c r="BF248" s="270"/>
      <c r="BG248" s="270"/>
      <c r="BH248" s="270"/>
      <c r="BI248" s="270"/>
      <c r="BJ248" s="270"/>
      <c r="BK248" s="270"/>
      <c r="BL248" s="270"/>
      <c r="BM248" s="270"/>
      <c r="BN248" s="270"/>
      <c r="BO248" s="270"/>
      <c r="BP248" s="270"/>
      <c r="BQ248" s="270"/>
      <c r="BR248" s="270"/>
      <c r="BS248" s="270"/>
      <c r="BT248" s="270"/>
      <c r="BU248" s="270"/>
      <c r="BV248" s="270"/>
      <c r="BW248" s="270"/>
      <c r="BX248" s="270"/>
      <c r="BY248" s="270"/>
      <c r="BZ248" s="270"/>
      <c r="CA248" s="270"/>
      <c r="CB248" s="270"/>
      <c r="CC248" s="270"/>
      <c r="CD248" s="270"/>
      <c r="CE248" s="1395"/>
      <c r="CF248" s="1450"/>
      <c r="CG248" s="1450"/>
      <c r="CH248" s="270"/>
      <c r="CI248" s="270"/>
      <c r="CJ248" s="270"/>
      <c r="CK248" s="270"/>
      <c r="CL248" s="270"/>
      <c r="CM248" s="270"/>
    </row>
    <row r="249" spans="1:91" hidden="1" outlineLevel="2" collapsed="1" x14ac:dyDescent="0.2">
      <c r="A249" s="270"/>
      <c r="B249" s="271"/>
      <c r="C249" s="270"/>
      <c r="D249" s="270"/>
      <c r="E249" s="270"/>
      <c r="F249" s="270"/>
      <c r="G249" s="271"/>
      <c r="H249" s="270"/>
      <c r="I249" s="270"/>
      <c r="J249" s="270"/>
      <c r="K249" s="270"/>
      <c r="L249" s="270"/>
      <c r="M249" s="270"/>
      <c r="N249" s="270"/>
      <c r="O249" s="270"/>
      <c r="P249" s="270"/>
      <c r="Q249" s="270"/>
      <c r="R249" s="270"/>
      <c r="S249" s="270"/>
      <c r="T249" s="270"/>
      <c r="U249" s="1019" t="s">
        <v>1727</v>
      </c>
      <c r="V249" s="1117"/>
      <c r="W249" s="1527"/>
      <c r="X249" s="1528"/>
      <c r="Y249" s="1174" t="str">
        <f>IF(G222="","",G222)</f>
        <v>Eq2</v>
      </c>
      <c r="Z249" s="1063" t="str">
        <f>IF(OR(ISNUMBER(Z250),ISNUMBER(Z251),ISNUMBER(Z252),ISNUMBER(Z253)),4-COUNTBLANK(AI250:AI253),"")</f>
        <v/>
      </c>
      <c r="AA249" s="1064" t="s">
        <v>769</v>
      </c>
      <c r="AB249" s="1063" t="str">
        <f>IF(OR(ISNUMBER(Z250),ISNUMBER(Z251),ISNUMBER(Z252),ISNUMBER(Z253)),4-COUNTBLANK(AJ250:AJ253),"")</f>
        <v/>
      </c>
      <c r="AC249" s="1175" t="str">
        <f>IF(G224="","",G224)</f>
        <v>Eq4</v>
      </c>
      <c r="AD249" s="839"/>
      <c r="AE249" s="270" t="str">
        <f>IF(Z249="","",IF(Z249&gt;AB249,Y249,IF(Z249=AB249,IF(NoDrawWithWithdraw,IF(AL249=Y249,AC249,IF(AL249=AC249,Y249,"")),""),AC249)))</f>
        <v/>
      </c>
      <c r="AF249" s="270" t="str">
        <f>IF(Z249="","",IF(Z249=AB249,IF(NoDrawWithWithdraw,IF(AL249=Y249,"",IF(AL249=AC249,"",Y249)),Y249),""))</f>
        <v/>
      </c>
      <c r="AG249" s="270" t="str">
        <f>IF(Z249="","",IF(Z249=AB249,IF(NoDrawWithWithdraw,IF(AL249=Y249,"",IF(AL249=AC249,"",AC249)),AC249),""))</f>
        <v/>
      </c>
      <c r="AH249" s="270" t="str">
        <f>IF(Z249="","",IF(Z249&lt;AB249,Y249,IF(Z249=AB249,IF(NoDrawWithWithdraw,IF(AL249=Y249,Y249,IF(AL249=AC249,AC249,"")),""),AC249)))</f>
        <v/>
      </c>
      <c r="AI249" s="270" t="str">
        <f>IF(Z249="","",SUM(Z250:Z253))</f>
        <v/>
      </c>
      <c r="AJ249" s="270" t="str">
        <f>IF(Z249="","",SUM(AB250:AB253))</f>
        <v/>
      </c>
      <c r="AK249" s="270" t="str">
        <f>CONCATENATE(AE249,AH249)</f>
        <v/>
      </c>
      <c r="AL249" s="270" t="str">
        <f>IF(COUNTIF(Y250:Y253,WithdrawLabel)&gt;COUNTIF(AC250:AC253,WithdrawLabel),Y249,IF(COUNTIF(AC250:AC253,WithdrawLabel)&gt;COUNTIF(Y250:Y253,WithdrawLabel),AC249,""))</f>
        <v/>
      </c>
      <c r="AM249" s="270"/>
      <c r="AN249" s="270"/>
      <c r="AO249" s="575"/>
      <c r="AP249" s="270"/>
      <c r="AQ249" s="270"/>
      <c r="AR249" s="270"/>
      <c r="AS249" s="270"/>
      <c r="AT249" s="270"/>
      <c r="AU249" s="270"/>
      <c r="AV249" s="270"/>
      <c r="AW249" s="270"/>
      <c r="AX249" s="270"/>
      <c r="AY249" s="270"/>
      <c r="AZ249" s="270"/>
      <c r="BA249" s="270"/>
      <c r="BB249" s="270"/>
      <c r="BC249" s="270"/>
      <c r="BD249" s="270"/>
      <c r="BE249" s="270"/>
      <c r="BF249" s="270"/>
      <c r="BG249" s="270"/>
      <c r="BH249" s="270"/>
      <c r="BI249" s="270"/>
      <c r="BJ249" s="270"/>
      <c r="BK249" s="270"/>
      <c r="BL249" s="270"/>
      <c r="BM249" s="270"/>
      <c r="BN249" s="270"/>
      <c r="BO249" s="270"/>
      <c r="BP249" s="270"/>
      <c r="BQ249" s="270"/>
      <c r="BR249" s="270"/>
      <c r="BS249" s="270"/>
      <c r="BT249" s="270"/>
      <c r="BU249" s="270"/>
      <c r="BV249" s="270"/>
      <c r="BW249" s="270"/>
      <c r="BX249" s="270"/>
      <c r="BY249" s="270"/>
      <c r="BZ249" s="270"/>
      <c r="CA249" s="270"/>
      <c r="CB249" s="270"/>
      <c r="CC249" s="270"/>
      <c r="CD249" s="270"/>
      <c r="CE249" s="1395"/>
      <c r="CF249" s="1450"/>
      <c r="CG249" s="1450"/>
      <c r="CH249" s="270"/>
      <c r="CI249" s="270"/>
      <c r="CJ249" s="270"/>
      <c r="CK249" s="270"/>
      <c r="CL249" s="270"/>
      <c r="CM249" s="270"/>
    </row>
    <row r="250" spans="1:91" ht="13.5" hidden="1" outlineLevel="3" thickBot="1" x14ac:dyDescent="0.25">
      <c r="A250" s="270"/>
      <c r="B250" s="271"/>
      <c r="C250" s="12"/>
      <c r="D250" s="1071"/>
      <c r="E250" s="1071"/>
      <c r="F250" s="1071"/>
      <c r="G250" s="1172"/>
      <c r="H250" s="271"/>
      <c r="I250" s="270"/>
      <c r="J250" s="270"/>
      <c r="K250" s="270"/>
      <c r="L250" s="270"/>
      <c r="M250" s="270"/>
      <c r="N250" s="270"/>
      <c r="O250" s="270"/>
      <c r="P250" s="1072"/>
      <c r="Q250" s="270"/>
      <c r="R250" s="270"/>
      <c r="S250" s="1072"/>
      <c r="T250" s="270"/>
      <c r="U250" s="1019"/>
      <c r="V250" s="1118"/>
      <c r="W250" s="1177"/>
      <c r="X250" s="1186"/>
      <c r="Y250" s="1141"/>
      <c r="Z250" s="492"/>
      <c r="AA250" s="493" t="s">
        <v>769</v>
      </c>
      <c r="AB250" s="1069"/>
      <c r="AC250" s="1142"/>
      <c r="AD250" s="839"/>
      <c r="AE250" s="270" t="str">
        <f>IF(Z250="","",IF(Z250&gt;AB250,Y250,IF(Z250=AB250,"",AC250)))</f>
        <v/>
      </c>
      <c r="AF250" s="270" t="str">
        <f>IF(Z250="","",IF(Z250=AB250,Y250,""))</f>
        <v/>
      </c>
      <c r="AG250" s="270" t="str">
        <f>IF(Z250="","",IF(Z250=AB250,AC250,""))</f>
        <v/>
      </c>
      <c r="AH250" s="270" t="str">
        <f>IF(Z250="","",IF(Z250&lt;AB250,Y250,IF(Z250=AB250,"",AC250)))</f>
        <v/>
      </c>
      <c r="AI250" s="270" t="str">
        <f>IF(Z250="","",IF(Z250&gt;AB250,Y249,""))</f>
        <v/>
      </c>
      <c r="AJ250" s="270" t="str">
        <f>IF(Z250="","",IF(Z250&lt;AB250,AC249,""))</f>
        <v/>
      </c>
      <c r="AK250" s="270" t="str">
        <f>CONCATENATE(AE250,AH250)</f>
        <v/>
      </c>
      <c r="AL250" s="270"/>
      <c r="AM250" s="270"/>
      <c r="AN250" s="270"/>
      <c r="AO250" s="271"/>
      <c r="AP250" s="270"/>
      <c r="AQ250" s="270"/>
      <c r="AR250" s="270"/>
      <c r="AS250" s="270"/>
      <c r="AT250" s="270"/>
      <c r="AU250" s="270"/>
      <c r="AV250" s="270"/>
      <c r="AW250" s="270"/>
      <c r="AX250" s="270"/>
      <c r="AY250" s="1072"/>
      <c r="AZ250" s="270"/>
      <c r="BA250" s="270"/>
      <c r="BB250" s="1072"/>
      <c r="BC250" s="270"/>
      <c r="BD250" s="270"/>
      <c r="BE250" s="270"/>
      <c r="BF250" s="270"/>
      <c r="BG250" s="270"/>
      <c r="BH250" s="270"/>
      <c r="BI250" s="270"/>
      <c r="BJ250" s="270"/>
      <c r="BK250" s="270"/>
      <c r="BL250" s="270"/>
      <c r="BM250" s="270"/>
      <c r="BN250" s="270"/>
      <c r="BO250" s="270"/>
      <c r="BP250" s="270"/>
      <c r="BQ250" s="270"/>
      <c r="BR250" s="270"/>
      <c r="BS250" s="270"/>
      <c r="BT250" s="270"/>
      <c r="BU250" s="270"/>
      <c r="BV250" s="270"/>
      <c r="BW250" s="270"/>
      <c r="BX250" s="270"/>
      <c r="BY250" s="270"/>
      <c r="BZ250" s="270"/>
      <c r="CA250" s="270"/>
      <c r="CB250" s="270"/>
      <c r="CC250" s="270"/>
      <c r="CD250" s="270"/>
      <c r="CE250" s="1395"/>
      <c r="CF250" s="1450"/>
      <c r="CG250" s="1450"/>
      <c r="CH250" s="270"/>
      <c r="CI250" s="270"/>
      <c r="CJ250" s="270"/>
      <c r="CK250" s="270"/>
      <c r="CL250" s="270"/>
      <c r="CM250" s="270"/>
    </row>
    <row r="251" spans="1:91" ht="13.5" hidden="1" outlineLevel="3" thickBot="1" x14ac:dyDescent="0.25">
      <c r="A251" s="270"/>
      <c r="B251" s="271"/>
      <c r="C251" s="12"/>
      <c r="D251" s="1071"/>
      <c r="E251" s="1071"/>
      <c r="F251" s="1071"/>
      <c r="G251" s="1172"/>
      <c r="H251" s="271"/>
      <c r="I251" s="270"/>
      <c r="J251" s="270"/>
      <c r="K251" s="270"/>
      <c r="L251" s="270"/>
      <c r="M251" s="270"/>
      <c r="N251" s="270"/>
      <c r="O251" s="270"/>
      <c r="P251" s="1072"/>
      <c r="Q251" s="270"/>
      <c r="R251" s="270"/>
      <c r="S251" s="1072"/>
      <c r="T251" s="270"/>
      <c r="U251" s="1019"/>
      <c r="V251" s="1118"/>
      <c r="W251" s="1177"/>
      <c r="X251" s="1186"/>
      <c r="Y251" s="1141"/>
      <c r="Z251" s="492"/>
      <c r="AA251" s="493" t="s">
        <v>769</v>
      </c>
      <c r="AB251" s="1069"/>
      <c r="AC251" s="1142"/>
      <c r="AD251" s="839"/>
      <c r="AE251" s="270" t="str">
        <f>IF(Z251="","",IF(Z251&gt;AB251,Y251,IF(Z251=AB251,"",AC251)))</f>
        <v/>
      </c>
      <c r="AF251" s="270" t="str">
        <f>IF(Z251="","",IF(Z251=AB251,Y251,""))</f>
        <v/>
      </c>
      <c r="AG251" s="270" t="str">
        <f>IF(Z251="","",IF(Z251=AB251,AC251,""))</f>
        <v/>
      </c>
      <c r="AH251" s="270" t="str">
        <f>IF(Z251="","",IF(Z251&lt;AB251,Y251,IF(Z251=AB251,"",AC251)))</f>
        <v/>
      </c>
      <c r="AI251" s="270" t="str">
        <f>IF(Z251="","",IF(Z251&gt;AB251,Y249,""))</f>
        <v/>
      </c>
      <c r="AJ251" s="270" t="str">
        <f>IF(Z251="","",IF(Z251&lt;AB251,AC249,""))</f>
        <v/>
      </c>
      <c r="AK251" s="270" t="str">
        <f>CONCATENATE(AE251,AH251)</f>
        <v/>
      </c>
      <c r="AL251" s="270"/>
      <c r="AM251" s="270"/>
      <c r="AN251" s="270"/>
      <c r="AO251" s="271"/>
      <c r="AP251" s="270"/>
      <c r="AQ251" s="270"/>
      <c r="AR251" s="270"/>
      <c r="AS251" s="270"/>
      <c r="AT251" s="270"/>
      <c r="AU251" s="270"/>
      <c r="AV251" s="270"/>
      <c r="AW251" s="270"/>
      <c r="AX251" s="270"/>
      <c r="AY251" s="1072"/>
      <c r="AZ251" s="270"/>
      <c r="BA251" s="270"/>
      <c r="BB251" s="1072"/>
      <c r="BC251" s="270"/>
      <c r="BD251" s="270"/>
      <c r="BE251" s="270"/>
      <c r="BF251" s="270"/>
      <c r="BG251" s="270"/>
      <c r="BH251" s="270"/>
      <c r="BI251" s="270"/>
      <c r="BJ251" s="270"/>
      <c r="BK251" s="270"/>
      <c r="BL251" s="270"/>
      <c r="BM251" s="270"/>
      <c r="BN251" s="270"/>
      <c r="BO251" s="270"/>
      <c r="BP251" s="270"/>
      <c r="BQ251" s="270"/>
      <c r="BR251" s="270"/>
      <c r="BS251" s="270"/>
      <c r="BT251" s="270"/>
      <c r="BU251" s="270"/>
      <c r="BV251" s="270"/>
      <c r="BW251" s="270"/>
      <c r="BX251" s="270"/>
      <c r="BY251" s="270"/>
      <c r="BZ251" s="270"/>
      <c r="CA251" s="270"/>
      <c r="CB251" s="270"/>
      <c r="CC251" s="270"/>
      <c r="CD251" s="270"/>
      <c r="CE251" s="1395"/>
      <c r="CF251" s="1450"/>
      <c r="CG251" s="1450"/>
      <c r="CH251" s="270"/>
      <c r="CI251" s="270"/>
      <c r="CJ251" s="270"/>
      <c r="CK251" s="270"/>
      <c r="CL251" s="270"/>
      <c r="CM251" s="270"/>
    </row>
    <row r="252" spans="1:91" ht="13.5" hidden="1" outlineLevel="3" thickBot="1" x14ac:dyDescent="0.25">
      <c r="A252" s="270"/>
      <c r="B252" s="271"/>
      <c r="C252" s="12"/>
      <c r="D252" s="1071"/>
      <c r="E252" s="1071"/>
      <c r="F252" s="1071"/>
      <c r="G252" s="1172"/>
      <c r="H252" s="271"/>
      <c r="I252" s="270"/>
      <c r="J252" s="270"/>
      <c r="K252" s="270"/>
      <c r="L252" s="270"/>
      <c r="M252" s="270"/>
      <c r="N252" s="270"/>
      <c r="O252" s="270"/>
      <c r="P252" s="1072"/>
      <c r="Q252" s="270"/>
      <c r="R252" s="270"/>
      <c r="S252" s="1072"/>
      <c r="T252" s="270"/>
      <c r="U252" s="1019"/>
      <c r="V252" s="1118"/>
      <c r="W252" s="1177"/>
      <c r="X252" s="1186"/>
      <c r="Y252" s="1141"/>
      <c r="Z252" s="492"/>
      <c r="AA252" s="493" t="s">
        <v>769</v>
      </c>
      <c r="AB252" s="1069"/>
      <c r="AC252" s="1142"/>
      <c r="AD252" s="839"/>
      <c r="AE252" s="270" t="str">
        <f>IF(Z252="","",IF(Z252&gt;AB252,Y252,IF(Z252=AB252,"",AC252)))</f>
        <v/>
      </c>
      <c r="AF252" s="270" t="str">
        <f>IF(Z252="","",IF(Z252=AB252,Y252,""))</f>
        <v/>
      </c>
      <c r="AG252" s="270" t="str">
        <f>IF(Z252="","",IF(Z252=AB252,AC252,""))</f>
        <v/>
      </c>
      <c r="AH252" s="270" t="str">
        <f>IF(Z252="","",IF(Z252&lt;AB252,Y252,IF(Z252=AB252,"",AC252)))</f>
        <v/>
      </c>
      <c r="AI252" s="270" t="str">
        <f>IF(Z252="","",IF(Z252&gt;AB252,Y249,""))</f>
        <v/>
      </c>
      <c r="AJ252" s="270" t="str">
        <f>IF(Z252="","",IF(Z252&lt;AB252,AC249,""))</f>
        <v/>
      </c>
      <c r="AK252" s="270" t="str">
        <f>CONCATENATE(AE252,AH252)</f>
        <v/>
      </c>
      <c r="AL252" s="270"/>
      <c r="AM252" s="270"/>
      <c r="AN252" s="270"/>
      <c r="AO252" s="271"/>
      <c r="AP252" s="270"/>
      <c r="AQ252" s="270"/>
      <c r="AR252" s="270"/>
      <c r="AS252" s="270"/>
      <c r="AT252" s="270"/>
      <c r="AU252" s="270"/>
      <c r="AV252" s="270"/>
      <c r="AW252" s="270"/>
      <c r="AX252" s="270"/>
      <c r="AY252" s="1072"/>
      <c r="AZ252" s="270"/>
      <c r="BA252" s="270"/>
      <c r="BB252" s="1072"/>
      <c r="BC252" s="270"/>
      <c r="BD252" s="270"/>
      <c r="BE252" s="270"/>
      <c r="BF252" s="270"/>
      <c r="BG252" s="270"/>
      <c r="BH252" s="270"/>
      <c r="BI252" s="270"/>
      <c r="BJ252" s="270"/>
      <c r="BK252" s="270"/>
      <c r="BL252" s="270"/>
      <c r="BM252" s="270"/>
      <c r="BN252" s="270"/>
      <c r="BO252" s="270"/>
      <c r="BP252" s="270"/>
      <c r="BQ252" s="270"/>
      <c r="BR252" s="270"/>
      <c r="BS252" s="270"/>
      <c r="BT252" s="270"/>
      <c r="BU252" s="270"/>
      <c r="BV252" s="270"/>
      <c r="BW252" s="270"/>
      <c r="BX252" s="270"/>
      <c r="BY252" s="270"/>
      <c r="BZ252" s="270"/>
      <c r="CA252" s="270"/>
      <c r="CB252" s="270"/>
      <c r="CC252" s="270"/>
      <c r="CD252" s="270"/>
      <c r="CE252" s="1395"/>
      <c r="CF252" s="1450"/>
      <c r="CG252" s="1450"/>
      <c r="CH252" s="270"/>
      <c r="CI252" s="270"/>
      <c r="CJ252" s="270"/>
      <c r="CK252" s="270"/>
      <c r="CL252" s="270"/>
      <c r="CM252" s="270"/>
    </row>
    <row r="253" spans="1:91" ht="13.5" hidden="1" outlineLevel="3" thickBot="1" x14ac:dyDescent="0.25">
      <c r="A253" s="270"/>
      <c r="B253" s="271"/>
      <c r="C253" s="12"/>
      <c r="D253" s="1071"/>
      <c r="E253" s="1071"/>
      <c r="F253" s="1071"/>
      <c r="G253" s="1172"/>
      <c r="H253" s="271"/>
      <c r="I253" s="270"/>
      <c r="J253" s="270"/>
      <c r="K253" s="270"/>
      <c r="L253" s="270"/>
      <c r="M253" s="270"/>
      <c r="N253" s="270"/>
      <c r="O253" s="270"/>
      <c r="P253" s="1072"/>
      <c r="Q253" s="270"/>
      <c r="R253" s="270"/>
      <c r="S253" s="1072"/>
      <c r="T253" s="270"/>
      <c r="U253" s="1019"/>
      <c r="V253" s="1118"/>
      <c r="W253" s="1177"/>
      <c r="X253" s="1186"/>
      <c r="Y253" s="1141"/>
      <c r="Z253" s="492"/>
      <c r="AA253" s="493" t="s">
        <v>769</v>
      </c>
      <c r="AB253" s="1069"/>
      <c r="AC253" s="1142"/>
      <c r="AD253" s="839"/>
      <c r="AE253" s="270" t="str">
        <f>IF(Z253="","",IF(Z253&gt;AB253,Y253,IF(Z253=AB253,"",AC253)))</f>
        <v/>
      </c>
      <c r="AF253" s="270" t="str">
        <f>IF(Z253="","",IF(Z253=AB253,Y253,""))</f>
        <v/>
      </c>
      <c r="AG253" s="270" t="str">
        <f>IF(Z253="","",IF(Z253=AB253,AC253,""))</f>
        <v/>
      </c>
      <c r="AH253" s="270" t="str">
        <f>IF(Z253="","",IF(Z253&lt;AB253,Y253,IF(Z253=AB253,"",AC253)))</f>
        <v/>
      </c>
      <c r="AI253" s="270" t="str">
        <f>IF(Z253="","",IF(Z253&gt;AB253,Y249,""))</f>
        <v/>
      </c>
      <c r="AJ253" s="270" t="str">
        <f>IF(Z253="","",IF(Z253&lt;AB253,AC249,""))</f>
        <v/>
      </c>
      <c r="AK253" s="270" t="str">
        <f>CONCATENATE(AE253,AH253)</f>
        <v/>
      </c>
      <c r="AL253" s="270"/>
      <c r="AM253" s="270"/>
      <c r="AN253" s="270"/>
      <c r="AO253" s="271"/>
      <c r="AP253" s="270"/>
      <c r="AQ253" s="270"/>
      <c r="AR253" s="270"/>
      <c r="AS253" s="270"/>
      <c r="AT253" s="270"/>
      <c r="AU253" s="270"/>
      <c r="AV253" s="270"/>
      <c r="AW253" s="270"/>
      <c r="AX253" s="270"/>
      <c r="AY253" s="1072"/>
      <c r="AZ253" s="270"/>
      <c r="BA253" s="270"/>
      <c r="BB253" s="1072"/>
      <c r="BC253" s="270"/>
      <c r="BD253" s="270"/>
      <c r="BE253" s="270"/>
      <c r="BF253" s="270"/>
      <c r="BG253" s="270"/>
      <c r="BH253" s="270"/>
      <c r="BI253" s="270"/>
      <c r="BJ253" s="270"/>
      <c r="BK253" s="270"/>
      <c r="BL253" s="270"/>
      <c r="BM253" s="270"/>
      <c r="BN253" s="270"/>
      <c r="BO253" s="270"/>
      <c r="BP253" s="270"/>
      <c r="BQ253" s="270"/>
      <c r="BR253" s="270"/>
      <c r="BS253" s="270"/>
      <c r="BT253" s="270"/>
      <c r="BU253" s="270"/>
      <c r="BV253" s="270"/>
      <c r="BW253" s="270"/>
      <c r="BX253" s="270"/>
      <c r="BY253" s="270"/>
      <c r="BZ253" s="270"/>
      <c r="CA253" s="270"/>
      <c r="CB253" s="270"/>
      <c r="CC253" s="270"/>
      <c r="CD253" s="270"/>
      <c r="CE253" s="1395"/>
      <c r="CF253" s="1450"/>
      <c r="CG253" s="1450"/>
      <c r="CH253" s="270"/>
      <c r="CI253" s="270"/>
      <c r="CJ253" s="270"/>
      <c r="CK253" s="270"/>
      <c r="CL253" s="270"/>
      <c r="CM253" s="270"/>
    </row>
    <row r="254" spans="1:91" ht="13.5" hidden="1" outlineLevel="3" thickBot="1" x14ac:dyDescent="0.25">
      <c r="A254" s="270"/>
      <c r="B254" s="271"/>
      <c r="C254" s="12"/>
      <c r="D254" s="1071"/>
      <c r="E254" s="1071"/>
      <c r="F254" s="1071"/>
      <c r="G254" s="626"/>
      <c r="H254" s="271"/>
      <c r="I254" s="270"/>
      <c r="J254" s="270"/>
      <c r="K254" s="270"/>
      <c r="L254" s="270"/>
      <c r="M254" s="270"/>
      <c r="N254" s="270"/>
      <c r="O254" s="270"/>
      <c r="P254" s="1072"/>
      <c r="Q254" s="270"/>
      <c r="R254" s="270"/>
      <c r="S254" s="1072"/>
      <c r="T254" s="270"/>
      <c r="U254" s="1019"/>
      <c r="V254" s="1077"/>
      <c r="W254" s="1078"/>
      <c r="X254" s="1075" t="str">
        <f>N_Substitute</f>
        <v>Remplaçant</v>
      </c>
      <c r="Y254" s="1141"/>
      <c r="Z254" s="492"/>
      <c r="AA254" s="1076"/>
      <c r="AB254" s="1069"/>
      <c r="AC254" s="1142"/>
      <c r="AD254" s="839"/>
      <c r="AE254" s="270"/>
      <c r="AF254" s="270"/>
      <c r="AG254" s="270"/>
      <c r="AH254" s="270"/>
      <c r="AI254" s="270"/>
      <c r="AJ254" s="270"/>
      <c r="AK254" s="270"/>
      <c r="AL254" s="270"/>
      <c r="AM254" s="270"/>
      <c r="AN254" s="270"/>
      <c r="AO254" s="271"/>
      <c r="AP254" s="270"/>
      <c r="AQ254" s="270"/>
      <c r="AR254" s="270"/>
      <c r="AS254" s="270"/>
      <c r="AT254" s="270"/>
      <c r="AU254" s="270"/>
      <c r="AV254" s="270"/>
      <c r="AW254" s="270"/>
      <c r="AX254" s="270"/>
      <c r="AY254" s="1072"/>
      <c r="AZ254" s="270"/>
      <c r="BA254" s="270"/>
      <c r="BB254" s="1072"/>
      <c r="BC254" s="270"/>
      <c r="BD254" s="270"/>
      <c r="BE254" s="270"/>
      <c r="BF254" s="270"/>
      <c r="BG254" s="270"/>
      <c r="BH254" s="270"/>
      <c r="BI254" s="270"/>
      <c r="BJ254" s="270"/>
      <c r="BK254" s="270"/>
      <c r="BL254" s="270"/>
      <c r="BM254" s="270"/>
      <c r="BN254" s="270"/>
      <c r="BO254" s="270"/>
      <c r="BP254" s="270"/>
      <c r="BQ254" s="270"/>
      <c r="BR254" s="270"/>
      <c r="BS254" s="270"/>
      <c r="BT254" s="270"/>
      <c r="BU254" s="270"/>
      <c r="BV254" s="270"/>
      <c r="BW254" s="270"/>
      <c r="BX254" s="270"/>
      <c r="BY254" s="270"/>
      <c r="BZ254" s="270"/>
      <c r="CA254" s="270"/>
      <c r="CB254" s="270"/>
      <c r="CC254" s="270"/>
      <c r="CD254" s="270"/>
      <c r="CE254" s="1395"/>
      <c r="CF254" s="1450"/>
      <c r="CG254" s="1450"/>
      <c r="CH254" s="270"/>
      <c r="CI254" s="270"/>
      <c r="CJ254" s="270"/>
      <c r="CK254" s="270"/>
      <c r="CL254" s="270"/>
      <c r="CM254" s="270"/>
    </row>
    <row r="255" spans="1:91" ht="13.5" hidden="1" outlineLevel="3" thickBot="1" x14ac:dyDescent="0.25">
      <c r="A255" s="270"/>
      <c r="B255" s="271"/>
      <c r="C255" s="12"/>
      <c r="D255" s="1071"/>
      <c r="E255" s="1071"/>
      <c r="F255" s="1071"/>
      <c r="G255" s="626"/>
      <c r="H255" s="271"/>
      <c r="I255" s="270"/>
      <c r="J255" s="270"/>
      <c r="K255" s="270"/>
      <c r="L255" s="270"/>
      <c r="M255" s="270"/>
      <c r="N255" s="270"/>
      <c r="O255" s="270"/>
      <c r="P255" s="1072"/>
      <c r="Q255" s="270"/>
      <c r="R255" s="270"/>
      <c r="S255" s="1072"/>
      <c r="T255" s="270"/>
      <c r="U255" s="1019"/>
      <c r="V255" s="1118"/>
      <c r="W255" s="1182"/>
      <c r="X255" s="1075" t="str">
        <f>N_Substitute</f>
        <v>Remplaçant</v>
      </c>
      <c r="Y255" s="1141"/>
      <c r="Z255" s="492"/>
      <c r="AA255" s="1121"/>
      <c r="AB255" s="1069"/>
      <c r="AC255" s="1142"/>
      <c r="AD255" s="839"/>
      <c r="AE255" s="270"/>
      <c r="AF255" s="270"/>
      <c r="AG255" s="270"/>
      <c r="AH255" s="270"/>
      <c r="AI255" s="270"/>
      <c r="AJ255" s="270"/>
      <c r="AK255" s="270"/>
      <c r="AL255" s="270"/>
      <c r="AM255" s="270"/>
      <c r="AN255" s="270"/>
      <c r="AO255" s="271"/>
      <c r="AP255" s="270"/>
      <c r="AQ255" s="270"/>
      <c r="AR255" s="270"/>
      <c r="AS255" s="270"/>
      <c r="AT255" s="270"/>
      <c r="AU255" s="270"/>
      <c r="AV255" s="270"/>
      <c r="AW255" s="270"/>
      <c r="AX255" s="270"/>
      <c r="AY255" s="1072"/>
      <c r="AZ255" s="270"/>
      <c r="BA255" s="270"/>
      <c r="BB255" s="1072"/>
      <c r="BC255" s="270"/>
      <c r="BD255" s="270"/>
      <c r="BE255" s="270"/>
      <c r="BF255" s="270"/>
      <c r="BG255" s="270"/>
      <c r="BH255" s="270"/>
      <c r="BI255" s="270"/>
      <c r="BJ255" s="270"/>
      <c r="BK255" s="270"/>
      <c r="BL255" s="270"/>
      <c r="BM255" s="270"/>
      <c r="BN255" s="270"/>
      <c r="BO255" s="270"/>
      <c r="BP255" s="270"/>
      <c r="BQ255" s="270"/>
      <c r="BR255" s="270"/>
      <c r="BS255" s="270"/>
      <c r="BT255" s="270"/>
      <c r="BU255" s="270"/>
      <c r="BV255" s="270"/>
      <c r="BW255" s="270"/>
      <c r="BX255" s="270"/>
      <c r="BY255" s="270"/>
      <c r="BZ255" s="270"/>
      <c r="CA255" s="270"/>
      <c r="CB255" s="270"/>
      <c r="CC255" s="270"/>
      <c r="CD255" s="270"/>
      <c r="CE255" s="1395"/>
      <c r="CF255" s="1450"/>
      <c r="CG255" s="1450"/>
      <c r="CH255" s="270"/>
      <c r="CI255" s="270"/>
      <c r="CJ255" s="270"/>
      <c r="CK255" s="270"/>
      <c r="CL255" s="270"/>
      <c r="CM255" s="270"/>
    </row>
    <row r="256" spans="1:91" hidden="1" outlineLevel="2" collapsed="1" x14ac:dyDescent="0.2">
      <c r="A256" s="270"/>
      <c r="B256" s="271"/>
      <c r="C256" s="270"/>
      <c r="D256" s="270"/>
      <c r="E256" s="270"/>
      <c r="F256" s="270"/>
      <c r="G256" s="271"/>
      <c r="H256" s="270"/>
      <c r="I256" s="270"/>
      <c r="J256" s="270"/>
      <c r="K256" s="270"/>
      <c r="L256" s="270"/>
      <c r="M256" s="270"/>
      <c r="N256" s="270"/>
      <c r="O256" s="270"/>
      <c r="P256" s="270"/>
      <c r="Q256" s="270"/>
      <c r="R256" s="270"/>
      <c r="S256" s="270"/>
      <c r="T256" s="270"/>
      <c r="U256" s="1019" t="s">
        <v>1727</v>
      </c>
      <c r="V256" s="1187"/>
      <c r="W256" s="1195"/>
      <c r="X256" s="1196"/>
      <c r="Y256" s="1180" t="str">
        <f>IF(G223="","",G223)</f>
        <v>Eq3</v>
      </c>
      <c r="Z256" s="1123" t="str">
        <f>IF(OR(ISNUMBER(Z257),ISNUMBER(Z258),ISNUMBER(Z259),ISNUMBER(Z260)),4-COUNTBLANK(AI257:AI260),"")</f>
        <v/>
      </c>
      <c r="AA256" s="1124" t="s">
        <v>769</v>
      </c>
      <c r="AB256" s="1125" t="str">
        <f>IF(OR(ISNUMBER(Z257),ISNUMBER(Z258),ISNUMBER(Z259),ISNUMBER(Z260)),4-COUNTBLANK(AJ257:AJ260),"")</f>
        <v/>
      </c>
      <c r="AC256" s="1181" t="str">
        <f>IF(G225="","",G225)</f>
        <v>Eq5</v>
      </c>
      <c r="AD256" s="839"/>
      <c r="AE256" s="270" t="str">
        <f>IF(Z256="","",IF(Z256&gt;AB256,Y256,IF(Z256=AB256,IF(NoDrawWithWithdraw,IF(AL256=Y256,AC256,IF(AL256=AC256,Y256,"")),""),AC256)))</f>
        <v/>
      </c>
      <c r="AF256" s="270" t="str">
        <f>IF(Z256="","",IF(Z256=AB256,IF(NoDrawWithWithdraw,IF(AL256=Y256,"",IF(AL256=AC256,"",Y256)),Y256),""))</f>
        <v/>
      </c>
      <c r="AG256" s="270" t="str">
        <f>IF(Z256="","",IF(Z256=AB256,IF(NoDrawWithWithdraw,IF(AL256=Y256,"",IF(AL256=AC256,"",AC256)),AC256),""))</f>
        <v/>
      </c>
      <c r="AH256" s="270" t="str">
        <f>IF(Z256="","",IF(Z256&lt;AB256,Y256,IF(Z256=AB256,IF(NoDrawWithWithdraw,IF(AL256=Y256,Y256,IF(AL256=AC256,AC256,"")),""),AC256)))</f>
        <v/>
      </c>
      <c r="AI256" s="270" t="str">
        <f>IF(Z256="","",SUM(Z257:Z260))</f>
        <v/>
      </c>
      <c r="AJ256" s="270" t="str">
        <f>IF(Z256="","",SUM(AB257:AB260))</f>
        <v/>
      </c>
      <c r="AK256" s="270" t="str">
        <f>CONCATENATE(AE256,AH256)</f>
        <v/>
      </c>
      <c r="AL256" s="270" t="str">
        <f>IF(COUNTIF(Y257:Y260,WithdrawLabel)&gt;COUNTIF(AC257:AC260,WithdrawLabel),Y256,IF(COUNTIF(AC257:AC260,WithdrawLabel)&gt;COUNTIF(Y257:Y260,WithdrawLabel),AC256,""))</f>
        <v/>
      </c>
      <c r="AM256" s="270"/>
      <c r="AN256" s="270"/>
      <c r="AO256" s="575"/>
      <c r="AP256" s="270"/>
      <c r="AQ256" s="270"/>
      <c r="AR256" s="270"/>
      <c r="AS256" s="270"/>
      <c r="AT256" s="270"/>
      <c r="AU256" s="270"/>
      <c r="AV256" s="270"/>
      <c r="AW256" s="270"/>
      <c r="AX256" s="270"/>
      <c r="AY256" s="270"/>
      <c r="AZ256" s="270"/>
      <c r="BA256" s="270"/>
      <c r="BB256" s="270"/>
      <c r="BC256" s="270"/>
      <c r="BD256" s="270"/>
      <c r="BE256" s="270"/>
      <c r="BF256" s="270"/>
      <c r="BG256" s="270"/>
      <c r="BH256" s="270"/>
      <c r="BI256" s="270"/>
      <c r="BJ256" s="270"/>
      <c r="BK256" s="270"/>
      <c r="BL256" s="270"/>
      <c r="BM256" s="270"/>
      <c r="BN256" s="270"/>
      <c r="BO256" s="270"/>
      <c r="BP256" s="270"/>
      <c r="BQ256" s="270"/>
      <c r="BR256" s="270"/>
      <c r="BS256" s="270"/>
      <c r="BT256" s="270"/>
      <c r="BU256" s="270"/>
      <c r="BV256" s="270"/>
      <c r="BW256" s="270"/>
      <c r="BX256" s="270"/>
      <c r="BY256" s="270"/>
      <c r="BZ256" s="270"/>
      <c r="CA256" s="270"/>
      <c r="CB256" s="270"/>
      <c r="CC256" s="270"/>
      <c r="CD256" s="270"/>
      <c r="CE256" s="1395"/>
      <c r="CF256" s="1450"/>
      <c r="CG256" s="1450"/>
      <c r="CH256" s="270"/>
      <c r="CI256" s="270"/>
      <c r="CJ256" s="270"/>
      <c r="CK256" s="270"/>
      <c r="CL256" s="270"/>
      <c r="CM256" s="270"/>
    </row>
    <row r="257" spans="1:91" ht="13.5" hidden="1" outlineLevel="3" thickBot="1" x14ac:dyDescent="0.25">
      <c r="A257" s="270"/>
      <c r="B257" s="271"/>
      <c r="C257" s="12"/>
      <c r="D257" s="1071"/>
      <c r="E257" s="1071"/>
      <c r="F257" s="1071"/>
      <c r="G257" s="1172"/>
      <c r="H257" s="271"/>
      <c r="I257" s="270"/>
      <c r="J257" s="270"/>
      <c r="K257" s="270"/>
      <c r="L257" s="270"/>
      <c r="M257" s="270"/>
      <c r="N257" s="270"/>
      <c r="O257" s="270"/>
      <c r="P257" s="1072"/>
      <c r="Q257" s="270"/>
      <c r="R257" s="270"/>
      <c r="S257" s="1072"/>
      <c r="T257" s="270"/>
      <c r="U257" s="1019"/>
      <c r="V257" s="1118"/>
      <c r="W257" s="1177"/>
      <c r="X257" s="1186"/>
      <c r="Y257" s="1141"/>
      <c r="Z257" s="492"/>
      <c r="AA257" s="493" t="s">
        <v>769</v>
      </c>
      <c r="AB257" s="1069"/>
      <c r="AC257" s="1142"/>
      <c r="AD257" s="839"/>
      <c r="AE257" s="270" t="str">
        <f>IF(Z257="","",IF(Z257&gt;AB257,Y257,IF(Z257=AB257,"",AC257)))</f>
        <v/>
      </c>
      <c r="AF257" s="270" t="str">
        <f>IF(Z257="","",IF(Z257=AB257,Y257,""))</f>
        <v/>
      </c>
      <c r="AG257" s="270" t="str">
        <f>IF(Z257="","",IF(Z257=AB257,AC257,""))</f>
        <v/>
      </c>
      <c r="AH257" s="270" t="str">
        <f>IF(Z257="","",IF(Z257&lt;AB257,Y257,IF(Z257=AB257,"",AC257)))</f>
        <v/>
      </c>
      <c r="AI257" s="270" t="str">
        <f>IF(Z257="","",IF(Z257&gt;AB257,Y256,""))</f>
        <v/>
      </c>
      <c r="AJ257" s="270" t="str">
        <f>IF(Z257="","",IF(Z257&lt;AB257,AC256,""))</f>
        <v/>
      </c>
      <c r="AK257" s="270" t="str">
        <f>CONCATENATE(AE257,AH257)</f>
        <v/>
      </c>
      <c r="AL257" s="270"/>
      <c r="AM257" s="270"/>
      <c r="AN257" s="270"/>
      <c r="AO257" s="271"/>
      <c r="AP257" s="270"/>
      <c r="AQ257" s="270"/>
      <c r="AR257" s="270"/>
      <c r="AS257" s="270"/>
      <c r="AT257" s="270"/>
      <c r="AU257" s="270"/>
      <c r="AV257" s="270"/>
      <c r="AW257" s="270"/>
      <c r="AX257" s="270"/>
      <c r="AY257" s="1072"/>
      <c r="AZ257" s="270"/>
      <c r="BA257" s="270"/>
      <c r="BB257" s="1072"/>
      <c r="BC257" s="270"/>
      <c r="BD257" s="270"/>
      <c r="BE257" s="270"/>
      <c r="BF257" s="270"/>
      <c r="BG257" s="270"/>
      <c r="BH257" s="270"/>
      <c r="BI257" s="270"/>
      <c r="BJ257" s="270"/>
      <c r="BK257" s="270"/>
      <c r="BL257" s="270"/>
      <c r="BM257" s="270"/>
      <c r="BN257" s="270"/>
      <c r="BO257" s="270"/>
      <c r="BP257" s="270"/>
      <c r="BQ257" s="270"/>
      <c r="BR257" s="270"/>
      <c r="BS257" s="270"/>
      <c r="BT257" s="270"/>
      <c r="BU257" s="270"/>
      <c r="BV257" s="270"/>
      <c r="BW257" s="270"/>
      <c r="BX257" s="270"/>
      <c r="BY257" s="270"/>
      <c r="BZ257" s="270"/>
      <c r="CA257" s="270"/>
      <c r="CB257" s="270"/>
      <c r="CC257" s="270"/>
      <c r="CD257" s="270"/>
      <c r="CE257" s="1395"/>
      <c r="CF257" s="1450"/>
      <c r="CG257" s="1450"/>
      <c r="CH257" s="270"/>
      <c r="CI257" s="270"/>
      <c r="CJ257" s="270"/>
      <c r="CK257" s="270"/>
      <c r="CL257" s="270"/>
      <c r="CM257" s="270"/>
    </row>
    <row r="258" spans="1:91" ht="13.5" hidden="1" outlineLevel="3" thickBot="1" x14ac:dyDescent="0.25">
      <c r="A258" s="270"/>
      <c r="B258" s="271"/>
      <c r="C258" s="12"/>
      <c r="D258" s="1071"/>
      <c r="E258" s="1071"/>
      <c r="F258" s="1071"/>
      <c r="G258" s="1172"/>
      <c r="H258" s="271"/>
      <c r="I258" s="270"/>
      <c r="J258" s="270"/>
      <c r="K258" s="270"/>
      <c r="L258" s="270"/>
      <c r="M258" s="270"/>
      <c r="N258" s="270"/>
      <c r="O258" s="270"/>
      <c r="P258" s="1072"/>
      <c r="Q258" s="270"/>
      <c r="R258" s="270"/>
      <c r="S258" s="1072"/>
      <c r="T258" s="270"/>
      <c r="U258" s="1019"/>
      <c r="V258" s="1118"/>
      <c r="W258" s="1177"/>
      <c r="X258" s="1186"/>
      <c r="Y258" s="1141"/>
      <c r="Z258" s="492"/>
      <c r="AA258" s="493" t="s">
        <v>769</v>
      </c>
      <c r="AB258" s="1069"/>
      <c r="AC258" s="1142"/>
      <c r="AD258" s="839"/>
      <c r="AE258" s="270" t="str">
        <f>IF(Z258="","",IF(Z258&gt;AB258,Y258,IF(Z258=AB258,"",AC258)))</f>
        <v/>
      </c>
      <c r="AF258" s="270" t="str">
        <f>IF(Z258="","",IF(Z258=AB258,Y258,""))</f>
        <v/>
      </c>
      <c r="AG258" s="270" t="str">
        <f>IF(Z258="","",IF(Z258=AB258,AC258,""))</f>
        <v/>
      </c>
      <c r="AH258" s="270" t="str">
        <f>IF(Z258="","",IF(Z258&lt;AB258,Y258,IF(Z258=AB258,"",AC258)))</f>
        <v/>
      </c>
      <c r="AI258" s="270" t="str">
        <f>IF(Z258="","",IF(Z258&gt;AB258,Y256,""))</f>
        <v/>
      </c>
      <c r="AJ258" s="270" t="str">
        <f>IF(Z258="","",IF(Z258&lt;AB258,AC256,""))</f>
        <v/>
      </c>
      <c r="AK258" s="270" t="str">
        <f>CONCATENATE(AE258,AH258)</f>
        <v/>
      </c>
      <c r="AL258" s="270"/>
      <c r="AM258" s="270"/>
      <c r="AN258" s="270"/>
      <c r="AO258" s="271"/>
      <c r="AP258" s="270"/>
      <c r="AQ258" s="270"/>
      <c r="AR258" s="270"/>
      <c r="AS258" s="270"/>
      <c r="AT258" s="270"/>
      <c r="AU258" s="270"/>
      <c r="AV258" s="270"/>
      <c r="AW258" s="270"/>
      <c r="AX258" s="270"/>
      <c r="AY258" s="1072"/>
      <c r="AZ258" s="270"/>
      <c r="BA258" s="270"/>
      <c r="BB258" s="1072"/>
      <c r="BC258" s="270"/>
      <c r="BD258" s="270"/>
      <c r="BE258" s="270"/>
      <c r="BF258" s="270"/>
      <c r="BG258" s="270"/>
      <c r="BH258" s="270"/>
      <c r="BI258" s="270"/>
      <c r="BJ258" s="270"/>
      <c r="BK258" s="270"/>
      <c r="BL258" s="270"/>
      <c r="BM258" s="270"/>
      <c r="BN258" s="270"/>
      <c r="BO258" s="270"/>
      <c r="BP258" s="270"/>
      <c r="BQ258" s="270"/>
      <c r="BR258" s="270"/>
      <c r="BS258" s="270"/>
      <c r="BT258" s="270"/>
      <c r="BU258" s="270"/>
      <c r="BV258" s="270"/>
      <c r="BW258" s="270"/>
      <c r="BX258" s="270"/>
      <c r="BY258" s="270"/>
      <c r="BZ258" s="270"/>
      <c r="CA258" s="270"/>
      <c r="CB258" s="270"/>
      <c r="CC258" s="270"/>
      <c r="CD258" s="270"/>
      <c r="CE258" s="1395"/>
      <c r="CF258" s="1450"/>
      <c r="CG258" s="1450"/>
      <c r="CH258" s="270"/>
      <c r="CI258" s="270"/>
      <c r="CJ258" s="270"/>
      <c r="CK258" s="270"/>
      <c r="CL258" s="270"/>
      <c r="CM258" s="270"/>
    </row>
    <row r="259" spans="1:91" ht="13.5" hidden="1" outlineLevel="3" thickBot="1" x14ac:dyDescent="0.25">
      <c r="A259" s="270"/>
      <c r="B259" s="271"/>
      <c r="C259" s="12"/>
      <c r="D259" s="1071"/>
      <c r="E259" s="1071"/>
      <c r="F259" s="1071"/>
      <c r="G259" s="1172"/>
      <c r="H259" s="271"/>
      <c r="I259" s="270"/>
      <c r="J259" s="270"/>
      <c r="K259" s="270"/>
      <c r="L259" s="270"/>
      <c r="M259" s="270"/>
      <c r="N259" s="270"/>
      <c r="O259" s="270"/>
      <c r="P259" s="1072"/>
      <c r="Q259" s="270"/>
      <c r="R259" s="270"/>
      <c r="S259" s="1072"/>
      <c r="T259" s="270"/>
      <c r="U259" s="1019"/>
      <c r="V259" s="1118"/>
      <c r="W259" s="1177"/>
      <c r="X259" s="1186"/>
      <c r="Y259" s="1141"/>
      <c r="Z259" s="492"/>
      <c r="AA259" s="493" t="s">
        <v>769</v>
      </c>
      <c r="AB259" s="1069"/>
      <c r="AC259" s="1142"/>
      <c r="AD259" s="839"/>
      <c r="AE259" s="270" t="str">
        <f>IF(Z259="","",IF(Z259&gt;AB259,Y259,IF(Z259=AB259,"",AC259)))</f>
        <v/>
      </c>
      <c r="AF259" s="270" t="str">
        <f>IF(Z259="","",IF(Z259=AB259,Y259,""))</f>
        <v/>
      </c>
      <c r="AG259" s="270" t="str">
        <f>IF(Z259="","",IF(Z259=AB259,AC259,""))</f>
        <v/>
      </c>
      <c r="AH259" s="270" t="str">
        <f>IF(Z259="","",IF(Z259&lt;AB259,Y259,IF(Z259=AB259,"",AC259)))</f>
        <v/>
      </c>
      <c r="AI259" s="270" t="str">
        <f>IF(Z259="","",IF(Z259&gt;AB259,Y256,""))</f>
        <v/>
      </c>
      <c r="AJ259" s="270" t="str">
        <f>IF(Z259="","",IF(Z259&lt;AB259,AC256,""))</f>
        <v/>
      </c>
      <c r="AK259" s="270" t="str">
        <f>CONCATENATE(AE259,AH259)</f>
        <v/>
      </c>
      <c r="AL259" s="270"/>
      <c r="AM259" s="270"/>
      <c r="AN259" s="270"/>
      <c r="AO259" s="271"/>
      <c r="AP259" s="270"/>
      <c r="AQ259" s="270"/>
      <c r="AR259" s="270"/>
      <c r="AS259" s="270"/>
      <c r="AT259" s="270"/>
      <c r="AU259" s="270"/>
      <c r="AV259" s="270"/>
      <c r="AW259" s="270"/>
      <c r="AX259" s="270"/>
      <c r="AY259" s="1072"/>
      <c r="AZ259" s="270"/>
      <c r="BA259" s="270"/>
      <c r="BB259" s="1072"/>
      <c r="BC259" s="270"/>
      <c r="BD259" s="270"/>
      <c r="BE259" s="270"/>
      <c r="BF259" s="270"/>
      <c r="BG259" s="270"/>
      <c r="BH259" s="270"/>
      <c r="BI259" s="270"/>
      <c r="BJ259" s="270"/>
      <c r="BK259" s="270"/>
      <c r="BL259" s="270"/>
      <c r="BM259" s="270"/>
      <c r="BN259" s="270"/>
      <c r="BO259" s="270"/>
      <c r="BP259" s="270"/>
      <c r="BQ259" s="270"/>
      <c r="BR259" s="270"/>
      <c r="BS259" s="270"/>
      <c r="BT259" s="270"/>
      <c r="BU259" s="270"/>
      <c r="BV259" s="270"/>
      <c r="BW259" s="270"/>
      <c r="BX259" s="270"/>
      <c r="BY259" s="270"/>
      <c r="BZ259" s="270"/>
      <c r="CA259" s="270"/>
      <c r="CB259" s="270"/>
      <c r="CC259" s="270"/>
      <c r="CD259" s="270"/>
      <c r="CE259" s="1395"/>
      <c r="CF259" s="1450"/>
      <c r="CG259" s="1450"/>
      <c r="CH259" s="270"/>
      <c r="CI259" s="270"/>
      <c r="CJ259" s="270"/>
      <c r="CK259" s="270"/>
      <c r="CL259" s="270"/>
      <c r="CM259" s="270"/>
    </row>
    <row r="260" spans="1:91" ht="13.5" hidden="1" outlineLevel="3" thickBot="1" x14ac:dyDescent="0.25">
      <c r="A260" s="270"/>
      <c r="B260" s="271"/>
      <c r="C260" s="12"/>
      <c r="D260" s="1071"/>
      <c r="E260" s="1071"/>
      <c r="F260" s="1071"/>
      <c r="G260" s="1172"/>
      <c r="H260" s="271"/>
      <c r="I260" s="270"/>
      <c r="J260" s="270"/>
      <c r="K260" s="270"/>
      <c r="L260" s="270"/>
      <c r="M260" s="270"/>
      <c r="N260" s="270"/>
      <c r="O260" s="270"/>
      <c r="P260" s="1072"/>
      <c r="Q260" s="270"/>
      <c r="R260" s="270"/>
      <c r="S260" s="1072"/>
      <c r="T260" s="270"/>
      <c r="U260" s="1019"/>
      <c r="V260" s="1118"/>
      <c r="W260" s="1177"/>
      <c r="X260" s="1186"/>
      <c r="Y260" s="1141"/>
      <c r="Z260" s="492"/>
      <c r="AA260" s="493" t="s">
        <v>769</v>
      </c>
      <c r="AB260" s="1069"/>
      <c r="AC260" s="1142"/>
      <c r="AD260" s="839"/>
      <c r="AE260" s="270" t="str">
        <f>IF(Z260="","",IF(Z260&gt;AB260,Y260,IF(Z260=AB260,"",AC260)))</f>
        <v/>
      </c>
      <c r="AF260" s="270" t="str">
        <f>IF(Z260="","",IF(Z260=AB260,Y260,""))</f>
        <v/>
      </c>
      <c r="AG260" s="270" t="str">
        <f>IF(Z260="","",IF(Z260=AB260,AC260,""))</f>
        <v/>
      </c>
      <c r="AH260" s="270" t="str">
        <f>IF(Z260="","",IF(Z260&lt;AB260,Y260,IF(Z260=AB260,"",AC260)))</f>
        <v/>
      </c>
      <c r="AI260" s="270" t="str">
        <f>IF(Z260="","",IF(Z260&gt;AB260,Y256,""))</f>
        <v/>
      </c>
      <c r="AJ260" s="270" t="str">
        <f>IF(Z260="","",IF(Z260&lt;AB260,AC256,""))</f>
        <v/>
      </c>
      <c r="AK260" s="270" t="str">
        <f>CONCATENATE(AE260,AH260)</f>
        <v/>
      </c>
      <c r="AL260" s="270"/>
      <c r="AM260" s="270"/>
      <c r="AN260" s="270"/>
      <c r="AO260" s="271"/>
      <c r="AP260" s="270"/>
      <c r="AQ260" s="270"/>
      <c r="AR260" s="270"/>
      <c r="AS260" s="270"/>
      <c r="AT260" s="270"/>
      <c r="AU260" s="270"/>
      <c r="AV260" s="270"/>
      <c r="AW260" s="270"/>
      <c r="AX260" s="270"/>
      <c r="AY260" s="1072"/>
      <c r="AZ260" s="270"/>
      <c r="BA260" s="270"/>
      <c r="BB260" s="1072"/>
      <c r="BC260" s="270"/>
      <c r="BD260" s="270"/>
      <c r="BE260" s="270"/>
      <c r="BF260" s="270"/>
      <c r="BG260" s="270"/>
      <c r="BH260" s="270"/>
      <c r="BI260" s="270"/>
      <c r="BJ260" s="270"/>
      <c r="BK260" s="270"/>
      <c r="BL260" s="270"/>
      <c r="BM260" s="270"/>
      <c r="BN260" s="270"/>
      <c r="BO260" s="270"/>
      <c r="BP260" s="270"/>
      <c r="BQ260" s="270"/>
      <c r="BR260" s="270"/>
      <c r="BS260" s="270"/>
      <c r="BT260" s="270"/>
      <c r="BU260" s="270"/>
      <c r="BV260" s="270"/>
      <c r="BW260" s="270"/>
      <c r="BX260" s="270"/>
      <c r="BY260" s="270"/>
      <c r="BZ260" s="270"/>
      <c r="CA260" s="270"/>
      <c r="CB260" s="270"/>
      <c r="CC260" s="270"/>
      <c r="CD260" s="270"/>
      <c r="CE260" s="1395"/>
      <c r="CF260" s="1450"/>
      <c r="CG260" s="1450"/>
      <c r="CH260" s="270"/>
      <c r="CI260" s="270"/>
      <c r="CJ260" s="270"/>
      <c r="CK260" s="270"/>
      <c r="CL260" s="270"/>
      <c r="CM260" s="270"/>
    </row>
    <row r="261" spans="1:91" ht="13.5" hidden="1" outlineLevel="3" thickBot="1" x14ac:dyDescent="0.25">
      <c r="A261" s="270"/>
      <c r="B261" s="271"/>
      <c r="C261" s="12"/>
      <c r="D261" s="1071"/>
      <c r="E261" s="1071"/>
      <c r="F261" s="1071"/>
      <c r="G261" s="626"/>
      <c r="H261" s="271"/>
      <c r="I261" s="270"/>
      <c r="J261" s="270"/>
      <c r="K261" s="270"/>
      <c r="L261" s="270"/>
      <c r="M261" s="270"/>
      <c r="N261" s="270"/>
      <c r="O261" s="270"/>
      <c r="P261" s="1072"/>
      <c r="Q261" s="270"/>
      <c r="R261" s="270"/>
      <c r="S261" s="1072"/>
      <c r="T261" s="270"/>
      <c r="U261" s="1019"/>
      <c r="V261" s="1073"/>
      <c r="W261" s="1074"/>
      <c r="X261" s="1075" t="str">
        <f>N_Substitute</f>
        <v>Remplaçant</v>
      </c>
      <c r="Y261" s="1141"/>
      <c r="Z261" s="492"/>
      <c r="AA261" s="1076"/>
      <c r="AB261" s="1069"/>
      <c r="AC261" s="1142"/>
      <c r="AD261" s="839"/>
      <c r="AE261" s="270"/>
      <c r="AF261" s="270"/>
      <c r="AG261" s="270"/>
      <c r="AH261" s="270"/>
      <c r="AI261" s="270"/>
      <c r="AJ261" s="270"/>
      <c r="AK261" s="270"/>
      <c r="AL261" s="270"/>
      <c r="AM261" s="270"/>
      <c r="AN261" s="270"/>
      <c r="AO261" s="271"/>
      <c r="AP261" s="270"/>
      <c r="AQ261" s="270"/>
      <c r="AR261" s="270"/>
      <c r="AS261" s="270"/>
      <c r="AT261" s="270"/>
      <c r="AU261" s="270"/>
      <c r="AV261" s="270"/>
      <c r="AW261" s="270"/>
      <c r="AX261" s="270"/>
      <c r="AY261" s="1072"/>
      <c r="AZ261" s="270"/>
      <c r="BA261" s="270"/>
      <c r="BB261" s="1072"/>
      <c r="BC261" s="270"/>
      <c r="BD261" s="270"/>
      <c r="BE261" s="270"/>
      <c r="BF261" s="270"/>
      <c r="BG261" s="270"/>
      <c r="BH261" s="270"/>
      <c r="BI261" s="270"/>
      <c r="BJ261" s="270"/>
      <c r="BK261" s="270"/>
      <c r="BL261" s="270"/>
      <c r="BM261" s="270"/>
      <c r="BN261" s="270"/>
      <c r="BO261" s="270"/>
      <c r="BP261" s="270"/>
      <c r="BQ261" s="270"/>
      <c r="BR261" s="270"/>
      <c r="BS261" s="270"/>
      <c r="BT261" s="270"/>
      <c r="BU261" s="270"/>
      <c r="BV261" s="270"/>
      <c r="BW261" s="270"/>
      <c r="BX261" s="270"/>
      <c r="BY261" s="270"/>
      <c r="BZ261" s="270"/>
      <c r="CA261" s="270"/>
      <c r="CB261" s="270"/>
      <c r="CC261" s="270"/>
      <c r="CD261" s="270"/>
      <c r="CE261" s="1395"/>
      <c r="CF261" s="1450"/>
      <c r="CG261" s="1450"/>
      <c r="CH261" s="270"/>
      <c r="CI261" s="270"/>
      <c r="CJ261" s="270"/>
      <c r="CK261" s="270"/>
      <c r="CL261" s="270"/>
      <c r="CM261" s="270"/>
    </row>
    <row r="262" spans="1:91" ht="13.5" hidden="1" outlineLevel="3" thickBot="1" x14ac:dyDescent="0.25">
      <c r="A262" s="270"/>
      <c r="B262" s="271"/>
      <c r="C262" s="12"/>
      <c r="D262" s="1071"/>
      <c r="E262" s="1071"/>
      <c r="F262" s="1071"/>
      <c r="G262" s="626"/>
      <c r="H262" s="271"/>
      <c r="I262" s="270"/>
      <c r="J262" s="270"/>
      <c r="K262" s="270"/>
      <c r="L262" s="270"/>
      <c r="M262" s="270"/>
      <c r="N262" s="270"/>
      <c r="O262" s="270"/>
      <c r="P262" s="1072"/>
      <c r="Q262" s="270"/>
      <c r="R262" s="270"/>
      <c r="S262" s="1072"/>
      <c r="T262" s="270"/>
      <c r="U262" s="1019"/>
      <c r="V262" s="1119"/>
      <c r="W262" s="1120"/>
      <c r="X262" s="1075" t="str">
        <f>N_Substitute</f>
        <v>Remplaçant</v>
      </c>
      <c r="Y262" s="1141"/>
      <c r="Z262" s="492"/>
      <c r="AA262" s="1121"/>
      <c r="AB262" s="1069"/>
      <c r="AC262" s="1142"/>
      <c r="AD262" s="839"/>
      <c r="AE262" s="270"/>
      <c r="AF262" s="270"/>
      <c r="AG262" s="270"/>
      <c r="AH262" s="270"/>
      <c r="AI262" s="270"/>
      <c r="AJ262" s="270"/>
      <c r="AK262" s="270"/>
      <c r="AL262" s="270"/>
      <c r="AM262" s="270"/>
      <c r="AN262" s="270"/>
      <c r="AO262" s="271"/>
      <c r="AP262" s="270"/>
      <c r="AQ262" s="270"/>
      <c r="AR262" s="270"/>
      <c r="AS262" s="270"/>
      <c r="AT262" s="270"/>
      <c r="AU262" s="270"/>
      <c r="AV262" s="270"/>
      <c r="AW262" s="270"/>
      <c r="AX262" s="270"/>
      <c r="AY262" s="1072"/>
      <c r="AZ262" s="270"/>
      <c r="BA262" s="270"/>
      <c r="BB262" s="1072"/>
      <c r="BC262" s="270"/>
      <c r="BD262" s="270"/>
      <c r="BE262" s="270"/>
      <c r="BF262" s="270"/>
      <c r="BG262" s="270"/>
      <c r="BH262" s="270"/>
      <c r="BI262" s="270"/>
      <c r="BJ262" s="270"/>
      <c r="BK262" s="270"/>
      <c r="BL262" s="270"/>
      <c r="BM262" s="270"/>
      <c r="BN262" s="270"/>
      <c r="BO262" s="270"/>
      <c r="BP262" s="270"/>
      <c r="BQ262" s="270"/>
      <c r="BR262" s="270"/>
      <c r="BS262" s="270"/>
      <c r="BT262" s="270"/>
      <c r="BU262" s="270"/>
      <c r="BV262" s="270"/>
      <c r="BW262" s="270"/>
      <c r="BX262" s="270"/>
      <c r="BY262" s="270"/>
      <c r="BZ262" s="270"/>
      <c r="CA262" s="270"/>
      <c r="CB262" s="270"/>
      <c r="CC262" s="270"/>
      <c r="CD262" s="270"/>
      <c r="CE262" s="1395"/>
      <c r="CF262" s="1450"/>
      <c r="CG262" s="1450"/>
      <c r="CH262" s="270"/>
      <c r="CI262" s="270"/>
      <c r="CJ262" s="270"/>
      <c r="CK262" s="270"/>
      <c r="CL262" s="270"/>
      <c r="CM262" s="270"/>
    </row>
    <row r="263" spans="1:91" ht="13.5" hidden="1" outlineLevel="2" collapsed="1" thickBot="1" x14ac:dyDescent="0.25">
      <c r="A263" s="270"/>
      <c r="B263" s="271"/>
      <c r="C263" s="270"/>
      <c r="D263" s="270"/>
      <c r="E263" s="270"/>
      <c r="F263" s="270"/>
      <c r="G263" s="271"/>
      <c r="H263" s="270"/>
      <c r="I263" s="270"/>
      <c r="J263" s="270"/>
      <c r="K263" s="270"/>
      <c r="L263" s="270"/>
      <c r="M263" s="270"/>
      <c r="N263" s="270"/>
      <c r="O263" s="270"/>
      <c r="P263" s="270"/>
      <c r="Q263" s="270"/>
      <c r="R263" s="270"/>
      <c r="S263" s="270"/>
      <c r="T263" s="270"/>
      <c r="U263" s="1019" t="s">
        <v>1727</v>
      </c>
      <c r="V263" s="1122"/>
      <c r="W263" s="1177"/>
      <c r="X263" s="1186"/>
      <c r="Y263" s="1180" t="str">
        <f>IF(G226="","",G226)</f>
        <v>Eq6</v>
      </c>
      <c r="Z263" s="1103" t="str">
        <f>IF(OR(ISNUMBER(Z264),ISNUMBER(Z265),ISNUMBER(Z266),ISNUMBER(Z267)),4-COUNTBLANK(AI264:AI267),"")</f>
        <v/>
      </c>
      <c r="AA263" s="1104" t="s">
        <v>769</v>
      </c>
      <c r="AB263" s="1103" t="str">
        <f>IF(OR(ISNUMBER(Z264),ISNUMBER(Z265),ISNUMBER(Z266),ISNUMBER(Z267)),4-COUNTBLANK(AJ264:AJ267),"")</f>
        <v/>
      </c>
      <c r="AC263" s="1181" t="str">
        <f>IF(G221="","",G221)</f>
        <v>Eq1</v>
      </c>
      <c r="AD263" s="839"/>
      <c r="AE263" s="270" t="str">
        <f>IF(Z263="","",IF(Z263&gt;AB263,Y263,IF(Z263=AB263,IF(NoDrawWithWithdraw,IF(AL263=Y263,AC263,IF(AL263=AC263,Y263,"")),""),AC263)))</f>
        <v/>
      </c>
      <c r="AF263" s="270" t="str">
        <f>IF(Z263="","",IF(Z263=AB263,IF(NoDrawWithWithdraw,IF(AL263=Y263,"",IF(AL263=AC263,"",Y263)),Y263),""))</f>
        <v/>
      </c>
      <c r="AG263" s="270" t="str">
        <f>IF(Z263="","",IF(Z263=AB263,IF(NoDrawWithWithdraw,IF(AL263=Y263,"",IF(AL263=AC263,"",AC263)),AC263),""))</f>
        <v/>
      </c>
      <c r="AH263" s="270" t="str">
        <f>IF(Z263="","",IF(Z263&lt;AB263,Y263,IF(Z263=AB263,IF(NoDrawWithWithdraw,IF(AL263=Y263,Y263,IF(AL263=AC263,AC263,"")),""),AC263)))</f>
        <v/>
      </c>
      <c r="AI263" s="270" t="str">
        <f>IF(Z263="","",SUM(Z264:Z267))</f>
        <v/>
      </c>
      <c r="AJ263" s="270" t="str">
        <f>IF(Z263="","",SUM(AB264:AB267))</f>
        <v/>
      </c>
      <c r="AK263" s="270" t="str">
        <f>CONCATENATE(AE263,AH263)</f>
        <v/>
      </c>
      <c r="AL263" s="270" t="str">
        <f>IF(COUNTIF(Y264:Y267,WithdrawLabel)&gt;COUNTIF(AC264:AC267,WithdrawLabel),Y263,IF(COUNTIF(AC264:AC267,WithdrawLabel)&gt;COUNTIF(Y264:Y267,WithdrawLabel),AC263,""))</f>
        <v/>
      </c>
      <c r="AM263" s="270"/>
      <c r="AN263" s="270"/>
      <c r="AO263" s="575"/>
      <c r="AP263" s="270"/>
      <c r="AQ263" s="270"/>
      <c r="AR263" s="270"/>
      <c r="AS263" s="270"/>
      <c r="AT263" s="270"/>
      <c r="AU263" s="270"/>
      <c r="AV263" s="270"/>
      <c r="AW263" s="270"/>
      <c r="AX263" s="270"/>
      <c r="AY263" s="270"/>
      <c r="AZ263" s="270"/>
      <c r="BA263" s="270"/>
      <c r="BB263" s="270"/>
      <c r="BC263" s="270"/>
      <c r="BD263" s="270"/>
      <c r="BE263" s="270"/>
      <c r="BF263" s="270"/>
      <c r="BG263" s="270"/>
      <c r="BH263" s="270"/>
      <c r="BI263" s="270"/>
      <c r="BJ263" s="270"/>
      <c r="BK263" s="270"/>
      <c r="BL263" s="270"/>
      <c r="BM263" s="270"/>
      <c r="BN263" s="270"/>
      <c r="BO263" s="270"/>
      <c r="BP263" s="270"/>
      <c r="BQ263" s="270"/>
      <c r="BR263" s="270"/>
      <c r="BS263" s="270"/>
      <c r="BT263" s="270"/>
      <c r="BU263" s="270"/>
      <c r="BV263" s="270"/>
      <c r="BW263" s="270"/>
      <c r="BX263" s="270"/>
      <c r="BY263" s="270"/>
      <c r="BZ263" s="270"/>
      <c r="CA263" s="270"/>
      <c r="CB263" s="270"/>
      <c r="CC263" s="270"/>
      <c r="CD263" s="270"/>
      <c r="CE263" s="1395"/>
      <c r="CF263" s="1450"/>
      <c r="CG263" s="1450"/>
      <c r="CH263" s="270"/>
      <c r="CI263" s="270"/>
      <c r="CJ263" s="270"/>
      <c r="CK263" s="270"/>
      <c r="CL263" s="270"/>
      <c r="CM263" s="270"/>
    </row>
    <row r="264" spans="1:91" ht="13.5" hidden="1" outlineLevel="3" thickBot="1" x14ac:dyDescent="0.25">
      <c r="A264" s="270"/>
      <c r="B264" s="271"/>
      <c r="C264" s="12"/>
      <c r="D264" s="1071"/>
      <c r="E264" s="1071"/>
      <c r="F264" s="1071"/>
      <c r="G264" s="1172"/>
      <c r="H264" s="271"/>
      <c r="I264" s="270"/>
      <c r="J264" s="270"/>
      <c r="K264" s="270"/>
      <c r="L264" s="270"/>
      <c r="M264" s="270"/>
      <c r="N264" s="270"/>
      <c r="O264" s="270"/>
      <c r="P264" s="1072"/>
      <c r="Q264" s="270"/>
      <c r="R264" s="270"/>
      <c r="S264" s="1072"/>
      <c r="T264" s="270"/>
      <c r="U264" s="1019"/>
      <c r="V264" s="1118"/>
      <c r="W264" s="1177"/>
      <c r="X264" s="1186"/>
      <c r="Y264" s="1141"/>
      <c r="Z264" s="492"/>
      <c r="AA264" s="493" t="s">
        <v>769</v>
      </c>
      <c r="AB264" s="1069"/>
      <c r="AC264" s="1142"/>
      <c r="AD264" s="839"/>
      <c r="AE264" s="270" t="str">
        <f>IF(Z264="","",IF(Z264&gt;AB264,Y264,IF(Z264=AB264,"",AC264)))</f>
        <v/>
      </c>
      <c r="AF264" s="270" t="str">
        <f>IF(Z264="","",IF(Z264=AB264,Y264,""))</f>
        <v/>
      </c>
      <c r="AG264" s="270" t="str">
        <f>IF(Z264="","",IF(Z264=AB264,AC264,""))</f>
        <v/>
      </c>
      <c r="AH264" s="270" t="str">
        <f>IF(Z264="","",IF(Z264&lt;AB264,Y264,IF(Z264=AB264,"",AC264)))</f>
        <v/>
      </c>
      <c r="AI264" s="270" t="str">
        <f>IF(Z264="","",IF(Z264&gt;AB264,Y263,""))</f>
        <v/>
      </c>
      <c r="AJ264" s="270" t="str">
        <f>IF(Z264="","",IF(Z264&lt;AB264,AC263,""))</f>
        <v/>
      </c>
      <c r="AK264" s="270" t="str">
        <f>CONCATENATE(AE264,AH264)</f>
        <v/>
      </c>
      <c r="AL264" s="270"/>
      <c r="AM264" s="270"/>
      <c r="AN264" s="270"/>
      <c r="AO264" s="271"/>
      <c r="AP264" s="270"/>
      <c r="AQ264" s="270"/>
      <c r="AR264" s="270"/>
      <c r="AS264" s="270"/>
      <c r="AT264" s="270"/>
      <c r="AU264" s="270"/>
      <c r="AV264" s="270"/>
      <c r="AW264" s="270"/>
      <c r="AX264" s="270"/>
      <c r="AY264" s="1072"/>
      <c r="AZ264" s="270"/>
      <c r="BA264" s="270"/>
      <c r="BB264" s="1072"/>
      <c r="BC264" s="270"/>
      <c r="BD264" s="270"/>
      <c r="BE264" s="270"/>
      <c r="BF264" s="270"/>
      <c r="BG264" s="270"/>
      <c r="BH264" s="270"/>
      <c r="BI264" s="270"/>
      <c r="BJ264" s="270"/>
      <c r="BK264" s="270"/>
      <c r="BL264" s="270"/>
      <c r="BM264" s="270"/>
      <c r="BN264" s="270"/>
      <c r="BO264" s="270"/>
      <c r="BP264" s="270"/>
      <c r="BQ264" s="270"/>
      <c r="BR264" s="270"/>
      <c r="BS264" s="270"/>
      <c r="BT264" s="270"/>
      <c r="BU264" s="270"/>
      <c r="BV264" s="270"/>
      <c r="BW264" s="270"/>
      <c r="BX264" s="270"/>
      <c r="BY264" s="270"/>
      <c r="BZ264" s="270"/>
      <c r="CA264" s="270"/>
      <c r="CB264" s="270"/>
      <c r="CC264" s="270"/>
      <c r="CD264" s="270"/>
      <c r="CE264" s="1395"/>
      <c r="CF264" s="1450"/>
      <c r="CG264" s="1450"/>
      <c r="CH264" s="270"/>
      <c r="CI264" s="270"/>
      <c r="CJ264" s="270"/>
      <c r="CK264" s="270"/>
      <c r="CL264" s="270"/>
      <c r="CM264" s="270"/>
    </row>
    <row r="265" spans="1:91" ht="13.5" hidden="1" outlineLevel="3" thickBot="1" x14ac:dyDescent="0.25">
      <c r="A265" s="270"/>
      <c r="B265" s="271"/>
      <c r="C265" s="12"/>
      <c r="D265" s="1071"/>
      <c r="E265" s="1071"/>
      <c r="F265" s="1071"/>
      <c r="G265" s="1172"/>
      <c r="H265" s="271"/>
      <c r="I265" s="270"/>
      <c r="J265" s="270"/>
      <c r="K265" s="270"/>
      <c r="L265" s="270"/>
      <c r="M265" s="270"/>
      <c r="N265" s="270"/>
      <c r="O265" s="270"/>
      <c r="P265" s="1072"/>
      <c r="Q265" s="270"/>
      <c r="R265" s="270"/>
      <c r="S265" s="1072"/>
      <c r="T265" s="270"/>
      <c r="U265" s="1019"/>
      <c r="V265" s="1118"/>
      <c r="W265" s="1177"/>
      <c r="X265" s="1186"/>
      <c r="Y265" s="1141"/>
      <c r="Z265" s="492"/>
      <c r="AA265" s="493" t="s">
        <v>769</v>
      </c>
      <c r="AB265" s="1069"/>
      <c r="AC265" s="1142"/>
      <c r="AD265" s="839"/>
      <c r="AE265" s="270" t="str">
        <f>IF(Z265="","",IF(Z265&gt;AB265,Y265,IF(Z265=AB265,"",AC265)))</f>
        <v/>
      </c>
      <c r="AF265" s="270" t="str">
        <f>IF(Z265="","",IF(Z265=AB265,Y265,""))</f>
        <v/>
      </c>
      <c r="AG265" s="270" t="str">
        <f>IF(Z265="","",IF(Z265=AB265,AC265,""))</f>
        <v/>
      </c>
      <c r="AH265" s="270" t="str">
        <f>IF(Z265="","",IF(Z265&lt;AB265,Y265,IF(Z265=AB265,"",AC265)))</f>
        <v/>
      </c>
      <c r="AI265" s="270" t="str">
        <f>IF(Z265="","",IF(Z265&gt;AB265,Y263,""))</f>
        <v/>
      </c>
      <c r="AJ265" s="270" t="str">
        <f>IF(Z265="","",IF(Z265&lt;AB265,AC263,""))</f>
        <v/>
      </c>
      <c r="AK265" s="270" t="str">
        <f>CONCATENATE(AE265,AH265)</f>
        <v/>
      </c>
      <c r="AL265" s="270"/>
      <c r="AM265" s="270"/>
      <c r="AN265" s="270"/>
      <c r="AO265" s="271"/>
      <c r="AP265" s="270"/>
      <c r="AQ265" s="270"/>
      <c r="AR265" s="270"/>
      <c r="AS265" s="270"/>
      <c r="AT265" s="270"/>
      <c r="AU265" s="270"/>
      <c r="AV265" s="270"/>
      <c r="AW265" s="270"/>
      <c r="AX265" s="270"/>
      <c r="AY265" s="1072"/>
      <c r="AZ265" s="270"/>
      <c r="BA265" s="270"/>
      <c r="BB265" s="1072"/>
      <c r="BC265" s="270"/>
      <c r="BD265" s="270"/>
      <c r="BE265" s="270"/>
      <c r="BF265" s="270"/>
      <c r="BG265" s="270"/>
      <c r="BH265" s="270"/>
      <c r="BI265" s="270"/>
      <c r="BJ265" s="270"/>
      <c r="BK265" s="270"/>
      <c r="BL265" s="270"/>
      <c r="BM265" s="270"/>
      <c r="BN265" s="270"/>
      <c r="BO265" s="270"/>
      <c r="BP265" s="270"/>
      <c r="BQ265" s="270"/>
      <c r="BR265" s="270"/>
      <c r="BS265" s="270"/>
      <c r="BT265" s="270"/>
      <c r="BU265" s="270"/>
      <c r="BV265" s="270"/>
      <c r="BW265" s="270"/>
      <c r="BX265" s="270"/>
      <c r="BY265" s="270"/>
      <c r="BZ265" s="270"/>
      <c r="CA265" s="270"/>
      <c r="CB265" s="270"/>
      <c r="CC265" s="270"/>
      <c r="CD265" s="270"/>
      <c r="CE265" s="1395"/>
      <c r="CF265" s="1450"/>
      <c r="CG265" s="1450"/>
      <c r="CH265" s="270"/>
      <c r="CI265" s="270"/>
      <c r="CJ265" s="270"/>
      <c r="CK265" s="270"/>
      <c r="CL265" s="270"/>
      <c r="CM265" s="270"/>
    </row>
    <row r="266" spans="1:91" ht="13.5" hidden="1" outlineLevel="3" thickBot="1" x14ac:dyDescent="0.25">
      <c r="A266" s="270"/>
      <c r="B266" s="271"/>
      <c r="C266" s="12"/>
      <c r="D266" s="1071"/>
      <c r="E266" s="1071"/>
      <c r="F266" s="1071"/>
      <c r="G266" s="1172"/>
      <c r="H266" s="271"/>
      <c r="I266" s="270"/>
      <c r="J266" s="270"/>
      <c r="K266" s="270"/>
      <c r="L266" s="270"/>
      <c r="M266" s="270"/>
      <c r="N266" s="270"/>
      <c r="O266" s="270"/>
      <c r="P266" s="1072"/>
      <c r="Q266" s="270"/>
      <c r="R266" s="270"/>
      <c r="S266" s="1072"/>
      <c r="T266" s="270"/>
      <c r="U266" s="1019"/>
      <c r="V266" s="1118"/>
      <c r="W266" s="1177"/>
      <c r="X266" s="1186"/>
      <c r="Y266" s="1141"/>
      <c r="Z266" s="492"/>
      <c r="AA266" s="493" t="s">
        <v>769</v>
      </c>
      <c r="AB266" s="1069"/>
      <c r="AC266" s="1142"/>
      <c r="AD266" s="839"/>
      <c r="AE266" s="270" t="str">
        <f>IF(Z266="","",IF(Z266&gt;AB266,Y266,IF(Z266=AB266,"",AC266)))</f>
        <v/>
      </c>
      <c r="AF266" s="270" t="str">
        <f>IF(Z266="","",IF(Z266=AB266,Y266,""))</f>
        <v/>
      </c>
      <c r="AG266" s="270" t="str">
        <f>IF(Z266="","",IF(Z266=AB266,AC266,""))</f>
        <v/>
      </c>
      <c r="AH266" s="270" t="str">
        <f>IF(Z266="","",IF(Z266&lt;AB266,Y266,IF(Z266=AB266,"",AC266)))</f>
        <v/>
      </c>
      <c r="AI266" s="270" t="str">
        <f>IF(Z266="","",IF(Z266&gt;AB266,Y263,""))</f>
        <v/>
      </c>
      <c r="AJ266" s="270" t="str">
        <f>IF(Z266="","",IF(Z266&lt;AB266,AC263,""))</f>
        <v/>
      </c>
      <c r="AK266" s="270" t="str">
        <f>CONCATENATE(AE266,AH266)</f>
        <v/>
      </c>
      <c r="AL266" s="270"/>
      <c r="AM266" s="270"/>
      <c r="AN266" s="270"/>
      <c r="AO266" s="271"/>
      <c r="AP266" s="270"/>
      <c r="AQ266" s="270"/>
      <c r="AR266" s="270"/>
      <c r="AS266" s="270"/>
      <c r="AT266" s="270"/>
      <c r="AU266" s="270"/>
      <c r="AV266" s="270"/>
      <c r="AW266" s="270"/>
      <c r="AX266" s="270"/>
      <c r="AY266" s="1072"/>
      <c r="AZ266" s="270"/>
      <c r="BA266" s="270"/>
      <c r="BB266" s="1072"/>
      <c r="BC266" s="270"/>
      <c r="BD266" s="270"/>
      <c r="BE266" s="270"/>
      <c r="BF266" s="270"/>
      <c r="BG266" s="270"/>
      <c r="BH266" s="270"/>
      <c r="BI266" s="270"/>
      <c r="BJ266" s="270"/>
      <c r="BK266" s="270"/>
      <c r="BL266" s="270"/>
      <c r="BM266" s="270"/>
      <c r="BN266" s="270"/>
      <c r="BO266" s="270"/>
      <c r="BP266" s="270"/>
      <c r="BQ266" s="270"/>
      <c r="BR266" s="270"/>
      <c r="BS266" s="270"/>
      <c r="BT266" s="270"/>
      <c r="BU266" s="270"/>
      <c r="BV266" s="270"/>
      <c r="BW266" s="270"/>
      <c r="BX266" s="270"/>
      <c r="BY266" s="270"/>
      <c r="BZ266" s="270"/>
      <c r="CA266" s="270"/>
      <c r="CB266" s="270"/>
      <c r="CC266" s="270"/>
      <c r="CD266" s="270"/>
      <c r="CE266" s="1395"/>
      <c r="CF266" s="1450"/>
      <c r="CG266" s="1450"/>
      <c r="CH266" s="270"/>
      <c r="CI266" s="270"/>
      <c r="CJ266" s="270"/>
      <c r="CK266" s="270"/>
      <c r="CL266" s="270"/>
      <c r="CM266" s="270"/>
    </row>
    <row r="267" spans="1:91" ht="13.5" hidden="1" outlineLevel="3" thickBot="1" x14ac:dyDescent="0.25">
      <c r="A267" s="270"/>
      <c r="B267" s="271"/>
      <c r="C267" s="12"/>
      <c r="D267" s="1071"/>
      <c r="E267" s="1071"/>
      <c r="F267" s="1071"/>
      <c r="G267" s="1172"/>
      <c r="H267" s="271"/>
      <c r="I267" s="270"/>
      <c r="J267" s="270"/>
      <c r="K267" s="270"/>
      <c r="L267" s="270"/>
      <c r="M267" s="270"/>
      <c r="N267" s="270"/>
      <c r="O267" s="270"/>
      <c r="P267" s="1072"/>
      <c r="Q267" s="270"/>
      <c r="R267" s="270"/>
      <c r="S267" s="1072"/>
      <c r="T267" s="270"/>
      <c r="U267" s="1019"/>
      <c r="V267" s="1118"/>
      <c r="W267" s="1177"/>
      <c r="X267" s="1186"/>
      <c r="Y267" s="1141"/>
      <c r="Z267" s="492"/>
      <c r="AA267" s="493" t="s">
        <v>769</v>
      </c>
      <c r="AB267" s="1069"/>
      <c r="AC267" s="1142"/>
      <c r="AD267" s="839"/>
      <c r="AE267" s="270" t="str">
        <f>IF(Z267="","",IF(Z267&gt;AB267,Y267,IF(Z267=AB267,"",AC267)))</f>
        <v/>
      </c>
      <c r="AF267" s="270" t="str">
        <f>IF(Z267="","",IF(Z267=AB267,Y267,""))</f>
        <v/>
      </c>
      <c r="AG267" s="270" t="str">
        <f>IF(Z267="","",IF(Z267=AB267,AC267,""))</f>
        <v/>
      </c>
      <c r="AH267" s="270" t="str">
        <f>IF(Z267="","",IF(Z267&lt;AB267,Y267,IF(Z267=AB267,"",AC267)))</f>
        <v/>
      </c>
      <c r="AI267" s="270" t="str">
        <f>IF(Z267="","",IF(Z267&gt;AB267,Y263,""))</f>
        <v/>
      </c>
      <c r="AJ267" s="270" t="str">
        <f>IF(Z267="","",IF(Z267&lt;AB267,AC263,""))</f>
        <v/>
      </c>
      <c r="AK267" s="270" t="str">
        <f>CONCATENATE(AE267,AH267)</f>
        <v/>
      </c>
      <c r="AL267" s="270"/>
      <c r="AM267" s="270"/>
      <c r="AN267" s="270"/>
      <c r="AO267" s="271"/>
      <c r="AP267" s="270"/>
      <c r="AQ267" s="270"/>
      <c r="AR267" s="270"/>
      <c r="AS267" s="270"/>
      <c r="AT267" s="270"/>
      <c r="AU267" s="270"/>
      <c r="AV267" s="270"/>
      <c r="AW267" s="270"/>
      <c r="AX267" s="270"/>
      <c r="AY267" s="1072"/>
      <c r="AZ267" s="270"/>
      <c r="BA267" s="270"/>
      <c r="BB267" s="1072"/>
      <c r="BC267" s="270"/>
      <c r="BD267" s="270"/>
      <c r="BE267" s="270"/>
      <c r="BF267" s="270"/>
      <c r="BG267" s="270"/>
      <c r="BH267" s="270"/>
      <c r="BI267" s="270"/>
      <c r="BJ267" s="270"/>
      <c r="BK267" s="270"/>
      <c r="BL267" s="270"/>
      <c r="BM267" s="270"/>
      <c r="BN267" s="270"/>
      <c r="BO267" s="270"/>
      <c r="BP267" s="270"/>
      <c r="BQ267" s="270"/>
      <c r="BR267" s="270"/>
      <c r="BS267" s="270"/>
      <c r="BT267" s="270"/>
      <c r="BU267" s="270"/>
      <c r="BV267" s="270"/>
      <c r="BW267" s="270"/>
      <c r="BX267" s="270"/>
      <c r="BY267" s="270"/>
      <c r="BZ267" s="270"/>
      <c r="CA267" s="270"/>
      <c r="CB267" s="270"/>
      <c r="CC267" s="270"/>
      <c r="CD267" s="270"/>
      <c r="CE267" s="1395"/>
      <c r="CF267" s="1450"/>
      <c r="CG267" s="1450"/>
      <c r="CH267" s="270"/>
      <c r="CI267" s="270"/>
      <c r="CJ267" s="270"/>
      <c r="CK267" s="270"/>
      <c r="CL267" s="270"/>
      <c r="CM267" s="270"/>
    </row>
    <row r="268" spans="1:91" ht="13.5" hidden="1" outlineLevel="3" thickBot="1" x14ac:dyDescent="0.25">
      <c r="A268" s="270"/>
      <c r="B268" s="271"/>
      <c r="C268" s="12"/>
      <c r="D268" s="1071"/>
      <c r="E268" s="1071"/>
      <c r="F268" s="1071"/>
      <c r="G268" s="626"/>
      <c r="H268" s="271"/>
      <c r="I268" s="270"/>
      <c r="J268" s="270"/>
      <c r="K268" s="270"/>
      <c r="L268" s="270"/>
      <c r="M268" s="270"/>
      <c r="N268" s="270"/>
      <c r="O268" s="270"/>
      <c r="P268" s="1072"/>
      <c r="Q268" s="270"/>
      <c r="R268" s="270"/>
      <c r="S268" s="1072"/>
      <c r="T268" s="270"/>
      <c r="U268" s="1019"/>
      <c r="V268" s="1077"/>
      <c r="W268" s="1078"/>
      <c r="X268" s="1075" t="str">
        <f>N_Substitute</f>
        <v>Remplaçant</v>
      </c>
      <c r="Y268" s="1141"/>
      <c r="Z268" s="492"/>
      <c r="AA268" s="1076"/>
      <c r="AB268" s="1069"/>
      <c r="AC268" s="1142"/>
      <c r="AD268" s="839"/>
      <c r="AE268" s="270"/>
      <c r="AF268" s="270"/>
      <c r="AG268" s="270"/>
      <c r="AH268" s="270"/>
      <c r="AI268" s="270"/>
      <c r="AJ268" s="270"/>
      <c r="AK268" s="270"/>
      <c r="AL268" s="270"/>
      <c r="AM268" s="270"/>
      <c r="AN268" s="270"/>
      <c r="AO268" s="271"/>
      <c r="AP268" s="270"/>
      <c r="AQ268" s="270"/>
      <c r="AR268" s="270"/>
      <c r="AS268" s="270"/>
      <c r="AT268" s="270"/>
      <c r="AU268" s="270"/>
      <c r="AV268" s="270"/>
      <c r="AW268" s="270"/>
      <c r="AX268" s="270"/>
      <c r="AY268" s="1072"/>
      <c r="AZ268" s="270"/>
      <c r="BA268" s="270"/>
      <c r="BB268" s="1072"/>
      <c r="BC268" s="270"/>
      <c r="BD268" s="270"/>
      <c r="BE268" s="270"/>
      <c r="BF268" s="270"/>
      <c r="BG268" s="270"/>
      <c r="BH268" s="270"/>
      <c r="BI268" s="270"/>
      <c r="BJ268" s="270"/>
      <c r="BK268" s="270"/>
      <c r="BL268" s="270"/>
      <c r="BM268" s="270"/>
      <c r="BN268" s="270"/>
      <c r="BO268" s="270"/>
      <c r="BP268" s="270"/>
      <c r="BQ268" s="270"/>
      <c r="BR268" s="270"/>
      <c r="BS268" s="270"/>
      <c r="BT268" s="270"/>
      <c r="BU268" s="270"/>
      <c r="BV268" s="270"/>
      <c r="BW268" s="270"/>
      <c r="BX268" s="270"/>
      <c r="BY268" s="270"/>
      <c r="BZ268" s="270"/>
      <c r="CA268" s="270"/>
      <c r="CB268" s="270"/>
      <c r="CC268" s="270"/>
      <c r="CD268" s="270"/>
      <c r="CE268" s="1395"/>
      <c r="CF268" s="1450"/>
      <c r="CG268" s="1450"/>
      <c r="CH268" s="270"/>
      <c r="CI268" s="270"/>
      <c r="CJ268" s="270"/>
      <c r="CK268" s="270"/>
      <c r="CL268" s="270"/>
      <c r="CM268" s="270"/>
    </row>
    <row r="269" spans="1:91" ht="13.5" hidden="1" outlineLevel="3" thickBot="1" x14ac:dyDescent="0.25">
      <c r="A269" s="270"/>
      <c r="B269" s="271"/>
      <c r="C269" s="12"/>
      <c r="D269" s="1071"/>
      <c r="E269" s="1071"/>
      <c r="F269" s="1071"/>
      <c r="G269" s="626"/>
      <c r="H269" s="271"/>
      <c r="I269" s="270"/>
      <c r="J269" s="270"/>
      <c r="K269" s="270"/>
      <c r="L269" s="270"/>
      <c r="M269" s="270"/>
      <c r="N269" s="270"/>
      <c r="O269" s="270"/>
      <c r="P269" s="1072"/>
      <c r="Q269" s="270"/>
      <c r="R269" s="270"/>
      <c r="S269" s="1072"/>
      <c r="T269" s="270"/>
      <c r="U269" s="1019"/>
      <c r="V269" s="1188"/>
      <c r="W269" s="1189"/>
      <c r="X269" s="1089" t="str">
        <f>N_Substitute</f>
        <v>Remplaçant</v>
      </c>
      <c r="Y269" s="1145"/>
      <c r="Z269" s="496"/>
      <c r="AA269" s="1090"/>
      <c r="AB269" s="496"/>
      <c r="AC269" s="1146"/>
      <c r="AD269" s="839"/>
      <c r="AE269" s="270"/>
      <c r="AF269" s="270"/>
      <c r="AG269" s="270"/>
      <c r="AH269" s="270"/>
      <c r="AI269" s="270"/>
      <c r="AJ269" s="270"/>
      <c r="AK269" s="270"/>
      <c r="AL269" s="270"/>
      <c r="AM269" s="270"/>
      <c r="AN269" s="270"/>
      <c r="AO269" s="271"/>
      <c r="AP269" s="270"/>
      <c r="AQ269" s="270"/>
      <c r="AR269" s="270"/>
      <c r="AS269" s="270"/>
      <c r="AT269" s="270"/>
      <c r="AU269" s="270"/>
      <c r="AV269" s="270"/>
      <c r="AW269" s="270"/>
      <c r="AX269" s="270"/>
      <c r="AY269" s="1072"/>
      <c r="AZ269" s="270"/>
      <c r="BA269" s="270"/>
      <c r="BB269" s="1072"/>
      <c r="BC269" s="270"/>
      <c r="BD269" s="270"/>
      <c r="BE269" s="270"/>
      <c r="BF269" s="270"/>
      <c r="BG269" s="270"/>
      <c r="BH269" s="270"/>
      <c r="BI269" s="270"/>
      <c r="BJ269" s="270"/>
      <c r="BK269" s="270"/>
      <c r="BL269" s="270"/>
      <c r="BM269" s="270"/>
      <c r="BN269" s="270"/>
      <c r="BO269" s="270"/>
      <c r="BP269" s="270"/>
      <c r="BQ269" s="270"/>
      <c r="BR269" s="270"/>
      <c r="BS269" s="270"/>
      <c r="BT269" s="270"/>
      <c r="BU269" s="270"/>
      <c r="BV269" s="270"/>
      <c r="BW269" s="270"/>
      <c r="BX269" s="270"/>
      <c r="BY269" s="270"/>
      <c r="BZ269" s="270"/>
      <c r="CA269" s="270"/>
      <c r="CB269" s="270"/>
      <c r="CC269" s="270"/>
      <c r="CD269" s="270"/>
      <c r="CE269" s="1395"/>
      <c r="CF269" s="1450"/>
      <c r="CG269" s="1450"/>
      <c r="CH269" s="270"/>
      <c r="CI269" s="270"/>
      <c r="CJ269" s="270"/>
      <c r="CK269" s="270"/>
      <c r="CL269" s="270"/>
      <c r="CM269" s="270"/>
    </row>
    <row r="270" spans="1:91" hidden="1" outlineLevel="2" collapsed="1" x14ac:dyDescent="0.2">
      <c r="A270" s="270"/>
      <c r="B270" s="271"/>
      <c r="C270" s="270"/>
      <c r="D270" s="270"/>
      <c r="E270" s="270"/>
      <c r="F270" s="270"/>
      <c r="G270" s="271"/>
      <c r="H270" s="270"/>
      <c r="I270" s="270"/>
      <c r="J270" s="270"/>
      <c r="K270" s="270"/>
      <c r="L270" s="270"/>
      <c r="M270" s="270"/>
      <c r="N270" s="270"/>
      <c r="O270" s="270"/>
      <c r="P270" s="270"/>
      <c r="Q270" s="270"/>
      <c r="R270" s="270"/>
      <c r="S270" s="270"/>
      <c r="T270" s="270"/>
      <c r="U270" s="1019" t="s">
        <v>1728</v>
      </c>
      <c r="V270" s="1117"/>
      <c r="W270" s="1527"/>
      <c r="X270" s="1528"/>
      <c r="Y270" s="1174" t="str">
        <f>IF(G221="","",G221)</f>
        <v>Eq1</v>
      </c>
      <c r="Z270" s="1063" t="str">
        <f>IF(OR(ISNUMBER(Z271),ISNUMBER(Z272),ISNUMBER(Z273),ISNUMBER(Z274)),4-COUNTBLANK(AI271:AI274),"")</f>
        <v/>
      </c>
      <c r="AA270" s="1064" t="s">
        <v>769</v>
      </c>
      <c r="AB270" s="1063" t="str">
        <f>IF(OR(ISNUMBER(Z271),ISNUMBER(Z272),ISNUMBER(Z273),ISNUMBER(Z274)),4-COUNTBLANK(AJ271:AJ274),"")</f>
        <v/>
      </c>
      <c r="AC270" s="1175" t="str">
        <f>IF(G224="","",G224)</f>
        <v>Eq4</v>
      </c>
      <c r="AD270" s="839"/>
      <c r="AE270" s="270" t="str">
        <f>IF(Z270="","",IF(Z270&gt;AB270,Y270,IF(Z270=AB270,IF(NoDrawWithWithdraw,IF(AL270=Y270,AC270,IF(AL270=AC270,Y270,"")),""),AC270)))</f>
        <v/>
      </c>
      <c r="AF270" s="270" t="str">
        <f>IF(Z270="","",IF(Z270=AB270,IF(NoDrawWithWithdraw,IF(AL270=Y270,"",IF(AL270=AC270,"",Y270)),Y270),""))</f>
        <v/>
      </c>
      <c r="AG270" s="270" t="str">
        <f>IF(Z270="","",IF(Z270=AB270,IF(NoDrawWithWithdraw,IF(AL270=Y270,"",IF(AL270=AC270,"",AC270)),AC270),""))</f>
        <v/>
      </c>
      <c r="AH270" s="270" t="str">
        <f>IF(Z270="","",IF(Z270&lt;AB270,Y270,IF(Z270=AB270,IF(NoDrawWithWithdraw,IF(AL270=Y270,Y270,IF(AL270=AC270,AC270,"")),""),AC270)))</f>
        <v/>
      </c>
      <c r="AI270" s="270" t="str">
        <f>IF(Z270="","",SUM(Z271:Z274))</f>
        <v/>
      </c>
      <c r="AJ270" s="270" t="str">
        <f>IF(Z270="","",SUM(AB271:AB274))</f>
        <v/>
      </c>
      <c r="AK270" s="270" t="str">
        <f>CONCATENATE(AE270,AH270)</f>
        <v/>
      </c>
      <c r="AL270" s="270" t="str">
        <f>IF(COUNTIF(Y271:Y274,WithdrawLabel)&gt;COUNTIF(AC271:AC274,WithdrawLabel),Y270,IF(COUNTIF(AC271:AC274,WithdrawLabel)&gt;COUNTIF(Y271:Y274,WithdrawLabel),AC270,""))</f>
        <v/>
      </c>
      <c r="AM270" s="270"/>
      <c r="AN270" s="270"/>
      <c r="AO270" s="575"/>
      <c r="AP270" s="270"/>
      <c r="AQ270" s="270"/>
      <c r="AR270" s="270"/>
      <c r="AS270" s="270"/>
      <c r="AT270" s="270"/>
      <c r="AU270" s="270"/>
      <c r="AV270" s="270"/>
      <c r="AW270" s="270"/>
      <c r="AX270" s="270"/>
      <c r="AY270" s="270"/>
      <c r="AZ270" s="270"/>
      <c r="BA270" s="270"/>
      <c r="BB270" s="270"/>
      <c r="BC270" s="270"/>
      <c r="BD270" s="270"/>
      <c r="BE270" s="270"/>
      <c r="BF270" s="270"/>
      <c r="BG270" s="270"/>
      <c r="BH270" s="270"/>
      <c r="BI270" s="270"/>
      <c r="BJ270" s="270"/>
      <c r="BK270" s="270"/>
      <c r="BL270" s="270"/>
      <c r="BM270" s="270"/>
      <c r="BN270" s="270"/>
      <c r="BO270" s="270"/>
      <c r="BP270" s="270"/>
      <c r="BQ270" s="270"/>
      <c r="BR270" s="270"/>
      <c r="BS270" s="270"/>
      <c r="BT270" s="270"/>
      <c r="BU270" s="270"/>
      <c r="BV270" s="270"/>
      <c r="BW270" s="270"/>
      <c r="BX270" s="270"/>
      <c r="BY270" s="270"/>
      <c r="BZ270" s="270"/>
      <c r="CA270" s="270"/>
      <c r="CB270" s="270"/>
      <c r="CC270" s="270"/>
      <c r="CD270" s="270"/>
      <c r="CE270" s="1395"/>
      <c r="CF270" s="1450"/>
      <c r="CG270" s="1450"/>
      <c r="CH270" s="270"/>
      <c r="CI270" s="270"/>
      <c r="CJ270" s="270"/>
      <c r="CK270" s="270"/>
      <c r="CL270" s="270"/>
      <c r="CM270" s="270"/>
    </row>
    <row r="271" spans="1:91" ht="13.5" hidden="1" outlineLevel="3" thickBot="1" x14ac:dyDescent="0.25">
      <c r="A271" s="270"/>
      <c r="B271" s="271"/>
      <c r="C271" s="12"/>
      <c r="D271" s="1071"/>
      <c r="E271" s="1071"/>
      <c r="F271" s="1071"/>
      <c r="G271" s="1172"/>
      <c r="H271" s="271"/>
      <c r="I271" s="270"/>
      <c r="J271" s="270"/>
      <c r="K271" s="270"/>
      <c r="L271" s="270"/>
      <c r="M271" s="270"/>
      <c r="N271" s="270"/>
      <c r="O271" s="270"/>
      <c r="P271" s="1072"/>
      <c r="Q271" s="270"/>
      <c r="R271" s="270"/>
      <c r="S271" s="1072"/>
      <c r="T271" s="270"/>
      <c r="U271" s="1019"/>
      <c r="V271" s="1118"/>
      <c r="W271" s="1177"/>
      <c r="X271" s="1186"/>
      <c r="Y271" s="1141"/>
      <c r="Z271" s="492"/>
      <c r="AA271" s="493" t="s">
        <v>769</v>
      </c>
      <c r="AB271" s="1069"/>
      <c r="AC271" s="1142"/>
      <c r="AD271" s="839"/>
      <c r="AE271" s="270" t="str">
        <f>IF(Z271="","",IF(Z271&gt;AB271,Y271,IF(Z271=AB271,"",AC271)))</f>
        <v/>
      </c>
      <c r="AF271" s="270" t="str">
        <f>IF(Z271="","",IF(Z271=AB271,Y271,""))</f>
        <v/>
      </c>
      <c r="AG271" s="270" t="str">
        <f>IF(Z271="","",IF(Z271=AB271,AC271,""))</f>
        <v/>
      </c>
      <c r="AH271" s="270" t="str">
        <f>IF(Z271="","",IF(Z271&lt;AB271,Y271,IF(Z271=AB271,"",AC271)))</f>
        <v/>
      </c>
      <c r="AI271" s="270" t="str">
        <f>IF(Z271="","",IF(Z271&gt;AB271,Y270,""))</f>
        <v/>
      </c>
      <c r="AJ271" s="270" t="str">
        <f>IF(Z271="","",IF(Z271&lt;AB271,AC270,""))</f>
        <v/>
      </c>
      <c r="AK271" s="270" t="str">
        <f>CONCATENATE(AE271,AH271)</f>
        <v/>
      </c>
      <c r="AL271" s="270"/>
      <c r="AM271" s="270"/>
      <c r="AN271" s="270"/>
      <c r="AO271" s="271"/>
      <c r="AP271" s="270"/>
      <c r="AQ271" s="270"/>
      <c r="AR271" s="270"/>
      <c r="AS271" s="270"/>
      <c r="AT271" s="270"/>
      <c r="AU271" s="270"/>
      <c r="AV271" s="270"/>
      <c r="AW271" s="270"/>
      <c r="AX271" s="270"/>
      <c r="AY271" s="1072"/>
      <c r="AZ271" s="270"/>
      <c r="BA271" s="270"/>
      <c r="BB271" s="1072"/>
      <c r="BC271" s="270"/>
      <c r="BD271" s="270"/>
      <c r="BE271" s="270"/>
      <c r="BF271" s="270"/>
      <c r="BG271" s="270"/>
      <c r="BH271" s="270"/>
      <c r="BI271" s="270"/>
      <c r="BJ271" s="270"/>
      <c r="BK271" s="270"/>
      <c r="BL271" s="270"/>
      <c r="BM271" s="270"/>
      <c r="BN271" s="270"/>
      <c r="BO271" s="270"/>
      <c r="BP271" s="270"/>
      <c r="BQ271" s="270"/>
      <c r="BR271" s="270"/>
      <c r="BS271" s="270"/>
      <c r="BT271" s="270"/>
      <c r="BU271" s="270"/>
      <c r="BV271" s="270"/>
      <c r="BW271" s="270"/>
      <c r="BX271" s="270"/>
      <c r="BY271" s="270"/>
      <c r="BZ271" s="270"/>
      <c r="CA271" s="270"/>
      <c r="CB271" s="270"/>
      <c r="CC271" s="270"/>
      <c r="CD271" s="270"/>
      <c r="CE271" s="1395"/>
      <c r="CF271" s="1450"/>
      <c r="CG271" s="1450"/>
      <c r="CH271" s="270"/>
      <c r="CI271" s="270"/>
      <c r="CJ271" s="270"/>
      <c r="CK271" s="270"/>
      <c r="CL271" s="270"/>
      <c r="CM271" s="270"/>
    </row>
    <row r="272" spans="1:91" ht="13.5" hidden="1" outlineLevel="3" thickBot="1" x14ac:dyDescent="0.25">
      <c r="A272" s="270"/>
      <c r="B272" s="271"/>
      <c r="C272" s="12"/>
      <c r="D272" s="1071"/>
      <c r="E272" s="1071"/>
      <c r="F272" s="1071"/>
      <c r="G272" s="1172"/>
      <c r="H272" s="271"/>
      <c r="I272" s="270"/>
      <c r="J272" s="270"/>
      <c r="K272" s="270"/>
      <c r="L272" s="270"/>
      <c r="M272" s="270"/>
      <c r="N272" s="270"/>
      <c r="O272" s="270"/>
      <c r="P272" s="1072"/>
      <c r="Q272" s="270"/>
      <c r="R272" s="270"/>
      <c r="S272" s="1072"/>
      <c r="T272" s="270"/>
      <c r="U272" s="1019"/>
      <c r="V272" s="1118"/>
      <c r="W272" s="1177"/>
      <c r="X272" s="1186"/>
      <c r="Y272" s="1141"/>
      <c r="Z272" s="492"/>
      <c r="AA272" s="493" t="s">
        <v>769</v>
      </c>
      <c r="AB272" s="1069"/>
      <c r="AC272" s="1142"/>
      <c r="AD272" s="839"/>
      <c r="AE272" s="270" t="str">
        <f>IF(Z272="","",IF(Z272&gt;AB272,Y272,IF(Z272=AB272,"",AC272)))</f>
        <v/>
      </c>
      <c r="AF272" s="270" t="str">
        <f>IF(Z272="","",IF(Z272=AB272,Y272,""))</f>
        <v/>
      </c>
      <c r="AG272" s="270" t="str">
        <f>IF(Z272="","",IF(Z272=AB272,AC272,""))</f>
        <v/>
      </c>
      <c r="AH272" s="270" t="str">
        <f>IF(Z272="","",IF(Z272&lt;AB272,Y272,IF(Z272=AB272,"",AC272)))</f>
        <v/>
      </c>
      <c r="AI272" s="270" t="str">
        <f>IF(Z272="","",IF(Z272&gt;AB272,Y270,""))</f>
        <v/>
      </c>
      <c r="AJ272" s="270" t="str">
        <f>IF(Z272="","",IF(Z272&lt;AB272,AC270,""))</f>
        <v/>
      </c>
      <c r="AK272" s="270" t="str">
        <f>CONCATENATE(AE272,AH272)</f>
        <v/>
      </c>
      <c r="AL272" s="270"/>
      <c r="AM272" s="270"/>
      <c r="AN272" s="270"/>
      <c r="AO272" s="271"/>
      <c r="AP272" s="270"/>
      <c r="AQ272" s="270"/>
      <c r="AR272" s="270"/>
      <c r="AS272" s="270"/>
      <c r="AT272" s="270"/>
      <c r="AU272" s="270"/>
      <c r="AV272" s="270"/>
      <c r="AW272" s="270"/>
      <c r="AX272" s="270"/>
      <c r="AY272" s="1072"/>
      <c r="AZ272" s="270"/>
      <c r="BA272" s="270"/>
      <c r="BB272" s="1072"/>
      <c r="BC272" s="270"/>
      <c r="BD272" s="270"/>
      <c r="BE272" s="270"/>
      <c r="BF272" s="270"/>
      <c r="BG272" s="270"/>
      <c r="BH272" s="270"/>
      <c r="BI272" s="270"/>
      <c r="BJ272" s="270"/>
      <c r="BK272" s="270"/>
      <c r="BL272" s="270"/>
      <c r="BM272" s="270"/>
      <c r="BN272" s="270"/>
      <c r="BO272" s="270"/>
      <c r="BP272" s="270"/>
      <c r="BQ272" s="270"/>
      <c r="BR272" s="270"/>
      <c r="BS272" s="270"/>
      <c r="BT272" s="270"/>
      <c r="BU272" s="270"/>
      <c r="BV272" s="270"/>
      <c r="BW272" s="270"/>
      <c r="BX272" s="270"/>
      <c r="BY272" s="270"/>
      <c r="BZ272" s="270"/>
      <c r="CA272" s="270"/>
      <c r="CB272" s="270"/>
      <c r="CC272" s="270"/>
      <c r="CD272" s="270"/>
      <c r="CE272" s="1395"/>
      <c r="CF272" s="1450"/>
      <c r="CG272" s="1450"/>
      <c r="CH272" s="270"/>
      <c r="CI272" s="270"/>
      <c r="CJ272" s="270"/>
      <c r="CK272" s="270"/>
      <c r="CL272" s="270"/>
      <c r="CM272" s="270"/>
    </row>
    <row r="273" spans="1:91" ht="13.5" hidden="1" outlineLevel="3" thickBot="1" x14ac:dyDescent="0.25">
      <c r="A273" s="270"/>
      <c r="B273" s="271"/>
      <c r="C273" s="12"/>
      <c r="D273" s="1071"/>
      <c r="E273" s="1071"/>
      <c r="F273" s="1071"/>
      <c r="G273" s="1172"/>
      <c r="H273" s="271"/>
      <c r="I273" s="270"/>
      <c r="J273" s="270"/>
      <c r="K273" s="270"/>
      <c r="L273" s="270"/>
      <c r="M273" s="270"/>
      <c r="N273" s="270"/>
      <c r="O273" s="270"/>
      <c r="P273" s="1072"/>
      <c r="Q273" s="270"/>
      <c r="R273" s="270"/>
      <c r="S273" s="1072"/>
      <c r="T273" s="270"/>
      <c r="U273" s="1019"/>
      <c r="V273" s="1118"/>
      <c r="W273" s="1177"/>
      <c r="X273" s="1186"/>
      <c r="Y273" s="1141"/>
      <c r="Z273" s="492"/>
      <c r="AA273" s="493" t="s">
        <v>769</v>
      </c>
      <c r="AB273" s="1069"/>
      <c r="AC273" s="1142"/>
      <c r="AD273" s="839"/>
      <c r="AE273" s="270" t="str">
        <f>IF(Z273="","",IF(Z273&gt;AB273,Y273,IF(Z273=AB273,"",AC273)))</f>
        <v/>
      </c>
      <c r="AF273" s="270" t="str">
        <f>IF(Z273="","",IF(Z273=AB273,Y273,""))</f>
        <v/>
      </c>
      <c r="AG273" s="270" t="str">
        <f>IF(Z273="","",IF(Z273=AB273,AC273,""))</f>
        <v/>
      </c>
      <c r="AH273" s="270" t="str">
        <f>IF(Z273="","",IF(Z273&lt;AB273,Y273,IF(Z273=AB273,"",AC273)))</f>
        <v/>
      </c>
      <c r="AI273" s="270" t="str">
        <f>IF(Z273="","",IF(Z273&gt;AB273,Y270,""))</f>
        <v/>
      </c>
      <c r="AJ273" s="270" t="str">
        <f>IF(Z273="","",IF(Z273&lt;AB273,AC270,""))</f>
        <v/>
      </c>
      <c r="AK273" s="270" t="str">
        <f>CONCATENATE(AE273,AH273)</f>
        <v/>
      </c>
      <c r="AL273" s="270"/>
      <c r="AM273" s="270"/>
      <c r="AN273" s="270"/>
      <c r="AO273" s="271"/>
      <c r="AP273" s="270"/>
      <c r="AQ273" s="270"/>
      <c r="AR273" s="270"/>
      <c r="AS273" s="270"/>
      <c r="AT273" s="270"/>
      <c r="AU273" s="270"/>
      <c r="AV273" s="270"/>
      <c r="AW273" s="270"/>
      <c r="AX273" s="270"/>
      <c r="AY273" s="1072"/>
      <c r="AZ273" s="270"/>
      <c r="BA273" s="270"/>
      <c r="BB273" s="1072"/>
      <c r="BC273" s="270"/>
      <c r="BD273" s="270"/>
      <c r="BE273" s="270"/>
      <c r="BF273" s="270"/>
      <c r="BG273" s="270"/>
      <c r="BH273" s="270"/>
      <c r="BI273" s="270"/>
      <c r="BJ273" s="270"/>
      <c r="BK273" s="270"/>
      <c r="BL273" s="270"/>
      <c r="BM273" s="270"/>
      <c r="BN273" s="270"/>
      <c r="BO273" s="270"/>
      <c r="BP273" s="270"/>
      <c r="BQ273" s="270"/>
      <c r="BR273" s="270"/>
      <c r="BS273" s="270"/>
      <c r="BT273" s="270"/>
      <c r="BU273" s="270"/>
      <c r="BV273" s="270"/>
      <c r="BW273" s="270"/>
      <c r="BX273" s="270"/>
      <c r="BY273" s="270"/>
      <c r="BZ273" s="270"/>
      <c r="CA273" s="270"/>
      <c r="CB273" s="270"/>
      <c r="CC273" s="270"/>
      <c r="CD273" s="270"/>
      <c r="CE273" s="1395"/>
      <c r="CF273" s="1450"/>
      <c r="CG273" s="1450"/>
      <c r="CH273" s="270"/>
      <c r="CI273" s="270"/>
      <c r="CJ273" s="270"/>
      <c r="CK273" s="270"/>
      <c r="CL273" s="270"/>
      <c r="CM273" s="270"/>
    </row>
    <row r="274" spans="1:91" ht="13.5" hidden="1" outlineLevel="3" thickBot="1" x14ac:dyDescent="0.25">
      <c r="A274" s="270"/>
      <c r="B274" s="271"/>
      <c r="C274" s="12"/>
      <c r="D274" s="1071"/>
      <c r="E274" s="1071"/>
      <c r="F274" s="1071"/>
      <c r="G274" s="1172"/>
      <c r="H274" s="271"/>
      <c r="I274" s="270"/>
      <c r="J274" s="270"/>
      <c r="K274" s="270"/>
      <c r="L274" s="270"/>
      <c r="M274" s="270"/>
      <c r="N274" s="270"/>
      <c r="O274" s="270"/>
      <c r="P274" s="1072"/>
      <c r="Q274" s="270"/>
      <c r="R274" s="270"/>
      <c r="S274" s="1072"/>
      <c r="T274" s="270"/>
      <c r="U274" s="1019"/>
      <c r="V274" s="1118"/>
      <c r="W274" s="1177"/>
      <c r="X274" s="1186"/>
      <c r="Y274" s="1141"/>
      <c r="Z274" s="492"/>
      <c r="AA274" s="493" t="s">
        <v>769</v>
      </c>
      <c r="AB274" s="1069"/>
      <c r="AC274" s="1142"/>
      <c r="AD274" s="839"/>
      <c r="AE274" s="270" t="str">
        <f>IF(Z274="","",IF(Z274&gt;AB274,Y274,IF(Z274=AB274,"",AC274)))</f>
        <v/>
      </c>
      <c r="AF274" s="270" t="str">
        <f>IF(Z274="","",IF(Z274=AB274,Y274,""))</f>
        <v/>
      </c>
      <c r="AG274" s="270" t="str">
        <f>IF(Z274="","",IF(Z274=AB274,AC274,""))</f>
        <v/>
      </c>
      <c r="AH274" s="270" t="str">
        <f>IF(Z274="","",IF(Z274&lt;AB274,Y274,IF(Z274=AB274,"",AC274)))</f>
        <v/>
      </c>
      <c r="AI274" s="270" t="str">
        <f>IF(Z274="","",IF(Z274&gt;AB274,Y270,""))</f>
        <v/>
      </c>
      <c r="AJ274" s="270" t="str">
        <f>IF(Z274="","",IF(Z274&lt;AB274,AC270,""))</f>
        <v/>
      </c>
      <c r="AK274" s="270" t="str">
        <f>CONCATENATE(AE274,AH274)</f>
        <v/>
      </c>
      <c r="AL274" s="270"/>
      <c r="AM274" s="270"/>
      <c r="AN274" s="270"/>
      <c r="AO274" s="271"/>
      <c r="AP274" s="270"/>
      <c r="AQ274" s="270"/>
      <c r="AR274" s="270"/>
      <c r="AS274" s="270"/>
      <c r="AT274" s="270"/>
      <c r="AU274" s="270"/>
      <c r="AV274" s="270"/>
      <c r="AW274" s="270"/>
      <c r="AX274" s="270"/>
      <c r="AY274" s="1072"/>
      <c r="AZ274" s="270"/>
      <c r="BA274" s="270"/>
      <c r="BB274" s="1072"/>
      <c r="BC274" s="270"/>
      <c r="BD274" s="270"/>
      <c r="BE274" s="270"/>
      <c r="BF274" s="270"/>
      <c r="BG274" s="270"/>
      <c r="BH274" s="270"/>
      <c r="BI274" s="270"/>
      <c r="BJ274" s="270"/>
      <c r="BK274" s="270"/>
      <c r="BL274" s="270"/>
      <c r="BM274" s="270"/>
      <c r="BN274" s="270"/>
      <c r="BO274" s="270"/>
      <c r="BP274" s="270"/>
      <c r="BQ274" s="270"/>
      <c r="BR274" s="270"/>
      <c r="BS274" s="270"/>
      <c r="BT274" s="270"/>
      <c r="BU274" s="270"/>
      <c r="BV274" s="270"/>
      <c r="BW274" s="270"/>
      <c r="BX274" s="270"/>
      <c r="BY274" s="270"/>
      <c r="BZ274" s="270"/>
      <c r="CA274" s="270"/>
      <c r="CB274" s="270"/>
      <c r="CC274" s="270"/>
      <c r="CD274" s="270"/>
      <c r="CE274" s="1395"/>
      <c r="CF274" s="1450"/>
      <c r="CG274" s="1450"/>
      <c r="CH274" s="270"/>
      <c r="CI274" s="270"/>
      <c r="CJ274" s="270"/>
      <c r="CK274" s="270"/>
      <c r="CL274" s="270"/>
      <c r="CM274" s="270"/>
    </row>
    <row r="275" spans="1:91" ht="13.5" hidden="1" outlineLevel="3" thickBot="1" x14ac:dyDescent="0.25">
      <c r="A275" s="270"/>
      <c r="B275" s="271"/>
      <c r="C275" s="12"/>
      <c r="D275" s="1071"/>
      <c r="E275" s="1071"/>
      <c r="F275" s="1071"/>
      <c r="G275" s="626"/>
      <c r="H275" s="271"/>
      <c r="I275" s="270"/>
      <c r="J275" s="270"/>
      <c r="K275" s="270"/>
      <c r="L275" s="270"/>
      <c r="M275" s="270"/>
      <c r="N275" s="270"/>
      <c r="O275" s="270"/>
      <c r="P275" s="1072"/>
      <c r="Q275" s="270"/>
      <c r="R275" s="270"/>
      <c r="S275" s="1072"/>
      <c r="T275" s="270"/>
      <c r="U275" s="1019"/>
      <c r="V275" s="1073"/>
      <c r="W275" s="1074"/>
      <c r="X275" s="1075" t="str">
        <f>N_Substitute</f>
        <v>Remplaçant</v>
      </c>
      <c r="Y275" s="1141"/>
      <c r="Z275" s="492"/>
      <c r="AA275" s="1076"/>
      <c r="AB275" s="1069"/>
      <c r="AC275" s="1142"/>
      <c r="AD275" s="839"/>
      <c r="AE275" s="270"/>
      <c r="AF275" s="270"/>
      <c r="AG275" s="270"/>
      <c r="AH275" s="270"/>
      <c r="AI275" s="270"/>
      <c r="AJ275" s="270"/>
      <c r="AK275" s="270"/>
      <c r="AL275" s="270"/>
      <c r="AM275" s="270"/>
      <c r="AN275" s="270"/>
      <c r="AO275" s="271"/>
      <c r="AP275" s="270"/>
      <c r="AQ275" s="270"/>
      <c r="AR275" s="270"/>
      <c r="AS275" s="270"/>
      <c r="AT275" s="270"/>
      <c r="AU275" s="270"/>
      <c r="AV275" s="270"/>
      <c r="AW275" s="270"/>
      <c r="AX275" s="270"/>
      <c r="AY275" s="1072"/>
      <c r="AZ275" s="270"/>
      <c r="BA275" s="270"/>
      <c r="BB275" s="1072"/>
      <c r="BC275" s="270"/>
      <c r="BD275" s="270"/>
      <c r="BE275" s="270"/>
      <c r="BF275" s="270"/>
      <c r="BG275" s="270"/>
      <c r="BH275" s="270"/>
      <c r="BI275" s="270"/>
      <c r="BJ275" s="270"/>
      <c r="BK275" s="270"/>
      <c r="BL275" s="270"/>
      <c r="BM275" s="270"/>
      <c r="BN275" s="270"/>
      <c r="BO275" s="270"/>
      <c r="BP275" s="270"/>
      <c r="BQ275" s="270"/>
      <c r="BR275" s="270"/>
      <c r="BS275" s="270"/>
      <c r="BT275" s="270"/>
      <c r="BU275" s="270"/>
      <c r="BV275" s="270"/>
      <c r="BW275" s="270"/>
      <c r="BX275" s="270"/>
      <c r="BY275" s="270"/>
      <c r="BZ275" s="270"/>
      <c r="CA275" s="270"/>
      <c r="CB275" s="270"/>
      <c r="CC275" s="270"/>
      <c r="CD275" s="270"/>
      <c r="CE275" s="1395"/>
      <c r="CF275" s="1450"/>
      <c r="CG275" s="1450"/>
      <c r="CH275" s="270"/>
      <c r="CI275" s="270"/>
      <c r="CJ275" s="270"/>
      <c r="CK275" s="270"/>
      <c r="CL275" s="270"/>
      <c r="CM275" s="270"/>
    </row>
    <row r="276" spans="1:91" ht="13.5" hidden="1" outlineLevel="3" thickBot="1" x14ac:dyDescent="0.25">
      <c r="A276" s="270"/>
      <c r="B276" s="271"/>
      <c r="C276" s="12"/>
      <c r="D276" s="1071"/>
      <c r="E276" s="1071"/>
      <c r="F276" s="1071"/>
      <c r="G276" s="626"/>
      <c r="H276" s="271"/>
      <c r="I276" s="270"/>
      <c r="J276" s="270"/>
      <c r="K276" s="270"/>
      <c r="L276" s="270"/>
      <c r="M276" s="270"/>
      <c r="N276" s="270"/>
      <c r="O276" s="270"/>
      <c r="P276" s="1072"/>
      <c r="Q276" s="270"/>
      <c r="R276" s="270"/>
      <c r="S276" s="1072"/>
      <c r="T276" s="270"/>
      <c r="U276" s="1019"/>
      <c r="V276" s="1119"/>
      <c r="W276" s="1120"/>
      <c r="X276" s="1075" t="str">
        <f>N_Substitute</f>
        <v>Remplaçant</v>
      </c>
      <c r="Y276" s="1141"/>
      <c r="Z276" s="492"/>
      <c r="AA276" s="1121"/>
      <c r="AB276" s="1069"/>
      <c r="AC276" s="1142"/>
      <c r="AD276" s="839"/>
      <c r="AE276" s="270"/>
      <c r="AF276" s="270"/>
      <c r="AG276" s="270"/>
      <c r="AH276" s="270"/>
      <c r="AI276" s="270"/>
      <c r="AJ276" s="270"/>
      <c r="AK276" s="270"/>
      <c r="AL276" s="270"/>
      <c r="AM276" s="270"/>
      <c r="AN276" s="270"/>
      <c r="AO276" s="271"/>
      <c r="AP276" s="270"/>
      <c r="AQ276" s="270"/>
      <c r="AR276" s="270"/>
      <c r="AS276" s="270"/>
      <c r="AT276" s="270"/>
      <c r="AU276" s="270"/>
      <c r="AV276" s="270"/>
      <c r="AW276" s="270"/>
      <c r="AX276" s="270"/>
      <c r="AY276" s="1072"/>
      <c r="AZ276" s="270"/>
      <c r="BA276" s="270"/>
      <c r="BB276" s="1072"/>
      <c r="BC276" s="270"/>
      <c r="BD276" s="270"/>
      <c r="BE276" s="270"/>
      <c r="BF276" s="270"/>
      <c r="BG276" s="270"/>
      <c r="BH276" s="270"/>
      <c r="BI276" s="270"/>
      <c r="BJ276" s="270"/>
      <c r="BK276" s="270"/>
      <c r="BL276" s="270"/>
      <c r="BM276" s="270"/>
      <c r="BN276" s="270"/>
      <c r="BO276" s="270"/>
      <c r="BP276" s="270"/>
      <c r="BQ276" s="270"/>
      <c r="BR276" s="270"/>
      <c r="BS276" s="270"/>
      <c r="BT276" s="270"/>
      <c r="BU276" s="270"/>
      <c r="BV276" s="270"/>
      <c r="BW276" s="270"/>
      <c r="BX276" s="270"/>
      <c r="BY276" s="270"/>
      <c r="BZ276" s="270"/>
      <c r="CA276" s="270"/>
      <c r="CB276" s="270"/>
      <c r="CC276" s="270"/>
      <c r="CD276" s="270"/>
      <c r="CE276" s="1395"/>
      <c r="CF276" s="1450"/>
      <c r="CG276" s="1450"/>
      <c r="CH276" s="270"/>
      <c r="CI276" s="270"/>
      <c r="CJ276" s="270"/>
      <c r="CK276" s="270"/>
      <c r="CL276" s="270"/>
      <c r="CM276" s="270"/>
    </row>
    <row r="277" spans="1:91" hidden="1" outlineLevel="2" collapsed="1" x14ac:dyDescent="0.2">
      <c r="A277" s="270"/>
      <c r="B277" s="271"/>
      <c r="C277" s="270"/>
      <c r="D277" s="270"/>
      <c r="E277" s="270"/>
      <c r="F277" s="270"/>
      <c r="G277" s="271"/>
      <c r="H277" s="270"/>
      <c r="I277" s="270"/>
      <c r="J277" s="270"/>
      <c r="K277" s="270"/>
      <c r="L277" s="270"/>
      <c r="M277" s="270"/>
      <c r="N277" s="270"/>
      <c r="O277" s="270"/>
      <c r="P277" s="270"/>
      <c r="Q277" s="270"/>
      <c r="R277" s="270"/>
      <c r="S277" s="270"/>
      <c r="T277" s="270"/>
      <c r="U277" s="1019" t="s">
        <v>1728</v>
      </c>
      <c r="V277" s="1122"/>
      <c r="W277" s="1177"/>
      <c r="X277" s="1186"/>
      <c r="Y277" s="1180" t="str">
        <f>IF(G225="","",G225)</f>
        <v>Eq5</v>
      </c>
      <c r="Z277" s="1123" t="str">
        <f>IF(OR(ISNUMBER(Z278),ISNUMBER(Z279),ISNUMBER(Z280),ISNUMBER(Z281)),4-COUNTBLANK(AI278:AI281),"")</f>
        <v/>
      </c>
      <c r="AA277" s="1124" t="s">
        <v>769</v>
      </c>
      <c r="AB277" s="1125" t="str">
        <f>IF(OR(ISNUMBER(Z278),ISNUMBER(Z279),ISNUMBER(Z280),ISNUMBER(Z281)),4-COUNTBLANK(AJ278:AJ281),"")</f>
        <v/>
      </c>
      <c r="AC277" s="1181" t="str">
        <f>IF(G222="","",G222)</f>
        <v>Eq2</v>
      </c>
      <c r="AD277" s="839"/>
      <c r="AE277" s="270" t="str">
        <f>IF(Z277="","",IF(Z277&gt;AB277,Y277,IF(Z277=AB277,IF(NoDrawWithWithdraw,IF(AL277=Y277,AC277,IF(AL277=AC277,Y277,"")),""),AC277)))</f>
        <v/>
      </c>
      <c r="AF277" s="270" t="str">
        <f>IF(Z277="","",IF(Z277=AB277,IF(NoDrawWithWithdraw,IF(AL277=Y277,"",IF(AL277=AC277,"",Y277)),Y277),""))</f>
        <v/>
      </c>
      <c r="AG277" s="270" t="str">
        <f>IF(Z277="","",IF(Z277=AB277,IF(NoDrawWithWithdraw,IF(AL277=Y277,"",IF(AL277=AC277,"",AC277)),AC277),""))</f>
        <v/>
      </c>
      <c r="AH277" s="270" t="str">
        <f>IF(Z277="","",IF(Z277&lt;AB277,Y277,IF(Z277=AB277,IF(NoDrawWithWithdraw,IF(AL277=Y277,Y277,IF(AL277=AC277,AC277,"")),""),AC277)))</f>
        <v/>
      </c>
      <c r="AI277" s="270" t="str">
        <f>IF(Z277="","",SUM(Z278:Z281))</f>
        <v/>
      </c>
      <c r="AJ277" s="270" t="str">
        <f>IF(Z277="","",SUM(AB278:AB281))</f>
        <v/>
      </c>
      <c r="AK277" s="270" t="str">
        <f>CONCATENATE(AE277,AH277)</f>
        <v/>
      </c>
      <c r="AL277" s="270" t="str">
        <f>IF(COUNTIF(Y278:Y281,WithdrawLabel)&gt;COUNTIF(AC278:AC281,WithdrawLabel),Y277,IF(COUNTIF(AC278:AC281,WithdrawLabel)&gt;COUNTIF(Y278:Y281,WithdrawLabel),AC277,""))</f>
        <v/>
      </c>
      <c r="AM277" s="270"/>
      <c r="AN277" s="270"/>
      <c r="AO277" s="575"/>
      <c r="AP277" s="270"/>
      <c r="AQ277" s="270"/>
      <c r="AR277" s="270"/>
      <c r="AS277" s="270"/>
      <c r="AT277" s="270"/>
      <c r="AU277" s="270"/>
      <c r="AV277" s="270"/>
      <c r="AW277" s="270"/>
      <c r="AX277" s="270"/>
      <c r="AY277" s="270"/>
      <c r="AZ277" s="270"/>
      <c r="BA277" s="270"/>
      <c r="BB277" s="270"/>
      <c r="BC277" s="270"/>
      <c r="BD277" s="270"/>
      <c r="BE277" s="270"/>
      <c r="BF277" s="270"/>
      <c r="BG277" s="270"/>
      <c r="BH277" s="270"/>
      <c r="BI277" s="270"/>
      <c r="BJ277" s="270"/>
      <c r="BK277" s="270"/>
      <c r="BL277" s="270"/>
      <c r="BM277" s="270"/>
      <c r="BN277" s="270"/>
      <c r="BO277" s="270"/>
      <c r="BP277" s="270"/>
      <c r="BQ277" s="270"/>
      <c r="BR277" s="270"/>
      <c r="BS277" s="270"/>
      <c r="BT277" s="270"/>
      <c r="BU277" s="270"/>
      <c r="BV277" s="270"/>
      <c r="BW277" s="270"/>
      <c r="BX277" s="270"/>
      <c r="BY277" s="270"/>
      <c r="BZ277" s="270"/>
      <c r="CA277" s="270"/>
      <c r="CB277" s="270"/>
      <c r="CC277" s="270"/>
      <c r="CD277" s="270"/>
      <c r="CE277" s="1395"/>
      <c r="CF277" s="1450"/>
      <c r="CG277" s="1450"/>
      <c r="CH277" s="270"/>
      <c r="CI277" s="270"/>
      <c r="CJ277" s="270"/>
      <c r="CK277" s="270"/>
      <c r="CL277" s="270"/>
      <c r="CM277" s="270"/>
    </row>
    <row r="278" spans="1:91" ht="13.5" hidden="1" outlineLevel="3" thickBot="1" x14ac:dyDescent="0.25">
      <c r="A278" s="270"/>
      <c r="B278" s="271"/>
      <c r="C278" s="12"/>
      <c r="D278" s="1071"/>
      <c r="E278" s="1071"/>
      <c r="F278" s="1071"/>
      <c r="G278" s="1172"/>
      <c r="H278" s="271"/>
      <c r="I278" s="270"/>
      <c r="J278" s="270"/>
      <c r="K278" s="270"/>
      <c r="L278" s="270"/>
      <c r="M278" s="270"/>
      <c r="N278" s="270"/>
      <c r="O278" s="270"/>
      <c r="P278" s="1072"/>
      <c r="Q278" s="270"/>
      <c r="R278" s="270"/>
      <c r="S278" s="1072"/>
      <c r="T278" s="270"/>
      <c r="U278" s="1019"/>
      <c r="V278" s="1118"/>
      <c r="W278" s="1177"/>
      <c r="X278" s="1186"/>
      <c r="Y278" s="1141"/>
      <c r="Z278" s="492"/>
      <c r="AA278" s="493" t="s">
        <v>769</v>
      </c>
      <c r="AB278" s="1069"/>
      <c r="AC278" s="1142"/>
      <c r="AD278" s="839"/>
      <c r="AE278" s="270" t="str">
        <f>IF(Z278="","",IF(Z278&gt;AB278,Y278,IF(Z278=AB278,"",AC278)))</f>
        <v/>
      </c>
      <c r="AF278" s="270" t="str">
        <f>IF(Z278="","",IF(Z278=AB278,Y278,""))</f>
        <v/>
      </c>
      <c r="AG278" s="270" t="str">
        <f>IF(Z278="","",IF(Z278=AB278,AC278,""))</f>
        <v/>
      </c>
      <c r="AH278" s="270" t="str">
        <f>IF(Z278="","",IF(Z278&lt;AB278,Y278,IF(Z278=AB278,"",AC278)))</f>
        <v/>
      </c>
      <c r="AI278" s="270" t="str">
        <f>IF(Z278="","",IF(Z278&gt;AB278,Y277,""))</f>
        <v/>
      </c>
      <c r="AJ278" s="270" t="str">
        <f>IF(Z278="","",IF(Z278&lt;AB278,AC277,""))</f>
        <v/>
      </c>
      <c r="AK278" s="270" t="str">
        <f>CONCATENATE(AE278,AH278)</f>
        <v/>
      </c>
      <c r="AL278" s="270"/>
      <c r="AM278" s="270"/>
      <c r="AN278" s="270"/>
      <c r="AO278" s="271"/>
      <c r="AP278" s="270"/>
      <c r="AQ278" s="270"/>
      <c r="AR278" s="270"/>
      <c r="AS278" s="270"/>
      <c r="AT278" s="270"/>
      <c r="AU278" s="270"/>
      <c r="AV278" s="270"/>
      <c r="AW278" s="270"/>
      <c r="AX278" s="270"/>
      <c r="AY278" s="1072"/>
      <c r="AZ278" s="270"/>
      <c r="BA278" s="270"/>
      <c r="BB278" s="1072"/>
      <c r="BC278" s="270"/>
      <c r="BD278" s="270"/>
      <c r="BE278" s="270"/>
      <c r="BF278" s="270"/>
      <c r="BG278" s="270"/>
      <c r="BH278" s="270"/>
      <c r="BI278" s="270"/>
      <c r="BJ278" s="270"/>
      <c r="BK278" s="270"/>
      <c r="BL278" s="270"/>
      <c r="BM278" s="270"/>
      <c r="BN278" s="270"/>
      <c r="BO278" s="270"/>
      <c r="BP278" s="270"/>
      <c r="BQ278" s="270"/>
      <c r="BR278" s="270"/>
      <c r="BS278" s="270"/>
      <c r="BT278" s="270"/>
      <c r="BU278" s="270"/>
      <c r="BV278" s="270"/>
      <c r="BW278" s="270"/>
      <c r="BX278" s="270"/>
      <c r="BY278" s="270"/>
      <c r="BZ278" s="270"/>
      <c r="CA278" s="270"/>
      <c r="CB278" s="270"/>
      <c r="CC278" s="270"/>
      <c r="CD278" s="270"/>
      <c r="CE278" s="1395"/>
      <c r="CF278" s="1450"/>
      <c r="CG278" s="1450"/>
      <c r="CH278" s="270"/>
      <c r="CI278" s="270"/>
      <c r="CJ278" s="270"/>
      <c r="CK278" s="270"/>
      <c r="CL278" s="270"/>
      <c r="CM278" s="270"/>
    </row>
    <row r="279" spans="1:91" ht="13.5" hidden="1" outlineLevel="3" thickBot="1" x14ac:dyDescent="0.25">
      <c r="A279" s="270"/>
      <c r="B279" s="271"/>
      <c r="C279" s="12"/>
      <c r="D279" s="1071"/>
      <c r="E279" s="1071"/>
      <c r="F279" s="1071"/>
      <c r="G279" s="1172"/>
      <c r="H279" s="271"/>
      <c r="I279" s="270"/>
      <c r="J279" s="270"/>
      <c r="K279" s="270"/>
      <c r="L279" s="270"/>
      <c r="M279" s="270"/>
      <c r="N279" s="270"/>
      <c r="O279" s="270"/>
      <c r="P279" s="1072"/>
      <c r="Q279" s="270"/>
      <c r="R279" s="270"/>
      <c r="S279" s="1072"/>
      <c r="T279" s="270"/>
      <c r="U279" s="1019"/>
      <c r="V279" s="1118"/>
      <c r="W279" s="1177"/>
      <c r="X279" s="1186"/>
      <c r="Y279" s="1141"/>
      <c r="Z279" s="492"/>
      <c r="AA279" s="493" t="s">
        <v>769</v>
      </c>
      <c r="AB279" s="1069"/>
      <c r="AC279" s="1142"/>
      <c r="AD279" s="839"/>
      <c r="AE279" s="270" t="str">
        <f>IF(Z279="","",IF(Z279&gt;AB279,Y279,IF(Z279=AB279,"",AC279)))</f>
        <v/>
      </c>
      <c r="AF279" s="270" t="str">
        <f>IF(Z279="","",IF(Z279=AB279,Y279,""))</f>
        <v/>
      </c>
      <c r="AG279" s="270" t="str">
        <f>IF(Z279="","",IF(Z279=AB279,AC279,""))</f>
        <v/>
      </c>
      <c r="AH279" s="270" t="str">
        <f>IF(Z279="","",IF(Z279&lt;AB279,Y279,IF(Z279=AB279,"",AC279)))</f>
        <v/>
      </c>
      <c r="AI279" s="270" t="str">
        <f>IF(Z279="","",IF(Z279&gt;AB279,Y277,""))</f>
        <v/>
      </c>
      <c r="AJ279" s="270" t="str">
        <f>IF(Z279="","",IF(Z279&lt;AB279,AC277,""))</f>
        <v/>
      </c>
      <c r="AK279" s="270" t="str">
        <f>CONCATENATE(AE279,AH279)</f>
        <v/>
      </c>
      <c r="AL279" s="270"/>
      <c r="AM279" s="270"/>
      <c r="AN279" s="270"/>
      <c r="AO279" s="271"/>
      <c r="AP279" s="270"/>
      <c r="AQ279" s="270"/>
      <c r="AR279" s="270"/>
      <c r="AS279" s="270"/>
      <c r="AT279" s="270"/>
      <c r="AU279" s="270"/>
      <c r="AV279" s="270"/>
      <c r="AW279" s="270"/>
      <c r="AX279" s="270"/>
      <c r="AY279" s="1072"/>
      <c r="AZ279" s="270"/>
      <c r="BA279" s="270"/>
      <c r="BB279" s="1072"/>
      <c r="BC279" s="270"/>
      <c r="BD279" s="270"/>
      <c r="BE279" s="270"/>
      <c r="BF279" s="270"/>
      <c r="BG279" s="270"/>
      <c r="BH279" s="270"/>
      <c r="BI279" s="270"/>
      <c r="BJ279" s="270"/>
      <c r="BK279" s="270"/>
      <c r="BL279" s="270"/>
      <c r="BM279" s="270"/>
      <c r="BN279" s="270"/>
      <c r="BO279" s="270"/>
      <c r="BP279" s="270"/>
      <c r="BQ279" s="270"/>
      <c r="BR279" s="270"/>
      <c r="BS279" s="270"/>
      <c r="BT279" s="270"/>
      <c r="BU279" s="270"/>
      <c r="BV279" s="270"/>
      <c r="BW279" s="270"/>
      <c r="BX279" s="270"/>
      <c r="BY279" s="270"/>
      <c r="BZ279" s="270"/>
      <c r="CA279" s="270"/>
      <c r="CB279" s="270"/>
      <c r="CC279" s="270"/>
      <c r="CD279" s="270"/>
      <c r="CE279" s="1395"/>
      <c r="CF279" s="1450"/>
      <c r="CG279" s="1450"/>
      <c r="CH279" s="270"/>
      <c r="CI279" s="270"/>
      <c r="CJ279" s="270"/>
      <c r="CK279" s="270"/>
      <c r="CL279" s="270"/>
      <c r="CM279" s="270"/>
    </row>
    <row r="280" spans="1:91" ht="13.5" hidden="1" outlineLevel="3" thickBot="1" x14ac:dyDescent="0.25">
      <c r="A280" s="270"/>
      <c r="B280" s="271"/>
      <c r="C280" s="12"/>
      <c r="D280" s="1071"/>
      <c r="E280" s="1071"/>
      <c r="F280" s="1071"/>
      <c r="G280" s="1172"/>
      <c r="H280" s="271"/>
      <c r="I280" s="270"/>
      <c r="J280" s="270"/>
      <c r="K280" s="270"/>
      <c r="L280" s="270"/>
      <c r="M280" s="270"/>
      <c r="N280" s="270"/>
      <c r="O280" s="270"/>
      <c r="P280" s="1072"/>
      <c r="Q280" s="270"/>
      <c r="R280" s="270"/>
      <c r="S280" s="1072"/>
      <c r="T280" s="270"/>
      <c r="U280" s="1019"/>
      <c r="V280" s="1118"/>
      <c r="W280" s="1177"/>
      <c r="X280" s="1186"/>
      <c r="Y280" s="1141"/>
      <c r="Z280" s="492"/>
      <c r="AA280" s="493" t="s">
        <v>769</v>
      </c>
      <c r="AB280" s="1069"/>
      <c r="AC280" s="1142"/>
      <c r="AD280" s="839"/>
      <c r="AE280" s="270" t="str">
        <f>IF(Z280="","",IF(Z280&gt;AB280,Y280,IF(Z280=AB280,"",AC280)))</f>
        <v/>
      </c>
      <c r="AF280" s="270" t="str">
        <f>IF(Z280="","",IF(Z280=AB280,Y280,""))</f>
        <v/>
      </c>
      <c r="AG280" s="270" t="str">
        <f>IF(Z280="","",IF(Z280=AB280,AC280,""))</f>
        <v/>
      </c>
      <c r="AH280" s="270" t="str">
        <f>IF(Z280="","",IF(Z280&lt;AB280,Y280,IF(Z280=AB280,"",AC280)))</f>
        <v/>
      </c>
      <c r="AI280" s="270" t="str">
        <f>IF(Z280="","",IF(Z280&gt;AB280,Y277,""))</f>
        <v/>
      </c>
      <c r="AJ280" s="270" t="str">
        <f>IF(Z280="","",IF(Z280&lt;AB280,AC277,""))</f>
        <v/>
      </c>
      <c r="AK280" s="270" t="str">
        <f>CONCATENATE(AE280,AH280)</f>
        <v/>
      </c>
      <c r="AL280" s="270"/>
      <c r="AM280" s="270"/>
      <c r="AN280" s="270"/>
      <c r="AO280" s="271"/>
      <c r="AP280" s="270"/>
      <c r="AQ280" s="270"/>
      <c r="AR280" s="270"/>
      <c r="AS280" s="270"/>
      <c r="AT280" s="270"/>
      <c r="AU280" s="270"/>
      <c r="AV280" s="270"/>
      <c r="AW280" s="270"/>
      <c r="AX280" s="270"/>
      <c r="AY280" s="1072"/>
      <c r="AZ280" s="270"/>
      <c r="BA280" s="270"/>
      <c r="BB280" s="1072"/>
      <c r="BC280" s="270"/>
      <c r="BD280" s="270"/>
      <c r="BE280" s="270"/>
      <c r="BF280" s="270"/>
      <c r="BG280" s="270"/>
      <c r="BH280" s="270"/>
      <c r="BI280" s="270"/>
      <c r="BJ280" s="270"/>
      <c r="BK280" s="270"/>
      <c r="BL280" s="270"/>
      <c r="BM280" s="270"/>
      <c r="BN280" s="270"/>
      <c r="BO280" s="270"/>
      <c r="BP280" s="270"/>
      <c r="BQ280" s="270"/>
      <c r="BR280" s="270"/>
      <c r="BS280" s="270"/>
      <c r="BT280" s="270"/>
      <c r="BU280" s="270"/>
      <c r="BV280" s="270"/>
      <c r="BW280" s="270"/>
      <c r="BX280" s="270"/>
      <c r="BY280" s="270"/>
      <c r="BZ280" s="270"/>
      <c r="CA280" s="270"/>
      <c r="CB280" s="270"/>
      <c r="CC280" s="270"/>
      <c r="CD280" s="270"/>
      <c r="CE280" s="1395"/>
      <c r="CF280" s="1450"/>
      <c r="CG280" s="1450"/>
      <c r="CH280" s="270"/>
      <c r="CI280" s="270"/>
      <c r="CJ280" s="270"/>
      <c r="CK280" s="270"/>
      <c r="CL280" s="270"/>
      <c r="CM280" s="270"/>
    </row>
    <row r="281" spans="1:91" ht="13.5" hidden="1" outlineLevel="3" thickBot="1" x14ac:dyDescent="0.25">
      <c r="A281" s="270"/>
      <c r="B281" s="271"/>
      <c r="C281" s="12"/>
      <c r="D281" s="1071"/>
      <c r="E281" s="1071"/>
      <c r="F281" s="1071"/>
      <c r="G281" s="1172"/>
      <c r="H281" s="271"/>
      <c r="I281" s="270"/>
      <c r="J281" s="270"/>
      <c r="K281" s="270"/>
      <c r="L281" s="270"/>
      <c r="M281" s="270"/>
      <c r="N281" s="270"/>
      <c r="O281" s="270"/>
      <c r="P281" s="1072"/>
      <c r="Q281" s="270"/>
      <c r="R281" s="270"/>
      <c r="S281" s="1072"/>
      <c r="T281" s="270"/>
      <c r="U281" s="1019"/>
      <c r="V281" s="1118"/>
      <c r="W281" s="1177"/>
      <c r="X281" s="1186"/>
      <c r="Y281" s="1141"/>
      <c r="Z281" s="492"/>
      <c r="AA281" s="493" t="s">
        <v>769</v>
      </c>
      <c r="AB281" s="1069"/>
      <c r="AC281" s="1142"/>
      <c r="AD281" s="839"/>
      <c r="AE281" s="270" t="str">
        <f>IF(Z281="","",IF(Z281&gt;AB281,Y281,IF(Z281=AB281,"",AC281)))</f>
        <v/>
      </c>
      <c r="AF281" s="270" t="str">
        <f>IF(Z281="","",IF(Z281=AB281,Y281,""))</f>
        <v/>
      </c>
      <c r="AG281" s="270" t="str">
        <f>IF(Z281="","",IF(Z281=AB281,AC281,""))</f>
        <v/>
      </c>
      <c r="AH281" s="270" t="str">
        <f>IF(Z281="","",IF(Z281&lt;AB281,Y281,IF(Z281=AB281,"",AC281)))</f>
        <v/>
      </c>
      <c r="AI281" s="270" t="str">
        <f>IF(Z281="","",IF(Z281&gt;AB281,Y277,""))</f>
        <v/>
      </c>
      <c r="AJ281" s="270" t="str">
        <f>IF(Z281="","",IF(Z281&lt;AB281,AC277,""))</f>
        <v/>
      </c>
      <c r="AK281" s="270" t="str">
        <f>CONCATENATE(AE281,AH281)</f>
        <v/>
      </c>
      <c r="AL281" s="270"/>
      <c r="AM281" s="270"/>
      <c r="AN281" s="270"/>
      <c r="AO281" s="271"/>
      <c r="AP281" s="270"/>
      <c r="AQ281" s="270"/>
      <c r="AR281" s="270"/>
      <c r="AS281" s="270"/>
      <c r="AT281" s="270"/>
      <c r="AU281" s="270"/>
      <c r="AV281" s="270"/>
      <c r="AW281" s="270"/>
      <c r="AX281" s="270"/>
      <c r="AY281" s="1072"/>
      <c r="AZ281" s="270"/>
      <c r="BA281" s="270"/>
      <c r="BB281" s="1072"/>
      <c r="BC281" s="270"/>
      <c r="BD281" s="270"/>
      <c r="BE281" s="270"/>
      <c r="BF281" s="270"/>
      <c r="BG281" s="270"/>
      <c r="BH281" s="270"/>
      <c r="BI281" s="270"/>
      <c r="BJ281" s="270"/>
      <c r="BK281" s="270"/>
      <c r="BL281" s="270"/>
      <c r="BM281" s="270"/>
      <c r="BN281" s="270"/>
      <c r="BO281" s="270"/>
      <c r="BP281" s="270"/>
      <c r="BQ281" s="270"/>
      <c r="BR281" s="270"/>
      <c r="BS281" s="270"/>
      <c r="BT281" s="270"/>
      <c r="BU281" s="270"/>
      <c r="BV281" s="270"/>
      <c r="BW281" s="270"/>
      <c r="BX281" s="270"/>
      <c r="BY281" s="270"/>
      <c r="BZ281" s="270"/>
      <c r="CA281" s="270"/>
      <c r="CB281" s="270"/>
      <c r="CC281" s="270"/>
      <c r="CD281" s="270"/>
      <c r="CE281" s="1395"/>
      <c r="CF281" s="1450"/>
      <c r="CG281" s="1450"/>
      <c r="CH281" s="270"/>
      <c r="CI281" s="270"/>
      <c r="CJ281" s="270"/>
      <c r="CK281" s="270"/>
      <c r="CL281" s="270"/>
      <c r="CM281" s="270"/>
    </row>
    <row r="282" spans="1:91" ht="13.5" hidden="1" outlineLevel="3" thickBot="1" x14ac:dyDescent="0.25">
      <c r="A282" s="270"/>
      <c r="B282" s="271"/>
      <c r="C282" s="12"/>
      <c r="D282" s="1071"/>
      <c r="E282" s="1071"/>
      <c r="F282" s="1071"/>
      <c r="G282" s="626"/>
      <c r="H282" s="271"/>
      <c r="I282" s="270"/>
      <c r="J282" s="270"/>
      <c r="K282" s="270"/>
      <c r="L282" s="270"/>
      <c r="M282" s="270"/>
      <c r="N282" s="270"/>
      <c r="O282" s="270"/>
      <c r="P282" s="1072"/>
      <c r="Q282" s="270"/>
      <c r="R282" s="270"/>
      <c r="S282" s="1072"/>
      <c r="T282" s="270"/>
      <c r="U282" s="1019"/>
      <c r="V282" s="1077"/>
      <c r="W282" s="1078"/>
      <c r="X282" s="1075" t="str">
        <f>N_Substitute</f>
        <v>Remplaçant</v>
      </c>
      <c r="Y282" s="1141"/>
      <c r="Z282" s="492"/>
      <c r="AA282" s="1076"/>
      <c r="AB282" s="1069"/>
      <c r="AC282" s="1142"/>
      <c r="AD282" s="839"/>
      <c r="AE282" s="270"/>
      <c r="AF282" s="270"/>
      <c r="AG282" s="270"/>
      <c r="AH282" s="270"/>
      <c r="AI282" s="270"/>
      <c r="AJ282" s="270"/>
      <c r="AK282" s="270"/>
      <c r="AL282" s="270"/>
      <c r="AM282" s="270"/>
      <c r="AN282" s="270"/>
      <c r="AO282" s="271"/>
      <c r="AP282" s="270"/>
      <c r="AQ282" s="270"/>
      <c r="AR282" s="270"/>
      <c r="AS282" s="270"/>
      <c r="AT282" s="270"/>
      <c r="AU282" s="270"/>
      <c r="AV282" s="270"/>
      <c r="AW282" s="270"/>
      <c r="AX282" s="270"/>
      <c r="AY282" s="1072"/>
      <c r="AZ282" s="270"/>
      <c r="BA282" s="270"/>
      <c r="BB282" s="1072"/>
      <c r="BC282" s="270"/>
      <c r="BD282" s="270"/>
      <c r="BE282" s="270"/>
      <c r="BF282" s="270"/>
      <c r="BG282" s="270"/>
      <c r="BH282" s="270"/>
      <c r="BI282" s="270"/>
      <c r="BJ282" s="270"/>
      <c r="BK282" s="270"/>
      <c r="BL282" s="270"/>
      <c r="BM282" s="270"/>
      <c r="BN282" s="270"/>
      <c r="BO282" s="270"/>
      <c r="BP282" s="270"/>
      <c r="BQ282" s="270"/>
      <c r="BR282" s="270"/>
      <c r="BS282" s="270"/>
      <c r="BT282" s="270"/>
      <c r="BU282" s="270"/>
      <c r="BV282" s="270"/>
      <c r="BW282" s="270"/>
      <c r="BX282" s="270"/>
      <c r="BY282" s="270"/>
      <c r="BZ282" s="270"/>
      <c r="CA282" s="270"/>
      <c r="CB282" s="270"/>
      <c r="CC282" s="270"/>
      <c r="CD282" s="270"/>
      <c r="CE282" s="1395"/>
      <c r="CF282" s="1450"/>
      <c r="CG282" s="1450"/>
      <c r="CH282" s="270"/>
      <c r="CI282" s="270"/>
      <c r="CJ282" s="270"/>
      <c r="CK282" s="270"/>
      <c r="CL282" s="270"/>
      <c r="CM282" s="270"/>
    </row>
    <row r="283" spans="1:91" ht="13.5" hidden="1" outlineLevel="3" thickBot="1" x14ac:dyDescent="0.25">
      <c r="A283" s="270"/>
      <c r="B283" s="271"/>
      <c r="C283" s="12"/>
      <c r="D283" s="1071"/>
      <c r="E283" s="1071"/>
      <c r="F283" s="1071"/>
      <c r="G283" s="626"/>
      <c r="H283" s="271"/>
      <c r="I283" s="270"/>
      <c r="J283" s="270"/>
      <c r="K283" s="270"/>
      <c r="L283" s="270"/>
      <c r="M283" s="270"/>
      <c r="N283" s="270"/>
      <c r="O283" s="270"/>
      <c r="P283" s="1072"/>
      <c r="Q283" s="270"/>
      <c r="R283" s="270"/>
      <c r="S283" s="1072"/>
      <c r="T283" s="270"/>
      <c r="U283" s="1019"/>
      <c r="V283" s="1118"/>
      <c r="W283" s="1182"/>
      <c r="X283" s="1075" t="str">
        <f>N_Substitute</f>
        <v>Remplaçant</v>
      </c>
      <c r="Y283" s="1141"/>
      <c r="Z283" s="492"/>
      <c r="AA283" s="1121"/>
      <c r="AB283" s="1069"/>
      <c r="AC283" s="1142"/>
      <c r="AD283" s="839"/>
      <c r="AE283" s="270"/>
      <c r="AF283" s="270"/>
      <c r="AG283" s="270"/>
      <c r="AH283" s="270"/>
      <c r="AI283" s="270"/>
      <c r="AJ283" s="270"/>
      <c r="AK283" s="270"/>
      <c r="AL283" s="270"/>
      <c r="AM283" s="270"/>
      <c r="AN283" s="270"/>
      <c r="AO283" s="271"/>
      <c r="AP283" s="270"/>
      <c r="AQ283" s="270"/>
      <c r="AR283" s="270"/>
      <c r="AS283" s="270"/>
      <c r="AT283" s="270"/>
      <c r="AU283" s="270"/>
      <c r="AV283" s="270"/>
      <c r="AW283" s="270"/>
      <c r="AX283" s="270"/>
      <c r="AY283" s="1072"/>
      <c r="AZ283" s="270"/>
      <c r="BA283" s="270"/>
      <c r="BB283" s="1072"/>
      <c r="BC283" s="270"/>
      <c r="BD283" s="270"/>
      <c r="BE283" s="270"/>
      <c r="BF283" s="270"/>
      <c r="BG283" s="270"/>
      <c r="BH283" s="270"/>
      <c r="BI283" s="270"/>
      <c r="BJ283" s="270"/>
      <c r="BK283" s="270"/>
      <c r="BL283" s="270"/>
      <c r="BM283" s="270"/>
      <c r="BN283" s="270"/>
      <c r="BO283" s="270"/>
      <c r="BP283" s="270"/>
      <c r="BQ283" s="270"/>
      <c r="BR283" s="270"/>
      <c r="BS283" s="270"/>
      <c r="BT283" s="270"/>
      <c r="BU283" s="270"/>
      <c r="BV283" s="270"/>
      <c r="BW283" s="270"/>
      <c r="BX283" s="270"/>
      <c r="BY283" s="270"/>
      <c r="BZ283" s="270"/>
      <c r="CA283" s="270"/>
      <c r="CB283" s="270"/>
      <c r="CC283" s="270"/>
      <c r="CD283" s="270"/>
      <c r="CE283" s="1395"/>
      <c r="CF283" s="1450"/>
      <c r="CG283" s="1450"/>
      <c r="CH283" s="270"/>
      <c r="CI283" s="270"/>
      <c r="CJ283" s="270"/>
      <c r="CK283" s="270"/>
      <c r="CL283" s="270"/>
      <c r="CM283" s="270"/>
    </row>
    <row r="284" spans="1:91" ht="13.5" hidden="1" outlineLevel="2" collapsed="1" thickBot="1" x14ac:dyDescent="0.25">
      <c r="A284" s="270"/>
      <c r="B284" s="271"/>
      <c r="C284" s="270"/>
      <c r="D284" s="270"/>
      <c r="E284" s="270"/>
      <c r="F284" s="270"/>
      <c r="G284" s="271"/>
      <c r="H284" s="270"/>
      <c r="I284" s="270"/>
      <c r="J284" s="270"/>
      <c r="K284" s="270"/>
      <c r="L284" s="270"/>
      <c r="M284" s="270"/>
      <c r="N284" s="270"/>
      <c r="O284" s="270"/>
      <c r="P284" s="270"/>
      <c r="Q284" s="270"/>
      <c r="R284" s="270"/>
      <c r="S284" s="270"/>
      <c r="T284" s="270"/>
      <c r="U284" s="1019" t="s">
        <v>1728</v>
      </c>
      <c r="V284" s="1190"/>
      <c r="W284" s="1529"/>
      <c r="X284" s="1530"/>
      <c r="Y284" s="1191" t="str">
        <f>IF(G226="","",G226)</f>
        <v>Eq6</v>
      </c>
      <c r="Z284" s="1192" t="str">
        <f>IF(OR(ISNUMBER(Z285),ISNUMBER(Z286),ISNUMBER(Z287),ISNUMBER(Z288)),4-COUNTBLANK(AI285:AI288),"")</f>
        <v/>
      </c>
      <c r="AA284" s="1193" t="s">
        <v>769</v>
      </c>
      <c r="AB284" s="1192" t="str">
        <f>IF(OR(ISNUMBER(Z285),ISNUMBER(Z286),ISNUMBER(Z287),ISNUMBER(Z288)),4-COUNTBLANK(AJ285:AJ288),"")</f>
        <v/>
      </c>
      <c r="AC284" s="1194" t="str">
        <f>IF(G223="","",G223)</f>
        <v>Eq3</v>
      </c>
      <c r="AD284" s="839"/>
      <c r="AE284" s="270" t="str">
        <f>IF(Z284="","",IF(Z284&gt;AB284,Y284,IF(Z284=AB284,IF(NoDrawWithWithdraw,IF(AL284=Y284,AC284,IF(AL284=AC284,Y284,"")),""),AC284)))</f>
        <v/>
      </c>
      <c r="AF284" s="270" t="str">
        <f>IF(Z284="","",IF(Z284=AB284,IF(NoDrawWithWithdraw,IF(AL284=Y284,"",IF(AL284=AC284,"",Y284)),Y284),""))</f>
        <v/>
      </c>
      <c r="AG284" s="270" t="str">
        <f>IF(Z284="","",IF(Z284=AB284,IF(NoDrawWithWithdraw,IF(AL284=Y284,"",IF(AL284=AC284,"",AC284)),AC284),""))</f>
        <v/>
      </c>
      <c r="AH284" s="270" t="str">
        <f>IF(Z284="","",IF(Z284&lt;AB284,Y284,IF(Z284=AB284,IF(NoDrawWithWithdraw,IF(AL284=Y284,Y284,IF(AL284=AC284,AC284,"")),""),AC284)))</f>
        <v/>
      </c>
      <c r="AI284" s="270" t="str">
        <f>IF(Z284="","",SUM(Z285:Z288))</f>
        <v/>
      </c>
      <c r="AJ284" s="270" t="str">
        <f>IF(Z284="","",SUM(AB285:AB288))</f>
        <v/>
      </c>
      <c r="AK284" s="270" t="str">
        <f>CONCATENATE(AE284,AH284)</f>
        <v/>
      </c>
      <c r="AL284" s="270" t="str">
        <f>IF(COUNTIF(Y285:Y288,WithdrawLabel)&gt;COUNTIF(AC285:AC288,WithdrawLabel),Y284,IF(COUNTIF(AC285:AC288,WithdrawLabel)&gt;COUNTIF(Y285:Y288,WithdrawLabel),AC284,""))</f>
        <v/>
      </c>
      <c r="AM284" s="270"/>
      <c r="AN284" s="270"/>
      <c r="AO284" s="575"/>
      <c r="AP284" s="270"/>
      <c r="AQ284" s="270"/>
      <c r="AR284" s="270"/>
      <c r="AS284" s="270"/>
      <c r="AT284" s="270"/>
      <c r="AU284" s="270"/>
      <c r="AV284" s="270"/>
      <c r="AW284" s="270"/>
      <c r="AX284" s="270"/>
      <c r="AY284" s="270"/>
      <c r="AZ284" s="270"/>
      <c r="BA284" s="270"/>
      <c r="BB284" s="270"/>
      <c r="BC284" s="270"/>
      <c r="BD284" s="270"/>
      <c r="BE284" s="270"/>
      <c r="BF284" s="270"/>
      <c r="BG284" s="270"/>
      <c r="BH284" s="270"/>
      <c r="BI284" s="270"/>
      <c r="BJ284" s="270"/>
      <c r="BK284" s="270"/>
      <c r="BL284" s="270"/>
      <c r="BM284" s="270"/>
      <c r="BN284" s="270"/>
      <c r="BO284" s="270"/>
      <c r="BP284" s="270"/>
      <c r="BQ284" s="270"/>
      <c r="BR284" s="270"/>
      <c r="BS284" s="270"/>
      <c r="BT284" s="270"/>
      <c r="BU284" s="270"/>
      <c r="BV284" s="270"/>
      <c r="BW284" s="270"/>
      <c r="BX284" s="270"/>
      <c r="BY284" s="270"/>
      <c r="BZ284" s="270"/>
      <c r="CA284" s="270"/>
      <c r="CB284" s="270"/>
      <c r="CC284" s="270"/>
      <c r="CD284" s="270"/>
      <c r="CE284" s="1395"/>
      <c r="CF284" s="1450"/>
      <c r="CG284" s="1450"/>
      <c r="CH284" s="270"/>
      <c r="CI284" s="270"/>
      <c r="CJ284" s="270"/>
      <c r="CK284" s="270"/>
      <c r="CL284" s="270"/>
      <c r="CM284" s="270"/>
    </row>
    <row r="285" spans="1:91" ht="13.5" hidden="1" outlineLevel="3" thickBot="1" x14ac:dyDescent="0.25">
      <c r="A285" s="270"/>
      <c r="B285" s="271"/>
      <c r="C285" s="270"/>
      <c r="D285" s="270"/>
      <c r="E285" s="270"/>
      <c r="F285" s="270"/>
      <c r="G285" s="271"/>
      <c r="H285" s="270"/>
      <c r="I285" s="270"/>
      <c r="J285" s="270"/>
      <c r="K285" s="270"/>
      <c r="L285" s="270"/>
      <c r="M285" s="270"/>
      <c r="N285" s="270"/>
      <c r="O285" s="270"/>
      <c r="P285" s="270"/>
      <c r="Q285" s="270"/>
      <c r="R285" s="270"/>
      <c r="S285" s="270"/>
      <c r="T285" s="270"/>
      <c r="U285" s="1019"/>
      <c r="V285" s="1119"/>
      <c r="W285" s="1195"/>
      <c r="X285" s="1196"/>
      <c r="Y285" s="1197"/>
      <c r="Z285" s="484"/>
      <c r="AA285" s="485" t="s">
        <v>769</v>
      </c>
      <c r="AB285" s="1106"/>
      <c r="AC285" s="1198"/>
      <c r="AD285" s="839"/>
      <c r="AE285" s="270" t="str">
        <f>IF(Z285="","",IF(Z285&gt;AB285,Y285,IF(Z285=AB285,"",AC285)))</f>
        <v/>
      </c>
      <c r="AF285" s="270" t="str">
        <f>IF(Z285="","",IF(Z285=AB285,Y285,""))</f>
        <v/>
      </c>
      <c r="AG285" s="270" t="str">
        <f>IF(Z285="","",IF(Z285=AB285,AC285,""))</f>
        <v/>
      </c>
      <c r="AH285" s="270" t="str">
        <f>IF(Z285="","",IF(Z285&lt;AB285,Y285,IF(Z285=AB285,"",AC285)))</f>
        <v/>
      </c>
      <c r="AI285" s="270" t="str">
        <f>IF(Z285="","",IF(Z285&gt;AB285,Y284,""))</f>
        <v/>
      </c>
      <c r="AJ285" s="270" t="str">
        <f>IF(Z285="","",IF(Z285&lt;AB285,AC284,""))</f>
        <v/>
      </c>
      <c r="AK285" s="270" t="str">
        <f>CONCATENATE(AE285,AH285)</f>
        <v/>
      </c>
      <c r="AL285" s="270"/>
      <c r="AM285" s="270"/>
      <c r="AN285" s="270"/>
      <c r="AO285" s="575"/>
      <c r="AP285" s="270"/>
      <c r="AQ285" s="270"/>
      <c r="AR285" s="270"/>
      <c r="AS285" s="270"/>
      <c r="AT285" s="270"/>
      <c r="AU285" s="270"/>
      <c r="AV285" s="270"/>
      <c r="AW285" s="270"/>
      <c r="AX285" s="270"/>
      <c r="AY285" s="270"/>
      <c r="AZ285" s="270"/>
      <c r="BA285" s="270"/>
      <c r="BB285" s="270"/>
      <c r="BC285" s="270"/>
      <c r="BD285" s="270"/>
      <c r="BE285" s="270"/>
      <c r="BF285" s="270"/>
      <c r="BG285" s="270"/>
      <c r="BH285" s="270"/>
      <c r="BI285" s="270"/>
      <c r="BJ285" s="270"/>
      <c r="BK285" s="270"/>
      <c r="BL285" s="270"/>
      <c r="BM285" s="270"/>
      <c r="BN285" s="270"/>
      <c r="BO285" s="270"/>
      <c r="BP285" s="270"/>
      <c r="BQ285" s="270"/>
      <c r="BR285" s="270"/>
      <c r="BS285" s="270"/>
      <c r="BT285" s="270"/>
      <c r="BU285" s="270"/>
      <c r="BV285" s="270"/>
      <c r="BW285" s="270"/>
      <c r="BX285" s="270"/>
      <c r="BY285" s="270"/>
      <c r="BZ285" s="270"/>
      <c r="CA285" s="270"/>
      <c r="CB285" s="270"/>
      <c r="CC285" s="270"/>
      <c r="CD285" s="270"/>
      <c r="CE285" s="1395"/>
      <c r="CF285" s="1450"/>
      <c r="CG285" s="1450"/>
      <c r="CH285" s="270"/>
      <c r="CI285" s="270"/>
      <c r="CJ285" s="270"/>
      <c r="CK285" s="270"/>
      <c r="CL285" s="270"/>
      <c r="CM285" s="270"/>
    </row>
    <row r="286" spans="1:91" ht="13.5" hidden="1" outlineLevel="3" thickBot="1" x14ac:dyDescent="0.25">
      <c r="A286" s="270"/>
      <c r="B286" s="271"/>
      <c r="C286" s="270"/>
      <c r="D286" s="270"/>
      <c r="E286" s="270"/>
      <c r="F286" s="270"/>
      <c r="G286" s="271"/>
      <c r="H286" s="270"/>
      <c r="I286" s="270"/>
      <c r="J286" s="270"/>
      <c r="K286" s="270"/>
      <c r="L286" s="270"/>
      <c r="M286" s="270"/>
      <c r="N286" s="270"/>
      <c r="O286" s="270"/>
      <c r="P286" s="270"/>
      <c r="Q286" s="270"/>
      <c r="R286" s="270"/>
      <c r="S286" s="270"/>
      <c r="T286" s="270"/>
      <c r="U286" s="1019"/>
      <c r="V286" s="1118"/>
      <c r="W286" s="1177"/>
      <c r="X286" s="1186"/>
      <c r="Y286" s="1141"/>
      <c r="Z286" s="492"/>
      <c r="AA286" s="493" t="s">
        <v>769</v>
      </c>
      <c r="AB286" s="1069"/>
      <c r="AC286" s="1142"/>
      <c r="AD286" s="839"/>
      <c r="AE286" s="270" t="str">
        <f>IF(Z286="","",IF(Z286&gt;AB286,Y286,IF(Z286=AB286,"",AC286)))</f>
        <v/>
      </c>
      <c r="AF286" s="270" t="str">
        <f>IF(Z286="","",IF(Z286=AB286,Y286,""))</f>
        <v/>
      </c>
      <c r="AG286" s="270" t="str">
        <f>IF(Z286="","",IF(Z286=AB286,AC286,""))</f>
        <v/>
      </c>
      <c r="AH286" s="270" t="str">
        <f>IF(Z286="","",IF(Z286&lt;AB286,Y286,IF(Z286=AB286,"",AC286)))</f>
        <v/>
      </c>
      <c r="AI286" s="270" t="str">
        <f>IF(Z286="","",IF(Z286&gt;AB286,Y284,""))</f>
        <v/>
      </c>
      <c r="AJ286" s="270" t="str">
        <f>IF(Z286="","",IF(Z286&lt;AB286,AC284,""))</f>
        <v/>
      </c>
      <c r="AK286" s="270" t="str">
        <f>CONCATENATE(AE286,AH286)</f>
        <v/>
      </c>
      <c r="AL286" s="270"/>
      <c r="AM286" s="270"/>
      <c r="AN286" s="270"/>
      <c r="AO286" s="575"/>
      <c r="AP286" s="270"/>
      <c r="AQ286" s="270"/>
      <c r="AR286" s="270"/>
      <c r="AS286" s="270"/>
      <c r="AT286" s="270"/>
      <c r="AU286" s="270"/>
      <c r="AV286" s="270"/>
      <c r="AW286" s="270"/>
      <c r="AX286" s="270"/>
      <c r="AY286" s="270"/>
      <c r="AZ286" s="270"/>
      <c r="BA286" s="270"/>
      <c r="BB286" s="270"/>
      <c r="BC286" s="270"/>
      <c r="BD286" s="270"/>
      <c r="BE286" s="270"/>
      <c r="BF286" s="270"/>
      <c r="BG286" s="270"/>
      <c r="BH286" s="270"/>
      <c r="BI286" s="270"/>
      <c r="BJ286" s="270"/>
      <c r="BK286" s="270"/>
      <c r="BL286" s="270"/>
      <c r="BM286" s="270"/>
      <c r="BN286" s="270"/>
      <c r="BO286" s="270"/>
      <c r="BP286" s="270"/>
      <c r="BQ286" s="270"/>
      <c r="BR286" s="270"/>
      <c r="BS286" s="270"/>
      <c r="BT286" s="270"/>
      <c r="BU286" s="270"/>
      <c r="BV286" s="270"/>
      <c r="BW286" s="270"/>
      <c r="BX286" s="270"/>
      <c r="BY286" s="270"/>
      <c r="BZ286" s="270"/>
      <c r="CA286" s="270"/>
      <c r="CB286" s="270"/>
      <c r="CC286" s="270"/>
      <c r="CD286" s="270"/>
      <c r="CE286" s="1395"/>
      <c r="CF286" s="1450"/>
      <c r="CG286" s="1450"/>
      <c r="CH286" s="270"/>
      <c r="CI286" s="270"/>
      <c r="CJ286" s="270"/>
      <c r="CK286" s="270"/>
      <c r="CL286" s="270"/>
      <c r="CM286" s="270"/>
    </row>
    <row r="287" spans="1:91" ht="13.5" hidden="1" outlineLevel="3" thickBot="1" x14ac:dyDescent="0.25">
      <c r="A287" s="270"/>
      <c r="B287" s="271"/>
      <c r="C287" s="270"/>
      <c r="D287" s="270"/>
      <c r="E287" s="270"/>
      <c r="F287" s="270"/>
      <c r="G287" s="271"/>
      <c r="H287" s="270"/>
      <c r="I287" s="270"/>
      <c r="J287" s="270"/>
      <c r="K287" s="270"/>
      <c r="L287" s="270"/>
      <c r="M287" s="270"/>
      <c r="N287" s="270"/>
      <c r="O287" s="270"/>
      <c r="P287" s="270"/>
      <c r="Q287" s="270"/>
      <c r="R287" s="270"/>
      <c r="S287" s="270"/>
      <c r="T287" s="270"/>
      <c r="U287" s="1019"/>
      <c r="V287" s="1118"/>
      <c r="W287" s="1177"/>
      <c r="X287" s="1186"/>
      <c r="Y287" s="1141"/>
      <c r="Z287" s="492"/>
      <c r="AA287" s="493" t="s">
        <v>769</v>
      </c>
      <c r="AB287" s="1069"/>
      <c r="AC287" s="1142"/>
      <c r="AD287" s="839"/>
      <c r="AE287" s="270" t="str">
        <f>IF(Z287="","",IF(Z287&gt;AB287,Y287,IF(Z287=AB287,"",AC287)))</f>
        <v/>
      </c>
      <c r="AF287" s="270" t="str">
        <f>IF(Z287="","",IF(Z287=AB287,Y287,""))</f>
        <v/>
      </c>
      <c r="AG287" s="270" t="str">
        <f>IF(Z287="","",IF(Z287=AB287,AC287,""))</f>
        <v/>
      </c>
      <c r="AH287" s="270" t="str">
        <f>IF(Z287="","",IF(Z287&lt;AB287,Y287,IF(Z287=AB287,"",AC287)))</f>
        <v/>
      </c>
      <c r="AI287" s="270" t="str">
        <f>IF(Z287="","",IF(Z287&gt;AB287,Y284,""))</f>
        <v/>
      </c>
      <c r="AJ287" s="270" t="str">
        <f>IF(Z287="","",IF(Z287&lt;AB287,AC284,""))</f>
        <v/>
      </c>
      <c r="AK287" s="270" t="str">
        <f>CONCATENATE(AE287,AH287)</f>
        <v/>
      </c>
      <c r="AL287" s="270"/>
      <c r="AM287" s="270"/>
      <c r="AN287" s="270"/>
      <c r="AO287" s="575"/>
      <c r="AP287" s="270"/>
      <c r="AQ287" s="270"/>
      <c r="AR287" s="270"/>
      <c r="AS287" s="270"/>
      <c r="AT287" s="270"/>
      <c r="AU287" s="270"/>
      <c r="AV287" s="270"/>
      <c r="AW287" s="270"/>
      <c r="AX287" s="270"/>
      <c r="AY287" s="270"/>
      <c r="AZ287" s="270"/>
      <c r="BA287" s="270"/>
      <c r="BB287" s="270"/>
      <c r="BC287" s="270"/>
      <c r="BD287" s="270"/>
      <c r="BE287" s="270"/>
      <c r="BF287" s="270"/>
      <c r="BG287" s="270"/>
      <c r="BH287" s="270"/>
      <c r="BI287" s="270"/>
      <c r="BJ287" s="270"/>
      <c r="BK287" s="270"/>
      <c r="BL287" s="270"/>
      <c r="BM287" s="270"/>
      <c r="BN287" s="270"/>
      <c r="BO287" s="270"/>
      <c r="BP287" s="270"/>
      <c r="BQ287" s="270"/>
      <c r="BR287" s="270"/>
      <c r="BS287" s="270"/>
      <c r="BT287" s="270"/>
      <c r="BU287" s="270"/>
      <c r="BV287" s="270"/>
      <c r="BW287" s="270"/>
      <c r="BX287" s="270"/>
      <c r="BY287" s="270"/>
      <c r="BZ287" s="270"/>
      <c r="CA287" s="270"/>
      <c r="CB287" s="270"/>
      <c r="CC287" s="270"/>
      <c r="CD287" s="270"/>
      <c r="CE287" s="1395"/>
      <c r="CF287" s="1450"/>
      <c r="CG287" s="1450"/>
      <c r="CH287" s="270"/>
      <c r="CI287" s="270"/>
      <c r="CJ287" s="270"/>
      <c r="CK287" s="270"/>
      <c r="CL287" s="270"/>
      <c r="CM287" s="270"/>
    </row>
    <row r="288" spans="1:91" ht="13.5" hidden="1" outlineLevel="3" thickBot="1" x14ac:dyDescent="0.25">
      <c r="A288" s="270"/>
      <c r="B288" s="271"/>
      <c r="C288" s="270"/>
      <c r="D288" s="270"/>
      <c r="E288" s="270"/>
      <c r="F288" s="270"/>
      <c r="G288" s="271"/>
      <c r="H288" s="270"/>
      <c r="I288" s="270"/>
      <c r="J288" s="270"/>
      <c r="K288" s="270"/>
      <c r="L288" s="270"/>
      <c r="M288" s="270"/>
      <c r="N288" s="270"/>
      <c r="O288" s="270"/>
      <c r="P288" s="270"/>
      <c r="Q288" s="270"/>
      <c r="R288" s="270"/>
      <c r="S288" s="270"/>
      <c r="T288" s="270"/>
      <c r="U288" s="1019"/>
      <c r="V288" s="1118"/>
      <c r="W288" s="1177"/>
      <c r="X288" s="1186"/>
      <c r="Y288" s="1141"/>
      <c r="Z288" s="492"/>
      <c r="AA288" s="493" t="s">
        <v>769</v>
      </c>
      <c r="AB288" s="1069"/>
      <c r="AC288" s="1142"/>
      <c r="AD288" s="839"/>
      <c r="AE288" s="270" t="str">
        <f>IF(Z288="","",IF(Z288&gt;AB288,Y288,IF(Z288=AB288,"",AC288)))</f>
        <v/>
      </c>
      <c r="AF288" s="270" t="str">
        <f>IF(Z288="","",IF(Z288=AB288,Y288,""))</f>
        <v/>
      </c>
      <c r="AG288" s="270" t="str">
        <f>IF(Z288="","",IF(Z288=AB288,AC288,""))</f>
        <v/>
      </c>
      <c r="AH288" s="270" t="str">
        <f>IF(Z288="","",IF(Z288&lt;AB288,Y288,IF(Z288=AB288,"",AC288)))</f>
        <v/>
      </c>
      <c r="AI288" s="270" t="str">
        <f>IF(Z288="","",IF(Z288&gt;AB288,Y284,""))</f>
        <v/>
      </c>
      <c r="AJ288" s="270" t="str">
        <f>IF(Z288="","",IF(Z288&lt;AB288,AC284,""))</f>
        <v/>
      </c>
      <c r="AK288" s="270" t="str">
        <f>CONCATENATE(AE288,AH288)</f>
        <v/>
      </c>
      <c r="AL288" s="270"/>
      <c r="AM288" s="270"/>
      <c r="AN288" s="270"/>
      <c r="AO288" s="575"/>
      <c r="AP288" s="270"/>
      <c r="AQ288" s="270"/>
      <c r="AR288" s="270"/>
      <c r="AS288" s="270"/>
      <c r="AT288" s="270"/>
      <c r="AU288" s="270"/>
      <c r="AV288" s="270"/>
      <c r="AW288" s="270"/>
      <c r="AX288" s="270"/>
      <c r="AY288" s="270"/>
      <c r="AZ288" s="270"/>
      <c r="BA288" s="270"/>
      <c r="BB288" s="270"/>
      <c r="BC288" s="270"/>
      <c r="BD288" s="270"/>
      <c r="BE288" s="270"/>
      <c r="BF288" s="270"/>
      <c r="BG288" s="270"/>
      <c r="BH288" s="270"/>
      <c r="BI288" s="270"/>
      <c r="BJ288" s="270"/>
      <c r="BK288" s="270"/>
      <c r="BL288" s="270"/>
      <c r="BM288" s="270"/>
      <c r="BN288" s="270"/>
      <c r="BO288" s="270"/>
      <c r="BP288" s="270"/>
      <c r="BQ288" s="270"/>
      <c r="BR288" s="270"/>
      <c r="BS288" s="270"/>
      <c r="BT288" s="270"/>
      <c r="BU288" s="270"/>
      <c r="BV288" s="270"/>
      <c r="BW288" s="270"/>
      <c r="BX288" s="270"/>
      <c r="BY288" s="270"/>
      <c r="BZ288" s="270"/>
      <c r="CA288" s="270"/>
      <c r="CB288" s="270"/>
      <c r="CC288" s="270"/>
      <c r="CD288" s="270"/>
      <c r="CE288" s="1395"/>
      <c r="CF288" s="1450"/>
      <c r="CG288" s="1450"/>
      <c r="CH288" s="270"/>
      <c r="CI288" s="270"/>
      <c r="CJ288" s="270"/>
      <c r="CK288" s="270"/>
      <c r="CL288" s="270"/>
      <c r="CM288" s="270"/>
    </row>
    <row r="289" spans="1:91" ht="13.5" hidden="1" outlineLevel="3" thickBot="1" x14ac:dyDescent="0.25">
      <c r="A289" s="270"/>
      <c r="B289" s="271"/>
      <c r="C289" s="12"/>
      <c r="D289" s="1071"/>
      <c r="E289" s="1071"/>
      <c r="F289" s="1071"/>
      <c r="G289" s="626"/>
      <c r="H289" s="271"/>
      <c r="I289" s="270"/>
      <c r="J289" s="270"/>
      <c r="K289" s="270"/>
      <c r="L289" s="270"/>
      <c r="M289" s="270"/>
      <c r="N289" s="270"/>
      <c r="O289" s="270"/>
      <c r="P289" s="1072"/>
      <c r="Q289" s="270"/>
      <c r="R289" s="270"/>
      <c r="S289" s="1072"/>
      <c r="T289" s="270"/>
      <c r="U289" s="1019"/>
      <c r="V289" s="1073"/>
      <c r="W289" s="1074"/>
      <c r="X289" s="1075" t="str">
        <f>N_Substitute</f>
        <v>Remplaçant</v>
      </c>
      <c r="Y289" s="1141"/>
      <c r="Z289" s="492"/>
      <c r="AA289" s="1076"/>
      <c r="AB289" s="1069"/>
      <c r="AC289" s="1142"/>
      <c r="AD289" s="839"/>
      <c r="AE289" s="270"/>
      <c r="AF289" s="270"/>
      <c r="AG289" s="270"/>
      <c r="AH289" s="270"/>
      <c r="AI289" s="270"/>
      <c r="AJ289" s="270"/>
      <c r="AK289" s="270"/>
      <c r="AL289" s="270"/>
      <c r="AM289" s="270"/>
      <c r="AN289" s="270"/>
      <c r="AO289" s="271"/>
      <c r="AP289" s="270"/>
      <c r="AQ289" s="270"/>
      <c r="AR289" s="270"/>
      <c r="AS289" s="270"/>
      <c r="AT289" s="270"/>
      <c r="AU289" s="270"/>
      <c r="AV289" s="270"/>
      <c r="AW289" s="270"/>
      <c r="AX289" s="270"/>
      <c r="AY289" s="1072"/>
      <c r="AZ289" s="270"/>
      <c r="BA289" s="270"/>
      <c r="BB289" s="1072"/>
      <c r="BC289" s="270"/>
      <c r="BD289" s="270"/>
      <c r="BE289" s="270"/>
      <c r="BF289" s="270"/>
      <c r="BG289" s="270"/>
      <c r="BH289" s="270"/>
      <c r="BI289" s="270"/>
      <c r="BJ289" s="270"/>
      <c r="BK289" s="270"/>
      <c r="BL289" s="270"/>
      <c r="BM289" s="270"/>
      <c r="BN289" s="270"/>
      <c r="BO289" s="270"/>
      <c r="BP289" s="270"/>
      <c r="BQ289" s="270"/>
      <c r="BR289" s="270"/>
      <c r="BS289" s="270"/>
      <c r="BT289" s="270"/>
      <c r="BU289" s="270"/>
      <c r="BV289" s="270"/>
      <c r="BW289" s="270"/>
      <c r="BX289" s="270"/>
      <c r="BY289" s="270"/>
      <c r="BZ289" s="270"/>
      <c r="CA289" s="270"/>
      <c r="CB289" s="270"/>
      <c r="CC289" s="270"/>
      <c r="CD289" s="270"/>
      <c r="CE289" s="1395"/>
      <c r="CF289" s="1450"/>
      <c r="CG289" s="1450"/>
      <c r="CH289" s="270"/>
      <c r="CI289" s="270"/>
      <c r="CJ289" s="270"/>
      <c r="CK289" s="270"/>
      <c r="CL289" s="270"/>
      <c r="CM289" s="270"/>
    </row>
    <row r="290" spans="1:91" ht="13.5" hidden="1" outlineLevel="3" thickBot="1" x14ac:dyDescent="0.25">
      <c r="A290" s="270"/>
      <c r="B290" s="271"/>
      <c r="C290" s="12"/>
      <c r="D290" s="1071"/>
      <c r="E290" s="1071"/>
      <c r="F290" s="1071"/>
      <c r="G290" s="626"/>
      <c r="H290" s="271"/>
      <c r="I290" s="270"/>
      <c r="J290" s="270"/>
      <c r="K290" s="270"/>
      <c r="L290" s="270"/>
      <c r="M290" s="270"/>
      <c r="N290" s="270"/>
      <c r="O290" s="270"/>
      <c r="P290" s="1072"/>
      <c r="Q290" s="270"/>
      <c r="R290" s="270"/>
      <c r="S290" s="1072"/>
      <c r="T290" s="270"/>
      <c r="U290" s="1019"/>
      <c r="V290" s="1077"/>
      <c r="W290" s="1078"/>
      <c r="X290" s="1079" t="str">
        <f>N_Substitute</f>
        <v>Remplaçant</v>
      </c>
      <c r="Y290" s="1147"/>
      <c r="Z290" s="1081"/>
      <c r="AA290" s="1082"/>
      <c r="AB290" s="1081"/>
      <c r="AC290" s="1148"/>
      <c r="AD290" s="839"/>
      <c r="AE290" s="270"/>
      <c r="AF290" s="270"/>
      <c r="AG290" s="270"/>
      <c r="AH290" s="270"/>
      <c r="AI290" s="270"/>
      <c r="AJ290" s="270"/>
      <c r="AK290" s="270"/>
      <c r="AL290" s="270"/>
      <c r="AM290" s="270"/>
      <c r="AN290" s="270"/>
      <c r="AO290" s="271"/>
      <c r="AP290" s="270"/>
      <c r="AQ290" s="270"/>
      <c r="AR290" s="270"/>
      <c r="AS290" s="270"/>
      <c r="AT290" s="270"/>
      <c r="AU290" s="270"/>
      <c r="AV290" s="270"/>
      <c r="AW290" s="270"/>
      <c r="AX290" s="270"/>
      <c r="AY290" s="1072"/>
      <c r="AZ290" s="270"/>
      <c r="BA290" s="270"/>
      <c r="BB290" s="1072"/>
      <c r="BC290" s="270"/>
      <c r="BD290" s="270"/>
      <c r="BE290" s="270"/>
      <c r="BF290" s="270"/>
      <c r="BG290" s="270"/>
      <c r="BH290" s="270"/>
      <c r="BI290" s="270"/>
      <c r="BJ290" s="270"/>
      <c r="BK290" s="270"/>
      <c r="BL290" s="270"/>
      <c r="BM290" s="270"/>
      <c r="BN290" s="270"/>
      <c r="BO290" s="270"/>
      <c r="BP290" s="270"/>
      <c r="BQ290" s="270"/>
      <c r="BR290" s="270"/>
      <c r="BS290" s="270"/>
      <c r="BT290" s="270"/>
      <c r="BU290" s="270"/>
      <c r="BV290" s="270"/>
      <c r="BW290" s="270"/>
      <c r="BX290" s="270"/>
      <c r="BY290" s="270"/>
      <c r="BZ290" s="270"/>
      <c r="CA290" s="270"/>
      <c r="CB290" s="270"/>
      <c r="CC290" s="270"/>
      <c r="CD290" s="270"/>
      <c r="CE290" s="1395"/>
      <c r="CF290" s="1450"/>
      <c r="CG290" s="1450"/>
      <c r="CH290" s="270"/>
      <c r="CI290" s="270"/>
      <c r="CJ290" s="270"/>
      <c r="CK290" s="270"/>
      <c r="CL290" s="270"/>
      <c r="CM290" s="270"/>
    </row>
    <row r="291" spans="1:91" hidden="1" outlineLevel="2" collapsed="1" x14ac:dyDescent="0.2">
      <c r="A291" s="270"/>
      <c r="B291" s="271"/>
      <c r="C291" s="270"/>
      <c r="D291" s="270"/>
      <c r="E291" s="270"/>
      <c r="F291" s="270"/>
      <c r="G291" s="271"/>
      <c r="H291" s="270"/>
      <c r="I291" s="270"/>
      <c r="J291" s="270"/>
      <c r="K291" s="270"/>
      <c r="L291" s="270"/>
      <c r="M291" s="270"/>
      <c r="N291" s="270"/>
      <c r="O291" s="270"/>
      <c r="P291" s="270"/>
      <c r="Q291" s="270"/>
      <c r="R291" s="270"/>
      <c r="S291" s="270"/>
      <c r="T291" s="270"/>
      <c r="U291" s="1019" t="s">
        <v>1729</v>
      </c>
      <c r="V291" s="1117"/>
      <c r="W291" s="1527"/>
      <c r="X291" s="1528"/>
      <c r="Y291" s="1174" t="str">
        <f>IF(G222="","",G222)</f>
        <v>Eq2</v>
      </c>
      <c r="Z291" s="1063" t="str">
        <f>IF(OR(ISNUMBER(Z292),ISNUMBER(Z293),ISNUMBER(Z294),ISNUMBER(Z295)),4-COUNTBLANK(AI292:AI295),"")</f>
        <v/>
      </c>
      <c r="AA291" s="1064" t="s">
        <v>769</v>
      </c>
      <c r="AB291" s="1063" t="str">
        <f>IF(OR(ISNUMBER(Z292),ISNUMBER(Z293),ISNUMBER(Z294),ISNUMBER(Z295)),4-COUNTBLANK(AJ292:AJ295),"")</f>
        <v/>
      </c>
      <c r="AC291" s="1175" t="str">
        <f>IF(G226="","",G226)</f>
        <v>Eq6</v>
      </c>
      <c r="AD291" s="839"/>
      <c r="AE291" s="270" t="str">
        <f>IF(Z291="","",IF(Z291&gt;AB291,Y291,IF(Z291=AB291,IF(NoDrawWithWithdraw,IF(AL291=Y291,AC291,IF(AL291=AC291,Y291,"")),""),AC291)))</f>
        <v/>
      </c>
      <c r="AF291" s="270" t="str">
        <f>IF(Z291="","",IF(Z291=AB291,IF(NoDrawWithWithdraw,IF(AL291=Y291,"",IF(AL291=AC291,"",Y291)),Y291),""))</f>
        <v/>
      </c>
      <c r="AG291" s="270" t="str">
        <f>IF(Z291="","",IF(Z291=AB291,IF(NoDrawWithWithdraw,IF(AL291=Y291,"",IF(AL291=AC291,"",AC291)),AC291),""))</f>
        <v/>
      </c>
      <c r="AH291" s="270" t="str">
        <f>IF(Z291="","",IF(Z291&lt;AB291,Y291,IF(Z291=AB291,IF(NoDrawWithWithdraw,IF(AL291=Y291,Y291,IF(AL291=AC291,AC291,"")),""),AC291)))</f>
        <v/>
      </c>
      <c r="AI291" s="270" t="str">
        <f>IF(Z291="","",SUM(Z292:Z295))</f>
        <v/>
      </c>
      <c r="AJ291" s="270" t="str">
        <f>IF(Z291="","",SUM(AB292:AB295))</f>
        <v/>
      </c>
      <c r="AK291" s="270" t="str">
        <f>CONCATENATE(AE291,AH291)</f>
        <v/>
      </c>
      <c r="AL291" s="270" t="str">
        <f>IF(COUNTIF(Y292:Y295,WithdrawLabel)&gt;COUNTIF(AC292:AC295,WithdrawLabel),Y291,IF(COUNTIF(AC292:AC295,WithdrawLabel)&gt;COUNTIF(Y292:Y295,WithdrawLabel),AC291,""))</f>
        <v/>
      </c>
      <c r="AM291" s="270"/>
      <c r="AN291" s="270"/>
      <c r="AO291" s="575"/>
      <c r="AP291" s="270"/>
      <c r="AQ291" s="270"/>
      <c r="AR291" s="270"/>
      <c r="AS291" s="270"/>
      <c r="AT291" s="270"/>
      <c r="AU291" s="270"/>
      <c r="AV291" s="270"/>
      <c r="AW291" s="270"/>
      <c r="AX291" s="270"/>
      <c r="AY291" s="270"/>
      <c r="AZ291" s="270"/>
      <c r="BA291" s="270"/>
      <c r="BB291" s="270"/>
      <c r="BC291" s="270"/>
      <c r="BD291" s="270"/>
      <c r="BE291" s="270"/>
      <c r="BF291" s="270"/>
      <c r="BG291" s="270"/>
      <c r="BH291" s="270"/>
      <c r="BI291" s="270"/>
      <c r="BJ291" s="270"/>
      <c r="BK291" s="270"/>
      <c r="BL291" s="270"/>
      <c r="BM291" s="270"/>
      <c r="BN291" s="270"/>
      <c r="BO291" s="270"/>
      <c r="BP291" s="270"/>
      <c r="BQ291" s="270"/>
      <c r="BR291" s="270"/>
      <c r="BS291" s="270"/>
      <c r="BT291" s="270"/>
      <c r="BU291" s="270"/>
      <c r="BV291" s="270"/>
      <c r="BW291" s="270"/>
      <c r="BX291" s="270"/>
      <c r="BY291" s="270"/>
      <c r="BZ291" s="270"/>
      <c r="CA291" s="270"/>
      <c r="CB291" s="270"/>
      <c r="CC291" s="270"/>
      <c r="CD291" s="270"/>
      <c r="CE291" s="1395"/>
      <c r="CF291" s="1450"/>
      <c r="CG291" s="1450"/>
      <c r="CH291" s="270"/>
      <c r="CI291" s="270"/>
      <c r="CJ291" s="270"/>
      <c r="CK291" s="270"/>
      <c r="CL291" s="270"/>
      <c r="CM291" s="270"/>
    </row>
    <row r="292" spans="1:91" ht="13.5" hidden="1" outlineLevel="3" thickBot="1" x14ac:dyDescent="0.25">
      <c r="A292" s="270"/>
      <c r="B292" s="271"/>
      <c r="C292" s="270"/>
      <c r="D292" s="270"/>
      <c r="E292" s="270"/>
      <c r="F292" s="270"/>
      <c r="G292" s="271"/>
      <c r="H292" s="270"/>
      <c r="I292" s="270"/>
      <c r="J292" s="270"/>
      <c r="K292" s="270"/>
      <c r="L292" s="270"/>
      <c r="M292" s="270"/>
      <c r="N292" s="270"/>
      <c r="O292" s="270"/>
      <c r="P292" s="270"/>
      <c r="Q292" s="270"/>
      <c r="R292" s="270"/>
      <c r="S292" s="270"/>
      <c r="T292" s="270"/>
      <c r="U292" s="1019"/>
      <c r="V292" s="1118"/>
      <c r="W292" s="1177"/>
      <c r="X292" s="1186"/>
      <c r="Y292" s="1141"/>
      <c r="Z292" s="492"/>
      <c r="AA292" s="493" t="s">
        <v>769</v>
      </c>
      <c r="AB292" s="1069"/>
      <c r="AC292" s="1142"/>
      <c r="AD292" s="839"/>
      <c r="AE292" s="270" t="str">
        <f>IF(Z292="","",IF(Z292&gt;AB292,Y292,IF(Z292=AB292,"",AC292)))</f>
        <v/>
      </c>
      <c r="AF292" s="270" t="str">
        <f>IF(Z292="","",IF(Z292=AB292,Y292,""))</f>
        <v/>
      </c>
      <c r="AG292" s="270" t="str">
        <f>IF(Z292="","",IF(Z292=AB292,AC292,""))</f>
        <v/>
      </c>
      <c r="AH292" s="270" t="str">
        <f>IF(Z292="","",IF(Z292&lt;AB292,Y292,IF(Z292=AB292,"",AC292)))</f>
        <v/>
      </c>
      <c r="AI292" s="270" t="str">
        <f>IF(Z292="","",IF(Z292&gt;AB292,Y291,""))</f>
        <v/>
      </c>
      <c r="AJ292" s="270" t="str">
        <f>IF(Z292="","",IF(Z292&lt;AB292,AC291,""))</f>
        <v/>
      </c>
      <c r="AK292" s="270" t="str">
        <f>CONCATENATE(AE292,AH292)</f>
        <v/>
      </c>
      <c r="AL292" s="270"/>
      <c r="AM292" s="270"/>
      <c r="AN292" s="270"/>
      <c r="AO292" s="575"/>
      <c r="AP292" s="270"/>
      <c r="AQ292" s="270"/>
      <c r="AR292" s="270"/>
      <c r="AS292" s="270"/>
      <c r="AT292" s="270"/>
      <c r="AU292" s="270"/>
      <c r="AV292" s="270"/>
      <c r="AW292" s="270"/>
      <c r="AX292" s="270"/>
      <c r="AY292" s="270"/>
      <c r="AZ292" s="270"/>
      <c r="BA292" s="270"/>
      <c r="BB292" s="270"/>
      <c r="BC292" s="270"/>
      <c r="BD292" s="270"/>
      <c r="BE292" s="270"/>
      <c r="BF292" s="270"/>
      <c r="BG292" s="270"/>
      <c r="BH292" s="270"/>
      <c r="BI292" s="270"/>
      <c r="BJ292" s="270"/>
      <c r="BK292" s="270"/>
      <c r="BL292" s="270"/>
      <c r="BM292" s="270"/>
      <c r="BN292" s="270"/>
      <c r="BO292" s="270"/>
      <c r="BP292" s="270"/>
      <c r="BQ292" s="270"/>
      <c r="BR292" s="270"/>
      <c r="BS292" s="270"/>
      <c r="BT292" s="270"/>
      <c r="BU292" s="270"/>
      <c r="BV292" s="270"/>
      <c r="BW292" s="270"/>
      <c r="BX292" s="270"/>
      <c r="BY292" s="270"/>
      <c r="BZ292" s="270"/>
      <c r="CA292" s="270"/>
      <c r="CB292" s="270"/>
      <c r="CC292" s="270"/>
      <c r="CD292" s="270"/>
      <c r="CE292" s="1395"/>
      <c r="CF292" s="1450"/>
      <c r="CG292" s="1450"/>
      <c r="CH292" s="270"/>
      <c r="CI292" s="270"/>
      <c r="CJ292" s="270"/>
      <c r="CK292" s="270"/>
      <c r="CL292" s="270"/>
      <c r="CM292" s="270"/>
    </row>
    <row r="293" spans="1:91" ht="13.5" hidden="1" outlineLevel="3" thickBot="1" x14ac:dyDescent="0.25">
      <c r="A293" s="270"/>
      <c r="B293" s="271"/>
      <c r="C293" s="270"/>
      <c r="D293" s="270"/>
      <c r="E293" s="270"/>
      <c r="F293" s="270"/>
      <c r="G293" s="271"/>
      <c r="H293" s="270"/>
      <c r="I293" s="270"/>
      <c r="J293" s="270"/>
      <c r="K293" s="270"/>
      <c r="L293" s="270"/>
      <c r="M293" s="270"/>
      <c r="N293" s="270"/>
      <c r="O293" s="270"/>
      <c r="P293" s="270"/>
      <c r="Q293" s="270"/>
      <c r="R293" s="270"/>
      <c r="S293" s="270"/>
      <c r="T293" s="270"/>
      <c r="U293" s="1019"/>
      <c r="V293" s="1118"/>
      <c r="W293" s="1177"/>
      <c r="X293" s="1186"/>
      <c r="Y293" s="1141"/>
      <c r="Z293" s="492"/>
      <c r="AA293" s="493" t="s">
        <v>769</v>
      </c>
      <c r="AB293" s="1069"/>
      <c r="AC293" s="1142"/>
      <c r="AD293" s="839"/>
      <c r="AE293" s="270" t="str">
        <f>IF(Z293="","",IF(Z293&gt;AB293,Y293,IF(Z293=AB293,"",AC293)))</f>
        <v/>
      </c>
      <c r="AF293" s="270" t="str">
        <f>IF(Z293="","",IF(Z293=AB293,Y293,""))</f>
        <v/>
      </c>
      <c r="AG293" s="270" t="str">
        <f>IF(Z293="","",IF(Z293=AB293,AC293,""))</f>
        <v/>
      </c>
      <c r="AH293" s="270" t="str">
        <f>IF(Z293="","",IF(Z293&lt;AB293,Y293,IF(Z293=AB293,"",AC293)))</f>
        <v/>
      </c>
      <c r="AI293" s="270" t="str">
        <f>IF(Z293="","",IF(Z293&gt;AB293,Y291,""))</f>
        <v/>
      </c>
      <c r="AJ293" s="270" t="str">
        <f>IF(Z293="","",IF(Z293&lt;AB293,AC291,""))</f>
        <v/>
      </c>
      <c r="AK293" s="270" t="str">
        <f>CONCATENATE(AE293,AH293)</f>
        <v/>
      </c>
      <c r="AL293" s="270"/>
      <c r="AM293" s="270"/>
      <c r="AN293" s="270"/>
      <c r="AO293" s="575"/>
      <c r="AP293" s="270"/>
      <c r="AQ293" s="270"/>
      <c r="AR293" s="270"/>
      <c r="AS293" s="270"/>
      <c r="AT293" s="270"/>
      <c r="AU293" s="270"/>
      <c r="AV293" s="270"/>
      <c r="AW293" s="270"/>
      <c r="AX293" s="270"/>
      <c r="AY293" s="270"/>
      <c r="AZ293" s="270"/>
      <c r="BA293" s="270"/>
      <c r="BB293" s="270"/>
      <c r="BC293" s="270"/>
      <c r="BD293" s="270"/>
      <c r="BE293" s="270"/>
      <c r="BF293" s="270"/>
      <c r="BG293" s="270"/>
      <c r="BH293" s="270"/>
      <c r="BI293" s="270"/>
      <c r="BJ293" s="270"/>
      <c r="BK293" s="270"/>
      <c r="BL293" s="270"/>
      <c r="BM293" s="270"/>
      <c r="BN293" s="270"/>
      <c r="BO293" s="270"/>
      <c r="BP293" s="270"/>
      <c r="BQ293" s="270"/>
      <c r="BR293" s="270"/>
      <c r="BS293" s="270"/>
      <c r="BT293" s="270"/>
      <c r="BU293" s="270"/>
      <c r="BV293" s="270"/>
      <c r="BW293" s="270"/>
      <c r="BX293" s="270"/>
      <c r="BY293" s="270"/>
      <c r="BZ293" s="270"/>
      <c r="CA293" s="270"/>
      <c r="CB293" s="270"/>
      <c r="CC293" s="270"/>
      <c r="CD293" s="270"/>
      <c r="CE293" s="1395"/>
      <c r="CF293" s="1450"/>
      <c r="CG293" s="1450"/>
      <c r="CH293" s="270"/>
      <c r="CI293" s="270"/>
      <c r="CJ293" s="270"/>
      <c r="CK293" s="270"/>
      <c r="CL293" s="270"/>
      <c r="CM293" s="270"/>
    </row>
    <row r="294" spans="1:91" ht="13.5" hidden="1" outlineLevel="3" thickBot="1" x14ac:dyDescent="0.25">
      <c r="A294" s="270"/>
      <c r="B294" s="271"/>
      <c r="C294" s="270"/>
      <c r="D294" s="270"/>
      <c r="E294" s="270"/>
      <c r="F294" s="270"/>
      <c r="G294" s="271"/>
      <c r="H294" s="270"/>
      <c r="I294" s="270"/>
      <c r="J294" s="270"/>
      <c r="K294" s="270"/>
      <c r="L294" s="270"/>
      <c r="M294" s="270"/>
      <c r="N294" s="270"/>
      <c r="O294" s="270"/>
      <c r="P294" s="270"/>
      <c r="Q294" s="270"/>
      <c r="R294" s="270"/>
      <c r="S294" s="270"/>
      <c r="T294" s="270"/>
      <c r="U294" s="1019"/>
      <c r="V294" s="1118"/>
      <c r="W294" s="1177"/>
      <c r="X294" s="1186"/>
      <c r="Y294" s="1141"/>
      <c r="Z294" s="492"/>
      <c r="AA294" s="493" t="s">
        <v>769</v>
      </c>
      <c r="AB294" s="1069"/>
      <c r="AC294" s="1142"/>
      <c r="AD294" s="839"/>
      <c r="AE294" s="270" t="str">
        <f>IF(Z294="","",IF(Z294&gt;AB294,Y294,IF(Z294=AB294,"",AC294)))</f>
        <v/>
      </c>
      <c r="AF294" s="270" t="str">
        <f>IF(Z294="","",IF(Z294=AB294,Y294,""))</f>
        <v/>
      </c>
      <c r="AG294" s="270" t="str">
        <f>IF(Z294="","",IF(Z294=AB294,AC294,""))</f>
        <v/>
      </c>
      <c r="AH294" s="270" t="str">
        <f>IF(Z294="","",IF(Z294&lt;AB294,Y294,IF(Z294=AB294,"",AC294)))</f>
        <v/>
      </c>
      <c r="AI294" s="270" t="str">
        <f>IF(Z294="","",IF(Z294&gt;AB294,Y291,""))</f>
        <v/>
      </c>
      <c r="AJ294" s="270" t="str">
        <f>IF(Z294="","",IF(Z294&lt;AB294,AC291,""))</f>
        <v/>
      </c>
      <c r="AK294" s="270" t="str">
        <f>CONCATENATE(AE294,AH294)</f>
        <v/>
      </c>
      <c r="AL294" s="270"/>
      <c r="AM294" s="270"/>
      <c r="AN294" s="270"/>
      <c r="AO294" s="575"/>
      <c r="AP294" s="270"/>
      <c r="AQ294" s="270"/>
      <c r="AR294" s="270"/>
      <c r="AS294" s="270"/>
      <c r="AT294" s="270"/>
      <c r="AU294" s="270"/>
      <c r="AV294" s="270"/>
      <c r="AW294" s="270"/>
      <c r="AX294" s="270"/>
      <c r="AY294" s="270"/>
      <c r="AZ294" s="270"/>
      <c r="BA294" s="270"/>
      <c r="BB294" s="270"/>
      <c r="BC294" s="270"/>
      <c r="BD294" s="270"/>
      <c r="BE294" s="270"/>
      <c r="BF294" s="270"/>
      <c r="BG294" s="270"/>
      <c r="BH294" s="270"/>
      <c r="BI294" s="270"/>
      <c r="BJ294" s="270"/>
      <c r="BK294" s="270"/>
      <c r="BL294" s="270"/>
      <c r="BM294" s="270"/>
      <c r="BN294" s="270"/>
      <c r="BO294" s="270"/>
      <c r="BP294" s="270"/>
      <c r="BQ294" s="270"/>
      <c r="BR294" s="270"/>
      <c r="BS294" s="270"/>
      <c r="BT294" s="270"/>
      <c r="BU294" s="270"/>
      <c r="BV294" s="270"/>
      <c r="BW294" s="270"/>
      <c r="BX294" s="270"/>
      <c r="BY294" s="270"/>
      <c r="BZ294" s="270"/>
      <c r="CA294" s="270"/>
      <c r="CB294" s="270"/>
      <c r="CC294" s="270"/>
      <c r="CD294" s="270"/>
      <c r="CE294" s="1395"/>
      <c r="CF294" s="1450"/>
      <c r="CG294" s="1450"/>
      <c r="CH294" s="270"/>
      <c r="CI294" s="270"/>
      <c r="CJ294" s="270"/>
      <c r="CK294" s="270"/>
      <c r="CL294" s="270"/>
      <c r="CM294" s="270"/>
    </row>
    <row r="295" spans="1:91" ht="13.5" hidden="1" outlineLevel="3" thickBot="1" x14ac:dyDescent="0.25">
      <c r="A295" s="270"/>
      <c r="B295" s="271"/>
      <c r="C295" s="270"/>
      <c r="D295" s="270"/>
      <c r="E295" s="270"/>
      <c r="F295" s="270"/>
      <c r="G295" s="271"/>
      <c r="H295" s="270"/>
      <c r="I295" s="270"/>
      <c r="J295" s="270"/>
      <c r="K295" s="270"/>
      <c r="L295" s="270"/>
      <c r="M295" s="270"/>
      <c r="N295" s="270"/>
      <c r="O295" s="270"/>
      <c r="P295" s="270"/>
      <c r="Q295" s="270"/>
      <c r="R295" s="270"/>
      <c r="S295" s="270"/>
      <c r="T295" s="270"/>
      <c r="U295" s="1019"/>
      <c r="V295" s="1118"/>
      <c r="W295" s="1177"/>
      <c r="X295" s="1186"/>
      <c r="Y295" s="1141"/>
      <c r="Z295" s="492"/>
      <c r="AA295" s="493" t="s">
        <v>769</v>
      </c>
      <c r="AB295" s="1069"/>
      <c r="AC295" s="1142"/>
      <c r="AD295" s="839"/>
      <c r="AE295" s="270" t="str">
        <f>IF(Z295="","",IF(Z295&gt;AB295,Y295,IF(Z295=AB295,"",AC295)))</f>
        <v/>
      </c>
      <c r="AF295" s="270" t="str">
        <f>IF(Z295="","",IF(Z295=AB295,Y295,""))</f>
        <v/>
      </c>
      <c r="AG295" s="270" t="str">
        <f>IF(Z295="","",IF(Z295=AB295,AC295,""))</f>
        <v/>
      </c>
      <c r="AH295" s="270" t="str">
        <f>IF(Z295="","",IF(Z295&lt;AB295,Y295,IF(Z295=AB295,"",AC295)))</f>
        <v/>
      </c>
      <c r="AI295" s="270" t="str">
        <f>IF(Z295="","",IF(Z295&gt;AB295,Y291,""))</f>
        <v/>
      </c>
      <c r="AJ295" s="270" t="str">
        <f>IF(Z295="","",IF(Z295&lt;AB295,AC291,""))</f>
        <v/>
      </c>
      <c r="AK295" s="270" t="str">
        <f>CONCATENATE(AE295,AH295)</f>
        <v/>
      </c>
      <c r="AL295" s="270"/>
      <c r="AM295" s="270"/>
      <c r="AN295" s="270"/>
      <c r="AO295" s="575"/>
      <c r="AP295" s="270"/>
      <c r="AQ295" s="270"/>
      <c r="AR295" s="270"/>
      <c r="AS295" s="270"/>
      <c r="AT295" s="270"/>
      <c r="AU295" s="270"/>
      <c r="AV295" s="270"/>
      <c r="AW295" s="270"/>
      <c r="AX295" s="270"/>
      <c r="AY295" s="270"/>
      <c r="AZ295" s="270"/>
      <c r="BA295" s="270"/>
      <c r="BB295" s="270"/>
      <c r="BC295" s="270"/>
      <c r="BD295" s="270"/>
      <c r="BE295" s="270"/>
      <c r="BF295" s="270"/>
      <c r="BG295" s="270"/>
      <c r="BH295" s="270"/>
      <c r="BI295" s="270"/>
      <c r="BJ295" s="270"/>
      <c r="BK295" s="270"/>
      <c r="BL295" s="270"/>
      <c r="BM295" s="270"/>
      <c r="BN295" s="270"/>
      <c r="BO295" s="270"/>
      <c r="BP295" s="270"/>
      <c r="BQ295" s="270"/>
      <c r="BR295" s="270"/>
      <c r="BS295" s="270"/>
      <c r="BT295" s="270"/>
      <c r="BU295" s="270"/>
      <c r="BV295" s="270"/>
      <c r="BW295" s="270"/>
      <c r="BX295" s="270"/>
      <c r="BY295" s="270"/>
      <c r="BZ295" s="270"/>
      <c r="CA295" s="270"/>
      <c r="CB295" s="270"/>
      <c r="CC295" s="270"/>
      <c r="CD295" s="270"/>
      <c r="CE295" s="1395"/>
      <c r="CF295" s="1450"/>
      <c r="CG295" s="1450"/>
      <c r="CH295" s="270"/>
      <c r="CI295" s="270"/>
      <c r="CJ295" s="270"/>
      <c r="CK295" s="270"/>
      <c r="CL295" s="270"/>
      <c r="CM295" s="270"/>
    </row>
    <row r="296" spans="1:91" ht="13.5" hidden="1" outlineLevel="3" thickBot="1" x14ac:dyDescent="0.25">
      <c r="A296" s="270"/>
      <c r="B296" s="271"/>
      <c r="C296" s="12"/>
      <c r="D296" s="1071"/>
      <c r="E296" s="1071"/>
      <c r="F296" s="1071"/>
      <c r="G296" s="626"/>
      <c r="H296" s="271"/>
      <c r="I296" s="270"/>
      <c r="J296" s="270"/>
      <c r="K296" s="270"/>
      <c r="L296" s="270"/>
      <c r="M296" s="270"/>
      <c r="N296" s="270"/>
      <c r="O296" s="270"/>
      <c r="P296" s="1072"/>
      <c r="Q296" s="270"/>
      <c r="R296" s="270"/>
      <c r="S296" s="1072"/>
      <c r="T296" s="270"/>
      <c r="U296" s="1019"/>
      <c r="V296" s="1073"/>
      <c r="W296" s="1074"/>
      <c r="X296" s="1075" t="str">
        <f>N_Substitute</f>
        <v>Remplaçant</v>
      </c>
      <c r="Y296" s="1141"/>
      <c r="Z296" s="492"/>
      <c r="AA296" s="1076"/>
      <c r="AB296" s="1069"/>
      <c r="AC296" s="1142"/>
      <c r="AD296" s="839"/>
      <c r="AE296" s="270"/>
      <c r="AF296" s="270"/>
      <c r="AG296" s="270"/>
      <c r="AH296" s="270"/>
      <c r="AI296" s="270"/>
      <c r="AJ296" s="270"/>
      <c r="AK296" s="270"/>
      <c r="AL296" s="270"/>
      <c r="AM296" s="270"/>
      <c r="AN296" s="270"/>
      <c r="AO296" s="271"/>
      <c r="AP296" s="270"/>
      <c r="AQ296" s="270"/>
      <c r="AR296" s="270"/>
      <c r="AS296" s="270"/>
      <c r="AT296" s="270"/>
      <c r="AU296" s="270"/>
      <c r="AV296" s="270"/>
      <c r="AW296" s="270"/>
      <c r="AX296" s="270"/>
      <c r="AY296" s="1072"/>
      <c r="AZ296" s="270"/>
      <c r="BA296" s="270"/>
      <c r="BB296" s="1072"/>
      <c r="BC296" s="270"/>
      <c r="BD296" s="270"/>
      <c r="BE296" s="270"/>
      <c r="BF296" s="270"/>
      <c r="BG296" s="270"/>
      <c r="BH296" s="270"/>
      <c r="BI296" s="270"/>
      <c r="BJ296" s="270"/>
      <c r="BK296" s="270"/>
      <c r="BL296" s="270"/>
      <c r="BM296" s="270"/>
      <c r="BN296" s="270"/>
      <c r="BO296" s="270"/>
      <c r="BP296" s="270"/>
      <c r="BQ296" s="270"/>
      <c r="BR296" s="270"/>
      <c r="BS296" s="270"/>
      <c r="BT296" s="270"/>
      <c r="BU296" s="270"/>
      <c r="BV296" s="270"/>
      <c r="BW296" s="270"/>
      <c r="BX296" s="270"/>
      <c r="BY296" s="270"/>
      <c r="BZ296" s="270"/>
      <c r="CA296" s="270"/>
      <c r="CB296" s="270"/>
      <c r="CC296" s="270"/>
      <c r="CD296" s="270"/>
      <c r="CE296" s="1395"/>
      <c r="CF296" s="1450"/>
      <c r="CG296" s="1450"/>
      <c r="CH296" s="270"/>
      <c r="CI296" s="270"/>
      <c r="CJ296" s="270"/>
      <c r="CK296" s="270"/>
      <c r="CL296" s="270"/>
      <c r="CM296" s="270"/>
    </row>
    <row r="297" spans="1:91" ht="13.5" hidden="1" outlineLevel="3" thickBot="1" x14ac:dyDescent="0.25">
      <c r="A297" s="270"/>
      <c r="B297" s="271"/>
      <c r="C297" s="12"/>
      <c r="D297" s="1071"/>
      <c r="E297" s="1071"/>
      <c r="F297" s="1071"/>
      <c r="G297" s="626"/>
      <c r="H297" s="271"/>
      <c r="I297" s="270"/>
      <c r="J297" s="270"/>
      <c r="K297" s="270"/>
      <c r="L297" s="270"/>
      <c r="M297" s="270"/>
      <c r="N297" s="270"/>
      <c r="O297" s="270"/>
      <c r="P297" s="1072"/>
      <c r="Q297" s="270"/>
      <c r="R297" s="270"/>
      <c r="S297" s="1072"/>
      <c r="T297" s="270"/>
      <c r="U297" s="1019"/>
      <c r="V297" s="1118"/>
      <c r="W297" s="1182"/>
      <c r="X297" s="1075" t="str">
        <f>N_Substitute</f>
        <v>Remplaçant</v>
      </c>
      <c r="Y297" s="1141"/>
      <c r="Z297" s="492"/>
      <c r="AA297" s="1121"/>
      <c r="AB297" s="1069"/>
      <c r="AC297" s="1142"/>
      <c r="AD297" s="839"/>
      <c r="AE297" s="270"/>
      <c r="AF297" s="270"/>
      <c r="AG297" s="270"/>
      <c r="AH297" s="270"/>
      <c r="AI297" s="270"/>
      <c r="AJ297" s="270"/>
      <c r="AK297" s="270"/>
      <c r="AL297" s="270"/>
      <c r="AM297" s="270"/>
      <c r="AN297" s="270"/>
      <c r="AO297" s="271"/>
      <c r="AP297" s="270"/>
      <c r="AQ297" s="270"/>
      <c r="AR297" s="270"/>
      <c r="AS297" s="270"/>
      <c r="AT297" s="270"/>
      <c r="AU297" s="270"/>
      <c r="AV297" s="270"/>
      <c r="AW297" s="270"/>
      <c r="AX297" s="270"/>
      <c r="AY297" s="1072"/>
      <c r="AZ297" s="270"/>
      <c r="BA297" s="270"/>
      <c r="BB297" s="1072"/>
      <c r="BC297" s="270"/>
      <c r="BD297" s="270"/>
      <c r="BE297" s="270"/>
      <c r="BF297" s="270"/>
      <c r="BG297" s="270"/>
      <c r="BH297" s="270"/>
      <c r="BI297" s="270"/>
      <c r="BJ297" s="270"/>
      <c r="BK297" s="270"/>
      <c r="BL297" s="270"/>
      <c r="BM297" s="270"/>
      <c r="BN297" s="270"/>
      <c r="BO297" s="270"/>
      <c r="BP297" s="270"/>
      <c r="BQ297" s="270"/>
      <c r="BR297" s="270"/>
      <c r="BS297" s="270"/>
      <c r="BT297" s="270"/>
      <c r="BU297" s="270"/>
      <c r="BV297" s="270"/>
      <c r="BW297" s="270"/>
      <c r="BX297" s="270"/>
      <c r="BY297" s="270"/>
      <c r="BZ297" s="270"/>
      <c r="CA297" s="270"/>
      <c r="CB297" s="270"/>
      <c r="CC297" s="270"/>
      <c r="CD297" s="270"/>
      <c r="CE297" s="1395"/>
      <c r="CF297" s="1450"/>
      <c r="CG297" s="1450"/>
      <c r="CH297" s="270"/>
      <c r="CI297" s="270"/>
      <c r="CJ297" s="270"/>
      <c r="CK297" s="270"/>
      <c r="CL297" s="270"/>
      <c r="CM297" s="270"/>
    </row>
    <row r="298" spans="1:91" hidden="1" outlineLevel="2" collapsed="1" x14ac:dyDescent="0.2">
      <c r="A298" s="270"/>
      <c r="B298" s="271"/>
      <c r="C298" s="270"/>
      <c r="D298" s="270"/>
      <c r="E298" s="270"/>
      <c r="F298" s="270"/>
      <c r="G298" s="271"/>
      <c r="H298" s="270"/>
      <c r="I298" s="270"/>
      <c r="J298" s="270"/>
      <c r="K298" s="270"/>
      <c r="L298" s="270"/>
      <c r="M298" s="270"/>
      <c r="N298" s="270"/>
      <c r="O298" s="270"/>
      <c r="P298" s="270"/>
      <c r="Q298" s="270"/>
      <c r="R298" s="270"/>
      <c r="S298" s="270"/>
      <c r="T298" s="270"/>
      <c r="U298" s="1019" t="s">
        <v>1729</v>
      </c>
      <c r="V298" s="1187"/>
      <c r="W298" s="1195"/>
      <c r="X298" s="1196"/>
      <c r="Y298" s="1180" t="str">
        <f>IF(G223="","",G223)</f>
        <v>Eq3</v>
      </c>
      <c r="Z298" s="1123" t="str">
        <f>IF(OR(ISNUMBER(Z299),ISNUMBER(Z300),ISNUMBER(Z301),ISNUMBER(Z302)),4-COUNTBLANK(AI299:AI302),"")</f>
        <v/>
      </c>
      <c r="AA298" s="1124" t="s">
        <v>769</v>
      </c>
      <c r="AB298" s="1125" t="str">
        <f>IF(OR(ISNUMBER(Z299),ISNUMBER(Z300),ISNUMBER(Z301),ISNUMBER(Z302)),4-COUNTBLANK(AJ299:AJ302),"")</f>
        <v/>
      </c>
      <c r="AC298" s="1181" t="str">
        <f>IF(G221="","",G221)</f>
        <v>Eq1</v>
      </c>
      <c r="AD298" s="839"/>
      <c r="AE298" s="270" t="str">
        <f>IF(Z298="","",IF(Z298&gt;AB298,Y298,IF(Z298=AB298,IF(NoDrawWithWithdraw,IF(AL298=Y298,AC298,IF(AL298=AC298,Y298,"")),""),AC298)))</f>
        <v/>
      </c>
      <c r="AF298" s="270" t="str">
        <f>IF(Z298="","",IF(Z298=AB298,IF(NoDrawWithWithdraw,IF(AL298=Y298,"",IF(AL298=AC298,"",Y298)),Y298),""))</f>
        <v/>
      </c>
      <c r="AG298" s="270" t="str">
        <f>IF(Z298="","",IF(Z298=AB298,IF(NoDrawWithWithdraw,IF(AL298=Y298,"",IF(AL298=AC298,"",AC298)),AC298),""))</f>
        <v/>
      </c>
      <c r="AH298" s="270" t="str">
        <f>IF(Z298="","",IF(Z298&lt;AB298,Y298,IF(Z298=AB298,IF(NoDrawWithWithdraw,IF(AL298=Y298,Y298,IF(AL298=AC298,AC298,"")),""),AC298)))</f>
        <v/>
      </c>
      <c r="AI298" s="270" t="str">
        <f>IF(Z298="","",SUM(Z299:Z302))</f>
        <v/>
      </c>
      <c r="AJ298" s="270" t="str">
        <f>IF(Z298="","",SUM(AB299:AB302))</f>
        <v/>
      </c>
      <c r="AK298" s="270" t="str">
        <f>CONCATENATE(AE298,AH298)</f>
        <v/>
      </c>
      <c r="AL298" s="270" t="str">
        <f>IF(COUNTIF(Y299:Y302,WithdrawLabel)&gt;COUNTIF(AC299:AC302,WithdrawLabel),Y298,IF(COUNTIF(AC299:AC302,WithdrawLabel)&gt;COUNTIF(Y299:Y302,WithdrawLabel),AC298,""))</f>
        <v/>
      </c>
      <c r="AM298" s="270"/>
      <c r="AN298" s="270"/>
      <c r="AO298" s="575"/>
      <c r="AP298" s="270"/>
      <c r="AQ298" s="270"/>
      <c r="AR298" s="270"/>
      <c r="AS298" s="270"/>
      <c r="AT298" s="270"/>
      <c r="AU298" s="270"/>
      <c r="AV298" s="270"/>
      <c r="AW298" s="270"/>
      <c r="AX298" s="270"/>
      <c r="AY298" s="270"/>
      <c r="AZ298" s="270"/>
      <c r="BA298" s="270"/>
      <c r="BB298" s="270"/>
      <c r="BC298" s="270"/>
      <c r="BD298" s="270"/>
      <c r="BE298" s="270"/>
      <c r="BF298" s="270"/>
      <c r="BG298" s="270"/>
      <c r="BH298" s="270"/>
      <c r="BI298" s="270"/>
      <c r="BJ298" s="270"/>
      <c r="BK298" s="270"/>
      <c r="BL298" s="270"/>
      <c r="BM298" s="270"/>
      <c r="BN298" s="270"/>
      <c r="BO298" s="270"/>
      <c r="BP298" s="270"/>
      <c r="BQ298" s="270"/>
      <c r="BR298" s="270"/>
      <c r="BS298" s="270"/>
      <c r="BT298" s="270"/>
      <c r="BU298" s="270"/>
      <c r="BV298" s="270"/>
      <c r="BW298" s="270"/>
      <c r="BX298" s="270"/>
      <c r="BY298" s="270"/>
      <c r="BZ298" s="270"/>
      <c r="CA298" s="270"/>
      <c r="CB298" s="270"/>
      <c r="CC298" s="270"/>
      <c r="CD298" s="270"/>
      <c r="CE298" s="1395"/>
      <c r="CF298" s="1450"/>
      <c r="CG298" s="1450"/>
      <c r="CH298" s="270"/>
      <c r="CI298" s="270"/>
      <c r="CJ298" s="270"/>
      <c r="CK298" s="270"/>
      <c r="CL298" s="270"/>
      <c r="CM298" s="270"/>
    </row>
    <row r="299" spans="1:91" ht="13.5" hidden="1" outlineLevel="3" thickBot="1" x14ac:dyDescent="0.25">
      <c r="A299" s="270"/>
      <c r="B299" s="271"/>
      <c r="C299" s="270"/>
      <c r="D299" s="270"/>
      <c r="E299" s="270"/>
      <c r="F299" s="270"/>
      <c r="G299" s="271"/>
      <c r="H299" s="270"/>
      <c r="I299" s="270"/>
      <c r="J299" s="270"/>
      <c r="K299" s="270"/>
      <c r="L299" s="270"/>
      <c r="M299" s="270"/>
      <c r="N299" s="270"/>
      <c r="O299" s="270"/>
      <c r="P299" s="270"/>
      <c r="Q299" s="270"/>
      <c r="R299" s="270"/>
      <c r="S299" s="270"/>
      <c r="T299" s="270"/>
      <c r="U299" s="1019"/>
      <c r="V299" s="1118"/>
      <c r="W299" s="1177"/>
      <c r="X299" s="1186"/>
      <c r="Y299" s="1141"/>
      <c r="Z299" s="492"/>
      <c r="AA299" s="493" t="s">
        <v>769</v>
      </c>
      <c r="AB299" s="1069"/>
      <c r="AC299" s="1142"/>
      <c r="AD299" s="839"/>
      <c r="AE299" s="270" t="str">
        <f>IF(Z299="","",IF(Z299&gt;AB299,Y299,IF(Z299=AB299,"",AC299)))</f>
        <v/>
      </c>
      <c r="AF299" s="270" t="str">
        <f>IF(Z299="","",IF(Z299=AB299,Y299,""))</f>
        <v/>
      </c>
      <c r="AG299" s="270" t="str">
        <f>IF(Z299="","",IF(Z299=AB299,AC299,""))</f>
        <v/>
      </c>
      <c r="AH299" s="270" t="str">
        <f>IF(Z299="","",IF(Z299&lt;AB299,Y299,IF(Z299=AB299,"",AC299)))</f>
        <v/>
      </c>
      <c r="AI299" s="270" t="str">
        <f>IF(Z299="","",IF(Z299&gt;AB299,Y298,""))</f>
        <v/>
      </c>
      <c r="AJ299" s="270" t="str">
        <f>IF(Z299="","",IF(Z299&lt;AB299,AC298,""))</f>
        <v/>
      </c>
      <c r="AK299" s="270" t="str">
        <f>CONCATENATE(AE299,AH299)</f>
        <v/>
      </c>
      <c r="AL299" s="270"/>
      <c r="AM299" s="270"/>
      <c r="AN299" s="270"/>
      <c r="AO299" s="575"/>
      <c r="AP299" s="270"/>
      <c r="AQ299" s="270"/>
      <c r="AR299" s="270"/>
      <c r="AS299" s="270"/>
      <c r="AT299" s="270"/>
      <c r="AU299" s="270"/>
      <c r="AV299" s="270"/>
      <c r="AW299" s="270"/>
      <c r="AX299" s="270"/>
      <c r="AY299" s="270"/>
      <c r="AZ299" s="270"/>
      <c r="BA299" s="270"/>
      <c r="BB299" s="270"/>
      <c r="BC299" s="270"/>
      <c r="BD299" s="270"/>
      <c r="BE299" s="270"/>
      <c r="BF299" s="270"/>
      <c r="BG299" s="270"/>
      <c r="BH299" s="270"/>
      <c r="BI299" s="270"/>
      <c r="BJ299" s="270"/>
      <c r="BK299" s="270"/>
      <c r="BL299" s="270"/>
      <c r="BM299" s="270"/>
      <c r="BN299" s="270"/>
      <c r="BO299" s="270"/>
      <c r="BP299" s="270"/>
      <c r="BQ299" s="270"/>
      <c r="BR299" s="270"/>
      <c r="BS299" s="270"/>
      <c r="BT299" s="270"/>
      <c r="BU299" s="270"/>
      <c r="BV299" s="270"/>
      <c r="BW299" s="270"/>
      <c r="BX299" s="270"/>
      <c r="BY299" s="270"/>
      <c r="BZ299" s="270"/>
      <c r="CA299" s="270"/>
      <c r="CB299" s="270"/>
      <c r="CC299" s="270"/>
      <c r="CD299" s="270"/>
      <c r="CE299" s="1395"/>
      <c r="CF299" s="1450"/>
      <c r="CG299" s="1450"/>
      <c r="CH299" s="270"/>
      <c r="CI299" s="270"/>
      <c r="CJ299" s="270"/>
      <c r="CK299" s="270"/>
      <c r="CL299" s="270"/>
      <c r="CM299" s="270"/>
    </row>
    <row r="300" spans="1:91" ht="13.5" hidden="1" outlineLevel="3" thickBot="1" x14ac:dyDescent="0.25">
      <c r="A300" s="270"/>
      <c r="B300" s="271"/>
      <c r="C300" s="270"/>
      <c r="D300" s="270"/>
      <c r="E300" s="270"/>
      <c r="F300" s="270"/>
      <c r="G300" s="271"/>
      <c r="H300" s="270"/>
      <c r="I300" s="270"/>
      <c r="J300" s="270"/>
      <c r="K300" s="270"/>
      <c r="L300" s="270"/>
      <c r="M300" s="270"/>
      <c r="N300" s="270"/>
      <c r="O300" s="270"/>
      <c r="P300" s="270"/>
      <c r="Q300" s="270"/>
      <c r="R300" s="270"/>
      <c r="S300" s="270"/>
      <c r="T300" s="270"/>
      <c r="U300" s="1019"/>
      <c r="V300" s="1118"/>
      <c r="W300" s="1177"/>
      <c r="X300" s="1186"/>
      <c r="Y300" s="1141"/>
      <c r="Z300" s="492"/>
      <c r="AA300" s="493" t="s">
        <v>769</v>
      </c>
      <c r="AB300" s="1069"/>
      <c r="AC300" s="1142"/>
      <c r="AD300" s="839"/>
      <c r="AE300" s="270" t="str">
        <f>IF(Z300="","",IF(Z300&gt;AB300,Y300,IF(Z300=AB300,"",AC300)))</f>
        <v/>
      </c>
      <c r="AF300" s="270" t="str">
        <f>IF(Z300="","",IF(Z300=AB300,Y300,""))</f>
        <v/>
      </c>
      <c r="AG300" s="270" t="str">
        <f>IF(Z300="","",IF(Z300=AB300,AC300,""))</f>
        <v/>
      </c>
      <c r="AH300" s="270" t="str">
        <f>IF(Z300="","",IF(Z300&lt;AB300,Y300,IF(Z300=AB300,"",AC300)))</f>
        <v/>
      </c>
      <c r="AI300" s="270" t="str">
        <f>IF(Z300="","",IF(Z300&gt;AB300,Y298,""))</f>
        <v/>
      </c>
      <c r="AJ300" s="270" t="str">
        <f>IF(Z300="","",IF(Z300&lt;AB300,AC298,""))</f>
        <v/>
      </c>
      <c r="AK300" s="270" t="str">
        <f>CONCATENATE(AE300,AH300)</f>
        <v/>
      </c>
      <c r="AL300" s="270"/>
      <c r="AM300" s="270"/>
      <c r="AN300" s="270"/>
      <c r="AO300" s="575"/>
      <c r="AP300" s="270"/>
      <c r="AQ300" s="270"/>
      <c r="AR300" s="270"/>
      <c r="AS300" s="270"/>
      <c r="AT300" s="270"/>
      <c r="AU300" s="270"/>
      <c r="AV300" s="270"/>
      <c r="AW300" s="270"/>
      <c r="AX300" s="270"/>
      <c r="AY300" s="270"/>
      <c r="AZ300" s="270"/>
      <c r="BA300" s="270"/>
      <c r="BB300" s="270"/>
      <c r="BC300" s="270"/>
      <c r="BD300" s="270"/>
      <c r="BE300" s="270"/>
      <c r="BF300" s="270"/>
      <c r="BG300" s="270"/>
      <c r="BH300" s="270"/>
      <c r="BI300" s="270"/>
      <c r="BJ300" s="270"/>
      <c r="BK300" s="270"/>
      <c r="BL300" s="270"/>
      <c r="BM300" s="270"/>
      <c r="BN300" s="270"/>
      <c r="BO300" s="270"/>
      <c r="BP300" s="270"/>
      <c r="BQ300" s="270"/>
      <c r="BR300" s="270"/>
      <c r="BS300" s="270"/>
      <c r="BT300" s="270"/>
      <c r="BU300" s="270"/>
      <c r="BV300" s="270"/>
      <c r="BW300" s="270"/>
      <c r="BX300" s="270"/>
      <c r="BY300" s="270"/>
      <c r="BZ300" s="270"/>
      <c r="CA300" s="270"/>
      <c r="CB300" s="270"/>
      <c r="CC300" s="270"/>
      <c r="CD300" s="270"/>
      <c r="CE300" s="1395"/>
      <c r="CF300" s="1450"/>
      <c r="CG300" s="1450"/>
      <c r="CH300" s="270"/>
      <c r="CI300" s="270"/>
      <c r="CJ300" s="270"/>
      <c r="CK300" s="270"/>
      <c r="CL300" s="270"/>
      <c r="CM300" s="270"/>
    </row>
    <row r="301" spans="1:91" ht="13.5" hidden="1" outlineLevel="3" thickBot="1" x14ac:dyDescent="0.25">
      <c r="A301" s="270"/>
      <c r="B301" s="271"/>
      <c r="C301" s="270"/>
      <c r="D301" s="270"/>
      <c r="E301" s="270"/>
      <c r="F301" s="270"/>
      <c r="G301" s="271"/>
      <c r="H301" s="270"/>
      <c r="I301" s="270"/>
      <c r="J301" s="270"/>
      <c r="K301" s="270"/>
      <c r="L301" s="270"/>
      <c r="M301" s="270"/>
      <c r="N301" s="270"/>
      <c r="O301" s="270"/>
      <c r="P301" s="270"/>
      <c r="Q301" s="270"/>
      <c r="R301" s="270"/>
      <c r="S301" s="270"/>
      <c r="T301" s="270"/>
      <c r="U301" s="1019"/>
      <c r="V301" s="1118"/>
      <c r="W301" s="1177"/>
      <c r="X301" s="1186"/>
      <c r="Y301" s="1141"/>
      <c r="Z301" s="492"/>
      <c r="AA301" s="493" t="s">
        <v>769</v>
      </c>
      <c r="AB301" s="1069"/>
      <c r="AC301" s="1142"/>
      <c r="AD301" s="839"/>
      <c r="AE301" s="270" t="str">
        <f>IF(Z301="","",IF(Z301&gt;AB301,Y301,IF(Z301=AB301,"",AC301)))</f>
        <v/>
      </c>
      <c r="AF301" s="270" t="str">
        <f>IF(Z301="","",IF(Z301=AB301,Y301,""))</f>
        <v/>
      </c>
      <c r="AG301" s="270" t="str">
        <f>IF(Z301="","",IF(Z301=AB301,AC301,""))</f>
        <v/>
      </c>
      <c r="AH301" s="270" t="str">
        <f>IF(Z301="","",IF(Z301&lt;AB301,Y301,IF(Z301=AB301,"",AC301)))</f>
        <v/>
      </c>
      <c r="AI301" s="270" t="str">
        <f>IF(Z301="","",IF(Z301&gt;AB301,Y298,""))</f>
        <v/>
      </c>
      <c r="AJ301" s="270" t="str">
        <f>IF(Z301="","",IF(Z301&lt;AB301,AC298,""))</f>
        <v/>
      </c>
      <c r="AK301" s="270" t="str">
        <f>CONCATENATE(AE301,AH301)</f>
        <v/>
      </c>
      <c r="AL301" s="270"/>
      <c r="AM301" s="270"/>
      <c r="AN301" s="270"/>
      <c r="AO301" s="575"/>
      <c r="AP301" s="270"/>
      <c r="AQ301" s="270"/>
      <c r="AR301" s="270"/>
      <c r="AS301" s="270"/>
      <c r="AT301" s="270"/>
      <c r="AU301" s="270"/>
      <c r="AV301" s="270"/>
      <c r="AW301" s="270"/>
      <c r="AX301" s="270"/>
      <c r="AY301" s="270"/>
      <c r="AZ301" s="270"/>
      <c r="BA301" s="270"/>
      <c r="BB301" s="270"/>
      <c r="BC301" s="270"/>
      <c r="BD301" s="270"/>
      <c r="BE301" s="270"/>
      <c r="BF301" s="270"/>
      <c r="BG301" s="270"/>
      <c r="BH301" s="270"/>
      <c r="BI301" s="270"/>
      <c r="BJ301" s="270"/>
      <c r="BK301" s="270"/>
      <c r="BL301" s="270"/>
      <c r="BM301" s="270"/>
      <c r="BN301" s="270"/>
      <c r="BO301" s="270"/>
      <c r="BP301" s="270"/>
      <c r="BQ301" s="270"/>
      <c r="BR301" s="270"/>
      <c r="BS301" s="270"/>
      <c r="BT301" s="270"/>
      <c r="BU301" s="270"/>
      <c r="BV301" s="270"/>
      <c r="BW301" s="270"/>
      <c r="BX301" s="270"/>
      <c r="BY301" s="270"/>
      <c r="BZ301" s="270"/>
      <c r="CA301" s="270"/>
      <c r="CB301" s="270"/>
      <c r="CC301" s="270"/>
      <c r="CD301" s="270"/>
      <c r="CE301" s="1395"/>
      <c r="CF301" s="1450"/>
      <c r="CG301" s="1450"/>
      <c r="CH301" s="270"/>
      <c r="CI301" s="270"/>
      <c r="CJ301" s="270"/>
      <c r="CK301" s="270"/>
      <c r="CL301" s="270"/>
      <c r="CM301" s="270"/>
    </row>
    <row r="302" spans="1:91" ht="13.5" hidden="1" outlineLevel="3" thickBot="1" x14ac:dyDescent="0.25">
      <c r="A302" s="270"/>
      <c r="B302" s="271"/>
      <c r="C302" s="270"/>
      <c r="D302" s="270"/>
      <c r="E302" s="270"/>
      <c r="F302" s="270"/>
      <c r="G302" s="271"/>
      <c r="H302" s="270"/>
      <c r="I302" s="270"/>
      <c r="J302" s="270"/>
      <c r="K302" s="270"/>
      <c r="L302" s="270"/>
      <c r="M302" s="270"/>
      <c r="N302" s="270"/>
      <c r="O302" s="270"/>
      <c r="P302" s="270"/>
      <c r="Q302" s="270"/>
      <c r="R302" s="270"/>
      <c r="S302" s="270"/>
      <c r="T302" s="270"/>
      <c r="U302" s="1019"/>
      <c r="V302" s="1118"/>
      <c r="W302" s="1177"/>
      <c r="X302" s="1186"/>
      <c r="Y302" s="1141"/>
      <c r="Z302" s="492"/>
      <c r="AA302" s="493" t="s">
        <v>769</v>
      </c>
      <c r="AB302" s="1069"/>
      <c r="AC302" s="1142"/>
      <c r="AD302" s="839"/>
      <c r="AE302" s="270" t="str">
        <f>IF(Z302="","",IF(Z302&gt;AB302,Y302,IF(Z302=AB302,"",AC302)))</f>
        <v/>
      </c>
      <c r="AF302" s="270" t="str">
        <f>IF(Z302="","",IF(Z302=AB302,Y302,""))</f>
        <v/>
      </c>
      <c r="AG302" s="270" t="str">
        <f>IF(Z302="","",IF(Z302=AB302,AC302,""))</f>
        <v/>
      </c>
      <c r="AH302" s="270" t="str">
        <f>IF(Z302="","",IF(Z302&lt;AB302,Y302,IF(Z302=AB302,"",AC302)))</f>
        <v/>
      </c>
      <c r="AI302" s="270" t="str">
        <f>IF(Z302="","",IF(Z302&gt;AB302,Y298,""))</f>
        <v/>
      </c>
      <c r="AJ302" s="270" t="str">
        <f>IF(Z302="","",IF(Z302&lt;AB302,AC298,""))</f>
        <v/>
      </c>
      <c r="AK302" s="270" t="str">
        <f>CONCATENATE(AE302,AH302)</f>
        <v/>
      </c>
      <c r="AL302" s="270"/>
      <c r="AM302" s="270"/>
      <c r="AN302" s="270"/>
      <c r="AO302" s="575"/>
      <c r="AP302" s="270"/>
      <c r="AQ302" s="270"/>
      <c r="AR302" s="270"/>
      <c r="AS302" s="270"/>
      <c r="AT302" s="270"/>
      <c r="AU302" s="270"/>
      <c r="AV302" s="270"/>
      <c r="AW302" s="270"/>
      <c r="AX302" s="270"/>
      <c r="AY302" s="270"/>
      <c r="AZ302" s="270"/>
      <c r="BA302" s="270"/>
      <c r="BB302" s="270"/>
      <c r="BC302" s="270"/>
      <c r="BD302" s="270"/>
      <c r="BE302" s="270"/>
      <c r="BF302" s="270"/>
      <c r="BG302" s="270"/>
      <c r="BH302" s="270"/>
      <c r="BI302" s="270"/>
      <c r="BJ302" s="270"/>
      <c r="BK302" s="270"/>
      <c r="BL302" s="270"/>
      <c r="BM302" s="270"/>
      <c r="BN302" s="270"/>
      <c r="BO302" s="270"/>
      <c r="BP302" s="270"/>
      <c r="BQ302" s="270"/>
      <c r="BR302" s="270"/>
      <c r="BS302" s="270"/>
      <c r="BT302" s="270"/>
      <c r="BU302" s="270"/>
      <c r="BV302" s="270"/>
      <c r="BW302" s="270"/>
      <c r="BX302" s="270"/>
      <c r="BY302" s="270"/>
      <c r="BZ302" s="270"/>
      <c r="CA302" s="270"/>
      <c r="CB302" s="270"/>
      <c r="CC302" s="270"/>
      <c r="CD302" s="270"/>
      <c r="CE302" s="1395"/>
      <c r="CF302" s="1450"/>
      <c r="CG302" s="1450"/>
      <c r="CH302" s="270"/>
      <c r="CI302" s="270"/>
      <c r="CJ302" s="270"/>
      <c r="CK302" s="270"/>
      <c r="CL302" s="270"/>
      <c r="CM302" s="270"/>
    </row>
    <row r="303" spans="1:91" ht="13.5" hidden="1" outlineLevel="3" thickBot="1" x14ac:dyDescent="0.25">
      <c r="A303" s="270"/>
      <c r="B303" s="271"/>
      <c r="C303" s="12"/>
      <c r="D303" s="1071"/>
      <c r="E303" s="1071"/>
      <c r="F303" s="1071"/>
      <c r="G303" s="626"/>
      <c r="H303" s="271"/>
      <c r="I303" s="270"/>
      <c r="J303" s="270"/>
      <c r="K303" s="270"/>
      <c r="L303" s="270"/>
      <c r="M303" s="270"/>
      <c r="N303" s="270"/>
      <c r="O303" s="270"/>
      <c r="P303" s="1072"/>
      <c r="Q303" s="270"/>
      <c r="R303" s="270"/>
      <c r="S303" s="1072"/>
      <c r="T303" s="270"/>
      <c r="U303" s="1019"/>
      <c r="V303" s="1073"/>
      <c r="W303" s="1074"/>
      <c r="X303" s="1075" t="str">
        <f>N_Substitute</f>
        <v>Remplaçant</v>
      </c>
      <c r="Y303" s="1141"/>
      <c r="Z303" s="492"/>
      <c r="AA303" s="1076"/>
      <c r="AB303" s="1069"/>
      <c r="AC303" s="1142"/>
      <c r="AD303" s="839"/>
      <c r="AE303" s="270"/>
      <c r="AF303" s="270"/>
      <c r="AG303" s="270"/>
      <c r="AH303" s="270"/>
      <c r="AI303" s="270"/>
      <c r="AJ303" s="270"/>
      <c r="AK303" s="270"/>
      <c r="AL303" s="270"/>
      <c r="AM303" s="270"/>
      <c r="AN303" s="270"/>
      <c r="AO303" s="271"/>
      <c r="AP303" s="270"/>
      <c r="AQ303" s="270"/>
      <c r="AR303" s="270"/>
      <c r="AS303" s="270"/>
      <c r="AT303" s="270"/>
      <c r="AU303" s="270"/>
      <c r="AV303" s="270"/>
      <c r="AW303" s="270"/>
      <c r="AX303" s="270"/>
      <c r="AY303" s="1072"/>
      <c r="AZ303" s="270"/>
      <c r="BA303" s="270"/>
      <c r="BB303" s="1072"/>
      <c r="BC303" s="270"/>
      <c r="BD303" s="270"/>
      <c r="BE303" s="270"/>
      <c r="BF303" s="270"/>
      <c r="BG303" s="270"/>
      <c r="BH303" s="270"/>
      <c r="BI303" s="270"/>
      <c r="BJ303" s="270"/>
      <c r="BK303" s="270"/>
      <c r="BL303" s="270"/>
      <c r="BM303" s="270"/>
      <c r="BN303" s="270"/>
      <c r="BO303" s="270"/>
      <c r="BP303" s="270"/>
      <c r="BQ303" s="270"/>
      <c r="BR303" s="270"/>
      <c r="BS303" s="270"/>
      <c r="BT303" s="270"/>
      <c r="BU303" s="270"/>
      <c r="BV303" s="270"/>
      <c r="BW303" s="270"/>
      <c r="BX303" s="270"/>
      <c r="BY303" s="270"/>
      <c r="BZ303" s="270"/>
      <c r="CA303" s="270"/>
      <c r="CB303" s="270"/>
      <c r="CC303" s="270"/>
      <c r="CD303" s="270"/>
      <c r="CE303" s="1395"/>
      <c r="CF303" s="1450"/>
      <c r="CG303" s="1450"/>
      <c r="CH303" s="270"/>
      <c r="CI303" s="270"/>
      <c r="CJ303" s="270"/>
      <c r="CK303" s="270"/>
      <c r="CL303" s="270"/>
      <c r="CM303" s="270"/>
    </row>
    <row r="304" spans="1:91" ht="13.5" hidden="1" outlineLevel="3" thickBot="1" x14ac:dyDescent="0.25">
      <c r="A304" s="270"/>
      <c r="B304" s="271"/>
      <c r="C304" s="12"/>
      <c r="D304" s="1071"/>
      <c r="E304" s="1071"/>
      <c r="F304" s="1071"/>
      <c r="G304" s="626"/>
      <c r="H304" s="271"/>
      <c r="I304" s="270"/>
      <c r="J304" s="270"/>
      <c r="K304" s="270"/>
      <c r="L304" s="270"/>
      <c r="M304" s="270"/>
      <c r="N304" s="270"/>
      <c r="O304" s="270"/>
      <c r="P304" s="1072"/>
      <c r="Q304" s="270"/>
      <c r="R304" s="270"/>
      <c r="S304" s="1072"/>
      <c r="T304" s="270"/>
      <c r="U304" s="1019"/>
      <c r="V304" s="1119"/>
      <c r="W304" s="1120"/>
      <c r="X304" s="1075" t="str">
        <f>N_Substitute</f>
        <v>Remplaçant</v>
      </c>
      <c r="Y304" s="1141"/>
      <c r="Z304" s="492"/>
      <c r="AA304" s="1121"/>
      <c r="AB304" s="1069"/>
      <c r="AC304" s="1142"/>
      <c r="AD304" s="839"/>
      <c r="AE304" s="270"/>
      <c r="AF304" s="270"/>
      <c r="AG304" s="270"/>
      <c r="AH304" s="270"/>
      <c r="AI304" s="270"/>
      <c r="AJ304" s="270"/>
      <c r="AK304" s="270"/>
      <c r="AL304" s="270"/>
      <c r="AM304" s="270"/>
      <c r="AN304" s="270"/>
      <c r="AO304" s="271"/>
      <c r="AP304" s="270"/>
      <c r="AQ304" s="270"/>
      <c r="AR304" s="270"/>
      <c r="AS304" s="270"/>
      <c r="AT304" s="270"/>
      <c r="AU304" s="270"/>
      <c r="AV304" s="270"/>
      <c r="AW304" s="270"/>
      <c r="AX304" s="270"/>
      <c r="AY304" s="1072"/>
      <c r="AZ304" s="270"/>
      <c r="BA304" s="270"/>
      <c r="BB304" s="1072"/>
      <c r="BC304" s="270"/>
      <c r="BD304" s="270"/>
      <c r="BE304" s="270"/>
      <c r="BF304" s="270"/>
      <c r="BG304" s="270"/>
      <c r="BH304" s="270"/>
      <c r="BI304" s="270"/>
      <c r="BJ304" s="270"/>
      <c r="BK304" s="270"/>
      <c r="BL304" s="270"/>
      <c r="BM304" s="270"/>
      <c r="BN304" s="270"/>
      <c r="BO304" s="270"/>
      <c r="BP304" s="270"/>
      <c r="BQ304" s="270"/>
      <c r="BR304" s="270"/>
      <c r="BS304" s="270"/>
      <c r="BT304" s="270"/>
      <c r="BU304" s="270"/>
      <c r="BV304" s="270"/>
      <c r="BW304" s="270"/>
      <c r="BX304" s="270"/>
      <c r="BY304" s="270"/>
      <c r="BZ304" s="270"/>
      <c r="CA304" s="270"/>
      <c r="CB304" s="270"/>
      <c r="CC304" s="270"/>
      <c r="CD304" s="270"/>
      <c r="CE304" s="1395"/>
      <c r="CF304" s="1450"/>
      <c r="CG304" s="1450"/>
      <c r="CH304" s="270"/>
      <c r="CI304" s="270"/>
      <c r="CJ304" s="270"/>
      <c r="CK304" s="270"/>
      <c r="CL304" s="270"/>
      <c r="CM304" s="270"/>
    </row>
    <row r="305" spans="1:91" ht="13.5" hidden="1" outlineLevel="2" collapsed="1" thickBot="1" x14ac:dyDescent="0.25">
      <c r="A305" s="270"/>
      <c r="B305" s="271"/>
      <c r="C305" s="270"/>
      <c r="D305" s="270"/>
      <c r="E305" s="270"/>
      <c r="F305" s="270"/>
      <c r="G305" s="271"/>
      <c r="H305" s="270"/>
      <c r="I305" s="270"/>
      <c r="J305" s="270"/>
      <c r="K305" s="270"/>
      <c r="L305" s="270"/>
      <c r="M305" s="270"/>
      <c r="N305" s="270"/>
      <c r="O305" s="270"/>
      <c r="P305" s="270"/>
      <c r="Q305" s="270"/>
      <c r="R305" s="270"/>
      <c r="S305" s="270"/>
      <c r="T305" s="270"/>
      <c r="U305" s="1019" t="s">
        <v>1729</v>
      </c>
      <c r="V305" s="1122"/>
      <c r="W305" s="1177"/>
      <c r="X305" s="1186"/>
      <c r="Y305" s="1180" t="str">
        <f>IF(G224="","",G224)</f>
        <v>Eq4</v>
      </c>
      <c r="Z305" s="1103" t="str">
        <f>IF(OR(ISNUMBER(Z306),ISNUMBER(Z307),ISNUMBER(Z308),ISNUMBER(Z309)),4-COUNTBLANK(AI306:AI309),"")</f>
        <v/>
      </c>
      <c r="AA305" s="1104" t="s">
        <v>769</v>
      </c>
      <c r="AB305" s="1103" t="str">
        <f>IF(OR(ISNUMBER(Z306),ISNUMBER(Z307),ISNUMBER(Z308),ISNUMBER(Z309)),4-COUNTBLANK(AJ306:AJ309),"")</f>
        <v/>
      </c>
      <c r="AC305" s="1181" t="str">
        <f>IF(G225="","",G225)</f>
        <v>Eq5</v>
      </c>
      <c r="AD305" s="839"/>
      <c r="AE305" s="270" t="str">
        <f>IF(Z305="","",IF(Z305&gt;AB305,Y305,IF(Z305=AB305,IF(NoDrawWithWithdraw,IF(AL305=Y305,AC305,IF(AL305=AC305,Y305,"")),""),AC305)))</f>
        <v/>
      </c>
      <c r="AF305" s="270" t="str">
        <f>IF(Z305="","",IF(Z305=AB305,IF(NoDrawWithWithdraw,IF(AL305=Y305,"",IF(AL305=AC305,"",Y305)),Y305),""))</f>
        <v/>
      </c>
      <c r="AG305" s="270" t="str">
        <f>IF(Z305="","",IF(Z305=AB305,IF(NoDrawWithWithdraw,IF(AL305=Y305,"",IF(AL305=AC305,"",AC305)),AC305),""))</f>
        <v/>
      </c>
      <c r="AH305" s="270" t="str">
        <f>IF(Z305="","",IF(Z305&lt;AB305,Y305,IF(Z305=AB305,IF(NoDrawWithWithdraw,IF(AL305=Y305,Y305,IF(AL305=AC305,AC305,"")),""),AC305)))</f>
        <v/>
      </c>
      <c r="AI305" s="270" t="str">
        <f>IF(Z305="","",SUM(Z306:Z309))</f>
        <v/>
      </c>
      <c r="AJ305" s="270" t="str">
        <f>IF(Z305="","",SUM(AB306:AB309))</f>
        <v/>
      </c>
      <c r="AK305" s="270" t="str">
        <f>CONCATENATE(AE305,AH305)</f>
        <v/>
      </c>
      <c r="AL305" s="270" t="str">
        <f>IF(COUNTIF(Y306:Y309,WithdrawLabel)&gt;COUNTIF(AC306:AC309,WithdrawLabel),Y305,IF(COUNTIF(AC306:AC309,WithdrawLabel)&gt;COUNTIF(Y306:Y309,WithdrawLabel),AC305,""))</f>
        <v/>
      </c>
      <c r="AM305" s="270"/>
      <c r="AN305" s="270"/>
      <c r="AO305" s="575"/>
      <c r="AP305" s="270"/>
      <c r="AQ305" s="270"/>
      <c r="AR305" s="270"/>
      <c r="AS305" s="270"/>
      <c r="AT305" s="270"/>
      <c r="AU305" s="270"/>
      <c r="AV305" s="270"/>
      <c r="AW305" s="270"/>
      <c r="AX305" s="270"/>
      <c r="AY305" s="270"/>
      <c r="AZ305" s="270"/>
      <c r="BA305" s="270"/>
      <c r="BB305" s="270"/>
      <c r="BC305" s="270"/>
      <c r="BD305" s="270"/>
      <c r="BE305" s="270"/>
      <c r="BF305" s="270"/>
      <c r="BG305" s="270"/>
      <c r="BH305" s="270"/>
      <c r="BI305" s="270"/>
      <c r="BJ305" s="270"/>
      <c r="BK305" s="270"/>
      <c r="BL305" s="270"/>
      <c r="BM305" s="270"/>
      <c r="BN305" s="270"/>
      <c r="BO305" s="270"/>
      <c r="BP305" s="270"/>
      <c r="BQ305" s="270"/>
      <c r="BR305" s="270"/>
      <c r="BS305" s="270"/>
      <c r="BT305" s="270"/>
      <c r="BU305" s="270"/>
      <c r="BV305" s="270"/>
      <c r="BW305" s="270"/>
      <c r="BX305" s="270"/>
      <c r="BY305" s="270"/>
      <c r="BZ305" s="270"/>
      <c r="CA305" s="270"/>
      <c r="CB305" s="270"/>
      <c r="CC305" s="270"/>
      <c r="CD305" s="270"/>
      <c r="CE305" s="1395"/>
      <c r="CF305" s="1450"/>
      <c r="CG305" s="1450"/>
      <c r="CH305" s="270"/>
      <c r="CI305" s="270"/>
      <c r="CJ305" s="270"/>
      <c r="CK305" s="270"/>
      <c r="CL305" s="270"/>
      <c r="CM305" s="270"/>
    </row>
    <row r="306" spans="1:91" ht="13.5" hidden="1" outlineLevel="3" thickBot="1" x14ac:dyDescent="0.25">
      <c r="A306" s="270"/>
      <c r="B306" s="271"/>
      <c r="C306" s="270"/>
      <c r="D306" s="270"/>
      <c r="E306" s="270"/>
      <c r="F306" s="270"/>
      <c r="G306" s="271"/>
      <c r="H306" s="270"/>
      <c r="I306" s="270"/>
      <c r="J306" s="270"/>
      <c r="K306" s="270"/>
      <c r="L306" s="270"/>
      <c r="M306" s="270"/>
      <c r="N306" s="270"/>
      <c r="O306" s="270"/>
      <c r="P306" s="270"/>
      <c r="Q306" s="270"/>
      <c r="R306" s="270"/>
      <c r="S306" s="270"/>
      <c r="T306" s="270"/>
      <c r="U306" s="1019"/>
      <c r="V306" s="1118"/>
      <c r="W306" s="1177"/>
      <c r="X306" s="1186"/>
      <c r="Y306" s="1141"/>
      <c r="Z306" s="492"/>
      <c r="AA306" s="493" t="s">
        <v>769</v>
      </c>
      <c r="AB306" s="1069"/>
      <c r="AC306" s="1142"/>
      <c r="AD306" s="839"/>
      <c r="AE306" s="270"/>
      <c r="AF306" s="270"/>
      <c r="AG306" s="270"/>
      <c r="AH306" s="270"/>
      <c r="AI306" s="270" t="str">
        <f>IF(Z306="","",IF(Z306&gt;AB306,Y305,""))</f>
        <v/>
      </c>
      <c r="AJ306" s="270" t="str">
        <f>IF(Z306="","",IF(Z306&lt;AB306,AC305,""))</f>
        <v/>
      </c>
      <c r="AK306" s="270"/>
      <c r="AL306" s="270"/>
      <c r="AM306" s="270"/>
      <c r="AN306" s="270"/>
      <c r="AO306" s="575"/>
      <c r="AP306" s="270"/>
      <c r="AQ306" s="270"/>
      <c r="AR306" s="270"/>
      <c r="AS306" s="270"/>
      <c r="AT306" s="270"/>
      <c r="AU306" s="270"/>
      <c r="AV306" s="270"/>
      <c r="AW306" s="270"/>
      <c r="AX306" s="270"/>
      <c r="AY306" s="270"/>
      <c r="AZ306" s="270"/>
      <c r="BA306" s="270"/>
      <c r="BB306" s="270"/>
      <c r="BC306" s="270"/>
      <c r="BD306" s="270"/>
      <c r="BE306" s="270"/>
      <c r="BF306" s="270"/>
      <c r="BG306" s="270"/>
      <c r="BH306" s="270"/>
      <c r="BI306" s="270"/>
      <c r="BJ306" s="270"/>
      <c r="BK306" s="270"/>
      <c r="BL306" s="270"/>
      <c r="BM306" s="270"/>
      <c r="BN306" s="270"/>
      <c r="BO306" s="270"/>
      <c r="BP306" s="270"/>
      <c r="BQ306" s="270"/>
      <c r="BR306" s="270"/>
      <c r="BS306" s="270"/>
      <c r="BT306" s="270"/>
      <c r="BU306" s="270"/>
      <c r="BV306" s="270"/>
      <c r="BW306" s="270"/>
      <c r="BX306" s="270"/>
      <c r="BY306" s="270"/>
      <c r="BZ306" s="270"/>
      <c r="CA306" s="270"/>
      <c r="CB306" s="270"/>
      <c r="CC306" s="270"/>
      <c r="CD306" s="270"/>
      <c r="CE306" s="1395"/>
      <c r="CF306" s="1450"/>
      <c r="CG306" s="1450"/>
      <c r="CH306" s="270"/>
      <c r="CI306" s="270"/>
      <c r="CJ306" s="270"/>
      <c r="CK306" s="270"/>
      <c r="CL306" s="270"/>
      <c r="CM306" s="270"/>
    </row>
    <row r="307" spans="1:91" ht="13.5" hidden="1" outlineLevel="3" thickBot="1" x14ac:dyDescent="0.25">
      <c r="A307" s="270"/>
      <c r="B307" s="271"/>
      <c r="C307" s="270"/>
      <c r="D307" s="270"/>
      <c r="E307" s="270"/>
      <c r="F307" s="270"/>
      <c r="G307" s="271"/>
      <c r="H307" s="270"/>
      <c r="I307" s="270"/>
      <c r="J307" s="270"/>
      <c r="K307" s="270"/>
      <c r="L307" s="270"/>
      <c r="M307" s="270"/>
      <c r="N307" s="270"/>
      <c r="O307" s="270"/>
      <c r="P307" s="270"/>
      <c r="Q307" s="270"/>
      <c r="R307" s="270"/>
      <c r="S307" s="270"/>
      <c r="T307" s="270"/>
      <c r="U307" s="1019"/>
      <c r="V307" s="1118"/>
      <c r="W307" s="1177"/>
      <c r="X307" s="1186"/>
      <c r="Y307" s="1141"/>
      <c r="Z307" s="492"/>
      <c r="AA307" s="493" t="s">
        <v>769</v>
      </c>
      <c r="AB307" s="1069"/>
      <c r="AC307" s="1142"/>
      <c r="AD307" s="839"/>
      <c r="AE307" s="270"/>
      <c r="AF307" s="270"/>
      <c r="AG307" s="270"/>
      <c r="AH307" s="270"/>
      <c r="AI307" s="270" t="str">
        <f>IF(Z307="","",IF(Z307&gt;AB307,Y305,""))</f>
        <v/>
      </c>
      <c r="AJ307" s="270" t="str">
        <f>IF(Z307="","",IF(Z307&lt;AB307,AC305,""))</f>
        <v/>
      </c>
      <c r="AK307" s="270"/>
      <c r="AL307" s="270"/>
      <c r="AM307" s="270"/>
      <c r="AN307" s="270"/>
      <c r="AO307" s="575"/>
      <c r="AP307" s="270"/>
      <c r="AQ307" s="270"/>
      <c r="AR307" s="270"/>
      <c r="AS307" s="270"/>
      <c r="AT307" s="270"/>
      <c r="AU307" s="270"/>
      <c r="AV307" s="270"/>
      <c r="AW307" s="270"/>
      <c r="AX307" s="270"/>
      <c r="AY307" s="270"/>
      <c r="AZ307" s="270"/>
      <c r="BA307" s="270"/>
      <c r="BB307" s="270"/>
      <c r="BC307" s="270"/>
      <c r="BD307" s="270"/>
      <c r="BE307" s="270"/>
      <c r="BF307" s="270"/>
      <c r="BG307" s="270"/>
      <c r="BH307" s="270"/>
      <c r="BI307" s="270"/>
      <c r="BJ307" s="270"/>
      <c r="BK307" s="270"/>
      <c r="BL307" s="270"/>
      <c r="BM307" s="270"/>
      <c r="BN307" s="270"/>
      <c r="BO307" s="270"/>
      <c r="BP307" s="270"/>
      <c r="BQ307" s="270"/>
      <c r="BR307" s="270"/>
      <c r="BS307" s="270"/>
      <c r="BT307" s="270"/>
      <c r="BU307" s="270"/>
      <c r="BV307" s="270"/>
      <c r="BW307" s="270"/>
      <c r="BX307" s="270"/>
      <c r="BY307" s="270"/>
      <c r="BZ307" s="270"/>
      <c r="CA307" s="270"/>
      <c r="CB307" s="270"/>
      <c r="CC307" s="270"/>
      <c r="CD307" s="270"/>
      <c r="CE307" s="1395"/>
      <c r="CF307" s="1450"/>
      <c r="CG307" s="1450"/>
      <c r="CH307" s="270"/>
      <c r="CI307" s="270"/>
      <c r="CJ307" s="270"/>
      <c r="CK307" s="270"/>
      <c r="CL307" s="270"/>
      <c r="CM307" s="270"/>
    </row>
    <row r="308" spans="1:91" ht="13.5" hidden="1" outlineLevel="3" thickBot="1" x14ac:dyDescent="0.25">
      <c r="A308" s="270"/>
      <c r="B308" s="271"/>
      <c r="C308" s="270"/>
      <c r="D308" s="270"/>
      <c r="E308" s="270"/>
      <c r="F308" s="270"/>
      <c r="G308" s="271"/>
      <c r="H308" s="270"/>
      <c r="I308" s="270"/>
      <c r="J308" s="270"/>
      <c r="K308" s="270"/>
      <c r="L308" s="270"/>
      <c r="M308" s="270"/>
      <c r="N308" s="270"/>
      <c r="O308" s="270"/>
      <c r="P308" s="270"/>
      <c r="Q308" s="270"/>
      <c r="R308" s="270"/>
      <c r="S308" s="270"/>
      <c r="T308" s="270"/>
      <c r="U308" s="1019"/>
      <c r="V308" s="1118"/>
      <c r="W308" s="1177"/>
      <c r="X308" s="1186"/>
      <c r="Y308" s="1141"/>
      <c r="Z308" s="492"/>
      <c r="AA308" s="493" t="s">
        <v>769</v>
      </c>
      <c r="AB308" s="1069"/>
      <c r="AC308" s="1142"/>
      <c r="AD308" s="839"/>
      <c r="AE308" s="270"/>
      <c r="AF308" s="270"/>
      <c r="AG308" s="270"/>
      <c r="AH308" s="270"/>
      <c r="AI308" s="270" t="str">
        <f>IF(Z308="","",IF(Z308&gt;AB308,Y305,""))</f>
        <v/>
      </c>
      <c r="AJ308" s="270" t="str">
        <f>IF(Z308="","",IF(Z308&lt;AB308,AC305,""))</f>
        <v/>
      </c>
      <c r="AK308" s="270"/>
      <c r="AL308" s="270"/>
      <c r="AM308" s="270"/>
      <c r="AN308" s="270"/>
      <c r="AO308" s="575"/>
      <c r="AP308" s="270"/>
      <c r="AQ308" s="270"/>
      <c r="AR308" s="270"/>
      <c r="AS308" s="270"/>
      <c r="AT308" s="270"/>
      <c r="AU308" s="270"/>
      <c r="AV308" s="270"/>
      <c r="AW308" s="270"/>
      <c r="AX308" s="270"/>
      <c r="AY308" s="270"/>
      <c r="AZ308" s="270"/>
      <c r="BA308" s="270"/>
      <c r="BB308" s="270"/>
      <c r="BC308" s="270"/>
      <c r="BD308" s="270"/>
      <c r="BE308" s="270"/>
      <c r="BF308" s="270"/>
      <c r="BG308" s="270"/>
      <c r="BH308" s="270"/>
      <c r="BI308" s="270"/>
      <c r="BJ308" s="270"/>
      <c r="BK308" s="270"/>
      <c r="BL308" s="270"/>
      <c r="BM308" s="270"/>
      <c r="BN308" s="270"/>
      <c r="BO308" s="270"/>
      <c r="BP308" s="270"/>
      <c r="BQ308" s="270"/>
      <c r="BR308" s="270"/>
      <c r="BS308" s="270"/>
      <c r="BT308" s="270"/>
      <c r="BU308" s="270"/>
      <c r="BV308" s="270"/>
      <c r="BW308" s="270"/>
      <c r="BX308" s="270"/>
      <c r="BY308" s="270"/>
      <c r="BZ308" s="270"/>
      <c r="CA308" s="270"/>
      <c r="CB308" s="270"/>
      <c r="CC308" s="270"/>
      <c r="CD308" s="270"/>
      <c r="CE308" s="1395"/>
      <c r="CF308" s="1450"/>
      <c r="CG308" s="1450"/>
      <c r="CH308" s="270"/>
      <c r="CI308" s="270"/>
      <c r="CJ308" s="270"/>
      <c r="CK308" s="270"/>
      <c r="CL308" s="270"/>
      <c r="CM308" s="270"/>
    </row>
    <row r="309" spans="1:91" ht="13.5" hidden="1" outlineLevel="3" thickBot="1" x14ac:dyDescent="0.25">
      <c r="A309" s="270"/>
      <c r="B309" s="271"/>
      <c r="C309" s="270"/>
      <c r="D309" s="270"/>
      <c r="E309" s="270"/>
      <c r="F309" s="270"/>
      <c r="G309" s="271"/>
      <c r="H309" s="270"/>
      <c r="I309" s="270"/>
      <c r="J309" s="270"/>
      <c r="K309" s="270"/>
      <c r="L309" s="270"/>
      <c r="M309" s="270"/>
      <c r="N309" s="270"/>
      <c r="O309" s="270"/>
      <c r="P309" s="270"/>
      <c r="Q309" s="270"/>
      <c r="R309" s="270"/>
      <c r="S309" s="270"/>
      <c r="T309" s="270"/>
      <c r="U309" s="1019"/>
      <c r="V309" s="1118"/>
      <c r="W309" s="1177"/>
      <c r="X309" s="1186"/>
      <c r="Y309" s="1141"/>
      <c r="Z309" s="492"/>
      <c r="AA309" s="493" t="s">
        <v>769</v>
      </c>
      <c r="AB309" s="1069"/>
      <c r="AC309" s="1142"/>
      <c r="AD309" s="839"/>
      <c r="AE309" s="270"/>
      <c r="AF309" s="270"/>
      <c r="AG309" s="270"/>
      <c r="AH309" s="270"/>
      <c r="AI309" s="270" t="str">
        <f>IF(Z309="","",IF(Z309&gt;AB309,Y305,""))</f>
        <v/>
      </c>
      <c r="AJ309" s="270" t="str">
        <f>IF(Z309="","",IF(Z309&lt;AB309,AC305,""))</f>
        <v/>
      </c>
      <c r="AK309" s="270"/>
      <c r="AL309" s="270"/>
      <c r="AM309" s="270"/>
      <c r="AN309" s="270"/>
      <c r="AO309" s="575"/>
      <c r="AP309" s="270"/>
      <c r="AQ309" s="270"/>
      <c r="AR309" s="270"/>
      <c r="AS309" s="270"/>
      <c r="AT309" s="270"/>
      <c r="AU309" s="270"/>
      <c r="AV309" s="270"/>
      <c r="AW309" s="270"/>
      <c r="AX309" s="270"/>
      <c r="AY309" s="270"/>
      <c r="AZ309" s="270"/>
      <c r="BA309" s="270"/>
      <c r="BB309" s="270"/>
      <c r="BC309" s="270"/>
      <c r="BD309" s="270"/>
      <c r="BE309" s="270"/>
      <c r="BF309" s="270"/>
      <c r="BG309" s="270"/>
      <c r="BH309" s="270"/>
      <c r="BI309" s="270"/>
      <c r="BJ309" s="270"/>
      <c r="BK309" s="270"/>
      <c r="BL309" s="270"/>
      <c r="BM309" s="270"/>
      <c r="BN309" s="270"/>
      <c r="BO309" s="270"/>
      <c r="BP309" s="270"/>
      <c r="BQ309" s="270"/>
      <c r="BR309" s="270"/>
      <c r="BS309" s="270"/>
      <c r="BT309" s="270"/>
      <c r="BU309" s="270"/>
      <c r="BV309" s="270"/>
      <c r="BW309" s="270"/>
      <c r="BX309" s="270"/>
      <c r="BY309" s="270"/>
      <c r="BZ309" s="270"/>
      <c r="CA309" s="270"/>
      <c r="CB309" s="270"/>
      <c r="CC309" s="270"/>
      <c r="CD309" s="270"/>
      <c r="CE309" s="1395"/>
      <c r="CF309" s="1450"/>
      <c r="CG309" s="1450"/>
      <c r="CH309" s="270"/>
      <c r="CI309" s="270"/>
      <c r="CJ309" s="270"/>
      <c r="CK309" s="270"/>
      <c r="CL309" s="270"/>
      <c r="CM309" s="270"/>
    </row>
    <row r="310" spans="1:91" ht="13.5" hidden="1" outlineLevel="3" thickBot="1" x14ac:dyDescent="0.25">
      <c r="A310" s="270"/>
      <c r="B310" s="271"/>
      <c r="C310" s="12"/>
      <c r="D310" s="1071"/>
      <c r="E310" s="1071"/>
      <c r="F310" s="1071"/>
      <c r="G310" s="626"/>
      <c r="H310" s="271"/>
      <c r="I310" s="270"/>
      <c r="J310" s="270"/>
      <c r="K310" s="270"/>
      <c r="L310" s="270"/>
      <c r="M310" s="270"/>
      <c r="N310" s="270"/>
      <c r="O310" s="270"/>
      <c r="P310" s="1072"/>
      <c r="Q310" s="270"/>
      <c r="R310" s="270"/>
      <c r="S310" s="1072"/>
      <c r="T310" s="270"/>
      <c r="U310" s="1019"/>
      <c r="V310" s="1073"/>
      <c r="W310" s="1074"/>
      <c r="X310" s="1075" t="str">
        <f>N_Substitute</f>
        <v>Remplaçant</v>
      </c>
      <c r="Y310" s="1141"/>
      <c r="Z310" s="492"/>
      <c r="AA310" s="1076"/>
      <c r="AB310" s="1069"/>
      <c r="AC310" s="1142"/>
      <c r="AD310" s="839"/>
      <c r="AE310" s="270"/>
      <c r="AF310" s="270"/>
      <c r="AG310" s="270"/>
      <c r="AH310" s="270"/>
      <c r="AI310" s="270"/>
      <c r="AJ310" s="270"/>
      <c r="AK310" s="270"/>
      <c r="AL310" s="270"/>
      <c r="AM310" s="270"/>
      <c r="AN310" s="270"/>
      <c r="AO310" s="271"/>
      <c r="AP310" s="270"/>
      <c r="AQ310" s="270"/>
      <c r="AR310" s="270"/>
      <c r="AS310" s="270"/>
      <c r="AT310" s="270"/>
      <c r="AU310" s="270"/>
      <c r="AV310" s="270"/>
      <c r="AW310" s="270"/>
      <c r="AX310" s="270"/>
      <c r="AY310" s="1072"/>
      <c r="AZ310" s="270"/>
      <c r="BA310" s="270"/>
      <c r="BB310" s="1072"/>
      <c r="BC310" s="270"/>
      <c r="BD310" s="270"/>
      <c r="BE310" s="270"/>
      <c r="BF310" s="270"/>
      <c r="BG310" s="270"/>
      <c r="BH310" s="270"/>
      <c r="BI310" s="270"/>
      <c r="BJ310" s="270"/>
      <c r="BK310" s="270"/>
      <c r="BL310" s="270"/>
      <c r="BM310" s="270"/>
      <c r="BN310" s="270"/>
      <c r="BO310" s="270"/>
      <c r="BP310" s="270"/>
      <c r="BQ310" s="270"/>
      <c r="BR310" s="270"/>
      <c r="BS310" s="270"/>
      <c r="BT310" s="270"/>
      <c r="BU310" s="270"/>
      <c r="BV310" s="270"/>
      <c r="BW310" s="270"/>
      <c r="BX310" s="270"/>
      <c r="BY310" s="270"/>
      <c r="BZ310" s="270"/>
      <c r="CA310" s="270"/>
      <c r="CB310" s="270"/>
      <c r="CC310" s="270"/>
      <c r="CD310" s="270"/>
      <c r="CE310" s="1395"/>
      <c r="CF310" s="1450"/>
      <c r="CG310" s="1450"/>
      <c r="CH310" s="270"/>
      <c r="CI310" s="270"/>
      <c r="CJ310" s="270"/>
      <c r="CK310" s="270"/>
      <c r="CL310" s="270"/>
      <c r="CM310" s="270"/>
    </row>
    <row r="311" spans="1:91" ht="13.5" hidden="1" outlineLevel="3" thickBot="1" x14ac:dyDescent="0.25">
      <c r="A311" s="270"/>
      <c r="B311" s="271"/>
      <c r="C311" s="12"/>
      <c r="D311" s="1071"/>
      <c r="E311" s="1071"/>
      <c r="F311" s="1071"/>
      <c r="G311" s="626"/>
      <c r="H311" s="271"/>
      <c r="I311" s="270"/>
      <c r="J311" s="270"/>
      <c r="K311" s="270"/>
      <c r="L311" s="270"/>
      <c r="M311" s="270"/>
      <c r="N311" s="270"/>
      <c r="O311" s="270"/>
      <c r="P311" s="1072"/>
      <c r="Q311" s="270"/>
      <c r="R311" s="270"/>
      <c r="S311" s="1072"/>
      <c r="T311" s="270"/>
      <c r="U311" s="1019"/>
      <c r="V311" s="1188"/>
      <c r="W311" s="1189"/>
      <c r="X311" s="1089" t="str">
        <f>N_Substitute</f>
        <v>Remplaçant</v>
      </c>
      <c r="Y311" s="1145"/>
      <c r="Z311" s="496"/>
      <c r="AA311" s="1090"/>
      <c r="AB311" s="496"/>
      <c r="AC311" s="1146"/>
      <c r="AD311" s="839"/>
      <c r="AE311" s="270"/>
      <c r="AF311" s="270"/>
      <c r="AG311" s="270"/>
      <c r="AH311" s="270"/>
      <c r="AI311" s="270"/>
      <c r="AJ311" s="270"/>
      <c r="AK311" s="270"/>
      <c r="AL311" s="270"/>
      <c r="AM311" s="270"/>
      <c r="AN311" s="270"/>
      <c r="AO311" s="271"/>
      <c r="AP311" s="270"/>
      <c r="AQ311" s="270"/>
      <c r="AR311" s="270"/>
      <c r="AS311" s="270"/>
      <c r="AT311" s="270"/>
      <c r="AU311" s="270"/>
      <c r="AV311" s="270"/>
      <c r="AW311" s="270"/>
      <c r="AX311" s="270"/>
      <c r="AY311" s="1072"/>
      <c r="AZ311" s="270"/>
      <c r="BA311" s="270"/>
      <c r="BB311" s="1072"/>
      <c r="BC311" s="270"/>
      <c r="BD311" s="270"/>
      <c r="BE311" s="270"/>
      <c r="BF311" s="270"/>
      <c r="BG311" s="270"/>
      <c r="BH311" s="270"/>
      <c r="BI311" s="270"/>
      <c r="BJ311" s="270"/>
      <c r="BK311" s="270"/>
      <c r="BL311" s="270"/>
      <c r="BM311" s="270"/>
      <c r="BN311" s="270"/>
      <c r="BO311" s="270"/>
      <c r="BP311" s="270"/>
      <c r="BQ311" s="270"/>
      <c r="BR311" s="270"/>
      <c r="BS311" s="270"/>
      <c r="BT311" s="270"/>
      <c r="BU311" s="270"/>
      <c r="BV311" s="270"/>
      <c r="BW311" s="270"/>
      <c r="BX311" s="270"/>
      <c r="BY311" s="270"/>
      <c r="BZ311" s="270"/>
      <c r="CA311" s="270"/>
      <c r="CB311" s="270"/>
      <c r="CC311" s="270"/>
      <c r="CD311" s="270"/>
      <c r="CE311" s="1395"/>
      <c r="CF311" s="1450"/>
      <c r="CG311" s="1450"/>
      <c r="CH311" s="270"/>
      <c r="CI311" s="270"/>
      <c r="CJ311" s="270"/>
      <c r="CK311" s="270"/>
      <c r="CL311" s="270"/>
      <c r="CM311" s="270"/>
    </row>
    <row r="312" spans="1:91" hidden="1" outlineLevel="2" collapsed="1" x14ac:dyDescent="0.2">
      <c r="A312" s="270"/>
      <c r="B312" s="271"/>
      <c r="C312" s="270"/>
      <c r="D312" s="270"/>
      <c r="E312" s="270"/>
      <c r="F312" s="270"/>
      <c r="G312" s="271"/>
      <c r="H312" s="270"/>
      <c r="I312" s="270"/>
      <c r="J312" s="270"/>
      <c r="K312" s="270"/>
      <c r="L312" s="270"/>
      <c r="M312" s="270"/>
      <c r="N312" s="270"/>
      <c r="O312" s="270"/>
      <c r="P312" s="270"/>
      <c r="Q312" s="270"/>
      <c r="R312" s="270"/>
      <c r="S312" s="270"/>
      <c r="T312" s="270"/>
      <c r="U312" s="1019" t="s">
        <v>1730</v>
      </c>
      <c r="V312" s="1117"/>
      <c r="W312" s="1527"/>
      <c r="X312" s="1528"/>
      <c r="Y312" s="1174" t="str">
        <f>IF(G221="","",G221)</f>
        <v>Eq1</v>
      </c>
      <c r="Z312" s="1063" t="str">
        <f>IF(OR(ISNUMBER(Z313),ISNUMBER(Z314),ISNUMBER(Z315),ISNUMBER(Z316)),4-COUNTBLANK(AI313:AI316),"")</f>
        <v/>
      </c>
      <c r="AA312" s="1064" t="s">
        <v>769</v>
      </c>
      <c r="AB312" s="1063" t="str">
        <f>IF(OR(ISNUMBER(Z313),ISNUMBER(Z314),ISNUMBER(Z315),ISNUMBER(Z316)),4-COUNTBLANK(AJ313:AJ316),"")</f>
        <v/>
      </c>
      <c r="AC312" s="1175" t="str">
        <f>IF(G222="","",G222)</f>
        <v>Eq2</v>
      </c>
      <c r="AD312" s="839"/>
      <c r="AE312" s="270" t="str">
        <f>IF(Z312="","",IF(Z312&gt;AB312,Y312,IF(Z312=AB312,IF(NoDrawWithWithdraw,IF(AL312=Y312,AC312,IF(AL312=AC312,Y312,"")),""),AC312)))</f>
        <v/>
      </c>
      <c r="AF312" s="270" t="str">
        <f>IF(Z312="","",IF(Z312=AB312,IF(NoDrawWithWithdraw,IF(AL312=Y312,"",IF(AL312=AC312,"",Y312)),Y312),""))</f>
        <v/>
      </c>
      <c r="AG312" s="270" t="str">
        <f>IF(Z312="","",IF(Z312=AB312,IF(NoDrawWithWithdraw,IF(AL312=Y312,"",IF(AL312=AC312,"",AC312)),AC312),""))</f>
        <v/>
      </c>
      <c r="AH312" s="270" t="str">
        <f>IF(Z312="","",IF(Z312&lt;AB312,Y312,IF(Z312=AB312,IF(NoDrawWithWithdraw,IF(AL312=Y312,Y312,IF(AL312=AC312,AC312,"")),""),AC312)))</f>
        <v/>
      </c>
      <c r="AI312" s="270" t="str">
        <f>IF(Z312="","",SUM(Z313:Z316))</f>
        <v/>
      </c>
      <c r="AJ312" s="270" t="str">
        <f>IF(Z312="","",SUM(AB313:AB316))</f>
        <v/>
      </c>
      <c r="AK312" s="270" t="str">
        <f>CONCATENATE(AE312,AH312)</f>
        <v/>
      </c>
      <c r="AL312" s="270" t="str">
        <f>IF(COUNTIF(Y313:Y316,WithdrawLabel)&gt;COUNTIF(AC313:AC316,WithdrawLabel),Y312,IF(COUNTIF(AC313:AC316,WithdrawLabel)&gt;COUNTIF(Y313:Y316,WithdrawLabel),AC312,""))</f>
        <v/>
      </c>
      <c r="AM312" s="270"/>
      <c r="AN312" s="270"/>
      <c r="AO312" s="575"/>
      <c r="AP312" s="270"/>
      <c r="AQ312" s="270"/>
      <c r="AR312" s="270"/>
      <c r="AS312" s="270"/>
      <c r="AT312" s="270"/>
      <c r="AU312" s="270"/>
      <c r="AV312" s="270"/>
      <c r="AW312" s="270"/>
      <c r="AX312" s="270"/>
      <c r="AY312" s="270"/>
      <c r="AZ312" s="270"/>
      <c r="BA312" s="270"/>
      <c r="BB312" s="270"/>
      <c r="BC312" s="270"/>
      <c r="BD312" s="270"/>
      <c r="BE312" s="270"/>
      <c r="BF312" s="270"/>
      <c r="BG312" s="270"/>
      <c r="BH312" s="270"/>
      <c r="BI312" s="270"/>
      <c r="BJ312" s="270"/>
      <c r="BK312" s="270"/>
      <c r="BL312" s="270"/>
      <c r="BM312" s="270"/>
      <c r="BN312" s="270"/>
      <c r="BO312" s="270"/>
      <c r="BP312" s="270"/>
      <c r="BQ312" s="270"/>
      <c r="BR312" s="270"/>
      <c r="BS312" s="270"/>
      <c r="BT312" s="270"/>
      <c r="BU312" s="270"/>
      <c r="BV312" s="270"/>
      <c r="BW312" s="270"/>
      <c r="BX312" s="270"/>
      <c r="BY312" s="270"/>
      <c r="BZ312" s="270"/>
      <c r="CA312" s="270"/>
      <c r="CB312" s="270"/>
      <c r="CC312" s="270"/>
      <c r="CD312" s="270"/>
      <c r="CE312" s="1395"/>
      <c r="CF312" s="1450"/>
      <c r="CG312" s="1450"/>
      <c r="CH312" s="270"/>
      <c r="CI312" s="270"/>
      <c r="CJ312" s="270"/>
      <c r="CK312" s="270"/>
      <c r="CL312" s="270"/>
      <c r="CM312" s="270"/>
    </row>
    <row r="313" spans="1:91" ht="13.5" hidden="1" outlineLevel="3" thickBot="1" x14ac:dyDescent="0.25">
      <c r="A313" s="270"/>
      <c r="B313" s="271"/>
      <c r="C313" s="270"/>
      <c r="D313" s="270"/>
      <c r="E313" s="270"/>
      <c r="F313" s="270"/>
      <c r="G313" s="271"/>
      <c r="H313" s="270"/>
      <c r="I313" s="270"/>
      <c r="J313" s="270"/>
      <c r="K313" s="270"/>
      <c r="L313" s="270"/>
      <c r="M313" s="270"/>
      <c r="N313" s="270"/>
      <c r="O313" s="270"/>
      <c r="P313" s="270"/>
      <c r="Q313" s="270"/>
      <c r="R313" s="270"/>
      <c r="S313" s="270"/>
      <c r="T313" s="270"/>
      <c r="U313" s="1019"/>
      <c r="V313" s="1118"/>
      <c r="W313" s="1177"/>
      <c r="X313" s="1186"/>
      <c r="Y313" s="1141"/>
      <c r="Z313" s="492"/>
      <c r="AA313" s="493" t="s">
        <v>769</v>
      </c>
      <c r="AB313" s="1069"/>
      <c r="AC313" s="1142"/>
      <c r="AD313" s="839"/>
      <c r="AE313" s="270" t="str">
        <f>IF(Z313="","",IF(Z313&gt;AB313,Y313,IF(Z313=AB313,"",AC313)))</f>
        <v/>
      </c>
      <c r="AF313" s="270" t="str">
        <f>IF(Z313="","",IF(Z313=AB313,Y313,""))</f>
        <v/>
      </c>
      <c r="AG313" s="270" t="str">
        <f>IF(Z313="","",IF(Z313=AB313,AC313,""))</f>
        <v/>
      </c>
      <c r="AH313" s="270" t="str">
        <f>IF(Z313="","",IF(Z313&lt;AB313,Y313,IF(Z313=AB313,"",AC313)))</f>
        <v/>
      </c>
      <c r="AI313" s="270" t="str">
        <f>IF(Z313="","",IF(Z313&gt;AB313,Y312,""))</f>
        <v/>
      </c>
      <c r="AJ313" s="270" t="str">
        <f>IF(Z313="","",IF(Z313&lt;AB313,AC312,""))</f>
        <v/>
      </c>
      <c r="AK313" s="270" t="str">
        <f>CONCATENATE(AE313,AH313)</f>
        <v/>
      </c>
      <c r="AL313" s="270"/>
      <c r="AM313" s="270"/>
      <c r="AN313" s="270"/>
      <c r="AO313" s="575"/>
      <c r="AP313" s="270"/>
      <c r="AQ313" s="270"/>
      <c r="AR313" s="270"/>
      <c r="AS313" s="270"/>
      <c r="AT313" s="270"/>
      <c r="AU313" s="270"/>
      <c r="AV313" s="270"/>
      <c r="AW313" s="270"/>
      <c r="AX313" s="270"/>
      <c r="AY313" s="270"/>
      <c r="AZ313" s="270"/>
      <c r="BA313" s="270"/>
      <c r="BB313" s="270"/>
      <c r="BC313" s="270"/>
      <c r="BD313" s="270"/>
      <c r="BE313" s="270"/>
      <c r="BF313" s="270"/>
      <c r="BG313" s="270"/>
      <c r="BH313" s="270"/>
      <c r="BI313" s="270"/>
      <c r="BJ313" s="270"/>
      <c r="BK313" s="270"/>
      <c r="BL313" s="270"/>
      <c r="BM313" s="270"/>
      <c r="BN313" s="270"/>
      <c r="BO313" s="270"/>
      <c r="BP313" s="270"/>
      <c r="BQ313" s="270"/>
      <c r="BR313" s="270"/>
      <c r="BS313" s="270"/>
      <c r="BT313" s="270"/>
      <c r="BU313" s="270"/>
      <c r="BV313" s="270"/>
      <c r="BW313" s="270"/>
      <c r="BX313" s="270"/>
      <c r="BY313" s="270"/>
      <c r="BZ313" s="270"/>
      <c r="CA313" s="270"/>
      <c r="CB313" s="270"/>
      <c r="CC313" s="270"/>
      <c r="CD313" s="270"/>
      <c r="CE313" s="1395"/>
      <c r="CF313" s="1450"/>
      <c r="CG313" s="1450"/>
      <c r="CH313" s="270"/>
      <c r="CI313" s="270"/>
      <c r="CJ313" s="270"/>
      <c r="CK313" s="270"/>
      <c r="CL313" s="270"/>
      <c r="CM313" s="270"/>
    </row>
    <row r="314" spans="1:91" ht="13.5" hidden="1" outlineLevel="3" thickBot="1" x14ac:dyDescent="0.25">
      <c r="A314" s="270"/>
      <c r="B314" s="271"/>
      <c r="C314" s="270"/>
      <c r="D314" s="270"/>
      <c r="E314" s="270"/>
      <c r="F314" s="270"/>
      <c r="G314" s="271"/>
      <c r="H314" s="270"/>
      <c r="I314" s="270"/>
      <c r="J314" s="270"/>
      <c r="K314" s="270"/>
      <c r="L314" s="270"/>
      <c r="M314" s="270"/>
      <c r="N314" s="270"/>
      <c r="O314" s="270"/>
      <c r="P314" s="270"/>
      <c r="Q314" s="270"/>
      <c r="R314" s="270"/>
      <c r="S314" s="270"/>
      <c r="T314" s="270"/>
      <c r="U314" s="1019"/>
      <c r="V314" s="1118"/>
      <c r="W314" s="1177"/>
      <c r="X314" s="1186"/>
      <c r="Y314" s="1141"/>
      <c r="Z314" s="492"/>
      <c r="AA314" s="493" t="s">
        <v>769</v>
      </c>
      <c r="AB314" s="1069"/>
      <c r="AC314" s="1142"/>
      <c r="AD314" s="839"/>
      <c r="AE314" s="270" t="str">
        <f>IF(Z314="","",IF(Z314&gt;AB314,Y314,IF(Z314=AB314,"",AC314)))</f>
        <v/>
      </c>
      <c r="AF314" s="270" t="str">
        <f>IF(Z314="","",IF(Z314=AB314,Y314,""))</f>
        <v/>
      </c>
      <c r="AG314" s="270" t="str">
        <f>IF(Z314="","",IF(Z314=AB314,AC314,""))</f>
        <v/>
      </c>
      <c r="AH314" s="270" t="str">
        <f>IF(Z314="","",IF(Z314&lt;AB314,Y314,IF(Z314=AB314,"",AC314)))</f>
        <v/>
      </c>
      <c r="AI314" s="270" t="str">
        <f>IF(Z314="","",IF(Z314&gt;AB314,Y312,""))</f>
        <v/>
      </c>
      <c r="AJ314" s="270" t="str">
        <f>IF(Z314="","",IF(Z314&lt;AB314,AC312,""))</f>
        <v/>
      </c>
      <c r="AK314" s="270" t="str">
        <f>CONCATENATE(AE314,AH314)</f>
        <v/>
      </c>
      <c r="AL314" s="270"/>
      <c r="AM314" s="270"/>
      <c r="AN314" s="270"/>
      <c r="AO314" s="575"/>
      <c r="AP314" s="270"/>
      <c r="AQ314" s="270"/>
      <c r="AR314" s="270"/>
      <c r="AS314" s="270"/>
      <c r="AT314" s="270"/>
      <c r="AU314" s="270"/>
      <c r="AV314" s="270"/>
      <c r="AW314" s="270"/>
      <c r="AX314" s="270"/>
      <c r="AY314" s="270"/>
      <c r="AZ314" s="270"/>
      <c r="BA314" s="270"/>
      <c r="BB314" s="270"/>
      <c r="BC314" s="270"/>
      <c r="BD314" s="270"/>
      <c r="BE314" s="270"/>
      <c r="BF314" s="270"/>
      <c r="BG314" s="270"/>
      <c r="BH314" s="270"/>
      <c r="BI314" s="270"/>
      <c r="BJ314" s="270"/>
      <c r="BK314" s="270"/>
      <c r="BL314" s="270"/>
      <c r="BM314" s="270"/>
      <c r="BN314" s="270"/>
      <c r="BO314" s="270"/>
      <c r="BP314" s="270"/>
      <c r="BQ314" s="270"/>
      <c r="BR314" s="270"/>
      <c r="BS314" s="270"/>
      <c r="BT314" s="270"/>
      <c r="BU314" s="270"/>
      <c r="BV314" s="270"/>
      <c r="BW314" s="270"/>
      <c r="BX314" s="270"/>
      <c r="BY314" s="270"/>
      <c r="BZ314" s="270"/>
      <c r="CA314" s="270"/>
      <c r="CB314" s="270"/>
      <c r="CC314" s="270"/>
      <c r="CD314" s="270"/>
      <c r="CE314" s="1395"/>
      <c r="CF314" s="1450"/>
      <c r="CG314" s="1450"/>
      <c r="CH314" s="270"/>
      <c r="CI314" s="270"/>
      <c r="CJ314" s="270"/>
      <c r="CK314" s="270"/>
      <c r="CL314" s="270"/>
      <c r="CM314" s="270"/>
    </row>
    <row r="315" spans="1:91" ht="13.5" hidden="1" outlineLevel="3" thickBot="1" x14ac:dyDescent="0.25">
      <c r="A315" s="270"/>
      <c r="B315" s="271"/>
      <c r="C315" s="270"/>
      <c r="D315" s="270"/>
      <c r="E315" s="270"/>
      <c r="F315" s="270"/>
      <c r="G315" s="271"/>
      <c r="H315" s="270"/>
      <c r="I315" s="270"/>
      <c r="J315" s="270"/>
      <c r="K315" s="270"/>
      <c r="L315" s="270"/>
      <c r="M315" s="270"/>
      <c r="N315" s="270"/>
      <c r="O315" s="270"/>
      <c r="P315" s="270"/>
      <c r="Q315" s="270"/>
      <c r="R315" s="270"/>
      <c r="S315" s="270"/>
      <c r="T315" s="270"/>
      <c r="U315" s="1019"/>
      <c r="V315" s="1118"/>
      <c r="W315" s="1177"/>
      <c r="X315" s="1186"/>
      <c r="Y315" s="1141"/>
      <c r="Z315" s="492"/>
      <c r="AA315" s="493" t="s">
        <v>769</v>
      </c>
      <c r="AB315" s="1069"/>
      <c r="AC315" s="1142"/>
      <c r="AD315" s="839"/>
      <c r="AE315" s="270" t="str">
        <f>IF(Z315="","",IF(Z315&gt;AB315,Y315,IF(Z315=AB315,"",AC315)))</f>
        <v/>
      </c>
      <c r="AF315" s="270" t="str">
        <f>IF(Z315="","",IF(Z315=AB315,Y315,""))</f>
        <v/>
      </c>
      <c r="AG315" s="270" t="str">
        <f>IF(Z315="","",IF(Z315=AB315,AC315,""))</f>
        <v/>
      </c>
      <c r="AH315" s="270" t="str">
        <f>IF(Z315="","",IF(Z315&lt;AB315,Y315,IF(Z315=AB315,"",AC315)))</f>
        <v/>
      </c>
      <c r="AI315" s="270" t="str">
        <f>IF(Z315="","",IF(Z315&gt;AB315,Y312,""))</f>
        <v/>
      </c>
      <c r="AJ315" s="270" t="str">
        <f>IF(Z315="","",IF(Z315&lt;AB315,AC312,""))</f>
        <v/>
      </c>
      <c r="AK315" s="270" t="str">
        <f>CONCATENATE(AE315,AH315)</f>
        <v/>
      </c>
      <c r="AL315" s="270"/>
      <c r="AM315" s="270"/>
      <c r="AN315" s="270"/>
      <c r="AO315" s="575"/>
      <c r="AP315" s="270"/>
      <c r="AQ315" s="270"/>
      <c r="AR315" s="270"/>
      <c r="AS315" s="270"/>
      <c r="AT315" s="270"/>
      <c r="AU315" s="270"/>
      <c r="AV315" s="270"/>
      <c r="AW315" s="270"/>
      <c r="AX315" s="270"/>
      <c r="AY315" s="270"/>
      <c r="AZ315" s="270"/>
      <c r="BA315" s="270"/>
      <c r="BB315" s="270"/>
      <c r="BC315" s="270"/>
      <c r="BD315" s="270"/>
      <c r="BE315" s="270"/>
      <c r="BF315" s="270"/>
      <c r="BG315" s="270"/>
      <c r="BH315" s="270"/>
      <c r="BI315" s="270"/>
      <c r="BJ315" s="270"/>
      <c r="BK315" s="270"/>
      <c r="BL315" s="270"/>
      <c r="BM315" s="270"/>
      <c r="BN315" s="270"/>
      <c r="BO315" s="270"/>
      <c r="BP315" s="270"/>
      <c r="BQ315" s="270"/>
      <c r="BR315" s="270"/>
      <c r="BS315" s="270"/>
      <c r="BT315" s="270"/>
      <c r="BU315" s="270"/>
      <c r="BV315" s="270"/>
      <c r="BW315" s="270"/>
      <c r="BX315" s="270"/>
      <c r="BY315" s="270"/>
      <c r="BZ315" s="270"/>
      <c r="CA315" s="270"/>
      <c r="CB315" s="270"/>
      <c r="CC315" s="270"/>
      <c r="CD315" s="270"/>
      <c r="CE315" s="1395"/>
      <c r="CF315" s="1450"/>
      <c r="CG315" s="1450"/>
      <c r="CH315" s="270"/>
      <c r="CI315" s="270"/>
      <c r="CJ315" s="270"/>
      <c r="CK315" s="270"/>
      <c r="CL315" s="270"/>
      <c r="CM315" s="270"/>
    </row>
    <row r="316" spans="1:91" ht="13.5" hidden="1" outlineLevel="3" thickBot="1" x14ac:dyDescent="0.25">
      <c r="A316" s="270"/>
      <c r="B316" s="271"/>
      <c r="C316" s="270"/>
      <c r="D316" s="270"/>
      <c r="E316" s="270"/>
      <c r="F316" s="270"/>
      <c r="G316" s="271"/>
      <c r="H316" s="270"/>
      <c r="I316" s="270"/>
      <c r="J316" s="270"/>
      <c r="K316" s="270"/>
      <c r="L316" s="270"/>
      <c r="M316" s="270"/>
      <c r="N316" s="270"/>
      <c r="O316" s="270"/>
      <c r="P316" s="270"/>
      <c r="Q316" s="270"/>
      <c r="R316" s="270"/>
      <c r="S316" s="270"/>
      <c r="T316" s="270"/>
      <c r="U316" s="1019"/>
      <c r="V316" s="1118"/>
      <c r="W316" s="1177"/>
      <c r="X316" s="1186"/>
      <c r="Y316" s="1141"/>
      <c r="Z316" s="492"/>
      <c r="AA316" s="493" t="s">
        <v>769</v>
      </c>
      <c r="AB316" s="1069"/>
      <c r="AC316" s="1142"/>
      <c r="AD316" s="839"/>
      <c r="AE316" s="270" t="str">
        <f>IF(Z316="","",IF(Z316&gt;AB316,Y316,IF(Z316=AB316,"",AC316)))</f>
        <v/>
      </c>
      <c r="AF316" s="270" t="str">
        <f>IF(Z316="","",IF(Z316=AB316,Y316,""))</f>
        <v/>
      </c>
      <c r="AG316" s="270" t="str">
        <f>IF(Z316="","",IF(Z316=AB316,AC316,""))</f>
        <v/>
      </c>
      <c r="AH316" s="270" t="str">
        <f>IF(Z316="","",IF(Z316&lt;AB316,Y316,IF(Z316=AB316,"",AC316)))</f>
        <v/>
      </c>
      <c r="AI316" s="270" t="str">
        <f>IF(Z316="","",IF(Z316&gt;AB316,Y312,""))</f>
        <v/>
      </c>
      <c r="AJ316" s="270" t="str">
        <f>IF(Z316="","",IF(Z316&lt;AB316,AC312,""))</f>
        <v/>
      </c>
      <c r="AK316" s="270" t="str">
        <f>CONCATENATE(AE316,AH316)</f>
        <v/>
      </c>
      <c r="AL316" s="270"/>
      <c r="AM316" s="270"/>
      <c r="AN316" s="270"/>
      <c r="AO316" s="575"/>
      <c r="AP316" s="270"/>
      <c r="AQ316" s="270"/>
      <c r="AR316" s="270"/>
      <c r="AS316" s="270"/>
      <c r="AT316" s="270"/>
      <c r="AU316" s="270"/>
      <c r="AV316" s="270"/>
      <c r="AW316" s="270"/>
      <c r="AX316" s="270"/>
      <c r="AY316" s="270"/>
      <c r="AZ316" s="270"/>
      <c r="BA316" s="270"/>
      <c r="BB316" s="270"/>
      <c r="BC316" s="270"/>
      <c r="BD316" s="270"/>
      <c r="BE316" s="270"/>
      <c r="BF316" s="270"/>
      <c r="BG316" s="270"/>
      <c r="BH316" s="270"/>
      <c r="BI316" s="270"/>
      <c r="BJ316" s="270"/>
      <c r="BK316" s="270"/>
      <c r="BL316" s="270"/>
      <c r="BM316" s="270"/>
      <c r="BN316" s="270"/>
      <c r="BO316" s="270"/>
      <c r="BP316" s="270"/>
      <c r="BQ316" s="270"/>
      <c r="BR316" s="270"/>
      <c r="BS316" s="270"/>
      <c r="BT316" s="270"/>
      <c r="BU316" s="270"/>
      <c r="BV316" s="270"/>
      <c r="BW316" s="270"/>
      <c r="BX316" s="270"/>
      <c r="BY316" s="270"/>
      <c r="BZ316" s="270"/>
      <c r="CA316" s="270"/>
      <c r="CB316" s="270"/>
      <c r="CC316" s="270"/>
      <c r="CD316" s="270"/>
      <c r="CE316" s="1395"/>
      <c r="CF316" s="1450"/>
      <c r="CG316" s="1450"/>
      <c r="CH316" s="270"/>
      <c r="CI316" s="270"/>
      <c r="CJ316" s="270"/>
      <c r="CK316" s="270"/>
      <c r="CL316" s="270"/>
      <c r="CM316" s="270"/>
    </row>
    <row r="317" spans="1:91" ht="13.5" hidden="1" outlineLevel="3" thickBot="1" x14ac:dyDescent="0.25">
      <c r="A317" s="270"/>
      <c r="B317" s="271"/>
      <c r="C317" s="12"/>
      <c r="D317" s="1071"/>
      <c r="E317" s="1071"/>
      <c r="F317" s="1071"/>
      <c r="G317" s="626"/>
      <c r="H317" s="271"/>
      <c r="I317" s="270"/>
      <c r="J317" s="270"/>
      <c r="K317" s="270"/>
      <c r="L317" s="270"/>
      <c r="M317" s="270"/>
      <c r="N317" s="270"/>
      <c r="O317" s="270"/>
      <c r="P317" s="1072"/>
      <c r="Q317" s="270"/>
      <c r="R317" s="270"/>
      <c r="S317" s="1072"/>
      <c r="T317" s="270"/>
      <c r="U317" s="1019"/>
      <c r="V317" s="1077"/>
      <c r="W317" s="1078"/>
      <c r="X317" s="1075" t="str">
        <f>N_Substitute</f>
        <v>Remplaçant</v>
      </c>
      <c r="Y317" s="1141"/>
      <c r="Z317" s="492"/>
      <c r="AA317" s="1076"/>
      <c r="AB317" s="1069"/>
      <c r="AC317" s="1142"/>
      <c r="AD317" s="839"/>
      <c r="AE317" s="270"/>
      <c r="AF317" s="270"/>
      <c r="AG317" s="270"/>
      <c r="AH317" s="270"/>
      <c r="AI317" s="270"/>
      <c r="AJ317" s="270"/>
      <c r="AK317" s="270"/>
      <c r="AL317" s="270"/>
      <c r="AM317" s="270"/>
      <c r="AN317" s="270"/>
      <c r="AO317" s="271"/>
      <c r="AP317" s="270"/>
      <c r="AQ317" s="270"/>
      <c r="AR317" s="270"/>
      <c r="AS317" s="270"/>
      <c r="AT317" s="270"/>
      <c r="AU317" s="270"/>
      <c r="AV317" s="270"/>
      <c r="AW317" s="270"/>
      <c r="AX317" s="270"/>
      <c r="AY317" s="1072"/>
      <c r="AZ317" s="270"/>
      <c r="BA317" s="270"/>
      <c r="BB317" s="1072"/>
      <c r="BC317" s="270"/>
      <c r="BD317" s="270"/>
      <c r="BE317" s="270"/>
      <c r="BF317" s="270"/>
      <c r="BG317" s="270"/>
      <c r="BH317" s="270"/>
      <c r="BI317" s="270"/>
      <c r="BJ317" s="270"/>
      <c r="BK317" s="270"/>
      <c r="BL317" s="270"/>
      <c r="BM317" s="270"/>
      <c r="BN317" s="270"/>
      <c r="BO317" s="270"/>
      <c r="BP317" s="270"/>
      <c r="BQ317" s="270"/>
      <c r="BR317" s="270"/>
      <c r="BS317" s="270"/>
      <c r="BT317" s="270"/>
      <c r="BU317" s="270"/>
      <c r="BV317" s="270"/>
      <c r="BW317" s="270"/>
      <c r="BX317" s="270"/>
      <c r="BY317" s="270"/>
      <c r="BZ317" s="270"/>
      <c r="CA317" s="270"/>
      <c r="CB317" s="270"/>
      <c r="CC317" s="270"/>
      <c r="CD317" s="270"/>
      <c r="CE317" s="1395"/>
      <c r="CF317" s="1450"/>
      <c r="CG317" s="1450"/>
      <c r="CH317" s="270"/>
      <c r="CI317" s="270"/>
      <c r="CJ317" s="270"/>
      <c r="CK317" s="270"/>
      <c r="CL317" s="270"/>
      <c r="CM317" s="270"/>
    </row>
    <row r="318" spans="1:91" ht="13.5" hidden="1" outlineLevel="3" thickBot="1" x14ac:dyDescent="0.25">
      <c r="A318" s="270"/>
      <c r="B318" s="271"/>
      <c r="C318" s="12"/>
      <c r="D318" s="1071"/>
      <c r="E318" s="1071"/>
      <c r="F318" s="1071"/>
      <c r="G318" s="626"/>
      <c r="H318" s="271"/>
      <c r="I318" s="270"/>
      <c r="J318" s="270"/>
      <c r="K318" s="270"/>
      <c r="L318" s="270"/>
      <c r="M318" s="270"/>
      <c r="N318" s="270"/>
      <c r="O318" s="270"/>
      <c r="P318" s="1072"/>
      <c r="Q318" s="270"/>
      <c r="R318" s="270"/>
      <c r="S318" s="1072"/>
      <c r="T318" s="270"/>
      <c r="U318" s="1019"/>
      <c r="V318" s="1119"/>
      <c r="W318" s="1120"/>
      <c r="X318" s="1075" t="str">
        <f>N_Substitute</f>
        <v>Remplaçant</v>
      </c>
      <c r="Y318" s="1141"/>
      <c r="Z318" s="492"/>
      <c r="AA318" s="1121"/>
      <c r="AB318" s="1069"/>
      <c r="AC318" s="1142"/>
      <c r="AD318" s="839"/>
      <c r="AE318" s="270"/>
      <c r="AF318" s="270"/>
      <c r="AG318" s="270"/>
      <c r="AH318" s="270"/>
      <c r="AI318" s="270"/>
      <c r="AJ318" s="270"/>
      <c r="AK318" s="270"/>
      <c r="AL318" s="270"/>
      <c r="AM318" s="270"/>
      <c r="AN318" s="270"/>
      <c r="AO318" s="271"/>
      <c r="AP318" s="270"/>
      <c r="AQ318" s="270"/>
      <c r="AR318" s="270"/>
      <c r="AS318" s="270"/>
      <c r="AT318" s="270"/>
      <c r="AU318" s="270"/>
      <c r="AV318" s="270"/>
      <c r="AW318" s="270"/>
      <c r="AX318" s="270"/>
      <c r="AY318" s="1072"/>
      <c r="AZ318" s="270"/>
      <c r="BA318" s="270"/>
      <c r="BB318" s="1072"/>
      <c r="BC318" s="270"/>
      <c r="BD318" s="270"/>
      <c r="BE318" s="270"/>
      <c r="BF318" s="270"/>
      <c r="BG318" s="270"/>
      <c r="BH318" s="270"/>
      <c r="BI318" s="270"/>
      <c r="BJ318" s="270"/>
      <c r="BK318" s="270"/>
      <c r="BL318" s="270"/>
      <c r="BM318" s="270"/>
      <c r="BN318" s="270"/>
      <c r="BO318" s="270"/>
      <c r="BP318" s="270"/>
      <c r="BQ318" s="270"/>
      <c r="BR318" s="270"/>
      <c r="BS318" s="270"/>
      <c r="BT318" s="270"/>
      <c r="BU318" s="270"/>
      <c r="BV318" s="270"/>
      <c r="BW318" s="270"/>
      <c r="BX318" s="270"/>
      <c r="BY318" s="270"/>
      <c r="BZ318" s="270"/>
      <c r="CA318" s="270"/>
      <c r="CB318" s="270"/>
      <c r="CC318" s="270"/>
      <c r="CD318" s="270"/>
      <c r="CE318" s="1395"/>
      <c r="CF318" s="1450"/>
      <c r="CG318" s="1450"/>
      <c r="CH318" s="270"/>
      <c r="CI318" s="270"/>
      <c r="CJ318" s="270"/>
      <c r="CK318" s="270"/>
      <c r="CL318" s="270"/>
      <c r="CM318" s="270"/>
    </row>
    <row r="319" spans="1:91" hidden="1" outlineLevel="2" collapsed="1" x14ac:dyDescent="0.2">
      <c r="A319" s="270"/>
      <c r="B319" s="271"/>
      <c r="C319" s="270"/>
      <c r="D319" s="270"/>
      <c r="E319" s="270"/>
      <c r="F319" s="270"/>
      <c r="G319" s="271"/>
      <c r="H319" s="270"/>
      <c r="I319" s="270"/>
      <c r="J319" s="270"/>
      <c r="K319" s="270"/>
      <c r="L319" s="270"/>
      <c r="M319" s="270"/>
      <c r="N319" s="270"/>
      <c r="O319" s="270"/>
      <c r="P319" s="270"/>
      <c r="Q319" s="270"/>
      <c r="R319" s="270"/>
      <c r="S319" s="270"/>
      <c r="T319" s="270"/>
      <c r="U319" s="1019" t="s">
        <v>1730</v>
      </c>
      <c r="V319" s="1187"/>
      <c r="W319" s="1195"/>
      <c r="X319" s="1196"/>
      <c r="Y319" s="1180" t="str">
        <f>IF(G223="","",G223)</f>
        <v>Eq3</v>
      </c>
      <c r="Z319" s="1123" t="str">
        <f>IF(OR(ISNUMBER(Z320),ISNUMBER(Z321),ISNUMBER(Z322),ISNUMBER(Z323)),4-COUNTBLANK(AI320:AI323),"")</f>
        <v/>
      </c>
      <c r="AA319" s="1124" t="s">
        <v>769</v>
      </c>
      <c r="AB319" s="1125" t="str">
        <f>IF(OR(ISNUMBER(Z320),ISNUMBER(Z321),ISNUMBER(Z322),ISNUMBER(Z323)),4-COUNTBLANK(AJ320:AJ323),"")</f>
        <v/>
      </c>
      <c r="AC319" s="1181" t="str">
        <f>IF(G224="","",G224)</f>
        <v>Eq4</v>
      </c>
      <c r="AD319" s="839"/>
      <c r="AE319" s="270" t="str">
        <f>IF(Z319="","",IF(Z319&gt;AB319,Y319,IF(Z319=AB319,IF(NoDrawWithWithdraw,IF(AL319=Y319,AC319,IF(AL319=AC319,Y319,"")),""),AC319)))</f>
        <v/>
      </c>
      <c r="AF319" s="270" t="str">
        <f>IF(Z319="","",IF(Z319=AB319,IF(NoDrawWithWithdraw,IF(AL319=Y319,"",IF(AL319=AC319,"",Y319)),Y319),""))</f>
        <v/>
      </c>
      <c r="AG319" s="270" t="str">
        <f>IF(Z319="","",IF(Z319=AB319,IF(NoDrawWithWithdraw,IF(AL319=Y319,"",IF(AL319=AC319,"",AC319)),AC319),""))</f>
        <v/>
      </c>
      <c r="AH319" s="270" t="str">
        <f>IF(Z319="","",IF(Z319&lt;AB319,Y319,IF(Z319=AB319,IF(NoDrawWithWithdraw,IF(AL319=Y319,Y319,IF(AL319=AC319,AC319,"")),""),AC319)))</f>
        <v/>
      </c>
      <c r="AI319" s="270" t="str">
        <f>IF(Z319="","",SUM(Z320:Z323))</f>
        <v/>
      </c>
      <c r="AJ319" s="270" t="str">
        <f>IF(Z319="","",SUM(AB320:AB323))</f>
        <v/>
      </c>
      <c r="AK319" s="270" t="str">
        <f>CONCATENATE(AE319,AH319)</f>
        <v/>
      </c>
      <c r="AL319" s="270" t="str">
        <f>IF(COUNTIF(Y320:Y323,WithdrawLabel)&gt;COUNTIF(AC320:AC323,WithdrawLabel),Y319,IF(COUNTIF(AC320:AC323,WithdrawLabel)&gt;COUNTIF(Y320:Y323,WithdrawLabel),AC319,""))</f>
        <v/>
      </c>
      <c r="AM319" s="270"/>
      <c r="AN319" s="270"/>
      <c r="AO319" s="575"/>
      <c r="AP319" s="270"/>
      <c r="AQ319" s="270"/>
      <c r="AR319" s="270"/>
      <c r="AS319" s="270"/>
      <c r="AT319" s="270"/>
      <c r="AU319" s="270"/>
      <c r="AV319" s="270"/>
      <c r="AW319" s="270"/>
      <c r="AX319" s="270"/>
      <c r="AY319" s="270"/>
      <c r="AZ319" s="270"/>
      <c r="BA319" s="270"/>
      <c r="BB319" s="270"/>
      <c r="BC319" s="270"/>
      <c r="BD319" s="270"/>
      <c r="BE319" s="270"/>
      <c r="BF319" s="270"/>
      <c r="BG319" s="270"/>
      <c r="BH319" s="270"/>
      <c r="BI319" s="270"/>
      <c r="BJ319" s="270"/>
      <c r="BK319" s="270"/>
      <c r="BL319" s="270"/>
      <c r="BM319" s="270"/>
      <c r="BN319" s="270"/>
      <c r="BO319" s="270"/>
      <c r="BP319" s="270"/>
      <c r="BQ319" s="270"/>
      <c r="BR319" s="270"/>
      <c r="BS319" s="270"/>
      <c r="BT319" s="270"/>
      <c r="BU319" s="270"/>
      <c r="BV319" s="270"/>
      <c r="BW319" s="270"/>
      <c r="BX319" s="270"/>
      <c r="BY319" s="270"/>
      <c r="BZ319" s="270"/>
      <c r="CA319" s="270"/>
      <c r="CB319" s="270"/>
      <c r="CC319" s="270"/>
      <c r="CD319" s="270"/>
      <c r="CE319" s="1395"/>
      <c r="CF319" s="1450"/>
      <c r="CG319" s="1450"/>
      <c r="CH319" s="270"/>
      <c r="CI319" s="270"/>
      <c r="CJ319" s="270"/>
      <c r="CK319" s="270"/>
      <c r="CL319" s="270"/>
      <c r="CM319" s="270"/>
    </row>
    <row r="320" spans="1:91" ht="13.5" hidden="1" outlineLevel="3" thickBot="1" x14ac:dyDescent="0.25">
      <c r="A320" s="270"/>
      <c r="B320" s="271"/>
      <c r="C320" s="270"/>
      <c r="D320" s="270"/>
      <c r="E320" s="270"/>
      <c r="F320" s="270"/>
      <c r="G320" s="271"/>
      <c r="H320" s="270"/>
      <c r="I320" s="270"/>
      <c r="J320" s="270"/>
      <c r="K320" s="270"/>
      <c r="L320" s="270"/>
      <c r="M320" s="270"/>
      <c r="N320" s="270"/>
      <c r="O320" s="270"/>
      <c r="P320" s="270"/>
      <c r="Q320" s="270"/>
      <c r="R320" s="270"/>
      <c r="S320" s="270"/>
      <c r="T320" s="270"/>
      <c r="U320" s="1019"/>
      <c r="V320" s="1118"/>
      <c r="W320" s="1177"/>
      <c r="X320" s="1186"/>
      <c r="Y320" s="1141"/>
      <c r="Z320" s="492"/>
      <c r="AA320" s="493" t="s">
        <v>769</v>
      </c>
      <c r="AB320" s="1069"/>
      <c r="AC320" s="1142"/>
      <c r="AD320" s="839"/>
      <c r="AE320" s="270" t="str">
        <f>IF(Z320="","",IF(Z320&gt;AB320,Y320,IF(Z320=AB320,"",AC320)))</f>
        <v/>
      </c>
      <c r="AF320" s="270" t="str">
        <f>IF(Z320="","",IF(Z320=AB320,Y320,""))</f>
        <v/>
      </c>
      <c r="AG320" s="270" t="str">
        <f>IF(Z320="","",IF(Z320=AB320,AC320,""))</f>
        <v/>
      </c>
      <c r="AH320" s="270" t="str">
        <f>IF(Z320="","",IF(Z320&lt;AB320,Y320,IF(Z320=AB320,"",AC320)))</f>
        <v/>
      </c>
      <c r="AI320" s="270" t="str">
        <f>IF(Z320="","",IF(Z320&gt;AB320,Y319,""))</f>
        <v/>
      </c>
      <c r="AJ320" s="270" t="str">
        <f>IF(Z320="","",IF(Z320&lt;AB320,AC319,""))</f>
        <v/>
      </c>
      <c r="AK320" s="270" t="str">
        <f>CONCATENATE(AE320,AH320)</f>
        <v/>
      </c>
      <c r="AL320" s="270"/>
      <c r="AM320" s="270"/>
      <c r="AN320" s="270"/>
      <c r="AO320" s="575"/>
      <c r="AP320" s="270"/>
      <c r="AQ320" s="270"/>
      <c r="AR320" s="270"/>
      <c r="AS320" s="270"/>
      <c r="AT320" s="270"/>
      <c r="AU320" s="270"/>
      <c r="AV320" s="270"/>
      <c r="AW320" s="270"/>
      <c r="AX320" s="270"/>
      <c r="AY320" s="270"/>
      <c r="AZ320" s="270"/>
      <c r="BA320" s="270"/>
      <c r="BB320" s="270"/>
      <c r="BC320" s="270"/>
      <c r="BD320" s="270"/>
      <c r="BE320" s="270"/>
      <c r="BF320" s="270"/>
      <c r="BG320" s="270"/>
      <c r="BH320" s="270"/>
      <c r="BI320" s="270"/>
      <c r="BJ320" s="270"/>
      <c r="BK320" s="270"/>
      <c r="BL320" s="270"/>
      <c r="BM320" s="270"/>
      <c r="BN320" s="270"/>
      <c r="BO320" s="270"/>
      <c r="BP320" s="270"/>
      <c r="BQ320" s="270"/>
      <c r="BR320" s="270"/>
      <c r="BS320" s="270"/>
      <c r="BT320" s="270"/>
      <c r="BU320" s="270"/>
      <c r="BV320" s="270"/>
      <c r="BW320" s="270"/>
      <c r="BX320" s="270"/>
      <c r="BY320" s="270"/>
      <c r="BZ320" s="270"/>
      <c r="CA320" s="270"/>
      <c r="CB320" s="270"/>
      <c r="CC320" s="270"/>
      <c r="CD320" s="270"/>
      <c r="CE320" s="1395"/>
      <c r="CF320" s="1450"/>
      <c r="CG320" s="1450"/>
      <c r="CH320" s="270"/>
      <c r="CI320" s="270"/>
      <c r="CJ320" s="270"/>
      <c r="CK320" s="270"/>
      <c r="CL320" s="270"/>
      <c r="CM320" s="270"/>
    </row>
    <row r="321" spans="1:91" ht="13.5" hidden="1" outlineLevel="3" thickBot="1" x14ac:dyDescent="0.25">
      <c r="A321" s="270"/>
      <c r="B321" s="271"/>
      <c r="C321" s="270"/>
      <c r="D321" s="270"/>
      <c r="E321" s="270"/>
      <c r="F321" s="270"/>
      <c r="G321" s="271"/>
      <c r="H321" s="270"/>
      <c r="I321" s="270"/>
      <c r="J321" s="270"/>
      <c r="K321" s="270"/>
      <c r="L321" s="270"/>
      <c r="M321" s="270"/>
      <c r="N321" s="270"/>
      <c r="O321" s="270"/>
      <c r="P321" s="270"/>
      <c r="Q321" s="270"/>
      <c r="R321" s="270"/>
      <c r="S321" s="270"/>
      <c r="T321" s="270"/>
      <c r="U321" s="1019"/>
      <c r="V321" s="1118"/>
      <c r="W321" s="1177"/>
      <c r="X321" s="1186"/>
      <c r="Y321" s="1141"/>
      <c r="Z321" s="492"/>
      <c r="AA321" s="493" t="s">
        <v>769</v>
      </c>
      <c r="AB321" s="1069"/>
      <c r="AC321" s="1142"/>
      <c r="AD321" s="839"/>
      <c r="AE321" s="270" t="str">
        <f>IF(Z321="","",IF(Z321&gt;AB321,Y321,IF(Z321=AB321,"",AC321)))</f>
        <v/>
      </c>
      <c r="AF321" s="270" t="str">
        <f>IF(Z321="","",IF(Z321=AB321,Y321,""))</f>
        <v/>
      </c>
      <c r="AG321" s="270" t="str">
        <f>IF(Z321="","",IF(Z321=AB321,AC321,""))</f>
        <v/>
      </c>
      <c r="AH321" s="270" t="str">
        <f>IF(Z321="","",IF(Z321&lt;AB321,Y321,IF(Z321=AB321,"",AC321)))</f>
        <v/>
      </c>
      <c r="AI321" s="270" t="str">
        <f>IF(Z321="","",IF(Z321&gt;AB321,Y319,""))</f>
        <v/>
      </c>
      <c r="AJ321" s="270" t="str">
        <f>IF(Z321="","",IF(Z321&lt;AB321,AC319,""))</f>
        <v/>
      </c>
      <c r="AK321" s="270" t="str">
        <f>CONCATENATE(AE321,AH321)</f>
        <v/>
      </c>
      <c r="AL321" s="270"/>
      <c r="AM321" s="270"/>
      <c r="AN321" s="270"/>
      <c r="AO321" s="575"/>
      <c r="AP321" s="270"/>
      <c r="AQ321" s="270"/>
      <c r="AR321" s="270"/>
      <c r="AS321" s="270"/>
      <c r="AT321" s="270"/>
      <c r="AU321" s="270"/>
      <c r="AV321" s="270"/>
      <c r="AW321" s="270"/>
      <c r="AX321" s="270"/>
      <c r="AY321" s="270"/>
      <c r="AZ321" s="270"/>
      <c r="BA321" s="270"/>
      <c r="BB321" s="270"/>
      <c r="BC321" s="270"/>
      <c r="BD321" s="270"/>
      <c r="BE321" s="270"/>
      <c r="BF321" s="270"/>
      <c r="BG321" s="270"/>
      <c r="BH321" s="270"/>
      <c r="BI321" s="270"/>
      <c r="BJ321" s="270"/>
      <c r="BK321" s="270"/>
      <c r="BL321" s="270"/>
      <c r="BM321" s="270"/>
      <c r="BN321" s="270"/>
      <c r="BO321" s="270"/>
      <c r="BP321" s="270"/>
      <c r="BQ321" s="270"/>
      <c r="BR321" s="270"/>
      <c r="BS321" s="270"/>
      <c r="BT321" s="270"/>
      <c r="BU321" s="270"/>
      <c r="BV321" s="270"/>
      <c r="BW321" s="270"/>
      <c r="BX321" s="270"/>
      <c r="BY321" s="270"/>
      <c r="BZ321" s="270"/>
      <c r="CA321" s="270"/>
      <c r="CB321" s="270"/>
      <c r="CC321" s="270"/>
      <c r="CD321" s="270"/>
      <c r="CE321" s="1395"/>
      <c r="CF321" s="1450"/>
      <c r="CG321" s="1450"/>
      <c r="CH321" s="270"/>
      <c r="CI321" s="270"/>
      <c r="CJ321" s="270"/>
      <c r="CK321" s="270"/>
      <c r="CL321" s="270"/>
      <c r="CM321" s="270"/>
    </row>
    <row r="322" spans="1:91" ht="13.5" hidden="1" outlineLevel="3" thickBot="1" x14ac:dyDescent="0.25">
      <c r="A322" s="270"/>
      <c r="B322" s="271"/>
      <c r="C322" s="270"/>
      <c r="D322" s="270"/>
      <c r="E322" s="270"/>
      <c r="F322" s="270"/>
      <c r="G322" s="271"/>
      <c r="H322" s="270"/>
      <c r="I322" s="270"/>
      <c r="J322" s="270"/>
      <c r="K322" s="270"/>
      <c r="L322" s="270"/>
      <c r="M322" s="270"/>
      <c r="N322" s="270"/>
      <c r="O322" s="270"/>
      <c r="P322" s="270"/>
      <c r="Q322" s="270"/>
      <c r="R322" s="270"/>
      <c r="S322" s="270"/>
      <c r="T322" s="270"/>
      <c r="U322" s="1019"/>
      <c r="V322" s="1118"/>
      <c r="W322" s="1177"/>
      <c r="X322" s="1186"/>
      <c r="Y322" s="1141"/>
      <c r="Z322" s="492"/>
      <c r="AA322" s="493" t="s">
        <v>769</v>
      </c>
      <c r="AB322" s="1069"/>
      <c r="AC322" s="1142"/>
      <c r="AD322" s="839"/>
      <c r="AE322" s="270" t="str">
        <f>IF(Z322="","",IF(Z322&gt;AB322,Y322,IF(Z322=AB322,"",AC322)))</f>
        <v/>
      </c>
      <c r="AF322" s="270" t="str">
        <f>IF(Z322="","",IF(Z322=AB322,Y322,""))</f>
        <v/>
      </c>
      <c r="AG322" s="270" t="str">
        <f>IF(Z322="","",IF(Z322=AB322,AC322,""))</f>
        <v/>
      </c>
      <c r="AH322" s="270" t="str">
        <f>IF(Z322="","",IF(Z322&lt;AB322,Y322,IF(Z322=AB322,"",AC322)))</f>
        <v/>
      </c>
      <c r="AI322" s="270" t="str">
        <f>IF(Z322="","",IF(Z322&gt;AB322,Y319,""))</f>
        <v/>
      </c>
      <c r="AJ322" s="270" t="str">
        <f>IF(Z322="","",IF(Z322&lt;AB322,AC319,""))</f>
        <v/>
      </c>
      <c r="AK322" s="270" t="str">
        <f>CONCATENATE(AE322,AH322)</f>
        <v/>
      </c>
      <c r="AL322" s="270"/>
      <c r="AM322" s="270"/>
      <c r="AN322" s="270"/>
      <c r="AO322" s="575"/>
      <c r="AP322" s="270"/>
      <c r="AQ322" s="270"/>
      <c r="AR322" s="270"/>
      <c r="AS322" s="270"/>
      <c r="AT322" s="270"/>
      <c r="AU322" s="270"/>
      <c r="AV322" s="270"/>
      <c r="AW322" s="270"/>
      <c r="AX322" s="270"/>
      <c r="AY322" s="270"/>
      <c r="AZ322" s="270"/>
      <c r="BA322" s="270"/>
      <c r="BB322" s="270"/>
      <c r="BC322" s="270"/>
      <c r="BD322" s="270"/>
      <c r="BE322" s="270"/>
      <c r="BF322" s="270"/>
      <c r="BG322" s="270"/>
      <c r="BH322" s="270"/>
      <c r="BI322" s="270"/>
      <c r="BJ322" s="270"/>
      <c r="BK322" s="270"/>
      <c r="BL322" s="270"/>
      <c r="BM322" s="270"/>
      <c r="BN322" s="270"/>
      <c r="BO322" s="270"/>
      <c r="BP322" s="270"/>
      <c r="BQ322" s="270"/>
      <c r="BR322" s="270"/>
      <c r="BS322" s="270"/>
      <c r="BT322" s="270"/>
      <c r="BU322" s="270"/>
      <c r="BV322" s="270"/>
      <c r="BW322" s="270"/>
      <c r="BX322" s="270"/>
      <c r="BY322" s="270"/>
      <c r="BZ322" s="270"/>
      <c r="CA322" s="270"/>
      <c r="CB322" s="270"/>
      <c r="CC322" s="270"/>
      <c r="CD322" s="270"/>
      <c r="CE322" s="1395"/>
      <c r="CF322" s="1450"/>
      <c r="CG322" s="1450"/>
      <c r="CH322" s="270"/>
      <c r="CI322" s="270"/>
      <c r="CJ322" s="270"/>
      <c r="CK322" s="270"/>
      <c r="CL322" s="270"/>
      <c r="CM322" s="270"/>
    </row>
    <row r="323" spans="1:91" ht="13.5" hidden="1" outlineLevel="3" thickBot="1" x14ac:dyDescent="0.25">
      <c r="A323" s="270"/>
      <c r="B323" s="271"/>
      <c r="C323" s="270"/>
      <c r="D323" s="270"/>
      <c r="E323" s="270"/>
      <c r="F323" s="270"/>
      <c r="G323" s="271"/>
      <c r="H323" s="270"/>
      <c r="I323" s="270"/>
      <c r="J323" s="270"/>
      <c r="K323" s="270"/>
      <c r="L323" s="270"/>
      <c r="M323" s="270"/>
      <c r="N323" s="270"/>
      <c r="O323" s="270"/>
      <c r="P323" s="270"/>
      <c r="Q323" s="270"/>
      <c r="R323" s="270"/>
      <c r="S323" s="270"/>
      <c r="T323" s="270"/>
      <c r="U323" s="1019"/>
      <c r="V323" s="1118"/>
      <c r="W323" s="1177"/>
      <c r="X323" s="1186"/>
      <c r="Y323" s="1141"/>
      <c r="Z323" s="492"/>
      <c r="AA323" s="493" t="s">
        <v>769</v>
      </c>
      <c r="AB323" s="1069"/>
      <c r="AC323" s="1142"/>
      <c r="AD323" s="839"/>
      <c r="AE323" s="270" t="str">
        <f>IF(Z323="","",IF(Z323&gt;AB323,Y323,IF(Z323=AB323,"",AC323)))</f>
        <v/>
      </c>
      <c r="AF323" s="270" t="str">
        <f>IF(Z323="","",IF(Z323=AB323,Y323,""))</f>
        <v/>
      </c>
      <c r="AG323" s="270" t="str">
        <f>IF(Z323="","",IF(Z323=AB323,AC323,""))</f>
        <v/>
      </c>
      <c r="AH323" s="270" t="str">
        <f>IF(Z323="","",IF(Z323&lt;AB323,Y323,IF(Z323=AB323,"",AC323)))</f>
        <v/>
      </c>
      <c r="AI323" s="270" t="str">
        <f>IF(Z323="","",IF(Z323&gt;AB323,Y319,""))</f>
        <v/>
      </c>
      <c r="AJ323" s="270" t="str">
        <f>IF(Z323="","",IF(Z323&lt;AB323,AC319,""))</f>
        <v/>
      </c>
      <c r="AK323" s="270" t="str">
        <f>CONCATENATE(AE323,AH323)</f>
        <v/>
      </c>
      <c r="AL323" s="270"/>
      <c r="AM323" s="270"/>
      <c r="AN323" s="270"/>
      <c r="AO323" s="575"/>
      <c r="AP323" s="270"/>
      <c r="AQ323" s="270"/>
      <c r="AR323" s="270"/>
      <c r="AS323" s="270"/>
      <c r="AT323" s="270"/>
      <c r="AU323" s="270"/>
      <c r="AV323" s="270"/>
      <c r="AW323" s="270"/>
      <c r="AX323" s="270"/>
      <c r="AY323" s="270"/>
      <c r="AZ323" s="270"/>
      <c r="BA323" s="270"/>
      <c r="BB323" s="270"/>
      <c r="BC323" s="270"/>
      <c r="BD323" s="270"/>
      <c r="BE323" s="270"/>
      <c r="BF323" s="270"/>
      <c r="BG323" s="270"/>
      <c r="BH323" s="270"/>
      <c r="BI323" s="270"/>
      <c r="BJ323" s="270"/>
      <c r="BK323" s="270"/>
      <c r="BL323" s="270"/>
      <c r="BM323" s="270"/>
      <c r="BN323" s="270"/>
      <c r="BO323" s="270"/>
      <c r="BP323" s="270"/>
      <c r="BQ323" s="270"/>
      <c r="BR323" s="270"/>
      <c r="BS323" s="270"/>
      <c r="BT323" s="270"/>
      <c r="BU323" s="270"/>
      <c r="BV323" s="270"/>
      <c r="BW323" s="270"/>
      <c r="BX323" s="270"/>
      <c r="BY323" s="270"/>
      <c r="BZ323" s="270"/>
      <c r="CA323" s="270"/>
      <c r="CB323" s="270"/>
      <c r="CC323" s="270"/>
      <c r="CD323" s="270"/>
      <c r="CE323" s="1395"/>
      <c r="CF323" s="1450"/>
      <c r="CG323" s="1450"/>
      <c r="CH323" s="270"/>
      <c r="CI323" s="270"/>
      <c r="CJ323" s="270"/>
      <c r="CK323" s="270"/>
      <c r="CL323" s="270"/>
      <c r="CM323" s="270"/>
    </row>
    <row r="324" spans="1:91" ht="13.5" hidden="1" outlineLevel="3" thickBot="1" x14ac:dyDescent="0.25">
      <c r="A324" s="270"/>
      <c r="B324" s="271"/>
      <c r="C324" s="12"/>
      <c r="D324" s="1071"/>
      <c r="E324" s="1071"/>
      <c r="F324" s="1071"/>
      <c r="G324" s="626"/>
      <c r="H324" s="271"/>
      <c r="I324" s="270"/>
      <c r="J324" s="270"/>
      <c r="K324" s="270"/>
      <c r="L324" s="270"/>
      <c r="M324" s="270"/>
      <c r="N324" s="270"/>
      <c r="O324" s="270"/>
      <c r="P324" s="1072"/>
      <c r="Q324" s="270"/>
      <c r="R324" s="270"/>
      <c r="S324" s="1072"/>
      <c r="T324" s="270"/>
      <c r="U324" s="1019"/>
      <c r="V324" s="1073"/>
      <c r="W324" s="1074"/>
      <c r="X324" s="1075" t="str">
        <f>N_Substitute</f>
        <v>Remplaçant</v>
      </c>
      <c r="Y324" s="1141"/>
      <c r="Z324" s="492"/>
      <c r="AA324" s="1076"/>
      <c r="AB324" s="1069"/>
      <c r="AC324" s="1142"/>
      <c r="AD324" s="839"/>
      <c r="AE324" s="270"/>
      <c r="AF324" s="270"/>
      <c r="AG324" s="270"/>
      <c r="AH324" s="270"/>
      <c r="AI324" s="270"/>
      <c r="AJ324" s="270"/>
      <c r="AK324" s="270"/>
      <c r="AL324" s="270"/>
      <c r="AM324" s="270"/>
      <c r="AN324" s="270"/>
      <c r="AO324" s="271"/>
      <c r="AP324" s="270"/>
      <c r="AQ324" s="270"/>
      <c r="AR324" s="270"/>
      <c r="AS324" s="270"/>
      <c r="AT324" s="270"/>
      <c r="AU324" s="270"/>
      <c r="AV324" s="270"/>
      <c r="AW324" s="270"/>
      <c r="AX324" s="270"/>
      <c r="AY324" s="1072"/>
      <c r="AZ324" s="270"/>
      <c r="BA324" s="270"/>
      <c r="BB324" s="1072"/>
      <c r="BC324" s="270"/>
      <c r="BD324" s="270"/>
      <c r="BE324" s="270"/>
      <c r="BF324" s="270"/>
      <c r="BG324" s="270"/>
      <c r="BH324" s="270"/>
      <c r="BI324" s="270"/>
      <c r="BJ324" s="270"/>
      <c r="BK324" s="270"/>
      <c r="BL324" s="270"/>
      <c r="BM324" s="270"/>
      <c r="BN324" s="270"/>
      <c r="BO324" s="270"/>
      <c r="BP324" s="270"/>
      <c r="BQ324" s="270"/>
      <c r="BR324" s="270"/>
      <c r="BS324" s="270"/>
      <c r="BT324" s="270"/>
      <c r="BU324" s="270"/>
      <c r="BV324" s="270"/>
      <c r="BW324" s="270"/>
      <c r="BX324" s="270"/>
      <c r="BY324" s="270"/>
      <c r="BZ324" s="270"/>
      <c r="CA324" s="270"/>
      <c r="CB324" s="270"/>
      <c r="CC324" s="270"/>
      <c r="CD324" s="270"/>
      <c r="CE324" s="1395"/>
      <c r="CF324" s="1450"/>
      <c r="CG324" s="1450"/>
      <c r="CH324" s="270"/>
      <c r="CI324" s="270"/>
      <c r="CJ324" s="270"/>
      <c r="CK324" s="270"/>
      <c r="CL324" s="270"/>
      <c r="CM324" s="270"/>
    </row>
    <row r="325" spans="1:91" ht="13.5" hidden="1" outlineLevel="3" thickBot="1" x14ac:dyDescent="0.25">
      <c r="A325" s="270"/>
      <c r="B325" s="271"/>
      <c r="C325" s="12"/>
      <c r="D325" s="1071"/>
      <c r="E325" s="1071"/>
      <c r="F325" s="1071"/>
      <c r="G325" s="626"/>
      <c r="H325" s="271"/>
      <c r="I325" s="270"/>
      <c r="J325" s="270"/>
      <c r="K325" s="270"/>
      <c r="L325" s="270"/>
      <c r="M325" s="270"/>
      <c r="N325" s="270"/>
      <c r="O325" s="270"/>
      <c r="P325" s="1072"/>
      <c r="Q325" s="270"/>
      <c r="R325" s="270"/>
      <c r="S325" s="1072"/>
      <c r="T325" s="270"/>
      <c r="U325" s="1019"/>
      <c r="V325" s="1119"/>
      <c r="W325" s="1120"/>
      <c r="X325" s="1075" t="str">
        <f>N_Substitute</f>
        <v>Remplaçant</v>
      </c>
      <c r="Y325" s="1141"/>
      <c r="Z325" s="492"/>
      <c r="AA325" s="1121"/>
      <c r="AB325" s="1069"/>
      <c r="AC325" s="1142"/>
      <c r="AD325" s="839"/>
      <c r="AE325" s="270"/>
      <c r="AF325" s="270"/>
      <c r="AG325" s="270"/>
      <c r="AH325" s="270"/>
      <c r="AI325" s="270"/>
      <c r="AJ325" s="270"/>
      <c r="AK325" s="270"/>
      <c r="AL325" s="270"/>
      <c r="AM325" s="270"/>
      <c r="AN325" s="270"/>
      <c r="AO325" s="271"/>
      <c r="AP325" s="270"/>
      <c r="AQ325" s="270"/>
      <c r="AR325" s="270"/>
      <c r="AS325" s="270"/>
      <c r="AT325" s="270"/>
      <c r="AU325" s="270"/>
      <c r="AV325" s="270"/>
      <c r="AW325" s="270"/>
      <c r="AX325" s="270"/>
      <c r="AY325" s="1072"/>
      <c r="AZ325" s="270"/>
      <c r="BA325" s="270"/>
      <c r="BB325" s="1072"/>
      <c r="BC325" s="270"/>
      <c r="BD325" s="270"/>
      <c r="BE325" s="270"/>
      <c r="BF325" s="270"/>
      <c r="BG325" s="270"/>
      <c r="BH325" s="270"/>
      <c r="BI325" s="270"/>
      <c r="BJ325" s="270"/>
      <c r="BK325" s="270"/>
      <c r="BL325" s="270"/>
      <c r="BM325" s="270"/>
      <c r="BN325" s="270"/>
      <c r="BO325" s="270"/>
      <c r="BP325" s="270"/>
      <c r="BQ325" s="270"/>
      <c r="BR325" s="270"/>
      <c r="BS325" s="270"/>
      <c r="BT325" s="270"/>
      <c r="BU325" s="270"/>
      <c r="BV325" s="270"/>
      <c r="BW325" s="270"/>
      <c r="BX325" s="270"/>
      <c r="BY325" s="270"/>
      <c r="BZ325" s="270"/>
      <c r="CA325" s="270"/>
      <c r="CB325" s="270"/>
      <c r="CC325" s="270"/>
      <c r="CD325" s="270"/>
      <c r="CE325" s="1395"/>
      <c r="CF325" s="1450"/>
      <c r="CG325" s="1450"/>
      <c r="CH325" s="270"/>
      <c r="CI325" s="270"/>
      <c r="CJ325" s="270"/>
      <c r="CK325" s="270"/>
      <c r="CL325" s="270"/>
      <c r="CM325" s="270"/>
    </row>
    <row r="326" spans="1:91" ht="13.5" hidden="1" outlineLevel="2" collapsed="1" thickBot="1" x14ac:dyDescent="0.25">
      <c r="A326" s="270"/>
      <c r="B326" s="271"/>
      <c r="C326" s="270"/>
      <c r="D326" s="270"/>
      <c r="E326" s="270"/>
      <c r="F326" s="270"/>
      <c r="G326" s="271"/>
      <c r="H326" s="270"/>
      <c r="I326" s="270"/>
      <c r="J326" s="270"/>
      <c r="K326" s="270"/>
      <c r="L326" s="270"/>
      <c r="M326" s="270"/>
      <c r="N326" s="270"/>
      <c r="O326" s="270"/>
      <c r="P326" s="270"/>
      <c r="Q326" s="270"/>
      <c r="R326" s="270"/>
      <c r="S326" s="270"/>
      <c r="T326" s="270"/>
      <c r="U326" s="1019" t="s">
        <v>1730</v>
      </c>
      <c r="V326" s="1187"/>
      <c r="W326" s="1195"/>
      <c r="X326" s="1196"/>
      <c r="Y326" s="1180" t="str">
        <f>IF(G225="","",G225)</f>
        <v>Eq5</v>
      </c>
      <c r="Z326" s="1103" t="str">
        <f>IF(OR(ISNUMBER(Z327),ISNUMBER(Z328),ISNUMBER(Z329),ISNUMBER(Z330)),4-COUNTBLANK(AI327:AI330),"")</f>
        <v/>
      </c>
      <c r="AA326" s="1104" t="s">
        <v>769</v>
      </c>
      <c r="AB326" s="1103" t="str">
        <f>IF(OR(ISNUMBER(Z327),ISNUMBER(Z328),ISNUMBER(Z329),ISNUMBER(Z330)),4-COUNTBLANK(AJ327:AJ330),"")</f>
        <v/>
      </c>
      <c r="AC326" s="1181" t="str">
        <f>IF(G226="","",G226)</f>
        <v>Eq6</v>
      </c>
      <c r="AD326" s="839"/>
      <c r="AE326" s="270" t="str">
        <f>IF(Z326="","",IF(Z326&gt;AB326,Y326,IF(Z326=AB326,IF(NoDrawWithWithdraw,IF(AL326=Y326,AC326,IF(AL326=AC326,Y326,"")),""),AC326)))</f>
        <v/>
      </c>
      <c r="AF326" s="270" t="str">
        <f>IF(Z326="","",IF(Z326=AB326,IF(NoDrawWithWithdraw,IF(AL326=Y326,"",IF(AL326=AC326,"",Y326)),Y326),""))</f>
        <v/>
      </c>
      <c r="AG326" s="270" t="str">
        <f>IF(Z326="","",IF(Z326=AB326,IF(NoDrawWithWithdraw,IF(AL326=Y326,"",IF(AL326=AC326,"",AC326)),AC326),""))</f>
        <v/>
      </c>
      <c r="AH326" s="270" t="str">
        <f>IF(Z326="","",IF(Z326&lt;AB326,Y326,IF(Z326=AB326,IF(NoDrawWithWithdraw,IF(AL326=Y326,Y326,IF(AL326=AC326,AC326,"")),""),AC326)))</f>
        <v/>
      </c>
      <c r="AI326" s="270" t="str">
        <f>IF(Z326="","",SUM(Z327:Z330))</f>
        <v/>
      </c>
      <c r="AJ326" s="270" t="str">
        <f>IF(Z326="","",SUM(AB327:AB330))</f>
        <v/>
      </c>
      <c r="AK326" s="270" t="str">
        <f>CONCATENATE(AE326,AH326)</f>
        <v/>
      </c>
      <c r="AL326" s="270" t="str">
        <f>IF(COUNTIF(Y327:Y330,WithdrawLabel)&gt;COUNTIF(AC327:AC330,WithdrawLabel),Y326,IF(COUNTIF(AC327:AC330,WithdrawLabel)&gt;COUNTIF(Y327:Y330,WithdrawLabel),AC326,""))</f>
        <v/>
      </c>
      <c r="AM326" s="270"/>
      <c r="AN326" s="270"/>
      <c r="AO326" s="575"/>
      <c r="AP326" s="270"/>
      <c r="AQ326" s="270"/>
      <c r="AR326" s="270"/>
      <c r="AS326" s="270"/>
      <c r="AT326" s="270"/>
      <c r="AU326" s="270"/>
      <c r="AV326" s="270"/>
      <c r="AW326" s="270"/>
      <c r="AX326" s="270"/>
      <c r="AY326" s="270"/>
      <c r="AZ326" s="270"/>
      <c r="BA326" s="270"/>
      <c r="BB326" s="270"/>
      <c r="BC326" s="270"/>
      <c r="BD326" s="270"/>
      <c r="BE326" s="270"/>
      <c r="BF326" s="270"/>
      <c r="BG326" s="270"/>
      <c r="BH326" s="270"/>
      <c r="BI326" s="270"/>
      <c r="BJ326" s="270"/>
      <c r="BK326" s="270"/>
      <c r="BL326" s="270"/>
      <c r="BM326" s="270"/>
      <c r="BN326" s="270"/>
      <c r="BO326" s="270"/>
      <c r="BP326" s="270"/>
      <c r="BQ326" s="270"/>
      <c r="BR326" s="270"/>
      <c r="BS326" s="270"/>
      <c r="BT326" s="270"/>
      <c r="BU326" s="270"/>
      <c r="BV326" s="270"/>
      <c r="BW326" s="270"/>
      <c r="BX326" s="270"/>
      <c r="BY326" s="270"/>
      <c r="BZ326" s="270"/>
      <c r="CA326" s="270"/>
      <c r="CB326" s="270"/>
      <c r="CC326" s="270"/>
      <c r="CD326" s="270"/>
      <c r="CE326" s="1395"/>
      <c r="CF326" s="1450"/>
      <c r="CG326" s="1450"/>
      <c r="CH326" s="270"/>
      <c r="CI326" s="270"/>
      <c r="CJ326" s="270"/>
      <c r="CK326" s="270"/>
      <c r="CL326" s="270"/>
      <c r="CM326" s="270"/>
    </row>
    <row r="327" spans="1:91" ht="13.5" hidden="1" outlineLevel="3" thickBot="1" x14ac:dyDescent="0.25">
      <c r="A327" s="270"/>
      <c r="B327" s="271"/>
      <c r="C327" s="270"/>
      <c r="D327" s="270"/>
      <c r="E327" s="270"/>
      <c r="F327" s="270"/>
      <c r="G327" s="271"/>
      <c r="H327" s="270"/>
      <c r="I327" s="270"/>
      <c r="J327" s="270"/>
      <c r="K327" s="270"/>
      <c r="L327" s="270"/>
      <c r="M327" s="270"/>
      <c r="N327" s="270"/>
      <c r="O327" s="270"/>
      <c r="P327" s="270"/>
      <c r="Q327" s="270"/>
      <c r="R327" s="270"/>
      <c r="S327" s="270"/>
      <c r="T327" s="270"/>
      <c r="U327" s="575"/>
      <c r="V327" s="1118"/>
      <c r="W327" s="1177"/>
      <c r="X327" s="1186"/>
      <c r="Y327" s="1141"/>
      <c r="Z327" s="492"/>
      <c r="AA327" s="493" t="s">
        <v>769</v>
      </c>
      <c r="AB327" s="1069"/>
      <c r="AC327" s="1142"/>
      <c r="AD327" s="839"/>
      <c r="AE327" s="270" t="str">
        <f>IF(Z327="","",IF(Z327&gt;AB327,Y327,IF(Z327=AB327,"",AC327)))</f>
        <v/>
      </c>
      <c r="AF327" s="270" t="str">
        <f>IF(Z327="","",IF(Z327=AB327,Y327,""))</f>
        <v/>
      </c>
      <c r="AG327" s="270" t="str">
        <f>IF(Z327="","",IF(Z327=AB327,AC327,""))</f>
        <v/>
      </c>
      <c r="AH327" s="270" t="str">
        <f>IF(Z327="","",IF(Z327&lt;AB327,Y327,IF(Z327=AB327,"",AC327)))</f>
        <v/>
      </c>
      <c r="AI327" s="270" t="str">
        <f>IF(Z327="","",IF(Z327&gt;AB327,Y326,""))</f>
        <v/>
      </c>
      <c r="AJ327" s="270" t="str">
        <f>IF(Z327="","",IF(Z327&lt;AB327,AC326,""))</f>
        <v/>
      </c>
      <c r="AK327" s="270" t="str">
        <f>CONCATENATE(AE327,AH327)</f>
        <v/>
      </c>
      <c r="AL327" s="270"/>
      <c r="AM327" s="270"/>
      <c r="AN327" s="270"/>
      <c r="AO327" s="575"/>
      <c r="AP327" s="270"/>
      <c r="AQ327" s="270"/>
      <c r="AR327" s="270"/>
      <c r="AS327" s="270"/>
      <c r="AT327" s="270"/>
      <c r="AU327" s="270"/>
      <c r="AV327" s="270"/>
      <c r="AW327" s="270"/>
      <c r="AX327" s="270"/>
      <c r="AY327" s="270"/>
      <c r="AZ327" s="270"/>
      <c r="BA327" s="270"/>
      <c r="BB327" s="270"/>
      <c r="BC327" s="270"/>
      <c r="BD327" s="270"/>
      <c r="BE327" s="270"/>
      <c r="BF327" s="270"/>
      <c r="BG327" s="270"/>
      <c r="BH327" s="270"/>
      <c r="BI327" s="270"/>
      <c r="BJ327" s="270"/>
      <c r="BK327" s="270"/>
      <c r="BL327" s="270"/>
      <c r="BM327" s="270"/>
      <c r="BN327" s="270"/>
      <c r="BO327" s="270"/>
      <c r="BP327" s="270"/>
      <c r="BQ327" s="270"/>
      <c r="BR327" s="270"/>
      <c r="BS327" s="270"/>
      <c r="BT327" s="270"/>
      <c r="BU327" s="270"/>
      <c r="BV327" s="270"/>
      <c r="BW327" s="270"/>
      <c r="BX327" s="270"/>
      <c r="BY327" s="270"/>
      <c r="BZ327" s="270"/>
      <c r="CA327" s="270"/>
      <c r="CB327" s="270"/>
      <c r="CC327" s="270"/>
      <c r="CD327" s="270"/>
      <c r="CE327" s="1395"/>
      <c r="CF327" s="1450"/>
      <c r="CG327" s="1450"/>
      <c r="CH327" s="270"/>
      <c r="CI327" s="270"/>
      <c r="CJ327" s="270"/>
      <c r="CK327" s="270"/>
      <c r="CL327" s="270"/>
      <c r="CM327" s="270"/>
    </row>
    <row r="328" spans="1:91" ht="13.5" hidden="1" outlineLevel="3" thickBot="1" x14ac:dyDescent="0.25">
      <c r="A328" s="270"/>
      <c r="B328" s="271"/>
      <c r="C328" s="270"/>
      <c r="D328" s="270"/>
      <c r="E328" s="270"/>
      <c r="F328" s="270"/>
      <c r="G328" s="271"/>
      <c r="H328" s="270"/>
      <c r="I328" s="270"/>
      <c r="J328" s="270"/>
      <c r="K328" s="270"/>
      <c r="L328" s="270"/>
      <c r="M328" s="270"/>
      <c r="N328" s="270"/>
      <c r="O328" s="270"/>
      <c r="P328" s="270"/>
      <c r="Q328" s="270"/>
      <c r="R328" s="270"/>
      <c r="S328" s="270"/>
      <c r="T328" s="270"/>
      <c r="U328" s="575"/>
      <c r="V328" s="1118"/>
      <c r="W328" s="1177"/>
      <c r="X328" s="1186"/>
      <c r="Y328" s="1141"/>
      <c r="Z328" s="492"/>
      <c r="AA328" s="493" t="s">
        <v>769</v>
      </c>
      <c r="AB328" s="1069"/>
      <c r="AC328" s="1142"/>
      <c r="AD328" s="839"/>
      <c r="AE328" s="270" t="str">
        <f>IF(Z328="","",IF(Z328&gt;AB328,Y328,IF(Z328=AB328,"",AC328)))</f>
        <v/>
      </c>
      <c r="AF328" s="270" t="str">
        <f>IF(Z328="","",IF(Z328=AB328,Y328,""))</f>
        <v/>
      </c>
      <c r="AG328" s="270" t="str">
        <f>IF(Z328="","",IF(Z328=AB328,AC328,""))</f>
        <v/>
      </c>
      <c r="AH328" s="270" t="str">
        <f>IF(Z328="","",IF(Z328&lt;AB328,Y328,IF(Z328=AB328,"",AC328)))</f>
        <v/>
      </c>
      <c r="AI328" s="270" t="str">
        <f>IF(Z328="","",IF(Z328&gt;AB328,Y326,""))</f>
        <v/>
      </c>
      <c r="AJ328" s="270" t="str">
        <f>IF(Z328="","",IF(Z328&lt;AB328,AC326,""))</f>
        <v/>
      </c>
      <c r="AK328" s="270" t="str">
        <f>CONCATENATE(AE328,AH328)</f>
        <v/>
      </c>
      <c r="AL328" s="270"/>
      <c r="AM328" s="270"/>
      <c r="AN328" s="270"/>
      <c r="AO328" s="575"/>
      <c r="AP328" s="270"/>
      <c r="AQ328" s="270"/>
      <c r="AR328" s="270"/>
      <c r="AS328" s="270"/>
      <c r="AT328" s="270"/>
      <c r="AU328" s="270"/>
      <c r="AV328" s="270"/>
      <c r="AW328" s="270"/>
      <c r="AX328" s="270"/>
      <c r="AY328" s="270"/>
      <c r="AZ328" s="270"/>
      <c r="BA328" s="270"/>
      <c r="BB328" s="270"/>
      <c r="BC328" s="270"/>
      <c r="BD328" s="270"/>
      <c r="BE328" s="270"/>
      <c r="BF328" s="270"/>
      <c r="BG328" s="270"/>
      <c r="BH328" s="270"/>
      <c r="BI328" s="270"/>
      <c r="BJ328" s="270"/>
      <c r="BK328" s="270"/>
      <c r="BL328" s="270"/>
      <c r="BM328" s="270"/>
      <c r="BN328" s="270"/>
      <c r="BO328" s="270"/>
      <c r="BP328" s="270"/>
      <c r="BQ328" s="270"/>
      <c r="BR328" s="270"/>
      <c r="BS328" s="270"/>
      <c r="BT328" s="270"/>
      <c r="BU328" s="270"/>
      <c r="BV328" s="270"/>
      <c r="BW328" s="270"/>
      <c r="BX328" s="270"/>
      <c r="BY328" s="270"/>
      <c r="BZ328" s="270"/>
      <c r="CA328" s="270"/>
      <c r="CB328" s="270"/>
      <c r="CC328" s="270"/>
      <c r="CD328" s="270"/>
      <c r="CE328" s="1395"/>
      <c r="CF328" s="1450"/>
      <c r="CG328" s="1450"/>
      <c r="CH328" s="270"/>
      <c r="CI328" s="270"/>
      <c r="CJ328" s="270"/>
      <c r="CK328" s="270"/>
      <c r="CL328" s="270"/>
      <c r="CM328" s="270"/>
    </row>
    <row r="329" spans="1:91" ht="13.5" hidden="1" outlineLevel="3" thickBot="1" x14ac:dyDescent="0.25">
      <c r="A329" s="270"/>
      <c r="B329" s="271"/>
      <c r="C329" s="270"/>
      <c r="D329" s="270"/>
      <c r="E329" s="270"/>
      <c r="F329" s="270"/>
      <c r="G329" s="271"/>
      <c r="H329" s="270"/>
      <c r="I329" s="270"/>
      <c r="J329" s="270"/>
      <c r="K329" s="270"/>
      <c r="L329" s="270"/>
      <c r="M329" s="270"/>
      <c r="N329" s="270"/>
      <c r="O329" s="270"/>
      <c r="P329" s="270"/>
      <c r="Q329" s="270"/>
      <c r="R329" s="270"/>
      <c r="S329" s="270"/>
      <c r="T329" s="270"/>
      <c r="U329" s="575"/>
      <c r="V329" s="1118"/>
      <c r="W329" s="1177"/>
      <c r="X329" s="1186"/>
      <c r="Y329" s="1141"/>
      <c r="Z329" s="492"/>
      <c r="AA329" s="493" t="s">
        <v>769</v>
      </c>
      <c r="AB329" s="1069"/>
      <c r="AC329" s="1142"/>
      <c r="AD329" s="839"/>
      <c r="AE329" s="270" t="str">
        <f>IF(Z329="","",IF(Z329&gt;AB329,Y329,IF(Z329=AB329,"",AC329)))</f>
        <v/>
      </c>
      <c r="AF329" s="270" t="str">
        <f>IF(Z329="","",IF(Z329=AB329,Y329,""))</f>
        <v/>
      </c>
      <c r="AG329" s="270" t="str">
        <f>IF(Z329="","",IF(Z329=AB329,AC329,""))</f>
        <v/>
      </c>
      <c r="AH329" s="270" t="str">
        <f>IF(Z329="","",IF(Z329&lt;AB329,Y329,IF(Z329=AB329,"",AC329)))</f>
        <v/>
      </c>
      <c r="AI329" s="270" t="str">
        <f>IF(Z329="","",IF(Z329&gt;AB329,Y326,""))</f>
        <v/>
      </c>
      <c r="AJ329" s="270" t="str">
        <f>IF(Z329="","",IF(Z329&lt;AB329,AC326,""))</f>
        <v/>
      </c>
      <c r="AK329" s="270" t="str">
        <f>CONCATENATE(AE329,AH329)</f>
        <v/>
      </c>
      <c r="AL329" s="270"/>
      <c r="AM329" s="270"/>
      <c r="AN329" s="270"/>
      <c r="AO329" s="575"/>
      <c r="AP329" s="270"/>
      <c r="AQ329" s="270"/>
      <c r="AR329" s="270"/>
      <c r="AS329" s="270"/>
      <c r="AT329" s="270"/>
      <c r="AU329" s="270"/>
      <c r="AV329" s="270"/>
      <c r="AW329" s="270"/>
      <c r="AX329" s="270"/>
      <c r="AY329" s="270"/>
      <c r="AZ329" s="270"/>
      <c r="BA329" s="270"/>
      <c r="BB329" s="270"/>
      <c r="BC329" s="270"/>
      <c r="BD329" s="270"/>
      <c r="BE329" s="270"/>
      <c r="BF329" s="270"/>
      <c r="BG329" s="270"/>
      <c r="BH329" s="270"/>
      <c r="BI329" s="270"/>
      <c r="BJ329" s="270"/>
      <c r="BK329" s="270"/>
      <c r="BL329" s="270"/>
      <c r="BM329" s="270"/>
      <c r="BN329" s="270"/>
      <c r="BO329" s="270"/>
      <c r="BP329" s="270"/>
      <c r="BQ329" s="270"/>
      <c r="BR329" s="270"/>
      <c r="BS329" s="270"/>
      <c r="BT329" s="270"/>
      <c r="BU329" s="270"/>
      <c r="BV329" s="270"/>
      <c r="BW329" s="270"/>
      <c r="BX329" s="270"/>
      <c r="BY329" s="270"/>
      <c r="BZ329" s="270"/>
      <c r="CA329" s="270"/>
      <c r="CB329" s="270"/>
      <c r="CC329" s="270"/>
      <c r="CD329" s="270"/>
      <c r="CE329" s="1395"/>
      <c r="CF329" s="1450"/>
      <c r="CG329" s="1450"/>
      <c r="CH329" s="270"/>
      <c r="CI329" s="270"/>
      <c r="CJ329" s="270"/>
      <c r="CK329" s="270"/>
      <c r="CL329" s="270"/>
      <c r="CM329" s="270"/>
    </row>
    <row r="330" spans="1:91" ht="13.5" hidden="1" outlineLevel="3" thickBot="1" x14ac:dyDescent="0.25">
      <c r="A330" s="270"/>
      <c r="B330" s="271"/>
      <c r="C330" s="270"/>
      <c r="D330" s="270"/>
      <c r="E330" s="270"/>
      <c r="F330" s="270"/>
      <c r="G330" s="271"/>
      <c r="H330" s="270"/>
      <c r="I330" s="270"/>
      <c r="J330" s="270"/>
      <c r="K330" s="270"/>
      <c r="L330" s="270"/>
      <c r="M330" s="270"/>
      <c r="N330" s="270"/>
      <c r="O330" s="270"/>
      <c r="P330" s="270"/>
      <c r="Q330" s="270"/>
      <c r="R330" s="270"/>
      <c r="S330" s="270"/>
      <c r="T330" s="270"/>
      <c r="U330" s="575"/>
      <c r="V330" s="1118"/>
      <c r="W330" s="1177"/>
      <c r="X330" s="1186"/>
      <c r="Y330" s="1141"/>
      <c r="Z330" s="492"/>
      <c r="AA330" s="493" t="s">
        <v>769</v>
      </c>
      <c r="AB330" s="1069"/>
      <c r="AC330" s="1142"/>
      <c r="AD330" s="839"/>
      <c r="AE330" s="270" t="str">
        <f>IF(Z330="","",IF(Z330&gt;AB330,Y330,IF(Z330=AB330,"",AC330)))</f>
        <v/>
      </c>
      <c r="AF330" s="270" t="str">
        <f>IF(Z330="","",IF(Z330=AB330,Y330,""))</f>
        <v/>
      </c>
      <c r="AG330" s="270" t="str">
        <f>IF(Z330="","",IF(Z330=AB330,AC330,""))</f>
        <v/>
      </c>
      <c r="AH330" s="270" t="str">
        <f>IF(Z330="","",IF(Z330&lt;AB330,Y330,IF(Z330=AB330,"",AC330)))</f>
        <v/>
      </c>
      <c r="AI330" s="270" t="str">
        <f>IF(Z330="","",IF(Z330&gt;AB330,Y326,""))</f>
        <v/>
      </c>
      <c r="AJ330" s="270" t="str">
        <f>IF(Z330="","",IF(Z330&lt;AB330,AC326,""))</f>
        <v/>
      </c>
      <c r="AK330" s="270" t="str">
        <f>CONCATENATE(AE330,AH330)</f>
        <v/>
      </c>
      <c r="AL330" s="270"/>
      <c r="AM330" s="270"/>
      <c r="AN330" s="270"/>
      <c r="AO330" s="575"/>
      <c r="AP330" s="270"/>
      <c r="AQ330" s="270"/>
      <c r="AR330" s="270"/>
      <c r="AS330" s="270"/>
      <c r="AT330" s="270"/>
      <c r="AU330" s="270"/>
      <c r="AV330" s="270"/>
      <c r="AW330" s="270"/>
      <c r="AX330" s="270"/>
      <c r="AY330" s="270"/>
      <c r="AZ330" s="270"/>
      <c r="BA330" s="270"/>
      <c r="BB330" s="270"/>
      <c r="BC330" s="270"/>
      <c r="BD330" s="270"/>
      <c r="BE330" s="270"/>
      <c r="BF330" s="270"/>
      <c r="BG330" s="270"/>
      <c r="BH330" s="270"/>
      <c r="BI330" s="270"/>
      <c r="BJ330" s="270"/>
      <c r="BK330" s="270"/>
      <c r="BL330" s="270"/>
      <c r="BM330" s="270"/>
      <c r="BN330" s="270"/>
      <c r="BO330" s="270"/>
      <c r="BP330" s="270"/>
      <c r="BQ330" s="270"/>
      <c r="BR330" s="270"/>
      <c r="BS330" s="270"/>
      <c r="BT330" s="270"/>
      <c r="BU330" s="270"/>
      <c r="BV330" s="270"/>
      <c r="BW330" s="270"/>
      <c r="BX330" s="270"/>
      <c r="BY330" s="270"/>
      <c r="BZ330" s="270"/>
      <c r="CA330" s="270"/>
      <c r="CB330" s="270"/>
      <c r="CC330" s="270"/>
      <c r="CD330" s="270"/>
      <c r="CE330" s="1395"/>
      <c r="CF330" s="1450"/>
      <c r="CG330" s="1450"/>
      <c r="CH330" s="270"/>
      <c r="CI330" s="270"/>
      <c r="CJ330" s="270"/>
      <c r="CK330" s="270"/>
      <c r="CL330" s="270"/>
      <c r="CM330" s="270"/>
    </row>
    <row r="331" spans="1:91" ht="13.5" hidden="1" outlineLevel="3" thickBot="1" x14ac:dyDescent="0.25">
      <c r="A331" s="270"/>
      <c r="B331" s="271"/>
      <c r="C331" s="12"/>
      <c r="D331" s="1071"/>
      <c r="E331" s="1071"/>
      <c r="F331" s="1071"/>
      <c r="G331" s="626"/>
      <c r="H331" s="271"/>
      <c r="I331" s="270"/>
      <c r="J331" s="270"/>
      <c r="K331" s="270"/>
      <c r="L331" s="270"/>
      <c r="M331" s="270"/>
      <c r="N331" s="270"/>
      <c r="O331" s="270"/>
      <c r="P331" s="1072"/>
      <c r="Q331" s="270"/>
      <c r="R331" s="270"/>
      <c r="S331" s="1072"/>
      <c r="T331" s="270"/>
      <c r="U331" s="1019"/>
      <c r="V331" s="1077"/>
      <c r="W331" s="1078"/>
      <c r="X331" s="1075" t="str">
        <f>N_Substitute</f>
        <v>Remplaçant</v>
      </c>
      <c r="Y331" s="1141"/>
      <c r="Z331" s="492"/>
      <c r="AA331" s="1076"/>
      <c r="AB331" s="1069"/>
      <c r="AC331" s="1142"/>
      <c r="AD331" s="839"/>
      <c r="AE331" s="270"/>
      <c r="AF331" s="270"/>
      <c r="AG331" s="270"/>
      <c r="AH331" s="270"/>
      <c r="AI331" s="270"/>
      <c r="AJ331" s="270"/>
      <c r="AK331" s="270"/>
      <c r="AL331" s="270"/>
      <c r="AM331" s="270"/>
      <c r="AN331" s="270"/>
      <c r="AO331" s="271"/>
      <c r="AP331" s="270"/>
      <c r="AQ331" s="270"/>
      <c r="AR331" s="270"/>
      <c r="AS331" s="270"/>
      <c r="AT331" s="270"/>
      <c r="AU331" s="270"/>
      <c r="AV331" s="270"/>
      <c r="AW331" s="270"/>
      <c r="AX331" s="270"/>
      <c r="AY331" s="1072"/>
      <c r="AZ331" s="270"/>
      <c r="BA331" s="270"/>
      <c r="BB331" s="1072"/>
      <c r="BC331" s="270"/>
      <c r="BD331" s="270"/>
      <c r="BE331" s="270"/>
      <c r="BF331" s="270"/>
      <c r="BG331" s="270"/>
      <c r="BH331" s="270"/>
      <c r="BI331" s="270"/>
      <c r="BJ331" s="270"/>
      <c r="BK331" s="270"/>
      <c r="BL331" s="270"/>
      <c r="BM331" s="270"/>
      <c r="BN331" s="270"/>
      <c r="BO331" s="270"/>
      <c r="BP331" s="270"/>
      <c r="BQ331" s="270"/>
      <c r="BR331" s="270"/>
      <c r="BS331" s="270"/>
      <c r="BT331" s="270"/>
      <c r="BU331" s="270"/>
      <c r="BV331" s="270"/>
      <c r="BW331" s="270"/>
      <c r="BX331" s="270"/>
      <c r="BY331" s="270"/>
      <c r="BZ331" s="270"/>
      <c r="CA331" s="270"/>
      <c r="CB331" s="270"/>
      <c r="CC331" s="270"/>
      <c r="CD331" s="270"/>
      <c r="CE331" s="1395"/>
      <c r="CF331" s="1450"/>
      <c r="CG331" s="1450"/>
      <c r="CH331" s="270"/>
      <c r="CI331" s="270"/>
      <c r="CJ331" s="270"/>
      <c r="CK331" s="270"/>
      <c r="CL331" s="270"/>
      <c r="CM331" s="270"/>
    </row>
    <row r="332" spans="1:91" ht="13.5" hidden="1" outlineLevel="3" thickBot="1" x14ac:dyDescent="0.25">
      <c r="A332" s="270"/>
      <c r="B332" s="271"/>
      <c r="C332" s="12"/>
      <c r="D332" s="1071"/>
      <c r="E332" s="1071"/>
      <c r="F332" s="1071"/>
      <c r="G332" s="626"/>
      <c r="H332" s="271"/>
      <c r="I332" s="270"/>
      <c r="J332" s="270"/>
      <c r="K332" s="270"/>
      <c r="L332" s="270"/>
      <c r="M332" s="270"/>
      <c r="N332" s="270"/>
      <c r="O332" s="270"/>
      <c r="P332" s="1072"/>
      <c r="Q332" s="270"/>
      <c r="R332" s="270"/>
      <c r="S332" s="1072"/>
      <c r="T332" s="270"/>
      <c r="U332" s="1019"/>
      <c r="V332" s="1087"/>
      <c r="W332" s="1088"/>
      <c r="X332" s="1089" t="str">
        <f>N_Substitute</f>
        <v>Remplaçant</v>
      </c>
      <c r="Y332" s="1145"/>
      <c r="Z332" s="496"/>
      <c r="AA332" s="1090"/>
      <c r="AB332" s="496"/>
      <c r="AC332" s="1146"/>
      <c r="AD332" s="839"/>
      <c r="AE332" s="270"/>
      <c r="AF332" s="270"/>
      <c r="AG332" s="270"/>
      <c r="AH332" s="270"/>
      <c r="AI332" s="270"/>
      <c r="AJ332" s="270"/>
      <c r="AK332" s="270"/>
      <c r="AL332" s="270"/>
      <c r="AM332" s="270"/>
      <c r="AN332" s="270"/>
      <c r="AO332" s="271"/>
      <c r="AP332" s="270"/>
      <c r="AQ332" s="270"/>
      <c r="AR332" s="270"/>
      <c r="AS332" s="270"/>
      <c r="AT332" s="270"/>
      <c r="AU332" s="270"/>
      <c r="AV332" s="270"/>
      <c r="AW332" s="270"/>
      <c r="AX332" s="270"/>
      <c r="AY332" s="1072"/>
      <c r="AZ332" s="270"/>
      <c r="BA332" s="270"/>
      <c r="BB332" s="1072"/>
      <c r="BC332" s="270"/>
      <c r="BD332" s="270"/>
      <c r="BE332" s="270"/>
      <c r="BF332" s="270"/>
      <c r="BG332" s="270"/>
      <c r="BH332" s="270"/>
      <c r="BI332" s="270"/>
      <c r="BJ332" s="270"/>
      <c r="BK332" s="270"/>
      <c r="BL332" s="270"/>
      <c r="BM332" s="270"/>
      <c r="BN332" s="270"/>
      <c r="BO332" s="270"/>
      <c r="BP332" s="270"/>
      <c r="BQ332" s="270"/>
      <c r="BR332" s="270"/>
      <c r="BS332" s="270"/>
      <c r="BT332" s="270"/>
      <c r="BU332" s="270"/>
      <c r="BV332" s="270"/>
      <c r="BW332" s="270"/>
      <c r="BX332" s="270"/>
      <c r="BY332" s="270"/>
      <c r="BZ332" s="270"/>
      <c r="CA332" s="270"/>
      <c r="CB332" s="270"/>
      <c r="CC332" s="270"/>
      <c r="CD332" s="270"/>
      <c r="CE332" s="1395"/>
      <c r="CF332" s="1450"/>
      <c r="CG332" s="1450"/>
      <c r="CH332" s="270"/>
      <c r="CI332" s="270"/>
      <c r="CJ332" s="270"/>
      <c r="CK332" s="270"/>
      <c r="CL332" s="270"/>
      <c r="CM332" s="270"/>
    </row>
    <row r="333" spans="1:91" outlineLevel="1" x14ac:dyDescent="0.2">
      <c r="A333" s="270"/>
      <c r="B333" s="271"/>
      <c r="C333" s="270"/>
      <c r="D333" s="270"/>
      <c r="E333" s="270"/>
      <c r="F333" s="270"/>
      <c r="G333" s="271"/>
      <c r="H333" s="270"/>
      <c r="I333" s="270"/>
      <c r="J333" s="270"/>
      <c r="K333" s="270"/>
      <c r="L333" s="270"/>
      <c r="M333" s="270"/>
      <c r="N333" s="270"/>
      <c r="O333" s="270"/>
      <c r="P333" s="270"/>
      <c r="Q333" s="270"/>
      <c r="R333" s="270"/>
      <c r="S333" s="270"/>
      <c r="T333" s="270"/>
      <c r="U333" s="270"/>
      <c r="V333" s="1097"/>
      <c r="W333" s="1097"/>
      <c r="X333" s="1098"/>
      <c r="Y333" s="1099"/>
      <c r="Z333" s="1097"/>
      <c r="AA333" s="1097"/>
      <c r="AB333" s="1097"/>
      <c r="AC333" s="1100"/>
      <c r="AD333" s="839"/>
      <c r="AE333" s="270"/>
      <c r="AF333" s="270"/>
      <c r="AG333" s="270"/>
      <c r="AH333" s="270"/>
      <c r="AI333" s="270"/>
      <c r="AJ333" s="270"/>
      <c r="AK333" s="270"/>
      <c r="AL333" s="270"/>
      <c r="AM333" s="270"/>
      <c r="AN333" s="270"/>
      <c r="AO333" s="575"/>
      <c r="AP333" s="270"/>
      <c r="AQ333" s="270"/>
      <c r="AR333" s="270"/>
      <c r="AS333" s="270"/>
      <c r="AT333" s="270"/>
      <c r="AU333" s="270"/>
      <c r="AV333" s="270"/>
      <c r="AW333" s="270"/>
      <c r="AX333" s="270"/>
      <c r="AY333" s="270"/>
      <c r="AZ333" s="270"/>
      <c r="BA333" s="270"/>
      <c r="BB333" s="270"/>
      <c r="BC333" s="270"/>
      <c r="BD333" s="270"/>
      <c r="BE333" s="270"/>
      <c r="BF333" s="270"/>
      <c r="BG333" s="270"/>
      <c r="BH333" s="270"/>
      <c r="BI333" s="270"/>
      <c r="BJ333" s="270"/>
      <c r="BK333" s="270"/>
      <c r="BL333" s="270"/>
      <c r="BM333" s="270"/>
      <c r="BN333" s="270"/>
      <c r="BO333" s="270"/>
      <c r="BP333" s="270"/>
      <c r="BQ333" s="270"/>
      <c r="BR333" s="270"/>
      <c r="BS333" s="270"/>
      <c r="BT333" s="270"/>
      <c r="BU333" s="270"/>
      <c r="BV333" s="270"/>
      <c r="BW333" s="270"/>
      <c r="BX333" s="270"/>
      <c r="BY333" s="270"/>
      <c r="BZ333" s="270"/>
      <c r="CA333" s="270"/>
      <c r="CB333" s="270"/>
      <c r="CC333" s="270"/>
      <c r="CD333" s="270"/>
      <c r="CE333" s="1395"/>
      <c r="CF333" s="1450"/>
      <c r="CG333" s="1450"/>
      <c r="CH333" s="270"/>
      <c r="CI333" s="270"/>
      <c r="CJ333" s="270"/>
      <c r="CK333" s="270"/>
      <c r="CL333" s="270"/>
      <c r="CM333" s="270"/>
    </row>
    <row r="334" spans="1:91" ht="13.5" thickBot="1" x14ac:dyDescent="0.25">
      <c r="A334" s="270"/>
      <c r="B334" s="271"/>
      <c r="C334" s="270"/>
      <c r="D334" s="270"/>
      <c r="E334" s="270"/>
      <c r="F334" s="270"/>
      <c r="G334" s="271"/>
      <c r="H334" s="270"/>
      <c r="I334" s="270"/>
      <c r="J334" s="270"/>
      <c r="K334" s="270"/>
      <c r="L334" s="270"/>
      <c r="M334" s="270"/>
      <c r="N334" s="270"/>
      <c r="O334" s="270"/>
      <c r="P334" s="270"/>
      <c r="Q334" s="270"/>
      <c r="R334" s="270"/>
      <c r="S334" s="270"/>
      <c r="T334" s="270"/>
      <c r="U334" s="270"/>
      <c r="V334" s="271"/>
      <c r="W334" s="271"/>
      <c r="X334" s="270"/>
      <c r="Y334" s="646"/>
      <c r="Z334" s="270"/>
      <c r="AA334" s="271"/>
      <c r="AB334" s="270"/>
      <c r="AC334" s="290"/>
      <c r="AD334" s="839"/>
      <c r="AE334" s="270"/>
      <c r="AF334" s="270"/>
      <c r="AG334" s="270"/>
      <c r="AH334" s="270"/>
      <c r="AI334" s="270"/>
      <c r="AJ334" s="270"/>
      <c r="AK334" s="270"/>
      <c r="AL334" s="270"/>
      <c r="AM334" s="270"/>
      <c r="AN334" s="270"/>
      <c r="AO334" s="575"/>
      <c r="AP334" s="270"/>
      <c r="AQ334" s="270"/>
      <c r="AR334" s="270"/>
      <c r="AS334" s="270"/>
      <c r="AT334" s="270"/>
      <c r="AU334" s="270"/>
      <c r="AV334" s="270"/>
      <c r="AW334" s="270"/>
      <c r="AX334" s="270"/>
      <c r="AY334" s="270"/>
      <c r="AZ334" s="270"/>
      <c r="BA334" s="270"/>
      <c r="BB334" s="270"/>
      <c r="BC334" s="270"/>
      <c r="BD334" s="270"/>
      <c r="BE334" s="270"/>
      <c r="BF334" s="270"/>
      <c r="BG334" s="270"/>
      <c r="BH334" s="270"/>
      <c r="BI334" s="270"/>
      <c r="BJ334" s="270"/>
      <c r="BK334" s="270"/>
      <c r="BL334" s="270"/>
      <c r="BM334" s="270"/>
      <c r="BN334" s="270"/>
      <c r="BO334" s="270"/>
      <c r="BP334" s="270"/>
      <c r="BQ334" s="270"/>
      <c r="BR334" s="270"/>
      <c r="BS334" s="270"/>
      <c r="BT334" s="270"/>
      <c r="BU334" s="270"/>
      <c r="BV334" s="270"/>
      <c r="BW334" s="270"/>
      <c r="BX334" s="270"/>
      <c r="BY334" s="270"/>
      <c r="BZ334" s="270"/>
      <c r="CA334" s="270"/>
      <c r="CB334" s="270"/>
      <c r="CC334" s="270"/>
      <c r="CD334" s="270"/>
      <c r="CE334" s="1395"/>
      <c r="CF334" s="1450"/>
      <c r="CG334" s="1450"/>
      <c r="CH334" s="270"/>
      <c r="CI334" s="270"/>
      <c r="CJ334" s="270"/>
      <c r="CK334" s="270"/>
      <c r="CL334" s="270"/>
      <c r="CM334" s="270"/>
    </row>
    <row r="335" spans="1:91" ht="13.5" thickBot="1" x14ac:dyDescent="0.25">
      <c r="A335" s="270"/>
      <c r="B335" s="1101" t="str">
        <f>N_Group_7</f>
        <v>Poule de 7</v>
      </c>
      <c r="C335" s="1022"/>
      <c r="D335" s="1022"/>
      <c r="E335" s="1022"/>
      <c r="F335" s="1022"/>
      <c r="G335" s="1022"/>
      <c r="H335" s="1022"/>
      <c r="I335" s="1022"/>
      <c r="J335" s="1022"/>
      <c r="K335" s="1022"/>
      <c r="L335" s="1022"/>
      <c r="M335" s="1022"/>
      <c r="N335" s="1022"/>
      <c r="O335" s="1022"/>
      <c r="P335" s="1022"/>
      <c r="Q335" s="1022"/>
      <c r="R335" s="1022"/>
      <c r="S335" s="1022"/>
      <c r="T335" s="1022"/>
      <c r="U335" s="1022"/>
      <c r="V335" s="1022"/>
      <c r="W335" s="1022"/>
      <c r="X335" s="1022"/>
      <c r="Y335" s="1022"/>
      <c r="Z335" s="1022"/>
      <c r="AA335" s="1022"/>
      <c r="AB335" s="1022"/>
      <c r="AC335" s="1022"/>
      <c r="AD335" s="1022"/>
      <c r="AE335" s="1022"/>
      <c r="AF335" s="1022"/>
      <c r="AG335" s="1022"/>
      <c r="AH335" s="1022"/>
      <c r="AI335" s="1022"/>
      <c r="AJ335" s="1022"/>
      <c r="AK335" s="1022"/>
      <c r="AL335" s="1022"/>
      <c r="AM335" s="1023"/>
      <c r="AN335" s="1022" t="str">
        <f>B335</f>
        <v>Poule de 7</v>
      </c>
      <c r="AO335" s="1022"/>
      <c r="AP335" s="1022"/>
      <c r="AQ335" s="1022"/>
      <c r="AR335" s="1022"/>
      <c r="AS335" s="1022"/>
      <c r="AT335" s="1022"/>
      <c r="AU335" s="1022"/>
      <c r="AV335" s="1022"/>
      <c r="AW335" s="1022"/>
      <c r="AX335" s="1022"/>
      <c r="AY335" s="1022"/>
      <c r="AZ335" s="1022"/>
      <c r="BA335" s="1022"/>
      <c r="BB335" s="1022"/>
      <c r="BC335" s="1022"/>
      <c r="BD335" s="1022"/>
      <c r="BE335" s="1022"/>
      <c r="BF335" s="1022"/>
      <c r="BG335" s="1022"/>
      <c r="BH335" s="1022"/>
      <c r="BI335" s="1022"/>
      <c r="BJ335" s="1022"/>
      <c r="BK335" s="1022"/>
      <c r="BL335" s="1022"/>
      <c r="BM335" s="1022"/>
      <c r="BN335" s="1022"/>
      <c r="BO335" s="1022"/>
      <c r="BP335" s="1022"/>
      <c r="BQ335" s="1022"/>
      <c r="BR335" s="1022"/>
      <c r="BS335" s="1022"/>
      <c r="BT335" s="1022"/>
      <c r="BU335" s="1022"/>
      <c r="BV335" s="1022"/>
      <c r="BW335" s="1022"/>
      <c r="BX335" s="1022"/>
      <c r="BY335" s="1022"/>
      <c r="BZ335" s="1022"/>
      <c r="CA335" s="1022"/>
      <c r="CB335" s="1022"/>
      <c r="CC335" s="1022"/>
      <c r="CD335" s="1022"/>
      <c r="CE335" s="1395"/>
      <c r="CF335" s="1450"/>
      <c r="CG335" s="1450"/>
      <c r="CH335" s="1023"/>
      <c r="CI335" s="270"/>
      <c r="CJ335" s="270"/>
      <c r="CK335" s="270"/>
      <c r="CL335" s="270"/>
      <c r="CM335" s="270"/>
    </row>
    <row r="336" spans="1:91" ht="13.5" outlineLevel="1" thickBot="1" x14ac:dyDescent="0.25">
      <c r="A336" s="270"/>
      <c r="B336" s="271"/>
      <c r="C336" s="270"/>
      <c r="D336" s="270"/>
      <c r="E336" s="270"/>
      <c r="F336" s="270"/>
      <c r="G336" s="271"/>
      <c r="H336" s="270"/>
      <c r="I336" s="270"/>
      <c r="J336" s="270"/>
      <c r="K336" s="270"/>
      <c r="L336" s="270"/>
      <c r="M336" s="270"/>
      <c r="N336" s="270"/>
      <c r="O336" s="270"/>
      <c r="P336" s="270"/>
      <c r="Q336" s="270"/>
      <c r="R336" s="270"/>
      <c r="S336" s="270"/>
      <c r="T336" s="270"/>
      <c r="U336" s="270"/>
      <c r="V336" s="271"/>
      <c r="W336" s="271"/>
      <c r="X336" s="270"/>
      <c r="Y336" s="646"/>
      <c r="Z336" s="271"/>
      <c r="AA336" s="271"/>
      <c r="AB336" s="271"/>
      <c r="AC336" s="290"/>
      <c r="AD336" s="839"/>
      <c r="AE336" s="270"/>
      <c r="AF336" s="270"/>
      <c r="AG336" s="270"/>
      <c r="AH336" s="270"/>
      <c r="AI336" s="270"/>
      <c r="AJ336" s="270"/>
      <c r="AK336" s="270"/>
      <c r="AL336" s="270"/>
      <c r="AM336" s="270"/>
      <c r="AN336" s="270"/>
      <c r="AO336" s="575"/>
      <c r="AP336" s="270"/>
      <c r="AQ336" s="270"/>
      <c r="AR336" s="270"/>
      <c r="AS336" s="270"/>
      <c r="AT336" s="270"/>
      <c r="AU336" s="270"/>
      <c r="AV336" s="270"/>
      <c r="AW336" s="270"/>
      <c r="AX336" s="270"/>
      <c r="AY336" s="270"/>
      <c r="AZ336" s="270"/>
      <c r="BA336" s="270"/>
      <c r="BB336" s="270"/>
      <c r="BC336" s="271"/>
      <c r="BD336" s="271"/>
      <c r="BE336" s="271"/>
      <c r="BF336" s="271"/>
      <c r="BG336" s="271"/>
      <c r="BH336" s="271"/>
      <c r="BI336" s="271"/>
      <c r="BJ336" s="271"/>
      <c r="BK336" s="271"/>
      <c r="BL336" s="271"/>
      <c r="BM336" s="271"/>
      <c r="BN336" s="271"/>
      <c r="BO336" s="271"/>
      <c r="BP336" s="271"/>
      <c r="BQ336" s="271"/>
      <c r="BR336" s="271"/>
      <c r="BS336" s="271"/>
      <c r="BT336" s="271"/>
      <c r="BU336" s="271"/>
      <c r="BV336" s="271"/>
      <c r="BW336" s="271"/>
      <c r="BX336" s="270"/>
      <c r="BY336" s="270"/>
      <c r="BZ336" s="270"/>
      <c r="CA336" s="270"/>
      <c r="CB336" s="270"/>
      <c r="CC336" s="270"/>
      <c r="CD336" s="270"/>
      <c r="CE336" s="1395"/>
      <c r="CF336" s="1450"/>
      <c r="CG336" s="1450"/>
      <c r="CH336" s="270"/>
      <c r="CI336" s="270"/>
      <c r="CJ336" s="270"/>
      <c r="CK336" s="270"/>
      <c r="CL336" s="270"/>
      <c r="CM336" s="270"/>
    </row>
    <row r="337" spans="1:91" ht="13.5" outlineLevel="1" thickBot="1" x14ac:dyDescent="0.25">
      <c r="A337" s="270"/>
      <c r="B337" s="1149" t="str">
        <f>N_Tirage</f>
        <v>Tirage</v>
      </c>
      <c r="C337" s="1150" t="s">
        <v>787</v>
      </c>
      <c r="D337" s="1151" t="s">
        <v>831</v>
      </c>
      <c r="E337" s="1151" t="s">
        <v>832</v>
      </c>
      <c r="F337" s="1152" t="s">
        <v>833</v>
      </c>
      <c r="G337" s="1153" t="str">
        <f>N_Equipes</f>
        <v>Equipes</v>
      </c>
      <c r="H337" s="1154" t="str">
        <f>N_Pts</f>
        <v>Pts</v>
      </c>
      <c r="I337" s="1154" t="str">
        <f>N_J</f>
        <v>J</v>
      </c>
      <c r="J337" s="1155" t="str">
        <f>N_G</f>
        <v>G</v>
      </c>
      <c r="K337" s="1155" t="str">
        <f>N_N</f>
        <v>N</v>
      </c>
      <c r="L337" s="1155" t="str">
        <f>N_P</f>
        <v>P</v>
      </c>
      <c r="M337" s="1155" t="str">
        <f>N_Diff_R</f>
        <v>Diff R</v>
      </c>
      <c r="N337" s="1155" t="str">
        <f>N_MP</f>
        <v>MP</v>
      </c>
      <c r="O337" s="1155" t="str">
        <f>N_MC</f>
        <v>MC</v>
      </c>
      <c r="P337" s="1156" t="str">
        <f>N_Diff_M</f>
        <v>Diff M</v>
      </c>
      <c r="Q337" s="1155" t="str">
        <f>N_BP</f>
        <v>BP</v>
      </c>
      <c r="R337" s="1155" t="str">
        <f>N_BC</f>
        <v>BC</v>
      </c>
      <c r="S337" s="1157" t="str">
        <f>N_Diff_B</f>
        <v>Diff B</v>
      </c>
      <c r="T337" s="270"/>
      <c r="U337" s="1158"/>
      <c r="V337" s="1158"/>
      <c r="W337" s="1158"/>
      <c r="X337" s="1159"/>
      <c r="Y337" s="1159"/>
      <c r="Z337" s="271"/>
      <c r="AA337" s="271"/>
      <c r="AB337" s="271"/>
      <c r="AC337" s="290"/>
      <c r="AD337" s="839"/>
      <c r="AE337" s="270"/>
      <c r="AF337" s="270"/>
      <c r="AG337" s="270"/>
      <c r="AH337" s="270"/>
      <c r="AI337" s="270"/>
      <c r="AJ337" s="270"/>
      <c r="AK337" s="270"/>
      <c r="AL337" s="270"/>
      <c r="AM337" s="270"/>
      <c r="AN337" s="270"/>
      <c r="AO337" s="1160" t="str">
        <f>N_Cla.</f>
        <v>Cla.</v>
      </c>
      <c r="AP337" s="1161" t="str">
        <f>N_Equipes</f>
        <v>Equipes</v>
      </c>
      <c r="AQ337" s="1162" t="str">
        <f>N_Pts</f>
        <v>Pts</v>
      </c>
      <c r="AR337" s="1162" t="str">
        <f>N_J</f>
        <v>J</v>
      </c>
      <c r="AS337" s="1151" t="str">
        <f>N_G</f>
        <v>G</v>
      </c>
      <c r="AT337" s="1151" t="str">
        <f>N_N</f>
        <v>N</v>
      </c>
      <c r="AU337" s="1151" t="str">
        <f>N_P</f>
        <v>P</v>
      </c>
      <c r="AV337" s="1163" t="str">
        <f>N_Diff_R</f>
        <v>Diff R</v>
      </c>
      <c r="AW337" s="1164" t="str">
        <f>N_MP</f>
        <v>MP</v>
      </c>
      <c r="AX337" s="1151" t="str">
        <f>N_MC</f>
        <v>MC</v>
      </c>
      <c r="AY337" s="1165" t="str">
        <f>N_Diff_M</f>
        <v>Diff M</v>
      </c>
      <c r="AZ337" s="1164" t="str">
        <f>N_BP</f>
        <v>BP</v>
      </c>
      <c r="BA337" s="1151" t="str">
        <f>N_BC</f>
        <v>BC</v>
      </c>
      <c r="BB337" s="1163" t="str">
        <f>N_Diff_B</f>
        <v>Diff B</v>
      </c>
      <c r="BC337" s="1038" t="str">
        <f>N_Matches</f>
        <v>Matches</v>
      </c>
      <c r="BD337" s="1039"/>
      <c r="BE337" s="1039"/>
      <c r="BF337" s="1039"/>
      <c r="BG337" s="1039"/>
      <c r="BH337" s="1039"/>
      <c r="BI337" s="1039"/>
      <c r="BJ337" s="1039"/>
      <c r="BK337" s="1039"/>
      <c r="BL337" s="1039"/>
      <c r="BM337" s="1039"/>
      <c r="BN337" s="1039"/>
      <c r="BO337" s="1039"/>
      <c r="BP337" s="1039"/>
      <c r="BQ337" s="1039"/>
      <c r="BR337" s="1039"/>
      <c r="BS337" s="1039"/>
      <c r="BT337" s="1039"/>
      <c r="BU337" s="1039"/>
      <c r="BV337" s="1039"/>
      <c r="BW337" s="1040"/>
      <c r="BX337" s="270"/>
      <c r="BY337" s="270"/>
      <c r="BZ337" s="270"/>
      <c r="CA337" s="270"/>
      <c r="CB337" s="270"/>
      <c r="CC337" s="270"/>
      <c r="CD337" s="270"/>
      <c r="CE337" s="1395"/>
      <c r="CF337" s="1450"/>
      <c r="CG337" s="1450"/>
      <c r="CH337" s="270"/>
      <c r="CI337" s="270"/>
      <c r="CJ337" s="270"/>
      <c r="CK337" s="270"/>
      <c r="CL337" s="270"/>
      <c r="CM337" s="270"/>
    </row>
    <row r="338" spans="1:91" outlineLevel="1" x14ac:dyDescent="0.2">
      <c r="A338" s="270"/>
      <c r="B338" s="505">
        <v>1</v>
      </c>
      <c r="C338" s="1041" t="str">
        <f>IF(AL345="","",RANK(F338,F338:F344)*1000+ROW())</f>
        <v/>
      </c>
      <c r="D338" s="1042" t="str">
        <f t="shared" ref="D338:D344" si="11">IF(J338="","",H338*CritClassEq1_Points+M338*CritClassEq1_DiffRencontres+P338*CritClassEq1_DiffMatches+S338*CritClassEq1_DiffButs+N338*CritClassEq1_Matches+Q338*CritClassEq1_Attaque)</f>
        <v/>
      </c>
      <c r="E338" s="1042" t="str">
        <f>IF(J338="","",Nb_Diff_Part(D338,D338:D344,G338,G338:G344,AK346:AK486)*CritClassEq_DiffPart+Nb_Goal_Part(D338,D338:D344,G338,G338:G344,Y346:AC486)*CritClassEq_IndsPart+Nb_Score_Part(D338,D338:D344,G338,G338:G344,Y346:AC486)*CritClassEq_WinsPart+Nb_GoalTeam_Part(D338,D338:D344,G338,G338:G344,Y346:AC486)*CritClassEq_GoalPart+Nb_ScoreTeam_Part(D338,D338:D344,G338,G338:G344,Y346:AC486)*CritClassEq_ScorePart)</f>
        <v/>
      </c>
      <c r="F338" s="1127" t="str">
        <f t="shared" ref="F338:F344" si="12">IF(J338="","",D338+E338+H338*CritClassEq2_Points+M338*CritClassEq2_DiffRencontres+P338*CritClassEq2_DiffMatches+S338*CritClassEq2_DiffButs+N338*CritClassEq2_Matches+Q338*CritClassEq2_Attaque)</f>
        <v/>
      </c>
      <c r="G338" s="476" t="s">
        <v>825</v>
      </c>
      <c r="H338" s="1128" t="str">
        <f>IF(AL345="","",(J338*Points_Victoire)+K338*Points_Null)</f>
        <v/>
      </c>
      <c r="I338" s="535" t="str">
        <f t="shared" ref="I338:I344" si="13">IF(J338="","",SUM(J338:L338))</f>
        <v/>
      </c>
      <c r="J338" s="535" t="str">
        <f>IF(AL345="","",COUNTIF(AE346:AE490,G338))</f>
        <v/>
      </c>
      <c r="K338" s="535" t="str">
        <f>IF(AL345="","",COUNTIF(AF346:AG490,G338))</f>
        <v/>
      </c>
      <c r="L338" s="535" t="str">
        <f>IF(AL345="","",COUNTIF(AH346:AH490,G338))</f>
        <v/>
      </c>
      <c r="M338" s="1045" t="str">
        <f>IF(AL345="","",J338-L338)</f>
        <v/>
      </c>
      <c r="N338" s="535" t="str">
        <f>IF(AL345="","",SUMIF(Y346:Y490,G338,Z346:Z490)+SUMIF(AC346:AC490,G338,AB346:AB490))</f>
        <v/>
      </c>
      <c r="O338" s="535" t="str">
        <f>IF(AL345="","",SUMIF(Y346:Y490,G338,AB346:AB490)+SUMIF(AC346:AC490,G338,Z346:AL490))</f>
        <v/>
      </c>
      <c r="P338" s="1045" t="str">
        <f>IF(AL345="","",N338-O338)</f>
        <v/>
      </c>
      <c r="Q338" s="535" t="str">
        <f>IF(AL345="","",SUMIF(Y346:Y490,G338,AI346:AI490)+SUMIF(AC346:AC490,G338,AJ346:AJ490))</f>
        <v/>
      </c>
      <c r="R338" s="535" t="str">
        <f>IF(AL345="","",SUMIF(Y346:Y490,G338,AJ346:AJ490)+SUMIF(AC346:AC490,G338,AI346:AI490))</f>
        <v/>
      </c>
      <c r="S338" s="508" t="str">
        <f>IF(AL345="","",Q338-R338)</f>
        <v/>
      </c>
      <c r="T338" s="270"/>
      <c r="U338" s="1158"/>
      <c r="V338" s="1158"/>
      <c r="W338" s="1166"/>
      <c r="X338" s="1159"/>
      <c r="Y338" s="1167"/>
      <c r="Z338" s="271"/>
      <c r="AA338" s="271"/>
      <c r="AB338" s="271"/>
      <c r="AC338" s="290"/>
      <c r="AD338" s="839"/>
      <c r="AE338" s="270"/>
      <c r="AF338" s="270"/>
      <c r="AG338" s="270"/>
      <c r="AH338" s="270"/>
      <c r="AI338" s="270"/>
      <c r="AJ338" s="270"/>
      <c r="AK338" s="270"/>
      <c r="AL338" s="270" t="str">
        <f>IF(AL345="","",SMALL(C338:C344,1))</f>
        <v/>
      </c>
      <c r="AM338" s="270"/>
      <c r="AN338" s="270"/>
      <c r="AO338" s="505" t="str">
        <f>IF(AL345="","",INT(AL338/1000))</f>
        <v/>
      </c>
      <c r="AP338" s="1107" t="str">
        <f>IF(AL345="",IF(HidePlayerFormulas,"","("&amp;G338&amp;")"),VLOOKUP(AL338,C338:S344,5,FALSE))</f>
        <v/>
      </c>
      <c r="AQ338" s="506" t="str">
        <f>VLOOKUP(AL338,C338:S344,6,FALSE)</f>
        <v/>
      </c>
      <c r="AR338" s="535" t="str">
        <f>VLOOKUP(AL338,C338:S344,7,FALSE)</f>
        <v/>
      </c>
      <c r="AS338" s="535" t="str">
        <f>VLOOKUP(AL338,C338:S344,8,FALSE)</f>
        <v/>
      </c>
      <c r="AT338" s="535" t="str">
        <f>VLOOKUP(AL338,C338:S344,9,FALSE)</f>
        <v/>
      </c>
      <c r="AU338" s="535" t="str">
        <f>VLOOKUP(AL338,C338:S344,10,FALSE)</f>
        <v/>
      </c>
      <c r="AV338" s="508" t="str">
        <f>VLOOKUP(AL338,C338:S344,11,FALSE)</f>
        <v/>
      </c>
      <c r="AW338" s="506" t="str">
        <f>VLOOKUP(AL338,C338:S344,12,FALSE)</f>
        <v/>
      </c>
      <c r="AX338" s="535" t="str">
        <f>VLOOKUP(AL338,C338:S344,13,FALSE)</f>
        <v/>
      </c>
      <c r="AY338" s="508" t="str">
        <f>VLOOKUP(AL338,C338:S344,14,FALSE)</f>
        <v/>
      </c>
      <c r="AZ338" s="506" t="str">
        <f>VLOOKUP(AL338,C338:S344,15,FALSE)</f>
        <v/>
      </c>
      <c r="BA338" s="535" t="str">
        <f>VLOOKUP(AL338,C338:S344,16,FALSE)</f>
        <v/>
      </c>
      <c r="BB338" s="508" t="str">
        <f>VLOOKUP(AL338,C338:S344,17,FALSE)</f>
        <v/>
      </c>
      <c r="BC338" s="1041" t="str">
        <f>IF(Z346="","",IF(AP338=Y346,Z346&amp;"("&amp;SUM(Z347:Z350)&amp;")",IF(AP338=AC346,AB346&amp;"("&amp;SUM(AB347:AB350)&amp;")","")))</f>
        <v/>
      </c>
      <c r="BD338" s="1049" t="str">
        <f>IF(Z353="","",IF(AP338=Y353,Z353&amp;"("&amp;SUM(Z354:Z357)&amp;")",IF(AP338=AC353,AB353&amp;"("&amp;SUM(AB354:AB357)&amp;")","")))</f>
        <v/>
      </c>
      <c r="BE338" s="1049" t="str">
        <f>IF(Z360="","",IF(AP338=Y360,Z360&amp;"("&amp;SUM(Z361:Z364)&amp;")",IF(AP338=AC360,AB360&amp;"("&amp;SUM(AB361:AB364)&amp;")","")))</f>
        <v/>
      </c>
      <c r="BF338" s="1049" t="str">
        <f>IF(Z367="","",IF(AP338=Y367,Z367&amp;"("&amp;SUM(Z368:Z371)&amp;")",IF(AP338=AC367,AB367&amp;"("&amp;SUM(AB368:AB371)&amp;")","")))</f>
        <v/>
      </c>
      <c r="BG338" s="1049" t="str">
        <f>IF(Z374="","",IF(AP338=Y374,Z374&amp;"("&amp;SUM(Z375:Z378)&amp;")",IF(AP338=AC374,AB374&amp;"("&amp;SUM(AB375:AB378)&amp;")","")))</f>
        <v/>
      </c>
      <c r="BH338" s="1049" t="str">
        <f>IF(Z381="","",IF(AP338=Y381,Z381&amp;"("&amp;SUM(Z382:Z385)&amp;")",IF(AP338=AC381,AB381&amp;"("&amp;SUM(AB382:AB385)&amp;")","")))</f>
        <v/>
      </c>
      <c r="BI338" s="1049" t="str">
        <f>IF(Z388="","",IF(AP338=Y388,Z388&amp;"("&amp;SUM(Z389:Z392)&amp;")",IF(AP338=AC388,AB388&amp;"("&amp;SUM(AB389:AB392)&amp;")","")))</f>
        <v/>
      </c>
      <c r="BJ338" s="1049" t="str">
        <f>IF(Z395="","",IF(AP338=Y395,Z395&amp;"("&amp;SUM(Z396:Z399)&amp;")",IF(AP338=AC395,AB395&amp;"("&amp;SUM(AB396:AB399)&amp;")","")))</f>
        <v/>
      </c>
      <c r="BK338" s="1049" t="str">
        <f>IF(Z402="","",IF(AP338=Y402,Z402&amp;"("&amp;SUM(Z403:Z406)&amp;")",IF(AP338=AC402,AB402&amp;"("&amp;SUM(AB403:AB406)&amp;")","")))</f>
        <v/>
      </c>
      <c r="BL338" s="1049" t="str">
        <f>IF(Z409="","",IF(AP338=Y409,Z409&amp;"("&amp;SUM(Z410:Z413)&amp;")",IF(AP338=AC409,AB409&amp;"("&amp;SUM(AB410:AB413)&amp;")","")))</f>
        <v/>
      </c>
      <c r="BM338" s="1049" t="str">
        <f>IF(Z416="","",IF(AP338=Y416,Z416&amp;"("&amp;SUM(Z417:Z420)&amp;")",IF(AP338=AC416,AB416&amp;"("&amp;SUM(AB417:AB420)&amp;")","")))</f>
        <v/>
      </c>
      <c r="BN338" s="1049" t="str">
        <f>IF(Z423="","",IF(AP338=Y423,Z423&amp;"("&amp;SUM(Z424:Z427)&amp;")",IF(AP338=AC423,AB423&amp;"("&amp;SUM(AB424:AB427)&amp;")","")))</f>
        <v/>
      </c>
      <c r="BO338" s="1049" t="str">
        <f>IF(Z430="","",IF(AP338=Y430,Z430&amp;"("&amp;SUM(Z431:Z434)&amp;")",IF(AP338=AC430,AB430&amp;"("&amp;SUM(AB431:AB434)&amp;")","")))</f>
        <v/>
      </c>
      <c r="BP338" s="1049" t="str">
        <f>IF(Z437="","",IF(AP338=Y437,Z437&amp;"("&amp;SUM(Z438:Z441)&amp;")",IF(AP338=AC437,AB437&amp;"("&amp;SUM(AB438:AB441)&amp;")","")))</f>
        <v/>
      </c>
      <c r="BQ338" s="1049" t="str">
        <f>IF(Z444="","",IF(AP338=Y444,Z444&amp;"("&amp;SUM(Z445:Z448)&amp;")",IF(AP338=AC444,AB444&amp;"("&amp;SUM(AB445:AB448)&amp;")","")))</f>
        <v/>
      </c>
      <c r="BR338" s="1049" t="str">
        <f>IF(Z451="","",IF(AP338=Y451,Z451&amp;"("&amp;SUM(Z452:Z455)&amp;")",IF(AP338=AC451,AB451&amp;"("&amp;SUM(AB452:AB455)&amp;")","")))</f>
        <v/>
      </c>
      <c r="BS338" s="1049" t="str">
        <f>IF(Z458="","",IF(AP338=Y458,Z458&amp;"("&amp;SUM(Z459:Z462)&amp;")",IF(AP338=AC458,AB458&amp;"("&amp;SUM(AB459:AB462)&amp;")","")))</f>
        <v/>
      </c>
      <c r="BT338" s="1049" t="str">
        <f>IF(Z465="","",IF(AP338=Y465,Z465&amp;"("&amp;SUM(Z466:Z469)&amp;")",IF(AP338=AC465,AB465&amp;"("&amp;SUM(AB466:AB469)&amp;")","")))</f>
        <v/>
      </c>
      <c r="BU338" s="1049" t="str">
        <f>IF(Z472="","",IF(AP338=Y472,Z472&amp;"("&amp;SUM(Z473:Z476)&amp;")",IF(AP338=AC472,AB472&amp;"("&amp;SUM(AB473:AB476)&amp;")","")))</f>
        <v/>
      </c>
      <c r="BV338" s="1049" t="str">
        <f>IF(Z479="","",IF(AP338=Y479,Z479&amp;"("&amp;SUM(Z480:Z483)&amp;")",IF(AP338=AC479,AB479&amp;"("&amp;SUM(AB480:AB483)&amp;")","")))</f>
        <v/>
      </c>
      <c r="BW338" s="1050" t="str">
        <f>IF(Z486="","",IF(AP338=Y486,Z486&amp;"("&amp;SUM(Z487:Z490)&amp;")",IF(AP338=AC486,AB486&amp;"("&amp;SUM(AB487:AB490)&amp;")","")))</f>
        <v/>
      </c>
      <c r="BX338" s="270"/>
      <c r="BY338" s="270"/>
      <c r="BZ338" s="270"/>
      <c r="CA338" s="270"/>
      <c r="CB338" s="270"/>
      <c r="CC338" s="270"/>
      <c r="CD338" s="270"/>
      <c r="CE338" s="1395" t="b">
        <f t="shared" ref="CE338:CE344" si="14">IF(G338="[---WithDraw---]",FALSE,IF(COUNTIF(PlayerNamesWithinGroups,G338)&gt;1,TRUE,FALSE))</f>
        <v>1</v>
      </c>
      <c r="CF338" s="1450" t="b">
        <f t="shared" ref="CF338:CF344" si="15">AND(LEFT($AP338,1) = "(", RIGHT($AP338,1) =")")</f>
        <v>0</v>
      </c>
      <c r="CG338" s="1450" t="b">
        <f t="shared" ref="CG338:CG344" si="16">IF(OR($AO338=$AO337,$AO338=$AO339),TRUE,FALSE)</f>
        <v>1</v>
      </c>
      <c r="CH338" s="270"/>
      <c r="CI338" s="270"/>
      <c r="CJ338" s="270"/>
      <c r="CK338" s="270"/>
      <c r="CL338" s="270"/>
      <c r="CM338" s="270"/>
    </row>
    <row r="339" spans="1:91" outlineLevel="1" x14ac:dyDescent="0.2">
      <c r="A339" s="270"/>
      <c r="B339" s="545">
        <v>2</v>
      </c>
      <c r="C339" s="126" t="str">
        <f>IF(AL345="","",RANK(F339,F338:F344)*1000+ROW())</f>
        <v/>
      </c>
      <c r="D339" s="1051" t="str">
        <f t="shared" si="11"/>
        <v/>
      </c>
      <c r="E339" s="1051" t="str">
        <f>IF(J339="","",Nb_Diff_Part(D339,D338:D344,G339,G338:G344,AK346:AK486)*CritClassEq_DiffPart+Nb_Goal_Part(D339,D338:D344,G339,G338:G344,Y346:AC486)*CritClassEq_IndsPart+Nb_Score_Part(D339,D338:D344,G339,G338:G344,Y346:AC486)*CritClassEq_WinsPart+Nb_GoalTeam_Part(D339,D338:D344,G339,G338:G344,Y346:AC486)*CritClassEq_GoalPart+Nb_ScoreTeam_Part(D339,D338:D344,G339,G338:G344,Y346:AC486)*CritClassEq_ScorePart)</f>
        <v/>
      </c>
      <c r="F339" s="1130" t="str">
        <f t="shared" si="12"/>
        <v/>
      </c>
      <c r="G339" s="477" t="s">
        <v>826</v>
      </c>
      <c r="H339" s="1131" t="str">
        <f>IF(AL345="","",(J339*Points_Victoire)+K339*Points_Null)</f>
        <v/>
      </c>
      <c r="I339" s="537" t="str">
        <f t="shared" si="13"/>
        <v/>
      </c>
      <c r="J339" s="537" t="str">
        <f>IF(AL345="","",COUNTIF(AE346:AE490,G339))</f>
        <v/>
      </c>
      <c r="K339" s="537" t="str">
        <f>IF(AL345="","",COUNTIF(AF346:AG490,G339))</f>
        <v/>
      </c>
      <c r="L339" s="537" t="str">
        <f>IF(AL345="","",COUNTIF(AH346:AH490,G339))</f>
        <v/>
      </c>
      <c r="M339" s="1053" t="str">
        <f>IF(AL345="","",J339-L339)</f>
        <v/>
      </c>
      <c r="N339" s="537" t="str">
        <f>IF(AL345="","",SUMIF(Y346:Y490,G339,Z346:Z490)+SUMIF(AC346:AC490,G339,AB346:AB490))</f>
        <v/>
      </c>
      <c r="O339" s="537" t="str">
        <f>IF(AL345="","",SUMIF(Y346:Y490,G339,AB346:AB490)+SUMIF(AC346:AC490,G339,Z346:AL490))</f>
        <v/>
      </c>
      <c r="P339" s="1053" t="str">
        <f>IF(AL345="","",N339-O339)</f>
        <v/>
      </c>
      <c r="Q339" s="537" t="str">
        <f>IF(AL345="","",SUMIF(Y346:Y490,G339,AI346:AI490)+SUMIF(AC346:AC490,G339,AJ346:AJ490))</f>
        <v/>
      </c>
      <c r="R339" s="537" t="str">
        <f>IF(AL345="","",SUMIF(Y346:Y490,G339,AJ346:AJ490)+SUMIF(AC346:AC490,G339,AI346:AI490))</f>
        <v/>
      </c>
      <c r="S339" s="512" t="str">
        <f>IF(AL345="","",Q339-R339)</f>
        <v/>
      </c>
      <c r="T339" s="270"/>
      <c r="U339" s="1158"/>
      <c r="V339" s="1158"/>
      <c r="W339" s="1166"/>
      <c r="X339" s="1159"/>
      <c r="Y339" s="1167"/>
      <c r="Z339" s="271"/>
      <c r="AA339" s="271"/>
      <c r="AB339" s="271"/>
      <c r="AC339" s="290"/>
      <c r="AD339" s="839"/>
      <c r="AE339" s="270"/>
      <c r="AF339" s="270"/>
      <c r="AG339" s="270"/>
      <c r="AH339" s="270"/>
      <c r="AI339" s="270"/>
      <c r="AJ339" s="270"/>
      <c r="AK339" s="270"/>
      <c r="AL339" s="270" t="str">
        <f>IF(AL345="","",SMALL(C338:C344,2))</f>
        <v/>
      </c>
      <c r="AM339" s="270"/>
      <c r="AN339" s="270"/>
      <c r="AO339" s="509" t="str">
        <f>IF(AL345="","",INT(AL339/1000))</f>
        <v/>
      </c>
      <c r="AP339" s="1108" t="str">
        <f>IF(AL345="",IF(HidePlayerFormulas,"","("&amp;G339&amp;")"),VLOOKUP(AL339,C338:S344,5,FALSE))</f>
        <v/>
      </c>
      <c r="AQ339" s="510" t="str">
        <f>VLOOKUP(AL339,C338:S344,6,FALSE)</f>
        <v/>
      </c>
      <c r="AR339" s="537" t="str">
        <f>VLOOKUP(AL339,C338:S344,7,FALSE)</f>
        <v/>
      </c>
      <c r="AS339" s="537" t="str">
        <f>VLOOKUP(AL339,C338:S344,8,FALSE)</f>
        <v/>
      </c>
      <c r="AT339" s="537" t="str">
        <f>VLOOKUP(AL339,C338:S344,9,FALSE)</f>
        <v/>
      </c>
      <c r="AU339" s="537" t="str">
        <f>VLOOKUP(AL339,C338:S344,10,FALSE)</f>
        <v/>
      </c>
      <c r="AV339" s="512" t="str">
        <f>VLOOKUP(AL339,C338:S344,11,FALSE)</f>
        <v/>
      </c>
      <c r="AW339" s="510" t="str">
        <f>VLOOKUP(AL339,C338:S344,12,FALSE)</f>
        <v/>
      </c>
      <c r="AX339" s="537" t="str">
        <f>VLOOKUP(AL339,C338:S344,13,FALSE)</f>
        <v/>
      </c>
      <c r="AY339" s="512" t="str">
        <f>VLOOKUP(AL339,C338:S344,14,FALSE)</f>
        <v/>
      </c>
      <c r="AZ339" s="510" t="str">
        <f>VLOOKUP(AL339,C338:S344,15,FALSE)</f>
        <v/>
      </c>
      <c r="BA339" s="537" t="str">
        <f>VLOOKUP(AL339,C338:S344,16,FALSE)</f>
        <v/>
      </c>
      <c r="BB339" s="512" t="str">
        <f>VLOOKUP(AL339,C338:S344,17,FALSE)</f>
        <v/>
      </c>
      <c r="BC339" s="1055" t="str">
        <f>IF(Z346="","",IF(AP339=Y346,Z346&amp;"("&amp;SUM(Z347:Z350)&amp;")",IF(AP339=AC346,AB346&amp;"("&amp;SUM(AB347:AB350)&amp;")","")))</f>
        <v/>
      </c>
      <c r="BD339" s="126" t="str">
        <f>IF(Z353="","",IF(AP339=Y353,Z353&amp;"("&amp;SUM(Z354:Z357)&amp;")",IF(AP339=AC353,AB353&amp;"("&amp;SUM(AB354:AB357)&amp;")","")))</f>
        <v/>
      </c>
      <c r="BE339" s="126" t="str">
        <f>IF(Z360="","",IF(AP339=Y360,Z360&amp;"("&amp;SUM(Z361:Z364)&amp;")",IF(AP339=AC360,AB360&amp;"("&amp;SUM(AB361:AB364)&amp;")","")))</f>
        <v/>
      </c>
      <c r="BF339" s="126" t="str">
        <f>IF(Z367="","",IF(AP339=Y367,Z367&amp;"("&amp;SUM(Z368:Z371)&amp;")",IF(AP339=AC367,AB367&amp;"("&amp;SUM(AB368:AB371)&amp;")","")))</f>
        <v/>
      </c>
      <c r="BG339" s="126" t="str">
        <f>IF(Z374="","",IF(AP339=Y374,Z374&amp;"("&amp;SUM(Z375:Z378)&amp;")",IF(AP339=AC374,AB374&amp;"("&amp;SUM(AB375:AB378)&amp;")","")))</f>
        <v/>
      </c>
      <c r="BH339" s="126" t="str">
        <f>IF(Z381="","",IF(AP339=Y381,Z381&amp;"("&amp;SUM(Z382:Z385)&amp;")",IF(AP339=AC381,AB381&amp;"("&amp;SUM(AB382:AB385)&amp;")","")))</f>
        <v/>
      </c>
      <c r="BI339" s="126" t="str">
        <f>IF(Z388="","",IF(AP339=Y388,Z388&amp;"("&amp;SUM(Z389:Z392)&amp;")",IF(AP339=AC388,AB388&amp;"("&amp;SUM(AB389:AB392)&amp;")","")))</f>
        <v/>
      </c>
      <c r="BJ339" s="126" t="str">
        <f>IF(Z395="","",IF(AP339=Y395,Z395&amp;"("&amp;SUM(Z396:Z399)&amp;")",IF(AP339=AC395,AB395&amp;"("&amp;SUM(AB396:AB399)&amp;")","")))</f>
        <v/>
      </c>
      <c r="BK339" s="126" t="str">
        <f>IF(Z402="","",IF(AP339=Y402,Z402&amp;"("&amp;SUM(Z403:Z406)&amp;")",IF(AP339=AC402,AB402&amp;"("&amp;SUM(AB403:AB406)&amp;")","")))</f>
        <v/>
      </c>
      <c r="BL339" s="126" t="str">
        <f>IF(Z409="","",IF(AP339=Y409,Z409&amp;"("&amp;SUM(Z410:Z413)&amp;")",IF(AP339=AC409,AB409&amp;"("&amp;SUM(AB410:AB413)&amp;")","")))</f>
        <v/>
      </c>
      <c r="BM339" s="126" t="str">
        <f>IF(Z416="","",IF(AP339=Y416,Z416&amp;"("&amp;SUM(Z417:Z420)&amp;")",IF(AP339=AC416,AB416&amp;"("&amp;SUM(AB417:AB420)&amp;")","")))</f>
        <v/>
      </c>
      <c r="BN339" s="126" t="str">
        <f>IF(Z423="","",IF(AP339=Y423,Z423&amp;"("&amp;SUM(Z424:Z427)&amp;")",IF(AP339=AC423,AB423&amp;"("&amp;SUM(AB424:AB427)&amp;")","")))</f>
        <v/>
      </c>
      <c r="BO339" s="126" t="str">
        <f>IF(Z430="","",IF(AP339=Y430,Z430&amp;"("&amp;SUM(Z431:Z434)&amp;")",IF(AP339=AC430,AB430&amp;"("&amp;SUM(AB431:AB434)&amp;")","")))</f>
        <v/>
      </c>
      <c r="BP339" s="126" t="str">
        <f>IF(Z437="","",IF(AP339=Y437,Z437&amp;"("&amp;SUM(Z438:Z441)&amp;")",IF(AP339=AC437,AB437&amp;"("&amp;SUM(AB438:AB441)&amp;")","")))</f>
        <v/>
      </c>
      <c r="BQ339" s="126" t="str">
        <f>IF(Z444="","",IF(AP339=Y444,Z444&amp;"("&amp;SUM(Z445:Z448)&amp;")",IF(AP339=AC444,AB444&amp;"("&amp;SUM(AB445:AB448)&amp;")","")))</f>
        <v/>
      </c>
      <c r="BR339" s="126" t="str">
        <f>IF(Z451="","",IF(AP339=Y451,Z451&amp;"("&amp;SUM(Z452:Z455)&amp;")",IF(AP339=AC451,AB451&amp;"("&amp;SUM(AB452:AB455)&amp;")","")))</f>
        <v/>
      </c>
      <c r="BS339" s="126" t="str">
        <f>IF(Z458="","",IF(AP339=Y458,Z458&amp;"("&amp;SUM(Z459:Z462)&amp;")",IF(AP339=AC458,AB458&amp;"("&amp;SUM(AB459:AB462)&amp;")","")))</f>
        <v/>
      </c>
      <c r="BT339" s="126" t="str">
        <f>IF(Z465="","",IF(AP339=Y465,Z465&amp;"("&amp;SUM(Z466:Z469)&amp;")",IF(AP339=AC465,AB465&amp;"("&amp;SUM(AB466:AB469)&amp;")","")))</f>
        <v/>
      </c>
      <c r="BU339" s="126" t="str">
        <f>IF(Z472="","",IF(AP339=Y472,Z472&amp;"("&amp;SUM(Z473:Z476)&amp;")",IF(AP339=AC472,AB472&amp;"("&amp;SUM(AB473:AB476)&amp;")","")))</f>
        <v/>
      </c>
      <c r="BV339" s="126" t="str">
        <f>IF(Z479="","",IF(AP339=Y479,Z479&amp;"("&amp;SUM(Z480:Z483)&amp;")",IF(AP339=AC479,AB479&amp;"("&amp;SUM(AB480:AB483)&amp;")","")))</f>
        <v/>
      </c>
      <c r="BW339" s="1056" t="str">
        <f>IF(Z486="","",IF(AP339=Y486,Z486&amp;"("&amp;SUM(Z487:Z490)&amp;")",IF(AP339=AC486,AB486&amp;"("&amp;SUM(AB487:AB490)&amp;")","")))</f>
        <v/>
      </c>
      <c r="BX339" s="270"/>
      <c r="BY339" s="270"/>
      <c r="BZ339" s="270"/>
      <c r="CA339" s="270"/>
      <c r="CB339" s="270"/>
      <c r="CC339" s="270"/>
      <c r="CD339" s="270"/>
      <c r="CE339" s="1395" t="b">
        <f t="shared" si="14"/>
        <v>1</v>
      </c>
      <c r="CF339" s="1450" t="b">
        <f t="shared" si="15"/>
        <v>0</v>
      </c>
      <c r="CG339" s="1450" t="b">
        <f t="shared" si="16"/>
        <v>1</v>
      </c>
      <c r="CH339" s="270"/>
      <c r="CI339" s="270"/>
      <c r="CJ339" s="270"/>
      <c r="CK339" s="270"/>
      <c r="CL339" s="270"/>
      <c r="CM339" s="270"/>
    </row>
    <row r="340" spans="1:91" outlineLevel="1" x14ac:dyDescent="0.2">
      <c r="A340" s="270"/>
      <c r="B340" s="545">
        <v>3</v>
      </c>
      <c r="C340" s="126" t="str">
        <f>IF(AL345="","",RANK(F340,F338:F344)*1000+ROW())</f>
        <v/>
      </c>
      <c r="D340" s="1051" t="str">
        <f t="shared" si="11"/>
        <v/>
      </c>
      <c r="E340" s="1051" t="str">
        <f>IF(J340="","",Nb_Diff_Part(D340,D338:D344,G340,G338:G344,AK346:AK486)*CritClassEq_DiffPart+Nb_Goal_Part(D340,D338:D344,G340,G338:G344,Y346:AC486)*CritClassEq_IndsPart+Nb_Score_Part(D340,D338:D344,G340,G338:G344,Y346:AC486)*CritClassEq_WinsPart+Nb_GoalTeam_Part(D340,D338:D344,G340,G338:G344,Y346:AC486)*CritClassEq_GoalPart+Nb_ScoreTeam_Part(D340,D338:D344,G340,G338:G344,Y346:AC486)*CritClassEq_ScorePart)</f>
        <v/>
      </c>
      <c r="F340" s="1130" t="str">
        <f t="shared" si="12"/>
        <v/>
      </c>
      <c r="G340" s="478" t="s">
        <v>827</v>
      </c>
      <c r="H340" s="1131" t="str">
        <f>IF(AL345="","",(J340*Points_Victoire)+K340*Points_Null)</f>
        <v/>
      </c>
      <c r="I340" s="537" t="str">
        <f t="shared" si="13"/>
        <v/>
      </c>
      <c r="J340" s="537" t="str">
        <f>IF(AL345="","",COUNTIF(AE346:AE490,G340))</f>
        <v/>
      </c>
      <c r="K340" s="537" t="str">
        <f>IF(AL345="","",COUNTIF(AF346:AG490,G340))</f>
        <v/>
      </c>
      <c r="L340" s="537" t="str">
        <f>IF(AL345="","",COUNTIF(AH346:AH490,G340))</f>
        <v/>
      </c>
      <c r="M340" s="1053" t="str">
        <f>IF(AL345="","",J340-L340)</f>
        <v/>
      </c>
      <c r="N340" s="537" t="str">
        <f>IF(AL345="","",SUMIF(Y346:Y490,G340,Z346:Z490)+SUMIF(AC346:AC490,G340,AB346:AB490))</f>
        <v/>
      </c>
      <c r="O340" s="537" t="str">
        <f>IF(AL345="","",SUMIF(Y346:Y490,G340,AB346:AB490)+SUMIF(AC346:AC490,G340,Z346:AL490))</f>
        <v/>
      </c>
      <c r="P340" s="1053" t="str">
        <f>IF(AL345="","",N340-O340)</f>
        <v/>
      </c>
      <c r="Q340" s="537" t="str">
        <f>IF(AL345="","",SUMIF(Y346:Y490,G340,AI346:AI490)+SUMIF(AC346:AC490,G340,AJ346:AJ490))</f>
        <v/>
      </c>
      <c r="R340" s="537" t="str">
        <f>IF(AL345="","",SUMIF(Y346:Y490,G340,AJ346:AJ490)+SUMIF(AC346:AC490,G340,AI346:AI490))</f>
        <v/>
      </c>
      <c r="S340" s="512" t="str">
        <f>IF(AL345="","",Q340-R340)</f>
        <v/>
      </c>
      <c r="T340" s="270"/>
      <c r="U340" s="1158"/>
      <c r="V340" s="1158"/>
      <c r="W340" s="1166"/>
      <c r="X340" s="1159"/>
      <c r="Y340" s="1167"/>
      <c r="Z340" s="271"/>
      <c r="AA340" s="271"/>
      <c r="AB340" s="271"/>
      <c r="AC340" s="290"/>
      <c r="AD340" s="839"/>
      <c r="AE340" s="270"/>
      <c r="AF340" s="270"/>
      <c r="AG340" s="270"/>
      <c r="AH340" s="270"/>
      <c r="AI340" s="270"/>
      <c r="AJ340" s="270"/>
      <c r="AK340" s="270"/>
      <c r="AL340" s="270" t="str">
        <f>IF(AL345="","",SMALL(C338:C344,3))</f>
        <v/>
      </c>
      <c r="AM340" s="270"/>
      <c r="AN340" s="270"/>
      <c r="AO340" s="509" t="str">
        <f>IF(AL345="","",INT(AL340/1000))</f>
        <v/>
      </c>
      <c r="AP340" s="1108" t="str">
        <f>IF(AL345="",IF(HidePlayerFormulas,"","("&amp;G340&amp;")"),VLOOKUP(AL340,C338:S344,5,FALSE))</f>
        <v/>
      </c>
      <c r="AQ340" s="510" t="str">
        <f>VLOOKUP(AL340,C338:S344,6,FALSE)</f>
        <v/>
      </c>
      <c r="AR340" s="537" t="str">
        <f>VLOOKUP(AL340,C338:S344,7,FALSE)</f>
        <v/>
      </c>
      <c r="AS340" s="537" t="str">
        <f>VLOOKUP(AL340,C338:S344,8,FALSE)</f>
        <v/>
      </c>
      <c r="AT340" s="537" t="str">
        <f>VLOOKUP(AL340,C338:S344,9,FALSE)</f>
        <v/>
      </c>
      <c r="AU340" s="537" t="str">
        <f>VLOOKUP(AL340,C338:S344,10,FALSE)</f>
        <v/>
      </c>
      <c r="AV340" s="512" t="str">
        <f>VLOOKUP(AL340,C338:S344,11,FALSE)</f>
        <v/>
      </c>
      <c r="AW340" s="510" t="str">
        <f>VLOOKUP(AL340,C338:S344,12,FALSE)</f>
        <v/>
      </c>
      <c r="AX340" s="537" t="str">
        <f>VLOOKUP(AL340,C338:S344,13,FALSE)</f>
        <v/>
      </c>
      <c r="AY340" s="512" t="str">
        <f>VLOOKUP(AL340,C338:S344,14,FALSE)</f>
        <v/>
      </c>
      <c r="AZ340" s="510" t="str">
        <f>VLOOKUP(AL340,C338:S344,15,FALSE)</f>
        <v/>
      </c>
      <c r="BA340" s="537" t="str">
        <f>VLOOKUP(AL340,C338:S344,16,FALSE)</f>
        <v/>
      </c>
      <c r="BB340" s="512" t="str">
        <f>VLOOKUP(AL340,C338:S344,17,FALSE)</f>
        <v/>
      </c>
      <c r="BC340" s="1055" t="str">
        <f>IF(Z346="","",IF(AP340=Y346,Z346&amp;"("&amp;SUM(Z347:Z350)&amp;")",IF(AP340=AC346,AB346&amp;"("&amp;SUM(AB347:AB350)&amp;")","")))</f>
        <v/>
      </c>
      <c r="BD340" s="126" t="str">
        <f>IF(Z353="","",IF(AP340=Y353,Z353&amp;"("&amp;SUM(Z354:Z357)&amp;")",IF(AP340=AC353,AB353&amp;"("&amp;SUM(AB354:AB357)&amp;")","")))</f>
        <v/>
      </c>
      <c r="BE340" s="126" t="str">
        <f>IF(Z360="","",IF(AP340=Y360,Z360&amp;"("&amp;SUM(Z361:Z364)&amp;")",IF(AP340=AC360,AB360&amp;"("&amp;SUM(AB361:AB364)&amp;")","")))</f>
        <v/>
      </c>
      <c r="BF340" s="126" t="str">
        <f>IF(Z367="","",IF(AP340=Y367,Z367&amp;"("&amp;SUM(Z368:Z371)&amp;")",IF(AP340=AC367,AB367&amp;"("&amp;SUM(AB368:AB371)&amp;")","")))</f>
        <v/>
      </c>
      <c r="BG340" s="126" t="str">
        <f>IF(Z374="","",IF(AP340=Y374,Z374&amp;"("&amp;SUM(Z375:Z378)&amp;")",IF(AP340=AC374,AB374&amp;"("&amp;SUM(AB375:AB378)&amp;")","")))</f>
        <v/>
      </c>
      <c r="BH340" s="126" t="str">
        <f>IF(Z381="","",IF(AP340=Y381,Z381&amp;"("&amp;SUM(Z382:Z385)&amp;")",IF(AP340=AC381,AB381&amp;"("&amp;SUM(AB382:AB385)&amp;")","")))</f>
        <v/>
      </c>
      <c r="BI340" s="126" t="str">
        <f>IF(Z388="","",IF(AP340=Y388,Z388&amp;"("&amp;SUM(Z389:Z392)&amp;")",IF(AP340=AC388,AB388&amp;"("&amp;SUM(AB389:AB392)&amp;")","")))</f>
        <v/>
      </c>
      <c r="BJ340" s="126" t="str">
        <f>IF(Z395="","",IF(AP340=Y395,Z395&amp;"("&amp;SUM(Z396:Z399)&amp;")",IF(AP340=AC395,AB395&amp;"("&amp;SUM(AB396:AB399)&amp;")","")))</f>
        <v/>
      </c>
      <c r="BK340" s="126" t="str">
        <f>IF(Z402="","",IF(AP340=Y402,Z402&amp;"("&amp;SUM(Z403:Z406)&amp;")",IF(AP340=AC402,AB402&amp;"("&amp;SUM(AB403:AB406)&amp;")","")))</f>
        <v/>
      </c>
      <c r="BL340" s="126" t="str">
        <f>IF(Z409="","",IF(AP340=Y409,Z409&amp;"("&amp;SUM(Z410:Z413)&amp;")",IF(AP340=AC409,AB409&amp;"("&amp;SUM(AB410:AB413)&amp;")","")))</f>
        <v/>
      </c>
      <c r="BM340" s="126" t="str">
        <f>IF(Z416="","",IF(AP340=Y416,Z416&amp;"("&amp;SUM(Z417:Z420)&amp;")",IF(AP340=AC416,AB416&amp;"("&amp;SUM(AB417:AB420)&amp;")","")))</f>
        <v/>
      </c>
      <c r="BN340" s="126" t="str">
        <f>IF(Z423="","",IF(AP340=Y423,Z423&amp;"("&amp;SUM(Z424:Z427)&amp;")",IF(AP340=AC423,AB423&amp;"("&amp;SUM(AB424:AB427)&amp;")","")))</f>
        <v/>
      </c>
      <c r="BO340" s="126" t="str">
        <f>IF(Z430="","",IF(AP340=Y430,Z430&amp;"("&amp;SUM(Z431:Z434)&amp;")",IF(AP340=AC430,AB430&amp;"("&amp;SUM(AB431:AB434)&amp;")","")))</f>
        <v/>
      </c>
      <c r="BP340" s="126" t="str">
        <f>IF(Z437="","",IF(AP340=Y437,Z437&amp;"("&amp;SUM(Z438:Z441)&amp;")",IF(AP340=AC437,AB437&amp;"("&amp;SUM(AB438:AB441)&amp;")","")))</f>
        <v/>
      </c>
      <c r="BQ340" s="126" t="str">
        <f>IF(Z444="","",IF(AP340=Y444,Z444&amp;"("&amp;SUM(Z445:Z448)&amp;")",IF(AP340=AC444,AB444&amp;"("&amp;SUM(AB445:AB448)&amp;")","")))</f>
        <v/>
      </c>
      <c r="BR340" s="126" t="str">
        <f>IF(Z451="","",IF(AP340=Y451,Z451&amp;"("&amp;SUM(Z452:Z455)&amp;")",IF(AP340=AC451,AB451&amp;"("&amp;SUM(AB452:AB455)&amp;")","")))</f>
        <v/>
      </c>
      <c r="BS340" s="126" t="str">
        <f>IF(Z458="","",IF(AP340=Y458,Z458&amp;"("&amp;SUM(Z459:Z462)&amp;")",IF(AP340=AC458,AB458&amp;"("&amp;SUM(AB459:AB462)&amp;")","")))</f>
        <v/>
      </c>
      <c r="BT340" s="126" t="str">
        <f>IF(Z465="","",IF(AP340=Y465,Z465&amp;"("&amp;SUM(Z466:Z469)&amp;")",IF(AP340=AC465,AB465&amp;"("&amp;SUM(AB466:AB469)&amp;")","")))</f>
        <v/>
      </c>
      <c r="BU340" s="126" t="str">
        <f>IF(Z472="","",IF(AP340=Y472,Z472&amp;"("&amp;SUM(Z473:Z476)&amp;")",IF(AP340=AC472,AB472&amp;"("&amp;SUM(AB473:AB476)&amp;")","")))</f>
        <v/>
      </c>
      <c r="BV340" s="126" t="str">
        <f>IF(Z479="","",IF(AP340=Y479,Z479&amp;"("&amp;SUM(Z480:Z483)&amp;")",IF(AP340=AC479,AB479&amp;"("&amp;SUM(AB480:AB483)&amp;")","")))</f>
        <v/>
      </c>
      <c r="BW340" s="1056" t="str">
        <f>IF(Z486="","",IF(AP340=Y486,Z486&amp;"("&amp;SUM(Z487:Z490)&amp;")",IF(AP340=AC486,AB486&amp;"("&amp;SUM(AB487:AB490)&amp;")","")))</f>
        <v/>
      </c>
      <c r="BX340" s="270"/>
      <c r="BY340" s="270"/>
      <c r="BZ340" s="270"/>
      <c r="CA340" s="270"/>
      <c r="CB340" s="270"/>
      <c r="CC340" s="270"/>
      <c r="CD340" s="270"/>
      <c r="CE340" s="1395" t="b">
        <f t="shared" si="14"/>
        <v>1</v>
      </c>
      <c r="CF340" s="1450" t="b">
        <f t="shared" si="15"/>
        <v>0</v>
      </c>
      <c r="CG340" s="1450" t="b">
        <f t="shared" si="16"/>
        <v>1</v>
      </c>
      <c r="CH340" s="270"/>
      <c r="CI340" s="270"/>
      <c r="CJ340" s="270"/>
      <c r="CK340" s="270"/>
      <c r="CL340" s="270"/>
      <c r="CM340" s="270"/>
    </row>
    <row r="341" spans="1:91" outlineLevel="1" x14ac:dyDescent="0.2">
      <c r="A341" s="270"/>
      <c r="B341" s="536">
        <v>4</v>
      </c>
      <c r="C341" s="126" t="str">
        <f>IF(AL345="","",RANK(F341,F338:F344)*1000+ROW())</f>
        <v/>
      </c>
      <c r="D341" s="1051" t="str">
        <f t="shared" si="11"/>
        <v/>
      </c>
      <c r="E341" s="1051" t="str">
        <f>IF(J341="","",Nb_Diff_Part(D341,D338:D344,G341,G338:G344,AK346:AK486)*CritClassEq_DiffPart+Nb_Goal_Part(D341,D338:D344,G341,G338:G344,Y346:AC486)*CritClassEq_IndsPart+Nb_Score_Part(D341,D338:D344,G341,G338:G344,Y346:AC486)*CritClassEq_WinsPart+Nb_GoalTeam_Part(D341,D338:D344,G341,G338:G344,Y346:AC486)*CritClassEq_GoalPart+Nb_ScoreTeam_Part(D341,D338:D344,G341,G338:G344,Y346:AC486)*CritClassEq_ScorePart)</f>
        <v/>
      </c>
      <c r="F341" s="1130" t="str">
        <f t="shared" si="12"/>
        <v/>
      </c>
      <c r="G341" s="478" t="s">
        <v>828</v>
      </c>
      <c r="H341" s="1131" t="str">
        <f>IF(AL345="","",(J341*Points_Victoire)+K341*Points_Null)</f>
        <v/>
      </c>
      <c r="I341" s="537" t="str">
        <f t="shared" si="13"/>
        <v/>
      </c>
      <c r="J341" s="537" t="str">
        <f>IF(AL345="","",COUNTIF(AE346:AE490,G341))</f>
        <v/>
      </c>
      <c r="K341" s="537" t="str">
        <f>IF(AL345="","",COUNTIF(AF346:AG490,G341))</f>
        <v/>
      </c>
      <c r="L341" s="537" t="str">
        <f>IF(AL345="","",COUNTIF(AH346:AH490,G341))</f>
        <v/>
      </c>
      <c r="M341" s="1053" t="str">
        <f>IF(AL345="","",J341-L341)</f>
        <v/>
      </c>
      <c r="N341" s="537" t="str">
        <f>IF(AL345="","",SUMIF(Y346:Y490,G341,Z346:Z490)+SUMIF(AC346:AC490,G341,AB346:AB490))</f>
        <v/>
      </c>
      <c r="O341" s="537" t="str">
        <f>IF(AL345="","",SUMIF(Y346:Y490,G341,AB346:AB490)+SUMIF(AC346:AC490,G341,Z346:AL490))</f>
        <v/>
      </c>
      <c r="P341" s="1053" t="str">
        <f>IF(AL345="","",N341-O341)</f>
        <v/>
      </c>
      <c r="Q341" s="537" t="str">
        <f>IF(AL345="","",SUMIF(Y346:Y490,G341,AI346:AI490)+SUMIF(AC346:AC490,G341,AJ346:AJ490))</f>
        <v/>
      </c>
      <c r="R341" s="537" t="str">
        <f>IF(AL345="","",SUMIF(Y346:Y490,G341,AJ346:AJ490)+SUMIF(AC346:AC490,G341,AI346:AI490))</f>
        <v/>
      </c>
      <c r="S341" s="512" t="str">
        <f>IF(AL345="","",Q341-R341)</f>
        <v/>
      </c>
      <c r="T341" s="270"/>
      <c r="U341" s="1158"/>
      <c r="V341" s="1158"/>
      <c r="W341" s="1166"/>
      <c r="X341" s="1159"/>
      <c r="Y341" s="1167"/>
      <c r="Z341" s="271"/>
      <c r="AA341" s="271"/>
      <c r="AB341" s="271"/>
      <c r="AC341" s="290"/>
      <c r="AD341" s="839"/>
      <c r="AE341" s="270"/>
      <c r="AF341" s="270"/>
      <c r="AG341" s="270"/>
      <c r="AH341" s="270"/>
      <c r="AI341" s="270"/>
      <c r="AJ341" s="270"/>
      <c r="AK341" s="270"/>
      <c r="AL341" s="270" t="str">
        <f>IF(AL345="","",SMALL(C338:C344,4))</f>
        <v/>
      </c>
      <c r="AM341" s="270"/>
      <c r="AN341" s="270"/>
      <c r="AO341" s="509" t="str">
        <f>IF(AL345="","",INT(AL341/1000))</f>
        <v/>
      </c>
      <c r="AP341" s="1108" t="str">
        <f>IF(AL345="",IF(HidePlayerFormulas,"","("&amp;G341&amp;")"),VLOOKUP(AL341,C338:S344,5,FALSE))</f>
        <v/>
      </c>
      <c r="AQ341" s="510" t="str">
        <f>VLOOKUP(AL341,C338:S344,6,FALSE)</f>
        <v/>
      </c>
      <c r="AR341" s="537" t="str">
        <f>VLOOKUP(AL341,C338:S344,7,FALSE)</f>
        <v/>
      </c>
      <c r="AS341" s="537" t="str">
        <f>VLOOKUP(AL341,C338:S344,8,FALSE)</f>
        <v/>
      </c>
      <c r="AT341" s="537" t="str">
        <f>VLOOKUP(AL341,C338:S344,9,FALSE)</f>
        <v/>
      </c>
      <c r="AU341" s="537" t="str">
        <f>VLOOKUP(AL341,C338:S344,10,FALSE)</f>
        <v/>
      </c>
      <c r="AV341" s="512" t="str">
        <f>VLOOKUP(AL341,C338:S344,11,FALSE)</f>
        <v/>
      </c>
      <c r="AW341" s="510" t="str">
        <f>VLOOKUP(AL341,C338:S344,12,FALSE)</f>
        <v/>
      </c>
      <c r="AX341" s="537" t="str">
        <f>VLOOKUP(AL341,C338:S344,13,FALSE)</f>
        <v/>
      </c>
      <c r="AY341" s="512" t="str">
        <f>VLOOKUP(AL341,C338:S344,14,FALSE)</f>
        <v/>
      </c>
      <c r="AZ341" s="510" t="str">
        <f>VLOOKUP(AL341,C338:S344,15,FALSE)</f>
        <v/>
      </c>
      <c r="BA341" s="537" t="str">
        <f>VLOOKUP(AL341,C338:S344,16,FALSE)</f>
        <v/>
      </c>
      <c r="BB341" s="512" t="str">
        <f>VLOOKUP(AL341,C338:S344,17,FALSE)</f>
        <v/>
      </c>
      <c r="BC341" s="1055" t="str">
        <f>IF(Z346="","",IF(AP341=Y346,Z346&amp;"("&amp;SUM(Z347:Z350)&amp;")",IF(AP341=AC346,AB346&amp;"("&amp;SUM(AB347:AB350)&amp;")","")))</f>
        <v/>
      </c>
      <c r="BD341" s="126" t="str">
        <f>IF(Z353="","",IF(AP341=Y353,Z353&amp;"("&amp;SUM(Z354:Z357)&amp;")",IF(AP341=AC353,AB353&amp;"("&amp;SUM(AB354:AB357)&amp;")","")))</f>
        <v/>
      </c>
      <c r="BE341" s="126" t="str">
        <f>IF(Z360="","",IF(AP341=Y360,Z360&amp;"("&amp;SUM(Z361:Z364)&amp;")",IF(AP341=AC360,AB360&amp;"("&amp;SUM(AB361:AB364)&amp;")","")))</f>
        <v/>
      </c>
      <c r="BF341" s="126" t="str">
        <f>IF(Z367="","",IF(AP341=Y367,Z367&amp;"("&amp;SUM(Z368:Z371)&amp;")",IF(AP341=AC367,AB367&amp;"("&amp;SUM(AB368:AB371)&amp;")","")))</f>
        <v/>
      </c>
      <c r="BG341" s="126" t="str">
        <f>IF(Z374="","",IF(AP341=Y374,Z374&amp;"("&amp;SUM(Z375:Z378)&amp;")",IF(AP341=AC374,AB374&amp;"("&amp;SUM(AB375:AB378)&amp;")","")))</f>
        <v/>
      </c>
      <c r="BH341" s="126" t="str">
        <f>IF(Z381="","",IF(AP341=Y381,Z381&amp;"("&amp;SUM(Z382:Z385)&amp;")",IF(AP341=AC381,AB381&amp;"("&amp;SUM(AB382:AB385)&amp;")","")))</f>
        <v/>
      </c>
      <c r="BI341" s="126" t="str">
        <f>IF(Z388="","",IF(AP341=Y388,Z388&amp;"("&amp;SUM(Z389:Z392)&amp;")",IF(AP341=AC388,AB388&amp;"("&amp;SUM(AB389:AB392)&amp;")","")))</f>
        <v/>
      </c>
      <c r="BJ341" s="126" t="str">
        <f>IF(Z395="","",IF(AP341=Y395,Z395&amp;"("&amp;SUM(Z396:Z399)&amp;")",IF(AP341=AC395,AB395&amp;"("&amp;SUM(AB396:AB399)&amp;")","")))</f>
        <v/>
      </c>
      <c r="BK341" s="126" t="str">
        <f>IF(Z402="","",IF(AP341=Y402,Z402&amp;"("&amp;SUM(Z403:Z406)&amp;")",IF(AP341=AC402,AB402&amp;"("&amp;SUM(AB403:AB406)&amp;")","")))</f>
        <v/>
      </c>
      <c r="BL341" s="126" t="str">
        <f>IF(Z409="","",IF(AP341=Y409,Z409&amp;"("&amp;SUM(Z410:Z413)&amp;")",IF(AP341=AC409,AB409&amp;"("&amp;SUM(AB410:AB413)&amp;")","")))</f>
        <v/>
      </c>
      <c r="BM341" s="126" t="str">
        <f>IF(Z416="","",IF(AP341=Y416,Z416&amp;"("&amp;SUM(Z417:Z420)&amp;")",IF(AP341=AC416,AB416&amp;"("&amp;SUM(AB417:AB420)&amp;")","")))</f>
        <v/>
      </c>
      <c r="BN341" s="126" t="str">
        <f>IF(Z423="","",IF(AP341=Y423,Z423&amp;"("&amp;SUM(Z424:Z427)&amp;")",IF(AP341=AC423,AB423&amp;"("&amp;SUM(AB424:AB427)&amp;")","")))</f>
        <v/>
      </c>
      <c r="BO341" s="126" t="str">
        <f>IF(Z430="","",IF(AP341=Y430,Z430&amp;"("&amp;SUM(Z431:Z434)&amp;")",IF(AP341=AC430,AB430&amp;"("&amp;SUM(AB431:AB434)&amp;")","")))</f>
        <v/>
      </c>
      <c r="BP341" s="126" t="str">
        <f>IF(Z437="","",IF(AP341=Y437,Z437&amp;"("&amp;SUM(Z438:Z441)&amp;")",IF(AP341=AC437,AB437&amp;"("&amp;SUM(AB438:AB441)&amp;")","")))</f>
        <v/>
      </c>
      <c r="BQ341" s="126" t="str">
        <f>IF(Z444="","",IF(AP341=Y444,Z444&amp;"("&amp;SUM(Z445:Z448)&amp;")",IF(AP341=AC444,AB444&amp;"("&amp;SUM(AB445:AB448)&amp;")","")))</f>
        <v/>
      </c>
      <c r="BR341" s="126" t="str">
        <f>IF(Z451="","",IF(AP341=Y451,Z451&amp;"("&amp;SUM(Z452:Z455)&amp;")",IF(AP341=AC451,AB451&amp;"("&amp;SUM(AB452:AB455)&amp;")","")))</f>
        <v/>
      </c>
      <c r="BS341" s="126" t="str">
        <f>IF(Z458="","",IF(AP341=Y458,Z458&amp;"("&amp;SUM(Z459:Z462)&amp;")",IF(AP341=AC458,AB458&amp;"("&amp;SUM(AB459:AB462)&amp;")","")))</f>
        <v/>
      </c>
      <c r="BT341" s="126" t="str">
        <f>IF(Z465="","",IF(AP341=Y465,Z465&amp;"("&amp;SUM(Z466:Z469)&amp;")",IF(AP341=AC465,AB465&amp;"("&amp;SUM(AB466:AB469)&amp;")","")))</f>
        <v/>
      </c>
      <c r="BU341" s="126" t="str">
        <f>IF(Z472="","",IF(AP341=Y472,Z472&amp;"("&amp;SUM(Z473:Z476)&amp;")",IF(AP341=AC472,AB472&amp;"("&amp;SUM(AB473:AB476)&amp;")","")))</f>
        <v/>
      </c>
      <c r="BV341" s="126" t="str">
        <f>IF(Z479="","",IF(AP341=Y479,Z479&amp;"("&amp;SUM(Z480:Z483)&amp;")",IF(AP341=AC479,AB479&amp;"("&amp;SUM(AB480:AB483)&amp;")","")))</f>
        <v/>
      </c>
      <c r="BW341" s="1056" t="str">
        <f>IF(Z486="","",IF(AP341=Y486,Z486&amp;"("&amp;SUM(Z487:Z490)&amp;")",IF(AP341=AC486,AB486&amp;"("&amp;SUM(AB487:AB490)&amp;")","")))</f>
        <v/>
      </c>
      <c r="BX341" s="270"/>
      <c r="BY341" s="270"/>
      <c r="BZ341" s="270"/>
      <c r="CA341" s="270"/>
      <c r="CB341" s="270"/>
      <c r="CC341" s="270"/>
      <c r="CD341" s="270"/>
      <c r="CE341" s="1395" t="b">
        <f t="shared" si="14"/>
        <v>1</v>
      </c>
      <c r="CF341" s="1450" t="b">
        <f t="shared" si="15"/>
        <v>0</v>
      </c>
      <c r="CG341" s="1450" t="b">
        <f t="shared" si="16"/>
        <v>1</v>
      </c>
      <c r="CH341" s="270"/>
      <c r="CI341" s="270"/>
      <c r="CJ341" s="270"/>
      <c r="CK341" s="270"/>
      <c r="CL341" s="270"/>
      <c r="CM341" s="270"/>
    </row>
    <row r="342" spans="1:91" outlineLevel="1" x14ac:dyDescent="0.2">
      <c r="A342" s="270"/>
      <c r="B342" s="536">
        <v>5</v>
      </c>
      <c r="C342" s="1168" t="str">
        <f>IF(AL345="","",RANK(F342,F338:F344)*1000+ROW())</f>
        <v/>
      </c>
      <c r="D342" s="1051" t="str">
        <f t="shared" si="11"/>
        <v/>
      </c>
      <c r="E342" s="1051" t="str">
        <f>IF(J342="","",Nb_Diff_Part(D342,D338:D344,G342,G338:G344,AK346:AK486)*CritClassEq_DiffPart+Nb_Goal_Part(D342,D338:D344,G342,G338:G344,Y346:AC486)*CritClassEq_IndsPart+Nb_Score_Part(D342,D338:D344,G342,G338:G344,Y346:AC486)*CritClassEq_WinsPart+Nb_GoalTeam_Part(D342,D338:D344,G342,G338:G344,Y346:AC486)*CritClassEq_GoalPart+Nb_ScoreTeam_Part(D342,D338:D344,G342,G338:G344,Y346:AC486)*CritClassEq_ScorePart)</f>
        <v/>
      </c>
      <c r="F342" s="1130" t="str">
        <f t="shared" si="12"/>
        <v/>
      </c>
      <c r="G342" s="478" t="s">
        <v>4025</v>
      </c>
      <c r="H342" s="1131" t="str">
        <f>IF(AL345="","",(J342*Points_Victoire)+K342*Points_Null)</f>
        <v/>
      </c>
      <c r="I342" s="537" t="str">
        <f t="shared" si="13"/>
        <v/>
      </c>
      <c r="J342" s="537" t="str">
        <f>IF(AL345="","",COUNTIF(AE346:AE490,G342))</f>
        <v/>
      </c>
      <c r="K342" s="537" t="str">
        <f>IF(AL345="","",COUNTIF(AF346:AG490,G342))</f>
        <v/>
      </c>
      <c r="L342" s="537" t="str">
        <f>IF(AL345="","",COUNTIF(AH346:AH490,G342))</f>
        <v/>
      </c>
      <c r="M342" s="1053" t="str">
        <f>IF(AL345="","",J342-L342)</f>
        <v/>
      </c>
      <c r="N342" s="537" t="str">
        <f>IF(AL345="","",SUMIF(Y346:Y490,G342,Z346:Z490)+SUMIF(AC346:AC490,G342,AB346:AB490))</f>
        <v/>
      </c>
      <c r="O342" s="537" t="str">
        <f>IF(AL345="","",SUMIF(Y346:Y490,G342,AB346:AB490)+SUMIF(AC346:AC490,G342,Z346:AL490))</f>
        <v/>
      </c>
      <c r="P342" s="1053" t="str">
        <f>IF(AL345="","",N342-O342)</f>
        <v/>
      </c>
      <c r="Q342" s="537" t="str">
        <f>IF(AL345="","",SUMIF(Y346:Y490,G342,AI346:AI490)+SUMIF(AC346:AC490,G342,AJ346:AJ490))</f>
        <v/>
      </c>
      <c r="R342" s="537" t="str">
        <f>IF(AL345="","",SUMIF(Y346:Y490,G342,AJ346:AJ490)+SUMIF(AC346:AC490,G342,AI346:AI490))</f>
        <v/>
      </c>
      <c r="S342" s="512" t="str">
        <f>IF(AL345="","",Q342-R342)</f>
        <v/>
      </c>
      <c r="T342" s="270"/>
      <c r="U342" s="1158"/>
      <c r="V342" s="1158"/>
      <c r="W342" s="1166"/>
      <c r="X342" s="1159"/>
      <c r="Y342" s="1167"/>
      <c r="Z342" s="271"/>
      <c r="AA342" s="271"/>
      <c r="AB342" s="271"/>
      <c r="AC342" s="290"/>
      <c r="AD342" s="839"/>
      <c r="AE342" s="270"/>
      <c r="AF342" s="270"/>
      <c r="AG342" s="270"/>
      <c r="AH342" s="270"/>
      <c r="AI342" s="270"/>
      <c r="AJ342" s="270"/>
      <c r="AK342" s="270"/>
      <c r="AL342" s="270" t="str">
        <f>IF(AL345="","",SMALL(C338:C344,5))</f>
        <v/>
      </c>
      <c r="AM342" s="270"/>
      <c r="AN342" s="270"/>
      <c r="AO342" s="509" t="str">
        <f>IF(AL345="","",INT(AL342/1000))</f>
        <v/>
      </c>
      <c r="AP342" s="1108" t="str">
        <f>IF(AL345="",IF(HidePlayerFormulas,"","("&amp;G342&amp;")"),VLOOKUP(AL342,C338:S344,5,FALSE))</f>
        <v/>
      </c>
      <c r="AQ342" s="510" t="str">
        <f>VLOOKUP(AL342,C338:S344,6,FALSE)</f>
        <v/>
      </c>
      <c r="AR342" s="537" t="str">
        <f>VLOOKUP(AL342,C338:S344,7,FALSE)</f>
        <v/>
      </c>
      <c r="AS342" s="537" t="str">
        <f>VLOOKUP(AL342,C338:S344,8,FALSE)</f>
        <v/>
      </c>
      <c r="AT342" s="537" t="str">
        <f>VLOOKUP(AL342,C338:S344,9,FALSE)</f>
        <v/>
      </c>
      <c r="AU342" s="537" t="str">
        <f>VLOOKUP(AL342,C338:S344,10,FALSE)</f>
        <v/>
      </c>
      <c r="AV342" s="512" t="str">
        <f>VLOOKUP(AL342,C338:S344,11,FALSE)</f>
        <v/>
      </c>
      <c r="AW342" s="510" t="str">
        <f>VLOOKUP(AL342,C338:S344,12,FALSE)</f>
        <v/>
      </c>
      <c r="AX342" s="537" t="str">
        <f>VLOOKUP(AL342,C338:S344,13,FALSE)</f>
        <v/>
      </c>
      <c r="AY342" s="512" t="str">
        <f>VLOOKUP(AL342,C338:S344,14,FALSE)</f>
        <v/>
      </c>
      <c r="AZ342" s="510" t="str">
        <f>VLOOKUP(AL342,C338:S344,15,FALSE)</f>
        <v/>
      </c>
      <c r="BA342" s="537" t="str">
        <f>VLOOKUP(AL342,C338:S344,16,FALSE)</f>
        <v/>
      </c>
      <c r="BB342" s="512" t="str">
        <f>VLOOKUP(AL342,C338:S344,17,FALSE)</f>
        <v/>
      </c>
      <c r="BC342" s="1055" t="str">
        <f>IF(Z346="","",IF(AP342=Y346,Z346&amp;"("&amp;SUM(Z347:Z350)&amp;")",IF(AP342=AC346,AB346&amp;"("&amp;SUM(AB347:AB350)&amp;")","")))</f>
        <v/>
      </c>
      <c r="BD342" s="126" t="str">
        <f>IF(Z353="","",IF(AP342=Y353,Z353&amp;"("&amp;SUM(Z354:Z357)&amp;")",IF(AP342=AC353,AB353&amp;"("&amp;SUM(AB354:AB357)&amp;")","")))</f>
        <v/>
      </c>
      <c r="BE342" s="126" t="str">
        <f>IF(Z360="","",IF(AP342=Y360,Z360&amp;"("&amp;SUM(Z361:Z364)&amp;")",IF(AP342=AC360,AB360&amp;"("&amp;SUM(AB361:AB364)&amp;")","")))</f>
        <v/>
      </c>
      <c r="BF342" s="126" t="str">
        <f>IF(Z367="","",IF(AP342=Y367,Z367&amp;"("&amp;SUM(Z368:Z371)&amp;")",IF(AP342=AC367,AB367&amp;"("&amp;SUM(AB368:AB371)&amp;")","")))</f>
        <v/>
      </c>
      <c r="BG342" s="126" t="str">
        <f>IF(Z374="","",IF(AP342=Y374,Z374&amp;"("&amp;SUM(Z375:Z378)&amp;")",IF(AP342=AC374,AB374&amp;"("&amp;SUM(AB375:AB378)&amp;")","")))</f>
        <v/>
      </c>
      <c r="BH342" s="126" t="str">
        <f>IF(Z381="","",IF(AP342=Y381,Z381&amp;"("&amp;SUM(Z382:Z385)&amp;")",IF(AP342=AC381,AB381&amp;"("&amp;SUM(AB382:AB385)&amp;")","")))</f>
        <v/>
      </c>
      <c r="BI342" s="126" t="str">
        <f>IF(Z388="","",IF(AP342=Y388,Z388&amp;"("&amp;SUM(Z389:Z392)&amp;")",IF(AP342=AC388,AB388&amp;"("&amp;SUM(AB389:AB392)&amp;")","")))</f>
        <v/>
      </c>
      <c r="BJ342" s="126" t="str">
        <f>IF(Z395="","",IF(AP342=Y395,Z395&amp;"("&amp;SUM(Z396:Z399)&amp;")",IF(AP342=AC395,AB395&amp;"("&amp;SUM(AB396:AB399)&amp;")","")))</f>
        <v/>
      </c>
      <c r="BK342" s="126" t="str">
        <f>IF(Z402="","",IF(AP342=Y402,Z402&amp;"("&amp;SUM(Z403:Z406)&amp;")",IF(AP342=AC402,AB402&amp;"("&amp;SUM(AB403:AB406)&amp;")","")))</f>
        <v/>
      </c>
      <c r="BL342" s="126" t="str">
        <f>IF(Z409="","",IF(AP342=Y409,Z409&amp;"("&amp;SUM(Z410:Z413)&amp;")",IF(AP342=AC409,AB409&amp;"("&amp;SUM(AB410:AB413)&amp;")","")))</f>
        <v/>
      </c>
      <c r="BM342" s="126" t="str">
        <f>IF(Z416="","",IF(AP342=Y416,Z416&amp;"("&amp;SUM(Z417:Z420)&amp;")",IF(AP342=AC416,AB416&amp;"("&amp;SUM(AB417:AB420)&amp;")","")))</f>
        <v/>
      </c>
      <c r="BN342" s="126" t="str">
        <f>IF(Z423="","",IF(AP342=Y423,Z423&amp;"("&amp;SUM(Z424:Z427)&amp;")",IF(AP342=AC423,AB423&amp;"("&amp;SUM(AB424:AB427)&amp;")","")))</f>
        <v/>
      </c>
      <c r="BO342" s="126" t="str">
        <f>IF(Z430="","",IF(AP342=Y430,Z430&amp;"("&amp;SUM(Z431:Z434)&amp;")",IF(AP342=AC430,AB430&amp;"("&amp;SUM(AB431:AB434)&amp;")","")))</f>
        <v/>
      </c>
      <c r="BP342" s="126" t="str">
        <f>IF(Z437="","",IF(AP342=Y437,Z437&amp;"("&amp;SUM(Z438:Z441)&amp;")",IF(AP342=AC437,AB437&amp;"("&amp;SUM(AB438:AB441)&amp;")","")))</f>
        <v/>
      </c>
      <c r="BQ342" s="126" t="str">
        <f>IF(Z444="","",IF(AP342=Y444,Z444&amp;"("&amp;SUM(Z445:Z448)&amp;")",IF(AP342=AC444,AB444&amp;"("&amp;SUM(AB445:AB448)&amp;")","")))</f>
        <v/>
      </c>
      <c r="BR342" s="126" t="str">
        <f>IF(Z451="","",IF(AP342=Y451,Z451&amp;"("&amp;SUM(Z452:Z455)&amp;")",IF(AP342=AC451,AB451&amp;"("&amp;SUM(AB452:AB455)&amp;")","")))</f>
        <v/>
      </c>
      <c r="BS342" s="126" t="str">
        <f>IF(Z458="","",IF(AP342=Y458,Z458&amp;"("&amp;SUM(Z459:Z462)&amp;")",IF(AP342=AC458,AB458&amp;"("&amp;SUM(AB459:AB462)&amp;")","")))</f>
        <v/>
      </c>
      <c r="BT342" s="126" t="str">
        <f>IF(Z465="","",IF(AP342=Y465,Z465&amp;"("&amp;SUM(Z466:Z469)&amp;")",IF(AP342=AC465,AB465&amp;"("&amp;SUM(AB466:AB469)&amp;")","")))</f>
        <v/>
      </c>
      <c r="BU342" s="126" t="str">
        <f>IF(Z472="","",IF(AP342=Y472,Z472&amp;"("&amp;SUM(Z473:Z476)&amp;")",IF(AP342=AC472,AB472&amp;"("&amp;SUM(AB473:AB476)&amp;")","")))</f>
        <v/>
      </c>
      <c r="BV342" s="126" t="str">
        <f>IF(Z479="","",IF(AP342=Y479,Z479&amp;"("&amp;SUM(Z480:Z483)&amp;")",IF(AP342=AC479,AB479&amp;"("&amp;SUM(AB480:AB483)&amp;")","")))</f>
        <v/>
      </c>
      <c r="BW342" s="1056" t="str">
        <f>IF(Z486="","",IF(AP342=Y486,Z486&amp;"("&amp;SUM(Z487:Z490)&amp;")",IF(AP342=AC486,AB486&amp;"("&amp;SUM(AB487:AB490)&amp;")","")))</f>
        <v/>
      </c>
      <c r="BX342" s="270"/>
      <c r="BY342" s="270"/>
      <c r="BZ342" s="270"/>
      <c r="CA342" s="270"/>
      <c r="CB342" s="270"/>
      <c r="CC342" s="270"/>
      <c r="CD342" s="270"/>
      <c r="CE342" s="1395" t="b">
        <f t="shared" si="14"/>
        <v>1</v>
      </c>
      <c r="CF342" s="1450" t="b">
        <f t="shared" si="15"/>
        <v>0</v>
      </c>
      <c r="CG342" s="1450" t="b">
        <f t="shared" si="16"/>
        <v>1</v>
      </c>
      <c r="CH342" s="270"/>
      <c r="CI342" s="270"/>
      <c r="CJ342" s="270"/>
      <c r="CK342" s="270"/>
      <c r="CL342" s="270"/>
      <c r="CM342" s="270"/>
    </row>
    <row r="343" spans="1:91" outlineLevel="1" x14ac:dyDescent="0.2">
      <c r="A343" s="270"/>
      <c r="B343" s="536">
        <v>6</v>
      </c>
      <c r="C343" s="1168" t="str">
        <f>IF(AL345="","",RANK(F343,F338:F344)*1000+ROW())</f>
        <v/>
      </c>
      <c r="D343" s="1051" t="str">
        <f t="shared" si="11"/>
        <v/>
      </c>
      <c r="E343" s="1051" t="str">
        <f>IF(J343="","",Nb_Diff_Part(D343,D338:D344,G343,G338:G344,AK346:AK486)*CritClassEq_DiffPart+Nb_Goal_Part(D343,D338:D344,G343,G338:G344,Y346:AC486)*CritClassEq_IndsPart+Nb_Score_Part(D343,D338:D344,G343,G338:G344,Y346:AC486)*CritClassEq_WinsPart+Nb_GoalTeam_Part(D343,D338:D344,G343,G338:G344,Y346:AC486)*CritClassEq_GoalPart+Nb_ScoreTeam_Part(D343,D338:D344,G343,G338:G344,Y346:AC486)*CritClassEq_ScorePart)</f>
        <v/>
      </c>
      <c r="F343" s="1130" t="str">
        <f t="shared" si="12"/>
        <v/>
      </c>
      <c r="G343" s="502" t="s">
        <v>4026</v>
      </c>
      <c r="H343" s="1131" t="str">
        <f>IF(AL345="","",(J343*Points_Victoire)+K343*Points_Null)</f>
        <v/>
      </c>
      <c r="I343" s="537" t="str">
        <f t="shared" si="13"/>
        <v/>
      </c>
      <c r="J343" s="537" t="str">
        <f>IF(AL345="","",COUNTIF(AE346:AE490,G343))</f>
        <v/>
      </c>
      <c r="K343" s="537" t="str">
        <f>IF(AL345="","",COUNTIF(AF346:AG490,G343))</f>
        <v/>
      </c>
      <c r="L343" s="537" t="str">
        <f>IF(AL345="","",COUNTIF(AH346:AH490,G343))</f>
        <v/>
      </c>
      <c r="M343" s="1053" t="str">
        <f>IF(AL345="","",J343-L343)</f>
        <v/>
      </c>
      <c r="N343" s="537" t="str">
        <f>IF(AL345="","",SUMIF(Y346:Y490,G343,Z346:Z490)+SUMIF(AC346:AC490,G343,AB346:AB490))</f>
        <v/>
      </c>
      <c r="O343" s="537" t="str">
        <f>IF(AL345="","",SUMIF(Y346:Y490,G343,AB346:AB490)+SUMIF(AC346:AC490,G343,Z346:AL490))</f>
        <v/>
      </c>
      <c r="P343" s="1053" t="str">
        <f>IF(AL345="","",N343-O343)</f>
        <v/>
      </c>
      <c r="Q343" s="537" t="str">
        <f>IF(AL345="","",SUMIF(Y346:Y490,G343,AI346:AI490)+SUMIF(AC346:AC490,G343,AJ346:AJ490))</f>
        <v/>
      </c>
      <c r="R343" s="537" t="str">
        <f>IF(AL345="","",SUMIF(Y346:Y490,G343,AJ346:AJ490)+SUMIF(AC346:AC490,G343,AI346:AI490))</f>
        <v/>
      </c>
      <c r="S343" s="512" t="str">
        <f>IF(AL345="","",Q343-R343)</f>
        <v/>
      </c>
      <c r="T343" s="270"/>
      <c r="U343" s="1158"/>
      <c r="V343" s="1158"/>
      <c r="W343" s="1166"/>
      <c r="X343" s="1159"/>
      <c r="Y343" s="1167"/>
      <c r="Z343" s="271"/>
      <c r="AA343" s="271"/>
      <c r="AB343" s="271"/>
      <c r="AC343" s="290"/>
      <c r="AD343" s="839"/>
      <c r="AE343" s="270"/>
      <c r="AF343" s="270"/>
      <c r="AG343" s="270"/>
      <c r="AH343" s="270"/>
      <c r="AI343" s="270"/>
      <c r="AJ343" s="270"/>
      <c r="AK343" s="270"/>
      <c r="AL343" s="270" t="str">
        <f>IF(AL345="","",SMALL(C338:C344,6))</f>
        <v/>
      </c>
      <c r="AM343" s="270"/>
      <c r="AN343" s="270"/>
      <c r="AO343" s="509" t="str">
        <f>IF(AL345="","",INT(AL343/1000))</f>
        <v/>
      </c>
      <c r="AP343" s="1108" t="str">
        <f>IF(AL345="",IF(HidePlayerFormulas,"","("&amp;G343&amp;")"),VLOOKUP(AL343,C338:S344,5,FALSE))</f>
        <v/>
      </c>
      <c r="AQ343" s="510" t="str">
        <f>VLOOKUP(AL343,C338:S344,6,FALSE)</f>
        <v/>
      </c>
      <c r="AR343" s="537" t="str">
        <f>VLOOKUP(AL343,C338:S344,7,FALSE)</f>
        <v/>
      </c>
      <c r="AS343" s="537" t="str">
        <f>VLOOKUP(AL343,C338:S344,8,FALSE)</f>
        <v/>
      </c>
      <c r="AT343" s="537" t="str">
        <f>VLOOKUP(AL343,C338:S344,9,FALSE)</f>
        <v/>
      </c>
      <c r="AU343" s="537" t="str">
        <f>VLOOKUP(AL343,C338:S344,10,FALSE)</f>
        <v/>
      </c>
      <c r="AV343" s="512" t="str">
        <f>VLOOKUP(AL343,C338:S344,11,FALSE)</f>
        <v/>
      </c>
      <c r="AW343" s="510" t="str">
        <f>VLOOKUP(AL343,C338:S344,12,FALSE)</f>
        <v/>
      </c>
      <c r="AX343" s="537" t="str">
        <f>VLOOKUP(AL343,C338:S344,13,FALSE)</f>
        <v/>
      </c>
      <c r="AY343" s="512" t="str">
        <f>VLOOKUP(AL343,C338:S344,14,FALSE)</f>
        <v/>
      </c>
      <c r="AZ343" s="510" t="str">
        <f>VLOOKUP(AL343,C338:S344,15,FALSE)</f>
        <v/>
      </c>
      <c r="BA343" s="537" t="str">
        <f>VLOOKUP(AL343,C338:S344,16,FALSE)</f>
        <v/>
      </c>
      <c r="BB343" s="512" t="str">
        <f>VLOOKUP(AL343,C338:S344,17,FALSE)</f>
        <v/>
      </c>
      <c r="BC343" s="1055" t="str">
        <f>IF(Z346="","",IF(AP343=Y346,Z346&amp;"("&amp;SUM(Z347:Z350)&amp;")",IF(AP343=AC346,AB346&amp;"("&amp;SUM(AB347:AB350)&amp;")","")))</f>
        <v/>
      </c>
      <c r="BD343" s="126" t="str">
        <f>IF(Z353="","",IF(AP343=Y353,Z353&amp;"("&amp;SUM(Z354:Z357)&amp;")",IF(AP343=AC353,AB353&amp;"("&amp;SUM(AB354:AB357)&amp;")","")))</f>
        <v/>
      </c>
      <c r="BE343" s="126" t="str">
        <f>IF(Z360="","",IF(AP343=Y360,Z360&amp;"("&amp;SUM(Z361:Z364)&amp;")",IF(AP343=AC360,AB360&amp;"("&amp;SUM(AB361:AB364)&amp;")","")))</f>
        <v/>
      </c>
      <c r="BF343" s="126" t="str">
        <f>IF(Z367="","",IF(AP343=Y367,Z367&amp;"("&amp;SUM(Z368:Z371)&amp;")",IF(AP343=AC367,AB367&amp;"("&amp;SUM(AB368:AB371)&amp;")","")))</f>
        <v/>
      </c>
      <c r="BG343" s="126" t="str">
        <f>IF(Z374="","",IF(AP343=Y374,Z374&amp;"("&amp;SUM(Z375:Z378)&amp;")",IF(AP343=AC374,AB374&amp;"("&amp;SUM(AB375:AB378)&amp;")","")))</f>
        <v/>
      </c>
      <c r="BH343" s="126" t="str">
        <f>IF(Z381="","",IF(AP343=Y381,Z381&amp;"("&amp;SUM(Z382:Z385)&amp;")",IF(AP343=AC381,AB381&amp;"("&amp;SUM(AB382:AB385)&amp;")","")))</f>
        <v/>
      </c>
      <c r="BI343" s="126" t="str">
        <f>IF(Z388="","",IF(AP343=Y388,Z388&amp;"("&amp;SUM(Z389:Z392)&amp;")",IF(AP343=AC388,AB388&amp;"("&amp;SUM(AB389:AB392)&amp;")","")))</f>
        <v/>
      </c>
      <c r="BJ343" s="126" t="str">
        <f>IF(Z395="","",IF(AP343=Y395,Z395&amp;"("&amp;SUM(Z396:Z399)&amp;")",IF(AP343=AC395,AB395&amp;"("&amp;SUM(AB396:AB399)&amp;")","")))</f>
        <v/>
      </c>
      <c r="BK343" s="126" t="str">
        <f>IF(Z402="","",IF(AP343=Y402,Z402&amp;"("&amp;SUM(Z403:Z406)&amp;")",IF(AP343=AC402,AB402&amp;"("&amp;SUM(AB403:AB406)&amp;")","")))</f>
        <v/>
      </c>
      <c r="BL343" s="126" t="str">
        <f>IF(Z409="","",IF(AP343=Y409,Z409&amp;"("&amp;SUM(Z410:Z413)&amp;")",IF(AP343=AC409,AB409&amp;"("&amp;SUM(AB410:AB413)&amp;")","")))</f>
        <v/>
      </c>
      <c r="BM343" s="126" t="str">
        <f>IF(Z416="","",IF(AP343=Y416,Z416&amp;"("&amp;SUM(Z417:Z420)&amp;")",IF(AP343=AC416,AB416&amp;"("&amp;SUM(AB417:AB420)&amp;")","")))</f>
        <v/>
      </c>
      <c r="BN343" s="126" t="str">
        <f>IF(Z423="","",IF(AP343=Y423,Z423&amp;"("&amp;SUM(Z424:Z427)&amp;")",IF(AP343=AC423,AB423&amp;"("&amp;SUM(AB424:AB427)&amp;")","")))</f>
        <v/>
      </c>
      <c r="BO343" s="126" t="str">
        <f>IF(Z430="","",IF(AP343=Y430,Z430&amp;"("&amp;SUM(Z431:Z434)&amp;")",IF(AP343=AC430,AB430&amp;"("&amp;SUM(AB431:AB434)&amp;")","")))</f>
        <v/>
      </c>
      <c r="BP343" s="126" t="str">
        <f>IF(Z437="","",IF(AP343=Y437,Z437&amp;"("&amp;SUM(Z438:Z441)&amp;")",IF(AP343=AC437,AB437&amp;"("&amp;SUM(AB438:AB441)&amp;")","")))</f>
        <v/>
      </c>
      <c r="BQ343" s="126" t="str">
        <f>IF(Z444="","",IF(AP343=Y444,Z444&amp;"("&amp;SUM(Z445:Z448)&amp;")",IF(AP343=AC444,AB444&amp;"("&amp;SUM(AB445:AB448)&amp;")","")))</f>
        <v/>
      </c>
      <c r="BR343" s="126" t="str">
        <f>IF(Z451="","",IF(AP343=Y451,Z451&amp;"("&amp;SUM(Z452:Z455)&amp;")",IF(AP343=AC451,AB451&amp;"("&amp;SUM(AB452:AB455)&amp;")","")))</f>
        <v/>
      </c>
      <c r="BS343" s="126" t="str">
        <f>IF(Z458="","",IF(AP343=Y458,Z458&amp;"("&amp;SUM(Z459:Z462)&amp;")",IF(AP343=AC458,AB458&amp;"("&amp;SUM(AB459:AB462)&amp;")","")))</f>
        <v/>
      </c>
      <c r="BT343" s="126" t="str">
        <f>IF(Z465="","",IF(AP343=Y465,Z465&amp;"("&amp;SUM(Z466:Z469)&amp;")",IF(AP343=AC465,AB465&amp;"("&amp;SUM(AB466:AB469)&amp;")","")))</f>
        <v/>
      </c>
      <c r="BU343" s="126" t="str">
        <f>IF(Z472="","",IF(AP343=Y472,Z472&amp;"("&amp;SUM(Z473:Z476)&amp;")",IF(AP343=AC472,AB472&amp;"("&amp;SUM(AB473:AB476)&amp;")","")))</f>
        <v/>
      </c>
      <c r="BV343" s="126" t="str">
        <f>IF(Z479="","",IF(AP343=Y479,Z479&amp;"("&amp;SUM(Z480:Z483)&amp;")",IF(AP343=AC479,AB479&amp;"("&amp;SUM(AB480:AB483)&amp;")","")))</f>
        <v/>
      </c>
      <c r="BW343" s="1056" t="str">
        <f>IF(Z486="","",IF(AP343=Y486,Z486&amp;"("&amp;SUM(Z487:Z490)&amp;")",IF(AP343=AC486,AB486&amp;"("&amp;SUM(AB487:AB490)&amp;")","")))</f>
        <v/>
      </c>
      <c r="BX343" s="270"/>
      <c r="BY343" s="270"/>
      <c r="BZ343" s="270"/>
      <c r="CA343" s="270"/>
      <c r="CB343" s="270"/>
      <c r="CC343" s="270"/>
      <c r="CD343" s="270"/>
      <c r="CE343" s="1395" t="b">
        <f t="shared" si="14"/>
        <v>1</v>
      </c>
      <c r="CF343" s="1450" t="b">
        <f t="shared" si="15"/>
        <v>0</v>
      </c>
      <c r="CG343" s="1450" t="b">
        <f t="shared" si="16"/>
        <v>1</v>
      </c>
      <c r="CH343" s="270"/>
      <c r="CI343" s="270"/>
      <c r="CJ343" s="270"/>
      <c r="CK343" s="270"/>
      <c r="CL343" s="270"/>
      <c r="CM343" s="270"/>
    </row>
    <row r="344" spans="1:91" ht="13.5" outlineLevel="1" collapsed="1" thickBot="1" x14ac:dyDescent="0.25">
      <c r="A344" s="270"/>
      <c r="B344" s="1199">
        <v>7</v>
      </c>
      <c r="C344" s="1200" t="str">
        <f>IF(AL345="","",RANK(F344,F338:F344)*1000+ROW())</f>
        <v/>
      </c>
      <c r="D344" s="1201" t="str">
        <f t="shared" si="11"/>
        <v/>
      </c>
      <c r="E344" s="1201" t="str">
        <f>IF(J344="","",Nb_Diff_Part(D344,D338:D344,G344,G338:G344,AK346:AK486)*CritClassEq_DiffPart+Nb_Goal_Part(D344,D338:D344,G344,G338:G344,Y346:AC486)*CritClassEq_IndsPart+Nb_Score_Part(D344,D338:D344,G344,G338:G344,Y346:AC486)*CritClassEq_WinsPart+Nb_GoalTeam_Part(D344,D338:D344,G344,G338:G344,Y346:AC486)*CritClassEq_GoalPart+Nb_ScoreTeam_Part(D344,D338:D344,G344,G338:G344,Y346:AC486)*CritClassEq_ScorePart)</f>
        <v/>
      </c>
      <c r="F344" s="1202" t="str">
        <f t="shared" si="12"/>
        <v/>
      </c>
      <c r="G344" s="502" t="s">
        <v>4027</v>
      </c>
      <c r="H344" s="1136" t="str">
        <f>IF(AL345="","",(J344*Points_Victoire)+K344*Points_Null)</f>
        <v/>
      </c>
      <c r="I344" s="539" t="str">
        <f t="shared" si="13"/>
        <v/>
      </c>
      <c r="J344" s="539" t="str">
        <f>IF(AL345="","",COUNTIF(AE346:AE490,G344))</f>
        <v/>
      </c>
      <c r="K344" s="539" t="str">
        <f>IF(AL345="","",COUNTIF(AF346:AG490,G344))</f>
        <v/>
      </c>
      <c r="L344" s="539" t="str">
        <f>IF(AL345="","",COUNTIF(AH346:AH490,G344))</f>
        <v/>
      </c>
      <c r="M344" s="1137" t="str">
        <f>IF(AL345="","",J344-L344)</f>
        <v/>
      </c>
      <c r="N344" s="539" t="str">
        <f>IF(AL345="","",SUMIF(Y346:Y490,G344,Z346:Z490)+SUMIF(AC346:AC490,G344,AB346:AB490))</f>
        <v/>
      </c>
      <c r="O344" s="539" t="str">
        <f>IF(AL345="","",SUMIF(Y346:Y490,G344,AB346:AB490)+SUMIF(AC346:AC490,G344,Z346:AL490))</f>
        <v/>
      </c>
      <c r="P344" s="1137" t="str">
        <f>IF(AL345="","",N344-O344)</f>
        <v/>
      </c>
      <c r="Q344" s="539" t="str">
        <f>IF(AL345="","",SUMIF(Y346:Y490,G344,AI346:AI490)+SUMIF(AC346:AC490,G344,AJ346:AJ490))</f>
        <v/>
      </c>
      <c r="R344" s="539" t="str">
        <f>IF(AL345="","",SUMIF(Y346:Y490,G344,AJ346:AJ490)+SUMIF(AC346:AC490,G344,AI346:AI490))</f>
        <v/>
      </c>
      <c r="S344" s="516" t="str">
        <f>IF(AL345="","",Q344-R344)</f>
        <v/>
      </c>
      <c r="T344" s="270"/>
      <c r="U344" s="1158"/>
      <c r="V344" s="1158"/>
      <c r="W344" s="1166"/>
      <c r="X344" s="1159"/>
      <c r="Y344" s="1167"/>
      <c r="Z344" s="271"/>
      <c r="AA344" s="271"/>
      <c r="AB344" s="271"/>
      <c r="AC344" s="290"/>
      <c r="AD344" s="839"/>
      <c r="AE344" s="270"/>
      <c r="AF344" s="270"/>
      <c r="AG344" s="270"/>
      <c r="AH344" s="270"/>
      <c r="AI344" s="270"/>
      <c r="AJ344" s="270"/>
      <c r="AK344" s="270"/>
      <c r="AL344" s="270" t="str">
        <f>IF(AL345="","",SMALL(C338:C344,7))</f>
        <v/>
      </c>
      <c r="AM344" s="270"/>
      <c r="AN344" s="270"/>
      <c r="AO344" s="530" t="str">
        <f>IF(AL345="","",INT(AL344/1000))</f>
        <v/>
      </c>
      <c r="AP344" s="1203" t="str">
        <f>IF(AL345="",IF(HidePlayerFormulas,"","("&amp;G344&amp;")"),VLOOKUP(AL344,C338:S344,5,FALSE))</f>
        <v/>
      </c>
      <c r="AQ344" s="531" t="str">
        <f>VLOOKUP(AL344,C338:S344,6,FALSE)</f>
        <v/>
      </c>
      <c r="AR344" s="1204" t="str">
        <f>VLOOKUP(AL344,C338:S344,7,FALSE)</f>
        <v/>
      </c>
      <c r="AS344" s="1204" t="str">
        <f>VLOOKUP(AL344,C338:S344,8,FALSE)</f>
        <v/>
      </c>
      <c r="AT344" s="1204" t="str">
        <f>VLOOKUP(AL344,C338:S344,9,FALSE)</f>
        <v/>
      </c>
      <c r="AU344" s="1204" t="str">
        <f>VLOOKUP(AL344,C338:S344,10,FALSE)</f>
        <v/>
      </c>
      <c r="AV344" s="533" t="str">
        <f>VLOOKUP(AL344,C338:S344,11,FALSE)</f>
        <v/>
      </c>
      <c r="AW344" s="531" t="str">
        <f>VLOOKUP(AL344,C338:S344,12,FALSE)</f>
        <v/>
      </c>
      <c r="AX344" s="1204" t="str">
        <f>VLOOKUP(AL344,C338:S344,13,FALSE)</f>
        <v/>
      </c>
      <c r="AY344" s="533" t="str">
        <f>VLOOKUP(AL344,C338:S344,14,FALSE)</f>
        <v/>
      </c>
      <c r="AZ344" s="531" t="str">
        <f>VLOOKUP(AL344,C338:S344,15,FALSE)</f>
        <v/>
      </c>
      <c r="BA344" s="1204" t="str">
        <f>VLOOKUP(AL344,C338:S344,16,FALSE)</f>
        <v/>
      </c>
      <c r="BB344" s="533" t="str">
        <f>VLOOKUP(AL344,C338:S344,17,FALSE)</f>
        <v/>
      </c>
      <c r="BC344" s="1058" t="str">
        <f>IF(Z346="","",IF(AP344=Y346,Z346&amp;"("&amp;SUM(Z347:Z350)&amp;")",IF(AP344=AC346,AB346&amp;"("&amp;SUM(AB347:AB350)&amp;")","")))</f>
        <v/>
      </c>
      <c r="BD344" s="1059" t="str">
        <f>IF(Z353="","",IF(AP344=Y353,Z353&amp;"("&amp;SUM(Z354:Z357)&amp;")",IF(AP344=AC353,AB353&amp;"("&amp;SUM(AB354:AB357)&amp;")","")))</f>
        <v/>
      </c>
      <c r="BE344" s="1059" t="str">
        <f>IF(Z360="","",IF(AP344=Y360,Z360&amp;"("&amp;SUM(Z361:Z364)&amp;")",IF(AP344=AC360,AB360&amp;"("&amp;SUM(AB361:AB364)&amp;")","")))</f>
        <v/>
      </c>
      <c r="BF344" s="1059" t="str">
        <f>IF(Z367="","",IF(AP344=Y367,Z367&amp;"("&amp;SUM(Z368:Z371)&amp;")",IF(AP344=AC367,AB367&amp;"("&amp;SUM(AB368:AB371)&amp;")","")))</f>
        <v/>
      </c>
      <c r="BG344" s="1059" t="str">
        <f>IF(Z374="","",IF(AP344=Y374,Z374&amp;"("&amp;SUM(Z375:Z378)&amp;")",IF(AP344=AC374,AB374&amp;"("&amp;SUM(AB375:AB378)&amp;")","")))</f>
        <v/>
      </c>
      <c r="BH344" s="1059" t="str">
        <f>IF(Z381="","",IF(AP344=Y381,Z381&amp;"("&amp;SUM(Z382:Z385)&amp;")",IF(AP344=AC381,AB381&amp;"("&amp;SUM(AB382:AB385)&amp;")","")))</f>
        <v/>
      </c>
      <c r="BI344" s="1059" t="str">
        <f>IF(Z388="","",IF(AP344=Y388,Z388&amp;"("&amp;SUM(Z389:Z392)&amp;")",IF(AP344=AC388,AB388&amp;"("&amp;SUM(AB389:AB392)&amp;")","")))</f>
        <v/>
      </c>
      <c r="BJ344" s="1059" t="str">
        <f>IF(Z395="","",IF(AP344=Y395,Z395&amp;"("&amp;SUM(Z396:Z399)&amp;")",IF(AP344=AC395,AB395&amp;"("&amp;SUM(AB396:AB399)&amp;")","")))</f>
        <v/>
      </c>
      <c r="BK344" s="1059" t="str">
        <f>IF(Z402="","",IF(AP344=Y402,Z402&amp;"("&amp;SUM(Z403:Z406)&amp;")",IF(AP344=AC402,AB402&amp;"("&amp;SUM(AB403:AB406)&amp;")","")))</f>
        <v/>
      </c>
      <c r="BL344" s="1059" t="str">
        <f>IF(Z409="","",IF(AP344=Y409,Z409&amp;"("&amp;SUM(Z410:Z413)&amp;")",IF(AP344=AC409,AB409&amp;"("&amp;SUM(AB410:AB413)&amp;")","")))</f>
        <v/>
      </c>
      <c r="BM344" s="1059" t="str">
        <f>IF(Z416="","",IF(AP344=Y416,Z416&amp;"("&amp;SUM(Z417:Z420)&amp;")",IF(AP344=AC416,AB416&amp;"("&amp;SUM(AB417:AB420)&amp;")","")))</f>
        <v/>
      </c>
      <c r="BN344" s="1059" t="str">
        <f>IF(Z423="","",IF(AP344=Y423,Z423&amp;"("&amp;SUM(Z424:Z427)&amp;")",IF(AP344=AC423,AB423&amp;"("&amp;SUM(AB424:AB427)&amp;")","")))</f>
        <v/>
      </c>
      <c r="BO344" s="1059" t="str">
        <f>IF(Z430="","",IF(AP344=Y430,Z430&amp;"("&amp;SUM(Z431:Z434)&amp;")",IF(AP344=AC430,AB430&amp;"("&amp;SUM(AB431:AB434)&amp;")","")))</f>
        <v/>
      </c>
      <c r="BP344" s="1059" t="str">
        <f>IF(Z437="","",IF(AP344=Y437,Z437&amp;"("&amp;SUM(Z438:Z441)&amp;")",IF(AP344=AC437,AB437&amp;"("&amp;SUM(AB438:AB441)&amp;")","")))</f>
        <v/>
      </c>
      <c r="BQ344" s="1059" t="str">
        <f>IF(Z444="","",IF(AP344=Y444,Z444&amp;"("&amp;SUM(Z445:Z448)&amp;")",IF(AP344=AC444,AB444&amp;"("&amp;SUM(AB445:AB448)&amp;")","")))</f>
        <v/>
      </c>
      <c r="BR344" s="1059" t="str">
        <f>IF(Z451="","",IF(AP344=Y451,Z451&amp;"("&amp;SUM(Z452:Z455)&amp;")",IF(AP344=AC451,AB451&amp;"("&amp;SUM(AB452:AB455)&amp;")","")))</f>
        <v/>
      </c>
      <c r="BS344" s="1059" t="str">
        <f>IF(Z458="","",IF(AP344=Y458,Z458&amp;"("&amp;SUM(Z459:Z462)&amp;")",IF(AP344=AC458,AB458&amp;"("&amp;SUM(AB459:AB462)&amp;")","")))</f>
        <v/>
      </c>
      <c r="BT344" s="1059" t="str">
        <f>IF(Z465="","",IF(AP344=Y465,Z465&amp;"("&amp;SUM(Z466:Z469)&amp;")",IF(AP344=AC465,AB465&amp;"("&amp;SUM(AB466:AB469)&amp;")","")))</f>
        <v/>
      </c>
      <c r="BU344" s="1059" t="str">
        <f>IF(Z472="","",IF(AP344=Y472,Z472&amp;"("&amp;SUM(Z473:Z476)&amp;")",IF(AP344=AC472,AB472&amp;"("&amp;SUM(AB473:AB476)&amp;")","")))</f>
        <v/>
      </c>
      <c r="BV344" s="1059" t="str">
        <f>IF(Z479="","",IF(AP344=Y479,Z479&amp;"("&amp;SUM(Z480:Z483)&amp;")",IF(AP344=AC479,AB479&amp;"("&amp;SUM(AB480:AB483)&amp;")","")))</f>
        <v/>
      </c>
      <c r="BW344" s="1060" t="str">
        <f>IF(Z486="","",IF(AP344=Y486,Z486&amp;"("&amp;SUM(Z487:Z490)&amp;")",IF(AP344=AC486,AB486&amp;"("&amp;SUM(AB487:AB490)&amp;")","")))</f>
        <v/>
      </c>
      <c r="BX344" s="270"/>
      <c r="BY344" s="270"/>
      <c r="BZ344" s="270"/>
      <c r="CA344" s="270"/>
      <c r="CB344" s="270"/>
      <c r="CC344" s="270"/>
      <c r="CD344" s="270"/>
      <c r="CE344" s="1395" t="b">
        <f t="shared" si="14"/>
        <v>1</v>
      </c>
      <c r="CF344" s="1450" t="b">
        <f t="shared" si="15"/>
        <v>0</v>
      </c>
      <c r="CG344" s="1450" t="b">
        <f t="shared" si="16"/>
        <v>1</v>
      </c>
      <c r="CH344" s="270"/>
      <c r="CI344" s="270"/>
      <c r="CJ344" s="270"/>
      <c r="CK344" s="270"/>
      <c r="CL344" s="270"/>
      <c r="CM344" s="270"/>
    </row>
    <row r="345" spans="1:91" ht="13.5" hidden="1" outlineLevel="2" thickBot="1" x14ac:dyDescent="0.25">
      <c r="A345" s="270"/>
      <c r="B345" s="271"/>
      <c r="C345" s="270"/>
      <c r="D345" s="270"/>
      <c r="E345" s="270"/>
      <c r="F345" s="270"/>
      <c r="G345" s="271"/>
      <c r="H345" s="270"/>
      <c r="I345" s="270"/>
      <c r="J345" s="270"/>
      <c r="K345" s="270"/>
      <c r="L345" s="270"/>
      <c r="M345" s="270"/>
      <c r="N345" s="270"/>
      <c r="O345" s="270"/>
      <c r="P345" s="270"/>
      <c r="Q345" s="270"/>
      <c r="R345" s="270"/>
      <c r="S345" s="270"/>
      <c r="T345" s="270"/>
      <c r="U345" s="270"/>
      <c r="V345" s="1153" t="str">
        <f>N_Heure</f>
        <v>Heure</v>
      </c>
      <c r="W345" s="1153" t="str">
        <f>N_Table</f>
        <v>Table</v>
      </c>
      <c r="X345" s="1153" t="str">
        <f>N_Arbitre</f>
        <v>Arbitre</v>
      </c>
      <c r="Y345" s="1169" t="str">
        <f>N_Matches</f>
        <v>Matches</v>
      </c>
      <c r="Z345" s="1170"/>
      <c r="AA345" s="1170"/>
      <c r="AB345" s="1170"/>
      <c r="AC345" s="1171"/>
      <c r="AD345" s="629"/>
      <c r="AE345" s="270"/>
      <c r="AF345" s="270"/>
      <c r="AG345" s="270"/>
      <c r="AH345" s="270"/>
      <c r="AI345" s="270"/>
      <c r="AJ345" s="270"/>
      <c r="AK345" s="270"/>
      <c r="AL345" s="270" t="str">
        <f>IF(COUNTA(Z346:Z490)&gt;21,"OK","")</f>
        <v/>
      </c>
      <c r="AM345" s="270"/>
      <c r="AN345" s="270"/>
      <c r="AO345" s="575"/>
      <c r="AP345" s="270"/>
      <c r="AQ345" s="270"/>
      <c r="AR345" s="270"/>
      <c r="AS345" s="270"/>
      <c r="AT345" s="270"/>
      <c r="AU345" s="270"/>
      <c r="AV345" s="270"/>
      <c r="AW345" s="270"/>
      <c r="AX345" s="270"/>
      <c r="AY345" s="270"/>
      <c r="AZ345" s="270"/>
      <c r="BA345" s="270"/>
      <c r="BB345" s="270"/>
      <c r="BC345" s="270"/>
      <c r="BD345" s="270"/>
      <c r="BE345" s="270"/>
      <c r="BF345" s="270"/>
      <c r="BG345" s="270"/>
      <c r="BH345" s="270"/>
      <c r="BI345" s="270"/>
      <c r="BJ345" s="270"/>
      <c r="BK345" s="270"/>
      <c r="BL345" s="270"/>
      <c r="BM345" s="270"/>
      <c r="BN345" s="270"/>
      <c r="BO345" s="270"/>
      <c r="BP345" s="270"/>
      <c r="BQ345" s="270"/>
      <c r="BR345" s="270"/>
      <c r="BS345" s="270"/>
      <c r="BT345" s="270"/>
      <c r="BU345" s="270"/>
      <c r="BV345" s="270"/>
      <c r="BW345" s="270"/>
      <c r="BX345" s="270"/>
      <c r="BY345" s="270"/>
      <c r="BZ345" s="270"/>
      <c r="CA345" s="270"/>
      <c r="CB345" s="270"/>
      <c r="CC345" s="270"/>
      <c r="CD345" s="270"/>
      <c r="CE345" s="1395"/>
      <c r="CF345" s="1450"/>
      <c r="CG345" s="1450"/>
      <c r="CH345" s="270"/>
      <c r="CI345" s="270"/>
      <c r="CJ345" s="270"/>
      <c r="CK345" s="270"/>
      <c r="CL345" s="270"/>
      <c r="CM345" s="270"/>
    </row>
    <row r="346" spans="1:91" hidden="1" outlineLevel="2" collapsed="1" x14ac:dyDescent="0.2">
      <c r="A346" s="270"/>
      <c r="B346" s="271"/>
      <c r="C346" s="12"/>
      <c r="D346" s="1071"/>
      <c r="E346" s="1071"/>
      <c r="F346" s="1071"/>
      <c r="G346" s="1172"/>
      <c r="H346" s="271"/>
      <c r="I346" s="270"/>
      <c r="J346" s="270"/>
      <c r="K346" s="270"/>
      <c r="L346" s="270"/>
      <c r="M346" s="270"/>
      <c r="N346" s="270"/>
      <c r="O346" s="270"/>
      <c r="P346" s="1072"/>
      <c r="Q346" s="270"/>
      <c r="R346" s="270"/>
      <c r="S346" s="1072"/>
      <c r="T346" s="270"/>
      <c r="U346" s="1019" t="s">
        <v>1726</v>
      </c>
      <c r="V346" s="1173"/>
      <c r="W346" s="1531"/>
      <c r="X346" s="1532"/>
      <c r="Y346" s="1205" t="str">
        <f>IF(G338="","",G338)</f>
        <v>Eq1</v>
      </c>
      <c r="Z346" s="1063" t="str">
        <f>IF(OR(ISNUMBER(Z347),ISNUMBER(Z348),ISNUMBER(Z349),ISNUMBER(Z350)),4-COUNTBLANK(AI347:AI350),"")</f>
        <v/>
      </c>
      <c r="AA346" s="1064" t="s">
        <v>769</v>
      </c>
      <c r="AB346" s="1063" t="str">
        <f>IF(OR(ISNUMBER(Z347),ISNUMBER(Z348),ISNUMBER(Z349),ISNUMBER(Z350)),4-COUNTBLANK(AJ347:AJ350),"")</f>
        <v/>
      </c>
      <c r="AC346" s="1206" t="str">
        <f>IF(G340="","",G340)</f>
        <v>Eq3</v>
      </c>
      <c r="AD346" s="839"/>
      <c r="AE346" s="270" t="str">
        <f>IF(Z346="","",IF(Z346&gt;AB346,Y346,IF(Z346=AB346,IF(NoDrawWithWithdraw,IF(AL346=Y346,AC346,IF(AL346=AC346,Y346,"")),""),AC346)))</f>
        <v/>
      </c>
      <c r="AF346" s="270" t="str">
        <f>IF(Z346="","",IF(Z346=AB346,IF(NoDrawWithWithdraw,IF(AL346=Y346,"",IF(AL346=AC346,"",Y346)),Y346),""))</f>
        <v/>
      </c>
      <c r="AG346" s="270" t="str">
        <f>IF(Z346="","",IF(Z346=AB346,IF(NoDrawWithWithdraw,IF(AL346=Y346,"",IF(AL346=AC346,"",AC346)),AC346),""))</f>
        <v/>
      </c>
      <c r="AH346" s="270" t="str">
        <f>IF(Z346="","",IF(Z346&lt;AB346,Y346,IF(Z346=AB346,IF(NoDrawWithWithdraw,IF(AL346=Y346,Y346,IF(AL346=AC346,AC346,"")),""),AC346)))</f>
        <v/>
      </c>
      <c r="AI346" s="270" t="str">
        <f>IF(Z346="","",SUM(Z347:Z350))</f>
        <v/>
      </c>
      <c r="AJ346" s="270" t="str">
        <f>IF(Z346="","",SUM(AB347:AB350))</f>
        <v/>
      </c>
      <c r="AK346" s="270" t="str">
        <f>CONCATENATE(AE346,AH346)</f>
        <v/>
      </c>
      <c r="AL346" s="270" t="str">
        <f>IF(COUNTIF(Y347:Y350,WithdrawLabel)&gt;COUNTIF(AC347:AC350,WithdrawLabel),Y346,IF(COUNTIF(AC347:AC350,WithdrawLabel)&gt;COUNTIF(Y347:Y350,WithdrawLabel),AC346,""))</f>
        <v/>
      </c>
      <c r="AM346" s="270"/>
      <c r="AN346" s="270"/>
      <c r="AO346" s="271"/>
      <c r="AP346" s="270"/>
      <c r="AQ346" s="270"/>
      <c r="AR346" s="270"/>
      <c r="AS346" s="270"/>
      <c r="AT346" s="270"/>
      <c r="AU346" s="270"/>
      <c r="AV346" s="270"/>
      <c r="AW346" s="270"/>
      <c r="AX346" s="270"/>
      <c r="AY346" s="1072"/>
      <c r="AZ346" s="270"/>
      <c r="BA346" s="270"/>
      <c r="BB346" s="1072"/>
      <c r="BC346" s="270"/>
      <c r="BD346" s="270"/>
      <c r="BE346" s="270"/>
      <c r="BF346" s="270"/>
      <c r="BG346" s="270"/>
      <c r="BH346" s="270"/>
      <c r="BI346" s="270"/>
      <c r="BJ346" s="270"/>
      <c r="BK346" s="270"/>
      <c r="BL346" s="270"/>
      <c r="BM346" s="270"/>
      <c r="BN346" s="270"/>
      <c r="BO346" s="270"/>
      <c r="BP346" s="270"/>
      <c r="BQ346" s="270"/>
      <c r="BR346" s="270"/>
      <c r="BS346" s="270"/>
      <c r="BT346" s="270"/>
      <c r="BU346" s="270"/>
      <c r="BV346" s="270"/>
      <c r="BW346" s="270"/>
      <c r="BX346" s="270"/>
      <c r="BY346" s="270"/>
      <c r="BZ346" s="270"/>
      <c r="CA346" s="270"/>
      <c r="CB346" s="270"/>
      <c r="CC346" s="270"/>
      <c r="CD346" s="270"/>
      <c r="CE346" s="1395"/>
      <c r="CF346" s="1450"/>
      <c r="CG346" s="1450"/>
      <c r="CH346" s="270"/>
      <c r="CI346" s="270"/>
      <c r="CJ346" s="270"/>
      <c r="CK346" s="270"/>
      <c r="CL346" s="270"/>
      <c r="CM346" s="270"/>
    </row>
    <row r="347" spans="1:91" ht="13.5" hidden="1" outlineLevel="3" thickBot="1" x14ac:dyDescent="0.25">
      <c r="A347" s="270"/>
      <c r="B347" s="271"/>
      <c r="C347" s="12"/>
      <c r="D347" s="1071"/>
      <c r="E347" s="1071"/>
      <c r="F347" s="1071"/>
      <c r="G347" s="1172"/>
      <c r="H347" s="271"/>
      <c r="I347" s="270"/>
      <c r="J347" s="270"/>
      <c r="K347" s="270"/>
      <c r="L347" s="270"/>
      <c r="M347" s="270"/>
      <c r="N347" s="270"/>
      <c r="O347" s="270"/>
      <c r="P347" s="1072"/>
      <c r="Q347" s="270"/>
      <c r="R347" s="270"/>
      <c r="S347" s="1072"/>
      <c r="T347" s="270"/>
      <c r="U347" s="1019"/>
      <c r="V347" s="1176"/>
      <c r="W347" s="1177"/>
      <c r="X347" s="1207"/>
      <c r="Y347" s="1208"/>
      <c r="Z347" s="492"/>
      <c r="AA347" s="493" t="s">
        <v>769</v>
      </c>
      <c r="AB347" s="1069"/>
      <c r="AC347" s="1070"/>
      <c r="AD347" s="839"/>
      <c r="AE347" s="270" t="str">
        <f>IF(Z347="","",IF(Z347&gt;AB347,Y347,IF(Z347=AB347,"",AC347)))</f>
        <v/>
      </c>
      <c r="AF347" s="270" t="str">
        <f>IF(Z347="","",IF(Z347=AB347,Y347,""))</f>
        <v/>
      </c>
      <c r="AG347" s="270" t="str">
        <f>IF(Z347="","",IF(Z347=AB347,AC347,""))</f>
        <v/>
      </c>
      <c r="AH347" s="270" t="str">
        <f>IF(Z347="","",IF(Z347&lt;AB347,Y347,IF(Z347=AB347,"",AC347)))</f>
        <v/>
      </c>
      <c r="AI347" s="270" t="str">
        <f>IF(Z347="","",IF(Z347&gt;AB347,Y346,""))</f>
        <v/>
      </c>
      <c r="AJ347" s="270" t="str">
        <f>IF(Z347="","",IF(Z347&lt;AB347,AC346,""))</f>
        <v/>
      </c>
      <c r="AK347" s="270" t="str">
        <f>CONCATENATE(AE347,AH347)</f>
        <v/>
      </c>
      <c r="AL347" s="270"/>
      <c r="AM347" s="270"/>
      <c r="AN347" s="270"/>
      <c r="AO347" s="271"/>
      <c r="AP347" s="270"/>
      <c r="AQ347" s="270"/>
      <c r="AR347" s="270"/>
      <c r="AS347" s="270"/>
      <c r="AT347" s="270"/>
      <c r="AU347" s="270"/>
      <c r="AV347" s="270"/>
      <c r="AW347" s="270"/>
      <c r="AX347" s="270"/>
      <c r="AY347" s="1072"/>
      <c r="AZ347" s="270"/>
      <c r="BA347" s="270"/>
      <c r="BB347" s="1072"/>
      <c r="BC347" s="270"/>
      <c r="BD347" s="270"/>
      <c r="BE347" s="270"/>
      <c r="BF347" s="270"/>
      <c r="BG347" s="270"/>
      <c r="BH347" s="270"/>
      <c r="BI347" s="270"/>
      <c r="BJ347" s="270"/>
      <c r="BK347" s="270"/>
      <c r="BL347" s="270"/>
      <c r="BM347" s="270"/>
      <c r="BN347" s="270"/>
      <c r="BO347" s="270"/>
      <c r="BP347" s="270"/>
      <c r="BQ347" s="270"/>
      <c r="BR347" s="270"/>
      <c r="BS347" s="270"/>
      <c r="BT347" s="270"/>
      <c r="BU347" s="270"/>
      <c r="BV347" s="270"/>
      <c r="BW347" s="270"/>
      <c r="BX347" s="270"/>
      <c r="BY347" s="270"/>
      <c r="BZ347" s="270"/>
      <c r="CA347" s="270"/>
      <c r="CB347" s="270"/>
      <c r="CC347" s="270"/>
      <c r="CD347" s="270"/>
      <c r="CE347" s="1395"/>
      <c r="CF347" s="1450"/>
      <c r="CG347" s="1450"/>
      <c r="CH347" s="270"/>
      <c r="CI347" s="270"/>
      <c r="CJ347" s="270"/>
      <c r="CK347" s="270"/>
      <c r="CL347" s="270"/>
      <c r="CM347" s="270"/>
    </row>
    <row r="348" spans="1:91" ht="13.5" hidden="1" outlineLevel="3" thickBot="1" x14ac:dyDescent="0.25">
      <c r="A348" s="270"/>
      <c r="B348" s="271"/>
      <c r="C348" s="12"/>
      <c r="D348" s="1071"/>
      <c r="E348" s="1071"/>
      <c r="F348" s="1071"/>
      <c r="G348" s="1172"/>
      <c r="H348" s="271"/>
      <c r="I348" s="270"/>
      <c r="J348" s="270"/>
      <c r="K348" s="270"/>
      <c r="L348" s="270"/>
      <c r="M348" s="270"/>
      <c r="N348" s="270"/>
      <c r="O348" s="270"/>
      <c r="P348" s="1072"/>
      <c r="Q348" s="270"/>
      <c r="R348" s="270"/>
      <c r="S348" s="1072"/>
      <c r="T348" s="270"/>
      <c r="U348" s="1019"/>
      <c r="V348" s="1176"/>
      <c r="W348" s="1177"/>
      <c r="X348" s="1207"/>
      <c r="Y348" s="1208"/>
      <c r="Z348" s="492"/>
      <c r="AA348" s="493" t="s">
        <v>769</v>
      </c>
      <c r="AB348" s="1069"/>
      <c r="AC348" s="1070"/>
      <c r="AD348" s="839"/>
      <c r="AE348" s="270" t="str">
        <f>IF(Z348="","",IF(Z348&gt;AB348,Y348,IF(Z348=AB348,"",AC348)))</f>
        <v/>
      </c>
      <c r="AF348" s="270" t="str">
        <f>IF(Z348="","",IF(Z348=AB348,Y348,""))</f>
        <v/>
      </c>
      <c r="AG348" s="270" t="str">
        <f>IF(Z348="","",IF(Z348=AB348,AC348,""))</f>
        <v/>
      </c>
      <c r="AH348" s="270" t="str">
        <f>IF(Z348="","",IF(Z348&lt;AB348,Y348,IF(Z348=AB348,"",AC348)))</f>
        <v/>
      </c>
      <c r="AI348" s="270" t="str">
        <f>IF(Z348="","",IF(Z348&gt;AB348,Y346,""))</f>
        <v/>
      </c>
      <c r="AJ348" s="270" t="str">
        <f>IF(Z348="","",IF(Z348&lt;AB348,AC346,""))</f>
        <v/>
      </c>
      <c r="AK348" s="270" t="str">
        <f>CONCATENATE(AE348,AH348)</f>
        <v/>
      </c>
      <c r="AL348" s="270"/>
      <c r="AM348" s="270"/>
      <c r="AN348" s="270"/>
      <c r="AO348" s="271"/>
      <c r="AP348" s="270"/>
      <c r="AQ348" s="270"/>
      <c r="AR348" s="270"/>
      <c r="AS348" s="270"/>
      <c r="AT348" s="270"/>
      <c r="AU348" s="270"/>
      <c r="AV348" s="270"/>
      <c r="AW348" s="270"/>
      <c r="AX348" s="270"/>
      <c r="AY348" s="1072"/>
      <c r="AZ348" s="270"/>
      <c r="BA348" s="270"/>
      <c r="BB348" s="1072"/>
      <c r="BC348" s="270"/>
      <c r="BD348" s="270"/>
      <c r="BE348" s="270"/>
      <c r="BF348" s="270"/>
      <c r="BG348" s="270"/>
      <c r="BH348" s="270"/>
      <c r="BI348" s="270"/>
      <c r="BJ348" s="270"/>
      <c r="BK348" s="270"/>
      <c r="BL348" s="270"/>
      <c r="BM348" s="270"/>
      <c r="BN348" s="270"/>
      <c r="BO348" s="270"/>
      <c r="BP348" s="270"/>
      <c r="BQ348" s="270"/>
      <c r="BR348" s="270"/>
      <c r="BS348" s="270"/>
      <c r="BT348" s="270"/>
      <c r="BU348" s="270"/>
      <c r="BV348" s="270"/>
      <c r="BW348" s="270"/>
      <c r="BX348" s="270"/>
      <c r="BY348" s="270"/>
      <c r="BZ348" s="270"/>
      <c r="CA348" s="270"/>
      <c r="CB348" s="270"/>
      <c r="CC348" s="270"/>
      <c r="CD348" s="270"/>
      <c r="CE348" s="1395"/>
      <c r="CF348" s="1450"/>
      <c r="CG348" s="1450"/>
      <c r="CH348" s="270"/>
      <c r="CI348" s="270"/>
      <c r="CJ348" s="270"/>
      <c r="CK348" s="270"/>
      <c r="CL348" s="270"/>
      <c r="CM348" s="270"/>
    </row>
    <row r="349" spans="1:91" ht="13.5" hidden="1" outlineLevel="3" thickBot="1" x14ac:dyDescent="0.25">
      <c r="A349" s="270"/>
      <c r="B349" s="271"/>
      <c r="C349" s="12"/>
      <c r="D349" s="1071"/>
      <c r="E349" s="1071"/>
      <c r="F349" s="1071"/>
      <c r="G349" s="1172"/>
      <c r="H349" s="271"/>
      <c r="I349" s="270"/>
      <c r="J349" s="270"/>
      <c r="K349" s="270"/>
      <c r="L349" s="270"/>
      <c r="M349" s="270"/>
      <c r="N349" s="270"/>
      <c r="O349" s="270"/>
      <c r="P349" s="1072"/>
      <c r="Q349" s="270"/>
      <c r="R349" s="270"/>
      <c r="S349" s="1072"/>
      <c r="T349" s="270"/>
      <c r="U349" s="1019"/>
      <c r="V349" s="1176"/>
      <c r="W349" s="1177"/>
      <c r="X349" s="1207"/>
      <c r="Y349" s="1208"/>
      <c r="Z349" s="492"/>
      <c r="AA349" s="493" t="s">
        <v>769</v>
      </c>
      <c r="AB349" s="1069"/>
      <c r="AC349" s="1070"/>
      <c r="AD349" s="839"/>
      <c r="AE349" s="270" t="str">
        <f>IF(Z349="","",IF(Z349&gt;AB349,Y349,IF(Z349=AB349,"",AC349)))</f>
        <v/>
      </c>
      <c r="AF349" s="270" t="str">
        <f>IF(Z349="","",IF(Z349=AB349,Y349,""))</f>
        <v/>
      </c>
      <c r="AG349" s="270" t="str">
        <f>IF(Z349="","",IF(Z349=AB349,AC349,""))</f>
        <v/>
      </c>
      <c r="AH349" s="270" t="str">
        <f>IF(Z349="","",IF(Z349&lt;AB349,Y349,IF(Z349=AB349,"",AC349)))</f>
        <v/>
      </c>
      <c r="AI349" s="270" t="str">
        <f>IF(Z349="","",IF(Z349&gt;AB349,Y346,""))</f>
        <v/>
      </c>
      <c r="AJ349" s="270" t="str">
        <f>IF(Z349="","",IF(Z349&lt;AB349,AC346,""))</f>
        <v/>
      </c>
      <c r="AK349" s="270" t="str">
        <f>CONCATENATE(AE349,AH349)</f>
        <v/>
      </c>
      <c r="AL349" s="270"/>
      <c r="AM349" s="270"/>
      <c r="AN349" s="270"/>
      <c r="AO349" s="271"/>
      <c r="AP349" s="270"/>
      <c r="AQ349" s="270"/>
      <c r="AR349" s="270"/>
      <c r="AS349" s="270"/>
      <c r="AT349" s="270"/>
      <c r="AU349" s="270"/>
      <c r="AV349" s="270"/>
      <c r="AW349" s="270"/>
      <c r="AX349" s="270"/>
      <c r="AY349" s="1072"/>
      <c r="AZ349" s="270"/>
      <c r="BA349" s="270"/>
      <c r="BB349" s="1072"/>
      <c r="BC349" s="270"/>
      <c r="BD349" s="270"/>
      <c r="BE349" s="270"/>
      <c r="BF349" s="270"/>
      <c r="BG349" s="270"/>
      <c r="BH349" s="270"/>
      <c r="BI349" s="270"/>
      <c r="BJ349" s="270"/>
      <c r="BK349" s="270"/>
      <c r="BL349" s="270"/>
      <c r="BM349" s="270"/>
      <c r="BN349" s="270"/>
      <c r="BO349" s="270"/>
      <c r="BP349" s="270"/>
      <c r="BQ349" s="270"/>
      <c r="BR349" s="270"/>
      <c r="BS349" s="270"/>
      <c r="BT349" s="270"/>
      <c r="BU349" s="270"/>
      <c r="BV349" s="270"/>
      <c r="BW349" s="270"/>
      <c r="BX349" s="270"/>
      <c r="BY349" s="270"/>
      <c r="BZ349" s="270"/>
      <c r="CA349" s="270"/>
      <c r="CB349" s="270"/>
      <c r="CC349" s="270"/>
      <c r="CD349" s="270"/>
      <c r="CE349" s="1395"/>
      <c r="CF349" s="1450"/>
      <c r="CG349" s="1450"/>
      <c r="CH349" s="270"/>
      <c r="CI349" s="270"/>
      <c r="CJ349" s="270"/>
      <c r="CK349" s="270"/>
      <c r="CL349" s="270"/>
      <c r="CM349" s="270"/>
    </row>
    <row r="350" spans="1:91" ht="13.5" hidden="1" outlineLevel="3" thickBot="1" x14ac:dyDescent="0.25">
      <c r="A350" s="270"/>
      <c r="B350" s="271"/>
      <c r="C350" s="12"/>
      <c r="D350" s="1071"/>
      <c r="E350" s="1071"/>
      <c r="F350" s="1071"/>
      <c r="G350" s="1172"/>
      <c r="H350" s="271"/>
      <c r="I350" s="270"/>
      <c r="J350" s="270"/>
      <c r="K350" s="270"/>
      <c r="L350" s="270"/>
      <c r="M350" s="270"/>
      <c r="N350" s="270"/>
      <c r="O350" s="270"/>
      <c r="P350" s="1072"/>
      <c r="Q350" s="270"/>
      <c r="R350" s="270"/>
      <c r="S350" s="1072"/>
      <c r="T350" s="270"/>
      <c r="U350" s="1019"/>
      <c r="V350" s="1176"/>
      <c r="W350" s="1177"/>
      <c r="X350" s="1207"/>
      <c r="Y350" s="1208"/>
      <c r="Z350" s="492"/>
      <c r="AA350" s="493" t="s">
        <v>769</v>
      </c>
      <c r="AB350" s="1069"/>
      <c r="AC350" s="1070"/>
      <c r="AD350" s="839"/>
      <c r="AE350" s="270" t="str">
        <f>IF(Z350="","",IF(Z350&gt;AB350,Y350,IF(Z350=AB350,"",AC350)))</f>
        <v/>
      </c>
      <c r="AF350" s="270" t="str">
        <f>IF(Z350="","",IF(Z350=AB350,Y350,""))</f>
        <v/>
      </c>
      <c r="AG350" s="270" t="str">
        <f>IF(Z350="","",IF(Z350=AB350,AC350,""))</f>
        <v/>
      </c>
      <c r="AH350" s="270" t="str">
        <f>IF(Z350="","",IF(Z350&lt;AB350,Y350,IF(Z350=AB350,"",AC350)))</f>
        <v/>
      </c>
      <c r="AI350" s="270" t="str">
        <f>IF(Z350="","",IF(Z350&gt;AB350,Y346,""))</f>
        <v/>
      </c>
      <c r="AJ350" s="270" t="str">
        <f>IF(Z350="","",IF(Z350&lt;AB350,AC346,""))</f>
        <v/>
      </c>
      <c r="AK350" s="270" t="str">
        <f>CONCATENATE(AE350,AH350)</f>
        <v/>
      </c>
      <c r="AL350" s="270"/>
      <c r="AM350" s="270"/>
      <c r="AN350" s="270"/>
      <c r="AO350" s="271"/>
      <c r="AP350" s="270"/>
      <c r="AQ350" s="270"/>
      <c r="AR350" s="270"/>
      <c r="AS350" s="270"/>
      <c r="AT350" s="270"/>
      <c r="AU350" s="270"/>
      <c r="AV350" s="270"/>
      <c r="AW350" s="270"/>
      <c r="AX350" s="270"/>
      <c r="AY350" s="1072"/>
      <c r="AZ350" s="270"/>
      <c r="BA350" s="270"/>
      <c r="BB350" s="1072"/>
      <c r="BC350" s="270"/>
      <c r="BD350" s="270"/>
      <c r="BE350" s="270"/>
      <c r="BF350" s="270"/>
      <c r="BG350" s="270"/>
      <c r="BH350" s="270"/>
      <c r="BI350" s="270"/>
      <c r="BJ350" s="270"/>
      <c r="BK350" s="270"/>
      <c r="BL350" s="270"/>
      <c r="BM350" s="270"/>
      <c r="BN350" s="270"/>
      <c r="BO350" s="270"/>
      <c r="BP350" s="270"/>
      <c r="BQ350" s="270"/>
      <c r="BR350" s="270"/>
      <c r="BS350" s="270"/>
      <c r="BT350" s="270"/>
      <c r="BU350" s="270"/>
      <c r="BV350" s="270"/>
      <c r="BW350" s="270"/>
      <c r="BX350" s="270"/>
      <c r="BY350" s="270"/>
      <c r="BZ350" s="270"/>
      <c r="CA350" s="270"/>
      <c r="CB350" s="270"/>
      <c r="CC350" s="270"/>
      <c r="CD350" s="270"/>
      <c r="CE350" s="1395"/>
      <c r="CF350" s="1450"/>
      <c r="CG350" s="1450"/>
      <c r="CH350" s="270"/>
      <c r="CI350" s="270"/>
      <c r="CJ350" s="270"/>
      <c r="CK350" s="270"/>
      <c r="CL350" s="270"/>
      <c r="CM350" s="270"/>
    </row>
    <row r="351" spans="1:91" ht="13.5" hidden="1" outlineLevel="3" thickBot="1" x14ac:dyDescent="0.25">
      <c r="A351" s="270"/>
      <c r="B351" s="271"/>
      <c r="C351" s="12"/>
      <c r="D351" s="1071"/>
      <c r="E351" s="1071"/>
      <c r="F351" s="1071"/>
      <c r="G351" s="626"/>
      <c r="H351" s="271"/>
      <c r="I351" s="270"/>
      <c r="J351" s="270"/>
      <c r="K351" s="270"/>
      <c r="L351" s="270"/>
      <c r="M351" s="270"/>
      <c r="N351" s="270"/>
      <c r="O351" s="270"/>
      <c r="P351" s="1072"/>
      <c r="Q351" s="270"/>
      <c r="R351" s="270"/>
      <c r="S351" s="1072"/>
      <c r="T351" s="270"/>
      <c r="U351" s="1019"/>
      <c r="V351" s="1073"/>
      <c r="W351" s="1074"/>
      <c r="X351" s="1075" t="str">
        <f>N_Substitute</f>
        <v>Remplaçant</v>
      </c>
      <c r="Y351" s="1208"/>
      <c r="Z351" s="492"/>
      <c r="AA351" s="1076"/>
      <c r="AB351" s="1069"/>
      <c r="AC351" s="1070"/>
      <c r="AD351" s="839"/>
      <c r="AE351" s="270"/>
      <c r="AF351" s="270"/>
      <c r="AG351" s="270"/>
      <c r="AH351" s="270"/>
      <c r="AI351" s="270"/>
      <c r="AJ351" s="270"/>
      <c r="AK351" s="270"/>
      <c r="AL351" s="270"/>
      <c r="AM351" s="270"/>
      <c r="AN351" s="270"/>
      <c r="AO351" s="271"/>
      <c r="AP351" s="270"/>
      <c r="AQ351" s="270"/>
      <c r="AR351" s="270"/>
      <c r="AS351" s="270"/>
      <c r="AT351" s="270"/>
      <c r="AU351" s="270"/>
      <c r="AV351" s="270"/>
      <c r="AW351" s="270"/>
      <c r="AX351" s="270"/>
      <c r="AY351" s="1072"/>
      <c r="AZ351" s="270"/>
      <c r="BA351" s="270"/>
      <c r="BB351" s="1072"/>
      <c r="BC351" s="270"/>
      <c r="BD351" s="270"/>
      <c r="BE351" s="270"/>
      <c r="BF351" s="270"/>
      <c r="BG351" s="270"/>
      <c r="BH351" s="270"/>
      <c r="BI351" s="270"/>
      <c r="BJ351" s="270"/>
      <c r="BK351" s="270"/>
      <c r="BL351" s="270"/>
      <c r="BM351" s="270"/>
      <c r="BN351" s="270"/>
      <c r="BO351" s="270"/>
      <c r="BP351" s="270"/>
      <c r="BQ351" s="270"/>
      <c r="BR351" s="270"/>
      <c r="BS351" s="270"/>
      <c r="BT351" s="270"/>
      <c r="BU351" s="270"/>
      <c r="BV351" s="270"/>
      <c r="BW351" s="270"/>
      <c r="BX351" s="270"/>
      <c r="BY351" s="270"/>
      <c r="BZ351" s="270"/>
      <c r="CA351" s="270"/>
      <c r="CB351" s="270"/>
      <c r="CC351" s="270"/>
      <c r="CD351" s="270"/>
      <c r="CE351" s="1395"/>
      <c r="CF351" s="1450"/>
      <c r="CG351" s="1450"/>
      <c r="CH351" s="270"/>
      <c r="CI351" s="270"/>
      <c r="CJ351" s="270"/>
      <c r="CK351" s="270"/>
      <c r="CL351" s="270"/>
      <c r="CM351" s="270"/>
    </row>
    <row r="352" spans="1:91" ht="13.5" hidden="1" outlineLevel="3" thickBot="1" x14ac:dyDescent="0.25">
      <c r="A352" s="270"/>
      <c r="B352" s="271"/>
      <c r="C352" s="12"/>
      <c r="D352" s="1071"/>
      <c r="E352" s="1071"/>
      <c r="F352" s="1071"/>
      <c r="G352" s="626"/>
      <c r="H352" s="271"/>
      <c r="I352" s="270"/>
      <c r="J352" s="270"/>
      <c r="K352" s="270"/>
      <c r="L352" s="270"/>
      <c r="M352" s="270"/>
      <c r="N352" s="270"/>
      <c r="O352" s="270"/>
      <c r="P352" s="1072"/>
      <c r="Q352" s="270"/>
      <c r="R352" s="270"/>
      <c r="S352" s="1072"/>
      <c r="T352" s="270"/>
      <c r="U352" s="1019"/>
      <c r="V352" s="1119"/>
      <c r="W352" s="1120"/>
      <c r="X352" s="1075" t="str">
        <f>N_Substitute</f>
        <v>Remplaçant</v>
      </c>
      <c r="Y352" s="1208"/>
      <c r="Z352" s="492"/>
      <c r="AA352" s="1121"/>
      <c r="AB352" s="1069"/>
      <c r="AC352" s="1070"/>
      <c r="AD352" s="839"/>
      <c r="AE352" s="270"/>
      <c r="AF352" s="270"/>
      <c r="AG352" s="270"/>
      <c r="AH352" s="270"/>
      <c r="AI352" s="270"/>
      <c r="AJ352" s="270"/>
      <c r="AK352" s="270"/>
      <c r="AL352" s="270"/>
      <c r="AM352" s="270"/>
      <c r="AN352" s="270"/>
      <c r="AO352" s="271"/>
      <c r="AP352" s="270"/>
      <c r="AQ352" s="270"/>
      <c r="AR352" s="270"/>
      <c r="AS352" s="270"/>
      <c r="AT352" s="270"/>
      <c r="AU352" s="270"/>
      <c r="AV352" s="270"/>
      <c r="AW352" s="270"/>
      <c r="AX352" s="270"/>
      <c r="AY352" s="1072"/>
      <c r="AZ352" s="270"/>
      <c r="BA352" s="270"/>
      <c r="BB352" s="1072"/>
      <c r="BC352" s="270"/>
      <c r="BD352" s="270"/>
      <c r="BE352" s="270"/>
      <c r="BF352" s="270"/>
      <c r="BG352" s="270"/>
      <c r="BH352" s="270"/>
      <c r="BI352" s="270"/>
      <c r="BJ352" s="270"/>
      <c r="BK352" s="270"/>
      <c r="BL352" s="270"/>
      <c r="BM352" s="270"/>
      <c r="BN352" s="270"/>
      <c r="BO352" s="270"/>
      <c r="BP352" s="270"/>
      <c r="BQ352" s="270"/>
      <c r="BR352" s="270"/>
      <c r="BS352" s="270"/>
      <c r="BT352" s="270"/>
      <c r="BU352" s="270"/>
      <c r="BV352" s="270"/>
      <c r="BW352" s="270"/>
      <c r="BX352" s="270"/>
      <c r="BY352" s="270"/>
      <c r="BZ352" s="270"/>
      <c r="CA352" s="270"/>
      <c r="CB352" s="270"/>
      <c r="CC352" s="270"/>
      <c r="CD352" s="270"/>
      <c r="CE352" s="1395"/>
      <c r="CF352" s="1450"/>
      <c r="CG352" s="1450"/>
      <c r="CH352" s="270"/>
      <c r="CI352" s="270"/>
      <c r="CJ352" s="270"/>
      <c r="CK352" s="270"/>
      <c r="CL352" s="270"/>
      <c r="CM352" s="270"/>
    </row>
    <row r="353" spans="1:91" hidden="1" outlineLevel="2" collapsed="1" x14ac:dyDescent="0.2">
      <c r="A353" s="270"/>
      <c r="B353" s="271"/>
      <c r="C353" s="270"/>
      <c r="D353" s="270"/>
      <c r="E353" s="270"/>
      <c r="F353" s="270"/>
      <c r="G353" s="271"/>
      <c r="H353" s="270"/>
      <c r="I353" s="270"/>
      <c r="J353" s="270"/>
      <c r="K353" s="270"/>
      <c r="L353" s="270"/>
      <c r="M353" s="270"/>
      <c r="N353" s="270"/>
      <c r="O353" s="270"/>
      <c r="P353" s="270"/>
      <c r="Q353" s="270"/>
      <c r="R353" s="270"/>
      <c r="S353" s="270"/>
      <c r="T353" s="270"/>
      <c r="U353" s="1019" t="s">
        <v>1726</v>
      </c>
      <c r="V353" s="1209"/>
      <c r="W353" s="1177"/>
      <c r="X353" s="1533"/>
      <c r="Y353" s="1210" t="str">
        <f>IF(G341="","",G341)</f>
        <v>Eq4</v>
      </c>
      <c r="Z353" s="1125" t="str">
        <f>IF(OR(ISNUMBER(Z354),ISNUMBER(Z355),ISNUMBER(Z356),ISNUMBER(Z357)),4-COUNTBLANK(AI354:AI357),"")</f>
        <v/>
      </c>
      <c r="AA353" s="1124" t="s">
        <v>769</v>
      </c>
      <c r="AB353" s="1125" t="str">
        <f>IF(OR(ISNUMBER(Z354),ISNUMBER(Z355),ISNUMBER(Z356),ISNUMBER(Z357)),4-COUNTBLANK(AJ354:AJ357),"")</f>
        <v/>
      </c>
      <c r="AC353" s="1211" t="str">
        <f>IF(G344="","",G344)</f>
        <v>Eq7</v>
      </c>
      <c r="AD353" s="839"/>
      <c r="AE353" s="270" t="str">
        <f>IF(Z353="","",IF(Z353&gt;AB353,Y353,IF(Z353=AB353,IF(NoDrawWithWithdraw,IF(AL353=Y353,AC353,IF(AL353=AC353,Y353,"")),""),AC353)))</f>
        <v/>
      </c>
      <c r="AF353" s="270" t="str">
        <f>IF(Z353="","",IF(Z353=AB353,IF(NoDrawWithWithdraw,IF(AL353=Y353,"",IF(AL353=AC353,"",Y353)),Y353),""))</f>
        <v/>
      </c>
      <c r="AG353" s="270" t="str">
        <f>IF(Z353="","",IF(Z353=AB353,IF(NoDrawWithWithdraw,IF(AL353=Y353,"",IF(AL353=AC353,"",AC353)),AC353),""))</f>
        <v/>
      </c>
      <c r="AH353" s="270" t="str">
        <f>IF(Z353="","",IF(Z353&lt;AB353,Y353,IF(Z353=AB353,IF(NoDrawWithWithdraw,IF(AL353=Y353,Y353,IF(AL353=AC353,AC353,"")),""),AC353)))</f>
        <v/>
      </c>
      <c r="AI353" s="270" t="str">
        <f>IF(Z353="","",SUM(Z354:Z357))</f>
        <v/>
      </c>
      <c r="AJ353" s="270" t="str">
        <f>IF(Z353="","",SUM(AB354:AB357))</f>
        <v/>
      </c>
      <c r="AK353" s="270" t="str">
        <f>CONCATENATE(AE353,AH353)</f>
        <v/>
      </c>
      <c r="AL353" s="270" t="str">
        <f>IF(COUNTIF(Y354:Y357,WithdrawLabel)&gt;COUNTIF(AC354:AC357,WithdrawLabel),Y353,IF(COUNTIF(AC354:AC357,WithdrawLabel)&gt;COUNTIF(Y354:Y357,WithdrawLabel),AC353,""))</f>
        <v/>
      </c>
      <c r="AM353" s="270"/>
      <c r="AN353" s="270"/>
      <c r="AO353" s="575"/>
      <c r="AP353" s="270"/>
      <c r="AQ353" s="270"/>
      <c r="AR353" s="270"/>
      <c r="AS353" s="270"/>
      <c r="AT353" s="270"/>
      <c r="AU353" s="270"/>
      <c r="AV353" s="270"/>
      <c r="AW353" s="270"/>
      <c r="AX353" s="270"/>
      <c r="AY353" s="270"/>
      <c r="AZ353" s="270"/>
      <c r="BA353" s="270"/>
      <c r="BB353" s="270"/>
      <c r="BC353" s="270"/>
      <c r="BD353" s="270"/>
      <c r="BE353" s="270"/>
      <c r="BF353" s="270"/>
      <c r="BG353" s="270"/>
      <c r="BH353" s="270"/>
      <c r="BI353" s="270"/>
      <c r="BJ353" s="270"/>
      <c r="BK353" s="270"/>
      <c r="BL353" s="270"/>
      <c r="BM353" s="270"/>
      <c r="BN353" s="270"/>
      <c r="BO353" s="270"/>
      <c r="BP353" s="270"/>
      <c r="BQ353" s="270"/>
      <c r="BR353" s="270"/>
      <c r="BS353" s="270"/>
      <c r="BT353" s="270"/>
      <c r="BU353" s="270"/>
      <c r="BV353" s="270"/>
      <c r="BW353" s="270"/>
      <c r="BX353" s="270"/>
      <c r="BY353" s="270"/>
      <c r="BZ353" s="270"/>
      <c r="CA353" s="270"/>
      <c r="CB353" s="270"/>
      <c r="CC353" s="270"/>
      <c r="CD353" s="270"/>
      <c r="CE353" s="1395"/>
      <c r="CF353" s="1450"/>
      <c r="CG353" s="1450"/>
      <c r="CH353" s="270"/>
      <c r="CI353" s="270"/>
      <c r="CJ353" s="270"/>
      <c r="CK353" s="270"/>
      <c r="CL353" s="270"/>
      <c r="CM353" s="270"/>
    </row>
    <row r="354" spans="1:91" ht="13.5" hidden="1" outlineLevel="3" thickBot="1" x14ac:dyDescent="0.25">
      <c r="A354" s="270"/>
      <c r="B354" s="271"/>
      <c r="C354" s="12"/>
      <c r="D354" s="1071"/>
      <c r="E354" s="1071"/>
      <c r="F354" s="1071"/>
      <c r="G354" s="1172"/>
      <c r="H354" s="271"/>
      <c r="I354" s="270"/>
      <c r="J354" s="270"/>
      <c r="K354" s="270"/>
      <c r="L354" s="270"/>
      <c r="M354" s="270"/>
      <c r="N354" s="270"/>
      <c r="O354" s="270"/>
      <c r="P354" s="1072"/>
      <c r="Q354" s="270"/>
      <c r="R354" s="270"/>
      <c r="S354" s="1072"/>
      <c r="T354" s="270"/>
      <c r="U354" s="1019"/>
      <c r="V354" s="1176"/>
      <c r="W354" s="1177"/>
      <c r="X354" s="1207"/>
      <c r="Y354" s="1208"/>
      <c r="Z354" s="492"/>
      <c r="AA354" s="493" t="s">
        <v>769</v>
      </c>
      <c r="AB354" s="1069"/>
      <c r="AC354" s="1070"/>
      <c r="AD354" s="839"/>
      <c r="AE354" s="270" t="str">
        <f>IF(Z354="","",IF(Z354&gt;AB354,Y354,IF(Z354=AB354,"",AC354)))</f>
        <v/>
      </c>
      <c r="AF354" s="270" t="str">
        <f>IF(Z354="","",IF(Z354=AB354,Y354,""))</f>
        <v/>
      </c>
      <c r="AG354" s="270" t="str">
        <f>IF(Z354="","",IF(Z354=AB354,AC354,""))</f>
        <v/>
      </c>
      <c r="AH354" s="270" t="str">
        <f>IF(Z354="","",IF(Z354&lt;AB354,Y354,IF(Z354=AB354,"",AC354)))</f>
        <v/>
      </c>
      <c r="AI354" s="270" t="str">
        <f>IF(Z354="","",IF(Z354&gt;AB354,Y353,""))</f>
        <v/>
      </c>
      <c r="AJ354" s="270" t="str">
        <f>IF(Z354="","",IF(Z354&lt;AB354,AC353,""))</f>
        <v/>
      </c>
      <c r="AK354" s="270" t="str">
        <f>CONCATENATE(AE354,AH354)</f>
        <v/>
      </c>
      <c r="AL354" s="270"/>
      <c r="AM354" s="270"/>
      <c r="AN354" s="270"/>
      <c r="AO354" s="271"/>
      <c r="AP354" s="270"/>
      <c r="AQ354" s="270"/>
      <c r="AR354" s="270"/>
      <c r="AS354" s="270"/>
      <c r="AT354" s="270"/>
      <c r="AU354" s="270"/>
      <c r="AV354" s="270"/>
      <c r="AW354" s="270"/>
      <c r="AX354" s="270"/>
      <c r="AY354" s="1072"/>
      <c r="AZ354" s="270"/>
      <c r="BA354" s="270"/>
      <c r="BB354" s="1072"/>
      <c r="BC354" s="270"/>
      <c r="BD354" s="270"/>
      <c r="BE354" s="270"/>
      <c r="BF354" s="270"/>
      <c r="BG354" s="270"/>
      <c r="BH354" s="270"/>
      <c r="BI354" s="270"/>
      <c r="BJ354" s="270"/>
      <c r="BK354" s="270"/>
      <c r="BL354" s="270"/>
      <c r="BM354" s="270"/>
      <c r="BN354" s="270"/>
      <c r="BO354" s="270"/>
      <c r="BP354" s="270"/>
      <c r="BQ354" s="270"/>
      <c r="BR354" s="270"/>
      <c r="BS354" s="270"/>
      <c r="BT354" s="270"/>
      <c r="BU354" s="270"/>
      <c r="BV354" s="270"/>
      <c r="BW354" s="270"/>
      <c r="BX354" s="270"/>
      <c r="BY354" s="270"/>
      <c r="BZ354" s="270"/>
      <c r="CA354" s="270"/>
      <c r="CB354" s="270"/>
      <c r="CC354" s="270"/>
      <c r="CD354" s="270"/>
      <c r="CE354" s="1395"/>
      <c r="CF354" s="1450"/>
      <c r="CG354" s="1450"/>
      <c r="CH354" s="270"/>
      <c r="CI354" s="270"/>
      <c r="CJ354" s="270"/>
      <c r="CK354" s="270"/>
      <c r="CL354" s="270"/>
      <c r="CM354" s="270"/>
    </row>
    <row r="355" spans="1:91" ht="13.5" hidden="1" outlineLevel="3" thickBot="1" x14ac:dyDescent="0.25">
      <c r="A355" s="270"/>
      <c r="B355" s="271"/>
      <c r="C355" s="12"/>
      <c r="D355" s="1071"/>
      <c r="E355" s="1071"/>
      <c r="F355" s="1071"/>
      <c r="G355" s="1172"/>
      <c r="H355" s="271"/>
      <c r="I355" s="270"/>
      <c r="J355" s="270"/>
      <c r="K355" s="270"/>
      <c r="L355" s="270"/>
      <c r="M355" s="270"/>
      <c r="N355" s="270"/>
      <c r="O355" s="270"/>
      <c r="P355" s="1072"/>
      <c r="Q355" s="270"/>
      <c r="R355" s="270"/>
      <c r="S355" s="1072"/>
      <c r="T355" s="270"/>
      <c r="U355" s="1019"/>
      <c r="V355" s="1176"/>
      <c r="W355" s="1177"/>
      <c r="X355" s="1207"/>
      <c r="Y355" s="1208"/>
      <c r="Z355" s="492"/>
      <c r="AA355" s="493" t="s">
        <v>769</v>
      </c>
      <c r="AB355" s="1069"/>
      <c r="AC355" s="1070"/>
      <c r="AD355" s="839"/>
      <c r="AE355" s="270" t="str">
        <f>IF(Z355="","",IF(Z355&gt;AB355,Y355,IF(Z355=AB355,"",AC355)))</f>
        <v/>
      </c>
      <c r="AF355" s="270" t="str">
        <f>IF(Z355="","",IF(Z355=AB355,Y355,""))</f>
        <v/>
      </c>
      <c r="AG355" s="270" t="str">
        <f>IF(Z355="","",IF(Z355=AB355,AC355,""))</f>
        <v/>
      </c>
      <c r="AH355" s="270" t="str">
        <f>IF(Z355="","",IF(Z355&lt;AB355,Y355,IF(Z355=AB355,"",AC355)))</f>
        <v/>
      </c>
      <c r="AI355" s="270" t="str">
        <f>IF(Z355="","",IF(Z355&gt;AB355,Y353,""))</f>
        <v/>
      </c>
      <c r="AJ355" s="270" t="str">
        <f>IF(Z355="","",IF(Z355&lt;AB355,AC353,""))</f>
        <v/>
      </c>
      <c r="AK355" s="270" t="str">
        <f>CONCATENATE(AE355,AH355)</f>
        <v/>
      </c>
      <c r="AL355" s="270"/>
      <c r="AM355" s="270"/>
      <c r="AN355" s="270"/>
      <c r="AO355" s="271"/>
      <c r="AP355" s="270"/>
      <c r="AQ355" s="270"/>
      <c r="AR355" s="270"/>
      <c r="AS355" s="270"/>
      <c r="AT355" s="270"/>
      <c r="AU355" s="270"/>
      <c r="AV355" s="270"/>
      <c r="AW355" s="270"/>
      <c r="AX355" s="270"/>
      <c r="AY355" s="1072"/>
      <c r="AZ355" s="270"/>
      <c r="BA355" s="270"/>
      <c r="BB355" s="1072"/>
      <c r="BC355" s="270"/>
      <c r="BD355" s="270"/>
      <c r="BE355" s="270"/>
      <c r="BF355" s="270"/>
      <c r="BG355" s="270"/>
      <c r="BH355" s="270"/>
      <c r="BI355" s="270"/>
      <c r="BJ355" s="270"/>
      <c r="BK355" s="270"/>
      <c r="BL355" s="270"/>
      <c r="BM355" s="270"/>
      <c r="BN355" s="270"/>
      <c r="BO355" s="270"/>
      <c r="BP355" s="270"/>
      <c r="BQ355" s="270"/>
      <c r="BR355" s="270"/>
      <c r="BS355" s="270"/>
      <c r="BT355" s="270"/>
      <c r="BU355" s="270"/>
      <c r="BV355" s="270"/>
      <c r="BW355" s="270"/>
      <c r="BX355" s="270"/>
      <c r="BY355" s="270"/>
      <c r="BZ355" s="270"/>
      <c r="CA355" s="270"/>
      <c r="CB355" s="270"/>
      <c r="CC355" s="270"/>
      <c r="CD355" s="270"/>
      <c r="CE355" s="1395"/>
      <c r="CF355" s="1450"/>
      <c r="CG355" s="1450"/>
      <c r="CH355" s="270"/>
      <c r="CI355" s="270"/>
      <c r="CJ355" s="270"/>
      <c r="CK355" s="270"/>
      <c r="CL355" s="270"/>
      <c r="CM355" s="270"/>
    </row>
    <row r="356" spans="1:91" ht="13.5" hidden="1" outlineLevel="3" thickBot="1" x14ac:dyDescent="0.25">
      <c r="A356" s="270"/>
      <c r="B356" s="271"/>
      <c r="C356" s="12"/>
      <c r="D356" s="1071"/>
      <c r="E356" s="1071"/>
      <c r="F356" s="1071"/>
      <c r="G356" s="1172"/>
      <c r="H356" s="271"/>
      <c r="I356" s="270"/>
      <c r="J356" s="270"/>
      <c r="K356" s="270"/>
      <c r="L356" s="270"/>
      <c r="M356" s="270"/>
      <c r="N356" s="270"/>
      <c r="O356" s="270"/>
      <c r="P356" s="1072"/>
      <c r="Q356" s="270"/>
      <c r="R356" s="270"/>
      <c r="S356" s="1072"/>
      <c r="T356" s="270"/>
      <c r="U356" s="1019"/>
      <c r="V356" s="1176"/>
      <c r="W356" s="1177"/>
      <c r="X356" s="1207"/>
      <c r="Y356" s="1208"/>
      <c r="Z356" s="492"/>
      <c r="AA356" s="493" t="s">
        <v>769</v>
      </c>
      <c r="AB356" s="1069"/>
      <c r="AC356" s="1070"/>
      <c r="AD356" s="839"/>
      <c r="AE356" s="270" t="str">
        <f>IF(Z356="","",IF(Z356&gt;AB356,Y356,IF(Z356=AB356,"",AC356)))</f>
        <v/>
      </c>
      <c r="AF356" s="270" t="str">
        <f>IF(Z356="","",IF(Z356=AB356,Y356,""))</f>
        <v/>
      </c>
      <c r="AG356" s="270" t="str">
        <f>IF(Z356="","",IF(Z356=AB356,AC356,""))</f>
        <v/>
      </c>
      <c r="AH356" s="270" t="str">
        <f>IF(Z356="","",IF(Z356&lt;AB356,Y356,IF(Z356=AB356,"",AC356)))</f>
        <v/>
      </c>
      <c r="AI356" s="270" t="str">
        <f>IF(Z356="","",IF(Z356&gt;AB356,Y353,""))</f>
        <v/>
      </c>
      <c r="AJ356" s="270" t="str">
        <f>IF(Z356="","",IF(Z356&lt;AB356,AC353,""))</f>
        <v/>
      </c>
      <c r="AK356" s="270" t="str">
        <f>CONCATENATE(AE356,AH356)</f>
        <v/>
      </c>
      <c r="AL356" s="270"/>
      <c r="AM356" s="270"/>
      <c r="AN356" s="270"/>
      <c r="AO356" s="271"/>
      <c r="AP356" s="270"/>
      <c r="AQ356" s="270"/>
      <c r="AR356" s="270"/>
      <c r="AS356" s="270"/>
      <c r="AT356" s="270"/>
      <c r="AU356" s="270"/>
      <c r="AV356" s="270"/>
      <c r="AW356" s="270"/>
      <c r="AX356" s="270"/>
      <c r="AY356" s="1072"/>
      <c r="AZ356" s="270"/>
      <c r="BA356" s="270"/>
      <c r="BB356" s="1072"/>
      <c r="BC356" s="270"/>
      <c r="BD356" s="270"/>
      <c r="BE356" s="270"/>
      <c r="BF356" s="270"/>
      <c r="BG356" s="270"/>
      <c r="BH356" s="270"/>
      <c r="BI356" s="270"/>
      <c r="BJ356" s="270"/>
      <c r="BK356" s="270"/>
      <c r="BL356" s="270"/>
      <c r="BM356" s="270"/>
      <c r="BN356" s="270"/>
      <c r="BO356" s="270"/>
      <c r="BP356" s="270"/>
      <c r="BQ356" s="270"/>
      <c r="BR356" s="270"/>
      <c r="BS356" s="270"/>
      <c r="BT356" s="270"/>
      <c r="BU356" s="270"/>
      <c r="BV356" s="270"/>
      <c r="BW356" s="270"/>
      <c r="BX356" s="270"/>
      <c r="BY356" s="270"/>
      <c r="BZ356" s="270"/>
      <c r="CA356" s="270"/>
      <c r="CB356" s="270"/>
      <c r="CC356" s="270"/>
      <c r="CD356" s="270"/>
      <c r="CE356" s="1395"/>
      <c r="CF356" s="1450"/>
      <c r="CG356" s="1450"/>
      <c r="CH356" s="270"/>
      <c r="CI356" s="270"/>
      <c r="CJ356" s="270"/>
      <c r="CK356" s="270"/>
      <c r="CL356" s="270"/>
      <c r="CM356" s="270"/>
    </row>
    <row r="357" spans="1:91" ht="13.5" hidden="1" outlineLevel="3" thickBot="1" x14ac:dyDescent="0.25">
      <c r="A357" s="270"/>
      <c r="B357" s="271"/>
      <c r="C357" s="12"/>
      <c r="D357" s="1071"/>
      <c r="E357" s="1071"/>
      <c r="F357" s="1071"/>
      <c r="G357" s="1172"/>
      <c r="H357" s="271"/>
      <c r="I357" s="270"/>
      <c r="J357" s="270"/>
      <c r="K357" s="270"/>
      <c r="L357" s="270"/>
      <c r="M357" s="270"/>
      <c r="N357" s="270"/>
      <c r="O357" s="270"/>
      <c r="P357" s="1072"/>
      <c r="Q357" s="270"/>
      <c r="R357" s="270"/>
      <c r="S357" s="1072"/>
      <c r="T357" s="270"/>
      <c r="U357" s="1019"/>
      <c r="V357" s="1176"/>
      <c r="W357" s="1177"/>
      <c r="X357" s="1207"/>
      <c r="Y357" s="1208"/>
      <c r="Z357" s="492"/>
      <c r="AA357" s="493" t="s">
        <v>769</v>
      </c>
      <c r="AB357" s="1069"/>
      <c r="AC357" s="1070"/>
      <c r="AD357" s="839"/>
      <c r="AE357" s="270" t="str">
        <f>IF(Z357="","",IF(Z357&gt;AB357,Y357,IF(Z357=AB357,"",AC357)))</f>
        <v/>
      </c>
      <c r="AF357" s="270" t="str">
        <f>IF(Z357="","",IF(Z357=AB357,Y357,""))</f>
        <v/>
      </c>
      <c r="AG357" s="270" t="str">
        <f>IF(Z357="","",IF(Z357=AB357,AC357,""))</f>
        <v/>
      </c>
      <c r="AH357" s="270" t="str">
        <f>IF(Z357="","",IF(Z357&lt;AB357,Y357,IF(Z357=AB357,"",AC357)))</f>
        <v/>
      </c>
      <c r="AI357" s="270" t="str">
        <f>IF(Z357="","",IF(Z357&gt;AB357,Y353,""))</f>
        <v/>
      </c>
      <c r="AJ357" s="270" t="str">
        <f>IF(Z357="","",IF(Z357&lt;AB357,AC353,""))</f>
        <v/>
      </c>
      <c r="AK357" s="270" t="str">
        <f>CONCATENATE(AE357,AH357)</f>
        <v/>
      </c>
      <c r="AL357" s="270"/>
      <c r="AM357" s="270"/>
      <c r="AN357" s="270"/>
      <c r="AO357" s="271"/>
      <c r="AP357" s="270"/>
      <c r="AQ357" s="270"/>
      <c r="AR357" s="270"/>
      <c r="AS357" s="270"/>
      <c r="AT357" s="270"/>
      <c r="AU357" s="270"/>
      <c r="AV357" s="270"/>
      <c r="AW357" s="270"/>
      <c r="AX357" s="270"/>
      <c r="AY357" s="1072"/>
      <c r="AZ357" s="270"/>
      <c r="BA357" s="270"/>
      <c r="BB357" s="1072"/>
      <c r="BC357" s="270"/>
      <c r="BD357" s="270"/>
      <c r="BE357" s="270"/>
      <c r="BF357" s="270"/>
      <c r="BG357" s="270"/>
      <c r="BH357" s="270"/>
      <c r="BI357" s="270"/>
      <c r="BJ357" s="270"/>
      <c r="BK357" s="270"/>
      <c r="BL357" s="270"/>
      <c r="BM357" s="270"/>
      <c r="BN357" s="270"/>
      <c r="BO357" s="270"/>
      <c r="BP357" s="270"/>
      <c r="BQ357" s="270"/>
      <c r="BR357" s="270"/>
      <c r="BS357" s="270"/>
      <c r="BT357" s="270"/>
      <c r="BU357" s="270"/>
      <c r="BV357" s="270"/>
      <c r="BW357" s="270"/>
      <c r="BX357" s="270"/>
      <c r="BY357" s="270"/>
      <c r="BZ357" s="270"/>
      <c r="CA357" s="270"/>
      <c r="CB357" s="270"/>
      <c r="CC357" s="270"/>
      <c r="CD357" s="270"/>
      <c r="CE357" s="1395"/>
      <c r="CF357" s="1450"/>
      <c r="CG357" s="1450"/>
      <c r="CH357" s="270"/>
      <c r="CI357" s="270"/>
      <c r="CJ357" s="270"/>
      <c r="CK357" s="270"/>
      <c r="CL357" s="270"/>
      <c r="CM357" s="270"/>
    </row>
    <row r="358" spans="1:91" ht="13.5" hidden="1" outlineLevel="3" thickBot="1" x14ac:dyDescent="0.25">
      <c r="A358" s="270"/>
      <c r="B358" s="271"/>
      <c r="C358" s="12"/>
      <c r="D358" s="1071"/>
      <c r="E358" s="1071"/>
      <c r="F358" s="1071"/>
      <c r="G358" s="626"/>
      <c r="H358" s="271"/>
      <c r="I358" s="270"/>
      <c r="J358" s="270"/>
      <c r="K358" s="270"/>
      <c r="L358" s="270"/>
      <c r="M358" s="270"/>
      <c r="N358" s="270"/>
      <c r="O358" s="270"/>
      <c r="P358" s="1072"/>
      <c r="Q358" s="270"/>
      <c r="R358" s="270"/>
      <c r="S358" s="1072"/>
      <c r="T358" s="270"/>
      <c r="U358" s="1019"/>
      <c r="V358" s="1073"/>
      <c r="W358" s="1074"/>
      <c r="X358" s="1075" t="str">
        <f>N_Substitute</f>
        <v>Remplaçant</v>
      </c>
      <c r="Y358" s="1208"/>
      <c r="Z358" s="492"/>
      <c r="AA358" s="1076"/>
      <c r="AB358" s="1069"/>
      <c r="AC358" s="1070"/>
      <c r="AD358" s="839"/>
      <c r="AE358" s="270"/>
      <c r="AF358" s="270"/>
      <c r="AG358" s="270"/>
      <c r="AH358" s="270"/>
      <c r="AI358" s="270"/>
      <c r="AJ358" s="270"/>
      <c r="AK358" s="270"/>
      <c r="AL358" s="270"/>
      <c r="AM358" s="270"/>
      <c r="AN358" s="270"/>
      <c r="AO358" s="271"/>
      <c r="AP358" s="270"/>
      <c r="AQ358" s="270"/>
      <c r="AR358" s="270"/>
      <c r="AS358" s="270"/>
      <c r="AT358" s="270"/>
      <c r="AU358" s="270"/>
      <c r="AV358" s="270"/>
      <c r="AW358" s="270"/>
      <c r="AX358" s="270"/>
      <c r="AY358" s="1072"/>
      <c r="AZ358" s="270"/>
      <c r="BA358" s="270"/>
      <c r="BB358" s="1072"/>
      <c r="BC358" s="270"/>
      <c r="BD358" s="270"/>
      <c r="BE358" s="270"/>
      <c r="BF358" s="270"/>
      <c r="BG358" s="270"/>
      <c r="BH358" s="270"/>
      <c r="BI358" s="270"/>
      <c r="BJ358" s="270"/>
      <c r="BK358" s="270"/>
      <c r="BL358" s="270"/>
      <c r="BM358" s="270"/>
      <c r="BN358" s="270"/>
      <c r="BO358" s="270"/>
      <c r="BP358" s="270"/>
      <c r="BQ358" s="270"/>
      <c r="BR358" s="270"/>
      <c r="BS358" s="270"/>
      <c r="BT358" s="270"/>
      <c r="BU358" s="270"/>
      <c r="BV358" s="270"/>
      <c r="BW358" s="270"/>
      <c r="BX358" s="270"/>
      <c r="BY358" s="270"/>
      <c r="BZ358" s="270"/>
      <c r="CA358" s="270"/>
      <c r="CB358" s="270"/>
      <c r="CC358" s="270"/>
      <c r="CD358" s="270"/>
      <c r="CE358" s="1395"/>
      <c r="CF358" s="1450"/>
      <c r="CG358" s="1450"/>
      <c r="CH358" s="270"/>
      <c r="CI358" s="270"/>
      <c r="CJ358" s="270"/>
      <c r="CK358" s="270"/>
      <c r="CL358" s="270"/>
      <c r="CM358" s="270"/>
    </row>
    <row r="359" spans="1:91" ht="13.5" hidden="1" outlineLevel="3" thickBot="1" x14ac:dyDescent="0.25">
      <c r="A359" s="270"/>
      <c r="B359" s="271"/>
      <c r="C359" s="12"/>
      <c r="D359" s="1071"/>
      <c r="E359" s="1071"/>
      <c r="F359" s="1071"/>
      <c r="G359" s="626"/>
      <c r="H359" s="271"/>
      <c r="I359" s="270"/>
      <c r="J359" s="270"/>
      <c r="K359" s="270"/>
      <c r="L359" s="270"/>
      <c r="M359" s="270"/>
      <c r="N359" s="270"/>
      <c r="O359" s="270"/>
      <c r="P359" s="1072"/>
      <c r="Q359" s="270"/>
      <c r="R359" s="270"/>
      <c r="S359" s="1072"/>
      <c r="T359" s="270"/>
      <c r="U359" s="1019"/>
      <c r="V359" s="1119"/>
      <c r="W359" s="1120"/>
      <c r="X359" s="1075" t="str">
        <f>N_Substitute</f>
        <v>Remplaçant</v>
      </c>
      <c r="Y359" s="1208"/>
      <c r="Z359" s="492"/>
      <c r="AA359" s="1121"/>
      <c r="AB359" s="1069"/>
      <c r="AC359" s="1070"/>
      <c r="AD359" s="839"/>
      <c r="AE359" s="270"/>
      <c r="AF359" s="270"/>
      <c r="AG359" s="270"/>
      <c r="AH359" s="270"/>
      <c r="AI359" s="270"/>
      <c r="AJ359" s="270"/>
      <c r="AK359" s="270"/>
      <c r="AL359" s="270"/>
      <c r="AM359" s="270"/>
      <c r="AN359" s="270"/>
      <c r="AO359" s="271"/>
      <c r="AP359" s="270"/>
      <c r="AQ359" s="270"/>
      <c r="AR359" s="270"/>
      <c r="AS359" s="270"/>
      <c r="AT359" s="270"/>
      <c r="AU359" s="270"/>
      <c r="AV359" s="270"/>
      <c r="AW359" s="270"/>
      <c r="AX359" s="270"/>
      <c r="AY359" s="1072"/>
      <c r="AZ359" s="270"/>
      <c r="BA359" s="270"/>
      <c r="BB359" s="1072"/>
      <c r="BC359" s="270"/>
      <c r="BD359" s="270"/>
      <c r="BE359" s="270"/>
      <c r="BF359" s="270"/>
      <c r="BG359" s="270"/>
      <c r="BH359" s="270"/>
      <c r="BI359" s="270"/>
      <c r="BJ359" s="270"/>
      <c r="BK359" s="270"/>
      <c r="BL359" s="270"/>
      <c r="BM359" s="270"/>
      <c r="BN359" s="270"/>
      <c r="BO359" s="270"/>
      <c r="BP359" s="270"/>
      <c r="BQ359" s="270"/>
      <c r="BR359" s="270"/>
      <c r="BS359" s="270"/>
      <c r="BT359" s="270"/>
      <c r="BU359" s="270"/>
      <c r="BV359" s="270"/>
      <c r="BW359" s="270"/>
      <c r="BX359" s="270"/>
      <c r="BY359" s="270"/>
      <c r="BZ359" s="270"/>
      <c r="CA359" s="270"/>
      <c r="CB359" s="270"/>
      <c r="CC359" s="270"/>
      <c r="CD359" s="270"/>
      <c r="CE359" s="1395"/>
      <c r="CF359" s="1450"/>
      <c r="CG359" s="1450"/>
      <c r="CH359" s="270"/>
      <c r="CI359" s="270"/>
      <c r="CJ359" s="270"/>
      <c r="CK359" s="270"/>
      <c r="CL359" s="270"/>
      <c r="CM359" s="270"/>
    </row>
    <row r="360" spans="1:91" ht="13.5" hidden="1" outlineLevel="2" collapsed="1" thickBot="1" x14ac:dyDescent="0.25">
      <c r="A360" s="270"/>
      <c r="B360" s="271"/>
      <c r="C360" s="270"/>
      <c r="D360" s="270"/>
      <c r="E360" s="270"/>
      <c r="F360" s="270"/>
      <c r="G360" s="271"/>
      <c r="H360" s="270"/>
      <c r="I360" s="270"/>
      <c r="J360" s="270"/>
      <c r="K360" s="270"/>
      <c r="L360" s="270"/>
      <c r="M360" s="270"/>
      <c r="N360" s="270"/>
      <c r="O360" s="270"/>
      <c r="P360" s="270"/>
      <c r="Q360" s="270"/>
      <c r="R360" s="270"/>
      <c r="S360" s="270"/>
      <c r="T360" s="270"/>
      <c r="U360" s="1019" t="s">
        <v>1726</v>
      </c>
      <c r="V360" s="1187"/>
      <c r="W360" s="1195"/>
      <c r="X360" s="1534"/>
      <c r="Y360" s="1210" t="str">
        <f>IF(G342="","",G342)</f>
        <v>Eq5</v>
      </c>
      <c r="Z360" s="1103" t="str">
        <f>IF(OR(ISNUMBER(Z361),ISNUMBER(Z362),ISNUMBER(Z363),ISNUMBER(Z364)),4-COUNTBLANK(AI361:AI364),"")</f>
        <v/>
      </c>
      <c r="AA360" s="1104" t="s">
        <v>769</v>
      </c>
      <c r="AB360" s="1103" t="str">
        <f>IF(OR(ISNUMBER(Z361),ISNUMBER(Z362),ISNUMBER(Z363),ISNUMBER(Z364)),4-COUNTBLANK(AJ361:AJ364),"")</f>
        <v/>
      </c>
      <c r="AC360" s="1211" t="str">
        <f>IF(G343="","",G343)</f>
        <v>Eq6</v>
      </c>
      <c r="AD360" s="839"/>
      <c r="AE360" s="270" t="str">
        <f>IF(Z360="","",IF(Z360&gt;AB360,Y360,IF(Z360=AB360,IF(NoDrawWithWithdraw,IF(AL360=Y360,AC360,IF(AL360=AC360,Y360,"")),""),AC360)))</f>
        <v/>
      </c>
      <c r="AF360" s="270" t="str">
        <f>IF(Z360="","",IF(Z360=AB360,IF(NoDrawWithWithdraw,IF(AL360=Y360,"",IF(AL360=AC360,"",Y360)),Y360),""))</f>
        <v/>
      </c>
      <c r="AG360" s="270" t="str">
        <f>IF(Z360="","",IF(Z360=AB360,IF(NoDrawWithWithdraw,IF(AL360=Y360,"",IF(AL360=AC360,"",AC360)),AC360),""))</f>
        <v/>
      </c>
      <c r="AH360" s="270" t="str">
        <f>IF(Z360="","",IF(Z360&lt;AB360,Y360,IF(Z360=AB360,IF(NoDrawWithWithdraw,IF(AL360=Y360,Y360,IF(AL360=AC360,AC360,"")),""),AC360)))</f>
        <v/>
      </c>
      <c r="AI360" s="270" t="str">
        <f>IF(Z360="","",SUM(Z361:Z364))</f>
        <v/>
      </c>
      <c r="AJ360" s="270" t="str">
        <f>IF(Z360="","",SUM(AB361:AB364))</f>
        <v/>
      </c>
      <c r="AK360" s="270" t="str">
        <f>CONCATENATE(AE360,AH360)</f>
        <v/>
      </c>
      <c r="AL360" s="270" t="str">
        <f>IF(COUNTIF(Y361:Y364,WithdrawLabel)&gt;COUNTIF(AC361:AC364,WithdrawLabel),Y360,IF(COUNTIF(AC361:AC364,WithdrawLabel)&gt;COUNTIF(Y361:Y364,WithdrawLabel),AC360,""))</f>
        <v/>
      </c>
      <c r="AM360" s="270"/>
      <c r="AN360" s="270"/>
      <c r="AO360" s="575"/>
      <c r="AP360" s="270"/>
      <c r="AQ360" s="270"/>
      <c r="AR360" s="270"/>
      <c r="AS360" s="270"/>
      <c r="AT360" s="270"/>
      <c r="AU360" s="270"/>
      <c r="AV360" s="270"/>
      <c r="AW360" s="270"/>
      <c r="AX360" s="270"/>
      <c r="AY360" s="270"/>
      <c r="AZ360" s="270"/>
      <c r="BA360" s="270"/>
      <c r="BB360" s="270"/>
      <c r="BC360" s="270"/>
      <c r="BD360" s="270"/>
      <c r="BE360" s="270"/>
      <c r="BF360" s="270"/>
      <c r="BG360" s="270"/>
      <c r="BH360" s="270"/>
      <c r="BI360" s="270"/>
      <c r="BJ360" s="270"/>
      <c r="BK360" s="270"/>
      <c r="BL360" s="270"/>
      <c r="BM360" s="270"/>
      <c r="BN360" s="270"/>
      <c r="BO360" s="270"/>
      <c r="BP360" s="270"/>
      <c r="BQ360" s="270"/>
      <c r="BR360" s="270"/>
      <c r="BS360" s="270"/>
      <c r="BT360" s="270"/>
      <c r="BU360" s="270"/>
      <c r="BV360" s="270"/>
      <c r="BW360" s="270"/>
      <c r="BX360" s="270"/>
      <c r="BY360" s="270"/>
      <c r="BZ360" s="270"/>
      <c r="CA360" s="270"/>
      <c r="CB360" s="270"/>
      <c r="CC360" s="270"/>
      <c r="CD360" s="270"/>
      <c r="CE360" s="1395"/>
      <c r="CF360" s="1450"/>
      <c r="CG360" s="1450"/>
      <c r="CH360" s="270"/>
      <c r="CI360" s="270"/>
      <c r="CJ360" s="270"/>
      <c r="CK360" s="270"/>
      <c r="CL360" s="270"/>
      <c r="CM360" s="270"/>
    </row>
    <row r="361" spans="1:91" ht="13.5" hidden="1" outlineLevel="3" thickBot="1" x14ac:dyDescent="0.25">
      <c r="A361" s="270"/>
      <c r="B361" s="271"/>
      <c r="C361" s="12"/>
      <c r="D361" s="1071"/>
      <c r="E361" s="1071"/>
      <c r="F361" s="1071"/>
      <c r="G361" s="1172"/>
      <c r="H361" s="271"/>
      <c r="I361" s="270"/>
      <c r="J361" s="270"/>
      <c r="K361" s="270"/>
      <c r="L361" s="270"/>
      <c r="M361" s="270"/>
      <c r="N361" s="270"/>
      <c r="O361" s="270"/>
      <c r="P361" s="1072"/>
      <c r="Q361" s="270"/>
      <c r="R361" s="270"/>
      <c r="S361" s="1072"/>
      <c r="T361" s="270"/>
      <c r="U361" s="1019"/>
      <c r="V361" s="1118"/>
      <c r="W361" s="1177"/>
      <c r="X361" s="1212"/>
      <c r="Y361" s="1208"/>
      <c r="Z361" s="492"/>
      <c r="AA361" s="493" t="s">
        <v>769</v>
      </c>
      <c r="AB361" s="1069"/>
      <c r="AC361" s="1070"/>
      <c r="AD361" s="839"/>
      <c r="AE361" s="270" t="str">
        <f>IF(Z361="","",IF(Z361&gt;AB361,Y361,IF(Z361=AB361,"",AC361)))</f>
        <v/>
      </c>
      <c r="AF361" s="270" t="str">
        <f>IF(Z361="","",IF(Z361=AB361,Y361,""))</f>
        <v/>
      </c>
      <c r="AG361" s="270" t="str">
        <f>IF(Z361="","",IF(Z361=AB361,AC361,""))</f>
        <v/>
      </c>
      <c r="AH361" s="270" t="str">
        <f>IF(Z361="","",IF(Z361&lt;AB361,Y361,IF(Z361=AB361,"",AC361)))</f>
        <v/>
      </c>
      <c r="AI361" s="270" t="str">
        <f>IF(Z361="","",IF(Z361&gt;AB361,Y360,""))</f>
        <v/>
      </c>
      <c r="AJ361" s="270" t="str">
        <f>IF(Z361="","",IF(Z361&lt;AB361,AC360,""))</f>
        <v/>
      </c>
      <c r="AK361" s="270" t="str">
        <f>CONCATENATE(AE361,AH361)</f>
        <v/>
      </c>
      <c r="AL361" s="270"/>
      <c r="AM361" s="270"/>
      <c r="AN361" s="270"/>
      <c r="AO361" s="271"/>
      <c r="AP361" s="270"/>
      <c r="AQ361" s="270"/>
      <c r="AR361" s="270"/>
      <c r="AS361" s="270"/>
      <c r="AT361" s="270"/>
      <c r="AU361" s="270"/>
      <c r="AV361" s="270"/>
      <c r="AW361" s="270"/>
      <c r="AX361" s="270"/>
      <c r="AY361" s="1072"/>
      <c r="AZ361" s="270"/>
      <c r="BA361" s="270"/>
      <c r="BB361" s="1072"/>
      <c r="BC361" s="270"/>
      <c r="BD361" s="270"/>
      <c r="BE361" s="270"/>
      <c r="BF361" s="270"/>
      <c r="BG361" s="270"/>
      <c r="BH361" s="270"/>
      <c r="BI361" s="270"/>
      <c r="BJ361" s="270"/>
      <c r="BK361" s="270"/>
      <c r="BL361" s="270"/>
      <c r="BM361" s="270"/>
      <c r="BN361" s="270"/>
      <c r="BO361" s="270"/>
      <c r="BP361" s="270"/>
      <c r="BQ361" s="270"/>
      <c r="BR361" s="270"/>
      <c r="BS361" s="270"/>
      <c r="BT361" s="270"/>
      <c r="BU361" s="270"/>
      <c r="BV361" s="270"/>
      <c r="BW361" s="270"/>
      <c r="BX361" s="270"/>
      <c r="BY361" s="270"/>
      <c r="BZ361" s="270"/>
      <c r="CA361" s="270"/>
      <c r="CB361" s="270"/>
      <c r="CC361" s="270"/>
      <c r="CD361" s="270"/>
      <c r="CE361" s="1395"/>
      <c r="CF361" s="1450"/>
      <c r="CG361" s="1450"/>
      <c r="CH361" s="270"/>
      <c r="CI361" s="270"/>
      <c r="CJ361" s="270"/>
      <c r="CK361" s="270"/>
      <c r="CL361" s="270"/>
      <c r="CM361" s="270"/>
    </row>
    <row r="362" spans="1:91" ht="13.5" hidden="1" outlineLevel="3" thickBot="1" x14ac:dyDescent="0.25">
      <c r="A362" s="270"/>
      <c r="B362" s="271"/>
      <c r="C362" s="12"/>
      <c r="D362" s="1071"/>
      <c r="E362" s="1071"/>
      <c r="F362" s="1071"/>
      <c r="G362" s="1172"/>
      <c r="H362" s="271"/>
      <c r="I362" s="270"/>
      <c r="J362" s="270"/>
      <c r="K362" s="270"/>
      <c r="L362" s="270"/>
      <c r="M362" s="270"/>
      <c r="N362" s="270"/>
      <c r="O362" s="270"/>
      <c r="P362" s="1072"/>
      <c r="Q362" s="270"/>
      <c r="R362" s="270"/>
      <c r="S362" s="1072"/>
      <c r="T362" s="270"/>
      <c r="U362" s="1019"/>
      <c r="V362" s="1118"/>
      <c r="W362" s="1177"/>
      <c r="X362" s="1212"/>
      <c r="Y362" s="1208"/>
      <c r="Z362" s="492"/>
      <c r="AA362" s="493" t="s">
        <v>769</v>
      </c>
      <c r="AB362" s="1069"/>
      <c r="AC362" s="1070"/>
      <c r="AD362" s="839"/>
      <c r="AE362" s="270" t="str">
        <f>IF(Z362="","",IF(Z362&gt;AB362,Y362,IF(Z362=AB362,"",AC362)))</f>
        <v/>
      </c>
      <c r="AF362" s="270" t="str">
        <f>IF(Z362="","",IF(Z362=AB362,Y362,""))</f>
        <v/>
      </c>
      <c r="AG362" s="270" t="str">
        <f>IF(Z362="","",IF(Z362=AB362,AC362,""))</f>
        <v/>
      </c>
      <c r="AH362" s="270" t="str">
        <f>IF(Z362="","",IF(Z362&lt;AB362,Y362,IF(Z362=AB362,"",AC362)))</f>
        <v/>
      </c>
      <c r="AI362" s="270" t="str">
        <f>IF(Z362="","",IF(Z362&gt;AB362,Y360,""))</f>
        <v/>
      </c>
      <c r="AJ362" s="270" t="str">
        <f>IF(Z362="","",IF(Z362&lt;AB362,AC360,""))</f>
        <v/>
      </c>
      <c r="AK362" s="270" t="str">
        <f>CONCATENATE(AE362,AH362)</f>
        <v/>
      </c>
      <c r="AL362" s="270"/>
      <c r="AM362" s="270"/>
      <c r="AN362" s="270"/>
      <c r="AO362" s="271"/>
      <c r="AP362" s="270"/>
      <c r="AQ362" s="270"/>
      <c r="AR362" s="270"/>
      <c r="AS362" s="270"/>
      <c r="AT362" s="270"/>
      <c r="AU362" s="270"/>
      <c r="AV362" s="270"/>
      <c r="AW362" s="270"/>
      <c r="AX362" s="270"/>
      <c r="AY362" s="1072"/>
      <c r="AZ362" s="270"/>
      <c r="BA362" s="270"/>
      <c r="BB362" s="1072"/>
      <c r="BC362" s="270"/>
      <c r="BD362" s="270"/>
      <c r="BE362" s="270"/>
      <c r="BF362" s="270"/>
      <c r="BG362" s="270"/>
      <c r="BH362" s="270"/>
      <c r="BI362" s="270"/>
      <c r="BJ362" s="270"/>
      <c r="BK362" s="270"/>
      <c r="BL362" s="270"/>
      <c r="BM362" s="270"/>
      <c r="BN362" s="270"/>
      <c r="BO362" s="270"/>
      <c r="BP362" s="270"/>
      <c r="BQ362" s="270"/>
      <c r="BR362" s="270"/>
      <c r="BS362" s="270"/>
      <c r="BT362" s="270"/>
      <c r="BU362" s="270"/>
      <c r="BV362" s="270"/>
      <c r="BW362" s="270"/>
      <c r="BX362" s="270"/>
      <c r="BY362" s="270"/>
      <c r="BZ362" s="270"/>
      <c r="CA362" s="270"/>
      <c r="CB362" s="270"/>
      <c r="CC362" s="270"/>
      <c r="CD362" s="270"/>
      <c r="CE362" s="1395"/>
      <c r="CF362" s="1450"/>
      <c r="CG362" s="1450"/>
      <c r="CH362" s="270"/>
      <c r="CI362" s="270"/>
      <c r="CJ362" s="270"/>
      <c r="CK362" s="270"/>
      <c r="CL362" s="270"/>
      <c r="CM362" s="270"/>
    </row>
    <row r="363" spans="1:91" ht="13.5" hidden="1" outlineLevel="3" thickBot="1" x14ac:dyDescent="0.25">
      <c r="A363" s="270"/>
      <c r="B363" s="271"/>
      <c r="C363" s="12"/>
      <c r="D363" s="1071"/>
      <c r="E363" s="1071"/>
      <c r="F363" s="1071"/>
      <c r="G363" s="1172"/>
      <c r="H363" s="271"/>
      <c r="I363" s="270"/>
      <c r="J363" s="270"/>
      <c r="K363" s="270"/>
      <c r="L363" s="270"/>
      <c r="M363" s="270"/>
      <c r="N363" s="270"/>
      <c r="O363" s="270"/>
      <c r="P363" s="1072"/>
      <c r="Q363" s="270"/>
      <c r="R363" s="270"/>
      <c r="S363" s="1072"/>
      <c r="T363" s="270"/>
      <c r="U363" s="1019"/>
      <c r="V363" s="1118"/>
      <c r="W363" s="1177"/>
      <c r="X363" s="1212"/>
      <c r="Y363" s="1208"/>
      <c r="Z363" s="492"/>
      <c r="AA363" s="493" t="s">
        <v>769</v>
      </c>
      <c r="AB363" s="1069"/>
      <c r="AC363" s="1070"/>
      <c r="AD363" s="839"/>
      <c r="AE363" s="270" t="str">
        <f>IF(Z363="","",IF(Z363&gt;AB363,Y363,IF(Z363=AB363,"",AC363)))</f>
        <v/>
      </c>
      <c r="AF363" s="270" t="str">
        <f>IF(Z363="","",IF(Z363=AB363,Y363,""))</f>
        <v/>
      </c>
      <c r="AG363" s="270" t="str">
        <f>IF(Z363="","",IF(Z363=AB363,AC363,""))</f>
        <v/>
      </c>
      <c r="AH363" s="270" t="str">
        <f>IF(Z363="","",IF(Z363&lt;AB363,Y363,IF(Z363=AB363,"",AC363)))</f>
        <v/>
      </c>
      <c r="AI363" s="270" t="str">
        <f>IF(Z363="","",IF(Z363&gt;AB363,Y360,""))</f>
        <v/>
      </c>
      <c r="AJ363" s="270" t="str">
        <f>IF(Z363="","",IF(Z363&lt;AB363,AC360,""))</f>
        <v/>
      </c>
      <c r="AK363" s="270" t="str">
        <f>CONCATENATE(AE363,AH363)</f>
        <v/>
      </c>
      <c r="AL363" s="270"/>
      <c r="AM363" s="270"/>
      <c r="AN363" s="270"/>
      <c r="AO363" s="271"/>
      <c r="AP363" s="270"/>
      <c r="AQ363" s="270"/>
      <c r="AR363" s="270"/>
      <c r="AS363" s="270"/>
      <c r="AT363" s="270"/>
      <c r="AU363" s="270"/>
      <c r="AV363" s="270"/>
      <c r="AW363" s="270"/>
      <c r="AX363" s="270"/>
      <c r="AY363" s="1072"/>
      <c r="AZ363" s="270"/>
      <c r="BA363" s="270"/>
      <c r="BB363" s="1072"/>
      <c r="BC363" s="270"/>
      <c r="BD363" s="270"/>
      <c r="BE363" s="270"/>
      <c r="BF363" s="270"/>
      <c r="BG363" s="270"/>
      <c r="BH363" s="270"/>
      <c r="BI363" s="270"/>
      <c r="BJ363" s="270"/>
      <c r="BK363" s="270"/>
      <c r="BL363" s="270"/>
      <c r="BM363" s="270"/>
      <c r="BN363" s="270"/>
      <c r="BO363" s="270"/>
      <c r="BP363" s="270"/>
      <c r="BQ363" s="270"/>
      <c r="BR363" s="270"/>
      <c r="BS363" s="270"/>
      <c r="BT363" s="270"/>
      <c r="BU363" s="270"/>
      <c r="BV363" s="270"/>
      <c r="BW363" s="270"/>
      <c r="BX363" s="270"/>
      <c r="BY363" s="270"/>
      <c r="BZ363" s="270"/>
      <c r="CA363" s="270"/>
      <c r="CB363" s="270"/>
      <c r="CC363" s="270"/>
      <c r="CD363" s="270"/>
      <c r="CE363" s="1395"/>
      <c r="CF363" s="1450"/>
      <c r="CG363" s="1450"/>
      <c r="CH363" s="270"/>
      <c r="CI363" s="270"/>
      <c r="CJ363" s="270"/>
      <c r="CK363" s="270"/>
      <c r="CL363" s="270"/>
      <c r="CM363" s="270"/>
    </row>
    <row r="364" spans="1:91" ht="13.5" hidden="1" outlineLevel="3" thickBot="1" x14ac:dyDescent="0.25">
      <c r="A364" s="270"/>
      <c r="B364" s="271"/>
      <c r="C364" s="12"/>
      <c r="D364" s="1071"/>
      <c r="E364" s="1071"/>
      <c r="F364" s="1071"/>
      <c r="G364" s="1172"/>
      <c r="H364" s="271"/>
      <c r="I364" s="270"/>
      <c r="J364" s="270"/>
      <c r="K364" s="270"/>
      <c r="L364" s="270"/>
      <c r="M364" s="270"/>
      <c r="N364" s="270"/>
      <c r="O364" s="270"/>
      <c r="P364" s="1072"/>
      <c r="Q364" s="270"/>
      <c r="R364" s="270"/>
      <c r="S364" s="1072"/>
      <c r="T364" s="270"/>
      <c r="U364" s="1019"/>
      <c r="V364" s="1118"/>
      <c r="W364" s="1177"/>
      <c r="X364" s="1212"/>
      <c r="Y364" s="1208"/>
      <c r="Z364" s="492"/>
      <c r="AA364" s="493" t="s">
        <v>769</v>
      </c>
      <c r="AB364" s="1069"/>
      <c r="AC364" s="1070"/>
      <c r="AD364" s="839"/>
      <c r="AE364" s="270" t="str">
        <f>IF(Z364="","",IF(Z364&gt;AB364,Y364,IF(Z364=AB364,"",AC364)))</f>
        <v/>
      </c>
      <c r="AF364" s="270" t="str">
        <f>IF(Z364="","",IF(Z364=AB364,Y364,""))</f>
        <v/>
      </c>
      <c r="AG364" s="270" t="str">
        <f>IF(Z364="","",IF(Z364=AB364,AC364,""))</f>
        <v/>
      </c>
      <c r="AH364" s="270" t="str">
        <f>IF(Z364="","",IF(Z364&lt;AB364,Y364,IF(Z364=AB364,"",AC364)))</f>
        <v/>
      </c>
      <c r="AI364" s="270" t="str">
        <f>IF(Z364="","",IF(Z364&gt;AB364,Y360,""))</f>
        <v/>
      </c>
      <c r="AJ364" s="270" t="str">
        <f>IF(Z364="","",IF(Z364&lt;AB364,AC360,""))</f>
        <v/>
      </c>
      <c r="AK364" s="270" t="str">
        <f>CONCATENATE(AE364,AH364)</f>
        <v/>
      </c>
      <c r="AL364" s="270"/>
      <c r="AM364" s="270"/>
      <c r="AN364" s="270"/>
      <c r="AO364" s="271"/>
      <c r="AP364" s="270"/>
      <c r="AQ364" s="270"/>
      <c r="AR364" s="270"/>
      <c r="AS364" s="270"/>
      <c r="AT364" s="270"/>
      <c r="AU364" s="270"/>
      <c r="AV364" s="270"/>
      <c r="AW364" s="270"/>
      <c r="AX364" s="270"/>
      <c r="AY364" s="1072"/>
      <c r="AZ364" s="270"/>
      <c r="BA364" s="270"/>
      <c r="BB364" s="1072"/>
      <c r="BC364" s="270"/>
      <c r="BD364" s="270"/>
      <c r="BE364" s="270"/>
      <c r="BF364" s="270"/>
      <c r="BG364" s="270"/>
      <c r="BH364" s="270"/>
      <c r="BI364" s="270"/>
      <c r="BJ364" s="270"/>
      <c r="BK364" s="270"/>
      <c r="BL364" s="270"/>
      <c r="BM364" s="270"/>
      <c r="BN364" s="270"/>
      <c r="BO364" s="270"/>
      <c r="BP364" s="270"/>
      <c r="BQ364" s="270"/>
      <c r="BR364" s="270"/>
      <c r="BS364" s="270"/>
      <c r="BT364" s="270"/>
      <c r="BU364" s="270"/>
      <c r="BV364" s="270"/>
      <c r="BW364" s="270"/>
      <c r="BX364" s="270"/>
      <c r="BY364" s="270"/>
      <c r="BZ364" s="270"/>
      <c r="CA364" s="270"/>
      <c r="CB364" s="270"/>
      <c r="CC364" s="270"/>
      <c r="CD364" s="270"/>
      <c r="CE364" s="1395"/>
      <c r="CF364" s="1450"/>
      <c r="CG364" s="1450"/>
      <c r="CH364" s="270"/>
      <c r="CI364" s="270"/>
      <c r="CJ364" s="270"/>
      <c r="CK364" s="270"/>
      <c r="CL364" s="270"/>
      <c r="CM364" s="270"/>
    </row>
    <row r="365" spans="1:91" ht="13.5" hidden="1" outlineLevel="3" thickBot="1" x14ac:dyDescent="0.25">
      <c r="A365" s="270"/>
      <c r="B365" s="271"/>
      <c r="C365" s="12"/>
      <c r="D365" s="1071"/>
      <c r="E365" s="1071"/>
      <c r="F365" s="1071"/>
      <c r="G365" s="626"/>
      <c r="H365" s="271"/>
      <c r="I365" s="270"/>
      <c r="J365" s="270"/>
      <c r="K365" s="270"/>
      <c r="L365" s="270"/>
      <c r="M365" s="270"/>
      <c r="N365" s="270"/>
      <c r="O365" s="270"/>
      <c r="P365" s="1072"/>
      <c r="Q365" s="270"/>
      <c r="R365" s="270"/>
      <c r="S365" s="1072"/>
      <c r="T365" s="270"/>
      <c r="U365" s="1019"/>
      <c r="V365" s="1073"/>
      <c r="W365" s="1074"/>
      <c r="X365" s="1075" t="str">
        <f>N_Substitute</f>
        <v>Remplaçant</v>
      </c>
      <c r="Y365" s="1208"/>
      <c r="Z365" s="492"/>
      <c r="AA365" s="1076"/>
      <c r="AB365" s="1069"/>
      <c r="AC365" s="1070"/>
      <c r="AD365" s="839"/>
      <c r="AE365" s="270"/>
      <c r="AF365" s="270"/>
      <c r="AG365" s="270"/>
      <c r="AH365" s="270"/>
      <c r="AI365" s="270"/>
      <c r="AJ365" s="270"/>
      <c r="AK365" s="270"/>
      <c r="AL365" s="270"/>
      <c r="AM365" s="270"/>
      <c r="AN365" s="270"/>
      <c r="AO365" s="271"/>
      <c r="AP365" s="270"/>
      <c r="AQ365" s="270"/>
      <c r="AR365" s="270"/>
      <c r="AS365" s="270"/>
      <c r="AT365" s="270"/>
      <c r="AU365" s="270"/>
      <c r="AV365" s="270"/>
      <c r="AW365" s="270"/>
      <c r="AX365" s="270"/>
      <c r="AY365" s="1072"/>
      <c r="AZ365" s="270"/>
      <c r="BA365" s="270"/>
      <c r="BB365" s="1072"/>
      <c r="BC365" s="270"/>
      <c r="BD365" s="270"/>
      <c r="BE365" s="270"/>
      <c r="BF365" s="270"/>
      <c r="BG365" s="270"/>
      <c r="BH365" s="270"/>
      <c r="BI365" s="270"/>
      <c r="BJ365" s="270"/>
      <c r="BK365" s="270"/>
      <c r="BL365" s="270"/>
      <c r="BM365" s="270"/>
      <c r="BN365" s="270"/>
      <c r="BO365" s="270"/>
      <c r="BP365" s="270"/>
      <c r="BQ365" s="270"/>
      <c r="BR365" s="270"/>
      <c r="BS365" s="270"/>
      <c r="BT365" s="270"/>
      <c r="BU365" s="270"/>
      <c r="BV365" s="270"/>
      <c r="BW365" s="270"/>
      <c r="BX365" s="270"/>
      <c r="BY365" s="270"/>
      <c r="BZ365" s="270"/>
      <c r="CA365" s="270"/>
      <c r="CB365" s="270"/>
      <c r="CC365" s="270"/>
      <c r="CD365" s="270"/>
      <c r="CE365" s="1395"/>
      <c r="CF365" s="1450"/>
      <c r="CG365" s="1450"/>
      <c r="CH365" s="270"/>
      <c r="CI365" s="270"/>
      <c r="CJ365" s="270"/>
      <c r="CK365" s="270"/>
      <c r="CL365" s="270"/>
      <c r="CM365" s="270"/>
    </row>
    <row r="366" spans="1:91" ht="13.5" hidden="1" outlineLevel="3" thickBot="1" x14ac:dyDescent="0.25">
      <c r="A366" s="270"/>
      <c r="B366" s="271"/>
      <c r="C366" s="12"/>
      <c r="D366" s="1071"/>
      <c r="E366" s="1071"/>
      <c r="F366" s="1071"/>
      <c r="G366" s="626"/>
      <c r="H366" s="271"/>
      <c r="I366" s="270"/>
      <c r="J366" s="270"/>
      <c r="K366" s="270"/>
      <c r="L366" s="270"/>
      <c r="M366" s="270"/>
      <c r="N366" s="270"/>
      <c r="O366" s="270"/>
      <c r="P366" s="1072"/>
      <c r="Q366" s="270"/>
      <c r="R366" s="270"/>
      <c r="S366" s="1072"/>
      <c r="T366" s="270"/>
      <c r="U366" s="1019"/>
      <c r="V366" s="1188"/>
      <c r="W366" s="1189"/>
      <c r="X366" s="1089" t="str">
        <f>N_Substitute</f>
        <v>Remplaçant</v>
      </c>
      <c r="Y366" s="1213"/>
      <c r="Z366" s="496"/>
      <c r="AA366" s="1090"/>
      <c r="AB366" s="496"/>
      <c r="AC366" s="1092"/>
      <c r="AD366" s="839"/>
      <c r="AE366" s="270"/>
      <c r="AF366" s="270"/>
      <c r="AG366" s="270"/>
      <c r="AH366" s="270"/>
      <c r="AI366" s="270"/>
      <c r="AJ366" s="270"/>
      <c r="AK366" s="270"/>
      <c r="AL366" s="270"/>
      <c r="AM366" s="270"/>
      <c r="AN366" s="270"/>
      <c r="AO366" s="271"/>
      <c r="AP366" s="270"/>
      <c r="AQ366" s="270"/>
      <c r="AR366" s="270"/>
      <c r="AS366" s="270"/>
      <c r="AT366" s="270"/>
      <c r="AU366" s="270"/>
      <c r="AV366" s="270"/>
      <c r="AW366" s="270"/>
      <c r="AX366" s="270"/>
      <c r="AY366" s="1072"/>
      <c r="AZ366" s="270"/>
      <c r="BA366" s="270"/>
      <c r="BB366" s="1072"/>
      <c r="BC366" s="270"/>
      <c r="BD366" s="270"/>
      <c r="BE366" s="270"/>
      <c r="BF366" s="270"/>
      <c r="BG366" s="270"/>
      <c r="BH366" s="270"/>
      <c r="BI366" s="270"/>
      <c r="BJ366" s="270"/>
      <c r="BK366" s="270"/>
      <c r="BL366" s="270"/>
      <c r="BM366" s="270"/>
      <c r="BN366" s="270"/>
      <c r="BO366" s="270"/>
      <c r="BP366" s="270"/>
      <c r="BQ366" s="270"/>
      <c r="BR366" s="270"/>
      <c r="BS366" s="270"/>
      <c r="BT366" s="270"/>
      <c r="BU366" s="270"/>
      <c r="BV366" s="270"/>
      <c r="BW366" s="270"/>
      <c r="BX366" s="270"/>
      <c r="BY366" s="270"/>
      <c r="BZ366" s="270"/>
      <c r="CA366" s="270"/>
      <c r="CB366" s="270"/>
      <c r="CC366" s="270"/>
      <c r="CD366" s="270"/>
      <c r="CE366" s="1395"/>
      <c r="CF366" s="1450"/>
      <c r="CG366" s="1450"/>
      <c r="CH366" s="270"/>
      <c r="CI366" s="270"/>
      <c r="CJ366" s="270"/>
      <c r="CK366" s="270"/>
      <c r="CL366" s="270"/>
      <c r="CM366" s="270"/>
    </row>
    <row r="367" spans="1:91" hidden="1" outlineLevel="2" collapsed="1" x14ac:dyDescent="0.2">
      <c r="A367" s="270"/>
      <c r="B367" s="271"/>
      <c r="C367" s="12"/>
      <c r="D367" s="1071"/>
      <c r="E367" s="1071"/>
      <c r="F367" s="1071"/>
      <c r="G367" s="1172"/>
      <c r="H367" s="271"/>
      <c r="I367" s="270"/>
      <c r="J367" s="270"/>
      <c r="K367" s="270"/>
      <c r="L367" s="270"/>
      <c r="M367" s="270"/>
      <c r="N367" s="270"/>
      <c r="O367" s="270"/>
      <c r="P367" s="1072"/>
      <c r="Q367" s="270"/>
      <c r="R367" s="270"/>
      <c r="S367" s="1072"/>
      <c r="T367" s="270"/>
      <c r="U367" s="1019" t="s">
        <v>1727</v>
      </c>
      <c r="V367" s="1173"/>
      <c r="W367" s="1525"/>
      <c r="X367" s="1535"/>
      <c r="Y367" s="1214" t="str">
        <f>G338</f>
        <v>Eq1</v>
      </c>
      <c r="Z367" s="1063" t="str">
        <f>IF(OR(ISNUMBER(Z368),ISNUMBER(Z369),ISNUMBER(Z370),ISNUMBER(Z371)),4-COUNTBLANK(AI368:AI371),"")</f>
        <v/>
      </c>
      <c r="AA367" s="1064" t="s">
        <v>769</v>
      </c>
      <c r="AB367" s="1063" t="str">
        <f>IF(OR(ISNUMBER(Z368),ISNUMBER(Z369),ISNUMBER(Z370),ISNUMBER(Z371)),4-COUNTBLANK(AJ368:AJ371),"")</f>
        <v/>
      </c>
      <c r="AC367" s="1175" t="str">
        <f>G342</f>
        <v>Eq5</v>
      </c>
      <c r="AD367" s="839"/>
      <c r="AE367" s="270" t="str">
        <f>IF(Z367="","",IF(Z367&gt;AB367,Y367,IF(Z367=AB367,IF(NoDrawWithWithdraw,IF(AL367=Y367,AC367,IF(AL367=AC367,Y367,"")),""),AC367)))</f>
        <v/>
      </c>
      <c r="AF367" s="270" t="str">
        <f>IF(Z367="","",IF(Z367=AB367,IF(NoDrawWithWithdraw,IF(AL367=Y367,"",IF(AL367=AC367,"",Y367)),Y367),""))</f>
        <v/>
      </c>
      <c r="AG367" s="270" t="str">
        <f>IF(Z367="","",IF(Z367=AB367,IF(NoDrawWithWithdraw,IF(AL367=Y367,"",IF(AL367=AC367,"",AC367)),AC367),""))</f>
        <v/>
      </c>
      <c r="AH367" s="270" t="str">
        <f>IF(Z367="","",IF(Z367&lt;AB367,Y367,IF(Z367=AB367,IF(NoDrawWithWithdraw,IF(AL367=Y367,Y367,IF(AL367=AC367,AC367,"")),""),AC367)))</f>
        <v/>
      </c>
      <c r="AI367" s="270" t="str">
        <f>IF(Z367="","",SUM(Z368:Z371))</f>
        <v/>
      </c>
      <c r="AJ367" s="270" t="str">
        <f>IF(Z367="","",SUM(AB368:AB371))</f>
        <v/>
      </c>
      <c r="AK367" s="270" t="str">
        <f>CONCATENATE(AE367,AH367)</f>
        <v/>
      </c>
      <c r="AL367" s="270" t="str">
        <f>IF(COUNTIF(Y368:Y371,WithdrawLabel)&gt;COUNTIF(AC368:AC371,WithdrawLabel),Y367,IF(COUNTIF(AC368:AC371,WithdrawLabel)&gt;COUNTIF(Y368:Y371,WithdrawLabel),AC367,""))</f>
        <v/>
      </c>
      <c r="AM367" s="270"/>
      <c r="AN367" s="270"/>
      <c r="AO367" s="271"/>
      <c r="AP367" s="270"/>
      <c r="AQ367" s="270"/>
      <c r="AR367" s="270"/>
      <c r="AS367" s="270"/>
      <c r="AT367" s="270"/>
      <c r="AU367" s="270"/>
      <c r="AV367" s="270"/>
      <c r="AW367" s="270"/>
      <c r="AX367" s="270"/>
      <c r="AY367" s="1072"/>
      <c r="AZ367" s="270"/>
      <c r="BA367" s="270"/>
      <c r="BB367" s="1072"/>
      <c r="BC367" s="270"/>
      <c r="BD367" s="270"/>
      <c r="BE367" s="270"/>
      <c r="BF367" s="270"/>
      <c r="BG367" s="270"/>
      <c r="BH367" s="270"/>
      <c r="BI367" s="270"/>
      <c r="BJ367" s="270"/>
      <c r="BK367" s="270"/>
      <c r="BL367" s="270"/>
      <c r="BM367" s="270"/>
      <c r="BN367" s="270"/>
      <c r="BO367" s="270"/>
      <c r="BP367" s="270"/>
      <c r="BQ367" s="270"/>
      <c r="BR367" s="270"/>
      <c r="BS367" s="270"/>
      <c r="BT367" s="270"/>
      <c r="BU367" s="270"/>
      <c r="BV367" s="270"/>
      <c r="BW367" s="270"/>
      <c r="BX367" s="270"/>
      <c r="BY367" s="270"/>
      <c r="BZ367" s="270"/>
      <c r="CA367" s="270"/>
      <c r="CB367" s="270"/>
      <c r="CC367" s="270"/>
      <c r="CD367" s="270"/>
      <c r="CE367" s="1395"/>
      <c r="CF367" s="1450"/>
      <c r="CG367" s="1450"/>
      <c r="CH367" s="270"/>
      <c r="CI367" s="270"/>
      <c r="CJ367" s="270"/>
      <c r="CK367" s="270"/>
      <c r="CL367" s="270"/>
      <c r="CM367" s="270"/>
    </row>
    <row r="368" spans="1:91" ht="13.5" hidden="1" outlineLevel="3" thickBot="1" x14ac:dyDescent="0.25">
      <c r="A368" s="270"/>
      <c r="B368" s="271"/>
      <c r="C368" s="12"/>
      <c r="D368" s="1071"/>
      <c r="E368" s="1071"/>
      <c r="F368" s="1071"/>
      <c r="G368" s="1172"/>
      <c r="H368" s="271"/>
      <c r="I368" s="270"/>
      <c r="J368" s="270"/>
      <c r="K368" s="270"/>
      <c r="L368" s="270"/>
      <c r="M368" s="270"/>
      <c r="N368" s="270"/>
      <c r="O368" s="270"/>
      <c r="P368" s="1072"/>
      <c r="Q368" s="270"/>
      <c r="R368" s="270"/>
      <c r="S368" s="1072"/>
      <c r="T368" s="270"/>
      <c r="U368" s="1019"/>
      <c r="V368" s="1176"/>
      <c r="W368" s="1177"/>
      <c r="X368" s="1207"/>
      <c r="Y368" s="1208"/>
      <c r="Z368" s="492"/>
      <c r="AA368" s="493" t="s">
        <v>769</v>
      </c>
      <c r="AB368" s="1069"/>
      <c r="AC368" s="1070"/>
      <c r="AD368" s="839"/>
      <c r="AE368" s="270" t="str">
        <f>IF(Z368="","",IF(Z368&gt;AB368,Y368,IF(Z368=AB368,"",AC368)))</f>
        <v/>
      </c>
      <c r="AF368" s="270" t="str">
        <f>IF(Z368="","",IF(Z368=AB368,Y368,""))</f>
        <v/>
      </c>
      <c r="AG368" s="270" t="str">
        <f>IF(Z368="","",IF(Z368=AB368,AC368,""))</f>
        <v/>
      </c>
      <c r="AH368" s="270" t="str">
        <f>IF(Z368="","",IF(Z368&lt;AB368,Y368,IF(Z368=AB368,"",AC368)))</f>
        <v/>
      </c>
      <c r="AI368" s="270" t="str">
        <f>IF(Z368="","",IF(Z368&gt;AB368,Y367,""))</f>
        <v/>
      </c>
      <c r="AJ368" s="270" t="str">
        <f>IF(Z368="","",IF(Z368&lt;AB368,AC367,""))</f>
        <v/>
      </c>
      <c r="AK368" s="270" t="str">
        <f>CONCATENATE(AE368,AH368)</f>
        <v/>
      </c>
      <c r="AL368" s="270"/>
      <c r="AM368" s="270"/>
      <c r="AN368" s="270"/>
      <c r="AO368" s="271"/>
      <c r="AP368" s="270"/>
      <c r="AQ368" s="270"/>
      <c r="AR368" s="270"/>
      <c r="AS368" s="270"/>
      <c r="AT368" s="270"/>
      <c r="AU368" s="270"/>
      <c r="AV368" s="270"/>
      <c r="AW368" s="270"/>
      <c r="AX368" s="270"/>
      <c r="AY368" s="1072"/>
      <c r="AZ368" s="270"/>
      <c r="BA368" s="270"/>
      <c r="BB368" s="1072"/>
      <c r="BC368" s="270"/>
      <c r="BD368" s="270"/>
      <c r="BE368" s="270"/>
      <c r="BF368" s="270"/>
      <c r="BG368" s="270"/>
      <c r="BH368" s="270"/>
      <c r="BI368" s="270"/>
      <c r="BJ368" s="270"/>
      <c r="BK368" s="270"/>
      <c r="BL368" s="270"/>
      <c r="BM368" s="270"/>
      <c r="BN368" s="270"/>
      <c r="BO368" s="270"/>
      <c r="BP368" s="270"/>
      <c r="BQ368" s="270"/>
      <c r="BR368" s="270"/>
      <c r="BS368" s="270"/>
      <c r="BT368" s="270"/>
      <c r="BU368" s="270"/>
      <c r="BV368" s="270"/>
      <c r="BW368" s="270"/>
      <c r="BX368" s="270"/>
      <c r="BY368" s="270"/>
      <c r="BZ368" s="270"/>
      <c r="CA368" s="270"/>
      <c r="CB368" s="270"/>
      <c r="CC368" s="270"/>
      <c r="CD368" s="270"/>
      <c r="CE368" s="1395"/>
      <c r="CF368" s="1450"/>
      <c r="CG368" s="1450"/>
      <c r="CH368" s="270"/>
      <c r="CI368" s="270"/>
      <c r="CJ368" s="270"/>
      <c r="CK368" s="270"/>
      <c r="CL368" s="270"/>
      <c r="CM368" s="270"/>
    </row>
    <row r="369" spans="1:91" ht="13.5" hidden="1" outlineLevel="3" thickBot="1" x14ac:dyDescent="0.25">
      <c r="A369" s="270"/>
      <c r="B369" s="271"/>
      <c r="C369" s="12"/>
      <c r="D369" s="1071"/>
      <c r="E369" s="1071"/>
      <c r="F369" s="1071"/>
      <c r="G369" s="1172"/>
      <c r="H369" s="271"/>
      <c r="I369" s="270"/>
      <c r="J369" s="270"/>
      <c r="K369" s="270"/>
      <c r="L369" s="270"/>
      <c r="M369" s="270"/>
      <c r="N369" s="270"/>
      <c r="O369" s="270"/>
      <c r="P369" s="1072"/>
      <c r="Q369" s="270"/>
      <c r="R369" s="270"/>
      <c r="S369" s="1072"/>
      <c r="T369" s="270"/>
      <c r="U369" s="1019"/>
      <c r="V369" s="1176"/>
      <c r="W369" s="1177"/>
      <c r="X369" s="1207"/>
      <c r="Y369" s="1208"/>
      <c r="Z369" s="492"/>
      <c r="AA369" s="493" t="s">
        <v>769</v>
      </c>
      <c r="AB369" s="1069"/>
      <c r="AC369" s="1070"/>
      <c r="AD369" s="839"/>
      <c r="AE369" s="270" t="str">
        <f>IF(Z369="","",IF(Z369&gt;AB369,Y369,IF(Z369=AB369,"",AC369)))</f>
        <v/>
      </c>
      <c r="AF369" s="270" t="str">
        <f>IF(Z369="","",IF(Z369=AB369,Y369,""))</f>
        <v/>
      </c>
      <c r="AG369" s="270" t="str">
        <f>IF(Z369="","",IF(Z369=AB369,AC369,""))</f>
        <v/>
      </c>
      <c r="AH369" s="270" t="str">
        <f>IF(Z369="","",IF(Z369&lt;AB369,Y369,IF(Z369=AB369,"",AC369)))</f>
        <v/>
      </c>
      <c r="AI369" s="270" t="str">
        <f>IF(Z369="","",IF(Z369&gt;AB369,Y367,""))</f>
        <v/>
      </c>
      <c r="AJ369" s="270" t="str">
        <f>IF(Z369="","",IF(Z369&lt;AB369,AC367,""))</f>
        <v/>
      </c>
      <c r="AK369" s="270" t="str">
        <f>CONCATENATE(AE369,AH369)</f>
        <v/>
      </c>
      <c r="AL369" s="270"/>
      <c r="AM369" s="270"/>
      <c r="AN369" s="270"/>
      <c r="AO369" s="271"/>
      <c r="AP369" s="270"/>
      <c r="AQ369" s="270"/>
      <c r="AR369" s="270"/>
      <c r="AS369" s="270"/>
      <c r="AT369" s="270"/>
      <c r="AU369" s="270"/>
      <c r="AV369" s="270"/>
      <c r="AW369" s="270"/>
      <c r="AX369" s="270"/>
      <c r="AY369" s="1072"/>
      <c r="AZ369" s="270"/>
      <c r="BA369" s="270"/>
      <c r="BB369" s="1072"/>
      <c r="BC369" s="270"/>
      <c r="BD369" s="270"/>
      <c r="BE369" s="270"/>
      <c r="BF369" s="270"/>
      <c r="BG369" s="270"/>
      <c r="BH369" s="270"/>
      <c r="BI369" s="270"/>
      <c r="BJ369" s="270"/>
      <c r="BK369" s="270"/>
      <c r="BL369" s="270"/>
      <c r="BM369" s="270"/>
      <c r="BN369" s="270"/>
      <c r="BO369" s="270"/>
      <c r="BP369" s="270"/>
      <c r="BQ369" s="270"/>
      <c r="BR369" s="270"/>
      <c r="BS369" s="270"/>
      <c r="BT369" s="270"/>
      <c r="BU369" s="270"/>
      <c r="BV369" s="270"/>
      <c r="BW369" s="270"/>
      <c r="BX369" s="270"/>
      <c r="BY369" s="270"/>
      <c r="BZ369" s="270"/>
      <c r="CA369" s="270"/>
      <c r="CB369" s="270"/>
      <c r="CC369" s="270"/>
      <c r="CD369" s="270"/>
      <c r="CE369" s="1395"/>
      <c r="CF369" s="1450"/>
      <c r="CG369" s="1450"/>
      <c r="CH369" s="270"/>
      <c r="CI369" s="270"/>
      <c r="CJ369" s="270"/>
      <c r="CK369" s="270"/>
      <c r="CL369" s="270"/>
      <c r="CM369" s="270"/>
    </row>
    <row r="370" spans="1:91" ht="13.5" hidden="1" outlineLevel="3" thickBot="1" x14ac:dyDescent="0.25">
      <c r="A370" s="270"/>
      <c r="B370" s="271"/>
      <c r="C370" s="12"/>
      <c r="D370" s="1071"/>
      <c r="E370" s="1071"/>
      <c r="F370" s="1071"/>
      <c r="G370" s="1172"/>
      <c r="H370" s="271"/>
      <c r="I370" s="270"/>
      <c r="J370" s="270"/>
      <c r="K370" s="270"/>
      <c r="L370" s="270"/>
      <c r="M370" s="270"/>
      <c r="N370" s="270"/>
      <c r="O370" s="270"/>
      <c r="P370" s="1072"/>
      <c r="Q370" s="270"/>
      <c r="R370" s="270"/>
      <c r="S370" s="1072"/>
      <c r="T370" s="270"/>
      <c r="U370" s="1019"/>
      <c r="V370" s="1176"/>
      <c r="W370" s="1177"/>
      <c r="X370" s="1207"/>
      <c r="Y370" s="1208"/>
      <c r="Z370" s="492"/>
      <c r="AA370" s="493" t="s">
        <v>769</v>
      </c>
      <c r="AB370" s="1069"/>
      <c r="AC370" s="1070"/>
      <c r="AD370" s="839"/>
      <c r="AE370" s="270" t="str">
        <f>IF(Z370="","",IF(Z370&gt;AB370,Y370,IF(Z370=AB370,"",AC370)))</f>
        <v/>
      </c>
      <c r="AF370" s="270" t="str">
        <f>IF(Z370="","",IF(Z370=AB370,Y370,""))</f>
        <v/>
      </c>
      <c r="AG370" s="270" t="str">
        <f>IF(Z370="","",IF(Z370=AB370,AC370,""))</f>
        <v/>
      </c>
      <c r="AH370" s="270" t="str">
        <f>IF(Z370="","",IF(Z370&lt;AB370,Y370,IF(Z370=AB370,"",AC370)))</f>
        <v/>
      </c>
      <c r="AI370" s="270" t="str">
        <f>IF(Z370="","",IF(Z370&gt;AB370,Y367,""))</f>
        <v/>
      </c>
      <c r="AJ370" s="270" t="str">
        <f>IF(Z370="","",IF(Z370&lt;AB370,AC367,""))</f>
        <v/>
      </c>
      <c r="AK370" s="270" t="str">
        <f>CONCATENATE(AE370,AH370)</f>
        <v/>
      </c>
      <c r="AL370" s="270"/>
      <c r="AM370" s="270"/>
      <c r="AN370" s="270"/>
      <c r="AO370" s="271"/>
      <c r="AP370" s="270"/>
      <c r="AQ370" s="270"/>
      <c r="AR370" s="270"/>
      <c r="AS370" s="270"/>
      <c r="AT370" s="270"/>
      <c r="AU370" s="270"/>
      <c r="AV370" s="270"/>
      <c r="AW370" s="270"/>
      <c r="AX370" s="270"/>
      <c r="AY370" s="1072"/>
      <c r="AZ370" s="270"/>
      <c r="BA370" s="270"/>
      <c r="BB370" s="1072"/>
      <c r="BC370" s="270"/>
      <c r="BD370" s="270"/>
      <c r="BE370" s="270"/>
      <c r="BF370" s="270"/>
      <c r="BG370" s="270"/>
      <c r="BH370" s="270"/>
      <c r="BI370" s="270"/>
      <c r="BJ370" s="270"/>
      <c r="BK370" s="270"/>
      <c r="BL370" s="270"/>
      <c r="BM370" s="270"/>
      <c r="BN370" s="270"/>
      <c r="BO370" s="270"/>
      <c r="BP370" s="270"/>
      <c r="BQ370" s="270"/>
      <c r="BR370" s="270"/>
      <c r="BS370" s="270"/>
      <c r="BT370" s="270"/>
      <c r="BU370" s="270"/>
      <c r="BV370" s="270"/>
      <c r="BW370" s="270"/>
      <c r="BX370" s="270"/>
      <c r="BY370" s="270"/>
      <c r="BZ370" s="270"/>
      <c r="CA370" s="270"/>
      <c r="CB370" s="270"/>
      <c r="CC370" s="270"/>
      <c r="CD370" s="270"/>
      <c r="CE370" s="1395"/>
      <c r="CF370" s="1450"/>
      <c r="CG370" s="1450"/>
      <c r="CH370" s="270"/>
      <c r="CI370" s="270"/>
      <c r="CJ370" s="270"/>
      <c r="CK370" s="270"/>
      <c r="CL370" s="270"/>
      <c r="CM370" s="270"/>
    </row>
    <row r="371" spans="1:91" ht="13.5" hidden="1" outlineLevel="3" thickBot="1" x14ac:dyDescent="0.25">
      <c r="A371" s="270"/>
      <c r="B371" s="271"/>
      <c r="C371" s="12"/>
      <c r="D371" s="1071"/>
      <c r="E371" s="1071"/>
      <c r="F371" s="1071"/>
      <c r="G371" s="1172"/>
      <c r="H371" s="271"/>
      <c r="I371" s="270"/>
      <c r="J371" s="270"/>
      <c r="K371" s="270"/>
      <c r="L371" s="270"/>
      <c r="M371" s="270"/>
      <c r="N371" s="270"/>
      <c r="O371" s="270"/>
      <c r="P371" s="1072"/>
      <c r="Q371" s="270"/>
      <c r="R371" s="270"/>
      <c r="S371" s="1072"/>
      <c r="T371" s="270"/>
      <c r="U371" s="1019"/>
      <c r="V371" s="1176"/>
      <c r="W371" s="1177"/>
      <c r="X371" s="1207"/>
      <c r="Y371" s="1208"/>
      <c r="Z371" s="492"/>
      <c r="AA371" s="493" t="s">
        <v>769</v>
      </c>
      <c r="AB371" s="1069"/>
      <c r="AC371" s="1070"/>
      <c r="AD371" s="839"/>
      <c r="AE371" s="270" t="str">
        <f>IF(Z371="","",IF(Z371&gt;AB371,Y371,IF(Z371=AB371,"",AC371)))</f>
        <v/>
      </c>
      <c r="AF371" s="270" t="str">
        <f>IF(Z371="","",IF(Z371=AB371,Y371,""))</f>
        <v/>
      </c>
      <c r="AG371" s="270" t="str">
        <f>IF(Z371="","",IF(Z371=AB371,AC371,""))</f>
        <v/>
      </c>
      <c r="AH371" s="270" t="str">
        <f>IF(Z371="","",IF(Z371&lt;AB371,Y371,IF(Z371=AB371,"",AC371)))</f>
        <v/>
      </c>
      <c r="AI371" s="270" t="str">
        <f>IF(Z371="","",IF(Z371&gt;AB371,Y367,""))</f>
        <v/>
      </c>
      <c r="AJ371" s="270" t="str">
        <f>IF(Z371="","",IF(Z371&lt;AB371,AC367,""))</f>
        <v/>
      </c>
      <c r="AK371" s="270" t="str">
        <f>CONCATENATE(AE371,AH371)</f>
        <v/>
      </c>
      <c r="AL371" s="270"/>
      <c r="AM371" s="270"/>
      <c r="AN371" s="270"/>
      <c r="AO371" s="271"/>
      <c r="AP371" s="270"/>
      <c r="AQ371" s="270"/>
      <c r="AR371" s="270"/>
      <c r="AS371" s="270"/>
      <c r="AT371" s="270"/>
      <c r="AU371" s="270"/>
      <c r="AV371" s="270"/>
      <c r="AW371" s="270"/>
      <c r="AX371" s="270"/>
      <c r="AY371" s="1072"/>
      <c r="AZ371" s="270"/>
      <c r="BA371" s="270"/>
      <c r="BB371" s="1072"/>
      <c r="BC371" s="270"/>
      <c r="BD371" s="270"/>
      <c r="BE371" s="270"/>
      <c r="BF371" s="270"/>
      <c r="BG371" s="270"/>
      <c r="BH371" s="270"/>
      <c r="BI371" s="270"/>
      <c r="BJ371" s="270"/>
      <c r="BK371" s="270"/>
      <c r="BL371" s="270"/>
      <c r="BM371" s="270"/>
      <c r="BN371" s="270"/>
      <c r="BO371" s="270"/>
      <c r="BP371" s="270"/>
      <c r="BQ371" s="270"/>
      <c r="BR371" s="270"/>
      <c r="BS371" s="270"/>
      <c r="BT371" s="270"/>
      <c r="BU371" s="270"/>
      <c r="BV371" s="270"/>
      <c r="BW371" s="270"/>
      <c r="BX371" s="270"/>
      <c r="BY371" s="270"/>
      <c r="BZ371" s="270"/>
      <c r="CA371" s="270"/>
      <c r="CB371" s="270"/>
      <c r="CC371" s="270"/>
      <c r="CD371" s="270"/>
      <c r="CE371" s="1395"/>
      <c r="CF371" s="1450"/>
      <c r="CG371" s="1450"/>
      <c r="CH371" s="270"/>
      <c r="CI371" s="270"/>
      <c r="CJ371" s="270"/>
      <c r="CK371" s="270"/>
      <c r="CL371" s="270"/>
      <c r="CM371" s="270"/>
    </row>
    <row r="372" spans="1:91" ht="13.5" hidden="1" outlineLevel="3" thickBot="1" x14ac:dyDescent="0.25">
      <c r="A372" s="270"/>
      <c r="B372" s="271"/>
      <c r="C372" s="12"/>
      <c r="D372" s="1071"/>
      <c r="E372" s="1071"/>
      <c r="F372" s="1071"/>
      <c r="G372" s="626"/>
      <c r="H372" s="271"/>
      <c r="I372" s="270"/>
      <c r="J372" s="270"/>
      <c r="K372" s="270"/>
      <c r="L372" s="270"/>
      <c r="M372" s="270"/>
      <c r="N372" s="270"/>
      <c r="O372" s="270"/>
      <c r="P372" s="1072"/>
      <c r="Q372" s="270"/>
      <c r="R372" s="270"/>
      <c r="S372" s="1072"/>
      <c r="T372" s="270"/>
      <c r="U372" s="1019"/>
      <c r="V372" s="1073"/>
      <c r="W372" s="1074"/>
      <c r="X372" s="1075" t="str">
        <f>N_Substitute</f>
        <v>Remplaçant</v>
      </c>
      <c r="Y372" s="1208"/>
      <c r="Z372" s="492"/>
      <c r="AA372" s="1076"/>
      <c r="AB372" s="1069"/>
      <c r="AC372" s="1070"/>
      <c r="AD372" s="839"/>
      <c r="AE372" s="270"/>
      <c r="AF372" s="270"/>
      <c r="AG372" s="270"/>
      <c r="AH372" s="270"/>
      <c r="AI372" s="270"/>
      <c r="AJ372" s="270"/>
      <c r="AK372" s="270"/>
      <c r="AL372" s="270"/>
      <c r="AM372" s="270"/>
      <c r="AN372" s="270"/>
      <c r="AO372" s="271"/>
      <c r="AP372" s="270"/>
      <c r="AQ372" s="270"/>
      <c r="AR372" s="270"/>
      <c r="AS372" s="270"/>
      <c r="AT372" s="270"/>
      <c r="AU372" s="270"/>
      <c r="AV372" s="270"/>
      <c r="AW372" s="270"/>
      <c r="AX372" s="270"/>
      <c r="AY372" s="1072"/>
      <c r="AZ372" s="270"/>
      <c r="BA372" s="270"/>
      <c r="BB372" s="1072"/>
      <c r="BC372" s="270"/>
      <c r="BD372" s="270"/>
      <c r="BE372" s="270"/>
      <c r="BF372" s="270"/>
      <c r="BG372" s="270"/>
      <c r="BH372" s="270"/>
      <c r="BI372" s="270"/>
      <c r="BJ372" s="270"/>
      <c r="BK372" s="270"/>
      <c r="BL372" s="270"/>
      <c r="BM372" s="270"/>
      <c r="BN372" s="270"/>
      <c r="BO372" s="270"/>
      <c r="BP372" s="270"/>
      <c r="BQ372" s="270"/>
      <c r="BR372" s="270"/>
      <c r="BS372" s="270"/>
      <c r="BT372" s="270"/>
      <c r="BU372" s="270"/>
      <c r="BV372" s="270"/>
      <c r="BW372" s="270"/>
      <c r="BX372" s="270"/>
      <c r="BY372" s="270"/>
      <c r="BZ372" s="270"/>
      <c r="CA372" s="270"/>
      <c r="CB372" s="270"/>
      <c r="CC372" s="270"/>
      <c r="CD372" s="270"/>
      <c r="CE372" s="1395"/>
      <c r="CF372" s="1450"/>
      <c r="CG372" s="1450"/>
      <c r="CH372" s="270"/>
      <c r="CI372" s="270"/>
      <c r="CJ372" s="270"/>
      <c r="CK372" s="270"/>
      <c r="CL372" s="270"/>
      <c r="CM372" s="270"/>
    </row>
    <row r="373" spans="1:91" ht="13.5" hidden="1" outlineLevel="3" thickBot="1" x14ac:dyDescent="0.25">
      <c r="A373" s="270"/>
      <c r="B373" s="271"/>
      <c r="C373" s="12"/>
      <c r="D373" s="1071"/>
      <c r="E373" s="1071"/>
      <c r="F373" s="1071"/>
      <c r="G373" s="626"/>
      <c r="H373" s="271"/>
      <c r="I373" s="270"/>
      <c r="J373" s="270"/>
      <c r="K373" s="270"/>
      <c r="L373" s="270"/>
      <c r="M373" s="270"/>
      <c r="N373" s="270"/>
      <c r="O373" s="270"/>
      <c r="P373" s="1072"/>
      <c r="Q373" s="270"/>
      <c r="R373" s="270"/>
      <c r="S373" s="1072"/>
      <c r="T373" s="270"/>
      <c r="U373" s="1019"/>
      <c r="V373" s="1119"/>
      <c r="W373" s="1120"/>
      <c r="X373" s="1075" t="str">
        <f>N_Substitute</f>
        <v>Remplaçant</v>
      </c>
      <c r="Y373" s="1208"/>
      <c r="Z373" s="492"/>
      <c r="AA373" s="1121"/>
      <c r="AB373" s="1069"/>
      <c r="AC373" s="1070"/>
      <c r="AD373" s="839"/>
      <c r="AE373" s="270"/>
      <c r="AF373" s="270"/>
      <c r="AG373" s="270"/>
      <c r="AH373" s="270"/>
      <c r="AI373" s="270"/>
      <c r="AJ373" s="270"/>
      <c r="AK373" s="270"/>
      <c r="AL373" s="270"/>
      <c r="AM373" s="270"/>
      <c r="AN373" s="270"/>
      <c r="AO373" s="271"/>
      <c r="AP373" s="270"/>
      <c r="AQ373" s="270"/>
      <c r="AR373" s="270"/>
      <c r="AS373" s="270"/>
      <c r="AT373" s="270"/>
      <c r="AU373" s="270"/>
      <c r="AV373" s="270"/>
      <c r="AW373" s="270"/>
      <c r="AX373" s="270"/>
      <c r="AY373" s="1072"/>
      <c r="AZ373" s="270"/>
      <c r="BA373" s="270"/>
      <c r="BB373" s="1072"/>
      <c r="BC373" s="270"/>
      <c r="BD373" s="270"/>
      <c r="BE373" s="270"/>
      <c r="BF373" s="270"/>
      <c r="BG373" s="270"/>
      <c r="BH373" s="270"/>
      <c r="BI373" s="270"/>
      <c r="BJ373" s="270"/>
      <c r="BK373" s="270"/>
      <c r="BL373" s="270"/>
      <c r="BM373" s="270"/>
      <c r="BN373" s="270"/>
      <c r="BO373" s="270"/>
      <c r="BP373" s="270"/>
      <c r="BQ373" s="270"/>
      <c r="BR373" s="270"/>
      <c r="BS373" s="270"/>
      <c r="BT373" s="270"/>
      <c r="BU373" s="270"/>
      <c r="BV373" s="270"/>
      <c r="BW373" s="270"/>
      <c r="BX373" s="270"/>
      <c r="BY373" s="270"/>
      <c r="BZ373" s="270"/>
      <c r="CA373" s="270"/>
      <c r="CB373" s="270"/>
      <c r="CC373" s="270"/>
      <c r="CD373" s="270"/>
      <c r="CE373" s="1395"/>
      <c r="CF373" s="1450"/>
      <c r="CG373" s="1450"/>
      <c r="CH373" s="270"/>
      <c r="CI373" s="270"/>
      <c r="CJ373" s="270"/>
      <c r="CK373" s="270"/>
      <c r="CL373" s="270"/>
      <c r="CM373" s="270"/>
    </row>
    <row r="374" spans="1:91" hidden="1" outlineLevel="2" collapsed="1" x14ac:dyDescent="0.2">
      <c r="A374" s="270"/>
      <c r="B374" s="271"/>
      <c r="C374" s="270"/>
      <c r="D374" s="270"/>
      <c r="E374" s="270"/>
      <c r="F374" s="270"/>
      <c r="G374" s="271"/>
      <c r="H374" s="270"/>
      <c r="I374" s="270"/>
      <c r="J374" s="270"/>
      <c r="K374" s="270"/>
      <c r="L374" s="270"/>
      <c r="M374" s="270"/>
      <c r="N374" s="270"/>
      <c r="O374" s="270"/>
      <c r="P374" s="270"/>
      <c r="Q374" s="270"/>
      <c r="R374" s="270"/>
      <c r="S374" s="270"/>
      <c r="T374" s="270"/>
      <c r="U374" s="1019" t="s">
        <v>1727</v>
      </c>
      <c r="V374" s="1179"/>
      <c r="W374" s="1177"/>
      <c r="X374" s="1207"/>
      <c r="Y374" s="1210" t="str">
        <f>G339</f>
        <v>Eq2</v>
      </c>
      <c r="Z374" s="1125" t="str">
        <f>IF(OR(ISNUMBER(Z375),ISNUMBER(Z376),ISNUMBER(Z377),ISNUMBER(Z378)),4-COUNTBLANK(AI375:AI378),"")</f>
        <v/>
      </c>
      <c r="AA374" s="1124" t="s">
        <v>769</v>
      </c>
      <c r="AB374" s="1125" t="str">
        <f>IF(OR(ISNUMBER(Z375),ISNUMBER(Z376),ISNUMBER(Z377),ISNUMBER(Z378)),4-COUNTBLANK(AJ375:AJ378),"")</f>
        <v/>
      </c>
      <c r="AC374" s="1211" t="str">
        <f>G341</f>
        <v>Eq4</v>
      </c>
      <c r="AD374" s="839"/>
      <c r="AE374" s="270" t="str">
        <f>IF(Z374="","",IF(Z374&gt;AB374,Y374,IF(Z374=AB374,IF(NoDrawWithWithdraw,IF(AL374=Y374,AC374,IF(AL374=AC374,Y374,"")),""),AC374)))</f>
        <v/>
      </c>
      <c r="AF374" s="270" t="str">
        <f>IF(Z374="","",IF(Z374=AB374,IF(NoDrawWithWithdraw,IF(AL374=Y374,"",IF(AL374=AC374,"",Y374)),Y374),""))</f>
        <v/>
      </c>
      <c r="AG374" s="270" t="str">
        <f>IF(Z374="","",IF(Z374=AB374,IF(NoDrawWithWithdraw,IF(AL374=Y374,"",IF(AL374=AC374,"",AC374)),AC374),""))</f>
        <v/>
      </c>
      <c r="AH374" s="270" t="str">
        <f>IF(Z374="","",IF(Z374&lt;AB374,Y374,IF(Z374=AB374,IF(NoDrawWithWithdraw,IF(AL374=Y374,Y374,IF(AL374=AC374,AC374,"")),""),AC374)))</f>
        <v/>
      </c>
      <c r="AI374" s="270" t="str">
        <f>IF(Z374="","",SUM(Z375:Z378))</f>
        <v/>
      </c>
      <c r="AJ374" s="270" t="str">
        <f>IF(Z374="","",SUM(AB375:AB378))</f>
        <v/>
      </c>
      <c r="AK374" s="270" t="str">
        <f>CONCATENATE(AE374,AH374)</f>
        <v/>
      </c>
      <c r="AL374" s="270" t="str">
        <f>IF(COUNTIF(Y375:Y378,WithdrawLabel)&gt;COUNTIF(AC375:AC378,WithdrawLabel),Y374,IF(COUNTIF(AC375:AC378,WithdrawLabel)&gt;COUNTIF(Y375:Y378,WithdrawLabel),AC374,""))</f>
        <v/>
      </c>
      <c r="AM374" s="270"/>
      <c r="AN374" s="270"/>
      <c r="AO374" s="575"/>
      <c r="AP374" s="270"/>
      <c r="AQ374" s="270"/>
      <c r="AR374" s="270"/>
      <c r="AS374" s="270"/>
      <c r="AT374" s="270"/>
      <c r="AU374" s="270"/>
      <c r="AV374" s="270"/>
      <c r="AW374" s="270"/>
      <c r="AX374" s="270"/>
      <c r="AY374" s="270"/>
      <c r="AZ374" s="270"/>
      <c r="BA374" s="270"/>
      <c r="BB374" s="270"/>
      <c r="BC374" s="270"/>
      <c r="BD374" s="270"/>
      <c r="BE374" s="270"/>
      <c r="BF374" s="270"/>
      <c r="BG374" s="270"/>
      <c r="BH374" s="270"/>
      <c r="BI374" s="270"/>
      <c r="BJ374" s="270"/>
      <c r="BK374" s="270"/>
      <c r="BL374" s="270"/>
      <c r="BM374" s="270"/>
      <c r="BN374" s="270"/>
      <c r="BO374" s="270"/>
      <c r="BP374" s="270"/>
      <c r="BQ374" s="270"/>
      <c r="BR374" s="270"/>
      <c r="BS374" s="270"/>
      <c r="BT374" s="270"/>
      <c r="BU374" s="270"/>
      <c r="BV374" s="270"/>
      <c r="BW374" s="270"/>
      <c r="BX374" s="270"/>
      <c r="BY374" s="270"/>
      <c r="BZ374" s="270"/>
      <c r="CA374" s="270"/>
      <c r="CB374" s="270"/>
      <c r="CC374" s="270"/>
      <c r="CD374" s="270"/>
      <c r="CE374" s="1395"/>
      <c r="CF374" s="1450"/>
      <c r="CG374" s="1450"/>
      <c r="CH374" s="270"/>
      <c r="CI374" s="270"/>
      <c r="CJ374" s="270"/>
      <c r="CK374" s="270"/>
      <c r="CL374" s="270"/>
      <c r="CM374" s="270"/>
    </row>
    <row r="375" spans="1:91" ht="13.5" hidden="1" outlineLevel="3" thickBot="1" x14ac:dyDescent="0.25">
      <c r="A375" s="270"/>
      <c r="B375" s="271"/>
      <c r="C375" s="12"/>
      <c r="D375" s="1071"/>
      <c r="E375" s="1071"/>
      <c r="F375" s="1071"/>
      <c r="G375" s="1172"/>
      <c r="H375" s="271"/>
      <c r="I375" s="270"/>
      <c r="J375" s="270"/>
      <c r="K375" s="270"/>
      <c r="L375" s="270"/>
      <c r="M375" s="270"/>
      <c r="N375" s="270"/>
      <c r="O375" s="270"/>
      <c r="P375" s="1072"/>
      <c r="Q375" s="270"/>
      <c r="R375" s="270"/>
      <c r="S375" s="1072"/>
      <c r="T375" s="270"/>
      <c r="U375" s="1019"/>
      <c r="V375" s="1176"/>
      <c r="W375" s="1177"/>
      <c r="X375" s="1207"/>
      <c r="Y375" s="1208"/>
      <c r="Z375" s="492"/>
      <c r="AA375" s="493" t="s">
        <v>769</v>
      </c>
      <c r="AB375" s="1069"/>
      <c r="AC375" s="1070"/>
      <c r="AD375" s="839"/>
      <c r="AE375" s="270" t="str">
        <f>IF(Z375="","",IF(Z375&gt;AB375,Y375,IF(Z375=AB375,"",AC375)))</f>
        <v/>
      </c>
      <c r="AF375" s="270" t="str">
        <f>IF(Z375="","",IF(Z375=AB375,Y375,""))</f>
        <v/>
      </c>
      <c r="AG375" s="270" t="str">
        <f>IF(Z375="","",IF(Z375=AB375,AC375,""))</f>
        <v/>
      </c>
      <c r="AH375" s="270" t="str">
        <f>IF(Z375="","",IF(Z375&lt;AB375,Y375,IF(Z375=AB375,"",AC375)))</f>
        <v/>
      </c>
      <c r="AI375" s="270" t="str">
        <f>IF(Z375="","",IF(Z375&gt;AB375,Y374,""))</f>
        <v/>
      </c>
      <c r="AJ375" s="270" t="str">
        <f>IF(Z375="","",IF(Z375&lt;AB375,AC374,""))</f>
        <v/>
      </c>
      <c r="AK375" s="270" t="str">
        <f>CONCATENATE(AE375,AH375)</f>
        <v/>
      </c>
      <c r="AL375" s="270"/>
      <c r="AM375" s="270"/>
      <c r="AN375" s="270"/>
      <c r="AO375" s="271"/>
      <c r="AP375" s="270"/>
      <c r="AQ375" s="270"/>
      <c r="AR375" s="270"/>
      <c r="AS375" s="270"/>
      <c r="AT375" s="270"/>
      <c r="AU375" s="270"/>
      <c r="AV375" s="270"/>
      <c r="AW375" s="270"/>
      <c r="AX375" s="270"/>
      <c r="AY375" s="1072"/>
      <c r="AZ375" s="270"/>
      <c r="BA375" s="270"/>
      <c r="BB375" s="1072"/>
      <c r="BC375" s="270"/>
      <c r="BD375" s="270"/>
      <c r="BE375" s="270"/>
      <c r="BF375" s="270"/>
      <c r="BG375" s="270"/>
      <c r="BH375" s="270"/>
      <c r="BI375" s="270"/>
      <c r="BJ375" s="270"/>
      <c r="BK375" s="270"/>
      <c r="BL375" s="270"/>
      <c r="BM375" s="270"/>
      <c r="BN375" s="270"/>
      <c r="BO375" s="270"/>
      <c r="BP375" s="270"/>
      <c r="BQ375" s="270"/>
      <c r="BR375" s="270"/>
      <c r="BS375" s="270"/>
      <c r="BT375" s="270"/>
      <c r="BU375" s="270"/>
      <c r="BV375" s="270"/>
      <c r="BW375" s="270"/>
      <c r="BX375" s="270"/>
      <c r="BY375" s="270"/>
      <c r="BZ375" s="270"/>
      <c r="CA375" s="270"/>
      <c r="CB375" s="270"/>
      <c r="CC375" s="270"/>
      <c r="CD375" s="270"/>
      <c r="CE375" s="1395"/>
      <c r="CF375" s="1450"/>
      <c r="CG375" s="1450"/>
      <c r="CH375" s="270"/>
      <c r="CI375" s="270"/>
      <c r="CJ375" s="270"/>
      <c r="CK375" s="270"/>
      <c r="CL375" s="270"/>
      <c r="CM375" s="270"/>
    </row>
    <row r="376" spans="1:91" ht="13.5" hidden="1" outlineLevel="3" thickBot="1" x14ac:dyDescent="0.25">
      <c r="A376" s="270"/>
      <c r="B376" s="271"/>
      <c r="C376" s="12"/>
      <c r="D376" s="1071"/>
      <c r="E376" s="1071"/>
      <c r="F376" s="1071"/>
      <c r="G376" s="1172"/>
      <c r="H376" s="271"/>
      <c r="I376" s="270"/>
      <c r="J376" s="270"/>
      <c r="K376" s="270"/>
      <c r="L376" s="270"/>
      <c r="M376" s="270"/>
      <c r="N376" s="270"/>
      <c r="O376" s="270"/>
      <c r="P376" s="1072"/>
      <c r="Q376" s="270"/>
      <c r="R376" s="270"/>
      <c r="S376" s="1072"/>
      <c r="T376" s="270"/>
      <c r="U376" s="1019"/>
      <c r="V376" s="1176"/>
      <c r="W376" s="1177"/>
      <c r="X376" s="1207"/>
      <c r="Y376" s="1208"/>
      <c r="Z376" s="492"/>
      <c r="AA376" s="493" t="s">
        <v>769</v>
      </c>
      <c r="AB376" s="1069"/>
      <c r="AC376" s="1070"/>
      <c r="AD376" s="839"/>
      <c r="AE376" s="270" t="str">
        <f>IF(Z376="","",IF(Z376&gt;AB376,Y376,IF(Z376=AB376,"",AC376)))</f>
        <v/>
      </c>
      <c r="AF376" s="270" t="str">
        <f>IF(Z376="","",IF(Z376=AB376,Y376,""))</f>
        <v/>
      </c>
      <c r="AG376" s="270" t="str">
        <f>IF(Z376="","",IF(Z376=AB376,AC376,""))</f>
        <v/>
      </c>
      <c r="AH376" s="270" t="str">
        <f>IF(Z376="","",IF(Z376&lt;AB376,Y376,IF(Z376=AB376,"",AC376)))</f>
        <v/>
      </c>
      <c r="AI376" s="270" t="str">
        <f>IF(Z376="","",IF(Z376&gt;AB376,Y374,""))</f>
        <v/>
      </c>
      <c r="AJ376" s="270" t="str">
        <f>IF(Z376="","",IF(Z376&lt;AB376,AC374,""))</f>
        <v/>
      </c>
      <c r="AK376" s="270" t="str">
        <f>CONCATENATE(AE376,AH376)</f>
        <v/>
      </c>
      <c r="AL376" s="270"/>
      <c r="AM376" s="270"/>
      <c r="AN376" s="270"/>
      <c r="AO376" s="271"/>
      <c r="AP376" s="270"/>
      <c r="AQ376" s="270"/>
      <c r="AR376" s="270"/>
      <c r="AS376" s="270"/>
      <c r="AT376" s="270"/>
      <c r="AU376" s="270"/>
      <c r="AV376" s="270"/>
      <c r="AW376" s="270"/>
      <c r="AX376" s="270"/>
      <c r="AY376" s="1072"/>
      <c r="AZ376" s="270"/>
      <c r="BA376" s="270"/>
      <c r="BB376" s="1072"/>
      <c r="BC376" s="270"/>
      <c r="BD376" s="270"/>
      <c r="BE376" s="270"/>
      <c r="BF376" s="270"/>
      <c r="BG376" s="270"/>
      <c r="BH376" s="270"/>
      <c r="BI376" s="270"/>
      <c r="BJ376" s="270"/>
      <c r="BK376" s="270"/>
      <c r="BL376" s="270"/>
      <c r="BM376" s="270"/>
      <c r="BN376" s="270"/>
      <c r="BO376" s="270"/>
      <c r="BP376" s="270"/>
      <c r="BQ376" s="270"/>
      <c r="BR376" s="270"/>
      <c r="BS376" s="270"/>
      <c r="BT376" s="270"/>
      <c r="BU376" s="270"/>
      <c r="BV376" s="270"/>
      <c r="BW376" s="270"/>
      <c r="BX376" s="270"/>
      <c r="BY376" s="270"/>
      <c r="BZ376" s="270"/>
      <c r="CA376" s="270"/>
      <c r="CB376" s="270"/>
      <c r="CC376" s="270"/>
      <c r="CD376" s="270"/>
      <c r="CE376" s="1395"/>
      <c r="CF376" s="1450"/>
      <c r="CG376" s="1450"/>
      <c r="CH376" s="270"/>
      <c r="CI376" s="270"/>
      <c r="CJ376" s="270"/>
      <c r="CK376" s="270"/>
      <c r="CL376" s="270"/>
      <c r="CM376" s="270"/>
    </row>
    <row r="377" spans="1:91" ht="13.5" hidden="1" outlineLevel="3" thickBot="1" x14ac:dyDescent="0.25">
      <c r="A377" s="270"/>
      <c r="B377" s="271"/>
      <c r="C377" s="12"/>
      <c r="D377" s="1071"/>
      <c r="E377" s="1071"/>
      <c r="F377" s="1071"/>
      <c r="G377" s="1172"/>
      <c r="H377" s="271"/>
      <c r="I377" s="270"/>
      <c r="J377" s="270"/>
      <c r="K377" s="270"/>
      <c r="L377" s="270"/>
      <c r="M377" s="270"/>
      <c r="N377" s="270"/>
      <c r="O377" s="270"/>
      <c r="P377" s="1072"/>
      <c r="Q377" s="270"/>
      <c r="R377" s="270"/>
      <c r="S377" s="1072"/>
      <c r="T377" s="270"/>
      <c r="U377" s="1019"/>
      <c r="V377" s="1176"/>
      <c r="W377" s="1177"/>
      <c r="X377" s="1207"/>
      <c r="Y377" s="1208"/>
      <c r="Z377" s="492"/>
      <c r="AA377" s="493" t="s">
        <v>769</v>
      </c>
      <c r="AB377" s="1069"/>
      <c r="AC377" s="1070"/>
      <c r="AD377" s="839"/>
      <c r="AE377" s="270" t="str">
        <f>IF(Z377="","",IF(Z377&gt;AB377,Y377,IF(Z377=AB377,"",AC377)))</f>
        <v/>
      </c>
      <c r="AF377" s="270" t="str">
        <f>IF(Z377="","",IF(Z377=AB377,Y377,""))</f>
        <v/>
      </c>
      <c r="AG377" s="270" t="str">
        <f>IF(Z377="","",IF(Z377=AB377,AC377,""))</f>
        <v/>
      </c>
      <c r="AH377" s="270" t="str">
        <f>IF(Z377="","",IF(Z377&lt;AB377,Y377,IF(Z377=AB377,"",AC377)))</f>
        <v/>
      </c>
      <c r="AI377" s="270" t="str">
        <f>IF(Z377="","",IF(Z377&gt;AB377,Y374,""))</f>
        <v/>
      </c>
      <c r="AJ377" s="270" t="str">
        <f>IF(Z377="","",IF(Z377&lt;AB377,AC374,""))</f>
        <v/>
      </c>
      <c r="AK377" s="270" t="str">
        <f>CONCATENATE(AE377,AH377)</f>
        <v/>
      </c>
      <c r="AL377" s="270"/>
      <c r="AM377" s="270"/>
      <c r="AN377" s="270"/>
      <c r="AO377" s="271"/>
      <c r="AP377" s="270"/>
      <c r="AQ377" s="270"/>
      <c r="AR377" s="270"/>
      <c r="AS377" s="270"/>
      <c r="AT377" s="270"/>
      <c r="AU377" s="270"/>
      <c r="AV377" s="270"/>
      <c r="AW377" s="270"/>
      <c r="AX377" s="270"/>
      <c r="AY377" s="1072"/>
      <c r="AZ377" s="270"/>
      <c r="BA377" s="270"/>
      <c r="BB377" s="1072"/>
      <c r="BC377" s="270"/>
      <c r="BD377" s="270"/>
      <c r="BE377" s="270"/>
      <c r="BF377" s="270"/>
      <c r="BG377" s="270"/>
      <c r="BH377" s="270"/>
      <c r="BI377" s="270"/>
      <c r="BJ377" s="270"/>
      <c r="BK377" s="270"/>
      <c r="BL377" s="270"/>
      <c r="BM377" s="270"/>
      <c r="BN377" s="270"/>
      <c r="BO377" s="270"/>
      <c r="BP377" s="270"/>
      <c r="BQ377" s="270"/>
      <c r="BR377" s="270"/>
      <c r="BS377" s="270"/>
      <c r="BT377" s="270"/>
      <c r="BU377" s="270"/>
      <c r="BV377" s="270"/>
      <c r="BW377" s="270"/>
      <c r="BX377" s="270"/>
      <c r="BY377" s="270"/>
      <c r="BZ377" s="270"/>
      <c r="CA377" s="270"/>
      <c r="CB377" s="270"/>
      <c r="CC377" s="270"/>
      <c r="CD377" s="270"/>
      <c r="CE377" s="1395"/>
      <c r="CF377" s="1450"/>
      <c r="CG377" s="1450"/>
      <c r="CH377" s="270"/>
      <c r="CI377" s="270"/>
      <c r="CJ377" s="270"/>
      <c r="CK377" s="270"/>
      <c r="CL377" s="270"/>
      <c r="CM377" s="270"/>
    </row>
    <row r="378" spans="1:91" ht="13.5" hidden="1" outlineLevel="3" thickBot="1" x14ac:dyDescent="0.25">
      <c r="A378" s="270"/>
      <c r="B378" s="271"/>
      <c r="C378" s="12"/>
      <c r="D378" s="1071"/>
      <c r="E378" s="1071"/>
      <c r="F378" s="1071"/>
      <c r="G378" s="1172"/>
      <c r="H378" s="271"/>
      <c r="I378" s="270"/>
      <c r="J378" s="270"/>
      <c r="K378" s="270"/>
      <c r="L378" s="270"/>
      <c r="M378" s="270"/>
      <c r="N378" s="270"/>
      <c r="O378" s="270"/>
      <c r="P378" s="1072"/>
      <c r="Q378" s="270"/>
      <c r="R378" s="270"/>
      <c r="S378" s="1072"/>
      <c r="T378" s="270"/>
      <c r="U378" s="1019"/>
      <c r="V378" s="1176"/>
      <c r="W378" s="1177"/>
      <c r="X378" s="1207"/>
      <c r="Y378" s="1208"/>
      <c r="Z378" s="492"/>
      <c r="AA378" s="493" t="s">
        <v>769</v>
      </c>
      <c r="AB378" s="1069"/>
      <c r="AC378" s="1070"/>
      <c r="AD378" s="839"/>
      <c r="AE378" s="270" t="str">
        <f>IF(Z378="","",IF(Z378&gt;AB378,Y378,IF(Z378=AB378,"",AC378)))</f>
        <v/>
      </c>
      <c r="AF378" s="270" t="str">
        <f>IF(Z378="","",IF(Z378=AB378,Y378,""))</f>
        <v/>
      </c>
      <c r="AG378" s="270" t="str">
        <f>IF(Z378="","",IF(Z378=AB378,AC378,""))</f>
        <v/>
      </c>
      <c r="AH378" s="270" t="str">
        <f>IF(Z378="","",IF(Z378&lt;AB378,Y378,IF(Z378=AB378,"",AC378)))</f>
        <v/>
      </c>
      <c r="AI378" s="270" t="str">
        <f>IF(Z378="","",IF(Z378&gt;AB378,Y374,""))</f>
        <v/>
      </c>
      <c r="AJ378" s="270" t="str">
        <f>IF(Z378="","",IF(Z378&lt;AB378,AC374,""))</f>
        <v/>
      </c>
      <c r="AK378" s="270" t="str">
        <f>CONCATENATE(AE378,AH378)</f>
        <v/>
      </c>
      <c r="AL378" s="270"/>
      <c r="AM378" s="270"/>
      <c r="AN378" s="270"/>
      <c r="AO378" s="271"/>
      <c r="AP378" s="270"/>
      <c r="AQ378" s="270"/>
      <c r="AR378" s="270"/>
      <c r="AS378" s="270"/>
      <c r="AT378" s="270"/>
      <c r="AU378" s="270"/>
      <c r="AV378" s="270"/>
      <c r="AW378" s="270"/>
      <c r="AX378" s="270"/>
      <c r="AY378" s="1072"/>
      <c r="AZ378" s="270"/>
      <c r="BA378" s="270"/>
      <c r="BB378" s="1072"/>
      <c r="BC378" s="270"/>
      <c r="BD378" s="270"/>
      <c r="BE378" s="270"/>
      <c r="BF378" s="270"/>
      <c r="BG378" s="270"/>
      <c r="BH378" s="270"/>
      <c r="BI378" s="270"/>
      <c r="BJ378" s="270"/>
      <c r="BK378" s="270"/>
      <c r="BL378" s="270"/>
      <c r="BM378" s="270"/>
      <c r="BN378" s="270"/>
      <c r="BO378" s="270"/>
      <c r="BP378" s="270"/>
      <c r="BQ378" s="270"/>
      <c r="BR378" s="270"/>
      <c r="BS378" s="270"/>
      <c r="BT378" s="270"/>
      <c r="BU378" s="270"/>
      <c r="BV378" s="270"/>
      <c r="BW378" s="270"/>
      <c r="BX378" s="270"/>
      <c r="BY378" s="270"/>
      <c r="BZ378" s="270"/>
      <c r="CA378" s="270"/>
      <c r="CB378" s="270"/>
      <c r="CC378" s="270"/>
      <c r="CD378" s="270"/>
      <c r="CE378" s="1395"/>
      <c r="CF378" s="1450"/>
      <c r="CG378" s="1450"/>
      <c r="CH378" s="270"/>
      <c r="CI378" s="270"/>
      <c r="CJ378" s="270"/>
      <c r="CK378" s="270"/>
      <c r="CL378" s="270"/>
      <c r="CM378" s="270"/>
    </row>
    <row r="379" spans="1:91" ht="13.5" hidden="1" outlineLevel="3" thickBot="1" x14ac:dyDescent="0.25">
      <c r="A379" s="270"/>
      <c r="B379" s="271"/>
      <c r="C379" s="12"/>
      <c r="D379" s="1071"/>
      <c r="E379" s="1071"/>
      <c r="F379" s="1071"/>
      <c r="G379" s="626"/>
      <c r="H379" s="271"/>
      <c r="I379" s="270"/>
      <c r="J379" s="270"/>
      <c r="K379" s="270"/>
      <c r="L379" s="270"/>
      <c r="M379" s="270"/>
      <c r="N379" s="270"/>
      <c r="O379" s="270"/>
      <c r="P379" s="1072"/>
      <c r="Q379" s="270"/>
      <c r="R379" s="270"/>
      <c r="S379" s="1072"/>
      <c r="T379" s="270"/>
      <c r="U379" s="1019"/>
      <c r="V379" s="1073"/>
      <c r="W379" s="1074"/>
      <c r="X379" s="1075" t="str">
        <f>N_Substitute</f>
        <v>Remplaçant</v>
      </c>
      <c r="Y379" s="1208"/>
      <c r="Z379" s="492"/>
      <c r="AA379" s="1076"/>
      <c r="AB379" s="1069"/>
      <c r="AC379" s="1070"/>
      <c r="AD379" s="839"/>
      <c r="AE379" s="270"/>
      <c r="AF379" s="270"/>
      <c r="AG379" s="270"/>
      <c r="AH379" s="270"/>
      <c r="AI379" s="270"/>
      <c r="AJ379" s="270"/>
      <c r="AK379" s="270"/>
      <c r="AL379" s="270"/>
      <c r="AM379" s="270"/>
      <c r="AN379" s="270"/>
      <c r="AO379" s="271"/>
      <c r="AP379" s="270"/>
      <c r="AQ379" s="270"/>
      <c r="AR379" s="270"/>
      <c r="AS379" s="270"/>
      <c r="AT379" s="270"/>
      <c r="AU379" s="270"/>
      <c r="AV379" s="270"/>
      <c r="AW379" s="270"/>
      <c r="AX379" s="270"/>
      <c r="AY379" s="1072"/>
      <c r="AZ379" s="270"/>
      <c r="BA379" s="270"/>
      <c r="BB379" s="1072"/>
      <c r="BC379" s="270"/>
      <c r="BD379" s="270"/>
      <c r="BE379" s="270"/>
      <c r="BF379" s="270"/>
      <c r="BG379" s="270"/>
      <c r="BH379" s="270"/>
      <c r="BI379" s="270"/>
      <c r="BJ379" s="270"/>
      <c r="BK379" s="270"/>
      <c r="BL379" s="270"/>
      <c r="BM379" s="270"/>
      <c r="BN379" s="270"/>
      <c r="BO379" s="270"/>
      <c r="BP379" s="270"/>
      <c r="BQ379" s="270"/>
      <c r="BR379" s="270"/>
      <c r="BS379" s="270"/>
      <c r="BT379" s="270"/>
      <c r="BU379" s="270"/>
      <c r="BV379" s="270"/>
      <c r="BW379" s="270"/>
      <c r="BX379" s="270"/>
      <c r="BY379" s="270"/>
      <c r="BZ379" s="270"/>
      <c r="CA379" s="270"/>
      <c r="CB379" s="270"/>
      <c r="CC379" s="270"/>
      <c r="CD379" s="270"/>
      <c r="CE379" s="1395"/>
      <c r="CF379" s="1450"/>
      <c r="CG379" s="1450"/>
      <c r="CH379" s="270"/>
      <c r="CI379" s="270"/>
      <c r="CJ379" s="270"/>
      <c r="CK379" s="270"/>
      <c r="CL379" s="270"/>
      <c r="CM379" s="270"/>
    </row>
    <row r="380" spans="1:91" ht="13.5" hidden="1" outlineLevel="3" thickBot="1" x14ac:dyDescent="0.25">
      <c r="A380" s="270"/>
      <c r="B380" s="271"/>
      <c r="C380" s="12"/>
      <c r="D380" s="1071"/>
      <c r="E380" s="1071"/>
      <c r="F380" s="1071"/>
      <c r="G380" s="626"/>
      <c r="H380" s="271"/>
      <c r="I380" s="270"/>
      <c r="J380" s="270"/>
      <c r="K380" s="270"/>
      <c r="L380" s="270"/>
      <c r="M380" s="270"/>
      <c r="N380" s="270"/>
      <c r="O380" s="270"/>
      <c r="P380" s="1072"/>
      <c r="Q380" s="270"/>
      <c r="R380" s="270"/>
      <c r="S380" s="1072"/>
      <c r="T380" s="270"/>
      <c r="U380" s="1019"/>
      <c r="V380" s="1119"/>
      <c r="W380" s="1120"/>
      <c r="X380" s="1075" t="str">
        <f>N_Substitute</f>
        <v>Remplaçant</v>
      </c>
      <c r="Y380" s="1208"/>
      <c r="Z380" s="492"/>
      <c r="AA380" s="1121"/>
      <c r="AB380" s="1069"/>
      <c r="AC380" s="1070"/>
      <c r="AD380" s="839"/>
      <c r="AE380" s="270"/>
      <c r="AF380" s="270"/>
      <c r="AG380" s="270"/>
      <c r="AH380" s="270"/>
      <c r="AI380" s="270"/>
      <c r="AJ380" s="270"/>
      <c r="AK380" s="270"/>
      <c r="AL380" s="270"/>
      <c r="AM380" s="270"/>
      <c r="AN380" s="270"/>
      <c r="AO380" s="271"/>
      <c r="AP380" s="270"/>
      <c r="AQ380" s="270"/>
      <c r="AR380" s="270"/>
      <c r="AS380" s="270"/>
      <c r="AT380" s="270"/>
      <c r="AU380" s="270"/>
      <c r="AV380" s="270"/>
      <c r="AW380" s="270"/>
      <c r="AX380" s="270"/>
      <c r="AY380" s="1072"/>
      <c r="AZ380" s="270"/>
      <c r="BA380" s="270"/>
      <c r="BB380" s="1072"/>
      <c r="BC380" s="270"/>
      <c r="BD380" s="270"/>
      <c r="BE380" s="270"/>
      <c r="BF380" s="270"/>
      <c r="BG380" s="270"/>
      <c r="BH380" s="270"/>
      <c r="BI380" s="270"/>
      <c r="BJ380" s="270"/>
      <c r="BK380" s="270"/>
      <c r="BL380" s="270"/>
      <c r="BM380" s="270"/>
      <c r="BN380" s="270"/>
      <c r="BO380" s="270"/>
      <c r="BP380" s="270"/>
      <c r="BQ380" s="270"/>
      <c r="BR380" s="270"/>
      <c r="BS380" s="270"/>
      <c r="BT380" s="270"/>
      <c r="BU380" s="270"/>
      <c r="BV380" s="270"/>
      <c r="BW380" s="270"/>
      <c r="BX380" s="270"/>
      <c r="BY380" s="270"/>
      <c r="BZ380" s="270"/>
      <c r="CA380" s="270"/>
      <c r="CB380" s="270"/>
      <c r="CC380" s="270"/>
      <c r="CD380" s="270"/>
      <c r="CE380" s="1395"/>
      <c r="CF380" s="1450"/>
      <c r="CG380" s="1450"/>
      <c r="CH380" s="270"/>
      <c r="CI380" s="270"/>
      <c r="CJ380" s="270"/>
      <c r="CK380" s="270"/>
      <c r="CL380" s="270"/>
      <c r="CM380" s="270"/>
    </row>
    <row r="381" spans="1:91" ht="13.5" hidden="1" outlineLevel="2" collapsed="1" thickBot="1" x14ac:dyDescent="0.25">
      <c r="A381" s="270"/>
      <c r="B381" s="271"/>
      <c r="C381" s="270"/>
      <c r="D381" s="270"/>
      <c r="E381" s="270"/>
      <c r="F381" s="270"/>
      <c r="G381" s="271"/>
      <c r="H381" s="270"/>
      <c r="I381" s="270"/>
      <c r="J381" s="270"/>
      <c r="K381" s="270"/>
      <c r="L381" s="270"/>
      <c r="M381" s="270"/>
      <c r="N381" s="270"/>
      <c r="O381" s="270"/>
      <c r="P381" s="270"/>
      <c r="Q381" s="270"/>
      <c r="R381" s="270"/>
      <c r="S381" s="270"/>
      <c r="T381" s="270"/>
      <c r="U381" s="1019" t="s">
        <v>1727</v>
      </c>
      <c r="V381" s="1187"/>
      <c r="W381" s="1195"/>
      <c r="X381" s="1534"/>
      <c r="Y381" s="1210" t="str">
        <f>G343</f>
        <v>Eq6</v>
      </c>
      <c r="Z381" s="1103" t="str">
        <f>IF(OR(ISNUMBER(Z382),ISNUMBER(Z383),ISNUMBER(Z384),ISNUMBER(Z385)),4-COUNTBLANK(AI382:AI385),"")</f>
        <v/>
      </c>
      <c r="AA381" s="1104" t="s">
        <v>769</v>
      </c>
      <c r="AB381" s="1103" t="str">
        <f>IF(OR(ISNUMBER(Z382),ISNUMBER(Z383),ISNUMBER(Z384),ISNUMBER(Z385)),4-COUNTBLANK(AJ382:AJ385),"")</f>
        <v/>
      </c>
      <c r="AC381" s="1181" t="str">
        <f>G344</f>
        <v>Eq7</v>
      </c>
      <c r="AD381" s="839"/>
      <c r="AE381" s="270" t="str">
        <f>IF(Z381="","",IF(Z381&gt;AB381,Y381,IF(Z381=AB381,IF(NoDrawWithWithdraw,IF(AL381=Y381,AC381,IF(AL381=AC381,Y381,"")),""),AC381)))</f>
        <v/>
      </c>
      <c r="AF381" s="270" t="str">
        <f>IF(Z381="","",IF(Z381=AB381,IF(NoDrawWithWithdraw,IF(AL381=Y381,"",IF(AL381=AC381,"",Y381)),Y381),""))</f>
        <v/>
      </c>
      <c r="AG381" s="270" t="str">
        <f>IF(Z381="","",IF(Z381=AB381,IF(NoDrawWithWithdraw,IF(AL381=Y381,"",IF(AL381=AC381,"",AC381)),AC381),""))</f>
        <v/>
      </c>
      <c r="AH381" s="270" t="str">
        <f>IF(Z381="","",IF(Z381&lt;AB381,Y381,IF(Z381=AB381,IF(NoDrawWithWithdraw,IF(AL381=Y381,Y381,IF(AL381=AC381,AC381,"")),""),AC381)))</f>
        <v/>
      </c>
      <c r="AI381" s="270" t="str">
        <f>IF(Z381="","",SUM(Z382:Z385))</f>
        <v/>
      </c>
      <c r="AJ381" s="270" t="str">
        <f>IF(Z381="","",SUM(AB382:AB385))</f>
        <v/>
      </c>
      <c r="AK381" s="270" t="str">
        <f>CONCATENATE(AE381,AH381)</f>
        <v/>
      </c>
      <c r="AL381" s="270" t="str">
        <f>IF(COUNTIF(Y382:Y385,WithdrawLabel)&gt;COUNTIF(AC382:AC385,WithdrawLabel),Y381,IF(COUNTIF(AC382:AC385,WithdrawLabel)&gt;COUNTIF(Y382:Y385,WithdrawLabel),AC381,""))</f>
        <v/>
      </c>
      <c r="AM381" s="270"/>
      <c r="AN381" s="270"/>
      <c r="AO381" s="575"/>
      <c r="AP381" s="270"/>
      <c r="AQ381" s="270"/>
      <c r="AR381" s="270"/>
      <c r="AS381" s="270"/>
      <c r="AT381" s="270"/>
      <c r="AU381" s="270"/>
      <c r="AV381" s="270"/>
      <c r="AW381" s="270"/>
      <c r="AX381" s="270"/>
      <c r="AY381" s="270"/>
      <c r="AZ381" s="270"/>
      <c r="BA381" s="270"/>
      <c r="BB381" s="270"/>
      <c r="BC381" s="270"/>
      <c r="BD381" s="270"/>
      <c r="BE381" s="270"/>
      <c r="BF381" s="270"/>
      <c r="BG381" s="270"/>
      <c r="BH381" s="270"/>
      <c r="BI381" s="270"/>
      <c r="BJ381" s="270"/>
      <c r="BK381" s="270"/>
      <c r="BL381" s="270"/>
      <c r="BM381" s="270"/>
      <c r="BN381" s="270"/>
      <c r="BO381" s="270"/>
      <c r="BP381" s="270"/>
      <c r="BQ381" s="270"/>
      <c r="BR381" s="270"/>
      <c r="BS381" s="270"/>
      <c r="BT381" s="270"/>
      <c r="BU381" s="270"/>
      <c r="BV381" s="270"/>
      <c r="BW381" s="270"/>
      <c r="BX381" s="270"/>
      <c r="BY381" s="270"/>
      <c r="BZ381" s="270"/>
      <c r="CA381" s="270"/>
      <c r="CB381" s="270"/>
      <c r="CC381" s="270"/>
      <c r="CD381" s="270"/>
      <c r="CE381" s="1395"/>
      <c r="CF381" s="1450"/>
      <c r="CG381" s="1450"/>
      <c r="CH381" s="270"/>
      <c r="CI381" s="270"/>
      <c r="CJ381" s="270"/>
      <c r="CK381" s="270"/>
      <c r="CL381" s="270"/>
      <c r="CM381" s="270"/>
    </row>
    <row r="382" spans="1:91" ht="13.5" hidden="1" outlineLevel="3" thickBot="1" x14ac:dyDescent="0.25">
      <c r="A382" s="270"/>
      <c r="B382" s="271"/>
      <c r="C382" s="12"/>
      <c r="D382" s="1071"/>
      <c r="E382" s="1071"/>
      <c r="F382" s="1071"/>
      <c r="G382" s="1172"/>
      <c r="H382" s="271"/>
      <c r="I382" s="270"/>
      <c r="J382" s="270"/>
      <c r="K382" s="270"/>
      <c r="L382" s="270"/>
      <c r="M382" s="270"/>
      <c r="N382" s="270"/>
      <c r="O382" s="270"/>
      <c r="P382" s="1072"/>
      <c r="Q382" s="270"/>
      <c r="R382" s="270"/>
      <c r="S382" s="1072"/>
      <c r="T382" s="270"/>
      <c r="U382" s="1019"/>
      <c r="V382" s="1118"/>
      <c r="W382" s="1177"/>
      <c r="X382" s="1212"/>
      <c r="Y382" s="1208"/>
      <c r="Z382" s="492"/>
      <c r="AA382" s="493" t="s">
        <v>769</v>
      </c>
      <c r="AB382" s="1069"/>
      <c r="AC382" s="1070"/>
      <c r="AD382" s="839"/>
      <c r="AE382" s="270" t="str">
        <f>IF(Z382="","",IF(Z382&gt;AB382,Y382,IF(Z382=AB382,"",AC382)))</f>
        <v/>
      </c>
      <c r="AF382" s="270" t="str">
        <f>IF(Z382="","",IF(Z382=AB382,Y382,""))</f>
        <v/>
      </c>
      <c r="AG382" s="270" t="str">
        <f>IF(Z382="","",IF(Z382=AB382,AC382,""))</f>
        <v/>
      </c>
      <c r="AH382" s="270" t="str">
        <f>IF(Z382="","",IF(Z382&lt;AB382,Y382,IF(Z382=AB382,"",AC382)))</f>
        <v/>
      </c>
      <c r="AI382" s="270" t="str">
        <f>IF(Z382="","",IF(Z382&gt;AB382,Y381,""))</f>
        <v/>
      </c>
      <c r="AJ382" s="270" t="str">
        <f>IF(Z382="","",IF(Z382&lt;AB382,AC381,""))</f>
        <v/>
      </c>
      <c r="AK382" s="270" t="str">
        <f>CONCATENATE(AE382,AH382)</f>
        <v/>
      </c>
      <c r="AL382" s="270"/>
      <c r="AM382" s="270"/>
      <c r="AN382" s="270"/>
      <c r="AO382" s="271"/>
      <c r="AP382" s="270"/>
      <c r="AQ382" s="270"/>
      <c r="AR382" s="270"/>
      <c r="AS382" s="270"/>
      <c r="AT382" s="270"/>
      <c r="AU382" s="270"/>
      <c r="AV382" s="270"/>
      <c r="AW382" s="270"/>
      <c r="AX382" s="270"/>
      <c r="AY382" s="1072"/>
      <c r="AZ382" s="270"/>
      <c r="BA382" s="270"/>
      <c r="BB382" s="1072"/>
      <c r="BC382" s="270"/>
      <c r="BD382" s="270"/>
      <c r="BE382" s="270"/>
      <c r="BF382" s="270"/>
      <c r="BG382" s="270"/>
      <c r="BH382" s="270"/>
      <c r="BI382" s="270"/>
      <c r="BJ382" s="270"/>
      <c r="BK382" s="270"/>
      <c r="BL382" s="270"/>
      <c r="BM382" s="270"/>
      <c r="BN382" s="270"/>
      <c r="BO382" s="270"/>
      <c r="BP382" s="270"/>
      <c r="BQ382" s="270"/>
      <c r="BR382" s="270"/>
      <c r="BS382" s="270"/>
      <c r="BT382" s="270"/>
      <c r="BU382" s="270"/>
      <c r="BV382" s="270"/>
      <c r="BW382" s="270"/>
      <c r="BX382" s="270"/>
      <c r="BY382" s="270"/>
      <c r="BZ382" s="270"/>
      <c r="CA382" s="270"/>
      <c r="CB382" s="270"/>
      <c r="CC382" s="270"/>
      <c r="CD382" s="270"/>
      <c r="CE382" s="1395"/>
      <c r="CF382" s="1450"/>
      <c r="CG382" s="1450"/>
      <c r="CH382" s="270"/>
      <c r="CI382" s="270"/>
      <c r="CJ382" s="270"/>
      <c r="CK382" s="270"/>
      <c r="CL382" s="270"/>
      <c r="CM382" s="270"/>
    </row>
    <row r="383" spans="1:91" ht="13.5" hidden="1" outlineLevel="3" thickBot="1" x14ac:dyDescent="0.25">
      <c r="A383" s="270"/>
      <c r="B383" s="271"/>
      <c r="C383" s="12"/>
      <c r="D383" s="1071"/>
      <c r="E383" s="1071"/>
      <c r="F383" s="1071"/>
      <c r="G383" s="1172"/>
      <c r="H383" s="271"/>
      <c r="I383" s="270"/>
      <c r="J383" s="270"/>
      <c r="K383" s="270"/>
      <c r="L383" s="270"/>
      <c r="M383" s="270"/>
      <c r="N383" s="270"/>
      <c r="O383" s="270"/>
      <c r="P383" s="1072"/>
      <c r="Q383" s="270"/>
      <c r="R383" s="270"/>
      <c r="S383" s="1072"/>
      <c r="T383" s="270"/>
      <c r="U383" s="1019"/>
      <c r="V383" s="1118"/>
      <c r="W383" s="1177"/>
      <c r="X383" s="1212"/>
      <c r="Y383" s="1208"/>
      <c r="Z383" s="492"/>
      <c r="AA383" s="493" t="s">
        <v>769</v>
      </c>
      <c r="AB383" s="1069"/>
      <c r="AC383" s="1070"/>
      <c r="AD383" s="839"/>
      <c r="AE383" s="270" t="str">
        <f>IF(Z383="","",IF(Z383&gt;AB383,Y383,IF(Z383=AB383,"",AC383)))</f>
        <v/>
      </c>
      <c r="AF383" s="270" t="str">
        <f>IF(Z383="","",IF(Z383=AB383,Y383,""))</f>
        <v/>
      </c>
      <c r="AG383" s="270" t="str">
        <f>IF(Z383="","",IF(Z383=AB383,AC383,""))</f>
        <v/>
      </c>
      <c r="AH383" s="270" t="str">
        <f>IF(Z383="","",IF(Z383&lt;AB383,Y383,IF(Z383=AB383,"",AC383)))</f>
        <v/>
      </c>
      <c r="AI383" s="270" t="str">
        <f>IF(Z383="","",IF(Z383&gt;AB383,Y381,""))</f>
        <v/>
      </c>
      <c r="AJ383" s="270" t="str">
        <f>IF(Z383="","",IF(Z383&lt;AB383,AC381,""))</f>
        <v/>
      </c>
      <c r="AK383" s="270" t="str">
        <f>CONCATENATE(AE383,AH383)</f>
        <v/>
      </c>
      <c r="AL383" s="270"/>
      <c r="AM383" s="270"/>
      <c r="AN383" s="270"/>
      <c r="AO383" s="271"/>
      <c r="AP383" s="270"/>
      <c r="AQ383" s="270"/>
      <c r="AR383" s="270"/>
      <c r="AS383" s="270"/>
      <c r="AT383" s="270"/>
      <c r="AU383" s="270"/>
      <c r="AV383" s="270"/>
      <c r="AW383" s="270"/>
      <c r="AX383" s="270"/>
      <c r="AY383" s="1072"/>
      <c r="AZ383" s="270"/>
      <c r="BA383" s="270"/>
      <c r="BB383" s="1072"/>
      <c r="BC383" s="270"/>
      <c r="BD383" s="270"/>
      <c r="BE383" s="270"/>
      <c r="BF383" s="270"/>
      <c r="BG383" s="270"/>
      <c r="BH383" s="270"/>
      <c r="BI383" s="270"/>
      <c r="BJ383" s="270"/>
      <c r="BK383" s="270"/>
      <c r="BL383" s="270"/>
      <c r="BM383" s="270"/>
      <c r="BN383" s="270"/>
      <c r="BO383" s="270"/>
      <c r="BP383" s="270"/>
      <c r="BQ383" s="270"/>
      <c r="BR383" s="270"/>
      <c r="BS383" s="270"/>
      <c r="BT383" s="270"/>
      <c r="BU383" s="270"/>
      <c r="BV383" s="270"/>
      <c r="BW383" s="270"/>
      <c r="BX383" s="270"/>
      <c r="BY383" s="270"/>
      <c r="BZ383" s="270"/>
      <c r="CA383" s="270"/>
      <c r="CB383" s="270"/>
      <c r="CC383" s="270"/>
      <c r="CD383" s="270"/>
      <c r="CE383" s="1395"/>
      <c r="CF383" s="1450"/>
      <c r="CG383" s="1450"/>
      <c r="CH383" s="270"/>
      <c r="CI383" s="270"/>
      <c r="CJ383" s="270"/>
      <c r="CK383" s="270"/>
      <c r="CL383" s="270"/>
      <c r="CM383" s="270"/>
    </row>
    <row r="384" spans="1:91" ht="13.5" hidden="1" outlineLevel="3" thickBot="1" x14ac:dyDescent="0.25">
      <c r="A384" s="270"/>
      <c r="B384" s="271"/>
      <c r="C384" s="12"/>
      <c r="D384" s="1071"/>
      <c r="E384" s="1071"/>
      <c r="F384" s="1071"/>
      <c r="G384" s="1172"/>
      <c r="H384" s="271"/>
      <c r="I384" s="270"/>
      <c r="J384" s="270"/>
      <c r="K384" s="270"/>
      <c r="L384" s="270"/>
      <c r="M384" s="270"/>
      <c r="N384" s="270"/>
      <c r="O384" s="270"/>
      <c r="P384" s="1072"/>
      <c r="Q384" s="270"/>
      <c r="R384" s="270"/>
      <c r="S384" s="1072"/>
      <c r="T384" s="270"/>
      <c r="U384" s="1019"/>
      <c r="V384" s="1118"/>
      <c r="W384" s="1177"/>
      <c r="X384" s="1212"/>
      <c r="Y384" s="1208"/>
      <c r="Z384" s="492"/>
      <c r="AA384" s="493" t="s">
        <v>769</v>
      </c>
      <c r="AB384" s="1069"/>
      <c r="AC384" s="1070"/>
      <c r="AD384" s="839"/>
      <c r="AE384" s="270" t="str">
        <f>IF(Z384="","",IF(Z384&gt;AB384,Y384,IF(Z384=AB384,"",AC384)))</f>
        <v/>
      </c>
      <c r="AF384" s="270" t="str">
        <f>IF(Z384="","",IF(Z384=AB384,Y384,""))</f>
        <v/>
      </c>
      <c r="AG384" s="270" t="str">
        <f>IF(Z384="","",IF(Z384=AB384,AC384,""))</f>
        <v/>
      </c>
      <c r="AH384" s="270" t="str">
        <f>IF(Z384="","",IF(Z384&lt;AB384,Y384,IF(Z384=AB384,"",AC384)))</f>
        <v/>
      </c>
      <c r="AI384" s="270" t="str">
        <f>IF(Z384="","",IF(Z384&gt;AB384,Y381,""))</f>
        <v/>
      </c>
      <c r="AJ384" s="270" t="str">
        <f>IF(Z384="","",IF(Z384&lt;AB384,AC381,""))</f>
        <v/>
      </c>
      <c r="AK384" s="270" t="str">
        <f>CONCATENATE(AE384,AH384)</f>
        <v/>
      </c>
      <c r="AL384" s="270"/>
      <c r="AM384" s="270"/>
      <c r="AN384" s="270"/>
      <c r="AO384" s="271"/>
      <c r="AP384" s="270"/>
      <c r="AQ384" s="270"/>
      <c r="AR384" s="270"/>
      <c r="AS384" s="270"/>
      <c r="AT384" s="270"/>
      <c r="AU384" s="270"/>
      <c r="AV384" s="270"/>
      <c r="AW384" s="270"/>
      <c r="AX384" s="270"/>
      <c r="AY384" s="1072"/>
      <c r="AZ384" s="270"/>
      <c r="BA384" s="270"/>
      <c r="BB384" s="1072"/>
      <c r="BC384" s="270"/>
      <c r="BD384" s="270"/>
      <c r="BE384" s="270"/>
      <c r="BF384" s="270"/>
      <c r="BG384" s="270"/>
      <c r="BH384" s="270"/>
      <c r="BI384" s="270"/>
      <c r="BJ384" s="270"/>
      <c r="BK384" s="270"/>
      <c r="BL384" s="270"/>
      <c r="BM384" s="270"/>
      <c r="BN384" s="270"/>
      <c r="BO384" s="270"/>
      <c r="BP384" s="270"/>
      <c r="BQ384" s="270"/>
      <c r="BR384" s="270"/>
      <c r="BS384" s="270"/>
      <c r="BT384" s="270"/>
      <c r="BU384" s="270"/>
      <c r="BV384" s="270"/>
      <c r="BW384" s="270"/>
      <c r="BX384" s="270"/>
      <c r="BY384" s="270"/>
      <c r="BZ384" s="270"/>
      <c r="CA384" s="270"/>
      <c r="CB384" s="270"/>
      <c r="CC384" s="270"/>
      <c r="CD384" s="270"/>
      <c r="CE384" s="1395"/>
      <c r="CF384" s="1450"/>
      <c r="CG384" s="1450"/>
      <c r="CH384" s="270"/>
      <c r="CI384" s="270"/>
      <c r="CJ384" s="270"/>
      <c r="CK384" s="270"/>
      <c r="CL384" s="270"/>
      <c r="CM384" s="270"/>
    </row>
    <row r="385" spans="1:91" ht="13.5" hidden="1" outlineLevel="3" thickBot="1" x14ac:dyDescent="0.25">
      <c r="A385" s="270"/>
      <c r="B385" s="271"/>
      <c r="C385" s="12"/>
      <c r="D385" s="1071"/>
      <c r="E385" s="1071"/>
      <c r="F385" s="1071"/>
      <c r="G385" s="1172"/>
      <c r="H385" s="271"/>
      <c r="I385" s="270"/>
      <c r="J385" s="270"/>
      <c r="K385" s="270"/>
      <c r="L385" s="270"/>
      <c r="M385" s="270"/>
      <c r="N385" s="270"/>
      <c r="O385" s="270"/>
      <c r="P385" s="1072"/>
      <c r="Q385" s="270"/>
      <c r="R385" s="270"/>
      <c r="S385" s="1072"/>
      <c r="T385" s="270"/>
      <c r="U385" s="1019"/>
      <c r="V385" s="1073"/>
      <c r="W385" s="1177"/>
      <c r="X385" s="1215"/>
      <c r="Y385" s="1208"/>
      <c r="Z385" s="492"/>
      <c r="AA385" s="493" t="s">
        <v>769</v>
      </c>
      <c r="AB385" s="1069"/>
      <c r="AC385" s="1070"/>
      <c r="AD385" s="839"/>
      <c r="AE385" s="270" t="str">
        <f>IF(Z385="","",IF(Z385&gt;AB385,Y385,IF(Z385=AB385,"",AC385)))</f>
        <v/>
      </c>
      <c r="AF385" s="270" t="str">
        <f>IF(Z385="","",IF(Z385=AB385,Y385,""))</f>
        <v/>
      </c>
      <c r="AG385" s="270" t="str">
        <f>IF(Z385="","",IF(Z385=AB385,AC385,""))</f>
        <v/>
      </c>
      <c r="AH385" s="270" t="str">
        <f>IF(Z385="","",IF(Z385&lt;AB385,Y385,IF(Z385=AB385,"",AC385)))</f>
        <v/>
      </c>
      <c r="AI385" s="270" t="str">
        <f>IF(Z385="","",IF(Z385&gt;AB385,Y381,""))</f>
        <v/>
      </c>
      <c r="AJ385" s="270" t="str">
        <f>IF(Z385="","",IF(Z385&lt;AB385,AC381,""))</f>
        <v/>
      </c>
      <c r="AK385" s="270" t="str">
        <f>CONCATENATE(AE385,AH385)</f>
        <v/>
      </c>
      <c r="AL385" s="270"/>
      <c r="AM385" s="270"/>
      <c r="AN385" s="270"/>
      <c r="AO385" s="271"/>
      <c r="AP385" s="270"/>
      <c r="AQ385" s="270"/>
      <c r="AR385" s="270"/>
      <c r="AS385" s="270"/>
      <c r="AT385" s="270"/>
      <c r="AU385" s="270"/>
      <c r="AV385" s="270"/>
      <c r="AW385" s="270"/>
      <c r="AX385" s="270"/>
      <c r="AY385" s="1072"/>
      <c r="AZ385" s="270"/>
      <c r="BA385" s="270"/>
      <c r="BB385" s="1072"/>
      <c r="BC385" s="270"/>
      <c r="BD385" s="270"/>
      <c r="BE385" s="270"/>
      <c r="BF385" s="270"/>
      <c r="BG385" s="270"/>
      <c r="BH385" s="270"/>
      <c r="BI385" s="270"/>
      <c r="BJ385" s="270"/>
      <c r="BK385" s="270"/>
      <c r="BL385" s="270"/>
      <c r="BM385" s="270"/>
      <c r="BN385" s="270"/>
      <c r="BO385" s="270"/>
      <c r="BP385" s="270"/>
      <c r="BQ385" s="270"/>
      <c r="BR385" s="270"/>
      <c r="BS385" s="270"/>
      <c r="BT385" s="270"/>
      <c r="BU385" s="270"/>
      <c r="BV385" s="270"/>
      <c r="BW385" s="270"/>
      <c r="BX385" s="270"/>
      <c r="BY385" s="270"/>
      <c r="BZ385" s="270"/>
      <c r="CA385" s="270"/>
      <c r="CB385" s="270"/>
      <c r="CC385" s="270"/>
      <c r="CD385" s="270"/>
      <c r="CE385" s="1395"/>
      <c r="CF385" s="1450"/>
      <c r="CG385" s="1450"/>
      <c r="CH385" s="270"/>
      <c r="CI385" s="270"/>
      <c r="CJ385" s="270"/>
      <c r="CK385" s="270"/>
      <c r="CL385" s="270"/>
      <c r="CM385" s="270"/>
    </row>
    <row r="386" spans="1:91" ht="13.5" hidden="1" outlineLevel="3" thickBot="1" x14ac:dyDescent="0.25">
      <c r="A386" s="270"/>
      <c r="B386" s="271"/>
      <c r="C386" s="12"/>
      <c r="D386" s="1071"/>
      <c r="E386" s="1071"/>
      <c r="F386" s="1071"/>
      <c r="G386" s="626"/>
      <c r="H386" s="271"/>
      <c r="I386" s="270"/>
      <c r="J386" s="270"/>
      <c r="K386" s="270"/>
      <c r="L386" s="270"/>
      <c r="M386" s="270"/>
      <c r="N386" s="270"/>
      <c r="O386" s="270"/>
      <c r="P386" s="1072"/>
      <c r="Q386" s="270"/>
      <c r="R386" s="270"/>
      <c r="S386" s="1072"/>
      <c r="T386" s="270"/>
      <c r="U386" s="1019"/>
      <c r="V386" s="1073"/>
      <c r="W386" s="1074"/>
      <c r="X386" s="1075" t="str">
        <f>N_Substitute</f>
        <v>Remplaçant</v>
      </c>
      <c r="Y386" s="1208"/>
      <c r="Z386" s="492"/>
      <c r="AA386" s="1076"/>
      <c r="AB386" s="1069"/>
      <c r="AC386" s="1070"/>
      <c r="AD386" s="839"/>
      <c r="AE386" s="270"/>
      <c r="AF386" s="270"/>
      <c r="AG386" s="270"/>
      <c r="AH386" s="270"/>
      <c r="AI386" s="270"/>
      <c r="AJ386" s="270"/>
      <c r="AK386" s="270"/>
      <c r="AL386" s="270"/>
      <c r="AM386" s="270"/>
      <c r="AN386" s="270"/>
      <c r="AO386" s="271"/>
      <c r="AP386" s="270"/>
      <c r="AQ386" s="270"/>
      <c r="AR386" s="270"/>
      <c r="AS386" s="270"/>
      <c r="AT386" s="270"/>
      <c r="AU386" s="270"/>
      <c r="AV386" s="270"/>
      <c r="AW386" s="270"/>
      <c r="AX386" s="270"/>
      <c r="AY386" s="1072"/>
      <c r="AZ386" s="270"/>
      <c r="BA386" s="270"/>
      <c r="BB386" s="1072"/>
      <c r="BC386" s="270"/>
      <c r="BD386" s="270"/>
      <c r="BE386" s="270"/>
      <c r="BF386" s="270"/>
      <c r="BG386" s="270"/>
      <c r="BH386" s="270"/>
      <c r="BI386" s="270"/>
      <c r="BJ386" s="270"/>
      <c r="BK386" s="270"/>
      <c r="BL386" s="270"/>
      <c r="BM386" s="270"/>
      <c r="BN386" s="270"/>
      <c r="BO386" s="270"/>
      <c r="BP386" s="270"/>
      <c r="BQ386" s="270"/>
      <c r="BR386" s="270"/>
      <c r="BS386" s="270"/>
      <c r="BT386" s="270"/>
      <c r="BU386" s="270"/>
      <c r="BV386" s="270"/>
      <c r="BW386" s="270"/>
      <c r="BX386" s="270"/>
      <c r="BY386" s="270"/>
      <c r="BZ386" s="270"/>
      <c r="CA386" s="270"/>
      <c r="CB386" s="270"/>
      <c r="CC386" s="270"/>
      <c r="CD386" s="270"/>
      <c r="CE386" s="1395"/>
      <c r="CF386" s="1450"/>
      <c r="CG386" s="1450"/>
      <c r="CH386" s="270"/>
      <c r="CI386" s="270"/>
      <c r="CJ386" s="270"/>
      <c r="CK386" s="270"/>
      <c r="CL386" s="270"/>
      <c r="CM386" s="270"/>
    </row>
    <row r="387" spans="1:91" ht="13.5" hidden="1" outlineLevel="3" thickBot="1" x14ac:dyDescent="0.25">
      <c r="A387" s="270"/>
      <c r="B387" s="271"/>
      <c r="C387" s="12"/>
      <c r="D387" s="1071"/>
      <c r="E387" s="1071"/>
      <c r="F387" s="1071"/>
      <c r="G387" s="626"/>
      <c r="H387" s="271"/>
      <c r="I387" s="270"/>
      <c r="J387" s="270"/>
      <c r="K387" s="270"/>
      <c r="L387" s="270"/>
      <c r="M387" s="270"/>
      <c r="N387" s="270"/>
      <c r="O387" s="270"/>
      <c r="P387" s="1072"/>
      <c r="Q387" s="270"/>
      <c r="R387" s="270"/>
      <c r="S387" s="1072"/>
      <c r="T387" s="270"/>
      <c r="U387" s="1019"/>
      <c r="V387" s="1073"/>
      <c r="W387" s="1074"/>
      <c r="X387" s="1079" t="str">
        <f>N_Substitute</f>
        <v>Remplaçant</v>
      </c>
      <c r="Y387" s="1216"/>
      <c r="Z387" s="1081"/>
      <c r="AA387" s="1082"/>
      <c r="AB387" s="1081"/>
      <c r="AC387" s="1084"/>
      <c r="AD387" s="839"/>
      <c r="AE387" s="270"/>
      <c r="AF387" s="270"/>
      <c r="AG387" s="270"/>
      <c r="AH387" s="270"/>
      <c r="AI387" s="270"/>
      <c r="AJ387" s="270"/>
      <c r="AK387" s="270"/>
      <c r="AL387" s="270"/>
      <c r="AM387" s="270"/>
      <c r="AN387" s="270"/>
      <c r="AO387" s="271"/>
      <c r="AP387" s="270"/>
      <c r="AQ387" s="270"/>
      <c r="AR387" s="270"/>
      <c r="AS387" s="270"/>
      <c r="AT387" s="270"/>
      <c r="AU387" s="270"/>
      <c r="AV387" s="270"/>
      <c r="AW387" s="270"/>
      <c r="AX387" s="270"/>
      <c r="AY387" s="1072"/>
      <c r="AZ387" s="270"/>
      <c r="BA387" s="270"/>
      <c r="BB387" s="1072"/>
      <c r="BC387" s="270"/>
      <c r="BD387" s="270"/>
      <c r="BE387" s="270"/>
      <c r="BF387" s="270"/>
      <c r="BG387" s="270"/>
      <c r="BH387" s="270"/>
      <c r="BI387" s="270"/>
      <c r="BJ387" s="270"/>
      <c r="BK387" s="270"/>
      <c r="BL387" s="270"/>
      <c r="BM387" s="270"/>
      <c r="BN387" s="270"/>
      <c r="BO387" s="270"/>
      <c r="BP387" s="270"/>
      <c r="BQ387" s="270"/>
      <c r="BR387" s="270"/>
      <c r="BS387" s="270"/>
      <c r="BT387" s="270"/>
      <c r="BU387" s="270"/>
      <c r="BV387" s="270"/>
      <c r="BW387" s="270"/>
      <c r="BX387" s="270"/>
      <c r="BY387" s="270"/>
      <c r="BZ387" s="270"/>
      <c r="CA387" s="270"/>
      <c r="CB387" s="270"/>
      <c r="CC387" s="270"/>
      <c r="CD387" s="270"/>
      <c r="CE387" s="1395"/>
      <c r="CF387" s="1450"/>
      <c r="CG387" s="1450"/>
      <c r="CH387" s="270"/>
      <c r="CI387" s="270"/>
      <c r="CJ387" s="270"/>
      <c r="CK387" s="270"/>
      <c r="CL387" s="270"/>
      <c r="CM387" s="270"/>
    </row>
    <row r="388" spans="1:91" hidden="1" outlineLevel="2" collapsed="1" x14ac:dyDescent="0.2">
      <c r="A388" s="270"/>
      <c r="B388" s="271"/>
      <c r="C388" s="12"/>
      <c r="D388" s="1071"/>
      <c r="E388" s="1071"/>
      <c r="F388" s="1071"/>
      <c r="G388" s="1172"/>
      <c r="H388" s="271"/>
      <c r="I388" s="270"/>
      <c r="J388" s="270"/>
      <c r="K388" s="270"/>
      <c r="L388" s="270"/>
      <c r="M388" s="270"/>
      <c r="N388" s="270"/>
      <c r="O388" s="270"/>
      <c r="P388" s="1072"/>
      <c r="Q388" s="270"/>
      <c r="R388" s="270"/>
      <c r="S388" s="1072"/>
      <c r="T388" s="270"/>
      <c r="U388" s="1019" t="s">
        <v>1728</v>
      </c>
      <c r="V388" s="1173"/>
      <c r="W388" s="1525"/>
      <c r="X388" s="1535"/>
      <c r="Y388" s="1214" t="str">
        <f>G339</f>
        <v>Eq2</v>
      </c>
      <c r="Z388" s="1063" t="str">
        <f>IF(OR(ISNUMBER(Z389),ISNUMBER(Z390),ISNUMBER(Z391),ISNUMBER(Z392)),4-COUNTBLANK(AI389:AI392),"")</f>
        <v/>
      </c>
      <c r="AA388" s="1064" t="s">
        <v>769</v>
      </c>
      <c r="AB388" s="1063" t="str">
        <f>IF(OR(ISNUMBER(Z389),ISNUMBER(Z390),ISNUMBER(Z391),ISNUMBER(Z392)),4-COUNTBLANK(AJ389:AJ392),"")</f>
        <v/>
      </c>
      <c r="AC388" s="1217" t="str">
        <f>G343</f>
        <v>Eq6</v>
      </c>
      <c r="AD388" s="839"/>
      <c r="AE388" s="270" t="str">
        <f>IF(Z388="","",IF(Z388&gt;AB388,Y388,IF(Z388=AB388,IF(NoDrawWithWithdraw,IF(AL388=Y388,AC388,IF(AL388=AC388,Y388,"")),""),AC388)))</f>
        <v/>
      </c>
      <c r="AF388" s="270" t="str">
        <f>IF(Z388="","",IF(Z388=AB388,IF(NoDrawWithWithdraw,IF(AL388=Y388,"",IF(AL388=AC388,"",Y388)),Y388),""))</f>
        <v/>
      </c>
      <c r="AG388" s="270" t="str">
        <f>IF(Z388="","",IF(Z388=AB388,IF(NoDrawWithWithdraw,IF(AL388=Y388,"",IF(AL388=AC388,"",AC388)),AC388),""))</f>
        <v/>
      </c>
      <c r="AH388" s="270" t="str">
        <f>IF(Z388="","",IF(Z388&lt;AB388,Y388,IF(Z388=AB388,IF(NoDrawWithWithdraw,IF(AL388=Y388,Y388,IF(AL388=AC388,AC388,"")),""),AC388)))</f>
        <v/>
      </c>
      <c r="AI388" s="270" t="str">
        <f>IF(Z388="","",SUM(Z389:Z392))</f>
        <v/>
      </c>
      <c r="AJ388" s="270" t="str">
        <f>IF(Z388="","",SUM(AB389:AB392))</f>
        <v/>
      </c>
      <c r="AK388" s="270" t="str">
        <f>CONCATENATE(AE388,AH388)</f>
        <v/>
      </c>
      <c r="AL388" s="270" t="str">
        <f>IF(COUNTIF(Y389:Y392,WithdrawLabel)&gt;COUNTIF(AC389:AC392,WithdrawLabel),Y388,IF(COUNTIF(AC389:AC392,WithdrawLabel)&gt;COUNTIF(Y389:Y392,WithdrawLabel),AC388,""))</f>
        <v/>
      </c>
      <c r="AM388" s="270"/>
      <c r="AN388" s="270"/>
      <c r="AO388" s="271"/>
      <c r="AP388" s="270"/>
      <c r="AQ388" s="270"/>
      <c r="AR388" s="270"/>
      <c r="AS388" s="270"/>
      <c r="AT388" s="270"/>
      <c r="AU388" s="270"/>
      <c r="AV388" s="270"/>
      <c r="AW388" s="270"/>
      <c r="AX388" s="270"/>
      <c r="AY388" s="1072"/>
      <c r="AZ388" s="270"/>
      <c r="BA388" s="270"/>
      <c r="BB388" s="1072"/>
      <c r="BC388" s="270"/>
      <c r="BD388" s="270"/>
      <c r="BE388" s="270"/>
      <c r="BF388" s="270"/>
      <c r="BG388" s="270"/>
      <c r="BH388" s="270"/>
      <c r="BI388" s="270"/>
      <c r="BJ388" s="270"/>
      <c r="BK388" s="270"/>
      <c r="BL388" s="270"/>
      <c r="BM388" s="270"/>
      <c r="BN388" s="270"/>
      <c r="BO388" s="270"/>
      <c r="BP388" s="270"/>
      <c r="BQ388" s="270"/>
      <c r="BR388" s="270"/>
      <c r="BS388" s="270"/>
      <c r="BT388" s="270"/>
      <c r="BU388" s="270"/>
      <c r="BV388" s="270"/>
      <c r="BW388" s="270"/>
      <c r="BX388" s="270"/>
      <c r="BY388" s="270"/>
      <c r="BZ388" s="270"/>
      <c r="CA388" s="270"/>
      <c r="CB388" s="270"/>
      <c r="CC388" s="270"/>
      <c r="CD388" s="270"/>
      <c r="CE388" s="1395"/>
      <c r="CF388" s="1450"/>
      <c r="CG388" s="1450"/>
      <c r="CH388" s="270"/>
      <c r="CI388" s="270"/>
      <c r="CJ388" s="270"/>
      <c r="CK388" s="270"/>
      <c r="CL388" s="270"/>
      <c r="CM388" s="270"/>
    </row>
    <row r="389" spans="1:91" ht="13.5" hidden="1" outlineLevel="3" thickBot="1" x14ac:dyDescent="0.25">
      <c r="A389" s="270"/>
      <c r="B389" s="271"/>
      <c r="C389" s="12"/>
      <c r="D389" s="1071"/>
      <c r="E389" s="1071"/>
      <c r="F389" s="1071"/>
      <c r="G389" s="1172"/>
      <c r="H389" s="271"/>
      <c r="I389" s="270"/>
      <c r="J389" s="270"/>
      <c r="K389" s="270"/>
      <c r="L389" s="270"/>
      <c r="M389" s="270"/>
      <c r="N389" s="270"/>
      <c r="O389" s="270"/>
      <c r="P389" s="1072"/>
      <c r="Q389" s="270"/>
      <c r="R389" s="270"/>
      <c r="S389" s="1072"/>
      <c r="T389" s="270"/>
      <c r="U389" s="1019"/>
      <c r="V389" s="1176"/>
      <c r="W389" s="1177"/>
      <c r="X389" s="1207"/>
      <c r="Y389" s="1208"/>
      <c r="Z389" s="492"/>
      <c r="AA389" s="493" t="s">
        <v>769</v>
      </c>
      <c r="AB389" s="1069"/>
      <c r="AC389" s="1070"/>
      <c r="AD389" s="839"/>
      <c r="AE389" s="270" t="str">
        <f>IF(Z389="","",IF(Z389&gt;AB389,Y389,IF(Z389=AB389,"",AC389)))</f>
        <v/>
      </c>
      <c r="AF389" s="270" t="str">
        <f>IF(Z389="","",IF(Z389=AB389,Y389,""))</f>
        <v/>
      </c>
      <c r="AG389" s="270" t="str">
        <f>IF(Z389="","",IF(Z389=AB389,AC389,""))</f>
        <v/>
      </c>
      <c r="AH389" s="270" t="str">
        <f>IF(Z389="","",IF(Z389&lt;AB389,Y389,IF(Z389=AB389,"",AC389)))</f>
        <v/>
      </c>
      <c r="AI389" s="270" t="str">
        <f>IF(Z389="","",IF(Z389&gt;AB389,Y388,""))</f>
        <v/>
      </c>
      <c r="AJ389" s="270" t="str">
        <f>IF(Z389="","",IF(Z389&lt;AB389,AC388,""))</f>
        <v/>
      </c>
      <c r="AK389" s="270" t="str">
        <f>CONCATENATE(AE389,AH389)</f>
        <v/>
      </c>
      <c r="AL389" s="270"/>
      <c r="AM389" s="270"/>
      <c r="AN389" s="270"/>
      <c r="AO389" s="271"/>
      <c r="AP389" s="270"/>
      <c r="AQ389" s="270"/>
      <c r="AR389" s="270"/>
      <c r="AS389" s="270"/>
      <c r="AT389" s="270"/>
      <c r="AU389" s="270"/>
      <c r="AV389" s="270"/>
      <c r="AW389" s="270"/>
      <c r="AX389" s="270"/>
      <c r="AY389" s="1072"/>
      <c r="AZ389" s="270"/>
      <c r="BA389" s="270"/>
      <c r="BB389" s="1072"/>
      <c r="BC389" s="270"/>
      <c r="BD389" s="270"/>
      <c r="BE389" s="270"/>
      <c r="BF389" s="270"/>
      <c r="BG389" s="270"/>
      <c r="BH389" s="270"/>
      <c r="BI389" s="270"/>
      <c r="BJ389" s="270"/>
      <c r="BK389" s="270"/>
      <c r="BL389" s="270"/>
      <c r="BM389" s="270"/>
      <c r="BN389" s="270"/>
      <c r="BO389" s="270"/>
      <c r="BP389" s="270"/>
      <c r="BQ389" s="270"/>
      <c r="BR389" s="270"/>
      <c r="BS389" s="270"/>
      <c r="BT389" s="270"/>
      <c r="BU389" s="270"/>
      <c r="BV389" s="270"/>
      <c r="BW389" s="270"/>
      <c r="BX389" s="270"/>
      <c r="BY389" s="270"/>
      <c r="BZ389" s="270"/>
      <c r="CA389" s="270"/>
      <c r="CB389" s="270"/>
      <c r="CC389" s="270"/>
      <c r="CD389" s="270"/>
      <c r="CE389" s="1395"/>
      <c r="CF389" s="1450"/>
      <c r="CG389" s="1450"/>
      <c r="CH389" s="270"/>
      <c r="CI389" s="270"/>
      <c r="CJ389" s="270"/>
      <c r="CK389" s="270"/>
      <c r="CL389" s="270"/>
      <c r="CM389" s="270"/>
    </row>
    <row r="390" spans="1:91" ht="13.5" hidden="1" outlineLevel="3" thickBot="1" x14ac:dyDescent="0.25">
      <c r="A390" s="270"/>
      <c r="B390" s="271"/>
      <c r="C390" s="12"/>
      <c r="D390" s="1071"/>
      <c r="E390" s="1071"/>
      <c r="F390" s="1071"/>
      <c r="G390" s="1172"/>
      <c r="H390" s="271"/>
      <c r="I390" s="270"/>
      <c r="J390" s="270"/>
      <c r="K390" s="270"/>
      <c r="L390" s="270"/>
      <c r="M390" s="270"/>
      <c r="N390" s="270"/>
      <c r="O390" s="270"/>
      <c r="P390" s="1072"/>
      <c r="Q390" s="270"/>
      <c r="R390" s="270"/>
      <c r="S390" s="1072"/>
      <c r="T390" s="270"/>
      <c r="U390" s="1019"/>
      <c r="V390" s="1176"/>
      <c r="W390" s="1177"/>
      <c r="X390" s="1207"/>
      <c r="Y390" s="1208"/>
      <c r="Z390" s="492"/>
      <c r="AA390" s="493" t="s">
        <v>769</v>
      </c>
      <c r="AB390" s="1069"/>
      <c r="AC390" s="1070"/>
      <c r="AD390" s="839"/>
      <c r="AE390" s="270" t="str">
        <f>IF(Z390="","",IF(Z390&gt;AB390,Y390,IF(Z390=AB390,"",AC390)))</f>
        <v/>
      </c>
      <c r="AF390" s="270" t="str">
        <f>IF(Z390="","",IF(Z390=AB390,Y390,""))</f>
        <v/>
      </c>
      <c r="AG390" s="270" t="str">
        <f>IF(Z390="","",IF(Z390=AB390,AC390,""))</f>
        <v/>
      </c>
      <c r="AH390" s="270" t="str">
        <f>IF(Z390="","",IF(Z390&lt;AB390,Y390,IF(Z390=AB390,"",AC390)))</f>
        <v/>
      </c>
      <c r="AI390" s="270" t="str">
        <f>IF(Z390="","",IF(Z390&gt;AB390,Y388,""))</f>
        <v/>
      </c>
      <c r="AJ390" s="270" t="str">
        <f>IF(Z390="","",IF(Z390&lt;AB390,AC388,""))</f>
        <v/>
      </c>
      <c r="AK390" s="270" t="str">
        <f>CONCATENATE(AE390,AH390)</f>
        <v/>
      </c>
      <c r="AL390" s="270"/>
      <c r="AM390" s="270"/>
      <c r="AN390" s="270"/>
      <c r="AO390" s="271"/>
      <c r="AP390" s="270"/>
      <c r="AQ390" s="270"/>
      <c r="AR390" s="270"/>
      <c r="AS390" s="270"/>
      <c r="AT390" s="270"/>
      <c r="AU390" s="270"/>
      <c r="AV390" s="270"/>
      <c r="AW390" s="270"/>
      <c r="AX390" s="270"/>
      <c r="AY390" s="1072"/>
      <c r="AZ390" s="270"/>
      <c r="BA390" s="270"/>
      <c r="BB390" s="1072"/>
      <c r="BC390" s="270"/>
      <c r="BD390" s="270"/>
      <c r="BE390" s="270"/>
      <c r="BF390" s="270"/>
      <c r="BG390" s="270"/>
      <c r="BH390" s="270"/>
      <c r="BI390" s="270"/>
      <c r="BJ390" s="270"/>
      <c r="BK390" s="270"/>
      <c r="BL390" s="270"/>
      <c r="BM390" s="270"/>
      <c r="BN390" s="270"/>
      <c r="BO390" s="270"/>
      <c r="BP390" s="270"/>
      <c r="BQ390" s="270"/>
      <c r="BR390" s="270"/>
      <c r="BS390" s="270"/>
      <c r="BT390" s="270"/>
      <c r="BU390" s="270"/>
      <c r="BV390" s="270"/>
      <c r="BW390" s="270"/>
      <c r="BX390" s="270"/>
      <c r="BY390" s="270"/>
      <c r="BZ390" s="270"/>
      <c r="CA390" s="270"/>
      <c r="CB390" s="270"/>
      <c r="CC390" s="270"/>
      <c r="CD390" s="270"/>
      <c r="CE390" s="1395"/>
      <c r="CF390" s="1450"/>
      <c r="CG390" s="1450"/>
      <c r="CH390" s="270"/>
      <c r="CI390" s="270"/>
      <c r="CJ390" s="270"/>
      <c r="CK390" s="270"/>
      <c r="CL390" s="270"/>
      <c r="CM390" s="270"/>
    </row>
    <row r="391" spans="1:91" ht="13.5" hidden="1" outlineLevel="3" thickBot="1" x14ac:dyDescent="0.25">
      <c r="A391" s="270"/>
      <c r="B391" s="271"/>
      <c r="C391" s="12"/>
      <c r="D391" s="1071"/>
      <c r="E391" s="1071"/>
      <c r="F391" s="1071"/>
      <c r="G391" s="1172"/>
      <c r="H391" s="271"/>
      <c r="I391" s="270"/>
      <c r="J391" s="270"/>
      <c r="K391" s="270"/>
      <c r="L391" s="270"/>
      <c r="M391" s="270"/>
      <c r="N391" s="270"/>
      <c r="O391" s="270"/>
      <c r="P391" s="1072"/>
      <c r="Q391" s="270"/>
      <c r="R391" s="270"/>
      <c r="S391" s="1072"/>
      <c r="T391" s="270"/>
      <c r="U391" s="1019"/>
      <c r="V391" s="1176"/>
      <c r="W391" s="1177"/>
      <c r="X391" s="1207"/>
      <c r="Y391" s="1208"/>
      <c r="Z391" s="492"/>
      <c r="AA391" s="493" t="s">
        <v>769</v>
      </c>
      <c r="AB391" s="1069"/>
      <c r="AC391" s="1070"/>
      <c r="AD391" s="839"/>
      <c r="AE391" s="270" t="str">
        <f>IF(Z391="","",IF(Z391&gt;AB391,Y391,IF(Z391=AB391,"",AC391)))</f>
        <v/>
      </c>
      <c r="AF391" s="270" t="str">
        <f>IF(Z391="","",IF(Z391=AB391,Y391,""))</f>
        <v/>
      </c>
      <c r="AG391" s="270" t="str">
        <f>IF(Z391="","",IF(Z391=AB391,AC391,""))</f>
        <v/>
      </c>
      <c r="AH391" s="270" t="str">
        <f>IF(Z391="","",IF(Z391&lt;AB391,Y391,IF(Z391=AB391,"",AC391)))</f>
        <v/>
      </c>
      <c r="AI391" s="270" t="str">
        <f>IF(Z391="","",IF(Z391&gt;AB391,Y388,""))</f>
        <v/>
      </c>
      <c r="AJ391" s="270" t="str">
        <f>IF(Z391="","",IF(Z391&lt;AB391,AC388,""))</f>
        <v/>
      </c>
      <c r="AK391" s="270" t="str">
        <f>CONCATENATE(AE391,AH391)</f>
        <v/>
      </c>
      <c r="AL391" s="270"/>
      <c r="AM391" s="270"/>
      <c r="AN391" s="270"/>
      <c r="AO391" s="271"/>
      <c r="AP391" s="270"/>
      <c r="AQ391" s="270"/>
      <c r="AR391" s="270"/>
      <c r="AS391" s="270"/>
      <c r="AT391" s="270"/>
      <c r="AU391" s="270"/>
      <c r="AV391" s="270"/>
      <c r="AW391" s="270"/>
      <c r="AX391" s="270"/>
      <c r="AY391" s="1072"/>
      <c r="AZ391" s="270"/>
      <c r="BA391" s="270"/>
      <c r="BB391" s="1072"/>
      <c r="BC391" s="270"/>
      <c r="BD391" s="270"/>
      <c r="BE391" s="270"/>
      <c r="BF391" s="270"/>
      <c r="BG391" s="270"/>
      <c r="BH391" s="270"/>
      <c r="BI391" s="270"/>
      <c r="BJ391" s="270"/>
      <c r="BK391" s="270"/>
      <c r="BL391" s="270"/>
      <c r="BM391" s="270"/>
      <c r="BN391" s="270"/>
      <c r="BO391" s="270"/>
      <c r="BP391" s="270"/>
      <c r="BQ391" s="270"/>
      <c r="BR391" s="270"/>
      <c r="BS391" s="270"/>
      <c r="BT391" s="270"/>
      <c r="BU391" s="270"/>
      <c r="BV391" s="270"/>
      <c r="BW391" s="270"/>
      <c r="BX391" s="270"/>
      <c r="BY391" s="270"/>
      <c r="BZ391" s="270"/>
      <c r="CA391" s="270"/>
      <c r="CB391" s="270"/>
      <c r="CC391" s="270"/>
      <c r="CD391" s="270"/>
      <c r="CE391" s="1395"/>
      <c r="CF391" s="1450"/>
      <c r="CG391" s="1450"/>
      <c r="CH391" s="270"/>
      <c r="CI391" s="270"/>
      <c r="CJ391" s="270"/>
      <c r="CK391" s="270"/>
      <c r="CL391" s="270"/>
      <c r="CM391" s="270"/>
    </row>
    <row r="392" spans="1:91" ht="13.5" hidden="1" outlineLevel="3" thickBot="1" x14ac:dyDescent="0.25">
      <c r="A392" s="270"/>
      <c r="B392" s="271"/>
      <c r="C392" s="12"/>
      <c r="D392" s="1071"/>
      <c r="E392" s="1071"/>
      <c r="F392" s="1071"/>
      <c r="G392" s="1172"/>
      <c r="H392" s="271"/>
      <c r="I392" s="270"/>
      <c r="J392" s="270"/>
      <c r="K392" s="270"/>
      <c r="L392" s="270"/>
      <c r="M392" s="270"/>
      <c r="N392" s="270"/>
      <c r="O392" s="270"/>
      <c r="P392" s="1072"/>
      <c r="Q392" s="270"/>
      <c r="R392" s="270"/>
      <c r="S392" s="1072"/>
      <c r="T392" s="270"/>
      <c r="U392" s="1019"/>
      <c r="V392" s="1176"/>
      <c r="W392" s="1177"/>
      <c r="X392" s="1207"/>
      <c r="Y392" s="1208"/>
      <c r="Z392" s="492"/>
      <c r="AA392" s="493" t="s">
        <v>769</v>
      </c>
      <c r="AB392" s="1069"/>
      <c r="AC392" s="1070"/>
      <c r="AD392" s="839"/>
      <c r="AE392" s="270" t="str">
        <f>IF(Z392="","",IF(Z392&gt;AB392,Y392,IF(Z392=AB392,"",AC392)))</f>
        <v/>
      </c>
      <c r="AF392" s="270" t="str">
        <f>IF(Z392="","",IF(Z392=AB392,Y392,""))</f>
        <v/>
      </c>
      <c r="AG392" s="270" t="str">
        <f>IF(Z392="","",IF(Z392=AB392,AC392,""))</f>
        <v/>
      </c>
      <c r="AH392" s="270" t="str">
        <f>IF(Z392="","",IF(Z392&lt;AB392,Y392,IF(Z392=AB392,"",AC392)))</f>
        <v/>
      </c>
      <c r="AI392" s="270" t="str">
        <f>IF(Z392="","",IF(Z392&gt;AB392,Y388,""))</f>
        <v/>
      </c>
      <c r="AJ392" s="270" t="str">
        <f>IF(Z392="","",IF(Z392&lt;AB392,AC388,""))</f>
        <v/>
      </c>
      <c r="AK392" s="270" t="str">
        <f>CONCATENATE(AE392,AH392)</f>
        <v/>
      </c>
      <c r="AL392" s="270"/>
      <c r="AM392" s="270"/>
      <c r="AN392" s="270"/>
      <c r="AO392" s="271"/>
      <c r="AP392" s="270"/>
      <c r="AQ392" s="270"/>
      <c r="AR392" s="270"/>
      <c r="AS392" s="270"/>
      <c r="AT392" s="270"/>
      <c r="AU392" s="270"/>
      <c r="AV392" s="270"/>
      <c r="AW392" s="270"/>
      <c r="AX392" s="270"/>
      <c r="AY392" s="1072"/>
      <c r="AZ392" s="270"/>
      <c r="BA392" s="270"/>
      <c r="BB392" s="1072"/>
      <c r="BC392" s="270"/>
      <c r="BD392" s="270"/>
      <c r="BE392" s="270"/>
      <c r="BF392" s="270"/>
      <c r="BG392" s="270"/>
      <c r="BH392" s="270"/>
      <c r="BI392" s="270"/>
      <c r="BJ392" s="270"/>
      <c r="BK392" s="270"/>
      <c r="BL392" s="270"/>
      <c r="BM392" s="270"/>
      <c r="BN392" s="270"/>
      <c r="BO392" s="270"/>
      <c r="BP392" s="270"/>
      <c r="BQ392" s="270"/>
      <c r="BR392" s="270"/>
      <c r="BS392" s="270"/>
      <c r="BT392" s="270"/>
      <c r="BU392" s="270"/>
      <c r="BV392" s="270"/>
      <c r="BW392" s="270"/>
      <c r="BX392" s="270"/>
      <c r="BY392" s="270"/>
      <c r="BZ392" s="270"/>
      <c r="CA392" s="270"/>
      <c r="CB392" s="270"/>
      <c r="CC392" s="270"/>
      <c r="CD392" s="270"/>
      <c r="CE392" s="1395"/>
      <c r="CF392" s="1450"/>
      <c r="CG392" s="1450"/>
      <c r="CH392" s="270"/>
      <c r="CI392" s="270"/>
      <c r="CJ392" s="270"/>
      <c r="CK392" s="270"/>
      <c r="CL392" s="270"/>
      <c r="CM392" s="270"/>
    </row>
    <row r="393" spans="1:91" ht="13.5" hidden="1" outlineLevel="3" thickBot="1" x14ac:dyDescent="0.25">
      <c r="A393" s="270"/>
      <c r="B393" s="271"/>
      <c r="C393" s="12"/>
      <c r="D393" s="1071"/>
      <c r="E393" s="1071"/>
      <c r="F393" s="1071"/>
      <c r="G393" s="626"/>
      <c r="H393" s="271"/>
      <c r="I393" s="270"/>
      <c r="J393" s="270"/>
      <c r="K393" s="270"/>
      <c r="L393" s="270"/>
      <c r="M393" s="270"/>
      <c r="N393" s="270"/>
      <c r="O393" s="270"/>
      <c r="P393" s="1072"/>
      <c r="Q393" s="270"/>
      <c r="R393" s="270"/>
      <c r="S393" s="1072"/>
      <c r="T393" s="270"/>
      <c r="U393" s="1019"/>
      <c r="V393" s="1073"/>
      <c r="W393" s="1074"/>
      <c r="X393" s="1075" t="str">
        <f>N_Substitute</f>
        <v>Remplaçant</v>
      </c>
      <c r="Y393" s="1208"/>
      <c r="Z393" s="492"/>
      <c r="AA393" s="1076"/>
      <c r="AB393" s="1069"/>
      <c r="AC393" s="1070"/>
      <c r="AD393" s="839"/>
      <c r="AE393" s="270"/>
      <c r="AF393" s="270"/>
      <c r="AG393" s="270"/>
      <c r="AH393" s="270"/>
      <c r="AI393" s="270"/>
      <c r="AJ393" s="270"/>
      <c r="AK393" s="270"/>
      <c r="AL393" s="270"/>
      <c r="AM393" s="270"/>
      <c r="AN393" s="270"/>
      <c r="AO393" s="271"/>
      <c r="AP393" s="270"/>
      <c r="AQ393" s="270"/>
      <c r="AR393" s="270"/>
      <c r="AS393" s="270"/>
      <c r="AT393" s="270"/>
      <c r="AU393" s="270"/>
      <c r="AV393" s="270"/>
      <c r="AW393" s="270"/>
      <c r="AX393" s="270"/>
      <c r="AY393" s="1072"/>
      <c r="AZ393" s="270"/>
      <c r="BA393" s="270"/>
      <c r="BB393" s="1072"/>
      <c r="BC393" s="270"/>
      <c r="BD393" s="270"/>
      <c r="BE393" s="270"/>
      <c r="BF393" s="270"/>
      <c r="BG393" s="270"/>
      <c r="BH393" s="270"/>
      <c r="BI393" s="270"/>
      <c r="BJ393" s="270"/>
      <c r="BK393" s="270"/>
      <c r="BL393" s="270"/>
      <c r="BM393" s="270"/>
      <c r="BN393" s="270"/>
      <c r="BO393" s="270"/>
      <c r="BP393" s="270"/>
      <c r="BQ393" s="270"/>
      <c r="BR393" s="270"/>
      <c r="BS393" s="270"/>
      <c r="BT393" s="270"/>
      <c r="BU393" s="270"/>
      <c r="BV393" s="270"/>
      <c r="BW393" s="270"/>
      <c r="BX393" s="270"/>
      <c r="BY393" s="270"/>
      <c r="BZ393" s="270"/>
      <c r="CA393" s="270"/>
      <c r="CB393" s="270"/>
      <c r="CC393" s="270"/>
      <c r="CD393" s="270"/>
      <c r="CE393" s="1395"/>
      <c r="CF393" s="1450"/>
      <c r="CG393" s="1450"/>
      <c r="CH393" s="270"/>
      <c r="CI393" s="270"/>
      <c r="CJ393" s="270"/>
      <c r="CK393" s="270"/>
      <c r="CL393" s="270"/>
      <c r="CM393" s="270"/>
    </row>
    <row r="394" spans="1:91" ht="13.5" hidden="1" outlineLevel="3" thickBot="1" x14ac:dyDescent="0.25">
      <c r="A394" s="270"/>
      <c r="B394" s="271"/>
      <c r="C394" s="12"/>
      <c r="D394" s="1071"/>
      <c r="E394" s="1071"/>
      <c r="F394" s="1071"/>
      <c r="G394" s="626"/>
      <c r="H394" s="271"/>
      <c r="I394" s="270"/>
      <c r="J394" s="270"/>
      <c r="K394" s="270"/>
      <c r="L394" s="270"/>
      <c r="M394" s="270"/>
      <c r="N394" s="270"/>
      <c r="O394" s="270"/>
      <c r="P394" s="1072"/>
      <c r="Q394" s="270"/>
      <c r="R394" s="270"/>
      <c r="S394" s="1072"/>
      <c r="T394" s="270"/>
      <c r="U394" s="1019"/>
      <c r="V394" s="1119"/>
      <c r="W394" s="1120"/>
      <c r="X394" s="1075" t="str">
        <f>N_Substitute</f>
        <v>Remplaçant</v>
      </c>
      <c r="Y394" s="1208"/>
      <c r="Z394" s="492"/>
      <c r="AA394" s="1121"/>
      <c r="AB394" s="1069"/>
      <c r="AC394" s="1070"/>
      <c r="AD394" s="839"/>
      <c r="AE394" s="270"/>
      <c r="AF394" s="270"/>
      <c r="AG394" s="270"/>
      <c r="AH394" s="270"/>
      <c r="AI394" s="270"/>
      <c r="AJ394" s="270"/>
      <c r="AK394" s="270"/>
      <c r="AL394" s="270"/>
      <c r="AM394" s="270"/>
      <c r="AN394" s="270"/>
      <c r="AO394" s="271"/>
      <c r="AP394" s="270"/>
      <c r="AQ394" s="270"/>
      <c r="AR394" s="270"/>
      <c r="AS394" s="270"/>
      <c r="AT394" s="270"/>
      <c r="AU394" s="270"/>
      <c r="AV394" s="270"/>
      <c r="AW394" s="270"/>
      <c r="AX394" s="270"/>
      <c r="AY394" s="1072"/>
      <c r="AZ394" s="270"/>
      <c r="BA394" s="270"/>
      <c r="BB394" s="1072"/>
      <c r="BC394" s="270"/>
      <c r="BD394" s="270"/>
      <c r="BE394" s="270"/>
      <c r="BF394" s="270"/>
      <c r="BG394" s="270"/>
      <c r="BH394" s="270"/>
      <c r="BI394" s="270"/>
      <c r="BJ394" s="270"/>
      <c r="BK394" s="270"/>
      <c r="BL394" s="270"/>
      <c r="BM394" s="270"/>
      <c r="BN394" s="270"/>
      <c r="BO394" s="270"/>
      <c r="BP394" s="270"/>
      <c r="BQ394" s="270"/>
      <c r="BR394" s="270"/>
      <c r="BS394" s="270"/>
      <c r="BT394" s="270"/>
      <c r="BU394" s="270"/>
      <c r="BV394" s="270"/>
      <c r="BW394" s="270"/>
      <c r="BX394" s="270"/>
      <c r="BY394" s="270"/>
      <c r="BZ394" s="270"/>
      <c r="CA394" s="270"/>
      <c r="CB394" s="270"/>
      <c r="CC394" s="270"/>
      <c r="CD394" s="270"/>
      <c r="CE394" s="1395"/>
      <c r="CF394" s="1450"/>
      <c r="CG394" s="1450"/>
      <c r="CH394" s="270"/>
      <c r="CI394" s="270"/>
      <c r="CJ394" s="270"/>
      <c r="CK394" s="270"/>
      <c r="CL394" s="270"/>
      <c r="CM394" s="270"/>
    </row>
    <row r="395" spans="1:91" hidden="1" outlineLevel="2" collapsed="1" x14ac:dyDescent="0.2">
      <c r="A395" s="270"/>
      <c r="B395" s="271"/>
      <c r="C395" s="270"/>
      <c r="D395" s="270"/>
      <c r="E395" s="270"/>
      <c r="F395" s="270"/>
      <c r="G395" s="271"/>
      <c r="H395" s="270"/>
      <c r="I395" s="270"/>
      <c r="J395" s="270"/>
      <c r="K395" s="270"/>
      <c r="L395" s="270"/>
      <c r="M395" s="270"/>
      <c r="N395" s="270"/>
      <c r="O395" s="270"/>
      <c r="P395" s="270"/>
      <c r="Q395" s="270"/>
      <c r="R395" s="270"/>
      <c r="S395" s="270"/>
      <c r="T395" s="270"/>
      <c r="U395" s="1019" t="s">
        <v>1728</v>
      </c>
      <c r="V395" s="1179"/>
      <c r="W395" s="1177"/>
      <c r="X395" s="1207"/>
      <c r="Y395" s="1210" t="str">
        <f>G340</f>
        <v>Eq3</v>
      </c>
      <c r="Z395" s="1125" t="str">
        <f>IF(OR(ISNUMBER(Z396),ISNUMBER(Z397),ISNUMBER(Z398),ISNUMBER(Z399)),4-COUNTBLANK(AI396:AI399),"")</f>
        <v/>
      </c>
      <c r="AA395" s="1124" t="s">
        <v>769</v>
      </c>
      <c r="AB395" s="1125" t="str">
        <f>IF(OR(ISNUMBER(Z396),ISNUMBER(Z397),ISNUMBER(Z398),ISNUMBER(Z399)),4-COUNTBLANK(AJ396:AJ399),"")</f>
        <v/>
      </c>
      <c r="AC395" s="1181" t="str">
        <f>G342</f>
        <v>Eq5</v>
      </c>
      <c r="AD395" s="839"/>
      <c r="AE395" s="270" t="str">
        <f>IF(Z395="","",IF(Z395&gt;AB395,Y395,IF(Z395=AB395,IF(NoDrawWithWithdraw,IF(AL395=Y395,AC395,IF(AL395=AC395,Y395,"")),""),AC395)))</f>
        <v/>
      </c>
      <c r="AF395" s="270" t="str">
        <f>IF(Z395="","",IF(Z395=AB395,IF(NoDrawWithWithdraw,IF(AL395=Y395,"",IF(AL395=AC395,"",Y395)),Y395),""))</f>
        <v/>
      </c>
      <c r="AG395" s="270" t="str">
        <f>IF(Z395="","",IF(Z395=AB395,IF(NoDrawWithWithdraw,IF(AL395=Y395,"",IF(AL395=AC395,"",AC395)),AC395),""))</f>
        <v/>
      </c>
      <c r="AH395" s="270" t="str">
        <f>IF(Z395="","",IF(Z395&lt;AB395,Y395,IF(Z395=AB395,IF(NoDrawWithWithdraw,IF(AL395=Y395,Y395,IF(AL395=AC395,AC395,"")),""),AC395)))</f>
        <v/>
      </c>
      <c r="AI395" s="270" t="str">
        <f>IF(Z395="","",SUM(Z396:Z399))</f>
        <v/>
      </c>
      <c r="AJ395" s="270" t="str">
        <f>IF(Z395="","",SUM(AB396:AB399))</f>
        <v/>
      </c>
      <c r="AK395" s="270" t="str">
        <f>CONCATENATE(AE395,AH395)</f>
        <v/>
      </c>
      <c r="AL395" s="270" t="str">
        <f>IF(COUNTIF(Y396:Y399,WithdrawLabel)&gt;COUNTIF(AC396:AC399,WithdrawLabel),Y395,IF(COUNTIF(AC396:AC399,WithdrawLabel)&gt;COUNTIF(Y396:Y399,WithdrawLabel),AC395,""))</f>
        <v/>
      </c>
      <c r="AM395" s="270"/>
      <c r="AN395" s="270"/>
      <c r="AO395" s="575"/>
      <c r="AP395" s="270"/>
      <c r="AQ395" s="270"/>
      <c r="AR395" s="270"/>
      <c r="AS395" s="270"/>
      <c r="AT395" s="270"/>
      <c r="AU395" s="270"/>
      <c r="AV395" s="270"/>
      <c r="AW395" s="270"/>
      <c r="AX395" s="270"/>
      <c r="AY395" s="270"/>
      <c r="AZ395" s="270"/>
      <c r="BA395" s="270"/>
      <c r="BB395" s="270"/>
      <c r="BC395" s="270"/>
      <c r="BD395" s="270"/>
      <c r="BE395" s="270"/>
      <c r="BF395" s="270"/>
      <c r="BG395" s="270"/>
      <c r="BH395" s="270"/>
      <c r="BI395" s="270"/>
      <c r="BJ395" s="270"/>
      <c r="BK395" s="270"/>
      <c r="BL395" s="270"/>
      <c r="BM395" s="270"/>
      <c r="BN395" s="270"/>
      <c r="BO395" s="270"/>
      <c r="BP395" s="270"/>
      <c r="BQ395" s="270"/>
      <c r="BR395" s="270"/>
      <c r="BS395" s="270"/>
      <c r="BT395" s="270"/>
      <c r="BU395" s="270"/>
      <c r="BV395" s="270"/>
      <c r="BW395" s="270"/>
      <c r="BX395" s="270"/>
      <c r="BY395" s="270"/>
      <c r="BZ395" s="270"/>
      <c r="CA395" s="270"/>
      <c r="CB395" s="270"/>
      <c r="CC395" s="270"/>
      <c r="CD395" s="270"/>
      <c r="CE395" s="1395"/>
      <c r="CF395" s="1450"/>
      <c r="CG395" s="1450"/>
      <c r="CH395" s="270"/>
      <c r="CI395" s="270"/>
      <c r="CJ395" s="270"/>
      <c r="CK395" s="270"/>
      <c r="CL395" s="270"/>
      <c r="CM395" s="270"/>
    </row>
    <row r="396" spans="1:91" ht="13.5" hidden="1" outlineLevel="3" thickBot="1" x14ac:dyDescent="0.25">
      <c r="A396" s="270"/>
      <c r="B396" s="271"/>
      <c r="C396" s="12"/>
      <c r="D396" s="1071"/>
      <c r="E396" s="1071"/>
      <c r="F396" s="1071"/>
      <c r="G396" s="1172"/>
      <c r="H396" s="271"/>
      <c r="I396" s="270"/>
      <c r="J396" s="270"/>
      <c r="K396" s="270"/>
      <c r="L396" s="270"/>
      <c r="M396" s="270"/>
      <c r="N396" s="270"/>
      <c r="O396" s="270"/>
      <c r="P396" s="1072"/>
      <c r="Q396" s="270"/>
      <c r="R396" s="270"/>
      <c r="S396" s="1072"/>
      <c r="T396" s="270"/>
      <c r="U396" s="1019"/>
      <c r="V396" s="1176"/>
      <c r="W396" s="1177"/>
      <c r="X396" s="1207"/>
      <c r="Y396" s="1208"/>
      <c r="Z396" s="492"/>
      <c r="AA396" s="493" t="s">
        <v>769</v>
      </c>
      <c r="AB396" s="1069"/>
      <c r="AC396" s="1070"/>
      <c r="AD396" s="839"/>
      <c r="AE396" s="270" t="str">
        <f>IF(Z396="","",IF(Z396&gt;AB396,Y396,IF(Z396=AB396,"",AC396)))</f>
        <v/>
      </c>
      <c r="AF396" s="270" t="str">
        <f>IF(Z396="","",IF(Z396=AB396,Y396,""))</f>
        <v/>
      </c>
      <c r="AG396" s="270" t="str">
        <f>IF(Z396="","",IF(Z396=AB396,AC396,""))</f>
        <v/>
      </c>
      <c r="AH396" s="270" t="str">
        <f>IF(Z396="","",IF(Z396&lt;AB396,Y396,IF(Z396=AB396,"",AC396)))</f>
        <v/>
      </c>
      <c r="AI396" s="270" t="str">
        <f>IF(Z396="","",IF(Z396&gt;AB396,Y395,""))</f>
        <v/>
      </c>
      <c r="AJ396" s="270" t="str">
        <f>IF(Z396="","",IF(Z396&lt;AB396,AC395,""))</f>
        <v/>
      </c>
      <c r="AK396" s="270" t="str">
        <f>CONCATENATE(AE396,AH396)</f>
        <v/>
      </c>
      <c r="AL396" s="270"/>
      <c r="AM396" s="270"/>
      <c r="AN396" s="270"/>
      <c r="AO396" s="271"/>
      <c r="AP396" s="270"/>
      <c r="AQ396" s="270"/>
      <c r="AR396" s="270"/>
      <c r="AS396" s="270"/>
      <c r="AT396" s="270"/>
      <c r="AU396" s="270"/>
      <c r="AV396" s="270"/>
      <c r="AW396" s="270"/>
      <c r="AX396" s="270"/>
      <c r="AY396" s="1072"/>
      <c r="AZ396" s="270"/>
      <c r="BA396" s="270"/>
      <c r="BB396" s="1072"/>
      <c r="BC396" s="270"/>
      <c r="BD396" s="270"/>
      <c r="BE396" s="270"/>
      <c r="BF396" s="270"/>
      <c r="BG396" s="270"/>
      <c r="BH396" s="270"/>
      <c r="BI396" s="270"/>
      <c r="BJ396" s="270"/>
      <c r="BK396" s="270"/>
      <c r="BL396" s="270"/>
      <c r="BM396" s="270"/>
      <c r="BN396" s="270"/>
      <c r="BO396" s="270"/>
      <c r="BP396" s="270"/>
      <c r="BQ396" s="270"/>
      <c r="BR396" s="270"/>
      <c r="BS396" s="270"/>
      <c r="BT396" s="270"/>
      <c r="BU396" s="270"/>
      <c r="BV396" s="270"/>
      <c r="BW396" s="270"/>
      <c r="BX396" s="270"/>
      <c r="BY396" s="270"/>
      <c r="BZ396" s="270"/>
      <c r="CA396" s="270"/>
      <c r="CB396" s="270"/>
      <c r="CC396" s="270"/>
      <c r="CD396" s="270"/>
      <c r="CE396" s="1395"/>
      <c r="CF396" s="1450"/>
      <c r="CG396" s="1450"/>
      <c r="CH396" s="270"/>
      <c r="CI396" s="270"/>
      <c r="CJ396" s="270"/>
      <c r="CK396" s="270"/>
      <c r="CL396" s="270"/>
      <c r="CM396" s="270"/>
    </row>
    <row r="397" spans="1:91" ht="13.5" hidden="1" outlineLevel="3" thickBot="1" x14ac:dyDescent="0.25">
      <c r="A397" s="270"/>
      <c r="B397" s="271"/>
      <c r="C397" s="12"/>
      <c r="D397" s="1071"/>
      <c r="E397" s="1071"/>
      <c r="F397" s="1071"/>
      <c r="G397" s="1172"/>
      <c r="H397" s="271"/>
      <c r="I397" s="270"/>
      <c r="J397" s="270"/>
      <c r="K397" s="270"/>
      <c r="L397" s="270"/>
      <c r="M397" s="270"/>
      <c r="N397" s="270"/>
      <c r="O397" s="270"/>
      <c r="P397" s="1072"/>
      <c r="Q397" s="270"/>
      <c r="R397" s="270"/>
      <c r="S397" s="1072"/>
      <c r="T397" s="270"/>
      <c r="U397" s="1019"/>
      <c r="V397" s="1176"/>
      <c r="W397" s="1177"/>
      <c r="X397" s="1207"/>
      <c r="Y397" s="1208"/>
      <c r="Z397" s="492"/>
      <c r="AA397" s="493" t="s">
        <v>769</v>
      </c>
      <c r="AB397" s="1069"/>
      <c r="AC397" s="1070"/>
      <c r="AD397" s="839"/>
      <c r="AE397" s="270" t="str">
        <f>IF(Z397="","",IF(Z397&gt;AB397,Y397,IF(Z397=AB397,"",AC397)))</f>
        <v/>
      </c>
      <c r="AF397" s="270" t="str">
        <f>IF(Z397="","",IF(Z397=AB397,Y397,""))</f>
        <v/>
      </c>
      <c r="AG397" s="270" t="str">
        <f>IF(Z397="","",IF(Z397=AB397,AC397,""))</f>
        <v/>
      </c>
      <c r="AH397" s="270" t="str">
        <f>IF(Z397="","",IF(Z397&lt;AB397,Y397,IF(Z397=AB397,"",AC397)))</f>
        <v/>
      </c>
      <c r="AI397" s="270" t="str">
        <f>IF(Z397="","",IF(Z397&gt;AB397,Y395,""))</f>
        <v/>
      </c>
      <c r="AJ397" s="270" t="str">
        <f>IF(Z397="","",IF(Z397&lt;AB397,AC395,""))</f>
        <v/>
      </c>
      <c r="AK397" s="270" t="str">
        <f>CONCATENATE(AE397,AH397)</f>
        <v/>
      </c>
      <c r="AL397" s="270"/>
      <c r="AM397" s="270"/>
      <c r="AN397" s="270"/>
      <c r="AO397" s="271"/>
      <c r="AP397" s="270"/>
      <c r="AQ397" s="270"/>
      <c r="AR397" s="270"/>
      <c r="AS397" s="270"/>
      <c r="AT397" s="270"/>
      <c r="AU397" s="270"/>
      <c r="AV397" s="270"/>
      <c r="AW397" s="270"/>
      <c r="AX397" s="270"/>
      <c r="AY397" s="1072"/>
      <c r="AZ397" s="270"/>
      <c r="BA397" s="270"/>
      <c r="BB397" s="1072"/>
      <c r="BC397" s="270"/>
      <c r="BD397" s="270"/>
      <c r="BE397" s="270"/>
      <c r="BF397" s="270"/>
      <c r="BG397" s="270"/>
      <c r="BH397" s="270"/>
      <c r="BI397" s="270"/>
      <c r="BJ397" s="270"/>
      <c r="BK397" s="270"/>
      <c r="BL397" s="270"/>
      <c r="BM397" s="270"/>
      <c r="BN397" s="270"/>
      <c r="BO397" s="270"/>
      <c r="BP397" s="270"/>
      <c r="BQ397" s="270"/>
      <c r="BR397" s="270"/>
      <c r="BS397" s="270"/>
      <c r="BT397" s="270"/>
      <c r="BU397" s="270"/>
      <c r="BV397" s="270"/>
      <c r="BW397" s="270"/>
      <c r="BX397" s="270"/>
      <c r="BY397" s="270"/>
      <c r="BZ397" s="270"/>
      <c r="CA397" s="270"/>
      <c r="CB397" s="270"/>
      <c r="CC397" s="270"/>
      <c r="CD397" s="270"/>
      <c r="CE397" s="1395"/>
      <c r="CF397" s="1450"/>
      <c r="CG397" s="1450"/>
      <c r="CH397" s="270"/>
      <c r="CI397" s="270"/>
      <c r="CJ397" s="270"/>
      <c r="CK397" s="270"/>
      <c r="CL397" s="270"/>
      <c r="CM397" s="270"/>
    </row>
    <row r="398" spans="1:91" ht="13.5" hidden="1" outlineLevel="3" thickBot="1" x14ac:dyDescent="0.25">
      <c r="A398" s="270"/>
      <c r="B398" s="271"/>
      <c r="C398" s="12"/>
      <c r="D398" s="1071"/>
      <c r="E398" s="1071"/>
      <c r="F398" s="1071"/>
      <c r="G398" s="1172"/>
      <c r="H398" s="271"/>
      <c r="I398" s="270"/>
      <c r="J398" s="270"/>
      <c r="K398" s="270"/>
      <c r="L398" s="270"/>
      <c r="M398" s="270"/>
      <c r="N398" s="270"/>
      <c r="O398" s="270"/>
      <c r="P398" s="1072"/>
      <c r="Q398" s="270"/>
      <c r="R398" s="270"/>
      <c r="S398" s="1072"/>
      <c r="T398" s="270"/>
      <c r="U398" s="1019"/>
      <c r="V398" s="1176"/>
      <c r="W398" s="1177"/>
      <c r="X398" s="1207"/>
      <c r="Y398" s="1208"/>
      <c r="Z398" s="492"/>
      <c r="AA398" s="493" t="s">
        <v>769</v>
      </c>
      <c r="AB398" s="1069"/>
      <c r="AC398" s="1070"/>
      <c r="AD398" s="839"/>
      <c r="AE398" s="270" t="str">
        <f>IF(Z398="","",IF(Z398&gt;AB398,Y398,IF(Z398=AB398,"",AC398)))</f>
        <v/>
      </c>
      <c r="AF398" s="270" t="str">
        <f>IF(Z398="","",IF(Z398=AB398,Y398,""))</f>
        <v/>
      </c>
      <c r="AG398" s="270" t="str">
        <f>IF(Z398="","",IF(Z398=AB398,AC398,""))</f>
        <v/>
      </c>
      <c r="AH398" s="270" t="str">
        <f>IF(Z398="","",IF(Z398&lt;AB398,Y398,IF(Z398=AB398,"",AC398)))</f>
        <v/>
      </c>
      <c r="AI398" s="270" t="str">
        <f>IF(Z398="","",IF(Z398&gt;AB398,Y395,""))</f>
        <v/>
      </c>
      <c r="AJ398" s="270" t="str">
        <f>IF(Z398="","",IF(Z398&lt;AB398,AC395,""))</f>
        <v/>
      </c>
      <c r="AK398" s="270" t="str">
        <f>CONCATENATE(AE398,AH398)</f>
        <v/>
      </c>
      <c r="AL398" s="270"/>
      <c r="AM398" s="270"/>
      <c r="AN398" s="270"/>
      <c r="AO398" s="271"/>
      <c r="AP398" s="270"/>
      <c r="AQ398" s="270"/>
      <c r="AR398" s="270"/>
      <c r="AS398" s="270"/>
      <c r="AT398" s="270"/>
      <c r="AU398" s="270"/>
      <c r="AV398" s="270"/>
      <c r="AW398" s="270"/>
      <c r="AX398" s="270"/>
      <c r="AY398" s="1072"/>
      <c r="AZ398" s="270"/>
      <c r="BA398" s="270"/>
      <c r="BB398" s="1072"/>
      <c r="BC398" s="270"/>
      <c r="BD398" s="270"/>
      <c r="BE398" s="270"/>
      <c r="BF398" s="270"/>
      <c r="BG398" s="270"/>
      <c r="BH398" s="270"/>
      <c r="BI398" s="270"/>
      <c r="BJ398" s="270"/>
      <c r="BK398" s="270"/>
      <c r="BL398" s="270"/>
      <c r="BM398" s="270"/>
      <c r="BN398" s="270"/>
      <c r="BO398" s="270"/>
      <c r="BP398" s="270"/>
      <c r="BQ398" s="270"/>
      <c r="BR398" s="270"/>
      <c r="BS398" s="270"/>
      <c r="BT398" s="270"/>
      <c r="BU398" s="270"/>
      <c r="BV398" s="270"/>
      <c r="BW398" s="270"/>
      <c r="BX398" s="270"/>
      <c r="BY398" s="270"/>
      <c r="BZ398" s="270"/>
      <c r="CA398" s="270"/>
      <c r="CB398" s="270"/>
      <c r="CC398" s="270"/>
      <c r="CD398" s="270"/>
      <c r="CE398" s="1395"/>
      <c r="CF398" s="1450"/>
      <c r="CG398" s="1450"/>
      <c r="CH398" s="270"/>
      <c r="CI398" s="270"/>
      <c r="CJ398" s="270"/>
      <c r="CK398" s="270"/>
      <c r="CL398" s="270"/>
      <c r="CM398" s="270"/>
    </row>
    <row r="399" spans="1:91" ht="13.5" hidden="1" outlineLevel="3" thickBot="1" x14ac:dyDescent="0.25">
      <c r="A399" s="270"/>
      <c r="B399" s="271"/>
      <c r="C399" s="12"/>
      <c r="D399" s="1071"/>
      <c r="E399" s="1071"/>
      <c r="F399" s="1071"/>
      <c r="G399" s="1172"/>
      <c r="H399" s="271"/>
      <c r="I399" s="270"/>
      <c r="J399" s="270"/>
      <c r="K399" s="270"/>
      <c r="L399" s="270"/>
      <c r="M399" s="270"/>
      <c r="N399" s="270"/>
      <c r="O399" s="270"/>
      <c r="P399" s="1072"/>
      <c r="Q399" s="270"/>
      <c r="R399" s="270"/>
      <c r="S399" s="1072"/>
      <c r="T399" s="270"/>
      <c r="U399" s="1019"/>
      <c r="V399" s="1176"/>
      <c r="W399" s="1177"/>
      <c r="X399" s="1207"/>
      <c r="Y399" s="1208"/>
      <c r="Z399" s="492"/>
      <c r="AA399" s="493" t="s">
        <v>769</v>
      </c>
      <c r="AB399" s="1069"/>
      <c r="AC399" s="1070"/>
      <c r="AD399" s="839"/>
      <c r="AE399" s="270" t="str">
        <f>IF(Z399="","",IF(Z399&gt;AB399,Y399,IF(Z399=AB399,"",AC399)))</f>
        <v/>
      </c>
      <c r="AF399" s="270" t="str">
        <f>IF(Z399="","",IF(Z399=AB399,Y399,""))</f>
        <v/>
      </c>
      <c r="AG399" s="270" t="str">
        <f>IF(Z399="","",IF(Z399=AB399,AC399,""))</f>
        <v/>
      </c>
      <c r="AH399" s="270" t="str">
        <f>IF(Z399="","",IF(Z399&lt;AB399,Y399,IF(Z399=AB399,"",AC399)))</f>
        <v/>
      </c>
      <c r="AI399" s="270" t="str">
        <f>IF(Z399="","",IF(Z399&gt;AB399,Y395,""))</f>
        <v/>
      </c>
      <c r="AJ399" s="270" t="str">
        <f>IF(Z399="","",IF(Z399&lt;AB399,AC395,""))</f>
        <v/>
      </c>
      <c r="AK399" s="270" t="str">
        <f>CONCATENATE(AE399,AH399)</f>
        <v/>
      </c>
      <c r="AL399" s="270"/>
      <c r="AM399" s="270"/>
      <c r="AN399" s="270"/>
      <c r="AO399" s="271"/>
      <c r="AP399" s="270"/>
      <c r="AQ399" s="270"/>
      <c r="AR399" s="270"/>
      <c r="AS399" s="270"/>
      <c r="AT399" s="270"/>
      <c r="AU399" s="270"/>
      <c r="AV399" s="270"/>
      <c r="AW399" s="270"/>
      <c r="AX399" s="270"/>
      <c r="AY399" s="1072"/>
      <c r="AZ399" s="270"/>
      <c r="BA399" s="270"/>
      <c r="BB399" s="1072"/>
      <c r="BC399" s="270"/>
      <c r="BD399" s="270"/>
      <c r="BE399" s="270"/>
      <c r="BF399" s="270"/>
      <c r="BG399" s="270"/>
      <c r="BH399" s="270"/>
      <c r="BI399" s="270"/>
      <c r="BJ399" s="270"/>
      <c r="BK399" s="270"/>
      <c r="BL399" s="270"/>
      <c r="BM399" s="270"/>
      <c r="BN399" s="270"/>
      <c r="BO399" s="270"/>
      <c r="BP399" s="270"/>
      <c r="BQ399" s="270"/>
      <c r="BR399" s="270"/>
      <c r="BS399" s="270"/>
      <c r="BT399" s="270"/>
      <c r="BU399" s="270"/>
      <c r="BV399" s="270"/>
      <c r="BW399" s="270"/>
      <c r="BX399" s="270"/>
      <c r="BY399" s="270"/>
      <c r="BZ399" s="270"/>
      <c r="CA399" s="270"/>
      <c r="CB399" s="270"/>
      <c r="CC399" s="270"/>
      <c r="CD399" s="270"/>
      <c r="CE399" s="1395"/>
      <c r="CF399" s="1450"/>
      <c r="CG399" s="1450"/>
      <c r="CH399" s="270"/>
      <c r="CI399" s="270"/>
      <c r="CJ399" s="270"/>
      <c r="CK399" s="270"/>
      <c r="CL399" s="270"/>
      <c r="CM399" s="270"/>
    </row>
    <row r="400" spans="1:91" ht="13.5" hidden="1" outlineLevel="3" thickBot="1" x14ac:dyDescent="0.25">
      <c r="A400" s="270"/>
      <c r="B400" s="271"/>
      <c r="C400" s="12"/>
      <c r="D400" s="1071"/>
      <c r="E400" s="1071"/>
      <c r="F400" s="1071"/>
      <c r="G400" s="626"/>
      <c r="H400" s="271"/>
      <c r="I400" s="270"/>
      <c r="J400" s="270"/>
      <c r="K400" s="270"/>
      <c r="L400" s="270"/>
      <c r="M400" s="270"/>
      <c r="N400" s="270"/>
      <c r="O400" s="270"/>
      <c r="P400" s="1072"/>
      <c r="Q400" s="270"/>
      <c r="R400" s="270"/>
      <c r="S400" s="1072"/>
      <c r="T400" s="270"/>
      <c r="U400" s="1019"/>
      <c r="V400" s="1073"/>
      <c r="W400" s="1074"/>
      <c r="X400" s="1075" t="str">
        <f>N_Substitute</f>
        <v>Remplaçant</v>
      </c>
      <c r="Y400" s="1208"/>
      <c r="Z400" s="492"/>
      <c r="AA400" s="1076"/>
      <c r="AB400" s="1069"/>
      <c r="AC400" s="1070"/>
      <c r="AD400" s="839"/>
      <c r="AE400" s="270"/>
      <c r="AF400" s="270"/>
      <c r="AG400" s="270"/>
      <c r="AH400" s="270"/>
      <c r="AI400" s="270"/>
      <c r="AJ400" s="270"/>
      <c r="AK400" s="270"/>
      <c r="AL400" s="270"/>
      <c r="AM400" s="270"/>
      <c r="AN400" s="270"/>
      <c r="AO400" s="271"/>
      <c r="AP400" s="270"/>
      <c r="AQ400" s="270"/>
      <c r="AR400" s="270"/>
      <c r="AS400" s="270"/>
      <c r="AT400" s="270"/>
      <c r="AU400" s="270"/>
      <c r="AV400" s="270"/>
      <c r="AW400" s="270"/>
      <c r="AX400" s="270"/>
      <c r="AY400" s="1072"/>
      <c r="AZ400" s="270"/>
      <c r="BA400" s="270"/>
      <c r="BB400" s="1072"/>
      <c r="BC400" s="270"/>
      <c r="BD400" s="270"/>
      <c r="BE400" s="270"/>
      <c r="BF400" s="270"/>
      <c r="BG400" s="270"/>
      <c r="BH400" s="270"/>
      <c r="BI400" s="270"/>
      <c r="BJ400" s="270"/>
      <c r="BK400" s="270"/>
      <c r="BL400" s="270"/>
      <c r="BM400" s="270"/>
      <c r="BN400" s="270"/>
      <c r="BO400" s="270"/>
      <c r="BP400" s="270"/>
      <c r="BQ400" s="270"/>
      <c r="BR400" s="270"/>
      <c r="BS400" s="270"/>
      <c r="BT400" s="270"/>
      <c r="BU400" s="270"/>
      <c r="BV400" s="270"/>
      <c r="BW400" s="270"/>
      <c r="BX400" s="270"/>
      <c r="BY400" s="270"/>
      <c r="BZ400" s="270"/>
      <c r="CA400" s="270"/>
      <c r="CB400" s="270"/>
      <c r="CC400" s="270"/>
      <c r="CD400" s="270"/>
      <c r="CE400" s="1395"/>
      <c r="CF400" s="1450"/>
      <c r="CG400" s="1450"/>
      <c r="CH400" s="270"/>
      <c r="CI400" s="270"/>
      <c r="CJ400" s="270"/>
      <c r="CK400" s="270"/>
      <c r="CL400" s="270"/>
      <c r="CM400" s="270"/>
    </row>
    <row r="401" spans="1:91" ht="13.5" hidden="1" outlineLevel="3" thickBot="1" x14ac:dyDescent="0.25">
      <c r="A401" s="270"/>
      <c r="B401" s="271"/>
      <c r="C401" s="12"/>
      <c r="D401" s="1071"/>
      <c r="E401" s="1071"/>
      <c r="F401" s="1071"/>
      <c r="G401" s="626"/>
      <c r="H401" s="271"/>
      <c r="I401" s="270"/>
      <c r="J401" s="270"/>
      <c r="K401" s="270"/>
      <c r="L401" s="270"/>
      <c r="M401" s="270"/>
      <c r="N401" s="270"/>
      <c r="O401" s="270"/>
      <c r="P401" s="1072"/>
      <c r="Q401" s="270"/>
      <c r="R401" s="270"/>
      <c r="S401" s="1072"/>
      <c r="T401" s="270"/>
      <c r="U401" s="1019"/>
      <c r="V401" s="1119"/>
      <c r="W401" s="1120"/>
      <c r="X401" s="1075" t="str">
        <f>N_Substitute</f>
        <v>Remplaçant</v>
      </c>
      <c r="Y401" s="1208"/>
      <c r="Z401" s="492"/>
      <c r="AA401" s="1121"/>
      <c r="AB401" s="1069"/>
      <c r="AC401" s="1070"/>
      <c r="AD401" s="839"/>
      <c r="AE401" s="270"/>
      <c r="AF401" s="270"/>
      <c r="AG401" s="270"/>
      <c r="AH401" s="270"/>
      <c r="AI401" s="270"/>
      <c r="AJ401" s="270"/>
      <c r="AK401" s="270"/>
      <c r="AL401" s="270"/>
      <c r="AM401" s="270"/>
      <c r="AN401" s="270"/>
      <c r="AO401" s="271"/>
      <c r="AP401" s="270"/>
      <c r="AQ401" s="270"/>
      <c r="AR401" s="270"/>
      <c r="AS401" s="270"/>
      <c r="AT401" s="270"/>
      <c r="AU401" s="270"/>
      <c r="AV401" s="270"/>
      <c r="AW401" s="270"/>
      <c r="AX401" s="270"/>
      <c r="AY401" s="1072"/>
      <c r="AZ401" s="270"/>
      <c r="BA401" s="270"/>
      <c r="BB401" s="1072"/>
      <c r="BC401" s="270"/>
      <c r="BD401" s="270"/>
      <c r="BE401" s="270"/>
      <c r="BF401" s="270"/>
      <c r="BG401" s="270"/>
      <c r="BH401" s="270"/>
      <c r="BI401" s="270"/>
      <c r="BJ401" s="270"/>
      <c r="BK401" s="270"/>
      <c r="BL401" s="270"/>
      <c r="BM401" s="270"/>
      <c r="BN401" s="270"/>
      <c r="BO401" s="270"/>
      <c r="BP401" s="270"/>
      <c r="BQ401" s="270"/>
      <c r="BR401" s="270"/>
      <c r="BS401" s="270"/>
      <c r="BT401" s="270"/>
      <c r="BU401" s="270"/>
      <c r="BV401" s="270"/>
      <c r="BW401" s="270"/>
      <c r="BX401" s="270"/>
      <c r="BY401" s="270"/>
      <c r="BZ401" s="270"/>
      <c r="CA401" s="270"/>
      <c r="CB401" s="270"/>
      <c r="CC401" s="270"/>
      <c r="CD401" s="270"/>
      <c r="CE401" s="1395"/>
      <c r="CF401" s="1450"/>
      <c r="CG401" s="1450"/>
      <c r="CH401" s="270"/>
      <c r="CI401" s="270"/>
      <c r="CJ401" s="270"/>
      <c r="CK401" s="270"/>
      <c r="CL401" s="270"/>
      <c r="CM401" s="270"/>
    </row>
    <row r="402" spans="1:91" ht="13.5" hidden="1" outlineLevel="2" collapsed="1" thickBot="1" x14ac:dyDescent="0.25">
      <c r="A402" s="270"/>
      <c r="B402" s="271"/>
      <c r="C402" s="270"/>
      <c r="D402" s="270"/>
      <c r="E402" s="270"/>
      <c r="F402" s="270"/>
      <c r="G402" s="271"/>
      <c r="H402" s="270"/>
      <c r="I402" s="270"/>
      <c r="J402" s="270"/>
      <c r="K402" s="270"/>
      <c r="L402" s="270"/>
      <c r="M402" s="270"/>
      <c r="N402" s="270"/>
      <c r="O402" s="270"/>
      <c r="P402" s="270"/>
      <c r="Q402" s="270"/>
      <c r="R402" s="270"/>
      <c r="S402" s="270"/>
      <c r="T402" s="270"/>
      <c r="U402" s="1019" t="s">
        <v>1728</v>
      </c>
      <c r="V402" s="1187"/>
      <c r="W402" s="1195"/>
      <c r="X402" s="1534"/>
      <c r="Y402" s="1210" t="str">
        <f>G344</f>
        <v>Eq7</v>
      </c>
      <c r="Z402" s="1103" t="str">
        <f>IF(OR(ISNUMBER(Z403),ISNUMBER(Z404),ISNUMBER(Z405),ISNUMBER(Z406)),4-COUNTBLANK(AI403:AI406),"")</f>
        <v/>
      </c>
      <c r="AA402" s="1104" t="s">
        <v>769</v>
      </c>
      <c r="AB402" s="1103" t="str">
        <f>IF(OR(ISNUMBER(Z403),ISNUMBER(Z404),ISNUMBER(Z405),ISNUMBER(Z406)),4-COUNTBLANK(AJ403:AJ406),"")</f>
        <v/>
      </c>
      <c r="AC402" s="1181" t="str">
        <f>G338</f>
        <v>Eq1</v>
      </c>
      <c r="AD402" s="839"/>
      <c r="AE402" s="270" t="str">
        <f>IF(Z402="","",IF(Z402&gt;AB402,Y402,IF(Z402=AB402,IF(NoDrawWithWithdraw,IF(AL402=Y402,AC402,IF(AL402=AC402,Y402,"")),""),AC402)))</f>
        <v/>
      </c>
      <c r="AF402" s="270" t="str">
        <f>IF(Z402="","",IF(Z402=AB402,IF(NoDrawWithWithdraw,IF(AL402=Y402,"",IF(AL402=AC402,"",Y402)),Y402),""))</f>
        <v/>
      </c>
      <c r="AG402" s="270" t="str">
        <f>IF(Z402="","",IF(Z402=AB402,IF(NoDrawWithWithdraw,IF(AL402=Y402,"",IF(AL402=AC402,"",AC402)),AC402),""))</f>
        <v/>
      </c>
      <c r="AH402" s="270" t="str">
        <f>IF(Z402="","",IF(Z402&lt;AB402,Y402,IF(Z402=AB402,IF(NoDrawWithWithdraw,IF(AL402=Y402,Y402,IF(AL402=AC402,AC402,"")),""),AC402)))</f>
        <v/>
      </c>
      <c r="AI402" s="270" t="str">
        <f>IF(Z402="","",SUM(Z403:Z406))</f>
        <v/>
      </c>
      <c r="AJ402" s="270" t="str">
        <f>IF(Z402="","",SUM(AB403:AB406))</f>
        <v/>
      </c>
      <c r="AK402" s="270" t="str">
        <f>CONCATENATE(AE402,AH402)</f>
        <v/>
      </c>
      <c r="AL402" s="270" t="str">
        <f>IF(COUNTIF(Y403:Y406,WithdrawLabel)&gt;COUNTIF(AC403:AC406,WithdrawLabel),Y402,IF(COUNTIF(AC403:AC406,WithdrawLabel)&gt;COUNTIF(Y403:Y406,WithdrawLabel),AC402,""))</f>
        <v/>
      </c>
      <c r="AM402" s="270"/>
      <c r="AN402" s="270"/>
      <c r="AO402" s="575"/>
      <c r="AP402" s="270"/>
      <c r="AQ402" s="270"/>
      <c r="AR402" s="270"/>
      <c r="AS402" s="270"/>
      <c r="AT402" s="270"/>
      <c r="AU402" s="270"/>
      <c r="AV402" s="270"/>
      <c r="AW402" s="270"/>
      <c r="AX402" s="270"/>
      <c r="AY402" s="270"/>
      <c r="AZ402" s="270"/>
      <c r="BA402" s="270"/>
      <c r="BB402" s="270"/>
      <c r="BC402" s="270"/>
      <c r="BD402" s="270"/>
      <c r="BE402" s="270"/>
      <c r="BF402" s="270"/>
      <c r="BG402" s="270"/>
      <c r="BH402" s="270"/>
      <c r="BI402" s="270"/>
      <c r="BJ402" s="270"/>
      <c r="BK402" s="270"/>
      <c r="BL402" s="270"/>
      <c r="BM402" s="270"/>
      <c r="BN402" s="270"/>
      <c r="BO402" s="270"/>
      <c r="BP402" s="270"/>
      <c r="BQ402" s="270"/>
      <c r="BR402" s="270"/>
      <c r="BS402" s="270"/>
      <c r="BT402" s="270"/>
      <c r="BU402" s="270"/>
      <c r="BV402" s="270"/>
      <c r="BW402" s="270"/>
      <c r="BX402" s="270"/>
      <c r="BY402" s="270"/>
      <c r="BZ402" s="270"/>
      <c r="CA402" s="270"/>
      <c r="CB402" s="270"/>
      <c r="CC402" s="270"/>
      <c r="CD402" s="270"/>
      <c r="CE402" s="1395"/>
      <c r="CF402" s="1450"/>
      <c r="CG402" s="1450"/>
      <c r="CH402" s="270"/>
      <c r="CI402" s="270"/>
      <c r="CJ402" s="270"/>
      <c r="CK402" s="270"/>
      <c r="CL402" s="270"/>
      <c r="CM402" s="270"/>
    </row>
    <row r="403" spans="1:91" ht="13.5" hidden="1" outlineLevel="3" thickBot="1" x14ac:dyDescent="0.25">
      <c r="A403" s="270"/>
      <c r="B403" s="271"/>
      <c r="C403" s="12"/>
      <c r="D403" s="1071"/>
      <c r="E403" s="1071"/>
      <c r="F403" s="1071"/>
      <c r="G403" s="1172"/>
      <c r="H403" s="271"/>
      <c r="I403" s="270"/>
      <c r="J403" s="270"/>
      <c r="K403" s="270"/>
      <c r="L403" s="270"/>
      <c r="M403" s="270"/>
      <c r="N403" s="270"/>
      <c r="O403" s="270"/>
      <c r="P403" s="1072"/>
      <c r="Q403" s="270"/>
      <c r="R403" s="270"/>
      <c r="S403" s="1072"/>
      <c r="T403" s="270"/>
      <c r="U403" s="1019"/>
      <c r="V403" s="1118"/>
      <c r="W403" s="1177"/>
      <c r="X403" s="1212"/>
      <c r="Y403" s="1208"/>
      <c r="Z403" s="492"/>
      <c r="AA403" s="493" t="s">
        <v>769</v>
      </c>
      <c r="AB403" s="1069"/>
      <c r="AC403" s="1070"/>
      <c r="AD403" s="839"/>
      <c r="AE403" s="270" t="str">
        <f>IF(Z403="","",IF(Z403&gt;AB403,Y403,IF(Z403=AB403,"",AC403)))</f>
        <v/>
      </c>
      <c r="AF403" s="270" t="str">
        <f>IF(Z403="","",IF(Z403=AB403,Y403,""))</f>
        <v/>
      </c>
      <c r="AG403" s="270" t="str">
        <f>IF(Z403="","",IF(Z403=AB403,AC403,""))</f>
        <v/>
      </c>
      <c r="AH403" s="270" t="str">
        <f>IF(Z403="","",IF(Z403&lt;AB403,Y403,IF(Z403=AB403,"",AC403)))</f>
        <v/>
      </c>
      <c r="AI403" s="270" t="str">
        <f>IF(Z403="","",IF(Z403&gt;AB403,Y402,""))</f>
        <v/>
      </c>
      <c r="AJ403" s="270" t="str">
        <f>IF(Z403="","",IF(Z403&lt;AB403,AC402,""))</f>
        <v/>
      </c>
      <c r="AK403" s="270" t="str">
        <f>CONCATENATE(AE403,AH403)</f>
        <v/>
      </c>
      <c r="AL403" s="270"/>
      <c r="AM403" s="270"/>
      <c r="AN403" s="270"/>
      <c r="AO403" s="271"/>
      <c r="AP403" s="270"/>
      <c r="AQ403" s="270"/>
      <c r="AR403" s="270"/>
      <c r="AS403" s="270"/>
      <c r="AT403" s="270"/>
      <c r="AU403" s="270"/>
      <c r="AV403" s="270"/>
      <c r="AW403" s="270"/>
      <c r="AX403" s="270"/>
      <c r="AY403" s="1072"/>
      <c r="AZ403" s="270"/>
      <c r="BA403" s="270"/>
      <c r="BB403" s="1072"/>
      <c r="BC403" s="270"/>
      <c r="BD403" s="270"/>
      <c r="BE403" s="270"/>
      <c r="BF403" s="270"/>
      <c r="BG403" s="270"/>
      <c r="BH403" s="270"/>
      <c r="BI403" s="270"/>
      <c r="BJ403" s="270"/>
      <c r="BK403" s="270"/>
      <c r="BL403" s="270"/>
      <c r="BM403" s="270"/>
      <c r="BN403" s="270"/>
      <c r="BO403" s="270"/>
      <c r="BP403" s="270"/>
      <c r="BQ403" s="270"/>
      <c r="BR403" s="270"/>
      <c r="BS403" s="270"/>
      <c r="BT403" s="270"/>
      <c r="BU403" s="270"/>
      <c r="BV403" s="270"/>
      <c r="BW403" s="270"/>
      <c r="BX403" s="270"/>
      <c r="BY403" s="270"/>
      <c r="BZ403" s="270"/>
      <c r="CA403" s="270"/>
      <c r="CB403" s="270"/>
      <c r="CC403" s="270"/>
      <c r="CD403" s="270"/>
      <c r="CE403" s="1395"/>
      <c r="CF403" s="1450"/>
      <c r="CG403" s="1450"/>
      <c r="CH403" s="270"/>
      <c r="CI403" s="270"/>
      <c r="CJ403" s="270"/>
      <c r="CK403" s="270"/>
      <c r="CL403" s="270"/>
      <c r="CM403" s="270"/>
    </row>
    <row r="404" spans="1:91" ht="13.5" hidden="1" outlineLevel="3" thickBot="1" x14ac:dyDescent="0.25">
      <c r="A404" s="270"/>
      <c r="B404" s="271"/>
      <c r="C404" s="12"/>
      <c r="D404" s="1071"/>
      <c r="E404" s="1071"/>
      <c r="F404" s="1071"/>
      <c r="G404" s="1172"/>
      <c r="H404" s="271"/>
      <c r="I404" s="270"/>
      <c r="J404" s="270"/>
      <c r="K404" s="270"/>
      <c r="L404" s="270"/>
      <c r="M404" s="270"/>
      <c r="N404" s="270"/>
      <c r="O404" s="270"/>
      <c r="P404" s="1072"/>
      <c r="Q404" s="270"/>
      <c r="R404" s="270"/>
      <c r="S404" s="1072"/>
      <c r="T404" s="270"/>
      <c r="U404" s="1019"/>
      <c r="V404" s="1118"/>
      <c r="W404" s="1177"/>
      <c r="X404" s="1212"/>
      <c r="Y404" s="1208"/>
      <c r="Z404" s="492"/>
      <c r="AA404" s="493" t="s">
        <v>769</v>
      </c>
      <c r="AB404" s="1069"/>
      <c r="AC404" s="1070"/>
      <c r="AD404" s="839"/>
      <c r="AE404" s="270" t="str">
        <f>IF(Z404="","",IF(Z404&gt;AB404,Y404,IF(Z404=AB404,"",AC404)))</f>
        <v/>
      </c>
      <c r="AF404" s="270" t="str">
        <f>IF(Z404="","",IF(Z404=AB404,Y404,""))</f>
        <v/>
      </c>
      <c r="AG404" s="270" t="str">
        <f>IF(Z404="","",IF(Z404=AB404,AC404,""))</f>
        <v/>
      </c>
      <c r="AH404" s="270" t="str">
        <f>IF(Z404="","",IF(Z404&lt;AB404,Y404,IF(Z404=AB404,"",AC404)))</f>
        <v/>
      </c>
      <c r="AI404" s="270" t="str">
        <f>IF(Z404="","",IF(Z404&gt;AB404,Y402,""))</f>
        <v/>
      </c>
      <c r="AJ404" s="270" t="str">
        <f>IF(Z404="","",IF(Z404&lt;AB404,AC402,""))</f>
        <v/>
      </c>
      <c r="AK404" s="270" t="str">
        <f>CONCATENATE(AE404,AH404)</f>
        <v/>
      </c>
      <c r="AL404" s="270"/>
      <c r="AM404" s="270"/>
      <c r="AN404" s="270"/>
      <c r="AO404" s="271"/>
      <c r="AP404" s="270"/>
      <c r="AQ404" s="270"/>
      <c r="AR404" s="270"/>
      <c r="AS404" s="270"/>
      <c r="AT404" s="270"/>
      <c r="AU404" s="270"/>
      <c r="AV404" s="270"/>
      <c r="AW404" s="270"/>
      <c r="AX404" s="270"/>
      <c r="AY404" s="1072"/>
      <c r="AZ404" s="270"/>
      <c r="BA404" s="270"/>
      <c r="BB404" s="1072"/>
      <c r="BC404" s="270"/>
      <c r="BD404" s="270"/>
      <c r="BE404" s="270"/>
      <c r="BF404" s="270"/>
      <c r="BG404" s="270"/>
      <c r="BH404" s="270"/>
      <c r="BI404" s="270"/>
      <c r="BJ404" s="270"/>
      <c r="BK404" s="270"/>
      <c r="BL404" s="270"/>
      <c r="BM404" s="270"/>
      <c r="BN404" s="270"/>
      <c r="BO404" s="270"/>
      <c r="BP404" s="270"/>
      <c r="BQ404" s="270"/>
      <c r="BR404" s="270"/>
      <c r="BS404" s="270"/>
      <c r="BT404" s="270"/>
      <c r="BU404" s="270"/>
      <c r="BV404" s="270"/>
      <c r="BW404" s="270"/>
      <c r="BX404" s="270"/>
      <c r="BY404" s="270"/>
      <c r="BZ404" s="270"/>
      <c r="CA404" s="270"/>
      <c r="CB404" s="270"/>
      <c r="CC404" s="270"/>
      <c r="CD404" s="270"/>
      <c r="CE404" s="1395"/>
      <c r="CF404" s="1450"/>
      <c r="CG404" s="1450"/>
      <c r="CH404" s="270"/>
      <c r="CI404" s="270"/>
      <c r="CJ404" s="270"/>
      <c r="CK404" s="270"/>
      <c r="CL404" s="270"/>
      <c r="CM404" s="270"/>
    </row>
    <row r="405" spans="1:91" ht="13.5" hidden="1" outlineLevel="3" thickBot="1" x14ac:dyDescent="0.25">
      <c r="A405" s="270"/>
      <c r="B405" s="271"/>
      <c r="C405" s="12"/>
      <c r="D405" s="1071"/>
      <c r="E405" s="1071"/>
      <c r="F405" s="1071"/>
      <c r="G405" s="1172"/>
      <c r="H405" s="271"/>
      <c r="I405" s="270"/>
      <c r="J405" s="270"/>
      <c r="K405" s="270"/>
      <c r="L405" s="270"/>
      <c r="M405" s="270"/>
      <c r="N405" s="270"/>
      <c r="O405" s="270"/>
      <c r="P405" s="1072"/>
      <c r="Q405" s="270"/>
      <c r="R405" s="270"/>
      <c r="S405" s="1072"/>
      <c r="T405" s="270"/>
      <c r="U405" s="1019"/>
      <c r="V405" s="1118"/>
      <c r="W405" s="1177"/>
      <c r="X405" s="1212"/>
      <c r="Y405" s="1208"/>
      <c r="Z405" s="492"/>
      <c r="AA405" s="493" t="s">
        <v>769</v>
      </c>
      <c r="AB405" s="1069"/>
      <c r="AC405" s="1070"/>
      <c r="AD405" s="839"/>
      <c r="AE405" s="270" t="str">
        <f>IF(Z405="","",IF(Z405&gt;AB405,Y405,IF(Z405=AB405,"",AC405)))</f>
        <v/>
      </c>
      <c r="AF405" s="270" t="str">
        <f>IF(Z405="","",IF(Z405=AB405,Y405,""))</f>
        <v/>
      </c>
      <c r="AG405" s="270" t="str">
        <f>IF(Z405="","",IF(Z405=AB405,AC405,""))</f>
        <v/>
      </c>
      <c r="AH405" s="270" t="str">
        <f>IF(Z405="","",IF(Z405&lt;AB405,Y405,IF(Z405=AB405,"",AC405)))</f>
        <v/>
      </c>
      <c r="AI405" s="270" t="str">
        <f>IF(Z405="","",IF(Z405&gt;AB405,Y402,""))</f>
        <v/>
      </c>
      <c r="AJ405" s="270" t="str">
        <f>IF(Z405="","",IF(Z405&lt;AB405,AC402,""))</f>
        <v/>
      </c>
      <c r="AK405" s="270" t="str">
        <f>CONCATENATE(AE405,AH405)</f>
        <v/>
      </c>
      <c r="AL405" s="270"/>
      <c r="AM405" s="270"/>
      <c r="AN405" s="270"/>
      <c r="AO405" s="271"/>
      <c r="AP405" s="270"/>
      <c r="AQ405" s="270"/>
      <c r="AR405" s="270"/>
      <c r="AS405" s="270"/>
      <c r="AT405" s="270"/>
      <c r="AU405" s="270"/>
      <c r="AV405" s="270"/>
      <c r="AW405" s="270"/>
      <c r="AX405" s="270"/>
      <c r="AY405" s="1072"/>
      <c r="AZ405" s="270"/>
      <c r="BA405" s="270"/>
      <c r="BB405" s="1072"/>
      <c r="BC405" s="270"/>
      <c r="BD405" s="270"/>
      <c r="BE405" s="270"/>
      <c r="BF405" s="270"/>
      <c r="BG405" s="270"/>
      <c r="BH405" s="270"/>
      <c r="BI405" s="270"/>
      <c r="BJ405" s="270"/>
      <c r="BK405" s="270"/>
      <c r="BL405" s="270"/>
      <c r="BM405" s="270"/>
      <c r="BN405" s="270"/>
      <c r="BO405" s="270"/>
      <c r="BP405" s="270"/>
      <c r="BQ405" s="270"/>
      <c r="BR405" s="270"/>
      <c r="BS405" s="270"/>
      <c r="BT405" s="270"/>
      <c r="BU405" s="270"/>
      <c r="BV405" s="270"/>
      <c r="BW405" s="270"/>
      <c r="BX405" s="270"/>
      <c r="BY405" s="270"/>
      <c r="BZ405" s="270"/>
      <c r="CA405" s="270"/>
      <c r="CB405" s="270"/>
      <c r="CC405" s="270"/>
      <c r="CD405" s="270"/>
      <c r="CE405" s="1395"/>
      <c r="CF405" s="1450"/>
      <c r="CG405" s="1450"/>
      <c r="CH405" s="270"/>
      <c r="CI405" s="270"/>
      <c r="CJ405" s="270"/>
      <c r="CK405" s="270"/>
      <c r="CL405" s="270"/>
      <c r="CM405" s="270"/>
    </row>
    <row r="406" spans="1:91" ht="13.5" hidden="1" outlineLevel="3" thickBot="1" x14ac:dyDescent="0.25">
      <c r="A406" s="270"/>
      <c r="B406" s="271"/>
      <c r="C406" s="12"/>
      <c r="D406" s="1071"/>
      <c r="E406" s="1071"/>
      <c r="F406" s="1071"/>
      <c r="G406" s="1172"/>
      <c r="H406" s="271"/>
      <c r="I406" s="270"/>
      <c r="J406" s="270"/>
      <c r="K406" s="270"/>
      <c r="L406" s="270"/>
      <c r="M406" s="270"/>
      <c r="N406" s="270"/>
      <c r="O406" s="270"/>
      <c r="P406" s="1072"/>
      <c r="Q406" s="270"/>
      <c r="R406" s="270"/>
      <c r="S406" s="1072"/>
      <c r="T406" s="270"/>
      <c r="U406" s="1019"/>
      <c r="V406" s="1118"/>
      <c r="W406" s="1177"/>
      <c r="X406" s="1212"/>
      <c r="Y406" s="1208"/>
      <c r="Z406" s="492"/>
      <c r="AA406" s="493" t="s">
        <v>769</v>
      </c>
      <c r="AB406" s="1069"/>
      <c r="AC406" s="1070"/>
      <c r="AD406" s="839"/>
      <c r="AE406" s="270" t="str">
        <f>IF(Z406="","",IF(Z406&gt;AB406,Y406,IF(Z406=AB406,"",AC406)))</f>
        <v/>
      </c>
      <c r="AF406" s="270" t="str">
        <f>IF(Z406="","",IF(Z406=AB406,Y406,""))</f>
        <v/>
      </c>
      <c r="AG406" s="270" t="str">
        <f>IF(Z406="","",IF(Z406=AB406,AC406,""))</f>
        <v/>
      </c>
      <c r="AH406" s="270" t="str">
        <f>IF(Z406="","",IF(Z406&lt;AB406,Y406,IF(Z406=AB406,"",AC406)))</f>
        <v/>
      </c>
      <c r="AI406" s="270" t="str">
        <f>IF(Z406="","",IF(Z406&gt;AB406,Y402,""))</f>
        <v/>
      </c>
      <c r="AJ406" s="270" t="str">
        <f>IF(Z406="","",IF(Z406&lt;AB406,AC402,""))</f>
        <v/>
      </c>
      <c r="AK406" s="270" t="str">
        <f>CONCATENATE(AE406,AH406)</f>
        <v/>
      </c>
      <c r="AL406" s="270"/>
      <c r="AM406" s="270"/>
      <c r="AN406" s="270"/>
      <c r="AO406" s="271"/>
      <c r="AP406" s="270"/>
      <c r="AQ406" s="270"/>
      <c r="AR406" s="270"/>
      <c r="AS406" s="270"/>
      <c r="AT406" s="270"/>
      <c r="AU406" s="270"/>
      <c r="AV406" s="270"/>
      <c r="AW406" s="270"/>
      <c r="AX406" s="270"/>
      <c r="AY406" s="1072"/>
      <c r="AZ406" s="270"/>
      <c r="BA406" s="270"/>
      <c r="BB406" s="1072"/>
      <c r="BC406" s="270"/>
      <c r="BD406" s="270"/>
      <c r="BE406" s="270"/>
      <c r="BF406" s="270"/>
      <c r="BG406" s="270"/>
      <c r="BH406" s="270"/>
      <c r="BI406" s="270"/>
      <c r="BJ406" s="270"/>
      <c r="BK406" s="270"/>
      <c r="BL406" s="270"/>
      <c r="BM406" s="270"/>
      <c r="BN406" s="270"/>
      <c r="BO406" s="270"/>
      <c r="BP406" s="270"/>
      <c r="BQ406" s="270"/>
      <c r="BR406" s="270"/>
      <c r="BS406" s="270"/>
      <c r="BT406" s="270"/>
      <c r="BU406" s="270"/>
      <c r="BV406" s="270"/>
      <c r="BW406" s="270"/>
      <c r="BX406" s="270"/>
      <c r="BY406" s="270"/>
      <c r="BZ406" s="270"/>
      <c r="CA406" s="270"/>
      <c r="CB406" s="270"/>
      <c r="CC406" s="270"/>
      <c r="CD406" s="270"/>
      <c r="CE406" s="1395"/>
      <c r="CF406" s="1450"/>
      <c r="CG406" s="1450"/>
      <c r="CH406" s="270"/>
      <c r="CI406" s="270"/>
      <c r="CJ406" s="270"/>
      <c r="CK406" s="270"/>
      <c r="CL406" s="270"/>
      <c r="CM406" s="270"/>
    </row>
    <row r="407" spans="1:91" ht="13.5" hidden="1" outlineLevel="3" thickBot="1" x14ac:dyDescent="0.25">
      <c r="A407" s="270"/>
      <c r="B407" s="271"/>
      <c r="C407" s="12"/>
      <c r="D407" s="1071"/>
      <c r="E407" s="1071"/>
      <c r="F407" s="1071"/>
      <c r="G407" s="626"/>
      <c r="H407" s="271"/>
      <c r="I407" s="270"/>
      <c r="J407" s="270"/>
      <c r="K407" s="270"/>
      <c r="L407" s="270"/>
      <c r="M407" s="270"/>
      <c r="N407" s="270"/>
      <c r="O407" s="270"/>
      <c r="P407" s="1072"/>
      <c r="Q407" s="270"/>
      <c r="R407" s="270"/>
      <c r="S407" s="1072"/>
      <c r="T407" s="270"/>
      <c r="U407" s="1019"/>
      <c r="V407" s="1073"/>
      <c r="W407" s="1074"/>
      <c r="X407" s="1075" t="str">
        <f>N_Substitute</f>
        <v>Remplaçant</v>
      </c>
      <c r="Y407" s="1208"/>
      <c r="Z407" s="492"/>
      <c r="AA407" s="1076"/>
      <c r="AB407" s="1069"/>
      <c r="AC407" s="1070"/>
      <c r="AD407" s="839"/>
      <c r="AE407" s="270"/>
      <c r="AF407" s="270"/>
      <c r="AG407" s="270"/>
      <c r="AH407" s="270"/>
      <c r="AI407" s="270"/>
      <c r="AJ407" s="270"/>
      <c r="AK407" s="270"/>
      <c r="AL407" s="270"/>
      <c r="AM407" s="270"/>
      <c r="AN407" s="270"/>
      <c r="AO407" s="271"/>
      <c r="AP407" s="270"/>
      <c r="AQ407" s="270"/>
      <c r="AR407" s="270"/>
      <c r="AS407" s="270"/>
      <c r="AT407" s="270"/>
      <c r="AU407" s="270"/>
      <c r="AV407" s="270"/>
      <c r="AW407" s="270"/>
      <c r="AX407" s="270"/>
      <c r="AY407" s="1072"/>
      <c r="AZ407" s="270"/>
      <c r="BA407" s="270"/>
      <c r="BB407" s="1072"/>
      <c r="BC407" s="270"/>
      <c r="BD407" s="270"/>
      <c r="BE407" s="270"/>
      <c r="BF407" s="270"/>
      <c r="BG407" s="270"/>
      <c r="BH407" s="270"/>
      <c r="BI407" s="270"/>
      <c r="BJ407" s="270"/>
      <c r="BK407" s="270"/>
      <c r="BL407" s="270"/>
      <c r="BM407" s="270"/>
      <c r="BN407" s="270"/>
      <c r="BO407" s="270"/>
      <c r="BP407" s="270"/>
      <c r="BQ407" s="270"/>
      <c r="BR407" s="270"/>
      <c r="BS407" s="270"/>
      <c r="BT407" s="270"/>
      <c r="BU407" s="270"/>
      <c r="BV407" s="270"/>
      <c r="BW407" s="270"/>
      <c r="BX407" s="270"/>
      <c r="BY407" s="270"/>
      <c r="BZ407" s="270"/>
      <c r="CA407" s="270"/>
      <c r="CB407" s="270"/>
      <c r="CC407" s="270"/>
      <c r="CD407" s="270"/>
      <c r="CE407" s="1395"/>
      <c r="CF407" s="1450"/>
      <c r="CG407" s="1450"/>
      <c r="CH407" s="270"/>
      <c r="CI407" s="270"/>
      <c r="CJ407" s="270"/>
      <c r="CK407" s="270"/>
      <c r="CL407" s="270"/>
      <c r="CM407" s="270"/>
    </row>
    <row r="408" spans="1:91" ht="13.5" hidden="1" outlineLevel="3" thickBot="1" x14ac:dyDescent="0.25">
      <c r="A408" s="270"/>
      <c r="B408" s="271"/>
      <c r="C408" s="12"/>
      <c r="D408" s="1071"/>
      <c r="E408" s="1071"/>
      <c r="F408" s="1071"/>
      <c r="G408" s="626"/>
      <c r="H408" s="271"/>
      <c r="I408" s="270"/>
      <c r="J408" s="270"/>
      <c r="K408" s="270"/>
      <c r="L408" s="270"/>
      <c r="M408" s="270"/>
      <c r="N408" s="270"/>
      <c r="O408" s="270"/>
      <c r="P408" s="1072"/>
      <c r="Q408" s="270"/>
      <c r="R408" s="270"/>
      <c r="S408" s="1072"/>
      <c r="T408" s="270"/>
      <c r="U408" s="1019"/>
      <c r="V408" s="1087"/>
      <c r="W408" s="1088"/>
      <c r="X408" s="1089" t="str">
        <f>N_Substitute</f>
        <v>Remplaçant</v>
      </c>
      <c r="Y408" s="1213"/>
      <c r="Z408" s="496"/>
      <c r="AA408" s="1090"/>
      <c r="AB408" s="496"/>
      <c r="AC408" s="1092"/>
      <c r="AD408" s="839"/>
      <c r="AE408" s="270"/>
      <c r="AF408" s="270"/>
      <c r="AG408" s="270"/>
      <c r="AH408" s="270"/>
      <c r="AI408" s="270"/>
      <c r="AJ408" s="270"/>
      <c r="AK408" s="270"/>
      <c r="AL408" s="270"/>
      <c r="AM408" s="270"/>
      <c r="AN408" s="270"/>
      <c r="AO408" s="271"/>
      <c r="AP408" s="270"/>
      <c r="AQ408" s="270"/>
      <c r="AR408" s="270"/>
      <c r="AS408" s="270"/>
      <c r="AT408" s="270"/>
      <c r="AU408" s="270"/>
      <c r="AV408" s="270"/>
      <c r="AW408" s="270"/>
      <c r="AX408" s="270"/>
      <c r="AY408" s="1072"/>
      <c r="AZ408" s="270"/>
      <c r="BA408" s="270"/>
      <c r="BB408" s="1072"/>
      <c r="BC408" s="270"/>
      <c r="BD408" s="270"/>
      <c r="BE408" s="270"/>
      <c r="BF408" s="270"/>
      <c r="BG408" s="270"/>
      <c r="BH408" s="270"/>
      <c r="BI408" s="270"/>
      <c r="BJ408" s="270"/>
      <c r="BK408" s="270"/>
      <c r="BL408" s="270"/>
      <c r="BM408" s="270"/>
      <c r="BN408" s="270"/>
      <c r="BO408" s="270"/>
      <c r="BP408" s="270"/>
      <c r="BQ408" s="270"/>
      <c r="BR408" s="270"/>
      <c r="BS408" s="270"/>
      <c r="BT408" s="270"/>
      <c r="BU408" s="270"/>
      <c r="BV408" s="270"/>
      <c r="BW408" s="270"/>
      <c r="BX408" s="270"/>
      <c r="BY408" s="270"/>
      <c r="BZ408" s="270"/>
      <c r="CA408" s="270"/>
      <c r="CB408" s="270"/>
      <c r="CC408" s="270"/>
      <c r="CD408" s="270"/>
      <c r="CE408" s="1395"/>
      <c r="CF408" s="1450"/>
      <c r="CG408" s="1450"/>
      <c r="CH408" s="270"/>
      <c r="CI408" s="270"/>
      <c r="CJ408" s="270"/>
      <c r="CK408" s="270"/>
      <c r="CL408" s="270"/>
      <c r="CM408" s="270"/>
    </row>
    <row r="409" spans="1:91" hidden="1" outlineLevel="2" collapsed="1" x14ac:dyDescent="0.2">
      <c r="A409" s="270"/>
      <c r="B409" s="271"/>
      <c r="C409" s="12"/>
      <c r="D409" s="1071"/>
      <c r="E409" s="1071"/>
      <c r="F409" s="1071"/>
      <c r="G409" s="1172"/>
      <c r="H409" s="271"/>
      <c r="I409" s="270"/>
      <c r="J409" s="270"/>
      <c r="K409" s="270"/>
      <c r="L409" s="270"/>
      <c r="M409" s="270"/>
      <c r="N409" s="270"/>
      <c r="O409" s="270"/>
      <c r="P409" s="1072"/>
      <c r="Q409" s="270"/>
      <c r="R409" s="270"/>
      <c r="S409" s="1072"/>
      <c r="T409" s="270"/>
      <c r="U409" s="1019" t="s">
        <v>1729</v>
      </c>
      <c r="V409" s="1173"/>
      <c r="W409" s="1525"/>
      <c r="X409" s="1535"/>
      <c r="Y409" s="1214" t="str">
        <f>G338</f>
        <v>Eq1</v>
      </c>
      <c r="Z409" s="1063" t="str">
        <f>IF(OR(ISNUMBER(Z410),ISNUMBER(Z411),ISNUMBER(Z412),ISNUMBER(Z413)),4-COUNTBLANK(AI410:AI413),"")</f>
        <v/>
      </c>
      <c r="AA409" s="1064" t="s">
        <v>769</v>
      </c>
      <c r="AB409" s="1063" t="str">
        <f>IF(OR(ISNUMBER(Z410),ISNUMBER(Z411),ISNUMBER(Z412),ISNUMBER(Z413)),4-COUNTBLANK(AJ410:AJ413),"")</f>
        <v/>
      </c>
      <c r="AC409" s="1175" t="str">
        <f>G339</f>
        <v>Eq2</v>
      </c>
      <c r="AD409" s="839"/>
      <c r="AE409" s="270" t="str">
        <f>IF(Z409="","",IF(Z409&gt;AB409,Y409,IF(Z409=AB409,IF(NoDrawWithWithdraw,IF(AL409=Y409,AC409,IF(AL409=AC409,Y409,"")),""),AC409)))</f>
        <v/>
      </c>
      <c r="AF409" s="270" t="str">
        <f>IF(Z409="","",IF(Z409=AB409,IF(NoDrawWithWithdraw,IF(AL409=Y409,"",IF(AL409=AC409,"",Y409)),Y409),""))</f>
        <v/>
      </c>
      <c r="AG409" s="270" t="str">
        <f>IF(Z409="","",IF(Z409=AB409,IF(NoDrawWithWithdraw,IF(AL409=Y409,"",IF(AL409=AC409,"",AC409)),AC409),""))</f>
        <v/>
      </c>
      <c r="AH409" s="270" t="str">
        <f>IF(Z409="","",IF(Z409&lt;AB409,Y409,IF(Z409=AB409,IF(NoDrawWithWithdraw,IF(AL409=Y409,Y409,IF(AL409=AC409,AC409,"")),""),AC409)))</f>
        <v/>
      </c>
      <c r="AI409" s="270" t="str">
        <f>IF(Z409="","",SUM(Z410:Z413))</f>
        <v/>
      </c>
      <c r="AJ409" s="270" t="str">
        <f>IF(Z409="","",SUM(AB410:AB413))</f>
        <v/>
      </c>
      <c r="AK409" s="270" t="str">
        <f>CONCATENATE(AE409,AH409)</f>
        <v/>
      </c>
      <c r="AL409" s="270" t="str">
        <f>IF(COUNTIF(Y410:Y413,WithdrawLabel)&gt;COUNTIF(AC410:AC413,WithdrawLabel),Y409,IF(COUNTIF(AC410:AC413,WithdrawLabel)&gt;COUNTIF(Y410:Y413,WithdrawLabel),AC409,""))</f>
        <v/>
      </c>
      <c r="AM409" s="270"/>
      <c r="AN409" s="270"/>
      <c r="AO409" s="271"/>
      <c r="AP409" s="270"/>
      <c r="AQ409" s="270"/>
      <c r="AR409" s="270"/>
      <c r="AS409" s="270"/>
      <c r="AT409" s="270"/>
      <c r="AU409" s="270"/>
      <c r="AV409" s="270"/>
      <c r="AW409" s="270"/>
      <c r="AX409" s="270"/>
      <c r="AY409" s="1072"/>
      <c r="AZ409" s="270"/>
      <c r="BA409" s="270"/>
      <c r="BB409" s="1072"/>
      <c r="BC409" s="270"/>
      <c r="BD409" s="270"/>
      <c r="BE409" s="270"/>
      <c r="BF409" s="270"/>
      <c r="BG409" s="270"/>
      <c r="BH409" s="270"/>
      <c r="BI409" s="270"/>
      <c r="BJ409" s="270"/>
      <c r="BK409" s="270"/>
      <c r="BL409" s="270"/>
      <c r="BM409" s="270"/>
      <c r="BN409" s="270"/>
      <c r="BO409" s="270"/>
      <c r="BP409" s="270"/>
      <c r="BQ409" s="270"/>
      <c r="BR409" s="270"/>
      <c r="BS409" s="270"/>
      <c r="BT409" s="270"/>
      <c r="BU409" s="270"/>
      <c r="BV409" s="270"/>
      <c r="BW409" s="270"/>
      <c r="BX409" s="270"/>
      <c r="BY409" s="270"/>
      <c r="BZ409" s="270"/>
      <c r="CA409" s="270"/>
      <c r="CB409" s="270"/>
      <c r="CC409" s="270"/>
      <c r="CD409" s="270"/>
      <c r="CE409" s="1395"/>
      <c r="CF409" s="1450"/>
      <c r="CG409" s="1450"/>
      <c r="CH409" s="270"/>
      <c r="CI409" s="270"/>
      <c r="CJ409" s="270"/>
      <c r="CK409" s="270"/>
      <c r="CL409" s="270"/>
      <c r="CM409" s="270"/>
    </row>
    <row r="410" spans="1:91" ht="13.5" hidden="1" outlineLevel="3" thickBot="1" x14ac:dyDescent="0.25">
      <c r="A410" s="270"/>
      <c r="B410" s="271"/>
      <c r="C410" s="12"/>
      <c r="D410" s="1071"/>
      <c r="E410" s="1071"/>
      <c r="F410" s="1071"/>
      <c r="G410" s="1172"/>
      <c r="H410" s="271"/>
      <c r="I410" s="270"/>
      <c r="J410" s="270"/>
      <c r="K410" s="270"/>
      <c r="L410" s="270"/>
      <c r="M410" s="270"/>
      <c r="N410" s="270"/>
      <c r="O410" s="270"/>
      <c r="P410" s="1072"/>
      <c r="Q410" s="270"/>
      <c r="R410" s="270"/>
      <c r="S410" s="1072"/>
      <c r="T410" s="270"/>
      <c r="U410" s="1019"/>
      <c r="V410" s="1176"/>
      <c r="W410" s="1177"/>
      <c r="X410" s="1207"/>
      <c r="Y410" s="1208"/>
      <c r="Z410" s="492"/>
      <c r="AA410" s="493" t="s">
        <v>769</v>
      </c>
      <c r="AB410" s="1069"/>
      <c r="AC410" s="1070"/>
      <c r="AD410" s="839"/>
      <c r="AE410" s="270" t="str">
        <f>IF(Z410="","",IF(Z410&gt;AB410,Y410,IF(Z410=AB410,"",AC410)))</f>
        <v/>
      </c>
      <c r="AF410" s="270" t="str">
        <f>IF(Z410="","",IF(Z410=AB410,Y410,""))</f>
        <v/>
      </c>
      <c r="AG410" s="270" t="str">
        <f>IF(Z410="","",IF(Z410=AB410,AC410,""))</f>
        <v/>
      </c>
      <c r="AH410" s="270" t="str">
        <f>IF(Z410="","",IF(Z410&lt;AB410,Y410,IF(Z410=AB410,"",AC410)))</f>
        <v/>
      </c>
      <c r="AI410" s="270" t="str">
        <f>IF(Z410="","",IF(Z410&gt;AB410,Y409,""))</f>
        <v/>
      </c>
      <c r="AJ410" s="270" t="str">
        <f>IF(Z410="","",IF(Z410&lt;AB410,AC409,""))</f>
        <v/>
      </c>
      <c r="AK410" s="270" t="str">
        <f>CONCATENATE(AE410,AH410)</f>
        <v/>
      </c>
      <c r="AL410" s="270"/>
      <c r="AM410" s="270"/>
      <c r="AN410" s="270"/>
      <c r="AO410" s="271"/>
      <c r="AP410" s="270"/>
      <c r="AQ410" s="270"/>
      <c r="AR410" s="270"/>
      <c r="AS410" s="270"/>
      <c r="AT410" s="270"/>
      <c r="AU410" s="270"/>
      <c r="AV410" s="270"/>
      <c r="AW410" s="270"/>
      <c r="AX410" s="270"/>
      <c r="AY410" s="1072"/>
      <c r="AZ410" s="270"/>
      <c r="BA410" s="270"/>
      <c r="BB410" s="1072"/>
      <c r="BC410" s="270"/>
      <c r="BD410" s="270"/>
      <c r="BE410" s="270"/>
      <c r="BF410" s="270"/>
      <c r="BG410" s="270"/>
      <c r="BH410" s="270"/>
      <c r="BI410" s="270"/>
      <c r="BJ410" s="270"/>
      <c r="BK410" s="270"/>
      <c r="BL410" s="270"/>
      <c r="BM410" s="270"/>
      <c r="BN410" s="270"/>
      <c r="BO410" s="270"/>
      <c r="BP410" s="270"/>
      <c r="BQ410" s="270"/>
      <c r="BR410" s="270"/>
      <c r="BS410" s="270"/>
      <c r="BT410" s="270"/>
      <c r="BU410" s="270"/>
      <c r="BV410" s="270"/>
      <c r="BW410" s="270"/>
      <c r="BX410" s="270"/>
      <c r="BY410" s="270"/>
      <c r="BZ410" s="270"/>
      <c r="CA410" s="270"/>
      <c r="CB410" s="270"/>
      <c r="CC410" s="270"/>
      <c r="CD410" s="270"/>
      <c r="CE410" s="1395"/>
      <c r="CF410" s="1450"/>
      <c r="CG410" s="1450"/>
      <c r="CH410" s="270"/>
      <c r="CI410" s="270"/>
      <c r="CJ410" s="270"/>
      <c r="CK410" s="270"/>
      <c r="CL410" s="270"/>
      <c r="CM410" s="270"/>
    </row>
    <row r="411" spans="1:91" ht="13.5" hidden="1" outlineLevel="3" thickBot="1" x14ac:dyDescent="0.25">
      <c r="A411" s="270"/>
      <c r="B411" s="271"/>
      <c r="C411" s="12"/>
      <c r="D411" s="1071"/>
      <c r="E411" s="1071"/>
      <c r="F411" s="1071"/>
      <c r="G411" s="1172"/>
      <c r="H411" s="271"/>
      <c r="I411" s="270"/>
      <c r="J411" s="270"/>
      <c r="K411" s="270"/>
      <c r="L411" s="270"/>
      <c r="M411" s="270"/>
      <c r="N411" s="270"/>
      <c r="O411" s="270"/>
      <c r="P411" s="1072"/>
      <c r="Q411" s="270"/>
      <c r="R411" s="270"/>
      <c r="S411" s="1072"/>
      <c r="T411" s="270"/>
      <c r="U411" s="1019"/>
      <c r="V411" s="1176"/>
      <c r="W411" s="1177"/>
      <c r="X411" s="1207"/>
      <c r="Y411" s="1208"/>
      <c r="Z411" s="492"/>
      <c r="AA411" s="493" t="s">
        <v>769</v>
      </c>
      <c r="AB411" s="1069"/>
      <c r="AC411" s="1070"/>
      <c r="AD411" s="839"/>
      <c r="AE411" s="270" t="str">
        <f>IF(Z411="","",IF(Z411&gt;AB411,Y411,IF(Z411=AB411,"",AC411)))</f>
        <v/>
      </c>
      <c r="AF411" s="270" t="str">
        <f>IF(Z411="","",IF(Z411=AB411,Y411,""))</f>
        <v/>
      </c>
      <c r="AG411" s="270" t="str">
        <f>IF(Z411="","",IF(Z411=AB411,AC411,""))</f>
        <v/>
      </c>
      <c r="AH411" s="270" t="str">
        <f>IF(Z411="","",IF(Z411&lt;AB411,Y411,IF(Z411=AB411,"",AC411)))</f>
        <v/>
      </c>
      <c r="AI411" s="270" t="str">
        <f>IF(Z411="","",IF(Z411&gt;AB411,Y409,""))</f>
        <v/>
      </c>
      <c r="AJ411" s="270" t="str">
        <f>IF(Z411="","",IF(Z411&lt;AB411,AC409,""))</f>
        <v/>
      </c>
      <c r="AK411" s="270" t="str">
        <f>CONCATENATE(AE411,AH411)</f>
        <v/>
      </c>
      <c r="AL411" s="270"/>
      <c r="AM411" s="270"/>
      <c r="AN411" s="270"/>
      <c r="AO411" s="271"/>
      <c r="AP411" s="270"/>
      <c r="AQ411" s="270"/>
      <c r="AR411" s="270"/>
      <c r="AS411" s="270"/>
      <c r="AT411" s="270"/>
      <c r="AU411" s="270"/>
      <c r="AV411" s="270"/>
      <c r="AW411" s="270"/>
      <c r="AX411" s="270"/>
      <c r="AY411" s="1072"/>
      <c r="AZ411" s="270"/>
      <c r="BA411" s="270"/>
      <c r="BB411" s="1072"/>
      <c r="BC411" s="270"/>
      <c r="BD411" s="270"/>
      <c r="BE411" s="270"/>
      <c r="BF411" s="270"/>
      <c r="BG411" s="270"/>
      <c r="BH411" s="270"/>
      <c r="BI411" s="270"/>
      <c r="BJ411" s="270"/>
      <c r="BK411" s="270"/>
      <c r="BL411" s="270"/>
      <c r="BM411" s="270"/>
      <c r="BN411" s="270"/>
      <c r="BO411" s="270"/>
      <c r="BP411" s="270"/>
      <c r="BQ411" s="270"/>
      <c r="BR411" s="270"/>
      <c r="BS411" s="270"/>
      <c r="BT411" s="270"/>
      <c r="BU411" s="270"/>
      <c r="BV411" s="270"/>
      <c r="BW411" s="270"/>
      <c r="BX411" s="270"/>
      <c r="BY411" s="270"/>
      <c r="BZ411" s="270"/>
      <c r="CA411" s="270"/>
      <c r="CB411" s="270"/>
      <c r="CC411" s="270"/>
      <c r="CD411" s="270"/>
      <c r="CE411" s="1395"/>
      <c r="CF411" s="1450"/>
      <c r="CG411" s="1450"/>
      <c r="CH411" s="270"/>
      <c r="CI411" s="270"/>
      <c r="CJ411" s="270"/>
      <c r="CK411" s="270"/>
      <c r="CL411" s="270"/>
      <c r="CM411" s="270"/>
    </row>
    <row r="412" spans="1:91" ht="13.5" hidden="1" outlineLevel="3" thickBot="1" x14ac:dyDescent="0.25">
      <c r="A412" s="270"/>
      <c r="B412" s="271"/>
      <c r="C412" s="12"/>
      <c r="D412" s="1071"/>
      <c r="E412" s="1071"/>
      <c r="F412" s="1071"/>
      <c r="G412" s="1172"/>
      <c r="H412" s="271"/>
      <c r="I412" s="270"/>
      <c r="J412" s="270"/>
      <c r="K412" s="270"/>
      <c r="L412" s="270"/>
      <c r="M412" s="270"/>
      <c r="N412" s="270"/>
      <c r="O412" s="270"/>
      <c r="P412" s="1072"/>
      <c r="Q412" s="270"/>
      <c r="R412" s="270"/>
      <c r="S412" s="1072"/>
      <c r="T412" s="270"/>
      <c r="U412" s="1019"/>
      <c r="V412" s="1176"/>
      <c r="W412" s="1177"/>
      <c r="X412" s="1207"/>
      <c r="Y412" s="1208"/>
      <c r="Z412" s="492"/>
      <c r="AA412" s="493" t="s">
        <v>769</v>
      </c>
      <c r="AB412" s="1069"/>
      <c r="AC412" s="1070"/>
      <c r="AD412" s="839"/>
      <c r="AE412" s="270" t="str">
        <f>IF(Z412="","",IF(Z412&gt;AB412,Y412,IF(Z412=AB412,"",AC412)))</f>
        <v/>
      </c>
      <c r="AF412" s="270" t="str">
        <f>IF(Z412="","",IF(Z412=AB412,Y412,""))</f>
        <v/>
      </c>
      <c r="AG412" s="270" t="str">
        <f>IF(Z412="","",IF(Z412=AB412,AC412,""))</f>
        <v/>
      </c>
      <c r="AH412" s="270" t="str">
        <f>IF(Z412="","",IF(Z412&lt;AB412,Y412,IF(Z412=AB412,"",AC412)))</f>
        <v/>
      </c>
      <c r="AI412" s="270" t="str">
        <f>IF(Z412="","",IF(Z412&gt;AB412,Y409,""))</f>
        <v/>
      </c>
      <c r="AJ412" s="270" t="str">
        <f>IF(Z412="","",IF(Z412&lt;AB412,AC409,""))</f>
        <v/>
      </c>
      <c r="AK412" s="270" t="str">
        <f>CONCATENATE(AE412,AH412)</f>
        <v/>
      </c>
      <c r="AL412" s="270"/>
      <c r="AM412" s="270"/>
      <c r="AN412" s="270"/>
      <c r="AO412" s="271"/>
      <c r="AP412" s="270"/>
      <c r="AQ412" s="270"/>
      <c r="AR412" s="270"/>
      <c r="AS412" s="270"/>
      <c r="AT412" s="270"/>
      <c r="AU412" s="270"/>
      <c r="AV412" s="270"/>
      <c r="AW412" s="270"/>
      <c r="AX412" s="270"/>
      <c r="AY412" s="1072"/>
      <c r="AZ412" s="270"/>
      <c r="BA412" s="270"/>
      <c r="BB412" s="1072"/>
      <c r="BC412" s="270"/>
      <c r="BD412" s="270"/>
      <c r="BE412" s="270"/>
      <c r="BF412" s="270"/>
      <c r="BG412" s="270"/>
      <c r="BH412" s="270"/>
      <c r="BI412" s="270"/>
      <c r="BJ412" s="270"/>
      <c r="BK412" s="270"/>
      <c r="BL412" s="270"/>
      <c r="BM412" s="270"/>
      <c r="BN412" s="270"/>
      <c r="BO412" s="270"/>
      <c r="BP412" s="270"/>
      <c r="BQ412" s="270"/>
      <c r="BR412" s="270"/>
      <c r="BS412" s="270"/>
      <c r="BT412" s="270"/>
      <c r="BU412" s="270"/>
      <c r="BV412" s="270"/>
      <c r="BW412" s="270"/>
      <c r="BX412" s="270"/>
      <c r="BY412" s="270"/>
      <c r="BZ412" s="270"/>
      <c r="CA412" s="270"/>
      <c r="CB412" s="270"/>
      <c r="CC412" s="270"/>
      <c r="CD412" s="270"/>
      <c r="CE412" s="1395"/>
      <c r="CF412" s="1450"/>
      <c r="CG412" s="1450"/>
      <c r="CH412" s="270"/>
      <c r="CI412" s="270"/>
      <c r="CJ412" s="270"/>
      <c r="CK412" s="270"/>
      <c r="CL412" s="270"/>
      <c r="CM412" s="270"/>
    </row>
    <row r="413" spans="1:91" ht="13.5" hidden="1" outlineLevel="3" thickBot="1" x14ac:dyDescent="0.25">
      <c r="A413" s="270"/>
      <c r="B413" s="271"/>
      <c r="C413" s="12"/>
      <c r="D413" s="1071"/>
      <c r="E413" s="1071"/>
      <c r="F413" s="1071"/>
      <c r="G413" s="1172"/>
      <c r="H413" s="271"/>
      <c r="I413" s="270"/>
      <c r="J413" s="270"/>
      <c r="K413" s="270"/>
      <c r="L413" s="270"/>
      <c r="M413" s="270"/>
      <c r="N413" s="270"/>
      <c r="O413" s="270"/>
      <c r="P413" s="1072"/>
      <c r="Q413" s="270"/>
      <c r="R413" s="270"/>
      <c r="S413" s="1072"/>
      <c r="T413" s="270"/>
      <c r="U413" s="1019"/>
      <c r="V413" s="1176"/>
      <c r="W413" s="1177"/>
      <c r="X413" s="1207"/>
      <c r="Y413" s="1208"/>
      <c r="Z413" s="492"/>
      <c r="AA413" s="493" t="s">
        <v>769</v>
      </c>
      <c r="AB413" s="1069"/>
      <c r="AC413" s="1070"/>
      <c r="AD413" s="839"/>
      <c r="AE413" s="270" t="str">
        <f>IF(Z413="","",IF(Z413&gt;AB413,Y413,IF(Z413=AB413,"",AC413)))</f>
        <v/>
      </c>
      <c r="AF413" s="270" t="str">
        <f>IF(Z413="","",IF(Z413=AB413,Y413,""))</f>
        <v/>
      </c>
      <c r="AG413" s="270" t="str">
        <f>IF(Z413="","",IF(Z413=AB413,AC413,""))</f>
        <v/>
      </c>
      <c r="AH413" s="270" t="str">
        <f>IF(Z413="","",IF(Z413&lt;AB413,Y413,IF(Z413=AB413,"",AC413)))</f>
        <v/>
      </c>
      <c r="AI413" s="270" t="str">
        <f>IF(Z413="","",IF(Z413&gt;AB413,Y409,""))</f>
        <v/>
      </c>
      <c r="AJ413" s="270" t="str">
        <f>IF(Z413="","",IF(Z413&lt;AB413,AC409,""))</f>
        <v/>
      </c>
      <c r="AK413" s="270" t="str">
        <f>CONCATENATE(AE413,AH413)</f>
        <v/>
      </c>
      <c r="AL413" s="270"/>
      <c r="AM413" s="270"/>
      <c r="AN413" s="270"/>
      <c r="AO413" s="271"/>
      <c r="AP413" s="270"/>
      <c r="AQ413" s="270"/>
      <c r="AR413" s="270"/>
      <c r="AS413" s="270"/>
      <c r="AT413" s="270"/>
      <c r="AU413" s="270"/>
      <c r="AV413" s="270"/>
      <c r="AW413" s="270"/>
      <c r="AX413" s="270"/>
      <c r="AY413" s="1072"/>
      <c r="AZ413" s="270"/>
      <c r="BA413" s="270"/>
      <c r="BB413" s="1072"/>
      <c r="BC413" s="270"/>
      <c r="BD413" s="270"/>
      <c r="BE413" s="270"/>
      <c r="BF413" s="270"/>
      <c r="BG413" s="270"/>
      <c r="BH413" s="270"/>
      <c r="BI413" s="270"/>
      <c r="BJ413" s="270"/>
      <c r="BK413" s="270"/>
      <c r="BL413" s="270"/>
      <c r="BM413" s="270"/>
      <c r="BN413" s="270"/>
      <c r="BO413" s="270"/>
      <c r="BP413" s="270"/>
      <c r="BQ413" s="270"/>
      <c r="BR413" s="270"/>
      <c r="BS413" s="270"/>
      <c r="BT413" s="270"/>
      <c r="BU413" s="270"/>
      <c r="BV413" s="270"/>
      <c r="BW413" s="270"/>
      <c r="BX413" s="270"/>
      <c r="BY413" s="270"/>
      <c r="BZ413" s="270"/>
      <c r="CA413" s="270"/>
      <c r="CB413" s="270"/>
      <c r="CC413" s="270"/>
      <c r="CD413" s="270"/>
      <c r="CE413" s="1395"/>
      <c r="CF413" s="1450"/>
      <c r="CG413" s="1450"/>
      <c r="CH413" s="270"/>
      <c r="CI413" s="270"/>
      <c r="CJ413" s="270"/>
      <c r="CK413" s="270"/>
      <c r="CL413" s="270"/>
      <c r="CM413" s="270"/>
    </row>
    <row r="414" spans="1:91" ht="13.5" hidden="1" outlineLevel="3" thickBot="1" x14ac:dyDescent="0.25">
      <c r="A414" s="270"/>
      <c r="B414" s="271"/>
      <c r="C414" s="12"/>
      <c r="D414" s="1071"/>
      <c r="E414" s="1071"/>
      <c r="F414" s="1071"/>
      <c r="G414" s="626"/>
      <c r="H414" s="271"/>
      <c r="I414" s="270"/>
      <c r="J414" s="270"/>
      <c r="K414" s="270"/>
      <c r="L414" s="270"/>
      <c r="M414" s="270"/>
      <c r="N414" s="270"/>
      <c r="O414" s="270"/>
      <c r="P414" s="1072"/>
      <c r="Q414" s="270"/>
      <c r="R414" s="270"/>
      <c r="S414" s="1072"/>
      <c r="T414" s="270"/>
      <c r="U414" s="1019"/>
      <c r="V414" s="1073"/>
      <c r="W414" s="1074"/>
      <c r="X414" s="1075" t="str">
        <f>N_Substitute</f>
        <v>Remplaçant</v>
      </c>
      <c r="Y414" s="1208"/>
      <c r="Z414" s="492"/>
      <c r="AA414" s="1076"/>
      <c r="AB414" s="1069"/>
      <c r="AC414" s="1070"/>
      <c r="AD414" s="839"/>
      <c r="AE414" s="270"/>
      <c r="AF414" s="270"/>
      <c r="AG414" s="270"/>
      <c r="AH414" s="270"/>
      <c r="AI414" s="270"/>
      <c r="AJ414" s="270"/>
      <c r="AK414" s="270"/>
      <c r="AL414" s="270"/>
      <c r="AM414" s="270"/>
      <c r="AN414" s="270"/>
      <c r="AO414" s="271"/>
      <c r="AP414" s="270"/>
      <c r="AQ414" s="270"/>
      <c r="AR414" s="270"/>
      <c r="AS414" s="270"/>
      <c r="AT414" s="270"/>
      <c r="AU414" s="270"/>
      <c r="AV414" s="270"/>
      <c r="AW414" s="270"/>
      <c r="AX414" s="270"/>
      <c r="AY414" s="1072"/>
      <c r="AZ414" s="270"/>
      <c r="BA414" s="270"/>
      <c r="BB414" s="1072"/>
      <c r="BC414" s="270"/>
      <c r="BD414" s="270"/>
      <c r="BE414" s="270"/>
      <c r="BF414" s="270"/>
      <c r="BG414" s="270"/>
      <c r="BH414" s="270"/>
      <c r="BI414" s="270"/>
      <c r="BJ414" s="270"/>
      <c r="BK414" s="270"/>
      <c r="BL414" s="270"/>
      <c r="BM414" s="270"/>
      <c r="BN414" s="270"/>
      <c r="BO414" s="270"/>
      <c r="BP414" s="270"/>
      <c r="BQ414" s="270"/>
      <c r="BR414" s="270"/>
      <c r="BS414" s="270"/>
      <c r="BT414" s="270"/>
      <c r="BU414" s="270"/>
      <c r="BV414" s="270"/>
      <c r="BW414" s="270"/>
      <c r="BX414" s="270"/>
      <c r="BY414" s="270"/>
      <c r="BZ414" s="270"/>
      <c r="CA414" s="270"/>
      <c r="CB414" s="270"/>
      <c r="CC414" s="270"/>
      <c r="CD414" s="270"/>
      <c r="CE414" s="1395"/>
      <c r="CF414" s="1450"/>
      <c r="CG414" s="1450"/>
      <c r="CH414" s="270"/>
      <c r="CI414" s="270"/>
      <c r="CJ414" s="270"/>
      <c r="CK414" s="270"/>
      <c r="CL414" s="270"/>
      <c r="CM414" s="270"/>
    </row>
    <row r="415" spans="1:91" ht="13.5" hidden="1" outlineLevel="3" thickBot="1" x14ac:dyDescent="0.25">
      <c r="A415" s="270"/>
      <c r="B415" s="271"/>
      <c r="C415" s="12"/>
      <c r="D415" s="1071"/>
      <c r="E415" s="1071"/>
      <c r="F415" s="1071"/>
      <c r="G415" s="626"/>
      <c r="H415" s="271"/>
      <c r="I415" s="270"/>
      <c r="J415" s="270"/>
      <c r="K415" s="270"/>
      <c r="L415" s="270"/>
      <c r="M415" s="270"/>
      <c r="N415" s="270"/>
      <c r="O415" s="270"/>
      <c r="P415" s="1072"/>
      <c r="Q415" s="270"/>
      <c r="R415" s="270"/>
      <c r="S415" s="1072"/>
      <c r="T415" s="270"/>
      <c r="U415" s="1019"/>
      <c r="V415" s="1119"/>
      <c r="W415" s="1120"/>
      <c r="X415" s="1075" t="str">
        <f>N_Substitute</f>
        <v>Remplaçant</v>
      </c>
      <c r="Y415" s="1208"/>
      <c r="Z415" s="492"/>
      <c r="AA415" s="1121"/>
      <c r="AB415" s="1069"/>
      <c r="AC415" s="1070"/>
      <c r="AD415" s="839"/>
      <c r="AE415" s="270"/>
      <c r="AF415" s="270"/>
      <c r="AG415" s="270"/>
      <c r="AH415" s="270"/>
      <c r="AI415" s="270"/>
      <c r="AJ415" s="270"/>
      <c r="AK415" s="270"/>
      <c r="AL415" s="270"/>
      <c r="AM415" s="270"/>
      <c r="AN415" s="270"/>
      <c r="AO415" s="271"/>
      <c r="AP415" s="270"/>
      <c r="AQ415" s="270"/>
      <c r="AR415" s="270"/>
      <c r="AS415" s="270"/>
      <c r="AT415" s="270"/>
      <c r="AU415" s="270"/>
      <c r="AV415" s="270"/>
      <c r="AW415" s="270"/>
      <c r="AX415" s="270"/>
      <c r="AY415" s="1072"/>
      <c r="AZ415" s="270"/>
      <c r="BA415" s="270"/>
      <c r="BB415" s="1072"/>
      <c r="BC415" s="270"/>
      <c r="BD415" s="270"/>
      <c r="BE415" s="270"/>
      <c r="BF415" s="270"/>
      <c r="BG415" s="270"/>
      <c r="BH415" s="270"/>
      <c r="BI415" s="270"/>
      <c r="BJ415" s="270"/>
      <c r="BK415" s="270"/>
      <c r="BL415" s="270"/>
      <c r="BM415" s="270"/>
      <c r="BN415" s="270"/>
      <c r="BO415" s="270"/>
      <c r="BP415" s="270"/>
      <c r="BQ415" s="270"/>
      <c r="BR415" s="270"/>
      <c r="BS415" s="270"/>
      <c r="BT415" s="270"/>
      <c r="BU415" s="270"/>
      <c r="BV415" s="270"/>
      <c r="BW415" s="270"/>
      <c r="BX415" s="270"/>
      <c r="BY415" s="270"/>
      <c r="BZ415" s="270"/>
      <c r="CA415" s="270"/>
      <c r="CB415" s="270"/>
      <c r="CC415" s="270"/>
      <c r="CD415" s="270"/>
      <c r="CE415" s="1395"/>
      <c r="CF415" s="1450"/>
      <c r="CG415" s="1450"/>
      <c r="CH415" s="270"/>
      <c r="CI415" s="270"/>
      <c r="CJ415" s="270"/>
      <c r="CK415" s="270"/>
      <c r="CL415" s="270"/>
      <c r="CM415" s="270"/>
    </row>
    <row r="416" spans="1:91" hidden="1" outlineLevel="2" collapsed="1" x14ac:dyDescent="0.2">
      <c r="A416" s="270"/>
      <c r="B416" s="271"/>
      <c r="C416" s="270"/>
      <c r="D416" s="270"/>
      <c r="E416" s="270"/>
      <c r="F416" s="270"/>
      <c r="G416" s="271"/>
      <c r="H416" s="270"/>
      <c r="I416" s="270"/>
      <c r="J416" s="270"/>
      <c r="K416" s="270"/>
      <c r="L416" s="270"/>
      <c r="M416" s="270"/>
      <c r="N416" s="270"/>
      <c r="O416" s="270"/>
      <c r="P416" s="270"/>
      <c r="Q416" s="270"/>
      <c r="R416" s="270"/>
      <c r="S416" s="270"/>
      <c r="T416" s="270"/>
      <c r="U416" s="1019" t="s">
        <v>1729</v>
      </c>
      <c r="V416" s="1179"/>
      <c r="W416" s="1177"/>
      <c r="X416" s="1207"/>
      <c r="Y416" s="1210" t="str">
        <f>G340</f>
        <v>Eq3</v>
      </c>
      <c r="Z416" s="1125" t="str">
        <f>IF(OR(ISNUMBER(Z417),ISNUMBER(Z418),ISNUMBER(Z419),ISNUMBER(Z420)),4-COUNTBLANK(AI417:AI420),"")</f>
        <v/>
      </c>
      <c r="AA416" s="1124" t="s">
        <v>769</v>
      </c>
      <c r="AB416" s="1125" t="str">
        <f>IF(OR(ISNUMBER(Z417),ISNUMBER(Z418),ISNUMBER(Z419),ISNUMBER(Z420)),4-COUNTBLANK(AJ417:AJ420),"")</f>
        <v/>
      </c>
      <c r="AC416" s="1181" t="str">
        <f>G344</f>
        <v>Eq7</v>
      </c>
      <c r="AD416" s="839"/>
      <c r="AE416" s="270" t="str">
        <f>IF(Z416="","",IF(Z416&gt;AB416,Y416,IF(Z416=AB416,IF(NoDrawWithWithdraw,IF(AL416=Y416,AC416,IF(AL416=AC416,Y416,"")),""),AC416)))</f>
        <v/>
      </c>
      <c r="AF416" s="270" t="str">
        <f>IF(Z416="","",IF(Z416=AB416,IF(NoDrawWithWithdraw,IF(AL416=Y416,"",IF(AL416=AC416,"",Y416)),Y416),""))</f>
        <v/>
      </c>
      <c r="AG416" s="270" t="str">
        <f>IF(Z416="","",IF(Z416=AB416,IF(NoDrawWithWithdraw,IF(AL416=Y416,"",IF(AL416=AC416,"",AC416)),AC416),""))</f>
        <v/>
      </c>
      <c r="AH416" s="270" t="str">
        <f>IF(Z416="","",IF(Z416&lt;AB416,Y416,IF(Z416=AB416,IF(NoDrawWithWithdraw,IF(AL416=Y416,Y416,IF(AL416=AC416,AC416,"")),""),AC416)))</f>
        <v/>
      </c>
      <c r="AI416" s="270" t="str">
        <f>IF(Z416="","",SUM(Z417:Z420))</f>
        <v/>
      </c>
      <c r="AJ416" s="270" t="str">
        <f>IF(Z416="","",SUM(AB417:AB420))</f>
        <v/>
      </c>
      <c r="AK416" s="270" t="str">
        <f>CONCATENATE(AE416,AH416)</f>
        <v/>
      </c>
      <c r="AL416" s="270" t="str">
        <f>IF(COUNTIF(Y417:Y420,WithdrawLabel)&gt;COUNTIF(AC417:AC420,WithdrawLabel),Y416,IF(COUNTIF(AC417:AC420,WithdrawLabel)&gt;COUNTIF(Y417:Y420,WithdrawLabel),AC416,""))</f>
        <v/>
      </c>
      <c r="AM416" s="270"/>
      <c r="AN416" s="270"/>
      <c r="AO416" s="575"/>
      <c r="AP416" s="270"/>
      <c r="AQ416" s="270"/>
      <c r="AR416" s="270"/>
      <c r="AS416" s="270"/>
      <c r="AT416" s="270"/>
      <c r="AU416" s="270"/>
      <c r="AV416" s="270"/>
      <c r="AW416" s="270"/>
      <c r="AX416" s="270"/>
      <c r="AY416" s="270"/>
      <c r="AZ416" s="270"/>
      <c r="BA416" s="270"/>
      <c r="BB416" s="270"/>
      <c r="BC416" s="270"/>
      <c r="BD416" s="270"/>
      <c r="BE416" s="270"/>
      <c r="BF416" s="270"/>
      <c r="BG416" s="270"/>
      <c r="BH416" s="270"/>
      <c r="BI416" s="270"/>
      <c r="BJ416" s="270"/>
      <c r="BK416" s="270"/>
      <c r="BL416" s="270"/>
      <c r="BM416" s="270"/>
      <c r="BN416" s="270"/>
      <c r="BO416" s="270"/>
      <c r="BP416" s="270"/>
      <c r="BQ416" s="270"/>
      <c r="BR416" s="270"/>
      <c r="BS416" s="270"/>
      <c r="BT416" s="270"/>
      <c r="BU416" s="270"/>
      <c r="BV416" s="270"/>
      <c r="BW416" s="270"/>
      <c r="BX416" s="270"/>
      <c r="BY416" s="270"/>
      <c r="BZ416" s="270"/>
      <c r="CA416" s="270"/>
      <c r="CB416" s="270"/>
      <c r="CC416" s="270"/>
      <c r="CD416" s="270"/>
      <c r="CE416" s="1395"/>
      <c r="CF416" s="1450"/>
      <c r="CG416" s="1450"/>
      <c r="CH416" s="270"/>
      <c r="CI416" s="270"/>
      <c r="CJ416" s="270"/>
      <c r="CK416" s="270"/>
      <c r="CL416" s="270"/>
      <c r="CM416" s="270"/>
    </row>
    <row r="417" spans="1:91" ht="13.5" hidden="1" outlineLevel="3" thickBot="1" x14ac:dyDescent="0.25">
      <c r="A417" s="270"/>
      <c r="B417" s="271"/>
      <c r="C417" s="12"/>
      <c r="D417" s="1071"/>
      <c r="E417" s="1071"/>
      <c r="F417" s="1071"/>
      <c r="G417" s="1172"/>
      <c r="H417" s="271"/>
      <c r="I417" s="270"/>
      <c r="J417" s="270"/>
      <c r="K417" s="270"/>
      <c r="L417" s="270"/>
      <c r="M417" s="270"/>
      <c r="N417" s="270"/>
      <c r="O417" s="270"/>
      <c r="P417" s="1072"/>
      <c r="Q417" s="270"/>
      <c r="R417" s="270"/>
      <c r="S417" s="1072"/>
      <c r="T417" s="270"/>
      <c r="U417" s="1019"/>
      <c r="V417" s="1176"/>
      <c r="W417" s="1177"/>
      <c r="X417" s="1207"/>
      <c r="Y417" s="1208"/>
      <c r="Z417" s="492"/>
      <c r="AA417" s="493" t="s">
        <v>769</v>
      </c>
      <c r="AB417" s="1069"/>
      <c r="AC417" s="1070"/>
      <c r="AD417" s="839"/>
      <c r="AE417" s="270" t="str">
        <f>IF(Z417="","",IF(Z417&gt;AB417,Y417,IF(Z417=AB417,"",AC417)))</f>
        <v/>
      </c>
      <c r="AF417" s="270" t="str">
        <f>IF(Z417="","",IF(Z417=AB417,Y417,""))</f>
        <v/>
      </c>
      <c r="AG417" s="270" t="str">
        <f>IF(Z417="","",IF(Z417=AB417,AC417,""))</f>
        <v/>
      </c>
      <c r="AH417" s="270" t="str">
        <f>IF(Z417="","",IF(Z417&lt;AB417,Y417,IF(Z417=AB417,"",AC417)))</f>
        <v/>
      </c>
      <c r="AI417" s="270" t="str">
        <f>IF(Z417="","",IF(Z417&gt;AB417,Y416,""))</f>
        <v/>
      </c>
      <c r="AJ417" s="270" t="str">
        <f>IF(Z417="","",IF(Z417&lt;AB417,AC416,""))</f>
        <v/>
      </c>
      <c r="AK417" s="270" t="str">
        <f>CONCATENATE(AE417,AH417)</f>
        <v/>
      </c>
      <c r="AL417" s="270"/>
      <c r="AM417" s="270"/>
      <c r="AN417" s="270"/>
      <c r="AO417" s="271"/>
      <c r="AP417" s="270"/>
      <c r="AQ417" s="270"/>
      <c r="AR417" s="270"/>
      <c r="AS417" s="270"/>
      <c r="AT417" s="270"/>
      <c r="AU417" s="270"/>
      <c r="AV417" s="270"/>
      <c r="AW417" s="270"/>
      <c r="AX417" s="270"/>
      <c r="AY417" s="1072"/>
      <c r="AZ417" s="270"/>
      <c r="BA417" s="270"/>
      <c r="BB417" s="1072"/>
      <c r="BC417" s="270"/>
      <c r="BD417" s="270"/>
      <c r="BE417" s="270"/>
      <c r="BF417" s="270"/>
      <c r="BG417" s="270"/>
      <c r="BH417" s="270"/>
      <c r="BI417" s="270"/>
      <c r="BJ417" s="270"/>
      <c r="BK417" s="270"/>
      <c r="BL417" s="270"/>
      <c r="BM417" s="270"/>
      <c r="BN417" s="270"/>
      <c r="BO417" s="270"/>
      <c r="BP417" s="270"/>
      <c r="BQ417" s="270"/>
      <c r="BR417" s="270"/>
      <c r="BS417" s="270"/>
      <c r="BT417" s="270"/>
      <c r="BU417" s="270"/>
      <c r="BV417" s="270"/>
      <c r="BW417" s="270"/>
      <c r="BX417" s="270"/>
      <c r="BY417" s="270"/>
      <c r="BZ417" s="270"/>
      <c r="CA417" s="270"/>
      <c r="CB417" s="270"/>
      <c r="CC417" s="270"/>
      <c r="CD417" s="270"/>
      <c r="CE417" s="1395"/>
      <c r="CF417" s="1450"/>
      <c r="CG417" s="1450"/>
      <c r="CH417" s="270"/>
      <c r="CI417" s="270"/>
      <c r="CJ417" s="270"/>
      <c r="CK417" s="270"/>
      <c r="CL417" s="270"/>
      <c r="CM417" s="270"/>
    </row>
    <row r="418" spans="1:91" ht="13.5" hidden="1" outlineLevel="3" thickBot="1" x14ac:dyDescent="0.25">
      <c r="A418" s="270"/>
      <c r="B418" s="271"/>
      <c r="C418" s="12"/>
      <c r="D418" s="1071"/>
      <c r="E418" s="1071"/>
      <c r="F418" s="1071"/>
      <c r="G418" s="1172"/>
      <c r="H418" s="271"/>
      <c r="I418" s="270"/>
      <c r="J418" s="270"/>
      <c r="K418" s="270"/>
      <c r="L418" s="270"/>
      <c r="M418" s="270"/>
      <c r="N418" s="270"/>
      <c r="O418" s="270"/>
      <c r="P418" s="1072"/>
      <c r="Q418" s="270"/>
      <c r="R418" s="270"/>
      <c r="S418" s="1072"/>
      <c r="T418" s="270"/>
      <c r="U418" s="1019"/>
      <c r="V418" s="1176"/>
      <c r="W418" s="1177"/>
      <c r="X418" s="1207"/>
      <c r="Y418" s="1208"/>
      <c r="Z418" s="492"/>
      <c r="AA418" s="493" t="s">
        <v>769</v>
      </c>
      <c r="AB418" s="1069"/>
      <c r="AC418" s="1070"/>
      <c r="AD418" s="839"/>
      <c r="AE418" s="270" t="str">
        <f>IF(Z418="","",IF(Z418&gt;AB418,Y418,IF(Z418=AB418,"",AC418)))</f>
        <v/>
      </c>
      <c r="AF418" s="270" t="str">
        <f>IF(Z418="","",IF(Z418=AB418,Y418,""))</f>
        <v/>
      </c>
      <c r="AG418" s="270" t="str">
        <f>IF(Z418="","",IF(Z418=AB418,AC418,""))</f>
        <v/>
      </c>
      <c r="AH418" s="270" t="str">
        <f>IF(Z418="","",IF(Z418&lt;AB418,Y418,IF(Z418=AB418,"",AC418)))</f>
        <v/>
      </c>
      <c r="AI418" s="270" t="str">
        <f>IF(Z418="","",IF(Z418&gt;AB418,Y416,""))</f>
        <v/>
      </c>
      <c r="AJ418" s="270" t="str">
        <f>IF(Z418="","",IF(Z418&lt;AB418,AC416,""))</f>
        <v/>
      </c>
      <c r="AK418" s="270" t="str">
        <f>CONCATENATE(AE418,AH418)</f>
        <v/>
      </c>
      <c r="AL418" s="270"/>
      <c r="AM418" s="270"/>
      <c r="AN418" s="270"/>
      <c r="AO418" s="271"/>
      <c r="AP418" s="270"/>
      <c r="AQ418" s="270"/>
      <c r="AR418" s="270"/>
      <c r="AS418" s="270"/>
      <c r="AT418" s="270"/>
      <c r="AU418" s="270"/>
      <c r="AV418" s="270"/>
      <c r="AW418" s="270"/>
      <c r="AX418" s="270"/>
      <c r="AY418" s="1072"/>
      <c r="AZ418" s="270"/>
      <c r="BA418" s="270"/>
      <c r="BB418" s="1072"/>
      <c r="BC418" s="270"/>
      <c r="BD418" s="270"/>
      <c r="BE418" s="270"/>
      <c r="BF418" s="270"/>
      <c r="BG418" s="270"/>
      <c r="BH418" s="270"/>
      <c r="BI418" s="270"/>
      <c r="BJ418" s="270"/>
      <c r="BK418" s="270"/>
      <c r="BL418" s="270"/>
      <c r="BM418" s="270"/>
      <c r="BN418" s="270"/>
      <c r="BO418" s="270"/>
      <c r="BP418" s="270"/>
      <c r="BQ418" s="270"/>
      <c r="BR418" s="270"/>
      <c r="BS418" s="270"/>
      <c r="BT418" s="270"/>
      <c r="BU418" s="270"/>
      <c r="BV418" s="270"/>
      <c r="BW418" s="270"/>
      <c r="BX418" s="270"/>
      <c r="BY418" s="270"/>
      <c r="BZ418" s="270"/>
      <c r="CA418" s="270"/>
      <c r="CB418" s="270"/>
      <c r="CC418" s="270"/>
      <c r="CD418" s="270"/>
      <c r="CE418" s="1395"/>
      <c r="CF418" s="1450"/>
      <c r="CG418" s="1450"/>
      <c r="CH418" s="270"/>
      <c r="CI418" s="270"/>
      <c r="CJ418" s="270"/>
      <c r="CK418" s="270"/>
      <c r="CL418" s="270"/>
      <c r="CM418" s="270"/>
    </row>
    <row r="419" spans="1:91" ht="13.5" hidden="1" outlineLevel="3" thickBot="1" x14ac:dyDescent="0.25">
      <c r="A419" s="270"/>
      <c r="B419" s="271"/>
      <c r="C419" s="12"/>
      <c r="D419" s="1071"/>
      <c r="E419" s="1071"/>
      <c r="F419" s="1071"/>
      <c r="G419" s="1172"/>
      <c r="H419" s="271"/>
      <c r="I419" s="270"/>
      <c r="J419" s="270"/>
      <c r="K419" s="270"/>
      <c r="L419" s="270"/>
      <c r="M419" s="270"/>
      <c r="N419" s="270"/>
      <c r="O419" s="270"/>
      <c r="P419" s="1072"/>
      <c r="Q419" s="270"/>
      <c r="R419" s="270"/>
      <c r="S419" s="1072"/>
      <c r="T419" s="270"/>
      <c r="U419" s="1019"/>
      <c r="V419" s="1176"/>
      <c r="W419" s="1177"/>
      <c r="X419" s="1207"/>
      <c r="Y419" s="1208"/>
      <c r="Z419" s="492"/>
      <c r="AA419" s="493" t="s">
        <v>769</v>
      </c>
      <c r="AB419" s="1069"/>
      <c r="AC419" s="1070"/>
      <c r="AD419" s="839"/>
      <c r="AE419" s="270" t="str">
        <f>IF(Z419="","",IF(Z419&gt;AB419,Y419,IF(Z419=AB419,"",AC419)))</f>
        <v/>
      </c>
      <c r="AF419" s="270" t="str">
        <f>IF(Z419="","",IF(Z419=AB419,Y419,""))</f>
        <v/>
      </c>
      <c r="AG419" s="270" t="str">
        <f>IF(Z419="","",IF(Z419=AB419,AC419,""))</f>
        <v/>
      </c>
      <c r="AH419" s="270" t="str">
        <f>IF(Z419="","",IF(Z419&lt;AB419,Y419,IF(Z419=AB419,"",AC419)))</f>
        <v/>
      </c>
      <c r="AI419" s="270" t="str">
        <f>IF(Z419="","",IF(Z419&gt;AB419,Y416,""))</f>
        <v/>
      </c>
      <c r="AJ419" s="270" t="str">
        <f>IF(Z419="","",IF(Z419&lt;AB419,AC416,""))</f>
        <v/>
      </c>
      <c r="AK419" s="270" t="str">
        <f>CONCATENATE(AE419,AH419)</f>
        <v/>
      </c>
      <c r="AL419" s="270"/>
      <c r="AM419" s="270"/>
      <c r="AN419" s="270"/>
      <c r="AO419" s="271"/>
      <c r="AP419" s="270"/>
      <c r="AQ419" s="270"/>
      <c r="AR419" s="270"/>
      <c r="AS419" s="270"/>
      <c r="AT419" s="270"/>
      <c r="AU419" s="270"/>
      <c r="AV419" s="270"/>
      <c r="AW419" s="270"/>
      <c r="AX419" s="270"/>
      <c r="AY419" s="1072"/>
      <c r="AZ419" s="270"/>
      <c r="BA419" s="270"/>
      <c r="BB419" s="1072"/>
      <c r="BC419" s="270"/>
      <c r="BD419" s="270"/>
      <c r="BE419" s="270"/>
      <c r="BF419" s="270"/>
      <c r="BG419" s="270"/>
      <c r="BH419" s="270"/>
      <c r="BI419" s="270"/>
      <c r="BJ419" s="270"/>
      <c r="BK419" s="270"/>
      <c r="BL419" s="270"/>
      <c r="BM419" s="270"/>
      <c r="BN419" s="270"/>
      <c r="BO419" s="270"/>
      <c r="BP419" s="270"/>
      <c r="BQ419" s="270"/>
      <c r="BR419" s="270"/>
      <c r="BS419" s="270"/>
      <c r="BT419" s="270"/>
      <c r="BU419" s="270"/>
      <c r="BV419" s="270"/>
      <c r="BW419" s="270"/>
      <c r="BX419" s="270"/>
      <c r="BY419" s="270"/>
      <c r="BZ419" s="270"/>
      <c r="CA419" s="270"/>
      <c r="CB419" s="270"/>
      <c r="CC419" s="270"/>
      <c r="CD419" s="270"/>
      <c r="CE419" s="1395"/>
      <c r="CF419" s="1450"/>
      <c r="CG419" s="1450"/>
      <c r="CH419" s="270"/>
      <c r="CI419" s="270"/>
      <c r="CJ419" s="270"/>
      <c r="CK419" s="270"/>
      <c r="CL419" s="270"/>
      <c r="CM419" s="270"/>
    </row>
    <row r="420" spans="1:91" ht="13.5" hidden="1" outlineLevel="3" thickBot="1" x14ac:dyDescent="0.25">
      <c r="A420" s="270"/>
      <c r="B420" s="271"/>
      <c r="C420" s="12"/>
      <c r="D420" s="1071"/>
      <c r="E420" s="1071"/>
      <c r="F420" s="1071"/>
      <c r="G420" s="1172"/>
      <c r="H420" s="271"/>
      <c r="I420" s="270"/>
      <c r="J420" s="270"/>
      <c r="K420" s="270"/>
      <c r="L420" s="270"/>
      <c r="M420" s="270"/>
      <c r="N420" s="270"/>
      <c r="O420" s="270"/>
      <c r="P420" s="1072"/>
      <c r="Q420" s="270"/>
      <c r="R420" s="270"/>
      <c r="S420" s="1072"/>
      <c r="T420" s="270"/>
      <c r="U420" s="1019"/>
      <c r="V420" s="1176"/>
      <c r="W420" s="1177"/>
      <c r="X420" s="1207"/>
      <c r="Y420" s="1208"/>
      <c r="Z420" s="492"/>
      <c r="AA420" s="493" t="s">
        <v>769</v>
      </c>
      <c r="AB420" s="1069"/>
      <c r="AC420" s="1070"/>
      <c r="AD420" s="839"/>
      <c r="AE420" s="270" t="str">
        <f>IF(Z420="","",IF(Z420&gt;AB420,Y420,IF(Z420=AB420,"",AC420)))</f>
        <v/>
      </c>
      <c r="AF420" s="270" t="str">
        <f>IF(Z420="","",IF(Z420=AB420,Y420,""))</f>
        <v/>
      </c>
      <c r="AG420" s="270" t="str">
        <f>IF(Z420="","",IF(Z420=AB420,AC420,""))</f>
        <v/>
      </c>
      <c r="AH420" s="270" t="str">
        <f>IF(Z420="","",IF(Z420&lt;AB420,Y420,IF(Z420=AB420,"",AC420)))</f>
        <v/>
      </c>
      <c r="AI420" s="270" t="str">
        <f>IF(Z420="","",IF(Z420&gt;AB420,Y416,""))</f>
        <v/>
      </c>
      <c r="AJ420" s="270" t="str">
        <f>IF(Z420="","",IF(Z420&lt;AB420,AC416,""))</f>
        <v/>
      </c>
      <c r="AK420" s="270" t="str">
        <f>CONCATENATE(AE420,AH420)</f>
        <v/>
      </c>
      <c r="AL420" s="270"/>
      <c r="AM420" s="270"/>
      <c r="AN420" s="270"/>
      <c r="AO420" s="271"/>
      <c r="AP420" s="270"/>
      <c r="AQ420" s="270"/>
      <c r="AR420" s="270"/>
      <c r="AS420" s="270"/>
      <c r="AT420" s="270"/>
      <c r="AU420" s="270"/>
      <c r="AV420" s="270"/>
      <c r="AW420" s="270"/>
      <c r="AX420" s="270"/>
      <c r="AY420" s="1072"/>
      <c r="AZ420" s="270"/>
      <c r="BA420" s="270"/>
      <c r="BB420" s="1072"/>
      <c r="BC420" s="270"/>
      <c r="BD420" s="270"/>
      <c r="BE420" s="270"/>
      <c r="BF420" s="270"/>
      <c r="BG420" s="270"/>
      <c r="BH420" s="270"/>
      <c r="BI420" s="270"/>
      <c r="BJ420" s="270"/>
      <c r="BK420" s="270"/>
      <c r="BL420" s="270"/>
      <c r="BM420" s="270"/>
      <c r="BN420" s="270"/>
      <c r="BO420" s="270"/>
      <c r="BP420" s="270"/>
      <c r="BQ420" s="270"/>
      <c r="BR420" s="270"/>
      <c r="BS420" s="270"/>
      <c r="BT420" s="270"/>
      <c r="BU420" s="270"/>
      <c r="BV420" s="270"/>
      <c r="BW420" s="270"/>
      <c r="BX420" s="270"/>
      <c r="BY420" s="270"/>
      <c r="BZ420" s="270"/>
      <c r="CA420" s="270"/>
      <c r="CB420" s="270"/>
      <c r="CC420" s="270"/>
      <c r="CD420" s="270"/>
      <c r="CE420" s="1395"/>
      <c r="CF420" s="1450"/>
      <c r="CG420" s="1450"/>
      <c r="CH420" s="270"/>
      <c r="CI420" s="270"/>
      <c r="CJ420" s="270"/>
      <c r="CK420" s="270"/>
      <c r="CL420" s="270"/>
      <c r="CM420" s="270"/>
    </row>
    <row r="421" spans="1:91" ht="13.5" hidden="1" outlineLevel="3" thickBot="1" x14ac:dyDescent="0.25">
      <c r="A421" s="270"/>
      <c r="B421" s="271"/>
      <c r="C421" s="12"/>
      <c r="D421" s="1071"/>
      <c r="E421" s="1071"/>
      <c r="F421" s="1071"/>
      <c r="G421" s="626"/>
      <c r="H421" s="271"/>
      <c r="I421" s="270"/>
      <c r="J421" s="270"/>
      <c r="K421" s="270"/>
      <c r="L421" s="270"/>
      <c r="M421" s="270"/>
      <c r="N421" s="270"/>
      <c r="O421" s="270"/>
      <c r="P421" s="1072"/>
      <c r="Q421" s="270"/>
      <c r="R421" s="270"/>
      <c r="S421" s="1072"/>
      <c r="T421" s="270"/>
      <c r="U421" s="1019"/>
      <c r="V421" s="1073"/>
      <c r="W421" s="1074"/>
      <c r="X421" s="1075" t="str">
        <f>N_Substitute</f>
        <v>Remplaçant</v>
      </c>
      <c r="Y421" s="1208"/>
      <c r="Z421" s="492"/>
      <c r="AA421" s="1076"/>
      <c r="AB421" s="1069"/>
      <c r="AC421" s="1070"/>
      <c r="AD421" s="839"/>
      <c r="AE421" s="270"/>
      <c r="AF421" s="270"/>
      <c r="AG421" s="270"/>
      <c r="AH421" s="270"/>
      <c r="AI421" s="270"/>
      <c r="AJ421" s="270"/>
      <c r="AK421" s="270"/>
      <c r="AL421" s="270"/>
      <c r="AM421" s="270"/>
      <c r="AN421" s="270"/>
      <c r="AO421" s="271"/>
      <c r="AP421" s="270"/>
      <c r="AQ421" s="270"/>
      <c r="AR421" s="270"/>
      <c r="AS421" s="270"/>
      <c r="AT421" s="270"/>
      <c r="AU421" s="270"/>
      <c r="AV421" s="270"/>
      <c r="AW421" s="270"/>
      <c r="AX421" s="270"/>
      <c r="AY421" s="1072"/>
      <c r="AZ421" s="270"/>
      <c r="BA421" s="270"/>
      <c r="BB421" s="1072"/>
      <c r="BC421" s="270"/>
      <c r="BD421" s="270"/>
      <c r="BE421" s="270"/>
      <c r="BF421" s="270"/>
      <c r="BG421" s="270"/>
      <c r="BH421" s="270"/>
      <c r="BI421" s="270"/>
      <c r="BJ421" s="270"/>
      <c r="BK421" s="270"/>
      <c r="BL421" s="270"/>
      <c r="BM421" s="270"/>
      <c r="BN421" s="270"/>
      <c r="BO421" s="270"/>
      <c r="BP421" s="270"/>
      <c r="BQ421" s="270"/>
      <c r="BR421" s="270"/>
      <c r="BS421" s="270"/>
      <c r="BT421" s="270"/>
      <c r="BU421" s="270"/>
      <c r="BV421" s="270"/>
      <c r="BW421" s="270"/>
      <c r="BX421" s="270"/>
      <c r="BY421" s="270"/>
      <c r="BZ421" s="270"/>
      <c r="CA421" s="270"/>
      <c r="CB421" s="270"/>
      <c r="CC421" s="270"/>
      <c r="CD421" s="270"/>
      <c r="CE421" s="1395"/>
      <c r="CF421" s="1450"/>
      <c r="CG421" s="1450"/>
      <c r="CH421" s="270"/>
      <c r="CI421" s="270"/>
      <c r="CJ421" s="270"/>
      <c r="CK421" s="270"/>
      <c r="CL421" s="270"/>
      <c r="CM421" s="270"/>
    </row>
    <row r="422" spans="1:91" ht="13.5" hidden="1" outlineLevel="3" thickBot="1" x14ac:dyDescent="0.25">
      <c r="A422" s="270"/>
      <c r="B422" s="271"/>
      <c r="C422" s="12"/>
      <c r="D422" s="1071"/>
      <c r="E422" s="1071"/>
      <c r="F422" s="1071"/>
      <c r="G422" s="626"/>
      <c r="H422" s="271"/>
      <c r="I422" s="270"/>
      <c r="J422" s="270"/>
      <c r="K422" s="270"/>
      <c r="L422" s="270"/>
      <c r="M422" s="270"/>
      <c r="N422" s="270"/>
      <c r="O422" s="270"/>
      <c r="P422" s="1072"/>
      <c r="Q422" s="270"/>
      <c r="R422" s="270"/>
      <c r="S422" s="1072"/>
      <c r="T422" s="270"/>
      <c r="U422" s="1019"/>
      <c r="V422" s="1119"/>
      <c r="W422" s="1120"/>
      <c r="X422" s="1075" t="str">
        <f>N_Substitute</f>
        <v>Remplaçant</v>
      </c>
      <c r="Y422" s="1208"/>
      <c r="Z422" s="492"/>
      <c r="AA422" s="1121"/>
      <c r="AB422" s="1069"/>
      <c r="AC422" s="1070"/>
      <c r="AD422" s="839"/>
      <c r="AE422" s="270"/>
      <c r="AF422" s="270"/>
      <c r="AG422" s="270"/>
      <c r="AH422" s="270"/>
      <c r="AI422" s="270"/>
      <c r="AJ422" s="270"/>
      <c r="AK422" s="270"/>
      <c r="AL422" s="270"/>
      <c r="AM422" s="270"/>
      <c r="AN422" s="270"/>
      <c r="AO422" s="271"/>
      <c r="AP422" s="270"/>
      <c r="AQ422" s="270"/>
      <c r="AR422" s="270"/>
      <c r="AS422" s="270"/>
      <c r="AT422" s="270"/>
      <c r="AU422" s="270"/>
      <c r="AV422" s="270"/>
      <c r="AW422" s="270"/>
      <c r="AX422" s="270"/>
      <c r="AY422" s="1072"/>
      <c r="AZ422" s="270"/>
      <c r="BA422" s="270"/>
      <c r="BB422" s="1072"/>
      <c r="BC422" s="270"/>
      <c r="BD422" s="270"/>
      <c r="BE422" s="270"/>
      <c r="BF422" s="270"/>
      <c r="BG422" s="270"/>
      <c r="BH422" s="270"/>
      <c r="BI422" s="270"/>
      <c r="BJ422" s="270"/>
      <c r="BK422" s="270"/>
      <c r="BL422" s="270"/>
      <c r="BM422" s="270"/>
      <c r="BN422" s="270"/>
      <c r="BO422" s="270"/>
      <c r="BP422" s="270"/>
      <c r="BQ422" s="270"/>
      <c r="BR422" s="270"/>
      <c r="BS422" s="270"/>
      <c r="BT422" s="270"/>
      <c r="BU422" s="270"/>
      <c r="BV422" s="270"/>
      <c r="BW422" s="270"/>
      <c r="BX422" s="270"/>
      <c r="BY422" s="270"/>
      <c r="BZ422" s="270"/>
      <c r="CA422" s="270"/>
      <c r="CB422" s="270"/>
      <c r="CC422" s="270"/>
      <c r="CD422" s="270"/>
      <c r="CE422" s="1395"/>
      <c r="CF422" s="1450"/>
      <c r="CG422" s="1450"/>
      <c r="CH422" s="270"/>
      <c r="CI422" s="270"/>
      <c r="CJ422" s="270"/>
      <c r="CK422" s="270"/>
      <c r="CL422" s="270"/>
      <c r="CM422" s="270"/>
    </row>
    <row r="423" spans="1:91" ht="13.5" hidden="1" outlineLevel="2" collapsed="1" thickBot="1" x14ac:dyDescent="0.25">
      <c r="A423" s="270"/>
      <c r="B423" s="271"/>
      <c r="C423" s="270"/>
      <c r="D423" s="270"/>
      <c r="E423" s="270"/>
      <c r="F423" s="270"/>
      <c r="G423" s="271"/>
      <c r="H423" s="270"/>
      <c r="I423" s="270"/>
      <c r="J423" s="270"/>
      <c r="K423" s="270"/>
      <c r="L423" s="270"/>
      <c r="M423" s="270"/>
      <c r="N423" s="270"/>
      <c r="O423" s="270"/>
      <c r="P423" s="270"/>
      <c r="Q423" s="270"/>
      <c r="R423" s="270"/>
      <c r="S423" s="270"/>
      <c r="T423" s="270"/>
      <c r="U423" s="1019" t="s">
        <v>1729</v>
      </c>
      <c r="V423" s="1187"/>
      <c r="W423" s="1195"/>
      <c r="X423" s="1534"/>
      <c r="Y423" s="1210" t="str">
        <f>G341</f>
        <v>Eq4</v>
      </c>
      <c r="Z423" s="1103" t="str">
        <f>IF(OR(ISNUMBER(Z424),ISNUMBER(Z425),ISNUMBER(Z426),ISNUMBER(Z427)),4-COUNTBLANK(AI424:AI427),"")</f>
        <v/>
      </c>
      <c r="AA423" s="1104" t="s">
        <v>769</v>
      </c>
      <c r="AB423" s="1103" t="str">
        <f>IF(OR(ISNUMBER(Z424),ISNUMBER(Z425),ISNUMBER(Z426),ISNUMBER(Z427)),4-COUNTBLANK(AJ424:AJ427),"")</f>
        <v/>
      </c>
      <c r="AC423" s="1181" t="str">
        <f>G343</f>
        <v>Eq6</v>
      </c>
      <c r="AD423" s="839"/>
      <c r="AE423" s="270" t="str">
        <f>IF(Z423="","",IF(Z423&gt;AB423,Y423,IF(Z423=AB423,IF(NoDrawWithWithdraw,IF(AL423=Y423,AC423,IF(AL423=AC423,Y423,"")),""),AC423)))</f>
        <v/>
      </c>
      <c r="AF423" s="270" t="str">
        <f>IF(Z423="","",IF(Z423=AB423,IF(NoDrawWithWithdraw,IF(AL423=Y423,"",IF(AL423=AC423,"",Y423)),Y423),""))</f>
        <v/>
      </c>
      <c r="AG423" s="270" t="str">
        <f>IF(Z423="","",IF(Z423=AB423,IF(NoDrawWithWithdraw,IF(AL423=Y423,"",IF(AL423=AC423,"",AC423)),AC423),""))</f>
        <v/>
      </c>
      <c r="AH423" s="270" t="str">
        <f>IF(Z423="","",IF(Z423&lt;AB423,Y423,IF(Z423=AB423,IF(NoDrawWithWithdraw,IF(AL423=Y423,Y423,IF(AL423=AC423,AC423,"")),""),AC423)))</f>
        <v/>
      </c>
      <c r="AI423" s="270" t="str">
        <f>IF(Z423="","",SUM(Z424:Z427))</f>
        <v/>
      </c>
      <c r="AJ423" s="270" t="str">
        <f>IF(Z423="","",SUM(AB424:AB427))</f>
        <v/>
      </c>
      <c r="AK423" s="270" t="str">
        <f>CONCATENATE(AE423,AH423)</f>
        <v/>
      </c>
      <c r="AL423" s="270" t="str">
        <f>IF(COUNTIF(Y424:Y427,WithdrawLabel)&gt;COUNTIF(AC424:AC427,WithdrawLabel),Y423,IF(COUNTIF(AC424:AC427,WithdrawLabel)&gt;COUNTIF(Y424:Y427,WithdrawLabel),AC423,""))</f>
        <v/>
      </c>
      <c r="AM423" s="270"/>
      <c r="AN423" s="270"/>
      <c r="AO423" s="575"/>
      <c r="AP423" s="270"/>
      <c r="AQ423" s="270"/>
      <c r="AR423" s="270"/>
      <c r="AS423" s="270"/>
      <c r="AT423" s="270"/>
      <c r="AU423" s="270"/>
      <c r="AV423" s="270"/>
      <c r="AW423" s="270"/>
      <c r="AX423" s="270"/>
      <c r="AY423" s="270"/>
      <c r="AZ423" s="270"/>
      <c r="BA423" s="270"/>
      <c r="BB423" s="270"/>
      <c r="BC423" s="270"/>
      <c r="BD423" s="270"/>
      <c r="BE423" s="270"/>
      <c r="BF423" s="270"/>
      <c r="BG423" s="270"/>
      <c r="BH423" s="270"/>
      <c r="BI423" s="270"/>
      <c r="BJ423" s="270"/>
      <c r="BK423" s="270"/>
      <c r="BL423" s="270"/>
      <c r="BM423" s="270"/>
      <c r="BN423" s="270"/>
      <c r="BO423" s="270"/>
      <c r="BP423" s="270"/>
      <c r="BQ423" s="270"/>
      <c r="BR423" s="270"/>
      <c r="BS423" s="270"/>
      <c r="BT423" s="270"/>
      <c r="BU423" s="270"/>
      <c r="BV423" s="270"/>
      <c r="BW423" s="270"/>
      <c r="BX423" s="270"/>
      <c r="BY423" s="270"/>
      <c r="BZ423" s="270"/>
      <c r="CA423" s="270"/>
      <c r="CB423" s="270"/>
      <c r="CC423" s="270"/>
      <c r="CD423" s="270"/>
      <c r="CE423" s="1395"/>
      <c r="CF423" s="1450"/>
      <c r="CG423" s="1450"/>
      <c r="CH423" s="270"/>
      <c r="CI423" s="270"/>
      <c r="CJ423" s="270"/>
      <c r="CK423" s="270"/>
      <c r="CL423" s="270"/>
      <c r="CM423" s="270"/>
    </row>
    <row r="424" spans="1:91" ht="13.5" hidden="1" outlineLevel="3" thickBot="1" x14ac:dyDescent="0.25">
      <c r="A424" s="270"/>
      <c r="B424" s="271"/>
      <c r="C424" s="12"/>
      <c r="D424" s="1071"/>
      <c r="E424" s="1071"/>
      <c r="F424" s="1071"/>
      <c r="G424" s="1172"/>
      <c r="H424" s="271"/>
      <c r="I424" s="270"/>
      <c r="J424" s="270"/>
      <c r="K424" s="270"/>
      <c r="L424" s="270"/>
      <c r="M424" s="270"/>
      <c r="N424" s="270"/>
      <c r="O424" s="270"/>
      <c r="P424" s="1072"/>
      <c r="Q424" s="270"/>
      <c r="R424" s="270"/>
      <c r="S424" s="1072"/>
      <c r="T424" s="270"/>
      <c r="U424" s="1019"/>
      <c r="V424" s="1118"/>
      <c r="W424" s="1177"/>
      <c r="X424" s="1212"/>
      <c r="Y424" s="1208"/>
      <c r="Z424" s="492"/>
      <c r="AA424" s="493" t="s">
        <v>769</v>
      </c>
      <c r="AB424" s="1069"/>
      <c r="AC424" s="1070"/>
      <c r="AD424" s="839"/>
      <c r="AE424" s="270" t="str">
        <f>IF(Z424="","",IF(Z424&gt;AB424,Y424,IF(Z424=AB424,"",AC424)))</f>
        <v/>
      </c>
      <c r="AF424" s="270" t="str">
        <f>IF(Z424="","",IF(Z424=AB424,Y424,""))</f>
        <v/>
      </c>
      <c r="AG424" s="270" t="str">
        <f>IF(Z424="","",IF(Z424=AB424,AC424,""))</f>
        <v/>
      </c>
      <c r="AH424" s="270" t="str">
        <f>IF(Z424="","",IF(Z424&lt;AB424,Y424,IF(Z424=AB424,"",AC424)))</f>
        <v/>
      </c>
      <c r="AI424" s="270" t="str">
        <f>IF(Z424="","",IF(Z424&gt;AB424,Y423,""))</f>
        <v/>
      </c>
      <c r="AJ424" s="270" t="str">
        <f>IF(Z424="","",IF(Z424&lt;AB424,AC423,""))</f>
        <v/>
      </c>
      <c r="AK424" s="270" t="str">
        <f>CONCATENATE(AE424,AH424)</f>
        <v/>
      </c>
      <c r="AL424" s="270"/>
      <c r="AM424" s="270"/>
      <c r="AN424" s="270"/>
      <c r="AO424" s="271"/>
      <c r="AP424" s="270"/>
      <c r="AQ424" s="270"/>
      <c r="AR424" s="270"/>
      <c r="AS424" s="270"/>
      <c r="AT424" s="270"/>
      <c r="AU424" s="270"/>
      <c r="AV424" s="270"/>
      <c r="AW424" s="270"/>
      <c r="AX424" s="270"/>
      <c r="AY424" s="1072"/>
      <c r="AZ424" s="270"/>
      <c r="BA424" s="270"/>
      <c r="BB424" s="1072"/>
      <c r="BC424" s="270"/>
      <c r="BD424" s="270"/>
      <c r="BE424" s="270"/>
      <c r="BF424" s="270"/>
      <c r="BG424" s="270"/>
      <c r="BH424" s="270"/>
      <c r="BI424" s="270"/>
      <c r="BJ424" s="270"/>
      <c r="BK424" s="270"/>
      <c r="BL424" s="270"/>
      <c r="BM424" s="270"/>
      <c r="BN424" s="270"/>
      <c r="BO424" s="270"/>
      <c r="BP424" s="270"/>
      <c r="BQ424" s="270"/>
      <c r="BR424" s="270"/>
      <c r="BS424" s="270"/>
      <c r="BT424" s="270"/>
      <c r="BU424" s="270"/>
      <c r="BV424" s="270"/>
      <c r="BW424" s="270"/>
      <c r="BX424" s="270"/>
      <c r="BY424" s="270"/>
      <c r="BZ424" s="270"/>
      <c r="CA424" s="270"/>
      <c r="CB424" s="270"/>
      <c r="CC424" s="270"/>
      <c r="CD424" s="270"/>
      <c r="CE424" s="1395"/>
      <c r="CF424" s="1450"/>
      <c r="CG424" s="1450"/>
      <c r="CH424" s="270"/>
      <c r="CI424" s="270"/>
      <c r="CJ424" s="270"/>
      <c r="CK424" s="270"/>
      <c r="CL424" s="270"/>
      <c r="CM424" s="270"/>
    </row>
    <row r="425" spans="1:91" ht="13.5" hidden="1" outlineLevel="3" thickBot="1" x14ac:dyDescent="0.25">
      <c r="A425" s="270"/>
      <c r="B425" s="271"/>
      <c r="C425" s="12"/>
      <c r="D425" s="1071"/>
      <c r="E425" s="1071"/>
      <c r="F425" s="1071"/>
      <c r="G425" s="1172"/>
      <c r="H425" s="271"/>
      <c r="I425" s="270"/>
      <c r="J425" s="270"/>
      <c r="K425" s="270"/>
      <c r="L425" s="270"/>
      <c r="M425" s="270"/>
      <c r="N425" s="270"/>
      <c r="O425" s="270"/>
      <c r="P425" s="1072"/>
      <c r="Q425" s="270"/>
      <c r="R425" s="270"/>
      <c r="S425" s="1072"/>
      <c r="T425" s="270"/>
      <c r="U425" s="1019"/>
      <c r="V425" s="1118"/>
      <c r="W425" s="1177"/>
      <c r="X425" s="1212"/>
      <c r="Y425" s="1208"/>
      <c r="Z425" s="492"/>
      <c r="AA425" s="493" t="s">
        <v>769</v>
      </c>
      <c r="AB425" s="1069"/>
      <c r="AC425" s="1070"/>
      <c r="AD425" s="839"/>
      <c r="AE425" s="270" t="str">
        <f>IF(Z425="","",IF(Z425&gt;AB425,Y425,IF(Z425=AB425,"",AC425)))</f>
        <v/>
      </c>
      <c r="AF425" s="270" t="str">
        <f>IF(Z425="","",IF(Z425=AB425,Y425,""))</f>
        <v/>
      </c>
      <c r="AG425" s="270" t="str">
        <f>IF(Z425="","",IF(Z425=AB425,AC425,""))</f>
        <v/>
      </c>
      <c r="AH425" s="270" t="str">
        <f>IF(Z425="","",IF(Z425&lt;AB425,Y425,IF(Z425=AB425,"",AC425)))</f>
        <v/>
      </c>
      <c r="AI425" s="270" t="str">
        <f>IF(Z425="","",IF(Z425&gt;AB425,Y423,""))</f>
        <v/>
      </c>
      <c r="AJ425" s="270" t="str">
        <f>IF(Z425="","",IF(Z425&lt;AB425,AC423,""))</f>
        <v/>
      </c>
      <c r="AK425" s="270" t="str">
        <f>CONCATENATE(AE425,AH425)</f>
        <v/>
      </c>
      <c r="AL425" s="270"/>
      <c r="AM425" s="270"/>
      <c r="AN425" s="270"/>
      <c r="AO425" s="271"/>
      <c r="AP425" s="270"/>
      <c r="AQ425" s="270"/>
      <c r="AR425" s="270"/>
      <c r="AS425" s="270"/>
      <c r="AT425" s="270"/>
      <c r="AU425" s="270"/>
      <c r="AV425" s="270"/>
      <c r="AW425" s="270"/>
      <c r="AX425" s="270"/>
      <c r="AY425" s="1072"/>
      <c r="AZ425" s="270"/>
      <c r="BA425" s="270"/>
      <c r="BB425" s="1072"/>
      <c r="BC425" s="270"/>
      <c r="BD425" s="270"/>
      <c r="BE425" s="270"/>
      <c r="BF425" s="270"/>
      <c r="BG425" s="270"/>
      <c r="BH425" s="270"/>
      <c r="BI425" s="270"/>
      <c r="BJ425" s="270"/>
      <c r="BK425" s="270"/>
      <c r="BL425" s="270"/>
      <c r="BM425" s="270"/>
      <c r="BN425" s="270"/>
      <c r="BO425" s="270"/>
      <c r="BP425" s="270"/>
      <c r="BQ425" s="270"/>
      <c r="BR425" s="270"/>
      <c r="BS425" s="270"/>
      <c r="BT425" s="270"/>
      <c r="BU425" s="270"/>
      <c r="BV425" s="270"/>
      <c r="BW425" s="270"/>
      <c r="BX425" s="270"/>
      <c r="BY425" s="270"/>
      <c r="BZ425" s="270"/>
      <c r="CA425" s="270"/>
      <c r="CB425" s="270"/>
      <c r="CC425" s="270"/>
      <c r="CD425" s="270"/>
      <c r="CE425" s="1395"/>
      <c r="CF425" s="1450"/>
      <c r="CG425" s="1450"/>
      <c r="CH425" s="270"/>
      <c r="CI425" s="270"/>
      <c r="CJ425" s="270"/>
      <c r="CK425" s="270"/>
      <c r="CL425" s="270"/>
      <c r="CM425" s="270"/>
    </row>
    <row r="426" spans="1:91" ht="13.5" hidden="1" outlineLevel="3" thickBot="1" x14ac:dyDescent="0.25">
      <c r="A426" s="270"/>
      <c r="B426" s="271"/>
      <c r="C426" s="12"/>
      <c r="D426" s="1071"/>
      <c r="E426" s="1071"/>
      <c r="F426" s="1071"/>
      <c r="G426" s="1172"/>
      <c r="H426" s="271"/>
      <c r="I426" s="270"/>
      <c r="J426" s="270"/>
      <c r="K426" s="270"/>
      <c r="L426" s="270"/>
      <c r="M426" s="270"/>
      <c r="N426" s="270"/>
      <c r="O426" s="270"/>
      <c r="P426" s="1072"/>
      <c r="Q426" s="270"/>
      <c r="R426" s="270"/>
      <c r="S426" s="1072"/>
      <c r="T426" s="270"/>
      <c r="U426" s="1019"/>
      <c r="V426" s="1118"/>
      <c r="W426" s="1177"/>
      <c r="X426" s="1212"/>
      <c r="Y426" s="1208"/>
      <c r="Z426" s="492"/>
      <c r="AA426" s="493" t="s">
        <v>769</v>
      </c>
      <c r="AB426" s="1069"/>
      <c r="AC426" s="1070"/>
      <c r="AD426" s="839"/>
      <c r="AE426" s="270" t="str">
        <f>IF(Z426="","",IF(Z426&gt;AB426,Y426,IF(Z426=AB426,"",AC426)))</f>
        <v/>
      </c>
      <c r="AF426" s="270" t="str">
        <f>IF(Z426="","",IF(Z426=AB426,Y426,""))</f>
        <v/>
      </c>
      <c r="AG426" s="270" t="str">
        <f>IF(Z426="","",IF(Z426=AB426,AC426,""))</f>
        <v/>
      </c>
      <c r="AH426" s="270" t="str">
        <f>IF(Z426="","",IF(Z426&lt;AB426,Y426,IF(Z426=AB426,"",AC426)))</f>
        <v/>
      </c>
      <c r="AI426" s="270" t="str">
        <f>IF(Z426="","",IF(Z426&gt;AB426,Y423,""))</f>
        <v/>
      </c>
      <c r="AJ426" s="270" t="str">
        <f>IF(Z426="","",IF(Z426&lt;AB426,AC423,""))</f>
        <v/>
      </c>
      <c r="AK426" s="270" t="str">
        <f>CONCATENATE(AE426,AH426)</f>
        <v/>
      </c>
      <c r="AL426" s="270"/>
      <c r="AM426" s="270"/>
      <c r="AN426" s="270"/>
      <c r="AO426" s="271"/>
      <c r="AP426" s="270"/>
      <c r="AQ426" s="270"/>
      <c r="AR426" s="270"/>
      <c r="AS426" s="270"/>
      <c r="AT426" s="270"/>
      <c r="AU426" s="270"/>
      <c r="AV426" s="270"/>
      <c r="AW426" s="270"/>
      <c r="AX426" s="270"/>
      <c r="AY426" s="1072"/>
      <c r="AZ426" s="270"/>
      <c r="BA426" s="270"/>
      <c r="BB426" s="1072"/>
      <c r="BC426" s="270"/>
      <c r="BD426" s="270"/>
      <c r="BE426" s="270"/>
      <c r="BF426" s="270"/>
      <c r="BG426" s="270"/>
      <c r="BH426" s="270"/>
      <c r="BI426" s="270"/>
      <c r="BJ426" s="270"/>
      <c r="BK426" s="270"/>
      <c r="BL426" s="270"/>
      <c r="BM426" s="270"/>
      <c r="BN426" s="270"/>
      <c r="BO426" s="270"/>
      <c r="BP426" s="270"/>
      <c r="BQ426" s="270"/>
      <c r="BR426" s="270"/>
      <c r="BS426" s="270"/>
      <c r="BT426" s="270"/>
      <c r="BU426" s="270"/>
      <c r="BV426" s="270"/>
      <c r="BW426" s="270"/>
      <c r="BX426" s="270"/>
      <c r="BY426" s="270"/>
      <c r="BZ426" s="270"/>
      <c r="CA426" s="270"/>
      <c r="CB426" s="270"/>
      <c r="CC426" s="270"/>
      <c r="CD426" s="270"/>
      <c r="CE426" s="1395"/>
      <c r="CF426" s="1450"/>
      <c r="CG426" s="1450"/>
      <c r="CH426" s="270"/>
      <c r="CI426" s="270"/>
      <c r="CJ426" s="270"/>
      <c r="CK426" s="270"/>
      <c r="CL426" s="270"/>
      <c r="CM426" s="270"/>
    </row>
    <row r="427" spans="1:91" ht="13.5" hidden="1" outlineLevel="3" thickBot="1" x14ac:dyDescent="0.25">
      <c r="A427" s="270"/>
      <c r="B427" s="271"/>
      <c r="C427" s="12"/>
      <c r="D427" s="1071"/>
      <c r="E427" s="1071"/>
      <c r="F427" s="1071"/>
      <c r="G427" s="1172"/>
      <c r="H427" s="271"/>
      <c r="I427" s="270"/>
      <c r="J427" s="270"/>
      <c r="K427" s="270"/>
      <c r="L427" s="270"/>
      <c r="M427" s="270"/>
      <c r="N427" s="270"/>
      <c r="O427" s="270"/>
      <c r="P427" s="1072"/>
      <c r="Q427" s="270"/>
      <c r="R427" s="270"/>
      <c r="S427" s="1072"/>
      <c r="T427" s="270"/>
      <c r="U427" s="1019"/>
      <c r="V427" s="1118"/>
      <c r="W427" s="1177"/>
      <c r="X427" s="1212"/>
      <c r="Y427" s="1208"/>
      <c r="Z427" s="492"/>
      <c r="AA427" s="493" t="s">
        <v>769</v>
      </c>
      <c r="AB427" s="1069"/>
      <c r="AC427" s="1070"/>
      <c r="AD427" s="839"/>
      <c r="AE427" s="270" t="str">
        <f>IF(Z427="","",IF(Z427&gt;AB427,Y427,IF(Z427=AB427,"",AC427)))</f>
        <v/>
      </c>
      <c r="AF427" s="270" t="str">
        <f>IF(Z427="","",IF(Z427=AB427,Y427,""))</f>
        <v/>
      </c>
      <c r="AG427" s="270" t="str">
        <f>IF(Z427="","",IF(Z427=AB427,AC427,""))</f>
        <v/>
      </c>
      <c r="AH427" s="270" t="str">
        <f>IF(Z427="","",IF(Z427&lt;AB427,Y427,IF(Z427=AB427,"",AC427)))</f>
        <v/>
      </c>
      <c r="AI427" s="270" t="str">
        <f>IF(Z427="","",IF(Z427&gt;AB427,Y423,""))</f>
        <v/>
      </c>
      <c r="AJ427" s="270" t="str">
        <f>IF(Z427="","",IF(Z427&lt;AB427,AC423,""))</f>
        <v/>
      </c>
      <c r="AK427" s="270" t="str">
        <f>CONCATENATE(AE427,AH427)</f>
        <v/>
      </c>
      <c r="AL427" s="270"/>
      <c r="AM427" s="270"/>
      <c r="AN427" s="270"/>
      <c r="AO427" s="271"/>
      <c r="AP427" s="270"/>
      <c r="AQ427" s="270"/>
      <c r="AR427" s="270"/>
      <c r="AS427" s="270"/>
      <c r="AT427" s="270"/>
      <c r="AU427" s="270"/>
      <c r="AV427" s="270"/>
      <c r="AW427" s="270"/>
      <c r="AX427" s="270"/>
      <c r="AY427" s="1072"/>
      <c r="AZ427" s="270"/>
      <c r="BA427" s="270"/>
      <c r="BB427" s="1072"/>
      <c r="BC427" s="270"/>
      <c r="BD427" s="270"/>
      <c r="BE427" s="270"/>
      <c r="BF427" s="270"/>
      <c r="BG427" s="270"/>
      <c r="BH427" s="270"/>
      <c r="BI427" s="270"/>
      <c r="BJ427" s="270"/>
      <c r="BK427" s="270"/>
      <c r="BL427" s="270"/>
      <c r="BM427" s="270"/>
      <c r="BN427" s="270"/>
      <c r="BO427" s="270"/>
      <c r="BP427" s="270"/>
      <c r="BQ427" s="270"/>
      <c r="BR427" s="270"/>
      <c r="BS427" s="270"/>
      <c r="BT427" s="270"/>
      <c r="BU427" s="270"/>
      <c r="BV427" s="270"/>
      <c r="BW427" s="270"/>
      <c r="BX427" s="270"/>
      <c r="BY427" s="270"/>
      <c r="BZ427" s="270"/>
      <c r="CA427" s="270"/>
      <c r="CB427" s="270"/>
      <c r="CC427" s="270"/>
      <c r="CD427" s="270"/>
      <c r="CE427" s="1395"/>
      <c r="CF427" s="1450"/>
      <c r="CG427" s="1450"/>
      <c r="CH427" s="270"/>
      <c r="CI427" s="270"/>
      <c r="CJ427" s="270"/>
      <c r="CK427" s="270"/>
      <c r="CL427" s="270"/>
      <c r="CM427" s="270"/>
    </row>
    <row r="428" spans="1:91" ht="13.5" hidden="1" outlineLevel="3" thickBot="1" x14ac:dyDescent="0.25">
      <c r="A428" s="270"/>
      <c r="B428" s="271"/>
      <c r="C428" s="12"/>
      <c r="D428" s="1071"/>
      <c r="E428" s="1071"/>
      <c r="F428" s="1071"/>
      <c r="G428" s="626"/>
      <c r="H428" s="271"/>
      <c r="I428" s="270"/>
      <c r="J428" s="270"/>
      <c r="K428" s="270"/>
      <c r="L428" s="270"/>
      <c r="M428" s="270"/>
      <c r="N428" s="270"/>
      <c r="O428" s="270"/>
      <c r="P428" s="1072"/>
      <c r="Q428" s="270"/>
      <c r="R428" s="270"/>
      <c r="S428" s="1072"/>
      <c r="T428" s="270"/>
      <c r="U428" s="1019"/>
      <c r="V428" s="1073"/>
      <c r="W428" s="1074"/>
      <c r="X428" s="1075" t="str">
        <f>N_Substitute</f>
        <v>Remplaçant</v>
      </c>
      <c r="Y428" s="1208"/>
      <c r="Z428" s="492"/>
      <c r="AA428" s="1076"/>
      <c r="AB428" s="1069"/>
      <c r="AC428" s="1070"/>
      <c r="AD428" s="839"/>
      <c r="AE428" s="270"/>
      <c r="AF428" s="270"/>
      <c r="AG428" s="270"/>
      <c r="AH428" s="270"/>
      <c r="AI428" s="270"/>
      <c r="AJ428" s="270"/>
      <c r="AK428" s="270"/>
      <c r="AL428" s="270"/>
      <c r="AM428" s="270"/>
      <c r="AN428" s="270"/>
      <c r="AO428" s="271"/>
      <c r="AP428" s="270"/>
      <c r="AQ428" s="270"/>
      <c r="AR428" s="270"/>
      <c r="AS428" s="270"/>
      <c r="AT428" s="270"/>
      <c r="AU428" s="270"/>
      <c r="AV428" s="270"/>
      <c r="AW428" s="270"/>
      <c r="AX428" s="270"/>
      <c r="AY428" s="1072"/>
      <c r="AZ428" s="270"/>
      <c r="BA428" s="270"/>
      <c r="BB428" s="1072"/>
      <c r="BC428" s="270"/>
      <c r="BD428" s="270"/>
      <c r="BE428" s="270"/>
      <c r="BF428" s="270"/>
      <c r="BG428" s="270"/>
      <c r="BH428" s="270"/>
      <c r="BI428" s="270"/>
      <c r="BJ428" s="270"/>
      <c r="BK428" s="270"/>
      <c r="BL428" s="270"/>
      <c r="BM428" s="270"/>
      <c r="BN428" s="270"/>
      <c r="BO428" s="270"/>
      <c r="BP428" s="270"/>
      <c r="BQ428" s="270"/>
      <c r="BR428" s="270"/>
      <c r="BS428" s="270"/>
      <c r="BT428" s="270"/>
      <c r="BU428" s="270"/>
      <c r="BV428" s="270"/>
      <c r="BW428" s="270"/>
      <c r="BX428" s="270"/>
      <c r="BY428" s="270"/>
      <c r="BZ428" s="270"/>
      <c r="CA428" s="270"/>
      <c r="CB428" s="270"/>
      <c r="CC428" s="270"/>
      <c r="CD428" s="270"/>
      <c r="CE428" s="1395"/>
      <c r="CF428" s="1450"/>
      <c r="CG428" s="1450"/>
      <c r="CH428" s="270"/>
      <c r="CI428" s="270"/>
      <c r="CJ428" s="270"/>
      <c r="CK428" s="270"/>
      <c r="CL428" s="270"/>
      <c r="CM428" s="270"/>
    </row>
    <row r="429" spans="1:91" ht="13.5" hidden="1" outlineLevel="3" thickBot="1" x14ac:dyDescent="0.25">
      <c r="A429" s="270"/>
      <c r="B429" s="271"/>
      <c r="C429" s="12"/>
      <c r="D429" s="1071"/>
      <c r="E429" s="1071"/>
      <c r="F429" s="1071"/>
      <c r="G429" s="626"/>
      <c r="H429" s="271"/>
      <c r="I429" s="270"/>
      <c r="J429" s="270"/>
      <c r="K429" s="270"/>
      <c r="L429" s="270"/>
      <c r="M429" s="270"/>
      <c r="N429" s="270"/>
      <c r="O429" s="270"/>
      <c r="P429" s="1072"/>
      <c r="Q429" s="270"/>
      <c r="R429" s="270"/>
      <c r="S429" s="1072"/>
      <c r="T429" s="270"/>
      <c r="U429" s="1019"/>
      <c r="V429" s="1077"/>
      <c r="W429" s="1078"/>
      <c r="X429" s="1079" t="str">
        <f>N_Substitute</f>
        <v>Remplaçant</v>
      </c>
      <c r="Y429" s="1216"/>
      <c r="Z429" s="1081"/>
      <c r="AA429" s="1082"/>
      <c r="AB429" s="1081"/>
      <c r="AC429" s="1084"/>
      <c r="AD429" s="839"/>
      <c r="AE429" s="270"/>
      <c r="AF429" s="270"/>
      <c r="AG429" s="270"/>
      <c r="AH429" s="270"/>
      <c r="AI429" s="270"/>
      <c r="AJ429" s="270"/>
      <c r="AK429" s="270"/>
      <c r="AL429" s="270"/>
      <c r="AM429" s="270"/>
      <c r="AN429" s="270"/>
      <c r="AO429" s="271"/>
      <c r="AP429" s="270"/>
      <c r="AQ429" s="270"/>
      <c r="AR429" s="270"/>
      <c r="AS429" s="270"/>
      <c r="AT429" s="270"/>
      <c r="AU429" s="270"/>
      <c r="AV429" s="270"/>
      <c r="AW429" s="270"/>
      <c r="AX429" s="270"/>
      <c r="AY429" s="1072"/>
      <c r="AZ429" s="270"/>
      <c r="BA429" s="270"/>
      <c r="BB429" s="1072"/>
      <c r="BC429" s="270"/>
      <c r="BD429" s="270"/>
      <c r="BE429" s="270"/>
      <c r="BF429" s="270"/>
      <c r="BG429" s="270"/>
      <c r="BH429" s="270"/>
      <c r="BI429" s="270"/>
      <c r="BJ429" s="270"/>
      <c r="BK429" s="270"/>
      <c r="BL429" s="270"/>
      <c r="BM429" s="270"/>
      <c r="BN429" s="270"/>
      <c r="BO429" s="270"/>
      <c r="BP429" s="270"/>
      <c r="BQ429" s="270"/>
      <c r="BR429" s="270"/>
      <c r="BS429" s="270"/>
      <c r="BT429" s="270"/>
      <c r="BU429" s="270"/>
      <c r="BV429" s="270"/>
      <c r="BW429" s="270"/>
      <c r="BX429" s="270"/>
      <c r="BY429" s="270"/>
      <c r="BZ429" s="270"/>
      <c r="CA429" s="270"/>
      <c r="CB429" s="270"/>
      <c r="CC429" s="270"/>
      <c r="CD429" s="270"/>
      <c r="CE429" s="1395"/>
      <c r="CF429" s="1450"/>
      <c r="CG429" s="1450"/>
      <c r="CH429" s="270"/>
      <c r="CI429" s="270"/>
      <c r="CJ429" s="270"/>
      <c r="CK429" s="270"/>
      <c r="CL429" s="270"/>
      <c r="CM429" s="270"/>
    </row>
    <row r="430" spans="1:91" hidden="1" outlineLevel="2" collapsed="1" x14ac:dyDescent="0.2">
      <c r="A430" s="270"/>
      <c r="B430" s="271"/>
      <c r="C430" s="12"/>
      <c r="D430" s="1071"/>
      <c r="E430" s="1071"/>
      <c r="F430" s="1071"/>
      <c r="G430" s="1172"/>
      <c r="H430" s="271"/>
      <c r="I430" s="270"/>
      <c r="J430" s="270"/>
      <c r="K430" s="270"/>
      <c r="L430" s="270"/>
      <c r="M430" s="270"/>
      <c r="N430" s="270"/>
      <c r="O430" s="270"/>
      <c r="P430" s="1072"/>
      <c r="Q430" s="270"/>
      <c r="R430" s="270"/>
      <c r="S430" s="1072"/>
      <c r="T430" s="270"/>
      <c r="U430" s="1019" t="s">
        <v>1730</v>
      </c>
      <c r="V430" s="1173"/>
      <c r="W430" s="1525"/>
      <c r="X430" s="1535"/>
      <c r="Y430" s="1214" t="str">
        <f>G339</f>
        <v>Eq2</v>
      </c>
      <c r="Z430" s="1063" t="str">
        <f>IF(OR(ISNUMBER(Z431),ISNUMBER(Z432),ISNUMBER(Z433),ISNUMBER(Z434)),4-COUNTBLANK(AI431:AI434),"")</f>
        <v/>
      </c>
      <c r="AA430" s="1064" t="s">
        <v>769</v>
      </c>
      <c r="AB430" s="1063" t="str">
        <f>IF(OR(ISNUMBER(Z431),ISNUMBER(Z432),ISNUMBER(Z433),ISNUMBER(Z434)),4-COUNTBLANK(AJ431:AJ434),"")</f>
        <v/>
      </c>
      <c r="AC430" s="1217" t="str">
        <f>G340</f>
        <v>Eq3</v>
      </c>
      <c r="AD430" s="839"/>
      <c r="AE430" s="270" t="str">
        <f>IF(Z430="","",IF(Z430&gt;AB430,Y430,IF(Z430=AB430,IF(NoDrawWithWithdraw,IF(AL430=Y430,AC430,IF(AL430=AC430,Y430,"")),""),AC430)))</f>
        <v/>
      </c>
      <c r="AF430" s="270" t="str">
        <f>IF(Z430="","",IF(Z430=AB430,IF(NoDrawWithWithdraw,IF(AL430=Y430,"",IF(AL430=AC430,"",Y430)),Y430),""))</f>
        <v/>
      </c>
      <c r="AG430" s="270" t="str">
        <f>IF(Z430="","",IF(Z430=AB430,IF(NoDrawWithWithdraw,IF(AL430=Y430,"",IF(AL430=AC430,"",AC430)),AC430),""))</f>
        <v/>
      </c>
      <c r="AH430" s="270" t="str">
        <f>IF(Z430="","",IF(Z430&lt;AB430,Y430,IF(Z430=AB430,IF(NoDrawWithWithdraw,IF(AL430=Y430,Y430,IF(AL430=AC430,AC430,"")),""),AC430)))</f>
        <v/>
      </c>
      <c r="AI430" s="270" t="str">
        <f>IF(Z430="","",SUM(Z431:Z434))</f>
        <v/>
      </c>
      <c r="AJ430" s="270" t="str">
        <f>IF(Z430="","",SUM(AB431:AB434))</f>
        <v/>
      </c>
      <c r="AK430" s="270" t="str">
        <f>CONCATENATE(AE430,AH430)</f>
        <v/>
      </c>
      <c r="AL430" s="270" t="str">
        <f>IF(COUNTIF(Y431:Y434,WithdrawLabel)&gt;COUNTIF(AC431:AC434,WithdrawLabel),Y430,IF(COUNTIF(AC431:AC434,WithdrawLabel)&gt;COUNTIF(Y431:Y434,WithdrawLabel),AC430,""))</f>
        <v/>
      </c>
      <c r="AM430" s="270"/>
      <c r="AN430" s="270"/>
      <c r="AO430" s="271"/>
      <c r="AP430" s="270"/>
      <c r="AQ430" s="270"/>
      <c r="AR430" s="270"/>
      <c r="AS430" s="270"/>
      <c r="AT430" s="270"/>
      <c r="AU430" s="270"/>
      <c r="AV430" s="270"/>
      <c r="AW430" s="270"/>
      <c r="AX430" s="270"/>
      <c r="AY430" s="1072"/>
      <c r="AZ430" s="270"/>
      <c r="BA430" s="270"/>
      <c r="BB430" s="1072"/>
      <c r="BC430" s="270"/>
      <c r="BD430" s="270"/>
      <c r="BE430" s="270"/>
      <c r="BF430" s="270"/>
      <c r="BG430" s="270"/>
      <c r="BH430" s="270"/>
      <c r="BI430" s="270"/>
      <c r="BJ430" s="270"/>
      <c r="BK430" s="270"/>
      <c r="BL430" s="270"/>
      <c r="BM430" s="270"/>
      <c r="BN430" s="270"/>
      <c r="BO430" s="270"/>
      <c r="BP430" s="270"/>
      <c r="BQ430" s="270"/>
      <c r="BR430" s="270"/>
      <c r="BS430" s="270"/>
      <c r="BT430" s="270"/>
      <c r="BU430" s="270"/>
      <c r="BV430" s="270"/>
      <c r="BW430" s="270"/>
      <c r="BX430" s="270"/>
      <c r="BY430" s="270"/>
      <c r="BZ430" s="270"/>
      <c r="CA430" s="270"/>
      <c r="CB430" s="270"/>
      <c r="CC430" s="270"/>
      <c r="CD430" s="270"/>
      <c r="CE430" s="1395"/>
      <c r="CF430" s="1450"/>
      <c r="CG430" s="1450"/>
      <c r="CH430" s="270"/>
      <c r="CI430" s="270"/>
      <c r="CJ430" s="270"/>
      <c r="CK430" s="270"/>
      <c r="CL430" s="270"/>
      <c r="CM430" s="270"/>
    </row>
    <row r="431" spans="1:91" ht="13.5" hidden="1" outlineLevel="3" thickBot="1" x14ac:dyDescent="0.25">
      <c r="A431" s="270"/>
      <c r="B431" s="271"/>
      <c r="C431" s="12"/>
      <c r="D431" s="1071"/>
      <c r="E431" s="1071"/>
      <c r="F431" s="1071"/>
      <c r="G431" s="1172"/>
      <c r="H431" s="271"/>
      <c r="I431" s="270"/>
      <c r="J431" s="270"/>
      <c r="K431" s="270"/>
      <c r="L431" s="270"/>
      <c r="M431" s="270"/>
      <c r="N431" s="270"/>
      <c r="O431" s="270"/>
      <c r="P431" s="1072"/>
      <c r="Q431" s="270"/>
      <c r="R431" s="270"/>
      <c r="S431" s="1072"/>
      <c r="T431" s="270"/>
      <c r="U431" s="1019"/>
      <c r="V431" s="1176"/>
      <c r="W431" s="1177"/>
      <c r="X431" s="1207"/>
      <c r="Y431" s="1208"/>
      <c r="Z431" s="492"/>
      <c r="AA431" s="493" t="s">
        <v>769</v>
      </c>
      <c r="AB431" s="1069"/>
      <c r="AC431" s="1070"/>
      <c r="AD431" s="839"/>
      <c r="AE431" s="270" t="str">
        <f>IF(Z431="","",IF(Z431&gt;AB431,Y431,IF(Z431=AB431,"",AC431)))</f>
        <v/>
      </c>
      <c r="AF431" s="270" t="str">
        <f>IF(Z431="","",IF(Z431=AB431,Y431,""))</f>
        <v/>
      </c>
      <c r="AG431" s="270" t="str">
        <f>IF(Z431="","",IF(Z431=AB431,AC431,""))</f>
        <v/>
      </c>
      <c r="AH431" s="270" t="str">
        <f>IF(Z431="","",IF(Z431&lt;AB431,Y431,IF(Z431=AB431,"",AC431)))</f>
        <v/>
      </c>
      <c r="AI431" s="270" t="str">
        <f>IF(Z431="","",IF(Z431&gt;AB431,Y430,""))</f>
        <v/>
      </c>
      <c r="AJ431" s="270" t="str">
        <f>IF(Z431="","",IF(Z431&lt;AB431,AC430,""))</f>
        <v/>
      </c>
      <c r="AK431" s="270" t="str">
        <f>CONCATENATE(AE431,AH431)</f>
        <v/>
      </c>
      <c r="AL431" s="270"/>
      <c r="AM431" s="270"/>
      <c r="AN431" s="270"/>
      <c r="AO431" s="271"/>
      <c r="AP431" s="270"/>
      <c r="AQ431" s="270"/>
      <c r="AR431" s="270"/>
      <c r="AS431" s="270"/>
      <c r="AT431" s="270"/>
      <c r="AU431" s="270"/>
      <c r="AV431" s="270"/>
      <c r="AW431" s="270"/>
      <c r="AX431" s="270"/>
      <c r="AY431" s="1072"/>
      <c r="AZ431" s="270"/>
      <c r="BA431" s="270"/>
      <c r="BB431" s="1072"/>
      <c r="BC431" s="270"/>
      <c r="BD431" s="270"/>
      <c r="BE431" s="270"/>
      <c r="BF431" s="270"/>
      <c r="BG431" s="270"/>
      <c r="BH431" s="270"/>
      <c r="BI431" s="270"/>
      <c r="BJ431" s="270"/>
      <c r="BK431" s="270"/>
      <c r="BL431" s="270"/>
      <c r="BM431" s="270"/>
      <c r="BN431" s="270"/>
      <c r="BO431" s="270"/>
      <c r="BP431" s="270"/>
      <c r="BQ431" s="270"/>
      <c r="BR431" s="270"/>
      <c r="BS431" s="270"/>
      <c r="BT431" s="270"/>
      <c r="BU431" s="270"/>
      <c r="BV431" s="270"/>
      <c r="BW431" s="270"/>
      <c r="BX431" s="270"/>
      <c r="BY431" s="270"/>
      <c r="BZ431" s="270"/>
      <c r="CA431" s="270"/>
      <c r="CB431" s="270"/>
      <c r="CC431" s="270"/>
      <c r="CD431" s="270"/>
      <c r="CE431" s="1395"/>
      <c r="CF431" s="1450"/>
      <c r="CG431" s="1450"/>
      <c r="CH431" s="270"/>
      <c r="CI431" s="270"/>
      <c r="CJ431" s="270"/>
      <c r="CK431" s="270"/>
      <c r="CL431" s="270"/>
      <c r="CM431" s="270"/>
    </row>
    <row r="432" spans="1:91" ht="13.5" hidden="1" outlineLevel="3" thickBot="1" x14ac:dyDescent="0.25">
      <c r="A432" s="270"/>
      <c r="B432" s="271"/>
      <c r="C432" s="12"/>
      <c r="D432" s="1071"/>
      <c r="E432" s="1071"/>
      <c r="F432" s="1071"/>
      <c r="G432" s="1172"/>
      <c r="H432" s="271"/>
      <c r="I432" s="270"/>
      <c r="J432" s="270"/>
      <c r="K432" s="270"/>
      <c r="L432" s="270"/>
      <c r="M432" s="270"/>
      <c r="N432" s="270"/>
      <c r="O432" s="270"/>
      <c r="P432" s="1072"/>
      <c r="Q432" s="270"/>
      <c r="R432" s="270"/>
      <c r="S432" s="1072"/>
      <c r="T432" s="270"/>
      <c r="U432" s="1019"/>
      <c r="V432" s="1176"/>
      <c r="W432" s="1177"/>
      <c r="X432" s="1207"/>
      <c r="Y432" s="1208"/>
      <c r="Z432" s="492"/>
      <c r="AA432" s="493" t="s">
        <v>769</v>
      </c>
      <c r="AB432" s="1069"/>
      <c r="AC432" s="1070"/>
      <c r="AD432" s="839"/>
      <c r="AE432" s="270" t="str">
        <f>IF(Z432="","",IF(Z432&gt;AB432,Y432,IF(Z432=AB432,"",AC432)))</f>
        <v/>
      </c>
      <c r="AF432" s="270" t="str">
        <f>IF(Z432="","",IF(Z432=AB432,Y432,""))</f>
        <v/>
      </c>
      <c r="AG432" s="270" t="str">
        <f>IF(Z432="","",IF(Z432=AB432,AC432,""))</f>
        <v/>
      </c>
      <c r="AH432" s="270" t="str">
        <f>IF(Z432="","",IF(Z432&lt;AB432,Y432,IF(Z432=AB432,"",AC432)))</f>
        <v/>
      </c>
      <c r="AI432" s="270" t="str">
        <f>IF(Z432="","",IF(Z432&gt;AB432,Y430,""))</f>
        <v/>
      </c>
      <c r="AJ432" s="270" t="str">
        <f>IF(Z432="","",IF(Z432&lt;AB432,AC430,""))</f>
        <v/>
      </c>
      <c r="AK432" s="270" t="str">
        <f>CONCATENATE(AE432,AH432)</f>
        <v/>
      </c>
      <c r="AL432" s="270"/>
      <c r="AM432" s="270"/>
      <c r="AN432" s="270"/>
      <c r="AO432" s="271"/>
      <c r="AP432" s="270"/>
      <c r="AQ432" s="270"/>
      <c r="AR432" s="270"/>
      <c r="AS432" s="270"/>
      <c r="AT432" s="270"/>
      <c r="AU432" s="270"/>
      <c r="AV432" s="270"/>
      <c r="AW432" s="270"/>
      <c r="AX432" s="270"/>
      <c r="AY432" s="1072"/>
      <c r="AZ432" s="270"/>
      <c r="BA432" s="270"/>
      <c r="BB432" s="1072"/>
      <c r="BC432" s="270"/>
      <c r="BD432" s="270"/>
      <c r="BE432" s="270"/>
      <c r="BF432" s="270"/>
      <c r="BG432" s="270"/>
      <c r="BH432" s="270"/>
      <c r="BI432" s="270"/>
      <c r="BJ432" s="270"/>
      <c r="BK432" s="270"/>
      <c r="BL432" s="270"/>
      <c r="BM432" s="270"/>
      <c r="BN432" s="270"/>
      <c r="BO432" s="270"/>
      <c r="BP432" s="270"/>
      <c r="BQ432" s="270"/>
      <c r="BR432" s="270"/>
      <c r="BS432" s="270"/>
      <c r="BT432" s="270"/>
      <c r="BU432" s="270"/>
      <c r="BV432" s="270"/>
      <c r="BW432" s="270"/>
      <c r="BX432" s="270"/>
      <c r="BY432" s="270"/>
      <c r="BZ432" s="270"/>
      <c r="CA432" s="270"/>
      <c r="CB432" s="270"/>
      <c r="CC432" s="270"/>
      <c r="CD432" s="270"/>
      <c r="CE432" s="1395"/>
      <c r="CF432" s="1450"/>
      <c r="CG432" s="1450"/>
      <c r="CH432" s="270"/>
      <c r="CI432" s="270"/>
      <c r="CJ432" s="270"/>
      <c r="CK432" s="270"/>
      <c r="CL432" s="270"/>
      <c r="CM432" s="270"/>
    </row>
    <row r="433" spans="1:91" ht="13.5" hidden="1" outlineLevel="3" thickBot="1" x14ac:dyDescent="0.25">
      <c r="A433" s="270"/>
      <c r="B433" s="271"/>
      <c r="C433" s="12"/>
      <c r="D433" s="1071"/>
      <c r="E433" s="1071"/>
      <c r="F433" s="1071"/>
      <c r="G433" s="1172"/>
      <c r="H433" s="271"/>
      <c r="I433" s="270"/>
      <c r="J433" s="270"/>
      <c r="K433" s="270"/>
      <c r="L433" s="270"/>
      <c r="M433" s="270"/>
      <c r="N433" s="270"/>
      <c r="O433" s="270"/>
      <c r="P433" s="1072"/>
      <c r="Q433" s="270"/>
      <c r="R433" s="270"/>
      <c r="S433" s="1072"/>
      <c r="T433" s="270"/>
      <c r="U433" s="1019"/>
      <c r="V433" s="1176"/>
      <c r="W433" s="1177"/>
      <c r="X433" s="1207"/>
      <c r="Y433" s="1208"/>
      <c r="Z433" s="492"/>
      <c r="AA433" s="493" t="s">
        <v>769</v>
      </c>
      <c r="AB433" s="1069"/>
      <c r="AC433" s="1070"/>
      <c r="AD433" s="839"/>
      <c r="AE433" s="270" t="str">
        <f>IF(Z433="","",IF(Z433&gt;AB433,Y433,IF(Z433=AB433,"",AC433)))</f>
        <v/>
      </c>
      <c r="AF433" s="270" t="str">
        <f>IF(Z433="","",IF(Z433=AB433,Y433,""))</f>
        <v/>
      </c>
      <c r="AG433" s="270" t="str">
        <f>IF(Z433="","",IF(Z433=AB433,AC433,""))</f>
        <v/>
      </c>
      <c r="AH433" s="270" t="str">
        <f>IF(Z433="","",IF(Z433&lt;AB433,Y433,IF(Z433=AB433,"",AC433)))</f>
        <v/>
      </c>
      <c r="AI433" s="270" t="str">
        <f>IF(Z433="","",IF(Z433&gt;AB433,Y430,""))</f>
        <v/>
      </c>
      <c r="AJ433" s="270" t="str">
        <f>IF(Z433="","",IF(Z433&lt;AB433,AC430,""))</f>
        <v/>
      </c>
      <c r="AK433" s="270" t="str">
        <f>CONCATENATE(AE433,AH433)</f>
        <v/>
      </c>
      <c r="AL433" s="270"/>
      <c r="AM433" s="270"/>
      <c r="AN433" s="270"/>
      <c r="AO433" s="271"/>
      <c r="AP433" s="270"/>
      <c r="AQ433" s="270"/>
      <c r="AR433" s="270"/>
      <c r="AS433" s="270"/>
      <c r="AT433" s="270"/>
      <c r="AU433" s="270"/>
      <c r="AV433" s="270"/>
      <c r="AW433" s="270"/>
      <c r="AX433" s="270"/>
      <c r="AY433" s="1072"/>
      <c r="AZ433" s="270"/>
      <c r="BA433" s="270"/>
      <c r="BB433" s="1072"/>
      <c r="BC433" s="270"/>
      <c r="BD433" s="270"/>
      <c r="BE433" s="270"/>
      <c r="BF433" s="270"/>
      <c r="BG433" s="270"/>
      <c r="BH433" s="270"/>
      <c r="BI433" s="270"/>
      <c r="BJ433" s="270"/>
      <c r="BK433" s="270"/>
      <c r="BL433" s="270"/>
      <c r="BM433" s="270"/>
      <c r="BN433" s="270"/>
      <c r="BO433" s="270"/>
      <c r="BP433" s="270"/>
      <c r="BQ433" s="270"/>
      <c r="BR433" s="270"/>
      <c r="BS433" s="270"/>
      <c r="BT433" s="270"/>
      <c r="BU433" s="270"/>
      <c r="BV433" s="270"/>
      <c r="BW433" s="270"/>
      <c r="BX433" s="270"/>
      <c r="BY433" s="270"/>
      <c r="BZ433" s="270"/>
      <c r="CA433" s="270"/>
      <c r="CB433" s="270"/>
      <c r="CC433" s="270"/>
      <c r="CD433" s="270"/>
      <c r="CE433" s="1395"/>
      <c r="CF433" s="1450"/>
      <c r="CG433" s="1450"/>
      <c r="CH433" s="270"/>
      <c r="CI433" s="270"/>
      <c r="CJ433" s="270"/>
      <c r="CK433" s="270"/>
      <c r="CL433" s="270"/>
      <c r="CM433" s="270"/>
    </row>
    <row r="434" spans="1:91" ht="13.5" hidden="1" outlineLevel="3" thickBot="1" x14ac:dyDescent="0.25">
      <c r="A434" s="270"/>
      <c r="B434" s="271"/>
      <c r="C434" s="12"/>
      <c r="D434" s="1071"/>
      <c r="E434" s="1071"/>
      <c r="F434" s="1071"/>
      <c r="G434" s="1172"/>
      <c r="H434" s="271"/>
      <c r="I434" s="270"/>
      <c r="J434" s="270"/>
      <c r="K434" s="270"/>
      <c r="L434" s="270"/>
      <c r="M434" s="270"/>
      <c r="N434" s="270"/>
      <c r="O434" s="270"/>
      <c r="P434" s="1072"/>
      <c r="Q434" s="270"/>
      <c r="R434" s="270"/>
      <c r="S434" s="1072"/>
      <c r="T434" s="270"/>
      <c r="U434" s="1019"/>
      <c r="V434" s="1176"/>
      <c r="W434" s="1177"/>
      <c r="X434" s="1207"/>
      <c r="Y434" s="1208"/>
      <c r="Z434" s="492"/>
      <c r="AA434" s="493" t="s">
        <v>769</v>
      </c>
      <c r="AB434" s="1069"/>
      <c r="AC434" s="1070"/>
      <c r="AD434" s="839"/>
      <c r="AE434" s="270" t="str">
        <f>IF(Z434="","",IF(Z434&gt;AB434,Y434,IF(Z434=AB434,"",AC434)))</f>
        <v/>
      </c>
      <c r="AF434" s="270" t="str">
        <f>IF(Z434="","",IF(Z434=AB434,Y434,""))</f>
        <v/>
      </c>
      <c r="AG434" s="270" t="str">
        <f>IF(Z434="","",IF(Z434=AB434,AC434,""))</f>
        <v/>
      </c>
      <c r="AH434" s="270" t="str">
        <f>IF(Z434="","",IF(Z434&lt;AB434,Y434,IF(Z434=AB434,"",AC434)))</f>
        <v/>
      </c>
      <c r="AI434" s="270" t="str">
        <f>IF(Z434="","",IF(Z434&gt;AB434,Y430,""))</f>
        <v/>
      </c>
      <c r="AJ434" s="270" t="str">
        <f>IF(Z434="","",IF(Z434&lt;AB434,AC430,""))</f>
        <v/>
      </c>
      <c r="AK434" s="270" t="str">
        <f>CONCATENATE(AE434,AH434)</f>
        <v/>
      </c>
      <c r="AL434" s="270"/>
      <c r="AM434" s="270"/>
      <c r="AN434" s="270"/>
      <c r="AO434" s="271"/>
      <c r="AP434" s="270"/>
      <c r="AQ434" s="270"/>
      <c r="AR434" s="270"/>
      <c r="AS434" s="270"/>
      <c r="AT434" s="270"/>
      <c r="AU434" s="270"/>
      <c r="AV434" s="270"/>
      <c r="AW434" s="270"/>
      <c r="AX434" s="270"/>
      <c r="AY434" s="1072"/>
      <c r="AZ434" s="270"/>
      <c r="BA434" s="270"/>
      <c r="BB434" s="1072"/>
      <c r="BC434" s="270"/>
      <c r="BD434" s="270"/>
      <c r="BE434" s="270"/>
      <c r="BF434" s="270"/>
      <c r="BG434" s="270"/>
      <c r="BH434" s="270"/>
      <c r="BI434" s="270"/>
      <c r="BJ434" s="270"/>
      <c r="BK434" s="270"/>
      <c r="BL434" s="270"/>
      <c r="BM434" s="270"/>
      <c r="BN434" s="270"/>
      <c r="BO434" s="270"/>
      <c r="BP434" s="270"/>
      <c r="BQ434" s="270"/>
      <c r="BR434" s="270"/>
      <c r="BS434" s="270"/>
      <c r="BT434" s="270"/>
      <c r="BU434" s="270"/>
      <c r="BV434" s="270"/>
      <c r="BW434" s="270"/>
      <c r="BX434" s="270"/>
      <c r="BY434" s="270"/>
      <c r="BZ434" s="270"/>
      <c r="CA434" s="270"/>
      <c r="CB434" s="270"/>
      <c r="CC434" s="270"/>
      <c r="CD434" s="270"/>
      <c r="CE434" s="1395"/>
      <c r="CF434" s="1450"/>
      <c r="CG434" s="1450"/>
      <c r="CH434" s="270"/>
      <c r="CI434" s="270"/>
      <c r="CJ434" s="270"/>
      <c r="CK434" s="270"/>
      <c r="CL434" s="270"/>
      <c r="CM434" s="270"/>
    </row>
    <row r="435" spans="1:91" ht="13.5" hidden="1" outlineLevel="3" thickBot="1" x14ac:dyDescent="0.25">
      <c r="A435" s="270"/>
      <c r="B435" s="271"/>
      <c r="C435" s="12"/>
      <c r="D435" s="1071"/>
      <c r="E435" s="1071"/>
      <c r="F435" s="1071"/>
      <c r="G435" s="626"/>
      <c r="H435" s="271"/>
      <c r="I435" s="270"/>
      <c r="J435" s="270"/>
      <c r="K435" s="270"/>
      <c r="L435" s="270"/>
      <c r="M435" s="270"/>
      <c r="N435" s="270"/>
      <c r="O435" s="270"/>
      <c r="P435" s="1072"/>
      <c r="Q435" s="270"/>
      <c r="R435" s="270"/>
      <c r="S435" s="1072"/>
      <c r="T435" s="270"/>
      <c r="U435" s="1019"/>
      <c r="V435" s="1073"/>
      <c r="W435" s="1074"/>
      <c r="X435" s="1075" t="str">
        <f>N_Substitute</f>
        <v>Remplaçant</v>
      </c>
      <c r="Y435" s="1208"/>
      <c r="Z435" s="492"/>
      <c r="AA435" s="1076"/>
      <c r="AB435" s="1069"/>
      <c r="AC435" s="1070"/>
      <c r="AD435" s="839"/>
      <c r="AE435" s="270"/>
      <c r="AF435" s="270"/>
      <c r="AG435" s="270"/>
      <c r="AH435" s="270"/>
      <c r="AI435" s="270"/>
      <c r="AJ435" s="270"/>
      <c r="AK435" s="270"/>
      <c r="AL435" s="270"/>
      <c r="AM435" s="270"/>
      <c r="AN435" s="270"/>
      <c r="AO435" s="271"/>
      <c r="AP435" s="270"/>
      <c r="AQ435" s="270"/>
      <c r="AR435" s="270"/>
      <c r="AS435" s="270"/>
      <c r="AT435" s="270"/>
      <c r="AU435" s="270"/>
      <c r="AV435" s="270"/>
      <c r="AW435" s="270"/>
      <c r="AX435" s="270"/>
      <c r="AY435" s="1072"/>
      <c r="AZ435" s="270"/>
      <c r="BA435" s="270"/>
      <c r="BB435" s="1072"/>
      <c r="BC435" s="270"/>
      <c r="BD435" s="270"/>
      <c r="BE435" s="270"/>
      <c r="BF435" s="270"/>
      <c r="BG435" s="270"/>
      <c r="BH435" s="270"/>
      <c r="BI435" s="270"/>
      <c r="BJ435" s="270"/>
      <c r="BK435" s="270"/>
      <c r="BL435" s="270"/>
      <c r="BM435" s="270"/>
      <c r="BN435" s="270"/>
      <c r="BO435" s="270"/>
      <c r="BP435" s="270"/>
      <c r="BQ435" s="270"/>
      <c r="BR435" s="270"/>
      <c r="BS435" s="270"/>
      <c r="BT435" s="270"/>
      <c r="BU435" s="270"/>
      <c r="BV435" s="270"/>
      <c r="BW435" s="270"/>
      <c r="BX435" s="270"/>
      <c r="BY435" s="270"/>
      <c r="BZ435" s="270"/>
      <c r="CA435" s="270"/>
      <c r="CB435" s="270"/>
      <c r="CC435" s="270"/>
      <c r="CD435" s="270"/>
      <c r="CE435" s="1395"/>
      <c r="CF435" s="1450"/>
      <c r="CG435" s="1450"/>
      <c r="CH435" s="270"/>
      <c r="CI435" s="270"/>
      <c r="CJ435" s="270"/>
      <c r="CK435" s="270"/>
      <c r="CL435" s="270"/>
      <c r="CM435" s="270"/>
    </row>
    <row r="436" spans="1:91" ht="13.5" hidden="1" outlineLevel="3" thickBot="1" x14ac:dyDescent="0.25">
      <c r="A436" s="270"/>
      <c r="B436" s="271"/>
      <c r="C436" s="12"/>
      <c r="D436" s="1071"/>
      <c r="E436" s="1071"/>
      <c r="F436" s="1071"/>
      <c r="G436" s="626"/>
      <c r="H436" s="271"/>
      <c r="I436" s="270"/>
      <c r="J436" s="270"/>
      <c r="K436" s="270"/>
      <c r="L436" s="270"/>
      <c r="M436" s="270"/>
      <c r="N436" s="270"/>
      <c r="O436" s="270"/>
      <c r="P436" s="1072"/>
      <c r="Q436" s="270"/>
      <c r="R436" s="270"/>
      <c r="S436" s="1072"/>
      <c r="T436" s="270"/>
      <c r="U436" s="1019"/>
      <c r="V436" s="1119"/>
      <c r="W436" s="1120"/>
      <c r="X436" s="1075" t="str">
        <f>N_Substitute</f>
        <v>Remplaçant</v>
      </c>
      <c r="Y436" s="1208"/>
      <c r="Z436" s="492"/>
      <c r="AA436" s="1121"/>
      <c r="AB436" s="1069"/>
      <c r="AC436" s="1070"/>
      <c r="AD436" s="839"/>
      <c r="AE436" s="270"/>
      <c r="AF436" s="270"/>
      <c r="AG436" s="270"/>
      <c r="AH436" s="270"/>
      <c r="AI436" s="270"/>
      <c r="AJ436" s="270"/>
      <c r="AK436" s="270"/>
      <c r="AL436" s="270"/>
      <c r="AM436" s="270"/>
      <c r="AN436" s="270"/>
      <c r="AO436" s="271"/>
      <c r="AP436" s="270"/>
      <c r="AQ436" s="270"/>
      <c r="AR436" s="270"/>
      <c r="AS436" s="270"/>
      <c r="AT436" s="270"/>
      <c r="AU436" s="270"/>
      <c r="AV436" s="270"/>
      <c r="AW436" s="270"/>
      <c r="AX436" s="270"/>
      <c r="AY436" s="1072"/>
      <c r="AZ436" s="270"/>
      <c r="BA436" s="270"/>
      <c r="BB436" s="1072"/>
      <c r="BC436" s="270"/>
      <c r="BD436" s="270"/>
      <c r="BE436" s="270"/>
      <c r="BF436" s="270"/>
      <c r="BG436" s="270"/>
      <c r="BH436" s="270"/>
      <c r="BI436" s="270"/>
      <c r="BJ436" s="270"/>
      <c r="BK436" s="270"/>
      <c r="BL436" s="270"/>
      <c r="BM436" s="270"/>
      <c r="BN436" s="270"/>
      <c r="BO436" s="270"/>
      <c r="BP436" s="270"/>
      <c r="BQ436" s="270"/>
      <c r="BR436" s="270"/>
      <c r="BS436" s="270"/>
      <c r="BT436" s="270"/>
      <c r="BU436" s="270"/>
      <c r="BV436" s="270"/>
      <c r="BW436" s="270"/>
      <c r="BX436" s="270"/>
      <c r="BY436" s="270"/>
      <c r="BZ436" s="270"/>
      <c r="CA436" s="270"/>
      <c r="CB436" s="270"/>
      <c r="CC436" s="270"/>
      <c r="CD436" s="270"/>
      <c r="CE436" s="1395"/>
      <c r="CF436" s="1450"/>
      <c r="CG436" s="1450"/>
      <c r="CH436" s="270"/>
      <c r="CI436" s="270"/>
      <c r="CJ436" s="270"/>
      <c r="CK436" s="270"/>
      <c r="CL436" s="270"/>
      <c r="CM436" s="270"/>
    </row>
    <row r="437" spans="1:91" hidden="1" outlineLevel="2" collapsed="1" x14ac:dyDescent="0.2">
      <c r="A437" s="270"/>
      <c r="B437" s="271"/>
      <c r="C437" s="270"/>
      <c r="D437" s="270"/>
      <c r="E437" s="270"/>
      <c r="F437" s="270"/>
      <c r="G437" s="271"/>
      <c r="H437" s="270"/>
      <c r="I437" s="270"/>
      <c r="J437" s="270"/>
      <c r="K437" s="270"/>
      <c r="L437" s="270"/>
      <c r="M437" s="270"/>
      <c r="N437" s="270"/>
      <c r="O437" s="270"/>
      <c r="P437" s="270"/>
      <c r="Q437" s="270"/>
      <c r="R437" s="270"/>
      <c r="S437" s="270"/>
      <c r="T437" s="270"/>
      <c r="U437" s="1019" t="s">
        <v>1730</v>
      </c>
      <c r="V437" s="1209"/>
      <c r="W437" s="1177"/>
      <c r="X437" s="1533"/>
      <c r="Y437" s="1210" t="str">
        <f>G341</f>
        <v>Eq4</v>
      </c>
      <c r="Z437" s="1125" t="str">
        <f>IF(OR(ISNUMBER(Z438),ISNUMBER(Z439),ISNUMBER(Z440),ISNUMBER(Z441)),4-COUNTBLANK(AI438:AI441),"")</f>
        <v/>
      </c>
      <c r="AA437" s="1124" t="s">
        <v>769</v>
      </c>
      <c r="AB437" s="1125" t="str">
        <f>IF(OR(ISNUMBER(Z438),ISNUMBER(Z439),ISNUMBER(Z440),ISNUMBER(Z441)),4-COUNTBLANK(AJ438:AJ441),"")</f>
        <v/>
      </c>
      <c r="AC437" s="1211" t="str">
        <f>G338</f>
        <v>Eq1</v>
      </c>
      <c r="AD437" s="839"/>
      <c r="AE437" s="270" t="str">
        <f>IF(Z437="","",IF(Z437&gt;AB437,Y437,IF(Z437=AB437,IF(NoDrawWithWithdraw,IF(AL437=Y437,AC437,IF(AL437=AC437,Y437,"")),""),AC437)))</f>
        <v/>
      </c>
      <c r="AF437" s="270" t="str">
        <f>IF(Z437="","",IF(Z437=AB437,IF(NoDrawWithWithdraw,IF(AL437=Y437,"",IF(AL437=AC437,"",Y437)),Y437),""))</f>
        <v/>
      </c>
      <c r="AG437" s="270" t="str">
        <f>IF(Z437="","",IF(Z437=AB437,IF(NoDrawWithWithdraw,IF(AL437=Y437,"",IF(AL437=AC437,"",AC437)),AC437),""))</f>
        <v/>
      </c>
      <c r="AH437" s="270" t="str">
        <f>IF(Z437="","",IF(Z437&lt;AB437,Y437,IF(Z437=AB437,IF(NoDrawWithWithdraw,IF(AL437=Y437,Y437,IF(AL437=AC437,AC437,"")),""),AC437)))</f>
        <v/>
      </c>
      <c r="AI437" s="270" t="str">
        <f>IF(Z437="","",SUM(Z438:Z441))</f>
        <v/>
      </c>
      <c r="AJ437" s="270" t="str">
        <f>IF(Z437="","",SUM(AB438:AB441))</f>
        <v/>
      </c>
      <c r="AK437" s="270" t="str">
        <f>CONCATENATE(AE437,AH437)</f>
        <v/>
      </c>
      <c r="AL437" s="270" t="str">
        <f>IF(COUNTIF(Y438:Y441,WithdrawLabel)&gt;COUNTIF(AC438:AC441,WithdrawLabel),Y437,IF(COUNTIF(AC438:AC441,WithdrawLabel)&gt;COUNTIF(Y438:Y441,WithdrawLabel),AC437,""))</f>
        <v/>
      </c>
      <c r="AM437" s="270"/>
      <c r="AN437" s="270"/>
      <c r="AO437" s="575"/>
      <c r="AP437" s="270"/>
      <c r="AQ437" s="270"/>
      <c r="AR437" s="270"/>
      <c r="AS437" s="270"/>
      <c r="AT437" s="270"/>
      <c r="AU437" s="270"/>
      <c r="AV437" s="270"/>
      <c r="AW437" s="270"/>
      <c r="AX437" s="270"/>
      <c r="AY437" s="270"/>
      <c r="AZ437" s="270"/>
      <c r="BA437" s="270"/>
      <c r="BB437" s="270"/>
      <c r="BC437" s="270"/>
      <c r="BD437" s="270"/>
      <c r="BE437" s="270"/>
      <c r="BF437" s="270"/>
      <c r="BG437" s="270"/>
      <c r="BH437" s="270"/>
      <c r="BI437" s="270"/>
      <c r="BJ437" s="270"/>
      <c r="BK437" s="270"/>
      <c r="BL437" s="270"/>
      <c r="BM437" s="270"/>
      <c r="BN437" s="270"/>
      <c r="BO437" s="270"/>
      <c r="BP437" s="270"/>
      <c r="BQ437" s="270"/>
      <c r="BR437" s="270"/>
      <c r="BS437" s="270"/>
      <c r="BT437" s="270"/>
      <c r="BU437" s="270"/>
      <c r="BV437" s="270"/>
      <c r="BW437" s="270"/>
      <c r="BX437" s="270"/>
      <c r="BY437" s="270"/>
      <c r="BZ437" s="270"/>
      <c r="CA437" s="270"/>
      <c r="CB437" s="270"/>
      <c r="CC437" s="270"/>
      <c r="CD437" s="270"/>
      <c r="CE437" s="1395"/>
      <c r="CF437" s="1450"/>
      <c r="CG437" s="1450"/>
      <c r="CH437" s="270"/>
      <c r="CI437" s="270"/>
      <c r="CJ437" s="270"/>
      <c r="CK437" s="270"/>
      <c r="CL437" s="270"/>
      <c r="CM437" s="270"/>
    </row>
    <row r="438" spans="1:91" ht="13.5" hidden="1" outlineLevel="3" thickBot="1" x14ac:dyDescent="0.25">
      <c r="A438" s="270"/>
      <c r="B438" s="271"/>
      <c r="C438" s="12"/>
      <c r="D438" s="1071"/>
      <c r="E438" s="1071"/>
      <c r="F438" s="1071"/>
      <c r="G438" s="1172"/>
      <c r="H438" s="271"/>
      <c r="I438" s="270"/>
      <c r="J438" s="270"/>
      <c r="K438" s="270"/>
      <c r="L438" s="270"/>
      <c r="M438" s="270"/>
      <c r="N438" s="270"/>
      <c r="O438" s="270"/>
      <c r="P438" s="1072"/>
      <c r="Q438" s="270"/>
      <c r="R438" s="270"/>
      <c r="S438" s="1072"/>
      <c r="T438" s="270"/>
      <c r="U438" s="1019"/>
      <c r="V438" s="1176"/>
      <c r="W438" s="1177"/>
      <c r="X438" s="1207"/>
      <c r="Y438" s="1208"/>
      <c r="Z438" s="492"/>
      <c r="AA438" s="493" t="s">
        <v>769</v>
      </c>
      <c r="AB438" s="1069"/>
      <c r="AC438" s="1070"/>
      <c r="AD438" s="839"/>
      <c r="AE438" s="270" t="str">
        <f>IF(Z438="","",IF(Z438&gt;AB438,Y438,IF(Z438=AB438,"",AC438)))</f>
        <v/>
      </c>
      <c r="AF438" s="270" t="str">
        <f>IF(Z438="","",IF(Z438=AB438,Y438,""))</f>
        <v/>
      </c>
      <c r="AG438" s="270" t="str">
        <f>IF(Z438="","",IF(Z438=AB438,AC438,""))</f>
        <v/>
      </c>
      <c r="AH438" s="270" t="str">
        <f>IF(Z438="","",IF(Z438&lt;AB438,Y438,IF(Z438=AB438,"",AC438)))</f>
        <v/>
      </c>
      <c r="AI438" s="270" t="str">
        <f>IF(Z438="","",IF(Z438&gt;AB438,Y437,""))</f>
        <v/>
      </c>
      <c r="AJ438" s="270" t="str">
        <f>IF(Z438="","",IF(Z438&lt;AB438,AC437,""))</f>
        <v/>
      </c>
      <c r="AK438" s="270" t="str">
        <f>CONCATENATE(AE438,AH438)</f>
        <v/>
      </c>
      <c r="AL438" s="270"/>
      <c r="AM438" s="270"/>
      <c r="AN438" s="270"/>
      <c r="AO438" s="271"/>
      <c r="AP438" s="270"/>
      <c r="AQ438" s="270"/>
      <c r="AR438" s="270"/>
      <c r="AS438" s="270"/>
      <c r="AT438" s="270"/>
      <c r="AU438" s="270"/>
      <c r="AV438" s="270"/>
      <c r="AW438" s="270"/>
      <c r="AX438" s="270"/>
      <c r="AY438" s="1072"/>
      <c r="AZ438" s="270"/>
      <c r="BA438" s="270"/>
      <c r="BB438" s="1072"/>
      <c r="BC438" s="270"/>
      <c r="BD438" s="270"/>
      <c r="BE438" s="270"/>
      <c r="BF438" s="270"/>
      <c r="BG438" s="270"/>
      <c r="BH438" s="270"/>
      <c r="BI438" s="270"/>
      <c r="BJ438" s="270"/>
      <c r="BK438" s="270"/>
      <c r="BL438" s="270"/>
      <c r="BM438" s="270"/>
      <c r="BN438" s="270"/>
      <c r="BO438" s="270"/>
      <c r="BP438" s="270"/>
      <c r="BQ438" s="270"/>
      <c r="BR438" s="270"/>
      <c r="BS438" s="270"/>
      <c r="BT438" s="270"/>
      <c r="BU438" s="270"/>
      <c r="BV438" s="270"/>
      <c r="BW438" s="270"/>
      <c r="BX438" s="270"/>
      <c r="BY438" s="270"/>
      <c r="BZ438" s="270"/>
      <c r="CA438" s="270"/>
      <c r="CB438" s="270"/>
      <c r="CC438" s="270"/>
      <c r="CD438" s="270"/>
      <c r="CE438" s="1395"/>
      <c r="CF438" s="1450"/>
      <c r="CG438" s="1450"/>
      <c r="CH438" s="270"/>
      <c r="CI438" s="270"/>
      <c r="CJ438" s="270"/>
      <c r="CK438" s="270"/>
      <c r="CL438" s="270"/>
      <c r="CM438" s="270"/>
    </row>
    <row r="439" spans="1:91" ht="13.5" hidden="1" outlineLevel="3" thickBot="1" x14ac:dyDescent="0.25">
      <c r="A439" s="270"/>
      <c r="B439" s="271"/>
      <c r="C439" s="12"/>
      <c r="D439" s="1071"/>
      <c r="E439" s="1071"/>
      <c r="F439" s="1071"/>
      <c r="G439" s="1172"/>
      <c r="H439" s="271"/>
      <c r="I439" s="270"/>
      <c r="J439" s="270"/>
      <c r="K439" s="270"/>
      <c r="L439" s="270"/>
      <c r="M439" s="270"/>
      <c r="N439" s="270"/>
      <c r="O439" s="270"/>
      <c r="P439" s="1072"/>
      <c r="Q439" s="270"/>
      <c r="R439" s="270"/>
      <c r="S439" s="1072"/>
      <c r="T439" s="270"/>
      <c r="U439" s="1019"/>
      <c r="V439" s="1176"/>
      <c r="W439" s="1177"/>
      <c r="X439" s="1207"/>
      <c r="Y439" s="1208"/>
      <c r="Z439" s="492"/>
      <c r="AA439" s="493" t="s">
        <v>769</v>
      </c>
      <c r="AB439" s="1069"/>
      <c r="AC439" s="1070"/>
      <c r="AD439" s="839"/>
      <c r="AE439" s="270" t="str">
        <f>IF(Z439="","",IF(Z439&gt;AB439,Y439,IF(Z439=AB439,"",AC439)))</f>
        <v/>
      </c>
      <c r="AF439" s="270" t="str">
        <f>IF(Z439="","",IF(Z439=AB439,Y439,""))</f>
        <v/>
      </c>
      <c r="AG439" s="270" t="str">
        <f>IF(Z439="","",IF(Z439=AB439,AC439,""))</f>
        <v/>
      </c>
      <c r="AH439" s="270" t="str">
        <f>IF(Z439="","",IF(Z439&lt;AB439,Y439,IF(Z439=AB439,"",AC439)))</f>
        <v/>
      </c>
      <c r="AI439" s="270" t="str">
        <f>IF(Z439="","",IF(Z439&gt;AB439,Y437,""))</f>
        <v/>
      </c>
      <c r="AJ439" s="270" t="str">
        <f>IF(Z439="","",IF(Z439&lt;AB439,AC437,""))</f>
        <v/>
      </c>
      <c r="AK439" s="270" t="str">
        <f>CONCATENATE(AE439,AH439)</f>
        <v/>
      </c>
      <c r="AL439" s="270"/>
      <c r="AM439" s="270"/>
      <c r="AN439" s="270"/>
      <c r="AO439" s="271"/>
      <c r="AP439" s="270"/>
      <c r="AQ439" s="270"/>
      <c r="AR439" s="270"/>
      <c r="AS439" s="270"/>
      <c r="AT439" s="270"/>
      <c r="AU439" s="270"/>
      <c r="AV439" s="270"/>
      <c r="AW439" s="270"/>
      <c r="AX439" s="270"/>
      <c r="AY439" s="1072"/>
      <c r="AZ439" s="270"/>
      <c r="BA439" s="270"/>
      <c r="BB439" s="1072"/>
      <c r="BC439" s="270"/>
      <c r="BD439" s="270"/>
      <c r="BE439" s="270"/>
      <c r="BF439" s="270"/>
      <c r="BG439" s="270"/>
      <c r="BH439" s="270"/>
      <c r="BI439" s="270"/>
      <c r="BJ439" s="270"/>
      <c r="BK439" s="270"/>
      <c r="BL439" s="270"/>
      <c r="BM439" s="270"/>
      <c r="BN439" s="270"/>
      <c r="BO439" s="270"/>
      <c r="BP439" s="270"/>
      <c r="BQ439" s="270"/>
      <c r="BR439" s="270"/>
      <c r="BS439" s="270"/>
      <c r="BT439" s="270"/>
      <c r="BU439" s="270"/>
      <c r="BV439" s="270"/>
      <c r="BW439" s="270"/>
      <c r="BX439" s="270"/>
      <c r="BY439" s="270"/>
      <c r="BZ439" s="270"/>
      <c r="CA439" s="270"/>
      <c r="CB439" s="270"/>
      <c r="CC439" s="270"/>
      <c r="CD439" s="270"/>
      <c r="CE439" s="1395"/>
      <c r="CF439" s="1450"/>
      <c r="CG439" s="1450"/>
      <c r="CH439" s="270"/>
      <c r="CI439" s="270"/>
      <c r="CJ439" s="270"/>
      <c r="CK439" s="270"/>
      <c r="CL439" s="270"/>
      <c r="CM439" s="270"/>
    </row>
    <row r="440" spans="1:91" ht="13.5" hidden="1" outlineLevel="3" thickBot="1" x14ac:dyDescent="0.25">
      <c r="A440" s="270"/>
      <c r="B440" s="271"/>
      <c r="C440" s="12"/>
      <c r="D440" s="1071"/>
      <c r="E440" s="1071"/>
      <c r="F440" s="1071"/>
      <c r="G440" s="1172"/>
      <c r="H440" s="271"/>
      <c r="I440" s="270"/>
      <c r="J440" s="270"/>
      <c r="K440" s="270"/>
      <c r="L440" s="270"/>
      <c r="M440" s="270"/>
      <c r="N440" s="270"/>
      <c r="O440" s="270"/>
      <c r="P440" s="1072"/>
      <c r="Q440" s="270"/>
      <c r="R440" s="270"/>
      <c r="S440" s="1072"/>
      <c r="T440" s="270"/>
      <c r="U440" s="1019"/>
      <c r="V440" s="1176"/>
      <c r="W440" s="1177"/>
      <c r="X440" s="1207"/>
      <c r="Y440" s="1208"/>
      <c r="Z440" s="492"/>
      <c r="AA440" s="493" t="s">
        <v>769</v>
      </c>
      <c r="AB440" s="1069"/>
      <c r="AC440" s="1070"/>
      <c r="AD440" s="839"/>
      <c r="AE440" s="270" t="str">
        <f>IF(Z440="","",IF(Z440&gt;AB440,Y440,IF(Z440=AB440,"",AC440)))</f>
        <v/>
      </c>
      <c r="AF440" s="270" t="str">
        <f>IF(Z440="","",IF(Z440=AB440,Y440,""))</f>
        <v/>
      </c>
      <c r="AG440" s="270" t="str">
        <f>IF(Z440="","",IF(Z440=AB440,AC440,""))</f>
        <v/>
      </c>
      <c r="AH440" s="270" t="str">
        <f>IF(Z440="","",IF(Z440&lt;AB440,Y440,IF(Z440=AB440,"",AC440)))</f>
        <v/>
      </c>
      <c r="AI440" s="270" t="str">
        <f>IF(Z440="","",IF(Z440&gt;AB440,Y437,""))</f>
        <v/>
      </c>
      <c r="AJ440" s="270" t="str">
        <f>IF(Z440="","",IF(Z440&lt;AB440,AC437,""))</f>
        <v/>
      </c>
      <c r="AK440" s="270" t="str">
        <f>CONCATENATE(AE440,AH440)</f>
        <v/>
      </c>
      <c r="AL440" s="270"/>
      <c r="AM440" s="270"/>
      <c r="AN440" s="270"/>
      <c r="AO440" s="271"/>
      <c r="AP440" s="270"/>
      <c r="AQ440" s="270"/>
      <c r="AR440" s="270"/>
      <c r="AS440" s="270"/>
      <c r="AT440" s="270"/>
      <c r="AU440" s="270"/>
      <c r="AV440" s="270"/>
      <c r="AW440" s="270"/>
      <c r="AX440" s="270"/>
      <c r="AY440" s="1072"/>
      <c r="AZ440" s="270"/>
      <c r="BA440" s="270"/>
      <c r="BB440" s="1072"/>
      <c r="BC440" s="270"/>
      <c r="BD440" s="270"/>
      <c r="BE440" s="270"/>
      <c r="BF440" s="270"/>
      <c r="BG440" s="270"/>
      <c r="BH440" s="270"/>
      <c r="BI440" s="270"/>
      <c r="BJ440" s="270"/>
      <c r="BK440" s="270"/>
      <c r="BL440" s="270"/>
      <c r="BM440" s="270"/>
      <c r="BN440" s="270"/>
      <c r="BO440" s="270"/>
      <c r="BP440" s="270"/>
      <c r="BQ440" s="270"/>
      <c r="BR440" s="270"/>
      <c r="BS440" s="270"/>
      <c r="BT440" s="270"/>
      <c r="BU440" s="270"/>
      <c r="BV440" s="270"/>
      <c r="BW440" s="270"/>
      <c r="BX440" s="270"/>
      <c r="BY440" s="270"/>
      <c r="BZ440" s="270"/>
      <c r="CA440" s="270"/>
      <c r="CB440" s="270"/>
      <c r="CC440" s="270"/>
      <c r="CD440" s="270"/>
      <c r="CE440" s="1395"/>
      <c r="CF440" s="1450"/>
      <c r="CG440" s="1450"/>
      <c r="CH440" s="270"/>
      <c r="CI440" s="270"/>
      <c r="CJ440" s="270"/>
      <c r="CK440" s="270"/>
      <c r="CL440" s="270"/>
      <c r="CM440" s="270"/>
    </row>
    <row r="441" spans="1:91" ht="13.5" hidden="1" outlineLevel="3" thickBot="1" x14ac:dyDescent="0.25">
      <c r="A441" s="270"/>
      <c r="B441" s="271"/>
      <c r="C441" s="12"/>
      <c r="D441" s="1071"/>
      <c r="E441" s="1071"/>
      <c r="F441" s="1071"/>
      <c r="G441" s="1172"/>
      <c r="H441" s="271"/>
      <c r="I441" s="270"/>
      <c r="J441" s="270"/>
      <c r="K441" s="270"/>
      <c r="L441" s="270"/>
      <c r="M441" s="270"/>
      <c r="N441" s="270"/>
      <c r="O441" s="270"/>
      <c r="P441" s="1072"/>
      <c r="Q441" s="270"/>
      <c r="R441" s="270"/>
      <c r="S441" s="1072"/>
      <c r="T441" s="270"/>
      <c r="U441" s="1019"/>
      <c r="V441" s="1176"/>
      <c r="W441" s="1177"/>
      <c r="X441" s="1207"/>
      <c r="Y441" s="1208"/>
      <c r="Z441" s="492"/>
      <c r="AA441" s="493" t="s">
        <v>769</v>
      </c>
      <c r="AB441" s="1069"/>
      <c r="AC441" s="1070"/>
      <c r="AD441" s="839"/>
      <c r="AE441" s="270" t="str">
        <f>IF(Z441="","",IF(Z441&gt;AB441,Y441,IF(Z441=AB441,"",AC441)))</f>
        <v/>
      </c>
      <c r="AF441" s="270" t="str">
        <f>IF(Z441="","",IF(Z441=AB441,Y441,""))</f>
        <v/>
      </c>
      <c r="AG441" s="270" t="str">
        <f>IF(Z441="","",IF(Z441=AB441,AC441,""))</f>
        <v/>
      </c>
      <c r="AH441" s="270" t="str">
        <f>IF(Z441="","",IF(Z441&lt;AB441,Y441,IF(Z441=AB441,"",AC441)))</f>
        <v/>
      </c>
      <c r="AI441" s="270" t="str">
        <f>IF(Z441="","",IF(Z441&gt;AB441,Y437,""))</f>
        <v/>
      </c>
      <c r="AJ441" s="270" t="str">
        <f>IF(Z441="","",IF(Z441&lt;AB441,AC437,""))</f>
        <v/>
      </c>
      <c r="AK441" s="270" t="str">
        <f>CONCATENATE(AE441,AH441)</f>
        <v/>
      </c>
      <c r="AL441" s="270"/>
      <c r="AM441" s="270"/>
      <c r="AN441" s="270"/>
      <c r="AO441" s="271"/>
      <c r="AP441" s="270"/>
      <c r="AQ441" s="270"/>
      <c r="AR441" s="270"/>
      <c r="AS441" s="270"/>
      <c r="AT441" s="270"/>
      <c r="AU441" s="270"/>
      <c r="AV441" s="270"/>
      <c r="AW441" s="270"/>
      <c r="AX441" s="270"/>
      <c r="AY441" s="1072"/>
      <c r="AZ441" s="270"/>
      <c r="BA441" s="270"/>
      <c r="BB441" s="1072"/>
      <c r="BC441" s="270"/>
      <c r="BD441" s="270"/>
      <c r="BE441" s="270"/>
      <c r="BF441" s="270"/>
      <c r="BG441" s="270"/>
      <c r="BH441" s="270"/>
      <c r="BI441" s="270"/>
      <c r="BJ441" s="270"/>
      <c r="BK441" s="270"/>
      <c r="BL441" s="270"/>
      <c r="BM441" s="270"/>
      <c r="BN441" s="270"/>
      <c r="BO441" s="270"/>
      <c r="BP441" s="270"/>
      <c r="BQ441" s="270"/>
      <c r="BR441" s="270"/>
      <c r="BS441" s="270"/>
      <c r="BT441" s="270"/>
      <c r="BU441" s="270"/>
      <c r="BV441" s="270"/>
      <c r="BW441" s="270"/>
      <c r="BX441" s="270"/>
      <c r="BY441" s="270"/>
      <c r="BZ441" s="270"/>
      <c r="CA441" s="270"/>
      <c r="CB441" s="270"/>
      <c r="CC441" s="270"/>
      <c r="CD441" s="270"/>
      <c r="CE441" s="1395"/>
      <c r="CF441" s="1450"/>
      <c r="CG441" s="1450"/>
      <c r="CH441" s="270"/>
      <c r="CI441" s="270"/>
      <c r="CJ441" s="270"/>
      <c r="CK441" s="270"/>
      <c r="CL441" s="270"/>
      <c r="CM441" s="270"/>
    </row>
    <row r="442" spans="1:91" ht="13.5" hidden="1" outlineLevel="3" thickBot="1" x14ac:dyDescent="0.25">
      <c r="A442" s="270"/>
      <c r="B442" s="271"/>
      <c r="C442" s="12"/>
      <c r="D442" s="1071"/>
      <c r="E442" s="1071"/>
      <c r="F442" s="1071"/>
      <c r="G442" s="626"/>
      <c r="H442" s="271"/>
      <c r="I442" s="270"/>
      <c r="J442" s="270"/>
      <c r="K442" s="270"/>
      <c r="L442" s="270"/>
      <c r="M442" s="270"/>
      <c r="N442" s="270"/>
      <c r="O442" s="270"/>
      <c r="P442" s="1072"/>
      <c r="Q442" s="270"/>
      <c r="R442" s="270"/>
      <c r="S442" s="1072"/>
      <c r="T442" s="270"/>
      <c r="U442" s="1019"/>
      <c r="V442" s="1073"/>
      <c r="W442" s="1074"/>
      <c r="X442" s="1075" t="str">
        <f>N_Substitute</f>
        <v>Remplaçant</v>
      </c>
      <c r="Y442" s="1208"/>
      <c r="Z442" s="492"/>
      <c r="AA442" s="1076"/>
      <c r="AB442" s="1069"/>
      <c r="AC442" s="1070"/>
      <c r="AD442" s="839"/>
      <c r="AE442" s="270"/>
      <c r="AF442" s="270"/>
      <c r="AG442" s="270"/>
      <c r="AH442" s="270"/>
      <c r="AI442" s="270"/>
      <c r="AJ442" s="270"/>
      <c r="AK442" s="270"/>
      <c r="AL442" s="270"/>
      <c r="AM442" s="270"/>
      <c r="AN442" s="270"/>
      <c r="AO442" s="271"/>
      <c r="AP442" s="270"/>
      <c r="AQ442" s="270"/>
      <c r="AR442" s="270"/>
      <c r="AS442" s="270"/>
      <c r="AT442" s="270"/>
      <c r="AU442" s="270"/>
      <c r="AV442" s="270"/>
      <c r="AW442" s="270"/>
      <c r="AX442" s="270"/>
      <c r="AY442" s="1072"/>
      <c r="AZ442" s="270"/>
      <c r="BA442" s="270"/>
      <c r="BB442" s="1072"/>
      <c r="BC442" s="270"/>
      <c r="BD442" s="270"/>
      <c r="BE442" s="270"/>
      <c r="BF442" s="270"/>
      <c r="BG442" s="270"/>
      <c r="BH442" s="270"/>
      <c r="BI442" s="270"/>
      <c r="BJ442" s="270"/>
      <c r="BK442" s="270"/>
      <c r="BL442" s="270"/>
      <c r="BM442" s="270"/>
      <c r="BN442" s="270"/>
      <c r="BO442" s="270"/>
      <c r="BP442" s="270"/>
      <c r="BQ442" s="270"/>
      <c r="BR442" s="270"/>
      <c r="BS442" s="270"/>
      <c r="BT442" s="270"/>
      <c r="BU442" s="270"/>
      <c r="BV442" s="270"/>
      <c r="BW442" s="270"/>
      <c r="BX442" s="270"/>
      <c r="BY442" s="270"/>
      <c r="BZ442" s="270"/>
      <c r="CA442" s="270"/>
      <c r="CB442" s="270"/>
      <c r="CC442" s="270"/>
      <c r="CD442" s="270"/>
      <c r="CE442" s="1395"/>
      <c r="CF442" s="1450"/>
      <c r="CG442" s="1450"/>
      <c r="CH442" s="270"/>
      <c r="CI442" s="270"/>
      <c r="CJ442" s="270"/>
      <c r="CK442" s="270"/>
      <c r="CL442" s="270"/>
      <c r="CM442" s="270"/>
    </row>
    <row r="443" spans="1:91" ht="13.5" hidden="1" outlineLevel="3" thickBot="1" x14ac:dyDescent="0.25">
      <c r="A443" s="270"/>
      <c r="B443" s="271"/>
      <c r="C443" s="12"/>
      <c r="D443" s="1071"/>
      <c r="E443" s="1071"/>
      <c r="F443" s="1071"/>
      <c r="G443" s="626"/>
      <c r="H443" s="271"/>
      <c r="I443" s="270"/>
      <c r="J443" s="270"/>
      <c r="K443" s="270"/>
      <c r="L443" s="270"/>
      <c r="M443" s="270"/>
      <c r="N443" s="270"/>
      <c r="O443" s="270"/>
      <c r="P443" s="1072"/>
      <c r="Q443" s="270"/>
      <c r="R443" s="270"/>
      <c r="S443" s="1072"/>
      <c r="T443" s="270"/>
      <c r="U443" s="1019"/>
      <c r="V443" s="1119"/>
      <c r="W443" s="1120"/>
      <c r="X443" s="1075" t="str">
        <f>N_Substitute</f>
        <v>Remplaçant</v>
      </c>
      <c r="Y443" s="1208"/>
      <c r="Z443" s="492"/>
      <c r="AA443" s="1121"/>
      <c r="AB443" s="1069"/>
      <c r="AC443" s="1070"/>
      <c r="AD443" s="839"/>
      <c r="AE443" s="270"/>
      <c r="AF443" s="270"/>
      <c r="AG443" s="270"/>
      <c r="AH443" s="270"/>
      <c r="AI443" s="270"/>
      <c r="AJ443" s="270"/>
      <c r="AK443" s="270"/>
      <c r="AL443" s="270"/>
      <c r="AM443" s="270"/>
      <c r="AN443" s="270"/>
      <c r="AO443" s="271"/>
      <c r="AP443" s="270"/>
      <c r="AQ443" s="270"/>
      <c r="AR443" s="270"/>
      <c r="AS443" s="270"/>
      <c r="AT443" s="270"/>
      <c r="AU443" s="270"/>
      <c r="AV443" s="270"/>
      <c r="AW443" s="270"/>
      <c r="AX443" s="270"/>
      <c r="AY443" s="1072"/>
      <c r="AZ443" s="270"/>
      <c r="BA443" s="270"/>
      <c r="BB443" s="1072"/>
      <c r="BC443" s="270"/>
      <c r="BD443" s="270"/>
      <c r="BE443" s="270"/>
      <c r="BF443" s="270"/>
      <c r="BG443" s="270"/>
      <c r="BH443" s="270"/>
      <c r="BI443" s="270"/>
      <c r="BJ443" s="270"/>
      <c r="BK443" s="270"/>
      <c r="BL443" s="270"/>
      <c r="BM443" s="270"/>
      <c r="BN443" s="270"/>
      <c r="BO443" s="270"/>
      <c r="BP443" s="270"/>
      <c r="BQ443" s="270"/>
      <c r="BR443" s="270"/>
      <c r="BS443" s="270"/>
      <c r="BT443" s="270"/>
      <c r="BU443" s="270"/>
      <c r="BV443" s="270"/>
      <c r="BW443" s="270"/>
      <c r="BX443" s="270"/>
      <c r="BY443" s="270"/>
      <c r="BZ443" s="270"/>
      <c r="CA443" s="270"/>
      <c r="CB443" s="270"/>
      <c r="CC443" s="270"/>
      <c r="CD443" s="270"/>
      <c r="CE443" s="1395"/>
      <c r="CF443" s="1450"/>
      <c r="CG443" s="1450"/>
      <c r="CH443" s="270"/>
      <c r="CI443" s="270"/>
      <c r="CJ443" s="270"/>
      <c r="CK443" s="270"/>
      <c r="CL443" s="270"/>
      <c r="CM443" s="270"/>
    </row>
    <row r="444" spans="1:91" ht="13.5" hidden="1" outlineLevel="2" collapsed="1" thickBot="1" x14ac:dyDescent="0.25">
      <c r="A444" s="270"/>
      <c r="B444" s="271"/>
      <c r="C444" s="270"/>
      <c r="D444" s="270"/>
      <c r="E444" s="270"/>
      <c r="F444" s="270"/>
      <c r="G444" s="271"/>
      <c r="H444" s="270"/>
      <c r="I444" s="270"/>
      <c r="J444" s="270"/>
      <c r="K444" s="270"/>
      <c r="L444" s="270"/>
      <c r="M444" s="270"/>
      <c r="N444" s="270"/>
      <c r="O444" s="270"/>
      <c r="P444" s="270"/>
      <c r="Q444" s="270"/>
      <c r="R444" s="270"/>
      <c r="S444" s="270"/>
      <c r="T444" s="270"/>
      <c r="U444" s="1019" t="s">
        <v>1730</v>
      </c>
      <c r="V444" s="1187"/>
      <c r="W444" s="1195"/>
      <c r="X444" s="1534"/>
      <c r="Y444" s="1210" t="str">
        <f>G344</f>
        <v>Eq7</v>
      </c>
      <c r="Z444" s="1103" t="str">
        <f>IF(OR(ISNUMBER(Z445),ISNUMBER(Z446),ISNUMBER(Z447),ISNUMBER(Z448)),4-COUNTBLANK(AI445:AI448),"")</f>
        <v/>
      </c>
      <c r="AA444" s="1104" t="s">
        <v>769</v>
      </c>
      <c r="AB444" s="1103" t="str">
        <f>IF(OR(ISNUMBER(Z445),ISNUMBER(Z446),ISNUMBER(Z447),ISNUMBER(Z448)),4-COUNTBLANK(AJ445:AJ448),"")</f>
        <v/>
      </c>
      <c r="AC444" s="1181" t="str">
        <f>G342</f>
        <v>Eq5</v>
      </c>
      <c r="AD444" s="839"/>
      <c r="AE444" s="270" t="str">
        <f>IF(Z444="","",IF(Z444&gt;AB444,Y444,IF(Z444=AB444,IF(NoDrawWithWithdraw,IF(AL444=Y444,AC444,IF(AL444=AC444,Y444,"")),""),AC444)))</f>
        <v/>
      </c>
      <c r="AF444" s="270" t="str">
        <f>IF(Z444="","",IF(Z444=AB444,IF(NoDrawWithWithdraw,IF(AL444=Y444,"",IF(AL444=AC444,"",Y444)),Y444),""))</f>
        <v/>
      </c>
      <c r="AG444" s="270" t="str">
        <f>IF(Z444="","",IF(Z444=AB444,IF(NoDrawWithWithdraw,IF(AL444=Y444,"",IF(AL444=AC444,"",AC444)),AC444),""))</f>
        <v/>
      </c>
      <c r="AH444" s="270" t="str">
        <f>IF(Z444="","",IF(Z444&lt;AB444,Y444,IF(Z444=AB444,IF(NoDrawWithWithdraw,IF(AL444=Y444,Y444,IF(AL444=AC444,AC444,"")),""),AC444)))</f>
        <v/>
      </c>
      <c r="AI444" s="270" t="str">
        <f>IF(Z444="","",SUM(Z445:Z448))</f>
        <v/>
      </c>
      <c r="AJ444" s="270" t="str">
        <f>IF(Z444="","",SUM(AB445:AB448))</f>
        <v/>
      </c>
      <c r="AK444" s="270" t="str">
        <f>CONCATENATE(AE444,AH444)</f>
        <v/>
      </c>
      <c r="AL444" s="270" t="str">
        <f>IF(COUNTIF(Y445:Y448,WithdrawLabel)&gt;COUNTIF(AC445:AC448,WithdrawLabel),Y444,IF(COUNTIF(AC445:AC448,WithdrawLabel)&gt;COUNTIF(Y445:Y448,WithdrawLabel),AC444,""))</f>
        <v/>
      </c>
      <c r="AM444" s="270"/>
      <c r="AN444" s="270"/>
      <c r="AO444" s="575"/>
      <c r="AP444" s="270"/>
      <c r="AQ444" s="270"/>
      <c r="AR444" s="270"/>
      <c r="AS444" s="270"/>
      <c r="AT444" s="270"/>
      <c r="AU444" s="270"/>
      <c r="AV444" s="270"/>
      <c r="AW444" s="270"/>
      <c r="AX444" s="270"/>
      <c r="AY444" s="270"/>
      <c r="AZ444" s="270"/>
      <c r="BA444" s="270"/>
      <c r="BB444" s="270"/>
      <c r="BC444" s="270"/>
      <c r="BD444" s="270"/>
      <c r="BE444" s="270"/>
      <c r="BF444" s="270"/>
      <c r="BG444" s="270"/>
      <c r="BH444" s="270"/>
      <c r="BI444" s="270"/>
      <c r="BJ444" s="270"/>
      <c r="BK444" s="270"/>
      <c r="BL444" s="270"/>
      <c r="BM444" s="270"/>
      <c r="BN444" s="270"/>
      <c r="BO444" s="270"/>
      <c r="BP444" s="270"/>
      <c r="BQ444" s="270"/>
      <c r="BR444" s="270"/>
      <c r="BS444" s="270"/>
      <c r="BT444" s="270"/>
      <c r="BU444" s="270"/>
      <c r="BV444" s="270"/>
      <c r="BW444" s="270"/>
      <c r="BX444" s="270"/>
      <c r="BY444" s="270"/>
      <c r="BZ444" s="270"/>
      <c r="CA444" s="270"/>
      <c r="CB444" s="270"/>
      <c r="CC444" s="270"/>
      <c r="CD444" s="270"/>
      <c r="CE444" s="1395"/>
      <c r="CF444" s="1450"/>
      <c r="CG444" s="1450"/>
      <c r="CH444" s="270"/>
      <c r="CI444" s="270"/>
      <c r="CJ444" s="270"/>
      <c r="CK444" s="270"/>
      <c r="CL444" s="270"/>
      <c r="CM444" s="270"/>
    </row>
    <row r="445" spans="1:91" ht="13.5" hidden="1" outlineLevel="3" thickBot="1" x14ac:dyDescent="0.25">
      <c r="A445" s="270"/>
      <c r="B445" s="271"/>
      <c r="C445" s="12"/>
      <c r="D445" s="1071"/>
      <c r="E445" s="1071"/>
      <c r="F445" s="1071"/>
      <c r="G445" s="1172"/>
      <c r="H445" s="271"/>
      <c r="I445" s="270"/>
      <c r="J445" s="270"/>
      <c r="K445" s="270"/>
      <c r="L445" s="270"/>
      <c r="M445" s="270"/>
      <c r="N445" s="270"/>
      <c r="O445" s="270"/>
      <c r="P445" s="1072"/>
      <c r="Q445" s="270"/>
      <c r="R445" s="270"/>
      <c r="S445" s="1072"/>
      <c r="T445" s="270"/>
      <c r="U445" s="1019"/>
      <c r="V445" s="1118"/>
      <c r="W445" s="1177"/>
      <c r="X445" s="1212"/>
      <c r="Y445" s="1208"/>
      <c r="Z445" s="492"/>
      <c r="AA445" s="493" t="s">
        <v>769</v>
      </c>
      <c r="AB445" s="1069"/>
      <c r="AC445" s="1070"/>
      <c r="AD445" s="839"/>
      <c r="AE445" s="270" t="str">
        <f>IF(Z445="","",IF(Z445&gt;AB445,Y445,IF(Z445=AB445,"",AC445)))</f>
        <v/>
      </c>
      <c r="AF445" s="270" t="str">
        <f>IF(Z445="","",IF(Z445=AB445,Y445,""))</f>
        <v/>
      </c>
      <c r="AG445" s="270" t="str">
        <f>IF(Z445="","",IF(Z445=AB445,AC445,""))</f>
        <v/>
      </c>
      <c r="AH445" s="270" t="str">
        <f>IF(Z445="","",IF(Z445&lt;AB445,Y445,IF(Z445=AB445,"",AC445)))</f>
        <v/>
      </c>
      <c r="AI445" s="270" t="str">
        <f>IF(Z445="","",IF(Z445&gt;AB445,Y444,""))</f>
        <v/>
      </c>
      <c r="AJ445" s="270" t="str">
        <f>IF(Z445="","",IF(Z445&lt;AB445,AC444,""))</f>
        <v/>
      </c>
      <c r="AK445" s="270" t="str">
        <f>CONCATENATE(AE445,AH445)</f>
        <v/>
      </c>
      <c r="AL445" s="270"/>
      <c r="AM445" s="270"/>
      <c r="AN445" s="270"/>
      <c r="AO445" s="271"/>
      <c r="AP445" s="270"/>
      <c r="AQ445" s="270"/>
      <c r="AR445" s="270"/>
      <c r="AS445" s="270"/>
      <c r="AT445" s="270"/>
      <c r="AU445" s="270"/>
      <c r="AV445" s="270"/>
      <c r="AW445" s="270"/>
      <c r="AX445" s="270"/>
      <c r="AY445" s="1072"/>
      <c r="AZ445" s="270"/>
      <c r="BA445" s="270"/>
      <c r="BB445" s="1072"/>
      <c r="BC445" s="270"/>
      <c r="BD445" s="270"/>
      <c r="BE445" s="270"/>
      <c r="BF445" s="270"/>
      <c r="BG445" s="270"/>
      <c r="BH445" s="270"/>
      <c r="BI445" s="270"/>
      <c r="BJ445" s="270"/>
      <c r="BK445" s="270"/>
      <c r="BL445" s="270"/>
      <c r="BM445" s="270"/>
      <c r="BN445" s="270"/>
      <c r="BO445" s="270"/>
      <c r="BP445" s="270"/>
      <c r="BQ445" s="270"/>
      <c r="BR445" s="270"/>
      <c r="BS445" s="270"/>
      <c r="BT445" s="270"/>
      <c r="BU445" s="270"/>
      <c r="BV445" s="270"/>
      <c r="BW445" s="270"/>
      <c r="BX445" s="270"/>
      <c r="BY445" s="270"/>
      <c r="BZ445" s="270"/>
      <c r="CA445" s="270"/>
      <c r="CB445" s="270"/>
      <c r="CC445" s="270"/>
      <c r="CD445" s="270"/>
      <c r="CE445" s="1395"/>
      <c r="CF445" s="1450"/>
      <c r="CG445" s="1450"/>
      <c r="CH445" s="270"/>
      <c r="CI445" s="270"/>
      <c r="CJ445" s="270"/>
      <c r="CK445" s="270"/>
      <c r="CL445" s="270"/>
      <c r="CM445" s="270"/>
    </row>
    <row r="446" spans="1:91" ht="13.5" hidden="1" outlineLevel="3" thickBot="1" x14ac:dyDescent="0.25">
      <c r="A446" s="270"/>
      <c r="B446" s="271"/>
      <c r="C446" s="12"/>
      <c r="D446" s="1071"/>
      <c r="E446" s="1071"/>
      <c r="F446" s="1071"/>
      <c r="G446" s="1172"/>
      <c r="H446" s="271"/>
      <c r="I446" s="270"/>
      <c r="J446" s="270"/>
      <c r="K446" s="270"/>
      <c r="L446" s="270"/>
      <c r="M446" s="270"/>
      <c r="N446" s="270"/>
      <c r="O446" s="270"/>
      <c r="P446" s="1072"/>
      <c r="Q446" s="270"/>
      <c r="R446" s="270"/>
      <c r="S446" s="1072"/>
      <c r="T446" s="270"/>
      <c r="U446" s="1019"/>
      <c r="V446" s="1118"/>
      <c r="W446" s="1177"/>
      <c r="X446" s="1212"/>
      <c r="Y446" s="1208"/>
      <c r="Z446" s="492"/>
      <c r="AA446" s="493" t="s">
        <v>769</v>
      </c>
      <c r="AB446" s="1069"/>
      <c r="AC446" s="1070"/>
      <c r="AD446" s="839"/>
      <c r="AE446" s="270" t="str">
        <f>IF(Z446="","",IF(Z446&gt;AB446,Y446,IF(Z446=AB446,"",AC446)))</f>
        <v/>
      </c>
      <c r="AF446" s="270" t="str">
        <f>IF(Z446="","",IF(Z446=AB446,Y446,""))</f>
        <v/>
      </c>
      <c r="AG446" s="270" t="str">
        <f>IF(Z446="","",IF(Z446=AB446,AC446,""))</f>
        <v/>
      </c>
      <c r="AH446" s="270" t="str">
        <f>IF(Z446="","",IF(Z446&lt;AB446,Y446,IF(Z446=AB446,"",AC446)))</f>
        <v/>
      </c>
      <c r="AI446" s="270" t="str">
        <f>IF(Z446="","",IF(Z446&gt;AB446,Y444,""))</f>
        <v/>
      </c>
      <c r="AJ446" s="270" t="str">
        <f>IF(Z446="","",IF(Z446&lt;AB446,AC444,""))</f>
        <v/>
      </c>
      <c r="AK446" s="270" t="str">
        <f>CONCATENATE(AE446,AH446)</f>
        <v/>
      </c>
      <c r="AL446" s="270"/>
      <c r="AM446" s="270"/>
      <c r="AN446" s="270"/>
      <c r="AO446" s="271"/>
      <c r="AP446" s="270"/>
      <c r="AQ446" s="270"/>
      <c r="AR446" s="270"/>
      <c r="AS446" s="270"/>
      <c r="AT446" s="270"/>
      <c r="AU446" s="270"/>
      <c r="AV446" s="270"/>
      <c r="AW446" s="270"/>
      <c r="AX446" s="270"/>
      <c r="AY446" s="1072"/>
      <c r="AZ446" s="270"/>
      <c r="BA446" s="270"/>
      <c r="BB446" s="1072"/>
      <c r="BC446" s="270"/>
      <c r="BD446" s="270"/>
      <c r="BE446" s="270"/>
      <c r="BF446" s="270"/>
      <c r="BG446" s="270"/>
      <c r="BH446" s="270"/>
      <c r="BI446" s="270"/>
      <c r="BJ446" s="270"/>
      <c r="BK446" s="270"/>
      <c r="BL446" s="270"/>
      <c r="BM446" s="270"/>
      <c r="BN446" s="270"/>
      <c r="BO446" s="270"/>
      <c r="BP446" s="270"/>
      <c r="BQ446" s="270"/>
      <c r="BR446" s="270"/>
      <c r="BS446" s="270"/>
      <c r="BT446" s="270"/>
      <c r="BU446" s="270"/>
      <c r="BV446" s="270"/>
      <c r="BW446" s="270"/>
      <c r="BX446" s="270"/>
      <c r="BY446" s="270"/>
      <c r="BZ446" s="270"/>
      <c r="CA446" s="270"/>
      <c r="CB446" s="270"/>
      <c r="CC446" s="270"/>
      <c r="CD446" s="270"/>
      <c r="CE446" s="1395"/>
      <c r="CF446" s="1450"/>
      <c r="CG446" s="1450"/>
      <c r="CH446" s="270"/>
      <c r="CI446" s="270"/>
      <c r="CJ446" s="270"/>
      <c r="CK446" s="270"/>
      <c r="CL446" s="270"/>
      <c r="CM446" s="270"/>
    </row>
    <row r="447" spans="1:91" ht="13.5" hidden="1" outlineLevel="3" thickBot="1" x14ac:dyDescent="0.25">
      <c r="A447" s="270"/>
      <c r="B447" s="271"/>
      <c r="C447" s="12"/>
      <c r="D447" s="1071"/>
      <c r="E447" s="1071"/>
      <c r="F447" s="1071"/>
      <c r="G447" s="1172"/>
      <c r="H447" s="271"/>
      <c r="I447" s="270"/>
      <c r="J447" s="270"/>
      <c r="K447" s="270"/>
      <c r="L447" s="270"/>
      <c r="M447" s="270"/>
      <c r="N447" s="270"/>
      <c r="O447" s="270"/>
      <c r="P447" s="1072"/>
      <c r="Q447" s="270"/>
      <c r="R447" s="270"/>
      <c r="S447" s="1072"/>
      <c r="T447" s="270"/>
      <c r="U447" s="1019"/>
      <c r="V447" s="1118"/>
      <c r="W447" s="1177"/>
      <c r="X447" s="1212"/>
      <c r="Y447" s="1208"/>
      <c r="Z447" s="492"/>
      <c r="AA447" s="493" t="s">
        <v>769</v>
      </c>
      <c r="AB447" s="1069"/>
      <c r="AC447" s="1070"/>
      <c r="AD447" s="839"/>
      <c r="AE447" s="270" t="str">
        <f>IF(Z447="","",IF(Z447&gt;AB447,Y447,IF(Z447=AB447,"",AC447)))</f>
        <v/>
      </c>
      <c r="AF447" s="270" t="str">
        <f>IF(Z447="","",IF(Z447=AB447,Y447,""))</f>
        <v/>
      </c>
      <c r="AG447" s="270" t="str">
        <f>IF(Z447="","",IF(Z447=AB447,AC447,""))</f>
        <v/>
      </c>
      <c r="AH447" s="270" t="str">
        <f>IF(Z447="","",IF(Z447&lt;AB447,Y447,IF(Z447=AB447,"",AC447)))</f>
        <v/>
      </c>
      <c r="AI447" s="270" t="str">
        <f>IF(Z447="","",IF(Z447&gt;AB447,Y444,""))</f>
        <v/>
      </c>
      <c r="AJ447" s="270" t="str">
        <f>IF(Z447="","",IF(Z447&lt;AB447,AC444,""))</f>
        <v/>
      </c>
      <c r="AK447" s="270" t="str">
        <f>CONCATENATE(AE447,AH447)</f>
        <v/>
      </c>
      <c r="AL447" s="270"/>
      <c r="AM447" s="270"/>
      <c r="AN447" s="270"/>
      <c r="AO447" s="271"/>
      <c r="AP447" s="270"/>
      <c r="AQ447" s="270"/>
      <c r="AR447" s="270"/>
      <c r="AS447" s="270"/>
      <c r="AT447" s="270"/>
      <c r="AU447" s="270"/>
      <c r="AV447" s="270"/>
      <c r="AW447" s="270"/>
      <c r="AX447" s="270"/>
      <c r="AY447" s="1072"/>
      <c r="AZ447" s="270"/>
      <c r="BA447" s="270"/>
      <c r="BB447" s="1072"/>
      <c r="BC447" s="270"/>
      <c r="BD447" s="270"/>
      <c r="BE447" s="270"/>
      <c r="BF447" s="270"/>
      <c r="BG447" s="270"/>
      <c r="BH447" s="270"/>
      <c r="BI447" s="270"/>
      <c r="BJ447" s="270"/>
      <c r="BK447" s="270"/>
      <c r="BL447" s="270"/>
      <c r="BM447" s="270"/>
      <c r="BN447" s="270"/>
      <c r="BO447" s="270"/>
      <c r="BP447" s="270"/>
      <c r="BQ447" s="270"/>
      <c r="BR447" s="270"/>
      <c r="BS447" s="270"/>
      <c r="BT447" s="270"/>
      <c r="BU447" s="270"/>
      <c r="BV447" s="270"/>
      <c r="BW447" s="270"/>
      <c r="BX447" s="270"/>
      <c r="BY447" s="270"/>
      <c r="BZ447" s="270"/>
      <c r="CA447" s="270"/>
      <c r="CB447" s="270"/>
      <c r="CC447" s="270"/>
      <c r="CD447" s="270"/>
      <c r="CE447" s="1395"/>
      <c r="CF447" s="1450"/>
      <c r="CG447" s="1450"/>
      <c r="CH447" s="270"/>
      <c r="CI447" s="270"/>
      <c r="CJ447" s="270"/>
      <c r="CK447" s="270"/>
      <c r="CL447" s="270"/>
      <c r="CM447" s="270"/>
    </row>
    <row r="448" spans="1:91" ht="13.5" hidden="1" outlineLevel="3" thickBot="1" x14ac:dyDescent="0.25">
      <c r="A448" s="270"/>
      <c r="B448" s="271"/>
      <c r="C448" s="12"/>
      <c r="D448" s="1071"/>
      <c r="E448" s="1071"/>
      <c r="F448" s="1071"/>
      <c r="G448" s="1172"/>
      <c r="H448" s="271"/>
      <c r="I448" s="270"/>
      <c r="J448" s="270"/>
      <c r="K448" s="270"/>
      <c r="L448" s="270"/>
      <c r="M448" s="270"/>
      <c r="N448" s="270"/>
      <c r="O448" s="270"/>
      <c r="P448" s="1072"/>
      <c r="Q448" s="270"/>
      <c r="R448" s="270"/>
      <c r="S448" s="1072"/>
      <c r="T448" s="270"/>
      <c r="U448" s="1019"/>
      <c r="V448" s="1118"/>
      <c r="W448" s="1177"/>
      <c r="X448" s="1212"/>
      <c r="Y448" s="1208"/>
      <c r="Z448" s="492"/>
      <c r="AA448" s="493" t="s">
        <v>769</v>
      </c>
      <c r="AB448" s="1069"/>
      <c r="AC448" s="1070"/>
      <c r="AD448" s="839"/>
      <c r="AE448" s="270" t="str">
        <f>IF(Z448="","",IF(Z448&gt;AB448,Y448,IF(Z448=AB448,"",AC448)))</f>
        <v/>
      </c>
      <c r="AF448" s="270" t="str">
        <f>IF(Z448="","",IF(Z448=AB448,Y448,""))</f>
        <v/>
      </c>
      <c r="AG448" s="270" t="str">
        <f>IF(Z448="","",IF(Z448=AB448,AC448,""))</f>
        <v/>
      </c>
      <c r="AH448" s="270" t="str">
        <f>IF(Z448="","",IF(Z448&lt;AB448,Y448,IF(Z448=AB448,"",AC448)))</f>
        <v/>
      </c>
      <c r="AI448" s="270" t="str">
        <f>IF(Z448="","",IF(Z448&gt;AB448,Y444,""))</f>
        <v/>
      </c>
      <c r="AJ448" s="270" t="str">
        <f>IF(Z448="","",IF(Z448&lt;AB448,AC444,""))</f>
        <v/>
      </c>
      <c r="AK448" s="270" t="str">
        <f>CONCATENATE(AE448,AH448)</f>
        <v/>
      </c>
      <c r="AL448" s="270"/>
      <c r="AM448" s="270"/>
      <c r="AN448" s="270"/>
      <c r="AO448" s="271"/>
      <c r="AP448" s="270"/>
      <c r="AQ448" s="270"/>
      <c r="AR448" s="270"/>
      <c r="AS448" s="270"/>
      <c r="AT448" s="270"/>
      <c r="AU448" s="270"/>
      <c r="AV448" s="270"/>
      <c r="AW448" s="270"/>
      <c r="AX448" s="270"/>
      <c r="AY448" s="1072"/>
      <c r="AZ448" s="270"/>
      <c r="BA448" s="270"/>
      <c r="BB448" s="1072"/>
      <c r="BC448" s="270"/>
      <c r="BD448" s="270"/>
      <c r="BE448" s="270"/>
      <c r="BF448" s="270"/>
      <c r="BG448" s="270"/>
      <c r="BH448" s="270"/>
      <c r="BI448" s="270"/>
      <c r="BJ448" s="270"/>
      <c r="BK448" s="270"/>
      <c r="BL448" s="270"/>
      <c r="BM448" s="270"/>
      <c r="BN448" s="270"/>
      <c r="BO448" s="270"/>
      <c r="BP448" s="270"/>
      <c r="BQ448" s="270"/>
      <c r="BR448" s="270"/>
      <c r="BS448" s="270"/>
      <c r="BT448" s="270"/>
      <c r="BU448" s="270"/>
      <c r="BV448" s="270"/>
      <c r="BW448" s="270"/>
      <c r="BX448" s="270"/>
      <c r="BY448" s="270"/>
      <c r="BZ448" s="270"/>
      <c r="CA448" s="270"/>
      <c r="CB448" s="270"/>
      <c r="CC448" s="270"/>
      <c r="CD448" s="270"/>
      <c r="CE448" s="1395"/>
      <c r="CF448" s="1450"/>
      <c r="CG448" s="1450"/>
      <c r="CH448" s="270"/>
      <c r="CI448" s="270"/>
      <c r="CJ448" s="270"/>
      <c r="CK448" s="270"/>
      <c r="CL448" s="270"/>
      <c r="CM448" s="270"/>
    </row>
    <row r="449" spans="1:91" ht="13.5" hidden="1" outlineLevel="3" thickBot="1" x14ac:dyDescent="0.25">
      <c r="A449" s="270"/>
      <c r="B449" s="271"/>
      <c r="C449" s="12"/>
      <c r="D449" s="1071"/>
      <c r="E449" s="1071"/>
      <c r="F449" s="1071"/>
      <c r="G449" s="626"/>
      <c r="H449" s="271"/>
      <c r="I449" s="270"/>
      <c r="J449" s="270"/>
      <c r="K449" s="270"/>
      <c r="L449" s="270"/>
      <c r="M449" s="270"/>
      <c r="N449" s="270"/>
      <c r="O449" s="270"/>
      <c r="P449" s="1072"/>
      <c r="Q449" s="270"/>
      <c r="R449" s="270"/>
      <c r="S449" s="1072"/>
      <c r="T449" s="270"/>
      <c r="U449" s="1019"/>
      <c r="V449" s="1073"/>
      <c r="W449" s="1074"/>
      <c r="X449" s="1075" t="str">
        <f>N_Substitute</f>
        <v>Remplaçant</v>
      </c>
      <c r="Y449" s="1208"/>
      <c r="Z449" s="492"/>
      <c r="AA449" s="1076"/>
      <c r="AB449" s="1069"/>
      <c r="AC449" s="1070"/>
      <c r="AD449" s="839"/>
      <c r="AE449" s="270"/>
      <c r="AF449" s="270"/>
      <c r="AG449" s="270"/>
      <c r="AH449" s="270"/>
      <c r="AI449" s="270"/>
      <c r="AJ449" s="270"/>
      <c r="AK449" s="270"/>
      <c r="AL449" s="270"/>
      <c r="AM449" s="270"/>
      <c r="AN449" s="270"/>
      <c r="AO449" s="271"/>
      <c r="AP449" s="270"/>
      <c r="AQ449" s="270"/>
      <c r="AR449" s="270"/>
      <c r="AS449" s="270"/>
      <c r="AT449" s="270"/>
      <c r="AU449" s="270"/>
      <c r="AV449" s="270"/>
      <c r="AW449" s="270"/>
      <c r="AX449" s="270"/>
      <c r="AY449" s="1072"/>
      <c r="AZ449" s="270"/>
      <c r="BA449" s="270"/>
      <c r="BB449" s="1072"/>
      <c r="BC449" s="270"/>
      <c r="BD449" s="270"/>
      <c r="BE449" s="270"/>
      <c r="BF449" s="270"/>
      <c r="BG449" s="270"/>
      <c r="BH449" s="270"/>
      <c r="BI449" s="270"/>
      <c r="BJ449" s="270"/>
      <c r="BK449" s="270"/>
      <c r="BL449" s="270"/>
      <c r="BM449" s="270"/>
      <c r="BN449" s="270"/>
      <c r="BO449" s="270"/>
      <c r="BP449" s="270"/>
      <c r="BQ449" s="270"/>
      <c r="BR449" s="270"/>
      <c r="BS449" s="270"/>
      <c r="BT449" s="270"/>
      <c r="BU449" s="270"/>
      <c r="BV449" s="270"/>
      <c r="BW449" s="270"/>
      <c r="BX449" s="270"/>
      <c r="BY449" s="270"/>
      <c r="BZ449" s="270"/>
      <c r="CA449" s="270"/>
      <c r="CB449" s="270"/>
      <c r="CC449" s="270"/>
      <c r="CD449" s="270"/>
      <c r="CE449" s="1395"/>
      <c r="CF449" s="1450"/>
      <c r="CG449" s="1450"/>
      <c r="CH449" s="270"/>
      <c r="CI449" s="270"/>
      <c r="CJ449" s="270"/>
      <c r="CK449" s="270"/>
      <c r="CL449" s="270"/>
      <c r="CM449" s="270"/>
    </row>
    <row r="450" spans="1:91" ht="13.5" hidden="1" outlineLevel="3" thickBot="1" x14ac:dyDescent="0.25">
      <c r="A450" s="270"/>
      <c r="B450" s="271"/>
      <c r="C450" s="12"/>
      <c r="D450" s="1071"/>
      <c r="E450" s="1071"/>
      <c r="F450" s="1071"/>
      <c r="G450" s="626"/>
      <c r="H450" s="271"/>
      <c r="I450" s="270"/>
      <c r="J450" s="270"/>
      <c r="K450" s="270"/>
      <c r="L450" s="270"/>
      <c r="M450" s="270"/>
      <c r="N450" s="270"/>
      <c r="O450" s="270"/>
      <c r="P450" s="1072"/>
      <c r="Q450" s="270"/>
      <c r="R450" s="270"/>
      <c r="S450" s="1072"/>
      <c r="T450" s="270"/>
      <c r="U450" s="1019"/>
      <c r="V450" s="1087"/>
      <c r="W450" s="1088"/>
      <c r="X450" s="1089" t="str">
        <f>N_Substitute</f>
        <v>Remplaçant</v>
      </c>
      <c r="Y450" s="1213"/>
      <c r="Z450" s="496"/>
      <c r="AA450" s="1090"/>
      <c r="AB450" s="496"/>
      <c r="AC450" s="1092"/>
      <c r="AD450" s="839"/>
      <c r="AE450" s="270"/>
      <c r="AF450" s="270"/>
      <c r="AG450" s="270"/>
      <c r="AH450" s="270"/>
      <c r="AI450" s="270"/>
      <c r="AJ450" s="270"/>
      <c r="AK450" s="270"/>
      <c r="AL450" s="270"/>
      <c r="AM450" s="270"/>
      <c r="AN450" s="270"/>
      <c r="AO450" s="271"/>
      <c r="AP450" s="270"/>
      <c r="AQ450" s="270"/>
      <c r="AR450" s="270"/>
      <c r="AS450" s="270"/>
      <c r="AT450" s="270"/>
      <c r="AU450" s="270"/>
      <c r="AV450" s="270"/>
      <c r="AW450" s="270"/>
      <c r="AX450" s="270"/>
      <c r="AY450" s="1072"/>
      <c r="AZ450" s="270"/>
      <c r="BA450" s="270"/>
      <c r="BB450" s="1072"/>
      <c r="BC450" s="270"/>
      <c r="BD450" s="270"/>
      <c r="BE450" s="270"/>
      <c r="BF450" s="270"/>
      <c r="BG450" s="270"/>
      <c r="BH450" s="270"/>
      <c r="BI450" s="270"/>
      <c r="BJ450" s="270"/>
      <c r="BK450" s="270"/>
      <c r="BL450" s="270"/>
      <c r="BM450" s="270"/>
      <c r="BN450" s="270"/>
      <c r="BO450" s="270"/>
      <c r="BP450" s="270"/>
      <c r="BQ450" s="270"/>
      <c r="BR450" s="270"/>
      <c r="BS450" s="270"/>
      <c r="BT450" s="270"/>
      <c r="BU450" s="270"/>
      <c r="BV450" s="270"/>
      <c r="BW450" s="270"/>
      <c r="BX450" s="270"/>
      <c r="BY450" s="270"/>
      <c r="BZ450" s="270"/>
      <c r="CA450" s="270"/>
      <c r="CB450" s="270"/>
      <c r="CC450" s="270"/>
      <c r="CD450" s="270"/>
      <c r="CE450" s="1395"/>
      <c r="CF450" s="1450"/>
      <c r="CG450" s="1450"/>
      <c r="CH450" s="270"/>
      <c r="CI450" s="270"/>
      <c r="CJ450" s="270"/>
      <c r="CK450" s="270"/>
      <c r="CL450" s="270"/>
      <c r="CM450" s="270"/>
    </row>
    <row r="451" spans="1:91" hidden="1" outlineLevel="2" collapsed="1" x14ac:dyDescent="0.2">
      <c r="A451" s="270"/>
      <c r="B451" s="271"/>
      <c r="C451" s="12"/>
      <c r="D451" s="1071"/>
      <c r="E451" s="1071"/>
      <c r="F451" s="1071"/>
      <c r="G451" s="1172"/>
      <c r="H451" s="271"/>
      <c r="I451" s="270"/>
      <c r="J451" s="270"/>
      <c r="K451" s="270"/>
      <c r="L451" s="270"/>
      <c r="M451" s="270"/>
      <c r="N451" s="270"/>
      <c r="O451" s="270"/>
      <c r="P451" s="1072"/>
      <c r="Q451" s="270"/>
      <c r="R451" s="270"/>
      <c r="S451" s="1072"/>
      <c r="T451" s="270"/>
      <c r="U451" s="1019" t="s">
        <v>1731</v>
      </c>
      <c r="V451" s="1173"/>
      <c r="W451" s="1525"/>
      <c r="X451" s="1535"/>
      <c r="Y451" s="1214" t="str">
        <f>G340</f>
        <v>Eq3</v>
      </c>
      <c r="Z451" s="1063" t="str">
        <f>IF(OR(ISNUMBER(Z452),ISNUMBER(Z453),ISNUMBER(Z454),ISNUMBER(Z455)),4-COUNTBLANK(AI452:AI455),"")</f>
        <v/>
      </c>
      <c r="AA451" s="1064" t="s">
        <v>769</v>
      </c>
      <c r="AB451" s="1063" t="str">
        <f>IF(OR(ISNUMBER(Z452),ISNUMBER(Z453),ISNUMBER(Z454),ISNUMBER(Z455)),4-COUNTBLANK(AJ452:AJ455),"")</f>
        <v/>
      </c>
      <c r="AC451" s="1175" t="str">
        <f>G341</f>
        <v>Eq4</v>
      </c>
      <c r="AD451" s="839"/>
      <c r="AE451" s="270" t="str">
        <f>IF(Z451="","",IF(Z451&gt;AB451,Y451,IF(Z451=AB451,IF(NoDrawWithWithdraw,IF(AL451=Y451,AC451,IF(AL451=AC451,Y451,"")),""),AC451)))</f>
        <v/>
      </c>
      <c r="AF451" s="270" t="str">
        <f>IF(Z451="","",IF(Z451=AB451,IF(NoDrawWithWithdraw,IF(AL451=Y451,"",IF(AL451=AC451,"",Y451)),Y451),""))</f>
        <v/>
      </c>
      <c r="AG451" s="270" t="str">
        <f>IF(Z451="","",IF(Z451=AB451,IF(NoDrawWithWithdraw,IF(AL451=Y451,"",IF(AL451=AC451,"",AC451)),AC451),""))</f>
        <v/>
      </c>
      <c r="AH451" s="270" t="str">
        <f>IF(Z451="","",IF(Z451&lt;AB451,Y451,IF(Z451=AB451,IF(NoDrawWithWithdraw,IF(AL451=Y451,Y451,IF(AL451=AC451,AC451,"")),""),AC451)))</f>
        <v/>
      </c>
      <c r="AI451" s="270" t="str">
        <f>IF(Z451="","",SUM(Z452:Z455))</f>
        <v/>
      </c>
      <c r="AJ451" s="270" t="str">
        <f>IF(Z451="","",SUM(AB452:AB455))</f>
        <v/>
      </c>
      <c r="AK451" s="270" t="str">
        <f>CONCATENATE(AE451,AH451)</f>
        <v/>
      </c>
      <c r="AL451" s="270" t="str">
        <f>IF(COUNTIF(Y452:Y455,WithdrawLabel)&gt;COUNTIF(AC452:AC455,WithdrawLabel),Y451,IF(COUNTIF(AC452:AC455,WithdrawLabel)&gt;COUNTIF(Y452:Y455,WithdrawLabel),AC451,""))</f>
        <v/>
      </c>
      <c r="AM451" s="270"/>
      <c r="AN451" s="270"/>
      <c r="AO451" s="271"/>
      <c r="AP451" s="270"/>
      <c r="AQ451" s="270"/>
      <c r="AR451" s="270"/>
      <c r="AS451" s="270"/>
      <c r="AT451" s="270"/>
      <c r="AU451" s="270"/>
      <c r="AV451" s="270"/>
      <c r="AW451" s="270"/>
      <c r="AX451" s="270"/>
      <c r="AY451" s="1072"/>
      <c r="AZ451" s="270"/>
      <c r="BA451" s="270"/>
      <c r="BB451" s="1072"/>
      <c r="BC451" s="270"/>
      <c r="BD451" s="270"/>
      <c r="BE451" s="270"/>
      <c r="BF451" s="270"/>
      <c r="BG451" s="270"/>
      <c r="BH451" s="270"/>
      <c r="BI451" s="270"/>
      <c r="BJ451" s="270"/>
      <c r="BK451" s="270"/>
      <c r="BL451" s="270"/>
      <c r="BM451" s="270"/>
      <c r="BN451" s="270"/>
      <c r="BO451" s="270"/>
      <c r="BP451" s="270"/>
      <c r="BQ451" s="270"/>
      <c r="BR451" s="270"/>
      <c r="BS451" s="270"/>
      <c r="BT451" s="270"/>
      <c r="BU451" s="270"/>
      <c r="BV451" s="270"/>
      <c r="BW451" s="270"/>
      <c r="BX451" s="270"/>
      <c r="BY451" s="270"/>
      <c r="BZ451" s="270"/>
      <c r="CA451" s="270"/>
      <c r="CB451" s="270"/>
      <c r="CC451" s="270"/>
      <c r="CD451" s="270"/>
      <c r="CE451" s="1395"/>
      <c r="CF451" s="1450"/>
      <c r="CG451" s="1450"/>
      <c r="CH451" s="270"/>
      <c r="CI451" s="270"/>
      <c r="CJ451" s="270"/>
      <c r="CK451" s="270"/>
      <c r="CL451" s="270"/>
      <c r="CM451" s="270"/>
    </row>
    <row r="452" spans="1:91" ht="13.5" hidden="1" outlineLevel="3" thickBot="1" x14ac:dyDescent="0.25">
      <c r="A452" s="270"/>
      <c r="B452" s="271"/>
      <c r="C452" s="12"/>
      <c r="D452" s="1071"/>
      <c r="E452" s="1071"/>
      <c r="F452" s="1071"/>
      <c r="G452" s="1172"/>
      <c r="H452" s="271"/>
      <c r="I452" s="270"/>
      <c r="J452" s="270"/>
      <c r="K452" s="270"/>
      <c r="L452" s="270"/>
      <c r="M452" s="270"/>
      <c r="N452" s="270"/>
      <c r="O452" s="270"/>
      <c r="P452" s="1072"/>
      <c r="Q452" s="270"/>
      <c r="R452" s="270"/>
      <c r="S452" s="1072"/>
      <c r="T452" s="270"/>
      <c r="U452" s="1019"/>
      <c r="V452" s="1176"/>
      <c r="W452" s="1177"/>
      <c r="X452" s="1207"/>
      <c r="Y452" s="1208"/>
      <c r="Z452" s="492"/>
      <c r="AA452" s="493" t="s">
        <v>769</v>
      </c>
      <c r="AB452" s="1069"/>
      <c r="AC452" s="1070"/>
      <c r="AD452" s="839"/>
      <c r="AE452" s="270" t="str">
        <f>IF(Z452="","",IF(Z452&gt;AB452,Y452,IF(Z452=AB452,"",AC452)))</f>
        <v/>
      </c>
      <c r="AF452" s="270" t="str">
        <f>IF(Z452="","",IF(Z452=AB452,Y452,""))</f>
        <v/>
      </c>
      <c r="AG452" s="270" t="str">
        <f>IF(Z452="","",IF(Z452=AB452,AC452,""))</f>
        <v/>
      </c>
      <c r="AH452" s="270" t="str">
        <f>IF(Z452="","",IF(Z452&lt;AB452,Y452,IF(Z452=AB452,"",AC452)))</f>
        <v/>
      </c>
      <c r="AI452" s="270" t="str">
        <f>IF(Z452="","",IF(Z452&gt;AB452,Y451,""))</f>
        <v/>
      </c>
      <c r="AJ452" s="270" t="str">
        <f>IF(Z452="","",IF(Z452&lt;AB452,AC451,""))</f>
        <v/>
      </c>
      <c r="AK452" s="270" t="str">
        <f>CONCATENATE(AE452,AH452)</f>
        <v/>
      </c>
      <c r="AL452" s="270"/>
      <c r="AM452" s="270"/>
      <c r="AN452" s="270"/>
      <c r="AO452" s="271"/>
      <c r="AP452" s="270"/>
      <c r="AQ452" s="270"/>
      <c r="AR452" s="270"/>
      <c r="AS452" s="270"/>
      <c r="AT452" s="270"/>
      <c r="AU452" s="270"/>
      <c r="AV452" s="270"/>
      <c r="AW452" s="270"/>
      <c r="AX452" s="270"/>
      <c r="AY452" s="1072"/>
      <c r="AZ452" s="270"/>
      <c r="BA452" s="270"/>
      <c r="BB452" s="1072"/>
      <c r="BC452" s="270"/>
      <c r="BD452" s="270"/>
      <c r="BE452" s="270"/>
      <c r="BF452" s="270"/>
      <c r="BG452" s="270"/>
      <c r="BH452" s="270"/>
      <c r="BI452" s="270"/>
      <c r="BJ452" s="270"/>
      <c r="BK452" s="270"/>
      <c r="BL452" s="270"/>
      <c r="BM452" s="270"/>
      <c r="BN452" s="270"/>
      <c r="BO452" s="270"/>
      <c r="BP452" s="270"/>
      <c r="BQ452" s="270"/>
      <c r="BR452" s="270"/>
      <c r="BS452" s="270"/>
      <c r="BT452" s="270"/>
      <c r="BU452" s="270"/>
      <c r="BV452" s="270"/>
      <c r="BW452" s="270"/>
      <c r="BX452" s="270"/>
      <c r="BY452" s="270"/>
      <c r="BZ452" s="270"/>
      <c r="CA452" s="270"/>
      <c r="CB452" s="270"/>
      <c r="CC452" s="270"/>
      <c r="CD452" s="270"/>
      <c r="CE452" s="1395"/>
      <c r="CF452" s="1450"/>
      <c r="CG452" s="1450"/>
      <c r="CH452" s="270"/>
      <c r="CI452" s="270"/>
      <c r="CJ452" s="270"/>
      <c r="CK452" s="270"/>
      <c r="CL452" s="270"/>
      <c r="CM452" s="270"/>
    </row>
    <row r="453" spans="1:91" ht="13.5" hidden="1" outlineLevel="3" thickBot="1" x14ac:dyDescent="0.25">
      <c r="A453" s="270"/>
      <c r="B453" s="271"/>
      <c r="C453" s="12"/>
      <c r="D453" s="1071"/>
      <c r="E453" s="1071"/>
      <c r="F453" s="1071"/>
      <c r="G453" s="1172"/>
      <c r="H453" s="271"/>
      <c r="I453" s="270"/>
      <c r="J453" s="270"/>
      <c r="K453" s="270"/>
      <c r="L453" s="270"/>
      <c r="M453" s="270"/>
      <c r="N453" s="270"/>
      <c r="O453" s="270"/>
      <c r="P453" s="1072"/>
      <c r="Q453" s="270"/>
      <c r="R453" s="270"/>
      <c r="S453" s="1072"/>
      <c r="T453" s="270"/>
      <c r="U453" s="1019"/>
      <c r="V453" s="1176"/>
      <c r="W453" s="1177"/>
      <c r="X453" s="1207"/>
      <c r="Y453" s="1208"/>
      <c r="Z453" s="492"/>
      <c r="AA453" s="493" t="s">
        <v>769</v>
      </c>
      <c r="AB453" s="1069"/>
      <c r="AC453" s="1070"/>
      <c r="AD453" s="839"/>
      <c r="AE453" s="270" t="str">
        <f>IF(Z453="","",IF(Z453&gt;AB453,Y453,IF(Z453=AB453,"",AC453)))</f>
        <v/>
      </c>
      <c r="AF453" s="270" t="str">
        <f>IF(Z453="","",IF(Z453=AB453,Y453,""))</f>
        <v/>
      </c>
      <c r="AG453" s="270" t="str">
        <f>IF(Z453="","",IF(Z453=AB453,AC453,""))</f>
        <v/>
      </c>
      <c r="AH453" s="270" t="str">
        <f>IF(Z453="","",IF(Z453&lt;AB453,Y453,IF(Z453=AB453,"",AC453)))</f>
        <v/>
      </c>
      <c r="AI453" s="270" t="str">
        <f>IF(Z453="","",IF(Z453&gt;AB453,Y451,""))</f>
        <v/>
      </c>
      <c r="AJ453" s="270" t="str">
        <f>IF(Z453="","",IF(Z453&lt;AB453,AC451,""))</f>
        <v/>
      </c>
      <c r="AK453" s="270" t="str">
        <f>CONCATENATE(AE453,AH453)</f>
        <v/>
      </c>
      <c r="AL453" s="270"/>
      <c r="AM453" s="270"/>
      <c r="AN453" s="270"/>
      <c r="AO453" s="271"/>
      <c r="AP453" s="270"/>
      <c r="AQ453" s="270"/>
      <c r="AR453" s="270"/>
      <c r="AS453" s="270"/>
      <c r="AT453" s="270"/>
      <c r="AU453" s="270"/>
      <c r="AV453" s="270"/>
      <c r="AW453" s="270"/>
      <c r="AX453" s="270"/>
      <c r="AY453" s="1072"/>
      <c r="AZ453" s="270"/>
      <c r="BA453" s="270"/>
      <c r="BB453" s="1072"/>
      <c r="BC453" s="270"/>
      <c r="BD453" s="270"/>
      <c r="BE453" s="270"/>
      <c r="BF453" s="270"/>
      <c r="BG453" s="270"/>
      <c r="BH453" s="270"/>
      <c r="BI453" s="270"/>
      <c r="BJ453" s="270"/>
      <c r="BK453" s="270"/>
      <c r="BL453" s="270"/>
      <c r="BM453" s="270"/>
      <c r="BN453" s="270"/>
      <c r="BO453" s="270"/>
      <c r="BP453" s="270"/>
      <c r="BQ453" s="270"/>
      <c r="BR453" s="270"/>
      <c r="BS453" s="270"/>
      <c r="BT453" s="270"/>
      <c r="BU453" s="270"/>
      <c r="BV453" s="270"/>
      <c r="BW453" s="270"/>
      <c r="BX453" s="270"/>
      <c r="BY453" s="270"/>
      <c r="BZ453" s="270"/>
      <c r="CA453" s="270"/>
      <c r="CB453" s="270"/>
      <c r="CC453" s="270"/>
      <c r="CD453" s="270"/>
      <c r="CE453" s="1395"/>
      <c r="CF453" s="1450"/>
      <c r="CG453" s="1450"/>
      <c r="CH453" s="270"/>
      <c r="CI453" s="270"/>
      <c r="CJ453" s="270"/>
      <c r="CK453" s="270"/>
      <c r="CL453" s="270"/>
      <c r="CM453" s="270"/>
    </row>
    <row r="454" spans="1:91" ht="13.5" hidden="1" outlineLevel="3" thickBot="1" x14ac:dyDescent="0.25">
      <c r="A454" s="270"/>
      <c r="B454" s="271"/>
      <c r="C454" s="12"/>
      <c r="D454" s="1071"/>
      <c r="E454" s="1071"/>
      <c r="F454" s="1071"/>
      <c r="G454" s="1172"/>
      <c r="H454" s="271"/>
      <c r="I454" s="270"/>
      <c r="J454" s="270"/>
      <c r="K454" s="270"/>
      <c r="L454" s="270"/>
      <c r="M454" s="270"/>
      <c r="N454" s="270"/>
      <c r="O454" s="270"/>
      <c r="P454" s="1072"/>
      <c r="Q454" s="270"/>
      <c r="R454" s="270"/>
      <c r="S454" s="1072"/>
      <c r="T454" s="270"/>
      <c r="U454" s="1019"/>
      <c r="V454" s="1176"/>
      <c r="W454" s="1177"/>
      <c r="X454" s="1207"/>
      <c r="Y454" s="1208"/>
      <c r="Z454" s="492"/>
      <c r="AA454" s="493" t="s">
        <v>769</v>
      </c>
      <c r="AB454" s="1069"/>
      <c r="AC454" s="1070"/>
      <c r="AD454" s="839"/>
      <c r="AE454" s="270" t="str">
        <f>IF(Z454="","",IF(Z454&gt;AB454,Y454,IF(Z454=AB454,"",AC454)))</f>
        <v/>
      </c>
      <c r="AF454" s="270" t="str">
        <f>IF(Z454="","",IF(Z454=AB454,Y454,""))</f>
        <v/>
      </c>
      <c r="AG454" s="270" t="str">
        <f>IF(Z454="","",IF(Z454=AB454,AC454,""))</f>
        <v/>
      </c>
      <c r="AH454" s="270" t="str">
        <f>IF(Z454="","",IF(Z454&lt;AB454,Y454,IF(Z454=AB454,"",AC454)))</f>
        <v/>
      </c>
      <c r="AI454" s="270" t="str">
        <f>IF(Z454="","",IF(Z454&gt;AB454,Y451,""))</f>
        <v/>
      </c>
      <c r="AJ454" s="270" t="str">
        <f>IF(Z454="","",IF(Z454&lt;AB454,AC451,""))</f>
        <v/>
      </c>
      <c r="AK454" s="270" t="str">
        <f>CONCATENATE(AE454,AH454)</f>
        <v/>
      </c>
      <c r="AL454" s="270"/>
      <c r="AM454" s="270"/>
      <c r="AN454" s="270"/>
      <c r="AO454" s="271"/>
      <c r="AP454" s="270"/>
      <c r="AQ454" s="270"/>
      <c r="AR454" s="270"/>
      <c r="AS454" s="270"/>
      <c r="AT454" s="270"/>
      <c r="AU454" s="270"/>
      <c r="AV454" s="270"/>
      <c r="AW454" s="270"/>
      <c r="AX454" s="270"/>
      <c r="AY454" s="1072"/>
      <c r="AZ454" s="270"/>
      <c r="BA454" s="270"/>
      <c r="BB454" s="1072"/>
      <c r="BC454" s="270"/>
      <c r="BD454" s="270"/>
      <c r="BE454" s="270"/>
      <c r="BF454" s="270"/>
      <c r="BG454" s="270"/>
      <c r="BH454" s="270"/>
      <c r="BI454" s="270"/>
      <c r="BJ454" s="270"/>
      <c r="BK454" s="270"/>
      <c r="BL454" s="270"/>
      <c r="BM454" s="270"/>
      <c r="BN454" s="270"/>
      <c r="BO454" s="270"/>
      <c r="BP454" s="270"/>
      <c r="BQ454" s="270"/>
      <c r="BR454" s="270"/>
      <c r="BS454" s="270"/>
      <c r="BT454" s="270"/>
      <c r="BU454" s="270"/>
      <c r="BV454" s="270"/>
      <c r="BW454" s="270"/>
      <c r="BX454" s="270"/>
      <c r="BY454" s="270"/>
      <c r="BZ454" s="270"/>
      <c r="CA454" s="270"/>
      <c r="CB454" s="270"/>
      <c r="CC454" s="270"/>
      <c r="CD454" s="270"/>
      <c r="CE454" s="1395"/>
      <c r="CF454" s="1450"/>
      <c r="CG454" s="1450"/>
      <c r="CH454" s="270"/>
      <c r="CI454" s="270"/>
      <c r="CJ454" s="270"/>
      <c r="CK454" s="270"/>
      <c r="CL454" s="270"/>
      <c r="CM454" s="270"/>
    </row>
    <row r="455" spans="1:91" ht="13.5" hidden="1" outlineLevel="3" thickBot="1" x14ac:dyDescent="0.25">
      <c r="A455" s="270"/>
      <c r="B455" s="271"/>
      <c r="C455" s="12"/>
      <c r="D455" s="1071"/>
      <c r="E455" s="1071"/>
      <c r="F455" s="1071"/>
      <c r="G455" s="1172"/>
      <c r="H455" s="271"/>
      <c r="I455" s="270"/>
      <c r="J455" s="270"/>
      <c r="K455" s="270"/>
      <c r="L455" s="270"/>
      <c r="M455" s="270"/>
      <c r="N455" s="270"/>
      <c r="O455" s="270"/>
      <c r="P455" s="1072"/>
      <c r="Q455" s="270"/>
      <c r="R455" s="270"/>
      <c r="S455" s="1072"/>
      <c r="T455" s="270"/>
      <c r="U455" s="1019"/>
      <c r="V455" s="1176"/>
      <c r="W455" s="1177"/>
      <c r="X455" s="1207"/>
      <c r="Y455" s="1208"/>
      <c r="Z455" s="492"/>
      <c r="AA455" s="493" t="s">
        <v>769</v>
      </c>
      <c r="AB455" s="1069"/>
      <c r="AC455" s="1070"/>
      <c r="AD455" s="839"/>
      <c r="AE455" s="270" t="str">
        <f>IF(Z455="","",IF(Z455&gt;AB455,Y455,IF(Z455=AB455,"",AC455)))</f>
        <v/>
      </c>
      <c r="AF455" s="270" t="str">
        <f>IF(Z455="","",IF(Z455=AB455,Y455,""))</f>
        <v/>
      </c>
      <c r="AG455" s="270" t="str">
        <f>IF(Z455="","",IF(Z455=AB455,AC455,""))</f>
        <v/>
      </c>
      <c r="AH455" s="270" t="str">
        <f>IF(Z455="","",IF(Z455&lt;AB455,Y455,IF(Z455=AB455,"",AC455)))</f>
        <v/>
      </c>
      <c r="AI455" s="270" t="str">
        <f>IF(Z455="","",IF(Z455&gt;AB455,Y451,""))</f>
        <v/>
      </c>
      <c r="AJ455" s="270" t="str">
        <f>IF(Z455="","",IF(Z455&lt;AB455,AC451,""))</f>
        <v/>
      </c>
      <c r="AK455" s="270" t="str">
        <f>CONCATENATE(AE455,AH455)</f>
        <v/>
      </c>
      <c r="AL455" s="270"/>
      <c r="AM455" s="270"/>
      <c r="AN455" s="270"/>
      <c r="AO455" s="271"/>
      <c r="AP455" s="270"/>
      <c r="AQ455" s="270"/>
      <c r="AR455" s="270"/>
      <c r="AS455" s="270"/>
      <c r="AT455" s="270"/>
      <c r="AU455" s="270"/>
      <c r="AV455" s="270"/>
      <c r="AW455" s="270"/>
      <c r="AX455" s="270"/>
      <c r="AY455" s="1072"/>
      <c r="AZ455" s="270"/>
      <c r="BA455" s="270"/>
      <c r="BB455" s="1072"/>
      <c r="BC455" s="270"/>
      <c r="BD455" s="270"/>
      <c r="BE455" s="270"/>
      <c r="BF455" s="270"/>
      <c r="BG455" s="270"/>
      <c r="BH455" s="270"/>
      <c r="BI455" s="270"/>
      <c r="BJ455" s="270"/>
      <c r="BK455" s="270"/>
      <c r="BL455" s="270"/>
      <c r="BM455" s="270"/>
      <c r="BN455" s="270"/>
      <c r="BO455" s="270"/>
      <c r="BP455" s="270"/>
      <c r="BQ455" s="270"/>
      <c r="BR455" s="270"/>
      <c r="BS455" s="270"/>
      <c r="BT455" s="270"/>
      <c r="BU455" s="270"/>
      <c r="BV455" s="270"/>
      <c r="BW455" s="270"/>
      <c r="BX455" s="270"/>
      <c r="BY455" s="270"/>
      <c r="BZ455" s="270"/>
      <c r="CA455" s="270"/>
      <c r="CB455" s="270"/>
      <c r="CC455" s="270"/>
      <c r="CD455" s="270"/>
      <c r="CE455" s="1395"/>
      <c r="CF455" s="1450"/>
      <c r="CG455" s="1450"/>
      <c r="CH455" s="270"/>
      <c r="CI455" s="270"/>
      <c r="CJ455" s="270"/>
      <c r="CK455" s="270"/>
      <c r="CL455" s="270"/>
      <c r="CM455" s="270"/>
    </row>
    <row r="456" spans="1:91" ht="13.5" hidden="1" outlineLevel="3" thickBot="1" x14ac:dyDescent="0.25">
      <c r="A456" s="270"/>
      <c r="B456" s="271"/>
      <c r="C456" s="12"/>
      <c r="D456" s="1071"/>
      <c r="E456" s="1071"/>
      <c r="F456" s="1071"/>
      <c r="G456" s="626"/>
      <c r="H456" s="271"/>
      <c r="I456" s="270"/>
      <c r="J456" s="270"/>
      <c r="K456" s="270"/>
      <c r="L456" s="270"/>
      <c r="M456" s="270"/>
      <c r="N456" s="270"/>
      <c r="O456" s="270"/>
      <c r="P456" s="1072"/>
      <c r="Q456" s="270"/>
      <c r="R456" s="270"/>
      <c r="S456" s="1072"/>
      <c r="T456" s="270"/>
      <c r="U456" s="1019"/>
      <c r="V456" s="1073"/>
      <c r="W456" s="1074"/>
      <c r="X456" s="1075" t="str">
        <f>N_Substitute</f>
        <v>Remplaçant</v>
      </c>
      <c r="Y456" s="1208"/>
      <c r="Z456" s="492"/>
      <c r="AA456" s="1076"/>
      <c r="AB456" s="1069"/>
      <c r="AC456" s="1070"/>
      <c r="AD456" s="839"/>
      <c r="AE456" s="270"/>
      <c r="AF456" s="270"/>
      <c r="AG456" s="270"/>
      <c r="AH456" s="270"/>
      <c r="AI456" s="270"/>
      <c r="AJ456" s="270"/>
      <c r="AK456" s="270"/>
      <c r="AL456" s="270"/>
      <c r="AM456" s="270"/>
      <c r="AN456" s="270"/>
      <c r="AO456" s="271"/>
      <c r="AP456" s="270"/>
      <c r="AQ456" s="270"/>
      <c r="AR456" s="270"/>
      <c r="AS456" s="270"/>
      <c r="AT456" s="270"/>
      <c r="AU456" s="270"/>
      <c r="AV456" s="270"/>
      <c r="AW456" s="270"/>
      <c r="AX456" s="270"/>
      <c r="AY456" s="1072"/>
      <c r="AZ456" s="270"/>
      <c r="BA456" s="270"/>
      <c r="BB456" s="1072"/>
      <c r="BC456" s="270"/>
      <c r="BD456" s="270"/>
      <c r="BE456" s="270"/>
      <c r="BF456" s="270"/>
      <c r="BG456" s="270"/>
      <c r="BH456" s="270"/>
      <c r="BI456" s="270"/>
      <c r="BJ456" s="270"/>
      <c r="BK456" s="270"/>
      <c r="BL456" s="270"/>
      <c r="BM456" s="270"/>
      <c r="BN456" s="270"/>
      <c r="BO456" s="270"/>
      <c r="BP456" s="270"/>
      <c r="BQ456" s="270"/>
      <c r="BR456" s="270"/>
      <c r="BS456" s="270"/>
      <c r="BT456" s="270"/>
      <c r="BU456" s="270"/>
      <c r="BV456" s="270"/>
      <c r="BW456" s="270"/>
      <c r="BX456" s="270"/>
      <c r="BY456" s="270"/>
      <c r="BZ456" s="270"/>
      <c r="CA456" s="270"/>
      <c r="CB456" s="270"/>
      <c r="CC456" s="270"/>
      <c r="CD456" s="270"/>
      <c r="CE456" s="1395"/>
      <c r="CF456" s="1450"/>
      <c r="CG456" s="1450"/>
      <c r="CH456" s="270"/>
      <c r="CI456" s="270"/>
      <c r="CJ456" s="270"/>
      <c r="CK456" s="270"/>
      <c r="CL456" s="270"/>
      <c r="CM456" s="270"/>
    </row>
    <row r="457" spans="1:91" ht="13.5" hidden="1" outlineLevel="3" thickBot="1" x14ac:dyDescent="0.25">
      <c r="A457" s="270"/>
      <c r="B457" s="271"/>
      <c r="C457" s="12"/>
      <c r="D457" s="1071"/>
      <c r="E457" s="1071"/>
      <c r="F457" s="1071"/>
      <c r="G457" s="626"/>
      <c r="H457" s="271"/>
      <c r="I457" s="270"/>
      <c r="J457" s="270"/>
      <c r="K457" s="270"/>
      <c r="L457" s="270"/>
      <c r="M457" s="270"/>
      <c r="N457" s="270"/>
      <c r="O457" s="270"/>
      <c r="P457" s="1072"/>
      <c r="Q457" s="270"/>
      <c r="R457" s="270"/>
      <c r="S457" s="1072"/>
      <c r="T457" s="270"/>
      <c r="U457" s="1019"/>
      <c r="V457" s="1119"/>
      <c r="W457" s="1120"/>
      <c r="X457" s="1075" t="str">
        <f>N_Substitute</f>
        <v>Remplaçant</v>
      </c>
      <c r="Y457" s="1208"/>
      <c r="Z457" s="492"/>
      <c r="AA457" s="1121"/>
      <c r="AB457" s="1069"/>
      <c r="AC457" s="1070"/>
      <c r="AD457" s="839"/>
      <c r="AE457" s="270"/>
      <c r="AF457" s="270"/>
      <c r="AG457" s="270"/>
      <c r="AH457" s="270"/>
      <c r="AI457" s="270"/>
      <c r="AJ457" s="270"/>
      <c r="AK457" s="270"/>
      <c r="AL457" s="270"/>
      <c r="AM457" s="270"/>
      <c r="AN457" s="270"/>
      <c r="AO457" s="271"/>
      <c r="AP457" s="270"/>
      <c r="AQ457" s="270"/>
      <c r="AR457" s="270"/>
      <c r="AS457" s="270"/>
      <c r="AT457" s="270"/>
      <c r="AU457" s="270"/>
      <c r="AV457" s="270"/>
      <c r="AW457" s="270"/>
      <c r="AX457" s="270"/>
      <c r="AY457" s="1072"/>
      <c r="AZ457" s="270"/>
      <c r="BA457" s="270"/>
      <c r="BB457" s="1072"/>
      <c r="BC457" s="270"/>
      <c r="BD457" s="270"/>
      <c r="BE457" s="270"/>
      <c r="BF457" s="270"/>
      <c r="BG457" s="270"/>
      <c r="BH457" s="270"/>
      <c r="BI457" s="270"/>
      <c r="BJ457" s="270"/>
      <c r="BK457" s="270"/>
      <c r="BL457" s="270"/>
      <c r="BM457" s="270"/>
      <c r="BN457" s="270"/>
      <c r="BO457" s="270"/>
      <c r="BP457" s="270"/>
      <c r="BQ457" s="270"/>
      <c r="BR457" s="270"/>
      <c r="BS457" s="270"/>
      <c r="BT457" s="270"/>
      <c r="BU457" s="270"/>
      <c r="BV457" s="270"/>
      <c r="BW457" s="270"/>
      <c r="BX457" s="270"/>
      <c r="BY457" s="270"/>
      <c r="BZ457" s="270"/>
      <c r="CA457" s="270"/>
      <c r="CB457" s="270"/>
      <c r="CC457" s="270"/>
      <c r="CD457" s="270"/>
      <c r="CE457" s="1395"/>
      <c r="CF457" s="1450"/>
      <c r="CG457" s="1450"/>
      <c r="CH457" s="270"/>
      <c r="CI457" s="270"/>
      <c r="CJ457" s="270"/>
      <c r="CK457" s="270"/>
      <c r="CL457" s="270"/>
      <c r="CM457" s="270"/>
    </row>
    <row r="458" spans="1:91" hidden="1" outlineLevel="2" collapsed="1" x14ac:dyDescent="0.2">
      <c r="A458" s="270"/>
      <c r="B458" s="271"/>
      <c r="C458" s="270"/>
      <c r="D458" s="270"/>
      <c r="E458" s="270"/>
      <c r="F458" s="270"/>
      <c r="G458" s="271"/>
      <c r="H458" s="270"/>
      <c r="I458" s="270"/>
      <c r="J458" s="270"/>
      <c r="K458" s="270"/>
      <c r="L458" s="270"/>
      <c r="M458" s="270"/>
      <c r="N458" s="270"/>
      <c r="O458" s="270"/>
      <c r="P458" s="270"/>
      <c r="Q458" s="270"/>
      <c r="R458" s="270"/>
      <c r="S458" s="270"/>
      <c r="T458" s="270"/>
      <c r="U458" s="1019" t="s">
        <v>1731</v>
      </c>
      <c r="V458" s="1179"/>
      <c r="W458" s="1177"/>
      <c r="X458" s="1207"/>
      <c r="Y458" s="1210" t="str">
        <f>G342</f>
        <v>Eq5</v>
      </c>
      <c r="Z458" s="1125" t="str">
        <f>IF(OR(ISNUMBER(Z459),ISNUMBER(Z460),ISNUMBER(Z461),ISNUMBER(Z462)),4-COUNTBLANK(AI459:AI462),"")</f>
        <v/>
      </c>
      <c r="AA458" s="1124" t="s">
        <v>769</v>
      </c>
      <c r="AB458" s="1125" t="str">
        <f>IF(OR(ISNUMBER(Z459),ISNUMBER(Z460),ISNUMBER(Z461),ISNUMBER(Z462)),4-COUNTBLANK(AJ459:AJ462),"")</f>
        <v/>
      </c>
      <c r="AC458" s="1181" t="str">
        <f>G339</f>
        <v>Eq2</v>
      </c>
      <c r="AD458" s="839"/>
      <c r="AE458" s="270" t="str">
        <f>IF(Z458="","",IF(Z458&gt;AB458,Y458,IF(Z458=AB458,IF(NoDrawWithWithdraw,IF(AL458=Y458,AC458,IF(AL458=AC458,Y458,"")),""),AC458)))</f>
        <v/>
      </c>
      <c r="AF458" s="270" t="str">
        <f>IF(Z458="","",IF(Z458=AB458,IF(NoDrawWithWithdraw,IF(AL458=Y458,"",IF(AL458=AC458,"",Y458)),Y458),""))</f>
        <v/>
      </c>
      <c r="AG458" s="270" t="str">
        <f>IF(Z458="","",IF(Z458=AB458,IF(NoDrawWithWithdraw,IF(AL458=Y458,"",IF(AL458=AC458,"",AC458)),AC458),""))</f>
        <v/>
      </c>
      <c r="AH458" s="270" t="str">
        <f>IF(Z458="","",IF(Z458&lt;AB458,Y458,IF(Z458=AB458,IF(NoDrawWithWithdraw,IF(AL458=Y458,Y458,IF(AL458=AC458,AC458,"")),""),AC458)))</f>
        <v/>
      </c>
      <c r="AI458" s="270" t="str">
        <f>IF(Z458="","",SUM(Z459:Z462))</f>
        <v/>
      </c>
      <c r="AJ458" s="270" t="str">
        <f>IF(Z458="","",SUM(AB459:AB462))</f>
        <v/>
      </c>
      <c r="AK458" s="270" t="str">
        <f>CONCATENATE(AE458,AH458)</f>
        <v/>
      </c>
      <c r="AL458" s="270" t="str">
        <f>IF(COUNTIF(Y459:Y462,WithdrawLabel)&gt;COUNTIF(AC459:AC462,WithdrawLabel),Y458,IF(COUNTIF(AC459:AC462,WithdrawLabel)&gt;COUNTIF(Y459:Y462,WithdrawLabel),AC458,""))</f>
        <v/>
      </c>
      <c r="AM458" s="270"/>
      <c r="AN458" s="270"/>
      <c r="AO458" s="575"/>
      <c r="AP458" s="270"/>
      <c r="AQ458" s="270"/>
      <c r="AR458" s="270"/>
      <c r="AS458" s="270"/>
      <c r="AT458" s="270"/>
      <c r="AU458" s="270"/>
      <c r="AV458" s="270"/>
      <c r="AW458" s="270"/>
      <c r="AX458" s="270"/>
      <c r="AY458" s="270"/>
      <c r="AZ458" s="270"/>
      <c r="BA458" s="270"/>
      <c r="BB458" s="270"/>
      <c r="BC458" s="270"/>
      <c r="BD458" s="270"/>
      <c r="BE458" s="270"/>
      <c r="BF458" s="270"/>
      <c r="BG458" s="270"/>
      <c r="BH458" s="270"/>
      <c r="BI458" s="270"/>
      <c r="BJ458" s="270"/>
      <c r="BK458" s="270"/>
      <c r="BL458" s="270"/>
      <c r="BM458" s="270"/>
      <c r="BN458" s="270"/>
      <c r="BO458" s="270"/>
      <c r="BP458" s="270"/>
      <c r="BQ458" s="270"/>
      <c r="BR458" s="270"/>
      <c r="BS458" s="270"/>
      <c r="BT458" s="270"/>
      <c r="BU458" s="270"/>
      <c r="BV458" s="270"/>
      <c r="BW458" s="270"/>
      <c r="BX458" s="270"/>
      <c r="BY458" s="270"/>
      <c r="BZ458" s="270"/>
      <c r="CA458" s="270"/>
      <c r="CB458" s="270"/>
      <c r="CC458" s="270"/>
      <c r="CD458" s="270"/>
      <c r="CE458" s="1395"/>
      <c r="CF458" s="1450"/>
      <c r="CG458" s="1450"/>
      <c r="CH458" s="270"/>
      <c r="CI458" s="270"/>
      <c r="CJ458" s="270"/>
      <c r="CK458" s="270"/>
      <c r="CL458" s="270"/>
      <c r="CM458" s="270"/>
    </row>
    <row r="459" spans="1:91" ht="13.5" hidden="1" outlineLevel="3" thickBot="1" x14ac:dyDescent="0.25">
      <c r="A459" s="270"/>
      <c r="B459" s="271"/>
      <c r="C459" s="12"/>
      <c r="D459" s="1071"/>
      <c r="E459" s="1071"/>
      <c r="F459" s="1071"/>
      <c r="G459" s="1172"/>
      <c r="H459" s="271"/>
      <c r="I459" s="270"/>
      <c r="J459" s="270"/>
      <c r="K459" s="270"/>
      <c r="L459" s="270"/>
      <c r="M459" s="270"/>
      <c r="N459" s="270"/>
      <c r="O459" s="270"/>
      <c r="P459" s="1072"/>
      <c r="Q459" s="270"/>
      <c r="R459" s="270"/>
      <c r="S459" s="1072"/>
      <c r="T459" s="270"/>
      <c r="U459" s="1019"/>
      <c r="V459" s="1176"/>
      <c r="W459" s="1177"/>
      <c r="X459" s="1207"/>
      <c r="Y459" s="1208"/>
      <c r="Z459" s="492"/>
      <c r="AA459" s="493" t="s">
        <v>769</v>
      </c>
      <c r="AB459" s="1069"/>
      <c r="AC459" s="1070"/>
      <c r="AD459" s="839"/>
      <c r="AE459" s="270" t="str">
        <f>IF(Z459="","",IF(Z459&gt;AB459,Y459,IF(Z459=AB459,"",AC459)))</f>
        <v/>
      </c>
      <c r="AF459" s="270" t="str">
        <f>IF(Z459="","",IF(Z459=AB459,Y459,""))</f>
        <v/>
      </c>
      <c r="AG459" s="270" t="str">
        <f>IF(Z459="","",IF(Z459=AB459,AC459,""))</f>
        <v/>
      </c>
      <c r="AH459" s="270" t="str">
        <f>IF(Z459="","",IF(Z459&lt;AB459,Y459,IF(Z459=AB459,"",AC459)))</f>
        <v/>
      </c>
      <c r="AI459" s="270" t="str">
        <f>IF(Z459="","",IF(Z459&gt;AB459,Y458,""))</f>
        <v/>
      </c>
      <c r="AJ459" s="270" t="str">
        <f>IF(Z459="","",IF(Z459&lt;AB459,AC458,""))</f>
        <v/>
      </c>
      <c r="AK459" s="270" t="str">
        <f>CONCATENATE(AE459,AH459)</f>
        <v/>
      </c>
      <c r="AL459" s="270"/>
      <c r="AM459" s="270"/>
      <c r="AN459" s="270"/>
      <c r="AO459" s="271"/>
      <c r="AP459" s="270"/>
      <c r="AQ459" s="270"/>
      <c r="AR459" s="270"/>
      <c r="AS459" s="270"/>
      <c r="AT459" s="270"/>
      <c r="AU459" s="270"/>
      <c r="AV459" s="270"/>
      <c r="AW459" s="270"/>
      <c r="AX459" s="270"/>
      <c r="AY459" s="1072"/>
      <c r="AZ459" s="270"/>
      <c r="BA459" s="270"/>
      <c r="BB459" s="1072"/>
      <c r="BC459" s="270"/>
      <c r="BD459" s="270"/>
      <c r="BE459" s="270"/>
      <c r="BF459" s="270"/>
      <c r="BG459" s="270"/>
      <c r="BH459" s="270"/>
      <c r="BI459" s="270"/>
      <c r="BJ459" s="270"/>
      <c r="BK459" s="270"/>
      <c r="BL459" s="270"/>
      <c r="BM459" s="270"/>
      <c r="BN459" s="270"/>
      <c r="BO459" s="270"/>
      <c r="BP459" s="270"/>
      <c r="BQ459" s="270"/>
      <c r="BR459" s="270"/>
      <c r="BS459" s="270"/>
      <c r="BT459" s="270"/>
      <c r="BU459" s="270"/>
      <c r="BV459" s="270"/>
      <c r="BW459" s="270"/>
      <c r="BX459" s="270"/>
      <c r="BY459" s="270"/>
      <c r="BZ459" s="270"/>
      <c r="CA459" s="270"/>
      <c r="CB459" s="270"/>
      <c r="CC459" s="270"/>
      <c r="CD459" s="270"/>
      <c r="CE459" s="1395"/>
      <c r="CF459" s="1450"/>
      <c r="CG459" s="1450"/>
      <c r="CH459" s="270"/>
      <c r="CI459" s="270"/>
      <c r="CJ459" s="270"/>
      <c r="CK459" s="270"/>
      <c r="CL459" s="270"/>
      <c r="CM459" s="270"/>
    </row>
    <row r="460" spans="1:91" ht="13.5" hidden="1" outlineLevel="3" thickBot="1" x14ac:dyDescent="0.25">
      <c r="A460" s="270"/>
      <c r="B460" s="271"/>
      <c r="C460" s="12"/>
      <c r="D460" s="1071"/>
      <c r="E460" s="1071"/>
      <c r="F460" s="1071"/>
      <c r="G460" s="1172"/>
      <c r="H460" s="271"/>
      <c r="I460" s="270"/>
      <c r="J460" s="270"/>
      <c r="K460" s="270"/>
      <c r="L460" s="270"/>
      <c r="M460" s="270"/>
      <c r="N460" s="270"/>
      <c r="O460" s="270"/>
      <c r="P460" s="1072"/>
      <c r="Q460" s="270"/>
      <c r="R460" s="270"/>
      <c r="S460" s="1072"/>
      <c r="T460" s="270"/>
      <c r="U460" s="1019"/>
      <c r="V460" s="1176"/>
      <c r="W460" s="1177"/>
      <c r="X460" s="1207"/>
      <c r="Y460" s="1208"/>
      <c r="Z460" s="492"/>
      <c r="AA460" s="493" t="s">
        <v>769</v>
      </c>
      <c r="AB460" s="1069"/>
      <c r="AC460" s="1070"/>
      <c r="AD460" s="839"/>
      <c r="AE460" s="270" t="str">
        <f>IF(Z460="","",IF(Z460&gt;AB460,Y460,IF(Z460=AB460,"",AC460)))</f>
        <v/>
      </c>
      <c r="AF460" s="270" t="str">
        <f>IF(Z460="","",IF(Z460=AB460,Y460,""))</f>
        <v/>
      </c>
      <c r="AG460" s="270" t="str">
        <f>IF(Z460="","",IF(Z460=AB460,AC460,""))</f>
        <v/>
      </c>
      <c r="AH460" s="270" t="str">
        <f>IF(Z460="","",IF(Z460&lt;AB460,Y460,IF(Z460=AB460,"",AC460)))</f>
        <v/>
      </c>
      <c r="AI460" s="270" t="str">
        <f>IF(Z460="","",IF(Z460&gt;AB460,Y458,""))</f>
        <v/>
      </c>
      <c r="AJ460" s="270" t="str">
        <f>IF(Z460="","",IF(Z460&lt;AB460,AC458,""))</f>
        <v/>
      </c>
      <c r="AK460" s="270" t="str">
        <f>CONCATENATE(AE460,AH460)</f>
        <v/>
      </c>
      <c r="AL460" s="270"/>
      <c r="AM460" s="270"/>
      <c r="AN460" s="270"/>
      <c r="AO460" s="271"/>
      <c r="AP460" s="270"/>
      <c r="AQ460" s="270"/>
      <c r="AR460" s="270"/>
      <c r="AS460" s="270"/>
      <c r="AT460" s="270"/>
      <c r="AU460" s="270"/>
      <c r="AV460" s="270"/>
      <c r="AW460" s="270"/>
      <c r="AX460" s="270"/>
      <c r="AY460" s="1072"/>
      <c r="AZ460" s="270"/>
      <c r="BA460" s="270"/>
      <c r="BB460" s="1072"/>
      <c r="BC460" s="270"/>
      <c r="BD460" s="270"/>
      <c r="BE460" s="270"/>
      <c r="BF460" s="270"/>
      <c r="BG460" s="270"/>
      <c r="BH460" s="270"/>
      <c r="BI460" s="270"/>
      <c r="BJ460" s="270"/>
      <c r="BK460" s="270"/>
      <c r="BL460" s="270"/>
      <c r="BM460" s="270"/>
      <c r="BN460" s="270"/>
      <c r="BO460" s="270"/>
      <c r="BP460" s="270"/>
      <c r="BQ460" s="270"/>
      <c r="BR460" s="270"/>
      <c r="BS460" s="270"/>
      <c r="BT460" s="270"/>
      <c r="BU460" s="270"/>
      <c r="BV460" s="270"/>
      <c r="BW460" s="270"/>
      <c r="BX460" s="270"/>
      <c r="BY460" s="270"/>
      <c r="BZ460" s="270"/>
      <c r="CA460" s="270"/>
      <c r="CB460" s="270"/>
      <c r="CC460" s="270"/>
      <c r="CD460" s="270"/>
      <c r="CE460" s="1395"/>
      <c r="CF460" s="1450"/>
      <c r="CG460" s="1450"/>
      <c r="CH460" s="270"/>
      <c r="CI460" s="270"/>
      <c r="CJ460" s="270"/>
      <c r="CK460" s="270"/>
      <c r="CL460" s="270"/>
      <c r="CM460" s="270"/>
    </row>
    <row r="461" spans="1:91" ht="13.5" hidden="1" outlineLevel="3" thickBot="1" x14ac:dyDescent="0.25">
      <c r="A461" s="270"/>
      <c r="B461" s="271"/>
      <c r="C461" s="12"/>
      <c r="D461" s="1071"/>
      <c r="E461" s="1071"/>
      <c r="F461" s="1071"/>
      <c r="G461" s="1172"/>
      <c r="H461" s="271"/>
      <c r="I461" s="270"/>
      <c r="J461" s="270"/>
      <c r="K461" s="270"/>
      <c r="L461" s="270"/>
      <c r="M461" s="270"/>
      <c r="N461" s="270"/>
      <c r="O461" s="270"/>
      <c r="P461" s="1072"/>
      <c r="Q461" s="270"/>
      <c r="R461" s="270"/>
      <c r="S461" s="1072"/>
      <c r="T461" s="270"/>
      <c r="U461" s="1019"/>
      <c r="V461" s="1176"/>
      <c r="W461" s="1177"/>
      <c r="X461" s="1207"/>
      <c r="Y461" s="1208"/>
      <c r="Z461" s="492"/>
      <c r="AA461" s="493" t="s">
        <v>769</v>
      </c>
      <c r="AB461" s="1069"/>
      <c r="AC461" s="1070"/>
      <c r="AD461" s="839"/>
      <c r="AE461" s="270" t="str">
        <f>IF(Z461="","",IF(Z461&gt;AB461,Y461,IF(Z461=AB461,"",AC461)))</f>
        <v/>
      </c>
      <c r="AF461" s="270" t="str">
        <f>IF(Z461="","",IF(Z461=AB461,Y461,""))</f>
        <v/>
      </c>
      <c r="AG461" s="270" t="str">
        <f>IF(Z461="","",IF(Z461=AB461,AC461,""))</f>
        <v/>
      </c>
      <c r="AH461" s="270" t="str">
        <f>IF(Z461="","",IF(Z461&lt;AB461,Y461,IF(Z461=AB461,"",AC461)))</f>
        <v/>
      </c>
      <c r="AI461" s="270" t="str">
        <f>IF(Z461="","",IF(Z461&gt;AB461,Y458,""))</f>
        <v/>
      </c>
      <c r="AJ461" s="270" t="str">
        <f>IF(Z461="","",IF(Z461&lt;AB461,AC458,""))</f>
        <v/>
      </c>
      <c r="AK461" s="270" t="str">
        <f>CONCATENATE(AE461,AH461)</f>
        <v/>
      </c>
      <c r="AL461" s="270"/>
      <c r="AM461" s="270"/>
      <c r="AN461" s="270"/>
      <c r="AO461" s="271"/>
      <c r="AP461" s="270"/>
      <c r="AQ461" s="270"/>
      <c r="AR461" s="270"/>
      <c r="AS461" s="270"/>
      <c r="AT461" s="270"/>
      <c r="AU461" s="270"/>
      <c r="AV461" s="270"/>
      <c r="AW461" s="270"/>
      <c r="AX461" s="270"/>
      <c r="AY461" s="1072"/>
      <c r="AZ461" s="270"/>
      <c r="BA461" s="270"/>
      <c r="BB461" s="1072"/>
      <c r="BC461" s="270"/>
      <c r="BD461" s="270"/>
      <c r="BE461" s="270"/>
      <c r="BF461" s="270"/>
      <c r="BG461" s="270"/>
      <c r="BH461" s="270"/>
      <c r="BI461" s="270"/>
      <c r="BJ461" s="270"/>
      <c r="BK461" s="270"/>
      <c r="BL461" s="270"/>
      <c r="BM461" s="270"/>
      <c r="BN461" s="270"/>
      <c r="BO461" s="270"/>
      <c r="BP461" s="270"/>
      <c r="BQ461" s="270"/>
      <c r="BR461" s="270"/>
      <c r="BS461" s="270"/>
      <c r="BT461" s="270"/>
      <c r="BU461" s="270"/>
      <c r="BV461" s="270"/>
      <c r="BW461" s="270"/>
      <c r="BX461" s="270"/>
      <c r="BY461" s="270"/>
      <c r="BZ461" s="270"/>
      <c r="CA461" s="270"/>
      <c r="CB461" s="270"/>
      <c r="CC461" s="270"/>
      <c r="CD461" s="270"/>
      <c r="CE461" s="1395"/>
      <c r="CF461" s="1450"/>
      <c r="CG461" s="1450"/>
      <c r="CH461" s="270"/>
      <c r="CI461" s="270"/>
      <c r="CJ461" s="270"/>
      <c r="CK461" s="270"/>
      <c r="CL461" s="270"/>
      <c r="CM461" s="270"/>
    </row>
    <row r="462" spans="1:91" ht="13.5" hidden="1" outlineLevel="3" thickBot="1" x14ac:dyDescent="0.25">
      <c r="A462" s="270"/>
      <c r="B462" s="271"/>
      <c r="C462" s="12"/>
      <c r="D462" s="1071"/>
      <c r="E462" s="1071"/>
      <c r="F462" s="1071"/>
      <c r="G462" s="1172"/>
      <c r="H462" s="271"/>
      <c r="I462" s="270"/>
      <c r="J462" s="270"/>
      <c r="K462" s="270"/>
      <c r="L462" s="270"/>
      <c r="M462" s="270"/>
      <c r="N462" s="270"/>
      <c r="O462" s="270"/>
      <c r="P462" s="1072"/>
      <c r="Q462" s="270"/>
      <c r="R462" s="270"/>
      <c r="S462" s="1072"/>
      <c r="T462" s="270"/>
      <c r="U462" s="1019"/>
      <c r="V462" s="1176"/>
      <c r="W462" s="1177"/>
      <c r="X462" s="1207"/>
      <c r="Y462" s="1208"/>
      <c r="Z462" s="492"/>
      <c r="AA462" s="493" t="s">
        <v>769</v>
      </c>
      <c r="AB462" s="1069"/>
      <c r="AC462" s="1070"/>
      <c r="AD462" s="839"/>
      <c r="AE462" s="270" t="str">
        <f>IF(Z462="","",IF(Z462&gt;AB462,Y462,IF(Z462=AB462,"",AC462)))</f>
        <v/>
      </c>
      <c r="AF462" s="270" t="str">
        <f>IF(Z462="","",IF(Z462=AB462,Y462,""))</f>
        <v/>
      </c>
      <c r="AG462" s="270" t="str">
        <f>IF(Z462="","",IF(Z462=AB462,AC462,""))</f>
        <v/>
      </c>
      <c r="AH462" s="270" t="str">
        <f>IF(Z462="","",IF(Z462&lt;AB462,Y462,IF(Z462=AB462,"",AC462)))</f>
        <v/>
      </c>
      <c r="AI462" s="270" t="str">
        <f>IF(Z462="","",IF(Z462&gt;AB462,Y458,""))</f>
        <v/>
      </c>
      <c r="AJ462" s="270" t="str">
        <f>IF(Z462="","",IF(Z462&lt;AB462,AC458,""))</f>
        <v/>
      </c>
      <c r="AK462" s="270" t="str">
        <f>CONCATENATE(AE462,AH462)</f>
        <v/>
      </c>
      <c r="AL462" s="270"/>
      <c r="AM462" s="270"/>
      <c r="AN462" s="270"/>
      <c r="AO462" s="271"/>
      <c r="AP462" s="270"/>
      <c r="AQ462" s="270"/>
      <c r="AR462" s="270"/>
      <c r="AS462" s="270"/>
      <c r="AT462" s="270"/>
      <c r="AU462" s="270"/>
      <c r="AV462" s="270"/>
      <c r="AW462" s="270"/>
      <c r="AX462" s="270"/>
      <c r="AY462" s="1072"/>
      <c r="AZ462" s="270"/>
      <c r="BA462" s="270"/>
      <c r="BB462" s="1072"/>
      <c r="BC462" s="270"/>
      <c r="BD462" s="270"/>
      <c r="BE462" s="270"/>
      <c r="BF462" s="270"/>
      <c r="BG462" s="270"/>
      <c r="BH462" s="270"/>
      <c r="BI462" s="270"/>
      <c r="BJ462" s="270"/>
      <c r="BK462" s="270"/>
      <c r="BL462" s="270"/>
      <c r="BM462" s="270"/>
      <c r="BN462" s="270"/>
      <c r="BO462" s="270"/>
      <c r="BP462" s="270"/>
      <c r="BQ462" s="270"/>
      <c r="BR462" s="270"/>
      <c r="BS462" s="270"/>
      <c r="BT462" s="270"/>
      <c r="BU462" s="270"/>
      <c r="BV462" s="270"/>
      <c r="BW462" s="270"/>
      <c r="BX462" s="270"/>
      <c r="BY462" s="270"/>
      <c r="BZ462" s="270"/>
      <c r="CA462" s="270"/>
      <c r="CB462" s="270"/>
      <c r="CC462" s="270"/>
      <c r="CD462" s="270"/>
      <c r="CE462" s="1395"/>
      <c r="CF462" s="1450"/>
      <c r="CG462" s="1450"/>
      <c r="CH462" s="270"/>
      <c r="CI462" s="270"/>
      <c r="CJ462" s="270"/>
      <c r="CK462" s="270"/>
      <c r="CL462" s="270"/>
      <c r="CM462" s="270"/>
    </row>
    <row r="463" spans="1:91" ht="13.5" hidden="1" outlineLevel="3" thickBot="1" x14ac:dyDescent="0.25">
      <c r="A463" s="270"/>
      <c r="B463" s="271"/>
      <c r="C463" s="12"/>
      <c r="D463" s="1071"/>
      <c r="E463" s="1071"/>
      <c r="F463" s="1071"/>
      <c r="G463" s="626"/>
      <c r="H463" s="271"/>
      <c r="I463" s="270"/>
      <c r="J463" s="270"/>
      <c r="K463" s="270"/>
      <c r="L463" s="270"/>
      <c r="M463" s="270"/>
      <c r="N463" s="270"/>
      <c r="O463" s="270"/>
      <c r="P463" s="1072"/>
      <c r="Q463" s="270"/>
      <c r="R463" s="270"/>
      <c r="S463" s="1072"/>
      <c r="T463" s="270"/>
      <c r="U463" s="1019"/>
      <c r="V463" s="1073"/>
      <c r="W463" s="1074"/>
      <c r="X463" s="1075" t="str">
        <f>N_Substitute</f>
        <v>Remplaçant</v>
      </c>
      <c r="Y463" s="1208"/>
      <c r="Z463" s="492"/>
      <c r="AA463" s="1076"/>
      <c r="AB463" s="1069"/>
      <c r="AC463" s="1070"/>
      <c r="AD463" s="839"/>
      <c r="AE463" s="270"/>
      <c r="AF463" s="270"/>
      <c r="AG463" s="270"/>
      <c r="AH463" s="270"/>
      <c r="AI463" s="270"/>
      <c r="AJ463" s="270"/>
      <c r="AK463" s="270"/>
      <c r="AL463" s="270"/>
      <c r="AM463" s="270"/>
      <c r="AN463" s="270"/>
      <c r="AO463" s="271"/>
      <c r="AP463" s="270"/>
      <c r="AQ463" s="270"/>
      <c r="AR463" s="270"/>
      <c r="AS463" s="270"/>
      <c r="AT463" s="270"/>
      <c r="AU463" s="270"/>
      <c r="AV463" s="270"/>
      <c r="AW463" s="270"/>
      <c r="AX463" s="270"/>
      <c r="AY463" s="1072"/>
      <c r="AZ463" s="270"/>
      <c r="BA463" s="270"/>
      <c r="BB463" s="1072"/>
      <c r="BC463" s="270"/>
      <c r="BD463" s="270"/>
      <c r="BE463" s="270"/>
      <c r="BF463" s="270"/>
      <c r="BG463" s="270"/>
      <c r="BH463" s="270"/>
      <c r="BI463" s="270"/>
      <c r="BJ463" s="270"/>
      <c r="BK463" s="270"/>
      <c r="BL463" s="270"/>
      <c r="BM463" s="270"/>
      <c r="BN463" s="270"/>
      <c r="BO463" s="270"/>
      <c r="BP463" s="270"/>
      <c r="BQ463" s="270"/>
      <c r="BR463" s="270"/>
      <c r="BS463" s="270"/>
      <c r="BT463" s="270"/>
      <c r="BU463" s="270"/>
      <c r="BV463" s="270"/>
      <c r="BW463" s="270"/>
      <c r="BX463" s="270"/>
      <c r="BY463" s="270"/>
      <c r="BZ463" s="270"/>
      <c r="CA463" s="270"/>
      <c r="CB463" s="270"/>
      <c r="CC463" s="270"/>
      <c r="CD463" s="270"/>
      <c r="CE463" s="1395"/>
      <c r="CF463" s="1450"/>
      <c r="CG463" s="1450"/>
      <c r="CH463" s="270"/>
      <c r="CI463" s="270"/>
      <c r="CJ463" s="270"/>
      <c r="CK463" s="270"/>
      <c r="CL463" s="270"/>
      <c r="CM463" s="270"/>
    </row>
    <row r="464" spans="1:91" ht="13.5" hidden="1" outlineLevel="3" thickBot="1" x14ac:dyDescent="0.25">
      <c r="A464" s="270"/>
      <c r="B464" s="271"/>
      <c r="C464" s="12"/>
      <c r="D464" s="1071"/>
      <c r="E464" s="1071"/>
      <c r="F464" s="1071"/>
      <c r="G464" s="626"/>
      <c r="H464" s="271"/>
      <c r="I464" s="270"/>
      <c r="J464" s="270"/>
      <c r="K464" s="270"/>
      <c r="L464" s="270"/>
      <c r="M464" s="270"/>
      <c r="N464" s="270"/>
      <c r="O464" s="270"/>
      <c r="P464" s="1072"/>
      <c r="Q464" s="270"/>
      <c r="R464" s="270"/>
      <c r="S464" s="1072"/>
      <c r="T464" s="270"/>
      <c r="U464" s="1019"/>
      <c r="V464" s="1119"/>
      <c r="W464" s="1120"/>
      <c r="X464" s="1075" t="str">
        <f>N_Substitute</f>
        <v>Remplaçant</v>
      </c>
      <c r="Y464" s="1208"/>
      <c r="Z464" s="492"/>
      <c r="AA464" s="1121"/>
      <c r="AB464" s="1069"/>
      <c r="AC464" s="1070"/>
      <c r="AD464" s="839"/>
      <c r="AE464" s="270"/>
      <c r="AF464" s="270"/>
      <c r="AG464" s="270"/>
      <c r="AH464" s="270"/>
      <c r="AI464" s="270"/>
      <c r="AJ464" s="270"/>
      <c r="AK464" s="270"/>
      <c r="AL464" s="270"/>
      <c r="AM464" s="270"/>
      <c r="AN464" s="270"/>
      <c r="AO464" s="271"/>
      <c r="AP464" s="270"/>
      <c r="AQ464" s="270"/>
      <c r="AR464" s="270"/>
      <c r="AS464" s="270"/>
      <c r="AT464" s="270"/>
      <c r="AU464" s="270"/>
      <c r="AV464" s="270"/>
      <c r="AW464" s="270"/>
      <c r="AX464" s="270"/>
      <c r="AY464" s="1072"/>
      <c r="AZ464" s="270"/>
      <c r="BA464" s="270"/>
      <c r="BB464" s="1072"/>
      <c r="BC464" s="270"/>
      <c r="BD464" s="270"/>
      <c r="BE464" s="270"/>
      <c r="BF464" s="270"/>
      <c r="BG464" s="270"/>
      <c r="BH464" s="270"/>
      <c r="BI464" s="270"/>
      <c r="BJ464" s="270"/>
      <c r="BK464" s="270"/>
      <c r="BL464" s="270"/>
      <c r="BM464" s="270"/>
      <c r="BN464" s="270"/>
      <c r="BO464" s="270"/>
      <c r="BP464" s="270"/>
      <c r="BQ464" s="270"/>
      <c r="BR464" s="270"/>
      <c r="BS464" s="270"/>
      <c r="BT464" s="270"/>
      <c r="BU464" s="270"/>
      <c r="BV464" s="270"/>
      <c r="BW464" s="270"/>
      <c r="BX464" s="270"/>
      <c r="BY464" s="270"/>
      <c r="BZ464" s="270"/>
      <c r="CA464" s="270"/>
      <c r="CB464" s="270"/>
      <c r="CC464" s="270"/>
      <c r="CD464" s="270"/>
      <c r="CE464" s="1395"/>
      <c r="CF464" s="1450"/>
      <c r="CG464" s="1450"/>
      <c r="CH464" s="270"/>
      <c r="CI464" s="270"/>
      <c r="CJ464" s="270"/>
      <c r="CK464" s="270"/>
      <c r="CL464" s="270"/>
      <c r="CM464" s="270"/>
    </row>
    <row r="465" spans="1:91" ht="13.5" hidden="1" outlineLevel="2" collapsed="1" thickBot="1" x14ac:dyDescent="0.25">
      <c r="A465" s="270"/>
      <c r="B465" s="271"/>
      <c r="C465" s="270"/>
      <c r="D465" s="270"/>
      <c r="E465" s="270"/>
      <c r="F465" s="270"/>
      <c r="G465" s="271"/>
      <c r="H465" s="270"/>
      <c r="I465" s="270"/>
      <c r="J465" s="270"/>
      <c r="K465" s="270"/>
      <c r="L465" s="270"/>
      <c r="M465" s="270"/>
      <c r="N465" s="270"/>
      <c r="O465" s="270"/>
      <c r="P465" s="270"/>
      <c r="Q465" s="270"/>
      <c r="R465" s="270"/>
      <c r="S465" s="270"/>
      <c r="T465" s="270"/>
      <c r="U465" s="1019" t="s">
        <v>1731</v>
      </c>
      <c r="V465" s="1187"/>
      <c r="W465" s="1195"/>
      <c r="X465" s="1534"/>
      <c r="Y465" s="1210" t="str">
        <f>G343</f>
        <v>Eq6</v>
      </c>
      <c r="Z465" s="1103" t="str">
        <f>IF(OR(ISNUMBER(Z466),ISNUMBER(Z467),ISNUMBER(Z468),ISNUMBER(Z469)),4-COUNTBLANK(AI466:AI469),"")</f>
        <v/>
      </c>
      <c r="AA465" s="1104" t="s">
        <v>769</v>
      </c>
      <c r="AB465" s="1103" t="str">
        <f>IF(OR(ISNUMBER(Z466),ISNUMBER(Z467),ISNUMBER(Z468),ISNUMBER(Z469)),4-COUNTBLANK(AJ466:AJ469),"")</f>
        <v/>
      </c>
      <c r="AC465" s="1181" t="str">
        <f>G338</f>
        <v>Eq1</v>
      </c>
      <c r="AD465" s="839"/>
      <c r="AE465" s="270" t="str">
        <f>IF(Z465="","",IF(Z465&gt;AB465,Y465,IF(Z465=AB465,IF(NoDrawWithWithdraw,IF(AL465=Y465,AC465,IF(AL465=AC465,Y465,"")),""),AC465)))</f>
        <v/>
      </c>
      <c r="AF465" s="270" t="str">
        <f>IF(Z465="","",IF(Z465=AB465,IF(NoDrawWithWithdraw,IF(AL465=Y465,"",IF(AL465=AC465,"",Y465)),Y465),""))</f>
        <v/>
      </c>
      <c r="AG465" s="270" t="str">
        <f>IF(Z465="","",IF(Z465=AB465,IF(NoDrawWithWithdraw,IF(AL465=Y465,"",IF(AL465=AC465,"",AC465)),AC465),""))</f>
        <v/>
      </c>
      <c r="AH465" s="270" t="str">
        <f>IF(Z465="","",IF(Z465&lt;AB465,Y465,IF(Z465=AB465,IF(NoDrawWithWithdraw,IF(AL465=Y465,Y465,IF(AL465=AC465,AC465,"")),""),AC465)))</f>
        <v/>
      </c>
      <c r="AI465" s="270" t="str">
        <f>IF(Z465="","",SUM(Z466:Z469))</f>
        <v/>
      </c>
      <c r="AJ465" s="270" t="str">
        <f>IF(Z465="","",SUM(AB466:AB469))</f>
        <v/>
      </c>
      <c r="AK465" s="270" t="str">
        <f>CONCATENATE(AE465,AH465)</f>
        <v/>
      </c>
      <c r="AL465" s="270" t="str">
        <f>IF(COUNTIF(Y466:Y469,WithdrawLabel)&gt;COUNTIF(AC466:AC469,WithdrawLabel),Y465,IF(COUNTIF(AC466:AC469,WithdrawLabel)&gt;COUNTIF(Y466:Y469,WithdrawLabel),AC465,""))</f>
        <v/>
      </c>
      <c r="AM465" s="270"/>
      <c r="AN465" s="270"/>
      <c r="AO465" s="575"/>
      <c r="AP465" s="270"/>
      <c r="AQ465" s="270"/>
      <c r="AR465" s="270"/>
      <c r="AS465" s="270"/>
      <c r="AT465" s="270"/>
      <c r="AU465" s="270"/>
      <c r="AV465" s="270"/>
      <c r="AW465" s="270"/>
      <c r="AX465" s="270"/>
      <c r="AY465" s="270"/>
      <c r="AZ465" s="270"/>
      <c r="BA465" s="270"/>
      <c r="BB465" s="270"/>
      <c r="BC465" s="270"/>
      <c r="BD465" s="270"/>
      <c r="BE465" s="270"/>
      <c r="BF465" s="270"/>
      <c r="BG465" s="270"/>
      <c r="BH465" s="270"/>
      <c r="BI465" s="270"/>
      <c r="BJ465" s="270"/>
      <c r="BK465" s="270"/>
      <c r="BL465" s="270"/>
      <c r="BM465" s="270"/>
      <c r="BN465" s="270"/>
      <c r="BO465" s="270"/>
      <c r="BP465" s="270"/>
      <c r="BQ465" s="270"/>
      <c r="BR465" s="270"/>
      <c r="BS465" s="270"/>
      <c r="BT465" s="270"/>
      <c r="BU465" s="270"/>
      <c r="BV465" s="270"/>
      <c r="BW465" s="270"/>
      <c r="BX465" s="270"/>
      <c r="BY465" s="270"/>
      <c r="BZ465" s="270"/>
      <c r="CA465" s="270"/>
      <c r="CB465" s="270"/>
      <c r="CC465" s="270"/>
      <c r="CD465" s="270"/>
      <c r="CE465" s="1395"/>
      <c r="CF465" s="1450"/>
      <c r="CG465" s="1450"/>
      <c r="CH465" s="270"/>
      <c r="CI465" s="270"/>
      <c r="CJ465" s="270"/>
      <c r="CK465" s="270"/>
      <c r="CL465" s="270"/>
      <c r="CM465" s="270"/>
    </row>
    <row r="466" spans="1:91" ht="13.5" hidden="1" outlineLevel="3" thickBot="1" x14ac:dyDescent="0.25">
      <c r="A466" s="270"/>
      <c r="B466" s="271"/>
      <c r="C466" s="12"/>
      <c r="D466" s="1071"/>
      <c r="E466" s="1071"/>
      <c r="F466" s="1071"/>
      <c r="G466" s="1172"/>
      <c r="H466" s="271"/>
      <c r="I466" s="270"/>
      <c r="J466" s="270"/>
      <c r="K466" s="270"/>
      <c r="L466" s="270"/>
      <c r="M466" s="270"/>
      <c r="N466" s="270"/>
      <c r="O466" s="270"/>
      <c r="P466" s="1072"/>
      <c r="Q466" s="270"/>
      <c r="R466" s="270"/>
      <c r="S466" s="1072"/>
      <c r="T466" s="270"/>
      <c r="U466" s="1019"/>
      <c r="V466" s="1118"/>
      <c r="W466" s="1177"/>
      <c r="X466" s="1212"/>
      <c r="Y466" s="1208"/>
      <c r="Z466" s="492"/>
      <c r="AA466" s="493" t="s">
        <v>769</v>
      </c>
      <c r="AB466" s="1069"/>
      <c r="AC466" s="1070"/>
      <c r="AD466" s="839"/>
      <c r="AE466" s="270" t="str">
        <f>IF(Z466="","",IF(Z466&gt;AB466,Y466,IF(Z466=AB466,"",AC466)))</f>
        <v/>
      </c>
      <c r="AF466" s="270" t="str">
        <f>IF(Z466="","",IF(Z466=AB466,Y466,""))</f>
        <v/>
      </c>
      <c r="AG466" s="270" t="str">
        <f>IF(Z466="","",IF(Z466=AB466,AC466,""))</f>
        <v/>
      </c>
      <c r="AH466" s="270" t="str">
        <f>IF(Z466="","",IF(Z466&lt;AB466,Y466,IF(Z466=AB466,"",AC466)))</f>
        <v/>
      </c>
      <c r="AI466" s="270" t="str">
        <f>IF(Z466="","",IF(Z466&gt;AB466,Y465,""))</f>
        <v/>
      </c>
      <c r="AJ466" s="270" t="str">
        <f>IF(Z466="","",IF(Z466&lt;AB466,AC465,""))</f>
        <v/>
      </c>
      <c r="AK466" s="270" t="str">
        <f>CONCATENATE(AE466,AH466)</f>
        <v/>
      </c>
      <c r="AL466" s="270"/>
      <c r="AM466" s="270"/>
      <c r="AN466" s="270"/>
      <c r="AO466" s="271"/>
      <c r="AP466" s="270"/>
      <c r="AQ466" s="270"/>
      <c r="AR466" s="270"/>
      <c r="AS466" s="270"/>
      <c r="AT466" s="270"/>
      <c r="AU466" s="270"/>
      <c r="AV466" s="270"/>
      <c r="AW466" s="270"/>
      <c r="AX466" s="270"/>
      <c r="AY466" s="1072"/>
      <c r="AZ466" s="270"/>
      <c r="BA466" s="270"/>
      <c r="BB466" s="1072"/>
      <c r="BC466" s="270"/>
      <c r="BD466" s="270"/>
      <c r="BE466" s="270"/>
      <c r="BF466" s="270"/>
      <c r="BG466" s="270"/>
      <c r="BH466" s="270"/>
      <c r="BI466" s="270"/>
      <c r="BJ466" s="270"/>
      <c r="BK466" s="270"/>
      <c r="BL466" s="270"/>
      <c r="BM466" s="270"/>
      <c r="BN466" s="270"/>
      <c r="BO466" s="270"/>
      <c r="BP466" s="270"/>
      <c r="BQ466" s="270"/>
      <c r="BR466" s="270"/>
      <c r="BS466" s="270"/>
      <c r="BT466" s="270"/>
      <c r="BU466" s="270"/>
      <c r="BV466" s="270"/>
      <c r="BW466" s="270"/>
      <c r="BX466" s="270"/>
      <c r="BY466" s="270"/>
      <c r="BZ466" s="270"/>
      <c r="CA466" s="270"/>
      <c r="CB466" s="270"/>
      <c r="CC466" s="270"/>
      <c r="CD466" s="270"/>
      <c r="CE466" s="1395"/>
      <c r="CF466" s="1450"/>
      <c r="CG466" s="1450"/>
      <c r="CH466" s="270"/>
      <c r="CI466" s="270"/>
      <c r="CJ466" s="270"/>
      <c r="CK466" s="270"/>
      <c r="CL466" s="270"/>
      <c r="CM466" s="270"/>
    </row>
    <row r="467" spans="1:91" ht="13.5" hidden="1" outlineLevel="3" thickBot="1" x14ac:dyDescent="0.25">
      <c r="A467" s="270"/>
      <c r="B467" s="271"/>
      <c r="C467" s="12"/>
      <c r="D467" s="1071"/>
      <c r="E467" s="1071"/>
      <c r="F467" s="1071"/>
      <c r="G467" s="1172"/>
      <c r="H467" s="271"/>
      <c r="I467" s="270"/>
      <c r="J467" s="270"/>
      <c r="K467" s="270"/>
      <c r="L467" s="270"/>
      <c r="M467" s="270"/>
      <c r="N467" s="270"/>
      <c r="O467" s="270"/>
      <c r="P467" s="1072"/>
      <c r="Q467" s="270"/>
      <c r="R467" s="270"/>
      <c r="S467" s="1072"/>
      <c r="T467" s="270"/>
      <c r="U467" s="1019"/>
      <c r="V467" s="1118"/>
      <c r="W467" s="1177"/>
      <c r="X467" s="1212"/>
      <c r="Y467" s="1208"/>
      <c r="Z467" s="492"/>
      <c r="AA467" s="493" t="s">
        <v>769</v>
      </c>
      <c r="AB467" s="1069"/>
      <c r="AC467" s="1070"/>
      <c r="AD467" s="839"/>
      <c r="AE467" s="270" t="str">
        <f>IF(Z467="","",IF(Z467&gt;AB467,Y467,IF(Z467=AB467,"",AC467)))</f>
        <v/>
      </c>
      <c r="AF467" s="270" t="str">
        <f>IF(Z467="","",IF(Z467=AB467,Y467,""))</f>
        <v/>
      </c>
      <c r="AG467" s="270" t="str">
        <f>IF(Z467="","",IF(Z467=AB467,AC467,""))</f>
        <v/>
      </c>
      <c r="AH467" s="270" t="str">
        <f>IF(Z467="","",IF(Z467&lt;AB467,Y467,IF(Z467=AB467,"",AC467)))</f>
        <v/>
      </c>
      <c r="AI467" s="270" t="str">
        <f>IF(Z467="","",IF(Z467&gt;AB467,Y465,""))</f>
        <v/>
      </c>
      <c r="AJ467" s="270" t="str">
        <f>IF(Z467="","",IF(Z467&lt;AB467,AC465,""))</f>
        <v/>
      </c>
      <c r="AK467" s="270" t="str">
        <f>CONCATENATE(AE467,AH467)</f>
        <v/>
      </c>
      <c r="AL467" s="270"/>
      <c r="AM467" s="270"/>
      <c r="AN467" s="270"/>
      <c r="AO467" s="271"/>
      <c r="AP467" s="270"/>
      <c r="AQ467" s="270"/>
      <c r="AR467" s="270"/>
      <c r="AS467" s="270"/>
      <c r="AT467" s="270"/>
      <c r="AU467" s="270"/>
      <c r="AV467" s="270"/>
      <c r="AW467" s="270"/>
      <c r="AX467" s="270"/>
      <c r="AY467" s="1072"/>
      <c r="AZ467" s="270"/>
      <c r="BA467" s="270"/>
      <c r="BB467" s="1072"/>
      <c r="BC467" s="270"/>
      <c r="BD467" s="270"/>
      <c r="BE467" s="270"/>
      <c r="BF467" s="270"/>
      <c r="BG467" s="270"/>
      <c r="BH467" s="270"/>
      <c r="BI467" s="270"/>
      <c r="BJ467" s="270"/>
      <c r="BK467" s="270"/>
      <c r="BL467" s="270"/>
      <c r="BM467" s="270"/>
      <c r="BN467" s="270"/>
      <c r="BO467" s="270"/>
      <c r="BP467" s="270"/>
      <c r="BQ467" s="270"/>
      <c r="BR467" s="270"/>
      <c r="BS467" s="270"/>
      <c r="BT467" s="270"/>
      <c r="BU467" s="270"/>
      <c r="BV467" s="270"/>
      <c r="BW467" s="270"/>
      <c r="BX467" s="270"/>
      <c r="BY467" s="270"/>
      <c r="BZ467" s="270"/>
      <c r="CA467" s="270"/>
      <c r="CB467" s="270"/>
      <c r="CC467" s="270"/>
      <c r="CD467" s="270"/>
      <c r="CE467" s="1395"/>
      <c r="CF467" s="1450"/>
      <c r="CG467" s="1450"/>
      <c r="CH467" s="270"/>
      <c r="CI467" s="270"/>
      <c r="CJ467" s="270"/>
      <c r="CK467" s="270"/>
      <c r="CL467" s="270"/>
      <c r="CM467" s="270"/>
    </row>
    <row r="468" spans="1:91" ht="13.5" hidden="1" outlineLevel="3" thickBot="1" x14ac:dyDescent="0.25">
      <c r="A468" s="270"/>
      <c r="B468" s="271"/>
      <c r="C468" s="12"/>
      <c r="D468" s="1071"/>
      <c r="E468" s="1071"/>
      <c r="F468" s="1071"/>
      <c r="G468" s="1172"/>
      <c r="H468" s="271"/>
      <c r="I468" s="270"/>
      <c r="J468" s="270"/>
      <c r="K468" s="270"/>
      <c r="L468" s="270"/>
      <c r="M468" s="270"/>
      <c r="N468" s="270"/>
      <c r="O468" s="270"/>
      <c r="P468" s="1072"/>
      <c r="Q468" s="270"/>
      <c r="R468" s="270"/>
      <c r="S468" s="1072"/>
      <c r="T468" s="270"/>
      <c r="U468" s="1019"/>
      <c r="V468" s="1176"/>
      <c r="W468" s="1177"/>
      <c r="X468" s="1207"/>
      <c r="Y468" s="1208"/>
      <c r="Z468" s="492"/>
      <c r="AA468" s="493" t="s">
        <v>769</v>
      </c>
      <c r="AB468" s="1069"/>
      <c r="AC468" s="1070"/>
      <c r="AD468" s="839"/>
      <c r="AE468" s="270" t="str">
        <f>IF(Z468="","",IF(Z468&gt;AB468,Y468,IF(Z468=AB468,"",AC468)))</f>
        <v/>
      </c>
      <c r="AF468" s="270" t="str">
        <f>IF(Z468="","",IF(Z468=AB468,Y468,""))</f>
        <v/>
      </c>
      <c r="AG468" s="270" t="str">
        <f>IF(Z468="","",IF(Z468=AB468,AC468,""))</f>
        <v/>
      </c>
      <c r="AH468" s="270" t="str">
        <f>IF(Z468="","",IF(Z468&lt;AB468,Y468,IF(Z468=AB468,"",AC468)))</f>
        <v/>
      </c>
      <c r="AI468" s="270" t="str">
        <f>IF(Z468="","",IF(Z468&gt;AB468,Y465,""))</f>
        <v/>
      </c>
      <c r="AJ468" s="270" t="str">
        <f>IF(Z468="","",IF(Z468&lt;AB468,AC465,""))</f>
        <v/>
      </c>
      <c r="AK468" s="270" t="str">
        <f>CONCATENATE(AE468,AH468)</f>
        <v/>
      </c>
      <c r="AL468" s="270"/>
      <c r="AM468" s="270"/>
      <c r="AN468" s="270"/>
      <c r="AO468" s="271"/>
      <c r="AP468" s="270"/>
      <c r="AQ468" s="270"/>
      <c r="AR468" s="270"/>
      <c r="AS468" s="270"/>
      <c r="AT468" s="270"/>
      <c r="AU468" s="270"/>
      <c r="AV468" s="270"/>
      <c r="AW468" s="270"/>
      <c r="AX468" s="270"/>
      <c r="AY468" s="1072"/>
      <c r="AZ468" s="270"/>
      <c r="BA468" s="270"/>
      <c r="BB468" s="1072"/>
      <c r="BC468" s="270"/>
      <c r="BD468" s="270"/>
      <c r="BE468" s="270"/>
      <c r="BF468" s="270"/>
      <c r="BG468" s="270"/>
      <c r="BH468" s="270"/>
      <c r="BI468" s="270"/>
      <c r="BJ468" s="270"/>
      <c r="BK468" s="270"/>
      <c r="BL468" s="270"/>
      <c r="BM468" s="270"/>
      <c r="BN468" s="270"/>
      <c r="BO468" s="270"/>
      <c r="BP468" s="270"/>
      <c r="BQ468" s="270"/>
      <c r="BR468" s="270"/>
      <c r="BS468" s="270"/>
      <c r="BT468" s="270"/>
      <c r="BU468" s="270"/>
      <c r="BV468" s="270"/>
      <c r="BW468" s="270"/>
      <c r="BX468" s="270"/>
      <c r="BY468" s="270"/>
      <c r="BZ468" s="270"/>
      <c r="CA468" s="270"/>
      <c r="CB468" s="270"/>
      <c r="CC468" s="270"/>
      <c r="CD468" s="270"/>
      <c r="CE468" s="1395"/>
      <c r="CF468" s="1450"/>
      <c r="CG468" s="1450"/>
      <c r="CH468" s="270"/>
      <c r="CI468" s="270"/>
      <c r="CJ468" s="270"/>
      <c r="CK468" s="270"/>
      <c r="CL468" s="270"/>
      <c r="CM468" s="270"/>
    </row>
    <row r="469" spans="1:91" ht="13.5" hidden="1" outlineLevel="3" thickBot="1" x14ac:dyDescent="0.25">
      <c r="A469" s="270"/>
      <c r="B469" s="271"/>
      <c r="C469" s="12"/>
      <c r="D469" s="1071"/>
      <c r="E469" s="1071"/>
      <c r="F469" s="1071"/>
      <c r="G469" s="1172"/>
      <c r="H469" s="271"/>
      <c r="I469" s="270"/>
      <c r="J469" s="270"/>
      <c r="K469" s="270"/>
      <c r="L469" s="270"/>
      <c r="M469" s="270"/>
      <c r="N469" s="270"/>
      <c r="O469" s="270"/>
      <c r="P469" s="1072"/>
      <c r="Q469" s="270"/>
      <c r="R469" s="270"/>
      <c r="S469" s="1072"/>
      <c r="T469" s="270"/>
      <c r="U469" s="1019"/>
      <c r="V469" s="1176"/>
      <c r="W469" s="1177"/>
      <c r="X469" s="1207"/>
      <c r="Y469" s="1208"/>
      <c r="Z469" s="492"/>
      <c r="AA469" s="493" t="s">
        <v>769</v>
      </c>
      <c r="AB469" s="1069"/>
      <c r="AC469" s="1070"/>
      <c r="AD469" s="839"/>
      <c r="AE469" s="270" t="str">
        <f>IF(Z469="","",IF(Z469&gt;AB469,Y469,IF(Z469=AB469,"",AC469)))</f>
        <v/>
      </c>
      <c r="AF469" s="270" t="str">
        <f>IF(Z469="","",IF(Z469=AB469,Y469,""))</f>
        <v/>
      </c>
      <c r="AG469" s="270" t="str">
        <f>IF(Z469="","",IF(Z469=AB469,AC469,""))</f>
        <v/>
      </c>
      <c r="AH469" s="270" t="str">
        <f>IF(Z469="","",IF(Z469&lt;AB469,Y469,IF(Z469=AB469,"",AC469)))</f>
        <v/>
      </c>
      <c r="AI469" s="270" t="str">
        <f>IF(Z469="","",IF(Z469&gt;AB469,Y465,""))</f>
        <v/>
      </c>
      <c r="AJ469" s="270" t="str">
        <f>IF(Z469="","",IF(Z469&lt;AB469,AC465,""))</f>
        <v/>
      </c>
      <c r="AK469" s="270" t="str">
        <f>CONCATENATE(AE469,AH469)</f>
        <v/>
      </c>
      <c r="AL469" s="270"/>
      <c r="AM469" s="270"/>
      <c r="AN469" s="270"/>
      <c r="AO469" s="271"/>
      <c r="AP469" s="270"/>
      <c r="AQ469" s="270"/>
      <c r="AR469" s="270"/>
      <c r="AS469" s="270"/>
      <c r="AT469" s="270"/>
      <c r="AU469" s="270"/>
      <c r="AV469" s="270"/>
      <c r="AW469" s="270"/>
      <c r="AX469" s="270"/>
      <c r="AY469" s="1072"/>
      <c r="AZ469" s="270"/>
      <c r="BA469" s="270"/>
      <c r="BB469" s="1072"/>
      <c r="BC469" s="270"/>
      <c r="BD469" s="270"/>
      <c r="BE469" s="270"/>
      <c r="BF469" s="270"/>
      <c r="BG469" s="270"/>
      <c r="BH469" s="270"/>
      <c r="BI469" s="270"/>
      <c r="BJ469" s="270"/>
      <c r="BK469" s="270"/>
      <c r="BL469" s="270"/>
      <c r="BM469" s="270"/>
      <c r="BN469" s="270"/>
      <c r="BO469" s="270"/>
      <c r="BP469" s="270"/>
      <c r="BQ469" s="270"/>
      <c r="BR469" s="270"/>
      <c r="BS469" s="270"/>
      <c r="BT469" s="270"/>
      <c r="BU469" s="270"/>
      <c r="BV469" s="270"/>
      <c r="BW469" s="270"/>
      <c r="BX469" s="270"/>
      <c r="BY469" s="270"/>
      <c r="BZ469" s="270"/>
      <c r="CA469" s="270"/>
      <c r="CB469" s="270"/>
      <c r="CC469" s="270"/>
      <c r="CD469" s="270"/>
      <c r="CE469" s="1395"/>
      <c r="CF469" s="1450"/>
      <c r="CG469" s="1450"/>
      <c r="CH469" s="270"/>
      <c r="CI469" s="270"/>
      <c r="CJ469" s="270"/>
      <c r="CK469" s="270"/>
      <c r="CL469" s="270"/>
      <c r="CM469" s="270"/>
    </row>
    <row r="470" spans="1:91" ht="13.5" hidden="1" outlineLevel="3" thickBot="1" x14ac:dyDescent="0.25">
      <c r="A470" s="270"/>
      <c r="B470" s="271"/>
      <c r="C470" s="12"/>
      <c r="D470" s="1071"/>
      <c r="E470" s="1071"/>
      <c r="F470" s="1071"/>
      <c r="G470" s="626"/>
      <c r="H470" s="271"/>
      <c r="I470" s="270"/>
      <c r="J470" s="270"/>
      <c r="K470" s="270"/>
      <c r="L470" s="270"/>
      <c r="M470" s="270"/>
      <c r="N470" s="270"/>
      <c r="O470" s="270"/>
      <c r="P470" s="1072"/>
      <c r="Q470" s="270"/>
      <c r="R470" s="270"/>
      <c r="S470" s="1072"/>
      <c r="T470" s="270"/>
      <c r="U470" s="1019"/>
      <c r="V470" s="1077"/>
      <c r="W470" s="1078"/>
      <c r="X470" s="1075" t="str">
        <f>N_Substitute</f>
        <v>Remplaçant</v>
      </c>
      <c r="Y470" s="1208"/>
      <c r="Z470" s="492"/>
      <c r="AA470" s="1076"/>
      <c r="AB470" s="1069"/>
      <c r="AC470" s="1070"/>
      <c r="AD470" s="839"/>
      <c r="AE470" s="270"/>
      <c r="AF470" s="270"/>
      <c r="AG470" s="270"/>
      <c r="AH470" s="270"/>
      <c r="AI470" s="270"/>
      <c r="AJ470" s="270"/>
      <c r="AK470" s="270"/>
      <c r="AL470" s="270"/>
      <c r="AM470" s="270"/>
      <c r="AN470" s="270"/>
      <c r="AO470" s="271"/>
      <c r="AP470" s="270"/>
      <c r="AQ470" s="270"/>
      <c r="AR470" s="270"/>
      <c r="AS470" s="270"/>
      <c r="AT470" s="270"/>
      <c r="AU470" s="270"/>
      <c r="AV470" s="270"/>
      <c r="AW470" s="270"/>
      <c r="AX470" s="270"/>
      <c r="AY470" s="1072"/>
      <c r="AZ470" s="270"/>
      <c r="BA470" s="270"/>
      <c r="BB470" s="1072"/>
      <c r="BC470" s="270"/>
      <c r="BD470" s="270"/>
      <c r="BE470" s="270"/>
      <c r="BF470" s="270"/>
      <c r="BG470" s="270"/>
      <c r="BH470" s="270"/>
      <c r="BI470" s="270"/>
      <c r="BJ470" s="270"/>
      <c r="BK470" s="270"/>
      <c r="BL470" s="270"/>
      <c r="BM470" s="270"/>
      <c r="BN470" s="270"/>
      <c r="BO470" s="270"/>
      <c r="BP470" s="270"/>
      <c r="BQ470" s="270"/>
      <c r="BR470" s="270"/>
      <c r="BS470" s="270"/>
      <c r="BT470" s="270"/>
      <c r="BU470" s="270"/>
      <c r="BV470" s="270"/>
      <c r="BW470" s="270"/>
      <c r="BX470" s="270"/>
      <c r="BY470" s="270"/>
      <c r="BZ470" s="270"/>
      <c r="CA470" s="270"/>
      <c r="CB470" s="270"/>
      <c r="CC470" s="270"/>
      <c r="CD470" s="270"/>
      <c r="CE470" s="1395"/>
      <c r="CF470" s="1450"/>
      <c r="CG470" s="1450"/>
      <c r="CH470" s="270"/>
      <c r="CI470" s="270"/>
      <c r="CJ470" s="270"/>
      <c r="CK470" s="270"/>
      <c r="CL470" s="270"/>
      <c r="CM470" s="270"/>
    </row>
    <row r="471" spans="1:91" ht="13.5" hidden="1" outlineLevel="3" thickBot="1" x14ac:dyDescent="0.25">
      <c r="A471" s="270"/>
      <c r="B471" s="271"/>
      <c r="C471" s="12"/>
      <c r="D471" s="1071"/>
      <c r="E471" s="1071"/>
      <c r="F471" s="1071"/>
      <c r="G471" s="626"/>
      <c r="H471" s="271"/>
      <c r="I471" s="270"/>
      <c r="J471" s="270"/>
      <c r="K471" s="270"/>
      <c r="L471" s="270"/>
      <c r="M471" s="270"/>
      <c r="N471" s="270"/>
      <c r="O471" s="270"/>
      <c r="P471" s="1072"/>
      <c r="Q471" s="270"/>
      <c r="R471" s="270"/>
      <c r="S471" s="1072"/>
      <c r="T471" s="270"/>
      <c r="U471" s="1019"/>
      <c r="V471" s="1077"/>
      <c r="W471" s="1078"/>
      <c r="X471" s="1079" t="str">
        <f>N_Substitute</f>
        <v>Remplaçant</v>
      </c>
      <c r="Y471" s="1216"/>
      <c r="Z471" s="1081"/>
      <c r="AA471" s="1082"/>
      <c r="AB471" s="1081"/>
      <c r="AC471" s="1084"/>
      <c r="AD471" s="839"/>
      <c r="AE471" s="270"/>
      <c r="AF471" s="270"/>
      <c r="AG471" s="270"/>
      <c r="AH471" s="270"/>
      <c r="AI471" s="270"/>
      <c r="AJ471" s="270"/>
      <c r="AK471" s="270"/>
      <c r="AL471" s="270"/>
      <c r="AM471" s="270"/>
      <c r="AN471" s="270"/>
      <c r="AO471" s="271"/>
      <c r="AP471" s="270"/>
      <c r="AQ471" s="270"/>
      <c r="AR471" s="270"/>
      <c r="AS471" s="270"/>
      <c r="AT471" s="270"/>
      <c r="AU471" s="270"/>
      <c r="AV471" s="270"/>
      <c r="AW471" s="270"/>
      <c r="AX471" s="270"/>
      <c r="AY471" s="1072"/>
      <c r="AZ471" s="270"/>
      <c r="BA471" s="270"/>
      <c r="BB471" s="1072"/>
      <c r="BC471" s="270"/>
      <c r="BD471" s="270"/>
      <c r="BE471" s="270"/>
      <c r="BF471" s="270"/>
      <c r="BG471" s="270"/>
      <c r="BH471" s="270"/>
      <c r="BI471" s="270"/>
      <c r="BJ471" s="270"/>
      <c r="BK471" s="270"/>
      <c r="BL471" s="270"/>
      <c r="BM471" s="270"/>
      <c r="BN471" s="270"/>
      <c r="BO471" s="270"/>
      <c r="BP471" s="270"/>
      <c r="BQ471" s="270"/>
      <c r="BR471" s="270"/>
      <c r="BS471" s="270"/>
      <c r="BT471" s="270"/>
      <c r="BU471" s="270"/>
      <c r="BV471" s="270"/>
      <c r="BW471" s="270"/>
      <c r="BX471" s="270"/>
      <c r="BY471" s="270"/>
      <c r="BZ471" s="270"/>
      <c r="CA471" s="270"/>
      <c r="CB471" s="270"/>
      <c r="CC471" s="270"/>
      <c r="CD471" s="270"/>
      <c r="CE471"/>
      <c r="CF471" s="1396"/>
      <c r="CG471" s="1396"/>
      <c r="CH471" s="270"/>
      <c r="CI471" s="270"/>
      <c r="CJ471" s="270"/>
      <c r="CK471" s="270"/>
      <c r="CL471" s="270"/>
      <c r="CM471" s="270"/>
    </row>
    <row r="472" spans="1:91" hidden="1" outlineLevel="2" collapsed="1" x14ac:dyDescent="0.2">
      <c r="A472" s="270"/>
      <c r="B472" s="271"/>
      <c r="C472" s="12"/>
      <c r="D472" s="1071"/>
      <c r="E472" s="1071"/>
      <c r="F472" s="1071"/>
      <c r="G472" s="1172"/>
      <c r="H472" s="271"/>
      <c r="I472" s="270"/>
      <c r="J472" s="270"/>
      <c r="K472" s="270"/>
      <c r="L472" s="270"/>
      <c r="M472" s="270"/>
      <c r="N472" s="270"/>
      <c r="O472" s="270"/>
      <c r="P472" s="1072"/>
      <c r="Q472" s="270"/>
      <c r="R472" s="270"/>
      <c r="S472" s="1072"/>
      <c r="T472" s="270"/>
      <c r="U472" s="1019" t="s">
        <v>1740</v>
      </c>
      <c r="V472" s="1173"/>
      <c r="W472" s="1525"/>
      <c r="X472" s="1535"/>
      <c r="Y472" s="1214" t="str">
        <f>G342</f>
        <v>Eq5</v>
      </c>
      <c r="Z472" s="1063" t="str">
        <f>IF(OR(ISNUMBER(Z473),ISNUMBER(Z474),ISNUMBER(Z475),ISNUMBER(Z476)),4-COUNTBLANK(AI473:AI476),"")</f>
        <v/>
      </c>
      <c r="AA472" s="1064" t="s">
        <v>769</v>
      </c>
      <c r="AB472" s="1063" t="str">
        <f>IF(OR(ISNUMBER(Z473),ISNUMBER(Z474),ISNUMBER(Z475),ISNUMBER(Z476)),4-COUNTBLANK(AJ473:AJ476),"")</f>
        <v/>
      </c>
      <c r="AC472" s="1175" t="str">
        <f>G341</f>
        <v>Eq4</v>
      </c>
      <c r="AD472" s="839"/>
      <c r="AE472" s="270" t="str">
        <f>IF(Z472="","",IF(Z472&gt;AB472,Y472,IF(Z472=AB472,IF(NoDrawWithWithdraw,IF(AL472=Y472,AC472,IF(AL472=AC472,Y472,"")),""),AC472)))</f>
        <v/>
      </c>
      <c r="AF472" s="270" t="str">
        <f>IF(Z472="","",IF(Z472=AB472,IF(NoDrawWithWithdraw,IF(AL472=Y472,"",IF(AL472=AC472,"",Y472)),Y472),""))</f>
        <v/>
      </c>
      <c r="AG472" s="270" t="str">
        <f>IF(Z472="","",IF(Z472=AB472,IF(NoDrawWithWithdraw,IF(AL472=Y472,"",IF(AL472=AC472,"",AC472)),AC472),""))</f>
        <v/>
      </c>
      <c r="AH472" s="270" t="str">
        <f>IF(Z472="","",IF(Z472&lt;AB472,Y472,IF(Z472=AB472,IF(NoDrawWithWithdraw,IF(AL472=Y472,Y472,IF(AL472=AC472,AC472,"")),""),AC472)))</f>
        <v/>
      </c>
      <c r="AI472" s="270" t="str">
        <f>IF(Z472="","",SUM(Z473:Z476))</f>
        <v/>
      </c>
      <c r="AJ472" s="270" t="str">
        <f>IF(Z472="","",SUM(AB473:AB476))</f>
        <v/>
      </c>
      <c r="AK472" s="270" t="str">
        <f>CONCATENATE(AE472,AH472)</f>
        <v/>
      </c>
      <c r="AL472" s="270" t="str">
        <f>IF(COUNTIF(Y473:Y476,WithdrawLabel)&gt;COUNTIF(AC473:AC476,WithdrawLabel),Y472,IF(COUNTIF(AC473:AC476,WithdrawLabel)&gt;COUNTIF(Y473:Y476,WithdrawLabel),AC472,""))</f>
        <v/>
      </c>
      <c r="AM472" s="270"/>
      <c r="AN472" s="270"/>
      <c r="AO472" s="271"/>
      <c r="AP472" s="270"/>
      <c r="AQ472" s="270"/>
      <c r="AR472" s="270"/>
      <c r="AS472" s="270"/>
      <c r="AT472" s="270"/>
      <c r="AU472" s="270"/>
      <c r="AV472" s="270"/>
      <c r="AW472" s="270"/>
      <c r="AX472" s="270"/>
      <c r="AY472" s="1072"/>
      <c r="AZ472" s="270"/>
      <c r="BA472" s="270"/>
      <c r="BB472" s="1072"/>
      <c r="BC472" s="270"/>
      <c r="BD472" s="270"/>
      <c r="BE472" s="270"/>
      <c r="BF472" s="270"/>
      <c r="BG472" s="270"/>
      <c r="BH472" s="270"/>
      <c r="BI472" s="270"/>
      <c r="BJ472" s="270"/>
      <c r="BK472" s="270"/>
      <c r="BL472" s="270"/>
      <c r="BM472" s="270"/>
      <c r="BN472" s="270"/>
      <c r="BO472" s="270"/>
      <c r="BP472" s="270"/>
      <c r="BQ472" s="270"/>
      <c r="BR472" s="270"/>
      <c r="BS472" s="270"/>
      <c r="BT472" s="270"/>
      <c r="BU472" s="270"/>
      <c r="BV472" s="270"/>
      <c r="BW472" s="270"/>
      <c r="BX472" s="270"/>
      <c r="BY472" s="270"/>
      <c r="BZ472" s="270"/>
      <c r="CA472" s="270"/>
      <c r="CB472" s="270"/>
      <c r="CC472" s="270"/>
      <c r="CD472" s="270"/>
      <c r="CE472"/>
      <c r="CF472" s="1396"/>
      <c r="CG472" s="1396"/>
      <c r="CH472" s="270"/>
      <c r="CI472" s="270"/>
      <c r="CJ472" s="270"/>
      <c r="CK472" s="270"/>
      <c r="CL472" s="270"/>
      <c r="CM472" s="270"/>
    </row>
    <row r="473" spans="1:91" ht="13.5" hidden="1" outlineLevel="3" thickBot="1" x14ac:dyDescent="0.25">
      <c r="A473" s="270"/>
      <c r="B473" s="271"/>
      <c r="C473" s="12"/>
      <c r="D473" s="1071"/>
      <c r="E473" s="1071"/>
      <c r="F473" s="1071"/>
      <c r="G473" s="1172"/>
      <c r="H473" s="271"/>
      <c r="I473" s="270"/>
      <c r="J473" s="270"/>
      <c r="K473" s="270"/>
      <c r="L473" s="270"/>
      <c r="M473" s="270"/>
      <c r="N473" s="270"/>
      <c r="O473" s="270"/>
      <c r="P473" s="1072"/>
      <c r="Q473" s="270"/>
      <c r="R473" s="270"/>
      <c r="S473" s="1072"/>
      <c r="T473" s="270"/>
      <c r="U473" s="1019"/>
      <c r="V473" s="1176"/>
      <c r="W473" s="1177"/>
      <c r="X473" s="1207"/>
      <c r="Y473" s="1208"/>
      <c r="Z473" s="492"/>
      <c r="AA473" s="493" t="s">
        <v>769</v>
      </c>
      <c r="AB473" s="1069"/>
      <c r="AC473" s="1070"/>
      <c r="AD473" s="839"/>
      <c r="AE473" s="270" t="str">
        <f>IF(Z473="","",IF(Z473&gt;AB473,Y473,IF(Z473=AB473,"",AC473)))</f>
        <v/>
      </c>
      <c r="AF473" s="270" t="str">
        <f>IF(Z473="","",IF(Z473=AB473,Y473,""))</f>
        <v/>
      </c>
      <c r="AG473" s="270" t="str">
        <f>IF(Z473="","",IF(Z473=AB473,AC473,""))</f>
        <v/>
      </c>
      <c r="AH473" s="270" t="str">
        <f>IF(Z473="","",IF(Z473&lt;AB473,Y473,IF(Z473=AB473,"",AC473)))</f>
        <v/>
      </c>
      <c r="AI473" s="270" t="str">
        <f>IF(Z473="","",IF(Z473&gt;AB473,Y472,""))</f>
        <v/>
      </c>
      <c r="AJ473" s="270" t="str">
        <f>IF(Z473="","",IF(Z473&lt;AB473,AC472,""))</f>
        <v/>
      </c>
      <c r="AK473" s="270" t="str">
        <f>CONCATENATE(AE473,AH473)</f>
        <v/>
      </c>
      <c r="AL473" s="270"/>
      <c r="AM473" s="270"/>
      <c r="AN473" s="270"/>
      <c r="AO473" s="271"/>
      <c r="AP473" s="270"/>
      <c r="AQ473" s="270"/>
      <c r="AR473" s="270"/>
      <c r="AS473" s="270"/>
      <c r="AT473" s="270"/>
      <c r="AU473" s="270"/>
      <c r="AV473" s="270"/>
      <c r="AW473" s="270"/>
      <c r="AX473" s="270"/>
      <c r="AY473" s="1072"/>
      <c r="AZ473" s="270"/>
      <c r="BA473" s="270"/>
      <c r="BB473" s="1072"/>
      <c r="BC473" s="270"/>
      <c r="BD473" s="270"/>
      <c r="BE473" s="270"/>
      <c r="BF473" s="270"/>
      <c r="BG473" s="270"/>
      <c r="BH473" s="270"/>
      <c r="BI473" s="270"/>
      <c r="BJ473" s="270"/>
      <c r="BK473" s="270"/>
      <c r="BL473" s="270"/>
      <c r="BM473" s="270"/>
      <c r="BN473" s="270"/>
      <c r="BO473" s="270"/>
      <c r="BP473" s="270"/>
      <c r="BQ473" s="270"/>
      <c r="BR473" s="270"/>
      <c r="BS473" s="270"/>
      <c r="BT473" s="270"/>
      <c r="BU473" s="270"/>
      <c r="BV473" s="270"/>
      <c r="BW473" s="270"/>
      <c r="BX473" s="270"/>
      <c r="BY473" s="270"/>
      <c r="BZ473" s="270"/>
      <c r="CA473" s="270"/>
      <c r="CB473" s="270"/>
      <c r="CC473" s="270"/>
      <c r="CD473" s="270"/>
      <c r="CE473"/>
      <c r="CF473" s="1396"/>
      <c r="CG473" s="1396"/>
      <c r="CH473" s="270"/>
      <c r="CI473" s="270"/>
      <c r="CJ473" s="270"/>
      <c r="CK473" s="270"/>
      <c r="CL473" s="270"/>
      <c r="CM473" s="270"/>
    </row>
    <row r="474" spans="1:91" ht="13.5" hidden="1" outlineLevel="3" thickBot="1" x14ac:dyDescent="0.25">
      <c r="A474" s="270"/>
      <c r="B474" s="271"/>
      <c r="C474" s="12"/>
      <c r="D474" s="1071"/>
      <c r="E474" s="1071"/>
      <c r="F474" s="1071"/>
      <c r="G474" s="1172"/>
      <c r="H474" s="271"/>
      <c r="I474" s="270"/>
      <c r="J474" s="270"/>
      <c r="K474" s="270"/>
      <c r="L474" s="270"/>
      <c r="M474" s="270"/>
      <c r="N474" s="270"/>
      <c r="O474" s="270"/>
      <c r="P474" s="1072"/>
      <c r="Q474" s="270"/>
      <c r="R474" s="270"/>
      <c r="S474" s="1072"/>
      <c r="T474" s="270"/>
      <c r="U474" s="1019"/>
      <c r="V474" s="1176"/>
      <c r="W474" s="1177"/>
      <c r="X474" s="1207"/>
      <c r="Y474" s="1208"/>
      <c r="Z474" s="492"/>
      <c r="AA474" s="493" t="s">
        <v>769</v>
      </c>
      <c r="AB474" s="1069"/>
      <c r="AC474" s="1070"/>
      <c r="AD474" s="839"/>
      <c r="AE474" s="270" t="str">
        <f>IF(Z474="","",IF(Z474&gt;AB474,Y474,IF(Z474=AB474,"",AC474)))</f>
        <v/>
      </c>
      <c r="AF474" s="270" t="str">
        <f>IF(Z474="","",IF(Z474=AB474,Y474,""))</f>
        <v/>
      </c>
      <c r="AG474" s="270" t="str">
        <f>IF(Z474="","",IF(Z474=AB474,AC474,""))</f>
        <v/>
      </c>
      <c r="AH474" s="270" t="str">
        <f>IF(Z474="","",IF(Z474&lt;AB474,Y474,IF(Z474=AB474,"",AC474)))</f>
        <v/>
      </c>
      <c r="AI474" s="270" t="str">
        <f>IF(Z474="","",IF(Z474&gt;AB474,Y472,""))</f>
        <v/>
      </c>
      <c r="AJ474" s="270" t="str">
        <f>IF(Z474="","",IF(Z474&lt;AB474,AC472,""))</f>
        <v/>
      </c>
      <c r="AK474" s="270" t="str">
        <f>CONCATENATE(AE474,AH474)</f>
        <v/>
      </c>
      <c r="AL474" s="270"/>
      <c r="AM474" s="270"/>
      <c r="AN474" s="270"/>
      <c r="AO474" s="271"/>
      <c r="AP474" s="270"/>
      <c r="AQ474" s="270"/>
      <c r="AR474" s="270"/>
      <c r="AS474" s="270"/>
      <c r="AT474" s="270"/>
      <c r="AU474" s="270"/>
      <c r="AV474" s="270"/>
      <c r="AW474" s="270"/>
      <c r="AX474" s="270"/>
      <c r="AY474" s="1072"/>
      <c r="AZ474" s="270"/>
      <c r="BA474" s="270"/>
      <c r="BB474" s="1072"/>
      <c r="BC474" s="270"/>
      <c r="BD474" s="270"/>
      <c r="BE474" s="270"/>
      <c r="BF474" s="270"/>
      <c r="BG474" s="270"/>
      <c r="BH474" s="270"/>
      <c r="BI474" s="270"/>
      <c r="BJ474" s="270"/>
      <c r="BK474" s="270"/>
      <c r="BL474" s="270"/>
      <c r="BM474" s="270"/>
      <c r="BN474" s="270"/>
      <c r="BO474" s="270"/>
      <c r="BP474" s="270"/>
      <c r="BQ474" s="270"/>
      <c r="BR474" s="270"/>
      <c r="BS474" s="270"/>
      <c r="BT474" s="270"/>
      <c r="BU474" s="270"/>
      <c r="BV474" s="270"/>
      <c r="BW474" s="270"/>
      <c r="BX474" s="270"/>
      <c r="BY474" s="270"/>
      <c r="BZ474" s="270"/>
      <c r="CA474" s="270"/>
      <c r="CB474" s="270"/>
      <c r="CC474" s="270"/>
      <c r="CD474" s="270"/>
      <c r="CE474"/>
      <c r="CF474" s="1396"/>
      <c r="CG474" s="1396"/>
      <c r="CH474" s="270"/>
      <c r="CI474" s="270"/>
      <c r="CJ474" s="270"/>
      <c r="CK474" s="270"/>
      <c r="CL474" s="270"/>
      <c r="CM474" s="270"/>
    </row>
    <row r="475" spans="1:91" ht="13.5" hidden="1" outlineLevel="3" thickBot="1" x14ac:dyDescent="0.25">
      <c r="A475" s="270"/>
      <c r="B475" s="271"/>
      <c r="C475" s="12"/>
      <c r="D475" s="1071"/>
      <c r="E475" s="1071"/>
      <c r="F475" s="1071"/>
      <c r="G475" s="1172"/>
      <c r="H475" s="271"/>
      <c r="I475" s="270"/>
      <c r="J475" s="270"/>
      <c r="K475" s="270"/>
      <c r="L475" s="270"/>
      <c r="M475" s="270"/>
      <c r="N475" s="270"/>
      <c r="O475" s="270"/>
      <c r="P475" s="1072"/>
      <c r="Q475" s="270"/>
      <c r="R475" s="270"/>
      <c r="S475" s="1072"/>
      <c r="T475" s="270"/>
      <c r="U475" s="1019"/>
      <c r="V475" s="1176"/>
      <c r="W475" s="1177"/>
      <c r="X475" s="1207"/>
      <c r="Y475" s="1208"/>
      <c r="Z475" s="492"/>
      <c r="AA475" s="493" t="s">
        <v>769</v>
      </c>
      <c r="AB475" s="1069"/>
      <c r="AC475" s="1070"/>
      <c r="AD475" s="839"/>
      <c r="AE475" s="270" t="str">
        <f>IF(Z475="","",IF(Z475&gt;AB475,Y475,IF(Z475=AB475,"",AC475)))</f>
        <v/>
      </c>
      <c r="AF475" s="270" t="str">
        <f>IF(Z475="","",IF(Z475=AB475,Y475,""))</f>
        <v/>
      </c>
      <c r="AG475" s="270" t="str">
        <f>IF(Z475="","",IF(Z475=AB475,AC475,""))</f>
        <v/>
      </c>
      <c r="AH475" s="270" t="str">
        <f>IF(Z475="","",IF(Z475&lt;AB475,Y475,IF(Z475=AB475,"",AC475)))</f>
        <v/>
      </c>
      <c r="AI475" s="270" t="str">
        <f>IF(Z475="","",IF(Z475&gt;AB475,Y472,""))</f>
        <v/>
      </c>
      <c r="AJ475" s="270" t="str">
        <f>IF(Z475="","",IF(Z475&lt;AB475,AC472,""))</f>
        <v/>
      </c>
      <c r="AK475" s="270" t="str">
        <f>CONCATENATE(AE475,AH475)</f>
        <v/>
      </c>
      <c r="AL475" s="270"/>
      <c r="AM475" s="270"/>
      <c r="AN475" s="270"/>
      <c r="AO475" s="271"/>
      <c r="AP475" s="270"/>
      <c r="AQ475" s="270"/>
      <c r="AR475" s="270"/>
      <c r="AS475" s="270"/>
      <c r="AT475" s="270"/>
      <c r="AU475" s="270"/>
      <c r="AV475" s="270"/>
      <c r="AW475" s="270"/>
      <c r="AX475" s="270"/>
      <c r="AY475" s="1072"/>
      <c r="AZ475" s="270"/>
      <c r="BA475" s="270"/>
      <c r="BB475" s="1072"/>
      <c r="BC475" s="270"/>
      <c r="BD475" s="270"/>
      <c r="BE475" s="270"/>
      <c r="BF475" s="270"/>
      <c r="BG475" s="270"/>
      <c r="BH475" s="270"/>
      <c r="BI475" s="270"/>
      <c r="BJ475" s="270"/>
      <c r="BK475" s="270"/>
      <c r="BL475" s="270"/>
      <c r="BM475" s="270"/>
      <c r="BN475" s="270"/>
      <c r="BO475" s="270"/>
      <c r="BP475" s="270"/>
      <c r="BQ475" s="270"/>
      <c r="BR475" s="270"/>
      <c r="BS475" s="270"/>
      <c r="BT475" s="270"/>
      <c r="BU475" s="270"/>
      <c r="BV475" s="270"/>
      <c r="BW475" s="270"/>
      <c r="BX475" s="270"/>
      <c r="BY475" s="270"/>
      <c r="BZ475" s="270"/>
      <c r="CA475" s="270"/>
      <c r="CB475" s="270"/>
      <c r="CC475" s="270"/>
      <c r="CD475" s="270"/>
      <c r="CE475"/>
      <c r="CF475" s="1396"/>
      <c r="CG475" s="1396"/>
      <c r="CH475" s="270"/>
      <c r="CI475" s="270"/>
      <c r="CJ475" s="270"/>
      <c r="CK475" s="270"/>
      <c r="CL475" s="270"/>
      <c r="CM475" s="270"/>
    </row>
    <row r="476" spans="1:91" ht="13.5" hidden="1" outlineLevel="3" thickBot="1" x14ac:dyDescent="0.25">
      <c r="A476" s="270"/>
      <c r="B476" s="271"/>
      <c r="C476" s="12"/>
      <c r="D476" s="1071"/>
      <c r="E476" s="1071"/>
      <c r="F476" s="1071"/>
      <c r="G476" s="1172"/>
      <c r="H476" s="271"/>
      <c r="I476" s="270"/>
      <c r="J476" s="270"/>
      <c r="K476" s="270"/>
      <c r="L476" s="270"/>
      <c r="M476" s="270"/>
      <c r="N476" s="270"/>
      <c r="O476" s="270"/>
      <c r="P476" s="1072"/>
      <c r="Q476" s="270"/>
      <c r="R476" s="270"/>
      <c r="S476" s="1072"/>
      <c r="T476" s="270"/>
      <c r="U476" s="1019"/>
      <c r="V476" s="1176"/>
      <c r="W476" s="1177"/>
      <c r="X476" s="1207"/>
      <c r="Y476" s="1208"/>
      <c r="Z476" s="492"/>
      <c r="AA476" s="493" t="s">
        <v>769</v>
      </c>
      <c r="AB476" s="1069"/>
      <c r="AC476" s="1070"/>
      <c r="AD476" s="839"/>
      <c r="AE476" s="270" t="str">
        <f>IF(Z476="","",IF(Z476&gt;AB476,Y476,IF(Z476=AB476,"",AC476)))</f>
        <v/>
      </c>
      <c r="AF476" s="270" t="str">
        <f>IF(Z476="","",IF(Z476=AB476,Y476,""))</f>
        <v/>
      </c>
      <c r="AG476" s="270" t="str">
        <f>IF(Z476="","",IF(Z476=AB476,AC476,""))</f>
        <v/>
      </c>
      <c r="AH476" s="270" t="str">
        <f>IF(Z476="","",IF(Z476&lt;AB476,Y476,IF(Z476=AB476,"",AC476)))</f>
        <v/>
      </c>
      <c r="AI476" s="270" t="str">
        <f>IF(Z476="","",IF(Z476&gt;AB476,Y472,""))</f>
        <v/>
      </c>
      <c r="AJ476" s="270" t="str">
        <f>IF(Z476="","",IF(Z476&lt;AB476,AC472,""))</f>
        <v/>
      </c>
      <c r="AK476" s="270" t="str">
        <f>CONCATENATE(AE476,AH476)</f>
        <v/>
      </c>
      <c r="AL476" s="270"/>
      <c r="AM476" s="270"/>
      <c r="AN476" s="270"/>
      <c r="AO476" s="271"/>
      <c r="AP476" s="270"/>
      <c r="AQ476" s="270"/>
      <c r="AR476" s="270"/>
      <c r="AS476" s="270"/>
      <c r="AT476" s="270"/>
      <c r="AU476" s="270"/>
      <c r="AV476" s="270"/>
      <c r="AW476" s="270"/>
      <c r="AX476" s="270"/>
      <c r="AY476" s="1072"/>
      <c r="AZ476" s="270"/>
      <c r="BA476" s="270"/>
      <c r="BB476" s="1072"/>
      <c r="BC476" s="270"/>
      <c r="BD476" s="270"/>
      <c r="BE476" s="270"/>
      <c r="BF476" s="270"/>
      <c r="BG476" s="270"/>
      <c r="BH476" s="270"/>
      <c r="BI476" s="270"/>
      <c r="BJ476" s="270"/>
      <c r="BK476" s="270"/>
      <c r="BL476" s="270"/>
      <c r="BM476" s="270"/>
      <c r="BN476" s="270"/>
      <c r="BO476" s="270"/>
      <c r="BP476" s="270"/>
      <c r="BQ476" s="270"/>
      <c r="BR476" s="270"/>
      <c r="BS476" s="270"/>
      <c r="BT476" s="270"/>
      <c r="BU476" s="270"/>
      <c r="BV476" s="270"/>
      <c r="BW476" s="270"/>
      <c r="BX476" s="270"/>
      <c r="BY476" s="270"/>
      <c r="BZ476" s="270"/>
      <c r="CA476" s="270"/>
      <c r="CB476" s="270"/>
      <c r="CC476" s="270"/>
      <c r="CD476" s="270"/>
      <c r="CE476"/>
      <c r="CF476" s="1396"/>
      <c r="CG476" s="1396"/>
      <c r="CH476" s="270"/>
      <c r="CI476" s="270"/>
      <c r="CJ476" s="270"/>
      <c r="CK476" s="270"/>
      <c r="CL476" s="270"/>
      <c r="CM476" s="270"/>
    </row>
    <row r="477" spans="1:91" ht="13.5" hidden="1" outlineLevel="3" thickBot="1" x14ac:dyDescent="0.25">
      <c r="A477" s="270"/>
      <c r="B477" s="271"/>
      <c r="C477" s="12"/>
      <c r="D477" s="1071"/>
      <c r="E477" s="1071"/>
      <c r="F477" s="1071"/>
      <c r="G477" s="626"/>
      <c r="H477" s="271"/>
      <c r="I477" s="270"/>
      <c r="J477" s="270"/>
      <c r="K477" s="270"/>
      <c r="L477" s="270"/>
      <c r="M477" s="270"/>
      <c r="N477" s="270"/>
      <c r="O477" s="270"/>
      <c r="P477" s="1072"/>
      <c r="Q477" s="270"/>
      <c r="R477" s="270"/>
      <c r="S477" s="1072"/>
      <c r="T477" s="270"/>
      <c r="U477" s="1019"/>
      <c r="V477" s="1073"/>
      <c r="W477" s="1074"/>
      <c r="X477" s="1075" t="str">
        <f>N_Substitute</f>
        <v>Remplaçant</v>
      </c>
      <c r="Y477" s="1208"/>
      <c r="Z477" s="492"/>
      <c r="AA477" s="1076"/>
      <c r="AB477" s="1069"/>
      <c r="AC477" s="1070"/>
      <c r="AD477" s="839"/>
      <c r="AE477" s="270"/>
      <c r="AF477" s="270"/>
      <c r="AG477" s="270"/>
      <c r="AH477" s="270"/>
      <c r="AI477" s="270"/>
      <c r="AJ477" s="270"/>
      <c r="AK477" s="270"/>
      <c r="AL477" s="270"/>
      <c r="AM477" s="270"/>
      <c r="AN477" s="270"/>
      <c r="AO477" s="271"/>
      <c r="AP477" s="270"/>
      <c r="AQ477" s="270"/>
      <c r="AR477" s="270"/>
      <c r="AS477" s="270"/>
      <c r="AT477" s="270"/>
      <c r="AU477" s="270"/>
      <c r="AV477" s="270"/>
      <c r="AW477" s="270"/>
      <c r="AX477" s="270"/>
      <c r="AY477" s="1072"/>
      <c r="AZ477" s="270"/>
      <c r="BA477" s="270"/>
      <c r="BB477" s="1072"/>
      <c r="BC477" s="270"/>
      <c r="BD477" s="270"/>
      <c r="BE477" s="270"/>
      <c r="BF477" s="270"/>
      <c r="BG477" s="270"/>
      <c r="BH477" s="270"/>
      <c r="BI477" s="270"/>
      <c r="BJ477" s="270"/>
      <c r="BK477" s="270"/>
      <c r="BL477" s="270"/>
      <c r="BM477" s="270"/>
      <c r="BN477" s="270"/>
      <c r="BO477" s="270"/>
      <c r="BP477" s="270"/>
      <c r="BQ477" s="270"/>
      <c r="BR477" s="270"/>
      <c r="BS477" s="270"/>
      <c r="BT477" s="270"/>
      <c r="BU477" s="270"/>
      <c r="BV477" s="270"/>
      <c r="BW477" s="270"/>
      <c r="BX477" s="270"/>
      <c r="BY477" s="270"/>
      <c r="BZ477" s="270"/>
      <c r="CA477" s="270"/>
      <c r="CB477" s="270"/>
      <c r="CC477" s="270"/>
      <c r="CD477" s="270"/>
      <c r="CE477"/>
      <c r="CF477" s="1396"/>
      <c r="CG477" s="1396"/>
      <c r="CH477" s="270"/>
      <c r="CI477" s="270"/>
      <c r="CJ477" s="270"/>
      <c r="CK477" s="270"/>
      <c r="CL477" s="270"/>
      <c r="CM477" s="270"/>
    </row>
    <row r="478" spans="1:91" ht="13.5" hidden="1" outlineLevel="3" thickBot="1" x14ac:dyDescent="0.25">
      <c r="A478" s="270"/>
      <c r="B478" s="271"/>
      <c r="C478" s="12"/>
      <c r="D478" s="1071"/>
      <c r="E478" s="1071"/>
      <c r="F478" s="1071"/>
      <c r="G478" s="626"/>
      <c r="H478" s="271"/>
      <c r="I478" s="270"/>
      <c r="J478" s="270"/>
      <c r="K478" s="270"/>
      <c r="L478" s="270"/>
      <c r="M478" s="270"/>
      <c r="N478" s="270"/>
      <c r="O478" s="270"/>
      <c r="P478" s="1072"/>
      <c r="Q478" s="270"/>
      <c r="R478" s="270"/>
      <c r="S478" s="1072"/>
      <c r="T478" s="270"/>
      <c r="U478" s="1019"/>
      <c r="V478" s="1119"/>
      <c r="W478" s="1120"/>
      <c r="X478" s="1075" t="str">
        <f>N_Substitute</f>
        <v>Remplaçant</v>
      </c>
      <c r="Y478" s="1208"/>
      <c r="Z478" s="492"/>
      <c r="AA478" s="1121"/>
      <c r="AB478" s="1069"/>
      <c r="AC478" s="1070"/>
      <c r="AD478" s="839"/>
      <c r="AE478" s="270"/>
      <c r="AF478" s="270"/>
      <c r="AG478" s="270"/>
      <c r="AH478" s="270"/>
      <c r="AI478" s="270"/>
      <c r="AJ478" s="270"/>
      <c r="AK478" s="270"/>
      <c r="AL478" s="270"/>
      <c r="AM478" s="270"/>
      <c r="AN478" s="270"/>
      <c r="AO478" s="271"/>
      <c r="AP478" s="270"/>
      <c r="AQ478" s="270"/>
      <c r="AR478" s="270"/>
      <c r="AS478" s="270"/>
      <c r="AT478" s="270"/>
      <c r="AU478" s="270"/>
      <c r="AV478" s="270"/>
      <c r="AW478" s="270"/>
      <c r="AX478" s="270"/>
      <c r="AY478" s="1072"/>
      <c r="AZ478" s="270"/>
      <c r="BA478" s="270"/>
      <c r="BB478" s="1072"/>
      <c r="BC478" s="270"/>
      <c r="BD478" s="270"/>
      <c r="BE478" s="270"/>
      <c r="BF478" s="270"/>
      <c r="BG478" s="270"/>
      <c r="BH478" s="270"/>
      <c r="BI478" s="270"/>
      <c r="BJ478" s="270"/>
      <c r="BK478" s="270"/>
      <c r="BL478" s="270"/>
      <c r="BM478" s="270"/>
      <c r="BN478" s="270"/>
      <c r="BO478" s="270"/>
      <c r="BP478" s="270"/>
      <c r="BQ478" s="270"/>
      <c r="BR478" s="270"/>
      <c r="BS478" s="270"/>
      <c r="BT478" s="270"/>
      <c r="BU478" s="270"/>
      <c r="BV478" s="270"/>
      <c r="BW478" s="270"/>
      <c r="BX478" s="270"/>
      <c r="BY478" s="270"/>
      <c r="BZ478" s="270"/>
      <c r="CA478" s="270"/>
      <c r="CB478" s="270"/>
      <c r="CC478" s="270"/>
      <c r="CD478" s="270"/>
      <c r="CE478"/>
      <c r="CF478" s="1396"/>
      <c r="CG478" s="1396"/>
      <c r="CH478" s="270"/>
      <c r="CI478" s="270"/>
      <c r="CJ478" s="270"/>
      <c r="CK478" s="270"/>
      <c r="CL478" s="270"/>
      <c r="CM478" s="270"/>
    </row>
    <row r="479" spans="1:91" hidden="1" outlineLevel="2" collapsed="1" x14ac:dyDescent="0.2">
      <c r="A479" s="270"/>
      <c r="B479" s="271"/>
      <c r="C479" s="270"/>
      <c r="D479" s="270"/>
      <c r="E479" s="270"/>
      <c r="F479" s="270"/>
      <c r="G479" s="271"/>
      <c r="H479" s="270"/>
      <c r="I479" s="270"/>
      <c r="J479" s="270"/>
      <c r="K479" s="270"/>
      <c r="L479" s="270"/>
      <c r="M479" s="270"/>
      <c r="N479" s="270"/>
      <c r="O479" s="270"/>
      <c r="P479" s="270"/>
      <c r="Q479" s="270"/>
      <c r="R479" s="270"/>
      <c r="S479" s="270"/>
      <c r="T479" s="270"/>
      <c r="U479" s="1019" t="s">
        <v>1740</v>
      </c>
      <c r="V479" s="1179"/>
      <c r="W479" s="1177"/>
      <c r="X479" s="1207"/>
      <c r="Y479" s="1210" t="str">
        <f>G343</f>
        <v>Eq6</v>
      </c>
      <c r="Z479" s="1125" t="str">
        <f>IF(OR(ISNUMBER(Z480),ISNUMBER(Z481),ISNUMBER(Z482),ISNUMBER(Z483)),4-COUNTBLANK(AI480:AI483),"")</f>
        <v/>
      </c>
      <c r="AA479" s="1124" t="s">
        <v>769</v>
      </c>
      <c r="AB479" s="1125" t="str">
        <f>IF(OR(ISNUMBER(Z480),ISNUMBER(Z481),ISNUMBER(Z482),ISNUMBER(Z483)),4-COUNTBLANK(AJ480:AJ483),"")</f>
        <v/>
      </c>
      <c r="AC479" s="1181" t="str">
        <f>G340</f>
        <v>Eq3</v>
      </c>
      <c r="AD479" s="839"/>
      <c r="AE479" s="270" t="str">
        <f>IF(Z479="","",IF(Z479&gt;AB479,Y479,IF(Z479=AB479,IF(NoDrawWithWithdraw,IF(AL479=Y479,AC479,IF(AL479=AC479,Y479,"")),""),AC479)))</f>
        <v/>
      </c>
      <c r="AF479" s="270" t="str">
        <f>IF(Z479="","",IF(Z479=AB479,IF(NoDrawWithWithdraw,IF(AL479=Y479,"",IF(AL479=AC479,"",Y479)),Y479),""))</f>
        <v/>
      </c>
      <c r="AG479" s="270" t="str">
        <f>IF(Z479="","",IF(Z479=AB479,IF(NoDrawWithWithdraw,IF(AL479=Y479,"",IF(AL479=AC479,"",AC479)),AC479),""))</f>
        <v/>
      </c>
      <c r="AH479" s="270" t="str">
        <f>IF(Z479="","",IF(Z479&lt;AB479,Y479,IF(Z479=AB479,IF(NoDrawWithWithdraw,IF(AL479=Y479,Y479,IF(AL479=AC479,AC479,"")),""),AC479)))</f>
        <v/>
      </c>
      <c r="AI479" s="270" t="str">
        <f>IF(Z479="","",SUM(Z480:Z483))</f>
        <v/>
      </c>
      <c r="AJ479" s="270" t="str">
        <f>IF(Z479="","",SUM(AB480:AB483))</f>
        <v/>
      </c>
      <c r="AK479" s="270" t="str">
        <f>CONCATENATE(AE479,AH479)</f>
        <v/>
      </c>
      <c r="AL479" s="270" t="str">
        <f>IF(COUNTIF(Y480:Y483,WithdrawLabel)&gt;COUNTIF(AC480:AC483,WithdrawLabel),Y479,IF(COUNTIF(AC480:AC483,WithdrawLabel)&gt;COUNTIF(Y480:Y483,WithdrawLabel),AC479,""))</f>
        <v/>
      </c>
      <c r="AM479" s="270"/>
      <c r="AN479" s="270"/>
      <c r="AO479" s="575"/>
      <c r="AP479" s="270"/>
      <c r="AQ479" s="270"/>
      <c r="AR479" s="270"/>
      <c r="AS479" s="270"/>
      <c r="AT479" s="270"/>
      <c r="AU479" s="270"/>
      <c r="AV479" s="270"/>
      <c r="AW479" s="270"/>
      <c r="AX479" s="270"/>
      <c r="AY479" s="270"/>
      <c r="AZ479" s="270"/>
      <c r="BA479" s="270"/>
      <c r="BB479" s="270"/>
      <c r="BC479" s="270"/>
      <c r="BD479" s="270"/>
      <c r="BE479" s="270"/>
      <c r="BF479" s="270"/>
      <c r="BG479" s="270"/>
      <c r="BH479" s="270"/>
      <c r="BI479" s="270"/>
      <c r="BJ479" s="270"/>
      <c r="BK479" s="270"/>
      <c r="BL479" s="270"/>
      <c r="BM479" s="270"/>
      <c r="BN479" s="270"/>
      <c r="BO479" s="270"/>
      <c r="BP479" s="270"/>
      <c r="BQ479" s="270"/>
      <c r="BR479" s="270"/>
      <c r="BS479" s="270"/>
      <c r="BT479" s="270"/>
      <c r="BU479" s="270"/>
      <c r="BV479" s="270"/>
      <c r="BW479" s="270"/>
      <c r="BX479" s="270"/>
      <c r="BY479" s="270"/>
      <c r="BZ479" s="270"/>
      <c r="CA479" s="270"/>
      <c r="CB479" s="270"/>
      <c r="CC479" s="270"/>
      <c r="CD479" s="270"/>
      <c r="CE479"/>
      <c r="CF479" s="1396"/>
      <c r="CG479" s="1396"/>
      <c r="CH479" s="270"/>
      <c r="CI479" s="270"/>
      <c r="CJ479" s="270"/>
      <c r="CK479" s="270"/>
      <c r="CL479" s="270"/>
      <c r="CM479" s="270"/>
    </row>
    <row r="480" spans="1:91" ht="13.5" hidden="1" outlineLevel="3" thickBot="1" x14ac:dyDescent="0.25">
      <c r="A480" s="270"/>
      <c r="B480" s="271"/>
      <c r="C480" s="12"/>
      <c r="D480" s="1071"/>
      <c r="E480" s="1071"/>
      <c r="F480" s="1071"/>
      <c r="G480" s="1172"/>
      <c r="H480" s="271"/>
      <c r="I480" s="270"/>
      <c r="J480" s="270"/>
      <c r="K480" s="270"/>
      <c r="L480" s="270"/>
      <c r="M480" s="270"/>
      <c r="N480" s="270"/>
      <c r="O480" s="270"/>
      <c r="P480" s="1072"/>
      <c r="Q480" s="270"/>
      <c r="R480" s="270"/>
      <c r="S480" s="1072"/>
      <c r="T480" s="270"/>
      <c r="U480" s="1019"/>
      <c r="V480" s="1176"/>
      <c r="W480" s="1177"/>
      <c r="X480" s="1207"/>
      <c r="Y480" s="1208"/>
      <c r="Z480" s="492"/>
      <c r="AA480" s="493" t="s">
        <v>769</v>
      </c>
      <c r="AB480" s="1069"/>
      <c r="AC480" s="1070"/>
      <c r="AD480" s="839"/>
      <c r="AE480" s="270" t="str">
        <f>IF(Z480="","",IF(Z480&gt;AB480,Y480,IF(Z480=AB480,"",AC480)))</f>
        <v/>
      </c>
      <c r="AF480" s="270" t="str">
        <f>IF(Z480="","",IF(Z480=AB480,Y480,""))</f>
        <v/>
      </c>
      <c r="AG480" s="270" t="str">
        <f>IF(Z480="","",IF(Z480=AB480,AC480,""))</f>
        <v/>
      </c>
      <c r="AH480" s="270" t="str">
        <f>IF(Z480="","",IF(Z480&lt;AB480,Y480,IF(Z480=AB480,"",AC480)))</f>
        <v/>
      </c>
      <c r="AI480" s="270" t="str">
        <f>IF(Z480="","",IF(Z480&gt;AB480,Y479,""))</f>
        <v/>
      </c>
      <c r="AJ480" s="270" t="str">
        <f>IF(Z480="","",IF(Z480&lt;AB480,AC479,""))</f>
        <v/>
      </c>
      <c r="AK480" s="270" t="str">
        <f>CONCATENATE(AE480,AH480)</f>
        <v/>
      </c>
      <c r="AL480" s="270"/>
      <c r="AM480" s="270"/>
      <c r="AN480" s="270"/>
      <c r="AO480" s="271"/>
      <c r="AP480" s="270"/>
      <c r="AQ480" s="270"/>
      <c r="AR480" s="270"/>
      <c r="AS480" s="270"/>
      <c r="AT480" s="270"/>
      <c r="AU480" s="270"/>
      <c r="AV480" s="270"/>
      <c r="AW480" s="270"/>
      <c r="AX480" s="270"/>
      <c r="AY480" s="1072"/>
      <c r="AZ480" s="270"/>
      <c r="BA480" s="270"/>
      <c r="BB480" s="1072"/>
      <c r="BC480" s="270"/>
      <c r="BD480" s="270"/>
      <c r="BE480" s="270"/>
      <c r="BF480" s="270"/>
      <c r="BG480" s="270"/>
      <c r="BH480" s="270"/>
      <c r="BI480" s="270"/>
      <c r="BJ480" s="270"/>
      <c r="BK480" s="270"/>
      <c r="BL480" s="270"/>
      <c r="BM480" s="270"/>
      <c r="BN480" s="270"/>
      <c r="BO480" s="270"/>
      <c r="BP480" s="270"/>
      <c r="BQ480" s="270"/>
      <c r="BR480" s="270"/>
      <c r="BS480" s="270"/>
      <c r="BT480" s="270"/>
      <c r="BU480" s="270"/>
      <c r="BV480" s="270"/>
      <c r="BW480" s="270"/>
      <c r="BX480" s="270"/>
      <c r="BY480" s="270"/>
      <c r="BZ480" s="270"/>
      <c r="CA480" s="270"/>
      <c r="CB480" s="270"/>
      <c r="CC480" s="270"/>
      <c r="CD480" s="270"/>
      <c r="CE480"/>
      <c r="CF480" s="1396"/>
      <c r="CG480" s="1396"/>
      <c r="CH480" s="270"/>
      <c r="CI480" s="270"/>
      <c r="CJ480" s="270"/>
      <c r="CK480" s="270"/>
      <c r="CL480" s="270"/>
      <c r="CM480" s="270"/>
    </row>
    <row r="481" spans="1:91" ht="13.5" hidden="1" outlineLevel="3" thickBot="1" x14ac:dyDescent="0.25">
      <c r="A481" s="270"/>
      <c r="B481" s="271"/>
      <c r="C481" s="12"/>
      <c r="D481" s="1071"/>
      <c r="E481" s="1071"/>
      <c r="F481" s="1071"/>
      <c r="G481" s="1172"/>
      <c r="H481" s="271"/>
      <c r="I481" s="270"/>
      <c r="J481" s="270"/>
      <c r="K481" s="270"/>
      <c r="L481" s="270"/>
      <c r="M481" s="270"/>
      <c r="N481" s="270"/>
      <c r="O481" s="270"/>
      <c r="P481" s="1072"/>
      <c r="Q481" s="270"/>
      <c r="R481" s="270"/>
      <c r="S481" s="1072"/>
      <c r="T481" s="270"/>
      <c r="U481" s="1019"/>
      <c r="V481" s="1176"/>
      <c r="W481" s="1177"/>
      <c r="X481" s="1207"/>
      <c r="Y481" s="1208"/>
      <c r="Z481" s="492"/>
      <c r="AA481" s="493" t="s">
        <v>769</v>
      </c>
      <c r="AB481" s="1069"/>
      <c r="AC481" s="1070"/>
      <c r="AD481" s="839"/>
      <c r="AE481" s="270" t="str">
        <f>IF(Z481="","",IF(Z481&gt;AB481,Y481,IF(Z481=AB481,"",AC481)))</f>
        <v/>
      </c>
      <c r="AF481" s="270" t="str">
        <f>IF(Z481="","",IF(Z481=AB481,Y481,""))</f>
        <v/>
      </c>
      <c r="AG481" s="270" t="str">
        <f>IF(Z481="","",IF(Z481=AB481,AC481,""))</f>
        <v/>
      </c>
      <c r="AH481" s="270" t="str">
        <f>IF(Z481="","",IF(Z481&lt;AB481,Y481,IF(Z481=AB481,"",AC481)))</f>
        <v/>
      </c>
      <c r="AI481" s="270" t="str">
        <f>IF(Z481="","",IF(Z481&gt;AB481,Y479,""))</f>
        <v/>
      </c>
      <c r="AJ481" s="270" t="str">
        <f>IF(Z481="","",IF(Z481&lt;AB481,AC479,""))</f>
        <v/>
      </c>
      <c r="AK481" s="270" t="str">
        <f>CONCATENATE(AE481,AH481)</f>
        <v/>
      </c>
      <c r="AL481" s="270"/>
      <c r="AM481" s="270"/>
      <c r="AN481" s="270"/>
      <c r="AO481" s="271"/>
      <c r="AP481" s="270"/>
      <c r="AQ481" s="270"/>
      <c r="AR481" s="270"/>
      <c r="AS481" s="270"/>
      <c r="AT481" s="270"/>
      <c r="AU481" s="270"/>
      <c r="AV481" s="270"/>
      <c r="AW481" s="270"/>
      <c r="AX481" s="270"/>
      <c r="AY481" s="1072"/>
      <c r="AZ481" s="270"/>
      <c r="BA481" s="270"/>
      <c r="BB481" s="1072"/>
      <c r="BC481" s="270"/>
      <c r="BD481" s="270"/>
      <c r="BE481" s="270"/>
      <c r="BF481" s="270"/>
      <c r="BG481" s="270"/>
      <c r="BH481" s="270"/>
      <c r="BI481" s="270"/>
      <c r="BJ481" s="270"/>
      <c r="BK481" s="270"/>
      <c r="BL481" s="270"/>
      <c r="BM481" s="270"/>
      <c r="BN481" s="270"/>
      <c r="BO481" s="270"/>
      <c r="BP481" s="270"/>
      <c r="BQ481" s="270"/>
      <c r="BR481" s="270"/>
      <c r="BS481" s="270"/>
      <c r="BT481" s="270"/>
      <c r="BU481" s="270"/>
      <c r="BV481" s="270"/>
      <c r="BW481" s="270"/>
      <c r="BX481" s="270"/>
      <c r="BY481" s="270"/>
      <c r="BZ481" s="270"/>
      <c r="CA481" s="270"/>
      <c r="CB481" s="270"/>
      <c r="CC481" s="270"/>
      <c r="CD481" s="270"/>
      <c r="CE481"/>
      <c r="CF481" s="1396"/>
      <c r="CG481" s="1396"/>
      <c r="CH481" s="270"/>
      <c r="CI481" s="270"/>
      <c r="CJ481" s="270"/>
      <c r="CK481" s="270"/>
      <c r="CL481" s="270"/>
      <c r="CM481" s="270"/>
    </row>
    <row r="482" spans="1:91" ht="13.5" hidden="1" outlineLevel="3" thickBot="1" x14ac:dyDescent="0.25">
      <c r="A482" s="270"/>
      <c r="B482" s="271"/>
      <c r="C482" s="12"/>
      <c r="D482" s="1071"/>
      <c r="E482" s="1071"/>
      <c r="F482" s="1071"/>
      <c r="G482" s="1172"/>
      <c r="H482" s="271"/>
      <c r="I482" s="270"/>
      <c r="J482" s="270"/>
      <c r="K482" s="270"/>
      <c r="L482" s="270"/>
      <c r="M482" s="270"/>
      <c r="N482" s="270"/>
      <c r="O482" s="270"/>
      <c r="P482" s="1072"/>
      <c r="Q482" s="270"/>
      <c r="R482" s="270"/>
      <c r="S482" s="1072"/>
      <c r="T482" s="270"/>
      <c r="U482" s="1019"/>
      <c r="V482" s="1176"/>
      <c r="W482" s="1177"/>
      <c r="X482" s="1207"/>
      <c r="Y482" s="1208"/>
      <c r="Z482" s="492"/>
      <c r="AA482" s="493" t="s">
        <v>769</v>
      </c>
      <c r="AB482" s="1069"/>
      <c r="AC482" s="1070"/>
      <c r="AD482" s="839"/>
      <c r="AE482" s="270" t="str">
        <f>IF(Z482="","",IF(Z482&gt;AB482,Y482,IF(Z482=AB482,"",AC482)))</f>
        <v/>
      </c>
      <c r="AF482" s="270" t="str">
        <f>IF(Z482="","",IF(Z482=AB482,Y482,""))</f>
        <v/>
      </c>
      <c r="AG482" s="270" t="str">
        <f>IF(Z482="","",IF(Z482=AB482,AC482,""))</f>
        <v/>
      </c>
      <c r="AH482" s="270" t="str">
        <f>IF(Z482="","",IF(Z482&lt;AB482,Y482,IF(Z482=AB482,"",AC482)))</f>
        <v/>
      </c>
      <c r="AI482" s="270" t="str">
        <f>IF(Z482="","",IF(Z482&gt;AB482,Y479,""))</f>
        <v/>
      </c>
      <c r="AJ482" s="270" t="str">
        <f>IF(Z482="","",IF(Z482&lt;AB482,AC479,""))</f>
        <v/>
      </c>
      <c r="AK482" s="270" t="str">
        <f>CONCATENATE(AE482,AH482)</f>
        <v/>
      </c>
      <c r="AL482" s="270"/>
      <c r="AM482" s="270"/>
      <c r="AN482" s="270"/>
      <c r="AO482" s="271"/>
      <c r="AP482" s="270"/>
      <c r="AQ482" s="270"/>
      <c r="AR482" s="270"/>
      <c r="AS482" s="270"/>
      <c r="AT482" s="270"/>
      <c r="AU482" s="270"/>
      <c r="AV482" s="270"/>
      <c r="AW482" s="270"/>
      <c r="AX482" s="270"/>
      <c r="AY482" s="1072"/>
      <c r="AZ482" s="270"/>
      <c r="BA482" s="270"/>
      <c r="BB482" s="1072"/>
      <c r="BC482" s="270"/>
      <c r="BD482" s="270"/>
      <c r="BE482" s="270"/>
      <c r="BF482" s="270"/>
      <c r="BG482" s="270"/>
      <c r="BH482" s="270"/>
      <c r="BI482" s="270"/>
      <c r="BJ482" s="270"/>
      <c r="BK482" s="270"/>
      <c r="BL482" s="270"/>
      <c r="BM482" s="270"/>
      <c r="BN482" s="270"/>
      <c r="BO482" s="270"/>
      <c r="BP482" s="270"/>
      <c r="BQ482" s="270"/>
      <c r="BR482" s="270"/>
      <c r="BS482" s="270"/>
      <c r="BT482" s="270"/>
      <c r="BU482" s="270"/>
      <c r="BV482" s="270"/>
      <c r="BW482" s="270"/>
      <c r="BX482" s="270"/>
      <c r="BY482" s="270"/>
      <c r="BZ482" s="270"/>
      <c r="CA482" s="270"/>
      <c r="CB482" s="270"/>
      <c r="CC482" s="270"/>
      <c r="CD482" s="270"/>
      <c r="CE482"/>
      <c r="CF482" s="1396"/>
      <c r="CG482" s="1396"/>
      <c r="CH482" s="270"/>
      <c r="CI482" s="270"/>
      <c r="CJ482" s="270"/>
      <c r="CK482" s="270"/>
      <c r="CL482" s="270"/>
      <c r="CM482" s="270"/>
    </row>
    <row r="483" spans="1:91" ht="13.5" hidden="1" outlineLevel="3" thickBot="1" x14ac:dyDescent="0.25">
      <c r="A483" s="270"/>
      <c r="B483" s="271"/>
      <c r="C483" s="12"/>
      <c r="D483" s="1071"/>
      <c r="E483" s="1071"/>
      <c r="F483" s="1071"/>
      <c r="G483" s="1172"/>
      <c r="H483" s="271"/>
      <c r="I483" s="270"/>
      <c r="J483" s="270"/>
      <c r="K483" s="270"/>
      <c r="L483" s="270"/>
      <c r="M483" s="270"/>
      <c r="N483" s="270"/>
      <c r="O483" s="270"/>
      <c r="P483" s="1072"/>
      <c r="Q483" s="270"/>
      <c r="R483" s="270"/>
      <c r="S483" s="1072"/>
      <c r="T483" s="270"/>
      <c r="U483" s="1019"/>
      <c r="V483" s="1176"/>
      <c r="W483" s="1177"/>
      <c r="X483" s="1207"/>
      <c r="Y483" s="1208"/>
      <c r="Z483" s="492"/>
      <c r="AA483" s="493" t="s">
        <v>769</v>
      </c>
      <c r="AB483" s="1069"/>
      <c r="AC483" s="1070"/>
      <c r="AD483" s="839"/>
      <c r="AE483" s="270" t="str">
        <f>IF(Z483="","",IF(Z483&gt;AB483,Y483,IF(Z483=AB483,"",AC483)))</f>
        <v/>
      </c>
      <c r="AF483" s="270" t="str">
        <f>IF(Z483="","",IF(Z483=AB483,Y483,""))</f>
        <v/>
      </c>
      <c r="AG483" s="270" t="str">
        <f>IF(Z483="","",IF(Z483=AB483,AC483,""))</f>
        <v/>
      </c>
      <c r="AH483" s="270" t="str">
        <f>IF(Z483="","",IF(Z483&lt;AB483,Y483,IF(Z483=AB483,"",AC483)))</f>
        <v/>
      </c>
      <c r="AI483" s="270" t="str">
        <f>IF(Z483="","",IF(Z483&gt;AB483,Y479,""))</f>
        <v/>
      </c>
      <c r="AJ483" s="270" t="str">
        <f>IF(Z483="","",IF(Z483&lt;AB483,AC479,""))</f>
        <v/>
      </c>
      <c r="AK483" s="270" t="str">
        <f>CONCATENATE(AE483,AH483)</f>
        <v/>
      </c>
      <c r="AL483" s="270"/>
      <c r="AM483" s="270"/>
      <c r="AN483" s="270"/>
      <c r="AO483" s="271"/>
      <c r="AP483" s="270"/>
      <c r="AQ483" s="270"/>
      <c r="AR483" s="270"/>
      <c r="AS483" s="270"/>
      <c r="AT483" s="270"/>
      <c r="AU483" s="270"/>
      <c r="AV483" s="270"/>
      <c r="AW483" s="270"/>
      <c r="AX483" s="270"/>
      <c r="AY483" s="1072"/>
      <c r="AZ483" s="270"/>
      <c r="BA483" s="270"/>
      <c r="BB483" s="1072"/>
      <c r="BC483" s="270"/>
      <c r="BD483" s="270"/>
      <c r="BE483" s="270"/>
      <c r="BF483" s="270"/>
      <c r="BG483" s="270"/>
      <c r="BH483" s="270"/>
      <c r="BI483" s="270"/>
      <c r="BJ483" s="270"/>
      <c r="BK483" s="270"/>
      <c r="BL483" s="270"/>
      <c r="BM483" s="270"/>
      <c r="BN483" s="270"/>
      <c r="BO483" s="270"/>
      <c r="BP483" s="270"/>
      <c r="BQ483" s="270"/>
      <c r="BR483" s="270"/>
      <c r="BS483" s="270"/>
      <c r="BT483" s="270"/>
      <c r="BU483" s="270"/>
      <c r="BV483" s="270"/>
      <c r="BW483" s="270"/>
      <c r="BX483" s="270"/>
      <c r="BY483" s="270"/>
      <c r="BZ483" s="270"/>
      <c r="CA483" s="270"/>
      <c r="CB483" s="270"/>
      <c r="CC483" s="270"/>
      <c r="CD483" s="270"/>
      <c r="CE483"/>
      <c r="CF483" s="1396"/>
      <c r="CG483" s="1396"/>
      <c r="CH483" s="270"/>
      <c r="CI483" s="270"/>
      <c r="CJ483" s="270"/>
      <c r="CK483" s="270"/>
      <c r="CL483" s="270"/>
      <c r="CM483" s="270"/>
    </row>
    <row r="484" spans="1:91" ht="13.5" hidden="1" outlineLevel="3" thickBot="1" x14ac:dyDescent="0.25">
      <c r="A484" s="270"/>
      <c r="B484" s="271"/>
      <c r="C484" s="12"/>
      <c r="D484" s="1071"/>
      <c r="E484" s="1071"/>
      <c r="F484" s="1071"/>
      <c r="G484" s="626"/>
      <c r="H484" s="271"/>
      <c r="I484" s="270"/>
      <c r="J484" s="270"/>
      <c r="K484" s="270"/>
      <c r="L484" s="270"/>
      <c r="M484" s="270"/>
      <c r="N484" s="270"/>
      <c r="O484" s="270"/>
      <c r="P484" s="1072"/>
      <c r="Q484" s="270"/>
      <c r="R484" s="270"/>
      <c r="S484" s="1072"/>
      <c r="T484" s="270"/>
      <c r="U484" s="1019"/>
      <c r="V484" s="1073"/>
      <c r="W484" s="1074"/>
      <c r="X484" s="1075" t="str">
        <f>N_Substitute</f>
        <v>Remplaçant</v>
      </c>
      <c r="Y484" s="1208"/>
      <c r="Z484" s="492"/>
      <c r="AA484" s="1076"/>
      <c r="AB484" s="1069"/>
      <c r="AC484" s="1070"/>
      <c r="AD484" s="839"/>
      <c r="AE484" s="270"/>
      <c r="AF484" s="270"/>
      <c r="AG484" s="270"/>
      <c r="AH484" s="270"/>
      <c r="AI484" s="270"/>
      <c r="AJ484" s="270"/>
      <c r="AK484" s="270"/>
      <c r="AL484" s="270"/>
      <c r="AM484" s="270"/>
      <c r="AN484" s="270"/>
      <c r="AO484" s="271"/>
      <c r="AP484" s="270"/>
      <c r="AQ484" s="270"/>
      <c r="AR484" s="270"/>
      <c r="AS484" s="270"/>
      <c r="AT484" s="270"/>
      <c r="AU484" s="270"/>
      <c r="AV484" s="270"/>
      <c r="AW484" s="270"/>
      <c r="AX484" s="270"/>
      <c r="AY484" s="1072"/>
      <c r="AZ484" s="270"/>
      <c r="BA484" s="270"/>
      <c r="BB484" s="1072"/>
      <c r="BC484" s="270"/>
      <c r="BD484" s="270"/>
      <c r="BE484" s="270"/>
      <c r="BF484" s="270"/>
      <c r="BG484" s="270"/>
      <c r="BH484" s="270"/>
      <c r="BI484" s="270"/>
      <c r="BJ484" s="270"/>
      <c r="BK484" s="270"/>
      <c r="BL484" s="270"/>
      <c r="BM484" s="270"/>
      <c r="BN484" s="270"/>
      <c r="BO484" s="270"/>
      <c r="BP484" s="270"/>
      <c r="BQ484" s="270"/>
      <c r="BR484" s="270"/>
      <c r="BS484" s="270"/>
      <c r="BT484" s="270"/>
      <c r="BU484" s="270"/>
      <c r="BV484" s="270"/>
      <c r="BW484" s="270"/>
      <c r="BX484" s="270"/>
      <c r="BY484" s="270"/>
      <c r="BZ484" s="270"/>
      <c r="CA484" s="270"/>
      <c r="CB484" s="270"/>
      <c r="CC484" s="270"/>
      <c r="CD484" s="270"/>
      <c r="CE484"/>
      <c r="CF484" s="1396"/>
      <c r="CG484" s="1396"/>
      <c r="CH484" s="270"/>
      <c r="CI484" s="270"/>
      <c r="CJ484" s="270"/>
      <c r="CK484" s="270"/>
      <c r="CL484" s="270"/>
      <c r="CM484" s="270"/>
    </row>
    <row r="485" spans="1:91" ht="13.5" hidden="1" outlineLevel="3" thickBot="1" x14ac:dyDescent="0.25">
      <c r="A485" s="270"/>
      <c r="B485" s="271"/>
      <c r="C485" s="12"/>
      <c r="D485" s="1071"/>
      <c r="E485" s="1071"/>
      <c r="F485" s="1071"/>
      <c r="G485" s="626"/>
      <c r="H485" s="271"/>
      <c r="I485" s="270"/>
      <c r="J485" s="270"/>
      <c r="K485" s="270"/>
      <c r="L485" s="270"/>
      <c r="M485" s="270"/>
      <c r="N485" s="270"/>
      <c r="O485" s="270"/>
      <c r="P485" s="1072"/>
      <c r="Q485" s="270"/>
      <c r="R485" s="270"/>
      <c r="S485" s="1072"/>
      <c r="T485" s="270"/>
      <c r="U485" s="1019"/>
      <c r="V485" s="1119"/>
      <c r="W485" s="1120"/>
      <c r="X485" s="1075" t="str">
        <f>N_Substitute</f>
        <v>Remplaçant</v>
      </c>
      <c r="Y485" s="1208"/>
      <c r="Z485" s="492"/>
      <c r="AA485" s="1121"/>
      <c r="AB485" s="1069"/>
      <c r="AC485" s="1070"/>
      <c r="AD485" s="839"/>
      <c r="AE485" s="270"/>
      <c r="AF485" s="270"/>
      <c r="AG485" s="270"/>
      <c r="AH485" s="270"/>
      <c r="AI485" s="270"/>
      <c r="AJ485" s="270"/>
      <c r="AK485" s="270"/>
      <c r="AL485" s="270"/>
      <c r="AM485" s="270"/>
      <c r="AN485" s="270"/>
      <c r="AO485" s="271"/>
      <c r="AP485" s="270"/>
      <c r="AQ485" s="270"/>
      <c r="AR485" s="270"/>
      <c r="AS485" s="270"/>
      <c r="AT485" s="270"/>
      <c r="AU485" s="270"/>
      <c r="AV485" s="270"/>
      <c r="AW485" s="270"/>
      <c r="AX485" s="270"/>
      <c r="AY485" s="1072"/>
      <c r="AZ485" s="270"/>
      <c r="BA485" s="270"/>
      <c r="BB485" s="1072"/>
      <c r="BC485" s="270"/>
      <c r="BD485" s="270"/>
      <c r="BE485" s="270"/>
      <c r="BF485" s="270"/>
      <c r="BG485" s="270"/>
      <c r="BH485" s="270"/>
      <c r="BI485" s="270"/>
      <c r="BJ485" s="270"/>
      <c r="BK485" s="270"/>
      <c r="BL485" s="270"/>
      <c r="BM485" s="270"/>
      <c r="BN485" s="270"/>
      <c r="BO485" s="270"/>
      <c r="BP485" s="270"/>
      <c r="BQ485" s="270"/>
      <c r="BR485" s="270"/>
      <c r="BS485" s="270"/>
      <c r="BT485" s="270"/>
      <c r="BU485" s="270"/>
      <c r="BV485" s="270"/>
      <c r="BW485" s="270"/>
      <c r="BX485" s="270"/>
      <c r="BY485" s="270"/>
      <c r="BZ485" s="270"/>
      <c r="CA485" s="270"/>
      <c r="CB485" s="270"/>
      <c r="CC485" s="270"/>
      <c r="CD485" s="270"/>
      <c r="CE485"/>
      <c r="CF485" s="1396"/>
      <c r="CG485" s="1396"/>
      <c r="CH485" s="270"/>
      <c r="CI485" s="270"/>
      <c r="CJ485" s="270"/>
      <c r="CK485" s="270"/>
      <c r="CL485" s="270"/>
      <c r="CM485" s="270"/>
    </row>
    <row r="486" spans="1:91" ht="13.5" hidden="1" outlineLevel="2" collapsed="1" thickBot="1" x14ac:dyDescent="0.25">
      <c r="A486" s="270"/>
      <c r="B486" s="271"/>
      <c r="C486" s="270"/>
      <c r="D486" s="270"/>
      <c r="E486" s="270"/>
      <c r="F486" s="270"/>
      <c r="G486" s="271"/>
      <c r="H486" s="270"/>
      <c r="I486" s="270"/>
      <c r="J486" s="270"/>
      <c r="K486" s="270"/>
      <c r="L486" s="270"/>
      <c r="M486" s="270"/>
      <c r="N486" s="270"/>
      <c r="O486" s="270"/>
      <c r="P486" s="270"/>
      <c r="Q486" s="270"/>
      <c r="R486" s="270"/>
      <c r="S486" s="270"/>
      <c r="T486" s="270"/>
      <c r="U486" s="1019" t="s">
        <v>1740</v>
      </c>
      <c r="V486" s="1187"/>
      <c r="W486" s="1195"/>
      <c r="X486" s="1534"/>
      <c r="Y486" s="1210" t="str">
        <f>G344</f>
        <v>Eq7</v>
      </c>
      <c r="Z486" s="1103" t="str">
        <f>IF(OR(ISNUMBER(Z487),ISNUMBER(Z488),ISNUMBER(Z489),ISNUMBER(Z490)),4-COUNTBLANK(AI487:AI490),"")</f>
        <v/>
      </c>
      <c r="AA486" s="1104" t="s">
        <v>769</v>
      </c>
      <c r="AB486" s="1103" t="str">
        <f>IF(OR(ISNUMBER(Z487),ISNUMBER(Z488),ISNUMBER(Z489),ISNUMBER(Z490)),4-COUNTBLANK(AJ487:AJ490),"")</f>
        <v/>
      </c>
      <c r="AC486" s="1181" t="str">
        <f>G339</f>
        <v>Eq2</v>
      </c>
      <c r="AD486" s="839"/>
      <c r="AE486" s="270" t="str">
        <f>IF(Z486="","",IF(Z486&gt;AB486,Y486,IF(Z486=AB486,IF(NoDrawWithWithdraw,IF(AL486=Y486,AC486,IF(AL486=AC486,Y486,"")),""),AC486)))</f>
        <v/>
      </c>
      <c r="AF486" s="270" t="str">
        <f>IF(Z486="","",IF(Z486=AB486,IF(NoDrawWithWithdraw,IF(AL486=Y486,"",IF(AL486=AC486,"",Y486)),Y486),""))</f>
        <v/>
      </c>
      <c r="AG486" s="270" t="str">
        <f>IF(Z486="","",IF(Z486=AB486,IF(NoDrawWithWithdraw,IF(AL486=Y486,"",IF(AL486=AC486,"",AC486)),AC486),""))</f>
        <v/>
      </c>
      <c r="AH486" s="270" t="str">
        <f>IF(Z486="","",IF(Z486&lt;AB486,Y486,IF(Z486=AB486,IF(NoDrawWithWithdraw,IF(AL486=Y486,Y486,IF(AL486=AC486,AC486,"")),""),AC486)))</f>
        <v/>
      </c>
      <c r="AI486" s="270" t="str">
        <f>IF(Z486="","",SUM(Z487:Z490))</f>
        <v/>
      </c>
      <c r="AJ486" s="270" t="str">
        <f>IF(Z486="","",SUM(AB487:AB490))</f>
        <v/>
      </c>
      <c r="AK486" s="270" t="str">
        <f>CONCATENATE(AE486,AH486)</f>
        <v/>
      </c>
      <c r="AL486" s="270" t="str">
        <f>IF(COUNTIF(Y487:Y490,WithdrawLabel)&gt;COUNTIF(AC487:AC490,WithdrawLabel),Y486,IF(COUNTIF(AC487:AC490,WithdrawLabel)&gt;COUNTIF(Y487:Y490,WithdrawLabel),AC486,""))</f>
        <v/>
      </c>
      <c r="AM486" s="270"/>
      <c r="AN486" s="270"/>
      <c r="AO486" s="575"/>
      <c r="AP486" s="270"/>
      <c r="AQ486" s="270"/>
      <c r="AR486" s="270"/>
      <c r="AS486" s="270"/>
      <c r="AT486" s="270"/>
      <c r="AU486" s="270"/>
      <c r="AV486" s="270"/>
      <c r="AW486" s="270"/>
      <c r="AX486" s="270"/>
      <c r="AY486" s="270"/>
      <c r="AZ486" s="270"/>
      <c r="BA486" s="270"/>
      <c r="BB486" s="270"/>
      <c r="BC486" s="270"/>
      <c r="BD486" s="270"/>
      <c r="BE486" s="270"/>
      <c r="BF486" s="270"/>
      <c r="BG486" s="270"/>
      <c r="BH486" s="270"/>
      <c r="BI486" s="270"/>
      <c r="BJ486" s="270"/>
      <c r="BK486" s="270"/>
      <c r="BL486" s="270"/>
      <c r="BM486" s="270"/>
      <c r="BN486" s="270"/>
      <c r="BO486" s="270"/>
      <c r="BP486" s="270"/>
      <c r="BQ486" s="270"/>
      <c r="BR486" s="270"/>
      <c r="BS486" s="270"/>
      <c r="BT486" s="270"/>
      <c r="BU486" s="270"/>
      <c r="BV486" s="270"/>
      <c r="BW486" s="270"/>
      <c r="BX486" s="270"/>
      <c r="BY486" s="270"/>
      <c r="BZ486" s="270"/>
      <c r="CA486" s="270"/>
      <c r="CB486" s="270"/>
      <c r="CC486" s="270"/>
      <c r="CD486" s="270"/>
      <c r="CE486"/>
      <c r="CF486" s="1396"/>
      <c r="CG486" s="1396"/>
      <c r="CH486" s="270"/>
      <c r="CI486" s="270"/>
      <c r="CJ486" s="270"/>
      <c r="CK486" s="270"/>
      <c r="CL486" s="270"/>
      <c r="CM486" s="270"/>
    </row>
    <row r="487" spans="1:91" ht="13.5" hidden="1" outlineLevel="3" thickBot="1" x14ac:dyDescent="0.25">
      <c r="A487" s="270"/>
      <c r="B487" s="271"/>
      <c r="C487" s="12"/>
      <c r="D487" s="1071"/>
      <c r="E487" s="1071"/>
      <c r="F487" s="1071"/>
      <c r="G487" s="1172"/>
      <c r="H487" s="271"/>
      <c r="I487" s="270"/>
      <c r="J487" s="270"/>
      <c r="K487" s="270"/>
      <c r="L487" s="270"/>
      <c r="M487" s="270"/>
      <c r="N487" s="270"/>
      <c r="O487" s="270"/>
      <c r="P487" s="1072"/>
      <c r="Q487" s="270"/>
      <c r="R487" s="270"/>
      <c r="S487" s="1072"/>
      <c r="T487" s="270"/>
      <c r="U487" s="1019"/>
      <c r="V487" s="1118"/>
      <c r="W487" s="1177"/>
      <c r="X487" s="1212"/>
      <c r="Y487" s="1208"/>
      <c r="Z487" s="492"/>
      <c r="AA487" s="493" t="s">
        <v>769</v>
      </c>
      <c r="AB487" s="1069"/>
      <c r="AC487" s="1070"/>
      <c r="AD487" s="839"/>
      <c r="AE487" s="270" t="str">
        <f>IF(Z487="","",IF(Z487&gt;AB487,Y487,IF(Z487=AB487,"",AC487)))</f>
        <v/>
      </c>
      <c r="AF487" s="270" t="str">
        <f>IF(Z487="","",IF(Z487=AB487,Y487,""))</f>
        <v/>
      </c>
      <c r="AG487" s="270" t="str">
        <f>IF(Z487="","",IF(Z487=AB487,AC487,""))</f>
        <v/>
      </c>
      <c r="AH487" s="270" t="str">
        <f>IF(Z487="","",IF(Z487&lt;AB487,Y487,IF(Z487=AB487,"",AC487)))</f>
        <v/>
      </c>
      <c r="AI487" s="270" t="str">
        <f>IF(Z487="","",IF(Z487&gt;AB487,Y486,""))</f>
        <v/>
      </c>
      <c r="AJ487" s="270" t="str">
        <f>IF(Z487="","",IF(Z487&lt;AB487,AC486,""))</f>
        <v/>
      </c>
      <c r="AK487" s="270" t="str">
        <f>CONCATENATE(AE487,AH487)</f>
        <v/>
      </c>
      <c r="AL487" s="270"/>
      <c r="AM487" s="270"/>
      <c r="AN487" s="270"/>
      <c r="AO487" s="271"/>
      <c r="AP487" s="270"/>
      <c r="AQ487" s="270"/>
      <c r="AR487" s="270"/>
      <c r="AS487" s="270"/>
      <c r="AT487" s="270"/>
      <c r="AU487" s="270"/>
      <c r="AV487" s="270"/>
      <c r="AW487" s="270"/>
      <c r="AX487" s="270"/>
      <c r="AY487" s="1072"/>
      <c r="AZ487" s="270"/>
      <c r="BA487" s="270"/>
      <c r="BB487" s="1072"/>
      <c r="BC487" s="270"/>
      <c r="BD487" s="270"/>
      <c r="BE487" s="270"/>
      <c r="BF487" s="270"/>
      <c r="BG487" s="270"/>
      <c r="BH487" s="270"/>
      <c r="BI487" s="270"/>
      <c r="BJ487" s="270"/>
      <c r="BK487" s="270"/>
      <c r="BL487" s="270"/>
      <c r="BM487" s="270"/>
      <c r="BN487" s="270"/>
      <c r="BO487" s="270"/>
      <c r="BP487" s="270"/>
      <c r="BQ487" s="270"/>
      <c r="BR487" s="270"/>
      <c r="BS487" s="270"/>
      <c r="BT487" s="270"/>
      <c r="BU487" s="270"/>
      <c r="BV487" s="270"/>
      <c r="BW487" s="270"/>
      <c r="BX487" s="270"/>
      <c r="BY487" s="270"/>
      <c r="BZ487" s="270"/>
      <c r="CA487" s="270"/>
      <c r="CB487" s="270"/>
      <c r="CC487" s="270"/>
      <c r="CD487" s="270"/>
      <c r="CE487"/>
      <c r="CF487" s="1396"/>
      <c r="CG487" s="1396"/>
      <c r="CH487" s="270"/>
      <c r="CI487" s="270"/>
      <c r="CJ487" s="270"/>
      <c r="CK487" s="270"/>
      <c r="CL487" s="270"/>
      <c r="CM487" s="270"/>
    </row>
    <row r="488" spans="1:91" ht="13.5" hidden="1" outlineLevel="3" thickBot="1" x14ac:dyDescent="0.25">
      <c r="A488" s="270"/>
      <c r="B488" s="271"/>
      <c r="C488" s="12"/>
      <c r="D488" s="1071"/>
      <c r="E488" s="1071"/>
      <c r="F488" s="1071"/>
      <c r="G488" s="1172"/>
      <c r="H488" s="271"/>
      <c r="I488" s="270"/>
      <c r="J488" s="270"/>
      <c r="K488" s="270"/>
      <c r="L488" s="270"/>
      <c r="M488" s="270"/>
      <c r="N488" s="270"/>
      <c r="O488" s="270"/>
      <c r="P488" s="1072"/>
      <c r="Q488" s="270"/>
      <c r="R488" s="270"/>
      <c r="S488" s="1072"/>
      <c r="T488" s="270"/>
      <c r="U488" s="1019"/>
      <c r="V488" s="1118"/>
      <c r="W488" s="1177"/>
      <c r="X488" s="1212"/>
      <c r="Y488" s="1208"/>
      <c r="Z488" s="492"/>
      <c r="AA488" s="493" t="s">
        <v>769</v>
      </c>
      <c r="AB488" s="1069"/>
      <c r="AC488" s="1070"/>
      <c r="AD488" s="839"/>
      <c r="AE488" s="270" t="str">
        <f>IF(Z488="","",IF(Z488&gt;AB488,Y488,IF(Z488=AB488,"",AC488)))</f>
        <v/>
      </c>
      <c r="AF488" s="270" t="str">
        <f>IF(Z488="","",IF(Z488=AB488,Y488,""))</f>
        <v/>
      </c>
      <c r="AG488" s="270" t="str">
        <f>IF(Z488="","",IF(Z488=AB488,AC488,""))</f>
        <v/>
      </c>
      <c r="AH488" s="270" t="str">
        <f>IF(Z488="","",IF(Z488&lt;AB488,Y488,IF(Z488=AB488,"",AC488)))</f>
        <v/>
      </c>
      <c r="AI488" s="270" t="str">
        <f>IF(Z488="","",IF(Z488&gt;AB488,Y486,""))</f>
        <v/>
      </c>
      <c r="AJ488" s="270" t="str">
        <f>IF(Z488="","",IF(Z488&lt;AB488,AC486,""))</f>
        <v/>
      </c>
      <c r="AK488" s="270" t="str">
        <f>CONCATENATE(AE488,AH488)</f>
        <v/>
      </c>
      <c r="AL488" s="270"/>
      <c r="AM488" s="270"/>
      <c r="AN488" s="270"/>
      <c r="AO488" s="271"/>
      <c r="AP488" s="270"/>
      <c r="AQ488" s="270"/>
      <c r="AR488" s="270"/>
      <c r="AS488" s="270"/>
      <c r="AT488" s="270"/>
      <c r="AU488" s="270"/>
      <c r="AV488" s="270"/>
      <c r="AW488" s="270"/>
      <c r="AX488" s="270"/>
      <c r="AY488" s="1072"/>
      <c r="AZ488" s="270"/>
      <c r="BA488" s="270"/>
      <c r="BB488" s="1072"/>
      <c r="BC488" s="270"/>
      <c r="BD488" s="270"/>
      <c r="BE488" s="270"/>
      <c r="BF488" s="270"/>
      <c r="BG488" s="270"/>
      <c r="BH488" s="270"/>
      <c r="BI488" s="270"/>
      <c r="BJ488" s="270"/>
      <c r="BK488" s="270"/>
      <c r="BL488" s="270"/>
      <c r="BM488" s="270"/>
      <c r="BN488" s="270"/>
      <c r="BO488" s="270"/>
      <c r="BP488" s="270"/>
      <c r="BQ488" s="270"/>
      <c r="BR488" s="270"/>
      <c r="BS488" s="270"/>
      <c r="BT488" s="270"/>
      <c r="BU488" s="270"/>
      <c r="BV488" s="270"/>
      <c r="BW488" s="270"/>
      <c r="BX488" s="270"/>
      <c r="BY488" s="270"/>
      <c r="BZ488" s="270"/>
      <c r="CA488" s="270"/>
      <c r="CB488" s="270"/>
      <c r="CC488" s="270"/>
      <c r="CD488" s="270"/>
      <c r="CE488"/>
      <c r="CF488" s="1396"/>
      <c r="CG488" s="1396"/>
      <c r="CH488" s="270"/>
      <c r="CI488" s="270"/>
      <c r="CJ488" s="270"/>
      <c r="CK488" s="270"/>
      <c r="CL488" s="270"/>
      <c r="CM488" s="270"/>
    </row>
    <row r="489" spans="1:91" ht="13.5" hidden="1" outlineLevel="3" thickBot="1" x14ac:dyDescent="0.25">
      <c r="A489" s="270"/>
      <c r="B489" s="271"/>
      <c r="C489" s="12"/>
      <c r="D489" s="1071"/>
      <c r="E489" s="1071"/>
      <c r="F489" s="1071"/>
      <c r="G489" s="1172"/>
      <c r="H489" s="271"/>
      <c r="I489" s="270"/>
      <c r="J489" s="270"/>
      <c r="K489" s="270"/>
      <c r="L489" s="270"/>
      <c r="M489" s="270"/>
      <c r="N489" s="270"/>
      <c r="O489" s="270"/>
      <c r="P489" s="1072"/>
      <c r="Q489" s="270"/>
      <c r="R489" s="270"/>
      <c r="S489" s="1072"/>
      <c r="T489" s="270"/>
      <c r="U489" s="1019"/>
      <c r="V489" s="1118"/>
      <c r="W489" s="1177"/>
      <c r="X489" s="1212"/>
      <c r="Y489" s="1208"/>
      <c r="Z489" s="492"/>
      <c r="AA489" s="493" t="s">
        <v>769</v>
      </c>
      <c r="AB489" s="1069"/>
      <c r="AC489" s="1070"/>
      <c r="AD489" s="839"/>
      <c r="AE489" s="270" t="str">
        <f>IF(Z489="","",IF(Z489&gt;AB489,Y489,IF(Z489=AB489,"",AC489)))</f>
        <v/>
      </c>
      <c r="AF489" s="270" t="str">
        <f>IF(Z489="","",IF(Z489=AB489,Y489,""))</f>
        <v/>
      </c>
      <c r="AG489" s="270" t="str">
        <f>IF(Z489="","",IF(Z489=AB489,AC489,""))</f>
        <v/>
      </c>
      <c r="AH489" s="270" t="str">
        <f>IF(Z489="","",IF(Z489&lt;AB489,Y489,IF(Z489=AB489,"",AC489)))</f>
        <v/>
      </c>
      <c r="AI489" s="270" t="str">
        <f>IF(Z489="","",IF(Z489&gt;AB489,Y486,""))</f>
        <v/>
      </c>
      <c r="AJ489" s="270" t="str">
        <f>IF(Z489="","",IF(Z489&lt;AB489,AC486,""))</f>
        <v/>
      </c>
      <c r="AK489" s="270" t="str">
        <f>CONCATENATE(AE489,AH489)</f>
        <v/>
      </c>
      <c r="AL489" s="270"/>
      <c r="AM489" s="270"/>
      <c r="AN489" s="270"/>
      <c r="AO489" s="271"/>
      <c r="AP489" s="270"/>
      <c r="AQ489" s="270"/>
      <c r="AR489" s="270"/>
      <c r="AS489" s="270"/>
      <c r="AT489" s="270"/>
      <c r="AU489" s="270"/>
      <c r="AV489" s="270"/>
      <c r="AW489" s="270"/>
      <c r="AX489" s="270"/>
      <c r="AY489" s="1072"/>
      <c r="AZ489" s="270"/>
      <c r="BA489" s="270"/>
      <c r="BB489" s="1072"/>
      <c r="BC489" s="270"/>
      <c r="BD489" s="270"/>
      <c r="BE489" s="270"/>
      <c r="BF489" s="270"/>
      <c r="BG489" s="270"/>
      <c r="BH489" s="270"/>
      <c r="BI489" s="270"/>
      <c r="BJ489" s="270"/>
      <c r="BK489" s="270"/>
      <c r="BL489" s="270"/>
      <c r="BM489" s="270"/>
      <c r="BN489" s="270"/>
      <c r="BO489" s="270"/>
      <c r="BP489" s="270"/>
      <c r="BQ489" s="270"/>
      <c r="BR489" s="270"/>
      <c r="BS489" s="270"/>
      <c r="BT489" s="270"/>
      <c r="BU489" s="270"/>
      <c r="BV489" s="270"/>
      <c r="BW489" s="270"/>
      <c r="BX489" s="270"/>
      <c r="BY489" s="270"/>
      <c r="BZ489" s="270"/>
      <c r="CA489" s="270"/>
      <c r="CB489" s="270"/>
      <c r="CC489" s="270"/>
      <c r="CD489" s="270"/>
      <c r="CE489"/>
      <c r="CF489" s="1396"/>
      <c r="CG489" s="1396"/>
      <c r="CH489" s="270"/>
      <c r="CI489" s="270"/>
      <c r="CJ489" s="270"/>
      <c r="CK489" s="270"/>
      <c r="CL489" s="270"/>
      <c r="CM489" s="270"/>
    </row>
    <row r="490" spans="1:91" ht="13.5" hidden="1" outlineLevel="3" thickBot="1" x14ac:dyDescent="0.25">
      <c r="A490" s="270"/>
      <c r="B490" s="271"/>
      <c r="C490" s="12"/>
      <c r="D490" s="1071"/>
      <c r="E490" s="1071"/>
      <c r="F490" s="1071"/>
      <c r="G490" s="1172"/>
      <c r="H490" s="271"/>
      <c r="I490" s="270"/>
      <c r="J490" s="270"/>
      <c r="K490" s="270"/>
      <c r="L490" s="270"/>
      <c r="M490" s="270"/>
      <c r="N490" s="270"/>
      <c r="O490" s="270"/>
      <c r="P490" s="1072"/>
      <c r="Q490" s="270"/>
      <c r="R490" s="270"/>
      <c r="S490" s="1072"/>
      <c r="T490" s="270"/>
      <c r="U490" s="1019"/>
      <c r="V490" s="1118"/>
      <c r="W490" s="1177"/>
      <c r="X490" s="1212"/>
      <c r="Y490" s="1208"/>
      <c r="Z490" s="492"/>
      <c r="AA490" s="493" t="s">
        <v>769</v>
      </c>
      <c r="AB490" s="1069"/>
      <c r="AC490" s="1070"/>
      <c r="AD490" s="839"/>
      <c r="AE490" s="270" t="str">
        <f>IF(Z490="","",IF(Z490&gt;AB490,Y490,IF(Z490=AB490,"",AC490)))</f>
        <v/>
      </c>
      <c r="AF490" s="270" t="str">
        <f>IF(Z490="","",IF(Z490=AB490,Y490,""))</f>
        <v/>
      </c>
      <c r="AG490" s="270" t="str">
        <f>IF(Z490="","",IF(Z490=AB490,AC490,""))</f>
        <v/>
      </c>
      <c r="AH490" s="270" t="str">
        <f>IF(Z490="","",IF(Z490&lt;AB490,Y490,IF(Z490=AB490,"",AC490)))</f>
        <v/>
      </c>
      <c r="AI490" s="270" t="str">
        <f>IF(Z490="","",IF(Z490&gt;AB490,Y486,""))</f>
        <v/>
      </c>
      <c r="AJ490" s="270" t="str">
        <f>IF(Z490="","",IF(Z490&lt;AB490,AC486,""))</f>
        <v/>
      </c>
      <c r="AK490" s="270" t="str">
        <f>CONCATENATE(AE490,AH490)</f>
        <v/>
      </c>
      <c r="AL490" s="270"/>
      <c r="AM490" s="270"/>
      <c r="AN490" s="270"/>
      <c r="AO490" s="271"/>
      <c r="AP490" s="270"/>
      <c r="AQ490" s="270"/>
      <c r="AR490" s="270"/>
      <c r="AS490" s="270"/>
      <c r="AT490" s="270"/>
      <c r="AU490" s="270"/>
      <c r="AV490" s="270"/>
      <c r="AW490" s="270"/>
      <c r="AX490" s="270"/>
      <c r="AY490" s="1072"/>
      <c r="AZ490" s="270"/>
      <c r="BA490" s="270"/>
      <c r="BB490" s="1072"/>
      <c r="BC490" s="270"/>
      <c r="BD490" s="270"/>
      <c r="BE490" s="270"/>
      <c r="BF490" s="270"/>
      <c r="BG490" s="270"/>
      <c r="BH490" s="270"/>
      <c r="BI490" s="270"/>
      <c r="BJ490" s="270"/>
      <c r="BK490" s="270"/>
      <c r="BL490" s="270"/>
      <c r="BM490" s="270"/>
      <c r="BN490" s="270"/>
      <c r="BO490" s="270"/>
      <c r="BP490" s="270"/>
      <c r="BQ490" s="270"/>
      <c r="BR490" s="270"/>
      <c r="BS490" s="270"/>
      <c r="BT490" s="270"/>
      <c r="BU490" s="270"/>
      <c r="BV490" s="270"/>
      <c r="BW490" s="270"/>
      <c r="BX490" s="270"/>
      <c r="BY490" s="270"/>
      <c r="BZ490" s="270"/>
      <c r="CA490" s="270"/>
      <c r="CB490" s="270"/>
      <c r="CC490" s="270"/>
      <c r="CD490" s="270"/>
      <c r="CE490"/>
      <c r="CF490" s="1396"/>
      <c r="CG490" s="1396"/>
      <c r="CH490" s="270"/>
      <c r="CI490" s="270"/>
      <c r="CJ490" s="270"/>
      <c r="CK490" s="270"/>
      <c r="CL490" s="270"/>
      <c r="CM490" s="270"/>
    </row>
    <row r="491" spans="1:91" ht="13.5" hidden="1" outlineLevel="3" thickBot="1" x14ac:dyDescent="0.25">
      <c r="A491" s="270"/>
      <c r="B491" s="271"/>
      <c r="C491" s="12"/>
      <c r="D491" s="1071"/>
      <c r="E491" s="1071"/>
      <c r="F491" s="1071"/>
      <c r="G491" s="626"/>
      <c r="H491" s="271"/>
      <c r="I491" s="270"/>
      <c r="J491" s="270"/>
      <c r="K491" s="270"/>
      <c r="L491" s="270"/>
      <c r="M491" s="270"/>
      <c r="N491" s="270"/>
      <c r="O491" s="270"/>
      <c r="P491" s="1072"/>
      <c r="Q491" s="270"/>
      <c r="R491" s="270"/>
      <c r="S491" s="1072"/>
      <c r="T491" s="270"/>
      <c r="U491" s="1019"/>
      <c r="V491" s="1073"/>
      <c r="W491" s="1074"/>
      <c r="X491" s="1075" t="str">
        <f>N_Substitute</f>
        <v>Remplaçant</v>
      </c>
      <c r="Y491" s="1208"/>
      <c r="Z491" s="492"/>
      <c r="AA491" s="1076"/>
      <c r="AB491" s="1069"/>
      <c r="AC491" s="1070"/>
      <c r="AD491" s="839"/>
      <c r="AE491" s="270"/>
      <c r="AF491" s="270"/>
      <c r="AG491" s="270"/>
      <c r="AH491" s="270"/>
      <c r="AI491" s="270"/>
      <c r="AJ491" s="270"/>
      <c r="AK491" s="270"/>
      <c r="AL491" s="270"/>
      <c r="AM491" s="270"/>
      <c r="AN491" s="270"/>
      <c r="AO491" s="271"/>
      <c r="AP491" s="270"/>
      <c r="AQ491" s="270"/>
      <c r="AR491" s="270"/>
      <c r="AS491" s="270"/>
      <c r="AT491" s="270"/>
      <c r="AU491" s="270"/>
      <c r="AV491" s="270"/>
      <c r="AW491" s="270"/>
      <c r="AX491" s="270"/>
      <c r="AY491" s="1072"/>
      <c r="AZ491" s="270"/>
      <c r="BA491" s="270"/>
      <c r="BB491" s="1072"/>
      <c r="BC491" s="270"/>
      <c r="BD491" s="270"/>
      <c r="BE491" s="270"/>
      <c r="BF491" s="270"/>
      <c r="BG491" s="270"/>
      <c r="BH491" s="270"/>
      <c r="BI491" s="270"/>
      <c r="BJ491" s="270"/>
      <c r="BK491" s="270"/>
      <c r="BL491" s="270"/>
      <c r="BM491" s="270"/>
      <c r="BN491" s="270"/>
      <c r="BO491" s="270"/>
      <c r="BP491" s="270"/>
      <c r="BQ491" s="270"/>
      <c r="BR491" s="270"/>
      <c r="BS491" s="270"/>
      <c r="BT491" s="270"/>
      <c r="BU491" s="270"/>
      <c r="BV491" s="270"/>
      <c r="BW491" s="270"/>
      <c r="BX491" s="270"/>
      <c r="BY491" s="270"/>
      <c r="BZ491" s="270"/>
      <c r="CA491" s="270"/>
      <c r="CB491" s="270"/>
      <c r="CC491" s="270"/>
      <c r="CD491" s="270"/>
      <c r="CE491"/>
      <c r="CF491" s="1396"/>
      <c r="CG491" s="1396"/>
      <c r="CH491" s="270"/>
      <c r="CI491" s="270"/>
      <c r="CJ491" s="270"/>
      <c r="CK491" s="270"/>
      <c r="CL491" s="270"/>
      <c r="CM491" s="270"/>
    </row>
    <row r="492" spans="1:91" ht="13.5" hidden="1" outlineLevel="3" thickBot="1" x14ac:dyDescent="0.25">
      <c r="A492" s="270"/>
      <c r="B492" s="271"/>
      <c r="C492" s="12"/>
      <c r="D492" s="1071"/>
      <c r="E492" s="1071"/>
      <c r="F492" s="1071"/>
      <c r="G492" s="626"/>
      <c r="H492" s="271"/>
      <c r="I492" s="270"/>
      <c r="J492" s="270"/>
      <c r="K492" s="270"/>
      <c r="L492" s="270"/>
      <c r="M492" s="270"/>
      <c r="N492" s="270"/>
      <c r="O492" s="270"/>
      <c r="P492" s="1072"/>
      <c r="Q492" s="270"/>
      <c r="R492" s="270"/>
      <c r="S492" s="1072"/>
      <c r="T492" s="270"/>
      <c r="U492" s="1019"/>
      <c r="V492" s="1087"/>
      <c r="W492" s="1088"/>
      <c r="X492" s="1089" t="str">
        <f>N_Substitute</f>
        <v>Remplaçant</v>
      </c>
      <c r="Y492" s="1213"/>
      <c r="Z492" s="496"/>
      <c r="AA492" s="1090"/>
      <c r="AB492" s="496"/>
      <c r="AC492" s="1092"/>
      <c r="AD492" s="839"/>
      <c r="AE492" s="270"/>
      <c r="AF492" s="270"/>
      <c r="AG492" s="270"/>
      <c r="AH492" s="270"/>
      <c r="AI492" s="270"/>
      <c r="AJ492" s="270"/>
      <c r="AK492" s="270"/>
      <c r="AL492" s="270"/>
      <c r="AM492" s="270"/>
      <c r="AN492" s="270"/>
      <c r="AO492" s="271"/>
      <c r="AP492" s="270"/>
      <c r="AQ492" s="270"/>
      <c r="AR492" s="270"/>
      <c r="AS492" s="270"/>
      <c r="AT492" s="270"/>
      <c r="AU492" s="270"/>
      <c r="AV492" s="270"/>
      <c r="AW492" s="270"/>
      <c r="AX492" s="270"/>
      <c r="AY492" s="1072"/>
      <c r="AZ492" s="270"/>
      <c r="BA492" s="270"/>
      <c r="BB492" s="1072"/>
      <c r="BC492" s="270"/>
      <c r="BD492" s="270"/>
      <c r="BE492" s="270"/>
      <c r="BF492" s="270"/>
      <c r="BG492" s="270"/>
      <c r="BH492" s="270"/>
      <c r="BI492" s="270"/>
      <c r="BJ492" s="270"/>
      <c r="BK492" s="270"/>
      <c r="BL492" s="270"/>
      <c r="BM492" s="270"/>
      <c r="BN492" s="270"/>
      <c r="BO492" s="270"/>
      <c r="BP492" s="270"/>
      <c r="BQ492" s="270"/>
      <c r="BR492" s="270"/>
      <c r="BS492" s="270"/>
      <c r="BT492" s="270"/>
      <c r="BU492" s="270"/>
      <c r="BV492" s="270"/>
      <c r="BW492" s="270"/>
      <c r="BX492" s="270"/>
      <c r="BY492" s="270"/>
      <c r="BZ492" s="270"/>
      <c r="CA492" s="270"/>
      <c r="CB492" s="270"/>
      <c r="CC492" s="270"/>
      <c r="CD492" s="270"/>
      <c r="CE492"/>
      <c r="CF492" s="1396"/>
      <c r="CG492" s="1396"/>
      <c r="CH492" s="270"/>
      <c r="CI492" s="270"/>
      <c r="CJ492" s="270"/>
      <c r="CK492" s="270"/>
      <c r="CL492" s="270"/>
      <c r="CM492" s="270"/>
    </row>
    <row r="493" spans="1:91" outlineLevel="1" x14ac:dyDescent="0.2">
      <c r="A493" s="270"/>
      <c r="B493" s="271"/>
      <c r="C493" s="270"/>
      <c r="D493" s="270"/>
      <c r="E493" s="270"/>
      <c r="F493" s="270"/>
      <c r="G493" s="271"/>
      <c r="H493" s="270"/>
      <c r="I493" s="270"/>
      <c r="J493" s="270"/>
      <c r="K493" s="270"/>
      <c r="L493" s="270"/>
      <c r="M493" s="270"/>
      <c r="N493" s="270"/>
      <c r="O493" s="270"/>
      <c r="P493" s="270"/>
      <c r="Q493" s="270"/>
      <c r="R493" s="270"/>
      <c r="S493" s="270"/>
      <c r="T493" s="270"/>
      <c r="U493" s="270"/>
      <c r="V493" s="1097"/>
      <c r="W493" s="1097"/>
      <c r="X493" s="1098"/>
      <c r="Y493" s="1099"/>
      <c r="Z493" s="1097"/>
      <c r="AA493" s="1097"/>
      <c r="AB493" s="1097"/>
      <c r="AC493" s="1100"/>
      <c r="AD493" s="839"/>
      <c r="AE493" s="270"/>
      <c r="AF493" s="270"/>
      <c r="AG493" s="270"/>
      <c r="AH493" s="270"/>
      <c r="AI493" s="270"/>
      <c r="AJ493" s="270"/>
      <c r="AK493" s="270"/>
      <c r="AL493" s="270"/>
      <c r="AM493" s="270"/>
      <c r="AN493" s="270"/>
      <c r="AO493" s="575"/>
      <c r="AP493" s="270"/>
      <c r="AQ493" s="270"/>
      <c r="AR493" s="270"/>
      <c r="AS493" s="270"/>
      <c r="AT493" s="270"/>
      <c r="AU493" s="270"/>
      <c r="AV493" s="270"/>
      <c r="AW493" s="270"/>
      <c r="AX493" s="270"/>
      <c r="AY493" s="270"/>
      <c r="AZ493" s="270"/>
      <c r="BA493" s="270"/>
      <c r="BB493" s="270"/>
      <c r="BC493" s="270"/>
      <c r="BD493" s="270"/>
      <c r="BE493" s="270"/>
      <c r="BF493" s="270"/>
      <c r="BG493" s="270"/>
      <c r="BH493" s="270"/>
      <c r="BI493" s="270"/>
      <c r="BJ493" s="270"/>
      <c r="BK493" s="270"/>
      <c r="BL493" s="270"/>
      <c r="BM493" s="270"/>
      <c r="BN493" s="270"/>
      <c r="BO493" s="270"/>
      <c r="BP493" s="270"/>
      <c r="BQ493" s="270"/>
      <c r="BR493" s="270"/>
      <c r="BS493" s="270"/>
      <c r="BT493" s="270"/>
      <c r="BU493" s="270"/>
      <c r="BV493" s="270"/>
      <c r="BW493" s="270"/>
      <c r="BX493" s="270"/>
      <c r="BY493" s="270"/>
      <c r="BZ493" s="270"/>
      <c r="CA493" s="270"/>
      <c r="CB493" s="270"/>
      <c r="CC493" s="270"/>
      <c r="CD493" s="270"/>
      <c r="CE493"/>
      <c r="CF493" s="1396"/>
      <c r="CG493" s="1396"/>
      <c r="CH493" s="270"/>
      <c r="CI493" s="270"/>
      <c r="CJ493" s="270"/>
      <c r="CK493" s="270"/>
      <c r="CL493" s="270"/>
      <c r="CM493" s="270"/>
    </row>
    <row r="494" spans="1:91" ht="13.5" thickBot="1" x14ac:dyDescent="0.25">
      <c r="A494" s="270"/>
      <c r="B494" s="271"/>
      <c r="C494" s="270"/>
      <c r="D494" s="270"/>
      <c r="E494" s="270"/>
      <c r="F494" s="270"/>
      <c r="G494" s="271"/>
      <c r="H494" s="270"/>
      <c r="I494" s="270"/>
      <c r="J494" s="270"/>
      <c r="K494" s="270"/>
      <c r="L494" s="270"/>
      <c r="M494" s="270"/>
      <c r="N494" s="270"/>
      <c r="O494" s="270"/>
      <c r="P494" s="270"/>
      <c r="Q494" s="270"/>
      <c r="R494" s="270"/>
      <c r="S494" s="270"/>
      <c r="T494" s="270"/>
      <c r="U494" s="270"/>
      <c r="V494" s="271"/>
      <c r="W494" s="271"/>
      <c r="X494" s="270"/>
      <c r="Y494" s="646"/>
      <c r="Z494" s="270"/>
      <c r="AA494" s="271"/>
      <c r="AB494" s="270"/>
      <c r="AC494" s="290"/>
      <c r="AD494" s="839"/>
      <c r="AE494" s="270"/>
      <c r="AF494" s="270"/>
      <c r="AG494" s="270"/>
      <c r="AH494" s="270"/>
      <c r="AI494" s="270"/>
      <c r="AJ494" s="270"/>
      <c r="AK494" s="270"/>
      <c r="AL494" s="270"/>
      <c r="AM494" s="270"/>
      <c r="AN494" s="270"/>
      <c r="AO494" s="575"/>
      <c r="AP494" s="270"/>
      <c r="AQ494" s="270"/>
      <c r="AR494" s="270"/>
      <c r="AS494" s="270"/>
      <c r="AT494" s="270"/>
      <c r="AU494" s="270"/>
      <c r="AV494" s="270"/>
      <c r="AW494" s="270"/>
      <c r="AX494" s="270"/>
      <c r="AY494" s="270"/>
      <c r="AZ494" s="270"/>
      <c r="BA494" s="270"/>
      <c r="BB494" s="270"/>
      <c r="BC494" s="270"/>
      <c r="BD494" s="270"/>
      <c r="BE494" s="270"/>
      <c r="BF494" s="270"/>
      <c r="BG494" s="270"/>
      <c r="BH494" s="270"/>
      <c r="BI494" s="270"/>
      <c r="BJ494" s="270"/>
      <c r="BK494" s="270"/>
      <c r="BL494" s="270"/>
      <c r="BM494" s="270"/>
      <c r="BN494" s="270"/>
      <c r="BO494" s="270"/>
      <c r="BP494" s="270"/>
      <c r="BQ494" s="270"/>
      <c r="BR494" s="270"/>
      <c r="BS494" s="270"/>
      <c r="BT494" s="270"/>
      <c r="BU494" s="270"/>
      <c r="BV494" s="270"/>
      <c r="BW494" s="270"/>
      <c r="BX494" s="270"/>
      <c r="BY494" s="270"/>
      <c r="BZ494" s="270"/>
      <c r="CA494" s="270"/>
      <c r="CB494" s="270"/>
      <c r="CC494" s="270"/>
      <c r="CD494" s="270"/>
      <c r="CE494"/>
      <c r="CF494" s="1396"/>
      <c r="CG494" s="1396"/>
      <c r="CH494" s="270"/>
      <c r="CI494" s="270"/>
      <c r="CJ494" s="270"/>
      <c r="CK494" s="270"/>
      <c r="CL494" s="270"/>
      <c r="CM494" s="270"/>
    </row>
    <row r="495" spans="1:91" ht="13.5" thickBot="1" x14ac:dyDescent="0.25">
      <c r="A495" s="270"/>
      <c r="B495" s="1101" t="str">
        <f>N_Group_8</f>
        <v>Poule de 8</v>
      </c>
      <c r="C495" s="1022"/>
      <c r="D495" s="1022"/>
      <c r="E495" s="1022"/>
      <c r="F495" s="1022"/>
      <c r="G495" s="1022"/>
      <c r="H495" s="1022"/>
      <c r="I495" s="1022"/>
      <c r="J495" s="1022"/>
      <c r="K495" s="1022"/>
      <c r="L495" s="1022"/>
      <c r="M495" s="1022"/>
      <c r="N495" s="1022"/>
      <c r="O495" s="1022"/>
      <c r="P495" s="1022"/>
      <c r="Q495" s="1022"/>
      <c r="R495" s="1022"/>
      <c r="S495" s="1022"/>
      <c r="T495" s="1022"/>
      <c r="U495" s="1022"/>
      <c r="V495" s="1022"/>
      <c r="W495" s="1022"/>
      <c r="X495" s="1022"/>
      <c r="Y495" s="1022"/>
      <c r="Z495" s="1022"/>
      <c r="AA495" s="1022"/>
      <c r="AB495" s="1022"/>
      <c r="AC495" s="1022"/>
      <c r="AD495" s="1022"/>
      <c r="AE495" s="1022"/>
      <c r="AF495" s="1022"/>
      <c r="AG495" s="1022"/>
      <c r="AH495" s="1022"/>
      <c r="AI495" s="1022"/>
      <c r="AJ495" s="1022"/>
      <c r="AK495" s="1022"/>
      <c r="AL495" s="1022"/>
      <c r="AM495" s="1023"/>
      <c r="AN495" s="1022" t="str">
        <f>B495</f>
        <v>Poule de 8</v>
      </c>
      <c r="AO495" s="1022"/>
      <c r="AP495" s="1022"/>
      <c r="AQ495" s="1022"/>
      <c r="AR495" s="1022"/>
      <c r="AS495" s="1022"/>
      <c r="AT495" s="1022"/>
      <c r="AU495" s="1022"/>
      <c r="AV495" s="1022"/>
      <c r="AW495" s="1022"/>
      <c r="AX495" s="1022"/>
      <c r="AY495" s="1022"/>
      <c r="AZ495" s="1022"/>
      <c r="BA495" s="1022"/>
      <c r="BB495" s="1022"/>
      <c r="BC495" s="1022"/>
      <c r="BD495" s="1022"/>
      <c r="BE495" s="1022"/>
      <c r="BF495" s="1022"/>
      <c r="BG495" s="1022"/>
      <c r="BH495" s="1022"/>
      <c r="BI495" s="1022"/>
      <c r="BJ495" s="1022"/>
      <c r="BK495" s="1022"/>
      <c r="BL495" s="1022"/>
      <c r="BM495" s="1022"/>
      <c r="BN495" s="1022"/>
      <c r="BO495" s="1022"/>
      <c r="BP495" s="1022"/>
      <c r="BQ495" s="1022"/>
      <c r="BR495" s="1022"/>
      <c r="BS495" s="1022"/>
      <c r="BT495" s="1022"/>
      <c r="BU495" s="1022"/>
      <c r="BV495" s="1022"/>
      <c r="BW495" s="1022"/>
      <c r="BX495" s="1022"/>
      <c r="BY495" s="1022"/>
      <c r="BZ495" s="1022"/>
      <c r="CA495" s="1022"/>
      <c r="CB495" s="1022"/>
      <c r="CC495" s="1022"/>
      <c r="CD495" s="1022"/>
      <c r="CE495"/>
      <c r="CF495" s="1396"/>
      <c r="CG495" s="1396"/>
      <c r="CH495" s="1023"/>
      <c r="CI495" s="270"/>
      <c r="CJ495" s="270"/>
      <c r="CK495" s="270"/>
      <c r="CL495" s="270"/>
      <c r="CM495" s="270"/>
    </row>
    <row r="496" spans="1:91" ht="13.5" outlineLevel="1" thickBot="1" x14ac:dyDescent="0.25">
      <c r="A496" s="270"/>
      <c r="B496" s="271"/>
      <c r="C496" s="270"/>
      <c r="D496" s="270"/>
      <c r="E496" s="270"/>
      <c r="F496" s="270"/>
      <c r="G496" s="271"/>
      <c r="H496" s="270"/>
      <c r="I496" s="270"/>
      <c r="J496" s="270"/>
      <c r="K496" s="270"/>
      <c r="L496" s="270"/>
      <c r="M496" s="270"/>
      <c r="N496" s="270"/>
      <c r="O496" s="270"/>
      <c r="P496" s="270"/>
      <c r="Q496" s="270"/>
      <c r="R496" s="270"/>
      <c r="S496" s="270"/>
      <c r="T496" s="270"/>
      <c r="U496" s="270"/>
      <c r="V496" s="271"/>
      <c r="W496" s="271"/>
      <c r="X496" s="270"/>
      <c r="Y496" s="646"/>
      <c r="Z496" s="271"/>
      <c r="AA496" s="271"/>
      <c r="AB496" s="271"/>
      <c r="AC496" s="290"/>
      <c r="AD496" s="839"/>
      <c r="AE496" s="270"/>
      <c r="AF496" s="270"/>
      <c r="AG496" s="270"/>
      <c r="AH496" s="270"/>
      <c r="AI496" s="270"/>
      <c r="AJ496" s="270"/>
      <c r="AK496" s="270"/>
      <c r="AL496" s="270"/>
      <c r="AM496" s="270"/>
      <c r="AN496" s="270"/>
      <c r="AO496" s="575"/>
      <c r="AP496" s="270"/>
      <c r="AQ496" s="270"/>
      <c r="AR496" s="270"/>
      <c r="AS496" s="270"/>
      <c r="AT496" s="270"/>
      <c r="AU496" s="270"/>
      <c r="AV496" s="270"/>
      <c r="AW496" s="270"/>
      <c r="AX496" s="270"/>
      <c r="AY496" s="270"/>
      <c r="AZ496" s="270"/>
      <c r="BA496" s="270"/>
      <c r="BB496" s="270"/>
      <c r="BC496" s="271"/>
      <c r="BD496" s="271"/>
      <c r="BE496" s="271"/>
      <c r="BF496" s="271"/>
      <c r="BG496" s="271"/>
      <c r="BH496" s="271"/>
      <c r="BI496" s="271"/>
      <c r="BJ496" s="271"/>
      <c r="BK496" s="271"/>
      <c r="BL496" s="271"/>
      <c r="BM496" s="271"/>
      <c r="BN496" s="271"/>
      <c r="BO496" s="271"/>
      <c r="BP496" s="271"/>
      <c r="BQ496" s="271"/>
      <c r="BR496" s="271"/>
      <c r="BS496" s="271"/>
      <c r="BT496" s="271"/>
      <c r="BU496" s="271"/>
      <c r="BV496" s="271"/>
      <c r="BW496" s="271"/>
      <c r="BX496" s="271"/>
      <c r="BY496" s="271"/>
      <c r="BZ496" s="271"/>
      <c r="CA496" s="271"/>
      <c r="CB496" s="271"/>
      <c r="CC496" s="271"/>
      <c r="CD496" s="271"/>
      <c r="CE496"/>
      <c r="CF496" s="1396"/>
      <c r="CG496" s="1396"/>
      <c r="CH496" s="270"/>
      <c r="CI496" s="270"/>
      <c r="CJ496" s="270"/>
      <c r="CK496" s="270"/>
      <c r="CL496" s="270"/>
      <c r="CM496" s="270"/>
    </row>
    <row r="497" spans="1:91" ht="13.5" outlineLevel="1" thickBot="1" x14ac:dyDescent="0.25">
      <c r="A497" s="270"/>
      <c r="B497" s="1149" t="str">
        <f>N_Tirage</f>
        <v>Tirage</v>
      </c>
      <c r="C497" s="1150" t="s">
        <v>787</v>
      </c>
      <c r="D497" s="1151" t="s">
        <v>831</v>
      </c>
      <c r="E497" s="1151" t="s">
        <v>832</v>
      </c>
      <c r="F497" s="1152" t="s">
        <v>833</v>
      </c>
      <c r="G497" s="1153" t="str">
        <f>N_Equipes</f>
        <v>Equipes</v>
      </c>
      <c r="H497" s="1154" t="str">
        <f>N_Pts</f>
        <v>Pts</v>
      </c>
      <c r="I497" s="1154" t="str">
        <f>N_J</f>
        <v>J</v>
      </c>
      <c r="J497" s="1155" t="str">
        <f>N_G</f>
        <v>G</v>
      </c>
      <c r="K497" s="1155" t="str">
        <f>N_N</f>
        <v>N</v>
      </c>
      <c r="L497" s="1155" t="str">
        <f>N_P</f>
        <v>P</v>
      </c>
      <c r="M497" s="1155" t="str">
        <f>N_Diff_R</f>
        <v>Diff R</v>
      </c>
      <c r="N497" s="1155" t="str">
        <f>N_MP</f>
        <v>MP</v>
      </c>
      <c r="O497" s="1155" t="str">
        <f>N_MC</f>
        <v>MC</v>
      </c>
      <c r="P497" s="1156" t="str">
        <f>N_Diff_M</f>
        <v>Diff M</v>
      </c>
      <c r="Q497" s="1155" t="str">
        <f>N_BP</f>
        <v>BP</v>
      </c>
      <c r="R497" s="1155" t="str">
        <f>N_BC</f>
        <v>BC</v>
      </c>
      <c r="S497" s="1157" t="str">
        <f>N_Diff_B</f>
        <v>Diff B</v>
      </c>
      <c r="T497" s="270"/>
      <c r="U497" s="1158"/>
      <c r="V497" s="1158"/>
      <c r="W497" s="1158"/>
      <c r="X497" s="1159"/>
      <c r="Y497" s="1159"/>
      <c r="Z497" s="271"/>
      <c r="AA497" s="271"/>
      <c r="AB497" s="271"/>
      <c r="AC497" s="290"/>
      <c r="AD497" s="839"/>
      <c r="AE497" s="270"/>
      <c r="AF497" s="270"/>
      <c r="AG497" s="270"/>
      <c r="AH497" s="270"/>
      <c r="AI497" s="270"/>
      <c r="AJ497" s="270"/>
      <c r="AK497" s="270"/>
      <c r="AL497" s="270"/>
      <c r="AM497" s="270"/>
      <c r="AN497" s="270"/>
      <c r="AO497" s="1160" t="str">
        <f>N_Cla.</f>
        <v>Cla.</v>
      </c>
      <c r="AP497" s="1161" t="str">
        <f>N_Equipes</f>
        <v>Equipes</v>
      </c>
      <c r="AQ497" s="1162" t="str">
        <f>N_Pts</f>
        <v>Pts</v>
      </c>
      <c r="AR497" s="1162" t="str">
        <f>N_J</f>
        <v>J</v>
      </c>
      <c r="AS497" s="1151" t="str">
        <f>N_G</f>
        <v>G</v>
      </c>
      <c r="AT497" s="1151" t="str">
        <f>N_N</f>
        <v>N</v>
      </c>
      <c r="AU497" s="1151" t="str">
        <f>N_P</f>
        <v>P</v>
      </c>
      <c r="AV497" s="1163" t="str">
        <f>N_Diff_R</f>
        <v>Diff R</v>
      </c>
      <c r="AW497" s="1164" t="str">
        <f>N_MP</f>
        <v>MP</v>
      </c>
      <c r="AX497" s="1151" t="str">
        <f>N_MC</f>
        <v>MC</v>
      </c>
      <c r="AY497" s="1165" t="str">
        <f>N_Diff_M</f>
        <v>Diff M</v>
      </c>
      <c r="AZ497" s="1164" t="str">
        <f>N_BP</f>
        <v>BP</v>
      </c>
      <c r="BA497" s="1151" t="str">
        <f>N_BC</f>
        <v>BC</v>
      </c>
      <c r="BB497" s="1163" t="str">
        <f>N_Diff_B</f>
        <v>Diff B</v>
      </c>
      <c r="BC497" s="1039" t="str">
        <f>N_Matches</f>
        <v>Matches</v>
      </c>
      <c r="BD497" s="1039"/>
      <c r="BE497" s="1039"/>
      <c r="BF497" s="1039"/>
      <c r="BG497" s="1039"/>
      <c r="BH497" s="1039"/>
      <c r="BI497" s="1039"/>
      <c r="BJ497" s="1039"/>
      <c r="BK497" s="1039"/>
      <c r="BL497" s="1039"/>
      <c r="BM497" s="1039"/>
      <c r="BN497" s="1039"/>
      <c r="BO497" s="1039"/>
      <c r="BP497" s="1039"/>
      <c r="BQ497" s="1039"/>
      <c r="BR497" s="1039"/>
      <c r="BS497" s="1039"/>
      <c r="BT497" s="1039"/>
      <c r="BU497" s="1039"/>
      <c r="BV497" s="1039"/>
      <c r="BW497" s="1039"/>
      <c r="BX497" s="1039"/>
      <c r="BY497" s="1039"/>
      <c r="BZ497" s="1039"/>
      <c r="CA497" s="1039"/>
      <c r="CB497" s="1039"/>
      <c r="CC497" s="1039"/>
      <c r="CD497" s="1040"/>
      <c r="CE497"/>
      <c r="CF497" s="1396"/>
      <c r="CG497" s="1396"/>
      <c r="CH497" s="270"/>
      <c r="CI497" s="270"/>
      <c r="CJ497" s="270"/>
      <c r="CK497" s="270"/>
      <c r="CL497" s="270"/>
      <c r="CM497" s="270"/>
    </row>
    <row r="498" spans="1:91" outlineLevel="1" x14ac:dyDescent="0.2">
      <c r="A498" s="270"/>
      <c r="B498" s="505">
        <v>1</v>
      </c>
      <c r="C498" s="1277" t="str">
        <f>IF(Z507="","",RANK(F498,F498:F505)*1000+ROW())</f>
        <v/>
      </c>
      <c r="D498" s="1278" t="str">
        <f t="shared" ref="D498:D505" si="17">IF(J498="","",H498*CritClassEq1_Points+M498*CritClassEq1_DiffRencontres+P498*CritClassEq1_DiffMatches+S498*CritClassEq1_DiffButs+N498*CritClassEq1_Matches+Q498*CritClassEq1_Attaque)</f>
        <v/>
      </c>
      <c r="E498" s="1278" t="str">
        <f>IF(J498="","",Nb_Diff_Part(D498,D498:D505,G498,G498:G505,AK507:AK696)*CritClassEq_DiffPart+Nb_Goal_Part(D498,D498:D505,G498,G498:G505,Y507:AC696)*CritClassEq_IndsPart+Nb_Score_Part(D498,D498:D505,G498,G498:G505,Y507:AC696)*CritClassEq_WinsPart+Nb_GoalTeam_Part(D498,D498:D505,G498,G498:G505,Y507:AC696)*CritClassEq_GoalPart+Nb_ScoreTeam_Part(D498,D498:D505,G498,G498:G505,Y507:AC696)*CritClassEq_ScorePart)</f>
        <v/>
      </c>
      <c r="F498" s="1279" t="str">
        <f>IF(J498="","",D498+E498+H498*CritClassEq2_Points+M498*CritClassEq2_DiffRencontres+P498*CritClassEq2_DiffMatches+S498*CritClassEq2_DiffButs+N498*CritClassEq2_Matches+Q498*CritClassEq2_Attaque)</f>
        <v/>
      </c>
      <c r="G498" s="476" t="s">
        <v>825</v>
      </c>
      <c r="H498" s="1128" t="str">
        <f>IF(Z507="","",(J498*Points_Victoire)+K498*Points_Null)</f>
        <v/>
      </c>
      <c r="I498" s="535" t="str">
        <f>IF(J498="","",SUM(J498:L498))</f>
        <v/>
      </c>
      <c r="J498" s="535" t="str">
        <f>IF(Z507="","",COUNTIF(AE507:AE700,G498))</f>
        <v/>
      </c>
      <c r="K498" s="535" t="str">
        <f>IF(Z507="","",COUNTIF(AF507:AG700,G498))</f>
        <v/>
      </c>
      <c r="L498" s="535" t="str">
        <f>IF(Z507="","",COUNTIF(AH507:AH700,G498))</f>
        <v/>
      </c>
      <c r="M498" s="1045" t="str">
        <f>IF(Z507="","",J498-L498)</f>
        <v/>
      </c>
      <c r="N498" s="535" t="str">
        <f>IF(Z507="","",SUMIF(Y507:Y700,G498,Z507:Z700)+SUMIF(AC507:AC700,G498,AB507:AB700))</f>
        <v/>
      </c>
      <c r="O498" s="535" t="str">
        <f>IF(Z507="","",SUMIF(Y507:Y700,G498,AB507:AB700)+SUMIF(AC507:AC700,G498,Z507:Z700))</f>
        <v/>
      </c>
      <c r="P498" s="1045" t="str">
        <f>IF(Z507="","",N498-O498)</f>
        <v/>
      </c>
      <c r="Q498" s="535" t="str">
        <f>IF(Z507="","",SUMIF(Y507:Y700,G498,AI507:AI700)+SUMIF(AC507:AC700,G498,AJ507:AJ700))</f>
        <v/>
      </c>
      <c r="R498" s="535" t="str">
        <f>IF(Z507="","",SUMIF(Y507:Y700,G498,AJ507:AJ700)+SUMIF(AC507:AC700,G498,AI507:AI700))</f>
        <v/>
      </c>
      <c r="S498" s="508" t="str">
        <f>IF(Z507="","",Q498-R498)</f>
        <v/>
      </c>
      <c r="T498" s="270"/>
      <c r="U498" s="1158"/>
      <c r="V498" s="1158"/>
      <c r="W498" s="1166"/>
      <c r="X498" s="1159"/>
      <c r="Y498" s="1167"/>
      <c r="Z498" s="271"/>
      <c r="AA498" s="271"/>
      <c r="AB498" s="271"/>
      <c r="AC498" s="290"/>
      <c r="AD498" s="839"/>
      <c r="AE498" s="270"/>
      <c r="AF498" s="270"/>
      <c r="AG498" s="270"/>
      <c r="AH498" s="270"/>
      <c r="AI498" s="270"/>
      <c r="AJ498" s="270"/>
      <c r="AK498" s="270"/>
      <c r="AL498" s="270" t="str">
        <f>IF(Z507="","",SMALL(C498:C505,1))</f>
        <v/>
      </c>
      <c r="AM498" s="270"/>
      <c r="AN498" s="270"/>
      <c r="AO498" s="505" t="str">
        <f>IF(Z507="","",INT(AL498/1000))</f>
        <v/>
      </c>
      <c r="AP498" s="1048" t="str">
        <f>IF(Z507="",IF(HidePlayerFormulas,"","("&amp;G498&amp;")"),VLOOKUP(AL498,C498:S505,5,FALSE))</f>
        <v/>
      </c>
      <c r="AQ498" s="506" t="str">
        <f>VLOOKUP(AL498,C498:S505,6,FALSE)</f>
        <v/>
      </c>
      <c r="AR498" s="535" t="str">
        <f>VLOOKUP(AL498,C498:S505,7,FALSE)</f>
        <v/>
      </c>
      <c r="AS498" s="535" t="str">
        <f>VLOOKUP(AL498,C498:S505,8,FALSE)</f>
        <v/>
      </c>
      <c r="AT498" s="535" t="str">
        <f>VLOOKUP(AL498,C498:S505,9,FALSE)</f>
        <v/>
      </c>
      <c r="AU498" s="535" t="str">
        <f>VLOOKUP(AL498,C498:S505,10,FALSE)</f>
        <v/>
      </c>
      <c r="AV498" s="508" t="str">
        <f>VLOOKUP(AL498,C498:S505,11,FALSE)</f>
        <v/>
      </c>
      <c r="AW498" s="506" t="str">
        <f>VLOOKUP(AL498,C498:S505,12,FALSE)</f>
        <v/>
      </c>
      <c r="AX498" s="535" t="str">
        <f>VLOOKUP(AL498,C498:S505,13,FALSE)</f>
        <v/>
      </c>
      <c r="AY498" s="508" t="str">
        <f>VLOOKUP(AL498,C498:S505,14,FALSE)</f>
        <v/>
      </c>
      <c r="AZ498" s="506" t="str">
        <f>VLOOKUP(AL498,C498:S505,15,FALSE)</f>
        <v/>
      </c>
      <c r="BA498" s="535" t="str">
        <f>VLOOKUP(AL498,C498:S505,16,FALSE)</f>
        <v/>
      </c>
      <c r="BB498" s="508" t="str">
        <f>VLOOKUP(AL498,C498:S505,17,FALSE)</f>
        <v/>
      </c>
      <c r="BC498" s="1041" t="str">
        <f>IF(Z507="","",IF(AP498=Y507,Z507&amp;"("&amp;SUM(Z508:Z511)&amp;")",IF(AP498=AC507,AB507&amp;"("&amp;SUM(AB508:AB511)&amp;")","")))</f>
        <v/>
      </c>
      <c r="BD498" s="1049" t="str">
        <f>IF(Z514="","",IF(AP498=Y514,Z514&amp;"("&amp;SUM(Z515:Z518)&amp;")",IF(AP498=AC514,AB514&amp;"("&amp;SUM(AB515:AB518)&amp;")","")))</f>
        <v/>
      </c>
      <c r="BE498" s="1049" t="str">
        <f>IF(Z521="","",IF(AP498=Y521,Z521&amp;"("&amp;SUM(Z522:Z525)&amp;")",IF(AP498=AC521,AB521&amp;"("&amp;SUM(AB522:AB525)&amp;")","")))</f>
        <v/>
      </c>
      <c r="BF498" s="1049" t="str">
        <f>IF(Z528="","",IF(AP498=Y528,Z528&amp;"("&amp;SUM(Z529:Z532)&amp;")",IF(AP498=AC528,AB528&amp;"("&amp;SUM(AB529:AB532)&amp;")","")))</f>
        <v/>
      </c>
      <c r="BG498" s="1049" t="str">
        <f>IF(Z535="","",IF(AP498=Y535,Z535&amp;"("&amp;SUM(Z536:Z539)&amp;")",IF(AP498=AC535,AB535&amp;"("&amp;SUM(AB536:AB539)&amp;")","")))</f>
        <v/>
      </c>
      <c r="BH498" s="1049" t="str">
        <f>IF(Z542="","",IF(AP498=Y542,Z542&amp;"("&amp;SUM(Z543:Z546)&amp;")",IF(AP498=AC542,AB542&amp;"("&amp;SUM(AB543:AB546)&amp;")","")))</f>
        <v/>
      </c>
      <c r="BI498" s="1049" t="str">
        <f>IF(Z549="","",IF(AP498=Y549,Z549&amp;"("&amp;SUM(Z550:Z553)&amp;")",IF(AP498=AC549,AB549&amp;"("&amp;SUM(AB550:AB553)&amp;")","")))</f>
        <v/>
      </c>
      <c r="BJ498" s="1049" t="str">
        <f>IF(Z556="","",IF(AP498=Y556,Z556&amp;"("&amp;SUM(Z557:Z560)&amp;")",IF(AP498=AC556,AB556&amp;"("&amp;SUM(AB557:AB560)&amp;")","")))</f>
        <v/>
      </c>
      <c r="BK498" s="1049" t="str">
        <f>IF(Z563="","",IF(AP498=Y563,Z563&amp;"("&amp;SUM(Z564:Z567)&amp;")",IF(AP498=AC563,AB563&amp;"("&amp;SUM(AB564:AB567)&amp;")","")))</f>
        <v/>
      </c>
      <c r="BL498" s="1049" t="str">
        <f>IF(Z570="","",IF(AP498=Y570,Z570&amp;"("&amp;SUM(Z571:Z574)&amp;")",IF(AP498=AC570,AB570&amp;"("&amp;SUM(AB571:AB574)&amp;")","")))</f>
        <v/>
      </c>
      <c r="BM498" s="1049" t="str">
        <f>IF(Z577="","",IF(AP498=Y577,Z577&amp;"("&amp;SUM(Z578:Z581)&amp;")",IF(AP498=AC577,AB577&amp;"("&amp;SUM(AB578:AB581)&amp;")","")))</f>
        <v/>
      </c>
      <c r="BN498" s="1049" t="str">
        <f>IF(Z584="","",IF(AP498=Y584,Z584&amp;"("&amp;SUM(Z585:Z588)&amp;")",IF(AP498=AC584,AB584&amp;"("&amp;SUM(AB585:AB588)&amp;")","")))</f>
        <v/>
      </c>
      <c r="BO498" s="1049" t="str">
        <f>IF(Z591="","",IF(AP498=Y591,Z591&amp;"("&amp;SUM(Z592:Z595)&amp;")",IF(AP498=AC591,AB591&amp;"("&amp;SUM(AB592:AB595)&amp;")","")))</f>
        <v/>
      </c>
      <c r="BP498" s="1049" t="str">
        <f>IF(Z598="","",IF(AP498=Y598,Z598&amp;"("&amp;SUM(Z599:Z602)&amp;")",IF(AP498=AC598,AB598&amp;"("&amp;SUM(AB599:AB602)&amp;")","")))</f>
        <v/>
      </c>
      <c r="BQ498" s="1049" t="str">
        <f>IF(Z605="","",IF(AP498=Y605,Z605&amp;"("&amp;SUM(Z606:Z609)&amp;")",IF(AP498=AC605,AB605&amp;"("&amp;SUM(AB606:AB609)&amp;")","")))</f>
        <v/>
      </c>
      <c r="BR498" s="1049" t="str">
        <f>IF(Z612="","",IF(AP498=Y612,Z612&amp;"("&amp;SUM(Z613:Z616)&amp;")",IF(AP498=AC612,AB612&amp;"("&amp;SUM(AB613:AB616)&amp;")","")))</f>
        <v/>
      </c>
      <c r="BS498" s="1049" t="str">
        <f>IF(Z619="","",IF(AP498=Y619,Z619&amp;"("&amp;SUM(Z620:Z623)&amp;")",IF(AP498=AC619,AB619&amp;"("&amp;SUM(AB620:AB623)&amp;")","")))</f>
        <v/>
      </c>
      <c r="BT498" s="1049" t="str">
        <f>IF(Z626="","",IF(AP498=Y626,Z626&amp;"("&amp;SUM(Z627:Z630)&amp;")",IF(AP498=AC626,AB626&amp;"("&amp;SUM(AB627:AB630)&amp;")","")))</f>
        <v/>
      </c>
      <c r="BU498" s="1049" t="str">
        <f>IF(Z633="","",IF(AP498=Y633,Z633&amp;"("&amp;SUM(Z634:Z637)&amp;")",IF(AP498=AC633,AB633&amp;"("&amp;SUM(AB634:AB637)&amp;")","")))</f>
        <v/>
      </c>
      <c r="BV498" s="1049" t="str">
        <f>IF(Z640="","",IF(AP498=Y640,Z640&amp;"("&amp;SUM(Z641:Z644)&amp;")",IF(AP498=AC640,AB640&amp;"("&amp;SUM(AB641:AB644)&amp;")","")))</f>
        <v/>
      </c>
      <c r="BW498" s="1049" t="str">
        <f>IF(Z647="","",IF(AP498=Y647,Z647&amp;"("&amp;SUM(Z648:Z651)&amp;")",IF(AP498=AC647,AB647&amp;"("&amp;SUM(AB648:AB651)&amp;")","")))</f>
        <v/>
      </c>
      <c r="BX498" s="1049" t="str">
        <f>IF(Z654="","",IF(AP498=Y654,Z654&amp;"("&amp;SUM(Z655:Z658)&amp;")",IF(AP498=AC654,AB654&amp;"("&amp;SUM(AB655:AB658)&amp;")","")))</f>
        <v/>
      </c>
      <c r="BY498" s="1049" t="str">
        <f>IF(Z661="","",IF(AP498=Y661,Z661&amp;"("&amp;SUM(Z662:Z665)&amp;")",IF(AP498=AC661,AB661&amp;"("&amp;SUM(AB662:AB665)&amp;")","")))</f>
        <v/>
      </c>
      <c r="BZ498" s="1049" t="str">
        <f>IF(Z668="","",IF(AP498=Y668,Z668&amp;"("&amp;SUM(Z669:Z672)&amp;")",IF(AP498=AC668,AB668&amp;"("&amp;SUM(AB669:AB672)&amp;")","")))</f>
        <v/>
      </c>
      <c r="CA498" s="1049" t="str">
        <f>IF(Z675="","",IF(AP498=Y675,Z675&amp;"("&amp;SUM(Z676:Z679)&amp;")",IF(AP498=AC675,AB675&amp;"("&amp;SUM(AB676:AB679)&amp;")","")))</f>
        <v/>
      </c>
      <c r="CB498" s="1049" t="str">
        <f>IF(Z682="","",IF(AP498=Y682,Z682&amp;"("&amp;SUM(Z683:Z686)&amp;")",IF(AP498=AC682,AB682&amp;"("&amp;SUM(AB683:AB686)&amp;")","")))</f>
        <v/>
      </c>
      <c r="CC498" s="1049" t="str">
        <f>IF(Z689="","",IF(AP498=Y689,Z689&amp;"("&amp;SUM(Z690:Z693)&amp;")",IF(AP498=AC689,AB689&amp;"("&amp;SUM(AB690:AB693)&amp;")","")))</f>
        <v/>
      </c>
      <c r="CD498" s="1050" t="str">
        <f>IF(Z696="","",IF(AP498=Y696,Z696&amp;"("&amp;SUM(Z697:Z700)&amp;")",IF(AP498=AC696,AB696&amp;"("&amp;SUM(AB697:AB700)&amp;")","")))</f>
        <v/>
      </c>
      <c r="CE498" s="1395" t="b">
        <f t="shared" ref="CE498:CE505" si="18">IF(G498="[---WithDraw---]",FALSE,IF(COUNTIF(PlayerNamesWithinGroups,G498)&gt;1,TRUE,FALSE))</f>
        <v>1</v>
      </c>
      <c r="CF498" s="1450" t="b">
        <f t="shared" ref="CF498:CF505" si="19">AND(LEFT($AP498,1) = "(", RIGHT($AP498,1) =")")</f>
        <v>0</v>
      </c>
      <c r="CG498" s="1450" t="b">
        <f t="shared" ref="CG498:CG505" si="20">IF(OR($AO498=$AO497,$AO498=$AO499),TRUE,FALSE)</f>
        <v>1</v>
      </c>
      <c r="CH498" s="270"/>
      <c r="CI498" s="270"/>
      <c r="CJ498" s="270"/>
      <c r="CK498" s="270"/>
      <c r="CL498" s="270"/>
      <c r="CM498" s="270"/>
    </row>
    <row r="499" spans="1:91" outlineLevel="1" x14ac:dyDescent="0.2">
      <c r="A499" s="270"/>
      <c r="B499" s="545">
        <v>2</v>
      </c>
      <c r="C499" s="1055" t="str">
        <f>IF(Z507="","",RANK(F499,F498:F505)*1000+ROW())</f>
        <v/>
      </c>
      <c r="D499" s="1051" t="str">
        <f t="shared" si="17"/>
        <v/>
      </c>
      <c r="E499" s="1051" t="str">
        <f>IF(J499="","",Nb_Diff_Part(D499,D498:D505,G499,G498:G505,AK507:AK696)*CritClassEq_DiffPart+Nb_Goal_Part(D499,D498:D505,G499,G498:G505,Y507:AC696)*CritClassEq_IndsPart+Nb_Score_Part(D499,D498:D505,G499,G498:G505,Y507:AC696)*CritClassEq_WinsPart+Nb_GoalTeam_Part(D499,D498:D505,G499,G498:G505,Y507:AC696)*CritClassEq_GoalPart+Nb_ScoreTeam_Part(D499,D498:D505,G499,G498:G505,Y507:AC696)*CritClassEq_ScorePart)</f>
        <v/>
      </c>
      <c r="F499" s="1130" t="str">
        <f t="shared" ref="F499:F505" si="21">IF(J499="","",D499+E499+H499*CritClassEq2_Points+M499*CritClassEq2_DiffRencontres+P499*CritClassEq2_DiffMatches+S499*CritClassEq2_DiffButs+N499*CritClassEq2_Matches+Q499*CritClassEq2_Attaque)</f>
        <v/>
      </c>
      <c r="G499" s="477" t="s">
        <v>826</v>
      </c>
      <c r="H499" s="1131" t="str">
        <f>IF(Z507="","",(J499*Points_Victoire)+K499*Points_Null)</f>
        <v/>
      </c>
      <c r="I499" s="537" t="str">
        <f t="shared" ref="I499:I505" si="22">IF(J499="","",SUM(J499:L499))</f>
        <v/>
      </c>
      <c r="J499" s="537" t="str">
        <f>IF(Z507="","",COUNTIF(AE507:AE700,G499))</f>
        <v/>
      </c>
      <c r="K499" s="537" t="str">
        <f>IF(Z507="","",COUNTIF(AF507:AG700,G499))</f>
        <v/>
      </c>
      <c r="L499" s="537" t="str">
        <f>IF(Z507="","",COUNTIF(AH507:AH700,G499))</f>
        <v/>
      </c>
      <c r="M499" s="1053" t="str">
        <f>IF(Z507="","",J499-L499)</f>
        <v/>
      </c>
      <c r="N499" s="537" t="str">
        <f>IF(Z507="","",SUMIF(Y507:Y700,G499,Z507:Z700)+SUMIF(AC507:AC700,G499,AB507:AB700))</f>
        <v/>
      </c>
      <c r="O499" s="537" t="str">
        <f>IF(Z507="","",SUMIF(Y507:Y700,G499,AB507:AB700)+SUMIF(AC507:AC700,G499,Z507:Z700))</f>
        <v/>
      </c>
      <c r="P499" s="1053" t="str">
        <f>IF(Z507="","",N499-O499)</f>
        <v/>
      </c>
      <c r="Q499" s="537" t="str">
        <f>IF(Z507="","",SUMIF(Y507:Y700,G499,AI507:AI700)+SUMIF(AC507:AC700,G499,AJ507:AJ700))</f>
        <v/>
      </c>
      <c r="R499" s="537" t="str">
        <f>IF(Z507="","",SUMIF(Y507:Y700,G499,AJ507:AJ700)+SUMIF(AC507:AC700,G499,AI507:AI700))</f>
        <v/>
      </c>
      <c r="S499" s="512" t="str">
        <f>IF(Z507="","",Q499-R499)</f>
        <v/>
      </c>
      <c r="T499" s="270"/>
      <c r="U499" s="1158"/>
      <c r="V499" s="1158"/>
      <c r="W499" s="1166"/>
      <c r="X499" s="1159"/>
      <c r="Y499" s="1167"/>
      <c r="Z499" s="271"/>
      <c r="AA499" s="271"/>
      <c r="AB499" s="271"/>
      <c r="AC499" s="290"/>
      <c r="AD499" s="839"/>
      <c r="AE499" s="270"/>
      <c r="AF499" s="270"/>
      <c r="AG499" s="270"/>
      <c r="AH499" s="270"/>
      <c r="AI499" s="270"/>
      <c r="AJ499" s="270"/>
      <c r="AK499" s="270"/>
      <c r="AL499" s="270" t="str">
        <f>IF(Z507="","",SMALL(C498:C505,2))</f>
        <v/>
      </c>
      <c r="AM499" s="270"/>
      <c r="AN499" s="270"/>
      <c r="AO499" s="509" t="str">
        <f>IF(Z507="","",INT(AL499/1000))</f>
        <v/>
      </c>
      <c r="AP499" s="1054" t="str">
        <f>IF(Z507="",IF(HidePlayerFormulas,"","("&amp;G499&amp;")"),VLOOKUP(AL499,C498:S505,5,FALSE))</f>
        <v/>
      </c>
      <c r="AQ499" s="510" t="str">
        <f>VLOOKUP(AL499,C498:S505,6,FALSE)</f>
        <v/>
      </c>
      <c r="AR499" s="537" t="str">
        <f>VLOOKUP(AL499,C498:S505,7,FALSE)</f>
        <v/>
      </c>
      <c r="AS499" s="537" t="str">
        <f>VLOOKUP(AL499,C498:S505,8,FALSE)</f>
        <v/>
      </c>
      <c r="AT499" s="537" t="str">
        <f>VLOOKUP(AL499,C498:S505,9,FALSE)</f>
        <v/>
      </c>
      <c r="AU499" s="537" t="str">
        <f>VLOOKUP(AL499,C498:S505,10,FALSE)</f>
        <v/>
      </c>
      <c r="AV499" s="512" t="str">
        <f>VLOOKUP(AL499,C498:S505,11,FALSE)</f>
        <v/>
      </c>
      <c r="AW499" s="510" t="str">
        <f>VLOOKUP(AL499,C498:S505,12,FALSE)</f>
        <v/>
      </c>
      <c r="AX499" s="537" t="str">
        <f>VLOOKUP(AL499,C498:S505,13,FALSE)</f>
        <v/>
      </c>
      <c r="AY499" s="512" t="str">
        <f>VLOOKUP(AL499,C498:S505,14,FALSE)</f>
        <v/>
      </c>
      <c r="AZ499" s="510" t="str">
        <f>VLOOKUP(AL499,C498:S505,15,FALSE)</f>
        <v/>
      </c>
      <c r="BA499" s="537" t="str">
        <f>VLOOKUP(AL499,C498:S505,16,FALSE)</f>
        <v/>
      </c>
      <c r="BB499" s="512" t="str">
        <f>VLOOKUP(AL499,C498:S505,17,FALSE)</f>
        <v/>
      </c>
      <c r="BC499" s="1055" t="str">
        <f>IF(Z507="","",IF(AP499=Y507,Z507&amp;"("&amp;SUM(Z508:Z511)&amp;")",IF(AP499=AC507,AB507&amp;"("&amp;SUM(AB508:AB511)&amp;")","")))</f>
        <v/>
      </c>
      <c r="BD499" s="126" t="str">
        <f>IF(Z514="","",IF(AP499=Y514,Z514&amp;"("&amp;SUM(Z515:Z518)&amp;")",IF(AP499=AC514,AB514&amp;"("&amp;SUM(AB515:AB518)&amp;")","")))</f>
        <v/>
      </c>
      <c r="BE499" s="126" t="str">
        <f>IF(Z521="","",IF(AP499=Y521,Z521&amp;"("&amp;SUM(Z522:Z525)&amp;")",IF(AP499=AC521,AB521&amp;"("&amp;SUM(AB522:AB525)&amp;")","")))</f>
        <v/>
      </c>
      <c r="BF499" s="126" t="str">
        <f>IF(Z528="","",IF(AP499=Y528,Z528&amp;"("&amp;SUM(Z529:Z532)&amp;")",IF(AP499=AC528,AB528&amp;"("&amp;SUM(AB529:AB532)&amp;")","")))</f>
        <v/>
      </c>
      <c r="BG499" s="126" t="str">
        <f>IF(Z535="","",IF(AP499=Y535,Z535&amp;"("&amp;SUM(Z536:Z539)&amp;")",IF(AP499=AC535,AB535&amp;"("&amp;SUM(AB536:AB539)&amp;")","")))</f>
        <v/>
      </c>
      <c r="BH499" s="126" t="str">
        <f>IF(Z542="","",IF(AP499=Y542,Z542&amp;"("&amp;SUM(Z543:Z546)&amp;")",IF(AP499=AC542,AB542&amp;"("&amp;SUM(AB543:AB546)&amp;")","")))</f>
        <v/>
      </c>
      <c r="BI499" s="126" t="str">
        <f>IF(Z549="","",IF(AP499=Y549,Z549&amp;"("&amp;SUM(Z550:Z553)&amp;")",IF(AP499=AC549,AB549&amp;"("&amp;SUM(AB550:AB553)&amp;")","")))</f>
        <v/>
      </c>
      <c r="BJ499" s="126" t="str">
        <f>IF(Z556="","",IF(AP499=Y556,Z556&amp;"("&amp;SUM(Z557:Z560)&amp;")",IF(AP499=AC556,AB556&amp;"("&amp;SUM(AB557:AB560)&amp;")","")))</f>
        <v/>
      </c>
      <c r="BK499" s="126" t="str">
        <f>IF(Z563="","",IF(AP499=Y563,Z563&amp;"("&amp;SUM(Z564:Z567)&amp;")",IF(AP499=AC563,AB563&amp;"("&amp;SUM(AB564:AB567)&amp;")","")))</f>
        <v/>
      </c>
      <c r="BL499" s="126" t="str">
        <f>IF(Z570="","",IF(AP499=Y570,Z570&amp;"("&amp;SUM(Z571:Z574)&amp;")",IF(AP499=AC570,AB570&amp;"("&amp;SUM(AB571:AB574)&amp;")","")))</f>
        <v/>
      </c>
      <c r="BM499" s="126" t="str">
        <f>IF(Z577="","",IF(AP499=Y577,Z577&amp;"("&amp;SUM(Z578:Z581)&amp;")",IF(AP499=AC577,AB577&amp;"("&amp;SUM(AB578:AB581)&amp;")","")))</f>
        <v/>
      </c>
      <c r="BN499" s="126" t="str">
        <f>IF(Z584="","",IF(AP499=Y584,Z584&amp;"("&amp;SUM(Z585:Z588)&amp;")",IF(AP499=AC584,AB584&amp;"("&amp;SUM(AB585:AB588)&amp;")","")))</f>
        <v/>
      </c>
      <c r="BO499" s="126" t="str">
        <f>IF(Z591="","",IF(AP499=Y591,Z591&amp;"("&amp;SUM(Z592:Z595)&amp;")",IF(AP499=AC591,AB591&amp;"("&amp;SUM(AB592:AB595)&amp;")","")))</f>
        <v/>
      </c>
      <c r="BP499" s="126" t="str">
        <f>IF(Z598="","",IF(AP499=Y598,Z598&amp;"("&amp;SUM(Z599:Z602)&amp;")",IF(AP499=AC598,AB598&amp;"("&amp;SUM(AB599:AB602)&amp;")","")))</f>
        <v/>
      </c>
      <c r="BQ499" s="126" t="str">
        <f>IF(Z605="","",IF(AP499=Y605,Z605&amp;"("&amp;SUM(Z606:Z609)&amp;")",IF(AP499=AC605,AB605&amp;"("&amp;SUM(AB606:AB609)&amp;")","")))</f>
        <v/>
      </c>
      <c r="BR499" s="126" t="str">
        <f>IF(Z612="","",IF(AP499=Y612,Z612&amp;"("&amp;SUM(Z613:Z616)&amp;")",IF(AP499=AC612,AB612&amp;"("&amp;SUM(AB613:AB616)&amp;")","")))</f>
        <v/>
      </c>
      <c r="BS499" s="126" t="str">
        <f>IF(Z619="","",IF(AP499=Y619,Z619&amp;"("&amp;SUM(Z620:Z623)&amp;")",IF(AP499=AC619,AB619&amp;"("&amp;SUM(AB620:AB623)&amp;")","")))</f>
        <v/>
      </c>
      <c r="BT499" s="126" t="str">
        <f>IF(Z626="","",IF(AP499=Y626,Z626&amp;"("&amp;SUM(Z627:Z630)&amp;")",IF(AP499=AC626,AB626&amp;"("&amp;SUM(AB627:AB630)&amp;")","")))</f>
        <v/>
      </c>
      <c r="BU499" s="126" t="str">
        <f>IF(Z633="","",IF(AP499=Y633,Z633&amp;"("&amp;SUM(Z634:Z637)&amp;")",IF(AP499=AC633,AB633&amp;"("&amp;SUM(AB634:AB637)&amp;")","")))</f>
        <v/>
      </c>
      <c r="BV499" s="126" t="str">
        <f>IF(Z640="","",IF(AP499=Y640,Z640&amp;"("&amp;SUM(Z641:Z644)&amp;")",IF(AP499=AC640,AB640&amp;"("&amp;SUM(AB641:AB644)&amp;")","")))</f>
        <v/>
      </c>
      <c r="BW499" s="126" t="str">
        <f>IF(Z647="","",IF(AP499=Y647,Z647&amp;"("&amp;SUM(Z648:Z651)&amp;")",IF(AP499=AC647,AB647&amp;"("&amp;SUM(AB648:AB651)&amp;")","")))</f>
        <v/>
      </c>
      <c r="BX499" s="126" t="str">
        <f>IF(Z654="","",IF(AP499=Y654,Z654&amp;"("&amp;SUM(Z655:Z658)&amp;")",IF(AP499=AC654,AB654&amp;"("&amp;SUM(AB655:AB658)&amp;")","")))</f>
        <v/>
      </c>
      <c r="BY499" s="126" t="str">
        <f>IF(Z661="","",IF(AP499=Y661,Z661&amp;"("&amp;SUM(Z662:Z665)&amp;")",IF(AP499=AC661,AB661&amp;"("&amp;SUM(AB662:AB665)&amp;")","")))</f>
        <v/>
      </c>
      <c r="BZ499" s="126" t="str">
        <f>IF(Z668="","",IF(AP499=Y668,Z668&amp;"("&amp;SUM(Z669:Z672)&amp;")",IF(AP499=AC668,AB668&amp;"("&amp;SUM(AB669:AB672)&amp;")","")))</f>
        <v/>
      </c>
      <c r="CA499" s="126" t="str">
        <f>IF(Z675="","",IF(AP499=Y675,Z675&amp;"("&amp;SUM(Z676:Z679)&amp;")",IF(AP499=AC675,AB675&amp;"("&amp;SUM(AB676:AB679)&amp;")","")))</f>
        <v/>
      </c>
      <c r="CB499" s="126" t="str">
        <f>IF(Z682="","",IF(AP499=Y682,Z682&amp;"("&amp;SUM(Z683:Z686)&amp;")",IF(AP499=AC682,AB682&amp;"("&amp;SUM(AB683:AB686)&amp;")","")))</f>
        <v/>
      </c>
      <c r="CC499" s="126" t="str">
        <f>IF(Z689="","",IF(AP499=Y689,Z689&amp;"("&amp;SUM(Z690:Z693)&amp;")",IF(AP499=AC689,AB689&amp;"("&amp;SUM(AB690:AB693)&amp;")","")))</f>
        <v/>
      </c>
      <c r="CD499" s="1056" t="str">
        <f>IF(Z696="","",IF(AP499=Y696,Z696&amp;"("&amp;SUM(Z697:Z700)&amp;")",IF(AP499=AC696,AB696&amp;"("&amp;SUM(AB697:AB700)&amp;")","")))</f>
        <v/>
      </c>
      <c r="CE499" s="1395" t="b">
        <f t="shared" si="18"/>
        <v>1</v>
      </c>
      <c r="CF499" s="1450" t="b">
        <f t="shared" si="19"/>
        <v>0</v>
      </c>
      <c r="CG499" s="1450" t="b">
        <f t="shared" si="20"/>
        <v>1</v>
      </c>
      <c r="CH499" s="270"/>
      <c r="CI499" s="270"/>
      <c r="CJ499" s="270"/>
      <c r="CK499" s="270"/>
      <c r="CL499" s="270"/>
      <c r="CM499" s="270"/>
    </row>
    <row r="500" spans="1:91" outlineLevel="1" x14ac:dyDescent="0.2">
      <c r="A500" s="270"/>
      <c r="B500" s="545">
        <v>3</v>
      </c>
      <c r="C500" s="1055" t="str">
        <f>IF(Z507="","",RANK(F500,F498:F505)*1000+ROW())</f>
        <v/>
      </c>
      <c r="D500" s="1051" t="str">
        <f>IF(J500="","",H500*CritClassEq1_Points+M500*CritClassEq1_DiffRencontres+P500*CritClassEq1_DiffMatches+S500*CritClassEq1_DiffButs+N500*CritClassEq1_Matches+Q500*CritClassEq1_Attaque)</f>
        <v/>
      </c>
      <c r="E500" s="1051" t="str">
        <f>IF(J500="","",Nb_Diff_Part(D500,D498:D505,G500,G498:G505,AK507:AK696)*CritClassEq_DiffPart+Nb_Goal_Part(D500,D498:D505,G500,G498:G505,Y507:AC696)*CritClassEq_IndsPart+Nb_Score_Part(D500,D498:D505,G500,G498:G505,Y507:AC696)*CritClassEq_WinsPart+Nb_GoalTeam_Part(D500,D498:D505,G500,G498:G505,Y507:AC696)*CritClassEq_GoalPart+Nb_ScoreTeam_Part(D500,D498:D505,G500,G498:G505,Y507:AC696)*CritClassEq_ScorePart)</f>
        <v/>
      </c>
      <c r="F500" s="1130" t="str">
        <f t="shared" si="21"/>
        <v/>
      </c>
      <c r="G500" s="478" t="s">
        <v>827</v>
      </c>
      <c r="H500" s="1131" t="str">
        <f>IF(Z507="","",(J500*Points_Victoire)+K500*Points_Null)</f>
        <v/>
      </c>
      <c r="I500" s="537" t="str">
        <f t="shared" si="22"/>
        <v/>
      </c>
      <c r="J500" s="537" t="str">
        <f>IF(Z507="","",COUNTIF(AE507:AE700,G500))</f>
        <v/>
      </c>
      <c r="K500" s="537" t="str">
        <f>IF(Z507="","",COUNTIF(AF507:AG700,G500))</f>
        <v/>
      </c>
      <c r="L500" s="537" t="str">
        <f>IF(Z507="","",COUNTIF(AH507:AH700,G500))</f>
        <v/>
      </c>
      <c r="M500" s="1053" t="str">
        <f>IF(Z507="","",J500-L500)</f>
        <v/>
      </c>
      <c r="N500" s="537" t="str">
        <f>IF(Z507="","",SUMIF(Y507:Y700,G500,Z507:Z700)+SUMIF(AC507:AC700,G500,AB507:AB700))</f>
        <v/>
      </c>
      <c r="O500" s="537" t="str">
        <f>IF(Z507="","",SUMIF(Y507:Y700,G500,AB507:AB700)+SUMIF(AC507:AC700,G500,Z507:Z700))</f>
        <v/>
      </c>
      <c r="P500" s="1053" t="str">
        <f>IF(Z507="","",N500-O500)</f>
        <v/>
      </c>
      <c r="Q500" s="537" t="str">
        <f>IF(Z507="","",SUMIF(Y507:Y700,G500,AI507:AI700)+SUMIF(AC507:AC700,G500,AJ507:AJ700))</f>
        <v/>
      </c>
      <c r="R500" s="537" t="str">
        <f>IF(Z507="","",SUMIF(Y507:Y700,G500,AJ507:AJ700)+SUMIF(AC507:AC700,G500,AI507:AI700))</f>
        <v/>
      </c>
      <c r="S500" s="512" t="str">
        <f>IF(Z507="","",Q500-R500)</f>
        <v/>
      </c>
      <c r="T500" s="270"/>
      <c r="U500" s="1158"/>
      <c r="V500" s="1158"/>
      <c r="W500" s="1166"/>
      <c r="X500" s="1159"/>
      <c r="Y500" s="1167"/>
      <c r="Z500" s="271"/>
      <c r="AA500" s="271"/>
      <c r="AB500" s="271"/>
      <c r="AC500" s="290"/>
      <c r="AD500" s="839"/>
      <c r="AE500" s="270"/>
      <c r="AF500" s="270"/>
      <c r="AG500" s="270"/>
      <c r="AH500" s="270"/>
      <c r="AI500" s="270"/>
      <c r="AJ500" s="270"/>
      <c r="AK500" s="270"/>
      <c r="AL500" s="270" t="str">
        <f>IF(Z507="","",SMALL(C498:C505,3))</f>
        <v/>
      </c>
      <c r="AM500" s="270"/>
      <c r="AN500" s="270"/>
      <c r="AO500" s="509" t="str">
        <f>IF(Z507="","",INT(AL500/1000))</f>
        <v/>
      </c>
      <c r="AP500" s="1054" t="str">
        <f>IF(Z507="",IF(HidePlayerFormulas,"","("&amp;G500&amp;")"),VLOOKUP(AL500,C498:S505,5,FALSE))</f>
        <v/>
      </c>
      <c r="AQ500" s="510" t="str">
        <f>VLOOKUP(AL500,C498:S505,6,FALSE)</f>
        <v/>
      </c>
      <c r="AR500" s="537" t="str">
        <f>VLOOKUP(AL500,C498:S505,7,FALSE)</f>
        <v/>
      </c>
      <c r="AS500" s="537" t="str">
        <f>VLOOKUP(AL500,C498:S505,8,FALSE)</f>
        <v/>
      </c>
      <c r="AT500" s="537" t="str">
        <f>VLOOKUP(AL500,C498:S505,9,FALSE)</f>
        <v/>
      </c>
      <c r="AU500" s="537" t="str">
        <f>VLOOKUP(AL500,C498:S505,10,FALSE)</f>
        <v/>
      </c>
      <c r="AV500" s="512" t="str">
        <f>VLOOKUP(AL500,C498:S505,11,FALSE)</f>
        <v/>
      </c>
      <c r="AW500" s="510" t="str">
        <f>VLOOKUP(AL500,C498:S505,12,FALSE)</f>
        <v/>
      </c>
      <c r="AX500" s="537" t="str">
        <f>VLOOKUP(AL500,C498:S505,13,FALSE)</f>
        <v/>
      </c>
      <c r="AY500" s="512" t="str">
        <f>VLOOKUP(AL500,C498:S505,14,FALSE)</f>
        <v/>
      </c>
      <c r="AZ500" s="510" t="str">
        <f>VLOOKUP(AL500,C498:S505,15,FALSE)</f>
        <v/>
      </c>
      <c r="BA500" s="537" t="str">
        <f>VLOOKUP(AL500,C498:S505,16,FALSE)</f>
        <v/>
      </c>
      <c r="BB500" s="512" t="str">
        <f>VLOOKUP(AL500,C498:S505,17,FALSE)</f>
        <v/>
      </c>
      <c r="BC500" s="1055" t="str">
        <f>IF(Z507="","",IF(AP500=Y507,Z507&amp;"("&amp;SUM(Z508:Z511)&amp;")",IF(AP500=AC507,AB507&amp;"("&amp;SUM(AB508:AB511)&amp;")","")))</f>
        <v/>
      </c>
      <c r="BD500" s="126" t="str">
        <f>IF(Z514="","",IF(AP500=Y514,Z514&amp;"("&amp;SUM(Z515:Z518)&amp;")",IF(AP500=AC514,AB514&amp;"("&amp;SUM(AB515:AB518)&amp;")","")))</f>
        <v/>
      </c>
      <c r="BE500" s="126" t="str">
        <f>IF(Z521="","",IF(AP500=Y521,Z521&amp;"("&amp;SUM(Z522:Z525)&amp;")",IF(AP500=AC521,AB521&amp;"("&amp;SUM(AB522:AB525)&amp;")","")))</f>
        <v/>
      </c>
      <c r="BF500" s="126" t="str">
        <f>IF(Z528="","",IF(AP500=Y528,Z528&amp;"("&amp;SUM(Z529:Z532)&amp;")",IF(AP500=AC528,AB528&amp;"("&amp;SUM(AB529:AB532)&amp;")","")))</f>
        <v/>
      </c>
      <c r="BG500" s="126" t="str">
        <f>IF(Z535="","",IF(AP500=Y535,Z535&amp;"("&amp;SUM(Z536:Z539)&amp;")",IF(AP500=AC535,AB535&amp;"("&amp;SUM(AB536:AB539)&amp;")","")))</f>
        <v/>
      </c>
      <c r="BH500" s="126" t="str">
        <f>IF(Z542="","",IF(AP500=Y542,Z542&amp;"("&amp;SUM(Z543:Z546)&amp;")",IF(AP500=AC542,AB542&amp;"("&amp;SUM(AB543:AB546)&amp;")","")))</f>
        <v/>
      </c>
      <c r="BI500" s="126" t="str">
        <f>IF(Z549="","",IF(AP500=Y549,Z549&amp;"("&amp;SUM(Z550:Z553)&amp;")",IF(AP500=AC549,AB549&amp;"("&amp;SUM(AB550:AB553)&amp;")","")))</f>
        <v/>
      </c>
      <c r="BJ500" s="126" t="str">
        <f>IF(Z556="","",IF(AP500=Y556,Z556&amp;"("&amp;SUM(Z557:Z560)&amp;")",IF(AP500=AC556,AB556&amp;"("&amp;SUM(AB557:AB560)&amp;")","")))</f>
        <v/>
      </c>
      <c r="BK500" s="126" t="str">
        <f>IF(Z563="","",IF(AP500=Y563,Z563&amp;"("&amp;SUM(Z564:Z567)&amp;")",IF(AP500=AC563,AB563&amp;"("&amp;SUM(AB564:AB567)&amp;")","")))</f>
        <v/>
      </c>
      <c r="BL500" s="126" t="str">
        <f>IF(Z570="","",IF(AP500=Y570,Z570&amp;"("&amp;SUM(Z571:Z574)&amp;")",IF(AP500=AC570,AB570&amp;"("&amp;SUM(AB571:AB574)&amp;")","")))</f>
        <v/>
      </c>
      <c r="BM500" s="126" t="str">
        <f>IF(Z577="","",IF(AP500=Y577,Z577&amp;"("&amp;SUM(Z578:Z581)&amp;")",IF(AP500=AC577,AB577&amp;"("&amp;SUM(AB578:AB581)&amp;")","")))</f>
        <v/>
      </c>
      <c r="BN500" s="126" t="str">
        <f>IF(Z584="","",IF(AP500=Y584,Z584&amp;"("&amp;SUM(Z585:Z588)&amp;")",IF(AP500=AC584,AB584&amp;"("&amp;SUM(AB585:AB588)&amp;")","")))</f>
        <v/>
      </c>
      <c r="BO500" s="126" t="str">
        <f>IF(Z591="","",IF(AP500=Y591,Z591&amp;"("&amp;SUM(Z592:Z595)&amp;")",IF(AP500=AC591,AB591&amp;"("&amp;SUM(AB592:AB595)&amp;")","")))</f>
        <v/>
      </c>
      <c r="BP500" s="126" t="str">
        <f>IF(Z598="","",IF(AP500=Y598,Z598&amp;"("&amp;SUM(Z599:Z602)&amp;")",IF(AP500=AC598,AB598&amp;"("&amp;SUM(AB599:AB602)&amp;")","")))</f>
        <v/>
      </c>
      <c r="BQ500" s="126" t="str">
        <f>IF(Z605="","",IF(AP500=Y605,Z605&amp;"("&amp;SUM(Z606:Z609)&amp;")",IF(AP500=AC605,AB605&amp;"("&amp;SUM(AB606:AB609)&amp;")","")))</f>
        <v/>
      </c>
      <c r="BR500" s="126" t="str">
        <f>IF(Z612="","",IF(AP500=Y612,Z612&amp;"("&amp;SUM(Z613:Z616)&amp;")",IF(AP500=AC612,AB612&amp;"("&amp;SUM(AB613:AB616)&amp;")","")))</f>
        <v/>
      </c>
      <c r="BS500" s="126" t="str">
        <f>IF(Z619="","",IF(AP500=Y619,Z619&amp;"("&amp;SUM(Z620:Z623)&amp;")",IF(AP500=AC619,AB619&amp;"("&amp;SUM(AB620:AB623)&amp;")","")))</f>
        <v/>
      </c>
      <c r="BT500" s="126" t="str">
        <f>IF(Z626="","",IF(AP500=Y626,Z626&amp;"("&amp;SUM(Z627:Z630)&amp;")",IF(AP500=AC626,AB626&amp;"("&amp;SUM(AB627:AB630)&amp;")","")))</f>
        <v/>
      </c>
      <c r="BU500" s="126" t="str">
        <f>IF(Z633="","",IF(AP500=Y633,Z633&amp;"("&amp;SUM(Z634:Z637)&amp;")",IF(AP500=AC633,AB633&amp;"("&amp;SUM(AB634:AB637)&amp;")","")))</f>
        <v/>
      </c>
      <c r="BV500" s="126" t="str">
        <f>IF(Z640="","",IF(AP500=Y640,Z640&amp;"("&amp;SUM(Z641:Z644)&amp;")",IF(AP500=AC640,AB640&amp;"("&amp;SUM(AB641:AB644)&amp;")","")))</f>
        <v/>
      </c>
      <c r="BW500" s="126" t="str">
        <f>IF(Z647="","",IF(AP500=Y647,Z647&amp;"("&amp;SUM(Z648:Z651)&amp;")",IF(AP500=AC647,AB647&amp;"("&amp;SUM(AB648:AB651)&amp;")","")))</f>
        <v/>
      </c>
      <c r="BX500" s="126" t="str">
        <f>IF(Z654="","",IF(AP500=Y654,Z654&amp;"("&amp;SUM(Z655:Z658)&amp;")",IF(AP500=AC654,AB654&amp;"("&amp;SUM(AB655:AB658)&amp;")","")))</f>
        <v/>
      </c>
      <c r="BY500" s="126" t="str">
        <f>IF(Z661="","",IF(AP500=Y661,Z661&amp;"("&amp;SUM(Z662:Z665)&amp;")",IF(AP500=AC661,AB661&amp;"("&amp;SUM(AB662:AB665)&amp;")","")))</f>
        <v/>
      </c>
      <c r="BZ500" s="126" t="str">
        <f>IF(Z668="","",IF(AP500=Y668,Z668&amp;"("&amp;SUM(Z669:Z672)&amp;")",IF(AP500=AC668,AB668&amp;"("&amp;SUM(AB669:AB672)&amp;")","")))</f>
        <v/>
      </c>
      <c r="CA500" s="126" t="str">
        <f>IF(Z675="","",IF(AP500=Y675,Z675&amp;"("&amp;SUM(Z676:Z679)&amp;")",IF(AP500=AC675,AB675&amp;"("&amp;SUM(AB676:AB679)&amp;")","")))</f>
        <v/>
      </c>
      <c r="CB500" s="126" t="str">
        <f>IF(Z682="","",IF(AP500=Y682,Z682&amp;"("&amp;SUM(Z683:Z686)&amp;")",IF(AP500=AC682,AB682&amp;"("&amp;SUM(AB683:AB686)&amp;")","")))</f>
        <v/>
      </c>
      <c r="CC500" s="126" t="str">
        <f>IF(Z689="","",IF(AP500=Y689,Z689&amp;"("&amp;SUM(Z690:Z693)&amp;")",IF(AP500=AC689,AB689&amp;"("&amp;SUM(AB690:AB693)&amp;")","")))</f>
        <v/>
      </c>
      <c r="CD500" s="1056" t="str">
        <f>IF(Z696="","",IF(AP500=Y696,Z696&amp;"("&amp;SUM(Z697:Z700)&amp;")",IF(AP500=AC696,AB696&amp;"("&amp;SUM(AB697:AB700)&amp;")","")))</f>
        <v/>
      </c>
      <c r="CE500" s="1395" t="b">
        <f t="shared" si="18"/>
        <v>1</v>
      </c>
      <c r="CF500" s="1450" t="b">
        <f t="shared" si="19"/>
        <v>0</v>
      </c>
      <c r="CG500" s="1450" t="b">
        <f t="shared" si="20"/>
        <v>1</v>
      </c>
      <c r="CH500" s="270"/>
      <c r="CI500" s="270"/>
      <c r="CJ500" s="270"/>
      <c r="CK500" s="270"/>
      <c r="CL500" s="270"/>
      <c r="CM500" s="270"/>
    </row>
    <row r="501" spans="1:91" outlineLevel="1" x14ac:dyDescent="0.2">
      <c r="A501" s="270"/>
      <c r="B501" s="536">
        <v>4</v>
      </c>
      <c r="C501" s="1055" t="str">
        <f>IF(Z507="","",RANK(F501,F498:F505)*1000+ROW())</f>
        <v/>
      </c>
      <c r="D501" s="1051" t="str">
        <f t="shared" si="17"/>
        <v/>
      </c>
      <c r="E501" s="1051" t="str">
        <f>IF(J501="","",Nb_Diff_Part(D501,D498:D505,G501,G498:G505,AK507:AK696)*CritClassEq_DiffPart+Nb_Goal_Part(D501,D498:D505,G501,G498:G505,Y507:AC696)*CritClassEq_IndsPart+Nb_Score_Part(D501,D498:D505,G501,G498:G505,Y507:AC696)*CritClassEq_WinsPart+Nb_GoalTeam_Part(D501,D498:D505,G501,G498:G505,Y507:AC696)*CritClassEq_GoalPart+Nb_ScoreTeam_Part(D501,D498:D505,G501,G498:G505,Y507:AC696)*CritClassEq_ScorePart)</f>
        <v/>
      </c>
      <c r="F501" s="1130" t="str">
        <f t="shared" si="21"/>
        <v/>
      </c>
      <c r="G501" s="478" t="s">
        <v>828</v>
      </c>
      <c r="H501" s="1131" t="str">
        <f>IF(Z507="","",(J501*Points_Victoire)+K501*Points_Null)</f>
        <v/>
      </c>
      <c r="I501" s="537" t="str">
        <f t="shared" si="22"/>
        <v/>
      </c>
      <c r="J501" s="537" t="str">
        <f>IF(Z507="","",COUNTIF(AE507:AE700,G501))</f>
        <v/>
      </c>
      <c r="K501" s="537" t="str">
        <f>IF(Z507="","",COUNTIF(AF507:AG700,G501))</f>
        <v/>
      </c>
      <c r="L501" s="537" t="str">
        <f>IF(Z507="","",COUNTIF(AH507:AH700,G501))</f>
        <v/>
      </c>
      <c r="M501" s="1053" t="str">
        <f>IF(Z507="","",J501-L501)</f>
        <v/>
      </c>
      <c r="N501" s="537" t="str">
        <f>IF(Z507="","",SUMIF(Y507:Y700,G501,Z507:Z700)+SUMIF(AC507:AC700,G501,AB507:AB700))</f>
        <v/>
      </c>
      <c r="O501" s="537" t="str">
        <f>IF(Z507="","",SUMIF(Y507:Y700,G501,AB507:AB700)+SUMIF(AC507:AC700,G501,Z507:Z700))</f>
        <v/>
      </c>
      <c r="P501" s="1053" t="str">
        <f>IF(Z507="","",N501-O501)</f>
        <v/>
      </c>
      <c r="Q501" s="537" t="str">
        <f>IF(Z507="","",SUMIF(Y507:Y700,G501,AI507:AI700)+SUMIF(AC507:AC700,G501,AJ507:AJ700))</f>
        <v/>
      </c>
      <c r="R501" s="537" t="str">
        <f>IF(Z507="","",SUMIF(Y507:Y700,G501,AJ507:AJ700)+SUMIF(AC507:AC700,G501,AI507:AI700))</f>
        <v/>
      </c>
      <c r="S501" s="512" t="str">
        <f>IF(Z507="","",Q501-R501)</f>
        <v/>
      </c>
      <c r="T501" s="270"/>
      <c r="U501" s="1158"/>
      <c r="V501" s="1158"/>
      <c r="W501" s="1166"/>
      <c r="X501" s="1159"/>
      <c r="Y501" s="1167"/>
      <c r="Z501" s="271"/>
      <c r="AA501" s="271"/>
      <c r="AB501" s="271"/>
      <c r="AC501" s="290"/>
      <c r="AD501" s="839"/>
      <c r="AE501" s="270"/>
      <c r="AF501" s="270"/>
      <c r="AG501" s="270"/>
      <c r="AH501" s="270"/>
      <c r="AI501" s="270"/>
      <c r="AJ501" s="270"/>
      <c r="AK501" s="270"/>
      <c r="AL501" s="270" t="str">
        <f>IF(Z507="","",SMALL(C498:C505,4))</f>
        <v/>
      </c>
      <c r="AM501" s="270"/>
      <c r="AN501" s="270"/>
      <c r="AO501" s="509" t="str">
        <f>IF(Z507="","",INT(AL501/1000))</f>
        <v/>
      </c>
      <c r="AP501" s="1054" t="str">
        <f>IF(Z507="",IF(HidePlayerFormulas,"","("&amp;G501&amp;")"),VLOOKUP(AL501,C498:S505,5,FALSE))</f>
        <v/>
      </c>
      <c r="AQ501" s="510" t="str">
        <f>VLOOKUP(AL501,C498:S505,6,FALSE)</f>
        <v/>
      </c>
      <c r="AR501" s="537" t="str">
        <f>VLOOKUP(AL501,C498:S505,7,FALSE)</f>
        <v/>
      </c>
      <c r="AS501" s="537" t="str">
        <f>VLOOKUP(AL501,C498:S505,8,FALSE)</f>
        <v/>
      </c>
      <c r="AT501" s="537" t="str">
        <f>VLOOKUP(AL501,C498:S505,9,FALSE)</f>
        <v/>
      </c>
      <c r="AU501" s="537" t="str">
        <f>VLOOKUP(AL501,C498:S505,10,FALSE)</f>
        <v/>
      </c>
      <c r="AV501" s="512" t="str">
        <f>VLOOKUP(AL501,C498:S505,11,FALSE)</f>
        <v/>
      </c>
      <c r="AW501" s="510" t="str">
        <f>VLOOKUP(AL501,C498:S505,12,FALSE)</f>
        <v/>
      </c>
      <c r="AX501" s="537" t="str">
        <f>VLOOKUP(AL501,C498:S505,13,FALSE)</f>
        <v/>
      </c>
      <c r="AY501" s="512" t="str">
        <f>VLOOKUP(AL501,C498:S505,14,FALSE)</f>
        <v/>
      </c>
      <c r="AZ501" s="510" t="str">
        <f>VLOOKUP(AL501,C498:S505,15,FALSE)</f>
        <v/>
      </c>
      <c r="BA501" s="537" t="str">
        <f>VLOOKUP(AL501,C498:S505,16,FALSE)</f>
        <v/>
      </c>
      <c r="BB501" s="512" t="str">
        <f>VLOOKUP(AL501,C498:S505,17,FALSE)</f>
        <v/>
      </c>
      <c r="BC501" s="1055" t="str">
        <f>IF(Z507="","",IF(AP501=Y507,Z507&amp;"("&amp;SUM(Z508:Z511)&amp;")",IF(AP501=AC507,AB507&amp;"("&amp;SUM(AB508:AB511)&amp;")","")))</f>
        <v/>
      </c>
      <c r="BD501" s="126" t="str">
        <f>IF(Z514="","",IF(AP501=Y514,Z514&amp;"("&amp;SUM(Z515:Z518)&amp;")",IF(AP501=AC514,AB514&amp;"("&amp;SUM(AB515:AB518)&amp;")","")))</f>
        <v/>
      </c>
      <c r="BE501" s="126" t="str">
        <f>IF(Z521="","",IF(AP501=Y521,Z521&amp;"("&amp;SUM(Z522:Z525)&amp;")",IF(AP501=AC521,AB521&amp;"("&amp;SUM(AB522:AB525)&amp;")","")))</f>
        <v/>
      </c>
      <c r="BF501" s="126" t="str">
        <f>IF(Z528="","",IF(AP501=Y528,Z528&amp;"("&amp;SUM(Z529:Z532)&amp;")",IF(AP501=AC528,AB528&amp;"("&amp;SUM(AB529:AB532)&amp;")","")))</f>
        <v/>
      </c>
      <c r="BG501" s="126" t="str">
        <f>IF(Z535="","",IF(AP501=Y535,Z535&amp;"("&amp;SUM(Z536:Z539)&amp;")",IF(AP501=AC535,AB535&amp;"("&amp;SUM(AB536:AB539)&amp;")","")))</f>
        <v/>
      </c>
      <c r="BH501" s="126" t="str">
        <f>IF(Z542="","",IF(AP501=Y542,Z542&amp;"("&amp;SUM(Z543:Z546)&amp;")",IF(AP501=AC542,AB542&amp;"("&amp;SUM(AB543:AB546)&amp;")","")))</f>
        <v/>
      </c>
      <c r="BI501" s="126" t="str">
        <f>IF(Z549="","",IF(AP501=Y549,Z549&amp;"("&amp;SUM(Z550:Z553)&amp;")",IF(AP501=AC549,AB549&amp;"("&amp;SUM(AB550:AB553)&amp;")","")))</f>
        <v/>
      </c>
      <c r="BJ501" s="126" t="str">
        <f>IF(Z556="","",IF(AP501=Y556,Z556&amp;"("&amp;SUM(Z557:Z560)&amp;")",IF(AP501=AC556,AB556&amp;"("&amp;SUM(AB557:AB560)&amp;")","")))</f>
        <v/>
      </c>
      <c r="BK501" s="126" t="str">
        <f>IF(Z563="","",IF(AP501=Y563,Z563&amp;"("&amp;SUM(Z564:Z567)&amp;")",IF(AP501=AC563,AB563&amp;"("&amp;SUM(AB564:AB567)&amp;")","")))</f>
        <v/>
      </c>
      <c r="BL501" s="126" t="str">
        <f>IF(Z570="","",IF(AP501=Y570,Z570&amp;"("&amp;SUM(Z571:Z574)&amp;")",IF(AP501=AC570,AB570&amp;"("&amp;SUM(AB571:AB574)&amp;")","")))</f>
        <v/>
      </c>
      <c r="BM501" s="126" t="str">
        <f>IF(Z577="","",IF(AP501=Y577,Z577&amp;"("&amp;SUM(Z578:Z581)&amp;")",IF(AP501=AC577,AB577&amp;"("&amp;SUM(AB578:AB581)&amp;")","")))</f>
        <v/>
      </c>
      <c r="BN501" s="126" t="str">
        <f>IF(Z584="","",IF(AP501=Y584,Z584&amp;"("&amp;SUM(Z585:Z588)&amp;")",IF(AP501=AC584,AB584&amp;"("&amp;SUM(AB585:AB588)&amp;")","")))</f>
        <v/>
      </c>
      <c r="BO501" s="126" t="str">
        <f>IF(Z591="","",IF(AP501=Y591,Z591&amp;"("&amp;SUM(Z592:Z595)&amp;")",IF(AP501=AC591,AB591&amp;"("&amp;SUM(AB592:AB595)&amp;")","")))</f>
        <v/>
      </c>
      <c r="BP501" s="126" t="str">
        <f>IF(Z598="","",IF(AP501=Y598,Z598&amp;"("&amp;SUM(Z599:Z602)&amp;")",IF(AP501=AC598,AB598&amp;"("&amp;SUM(AB599:AB602)&amp;")","")))</f>
        <v/>
      </c>
      <c r="BQ501" s="126" t="str">
        <f>IF(Z605="","",IF(AP501=Y605,Z605&amp;"("&amp;SUM(Z606:Z609)&amp;")",IF(AP501=AC605,AB605&amp;"("&amp;SUM(AB606:AB609)&amp;")","")))</f>
        <v/>
      </c>
      <c r="BR501" s="126" t="str">
        <f>IF(Z612="","",IF(AP501=Y612,Z612&amp;"("&amp;SUM(Z613:Z616)&amp;")",IF(AP501=AC612,AB612&amp;"("&amp;SUM(AB613:AB616)&amp;")","")))</f>
        <v/>
      </c>
      <c r="BS501" s="126" t="str">
        <f>IF(Z619="","",IF(AP501=Y619,Z619&amp;"("&amp;SUM(Z620:Z623)&amp;")",IF(AP501=AC619,AB619&amp;"("&amp;SUM(AB620:AB623)&amp;")","")))</f>
        <v/>
      </c>
      <c r="BT501" s="126" t="str">
        <f>IF(Z626="","",IF(AP501=Y626,Z626&amp;"("&amp;SUM(Z627:Z630)&amp;")",IF(AP501=AC626,AB626&amp;"("&amp;SUM(AB627:AB630)&amp;")","")))</f>
        <v/>
      </c>
      <c r="BU501" s="126" t="str">
        <f>IF(Z633="","",IF(AP501=Y633,Z633&amp;"("&amp;SUM(Z634:Z637)&amp;")",IF(AP501=AC633,AB633&amp;"("&amp;SUM(AB634:AB637)&amp;")","")))</f>
        <v/>
      </c>
      <c r="BV501" s="126" t="str">
        <f>IF(Z640="","",IF(AP501=Y640,Z640&amp;"("&amp;SUM(Z641:Z644)&amp;")",IF(AP501=AC640,AB640&amp;"("&amp;SUM(AB641:AB644)&amp;")","")))</f>
        <v/>
      </c>
      <c r="BW501" s="126" t="str">
        <f>IF(Z647="","",IF(AP501=Y647,Z647&amp;"("&amp;SUM(Z648:Z651)&amp;")",IF(AP501=AC647,AB647&amp;"("&amp;SUM(AB648:AB651)&amp;")","")))</f>
        <v/>
      </c>
      <c r="BX501" s="126" t="str">
        <f>IF(Z654="","",IF(AP501=Y654,Z654&amp;"("&amp;SUM(Z655:Z658)&amp;")",IF(AP501=AC654,AB654&amp;"("&amp;SUM(AB655:AB658)&amp;")","")))</f>
        <v/>
      </c>
      <c r="BY501" s="126" t="str">
        <f>IF(Z661="","",IF(AP501=Y661,Z661&amp;"("&amp;SUM(Z662:Z665)&amp;")",IF(AP501=AC661,AB661&amp;"("&amp;SUM(AB662:AB665)&amp;")","")))</f>
        <v/>
      </c>
      <c r="BZ501" s="126" t="str">
        <f>IF(Z668="","",IF(AP501=Y668,Z668&amp;"("&amp;SUM(Z669:Z672)&amp;")",IF(AP501=AC668,AB668&amp;"("&amp;SUM(AB669:AB672)&amp;")","")))</f>
        <v/>
      </c>
      <c r="CA501" s="126" t="str">
        <f>IF(Z675="","",IF(AP501=Y675,Z675&amp;"("&amp;SUM(Z676:Z679)&amp;")",IF(AP501=AC675,AB675&amp;"("&amp;SUM(AB676:AB679)&amp;")","")))</f>
        <v/>
      </c>
      <c r="CB501" s="126" t="str">
        <f>IF(Z682="","",IF(AP501=Y682,Z682&amp;"("&amp;SUM(Z683:Z686)&amp;")",IF(AP501=AC682,AB682&amp;"("&amp;SUM(AB683:AB686)&amp;")","")))</f>
        <v/>
      </c>
      <c r="CC501" s="126" t="str">
        <f>IF(Z689="","",IF(AP501=Y689,Z689&amp;"("&amp;SUM(Z690:Z693)&amp;")",IF(AP501=AC689,AB689&amp;"("&amp;SUM(AB690:AB693)&amp;")","")))</f>
        <v/>
      </c>
      <c r="CD501" s="1056" t="str">
        <f>IF(Z696="","",IF(AP501=Y696,Z696&amp;"("&amp;SUM(Z697:Z700)&amp;")",IF(AP501=AC696,AB696&amp;"("&amp;SUM(AB697:AB700)&amp;")","")))</f>
        <v/>
      </c>
      <c r="CE501" s="1395" t="b">
        <f t="shared" si="18"/>
        <v>1</v>
      </c>
      <c r="CF501" s="1450" t="b">
        <f t="shared" si="19"/>
        <v>0</v>
      </c>
      <c r="CG501" s="1450" t="b">
        <f t="shared" si="20"/>
        <v>1</v>
      </c>
      <c r="CH501" s="270"/>
      <c r="CI501" s="270"/>
      <c r="CJ501" s="270"/>
      <c r="CK501" s="270"/>
      <c r="CL501" s="270"/>
      <c r="CM501" s="270"/>
    </row>
    <row r="502" spans="1:91" outlineLevel="1" x14ac:dyDescent="0.2">
      <c r="A502" s="270"/>
      <c r="B502" s="536">
        <v>5</v>
      </c>
      <c r="C502" s="1055" t="str">
        <f>IF(Z507="","",RANK(F502,F498:F505)*1000+ROW())</f>
        <v/>
      </c>
      <c r="D502" s="1051" t="str">
        <f t="shared" si="17"/>
        <v/>
      </c>
      <c r="E502" s="1051" t="str">
        <f>IF(J502="","",Nb_Diff_Part(D502,D498:D505,G502,G498:G505,AK507:AK696)*CritClassEq_DiffPart+Nb_Goal_Part(D502,D498:D505,G502,G498:G505,Y507:AC696)*CritClassEq_IndsPart+Nb_Score_Part(D502,D498:D505,G502,G498:G505,Y507:AC696)*CritClassEq_WinsPart+Nb_GoalTeam_Part(D502,D498:D505,G502,G498:G505,Y507:AC696)*CritClassEq_GoalPart+Nb_ScoreTeam_Part(D502,D498:D505,G502,G498:G505,Y507:AC696)*CritClassEq_ScorePart)</f>
        <v/>
      </c>
      <c r="F502" s="1130" t="str">
        <f t="shared" si="21"/>
        <v/>
      </c>
      <c r="G502" s="478" t="s">
        <v>4025</v>
      </c>
      <c r="H502" s="1131" t="str">
        <f>IF(Z507="","",(J502*Points_Victoire)+K502*Points_Null)</f>
        <v/>
      </c>
      <c r="I502" s="537" t="str">
        <f t="shared" si="22"/>
        <v/>
      </c>
      <c r="J502" s="537" t="str">
        <f>IF(Z507="","",COUNTIF(AE507:AE700,G502))</f>
        <v/>
      </c>
      <c r="K502" s="537" t="str">
        <f>IF(Z507="","",COUNTIF(AF507:AG700,G502))</f>
        <v/>
      </c>
      <c r="L502" s="537" t="str">
        <f>IF(Z507="","",COUNTIF(AH507:AH700,G502))</f>
        <v/>
      </c>
      <c r="M502" s="1053" t="str">
        <f>IF(Z507="","",J502-L502)</f>
        <v/>
      </c>
      <c r="N502" s="537" t="str">
        <f>IF(Z507="","",SUMIF(Y507:Y700,G502,Z507:Z700)+SUMIF(AC507:AC700,G502,AB507:AB700))</f>
        <v/>
      </c>
      <c r="O502" s="537" t="str">
        <f>IF(Z507="","",SUMIF(Y507:Y700,G502,AB507:AB700)+SUMIF(AC507:AC700,G502,Z507:Z700))</f>
        <v/>
      </c>
      <c r="P502" s="1053" t="str">
        <f>IF(Z507="","",N502-O502)</f>
        <v/>
      </c>
      <c r="Q502" s="537" t="str">
        <f>IF(Z507="","",SUMIF(Y507:Y700,G502,AI507:AI700)+SUMIF(AC507:AC700,G502,AJ507:AJ700))</f>
        <v/>
      </c>
      <c r="R502" s="537" t="str">
        <f>IF(Z507="","",SUMIF(Y507:Y700,G502,AJ507:AJ700)+SUMIF(AC507:AC700,G502,AI507:AI700))</f>
        <v/>
      </c>
      <c r="S502" s="512" t="str">
        <f>IF(Z507="","",Q502-R502)</f>
        <v/>
      </c>
      <c r="T502" s="270"/>
      <c r="U502" s="1158"/>
      <c r="V502" s="1158"/>
      <c r="W502" s="1166"/>
      <c r="X502" s="1159"/>
      <c r="Y502" s="1167"/>
      <c r="Z502" s="271"/>
      <c r="AA502" s="271"/>
      <c r="AB502" s="271"/>
      <c r="AC502" s="290"/>
      <c r="AD502" s="839"/>
      <c r="AE502" s="270"/>
      <c r="AF502" s="270"/>
      <c r="AG502" s="270"/>
      <c r="AH502" s="270"/>
      <c r="AI502" s="270"/>
      <c r="AJ502" s="270"/>
      <c r="AK502" s="270"/>
      <c r="AL502" s="270" t="str">
        <f>IF(Z507="","",SMALL(C498:C505,5))</f>
        <v/>
      </c>
      <c r="AM502" s="270"/>
      <c r="AN502" s="270"/>
      <c r="AO502" s="509" t="str">
        <f>IF(Z507="","",INT(AL502/1000))</f>
        <v/>
      </c>
      <c r="AP502" s="1054" t="str">
        <f>IF(Z507="",IF(HidePlayerFormulas,"","("&amp;G502&amp;")"),VLOOKUP(AL502,C498:S505,5,FALSE))</f>
        <v/>
      </c>
      <c r="AQ502" s="510" t="str">
        <f>VLOOKUP(AL502,C498:S505,6,FALSE)</f>
        <v/>
      </c>
      <c r="AR502" s="537" t="str">
        <f>VLOOKUP(AL502,C498:S505,7,FALSE)</f>
        <v/>
      </c>
      <c r="AS502" s="537" t="str">
        <f>VLOOKUP(AL502,C498:S505,8,FALSE)</f>
        <v/>
      </c>
      <c r="AT502" s="537" t="str">
        <f>VLOOKUP(AL502,C498:S505,9,FALSE)</f>
        <v/>
      </c>
      <c r="AU502" s="537" t="str">
        <f>VLOOKUP(AL502,C498:S505,10,FALSE)</f>
        <v/>
      </c>
      <c r="AV502" s="512" t="str">
        <f>VLOOKUP(AL502,C498:S505,11,FALSE)</f>
        <v/>
      </c>
      <c r="AW502" s="510" t="str">
        <f>VLOOKUP(AL502,C498:S505,12,FALSE)</f>
        <v/>
      </c>
      <c r="AX502" s="537" t="str">
        <f>VLOOKUP(AL502,C498:S505,13,FALSE)</f>
        <v/>
      </c>
      <c r="AY502" s="512" t="str">
        <f>VLOOKUP(AL502,C498:S505,14,FALSE)</f>
        <v/>
      </c>
      <c r="AZ502" s="510" t="str">
        <f>VLOOKUP(AL502,C498:S505,15,FALSE)</f>
        <v/>
      </c>
      <c r="BA502" s="537" t="str">
        <f>VLOOKUP(AL502,C498:S505,16,FALSE)</f>
        <v/>
      </c>
      <c r="BB502" s="512" t="str">
        <f>VLOOKUP(AL502,C498:S505,17,FALSE)</f>
        <v/>
      </c>
      <c r="BC502" s="1055" t="str">
        <f>IF(Z507="","",IF(AP502=Y507,Z507&amp;"("&amp;SUM(Z508:Z511)&amp;")",IF(AP502=AC507,AB507&amp;"("&amp;SUM(AB508:AB511)&amp;")","")))</f>
        <v/>
      </c>
      <c r="BD502" s="126" t="str">
        <f>IF(Z514="","",IF(AP502=Y514,Z514&amp;"("&amp;SUM(Z515:Z518)&amp;")",IF(AP502=AC514,AB514&amp;"("&amp;SUM(AB515:AB518)&amp;")","")))</f>
        <v/>
      </c>
      <c r="BE502" s="126" t="str">
        <f>IF(Z521="","",IF(AP502=Y521,Z521&amp;"("&amp;SUM(Z522:Z525)&amp;")",IF(AP502=AC521,AB521&amp;"("&amp;SUM(AB522:AB525)&amp;")","")))</f>
        <v/>
      </c>
      <c r="BF502" s="126" t="str">
        <f>IF(Z528="","",IF(AP502=Y528,Z528&amp;"("&amp;SUM(Z529:Z532)&amp;")",IF(AP502=AC528,AB528&amp;"("&amp;SUM(AB529:AB532)&amp;")","")))</f>
        <v/>
      </c>
      <c r="BG502" s="126" t="str">
        <f>IF(Z535="","",IF(AP502=Y535,Z535&amp;"("&amp;SUM(Z536:Z539)&amp;")",IF(AP502=AC535,AB535&amp;"("&amp;SUM(AB536:AB539)&amp;")","")))</f>
        <v/>
      </c>
      <c r="BH502" s="126" t="str">
        <f>IF(Z542="","",IF(AP502=Y542,Z542&amp;"("&amp;SUM(Z543:Z546)&amp;")",IF(AP502=AC542,AB542&amp;"("&amp;SUM(AB543:AB546)&amp;")","")))</f>
        <v/>
      </c>
      <c r="BI502" s="126" t="str">
        <f>IF(Z549="","",IF(AP502=Y549,Z549&amp;"("&amp;SUM(Z550:Z553)&amp;")",IF(AP502=AC549,AB549&amp;"("&amp;SUM(AB550:AB553)&amp;")","")))</f>
        <v/>
      </c>
      <c r="BJ502" s="126" t="str">
        <f>IF(Z556="","",IF(AP502=Y556,Z556&amp;"("&amp;SUM(Z557:Z560)&amp;")",IF(AP502=AC556,AB556&amp;"("&amp;SUM(AB557:AB560)&amp;")","")))</f>
        <v/>
      </c>
      <c r="BK502" s="126" t="str">
        <f>IF(Z563="","",IF(AP502=Y563,Z563&amp;"("&amp;SUM(Z564:Z567)&amp;")",IF(AP502=AC563,AB563&amp;"("&amp;SUM(AB564:AB567)&amp;")","")))</f>
        <v/>
      </c>
      <c r="BL502" s="126" t="str">
        <f>IF(Z570="","",IF(AP502=Y570,Z570&amp;"("&amp;SUM(Z571:Z574)&amp;")",IF(AP502=AC570,AB570&amp;"("&amp;SUM(AB571:AB574)&amp;")","")))</f>
        <v/>
      </c>
      <c r="BM502" s="126" t="str">
        <f>IF(Z577="","",IF(AP502=Y577,Z577&amp;"("&amp;SUM(Z578:Z581)&amp;")",IF(AP502=AC577,AB577&amp;"("&amp;SUM(AB578:AB581)&amp;")","")))</f>
        <v/>
      </c>
      <c r="BN502" s="126" t="str">
        <f>IF(Z584="","",IF(AP502=Y584,Z584&amp;"("&amp;SUM(Z585:Z588)&amp;")",IF(AP502=AC584,AB584&amp;"("&amp;SUM(AB585:AB588)&amp;")","")))</f>
        <v/>
      </c>
      <c r="BO502" s="126" t="str">
        <f>IF(Z591="","",IF(AP502=Y591,Z591&amp;"("&amp;SUM(Z592:Z595)&amp;")",IF(AP502=AC591,AB591&amp;"("&amp;SUM(AB592:AB595)&amp;")","")))</f>
        <v/>
      </c>
      <c r="BP502" s="126" t="str">
        <f>IF(Z598="","",IF(AP502=Y598,Z598&amp;"("&amp;SUM(Z599:Z602)&amp;")",IF(AP502=AC598,AB598&amp;"("&amp;SUM(AB599:AB602)&amp;")","")))</f>
        <v/>
      </c>
      <c r="BQ502" s="126" t="str">
        <f>IF(Z605="","",IF(AP502=Y605,Z605&amp;"("&amp;SUM(Z606:Z609)&amp;")",IF(AP502=AC605,AB605&amp;"("&amp;SUM(AB606:AB609)&amp;")","")))</f>
        <v/>
      </c>
      <c r="BR502" s="126" t="str">
        <f>IF(Z612="","",IF(AP502=Y612,Z612&amp;"("&amp;SUM(Z613:Z616)&amp;")",IF(AP502=AC612,AB612&amp;"("&amp;SUM(AB613:AB616)&amp;")","")))</f>
        <v/>
      </c>
      <c r="BS502" s="126" t="str">
        <f>IF(Z619="","",IF(AP502=Y619,Z619&amp;"("&amp;SUM(Z620:Z623)&amp;")",IF(AP502=AC619,AB619&amp;"("&amp;SUM(AB620:AB623)&amp;")","")))</f>
        <v/>
      </c>
      <c r="BT502" s="126" t="str">
        <f>IF(Z626="","",IF(AP502=Y626,Z626&amp;"("&amp;SUM(Z627:Z630)&amp;")",IF(AP502=AC626,AB626&amp;"("&amp;SUM(AB627:AB630)&amp;")","")))</f>
        <v/>
      </c>
      <c r="BU502" s="126" t="str">
        <f>IF(Z633="","",IF(AP502=Y633,Z633&amp;"("&amp;SUM(Z634:Z637)&amp;")",IF(AP502=AC633,AB633&amp;"("&amp;SUM(AB634:AB637)&amp;")","")))</f>
        <v/>
      </c>
      <c r="BV502" s="126" t="str">
        <f>IF(Z640="","",IF(AP502=Y640,Z640&amp;"("&amp;SUM(Z641:Z644)&amp;")",IF(AP502=AC640,AB640&amp;"("&amp;SUM(AB641:AB644)&amp;")","")))</f>
        <v/>
      </c>
      <c r="BW502" s="126" t="str">
        <f>IF(Z647="","",IF(AP502=Y647,Z647&amp;"("&amp;SUM(Z648:Z651)&amp;")",IF(AP502=AC647,AB647&amp;"("&amp;SUM(AB648:AB651)&amp;")","")))</f>
        <v/>
      </c>
      <c r="BX502" s="126" t="str">
        <f>IF(Z654="","",IF(AP502=Y654,Z654&amp;"("&amp;SUM(Z655:Z658)&amp;")",IF(AP502=AC654,AB654&amp;"("&amp;SUM(AB655:AB658)&amp;")","")))</f>
        <v/>
      </c>
      <c r="BY502" s="126" t="str">
        <f>IF(Z661="","",IF(AP502=Y661,Z661&amp;"("&amp;SUM(Z662:Z665)&amp;")",IF(AP502=AC661,AB661&amp;"("&amp;SUM(AB662:AB665)&amp;")","")))</f>
        <v/>
      </c>
      <c r="BZ502" s="126" t="str">
        <f>IF(Z668="","",IF(AP502=Y668,Z668&amp;"("&amp;SUM(Z669:Z672)&amp;")",IF(AP502=AC668,AB668&amp;"("&amp;SUM(AB669:AB672)&amp;")","")))</f>
        <v/>
      </c>
      <c r="CA502" s="126" t="str">
        <f>IF(Z675="","",IF(AP502=Y675,Z675&amp;"("&amp;SUM(Z676:Z679)&amp;")",IF(AP502=AC675,AB675&amp;"("&amp;SUM(AB676:AB679)&amp;")","")))</f>
        <v/>
      </c>
      <c r="CB502" s="126" t="str">
        <f>IF(Z682="","",IF(AP502=Y682,Z682&amp;"("&amp;SUM(Z683:Z686)&amp;")",IF(AP502=AC682,AB682&amp;"("&amp;SUM(AB683:AB686)&amp;")","")))</f>
        <v/>
      </c>
      <c r="CC502" s="126" t="str">
        <f>IF(Z689="","",IF(AP502=Y689,Z689&amp;"("&amp;SUM(Z690:Z693)&amp;")",IF(AP502=AC689,AB689&amp;"("&amp;SUM(AB690:AB693)&amp;")","")))</f>
        <v/>
      </c>
      <c r="CD502" s="1056" t="str">
        <f>IF(Z696="","",IF(AP502=Y696,Z696&amp;"("&amp;SUM(Z697:Z700)&amp;")",IF(AP502=AC696,AB696&amp;"("&amp;SUM(AB697:AB700)&amp;")","")))</f>
        <v/>
      </c>
      <c r="CE502" s="1395" t="b">
        <f t="shared" si="18"/>
        <v>1</v>
      </c>
      <c r="CF502" s="1450" t="b">
        <f t="shared" si="19"/>
        <v>0</v>
      </c>
      <c r="CG502" s="1450" t="b">
        <f t="shared" si="20"/>
        <v>1</v>
      </c>
      <c r="CH502" s="270"/>
      <c r="CI502" s="270"/>
      <c r="CJ502" s="270"/>
      <c r="CK502" s="270"/>
      <c r="CL502" s="270"/>
      <c r="CM502" s="270"/>
    </row>
    <row r="503" spans="1:91" outlineLevel="1" x14ac:dyDescent="0.2">
      <c r="A503" s="270"/>
      <c r="B503" s="536">
        <v>6</v>
      </c>
      <c r="C503" s="1055" t="str">
        <f>IF(Z507="","",RANK(F503,F498:F505)*1000+ROW())</f>
        <v/>
      </c>
      <c r="D503" s="1051" t="str">
        <f t="shared" si="17"/>
        <v/>
      </c>
      <c r="E503" s="1051" t="str">
        <f>IF(J503="","",Nb_Diff_Part(D503,D498:D505,G503,G498:G505,AK507:AK696)*CritClassEq_DiffPart+Nb_Goal_Part(D503,D498:D505,G503,G498:G505,Y507:AC696)*CritClassEq_IndsPart+Nb_Score_Part(D503,D498:D505,G503,G498:G505,Y507:AC696)*CritClassEq_WinsPart+Nb_GoalTeam_Part(D503,D498:D505,G503,G498:G505,Y507:AC696)*CritClassEq_GoalPart+Nb_ScoreTeam_Part(D503,D498:D505,G503,G498:G505,Y507:AC696)*CritClassEq_ScorePart)</f>
        <v/>
      </c>
      <c r="F503" s="1130" t="str">
        <f t="shared" si="21"/>
        <v/>
      </c>
      <c r="G503" s="502" t="s">
        <v>4026</v>
      </c>
      <c r="H503" s="1131" t="str">
        <f>IF(Z507="","",(J503*Points_Victoire)+K503*Points_Null)</f>
        <v/>
      </c>
      <c r="I503" s="537" t="str">
        <f t="shared" si="22"/>
        <v/>
      </c>
      <c r="J503" s="537" t="str">
        <f>IF(Z507="","",COUNTIF(AE507:AE700,G503))</f>
        <v/>
      </c>
      <c r="K503" s="537" t="str">
        <f>IF(Z507="","",COUNTIF(AF507:AG700,G503))</f>
        <v/>
      </c>
      <c r="L503" s="537" t="str">
        <f>IF(Z507="","",COUNTIF(AH507:AH700,G503))</f>
        <v/>
      </c>
      <c r="M503" s="1053" t="str">
        <f>IF(Z507="","",J503-L503)</f>
        <v/>
      </c>
      <c r="N503" s="537" t="str">
        <f>IF(Z507="","",SUMIF(Y507:Y700,G503,Z507:Z700)+SUMIF(AC507:AC700,G503,AB507:AB700))</f>
        <v/>
      </c>
      <c r="O503" s="537" t="str">
        <f>IF(Z507="","",SUMIF(Y507:Y700,G503,AB507:AB700)+SUMIF(AC507:AC700,G503,Z507:Z700))</f>
        <v/>
      </c>
      <c r="P503" s="1053" t="str">
        <f>IF(Z507="","",N503-O503)</f>
        <v/>
      </c>
      <c r="Q503" s="537" t="str">
        <f>IF(Z507="","",SUMIF(Y507:Y700,G503,AI507:AI700)+SUMIF(AC507:AC700,G503,AJ507:AJ700))</f>
        <v/>
      </c>
      <c r="R503" s="537" t="str">
        <f>IF(Z507="","",SUMIF(Y507:Y700,G503,AJ507:AJ700)+SUMIF(AC507:AC700,G503,AI507:AI700))</f>
        <v/>
      </c>
      <c r="S503" s="512" t="str">
        <f>IF(Z507="","",Q503-R503)</f>
        <v/>
      </c>
      <c r="T503" s="270"/>
      <c r="U503" s="1158"/>
      <c r="V503" s="1158"/>
      <c r="W503" s="1166"/>
      <c r="X503" s="1159"/>
      <c r="Y503" s="1167"/>
      <c r="Z503" s="271"/>
      <c r="AA503" s="271"/>
      <c r="AB503" s="271"/>
      <c r="AC503" s="290"/>
      <c r="AD503" s="839"/>
      <c r="AE503" s="270"/>
      <c r="AF503" s="270"/>
      <c r="AG503" s="270"/>
      <c r="AH503" s="270"/>
      <c r="AI503" s="270"/>
      <c r="AJ503" s="270"/>
      <c r="AK503" s="270"/>
      <c r="AL503" s="270" t="str">
        <f>IF(Z507="","",SMALL(C498:C505,6))</f>
        <v/>
      </c>
      <c r="AM503" s="270"/>
      <c r="AN503" s="270"/>
      <c r="AO503" s="509" t="str">
        <f>IF(Z507="","",INT(AL503/1000))</f>
        <v/>
      </c>
      <c r="AP503" s="1054" t="str">
        <f>IF(Z507="",IF(HidePlayerFormulas,"","("&amp;G503&amp;")"),VLOOKUP(AL503,C498:S505,5,FALSE))</f>
        <v/>
      </c>
      <c r="AQ503" s="510" t="str">
        <f>VLOOKUP(AL503,C498:S505,6,FALSE)</f>
        <v/>
      </c>
      <c r="AR503" s="537" t="str">
        <f>VLOOKUP(AL503,C498:S505,7,FALSE)</f>
        <v/>
      </c>
      <c r="AS503" s="537" t="str">
        <f>VLOOKUP(AL503,C498:S505,8,FALSE)</f>
        <v/>
      </c>
      <c r="AT503" s="537" t="str">
        <f>VLOOKUP(AL503,C498:S505,9,FALSE)</f>
        <v/>
      </c>
      <c r="AU503" s="537" t="str">
        <f>VLOOKUP(AL503,C498:S505,10,FALSE)</f>
        <v/>
      </c>
      <c r="AV503" s="512" t="str">
        <f>VLOOKUP(AL503,C498:S505,11,FALSE)</f>
        <v/>
      </c>
      <c r="AW503" s="510" t="str">
        <f>VLOOKUP(AL503,C498:S505,12,FALSE)</f>
        <v/>
      </c>
      <c r="AX503" s="537" t="str">
        <f>VLOOKUP(AL503,C498:S505,13,FALSE)</f>
        <v/>
      </c>
      <c r="AY503" s="512" t="str">
        <f>VLOOKUP(AL503,C498:S505,14,FALSE)</f>
        <v/>
      </c>
      <c r="AZ503" s="510" t="str">
        <f>VLOOKUP(AL503,C498:S505,15,FALSE)</f>
        <v/>
      </c>
      <c r="BA503" s="537" t="str">
        <f>VLOOKUP(AL503,C498:S505,16,FALSE)</f>
        <v/>
      </c>
      <c r="BB503" s="512" t="str">
        <f>VLOOKUP(AL503,C498:S505,17,FALSE)</f>
        <v/>
      </c>
      <c r="BC503" s="1055" t="str">
        <f>IF(Z507="","",IF(AP503=Y507,Z507&amp;"("&amp;SUM(Z508:Z511)&amp;")",IF(AP503=AC507,AB507&amp;"("&amp;SUM(AB508:AB511)&amp;")","")))</f>
        <v/>
      </c>
      <c r="BD503" s="126" t="str">
        <f>IF(Z514="","",IF(AP503=Y514,Z514&amp;"("&amp;SUM(Z515:Z518)&amp;")",IF(AP503=AC514,AB514&amp;"("&amp;SUM(AB515:AB518)&amp;")","")))</f>
        <v/>
      </c>
      <c r="BE503" s="126" t="str">
        <f>IF(Z521="","",IF(AP503=Y521,Z521&amp;"("&amp;SUM(Z522:Z525)&amp;")",IF(AP503=AC521,AB521&amp;"("&amp;SUM(AB522:AB525)&amp;")","")))</f>
        <v/>
      </c>
      <c r="BF503" s="126" t="str">
        <f>IF(Z528="","",IF(AP503=Y528,Z528&amp;"("&amp;SUM(Z529:Z532)&amp;")",IF(AP503=AC528,AB528&amp;"("&amp;SUM(AB529:AB532)&amp;")","")))</f>
        <v/>
      </c>
      <c r="BG503" s="126" t="str">
        <f>IF(Z535="","",IF(AP503=Y535,Z535&amp;"("&amp;SUM(Z536:Z539)&amp;")",IF(AP503=AC535,AB535&amp;"("&amp;SUM(AB536:AB539)&amp;")","")))</f>
        <v/>
      </c>
      <c r="BH503" s="126" t="str">
        <f>IF(Z542="","",IF(AP503=Y542,Z542&amp;"("&amp;SUM(Z543:Z546)&amp;")",IF(AP503=AC542,AB542&amp;"("&amp;SUM(AB543:AB546)&amp;")","")))</f>
        <v/>
      </c>
      <c r="BI503" s="126" t="str">
        <f>IF(Z549="","",IF(AP503=Y549,Z549&amp;"("&amp;SUM(Z550:Z553)&amp;")",IF(AP503=AC549,AB549&amp;"("&amp;SUM(AB550:AB553)&amp;")","")))</f>
        <v/>
      </c>
      <c r="BJ503" s="126" t="str">
        <f>IF(Z556="","",IF(AP503=Y556,Z556&amp;"("&amp;SUM(Z557:Z560)&amp;")",IF(AP503=AC556,AB556&amp;"("&amp;SUM(AB557:AB560)&amp;")","")))</f>
        <v/>
      </c>
      <c r="BK503" s="126" t="str">
        <f>IF(Z563="","",IF(AP503=Y563,Z563&amp;"("&amp;SUM(Z564:Z567)&amp;")",IF(AP503=AC563,AB563&amp;"("&amp;SUM(AB564:AB567)&amp;")","")))</f>
        <v/>
      </c>
      <c r="BL503" s="126" t="str">
        <f>IF(Z570="","",IF(AP503=Y570,Z570&amp;"("&amp;SUM(Z571:Z574)&amp;")",IF(AP503=AC570,AB570&amp;"("&amp;SUM(AB571:AB574)&amp;")","")))</f>
        <v/>
      </c>
      <c r="BM503" s="126" t="str">
        <f>IF(Z577="","",IF(AP503=Y577,Z577&amp;"("&amp;SUM(Z578:Z581)&amp;")",IF(AP503=AC577,AB577&amp;"("&amp;SUM(AB578:AB581)&amp;")","")))</f>
        <v/>
      </c>
      <c r="BN503" s="126" t="str">
        <f>IF(Z584="","",IF(AP503=Y584,Z584&amp;"("&amp;SUM(Z585:Z588)&amp;")",IF(AP503=AC584,AB584&amp;"("&amp;SUM(AB585:AB588)&amp;")","")))</f>
        <v/>
      </c>
      <c r="BO503" s="126" t="str">
        <f>IF(Z591="","",IF(AP503=Y591,Z591&amp;"("&amp;SUM(Z592:Z595)&amp;")",IF(AP503=AC591,AB591&amp;"("&amp;SUM(AB592:AB595)&amp;")","")))</f>
        <v/>
      </c>
      <c r="BP503" s="126" t="str">
        <f>IF(Z598="","",IF(AP503=Y598,Z598&amp;"("&amp;SUM(Z599:Z602)&amp;")",IF(AP503=AC598,AB598&amp;"("&amp;SUM(AB599:AB602)&amp;")","")))</f>
        <v/>
      </c>
      <c r="BQ503" s="126" t="str">
        <f>IF(Z605="","",IF(AP503=Y605,Z605&amp;"("&amp;SUM(Z606:Z609)&amp;")",IF(AP503=AC605,AB605&amp;"("&amp;SUM(AB606:AB609)&amp;")","")))</f>
        <v/>
      </c>
      <c r="BR503" s="126" t="str">
        <f>IF(Z612="","",IF(AP503=Y612,Z612&amp;"("&amp;SUM(Z613:Z616)&amp;")",IF(AP503=AC612,AB612&amp;"("&amp;SUM(AB613:AB616)&amp;")","")))</f>
        <v/>
      </c>
      <c r="BS503" s="126" t="str">
        <f>IF(Z619="","",IF(AP503=Y619,Z619&amp;"("&amp;SUM(Z620:Z623)&amp;")",IF(AP503=AC619,AB619&amp;"("&amp;SUM(AB620:AB623)&amp;")","")))</f>
        <v/>
      </c>
      <c r="BT503" s="126" t="str">
        <f>IF(Z626="","",IF(AP503=Y626,Z626&amp;"("&amp;SUM(Z627:Z630)&amp;")",IF(AP503=AC626,AB626&amp;"("&amp;SUM(AB627:AB630)&amp;")","")))</f>
        <v/>
      </c>
      <c r="BU503" s="126" t="str">
        <f>IF(Z633="","",IF(AP503=Y633,Z633&amp;"("&amp;SUM(Z634:Z637)&amp;")",IF(AP503=AC633,AB633&amp;"("&amp;SUM(AB634:AB637)&amp;")","")))</f>
        <v/>
      </c>
      <c r="BV503" s="126" t="str">
        <f>IF(Z640="","",IF(AP503=Y640,Z640&amp;"("&amp;SUM(Z641:Z644)&amp;")",IF(AP503=AC640,AB640&amp;"("&amp;SUM(AB641:AB644)&amp;")","")))</f>
        <v/>
      </c>
      <c r="BW503" s="126" t="str">
        <f>IF(Z647="","",IF(AP503=Y647,Z647&amp;"("&amp;SUM(Z648:Z651)&amp;")",IF(AP503=AC647,AB647&amp;"("&amp;SUM(AB648:AB651)&amp;")","")))</f>
        <v/>
      </c>
      <c r="BX503" s="126" t="str">
        <f>IF(Z654="","",IF(AP503=Y654,Z654&amp;"("&amp;SUM(Z655:Z658)&amp;")",IF(AP503=AC654,AB654&amp;"("&amp;SUM(AB655:AB658)&amp;")","")))</f>
        <v/>
      </c>
      <c r="BY503" s="126" t="str">
        <f>IF(Z661="","",IF(AP503=Y661,Z661&amp;"("&amp;SUM(Z662:Z665)&amp;")",IF(AP503=AC661,AB661&amp;"("&amp;SUM(AB662:AB665)&amp;")","")))</f>
        <v/>
      </c>
      <c r="BZ503" s="126" t="str">
        <f>IF(Z668="","",IF(AP503=Y668,Z668&amp;"("&amp;SUM(Z669:Z672)&amp;")",IF(AP503=AC668,AB668&amp;"("&amp;SUM(AB669:AB672)&amp;")","")))</f>
        <v/>
      </c>
      <c r="CA503" s="126" t="str">
        <f>IF(Z675="","",IF(AP503=Y675,Z675&amp;"("&amp;SUM(Z676:Z679)&amp;")",IF(AP503=AC675,AB675&amp;"("&amp;SUM(AB676:AB679)&amp;")","")))</f>
        <v/>
      </c>
      <c r="CB503" s="126" t="str">
        <f>IF(Z682="","",IF(AP503=Y682,Z682&amp;"("&amp;SUM(Z683:Z686)&amp;")",IF(AP503=AC682,AB682&amp;"("&amp;SUM(AB683:AB686)&amp;")","")))</f>
        <v/>
      </c>
      <c r="CC503" s="126" t="str">
        <f>IF(Z689="","",IF(AP503=Y689,Z689&amp;"("&amp;SUM(Z690:Z693)&amp;")",IF(AP503=AC689,AB689&amp;"("&amp;SUM(AB690:AB693)&amp;")","")))</f>
        <v/>
      </c>
      <c r="CD503" s="1056" t="str">
        <f>IF(Z696="","",IF(AP503=Y696,Z696&amp;"("&amp;SUM(Z697:Z700)&amp;")",IF(AP503=AC696,AB696&amp;"("&amp;SUM(AB697:AB700)&amp;")","")))</f>
        <v/>
      </c>
      <c r="CE503" s="1395" t="b">
        <f t="shared" si="18"/>
        <v>1</v>
      </c>
      <c r="CF503" s="1450" t="b">
        <f t="shared" si="19"/>
        <v>0</v>
      </c>
      <c r="CG503" s="1450" t="b">
        <f t="shared" si="20"/>
        <v>1</v>
      </c>
      <c r="CH503" s="270"/>
      <c r="CI503" s="270"/>
      <c r="CJ503" s="270"/>
      <c r="CK503" s="270"/>
      <c r="CL503" s="270"/>
      <c r="CM503" s="270"/>
    </row>
    <row r="504" spans="1:91" outlineLevel="1" x14ac:dyDescent="0.2">
      <c r="A504" s="270"/>
      <c r="B504" s="1218">
        <v>7</v>
      </c>
      <c r="C504" s="1055" t="str">
        <f>IF(Z507="","",RANK(F504,F498:F505)*1000+ROW())</f>
        <v/>
      </c>
      <c r="D504" s="1051" t="str">
        <f t="shared" si="17"/>
        <v/>
      </c>
      <c r="E504" s="1051" t="str">
        <f>IF(J504="","",Nb_Diff_Part(D504,D498:D505,G504,G498:G505,AK507:AK696)*CritClassEq_DiffPart+Nb_Goal_Part(D504,D498:D505,G504,G498:G505,Y507:AC696)*CritClassEq_IndsPart+Nb_Score_Part(D504,D498:D505,G504,G498:G505,Y507:AC696)*CritClassEq_WinsPart+Nb_GoalTeam_Part(D504,D498:D505,G504,G498:G505,Y507:AC696)*CritClassEq_GoalPart+Nb_ScoreTeam_Part(D504,D498:D505,G504,G498:G505,Y507:AC696)*CritClassEq_ScorePart)</f>
        <v/>
      </c>
      <c r="F504" s="1130" t="str">
        <f t="shared" si="21"/>
        <v/>
      </c>
      <c r="G504" s="502" t="s">
        <v>4027</v>
      </c>
      <c r="H504" s="1131" t="str">
        <f>IF(Z507="","",(J504*Points_Victoire)+K504*Points_Null)</f>
        <v/>
      </c>
      <c r="I504" s="537" t="str">
        <f t="shared" si="22"/>
        <v/>
      </c>
      <c r="J504" s="537" t="str">
        <f>IF(Z507="","",COUNTIF(AE507:AE700,G504))</f>
        <v/>
      </c>
      <c r="K504" s="537" t="str">
        <f>IF(Z507="","",COUNTIF(AF507:AG700,G504))</f>
        <v/>
      </c>
      <c r="L504" s="537" t="str">
        <f>IF(Z507="","",COUNTIF(AH507:AH700,G504))</f>
        <v/>
      </c>
      <c r="M504" s="1053" t="str">
        <f>IF(Z507="","",J504-L504)</f>
        <v/>
      </c>
      <c r="N504" s="537" t="str">
        <f>IF(Z507="","",SUMIF(Y507:Y700,G504,Z507:Z700)+SUMIF(AC507:AC700,G504,AB507:AB700))</f>
        <v/>
      </c>
      <c r="O504" s="537" t="str">
        <f>IF(Z507="","",SUMIF(Y507:Y700,G504,AB507:AB700)+SUMIF(AC507:AC700,G504,Z507:Z700))</f>
        <v/>
      </c>
      <c r="P504" s="1053" t="str">
        <f>IF(Z507="","",N504-O504)</f>
        <v/>
      </c>
      <c r="Q504" s="537" t="str">
        <f>IF(Z507="","",SUMIF(Y507:Y700,G504,AI507:AI700)+SUMIF(AC507:AC700,G504,AJ507:AJ700))</f>
        <v/>
      </c>
      <c r="R504" s="537" t="str">
        <f>IF(Z507="","",SUMIF(Y507:Y700,G504,AJ507:AJ700)+SUMIF(AC507:AC700,G504,AI507:AI700))</f>
        <v/>
      </c>
      <c r="S504" s="512" t="str">
        <f>IF(Z507="","",Q504-R504)</f>
        <v/>
      </c>
      <c r="T504" s="270"/>
      <c r="U504" s="1158"/>
      <c r="V504" s="1158"/>
      <c r="W504" s="1166"/>
      <c r="X504" s="1159"/>
      <c r="Y504" s="1167"/>
      <c r="Z504" s="271"/>
      <c r="AA504" s="271"/>
      <c r="AB504" s="271"/>
      <c r="AC504" s="290"/>
      <c r="AD504" s="839"/>
      <c r="AE504" s="270"/>
      <c r="AF504" s="270"/>
      <c r="AG504" s="270"/>
      <c r="AH504" s="270"/>
      <c r="AI504" s="270"/>
      <c r="AJ504" s="270"/>
      <c r="AK504" s="270"/>
      <c r="AL504" s="270" t="str">
        <f>IF(Z507="","",SMALL(C498:C505,7))</f>
        <v/>
      </c>
      <c r="AM504" s="270"/>
      <c r="AN504" s="270"/>
      <c r="AO504" s="509" t="str">
        <f>IF(Z507="","",INT(AL504/1000))</f>
        <v/>
      </c>
      <c r="AP504" s="1054" t="str">
        <f>IF(Z507="",IF(HidePlayerFormulas,"","("&amp;G504&amp;")"),VLOOKUP(AL504,C498:S505,5,FALSE))</f>
        <v/>
      </c>
      <c r="AQ504" s="510" t="str">
        <f>VLOOKUP(AL504,C498:S505,6,FALSE)</f>
        <v/>
      </c>
      <c r="AR504" s="537" t="str">
        <f>VLOOKUP(AL504,C498:S505,7,FALSE)</f>
        <v/>
      </c>
      <c r="AS504" s="537" t="str">
        <f>VLOOKUP(AL504,C498:S505,8,FALSE)</f>
        <v/>
      </c>
      <c r="AT504" s="537" t="str">
        <f>VLOOKUP(AL504,C498:S505,9,FALSE)</f>
        <v/>
      </c>
      <c r="AU504" s="537" t="str">
        <f>VLOOKUP(AL504,C498:S505,10,FALSE)</f>
        <v/>
      </c>
      <c r="AV504" s="512" t="str">
        <f>VLOOKUP(AL504,C498:S505,11,FALSE)</f>
        <v/>
      </c>
      <c r="AW504" s="510" t="str">
        <f>VLOOKUP(AL504,C498:S505,12,FALSE)</f>
        <v/>
      </c>
      <c r="AX504" s="537" t="str">
        <f>VLOOKUP(AL504,C498:S505,13,FALSE)</f>
        <v/>
      </c>
      <c r="AY504" s="512" t="str">
        <f>VLOOKUP(AL504,C498:S505,14,FALSE)</f>
        <v/>
      </c>
      <c r="AZ504" s="510" t="str">
        <f>VLOOKUP(AL504,C498:S505,15,FALSE)</f>
        <v/>
      </c>
      <c r="BA504" s="537" t="str">
        <f>VLOOKUP(AL504,C498:S505,16,FALSE)</f>
        <v/>
      </c>
      <c r="BB504" s="512" t="str">
        <f>VLOOKUP(AL504,C498:S505,17,FALSE)</f>
        <v/>
      </c>
      <c r="BC504" s="1055" t="str">
        <f>IF(Z507="","",IF(AP504=Y507,Z507&amp;"("&amp;SUM(Z508:Z511)&amp;")",IF(AP504=AC507,AB507&amp;"("&amp;SUM(AB508:AB511)&amp;")","")))</f>
        <v/>
      </c>
      <c r="BD504" s="126" t="str">
        <f>IF(Z514="","",IF(AP504=Y514,Z514&amp;"("&amp;SUM(Z515:Z518)&amp;")",IF(AP504=AC514,AB514&amp;"("&amp;SUM(AB515:AB518)&amp;")","")))</f>
        <v/>
      </c>
      <c r="BE504" s="126" t="str">
        <f>IF(Z521="","",IF(AP504=Y521,Z521&amp;"("&amp;SUM(Z522:Z525)&amp;")",IF(AP504=AC521,AB521&amp;"("&amp;SUM(AB522:AB525)&amp;")","")))</f>
        <v/>
      </c>
      <c r="BF504" s="126" t="str">
        <f>IF(Z528="","",IF(AP504=Y528,Z528&amp;"("&amp;SUM(Z529:Z532)&amp;")",IF(AP504=AC528,AB528&amp;"("&amp;SUM(AB529:AB532)&amp;")","")))</f>
        <v/>
      </c>
      <c r="BG504" s="126" t="str">
        <f>IF(Z535="","",IF(AP504=Y535,Z535&amp;"("&amp;SUM(Z536:Z539)&amp;")",IF(AP504=AC535,AB535&amp;"("&amp;SUM(AB536:AB539)&amp;")","")))</f>
        <v/>
      </c>
      <c r="BH504" s="126" t="str">
        <f>IF(Z542="","",IF(AP504=Y542,Z542&amp;"("&amp;SUM(Z543:Z546)&amp;")",IF(AP504=AC542,AB542&amp;"("&amp;SUM(AB543:AB546)&amp;")","")))</f>
        <v/>
      </c>
      <c r="BI504" s="126" t="str">
        <f>IF(Z549="","",IF(AP504=Y549,Z549&amp;"("&amp;SUM(Z550:Z553)&amp;")",IF(AP504=AC549,AB549&amp;"("&amp;SUM(AB550:AB553)&amp;")","")))</f>
        <v/>
      </c>
      <c r="BJ504" s="126" t="str">
        <f>IF(Z556="","",IF(AP504=Y556,Z556&amp;"("&amp;SUM(Z557:Z560)&amp;")",IF(AP504=AC556,AB556&amp;"("&amp;SUM(AB557:AB560)&amp;")","")))</f>
        <v/>
      </c>
      <c r="BK504" s="126" t="str">
        <f>IF(Z563="","",IF(AP504=Y563,Z563&amp;"("&amp;SUM(Z564:Z567)&amp;")",IF(AP504=AC563,AB563&amp;"("&amp;SUM(AB564:AB567)&amp;")","")))</f>
        <v/>
      </c>
      <c r="BL504" s="126" t="str">
        <f>IF(Z570="","",IF(AP504=Y570,Z570&amp;"("&amp;SUM(Z571:Z574)&amp;")",IF(AP504=AC570,AB570&amp;"("&amp;SUM(AB571:AB574)&amp;")","")))</f>
        <v/>
      </c>
      <c r="BM504" s="126" t="str">
        <f>IF(Z577="","",IF(AP504=Y577,Z577&amp;"("&amp;SUM(Z578:Z581)&amp;")",IF(AP504=AC577,AB577&amp;"("&amp;SUM(AB578:AB581)&amp;")","")))</f>
        <v/>
      </c>
      <c r="BN504" s="126" t="str">
        <f>IF(Z584="","",IF(AP504=Y584,Z584&amp;"("&amp;SUM(Z585:Z588)&amp;")",IF(AP504=AC584,AB584&amp;"("&amp;SUM(AB585:AB588)&amp;")","")))</f>
        <v/>
      </c>
      <c r="BO504" s="126" t="str">
        <f>IF(Z591="","",IF(AP504=Y591,Z591&amp;"("&amp;SUM(Z592:Z595)&amp;")",IF(AP504=AC591,AB591&amp;"("&amp;SUM(AB592:AB595)&amp;")","")))</f>
        <v/>
      </c>
      <c r="BP504" s="126" t="str">
        <f>IF(Z598="","",IF(AP504=Y598,Z598&amp;"("&amp;SUM(Z599:Z602)&amp;")",IF(AP504=AC598,AB598&amp;"("&amp;SUM(AB599:AB602)&amp;")","")))</f>
        <v/>
      </c>
      <c r="BQ504" s="126" t="str">
        <f>IF(Z605="","",IF(AP504=Y605,Z605&amp;"("&amp;SUM(Z606:Z609)&amp;")",IF(AP504=AC605,AB605&amp;"("&amp;SUM(AB606:AB609)&amp;")","")))</f>
        <v/>
      </c>
      <c r="BR504" s="126" t="str">
        <f>IF(Z612="","",IF(AP504=Y612,Z612&amp;"("&amp;SUM(Z613:Z616)&amp;")",IF(AP504=AC612,AB612&amp;"("&amp;SUM(AB613:AB616)&amp;")","")))</f>
        <v/>
      </c>
      <c r="BS504" s="126" t="str">
        <f>IF(Z619="","",IF(AP504=Y619,Z619&amp;"("&amp;SUM(Z620:Z623)&amp;")",IF(AP504=AC619,AB619&amp;"("&amp;SUM(AB620:AB623)&amp;")","")))</f>
        <v/>
      </c>
      <c r="BT504" s="126" t="str">
        <f>IF(Z626="","",IF(AP504=Y626,Z626&amp;"("&amp;SUM(Z627:Z630)&amp;")",IF(AP504=AC626,AB626&amp;"("&amp;SUM(AB627:AB630)&amp;")","")))</f>
        <v/>
      </c>
      <c r="BU504" s="126" t="str">
        <f>IF(Z633="","",IF(AP504=Y633,Z633&amp;"("&amp;SUM(Z634:Z637)&amp;")",IF(AP504=AC633,AB633&amp;"("&amp;SUM(AB634:AB637)&amp;")","")))</f>
        <v/>
      </c>
      <c r="BV504" s="126" t="str">
        <f>IF(Z640="","",IF(AP504=Y640,Z640&amp;"("&amp;SUM(Z641:Z644)&amp;")",IF(AP504=AC640,AB640&amp;"("&amp;SUM(AB641:AB644)&amp;")","")))</f>
        <v/>
      </c>
      <c r="BW504" s="126" t="str">
        <f>IF(Z647="","",IF(AP504=Y647,Z647&amp;"("&amp;SUM(Z648:Z651)&amp;")",IF(AP504=AC647,AB647&amp;"("&amp;SUM(AB648:AB651)&amp;")","")))</f>
        <v/>
      </c>
      <c r="BX504" s="126" t="str">
        <f>IF(Z654="","",IF(AP504=Y654,Z654&amp;"("&amp;SUM(Z655:Z658)&amp;")",IF(AP504=AC654,AB654&amp;"("&amp;SUM(AB655:AB658)&amp;")","")))</f>
        <v/>
      </c>
      <c r="BY504" s="126" t="str">
        <f>IF(Z661="","",IF(AP504=Y661,Z661&amp;"("&amp;SUM(Z662:Z665)&amp;")",IF(AP504=AC661,AB661&amp;"("&amp;SUM(AB662:AB665)&amp;")","")))</f>
        <v/>
      </c>
      <c r="BZ504" s="126" t="str">
        <f>IF(Z668="","",IF(AP504=Y668,Z668&amp;"("&amp;SUM(Z669:Z672)&amp;")",IF(AP504=AC668,AB668&amp;"("&amp;SUM(AB669:AB672)&amp;")","")))</f>
        <v/>
      </c>
      <c r="CA504" s="126" t="str">
        <f>IF(Z675="","",IF(AP504=Y675,Z675&amp;"("&amp;SUM(Z676:Z679)&amp;")",IF(AP504=AC675,AB675&amp;"("&amp;SUM(AB676:AB679)&amp;")","")))</f>
        <v/>
      </c>
      <c r="CB504" s="126" t="str">
        <f>IF(Z682="","",IF(AP504=Y682,Z682&amp;"("&amp;SUM(Z683:Z686)&amp;")",IF(AP504=AC682,AB682&amp;"("&amp;SUM(AB683:AB686)&amp;")","")))</f>
        <v/>
      </c>
      <c r="CC504" s="126" t="str">
        <f>IF(Z689="","",IF(AP504=Y689,Z689&amp;"("&amp;SUM(Z690:Z693)&amp;")",IF(AP504=AC689,AB689&amp;"("&amp;SUM(AB690:AB693)&amp;")","")))</f>
        <v/>
      </c>
      <c r="CD504" s="1056" t="str">
        <f>IF(Z696="","",IF(AP504=Y696,Z696&amp;"("&amp;SUM(Z697:Z700)&amp;")",IF(AP504=AC696,AB696&amp;"("&amp;SUM(AB697:AB700)&amp;")","")))</f>
        <v/>
      </c>
      <c r="CE504" s="1395" t="b">
        <f t="shared" si="18"/>
        <v>1</v>
      </c>
      <c r="CF504" s="1450" t="b">
        <f t="shared" si="19"/>
        <v>0</v>
      </c>
      <c r="CG504" s="1450" t="b">
        <f t="shared" si="20"/>
        <v>1</v>
      </c>
      <c r="CH504" s="270"/>
      <c r="CI504" s="270"/>
      <c r="CJ504" s="270"/>
      <c r="CK504" s="270"/>
      <c r="CL504" s="270"/>
      <c r="CM504" s="270"/>
    </row>
    <row r="505" spans="1:91" ht="13.5" outlineLevel="1" collapsed="1" thickBot="1" x14ac:dyDescent="0.25">
      <c r="A505" s="270"/>
      <c r="B505" s="1218">
        <v>8</v>
      </c>
      <c r="C505" s="1280" t="str">
        <f>IF(Z507="","",RANK(F505,F498:F505)*1000+ROW())</f>
        <v/>
      </c>
      <c r="D505" s="1281" t="str">
        <f t="shared" si="17"/>
        <v/>
      </c>
      <c r="E505" s="1281" t="str">
        <f>IF(J505="","",Nb_Diff_Part(D505,D498:D505,G505,G498:G505,AK507:AK696)*CritClassEq_DiffPart+Nb_Goal_Part(D505,D498:D505,G505,G498:G505,Y507:AC696)*CritClassEq_IndsPart+Nb_Score_Part(D505,D498:D505,G505,G498:G505,Y507:AC696)*CritClassEq_WinsPart+Nb_GoalTeam_Part(D505,D498:D505,G505,G498:G505,Y507:AC696)*CritClassEq_GoalPart+Nb_ScoreTeam_Part(D505,D498:D505,G505,G498:G505,Y507:AC696)*CritClassEq_ScorePart)</f>
        <v/>
      </c>
      <c r="F505" s="1282" t="str">
        <f t="shared" si="21"/>
        <v/>
      </c>
      <c r="G505" s="500" t="s">
        <v>4028</v>
      </c>
      <c r="H505" s="1136" t="str">
        <f>IF(Z507="","",(J505*Points_Victoire)+K505*Points_Null)</f>
        <v/>
      </c>
      <c r="I505" s="539" t="str">
        <f t="shared" si="22"/>
        <v/>
      </c>
      <c r="J505" s="539" t="str">
        <f>IF(Z507="","",COUNTIF(AE507:AE700,G505))</f>
        <v/>
      </c>
      <c r="K505" s="539" t="str">
        <f>IF(Z507="","",COUNTIF(AF507:AG700,G505))</f>
        <v/>
      </c>
      <c r="L505" s="539" t="str">
        <f>IF(Z507="","",COUNTIF(AH507:AH700,G505))</f>
        <v/>
      </c>
      <c r="M505" s="1137" t="str">
        <f>IF(Z507="","",J505-L505)</f>
        <v/>
      </c>
      <c r="N505" s="539" t="str">
        <f>IF(Z507="","",SUMIF(Y507:Y700,G505,Z507:Z700)+SUMIF(AC507:AC700,G505,AB507:AB700))</f>
        <v/>
      </c>
      <c r="O505" s="539" t="str">
        <f>IF(Z507="","",SUMIF(Y507:Y700,G505,AB507:AB700)+SUMIF(AC507:AC700,G505,Z507:Z700))</f>
        <v/>
      </c>
      <c r="P505" s="1137" t="str">
        <f>IF(Z507="","",N505-O505)</f>
        <v/>
      </c>
      <c r="Q505" s="539" t="str">
        <f>IF(Z507="","",SUMIF(Y507:Y700,G505,AI507:AI700)+SUMIF(AC507:AC700,G505,AJ507:AJ700))</f>
        <v/>
      </c>
      <c r="R505" s="539" t="str">
        <f>IF(Z507="","",SUMIF(Y507:Y700,G505,AJ507:AJ700)+SUMIF(AC507:AC700,G505,AI507:AI700))</f>
        <v/>
      </c>
      <c r="S505" s="516" t="str">
        <f>IF(Z507="","",Q505-R505)</f>
        <v/>
      </c>
      <c r="T505" s="270"/>
      <c r="U505" s="1158"/>
      <c r="V505" s="1158"/>
      <c r="W505" s="1166"/>
      <c r="X505" s="1159"/>
      <c r="Y505" s="1167"/>
      <c r="Z505" s="271"/>
      <c r="AA505" s="271"/>
      <c r="AB505" s="271"/>
      <c r="AC505" s="290"/>
      <c r="AD505" s="839"/>
      <c r="AE505" s="270"/>
      <c r="AF505" s="270"/>
      <c r="AG505" s="270"/>
      <c r="AH505" s="270"/>
      <c r="AI505" s="270"/>
      <c r="AJ505" s="270"/>
      <c r="AK505" s="270"/>
      <c r="AL505" s="270" t="str">
        <f>IF(Z507="","",SMALL(C498:C505,8))</f>
        <v/>
      </c>
      <c r="AM505" s="270"/>
      <c r="AN505" s="270"/>
      <c r="AO505" s="513" t="str">
        <f>IF(Z507="","",INT(AL505/1000))</f>
        <v/>
      </c>
      <c r="AP505" s="1057" t="str">
        <f>IF(Z507="",IF(HidePlayerFormulas,"","("&amp;G505&amp;")"),VLOOKUP(AL505,C498:S505,5,FALSE))</f>
        <v/>
      </c>
      <c r="AQ505" s="514" t="str">
        <f>VLOOKUP(AL505,C498:S505,6,FALSE)</f>
        <v/>
      </c>
      <c r="AR505" s="539" t="str">
        <f>VLOOKUP(AL505,C498:S505,7,FALSE)</f>
        <v/>
      </c>
      <c r="AS505" s="539" t="str">
        <f>VLOOKUP(AL505,C498:S505,8,FALSE)</f>
        <v/>
      </c>
      <c r="AT505" s="539" t="str">
        <f>VLOOKUP(AL505,C498:S505,9,FALSE)</f>
        <v/>
      </c>
      <c r="AU505" s="539" t="str">
        <f>VLOOKUP(AL505,C498:S505,10,FALSE)</f>
        <v/>
      </c>
      <c r="AV505" s="516" t="str">
        <f>VLOOKUP(AL505,C498:S505,11,FALSE)</f>
        <v/>
      </c>
      <c r="AW505" s="514" t="str">
        <f>VLOOKUP(AL505,C498:S505,12,FALSE)</f>
        <v/>
      </c>
      <c r="AX505" s="539" t="str">
        <f>VLOOKUP(AL505,C498:S505,13,FALSE)</f>
        <v/>
      </c>
      <c r="AY505" s="516" t="str">
        <f>VLOOKUP(AL505,C498:S505,14,FALSE)</f>
        <v/>
      </c>
      <c r="AZ505" s="514" t="str">
        <f>VLOOKUP(AL505,C498:S505,15,FALSE)</f>
        <v/>
      </c>
      <c r="BA505" s="539" t="str">
        <f>VLOOKUP(AL505,C498:S505,16,FALSE)</f>
        <v/>
      </c>
      <c r="BB505" s="516" t="str">
        <f>VLOOKUP(AL505,C498:S505,17,FALSE)</f>
        <v/>
      </c>
      <c r="BC505" s="1058" t="str">
        <f>IF(Z507="","",IF(AP505=Y507,Z507&amp;"("&amp;SUM(Z508:Z511)&amp;")",IF(AP505=AC507,AB507&amp;"("&amp;SUM(AB508:AB511)&amp;")","")))</f>
        <v/>
      </c>
      <c r="BD505" s="1059" t="str">
        <f>IF(Z514="","",IF(AP505=Y514,Z514&amp;"("&amp;SUM(Z515:Z518)&amp;")",IF(AP505=AC514,AB514&amp;"("&amp;SUM(AB515:AB518)&amp;")","")))</f>
        <v/>
      </c>
      <c r="BE505" s="1059" t="str">
        <f>IF(Z521="","",IF(AP505=Y521,Z521&amp;"("&amp;SUM(Z522:Z525)&amp;")",IF(AP505=AC521,AB521&amp;"("&amp;SUM(AB522:AB525)&amp;")","")))</f>
        <v/>
      </c>
      <c r="BF505" s="1059" t="str">
        <f>IF(Z528="","",IF(AP505=Y528,Z528&amp;"("&amp;SUM(Z529:Z532)&amp;")",IF(AP505=AC528,AB528&amp;"("&amp;SUM(AB529:AB532)&amp;")","")))</f>
        <v/>
      </c>
      <c r="BG505" s="1059" t="str">
        <f>IF(Z535="","",IF(AP505=Y535,Z535&amp;"("&amp;SUM(Z536:Z539)&amp;")",IF(AP505=AC535,AB535&amp;"("&amp;SUM(AB536:AB539)&amp;")","")))</f>
        <v/>
      </c>
      <c r="BH505" s="1059" t="str">
        <f>IF(Z542="","",IF(AP505=Y542,Z542&amp;"("&amp;SUM(Z543:Z546)&amp;")",IF(AP505=AC542,AB542&amp;"("&amp;SUM(AB543:AB546)&amp;")","")))</f>
        <v/>
      </c>
      <c r="BI505" s="1059" t="str">
        <f>IF(Z549="","",IF(AP505=Y549,Z549&amp;"("&amp;SUM(Z550:Z553)&amp;")",IF(AP505=AC549,AB549&amp;"("&amp;SUM(AB550:AB553)&amp;")","")))</f>
        <v/>
      </c>
      <c r="BJ505" s="1059" t="str">
        <f>IF(Z556="","",IF(AP505=Y556,Z556&amp;"("&amp;SUM(Z557:Z560)&amp;")",IF(AP505=AC556,AB556&amp;"("&amp;SUM(AB557:AB560)&amp;")","")))</f>
        <v/>
      </c>
      <c r="BK505" s="1059" t="str">
        <f>IF(Z563="","",IF(AP505=Y563,Z563&amp;"("&amp;SUM(Z564:Z567)&amp;")",IF(AP505=AC563,AB563&amp;"("&amp;SUM(AB564:AB567)&amp;")","")))</f>
        <v/>
      </c>
      <c r="BL505" s="1059" t="str">
        <f>IF(Z570="","",IF(AP505=Y570,Z570&amp;"("&amp;SUM(Z571:Z574)&amp;")",IF(AP505=AC570,AB570&amp;"("&amp;SUM(AB571:AB574)&amp;")","")))</f>
        <v/>
      </c>
      <c r="BM505" s="1059" t="str">
        <f>IF(Z577="","",IF(AP505=Y577,Z577&amp;"("&amp;SUM(Z578:Z581)&amp;")",IF(AP505=AC577,AB577&amp;"("&amp;SUM(AB578:AB581)&amp;")","")))</f>
        <v/>
      </c>
      <c r="BN505" s="1059" t="str">
        <f>IF(Z584="","",IF(AP505=Y584,Z584&amp;"("&amp;SUM(Z585:Z588)&amp;")",IF(AP505=AC584,AB584&amp;"("&amp;SUM(AB585:AB588)&amp;")","")))</f>
        <v/>
      </c>
      <c r="BO505" s="1059" t="str">
        <f>IF(Z591="","",IF(AP505=Y591,Z591&amp;"("&amp;SUM(Z592:Z595)&amp;")",IF(AP505=AC591,AB591&amp;"("&amp;SUM(AB592:AB595)&amp;")","")))</f>
        <v/>
      </c>
      <c r="BP505" s="1059" t="str">
        <f>IF(Z598="","",IF(AP505=Y598,Z598&amp;"("&amp;SUM(Z599:Z602)&amp;")",IF(AP505=AC598,AB598&amp;"("&amp;SUM(AB599:AB602)&amp;")","")))</f>
        <v/>
      </c>
      <c r="BQ505" s="1059" t="str">
        <f>IF(Z605="","",IF(AP505=Y605,Z605&amp;"("&amp;SUM(Z606:Z609)&amp;")",IF(AP505=AC605,AB605&amp;"("&amp;SUM(AB606:AB609)&amp;")","")))</f>
        <v/>
      </c>
      <c r="BR505" s="1059" t="str">
        <f>IF(Z612="","",IF(AP505=Y612,Z612&amp;"("&amp;SUM(Z613:Z616)&amp;")",IF(AP505=AC612,AB612&amp;"("&amp;SUM(AB613:AB616)&amp;")","")))</f>
        <v/>
      </c>
      <c r="BS505" s="1059" t="str">
        <f>IF(Z619="","",IF(AP505=Y619,Z619&amp;"("&amp;SUM(Z620:Z623)&amp;")",IF(AP505=AC619,AB619&amp;"("&amp;SUM(AB620:AB623)&amp;")","")))</f>
        <v/>
      </c>
      <c r="BT505" s="1059" t="str">
        <f>IF(Z626="","",IF(AP505=Y626,Z626&amp;"("&amp;SUM(Z627:Z630)&amp;")",IF(AP505=AC626,AB626&amp;"("&amp;SUM(AB627:AB630)&amp;")","")))</f>
        <v/>
      </c>
      <c r="BU505" s="1059" t="str">
        <f>IF(Z633="","",IF(AP505=Y633,Z633&amp;"("&amp;SUM(Z634:Z637)&amp;")",IF(AP505=AC633,AB633&amp;"("&amp;SUM(AB634:AB637)&amp;")","")))</f>
        <v/>
      </c>
      <c r="BV505" s="1059" t="str">
        <f>IF(Z640="","",IF(AP505=Y640,Z640&amp;"("&amp;SUM(Z641:Z644)&amp;")",IF(AP505=AC640,AB640&amp;"("&amp;SUM(AB641:AB644)&amp;")","")))</f>
        <v/>
      </c>
      <c r="BW505" s="1059" t="str">
        <f>IF(Z647="","",IF(AP505=Y647,Z647&amp;"("&amp;SUM(Z648:Z651)&amp;")",IF(AP505=AC647,AB647&amp;"("&amp;SUM(AB648:AB651)&amp;")","")))</f>
        <v/>
      </c>
      <c r="BX505" s="1059" t="str">
        <f>IF(Z654="","",IF(AP505=Y654,Z654&amp;"("&amp;SUM(Z655:Z658)&amp;")",IF(AP505=AC654,AB654&amp;"("&amp;SUM(AB655:AB658)&amp;")","")))</f>
        <v/>
      </c>
      <c r="BY505" s="1059" t="str">
        <f>IF(Z661="","",IF(AP505=Y661,Z661&amp;"("&amp;SUM(Z662:Z665)&amp;")",IF(AP505=AC661,AB661&amp;"("&amp;SUM(AB662:AB665)&amp;")","")))</f>
        <v/>
      </c>
      <c r="BZ505" s="1059" t="str">
        <f>IF(Z668="","",IF(AP505=Y668,Z668&amp;"("&amp;SUM(Z669:Z672)&amp;")",IF(AP505=AC668,AB668&amp;"("&amp;SUM(AB669:AB672)&amp;")","")))</f>
        <v/>
      </c>
      <c r="CA505" s="1059" t="str">
        <f>IF(Z675="","",IF(AP505=Y675,Z675&amp;"("&amp;SUM(Z676:Z679)&amp;")",IF(AP505=AC675,AB675&amp;"("&amp;SUM(AB676:AB679)&amp;")","")))</f>
        <v/>
      </c>
      <c r="CB505" s="1059" t="str">
        <f>IF(Z682="","",IF(AP505=Y682,Z682&amp;"("&amp;SUM(Z683:Z686)&amp;")",IF(AP505=AC682,AB682&amp;"("&amp;SUM(AB683:AB686)&amp;")","")))</f>
        <v/>
      </c>
      <c r="CC505" s="1059" t="str">
        <f>IF(Z689="","",IF(AP505=Y689,Z689&amp;"("&amp;SUM(Z690:Z693)&amp;")",IF(AP505=AC689,AB689&amp;"("&amp;SUM(AB690:AB693)&amp;")","")))</f>
        <v/>
      </c>
      <c r="CD505" s="1060" t="str">
        <f>IF(Z696="","",IF(AP505=Y696,Z696&amp;"("&amp;SUM(Z697:Z700)&amp;")",IF(AP505=AC696,AB696&amp;"("&amp;SUM(AB697:AB700)&amp;")","")))</f>
        <v/>
      </c>
      <c r="CE505" s="1395" t="b">
        <f t="shared" si="18"/>
        <v>0</v>
      </c>
      <c r="CF505" s="1450" t="b">
        <f t="shared" si="19"/>
        <v>0</v>
      </c>
      <c r="CG505" s="1450" t="b">
        <f t="shared" si="20"/>
        <v>1</v>
      </c>
      <c r="CH505" s="270"/>
      <c r="CI505" s="270"/>
      <c r="CJ505" s="270"/>
      <c r="CK505" s="270"/>
      <c r="CL505" s="270"/>
      <c r="CM505" s="270"/>
    </row>
    <row r="506" spans="1:91" ht="13.5" hidden="1" outlineLevel="2" thickBot="1" x14ac:dyDescent="0.25">
      <c r="A506" s="270"/>
      <c r="B506" s="271"/>
      <c r="C506" s="270"/>
      <c r="D506" s="270"/>
      <c r="E506" s="270"/>
      <c r="F506" s="270"/>
      <c r="G506" s="271"/>
      <c r="H506" s="270"/>
      <c r="I506" s="270"/>
      <c r="J506" s="270"/>
      <c r="K506" s="270"/>
      <c r="L506" s="270"/>
      <c r="M506" s="270"/>
      <c r="N506" s="270"/>
      <c r="O506" s="270"/>
      <c r="P506" s="270"/>
      <c r="Q506" s="270"/>
      <c r="R506" s="270"/>
      <c r="S506" s="270"/>
      <c r="T506" s="270"/>
      <c r="U506" s="270"/>
      <c r="V506" s="1153" t="str">
        <f>N_Heure</f>
        <v>Heure</v>
      </c>
      <c r="W506" s="1153" t="str">
        <f>N_Table</f>
        <v>Table</v>
      </c>
      <c r="X506" s="1153" t="str">
        <f>N_Arbitre</f>
        <v>Arbitre</v>
      </c>
      <c r="Y506" s="1169" t="str">
        <f>N_Matches</f>
        <v>Matches</v>
      </c>
      <c r="Z506" s="1170"/>
      <c r="AA506" s="1170"/>
      <c r="AB506" s="1170"/>
      <c r="AC506" s="1171"/>
      <c r="AD506" s="629"/>
      <c r="AE506" s="559" t="str">
        <f>N_G</f>
        <v>G</v>
      </c>
      <c r="AF506" s="559" t="str">
        <f>N_N</f>
        <v>N</v>
      </c>
      <c r="AG506" s="559" t="str">
        <f>N_N</f>
        <v>N</v>
      </c>
      <c r="AH506" s="559" t="str">
        <f>N_P</f>
        <v>P</v>
      </c>
      <c r="AI506" s="270"/>
      <c r="AJ506" s="270"/>
      <c r="AK506" s="559" t="s">
        <v>4029</v>
      </c>
      <c r="AL506" s="270" t="str">
        <f>IF(COUNTA(Z507:Z700)&gt;28,"OK","")</f>
        <v/>
      </c>
      <c r="AM506" s="270"/>
      <c r="AN506" s="270"/>
      <c r="AO506" s="575"/>
      <c r="AP506" s="270"/>
      <c r="AQ506" s="270"/>
      <c r="AR506" s="270"/>
      <c r="AS506" s="270"/>
      <c r="AT506" s="270"/>
      <c r="AU506" s="270"/>
      <c r="AV506" s="270"/>
      <c r="AW506" s="270"/>
      <c r="AX506" s="270"/>
      <c r="AY506" s="270"/>
      <c r="AZ506" s="270"/>
      <c r="BA506" s="270"/>
      <c r="BB506" s="270"/>
      <c r="BC506" s="270"/>
      <c r="BD506" s="270"/>
      <c r="BE506" s="270"/>
      <c r="BF506" s="270"/>
      <c r="BG506" s="270"/>
      <c r="BH506" s="270"/>
      <c r="BI506" s="270"/>
      <c r="BJ506" s="270"/>
      <c r="BK506" s="270"/>
      <c r="BL506" s="270"/>
      <c r="BM506" s="270"/>
      <c r="BN506" s="270"/>
      <c r="BO506" s="270"/>
      <c r="BP506" s="270"/>
      <c r="BQ506" s="270"/>
      <c r="BR506" s="270"/>
      <c r="BS506" s="270"/>
      <c r="BT506" s="270"/>
      <c r="BU506" s="270"/>
      <c r="BV506" s="270"/>
      <c r="BW506" s="270"/>
      <c r="BX506" s="270"/>
      <c r="BY506" s="270"/>
      <c r="BZ506" s="270"/>
      <c r="CA506" s="270"/>
      <c r="CB506" s="270"/>
      <c r="CC506" s="270"/>
      <c r="CD506" s="270"/>
      <c r="CE506"/>
      <c r="CF506" s="1396"/>
      <c r="CG506" s="1396"/>
      <c r="CH506" s="270"/>
      <c r="CI506" s="270"/>
      <c r="CJ506" s="270"/>
      <c r="CK506" s="270"/>
      <c r="CL506" s="270"/>
      <c r="CM506" s="270"/>
    </row>
    <row r="507" spans="1:91" hidden="1" outlineLevel="2" collapsed="1" x14ac:dyDescent="0.2">
      <c r="A507" s="270"/>
      <c r="B507" s="271"/>
      <c r="C507" s="12"/>
      <c r="D507" s="1071"/>
      <c r="E507" s="1071"/>
      <c r="F507" s="1071"/>
      <c r="G507" s="1172"/>
      <c r="H507" s="271"/>
      <c r="I507" s="270"/>
      <c r="J507" s="270"/>
      <c r="K507" s="270"/>
      <c r="L507" s="270"/>
      <c r="M507" s="270"/>
      <c r="N507" s="270"/>
      <c r="O507" s="270"/>
      <c r="P507" s="1072"/>
      <c r="Q507" s="270"/>
      <c r="R507" s="270"/>
      <c r="S507" s="1072"/>
      <c r="T507" s="270"/>
      <c r="U507" s="1019" t="s">
        <v>1726</v>
      </c>
      <c r="V507" s="1173"/>
      <c r="W507" s="1525"/>
      <c r="X507" s="1535"/>
      <c r="Y507" s="1174" t="str">
        <f>G498</f>
        <v>Eq1</v>
      </c>
      <c r="Z507" s="1103" t="str">
        <f>IF(OR(ISNUMBER(Z508),ISNUMBER(Z509),ISNUMBER(Z510),ISNUMBER(Z511)),4-COUNTBLANK(AI508:AI511),"")</f>
        <v/>
      </c>
      <c r="AA507" s="1104" t="s">
        <v>769</v>
      </c>
      <c r="AB507" s="1103" t="str">
        <f>IF(OR(ISNUMBER(Z508),ISNUMBER(Z509),ISNUMBER(Z510),ISNUMBER(Z511)),4-COUNTBLANK(AJ508:AJ511),"")</f>
        <v/>
      </c>
      <c r="AC507" s="1175" t="str">
        <f>G500</f>
        <v>Eq3</v>
      </c>
      <c r="AD507" s="839"/>
      <c r="AE507" s="270" t="str">
        <f>IF(Z507="","",IF(Z507&gt;AB507,Y507,IF(Z507=AB507,IF(NoDrawWithWithdraw,IF(AL507=Y507,AC507,IF(AL507=AC507,Y507,"")),""),AC507)))</f>
        <v/>
      </c>
      <c r="AF507" s="270" t="str">
        <f>IF(Z507="","",IF(Z507=AB507,IF(NoDrawWithWithdraw,IF(AL507=Y507,"",IF(AL507=AC507,"",Y507)),Y507),""))</f>
        <v/>
      </c>
      <c r="AG507" s="270" t="str">
        <f>IF(Z507="","",IF(Z507=AB507,IF(NoDrawWithWithdraw,IF(AL507=Y507,"",IF(AL507=AC507,"",AC507)),AC507),""))</f>
        <v/>
      </c>
      <c r="AH507" s="270" t="str">
        <f>IF(Z507="","",IF(Z507&lt;AB507,Y507,IF(Z507=AB507,IF(NoDrawWithWithdraw,IF(AL507=Y507,Y507,IF(AL507=AC507,AC507,"")),""),AC507)))</f>
        <v/>
      </c>
      <c r="AI507" s="270" t="str">
        <f>IF(Z507="","",SUM(Z508:Z511))</f>
        <v/>
      </c>
      <c r="AJ507" s="270" t="str">
        <f>IF(Z507="","",SUM(AB508:AB511))</f>
        <v/>
      </c>
      <c r="AK507" s="270" t="str">
        <f>CONCATENATE(AE507,AH507)</f>
        <v/>
      </c>
      <c r="AL507" s="270" t="str">
        <f>IF(COUNTIF(Y508:Y511,WithdrawLabel)&gt;COUNTIF(AC508:AC511,WithdrawLabel),Y507,IF(COUNTIF(AC508:AC511,WithdrawLabel)&gt;COUNTIF(Y508:Y511,WithdrawLabel),AC507,""))</f>
        <v/>
      </c>
      <c r="AM507" s="270"/>
      <c r="AN507" s="270"/>
      <c r="AO507" s="271"/>
      <c r="AP507" s="270"/>
      <c r="AQ507" s="270"/>
      <c r="AR507" s="270"/>
      <c r="AS507" s="270"/>
      <c r="AT507" s="270"/>
      <c r="AU507" s="270"/>
      <c r="AV507" s="270"/>
      <c r="AW507" s="270"/>
      <c r="AX507" s="270"/>
      <c r="AY507" s="1072"/>
      <c r="AZ507" s="270"/>
      <c r="BA507" s="270"/>
      <c r="BB507" s="1072"/>
      <c r="BC507" s="270"/>
      <c r="BD507" s="270"/>
      <c r="BE507" s="270"/>
      <c r="BF507" s="270"/>
      <c r="BG507" s="270"/>
      <c r="BH507" s="270"/>
      <c r="BI507" s="270"/>
      <c r="BJ507" s="270"/>
      <c r="BK507" s="270"/>
      <c r="BL507" s="270"/>
      <c r="BM507" s="270"/>
      <c r="BN507" s="270"/>
      <c r="BO507" s="270"/>
      <c r="BP507" s="270"/>
      <c r="BQ507" s="270"/>
      <c r="BR507" s="270"/>
      <c r="BS507" s="270"/>
      <c r="BT507" s="270"/>
      <c r="BU507" s="270"/>
      <c r="BV507" s="270"/>
      <c r="BW507" s="270"/>
      <c r="BX507" s="270"/>
      <c r="BY507" s="270"/>
      <c r="BZ507" s="270"/>
      <c r="CA507" s="270"/>
      <c r="CB507" s="270"/>
      <c r="CC507" s="270"/>
      <c r="CD507" s="270"/>
      <c r="CE507"/>
      <c r="CF507" s="1396"/>
      <c r="CG507" s="1396"/>
      <c r="CH507" s="270"/>
      <c r="CI507" s="270"/>
      <c r="CJ507" s="270"/>
      <c r="CK507" s="270"/>
      <c r="CL507" s="270"/>
      <c r="CM507" s="270"/>
    </row>
    <row r="508" spans="1:91" ht="13.5" hidden="1" outlineLevel="3" thickBot="1" x14ac:dyDescent="0.25">
      <c r="A508" s="270"/>
      <c r="B508" s="271"/>
      <c r="C508" s="12"/>
      <c r="D508" s="1071"/>
      <c r="E508" s="1071"/>
      <c r="F508" s="1071"/>
      <c r="G508" s="1172"/>
      <c r="H508" s="271"/>
      <c r="I508" s="270"/>
      <c r="J508" s="270"/>
      <c r="K508" s="270"/>
      <c r="L508" s="270"/>
      <c r="M508" s="270"/>
      <c r="N508" s="270"/>
      <c r="O508" s="270"/>
      <c r="P508" s="1072"/>
      <c r="Q508" s="270"/>
      <c r="R508" s="270"/>
      <c r="S508" s="1072"/>
      <c r="T508" s="270"/>
      <c r="U508" s="1019"/>
      <c r="V508" s="1176"/>
      <c r="W508" s="1177"/>
      <c r="X508" s="1207"/>
      <c r="Y508" s="627"/>
      <c r="Z508" s="492"/>
      <c r="AA508" s="493" t="s">
        <v>769</v>
      </c>
      <c r="AB508" s="1069"/>
      <c r="AC508" s="1070"/>
      <c r="AD508" s="839"/>
      <c r="AE508" s="270" t="str">
        <f>IF(Z508="","",IF(Z508&gt;AB508,Y508,IF(Z508=AB508,"",AC508)))</f>
        <v/>
      </c>
      <c r="AF508" s="270" t="str">
        <f>IF(Z508="","",IF(Z508=AB508,Y508,""))</f>
        <v/>
      </c>
      <c r="AG508" s="270" t="str">
        <f>IF(Z508="","",IF(Z508=AB508,AC508,""))</f>
        <v/>
      </c>
      <c r="AH508" s="270" t="str">
        <f>IF(Z508="","",IF(Z508&lt;AB508,Y508,IF(Z508=AB508,"",AC508)))</f>
        <v/>
      </c>
      <c r="AI508" s="270" t="str">
        <f>IF(Z508="","",IF(Z508&gt;AB508,Y507,""))</f>
        <v/>
      </c>
      <c r="AJ508" s="270" t="str">
        <f>IF(Z508="","",IF(Z508&lt;AB508,AC507,""))</f>
        <v/>
      </c>
      <c r="AK508" s="270" t="str">
        <f>CONCATENATE(AE508,AH508)</f>
        <v/>
      </c>
      <c r="AL508" s="270"/>
      <c r="AM508" s="270"/>
      <c r="AN508" s="270"/>
      <c r="AO508" s="271"/>
      <c r="AP508" s="270"/>
      <c r="AQ508" s="270"/>
      <c r="AR508" s="270"/>
      <c r="AS508" s="270"/>
      <c r="AT508" s="270"/>
      <c r="AU508" s="270"/>
      <c r="AV508" s="270"/>
      <c r="AW508" s="270"/>
      <c r="AX508" s="270"/>
      <c r="AY508" s="1072"/>
      <c r="AZ508" s="270"/>
      <c r="BA508" s="270"/>
      <c r="BB508" s="1072"/>
      <c r="BC508" s="270"/>
      <c r="BD508" s="270"/>
      <c r="BE508" s="270"/>
      <c r="BF508" s="270"/>
      <c r="BG508" s="270"/>
      <c r="BH508" s="270"/>
      <c r="BI508" s="270"/>
      <c r="BJ508" s="270"/>
      <c r="BK508" s="270"/>
      <c r="BL508" s="270"/>
      <c r="BM508" s="270"/>
      <c r="BN508" s="270"/>
      <c r="BO508" s="270"/>
      <c r="BP508" s="270"/>
      <c r="BQ508" s="270"/>
      <c r="BR508" s="270"/>
      <c r="BS508" s="270"/>
      <c r="BT508" s="270"/>
      <c r="BU508" s="270"/>
      <c r="BV508" s="270"/>
      <c r="BW508" s="270"/>
      <c r="BX508" s="270"/>
      <c r="BY508" s="270"/>
      <c r="BZ508" s="270"/>
      <c r="CA508" s="270"/>
      <c r="CB508" s="270"/>
      <c r="CC508" s="270"/>
      <c r="CD508" s="270"/>
      <c r="CE508"/>
      <c r="CF508" s="1396"/>
      <c r="CG508" s="1396"/>
      <c r="CH508" s="270"/>
      <c r="CI508" s="270"/>
      <c r="CJ508" s="270"/>
      <c r="CK508" s="270"/>
      <c r="CL508" s="270"/>
      <c r="CM508" s="270"/>
    </row>
    <row r="509" spans="1:91" ht="13.5" hidden="1" outlineLevel="3" thickBot="1" x14ac:dyDescent="0.25">
      <c r="A509" s="270"/>
      <c r="B509" s="271"/>
      <c r="C509" s="12"/>
      <c r="D509" s="1071"/>
      <c r="E509" s="1071"/>
      <c r="F509" s="1071"/>
      <c r="G509" s="1172"/>
      <c r="H509" s="271"/>
      <c r="I509" s="270"/>
      <c r="J509" s="270"/>
      <c r="K509" s="270"/>
      <c r="L509" s="270"/>
      <c r="M509" s="270"/>
      <c r="N509" s="270"/>
      <c r="O509" s="270"/>
      <c r="P509" s="1072"/>
      <c r="Q509" s="270"/>
      <c r="R509" s="270"/>
      <c r="S509" s="1072"/>
      <c r="T509" s="270"/>
      <c r="U509" s="1019"/>
      <c r="V509" s="1176"/>
      <c r="W509" s="1177"/>
      <c r="X509" s="1207"/>
      <c r="Y509" s="627"/>
      <c r="Z509" s="492"/>
      <c r="AA509" s="493" t="s">
        <v>769</v>
      </c>
      <c r="AB509" s="1069"/>
      <c r="AC509" s="1070"/>
      <c r="AD509" s="839"/>
      <c r="AE509" s="270" t="str">
        <f>IF(Z509="","",IF(Z509&gt;AB509,Y509,IF(Z509=AB509,"",AC509)))</f>
        <v/>
      </c>
      <c r="AF509" s="270" t="str">
        <f>IF(Z509="","",IF(Z509=AB509,Y509,""))</f>
        <v/>
      </c>
      <c r="AG509" s="270" t="str">
        <f>IF(Z509="","",IF(Z509=AB509,AC509,""))</f>
        <v/>
      </c>
      <c r="AH509" s="270" t="str">
        <f>IF(Z509="","",IF(Z509&lt;AB509,Y509,IF(Z509=AB509,"",AC509)))</f>
        <v/>
      </c>
      <c r="AI509" s="270" t="str">
        <f>IF(Z509="","",IF(Z509&gt;AB509,Y507,""))</f>
        <v/>
      </c>
      <c r="AJ509" s="270" t="str">
        <f>IF(Z509="","",IF(Z509&lt;AB509,AC507,""))</f>
        <v/>
      </c>
      <c r="AK509" s="270" t="str">
        <f>CONCATENATE(AE509,AH509)</f>
        <v/>
      </c>
      <c r="AL509" s="270"/>
      <c r="AM509" s="270"/>
      <c r="AN509" s="270"/>
      <c r="AO509" s="271"/>
      <c r="AP509" s="270"/>
      <c r="AQ509" s="270"/>
      <c r="AR509" s="270"/>
      <c r="AS509" s="270"/>
      <c r="AT509" s="270"/>
      <c r="AU509" s="270"/>
      <c r="AV509" s="270"/>
      <c r="AW509" s="270"/>
      <c r="AX509" s="270"/>
      <c r="AY509" s="1072"/>
      <c r="AZ509" s="270"/>
      <c r="BA509" s="270"/>
      <c r="BB509" s="1072"/>
      <c r="BC509" s="270"/>
      <c r="BD509" s="270"/>
      <c r="BE509" s="270"/>
      <c r="BF509" s="270"/>
      <c r="BG509" s="270"/>
      <c r="BH509" s="270"/>
      <c r="BI509" s="270"/>
      <c r="BJ509" s="270"/>
      <c r="BK509" s="270"/>
      <c r="BL509" s="270"/>
      <c r="BM509" s="270"/>
      <c r="BN509" s="270"/>
      <c r="BO509" s="270"/>
      <c r="BP509" s="270"/>
      <c r="BQ509" s="270"/>
      <c r="BR509" s="270"/>
      <c r="BS509" s="270"/>
      <c r="BT509" s="270"/>
      <c r="BU509" s="270"/>
      <c r="BV509" s="270"/>
      <c r="BW509" s="270"/>
      <c r="BX509" s="270"/>
      <c r="BY509" s="270"/>
      <c r="BZ509" s="270"/>
      <c r="CA509" s="270"/>
      <c r="CB509" s="270"/>
      <c r="CC509" s="270"/>
      <c r="CD509" s="270"/>
      <c r="CE509"/>
      <c r="CF509" s="1396"/>
      <c r="CG509" s="1396"/>
      <c r="CH509" s="270"/>
      <c r="CI509" s="270"/>
      <c r="CJ509" s="270"/>
      <c r="CK509" s="270"/>
      <c r="CL509" s="270"/>
      <c r="CM509" s="270"/>
    </row>
    <row r="510" spans="1:91" ht="13.5" hidden="1" outlineLevel="3" thickBot="1" x14ac:dyDescent="0.25">
      <c r="A510" s="270"/>
      <c r="B510" s="271"/>
      <c r="C510" s="12"/>
      <c r="D510" s="1071"/>
      <c r="E510" s="1071"/>
      <c r="F510" s="1071"/>
      <c r="G510" s="1172"/>
      <c r="H510" s="271"/>
      <c r="I510" s="270"/>
      <c r="J510" s="270"/>
      <c r="K510" s="270"/>
      <c r="L510" s="270"/>
      <c r="M510" s="270"/>
      <c r="N510" s="270"/>
      <c r="O510" s="270"/>
      <c r="P510" s="1072"/>
      <c r="Q510" s="270"/>
      <c r="R510" s="270"/>
      <c r="S510" s="1072"/>
      <c r="T510" s="270"/>
      <c r="U510" s="1019"/>
      <c r="V510" s="1176"/>
      <c r="W510" s="1177"/>
      <c r="X510" s="1207"/>
      <c r="Y510" s="1208"/>
      <c r="Z510" s="492"/>
      <c r="AA510" s="493" t="s">
        <v>769</v>
      </c>
      <c r="AB510" s="1069"/>
      <c r="AC510" s="1070"/>
      <c r="AD510" s="839"/>
      <c r="AE510" s="270" t="str">
        <f>IF(Z510="","",IF(Z510&gt;AB510,Y510,IF(Z510=AB510,"",AC510)))</f>
        <v/>
      </c>
      <c r="AF510" s="270" t="str">
        <f>IF(Z510="","",IF(Z510=AB510,Y510,""))</f>
        <v/>
      </c>
      <c r="AG510" s="270" t="str">
        <f>IF(Z510="","",IF(Z510=AB510,AC510,""))</f>
        <v/>
      </c>
      <c r="AH510" s="270" t="str">
        <f>IF(Z510="","",IF(Z510&lt;AB510,Y510,IF(Z510=AB510,"",AC510)))</f>
        <v/>
      </c>
      <c r="AI510" s="270" t="str">
        <f>IF(Z510="","",IF(Z510&gt;AB510,Y507,""))</f>
        <v/>
      </c>
      <c r="AJ510" s="270" t="str">
        <f>IF(Z510="","",IF(Z510&lt;AB510,AC507,""))</f>
        <v/>
      </c>
      <c r="AK510" s="270" t="str">
        <f>CONCATENATE(AE510,AH510)</f>
        <v/>
      </c>
      <c r="AL510" s="270"/>
      <c r="AM510" s="270"/>
      <c r="AN510" s="270"/>
      <c r="AO510" s="271"/>
      <c r="AP510" s="270"/>
      <c r="AQ510" s="270"/>
      <c r="AR510" s="270"/>
      <c r="AS510" s="270"/>
      <c r="AT510" s="270"/>
      <c r="AU510" s="270"/>
      <c r="AV510" s="270"/>
      <c r="AW510" s="270"/>
      <c r="AX510" s="270"/>
      <c r="AY510" s="1072"/>
      <c r="AZ510" s="270"/>
      <c r="BA510" s="270"/>
      <c r="BB510" s="1072"/>
      <c r="BC510" s="270"/>
      <c r="BD510" s="270"/>
      <c r="BE510" s="270"/>
      <c r="BF510" s="270"/>
      <c r="BG510" s="270"/>
      <c r="BH510" s="270"/>
      <c r="BI510" s="270"/>
      <c r="BJ510" s="270"/>
      <c r="BK510" s="270"/>
      <c r="BL510" s="270"/>
      <c r="BM510" s="270"/>
      <c r="BN510" s="270"/>
      <c r="BO510" s="270"/>
      <c r="BP510" s="270"/>
      <c r="BQ510" s="270"/>
      <c r="BR510" s="270"/>
      <c r="BS510" s="270"/>
      <c r="BT510" s="270"/>
      <c r="BU510" s="270"/>
      <c r="BV510" s="270"/>
      <c r="BW510" s="270"/>
      <c r="BX510" s="270"/>
      <c r="BY510" s="270"/>
      <c r="BZ510" s="270"/>
      <c r="CA510" s="270"/>
      <c r="CB510" s="270"/>
      <c r="CC510" s="270"/>
      <c r="CD510" s="270"/>
      <c r="CE510"/>
      <c r="CF510" s="1396"/>
      <c r="CG510" s="1396"/>
      <c r="CH510" s="270"/>
      <c r="CI510" s="270"/>
      <c r="CJ510" s="270"/>
      <c r="CK510" s="270"/>
      <c r="CL510" s="270"/>
      <c r="CM510" s="270"/>
    </row>
    <row r="511" spans="1:91" ht="13.5" hidden="1" outlineLevel="3" thickBot="1" x14ac:dyDescent="0.25">
      <c r="A511" s="270"/>
      <c r="B511" s="271"/>
      <c r="C511" s="12"/>
      <c r="D511" s="1071"/>
      <c r="E511" s="1071"/>
      <c r="F511" s="1071"/>
      <c r="G511" s="1172"/>
      <c r="H511" s="271"/>
      <c r="I511" s="270"/>
      <c r="J511" s="270"/>
      <c r="K511" s="270"/>
      <c r="L511" s="270"/>
      <c r="M511" s="270"/>
      <c r="N511" s="270"/>
      <c r="O511" s="270"/>
      <c r="P511" s="1072"/>
      <c r="Q511" s="270"/>
      <c r="R511" s="270"/>
      <c r="S511" s="1072"/>
      <c r="T511" s="270"/>
      <c r="U511" s="1019"/>
      <c r="V511" s="1176"/>
      <c r="W511" s="1177"/>
      <c r="X511" s="1207"/>
      <c r="Y511" s="1208"/>
      <c r="Z511" s="492"/>
      <c r="AA511" s="493" t="s">
        <v>769</v>
      </c>
      <c r="AB511" s="1069"/>
      <c r="AC511" s="1070"/>
      <c r="AD511" s="839"/>
      <c r="AE511" s="270" t="str">
        <f>IF(Z511="","",IF(Z511&gt;AB511,Y511,IF(Z511=AB511,"",AC511)))</f>
        <v/>
      </c>
      <c r="AF511" s="270" t="str">
        <f>IF(Z511="","",IF(Z511=AB511,Y511,""))</f>
        <v/>
      </c>
      <c r="AG511" s="270" t="str">
        <f>IF(Z511="","",IF(Z511=AB511,AC511,""))</f>
        <v/>
      </c>
      <c r="AH511" s="270" t="str">
        <f>IF(Z511="","",IF(Z511&lt;AB511,Y511,IF(Z511=AB511,"",AC511)))</f>
        <v/>
      </c>
      <c r="AI511" s="270" t="str">
        <f>IF(Z511="","",IF(Z511&gt;AB511,Y507,""))</f>
        <v/>
      </c>
      <c r="AJ511" s="270" t="str">
        <f>IF(Z511="","",IF(Z511&lt;AB511,AC507,""))</f>
        <v/>
      </c>
      <c r="AK511" s="270" t="str">
        <f>CONCATENATE(AE511,AH511)</f>
        <v/>
      </c>
      <c r="AL511" s="270"/>
      <c r="AM511" s="270"/>
      <c r="AN511" s="270"/>
      <c r="AO511" s="271"/>
      <c r="AP511" s="270"/>
      <c r="AQ511" s="270"/>
      <c r="AR511" s="270"/>
      <c r="AS511" s="270"/>
      <c r="AT511" s="270"/>
      <c r="AU511" s="270"/>
      <c r="AV511" s="270"/>
      <c r="AW511" s="270"/>
      <c r="AX511" s="270"/>
      <c r="AY511" s="1072"/>
      <c r="AZ511" s="270"/>
      <c r="BA511" s="270"/>
      <c r="BB511" s="1072"/>
      <c r="BC511" s="270"/>
      <c r="BD511" s="270"/>
      <c r="BE511" s="270"/>
      <c r="BF511" s="270"/>
      <c r="BG511" s="270"/>
      <c r="BH511" s="270"/>
      <c r="BI511" s="270"/>
      <c r="BJ511" s="270"/>
      <c r="BK511" s="270"/>
      <c r="BL511" s="270"/>
      <c r="BM511" s="270"/>
      <c r="BN511" s="270"/>
      <c r="BO511" s="270"/>
      <c r="BP511" s="270"/>
      <c r="BQ511" s="270"/>
      <c r="BR511" s="270"/>
      <c r="BS511" s="270"/>
      <c r="BT511" s="270"/>
      <c r="BU511" s="270"/>
      <c r="BV511" s="270"/>
      <c r="BW511" s="270"/>
      <c r="BX511" s="270"/>
      <c r="BY511" s="270"/>
      <c r="BZ511" s="270"/>
      <c r="CA511" s="270"/>
      <c r="CB511" s="270"/>
      <c r="CC511" s="270"/>
      <c r="CD511" s="270"/>
      <c r="CE511"/>
      <c r="CF511" s="1396"/>
      <c r="CG511" s="1396"/>
      <c r="CH511" s="270"/>
      <c r="CI511" s="270"/>
      <c r="CJ511" s="270"/>
      <c r="CK511" s="270"/>
      <c r="CL511" s="270"/>
      <c r="CM511" s="270"/>
    </row>
    <row r="512" spans="1:91" ht="13.5" hidden="1" outlineLevel="3" thickBot="1" x14ac:dyDescent="0.25">
      <c r="A512" s="270"/>
      <c r="B512" s="271"/>
      <c r="C512" s="12"/>
      <c r="D512" s="1071"/>
      <c r="E512" s="1071"/>
      <c r="F512" s="1071"/>
      <c r="G512" s="626"/>
      <c r="H512" s="271"/>
      <c r="I512" s="270"/>
      <c r="J512" s="270"/>
      <c r="K512" s="270"/>
      <c r="L512" s="270"/>
      <c r="M512" s="270"/>
      <c r="N512" s="270"/>
      <c r="O512" s="270"/>
      <c r="P512" s="1072"/>
      <c r="Q512" s="270"/>
      <c r="R512" s="270"/>
      <c r="S512" s="1072"/>
      <c r="T512" s="270"/>
      <c r="U512" s="1019"/>
      <c r="V512" s="1073"/>
      <c r="W512" s="1074"/>
      <c r="X512" s="1075" t="str">
        <f>N_Substitute</f>
        <v>Remplaçant</v>
      </c>
      <c r="Y512" s="627"/>
      <c r="Z512" s="492"/>
      <c r="AA512" s="1076"/>
      <c r="AB512" s="1069"/>
      <c r="AC512" s="1070"/>
      <c r="AD512" s="839"/>
      <c r="AE512" s="270"/>
      <c r="AF512" s="270"/>
      <c r="AG512" s="270"/>
      <c r="AH512" s="270"/>
      <c r="AI512" s="270"/>
      <c r="AJ512" s="270"/>
      <c r="AK512" s="270"/>
      <c r="AL512" s="270"/>
      <c r="AM512" s="270"/>
      <c r="AN512" s="270"/>
      <c r="AO512" s="271"/>
      <c r="AP512" s="270"/>
      <c r="AQ512" s="270"/>
      <c r="AR512" s="270"/>
      <c r="AS512" s="270"/>
      <c r="AT512" s="270"/>
      <c r="AU512" s="270"/>
      <c r="AV512" s="270"/>
      <c r="AW512" s="270"/>
      <c r="AX512" s="270"/>
      <c r="AY512" s="1072"/>
      <c r="AZ512" s="270"/>
      <c r="BA512" s="270"/>
      <c r="BB512" s="1072"/>
      <c r="BC512" s="270"/>
      <c r="BD512" s="270"/>
      <c r="BE512" s="270"/>
      <c r="BF512" s="270"/>
      <c r="BG512" s="270"/>
      <c r="BH512" s="270"/>
      <c r="BI512" s="270"/>
      <c r="BJ512" s="270"/>
      <c r="BK512" s="270"/>
      <c r="BL512" s="270"/>
      <c r="BM512" s="270"/>
      <c r="BN512" s="270"/>
      <c r="BO512" s="270"/>
      <c r="BP512" s="270"/>
      <c r="BQ512" s="270"/>
      <c r="BR512" s="270"/>
      <c r="BS512" s="270"/>
      <c r="BT512" s="270"/>
      <c r="BU512" s="270"/>
      <c r="BV512" s="270"/>
      <c r="BW512" s="270"/>
      <c r="BX512" s="270"/>
      <c r="BY512" s="270"/>
      <c r="BZ512" s="270"/>
      <c r="CA512" s="270"/>
      <c r="CB512" s="270"/>
      <c r="CC512" s="270"/>
      <c r="CD512" s="270"/>
      <c r="CE512"/>
      <c r="CF512" s="1396"/>
      <c r="CG512" s="1396"/>
      <c r="CH512" s="270"/>
      <c r="CI512" s="270"/>
      <c r="CJ512" s="270"/>
      <c r="CK512" s="270"/>
      <c r="CL512" s="270"/>
      <c r="CM512" s="270"/>
    </row>
    <row r="513" spans="1:91" ht="13.5" hidden="1" outlineLevel="3" thickBot="1" x14ac:dyDescent="0.25">
      <c r="A513" s="270"/>
      <c r="B513" s="271"/>
      <c r="C513" s="12"/>
      <c r="D513" s="1071"/>
      <c r="E513" s="1071"/>
      <c r="F513" s="1071"/>
      <c r="G513" s="626"/>
      <c r="H513" s="271"/>
      <c r="I513" s="270"/>
      <c r="J513" s="270"/>
      <c r="K513" s="270"/>
      <c r="L513" s="270"/>
      <c r="M513" s="270"/>
      <c r="N513" s="270"/>
      <c r="O513" s="270"/>
      <c r="P513" s="1072"/>
      <c r="Q513" s="270"/>
      <c r="R513" s="270"/>
      <c r="S513" s="1072"/>
      <c r="T513" s="270"/>
      <c r="U513" s="1019"/>
      <c r="V513" s="1119"/>
      <c r="W513" s="1120"/>
      <c r="X513" s="1075" t="str">
        <f>N_Substitute</f>
        <v>Remplaçant</v>
      </c>
      <c r="Y513" s="627"/>
      <c r="Z513" s="492"/>
      <c r="AA513" s="1121"/>
      <c r="AB513" s="1069"/>
      <c r="AC513" s="1070"/>
      <c r="AD513" s="839"/>
      <c r="AE513" s="270"/>
      <c r="AF513" s="270"/>
      <c r="AG513" s="270"/>
      <c r="AH513" s="270"/>
      <c r="AI513" s="270"/>
      <c r="AJ513" s="270"/>
      <c r="AK513" s="270"/>
      <c r="AL513" s="270"/>
      <c r="AM513" s="270"/>
      <c r="AN513" s="270"/>
      <c r="AO513" s="271"/>
      <c r="AP513" s="270"/>
      <c r="AQ513" s="270"/>
      <c r="AR513" s="270"/>
      <c r="AS513" s="270"/>
      <c r="AT513" s="270"/>
      <c r="AU513" s="270"/>
      <c r="AV513" s="270"/>
      <c r="AW513" s="270"/>
      <c r="AX513" s="270"/>
      <c r="AY513" s="1072"/>
      <c r="AZ513" s="270"/>
      <c r="BA513" s="270"/>
      <c r="BB513" s="1072"/>
      <c r="BC513" s="270"/>
      <c r="BD513" s="270"/>
      <c r="BE513" s="270"/>
      <c r="BF513" s="270"/>
      <c r="BG513" s="270"/>
      <c r="BH513" s="270"/>
      <c r="BI513" s="270"/>
      <c r="BJ513" s="270"/>
      <c r="BK513" s="270"/>
      <c r="BL513" s="270"/>
      <c r="BM513" s="270"/>
      <c r="BN513" s="270"/>
      <c r="BO513" s="270"/>
      <c r="BP513" s="270"/>
      <c r="BQ513" s="270"/>
      <c r="BR513" s="270"/>
      <c r="BS513" s="270"/>
      <c r="BT513" s="270"/>
      <c r="BU513" s="270"/>
      <c r="BV513" s="270"/>
      <c r="BW513" s="270"/>
      <c r="BX513" s="270"/>
      <c r="BY513" s="270"/>
      <c r="BZ513" s="270"/>
      <c r="CA513" s="270"/>
      <c r="CB513" s="270"/>
      <c r="CC513" s="270"/>
      <c r="CD513" s="270"/>
      <c r="CE513"/>
      <c r="CF513" s="1396"/>
      <c r="CG513" s="1396"/>
      <c r="CH513" s="270"/>
      <c r="CI513" s="270"/>
      <c r="CJ513" s="270"/>
      <c r="CK513" s="270"/>
      <c r="CL513" s="270"/>
      <c r="CM513" s="270"/>
    </row>
    <row r="514" spans="1:91" hidden="1" outlineLevel="2" collapsed="1" x14ac:dyDescent="0.2">
      <c r="A514" s="270"/>
      <c r="B514" s="271"/>
      <c r="C514" s="270"/>
      <c r="D514" s="270"/>
      <c r="E514" s="270"/>
      <c r="F514" s="270"/>
      <c r="G514" s="271"/>
      <c r="H514" s="270"/>
      <c r="I514" s="270"/>
      <c r="J514" s="270"/>
      <c r="K514" s="270"/>
      <c r="L514" s="270"/>
      <c r="M514" s="270"/>
      <c r="N514" s="270"/>
      <c r="O514" s="270"/>
      <c r="P514" s="270"/>
      <c r="Q514" s="270"/>
      <c r="R514" s="270"/>
      <c r="S514" s="270"/>
      <c r="T514" s="270"/>
      <c r="U514" s="1019" t="s">
        <v>1726</v>
      </c>
      <c r="V514" s="1179"/>
      <c r="W514" s="1177"/>
      <c r="X514" s="1207"/>
      <c r="Y514" s="1219" t="str">
        <f>G499</f>
        <v>Eq2</v>
      </c>
      <c r="Z514" s="1103" t="str">
        <f>IF(OR(ISNUMBER(Z515),ISNUMBER(Z516),ISNUMBER(Z517),ISNUMBER(Z518)),4-COUNTBLANK(AI515:AI518),"")</f>
        <v/>
      </c>
      <c r="AA514" s="1104" t="s">
        <v>769</v>
      </c>
      <c r="AB514" s="1103" t="str">
        <f>IF(OR(ISNUMBER(Z515),ISNUMBER(Z516),ISNUMBER(Z517),ISNUMBER(Z518)),4-COUNTBLANK(AJ515:AJ518),"")</f>
        <v/>
      </c>
      <c r="AC514" s="1211" t="str">
        <f>G505</f>
        <v>Eq8</v>
      </c>
      <c r="AD514" s="839"/>
      <c r="AE514" s="270" t="str">
        <f>IF(Z514="","",IF(Z514&gt;AB514,Y514,IF(Z514=AB514,IF(NoDrawWithWithdraw,IF(AL514=Y514,AC514,IF(AL514=AC514,Y514,"")),""),AC514)))</f>
        <v/>
      </c>
      <c r="AF514" s="270" t="str">
        <f>IF(Z514="","",IF(Z514=AB514,IF(NoDrawWithWithdraw,IF(AL514=Y514,"",IF(AL514=AC514,"",Y514)),Y514),""))</f>
        <v/>
      </c>
      <c r="AG514" s="270" t="str">
        <f>IF(Z514="","",IF(Z514=AB514,IF(NoDrawWithWithdraw,IF(AL514=Y514,"",IF(AL514=AC514,"",AC514)),AC514),""))</f>
        <v/>
      </c>
      <c r="AH514" s="270" t="str">
        <f>IF(Z514="","",IF(Z514&lt;AB514,Y514,IF(Z514=AB514,IF(NoDrawWithWithdraw,IF(AL514=Y514,Y514,IF(AL514=AC514,AC514,"")),""),AC514)))</f>
        <v/>
      </c>
      <c r="AI514" s="270" t="str">
        <f>IF(Z514="","",SUM(Z515:Z518))</f>
        <v/>
      </c>
      <c r="AJ514" s="270" t="str">
        <f>IF(Z514="","",SUM(AB515:AB518))</f>
        <v/>
      </c>
      <c r="AK514" s="270" t="str">
        <f>CONCATENATE(AE514,AH514)</f>
        <v/>
      </c>
      <c r="AL514" s="270" t="str">
        <f>IF(COUNTIF(Y515:Y518,WithdrawLabel)&gt;COUNTIF(AC515:AC518,WithdrawLabel),Y514,IF(COUNTIF(AC515:AC518,WithdrawLabel)&gt;COUNTIF(Y515:Y518,WithdrawLabel),AC514,""))</f>
        <v/>
      </c>
      <c r="AM514" s="270"/>
      <c r="AN514" s="270"/>
      <c r="AO514" s="575"/>
      <c r="AP514" s="270"/>
      <c r="AQ514" s="270"/>
      <c r="AR514" s="270"/>
      <c r="AS514" s="270"/>
      <c r="AT514" s="270"/>
      <c r="AU514" s="270"/>
      <c r="AV514" s="270"/>
      <c r="AW514" s="270"/>
      <c r="AX514" s="270"/>
      <c r="AY514" s="270"/>
      <c r="AZ514" s="270"/>
      <c r="BA514" s="270"/>
      <c r="BB514" s="270"/>
      <c r="BC514" s="270"/>
      <c r="BD514" s="270"/>
      <c r="BE514" s="270"/>
      <c r="BF514" s="270"/>
      <c r="BG514" s="270"/>
      <c r="BH514" s="270"/>
      <c r="BI514" s="270"/>
      <c r="BJ514" s="270"/>
      <c r="BK514" s="270"/>
      <c r="BL514" s="270"/>
      <c r="BM514" s="270"/>
      <c r="BN514" s="270"/>
      <c r="BO514" s="270"/>
      <c r="BP514" s="270"/>
      <c r="BQ514" s="270"/>
      <c r="BR514" s="270"/>
      <c r="BS514" s="270"/>
      <c r="BT514" s="270"/>
      <c r="BU514" s="270"/>
      <c r="BV514" s="270"/>
      <c r="BW514" s="270"/>
      <c r="BX514" s="270"/>
      <c r="BY514" s="270"/>
      <c r="BZ514" s="270"/>
      <c r="CA514" s="270"/>
      <c r="CB514" s="270"/>
      <c r="CC514" s="270"/>
      <c r="CD514" s="270"/>
      <c r="CE514"/>
      <c r="CF514" s="1396"/>
      <c r="CG514" s="1396"/>
      <c r="CH514" s="270"/>
      <c r="CI514" s="270"/>
      <c r="CJ514" s="270"/>
      <c r="CK514" s="270"/>
      <c r="CL514" s="270"/>
      <c r="CM514" s="270"/>
    </row>
    <row r="515" spans="1:91" ht="13.5" hidden="1" outlineLevel="3" thickBot="1" x14ac:dyDescent="0.25">
      <c r="A515" s="270"/>
      <c r="B515" s="271"/>
      <c r="C515" s="12"/>
      <c r="D515" s="1071"/>
      <c r="E515" s="1071"/>
      <c r="F515" s="1071"/>
      <c r="G515" s="1172"/>
      <c r="H515" s="271"/>
      <c r="I515" s="270"/>
      <c r="J515" s="270"/>
      <c r="K515" s="270"/>
      <c r="L515" s="270"/>
      <c r="M515" s="270"/>
      <c r="N515" s="270"/>
      <c r="O515" s="270"/>
      <c r="P515" s="1072"/>
      <c r="Q515" s="270"/>
      <c r="R515" s="270"/>
      <c r="S515" s="1072"/>
      <c r="T515" s="270"/>
      <c r="U515" s="1019"/>
      <c r="V515" s="1176"/>
      <c r="W515" s="1177"/>
      <c r="X515" s="1207"/>
      <c r="Y515" s="1208"/>
      <c r="Z515" s="492"/>
      <c r="AA515" s="493" t="s">
        <v>769</v>
      </c>
      <c r="AB515" s="1069"/>
      <c r="AC515" s="1070"/>
      <c r="AD515" s="839"/>
      <c r="AE515" s="270" t="str">
        <f>IF(Z515="","",IF(Z515&gt;AB515,Y515,IF(Z515=AB515,"",AC515)))</f>
        <v/>
      </c>
      <c r="AF515" s="270" t="str">
        <f>IF(Z515="","",IF(Z515=AB515,Y515,""))</f>
        <v/>
      </c>
      <c r="AG515" s="270" t="str">
        <f>IF(Z515="","",IF(Z515=AB515,AC515,""))</f>
        <v/>
      </c>
      <c r="AH515" s="270" t="str">
        <f>IF(Z515="","",IF(Z515&lt;AB515,Y515,IF(Z515=AB515,"",AC515)))</f>
        <v/>
      </c>
      <c r="AI515" s="270" t="str">
        <f>IF(Z515="","",IF(Z515&gt;AB515,Y514,""))</f>
        <v/>
      </c>
      <c r="AJ515" s="270" t="str">
        <f>IF(Z515="","",IF(Z515&lt;AB515,AC514,""))</f>
        <v/>
      </c>
      <c r="AK515" s="270" t="str">
        <f>CONCATENATE(AE515,AH515)</f>
        <v/>
      </c>
      <c r="AL515" s="270"/>
      <c r="AM515" s="270"/>
      <c r="AN515" s="270"/>
      <c r="AO515" s="271"/>
      <c r="AP515" s="270"/>
      <c r="AQ515" s="270"/>
      <c r="AR515" s="270"/>
      <c r="AS515" s="270"/>
      <c r="AT515" s="270"/>
      <c r="AU515" s="270"/>
      <c r="AV515" s="270"/>
      <c r="AW515" s="270"/>
      <c r="AX515" s="270"/>
      <c r="AY515" s="1072"/>
      <c r="AZ515" s="270"/>
      <c r="BA515" s="270"/>
      <c r="BB515" s="1072"/>
      <c r="BC515" s="270"/>
      <c r="BD515" s="270"/>
      <c r="BE515" s="270"/>
      <c r="BF515" s="270"/>
      <c r="BG515" s="270"/>
      <c r="BH515" s="270"/>
      <c r="BI515" s="270"/>
      <c r="BJ515" s="270"/>
      <c r="BK515" s="270"/>
      <c r="BL515" s="270"/>
      <c r="BM515" s="270"/>
      <c r="BN515" s="270"/>
      <c r="BO515" s="270"/>
      <c r="BP515" s="270"/>
      <c r="BQ515" s="270"/>
      <c r="BR515" s="270"/>
      <c r="BS515" s="270"/>
      <c r="BT515" s="270"/>
      <c r="BU515" s="270"/>
      <c r="BV515" s="270"/>
      <c r="BW515" s="270"/>
      <c r="BX515" s="270"/>
      <c r="BY515" s="270"/>
      <c r="BZ515" s="270"/>
      <c r="CA515" s="270"/>
      <c r="CB515" s="270"/>
      <c r="CC515" s="270"/>
      <c r="CD515" s="270"/>
      <c r="CE515"/>
      <c r="CF515" s="1396"/>
      <c r="CG515" s="1396"/>
      <c r="CH515" s="270"/>
      <c r="CI515" s="270"/>
      <c r="CJ515" s="270"/>
      <c r="CK515" s="270"/>
      <c r="CL515" s="270"/>
      <c r="CM515" s="270"/>
    </row>
    <row r="516" spans="1:91" ht="13.5" hidden="1" outlineLevel="3" thickBot="1" x14ac:dyDescent="0.25">
      <c r="A516" s="270"/>
      <c r="B516" s="271"/>
      <c r="C516" s="12"/>
      <c r="D516" s="1071"/>
      <c r="E516" s="1071"/>
      <c r="F516" s="1071"/>
      <c r="G516" s="1172"/>
      <c r="H516" s="271"/>
      <c r="I516" s="270"/>
      <c r="J516" s="270"/>
      <c r="K516" s="270"/>
      <c r="L516" s="270"/>
      <c r="M516" s="270"/>
      <c r="N516" s="270"/>
      <c r="O516" s="270"/>
      <c r="P516" s="1072"/>
      <c r="Q516" s="270"/>
      <c r="R516" s="270"/>
      <c r="S516" s="1072"/>
      <c r="T516" s="270"/>
      <c r="U516" s="1019"/>
      <c r="V516" s="1176"/>
      <c r="W516" s="1177"/>
      <c r="X516" s="1207"/>
      <c r="Y516" s="627"/>
      <c r="Z516" s="492"/>
      <c r="AA516" s="493" t="s">
        <v>769</v>
      </c>
      <c r="AB516" s="1069"/>
      <c r="AC516" s="1070"/>
      <c r="AD516" s="839"/>
      <c r="AE516" s="270" t="str">
        <f>IF(Z516="","",IF(Z516&gt;AB516,Y516,IF(Z516=AB516,"",AC516)))</f>
        <v/>
      </c>
      <c r="AF516" s="270" t="str">
        <f>IF(Z516="","",IF(Z516=AB516,Y516,""))</f>
        <v/>
      </c>
      <c r="AG516" s="270" t="str">
        <f>IF(Z516="","",IF(Z516=AB516,AC516,""))</f>
        <v/>
      </c>
      <c r="AH516" s="270" t="str">
        <f>IF(Z516="","",IF(Z516&lt;AB516,Y516,IF(Z516=AB516,"",AC516)))</f>
        <v/>
      </c>
      <c r="AI516" s="270" t="str">
        <f>IF(Z516="","",IF(Z516&gt;AB516,Y514,""))</f>
        <v/>
      </c>
      <c r="AJ516" s="270" t="str">
        <f>IF(Z516="","",IF(Z516&lt;AB516,AC514,""))</f>
        <v/>
      </c>
      <c r="AK516" s="270" t="str">
        <f>CONCATENATE(AE516,AH516)</f>
        <v/>
      </c>
      <c r="AL516" s="270"/>
      <c r="AM516" s="270"/>
      <c r="AN516" s="270"/>
      <c r="AO516" s="271"/>
      <c r="AP516" s="270"/>
      <c r="AQ516" s="270"/>
      <c r="AR516" s="270"/>
      <c r="AS516" s="270"/>
      <c r="AT516" s="270"/>
      <c r="AU516" s="270"/>
      <c r="AV516" s="270"/>
      <c r="AW516" s="270"/>
      <c r="AX516" s="270"/>
      <c r="AY516" s="1072"/>
      <c r="AZ516" s="270"/>
      <c r="BA516" s="270"/>
      <c r="BB516" s="1072"/>
      <c r="BC516" s="270"/>
      <c r="BD516" s="270"/>
      <c r="BE516" s="270"/>
      <c r="BF516" s="270"/>
      <c r="BG516" s="270"/>
      <c r="BH516" s="270"/>
      <c r="BI516" s="270"/>
      <c r="BJ516" s="270"/>
      <c r="BK516" s="270"/>
      <c r="BL516" s="270"/>
      <c r="BM516" s="270"/>
      <c r="BN516" s="270"/>
      <c r="BO516" s="270"/>
      <c r="BP516" s="270"/>
      <c r="BQ516" s="270"/>
      <c r="BR516" s="270"/>
      <c r="BS516" s="270"/>
      <c r="BT516" s="270"/>
      <c r="BU516" s="270"/>
      <c r="BV516" s="270"/>
      <c r="BW516" s="270"/>
      <c r="BX516" s="270"/>
      <c r="BY516" s="270"/>
      <c r="BZ516" s="270"/>
      <c r="CA516" s="270"/>
      <c r="CB516" s="270"/>
      <c r="CC516" s="270"/>
      <c r="CD516" s="270"/>
      <c r="CE516"/>
      <c r="CF516" s="1396"/>
      <c r="CG516" s="1396"/>
      <c r="CH516" s="270"/>
      <c r="CI516" s="270"/>
      <c r="CJ516" s="270"/>
      <c r="CK516" s="270"/>
      <c r="CL516" s="270"/>
      <c r="CM516" s="270"/>
    </row>
    <row r="517" spans="1:91" ht="13.5" hidden="1" outlineLevel="3" thickBot="1" x14ac:dyDescent="0.25">
      <c r="A517" s="270"/>
      <c r="B517" s="271"/>
      <c r="C517" s="12"/>
      <c r="D517" s="1071"/>
      <c r="E517" s="1071"/>
      <c r="F517" s="1071"/>
      <c r="G517" s="1172"/>
      <c r="H517" s="271"/>
      <c r="I517" s="270"/>
      <c r="J517" s="270"/>
      <c r="K517" s="270"/>
      <c r="L517" s="270"/>
      <c r="M517" s="270"/>
      <c r="N517" s="270"/>
      <c r="O517" s="270"/>
      <c r="P517" s="1072"/>
      <c r="Q517" s="270"/>
      <c r="R517" s="270"/>
      <c r="S517" s="1072"/>
      <c r="T517" s="270"/>
      <c r="U517" s="1019"/>
      <c r="V517" s="1176"/>
      <c r="W517" s="1177"/>
      <c r="X517" s="1207"/>
      <c r="Y517" s="627"/>
      <c r="Z517" s="492"/>
      <c r="AA517" s="493" t="s">
        <v>769</v>
      </c>
      <c r="AB517" s="1069"/>
      <c r="AC517" s="1070"/>
      <c r="AD517" s="839"/>
      <c r="AE517" s="270" t="str">
        <f>IF(Z517="","",IF(Z517&gt;AB517,Y517,IF(Z517=AB517,"",AC517)))</f>
        <v/>
      </c>
      <c r="AF517" s="270" t="str">
        <f>IF(Z517="","",IF(Z517=AB517,Y517,""))</f>
        <v/>
      </c>
      <c r="AG517" s="270" t="str">
        <f>IF(Z517="","",IF(Z517=AB517,AC517,""))</f>
        <v/>
      </c>
      <c r="AH517" s="270" t="str">
        <f>IF(Z517="","",IF(Z517&lt;AB517,Y517,IF(Z517=AB517,"",AC517)))</f>
        <v/>
      </c>
      <c r="AI517" s="270" t="str">
        <f>IF(Z517="","",IF(Z517&gt;AB517,Y514,""))</f>
        <v/>
      </c>
      <c r="AJ517" s="270" t="str">
        <f>IF(Z517="","",IF(Z517&lt;AB517,AC514,""))</f>
        <v/>
      </c>
      <c r="AK517" s="270" t="str">
        <f>CONCATENATE(AE517,AH517)</f>
        <v/>
      </c>
      <c r="AL517" s="270"/>
      <c r="AM517" s="270"/>
      <c r="AN517" s="270"/>
      <c r="AO517" s="271"/>
      <c r="AP517" s="270"/>
      <c r="AQ517" s="270"/>
      <c r="AR517" s="270"/>
      <c r="AS517" s="270"/>
      <c r="AT517" s="270"/>
      <c r="AU517" s="270"/>
      <c r="AV517" s="270"/>
      <c r="AW517" s="270"/>
      <c r="AX517" s="270"/>
      <c r="AY517" s="1072"/>
      <c r="AZ517" s="270"/>
      <c r="BA517" s="270"/>
      <c r="BB517" s="1072"/>
      <c r="BC517" s="270"/>
      <c r="BD517" s="270"/>
      <c r="BE517" s="270"/>
      <c r="BF517" s="270"/>
      <c r="BG517" s="270"/>
      <c r="BH517" s="270"/>
      <c r="BI517" s="270"/>
      <c r="BJ517" s="270"/>
      <c r="BK517" s="270"/>
      <c r="BL517" s="270"/>
      <c r="BM517" s="270"/>
      <c r="BN517" s="270"/>
      <c r="BO517" s="270"/>
      <c r="BP517" s="270"/>
      <c r="BQ517" s="270"/>
      <c r="BR517" s="270"/>
      <c r="BS517" s="270"/>
      <c r="BT517" s="270"/>
      <c r="BU517" s="270"/>
      <c r="BV517" s="270"/>
      <c r="BW517" s="270"/>
      <c r="BX517" s="270"/>
      <c r="BY517" s="270"/>
      <c r="BZ517" s="270"/>
      <c r="CA517" s="270"/>
      <c r="CB517" s="270"/>
      <c r="CC517" s="270"/>
      <c r="CD517" s="270"/>
      <c r="CE517"/>
      <c r="CF517" s="1396"/>
      <c r="CG517" s="1396"/>
      <c r="CH517" s="270"/>
      <c r="CI517" s="270"/>
      <c r="CJ517" s="270"/>
      <c r="CK517" s="270"/>
      <c r="CL517" s="270"/>
      <c r="CM517" s="270"/>
    </row>
    <row r="518" spans="1:91" ht="13.5" hidden="1" outlineLevel="3" thickBot="1" x14ac:dyDescent="0.25">
      <c r="A518" s="270"/>
      <c r="B518" s="271"/>
      <c r="C518" s="12"/>
      <c r="D518" s="1071"/>
      <c r="E518" s="1071"/>
      <c r="F518" s="1071"/>
      <c r="G518" s="1172"/>
      <c r="H518" s="271"/>
      <c r="I518" s="270"/>
      <c r="J518" s="270"/>
      <c r="K518" s="270"/>
      <c r="L518" s="270"/>
      <c r="M518" s="270"/>
      <c r="N518" s="270"/>
      <c r="O518" s="270"/>
      <c r="P518" s="1072"/>
      <c r="Q518" s="270"/>
      <c r="R518" s="270"/>
      <c r="S518" s="1072"/>
      <c r="T518" s="270"/>
      <c r="U518" s="1019"/>
      <c r="V518" s="1176"/>
      <c r="W518" s="1177"/>
      <c r="X518" s="1207"/>
      <c r="Y518" s="627"/>
      <c r="Z518" s="492"/>
      <c r="AA518" s="493" t="s">
        <v>769</v>
      </c>
      <c r="AB518" s="1069"/>
      <c r="AC518" s="1070"/>
      <c r="AD518" s="839"/>
      <c r="AE518" s="270" t="str">
        <f>IF(Z518="","",IF(Z518&gt;AB518,Y518,IF(Z518=AB518,"",AC518)))</f>
        <v/>
      </c>
      <c r="AF518" s="270" t="str">
        <f>IF(Z518="","",IF(Z518=AB518,Y518,""))</f>
        <v/>
      </c>
      <c r="AG518" s="270" t="str">
        <f>IF(Z518="","",IF(Z518=AB518,AC518,""))</f>
        <v/>
      </c>
      <c r="AH518" s="270" t="str">
        <f>IF(Z518="","",IF(Z518&lt;AB518,Y518,IF(Z518=AB518,"",AC518)))</f>
        <v/>
      </c>
      <c r="AI518" s="270" t="str">
        <f>IF(Z518="","",IF(Z518&gt;AB518,Y514,""))</f>
        <v/>
      </c>
      <c r="AJ518" s="270" t="str">
        <f>IF(Z518="","",IF(Z518&lt;AB518,AC514,""))</f>
        <v/>
      </c>
      <c r="AK518" s="270" t="str">
        <f>CONCATENATE(AE518,AH518)</f>
        <v/>
      </c>
      <c r="AL518" s="270"/>
      <c r="AM518" s="270"/>
      <c r="AN518" s="270"/>
      <c r="AO518" s="271"/>
      <c r="AP518" s="270"/>
      <c r="AQ518" s="270"/>
      <c r="AR518" s="270"/>
      <c r="AS518" s="270"/>
      <c r="AT518" s="270"/>
      <c r="AU518" s="270"/>
      <c r="AV518" s="270"/>
      <c r="AW518" s="270"/>
      <c r="AX518" s="270"/>
      <c r="AY518" s="1072"/>
      <c r="AZ518" s="270"/>
      <c r="BA518" s="270"/>
      <c r="BB518" s="1072"/>
      <c r="BC518" s="270"/>
      <c r="BD518" s="270"/>
      <c r="BE518" s="270"/>
      <c r="BF518" s="270"/>
      <c r="BG518" s="270"/>
      <c r="BH518" s="270"/>
      <c r="BI518" s="270"/>
      <c r="BJ518" s="270"/>
      <c r="BK518" s="270"/>
      <c r="BL518" s="270"/>
      <c r="BM518" s="270"/>
      <c r="BN518" s="270"/>
      <c r="BO518" s="270"/>
      <c r="BP518" s="270"/>
      <c r="BQ518" s="270"/>
      <c r="BR518" s="270"/>
      <c r="BS518" s="270"/>
      <c r="BT518" s="270"/>
      <c r="BU518" s="270"/>
      <c r="BV518" s="270"/>
      <c r="BW518" s="270"/>
      <c r="BX518" s="270"/>
      <c r="BY518" s="270"/>
      <c r="BZ518" s="270"/>
      <c r="CA518" s="270"/>
      <c r="CB518" s="270"/>
      <c r="CC518" s="270"/>
      <c r="CD518" s="270"/>
      <c r="CE518"/>
      <c r="CF518" s="1396"/>
      <c r="CG518" s="1396"/>
      <c r="CH518" s="270"/>
      <c r="CI518" s="270"/>
      <c r="CJ518" s="270"/>
      <c r="CK518" s="270"/>
      <c r="CL518" s="270"/>
      <c r="CM518" s="270"/>
    </row>
    <row r="519" spans="1:91" ht="13.5" hidden="1" outlineLevel="3" thickBot="1" x14ac:dyDescent="0.25">
      <c r="A519" s="270"/>
      <c r="B519" s="271"/>
      <c r="C519" s="12"/>
      <c r="D519" s="1071"/>
      <c r="E519" s="1071"/>
      <c r="F519" s="1071"/>
      <c r="G519" s="626"/>
      <c r="H519" s="271"/>
      <c r="I519" s="270"/>
      <c r="J519" s="270"/>
      <c r="K519" s="270"/>
      <c r="L519" s="270"/>
      <c r="M519" s="270"/>
      <c r="N519" s="270"/>
      <c r="O519" s="270"/>
      <c r="P519" s="1072"/>
      <c r="Q519" s="270"/>
      <c r="R519" s="270"/>
      <c r="S519" s="1072"/>
      <c r="T519" s="270"/>
      <c r="U519" s="1019"/>
      <c r="V519" s="1073"/>
      <c r="W519" s="1074"/>
      <c r="X519" s="1075" t="str">
        <f>N_Substitute</f>
        <v>Remplaçant</v>
      </c>
      <c r="Y519" s="627"/>
      <c r="Z519" s="492"/>
      <c r="AA519" s="1076"/>
      <c r="AB519" s="1069"/>
      <c r="AC519" s="1070"/>
      <c r="AD519" s="839"/>
      <c r="AE519" s="270"/>
      <c r="AF519" s="270"/>
      <c r="AG519" s="270"/>
      <c r="AH519" s="270"/>
      <c r="AI519" s="270"/>
      <c r="AJ519" s="270"/>
      <c r="AK519" s="270"/>
      <c r="AL519" s="270"/>
      <c r="AM519" s="270"/>
      <c r="AN519" s="270"/>
      <c r="AO519" s="271"/>
      <c r="AP519" s="270"/>
      <c r="AQ519" s="270"/>
      <c r="AR519" s="270"/>
      <c r="AS519" s="270"/>
      <c r="AT519" s="270"/>
      <c r="AU519" s="270"/>
      <c r="AV519" s="270"/>
      <c r="AW519" s="270"/>
      <c r="AX519" s="270"/>
      <c r="AY519" s="1072"/>
      <c r="AZ519" s="270"/>
      <c r="BA519" s="270"/>
      <c r="BB519" s="1072"/>
      <c r="BC519" s="270"/>
      <c r="BD519" s="270"/>
      <c r="BE519" s="270"/>
      <c r="BF519" s="270"/>
      <c r="BG519" s="270"/>
      <c r="BH519" s="270"/>
      <c r="BI519" s="270"/>
      <c r="BJ519" s="270"/>
      <c r="BK519" s="270"/>
      <c r="BL519" s="270"/>
      <c r="BM519" s="270"/>
      <c r="BN519" s="270"/>
      <c r="BO519" s="270"/>
      <c r="BP519" s="270"/>
      <c r="BQ519" s="270"/>
      <c r="BR519" s="270"/>
      <c r="BS519" s="270"/>
      <c r="BT519" s="270"/>
      <c r="BU519" s="270"/>
      <c r="BV519" s="270"/>
      <c r="BW519" s="270"/>
      <c r="BX519" s="270"/>
      <c r="BY519" s="270"/>
      <c r="BZ519" s="270"/>
      <c r="CA519" s="270"/>
      <c r="CB519" s="270"/>
      <c r="CC519" s="270"/>
      <c r="CD519" s="270"/>
      <c r="CE519"/>
      <c r="CF519" s="1396"/>
      <c r="CG519" s="1396"/>
      <c r="CH519" s="270"/>
      <c r="CI519" s="270"/>
      <c r="CJ519" s="270"/>
      <c r="CK519" s="270"/>
      <c r="CL519" s="270"/>
      <c r="CM519" s="270"/>
    </row>
    <row r="520" spans="1:91" ht="13.5" hidden="1" outlineLevel="3" thickBot="1" x14ac:dyDescent="0.25">
      <c r="A520" s="270"/>
      <c r="B520" s="271"/>
      <c r="C520" s="12"/>
      <c r="D520" s="1071"/>
      <c r="E520" s="1071"/>
      <c r="F520" s="1071"/>
      <c r="G520" s="626"/>
      <c r="H520" s="271"/>
      <c r="I520" s="270"/>
      <c r="J520" s="270"/>
      <c r="K520" s="270"/>
      <c r="L520" s="270"/>
      <c r="M520" s="270"/>
      <c r="N520" s="270"/>
      <c r="O520" s="270"/>
      <c r="P520" s="1072"/>
      <c r="Q520" s="270"/>
      <c r="R520" s="270"/>
      <c r="S520" s="1072"/>
      <c r="T520" s="270"/>
      <c r="U520" s="1019"/>
      <c r="V520" s="1119"/>
      <c r="W520" s="1120"/>
      <c r="X520" s="1075" t="str">
        <f>N_Substitute</f>
        <v>Remplaçant</v>
      </c>
      <c r="Y520" s="627"/>
      <c r="Z520" s="492"/>
      <c r="AA520" s="1121"/>
      <c r="AB520" s="1069"/>
      <c r="AC520" s="1070"/>
      <c r="AD520" s="839"/>
      <c r="AE520" s="270"/>
      <c r="AF520" s="270"/>
      <c r="AG520" s="270"/>
      <c r="AH520" s="270"/>
      <c r="AI520" s="270"/>
      <c r="AJ520" s="270"/>
      <c r="AK520" s="270"/>
      <c r="AL520" s="270"/>
      <c r="AM520" s="270"/>
      <c r="AN520" s="270"/>
      <c r="AO520" s="271"/>
      <c r="AP520" s="270"/>
      <c r="AQ520" s="270"/>
      <c r="AR520" s="270"/>
      <c r="AS520" s="270"/>
      <c r="AT520" s="270"/>
      <c r="AU520" s="270"/>
      <c r="AV520" s="270"/>
      <c r="AW520" s="270"/>
      <c r="AX520" s="270"/>
      <c r="AY520" s="1072"/>
      <c r="AZ520" s="270"/>
      <c r="BA520" s="270"/>
      <c r="BB520" s="1072"/>
      <c r="BC520" s="270"/>
      <c r="BD520" s="270"/>
      <c r="BE520" s="270"/>
      <c r="BF520" s="270"/>
      <c r="BG520" s="270"/>
      <c r="BH520" s="270"/>
      <c r="BI520" s="270"/>
      <c r="BJ520" s="270"/>
      <c r="BK520" s="270"/>
      <c r="BL520" s="270"/>
      <c r="BM520" s="270"/>
      <c r="BN520" s="270"/>
      <c r="BO520" s="270"/>
      <c r="BP520" s="270"/>
      <c r="BQ520" s="270"/>
      <c r="BR520" s="270"/>
      <c r="BS520" s="270"/>
      <c r="BT520" s="270"/>
      <c r="BU520" s="270"/>
      <c r="BV520" s="270"/>
      <c r="BW520" s="270"/>
      <c r="BX520" s="270"/>
      <c r="BY520" s="270"/>
      <c r="BZ520" s="270"/>
      <c r="CA520" s="270"/>
      <c r="CB520" s="270"/>
      <c r="CC520" s="270"/>
      <c r="CD520" s="270"/>
      <c r="CE520"/>
      <c r="CF520" s="1396"/>
      <c r="CG520" s="1396"/>
      <c r="CH520" s="270"/>
      <c r="CI520" s="270"/>
      <c r="CJ520" s="270"/>
      <c r="CK520" s="270"/>
      <c r="CL520" s="270"/>
      <c r="CM520" s="270"/>
    </row>
    <row r="521" spans="1:91" hidden="1" outlineLevel="2" collapsed="1" x14ac:dyDescent="0.2">
      <c r="A521" s="270"/>
      <c r="B521" s="271"/>
      <c r="C521" s="270"/>
      <c r="D521" s="270"/>
      <c r="E521" s="270"/>
      <c r="F521" s="270"/>
      <c r="G521" s="271"/>
      <c r="H521" s="270"/>
      <c r="I521" s="270"/>
      <c r="J521" s="270"/>
      <c r="K521" s="270"/>
      <c r="L521" s="270"/>
      <c r="M521" s="270"/>
      <c r="N521" s="270"/>
      <c r="O521" s="270"/>
      <c r="P521" s="270"/>
      <c r="Q521" s="270"/>
      <c r="R521" s="270"/>
      <c r="S521" s="270"/>
      <c r="T521" s="270"/>
      <c r="U521" s="1019" t="s">
        <v>1726</v>
      </c>
      <c r="V521" s="1179"/>
      <c r="W521" s="1177"/>
      <c r="X521" s="1207"/>
      <c r="Y521" s="1180" t="str">
        <f>G501</f>
        <v>Eq4</v>
      </c>
      <c r="Z521" s="1123" t="str">
        <f>IF(OR(ISNUMBER(Z522),ISNUMBER(Z523),ISNUMBER(Z524),ISNUMBER(Z525)),4-COUNTBLANK(AI522:AI525),"")</f>
        <v/>
      </c>
      <c r="AA521" s="1124" t="s">
        <v>769</v>
      </c>
      <c r="AB521" s="1125" t="str">
        <f>IF(OR(ISNUMBER(Z522),ISNUMBER(Z523),ISNUMBER(Z524),ISNUMBER(Z525)),4-COUNTBLANK(AJ522:AJ525),"")</f>
        <v/>
      </c>
      <c r="AC521" s="1181" t="str">
        <f>G504</f>
        <v>Eq7</v>
      </c>
      <c r="AD521" s="839"/>
      <c r="AE521" s="270" t="str">
        <f>IF(Z521="","",IF(Z521&gt;AB521,Y521,IF(Z521=AB521,IF(NoDrawWithWithdraw,IF(AL521=Y521,AC521,IF(AL521=AC521,Y521,"")),""),AC521)))</f>
        <v/>
      </c>
      <c r="AF521" s="270" t="str">
        <f>IF(Z521="","",IF(Z521=AB521,IF(NoDrawWithWithdraw,IF(AL521=Y521,"",IF(AL521=AC521,"",Y521)),Y521),""))</f>
        <v/>
      </c>
      <c r="AG521" s="270" t="str">
        <f>IF(Z521="","",IF(Z521=AB521,IF(NoDrawWithWithdraw,IF(AL521=Y521,"",IF(AL521=AC521,"",AC521)),AC521),""))</f>
        <v/>
      </c>
      <c r="AH521" s="270" t="str">
        <f>IF(Z521="","",IF(Z521&lt;AB521,Y521,IF(Z521=AB521,IF(NoDrawWithWithdraw,IF(AL521=Y521,Y521,IF(AL521=AC521,AC521,"")),""),AC521)))</f>
        <v/>
      </c>
      <c r="AI521" s="270" t="str">
        <f>IF(Z521="","",SUM(Z522:Z525))</f>
        <v/>
      </c>
      <c r="AJ521" s="270" t="str">
        <f>IF(Z521="","",SUM(AB522:AB525))</f>
        <v/>
      </c>
      <c r="AK521" s="270" t="str">
        <f>CONCATENATE(AE521,AH521)</f>
        <v/>
      </c>
      <c r="AL521" s="270" t="str">
        <f>IF(COUNTIF(Y522:Y525,WithdrawLabel)&gt;COUNTIF(AC522:AC525,WithdrawLabel),Y521,IF(COUNTIF(AC522:AC525,WithdrawLabel)&gt;COUNTIF(Y522:Y525,WithdrawLabel),AC521,""))</f>
        <v/>
      </c>
      <c r="AM521" s="270"/>
      <c r="AN521" s="270"/>
      <c r="AO521" s="575"/>
      <c r="AP521" s="270"/>
      <c r="AQ521" s="270"/>
      <c r="AR521" s="270"/>
      <c r="AS521" s="270"/>
      <c r="AT521" s="270"/>
      <c r="AU521" s="270"/>
      <c r="AV521" s="270"/>
      <c r="AW521" s="270"/>
      <c r="AX521" s="270"/>
      <c r="AY521" s="270"/>
      <c r="AZ521" s="270"/>
      <c r="BA521" s="270"/>
      <c r="BB521" s="270"/>
      <c r="BC521" s="270"/>
      <c r="BD521" s="270"/>
      <c r="BE521" s="270"/>
      <c r="BF521" s="270"/>
      <c r="BG521" s="270"/>
      <c r="BH521" s="270"/>
      <c r="BI521" s="270"/>
      <c r="BJ521" s="270"/>
      <c r="BK521" s="270"/>
      <c r="BL521" s="270"/>
      <c r="BM521" s="270"/>
      <c r="BN521" s="270"/>
      <c r="BO521" s="270"/>
      <c r="BP521" s="270"/>
      <c r="BQ521" s="270"/>
      <c r="BR521" s="270"/>
      <c r="BS521" s="270"/>
      <c r="BT521" s="270"/>
      <c r="BU521" s="270"/>
      <c r="BV521" s="270"/>
      <c r="BW521" s="270"/>
      <c r="BX521" s="270"/>
      <c r="BY521" s="270"/>
      <c r="BZ521" s="270"/>
      <c r="CA521" s="270"/>
      <c r="CB521" s="270"/>
      <c r="CC521" s="270"/>
      <c r="CD521" s="270"/>
      <c r="CE521"/>
      <c r="CF521" s="1396"/>
      <c r="CG521" s="1396"/>
      <c r="CH521" s="270"/>
      <c r="CI521" s="270"/>
      <c r="CJ521" s="270"/>
      <c r="CK521" s="270"/>
      <c r="CL521" s="270"/>
      <c r="CM521" s="270"/>
    </row>
    <row r="522" spans="1:91" ht="13.5" hidden="1" outlineLevel="3" thickBot="1" x14ac:dyDescent="0.25">
      <c r="A522" s="270"/>
      <c r="B522" s="271"/>
      <c r="C522" s="12"/>
      <c r="D522" s="1071"/>
      <c r="E522" s="1071"/>
      <c r="F522" s="1071"/>
      <c r="G522" s="1172"/>
      <c r="H522" s="271"/>
      <c r="I522" s="270"/>
      <c r="J522" s="270"/>
      <c r="K522" s="270"/>
      <c r="L522" s="270"/>
      <c r="M522" s="270"/>
      <c r="N522" s="270"/>
      <c r="O522" s="270"/>
      <c r="P522" s="1072"/>
      <c r="Q522" s="270"/>
      <c r="R522" s="270"/>
      <c r="S522" s="1072"/>
      <c r="T522" s="270"/>
      <c r="U522" s="1019"/>
      <c r="V522" s="1176"/>
      <c r="W522" s="1177"/>
      <c r="X522" s="1207"/>
      <c r="Y522" s="627"/>
      <c r="Z522" s="492"/>
      <c r="AA522" s="493" t="s">
        <v>769</v>
      </c>
      <c r="AB522" s="1069"/>
      <c r="AC522" s="1070"/>
      <c r="AD522" s="839"/>
      <c r="AE522" s="270" t="str">
        <f>IF(Z522="","",IF(Z522&gt;AB522,Y522,IF(Z522=AB522,"",AC522)))</f>
        <v/>
      </c>
      <c r="AF522" s="270" t="str">
        <f>IF(Z522="","",IF(Z522=AB522,Y522,""))</f>
        <v/>
      </c>
      <c r="AG522" s="270" t="str">
        <f>IF(Z522="","",IF(Z522=AB522,AC522,""))</f>
        <v/>
      </c>
      <c r="AH522" s="270" t="str">
        <f>IF(Z522="","",IF(Z522&lt;AB522,Y522,IF(Z522=AB522,"",AC522)))</f>
        <v/>
      </c>
      <c r="AI522" s="270" t="str">
        <f>IF(Z522="","",IF(Z522&gt;AB522,Y521,""))</f>
        <v/>
      </c>
      <c r="AJ522" s="270" t="str">
        <f>IF(Z522="","",IF(Z522&lt;AB522,AC521,""))</f>
        <v/>
      </c>
      <c r="AK522" s="270" t="str">
        <f>CONCATENATE(AE522,AH522)</f>
        <v/>
      </c>
      <c r="AL522" s="270"/>
      <c r="AM522" s="270"/>
      <c r="AN522" s="270"/>
      <c r="AO522" s="271"/>
      <c r="AP522" s="270"/>
      <c r="AQ522" s="270"/>
      <c r="AR522" s="270"/>
      <c r="AS522" s="270"/>
      <c r="AT522" s="270"/>
      <c r="AU522" s="270"/>
      <c r="AV522" s="270"/>
      <c r="AW522" s="270"/>
      <c r="AX522" s="270"/>
      <c r="AY522" s="1072"/>
      <c r="AZ522" s="270"/>
      <c r="BA522" s="270"/>
      <c r="BB522" s="1072"/>
      <c r="BC522" s="270"/>
      <c r="BD522" s="270"/>
      <c r="BE522" s="270"/>
      <c r="BF522" s="270"/>
      <c r="BG522" s="270"/>
      <c r="BH522" s="270"/>
      <c r="BI522" s="270"/>
      <c r="BJ522" s="270"/>
      <c r="BK522" s="270"/>
      <c r="BL522" s="270"/>
      <c r="BM522" s="270"/>
      <c r="BN522" s="270"/>
      <c r="BO522" s="270"/>
      <c r="BP522" s="270"/>
      <c r="BQ522" s="270"/>
      <c r="BR522" s="270"/>
      <c r="BS522" s="270"/>
      <c r="BT522" s="270"/>
      <c r="BU522" s="270"/>
      <c r="BV522" s="270"/>
      <c r="BW522" s="270"/>
      <c r="BX522" s="270"/>
      <c r="BY522" s="270"/>
      <c r="BZ522" s="270"/>
      <c r="CA522" s="270"/>
      <c r="CB522" s="270"/>
      <c r="CC522" s="270"/>
      <c r="CD522" s="270"/>
      <c r="CE522"/>
      <c r="CF522" s="1396"/>
      <c r="CG522" s="1396"/>
      <c r="CH522" s="270"/>
      <c r="CI522" s="270"/>
      <c r="CJ522" s="270"/>
      <c r="CK522" s="270"/>
      <c r="CL522" s="270"/>
      <c r="CM522" s="270"/>
    </row>
    <row r="523" spans="1:91" ht="13.5" hidden="1" outlineLevel="3" thickBot="1" x14ac:dyDescent="0.25">
      <c r="A523" s="270"/>
      <c r="B523" s="271"/>
      <c r="C523" s="12"/>
      <c r="D523" s="1071"/>
      <c r="E523" s="1071"/>
      <c r="F523" s="1071"/>
      <c r="G523" s="1172"/>
      <c r="H523" s="271"/>
      <c r="I523" s="270"/>
      <c r="J523" s="270"/>
      <c r="K523" s="270"/>
      <c r="L523" s="270"/>
      <c r="M523" s="270"/>
      <c r="N523" s="270"/>
      <c r="O523" s="270"/>
      <c r="P523" s="1072"/>
      <c r="Q523" s="270"/>
      <c r="R523" s="270"/>
      <c r="S523" s="1072"/>
      <c r="T523" s="270"/>
      <c r="U523" s="1019"/>
      <c r="V523" s="1176"/>
      <c r="W523" s="1177"/>
      <c r="X523" s="1207"/>
      <c r="Y523" s="627"/>
      <c r="Z523" s="492"/>
      <c r="AA523" s="493" t="s">
        <v>769</v>
      </c>
      <c r="AB523" s="1069"/>
      <c r="AC523" s="1070"/>
      <c r="AD523" s="839"/>
      <c r="AE523" s="270" t="str">
        <f>IF(Z523="","",IF(Z523&gt;AB523,Y523,IF(Z523=AB523,"",AC523)))</f>
        <v/>
      </c>
      <c r="AF523" s="270" t="str">
        <f>IF(Z523="","",IF(Z523=AB523,Y523,""))</f>
        <v/>
      </c>
      <c r="AG523" s="270" t="str">
        <f>IF(Z523="","",IF(Z523=AB523,AC523,""))</f>
        <v/>
      </c>
      <c r="AH523" s="270" t="str">
        <f>IF(Z523="","",IF(Z523&lt;AB523,Y523,IF(Z523=AB523,"",AC523)))</f>
        <v/>
      </c>
      <c r="AI523" s="270" t="str">
        <f>IF(Z523="","",IF(Z523&gt;AB523,Y521,""))</f>
        <v/>
      </c>
      <c r="AJ523" s="270" t="str">
        <f>IF(Z523="","",IF(Z523&lt;AB523,AC521,""))</f>
        <v/>
      </c>
      <c r="AK523" s="270" t="str">
        <f>CONCATENATE(AE523,AH523)</f>
        <v/>
      </c>
      <c r="AL523" s="270"/>
      <c r="AM523" s="270"/>
      <c r="AN523" s="270"/>
      <c r="AO523" s="271"/>
      <c r="AP523" s="270"/>
      <c r="AQ523" s="270"/>
      <c r="AR523" s="270"/>
      <c r="AS523" s="270"/>
      <c r="AT523" s="270"/>
      <c r="AU523" s="270"/>
      <c r="AV523" s="270"/>
      <c r="AW523" s="270"/>
      <c r="AX523" s="270"/>
      <c r="AY523" s="1072"/>
      <c r="AZ523" s="270"/>
      <c r="BA523" s="270"/>
      <c r="BB523" s="1072"/>
      <c r="BC523" s="270"/>
      <c r="BD523" s="270"/>
      <c r="BE523" s="270"/>
      <c r="BF523" s="270"/>
      <c r="BG523" s="270"/>
      <c r="BH523" s="270"/>
      <c r="BI523" s="270"/>
      <c r="BJ523" s="270"/>
      <c r="BK523" s="270"/>
      <c r="BL523" s="270"/>
      <c r="BM523" s="270"/>
      <c r="BN523" s="270"/>
      <c r="BO523" s="270"/>
      <c r="BP523" s="270"/>
      <c r="BQ523" s="270"/>
      <c r="BR523" s="270"/>
      <c r="BS523" s="270"/>
      <c r="BT523" s="270"/>
      <c r="BU523" s="270"/>
      <c r="BV523" s="270"/>
      <c r="BW523" s="270"/>
      <c r="BX523" s="270"/>
      <c r="BY523" s="270"/>
      <c r="BZ523" s="270"/>
      <c r="CA523" s="270"/>
      <c r="CB523" s="270"/>
      <c r="CC523" s="270"/>
      <c r="CD523" s="270"/>
      <c r="CE523"/>
      <c r="CF523" s="1396"/>
      <c r="CG523" s="1396"/>
      <c r="CH523" s="270"/>
      <c r="CI523" s="270"/>
      <c r="CJ523" s="270"/>
      <c r="CK523" s="270"/>
      <c r="CL523" s="270"/>
      <c r="CM523" s="270"/>
    </row>
    <row r="524" spans="1:91" ht="13.5" hidden="1" outlineLevel="3" thickBot="1" x14ac:dyDescent="0.25">
      <c r="A524" s="270"/>
      <c r="B524" s="271"/>
      <c r="C524" s="12"/>
      <c r="D524" s="1071"/>
      <c r="E524" s="1071"/>
      <c r="F524" s="1071"/>
      <c r="G524" s="1172"/>
      <c r="H524" s="271"/>
      <c r="I524" s="270"/>
      <c r="J524" s="270"/>
      <c r="K524" s="270"/>
      <c r="L524" s="270"/>
      <c r="M524" s="270"/>
      <c r="N524" s="270"/>
      <c r="O524" s="270"/>
      <c r="P524" s="1072"/>
      <c r="Q524" s="270"/>
      <c r="R524" s="270"/>
      <c r="S524" s="1072"/>
      <c r="T524" s="270"/>
      <c r="U524" s="1019"/>
      <c r="V524" s="1176"/>
      <c r="W524" s="1177"/>
      <c r="X524" s="1207"/>
      <c r="Y524" s="627"/>
      <c r="Z524" s="492"/>
      <c r="AA524" s="493" t="s">
        <v>769</v>
      </c>
      <c r="AB524" s="1069"/>
      <c r="AC524" s="1070"/>
      <c r="AD524" s="839"/>
      <c r="AE524" s="270" t="str">
        <f>IF(Z524="","",IF(Z524&gt;AB524,Y524,IF(Z524=AB524,"",AC524)))</f>
        <v/>
      </c>
      <c r="AF524" s="270" t="str">
        <f>IF(Z524="","",IF(Z524=AB524,Y524,""))</f>
        <v/>
      </c>
      <c r="AG524" s="270" t="str">
        <f>IF(Z524="","",IF(Z524=AB524,AC524,""))</f>
        <v/>
      </c>
      <c r="AH524" s="270" t="str">
        <f>IF(Z524="","",IF(Z524&lt;AB524,Y524,IF(Z524=AB524,"",AC524)))</f>
        <v/>
      </c>
      <c r="AI524" s="270" t="str">
        <f>IF(Z524="","",IF(Z524&gt;AB524,Y521,""))</f>
        <v/>
      </c>
      <c r="AJ524" s="270" t="str">
        <f>IF(Z524="","",IF(Z524&lt;AB524,AC521,""))</f>
        <v/>
      </c>
      <c r="AK524" s="270" t="str">
        <f>CONCATENATE(AE524,AH524)</f>
        <v/>
      </c>
      <c r="AL524" s="270"/>
      <c r="AM524" s="270"/>
      <c r="AN524" s="270"/>
      <c r="AO524" s="271"/>
      <c r="AP524" s="270"/>
      <c r="AQ524" s="270"/>
      <c r="AR524" s="270"/>
      <c r="AS524" s="270"/>
      <c r="AT524" s="270"/>
      <c r="AU524" s="270"/>
      <c r="AV524" s="270"/>
      <c r="AW524" s="270"/>
      <c r="AX524" s="270"/>
      <c r="AY524" s="1072"/>
      <c r="AZ524" s="270"/>
      <c r="BA524" s="270"/>
      <c r="BB524" s="1072"/>
      <c r="BC524" s="270"/>
      <c r="BD524" s="270"/>
      <c r="BE524" s="270"/>
      <c r="BF524" s="270"/>
      <c r="BG524" s="270"/>
      <c r="BH524" s="270"/>
      <c r="BI524" s="270"/>
      <c r="BJ524" s="270"/>
      <c r="BK524" s="270"/>
      <c r="BL524" s="270"/>
      <c r="BM524" s="270"/>
      <c r="BN524" s="270"/>
      <c r="BO524" s="270"/>
      <c r="BP524" s="270"/>
      <c r="BQ524" s="270"/>
      <c r="BR524" s="270"/>
      <c r="BS524" s="270"/>
      <c r="BT524" s="270"/>
      <c r="BU524" s="270"/>
      <c r="BV524" s="270"/>
      <c r="BW524" s="270"/>
      <c r="BX524" s="270"/>
      <c r="BY524" s="270"/>
      <c r="BZ524" s="270"/>
      <c r="CA524" s="270"/>
      <c r="CB524" s="270"/>
      <c r="CC524" s="270"/>
      <c r="CD524" s="270"/>
      <c r="CE524"/>
      <c r="CF524" s="1396"/>
      <c r="CG524" s="1396"/>
      <c r="CH524" s="270"/>
      <c r="CI524" s="270"/>
      <c r="CJ524" s="270"/>
      <c r="CK524" s="270"/>
      <c r="CL524" s="270"/>
      <c r="CM524" s="270"/>
    </row>
    <row r="525" spans="1:91" ht="13.5" hidden="1" outlineLevel="3" thickBot="1" x14ac:dyDescent="0.25">
      <c r="A525" s="270"/>
      <c r="B525" s="271"/>
      <c r="C525" s="12"/>
      <c r="D525" s="1071"/>
      <c r="E525" s="1071"/>
      <c r="F525" s="1071"/>
      <c r="G525" s="1172"/>
      <c r="H525" s="271"/>
      <c r="I525" s="270"/>
      <c r="J525" s="270"/>
      <c r="K525" s="270"/>
      <c r="L525" s="270"/>
      <c r="M525" s="270"/>
      <c r="N525" s="270"/>
      <c r="O525" s="270"/>
      <c r="P525" s="1072"/>
      <c r="Q525" s="270"/>
      <c r="R525" s="270"/>
      <c r="S525" s="1072"/>
      <c r="T525" s="270"/>
      <c r="U525" s="1019"/>
      <c r="V525" s="1176"/>
      <c r="W525" s="1177"/>
      <c r="X525" s="1207"/>
      <c r="Y525" s="627"/>
      <c r="Z525" s="492"/>
      <c r="AA525" s="493" t="s">
        <v>769</v>
      </c>
      <c r="AB525" s="1069"/>
      <c r="AC525" s="1070"/>
      <c r="AD525" s="839"/>
      <c r="AE525" s="270" t="str">
        <f>IF(Z525="","",IF(Z525&gt;AB525,Y525,IF(Z525=AB525,"",AC525)))</f>
        <v/>
      </c>
      <c r="AF525" s="270" t="str">
        <f>IF(Z525="","",IF(Z525=AB525,Y525,""))</f>
        <v/>
      </c>
      <c r="AG525" s="270" t="str">
        <f>IF(Z525="","",IF(Z525=AB525,AC525,""))</f>
        <v/>
      </c>
      <c r="AH525" s="270" t="str">
        <f>IF(Z525="","",IF(Z525&lt;AB525,Y525,IF(Z525=AB525,"",AC525)))</f>
        <v/>
      </c>
      <c r="AI525" s="270" t="str">
        <f>IF(Z525="","",IF(Z525&gt;AB525,Y521,""))</f>
        <v/>
      </c>
      <c r="AJ525" s="270" t="str">
        <f>IF(Z525="","",IF(Z525&lt;AB525,AC521,""))</f>
        <v/>
      </c>
      <c r="AK525" s="270" t="str">
        <f>CONCATENATE(AE525,AH525)</f>
        <v/>
      </c>
      <c r="AL525" s="270"/>
      <c r="AM525" s="270"/>
      <c r="AN525" s="270"/>
      <c r="AO525" s="271"/>
      <c r="AP525" s="270"/>
      <c r="AQ525" s="270"/>
      <c r="AR525" s="270"/>
      <c r="AS525" s="270"/>
      <c r="AT525" s="270"/>
      <c r="AU525" s="270"/>
      <c r="AV525" s="270"/>
      <c r="AW525" s="270"/>
      <c r="AX525" s="270"/>
      <c r="AY525" s="1072"/>
      <c r="AZ525" s="270"/>
      <c r="BA525" s="270"/>
      <c r="BB525" s="1072"/>
      <c r="BC525" s="270"/>
      <c r="BD525" s="270"/>
      <c r="BE525" s="270"/>
      <c r="BF525" s="270"/>
      <c r="BG525" s="270"/>
      <c r="BH525" s="270"/>
      <c r="BI525" s="270"/>
      <c r="BJ525" s="270"/>
      <c r="BK525" s="270"/>
      <c r="BL525" s="270"/>
      <c r="BM525" s="270"/>
      <c r="BN525" s="270"/>
      <c r="BO525" s="270"/>
      <c r="BP525" s="270"/>
      <c r="BQ525" s="270"/>
      <c r="BR525" s="270"/>
      <c r="BS525" s="270"/>
      <c r="BT525" s="270"/>
      <c r="BU525" s="270"/>
      <c r="BV525" s="270"/>
      <c r="BW525" s="270"/>
      <c r="BX525" s="270"/>
      <c r="BY525" s="270"/>
      <c r="BZ525" s="270"/>
      <c r="CA525" s="270"/>
      <c r="CB525" s="270"/>
      <c r="CC525" s="270"/>
      <c r="CD525" s="270"/>
      <c r="CE525"/>
      <c r="CF525" s="1396"/>
      <c r="CG525" s="1396"/>
      <c r="CH525" s="270"/>
      <c r="CI525" s="270"/>
      <c r="CJ525" s="270"/>
      <c r="CK525" s="270"/>
      <c r="CL525" s="270"/>
      <c r="CM525" s="270"/>
    </row>
    <row r="526" spans="1:91" ht="13.5" hidden="1" outlineLevel="3" thickBot="1" x14ac:dyDescent="0.25">
      <c r="A526" s="270"/>
      <c r="B526" s="271"/>
      <c r="C526" s="12"/>
      <c r="D526" s="1071"/>
      <c r="E526" s="1071"/>
      <c r="F526" s="1071"/>
      <c r="G526" s="626"/>
      <c r="H526" s="271"/>
      <c r="I526" s="270"/>
      <c r="J526" s="270"/>
      <c r="K526" s="270"/>
      <c r="L526" s="270"/>
      <c r="M526" s="270"/>
      <c r="N526" s="270"/>
      <c r="O526" s="270"/>
      <c r="P526" s="1072"/>
      <c r="Q526" s="270"/>
      <c r="R526" s="270"/>
      <c r="S526" s="1072"/>
      <c r="T526" s="270"/>
      <c r="U526" s="1019"/>
      <c r="V526" s="1073"/>
      <c r="W526" s="1074"/>
      <c r="X526" s="1075" t="str">
        <f>N_Substitute</f>
        <v>Remplaçant</v>
      </c>
      <c r="Y526" s="627"/>
      <c r="Z526" s="492"/>
      <c r="AA526" s="1076"/>
      <c r="AB526" s="1069"/>
      <c r="AC526" s="1070"/>
      <c r="AD526" s="839"/>
      <c r="AE526" s="270"/>
      <c r="AF526" s="270"/>
      <c r="AG526" s="270"/>
      <c r="AH526" s="270"/>
      <c r="AI526" s="270"/>
      <c r="AJ526" s="270"/>
      <c r="AK526" s="270"/>
      <c r="AL526" s="270"/>
      <c r="AM526" s="270"/>
      <c r="AN526" s="270"/>
      <c r="AO526" s="271"/>
      <c r="AP526" s="270"/>
      <c r="AQ526" s="270"/>
      <c r="AR526" s="270"/>
      <c r="AS526" s="270"/>
      <c r="AT526" s="270"/>
      <c r="AU526" s="270"/>
      <c r="AV526" s="270"/>
      <c r="AW526" s="270"/>
      <c r="AX526" s="270"/>
      <c r="AY526" s="1072"/>
      <c r="AZ526" s="270"/>
      <c r="BA526" s="270"/>
      <c r="BB526" s="1072"/>
      <c r="BC526" s="270"/>
      <c r="BD526" s="270"/>
      <c r="BE526" s="270"/>
      <c r="BF526" s="270"/>
      <c r="BG526" s="270"/>
      <c r="BH526" s="270"/>
      <c r="BI526" s="270"/>
      <c r="BJ526" s="270"/>
      <c r="BK526" s="270"/>
      <c r="BL526" s="270"/>
      <c r="BM526" s="270"/>
      <c r="BN526" s="270"/>
      <c r="BO526" s="270"/>
      <c r="BP526" s="270"/>
      <c r="BQ526" s="270"/>
      <c r="BR526" s="270"/>
      <c r="BS526" s="270"/>
      <c r="BT526" s="270"/>
      <c r="BU526" s="270"/>
      <c r="BV526" s="270"/>
      <c r="BW526" s="270"/>
      <c r="BX526" s="270"/>
      <c r="BY526" s="270"/>
      <c r="BZ526" s="270"/>
      <c r="CA526" s="270"/>
      <c r="CB526" s="270"/>
      <c r="CC526" s="270"/>
      <c r="CD526" s="270"/>
      <c r="CE526"/>
      <c r="CF526" s="1396"/>
      <c r="CG526" s="1396"/>
      <c r="CH526" s="270"/>
      <c r="CI526" s="270"/>
      <c r="CJ526" s="270"/>
      <c r="CK526" s="270"/>
      <c r="CL526" s="270"/>
      <c r="CM526" s="270"/>
    </row>
    <row r="527" spans="1:91" ht="13.5" hidden="1" outlineLevel="3" thickBot="1" x14ac:dyDescent="0.25">
      <c r="A527" s="270"/>
      <c r="B527" s="271"/>
      <c r="C527" s="12"/>
      <c r="D527" s="1071"/>
      <c r="E527" s="1071"/>
      <c r="F527" s="1071"/>
      <c r="G527" s="626"/>
      <c r="H527" s="271"/>
      <c r="I527" s="270"/>
      <c r="J527" s="270"/>
      <c r="K527" s="270"/>
      <c r="L527" s="270"/>
      <c r="M527" s="270"/>
      <c r="N527" s="270"/>
      <c r="O527" s="270"/>
      <c r="P527" s="1072"/>
      <c r="Q527" s="270"/>
      <c r="R527" s="270"/>
      <c r="S527" s="1072"/>
      <c r="T527" s="270"/>
      <c r="U527" s="1019"/>
      <c r="V527" s="1119"/>
      <c r="W527" s="1120"/>
      <c r="X527" s="1075" t="str">
        <f>N_Substitute</f>
        <v>Remplaçant</v>
      </c>
      <c r="Y527" s="627"/>
      <c r="Z527" s="492"/>
      <c r="AA527" s="1121"/>
      <c r="AB527" s="1069"/>
      <c r="AC527" s="1070"/>
      <c r="AD527" s="839"/>
      <c r="AE527" s="270"/>
      <c r="AF527" s="270"/>
      <c r="AG527" s="270"/>
      <c r="AH527" s="270"/>
      <c r="AI527" s="270"/>
      <c r="AJ527" s="270"/>
      <c r="AK527" s="270"/>
      <c r="AL527" s="270"/>
      <c r="AM527" s="270"/>
      <c r="AN527" s="270"/>
      <c r="AO527" s="271"/>
      <c r="AP527" s="270"/>
      <c r="AQ527" s="270"/>
      <c r="AR527" s="270"/>
      <c r="AS527" s="270"/>
      <c r="AT527" s="270"/>
      <c r="AU527" s="270"/>
      <c r="AV527" s="270"/>
      <c r="AW527" s="270"/>
      <c r="AX527" s="270"/>
      <c r="AY527" s="1072"/>
      <c r="AZ527" s="270"/>
      <c r="BA527" s="270"/>
      <c r="BB527" s="1072"/>
      <c r="BC527" s="270"/>
      <c r="BD527" s="270"/>
      <c r="BE527" s="270"/>
      <c r="BF527" s="270"/>
      <c r="BG527" s="270"/>
      <c r="BH527" s="270"/>
      <c r="BI527" s="270"/>
      <c r="BJ527" s="270"/>
      <c r="BK527" s="270"/>
      <c r="BL527" s="270"/>
      <c r="BM527" s="270"/>
      <c r="BN527" s="270"/>
      <c r="BO527" s="270"/>
      <c r="BP527" s="270"/>
      <c r="BQ527" s="270"/>
      <c r="BR527" s="270"/>
      <c r="BS527" s="270"/>
      <c r="BT527" s="270"/>
      <c r="BU527" s="270"/>
      <c r="BV527" s="270"/>
      <c r="BW527" s="270"/>
      <c r="BX527" s="270"/>
      <c r="BY527" s="270"/>
      <c r="BZ527" s="270"/>
      <c r="CA527" s="270"/>
      <c r="CB527" s="270"/>
      <c r="CC527" s="270"/>
      <c r="CD527" s="270"/>
      <c r="CE527"/>
      <c r="CF527" s="1396"/>
      <c r="CG527" s="1396"/>
      <c r="CH527" s="270"/>
      <c r="CI527" s="270"/>
      <c r="CJ527" s="270"/>
      <c r="CK527" s="270"/>
      <c r="CL527" s="270"/>
      <c r="CM527" s="270"/>
    </row>
    <row r="528" spans="1:91" ht="13.5" hidden="1" outlineLevel="2" collapsed="1" thickBot="1" x14ac:dyDescent="0.25">
      <c r="A528" s="270"/>
      <c r="B528" s="271"/>
      <c r="C528" s="270"/>
      <c r="D528" s="270"/>
      <c r="E528" s="270"/>
      <c r="F528" s="270"/>
      <c r="G528" s="271"/>
      <c r="H528" s="270"/>
      <c r="I528" s="270"/>
      <c r="J528" s="270"/>
      <c r="K528" s="270"/>
      <c r="L528" s="270"/>
      <c r="M528" s="270"/>
      <c r="N528" s="270"/>
      <c r="O528" s="270"/>
      <c r="P528" s="270"/>
      <c r="Q528" s="270"/>
      <c r="R528" s="270"/>
      <c r="S528" s="270"/>
      <c r="T528" s="270"/>
      <c r="U528" s="1019" t="s">
        <v>1726</v>
      </c>
      <c r="V528" s="1187"/>
      <c r="W528" s="1195"/>
      <c r="X528" s="1534"/>
      <c r="Y528" s="1180" t="str">
        <f>G502</f>
        <v>Eq5</v>
      </c>
      <c r="Z528" s="1103" t="str">
        <f>IF(OR(ISNUMBER(Z529),ISNUMBER(Z530),ISNUMBER(Z531),ISNUMBER(Z532)),4-COUNTBLANK(AI529:AI532),"")</f>
        <v/>
      </c>
      <c r="AA528" s="1104" t="s">
        <v>769</v>
      </c>
      <c r="AB528" s="1103" t="str">
        <f>IF(OR(ISNUMBER(Z529),ISNUMBER(Z530),ISNUMBER(Z531),ISNUMBER(Z532)),4-COUNTBLANK(AJ529:AJ532),"")</f>
        <v/>
      </c>
      <c r="AC528" s="1220" t="str">
        <f>G503</f>
        <v>Eq6</v>
      </c>
      <c r="AD528" s="839"/>
      <c r="AE528" s="270" t="str">
        <f>IF(Z528="","",IF(Z528&gt;AB528,Y528,IF(Z528=AB528,IF(NoDrawWithWithdraw,IF(AL528=Y528,AC528,IF(AL528=AC528,Y528,"")),""),AC528)))</f>
        <v/>
      </c>
      <c r="AF528" s="270" t="str">
        <f>IF(Z528="","",IF(Z528=AB528,IF(NoDrawWithWithdraw,IF(AL528=Y528,"",IF(AL528=AC528,"",Y528)),Y528),""))</f>
        <v/>
      </c>
      <c r="AG528" s="270" t="str">
        <f>IF(Z528="","",IF(Z528=AB528,IF(NoDrawWithWithdraw,IF(AL528=Y528,"",IF(AL528=AC528,"",AC528)),AC528),""))</f>
        <v/>
      </c>
      <c r="AH528" s="270" t="str">
        <f>IF(Z528="","",IF(Z528&lt;AB528,Y528,IF(Z528=AB528,IF(NoDrawWithWithdraw,IF(AL528=Y528,Y528,IF(AL528=AC528,AC528,"")),""),AC528)))</f>
        <v/>
      </c>
      <c r="AI528" s="270" t="str">
        <f>IF(Z528="","",SUM(Z529:Z532))</f>
        <v/>
      </c>
      <c r="AJ528" s="270" t="str">
        <f>IF(Z528="","",SUM(AB529:AB532))</f>
        <v/>
      </c>
      <c r="AK528" s="270" t="str">
        <f>CONCATENATE(AE528,AH528)</f>
        <v/>
      </c>
      <c r="AL528" s="270" t="str">
        <f>IF(COUNTIF(Y529:Y532,WithdrawLabel)&gt;COUNTIF(AC529:AC532,WithdrawLabel),Y528,IF(COUNTIF(AC529:AC532,WithdrawLabel)&gt;COUNTIF(Y529:Y532,WithdrawLabel),AC528,""))</f>
        <v/>
      </c>
      <c r="AM528" s="270"/>
      <c r="AN528" s="270"/>
      <c r="AO528" s="575"/>
      <c r="AP528" s="270"/>
      <c r="AQ528" s="270"/>
      <c r="AR528" s="270"/>
      <c r="AS528" s="270"/>
      <c r="AT528" s="270"/>
      <c r="AU528" s="270"/>
      <c r="AV528" s="270"/>
      <c r="AW528" s="270"/>
      <c r="AX528" s="270"/>
      <c r="AY528" s="270"/>
      <c r="AZ528" s="270"/>
      <c r="BA528" s="270"/>
      <c r="BB528" s="270"/>
      <c r="BC528" s="270"/>
      <c r="BD528" s="270"/>
      <c r="BE528" s="270"/>
      <c r="BF528" s="270"/>
      <c r="BG528" s="270"/>
      <c r="BH528" s="270"/>
      <c r="BI528" s="270"/>
      <c r="BJ528" s="270"/>
      <c r="BK528" s="270"/>
      <c r="BL528" s="270"/>
      <c r="BM528" s="270"/>
      <c r="BN528" s="270"/>
      <c r="BO528" s="270"/>
      <c r="BP528" s="270"/>
      <c r="BQ528" s="270"/>
      <c r="BR528" s="270"/>
      <c r="BS528" s="270"/>
      <c r="BT528" s="270"/>
      <c r="BU528" s="270"/>
      <c r="BV528" s="270"/>
      <c r="BW528" s="270"/>
      <c r="BX528" s="270"/>
      <c r="BY528" s="270"/>
      <c r="BZ528" s="270"/>
      <c r="CA528" s="270"/>
      <c r="CB528" s="270"/>
      <c r="CC528" s="270"/>
      <c r="CD528" s="270"/>
      <c r="CE528"/>
      <c r="CF528" s="1396"/>
      <c r="CG528" s="1396"/>
      <c r="CH528" s="270"/>
      <c r="CI528" s="270"/>
      <c r="CJ528" s="270"/>
      <c r="CK528" s="270"/>
      <c r="CL528" s="270"/>
      <c r="CM528" s="270"/>
    </row>
    <row r="529" spans="1:91" ht="13.5" hidden="1" outlineLevel="3" thickBot="1" x14ac:dyDescent="0.25">
      <c r="A529" s="270"/>
      <c r="B529" s="271"/>
      <c r="C529" s="12"/>
      <c r="D529" s="1071"/>
      <c r="E529" s="1071"/>
      <c r="F529" s="1071"/>
      <c r="G529" s="1172"/>
      <c r="H529" s="271"/>
      <c r="I529" s="270"/>
      <c r="J529" s="270"/>
      <c r="K529" s="270"/>
      <c r="L529" s="270"/>
      <c r="M529" s="270"/>
      <c r="N529" s="270"/>
      <c r="O529" s="270"/>
      <c r="P529" s="1072"/>
      <c r="Q529" s="270"/>
      <c r="R529" s="270"/>
      <c r="S529" s="1072"/>
      <c r="T529" s="270"/>
      <c r="U529" s="1019"/>
      <c r="V529" s="1118"/>
      <c r="W529" s="1177"/>
      <c r="X529" s="1212"/>
      <c r="Y529" s="627"/>
      <c r="Z529" s="492"/>
      <c r="AA529" s="493" t="s">
        <v>769</v>
      </c>
      <c r="AB529" s="1069"/>
      <c r="AC529" s="1070"/>
      <c r="AD529" s="839"/>
      <c r="AE529" s="270" t="str">
        <f>IF(Z529="","",IF(Z529&gt;AB529,Y529,IF(Z529=AB529,"",AC529)))</f>
        <v/>
      </c>
      <c r="AF529" s="270" t="str">
        <f>IF(Z529="","",IF(Z529=AB529,Y529,""))</f>
        <v/>
      </c>
      <c r="AG529" s="270" t="str">
        <f>IF(Z529="","",IF(Z529=AB529,AC529,""))</f>
        <v/>
      </c>
      <c r="AH529" s="270" t="str">
        <f>IF(Z529="","",IF(Z529&lt;AB529,Y529,IF(Z529=AB529,"",AC529)))</f>
        <v/>
      </c>
      <c r="AI529" s="270" t="str">
        <f>IF(Z529="","",IF(Z529&gt;AB529,Y528,""))</f>
        <v/>
      </c>
      <c r="AJ529" s="270" t="str">
        <f>IF(Z529="","",IF(Z529&lt;AB529,AC528,""))</f>
        <v/>
      </c>
      <c r="AK529" s="270" t="str">
        <f>CONCATENATE(AE529,AH529)</f>
        <v/>
      </c>
      <c r="AL529" s="270"/>
      <c r="AM529" s="270"/>
      <c r="AN529" s="270"/>
      <c r="AO529" s="271"/>
      <c r="AP529" s="270"/>
      <c r="AQ529" s="270"/>
      <c r="AR529" s="270"/>
      <c r="AS529" s="270"/>
      <c r="AT529" s="270"/>
      <c r="AU529" s="270"/>
      <c r="AV529" s="270"/>
      <c r="AW529" s="270"/>
      <c r="AX529" s="270"/>
      <c r="AY529" s="1072"/>
      <c r="AZ529" s="270"/>
      <c r="BA529" s="270"/>
      <c r="BB529" s="1072"/>
      <c r="BC529" s="270"/>
      <c r="BD529" s="270"/>
      <c r="BE529" s="270"/>
      <c r="BF529" s="270"/>
      <c r="BG529" s="270"/>
      <c r="BH529" s="270"/>
      <c r="BI529" s="270"/>
      <c r="BJ529" s="270"/>
      <c r="BK529" s="270"/>
      <c r="BL529" s="270"/>
      <c r="BM529" s="270"/>
      <c r="BN529" s="270"/>
      <c r="BO529" s="270"/>
      <c r="BP529" s="270"/>
      <c r="BQ529" s="270"/>
      <c r="BR529" s="270"/>
      <c r="BS529" s="270"/>
      <c r="BT529" s="270"/>
      <c r="BU529" s="270"/>
      <c r="BV529" s="270"/>
      <c r="BW529" s="270"/>
      <c r="BX529" s="270"/>
      <c r="BY529" s="270"/>
      <c r="BZ529" s="270"/>
      <c r="CA529" s="270"/>
      <c r="CB529" s="270"/>
      <c r="CC529" s="270"/>
      <c r="CD529" s="270"/>
      <c r="CE529"/>
      <c r="CF529" s="1396"/>
      <c r="CG529" s="1396"/>
      <c r="CH529" s="270"/>
      <c r="CI529" s="270"/>
      <c r="CJ529" s="270"/>
      <c r="CK529" s="270"/>
      <c r="CL529" s="270"/>
      <c r="CM529" s="270"/>
    </row>
    <row r="530" spans="1:91" ht="13.5" hidden="1" outlineLevel="3" thickBot="1" x14ac:dyDescent="0.25">
      <c r="A530" s="270"/>
      <c r="B530" s="271"/>
      <c r="C530" s="12"/>
      <c r="D530" s="1071"/>
      <c r="E530" s="1071"/>
      <c r="F530" s="1071"/>
      <c r="G530" s="1172"/>
      <c r="H530" s="271"/>
      <c r="I530" s="270"/>
      <c r="J530" s="270"/>
      <c r="K530" s="270"/>
      <c r="L530" s="270"/>
      <c r="M530" s="270"/>
      <c r="N530" s="270"/>
      <c r="O530" s="270"/>
      <c r="P530" s="1072"/>
      <c r="Q530" s="270"/>
      <c r="R530" s="270"/>
      <c r="S530" s="1072"/>
      <c r="T530" s="270"/>
      <c r="U530" s="1019"/>
      <c r="V530" s="1118"/>
      <c r="W530" s="1177"/>
      <c r="X530" s="1212"/>
      <c r="Y530" s="627"/>
      <c r="Z530" s="492"/>
      <c r="AA530" s="493" t="s">
        <v>769</v>
      </c>
      <c r="AB530" s="1069"/>
      <c r="AC530" s="1070"/>
      <c r="AD530" s="839"/>
      <c r="AE530" s="270" t="str">
        <f>IF(Z530="","",IF(Z530&gt;AB530,Y530,IF(Z530=AB530,"",AC530)))</f>
        <v/>
      </c>
      <c r="AF530" s="270" t="str">
        <f>IF(Z530="","",IF(Z530=AB530,Y530,""))</f>
        <v/>
      </c>
      <c r="AG530" s="270" t="str">
        <f>IF(Z530="","",IF(Z530=AB530,AC530,""))</f>
        <v/>
      </c>
      <c r="AH530" s="270" t="str">
        <f>IF(Z530="","",IF(Z530&lt;AB530,Y530,IF(Z530=AB530,"",AC530)))</f>
        <v/>
      </c>
      <c r="AI530" s="270" t="str">
        <f>IF(Z530="","",IF(Z530&gt;AB530,Y528,""))</f>
        <v/>
      </c>
      <c r="AJ530" s="270" t="str">
        <f>IF(Z530="","",IF(Z530&lt;AB530,AC528,""))</f>
        <v/>
      </c>
      <c r="AK530" s="270" t="str">
        <f>CONCATENATE(AE530,AH530)</f>
        <v/>
      </c>
      <c r="AL530" s="270"/>
      <c r="AM530" s="270"/>
      <c r="AN530" s="270"/>
      <c r="AO530" s="271"/>
      <c r="AP530" s="270"/>
      <c r="AQ530" s="270"/>
      <c r="AR530" s="270"/>
      <c r="AS530" s="270"/>
      <c r="AT530" s="270"/>
      <c r="AU530" s="270"/>
      <c r="AV530" s="270"/>
      <c r="AW530" s="270"/>
      <c r="AX530" s="270"/>
      <c r="AY530" s="1072"/>
      <c r="AZ530" s="270"/>
      <c r="BA530" s="270"/>
      <c r="BB530" s="1072"/>
      <c r="BC530" s="270"/>
      <c r="BD530" s="270"/>
      <c r="BE530" s="270"/>
      <c r="BF530" s="270"/>
      <c r="BG530" s="270"/>
      <c r="BH530" s="270"/>
      <c r="BI530" s="270"/>
      <c r="BJ530" s="270"/>
      <c r="BK530" s="270"/>
      <c r="BL530" s="270"/>
      <c r="BM530" s="270"/>
      <c r="BN530" s="270"/>
      <c r="BO530" s="270"/>
      <c r="BP530" s="270"/>
      <c r="BQ530" s="270"/>
      <c r="BR530" s="270"/>
      <c r="BS530" s="270"/>
      <c r="BT530" s="270"/>
      <c r="BU530" s="270"/>
      <c r="BV530" s="270"/>
      <c r="BW530" s="270"/>
      <c r="BX530" s="270"/>
      <c r="BY530" s="270"/>
      <c r="BZ530" s="270"/>
      <c r="CA530" s="270"/>
      <c r="CB530" s="270"/>
      <c r="CC530" s="270"/>
      <c r="CD530" s="270"/>
      <c r="CE530"/>
      <c r="CF530" s="1396"/>
      <c r="CG530" s="1396"/>
      <c r="CH530" s="270"/>
      <c r="CI530" s="270"/>
      <c r="CJ530" s="270"/>
      <c r="CK530" s="270"/>
      <c r="CL530" s="270"/>
      <c r="CM530" s="270"/>
    </row>
    <row r="531" spans="1:91" ht="13.5" hidden="1" outlineLevel="3" thickBot="1" x14ac:dyDescent="0.25">
      <c r="A531" s="270"/>
      <c r="B531" s="271"/>
      <c r="C531" s="12"/>
      <c r="D531" s="1071"/>
      <c r="E531" s="1071"/>
      <c r="F531" s="1071"/>
      <c r="G531" s="1172"/>
      <c r="H531" s="271"/>
      <c r="I531" s="270"/>
      <c r="J531" s="270"/>
      <c r="K531" s="270"/>
      <c r="L531" s="270"/>
      <c r="M531" s="270"/>
      <c r="N531" s="270"/>
      <c r="O531" s="270"/>
      <c r="P531" s="1072"/>
      <c r="Q531" s="270"/>
      <c r="R531" s="270"/>
      <c r="S531" s="1072"/>
      <c r="T531" s="270"/>
      <c r="U531" s="1019"/>
      <c r="V531" s="1176"/>
      <c r="W531" s="1177"/>
      <c r="X531" s="1207"/>
      <c r="Y531" s="627"/>
      <c r="Z531" s="492"/>
      <c r="AA531" s="493" t="s">
        <v>769</v>
      </c>
      <c r="AB531" s="1069"/>
      <c r="AC531" s="1070"/>
      <c r="AD531" s="839"/>
      <c r="AE531" s="270" t="str">
        <f>IF(Z531="","",IF(Z531&gt;AB531,Y531,IF(Z531=AB531,"",AC531)))</f>
        <v/>
      </c>
      <c r="AF531" s="270" t="str">
        <f>IF(Z531="","",IF(Z531=AB531,Y531,""))</f>
        <v/>
      </c>
      <c r="AG531" s="270" t="str">
        <f>IF(Z531="","",IF(Z531=AB531,AC531,""))</f>
        <v/>
      </c>
      <c r="AH531" s="270" t="str">
        <f>IF(Z531="","",IF(Z531&lt;AB531,Y531,IF(Z531=AB531,"",AC531)))</f>
        <v/>
      </c>
      <c r="AI531" s="270" t="str">
        <f>IF(Z531="","",IF(Z531&gt;AB531,Y528,""))</f>
        <v/>
      </c>
      <c r="AJ531" s="270" t="str">
        <f>IF(Z531="","",IF(Z531&lt;AB531,AC528,""))</f>
        <v/>
      </c>
      <c r="AK531" s="270" t="str">
        <f>CONCATENATE(AE531,AH531)</f>
        <v/>
      </c>
      <c r="AL531" s="270"/>
      <c r="AM531" s="270"/>
      <c r="AN531" s="270"/>
      <c r="AO531" s="271"/>
      <c r="AP531" s="270"/>
      <c r="AQ531" s="270"/>
      <c r="AR531" s="270"/>
      <c r="AS531" s="270"/>
      <c r="AT531" s="270"/>
      <c r="AU531" s="270"/>
      <c r="AV531" s="270"/>
      <c r="AW531" s="270"/>
      <c r="AX531" s="270"/>
      <c r="AY531" s="1072"/>
      <c r="AZ531" s="270"/>
      <c r="BA531" s="270"/>
      <c r="BB531" s="1072"/>
      <c r="BC531" s="270"/>
      <c r="BD531" s="270"/>
      <c r="BE531" s="270"/>
      <c r="BF531" s="270"/>
      <c r="BG531" s="270"/>
      <c r="BH531" s="270"/>
      <c r="BI531" s="270"/>
      <c r="BJ531" s="270"/>
      <c r="BK531" s="270"/>
      <c r="BL531" s="270"/>
      <c r="BM531" s="270"/>
      <c r="BN531" s="270"/>
      <c r="BO531" s="270"/>
      <c r="BP531" s="270"/>
      <c r="BQ531" s="270"/>
      <c r="BR531" s="270"/>
      <c r="BS531" s="270"/>
      <c r="BT531" s="270"/>
      <c r="BU531" s="270"/>
      <c r="BV531" s="270"/>
      <c r="BW531" s="270"/>
      <c r="BX531" s="270"/>
      <c r="BY531" s="270"/>
      <c r="BZ531" s="270"/>
      <c r="CA531" s="270"/>
      <c r="CB531" s="270"/>
      <c r="CC531" s="270"/>
      <c r="CD531" s="270"/>
      <c r="CE531"/>
      <c r="CF531" s="1396"/>
      <c r="CG531" s="1396"/>
      <c r="CH531" s="270"/>
      <c r="CI531" s="270"/>
      <c r="CJ531" s="270"/>
      <c r="CK531" s="270"/>
      <c r="CL531" s="270"/>
      <c r="CM531" s="270"/>
    </row>
    <row r="532" spans="1:91" ht="13.5" hidden="1" outlineLevel="3" thickBot="1" x14ac:dyDescent="0.25">
      <c r="A532" s="270"/>
      <c r="B532" s="271"/>
      <c r="C532" s="12"/>
      <c r="D532" s="1071"/>
      <c r="E532" s="1071"/>
      <c r="F532" s="1071"/>
      <c r="G532" s="1172"/>
      <c r="H532" s="271"/>
      <c r="I532" s="270"/>
      <c r="J532" s="270"/>
      <c r="K532" s="270"/>
      <c r="L532" s="270"/>
      <c r="M532" s="270"/>
      <c r="N532" s="270"/>
      <c r="O532" s="270"/>
      <c r="P532" s="1072"/>
      <c r="Q532" s="270"/>
      <c r="R532" s="270"/>
      <c r="S532" s="1072"/>
      <c r="T532" s="270"/>
      <c r="U532" s="1019"/>
      <c r="V532" s="1176"/>
      <c r="W532" s="1177"/>
      <c r="X532" s="1207"/>
      <c r="Y532" s="627"/>
      <c r="Z532" s="492"/>
      <c r="AA532" s="493" t="s">
        <v>769</v>
      </c>
      <c r="AB532" s="1069"/>
      <c r="AC532" s="1070"/>
      <c r="AD532" s="839"/>
      <c r="AE532" s="270" t="str">
        <f>IF(Z532="","",IF(Z532&gt;AB532,Y532,IF(Z532=AB532,"",AC532)))</f>
        <v/>
      </c>
      <c r="AF532" s="270" t="str">
        <f>IF(Z532="","",IF(Z532=AB532,Y532,""))</f>
        <v/>
      </c>
      <c r="AG532" s="270" t="str">
        <f>IF(Z532="","",IF(Z532=AB532,AC532,""))</f>
        <v/>
      </c>
      <c r="AH532" s="270" t="str">
        <f>IF(Z532="","",IF(Z532&lt;AB532,Y532,IF(Z532=AB532,"",AC532)))</f>
        <v/>
      </c>
      <c r="AI532" s="270" t="str">
        <f>IF(Z532="","",IF(Z532&gt;AB532,Y528,""))</f>
        <v/>
      </c>
      <c r="AJ532" s="270" t="str">
        <f>IF(Z532="","",IF(Z532&lt;AB532,AC528,""))</f>
        <v/>
      </c>
      <c r="AK532" s="270" t="str">
        <f>CONCATENATE(AE532,AH532)</f>
        <v/>
      </c>
      <c r="AL532" s="270"/>
      <c r="AM532" s="270"/>
      <c r="AN532" s="270"/>
      <c r="AO532" s="271"/>
      <c r="AP532" s="270"/>
      <c r="AQ532" s="270"/>
      <c r="AR532" s="270"/>
      <c r="AS532" s="270"/>
      <c r="AT532" s="270"/>
      <c r="AU532" s="270"/>
      <c r="AV532" s="270"/>
      <c r="AW532" s="270"/>
      <c r="AX532" s="270"/>
      <c r="AY532" s="1072"/>
      <c r="AZ532" s="270"/>
      <c r="BA532" s="270"/>
      <c r="BB532" s="1072"/>
      <c r="BC532" s="270"/>
      <c r="BD532" s="270"/>
      <c r="BE532" s="270"/>
      <c r="BF532" s="270"/>
      <c r="BG532" s="270"/>
      <c r="BH532" s="270"/>
      <c r="BI532" s="270"/>
      <c r="BJ532" s="270"/>
      <c r="BK532" s="270"/>
      <c r="BL532" s="270"/>
      <c r="BM532" s="270"/>
      <c r="BN532" s="270"/>
      <c r="BO532" s="270"/>
      <c r="BP532" s="270"/>
      <c r="BQ532" s="270"/>
      <c r="BR532" s="270"/>
      <c r="BS532" s="270"/>
      <c r="BT532" s="270"/>
      <c r="BU532" s="270"/>
      <c r="BV532" s="270"/>
      <c r="BW532" s="270"/>
      <c r="BX532" s="270"/>
      <c r="BY532" s="270"/>
      <c r="BZ532" s="270"/>
      <c r="CA532" s="270"/>
      <c r="CB532" s="270"/>
      <c r="CC532" s="270"/>
      <c r="CD532" s="270"/>
      <c r="CE532"/>
      <c r="CF532" s="1396"/>
      <c r="CG532" s="1396"/>
      <c r="CH532" s="270"/>
      <c r="CI532" s="270"/>
      <c r="CJ532" s="270"/>
      <c r="CK532" s="270"/>
      <c r="CL532" s="270"/>
      <c r="CM532" s="270"/>
    </row>
    <row r="533" spans="1:91" ht="13.5" hidden="1" outlineLevel="3" thickBot="1" x14ac:dyDescent="0.25">
      <c r="A533" s="270"/>
      <c r="B533" s="271"/>
      <c r="C533" s="12"/>
      <c r="D533" s="1071"/>
      <c r="E533" s="1071"/>
      <c r="F533" s="1071"/>
      <c r="G533" s="626"/>
      <c r="H533" s="271"/>
      <c r="I533" s="270"/>
      <c r="J533" s="270"/>
      <c r="K533" s="270"/>
      <c r="L533" s="270"/>
      <c r="M533" s="270"/>
      <c r="N533" s="270"/>
      <c r="O533" s="270"/>
      <c r="P533" s="1072"/>
      <c r="Q533" s="270"/>
      <c r="R533" s="270"/>
      <c r="S533" s="1072"/>
      <c r="T533" s="270"/>
      <c r="U533" s="1019"/>
      <c r="V533" s="1077"/>
      <c r="W533" s="1078"/>
      <c r="X533" s="1075" t="str">
        <f>N_Substitute</f>
        <v>Remplaçant</v>
      </c>
      <c r="Y533" s="627"/>
      <c r="Z533" s="492"/>
      <c r="AA533" s="1076"/>
      <c r="AB533" s="1069"/>
      <c r="AC533" s="1070"/>
      <c r="AD533" s="839"/>
      <c r="AE533" s="270"/>
      <c r="AF533" s="270"/>
      <c r="AG533" s="270"/>
      <c r="AH533" s="270"/>
      <c r="AI533" s="270"/>
      <c r="AJ533" s="270"/>
      <c r="AK533" s="270"/>
      <c r="AL533" s="270"/>
      <c r="AM533" s="270"/>
      <c r="AN533" s="270"/>
      <c r="AO533" s="271"/>
      <c r="AP533" s="270"/>
      <c r="AQ533" s="270"/>
      <c r="AR533" s="270"/>
      <c r="AS533" s="270"/>
      <c r="AT533" s="270"/>
      <c r="AU533" s="270"/>
      <c r="AV533" s="270"/>
      <c r="AW533" s="270"/>
      <c r="AX533" s="270"/>
      <c r="AY533" s="1072"/>
      <c r="AZ533" s="270"/>
      <c r="BA533" s="270"/>
      <c r="BB533" s="1072"/>
      <c r="BC533" s="270"/>
      <c r="BD533" s="270"/>
      <c r="BE533" s="270"/>
      <c r="BF533" s="270"/>
      <c r="BG533" s="270"/>
      <c r="BH533" s="270"/>
      <c r="BI533" s="270"/>
      <c r="BJ533" s="270"/>
      <c r="BK533" s="270"/>
      <c r="BL533" s="270"/>
      <c r="BM533" s="270"/>
      <c r="BN533" s="270"/>
      <c r="BO533" s="270"/>
      <c r="BP533" s="270"/>
      <c r="BQ533" s="270"/>
      <c r="BR533" s="270"/>
      <c r="BS533" s="270"/>
      <c r="BT533" s="270"/>
      <c r="BU533" s="270"/>
      <c r="BV533" s="270"/>
      <c r="BW533" s="270"/>
      <c r="BX533" s="270"/>
      <c r="BY533" s="270"/>
      <c r="BZ533" s="270"/>
      <c r="CA533" s="270"/>
      <c r="CB533" s="270"/>
      <c r="CC533" s="270"/>
      <c r="CD533" s="270"/>
      <c r="CE533"/>
      <c r="CF533" s="1396"/>
      <c r="CG533" s="1396"/>
      <c r="CH533" s="270"/>
      <c r="CI533" s="270"/>
      <c r="CJ533" s="270"/>
      <c r="CK533" s="270"/>
      <c r="CL533" s="270"/>
      <c r="CM533" s="270"/>
    </row>
    <row r="534" spans="1:91" ht="13.5" hidden="1" outlineLevel="3" thickBot="1" x14ac:dyDescent="0.25">
      <c r="A534" s="270"/>
      <c r="B534" s="271"/>
      <c r="C534" s="12"/>
      <c r="D534" s="1071"/>
      <c r="E534" s="1071"/>
      <c r="F534" s="1071"/>
      <c r="G534" s="626"/>
      <c r="H534" s="271"/>
      <c r="I534" s="270"/>
      <c r="J534" s="270"/>
      <c r="K534" s="270"/>
      <c r="L534" s="270"/>
      <c r="M534" s="270"/>
      <c r="N534" s="270"/>
      <c r="O534" s="270"/>
      <c r="P534" s="1072"/>
      <c r="Q534" s="270"/>
      <c r="R534" s="270"/>
      <c r="S534" s="1072"/>
      <c r="T534" s="270"/>
      <c r="U534" s="1019"/>
      <c r="V534" s="1119"/>
      <c r="W534" s="1120"/>
      <c r="X534" s="1075" t="str">
        <f>N_Substitute</f>
        <v>Remplaçant</v>
      </c>
      <c r="Y534" s="627"/>
      <c r="Z534" s="496"/>
      <c r="AA534" s="1090"/>
      <c r="AB534" s="496"/>
      <c r="AC534" s="1070"/>
      <c r="AD534" s="839"/>
      <c r="AE534" s="270"/>
      <c r="AF534" s="270"/>
      <c r="AG534" s="270"/>
      <c r="AH534" s="270"/>
      <c r="AI534" s="270"/>
      <c r="AJ534" s="270"/>
      <c r="AK534" s="270"/>
      <c r="AL534" s="270"/>
      <c r="AM534" s="270"/>
      <c r="AN534" s="270"/>
      <c r="AO534" s="271"/>
      <c r="AP534" s="270"/>
      <c r="AQ534" s="270"/>
      <c r="AR534" s="270"/>
      <c r="AS534" s="270"/>
      <c r="AT534" s="270"/>
      <c r="AU534" s="270"/>
      <c r="AV534" s="270"/>
      <c r="AW534" s="270"/>
      <c r="AX534" s="270"/>
      <c r="AY534" s="1072"/>
      <c r="AZ534" s="270"/>
      <c r="BA534" s="270"/>
      <c r="BB534" s="1072"/>
      <c r="BC534" s="270"/>
      <c r="BD534" s="270"/>
      <c r="BE534" s="270"/>
      <c r="BF534" s="270"/>
      <c r="BG534" s="270"/>
      <c r="BH534" s="270"/>
      <c r="BI534" s="270"/>
      <c r="BJ534" s="270"/>
      <c r="BK534" s="270"/>
      <c r="BL534" s="270"/>
      <c r="BM534" s="270"/>
      <c r="BN534" s="270"/>
      <c r="BO534" s="270"/>
      <c r="BP534" s="270"/>
      <c r="BQ534" s="270"/>
      <c r="BR534" s="270"/>
      <c r="BS534" s="270"/>
      <c r="BT534" s="270"/>
      <c r="BU534" s="270"/>
      <c r="BV534" s="270"/>
      <c r="BW534" s="270"/>
      <c r="BX534" s="270"/>
      <c r="BY534" s="270"/>
      <c r="BZ534" s="270"/>
      <c r="CA534" s="270"/>
      <c r="CB534" s="270"/>
      <c r="CC534" s="270"/>
      <c r="CD534" s="270"/>
      <c r="CE534"/>
      <c r="CF534" s="1396"/>
      <c r="CG534" s="1396"/>
      <c r="CH534" s="270"/>
      <c r="CI534" s="270"/>
      <c r="CJ534" s="270"/>
      <c r="CK534" s="270"/>
      <c r="CL534" s="270"/>
      <c r="CM534" s="270"/>
    </row>
    <row r="535" spans="1:91" hidden="1" outlineLevel="2" collapsed="1" x14ac:dyDescent="0.2">
      <c r="A535" s="270"/>
      <c r="B535" s="271"/>
      <c r="C535" s="12"/>
      <c r="D535" s="1071"/>
      <c r="E535" s="1071"/>
      <c r="F535" s="1071"/>
      <c r="G535" s="1172"/>
      <c r="H535" s="271"/>
      <c r="I535" s="270"/>
      <c r="J535" s="270"/>
      <c r="K535" s="270"/>
      <c r="L535" s="270"/>
      <c r="M535" s="270"/>
      <c r="N535" s="270"/>
      <c r="O535" s="270"/>
      <c r="P535" s="1072"/>
      <c r="Q535" s="270"/>
      <c r="R535" s="270"/>
      <c r="S535" s="1072"/>
      <c r="T535" s="270"/>
      <c r="U535" s="1019" t="s">
        <v>1727</v>
      </c>
      <c r="V535" s="1173"/>
      <c r="W535" s="1525"/>
      <c r="X535" s="1535"/>
      <c r="Y535" s="1174" t="str">
        <f>G498</f>
        <v>Eq1</v>
      </c>
      <c r="Z535" s="1063" t="str">
        <f>IF(OR(ISNUMBER(Z536),ISNUMBER(Z537),ISNUMBER(Z538),ISNUMBER(Z539)),4-COUNTBLANK(AI536:AI539),"")</f>
        <v/>
      </c>
      <c r="AA535" s="1064" t="s">
        <v>769</v>
      </c>
      <c r="AB535" s="1063" t="str">
        <f>IF(OR(ISNUMBER(Z536),ISNUMBER(Z537),ISNUMBER(Z538),ISNUMBER(Z539)),4-COUNTBLANK(AJ536:AJ539),"")</f>
        <v/>
      </c>
      <c r="AC535" s="1217" t="str">
        <f>G502</f>
        <v>Eq5</v>
      </c>
      <c r="AD535" s="839"/>
      <c r="AE535" s="270" t="str">
        <f>IF(Z535="","",IF(Z535&gt;AB535,Y535,IF(Z535=AB535,IF(NoDrawWithWithdraw,IF(AL535=Y535,AC535,IF(AL535=AC535,Y535,"")),""),AC535)))</f>
        <v/>
      </c>
      <c r="AF535" s="270" t="str">
        <f>IF(Z535="","",IF(Z535=AB535,IF(NoDrawWithWithdraw,IF(AL535=Y535,"",IF(AL535=AC535,"",Y535)),Y535),""))</f>
        <v/>
      </c>
      <c r="AG535" s="270" t="str">
        <f>IF(Z535="","",IF(Z535=AB535,IF(NoDrawWithWithdraw,IF(AL535=Y535,"",IF(AL535=AC535,"",AC535)),AC535),""))</f>
        <v/>
      </c>
      <c r="AH535" s="270" t="str">
        <f>IF(Z535="","",IF(Z535&lt;AB535,Y535,IF(Z535=AB535,IF(NoDrawWithWithdraw,IF(AL535=Y535,Y535,IF(AL535=AC535,AC535,"")),""),AC535)))</f>
        <v/>
      </c>
      <c r="AI535" s="270" t="str">
        <f>IF(Z535="","",SUM(Z536:Z539))</f>
        <v/>
      </c>
      <c r="AJ535" s="270" t="str">
        <f>IF(Z535="","",SUM(AB536:AB539))</f>
        <v/>
      </c>
      <c r="AK535" s="270" t="str">
        <f>CONCATENATE(AE535,AH535)</f>
        <v/>
      </c>
      <c r="AL535" s="270" t="str">
        <f>IF(COUNTIF(Y536:Y539,WithdrawLabel)&gt;COUNTIF(AC536:AC539,WithdrawLabel),Y535,IF(COUNTIF(AC536:AC539,WithdrawLabel)&gt;COUNTIF(Y536:Y539,WithdrawLabel),AC535,""))</f>
        <v/>
      </c>
      <c r="AM535" s="270"/>
      <c r="AN535" s="270"/>
      <c r="AO535" s="271"/>
      <c r="AP535" s="270"/>
      <c r="AQ535" s="270"/>
      <c r="AR535" s="270"/>
      <c r="AS535" s="270"/>
      <c r="AT535" s="270"/>
      <c r="AU535" s="270"/>
      <c r="AV535" s="270"/>
      <c r="AW535" s="270"/>
      <c r="AX535" s="270"/>
      <c r="AY535" s="1072"/>
      <c r="AZ535" s="270"/>
      <c r="BA535" s="270"/>
      <c r="BB535" s="1072"/>
      <c r="BC535" s="270"/>
      <c r="BD535" s="270"/>
      <c r="BE535" s="270"/>
      <c r="BF535" s="270"/>
      <c r="BG535" s="270"/>
      <c r="BH535" s="270"/>
      <c r="BI535" s="270"/>
      <c r="BJ535" s="270"/>
      <c r="BK535" s="270"/>
      <c r="BL535" s="270"/>
      <c r="BM535" s="270"/>
      <c r="BN535" s="270"/>
      <c r="BO535" s="270"/>
      <c r="BP535" s="270"/>
      <c r="BQ535" s="270"/>
      <c r="BR535" s="270"/>
      <c r="BS535" s="270"/>
      <c r="BT535" s="270"/>
      <c r="BU535" s="270"/>
      <c r="BV535" s="270"/>
      <c r="BW535" s="270"/>
      <c r="BX535" s="270"/>
      <c r="BY535" s="270"/>
      <c r="BZ535" s="270"/>
      <c r="CA535" s="270"/>
      <c r="CB535" s="270"/>
      <c r="CC535" s="270"/>
      <c r="CD535" s="270"/>
      <c r="CE535"/>
      <c r="CF535" s="1396"/>
      <c r="CG535" s="1396"/>
      <c r="CH535" s="270"/>
      <c r="CI535" s="270"/>
      <c r="CJ535" s="270"/>
      <c r="CK535" s="270"/>
      <c r="CL535" s="270"/>
      <c r="CM535" s="270"/>
    </row>
    <row r="536" spans="1:91" ht="13.5" hidden="1" outlineLevel="3" thickBot="1" x14ac:dyDescent="0.25">
      <c r="A536" s="270"/>
      <c r="B536" s="271"/>
      <c r="C536" s="12"/>
      <c r="D536" s="1071"/>
      <c r="E536" s="1071"/>
      <c r="F536" s="1071"/>
      <c r="G536" s="1172"/>
      <c r="H536" s="271"/>
      <c r="I536" s="270"/>
      <c r="J536" s="270"/>
      <c r="K536" s="270"/>
      <c r="L536" s="270"/>
      <c r="M536" s="270"/>
      <c r="N536" s="270"/>
      <c r="O536" s="270"/>
      <c r="P536" s="1072"/>
      <c r="Q536" s="270"/>
      <c r="R536" s="270"/>
      <c r="S536" s="1072"/>
      <c r="T536" s="270"/>
      <c r="U536" s="1019"/>
      <c r="V536" s="1176"/>
      <c r="W536" s="1177"/>
      <c r="X536" s="1207"/>
      <c r="Y536" s="627"/>
      <c r="Z536" s="492"/>
      <c r="AA536" s="493" t="s">
        <v>769</v>
      </c>
      <c r="AB536" s="1069"/>
      <c r="AC536" s="1070"/>
      <c r="AD536" s="839"/>
      <c r="AE536" s="270" t="str">
        <f>IF(Z536="","",IF(Z536&gt;AB536,Y536,IF(Z536=AB536,"",AC536)))</f>
        <v/>
      </c>
      <c r="AF536" s="270" t="str">
        <f>IF(Z536="","",IF(Z536=AB536,Y536,""))</f>
        <v/>
      </c>
      <c r="AG536" s="270" t="str">
        <f>IF(Z536="","",IF(Z536=AB536,AC536,""))</f>
        <v/>
      </c>
      <c r="AH536" s="270" t="str">
        <f>IF(Z536="","",IF(Z536&lt;AB536,Y536,IF(Z536=AB536,"",AC536)))</f>
        <v/>
      </c>
      <c r="AI536" s="270" t="str">
        <f>IF(Z536="","",IF(Z536&gt;AB536,Y535,""))</f>
        <v/>
      </c>
      <c r="AJ536" s="270" t="str">
        <f>IF(Z536="","",IF(Z536&lt;AB536,AC535,""))</f>
        <v/>
      </c>
      <c r="AK536" s="270" t="str">
        <f>CONCATENATE(AE536,AH536)</f>
        <v/>
      </c>
      <c r="AL536" s="270"/>
      <c r="AM536" s="270"/>
      <c r="AN536" s="270"/>
      <c r="AO536" s="271"/>
      <c r="AP536" s="270"/>
      <c r="AQ536" s="270"/>
      <c r="AR536" s="270"/>
      <c r="AS536" s="270"/>
      <c r="AT536" s="270"/>
      <c r="AU536" s="270"/>
      <c r="AV536" s="270"/>
      <c r="AW536" s="270"/>
      <c r="AX536" s="270"/>
      <c r="AY536" s="1072"/>
      <c r="AZ536" s="270"/>
      <c r="BA536" s="270"/>
      <c r="BB536" s="1072"/>
      <c r="BC536" s="270"/>
      <c r="BD536" s="270"/>
      <c r="BE536" s="270"/>
      <c r="BF536" s="270"/>
      <c r="BG536" s="270"/>
      <c r="BH536" s="270"/>
      <c r="BI536" s="270"/>
      <c r="BJ536" s="270"/>
      <c r="BK536" s="270"/>
      <c r="BL536" s="270"/>
      <c r="BM536" s="270"/>
      <c r="BN536" s="270"/>
      <c r="BO536" s="270"/>
      <c r="BP536" s="270"/>
      <c r="BQ536" s="270"/>
      <c r="BR536" s="270"/>
      <c r="BS536" s="270"/>
      <c r="BT536" s="270"/>
      <c r="BU536" s="270"/>
      <c r="BV536" s="270"/>
      <c r="BW536" s="270"/>
      <c r="BX536" s="270"/>
      <c r="BY536" s="270"/>
      <c r="BZ536" s="270"/>
      <c r="CA536" s="270"/>
      <c r="CB536" s="270"/>
      <c r="CC536" s="270"/>
      <c r="CD536" s="270"/>
      <c r="CE536"/>
      <c r="CF536" s="1396"/>
      <c r="CG536" s="1396"/>
      <c r="CH536" s="270"/>
      <c r="CI536" s="270"/>
      <c r="CJ536" s="270"/>
      <c r="CK536" s="270"/>
      <c r="CL536" s="270"/>
      <c r="CM536" s="270"/>
    </row>
    <row r="537" spans="1:91" ht="13.5" hidden="1" outlineLevel="3" thickBot="1" x14ac:dyDescent="0.25">
      <c r="A537" s="270"/>
      <c r="B537" s="271"/>
      <c r="C537" s="12"/>
      <c r="D537" s="1071"/>
      <c r="E537" s="1071"/>
      <c r="F537" s="1071"/>
      <c r="G537" s="1172"/>
      <c r="H537" s="271"/>
      <c r="I537" s="270"/>
      <c r="J537" s="270"/>
      <c r="K537" s="270"/>
      <c r="L537" s="270"/>
      <c r="M537" s="270"/>
      <c r="N537" s="270"/>
      <c r="O537" s="270"/>
      <c r="P537" s="1072"/>
      <c r="Q537" s="270"/>
      <c r="R537" s="270"/>
      <c r="S537" s="1072"/>
      <c r="T537" s="270"/>
      <c r="U537" s="1019"/>
      <c r="V537" s="1176"/>
      <c r="W537" s="1177"/>
      <c r="X537" s="1207"/>
      <c r="Y537" s="627"/>
      <c r="Z537" s="492"/>
      <c r="AA537" s="493" t="s">
        <v>769</v>
      </c>
      <c r="AB537" s="1069"/>
      <c r="AC537" s="1070"/>
      <c r="AD537" s="839"/>
      <c r="AE537" s="270" t="str">
        <f>IF(Z537="","",IF(Z537&gt;AB537,Y537,IF(Z537=AB537,"",AC537)))</f>
        <v/>
      </c>
      <c r="AF537" s="270" t="str">
        <f>IF(Z537="","",IF(Z537=AB537,Y537,""))</f>
        <v/>
      </c>
      <c r="AG537" s="270" t="str">
        <f>IF(Z537="","",IF(Z537=AB537,AC537,""))</f>
        <v/>
      </c>
      <c r="AH537" s="270" t="str">
        <f>IF(Z537="","",IF(Z537&lt;AB537,Y537,IF(Z537=AB537,"",AC537)))</f>
        <v/>
      </c>
      <c r="AI537" s="270" t="str">
        <f>IF(Z537="","",IF(Z537&gt;AB537,Y535,""))</f>
        <v/>
      </c>
      <c r="AJ537" s="270" t="str">
        <f>IF(Z537="","",IF(Z537&lt;AB537,AC535,""))</f>
        <v/>
      </c>
      <c r="AK537" s="270" t="str">
        <f>CONCATENATE(AE537,AH537)</f>
        <v/>
      </c>
      <c r="AL537" s="270"/>
      <c r="AM537" s="270"/>
      <c r="AN537" s="270"/>
      <c r="AO537" s="271"/>
      <c r="AP537" s="270"/>
      <c r="AQ537" s="270"/>
      <c r="AR537" s="270"/>
      <c r="AS537" s="270"/>
      <c r="AT537" s="270"/>
      <c r="AU537" s="270"/>
      <c r="AV537" s="270"/>
      <c r="AW537" s="270"/>
      <c r="AX537" s="270"/>
      <c r="AY537" s="1072"/>
      <c r="AZ537" s="270"/>
      <c r="BA537" s="270"/>
      <c r="BB537" s="1072"/>
      <c r="BC537" s="270"/>
      <c r="BD537" s="270"/>
      <c r="BE537" s="270"/>
      <c r="BF537" s="270"/>
      <c r="BG537" s="270"/>
      <c r="BH537" s="270"/>
      <c r="BI537" s="270"/>
      <c r="BJ537" s="270"/>
      <c r="BK537" s="270"/>
      <c r="BL537" s="270"/>
      <c r="BM537" s="270"/>
      <c r="BN537" s="270"/>
      <c r="BO537" s="270"/>
      <c r="BP537" s="270"/>
      <c r="BQ537" s="270"/>
      <c r="BR537" s="270"/>
      <c r="BS537" s="270"/>
      <c r="BT537" s="270"/>
      <c r="BU537" s="270"/>
      <c r="BV537" s="270"/>
      <c r="BW537" s="270"/>
      <c r="BX537" s="270"/>
      <c r="BY537" s="270"/>
      <c r="BZ537" s="270"/>
      <c r="CA537" s="270"/>
      <c r="CB537" s="270"/>
      <c r="CC537" s="270"/>
      <c r="CD537" s="270"/>
      <c r="CE537"/>
      <c r="CF537" s="1396"/>
      <c r="CG537" s="1396"/>
      <c r="CH537" s="270"/>
      <c r="CI537" s="270"/>
      <c r="CJ537" s="270"/>
      <c r="CK537" s="270"/>
      <c r="CL537" s="270"/>
      <c r="CM537" s="270"/>
    </row>
    <row r="538" spans="1:91" ht="13.5" hidden="1" outlineLevel="3" thickBot="1" x14ac:dyDescent="0.25">
      <c r="A538" s="270"/>
      <c r="B538" s="271"/>
      <c r="C538" s="12"/>
      <c r="D538" s="1071"/>
      <c r="E538" s="1071"/>
      <c r="F538" s="1071"/>
      <c r="G538" s="1172"/>
      <c r="H538" s="271"/>
      <c r="I538" s="270"/>
      <c r="J538" s="270"/>
      <c r="K538" s="270"/>
      <c r="L538" s="270"/>
      <c r="M538" s="270"/>
      <c r="N538" s="270"/>
      <c r="O538" s="270"/>
      <c r="P538" s="1072"/>
      <c r="Q538" s="270"/>
      <c r="R538" s="270"/>
      <c r="S538" s="1072"/>
      <c r="T538" s="270"/>
      <c r="U538" s="1019"/>
      <c r="V538" s="1176"/>
      <c r="W538" s="1177"/>
      <c r="X538" s="1207"/>
      <c r="Y538" s="627"/>
      <c r="Z538" s="492"/>
      <c r="AA538" s="493" t="s">
        <v>769</v>
      </c>
      <c r="AB538" s="1069"/>
      <c r="AC538" s="1070"/>
      <c r="AD538" s="839"/>
      <c r="AE538" s="270" t="str">
        <f>IF(Z538="","",IF(Z538&gt;AB538,Y538,IF(Z538=AB538,"",AC538)))</f>
        <v/>
      </c>
      <c r="AF538" s="270" t="str">
        <f>IF(Z538="","",IF(Z538=AB538,Y538,""))</f>
        <v/>
      </c>
      <c r="AG538" s="270" t="str">
        <f>IF(Z538="","",IF(Z538=AB538,AC538,""))</f>
        <v/>
      </c>
      <c r="AH538" s="270" t="str">
        <f>IF(Z538="","",IF(Z538&lt;AB538,Y538,IF(Z538=AB538,"",AC538)))</f>
        <v/>
      </c>
      <c r="AI538" s="270" t="str">
        <f>IF(Z538="","",IF(Z538&gt;AB538,Y535,""))</f>
        <v/>
      </c>
      <c r="AJ538" s="270" t="str">
        <f>IF(Z538="","",IF(Z538&lt;AB538,AC535,""))</f>
        <v/>
      </c>
      <c r="AK538" s="270" t="str">
        <f>CONCATENATE(AE538,AH538)</f>
        <v/>
      </c>
      <c r="AL538" s="270"/>
      <c r="AM538" s="270"/>
      <c r="AN538" s="270"/>
      <c r="AO538" s="271"/>
      <c r="AP538" s="270"/>
      <c r="AQ538" s="270"/>
      <c r="AR538" s="270"/>
      <c r="AS538" s="270"/>
      <c r="AT538" s="270"/>
      <c r="AU538" s="270"/>
      <c r="AV538" s="270"/>
      <c r="AW538" s="270"/>
      <c r="AX538" s="270"/>
      <c r="AY538" s="1072"/>
      <c r="AZ538" s="270"/>
      <c r="BA538" s="270"/>
      <c r="BB538" s="1072"/>
      <c r="BC538" s="270"/>
      <c r="BD538" s="270"/>
      <c r="BE538" s="270"/>
      <c r="BF538" s="270"/>
      <c r="BG538" s="270"/>
      <c r="BH538" s="270"/>
      <c r="BI538" s="270"/>
      <c r="BJ538" s="270"/>
      <c r="BK538" s="270"/>
      <c r="BL538" s="270"/>
      <c r="BM538" s="270"/>
      <c r="BN538" s="270"/>
      <c r="BO538" s="270"/>
      <c r="BP538" s="270"/>
      <c r="BQ538" s="270"/>
      <c r="BR538" s="270"/>
      <c r="BS538" s="270"/>
      <c r="BT538" s="270"/>
      <c r="BU538" s="270"/>
      <c r="BV538" s="270"/>
      <c r="BW538" s="270"/>
      <c r="BX538" s="270"/>
      <c r="BY538" s="270"/>
      <c r="BZ538" s="270"/>
      <c r="CA538" s="270"/>
      <c r="CB538" s="270"/>
      <c r="CC538" s="270"/>
      <c r="CD538" s="270"/>
      <c r="CE538"/>
      <c r="CF538" s="1396"/>
      <c r="CG538" s="1396"/>
      <c r="CH538" s="270"/>
      <c r="CI538" s="270"/>
      <c r="CJ538" s="270"/>
      <c r="CK538" s="270"/>
      <c r="CL538" s="270"/>
      <c r="CM538" s="270"/>
    </row>
    <row r="539" spans="1:91" ht="13.5" hidden="1" outlineLevel="3" thickBot="1" x14ac:dyDescent="0.25">
      <c r="A539" s="270"/>
      <c r="B539" s="271"/>
      <c r="C539" s="12"/>
      <c r="D539" s="1071"/>
      <c r="E539" s="1071"/>
      <c r="F539" s="1071"/>
      <c r="G539" s="1172"/>
      <c r="H539" s="271"/>
      <c r="I539" s="270"/>
      <c r="J539" s="270"/>
      <c r="K539" s="270"/>
      <c r="L539" s="270"/>
      <c r="M539" s="270"/>
      <c r="N539" s="270"/>
      <c r="O539" s="270"/>
      <c r="P539" s="1072"/>
      <c r="Q539" s="270"/>
      <c r="R539" s="270"/>
      <c r="S539" s="1072"/>
      <c r="T539" s="270"/>
      <c r="U539" s="1019"/>
      <c r="V539" s="1176"/>
      <c r="W539" s="1177"/>
      <c r="X539" s="1207"/>
      <c r="Y539" s="627"/>
      <c r="Z539" s="492"/>
      <c r="AA539" s="493" t="s">
        <v>769</v>
      </c>
      <c r="AB539" s="1069"/>
      <c r="AC539" s="1070"/>
      <c r="AD539" s="839"/>
      <c r="AE539" s="270" t="str">
        <f>IF(Z539="","",IF(Z539&gt;AB539,Y539,IF(Z539=AB539,"",AC539)))</f>
        <v/>
      </c>
      <c r="AF539" s="270" t="str">
        <f>IF(Z539="","",IF(Z539=AB539,Y539,""))</f>
        <v/>
      </c>
      <c r="AG539" s="270" t="str">
        <f>IF(Z539="","",IF(Z539=AB539,AC539,""))</f>
        <v/>
      </c>
      <c r="AH539" s="270" t="str">
        <f>IF(Z539="","",IF(Z539&lt;AB539,Y539,IF(Z539=AB539,"",AC539)))</f>
        <v/>
      </c>
      <c r="AI539" s="270" t="str">
        <f>IF(Z539="","",IF(Z539&gt;AB539,Y535,""))</f>
        <v/>
      </c>
      <c r="AJ539" s="270" t="str">
        <f>IF(Z539="","",IF(Z539&lt;AB539,AC535,""))</f>
        <v/>
      </c>
      <c r="AK539" s="270" t="str">
        <f>CONCATENATE(AE539,AH539)</f>
        <v/>
      </c>
      <c r="AL539" s="270"/>
      <c r="AM539" s="270"/>
      <c r="AN539" s="270"/>
      <c r="AO539" s="271"/>
      <c r="AP539" s="270"/>
      <c r="AQ539" s="270"/>
      <c r="AR539" s="270"/>
      <c r="AS539" s="270"/>
      <c r="AT539" s="270"/>
      <c r="AU539" s="270"/>
      <c r="AV539" s="270"/>
      <c r="AW539" s="270"/>
      <c r="AX539" s="270"/>
      <c r="AY539" s="1072"/>
      <c r="AZ539" s="270"/>
      <c r="BA539" s="270"/>
      <c r="BB539" s="1072"/>
      <c r="BC539" s="270"/>
      <c r="BD539" s="270"/>
      <c r="BE539" s="270"/>
      <c r="BF539" s="270"/>
      <c r="BG539" s="270"/>
      <c r="BH539" s="270"/>
      <c r="BI539" s="270"/>
      <c r="BJ539" s="270"/>
      <c r="BK539" s="270"/>
      <c r="BL539" s="270"/>
      <c r="BM539" s="270"/>
      <c r="BN539" s="270"/>
      <c r="BO539" s="270"/>
      <c r="BP539" s="270"/>
      <c r="BQ539" s="270"/>
      <c r="BR539" s="270"/>
      <c r="BS539" s="270"/>
      <c r="BT539" s="270"/>
      <c r="BU539" s="270"/>
      <c r="BV539" s="270"/>
      <c r="BW539" s="270"/>
      <c r="BX539" s="270"/>
      <c r="BY539" s="270"/>
      <c r="BZ539" s="270"/>
      <c r="CA539" s="270"/>
      <c r="CB539" s="270"/>
      <c r="CC539" s="270"/>
      <c r="CD539" s="270"/>
      <c r="CE539"/>
      <c r="CF539" s="1396"/>
      <c r="CG539" s="1396"/>
      <c r="CH539" s="270"/>
      <c r="CI539" s="270"/>
      <c r="CJ539" s="270"/>
      <c r="CK539" s="270"/>
      <c r="CL539" s="270"/>
      <c r="CM539" s="270"/>
    </row>
    <row r="540" spans="1:91" ht="13.5" hidden="1" outlineLevel="3" thickBot="1" x14ac:dyDescent="0.25">
      <c r="A540" s="270"/>
      <c r="B540" s="271"/>
      <c r="C540" s="12"/>
      <c r="D540" s="1071"/>
      <c r="E540" s="1071"/>
      <c r="F540" s="1071"/>
      <c r="G540" s="626"/>
      <c r="H540" s="271"/>
      <c r="I540" s="270"/>
      <c r="J540" s="270"/>
      <c r="K540" s="270"/>
      <c r="L540" s="270"/>
      <c r="M540" s="270"/>
      <c r="N540" s="270"/>
      <c r="O540" s="270"/>
      <c r="P540" s="1072"/>
      <c r="Q540" s="270"/>
      <c r="R540" s="270"/>
      <c r="S540" s="1072"/>
      <c r="T540" s="270"/>
      <c r="U540" s="1019"/>
      <c r="V540" s="1073"/>
      <c r="W540" s="1074"/>
      <c r="X540" s="1075" t="str">
        <f>N_Substitute</f>
        <v>Remplaçant</v>
      </c>
      <c r="Y540" s="627"/>
      <c r="Z540" s="492"/>
      <c r="AA540" s="1076"/>
      <c r="AB540" s="1069"/>
      <c r="AC540" s="1070"/>
      <c r="AD540" s="839"/>
      <c r="AE540" s="270"/>
      <c r="AF540" s="270"/>
      <c r="AG540" s="270"/>
      <c r="AH540" s="270"/>
      <c r="AI540" s="270"/>
      <c r="AJ540" s="270"/>
      <c r="AK540" s="270"/>
      <c r="AL540" s="270"/>
      <c r="AM540" s="270"/>
      <c r="AN540" s="270"/>
      <c r="AO540" s="271"/>
      <c r="AP540" s="270"/>
      <c r="AQ540" s="270"/>
      <c r="AR540" s="270"/>
      <c r="AS540" s="270"/>
      <c r="AT540" s="270"/>
      <c r="AU540" s="270"/>
      <c r="AV540" s="270"/>
      <c r="AW540" s="270"/>
      <c r="AX540" s="270"/>
      <c r="AY540" s="1072"/>
      <c r="AZ540" s="270"/>
      <c r="BA540" s="270"/>
      <c r="BB540" s="1072"/>
      <c r="BC540" s="270"/>
      <c r="BD540" s="270"/>
      <c r="BE540" s="270"/>
      <c r="BF540" s="270"/>
      <c r="BG540" s="270"/>
      <c r="BH540" s="270"/>
      <c r="BI540" s="270"/>
      <c r="BJ540" s="270"/>
      <c r="BK540" s="270"/>
      <c r="BL540" s="270"/>
      <c r="BM540" s="270"/>
      <c r="BN540" s="270"/>
      <c r="BO540" s="270"/>
      <c r="BP540" s="270"/>
      <c r="BQ540" s="270"/>
      <c r="BR540" s="270"/>
      <c r="BS540" s="270"/>
      <c r="BT540" s="270"/>
      <c r="BU540" s="270"/>
      <c r="BV540" s="270"/>
      <c r="BW540" s="270"/>
      <c r="BX540" s="270"/>
      <c r="BY540" s="270"/>
      <c r="BZ540" s="270"/>
      <c r="CA540" s="270"/>
      <c r="CB540" s="270"/>
      <c r="CC540" s="270"/>
      <c r="CD540" s="270"/>
      <c r="CE540"/>
      <c r="CF540" s="1396"/>
      <c r="CG540" s="1396"/>
      <c r="CH540" s="270"/>
      <c r="CI540" s="270"/>
      <c r="CJ540" s="270"/>
      <c r="CK540" s="270"/>
      <c r="CL540" s="270"/>
      <c r="CM540" s="270"/>
    </row>
    <row r="541" spans="1:91" ht="13.5" hidden="1" outlineLevel="3" thickBot="1" x14ac:dyDescent="0.25">
      <c r="A541" s="270"/>
      <c r="B541" s="271"/>
      <c r="C541" s="12"/>
      <c r="D541" s="1071"/>
      <c r="E541" s="1071"/>
      <c r="F541" s="1071"/>
      <c r="G541" s="626"/>
      <c r="H541" s="271"/>
      <c r="I541" s="270"/>
      <c r="J541" s="270"/>
      <c r="K541" s="270"/>
      <c r="L541" s="270"/>
      <c r="M541" s="270"/>
      <c r="N541" s="270"/>
      <c r="O541" s="270"/>
      <c r="P541" s="1072"/>
      <c r="Q541" s="270"/>
      <c r="R541" s="270"/>
      <c r="S541" s="1072"/>
      <c r="T541" s="270"/>
      <c r="U541" s="1019"/>
      <c r="V541" s="1119"/>
      <c r="W541" s="1120"/>
      <c r="X541" s="1075" t="str">
        <f>N_Substitute</f>
        <v>Remplaçant</v>
      </c>
      <c r="Y541" s="627"/>
      <c r="Z541" s="492"/>
      <c r="AA541" s="1121"/>
      <c r="AB541" s="1069"/>
      <c r="AC541" s="1070"/>
      <c r="AD541" s="839"/>
      <c r="AE541" s="270"/>
      <c r="AF541" s="270"/>
      <c r="AG541" s="270"/>
      <c r="AH541" s="270"/>
      <c r="AI541" s="270"/>
      <c r="AJ541" s="270"/>
      <c r="AK541" s="270"/>
      <c r="AL541" s="270"/>
      <c r="AM541" s="270"/>
      <c r="AN541" s="270"/>
      <c r="AO541" s="271"/>
      <c r="AP541" s="270"/>
      <c r="AQ541" s="270"/>
      <c r="AR541" s="270"/>
      <c r="AS541" s="270"/>
      <c r="AT541" s="270"/>
      <c r="AU541" s="270"/>
      <c r="AV541" s="270"/>
      <c r="AW541" s="270"/>
      <c r="AX541" s="270"/>
      <c r="AY541" s="1072"/>
      <c r="AZ541" s="270"/>
      <c r="BA541" s="270"/>
      <c r="BB541" s="1072"/>
      <c r="BC541" s="270"/>
      <c r="BD541" s="270"/>
      <c r="BE541" s="270"/>
      <c r="BF541" s="270"/>
      <c r="BG541" s="270"/>
      <c r="BH541" s="270"/>
      <c r="BI541" s="270"/>
      <c r="BJ541" s="270"/>
      <c r="BK541" s="270"/>
      <c r="BL541" s="270"/>
      <c r="BM541" s="270"/>
      <c r="BN541" s="270"/>
      <c r="BO541" s="270"/>
      <c r="BP541" s="270"/>
      <c r="BQ541" s="270"/>
      <c r="BR541" s="270"/>
      <c r="BS541" s="270"/>
      <c r="BT541" s="270"/>
      <c r="BU541" s="270"/>
      <c r="BV541" s="270"/>
      <c r="BW541" s="270"/>
      <c r="BX541" s="270"/>
      <c r="BY541" s="270"/>
      <c r="BZ541" s="270"/>
      <c r="CA541" s="270"/>
      <c r="CB541" s="270"/>
      <c r="CC541" s="270"/>
      <c r="CD541" s="270"/>
      <c r="CE541"/>
      <c r="CF541" s="1396"/>
      <c r="CG541" s="1396"/>
      <c r="CH541" s="270"/>
      <c r="CI541" s="270"/>
      <c r="CJ541" s="270"/>
      <c r="CK541" s="270"/>
      <c r="CL541" s="270"/>
      <c r="CM541" s="270"/>
    </row>
    <row r="542" spans="1:91" hidden="1" outlineLevel="2" collapsed="1" x14ac:dyDescent="0.2">
      <c r="A542" s="270"/>
      <c r="B542" s="271"/>
      <c r="C542" s="270"/>
      <c r="D542" s="270"/>
      <c r="E542" s="270"/>
      <c r="F542" s="270"/>
      <c r="G542" s="271"/>
      <c r="H542" s="270"/>
      <c r="I542" s="270"/>
      <c r="J542" s="270"/>
      <c r="K542" s="270"/>
      <c r="L542" s="270"/>
      <c r="M542" s="270"/>
      <c r="N542" s="270"/>
      <c r="O542" s="270"/>
      <c r="P542" s="270"/>
      <c r="Q542" s="270"/>
      <c r="R542" s="270"/>
      <c r="S542" s="270"/>
      <c r="T542" s="270"/>
      <c r="U542" s="1019" t="s">
        <v>1727</v>
      </c>
      <c r="V542" s="1179"/>
      <c r="W542" s="1177"/>
      <c r="X542" s="1207"/>
      <c r="Y542" s="1180" t="str">
        <f>G499</f>
        <v>Eq2</v>
      </c>
      <c r="Z542" s="1123" t="str">
        <f>IF(OR(ISNUMBER(Z543),ISNUMBER(Z544),ISNUMBER(Z545),ISNUMBER(Z546)),4-COUNTBLANK(AI543:AI546),"")</f>
        <v/>
      </c>
      <c r="AA542" s="1124" t="s">
        <v>769</v>
      </c>
      <c r="AB542" s="1125" t="str">
        <f>IF(OR(ISNUMBER(Z543),ISNUMBER(Z544),ISNUMBER(Z545),ISNUMBER(Z546)),4-COUNTBLANK(AJ543:AJ546),"")</f>
        <v/>
      </c>
      <c r="AC542" s="1185" t="str">
        <f>G501</f>
        <v>Eq4</v>
      </c>
      <c r="AD542" s="839"/>
      <c r="AE542" s="270" t="str">
        <f>IF(Z542="","",IF(Z542&gt;AB542,Y542,IF(Z542=AB542,IF(NoDrawWithWithdraw,IF(AL542=Y542,AC542,IF(AL542=AC542,Y542,"")),""),AC542)))</f>
        <v/>
      </c>
      <c r="AF542" s="270" t="str">
        <f>IF(Z542="","",IF(Z542=AB542,IF(NoDrawWithWithdraw,IF(AL542=Y542,"",IF(AL542=AC542,"",Y542)),Y542),""))</f>
        <v/>
      </c>
      <c r="AG542" s="270" t="str">
        <f>IF(Z542="","",IF(Z542=AB542,IF(NoDrawWithWithdraw,IF(AL542=Y542,"",IF(AL542=AC542,"",AC542)),AC542),""))</f>
        <v/>
      </c>
      <c r="AH542" s="270" t="str">
        <f>IF(Z542="","",IF(Z542&lt;AB542,Y542,IF(Z542=AB542,IF(NoDrawWithWithdraw,IF(AL542=Y542,Y542,IF(AL542=AC542,AC542,"")),""),AC542)))</f>
        <v/>
      </c>
      <c r="AI542" s="270" t="str">
        <f>IF(Z542="","",SUM(Z543:Z546))</f>
        <v/>
      </c>
      <c r="AJ542" s="270" t="str">
        <f>IF(Z542="","",SUM(AB543:AB546))</f>
        <v/>
      </c>
      <c r="AK542" s="270" t="str">
        <f>CONCATENATE(AE542,AH542)</f>
        <v/>
      </c>
      <c r="AL542" s="270" t="str">
        <f>IF(COUNTIF(Y543:Y546,WithdrawLabel)&gt;COUNTIF(AC543:AC546,WithdrawLabel),Y542,IF(COUNTIF(AC543:AC546,WithdrawLabel)&gt;COUNTIF(Y543:Y546,WithdrawLabel),AC542,""))</f>
        <v/>
      </c>
      <c r="AM542" s="270"/>
      <c r="AN542" s="270"/>
      <c r="AO542" s="575"/>
      <c r="AP542" s="270"/>
      <c r="AQ542" s="270"/>
      <c r="AR542" s="270"/>
      <c r="AS542" s="270"/>
      <c r="AT542" s="270"/>
      <c r="AU542" s="270"/>
      <c r="AV542" s="270"/>
      <c r="AW542" s="270"/>
      <c r="AX542" s="270"/>
      <c r="AY542" s="270"/>
      <c r="AZ542" s="270"/>
      <c r="BA542" s="270"/>
      <c r="BB542" s="270"/>
      <c r="BC542" s="270"/>
      <c r="BD542" s="270"/>
      <c r="BE542" s="270"/>
      <c r="BF542" s="270"/>
      <c r="BG542" s="270"/>
      <c r="BH542" s="270"/>
      <c r="BI542" s="270"/>
      <c r="BJ542" s="270"/>
      <c r="BK542" s="270"/>
      <c r="BL542" s="270"/>
      <c r="BM542" s="270"/>
      <c r="BN542" s="270"/>
      <c r="BO542" s="270"/>
      <c r="BP542" s="270"/>
      <c r="BQ542" s="270"/>
      <c r="BR542" s="270"/>
      <c r="BS542" s="270"/>
      <c r="BT542" s="270"/>
      <c r="BU542" s="270"/>
      <c r="BV542" s="270"/>
      <c r="BW542" s="270"/>
      <c r="BX542" s="270"/>
      <c r="BY542" s="270"/>
      <c r="BZ542" s="270"/>
      <c r="CA542" s="270"/>
      <c r="CB542" s="270"/>
      <c r="CC542" s="270"/>
      <c r="CD542" s="270"/>
      <c r="CE542"/>
      <c r="CF542" s="1396"/>
      <c r="CG542" s="1396"/>
      <c r="CH542" s="270"/>
      <c r="CI542" s="270"/>
      <c r="CJ542" s="270"/>
      <c r="CK542" s="270"/>
      <c r="CL542" s="270"/>
      <c r="CM542" s="270"/>
    </row>
    <row r="543" spans="1:91" ht="13.5" hidden="1" outlineLevel="3" thickBot="1" x14ac:dyDescent="0.25">
      <c r="A543" s="270"/>
      <c r="B543" s="271"/>
      <c r="C543" s="12"/>
      <c r="D543" s="1071"/>
      <c r="E543" s="1071"/>
      <c r="F543" s="1071"/>
      <c r="G543" s="1172"/>
      <c r="H543" s="271"/>
      <c r="I543" s="270"/>
      <c r="J543" s="270"/>
      <c r="K543" s="270"/>
      <c r="L543" s="270"/>
      <c r="M543" s="270"/>
      <c r="N543" s="270"/>
      <c r="O543" s="270"/>
      <c r="P543" s="1072"/>
      <c r="Q543" s="270"/>
      <c r="R543" s="270"/>
      <c r="S543" s="1072"/>
      <c r="T543" s="270"/>
      <c r="U543" s="1019"/>
      <c r="V543" s="1176"/>
      <c r="W543" s="1177"/>
      <c r="X543" s="1207"/>
      <c r="Y543" s="627"/>
      <c r="Z543" s="492"/>
      <c r="AA543" s="493" t="s">
        <v>769</v>
      </c>
      <c r="AB543" s="1069"/>
      <c r="AC543" s="1070"/>
      <c r="AD543" s="839"/>
      <c r="AE543" s="270" t="str">
        <f>IF(Z543="","",IF(Z543&gt;AB543,Y543,IF(Z543=AB543,"",AC543)))</f>
        <v/>
      </c>
      <c r="AF543" s="270" t="str">
        <f>IF(Z543="","",IF(Z543=AB543,Y543,""))</f>
        <v/>
      </c>
      <c r="AG543" s="270" t="str">
        <f>IF(Z543="","",IF(Z543=AB543,AC543,""))</f>
        <v/>
      </c>
      <c r="AH543" s="270" t="str">
        <f>IF(Z543="","",IF(Z543&lt;AB543,Y543,IF(Z543=AB543,"",AC543)))</f>
        <v/>
      </c>
      <c r="AI543" s="270" t="str">
        <f>IF(Z543="","",IF(Z543&gt;AB543,Y542,""))</f>
        <v/>
      </c>
      <c r="AJ543" s="270" t="str">
        <f>IF(Z543="","",IF(Z543&lt;AB543,AC542,""))</f>
        <v/>
      </c>
      <c r="AK543" s="270" t="str">
        <f>CONCATENATE(AE543,AH543)</f>
        <v/>
      </c>
      <c r="AL543" s="270"/>
      <c r="AM543" s="270"/>
      <c r="AN543" s="270"/>
      <c r="AO543" s="271"/>
      <c r="AP543" s="270"/>
      <c r="AQ543" s="270"/>
      <c r="AR543" s="270"/>
      <c r="AS543" s="270"/>
      <c r="AT543" s="270"/>
      <c r="AU543" s="270"/>
      <c r="AV543" s="270"/>
      <c r="AW543" s="270"/>
      <c r="AX543" s="270"/>
      <c r="AY543" s="1072"/>
      <c r="AZ543" s="270"/>
      <c r="BA543" s="270"/>
      <c r="BB543" s="1072"/>
      <c r="BC543" s="270"/>
      <c r="BD543" s="270"/>
      <c r="BE543" s="270"/>
      <c r="BF543" s="270"/>
      <c r="BG543" s="270"/>
      <c r="BH543" s="270"/>
      <c r="BI543" s="270"/>
      <c r="BJ543" s="270"/>
      <c r="BK543" s="270"/>
      <c r="BL543" s="270"/>
      <c r="BM543" s="270"/>
      <c r="BN543" s="270"/>
      <c r="BO543" s="270"/>
      <c r="BP543" s="270"/>
      <c r="BQ543" s="270"/>
      <c r="BR543" s="270"/>
      <c r="BS543" s="270"/>
      <c r="BT543" s="270"/>
      <c r="BU543" s="270"/>
      <c r="BV543" s="270"/>
      <c r="BW543" s="270"/>
      <c r="BX543" s="270"/>
      <c r="BY543" s="270"/>
      <c r="BZ543" s="270"/>
      <c r="CA543" s="270"/>
      <c r="CB543" s="270"/>
      <c r="CC543" s="270"/>
      <c r="CD543" s="270"/>
      <c r="CE543"/>
      <c r="CF543" s="1396"/>
      <c r="CG543" s="1396"/>
      <c r="CH543" s="270"/>
      <c r="CI543" s="270"/>
      <c r="CJ543" s="270"/>
      <c r="CK543" s="270"/>
      <c r="CL543" s="270"/>
      <c r="CM543" s="270"/>
    </row>
    <row r="544" spans="1:91" ht="13.5" hidden="1" outlineLevel="3" thickBot="1" x14ac:dyDescent="0.25">
      <c r="A544" s="270"/>
      <c r="B544" s="271"/>
      <c r="C544" s="12"/>
      <c r="D544" s="1071"/>
      <c r="E544" s="1071"/>
      <c r="F544" s="1071"/>
      <c r="G544" s="1172"/>
      <c r="H544" s="271"/>
      <c r="I544" s="270"/>
      <c r="J544" s="270"/>
      <c r="K544" s="270"/>
      <c r="L544" s="270"/>
      <c r="M544" s="270"/>
      <c r="N544" s="270"/>
      <c r="O544" s="270"/>
      <c r="P544" s="1072"/>
      <c r="Q544" s="270"/>
      <c r="R544" s="270"/>
      <c r="S544" s="1072"/>
      <c r="T544" s="270"/>
      <c r="U544" s="1019"/>
      <c r="V544" s="1176"/>
      <c r="W544" s="1177"/>
      <c r="X544" s="1207"/>
      <c r="Y544" s="627"/>
      <c r="Z544" s="492"/>
      <c r="AA544" s="493" t="s">
        <v>769</v>
      </c>
      <c r="AB544" s="1069"/>
      <c r="AC544" s="1070"/>
      <c r="AD544" s="839"/>
      <c r="AE544" s="270" t="str">
        <f>IF(Z544="","",IF(Z544&gt;AB544,Y544,IF(Z544=AB544,"",AC544)))</f>
        <v/>
      </c>
      <c r="AF544" s="270" t="str">
        <f>IF(Z544="","",IF(Z544=AB544,Y544,""))</f>
        <v/>
      </c>
      <c r="AG544" s="270" t="str">
        <f>IF(Z544="","",IF(Z544=AB544,AC544,""))</f>
        <v/>
      </c>
      <c r="AH544" s="270" t="str">
        <f>IF(Z544="","",IF(Z544&lt;AB544,Y544,IF(Z544=AB544,"",AC544)))</f>
        <v/>
      </c>
      <c r="AI544" s="270" t="str">
        <f>IF(Z544="","",IF(Z544&gt;AB544,Y542,""))</f>
        <v/>
      </c>
      <c r="AJ544" s="270" t="str">
        <f>IF(Z544="","",IF(Z544&lt;AB544,AC542,""))</f>
        <v/>
      </c>
      <c r="AK544" s="270" t="str">
        <f>CONCATENATE(AE544,AH544)</f>
        <v/>
      </c>
      <c r="AL544" s="270"/>
      <c r="AM544" s="270"/>
      <c r="AN544" s="270"/>
      <c r="AO544" s="271"/>
      <c r="AP544" s="270"/>
      <c r="AQ544" s="270"/>
      <c r="AR544" s="270"/>
      <c r="AS544" s="270"/>
      <c r="AT544" s="270"/>
      <c r="AU544" s="270"/>
      <c r="AV544" s="270"/>
      <c r="AW544" s="270"/>
      <c r="AX544" s="270"/>
      <c r="AY544" s="1072"/>
      <c r="AZ544" s="270"/>
      <c r="BA544" s="270"/>
      <c r="BB544" s="1072"/>
      <c r="BC544" s="270"/>
      <c r="BD544" s="270"/>
      <c r="BE544" s="270"/>
      <c r="BF544" s="270"/>
      <c r="BG544" s="270"/>
      <c r="BH544" s="270"/>
      <c r="BI544" s="270"/>
      <c r="BJ544" s="270"/>
      <c r="BK544" s="270"/>
      <c r="BL544" s="270"/>
      <c r="BM544" s="270"/>
      <c r="BN544" s="270"/>
      <c r="BO544" s="270"/>
      <c r="BP544" s="270"/>
      <c r="BQ544" s="270"/>
      <c r="BR544" s="270"/>
      <c r="BS544" s="270"/>
      <c r="BT544" s="270"/>
      <c r="BU544" s="270"/>
      <c r="BV544" s="270"/>
      <c r="BW544" s="270"/>
      <c r="BX544" s="270"/>
      <c r="BY544" s="270"/>
      <c r="BZ544" s="270"/>
      <c r="CA544" s="270"/>
      <c r="CB544" s="270"/>
      <c r="CC544" s="270"/>
      <c r="CD544" s="270"/>
      <c r="CE544"/>
      <c r="CF544" s="1396"/>
      <c r="CG544" s="1396"/>
      <c r="CH544" s="270"/>
      <c r="CI544" s="270"/>
      <c r="CJ544" s="270"/>
      <c r="CK544" s="270"/>
      <c r="CL544" s="270"/>
      <c r="CM544" s="270"/>
    </row>
    <row r="545" spans="1:91" ht="13.5" hidden="1" outlineLevel="3" thickBot="1" x14ac:dyDescent="0.25">
      <c r="A545" s="270"/>
      <c r="B545" s="271"/>
      <c r="C545" s="12"/>
      <c r="D545" s="1071"/>
      <c r="E545" s="1071"/>
      <c r="F545" s="1071"/>
      <c r="G545" s="1172"/>
      <c r="H545" s="271"/>
      <c r="I545" s="270"/>
      <c r="J545" s="270"/>
      <c r="K545" s="270"/>
      <c r="L545" s="270"/>
      <c r="M545" s="270"/>
      <c r="N545" s="270"/>
      <c r="O545" s="270"/>
      <c r="P545" s="1072"/>
      <c r="Q545" s="270"/>
      <c r="R545" s="270"/>
      <c r="S545" s="1072"/>
      <c r="T545" s="270"/>
      <c r="U545" s="1019"/>
      <c r="V545" s="1176"/>
      <c r="W545" s="1177"/>
      <c r="X545" s="1207"/>
      <c r="Y545" s="627"/>
      <c r="Z545" s="492"/>
      <c r="AA545" s="493" t="s">
        <v>769</v>
      </c>
      <c r="AB545" s="1069"/>
      <c r="AC545" s="1070"/>
      <c r="AD545" s="839"/>
      <c r="AE545" s="270" t="str">
        <f>IF(Z545="","",IF(Z545&gt;AB545,Y545,IF(Z545=AB545,"",AC545)))</f>
        <v/>
      </c>
      <c r="AF545" s="270" t="str">
        <f>IF(Z545="","",IF(Z545=AB545,Y545,""))</f>
        <v/>
      </c>
      <c r="AG545" s="270" t="str">
        <f>IF(Z545="","",IF(Z545=AB545,AC545,""))</f>
        <v/>
      </c>
      <c r="AH545" s="270" t="str">
        <f>IF(Z545="","",IF(Z545&lt;AB545,Y545,IF(Z545=AB545,"",AC545)))</f>
        <v/>
      </c>
      <c r="AI545" s="270" t="str">
        <f>IF(Z545="","",IF(Z545&gt;AB545,Y542,""))</f>
        <v/>
      </c>
      <c r="AJ545" s="270" t="str">
        <f>IF(Z545="","",IF(Z545&lt;AB545,AC542,""))</f>
        <v/>
      </c>
      <c r="AK545" s="270" t="str">
        <f>CONCATENATE(AE545,AH545)</f>
        <v/>
      </c>
      <c r="AL545" s="270"/>
      <c r="AM545" s="270"/>
      <c r="AN545" s="270"/>
      <c r="AO545" s="271"/>
      <c r="AP545" s="270"/>
      <c r="AQ545" s="270"/>
      <c r="AR545" s="270"/>
      <c r="AS545" s="270"/>
      <c r="AT545" s="270"/>
      <c r="AU545" s="270"/>
      <c r="AV545" s="270"/>
      <c r="AW545" s="270"/>
      <c r="AX545" s="270"/>
      <c r="AY545" s="1072"/>
      <c r="AZ545" s="270"/>
      <c r="BA545" s="270"/>
      <c r="BB545" s="1072"/>
      <c r="BC545" s="270"/>
      <c r="BD545" s="270"/>
      <c r="BE545" s="270"/>
      <c r="BF545" s="270"/>
      <c r="BG545" s="270"/>
      <c r="BH545" s="270"/>
      <c r="BI545" s="270"/>
      <c r="BJ545" s="270"/>
      <c r="BK545" s="270"/>
      <c r="BL545" s="270"/>
      <c r="BM545" s="270"/>
      <c r="BN545" s="270"/>
      <c r="BO545" s="270"/>
      <c r="BP545" s="270"/>
      <c r="BQ545" s="270"/>
      <c r="BR545" s="270"/>
      <c r="BS545" s="270"/>
      <c r="BT545" s="270"/>
      <c r="BU545" s="270"/>
      <c r="BV545" s="270"/>
      <c r="BW545" s="270"/>
      <c r="BX545" s="270"/>
      <c r="BY545" s="270"/>
      <c r="BZ545" s="270"/>
      <c r="CA545" s="270"/>
      <c r="CB545" s="270"/>
      <c r="CC545" s="270"/>
      <c r="CD545" s="270"/>
      <c r="CE545"/>
      <c r="CF545" s="1396"/>
      <c r="CG545" s="1396"/>
      <c r="CH545" s="270"/>
      <c r="CI545" s="270"/>
      <c r="CJ545" s="270"/>
      <c r="CK545" s="270"/>
      <c r="CL545" s="270"/>
      <c r="CM545" s="270"/>
    </row>
    <row r="546" spans="1:91" ht="13.5" hidden="1" outlineLevel="3" thickBot="1" x14ac:dyDescent="0.25">
      <c r="A546" s="270"/>
      <c r="B546" s="271"/>
      <c r="C546" s="12"/>
      <c r="D546" s="1071"/>
      <c r="E546" s="1071"/>
      <c r="F546" s="1071"/>
      <c r="G546" s="1172"/>
      <c r="H546" s="271"/>
      <c r="I546" s="270"/>
      <c r="J546" s="270"/>
      <c r="K546" s="270"/>
      <c r="L546" s="270"/>
      <c r="M546" s="270"/>
      <c r="N546" s="270"/>
      <c r="O546" s="270"/>
      <c r="P546" s="1072"/>
      <c r="Q546" s="270"/>
      <c r="R546" s="270"/>
      <c r="S546" s="1072"/>
      <c r="T546" s="270"/>
      <c r="U546" s="1019"/>
      <c r="V546" s="1176"/>
      <c r="W546" s="1177"/>
      <c r="X546" s="1207"/>
      <c r="Y546" s="627"/>
      <c r="Z546" s="492"/>
      <c r="AA546" s="493" t="s">
        <v>769</v>
      </c>
      <c r="AB546" s="1069"/>
      <c r="AC546" s="1070"/>
      <c r="AD546" s="839"/>
      <c r="AE546" s="270" t="str">
        <f>IF(Z546="","",IF(Z546&gt;AB546,Y546,IF(Z546=AB546,"",AC546)))</f>
        <v/>
      </c>
      <c r="AF546" s="270" t="str">
        <f>IF(Z546="","",IF(Z546=AB546,Y546,""))</f>
        <v/>
      </c>
      <c r="AG546" s="270" t="str">
        <f>IF(Z546="","",IF(Z546=AB546,AC546,""))</f>
        <v/>
      </c>
      <c r="AH546" s="270" t="str">
        <f>IF(Z546="","",IF(Z546&lt;AB546,Y546,IF(Z546=AB546,"",AC546)))</f>
        <v/>
      </c>
      <c r="AI546" s="270" t="str">
        <f>IF(Z546="","",IF(Z546&gt;AB546,Y542,""))</f>
        <v/>
      </c>
      <c r="AJ546" s="270" t="str">
        <f>IF(Z546="","",IF(Z546&lt;AB546,AC542,""))</f>
        <v/>
      </c>
      <c r="AK546" s="270" t="str">
        <f>CONCATENATE(AE546,AH546)</f>
        <v/>
      </c>
      <c r="AL546" s="270"/>
      <c r="AM546" s="270"/>
      <c r="AN546" s="270"/>
      <c r="AO546" s="271"/>
      <c r="AP546" s="270"/>
      <c r="AQ546" s="270"/>
      <c r="AR546" s="270"/>
      <c r="AS546" s="270"/>
      <c r="AT546" s="270"/>
      <c r="AU546" s="270"/>
      <c r="AV546" s="270"/>
      <c r="AW546" s="270"/>
      <c r="AX546" s="270"/>
      <c r="AY546" s="1072"/>
      <c r="AZ546" s="270"/>
      <c r="BA546" s="270"/>
      <c r="BB546" s="1072"/>
      <c r="BC546" s="270"/>
      <c r="BD546" s="270"/>
      <c r="BE546" s="270"/>
      <c r="BF546" s="270"/>
      <c r="BG546" s="270"/>
      <c r="BH546" s="270"/>
      <c r="BI546" s="270"/>
      <c r="BJ546" s="270"/>
      <c r="BK546" s="270"/>
      <c r="BL546" s="270"/>
      <c r="BM546" s="270"/>
      <c r="BN546" s="270"/>
      <c r="BO546" s="270"/>
      <c r="BP546" s="270"/>
      <c r="BQ546" s="270"/>
      <c r="BR546" s="270"/>
      <c r="BS546" s="270"/>
      <c r="BT546" s="270"/>
      <c r="BU546" s="270"/>
      <c r="BV546" s="270"/>
      <c r="BW546" s="270"/>
      <c r="BX546" s="270"/>
      <c r="BY546" s="270"/>
      <c r="BZ546" s="270"/>
      <c r="CA546" s="270"/>
      <c r="CB546" s="270"/>
      <c r="CC546" s="270"/>
      <c r="CD546" s="270"/>
      <c r="CE546"/>
      <c r="CF546" s="1396"/>
      <c r="CG546" s="1396"/>
      <c r="CH546" s="270"/>
      <c r="CI546" s="270"/>
      <c r="CJ546" s="270"/>
      <c r="CK546" s="270"/>
      <c r="CL546" s="270"/>
      <c r="CM546" s="270"/>
    </row>
    <row r="547" spans="1:91" ht="13.5" hidden="1" outlineLevel="3" thickBot="1" x14ac:dyDescent="0.25">
      <c r="A547" s="270"/>
      <c r="B547" s="271"/>
      <c r="C547" s="12"/>
      <c r="D547" s="1071"/>
      <c r="E547" s="1071"/>
      <c r="F547" s="1071"/>
      <c r="G547" s="626"/>
      <c r="H547" s="271"/>
      <c r="I547" s="270"/>
      <c r="J547" s="270"/>
      <c r="K547" s="270"/>
      <c r="L547" s="270"/>
      <c r="M547" s="270"/>
      <c r="N547" s="270"/>
      <c r="O547" s="270"/>
      <c r="P547" s="1072"/>
      <c r="Q547" s="270"/>
      <c r="R547" s="270"/>
      <c r="S547" s="1072"/>
      <c r="T547" s="270"/>
      <c r="U547" s="1019"/>
      <c r="V547" s="1073"/>
      <c r="W547" s="1074"/>
      <c r="X547" s="1075" t="str">
        <f>N_Substitute</f>
        <v>Remplaçant</v>
      </c>
      <c r="Y547" s="627"/>
      <c r="Z547" s="492"/>
      <c r="AA547" s="1076"/>
      <c r="AB547" s="1069"/>
      <c r="AC547" s="1070"/>
      <c r="AD547" s="839"/>
      <c r="AE547" s="270"/>
      <c r="AF547" s="270"/>
      <c r="AG547" s="270"/>
      <c r="AH547" s="270"/>
      <c r="AI547" s="270"/>
      <c r="AJ547" s="270"/>
      <c r="AK547" s="270"/>
      <c r="AL547" s="270"/>
      <c r="AM547" s="270"/>
      <c r="AN547" s="270"/>
      <c r="AO547" s="271"/>
      <c r="AP547" s="270"/>
      <c r="AQ547" s="270"/>
      <c r="AR547" s="270"/>
      <c r="AS547" s="270"/>
      <c r="AT547" s="270"/>
      <c r="AU547" s="270"/>
      <c r="AV547" s="270"/>
      <c r="AW547" s="270"/>
      <c r="AX547" s="270"/>
      <c r="AY547" s="1072"/>
      <c r="AZ547" s="270"/>
      <c r="BA547" s="270"/>
      <c r="BB547" s="1072"/>
      <c r="BC547" s="270"/>
      <c r="BD547" s="270"/>
      <c r="BE547" s="270"/>
      <c r="BF547" s="270"/>
      <c r="BG547" s="270"/>
      <c r="BH547" s="270"/>
      <c r="BI547" s="270"/>
      <c r="BJ547" s="270"/>
      <c r="BK547" s="270"/>
      <c r="BL547" s="270"/>
      <c r="BM547" s="270"/>
      <c r="BN547" s="270"/>
      <c r="BO547" s="270"/>
      <c r="BP547" s="270"/>
      <c r="BQ547" s="270"/>
      <c r="BR547" s="270"/>
      <c r="BS547" s="270"/>
      <c r="BT547" s="270"/>
      <c r="BU547" s="270"/>
      <c r="BV547" s="270"/>
      <c r="BW547" s="270"/>
      <c r="BX547" s="270"/>
      <c r="BY547" s="270"/>
      <c r="BZ547" s="270"/>
      <c r="CA547" s="270"/>
      <c r="CB547" s="270"/>
      <c r="CC547" s="270"/>
      <c r="CD547" s="270"/>
      <c r="CE547"/>
      <c r="CF547" s="1396"/>
      <c r="CG547" s="1396"/>
      <c r="CH547" s="270"/>
      <c r="CI547" s="270"/>
      <c r="CJ547" s="270"/>
      <c r="CK547" s="270"/>
      <c r="CL547" s="270"/>
      <c r="CM547" s="270"/>
    </row>
    <row r="548" spans="1:91" ht="13.5" hidden="1" outlineLevel="3" thickBot="1" x14ac:dyDescent="0.25">
      <c r="A548" s="270"/>
      <c r="B548" s="271"/>
      <c r="C548" s="12"/>
      <c r="D548" s="1071"/>
      <c r="E548" s="1071"/>
      <c r="F548" s="1071"/>
      <c r="G548" s="626"/>
      <c r="H548" s="271"/>
      <c r="I548" s="270"/>
      <c r="J548" s="270"/>
      <c r="K548" s="270"/>
      <c r="L548" s="270"/>
      <c r="M548" s="270"/>
      <c r="N548" s="270"/>
      <c r="O548" s="270"/>
      <c r="P548" s="1072"/>
      <c r="Q548" s="270"/>
      <c r="R548" s="270"/>
      <c r="S548" s="1072"/>
      <c r="T548" s="270"/>
      <c r="U548" s="1019"/>
      <c r="V548" s="1119"/>
      <c r="W548" s="1120"/>
      <c r="X548" s="1075" t="str">
        <f>N_Substitute</f>
        <v>Remplaçant</v>
      </c>
      <c r="Y548" s="627"/>
      <c r="Z548" s="492"/>
      <c r="AA548" s="1121"/>
      <c r="AB548" s="1069"/>
      <c r="AC548" s="1070"/>
      <c r="AD548" s="839"/>
      <c r="AE548" s="270"/>
      <c r="AF548" s="270"/>
      <c r="AG548" s="270"/>
      <c r="AH548" s="270"/>
      <c r="AI548" s="270"/>
      <c r="AJ548" s="270"/>
      <c r="AK548" s="270"/>
      <c r="AL548" s="270"/>
      <c r="AM548" s="270"/>
      <c r="AN548" s="270"/>
      <c r="AO548" s="271"/>
      <c r="AP548" s="270"/>
      <c r="AQ548" s="270"/>
      <c r="AR548" s="270"/>
      <c r="AS548" s="270"/>
      <c r="AT548" s="270"/>
      <c r="AU548" s="270"/>
      <c r="AV548" s="270"/>
      <c r="AW548" s="270"/>
      <c r="AX548" s="270"/>
      <c r="AY548" s="1072"/>
      <c r="AZ548" s="270"/>
      <c r="BA548" s="270"/>
      <c r="BB548" s="1072"/>
      <c r="BC548" s="270"/>
      <c r="BD548" s="270"/>
      <c r="BE548" s="270"/>
      <c r="BF548" s="270"/>
      <c r="BG548" s="270"/>
      <c r="BH548" s="270"/>
      <c r="BI548" s="270"/>
      <c r="BJ548" s="270"/>
      <c r="BK548" s="270"/>
      <c r="BL548" s="270"/>
      <c r="BM548" s="270"/>
      <c r="BN548" s="270"/>
      <c r="BO548" s="270"/>
      <c r="BP548" s="270"/>
      <c r="BQ548" s="270"/>
      <c r="BR548" s="270"/>
      <c r="BS548" s="270"/>
      <c r="BT548" s="270"/>
      <c r="BU548" s="270"/>
      <c r="BV548" s="270"/>
      <c r="BW548" s="270"/>
      <c r="BX548" s="270"/>
      <c r="BY548" s="270"/>
      <c r="BZ548" s="270"/>
      <c r="CA548" s="270"/>
      <c r="CB548" s="270"/>
      <c r="CC548" s="270"/>
      <c r="CD548" s="270"/>
      <c r="CE548"/>
      <c r="CF548" s="1396"/>
      <c r="CG548" s="1396"/>
      <c r="CH548" s="270"/>
      <c r="CI548" s="270"/>
      <c r="CJ548" s="270"/>
      <c r="CK548" s="270"/>
      <c r="CL548" s="270"/>
      <c r="CM548" s="270"/>
    </row>
    <row r="549" spans="1:91" hidden="1" outlineLevel="2" collapsed="1" x14ac:dyDescent="0.2">
      <c r="A549" s="270"/>
      <c r="B549" s="271"/>
      <c r="C549" s="270"/>
      <c r="D549" s="270"/>
      <c r="E549" s="270"/>
      <c r="F549" s="270"/>
      <c r="G549" s="271"/>
      <c r="H549" s="270"/>
      <c r="I549" s="270"/>
      <c r="J549" s="270"/>
      <c r="K549" s="270"/>
      <c r="L549" s="270"/>
      <c r="M549" s="270"/>
      <c r="N549" s="270"/>
      <c r="O549" s="270"/>
      <c r="P549" s="270"/>
      <c r="Q549" s="270"/>
      <c r="R549" s="270"/>
      <c r="S549" s="270"/>
      <c r="T549" s="270"/>
      <c r="U549" s="1019" t="s">
        <v>1727</v>
      </c>
      <c r="V549" s="1179"/>
      <c r="W549" s="1177"/>
      <c r="X549" s="1207"/>
      <c r="Y549" s="1180" t="str">
        <f>G500</f>
        <v>Eq3</v>
      </c>
      <c r="Z549" s="1103" t="str">
        <f>IF(OR(ISNUMBER(Z550),ISNUMBER(Z551),ISNUMBER(Z552),ISNUMBER(Z553)),4-COUNTBLANK(AI550:AI553),"")</f>
        <v/>
      </c>
      <c r="AA549" s="1104" t="s">
        <v>769</v>
      </c>
      <c r="AB549" s="1103" t="str">
        <f>IF(OR(ISNUMBER(Z550),ISNUMBER(Z551),ISNUMBER(Z552),ISNUMBER(Z553)),4-COUNTBLANK(AJ550:AJ553),"")</f>
        <v/>
      </c>
      <c r="AC549" s="1211" t="str">
        <f>G505</f>
        <v>Eq8</v>
      </c>
      <c r="AD549" s="839"/>
      <c r="AE549" s="270" t="str">
        <f>IF(Z549="","",IF(Z549&gt;AB549,Y549,IF(Z549=AB549,IF(NoDrawWithWithdraw,IF(AL549=Y549,AC549,IF(AL549=AC549,Y549,"")),""),AC549)))</f>
        <v/>
      </c>
      <c r="AF549" s="270" t="str">
        <f>IF(Z549="","",IF(Z549=AB549,IF(NoDrawWithWithdraw,IF(AL549=Y549,"",IF(AL549=AC549,"",Y549)),Y549),""))</f>
        <v/>
      </c>
      <c r="AG549" s="270" t="str">
        <f>IF(Z549="","",IF(Z549=AB549,IF(NoDrawWithWithdraw,IF(AL549=Y549,"",IF(AL549=AC549,"",AC549)),AC549),""))</f>
        <v/>
      </c>
      <c r="AH549" s="270" t="str">
        <f>IF(Z549="","",IF(Z549&lt;AB549,Y549,IF(Z549=AB549,IF(NoDrawWithWithdraw,IF(AL549=Y549,Y549,IF(AL549=AC549,AC549,"")),""),AC549)))</f>
        <v/>
      </c>
      <c r="AI549" s="270" t="str">
        <f>IF(Z549="","",SUM(Z550:Z553))</f>
        <v/>
      </c>
      <c r="AJ549" s="270" t="str">
        <f>IF(Z549="","",SUM(AB550:AB553))</f>
        <v/>
      </c>
      <c r="AK549" s="270" t="str">
        <f>CONCATENATE(AE549,AH549)</f>
        <v/>
      </c>
      <c r="AL549" s="270" t="str">
        <f>IF(COUNTIF(Y550:Y553,WithdrawLabel)&gt;COUNTIF(AC550:AC553,WithdrawLabel),Y549,IF(COUNTIF(AC550:AC553,WithdrawLabel)&gt;COUNTIF(Y550:Y553,WithdrawLabel),AC549,""))</f>
        <v/>
      </c>
      <c r="AM549" s="270"/>
      <c r="AN549" s="270"/>
      <c r="AO549" s="575"/>
      <c r="AP549" s="270"/>
      <c r="AQ549" s="270"/>
      <c r="AR549" s="270"/>
      <c r="AS549" s="270"/>
      <c r="AT549" s="270"/>
      <c r="AU549" s="270"/>
      <c r="AV549" s="270"/>
      <c r="AW549" s="270"/>
      <c r="AX549" s="270"/>
      <c r="AY549" s="270"/>
      <c r="AZ549" s="270"/>
      <c r="BA549" s="270"/>
      <c r="BB549" s="270"/>
      <c r="BC549" s="270"/>
      <c r="BD549" s="270"/>
      <c r="BE549" s="270"/>
      <c r="BF549" s="270"/>
      <c r="BG549" s="270"/>
      <c r="BH549" s="270"/>
      <c r="BI549" s="270"/>
      <c r="BJ549" s="270"/>
      <c r="BK549" s="270"/>
      <c r="BL549" s="270"/>
      <c r="BM549" s="270"/>
      <c r="BN549" s="270"/>
      <c r="BO549" s="270"/>
      <c r="BP549" s="270"/>
      <c r="BQ549" s="270"/>
      <c r="BR549" s="270"/>
      <c r="BS549" s="270"/>
      <c r="BT549" s="270"/>
      <c r="BU549" s="270"/>
      <c r="BV549" s="270"/>
      <c r="BW549" s="270"/>
      <c r="BX549" s="270"/>
      <c r="BY549" s="270"/>
      <c r="BZ549" s="270"/>
      <c r="CA549" s="270"/>
      <c r="CB549" s="270"/>
      <c r="CC549" s="270"/>
      <c r="CD549" s="270"/>
      <c r="CE549"/>
      <c r="CF549" s="1396"/>
      <c r="CG549" s="1396"/>
      <c r="CH549" s="270"/>
      <c r="CI549" s="270"/>
      <c r="CJ549" s="270"/>
      <c r="CK549" s="270"/>
      <c r="CL549" s="270"/>
      <c r="CM549" s="270"/>
    </row>
    <row r="550" spans="1:91" ht="13.5" hidden="1" outlineLevel="3" thickBot="1" x14ac:dyDescent="0.25">
      <c r="A550" s="270"/>
      <c r="B550" s="271"/>
      <c r="C550" s="12"/>
      <c r="D550" s="1071"/>
      <c r="E550" s="1071"/>
      <c r="F550" s="1071"/>
      <c r="G550" s="1172"/>
      <c r="H550" s="271"/>
      <c r="I550" s="270"/>
      <c r="J550" s="270"/>
      <c r="K550" s="270"/>
      <c r="L550" s="270"/>
      <c r="M550" s="270"/>
      <c r="N550" s="270"/>
      <c r="O550" s="270"/>
      <c r="P550" s="1072"/>
      <c r="Q550" s="270"/>
      <c r="R550" s="270"/>
      <c r="S550" s="1072"/>
      <c r="T550" s="270"/>
      <c r="U550" s="1019"/>
      <c r="V550" s="1176"/>
      <c r="W550" s="1177"/>
      <c r="X550" s="1207"/>
      <c r="Y550" s="627"/>
      <c r="Z550" s="492"/>
      <c r="AA550" s="493" t="s">
        <v>769</v>
      </c>
      <c r="AB550" s="1069"/>
      <c r="AC550" s="1070"/>
      <c r="AD550" s="839"/>
      <c r="AE550" s="270" t="str">
        <f>IF(Z550="","",IF(Z550&gt;AB550,Y550,IF(Z550=AB550,"",AC550)))</f>
        <v/>
      </c>
      <c r="AF550" s="270" t="str">
        <f>IF(Z550="","",IF(Z550=AB550,Y550,""))</f>
        <v/>
      </c>
      <c r="AG550" s="270" t="str">
        <f>IF(Z550="","",IF(Z550=AB550,AC550,""))</f>
        <v/>
      </c>
      <c r="AH550" s="270" t="str">
        <f>IF(Z550="","",IF(Z550&lt;AB550,Y550,IF(Z550=AB550,"",AC550)))</f>
        <v/>
      </c>
      <c r="AI550" s="270" t="str">
        <f>IF(Z550="","",IF(Z550&gt;AB550,Y549,""))</f>
        <v/>
      </c>
      <c r="AJ550" s="270" t="str">
        <f>IF(Z550="","",IF(Z550&lt;AB550,AC549,""))</f>
        <v/>
      </c>
      <c r="AK550" s="270" t="str">
        <f>CONCATENATE(AE550,AH550)</f>
        <v/>
      </c>
      <c r="AL550" s="270"/>
      <c r="AM550" s="270"/>
      <c r="AN550" s="270"/>
      <c r="AO550" s="271"/>
      <c r="AP550" s="270"/>
      <c r="AQ550" s="270"/>
      <c r="AR550" s="270"/>
      <c r="AS550" s="270"/>
      <c r="AT550" s="270"/>
      <c r="AU550" s="270"/>
      <c r="AV550" s="270"/>
      <c r="AW550" s="270"/>
      <c r="AX550" s="270"/>
      <c r="AY550" s="1072"/>
      <c r="AZ550" s="270"/>
      <c r="BA550" s="270"/>
      <c r="BB550" s="1072"/>
      <c r="BC550" s="270"/>
      <c r="BD550" s="270"/>
      <c r="BE550" s="270"/>
      <c r="BF550" s="270"/>
      <c r="BG550" s="270"/>
      <c r="BH550" s="270"/>
      <c r="BI550" s="270"/>
      <c r="BJ550" s="270"/>
      <c r="BK550" s="270"/>
      <c r="BL550" s="270"/>
      <c r="BM550" s="270"/>
      <c r="BN550" s="270"/>
      <c r="BO550" s="270"/>
      <c r="BP550" s="270"/>
      <c r="BQ550" s="270"/>
      <c r="BR550" s="270"/>
      <c r="BS550" s="270"/>
      <c r="BT550" s="270"/>
      <c r="BU550" s="270"/>
      <c r="BV550" s="270"/>
      <c r="BW550" s="270"/>
      <c r="BX550" s="270"/>
      <c r="BY550" s="270"/>
      <c r="BZ550" s="270"/>
      <c r="CA550" s="270"/>
      <c r="CB550" s="270"/>
      <c r="CC550" s="270"/>
      <c r="CD550" s="270"/>
      <c r="CE550"/>
      <c r="CF550" s="1396"/>
      <c r="CG550" s="1396"/>
      <c r="CH550" s="270"/>
      <c r="CI550" s="270"/>
      <c r="CJ550" s="270"/>
      <c r="CK550" s="270"/>
      <c r="CL550" s="270"/>
      <c r="CM550" s="270"/>
    </row>
    <row r="551" spans="1:91" ht="13.5" hidden="1" outlineLevel="3" thickBot="1" x14ac:dyDescent="0.25">
      <c r="A551" s="270"/>
      <c r="B551" s="271"/>
      <c r="C551" s="12"/>
      <c r="D551" s="1071"/>
      <c r="E551" s="1071"/>
      <c r="F551" s="1071"/>
      <c r="G551" s="1172"/>
      <c r="H551" s="271"/>
      <c r="I551" s="270"/>
      <c r="J551" s="270"/>
      <c r="K551" s="270"/>
      <c r="L551" s="270"/>
      <c r="M551" s="270"/>
      <c r="N551" s="270"/>
      <c r="O551" s="270"/>
      <c r="P551" s="1072"/>
      <c r="Q551" s="270"/>
      <c r="R551" s="270"/>
      <c r="S551" s="1072"/>
      <c r="T551" s="270"/>
      <c r="U551" s="1019"/>
      <c r="V551" s="1176"/>
      <c r="W551" s="1177"/>
      <c r="X551" s="1207"/>
      <c r="Y551" s="627"/>
      <c r="Z551" s="492"/>
      <c r="AA551" s="493" t="s">
        <v>769</v>
      </c>
      <c r="AB551" s="1069"/>
      <c r="AC551" s="1070"/>
      <c r="AD551" s="839"/>
      <c r="AE551" s="270" t="str">
        <f>IF(Z551="","",IF(Z551&gt;AB551,Y551,IF(Z551=AB551,"",AC551)))</f>
        <v/>
      </c>
      <c r="AF551" s="270" t="str">
        <f>IF(Z551="","",IF(Z551=AB551,Y551,""))</f>
        <v/>
      </c>
      <c r="AG551" s="270" t="str">
        <f>IF(Z551="","",IF(Z551=AB551,AC551,""))</f>
        <v/>
      </c>
      <c r="AH551" s="270" t="str">
        <f>IF(Z551="","",IF(Z551&lt;AB551,Y551,IF(Z551=AB551,"",AC551)))</f>
        <v/>
      </c>
      <c r="AI551" s="270" t="str">
        <f>IF(Z551="","",IF(Z551&gt;AB551,Y549,""))</f>
        <v/>
      </c>
      <c r="AJ551" s="270" t="str">
        <f>IF(Z551="","",IF(Z551&lt;AB551,AC549,""))</f>
        <v/>
      </c>
      <c r="AK551" s="270" t="str">
        <f>CONCATENATE(AE551,AH551)</f>
        <v/>
      </c>
      <c r="AL551" s="270"/>
      <c r="AM551" s="270"/>
      <c r="AN551" s="270"/>
      <c r="AO551" s="271"/>
      <c r="AP551" s="270"/>
      <c r="AQ551" s="270"/>
      <c r="AR551" s="270"/>
      <c r="AS551" s="270"/>
      <c r="AT551" s="270"/>
      <c r="AU551" s="270"/>
      <c r="AV551" s="270"/>
      <c r="AW551" s="270"/>
      <c r="AX551" s="270"/>
      <c r="AY551" s="1072"/>
      <c r="AZ551" s="270"/>
      <c r="BA551" s="270"/>
      <c r="BB551" s="1072"/>
      <c r="BC551" s="270"/>
      <c r="BD551" s="270"/>
      <c r="BE551" s="270"/>
      <c r="BF551" s="270"/>
      <c r="BG551" s="270"/>
      <c r="BH551" s="270"/>
      <c r="BI551" s="270"/>
      <c r="BJ551" s="270"/>
      <c r="BK551" s="270"/>
      <c r="BL551" s="270"/>
      <c r="BM551" s="270"/>
      <c r="BN551" s="270"/>
      <c r="BO551" s="270"/>
      <c r="BP551" s="270"/>
      <c r="BQ551" s="270"/>
      <c r="BR551" s="270"/>
      <c r="BS551" s="270"/>
      <c r="BT551" s="270"/>
      <c r="BU551" s="270"/>
      <c r="BV551" s="270"/>
      <c r="BW551" s="270"/>
      <c r="BX551" s="270"/>
      <c r="BY551" s="270"/>
      <c r="BZ551" s="270"/>
      <c r="CA551" s="270"/>
      <c r="CB551" s="270"/>
      <c r="CC551" s="270"/>
      <c r="CD551" s="270"/>
      <c r="CE551"/>
      <c r="CF551" s="1396"/>
      <c r="CG551" s="1396"/>
      <c r="CH551" s="270"/>
      <c r="CI551" s="270"/>
      <c r="CJ551" s="270"/>
      <c r="CK551" s="270"/>
      <c r="CL551" s="270"/>
      <c r="CM551" s="270"/>
    </row>
    <row r="552" spans="1:91" ht="13.5" hidden="1" outlineLevel="3" thickBot="1" x14ac:dyDescent="0.25">
      <c r="A552" s="270"/>
      <c r="B552" s="271"/>
      <c r="C552" s="12"/>
      <c r="D552" s="1071"/>
      <c r="E552" s="1071"/>
      <c r="F552" s="1071"/>
      <c r="G552" s="1172"/>
      <c r="H552" s="271"/>
      <c r="I552" s="270"/>
      <c r="J552" s="270"/>
      <c r="K552" s="270"/>
      <c r="L552" s="270"/>
      <c r="M552" s="270"/>
      <c r="N552" s="270"/>
      <c r="O552" s="270"/>
      <c r="P552" s="1072"/>
      <c r="Q552" s="270"/>
      <c r="R552" s="270"/>
      <c r="S552" s="1072"/>
      <c r="T552" s="270"/>
      <c r="U552" s="1019"/>
      <c r="V552" s="1176"/>
      <c r="W552" s="1177"/>
      <c r="X552" s="1207"/>
      <c r="Y552" s="627"/>
      <c r="Z552" s="492"/>
      <c r="AA552" s="493" t="s">
        <v>769</v>
      </c>
      <c r="AB552" s="1069"/>
      <c r="AC552" s="1070"/>
      <c r="AD552" s="839"/>
      <c r="AE552" s="270" t="str">
        <f>IF(Z552="","",IF(Z552&gt;AB552,Y552,IF(Z552=AB552,"",AC552)))</f>
        <v/>
      </c>
      <c r="AF552" s="270" t="str">
        <f>IF(Z552="","",IF(Z552=AB552,Y552,""))</f>
        <v/>
      </c>
      <c r="AG552" s="270" t="str">
        <f>IF(Z552="","",IF(Z552=AB552,AC552,""))</f>
        <v/>
      </c>
      <c r="AH552" s="270" t="str">
        <f>IF(Z552="","",IF(Z552&lt;AB552,Y552,IF(Z552=AB552,"",AC552)))</f>
        <v/>
      </c>
      <c r="AI552" s="270" t="str">
        <f>IF(Z552="","",IF(Z552&gt;AB552,Y549,""))</f>
        <v/>
      </c>
      <c r="AJ552" s="270" t="str">
        <f>IF(Z552="","",IF(Z552&lt;AB552,AC549,""))</f>
        <v/>
      </c>
      <c r="AK552" s="270" t="str">
        <f>CONCATENATE(AE552,AH552)</f>
        <v/>
      </c>
      <c r="AL552" s="270"/>
      <c r="AM552" s="270"/>
      <c r="AN552" s="270"/>
      <c r="AO552" s="271"/>
      <c r="AP552" s="270"/>
      <c r="AQ552" s="270"/>
      <c r="AR552" s="270"/>
      <c r="AS552" s="270"/>
      <c r="AT552" s="270"/>
      <c r="AU552" s="270"/>
      <c r="AV552" s="270"/>
      <c r="AW552" s="270"/>
      <c r="AX552" s="270"/>
      <c r="AY552" s="1072"/>
      <c r="AZ552" s="270"/>
      <c r="BA552" s="270"/>
      <c r="BB552" s="1072"/>
      <c r="BC552" s="270"/>
      <c r="BD552" s="270"/>
      <c r="BE552" s="270"/>
      <c r="BF552" s="270"/>
      <c r="BG552" s="270"/>
      <c r="BH552" s="270"/>
      <c r="BI552" s="270"/>
      <c r="BJ552" s="270"/>
      <c r="BK552" s="270"/>
      <c r="BL552" s="270"/>
      <c r="BM552" s="270"/>
      <c r="BN552" s="270"/>
      <c r="BO552" s="270"/>
      <c r="BP552" s="270"/>
      <c r="BQ552" s="270"/>
      <c r="BR552" s="270"/>
      <c r="BS552" s="270"/>
      <c r="BT552" s="270"/>
      <c r="BU552" s="270"/>
      <c r="BV552" s="270"/>
      <c r="BW552" s="270"/>
      <c r="BX552" s="270"/>
      <c r="BY552" s="270"/>
      <c r="BZ552" s="270"/>
      <c r="CA552" s="270"/>
      <c r="CB552" s="270"/>
      <c r="CC552" s="270"/>
      <c r="CD552" s="270"/>
      <c r="CE552"/>
      <c r="CF552" s="1396"/>
      <c r="CG552" s="1396"/>
      <c r="CH552" s="270"/>
      <c r="CI552" s="270"/>
      <c r="CJ552" s="270"/>
      <c r="CK552" s="270"/>
      <c r="CL552" s="270"/>
      <c r="CM552" s="270"/>
    </row>
    <row r="553" spans="1:91" ht="13.5" hidden="1" outlineLevel="3" thickBot="1" x14ac:dyDescent="0.25">
      <c r="A553" s="270"/>
      <c r="B553" s="271"/>
      <c r="C553" s="12"/>
      <c r="D553" s="1071"/>
      <c r="E553" s="1071"/>
      <c r="F553" s="1071"/>
      <c r="G553" s="1172"/>
      <c r="H553" s="271"/>
      <c r="I553" s="270"/>
      <c r="J553" s="270"/>
      <c r="K553" s="270"/>
      <c r="L553" s="270"/>
      <c r="M553" s="270"/>
      <c r="N553" s="270"/>
      <c r="O553" s="270"/>
      <c r="P553" s="1072"/>
      <c r="Q553" s="270"/>
      <c r="R553" s="270"/>
      <c r="S553" s="1072"/>
      <c r="T553" s="270"/>
      <c r="U553" s="1019"/>
      <c r="V553" s="1176"/>
      <c r="W553" s="1177"/>
      <c r="X553" s="1207"/>
      <c r="Y553" s="627"/>
      <c r="Z553" s="492"/>
      <c r="AA553" s="493" t="s">
        <v>769</v>
      </c>
      <c r="AB553" s="1069"/>
      <c r="AC553" s="1070"/>
      <c r="AD553" s="839"/>
      <c r="AE553" s="270" t="str">
        <f>IF(Z553="","",IF(Z553&gt;AB553,Y553,IF(Z553=AB553,"",AC553)))</f>
        <v/>
      </c>
      <c r="AF553" s="270" t="str">
        <f>IF(Z553="","",IF(Z553=AB553,Y553,""))</f>
        <v/>
      </c>
      <c r="AG553" s="270" t="str">
        <f>IF(Z553="","",IF(Z553=AB553,AC553,""))</f>
        <v/>
      </c>
      <c r="AH553" s="270" t="str">
        <f>IF(Z553="","",IF(Z553&lt;AB553,Y553,IF(Z553=AB553,"",AC553)))</f>
        <v/>
      </c>
      <c r="AI553" s="270" t="str">
        <f>IF(Z553="","",IF(Z553&gt;AB553,Y549,""))</f>
        <v/>
      </c>
      <c r="AJ553" s="270" t="str">
        <f>IF(Z553="","",IF(Z553&lt;AB553,AC549,""))</f>
        <v/>
      </c>
      <c r="AK553" s="270" t="str">
        <f>CONCATENATE(AE553,AH553)</f>
        <v/>
      </c>
      <c r="AL553" s="270"/>
      <c r="AM553" s="270"/>
      <c r="AN553" s="270"/>
      <c r="AO553" s="271"/>
      <c r="AP553" s="270"/>
      <c r="AQ553" s="270"/>
      <c r="AR553" s="270"/>
      <c r="AS553" s="270"/>
      <c r="AT553" s="270"/>
      <c r="AU553" s="270"/>
      <c r="AV553" s="270"/>
      <c r="AW553" s="270"/>
      <c r="AX553" s="270"/>
      <c r="AY553" s="1072"/>
      <c r="AZ553" s="270"/>
      <c r="BA553" s="270"/>
      <c r="BB553" s="1072"/>
      <c r="BC553" s="270"/>
      <c r="BD553" s="270"/>
      <c r="BE553" s="270"/>
      <c r="BF553" s="270"/>
      <c r="BG553" s="270"/>
      <c r="BH553" s="270"/>
      <c r="BI553" s="270"/>
      <c r="BJ553" s="270"/>
      <c r="BK553" s="270"/>
      <c r="BL553" s="270"/>
      <c r="BM553" s="270"/>
      <c r="BN553" s="270"/>
      <c r="BO553" s="270"/>
      <c r="BP553" s="270"/>
      <c r="BQ553" s="270"/>
      <c r="BR553" s="270"/>
      <c r="BS553" s="270"/>
      <c r="BT553" s="270"/>
      <c r="BU553" s="270"/>
      <c r="BV553" s="270"/>
      <c r="BW553" s="270"/>
      <c r="BX553" s="270"/>
      <c r="BY553" s="270"/>
      <c r="BZ553" s="270"/>
      <c r="CA553" s="270"/>
      <c r="CB553" s="270"/>
      <c r="CC553" s="270"/>
      <c r="CD553" s="270"/>
      <c r="CE553"/>
      <c r="CF553" s="1396"/>
      <c r="CG553" s="1396"/>
      <c r="CH553" s="270"/>
      <c r="CI553" s="270"/>
      <c r="CJ553" s="270"/>
      <c r="CK553" s="270"/>
      <c r="CL553" s="270"/>
      <c r="CM553" s="270"/>
    </row>
    <row r="554" spans="1:91" ht="13.5" hidden="1" outlineLevel="3" thickBot="1" x14ac:dyDescent="0.25">
      <c r="A554" s="270"/>
      <c r="B554" s="271"/>
      <c r="C554" s="12"/>
      <c r="D554" s="1071"/>
      <c r="E554" s="1071"/>
      <c r="F554" s="1071"/>
      <c r="G554" s="626"/>
      <c r="H554" s="271"/>
      <c r="I554" s="270"/>
      <c r="J554" s="270"/>
      <c r="K554" s="270"/>
      <c r="L554" s="270"/>
      <c r="M554" s="270"/>
      <c r="N554" s="270"/>
      <c r="O554" s="270"/>
      <c r="P554" s="1072"/>
      <c r="Q554" s="270"/>
      <c r="R554" s="270"/>
      <c r="S554" s="1072"/>
      <c r="T554" s="270"/>
      <c r="U554" s="1019"/>
      <c r="V554" s="1073"/>
      <c r="W554" s="1074"/>
      <c r="X554" s="1075" t="str">
        <f>N_Substitute</f>
        <v>Remplaçant</v>
      </c>
      <c r="Y554" s="627"/>
      <c r="Z554" s="492"/>
      <c r="AA554" s="1076"/>
      <c r="AB554" s="1069"/>
      <c r="AC554" s="1070"/>
      <c r="AD554" s="839"/>
      <c r="AE554" s="270"/>
      <c r="AF554" s="270"/>
      <c r="AG554" s="270"/>
      <c r="AH554" s="270"/>
      <c r="AI554" s="270"/>
      <c r="AJ554" s="270"/>
      <c r="AK554" s="270"/>
      <c r="AL554" s="270"/>
      <c r="AM554" s="270"/>
      <c r="AN554" s="270"/>
      <c r="AO554" s="271"/>
      <c r="AP554" s="270"/>
      <c r="AQ554" s="270"/>
      <c r="AR554" s="270"/>
      <c r="AS554" s="270"/>
      <c r="AT554" s="270"/>
      <c r="AU554" s="270"/>
      <c r="AV554" s="270"/>
      <c r="AW554" s="270"/>
      <c r="AX554" s="270"/>
      <c r="AY554" s="1072"/>
      <c r="AZ554" s="270"/>
      <c r="BA554" s="270"/>
      <c r="BB554" s="1072"/>
      <c r="BC554" s="270"/>
      <c r="BD554" s="270"/>
      <c r="BE554" s="270"/>
      <c r="BF554" s="270"/>
      <c r="BG554" s="270"/>
      <c r="BH554" s="270"/>
      <c r="BI554" s="270"/>
      <c r="BJ554" s="270"/>
      <c r="BK554" s="270"/>
      <c r="BL554" s="270"/>
      <c r="BM554" s="270"/>
      <c r="BN554" s="270"/>
      <c r="BO554" s="270"/>
      <c r="BP554" s="270"/>
      <c r="BQ554" s="270"/>
      <c r="BR554" s="270"/>
      <c r="BS554" s="270"/>
      <c r="BT554" s="270"/>
      <c r="BU554" s="270"/>
      <c r="BV554" s="270"/>
      <c r="BW554" s="270"/>
      <c r="BX554" s="270"/>
      <c r="BY554" s="270"/>
      <c r="BZ554" s="270"/>
      <c r="CA554" s="270"/>
      <c r="CB554" s="270"/>
      <c r="CC554" s="270"/>
      <c r="CD554" s="270"/>
      <c r="CE554"/>
      <c r="CF554" s="1396"/>
      <c r="CG554" s="1396"/>
      <c r="CH554" s="270"/>
      <c r="CI554" s="270"/>
      <c r="CJ554" s="270"/>
      <c r="CK554" s="270"/>
      <c r="CL554" s="270"/>
      <c r="CM554" s="270"/>
    </row>
    <row r="555" spans="1:91" ht="13.5" hidden="1" outlineLevel="3" thickBot="1" x14ac:dyDescent="0.25">
      <c r="A555" s="270"/>
      <c r="B555" s="271"/>
      <c r="C555" s="12"/>
      <c r="D555" s="1071"/>
      <c r="E555" s="1071"/>
      <c r="F555" s="1071"/>
      <c r="G555" s="626"/>
      <c r="H555" s="271"/>
      <c r="I555" s="270"/>
      <c r="J555" s="270"/>
      <c r="K555" s="270"/>
      <c r="L555" s="270"/>
      <c r="M555" s="270"/>
      <c r="N555" s="270"/>
      <c r="O555" s="270"/>
      <c r="P555" s="1072"/>
      <c r="Q555" s="270"/>
      <c r="R555" s="270"/>
      <c r="S555" s="1072"/>
      <c r="T555" s="270"/>
      <c r="U555" s="1019"/>
      <c r="V555" s="1119"/>
      <c r="W555" s="1120"/>
      <c r="X555" s="1075" t="str">
        <f>N_Substitute</f>
        <v>Remplaçant</v>
      </c>
      <c r="Y555" s="627"/>
      <c r="Z555" s="492"/>
      <c r="AA555" s="1121"/>
      <c r="AB555" s="1069"/>
      <c r="AC555" s="1070"/>
      <c r="AD555" s="839"/>
      <c r="AE555" s="270"/>
      <c r="AF555" s="270"/>
      <c r="AG555" s="270"/>
      <c r="AH555" s="270"/>
      <c r="AI555" s="270"/>
      <c r="AJ555" s="270"/>
      <c r="AK555" s="270"/>
      <c r="AL555" s="270"/>
      <c r="AM555" s="270"/>
      <c r="AN555" s="270"/>
      <c r="AO555" s="271"/>
      <c r="AP555" s="270"/>
      <c r="AQ555" s="270"/>
      <c r="AR555" s="270"/>
      <c r="AS555" s="270"/>
      <c r="AT555" s="270"/>
      <c r="AU555" s="270"/>
      <c r="AV555" s="270"/>
      <c r="AW555" s="270"/>
      <c r="AX555" s="270"/>
      <c r="AY555" s="1072"/>
      <c r="AZ555" s="270"/>
      <c r="BA555" s="270"/>
      <c r="BB555" s="1072"/>
      <c r="BC555" s="270"/>
      <c r="BD555" s="270"/>
      <c r="BE555" s="270"/>
      <c r="BF555" s="270"/>
      <c r="BG555" s="270"/>
      <c r="BH555" s="270"/>
      <c r="BI555" s="270"/>
      <c r="BJ555" s="270"/>
      <c r="BK555" s="270"/>
      <c r="BL555" s="270"/>
      <c r="BM555" s="270"/>
      <c r="BN555" s="270"/>
      <c r="BO555" s="270"/>
      <c r="BP555" s="270"/>
      <c r="BQ555" s="270"/>
      <c r="BR555" s="270"/>
      <c r="BS555" s="270"/>
      <c r="BT555" s="270"/>
      <c r="BU555" s="270"/>
      <c r="BV555" s="270"/>
      <c r="BW555" s="270"/>
      <c r="BX555" s="270"/>
      <c r="BY555" s="270"/>
      <c r="BZ555" s="270"/>
      <c r="CA555" s="270"/>
      <c r="CB555" s="270"/>
      <c r="CC555" s="270"/>
      <c r="CD555" s="270"/>
      <c r="CE555"/>
      <c r="CF555" s="1396"/>
      <c r="CG555" s="1396"/>
      <c r="CH555" s="270"/>
      <c r="CI555" s="270"/>
      <c r="CJ555" s="270"/>
      <c r="CK555" s="270"/>
      <c r="CL555" s="270"/>
      <c r="CM555" s="270"/>
    </row>
    <row r="556" spans="1:91" ht="13.5" hidden="1" outlineLevel="2" collapsed="1" thickBot="1" x14ac:dyDescent="0.25">
      <c r="A556" s="270"/>
      <c r="B556" s="271"/>
      <c r="C556" s="270"/>
      <c r="D556" s="270"/>
      <c r="E556" s="270"/>
      <c r="F556" s="270"/>
      <c r="G556" s="271"/>
      <c r="H556" s="270"/>
      <c r="I556" s="270"/>
      <c r="J556" s="270"/>
      <c r="K556" s="270"/>
      <c r="L556" s="270"/>
      <c r="M556" s="270"/>
      <c r="N556" s="270"/>
      <c r="O556" s="270"/>
      <c r="P556" s="270"/>
      <c r="Q556" s="270"/>
      <c r="R556" s="270"/>
      <c r="S556" s="270"/>
      <c r="T556" s="270"/>
      <c r="U556" s="1019" t="s">
        <v>1727</v>
      </c>
      <c r="V556" s="1187"/>
      <c r="W556" s="1195"/>
      <c r="X556" s="1534"/>
      <c r="Y556" s="1180" t="str">
        <f>G503</f>
        <v>Eq6</v>
      </c>
      <c r="Z556" s="1103" t="str">
        <f>IF(OR(ISNUMBER(Z557),ISNUMBER(Z558),ISNUMBER(Z559),ISNUMBER(Z560)),4-COUNTBLANK(AI557:AI560),"")</f>
        <v/>
      </c>
      <c r="AA556" s="1104" t="s">
        <v>769</v>
      </c>
      <c r="AB556" s="1103" t="str">
        <f>IF(OR(ISNUMBER(Z557),ISNUMBER(Z558),ISNUMBER(Z559),ISNUMBER(Z560)),4-COUNTBLANK(AJ557:AJ560),"")</f>
        <v/>
      </c>
      <c r="AC556" s="1181" t="str">
        <f>G504</f>
        <v>Eq7</v>
      </c>
      <c r="AD556" s="839"/>
      <c r="AE556" s="270" t="str">
        <f>IF(Z556="","",IF(Z556&gt;AB556,Y556,IF(Z556=AB556,IF(NoDrawWithWithdraw,IF(AL556=Y556,AC556,IF(AL556=AC556,Y556,"")),""),AC556)))</f>
        <v/>
      </c>
      <c r="AF556" s="270" t="str">
        <f>IF(Z556="","",IF(Z556=AB556,IF(NoDrawWithWithdraw,IF(AL556=Y556,"",IF(AL556=AC556,"",Y556)),Y556),""))</f>
        <v/>
      </c>
      <c r="AG556" s="270" t="str">
        <f>IF(Z556="","",IF(Z556=AB556,IF(NoDrawWithWithdraw,IF(AL556=Y556,"",IF(AL556=AC556,"",AC556)),AC556),""))</f>
        <v/>
      </c>
      <c r="AH556" s="270" t="str">
        <f>IF(Z556="","",IF(Z556&lt;AB556,Y556,IF(Z556=AB556,IF(NoDrawWithWithdraw,IF(AL556=Y556,Y556,IF(AL556=AC556,AC556,"")),""),AC556)))</f>
        <v/>
      </c>
      <c r="AI556" s="270" t="str">
        <f>IF(Z556="","",SUM(Z557:Z560))</f>
        <v/>
      </c>
      <c r="AJ556" s="270" t="str">
        <f>IF(Z556="","",SUM(AB557:AB560))</f>
        <v/>
      </c>
      <c r="AK556" s="270" t="str">
        <f>CONCATENATE(AE556,AH556)</f>
        <v/>
      </c>
      <c r="AL556" s="270" t="str">
        <f>IF(COUNTIF(Y557:Y560,WithdrawLabel)&gt;COUNTIF(AC557:AC560,WithdrawLabel),Y556,IF(COUNTIF(AC557:AC560,WithdrawLabel)&gt;COUNTIF(Y557:Y560,WithdrawLabel),AC556,""))</f>
        <v/>
      </c>
      <c r="AM556" s="270"/>
      <c r="AN556" s="270"/>
      <c r="AO556" s="575"/>
      <c r="AP556" s="270"/>
      <c r="AQ556" s="270"/>
      <c r="AR556" s="270"/>
      <c r="AS556" s="270"/>
      <c r="AT556" s="270"/>
      <c r="AU556" s="270"/>
      <c r="AV556" s="270"/>
      <c r="AW556" s="270"/>
      <c r="AX556" s="270"/>
      <c r="AY556" s="270"/>
      <c r="AZ556" s="270"/>
      <c r="BA556" s="270"/>
      <c r="BB556" s="270"/>
      <c r="BC556" s="270"/>
      <c r="BD556" s="270"/>
      <c r="BE556" s="270"/>
      <c r="BF556" s="270"/>
      <c r="BG556" s="270"/>
      <c r="BH556" s="270"/>
      <c r="BI556" s="270"/>
      <c r="BJ556" s="270"/>
      <c r="BK556" s="270"/>
      <c r="BL556" s="270"/>
      <c r="BM556" s="270"/>
      <c r="BN556" s="270"/>
      <c r="BO556" s="270"/>
      <c r="BP556" s="270"/>
      <c r="BQ556" s="270"/>
      <c r="BR556" s="270"/>
      <c r="BS556" s="270"/>
      <c r="BT556" s="270"/>
      <c r="BU556" s="270"/>
      <c r="BV556" s="270"/>
      <c r="BW556" s="270"/>
      <c r="BX556" s="270"/>
      <c r="BY556" s="270"/>
      <c r="BZ556" s="270"/>
      <c r="CA556" s="270"/>
      <c r="CB556" s="270"/>
      <c r="CC556" s="270"/>
      <c r="CD556" s="270"/>
      <c r="CE556"/>
      <c r="CF556" s="1396"/>
      <c r="CG556" s="1396"/>
      <c r="CH556" s="270"/>
      <c r="CI556" s="270"/>
      <c r="CJ556" s="270"/>
      <c r="CK556" s="270"/>
      <c r="CL556" s="270"/>
      <c r="CM556" s="270"/>
    </row>
    <row r="557" spans="1:91" ht="13.5" hidden="1" outlineLevel="3" thickBot="1" x14ac:dyDescent="0.25">
      <c r="A557" s="270"/>
      <c r="B557" s="271"/>
      <c r="C557" s="12"/>
      <c r="D557" s="1071"/>
      <c r="E557" s="1071"/>
      <c r="F557" s="1071"/>
      <c r="G557" s="1172"/>
      <c r="H557" s="271"/>
      <c r="I557" s="270"/>
      <c r="J557" s="270"/>
      <c r="K557" s="270"/>
      <c r="L557" s="270"/>
      <c r="M557" s="270"/>
      <c r="N557" s="270"/>
      <c r="O557" s="270"/>
      <c r="P557" s="1072"/>
      <c r="Q557" s="270"/>
      <c r="R557" s="270"/>
      <c r="S557" s="1072"/>
      <c r="T557" s="270"/>
      <c r="U557" s="1019"/>
      <c r="V557" s="1118"/>
      <c r="W557" s="1177"/>
      <c r="X557" s="1212"/>
      <c r="Y557" s="627"/>
      <c r="Z557" s="492"/>
      <c r="AA557" s="493" t="s">
        <v>769</v>
      </c>
      <c r="AB557" s="1069"/>
      <c r="AC557" s="1070"/>
      <c r="AD557" s="839"/>
      <c r="AE557" s="270" t="str">
        <f>IF(Z557="","",IF(Z557&gt;AB557,Y557,IF(Z557=AB557,"",AC557)))</f>
        <v/>
      </c>
      <c r="AF557" s="270" t="str">
        <f>IF(Z557="","",IF(Z557=AB557,Y557,""))</f>
        <v/>
      </c>
      <c r="AG557" s="270" t="str">
        <f>IF(Z557="","",IF(Z557=AB557,AC557,""))</f>
        <v/>
      </c>
      <c r="AH557" s="270" t="str">
        <f>IF(Z557="","",IF(Z557&lt;AB557,Y557,IF(Z557=AB557,"",AC557)))</f>
        <v/>
      </c>
      <c r="AI557" s="270" t="str">
        <f>IF(Z557="","",IF(Z557&gt;AB557,Y556,""))</f>
        <v/>
      </c>
      <c r="AJ557" s="270" t="str">
        <f>IF(Z557="","",IF(Z557&lt;AB557,AC556,""))</f>
        <v/>
      </c>
      <c r="AK557" s="270" t="str">
        <f>CONCATENATE(AE557,AH557)</f>
        <v/>
      </c>
      <c r="AL557" s="270"/>
      <c r="AM557" s="270"/>
      <c r="AN557" s="270"/>
      <c r="AO557" s="271"/>
      <c r="AP557" s="270"/>
      <c r="AQ557" s="270"/>
      <c r="AR557" s="270"/>
      <c r="AS557" s="270"/>
      <c r="AT557" s="270"/>
      <c r="AU557" s="270"/>
      <c r="AV557" s="270"/>
      <c r="AW557" s="270"/>
      <c r="AX557" s="270"/>
      <c r="AY557" s="1072"/>
      <c r="AZ557" s="270"/>
      <c r="BA557" s="270"/>
      <c r="BB557" s="1072"/>
      <c r="BC557" s="270"/>
      <c r="BD557" s="270"/>
      <c r="BE557" s="270"/>
      <c r="BF557" s="270"/>
      <c r="BG557" s="270"/>
      <c r="BH557" s="270"/>
      <c r="BI557" s="270"/>
      <c r="BJ557" s="270"/>
      <c r="BK557" s="270"/>
      <c r="BL557" s="270"/>
      <c r="BM557" s="270"/>
      <c r="BN557" s="270"/>
      <c r="BO557" s="270"/>
      <c r="BP557" s="270"/>
      <c r="BQ557" s="270"/>
      <c r="BR557" s="270"/>
      <c r="BS557" s="270"/>
      <c r="BT557" s="270"/>
      <c r="BU557" s="270"/>
      <c r="BV557" s="270"/>
      <c r="BW557" s="270"/>
      <c r="BX557" s="270"/>
      <c r="BY557" s="270"/>
      <c r="BZ557" s="270"/>
      <c r="CA557" s="270"/>
      <c r="CB557" s="270"/>
      <c r="CC557" s="270"/>
      <c r="CD557" s="270"/>
      <c r="CE557"/>
      <c r="CF557" s="1396"/>
      <c r="CG557" s="1396"/>
      <c r="CH557" s="270"/>
      <c r="CI557" s="270"/>
      <c r="CJ557" s="270"/>
      <c r="CK557" s="270"/>
      <c r="CL557" s="270"/>
      <c r="CM557" s="270"/>
    </row>
    <row r="558" spans="1:91" ht="13.5" hidden="1" outlineLevel="3" thickBot="1" x14ac:dyDescent="0.25">
      <c r="A558" s="270"/>
      <c r="B558" s="271"/>
      <c r="C558" s="12"/>
      <c r="D558" s="1071"/>
      <c r="E558" s="1071"/>
      <c r="F558" s="1071"/>
      <c r="G558" s="1172"/>
      <c r="H558" s="271"/>
      <c r="I558" s="270"/>
      <c r="J558" s="270"/>
      <c r="K558" s="270"/>
      <c r="L558" s="270"/>
      <c r="M558" s="270"/>
      <c r="N558" s="270"/>
      <c r="O558" s="270"/>
      <c r="P558" s="1072"/>
      <c r="Q558" s="270"/>
      <c r="R558" s="270"/>
      <c r="S558" s="1072"/>
      <c r="T558" s="270"/>
      <c r="U558" s="1019"/>
      <c r="V558" s="1118"/>
      <c r="W558" s="1177"/>
      <c r="X558" s="1212"/>
      <c r="Y558" s="627"/>
      <c r="Z558" s="492"/>
      <c r="AA558" s="493" t="s">
        <v>769</v>
      </c>
      <c r="AB558" s="1069"/>
      <c r="AC558" s="1070"/>
      <c r="AD558" s="839"/>
      <c r="AE558" s="270" t="str">
        <f>IF(Z558="","",IF(Z558&gt;AB558,Y558,IF(Z558=AB558,"",AC558)))</f>
        <v/>
      </c>
      <c r="AF558" s="270" t="str">
        <f>IF(Z558="","",IF(Z558=AB558,Y558,""))</f>
        <v/>
      </c>
      <c r="AG558" s="270" t="str">
        <f>IF(Z558="","",IF(Z558=AB558,AC558,""))</f>
        <v/>
      </c>
      <c r="AH558" s="270" t="str">
        <f>IF(Z558="","",IF(Z558&lt;AB558,Y558,IF(Z558=AB558,"",AC558)))</f>
        <v/>
      </c>
      <c r="AI558" s="270" t="str">
        <f>IF(Z558="","",IF(Z558&gt;AB558,Y556,""))</f>
        <v/>
      </c>
      <c r="AJ558" s="270" t="str">
        <f>IF(Z558="","",IF(Z558&lt;AB558,AC556,""))</f>
        <v/>
      </c>
      <c r="AK558" s="270" t="str">
        <f>CONCATENATE(AE558,AH558)</f>
        <v/>
      </c>
      <c r="AL558" s="270"/>
      <c r="AM558" s="270"/>
      <c r="AN558" s="270"/>
      <c r="AO558" s="271"/>
      <c r="AP558" s="270"/>
      <c r="AQ558" s="270"/>
      <c r="AR558" s="270"/>
      <c r="AS558" s="270"/>
      <c r="AT558" s="270"/>
      <c r="AU558" s="270"/>
      <c r="AV558" s="270"/>
      <c r="AW558" s="270"/>
      <c r="AX558" s="270"/>
      <c r="AY558" s="1072"/>
      <c r="AZ558" s="270"/>
      <c r="BA558" s="270"/>
      <c r="BB558" s="1072"/>
      <c r="BC558" s="270"/>
      <c r="BD558" s="270"/>
      <c r="BE558" s="270"/>
      <c r="BF558" s="270"/>
      <c r="BG558" s="270"/>
      <c r="BH558" s="270"/>
      <c r="BI558" s="270"/>
      <c r="BJ558" s="270"/>
      <c r="BK558" s="270"/>
      <c r="BL558" s="270"/>
      <c r="BM558" s="270"/>
      <c r="BN558" s="270"/>
      <c r="BO558" s="270"/>
      <c r="BP558" s="270"/>
      <c r="BQ558" s="270"/>
      <c r="BR558" s="270"/>
      <c r="BS558" s="270"/>
      <c r="BT558" s="270"/>
      <c r="BU558" s="270"/>
      <c r="BV558" s="270"/>
      <c r="BW558" s="270"/>
      <c r="BX558" s="270"/>
      <c r="BY558" s="270"/>
      <c r="BZ558" s="270"/>
      <c r="CA558" s="270"/>
      <c r="CB558" s="270"/>
      <c r="CC558" s="270"/>
      <c r="CD558" s="270"/>
      <c r="CE558"/>
      <c r="CF558" s="1396"/>
      <c r="CG558" s="1396"/>
      <c r="CH558" s="270"/>
      <c r="CI558" s="270"/>
      <c r="CJ558" s="270"/>
      <c r="CK558" s="270"/>
      <c r="CL558" s="270"/>
      <c r="CM558" s="270"/>
    </row>
    <row r="559" spans="1:91" ht="13.5" hidden="1" outlineLevel="3" thickBot="1" x14ac:dyDescent="0.25">
      <c r="A559" s="270"/>
      <c r="B559" s="271"/>
      <c r="C559" s="12"/>
      <c r="D559" s="1071"/>
      <c r="E559" s="1071"/>
      <c r="F559" s="1071"/>
      <c r="G559" s="1172"/>
      <c r="H559" s="271"/>
      <c r="I559" s="270"/>
      <c r="J559" s="270"/>
      <c r="K559" s="270"/>
      <c r="L559" s="270"/>
      <c r="M559" s="270"/>
      <c r="N559" s="270"/>
      <c r="O559" s="270"/>
      <c r="P559" s="1072"/>
      <c r="Q559" s="270"/>
      <c r="R559" s="270"/>
      <c r="S559" s="1072"/>
      <c r="T559" s="270"/>
      <c r="U559" s="1019"/>
      <c r="V559" s="1118"/>
      <c r="W559" s="1177"/>
      <c r="X559" s="1212"/>
      <c r="Y559" s="627"/>
      <c r="Z559" s="492"/>
      <c r="AA559" s="493" t="s">
        <v>769</v>
      </c>
      <c r="AB559" s="1069"/>
      <c r="AC559" s="1070"/>
      <c r="AD559" s="839"/>
      <c r="AE559" s="270" t="str">
        <f>IF(Z559="","",IF(Z559&gt;AB559,Y559,IF(Z559=AB559,"",AC559)))</f>
        <v/>
      </c>
      <c r="AF559" s="270" t="str">
        <f>IF(Z559="","",IF(Z559=AB559,Y559,""))</f>
        <v/>
      </c>
      <c r="AG559" s="270" t="str">
        <f>IF(Z559="","",IF(Z559=AB559,AC559,""))</f>
        <v/>
      </c>
      <c r="AH559" s="270" t="str">
        <f>IF(Z559="","",IF(Z559&lt;AB559,Y559,IF(Z559=AB559,"",AC559)))</f>
        <v/>
      </c>
      <c r="AI559" s="270" t="str">
        <f>IF(Z559="","",IF(Z559&gt;AB559,Y556,""))</f>
        <v/>
      </c>
      <c r="AJ559" s="270" t="str">
        <f>IF(Z559="","",IF(Z559&lt;AB559,AC556,""))</f>
        <v/>
      </c>
      <c r="AK559" s="270" t="str">
        <f>CONCATENATE(AE559,AH559)</f>
        <v/>
      </c>
      <c r="AL559" s="270"/>
      <c r="AM559" s="270"/>
      <c r="AN559" s="270"/>
      <c r="AO559" s="271"/>
      <c r="AP559" s="270"/>
      <c r="AQ559" s="270"/>
      <c r="AR559" s="270"/>
      <c r="AS559" s="270"/>
      <c r="AT559" s="270"/>
      <c r="AU559" s="270"/>
      <c r="AV559" s="270"/>
      <c r="AW559" s="270"/>
      <c r="AX559" s="270"/>
      <c r="AY559" s="1072"/>
      <c r="AZ559" s="270"/>
      <c r="BA559" s="270"/>
      <c r="BB559" s="1072"/>
      <c r="BC559" s="270"/>
      <c r="BD559" s="270"/>
      <c r="BE559" s="270"/>
      <c r="BF559" s="270"/>
      <c r="BG559" s="270"/>
      <c r="BH559" s="270"/>
      <c r="BI559" s="270"/>
      <c r="BJ559" s="270"/>
      <c r="BK559" s="270"/>
      <c r="BL559" s="270"/>
      <c r="BM559" s="270"/>
      <c r="BN559" s="270"/>
      <c r="BO559" s="270"/>
      <c r="BP559" s="270"/>
      <c r="BQ559" s="270"/>
      <c r="BR559" s="270"/>
      <c r="BS559" s="270"/>
      <c r="BT559" s="270"/>
      <c r="BU559" s="270"/>
      <c r="BV559" s="270"/>
      <c r="BW559" s="270"/>
      <c r="BX559" s="270"/>
      <c r="BY559" s="270"/>
      <c r="BZ559" s="270"/>
      <c r="CA559" s="270"/>
      <c r="CB559" s="270"/>
      <c r="CC559" s="270"/>
      <c r="CD559" s="270"/>
      <c r="CE559"/>
      <c r="CF559" s="1396"/>
      <c r="CG559" s="1396"/>
      <c r="CH559" s="270"/>
      <c r="CI559" s="270"/>
      <c r="CJ559" s="270"/>
      <c r="CK559" s="270"/>
      <c r="CL559" s="270"/>
      <c r="CM559" s="270"/>
    </row>
    <row r="560" spans="1:91" ht="13.5" hidden="1" outlineLevel="3" thickBot="1" x14ac:dyDescent="0.25">
      <c r="A560" s="270"/>
      <c r="B560" s="271"/>
      <c r="C560" s="12"/>
      <c r="D560" s="1071"/>
      <c r="E560" s="1071"/>
      <c r="F560" s="1071"/>
      <c r="G560" s="1172"/>
      <c r="H560" s="271"/>
      <c r="I560" s="270"/>
      <c r="J560" s="270"/>
      <c r="K560" s="270"/>
      <c r="L560" s="270"/>
      <c r="M560" s="270"/>
      <c r="N560" s="270"/>
      <c r="O560" s="270"/>
      <c r="P560" s="1072"/>
      <c r="Q560" s="270"/>
      <c r="R560" s="270"/>
      <c r="S560" s="1072"/>
      <c r="T560" s="270"/>
      <c r="U560" s="1019"/>
      <c r="V560" s="1118"/>
      <c r="W560" s="1177"/>
      <c r="X560" s="1212"/>
      <c r="Y560" s="627"/>
      <c r="Z560" s="492"/>
      <c r="AA560" s="493" t="s">
        <v>769</v>
      </c>
      <c r="AB560" s="1069"/>
      <c r="AC560" s="1070"/>
      <c r="AD560" s="839"/>
      <c r="AE560" s="270" t="str">
        <f>IF(Z560="","",IF(Z560&gt;AB560,Y560,IF(Z560=AB560,"",AC560)))</f>
        <v/>
      </c>
      <c r="AF560" s="270" t="str">
        <f>IF(Z560="","",IF(Z560=AB560,Y560,""))</f>
        <v/>
      </c>
      <c r="AG560" s="270" t="str">
        <f>IF(Z560="","",IF(Z560=AB560,AC560,""))</f>
        <v/>
      </c>
      <c r="AH560" s="270" t="str">
        <f>IF(Z560="","",IF(Z560&lt;AB560,Y560,IF(Z560=AB560,"",AC560)))</f>
        <v/>
      </c>
      <c r="AI560" s="270" t="str">
        <f>IF(Z560="","",IF(Z560&gt;AB560,Y556,""))</f>
        <v/>
      </c>
      <c r="AJ560" s="270" t="str">
        <f>IF(Z560="","",IF(Z560&lt;AB560,AC556,""))</f>
        <v/>
      </c>
      <c r="AK560" s="270" t="str">
        <f>CONCATENATE(AE560,AH560)</f>
        <v/>
      </c>
      <c r="AL560" s="270"/>
      <c r="AM560" s="270"/>
      <c r="AN560" s="270"/>
      <c r="AO560" s="271"/>
      <c r="AP560" s="270"/>
      <c r="AQ560" s="270"/>
      <c r="AR560" s="270"/>
      <c r="AS560" s="270"/>
      <c r="AT560" s="270"/>
      <c r="AU560" s="270"/>
      <c r="AV560" s="270"/>
      <c r="AW560" s="270"/>
      <c r="AX560" s="270"/>
      <c r="AY560" s="1072"/>
      <c r="AZ560" s="270"/>
      <c r="BA560" s="270"/>
      <c r="BB560" s="1072"/>
      <c r="BC560" s="270"/>
      <c r="BD560" s="270"/>
      <c r="BE560" s="270"/>
      <c r="BF560" s="270"/>
      <c r="BG560" s="270"/>
      <c r="BH560" s="270"/>
      <c r="BI560" s="270"/>
      <c r="BJ560" s="270"/>
      <c r="BK560" s="270"/>
      <c r="BL560" s="270"/>
      <c r="BM560" s="270"/>
      <c r="BN560" s="270"/>
      <c r="BO560" s="270"/>
      <c r="BP560" s="270"/>
      <c r="BQ560" s="270"/>
      <c r="BR560" s="270"/>
      <c r="BS560" s="270"/>
      <c r="BT560" s="270"/>
      <c r="BU560" s="270"/>
      <c r="BV560" s="270"/>
      <c r="BW560" s="270"/>
      <c r="BX560" s="270"/>
      <c r="BY560" s="270"/>
      <c r="BZ560" s="270"/>
      <c r="CA560" s="270"/>
      <c r="CB560" s="270"/>
      <c r="CC560" s="270"/>
      <c r="CD560" s="270"/>
      <c r="CE560"/>
      <c r="CF560" s="1396"/>
      <c r="CG560" s="1396"/>
      <c r="CH560" s="270"/>
      <c r="CI560" s="270"/>
      <c r="CJ560" s="270"/>
      <c r="CK560" s="270"/>
      <c r="CL560" s="270"/>
      <c r="CM560" s="270"/>
    </row>
    <row r="561" spans="1:91" ht="13.5" hidden="1" outlineLevel="3" thickBot="1" x14ac:dyDescent="0.25">
      <c r="A561" s="270"/>
      <c r="B561" s="271"/>
      <c r="C561" s="12"/>
      <c r="D561" s="1071"/>
      <c r="E561" s="1071"/>
      <c r="F561" s="1071"/>
      <c r="G561" s="626"/>
      <c r="H561" s="271"/>
      <c r="I561" s="270"/>
      <c r="J561" s="270"/>
      <c r="K561" s="270"/>
      <c r="L561" s="270"/>
      <c r="M561" s="270"/>
      <c r="N561" s="270"/>
      <c r="O561" s="270"/>
      <c r="P561" s="1072"/>
      <c r="Q561" s="270"/>
      <c r="R561" s="270"/>
      <c r="S561" s="1072"/>
      <c r="T561" s="270"/>
      <c r="U561" s="1019"/>
      <c r="V561" s="1077"/>
      <c r="W561" s="1078"/>
      <c r="X561" s="1075" t="str">
        <f>N_Substitute</f>
        <v>Remplaçant</v>
      </c>
      <c r="Y561" s="627"/>
      <c r="Z561" s="492"/>
      <c r="AA561" s="1076"/>
      <c r="AB561" s="1069"/>
      <c r="AC561" s="1070"/>
      <c r="AD561" s="839"/>
      <c r="AE561" s="270"/>
      <c r="AF561" s="270"/>
      <c r="AG561" s="270"/>
      <c r="AH561" s="270"/>
      <c r="AI561" s="270"/>
      <c r="AJ561" s="270"/>
      <c r="AK561" s="270"/>
      <c r="AL561" s="270"/>
      <c r="AM561" s="270"/>
      <c r="AN561" s="270"/>
      <c r="AO561" s="271"/>
      <c r="AP561" s="270"/>
      <c r="AQ561" s="270"/>
      <c r="AR561" s="270"/>
      <c r="AS561" s="270"/>
      <c r="AT561" s="270"/>
      <c r="AU561" s="270"/>
      <c r="AV561" s="270"/>
      <c r="AW561" s="270"/>
      <c r="AX561" s="270"/>
      <c r="AY561" s="1072"/>
      <c r="AZ561" s="270"/>
      <c r="BA561" s="270"/>
      <c r="BB561" s="1072"/>
      <c r="BC561" s="270"/>
      <c r="BD561" s="270"/>
      <c r="BE561" s="270"/>
      <c r="BF561" s="270"/>
      <c r="BG561" s="270"/>
      <c r="BH561" s="270"/>
      <c r="BI561" s="270"/>
      <c r="BJ561" s="270"/>
      <c r="BK561" s="270"/>
      <c r="BL561" s="270"/>
      <c r="BM561" s="270"/>
      <c r="BN561" s="270"/>
      <c r="BO561" s="270"/>
      <c r="BP561" s="270"/>
      <c r="BQ561" s="270"/>
      <c r="BR561" s="270"/>
      <c r="BS561" s="270"/>
      <c r="BT561" s="270"/>
      <c r="BU561" s="270"/>
      <c r="BV561" s="270"/>
      <c r="BW561" s="270"/>
      <c r="BX561" s="270"/>
      <c r="BY561" s="270"/>
      <c r="BZ561" s="270"/>
      <c r="CA561" s="270"/>
      <c r="CB561" s="270"/>
      <c r="CC561" s="270"/>
      <c r="CD561" s="270"/>
      <c r="CE561"/>
      <c r="CF561" s="1396"/>
      <c r="CG561" s="1396"/>
      <c r="CH561" s="270"/>
      <c r="CI561" s="270"/>
      <c r="CJ561" s="270"/>
      <c r="CK561" s="270"/>
      <c r="CL561" s="270"/>
      <c r="CM561" s="270"/>
    </row>
    <row r="562" spans="1:91" ht="13.5" hidden="1" outlineLevel="3" thickBot="1" x14ac:dyDescent="0.25">
      <c r="A562" s="270"/>
      <c r="B562" s="271"/>
      <c r="C562" s="12"/>
      <c r="D562" s="1071"/>
      <c r="E562" s="1071"/>
      <c r="F562" s="1071"/>
      <c r="G562" s="626"/>
      <c r="H562" s="271"/>
      <c r="I562" s="270"/>
      <c r="J562" s="270"/>
      <c r="K562" s="270"/>
      <c r="L562" s="270"/>
      <c r="M562" s="270"/>
      <c r="N562" s="270"/>
      <c r="O562" s="270"/>
      <c r="P562" s="1072"/>
      <c r="Q562" s="270"/>
      <c r="R562" s="270"/>
      <c r="S562" s="1072"/>
      <c r="T562" s="270"/>
      <c r="U562" s="1019"/>
      <c r="V562" s="1119"/>
      <c r="W562" s="1120"/>
      <c r="X562" s="1075" t="str">
        <f>N_Substitute</f>
        <v>Remplaçant</v>
      </c>
      <c r="Y562" s="627"/>
      <c r="Z562" s="496"/>
      <c r="AA562" s="1090"/>
      <c r="AB562" s="496"/>
      <c r="AC562" s="1070"/>
      <c r="AD562" s="839"/>
      <c r="AE562" s="270"/>
      <c r="AF562" s="270"/>
      <c r="AG562" s="270"/>
      <c r="AH562" s="270"/>
      <c r="AI562" s="270"/>
      <c r="AJ562" s="270"/>
      <c r="AK562" s="270"/>
      <c r="AL562" s="270"/>
      <c r="AM562" s="270"/>
      <c r="AN562" s="270"/>
      <c r="AO562" s="271"/>
      <c r="AP562" s="270"/>
      <c r="AQ562" s="270"/>
      <c r="AR562" s="270"/>
      <c r="AS562" s="270"/>
      <c r="AT562" s="270"/>
      <c r="AU562" s="270"/>
      <c r="AV562" s="270"/>
      <c r="AW562" s="270"/>
      <c r="AX562" s="270"/>
      <c r="AY562" s="1072"/>
      <c r="AZ562" s="270"/>
      <c r="BA562" s="270"/>
      <c r="BB562" s="1072"/>
      <c r="BC562" s="270"/>
      <c r="BD562" s="270"/>
      <c r="BE562" s="270"/>
      <c r="BF562" s="270"/>
      <c r="BG562" s="270"/>
      <c r="BH562" s="270"/>
      <c r="BI562" s="270"/>
      <c r="BJ562" s="270"/>
      <c r="BK562" s="270"/>
      <c r="BL562" s="270"/>
      <c r="BM562" s="270"/>
      <c r="BN562" s="270"/>
      <c r="BO562" s="270"/>
      <c r="BP562" s="270"/>
      <c r="BQ562" s="270"/>
      <c r="BR562" s="270"/>
      <c r="BS562" s="270"/>
      <c r="BT562" s="270"/>
      <c r="BU562" s="270"/>
      <c r="BV562" s="270"/>
      <c r="BW562" s="270"/>
      <c r="BX562" s="270"/>
      <c r="BY562" s="270"/>
      <c r="BZ562" s="270"/>
      <c r="CA562" s="270"/>
      <c r="CB562" s="270"/>
      <c r="CC562" s="270"/>
      <c r="CD562" s="270"/>
      <c r="CE562"/>
      <c r="CF562" s="1396"/>
      <c r="CG562" s="1396"/>
      <c r="CH562" s="270"/>
      <c r="CI562" s="270"/>
      <c r="CJ562" s="270"/>
      <c r="CK562" s="270"/>
      <c r="CL562" s="270"/>
      <c r="CM562" s="270"/>
    </row>
    <row r="563" spans="1:91" hidden="1" outlineLevel="2" collapsed="1" x14ac:dyDescent="0.2">
      <c r="A563" s="270"/>
      <c r="B563" s="271"/>
      <c r="C563" s="12"/>
      <c r="D563" s="1071"/>
      <c r="E563" s="1071"/>
      <c r="F563" s="1071"/>
      <c r="G563" s="1172"/>
      <c r="H563" s="271"/>
      <c r="I563" s="270"/>
      <c r="J563" s="270"/>
      <c r="K563" s="270"/>
      <c r="L563" s="270"/>
      <c r="M563" s="270"/>
      <c r="N563" s="270"/>
      <c r="O563" s="270"/>
      <c r="P563" s="1072"/>
      <c r="Q563" s="270"/>
      <c r="R563" s="270"/>
      <c r="S563" s="1072"/>
      <c r="T563" s="270"/>
      <c r="U563" s="1019" t="s">
        <v>1728</v>
      </c>
      <c r="V563" s="1173"/>
      <c r="W563" s="1525"/>
      <c r="X563" s="1535"/>
      <c r="Y563" s="1174" t="str">
        <f>G500</f>
        <v>Eq3</v>
      </c>
      <c r="Z563" s="1086" t="str">
        <f>IF(OR(ISNUMBER(Z564),ISNUMBER(Z565),ISNUMBER(Z566),ISNUMBER(Z567)),4-COUNTBLANK(AI564:AI567),"")</f>
        <v/>
      </c>
      <c r="AA563" s="1064" t="s">
        <v>769</v>
      </c>
      <c r="AB563" s="1063" t="str">
        <f>IF(OR(ISNUMBER(Z564),ISNUMBER(Z565),ISNUMBER(Z566),ISNUMBER(Z567)),4-COUNTBLANK(AJ564:AJ567),"")</f>
        <v/>
      </c>
      <c r="AC563" s="1175" t="str">
        <f>G502</f>
        <v>Eq5</v>
      </c>
      <c r="AD563" s="839"/>
      <c r="AE563" s="270" t="str">
        <f>IF(Z563="","",IF(Z563&gt;AB563,Y563,IF(Z563=AB563,IF(NoDrawWithWithdraw,IF(AL563=Y563,AC563,IF(AL563=AC563,Y563,"")),""),AC563)))</f>
        <v/>
      </c>
      <c r="AF563" s="270" t="str">
        <f>IF(Z563="","",IF(Z563=AB563,IF(NoDrawWithWithdraw,IF(AL563=Y563,"",IF(AL563=AC563,"",Y563)),Y563),""))</f>
        <v/>
      </c>
      <c r="AG563" s="270" t="str">
        <f>IF(Z563="","",IF(Z563=AB563,IF(NoDrawWithWithdraw,IF(AL563=Y563,"",IF(AL563=AC563,"",AC563)),AC563),""))</f>
        <v/>
      </c>
      <c r="AH563" s="270" t="str">
        <f>IF(Z563="","",IF(Z563&lt;AB563,Y563,IF(Z563=AB563,IF(NoDrawWithWithdraw,IF(AL563=Y563,Y563,IF(AL563=AC563,AC563,"")),""),AC563)))</f>
        <v/>
      </c>
      <c r="AI563" s="270" t="str">
        <f>IF(Z563="","",SUM(Z564:Z567))</f>
        <v/>
      </c>
      <c r="AJ563" s="270" t="str">
        <f>IF(Z563="","",SUM(AB564:AB567))</f>
        <v/>
      </c>
      <c r="AK563" s="270" t="str">
        <f>CONCATENATE(AE563,AH563)</f>
        <v/>
      </c>
      <c r="AL563" s="270" t="str">
        <f>IF(COUNTIF(Y564:Y567,WithdrawLabel)&gt;COUNTIF(AC564:AC567,WithdrawLabel),Y563,IF(COUNTIF(AC564:AC567,WithdrawLabel)&gt;COUNTIF(Y564:Y567,WithdrawLabel),AC563,""))</f>
        <v/>
      </c>
      <c r="AM563" s="270"/>
      <c r="AN563" s="270"/>
      <c r="AO563" s="271"/>
      <c r="AP563" s="270"/>
      <c r="AQ563" s="270"/>
      <c r="AR563" s="270"/>
      <c r="AS563" s="270"/>
      <c r="AT563" s="270"/>
      <c r="AU563" s="270"/>
      <c r="AV563" s="270"/>
      <c r="AW563" s="270"/>
      <c r="AX563" s="270"/>
      <c r="AY563" s="1072"/>
      <c r="AZ563" s="270"/>
      <c r="BA563" s="270"/>
      <c r="BB563" s="1072"/>
      <c r="BC563" s="270"/>
      <c r="BD563" s="270"/>
      <c r="BE563" s="270"/>
      <c r="BF563" s="270"/>
      <c r="BG563" s="270"/>
      <c r="BH563" s="270"/>
      <c r="BI563" s="270"/>
      <c r="BJ563" s="270"/>
      <c r="BK563" s="270"/>
      <c r="BL563" s="270"/>
      <c r="BM563" s="270"/>
      <c r="BN563" s="270"/>
      <c r="BO563" s="270"/>
      <c r="BP563" s="270"/>
      <c r="BQ563" s="270"/>
      <c r="BR563" s="270"/>
      <c r="BS563" s="270"/>
      <c r="BT563" s="270"/>
      <c r="BU563" s="270"/>
      <c r="BV563" s="270"/>
      <c r="BW563" s="270"/>
      <c r="BX563" s="270"/>
      <c r="BY563" s="270"/>
      <c r="BZ563" s="270"/>
      <c r="CA563" s="270"/>
      <c r="CB563" s="270"/>
      <c r="CC563" s="270"/>
      <c r="CD563" s="270"/>
      <c r="CE563"/>
      <c r="CF563" s="1396"/>
      <c r="CG563" s="1396"/>
      <c r="CH563" s="270"/>
      <c r="CI563" s="270"/>
      <c r="CJ563" s="270"/>
      <c r="CK563" s="270"/>
      <c r="CL563" s="270"/>
      <c r="CM563" s="270"/>
    </row>
    <row r="564" spans="1:91" ht="13.5" hidden="1" outlineLevel="3" thickBot="1" x14ac:dyDescent="0.25">
      <c r="A564" s="270"/>
      <c r="B564" s="271"/>
      <c r="C564" s="12"/>
      <c r="D564" s="1071"/>
      <c r="E564" s="1071"/>
      <c r="F564" s="1071"/>
      <c r="G564" s="1172"/>
      <c r="H564" s="271"/>
      <c r="I564" s="270"/>
      <c r="J564" s="270"/>
      <c r="K564" s="270"/>
      <c r="L564" s="270"/>
      <c r="M564" s="270"/>
      <c r="N564" s="270"/>
      <c r="O564" s="270"/>
      <c r="P564" s="1072"/>
      <c r="Q564" s="270"/>
      <c r="R564" s="270"/>
      <c r="S564" s="1072"/>
      <c r="T564" s="270"/>
      <c r="U564" s="1019"/>
      <c r="V564" s="1176"/>
      <c r="W564" s="1177"/>
      <c r="X564" s="1207"/>
      <c r="Y564" s="627"/>
      <c r="Z564" s="492"/>
      <c r="AA564" s="493" t="s">
        <v>769</v>
      </c>
      <c r="AB564" s="1069"/>
      <c r="AC564" s="1070"/>
      <c r="AD564" s="839"/>
      <c r="AE564" s="270" t="str">
        <f>IF(Z564="","",IF(Z564&gt;AB564,Y564,IF(Z564=AB564,"",AC564)))</f>
        <v/>
      </c>
      <c r="AF564" s="270" t="str">
        <f>IF(Z564="","",IF(Z564=AB564,Y564,""))</f>
        <v/>
      </c>
      <c r="AG564" s="270" t="str">
        <f>IF(Z564="","",IF(Z564=AB564,AC564,""))</f>
        <v/>
      </c>
      <c r="AH564" s="270" t="str">
        <f>IF(Z564="","",IF(Z564&lt;AB564,Y564,IF(Z564=AB564,"",AC564)))</f>
        <v/>
      </c>
      <c r="AI564" s="270" t="str">
        <f>IF(Z564="","",IF(Z564&gt;AB564,Y563,""))</f>
        <v/>
      </c>
      <c r="AJ564" s="270" t="str">
        <f>IF(Z564="","",IF(Z564&lt;AB564,AC563,""))</f>
        <v/>
      </c>
      <c r="AK564" s="270" t="str">
        <f>CONCATENATE(AE564,AH564)</f>
        <v/>
      </c>
      <c r="AL564" s="270"/>
      <c r="AM564" s="270"/>
      <c r="AN564" s="270"/>
      <c r="AO564" s="271"/>
      <c r="AP564" s="270"/>
      <c r="AQ564" s="270"/>
      <c r="AR564" s="270"/>
      <c r="AS564" s="270"/>
      <c r="AT564" s="270"/>
      <c r="AU564" s="270"/>
      <c r="AV564" s="270"/>
      <c r="AW564" s="270"/>
      <c r="AX564" s="270"/>
      <c r="AY564" s="1072"/>
      <c r="AZ564" s="270"/>
      <c r="BA564" s="270"/>
      <c r="BB564" s="1072"/>
      <c r="BC564" s="270"/>
      <c r="BD564" s="270"/>
      <c r="BE564" s="270"/>
      <c r="BF564" s="270"/>
      <c r="BG564" s="270"/>
      <c r="BH564" s="270"/>
      <c r="BI564" s="270"/>
      <c r="BJ564" s="270"/>
      <c r="BK564" s="270"/>
      <c r="BL564" s="270"/>
      <c r="BM564" s="270"/>
      <c r="BN564" s="270"/>
      <c r="BO564" s="270"/>
      <c r="BP564" s="270"/>
      <c r="BQ564" s="270"/>
      <c r="BR564" s="270"/>
      <c r="BS564" s="270"/>
      <c r="BT564" s="270"/>
      <c r="BU564" s="270"/>
      <c r="BV564" s="270"/>
      <c r="BW564" s="270"/>
      <c r="BX564" s="270"/>
      <c r="BY564" s="270"/>
      <c r="BZ564" s="270"/>
      <c r="CA564" s="270"/>
      <c r="CB564" s="270"/>
      <c r="CC564" s="270"/>
      <c r="CD564" s="270"/>
      <c r="CE564"/>
      <c r="CF564" s="1396"/>
      <c r="CG564" s="1396"/>
      <c r="CH564" s="270"/>
      <c r="CI564" s="270"/>
      <c r="CJ564" s="270"/>
      <c r="CK564" s="270"/>
      <c r="CL564" s="270"/>
      <c r="CM564" s="270"/>
    </row>
    <row r="565" spans="1:91" ht="13.5" hidden="1" outlineLevel="3" thickBot="1" x14ac:dyDescent="0.25">
      <c r="A565" s="270"/>
      <c r="B565" s="271"/>
      <c r="C565" s="12"/>
      <c r="D565" s="1071"/>
      <c r="E565" s="1071"/>
      <c r="F565" s="1071"/>
      <c r="G565" s="1172"/>
      <c r="H565" s="271"/>
      <c r="I565" s="270"/>
      <c r="J565" s="270"/>
      <c r="K565" s="270"/>
      <c r="L565" s="270"/>
      <c r="M565" s="270"/>
      <c r="N565" s="270"/>
      <c r="O565" s="270"/>
      <c r="P565" s="1072"/>
      <c r="Q565" s="270"/>
      <c r="R565" s="270"/>
      <c r="S565" s="1072"/>
      <c r="T565" s="270"/>
      <c r="U565" s="1019"/>
      <c r="V565" s="1176"/>
      <c r="W565" s="1177"/>
      <c r="X565" s="1207"/>
      <c r="Y565" s="627"/>
      <c r="Z565" s="492"/>
      <c r="AA565" s="493" t="s">
        <v>769</v>
      </c>
      <c r="AB565" s="1069"/>
      <c r="AC565" s="1070"/>
      <c r="AD565" s="839"/>
      <c r="AE565" s="270" t="str">
        <f>IF(Z565="","",IF(Z565&gt;AB565,Y565,IF(Z565=AB565,"",AC565)))</f>
        <v/>
      </c>
      <c r="AF565" s="270" t="str">
        <f>IF(Z565="","",IF(Z565=AB565,Y565,""))</f>
        <v/>
      </c>
      <c r="AG565" s="270" t="str">
        <f>IF(Z565="","",IF(Z565=AB565,AC565,""))</f>
        <v/>
      </c>
      <c r="AH565" s="270" t="str">
        <f>IF(Z565="","",IF(Z565&lt;AB565,Y565,IF(Z565=AB565,"",AC565)))</f>
        <v/>
      </c>
      <c r="AI565" s="270" t="str">
        <f>IF(Z565="","",IF(Z565&gt;AB565,Y563,""))</f>
        <v/>
      </c>
      <c r="AJ565" s="270" t="str">
        <f>IF(Z565="","",IF(Z565&lt;AB565,AC563,""))</f>
        <v/>
      </c>
      <c r="AK565" s="270" t="str">
        <f>CONCATENATE(AE565,AH565)</f>
        <v/>
      </c>
      <c r="AL565" s="270"/>
      <c r="AM565" s="270"/>
      <c r="AN565" s="270"/>
      <c r="AO565" s="271"/>
      <c r="AP565" s="270"/>
      <c r="AQ565" s="270"/>
      <c r="AR565" s="270"/>
      <c r="AS565" s="270"/>
      <c r="AT565" s="270"/>
      <c r="AU565" s="270"/>
      <c r="AV565" s="270"/>
      <c r="AW565" s="270"/>
      <c r="AX565" s="270"/>
      <c r="AY565" s="1072"/>
      <c r="AZ565" s="270"/>
      <c r="BA565" s="270"/>
      <c r="BB565" s="1072"/>
      <c r="BC565" s="270"/>
      <c r="BD565" s="270"/>
      <c r="BE565" s="270"/>
      <c r="BF565" s="270"/>
      <c r="BG565" s="270"/>
      <c r="BH565" s="270"/>
      <c r="BI565" s="270"/>
      <c r="BJ565" s="270"/>
      <c r="BK565" s="270"/>
      <c r="BL565" s="270"/>
      <c r="BM565" s="270"/>
      <c r="BN565" s="270"/>
      <c r="BO565" s="270"/>
      <c r="BP565" s="270"/>
      <c r="BQ565" s="270"/>
      <c r="BR565" s="270"/>
      <c r="BS565" s="270"/>
      <c r="BT565" s="270"/>
      <c r="BU565" s="270"/>
      <c r="BV565" s="270"/>
      <c r="BW565" s="270"/>
      <c r="BX565" s="270"/>
      <c r="BY565" s="270"/>
      <c r="BZ565" s="270"/>
      <c r="CA565" s="270"/>
      <c r="CB565" s="270"/>
      <c r="CC565" s="270"/>
      <c r="CD565" s="270"/>
      <c r="CE565"/>
      <c r="CF565" s="1396"/>
      <c r="CG565" s="1396"/>
      <c r="CH565" s="270"/>
      <c r="CI565" s="270"/>
      <c r="CJ565" s="270"/>
      <c r="CK565" s="270"/>
      <c r="CL565" s="270"/>
      <c r="CM565" s="270"/>
    </row>
    <row r="566" spans="1:91" ht="13.5" hidden="1" outlineLevel="3" thickBot="1" x14ac:dyDescent="0.25">
      <c r="A566" s="270"/>
      <c r="B566" s="271"/>
      <c r="C566" s="12"/>
      <c r="D566" s="1071"/>
      <c r="E566" s="1071"/>
      <c r="F566" s="1071"/>
      <c r="G566" s="1172"/>
      <c r="H566" s="271"/>
      <c r="I566" s="270"/>
      <c r="J566" s="270"/>
      <c r="K566" s="270"/>
      <c r="L566" s="270"/>
      <c r="M566" s="270"/>
      <c r="N566" s="270"/>
      <c r="O566" s="270"/>
      <c r="P566" s="1072"/>
      <c r="Q566" s="270"/>
      <c r="R566" s="270"/>
      <c r="S566" s="1072"/>
      <c r="T566" s="270"/>
      <c r="U566" s="1019"/>
      <c r="V566" s="1176"/>
      <c r="W566" s="1177"/>
      <c r="X566" s="1207"/>
      <c r="Y566" s="627"/>
      <c r="Z566" s="492"/>
      <c r="AA566" s="493" t="s">
        <v>769</v>
      </c>
      <c r="AB566" s="1069"/>
      <c r="AC566" s="1070"/>
      <c r="AD566" s="839"/>
      <c r="AE566" s="270" t="str">
        <f>IF(Z566="","",IF(Z566&gt;AB566,Y566,IF(Z566=AB566,"",AC566)))</f>
        <v/>
      </c>
      <c r="AF566" s="270" t="str">
        <f>IF(Z566="","",IF(Z566=AB566,Y566,""))</f>
        <v/>
      </c>
      <c r="AG566" s="270" t="str">
        <f>IF(Z566="","",IF(Z566=AB566,AC566,""))</f>
        <v/>
      </c>
      <c r="AH566" s="270" t="str">
        <f>IF(Z566="","",IF(Z566&lt;AB566,Y566,IF(Z566=AB566,"",AC566)))</f>
        <v/>
      </c>
      <c r="AI566" s="270" t="str">
        <f>IF(Z566="","",IF(Z566&gt;AB566,Y563,""))</f>
        <v/>
      </c>
      <c r="AJ566" s="270" t="str">
        <f>IF(Z566="","",IF(Z566&lt;AB566,AC563,""))</f>
        <v/>
      </c>
      <c r="AK566" s="270" t="str">
        <f>CONCATENATE(AE566,AH566)</f>
        <v/>
      </c>
      <c r="AL566" s="270"/>
      <c r="AM566" s="270"/>
      <c r="AN566" s="270"/>
      <c r="AO566" s="271"/>
      <c r="AP566" s="270"/>
      <c r="AQ566" s="270"/>
      <c r="AR566" s="270"/>
      <c r="AS566" s="270"/>
      <c r="AT566" s="270"/>
      <c r="AU566" s="270"/>
      <c r="AV566" s="270"/>
      <c r="AW566" s="270"/>
      <c r="AX566" s="270"/>
      <c r="AY566" s="1072"/>
      <c r="AZ566" s="270"/>
      <c r="BA566" s="270"/>
      <c r="BB566" s="1072"/>
      <c r="BC566" s="270"/>
      <c r="BD566" s="270"/>
      <c r="BE566" s="270"/>
      <c r="BF566" s="270"/>
      <c r="BG566" s="270"/>
      <c r="BH566" s="270"/>
      <c r="BI566" s="270"/>
      <c r="BJ566" s="270"/>
      <c r="BK566" s="270"/>
      <c r="BL566" s="270"/>
      <c r="BM566" s="270"/>
      <c r="BN566" s="270"/>
      <c r="BO566" s="270"/>
      <c r="BP566" s="270"/>
      <c r="BQ566" s="270"/>
      <c r="BR566" s="270"/>
      <c r="BS566" s="270"/>
      <c r="BT566" s="270"/>
      <c r="BU566" s="270"/>
      <c r="BV566" s="270"/>
      <c r="BW566" s="270"/>
      <c r="BX566" s="270"/>
      <c r="BY566" s="270"/>
      <c r="BZ566" s="270"/>
      <c r="CA566" s="270"/>
      <c r="CB566" s="270"/>
      <c r="CC566" s="270"/>
      <c r="CD566" s="270"/>
      <c r="CE566"/>
      <c r="CF566" s="1396"/>
      <c r="CG566" s="1396"/>
      <c r="CH566" s="270"/>
      <c r="CI566" s="270"/>
      <c r="CJ566" s="270"/>
      <c r="CK566" s="270"/>
      <c r="CL566" s="270"/>
      <c r="CM566" s="270"/>
    </row>
    <row r="567" spans="1:91" ht="13.5" hidden="1" outlineLevel="3" thickBot="1" x14ac:dyDescent="0.25">
      <c r="A567" s="270"/>
      <c r="B567" s="271"/>
      <c r="C567" s="12"/>
      <c r="D567" s="1071"/>
      <c r="E567" s="1071"/>
      <c r="F567" s="1071"/>
      <c r="G567" s="1172"/>
      <c r="H567" s="271"/>
      <c r="I567" s="270"/>
      <c r="J567" s="270"/>
      <c r="K567" s="270"/>
      <c r="L567" s="270"/>
      <c r="M567" s="270"/>
      <c r="N567" s="270"/>
      <c r="O567" s="270"/>
      <c r="P567" s="1072"/>
      <c r="Q567" s="270"/>
      <c r="R567" s="270"/>
      <c r="S567" s="1072"/>
      <c r="T567" s="270"/>
      <c r="U567" s="1019"/>
      <c r="V567" s="1176"/>
      <c r="W567" s="1177"/>
      <c r="X567" s="1207"/>
      <c r="Y567" s="627"/>
      <c r="Z567" s="492"/>
      <c r="AA567" s="493" t="s">
        <v>769</v>
      </c>
      <c r="AB567" s="1069"/>
      <c r="AC567" s="1070"/>
      <c r="AD567" s="839"/>
      <c r="AE567" s="270" t="str">
        <f>IF(Z567="","",IF(Z567&gt;AB567,Y567,IF(Z567=AB567,"",AC567)))</f>
        <v/>
      </c>
      <c r="AF567" s="270" t="str">
        <f>IF(Z567="","",IF(Z567=AB567,Y567,""))</f>
        <v/>
      </c>
      <c r="AG567" s="270" t="str">
        <f>IF(Z567="","",IF(Z567=AB567,AC567,""))</f>
        <v/>
      </c>
      <c r="AH567" s="270" t="str">
        <f>IF(Z567="","",IF(Z567&lt;AB567,Y567,IF(Z567=AB567,"",AC567)))</f>
        <v/>
      </c>
      <c r="AI567" s="270" t="str">
        <f>IF(Z567="","",IF(Z567&gt;AB567,Y563,""))</f>
        <v/>
      </c>
      <c r="AJ567" s="270" t="str">
        <f>IF(Z567="","",IF(Z567&lt;AB567,AC563,""))</f>
        <v/>
      </c>
      <c r="AK567" s="270" t="str">
        <f>CONCATENATE(AE567,AH567)</f>
        <v/>
      </c>
      <c r="AL567" s="270"/>
      <c r="AM567" s="270"/>
      <c r="AN567" s="270"/>
      <c r="AO567" s="271"/>
      <c r="AP567" s="270"/>
      <c r="AQ567" s="270"/>
      <c r="AR567" s="270"/>
      <c r="AS567" s="270"/>
      <c r="AT567" s="270"/>
      <c r="AU567" s="270"/>
      <c r="AV567" s="270"/>
      <c r="AW567" s="270"/>
      <c r="AX567" s="270"/>
      <c r="AY567" s="1072"/>
      <c r="AZ567" s="270"/>
      <c r="BA567" s="270"/>
      <c r="BB567" s="1072"/>
      <c r="BC567" s="270"/>
      <c r="BD567" s="270"/>
      <c r="BE567" s="270"/>
      <c r="BF567" s="270"/>
      <c r="BG567" s="270"/>
      <c r="BH567" s="270"/>
      <c r="BI567" s="270"/>
      <c r="BJ567" s="270"/>
      <c r="BK567" s="270"/>
      <c r="BL567" s="270"/>
      <c r="BM567" s="270"/>
      <c r="BN567" s="270"/>
      <c r="BO567" s="270"/>
      <c r="BP567" s="270"/>
      <c r="BQ567" s="270"/>
      <c r="BR567" s="270"/>
      <c r="BS567" s="270"/>
      <c r="BT567" s="270"/>
      <c r="BU567" s="270"/>
      <c r="BV567" s="270"/>
      <c r="BW567" s="270"/>
      <c r="BX567" s="270"/>
      <c r="BY567" s="270"/>
      <c r="BZ567" s="270"/>
      <c r="CA567" s="270"/>
      <c r="CB567" s="270"/>
      <c r="CC567" s="270"/>
      <c r="CD567" s="270"/>
      <c r="CE567"/>
      <c r="CF567" s="1396"/>
      <c r="CG567" s="1396"/>
      <c r="CH567" s="270"/>
      <c r="CI567" s="270"/>
      <c r="CJ567" s="270"/>
      <c r="CK567" s="270"/>
      <c r="CL567" s="270"/>
      <c r="CM567" s="270"/>
    </row>
    <row r="568" spans="1:91" ht="13.5" hidden="1" outlineLevel="3" thickBot="1" x14ac:dyDescent="0.25">
      <c r="A568" s="270"/>
      <c r="B568" s="271"/>
      <c r="C568" s="12"/>
      <c r="D568" s="1071"/>
      <c r="E568" s="1071"/>
      <c r="F568" s="1071"/>
      <c r="G568" s="626"/>
      <c r="H568" s="271"/>
      <c r="I568" s="270"/>
      <c r="J568" s="270"/>
      <c r="K568" s="270"/>
      <c r="L568" s="270"/>
      <c r="M568" s="270"/>
      <c r="N568" s="270"/>
      <c r="O568" s="270"/>
      <c r="P568" s="1072"/>
      <c r="Q568" s="270"/>
      <c r="R568" s="270"/>
      <c r="S568" s="1072"/>
      <c r="T568" s="270"/>
      <c r="U568" s="1019"/>
      <c r="V568" s="1073"/>
      <c r="W568" s="1074"/>
      <c r="X568" s="1075" t="str">
        <f>N_Substitute</f>
        <v>Remplaçant</v>
      </c>
      <c r="Y568" s="627"/>
      <c r="Z568" s="492"/>
      <c r="AA568" s="1076"/>
      <c r="AB568" s="1069"/>
      <c r="AC568" s="1070"/>
      <c r="AD568" s="839"/>
      <c r="AE568" s="270"/>
      <c r="AF568" s="270"/>
      <c r="AG568" s="270"/>
      <c r="AH568" s="270"/>
      <c r="AI568" s="270"/>
      <c r="AJ568" s="270"/>
      <c r="AK568" s="270"/>
      <c r="AL568" s="270"/>
      <c r="AM568" s="270"/>
      <c r="AN568" s="270"/>
      <c r="AO568" s="271"/>
      <c r="AP568" s="270"/>
      <c r="AQ568" s="270"/>
      <c r="AR568" s="270"/>
      <c r="AS568" s="270"/>
      <c r="AT568" s="270"/>
      <c r="AU568" s="270"/>
      <c r="AV568" s="270"/>
      <c r="AW568" s="270"/>
      <c r="AX568" s="270"/>
      <c r="AY568" s="1072"/>
      <c r="AZ568" s="270"/>
      <c r="BA568" s="270"/>
      <c r="BB568" s="1072"/>
      <c r="BC568" s="270"/>
      <c r="BD568" s="270"/>
      <c r="BE568" s="270"/>
      <c r="BF568" s="270"/>
      <c r="BG568" s="270"/>
      <c r="BH568" s="270"/>
      <c r="BI568" s="270"/>
      <c r="BJ568" s="270"/>
      <c r="BK568" s="270"/>
      <c r="BL568" s="270"/>
      <c r="BM568" s="270"/>
      <c r="BN568" s="270"/>
      <c r="BO568" s="270"/>
      <c r="BP568" s="270"/>
      <c r="BQ568" s="270"/>
      <c r="BR568" s="270"/>
      <c r="BS568" s="270"/>
      <c r="BT568" s="270"/>
      <c r="BU568" s="270"/>
      <c r="BV568" s="270"/>
      <c r="BW568" s="270"/>
      <c r="BX568" s="270"/>
      <c r="BY568" s="270"/>
      <c r="BZ568" s="270"/>
      <c r="CA568" s="270"/>
      <c r="CB568" s="270"/>
      <c r="CC568" s="270"/>
      <c r="CD568" s="270"/>
      <c r="CE568"/>
      <c r="CF568" s="1396"/>
      <c r="CG568" s="1396"/>
      <c r="CH568" s="270"/>
      <c r="CI568" s="270"/>
      <c r="CJ568" s="270"/>
      <c r="CK568" s="270"/>
      <c r="CL568" s="270"/>
      <c r="CM568" s="270"/>
    </row>
    <row r="569" spans="1:91" ht="13.5" hidden="1" outlineLevel="3" thickBot="1" x14ac:dyDescent="0.25">
      <c r="A569" s="270"/>
      <c r="B569" s="271"/>
      <c r="C569" s="12"/>
      <c r="D569" s="1071"/>
      <c r="E569" s="1071"/>
      <c r="F569" s="1071"/>
      <c r="G569" s="626"/>
      <c r="H569" s="271"/>
      <c r="I569" s="270"/>
      <c r="J569" s="270"/>
      <c r="K569" s="270"/>
      <c r="L569" s="270"/>
      <c r="M569" s="270"/>
      <c r="N569" s="270"/>
      <c r="O569" s="270"/>
      <c r="P569" s="1072"/>
      <c r="Q569" s="270"/>
      <c r="R569" s="270"/>
      <c r="S569" s="1072"/>
      <c r="T569" s="270"/>
      <c r="U569" s="1019"/>
      <c r="V569" s="1119"/>
      <c r="W569" s="1120"/>
      <c r="X569" s="1075" t="str">
        <f>N_Substitute</f>
        <v>Remplaçant</v>
      </c>
      <c r="Y569" s="627"/>
      <c r="Z569" s="492"/>
      <c r="AA569" s="1121"/>
      <c r="AB569" s="1069"/>
      <c r="AC569" s="1070"/>
      <c r="AD569" s="839"/>
      <c r="AE569" s="270"/>
      <c r="AF569" s="270"/>
      <c r="AG569" s="270"/>
      <c r="AH569" s="270"/>
      <c r="AI569" s="270"/>
      <c r="AJ569" s="270"/>
      <c r="AK569" s="270"/>
      <c r="AL569" s="270"/>
      <c r="AM569" s="270"/>
      <c r="AN569" s="270"/>
      <c r="AO569" s="271"/>
      <c r="AP569" s="270"/>
      <c r="AQ569" s="270"/>
      <c r="AR569" s="270"/>
      <c r="AS569" s="270"/>
      <c r="AT569" s="270"/>
      <c r="AU569" s="270"/>
      <c r="AV569" s="270"/>
      <c r="AW569" s="270"/>
      <c r="AX569" s="270"/>
      <c r="AY569" s="1072"/>
      <c r="AZ569" s="270"/>
      <c r="BA569" s="270"/>
      <c r="BB569" s="1072"/>
      <c r="BC569" s="270"/>
      <c r="BD569" s="270"/>
      <c r="BE569" s="270"/>
      <c r="BF569" s="270"/>
      <c r="BG569" s="270"/>
      <c r="BH569" s="270"/>
      <c r="BI569" s="270"/>
      <c r="BJ569" s="270"/>
      <c r="BK569" s="270"/>
      <c r="BL569" s="270"/>
      <c r="BM569" s="270"/>
      <c r="BN569" s="270"/>
      <c r="BO569" s="270"/>
      <c r="BP569" s="270"/>
      <c r="BQ569" s="270"/>
      <c r="BR569" s="270"/>
      <c r="BS569" s="270"/>
      <c r="BT569" s="270"/>
      <c r="BU569" s="270"/>
      <c r="BV569" s="270"/>
      <c r="BW569" s="270"/>
      <c r="BX569" s="270"/>
      <c r="BY569" s="270"/>
      <c r="BZ569" s="270"/>
      <c r="CA569" s="270"/>
      <c r="CB569" s="270"/>
      <c r="CC569" s="270"/>
      <c r="CD569" s="270"/>
      <c r="CE569"/>
      <c r="CF569" s="1396"/>
      <c r="CG569" s="1396"/>
      <c r="CH569" s="270"/>
      <c r="CI569" s="270"/>
      <c r="CJ569" s="270"/>
      <c r="CK569" s="270"/>
      <c r="CL569" s="270"/>
      <c r="CM569" s="270"/>
    </row>
    <row r="570" spans="1:91" hidden="1" outlineLevel="2" collapsed="1" x14ac:dyDescent="0.2">
      <c r="A570" s="270"/>
      <c r="B570" s="271"/>
      <c r="C570" s="270"/>
      <c r="D570" s="270"/>
      <c r="E570" s="270"/>
      <c r="F570" s="270"/>
      <c r="G570" s="271"/>
      <c r="H570" s="270"/>
      <c r="I570" s="270"/>
      <c r="J570" s="270"/>
      <c r="K570" s="270"/>
      <c r="L570" s="270"/>
      <c r="M570" s="270"/>
      <c r="N570" s="270"/>
      <c r="O570" s="270"/>
      <c r="P570" s="270"/>
      <c r="Q570" s="270"/>
      <c r="R570" s="270"/>
      <c r="S570" s="270"/>
      <c r="T570" s="270"/>
      <c r="U570" s="1019" t="s">
        <v>1728</v>
      </c>
      <c r="V570" s="1179"/>
      <c r="W570" s="1177"/>
      <c r="X570" s="1207"/>
      <c r="Y570" s="1180" t="str">
        <f>G503</f>
        <v>Eq6</v>
      </c>
      <c r="Z570" s="1103" t="str">
        <f>IF(OR(ISNUMBER(Z571),ISNUMBER(Z572),ISNUMBER(Z573),ISNUMBER(Z574)),4-COUNTBLANK(AI571:AI574),"")</f>
        <v/>
      </c>
      <c r="AA570" s="1104" t="s">
        <v>769</v>
      </c>
      <c r="AB570" s="1103" t="str">
        <f>IF(OR(ISNUMBER(Z571),ISNUMBER(Z572),ISNUMBER(Z573),ISNUMBER(Z574)),4-COUNTBLANK(AJ571:AJ574),"")</f>
        <v/>
      </c>
      <c r="AC570" s="1220" t="str">
        <f>G499</f>
        <v>Eq2</v>
      </c>
      <c r="AD570" s="839"/>
      <c r="AE570" s="270" t="str">
        <f>IF(Z570="","",IF(Z570&gt;AB570,Y570,IF(Z570=AB570,IF(NoDrawWithWithdraw,IF(AL570=Y570,AC570,IF(AL570=AC570,Y570,"")),""),AC570)))</f>
        <v/>
      </c>
      <c r="AF570" s="270" t="str">
        <f>IF(Z570="","",IF(Z570=AB570,IF(NoDrawWithWithdraw,IF(AL570=Y570,"",IF(AL570=AC570,"",Y570)),Y570),""))</f>
        <v/>
      </c>
      <c r="AG570" s="270" t="str">
        <f>IF(Z570="","",IF(Z570=AB570,IF(NoDrawWithWithdraw,IF(AL570=Y570,"",IF(AL570=AC570,"",AC570)),AC570),""))</f>
        <v/>
      </c>
      <c r="AH570" s="270" t="str">
        <f>IF(Z570="","",IF(Z570&lt;AB570,Y570,IF(Z570=AB570,IF(NoDrawWithWithdraw,IF(AL570=Y570,Y570,IF(AL570=AC570,AC570,"")),""),AC570)))</f>
        <v/>
      </c>
      <c r="AI570" s="270" t="str">
        <f>IF(Z570="","",SUM(Z571:Z574))</f>
        <v/>
      </c>
      <c r="AJ570" s="270" t="str">
        <f>IF(Z570="","",SUM(AB571:AB574))</f>
        <v/>
      </c>
      <c r="AK570" s="270" t="str">
        <f>CONCATENATE(AE570,AH570)</f>
        <v/>
      </c>
      <c r="AL570" s="270" t="str">
        <f>IF(COUNTIF(Y571:Y574,WithdrawLabel)&gt;COUNTIF(AC571:AC574,WithdrawLabel),Y570,IF(COUNTIF(AC571:AC574,WithdrawLabel)&gt;COUNTIF(Y571:Y574,WithdrawLabel),AC570,""))</f>
        <v/>
      </c>
      <c r="AM570" s="270"/>
      <c r="AN570" s="270"/>
      <c r="AO570" s="575"/>
      <c r="AP570" s="270"/>
      <c r="AQ570" s="270"/>
      <c r="AR570" s="270"/>
      <c r="AS570" s="270"/>
      <c r="AT570" s="270"/>
      <c r="AU570" s="270"/>
      <c r="AV570" s="270"/>
      <c r="AW570" s="270"/>
      <c r="AX570" s="270"/>
      <c r="AY570" s="270"/>
      <c r="AZ570" s="270"/>
      <c r="BA570" s="270"/>
      <c r="BB570" s="270"/>
      <c r="BC570" s="270"/>
      <c r="BD570" s="270"/>
      <c r="BE570" s="270"/>
      <c r="BF570" s="270"/>
      <c r="BG570" s="270"/>
      <c r="BH570" s="270"/>
      <c r="BI570" s="270"/>
      <c r="BJ570" s="270"/>
      <c r="BK570" s="270"/>
      <c r="BL570" s="270"/>
      <c r="BM570" s="270"/>
      <c r="BN570" s="270"/>
      <c r="BO570" s="270"/>
      <c r="BP570" s="270"/>
      <c r="BQ570" s="270"/>
      <c r="BR570" s="270"/>
      <c r="BS570" s="270"/>
      <c r="BT570" s="270"/>
      <c r="BU570" s="270"/>
      <c r="BV570" s="270"/>
      <c r="BW570" s="270"/>
      <c r="BX570" s="270"/>
      <c r="BY570" s="270"/>
      <c r="BZ570" s="270"/>
      <c r="CA570" s="270"/>
      <c r="CB570" s="270"/>
      <c r="CC570" s="270"/>
      <c r="CD570" s="270"/>
      <c r="CE570"/>
      <c r="CF570" s="1396"/>
      <c r="CG570" s="1396"/>
      <c r="CH570" s="270"/>
      <c r="CI570" s="270"/>
      <c r="CJ570" s="270"/>
      <c r="CK570" s="270"/>
      <c r="CL570" s="270"/>
      <c r="CM570" s="270"/>
    </row>
    <row r="571" spans="1:91" ht="13.5" hidden="1" outlineLevel="3" thickBot="1" x14ac:dyDescent="0.25">
      <c r="A571" s="270"/>
      <c r="B571" s="271"/>
      <c r="C571" s="12"/>
      <c r="D571" s="1071"/>
      <c r="E571" s="1071"/>
      <c r="F571" s="1071"/>
      <c r="G571" s="1172"/>
      <c r="H571" s="271"/>
      <c r="I571" s="270"/>
      <c r="J571" s="270"/>
      <c r="K571" s="270"/>
      <c r="L571" s="270"/>
      <c r="M571" s="270"/>
      <c r="N571" s="270"/>
      <c r="O571" s="270"/>
      <c r="P571" s="1072"/>
      <c r="Q571" s="270"/>
      <c r="R571" s="270"/>
      <c r="S571" s="1072"/>
      <c r="T571" s="270"/>
      <c r="U571" s="1019"/>
      <c r="V571" s="1176"/>
      <c r="W571" s="1177"/>
      <c r="X571" s="1207"/>
      <c r="Y571" s="627"/>
      <c r="Z571" s="492"/>
      <c r="AA571" s="493" t="s">
        <v>769</v>
      </c>
      <c r="AB571" s="1069"/>
      <c r="AC571" s="1070"/>
      <c r="AD571" s="839"/>
      <c r="AE571" s="270" t="str">
        <f>IF(Z571="","",IF(Z571&gt;AB571,Y571,IF(Z571=AB571,"",AC571)))</f>
        <v/>
      </c>
      <c r="AF571" s="270" t="str">
        <f>IF(Z571="","",IF(Z571=AB571,Y571,""))</f>
        <v/>
      </c>
      <c r="AG571" s="270" t="str">
        <f>IF(Z571="","",IF(Z571=AB571,AC571,""))</f>
        <v/>
      </c>
      <c r="AH571" s="270" t="str">
        <f>IF(Z571="","",IF(Z571&lt;AB571,Y571,IF(Z571=AB571,"",AC571)))</f>
        <v/>
      </c>
      <c r="AI571" s="270" t="str">
        <f>IF(Z571="","",IF(Z571&gt;AB571,Y570,""))</f>
        <v/>
      </c>
      <c r="AJ571" s="270" t="str">
        <f>IF(Z571="","",IF(Z571&lt;AB571,AC570,""))</f>
        <v/>
      </c>
      <c r="AK571" s="270" t="str">
        <f>CONCATENATE(AE571,AH571)</f>
        <v/>
      </c>
      <c r="AL571" s="270"/>
      <c r="AM571" s="270"/>
      <c r="AN571" s="270"/>
      <c r="AO571" s="271"/>
      <c r="AP571" s="270"/>
      <c r="AQ571" s="270"/>
      <c r="AR571" s="270"/>
      <c r="AS571" s="270"/>
      <c r="AT571" s="270"/>
      <c r="AU571" s="270"/>
      <c r="AV571" s="270"/>
      <c r="AW571" s="270"/>
      <c r="AX571" s="270"/>
      <c r="AY571" s="1072"/>
      <c r="AZ571" s="270"/>
      <c r="BA571" s="270"/>
      <c r="BB571" s="1072"/>
      <c r="BC571" s="270"/>
      <c r="BD571" s="270"/>
      <c r="BE571" s="270"/>
      <c r="BF571" s="270"/>
      <c r="BG571" s="270"/>
      <c r="BH571" s="270"/>
      <c r="BI571" s="270"/>
      <c r="BJ571" s="270"/>
      <c r="BK571" s="270"/>
      <c r="BL571" s="270"/>
      <c r="BM571" s="270"/>
      <c r="BN571" s="270"/>
      <c r="BO571" s="270"/>
      <c r="BP571" s="270"/>
      <c r="BQ571" s="270"/>
      <c r="BR571" s="270"/>
      <c r="BS571" s="270"/>
      <c r="BT571" s="270"/>
      <c r="BU571" s="270"/>
      <c r="BV571" s="270"/>
      <c r="BW571" s="270"/>
      <c r="BX571" s="270"/>
      <c r="BY571" s="270"/>
      <c r="BZ571" s="270"/>
      <c r="CA571" s="270"/>
      <c r="CB571" s="270"/>
      <c r="CC571" s="270"/>
      <c r="CD571" s="270"/>
      <c r="CE571"/>
      <c r="CF571" s="1396"/>
      <c r="CG571" s="1396"/>
      <c r="CH571" s="270"/>
      <c r="CI571" s="270"/>
      <c r="CJ571" s="270"/>
      <c r="CK571" s="270"/>
      <c r="CL571" s="270"/>
      <c r="CM571" s="270"/>
    </row>
    <row r="572" spans="1:91" ht="13.5" hidden="1" outlineLevel="3" thickBot="1" x14ac:dyDescent="0.25">
      <c r="A572" s="270"/>
      <c r="B572" s="271"/>
      <c r="C572" s="12"/>
      <c r="D572" s="1071"/>
      <c r="E572" s="1071"/>
      <c r="F572" s="1071"/>
      <c r="G572" s="1172"/>
      <c r="H572" s="271"/>
      <c r="I572" s="270"/>
      <c r="J572" s="270"/>
      <c r="K572" s="270"/>
      <c r="L572" s="270"/>
      <c r="M572" s="270"/>
      <c r="N572" s="270"/>
      <c r="O572" s="270"/>
      <c r="P572" s="1072"/>
      <c r="Q572" s="270"/>
      <c r="R572" s="270"/>
      <c r="S572" s="1072"/>
      <c r="T572" s="270"/>
      <c r="U572" s="1019"/>
      <c r="V572" s="1176"/>
      <c r="W572" s="1177"/>
      <c r="X572" s="1207"/>
      <c r="Y572" s="627"/>
      <c r="Z572" s="492"/>
      <c r="AA572" s="493" t="s">
        <v>769</v>
      </c>
      <c r="AB572" s="1069"/>
      <c r="AC572" s="1070"/>
      <c r="AD572" s="839"/>
      <c r="AE572" s="270" t="str">
        <f>IF(Z572="","",IF(Z572&gt;AB572,Y572,IF(Z572=AB572,"",AC572)))</f>
        <v/>
      </c>
      <c r="AF572" s="270" t="str">
        <f>IF(Z572="","",IF(Z572=AB572,Y572,""))</f>
        <v/>
      </c>
      <c r="AG572" s="270" t="str">
        <f>IF(Z572="","",IF(Z572=AB572,AC572,""))</f>
        <v/>
      </c>
      <c r="AH572" s="270" t="str">
        <f>IF(Z572="","",IF(Z572&lt;AB572,Y572,IF(Z572=AB572,"",AC572)))</f>
        <v/>
      </c>
      <c r="AI572" s="270" t="str">
        <f>IF(Z572="","",IF(Z572&gt;AB572,Y570,""))</f>
        <v/>
      </c>
      <c r="AJ572" s="270" t="str">
        <f>IF(Z572="","",IF(Z572&lt;AB572,AC570,""))</f>
        <v/>
      </c>
      <c r="AK572" s="270" t="str">
        <f>CONCATENATE(AE572,AH572)</f>
        <v/>
      </c>
      <c r="AL572" s="270"/>
      <c r="AM572" s="270"/>
      <c r="AN572" s="270"/>
      <c r="AO572" s="271"/>
      <c r="AP572" s="270"/>
      <c r="AQ572" s="270"/>
      <c r="AR572" s="270"/>
      <c r="AS572" s="270"/>
      <c r="AT572" s="270"/>
      <c r="AU572" s="270"/>
      <c r="AV572" s="270"/>
      <c r="AW572" s="270"/>
      <c r="AX572" s="270"/>
      <c r="AY572" s="1072"/>
      <c r="AZ572" s="270"/>
      <c r="BA572" s="270"/>
      <c r="BB572" s="1072"/>
      <c r="BC572" s="270"/>
      <c r="BD572" s="270"/>
      <c r="BE572" s="270"/>
      <c r="BF572" s="270"/>
      <c r="BG572" s="270"/>
      <c r="BH572" s="270"/>
      <c r="BI572" s="270"/>
      <c r="BJ572" s="270"/>
      <c r="BK572" s="270"/>
      <c r="BL572" s="270"/>
      <c r="BM572" s="270"/>
      <c r="BN572" s="270"/>
      <c r="BO572" s="270"/>
      <c r="BP572" s="270"/>
      <c r="BQ572" s="270"/>
      <c r="BR572" s="270"/>
      <c r="BS572" s="270"/>
      <c r="BT572" s="270"/>
      <c r="BU572" s="270"/>
      <c r="BV572" s="270"/>
      <c r="BW572" s="270"/>
      <c r="BX572" s="270"/>
      <c r="BY572" s="270"/>
      <c r="BZ572" s="270"/>
      <c r="CA572" s="270"/>
      <c r="CB572" s="270"/>
      <c r="CC572" s="270"/>
      <c r="CD572" s="270"/>
      <c r="CE572"/>
      <c r="CF572" s="1396"/>
      <c r="CG572" s="1396"/>
      <c r="CH572" s="270"/>
      <c r="CI572" s="270"/>
      <c r="CJ572" s="270"/>
      <c r="CK572" s="270"/>
      <c r="CL572" s="270"/>
      <c r="CM572" s="270"/>
    </row>
    <row r="573" spans="1:91" ht="13.5" hidden="1" outlineLevel="3" thickBot="1" x14ac:dyDescent="0.25">
      <c r="A573" s="270"/>
      <c r="B573" s="271"/>
      <c r="C573" s="12"/>
      <c r="D573" s="1071"/>
      <c r="E573" s="1071"/>
      <c r="F573" s="1071"/>
      <c r="G573" s="1172"/>
      <c r="H573" s="271"/>
      <c r="I573" s="270"/>
      <c r="J573" s="270"/>
      <c r="K573" s="270"/>
      <c r="L573" s="270"/>
      <c r="M573" s="270"/>
      <c r="N573" s="270"/>
      <c r="O573" s="270"/>
      <c r="P573" s="1072"/>
      <c r="Q573" s="270"/>
      <c r="R573" s="270"/>
      <c r="S573" s="1072"/>
      <c r="T573" s="270"/>
      <c r="U573" s="1019"/>
      <c r="V573" s="1176"/>
      <c r="W573" s="1177"/>
      <c r="X573" s="1207"/>
      <c r="Y573" s="627"/>
      <c r="Z573" s="492"/>
      <c r="AA573" s="493" t="s">
        <v>769</v>
      </c>
      <c r="AB573" s="1069"/>
      <c r="AC573" s="1070"/>
      <c r="AD573" s="839"/>
      <c r="AE573" s="270" t="str">
        <f>IF(Z573="","",IF(Z573&gt;AB573,Y573,IF(Z573=AB573,"",AC573)))</f>
        <v/>
      </c>
      <c r="AF573" s="270" t="str">
        <f>IF(Z573="","",IF(Z573=AB573,Y573,""))</f>
        <v/>
      </c>
      <c r="AG573" s="270" t="str">
        <f>IF(Z573="","",IF(Z573=AB573,AC573,""))</f>
        <v/>
      </c>
      <c r="AH573" s="270" t="str">
        <f>IF(Z573="","",IF(Z573&lt;AB573,Y573,IF(Z573=AB573,"",AC573)))</f>
        <v/>
      </c>
      <c r="AI573" s="270" t="str">
        <f>IF(Z573="","",IF(Z573&gt;AB573,Y570,""))</f>
        <v/>
      </c>
      <c r="AJ573" s="270" t="str">
        <f>IF(Z573="","",IF(Z573&lt;AB573,AC570,""))</f>
        <v/>
      </c>
      <c r="AK573" s="270" t="str">
        <f>CONCATENATE(AE573,AH573)</f>
        <v/>
      </c>
      <c r="AL573" s="270"/>
      <c r="AM573" s="270"/>
      <c r="AN573" s="270"/>
      <c r="AO573" s="271"/>
      <c r="AP573" s="270"/>
      <c r="AQ573" s="270"/>
      <c r="AR573" s="270"/>
      <c r="AS573" s="270"/>
      <c r="AT573" s="270"/>
      <c r="AU573" s="270"/>
      <c r="AV573" s="270"/>
      <c r="AW573" s="270"/>
      <c r="AX573" s="270"/>
      <c r="AY573" s="1072"/>
      <c r="AZ573" s="270"/>
      <c r="BA573" s="270"/>
      <c r="BB573" s="1072"/>
      <c r="BC573" s="270"/>
      <c r="BD573" s="270"/>
      <c r="BE573" s="270"/>
      <c r="BF573" s="270"/>
      <c r="BG573" s="270"/>
      <c r="BH573" s="270"/>
      <c r="BI573" s="270"/>
      <c r="BJ573" s="270"/>
      <c r="BK573" s="270"/>
      <c r="BL573" s="270"/>
      <c r="BM573" s="270"/>
      <c r="BN573" s="270"/>
      <c r="BO573" s="270"/>
      <c r="BP573" s="270"/>
      <c r="BQ573" s="270"/>
      <c r="BR573" s="270"/>
      <c r="BS573" s="270"/>
      <c r="BT573" s="270"/>
      <c r="BU573" s="270"/>
      <c r="BV573" s="270"/>
      <c r="BW573" s="270"/>
      <c r="BX573" s="270"/>
      <c r="BY573" s="270"/>
      <c r="BZ573" s="270"/>
      <c r="CA573" s="270"/>
      <c r="CB573" s="270"/>
      <c r="CC573" s="270"/>
      <c r="CD573" s="270"/>
      <c r="CE573"/>
      <c r="CF573" s="1396"/>
      <c r="CG573" s="1396"/>
      <c r="CH573" s="270"/>
      <c r="CI573" s="270"/>
      <c r="CJ573" s="270"/>
      <c r="CK573" s="270"/>
      <c r="CL573" s="270"/>
      <c r="CM573" s="270"/>
    </row>
    <row r="574" spans="1:91" ht="13.5" hidden="1" outlineLevel="3" thickBot="1" x14ac:dyDescent="0.25">
      <c r="A574" s="270"/>
      <c r="B574" s="271"/>
      <c r="C574" s="12"/>
      <c r="D574" s="1071"/>
      <c r="E574" s="1071"/>
      <c r="F574" s="1071"/>
      <c r="G574" s="1172"/>
      <c r="H574" s="271"/>
      <c r="I574" s="270"/>
      <c r="J574" s="270"/>
      <c r="K574" s="270"/>
      <c r="L574" s="270"/>
      <c r="M574" s="270"/>
      <c r="N574" s="270"/>
      <c r="O574" s="270"/>
      <c r="P574" s="1072"/>
      <c r="Q574" s="270"/>
      <c r="R574" s="270"/>
      <c r="S574" s="1072"/>
      <c r="T574" s="270"/>
      <c r="U574" s="1019"/>
      <c r="V574" s="1176"/>
      <c r="W574" s="1177"/>
      <c r="X574" s="1207"/>
      <c r="Y574" s="627"/>
      <c r="Z574" s="492"/>
      <c r="AA574" s="493" t="s">
        <v>769</v>
      </c>
      <c r="AB574" s="1069"/>
      <c r="AC574" s="1070"/>
      <c r="AD574" s="839"/>
      <c r="AE574" s="270" t="str">
        <f>IF(Z574="","",IF(Z574&gt;AB574,Y574,IF(Z574=AB574,"",AC574)))</f>
        <v/>
      </c>
      <c r="AF574" s="270" t="str">
        <f>IF(Z574="","",IF(Z574=AB574,Y574,""))</f>
        <v/>
      </c>
      <c r="AG574" s="270" t="str">
        <f>IF(Z574="","",IF(Z574=AB574,AC574,""))</f>
        <v/>
      </c>
      <c r="AH574" s="270" t="str">
        <f>IF(Z574="","",IF(Z574&lt;AB574,Y574,IF(Z574=AB574,"",AC574)))</f>
        <v/>
      </c>
      <c r="AI574" s="270" t="str">
        <f>IF(Z574="","",IF(Z574&gt;AB574,Y570,""))</f>
        <v/>
      </c>
      <c r="AJ574" s="270" t="str">
        <f>IF(Z574="","",IF(Z574&lt;AB574,AC570,""))</f>
        <v/>
      </c>
      <c r="AK574" s="270" t="str">
        <f>CONCATENATE(AE574,AH574)</f>
        <v/>
      </c>
      <c r="AL574" s="270"/>
      <c r="AM574" s="270"/>
      <c r="AN574" s="270"/>
      <c r="AO574" s="271"/>
      <c r="AP574" s="270"/>
      <c r="AQ574" s="270"/>
      <c r="AR574" s="270"/>
      <c r="AS574" s="270"/>
      <c r="AT574" s="270"/>
      <c r="AU574" s="270"/>
      <c r="AV574" s="270"/>
      <c r="AW574" s="270"/>
      <c r="AX574" s="270"/>
      <c r="AY574" s="1072"/>
      <c r="AZ574" s="270"/>
      <c r="BA574" s="270"/>
      <c r="BB574" s="1072"/>
      <c r="BC574" s="270"/>
      <c r="BD574" s="270"/>
      <c r="BE574" s="270"/>
      <c r="BF574" s="270"/>
      <c r="BG574" s="270"/>
      <c r="BH574" s="270"/>
      <c r="BI574" s="270"/>
      <c r="BJ574" s="270"/>
      <c r="BK574" s="270"/>
      <c r="BL574" s="270"/>
      <c r="BM574" s="270"/>
      <c r="BN574" s="270"/>
      <c r="BO574" s="270"/>
      <c r="BP574" s="270"/>
      <c r="BQ574" s="270"/>
      <c r="BR574" s="270"/>
      <c r="BS574" s="270"/>
      <c r="BT574" s="270"/>
      <c r="BU574" s="270"/>
      <c r="BV574" s="270"/>
      <c r="BW574" s="270"/>
      <c r="BX574" s="270"/>
      <c r="BY574" s="270"/>
      <c r="BZ574" s="270"/>
      <c r="CA574" s="270"/>
      <c r="CB574" s="270"/>
      <c r="CC574" s="270"/>
      <c r="CD574" s="270"/>
      <c r="CE574"/>
      <c r="CF574" s="1396"/>
      <c r="CG574" s="1396"/>
      <c r="CH574" s="270"/>
      <c r="CI574" s="270"/>
      <c r="CJ574" s="270"/>
      <c r="CK574" s="270"/>
      <c r="CL574" s="270"/>
      <c r="CM574" s="270"/>
    </row>
    <row r="575" spans="1:91" ht="13.5" hidden="1" outlineLevel="3" thickBot="1" x14ac:dyDescent="0.25">
      <c r="A575" s="270"/>
      <c r="B575" s="271"/>
      <c r="C575" s="12"/>
      <c r="D575" s="1071"/>
      <c r="E575" s="1071"/>
      <c r="F575" s="1071"/>
      <c r="G575" s="626"/>
      <c r="H575" s="271"/>
      <c r="I575" s="270"/>
      <c r="J575" s="270"/>
      <c r="K575" s="270"/>
      <c r="L575" s="270"/>
      <c r="M575" s="270"/>
      <c r="N575" s="270"/>
      <c r="O575" s="270"/>
      <c r="P575" s="1072"/>
      <c r="Q575" s="270"/>
      <c r="R575" s="270"/>
      <c r="S575" s="1072"/>
      <c r="T575" s="270"/>
      <c r="U575" s="1019"/>
      <c r="V575" s="1073"/>
      <c r="W575" s="1074"/>
      <c r="X575" s="1075" t="str">
        <f>N_Substitute</f>
        <v>Remplaçant</v>
      </c>
      <c r="Y575" s="627"/>
      <c r="Z575" s="492"/>
      <c r="AA575" s="1076"/>
      <c r="AB575" s="1069"/>
      <c r="AC575" s="1070"/>
      <c r="AD575" s="839"/>
      <c r="AE575" s="270"/>
      <c r="AF575" s="270"/>
      <c r="AG575" s="270"/>
      <c r="AH575" s="270"/>
      <c r="AI575" s="270"/>
      <c r="AJ575" s="270"/>
      <c r="AK575" s="270"/>
      <c r="AL575" s="270"/>
      <c r="AM575" s="270"/>
      <c r="AN575" s="270"/>
      <c r="AO575" s="271"/>
      <c r="AP575" s="270"/>
      <c r="AQ575" s="270"/>
      <c r="AR575" s="270"/>
      <c r="AS575" s="270"/>
      <c r="AT575" s="270"/>
      <c r="AU575" s="270"/>
      <c r="AV575" s="270"/>
      <c r="AW575" s="270"/>
      <c r="AX575" s="270"/>
      <c r="AY575" s="1072"/>
      <c r="AZ575" s="270"/>
      <c r="BA575" s="270"/>
      <c r="BB575" s="1072"/>
      <c r="BC575" s="270"/>
      <c r="BD575" s="270"/>
      <c r="BE575" s="270"/>
      <c r="BF575" s="270"/>
      <c r="BG575" s="270"/>
      <c r="BH575" s="270"/>
      <c r="BI575" s="270"/>
      <c r="BJ575" s="270"/>
      <c r="BK575" s="270"/>
      <c r="BL575" s="270"/>
      <c r="BM575" s="270"/>
      <c r="BN575" s="270"/>
      <c r="BO575" s="270"/>
      <c r="BP575" s="270"/>
      <c r="BQ575" s="270"/>
      <c r="BR575" s="270"/>
      <c r="BS575" s="270"/>
      <c r="BT575" s="270"/>
      <c r="BU575" s="270"/>
      <c r="BV575" s="270"/>
      <c r="BW575" s="270"/>
      <c r="BX575" s="270"/>
      <c r="BY575" s="270"/>
      <c r="BZ575" s="270"/>
      <c r="CA575" s="270"/>
      <c r="CB575" s="270"/>
      <c r="CC575" s="270"/>
      <c r="CD575" s="270"/>
      <c r="CE575"/>
      <c r="CF575" s="1396"/>
      <c r="CG575" s="1396"/>
      <c r="CH575" s="270"/>
      <c r="CI575" s="270"/>
      <c r="CJ575" s="270"/>
      <c r="CK575" s="270"/>
      <c r="CL575" s="270"/>
      <c r="CM575" s="270"/>
    </row>
    <row r="576" spans="1:91" ht="13.5" hidden="1" outlineLevel="3" thickBot="1" x14ac:dyDescent="0.25">
      <c r="A576" s="270"/>
      <c r="B576" s="271"/>
      <c r="C576" s="12"/>
      <c r="D576" s="1071"/>
      <c r="E576" s="1071"/>
      <c r="F576" s="1071"/>
      <c r="G576" s="626"/>
      <c r="H576" s="271"/>
      <c r="I576" s="270"/>
      <c r="J576" s="270"/>
      <c r="K576" s="270"/>
      <c r="L576" s="270"/>
      <c r="M576" s="270"/>
      <c r="N576" s="270"/>
      <c r="O576" s="270"/>
      <c r="P576" s="1072"/>
      <c r="Q576" s="270"/>
      <c r="R576" s="270"/>
      <c r="S576" s="1072"/>
      <c r="T576" s="270"/>
      <c r="U576" s="1019"/>
      <c r="V576" s="1119"/>
      <c r="W576" s="1120"/>
      <c r="X576" s="1075" t="str">
        <f>N_Substitute</f>
        <v>Remplaçant</v>
      </c>
      <c r="Y576" s="627"/>
      <c r="Z576" s="492"/>
      <c r="AA576" s="1121"/>
      <c r="AB576" s="1069"/>
      <c r="AC576" s="1070"/>
      <c r="AD576" s="839"/>
      <c r="AE576" s="270"/>
      <c r="AF576" s="270"/>
      <c r="AG576" s="270"/>
      <c r="AH576" s="270"/>
      <c r="AI576" s="270"/>
      <c r="AJ576" s="270"/>
      <c r="AK576" s="270"/>
      <c r="AL576" s="270"/>
      <c r="AM576" s="270"/>
      <c r="AN576" s="270"/>
      <c r="AO576" s="271"/>
      <c r="AP576" s="270"/>
      <c r="AQ576" s="270"/>
      <c r="AR576" s="270"/>
      <c r="AS576" s="270"/>
      <c r="AT576" s="270"/>
      <c r="AU576" s="270"/>
      <c r="AV576" s="270"/>
      <c r="AW576" s="270"/>
      <c r="AX576" s="270"/>
      <c r="AY576" s="1072"/>
      <c r="AZ576" s="270"/>
      <c r="BA576" s="270"/>
      <c r="BB576" s="1072"/>
      <c r="BC576" s="270"/>
      <c r="BD576" s="270"/>
      <c r="BE576" s="270"/>
      <c r="BF576" s="270"/>
      <c r="BG576" s="270"/>
      <c r="BH576" s="270"/>
      <c r="BI576" s="270"/>
      <c r="BJ576" s="270"/>
      <c r="BK576" s="270"/>
      <c r="BL576" s="270"/>
      <c r="BM576" s="270"/>
      <c r="BN576" s="270"/>
      <c r="BO576" s="270"/>
      <c r="BP576" s="270"/>
      <c r="BQ576" s="270"/>
      <c r="BR576" s="270"/>
      <c r="BS576" s="270"/>
      <c r="BT576" s="270"/>
      <c r="BU576" s="270"/>
      <c r="BV576" s="270"/>
      <c r="BW576" s="270"/>
      <c r="BX576" s="270"/>
      <c r="BY576" s="270"/>
      <c r="BZ576" s="270"/>
      <c r="CA576" s="270"/>
      <c r="CB576" s="270"/>
      <c r="CC576" s="270"/>
      <c r="CD576" s="270"/>
      <c r="CE576"/>
      <c r="CF576" s="1396"/>
      <c r="CG576" s="1396"/>
      <c r="CH576" s="270"/>
      <c r="CI576" s="270"/>
      <c r="CJ576" s="270"/>
      <c r="CK576" s="270"/>
      <c r="CL576" s="270"/>
      <c r="CM576" s="270"/>
    </row>
    <row r="577" spans="1:91" hidden="1" outlineLevel="2" collapsed="1" x14ac:dyDescent="0.2">
      <c r="A577" s="270"/>
      <c r="B577" s="271"/>
      <c r="C577" s="270"/>
      <c r="D577" s="270"/>
      <c r="E577" s="270"/>
      <c r="F577" s="270"/>
      <c r="G577" s="271"/>
      <c r="H577" s="270"/>
      <c r="I577" s="270"/>
      <c r="J577" s="270"/>
      <c r="K577" s="270"/>
      <c r="L577" s="270"/>
      <c r="M577" s="270"/>
      <c r="N577" s="270"/>
      <c r="O577" s="270"/>
      <c r="P577" s="270"/>
      <c r="Q577" s="270"/>
      <c r="R577" s="270"/>
      <c r="S577" s="270"/>
      <c r="T577" s="270"/>
      <c r="U577" s="1019" t="s">
        <v>1728</v>
      </c>
      <c r="V577" s="1179"/>
      <c r="W577" s="1177"/>
      <c r="X577" s="1207"/>
      <c r="Y577" s="1180" t="str">
        <f>G504</f>
        <v>Eq7</v>
      </c>
      <c r="Z577" s="1103" t="str">
        <f>IF(OR(ISNUMBER(Z578),ISNUMBER(Z579),ISNUMBER(Z580),ISNUMBER(Z581)),4-COUNTBLANK(AI578:AI581),"")</f>
        <v/>
      </c>
      <c r="AA577" s="1104" t="s">
        <v>769</v>
      </c>
      <c r="AB577" s="1103" t="str">
        <f>IF(OR(ISNUMBER(Z578),ISNUMBER(Z579),ISNUMBER(Z580),ISNUMBER(Z581)),4-COUNTBLANK(AJ578:AJ581),"")</f>
        <v/>
      </c>
      <c r="AC577" s="1185" t="str">
        <f>G498</f>
        <v>Eq1</v>
      </c>
      <c r="AD577" s="839"/>
      <c r="AE577" s="270" t="str">
        <f>IF(Z577="","",IF(Z577&gt;AB577,Y577,IF(Z577=AB577,IF(NoDrawWithWithdraw,IF(AL577=Y577,AC577,IF(AL577=AC577,Y577,"")),""),AC577)))</f>
        <v/>
      </c>
      <c r="AF577" s="270" t="str">
        <f>IF(Z577="","",IF(Z577=AB577,IF(NoDrawWithWithdraw,IF(AL577=Y577,"",IF(AL577=AC577,"",Y577)),Y577),""))</f>
        <v/>
      </c>
      <c r="AG577" s="270" t="str">
        <f>IF(Z577="","",IF(Z577=AB577,IF(NoDrawWithWithdraw,IF(AL577=Y577,"",IF(AL577=AC577,"",AC577)),AC577),""))</f>
        <v/>
      </c>
      <c r="AH577" s="270" t="str">
        <f>IF(Z577="","",IF(Z577&lt;AB577,Y577,IF(Z577=AB577,IF(NoDrawWithWithdraw,IF(AL577=Y577,Y577,IF(AL577=AC577,AC577,"")),""),AC577)))</f>
        <v/>
      </c>
      <c r="AI577" s="270" t="str">
        <f>IF(Z577="","",SUM(Z578:Z581))</f>
        <v/>
      </c>
      <c r="AJ577" s="270" t="str">
        <f>IF(Z577="","",SUM(AB578:AB581))</f>
        <v/>
      </c>
      <c r="AK577" s="270" t="str">
        <f>CONCATENATE(AE577,AH577)</f>
        <v/>
      </c>
      <c r="AL577" s="270" t="str">
        <f>IF(COUNTIF(Y578:Y581,WithdrawLabel)&gt;COUNTIF(AC578:AC581,WithdrawLabel),Y577,IF(COUNTIF(AC578:AC581,WithdrawLabel)&gt;COUNTIF(Y578:Y581,WithdrawLabel),AC577,""))</f>
        <v/>
      </c>
      <c r="AM577" s="270"/>
      <c r="AN577" s="270"/>
      <c r="AO577" s="575"/>
      <c r="AP577" s="270"/>
      <c r="AQ577" s="270"/>
      <c r="AR577" s="270"/>
      <c r="AS577" s="270"/>
      <c r="AT577" s="270"/>
      <c r="AU577" s="270"/>
      <c r="AV577" s="270"/>
      <c r="AW577" s="270"/>
      <c r="AX577" s="270"/>
      <c r="AY577" s="270"/>
      <c r="AZ577" s="270"/>
      <c r="BA577" s="270"/>
      <c r="BB577" s="270"/>
      <c r="BC577" s="270"/>
      <c r="BD577" s="270"/>
      <c r="BE577" s="270"/>
      <c r="BF577" s="270"/>
      <c r="BG577" s="270"/>
      <c r="BH577" s="270"/>
      <c r="BI577" s="270"/>
      <c r="BJ577" s="270"/>
      <c r="BK577" s="270"/>
      <c r="BL577" s="270"/>
      <c r="BM577" s="270"/>
      <c r="BN577" s="270"/>
      <c r="BO577" s="270"/>
      <c r="BP577" s="270"/>
      <c r="BQ577" s="270"/>
      <c r="BR577" s="270"/>
      <c r="BS577" s="270"/>
      <c r="BT577" s="270"/>
      <c r="BU577" s="270"/>
      <c r="BV577" s="270"/>
      <c r="BW577" s="270"/>
      <c r="BX577" s="270"/>
      <c r="BY577" s="270"/>
      <c r="BZ577" s="270"/>
      <c r="CA577" s="270"/>
      <c r="CB577" s="270"/>
      <c r="CC577" s="270"/>
      <c r="CD577" s="270"/>
      <c r="CE577"/>
      <c r="CF577" s="1396"/>
      <c r="CG577" s="1396"/>
      <c r="CH577" s="270"/>
      <c r="CI577" s="270"/>
      <c r="CJ577" s="270"/>
      <c r="CK577" s="270"/>
      <c r="CL577" s="270"/>
      <c r="CM577" s="270"/>
    </row>
    <row r="578" spans="1:91" ht="13.5" hidden="1" outlineLevel="3" thickBot="1" x14ac:dyDescent="0.25">
      <c r="A578" s="270"/>
      <c r="B578" s="271"/>
      <c r="C578" s="12"/>
      <c r="D578" s="1071"/>
      <c r="E578" s="1071"/>
      <c r="F578" s="1071"/>
      <c r="G578" s="1172"/>
      <c r="H578" s="271"/>
      <c r="I578" s="270"/>
      <c r="J578" s="270"/>
      <c r="K578" s="270"/>
      <c r="L578" s="270"/>
      <c r="M578" s="270"/>
      <c r="N578" s="270"/>
      <c r="O578" s="270"/>
      <c r="P578" s="1072"/>
      <c r="Q578" s="270"/>
      <c r="R578" s="270"/>
      <c r="S578" s="1072"/>
      <c r="T578" s="270"/>
      <c r="U578" s="1019"/>
      <c r="V578" s="1176"/>
      <c r="W578" s="1177"/>
      <c r="X578" s="1207"/>
      <c r="Y578" s="627"/>
      <c r="Z578" s="492"/>
      <c r="AA578" s="493" t="s">
        <v>769</v>
      </c>
      <c r="AB578" s="1069"/>
      <c r="AC578" s="1070"/>
      <c r="AD578" s="839"/>
      <c r="AE578" s="270" t="str">
        <f>IF(Z578="","",IF(Z578&gt;AB578,Y578,IF(Z578=AB578,"",AC578)))</f>
        <v/>
      </c>
      <c r="AF578" s="270" t="str">
        <f>IF(Z578="","",IF(Z578=AB578,Y578,""))</f>
        <v/>
      </c>
      <c r="AG578" s="270" t="str">
        <f>IF(Z578="","",IF(Z578=AB578,AC578,""))</f>
        <v/>
      </c>
      <c r="AH578" s="270" t="str">
        <f>IF(Z578="","",IF(Z578&lt;AB578,Y578,IF(Z578=AB578,"",AC578)))</f>
        <v/>
      </c>
      <c r="AI578" s="270" t="str">
        <f>IF(Z578="","",IF(Z578&gt;AB578,Y577,""))</f>
        <v/>
      </c>
      <c r="AJ578" s="270" t="str">
        <f>IF(Z578="","",IF(Z578&lt;AB578,AC577,""))</f>
        <v/>
      </c>
      <c r="AK578" s="270" t="str">
        <f>CONCATENATE(AE578,AH578)</f>
        <v/>
      </c>
      <c r="AL578" s="270"/>
      <c r="AM578" s="270"/>
      <c r="AN578" s="270"/>
      <c r="AO578" s="271"/>
      <c r="AP578" s="270"/>
      <c r="AQ578" s="270"/>
      <c r="AR578" s="270"/>
      <c r="AS578" s="270"/>
      <c r="AT578" s="270"/>
      <c r="AU578" s="270"/>
      <c r="AV578" s="270"/>
      <c r="AW578" s="270"/>
      <c r="AX578" s="270"/>
      <c r="AY578" s="1072"/>
      <c r="AZ578" s="270"/>
      <c r="BA578" s="270"/>
      <c r="BB578" s="1072"/>
      <c r="BC578" s="270"/>
      <c r="BD578" s="270"/>
      <c r="BE578" s="270"/>
      <c r="BF578" s="270"/>
      <c r="BG578" s="270"/>
      <c r="BH578" s="270"/>
      <c r="BI578" s="270"/>
      <c r="BJ578" s="270"/>
      <c r="BK578" s="270"/>
      <c r="BL578" s="270"/>
      <c r="BM578" s="270"/>
      <c r="BN578" s="270"/>
      <c r="BO578" s="270"/>
      <c r="BP578" s="270"/>
      <c r="BQ578" s="270"/>
      <c r="BR578" s="270"/>
      <c r="BS578" s="270"/>
      <c r="BT578" s="270"/>
      <c r="BU578" s="270"/>
      <c r="BV578" s="270"/>
      <c r="BW578" s="270"/>
      <c r="BX578" s="270"/>
      <c r="BY578" s="270"/>
      <c r="BZ578" s="270"/>
      <c r="CA578" s="270"/>
      <c r="CB578" s="270"/>
      <c r="CC578" s="270"/>
      <c r="CD578" s="270"/>
      <c r="CE578"/>
      <c r="CF578" s="1396"/>
      <c r="CG578" s="1396"/>
      <c r="CH578" s="270"/>
      <c r="CI578" s="270"/>
      <c r="CJ578" s="270"/>
      <c r="CK578" s="270"/>
      <c r="CL578" s="270"/>
      <c r="CM578" s="270"/>
    </row>
    <row r="579" spans="1:91" ht="13.5" hidden="1" outlineLevel="3" thickBot="1" x14ac:dyDescent="0.25">
      <c r="A579" s="270"/>
      <c r="B579" s="271"/>
      <c r="C579" s="12"/>
      <c r="D579" s="1071"/>
      <c r="E579" s="1071"/>
      <c r="F579" s="1071"/>
      <c r="G579" s="1172"/>
      <c r="H579" s="271"/>
      <c r="I579" s="270"/>
      <c r="J579" s="270"/>
      <c r="K579" s="270"/>
      <c r="L579" s="270"/>
      <c r="M579" s="270"/>
      <c r="N579" s="270"/>
      <c r="O579" s="270"/>
      <c r="P579" s="1072"/>
      <c r="Q579" s="270"/>
      <c r="R579" s="270"/>
      <c r="S579" s="1072"/>
      <c r="T579" s="270"/>
      <c r="U579" s="1019"/>
      <c r="V579" s="1176"/>
      <c r="W579" s="1177"/>
      <c r="X579" s="1207"/>
      <c r="Y579" s="627"/>
      <c r="Z579" s="492"/>
      <c r="AA579" s="493" t="s">
        <v>769</v>
      </c>
      <c r="AB579" s="1069"/>
      <c r="AC579" s="1070"/>
      <c r="AD579" s="839"/>
      <c r="AE579" s="270" t="str">
        <f>IF(Z579="","",IF(Z579&gt;AB579,Y579,IF(Z579=AB579,"",AC579)))</f>
        <v/>
      </c>
      <c r="AF579" s="270" t="str">
        <f>IF(Z579="","",IF(Z579=AB579,Y579,""))</f>
        <v/>
      </c>
      <c r="AG579" s="270" t="str">
        <f>IF(Z579="","",IF(Z579=AB579,AC579,""))</f>
        <v/>
      </c>
      <c r="AH579" s="270" t="str">
        <f>IF(Z579="","",IF(Z579&lt;AB579,Y579,IF(Z579=AB579,"",AC579)))</f>
        <v/>
      </c>
      <c r="AI579" s="270" t="str">
        <f>IF(Z579="","",IF(Z579&gt;AB579,Y577,""))</f>
        <v/>
      </c>
      <c r="AJ579" s="270" t="str">
        <f>IF(Z579="","",IF(Z579&lt;AB579,AC577,""))</f>
        <v/>
      </c>
      <c r="AK579" s="270" t="str">
        <f>CONCATENATE(AE579,AH579)</f>
        <v/>
      </c>
      <c r="AL579" s="270"/>
      <c r="AM579" s="270"/>
      <c r="AN579" s="270"/>
      <c r="AO579" s="271"/>
      <c r="AP579" s="270"/>
      <c r="AQ579" s="270"/>
      <c r="AR579" s="270"/>
      <c r="AS579" s="270"/>
      <c r="AT579" s="270"/>
      <c r="AU579" s="270"/>
      <c r="AV579" s="270"/>
      <c r="AW579" s="270"/>
      <c r="AX579" s="270"/>
      <c r="AY579" s="1072"/>
      <c r="AZ579" s="270"/>
      <c r="BA579" s="270"/>
      <c r="BB579" s="1072"/>
      <c r="BC579" s="270"/>
      <c r="BD579" s="270"/>
      <c r="BE579" s="270"/>
      <c r="BF579" s="270"/>
      <c r="BG579" s="270"/>
      <c r="BH579" s="270"/>
      <c r="BI579" s="270"/>
      <c r="BJ579" s="270"/>
      <c r="BK579" s="270"/>
      <c r="BL579" s="270"/>
      <c r="BM579" s="270"/>
      <c r="BN579" s="270"/>
      <c r="BO579" s="270"/>
      <c r="BP579" s="270"/>
      <c r="BQ579" s="270"/>
      <c r="BR579" s="270"/>
      <c r="BS579" s="270"/>
      <c r="BT579" s="270"/>
      <c r="BU579" s="270"/>
      <c r="BV579" s="270"/>
      <c r="BW579" s="270"/>
      <c r="BX579" s="270"/>
      <c r="BY579" s="270"/>
      <c r="BZ579" s="270"/>
      <c r="CA579" s="270"/>
      <c r="CB579" s="270"/>
      <c r="CC579" s="270"/>
      <c r="CD579" s="270"/>
      <c r="CE579"/>
      <c r="CF579" s="1396"/>
      <c r="CG579" s="1396"/>
      <c r="CH579" s="270"/>
      <c r="CI579" s="270"/>
      <c r="CJ579" s="270"/>
      <c r="CK579" s="270"/>
      <c r="CL579" s="270"/>
      <c r="CM579" s="270"/>
    </row>
    <row r="580" spans="1:91" ht="13.5" hidden="1" outlineLevel="3" thickBot="1" x14ac:dyDescent="0.25">
      <c r="A580" s="270"/>
      <c r="B580" s="271"/>
      <c r="C580" s="12"/>
      <c r="D580" s="1071"/>
      <c r="E580" s="1071"/>
      <c r="F580" s="1071"/>
      <c r="G580" s="1172"/>
      <c r="H580" s="271"/>
      <c r="I580" s="270"/>
      <c r="J580" s="270"/>
      <c r="K580" s="270"/>
      <c r="L580" s="270"/>
      <c r="M580" s="270"/>
      <c r="N580" s="270"/>
      <c r="O580" s="270"/>
      <c r="P580" s="1072"/>
      <c r="Q580" s="270"/>
      <c r="R580" s="270"/>
      <c r="S580" s="1072"/>
      <c r="T580" s="270"/>
      <c r="U580" s="1019"/>
      <c r="V580" s="1176"/>
      <c r="W580" s="1177"/>
      <c r="X580" s="1207"/>
      <c r="Y580" s="627"/>
      <c r="Z580" s="492"/>
      <c r="AA580" s="493" t="s">
        <v>769</v>
      </c>
      <c r="AB580" s="1069"/>
      <c r="AC580" s="1070"/>
      <c r="AD580" s="839"/>
      <c r="AE580" s="270" t="str">
        <f>IF(Z580="","",IF(Z580&gt;AB580,Y580,IF(Z580=AB580,"",AC580)))</f>
        <v/>
      </c>
      <c r="AF580" s="270" t="str">
        <f>IF(Z580="","",IF(Z580=AB580,Y580,""))</f>
        <v/>
      </c>
      <c r="AG580" s="270" t="str">
        <f>IF(Z580="","",IF(Z580=AB580,AC580,""))</f>
        <v/>
      </c>
      <c r="AH580" s="270" t="str">
        <f>IF(Z580="","",IF(Z580&lt;AB580,Y580,IF(Z580=AB580,"",AC580)))</f>
        <v/>
      </c>
      <c r="AI580" s="270" t="str">
        <f>IF(Z580="","",IF(Z580&gt;AB580,Y577,""))</f>
        <v/>
      </c>
      <c r="AJ580" s="270" t="str">
        <f>IF(Z580="","",IF(Z580&lt;AB580,AC577,""))</f>
        <v/>
      </c>
      <c r="AK580" s="270" t="str">
        <f>CONCATENATE(AE580,AH580)</f>
        <v/>
      </c>
      <c r="AL580" s="270"/>
      <c r="AM580" s="270"/>
      <c r="AN580" s="270"/>
      <c r="AO580" s="271"/>
      <c r="AP580" s="270"/>
      <c r="AQ580" s="270"/>
      <c r="AR580" s="270"/>
      <c r="AS580" s="270"/>
      <c r="AT580" s="270"/>
      <c r="AU580" s="270"/>
      <c r="AV580" s="270"/>
      <c r="AW580" s="270"/>
      <c r="AX580" s="270"/>
      <c r="AY580" s="1072"/>
      <c r="AZ580" s="270"/>
      <c r="BA580" s="270"/>
      <c r="BB580" s="1072"/>
      <c r="BC580" s="270"/>
      <c r="BD580" s="270"/>
      <c r="BE580" s="270"/>
      <c r="BF580" s="270"/>
      <c r="BG580" s="270"/>
      <c r="BH580" s="270"/>
      <c r="BI580" s="270"/>
      <c r="BJ580" s="270"/>
      <c r="BK580" s="270"/>
      <c r="BL580" s="270"/>
      <c r="BM580" s="270"/>
      <c r="BN580" s="270"/>
      <c r="BO580" s="270"/>
      <c r="BP580" s="270"/>
      <c r="BQ580" s="270"/>
      <c r="BR580" s="270"/>
      <c r="BS580" s="270"/>
      <c r="BT580" s="270"/>
      <c r="BU580" s="270"/>
      <c r="BV580" s="270"/>
      <c r="BW580" s="270"/>
      <c r="BX580" s="270"/>
      <c r="BY580" s="270"/>
      <c r="BZ580" s="270"/>
      <c r="CA580" s="270"/>
      <c r="CB580" s="270"/>
      <c r="CC580" s="270"/>
      <c r="CD580" s="270"/>
      <c r="CE580"/>
      <c r="CF580" s="1396"/>
      <c r="CG580" s="1396"/>
      <c r="CH580" s="270"/>
      <c r="CI580" s="270"/>
      <c r="CJ580" s="270"/>
      <c r="CK580" s="270"/>
      <c r="CL580" s="270"/>
      <c r="CM580" s="270"/>
    </row>
    <row r="581" spans="1:91" ht="13.5" hidden="1" outlineLevel="3" thickBot="1" x14ac:dyDescent="0.25">
      <c r="A581" s="270"/>
      <c r="B581" s="271"/>
      <c r="C581" s="12"/>
      <c r="D581" s="1071"/>
      <c r="E581" s="1071"/>
      <c r="F581" s="1071"/>
      <c r="G581" s="1172"/>
      <c r="H581" s="271"/>
      <c r="I581" s="270"/>
      <c r="J581" s="270"/>
      <c r="K581" s="270"/>
      <c r="L581" s="270"/>
      <c r="M581" s="270"/>
      <c r="N581" s="270"/>
      <c r="O581" s="270"/>
      <c r="P581" s="1072"/>
      <c r="Q581" s="270"/>
      <c r="R581" s="270"/>
      <c r="S581" s="1072"/>
      <c r="T581" s="270"/>
      <c r="U581" s="1019"/>
      <c r="V581" s="1176"/>
      <c r="W581" s="1177"/>
      <c r="X581" s="1207"/>
      <c r="Y581" s="627"/>
      <c r="Z581" s="492"/>
      <c r="AA581" s="493" t="s">
        <v>769</v>
      </c>
      <c r="AB581" s="1069"/>
      <c r="AC581" s="1070"/>
      <c r="AD581" s="839"/>
      <c r="AE581" s="270" t="str">
        <f>IF(Z581="","",IF(Z581&gt;AB581,Y581,IF(Z581=AB581,"",AC581)))</f>
        <v/>
      </c>
      <c r="AF581" s="270" t="str">
        <f>IF(Z581="","",IF(Z581=AB581,Y581,""))</f>
        <v/>
      </c>
      <c r="AG581" s="270" t="str">
        <f>IF(Z581="","",IF(Z581=AB581,AC581,""))</f>
        <v/>
      </c>
      <c r="AH581" s="270" t="str">
        <f>IF(Z581="","",IF(Z581&lt;AB581,Y581,IF(Z581=AB581,"",AC581)))</f>
        <v/>
      </c>
      <c r="AI581" s="270" t="str">
        <f>IF(Z581="","",IF(Z581&gt;AB581,Y577,""))</f>
        <v/>
      </c>
      <c r="AJ581" s="270" t="str">
        <f>IF(Z581="","",IF(Z581&lt;AB581,AC577,""))</f>
        <v/>
      </c>
      <c r="AK581" s="270" t="str">
        <f>CONCATENATE(AE581,AH581)</f>
        <v/>
      </c>
      <c r="AL581" s="270"/>
      <c r="AM581" s="270"/>
      <c r="AN581" s="270"/>
      <c r="AO581" s="271"/>
      <c r="AP581" s="270"/>
      <c r="AQ581" s="270"/>
      <c r="AR581" s="270"/>
      <c r="AS581" s="270"/>
      <c r="AT581" s="270"/>
      <c r="AU581" s="270"/>
      <c r="AV581" s="270"/>
      <c r="AW581" s="270"/>
      <c r="AX581" s="270"/>
      <c r="AY581" s="1072"/>
      <c r="AZ581" s="270"/>
      <c r="BA581" s="270"/>
      <c r="BB581" s="1072"/>
      <c r="BC581" s="270"/>
      <c r="BD581" s="270"/>
      <c r="BE581" s="270"/>
      <c r="BF581" s="270"/>
      <c r="BG581" s="270"/>
      <c r="BH581" s="270"/>
      <c r="BI581" s="270"/>
      <c r="BJ581" s="270"/>
      <c r="BK581" s="270"/>
      <c r="BL581" s="270"/>
      <c r="BM581" s="270"/>
      <c r="BN581" s="270"/>
      <c r="BO581" s="270"/>
      <c r="BP581" s="270"/>
      <c r="BQ581" s="270"/>
      <c r="BR581" s="270"/>
      <c r="BS581" s="270"/>
      <c r="BT581" s="270"/>
      <c r="BU581" s="270"/>
      <c r="BV581" s="270"/>
      <c r="BW581" s="270"/>
      <c r="BX581" s="270"/>
      <c r="BY581" s="270"/>
      <c r="BZ581" s="270"/>
      <c r="CA581" s="270"/>
      <c r="CB581" s="270"/>
      <c r="CC581" s="270"/>
      <c r="CD581" s="270"/>
      <c r="CE581"/>
      <c r="CF581" s="1396"/>
      <c r="CG581" s="1396"/>
      <c r="CH581" s="270"/>
      <c r="CI581" s="270"/>
      <c r="CJ581" s="270"/>
      <c r="CK581" s="270"/>
      <c r="CL581" s="270"/>
      <c r="CM581" s="270"/>
    </row>
    <row r="582" spans="1:91" ht="13.5" hidden="1" outlineLevel="3" thickBot="1" x14ac:dyDescent="0.25">
      <c r="A582" s="270"/>
      <c r="B582" s="271"/>
      <c r="C582" s="12"/>
      <c r="D582" s="1071"/>
      <c r="E582" s="1071"/>
      <c r="F582" s="1071"/>
      <c r="G582" s="626"/>
      <c r="H582" s="271"/>
      <c r="I582" s="270"/>
      <c r="J582" s="270"/>
      <c r="K582" s="270"/>
      <c r="L582" s="270"/>
      <c r="M582" s="270"/>
      <c r="N582" s="270"/>
      <c r="O582" s="270"/>
      <c r="P582" s="1072"/>
      <c r="Q582" s="270"/>
      <c r="R582" s="270"/>
      <c r="S582" s="1072"/>
      <c r="T582" s="270"/>
      <c r="U582" s="1019"/>
      <c r="V582" s="1073"/>
      <c r="W582" s="1074"/>
      <c r="X582" s="1075" t="str">
        <f>N_Substitute</f>
        <v>Remplaçant</v>
      </c>
      <c r="Y582" s="627"/>
      <c r="Z582" s="492"/>
      <c r="AA582" s="1076"/>
      <c r="AB582" s="1069"/>
      <c r="AC582" s="1070"/>
      <c r="AD582" s="839"/>
      <c r="AE582" s="270"/>
      <c r="AF582" s="270"/>
      <c r="AG582" s="270"/>
      <c r="AH582" s="270"/>
      <c r="AI582" s="270"/>
      <c r="AJ582" s="270"/>
      <c r="AK582" s="270"/>
      <c r="AL582" s="270"/>
      <c r="AM582" s="270"/>
      <c r="AN582" s="270"/>
      <c r="AO582" s="271"/>
      <c r="AP582" s="270"/>
      <c r="AQ582" s="270"/>
      <c r="AR582" s="270"/>
      <c r="AS582" s="270"/>
      <c r="AT582" s="270"/>
      <c r="AU582" s="270"/>
      <c r="AV582" s="270"/>
      <c r="AW582" s="270"/>
      <c r="AX582" s="270"/>
      <c r="AY582" s="1072"/>
      <c r="AZ582" s="270"/>
      <c r="BA582" s="270"/>
      <c r="BB582" s="1072"/>
      <c r="BC582" s="270"/>
      <c r="BD582" s="270"/>
      <c r="BE582" s="270"/>
      <c r="BF582" s="270"/>
      <c r="BG582" s="270"/>
      <c r="BH582" s="270"/>
      <c r="BI582" s="270"/>
      <c r="BJ582" s="270"/>
      <c r="BK582" s="270"/>
      <c r="BL582" s="270"/>
      <c r="BM582" s="270"/>
      <c r="BN582" s="270"/>
      <c r="BO582" s="270"/>
      <c r="BP582" s="270"/>
      <c r="BQ582" s="270"/>
      <c r="BR582" s="270"/>
      <c r="BS582" s="270"/>
      <c r="BT582" s="270"/>
      <c r="BU582" s="270"/>
      <c r="BV582" s="270"/>
      <c r="BW582" s="270"/>
      <c r="BX582" s="270"/>
      <c r="BY582" s="270"/>
      <c r="BZ582" s="270"/>
      <c r="CA582" s="270"/>
      <c r="CB582" s="270"/>
      <c r="CC582" s="270"/>
      <c r="CD582" s="270"/>
      <c r="CE582"/>
      <c r="CF582" s="1396"/>
      <c r="CG582" s="1396"/>
      <c r="CH582" s="270"/>
      <c r="CI582" s="270"/>
      <c r="CJ582" s="270"/>
      <c r="CK582" s="270"/>
      <c r="CL582" s="270"/>
      <c r="CM582" s="270"/>
    </row>
    <row r="583" spans="1:91" ht="13.5" hidden="1" outlineLevel="3" thickBot="1" x14ac:dyDescent="0.25">
      <c r="A583" s="270"/>
      <c r="B583" s="271"/>
      <c r="C583" s="12"/>
      <c r="D583" s="1071"/>
      <c r="E583" s="1071"/>
      <c r="F583" s="1071"/>
      <c r="G583" s="626"/>
      <c r="H583" s="271"/>
      <c r="I583" s="270"/>
      <c r="J583" s="270"/>
      <c r="K583" s="270"/>
      <c r="L583" s="270"/>
      <c r="M583" s="270"/>
      <c r="N583" s="270"/>
      <c r="O583" s="270"/>
      <c r="P583" s="1072"/>
      <c r="Q583" s="270"/>
      <c r="R583" s="270"/>
      <c r="S583" s="1072"/>
      <c r="T583" s="270"/>
      <c r="U583" s="1019"/>
      <c r="V583" s="1119"/>
      <c r="W583" s="1120"/>
      <c r="X583" s="1075" t="str">
        <f>N_Substitute</f>
        <v>Remplaçant</v>
      </c>
      <c r="Y583" s="627"/>
      <c r="Z583" s="492"/>
      <c r="AA583" s="1121"/>
      <c r="AB583" s="1069"/>
      <c r="AC583" s="1070"/>
      <c r="AD583" s="839"/>
      <c r="AE583" s="270"/>
      <c r="AF583" s="270"/>
      <c r="AG583" s="270"/>
      <c r="AH583" s="270"/>
      <c r="AI583" s="270"/>
      <c r="AJ583" s="270"/>
      <c r="AK583" s="270"/>
      <c r="AL583" s="270"/>
      <c r="AM583" s="270"/>
      <c r="AN583" s="270"/>
      <c r="AO583" s="271"/>
      <c r="AP583" s="270"/>
      <c r="AQ583" s="270"/>
      <c r="AR583" s="270"/>
      <c r="AS583" s="270"/>
      <c r="AT583" s="270"/>
      <c r="AU583" s="270"/>
      <c r="AV583" s="270"/>
      <c r="AW583" s="270"/>
      <c r="AX583" s="270"/>
      <c r="AY583" s="1072"/>
      <c r="AZ583" s="270"/>
      <c r="BA583" s="270"/>
      <c r="BB583" s="1072"/>
      <c r="BC583" s="270"/>
      <c r="BD583" s="270"/>
      <c r="BE583" s="270"/>
      <c r="BF583" s="270"/>
      <c r="BG583" s="270"/>
      <c r="BH583" s="270"/>
      <c r="BI583" s="270"/>
      <c r="BJ583" s="270"/>
      <c r="BK583" s="270"/>
      <c r="BL583" s="270"/>
      <c r="BM583" s="270"/>
      <c r="BN583" s="270"/>
      <c r="BO583" s="270"/>
      <c r="BP583" s="270"/>
      <c r="BQ583" s="270"/>
      <c r="BR583" s="270"/>
      <c r="BS583" s="270"/>
      <c r="BT583" s="270"/>
      <c r="BU583" s="270"/>
      <c r="BV583" s="270"/>
      <c r="BW583" s="270"/>
      <c r="BX583" s="270"/>
      <c r="BY583" s="270"/>
      <c r="BZ583" s="270"/>
      <c r="CA583" s="270"/>
      <c r="CB583" s="270"/>
      <c r="CC583" s="270"/>
      <c r="CD583" s="270"/>
      <c r="CE583"/>
      <c r="CF583" s="1396"/>
      <c r="CG583" s="1396"/>
      <c r="CH583" s="270"/>
      <c r="CI583" s="270"/>
      <c r="CJ583" s="270"/>
      <c r="CK583" s="270"/>
      <c r="CL583" s="270"/>
      <c r="CM583" s="270"/>
    </row>
    <row r="584" spans="1:91" ht="13.5" hidden="1" outlineLevel="2" collapsed="1" thickBot="1" x14ac:dyDescent="0.25">
      <c r="A584" s="270"/>
      <c r="B584" s="271"/>
      <c r="C584" s="270"/>
      <c r="D584" s="270"/>
      <c r="E584" s="270"/>
      <c r="F584" s="270"/>
      <c r="G584" s="271"/>
      <c r="H584" s="270"/>
      <c r="I584" s="270"/>
      <c r="J584" s="270"/>
      <c r="K584" s="270"/>
      <c r="L584" s="270"/>
      <c r="M584" s="270"/>
      <c r="N584" s="270"/>
      <c r="O584" s="270"/>
      <c r="P584" s="270"/>
      <c r="Q584" s="270"/>
      <c r="R584" s="270"/>
      <c r="S584" s="270"/>
      <c r="T584" s="270"/>
      <c r="U584" s="1019" t="s">
        <v>1728</v>
      </c>
      <c r="V584" s="1187"/>
      <c r="W584" s="1195"/>
      <c r="X584" s="1534"/>
      <c r="Y584" s="1180" t="str">
        <f>G505</f>
        <v>Eq8</v>
      </c>
      <c r="Z584" s="1123" t="str">
        <f>IF(OR(ISNUMBER(Z585),ISNUMBER(Z586),ISNUMBER(Z587),ISNUMBER(Z588)),4-COUNTBLANK(AI585:AI588),"")</f>
        <v/>
      </c>
      <c r="AA584" s="1124" t="s">
        <v>769</v>
      </c>
      <c r="AB584" s="1125" t="str">
        <f>IF(OR(ISNUMBER(Z585),ISNUMBER(Z586),ISNUMBER(Z587),ISNUMBER(Z588)),4-COUNTBLANK(AJ585:AJ588),"")</f>
        <v/>
      </c>
      <c r="AC584" s="1211" t="str">
        <f>G501</f>
        <v>Eq4</v>
      </c>
      <c r="AD584" s="839"/>
      <c r="AE584" s="270" t="str">
        <f>IF(Z584="","",IF(Z584&gt;AB584,Y584,IF(Z584=AB584,IF(NoDrawWithWithdraw,IF(AL584=Y584,AC584,IF(AL584=AC584,Y584,"")),""),AC584)))</f>
        <v/>
      </c>
      <c r="AF584" s="270" t="str">
        <f>IF(Z584="","",IF(Z584=AB584,IF(NoDrawWithWithdraw,IF(AL584=Y584,"",IF(AL584=AC584,"",Y584)),Y584),""))</f>
        <v/>
      </c>
      <c r="AG584" s="270" t="str">
        <f>IF(Z584="","",IF(Z584=AB584,IF(NoDrawWithWithdraw,IF(AL584=Y584,"",IF(AL584=AC584,"",AC584)),AC584),""))</f>
        <v/>
      </c>
      <c r="AH584" s="270" t="str">
        <f>IF(Z584="","",IF(Z584&lt;AB584,Y584,IF(Z584=AB584,IF(NoDrawWithWithdraw,IF(AL584=Y584,Y584,IF(AL584=AC584,AC584,"")),""),AC584)))</f>
        <v/>
      </c>
      <c r="AI584" s="270" t="str">
        <f>IF(Z584="","",SUM(Z585:Z588))</f>
        <v/>
      </c>
      <c r="AJ584" s="270" t="str">
        <f>IF(Z584="","",SUM(AB585:AB588))</f>
        <v/>
      </c>
      <c r="AK584" s="270" t="str">
        <f>CONCATENATE(AE584,AH584)</f>
        <v/>
      </c>
      <c r="AL584" s="270" t="str">
        <f>IF(COUNTIF(Y585:Y588,WithdrawLabel)&gt;COUNTIF(AC585:AC588,WithdrawLabel),Y584,IF(COUNTIF(AC585:AC588,WithdrawLabel)&gt;COUNTIF(Y585:Y588,WithdrawLabel),AC584,""))</f>
        <v/>
      </c>
      <c r="AM584" s="270"/>
      <c r="AN584" s="270"/>
      <c r="AO584" s="575"/>
      <c r="AP584" s="270"/>
      <c r="AQ584" s="270"/>
      <c r="AR584" s="270"/>
      <c r="AS584" s="270"/>
      <c r="AT584" s="270"/>
      <c r="AU584" s="270"/>
      <c r="AV584" s="270"/>
      <c r="AW584" s="270"/>
      <c r="AX584" s="270"/>
      <c r="AY584" s="270"/>
      <c r="AZ584" s="270"/>
      <c r="BA584" s="270"/>
      <c r="BB584" s="270"/>
      <c r="BC584" s="270"/>
      <c r="BD584" s="270"/>
      <c r="BE584" s="270"/>
      <c r="BF584" s="270"/>
      <c r="BG584" s="270"/>
      <c r="BH584" s="270"/>
      <c r="BI584" s="270"/>
      <c r="BJ584" s="270"/>
      <c r="BK584" s="270"/>
      <c r="BL584" s="270"/>
      <c r="BM584" s="270"/>
      <c r="BN584" s="270"/>
      <c r="BO584" s="270"/>
      <c r="BP584" s="270"/>
      <c r="BQ584" s="270"/>
      <c r="BR584" s="270"/>
      <c r="BS584" s="270"/>
      <c r="BT584" s="270"/>
      <c r="BU584" s="270"/>
      <c r="BV584" s="270"/>
      <c r="BW584" s="270"/>
      <c r="BX584" s="270"/>
      <c r="BY584" s="270"/>
      <c r="BZ584" s="270"/>
      <c r="CA584" s="270"/>
      <c r="CB584" s="270"/>
      <c r="CC584" s="270"/>
      <c r="CD584" s="270"/>
      <c r="CE584"/>
      <c r="CF584" s="1396"/>
      <c r="CG584" s="1396"/>
      <c r="CH584" s="270"/>
      <c r="CI584" s="270"/>
      <c r="CJ584" s="270"/>
      <c r="CK584" s="270"/>
      <c r="CL584" s="270"/>
      <c r="CM584" s="270"/>
    </row>
    <row r="585" spans="1:91" ht="13.5" hidden="1" outlineLevel="3" thickBot="1" x14ac:dyDescent="0.25">
      <c r="A585" s="270"/>
      <c r="B585" s="271"/>
      <c r="C585" s="12"/>
      <c r="D585" s="1071"/>
      <c r="E585" s="1071"/>
      <c r="F585" s="1071"/>
      <c r="G585" s="1172"/>
      <c r="H585" s="271"/>
      <c r="I585" s="270"/>
      <c r="J585" s="270"/>
      <c r="K585" s="270"/>
      <c r="L585" s="270"/>
      <c r="M585" s="270"/>
      <c r="N585" s="270"/>
      <c r="O585" s="270"/>
      <c r="P585" s="1072"/>
      <c r="Q585" s="270"/>
      <c r="R585" s="270"/>
      <c r="S585" s="1072"/>
      <c r="T585" s="270"/>
      <c r="U585" s="1019"/>
      <c r="V585" s="1118"/>
      <c r="W585" s="1177"/>
      <c r="X585" s="1212"/>
      <c r="Y585" s="627"/>
      <c r="Z585" s="492"/>
      <c r="AA585" s="493" t="s">
        <v>769</v>
      </c>
      <c r="AB585" s="1069"/>
      <c r="AC585" s="1070"/>
      <c r="AD585" s="839"/>
      <c r="AE585" s="270" t="str">
        <f>IF(Z585="","",IF(Z585&gt;AB585,Y585,IF(Z585=AB585,"",AC585)))</f>
        <v/>
      </c>
      <c r="AF585" s="270" t="str">
        <f>IF(Z585="","",IF(Z585=AB585,Y585,""))</f>
        <v/>
      </c>
      <c r="AG585" s="270" t="str">
        <f>IF(Z585="","",IF(Z585=AB585,AC585,""))</f>
        <v/>
      </c>
      <c r="AH585" s="270" t="str">
        <f>IF(Z585="","",IF(Z585&lt;AB585,Y585,IF(Z585=AB585,"",AC585)))</f>
        <v/>
      </c>
      <c r="AI585" s="270" t="str">
        <f>IF(Z585="","",IF(Z585&gt;AB585,Y584,""))</f>
        <v/>
      </c>
      <c r="AJ585" s="270" t="str">
        <f>IF(Z585="","",IF(Z585&lt;AB585,AC584,""))</f>
        <v/>
      </c>
      <c r="AK585" s="270" t="str">
        <f>CONCATENATE(AE585,AH585)</f>
        <v/>
      </c>
      <c r="AL585" s="270"/>
      <c r="AM585" s="270"/>
      <c r="AN585" s="270"/>
      <c r="AO585" s="271"/>
      <c r="AP585" s="270"/>
      <c r="AQ585" s="270"/>
      <c r="AR585" s="270"/>
      <c r="AS585" s="270"/>
      <c r="AT585" s="270"/>
      <c r="AU585" s="270"/>
      <c r="AV585" s="270"/>
      <c r="AW585" s="270"/>
      <c r="AX585" s="270"/>
      <c r="AY585" s="1072"/>
      <c r="AZ585" s="270"/>
      <c r="BA585" s="270"/>
      <c r="BB585" s="1072"/>
      <c r="BC585" s="270"/>
      <c r="BD585" s="270"/>
      <c r="BE585" s="270"/>
      <c r="BF585" s="270"/>
      <c r="BG585" s="270"/>
      <c r="BH585" s="270"/>
      <c r="BI585" s="270"/>
      <c r="BJ585" s="270"/>
      <c r="BK585" s="270"/>
      <c r="BL585" s="270"/>
      <c r="BM585" s="270"/>
      <c r="BN585" s="270"/>
      <c r="BO585" s="270"/>
      <c r="BP585" s="270"/>
      <c r="BQ585" s="270"/>
      <c r="BR585" s="270"/>
      <c r="BS585" s="270"/>
      <c r="BT585" s="270"/>
      <c r="BU585" s="270"/>
      <c r="BV585" s="270"/>
      <c r="BW585" s="270"/>
      <c r="BX585" s="270"/>
      <c r="BY585" s="270"/>
      <c r="BZ585" s="270"/>
      <c r="CA585" s="270"/>
      <c r="CB585" s="270"/>
      <c r="CC585" s="270"/>
      <c r="CD585" s="270"/>
      <c r="CE585"/>
      <c r="CF585" s="1396"/>
      <c r="CG585" s="1396"/>
      <c r="CH585" s="270"/>
      <c r="CI585" s="270"/>
      <c r="CJ585" s="270"/>
      <c r="CK585" s="270"/>
      <c r="CL585" s="270"/>
      <c r="CM585" s="270"/>
    </row>
    <row r="586" spans="1:91" ht="13.5" hidden="1" outlineLevel="3" thickBot="1" x14ac:dyDescent="0.25">
      <c r="A586" s="270"/>
      <c r="B586" s="271"/>
      <c r="C586" s="12"/>
      <c r="D586" s="1071"/>
      <c r="E586" s="1071"/>
      <c r="F586" s="1071"/>
      <c r="G586" s="1172"/>
      <c r="H586" s="271"/>
      <c r="I586" s="270"/>
      <c r="J586" s="270"/>
      <c r="K586" s="270"/>
      <c r="L586" s="270"/>
      <c r="M586" s="270"/>
      <c r="N586" s="270"/>
      <c r="O586" s="270"/>
      <c r="P586" s="1072"/>
      <c r="Q586" s="270"/>
      <c r="R586" s="270"/>
      <c r="S586" s="1072"/>
      <c r="T586" s="270"/>
      <c r="U586" s="1019"/>
      <c r="V586" s="1118"/>
      <c r="W586" s="1177"/>
      <c r="X586" s="1212"/>
      <c r="Y586" s="627"/>
      <c r="Z586" s="492"/>
      <c r="AA586" s="493" t="s">
        <v>769</v>
      </c>
      <c r="AB586" s="1069"/>
      <c r="AC586" s="1070"/>
      <c r="AD586" s="839"/>
      <c r="AE586" s="270" t="str">
        <f>IF(Z586="","",IF(Z586&gt;AB586,Y586,IF(Z586=AB586,"",AC586)))</f>
        <v/>
      </c>
      <c r="AF586" s="270" t="str">
        <f>IF(Z586="","",IF(Z586=AB586,Y586,""))</f>
        <v/>
      </c>
      <c r="AG586" s="270" t="str">
        <f>IF(Z586="","",IF(Z586=AB586,AC586,""))</f>
        <v/>
      </c>
      <c r="AH586" s="270" t="str">
        <f>IF(Z586="","",IF(Z586&lt;AB586,Y586,IF(Z586=AB586,"",AC586)))</f>
        <v/>
      </c>
      <c r="AI586" s="270" t="str">
        <f>IF(Z586="","",IF(Z586&gt;AB586,Y584,""))</f>
        <v/>
      </c>
      <c r="AJ586" s="270" t="str">
        <f>IF(Z586="","",IF(Z586&lt;AB586,AC584,""))</f>
        <v/>
      </c>
      <c r="AK586" s="270" t="str">
        <f>CONCATENATE(AE586,AH586)</f>
        <v/>
      </c>
      <c r="AL586" s="270"/>
      <c r="AM586" s="270"/>
      <c r="AN586" s="270"/>
      <c r="AO586" s="271"/>
      <c r="AP586" s="270"/>
      <c r="AQ586" s="270"/>
      <c r="AR586" s="270"/>
      <c r="AS586" s="270"/>
      <c r="AT586" s="270"/>
      <c r="AU586" s="270"/>
      <c r="AV586" s="270"/>
      <c r="AW586" s="270"/>
      <c r="AX586" s="270"/>
      <c r="AY586" s="1072"/>
      <c r="AZ586" s="270"/>
      <c r="BA586" s="270"/>
      <c r="BB586" s="1072"/>
      <c r="BC586" s="270"/>
      <c r="BD586" s="270"/>
      <c r="BE586" s="270"/>
      <c r="BF586" s="270"/>
      <c r="BG586" s="270"/>
      <c r="BH586" s="270"/>
      <c r="BI586" s="270"/>
      <c r="BJ586" s="270"/>
      <c r="BK586" s="270"/>
      <c r="BL586" s="270"/>
      <c r="BM586" s="270"/>
      <c r="BN586" s="270"/>
      <c r="BO586" s="270"/>
      <c r="BP586" s="270"/>
      <c r="BQ586" s="270"/>
      <c r="BR586" s="270"/>
      <c r="BS586" s="270"/>
      <c r="BT586" s="270"/>
      <c r="BU586" s="270"/>
      <c r="BV586" s="270"/>
      <c r="BW586" s="270"/>
      <c r="BX586" s="270"/>
      <c r="BY586" s="270"/>
      <c r="BZ586" s="270"/>
      <c r="CA586" s="270"/>
      <c r="CB586" s="270"/>
      <c r="CC586" s="270"/>
      <c r="CD586" s="270"/>
      <c r="CE586"/>
      <c r="CF586" s="1396"/>
      <c r="CG586" s="1396"/>
      <c r="CH586" s="270"/>
      <c r="CI586" s="270"/>
      <c r="CJ586" s="270"/>
      <c r="CK586" s="270"/>
      <c r="CL586" s="270"/>
      <c r="CM586" s="270"/>
    </row>
    <row r="587" spans="1:91" ht="13.5" hidden="1" outlineLevel="3" thickBot="1" x14ac:dyDescent="0.25">
      <c r="A587" s="270"/>
      <c r="B587" s="271"/>
      <c r="C587" s="12"/>
      <c r="D587" s="1071"/>
      <c r="E587" s="1071"/>
      <c r="F587" s="1071"/>
      <c r="G587" s="1172"/>
      <c r="H587" s="271"/>
      <c r="I587" s="270"/>
      <c r="J587" s="270"/>
      <c r="K587" s="270"/>
      <c r="L587" s="270"/>
      <c r="M587" s="270"/>
      <c r="N587" s="270"/>
      <c r="O587" s="270"/>
      <c r="P587" s="1072"/>
      <c r="Q587" s="270"/>
      <c r="R587" s="270"/>
      <c r="S587" s="1072"/>
      <c r="T587" s="270"/>
      <c r="U587" s="1019"/>
      <c r="V587" s="1118"/>
      <c r="W587" s="1177"/>
      <c r="X587" s="1212"/>
      <c r="Y587" s="627"/>
      <c r="Z587" s="492"/>
      <c r="AA587" s="493" t="s">
        <v>769</v>
      </c>
      <c r="AB587" s="1069"/>
      <c r="AC587" s="1070"/>
      <c r="AD587" s="839"/>
      <c r="AE587" s="270" t="str">
        <f>IF(Z587="","",IF(Z587&gt;AB587,Y587,IF(Z587=AB587,"",AC587)))</f>
        <v/>
      </c>
      <c r="AF587" s="270" t="str">
        <f>IF(Z587="","",IF(Z587=AB587,Y587,""))</f>
        <v/>
      </c>
      <c r="AG587" s="270" t="str">
        <f>IF(Z587="","",IF(Z587=AB587,AC587,""))</f>
        <v/>
      </c>
      <c r="AH587" s="270" t="str">
        <f>IF(Z587="","",IF(Z587&lt;AB587,Y587,IF(Z587=AB587,"",AC587)))</f>
        <v/>
      </c>
      <c r="AI587" s="270" t="str">
        <f>IF(Z587="","",IF(Z587&gt;AB587,Y584,""))</f>
        <v/>
      </c>
      <c r="AJ587" s="270" t="str">
        <f>IF(Z587="","",IF(Z587&lt;AB587,AC584,""))</f>
        <v/>
      </c>
      <c r="AK587" s="270" t="str">
        <f>CONCATENATE(AE587,AH587)</f>
        <v/>
      </c>
      <c r="AL587" s="270"/>
      <c r="AM587" s="270"/>
      <c r="AN587" s="270"/>
      <c r="AO587" s="271"/>
      <c r="AP587" s="270"/>
      <c r="AQ587" s="270"/>
      <c r="AR587" s="270"/>
      <c r="AS587" s="270"/>
      <c r="AT587" s="270"/>
      <c r="AU587" s="270"/>
      <c r="AV587" s="270"/>
      <c r="AW587" s="270"/>
      <c r="AX587" s="270"/>
      <c r="AY587" s="1072"/>
      <c r="AZ587" s="270"/>
      <c r="BA587" s="270"/>
      <c r="BB587" s="1072"/>
      <c r="BC587" s="270"/>
      <c r="BD587" s="270"/>
      <c r="BE587" s="270"/>
      <c r="BF587" s="270"/>
      <c r="BG587" s="270"/>
      <c r="BH587" s="270"/>
      <c r="BI587" s="270"/>
      <c r="BJ587" s="270"/>
      <c r="BK587" s="270"/>
      <c r="BL587" s="270"/>
      <c r="BM587" s="270"/>
      <c r="BN587" s="270"/>
      <c r="BO587" s="270"/>
      <c r="BP587" s="270"/>
      <c r="BQ587" s="270"/>
      <c r="BR587" s="270"/>
      <c r="BS587" s="270"/>
      <c r="BT587" s="270"/>
      <c r="BU587" s="270"/>
      <c r="BV587" s="270"/>
      <c r="BW587" s="270"/>
      <c r="BX587" s="270"/>
      <c r="BY587" s="270"/>
      <c r="BZ587" s="270"/>
      <c r="CA587" s="270"/>
      <c r="CB587" s="270"/>
      <c r="CC587" s="270"/>
      <c r="CD587" s="270"/>
      <c r="CE587"/>
      <c r="CF587" s="1396"/>
      <c r="CG587" s="1396"/>
      <c r="CH587" s="270"/>
      <c r="CI587" s="270"/>
      <c r="CJ587" s="270"/>
      <c r="CK587" s="270"/>
      <c r="CL587" s="270"/>
      <c r="CM587" s="270"/>
    </row>
    <row r="588" spans="1:91" ht="13.5" hidden="1" outlineLevel="3" thickBot="1" x14ac:dyDescent="0.25">
      <c r="A588" s="270"/>
      <c r="B588" s="271"/>
      <c r="C588" s="12"/>
      <c r="D588" s="1071"/>
      <c r="E588" s="1071"/>
      <c r="F588" s="1071"/>
      <c r="G588" s="1172"/>
      <c r="H588" s="271"/>
      <c r="I588" s="270"/>
      <c r="J588" s="270"/>
      <c r="K588" s="270"/>
      <c r="L588" s="270"/>
      <c r="M588" s="270"/>
      <c r="N588" s="270"/>
      <c r="O588" s="270"/>
      <c r="P588" s="1072"/>
      <c r="Q588" s="270"/>
      <c r="R588" s="270"/>
      <c r="S588" s="1072"/>
      <c r="T588" s="270"/>
      <c r="U588" s="1019"/>
      <c r="V588" s="1118"/>
      <c r="W588" s="1177"/>
      <c r="X588" s="1212"/>
      <c r="Y588" s="627"/>
      <c r="Z588" s="492"/>
      <c r="AA588" s="493" t="s">
        <v>769</v>
      </c>
      <c r="AB588" s="1069"/>
      <c r="AC588" s="1070"/>
      <c r="AD588" s="839"/>
      <c r="AE588" s="270" t="str">
        <f>IF(Z588="","",IF(Z588&gt;AB588,Y588,IF(Z588=AB588,"",AC588)))</f>
        <v/>
      </c>
      <c r="AF588" s="270" t="str">
        <f>IF(Z588="","",IF(Z588=AB588,Y588,""))</f>
        <v/>
      </c>
      <c r="AG588" s="270" t="str">
        <f>IF(Z588="","",IF(Z588=AB588,AC588,""))</f>
        <v/>
      </c>
      <c r="AH588" s="270" t="str">
        <f>IF(Z588="","",IF(Z588&lt;AB588,Y588,IF(Z588=AB588,"",AC588)))</f>
        <v/>
      </c>
      <c r="AI588" s="270" t="str">
        <f>IF(Z588="","",IF(Z588&gt;AB588,Y584,""))</f>
        <v/>
      </c>
      <c r="AJ588" s="270" t="str">
        <f>IF(Z588="","",IF(Z588&lt;AB588,AC584,""))</f>
        <v/>
      </c>
      <c r="AK588" s="270" t="str">
        <f>CONCATENATE(AE588,AH588)</f>
        <v/>
      </c>
      <c r="AL588" s="270"/>
      <c r="AM588" s="270"/>
      <c r="AN588" s="270"/>
      <c r="AO588" s="271"/>
      <c r="AP588" s="270"/>
      <c r="AQ588" s="270"/>
      <c r="AR588" s="270"/>
      <c r="AS588" s="270"/>
      <c r="AT588" s="270"/>
      <c r="AU588" s="270"/>
      <c r="AV588" s="270"/>
      <c r="AW588" s="270"/>
      <c r="AX588" s="270"/>
      <c r="AY588" s="1072"/>
      <c r="AZ588" s="270"/>
      <c r="BA588" s="270"/>
      <c r="BB588" s="1072"/>
      <c r="BC588" s="270"/>
      <c r="BD588" s="270"/>
      <c r="BE588" s="270"/>
      <c r="BF588" s="270"/>
      <c r="BG588" s="270"/>
      <c r="BH588" s="270"/>
      <c r="BI588" s="270"/>
      <c r="BJ588" s="270"/>
      <c r="BK588" s="270"/>
      <c r="BL588" s="270"/>
      <c r="BM588" s="270"/>
      <c r="BN588" s="270"/>
      <c r="BO588" s="270"/>
      <c r="BP588" s="270"/>
      <c r="BQ588" s="270"/>
      <c r="BR588" s="270"/>
      <c r="BS588" s="270"/>
      <c r="BT588" s="270"/>
      <c r="BU588" s="270"/>
      <c r="BV588" s="270"/>
      <c r="BW588" s="270"/>
      <c r="BX588" s="270"/>
      <c r="BY588" s="270"/>
      <c r="BZ588" s="270"/>
      <c r="CA588" s="270"/>
      <c r="CB588" s="270"/>
      <c r="CC588" s="270"/>
      <c r="CD588" s="270"/>
      <c r="CE588"/>
      <c r="CF588" s="1396"/>
      <c r="CG588" s="1396"/>
      <c r="CH588" s="270"/>
      <c r="CI588" s="270"/>
      <c r="CJ588" s="270"/>
      <c r="CK588" s="270"/>
      <c r="CL588" s="270"/>
      <c r="CM588" s="270"/>
    </row>
    <row r="589" spans="1:91" ht="13.5" hidden="1" outlineLevel="3" thickBot="1" x14ac:dyDescent="0.25">
      <c r="A589" s="270"/>
      <c r="B589" s="271"/>
      <c r="C589" s="12"/>
      <c r="D589" s="1071"/>
      <c r="E589" s="1071"/>
      <c r="F589" s="1071"/>
      <c r="G589" s="626"/>
      <c r="H589" s="271"/>
      <c r="I589" s="270"/>
      <c r="J589" s="270"/>
      <c r="K589" s="270"/>
      <c r="L589" s="270"/>
      <c r="M589" s="270"/>
      <c r="N589" s="270"/>
      <c r="O589" s="270"/>
      <c r="P589" s="1072"/>
      <c r="Q589" s="270"/>
      <c r="R589" s="270"/>
      <c r="S589" s="1072"/>
      <c r="T589" s="270"/>
      <c r="U589" s="1019"/>
      <c r="V589" s="1077"/>
      <c r="W589" s="1078"/>
      <c r="X589" s="1075" t="str">
        <f>N_Substitute</f>
        <v>Remplaçant</v>
      </c>
      <c r="Y589" s="627"/>
      <c r="Z589" s="492"/>
      <c r="AA589" s="1076"/>
      <c r="AB589" s="1069"/>
      <c r="AC589" s="1070"/>
      <c r="AD589" s="839"/>
      <c r="AE589" s="270"/>
      <c r="AF589" s="270"/>
      <c r="AG589" s="270"/>
      <c r="AH589" s="270"/>
      <c r="AI589" s="270"/>
      <c r="AJ589" s="270"/>
      <c r="AK589" s="270"/>
      <c r="AL589" s="270"/>
      <c r="AM589" s="270"/>
      <c r="AN589" s="270"/>
      <c r="AO589" s="271"/>
      <c r="AP589" s="270"/>
      <c r="AQ589" s="270"/>
      <c r="AR589" s="270"/>
      <c r="AS589" s="270"/>
      <c r="AT589" s="270"/>
      <c r="AU589" s="270"/>
      <c r="AV589" s="270"/>
      <c r="AW589" s="270"/>
      <c r="AX589" s="270"/>
      <c r="AY589" s="1072"/>
      <c r="AZ589" s="270"/>
      <c r="BA589" s="270"/>
      <c r="BB589" s="1072"/>
      <c r="BC589" s="270"/>
      <c r="BD589" s="270"/>
      <c r="BE589" s="270"/>
      <c r="BF589" s="270"/>
      <c r="BG589" s="270"/>
      <c r="BH589" s="270"/>
      <c r="BI589" s="270"/>
      <c r="BJ589" s="270"/>
      <c r="BK589" s="270"/>
      <c r="BL589" s="270"/>
      <c r="BM589" s="270"/>
      <c r="BN589" s="270"/>
      <c r="BO589" s="270"/>
      <c r="BP589" s="270"/>
      <c r="BQ589" s="270"/>
      <c r="BR589" s="270"/>
      <c r="BS589" s="270"/>
      <c r="BT589" s="270"/>
      <c r="BU589" s="270"/>
      <c r="BV589" s="270"/>
      <c r="BW589" s="270"/>
      <c r="BX589" s="270"/>
      <c r="BY589" s="270"/>
      <c r="BZ589" s="270"/>
      <c r="CA589" s="270"/>
      <c r="CB589" s="270"/>
      <c r="CC589" s="270"/>
      <c r="CD589" s="270"/>
      <c r="CE589"/>
      <c r="CF589" s="1396"/>
      <c r="CG589" s="1396"/>
      <c r="CH589" s="270"/>
      <c r="CI589" s="270"/>
      <c r="CJ589" s="270"/>
      <c r="CK589" s="270"/>
      <c r="CL589" s="270"/>
      <c r="CM589" s="270"/>
    </row>
    <row r="590" spans="1:91" ht="13.5" hidden="1" outlineLevel="3" thickBot="1" x14ac:dyDescent="0.25">
      <c r="A590" s="270"/>
      <c r="B590" s="271"/>
      <c r="C590" s="12"/>
      <c r="D590" s="1071"/>
      <c r="E590" s="1071"/>
      <c r="F590" s="1071"/>
      <c r="G590" s="626"/>
      <c r="H590" s="271"/>
      <c r="I590" s="270"/>
      <c r="J590" s="270"/>
      <c r="K590" s="270"/>
      <c r="L590" s="270"/>
      <c r="M590" s="270"/>
      <c r="N590" s="270"/>
      <c r="O590" s="270"/>
      <c r="P590" s="1072"/>
      <c r="Q590" s="270"/>
      <c r="R590" s="270"/>
      <c r="S590" s="1072"/>
      <c r="T590" s="270"/>
      <c r="U590" s="1019"/>
      <c r="V590" s="1119"/>
      <c r="W590" s="1120"/>
      <c r="X590" s="1075" t="str">
        <f>N_Substitute</f>
        <v>Remplaçant</v>
      </c>
      <c r="Y590" s="627"/>
      <c r="Z590" s="496"/>
      <c r="AA590" s="1090"/>
      <c r="AB590" s="496"/>
      <c r="AC590" s="1070"/>
      <c r="AD590" s="839"/>
      <c r="AE590" s="270"/>
      <c r="AF590" s="270"/>
      <c r="AG590" s="270"/>
      <c r="AH590" s="270"/>
      <c r="AI590" s="270"/>
      <c r="AJ590" s="270"/>
      <c r="AK590" s="270"/>
      <c r="AL590" s="270"/>
      <c r="AM590" s="270"/>
      <c r="AN590" s="270"/>
      <c r="AO590" s="271"/>
      <c r="AP590" s="270"/>
      <c r="AQ590" s="270"/>
      <c r="AR590" s="270"/>
      <c r="AS590" s="270"/>
      <c r="AT590" s="270"/>
      <c r="AU590" s="270"/>
      <c r="AV590" s="270"/>
      <c r="AW590" s="270"/>
      <c r="AX590" s="270"/>
      <c r="AY590" s="1072"/>
      <c r="AZ590" s="270"/>
      <c r="BA590" s="270"/>
      <c r="BB590" s="1072"/>
      <c r="BC590" s="270"/>
      <c r="BD590" s="270"/>
      <c r="BE590" s="270"/>
      <c r="BF590" s="270"/>
      <c r="BG590" s="270"/>
      <c r="BH590" s="270"/>
      <c r="BI590" s="270"/>
      <c r="BJ590" s="270"/>
      <c r="BK590" s="270"/>
      <c r="BL590" s="270"/>
      <c r="BM590" s="270"/>
      <c r="BN590" s="270"/>
      <c r="BO590" s="270"/>
      <c r="BP590" s="270"/>
      <c r="BQ590" s="270"/>
      <c r="BR590" s="270"/>
      <c r="BS590" s="270"/>
      <c r="BT590" s="270"/>
      <c r="BU590" s="270"/>
      <c r="BV590" s="270"/>
      <c r="BW590" s="270"/>
      <c r="BX590" s="270"/>
      <c r="BY590" s="270"/>
      <c r="BZ590" s="270"/>
      <c r="CA590" s="270"/>
      <c r="CB590" s="270"/>
      <c r="CC590" s="270"/>
      <c r="CD590" s="270"/>
      <c r="CE590"/>
      <c r="CF590" s="1396"/>
      <c r="CG590" s="1396"/>
      <c r="CH590" s="270"/>
      <c r="CI590" s="270"/>
      <c r="CJ590" s="270"/>
      <c r="CK590" s="270"/>
      <c r="CL590" s="270"/>
      <c r="CM590" s="270"/>
    </row>
    <row r="591" spans="1:91" hidden="1" outlineLevel="2" collapsed="1" x14ac:dyDescent="0.2">
      <c r="A591" s="270"/>
      <c r="B591" s="271"/>
      <c r="C591" s="12"/>
      <c r="D591" s="1071"/>
      <c r="E591" s="1071"/>
      <c r="F591" s="1071"/>
      <c r="G591" s="1172"/>
      <c r="H591" s="271"/>
      <c r="I591" s="270"/>
      <c r="J591" s="270"/>
      <c r="K591" s="270"/>
      <c r="L591" s="270"/>
      <c r="M591" s="270"/>
      <c r="N591" s="270"/>
      <c r="O591" s="270"/>
      <c r="P591" s="1072"/>
      <c r="Q591" s="270"/>
      <c r="R591" s="270"/>
      <c r="S591" s="1072"/>
      <c r="T591" s="270"/>
      <c r="U591" s="1019" t="s">
        <v>1729</v>
      </c>
      <c r="V591" s="1173"/>
      <c r="W591" s="1525"/>
      <c r="X591" s="1535"/>
      <c r="Y591" s="1174" t="str">
        <f>G498</f>
        <v>Eq1</v>
      </c>
      <c r="Z591" s="1063" t="str">
        <f>IF(OR(ISNUMBER(Z592),ISNUMBER(Z593),ISNUMBER(Z594),ISNUMBER(Z595)),4-COUNTBLANK(AI592:AI595),"")</f>
        <v/>
      </c>
      <c r="AA591" s="1064" t="s">
        <v>769</v>
      </c>
      <c r="AB591" s="1063" t="str">
        <f>IF(OR(ISNUMBER(Z592),ISNUMBER(Z593),ISNUMBER(Z594),ISNUMBER(Z595)),4-COUNTBLANK(AJ592:AJ595),"")</f>
        <v/>
      </c>
      <c r="AC591" s="1217" t="str">
        <f>G499</f>
        <v>Eq2</v>
      </c>
      <c r="AD591" s="839"/>
      <c r="AE591" s="270" t="str">
        <f>IF(Z591="","",IF(Z591&gt;AB591,Y591,IF(Z591=AB591,IF(NoDrawWithWithdraw,IF(AL591=Y591,AC591,IF(AL591=AC591,Y591,"")),""),AC591)))</f>
        <v/>
      </c>
      <c r="AF591" s="270" t="str">
        <f>IF(Z591="","",IF(Z591=AB591,IF(NoDrawWithWithdraw,IF(AL591=Y591,"",IF(AL591=AC591,"",Y591)),Y591),""))</f>
        <v/>
      </c>
      <c r="AG591" s="270" t="str">
        <f>IF(Z591="","",IF(Z591=AB591,IF(NoDrawWithWithdraw,IF(AL591=Y591,"",IF(AL591=AC591,"",AC591)),AC591),""))</f>
        <v/>
      </c>
      <c r="AH591" s="270" t="str">
        <f>IF(Z591="","",IF(Z591&lt;AB591,Y591,IF(Z591=AB591,IF(NoDrawWithWithdraw,IF(AL591=Y591,Y591,IF(AL591=AC591,AC591,"")),""),AC591)))</f>
        <v/>
      </c>
      <c r="AI591" s="270" t="str">
        <f>IF(Z591="","",SUM(Z592:Z595))</f>
        <v/>
      </c>
      <c r="AJ591" s="270" t="str">
        <f>IF(Z591="","",SUM(AB592:AB595))</f>
        <v/>
      </c>
      <c r="AK591" s="270" t="str">
        <f>CONCATENATE(AE591,AH591)</f>
        <v/>
      </c>
      <c r="AL591" s="270" t="str">
        <f>IF(COUNTIF(Y592:Y595,WithdrawLabel)&gt;COUNTIF(AC592:AC595,WithdrawLabel),Y591,IF(COUNTIF(AC592:AC595,WithdrawLabel)&gt;COUNTIF(Y592:Y595,WithdrawLabel),AC591,""))</f>
        <v/>
      </c>
      <c r="AM591" s="270"/>
      <c r="AN591" s="270"/>
      <c r="AO591" s="271"/>
      <c r="AP591" s="270"/>
      <c r="AQ591" s="270"/>
      <c r="AR591" s="270"/>
      <c r="AS591" s="270"/>
      <c r="AT591" s="270"/>
      <c r="AU591" s="270"/>
      <c r="AV591" s="270"/>
      <c r="AW591" s="270"/>
      <c r="AX591" s="270"/>
      <c r="AY591" s="1072"/>
      <c r="AZ591" s="270"/>
      <c r="BA591" s="270"/>
      <c r="BB591" s="1072"/>
      <c r="BC591" s="270"/>
      <c r="BD591" s="270"/>
      <c r="BE591" s="270"/>
      <c r="BF591" s="270"/>
      <c r="BG591" s="270"/>
      <c r="BH591" s="270"/>
      <c r="BI591" s="270"/>
      <c r="BJ591" s="270"/>
      <c r="BK591" s="270"/>
      <c r="BL591" s="270"/>
      <c r="BM591" s="270"/>
      <c r="BN591" s="270"/>
      <c r="BO591" s="270"/>
      <c r="BP591" s="270"/>
      <c r="BQ591" s="270"/>
      <c r="BR591" s="270"/>
      <c r="BS591" s="270"/>
      <c r="BT591" s="270"/>
      <c r="BU591" s="270"/>
      <c r="BV591" s="270"/>
      <c r="BW591" s="270"/>
      <c r="BX591" s="270"/>
      <c r="BY591" s="270"/>
      <c r="BZ591" s="270"/>
      <c r="CA591" s="270"/>
      <c r="CB591" s="270"/>
      <c r="CC591" s="270"/>
      <c r="CD591" s="270"/>
      <c r="CE591"/>
      <c r="CF591" s="1396"/>
      <c r="CG591" s="1396"/>
      <c r="CH591" s="270"/>
      <c r="CI591" s="270"/>
      <c r="CJ591" s="270"/>
      <c r="CK591" s="270"/>
      <c r="CL591" s="270"/>
      <c r="CM591" s="270"/>
    </row>
    <row r="592" spans="1:91" ht="13.5" hidden="1" outlineLevel="3" thickBot="1" x14ac:dyDescent="0.25">
      <c r="A592" s="270"/>
      <c r="B592" s="271"/>
      <c r="C592" s="12"/>
      <c r="D592" s="1071"/>
      <c r="E592" s="1071"/>
      <c r="F592" s="1071"/>
      <c r="G592" s="1172"/>
      <c r="H592" s="271"/>
      <c r="I592" s="270"/>
      <c r="J592" s="270"/>
      <c r="K592" s="270"/>
      <c r="L592" s="270"/>
      <c r="M592" s="270"/>
      <c r="N592" s="270"/>
      <c r="O592" s="270"/>
      <c r="P592" s="1072"/>
      <c r="Q592" s="270"/>
      <c r="R592" s="270"/>
      <c r="S592" s="1072"/>
      <c r="T592" s="270"/>
      <c r="U592" s="1019"/>
      <c r="V592" s="1176"/>
      <c r="W592" s="1177"/>
      <c r="X592" s="1207"/>
      <c r="Y592" s="627"/>
      <c r="Z592" s="492"/>
      <c r="AA592" s="493" t="s">
        <v>769</v>
      </c>
      <c r="AB592" s="1069"/>
      <c r="AC592" s="1070"/>
      <c r="AD592" s="839"/>
      <c r="AE592" s="270" t="str">
        <f>IF(Z592="","",IF(Z592&gt;AB592,Y592,IF(Z592=AB592,"",AC592)))</f>
        <v/>
      </c>
      <c r="AF592" s="270" t="str">
        <f>IF(Z592="","",IF(Z592=AB592,Y592,""))</f>
        <v/>
      </c>
      <c r="AG592" s="270" t="str">
        <f>IF(Z592="","",IF(Z592=AB592,AC592,""))</f>
        <v/>
      </c>
      <c r="AH592" s="270" t="str">
        <f>IF(Z592="","",IF(Z592&lt;AB592,Y592,IF(Z592=AB592,"",AC592)))</f>
        <v/>
      </c>
      <c r="AI592" s="270" t="str">
        <f>IF(Z592="","",IF(Z592&gt;AB592,Y591,""))</f>
        <v/>
      </c>
      <c r="AJ592" s="270" t="str">
        <f>IF(Z592="","",IF(Z592&lt;AB592,AC591,""))</f>
        <v/>
      </c>
      <c r="AK592" s="270" t="str">
        <f>CONCATENATE(AE592,AH592)</f>
        <v/>
      </c>
      <c r="AL592" s="270"/>
      <c r="AM592" s="270"/>
      <c r="AN592" s="270"/>
      <c r="AO592" s="271"/>
      <c r="AP592" s="270"/>
      <c r="AQ592" s="270"/>
      <c r="AR592" s="270"/>
      <c r="AS592" s="270"/>
      <c r="AT592" s="270"/>
      <c r="AU592" s="270"/>
      <c r="AV592" s="270"/>
      <c r="AW592" s="270"/>
      <c r="AX592" s="270"/>
      <c r="AY592" s="1072"/>
      <c r="AZ592" s="270"/>
      <c r="BA592" s="270"/>
      <c r="BB592" s="1072"/>
      <c r="BC592" s="270"/>
      <c r="BD592" s="270"/>
      <c r="BE592" s="270"/>
      <c r="BF592" s="270"/>
      <c r="BG592" s="270"/>
      <c r="BH592" s="270"/>
      <c r="BI592" s="270"/>
      <c r="BJ592" s="270"/>
      <c r="BK592" s="270"/>
      <c r="BL592" s="270"/>
      <c r="BM592" s="270"/>
      <c r="BN592" s="270"/>
      <c r="BO592" s="270"/>
      <c r="BP592" s="270"/>
      <c r="BQ592" s="270"/>
      <c r="BR592" s="270"/>
      <c r="BS592" s="270"/>
      <c r="BT592" s="270"/>
      <c r="BU592" s="270"/>
      <c r="BV592" s="270"/>
      <c r="BW592" s="270"/>
      <c r="BX592" s="270"/>
      <c r="BY592" s="270"/>
      <c r="BZ592" s="270"/>
      <c r="CA592" s="270"/>
      <c r="CB592" s="270"/>
      <c r="CC592" s="270"/>
      <c r="CD592" s="270"/>
      <c r="CE592"/>
      <c r="CF592" s="1396"/>
      <c r="CG592" s="1396"/>
      <c r="CH592" s="270"/>
      <c r="CI592" s="270"/>
      <c r="CJ592" s="270"/>
      <c r="CK592" s="270"/>
      <c r="CL592" s="270"/>
      <c r="CM592" s="270"/>
    </row>
    <row r="593" spans="1:91" ht="13.5" hidden="1" outlineLevel="3" thickBot="1" x14ac:dyDescent="0.25">
      <c r="A593" s="270"/>
      <c r="B593" s="271"/>
      <c r="C593" s="12"/>
      <c r="D593" s="1071"/>
      <c r="E593" s="1071"/>
      <c r="F593" s="1071"/>
      <c r="G593" s="1172"/>
      <c r="H593" s="271"/>
      <c r="I593" s="270"/>
      <c r="J593" s="270"/>
      <c r="K593" s="270"/>
      <c r="L593" s="270"/>
      <c r="M593" s="270"/>
      <c r="N593" s="270"/>
      <c r="O593" s="270"/>
      <c r="P593" s="1072"/>
      <c r="Q593" s="270"/>
      <c r="R593" s="270"/>
      <c r="S593" s="1072"/>
      <c r="T593" s="270"/>
      <c r="U593" s="1019"/>
      <c r="V593" s="1176"/>
      <c r="W593" s="1177"/>
      <c r="X593" s="1207"/>
      <c r="Y593" s="627"/>
      <c r="Z593" s="492"/>
      <c r="AA593" s="493" t="s">
        <v>769</v>
      </c>
      <c r="AB593" s="1069"/>
      <c r="AC593" s="1070"/>
      <c r="AD593" s="839"/>
      <c r="AE593" s="270" t="str">
        <f>IF(Z593="","",IF(Z593&gt;AB593,Y593,IF(Z593=AB593,"",AC593)))</f>
        <v/>
      </c>
      <c r="AF593" s="270" t="str">
        <f>IF(Z593="","",IF(Z593=AB593,Y593,""))</f>
        <v/>
      </c>
      <c r="AG593" s="270" t="str">
        <f>IF(Z593="","",IF(Z593=AB593,AC593,""))</f>
        <v/>
      </c>
      <c r="AH593" s="270" t="str">
        <f>IF(Z593="","",IF(Z593&lt;AB593,Y593,IF(Z593=AB593,"",AC593)))</f>
        <v/>
      </c>
      <c r="AI593" s="270" t="str">
        <f>IF(Z593="","",IF(Z593&gt;AB593,Y591,""))</f>
        <v/>
      </c>
      <c r="AJ593" s="270" t="str">
        <f>IF(Z593="","",IF(Z593&lt;AB593,AC591,""))</f>
        <v/>
      </c>
      <c r="AK593" s="270" t="str">
        <f>CONCATENATE(AE593,AH593)</f>
        <v/>
      </c>
      <c r="AL593" s="270"/>
      <c r="AM593" s="270"/>
      <c r="AN593" s="270"/>
      <c r="AO593" s="271"/>
      <c r="AP593" s="270"/>
      <c r="AQ593" s="270"/>
      <c r="AR593" s="270"/>
      <c r="AS593" s="270"/>
      <c r="AT593" s="270"/>
      <c r="AU593" s="270"/>
      <c r="AV593" s="270"/>
      <c r="AW593" s="270"/>
      <c r="AX593" s="270"/>
      <c r="AY593" s="1072"/>
      <c r="AZ593" s="270"/>
      <c r="BA593" s="270"/>
      <c r="BB593" s="1072"/>
      <c r="BC593" s="270"/>
      <c r="BD593" s="270"/>
      <c r="BE593" s="270"/>
      <c r="BF593" s="270"/>
      <c r="BG593" s="270"/>
      <c r="BH593" s="270"/>
      <c r="BI593" s="270"/>
      <c r="BJ593" s="270"/>
      <c r="BK593" s="270"/>
      <c r="BL593" s="270"/>
      <c r="BM593" s="270"/>
      <c r="BN593" s="270"/>
      <c r="BO593" s="270"/>
      <c r="BP593" s="270"/>
      <c r="BQ593" s="270"/>
      <c r="BR593" s="270"/>
      <c r="BS593" s="270"/>
      <c r="BT593" s="270"/>
      <c r="BU593" s="270"/>
      <c r="BV593" s="270"/>
      <c r="BW593" s="270"/>
      <c r="BX593" s="270"/>
      <c r="BY593" s="270"/>
      <c r="BZ593" s="270"/>
      <c r="CA593" s="270"/>
      <c r="CB593" s="270"/>
      <c r="CC593" s="270"/>
      <c r="CD593" s="270"/>
      <c r="CE593"/>
      <c r="CF593" s="1396"/>
      <c r="CG593" s="1396"/>
      <c r="CH593" s="270"/>
      <c r="CI593" s="270"/>
      <c r="CJ593" s="270"/>
      <c r="CK593" s="270"/>
      <c r="CL593" s="270"/>
      <c r="CM593" s="270"/>
    </row>
    <row r="594" spans="1:91" ht="13.5" hidden="1" outlineLevel="3" thickBot="1" x14ac:dyDescent="0.25">
      <c r="A594" s="270"/>
      <c r="B594" s="271"/>
      <c r="C594" s="12"/>
      <c r="D594" s="1071"/>
      <c r="E594" s="1071"/>
      <c r="F594" s="1071"/>
      <c r="G594" s="1172"/>
      <c r="H594" s="271"/>
      <c r="I594" s="270"/>
      <c r="J594" s="270"/>
      <c r="K594" s="270"/>
      <c r="L594" s="270"/>
      <c r="M594" s="270"/>
      <c r="N594" s="270"/>
      <c r="O594" s="270"/>
      <c r="P594" s="1072"/>
      <c r="Q594" s="270"/>
      <c r="R594" s="270"/>
      <c r="S594" s="1072"/>
      <c r="T594" s="270"/>
      <c r="U594" s="1019"/>
      <c r="V594" s="1176"/>
      <c r="W594" s="1177"/>
      <c r="X594" s="1207"/>
      <c r="Y594" s="627"/>
      <c r="Z594" s="492"/>
      <c r="AA594" s="493" t="s">
        <v>769</v>
      </c>
      <c r="AB594" s="1069"/>
      <c r="AC594" s="1070"/>
      <c r="AD594" s="839"/>
      <c r="AE594" s="270" t="str">
        <f>IF(Z594="","",IF(Z594&gt;AB594,Y594,IF(Z594=AB594,"",AC594)))</f>
        <v/>
      </c>
      <c r="AF594" s="270" t="str">
        <f>IF(Z594="","",IF(Z594=AB594,Y594,""))</f>
        <v/>
      </c>
      <c r="AG594" s="270" t="str">
        <f>IF(Z594="","",IF(Z594=AB594,AC594,""))</f>
        <v/>
      </c>
      <c r="AH594" s="270" t="str">
        <f>IF(Z594="","",IF(Z594&lt;AB594,Y594,IF(Z594=AB594,"",AC594)))</f>
        <v/>
      </c>
      <c r="AI594" s="270" t="str">
        <f>IF(Z594="","",IF(Z594&gt;AB594,Y591,""))</f>
        <v/>
      </c>
      <c r="AJ594" s="270" t="str">
        <f>IF(Z594="","",IF(Z594&lt;AB594,AC591,""))</f>
        <v/>
      </c>
      <c r="AK594" s="270" t="str">
        <f>CONCATENATE(AE594,AH594)</f>
        <v/>
      </c>
      <c r="AL594" s="270"/>
      <c r="AM594" s="270"/>
      <c r="AN594" s="270"/>
      <c r="AO594" s="271"/>
      <c r="AP594" s="270"/>
      <c r="AQ594" s="270"/>
      <c r="AR594" s="270"/>
      <c r="AS594" s="270"/>
      <c r="AT594" s="270"/>
      <c r="AU594" s="270"/>
      <c r="AV594" s="270"/>
      <c r="AW594" s="270"/>
      <c r="AX594" s="270"/>
      <c r="AY594" s="1072"/>
      <c r="AZ594" s="270"/>
      <c r="BA594" s="270"/>
      <c r="BB594" s="1072"/>
      <c r="BC594" s="270"/>
      <c r="BD594" s="270"/>
      <c r="BE594" s="270"/>
      <c r="BF594" s="270"/>
      <c r="BG594" s="270"/>
      <c r="BH594" s="270"/>
      <c r="BI594" s="270"/>
      <c r="BJ594" s="270"/>
      <c r="BK594" s="270"/>
      <c r="BL594" s="270"/>
      <c r="BM594" s="270"/>
      <c r="BN594" s="270"/>
      <c r="BO594" s="270"/>
      <c r="BP594" s="270"/>
      <c r="BQ594" s="270"/>
      <c r="BR594" s="270"/>
      <c r="BS594" s="270"/>
      <c r="BT594" s="270"/>
      <c r="BU594" s="270"/>
      <c r="BV594" s="270"/>
      <c r="BW594" s="270"/>
      <c r="BX594" s="270"/>
      <c r="BY594" s="270"/>
      <c r="BZ594" s="270"/>
      <c r="CA594" s="270"/>
      <c r="CB594" s="270"/>
      <c r="CC594" s="270"/>
      <c r="CD594" s="270"/>
      <c r="CE594"/>
      <c r="CF594" s="1396"/>
      <c r="CG594" s="1396"/>
      <c r="CH594" s="270"/>
      <c r="CI594" s="270"/>
      <c r="CJ594" s="270"/>
      <c r="CK594" s="270"/>
      <c r="CL594" s="270"/>
      <c r="CM594" s="270"/>
    </row>
    <row r="595" spans="1:91" ht="13.5" hidden="1" outlineLevel="3" thickBot="1" x14ac:dyDescent="0.25">
      <c r="A595" s="270"/>
      <c r="B595" s="271"/>
      <c r="C595" s="12"/>
      <c r="D595" s="1071"/>
      <c r="E595" s="1071"/>
      <c r="F595" s="1071"/>
      <c r="G595" s="1172"/>
      <c r="H595" s="271"/>
      <c r="I595" s="270"/>
      <c r="J595" s="270"/>
      <c r="K595" s="270"/>
      <c r="L595" s="270"/>
      <c r="M595" s="270"/>
      <c r="N595" s="270"/>
      <c r="O595" s="270"/>
      <c r="P595" s="1072"/>
      <c r="Q595" s="270"/>
      <c r="R595" s="270"/>
      <c r="S595" s="1072"/>
      <c r="T595" s="270"/>
      <c r="U595" s="1019"/>
      <c r="V595" s="1176"/>
      <c r="W595" s="1177"/>
      <c r="X595" s="1207"/>
      <c r="Y595" s="627"/>
      <c r="Z595" s="492"/>
      <c r="AA595" s="493" t="s">
        <v>769</v>
      </c>
      <c r="AB595" s="1069"/>
      <c r="AC595" s="1070"/>
      <c r="AD595" s="839"/>
      <c r="AE595" s="270" t="str">
        <f>IF(Z595="","",IF(Z595&gt;AB595,Y595,IF(Z595=AB595,"",AC595)))</f>
        <v/>
      </c>
      <c r="AF595" s="270" t="str">
        <f>IF(Z595="","",IF(Z595=AB595,Y595,""))</f>
        <v/>
      </c>
      <c r="AG595" s="270" t="str">
        <f>IF(Z595="","",IF(Z595=AB595,AC595,""))</f>
        <v/>
      </c>
      <c r="AH595" s="270" t="str">
        <f>IF(Z595="","",IF(Z595&lt;AB595,Y595,IF(Z595=AB595,"",AC595)))</f>
        <v/>
      </c>
      <c r="AI595" s="270" t="str">
        <f>IF(Z595="","",IF(Z595&gt;AB595,Y591,""))</f>
        <v/>
      </c>
      <c r="AJ595" s="270" t="str">
        <f>IF(Z595="","",IF(Z595&lt;AB595,AC591,""))</f>
        <v/>
      </c>
      <c r="AK595" s="270" t="str">
        <f>CONCATENATE(AE595,AH595)</f>
        <v/>
      </c>
      <c r="AL595" s="270"/>
      <c r="AM595" s="270"/>
      <c r="AN595" s="270"/>
      <c r="AO595" s="271"/>
      <c r="AP595" s="270"/>
      <c r="AQ595" s="270"/>
      <c r="AR595" s="270"/>
      <c r="AS595" s="270"/>
      <c r="AT595" s="270"/>
      <c r="AU595" s="270"/>
      <c r="AV595" s="270"/>
      <c r="AW595" s="270"/>
      <c r="AX595" s="270"/>
      <c r="AY595" s="1072"/>
      <c r="AZ595" s="270"/>
      <c r="BA595" s="270"/>
      <c r="BB595" s="1072"/>
      <c r="BC595" s="270"/>
      <c r="BD595" s="270"/>
      <c r="BE595" s="270"/>
      <c r="BF595" s="270"/>
      <c r="BG595" s="270"/>
      <c r="BH595" s="270"/>
      <c r="BI595" s="270"/>
      <c r="BJ595" s="270"/>
      <c r="BK595" s="270"/>
      <c r="BL595" s="270"/>
      <c r="BM595" s="270"/>
      <c r="BN595" s="270"/>
      <c r="BO595" s="270"/>
      <c r="BP595" s="270"/>
      <c r="BQ595" s="270"/>
      <c r="BR595" s="270"/>
      <c r="BS595" s="270"/>
      <c r="BT595" s="270"/>
      <c r="BU595" s="270"/>
      <c r="BV595" s="270"/>
      <c r="BW595" s="270"/>
      <c r="BX595" s="270"/>
      <c r="BY595" s="270"/>
      <c r="BZ595" s="270"/>
      <c r="CA595" s="270"/>
      <c r="CB595" s="270"/>
      <c r="CC595" s="270"/>
      <c r="CD595" s="270"/>
      <c r="CE595"/>
      <c r="CF595" s="1396"/>
      <c r="CG595" s="1396"/>
      <c r="CH595" s="270"/>
      <c r="CI595" s="270"/>
      <c r="CJ595" s="270"/>
      <c r="CK595" s="270"/>
      <c r="CL595" s="270"/>
      <c r="CM595" s="270"/>
    </row>
    <row r="596" spans="1:91" ht="13.5" hidden="1" outlineLevel="3" thickBot="1" x14ac:dyDescent="0.25">
      <c r="A596" s="270"/>
      <c r="B596" s="271"/>
      <c r="C596" s="12"/>
      <c r="D596" s="1071"/>
      <c r="E596" s="1071"/>
      <c r="F596" s="1071"/>
      <c r="G596" s="626"/>
      <c r="H596" s="271"/>
      <c r="I596" s="270"/>
      <c r="J596" s="270"/>
      <c r="K596" s="270"/>
      <c r="L596" s="270"/>
      <c r="M596" s="270"/>
      <c r="N596" s="270"/>
      <c r="O596" s="270"/>
      <c r="P596" s="1072"/>
      <c r="Q596" s="270"/>
      <c r="R596" s="270"/>
      <c r="S596" s="1072"/>
      <c r="T596" s="270"/>
      <c r="U596" s="1019"/>
      <c r="V596" s="1073"/>
      <c r="W596" s="1074"/>
      <c r="X596" s="1075" t="str">
        <f>N_Substitute</f>
        <v>Remplaçant</v>
      </c>
      <c r="Y596" s="627"/>
      <c r="Z596" s="492"/>
      <c r="AA596" s="1076"/>
      <c r="AB596" s="1069"/>
      <c r="AC596" s="1070"/>
      <c r="AD596" s="839"/>
      <c r="AE596" s="270"/>
      <c r="AF596" s="270"/>
      <c r="AG596" s="270"/>
      <c r="AH596" s="270"/>
      <c r="AI596" s="270"/>
      <c r="AJ596" s="270"/>
      <c r="AK596" s="270"/>
      <c r="AL596" s="270"/>
      <c r="AM596" s="270"/>
      <c r="AN596" s="270"/>
      <c r="AO596" s="271"/>
      <c r="AP596" s="270"/>
      <c r="AQ596" s="270"/>
      <c r="AR596" s="270"/>
      <c r="AS596" s="270"/>
      <c r="AT596" s="270"/>
      <c r="AU596" s="270"/>
      <c r="AV596" s="270"/>
      <c r="AW596" s="270"/>
      <c r="AX596" s="270"/>
      <c r="AY596" s="1072"/>
      <c r="AZ596" s="270"/>
      <c r="BA596" s="270"/>
      <c r="BB596" s="1072"/>
      <c r="BC596" s="270"/>
      <c r="BD596" s="270"/>
      <c r="BE596" s="270"/>
      <c r="BF596" s="270"/>
      <c r="BG596" s="270"/>
      <c r="BH596" s="270"/>
      <c r="BI596" s="270"/>
      <c r="BJ596" s="270"/>
      <c r="BK596" s="270"/>
      <c r="BL596" s="270"/>
      <c r="BM596" s="270"/>
      <c r="BN596" s="270"/>
      <c r="BO596" s="270"/>
      <c r="BP596" s="270"/>
      <c r="BQ596" s="270"/>
      <c r="BR596" s="270"/>
      <c r="BS596" s="270"/>
      <c r="BT596" s="270"/>
      <c r="BU596" s="270"/>
      <c r="BV596" s="270"/>
      <c r="BW596" s="270"/>
      <c r="BX596" s="270"/>
      <c r="BY596" s="270"/>
      <c r="BZ596" s="270"/>
      <c r="CA596" s="270"/>
      <c r="CB596" s="270"/>
      <c r="CC596" s="270"/>
      <c r="CD596" s="270"/>
      <c r="CE596"/>
      <c r="CF596" s="1396"/>
      <c r="CG596" s="1396"/>
      <c r="CH596" s="270"/>
      <c r="CI596" s="270"/>
      <c r="CJ596" s="270"/>
      <c r="CK596" s="270"/>
      <c r="CL596" s="270"/>
      <c r="CM596" s="270"/>
    </row>
    <row r="597" spans="1:91" ht="13.5" hidden="1" outlineLevel="3" thickBot="1" x14ac:dyDescent="0.25">
      <c r="A597" s="270"/>
      <c r="B597" s="271"/>
      <c r="C597" s="12"/>
      <c r="D597" s="1071"/>
      <c r="E597" s="1071"/>
      <c r="F597" s="1071"/>
      <c r="G597" s="626"/>
      <c r="H597" s="271"/>
      <c r="I597" s="270"/>
      <c r="J597" s="270"/>
      <c r="K597" s="270"/>
      <c r="L597" s="270"/>
      <c r="M597" s="270"/>
      <c r="N597" s="270"/>
      <c r="O597" s="270"/>
      <c r="P597" s="1072"/>
      <c r="Q597" s="270"/>
      <c r="R597" s="270"/>
      <c r="S597" s="1072"/>
      <c r="T597" s="270"/>
      <c r="U597" s="1019"/>
      <c r="V597" s="1119"/>
      <c r="W597" s="1120"/>
      <c r="X597" s="1075" t="str">
        <f>N_Substitute</f>
        <v>Remplaçant</v>
      </c>
      <c r="Y597" s="627"/>
      <c r="Z597" s="492"/>
      <c r="AA597" s="1121"/>
      <c r="AB597" s="1069"/>
      <c r="AC597" s="1070"/>
      <c r="AD597" s="839"/>
      <c r="AE597" s="270"/>
      <c r="AF597" s="270"/>
      <c r="AG597" s="270"/>
      <c r="AH597" s="270"/>
      <c r="AI597" s="270"/>
      <c r="AJ597" s="270"/>
      <c r="AK597" s="270"/>
      <c r="AL597" s="270"/>
      <c r="AM597" s="270"/>
      <c r="AN597" s="270"/>
      <c r="AO597" s="271"/>
      <c r="AP597" s="270"/>
      <c r="AQ597" s="270"/>
      <c r="AR597" s="270"/>
      <c r="AS597" s="270"/>
      <c r="AT597" s="270"/>
      <c r="AU597" s="270"/>
      <c r="AV597" s="270"/>
      <c r="AW597" s="270"/>
      <c r="AX597" s="270"/>
      <c r="AY597" s="1072"/>
      <c r="AZ597" s="270"/>
      <c r="BA597" s="270"/>
      <c r="BB597" s="1072"/>
      <c r="BC597" s="270"/>
      <c r="BD597" s="270"/>
      <c r="BE597" s="270"/>
      <c r="BF597" s="270"/>
      <c r="BG597" s="270"/>
      <c r="BH597" s="270"/>
      <c r="BI597" s="270"/>
      <c r="BJ597" s="270"/>
      <c r="BK597" s="270"/>
      <c r="BL597" s="270"/>
      <c r="BM597" s="270"/>
      <c r="BN597" s="270"/>
      <c r="BO597" s="270"/>
      <c r="BP597" s="270"/>
      <c r="BQ597" s="270"/>
      <c r="BR597" s="270"/>
      <c r="BS597" s="270"/>
      <c r="BT597" s="270"/>
      <c r="BU597" s="270"/>
      <c r="BV597" s="270"/>
      <c r="BW597" s="270"/>
      <c r="BX597" s="270"/>
      <c r="BY597" s="270"/>
      <c r="BZ597" s="270"/>
      <c r="CA597" s="270"/>
      <c r="CB597" s="270"/>
      <c r="CC597" s="270"/>
      <c r="CD597" s="270"/>
      <c r="CE597"/>
      <c r="CF597" s="1396"/>
      <c r="CG597" s="1396"/>
      <c r="CH597" s="270"/>
      <c r="CI597" s="270"/>
      <c r="CJ597" s="270"/>
      <c r="CK597" s="270"/>
      <c r="CL597" s="270"/>
      <c r="CM597" s="270"/>
    </row>
    <row r="598" spans="1:91" hidden="1" outlineLevel="2" collapsed="1" x14ac:dyDescent="0.2">
      <c r="A598" s="270"/>
      <c r="B598" s="271"/>
      <c r="C598" s="270"/>
      <c r="D598" s="270"/>
      <c r="E598" s="270"/>
      <c r="F598" s="270"/>
      <c r="G598" s="271"/>
      <c r="H598" s="270"/>
      <c r="I598" s="270"/>
      <c r="J598" s="270"/>
      <c r="K598" s="270"/>
      <c r="L598" s="270"/>
      <c r="M598" s="270"/>
      <c r="N598" s="270"/>
      <c r="O598" s="270"/>
      <c r="P598" s="270"/>
      <c r="Q598" s="270"/>
      <c r="R598" s="270"/>
      <c r="S598" s="270"/>
      <c r="T598" s="270"/>
      <c r="U598" s="1019" t="s">
        <v>1729</v>
      </c>
      <c r="V598" s="1179"/>
      <c r="W598" s="1177"/>
      <c r="X598" s="1207"/>
      <c r="Y598" s="1180" t="str">
        <f>G501</f>
        <v>Eq4</v>
      </c>
      <c r="Z598" s="1103" t="str">
        <f>IF(OR(ISNUMBER(Z599),ISNUMBER(Z600),ISNUMBER(Z601),ISNUMBER(Z602)),4-COUNTBLANK(AI599:AI602),"")</f>
        <v/>
      </c>
      <c r="AA598" s="1104" t="s">
        <v>769</v>
      </c>
      <c r="AB598" s="1103" t="str">
        <f>IF(OR(ISNUMBER(Z599),ISNUMBER(Z600),ISNUMBER(Z601),ISNUMBER(Z602)),4-COUNTBLANK(AJ599:AJ602),"")</f>
        <v/>
      </c>
      <c r="AC598" s="1181" t="str">
        <f>G503</f>
        <v>Eq6</v>
      </c>
      <c r="AD598" s="839"/>
      <c r="AE598" s="270" t="str">
        <f>IF(Z598="","",IF(Z598&gt;AB598,Y598,IF(Z598=AB598,IF(NoDrawWithWithdraw,IF(AL598=Y598,AC598,IF(AL598=AC598,Y598,"")),""),AC598)))</f>
        <v/>
      </c>
      <c r="AF598" s="270" t="str">
        <f>IF(Z598="","",IF(Z598=AB598,IF(NoDrawWithWithdraw,IF(AL598=Y598,"",IF(AL598=AC598,"",Y598)),Y598),""))</f>
        <v/>
      </c>
      <c r="AG598" s="270" t="str">
        <f>IF(Z598="","",IF(Z598=AB598,IF(NoDrawWithWithdraw,IF(AL598=Y598,"",IF(AL598=AC598,"",AC598)),AC598),""))</f>
        <v/>
      </c>
      <c r="AH598" s="270" t="str">
        <f>IF(Z598="","",IF(Z598&lt;AB598,Y598,IF(Z598=AB598,IF(NoDrawWithWithdraw,IF(AL598=Y598,Y598,IF(AL598=AC598,AC598,"")),""),AC598)))</f>
        <v/>
      </c>
      <c r="AI598" s="270" t="str">
        <f>IF(Z598="","",SUM(Z599:Z602))</f>
        <v/>
      </c>
      <c r="AJ598" s="270" t="str">
        <f>IF(Z598="","",SUM(AB599:AB602))</f>
        <v/>
      </c>
      <c r="AK598" s="270" t="str">
        <f>CONCATENATE(AE598,AH598)</f>
        <v/>
      </c>
      <c r="AL598" s="270" t="str">
        <f>IF(COUNTIF(Y599:Y602,WithdrawLabel)&gt;COUNTIF(AC599:AC602,WithdrawLabel),Y598,IF(COUNTIF(AC599:AC602,WithdrawLabel)&gt;COUNTIF(Y599:Y602,WithdrawLabel),AC598,""))</f>
        <v/>
      </c>
      <c r="AM598" s="270"/>
      <c r="AN598" s="270"/>
      <c r="AO598" s="575"/>
      <c r="AP598" s="270"/>
      <c r="AQ598" s="270"/>
      <c r="AR598" s="270"/>
      <c r="AS598" s="270"/>
      <c r="AT598" s="270"/>
      <c r="AU598" s="270"/>
      <c r="AV598" s="270"/>
      <c r="AW598" s="270"/>
      <c r="AX598" s="270"/>
      <c r="AY598" s="270"/>
      <c r="AZ598" s="270"/>
      <c r="BA598" s="270"/>
      <c r="BB598" s="270"/>
      <c r="BC598" s="270"/>
      <c r="BD598" s="270"/>
      <c r="BE598" s="270"/>
      <c r="BF598" s="270"/>
      <c r="BG598" s="270"/>
      <c r="BH598" s="270"/>
      <c r="BI598" s="270"/>
      <c r="BJ598" s="270"/>
      <c r="BK598" s="270"/>
      <c r="BL598" s="270"/>
      <c r="BM598" s="270"/>
      <c r="BN598" s="270"/>
      <c r="BO598" s="270"/>
      <c r="BP598" s="270"/>
      <c r="BQ598" s="270"/>
      <c r="BR598" s="270"/>
      <c r="BS598" s="270"/>
      <c r="BT598" s="270"/>
      <c r="BU598" s="270"/>
      <c r="BV598" s="270"/>
      <c r="BW598" s="270"/>
      <c r="BX598" s="270"/>
      <c r="BY598" s="270"/>
      <c r="BZ598" s="270"/>
      <c r="CA598" s="270"/>
      <c r="CB598" s="270"/>
      <c r="CC598" s="270"/>
      <c r="CD598" s="270"/>
      <c r="CE598"/>
      <c r="CF598" s="1396"/>
      <c r="CG598" s="1396"/>
      <c r="CH598" s="270"/>
      <c r="CI598" s="270"/>
      <c r="CJ598" s="270"/>
      <c r="CK598" s="270"/>
      <c r="CL598" s="270"/>
      <c r="CM598" s="270"/>
    </row>
    <row r="599" spans="1:91" ht="13.5" hidden="1" outlineLevel="3" thickBot="1" x14ac:dyDescent="0.25">
      <c r="A599" s="270"/>
      <c r="B599" s="271"/>
      <c r="C599" s="12"/>
      <c r="D599" s="1071"/>
      <c r="E599" s="1071"/>
      <c r="F599" s="1071"/>
      <c r="G599" s="1172"/>
      <c r="H599" s="271"/>
      <c r="I599" s="270"/>
      <c r="J599" s="270"/>
      <c r="K599" s="270"/>
      <c r="L599" s="270"/>
      <c r="M599" s="270"/>
      <c r="N599" s="270"/>
      <c r="O599" s="270"/>
      <c r="P599" s="1072"/>
      <c r="Q599" s="270"/>
      <c r="R599" s="270"/>
      <c r="S599" s="1072"/>
      <c r="T599" s="270"/>
      <c r="U599" s="1019"/>
      <c r="V599" s="1176"/>
      <c r="W599" s="1177"/>
      <c r="X599" s="1207"/>
      <c r="Y599" s="627"/>
      <c r="Z599" s="492"/>
      <c r="AA599" s="493" t="s">
        <v>769</v>
      </c>
      <c r="AB599" s="1069"/>
      <c r="AC599" s="1070"/>
      <c r="AD599" s="839"/>
      <c r="AE599" s="270" t="str">
        <f>IF(Z599="","",IF(Z599&gt;AB599,Y599,IF(Z599=AB599,"",AC599)))</f>
        <v/>
      </c>
      <c r="AF599" s="270" t="str">
        <f>IF(Z599="","",IF(Z599=AB599,Y599,""))</f>
        <v/>
      </c>
      <c r="AG599" s="270" t="str">
        <f>IF(Z599="","",IF(Z599=AB599,AC599,""))</f>
        <v/>
      </c>
      <c r="AH599" s="270" t="str">
        <f>IF(Z599="","",IF(Z599&lt;AB599,Y599,IF(Z599=AB599,"",AC599)))</f>
        <v/>
      </c>
      <c r="AI599" s="270" t="str">
        <f>IF(Z599="","",IF(Z599&gt;AB599,Y598,""))</f>
        <v/>
      </c>
      <c r="AJ599" s="270" t="str">
        <f>IF(Z599="","",IF(Z599&lt;AB599,AC598,""))</f>
        <v/>
      </c>
      <c r="AK599" s="270" t="str">
        <f>CONCATENATE(AE599,AH599)</f>
        <v/>
      </c>
      <c r="AL599" s="270"/>
      <c r="AM599" s="270"/>
      <c r="AN599" s="270"/>
      <c r="AO599" s="271"/>
      <c r="AP599" s="270"/>
      <c r="AQ599" s="270"/>
      <c r="AR599" s="270"/>
      <c r="AS599" s="270"/>
      <c r="AT599" s="270"/>
      <c r="AU599" s="270"/>
      <c r="AV599" s="270"/>
      <c r="AW599" s="270"/>
      <c r="AX599" s="270"/>
      <c r="AY599" s="1072"/>
      <c r="AZ599" s="270"/>
      <c r="BA599" s="270"/>
      <c r="BB599" s="1072"/>
      <c r="BC599" s="270"/>
      <c r="BD599" s="270"/>
      <c r="BE599" s="270"/>
      <c r="BF599" s="270"/>
      <c r="BG599" s="270"/>
      <c r="BH599" s="270"/>
      <c r="BI599" s="270"/>
      <c r="BJ599" s="270"/>
      <c r="BK599" s="270"/>
      <c r="BL599" s="270"/>
      <c r="BM599" s="270"/>
      <c r="BN599" s="270"/>
      <c r="BO599" s="270"/>
      <c r="BP599" s="270"/>
      <c r="BQ599" s="270"/>
      <c r="BR599" s="270"/>
      <c r="BS599" s="270"/>
      <c r="BT599" s="270"/>
      <c r="BU599" s="270"/>
      <c r="BV599" s="270"/>
      <c r="BW599" s="270"/>
      <c r="BX599" s="270"/>
      <c r="BY599" s="270"/>
      <c r="BZ599" s="270"/>
      <c r="CA599" s="270"/>
      <c r="CB599" s="270"/>
      <c r="CC599" s="270"/>
      <c r="CD599" s="270"/>
      <c r="CE599"/>
      <c r="CF599" s="1396"/>
      <c r="CG599" s="1396"/>
      <c r="CH599" s="270"/>
      <c r="CI599" s="270"/>
      <c r="CJ599" s="270"/>
      <c r="CK599" s="270"/>
      <c r="CL599" s="270"/>
      <c r="CM599" s="270"/>
    </row>
    <row r="600" spans="1:91" ht="13.5" hidden="1" outlineLevel="3" thickBot="1" x14ac:dyDescent="0.25">
      <c r="A600" s="270"/>
      <c r="B600" s="271"/>
      <c r="C600" s="12"/>
      <c r="D600" s="1071"/>
      <c r="E600" s="1071"/>
      <c r="F600" s="1071"/>
      <c r="G600" s="1172"/>
      <c r="H600" s="271"/>
      <c r="I600" s="270"/>
      <c r="J600" s="270"/>
      <c r="K600" s="270"/>
      <c r="L600" s="270"/>
      <c r="M600" s="270"/>
      <c r="N600" s="270"/>
      <c r="O600" s="270"/>
      <c r="P600" s="1072"/>
      <c r="Q600" s="270"/>
      <c r="R600" s="270"/>
      <c r="S600" s="1072"/>
      <c r="T600" s="270"/>
      <c r="U600" s="1019"/>
      <c r="V600" s="1176"/>
      <c r="W600" s="1177"/>
      <c r="X600" s="1207"/>
      <c r="Y600" s="627"/>
      <c r="Z600" s="492"/>
      <c r="AA600" s="493" t="s">
        <v>769</v>
      </c>
      <c r="AB600" s="1069"/>
      <c r="AC600" s="1070"/>
      <c r="AD600" s="839"/>
      <c r="AE600" s="270" t="str">
        <f>IF(Z600="","",IF(Z600&gt;AB600,Y600,IF(Z600=AB600,"",AC600)))</f>
        <v/>
      </c>
      <c r="AF600" s="270" t="str">
        <f>IF(Z600="","",IF(Z600=AB600,Y600,""))</f>
        <v/>
      </c>
      <c r="AG600" s="270" t="str">
        <f>IF(Z600="","",IF(Z600=AB600,AC600,""))</f>
        <v/>
      </c>
      <c r="AH600" s="270" t="str">
        <f>IF(Z600="","",IF(Z600&lt;AB600,Y600,IF(Z600=AB600,"",AC600)))</f>
        <v/>
      </c>
      <c r="AI600" s="270" t="str">
        <f>IF(Z600="","",IF(Z600&gt;AB600,Y598,""))</f>
        <v/>
      </c>
      <c r="AJ600" s="270" t="str">
        <f>IF(Z600="","",IF(Z600&lt;AB600,AC598,""))</f>
        <v/>
      </c>
      <c r="AK600" s="270" t="str">
        <f>CONCATENATE(AE600,AH600)</f>
        <v/>
      </c>
      <c r="AL600" s="270"/>
      <c r="AM600" s="270"/>
      <c r="AN600" s="270"/>
      <c r="AO600" s="271"/>
      <c r="AP600" s="270"/>
      <c r="AQ600" s="270"/>
      <c r="AR600" s="270"/>
      <c r="AS600" s="270"/>
      <c r="AT600" s="270"/>
      <c r="AU600" s="270"/>
      <c r="AV600" s="270"/>
      <c r="AW600" s="270"/>
      <c r="AX600" s="270"/>
      <c r="AY600" s="1072"/>
      <c r="AZ600" s="270"/>
      <c r="BA600" s="270"/>
      <c r="BB600" s="1072"/>
      <c r="BC600" s="270"/>
      <c r="BD600" s="270"/>
      <c r="BE600" s="270"/>
      <c r="BF600" s="270"/>
      <c r="BG600" s="270"/>
      <c r="BH600" s="270"/>
      <c r="BI600" s="270"/>
      <c r="BJ600" s="270"/>
      <c r="BK600" s="270"/>
      <c r="BL600" s="270"/>
      <c r="BM600" s="270"/>
      <c r="BN600" s="270"/>
      <c r="BO600" s="270"/>
      <c r="BP600" s="270"/>
      <c r="BQ600" s="270"/>
      <c r="BR600" s="270"/>
      <c r="BS600" s="270"/>
      <c r="BT600" s="270"/>
      <c r="BU600" s="270"/>
      <c r="BV600" s="270"/>
      <c r="BW600" s="270"/>
      <c r="BX600" s="270"/>
      <c r="BY600" s="270"/>
      <c r="BZ600" s="270"/>
      <c r="CA600" s="270"/>
      <c r="CB600" s="270"/>
      <c r="CC600" s="270"/>
      <c r="CD600" s="270"/>
      <c r="CE600"/>
      <c r="CF600" s="1396"/>
      <c r="CG600" s="1396"/>
      <c r="CH600" s="270"/>
      <c r="CI600" s="270"/>
      <c r="CJ600" s="270"/>
      <c r="CK600" s="270"/>
      <c r="CL600" s="270"/>
      <c r="CM600" s="270"/>
    </row>
    <row r="601" spans="1:91" ht="13.5" hidden="1" outlineLevel="3" thickBot="1" x14ac:dyDescent="0.25">
      <c r="A601" s="270"/>
      <c r="B601" s="271"/>
      <c r="C601" s="12"/>
      <c r="D601" s="1071"/>
      <c r="E601" s="1071"/>
      <c r="F601" s="1071"/>
      <c r="G601" s="1172"/>
      <c r="H601" s="271"/>
      <c r="I601" s="270"/>
      <c r="J601" s="270"/>
      <c r="K601" s="270"/>
      <c r="L601" s="270"/>
      <c r="M601" s="270"/>
      <c r="N601" s="270"/>
      <c r="O601" s="270"/>
      <c r="P601" s="1072"/>
      <c r="Q601" s="270"/>
      <c r="R601" s="270"/>
      <c r="S601" s="1072"/>
      <c r="T601" s="270"/>
      <c r="U601" s="1019"/>
      <c r="V601" s="1176"/>
      <c r="W601" s="1177"/>
      <c r="X601" s="1207"/>
      <c r="Y601" s="627"/>
      <c r="Z601" s="492"/>
      <c r="AA601" s="493" t="s">
        <v>769</v>
      </c>
      <c r="AB601" s="1069"/>
      <c r="AC601" s="1070"/>
      <c r="AD601" s="839"/>
      <c r="AE601" s="270" t="str">
        <f>IF(Z601="","",IF(Z601&gt;AB601,Y601,IF(Z601=AB601,"",AC601)))</f>
        <v/>
      </c>
      <c r="AF601" s="270" t="str">
        <f>IF(Z601="","",IF(Z601=AB601,Y601,""))</f>
        <v/>
      </c>
      <c r="AG601" s="270" t="str">
        <f>IF(Z601="","",IF(Z601=AB601,AC601,""))</f>
        <v/>
      </c>
      <c r="AH601" s="270" t="str">
        <f>IF(Z601="","",IF(Z601&lt;AB601,Y601,IF(Z601=AB601,"",AC601)))</f>
        <v/>
      </c>
      <c r="AI601" s="270" t="str">
        <f>IF(Z601="","",IF(Z601&gt;AB601,Y598,""))</f>
        <v/>
      </c>
      <c r="AJ601" s="270" t="str">
        <f>IF(Z601="","",IF(Z601&lt;AB601,AC598,""))</f>
        <v/>
      </c>
      <c r="AK601" s="270" t="str">
        <f>CONCATENATE(AE601,AH601)</f>
        <v/>
      </c>
      <c r="AL601" s="270"/>
      <c r="AM601" s="270"/>
      <c r="AN601" s="270"/>
      <c r="AO601" s="271"/>
      <c r="AP601" s="270"/>
      <c r="AQ601" s="270"/>
      <c r="AR601" s="270"/>
      <c r="AS601" s="270"/>
      <c r="AT601" s="270"/>
      <c r="AU601" s="270"/>
      <c r="AV601" s="270"/>
      <c r="AW601" s="270"/>
      <c r="AX601" s="270"/>
      <c r="AY601" s="1072"/>
      <c r="AZ601" s="270"/>
      <c r="BA601" s="270"/>
      <c r="BB601" s="1072"/>
      <c r="BC601" s="270"/>
      <c r="BD601" s="270"/>
      <c r="BE601" s="270"/>
      <c r="BF601" s="270"/>
      <c r="BG601" s="270"/>
      <c r="BH601" s="270"/>
      <c r="BI601" s="270"/>
      <c r="BJ601" s="270"/>
      <c r="BK601" s="270"/>
      <c r="BL601" s="270"/>
      <c r="BM601" s="270"/>
      <c r="BN601" s="270"/>
      <c r="BO601" s="270"/>
      <c r="BP601" s="270"/>
      <c r="BQ601" s="270"/>
      <c r="BR601" s="270"/>
      <c r="BS601" s="270"/>
      <c r="BT601" s="270"/>
      <c r="BU601" s="270"/>
      <c r="BV601" s="270"/>
      <c r="BW601" s="270"/>
      <c r="BX601" s="270"/>
      <c r="BY601" s="270"/>
      <c r="BZ601" s="270"/>
      <c r="CA601" s="270"/>
      <c r="CB601" s="270"/>
      <c r="CC601" s="270"/>
      <c r="CD601" s="270"/>
      <c r="CE601"/>
      <c r="CF601" s="1396"/>
      <c r="CG601" s="1396"/>
      <c r="CH601" s="270"/>
      <c r="CI601" s="270"/>
      <c r="CJ601" s="270"/>
      <c r="CK601" s="270"/>
      <c r="CL601" s="270"/>
      <c r="CM601" s="270"/>
    </row>
    <row r="602" spans="1:91" ht="13.5" hidden="1" outlineLevel="3" thickBot="1" x14ac:dyDescent="0.25">
      <c r="A602" s="270"/>
      <c r="B602" s="271"/>
      <c r="C602" s="12"/>
      <c r="D602" s="1071"/>
      <c r="E602" s="1071"/>
      <c r="F602" s="1071"/>
      <c r="G602" s="1172"/>
      <c r="H602" s="271"/>
      <c r="I602" s="270"/>
      <c r="J602" s="270"/>
      <c r="K602" s="270"/>
      <c r="L602" s="270"/>
      <c r="M602" s="270"/>
      <c r="N602" s="270"/>
      <c r="O602" s="270"/>
      <c r="P602" s="1072"/>
      <c r="Q602" s="270"/>
      <c r="R602" s="270"/>
      <c r="S602" s="1072"/>
      <c r="T602" s="270"/>
      <c r="U602" s="1019"/>
      <c r="V602" s="1176"/>
      <c r="W602" s="1177"/>
      <c r="X602" s="1207"/>
      <c r="Y602" s="627"/>
      <c r="Z602" s="492"/>
      <c r="AA602" s="493" t="s">
        <v>769</v>
      </c>
      <c r="AB602" s="1069"/>
      <c r="AC602" s="1070"/>
      <c r="AD602" s="839"/>
      <c r="AE602" s="270" t="str">
        <f>IF(Z602="","",IF(Z602&gt;AB602,Y602,IF(Z602=AB602,"",AC602)))</f>
        <v/>
      </c>
      <c r="AF602" s="270" t="str">
        <f>IF(Z602="","",IF(Z602=AB602,Y602,""))</f>
        <v/>
      </c>
      <c r="AG602" s="270" t="str">
        <f>IF(Z602="","",IF(Z602=AB602,AC602,""))</f>
        <v/>
      </c>
      <c r="AH602" s="270" t="str">
        <f>IF(Z602="","",IF(Z602&lt;AB602,Y602,IF(Z602=AB602,"",AC602)))</f>
        <v/>
      </c>
      <c r="AI602" s="270" t="str">
        <f>IF(Z602="","",IF(Z602&gt;AB602,Y598,""))</f>
        <v/>
      </c>
      <c r="AJ602" s="270" t="str">
        <f>IF(Z602="","",IF(Z602&lt;AB602,AC598,""))</f>
        <v/>
      </c>
      <c r="AK602" s="270" t="str">
        <f>CONCATENATE(AE602,AH602)</f>
        <v/>
      </c>
      <c r="AL602" s="270"/>
      <c r="AM602" s="270"/>
      <c r="AN602" s="270"/>
      <c r="AO602" s="271"/>
      <c r="AP602" s="270"/>
      <c r="AQ602" s="270"/>
      <c r="AR602" s="270"/>
      <c r="AS602" s="270"/>
      <c r="AT602" s="270"/>
      <c r="AU602" s="270"/>
      <c r="AV602" s="270"/>
      <c r="AW602" s="270"/>
      <c r="AX602" s="270"/>
      <c r="AY602" s="1072"/>
      <c r="AZ602" s="270"/>
      <c r="BA602" s="270"/>
      <c r="BB602" s="1072"/>
      <c r="BC602" s="270"/>
      <c r="BD602" s="270"/>
      <c r="BE602" s="270"/>
      <c r="BF602" s="270"/>
      <c r="BG602" s="270"/>
      <c r="BH602" s="270"/>
      <c r="BI602" s="270"/>
      <c r="BJ602" s="270"/>
      <c r="BK602" s="270"/>
      <c r="BL602" s="270"/>
      <c r="BM602" s="270"/>
      <c r="BN602" s="270"/>
      <c r="BO602" s="270"/>
      <c r="BP602" s="270"/>
      <c r="BQ602" s="270"/>
      <c r="BR602" s="270"/>
      <c r="BS602" s="270"/>
      <c r="BT602" s="270"/>
      <c r="BU602" s="270"/>
      <c r="BV602" s="270"/>
      <c r="BW602" s="270"/>
      <c r="BX602" s="270"/>
      <c r="BY602" s="270"/>
      <c r="BZ602" s="270"/>
      <c r="CA602" s="270"/>
      <c r="CB602" s="270"/>
      <c r="CC602" s="270"/>
      <c r="CD602" s="270"/>
      <c r="CE602"/>
      <c r="CF602" s="1396"/>
      <c r="CG602" s="1396"/>
      <c r="CH602" s="270"/>
      <c r="CI602" s="270"/>
      <c r="CJ602" s="270"/>
      <c r="CK602" s="270"/>
      <c r="CL602" s="270"/>
      <c r="CM602" s="270"/>
    </row>
    <row r="603" spans="1:91" ht="13.5" hidden="1" outlineLevel="3" thickBot="1" x14ac:dyDescent="0.25">
      <c r="A603" s="270"/>
      <c r="B603" s="271"/>
      <c r="C603" s="12"/>
      <c r="D603" s="1071"/>
      <c r="E603" s="1071"/>
      <c r="F603" s="1071"/>
      <c r="G603" s="626"/>
      <c r="H603" s="271"/>
      <c r="I603" s="270"/>
      <c r="J603" s="270"/>
      <c r="K603" s="270"/>
      <c r="L603" s="270"/>
      <c r="M603" s="270"/>
      <c r="N603" s="270"/>
      <c r="O603" s="270"/>
      <c r="P603" s="1072"/>
      <c r="Q603" s="270"/>
      <c r="R603" s="270"/>
      <c r="S603" s="1072"/>
      <c r="T603" s="270"/>
      <c r="U603" s="1019"/>
      <c r="V603" s="1073"/>
      <c r="W603" s="1074"/>
      <c r="X603" s="1075" t="str">
        <f>N_Substitute</f>
        <v>Remplaçant</v>
      </c>
      <c r="Y603" s="627"/>
      <c r="Z603" s="492"/>
      <c r="AA603" s="1076"/>
      <c r="AB603" s="1069"/>
      <c r="AC603" s="1070"/>
      <c r="AD603" s="839"/>
      <c r="AE603" s="270"/>
      <c r="AF603" s="270"/>
      <c r="AG603" s="270"/>
      <c r="AH603" s="270"/>
      <c r="AI603" s="270"/>
      <c r="AJ603" s="270"/>
      <c r="AK603" s="270"/>
      <c r="AL603" s="270"/>
      <c r="AM603" s="270"/>
      <c r="AN603" s="270"/>
      <c r="AO603" s="271"/>
      <c r="AP603" s="270"/>
      <c r="AQ603" s="270"/>
      <c r="AR603" s="270"/>
      <c r="AS603" s="270"/>
      <c r="AT603" s="270"/>
      <c r="AU603" s="270"/>
      <c r="AV603" s="270"/>
      <c r="AW603" s="270"/>
      <c r="AX603" s="270"/>
      <c r="AY603" s="1072"/>
      <c r="AZ603" s="270"/>
      <c r="BA603" s="270"/>
      <c r="BB603" s="1072"/>
      <c r="BC603" s="270"/>
      <c r="BD603" s="270"/>
      <c r="BE603" s="270"/>
      <c r="BF603" s="270"/>
      <c r="BG603" s="270"/>
      <c r="BH603" s="270"/>
      <c r="BI603" s="270"/>
      <c r="BJ603" s="270"/>
      <c r="BK603" s="270"/>
      <c r="BL603" s="270"/>
      <c r="BM603" s="270"/>
      <c r="BN603" s="270"/>
      <c r="BO603" s="270"/>
      <c r="BP603" s="270"/>
      <c r="BQ603" s="270"/>
      <c r="BR603" s="270"/>
      <c r="BS603" s="270"/>
      <c r="BT603" s="270"/>
      <c r="BU603" s="270"/>
      <c r="BV603" s="270"/>
      <c r="BW603" s="270"/>
      <c r="BX603" s="270"/>
      <c r="BY603" s="270"/>
      <c r="BZ603" s="270"/>
      <c r="CA603" s="270"/>
      <c r="CB603" s="270"/>
      <c r="CC603" s="270"/>
      <c r="CD603" s="270"/>
      <c r="CE603"/>
      <c r="CF603" s="1396"/>
      <c r="CG603" s="1396"/>
      <c r="CH603" s="270"/>
      <c r="CI603" s="270"/>
      <c r="CJ603" s="270"/>
      <c r="CK603" s="270"/>
      <c r="CL603" s="270"/>
      <c r="CM603" s="270"/>
    </row>
    <row r="604" spans="1:91" ht="13.5" hidden="1" outlineLevel="3" thickBot="1" x14ac:dyDescent="0.25">
      <c r="A604" s="270"/>
      <c r="B604" s="271"/>
      <c r="C604" s="12"/>
      <c r="D604" s="1071"/>
      <c r="E604" s="1071"/>
      <c r="F604" s="1071"/>
      <c r="G604" s="626"/>
      <c r="H604" s="271"/>
      <c r="I604" s="270"/>
      <c r="J604" s="270"/>
      <c r="K604" s="270"/>
      <c r="L604" s="270"/>
      <c r="M604" s="270"/>
      <c r="N604" s="270"/>
      <c r="O604" s="270"/>
      <c r="P604" s="1072"/>
      <c r="Q604" s="270"/>
      <c r="R604" s="270"/>
      <c r="S604" s="1072"/>
      <c r="T604" s="270"/>
      <c r="U604" s="1019"/>
      <c r="V604" s="1119"/>
      <c r="W604" s="1120"/>
      <c r="X604" s="1075" t="str">
        <f>N_Substitute</f>
        <v>Remplaçant</v>
      </c>
      <c r="Y604" s="627"/>
      <c r="Z604" s="492"/>
      <c r="AA604" s="1121"/>
      <c r="AB604" s="1069"/>
      <c r="AC604" s="1070"/>
      <c r="AD604" s="839"/>
      <c r="AE604" s="270"/>
      <c r="AF604" s="270"/>
      <c r="AG604" s="270"/>
      <c r="AH604" s="270"/>
      <c r="AI604" s="270"/>
      <c r="AJ604" s="270"/>
      <c r="AK604" s="270"/>
      <c r="AL604" s="270"/>
      <c r="AM604" s="270"/>
      <c r="AN604" s="270"/>
      <c r="AO604" s="271"/>
      <c r="AP604" s="270"/>
      <c r="AQ604" s="270"/>
      <c r="AR604" s="270"/>
      <c r="AS604" s="270"/>
      <c r="AT604" s="270"/>
      <c r="AU604" s="270"/>
      <c r="AV604" s="270"/>
      <c r="AW604" s="270"/>
      <c r="AX604" s="270"/>
      <c r="AY604" s="1072"/>
      <c r="AZ604" s="270"/>
      <c r="BA604" s="270"/>
      <c r="BB604" s="1072"/>
      <c r="BC604" s="270"/>
      <c r="BD604" s="270"/>
      <c r="BE604" s="270"/>
      <c r="BF604" s="270"/>
      <c r="BG604" s="270"/>
      <c r="BH604" s="270"/>
      <c r="BI604" s="270"/>
      <c r="BJ604" s="270"/>
      <c r="BK604" s="270"/>
      <c r="BL604" s="270"/>
      <c r="BM604" s="270"/>
      <c r="BN604" s="270"/>
      <c r="BO604" s="270"/>
      <c r="BP604" s="270"/>
      <c r="BQ604" s="270"/>
      <c r="BR604" s="270"/>
      <c r="BS604" s="270"/>
      <c r="BT604" s="270"/>
      <c r="BU604" s="270"/>
      <c r="BV604" s="270"/>
      <c r="BW604" s="270"/>
      <c r="BX604" s="270"/>
      <c r="BY604" s="270"/>
      <c r="BZ604" s="270"/>
      <c r="CA604" s="270"/>
      <c r="CB604" s="270"/>
      <c r="CC604" s="270"/>
      <c r="CD604" s="270"/>
      <c r="CE604"/>
      <c r="CF604" s="1396"/>
      <c r="CG604" s="1396"/>
      <c r="CH604" s="270"/>
      <c r="CI604" s="270"/>
      <c r="CJ604" s="270"/>
      <c r="CK604" s="270"/>
      <c r="CL604" s="270"/>
      <c r="CM604" s="270"/>
    </row>
    <row r="605" spans="1:91" hidden="1" outlineLevel="2" collapsed="1" x14ac:dyDescent="0.2">
      <c r="A605" s="270"/>
      <c r="B605" s="271"/>
      <c r="C605" s="270"/>
      <c r="D605" s="270"/>
      <c r="E605" s="270"/>
      <c r="F605" s="270"/>
      <c r="G605" s="271"/>
      <c r="H605" s="270"/>
      <c r="I605" s="270"/>
      <c r="J605" s="270"/>
      <c r="K605" s="270"/>
      <c r="L605" s="270"/>
      <c r="M605" s="270"/>
      <c r="N605" s="270"/>
      <c r="O605" s="270"/>
      <c r="P605" s="270"/>
      <c r="Q605" s="270"/>
      <c r="R605" s="270"/>
      <c r="S605" s="270"/>
      <c r="T605" s="270"/>
      <c r="U605" s="1019" t="s">
        <v>1729</v>
      </c>
      <c r="V605" s="1179"/>
      <c r="W605" s="1177"/>
      <c r="X605" s="1207"/>
      <c r="Y605" s="1180" t="str">
        <f>G502</f>
        <v>Eq5</v>
      </c>
      <c r="Z605" s="1123" t="str">
        <f>IF(OR(ISNUMBER(Z606),ISNUMBER(Z607),ISNUMBER(Z608),ISNUMBER(Z609)),4-COUNTBLANK(AI606:AI609),"")</f>
        <v/>
      </c>
      <c r="AA605" s="1124" t="s">
        <v>769</v>
      </c>
      <c r="AB605" s="1125" t="str">
        <f>IF(OR(ISNUMBER(Z606),ISNUMBER(Z607),ISNUMBER(Z608),ISNUMBER(Z609)),4-COUNTBLANK(AJ606:AJ609),"")</f>
        <v/>
      </c>
      <c r="AC605" s="1220" t="str">
        <f>G505</f>
        <v>Eq8</v>
      </c>
      <c r="AD605" s="839"/>
      <c r="AE605" s="270" t="str">
        <f>IF(Z605="","",IF(Z605&gt;AB605,Y605,IF(Z605=AB605,IF(NoDrawWithWithdraw,IF(AL605=Y605,AC605,IF(AL605=AC605,Y605,"")),""),AC605)))</f>
        <v/>
      </c>
      <c r="AF605" s="270" t="str">
        <f>IF(Z605="","",IF(Z605=AB605,IF(NoDrawWithWithdraw,IF(AL605=Y605,"",IF(AL605=AC605,"",Y605)),Y605),""))</f>
        <v/>
      </c>
      <c r="AG605" s="270" t="str">
        <f>IF(Z605="","",IF(Z605=AB605,IF(NoDrawWithWithdraw,IF(AL605=Y605,"",IF(AL605=AC605,"",AC605)),AC605),""))</f>
        <v/>
      </c>
      <c r="AH605" s="270" t="str">
        <f>IF(Z605="","",IF(Z605&lt;AB605,Y605,IF(Z605=AB605,IF(NoDrawWithWithdraw,IF(AL605=Y605,Y605,IF(AL605=AC605,AC605,"")),""),AC605)))</f>
        <v/>
      </c>
      <c r="AI605" s="270" t="str">
        <f>IF(Z605="","",SUM(Z606:Z609))</f>
        <v/>
      </c>
      <c r="AJ605" s="270" t="str">
        <f>IF(Z605="","",SUM(AB606:AB609))</f>
        <v/>
      </c>
      <c r="AK605" s="270" t="str">
        <f>CONCATENATE(AE605,AH605)</f>
        <v/>
      </c>
      <c r="AL605" s="270" t="str">
        <f>IF(COUNTIF(Y606:Y609,WithdrawLabel)&gt;COUNTIF(AC606:AC609,WithdrawLabel),Y605,IF(COUNTIF(AC606:AC609,WithdrawLabel)&gt;COUNTIF(Y606:Y609,WithdrawLabel),AC605,""))</f>
        <v/>
      </c>
      <c r="AM605" s="270"/>
      <c r="AN605" s="270"/>
      <c r="AO605" s="575"/>
      <c r="AP605" s="270"/>
      <c r="AQ605" s="270"/>
      <c r="AR605" s="270"/>
      <c r="AS605" s="270"/>
      <c r="AT605" s="270"/>
      <c r="AU605" s="270"/>
      <c r="AV605" s="270"/>
      <c r="AW605" s="270"/>
      <c r="AX605" s="270"/>
      <c r="AY605" s="270"/>
      <c r="AZ605" s="270"/>
      <c r="BA605" s="270"/>
      <c r="BB605" s="270"/>
      <c r="BC605" s="270"/>
      <c r="BD605" s="270"/>
      <c r="BE605" s="270"/>
      <c r="BF605" s="270"/>
      <c r="BG605" s="270"/>
      <c r="BH605" s="270"/>
      <c r="BI605" s="270"/>
      <c r="BJ605" s="270"/>
      <c r="BK605" s="270"/>
      <c r="BL605" s="270"/>
      <c r="BM605" s="270"/>
      <c r="BN605" s="270"/>
      <c r="BO605" s="270"/>
      <c r="BP605" s="270"/>
      <c r="BQ605" s="270"/>
      <c r="BR605" s="270"/>
      <c r="BS605" s="270"/>
      <c r="BT605" s="270"/>
      <c r="BU605" s="270"/>
      <c r="BV605" s="270"/>
      <c r="BW605" s="270"/>
      <c r="BX605" s="270"/>
      <c r="BY605" s="270"/>
      <c r="BZ605" s="270"/>
      <c r="CA605" s="270"/>
      <c r="CB605" s="270"/>
      <c r="CC605" s="270"/>
      <c r="CD605" s="270"/>
      <c r="CE605"/>
      <c r="CF605" s="1396"/>
      <c r="CG605" s="1396"/>
      <c r="CH605" s="270"/>
      <c r="CI605" s="270"/>
      <c r="CJ605" s="270"/>
      <c r="CK605" s="270"/>
      <c r="CL605" s="270"/>
      <c r="CM605" s="270"/>
    </row>
    <row r="606" spans="1:91" ht="13.5" hidden="1" outlineLevel="3" thickBot="1" x14ac:dyDescent="0.25">
      <c r="A606" s="270"/>
      <c r="B606" s="271"/>
      <c r="C606" s="12"/>
      <c r="D606" s="1071"/>
      <c r="E606" s="1071"/>
      <c r="F606" s="1071"/>
      <c r="G606" s="1172"/>
      <c r="H606" s="271"/>
      <c r="I606" s="270"/>
      <c r="J606" s="270"/>
      <c r="K606" s="270"/>
      <c r="L606" s="270"/>
      <c r="M606" s="270"/>
      <c r="N606" s="270"/>
      <c r="O606" s="270"/>
      <c r="P606" s="1072"/>
      <c r="Q606" s="270"/>
      <c r="R606" s="270"/>
      <c r="S606" s="1072"/>
      <c r="T606" s="270"/>
      <c r="U606" s="1019"/>
      <c r="V606" s="1176"/>
      <c r="W606" s="1177"/>
      <c r="X606" s="1207"/>
      <c r="Y606" s="627"/>
      <c r="Z606" s="492"/>
      <c r="AA606" s="493" t="s">
        <v>769</v>
      </c>
      <c r="AB606" s="1069"/>
      <c r="AC606" s="1070"/>
      <c r="AD606" s="839"/>
      <c r="AE606" s="270" t="str">
        <f>IF(Z606="","",IF(Z606&gt;AB606,Y606,IF(Z606=AB606,"",AC606)))</f>
        <v/>
      </c>
      <c r="AF606" s="270" t="str">
        <f>IF(Z606="","",IF(Z606=AB606,Y606,""))</f>
        <v/>
      </c>
      <c r="AG606" s="270" t="str">
        <f>IF(Z606="","",IF(Z606=AB606,AC606,""))</f>
        <v/>
      </c>
      <c r="AH606" s="270" t="str">
        <f>IF(Z606="","",IF(Z606&lt;AB606,Y606,IF(Z606=AB606,"",AC606)))</f>
        <v/>
      </c>
      <c r="AI606" s="270" t="str">
        <f>IF(Z606="","",IF(Z606&gt;AB606,Y605,""))</f>
        <v/>
      </c>
      <c r="AJ606" s="270" t="str">
        <f>IF(Z606="","",IF(Z606&lt;AB606,AC605,""))</f>
        <v/>
      </c>
      <c r="AK606" s="270" t="str">
        <f>CONCATENATE(AE606,AH606)</f>
        <v/>
      </c>
      <c r="AL606" s="270"/>
      <c r="AM606" s="270"/>
      <c r="AN606" s="270"/>
      <c r="AO606" s="271"/>
      <c r="AP606" s="270"/>
      <c r="AQ606" s="270"/>
      <c r="AR606" s="270"/>
      <c r="AS606" s="270"/>
      <c r="AT606" s="270"/>
      <c r="AU606" s="270"/>
      <c r="AV606" s="270"/>
      <c r="AW606" s="270"/>
      <c r="AX606" s="270"/>
      <c r="AY606" s="1072"/>
      <c r="AZ606" s="270"/>
      <c r="BA606" s="270"/>
      <c r="BB606" s="1072"/>
      <c r="BC606" s="270"/>
      <c r="BD606" s="270"/>
      <c r="BE606" s="270"/>
      <c r="BF606" s="270"/>
      <c r="BG606" s="270"/>
      <c r="BH606" s="270"/>
      <c r="BI606" s="270"/>
      <c r="BJ606" s="270"/>
      <c r="BK606" s="270"/>
      <c r="BL606" s="270"/>
      <c r="BM606" s="270"/>
      <c r="BN606" s="270"/>
      <c r="BO606" s="270"/>
      <c r="BP606" s="270"/>
      <c r="BQ606" s="270"/>
      <c r="BR606" s="270"/>
      <c r="BS606" s="270"/>
      <c r="BT606" s="270"/>
      <c r="BU606" s="270"/>
      <c r="BV606" s="270"/>
      <c r="BW606" s="270"/>
      <c r="BX606" s="270"/>
      <c r="BY606" s="270"/>
      <c r="BZ606" s="270"/>
      <c r="CA606" s="270"/>
      <c r="CB606" s="270"/>
      <c r="CC606" s="270"/>
      <c r="CD606" s="270"/>
      <c r="CE606"/>
      <c r="CF606" s="1396"/>
      <c r="CG606" s="1396"/>
      <c r="CH606" s="270"/>
      <c r="CI606" s="270"/>
      <c r="CJ606" s="270"/>
      <c r="CK606" s="270"/>
      <c r="CL606" s="270"/>
      <c r="CM606" s="270"/>
    </row>
    <row r="607" spans="1:91" ht="13.5" hidden="1" outlineLevel="3" thickBot="1" x14ac:dyDescent="0.25">
      <c r="A607" s="270"/>
      <c r="B607" s="271"/>
      <c r="C607" s="12"/>
      <c r="D607" s="1071"/>
      <c r="E607" s="1071"/>
      <c r="F607" s="1071"/>
      <c r="G607" s="1172"/>
      <c r="H607" s="271"/>
      <c r="I607" s="270"/>
      <c r="J607" s="270"/>
      <c r="K607" s="270"/>
      <c r="L607" s="270"/>
      <c r="M607" s="270"/>
      <c r="N607" s="270"/>
      <c r="O607" s="270"/>
      <c r="P607" s="1072"/>
      <c r="Q607" s="270"/>
      <c r="R607" s="270"/>
      <c r="S607" s="1072"/>
      <c r="T607" s="270"/>
      <c r="U607" s="1019"/>
      <c r="V607" s="1176"/>
      <c r="W607" s="1177"/>
      <c r="X607" s="1207"/>
      <c r="Y607" s="627"/>
      <c r="Z607" s="492"/>
      <c r="AA607" s="493" t="s">
        <v>769</v>
      </c>
      <c r="AB607" s="1069"/>
      <c r="AC607" s="1070"/>
      <c r="AD607" s="839"/>
      <c r="AE607" s="270" t="str">
        <f>IF(Z607="","",IF(Z607&gt;AB607,Y607,IF(Z607=AB607,"",AC607)))</f>
        <v/>
      </c>
      <c r="AF607" s="270" t="str">
        <f>IF(Z607="","",IF(Z607=AB607,Y607,""))</f>
        <v/>
      </c>
      <c r="AG607" s="270" t="str">
        <f>IF(Z607="","",IF(Z607=AB607,AC607,""))</f>
        <v/>
      </c>
      <c r="AH607" s="270" t="str">
        <f>IF(Z607="","",IF(Z607&lt;AB607,Y607,IF(Z607=AB607,"",AC607)))</f>
        <v/>
      </c>
      <c r="AI607" s="270" t="str">
        <f>IF(Z607="","",IF(Z607&gt;AB607,Y605,""))</f>
        <v/>
      </c>
      <c r="AJ607" s="270" t="str">
        <f>IF(Z607="","",IF(Z607&lt;AB607,AC605,""))</f>
        <v/>
      </c>
      <c r="AK607" s="270" t="str">
        <f>CONCATENATE(AE607,AH607)</f>
        <v/>
      </c>
      <c r="AL607" s="270"/>
      <c r="AM607" s="270"/>
      <c r="AN607" s="270"/>
      <c r="AO607" s="271"/>
      <c r="AP607" s="270"/>
      <c r="AQ607" s="270"/>
      <c r="AR607" s="270"/>
      <c r="AS607" s="270"/>
      <c r="AT607" s="270"/>
      <c r="AU607" s="270"/>
      <c r="AV607" s="270"/>
      <c r="AW607" s="270"/>
      <c r="AX607" s="270"/>
      <c r="AY607" s="1072"/>
      <c r="AZ607" s="270"/>
      <c r="BA607" s="270"/>
      <c r="BB607" s="1072"/>
      <c r="BC607" s="270"/>
      <c r="BD607" s="270"/>
      <c r="BE607" s="270"/>
      <c r="BF607" s="270"/>
      <c r="BG607" s="270"/>
      <c r="BH607" s="270"/>
      <c r="BI607" s="270"/>
      <c r="BJ607" s="270"/>
      <c r="BK607" s="270"/>
      <c r="BL607" s="270"/>
      <c r="BM607" s="270"/>
      <c r="BN607" s="270"/>
      <c r="BO607" s="270"/>
      <c r="BP607" s="270"/>
      <c r="BQ607" s="270"/>
      <c r="BR607" s="270"/>
      <c r="BS607" s="270"/>
      <c r="BT607" s="270"/>
      <c r="BU607" s="270"/>
      <c r="BV607" s="270"/>
      <c r="BW607" s="270"/>
      <c r="BX607" s="270"/>
      <c r="BY607" s="270"/>
      <c r="BZ607" s="270"/>
      <c r="CA607" s="270"/>
      <c r="CB607" s="270"/>
      <c r="CC607" s="270"/>
      <c r="CD607" s="270"/>
      <c r="CE607"/>
      <c r="CF607" s="1396"/>
      <c r="CG607" s="1396"/>
      <c r="CH607" s="270"/>
      <c r="CI607" s="270"/>
      <c r="CJ607" s="270"/>
      <c r="CK607" s="270"/>
      <c r="CL607" s="270"/>
      <c r="CM607" s="270"/>
    </row>
    <row r="608" spans="1:91" ht="13.5" hidden="1" outlineLevel="3" thickBot="1" x14ac:dyDescent="0.25">
      <c r="A608" s="270"/>
      <c r="B608" s="271"/>
      <c r="C608" s="12"/>
      <c r="D608" s="1071"/>
      <c r="E608" s="1071"/>
      <c r="F608" s="1071"/>
      <c r="G608" s="1172"/>
      <c r="H608" s="271"/>
      <c r="I608" s="270"/>
      <c r="J608" s="270"/>
      <c r="K608" s="270"/>
      <c r="L608" s="270"/>
      <c r="M608" s="270"/>
      <c r="N608" s="270"/>
      <c r="O608" s="270"/>
      <c r="P608" s="1072"/>
      <c r="Q608" s="270"/>
      <c r="R608" s="270"/>
      <c r="S608" s="1072"/>
      <c r="T608" s="270"/>
      <c r="U608" s="1019"/>
      <c r="V608" s="1176"/>
      <c r="W608" s="1177"/>
      <c r="X608" s="1207"/>
      <c r="Y608" s="627"/>
      <c r="Z608" s="492"/>
      <c r="AA608" s="493" t="s">
        <v>769</v>
      </c>
      <c r="AB608" s="1069"/>
      <c r="AC608" s="1070"/>
      <c r="AD608" s="839"/>
      <c r="AE608" s="270" t="str">
        <f>IF(Z608="","",IF(Z608&gt;AB608,Y608,IF(Z608=AB608,"",AC608)))</f>
        <v/>
      </c>
      <c r="AF608" s="270" t="str">
        <f>IF(Z608="","",IF(Z608=AB608,Y608,""))</f>
        <v/>
      </c>
      <c r="AG608" s="270" t="str">
        <f>IF(Z608="","",IF(Z608=AB608,AC608,""))</f>
        <v/>
      </c>
      <c r="AH608" s="270" t="str">
        <f>IF(Z608="","",IF(Z608&lt;AB608,Y608,IF(Z608=AB608,"",AC608)))</f>
        <v/>
      </c>
      <c r="AI608" s="270" t="str">
        <f>IF(Z608="","",IF(Z608&gt;AB608,Y605,""))</f>
        <v/>
      </c>
      <c r="AJ608" s="270" t="str">
        <f>IF(Z608="","",IF(Z608&lt;AB608,AC605,""))</f>
        <v/>
      </c>
      <c r="AK608" s="270" t="str">
        <f>CONCATENATE(AE608,AH608)</f>
        <v/>
      </c>
      <c r="AL608" s="270"/>
      <c r="AM608" s="270"/>
      <c r="AN608" s="270"/>
      <c r="AO608" s="271"/>
      <c r="AP608" s="270"/>
      <c r="AQ608" s="270"/>
      <c r="AR608" s="270"/>
      <c r="AS608" s="270"/>
      <c r="AT608" s="270"/>
      <c r="AU608" s="270"/>
      <c r="AV608" s="270"/>
      <c r="AW608" s="270"/>
      <c r="AX608" s="270"/>
      <c r="AY608" s="1072"/>
      <c r="AZ608" s="270"/>
      <c r="BA608" s="270"/>
      <c r="BB608" s="1072"/>
      <c r="BC608" s="270"/>
      <c r="BD608" s="270"/>
      <c r="BE608" s="270"/>
      <c r="BF608" s="270"/>
      <c r="BG608" s="270"/>
      <c r="BH608" s="270"/>
      <c r="BI608" s="270"/>
      <c r="BJ608" s="270"/>
      <c r="BK608" s="270"/>
      <c r="BL608" s="270"/>
      <c r="BM608" s="270"/>
      <c r="BN608" s="270"/>
      <c r="BO608" s="270"/>
      <c r="BP608" s="270"/>
      <c r="BQ608" s="270"/>
      <c r="BR608" s="270"/>
      <c r="BS608" s="270"/>
      <c r="BT608" s="270"/>
      <c r="BU608" s="270"/>
      <c r="BV608" s="270"/>
      <c r="BW608" s="270"/>
      <c r="BX608" s="270"/>
      <c r="BY608" s="270"/>
      <c r="BZ608" s="270"/>
      <c r="CA608" s="270"/>
      <c r="CB608" s="270"/>
      <c r="CC608" s="270"/>
      <c r="CD608" s="270"/>
      <c r="CE608"/>
      <c r="CF608" s="1396"/>
      <c r="CG608" s="1396"/>
      <c r="CH608" s="270"/>
      <c r="CI608" s="270"/>
      <c r="CJ608" s="270"/>
      <c r="CK608" s="270"/>
      <c r="CL608" s="270"/>
      <c r="CM608" s="270"/>
    </row>
    <row r="609" spans="1:91" ht="13.5" hidden="1" outlineLevel="3" thickBot="1" x14ac:dyDescent="0.25">
      <c r="A609" s="270"/>
      <c r="B609" s="271"/>
      <c r="C609" s="12"/>
      <c r="D609" s="1071"/>
      <c r="E609" s="1071"/>
      <c r="F609" s="1071"/>
      <c r="G609" s="1172"/>
      <c r="H609" s="271"/>
      <c r="I609" s="270"/>
      <c r="J609" s="270"/>
      <c r="K609" s="270"/>
      <c r="L609" s="270"/>
      <c r="M609" s="270"/>
      <c r="N609" s="270"/>
      <c r="O609" s="270"/>
      <c r="P609" s="1072"/>
      <c r="Q609" s="270"/>
      <c r="R609" s="270"/>
      <c r="S609" s="1072"/>
      <c r="T609" s="270"/>
      <c r="U609" s="1019"/>
      <c r="V609" s="1176"/>
      <c r="W609" s="1177"/>
      <c r="X609" s="1207"/>
      <c r="Y609" s="627"/>
      <c r="Z609" s="492"/>
      <c r="AA609" s="493" t="s">
        <v>769</v>
      </c>
      <c r="AB609" s="1069"/>
      <c r="AC609" s="1070"/>
      <c r="AD609" s="839"/>
      <c r="AE609" s="270" t="str">
        <f>IF(Z609="","",IF(Z609&gt;AB609,Y609,IF(Z609=AB609,"",AC609)))</f>
        <v/>
      </c>
      <c r="AF609" s="270" t="str">
        <f>IF(Z609="","",IF(Z609=AB609,Y609,""))</f>
        <v/>
      </c>
      <c r="AG609" s="270" t="str">
        <f>IF(Z609="","",IF(Z609=AB609,AC609,""))</f>
        <v/>
      </c>
      <c r="AH609" s="270" t="str">
        <f>IF(Z609="","",IF(Z609&lt;AB609,Y609,IF(Z609=AB609,"",AC609)))</f>
        <v/>
      </c>
      <c r="AI609" s="270" t="str">
        <f>IF(Z609="","",IF(Z609&gt;AB609,Y605,""))</f>
        <v/>
      </c>
      <c r="AJ609" s="270" t="str">
        <f>IF(Z609="","",IF(Z609&lt;AB609,AC605,""))</f>
        <v/>
      </c>
      <c r="AK609" s="270" t="str">
        <f>CONCATENATE(AE609,AH609)</f>
        <v/>
      </c>
      <c r="AL609" s="270"/>
      <c r="AM609" s="270"/>
      <c r="AN609" s="270"/>
      <c r="AO609" s="271"/>
      <c r="AP609" s="270"/>
      <c r="AQ609" s="270"/>
      <c r="AR609" s="270"/>
      <c r="AS609" s="270"/>
      <c r="AT609" s="270"/>
      <c r="AU609" s="270"/>
      <c r="AV609" s="270"/>
      <c r="AW609" s="270"/>
      <c r="AX609" s="270"/>
      <c r="AY609" s="1072"/>
      <c r="AZ609" s="270"/>
      <c r="BA609" s="270"/>
      <c r="BB609" s="1072"/>
      <c r="BC609" s="270"/>
      <c r="BD609" s="270"/>
      <c r="BE609" s="270"/>
      <c r="BF609" s="270"/>
      <c r="BG609" s="270"/>
      <c r="BH609" s="270"/>
      <c r="BI609" s="270"/>
      <c r="BJ609" s="270"/>
      <c r="BK609" s="270"/>
      <c r="BL609" s="270"/>
      <c r="BM609" s="270"/>
      <c r="BN609" s="270"/>
      <c r="BO609" s="270"/>
      <c r="BP609" s="270"/>
      <c r="BQ609" s="270"/>
      <c r="BR609" s="270"/>
      <c r="BS609" s="270"/>
      <c r="BT609" s="270"/>
      <c r="BU609" s="270"/>
      <c r="BV609" s="270"/>
      <c r="BW609" s="270"/>
      <c r="BX609" s="270"/>
      <c r="BY609" s="270"/>
      <c r="BZ609" s="270"/>
      <c r="CA609" s="270"/>
      <c r="CB609" s="270"/>
      <c r="CC609" s="270"/>
      <c r="CD609" s="270"/>
      <c r="CE609"/>
      <c r="CF609" s="1396"/>
      <c r="CG609" s="1396"/>
      <c r="CH609" s="270"/>
      <c r="CI609" s="270"/>
      <c r="CJ609" s="270"/>
      <c r="CK609" s="270"/>
      <c r="CL609" s="270"/>
      <c r="CM609" s="270"/>
    </row>
    <row r="610" spans="1:91" ht="13.5" hidden="1" outlineLevel="3" thickBot="1" x14ac:dyDescent="0.25">
      <c r="A610" s="270"/>
      <c r="B610" s="271"/>
      <c r="C610" s="12"/>
      <c r="D610" s="1071"/>
      <c r="E610" s="1071"/>
      <c r="F610" s="1071"/>
      <c r="G610" s="626"/>
      <c r="H610" s="271"/>
      <c r="I610" s="270"/>
      <c r="J610" s="270"/>
      <c r="K610" s="270"/>
      <c r="L610" s="270"/>
      <c r="M610" s="270"/>
      <c r="N610" s="270"/>
      <c r="O610" s="270"/>
      <c r="P610" s="1072"/>
      <c r="Q610" s="270"/>
      <c r="R610" s="270"/>
      <c r="S610" s="1072"/>
      <c r="T610" s="270"/>
      <c r="U610" s="1019"/>
      <c r="V610" s="1073"/>
      <c r="W610" s="1074"/>
      <c r="X610" s="1075" t="str">
        <f>N_Substitute</f>
        <v>Remplaçant</v>
      </c>
      <c r="Y610" s="627"/>
      <c r="Z610" s="492"/>
      <c r="AA610" s="1076"/>
      <c r="AB610" s="1069"/>
      <c r="AC610" s="1070"/>
      <c r="AD610" s="839"/>
      <c r="AE610" s="270"/>
      <c r="AF610" s="270"/>
      <c r="AG610" s="270"/>
      <c r="AH610" s="270"/>
      <c r="AI610" s="270"/>
      <c r="AJ610" s="270"/>
      <c r="AK610" s="270"/>
      <c r="AL610" s="270"/>
      <c r="AM610" s="270"/>
      <c r="AN610" s="270"/>
      <c r="AO610" s="271"/>
      <c r="AP610" s="270"/>
      <c r="AQ610" s="270"/>
      <c r="AR610" s="270"/>
      <c r="AS610" s="270"/>
      <c r="AT610" s="270"/>
      <c r="AU610" s="270"/>
      <c r="AV610" s="270"/>
      <c r="AW610" s="270"/>
      <c r="AX610" s="270"/>
      <c r="AY610" s="1072"/>
      <c r="AZ610" s="270"/>
      <c r="BA610" s="270"/>
      <c r="BB610" s="1072"/>
      <c r="BC610" s="270"/>
      <c r="BD610" s="270"/>
      <c r="BE610" s="270"/>
      <c r="BF610" s="270"/>
      <c r="BG610" s="270"/>
      <c r="BH610" s="270"/>
      <c r="BI610" s="270"/>
      <c r="BJ610" s="270"/>
      <c r="BK610" s="270"/>
      <c r="BL610" s="270"/>
      <c r="BM610" s="270"/>
      <c r="BN610" s="270"/>
      <c r="BO610" s="270"/>
      <c r="BP610" s="270"/>
      <c r="BQ610" s="270"/>
      <c r="BR610" s="270"/>
      <c r="BS610" s="270"/>
      <c r="BT610" s="270"/>
      <c r="BU610" s="270"/>
      <c r="BV610" s="270"/>
      <c r="BW610" s="270"/>
      <c r="BX610" s="270"/>
      <c r="BY610" s="270"/>
      <c r="BZ610" s="270"/>
      <c r="CA610" s="270"/>
      <c r="CB610" s="270"/>
      <c r="CC610" s="270"/>
      <c r="CD610" s="270"/>
      <c r="CE610"/>
      <c r="CF610" s="1396"/>
      <c r="CG610" s="1396"/>
      <c r="CH610" s="270"/>
      <c r="CI610" s="270"/>
      <c r="CJ610" s="270"/>
      <c r="CK610" s="270"/>
      <c r="CL610" s="270"/>
      <c r="CM610" s="270"/>
    </row>
    <row r="611" spans="1:91" ht="13.5" hidden="1" outlineLevel="3" thickBot="1" x14ac:dyDescent="0.25">
      <c r="A611" s="270"/>
      <c r="B611" s="271"/>
      <c r="C611" s="12"/>
      <c r="D611" s="1071"/>
      <c r="E611" s="1071"/>
      <c r="F611" s="1071"/>
      <c r="G611" s="626"/>
      <c r="H611" s="271"/>
      <c r="I611" s="270"/>
      <c r="J611" s="270"/>
      <c r="K611" s="270"/>
      <c r="L611" s="270"/>
      <c r="M611" s="270"/>
      <c r="N611" s="270"/>
      <c r="O611" s="270"/>
      <c r="P611" s="1072"/>
      <c r="Q611" s="270"/>
      <c r="R611" s="270"/>
      <c r="S611" s="1072"/>
      <c r="T611" s="270"/>
      <c r="U611" s="1019"/>
      <c r="V611" s="1119"/>
      <c r="W611" s="1120"/>
      <c r="X611" s="1075" t="str">
        <f>N_Substitute</f>
        <v>Remplaçant</v>
      </c>
      <c r="Y611" s="627"/>
      <c r="Z611" s="492"/>
      <c r="AA611" s="1121"/>
      <c r="AB611" s="1069"/>
      <c r="AC611" s="1070"/>
      <c r="AD611" s="839"/>
      <c r="AE611" s="270"/>
      <c r="AF611" s="270"/>
      <c r="AG611" s="270"/>
      <c r="AH611" s="270"/>
      <c r="AI611" s="270"/>
      <c r="AJ611" s="270"/>
      <c r="AK611" s="270"/>
      <c r="AL611" s="270"/>
      <c r="AM611" s="270"/>
      <c r="AN611" s="270"/>
      <c r="AO611" s="271"/>
      <c r="AP611" s="270"/>
      <c r="AQ611" s="270"/>
      <c r="AR611" s="270"/>
      <c r="AS611" s="270"/>
      <c r="AT611" s="270"/>
      <c r="AU611" s="270"/>
      <c r="AV611" s="270"/>
      <c r="AW611" s="270"/>
      <c r="AX611" s="270"/>
      <c r="AY611" s="1072"/>
      <c r="AZ611" s="270"/>
      <c r="BA611" s="270"/>
      <c r="BB611" s="1072"/>
      <c r="BC611" s="270"/>
      <c r="BD611" s="270"/>
      <c r="BE611" s="270"/>
      <c r="BF611" s="270"/>
      <c r="BG611" s="270"/>
      <c r="BH611" s="270"/>
      <c r="BI611" s="270"/>
      <c r="BJ611" s="270"/>
      <c r="BK611" s="270"/>
      <c r="BL611" s="270"/>
      <c r="BM611" s="270"/>
      <c r="BN611" s="270"/>
      <c r="BO611" s="270"/>
      <c r="BP611" s="270"/>
      <c r="BQ611" s="270"/>
      <c r="BR611" s="270"/>
      <c r="BS611" s="270"/>
      <c r="BT611" s="270"/>
      <c r="BU611" s="270"/>
      <c r="BV611" s="270"/>
      <c r="BW611" s="270"/>
      <c r="BX611" s="270"/>
      <c r="BY611" s="270"/>
      <c r="BZ611" s="270"/>
      <c r="CA611" s="270"/>
      <c r="CB611" s="270"/>
      <c r="CC611" s="270"/>
      <c r="CD611" s="270"/>
      <c r="CE611"/>
      <c r="CF611" s="1396"/>
      <c r="CG611" s="1396"/>
      <c r="CH611" s="270"/>
      <c r="CI611" s="270"/>
      <c r="CJ611" s="270"/>
      <c r="CK611" s="270"/>
      <c r="CL611" s="270"/>
      <c r="CM611" s="270"/>
    </row>
    <row r="612" spans="1:91" ht="13.5" hidden="1" outlineLevel="2" collapsed="1" thickBot="1" x14ac:dyDescent="0.25">
      <c r="A612" s="270"/>
      <c r="B612" s="271"/>
      <c r="C612" s="270"/>
      <c r="D612" s="270"/>
      <c r="E612" s="270"/>
      <c r="F612" s="270"/>
      <c r="G612" s="271"/>
      <c r="H612" s="270"/>
      <c r="I612" s="270"/>
      <c r="J612" s="270"/>
      <c r="K612" s="270"/>
      <c r="L612" s="270"/>
      <c r="M612" s="270"/>
      <c r="N612" s="270"/>
      <c r="O612" s="270"/>
      <c r="P612" s="270"/>
      <c r="Q612" s="270"/>
      <c r="R612" s="270"/>
      <c r="S612" s="270"/>
      <c r="T612" s="270"/>
      <c r="U612" s="1019" t="s">
        <v>1729</v>
      </c>
      <c r="V612" s="1187"/>
      <c r="W612" s="1195"/>
      <c r="X612" s="1534"/>
      <c r="Y612" s="1180" t="str">
        <f>G504</f>
        <v>Eq7</v>
      </c>
      <c r="Z612" s="1123" t="str">
        <f>IF(OR(ISNUMBER(Z613),ISNUMBER(Z614),ISNUMBER(Z615),ISNUMBER(Z616)),4-COUNTBLANK(AI613:AI616),"")</f>
        <v/>
      </c>
      <c r="AA612" s="1124" t="s">
        <v>769</v>
      </c>
      <c r="AB612" s="1125" t="str">
        <f>IF(OR(ISNUMBER(Z613),ISNUMBER(Z614),ISNUMBER(Z615),ISNUMBER(Z616)),4-COUNTBLANK(AJ613:AJ616),"")</f>
        <v/>
      </c>
      <c r="AC612" s="1185" t="str">
        <f>G500</f>
        <v>Eq3</v>
      </c>
      <c r="AD612" s="839"/>
      <c r="AE612" s="270" t="str">
        <f>IF(Z612="","",IF(Z612&gt;AB612,Y612,IF(Z612=AB612,IF(NoDrawWithWithdraw,IF(AL612=Y612,AC612,IF(AL612=AC612,Y612,"")),""),AC612)))</f>
        <v/>
      </c>
      <c r="AF612" s="270" t="str">
        <f>IF(Z612="","",IF(Z612=AB612,IF(NoDrawWithWithdraw,IF(AL612=Y612,"",IF(AL612=AC612,"",Y612)),Y612),""))</f>
        <v/>
      </c>
      <c r="AG612" s="270" t="str">
        <f>IF(Z612="","",IF(Z612=AB612,IF(NoDrawWithWithdraw,IF(AL612=Y612,"",IF(AL612=AC612,"",AC612)),AC612),""))</f>
        <v/>
      </c>
      <c r="AH612" s="270" t="str">
        <f>IF(Z612="","",IF(Z612&lt;AB612,Y612,IF(Z612=AB612,IF(NoDrawWithWithdraw,IF(AL612=Y612,Y612,IF(AL612=AC612,AC612,"")),""),AC612)))</f>
        <v/>
      </c>
      <c r="AI612" s="270" t="str">
        <f>IF(Z612="","",SUM(Z613:Z616))</f>
        <v/>
      </c>
      <c r="AJ612" s="270" t="str">
        <f>IF(Z612="","",SUM(AB613:AB616))</f>
        <v/>
      </c>
      <c r="AK612" s="270" t="str">
        <f>CONCATENATE(AE612,AH612)</f>
        <v/>
      </c>
      <c r="AL612" s="270" t="str">
        <f>IF(COUNTIF(Y613:Y616,WithdrawLabel)&gt;COUNTIF(AC613:AC616,WithdrawLabel),Y612,IF(COUNTIF(AC613:AC616,WithdrawLabel)&gt;COUNTIF(Y613:Y616,WithdrawLabel),AC612,""))</f>
        <v/>
      </c>
      <c r="AM612" s="270"/>
      <c r="AN612" s="270"/>
      <c r="AO612" s="575"/>
      <c r="AP612" s="270"/>
      <c r="AQ612" s="270"/>
      <c r="AR612" s="270"/>
      <c r="AS612" s="270"/>
      <c r="AT612" s="270"/>
      <c r="AU612" s="270"/>
      <c r="AV612" s="270"/>
      <c r="AW612" s="270"/>
      <c r="AX612" s="270"/>
      <c r="AY612" s="270"/>
      <c r="AZ612" s="270"/>
      <c r="BA612" s="270"/>
      <c r="BB612" s="270"/>
      <c r="BC612" s="270"/>
      <c r="BD612" s="270"/>
      <c r="BE612" s="270"/>
      <c r="BF612" s="270"/>
      <c r="BG612" s="270"/>
      <c r="BH612" s="270"/>
      <c r="BI612" s="270"/>
      <c r="BJ612" s="270"/>
      <c r="BK612" s="270"/>
      <c r="BL612" s="270"/>
      <c r="BM612" s="270"/>
      <c r="BN612" s="270"/>
      <c r="BO612" s="270"/>
      <c r="BP612" s="270"/>
      <c r="BQ612" s="270"/>
      <c r="BR612" s="270"/>
      <c r="BS612" s="270"/>
      <c r="BT612" s="270"/>
      <c r="BU612" s="270"/>
      <c r="BV612" s="270"/>
      <c r="BW612" s="270"/>
      <c r="BX612" s="270"/>
      <c r="BY612" s="270"/>
      <c r="BZ612" s="270"/>
      <c r="CA612" s="270"/>
      <c r="CB612" s="270"/>
      <c r="CC612" s="270"/>
      <c r="CD612" s="270"/>
      <c r="CE612"/>
      <c r="CF612" s="1396"/>
      <c r="CG612" s="1396"/>
      <c r="CH612" s="270"/>
      <c r="CI612" s="270"/>
      <c r="CJ612" s="270"/>
      <c r="CK612" s="270"/>
      <c r="CL612" s="270"/>
      <c r="CM612" s="270"/>
    </row>
    <row r="613" spans="1:91" ht="13.5" hidden="1" outlineLevel="3" thickBot="1" x14ac:dyDescent="0.25">
      <c r="A613" s="270"/>
      <c r="B613" s="271"/>
      <c r="C613" s="12"/>
      <c r="D613" s="1071"/>
      <c r="E613" s="1071"/>
      <c r="F613" s="1071"/>
      <c r="G613" s="1172"/>
      <c r="H613" s="271"/>
      <c r="I613" s="270"/>
      <c r="J613" s="270"/>
      <c r="K613" s="270"/>
      <c r="L613" s="270"/>
      <c r="M613" s="270"/>
      <c r="N613" s="270"/>
      <c r="O613" s="270"/>
      <c r="P613" s="1072"/>
      <c r="Q613" s="270"/>
      <c r="R613" s="270"/>
      <c r="S613" s="1072"/>
      <c r="T613" s="270"/>
      <c r="U613" s="1019"/>
      <c r="V613" s="1118"/>
      <c r="W613" s="1177"/>
      <c r="X613" s="1212"/>
      <c r="Y613" s="627"/>
      <c r="Z613" s="492"/>
      <c r="AA613" s="493" t="s">
        <v>769</v>
      </c>
      <c r="AB613" s="1069"/>
      <c r="AC613" s="1070"/>
      <c r="AD613" s="839"/>
      <c r="AE613" s="270" t="str">
        <f>IF(Z613="","",IF(Z613&gt;AB613,Y613,IF(Z613=AB613,"",AC613)))</f>
        <v/>
      </c>
      <c r="AF613" s="270" t="str">
        <f>IF(Z613="","",IF(Z613=AB613,Y613,""))</f>
        <v/>
      </c>
      <c r="AG613" s="270" t="str">
        <f>IF(Z613="","",IF(Z613=AB613,AC613,""))</f>
        <v/>
      </c>
      <c r="AH613" s="270" t="str">
        <f>IF(Z613="","",IF(Z613&lt;AB613,Y613,IF(Z613=AB613,"",AC613)))</f>
        <v/>
      </c>
      <c r="AI613" s="270" t="str">
        <f>IF(Z613="","",IF(Z613&gt;AB613,Y612,""))</f>
        <v/>
      </c>
      <c r="AJ613" s="270" t="str">
        <f>IF(Z613="","",IF(Z613&lt;AB613,AC612,""))</f>
        <v/>
      </c>
      <c r="AK613" s="270" t="str">
        <f>CONCATENATE(AE613,AH613)</f>
        <v/>
      </c>
      <c r="AL613" s="270"/>
      <c r="AM613" s="270"/>
      <c r="AN613" s="270"/>
      <c r="AO613" s="271"/>
      <c r="AP613" s="270"/>
      <c r="AQ613" s="270"/>
      <c r="AR613" s="270"/>
      <c r="AS613" s="270"/>
      <c r="AT613" s="270"/>
      <c r="AU613" s="270"/>
      <c r="AV613" s="270"/>
      <c r="AW613" s="270"/>
      <c r="AX613" s="270"/>
      <c r="AY613" s="1072"/>
      <c r="AZ613" s="270"/>
      <c r="BA613" s="270"/>
      <c r="BB613" s="1072"/>
      <c r="BC613" s="270"/>
      <c r="BD613" s="270"/>
      <c r="BE613" s="270"/>
      <c r="BF613" s="270"/>
      <c r="BG613" s="270"/>
      <c r="BH613" s="270"/>
      <c r="BI613" s="270"/>
      <c r="BJ613" s="270"/>
      <c r="BK613" s="270"/>
      <c r="BL613" s="270"/>
      <c r="BM613" s="270"/>
      <c r="BN613" s="270"/>
      <c r="BO613" s="270"/>
      <c r="BP613" s="270"/>
      <c r="BQ613" s="270"/>
      <c r="BR613" s="270"/>
      <c r="BS613" s="270"/>
      <c r="BT613" s="270"/>
      <c r="BU613" s="270"/>
      <c r="BV613" s="270"/>
      <c r="BW613" s="270"/>
      <c r="BX613" s="270"/>
      <c r="BY613" s="270"/>
      <c r="BZ613" s="270"/>
      <c r="CA613" s="270"/>
      <c r="CB613" s="270"/>
      <c r="CC613" s="270"/>
      <c r="CD613" s="270"/>
      <c r="CE613"/>
      <c r="CF613" s="1396"/>
      <c r="CG613" s="1396"/>
      <c r="CH613" s="270"/>
      <c r="CI613" s="270"/>
      <c r="CJ613" s="270"/>
      <c r="CK613" s="270"/>
      <c r="CL613" s="270"/>
      <c r="CM613" s="270"/>
    </row>
    <row r="614" spans="1:91" ht="13.5" hidden="1" outlineLevel="3" thickBot="1" x14ac:dyDescent="0.25">
      <c r="A614" s="270"/>
      <c r="B614" s="271"/>
      <c r="C614" s="12"/>
      <c r="D614" s="1071"/>
      <c r="E614" s="1071"/>
      <c r="F614" s="1071"/>
      <c r="G614" s="1172"/>
      <c r="H614" s="271"/>
      <c r="I614" s="270"/>
      <c r="J614" s="270"/>
      <c r="K614" s="270"/>
      <c r="L614" s="270"/>
      <c r="M614" s="270"/>
      <c r="N614" s="270"/>
      <c r="O614" s="270"/>
      <c r="P614" s="1072"/>
      <c r="Q614" s="270"/>
      <c r="R614" s="270"/>
      <c r="S614" s="1072"/>
      <c r="T614" s="270"/>
      <c r="U614" s="1019"/>
      <c r="V614" s="1118"/>
      <c r="W614" s="1177"/>
      <c r="X614" s="1212"/>
      <c r="Y614" s="627"/>
      <c r="Z614" s="492"/>
      <c r="AA614" s="493" t="s">
        <v>769</v>
      </c>
      <c r="AB614" s="1069"/>
      <c r="AC614" s="1070"/>
      <c r="AD614" s="839"/>
      <c r="AE614" s="270" t="str">
        <f>IF(Z614="","",IF(Z614&gt;AB614,Y614,IF(Z614=AB614,"",AC614)))</f>
        <v/>
      </c>
      <c r="AF614" s="270" t="str">
        <f>IF(Z614="","",IF(Z614=AB614,Y614,""))</f>
        <v/>
      </c>
      <c r="AG614" s="270" t="str">
        <f>IF(Z614="","",IF(Z614=AB614,AC614,""))</f>
        <v/>
      </c>
      <c r="AH614" s="270" t="str">
        <f>IF(Z614="","",IF(Z614&lt;AB614,Y614,IF(Z614=AB614,"",AC614)))</f>
        <v/>
      </c>
      <c r="AI614" s="270" t="str">
        <f>IF(Z614="","",IF(Z614&gt;AB614,Y612,""))</f>
        <v/>
      </c>
      <c r="AJ614" s="270" t="str">
        <f>IF(Z614="","",IF(Z614&lt;AB614,AC612,""))</f>
        <v/>
      </c>
      <c r="AK614" s="270" t="str">
        <f>CONCATENATE(AE614,AH614)</f>
        <v/>
      </c>
      <c r="AL614" s="270"/>
      <c r="AM614" s="270"/>
      <c r="AN614" s="270"/>
      <c r="AO614" s="271"/>
      <c r="AP614" s="270"/>
      <c r="AQ614" s="270"/>
      <c r="AR614" s="270"/>
      <c r="AS614" s="270"/>
      <c r="AT614" s="270"/>
      <c r="AU614" s="270"/>
      <c r="AV614" s="270"/>
      <c r="AW614" s="270"/>
      <c r="AX614" s="270"/>
      <c r="AY614" s="1072"/>
      <c r="AZ614" s="270"/>
      <c r="BA614" s="270"/>
      <c r="BB614" s="1072"/>
      <c r="BC614" s="270"/>
      <c r="BD614" s="270"/>
      <c r="BE614" s="270"/>
      <c r="BF614" s="270"/>
      <c r="BG614" s="270"/>
      <c r="BH614" s="270"/>
      <c r="BI614" s="270"/>
      <c r="BJ614" s="270"/>
      <c r="BK614" s="270"/>
      <c r="BL614" s="270"/>
      <c r="BM614" s="270"/>
      <c r="BN614" s="270"/>
      <c r="BO614" s="270"/>
      <c r="BP614" s="270"/>
      <c r="BQ614" s="270"/>
      <c r="BR614" s="270"/>
      <c r="BS614" s="270"/>
      <c r="BT614" s="270"/>
      <c r="BU614" s="270"/>
      <c r="BV614" s="270"/>
      <c r="BW614" s="270"/>
      <c r="BX614" s="270"/>
      <c r="BY614" s="270"/>
      <c r="BZ614" s="270"/>
      <c r="CA614" s="270"/>
      <c r="CB614" s="270"/>
      <c r="CC614" s="270"/>
      <c r="CD614" s="270"/>
      <c r="CE614"/>
      <c r="CF614" s="1396"/>
      <c r="CG614" s="1396"/>
      <c r="CH614" s="270"/>
      <c r="CI614" s="270"/>
      <c r="CJ614" s="270"/>
      <c r="CK614" s="270"/>
      <c r="CL614" s="270"/>
      <c r="CM614" s="270"/>
    </row>
    <row r="615" spans="1:91" ht="13.5" hidden="1" outlineLevel="3" thickBot="1" x14ac:dyDescent="0.25">
      <c r="A615" s="270"/>
      <c r="B615" s="271"/>
      <c r="C615" s="12"/>
      <c r="D615" s="1071"/>
      <c r="E615" s="1071"/>
      <c r="F615" s="1071"/>
      <c r="G615" s="1172"/>
      <c r="H615" s="271"/>
      <c r="I615" s="270"/>
      <c r="J615" s="270"/>
      <c r="K615" s="270"/>
      <c r="L615" s="270"/>
      <c r="M615" s="270"/>
      <c r="N615" s="270"/>
      <c r="O615" s="270"/>
      <c r="P615" s="1072"/>
      <c r="Q615" s="270"/>
      <c r="R615" s="270"/>
      <c r="S615" s="1072"/>
      <c r="T615" s="270"/>
      <c r="U615" s="1019"/>
      <c r="V615" s="1118"/>
      <c r="W615" s="1177"/>
      <c r="X615" s="1212"/>
      <c r="Y615" s="627"/>
      <c r="Z615" s="492"/>
      <c r="AA615" s="493" t="s">
        <v>769</v>
      </c>
      <c r="AB615" s="1069"/>
      <c r="AC615" s="1070"/>
      <c r="AD615" s="839"/>
      <c r="AE615" s="270" t="str">
        <f>IF(Z615="","",IF(Z615&gt;AB615,Y615,IF(Z615=AB615,"",AC615)))</f>
        <v/>
      </c>
      <c r="AF615" s="270" t="str">
        <f>IF(Z615="","",IF(Z615=AB615,Y615,""))</f>
        <v/>
      </c>
      <c r="AG615" s="270" t="str">
        <f>IF(Z615="","",IF(Z615=AB615,AC615,""))</f>
        <v/>
      </c>
      <c r="AH615" s="270" t="str">
        <f>IF(Z615="","",IF(Z615&lt;AB615,Y615,IF(Z615=AB615,"",AC615)))</f>
        <v/>
      </c>
      <c r="AI615" s="270" t="str">
        <f>IF(Z615="","",IF(Z615&gt;AB615,Y612,""))</f>
        <v/>
      </c>
      <c r="AJ615" s="270" t="str">
        <f>IF(Z615="","",IF(Z615&lt;AB615,AC612,""))</f>
        <v/>
      </c>
      <c r="AK615" s="270" t="str">
        <f>CONCATENATE(AE615,AH615)</f>
        <v/>
      </c>
      <c r="AL615" s="270"/>
      <c r="AM615" s="270"/>
      <c r="AN615" s="270"/>
      <c r="AO615" s="271"/>
      <c r="AP615" s="270"/>
      <c r="AQ615" s="270"/>
      <c r="AR615" s="270"/>
      <c r="AS615" s="270"/>
      <c r="AT615" s="270"/>
      <c r="AU615" s="270"/>
      <c r="AV615" s="270"/>
      <c r="AW615" s="270"/>
      <c r="AX615" s="270"/>
      <c r="AY615" s="1072"/>
      <c r="AZ615" s="270"/>
      <c r="BA615" s="270"/>
      <c r="BB615" s="1072"/>
      <c r="BC615" s="270"/>
      <c r="BD615" s="270"/>
      <c r="BE615" s="270"/>
      <c r="BF615" s="270"/>
      <c r="BG615" s="270"/>
      <c r="BH615" s="270"/>
      <c r="BI615" s="270"/>
      <c r="BJ615" s="270"/>
      <c r="BK615" s="270"/>
      <c r="BL615" s="270"/>
      <c r="BM615" s="270"/>
      <c r="BN615" s="270"/>
      <c r="BO615" s="270"/>
      <c r="BP615" s="270"/>
      <c r="BQ615" s="270"/>
      <c r="BR615" s="270"/>
      <c r="BS615" s="270"/>
      <c r="BT615" s="270"/>
      <c r="BU615" s="270"/>
      <c r="BV615" s="270"/>
      <c r="BW615" s="270"/>
      <c r="BX615" s="270"/>
      <c r="BY615" s="270"/>
      <c r="BZ615" s="270"/>
      <c r="CA615" s="270"/>
      <c r="CB615" s="270"/>
      <c r="CC615" s="270"/>
      <c r="CD615" s="270"/>
      <c r="CE615"/>
      <c r="CF615" s="1396"/>
      <c r="CG615" s="1396"/>
      <c r="CH615" s="270"/>
      <c r="CI615" s="270"/>
      <c r="CJ615" s="270"/>
      <c r="CK615" s="270"/>
      <c r="CL615" s="270"/>
      <c r="CM615" s="270"/>
    </row>
    <row r="616" spans="1:91" ht="13.5" hidden="1" outlineLevel="3" thickBot="1" x14ac:dyDescent="0.25">
      <c r="A616" s="270"/>
      <c r="B616" s="271"/>
      <c r="C616" s="12"/>
      <c r="D616" s="1071"/>
      <c r="E616" s="1071"/>
      <c r="F616" s="1071"/>
      <c r="G616" s="1172"/>
      <c r="H616" s="271"/>
      <c r="I616" s="270"/>
      <c r="J616" s="270"/>
      <c r="K616" s="270"/>
      <c r="L616" s="270"/>
      <c r="M616" s="270"/>
      <c r="N616" s="270"/>
      <c r="O616" s="270"/>
      <c r="P616" s="1072"/>
      <c r="Q616" s="270"/>
      <c r="R616" s="270"/>
      <c r="S616" s="1072"/>
      <c r="T616" s="270"/>
      <c r="U616" s="1019"/>
      <c r="V616" s="1118"/>
      <c r="W616" s="1177"/>
      <c r="X616" s="1212"/>
      <c r="Y616" s="627"/>
      <c r="Z616" s="492"/>
      <c r="AA616" s="493" t="s">
        <v>769</v>
      </c>
      <c r="AB616" s="1069"/>
      <c r="AC616" s="1070"/>
      <c r="AD616" s="839"/>
      <c r="AE616" s="270" t="str">
        <f>IF(Z616="","",IF(Z616&gt;AB616,Y616,IF(Z616=AB616,"",AC616)))</f>
        <v/>
      </c>
      <c r="AF616" s="270" t="str">
        <f>IF(Z616="","",IF(Z616=AB616,Y616,""))</f>
        <v/>
      </c>
      <c r="AG616" s="270" t="str">
        <f>IF(Z616="","",IF(Z616=AB616,AC616,""))</f>
        <v/>
      </c>
      <c r="AH616" s="270" t="str">
        <f>IF(Z616="","",IF(Z616&lt;AB616,Y616,IF(Z616=AB616,"",AC616)))</f>
        <v/>
      </c>
      <c r="AI616" s="270" t="str">
        <f>IF(Z616="","",IF(Z616&gt;AB616,Y612,""))</f>
        <v/>
      </c>
      <c r="AJ616" s="270" t="str">
        <f>IF(Z616="","",IF(Z616&lt;AB616,AC612,""))</f>
        <v/>
      </c>
      <c r="AK616" s="270" t="str">
        <f>CONCATENATE(AE616,AH616)</f>
        <v/>
      </c>
      <c r="AL616" s="270"/>
      <c r="AM616" s="270"/>
      <c r="AN616" s="270"/>
      <c r="AO616" s="271"/>
      <c r="AP616" s="270"/>
      <c r="AQ616" s="270"/>
      <c r="AR616" s="270"/>
      <c r="AS616" s="270"/>
      <c r="AT616" s="270"/>
      <c r="AU616" s="270"/>
      <c r="AV616" s="270"/>
      <c r="AW616" s="270"/>
      <c r="AX616" s="270"/>
      <c r="AY616" s="1072"/>
      <c r="AZ616" s="270"/>
      <c r="BA616" s="270"/>
      <c r="BB616" s="1072"/>
      <c r="BC616" s="270"/>
      <c r="BD616" s="270"/>
      <c r="BE616" s="270"/>
      <c r="BF616" s="270"/>
      <c r="BG616" s="270"/>
      <c r="BH616" s="270"/>
      <c r="BI616" s="270"/>
      <c r="BJ616" s="270"/>
      <c r="BK616" s="270"/>
      <c r="BL616" s="270"/>
      <c r="BM616" s="270"/>
      <c r="BN616" s="270"/>
      <c r="BO616" s="270"/>
      <c r="BP616" s="270"/>
      <c r="BQ616" s="270"/>
      <c r="BR616" s="270"/>
      <c r="BS616" s="270"/>
      <c r="BT616" s="270"/>
      <c r="BU616" s="270"/>
      <c r="BV616" s="270"/>
      <c r="BW616" s="270"/>
      <c r="BX616" s="270"/>
      <c r="BY616" s="270"/>
      <c r="BZ616" s="270"/>
      <c r="CA616" s="270"/>
      <c r="CB616" s="270"/>
      <c r="CC616" s="270"/>
      <c r="CD616" s="270"/>
      <c r="CE616"/>
      <c r="CF616" s="1396"/>
      <c r="CG616" s="1396"/>
      <c r="CH616" s="270"/>
      <c r="CI616" s="270"/>
      <c r="CJ616" s="270"/>
      <c r="CK616" s="270"/>
      <c r="CL616" s="270"/>
      <c r="CM616" s="270"/>
    </row>
    <row r="617" spans="1:91" ht="13.5" hidden="1" outlineLevel="3" thickBot="1" x14ac:dyDescent="0.25">
      <c r="A617" s="270"/>
      <c r="B617" s="271"/>
      <c r="C617" s="12"/>
      <c r="D617" s="1071"/>
      <c r="E617" s="1071"/>
      <c r="F617" s="1071"/>
      <c r="G617" s="626"/>
      <c r="H617" s="271"/>
      <c r="I617" s="270"/>
      <c r="J617" s="270"/>
      <c r="K617" s="270"/>
      <c r="L617" s="270"/>
      <c r="M617" s="270"/>
      <c r="N617" s="270"/>
      <c r="O617" s="270"/>
      <c r="P617" s="1072"/>
      <c r="Q617" s="270"/>
      <c r="R617" s="270"/>
      <c r="S617" s="1072"/>
      <c r="T617" s="270"/>
      <c r="U617" s="1019"/>
      <c r="V617" s="1077"/>
      <c r="W617" s="1078"/>
      <c r="X617" s="1075" t="str">
        <f>N_Substitute</f>
        <v>Remplaçant</v>
      </c>
      <c r="Y617" s="627"/>
      <c r="Z617" s="492"/>
      <c r="AA617" s="1076"/>
      <c r="AB617" s="1069"/>
      <c r="AC617" s="1070"/>
      <c r="AD617" s="839"/>
      <c r="AE617" s="270"/>
      <c r="AF617" s="270"/>
      <c r="AG617" s="270"/>
      <c r="AH617" s="270"/>
      <c r="AI617" s="270"/>
      <c r="AJ617" s="270"/>
      <c r="AK617" s="270"/>
      <c r="AL617" s="270"/>
      <c r="AM617" s="270"/>
      <c r="AN617" s="270"/>
      <c r="AO617" s="271"/>
      <c r="AP617" s="270"/>
      <c r="AQ617" s="270"/>
      <c r="AR617" s="270"/>
      <c r="AS617" s="270"/>
      <c r="AT617" s="270"/>
      <c r="AU617" s="270"/>
      <c r="AV617" s="270"/>
      <c r="AW617" s="270"/>
      <c r="AX617" s="270"/>
      <c r="AY617" s="1072"/>
      <c r="AZ617" s="270"/>
      <c r="BA617" s="270"/>
      <c r="BB617" s="1072"/>
      <c r="BC617" s="270"/>
      <c r="BD617" s="270"/>
      <c r="BE617" s="270"/>
      <c r="BF617" s="270"/>
      <c r="BG617" s="270"/>
      <c r="BH617" s="270"/>
      <c r="BI617" s="270"/>
      <c r="BJ617" s="270"/>
      <c r="BK617" s="270"/>
      <c r="BL617" s="270"/>
      <c r="BM617" s="270"/>
      <c r="BN617" s="270"/>
      <c r="BO617" s="270"/>
      <c r="BP617" s="270"/>
      <c r="BQ617" s="270"/>
      <c r="BR617" s="270"/>
      <c r="BS617" s="270"/>
      <c r="BT617" s="270"/>
      <c r="BU617" s="270"/>
      <c r="BV617" s="270"/>
      <c r="BW617" s="270"/>
      <c r="BX617" s="270"/>
      <c r="BY617" s="270"/>
      <c r="BZ617" s="270"/>
      <c r="CA617" s="270"/>
      <c r="CB617" s="270"/>
      <c r="CC617" s="270"/>
      <c r="CD617" s="270"/>
      <c r="CE617"/>
      <c r="CF617" s="1396"/>
      <c r="CG617" s="1396"/>
      <c r="CH617" s="270"/>
      <c r="CI617" s="270"/>
      <c r="CJ617" s="270"/>
      <c r="CK617" s="270"/>
      <c r="CL617" s="270"/>
      <c r="CM617" s="270"/>
    </row>
    <row r="618" spans="1:91" ht="13.5" hidden="1" outlineLevel="3" thickBot="1" x14ac:dyDescent="0.25">
      <c r="A618" s="270"/>
      <c r="B618" s="271"/>
      <c r="C618" s="12"/>
      <c r="D618" s="1071"/>
      <c r="E618" s="1071"/>
      <c r="F618" s="1071"/>
      <c r="G618" s="626"/>
      <c r="H618" s="271"/>
      <c r="I618" s="270"/>
      <c r="J618" s="270"/>
      <c r="K618" s="270"/>
      <c r="L618" s="270"/>
      <c r="M618" s="270"/>
      <c r="N618" s="270"/>
      <c r="O618" s="270"/>
      <c r="P618" s="1072"/>
      <c r="Q618" s="270"/>
      <c r="R618" s="270"/>
      <c r="S618" s="1072"/>
      <c r="T618" s="270"/>
      <c r="U618" s="1019"/>
      <c r="V618" s="1119"/>
      <c r="W618" s="1120"/>
      <c r="X618" s="1075" t="str">
        <f>N_Substitute</f>
        <v>Remplaçant</v>
      </c>
      <c r="Y618" s="627"/>
      <c r="Z618" s="496"/>
      <c r="AA618" s="1090"/>
      <c r="AB618" s="496"/>
      <c r="AC618" s="1070"/>
      <c r="AD618" s="839"/>
      <c r="AE618" s="270"/>
      <c r="AF618" s="270"/>
      <c r="AG618" s="270"/>
      <c r="AH618" s="270"/>
      <c r="AI618" s="270"/>
      <c r="AJ618" s="270"/>
      <c r="AK618" s="270"/>
      <c r="AL618" s="270"/>
      <c r="AM618" s="270"/>
      <c r="AN618" s="270"/>
      <c r="AO618" s="271"/>
      <c r="AP618" s="270"/>
      <c r="AQ618" s="270"/>
      <c r="AR618" s="270"/>
      <c r="AS618" s="270"/>
      <c r="AT618" s="270"/>
      <c r="AU618" s="270"/>
      <c r="AV618" s="270"/>
      <c r="AW618" s="270"/>
      <c r="AX618" s="270"/>
      <c r="AY618" s="1072"/>
      <c r="AZ618" s="270"/>
      <c r="BA618" s="270"/>
      <c r="BB618" s="1072"/>
      <c r="BC618" s="270"/>
      <c r="BD618" s="270"/>
      <c r="BE618" s="270"/>
      <c r="BF618" s="270"/>
      <c r="BG618" s="270"/>
      <c r="BH618" s="270"/>
      <c r="BI618" s="270"/>
      <c r="BJ618" s="270"/>
      <c r="BK618" s="270"/>
      <c r="BL618" s="270"/>
      <c r="BM618" s="270"/>
      <c r="BN618" s="270"/>
      <c r="BO618" s="270"/>
      <c r="BP618" s="270"/>
      <c r="BQ618" s="270"/>
      <c r="BR618" s="270"/>
      <c r="BS618" s="270"/>
      <c r="BT618" s="270"/>
      <c r="BU618" s="270"/>
      <c r="BV618" s="270"/>
      <c r="BW618" s="270"/>
      <c r="BX618" s="270"/>
      <c r="BY618" s="270"/>
      <c r="BZ618" s="270"/>
      <c r="CA618" s="270"/>
      <c r="CB618" s="270"/>
      <c r="CC618" s="270"/>
      <c r="CD618" s="270"/>
      <c r="CE618"/>
      <c r="CF618" s="1396"/>
      <c r="CG618" s="1396"/>
      <c r="CH618" s="270"/>
      <c r="CI618" s="270"/>
      <c r="CJ618" s="270"/>
      <c r="CK618" s="270"/>
      <c r="CL618" s="270"/>
      <c r="CM618" s="270"/>
    </row>
    <row r="619" spans="1:91" hidden="1" outlineLevel="2" collapsed="1" x14ac:dyDescent="0.2">
      <c r="A619" s="270"/>
      <c r="B619" s="271"/>
      <c r="C619" s="12"/>
      <c r="D619" s="1071"/>
      <c r="E619" s="1071"/>
      <c r="F619" s="1071"/>
      <c r="G619" s="1172"/>
      <c r="H619" s="271"/>
      <c r="I619" s="270"/>
      <c r="J619" s="270"/>
      <c r="K619" s="270"/>
      <c r="L619" s="270"/>
      <c r="M619" s="270"/>
      <c r="N619" s="270"/>
      <c r="O619" s="270"/>
      <c r="P619" s="1072"/>
      <c r="Q619" s="270"/>
      <c r="R619" s="270"/>
      <c r="S619" s="1072"/>
      <c r="T619" s="270"/>
      <c r="U619" s="1019" t="s">
        <v>1730</v>
      </c>
      <c r="V619" s="1173"/>
      <c r="W619" s="1525"/>
      <c r="X619" s="1535"/>
      <c r="Y619" s="1174" t="str">
        <f>G498</f>
        <v>Eq1</v>
      </c>
      <c r="Z619" s="1063" t="str">
        <f>IF(OR(ISNUMBER(Z620),ISNUMBER(Z621),ISNUMBER(Z622),ISNUMBER(Z623)),4-COUNTBLANK(AI620:AI623),"")</f>
        <v/>
      </c>
      <c r="AA619" s="1064" t="s">
        <v>769</v>
      </c>
      <c r="AB619" s="1063" t="str">
        <f>IF(OR(ISNUMBER(Z620),ISNUMBER(Z621),ISNUMBER(Z622),ISNUMBER(Z623)),4-COUNTBLANK(AJ620:AJ623),"")</f>
        <v/>
      </c>
      <c r="AC619" s="1175" t="str">
        <f>G501</f>
        <v>Eq4</v>
      </c>
      <c r="AD619" s="839"/>
      <c r="AE619" s="270" t="str">
        <f>IF(Z619="","",IF(Z619&gt;AB619,Y619,IF(Z619=AB619,IF(NoDrawWithWithdraw,IF(AL619=Y619,AC619,IF(AL619=AC619,Y619,"")),""),AC619)))</f>
        <v/>
      </c>
      <c r="AF619" s="270" t="str">
        <f>IF(Z619="","",IF(Z619=AB619,IF(NoDrawWithWithdraw,IF(AL619=Y619,"",IF(AL619=AC619,"",Y619)),Y619),""))</f>
        <v/>
      </c>
      <c r="AG619" s="270" t="str">
        <f>IF(Z619="","",IF(Z619=AB619,IF(NoDrawWithWithdraw,IF(AL619=Y619,"",IF(AL619=AC619,"",AC619)),AC619),""))</f>
        <v/>
      </c>
      <c r="AH619" s="270" t="str">
        <f>IF(Z619="","",IF(Z619&lt;AB619,Y619,IF(Z619=AB619,IF(NoDrawWithWithdraw,IF(AL619=Y619,Y619,IF(AL619=AC619,AC619,"")),""),AC619)))</f>
        <v/>
      </c>
      <c r="AI619" s="270" t="str">
        <f>IF(Z619="","",SUM(Z620:Z623))</f>
        <v/>
      </c>
      <c r="AJ619" s="270" t="str">
        <f>IF(Z619="","",SUM(AB620:AB623))</f>
        <v/>
      </c>
      <c r="AK619" s="270" t="str">
        <f>CONCATENATE(AE619,AH619)</f>
        <v/>
      </c>
      <c r="AL619" s="270" t="str">
        <f>IF(COUNTIF(Y620:Y623,WithdrawLabel)&gt;COUNTIF(AC620:AC623,WithdrawLabel),Y619,IF(COUNTIF(AC620:AC623,WithdrawLabel)&gt;COUNTIF(Y620:Y623,WithdrawLabel),AC619,""))</f>
        <v/>
      </c>
      <c r="AM619" s="270"/>
      <c r="AN619" s="270"/>
      <c r="AO619" s="271"/>
      <c r="AP619" s="270"/>
      <c r="AQ619" s="270"/>
      <c r="AR619" s="270"/>
      <c r="AS619" s="270"/>
      <c r="AT619" s="270"/>
      <c r="AU619" s="270"/>
      <c r="AV619" s="270"/>
      <c r="AW619" s="270"/>
      <c r="AX619" s="270"/>
      <c r="AY619" s="1072"/>
      <c r="AZ619" s="270"/>
      <c r="BA619" s="270"/>
      <c r="BB619" s="1072"/>
      <c r="BC619" s="270"/>
      <c r="BD619" s="270"/>
      <c r="BE619" s="270"/>
      <c r="BF619" s="270"/>
      <c r="BG619" s="270"/>
      <c r="BH619" s="270"/>
      <c r="BI619" s="270"/>
      <c r="BJ619" s="270"/>
      <c r="BK619" s="270"/>
      <c r="BL619" s="270"/>
      <c r="BM619" s="270"/>
      <c r="BN619" s="270"/>
      <c r="BO619" s="270"/>
      <c r="BP619" s="270"/>
      <c r="BQ619" s="270"/>
      <c r="BR619" s="270"/>
      <c r="BS619" s="270"/>
      <c r="BT619" s="270"/>
      <c r="BU619" s="270"/>
      <c r="BV619" s="270"/>
      <c r="BW619" s="270"/>
      <c r="BX619" s="270"/>
      <c r="BY619" s="270"/>
      <c r="BZ619" s="270"/>
      <c r="CA619" s="270"/>
      <c r="CB619" s="270"/>
      <c r="CC619" s="270"/>
      <c r="CD619" s="270"/>
      <c r="CE619"/>
      <c r="CF619" s="1396"/>
      <c r="CG619" s="1396"/>
      <c r="CH619" s="270"/>
      <c r="CI619" s="270"/>
      <c r="CJ619" s="270"/>
      <c r="CK619" s="270"/>
      <c r="CL619" s="270"/>
      <c r="CM619" s="270"/>
    </row>
    <row r="620" spans="1:91" ht="13.5" hidden="1" outlineLevel="3" thickBot="1" x14ac:dyDescent="0.25">
      <c r="A620" s="270"/>
      <c r="B620" s="271"/>
      <c r="C620" s="12"/>
      <c r="D620" s="1071"/>
      <c r="E620" s="1071"/>
      <c r="F620" s="1071"/>
      <c r="G620" s="1172"/>
      <c r="H620" s="271"/>
      <c r="I620" s="270"/>
      <c r="J620" s="270"/>
      <c r="K620" s="270"/>
      <c r="L620" s="270"/>
      <c r="M620" s="270"/>
      <c r="N620" s="270"/>
      <c r="O620" s="270"/>
      <c r="P620" s="1072"/>
      <c r="Q620" s="270"/>
      <c r="R620" s="270"/>
      <c r="S620" s="1072"/>
      <c r="T620" s="270"/>
      <c r="U620" s="1019"/>
      <c r="V620" s="1176"/>
      <c r="W620" s="1177"/>
      <c r="X620" s="1207"/>
      <c r="Y620" s="627"/>
      <c r="Z620" s="492"/>
      <c r="AA620" s="493" t="s">
        <v>769</v>
      </c>
      <c r="AB620" s="1069"/>
      <c r="AC620" s="1070"/>
      <c r="AD620" s="839"/>
      <c r="AE620" s="270" t="str">
        <f>IF(Z620="","",IF(Z620&gt;AB620,Y620,IF(Z620=AB620,"",AC620)))</f>
        <v/>
      </c>
      <c r="AF620" s="270" t="str">
        <f>IF(Z620="","",IF(Z620=AB620,Y620,""))</f>
        <v/>
      </c>
      <c r="AG620" s="270" t="str">
        <f>IF(Z620="","",IF(Z620=AB620,AC620,""))</f>
        <v/>
      </c>
      <c r="AH620" s="270" t="str">
        <f>IF(Z620="","",IF(Z620&lt;AB620,Y620,IF(Z620=AB620,"",AC620)))</f>
        <v/>
      </c>
      <c r="AI620" s="270" t="str">
        <f>IF(Z620="","",IF(Z620&gt;AB620,Y619,""))</f>
        <v/>
      </c>
      <c r="AJ620" s="270" t="str">
        <f>IF(Z620="","",IF(Z620&lt;AB620,AC619,""))</f>
        <v/>
      </c>
      <c r="AK620" s="270" t="str">
        <f>CONCATENATE(AE620,AH620)</f>
        <v/>
      </c>
      <c r="AL620" s="270"/>
      <c r="AM620" s="270"/>
      <c r="AN620" s="270"/>
      <c r="AO620" s="271"/>
      <c r="AP620" s="270"/>
      <c r="AQ620" s="270"/>
      <c r="AR620" s="270"/>
      <c r="AS620" s="270"/>
      <c r="AT620" s="270"/>
      <c r="AU620" s="270"/>
      <c r="AV620" s="270"/>
      <c r="AW620" s="270"/>
      <c r="AX620" s="270"/>
      <c r="AY620" s="1072"/>
      <c r="AZ620" s="270"/>
      <c r="BA620" s="270"/>
      <c r="BB620" s="1072"/>
      <c r="BC620" s="270"/>
      <c r="BD620" s="270"/>
      <c r="BE620" s="270"/>
      <c r="BF620" s="270"/>
      <c r="BG620" s="270"/>
      <c r="BH620" s="270"/>
      <c r="BI620" s="270"/>
      <c r="BJ620" s="270"/>
      <c r="BK620" s="270"/>
      <c r="BL620" s="270"/>
      <c r="BM620" s="270"/>
      <c r="BN620" s="270"/>
      <c r="BO620" s="270"/>
      <c r="BP620" s="270"/>
      <c r="BQ620" s="270"/>
      <c r="BR620" s="270"/>
      <c r="BS620" s="270"/>
      <c r="BT620" s="270"/>
      <c r="BU620" s="270"/>
      <c r="BV620" s="270"/>
      <c r="BW620" s="270"/>
      <c r="BX620" s="270"/>
      <c r="BY620" s="270"/>
      <c r="BZ620" s="270"/>
      <c r="CA620" s="270"/>
      <c r="CB620" s="270"/>
      <c r="CC620" s="270"/>
      <c r="CD620" s="270"/>
      <c r="CE620"/>
      <c r="CF620" s="1396"/>
      <c r="CG620" s="1396"/>
      <c r="CH620" s="270"/>
      <c r="CI620" s="270"/>
      <c r="CJ620" s="270"/>
      <c r="CK620" s="270"/>
      <c r="CL620" s="270"/>
      <c r="CM620" s="270"/>
    </row>
    <row r="621" spans="1:91" ht="13.5" hidden="1" outlineLevel="3" thickBot="1" x14ac:dyDescent="0.25">
      <c r="A621" s="270"/>
      <c r="B621" s="271"/>
      <c r="C621" s="12"/>
      <c r="D621" s="1071"/>
      <c r="E621" s="1071"/>
      <c r="F621" s="1071"/>
      <c r="G621" s="1172"/>
      <c r="H621" s="271"/>
      <c r="I621" s="270"/>
      <c r="J621" s="270"/>
      <c r="K621" s="270"/>
      <c r="L621" s="270"/>
      <c r="M621" s="270"/>
      <c r="N621" s="270"/>
      <c r="O621" s="270"/>
      <c r="P621" s="1072"/>
      <c r="Q621" s="270"/>
      <c r="R621" s="270"/>
      <c r="S621" s="1072"/>
      <c r="T621" s="270"/>
      <c r="U621" s="1019"/>
      <c r="V621" s="1176"/>
      <c r="W621" s="1177"/>
      <c r="X621" s="1207"/>
      <c r="Y621" s="627"/>
      <c r="Z621" s="492"/>
      <c r="AA621" s="493" t="s">
        <v>769</v>
      </c>
      <c r="AB621" s="1069"/>
      <c r="AC621" s="1070"/>
      <c r="AD621" s="839"/>
      <c r="AE621" s="270" t="str">
        <f>IF(Z621="","",IF(Z621&gt;AB621,Y621,IF(Z621=AB621,"",AC621)))</f>
        <v/>
      </c>
      <c r="AF621" s="270" t="str">
        <f>IF(Z621="","",IF(Z621=AB621,Y621,""))</f>
        <v/>
      </c>
      <c r="AG621" s="270" t="str">
        <f>IF(Z621="","",IF(Z621=AB621,AC621,""))</f>
        <v/>
      </c>
      <c r="AH621" s="270" t="str">
        <f>IF(Z621="","",IF(Z621&lt;AB621,Y621,IF(Z621=AB621,"",AC621)))</f>
        <v/>
      </c>
      <c r="AI621" s="270" t="str">
        <f>IF(Z621="","",IF(Z621&gt;AB621,Y619,""))</f>
        <v/>
      </c>
      <c r="AJ621" s="270" t="str">
        <f>IF(Z621="","",IF(Z621&lt;AB621,AC619,""))</f>
        <v/>
      </c>
      <c r="AK621" s="270" t="str">
        <f>CONCATENATE(AE621,AH621)</f>
        <v/>
      </c>
      <c r="AL621" s="270"/>
      <c r="AM621" s="270"/>
      <c r="AN621" s="270"/>
      <c r="AO621" s="271"/>
      <c r="AP621" s="270"/>
      <c r="AQ621" s="270"/>
      <c r="AR621" s="270"/>
      <c r="AS621" s="270"/>
      <c r="AT621" s="270"/>
      <c r="AU621" s="270"/>
      <c r="AV621" s="270"/>
      <c r="AW621" s="270"/>
      <c r="AX621" s="270"/>
      <c r="AY621" s="1072"/>
      <c r="AZ621" s="270"/>
      <c r="BA621" s="270"/>
      <c r="BB621" s="1072"/>
      <c r="BC621" s="270"/>
      <c r="BD621" s="270"/>
      <c r="BE621" s="270"/>
      <c r="BF621" s="270"/>
      <c r="BG621" s="270"/>
      <c r="BH621" s="270"/>
      <c r="BI621" s="270"/>
      <c r="BJ621" s="270"/>
      <c r="BK621" s="270"/>
      <c r="BL621" s="270"/>
      <c r="BM621" s="270"/>
      <c r="BN621" s="270"/>
      <c r="BO621" s="270"/>
      <c r="BP621" s="270"/>
      <c r="BQ621" s="270"/>
      <c r="BR621" s="270"/>
      <c r="BS621" s="270"/>
      <c r="BT621" s="270"/>
      <c r="BU621" s="270"/>
      <c r="BV621" s="270"/>
      <c r="BW621" s="270"/>
      <c r="BX621" s="270"/>
      <c r="BY621" s="270"/>
      <c r="BZ621" s="270"/>
      <c r="CA621" s="270"/>
      <c r="CB621" s="270"/>
      <c r="CC621" s="270"/>
      <c r="CD621" s="270"/>
      <c r="CE621"/>
      <c r="CF621" s="1396"/>
      <c r="CG621" s="1396"/>
      <c r="CH621" s="270"/>
      <c r="CI621" s="270"/>
      <c r="CJ621" s="270"/>
      <c r="CK621" s="270"/>
      <c r="CL621" s="270"/>
      <c r="CM621" s="270"/>
    </row>
    <row r="622" spans="1:91" ht="13.5" hidden="1" outlineLevel="3" thickBot="1" x14ac:dyDescent="0.25">
      <c r="A622" s="270"/>
      <c r="B622" s="271"/>
      <c r="C622" s="12"/>
      <c r="D622" s="1071"/>
      <c r="E622" s="1071"/>
      <c r="F622" s="1071"/>
      <c r="G622" s="1172"/>
      <c r="H622" s="271"/>
      <c r="I622" s="270"/>
      <c r="J622" s="270"/>
      <c r="K622" s="270"/>
      <c r="L622" s="270"/>
      <c r="M622" s="270"/>
      <c r="N622" s="270"/>
      <c r="O622" s="270"/>
      <c r="P622" s="1072"/>
      <c r="Q622" s="270"/>
      <c r="R622" s="270"/>
      <c r="S622" s="1072"/>
      <c r="T622" s="270"/>
      <c r="U622" s="1019"/>
      <c r="V622" s="1176"/>
      <c r="W622" s="1177"/>
      <c r="X622" s="1207"/>
      <c r="Y622" s="627"/>
      <c r="Z622" s="492"/>
      <c r="AA622" s="493" t="s">
        <v>769</v>
      </c>
      <c r="AB622" s="1069"/>
      <c r="AC622" s="1070"/>
      <c r="AD622" s="839"/>
      <c r="AE622" s="270" t="str">
        <f>IF(Z622="","",IF(Z622&gt;AB622,Y622,IF(Z622=AB622,"",AC622)))</f>
        <v/>
      </c>
      <c r="AF622" s="270" t="str">
        <f>IF(Z622="","",IF(Z622=AB622,Y622,""))</f>
        <v/>
      </c>
      <c r="AG622" s="270" t="str">
        <f>IF(Z622="","",IF(Z622=AB622,AC622,""))</f>
        <v/>
      </c>
      <c r="AH622" s="270" t="str">
        <f>IF(Z622="","",IF(Z622&lt;AB622,Y622,IF(Z622=AB622,"",AC622)))</f>
        <v/>
      </c>
      <c r="AI622" s="270" t="str">
        <f>IF(Z622="","",IF(Z622&gt;AB622,Y619,""))</f>
        <v/>
      </c>
      <c r="AJ622" s="270" t="str">
        <f>IF(Z622="","",IF(Z622&lt;AB622,AC619,""))</f>
        <v/>
      </c>
      <c r="AK622" s="270" t="str">
        <f>CONCATENATE(AE622,AH622)</f>
        <v/>
      </c>
      <c r="AL622" s="270"/>
      <c r="AM622" s="270"/>
      <c r="AN622" s="270"/>
      <c r="AO622" s="271"/>
      <c r="AP622" s="270"/>
      <c r="AQ622" s="270"/>
      <c r="AR622" s="270"/>
      <c r="AS622" s="270"/>
      <c r="AT622" s="270"/>
      <c r="AU622" s="270"/>
      <c r="AV622" s="270"/>
      <c r="AW622" s="270"/>
      <c r="AX622" s="270"/>
      <c r="AY622" s="1072"/>
      <c r="AZ622" s="270"/>
      <c r="BA622" s="270"/>
      <c r="BB622" s="1072"/>
      <c r="BC622" s="270"/>
      <c r="BD622" s="270"/>
      <c r="BE622" s="270"/>
      <c r="BF622" s="270"/>
      <c r="BG622" s="270"/>
      <c r="BH622" s="270"/>
      <c r="BI622" s="270"/>
      <c r="BJ622" s="270"/>
      <c r="BK622" s="270"/>
      <c r="BL622" s="270"/>
      <c r="BM622" s="270"/>
      <c r="BN622" s="270"/>
      <c r="BO622" s="270"/>
      <c r="BP622" s="270"/>
      <c r="BQ622" s="270"/>
      <c r="BR622" s="270"/>
      <c r="BS622" s="270"/>
      <c r="BT622" s="270"/>
      <c r="BU622" s="270"/>
      <c r="BV622" s="270"/>
      <c r="BW622" s="270"/>
      <c r="BX622" s="270"/>
      <c r="BY622" s="270"/>
      <c r="BZ622" s="270"/>
      <c r="CA622" s="270"/>
      <c r="CB622" s="270"/>
      <c r="CC622" s="270"/>
      <c r="CD622" s="270"/>
      <c r="CE622"/>
      <c r="CF622" s="1396"/>
      <c r="CG622" s="1396"/>
      <c r="CH622" s="270"/>
      <c r="CI622" s="270"/>
      <c r="CJ622" s="270"/>
      <c r="CK622" s="270"/>
      <c r="CL622" s="270"/>
      <c r="CM622" s="270"/>
    </row>
    <row r="623" spans="1:91" ht="13.5" hidden="1" outlineLevel="3" thickBot="1" x14ac:dyDescent="0.25">
      <c r="A623" s="270"/>
      <c r="B623" s="271"/>
      <c r="C623" s="12"/>
      <c r="D623" s="1071"/>
      <c r="E623" s="1071"/>
      <c r="F623" s="1071"/>
      <c r="G623" s="1172"/>
      <c r="H623" s="271"/>
      <c r="I623" s="270"/>
      <c r="J623" s="270"/>
      <c r="K623" s="270"/>
      <c r="L623" s="270"/>
      <c r="M623" s="270"/>
      <c r="N623" s="270"/>
      <c r="O623" s="270"/>
      <c r="P623" s="1072"/>
      <c r="Q623" s="270"/>
      <c r="R623" s="270"/>
      <c r="S623" s="1072"/>
      <c r="T623" s="270"/>
      <c r="U623" s="1019"/>
      <c r="V623" s="1176"/>
      <c r="W623" s="1177"/>
      <c r="X623" s="1207"/>
      <c r="Y623" s="627"/>
      <c r="Z623" s="492"/>
      <c r="AA623" s="493" t="s">
        <v>769</v>
      </c>
      <c r="AB623" s="1069"/>
      <c r="AC623" s="1070"/>
      <c r="AD623" s="839"/>
      <c r="AE623" s="270" t="str">
        <f>IF(Z623="","",IF(Z623&gt;AB623,Y623,IF(Z623=AB623,"",AC623)))</f>
        <v/>
      </c>
      <c r="AF623" s="270" t="str">
        <f>IF(Z623="","",IF(Z623=AB623,Y623,""))</f>
        <v/>
      </c>
      <c r="AG623" s="270" t="str">
        <f>IF(Z623="","",IF(Z623=AB623,AC623,""))</f>
        <v/>
      </c>
      <c r="AH623" s="270" t="str">
        <f>IF(Z623="","",IF(Z623&lt;AB623,Y623,IF(Z623=AB623,"",AC623)))</f>
        <v/>
      </c>
      <c r="AI623" s="270" t="str">
        <f>IF(Z623="","",IF(Z623&gt;AB623,Y619,""))</f>
        <v/>
      </c>
      <c r="AJ623" s="270" t="str">
        <f>IF(Z623="","",IF(Z623&lt;AB623,AC619,""))</f>
        <v/>
      </c>
      <c r="AK623" s="270" t="str">
        <f>CONCATENATE(AE623,AH623)</f>
        <v/>
      </c>
      <c r="AL623" s="270"/>
      <c r="AM623" s="270"/>
      <c r="AN623" s="270"/>
      <c r="AO623" s="271"/>
      <c r="AP623" s="270"/>
      <c r="AQ623" s="270"/>
      <c r="AR623" s="270"/>
      <c r="AS623" s="270"/>
      <c r="AT623" s="270"/>
      <c r="AU623" s="270"/>
      <c r="AV623" s="270"/>
      <c r="AW623" s="270"/>
      <c r="AX623" s="270"/>
      <c r="AY623" s="1072"/>
      <c r="AZ623" s="270"/>
      <c r="BA623" s="270"/>
      <c r="BB623" s="1072"/>
      <c r="BC623" s="270"/>
      <c r="BD623" s="270"/>
      <c r="BE623" s="270"/>
      <c r="BF623" s="270"/>
      <c r="BG623" s="270"/>
      <c r="BH623" s="270"/>
      <c r="BI623" s="270"/>
      <c r="BJ623" s="270"/>
      <c r="BK623" s="270"/>
      <c r="BL623" s="270"/>
      <c r="BM623" s="270"/>
      <c r="BN623" s="270"/>
      <c r="BO623" s="270"/>
      <c r="BP623" s="270"/>
      <c r="BQ623" s="270"/>
      <c r="BR623" s="270"/>
      <c r="BS623" s="270"/>
      <c r="BT623" s="270"/>
      <c r="BU623" s="270"/>
      <c r="BV623" s="270"/>
      <c r="BW623" s="270"/>
      <c r="BX623" s="270"/>
      <c r="BY623" s="270"/>
      <c r="BZ623" s="270"/>
      <c r="CA623" s="270"/>
      <c r="CB623" s="270"/>
      <c r="CC623" s="270"/>
      <c r="CD623" s="270"/>
      <c r="CE623"/>
      <c r="CF623" s="1396"/>
      <c r="CG623" s="1396"/>
      <c r="CH623" s="270"/>
      <c r="CI623" s="270"/>
      <c r="CJ623" s="270"/>
      <c r="CK623" s="270"/>
      <c r="CL623" s="270"/>
      <c r="CM623" s="270"/>
    </row>
    <row r="624" spans="1:91" ht="13.5" hidden="1" outlineLevel="3" thickBot="1" x14ac:dyDescent="0.25">
      <c r="A624" s="270"/>
      <c r="B624" s="271"/>
      <c r="C624" s="12"/>
      <c r="D624" s="1071"/>
      <c r="E624" s="1071"/>
      <c r="F624" s="1071"/>
      <c r="G624" s="626"/>
      <c r="H624" s="271"/>
      <c r="I624" s="270"/>
      <c r="J624" s="270"/>
      <c r="K624" s="270"/>
      <c r="L624" s="270"/>
      <c r="M624" s="270"/>
      <c r="N624" s="270"/>
      <c r="O624" s="270"/>
      <c r="P624" s="1072"/>
      <c r="Q624" s="270"/>
      <c r="R624" s="270"/>
      <c r="S624" s="1072"/>
      <c r="T624" s="270"/>
      <c r="U624" s="1019"/>
      <c r="V624" s="1073"/>
      <c r="W624" s="1074"/>
      <c r="X624" s="1075" t="str">
        <f>N_Substitute</f>
        <v>Remplaçant</v>
      </c>
      <c r="Y624" s="627"/>
      <c r="Z624" s="492"/>
      <c r="AA624" s="1076"/>
      <c r="AB624" s="1069"/>
      <c r="AC624" s="1070"/>
      <c r="AD624" s="839"/>
      <c r="AE624" s="270"/>
      <c r="AF624" s="270"/>
      <c r="AG624" s="270"/>
      <c r="AH624" s="270"/>
      <c r="AI624" s="270"/>
      <c r="AJ624" s="270"/>
      <c r="AK624" s="270"/>
      <c r="AL624" s="270"/>
      <c r="AM624" s="270"/>
      <c r="AN624" s="270"/>
      <c r="AO624" s="271"/>
      <c r="AP624" s="270"/>
      <c r="AQ624" s="270"/>
      <c r="AR624" s="270"/>
      <c r="AS624" s="270"/>
      <c r="AT624" s="270"/>
      <c r="AU624" s="270"/>
      <c r="AV624" s="270"/>
      <c r="AW624" s="270"/>
      <c r="AX624" s="270"/>
      <c r="AY624" s="1072"/>
      <c r="AZ624" s="270"/>
      <c r="BA624" s="270"/>
      <c r="BB624" s="1072"/>
      <c r="BC624" s="270"/>
      <c r="BD624" s="270"/>
      <c r="BE624" s="270"/>
      <c r="BF624" s="270"/>
      <c r="BG624" s="270"/>
      <c r="BH624" s="270"/>
      <c r="BI624" s="270"/>
      <c r="BJ624" s="270"/>
      <c r="BK624" s="270"/>
      <c r="BL624" s="270"/>
      <c r="BM624" s="270"/>
      <c r="BN624" s="270"/>
      <c r="BO624" s="270"/>
      <c r="BP624" s="270"/>
      <c r="BQ624" s="270"/>
      <c r="BR624" s="270"/>
      <c r="BS624" s="270"/>
      <c r="BT624" s="270"/>
      <c r="BU624" s="270"/>
      <c r="BV624" s="270"/>
      <c r="BW624" s="270"/>
      <c r="BX624" s="270"/>
      <c r="BY624" s="270"/>
      <c r="BZ624" s="270"/>
      <c r="CA624" s="270"/>
      <c r="CB624" s="270"/>
      <c r="CC624" s="270"/>
      <c r="CD624" s="270"/>
      <c r="CE624"/>
      <c r="CF624" s="1396"/>
      <c r="CG624" s="1396"/>
      <c r="CH624" s="270"/>
      <c r="CI624" s="270"/>
      <c r="CJ624" s="270"/>
      <c r="CK624" s="270"/>
      <c r="CL624" s="270"/>
      <c r="CM624" s="270"/>
    </row>
    <row r="625" spans="1:91" ht="13.5" hidden="1" outlineLevel="3" thickBot="1" x14ac:dyDescent="0.25">
      <c r="A625" s="270"/>
      <c r="B625" s="271"/>
      <c r="C625" s="12"/>
      <c r="D625" s="1071"/>
      <c r="E625" s="1071"/>
      <c r="F625" s="1071"/>
      <c r="G625" s="626"/>
      <c r="H625" s="271"/>
      <c r="I625" s="270"/>
      <c r="J625" s="270"/>
      <c r="K625" s="270"/>
      <c r="L625" s="270"/>
      <c r="M625" s="270"/>
      <c r="N625" s="270"/>
      <c r="O625" s="270"/>
      <c r="P625" s="1072"/>
      <c r="Q625" s="270"/>
      <c r="R625" s="270"/>
      <c r="S625" s="1072"/>
      <c r="T625" s="270"/>
      <c r="U625" s="1019"/>
      <c r="V625" s="1119"/>
      <c r="W625" s="1120"/>
      <c r="X625" s="1075" t="str">
        <f>N_Substitute</f>
        <v>Remplaçant</v>
      </c>
      <c r="Y625" s="627"/>
      <c r="Z625" s="492"/>
      <c r="AA625" s="1121"/>
      <c r="AB625" s="1069"/>
      <c r="AC625" s="1070"/>
      <c r="AD625" s="839"/>
      <c r="AE625" s="270"/>
      <c r="AF625" s="270"/>
      <c r="AG625" s="270"/>
      <c r="AH625" s="270"/>
      <c r="AI625" s="270"/>
      <c r="AJ625" s="270"/>
      <c r="AK625" s="270"/>
      <c r="AL625" s="270"/>
      <c r="AM625" s="270"/>
      <c r="AN625" s="270"/>
      <c r="AO625" s="271"/>
      <c r="AP625" s="270"/>
      <c r="AQ625" s="270"/>
      <c r="AR625" s="270"/>
      <c r="AS625" s="270"/>
      <c r="AT625" s="270"/>
      <c r="AU625" s="270"/>
      <c r="AV625" s="270"/>
      <c r="AW625" s="270"/>
      <c r="AX625" s="270"/>
      <c r="AY625" s="1072"/>
      <c r="AZ625" s="270"/>
      <c r="BA625" s="270"/>
      <c r="BB625" s="1072"/>
      <c r="BC625" s="270"/>
      <c r="BD625" s="270"/>
      <c r="BE625" s="270"/>
      <c r="BF625" s="270"/>
      <c r="BG625" s="270"/>
      <c r="BH625" s="270"/>
      <c r="BI625" s="270"/>
      <c r="BJ625" s="270"/>
      <c r="BK625" s="270"/>
      <c r="BL625" s="270"/>
      <c r="BM625" s="270"/>
      <c r="BN625" s="270"/>
      <c r="BO625" s="270"/>
      <c r="BP625" s="270"/>
      <c r="BQ625" s="270"/>
      <c r="BR625" s="270"/>
      <c r="BS625" s="270"/>
      <c r="BT625" s="270"/>
      <c r="BU625" s="270"/>
      <c r="BV625" s="270"/>
      <c r="BW625" s="270"/>
      <c r="BX625" s="270"/>
      <c r="BY625" s="270"/>
      <c r="BZ625" s="270"/>
      <c r="CA625" s="270"/>
      <c r="CB625" s="270"/>
      <c r="CC625" s="270"/>
      <c r="CD625" s="270"/>
      <c r="CE625"/>
      <c r="CF625" s="1396"/>
      <c r="CG625" s="1396"/>
      <c r="CH625" s="270"/>
      <c r="CI625" s="270"/>
      <c r="CJ625" s="270"/>
      <c r="CK625" s="270"/>
      <c r="CL625" s="270"/>
      <c r="CM625" s="270"/>
    </row>
    <row r="626" spans="1:91" hidden="1" outlineLevel="2" collapsed="1" x14ac:dyDescent="0.2">
      <c r="A626" s="270"/>
      <c r="B626" s="271"/>
      <c r="C626" s="270"/>
      <c r="D626" s="270"/>
      <c r="E626" s="270"/>
      <c r="F626" s="270"/>
      <c r="G626" s="271"/>
      <c r="H626" s="270"/>
      <c r="I626" s="270"/>
      <c r="J626" s="270"/>
      <c r="K626" s="270"/>
      <c r="L626" s="270"/>
      <c r="M626" s="270"/>
      <c r="N626" s="270"/>
      <c r="O626" s="270"/>
      <c r="P626" s="270"/>
      <c r="Q626" s="270"/>
      <c r="R626" s="270"/>
      <c r="S626" s="270"/>
      <c r="T626" s="270"/>
      <c r="U626" s="1019" t="s">
        <v>1730</v>
      </c>
      <c r="V626" s="1179"/>
      <c r="W626" s="1177"/>
      <c r="X626" s="1533"/>
      <c r="Y626" s="1180" t="str">
        <f>G499</f>
        <v>Eq2</v>
      </c>
      <c r="Z626" s="1103" t="str">
        <f>IF(OR(ISNUMBER(Z627),ISNUMBER(Z628),ISNUMBER(Z629),ISNUMBER(Z630)),4-COUNTBLANK(AI627:AI630),"")</f>
        <v/>
      </c>
      <c r="AA626" s="1104" t="s">
        <v>769</v>
      </c>
      <c r="AB626" s="1103" t="str">
        <f>IF(OR(ISNUMBER(Z627),ISNUMBER(Z628),ISNUMBER(Z629),ISNUMBER(Z630)),4-COUNTBLANK(AJ627:AJ630),"")</f>
        <v/>
      </c>
      <c r="AC626" s="1211" t="str">
        <f>G500</f>
        <v>Eq3</v>
      </c>
      <c r="AD626" s="839"/>
      <c r="AE626" s="270" t="str">
        <f>IF(Z626="","",IF(Z626&gt;AB626,Y626,IF(Z626=AB626,IF(NoDrawWithWithdraw,IF(AL626=Y626,AC626,IF(AL626=AC626,Y626,"")),""),AC626)))</f>
        <v/>
      </c>
      <c r="AF626" s="270" t="str">
        <f>IF(Z626="","",IF(Z626=AB626,IF(NoDrawWithWithdraw,IF(AL626=Y626,"",IF(AL626=AC626,"",Y626)),Y626),""))</f>
        <v/>
      </c>
      <c r="AG626" s="270" t="str">
        <f>IF(Z626="","",IF(Z626=AB626,IF(NoDrawWithWithdraw,IF(AL626=Y626,"",IF(AL626=AC626,"",AC626)),AC626),""))</f>
        <v/>
      </c>
      <c r="AH626" s="270" t="str">
        <f>IF(Z626="","",IF(Z626&lt;AB626,Y626,IF(Z626=AB626,IF(NoDrawWithWithdraw,IF(AL626=Y626,Y626,IF(AL626=AC626,AC626,"")),""),AC626)))</f>
        <v/>
      </c>
      <c r="AI626" s="270" t="str">
        <f>IF(Z626="","",SUM(Z627:Z630))</f>
        <v/>
      </c>
      <c r="AJ626" s="270" t="str">
        <f>IF(Z626="","",SUM(AB627:AB630))</f>
        <v/>
      </c>
      <c r="AK626" s="270" t="str">
        <f>CONCATENATE(AE626,AH626)</f>
        <v/>
      </c>
      <c r="AL626" s="270" t="str">
        <f>IF(COUNTIF(Y627:Y630,WithdrawLabel)&gt;COUNTIF(AC627:AC630,WithdrawLabel),Y626,IF(COUNTIF(AC627:AC630,WithdrawLabel)&gt;COUNTIF(Y627:Y630,WithdrawLabel),AC626,""))</f>
        <v/>
      </c>
      <c r="AM626" s="270"/>
      <c r="AN626" s="270"/>
      <c r="AO626" s="575"/>
      <c r="AP626" s="270"/>
      <c r="AQ626" s="270"/>
      <c r="AR626" s="270"/>
      <c r="AS626" s="270"/>
      <c r="AT626" s="270"/>
      <c r="AU626" s="270"/>
      <c r="AV626" s="270"/>
      <c r="AW626" s="270"/>
      <c r="AX626" s="270"/>
      <c r="AY626" s="270"/>
      <c r="AZ626" s="270"/>
      <c r="BA626" s="270"/>
      <c r="BB626" s="270"/>
      <c r="BC626" s="270"/>
      <c r="BD626" s="270"/>
      <c r="BE626" s="270"/>
      <c r="BF626" s="270"/>
      <c r="BG626" s="270"/>
      <c r="BH626" s="270"/>
      <c r="BI626" s="270"/>
      <c r="BJ626" s="270"/>
      <c r="BK626" s="270"/>
      <c r="BL626" s="270"/>
      <c r="BM626" s="270"/>
      <c r="BN626" s="270"/>
      <c r="BO626" s="270"/>
      <c r="BP626" s="270"/>
      <c r="BQ626" s="270"/>
      <c r="BR626" s="270"/>
      <c r="BS626" s="270"/>
      <c r="BT626" s="270"/>
      <c r="BU626" s="270"/>
      <c r="BV626" s="270"/>
      <c r="BW626" s="270"/>
      <c r="BX626" s="270"/>
      <c r="BY626" s="270"/>
      <c r="BZ626" s="270"/>
      <c r="CA626" s="270"/>
      <c r="CB626" s="270"/>
      <c r="CC626" s="270"/>
      <c r="CD626" s="270"/>
      <c r="CE626"/>
      <c r="CF626" s="1396"/>
      <c r="CG626" s="1396"/>
      <c r="CH626" s="270"/>
      <c r="CI626" s="270"/>
      <c r="CJ626" s="270"/>
      <c r="CK626" s="270"/>
      <c r="CL626" s="270"/>
      <c r="CM626" s="270"/>
    </row>
    <row r="627" spans="1:91" ht="13.5" hidden="1" outlineLevel="3" thickBot="1" x14ac:dyDescent="0.25">
      <c r="A627" s="270"/>
      <c r="B627" s="271"/>
      <c r="C627" s="12"/>
      <c r="D627" s="1071"/>
      <c r="E627" s="1071"/>
      <c r="F627" s="1071"/>
      <c r="G627" s="1172"/>
      <c r="H627" s="271"/>
      <c r="I627" s="270"/>
      <c r="J627" s="270"/>
      <c r="K627" s="270"/>
      <c r="L627" s="270"/>
      <c r="M627" s="270"/>
      <c r="N627" s="270"/>
      <c r="O627" s="270"/>
      <c r="P627" s="1072"/>
      <c r="Q627" s="270"/>
      <c r="R627" s="270"/>
      <c r="S627" s="1072"/>
      <c r="T627" s="270"/>
      <c r="U627" s="1019"/>
      <c r="V627" s="1176"/>
      <c r="W627" s="1177"/>
      <c r="X627" s="1207"/>
      <c r="Y627" s="627"/>
      <c r="Z627" s="492"/>
      <c r="AA627" s="493" t="s">
        <v>769</v>
      </c>
      <c r="AB627" s="1069"/>
      <c r="AC627" s="1070"/>
      <c r="AD627" s="839"/>
      <c r="AE627" s="270" t="str">
        <f>IF(Z627="","",IF(Z627&gt;AB627,Y627,IF(Z627=AB627,"",AC627)))</f>
        <v/>
      </c>
      <c r="AF627" s="270" t="str">
        <f>IF(Z627="","",IF(Z627=AB627,Y627,""))</f>
        <v/>
      </c>
      <c r="AG627" s="270" t="str">
        <f>IF(Z627="","",IF(Z627=AB627,AC627,""))</f>
        <v/>
      </c>
      <c r="AH627" s="270" t="str">
        <f>IF(Z627="","",IF(Z627&lt;AB627,Y627,IF(Z627=AB627,"",AC627)))</f>
        <v/>
      </c>
      <c r="AI627" s="270" t="str">
        <f>IF(Z627="","",IF(Z627&gt;AB627,Y626,""))</f>
        <v/>
      </c>
      <c r="AJ627" s="270" t="str">
        <f>IF(Z627="","",IF(Z627&lt;AB627,AC626,""))</f>
        <v/>
      </c>
      <c r="AK627" s="270" t="str">
        <f>CONCATENATE(AE627,AH627)</f>
        <v/>
      </c>
      <c r="AL627" s="270"/>
      <c r="AM627" s="270"/>
      <c r="AN627" s="270"/>
      <c r="AO627" s="271"/>
      <c r="AP627" s="270"/>
      <c r="AQ627" s="270"/>
      <c r="AR627" s="270"/>
      <c r="AS627" s="270"/>
      <c r="AT627" s="270"/>
      <c r="AU627" s="270"/>
      <c r="AV627" s="270"/>
      <c r="AW627" s="270"/>
      <c r="AX627" s="270"/>
      <c r="AY627" s="1072"/>
      <c r="AZ627" s="270"/>
      <c r="BA627" s="270"/>
      <c r="BB627" s="1072"/>
      <c r="BC627" s="270"/>
      <c r="BD627" s="270"/>
      <c r="BE627" s="270"/>
      <c r="BF627" s="270"/>
      <c r="BG627" s="270"/>
      <c r="BH627" s="270"/>
      <c r="BI627" s="270"/>
      <c r="BJ627" s="270"/>
      <c r="BK627" s="270"/>
      <c r="BL627" s="270"/>
      <c r="BM627" s="270"/>
      <c r="BN627" s="270"/>
      <c r="BO627" s="270"/>
      <c r="BP627" s="270"/>
      <c r="BQ627" s="270"/>
      <c r="BR627" s="270"/>
      <c r="BS627" s="270"/>
      <c r="BT627" s="270"/>
      <c r="BU627" s="270"/>
      <c r="BV627" s="270"/>
      <c r="BW627" s="270"/>
      <c r="BX627" s="270"/>
      <c r="BY627" s="270"/>
      <c r="BZ627" s="270"/>
      <c r="CA627" s="270"/>
      <c r="CB627" s="270"/>
      <c r="CC627" s="270"/>
      <c r="CD627" s="270"/>
      <c r="CE627"/>
      <c r="CF627" s="1396"/>
      <c r="CG627" s="1396"/>
      <c r="CH627" s="270"/>
      <c r="CI627" s="270"/>
      <c r="CJ627" s="270"/>
      <c r="CK627" s="270"/>
      <c r="CL627" s="270"/>
      <c r="CM627" s="270"/>
    </row>
    <row r="628" spans="1:91" ht="13.5" hidden="1" outlineLevel="3" thickBot="1" x14ac:dyDescent="0.25">
      <c r="A628" s="270"/>
      <c r="B628" s="271"/>
      <c r="C628" s="12"/>
      <c r="D628" s="1071"/>
      <c r="E628" s="1071"/>
      <c r="F628" s="1071"/>
      <c r="G628" s="1172"/>
      <c r="H628" s="271"/>
      <c r="I628" s="270"/>
      <c r="J628" s="270"/>
      <c r="K628" s="270"/>
      <c r="L628" s="270"/>
      <c r="M628" s="270"/>
      <c r="N628" s="270"/>
      <c r="O628" s="270"/>
      <c r="P628" s="1072"/>
      <c r="Q628" s="270"/>
      <c r="R628" s="270"/>
      <c r="S628" s="1072"/>
      <c r="T628" s="270"/>
      <c r="U628" s="1019"/>
      <c r="V628" s="1176"/>
      <c r="W628" s="1177"/>
      <c r="X628" s="1207"/>
      <c r="Y628" s="627"/>
      <c r="Z628" s="492"/>
      <c r="AA628" s="493" t="s">
        <v>769</v>
      </c>
      <c r="AB628" s="1069"/>
      <c r="AC628" s="1070"/>
      <c r="AD628" s="839"/>
      <c r="AE628" s="270" t="str">
        <f>IF(Z628="","",IF(Z628&gt;AB628,Y628,IF(Z628=AB628,"",AC628)))</f>
        <v/>
      </c>
      <c r="AF628" s="270" t="str">
        <f>IF(Z628="","",IF(Z628=AB628,Y628,""))</f>
        <v/>
      </c>
      <c r="AG628" s="270" t="str">
        <f>IF(Z628="","",IF(Z628=AB628,AC628,""))</f>
        <v/>
      </c>
      <c r="AH628" s="270" t="str">
        <f>IF(Z628="","",IF(Z628&lt;AB628,Y628,IF(Z628=AB628,"",AC628)))</f>
        <v/>
      </c>
      <c r="AI628" s="270" t="str">
        <f>IF(Z628="","",IF(Z628&gt;AB628,Y626,""))</f>
        <v/>
      </c>
      <c r="AJ628" s="270" t="str">
        <f>IF(Z628="","",IF(Z628&lt;AB628,AC626,""))</f>
        <v/>
      </c>
      <c r="AK628" s="270" t="str">
        <f>CONCATENATE(AE628,AH628)</f>
        <v/>
      </c>
      <c r="AL628" s="270"/>
      <c r="AM628" s="270"/>
      <c r="AN628" s="270"/>
      <c r="AO628" s="271"/>
      <c r="AP628" s="270"/>
      <c r="AQ628" s="270"/>
      <c r="AR628" s="270"/>
      <c r="AS628" s="270"/>
      <c r="AT628" s="270"/>
      <c r="AU628" s="270"/>
      <c r="AV628" s="270"/>
      <c r="AW628" s="270"/>
      <c r="AX628" s="270"/>
      <c r="AY628" s="1072"/>
      <c r="AZ628" s="270"/>
      <c r="BA628" s="270"/>
      <c r="BB628" s="1072"/>
      <c r="BC628" s="270"/>
      <c r="BD628" s="270"/>
      <c r="BE628" s="270"/>
      <c r="BF628" s="270"/>
      <c r="BG628" s="270"/>
      <c r="BH628" s="270"/>
      <c r="BI628" s="270"/>
      <c r="BJ628" s="270"/>
      <c r="BK628" s="270"/>
      <c r="BL628" s="270"/>
      <c r="BM628" s="270"/>
      <c r="BN628" s="270"/>
      <c r="BO628" s="270"/>
      <c r="BP628" s="270"/>
      <c r="BQ628" s="270"/>
      <c r="BR628" s="270"/>
      <c r="BS628" s="270"/>
      <c r="BT628" s="270"/>
      <c r="BU628" s="270"/>
      <c r="BV628" s="270"/>
      <c r="BW628" s="270"/>
      <c r="BX628" s="270"/>
      <c r="BY628" s="270"/>
      <c r="BZ628" s="270"/>
      <c r="CA628" s="270"/>
      <c r="CB628" s="270"/>
      <c r="CC628" s="270"/>
      <c r="CD628" s="270"/>
      <c r="CE628"/>
      <c r="CF628" s="1396"/>
      <c r="CG628" s="1396"/>
      <c r="CH628" s="270"/>
      <c r="CI628" s="270"/>
      <c r="CJ628" s="270"/>
      <c r="CK628" s="270"/>
      <c r="CL628" s="270"/>
      <c r="CM628" s="270"/>
    </row>
    <row r="629" spans="1:91" ht="13.5" hidden="1" outlineLevel="3" thickBot="1" x14ac:dyDescent="0.25">
      <c r="A629" s="270"/>
      <c r="B629" s="271"/>
      <c r="C629" s="12"/>
      <c r="D629" s="1071"/>
      <c r="E629" s="1071"/>
      <c r="F629" s="1071"/>
      <c r="G629" s="1172"/>
      <c r="H629" s="271"/>
      <c r="I629" s="270"/>
      <c r="J629" s="270"/>
      <c r="K629" s="270"/>
      <c r="L629" s="270"/>
      <c r="M629" s="270"/>
      <c r="N629" s="270"/>
      <c r="O629" s="270"/>
      <c r="P629" s="1072"/>
      <c r="Q629" s="270"/>
      <c r="R629" s="270"/>
      <c r="S629" s="1072"/>
      <c r="T629" s="270"/>
      <c r="U629" s="1019"/>
      <c r="V629" s="1176"/>
      <c r="W629" s="1177"/>
      <c r="X629" s="1207"/>
      <c r="Y629" s="627"/>
      <c r="Z629" s="492"/>
      <c r="AA629" s="493" t="s">
        <v>769</v>
      </c>
      <c r="AB629" s="1069"/>
      <c r="AC629" s="1070"/>
      <c r="AD629" s="839"/>
      <c r="AE629" s="270" t="str">
        <f>IF(Z629="","",IF(Z629&gt;AB629,Y629,IF(Z629=AB629,"",AC629)))</f>
        <v/>
      </c>
      <c r="AF629" s="270" t="str">
        <f>IF(Z629="","",IF(Z629=AB629,Y629,""))</f>
        <v/>
      </c>
      <c r="AG629" s="270" t="str">
        <f>IF(Z629="","",IF(Z629=AB629,AC629,""))</f>
        <v/>
      </c>
      <c r="AH629" s="270" t="str">
        <f>IF(Z629="","",IF(Z629&lt;AB629,Y629,IF(Z629=AB629,"",AC629)))</f>
        <v/>
      </c>
      <c r="AI629" s="270" t="str">
        <f>IF(Z629="","",IF(Z629&gt;AB629,Y626,""))</f>
        <v/>
      </c>
      <c r="AJ629" s="270" t="str">
        <f>IF(Z629="","",IF(Z629&lt;AB629,AC626,""))</f>
        <v/>
      </c>
      <c r="AK629" s="270" t="str">
        <f>CONCATENATE(AE629,AH629)</f>
        <v/>
      </c>
      <c r="AL629" s="270"/>
      <c r="AM629" s="270"/>
      <c r="AN629" s="270"/>
      <c r="AO629" s="271"/>
      <c r="AP629" s="270"/>
      <c r="AQ629" s="270"/>
      <c r="AR629" s="270"/>
      <c r="AS629" s="270"/>
      <c r="AT629" s="270"/>
      <c r="AU629" s="270"/>
      <c r="AV629" s="270"/>
      <c r="AW629" s="270"/>
      <c r="AX629" s="270"/>
      <c r="AY629" s="1072"/>
      <c r="AZ629" s="270"/>
      <c r="BA629" s="270"/>
      <c r="BB629" s="1072"/>
      <c r="BC629" s="270"/>
      <c r="BD629" s="270"/>
      <c r="BE629" s="270"/>
      <c r="BF629" s="270"/>
      <c r="BG629" s="270"/>
      <c r="BH629" s="270"/>
      <c r="BI629" s="270"/>
      <c r="BJ629" s="270"/>
      <c r="BK629" s="270"/>
      <c r="BL629" s="270"/>
      <c r="BM629" s="270"/>
      <c r="BN629" s="270"/>
      <c r="BO629" s="270"/>
      <c r="BP629" s="270"/>
      <c r="BQ629" s="270"/>
      <c r="BR629" s="270"/>
      <c r="BS629" s="270"/>
      <c r="BT629" s="270"/>
      <c r="BU629" s="270"/>
      <c r="BV629" s="270"/>
      <c r="BW629" s="270"/>
      <c r="BX629" s="270"/>
      <c r="BY629" s="270"/>
      <c r="BZ629" s="270"/>
      <c r="CA629" s="270"/>
      <c r="CB629" s="270"/>
      <c r="CC629" s="270"/>
      <c r="CD629" s="270"/>
      <c r="CE629"/>
      <c r="CF629" s="1396"/>
      <c r="CG629" s="1396"/>
      <c r="CH629" s="270"/>
      <c r="CI629" s="270"/>
      <c r="CJ629" s="270"/>
      <c r="CK629" s="270"/>
      <c r="CL629" s="270"/>
      <c r="CM629" s="270"/>
    </row>
    <row r="630" spans="1:91" ht="13.5" hidden="1" outlineLevel="3" thickBot="1" x14ac:dyDescent="0.25">
      <c r="A630" s="270"/>
      <c r="B630" s="271"/>
      <c r="C630" s="12"/>
      <c r="D630" s="1071"/>
      <c r="E630" s="1071"/>
      <c r="F630" s="1071"/>
      <c r="G630" s="1172"/>
      <c r="H630" s="271"/>
      <c r="I630" s="270"/>
      <c r="J630" s="270"/>
      <c r="K630" s="270"/>
      <c r="L630" s="270"/>
      <c r="M630" s="270"/>
      <c r="N630" s="270"/>
      <c r="O630" s="270"/>
      <c r="P630" s="1072"/>
      <c r="Q630" s="270"/>
      <c r="R630" s="270"/>
      <c r="S630" s="1072"/>
      <c r="T630" s="270"/>
      <c r="U630" s="1019"/>
      <c r="V630" s="1176"/>
      <c r="W630" s="1177"/>
      <c r="X630" s="1207"/>
      <c r="Y630" s="627"/>
      <c r="Z630" s="492"/>
      <c r="AA630" s="493" t="s">
        <v>769</v>
      </c>
      <c r="AB630" s="1069"/>
      <c r="AC630" s="1070"/>
      <c r="AD630" s="839"/>
      <c r="AE630" s="270" t="str">
        <f>IF(Z630="","",IF(Z630&gt;AB630,Y630,IF(Z630=AB630,"",AC630)))</f>
        <v/>
      </c>
      <c r="AF630" s="270" t="str">
        <f>IF(Z630="","",IF(Z630=AB630,Y630,""))</f>
        <v/>
      </c>
      <c r="AG630" s="270" t="str">
        <f>IF(Z630="","",IF(Z630=AB630,AC630,""))</f>
        <v/>
      </c>
      <c r="AH630" s="270" t="str">
        <f>IF(Z630="","",IF(Z630&lt;AB630,Y630,IF(Z630=AB630,"",AC630)))</f>
        <v/>
      </c>
      <c r="AI630" s="270" t="str">
        <f>IF(Z630="","",IF(Z630&gt;AB630,Y626,""))</f>
        <v/>
      </c>
      <c r="AJ630" s="270" t="str">
        <f>IF(Z630="","",IF(Z630&lt;AB630,AC626,""))</f>
        <v/>
      </c>
      <c r="AK630" s="270" t="str">
        <f>CONCATENATE(AE630,AH630)</f>
        <v/>
      </c>
      <c r="AL630" s="270"/>
      <c r="AM630" s="270"/>
      <c r="AN630" s="270"/>
      <c r="AO630" s="271"/>
      <c r="AP630" s="270"/>
      <c r="AQ630" s="270"/>
      <c r="AR630" s="270"/>
      <c r="AS630" s="270"/>
      <c r="AT630" s="270"/>
      <c r="AU630" s="270"/>
      <c r="AV630" s="270"/>
      <c r="AW630" s="270"/>
      <c r="AX630" s="270"/>
      <c r="AY630" s="1072"/>
      <c r="AZ630" s="270"/>
      <c r="BA630" s="270"/>
      <c r="BB630" s="1072"/>
      <c r="BC630" s="270"/>
      <c r="BD630" s="270"/>
      <c r="BE630" s="270"/>
      <c r="BF630" s="270"/>
      <c r="BG630" s="270"/>
      <c r="BH630" s="270"/>
      <c r="BI630" s="270"/>
      <c r="BJ630" s="270"/>
      <c r="BK630" s="270"/>
      <c r="BL630" s="270"/>
      <c r="BM630" s="270"/>
      <c r="BN630" s="270"/>
      <c r="BO630" s="270"/>
      <c r="BP630" s="270"/>
      <c r="BQ630" s="270"/>
      <c r="BR630" s="270"/>
      <c r="BS630" s="270"/>
      <c r="BT630" s="270"/>
      <c r="BU630" s="270"/>
      <c r="BV630" s="270"/>
      <c r="BW630" s="270"/>
      <c r="BX630" s="270"/>
      <c r="BY630" s="270"/>
      <c r="BZ630" s="270"/>
      <c r="CA630" s="270"/>
      <c r="CB630" s="270"/>
      <c r="CC630" s="270"/>
      <c r="CD630" s="270"/>
      <c r="CE630"/>
      <c r="CF630" s="1396"/>
      <c r="CG630" s="1396"/>
      <c r="CH630" s="270"/>
      <c r="CI630" s="270"/>
      <c r="CJ630" s="270"/>
      <c r="CK630" s="270"/>
      <c r="CL630" s="270"/>
      <c r="CM630" s="270"/>
    </row>
    <row r="631" spans="1:91" ht="13.5" hidden="1" outlineLevel="3" thickBot="1" x14ac:dyDescent="0.25">
      <c r="A631" s="270"/>
      <c r="B631" s="271"/>
      <c r="C631" s="12"/>
      <c r="D631" s="1071"/>
      <c r="E631" s="1071"/>
      <c r="F631" s="1071"/>
      <c r="G631" s="626"/>
      <c r="H631" s="271"/>
      <c r="I631" s="270"/>
      <c r="J631" s="270"/>
      <c r="K631" s="270"/>
      <c r="L631" s="270"/>
      <c r="M631" s="270"/>
      <c r="N631" s="270"/>
      <c r="O631" s="270"/>
      <c r="P631" s="1072"/>
      <c r="Q631" s="270"/>
      <c r="R631" s="270"/>
      <c r="S631" s="1072"/>
      <c r="T631" s="270"/>
      <c r="U631" s="1019"/>
      <c r="V631" s="1073"/>
      <c r="W631" s="1074"/>
      <c r="X631" s="1075" t="str">
        <f>N_Substitute</f>
        <v>Remplaçant</v>
      </c>
      <c r="Y631" s="627"/>
      <c r="Z631" s="492"/>
      <c r="AA631" s="1076"/>
      <c r="AB631" s="1069"/>
      <c r="AC631" s="1070"/>
      <c r="AD631" s="839"/>
      <c r="AE631" s="270"/>
      <c r="AF631" s="270"/>
      <c r="AG631" s="270"/>
      <c r="AH631" s="270"/>
      <c r="AI631" s="270"/>
      <c r="AJ631" s="270"/>
      <c r="AK631" s="270"/>
      <c r="AL631" s="270"/>
      <c r="AM631" s="270"/>
      <c r="AN631" s="270"/>
      <c r="AO631" s="271"/>
      <c r="AP631" s="270"/>
      <c r="AQ631" s="270"/>
      <c r="AR631" s="270"/>
      <c r="AS631" s="270"/>
      <c r="AT631" s="270"/>
      <c r="AU631" s="270"/>
      <c r="AV631" s="270"/>
      <c r="AW631" s="270"/>
      <c r="AX631" s="270"/>
      <c r="AY631" s="1072"/>
      <c r="AZ631" s="270"/>
      <c r="BA631" s="270"/>
      <c r="BB631" s="1072"/>
      <c r="BC631" s="270"/>
      <c r="BD631" s="270"/>
      <c r="BE631" s="270"/>
      <c r="BF631" s="270"/>
      <c r="BG631" s="270"/>
      <c r="BH631" s="270"/>
      <c r="BI631" s="270"/>
      <c r="BJ631" s="270"/>
      <c r="BK631" s="270"/>
      <c r="BL631" s="270"/>
      <c r="BM631" s="270"/>
      <c r="BN631" s="270"/>
      <c r="BO631" s="270"/>
      <c r="BP631" s="270"/>
      <c r="BQ631" s="270"/>
      <c r="BR631" s="270"/>
      <c r="BS631" s="270"/>
      <c r="BT631" s="270"/>
      <c r="BU631" s="270"/>
      <c r="BV631" s="270"/>
      <c r="BW631" s="270"/>
      <c r="BX631" s="270"/>
      <c r="BY631" s="270"/>
      <c r="BZ631" s="270"/>
      <c r="CA631" s="270"/>
      <c r="CB631" s="270"/>
      <c r="CC631" s="270"/>
      <c r="CD631" s="270"/>
      <c r="CE631"/>
      <c r="CF631" s="1396"/>
      <c r="CG631" s="1396"/>
      <c r="CH631" s="270"/>
      <c r="CI631" s="270"/>
      <c r="CJ631" s="270"/>
      <c r="CK631" s="270"/>
      <c r="CL631" s="270"/>
      <c r="CM631" s="270"/>
    </row>
    <row r="632" spans="1:91" ht="13.5" hidden="1" outlineLevel="3" thickBot="1" x14ac:dyDescent="0.25">
      <c r="A632" s="270"/>
      <c r="B632" s="271"/>
      <c r="C632" s="12"/>
      <c r="D632" s="1071"/>
      <c r="E632" s="1071"/>
      <c r="F632" s="1071"/>
      <c r="G632" s="626"/>
      <c r="H632" s="271"/>
      <c r="I632" s="270"/>
      <c r="J632" s="270"/>
      <c r="K632" s="270"/>
      <c r="L632" s="270"/>
      <c r="M632" s="270"/>
      <c r="N632" s="270"/>
      <c r="O632" s="270"/>
      <c r="P632" s="1072"/>
      <c r="Q632" s="270"/>
      <c r="R632" s="270"/>
      <c r="S632" s="1072"/>
      <c r="T632" s="270"/>
      <c r="U632" s="1019"/>
      <c r="V632" s="1119"/>
      <c r="W632" s="1120"/>
      <c r="X632" s="1075" t="str">
        <f>N_Substitute</f>
        <v>Remplaçant</v>
      </c>
      <c r="Y632" s="627"/>
      <c r="Z632" s="492"/>
      <c r="AA632" s="1121"/>
      <c r="AB632" s="1069"/>
      <c r="AC632" s="1070"/>
      <c r="AD632" s="839"/>
      <c r="AE632" s="270"/>
      <c r="AF632" s="270"/>
      <c r="AG632" s="270"/>
      <c r="AH632" s="270"/>
      <c r="AI632" s="270"/>
      <c r="AJ632" s="270"/>
      <c r="AK632" s="270"/>
      <c r="AL632" s="270"/>
      <c r="AM632" s="270"/>
      <c r="AN632" s="270"/>
      <c r="AO632" s="271"/>
      <c r="AP632" s="270"/>
      <c r="AQ632" s="270"/>
      <c r="AR632" s="270"/>
      <c r="AS632" s="270"/>
      <c r="AT632" s="270"/>
      <c r="AU632" s="270"/>
      <c r="AV632" s="270"/>
      <c r="AW632" s="270"/>
      <c r="AX632" s="270"/>
      <c r="AY632" s="1072"/>
      <c r="AZ632" s="270"/>
      <c r="BA632" s="270"/>
      <c r="BB632" s="1072"/>
      <c r="BC632" s="270"/>
      <c r="BD632" s="270"/>
      <c r="BE632" s="270"/>
      <c r="BF632" s="270"/>
      <c r="BG632" s="270"/>
      <c r="BH632" s="270"/>
      <c r="BI632" s="270"/>
      <c r="BJ632" s="270"/>
      <c r="BK632" s="270"/>
      <c r="BL632" s="270"/>
      <c r="BM632" s="270"/>
      <c r="BN632" s="270"/>
      <c r="BO632" s="270"/>
      <c r="BP632" s="270"/>
      <c r="BQ632" s="270"/>
      <c r="BR632" s="270"/>
      <c r="BS632" s="270"/>
      <c r="BT632" s="270"/>
      <c r="BU632" s="270"/>
      <c r="BV632" s="270"/>
      <c r="BW632" s="270"/>
      <c r="BX632" s="270"/>
      <c r="BY632" s="270"/>
      <c r="BZ632" s="270"/>
      <c r="CA632" s="270"/>
      <c r="CB632" s="270"/>
      <c r="CC632" s="270"/>
      <c r="CD632" s="270"/>
      <c r="CE632"/>
      <c r="CF632" s="1396"/>
      <c r="CG632" s="1396"/>
      <c r="CH632" s="270"/>
      <c r="CI632" s="270"/>
      <c r="CJ632" s="270"/>
      <c r="CK632" s="270"/>
      <c r="CL632" s="270"/>
      <c r="CM632" s="270"/>
    </row>
    <row r="633" spans="1:91" hidden="1" outlineLevel="2" collapsed="1" x14ac:dyDescent="0.2">
      <c r="A633" s="270"/>
      <c r="B633" s="271"/>
      <c r="C633" s="270"/>
      <c r="D633" s="270"/>
      <c r="E633" s="270"/>
      <c r="F633" s="270"/>
      <c r="G633" s="271"/>
      <c r="H633" s="270"/>
      <c r="I633" s="270"/>
      <c r="J633" s="270"/>
      <c r="K633" s="270"/>
      <c r="L633" s="270"/>
      <c r="M633" s="270"/>
      <c r="N633" s="270"/>
      <c r="O633" s="270"/>
      <c r="P633" s="270"/>
      <c r="Q633" s="270"/>
      <c r="R633" s="270"/>
      <c r="S633" s="270"/>
      <c r="T633" s="270"/>
      <c r="U633" s="1019" t="s">
        <v>1730</v>
      </c>
      <c r="V633" s="1179"/>
      <c r="W633" s="1177"/>
      <c r="X633" s="1207"/>
      <c r="Y633" s="1180" t="str">
        <f>G502</f>
        <v>Eq5</v>
      </c>
      <c r="Z633" s="1123" t="str">
        <f>IF(OR(ISNUMBER(Z634),ISNUMBER(Z635),ISNUMBER(Z636),ISNUMBER(Z637)),4-COUNTBLANK(AI634:AI637),"")</f>
        <v/>
      </c>
      <c r="AA633" s="1124" t="s">
        <v>769</v>
      </c>
      <c r="AB633" s="1125" t="str">
        <f>IF(OR(ISNUMBER(Z634),ISNUMBER(Z635),ISNUMBER(Z636),ISNUMBER(Z637)),4-COUNTBLANK(AJ634:AJ637),"")</f>
        <v/>
      </c>
      <c r="AC633" s="1185" t="str">
        <f>G504</f>
        <v>Eq7</v>
      </c>
      <c r="AD633" s="839"/>
      <c r="AE633" s="270" t="str">
        <f>IF(Z633="","",IF(Z633&gt;AB633,Y633,IF(Z633=AB633,IF(NoDrawWithWithdraw,IF(AL633=Y633,AC633,IF(AL633=AC633,Y633,"")),""),AC633)))</f>
        <v/>
      </c>
      <c r="AF633" s="270" t="str">
        <f>IF(Z633="","",IF(Z633=AB633,IF(NoDrawWithWithdraw,IF(AL633=Y633,"",IF(AL633=AC633,"",Y633)),Y633),""))</f>
        <v/>
      </c>
      <c r="AG633" s="270" t="str">
        <f>IF(Z633="","",IF(Z633=AB633,IF(NoDrawWithWithdraw,IF(AL633=Y633,"",IF(AL633=AC633,"",AC633)),AC633),""))</f>
        <v/>
      </c>
      <c r="AH633" s="270" t="str">
        <f>IF(Z633="","",IF(Z633&lt;AB633,Y633,IF(Z633=AB633,IF(NoDrawWithWithdraw,IF(AL633=Y633,Y633,IF(AL633=AC633,AC633,"")),""),AC633)))</f>
        <v/>
      </c>
      <c r="AI633" s="270" t="str">
        <f>IF(Z633="","",SUM(Z634:Z637))</f>
        <v/>
      </c>
      <c r="AJ633" s="270" t="str">
        <f>IF(Z633="","",SUM(AB634:AB637))</f>
        <v/>
      </c>
      <c r="AK633" s="270" t="str">
        <f>CONCATENATE(AE633,AH633)</f>
        <v/>
      </c>
      <c r="AL633" s="270" t="str">
        <f>IF(COUNTIF(Y634:Y637,WithdrawLabel)&gt;COUNTIF(AC634:AC637,WithdrawLabel),Y633,IF(COUNTIF(AC634:AC637,WithdrawLabel)&gt;COUNTIF(Y634:Y637,WithdrawLabel),AC633,""))</f>
        <v/>
      </c>
      <c r="AM633" s="270"/>
      <c r="AN633" s="270"/>
      <c r="AO633" s="575"/>
      <c r="AP633" s="270"/>
      <c r="AQ633" s="270"/>
      <c r="AR633" s="270"/>
      <c r="AS633" s="270"/>
      <c r="AT633" s="270"/>
      <c r="AU633" s="270"/>
      <c r="AV633" s="270"/>
      <c r="AW633" s="270"/>
      <c r="AX633" s="270"/>
      <c r="AY633" s="270"/>
      <c r="AZ633" s="270"/>
      <c r="BA633" s="270"/>
      <c r="BB633" s="270"/>
      <c r="BC633" s="270"/>
      <c r="BD633" s="270"/>
      <c r="BE633" s="270"/>
      <c r="BF633" s="270"/>
      <c r="BG633" s="270"/>
      <c r="BH633" s="270"/>
      <c r="BI633" s="270"/>
      <c r="BJ633" s="270"/>
      <c r="BK633" s="270"/>
      <c r="BL633" s="270"/>
      <c r="BM633" s="270"/>
      <c r="BN633" s="270"/>
      <c r="BO633" s="270"/>
      <c r="BP633" s="270"/>
      <c r="BQ633" s="270"/>
      <c r="BR633" s="270"/>
      <c r="BS633" s="270"/>
      <c r="BT633" s="270"/>
      <c r="BU633" s="270"/>
      <c r="BV633" s="270"/>
      <c r="BW633" s="270"/>
      <c r="BX633" s="270"/>
      <c r="BY633" s="270"/>
      <c r="BZ633" s="270"/>
      <c r="CA633" s="270"/>
      <c r="CB633" s="270"/>
      <c r="CC633" s="270"/>
      <c r="CD633" s="270"/>
      <c r="CE633"/>
      <c r="CF633" s="1396"/>
      <c r="CG633" s="1396"/>
      <c r="CH633" s="270"/>
      <c r="CI633" s="270"/>
      <c r="CJ633" s="270"/>
      <c r="CK633" s="270"/>
      <c r="CL633" s="270"/>
      <c r="CM633" s="270"/>
    </row>
    <row r="634" spans="1:91" ht="13.5" hidden="1" outlineLevel="3" thickBot="1" x14ac:dyDescent="0.25">
      <c r="A634" s="270"/>
      <c r="B634" s="271"/>
      <c r="C634" s="12"/>
      <c r="D634" s="1071"/>
      <c r="E634" s="1071"/>
      <c r="F634" s="1071"/>
      <c r="G634" s="1172"/>
      <c r="H634" s="271"/>
      <c r="I634" s="270"/>
      <c r="J634" s="270"/>
      <c r="K634" s="270"/>
      <c r="L634" s="270"/>
      <c r="M634" s="270"/>
      <c r="N634" s="270"/>
      <c r="O634" s="270"/>
      <c r="P634" s="1072"/>
      <c r="Q634" s="270"/>
      <c r="R634" s="270"/>
      <c r="S634" s="1072"/>
      <c r="T634" s="270"/>
      <c r="U634" s="1019"/>
      <c r="V634" s="1176"/>
      <c r="W634" s="1177"/>
      <c r="X634" s="1207"/>
      <c r="Y634" s="627"/>
      <c r="Z634" s="492"/>
      <c r="AA634" s="493" t="s">
        <v>769</v>
      </c>
      <c r="AB634" s="1069"/>
      <c r="AC634" s="1070"/>
      <c r="AD634" s="839"/>
      <c r="AE634" s="270" t="str">
        <f>IF(Z634="","",IF(Z634&gt;AB634,Y634,IF(Z634=AB634,"",AC634)))</f>
        <v/>
      </c>
      <c r="AF634" s="270" t="str">
        <f>IF(Z634="","",IF(Z634=AB634,Y634,""))</f>
        <v/>
      </c>
      <c r="AG634" s="270" t="str">
        <f>IF(Z634="","",IF(Z634=AB634,AC634,""))</f>
        <v/>
      </c>
      <c r="AH634" s="270" t="str">
        <f>IF(Z634="","",IF(Z634&lt;AB634,Y634,IF(Z634=AB634,"",AC634)))</f>
        <v/>
      </c>
      <c r="AI634" s="270" t="str">
        <f>IF(Z634="","",IF(Z634&gt;AB634,Y633,""))</f>
        <v/>
      </c>
      <c r="AJ634" s="270" t="str">
        <f>IF(Z634="","",IF(Z634&lt;AB634,AC633,""))</f>
        <v/>
      </c>
      <c r="AK634" s="270" t="str">
        <f>CONCATENATE(AE634,AH634)</f>
        <v/>
      </c>
      <c r="AL634" s="270"/>
      <c r="AM634" s="270"/>
      <c r="AN634" s="270"/>
      <c r="AO634" s="271"/>
      <c r="AP634" s="270"/>
      <c r="AQ634" s="270"/>
      <c r="AR634" s="270"/>
      <c r="AS634" s="270"/>
      <c r="AT634" s="270"/>
      <c r="AU634" s="270"/>
      <c r="AV634" s="270"/>
      <c r="AW634" s="270"/>
      <c r="AX634" s="270"/>
      <c r="AY634" s="1072"/>
      <c r="AZ634" s="270"/>
      <c r="BA634" s="270"/>
      <c r="BB634" s="1072"/>
      <c r="BC634" s="270"/>
      <c r="BD634" s="270"/>
      <c r="BE634" s="270"/>
      <c r="BF634" s="270"/>
      <c r="BG634" s="270"/>
      <c r="BH634" s="270"/>
      <c r="BI634" s="270"/>
      <c r="BJ634" s="270"/>
      <c r="BK634" s="270"/>
      <c r="BL634" s="270"/>
      <c r="BM634" s="270"/>
      <c r="BN634" s="270"/>
      <c r="BO634" s="270"/>
      <c r="BP634" s="270"/>
      <c r="BQ634" s="270"/>
      <c r="BR634" s="270"/>
      <c r="BS634" s="270"/>
      <c r="BT634" s="270"/>
      <c r="BU634" s="270"/>
      <c r="BV634" s="270"/>
      <c r="BW634" s="270"/>
      <c r="BX634" s="270"/>
      <c r="BY634" s="270"/>
      <c r="BZ634" s="270"/>
      <c r="CA634" s="270"/>
      <c r="CB634" s="270"/>
      <c r="CC634" s="270"/>
      <c r="CD634" s="270"/>
      <c r="CE634"/>
      <c r="CF634" s="1396"/>
      <c r="CG634" s="1396"/>
      <c r="CH634" s="270"/>
      <c r="CI634" s="270"/>
      <c r="CJ634" s="270"/>
      <c r="CK634" s="270"/>
      <c r="CL634" s="270"/>
      <c r="CM634" s="270"/>
    </row>
    <row r="635" spans="1:91" ht="13.5" hidden="1" outlineLevel="3" thickBot="1" x14ac:dyDescent="0.25">
      <c r="A635" s="270"/>
      <c r="B635" s="271"/>
      <c r="C635" s="12"/>
      <c r="D635" s="1071"/>
      <c r="E635" s="1071"/>
      <c r="F635" s="1071"/>
      <c r="G635" s="1172"/>
      <c r="H635" s="271"/>
      <c r="I635" s="270"/>
      <c r="J635" s="270"/>
      <c r="K635" s="270"/>
      <c r="L635" s="270"/>
      <c r="M635" s="270"/>
      <c r="N635" s="270"/>
      <c r="O635" s="270"/>
      <c r="P635" s="1072"/>
      <c r="Q635" s="270"/>
      <c r="R635" s="270"/>
      <c r="S635" s="1072"/>
      <c r="T635" s="270"/>
      <c r="U635" s="1019"/>
      <c r="V635" s="1176"/>
      <c r="W635" s="1177"/>
      <c r="X635" s="1207"/>
      <c r="Y635" s="627"/>
      <c r="Z635" s="492"/>
      <c r="AA635" s="493" t="s">
        <v>769</v>
      </c>
      <c r="AB635" s="1069"/>
      <c r="AC635" s="1070"/>
      <c r="AD635" s="839"/>
      <c r="AE635" s="270" t="str">
        <f>IF(Z635="","",IF(Z635&gt;AB635,Y635,IF(Z635=AB635,"",AC635)))</f>
        <v/>
      </c>
      <c r="AF635" s="270" t="str">
        <f>IF(Z635="","",IF(Z635=AB635,Y635,""))</f>
        <v/>
      </c>
      <c r="AG635" s="270" t="str">
        <f>IF(Z635="","",IF(Z635=AB635,AC635,""))</f>
        <v/>
      </c>
      <c r="AH635" s="270" t="str">
        <f>IF(Z635="","",IF(Z635&lt;AB635,Y635,IF(Z635=AB635,"",AC635)))</f>
        <v/>
      </c>
      <c r="AI635" s="270" t="str">
        <f>IF(Z635="","",IF(Z635&gt;AB635,Y633,""))</f>
        <v/>
      </c>
      <c r="AJ635" s="270" t="str">
        <f>IF(Z635="","",IF(Z635&lt;AB635,AC633,""))</f>
        <v/>
      </c>
      <c r="AK635" s="270" t="str">
        <f>CONCATENATE(AE635,AH635)</f>
        <v/>
      </c>
      <c r="AL635" s="270"/>
      <c r="AM635" s="270"/>
      <c r="AN635" s="270"/>
      <c r="AO635" s="271"/>
      <c r="AP635" s="270"/>
      <c r="AQ635" s="270"/>
      <c r="AR635" s="270"/>
      <c r="AS635" s="270"/>
      <c r="AT635" s="270"/>
      <c r="AU635" s="270"/>
      <c r="AV635" s="270"/>
      <c r="AW635" s="270"/>
      <c r="AX635" s="270"/>
      <c r="AY635" s="1072"/>
      <c r="AZ635" s="270"/>
      <c r="BA635" s="270"/>
      <c r="BB635" s="1072"/>
      <c r="BC635" s="270"/>
      <c r="BD635" s="270"/>
      <c r="BE635" s="270"/>
      <c r="BF635" s="270"/>
      <c r="BG635" s="270"/>
      <c r="BH635" s="270"/>
      <c r="BI635" s="270"/>
      <c r="BJ635" s="270"/>
      <c r="BK635" s="270"/>
      <c r="BL635" s="270"/>
      <c r="BM635" s="270"/>
      <c r="BN635" s="270"/>
      <c r="BO635" s="270"/>
      <c r="BP635" s="270"/>
      <c r="BQ635" s="270"/>
      <c r="BR635" s="270"/>
      <c r="BS635" s="270"/>
      <c r="BT635" s="270"/>
      <c r="BU635" s="270"/>
      <c r="BV635" s="270"/>
      <c r="BW635" s="270"/>
      <c r="BX635" s="270"/>
      <c r="BY635" s="270"/>
      <c r="BZ635" s="270"/>
      <c r="CA635" s="270"/>
      <c r="CB635" s="270"/>
      <c r="CC635" s="270"/>
      <c r="CD635" s="270"/>
      <c r="CE635"/>
      <c r="CF635" s="1396"/>
      <c r="CG635" s="1396"/>
      <c r="CH635" s="270"/>
      <c r="CI635" s="270"/>
      <c r="CJ635" s="270"/>
      <c r="CK635" s="270"/>
      <c r="CL635" s="270"/>
      <c r="CM635" s="270"/>
    </row>
    <row r="636" spans="1:91" ht="13.5" hidden="1" outlineLevel="3" thickBot="1" x14ac:dyDescent="0.25">
      <c r="A636" s="270"/>
      <c r="B636" s="271"/>
      <c r="C636" s="12"/>
      <c r="D636" s="1071"/>
      <c r="E636" s="1071"/>
      <c r="F636" s="1071"/>
      <c r="G636" s="1172"/>
      <c r="H636" s="271"/>
      <c r="I636" s="270"/>
      <c r="J636" s="270"/>
      <c r="K636" s="270"/>
      <c r="L636" s="270"/>
      <c r="M636" s="270"/>
      <c r="N636" s="270"/>
      <c r="O636" s="270"/>
      <c r="P636" s="1072"/>
      <c r="Q636" s="270"/>
      <c r="R636" s="270"/>
      <c r="S636" s="1072"/>
      <c r="T636" s="270"/>
      <c r="U636" s="1019"/>
      <c r="V636" s="1176"/>
      <c r="W636" s="1177"/>
      <c r="X636" s="1207"/>
      <c r="Y636" s="627"/>
      <c r="Z636" s="492"/>
      <c r="AA636" s="493" t="s">
        <v>769</v>
      </c>
      <c r="AB636" s="1069"/>
      <c r="AC636" s="1070"/>
      <c r="AD636" s="839"/>
      <c r="AE636" s="270" t="str">
        <f>IF(Z636="","",IF(Z636&gt;AB636,Y636,IF(Z636=AB636,"",AC636)))</f>
        <v/>
      </c>
      <c r="AF636" s="270" t="str">
        <f>IF(Z636="","",IF(Z636=AB636,Y636,""))</f>
        <v/>
      </c>
      <c r="AG636" s="270" t="str">
        <f>IF(Z636="","",IF(Z636=AB636,AC636,""))</f>
        <v/>
      </c>
      <c r="AH636" s="270" t="str">
        <f>IF(Z636="","",IF(Z636&lt;AB636,Y636,IF(Z636=AB636,"",AC636)))</f>
        <v/>
      </c>
      <c r="AI636" s="270" t="str">
        <f>IF(Z636="","",IF(Z636&gt;AB636,Y633,""))</f>
        <v/>
      </c>
      <c r="AJ636" s="270" t="str">
        <f>IF(Z636="","",IF(Z636&lt;AB636,AC633,""))</f>
        <v/>
      </c>
      <c r="AK636" s="270" t="str">
        <f>CONCATENATE(AE636,AH636)</f>
        <v/>
      </c>
      <c r="AL636" s="270"/>
      <c r="AM636" s="270"/>
      <c r="AN636" s="270"/>
      <c r="AO636" s="271"/>
      <c r="AP636" s="270"/>
      <c r="AQ636" s="270"/>
      <c r="AR636" s="270"/>
      <c r="AS636" s="270"/>
      <c r="AT636" s="270"/>
      <c r="AU636" s="270"/>
      <c r="AV636" s="270"/>
      <c r="AW636" s="270"/>
      <c r="AX636" s="270"/>
      <c r="AY636" s="1072"/>
      <c r="AZ636" s="270"/>
      <c r="BA636" s="270"/>
      <c r="BB636" s="1072"/>
      <c r="BC636" s="270"/>
      <c r="BD636" s="270"/>
      <c r="BE636" s="270"/>
      <c r="BF636" s="270"/>
      <c r="BG636" s="270"/>
      <c r="BH636" s="270"/>
      <c r="BI636" s="270"/>
      <c r="BJ636" s="270"/>
      <c r="BK636" s="270"/>
      <c r="BL636" s="270"/>
      <c r="BM636" s="270"/>
      <c r="BN636" s="270"/>
      <c r="BO636" s="270"/>
      <c r="BP636" s="270"/>
      <c r="BQ636" s="270"/>
      <c r="BR636" s="270"/>
      <c r="BS636" s="270"/>
      <c r="BT636" s="270"/>
      <c r="BU636" s="270"/>
      <c r="BV636" s="270"/>
      <c r="BW636" s="270"/>
      <c r="BX636" s="270"/>
      <c r="BY636" s="270"/>
      <c r="BZ636" s="270"/>
      <c r="CA636" s="270"/>
      <c r="CB636" s="270"/>
      <c r="CC636" s="270"/>
      <c r="CD636" s="270"/>
      <c r="CE636"/>
      <c r="CF636" s="1396"/>
      <c r="CG636" s="1396"/>
      <c r="CH636" s="270"/>
      <c r="CI636" s="270"/>
      <c r="CJ636" s="270"/>
      <c r="CK636" s="270"/>
      <c r="CL636" s="270"/>
      <c r="CM636" s="270"/>
    </row>
    <row r="637" spans="1:91" ht="13.5" hidden="1" outlineLevel="3" thickBot="1" x14ac:dyDescent="0.25">
      <c r="A637" s="270"/>
      <c r="B637" s="271"/>
      <c r="C637" s="12"/>
      <c r="D637" s="1071"/>
      <c r="E637" s="1071"/>
      <c r="F637" s="1071"/>
      <c r="G637" s="1172"/>
      <c r="H637" s="271"/>
      <c r="I637" s="270"/>
      <c r="J637" s="270"/>
      <c r="K637" s="270"/>
      <c r="L637" s="270"/>
      <c r="M637" s="270"/>
      <c r="N637" s="270"/>
      <c r="O637" s="270"/>
      <c r="P637" s="1072"/>
      <c r="Q637" s="270"/>
      <c r="R637" s="270"/>
      <c r="S637" s="1072"/>
      <c r="T637" s="270"/>
      <c r="U637" s="1019"/>
      <c r="V637" s="1176"/>
      <c r="W637" s="1177"/>
      <c r="X637" s="1207"/>
      <c r="Y637" s="627"/>
      <c r="Z637" s="492"/>
      <c r="AA637" s="493" t="s">
        <v>769</v>
      </c>
      <c r="AB637" s="1069"/>
      <c r="AC637" s="1070"/>
      <c r="AD637" s="839"/>
      <c r="AE637" s="270" t="str">
        <f>IF(Z637="","",IF(Z637&gt;AB637,Y637,IF(Z637=AB637,"",AC637)))</f>
        <v/>
      </c>
      <c r="AF637" s="270" t="str">
        <f>IF(Z637="","",IF(Z637=AB637,Y637,""))</f>
        <v/>
      </c>
      <c r="AG637" s="270" t="str">
        <f>IF(Z637="","",IF(Z637=AB637,AC637,""))</f>
        <v/>
      </c>
      <c r="AH637" s="270" t="str">
        <f>IF(Z637="","",IF(Z637&lt;AB637,Y637,IF(Z637=AB637,"",AC637)))</f>
        <v/>
      </c>
      <c r="AI637" s="270" t="str">
        <f>IF(Z637="","",IF(Z637&gt;AB637,Y633,""))</f>
        <v/>
      </c>
      <c r="AJ637" s="270" t="str">
        <f>IF(Z637="","",IF(Z637&lt;AB637,AC633,""))</f>
        <v/>
      </c>
      <c r="AK637" s="270" t="str">
        <f>CONCATENATE(AE637,AH637)</f>
        <v/>
      </c>
      <c r="AL637" s="270"/>
      <c r="AM637" s="270"/>
      <c r="AN637" s="270"/>
      <c r="AO637" s="271"/>
      <c r="AP637" s="270"/>
      <c r="AQ637" s="270"/>
      <c r="AR637" s="270"/>
      <c r="AS637" s="270"/>
      <c r="AT637" s="270"/>
      <c r="AU637" s="270"/>
      <c r="AV637" s="270"/>
      <c r="AW637" s="270"/>
      <c r="AX637" s="270"/>
      <c r="AY637" s="1072"/>
      <c r="AZ637" s="270"/>
      <c r="BA637" s="270"/>
      <c r="BB637" s="1072"/>
      <c r="BC637" s="270"/>
      <c r="BD637" s="270"/>
      <c r="BE637" s="270"/>
      <c r="BF637" s="270"/>
      <c r="BG637" s="270"/>
      <c r="BH637" s="270"/>
      <c r="BI637" s="270"/>
      <c r="BJ637" s="270"/>
      <c r="BK637" s="270"/>
      <c r="BL637" s="270"/>
      <c r="BM637" s="270"/>
      <c r="BN637" s="270"/>
      <c r="BO637" s="270"/>
      <c r="BP637" s="270"/>
      <c r="BQ637" s="270"/>
      <c r="BR637" s="270"/>
      <c r="BS637" s="270"/>
      <c r="BT637" s="270"/>
      <c r="BU637" s="270"/>
      <c r="BV637" s="270"/>
      <c r="BW637" s="270"/>
      <c r="BX637" s="270"/>
      <c r="BY637" s="270"/>
      <c r="BZ637" s="270"/>
      <c r="CA637" s="270"/>
      <c r="CB637" s="270"/>
      <c r="CC637" s="270"/>
      <c r="CD637" s="270"/>
      <c r="CE637"/>
      <c r="CF637" s="1396"/>
      <c r="CG637" s="1396"/>
      <c r="CH637" s="270"/>
      <c r="CI637" s="270"/>
      <c r="CJ637" s="270"/>
      <c r="CK637" s="270"/>
      <c r="CL637" s="270"/>
      <c r="CM637" s="270"/>
    </row>
    <row r="638" spans="1:91" ht="13.5" hidden="1" outlineLevel="3" thickBot="1" x14ac:dyDescent="0.25">
      <c r="A638" s="270"/>
      <c r="B638" s="271"/>
      <c r="C638" s="12"/>
      <c r="D638" s="1071"/>
      <c r="E638" s="1071"/>
      <c r="F638" s="1071"/>
      <c r="G638" s="626"/>
      <c r="H638" s="271"/>
      <c r="I638" s="270"/>
      <c r="J638" s="270"/>
      <c r="K638" s="270"/>
      <c r="L638" s="270"/>
      <c r="M638" s="270"/>
      <c r="N638" s="270"/>
      <c r="O638" s="270"/>
      <c r="P638" s="1072"/>
      <c r="Q638" s="270"/>
      <c r="R638" s="270"/>
      <c r="S638" s="1072"/>
      <c r="T638" s="270"/>
      <c r="U638" s="1019"/>
      <c r="V638" s="1073"/>
      <c r="W638" s="1074"/>
      <c r="X638" s="1075" t="str">
        <f>N_Substitute</f>
        <v>Remplaçant</v>
      </c>
      <c r="Y638" s="627"/>
      <c r="Z638" s="492"/>
      <c r="AA638" s="1076"/>
      <c r="AB638" s="1069"/>
      <c r="AC638" s="1070"/>
      <c r="AD638" s="839"/>
      <c r="AE638" s="270"/>
      <c r="AF638" s="270"/>
      <c r="AG638" s="270"/>
      <c r="AH638" s="270"/>
      <c r="AI638" s="270"/>
      <c r="AJ638" s="270"/>
      <c r="AK638" s="270"/>
      <c r="AL638" s="270"/>
      <c r="AM638" s="270"/>
      <c r="AN638" s="270"/>
      <c r="AO638" s="271"/>
      <c r="AP638" s="270"/>
      <c r="AQ638" s="270"/>
      <c r="AR638" s="270"/>
      <c r="AS638" s="270"/>
      <c r="AT638" s="270"/>
      <c r="AU638" s="270"/>
      <c r="AV638" s="270"/>
      <c r="AW638" s="270"/>
      <c r="AX638" s="270"/>
      <c r="AY638" s="1072"/>
      <c r="AZ638" s="270"/>
      <c r="BA638" s="270"/>
      <c r="BB638" s="1072"/>
      <c r="BC638" s="270"/>
      <c r="BD638" s="270"/>
      <c r="BE638" s="270"/>
      <c r="BF638" s="270"/>
      <c r="BG638" s="270"/>
      <c r="BH638" s="270"/>
      <c r="BI638" s="270"/>
      <c r="BJ638" s="270"/>
      <c r="BK638" s="270"/>
      <c r="BL638" s="270"/>
      <c r="BM638" s="270"/>
      <c r="BN638" s="270"/>
      <c r="BO638" s="270"/>
      <c r="BP638" s="270"/>
      <c r="BQ638" s="270"/>
      <c r="BR638" s="270"/>
      <c r="BS638" s="270"/>
      <c r="BT638" s="270"/>
      <c r="BU638" s="270"/>
      <c r="BV638" s="270"/>
      <c r="BW638" s="270"/>
      <c r="BX638" s="270"/>
      <c r="BY638" s="270"/>
      <c r="BZ638" s="270"/>
      <c r="CA638" s="270"/>
      <c r="CB638" s="270"/>
      <c r="CC638" s="270"/>
      <c r="CD638" s="270"/>
      <c r="CE638"/>
      <c r="CF638" s="1396"/>
      <c r="CG638" s="1396"/>
      <c r="CH638" s="270"/>
      <c r="CI638" s="270"/>
      <c r="CJ638" s="270"/>
      <c r="CK638" s="270"/>
      <c r="CL638" s="270"/>
      <c r="CM638" s="270"/>
    </row>
    <row r="639" spans="1:91" ht="13.5" hidden="1" outlineLevel="3" thickBot="1" x14ac:dyDescent="0.25">
      <c r="A639" s="270"/>
      <c r="B639" s="271"/>
      <c r="C639" s="12"/>
      <c r="D639" s="1071"/>
      <c r="E639" s="1071"/>
      <c r="F639" s="1071"/>
      <c r="G639" s="626"/>
      <c r="H639" s="271"/>
      <c r="I639" s="270"/>
      <c r="J639" s="270"/>
      <c r="K639" s="270"/>
      <c r="L639" s="270"/>
      <c r="M639" s="270"/>
      <c r="N639" s="270"/>
      <c r="O639" s="270"/>
      <c r="P639" s="1072"/>
      <c r="Q639" s="270"/>
      <c r="R639" s="270"/>
      <c r="S639" s="1072"/>
      <c r="T639" s="270"/>
      <c r="U639" s="1019"/>
      <c r="V639" s="1119"/>
      <c r="W639" s="1120"/>
      <c r="X639" s="1075" t="str">
        <f>N_Substitute</f>
        <v>Remplaçant</v>
      </c>
      <c r="Y639" s="627"/>
      <c r="Z639" s="492"/>
      <c r="AA639" s="1121"/>
      <c r="AB639" s="1069"/>
      <c r="AC639" s="1070"/>
      <c r="AD639" s="839"/>
      <c r="AE639" s="270"/>
      <c r="AF639" s="270"/>
      <c r="AG639" s="270"/>
      <c r="AH639" s="270"/>
      <c r="AI639" s="270"/>
      <c r="AJ639" s="270"/>
      <c r="AK639" s="270"/>
      <c r="AL639" s="270"/>
      <c r="AM639" s="270"/>
      <c r="AN639" s="270"/>
      <c r="AO639" s="271"/>
      <c r="AP639" s="270"/>
      <c r="AQ639" s="270"/>
      <c r="AR639" s="270"/>
      <c r="AS639" s="270"/>
      <c r="AT639" s="270"/>
      <c r="AU639" s="270"/>
      <c r="AV639" s="270"/>
      <c r="AW639" s="270"/>
      <c r="AX639" s="270"/>
      <c r="AY639" s="1072"/>
      <c r="AZ639" s="270"/>
      <c r="BA639" s="270"/>
      <c r="BB639" s="1072"/>
      <c r="BC639" s="270"/>
      <c r="BD639" s="270"/>
      <c r="BE639" s="270"/>
      <c r="BF639" s="270"/>
      <c r="BG639" s="270"/>
      <c r="BH639" s="270"/>
      <c r="BI639" s="270"/>
      <c r="BJ639" s="270"/>
      <c r="BK639" s="270"/>
      <c r="BL639" s="270"/>
      <c r="BM639" s="270"/>
      <c r="BN639" s="270"/>
      <c r="BO639" s="270"/>
      <c r="BP639" s="270"/>
      <c r="BQ639" s="270"/>
      <c r="BR639" s="270"/>
      <c r="BS639" s="270"/>
      <c r="BT639" s="270"/>
      <c r="BU639" s="270"/>
      <c r="BV639" s="270"/>
      <c r="BW639" s="270"/>
      <c r="BX639" s="270"/>
      <c r="BY639" s="270"/>
      <c r="BZ639" s="270"/>
      <c r="CA639" s="270"/>
      <c r="CB639" s="270"/>
      <c r="CC639" s="270"/>
      <c r="CD639" s="270"/>
      <c r="CE639"/>
      <c r="CF639" s="1396"/>
      <c r="CG639" s="1396"/>
      <c r="CH639" s="270"/>
      <c r="CI639" s="270"/>
      <c r="CJ639" s="270"/>
      <c r="CK639" s="270"/>
      <c r="CL639" s="270"/>
      <c r="CM639" s="270"/>
    </row>
    <row r="640" spans="1:91" ht="13.5" hidden="1" outlineLevel="2" collapsed="1" thickBot="1" x14ac:dyDescent="0.25">
      <c r="A640" s="270"/>
      <c r="B640" s="271"/>
      <c r="C640" s="270"/>
      <c r="D640" s="270"/>
      <c r="E640" s="270"/>
      <c r="F640" s="270"/>
      <c r="G640" s="271"/>
      <c r="H640" s="270"/>
      <c r="I640" s="270"/>
      <c r="J640" s="270"/>
      <c r="K640" s="270"/>
      <c r="L640" s="270"/>
      <c r="M640" s="270"/>
      <c r="N640" s="270"/>
      <c r="O640" s="270"/>
      <c r="P640" s="270"/>
      <c r="Q640" s="270"/>
      <c r="R640" s="270"/>
      <c r="S640" s="270"/>
      <c r="T640" s="270"/>
      <c r="U640" s="1019" t="s">
        <v>1730</v>
      </c>
      <c r="V640" s="1187"/>
      <c r="W640" s="1195"/>
      <c r="X640" s="1534"/>
      <c r="Y640" s="1180" t="str">
        <f>G505</f>
        <v>Eq8</v>
      </c>
      <c r="Z640" s="1103" t="str">
        <f>IF(OR(ISNUMBER(Z641),ISNUMBER(Z642),ISNUMBER(Z643),ISNUMBER(Z644)),4-COUNTBLANK(AI641:AI644),"")</f>
        <v/>
      </c>
      <c r="AA640" s="1104" t="s">
        <v>769</v>
      </c>
      <c r="AB640" s="1103" t="str">
        <f>IF(OR(ISNUMBER(Z641),ISNUMBER(Z642),ISNUMBER(Z643),ISNUMBER(Z644)),4-COUNTBLANK(AJ641:AJ644),"")</f>
        <v/>
      </c>
      <c r="AC640" s="1220" t="str">
        <f>G503</f>
        <v>Eq6</v>
      </c>
      <c r="AD640" s="839"/>
      <c r="AE640" s="270" t="str">
        <f>IF(Z640="","",IF(Z640&gt;AB640,Y640,IF(Z640=AB640,IF(NoDrawWithWithdraw,IF(AL640=Y640,AC640,IF(AL640=AC640,Y640,"")),""),AC640)))</f>
        <v/>
      </c>
      <c r="AF640" s="270" t="str">
        <f>IF(Z640="","",IF(Z640=AB640,IF(NoDrawWithWithdraw,IF(AL640=Y640,"",IF(AL640=AC640,"",Y640)),Y640),""))</f>
        <v/>
      </c>
      <c r="AG640" s="270" t="str">
        <f>IF(Z640="","",IF(Z640=AB640,IF(NoDrawWithWithdraw,IF(AL640=Y640,"",IF(AL640=AC640,"",AC640)),AC640),""))</f>
        <v/>
      </c>
      <c r="AH640" s="270" t="str">
        <f>IF(Z640="","",IF(Z640&lt;AB640,Y640,IF(Z640=AB640,IF(NoDrawWithWithdraw,IF(AL640=Y640,Y640,IF(AL640=AC640,AC640,"")),""),AC640)))</f>
        <v/>
      </c>
      <c r="AI640" s="270" t="str">
        <f>IF(Z640="","",SUM(Z641:Z644))</f>
        <v/>
      </c>
      <c r="AJ640" s="270" t="str">
        <f>IF(Z640="","",SUM(AB641:AB644))</f>
        <v/>
      </c>
      <c r="AK640" s="270" t="str">
        <f>CONCATENATE(AE640,AH640)</f>
        <v/>
      </c>
      <c r="AL640" s="270" t="str">
        <f>IF(COUNTIF(Y641:Y644,WithdrawLabel)&gt;COUNTIF(AC641:AC644,WithdrawLabel),Y640,IF(COUNTIF(AC641:AC644,WithdrawLabel)&gt;COUNTIF(Y641:Y644,WithdrawLabel),AC640,""))</f>
        <v/>
      </c>
      <c r="AM640" s="270"/>
      <c r="AN640" s="270"/>
      <c r="AO640" s="575"/>
      <c r="AP640" s="270"/>
      <c r="AQ640" s="270"/>
      <c r="AR640" s="270"/>
      <c r="AS640" s="270"/>
      <c r="AT640" s="270"/>
      <c r="AU640" s="270"/>
      <c r="AV640" s="270"/>
      <c r="AW640" s="270"/>
      <c r="AX640" s="270"/>
      <c r="AY640" s="270"/>
      <c r="AZ640" s="270"/>
      <c r="BA640" s="270"/>
      <c r="BB640" s="270"/>
      <c r="BC640" s="270"/>
      <c r="BD640" s="270"/>
      <c r="BE640" s="270"/>
      <c r="BF640" s="270"/>
      <c r="BG640" s="270"/>
      <c r="BH640" s="270"/>
      <c r="BI640" s="270"/>
      <c r="BJ640" s="270"/>
      <c r="BK640" s="270"/>
      <c r="BL640" s="270"/>
      <c r="BM640" s="270"/>
      <c r="BN640" s="270"/>
      <c r="BO640" s="270"/>
      <c r="BP640" s="270"/>
      <c r="BQ640" s="270"/>
      <c r="BR640" s="270"/>
      <c r="BS640" s="270"/>
      <c r="BT640" s="270"/>
      <c r="BU640" s="270"/>
      <c r="BV640" s="270"/>
      <c r="BW640" s="270"/>
      <c r="BX640" s="270"/>
      <c r="BY640" s="270"/>
      <c r="BZ640" s="270"/>
      <c r="CA640" s="270"/>
      <c r="CB640" s="270"/>
      <c r="CC640" s="270"/>
      <c r="CD640" s="270"/>
      <c r="CE640"/>
      <c r="CF640" s="1396"/>
      <c r="CG640" s="1396"/>
      <c r="CH640" s="270"/>
      <c r="CI640" s="270"/>
      <c r="CJ640" s="270"/>
      <c r="CK640" s="270"/>
      <c r="CL640" s="270"/>
      <c r="CM640" s="270"/>
    </row>
    <row r="641" spans="1:91" ht="13.5" hidden="1" outlineLevel="3" thickBot="1" x14ac:dyDescent="0.25">
      <c r="A641" s="270"/>
      <c r="B641" s="271"/>
      <c r="C641" s="12"/>
      <c r="D641" s="1071"/>
      <c r="E641" s="1071"/>
      <c r="F641" s="1071"/>
      <c r="G641" s="1172"/>
      <c r="H641" s="271"/>
      <c r="I641" s="270"/>
      <c r="J641" s="270"/>
      <c r="K641" s="270"/>
      <c r="L641" s="270"/>
      <c r="M641" s="270"/>
      <c r="N641" s="270"/>
      <c r="O641" s="270"/>
      <c r="P641" s="1072"/>
      <c r="Q641" s="270"/>
      <c r="R641" s="270"/>
      <c r="S641" s="1072"/>
      <c r="T641" s="270"/>
      <c r="U641" s="1019"/>
      <c r="V641" s="1118"/>
      <c r="W641" s="1177"/>
      <c r="X641" s="1212"/>
      <c r="Y641" s="627"/>
      <c r="Z641" s="492"/>
      <c r="AA641" s="493" t="s">
        <v>769</v>
      </c>
      <c r="AB641" s="1069"/>
      <c r="AC641" s="1070"/>
      <c r="AD641" s="839"/>
      <c r="AE641" s="270" t="str">
        <f>IF(Z641="","",IF(Z641&gt;AB641,Y641,IF(Z641=AB641,"",AC641)))</f>
        <v/>
      </c>
      <c r="AF641" s="270" t="str">
        <f>IF(Z641="","",IF(Z641=AB641,Y641,""))</f>
        <v/>
      </c>
      <c r="AG641" s="270" t="str">
        <f>IF(Z641="","",IF(Z641=AB641,AC641,""))</f>
        <v/>
      </c>
      <c r="AH641" s="270" t="str">
        <f>IF(Z641="","",IF(Z641&lt;AB641,Y641,IF(Z641=AB641,"",AC641)))</f>
        <v/>
      </c>
      <c r="AI641" s="270" t="str">
        <f>IF(Z641="","",IF(Z641&gt;AB641,Y640,""))</f>
        <v/>
      </c>
      <c r="AJ641" s="270" t="str">
        <f>IF(Z641="","",IF(Z641&lt;AB641,AC640,""))</f>
        <v/>
      </c>
      <c r="AK641" s="270" t="str">
        <f>CONCATENATE(AE641,AH641)</f>
        <v/>
      </c>
      <c r="AL641" s="270"/>
      <c r="AM641" s="270"/>
      <c r="AN641" s="270"/>
      <c r="AO641" s="271"/>
      <c r="AP641" s="270"/>
      <c r="AQ641" s="270"/>
      <c r="AR641" s="270"/>
      <c r="AS641" s="270"/>
      <c r="AT641" s="270"/>
      <c r="AU641" s="270"/>
      <c r="AV641" s="270"/>
      <c r="AW641" s="270"/>
      <c r="AX641" s="270"/>
      <c r="AY641" s="1072"/>
      <c r="AZ641" s="270"/>
      <c r="BA641" s="270"/>
      <c r="BB641" s="1072"/>
      <c r="BC641" s="270"/>
      <c r="BD641" s="270"/>
      <c r="BE641" s="270"/>
      <c r="BF641" s="270"/>
      <c r="BG641" s="270"/>
      <c r="BH641" s="270"/>
      <c r="BI641" s="270"/>
      <c r="BJ641" s="270"/>
      <c r="BK641" s="270"/>
      <c r="BL641" s="270"/>
      <c r="BM641" s="270"/>
      <c r="BN641" s="270"/>
      <c r="BO641" s="270"/>
      <c r="BP641" s="270"/>
      <c r="BQ641" s="270"/>
      <c r="BR641" s="270"/>
      <c r="BS641" s="270"/>
      <c r="BT641" s="270"/>
      <c r="BU641" s="270"/>
      <c r="BV641" s="270"/>
      <c r="BW641" s="270"/>
      <c r="BX641" s="270"/>
      <c r="BY641" s="270"/>
      <c r="BZ641" s="270"/>
      <c r="CA641" s="270"/>
      <c r="CB641" s="270"/>
      <c r="CC641" s="270"/>
      <c r="CD641" s="270"/>
      <c r="CE641"/>
      <c r="CF641" s="1396"/>
      <c r="CG641" s="1396"/>
      <c r="CH641" s="270"/>
      <c r="CI641" s="270"/>
      <c r="CJ641" s="270"/>
      <c r="CK641" s="270"/>
      <c r="CL641" s="270"/>
      <c r="CM641" s="270"/>
    </row>
    <row r="642" spans="1:91" ht="13.5" hidden="1" outlineLevel="3" thickBot="1" x14ac:dyDescent="0.25">
      <c r="A642" s="270"/>
      <c r="B642" s="271"/>
      <c r="C642" s="12"/>
      <c r="D642" s="1071"/>
      <c r="E642" s="1071"/>
      <c r="F642" s="1071"/>
      <c r="G642" s="1172"/>
      <c r="H642" s="271"/>
      <c r="I642" s="270"/>
      <c r="J642" s="270"/>
      <c r="K642" s="270"/>
      <c r="L642" s="270"/>
      <c r="M642" s="270"/>
      <c r="N642" s="270"/>
      <c r="O642" s="270"/>
      <c r="P642" s="1072"/>
      <c r="Q642" s="270"/>
      <c r="R642" s="270"/>
      <c r="S642" s="1072"/>
      <c r="T642" s="270"/>
      <c r="U642" s="1019"/>
      <c r="V642" s="1118"/>
      <c r="W642" s="1177"/>
      <c r="X642" s="1212"/>
      <c r="Y642" s="627"/>
      <c r="Z642" s="492"/>
      <c r="AA642" s="493" t="s">
        <v>769</v>
      </c>
      <c r="AB642" s="1069"/>
      <c r="AC642" s="1070"/>
      <c r="AD642" s="839"/>
      <c r="AE642" s="270" t="str">
        <f>IF(Z642="","",IF(Z642&gt;AB642,Y642,IF(Z642=AB642,"",AC642)))</f>
        <v/>
      </c>
      <c r="AF642" s="270" t="str">
        <f>IF(Z642="","",IF(Z642=AB642,Y642,""))</f>
        <v/>
      </c>
      <c r="AG642" s="270" t="str">
        <f>IF(Z642="","",IF(Z642=AB642,AC642,""))</f>
        <v/>
      </c>
      <c r="AH642" s="270" t="str">
        <f>IF(Z642="","",IF(Z642&lt;AB642,Y642,IF(Z642=AB642,"",AC642)))</f>
        <v/>
      </c>
      <c r="AI642" s="270" t="str">
        <f>IF(Z642="","",IF(Z642&gt;AB642,Y640,""))</f>
        <v/>
      </c>
      <c r="AJ642" s="270" t="str">
        <f>IF(Z642="","",IF(Z642&lt;AB642,AC640,""))</f>
        <v/>
      </c>
      <c r="AK642" s="270" t="str">
        <f>CONCATENATE(AE642,AH642)</f>
        <v/>
      </c>
      <c r="AL642" s="270"/>
      <c r="AM642" s="270"/>
      <c r="AN642" s="270"/>
      <c r="AO642" s="271"/>
      <c r="AP642" s="270"/>
      <c r="AQ642" s="270"/>
      <c r="AR642" s="270"/>
      <c r="AS642" s="270"/>
      <c r="AT642" s="270"/>
      <c r="AU642" s="270"/>
      <c r="AV642" s="270"/>
      <c r="AW642" s="270"/>
      <c r="AX642" s="270"/>
      <c r="AY642" s="1072"/>
      <c r="AZ642" s="270"/>
      <c r="BA642" s="270"/>
      <c r="BB642" s="1072"/>
      <c r="BC642" s="270"/>
      <c r="BD642" s="270"/>
      <c r="BE642" s="270"/>
      <c r="BF642" s="270"/>
      <c r="BG642" s="270"/>
      <c r="BH642" s="270"/>
      <c r="BI642" s="270"/>
      <c r="BJ642" s="270"/>
      <c r="BK642" s="270"/>
      <c r="BL642" s="270"/>
      <c r="BM642" s="270"/>
      <c r="BN642" s="270"/>
      <c r="BO642" s="270"/>
      <c r="BP642" s="270"/>
      <c r="BQ642" s="270"/>
      <c r="BR642" s="270"/>
      <c r="BS642" s="270"/>
      <c r="BT642" s="270"/>
      <c r="BU642" s="270"/>
      <c r="BV642" s="270"/>
      <c r="BW642" s="270"/>
      <c r="BX642" s="270"/>
      <c r="BY642" s="270"/>
      <c r="BZ642" s="270"/>
      <c r="CA642" s="270"/>
      <c r="CB642" s="270"/>
      <c r="CC642" s="270"/>
      <c r="CD642" s="270"/>
      <c r="CE642"/>
      <c r="CF642" s="1396"/>
      <c r="CG642" s="1396"/>
      <c r="CH642" s="270"/>
      <c r="CI642" s="270"/>
      <c r="CJ642" s="270"/>
      <c r="CK642" s="270"/>
      <c r="CL642" s="270"/>
      <c r="CM642" s="270"/>
    </row>
    <row r="643" spans="1:91" ht="13.5" hidden="1" outlineLevel="3" thickBot="1" x14ac:dyDescent="0.25">
      <c r="A643" s="270"/>
      <c r="B643" s="271"/>
      <c r="C643" s="12"/>
      <c r="D643" s="1071"/>
      <c r="E643" s="1071"/>
      <c r="F643" s="1071"/>
      <c r="G643" s="1172"/>
      <c r="H643" s="271"/>
      <c r="I643" s="270"/>
      <c r="J643" s="270"/>
      <c r="K643" s="270"/>
      <c r="L643" s="270"/>
      <c r="M643" s="270"/>
      <c r="N643" s="270"/>
      <c r="O643" s="270"/>
      <c r="P643" s="1072"/>
      <c r="Q643" s="270"/>
      <c r="R643" s="270"/>
      <c r="S643" s="1072"/>
      <c r="T643" s="270"/>
      <c r="U643" s="1019"/>
      <c r="V643" s="1118"/>
      <c r="W643" s="1177"/>
      <c r="X643" s="1212"/>
      <c r="Y643" s="627"/>
      <c r="Z643" s="492"/>
      <c r="AA643" s="493" t="s">
        <v>769</v>
      </c>
      <c r="AB643" s="1069"/>
      <c r="AC643" s="1070"/>
      <c r="AD643" s="839"/>
      <c r="AE643" s="270" t="str">
        <f>IF(Z643="","",IF(Z643&gt;AB643,Y643,IF(Z643=AB643,"",AC643)))</f>
        <v/>
      </c>
      <c r="AF643" s="270" t="str">
        <f>IF(Z643="","",IF(Z643=AB643,Y643,""))</f>
        <v/>
      </c>
      <c r="AG643" s="270" t="str">
        <f>IF(Z643="","",IF(Z643=AB643,AC643,""))</f>
        <v/>
      </c>
      <c r="AH643" s="270" t="str">
        <f>IF(Z643="","",IF(Z643&lt;AB643,Y643,IF(Z643=AB643,"",AC643)))</f>
        <v/>
      </c>
      <c r="AI643" s="270" t="str">
        <f>IF(Z643="","",IF(Z643&gt;AB643,Y640,""))</f>
        <v/>
      </c>
      <c r="AJ643" s="270" t="str">
        <f>IF(Z643="","",IF(Z643&lt;AB643,AC640,""))</f>
        <v/>
      </c>
      <c r="AK643" s="270" t="str">
        <f>CONCATENATE(AE643,AH643)</f>
        <v/>
      </c>
      <c r="AL643" s="270"/>
      <c r="AM643" s="270"/>
      <c r="AN643" s="270"/>
      <c r="AO643" s="271"/>
      <c r="AP643" s="270"/>
      <c r="AQ643" s="270"/>
      <c r="AR643" s="270"/>
      <c r="AS643" s="270"/>
      <c r="AT643" s="270"/>
      <c r="AU643" s="270"/>
      <c r="AV643" s="270"/>
      <c r="AW643" s="270"/>
      <c r="AX643" s="270"/>
      <c r="AY643" s="1072"/>
      <c r="AZ643" s="270"/>
      <c r="BA643" s="270"/>
      <c r="BB643" s="1072"/>
      <c r="BC643" s="270"/>
      <c r="BD643" s="270"/>
      <c r="BE643" s="270"/>
      <c r="BF643" s="270"/>
      <c r="BG643" s="270"/>
      <c r="BH643" s="270"/>
      <c r="BI643" s="270"/>
      <c r="BJ643" s="270"/>
      <c r="BK643" s="270"/>
      <c r="BL643" s="270"/>
      <c r="BM643" s="270"/>
      <c r="BN643" s="270"/>
      <c r="BO643" s="270"/>
      <c r="BP643" s="270"/>
      <c r="BQ643" s="270"/>
      <c r="BR643" s="270"/>
      <c r="BS643" s="270"/>
      <c r="BT643" s="270"/>
      <c r="BU643" s="270"/>
      <c r="BV643" s="270"/>
      <c r="BW643" s="270"/>
      <c r="BX643" s="270"/>
      <c r="BY643" s="270"/>
      <c r="BZ643" s="270"/>
      <c r="CA643" s="270"/>
      <c r="CB643" s="270"/>
      <c r="CC643" s="270"/>
      <c r="CD643" s="270"/>
      <c r="CE643"/>
      <c r="CF643" s="1396"/>
      <c r="CG643" s="1396"/>
      <c r="CH643" s="270"/>
      <c r="CI643" s="270"/>
      <c r="CJ643" s="270"/>
      <c r="CK643" s="270"/>
      <c r="CL643" s="270"/>
      <c r="CM643" s="270"/>
    </row>
    <row r="644" spans="1:91" ht="13.5" hidden="1" outlineLevel="3" thickBot="1" x14ac:dyDescent="0.25">
      <c r="A644" s="270"/>
      <c r="B644" s="271"/>
      <c r="C644" s="12"/>
      <c r="D644" s="1071"/>
      <c r="E644" s="1071"/>
      <c r="F644" s="1071"/>
      <c r="G644" s="1172"/>
      <c r="H644" s="271"/>
      <c r="I644" s="270"/>
      <c r="J644" s="270"/>
      <c r="K644" s="270"/>
      <c r="L644" s="270"/>
      <c r="M644" s="270"/>
      <c r="N644" s="270"/>
      <c r="O644" s="270"/>
      <c r="P644" s="1072"/>
      <c r="Q644" s="270"/>
      <c r="R644" s="270"/>
      <c r="S644" s="1072"/>
      <c r="T644" s="270"/>
      <c r="U644" s="1019"/>
      <c r="V644" s="1118"/>
      <c r="W644" s="1177"/>
      <c r="X644" s="1212"/>
      <c r="Y644" s="627"/>
      <c r="Z644" s="492"/>
      <c r="AA644" s="493" t="s">
        <v>769</v>
      </c>
      <c r="AB644" s="1069"/>
      <c r="AC644" s="1070"/>
      <c r="AD644" s="839"/>
      <c r="AE644" s="270" t="str">
        <f>IF(Z644="","",IF(Z644&gt;AB644,Y644,IF(Z644=AB644,"",AC644)))</f>
        <v/>
      </c>
      <c r="AF644" s="270" t="str">
        <f>IF(Z644="","",IF(Z644=AB644,Y644,""))</f>
        <v/>
      </c>
      <c r="AG644" s="270" t="str">
        <f>IF(Z644="","",IF(Z644=AB644,AC644,""))</f>
        <v/>
      </c>
      <c r="AH644" s="270" t="str">
        <f>IF(Z644="","",IF(Z644&lt;AB644,Y644,IF(Z644=AB644,"",AC644)))</f>
        <v/>
      </c>
      <c r="AI644" s="270" t="str">
        <f>IF(Z644="","",IF(Z644&gt;AB644,Y640,""))</f>
        <v/>
      </c>
      <c r="AJ644" s="270" t="str">
        <f>IF(Z644="","",IF(Z644&lt;AB644,AC640,""))</f>
        <v/>
      </c>
      <c r="AK644" s="270" t="str">
        <f>CONCATENATE(AE644,AH644)</f>
        <v/>
      </c>
      <c r="AL644" s="270"/>
      <c r="AM644" s="270"/>
      <c r="AN644" s="270"/>
      <c r="AO644" s="271"/>
      <c r="AP644" s="270"/>
      <c r="AQ644" s="270"/>
      <c r="AR644" s="270"/>
      <c r="AS644" s="270"/>
      <c r="AT644" s="270"/>
      <c r="AU644" s="270"/>
      <c r="AV644" s="270"/>
      <c r="AW644" s="270"/>
      <c r="AX644" s="270"/>
      <c r="AY644" s="1072"/>
      <c r="AZ644" s="270"/>
      <c r="BA644" s="270"/>
      <c r="BB644" s="1072"/>
      <c r="BC644" s="270"/>
      <c r="BD644" s="270"/>
      <c r="BE644" s="270"/>
      <c r="BF644" s="270"/>
      <c r="BG644" s="270"/>
      <c r="BH644" s="270"/>
      <c r="BI644" s="270"/>
      <c r="BJ644" s="270"/>
      <c r="BK644" s="270"/>
      <c r="BL644" s="270"/>
      <c r="BM644" s="270"/>
      <c r="BN644" s="270"/>
      <c r="BO644" s="270"/>
      <c r="BP644" s="270"/>
      <c r="BQ644" s="270"/>
      <c r="BR644" s="270"/>
      <c r="BS644" s="270"/>
      <c r="BT644" s="270"/>
      <c r="BU644" s="270"/>
      <c r="BV644" s="270"/>
      <c r="BW644" s="270"/>
      <c r="BX644" s="270"/>
      <c r="BY644" s="270"/>
      <c r="BZ644" s="270"/>
      <c r="CA644" s="270"/>
      <c r="CB644" s="270"/>
      <c r="CC644" s="270"/>
      <c r="CD644" s="270"/>
      <c r="CE644"/>
      <c r="CF644" s="1396"/>
      <c r="CG644" s="1396"/>
      <c r="CH644" s="270"/>
      <c r="CI644" s="270"/>
      <c r="CJ644" s="270"/>
      <c r="CK644" s="270"/>
      <c r="CL644" s="270"/>
      <c r="CM644" s="270"/>
    </row>
    <row r="645" spans="1:91" ht="13.5" hidden="1" outlineLevel="3" thickBot="1" x14ac:dyDescent="0.25">
      <c r="A645" s="270"/>
      <c r="B645" s="271"/>
      <c r="C645" s="12"/>
      <c r="D645" s="1071"/>
      <c r="E645" s="1071"/>
      <c r="F645" s="1071"/>
      <c r="G645" s="626"/>
      <c r="H645" s="271"/>
      <c r="I645" s="270"/>
      <c r="J645" s="270"/>
      <c r="K645" s="270"/>
      <c r="L645" s="270"/>
      <c r="M645" s="270"/>
      <c r="N645" s="270"/>
      <c r="O645" s="270"/>
      <c r="P645" s="1072"/>
      <c r="Q645" s="270"/>
      <c r="R645" s="270"/>
      <c r="S645" s="1072"/>
      <c r="T645" s="270"/>
      <c r="U645" s="1019"/>
      <c r="V645" s="1077"/>
      <c r="W645" s="1078"/>
      <c r="X645" s="1075" t="str">
        <f>N_Substitute</f>
        <v>Remplaçant</v>
      </c>
      <c r="Y645" s="627"/>
      <c r="Z645" s="492"/>
      <c r="AA645" s="1076"/>
      <c r="AB645" s="1069"/>
      <c r="AC645" s="1070"/>
      <c r="AD645" s="839"/>
      <c r="AE645" s="270"/>
      <c r="AF645" s="270"/>
      <c r="AG645" s="270"/>
      <c r="AH645" s="270"/>
      <c r="AI645" s="270"/>
      <c r="AJ645" s="270"/>
      <c r="AK645" s="270"/>
      <c r="AL645" s="270"/>
      <c r="AM645" s="270"/>
      <c r="AN645" s="270"/>
      <c r="AO645" s="271"/>
      <c r="AP645" s="270"/>
      <c r="AQ645" s="270"/>
      <c r="AR645" s="270"/>
      <c r="AS645" s="270"/>
      <c r="AT645" s="270"/>
      <c r="AU645" s="270"/>
      <c r="AV645" s="270"/>
      <c r="AW645" s="270"/>
      <c r="AX645" s="270"/>
      <c r="AY645" s="1072"/>
      <c r="AZ645" s="270"/>
      <c r="BA645" s="270"/>
      <c r="BB645" s="1072"/>
      <c r="BC645" s="270"/>
      <c r="BD645" s="270"/>
      <c r="BE645" s="270"/>
      <c r="BF645" s="270"/>
      <c r="BG645" s="270"/>
      <c r="BH645" s="270"/>
      <c r="BI645" s="270"/>
      <c r="BJ645" s="270"/>
      <c r="BK645" s="270"/>
      <c r="BL645" s="270"/>
      <c r="BM645" s="270"/>
      <c r="BN645" s="270"/>
      <c r="BO645" s="270"/>
      <c r="BP645" s="270"/>
      <c r="BQ645" s="270"/>
      <c r="BR645" s="270"/>
      <c r="BS645" s="270"/>
      <c r="BT645" s="270"/>
      <c r="BU645" s="270"/>
      <c r="BV645" s="270"/>
      <c r="BW645" s="270"/>
      <c r="BX645" s="270"/>
      <c r="BY645" s="270"/>
      <c r="BZ645" s="270"/>
      <c r="CA645" s="270"/>
      <c r="CB645" s="270"/>
      <c r="CC645" s="270"/>
      <c r="CD645" s="270"/>
      <c r="CE645"/>
      <c r="CF645" s="1396"/>
      <c r="CG645" s="1396"/>
      <c r="CH645" s="270"/>
      <c r="CI645" s="270"/>
      <c r="CJ645" s="270"/>
      <c r="CK645" s="270"/>
      <c r="CL645" s="270"/>
      <c r="CM645" s="270"/>
    </row>
    <row r="646" spans="1:91" ht="13.5" hidden="1" outlineLevel="3" thickBot="1" x14ac:dyDescent="0.25">
      <c r="A646" s="270"/>
      <c r="B646" s="271"/>
      <c r="C646" s="12"/>
      <c r="D646" s="1071"/>
      <c r="E646" s="1071"/>
      <c r="F646" s="1071"/>
      <c r="G646" s="626"/>
      <c r="H646" s="271"/>
      <c r="I646" s="270"/>
      <c r="J646" s="270"/>
      <c r="K646" s="270"/>
      <c r="L646" s="270"/>
      <c r="M646" s="270"/>
      <c r="N646" s="270"/>
      <c r="O646" s="270"/>
      <c r="P646" s="1072"/>
      <c r="Q646" s="270"/>
      <c r="R646" s="270"/>
      <c r="S646" s="1072"/>
      <c r="T646" s="270"/>
      <c r="U646" s="1019"/>
      <c r="V646" s="1119"/>
      <c r="W646" s="1120"/>
      <c r="X646" s="1075" t="str">
        <f>N_Substitute</f>
        <v>Remplaçant</v>
      </c>
      <c r="Y646" s="627"/>
      <c r="Z646" s="496"/>
      <c r="AA646" s="1090"/>
      <c r="AB646" s="496"/>
      <c r="AC646" s="1070"/>
      <c r="AD646" s="839"/>
      <c r="AE646" s="270"/>
      <c r="AF646" s="270"/>
      <c r="AG646" s="270"/>
      <c r="AH646" s="270"/>
      <c r="AI646" s="270"/>
      <c r="AJ646" s="270"/>
      <c r="AK646" s="270"/>
      <c r="AL646" s="270"/>
      <c r="AM646" s="270"/>
      <c r="AN646" s="270"/>
      <c r="AO646" s="271"/>
      <c r="AP646" s="270"/>
      <c r="AQ646" s="270"/>
      <c r="AR646" s="270"/>
      <c r="AS646" s="270"/>
      <c r="AT646" s="270"/>
      <c r="AU646" s="270"/>
      <c r="AV646" s="270"/>
      <c r="AW646" s="270"/>
      <c r="AX646" s="270"/>
      <c r="AY646" s="1072"/>
      <c r="AZ646" s="270"/>
      <c r="BA646" s="270"/>
      <c r="BB646" s="1072"/>
      <c r="BC646" s="270"/>
      <c r="BD646" s="270"/>
      <c r="BE646" s="270"/>
      <c r="BF646" s="270"/>
      <c r="BG646" s="270"/>
      <c r="BH646" s="270"/>
      <c r="BI646" s="270"/>
      <c r="BJ646" s="270"/>
      <c r="BK646" s="270"/>
      <c r="BL646" s="270"/>
      <c r="BM646" s="270"/>
      <c r="BN646" s="270"/>
      <c r="BO646" s="270"/>
      <c r="BP646" s="270"/>
      <c r="BQ646" s="270"/>
      <c r="BR646" s="270"/>
      <c r="BS646" s="270"/>
      <c r="BT646" s="270"/>
      <c r="BU646" s="270"/>
      <c r="BV646" s="270"/>
      <c r="BW646" s="270"/>
      <c r="BX646" s="270"/>
      <c r="BY646" s="270"/>
      <c r="BZ646" s="270"/>
      <c r="CA646" s="270"/>
      <c r="CB646" s="270"/>
      <c r="CC646" s="270"/>
      <c r="CD646" s="270"/>
      <c r="CE646"/>
      <c r="CF646" s="1396"/>
      <c r="CG646" s="1396"/>
      <c r="CH646" s="270"/>
      <c r="CI646" s="270"/>
      <c r="CJ646" s="270"/>
      <c r="CK646" s="270"/>
      <c r="CL646" s="270"/>
      <c r="CM646" s="270"/>
    </row>
    <row r="647" spans="1:91" hidden="1" outlineLevel="2" collapsed="1" x14ac:dyDescent="0.2">
      <c r="A647" s="270"/>
      <c r="B647" s="271"/>
      <c r="C647" s="12"/>
      <c r="D647" s="1071"/>
      <c r="E647" s="1071"/>
      <c r="F647" s="1071"/>
      <c r="G647" s="1172"/>
      <c r="H647" s="271"/>
      <c r="I647" s="270"/>
      <c r="J647" s="270"/>
      <c r="K647" s="270"/>
      <c r="L647" s="270"/>
      <c r="M647" s="270"/>
      <c r="N647" s="270"/>
      <c r="O647" s="270"/>
      <c r="P647" s="1072"/>
      <c r="Q647" s="270"/>
      <c r="R647" s="270"/>
      <c r="S647" s="1072"/>
      <c r="T647" s="270"/>
      <c r="U647" s="1019" t="s">
        <v>1731</v>
      </c>
      <c r="V647" s="1173"/>
      <c r="W647" s="1525"/>
      <c r="X647" s="1535"/>
      <c r="Y647" s="1174" t="str">
        <f>G500</f>
        <v>Eq3</v>
      </c>
      <c r="Z647" s="1063" t="str">
        <f>IF(OR(ISNUMBER(Z648),ISNUMBER(Z649),ISNUMBER(Z650),ISNUMBER(Z651)),4-COUNTBLANK(AI648:AI651),"")</f>
        <v/>
      </c>
      <c r="AA647" s="1064" t="s">
        <v>769</v>
      </c>
      <c r="AB647" s="1063" t="str">
        <f>IF(OR(ISNUMBER(Z648),ISNUMBER(Z649),ISNUMBER(Z650),ISNUMBER(Z651)),4-COUNTBLANK(AJ648:AJ651),"")</f>
        <v/>
      </c>
      <c r="AC647" s="1217" t="str">
        <f>G501</f>
        <v>Eq4</v>
      </c>
      <c r="AD647" s="839"/>
      <c r="AE647" s="270" t="str">
        <f>IF(Z647="","",IF(Z647&gt;AB647,Y647,IF(Z647=AB647,IF(NoDrawWithWithdraw,IF(AL647=Y647,AC647,IF(AL647=AC647,Y647,"")),""),AC647)))</f>
        <v/>
      </c>
      <c r="AF647" s="270" t="str">
        <f>IF(Z647="","",IF(Z647=AB647,IF(NoDrawWithWithdraw,IF(AL647=Y647,"",IF(AL647=AC647,"",Y647)),Y647),""))</f>
        <v/>
      </c>
      <c r="AG647" s="270" t="str">
        <f>IF(Z647="","",IF(Z647=AB647,IF(NoDrawWithWithdraw,IF(AL647=Y647,"",IF(AL647=AC647,"",AC647)),AC647),""))</f>
        <v/>
      </c>
      <c r="AH647" s="270" t="str">
        <f>IF(Z647="","",IF(Z647&lt;AB647,Y647,IF(Z647=AB647,IF(NoDrawWithWithdraw,IF(AL647=Y647,Y647,IF(AL647=AC647,AC647,"")),""),AC647)))</f>
        <v/>
      </c>
      <c r="AI647" s="270" t="str">
        <f>IF(Z647="","",SUM(Z648:Z651))</f>
        <v/>
      </c>
      <c r="AJ647" s="270" t="str">
        <f>IF(Z647="","",SUM(AB648:AB651))</f>
        <v/>
      </c>
      <c r="AK647" s="270" t="str">
        <f>CONCATENATE(AE647,AH647)</f>
        <v/>
      </c>
      <c r="AL647" s="270" t="str">
        <f>IF(COUNTIF(Y648:Y651,WithdrawLabel)&gt;COUNTIF(AC648:AC651,WithdrawLabel),Y647,IF(COUNTIF(AC648:AC651,WithdrawLabel)&gt;COUNTIF(Y648:Y651,WithdrawLabel),AC647,""))</f>
        <v/>
      </c>
      <c r="AM647" s="270"/>
      <c r="AN647" s="270"/>
      <c r="AO647" s="271"/>
      <c r="AP647" s="270"/>
      <c r="AQ647" s="270"/>
      <c r="AR647" s="270"/>
      <c r="AS647" s="270"/>
      <c r="AT647" s="270"/>
      <c r="AU647" s="270"/>
      <c r="AV647" s="270"/>
      <c r="AW647" s="270"/>
      <c r="AX647" s="270"/>
      <c r="AY647" s="1072"/>
      <c r="AZ647" s="270"/>
      <c r="BA647" s="270"/>
      <c r="BB647" s="1072"/>
      <c r="BC647" s="270"/>
      <c r="BD647" s="270"/>
      <c r="BE647" s="270"/>
      <c r="BF647" s="270"/>
      <c r="BG647" s="270"/>
      <c r="BH647" s="270"/>
      <c r="BI647" s="270"/>
      <c r="BJ647" s="270"/>
      <c r="BK647" s="270"/>
      <c r="BL647" s="270"/>
      <c r="BM647" s="270"/>
      <c r="BN647" s="270"/>
      <c r="BO647" s="270"/>
      <c r="BP647" s="270"/>
      <c r="BQ647" s="270"/>
      <c r="BR647" s="270"/>
      <c r="BS647" s="270"/>
      <c r="BT647" s="270"/>
      <c r="BU647" s="270"/>
      <c r="BV647" s="270"/>
      <c r="BW647" s="270"/>
      <c r="BX647" s="270"/>
      <c r="BY647" s="270"/>
      <c r="BZ647" s="270"/>
      <c r="CA647" s="270"/>
      <c r="CB647" s="270"/>
      <c r="CC647" s="270"/>
      <c r="CD647" s="270"/>
      <c r="CE647"/>
      <c r="CF647" s="1396"/>
      <c r="CG647" s="1396"/>
      <c r="CH647" s="270"/>
      <c r="CI647" s="270"/>
      <c r="CJ647" s="270"/>
      <c r="CK647" s="270"/>
      <c r="CL647" s="270"/>
      <c r="CM647" s="270"/>
    </row>
    <row r="648" spans="1:91" ht="13.5" hidden="1" outlineLevel="3" thickBot="1" x14ac:dyDescent="0.25">
      <c r="A648" s="270"/>
      <c r="B648" s="271"/>
      <c r="C648" s="12"/>
      <c r="D648" s="1071"/>
      <c r="E648" s="1071"/>
      <c r="F648" s="1071"/>
      <c r="G648" s="1172"/>
      <c r="H648" s="271"/>
      <c r="I648" s="270"/>
      <c r="J648" s="270"/>
      <c r="K648" s="270"/>
      <c r="L648" s="270"/>
      <c r="M648" s="270"/>
      <c r="N648" s="270"/>
      <c r="O648" s="270"/>
      <c r="P648" s="1072"/>
      <c r="Q648" s="270"/>
      <c r="R648" s="270"/>
      <c r="S648" s="1072"/>
      <c r="T648" s="270"/>
      <c r="U648" s="1019"/>
      <c r="V648" s="1176"/>
      <c r="W648" s="1177"/>
      <c r="X648" s="1207"/>
      <c r="Y648" s="627"/>
      <c r="Z648" s="492"/>
      <c r="AA648" s="493" t="s">
        <v>769</v>
      </c>
      <c r="AB648" s="1069"/>
      <c r="AC648" s="1070"/>
      <c r="AD648" s="839"/>
      <c r="AE648" s="270" t="str">
        <f>IF(Z648="","",IF(Z648&gt;AB648,Y648,IF(Z648=AB648,"",AC648)))</f>
        <v/>
      </c>
      <c r="AF648" s="270" t="str">
        <f>IF(Z648="","",IF(Z648=AB648,Y648,""))</f>
        <v/>
      </c>
      <c r="AG648" s="270" t="str">
        <f>IF(Z648="","",IF(Z648=AB648,AC648,""))</f>
        <v/>
      </c>
      <c r="AH648" s="270" t="str">
        <f>IF(Z648="","",IF(Z648&lt;AB648,Y648,IF(Z648=AB648,"",AC648)))</f>
        <v/>
      </c>
      <c r="AI648" s="270" t="str">
        <f>IF(Z648="","",IF(Z648&gt;AB648,Y647,""))</f>
        <v/>
      </c>
      <c r="AJ648" s="270" t="str">
        <f>IF(Z648="","",IF(Z648&lt;AB648,AC647,""))</f>
        <v/>
      </c>
      <c r="AK648" s="270" t="str">
        <f>CONCATENATE(AE648,AH648)</f>
        <v/>
      </c>
      <c r="AL648" s="270"/>
      <c r="AM648" s="270"/>
      <c r="AN648" s="270"/>
      <c r="AO648" s="271"/>
      <c r="AP648" s="270"/>
      <c r="AQ648" s="270"/>
      <c r="AR648" s="270"/>
      <c r="AS648" s="270"/>
      <c r="AT648" s="270"/>
      <c r="AU648" s="270"/>
      <c r="AV648" s="270"/>
      <c r="AW648" s="270"/>
      <c r="AX648" s="270"/>
      <c r="AY648" s="1072"/>
      <c r="AZ648" s="270"/>
      <c r="BA648" s="270"/>
      <c r="BB648" s="1072"/>
      <c r="BC648" s="270"/>
      <c r="BD648" s="270"/>
      <c r="BE648" s="270"/>
      <c r="BF648" s="270"/>
      <c r="BG648" s="270"/>
      <c r="BH648" s="270"/>
      <c r="BI648" s="270"/>
      <c r="BJ648" s="270"/>
      <c r="BK648" s="270"/>
      <c r="BL648" s="270"/>
      <c r="BM648" s="270"/>
      <c r="BN648" s="270"/>
      <c r="BO648" s="270"/>
      <c r="BP648" s="270"/>
      <c r="BQ648" s="270"/>
      <c r="BR648" s="270"/>
      <c r="BS648" s="270"/>
      <c r="BT648" s="270"/>
      <c r="BU648" s="270"/>
      <c r="BV648" s="270"/>
      <c r="BW648" s="270"/>
      <c r="BX648" s="270"/>
      <c r="BY648" s="270"/>
      <c r="BZ648" s="270"/>
      <c r="CA648" s="270"/>
      <c r="CB648" s="270"/>
      <c r="CC648" s="270"/>
      <c r="CD648" s="270"/>
      <c r="CE648"/>
      <c r="CF648" s="1396"/>
      <c r="CG648" s="1396"/>
      <c r="CH648" s="270"/>
      <c r="CI648" s="270"/>
      <c r="CJ648" s="270"/>
      <c r="CK648" s="270"/>
      <c r="CL648" s="270"/>
      <c r="CM648" s="270"/>
    </row>
    <row r="649" spans="1:91" ht="13.5" hidden="1" outlineLevel="3" thickBot="1" x14ac:dyDescent="0.25">
      <c r="A649" s="270"/>
      <c r="B649" s="271"/>
      <c r="C649" s="12"/>
      <c r="D649" s="1071"/>
      <c r="E649" s="1071"/>
      <c r="F649" s="1071"/>
      <c r="G649" s="1172"/>
      <c r="H649" s="271"/>
      <c r="I649" s="270"/>
      <c r="J649" s="270"/>
      <c r="K649" s="270"/>
      <c r="L649" s="270"/>
      <c r="M649" s="270"/>
      <c r="N649" s="270"/>
      <c r="O649" s="270"/>
      <c r="P649" s="1072"/>
      <c r="Q649" s="270"/>
      <c r="R649" s="270"/>
      <c r="S649" s="1072"/>
      <c r="T649" s="270"/>
      <c r="U649" s="1019"/>
      <c r="V649" s="1176"/>
      <c r="W649" s="1177"/>
      <c r="X649" s="1207"/>
      <c r="Y649" s="627"/>
      <c r="Z649" s="492"/>
      <c r="AA649" s="493" t="s">
        <v>769</v>
      </c>
      <c r="AB649" s="1069"/>
      <c r="AC649" s="1070"/>
      <c r="AD649" s="839"/>
      <c r="AE649" s="270" t="str">
        <f>IF(Z649="","",IF(Z649&gt;AB649,Y649,IF(Z649=AB649,"",AC649)))</f>
        <v/>
      </c>
      <c r="AF649" s="270" t="str">
        <f>IF(Z649="","",IF(Z649=AB649,Y649,""))</f>
        <v/>
      </c>
      <c r="AG649" s="270" t="str">
        <f>IF(Z649="","",IF(Z649=AB649,AC649,""))</f>
        <v/>
      </c>
      <c r="AH649" s="270" t="str">
        <f>IF(Z649="","",IF(Z649&lt;AB649,Y649,IF(Z649=AB649,"",AC649)))</f>
        <v/>
      </c>
      <c r="AI649" s="270" t="str">
        <f>IF(Z649="","",IF(Z649&gt;AB649,Y647,""))</f>
        <v/>
      </c>
      <c r="AJ649" s="270" t="str">
        <f>IF(Z649="","",IF(Z649&lt;AB649,AC647,""))</f>
        <v/>
      </c>
      <c r="AK649" s="270" t="str">
        <f>CONCATENATE(AE649,AH649)</f>
        <v/>
      </c>
      <c r="AL649" s="270"/>
      <c r="AM649" s="270"/>
      <c r="AN649" s="270"/>
      <c r="AO649" s="271"/>
      <c r="AP649" s="270"/>
      <c r="AQ649" s="270"/>
      <c r="AR649" s="270"/>
      <c r="AS649" s="270"/>
      <c r="AT649" s="270"/>
      <c r="AU649" s="270"/>
      <c r="AV649" s="270"/>
      <c r="AW649" s="270"/>
      <c r="AX649" s="270"/>
      <c r="AY649" s="1072"/>
      <c r="AZ649" s="270"/>
      <c r="BA649" s="270"/>
      <c r="BB649" s="1072"/>
      <c r="BC649" s="270"/>
      <c r="BD649" s="270"/>
      <c r="BE649" s="270"/>
      <c r="BF649" s="270"/>
      <c r="BG649" s="270"/>
      <c r="BH649" s="270"/>
      <c r="BI649" s="270"/>
      <c r="BJ649" s="270"/>
      <c r="BK649" s="270"/>
      <c r="BL649" s="270"/>
      <c r="BM649" s="270"/>
      <c r="BN649" s="270"/>
      <c r="BO649" s="270"/>
      <c r="BP649" s="270"/>
      <c r="BQ649" s="270"/>
      <c r="BR649" s="270"/>
      <c r="BS649" s="270"/>
      <c r="BT649" s="270"/>
      <c r="BU649" s="270"/>
      <c r="BV649" s="270"/>
      <c r="BW649" s="270"/>
      <c r="BX649" s="270"/>
      <c r="BY649" s="270"/>
      <c r="BZ649" s="270"/>
      <c r="CA649" s="270"/>
      <c r="CB649" s="270"/>
      <c r="CC649" s="270"/>
      <c r="CD649" s="270"/>
      <c r="CE649"/>
      <c r="CF649" s="1396"/>
      <c r="CG649" s="1396"/>
      <c r="CH649" s="270"/>
      <c r="CI649" s="270"/>
      <c r="CJ649" s="270"/>
      <c r="CK649" s="270"/>
      <c r="CL649" s="270"/>
      <c r="CM649" s="270"/>
    </row>
    <row r="650" spans="1:91" ht="13.5" hidden="1" outlineLevel="3" thickBot="1" x14ac:dyDescent="0.25">
      <c r="A650" s="270"/>
      <c r="B650" s="271"/>
      <c r="C650" s="12"/>
      <c r="D650" s="1071"/>
      <c r="E650" s="1071"/>
      <c r="F650" s="1071"/>
      <c r="G650" s="1172"/>
      <c r="H650" s="271"/>
      <c r="I650" s="270"/>
      <c r="J650" s="270"/>
      <c r="K650" s="270"/>
      <c r="L650" s="270"/>
      <c r="M650" s="270"/>
      <c r="N650" s="270"/>
      <c r="O650" s="270"/>
      <c r="P650" s="1072"/>
      <c r="Q650" s="270"/>
      <c r="R650" s="270"/>
      <c r="S650" s="1072"/>
      <c r="T650" s="270"/>
      <c r="U650" s="1019"/>
      <c r="V650" s="1176"/>
      <c r="W650" s="1177"/>
      <c r="X650" s="1207"/>
      <c r="Y650" s="627"/>
      <c r="Z650" s="492"/>
      <c r="AA650" s="493" t="s">
        <v>769</v>
      </c>
      <c r="AB650" s="1069"/>
      <c r="AC650" s="1070"/>
      <c r="AD650" s="839"/>
      <c r="AE650" s="270" t="str">
        <f>IF(Z650="","",IF(Z650&gt;AB650,Y650,IF(Z650=AB650,"",AC650)))</f>
        <v/>
      </c>
      <c r="AF650" s="270" t="str">
        <f>IF(Z650="","",IF(Z650=AB650,Y650,""))</f>
        <v/>
      </c>
      <c r="AG650" s="270" t="str">
        <f>IF(Z650="","",IF(Z650=AB650,AC650,""))</f>
        <v/>
      </c>
      <c r="AH650" s="270" t="str">
        <f>IF(Z650="","",IF(Z650&lt;AB650,Y650,IF(Z650=AB650,"",AC650)))</f>
        <v/>
      </c>
      <c r="AI650" s="270" t="str">
        <f>IF(Z650="","",IF(Z650&gt;AB650,Y647,""))</f>
        <v/>
      </c>
      <c r="AJ650" s="270" t="str">
        <f>IF(Z650="","",IF(Z650&lt;AB650,AC647,""))</f>
        <v/>
      </c>
      <c r="AK650" s="270" t="str">
        <f>CONCATENATE(AE650,AH650)</f>
        <v/>
      </c>
      <c r="AL650" s="270"/>
      <c r="AM650" s="270"/>
      <c r="AN650" s="270"/>
      <c r="AO650" s="271"/>
      <c r="AP650" s="270"/>
      <c r="AQ650" s="270"/>
      <c r="AR650" s="270"/>
      <c r="AS650" s="270"/>
      <c r="AT650" s="270"/>
      <c r="AU650" s="270"/>
      <c r="AV650" s="270"/>
      <c r="AW650" s="270"/>
      <c r="AX650" s="270"/>
      <c r="AY650" s="1072"/>
      <c r="AZ650" s="270"/>
      <c r="BA650" s="270"/>
      <c r="BB650" s="1072"/>
      <c r="BC650" s="270"/>
      <c r="BD650" s="270"/>
      <c r="BE650" s="270"/>
      <c r="BF650" s="270"/>
      <c r="BG650" s="270"/>
      <c r="BH650" s="270"/>
      <c r="BI650" s="270"/>
      <c r="BJ650" s="270"/>
      <c r="BK650" s="270"/>
      <c r="BL650" s="270"/>
      <c r="BM650" s="270"/>
      <c r="BN650" s="270"/>
      <c r="BO650" s="270"/>
      <c r="BP650" s="270"/>
      <c r="BQ650" s="270"/>
      <c r="BR650" s="270"/>
      <c r="BS650" s="270"/>
      <c r="BT650" s="270"/>
      <c r="BU650" s="270"/>
      <c r="BV650" s="270"/>
      <c r="BW650" s="270"/>
      <c r="BX650" s="270"/>
      <c r="BY650" s="270"/>
      <c r="BZ650" s="270"/>
      <c r="CA650" s="270"/>
      <c r="CB650" s="270"/>
      <c r="CC650" s="270"/>
      <c r="CD650" s="270"/>
      <c r="CE650"/>
      <c r="CF650" s="1396"/>
      <c r="CG650" s="1396"/>
      <c r="CH650" s="270"/>
      <c r="CI650" s="270"/>
      <c r="CJ650" s="270"/>
      <c r="CK650" s="270"/>
      <c r="CL650" s="270"/>
      <c r="CM650" s="270"/>
    </row>
    <row r="651" spans="1:91" ht="13.5" hidden="1" outlineLevel="3" thickBot="1" x14ac:dyDescent="0.25">
      <c r="A651" s="270"/>
      <c r="B651" s="271"/>
      <c r="C651" s="12"/>
      <c r="D651" s="1071"/>
      <c r="E651" s="1071"/>
      <c r="F651" s="1071"/>
      <c r="G651" s="1172"/>
      <c r="H651" s="271"/>
      <c r="I651" s="270"/>
      <c r="J651" s="270"/>
      <c r="K651" s="270"/>
      <c r="L651" s="270"/>
      <c r="M651" s="270"/>
      <c r="N651" s="270"/>
      <c r="O651" s="270"/>
      <c r="P651" s="1072"/>
      <c r="Q651" s="270"/>
      <c r="R651" s="270"/>
      <c r="S651" s="1072"/>
      <c r="T651" s="270"/>
      <c r="U651" s="1019"/>
      <c r="V651" s="1176"/>
      <c r="W651" s="1177"/>
      <c r="X651" s="1207"/>
      <c r="Y651" s="627"/>
      <c r="Z651" s="492"/>
      <c r="AA651" s="493" t="s">
        <v>769</v>
      </c>
      <c r="AB651" s="1069"/>
      <c r="AC651" s="1070"/>
      <c r="AD651" s="839"/>
      <c r="AE651" s="270" t="str">
        <f>IF(Z651="","",IF(Z651&gt;AB651,Y651,IF(Z651=AB651,"",AC651)))</f>
        <v/>
      </c>
      <c r="AF651" s="270" t="str">
        <f>IF(Z651="","",IF(Z651=AB651,Y651,""))</f>
        <v/>
      </c>
      <c r="AG651" s="270" t="str">
        <f>IF(Z651="","",IF(Z651=AB651,AC651,""))</f>
        <v/>
      </c>
      <c r="AH651" s="270" t="str">
        <f>IF(Z651="","",IF(Z651&lt;AB651,Y651,IF(Z651=AB651,"",AC651)))</f>
        <v/>
      </c>
      <c r="AI651" s="270" t="str">
        <f>IF(Z651="","",IF(Z651&gt;AB651,Y647,""))</f>
        <v/>
      </c>
      <c r="AJ651" s="270" t="str">
        <f>IF(Z651="","",IF(Z651&lt;AB651,AC647,""))</f>
        <v/>
      </c>
      <c r="AK651" s="270" t="str">
        <f>CONCATENATE(AE651,AH651)</f>
        <v/>
      </c>
      <c r="AL651" s="270"/>
      <c r="AM651" s="270"/>
      <c r="AN651" s="270"/>
      <c r="AO651" s="271"/>
      <c r="AP651" s="270"/>
      <c r="AQ651" s="270"/>
      <c r="AR651" s="270"/>
      <c r="AS651" s="270"/>
      <c r="AT651" s="270"/>
      <c r="AU651" s="270"/>
      <c r="AV651" s="270"/>
      <c r="AW651" s="270"/>
      <c r="AX651" s="270"/>
      <c r="AY651" s="1072"/>
      <c r="AZ651" s="270"/>
      <c r="BA651" s="270"/>
      <c r="BB651" s="1072"/>
      <c r="BC651" s="270"/>
      <c r="BD651" s="270"/>
      <c r="BE651" s="270"/>
      <c r="BF651" s="270"/>
      <c r="BG651" s="270"/>
      <c r="BH651" s="270"/>
      <c r="BI651" s="270"/>
      <c r="BJ651" s="270"/>
      <c r="BK651" s="270"/>
      <c r="BL651" s="270"/>
      <c r="BM651" s="270"/>
      <c r="BN651" s="270"/>
      <c r="BO651" s="270"/>
      <c r="BP651" s="270"/>
      <c r="BQ651" s="270"/>
      <c r="BR651" s="270"/>
      <c r="BS651" s="270"/>
      <c r="BT651" s="270"/>
      <c r="BU651" s="270"/>
      <c r="BV651" s="270"/>
      <c r="BW651" s="270"/>
      <c r="BX651" s="270"/>
      <c r="BY651" s="270"/>
      <c r="BZ651" s="270"/>
      <c r="CA651" s="270"/>
      <c r="CB651" s="270"/>
      <c r="CC651" s="270"/>
      <c r="CD651" s="270"/>
      <c r="CE651"/>
      <c r="CF651" s="1396"/>
      <c r="CG651" s="1396"/>
      <c r="CH651" s="270"/>
      <c r="CI651" s="270"/>
      <c r="CJ651" s="270"/>
      <c r="CK651" s="270"/>
      <c r="CL651" s="270"/>
      <c r="CM651" s="270"/>
    </row>
    <row r="652" spans="1:91" ht="13.5" hidden="1" outlineLevel="3" thickBot="1" x14ac:dyDescent="0.25">
      <c r="A652" s="270"/>
      <c r="B652" s="271"/>
      <c r="C652" s="12"/>
      <c r="D652" s="1071"/>
      <c r="E652" s="1071"/>
      <c r="F652" s="1071"/>
      <c r="G652" s="626"/>
      <c r="H652" s="271"/>
      <c r="I652" s="270"/>
      <c r="J652" s="270"/>
      <c r="K652" s="270"/>
      <c r="L652" s="270"/>
      <c r="M652" s="270"/>
      <c r="N652" s="270"/>
      <c r="O652" s="270"/>
      <c r="P652" s="1072"/>
      <c r="Q652" s="270"/>
      <c r="R652" s="270"/>
      <c r="S652" s="1072"/>
      <c r="T652" s="270"/>
      <c r="U652" s="1019"/>
      <c r="V652" s="1073"/>
      <c r="W652" s="1074"/>
      <c r="X652" s="1075" t="str">
        <f>N_Substitute</f>
        <v>Remplaçant</v>
      </c>
      <c r="Y652" s="627"/>
      <c r="Z652" s="492"/>
      <c r="AA652" s="1076"/>
      <c r="AB652" s="1069"/>
      <c r="AC652" s="1070"/>
      <c r="AD652" s="839"/>
      <c r="AE652" s="270"/>
      <c r="AF652" s="270"/>
      <c r="AG652" s="270"/>
      <c r="AH652" s="270"/>
      <c r="AI652" s="270"/>
      <c r="AJ652" s="270"/>
      <c r="AK652" s="270"/>
      <c r="AL652" s="270"/>
      <c r="AM652" s="270"/>
      <c r="AN652" s="270"/>
      <c r="AO652" s="271"/>
      <c r="AP652" s="270"/>
      <c r="AQ652" s="270"/>
      <c r="AR652" s="270"/>
      <c r="AS652" s="270"/>
      <c r="AT652" s="270"/>
      <c r="AU652" s="270"/>
      <c r="AV652" s="270"/>
      <c r="AW652" s="270"/>
      <c r="AX652" s="270"/>
      <c r="AY652" s="1072"/>
      <c r="AZ652" s="270"/>
      <c r="BA652" s="270"/>
      <c r="BB652" s="1072"/>
      <c r="BC652" s="270"/>
      <c r="BD652" s="270"/>
      <c r="BE652" s="270"/>
      <c r="BF652" s="270"/>
      <c r="BG652" s="270"/>
      <c r="BH652" s="270"/>
      <c r="BI652" s="270"/>
      <c r="BJ652" s="270"/>
      <c r="BK652" s="270"/>
      <c r="BL652" s="270"/>
      <c r="BM652" s="270"/>
      <c r="BN652" s="270"/>
      <c r="BO652" s="270"/>
      <c r="BP652" s="270"/>
      <c r="BQ652" s="270"/>
      <c r="BR652" s="270"/>
      <c r="BS652" s="270"/>
      <c r="BT652" s="270"/>
      <c r="BU652" s="270"/>
      <c r="BV652" s="270"/>
      <c r="BW652" s="270"/>
      <c r="BX652" s="270"/>
      <c r="BY652" s="270"/>
      <c r="BZ652" s="270"/>
      <c r="CA652" s="270"/>
      <c r="CB652" s="270"/>
      <c r="CC652" s="270"/>
      <c r="CD652" s="270"/>
      <c r="CE652"/>
      <c r="CF652" s="1396"/>
      <c r="CG652" s="1396"/>
      <c r="CH652" s="270"/>
      <c r="CI652" s="270"/>
      <c r="CJ652" s="270"/>
      <c r="CK652" s="270"/>
      <c r="CL652" s="270"/>
      <c r="CM652" s="270"/>
    </row>
    <row r="653" spans="1:91" ht="13.5" hidden="1" outlineLevel="3" thickBot="1" x14ac:dyDescent="0.25">
      <c r="A653" s="270"/>
      <c r="B653" s="271"/>
      <c r="C653" s="12"/>
      <c r="D653" s="1071"/>
      <c r="E653" s="1071"/>
      <c r="F653" s="1071"/>
      <c r="G653" s="626"/>
      <c r="H653" s="271"/>
      <c r="I653" s="270"/>
      <c r="J653" s="270"/>
      <c r="K653" s="270"/>
      <c r="L653" s="270"/>
      <c r="M653" s="270"/>
      <c r="N653" s="270"/>
      <c r="O653" s="270"/>
      <c r="P653" s="1072"/>
      <c r="Q653" s="270"/>
      <c r="R653" s="270"/>
      <c r="S653" s="1072"/>
      <c r="T653" s="270"/>
      <c r="U653" s="1019"/>
      <c r="V653" s="1119"/>
      <c r="W653" s="1120"/>
      <c r="X653" s="1075" t="str">
        <f>N_Substitute</f>
        <v>Remplaçant</v>
      </c>
      <c r="Y653" s="627"/>
      <c r="Z653" s="492"/>
      <c r="AA653" s="1121"/>
      <c r="AB653" s="1069"/>
      <c r="AC653" s="1070"/>
      <c r="AD653" s="839"/>
      <c r="AE653" s="270"/>
      <c r="AF653" s="270"/>
      <c r="AG653" s="270"/>
      <c r="AH653" s="270"/>
      <c r="AI653" s="270"/>
      <c r="AJ653" s="270"/>
      <c r="AK653" s="270"/>
      <c r="AL653" s="270"/>
      <c r="AM653" s="270"/>
      <c r="AN653" s="270"/>
      <c r="AO653" s="271"/>
      <c r="AP653" s="270"/>
      <c r="AQ653" s="270"/>
      <c r="AR653" s="270"/>
      <c r="AS653" s="270"/>
      <c r="AT653" s="270"/>
      <c r="AU653" s="270"/>
      <c r="AV653" s="270"/>
      <c r="AW653" s="270"/>
      <c r="AX653" s="270"/>
      <c r="AY653" s="1072"/>
      <c r="AZ653" s="270"/>
      <c r="BA653" s="270"/>
      <c r="BB653" s="1072"/>
      <c r="BC653" s="270"/>
      <c r="BD653" s="270"/>
      <c r="BE653" s="270"/>
      <c r="BF653" s="270"/>
      <c r="BG653" s="270"/>
      <c r="BH653" s="270"/>
      <c r="BI653" s="270"/>
      <c r="BJ653" s="270"/>
      <c r="BK653" s="270"/>
      <c r="BL653" s="270"/>
      <c r="BM653" s="270"/>
      <c r="BN653" s="270"/>
      <c r="BO653" s="270"/>
      <c r="BP653" s="270"/>
      <c r="BQ653" s="270"/>
      <c r="BR653" s="270"/>
      <c r="BS653" s="270"/>
      <c r="BT653" s="270"/>
      <c r="BU653" s="270"/>
      <c r="BV653" s="270"/>
      <c r="BW653" s="270"/>
      <c r="BX653" s="270"/>
      <c r="BY653" s="270"/>
      <c r="BZ653" s="270"/>
      <c r="CA653" s="270"/>
      <c r="CB653" s="270"/>
      <c r="CC653" s="270"/>
      <c r="CD653" s="270"/>
      <c r="CE653"/>
      <c r="CF653" s="1396"/>
      <c r="CG653" s="1396"/>
      <c r="CH653" s="270"/>
      <c r="CI653" s="270"/>
      <c r="CJ653" s="270"/>
      <c r="CK653" s="270"/>
      <c r="CL653" s="270"/>
      <c r="CM653" s="270"/>
    </row>
    <row r="654" spans="1:91" hidden="1" outlineLevel="2" collapsed="1" x14ac:dyDescent="0.2">
      <c r="A654" s="270"/>
      <c r="B654" s="271"/>
      <c r="C654" s="270"/>
      <c r="D654" s="270"/>
      <c r="E654" s="270"/>
      <c r="F654" s="270"/>
      <c r="G654" s="271"/>
      <c r="H654" s="270"/>
      <c r="I654" s="270"/>
      <c r="J654" s="270"/>
      <c r="K654" s="270"/>
      <c r="L654" s="270"/>
      <c r="M654" s="270"/>
      <c r="N654" s="270"/>
      <c r="O654" s="270"/>
      <c r="P654" s="270"/>
      <c r="Q654" s="270"/>
      <c r="R654" s="270"/>
      <c r="S654" s="270"/>
      <c r="T654" s="270"/>
      <c r="U654" s="1019" t="s">
        <v>1731</v>
      </c>
      <c r="V654" s="1179"/>
      <c r="W654" s="1177"/>
      <c r="X654" s="1533"/>
      <c r="Y654" s="1180" t="str">
        <f>G502</f>
        <v>Eq5</v>
      </c>
      <c r="Z654" s="1123" t="str">
        <f>IF(OR(ISNUMBER(Z655),ISNUMBER(Z656),ISNUMBER(Z657),ISNUMBER(Z658)),4-COUNTBLANK(AI655:AI658),"")</f>
        <v/>
      </c>
      <c r="AA654" s="1124" t="s">
        <v>769</v>
      </c>
      <c r="AB654" s="1125" t="str">
        <f>IF(OR(ISNUMBER(Z655),ISNUMBER(Z656),ISNUMBER(Z657),ISNUMBER(Z658)),4-COUNTBLANK(AJ655:AJ658),"")</f>
        <v/>
      </c>
      <c r="AC654" s="1181" t="str">
        <f>G499</f>
        <v>Eq2</v>
      </c>
      <c r="AD654" s="839"/>
      <c r="AE654" s="270" t="str">
        <f>IF(Z654="","",IF(Z654&gt;AB654,Y654,IF(Z654=AB654,IF(NoDrawWithWithdraw,IF(AL654=Y654,AC654,IF(AL654=AC654,Y654,"")),""),AC654)))</f>
        <v/>
      </c>
      <c r="AF654" s="270" t="str">
        <f>IF(Z654="","",IF(Z654=AB654,IF(NoDrawWithWithdraw,IF(AL654=Y654,"",IF(AL654=AC654,"",Y654)),Y654),""))</f>
        <v/>
      </c>
      <c r="AG654" s="270" t="str">
        <f>IF(Z654="","",IF(Z654=AB654,IF(NoDrawWithWithdraw,IF(AL654=Y654,"",IF(AL654=AC654,"",AC654)),AC654),""))</f>
        <v/>
      </c>
      <c r="AH654" s="270" t="str">
        <f>IF(Z654="","",IF(Z654&lt;AB654,Y654,IF(Z654=AB654,IF(NoDrawWithWithdraw,IF(AL654=Y654,Y654,IF(AL654=AC654,AC654,"")),""),AC654)))</f>
        <v/>
      </c>
      <c r="AI654" s="270" t="str">
        <f>IF(Z654="","",SUM(Z655:Z658))</f>
        <v/>
      </c>
      <c r="AJ654" s="270" t="str">
        <f>IF(Z654="","",SUM(AB655:AB658))</f>
        <v/>
      </c>
      <c r="AK654" s="270" t="str">
        <f>CONCATENATE(AE654,AH654)</f>
        <v/>
      </c>
      <c r="AL654" s="270" t="str">
        <f>IF(COUNTIF(Y655:Y658,WithdrawLabel)&gt;COUNTIF(AC655:AC658,WithdrawLabel),Y654,IF(COUNTIF(AC655:AC658,WithdrawLabel)&gt;COUNTIF(Y655:Y658,WithdrawLabel),AC654,""))</f>
        <v/>
      </c>
      <c r="AM654" s="270"/>
      <c r="AN654" s="270"/>
      <c r="AO654" s="575"/>
      <c r="AP654" s="270"/>
      <c r="AQ654" s="270"/>
      <c r="AR654" s="270"/>
      <c r="AS654" s="270"/>
      <c r="AT654" s="270"/>
      <c r="AU654" s="270"/>
      <c r="AV654" s="270"/>
      <c r="AW654" s="270"/>
      <c r="AX654" s="270"/>
      <c r="AY654" s="270"/>
      <c r="AZ654" s="270"/>
      <c r="BA654" s="270"/>
      <c r="BB654" s="270"/>
      <c r="BC654" s="270"/>
      <c r="BD654" s="270"/>
      <c r="BE654" s="270"/>
      <c r="BF654" s="270"/>
      <c r="BG654" s="270"/>
      <c r="BH654" s="270"/>
      <c r="BI654" s="270"/>
      <c r="BJ654" s="270"/>
      <c r="BK654" s="270"/>
      <c r="BL654" s="270"/>
      <c r="BM654" s="270"/>
      <c r="BN654" s="270"/>
      <c r="BO654" s="270"/>
      <c r="BP654" s="270"/>
      <c r="BQ654" s="270"/>
      <c r="BR654" s="270"/>
      <c r="BS654" s="270"/>
      <c r="BT654" s="270"/>
      <c r="BU654" s="270"/>
      <c r="BV654" s="270"/>
      <c r="BW654" s="270"/>
      <c r="BX654" s="270"/>
      <c r="BY654" s="270"/>
      <c r="BZ654" s="270"/>
      <c r="CA654" s="270"/>
      <c r="CB654" s="270"/>
      <c r="CC654" s="270"/>
      <c r="CD654" s="270"/>
      <c r="CE654"/>
      <c r="CF654" s="1396"/>
      <c r="CG654" s="1396"/>
      <c r="CH654" s="270"/>
      <c r="CI654" s="270"/>
      <c r="CJ654" s="270"/>
      <c r="CK654" s="270"/>
      <c r="CL654" s="270"/>
      <c r="CM654" s="270"/>
    </row>
    <row r="655" spans="1:91" ht="13.5" hidden="1" outlineLevel="3" thickBot="1" x14ac:dyDescent="0.25">
      <c r="A655" s="270"/>
      <c r="B655" s="271"/>
      <c r="C655" s="12"/>
      <c r="D655" s="1071"/>
      <c r="E655" s="1071"/>
      <c r="F655" s="1071"/>
      <c r="G655" s="1172"/>
      <c r="H655" s="271"/>
      <c r="I655" s="270"/>
      <c r="J655" s="270"/>
      <c r="K655" s="270"/>
      <c r="L655" s="270"/>
      <c r="M655" s="270"/>
      <c r="N655" s="270"/>
      <c r="O655" s="270"/>
      <c r="P655" s="1072"/>
      <c r="Q655" s="270"/>
      <c r="R655" s="270"/>
      <c r="S655" s="1072"/>
      <c r="T655" s="270"/>
      <c r="U655" s="1019"/>
      <c r="V655" s="1176"/>
      <c r="W655" s="1177"/>
      <c r="X655" s="1207"/>
      <c r="Y655" s="627"/>
      <c r="Z655" s="492"/>
      <c r="AA655" s="493" t="s">
        <v>769</v>
      </c>
      <c r="AB655" s="1069"/>
      <c r="AC655" s="1070"/>
      <c r="AD655" s="839"/>
      <c r="AE655" s="270" t="str">
        <f>IF(Z655="","",IF(Z655&gt;AB655,Y655,IF(Z655=AB655,"",AC655)))</f>
        <v/>
      </c>
      <c r="AF655" s="270" t="str">
        <f>IF(Z655="","",IF(Z655=AB655,Y655,""))</f>
        <v/>
      </c>
      <c r="AG655" s="270" t="str">
        <f>IF(Z655="","",IF(Z655=AB655,AC655,""))</f>
        <v/>
      </c>
      <c r="AH655" s="270" t="str">
        <f>IF(Z655="","",IF(Z655&lt;AB655,Y655,IF(Z655=AB655,"",AC655)))</f>
        <v/>
      </c>
      <c r="AI655" s="270" t="str">
        <f>IF(Z655="","",IF(Z655&gt;AB655,Y654,""))</f>
        <v/>
      </c>
      <c r="AJ655" s="270" t="str">
        <f>IF(Z655="","",IF(Z655&lt;AB655,AC654,""))</f>
        <v/>
      </c>
      <c r="AK655" s="270" t="str">
        <f>CONCATENATE(AE655,AH655)</f>
        <v/>
      </c>
      <c r="AL655" s="270"/>
      <c r="AM655" s="270"/>
      <c r="AN655" s="270"/>
      <c r="AO655" s="271"/>
      <c r="AP655" s="270"/>
      <c r="AQ655" s="270"/>
      <c r="AR655" s="270"/>
      <c r="AS655" s="270"/>
      <c r="AT655" s="270"/>
      <c r="AU655" s="270"/>
      <c r="AV655" s="270"/>
      <c r="AW655" s="270"/>
      <c r="AX655" s="270"/>
      <c r="AY655" s="1072"/>
      <c r="AZ655" s="270"/>
      <c r="BA655" s="270"/>
      <c r="BB655" s="1072"/>
      <c r="BC655" s="270"/>
      <c r="BD655" s="270"/>
      <c r="BE655" s="270"/>
      <c r="BF655" s="270"/>
      <c r="BG655" s="270"/>
      <c r="BH655" s="270"/>
      <c r="BI655" s="270"/>
      <c r="BJ655" s="270"/>
      <c r="BK655" s="270"/>
      <c r="BL655" s="270"/>
      <c r="BM655" s="270"/>
      <c r="BN655" s="270"/>
      <c r="BO655" s="270"/>
      <c r="BP655" s="270"/>
      <c r="BQ655" s="270"/>
      <c r="BR655" s="270"/>
      <c r="BS655" s="270"/>
      <c r="BT655" s="270"/>
      <c r="BU655" s="270"/>
      <c r="BV655" s="270"/>
      <c r="BW655" s="270"/>
      <c r="BX655" s="270"/>
      <c r="BY655" s="270"/>
      <c r="BZ655" s="270"/>
      <c r="CA655" s="270"/>
      <c r="CB655" s="270"/>
      <c r="CC655" s="270"/>
      <c r="CD655" s="270"/>
      <c r="CE655"/>
      <c r="CF655" s="1396"/>
      <c r="CG655" s="1396"/>
      <c r="CH655" s="270"/>
      <c r="CI655" s="270"/>
      <c r="CJ655" s="270"/>
      <c r="CK655" s="270"/>
      <c r="CL655" s="270"/>
      <c r="CM655" s="270"/>
    </row>
    <row r="656" spans="1:91" ht="13.5" hidden="1" outlineLevel="3" thickBot="1" x14ac:dyDescent="0.25">
      <c r="A656" s="270"/>
      <c r="B656" s="271"/>
      <c r="C656" s="12"/>
      <c r="D656" s="1071"/>
      <c r="E656" s="1071"/>
      <c r="F656" s="1071"/>
      <c r="G656" s="1172"/>
      <c r="H656" s="271"/>
      <c r="I656" s="270"/>
      <c r="J656" s="270"/>
      <c r="K656" s="270"/>
      <c r="L656" s="270"/>
      <c r="M656" s="270"/>
      <c r="N656" s="270"/>
      <c r="O656" s="270"/>
      <c r="P656" s="1072"/>
      <c r="Q656" s="270"/>
      <c r="R656" s="270"/>
      <c r="S656" s="1072"/>
      <c r="T656" s="270"/>
      <c r="U656" s="1019"/>
      <c r="V656" s="1176"/>
      <c r="W656" s="1177"/>
      <c r="X656" s="1207"/>
      <c r="Y656" s="627"/>
      <c r="Z656" s="492"/>
      <c r="AA656" s="493" t="s">
        <v>769</v>
      </c>
      <c r="AB656" s="1069"/>
      <c r="AC656" s="1070"/>
      <c r="AD656" s="839"/>
      <c r="AE656" s="270" t="str">
        <f>IF(Z656="","",IF(Z656&gt;AB656,Y656,IF(Z656=AB656,"",AC656)))</f>
        <v/>
      </c>
      <c r="AF656" s="270" t="str">
        <f>IF(Z656="","",IF(Z656=AB656,Y656,""))</f>
        <v/>
      </c>
      <c r="AG656" s="270" t="str">
        <f>IF(Z656="","",IF(Z656=AB656,AC656,""))</f>
        <v/>
      </c>
      <c r="AH656" s="270" t="str">
        <f>IF(Z656="","",IF(Z656&lt;AB656,Y656,IF(Z656=AB656,"",AC656)))</f>
        <v/>
      </c>
      <c r="AI656" s="270" t="str">
        <f>IF(Z656="","",IF(Z656&gt;AB656,Y654,""))</f>
        <v/>
      </c>
      <c r="AJ656" s="270" t="str">
        <f>IF(Z656="","",IF(Z656&lt;AB656,AC654,""))</f>
        <v/>
      </c>
      <c r="AK656" s="270" t="str">
        <f>CONCATENATE(AE656,AH656)</f>
        <v/>
      </c>
      <c r="AL656" s="270"/>
      <c r="AM656" s="270"/>
      <c r="AN656" s="270"/>
      <c r="AO656" s="271"/>
      <c r="AP656" s="270"/>
      <c r="AQ656" s="270"/>
      <c r="AR656" s="270"/>
      <c r="AS656" s="270"/>
      <c r="AT656" s="270"/>
      <c r="AU656" s="270"/>
      <c r="AV656" s="270"/>
      <c r="AW656" s="270"/>
      <c r="AX656" s="270"/>
      <c r="AY656" s="1072"/>
      <c r="AZ656" s="270"/>
      <c r="BA656" s="270"/>
      <c r="BB656" s="1072"/>
      <c r="BC656" s="270"/>
      <c r="BD656" s="270"/>
      <c r="BE656" s="270"/>
      <c r="BF656" s="270"/>
      <c r="BG656" s="270"/>
      <c r="BH656" s="270"/>
      <c r="BI656" s="270"/>
      <c r="BJ656" s="270"/>
      <c r="BK656" s="270"/>
      <c r="BL656" s="270"/>
      <c r="BM656" s="270"/>
      <c r="BN656" s="270"/>
      <c r="BO656" s="270"/>
      <c r="BP656" s="270"/>
      <c r="BQ656" s="270"/>
      <c r="BR656" s="270"/>
      <c r="BS656" s="270"/>
      <c r="BT656" s="270"/>
      <c r="BU656" s="270"/>
      <c r="BV656" s="270"/>
      <c r="BW656" s="270"/>
      <c r="BX656" s="270"/>
      <c r="BY656" s="270"/>
      <c r="BZ656" s="270"/>
      <c r="CA656" s="270"/>
      <c r="CB656" s="270"/>
      <c r="CC656" s="270"/>
      <c r="CD656" s="270"/>
      <c r="CE656"/>
      <c r="CF656" s="1396"/>
      <c r="CG656" s="1396"/>
      <c r="CH656" s="270"/>
      <c r="CI656" s="270"/>
      <c r="CJ656" s="270"/>
      <c r="CK656" s="270"/>
      <c r="CL656" s="270"/>
      <c r="CM656" s="270"/>
    </row>
    <row r="657" spans="1:91" ht="13.5" hidden="1" outlineLevel="3" thickBot="1" x14ac:dyDescent="0.25">
      <c r="A657" s="270"/>
      <c r="B657" s="271"/>
      <c r="C657" s="12"/>
      <c r="D657" s="1071"/>
      <c r="E657" s="1071"/>
      <c r="F657" s="1071"/>
      <c r="G657" s="1172"/>
      <c r="H657" s="271"/>
      <c r="I657" s="270"/>
      <c r="J657" s="270"/>
      <c r="K657" s="270"/>
      <c r="L657" s="270"/>
      <c r="M657" s="270"/>
      <c r="N657" s="270"/>
      <c r="O657" s="270"/>
      <c r="P657" s="1072"/>
      <c r="Q657" s="270"/>
      <c r="R657" s="270"/>
      <c r="S657" s="1072"/>
      <c r="T657" s="270"/>
      <c r="U657" s="1019"/>
      <c r="V657" s="1176"/>
      <c r="W657" s="1177"/>
      <c r="X657" s="1207"/>
      <c r="Y657" s="627"/>
      <c r="Z657" s="492"/>
      <c r="AA657" s="493" t="s">
        <v>769</v>
      </c>
      <c r="AB657" s="1069"/>
      <c r="AC657" s="1070"/>
      <c r="AD657" s="839"/>
      <c r="AE657" s="270" t="str">
        <f>IF(Z657="","",IF(Z657&gt;AB657,Y657,IF(Z657=AB657,"",AC657)))</f>
        <v/>
      </c>
      <c r="AF657" s="270" t="str">
        <f>IF(Z657="","",IF(Z657=AB657,Y657,""))</f>
        <v/>
      </c>
      <c r="AG657" s="270" t="str">
        <f>IF(Z657="","",IF(Z657=AB657,AC657,""))</f>
        <v/>
      </c>
      <c r="AH657" s="270" t="str">
        <f>IF(Z657="","",IF(Z657&lt;AB657,Y657,IF(Z657=AB657,"",AC657)))</f>
        <v/>
      </c>
      <c r="AI657" s="270" t="str">
        <f>IF(Z657="","",IF(Z657&gt;AB657,Y654,""))</f>
        <v/>
      </c>
      <c r="AJ657" s="270" t="str">
        <f>IF(Z657="","",IF(Z657&lt;AB657,AC654,""))</f>
        <v/>
      </c>
      <c r="AK657" s="270" t="str">
        <f>CONCATENATE(AE657,AH657)</f>
        <v/>
      </c>
      <c r="AL657" s="270"/>
      <c r="AM657" s="270"/>
      <c r="AN657" s="270"/>
      <c r="AO657" s="271"/>
      <c r="AP657" s="270"/>
      <c r="AQ657" s="270"/>
      <c r="AR657" s="270"/>
      <c r="AS657" s="270"/>
      <c r="AT657" s="270"/>
      <c r="AU657" s="270"/>
      <c r="AV657" s="270"/>
      <c r="AW657" s="270"/>
      <c r="AX657" s="270"/>
      <c r="AY657" s="1072"/>
      <c r="AZ657" s="270"/>
      <c r="BA657" s="270"/>
      <c r="BB657" s="1072"/>
      <c r="BC657" s="270"/>
      <c r="BD657" s="270"/>
      <c r="BE657" s="270"/>
      <c r="BF657" s="270"/>
      <c r="BG657" s="270"/>
      <c r="BH657" s="270"/>
      <c r="BI657" s="270"/>
      <c r="BJ657" s="270"/>
      <c r="BK657" s="270"/>
      <c r="BL657" s="270"/>
      <c r="BM657" s="270"/>
      <c r="BN657" s="270"/>
      <c r="BO657" s="270"/>
      <c r="BP657" s="270"/>
      <c r="BQ657" s="270"/>
      <c r="BR657" s="270"/>
      <c r="BS657" s="270"/>
      <c r="BT657" s="270"/>
      <c r="BU657" s="270"/>
      <c r="BV657" s="270"/>
      <c r="BW657" s="270"/>
      <c r="BX657" s="270"/>
      <c r="BY657" s="270"/>
      <c r="BZ657" s="270"/>
      <c r="CA657" s="270"/>
      <c r="CB657" s="270"/>
      <c r="CC657" s="270"/>
      <c r="CD657" s="270"/>
      <c r="CE657"/>
      <c r="CF657" s="1396"/>
      <c r="CG657" s="1396"/>
      <c r="CH657" s="270"/>
      <c r="CI657" s="270"/>
      <c r="CJ657" s="270"/>
      <c r="CK657" s="270"/>
      <c r="CL657" s="270"/>
      <c r="CM657" s="270"/>
    </row>
    <row r="658" spans="1:91" ht="13.5" hidden="1" outlineLevel="3" thickBot="1" x14ac:dyDescent="0.25">
      <c r="A658" s="270"/>
      <c r="B658" s="271"/>
      <c r="C658" s="12"/>
      <c r="D658" s="1071"/>
      <c r="E658" s="1071"/>
      <c r="F658" s="1071"/>
      <c r="G658" s="1172"/>
      <c r="H658" s="271"/>
      <c r="I658" s="270"/>
      <c r="J658" s="270"/>
      <c r="K658" s="270"/>
      <c r="L658" s="270"/>
      <c r="M658" s="270"/>
      <c r="N658" s="270"/>
      <c r="O658" s="270"/>
      <c r="P658" s="1072"/>
      <c r="Q658" s="270"/>
      <c r="R658" s="270"/>
      <c r="S658" s="1072"/>
      <c r="T658" s="270"/>
      <c r="U658" s="1019"/>
      <c r="V658" s="1176"/>
      <c r="W658" s="1177"/>
      <c r="X658" s="1207"/>
      <c r="Y658" s="627"/>
      <c r="Z658" s="492"/>
      <c r="AA658" s="493" t="s">
        <v>769</v>
      </c>
      <c r="AB658" s="1069"/>
      <c r="AC658" s="1070"/>
      <c r="AD658" s="839"/>
      <c r="AE658" s="270" t="str">
        <f>IF(Z658="","",IF(Z658&gt;AB658,Y658,IF(Z658=AB658,"",AC658)))</f>
        <v/>
      </c>
      <c r="AF658" s="270" t="str">
        <f>IF(Z658="","",IF(Z658=AB658,Y658,""))</f>
        <v/>
      </c>
      <c r="AG658" s="270" t="str">
        <f>IF(Z658="","",IF(Z658=AB658,AC658,""))</f>
        <v/>
      </c>
      <c r="AH658" s="270" t="str">
        <f>IF(Z658="","",IF(Z658&lt;AB658,Y658,IF(Z658=AB658,"",AC658)))</f>
        <v/>
      </c>
      <c r="AI658" s="270" t="str">
        <f>IF(Z658="","",IF(Z658&gt;AB658,Y654,""))</f>
        <v/>
      </c>
      <c r="AJ658" s="270" t="str">
        <f>IF(Z658="","",IF(Z658&lt;AB658,AC654,""))</f>
        <v/>
      </c>
      <c r="AK658" s="270" t="str">
        <f>CONCATENATE(AE658,AH658)</f>
        <v/>
      </c>
      <c r="AL658" s="270"/>
      <c r="AM658" s="270"/>
      <c r="AN658" s="270"/>
      <c r="AO658" s="271"/>
      <c r="AP658" s="270"/>
      <c r="AQ658" s="270"/>
      <c r="AR658" s="270"/>
      <c r="AS658" s="270"/>
      <c r="AT658" s="270"/>
      <c r="AU658" s="270"/>
      <c r="AV658" s="270"/>
      <c r="AW658" s="270"/>
      <c r="AX658" s="270"/>
      <c r="AY658" s="1072"/>
      <c r="AZ658" s="270"/>
      <c r="BA658" s="270"/>
      <c r="BB658" s="1072"/>
      <c r="BC658" s="270"/>
      <c r="BD658" s="270"/>
      <c r="BE658" s="270"/>
      <c r="BF658" s="270"/>
      <c r="BG658" s="270"/>
      <c r="BH658" s="270"/>
      <c r="BI658" s="270"/>
      <c r="BJ658" s="270"/>
      <c r="BK658" s="270"/>
      <c r="BL658" s="270"/>
      <c r="BM658" s="270"/>
      <c r="BN658" s="270"/>
      <c r="BO658" s="270"/>
      <c r="BP658" s="270"/>
      <c r="BQ658" s="270"/>
      <c r="BR658" s="270"/>
      <c r="BS658" s="270"/>
      <c r="BT658" s="270"/>
      <c r="BU658" s="270"/>
      <c r="BV658" s="270"/>
      <c r="BW658" s="270"/>
      <c r="BX658" s="270"/>
      <c r="BY658" s="270"/>
      <c r="BZ658" s="270"/>
      <c r="CA658" s="270"/>
      <c r="CB658" s="270"/>
      <c r="CC658" s="270"/>
      <c r="CD658" s="270"/>
      <c r="CE658"/>
      <c r="CF658" s="1396"/>
      <c r="CG658" s="1396"/>
      <c r="CH658" s="270"/>
      <c r="CI658" s="270"/>
      <c r="CJ658" s="270"/>
      <c r="CK658" s="270"/>
      <c r="CL658" s="270"/>
      <c r="CM658" s="270"/>
    </row>
    <row r="659" spans="1:91" ht="13.5" hidden="1" outlineLevel="3" thickBot="1" x14ac:dyDescent="0.25">
      <c r="A659" s="270"/>
      <c r="B659" s="271"/>
      <c r="C659" s="12"/>
      <c r="D659" s="1071"/>
      <c r="E659" s="1071"/>
      <c r="F659" s="1071"/>
      <c r="G659" s="626"/>
      <c r="H659" s="271"/>
      <c r="I659" s="270"/>
      <c r="J659" s="270"/>
      <c r="K659" s="270"/>
      <c r="L659" s="270"/>
      <c r="M659" s="270"/>
      <c r="N659" s="270"/>
      <c r="O659" s="270"/>
      <c r="P659" s="1072"/>
      <c r="Q659" s="270"/>
      <c r="R659" s="270"/>
      <c r="S659" s="1072"/>
      <c r="T659" s="270"/>
      <c r="U659" s="1019"/>
      <c r="V659" s="1073"/>
      <c r="W659" s="1074"/>
      <c r="X659" s="1075" t="str">
        <f>N_Substitute</f>
        <v>Remplaçant</v>
      </c>
      <c r="Y659" s="627"/>
      <c r="Z659" s="492"/>
      <c r="AA659" s="1076"/>
      <c r="AB659" s="1069"/>
      <c r="AC659" s="1070"/>
      <c r="AD659" s="839"/>
      <c r="AE659" s="270"/>
      <c r="AF659" s="270"/>
      <c r="AG659" s="270"/>
      <c r="AH659" s="270"/>
      <c r="AI659" s="270"/>
      <c r="AJ659" s="270"/>
      <c r="AK659" s="270"/>
      <c r="AL659" s="270"/>
      <c r="AM659" s="270"/>
      <c r="AN659" s="270"/>
      <c r="AO659" s="271"/>
      <c r="AP659" s="270"/>
      <c r="AQ659" s="270"/>
      <c r="AR659" s="270"/>
      <c r="AS659" s="270"/>
      <c r="AT659" s="270"/>
      <c r="AU659" s="270"/>
      <c r="AV659" s="270"/>
      <c r="AW659" s="270"/>
      <c r="AX659" s="270"/>
      <c r="AY659" s="1072"/>
      <c r="AZ659" s="270"/>
      <c r="BA659" s="270"/>
      <c r="BB659" s="1072"/>
      <c r="BC659" s="270"/>
      <c r="BD659" s="270"/>
      <c r="BE659" s="270"/>
      <c r="BF659" s="270"/>
      <c r="BG659" s="270"/>
      <c r="BH659" s="270"/>
      <c r="BI659" s="270"/>
      <c r="BJ659" s="270"/>
      <c r="BK659" s="270"/>
      <c r="BL659" s="270"/>
      <c r="BM659" s="270"/>
      <c r="BN659" s="270"/>
      <c r="BO659" s="270"/>
      <c r="BP659" s="270"/>
      <c r="BQ659" s="270"/>
      <c r="BR659" s="270"/>
      <c r="BS659" s="270"/>
      <c r="BT659" s="270"/>
      <c r="BU659" s="270"/>
      <c r="BV659" s="270"/>
      <c r="BW659" s="270"/>
      <c r="BX659" s="270"/>
      <c r="BY659" s="270"/>
      <c r="BZ659" s="270"/>
      <c r="CA659" s="270"/>
      <c r="CB659" s="270"/>
      <c r="CC659" s="270"/>
      <c r="CD659" s="270"/>
      <c r="CE659"/>
      <c r="CF659" s="1396"/>
      <c r="CG659" s="1396"/>
      <c r="CH659" s="270"/>
      <c r="CI659" s="270"/>
      <c r="CJ659" s="270"/>
      <c r="CK659" s="270"/>
      <c r="CL659" s="270"/>
      <c r="CM659" s="270"/>
    </row>
    <row r="660" spans="1:91" ht="13.5" hidden="1" outlineLevel="3" thickBot="1" x14ac:dyDescent="0.25">
      <c r="A660" s="270"/>
      <c r="B660" s="271"/>
      <c r="C660" s="12"/>
      <c r="D660" s="1071"/>
      <c r="E660" s="1071"/>
      <c r="F660" s="1071"/>
      <c r="G660" s="626"/>
      <c r="H660" s="271"/>
      <c r="I660" s="270"/>
      <c r="J660" s="270"/>
      <c r="K660" s="270"/>
      <c r="L660" s="270"/>
      <c r="M660" s="270"/>
      <c r="N660" s="270"/>
      <c r="O660" s="270"/>
      <c r="P660" s="1072"/>
      <c r="Q660" s="270"/>
      <c r="R660" s="270"/>
      <c r="S660" s="1072"/>
      <c r="T660" s="270"/>
      <c r="U660" s="1019"/>
      <c r="V660" s="1119"/>
      <c r="W660" s="1120"/>
      <c r="X660" s="1075" t="str">
        <f>N_Substitute</f>
        <v>Remplaçant</v>
      </c>
      <c r="Y660" s="627"/>
      <c r="Z660" s="492"/>
      <c r="AA660" s="1121"/>
      <c r="AB660" s="1069"/>
      <c r="AC660" s="1070"/>
      <c r="AD660" s="839"/>
      <c r="AE660" s="270"/>
      <c r="AF660" s="270"/>
      <c r="AG660" s="270"/>
      <c r="AH660" s="270"/>
      <c r="AI660" s="270"/>
      <c r="AJ660" s="270"/>
      <c r="AK660" s="270"/>
      <c r="AL660" s="270"/>
      <c r="AM660" s="270"/>
      <c r="AN660" s="270"/>
      <c r="AO660" s="271"/>
      <c r="AP660" s="270"/>
      <c r="AQ660" s="270"/>
      <c r="AR660" s="270"/>
      <c r="AS660" s="270"/>
      <c r="AT660" s="270"/>
      <c r="AU660" s="270"/>
      <c r="AV660" s="270"/>
      <c r="AW660" s="270"/>
      <c r="AX660" s="270"/>
      <c r="AY660" s="1072"/>
      <c r="AZ660" s="270"/>
      <c r="BA660" s="270"/>
      <c r="BB660" s="1072"/>
      <c r="BC660" s="270"/>
      <c r="BD660" s="270"/>
      <c r="BE660" s="270"/>
      <c r="BF660" s="270"/>
      <c r="BG660" s="270"/>
      <c r="BH660" s="270"/>
      <c r="BI660" s="270"/>
      <c r="BJ660" s="270"/>
      <c r="BK660" s="270"/>
      <c r="BL660" s="270"/>
      <c r="BM660" s="270"/>
      <c r="BN660" s="270"/>
      <c r="BO660" s="270"/>
      <c r="BP660" s="270"/>
      <c r="BQ660" s="270"/>
      <c r="BR660" s="270"/>
      <c r="BS660" s="270"/>
      <c r="BT660" s="270"/>
      <c r="BU660" s="270"/>
      <c r="BV660" s="270"/>
      <c r="BW660" s="270"/>
      <c r="BX660" s="270"/>
      <c r="BY660" s="270"/>
      <c r="BZ660" s="270"/>
      <c r="CA660" s="270"/>
      <c r="CB660" s="270"/>
      <c r="CC660" s="270"/>
      <c r="CD660" s="270"/>
      <c r="CE660"/>
      <c r="CF660" s="1396"/>
      <c r="CG660" s="1396"/>
      <c r="CH660" s="270"/>
      <c r="CI660" s="270"/>
      <c r="CJ660" s="270"/>
      <c r="CK660" s="270"/>
      <c r="CL660" s="270"/>
      <c r="CM660" s="270"/>
    </row>
    <row r="661" spans="1:91" hidden="1" outlineLevel="2" collapsed="1" x14ac:dyDescent="0.2">
      <c r="A661" s="270"/>
      <c r="B661" s="271"/>
      <c r="C661" s="270"/>
      <c r="D661" s="270"/>
      <c r="E661" s="270"/>
      <c r="F661" s="270"/>
      <c r="G661" s="271"/>
      <c r="H661" s="270"/>
      <c r="I661" s="270"/>
      <c r="J661" s="270"/>
      <c r="K661" s="270"/>
      <c r="L661" s="270"/>
      <c r="M661" s="270"/>
      <c r="N661" s="270"/>
      <c r="O661" s="270"/>
      <c r="P661" s="270"/>
      <c r="Q661" s="270"/>
      <c r="R661" s="270"/>
      <c r="S661" s="270"/>
      <c r="T661" s="270"/>
      <c r="U661" s="1019" t="s">
        <v>1731</v>
      </c>
      <c r="V661" s="1179"/>
      <c r="W661" s="1177"/>
      <c r="X661" s="1207"/>
      <c r="Y661" s="1180" t="str">
        <f>G503</f>
        <v>Eq6</v>
      </c>
      <c r="Z661" s="1103" t="str">
        <f>IF(OR(ISNUMBER(Z662),ISNUMBER(Z663),ISNUMBER(Z664),ISNUMBER(Z665)),4-COUNTBLANK(AI662:AI665),"")</f>
        <v/>
      </c>
      <c r="AA661" s="1104" t="s">
        <v>769</v>
      </c>
      <c r="AB661" s="1103" t="str">
        <f>IF(OR(ISNUMBER(Z662),ISNUMBER(Z663),ISNUMBER(Z664),ISNUMBER(Z665)),4-COUNTBLANK(AJ662:AJ665),"")</f>
        <v/>
      </c>
      <c r="AC661" s="1220" t="str">
        <f>G498</f>
        <v>Eq1</v>
      </c>
      <c r="AD661" s="839"/>
      <c r="AE661" s="270" t="str">
        <f>IF(Z661="","",IF(Z661&gt;AB661,Y661,IF(Z661=AB661,IF(NoDrawWithWithdraw,IF(AL661=Y661,AC661,IF(AL661=AC661,Y661,"")),""),AC661)))</f>
        <v/>
      </c>
      <c r="AF661" s="270" t="str">
        <f>IF(Z661="","",IF(Z661=AB661,IF(NoDrawWithWithdraw,IF(AL661=Y661,"",IF(AL661=AC661,"",Y661)),Y661),""))</f>
        <v/>
      </c>
      <c r="AG661" s="270" t="str">
        <f>IF(Z661="","",IF(Z661=AB661,IF(NoDrawWithWithdraw,IF(AL661=Y661,"",IF(AL661=AC661,"",AC661)),AC661),""))</f>
        <v/>
      </c>
      <c r="AH661" s="270" t="str">
        <f>IF(Z661="","",IF(Z661&lt;AB661,Y661,IF(Z661=AB661,IF(NoDrawWithWithdraw,IF(AL661=Y661,Y661,IF(AL661=AC661,AC661,"")),""),AC661)))</f>
        <v/>
      </c>
      <c r="AI661" s="270" t="str">
        <f>IF(Z661="","",SUM(Z662:Z665))</f>
        <v/>
      </c>
      <c r="AJ661" s="270" t="str">
        <f>IF(Z661="","",SUM(AB662:AB665))</f>
        <v/>
      </c>
      <c r="AK661" s="270" t="str">
        <f>CONCATENATE(AE661,AH661)</f>
        <v/>
      </c>
      <c r="AL661" s="270" t="str">
        <f>IF(COUNTIF(Y662:Y665,WithdrawLabel)&gt;COUNTIF(AC662:AC665,WithdrawLabel),Y661,IF(COUNTIF(AC662:AC665,WithdrawLabel)&gt;COUNTIF(Y662:Y665,WithdrawLabel),AC661,""))</f>
        <v/>
      </c>
      <c r="AM661" s="270"/>
      <c r="AN661" s="270"/>
      <c r="AO661" s="575"/>
      <c r="AP661" s="270"/>
      <c r="AQ661" s="270"/>
      <c r="AR661" s="270"/>
      <c r="AS661" s="270"/>
      <c r="AT661" s="270"/>
      <c r="AU661" s="270"/>
      <c r="AV661" s="270"/>
      <c r="AW661" s="270"/>
      <c r="AX661" s="270"/>
      <c r="AY661" s="270"/>
      <c r="AZ661" s="270"/>
      <c r="BA661" s="270"/>
      <c r="BB661" s="270"/>
      <c r="BC661" s="270"/>
      <c r="BD661" s="270"/>
      <c r="BE661" s="270"/>
      <c r="BF661" s="270"/>
      <c r="BG661" s="270"/>
      <c r="BH661" s="270"/>
      <c r="BI661" s="270"/>
      <c r="BJ661" s="270"/>
      <c r="BK661" s="270"/>
      <c r="BL661" s="270"/>
      <c r="BM661" s="270"/>
      <c r="BN661" s="270"/>
      <c r="BO661" s="270"/>
      <c r="BP661" s="270"/>
      <c r="BQ661" s="270"/>
      <c r="BR661" s="270"/>
      <c r="BS661" s="270"/>
      <c r="BT661" s="270"/>
      <c r="BU661" s="270"/>
      <c r="BV661" s="270"/>
      <c r="BW661" s="270"/>
      <c r="BX661" s="270"/>
      <c r="BY661" s="270"/>
      <c r="BZ661" s="270"/>
      <c r="CA661" s="270"/>
      <c r="CB661" s="270"/>
      <c r="CC661" s="270"/>
      <c r="CD661" s="270"/>
      <c r="CE661"/>
      <c r="CF661" s="1396"/>
      <c r="CG661" s="1396"/>
      <c r="CH661" s="270"/>
      <c r="CI661" s="270"/>
      <c r="CJ661" s="270"/>
      <c r="CK661" s="270"/>
      <c r="CL661" s="270"/>
      <c r="CM661" s="270"/>
    </row>
    <row r="662" spans="1:91" ht="13.5" hidden="1" outlineLevel="3" thickBot="1" x14ac:dyDescent="0.25">
      <c r="A662" s="270"/>
      <c r="B662" s="271"/>
      <c r="C662" s="12"/>
      <c r="D662" s="1071"/>
      <c r="E662" s="1071"/>
      <c r="F662" s="1071"/>
      <c r="G662" s="1172"/>
      <c r="H662" s="271"/>
      <c r="I662" s="270"/>
      <c r="J662" s="270"/>
      <c r="K662" s="270"/>
      <c r="L662" s="270"/>
      <c r="M662" s="270"/>
      <c r="N662" s="270"/>
      <c r="O662" s="270"/>
      <c r="P662" s="1072"/>
      <c r="Q662" s="270"/>
      <c r="R662" s="270"/>
      <c r="S662" s="1072"/>
      <c r="T662" s="270"/>
      <c r="U662" s="1019"/>
      <c r="V662" s="1176"/>
      <c r="W662" s="1177"/>
      <c r="X662" s="1207"/>
      <c r="Y662" s="627"/>
      <c r="Z662" s="492"/>
      <c r="AA662" s="493" t="s">
        <v>769</v>
      </c>
      <c r="AB662" s="1069"/>
      <c r="AC662" s="1070"/>
      <c r="AD662" s="839"/>
      <c r="AE662" s="270" t="str">
        <f>IF(Z662="","",IF(Z662&gt;AB662,Y662,IF(Z662=AB662,"",AC662)))</f>
        <v/>
      </c>
      <c r="AF662" s="270" t="str">
        <f>IF(Z662="","",IF(Z662=AB662,Y662,""))</f>
        <v/>
      </c>
      <c r="AG662" s="270" t="str">
        <f>IF(Z662="","",IF(Z662=AB662,AC662,""))</f>
        <v/>
      </c>
      <c r="AH662" s="270" t="str">
        <f>IF(Z662="","",IF(Z662&lt;AB662,Y662,IF(Z662=AB662,"",AC662)))</f>
        <v/>
      </c>
      <c r="AI662" s="270" t="str">
        <f>IF(Z662="","",IF(Z662&gt;AB662,Y661,""))</f>
        <v/>
      </c>
      <c r="AJ662" s="270" t="str">
        <f>IF(Z662="","",IF(Z662&lt;AB662,AC661,""))</f>
        <v/>
      </c>
      <c r="AK662" s="270" t="str">
        <f>CONCATENATE(AE662,AH662)</f>
        <v/>
      </c>
      <c r="AL662" s="270"/>
      <c r="AM662" s="270"/>
      <c r="AN662" s="270"/>
      <c r="AO662" s="271"/>
      <c r="AP662" s="270"/>
      <c r="AQ662" s="270"/>
      <c r="AR662" s="270"/>
      <c r="AS662" s="270"/>
      <c r="AT662" s="270"/>
      <c r="AU662" s="270"/>
      <c r="AV662" s="270"/>
      <c r="AW662" s="270"/>
      <c r="AX662" s="270"/>
      <c r="AY662" s="1072"/>
      <c r="AZ662" s="270"/>
      <c r="BA662" s="270"/>
      <c r="BB662" s="1072"/>
      <c r="BC662" s="270"/>
      <c r="BD662" s="270"/>
      <c r="BE662" s="270"/>
      <c r="BF662" s="270"/>
      <c r="BG662" s="270"/>
      <c r="BH662" s="270"/>
      <c r="BI662" s="270"/>
      <c r="BJ662" s="270"/>
      <c r="BK662" s="270"/>
      <c r="BL662" s="270"/>
      <c r="BM662" s="270"/>
      <c r="BN662" s="270"/>
      <c r="BO662" s="270"/>
      <c r="BP662" s="270"/>
      <c r="BQ662" s="270"/>
      <c r="BR662" s="270"/>
      <c r="BS662" s="270"/>
      <c r="BT662" s="270"/>
      <c r="BU662" s="270"/>
      <c r="BV662" s="270"/>
      <c r="BW662" s="270"/>
      <c r="BX662" s="270"/>
      <c r="BY662" s="270"/>
      <c r="BZ662" s="270"/>
      <c r="CA662" s="270"/>
      <c r="CB662" s="270"/>
      <c r="CC662" s="270"/>
      <c r="CD662" s="270"/>
      <c r="CE662"/>
      <c r="CF662" s="1396"/>
      <c r="CG662" s="1396"/>
      <c r="CH662" s="270"/>
      <c r="CI662" s="270"/>
      <c r="CJ662" s="270"/>
      <c r="CK662" s="270"/>
      <c r="CL662" s="270"/>
      <c r="CM662" s="270"/>
    </row>
    <row r="663" spans="1:91" ht="13.5" hidden="1" outlineLevel="3" thickBot="1" x14ac:dyDescent="0.25">
      <c r="A663" s="270"/>
      <c r="B663" s="271"/>
      <c r="C663" s="12"/>
      <c r="D663" s="1071"/>
      <c r="E663" s="1071"/>
      <c r="F663" s="1071"/>
      <c r="G663" s="1172"/>
      <c r="H663" s="271"/>
      <c r="I663" s="270"/>
      <c r="J663" s="270"/>
      <c r="K663" s="270"/>
      <c r="L663" s="270"/>
      <c r="M663" s="270"/>
      <c r="N663" s="270"/>
      <c r="O663" s="270"/>
      <c r="P663" s="1072"/>
      <c r="Q663" s="270"/>
      <c r="R663" s="270"/>
      <c r="S663" s="1072"/>
      <c r="T663" s="270"/>
      <c r="U663" s="1019"/>
      <c r="V663" s="1176"/>
      <c r="W663" s="1177"/>
      <c r="X663" s="1207"/>
      <c r="Y663" s="627"/>
      <c r="Z663" s="492"/>
      <c r="AA663" s="493" t="s">
        <v>769</v>
      </c>
      <c r="AB663" s="1069"/>
      <c r="AC663" s="1070"/>
      <c r="AD663" s="839"/>
      <c r="AE663" s="270" t="str">
        <f>IF(Z663="","",IF(Z663&gt;AB663,Y663,IF(Z663=AB663,"",AC663)))</f>
        <v/>
      </c>
      <c r="AF663" s="270" t="str">
        <f>IF(Z663="","",IF(Z663=AB663,Y663,""))</f>
        <v/>
      </c>
      <c r="AG663" s="270" t="str">
        <f>IF(Z663="","",IF(Z663=AB663,AC663,""))</f>
        <v/>
      </c>
      <c r="AH663" s="270" t="str">
        <f>IF(Z663="","",IF(Z663&lt;AB663,Y663,IF(Z663=AB663,"",AC663)))</f>
        <v/>
      </c>
      <c r="AI663" s="270" t="str">
        <f>IF(Z663="","",IF(Z663&gt;AB663,Y661,""))</f>
        <v/>
      </c>
      <c r="AJ663" s="270" t="str">
        <f>IF(Z663="","",IF(Z663&lt;AB663,AC661,""))</f>
        <v/>
      </c>
      <c r="AK663" s="270" t="str">
        <f>CONCATENATE(AE663,AH663)</f>
        <v/>
      </c>
      <c r="AL663" s="270"/>
      <c r="AM663" s="270"/>
      <c r="AN663" s="270"/>
      <c r="AO663" s="271"/>
      <c r="AP663" s="270"/>
      <c r="AQ663" s="270"/>
      <c r="AR663" s="270"/>
      <c r="AS663" s="270"/>
      <c r="AT663" s="270"/>
      <c r="AU663" s="270"/>
      <c r="AV663" s="270"/>
      <c r="AW663" s="270"/>
      <c r="AX663" s="270"/>
      <c r="AY663" s="1072"/>
      <c r="AZ663" s="270"/>
      <c r="BA663" s="270"/>
      <c r="BB663" s="1072"/>
      <c r="BC663" s="270"/>
      <c r="BD663" s="270"/>
      <c r="BE663" s="270"/>
      <c r="BF663" s="270"/>
      <c r="BG663" s="270"/>
      <c r="BH663" s="270"/>
      <c r="BI663" s="270"/>
      <c r="BJ663" s="270"/>
      <c r="BK663" s="270"/>
      <c r="BL663" s="270"/>
      <c r="BM663" s="270"/>
      <c r="BN663" s="270"/>
      <c r="BO663" s="270"/>
      <c r="BP663" s="270"/>
      <c r="BQ663" s="270"/>
      <c r="BR663" s="270"/>
      <c r="BS663" s="270"/>
      <c r="BT663" s="270"/>
      <c r="BU663" s="270"/>
      <c r="BV663" s="270"/>
      <c r="BW663" s="270"/>
      <c r="BX663" s="270"/>
      <c r="BY663" s="270"/>
      <c r="BZ663" s="270"/>
      <c r="CA663" s="270"/>
      <c r="CB663" s="270"/>
      <c r="CC663" s="270"/>
      <c r="CD663" s="270"/>
      <c r="CE663"/>
      <c r="CF663" s="1396"/>
      <c r="CG663" s="1396"/>
      <c r="CH663" s="270"/>
      <c r="CI663" s="270"/>
      <c r="CJ663" s="270"/>
      <c r="CK663" s="270"/>
      <c r="CL663" s="270"/>
      <c r="CM663" s="270"/>
    </row>
    <row r="664" spans="1:91" ht="13.5" hidden="1" outlineLevel="3" thickBot="1" x14ac:dyDescent="0.25">
      <c r="A664" s="270"/>
      <c r="B664" s="271"/>
      <c r="C664" s="12"/>
      <c r="D664" s="1071"/>
      <c r="E664" s="1071"/>
      <c r="F664" s="1071"/>
      <c r="G664" s="1172"/>
      <c r="H664" s="271"/>
      <c r="I664" s="270"/>
      <c r="J664" s="270"/>
      <c r="K664" s="270"/>
      <c r="L664" s="270"/>
      <c r="M664" s="270"/>
      <c r="N664" s="270"/>
      <c r="O664" s="270"/>
      <c r="P664" s="1072"/>
      <c r="Q664" s="270"/>
      <c r="R664" s="270"/>
      <c r="S664" s="1072"/>
      <c r="T664" s="270"/>
      <c r="U664" s="1019"/>
      <c r="V664" s="1176"/>
      <c r="W664" s="1177"/>
      <c r="X664" s="1207"/>
      <c r="Y664" s="627"/>
      <c r="Z664" s="492"/>
      <c r="AA664" s="493" t="s">
        <v>769</v>
      </c>
      <c r="AB664" s="1069"/>
      <c r="AC664" s="1070"/>
      <c r="AD664" s="839"/>
      <c r="AE664" s="270" t="str">
        <f>IF(Z664="","",IF(Z664&gt;AB664,Y664,IF(Z664=AB664,"",AC664)))</f>
        <v/>
      </c>
      <c r="AF664" s="270" t="str">
        <f>IF(Z664="","",IF(Z664=AB664,Y664,""))</f>
        <v/>
      </c>
      <c r="AG664" s="270" t="str">
        <f>IF(Z664="","",IF(Z664=AB664,AC664,""))</f>
        <v/>
      </c>
      <c r="AH664" s="270" t="str">
        <f>IF(Z664="","",IF(Z664&lt;AB664,Y664,IF(Z664=AB664,"",AC664)))</f>
        <v/>
      </c>
      <c r="AI664" s="270" t="str">
        <f>IF(Z664="","",IF(Z664&gt;AB664,Y661,""))</f>
        <v/>
      </c>
      <c r="AJ664" s="270" t="str">
        <f>IF(Z664="","",IF(Z664&lt;AB664,AC661,""))</f>
        <v/>
      </c>
      <c r="AK664" s="270" t="str">
        <f>CONCATENATE(AE664,AH664)</f>
        <v/>
      </c>
      <c r="AL664" s="270"/>
      <c r="AM664" s="270"/>
      <c r="AN664" s="270"/>
      <c r="AO664" s="271"/>
      <c r="AP664" s="270"/>
      <c r="AQ664" s="270"/>
      <c r="AR664" s="270"/>
      <c r="AS664" s="270"/>
      <c r="AT664" s="270"/>
      <c r="AU664" s="270"/>
      <c r="AV664" s="270"/>
      <c r="AW664" s="270"/>
      <c r="AX664" s="270"/>
      <c r="AY664" s="1072"/>
      <c r="AZ664" s="270"/>
      <c r="BA664" s="270"/>
      <c r="BB664" s="1072"/>
      <c r="BC664" s="270"/>
      <c r="BD664" s="270"/>
      <c r="BE664" s="270"/>
      <c r="BF664" s="270"/>
      <c r="BG664" s="270"/>
      <c r="BH664" s="270"/>
      <c r="BI664" s="270"/>
      <c r="BJ664" s="270"/>
      <c r="BK664" s="270"/>
      <c r="BL664" s="270"/>
      <c r="BM664" s="270"/>
      <c r="BN664" s="270"/>
      <c r="BO664" s="270"/>
      <c r="BP664" s="270"/>
      <c r="BQ664" s="270"/>
      <c r="BR664" s="270"/>
      <c r="BS664" s="270"/>
      <c r="BT664" s="270"/>
      <c r="BU664" s="270"/>
      <c r="BV664" s="270"/>
      <c r="BW664" s="270"/>
      <c r="BX664" s="270"/>
      <c r="BY664" s="270"/>
      <c r="BZ664" s="270"/>
      <c r="CA664" s="270"/>
      <c r="CB664" s="270"/>
      <c r="CC664" s="270"/>
      <c r="CD664" s="270"/>
      <c r="CE664"/>
      <c r="CF664" s="1396"/>
      <c r="CG664" s="1396"/>
      <c r="CH664" s="270"/>
      <c r="CI664" s="270"/>
      <c r="CJ664" s="270"/>
      <c r="CK664" s="270"/>
      <c r="CL664" s="270"/>
      <c r="CM664" s="270"/>
    </row>
    <row r="665" spans="1:91" ht="13.5" hidden="1" outlineLevel="3" thickBot="1" x14ac:dyDescent="0.25">
      <c r="A665" s="270"/>
      <c r="B665" s="271"/>
      <c r="C665" s="12"/>
      <c r="D665" s="1071"/>
      <c r="E665" s="1071"/>
      <c r="F665" s="1071"/>
      <c r="G665" s="1172"/>
      <c r="H665" s="271"/>
      <c r="I665" s="270"/>
      <c r="J665" s="270"/>
      <c r="K665" s="270"/>
      <c r="L665" s="270"/>
      <c r="M665" s="270"/>
      <c r="N665" s="270"/>
      <c r="O665" s="270"/>
      <c r="P665" s="1072"/>
      <c r="Q665" s="270"/>
      <c r="R665" s="270"/>
      <c r="S665" s="1072"/>
      <c r="T665" s="270"/>
      <c r="U665" s="1019"/>
      <c r="V665" s="1176"/>
      <c r="W665" s="1177"/>
      <c r="X665" s="1207"/>
      <c r="Y665" s="627"/>
      <c r="Z665" s="492"/>
      <c r="AA665" s="493" t="s">
        <v>769</v>
      </c>
      <c r="AB665" s="1069"/>
      <c r="AC665" s="1070"/>
      <c r="AD665" s="839"/>
      <c r="AE665" s="270" t="str">
        <f>IF(Z665="","",IF(Z665&gt;AB665,Y665,IF(Z665=AB665,"",AC665)))</f>
        <v/>
      </c>
      <c r="AF665" s="270" t="str">
        <f>IF(Z665="","",IF(Z665=AB665,Y665,""))</f>
        <v/>
      </c>
      <c r="AG665" s="270" t="str">
        <f>IF(Z665="","",IF(Z665=AB665,AC665,""))</f>
        <v/>
      </c>
      <c r="AH665" s="270" t="str">
        <f>IF(Z665="","",IF(Z665&lt;AB665,Y665,IF(Z665=AB665,"",AC665)))</f>
        <v/>
      </c>
      <c r="AI665" s="270" t="str">
        <f>IF(Z665="","",IF(Z665&gt;AB665,Y661,""))</f>
        <v/>
      </c>
      <c r="AJ665" s="270" t="str">
        <f>IF(Z665="","",IF(Z665&lt;AB665,AC661,""))</f>
        <v/>
      </c>
      <c r="AK665" s="270" t="str">
        <f>CONCATENATE(AE665,AH665)</f>
        <v/>
      </c>
      <c r="AL665" s="270"/>
      <c r="AM665" s="270"/>
      <c r="AN665" s="270"/>
      <c r="AO665" s="271"/>
      <c r="AP665" s="270"/>
      <c r="AQ665" s="270"/>
      <c r="AR665" s="270"/>
      <c r="AS665" s="270"/>
      <c r="AT665" s="270"/>
      <c r="AU665" s="270"/>
      <c r="AV665" s="270"/>
      <c r="AW665" s="270"/>
      <c r="AX665" s="270"/>
      <c r="AY665" s="1072"/>
      <c r="AZ665" s="270"/>
      <c r="BA665" s="270"/>
      <c r="BB665" s="1072"/>
      <c r="BC665" s="270"/>
      <c r="BD665" s="270"/>
      <c r="BE665" s="270"/>
      <c r="BF665" s="270"/>
      <c r="BG665" s="270"/>
      <c r="BH665" s="270"/>
      <c r="BI665" s="270"/>
      <c r="BJ665" s="270"/>
      <c r="BK665" s="270"/>
      <c r="BL665" s="270"/>
      <c r="BM665" s="270"/>
      <c r="BN665" s="270"/>
      <c r="BO665" s="270"/>
      <c r="BP665" s="270"/>
      <c r="BQ665" s="270"/>
      <c r="BR665" s="270"/>
      <c r="BS665" s="270"/>
      <c r="BT665" s="270"/>
      <c r="BU665" s="270"/>
      <c r="BV665" s="270"/>
      <c r="BW665" s="270"/>
      <c r="BX665" s="270"/>
      <c r="BY665" s="270"/>
      <c r="BZ665" s="270"/>
      <c r="CA665" s="270"/>
      <c r="CB665" s="270"/>
      <c r="CC665" s="270"/>
      <c r="CD665" s="270"/>
      <c r="CE665"/>
      <c r="CF665" s="1396"/>
      <c r="CG665" s="1396"/>
      <c r="CH665" s="270"/>
      <c r="CI665" s="270"/>
      <c r="CJ665" s="270"/>
      <c r="CK665" s="270"/>
      <c r="CL665" s="270"/>
      <c r="CM665" s="270"/>
    </row>
    <row r="666" spans="1:91" ht="13.5" hidden="1" outlineLevel="3" thickBot="1" x14ac:dyDescent="0.25">
      <c r="A666" s="270"/>
      <c r="B666" s="271"/>
      <c r="C666" s="12"/>
      <c r="D666" s="1071"/>
      <c r="E666" s="1071"/>
      <c r="F666" s="1071"/>
      <c r="G666" s="626"/>
      <c r="H666" s="271"/>
      <c r="I666" s="270"/>
      <c r="J666" s="270"/>
      <c r="K666" s="270"/>
      <c r="L666" s="270"/>
      <c r="M666" s="270"/>
      <c r="N666" s="270"/>
      <c r="O666" s="270"/>
      <c r="P666" s="1072"/>
      <c r="Q666" s="270"/>
      <c r="R666" s="270"/>
      <c r="S666" s="1072"/>
      <c r="T666" s="270"/>
      <c r="U666" s="1019"/>
      <c r="V666" s="1073"/>
      <c r="W666" s="1074"/>
      <c r="X666" s="1075" t="str">
        <f>N_Substitute</f>
        <v>Remplaçant</v>
      </c>
      <c r="Y666" s="627"/>
      <c r="Z666" s="492"/>
      <c r="AA666" s="1076"/>
      <c r="AB666" s="1069"/>
      <c r="AC666" s="1070"/>
      <c r="AD666" s="839"/>
      <c r="AE666" s="270"/>
      <c r="AF666" s="270"/>
      <c r="AG666" s="270"/>
      <c r="AH666" s="270"/>
      <c r="AI666" s="270"/>
      <c r="AJ666" s="270"/>
      <c r="AK666" s="270"/>
      <c r="AL666" s="270"/>
      <c r="AM666" s="270"/>
      <c r="AN666" s="270"/>
      <c r="AO666" s="271"/>
      <c r="AP666" s="270"/>
      <c r="AQ666" s="270"/>
      <c r="AR666" s="270"/>
      <c r="AS666" s="270"/>
      <c r="AT666" s="270"/>
      <c r="AU666" s="270"/>
      <c r="AV666" s="270"/>
      <c r="AW666" s="270"/>
      <c r="AX666" s="270"/>
      <c r="AY666" s="1072"/>
      <c r="AZ666" s="270"/>
      <c r="BA666" s="270"/>
      <c r="BB666" s="1072"/>
      <c r="BC666" s="270"/>
      <c r="BD666" s="270"/>
      <c r="BE666" s="270"/>
      <c r="BF666" s="270"/>
      <c r="BG666" s="270"/>
      <c r="BH666" s="270"/>
      <c r="BI666" s="270"/>
      <c r="BJ666" s="270"/>
      <c r="BK666" s="270"/>
      <c r="BL666" s="270"/>
      <c r="BM666" s="270"/>
      <c r="BN666" s="270"/>
      <c r="BO666" s="270"/>
      <c r="BP666" s="270"/>
      <c r="BQ666" s="270"/>
      <c r="BR666" s="270"/>
      <c r="BS666" s="270"/>
      <c r="BT666" s="270"/>
      <c r="BU666" s="270"/>
      <c r="BV666" s="270"/>
      <c r="BW666" s="270"/>
      <c r="BX666" s="270"/>
      <c r="BY666" s="270"/>
      <c r="BZ666" s="270"/>
      <c r="CA666" s="270"/>
      <c r="CB666" s="270"/>
      <c r="CC666" s="270"/>
      <c r="CD666" s="270"/>
      <c r="CE666"/>
      <c r="CF666" s="1396"/>
      <c r="CG666" s="1396"/>
      <c r="CH666" s="270"/>
      <c r="CI666" s="270"/>
      <c r="CJ666" s="270"/>
      <c r="CK666" s="270"/>
      <c r="CL666" s="270"/>
      <c r="CM666" s="270"/>
    </row>
    <row r="667" spans="1:91" ht="13.5" hidden="1" outlineLevel="3" thickBot="1" x14ac:dyDescent="0.25">
      <c r="A667" s="270"/>
      <c r="B667" s="271"/>
      <c r="C667" s="12"/>
      <c r="D667" s="1071"/>
      <c r="E667" s="1071"/>
      <c r="F667" s="1071"/>
      <c r="G667" s="626"/>
      <c r="H667" s="271"/>
      <c r="I667" s="270"/>
      <c r="J667" s="270"/>
      <c r="K667" s="270"/>
      <c r="L667" s="270"/>
      <c r="M667" s="270"/>
      <c r="N667" s="270"/>
      <c r="O667" s="270"/>
      <c r="P667" s="1072"/>
      <c r="Q667" s="270"/>
      <c r="R667" s="270"/>
      <c r="S667" s="1072"/>
      <c r="T667" s="270"/>
      <c r="U667" s="1019"/>
      <c r="V667" s="1119"/>
      <c r="W667" s="1120"/>
      <c r="X667" s="1075" t="str">
        <f>N_Substitute</f>
        <v>Remplaçant</v>
      </c>
      <c r="Y667" s="627"/>
      <c r="Z667" s="492"/>
      <c r="AA667" s="1121"/>
      <c r="AB667" s="1069"/>
      <c r="AC667" s="1070"/>
      <c r="AD667" s="839"/>
      <c r="AE667" s="270"/>
      <c r="AF667" s="270"/>
      <c r="AG667" s="270"/>
      <c r="AH667" s="270"/>
      <c r="AI667" s="270"/>
      <c r="AJ667" s="270"/>
      <c r="AK667" s="270"/>
      <c r="AL667" s="270"/>
      <c r="AM667" s="270"/>
      <c r="AN667" s="270"/>
      <c r="AO667" s="271"/>
      <c r="AP667" s="270"/>
      <c r="AQ667" s="270"/>
      <c r="AR667" s="270"/>
      <c r="AS667" s="270"/>
      <c r="AT667" s="270"/>
      <c r="AU667" s="270"/>
      <c r="AV667" s="270"/>
      <c r="AW667" s="270"/>
      <c r="AX667" s="270"/>
      <c r="AY667" s="1072"/>
      <c r="AZ667" s="270"/>
      <c r="BA667" s="270"/>
      <c r="BB667" s="1072"/>
      <c r="BC667" s="270"/>
      <c r="BD667" s="270"/>
      <c r="BE667" s="270"/>
      <c r="BF667" s="270"/>
      <c r="BG667" s="270"/>
      <c r="BH667" s="270"/>
      <c r="BI667" s="270"/>
      <c r="BJ667" s="270"/>
      <c r="BK667" s="270"/>
      <c r="BL667" s="270"/>
      <c r="BM667" s="270"/>
      <c r="BN667" s="270"/>
      <c r="BO667" s="270"/>
      <c r="BP667" s="270"/>
      <c r="BQ667" s="270"/>
      <c r="BR667" s="270"/>
      <c r="BS667" s="270"/>
      <c r="BT667" s="270"/>
      <c r="BU667" s="270"/>
      <c r="BV667" s="270"/>
      <c r="BW667" s="270"/>
      <c r="BX667" s="270"/>
      <c r="BY667" s="270"/>
      <c r="BZ667" s="270"/>
      <c r="CA667" s="270"/>
      <c r="CB667" s="270"/>
      <c r="CC667" s="270"/>
      <c r="CD667" s="270"/>
      <c r="CE667"/>
      <c r="CF667" s="1396"/>
      <c r="CG667" s="1396"/>
      <c r="CH667" s="270"/>
      <c r="CI667" s="270"/>
      <c r="CJ667" s="270"/>
      <c r="CK667" s="270"/>
      <c r="CL667" s="270"/>
      <c r="CM667" s="270"/>
    </row>
    <row r="668" spans="1:91" ht="13.5" hidden="1" outlineLevel="2" collapsed="1" thickBot="1" x14ac:dyDescent="0.25">
      <c r="A668" s="270"/>
      <c r="B668" s="271"/>
      <c r="C668" s="270"/>
      <c r="D668" s="270"/>
      <c r="E668" s="270"/>
      <c r="F668" s="270"/>
      <c r="G668" s="271"/>
      <c r="H668" s="270"/>
      <c r="I668" s="270"/>
      <c r="J668" s="270"/>
      <c r="K668" s="270"/>
      <c r="L668" s="270"/>
      <c r="M668" s="270"/>
      <c r="N668" s="270"/>
      <c r="O668" s="270"/>
      <c r="P668" s="270"/>
      <c r="Q668" s="270"/>
      <c r="R668" s="270"/>
      <c r="S668" s="270"/>
      <c r="T668" s="270"/>
      <c r="U668" s="1019" t="s">
        <v>1731</v>
      </c>
      <c r="V668" s="1187"/>
      <c r="W668" s="1195"/>
      <c r="X668" s="1534"/>
      <c r="Y668" s="1180" t="str">
        <f>G504</f>
        <v>Eq7</v>
      </c>
      <c r="Z668" s="1103" t="str">
        <f>IF(OR(ISNUMBER(Z669),ISNUMBER(Z670),ISNUMBER(Z671),ISNUMBER(Z672)),4-COUNTBLANK(AI669:AI672),"")</f>
        <v/>
      </c>
      <c r="AA668" s="1104" t="s">
        <v>769</v>
      </c>
      <c r="AB668" s="1103" t="str">
        <f>IF(OR(ISNUMBER(Z669),ISNUMBER(Z670),ISNUMBER(Z671),ISNUMBER(Z672)),4-COUNTBLANK(AJ669:AJ672),"")</f>
        <v/>
      </c>
      <c r="AC668" s="1185" t="str">
        <f>G505</f>
        <v>Eq8</v>
      </c>
      <c r="AD668" s="839"/>
      <c r="AE668" s="270" t="str">
        <f>IF(Z668="","",IF(Z668&gt;AB668,Y668,IF(Z668=AB668,IF(NoDrawWithWithdraw,IF(AL668=Y668,AC668,IF(AL668=AC668,Y668,"")),""),AC668)))</f>
        <v/>
      </c>
      <c r="AF668" s="270" t="str">
        <f>IF(Z668="","",IF(Z668=AB668,IF(NoDrawWithWithdraw,IF(AL668=Y668,"",IF(AL668=AC668,"",Y668)),Y668),""))</f>
        <v/>
      </c>
      <c r="AG668" s="270" t="str">
        <f>IF(Z668="","",IF(Z668=AB668,IF(NoDrawWithWithdraw,IF(AL668=Y668,"",IF(AL668=AC668,"",AC668)),AC668),""))</f>
        <v/>
      </c>
      <c r="AH668" s="270" t="str">
        <f>IF(Z668="","",IF(Z668&lt;AB668,Y668,IF(Z668=AB668,IF(NoDrawWithWithdraw,IF(AL668=Y668,Y668,IF(AL668=AC668,AC668,"")),""),AC668)))</f>
        <v/>
      </c>
      <c r="AI668" s="270" t="str">
        <f>IF(Z668="","",SUM(Z669:Z672))</f>
        <v/>
      </c>
      <c r="AJ668" s="270" t="str">
        <f>IF(Z668="","",SUM(AB669:AB672))</f>
        <v/>
      </c>
      <c r="AK668" s="270" t="str">
        <f>CONCATENATE(AE668,AH668)</f>
        <v/>
      </c>
      <c r="AL668" s="270" t="str">
        <f>IF(COUNTIF(Y669:Y672,WithdrawLabel)&gt;COUNTIF(AC669:AC672,WithdrawLabel),Y668,IF(COUNTIF(AC669:AC672,WithdrawLabel)&gt;COUNTIF(Y669:Y672,WithdrawLabel),AC668,""))</f>
        <v/>
      </c>
      <c r="AM668" s="270"/>
      <c r="AN668" s="270"/>
      <c r="AO668" s="575"/>
      <c r="AP668" s="270"/>
      <c r="AQ668" s="270"/>
      <c r="AR668" s="270"/>
      <c r="AS668" s="270"/>
      <c r="AT668" s="270"/>
      <c r="AU668" s="270"/>
      <c r="AV668" s="270"/>
      <c r="AW668" s="270"/>
      <c r="AX668" s="270"/>
      <c r="AY668" s="270"/>
      <c r="AZ668" s="270"/>
      <c r="BA668" s="270"/>
      <c r="BB668" s="270"/>
      <c r="BC668" s="270"/>
      <c r="BD668" s="270"/>
      <c r="BE668" s="270"/>
      <c r="BF668" s="270"/>
      <c r="BG668" s="270"/>
      <c r="BH668" s="270"/>
      <c r="BI668" s="270"/>
      <c r="BJ668" s="270"/>
      <c r="BK668" s="270"/>
      <c r="BL668" s="270"/>
      <c r="BM668" s="270"/>
      <c r="BN668" s="270"/>
      <c r="BO668" s="270"/>
      <c r="BP668" s="270"/>
      <c r="BQ668" s="270"/>
      <c r="BR668" s="270"/>
      <c r="BS668" s="270"/>
      <c r="BT668" s="270"/>
      <c r="BU668" s="270"/>
      <c r="BV668" s="270"/>
      <c r="BW668" s="270"/>
      <c r="BX668" s="270"/>
      <c r="BY668" s="270"/>
      <c r="BZ668" s="270"/>
      <c r="CA668" s="270"/>
      <c r="CB668" s="270"/>
      <c r="CC668" s="270"/>
      <c r="CD668" s="270"/>
      <c r="CE668"/>
      <c r="CF668" s="1396"/>
      <c r="CG668" s="1396"/>
      <c r="CH668" s="270"/>
      <c r="CI668" s="270"/>
      <c r="CJ668" s="270"/>
      <c r="CK668" s="270"/>
      <c r="CL668" s="270"/>
      <c r="CM668" s="270"/>
    </row>
    <row r="669" spans="1:91" ht="13.5" hidden="1" outlineLevel="3" thickBot="1" x14ac:dyDescent="0.25">
      <c r="A669" s="270"/>
      <c r="B669" s="271"/>
      <c r="C669" s="12"/>
      <c r="D669" s="1071"/>
      <c r="E669" s="1071"/>
      <c r="F669" s="1071"/>
      <c r="G669" s="1172"/>
      <c r="H669" s="271"/>
      <c r="I669" s="270"/>
      <c r="J669" s="270"/>
      <c r="K669" s="270"/>
      <c r="L669" s="270"/>
      <c r="M669" s="270"/>
      <c r="N669" s="270"/>
      <c r="O669" s="270"/>
      <c r="P669" s="1072"/>
      <c r="Q669" s="270"/>
      <c r="R669" s="270"/>
      <c r="S669" s="1072"/>
      <c r="T669" s="270"/>
      <c r="U669" s="1019"/>
      <c r="V669" s="1118"/>
      <c r="W669" s="1177"/>
      <c r="X669" s="1212"/>
      <c r="Y669" s="627"/>
      <c r="Z669" s="492"/>
      <c r="AA669" s="493" t="s">
        <v>769</v>
      </c>
      <c r="AB669" s="1069"/>
      <c r="AC669" s="1070"/>
      <c r="AD669" s="839"/>
      <c r="AE669" s="270" t="str">
        <f>IF(Z669="","",IF(Z669&gt;AB669,Y669,IF(Z669=AB669,"",AC669)))</f>
        <v/>
      </c>
      <c r="AF669" s="270" t="str">
        <f>IF(Z669="","",IF(Z669=AB669,Y669,""))</f>
        <v/>
      </c>
      <c r="AG669" s="270" t="str">
        <f>IF(Z669="","",IF(Z669=AB669,AC669,""))</f>
        <v/>
      </c>
      <c r="AH669" s="270" t="str">
        <f>IF(Z669="","",IF(Z669&lt;AB669,Y669,IF(Z669=AB669,"",AC669)))</f>
        <v/>
      </c>
      <c r="AI669" s="270" t="str">
        <f>IF(Z669="","",IF(Z669&gt;AB669,Y668,""))</f>
        <v/>
      </c>
      <c r="AJ669" s="270" t="str">
        <f>IF(Z669="","",IF(Z669&lt;AB669,AC668,""))</f>
        <v/>
      </c>
      <c r="AK669" s="270" t="str">
        <f>CONCATENATE(AE669,AH669)</f>
        <v/>
      </c>
      <c r="AL669" s="270"/>
      <c r="AM669" s="270"/>
      <c r="AN669" s="270"/>
      <c r="AO669" s="271"/>
      <c r="AP669" s="270"/>
      <c r="AQ669" s="270"/>
      <c r="AR669" s="270"/>
      <c r="AS669" s="270"/>
      <c r="AT669" s="270"/>
      <c r="AU669" s="270"/>
      <c r="AV669" s="270"/>
      <c r="AW669" s="270"/>
      <c r="AX669" s="270"/>
      <c r="AY669" s="1072"/>
      <c r="AZ669" s="270"/>
      <c r="BA669" s="270"/>
      <c r="BB669" s="1072"/>
      <c r="BC669" s="270"/>
      <c r="BD669" s="270"/>
      <c r="BE669" s="270"/>
      <c r="BF669" s="270"/>
      <c r="BG669" s="270"/>
      <c r="BH669" s="270"/>
      <c r="BI669" s="270"/>
      <c r="BJ669" s="270"/>
      <c r="BK669" s="270"/>
      <c r="BL669" s="270"/>
      <c r="BM669" s="270"/>
      <c r="BN669" s="270"/>
      <c r="BO669" s="270"/>
      <c r="BP669" s="270"/>
      <c r="BQ669" s="270"/>
      <c r="BR669" s="270"/>
      <c r="BS669" s="270"/>
      <c r="BT669" s="270"/>
      <c r="BU669" s="270"/>
      <c r="BV669" s="270"/>
      <c r="BW669" s="270"/>
      <c r="BX669" s="270"/>
      <c r="BY669" s="270"/>
      <c r="BZ669" s="270"/>
      <c r="CA669" s="270"/>
      <c r="CB669" s="270"/>
      <c r="CC669" s="270"/>
      <c r="CD669" s="270"/>
      <c r="CE669"/>
      <c r="CF669" s="1396"/>
      <c r="CG669" s="1396"/>
      <c r="CH669" s="270"/>
      <c r="CI669" s="270"/>
      <c r="CJ669" s="270"/>
      <c r="CK669" s="270"/>
      <c r="CL669" s="270"/>
      <c r="CM669" s="270"/>
    </row>
    <row r="670" spans="1:91" ht="13.5" hidden="1" outlineLevel="3" thickBot="1" x14ac:dyDescent="0.25">
      <c r="A670" s="270"/>
      <c r="B670" s="271"/>
      <c r="C670" s="12"/>
      <c r="D670" s="1071"/>
      <c r="E670" s="1071"/>
      <c r="F670" s="1071"/>
      <c r="G670" s="1172"/>
      <c r="H670" s="271"/>
      <c r="I670" s="270"/>
      <c r="J670" s="270"/>
      <c r="K670" s="270"/>
      <c r="L670" s="270"/>
      <c r="M670" s="270"/>
      <c r="N670" s="270"/>
      <c r="O670" s="270"/>
      <c r="P670" s="1072"/>
      <c r="Q670" s="270"/>
      <c r="R670" s="270"/>
      <c r="S670" s="1072"/>
      <c r="T670" s="270"/>
      <c r="U670" s="1019"/>
      <c r="V670" s="1118"/>
      <c r="W670" s="1177"/>
      <c r="X670" s="1212"/>
      <c r="Y670" s="627"/>
      <c r="Z670" s="492"/>
      <c r="AA670" s="493" t="s">
        <v>769</v>
      </c>
      <c r="AB670" s="1069"/>
      <c r="AC670" s="1070"/>
      <c r="AD670" s="839"/>
      <c r="AE670" s="270" t="str">
        <f>IF(Z670="","",IF(Z670&gt;AB670,Y670,IF(Z670=AB670,"",AC670)))</f>
        <v/>
      </c>
      <c r="AF670" s="270" t="str">
        <f>IF(Z670="","",IF(Z670=AB670,Y670,""))</f>
        <v/>
      </c>
      <c r="AG670" s="270" t="str">
        <f>IF(Z670="","",IF(Z670=AB670,AC670,""))</f>
        <v/>
      </c>
      <c r="AH670" s="270" t="str">
        <f>IF(Z670="","",IF(Z670&lt;AB670,Y670,IF(Z670=AB670,"",AC670)))</f>
        <v/>
      </c>
      <c r="AI670" s="270" t="str">
        <f>IF(Z670="","",IF(Z670&gt;AB670,Y668,""))</f>
        <v/>
      </c>
      <c r="AJ670" s="270" t="str">
        <f>IF(Z670="","",IF(Z670&lt;AB670,AC668,""))</f>
        <v/>
      </c>
      <c r="AK670" s="270" t="str">
        <f>CONCATENATE(AE670,AH670)</f>
        <v/>
      </c>
      <c r="AL670" s="270"/>
      <c r="AM670" s="270"/>
      <c r="AN670" s="270"/>
      <c r="AO670" s="271"/>
      <c r="AP670" s="270"/>
      <c r="AQ670" s="270"/>
      <c r="AR670" s="270"/>
      <c r="AS670" s="270"/>
      <c r="AT670" s="270"/>
      <c r="AU670" s="270"/>
      <c r="AV670" s="270"/>
      <c r="AW670" s="270"/>
      <c r="AX670" s="270"/>
      <c r="AY670" s="1072"/>
      <c r="AZ670" s="270"/>
      <c r="BA670" s="270"/>
      <c r="BB670" s="1072"/>
      <c r="BC670" s="270"/>
      <c r="BD670" s="270"/>
      <c r="BE670" s="270"/>
      <c r="BF670" s="270"/>
      <c r="BG670" s="270"/>
      <c r="BH670" s="270"/>
      <c r="BI670" s="270"/>
      <c r="BJ670" s="270"/>
      <c r="BK670" s="270"/>
      <c r="BL670" s="270"/>
      <c r="BM670" s="270"/>
      <c r="BN670" s="270"/>
      <c r="BO670" s="270"/>
      <c r="BP670" s="270"/>
      <c r="BQ670" s="270"/>
      <c r="BR670" s="270"/>
      <c r="BS670" s="270"/>
      <c r="BT670" s="270"/>
      <c r="BU670" s="270"/>
      <c r="BV670" s="270"/>
      <c r="BW670" s="270"/>
      <c r="BX670" s="270"/>
      <c r="BY670" s="270"/>
      <c r="BZ670" s="270"/>
      <c r="CA670" s="270"/>
      <c r="CB670" s="270"/>
      <c r="CC670" s="270"/>
      <c r="CD670" s="270"/>
      <c r="CE670"/>
      <c r="CF670" s="1396"/>
      <c r="CG670" s="1396"/>
      <c r="CH670" s="270"/>
      <c r="CI670" s="270"/>
      <c r="CJ670" s="270"/>
      <c r="CK670" s="270"/>
      <c r="CL670" s="270"/>
      <c r="CM670" s="270"/>
    </row>
    <row r="671" spans="1:91" ht="13.5" hidden="1" outlineLevel="3" thickBot="1" x14ac:dyDescent="0.25">
      <c r="A671" s="270"/>
      <c r="B671" s="271"/>
      <c r="C671" s="12"/>
      <c r="D671" s="1071"/>
      <c r="E671" s="1071"/>
      <c r="F671" s="1071"/>
      <c r="G671" s="1172"/>
      <c r="H671" s="271"/>
      <c r="I671" s="270"/>
      <c r="J671" s="270"/>
      <c r="K671" s="270"/>
      <c r="L671" s="270"/>
      <c r="M671" s="270"/>
      <c r="N671" s="270"/>
      <c r="O671" s="270"/>
      <c r="P671" s="1072"/>
      <c r="Q671" s="270"/>
      <c r="R671" s="270"/>
      <c r="S671" s="1072"/>
      <c r="T671" s="270"/>
      <c r="U671" s="1019"/>
      <c r="V671" s="1118"/>
      <c r="W671" s="1177"/>
      <c r="X671" s="1212"/>
      <c r="Y671" s="627"/>
      <c r="Z671" s="492"/>
      <c r="AA671" s="493" t="s">
        <v>769</v>
      </c>
      <c r="AB671" s="1069"/>
      <c r="AC671" s="1070"/>
      <c r="AD671" s="839"/>
      <c r="AE671" s="270" t="str">
        <f>IF(Z671="","",IF(Z671&gt;AB671,Y671,IF(Z671=AB671,"",AC671)))</f>
        <v/>
      </c>
      <c r="AF671" s="270" t="str">
        <f>IF(Z671="","",IF(Z671=AB671,Y671,""))</f>
        <v/>
      </c>
      <c r="AG671" s="270" t="str">
        <f>IF(Z671="","",IF(Z671=AB671,AC671,""))</f>
        <v/>
      </c>
      <c r="AH671" s="270" t="str">
        <f>IF(Z671="","",IF(Z671&lt;AB671,Y671,IF(Z671=AB671,"",AC671)))</f>
        <v/>
      </c>
      <c r="AI671" s="270" t="str">
        <f>IF(Z671="","",IF(Z671&gt;AB671,Y668,""))</f>
        <v/>
      </c>
      <c r="AJ671" s="270" t="str">
        <f>IF(Z671="","",IF(Z671&lt;AB671,AC668,""))</f>
        <v/>
      </c>
      <c r="AK671" s="270" t="str">
        <f>CONCATENATE(AE671,AH671)</f>
        <v/>
      </c>
      <c r="AL671" s="270"/>
      <c r="AM671" s="270"/>
      <c r="AN671" s="270"/>
      <c r="AO671" s="271"/>
      <c r="AP671" s="270"/>
      <c r="AQ671" s="270"/>
      <c r="AR671" s="270"/>
      <c r="AS671" s="270"/>
      <c r="AT671" s="270"/>
      <c r="AU671" s="270"/>
      <c r="AV671" s="270"/>
      <c r="AW671" s="270"/>
      <c r="AX671" s="270"/>
      <c r="AY671" s="1072"/>
      <c r="AZ671" s="270"/>
      <c r="BA671" s="270"/>
      <c r="BB671" s="1072"/>
      <c r="BC671" s="270"/>
      <c r="BD671" s="270"/>
      <c r="BE671" s="270"/>
      <c r="BF671" s="270"/>
      <c r="BG671" s="270"/>
      <c r="BH671" s="270"/>
      <c r="BI671" s="270"/>
      <c r="BJ671" s="270"/>
      <c r="BK671" s="270"/>
      <c r="BL671" s="270"/>
      <c r="BM671" s="270"/>
      <c r="BN671" s="270"/>
      <c r="BO671" s="270"/>
      <c r="BP671" s="270"/>
      <c r="BQ671" s="270"/>
      <c r="BR671" s="270"/>
      <c r="BS671" s="270"/>
      <c r="BT671" s="270"/>
      <c r="BU671" s="270"/>
      <c r="BV671" s="270"/>
      <c r="BW671" s="270"/>
      <c r="BX671" s="270"/>
      <c r="BY671" s="270"/>
      <c r="BZ671" s="270"/>
      <c r="CA671" s="270"/>
      <c r="CB671" s="270"/>
      <c r="CC671" s="270"/>
      <c r="CD671" s="270"/>
      <c r="CE671"/>
      <c r="CF671" s="1396"/>
      <c r="CG671" s="1396"/>
      <c r="CH671" s="270"/>
      <c r="CI671" s="270"/>
      <c r="CJ671" s="270"/>
      <c r="CK671" s="270"/>
      <c r="CL671" s="270"/>
      <c r="CM671" s="270"/>
    </row>
    <row r="672" spans="1:91" ht="13.5" hidden="1" outlineLevel="3" thickBot="1" x14ac:dyDescent="0.25">
      <c r="A672" s="270"/>
      <c r="B672" s="271"/>
      <c r="C672" s="12"/>
      <c r="D672" s="1071"/>
      <c r="E672" s="1071"/>
      <c r="F672" s="1071"/>
      <c r="G672" s="1172"/>
      <c r="H672" s="271"/>
      <c r="I672" s="270"/>
      <c r="J672" s="270"/>
      <c r="K672" s="270"/>
      <c r="L672" s="270"/>
      <c r="M672" s="270"/>
      <c r="N672" s="270"/>
      <c r="O672" s="270"/>
      <c r="P672" s="1072"/>
      <c r="Q672" s="270"/>
      <c r="R672" s="270"/>
      <c r="S672" s="1072"/>
      <c r="T672" s="270"/>
      <c r="U672" s="1019"/>
      <c r="V672" s="1118"/>
      <c r="W672" s="1177"/>
      <c r="X672" s="1212"/>
      <c r="Y672" s="627"/>
      <c r="Z672" s="492"/>
      <c r="AA672" s="493" t="s">
        <v>769</v>
      </c>
      <c r="AB672" s="1069"/>
      <c r="AC672" s="1070"/>
      <c r="AD672" s="839"/>
      <c r="AE672" s="270" t="str">
        <f>IF(Z672="","",IF(Z672&gt;AB672,Y672,IF(Z672=AB672,"",AC672)))</f>
        <v/>
      </c>
      <c r="AF672" s="270" t="str">
        <f>IF(Z672="","",IF(Z672=AB672,Y672,""))</f>
        <v/>
      </c>
      <c r="AG672" s="270" t="str">
        <f>IF(Z672="","",IF(Z672=AB672,AC672,""))</f>
        <v/>
      </c>
      <c r="AH672" s="270" t="str">
        <f>IF(Z672="","",IF(Z672&lt;AB672,Y672,IF(Z672=AB672,"",AC672)))</f>
        <v/>
      </c>
      <c r="AI672" s="270" t="str">
        <f>IF(Z672="","",IF(Z672&gt;AB672,Y668,""))</f>
        <v/>
      </c>
      <c r="AJ672" s="270" t="str">
        <f>IF(Z672="","",IF(Z672&lt;AB672,AC668,""))</f>
        <v/>
      </c>
      <c r="AK672" s="270" t="str">
        <f>CONCATENATE(AE672,AH672)</f>
        <v/>
      </c>
      <c r="AL672" s="270"/>
      <c r="AM672" s="270"/>
      <c r="AN672" s="270"/>
      <c r="AO672" s="271"/>
      <c r="AP672" s="270"/>
      <c r="AQ672" s="270"/>
      <c r="AR672" s="270"/>
      <c r="AS672" s="270"/>
      <c r="AT672" s="270"/>
      <c r="AU672" s="270"/>
      <c r="AV672" s="270"/>
      <c r="AW672" s="270"/>
      <c r="AX672" s="270"/>
      <c r="AY672" s="1072"/>
      <c r="AZ672" s="270"/>
      <c r="BA672" s="270"/>
      <c r="BB672" s="1072"/>
      <c r="BC672" s="270"/>
      <c r="BD672" s="270"/>
      <c r="BE672" s="270"/>
      <c r="BF672" s="270"/>
      <c r="BG672" s="270"/>
      <c r="BH672" s="270"/>
      <c r="BI672" s="270"/>
      <c r="BJ672" s="270"/>
      <c r="BK672" s="270"/>
      <c r="BL672" s="270"/>
      <c r="BM672" s="270"/>
      <c r="BN672" s="270"/>
      <c r="BO672" s="270"/>
      <c r="BP672" s="270"/>
      <c r="BQ672" s="270"/>
      <c r="BR672" s="270"/>
      <c r="BS672" s="270"/>
      <c r="BT672" s="270"/>
      <c r="BU672" s="270"/>
      <c r="BV672" s="270"/>
      <c r="BW672" s="270"/>
      <c r="BX672" s="270"/>
      <c r="BY672" s="270"/>
      <c r="BZ672" s="270"/>
      <c r="CA672" s="270"/>
      <c r="CB672" s="270"/>
      <c r="CC672" s="270"/>
      <c r="CD672" s="270"/>
      <c r="CE672"/>
      <c r="CF672" s="1396"/>
      <c r="CG672" s="1396"/>
      <c r="CH672" s="270"/>
      <c r="CI672" s="270"/>
      <c r="CJ672" s="270"/>
      <c r="CK672" s="270"/>
      <c r="CL672" s="270"/>
      <c r="CM672" s="270"/>
    </row>
    <row r="673" spans="1:91" ht="13.5" hidden="1" outlineLevel="3" thickBot="1" x14ac:dyDescent="0.25">
      <c r="A673" s="270"/>
      <c r="B673" s="271"/>
      <c r="C673" s="12"/>
      <c r="D673" s="1071"/>
      <c r="E673" s="1071"/>
      <c r="F673" s="1071"/>
      <c r="G673" s="626"/>
      <c r="H673" s="271"/>
      <c r="I673" s="270"/>
      <c r="J673" s="270"/>
      <c r="K673" s="270"/>
      <c r="L673" s="270"/>
      <c r="M673" s="270"/>
      <c r="N673" s="270"/>
      <c r="O673" s="270"/>
      <c r="P673" s="1072"/>
      <c r="Q673" s="270"/>
      <c r="R673" s="270"/>
      <c r="S673" s="1072"/>
      <c r="T673" s="270"/>
      <c r="U673" s="1019"/>
      <c r="V673" s="1077"/>
      <c r="W673" s="1078"/>
      <c r="X673" s="1075" t="str">
        <f>N_Substitute</f>
        <v>Remplaçant</v>
      </c>
      <c r="Y673" s="627"/>
      <c r="Z673" s="492"/>
      <c r="AA673" s="1076"/>
      <c r="AB673" s="1069"/>
      <c r="AC673" s="1070"/>
      <c r="AD673" s="839"/>
      <c r="AE673" s="270"/>
      <c r="AF673" s="270"/>
      <c r="AG673" s="270"/>
      <c r="AH673" s="270"/>
      <c r="AI673" s="270"/>
      <c r="AJ673" s="270"/>
      <c r="AK673" s="270"/>
      <c r="AL673" s="270"/>
      <c r="AM673" s="270"/>
      <c r="AN673" s="270"/>
      <c r="AO673" s="271"/>
      <c r="AP673" s="270"/>
      <c r="AQ673" s="270"/>
      <c r="AR673" s="270"/>
      <c r="AS673" s="270"/>
      <c r="AT673" s="270"/>
      <c r="AU673" s="270"/>
      <c r="AV673" s="270"/>
      <c r="AW673" s="270"/>
      <c r="AX673" s="270"/>
      <c r="AY673" s="1072"/>
      <c r="AZ673" s="270"/>
      <c r="BA673" s="270"/>
      <c r="BB673" s="1072"/>
      <c r="BC673" s="270"/>
      <c r="BD673" s="270"/>
      <c r="BE673" s="270"/>
      <c r="BF673" s="270"/>
      <c r="BG673" s="270"/>
      <c r="BH673" s="270"/>
      <c r="BI673" s="270"/>
      <c r="BJ673" s="270"/>
      <c r="BK673" s="270"/>
      <c r="BL673" s="270"/>
      <c r="BM673" s="270"/>
      <c r="BN673" s="270"/>
      <c r="BO673" s="270"/>
      <c r="BP673" s="270"/>
      <c r="BQ673" s="270"/>
      <c r="BR673" s="270"/>
      <c r="BS673" s="270"/>
      <c r="BT673" s="270"/>
      <c r="BU673" s="270"/>
      <c r="BV673" s="270"/>
      <c r="BW673" s="270"/>
      <c r="BX673" s="270"/>
      <c r="BY673" s="270"/>
      <c r="BZ673" s="270"/>
      <c r="CA673" s="270"/>
      <c r="CB673" s="270"/>
      <c r="CC673" s="270"/>
      <c r="CD673" s="270"/>
      <c r="CE673"/>
      <c r="CF673" s="1396"/>
      <c r="CG673" s="1396"/>
      <c r="CH673" s="270"/>
      <c r="CI673" s="270"/>
      <c r="CJ673" s="270"/>
      <c r="CK673" s="270"/>
      <c r="CL673" s="270"/>
      <c r="CM673" s="270"/>
    </row>
    <row r="674" spans="1:91" ht="13.5" hidden="1" outlineLevel="3" thickBot="1" x14ac:dyDescent="0.25">
      <c r="A674" s="270"/>
      <c r="B674" s="271"/>
      <c r="C674" s="12"/>
      <c r="D674" s="1071"/>
      <c r="E674" s="1071"/>
      <c r="F674" s="1071"/>
      <c r="G674" s="626"/>
      <c r="H674" s="271"/>
      <c r="I674" s="270"/>
      <c r="J674" s="270"/>
      <c r="K674" s="270"/>
      <c r="L674" s="270"/>
      <c r="M674" s="270"/>
      <c r="N674" s="270"/>
      <c r="O674" s="270"/>
      <c r="P674" s="1072"/>
      <c r="Q674" s="270"/>
      <c r="R674" s="270"/>
      <c r="S674" s="1072"/>
      <c r="T674" s="270"/>
      <c r="U674" s="1019"/>
      <c r="V674" s="1119"/>
      <c r="W674" s="1120"/>
      <c r="X674" s="1075" t="str">
        <f>N_Substitute</f>
        <v>Remplaçant</v>
      </c>
      <c r="Y674" s="627"/>
      <c r="Z674" s="496"/>
      <c r="AA674" s="1090"/>
      <c r="AB674" s="496"/>
      <c r="AC674" s="1070"/>
      <c r="AD674" s="839"/>
      <c r="AE674" s="270"/>
      <c r="AF674" s="270"/>
      <c r="AG674" s="270"/>
      <c r="AH674" s="270"/>
      <c r="AI674" s="270"/>
      <c r="AJ674" s="270"/>
      <c r="AK674" s="270"/>
      <c r="AL674" s="270"/>
      <c r="AM674" s="270"/>
      <c r="AN674" s="270"/>
      <c r="AO674" s="271"/>
      <c r="AP674" s="270"/>
      <c r="AQ674" s="270"/>
      <c r="AR674" s="270"/>
      <c r="AS674" s="270"/>
      <c r="AT674" s="270"/>
      <c r="AU674" s="270"/>
      <c r="AV674" s="270"/>
      <c r="AW674" s="270"/>
      <c r="AX674" s="270"/>
      <c r="AY674" s="1072"/>
      <c r="AZ674" s="270"/>
      <c r="BA674" s="270"/>
      <c r="BB674" s="1072"/>
      <c r="BC674" s="270"/>
      <c r="BD674" s="270"/>
      <c r="BE674" s="270"/>
      <c r="BF674" s="270"/>
      <c r="BG674" s="270"/>
      <c r="BH674" s="270"/>
      <c r="BI674" s="270"/>
      <c r="BJ674" s="270"/>
      <c r="BK674" s="270"/>
      <c r="BL674" s="270"/>
      <c r="BM674" s="270"/>
      <c r="BN674" s="270"/>
      <c r="BO674" s="270"/>
      <c r="BP674" s="270"/>
      <c r="BQ674" s="270"/>
      <c r="BR674" s="270"/>
      <c r="BS674" s="270"/>
      <c r="BT674" s="270"/>
      <c r="BU674" s="270"/>
      <c r="BV674" s="270"/>
      <c r="BW674" s="270"/>
      <c r="BX674" s="270"/>
      <c r="BY674" s="270"/>
      <c r="BZ674" s="270"/>
      <c r="CA674" s="270"/>
      <c r="CB674" s="270"/>
      <c r="CC674" s="270"/>
      <c r="CD674" s="270"/>
      <c r="CE674"/>
      <c r="CF674" s="1396"/>
      <c r="CG674" s="1396"/>
      <c r="CH674" s="270"/>
      <c r="CI674" s="270"/>
      <c r="CJ674" s="270"/>
      <c r="CK674" s="270"/>
      <c r="CL674" s="270"/>
      <c r="CM674" s="270"/>
    </row>
    <row r="675" spans="1:91" hidden="1" outlineLevel="2" collapsed="1" x14ac:dyDescent="0.2">
      <c r="A675" s="270"/>
      <c r="B675" s="271"/>
      <c r="C675" s="12"/>
      <c r="D675" s="1071"/>
      <c r="E675" s="1071"/>
      <c r="F675" s="1071"/>
      <c r="G675" s="1172"/>
      <c r="H675" s="271"/>
      <c r="I675" s="270"/>
      <c r="J675" s="270"/>
      <c r="K675" s="270"/>
      <c r="L675" s="270"/>
      <c r="M675" s="270"/>
      <c r="N675" s="270"/>
      <c r="O675" s="270"/>
      <c r="P675" s="1072"/>
      <c r="Q675" s="270"/>
      <c r="R675" s="270"/>
      <c r="S675" s="1072"/>
      <c r="T675" s="270"/>
      <c r="U675" s="1019" t="s">
        <v>1740</v>
      </c>
      <c r="V675" s="1173"/>
      <c r="W675" s="1525"/>
      <c r="X675" s="1535"/>
      <c r="Y675" s="1174" t="str">
        <f>G499</f>
        <v>Eq2</v>
      </c>
      <c r="Z675" s="1086" t="str">
        <f>IF(OR(ISNUMBER(Z676),ISNUMBER(Z677),ISNUMBER(Z678),ISNUMBER(Z679)),4-COUNTBLANK(AI676:AI679),"")</f>
        <v/>
      </c>
      <c r="AA675" s="1064" t="s">
        <v>769</v>
      </c>
      <c r="AB675" s="1063" t="str">
        <f>IF(OR(ISNUMBER(Z676),ISNUMBER(Z677),ISNUMBER(Z678),ISNUMBER(Z679)),4-COUNTBLANK(AJ676:AJ679),"")</f>
        <v/>
      </c>
      <c r="AC675" s="1175" t="str">
        <f>G504</f>
        <v>Eq7</v>
      </c>
      <c r="AD675" s="839"/>
      <c r="AE675" s="270" t="str">
        <f>IF(Z675="","",IF(Z675&gt;AB675,Y675,IF(Z675=AB675,IF(NoDrawWithWithdraw,IF(AL675=Y675,AC675,IF(AL675=AC675,Y675,"")),""),AC675)))</f>
        <v/>
      </c>
      <c r="AF675" s="270" t="str">
        <f>IF(Z675="","",IF(Z675=AB675,IF(NoDrawWithWithdraw,IF(AL675=Y675,"",IF(AL675=AC675,"",Y675)),Y675),""))</f>
        <v/>
      </c>
      <c r="AG675" s="270" t="str">
        <f>IF(Z675="","",IF(Z675=AB675,IF(NoDrawWithWithdraw,IF(AL675=Y675,"",IF(AL675=AC675,"",AC675)),AC675),""))</f>
        <v/>
      </c>
      <c r="AH675" s="270" t="str">
        <f>IF(Z675="","",IF(Z675&lt;AB675,Y675,IF(Z675=AB675,IF(NoDrawWithWithdraw,IF(AL675=Y675,Y675,IF(AL675=AC675,AC675,"")),""),AC675)))</f>
        <v/>
      </c>
      <c r="AI675" s="270" t="str">
        <f>IF(Z675="","",SUM(Z676:Z679))</f>
        <v/>
      </c>
      <c r="AJ675" s="270" t="str">
        <f>IF(Z675="","",SUM(AB676:AB679))</f>
        <v/>
      </c>
      <c r="AK675" s="270" t="str">
        <f>CONCATENATE(AE675,AH675)</f>
        <v/>
      </c>
      <c r="AL675" s="270" t="str">
        <f>IF(COUNTIF(Y676:Y679,WithdrawLabel)&gt;COUNTIF(AC676:AC679,WithdrawLabel),Y675,IF(COUNTIF(AC676:AC679,WithdrawLabel)&gt;COUNTIF(Y676:Y679,WithdrawLabel),AC675,""))</f>
        <v/>
      </c>
      <c r="AM675" s="270"/>
      <c r="AN675" s="270"/>
      <c r="AO675" s="271"/>
      <c r="AP675" s="270"/>
      <c r="AQ675" s="270"/>
      <c r="AR675" s="270"/>
      <c r="AS675" s="270"/>
      <c r="AT675" s="270"/>
      <c r="AU675" s="270"/>
      <c r="AV675" s="270"/>
      <c r="AW675" s="270"/>
      <c r="AX675" s="270"/>
      <c r="AY675" s="1072"/>
      <c r="AZ675" s="270"/>
      <c r="BA675" s="270"/>
      <c r="BB675" s="1072"/>
      <c r="BC675" s="270"/>
      <c r="BD675" s="270"/>
      <c r="BE675" s="270"/>
      <c r="BF675" s="270"/>
      <c r="BG675" s="270"/>
      <c r="BH675" s="270"/>
      <c r="BI675" s="270"/>
      <c r="BJ675" s="270"/>
      <c r="BK675" s="270"/>
      <c r="BL675" s="270"/>
      <c r="BM675" s="270"/>
      <c r="BN675" s="270"/>
      <c r="BO675" s="270"/>
      <c r="BP675" s="270"/>
      <c r="BQ675" s="270"/>
      <c r="BR675" s="270"/>
      <c r="BS675" s="270"/>
      <c r="BT675" s="270"/>
      <c r="BU675" s="270"/>
      <c r="BV675" s="270"/>
      <c r="BW675" s="270"/>
      <c r="BX675" s="270"/>
      <c r="BY675" s="270"/>
      <c r="BZ675" s="270"/>
      <c r="CA675" s="270"/>
      <c r="CB675" s="270"/>
      <c r="CC675" s="270"/>
      <c r="CD675" s="270"/>
      <c r="CE675"/>
      <c r="CF675" s="1396"/>
      <c r="CG675" s="1396"/>
      <c r="CH675" s="270"/>
      <c r="CI675" s="270"/>
      <c r="CJ675" s="270"/>
      <c r="CK675" s="270"/>
      <c r="CL675" s="270"/>
      <c r="CM675" s="270"/>
    </row>
    <row r="676" spans="1:91" ht="13.5" hidden="1" outlineLevel="3" thickBot="1" x14ac:dyDescent="0.25">
      <c r="A676" s="270"/>
      <c r="B676" s="271"/>
      <c r="C676" s="12"/>
      <c r="D676" s="1071"/>
      <c r="E676" s="1071"/>
      <c r="F676" s="1071"/>
      <c r="G676" s="1172"/>
      <c r="H676" s="271"/>
      <c r="I676" s="270"/>
      <c r="J676" s="270"/>
      <c r="K676" s="270"/>
      <c r="L676" s="270"/>
      <c r="M676" s="270"/>
      <c r="N676" s="270"/>
      <c r="O676" s="270"/>
      <c r="P676" s="1072"/>
      <c r="Q676" s="270"/>
      <c r="R676" s="270"/>
      <c r="S676" s="1072"/>
      <c r="T676" s="270"/>
      <c r="U676" s="1019"/>
      <c r="V676" s="1176"/>
      <c r="W676" s="1177"/>
      <c r="X676" s="1207"/>
      <c r="Y676" s="627"/>
      <c r="Z676" s="492"/>
      <c r="AA676" s="493" t="s">
        <v>769</v>
      </c>
      <c r="AB676" s="1069"/>
      <c r="AC676" s="1070"/>
      <c r="AD676" s="839"/>
      <c r="AE676" s="270" t="str">
        <f>IF(Z676="","",IF(Z676&gt;AB676,Y676,IF(Z676=AB676,"",AC676)))</f>
        <v/>
      </c>
      <c r="AF676" s="270" t="str">
        <f>IF(Z676="","",IF(Z676=AB676,Y676,""))</f>
        <v/>
      </c>
      <c r="AG676" s="270" t="str">
        <f>IF(Z676="","",IF(Z676=AB676,AC676,""))</f>
        <v/>
      </c>
      <c r="AH676" s="270" t="str">
        <f>IF(Z676="","",IF(Z676&lt;AB676,Y676,IF(Z676=AB676,"",AC676)))</f>
        <v/>
      </c>
      <c r="AI676" s="270" t="str">
        <f>IF(Z676="","",IF(Z676&gt;AB676,Y675,""))</f>
        <v/>
      </c>
      <c r="AJ676" s="270" t="str">
        <f>IF(Z676="","",IF(Z676&lt;AB676,AC675,""))</f>
        <v/>
      </c>
      <c r="AK676" s="270" t="str">
        <f>CONCATENATE(AE676,AH676)</f>
        <v/>
      </c>
      <c r="AL676" s="270"/>
      <c r="AM676" s="270"/>
      <c r="AN676" s="270"/>
      <c r="AO676" s="271"/>
      <c r="AP676" s="270"/>
      <c r="AQ676" s="270"/>
      <c r="AR676" s="270"/>
      <c r="AS676" s="270"/>
      <c r="AT676" s="270"/>
      <c r="AU676" s="270"/>
      <c r="AV676" s="270"/>
      <c r="AW676" s="270"/>
      <c r="AX676" s="270"/>
      <c r="AY676" s="1072"/>
      <c r="AZ676" s="270"/>
      <c r="BA676" s="270"/>
      <c r="BB676" s="1072"/>
      <c r="BC676" s="270"/>
      <c r="BD676" s="270"/>
      <c r="BE676" s="270"/>
      <c r="BF676" s="270"/>
      <c r="BG676" s="270"/>
      <c r="BH676" s="270"/>
      <c r="BI676" s="270"/>
      <c r="BJ676" s="270"/>
      <c r="BK676" s="270"/>
      <c r="BL676" s="270"/>
      <c r="BM676" s="270"/>
      <c r="BN676" s="270"/>
      <c r="BO676" s="270"/>
      <c r="BP676" s="270"/>
      <c r="BQ676" s="270"/>
      <c r="BR676" s="270"/>
      <c r="BS676" s="270"/>
      <c r="BT676" s="270"/>
      <c r="BU676" s="270"/>
      <c r="BV676" s="270"/>
      <c r="BW676" s="270"/>
      <c r="BX676" s="270"/>
      <c r="BY676" s="270"/>
      <c r="BZ676" s="270"/>
      <c r="CA676" s="270"/>
      <c r="CB676" s="270"/>
      <c r="CC676" s="270"/>
      <c r="CD676" s="270"/>
      <c r="CE676"/>
      <c r="CF676" s="1396"/>
      <c r="CG676" s="1396"/>
      <c r="CH676" s="270"/>
      <c r="CI676" s="270"/>
      <c r="CJ676" s="270"/>
      <c r="CK676" s="270"/>
      <c r="CL676" s="270"/>
      <c r="CM676" s="270"/>
    </row>
    <row r="677" spans="1:91" ht="13.5" hidden="1" outlineLevel="3" thickBot="1" x14ac:dyDescent="0.25">
      <c r="A677" s="270"/>
      <c r="B677" s="271"/>
      <c r="C677" s="12"/>
      <c r="D677" s="1071"/>
      <c r="E677" s="1071"/>
      <c r="F677" s="1071"/>
      <c r="G677" s="1172"/>
      <c r="H677" s="271"/>
      <c r="I677" s="270"/>
      <c r="J677" s="270"/>
      <c r="K677" s="270"/>
      <c r="L677" s="270"/>
      <c r="M677" s="270"/>
      <c r="N677" s="270"/>
      <c r="O677" s="270"/>
      <c r="P677" s="1072"/>
      <c r="Q677" s="270"/>
      <c r="R677" s="270"/>
      <c r="S677" s="1072"/>
      <c r="T677" s="270"/>
      <c r="U677" s="1019"/>
      <c r="V677" s="1176"/>
      <c r="W677" s="1177"/>
      <c r="X677" s="1207"/>
      <c r="Y677" s="627"/>
      <c r="Z677" s="492"/>
      <c r="AA677" s="493" t="s">
        <v>769</v>
      </c>
      <c r="AB677" s="1069"/>
      <c r="AC677" s="1070"/>
      <c r="AD677" s="839"/>
      <c r="AE677" s="270" t="str">
        <f>IF(Z677="","",IF(Z677&gt;AB677,Y677,IF(Z677=AB677,"",AC677)))</f>
        <v/>
      </c>
      <c r="AF677" s="270" t="str">
        <f>IF(Z677="","",IF(Z677=AB677,Y677,""))</f>
        <v/>
      </c>
      <c r="AG677" s="270" t="str">
        <f>IF(Z677="","",IF(Z677=AB677,AC677,""))</f>
        <v/>
      </c>
      <c r="AH677" s="270" t="str">
        <f>IF(Z677="","",IF(Z677&lt;AB677,Y677,IF(Z677=AB677,"",AC677)))</f>
        <v/>
      </c>
      <c r="AI677" s="270" t="str">
        <f>IF(Z677="","",IF(Z677&gt;AB677,Y675,""))</f>
        <v/>
      </c>
      <c r="AJ677" s="270" t="str">
        <f>IF(Z677="","",IF(Z677&lt;AB677,AC675,""))</f>
        <v/>
      </c>
      <c r="AK677" s="270" t="str">
        <f>CONCATENATE(AE677,AH677)</f>
        <v/>
      </c>
      <c r="AL677" s="270"/>
      <c r="AM677" s="270"/>
      <c r="AN677" s="270"/>
      <c r="AO677" s="271"/>
      <c r="AP677" s="270"/>
      <c r="AQ677" s="270"/>
      <c r="AR677" s="270"/>
      <c r="AS677" s="270"/>
      <c r="AT677" s="270"/>
      <c r="AU677" s="270"/>
      <c r="AV677" s="270"/>
      <c r="AW677" s="270"/>
      <c r="AX677" s="270"/>
      <c r="AY677" s="1072"/>
      <c r="AZ677" s="270"/>
      <c r="BA677" s="270"/>
      <c r="BB677" s="1072"/>
      <c r="BC677" s="270"/>
      <c r="BD677" s="270"/>
      <c r="BE677" s="270"/>
      <c r="BF677" s="270"/>
      <c r="BG677" s="270"/>
      <c r="BH677" s="270"/>
      <c r="BI677" s="270"/>
      <c r="BJ677" s="270"/>
      <c r="BK677" s="270"/>
      <c r="BL677" s="270"/>
      <c r="BM677" s="270"/>
      <c r="BN677" s="270"/>
      <c r="BO677" s="270"/>
      <c r="BP677" s="270"/>
      <c r="BQ677" s="270"/>
      <c r="BR677" s="270"/>
      <c r="BS677" s="270"/>
      <c r="BT677" s="270"/>
      <c r="BU677" s="270"/>
      <c r="BV677" s="270"/>
      <c r="BW677" s="270"/>
      <c r="BX677" s="270"/>
      <c r="BY677" s="270"/>
      <c r="BZ677" s="270"/>
      <c r="CA677" s="270"/>
      <c r="CB677" s="270"/>
      <c r="CC677" s="270"/>
      <c r="CD677" s="270"/>
      <c r="CE677"/>
      <c r="CF677" s="1396"/>
      <c r="CG677" s="1396"/>
      <c r="CH677" s="270"/>
      <c r="CI677" s="270"/>
      <c r="CJ677" s="270"/>
      <c r="CK677" s="270"/>
      <c r="CL677" s="270"/>
      <c r="CM677" s="270"/>
    </row>
    <row r="678" spans="1:91" ht="13.5" hidden="1" outlineLevel="3" thickBot="1" x14ac:dyDescent="0.25">
      <c r="A678" s="270"/>
      <c r="B678" s="271"/>
      <c r="C678" s="12"/>
      <c r="D678" s="1071"/>
      <c r="E678" s="1071"/>
      <c r="F678" s="1071"/>
      <c r="G678" s="1172"/>
      <c r="H678" s="271"/>
      <c r="I678" s="270"/>
      <c r="J678" s="270"/>
      <c r="K678" s="270"/>
      <c r="L678" s="270"/>
      <c r="M678" s="270"/>
      <c r="N678" s="270"/>
      <c r="O678" s="270"/>
      <c r="P678" s="1072"/>
      <c r="Q678" s="270"/>
      <c r="R678" s="270"/>
      <c r="S678" s="1072"/>
      <c r="T678" s="270"/>
      <c r="U678" s="1019"/>
      <c r="V678" s="1176"/>
      <c r="W678" s="1177"/>
      <c r="X678" s="1207"/>
      <c r="Y678" s="627"/>
      <c r="Z678" s="492"/>
      <c r="AA678" s="493" t="s">
        <v>769</v>
      </c>
      <c r="AB678" s="1069"/>
      <c r="AC678" s="1070"/>
      <c r="AD678" s="839"/>
      <c r="AE678" s="270" t="str">
        <f>IF(Z678="","",IF(Z678&gt;AB678,Y678,IF(Z678=AB678,"",AC678)))</f>
        <v/>
      </c>
      <c r="AF678" s="270" t="str">
        <f>IF(Z678="","",IF(Z678=AB678,Y678,""))</f>
        <v/>
      </c>
      <c r="AG678" s="270" t="str">
        <f>IF(Z678="","",IF(Z678=AB678,AC678,""))</f>
        <v/>
      </c>
      <c r="AH678" s="270" t="str">
        <f>IF(Z678="","",IF(Z678&lt;AB678,Y678,IF(Z678=AB678,"",AC678)))</f>
        <v/>
      </c>
      <c r="AI678" s="270" t="str">
        <f>IF(Z678="","",IF(Z678&gt;AB678,Y675,""))</f>
        <v/>
      </c>
      <c r="AJ678" s="270" t="str">
        <f>IF(Z678="","",IF(Z678&lt;AB678,AC675,""))</f>
        <v/>
      </c>
      <c r="AK678" s="270" t="str">
        <f>CONCATENATE(AE678,AH678)</f>
        <v/>
      </c>
      <c r="AL678" s="270"/>
      <c r="AM678" s="270"/>
      <c r="AN678" s="270"/>
      <c r="AO678" s="271"/>
      <c r="AP678" s="270"/>
      <c r="AQ678" s="270"/>
      <c r="AR678" s="270"/>
      <c r="AS678" s="270"/>
      <c r="AT678" s="270"/>
      <c r="AU678" s="270"/>
      <c r="AV678" s="270"/>
      <c r="AW678" s="270"/>
      <c r="AX678" s="270"/>
      <c r="AY678" s="1072"/>
      <c r="AZ678" s="270"/>
      <c r="BA678" s="270"/>
      <c r="BB678" s="1072"/>
      <c r="BC678" s="270"/>
      <c r="BD678" s="270"/>
      <c r="BE678" s="270"/>
      <c r="BF678" s="270"/>
      <c r="BG678" s="270"/>
      <c r="BH678" s="270"/>
      <c r="BI678" s="270"/>
      <c r="BJ678" s="270"/>
      <c r="BK678" s="270"/>
      <c r="BL678" s="270"/>
      <c r="BM678" s="270"/>
      <c r="BN678" s="270"/>
      <c r="BO678" s="270"/>
      <c r="BP678" s="270"/>
      <c r="BQ678" s="270"/>
      <c r="BR678" s="270"/>
      <c r="BS678" s="270"/>
      <c r="BT678" s="270"/>
      <c r="BU678" s="270"/>
      <c r="BV678" s="270"/>
      <c r="BW678" s="270"/>
      <c r="BX678" s="270"/>
      <c r="BY678" s="270"/>
      <c r="BZ678" s="270"/>
      <c r="CA678" s="270"/>
      <c r="CB678" s="270"/>
      <c r="CC678" s="270"/>
      <c r="CD678" s="270"/>
      <c r="CE678"/>
      <c r="CF678" s="1396"/>
      <c r="CG678" s="1396"/>
      <c r="CH678" s="270"/>
      <c r="CI678" s="270"/>
      <c r="CJ678" s="270"/>
      <c r="CK678" s="270"/>
      <c r="CL678" s="270"/>
      <c r="CM678" s="270"/>
    </row>
    <row r="679" spans="1:91" ht="13.5" hidden="1" outlineLevel="3" thickBot="1" x14ac:dyDescent="0.25">
      <c r="A679" s="270"/>
      <c r="B679" s="271"/>
      <c r="C679" s="12"/>
      <c r="D679" s="1071"/>
      <c r="E679" s="1071"/>
      <c r="F679" s="1071"/>
      <c r="G679" s="1172"/>
      <c r="H679" s="271"/>
      <c r="I679" s="270"/>
      <c r="J679" s="270"/>
      <c r="K679" s="270"/>
      <c r="L679" s="270"/>
      <c r="M679" s="270"/>
      <c r="N679" s="270"/>
      <c r="O679" s="270"/>
      <c r="P679" s="1072"/>
      <c r="Q679" s="270"/>
      <c r="R679" s="270"/>
      <c r="S679" s="1072"/>
      <c r="T679" s="270"/>
      <c r="U679" s="1019"/>
      <c r="V679" s="1176"/>
      <c r="W679" s="1177"/>
      <c r="X679" s="1207"/>
      <c r="Y679" s="627"/>
      <c r="Z679" s="492"/>
      <c r="AA679" s="493" t="s">
        <v>769</v>
      </c>
      <c r="AB679" s="1069"/>
      <c r="AC679" s="1070"/>
      <c r="AD679" s="839"/>
      <c r="AE679" s="270" t="str">
        <f>IF(Z679="","",IF(Z679&gt;AB679,Y679,IF(Z679=AB679,"",AC679)))</f>
        <v/>
      </c>
      <c r="AF679" s="270" t="str">
        <f>IF(Z679="","",IF(Z679=AB679,Y679,""))</f>
        <v/>
      </c>
      <c r="AG679" s="270" t="str">
        <f>IF(Z679="","",IF(Z679=AB679,AC679,""))</f>
        <v/>
      </c>
      <c r="AH679" s="270" t="str">
        <f>IF(Z679="","",IF(Z679&lt;AB679,Y679,IF(Z679=AB679,"",AC679)))</f>
        <v/>
      </c>
      <c r="AI679" s="270" t="str">
        <f>IF(Z679="","",IF(Z679&gt;AB679,Y675,""))</f>
        <v/>
      </c>
      <c r="AJ679" s="270" t="str">
        <f>IF(Z679="","",IF(Z679&lt;AB679,AC675,""))</f>
        <v/>
      </c>
      <c r="AK679" s="270" t="str">
        <f>CONCATENATE(AE679,AH679)</f>
        <v/>
      </c>
      <c r="AL679" s="270"/>
      <c r="AM679" s="270"/>
      <c r="AN679" s="270"/>
      <c r="AO679" s="271"/>
      <c r="AP679" s="270"/>
      <c r="AQ679" s="270"/>
      <c r="AR679" s="270"/>
      <c r="AS679" s="270"/>
      <c r="AT679" s="270"/>
      <c r="AU679" s="270"/>
      <c r="AV679" s="270"/>
      <c r="AW679" s="270"/>
      <c r="AX679" s="270"/>
      <c r="AY679" s="1072"/>
      <c r="AZ679" s="270"/>
      <c r="BA679" s="270"/>
      <c r="BB679" s="1072"/>
      <c r="BC679" s="270"/>
      <c r="BD679" s="270"/>
      <c r="BE679" s="270"/>
      <c r="BF679" s="270"/>
      <c r="BG679" s="270"/>
      <c r="BH679" s="270"/>
      <c r="BI679" s="270"/>
      <c r="BJ679" s="270"/>
      <c r="BK679" s="270"/>
      <c r="BL679" s="270"/>
      <c r="BM679" s="270"/>
      <c r="BN679" s="270"/>
      <c r="BO679" s="270"/>
      <c r="BP679" s="270"/>
      <c r="BQ679" s="270"/>
      <c r="BR679" s="270"/>
      <c r="BS679" s="270"/>
      <c r="BT679" s="270"/>
      <c r="BU679" s="270"/>
      <c r="BV679" s="270"/>
      <c r="BW679" s="270"/>
      <c r="BX679" s="270"/>
      <c r="BY679" s="270"/>
      <c r="BZ679" s="270"/>
      <c r="CA679" s="270"/>
      <c r="CB679" s="270"/>
      <c r="CC679" s="270"/>
      <c r="CD679" s="270"/>
      <c r="CE679"/>
      <c r="CF679" s="1396"/>
      <c r="CG679" s="1396"/>
      <c r="CH679" s="270"/>
      <c r="CI679" s="270"/>
      <c r="CJ679" s="270"/>
      <c r="CK679" s="270"/>
      <c r="CL679" s="270"/>
      <c r="CM679" s="270"/>
    </row>
    <row r="680" spans="1:91" ht="13.5" hidden="1" outlineLevel="3" thickBot="1" x14ac:dyDescent="0.25">
      <c r="A680" s="270"/>
      <c r="B680" s="271"/>
      <c r="C680" s="12"/>
      <c r="D680" s="1071"/>
      <c r="E680" s="1071"/>
      <c r="F680" s="1071"/>
      <c r="G680" s="626"/>
      <c r="H680" s="271"/>
      <c r="I680" s="270"/>
      <c r="J680" s="270"/>
      <c r="K680" s="270"/>
      <c r="L680" s="270"/>
      <c r="M680" s="270"/>
      <c r="N680" s="270"/>
      <c r="O680" s="270"/>
      <c r="P680" s="1072"/>
      <c r="Q680" s="270"/>
      <c r="R680" s="270"/>
      <c r="S680" s="1072"/>
      <c r="T680" s="270"/>
      <c r="U680" s="1019"/>
      <c r="V680" s="1073"/>
      <c r="W680" s="1074"/>
      <c r="X680" s="1075" t="str">
        <f>N_Substitute</f>
        <v>Remplaçant</v>
      </c>
      <c r="Y680" s="627"/>
      <c r="Z680" s="492"/>
      <c r="AA680" s="1076"/>
      <c r="AB680" s="1069"/>
      <c r="AC680" s="1070"/>
      <c r="AD680" s="839"/>
      <c r="AE680" s="270"/>
      <c r="AF680" s="270"/>
      <c r="AG680" s="270"/>
      <c r="AH680" s="270"/>
      <c r="AI680" s="270"/>
      <c r="AJ680" s="270"/>
      <c r="AK680" s="270"/>
      <c r="AL680" s="270"/>
      <c r="AM680" s="270"/>
      <c r="AN680" s="270"/>
      <c r="AO680" s="271"/>
      <c r="AP680" s="270"/>
      <c r="AQ680" s="270"/>
      <c r="AR680" s="270"/>
      <c r="AS680" s="270"/>
      <c r="AT680" s="270"/>
      <c r="AU680" s="270"/>
      <c r="AV680" s="270"/>
      <c r="AW680" s="270"/>
      <c r="AX680" s="270"/>
      <c r="AY680" s="1072"/>
      <c r="AZ680" s="270"/>
      <c r="BA680" s="270"/>
      <c r="BB680" s="1072"/>
      <c r="BC680" s="270"/>
      <c r="BD680" s="270"/>
      <c r="BE680" s="270"/>
      <c r="BF680" s="270"/>
      <c r="BG680" s="270"/>
      <c r="BH680" s="270"/>
      <c r="BI680" s="270"/>
      <c r="BJ680" s="270"/>
      <c r="BK680" s="270"/>
      <c r="BL680" s="270"/>
      <c r="BM680" s="270"/>
      <c r="BN680" s="270"/>
      <c r="BO680" s="270"/>
      <c r="BP680" s="270"/>
      <c r="BQ680" s="270"/>
      <c r="BR680" s="270"/>
      <c r="BS680" s="270"/>
      <c r="BT680" s="270"/>
      <c r="BU680" s="270"/>
      <c r="BV680" s="270"/>
      <c r="BW680" s="270"/>
      <c r="BX680" s="270"/>
      <c r="BY680" s="270"/>
      <c r="BZ680" s="270"/>
      <c r="CA680" s="270"/>
      <c r="CB680" s="270"/>
      <c r="CC680" s="270"/>
      <c r="CD680" s="270"/>
      <c r="CE680"/>
      <c r="CF680" s="1396"/>
      <c r="CG680" s="1396"/>
      <c r="CH680" s="270"/>
      <c r="CI680" s="270"/>
      <c r="CJ680" s="270"/>
      <c r="CK680" s="270"/>
      <c r="CL680" s="270"/>
      <c r="CM680" s="270"/>
    </row>
    <row r="681" spans="1:91" ht="13.5" hidden="1" outlineLevel="3" thickBot="1" x14ac:dyDescent="0.25">
      <c r="A681" s="270"/>
      <c r="B681" s="271"/>
      <c r="C681" s="12"/>
      <c r="D681" s="1071"/>
      <c r="E681" s="1071"/>
      <c r="F681" s="1071"/>
      <c r="G681" s="626"/>
      <c r="H681" s="271"/>
      <c r="I681" s="270"/>
      <c r="J681" s="270"/>
      <c r="K681" s="270"/>
      <c r="L681" s="270"/>
      <c r="M681" s="270"/>
      <c r="N681" s="270"/>
      <c r="O681" s="270"/>
      <c r="P681" s="1072"/>
      <c r="Q681" s="270"/>
      <c r="R681" s="270"/>
      <c r="S681" s="1072"/>
      <c r="T681" s="270"/>
      <c r="U681" s="1019"/>
      <c r="V681" s="1119"/>
      <c r="W681" s="1120"/>
      <c r="X681" s="1075" t="str">
        <f>N_Substitute</f>
        <v>Remplaçant</v>
      </c>
      <c r="Y681" s="627"/>
      <c r="Z681" s="492"/>
      <c r="AA681" s="1121"/>
      <c r="AB681" s="1069"/>
      <c r="AC681" s="1070"/>
      <c r="AD681" s="839"/>
      <c r="AE681" s="270"/>
      <c r="AF681" s="270"/>
      <c r="AG681" s="270"/>
      <c r="AH681" s="270"/>
      <c r="AI681" s="270"/>
      <c r="AJ681" s="270"/>
      <c r="AK681" s="270"/>
      <c r="AL681" s="270"/>
      <c r="AM681" s="270"/>
      <c r="AN681" s="270"/>
      <c r="AO681" s="271"/>
      <c r="AP681" s="270"/>
      <c r="AQ681" s="270"/>
      <c r="AR681" s="270"/>
      <c r="AS681" s="270"/>
      <c r="AT681" s="270"/>
      <c r="AU681" s="270"/>
      <c r="AV681" s="270"/>
      <c r="AW681" s="270"/>
      <c r="AX681" s="270"/>
      <c r="AY681" s="1072"/>
      <c r="AZ681" s="270"/>
      <c r="BA681" s="270"/>
      <c r="BB681" s="1072"/>
      <c r="BC681" s="270"/>
      <c r="BD681" s="270"/>
      <c r="BE681" s="270"/>
      <c r="BF681" s="270"/>
      <c r="BG681" s="270"/>
      <c r="BH681" s="270"/>
      <c r="BI681" s="270"/>
      <c r="BJ681" s="270"/>
      <c r="BK681" s="270"/>
      <c r="BL681" s="270"/>
      <c r="BM681" s="270"/>
      <c r="BN681" s="270"/>
      <c r="BO681" s="270"/>
      <c r="BP681" s="270"/>
      <c r="BQ681" s="270"/>
      <c r="BR681" s="270"/>
      <c r="BS681" s="270"/>
      <c r="BT681" s="270"/>
      <c r="BU681" s="270"/>
      <c r="BV681" s="270"/>
      <c r="BW681" s="270"/>
      <c r="BX681" s="270"/>
      <c r="BY681" s="270"/>
      <c r="BZ681" s="270"/>
      <c r="CA681" s="270"/>
      <c r="CB681" s="270"/>
      <c r="CC681" s="270"/>
      <c r="CD681" s="270"/>
      <c r="CE681"/>
      <c r="CF681" s="1396"/>
      <c r="CG681" s="1396"/>
      <c r="CH681" s="270"/>
      <c r="CI681" s="270"/>
      <c r="CJ681" s="270"/>
      <c r="CK681" s="270"/>
      <c r="CL681" s="270"/>
      <c r="CM681" s="270"/>
    </row>
    <row r="682" spans="1:91" hidden="1" outlineLevel="2" collapsed="1" x14ac:dyDescent="0.2">
      <c r="A682" s="270"/>
      <c r="B682" s="271"/>
      <c r="C682" s="270"/>
      <c r="D682" s="270"/>
      <c r="E682" s="270"/>
      <c r="F682" s="270"/>
      <c r="G682" s="271"/>
      <c r="H682" s="270"/>
      <c r="I682" s="270"/>
      <c r="J682" s="270"/>
      <c r="K682" s="270"/>
      <c r="L682" s="270"/>
      <c r="M682" s="270"/>
      <c r="N682" s="270"/>
      <c r="O682" s="270"/>
      <c r="P682" s="270"/>
      <c r="Q682" s="270"/>
      <c r="R682" s="270"/>
      <c r="S682" s="270"/>
      <c r="T682" s="270"/>
      <c r="U682" s="1019" t="s">
        <v>1740</v>
      </c>
      <c r="V682" s="1179"/>
      <c r="W682" s="1177"/>
      <c r="X682" s="1207"/>
      <c r="Y682" s="1180" t="str">
        <f>G500</f>
        <v>Eq3</v>
      </c>
      <c r="Z682" s="1103" t="str">
        <f>IF(OR(ISNUMBER(Z683),ISNUMBER(Z684),ISNUMBER(Z685),ISNUMBER(Z686)),4-COUNTBLANK(AI683:AI686),"")</f>
        <v/>
      </c>
      <c r="AA682" s="1104" t="s">
        <v>769</v>
      </c>
      <c r="AB682" s="1103" t="str">
        <f>IF(OR(ISNUMBER(Z683),ISNUMBER(Z684),ISNUMBER(Z685),ISNUMBER(Z686)),4-COUNTBLANK(AJ683:AJ686),"")</f>
        <v/>
      </c>
      <c r="AC682" s="1181" t="str">
        <f>G503</f>
        <v>Eq6</v>
      </c>
      <c r="AD682" s="839"/>
      <c r="AE682" s="270" t="str">
        <f>IF(Z682="","",IF(Z682&gt;AB682,Y682,IF(Z682=AB682,IF(NoDrawWithWithdraw,IF(AL682=Y682,AC682,IF(AL682=AC682,Y682,"")),""),AC682)))</f>
        <v/>
      </c>
      <c r="AF682" s="270" t="str">
        <f>IF(Z682="","",IF(Z682=AB682,IF(NoDrawWithWithdraw,IF(AL682=Y682,"",IF(AL682=AC682,"",Y682)),Y682),""))</f>
        <v/>
      </c>
      <c r="AG682" s="270" t="str">
        <f>IF(Z682="","",IF(Z682=AB682,IF(NoDrawWithWithdraw,IF(AL682=Y682,"",IF(AL682=AC682,"",AC682)),AC682),""))</f>
        <v/>
      </c>
      <c r="AH682" s="270" t="str">
        <f>IF(Z682="","",IF(Z682&lt;AB682,Y682,IF(Z682=AB682,IF(NoDrawWithWithdraw,IF(AL682=Y682,Y682,IF(AL682=AC682,AC682,"")),""),AC682)))</f>
        <v/>
      </c>
      <c r="AI682" s="270" t="str">
        <f>IF(Z682="","",SUM(Z683:Z686))</f>
        <v/>
      </c>
      <c r="AJ682" s="270" t="str">
        <f>IF(Z682="","",SUM(AB683:AB686))</f>
        <v/>
      </c>
      <c r="AK682" s="270" t="str">
        <f>CONCATENATE(AE682,AH682)</f>
        <v/>
      </c>
      <c r="AL682" s="270" t="str">
        <f>IF(COUNTIF(Y683:Y686,WithdrawLabel)&gt;COUNTIF(AC683:AC686,WithdrawLabel),Y682,IF(COUNTIF(AC683:AC686,WithdrawLabel)&gt;COUNTIF(Y683:Y686,WithdrawLabel),AC682,""))</f>
        <v/>
      </c>
      <c r="AM682" s="270"/>
      <c r="AN682" s="270"/>
      <c r="AO682" s="575"/>
      <c r="AP682" s="270"/>
      <c r="AQ682" s="270"/>
      <c r="AR682" s="270"/>
      <c r="AS682" s="270"/>
      <c r="AT682" s="270"/>
      <c r="AU682" s="270"/>
      <c r="AV682" s="270"/>
      <c r="AW682" s="270"/>
      <c r="AX682" s="270"/>
      <c r="AY682" s="270"/>
      <c r="AZ682" s="270"/>
      <c r="BA682" s="270"/>
      <c r="BB682" s="270"/>
      <c r="BC682" s="270"/>
      <c r="BD682" s="270"/>
      <c r="BE682" s="270"/>
      <c r="BF682" s="270"/>
      <c r="BG682" s="270"/>
      <c r="BH682" s="270"/>
      <c r="BI682" s="270"/>
      <c r="BJ682" s="270"/>
      <c r="BK682" s="270"/>
      <c r="BL682" s="270"/>
      <c r="BM682" s="270"/>
      <c r="BN682" s="270"/>
      <c r="BO682" s="270"/>
      <c r="BP682" s="270"/>
      <c r="BQ682" s="270"/>
      <c r="BR682" s="270"/>
      <c r="BS682" s="270"/>
      <c r="BT682" s="270"/>
      <c r="BU682" s="270"/>
      <c r="BV682" s="270"/>
      <c r="BW682" s="270"/>
      <c r="BX682" s="270"/>
      <c r="BY682" s="270"/>
      <c r="BZ682" s="270"/>
      <c r="CA682" s="270"/>
      <c r="CB682" s="270"/>
      <c r="CC682" s="270"/>
      <c r="CD682" s="270"/>
      <c r="CE682"/>
      <c r="CF682" s="1396"/>
      <c r="CG682" s="1396"/>
      <c r="CH682" s="270"/>
      <c r="CI682" s="270"/>
      <c r="CJ682" s="270"/>
      <c r="CK682" s="270"/>
      <c r="CL682" s="270"/>
      <c r="CM682" s="270"/>
    </row>
    <row r="683" spans="1:91" ht="13.5" hidden="1" outlineLevel="3" thickBot="1" x14ac:dyDescent="0.25">
      <c r="A683" s="270"/>
      <c r="B683" s="271"/>
      <c r="C683" s="12"/>
      <c r="D683" s="1071"/>
      <c r="E683" s="1071"/>
      <c r="F683" s="1071"/>
      <c r="G683" s="1172"/>
      <c r="H683" s="271"/>
      <c r="I683" s="270"/>
      <c r="J683" s="270"/>
      <c r="K683" s="270"/>
      <c r="L683" s="270"/>
      <c r="M683" s="270"/>
      <c r="N683" s="270"/>
      <c r="O683" s="270"/>
      <c r="P683" s="1072"/>
      <c r="Q683" s="270"/>
      <c r="R683" s="270"/>
      <c r="S683" s="1072"/>
      <c r="T683" s="270"/>
      <c r="U683" s="1019"/>
      <c r="V683" s="1176"/>
      <c r="W683" s="1177"/>
      <c r="X683" s="1207"/>
      <c r="Y683" s="627"/>
      <c r="Z683" s="492"/>
      <c r="AA683" s="493" t="s">
        <v>769</v>
      </c>
      <c r="AB683" s="1069"/>
      <c r="AC683" s="1070"/>
      <c r="AD683" s="839"/>
      <c r="AE683" s="270" t="str">
        <f>IF(Z683="","",IF(Z683&gt;AB683,Y683,IF(Z683=AB683,"",AC683)))</f>
        <v/>
      </c>
      <c r="AF683" s="270" t="str">
        <f>IF(Z683="","",IF(Z683=AB683,Y683,""))</f>
        <v/>
      </c>
      <c r="AG683" s="270" t="str">
        <f>IF(Z683="","",IF(Z683=AB683,AC683,""))</f>
        <v/>
      </c>
      <c r="AH683" s="270" t="str">
        <f>IF(Z683="","",IF(Z683&lt;AB683,Y683,IF(Z683=AB683,"",AC683)))</f>
        <v/>
      </c>
      <c r="AI683" s="270" t="str">
        <f>IF(Z683="","",IF(Z683&gt;AB683,Y682,""))</f>
        <v/>
      </c>
      <c r="AJ683" s="270" t="str">
        <f>IF(Z683="","",IF(Z683&lt;AB683,AC682,""))</f>
        <v/>
      </c>
      <c r="AK683" s="270" t="str">
        <f>CONCATENATE(AE683,AH683)</f>
        <v/>
      </c>
      <c r="AL683" s="270"/>
      <c r="AM683" s="270"/>
      <c r="AN683" s="270"/>
      <c r="AO683" s="271"/>
      <c r="AP683" s="270"/>
      <c r="AQ683" s="270"/>
      <c r="AR683" s="270"/>
      <c r="AS683" s="270"/>
      <c r="AT683" s="270"/>
      <c r="AU683" s="270"/>
      <c r="AV683" s="270"/>
      <c r="AW683" s="270"/>
      <c r="AX683" s="270"/>
      <c r="AY683" s="1072"/>
      <c r="AZ683" s="270"/>
      <c r="BA683" s="270"/>
      <c r="BB683" s="1072"/>
      <c r="BC683" s="270"/>
      <c r="BD683" s="270"/>
      <c r="BE683" s="270"/>
      <c r="BF683" s="270"/>
      <c r="BG683" s="270"/>
      <c r="BH683" s="270"/>
      <c r="BI683" s="270"/>
      <c r="BJ683" s="270"/>
      <c r="BK683" s="270"/>
      <c r="BL683" s="270"/>
      <c r="BM683" s="270"/>
      <c r="BN683" s="270"/>
      <c r="BO683" s="270"/>
      <c r="BP683" s="270"/>
      <c r="BQ683" s="270"/>
      <c r="BR683" s="270"/>
      <c r="BS683" s="270"/>
      <c r="BT683" s="270"/>
      <c r="BU683" s="270"/>
      <c r="BV683" s="270"/>
      <c r="BW683" s="270"/>
      <c r="BX683" s="270"/>
      <c r="BY683" s="270"/>
      <c r="BZ683" s="270"/>
      <c r="CA683" s="270"/>
      <c r="CB683" s="270"/>
      <c r="CC683" s="270"/>
      <c r="CD683" s="270"/>
      <c r="CE683"/>
      <c r="CF683" s="1396"/>
      <c r="CG683" s="1396"/>
      <c r="CH683" s="270"/>
      <c r="CI683" s="270"/>
      <c r="CJ683" s="270"/>
      <c r="CK683" s="270"/>
      <c r="CL683" s="270"/>
      <c r="CM683" s="270"/>
    </row>
    <row r="684" spans="1:91" ht="13.5" hidden="1" outlineLevel="3" thickBot="1" x14ac:dyDescent="0.25">
      <c r="A684" s="270"/>
      <c r="B684" s="271"/>
      <c r="C684" s="12"/>
      <c r="D684" s="1071"/>
      <c r="E684" s="1071"/>
      <c r="F684" s="1071"/>
      <c r="G684" s="1172"/>
      <c r="H684" s="271"/>
      <c r="I684" s="270"/>
      <c r="J684" s="270"/>
      <c r="K684" s="270"/>
      <c r="L684" s="270"/>
      <c r="M684" s="270"/>
      <c r="N684" s="270"/>
      <c r="O684" s="270"/>
      <c r="P684" s="1072"/>
      <c r="Q684" s="270"/>
      <c r="R684" s="270"/>
      <c r="S684" s="1072"/>
      <c r="T684" s="270"/>
      <c r="U684" s="1019"/>
      <c r="V684" s="1176"/>
      <c r="W684" s="1177"/>
      <c r="X684" s="1207"/>
      <c r="Y684" s="627"/>
      <c r="Z684" s="492"/>
      <c r="AA684" s="493" t="s">
        <v>769</v>
      </c>
      <c r="AB684" s="1069"/>
      <c r="AC684" s="1070"/>
      <c r="AD684" s="839"/>
      <c r="AE684" s="270" t="str">
        <f>IF(Z684="","",IF(Z684&gt;AB684,Y684,IF(Z684=AB684,"",AC684)))</f>
        <v/>
      </c>
      <c r="AF684" s="270" t="str">
        <f>IF(Z684="","",IF(Z684=AB684,Y684,""))</f>
        <v/>
      </c>
      <c r="AG684" s="270" t="str">
        <f>IF(Z684="","",IF(Z684=AB684,AC684,""))</f>
        <v/>
      </c>
      <c r="AH684" s="270" t="str">
        <f>IF(Z684="","",IF(Z684&lt;AB684,Y684,IF(Z684=AB684,"",AC684)))</f>
        <v/>
      </c>
      <c r="AI684" s="270" t="str">
        <f>IF(Z684="","",IF(Z684&gt;AB684,Y682,""))</f>
        <v/>
      </c>
      <c r="AJ684" s="270" t="str">
        <f>IF(Z684="","",IF(Z684&lt;AB684,AC682,""))</f>
        <v/>
      </c>
      <c r="AK684" s="270" t="str">
        <f>CONCATENATE(AE684,AH684)</f>
        <v/>
      </c>
      <c r="AL684" s="270"/>
      <c r="AM684" s="270"/>
      <c r="AN684" s="270"/>
      <c r="AO684" s="271"/>
      <c r="AP684" s="270"/>
      <c r="AQ684" s="270"/>
      <c r="AR684" s="270"/>
      <c r="AS684" s="270"/>
      <c r="AT684" s="270"/>
      <c r="AU684" s="270"/>
      <c r="AV684" s="270"/>
      <c r="AW684" s="270"/>
      <c r="AX684" s="270"/>
      <c r="AY684" s="1072"/>
      <c r="AZ684" s="270"/>
      <c r="BA684" s="270"/>
      <c r="BB684" s="1072"/>
      <c r="BC684" s="270"/>
      <c r="BD684" s="270"/>
      <c r="BE684" s="270"/>
      <c r="BF684" s="270"/>
      <c r="BG684" s="270"/>
      <c r="BH684" s="270"/>
      <c r="BI684" s="270"/>
      <c r="BJ684" s="270"/>
      <c r="BK684" s="270"/>
      <c r="BL684" s="270"/>
      <c r="BM684" s="270"/>
      <c r="BN684" s="270"/>
      <c r="BO684" s="270"/>
      <c r="BP684" s="270"/>
      <c r="BQ684" s="270"/>
      <c r="BR684" s="270"/>
      <c r="BS684" s="270"/>
      <c r="BT684" s="270"/>
      <c r="BU684" s="270"/>
      <c r="BV684" s="270"/>
      <c r="BW684" s="270"/>
      <c r="BX684" s="270"/>
      <c r="BY684" s="270"/>
      <c r="BZ684" s="270"/>
      <c r="CA684" s="270"/>
      <c r="CB684" s="270"/>
      <c r="CC684" s="270"/>
      <c r="CD684" s="270"/>
      <c r="CE684"/>
      <c r="CF684" s="1396"/>
      <c r="CG684" s="1396"/>
      <c r="CH684" s="270"/>
      <c r="CI684" s="270"/>
      <c r="CJ684" s="270"/>
      <c r="CK684" s="270"/>
      <c r="CL684" s="270"/>
      <c r="CM684" s="270"/>
    </row>
    <row r="685" spans="1:91" ht="13.5" hidden="1" outlineLevel="3" thickBot="1" x14ac:dyDescent="0.25">
      <c r="A685" s="270"/>
      <c r="B685" s="271"/>
      <c r="C685" s="12"/>
      <c r="D685" s="1071"/>
      <c r="E685" s="1071"/>
      <c r="F685" s="1071"/>
      <c r="G685" s="1172"/>
      <c r="H685" s="271"/>
      <c r="I685" s="270"/>
      <c r="J685" s="270"/>
      <c r="K685" s="270"/>
      <c r="L685" s="270"/>
      <c r="M685" s="270"/>
      <c r="N685" s="270"/>
      <c r="O685" s="270"/>
      <c r="P685" s="1072"/>
      <c r="Q685" s="270"/>
      <c r="R685" s="270"/>
      <c r="S685" s="1072"/>
      <c r="T685" s="270"/>
      <c r="U685" s="1019"/>
      <c r="V685" s="1176"/>
      <c r="W685" s="1177"/>
      <c r="X685" s="1207"/>
      <c r="Y685" s="627"/>
      <c r="Z685" s="492"/>
      <c r="AA685" s="493" t="s">
        <v>769</v>
      </c>
      <c r="AB685" s="1069"/>
      <c r="AC685" s="1070"/>
      <c r="AD685" s="839"/>
      <c r="AE685" s="270" t="str">
        <f>IF(Z685="","",IF(Z685&gt;AB685,Y685,IF(Z685=AB685,"",AC685)))</f>
        <v/>
      </c>
      <c r="AF685" s="270" t="str">
        <f>IF(Z685="","",IF(Z685=AB685,Y685,""))</f>
        <v/>
      </c>
      <c r="AG685" s="270" t="str">
        <f>IF(Z685="","",IF(Z685=AB685,AC685,""))</f>
        <v/>
      </c>
      <c r="AH685" s="270" t="str">
        <f>IF(Z685="","",IF(Z685&lt;AB685,Y685,IF(Z685=AB685,"",AC685)))</f>
        <v/>
      </c>
      <c r="AI685" s="270" t="str">
        <f>IF(Z685="","",IF(Z685&gt;AB685,Y682,""))</f>
        <v/>
      </c>
      <c r="AJ685" s="270" t="str">
        <f>IF(Z685="","",IF(Z685&lt;AB685,AC682,""))</f>
        <v/>
      </c>
      <c r="AK685" s="270" t="str">
        <f>CONCATENATE(AE685,AH685)</f>
        <v/>
      </c>
      <c r="AL685" s="270"/>
      <c r="AM685" s="270"/>
      <c r="AN685" s="270"/>
      <c r="AO685" s="271"/>
      <c r="AP685" s="270"/>
      <c r="AQ685" s="270"/>
      <c r="AR685" s="270"/>
      <c r="AS685" s="270"/>
      <c r="AT685" s="270"/>
      <c r="AU685" s="270"/>
      <c r="AV685" s="270"/>
      <c r="AW685" s="270"/>
      <c r="AX685" s="270"/>
      <c r="AY685" s="1072"/>
      <c r="AZ685" s="270"/>
      <c r="BA685" s="270"/>
      <c r="BB685" s="1072"/>
      <c r="BC685" s="270"/>
      <c r="BD685" s="270"/>
      <c r="BE685" s="270"/>
      <c r="BF685" s="270"/>
      <c r="BG685" s="270"/>
      <c r="BH685" s="270"/>
      <c r="BI685" s="270"/>
      <c r="BJ685" s="270"/>
      <c r="BK685" s="270"/>
      <c r="BL685" s="270"/>
      <c r="BM685" s="270"/>
      <c r="BN685" s="270"/>
      <c r="BO685" s="270"/>
      <c r="BP685" s="270"/>
      <c r="BQ685" s="270"/>
      <c r="BR685" s="270"/>
      <c r="BS685" s="270"/>
      <c r="BT685" s="270"/>
      <c r="BU685" s="270"/>
      <c r="BV685" s="270"/>
      <c r="BW685" s="270"/>
      <c r="BX685" s="270"/>
      <c r="BY685" s="270"/>
      <c r="BZ685" s="270"/>
      <c r="CA685" s="270"/>
      <c r="CB685" s="270"/>
      <c r="CC685" s="270"/>
      <c r="CD685" s="270"/>
      <c r="CE685"/>
      <c r="CF685" s="1396"/>
      <c r="CG685" s="1396"/>
      <c r="CH685" s="270"/>
      <c r="CI685" s="270"/>
      <c r="CJ685" s="270"/>
      <c r="CK685" s="270"/>
      <c r="CL685" s="270"/>
      <c r="CM685" s="270"/>
    </row>
    <row r="686" spans="1:91" ht="13.5" hidden="1" outlineLevel="3" thickBot="1" x14ac:dyDescent="0.25">
      <c r="A686" s="270"/>
      <c r="B686" s="271"/>
      <c r="C686" s="12"/>
      <c r="D686" s="1071"/>
      <c r="E686" s="1071"/>
      <c r="F686" s="1071"/>
      <c r="G686" s="1172"/>
      <c r="H686" s="271"/>
      <c r="I686" s="270"/>
      <c r="J686" s="270"/>
      <c r="K686" s="270"/>
      <c r="L686" s="270"/>
      <c r="M686" s="270"/>
      <c r="N686" s="270"/>
      <c r="O686" s="270"/>
      <c r="P686" s="1072"/>
      <c r="Q686" s="270"/>
      <c r="R686" s="270"/>
      <c r="S686" s="1072"/>
      <c r="T686" s="270"/>
      <c r="U686" s="1019"/>
      <c r="V686" s="1176"/>
      <c r="W686" s="1177"/>
      <c r="X686" s="1207"/>
      <c r="Y686" s="627"/>
      <c r="Z686" s="492"/>
      <c r="AA686" s="493" t="s">
        <v>769</v>
      </c>
      <c r="AB686" s="1069"/>
      <c r="AC686" s="1070"/>
      <c r="AD686" s="839"/>
      <c r="AE686" s="270" t="str">
        <f>IF(Z686="","",IF(Z686&gt;AB686,Y686,IF(Z686=AB686,"",AC686)))</f>
        <v/>
      </c>
      <c r="AF686" s="270" t="str">
        <f>IF(Z686="","",IF(Z686=AB686,Y686,""))</f>
        <v/>
      </c>
      <c r="AG686" s="270" t="str">
        <f>IF(Z686="","",IF(Z686=AB686,AC686,""))</f>
        <v/>
      </c>
      <c r="AH686" s="270" t="str">
        <f>IF(Z686="","",IF(Z686&lt;AB686,Y686,IF(Z686=AB686,"",AC686)))</f>
        <v/>
      </c>
      <c r="AI686" s="270" t="str">
        <f>IF(Z686="","",IF(Z686&gt;AB686,Y682,""))</f>
        <v/>
      </c>
      <c r="AJ686" s="270" t="str">
        <f>IF(Z686="","",IF(Z686&lt;AB686,AC682,""))</f>
        <v/>
      </c>
      <c r="AK686" s="270" t="str">
        <f>CONCATENATE(AE686,AH686)</f>
        <v/>
      </c>
      <c r="AL686" s="270"/>
      <c r="AM686" s="270"/>
      <c r="AN686" s="270"/>
      <c r="AO686" s="271"/>
      <c r="AP686" s="270"/>
      <c r="AQ686" s="270"/>
      <c r="AR686" s="270"/>
      <c r="AS686" s="270"/>
      <c r="AT686" s="270"/>
      <c r="AU686" s="270"/>
      <c r="AV686" s="270"/>
      <c r="AW686" s="270"/>
      <c r="AX686" s="270"/>
      <c r="AY686" s="1072"/>
      <c r="AZ686" s="270"/>
      <c r="BA686" s="270"/>
      <c r="BB686" s="1072"/>
      <c r="BC686" s="270"/>
      <c r="BD686" s="270"/>
      <c r="BE686" s="270"/>
      <c r="BF686" s="270"/>
      <c r="BG686" s="270"/>
      <c r="BH686" s="270"/>
      <c r="BI686" s="270"/>
      <c r="BJ686" s="270"/>
      <c r="BK686" s="270"/>
      <c r="BL686" s="270"/>
      <c r="BM686" s="270"/>
      <c r="BN686" s="270"/>
      <c r="BO686" s="270"/>
      <c r="BP686" s="270"/>
      <c r="BQ686" s="270"/>
      <c r="BR686" s="270"/>
      <c r="BS686" s="270"/>
      <c r="BT686" s="270"/>
      <c r="BU686" s="270"/>
      <c r="BV686" s="270"/>
      <c r="BW686" s="270"/>
      <c r="BX686" s="270"/>
      <c r="BY686" s="270"/>
      <c r="BZ686" s="270"/>
      <c r="CA686" s="270"/>
      <c r="CB686" s="270"/>
      <c r="CC686" s="270"/>
      <c r="CD686" s="270"/>
      <c r="CE686"/>
      <c r="CF686" s="1396"/>
      <c r="CG686" s="1396"/>
      <c r="CH686" s="270"/>
      <c r="CI686" s="270"/>
      <c r="CJ686" s="270"/>
      <c r="CK686" s="270"/>
      <c r="CL686" s="270"/>
      <c r="CM686" s="270"/>
    </row>
    <row r="687" spans="1:91" ht="13.5" hidden="1" outlineLevel="3" thickBot="1" x14ac:dyDescent="0.25">
      <c r="A687" s="270"/>
      <c r="B687" s="271"/>
      <c r="C687" s="12"/>
      <c r="D687" s="1071"/>
      <c r="E687" s="1071"/>
      <c r="F687" s="1071"/>
      <c r="G687" s="626"/>
      <c r="H687" s="271"/>
      <c r="I687" s="270"/>
      <c r="J687" s="270"/>
      <c r="K687" s="270"/>
      <c r="L687" s="270"/>
      <c r="M687" s="270"/>
      <c r="N687" s="270"/>
      <c r="O687" s="270"/>
      <c r="P687" s="1072"/>
      <c r="Q687" s="270"/>
      <c r="R687" s="270"/>
      <c r="S687" s="1072"/>
      <c r="T687" s="270"/>
      <c r="U687" s="1019"/>
      <c r="V687" s="1073"/>
      <c r="W687" s="1074"/>
      <c r="X687" s="1075" t="str">
        <f>N_Substitute</f>
        <v>Remplaçant</v>
      </c>
      <c r="Y687" s="627"/>
      <c r="Z687" s="492"/>
      <c r="AA687" s="1076"/>
      <c r="AB687" s="1069"/>
      <c r="AC687" s="1070"/>
      <c r="AD687" s="839"/>
      <c r="AE687" s="270"/>
      <c r="AF687" s="270"/>
      <c r="AG687" s="270"/>
      <c r="AH687" s="270"/>
      <c r="AI687" s="270"/>
      <c r="AJ687" s="270"/>
      <c r="AK687" s="270"/>
      <c r="AL687" s="270"/>
      <c r="AM687" s="270"/>
      <c r="AN687" s="270"/>
      <c r="AO687" s="271"/>
      <c r="AP687" s="270"/>
      <c r="AQ687" s="270"/>
      <c r="AR687" s="270"/>
      <c r="AS687" s="270"/>
      <c r="AT687" s="270"/>
      <c r="AU687" s="270"/>
      <c r="AV687" s="270"/>
      <c r="AW687" s="270"/>
      <c r="AX687" s="270"/>
      <c r="AY687" s="1072"/>
      <c r="AZ687" s="270"/>
      <c r="BA687" s="270"/>
      <c r="BB687" s="1072"/>
      <c r="BC687" s="270"/>
      <c r="BD687" s="270"/>
      <c r="BE687" s="270"/>
      <c r="BF687" s="270"/>
      <c r="BG687" s="270"/>
      <c r="BH687" s="270"/>
      <c r="BI687" s="270"/>
      <c r="BJ687" s="270"/>
      <c r="BK687" s="270"/>
      <c r="BL687" s="270"/>
      <c r="BM687" s="270"/>
      <c r="BN687" s="270"/>
      <c r="BO687" s="270"/>
      <c r="BP687" s="270"/>
      <c r="BQ687" s="270"/>
      <c r="BR687" s="270"/>
      <c r="BS687" s="270"/>
      <c r="BT687" s="270"/>
      <c r="BU687" s="270"/>
      <c r="BV687" s="270"/>
      <c r="BW687" s="270"/>
      <c r="BX687" s="270"/>
      <c r="BY687" s="270"/>
      <c r="BZ687" s="270"/>
      <c r="CA687" s="270"/>
      <c r="CB687" s="270"/>
      <c r="CC687" s="270"/>
      <c r="CD687" s="270"/>
      <c r="CE687"/>
      <c r="CF687" s="1396"/>
      <c r="CG687" s="1396"/>
      <c r="CH687" s="270"/>
      <c r="CI687" s="270"/>
      <c r="CJ687" s="270"/>
      <c r="CK687" s="270"/>
      <c r="CL687" s="270"/>
      <c r="CM687" s="270"/>
    </row>
    <row r="688" spans="1:91" ht="13.5" hidden="1" outlineLevel="3" thickBot="1" x14ac:dyDescent="0.25">
      <c r="A688" s="270"/>
      <c r="B688" s="271"/>
      <c r="C688" s="12"/>
      <c r="D688" s="1071"/>
      <c r="E688" s="1071"/>
      <c r="F688" s="1071"/>
      <c r="G688" s="626"/>
      <c r="H688" s="271"/>
      <c r="I688" s="270"/>
      <c r="J688" s="270"/>
      <c r="K688" s="270"/>
      <c r="L688" s="270"/>
      <c r="M688" s="270"/>
      <c r="N688" s="270"/>
      <c r="O688" s="270"/>
      <c r="P688" s="1072"/>
      <c r="Q688" s="270"/>
      <c r="R688" s="270"/>
      <c r="S688" s="1072"/>
      <c r="T688" s="270"/>
      <c r="U688" s="1019"/>
      <c r="V688" s="1119"/>
      <c r="W688" s="1120"/>
      <c r="X688" s="1075" t="str">
        <f>N_Substitute</f>
        <v>Remplaçant</v>
      </c>
      <c r="Y688" s="627"/>
      <c r="Z688" s="492"/>
      <c r="AA688" s="1121"/>
      <c r="AB688" s="1069"/>
      <c r="AC688" s="1070"/>
      <c r="AD688" s="839"/>
      <c r="AE688" s="270"/>
      <c r="AF688" s="270"/>
      <c r="AG688" s="270"/>
      <c r="AH688" s="270"/>
      <c r="AI688" s="270"/>
      <c r="AJ688" s="270"/>
      <c r="AK688" s="270"/>
      <c r="AL688" s="270"/>
      <c r="AM688" s="270"/>
      <c r="AN688" s="270"/>
      <c r="AO688" s="271"/>
      <c r="AP688" s="270"/>
      <c r="AQ688" s="270"/>
      <c r="AR688" s="270"/>
      <c r="AS688" s="270"/>
      <c r="AT688" s="270"/>
      <c r="AU688" s="270"/>
      <c r="AV688" s="270"/>
      <c r="AW688" s="270"/>
      <c r="AX688" s="270"/>
      <c r="AY688" s="1072"/>
      <c r="AZ688" s="270"/>
      <c r="BA688" s="270"/>
      <c r="BB688" s="1072"/>
      <c r="BC688" s="270"/>
      <c r="BD688" s="270"/>
      <c r="BE688" s="270"/>
      <c r="BF688" s="270"/>
      <c r="BG688" s="270"/>
      <c r="BH688" s="270"/>
      <c r="BI688" s="270"/>
      <c r="BJ688" s="270"/>
      <c r="BK688" s="270"/>
      <c r="BL688" s="270"/>
      <c r="BM688" s="270"/>
      <c r="BN688" s="270"/>
      <c r="BO688" s="270"/>
      <c r="BP688" s="270"/>
      <c r="BQ688" s="270"/>
      <c r="BR688" s="270"/>
      <c r="BS688" s="270"/>
      <c r="BT688" s="270"/>
      <c r="BU688" s="270"/>
      <c r="BV688" s="270"/>
      <c r="BW688" s="270"/>
      <c r="BX688" s="270"/>
      <c r="BY688" s="270"/>
      <c r="BZ688" s="270"/>
      <c r="CA688" s="270"/>
      <c r="CB688" s="270"/>
      <c r="CC688" s="270"/>
      <c r="CD688" s="270"/>
      <c r="CE688"/>
      <c r="CF688" s="1396"/>
      <c r="CG688" s="1396"/>
      <c r="CH688" s="270"/>
      <c r="CI688" s="270"/>
      <c r="CJ688" s="270"/>
      <c r="CK688" s="270"/>
      <c r="CL688" s="270"/>
      <c r="CM688" s="270"/>
    </row>
    <row r="689" spans="1:91" hidden="1" outlineLevel="2" collapsed="1" x14ac:dyDescent="0.2">
      <c r="A689" s="270"/>
      <c r="B689" s="271"/>
      <c r="C689" s="270"/>
      <c r="D689" s="270"/>
      <c r="E689" s="270"/>
      <c r="F689" s="270"/>
      <c r="G689" s="271"/>
      <c r="H689" s="270"/>
      <c r="I689" s="270"/>
      <c r="J689" s="270"/>
      <c r="K689" s="270"/>
      <c r="L689" s="270"/>
      <c r="M689" s="270"/>
      <c r="N689" s="270"/>
      <c r="O689" s="270"/>
      <c r="P689" s="270"/>
      <c r="Q689" s="270"/>
      <c r="R689" s="270"/>
      <c r="S689" s="270"/>
      <c r="T689" s="270"/>
      <c r="U689" s="1019" t="s">
        <v>1740</v>
      </c>
      <c r="V689" s="1179"/>
      <c r="W689" s="1177"/>
      <c r="X689" s="1207"/>
      <c r="Y689" s="1180" t="str">
        <f>G501</f>
        <v>Eq4</v>
      </c>
      <c r="Z689" s="1103" t="str">
        <f>IF(OR(ISNUMBER(Z690),ISNUMBER(Z691),ISNUMBER(Z692),ISNUMBER(Z693)),4-COUNTBLANK(AI690:AI693),"")</f>
        <v/>
      </c>
      <c r="AA689" s="1104" t="s">
        <v>769</v>
      </c>
      <c r="AB689" s="1103" t="str">
        <f>IF(OR(ISNUMBER(Z690),ISNUMBER(Z691),ISNUMBER(Z692),ISNUMBER(Z693)),4-COUNTBLANK(AJ690:AJ693),"")</f>
        <v/>
      </c>
      <c r="AC689" s="1181" t="str">
        <f>G502</f>
        <v>Eq5</v>
      </c>
      <c r="AD689" s="839"/>
      <c r="AE689" s="270" t="str">
        <f>IF(Z689="","",IF(Z689&gt;AB689,Y689,IF(Z689=AB689,IF(NoDrawWithWithdraw,IF(AL689=Y689,AC689,IF(AL689=AC689,Y689,"")),""),AC689)))</f>
        <v/>
      </c>
      <c r="AF689" s="270" t="str">
        <f>IF(Z689="","",IF(Z689=AB689,IF(NoDrawWithWithdraw,IF(AL689=Y689,"",IF(AL689=AC689,"",Y689)),Y689),""))</f>
        <v/>
      </c>
      <c r="AG689" s="270" t="str">
        <f>IF(Z689="","",IF(Z689=AB689,IF(NoDrawWithWithdraw,IF(AL689=Y689,"",IF(AL689=AC689,"",AC689)),AC689),""))</f>
        <v/>
      </c>
      <c r="AH689" s="270" t="str">
        <f>IF(Z689="","",IF(Z689&lt;AB689,Y689,IF(Z689=AB689,IF(NoDrawWithWithdraw,IF(AL689=Y689,Y689,IF(AL689=AC689,AC689,"")),""),AC689)))</f>
        <v/>
      </c>
      <c r="AI689" s="270" t="str">
        <f>IF(Z689="","",SUM(Z690:Z693))</f>
        <v/>
      </c>
      <c r="AJ689" s="270" t="str">
        <f>IF(Z689="","",SUM(AB690:AB693))</f>
        <v/>
      </c>
      <c r="AK689" s="270" t="str">
        <f>CONCATENATE(AE689,AH689)</f>
        <v/>
      </c>
      <c r="AL689" s="270" t="str">
        <f>IF(COUNTIF(Y690:Y693,WithdrawLabel)&gt;COUNTIF(AC690:AC693,WithdrawLabel),Y689,IF(COUNTIF(AC690:AC693,WithdrawLabel)&gt;COUNTIF(Y690:Y693,WithdrawLabel),AC689,""))</f>
        <v/>
      </c>
      <c r="AM689" s="270"/>
      <c r="AN689" s="270"/>
      <c r="AO689" s="575"/>
      <c r="AP689" s="270"/>
      <c r="AQ689" s="270"/>
      <c r="AR689" s="270"/>
      <c r="AS689" s="270"/>
      <c r="AT689" s="270"/>
      <c r="AU689" s="270"/>
      <c r="AV689" s="270"/>
      <c r="AW689" s="270"/>
      <c r="AX689" s="270"/>
      <c r="AY689" s="270"/>
      <c r="AZ689" s="270"/>
      <c r="BA689" s="270"/>
      <c r="BB689" s="270"/>
      <c r="BC689" s="270"/>
      <c r="BD689" s="270"/>
      <c r="BE689" s="270"/>
      <c r="BF689" s="270"/>
      <c r="BG689" s="270"/>
      <c r="BH689" s="270"/>
      <c r="BI689" s="270"/>
      <c r="BJ689" s="270"/>
      <c r="BK689" s="270"/>
      <c r="BL689" s="270"/>
      <c r="BM689" s="270"/>
      <c r="BN689" s="270"/>
      <c r="BO689" s="270"/>
      <c r="BP689" s="270"/>
      <c r="BQ689" s="270"/>
      <c r="BR689" s="270"/>
      <c r="BS689" s="270"/>
      <c r="BT689" s="270"/>
      <c r="BU689" s="270"/>
      <c r="BV689" s="270"/>
      <c r="BW689" s="270"/>
      <c r="BX689" s="270"/>
      <c r="BY689" s="270"/>
      <c r="BZ689" s="270"/>
      <c r="CA689" s="270"/>
      <c r="CB689" s="270"/>
      <c r="CC689" s="270"/>
      <c r="CD689" s="270"/>
      <c r="CE689"/>
      <c r="CF689" s="1396"/>
      <c r="CG689" s="1396"/>
      <c r="CH689" s="270"/>
      <c r="CI689" s="270"/>
      <c r="CJ689" s="270"/>
      <c r="CK689" s="270"/>
      <c r="CL689" s="270"/>
      <c r="CM689" s="270"/>
    </row>
    <row r="690" spans="1:91" ht="13.5" hidden="1" outlineLevel="3" thickBot="1" x14ac:dyDescent="0.25">
      <c r="A690" s="270"/>
      <c r="B690" s="271"/>
      <c r="C690" s="12"/>
      <c r="D690" s="1071"/>
      <c r="E690" s="1071"/>
      <c r="F690" s="1071"/>
      <c r="G690" s="1172"/>
      <c r="H690" s="271"/>
      <c r="I690" s="270"/>
      <c r="J690" s="270"/>
      <c r="K690" s="270"/>
      <c r="L690" s="270"/>
      <c r="M690" s="270"/>
      <c r="N690" s="270"/>
      <c r="O690" s="270"/>
      <c r="P690" s="1072"/>
      <c r="Q690" s="270"/>
      <c r="R690" s="270"/>
      <c r="S690" s="1072"/>
      <c r="T690" s="270"/>
      <c r="U690" s="1019"/>
      <c r="V690" s="1176"/>
      <c r="W690" s="1177"/>
      <c r="X690" s="1207"/>
      <c r="Y690" s="627"/>
      <c r="Z690" s="492"/>
      <c r="AA690" s="493" t="s">
        <v>769</v>
      </c>
      <c r="AB690" s="1069"/>
      <c r="AC690" s="1070"/>
      <c r="AD690" s="839"/>
      <c r="AE690" s="270" t="str">
        <f>IF(Z690="","",IF(Z690&gt;AB690,Y690,IF(Z690=AB690,"",AC690)))</f>
        <v/>
      </c>
      <c r="AF690" s="270" t="str">
        <f>IF(Z690="","",IF(Z690=AB690,Y690,""))</f>
        <v/>
      </c>
      <c r="AG690" s="270" t="str">
        <f>IF(Z690="","",IF(Z690=AB690,AC690,""))</f>
        <v/>
      </c>
      <c r="AH690" s="270" t="str">
        <f>IF(Z690="","",IF(Z690&lt;AB690,Y690,IF(Z690=AB690,"",AC690)))</f>
        <v/>
      </c>
      <c r="AI690" s="270" t="str">
        <f>IF(Z690="","",IF(Z690&gt;AB690,Y689,""))</f>
        <v/>
      </c>
      <c r="AJ690" s="270" t="str">
        <f>IF(Z690="","",IF(Z690&lt;AB690,AC689,""))</f>
        <v/>
      </c>
      <c r="AK690" s="270" t="str">
        <f>CONCATENATE(AE690,AH690)</f>
        <v/>
      </c>
      <c r="AL690" s="270"/>
      <c r="AM690" s="270"/>
      <c r="AN690" s="270"/>
      <c r="AO690" s="271"/>
      <c r="AP690" s="270"/>
      <c r="AQ690" s="270"/>
      <c r="AR690" s="270"/>
      <c r="AS690" s="270"/>
      <c r="AT690" s="270"/>
      <c r="AU690" s="270"/>
      <c r="AV690" s="270"/>
      <c r="AW690" s="270"/>
      <c r="AX690" s="270"/>
      <c r="AY690" s="1072"/>
      <c r="AZ690" s="270"/>
      <c r="BA690" s="270"/>
      <c r="BB690" s="1072"/>
      <c r="BC690" s="270"/>
      <c r="BD690" s="270"/>
      <c r="BE690" s="270"/>
      <c r="BF690" s="270"/>
      <c r="BG690" s="270"/>
      <c r="BH690" s="270"/>
      <c r="BI690" s="270"/>
      <c r="BJ690" s="270"/>
      <c r="BK690" s="270"/>
      <c r="BL690" s="270"/>
      <c r="BM690" s="270"/>
      <c r="BN690" s="270"/>
      <c r="BO690" s="270"/>
      <c r="BP690" s="270"/>
      <c r="BQ690" s="270"/>
      <c r="BR690" s="270"/>
      <c r="BS690" s="270"/>
      <c r="BT690" s="270"/>
      <c r="BU690" s="270"/>
      <c r="BV690" s="270"/>
      <c r="BW690" s="270"/>
      <c r="BX690" s="270"/>
      <c r="BY690" s="270"/>
      <c r="BZ690" s="270"/>
      <c r="CA690" s="270"/>
      <c r="CB690" s="270"/>
      <c r="CC690" s="270"/>
      <c r="CD690" s="270"/>
      <c r="CE690"/>
      <c r="CF690" s="1396"/>
      <c r="CG690" s="1396"/>
      <c r="CH690" s="270"/>
      <c r="CI690" s="270"/>
      <c r="CJ690" s="270"/>
      <c r="CK690" s="270"/>
      <c r="CL690" s="270"/>
      <c r="CM690" s="270"/>
    </row>
    <row r="691" spans="1:91" ht="13.5" hidden="1" outlineLevel="3" thickBot="1" x14ac:dyDescent="0.25">
      <c r="A691" s="270"/>
      <c r="B691" s="271"/>
      <c r="C691" s="12"/>
      <c r="D691" s="1071"/>
      <c r="E691" s="1071"/>
      <c r="F691" s="1071"/>
      <c r="G691" s="1172"/>
      <c r="H691" s="271"/>
      <c r="I691" s="270"/>
      <c r="J691" s="270"/>
      <c r="K691" s="270"/>
      <c r="L691" s="270"/>
      <c r="M691" s="270"/>
      <c r="N691" s="270"/>
      <c r="O691" s="270"/>
      <c r="P691" s="1072"/>
      <c r="Q691" s="270"/>
      <c r="R691" s="270"/>
      <c r="S691" s="1072"/>
      <c r="T691" s="270"/>
      <c r="U691" s="1019"/>
      <c r="V691" s="1176"/>
      <c r="W691" s="1177"/>
      <c r="X691" s="1207"/>
      <c r="Y691" s="627"/>
      <c r="Z691" s="492"/>
      <c r="AA691" s="493" t="s">
        <v>769</v>
      </c>
      <c r="AB691" s="1069"/>
      <c r="AC691" s="1070"/>
      <c r="AD691" s="839"/>
      <c r="AE691" s="270" t="str">
        <f>IF(Z691="","",IF(Z691&gt;AB691,Y691,IF(Z691=AB691,"",AC691)))</f>
        <v/>
      </c>
      <c r="AF691" s="270" t="str">
        <f>IF(Z691="","",IF(Z691=AB691,Y691,""))</f>
        <v/>
      </c>
      <c r="AG691" s="270" t="str">
        <f>IF(Z691="","",IF(Z691=AB691,AC691,""))</f>
        <v/>
      </c>
      <c r="AH691" s="270" t="str">
        <f>IF(Z691="","",IF(Z691&lt;AB691,Y691,IF(Z691=AB691,"",AC691)))</f>
        <v/>
      </c>
      <c r="AI691" s="270" t="str">
        <f>IF(Z691="","",IF(Z691&gt;AB691,Y689,""))</f>
        <v/>
      </c>
      <c r="AJ691" s="270" t="str">
        <f>IF(Z691="","",IF(Z691&lt;AB691,AC689,""))</f>
        <v/>
      </c>
      <c r="AK691" s="270" t="str">
        <f>CONCATENATE(AE691,AH691)</f>
        <v/>
      </c>
      <c r="AL691" s="270"/>
      <c r="AM691" s="270"/>
      <c r="AN691" s="270"/>
      <c r="AO691" s="271"/>
      <c r="AP691" s="270"/>
      <c r="AQ691" s="270"/>
      <c r="AR691" s="270"/>
      <c r="AS691" s="270"/>
      <c r="AT691" s="270"/>
      <c r="AU691" s="270"/>
      <c r="AV691" s="270"/>
      <c r="AW691" s="270"/>
      <c r="AX691" s="270"/>
      <c r="AY691" s="1072"/>
      <c r="AZ691" s="270"/>
      <c r="BA691" s="270"/>
      <c r="BB691" s="1072"/>
      <c r="BC691" s="270"/>
      <c r="BD691" s="270"/>
      <c r="BE691" s="270"/>
      <c r="BF691" s="270"/>
      <c r="BG691" s="270"/>
      <c r="BH691" s="270"/>
      <c r="BI691" s="270"/>
      <c r="BJ691" s="270"/>
      <c r="BK691" s="270"/>
      <c r="BL691" s="270"/>
      <c r="BM691" s="270"/>
      <c r="BN691" s="270"/>
      <c r="BO691" s="270"/>
      <c r="BP691" s="270"/>
      <c r="BQ691" s="270"/>
      <c r="BR691" s="270"/>
      <c r="BS691" s="270"/>
      <c r="BT691" s="270"/>
      <c r="BU691" s="270"/>
      <c r="BV691" s="270"/>
      <c r="BW691" s="270"/>
      <c r="BX691" s="270"/>
      <c r="BY691" s="270"/>
      <c r="BZ691" s="270"/>
      <c r="CA691" s="270"/>
      <c r="CB691" s="270"/>
      <c r="CC691" s="270"/>
      <c r="CD691" s="270"/>
      <c r="CE691"/>
      <c r="CF691" s="1396"/>
      <c r="CG691" s="1396"/>
      <c r="CH691" s="270"/>
      <c r="CI691" s="270"/>
      <c r="CJ691" s="270"/>
      <c r="CK691" s="270"/>
      <c r="CL691" s="270"/>
      <c r="CM691" s="270"/>
    </row>
    <row r="692" spans="1:91" ht="13.5" hidden="1" outlineLevel="3" thickBot="1" x14ac:dyDescent="0.25">
      <c r="A692" s="270"/>
      <c r="B692" s="271"/>
      <c r="C692" s="12"/>
      <c r="D692" s="1071"/>
      <c r="E692" s="1071"/>
      <c r="F692" s="1071"/>
      <c r="G692" s="1172"/>
      <c r="H692" s="271"/>
      <c r="I692" s="270"/>
      <c r="J692" s="270"/>
      <c r="K692" s="270"/>
      <c r="L692" s="270"/>
      <c r="M692" s="270"/>
      <c r="N692" s="270"/>
      <c r="O692" s="270"/>
      <c r="P692" s="1072"/>
      <c r="Q692" s="270"/>
      <c r="R692" s="270"/>
      <c r="S692" s="1072"/>
      <c r="T692" s="270"/>
      <c r="U692" s="1019"/>
      <c r="V692" s="1176"/>
      <c r="W692" s="1177"/>
      <c r="X692" s="1207"/>
      <c r="Y692" s="627"/>
      <c r="Z692" s="492"/>
      <c r="AA692" s="493" t="s">
        <v>769</v>
      </c>
      <c r="AB692" s="1069"/>
      <c r="AC692" s="1070"/>
      <c r="AD692" s="839"/>
      <c r="AE692" s="270" t="str">
        <f>IF(Z692="","",IF(Z692&gt;AB692,Y692,IF(Z692=AB692,"",AC692)))</f>
        <v/>
      </c>
      <c r="AF692" s="270" t="str">
        <f>IF(Z692="","",IF(Z692=AB692,Y692,""))</f>
        <v/>
      </c>
      <c r="AG692" s="270" t="str">
        <f>IF(Z692="","",IF(Z692=AB692,AC692,""))</f>
        <v/>
      </c>
      <c r="AH692" s="270" t="str">
        <f>IF(Z692="","",IF(Z692&lt;AB692,Y692,IF(Z692=AB692,"",AC692)))</f>
        <v/>
      </c>
      <c r="AI692" s="270" t="str">
        <f>IF(Z692="","",IF(Z692&gt;AB692,Y689,""))</f>
        <v/>
      </c>
      <c r="AJ692" s="270" t="str">
        <f>IF(Z692="","",IF(Z692&lt;AB692,AC689,""))</f>
        <v/>
      </c>
      <c r="AK692" s="270" t="str">
        <f>CONCATENATE(AE692,AH692)</f>
        <v/>
      </c>
      <c r="AL692" s="270"/>
      <c r="AM692" s="270"/>
      <c r="AN692" s="270"/>
      <c r="AO692" s="271"/>
      <c r="AP692" s="270"/>
      <c r="AQ692" s="270"/>
      <c r="AR692" s="270"/>
      <c r="AS692" s="270"/>
      <c r="AT692" s="270"/>
      <c r="AU692" s="270"/>
      <c r="AV692" s="270"/>
      <c r="AW692" s="270"/>
      <c r="AX692" s="270"/>
      <c r="AY692" s="1072"/>
      <c r="AZ692" s="270"/>
      <c r="BA692" s="270"/>
      <c r="BB692" s="1072"/>
      <c r="BC692" s="270"/>
      <c r="BD692" s="270"/>
      <c r="BE692" s="270"/>
      <c r="BF692" s="270"/>
      <c r="BG692" s="270"/>
      <c r="BH692" s="270"/>
      <c r="BI692" s="270"/>
      <c r="BJ692" s="270"/>
      <c r="BK692" s="270"/>
      <c r="BL692" s="270"/>
      <c r="BM692" s="270"/>
      <c r="BN692" s="270"/>
      <c r="BO692" s="270"/>
      <c r="BP692" s="270"/>
      <c r="BQ692" s="270"/>
      <c r="BR692" s="270"/>
      <c r="BS692" s="270"/>
      <c r="BT692" s="270"/>
      <c r="BU692" s="270"/>
      <c r="BV692" s="270"/>
      <c r="BW692" s="270"/>
      <c r="BX692" s="270"/>
      <c r="BY692" s="270"/>
      <c r="BZ692" s="270"/>
      <c r="CA692" s="270"/>
      <c r="CB692" s="270"/>
      <c r="CC692" s="270"/>
      <c r="CD692" s="270"/>
      <c r="CE692"/>
      <c r="CF692" s="1396"/>
      <c r="CG692" s="1396"/>
      <c r="CH692" s="270"/>
      <c r="CI692" s="270"/>
      <c r="CJ692" s="270"/>
      <c r="CK692" s="270"/>
      <c r="CL692" s="270"/>
      <c r="CM692" s="270"/>
    </row>
    <row r="693" spans="1:91" ht="13.5" hidden="1" outlineLevel="3" thickBot="1" x14ac:dyDescent="0.25">
      <c r="A693" s="270"/>
      <c r="B693" s="271"/>
      <c r="C693" s="12"/>
      <c r="D693" s="1071"/>
      <c r="E693" s="1071"/>
      <c r="F693" s="1071"/>
      <c r="G693" s="1172"/>
      <c r="H693" s="271"/>
      <c r="I693" s="270"/>
      <c r="J693" s="270"/>
      <c r="K693" s="270"/>
      <c r="L693" s="270"/>
      <c r="M693" s="270"/>
      <c r="N693" s="270"/>
      <c r="O693" s="270"/>
      <c r="P693" s="1072"/>
      <c r="Q693" s="270"/>
      <c r="R693" s="270"/>
      <c r="S693" s="1072"/>
      <c r="T693" s="270"/>
      <c r="U693" s="1019"/>
      <c r="V693" s="1176"/>
      <c r="W693" s="1177"/>
      <c r="X693" s="1207"/>
      <c r="Y693" s="627"/>
      <c r="Z693" s="492"/>
      <c r="AA693" s="493" t="s">
        <v>769</v>
      </c>
      <c r="AB693" s="1069"/>
      <c r="AC693" s="1070"/>
      <c r="AD693" s="839"/>
      <c r="AE693" s="270" t="str">
        <f>IF(Z693="","",IF(Z693&gt;AB693,Y693,IF(Z693=AB693,"",AC693)))</f>
        <v/>
      </c>
      <c r="AF693" s="270" t="str">
        <f>IF(Z693="","",IF(Z693=AB693,Y693,""))</f>
        <v/>
      </c>
      <c r="AG693" s="270" t="str">
        <f>IF(Z693="","",IF(Z693=AB693,AC693,""))</f>
        <v/>
      </c>
      <c r="AH693" s="270" t="str">
        <f>IF(Z693="","",IF(Z693&lt;AB693,Y693,IF(Z693=AB693,"",AC693)))</f>
        <v/>
      </c>
      <c r="AI693" s="270" t="str">
        <f>IF(Z693="","",IF(Z693&gt;AB693,Y689,""))</f>
        <v/>
      </c>
      <c r="AJ693" s="270" t="str">
        <f>IF(Z693="","",IF(Z693&lt;AB693,AC689,""))</f>
        <v/>
      </c>
      <c r="AK693" s="270" t="str">
        <f>CONCATENATE(AE693,AH693)</f>
        <v/>
      </c>
      <c r="AL693" s="270"/>
      <c r="AM693" s="270"/>
      <c r="AN693" s="270"/>
      <c r="AO693" s="271"/>
      <c r="AP693" s="270"/>
      <c r="AQ693" s="270"/>
      <c r="AR693" s="270"/>
      <c r="AS693" s="270"/>
      <c r="AT693" s="270"/>
      <c r="AU693" s="270"/>
      <c r="AV693" s="270"/>
      <c r="AW693" s="270"/>
      <c r="AX693" s="270"/>
      <c r="AY693" s="1072"/>
      <c r="AZ693" s="270"/>
      <c r="BA693" s="270"/>
      <c r="BB693" s="1072"/>
      <c r="BC693" s="270"/>
      <c r="BD693" s="270"/>
      <c r="BE693" s="270"/>
      <c r="BF693" s="270"/>
      <c r="BG693" s="270"/>
      <c r="BH693" s="270"/>
      <c r="BI693" s="270"/>
      <c r="BJ693" s="270"/>
      <c r="BK693" s="270"/>
      <c r="BL693" s="270"/>
      <c r="BM693" s="270"/>
      <c r="BN693" s="270"/>
      <c r="BO693" s="270"/>
      <c r="BP693" s="270"/>
      <c r="BQ693" s="270"/>
      <c r="BR693" s="270"/>
      <c r="BS693" s="270"/>
      <c r="BT693" s="270"/>
      <c r="BU693" s="270"/>
      <c r="BV693" s="270"/>
      <c r="BW693" s="270"/>
      <c r="BX693" s="270"/>
      <c r="BY693" s="270"/>
      <c r="BZ693" s="270"/>
      <c r="CA693" s="270"/>
      <c r="CB693" s="270"/>
      <c r="CC693" s="270"/>
      <c r="CD693" s="270"/>
      <c r="CE693"/>
      <c r="CF693" s="1396"/>
      <c r="CG693" s="1396"/>
      <c r="CH693" s="270"/>
      <c r="CI693" s="270"/>
      <c r="CJ693" s="270"/>
      <c r="CK693" s="270"/>
      <c r="CL693" s="270"/>
      <c r="CM693" s="270"/>
    </row>
    <row r="694" spans="1:91" ht="13.5" hidden="1" outlineLevel="3" thickBot="1" x14ac:dyDescent="0.25">
      <c r="A694" s="270"/>
      <c r="B694" s="271"/>
      <c r="C694" s="12"/>
      <c r="D694" s="1071"/>
      <c r="E694" s="1071"/>
      <c r="F694" s="1071"/>
      <c r="G694" s="626"/>
      <c r="H694" s="271"/>
      <c r="I694" s="270"/>
      <c r="J694" s="270"/>
      <c r="K694" s="270"/>
      <c r="L694" s="270"/>
      <c r="M694" s="270"/>
      <c r="N694" s="270"/>
      <c r="O694" s="270"/>
      <c r="P694" s="1072"/>
      <c r="Q694" s="270"/>
      <c r="R694" s="270"/>
      <c r="S694" s="1072"/>
      <c r="T694" s="270"/>
      <c r="U694" s="1019"/>
      <c r="V694" s="1073"/>
      <c r="W694" s="1074"/>
      <c r="X694" s="1075" t="str">
        <f>N_Substitute</f>
        <v>Remplaçant</v>
      </c>
      <c r="Y694" s="627"/>
      <c r="Z694" s="492"/>
      <c r="AA694" s="1076"/>
      <c r="AB694" s="1069"/>
      <c r="AC694" s="1070"/>
      <c r="AD694" s="839"/>
      <c r="AE694" s="270"/>
      <c r="AF694" s="270"/>
      <c r="AG694" s="270"/>
      <c r="AH694" s="270"/>
      <c r="AI694" s="270"/>
      <c r="AJ694" s="270"/>
      <c r="AK694" s="270"/>
      <c r="AL694" s="270"/>
      <c r="AM694" s="270"/>
      <c r="AN694" s="270"/>
      <c r="AO694" s="271"/>
      <c r="AP694" s="270"/>
      <c r="AQ694" s="270"/>
      <c r="AR694" s="270"/>
      <c r="AS694" s="270"/>
      <c r="AT694" s="270"/>
      <c r="AU694" s="270"/>
      <c r="AV694" s="270"/>
      <c r="AW694" s="270"/>
      <c r="AX694" s="270"/>
      <c r="AY694" s="1072"/>
      <c r="AZ694" s="270"/>
      <c r="BA694" s="270"/>
      <c r="BB694" s="1072"/>
      <c r="BC694" s="270"/>
      <c r="BD694" s="270"/>
      <c r="BE694" s="270"/>
      <c r="BF694" s="270"/>
      <c r="BG694" s="270"/>
      <c r="BH694" s="270"/>
      <c r="BI694" s="270"/>
      <c r="BJ694" s="270"/>
      <c r="BK694" s="270"/>
      <c r="BL694" s="270"/>
      <c r="BM694" s="270"/>
      <c r="BN694" s="270"/>
      <c r="BO694" s="270"/>
      <c r="BP694" s="270"/>
      <c r="BQ694" s="270"/>
      <c r="BR694" s="270"/>
      <c r="BS694" s="270"/>
      <c r="BT694" s="270"/>
      <c r="BU694" s="270"/>
      <c r="BV694" s="270"/>
      <c r="BW694" s="270"/>
      <c r="BX694" s="270"/>
      <c r="BY694" s="270"/>
      <c r="BZ694" s="270"/>
      <c r="CA694" s="270"/>
      <c r="CB694" s="270"/>
      <c r="CC694" s="270"/>
      <c r="CD694" s="270"/>
      <c r="CE694"/>
      <c r="CF694" s="1396"/>
      <c r="CG694" s="1396"/>
      <c r="CH694" s="270"/>
      <c r="CI694" s="270"/>
      <c r="CJ694" s="270"/>
      <c r="CK694" s="270"/>
      <c r="CL694" s="270"/>
      <c r="CM694" s="270"/>
    </row>
    <row r="695" spans="1:91" ht="13.5" hidden="1" outlineLevel="3" thickBot="1" x14ac:dyDescent="0.25">
      <c r="A695" s="270"/>
      <c r="B695" s="271"/>
      <c r="C695" s="12"/>
      <c r="D695" s="1071"/>
      <c r="E695" s="1071"/>
      <c r="F695" s="1071"/>
      <c r="G695" s="626"/>
      <c r="H695" s="271"/>
      <c r="I695" s="270"/>
      <c r="J695" s="270"/>
      <c r="K695" s="270"/>
      <c r="L695" s="270"/>
      <c r="M695" s="270"/>
      <c r="N695" s="270"/>
      <c r="O695" s="270"/>
      <c r="P695" s="1072"/>
      <c r="Q695" s="270"/>
      <c r="R695" s="270"/>
      <c r="S695" s="1072"/>
      <c r="T695" s="270"/>
      <c r="U695" s="1019"/>
      <c r="V695" s="1119"/>
      <c r="W695" s="1120"/>
      <c r="X695" s="1075" t="str">
        <f>N_Substitute</f>
        <v>Remplaçant</v>
      </c>
      <c r="Y695" s="627"/>
      <c r="Z695" s="492"/>
      <c r="AA695" s="1121"/>
      <c r="AB695" s="1069"/>
      <c r="AC695" s="1070"/>
      <c r="AD695" s="839"/>
      <c r="AE695" s="270"/>
      <c r="AF695" s="270"/>
      <c r="AG695" s="270"/>
      <c r="AH695" s="270"/>
      <c r="AI695" s="270"/>
      <c r="AJ695" s="270"/>
      <c r="AK695" s="270"/>
      <c r="AL695" s="270"/>
      <c r="AM695" s="270"/>
      <c r="AN695" s="270"/>
      <c r="AO695" s="271"/>
      <c r="AP695" s="270"/>
      <c r="AQ695" s="270"/>
      <c r="AR695" s="270"/>
      <c r="AS695" s="270"/>
      <c r="AT695" s="270"/>
      <c r="AU695" s="270"/>
      <c r="AV695" s="270"/>
      <c r="AW695" s="270"/>
      <c r="AX695" s="270"/>
      <c r="AY695" s="1072"/>
      <c r="AZ695" s="270"/>
      <c r="BA695" s="270"/>
      <c r="BB695" s="1072"/>
      <c r="BC695" s="270"/>
      <c r="BD695" s="270"/>
      <c r="BE695" s="270"/>
      <c r="BF695" s="270"/>
      <c r="BG695" s="270"/>
      <c r="BH695" s="270"/>
      <c r="BI695" s="270"/>
      <c r="BJ695" s="270"/>
      <c r="BK695" s="270"/>
      <c r="BL695" s="270"/>
      <c r="BM695" s="270"/>
      <c r="BN695" s="270"/>
      <c r="BO695" s="270"/>
      <c r="BP695" s="270"/>
      <c r="BQ695" s="270"/>
      <c r="BR695" s="270"/>
      <c r="BS695" s="270"/>
      <c r="BT695" s="270"/>
      <c r="BU695" s="270"/>
      <c r="BV695" s="270"/>
      <c r="BW695" s="270"/>
      <c r="BX695" s="270"/>
      <c r="BY695" s="270"/>
      <c r="BZ695" s="270"/>
      <c r="CA695" s="270"/>
      <c r="CB695" s="270"/>
      <c r="CC695" s="270"/>
      <c r="CD695" s="270"/>
      <c r="CE695"/>
      <c r="CF695" s="1396"/>
      <c r="CG695" s="1396"/>
      <c r="CH695" s="270"/>
      <c r="CI695" s="270"/>
      <c r="CJ695" s="270"/>
      <c r="CK695" s="270"/>
      <c r="CL695" s="270"/>
      <c r="CM695" s="270"/>
    </row>
    <row r="696" spans="1:91" ht="13.5" hidden="1" outlineLevel="2" collapsed="1" thickBot="1" x14ac:dyDescent="0.25">
      <c r="A696" s="270"/>
      <c r="B696" s="271"/>
      <c r="C696" s="270"/>
      <c r="D696" s="270"/>
      <c r="E696" s="270"/>
      <c r="F696" s="270"/>
      <c r="G696" s="271"/>
      <c r="H696" s="270"/>
      <c r="I696" s="270"/>
      <c r="J696" s="270"/>
      <c r="K696" s="270"/>
      <c r="L696" s="270"/>
      <c r="M696" s="270"/>
      <c r="N696" s="270"/>
      <c r="O696" s="270"/>
      <c r="P696" s="270"/>
      <c r="Q696" s="270"/>
      <c r="R696" s="270"/>
      <c r="S696" s="270"/>
      <c r="T696" s="270"/>
      <c r="U696" s="1019" t="s">
        <v>1740</v>
      </c>
      <c r="V696" s="1187"/>
      <c r="W696" s="1195"/>
      <c r="X696" s="1534"/>
      <c r="Y696" s="1184" t="str">
        <f>G505</f>
        <v>Eq8</v>
      </c>
      <c r="Z696" s="1123" t="str">
        <f>IF(OR(ISNUMBER(Z697),ISNUMBER(Z698),ISNUMBER(Z699),ISNUMBER(Z700)),4-COUNTBLANK(AI697:AI700),"")</f>
        <v/>
      </c>
      <c r="AA696" s="1124" t="s">
        <v>769</v>
      </c>
      <c r="AB696" s="1125" t="str">
        <f>IF(OR(ISNUMBER(Z697),ISNUMBER(Z698),ISNUMBER(Z699),ISNUMBER(Z700)),4-COUNTBLANK(AJ697:AJ700),"")</f>
        <v/>
      </c>
      <c r="AC696" s="1185" t="str">
        <f>G498</f>
        <v>Eq1</v>
      </c>
      <c r="AD696" s="839"/>
      <c r="AE696" s="270" t="str">
        <f>IF(Z696="","",IF(Z696&gt;AB696,Y696,IF(Z696=AB696,IF(NoDrawWithWithdraw,IF(AL696=Y696,AC696,IF(AL696=AC696,Y696,"")),""),AC696)))</f>
        <v/>
      </c>
      <c r="AF696" s="270" t="str">
        <f>IF(Z696="","",IF(Z696=AB696,IF(NoDrawWithWithdraw,IF(AL696=Y696,"",IF(AL696=AC696,"",Y696)),Y696),""))</f>
        <v/>
      </c>
      <c r="AG696" s="270" t="str">
        <f>IF(Z696="","",IF(Z696=AB696,IF(NoDrawWithWithdraw,IF(AL696=Y696,"",IF(AL696=AC696,"",AC696)),AC696),""))</f>
        <v/>
      </c>
      <c r="AH696" s="270" t="str">
        <f>IF(Z696="","",IF(Z696&lt;AB696,Y696,IF(Z696=AB696,IF(NoDrawWithWithdraw,IF(AL696=Y696,Y696,IF(AL696=AC696,AC696,"")),""),AC696)))</f>
        <v/>
      </c>
      <c r="AI696" s="270" t="str">
        <f>IF(Z696="","",SUM(Z697:Z700))</f>
        <v/>
      </c>
      <c r="AJ696" s="270" t="str">
        <f>IF(Z696="","",SUM(AB697:AB700))</f>
        <v/>
      </c>
      <c r="AK696" s="270" t="str">
        <f>CONCATENATE(AE696,AH696)</f>
        <v/>
      </c>
      <c r="AL696" s="270" t="str">
        <f>IF(COUNTIF(Y697:Y700,WithdrawLabel)&gt;COUNTIF(AC697:AC700,WithdrawLabel),Y696,IF(COUNTIF(AC697:AC700,WithdrawLabel)&gt;COUNTIF(Y697:Y700,WithdrawLabel),AC696,""))</f>
        <v/>
      </c>
      <c r="AM696" s="270"/>
      <c r="AN696" s="270"/>
      <c r="AO696" s="575"/>
      <c r="AP696" s="270"/>
      <c r="AQ696" s="270"/>
      <c r="AR696" s="270"/>
      <c r="AS696" s="270"/>
      <c r="AT696" s="270"/>
      <c r="AU696" s="270"/>
      <c r="AV696" s="270"/>
      <c r="AW696" s="270"/>
      <c r="AX696" s="270"/>
      <c r="AY696" s="270"/>
      <c r="AZ696" s="270"/>
      <c r="BA696" s="270"/>
      <c r="BB696" s="270"/>
      <c r="BC696" s="270"/>
      <c r="BD696" s="270"/>
      <c r="BE696" s="270"/>
      <c r="BF696" s="270"/>
      <c r="BG696" s="270"/>
      <c r="BH696" s="270"/>
      <c r="BI696" s="270"/>
      <c r="BJ696" s="270"/>
      <c r="BK696" s="270"/>
      <c r="BL696" s="270"/>
      <c r="BM696" s="270"/>
      <c r="BN696" s="270"/>
      <c r="BO696" s="270"/>
      <c r="BP696" s="270"/>
      <c r="BQ696" s="270"/>
      <c r="BR696" s="270"/>
      <c r="BS696" s="270"/>
      <c r="BT696" s="270"/>
      <c r="BU696" s="270"/>
      <c r="BV696" s="270"/>
      <c r="BW696" s="270"/>
      <c r="BX696" s="270"/>
      <c r="BY696" s="270"/>
      <c r="BZ696" s="270"/>
      <c r="CA696" s="270"/>
      <c r="CB696" s="270"/>
      <c r="CC696" s="270"/>
      <c r="CD696" s="270"/>
      <c r="CE696"/>
      <c r="CF696" s="1396"/>
      <c r="CG696" s="1396"/>
      <c r="CH696" s="270"/>
      <c r="CI696" s="270"/>
      <c r="CJ696" s="270"/>
      <c r="CK696" s="270"/>
      <c r="CL696" s="270"/>
      <c r="CM696" s="270"/>
    </row>
    <row r="697" spans="1:91" ht="13.5" hidden="1" outlineLevel="3" thickBot="1" x14ac:dyDescent="0.25">
      <c r="A697" s="270"/>
      <c r="B697" s="271"/>
      <c r="C697" s="12"/>
      <c r="D697" s="1071"/>
      <c r="E697" s="1071"/>
      <c r="F697" s="1071"/>
      <c r="G697" s="1172"/>
      <c r="H697" s="271"/>
      <c r="I697" s="270"/>
      <c r="J697" s="270"/>
      <c r="K697" s="270"/>
      <c r="L697" s="270"/>
      <c r="M697" s="270"/>
      <c r="N697" s="270"/>
      <c r="O697" s="270"/>
      <c r="P697" s="1072"/>
      <c r="Q697" s="270"/>
      <c r="R697" s="270"/>
      <c r="S697" s="1072"/>
      <c r="T697" s="270"/>
      <c r="U697" s="1019"/>
      <c r="V697" s="1118"/>
      <c r="W697" s="1177"/>
      <c r="X697" s="1212"/>
      <c r="Y697" s="627"/>
      <c r="Z697" s="492"/>
      <c r="AA697" s="493" t="s">
        <v>769</v>
      </c>
      <c r="AB697" s="1069"/>
      <c r="AC697" s="1070"/>
      <c r="AD697" s="839"/>
      <c r="AE697" s="270" t="str">
        <f>IF(Z697="","",IF(Z697&gt;AB697,Y697,IF(Z697=AB697,"",AC697)))</f>
        <v/>
      </c>
      <c r="AF697" s="270" t="str">
        <f>IF(Z697="","",IF(Z697=AB697,Y697,""))</f>
        <v/>
      </c>
      <c r="AG697" s="270" t="str">
        <f>IF(Z697="","",IF(Z697=AB697,AC697,""))</f>
        <v/>
      </c>
      <c r="AH697" s="270" t="str">
        <f>IF(Z697="","",IF(Z697&lt;AB697,Y697,IF(Z697=AB697,"",AC697)))</f>
        <v/>
      </c>
      <c r="AI697" s="270" t="str">
        <f>IF(Z697="","",IF(Z697&gt;AB697,Y696,""))</f>
        <v/>
      </c>
      <c r="AJ697" s="270" t="str">
        <f>IF(Z697="","",IF(Z697&lt;AB697,AC696,""))</f>
        <v/>
      </c>
      <c r="AK697" s="270" t="str">
        <f>CONCATENATE(AE697,AH697)</f>
        <v/>
      </c>
      <c r="AL697" s="270"/>
      <c r="AM697" s="270"/>
      <c r="AN697" s="270"/>
      <c r="AO697" s="271"/>
      <c r="AP697" s="270"/>
      <c r="AQ697" s="270"/>
      <c r="AR697" s="270"/>
      <c r="AS697" s="270"/>
      <c r="AT697" s="270"/>
      <c r="AU697" s="270"/>
      <c r="AV697" s="270"/>
      <c r="AW697" s="270"/>
      <c r="AX697" s="270"/>
      <c r="AY697" s="1072"/>
      <c r="AZ697" s="270"/>
      <c r="BA697" s="270"/>
      <c r="BB697" s="1072"/>
      <c r="BC697" s="270"/>
      <c r="BD697" s="270"/>
      <c r="BE697" s="270"/>
      <c r="BF697" s="270"/>
      <c r="BG697" s="270"/>
      <c r="BH697" s="270"/>
      <c r="BI697" s="270"/>
      <c r="BJ697" s="270"/>
      <c r="BK697" s="270"/>
      <c r="BL697" s="270"/>
      <c r="BM697" s="270"/>
      <c r="BN697" s="270"/>
      <c r="BO697" s="270"/>
      <c r="BP697" s="270"/>
      <c r="BQ697" s="270"/>
      <c r="BR697" s="270"/>
      <c r="BS697" s="270"/>
      <c r="BT697" s="270"/>
      <c r="BU697" s="270"/>
      <c r="BV697" s="270"/>
      <c r="BW697" s="270"/>
      <c r="BX697" s="270"/>
      <c r="BY697" s="270"/>
      <c r="BZ697" s="270"/>
      <c r="CA697" s="270"/>
      <c r="CB697" s="270"/>
      <c r="CC697" s="270"/>
      <c r="CD697" s="270"/>
      <c r="CE697"/>
      <c r="CF697" s="1396"/>
      <c r="CG697" s="1396"/>
      <c r="CH697" s="270"/>
      <c r="CI697" s="270"/>
      <c r="CJ697" s="270"/>
      <c r="CK697" s="270"/>
      <c r="CL697" s="270"/>
      <c r="CM697" s="270"/>
    </row>
    <row r="698" spans="1:91" ht="13.5" hidden="1" outlineLevel="3" thickBot="1" x14ac:dyDescent="0.25">
      <c r="A698" s="270"/>
      <c r="B698" s="271"/>
      <c r="C698" s="12"/>
      <c r="D698" s="1071"/>
      <c r="E698" s="1071"/>
      <c r="F698" s="1071"/>
      <c r="G698" s="1172"/>
      <c r="H698" s="271"/>
      <c r="I698" s="270"/>
      <c r="J698" s="270"/>
      <c r="K698" s="270"/>
      <c r="L698" s="270"/>
      <c r="M698" s="270"/>
      <c r="N698" s="270"/>
      <c r="O698" s="270"/>
      <c r="P698" s="1072"/>
      <c r="Q698" s="270"/>
      <c r="R698" s="270"/>
      <c r="S698" s="1072"/>
      <c r="T698" s="270"/>
      <c r="U698" s="1019"/>
      <c r="V698" s="1118"/>
      <c r="W698" s="1177"/>
      <c r="X698" s="1212"/>
      <c r="Y698" s="627"/>
      <c r="Z698" s="492"/>
      <c r="AA698" s="493" t="s">
        <v>769</v>
      </c>
      <c r="AB698" s="1069"/>
      <c r="AC698" s="1070"/>
      <c r="AD698" s="839"/>
      <c r="AE698" s="270" t="str">
        <f>IF(Z698="","",IF(Z698&gt;AB698,Y698,IF(Z698=AB698,"",AC698)))</f>
        <v/>
      </c>
      <c r="AF698" s="270" t="str">
        <f>IF(Z698="","",IF(Z698=AB698,Y698,""))</f>
        <v/>
      </c>
      <c r="AG698" s="270" t="str">
        <f>IF(Z698="","",IF(Z698=AB698,AC698,""))</f>
        <v/>
      </c>
      <c r="AH698" s="270" t="str">
        <f>IF(Z698="","",IF(Z698&lt;AB698,Y698,IF(Z698=AB698,"",AC698)))</f>
        <v/>
      </c>
      <c r="AI698" s="270" t="str">
        <f>IF(Z698="","",IF(Z698&gt;AB698,Y696,""))</f>
        <v/>
      </c>
      <c r="AJ698" s="270" t="str">
        <f>IF(Z698="","",IF(Z698&lt;AB698,AC696,""))</f>
        <v/>
      </c>
      <c r="AK698" s="270" t="str">
        <f>CONCATENATE(AE698,AH698)</f>
        <v/>
      </c>
      <c r="AL698" s="270"/>
      <c r="AM698" s="270"/>
      <c r="AN698" s="270"/>
      <c r="AO698" s="271"/>
      <c r="AP698" s="270"/>
      <c r="AQ698" s="270"/>
      <c r="AR698" s="270"/>
      <c r="AS698" s="270"/>
      <c r="AT698" s="270"/>
      <c r="AU698" s="270"/>
      <c r="AV698" s="270"/>
      <c r="AW698" s="270"/>
      <c r="AX698" s="270"/>
      <c r="AY698" s="1072"/>
      <c r="AZ698" s="270"/>
      <c r="BA698" s="270"/>
      <c r="BB698" s="1072"/>
      <c r="BC698" s="270"/>
      <c r="BD698" s="270"/>
      <c r="BE698" s="270"/>
      <c r="BF698" s="270"/>
      <c r="BG698" s="270"/>
      <c r="BH698" s="270"/>
      <c r="BI698" s="270"/>
      <c r="BJ698" s="270"/>
      <c r="BK698" s="270"/>
      <c r="BL698" s="270"/>
      <c r="BM698" s="270"/>
      <c r="BN698" s="270"/>
      <c r="BO698" s="270"/>
      <c r="BP698" s="270"/>
      <c r="BQ698" s="270"/>
      <c r="BR698" s="270"/>
      <c r="BS698" s="270"/>
      <c r="BT698" s="270"/>
      <c r="BU698" s="270"/>
      <c r="BV698" s="270"/>
      <c r="BW698" s="270"/>
      <c r="BX698" s="270"/>
      <c r="BY698" s="270"/>
      <c r="BZ698" s="270"/>
      <c r="CA698" s="270"/>
      <c r="CB698" s="270"/>
      <c r="CC698" s="270"/>
      <c r="CD698" s="270"/>
      <c r="CE698"/>
      <c r="CF698" s="1396"/>
      <c r="CG698" s="1396"/>
      <c r="CH698" s="270"/>
      <c r="CI698" s="270"/>
      <c r="CJ698" s="270"/>
      <c r="CK698" s="270"/>
      <c r="CL698" s="270"/>
      <c r="CM698" s="270"/>
    </row>
    <row r="699" spans="1:91" ht="13.5" hidden="1" outlineLevel="3" thickBot="1" x14ac:dyDescent="0.25">
      <c r="A699" s="270"/>
      <c r="B699" s="271"/>
      <c r="C699" s="12"/>
      <c r="D699" s="1071"/>
      <c r="E699" s="1071"/>
      <c r="F699" s="1071"/>
      <c r="G699" s="1172"/>
      <c r="H699" s="271"/>
      <c r="I699" s="270"/>
      <c r="J699" s="270"/>
      <c r="K699" s="270"/>
      <c r="L699" s="270"/>
      <c r="M699" s="270"/>
      <c r="N699" s="270"/>
      <c r="O699" s="270"/>
      <c r="P699" s="1072"/>
      <c r="Q699" s="270"/>
      <c r="R699" s="270"/>
      <c r="S699" s="1072"/>
      <c r="T699" s="270"/>
      <c r="U699" s="1019"/>
      <c r="V699" s="1118"/>
      <c r="W699" s="1177"/>
      <c r="X699" s="1212"/>
      <c r="Y699" s="627"/>
      <c r="Z699" s="492"/>
      <c r="AA699" s="493" t="s">
        <v>769</v>
      </c>
      <c r="AB699" s="1069"/>
      <c r="AC699" s="1070"/>
      <c r="AD699" s="839"/>
      <c r="AE699" s="270" t="str">
        <f>IF(Z699="","",IF(Z699&gt;AB699,Y699,IF(Z699=AB699,"",AC699)))</f>
        <v/>
      </c>
      <c r="AF699" s="270" t="str">
        <f>IF(Z699="","",IF(Z699=AB699,Y699,""))</f>
        <v/>
      </c>
      <c r="AG699" s="270" t="str">
        <f>IF(Z699="","",IF(Z699=AB699,AC699,""))</f>
        <v/>
      </c>
      <c r="AH699" s="270" t="str">
        <f>IF(Z699="","",IF(Z699&lt;AB699,Y699,IF(Z699=AB699,"",AC699)))</f>
        <v/>
      </c>
      <c r="AI699" s="270" t="str">
        <f>IF(Z699="","",IF(Z699&gt;AB699,Y696,""))</f>
        <v/>
      </c>
      <c r="AJ699" s="270" t="str">
        <f>IF(Z699="","",IF(Z699&lt;AB699,AC696,""))</f>
        <v/>
      </c>
      <c r="AK699" s="270" t="str">
        <f>CONCATENATE(AE699,AH699)</f>
        <v/>
      </c>
      <c r="AL699" s="270"/>
      <c r="AM699" s="270"/>
      <c r="AN699" s="270"/>
      <c r="AO699" s="271"/>
      <c r="AP699" s="270"/>
      <c r="AQ699" s="270"/>
      <c r="AR699" s="270"/>
      <c r="AS699" s="270"/>
      <c r="AT699" s="270"/>
      <c r="AU699" s="270"/>
      <c r="AV699" s="270"/>
      <c r="AW699" s="270"/>
      <c r="AX699" s="270"/>
      <c r="AY699" s="1072"/>
      <c r="AZ699" s="270"/>
      <c r="BA699" s="270"/>
      <c r="BB699" s="1072"/>
      <c r="BC699" s="270"/>
      <c r="BD699" s="270"/>
      <c r="BE699" s="270"/>
      <c r="BF699" s="270"/>
      <c r="BG699" s="270"/>
      <c r="BH699" s="270"/>
      <c r="BI699" s="270"/>
      <c r="BJ699" s="270"/>
      <c r="BK699" s="270"/>
      <c r="BL699" s="270"/>
      <c r="BM699" s="270"/>
      <c r="BN699" s="270"/>
      <c r="BO699" s="270"/>
      <c r="BP699" s="270"/>
      <c r="BQ699" s="270"/>
      <c r="BR699" s="270"/>
      <c r="BS699" s="270"/>
      <c r="BT699" s="270"/>
      <c r="BU699" s="270"/>
      <c r="BV699" s="270"/>
      <c r="BW699" s="270"/>
      <c r="BX699" s="270"/>
      <c r="BY699" s="270"/>
      <c r="BZ699" s="270"/>
      <c r="CA699" s="270"/>
      <c r="CB699" s="270"/>
      <c r="CC699" s="270"/>
      <c r="CD699" s="270"/>
      <c r="CE699"/>
      <c r="CF699" s="1396"/>
      <c r="CG699" s="1396"/>
      <c r="CH699" s="270"/>
      <c r="CI699" s="270"/>
      <c r="CJ699" s="270"/>
      <c r="CK699" s="270"/>
      <c r="CL699" s="270"/>
      <c r="CM699" s="270"/>
    </row>
    <row r="700" spans="1:91" ht="13.5" hidden="1" outlineLevel="3" thickBot="1" x14ac:dyDescent="0.25">
      <c r="A700" s="270"/>
      <c r="B700" s="271"/>
      <c r="C700" s="12"/>
      <c r="D700" s="1071"/>
      <c r="E700" s="1071"/>
      <c r="F700" s="1071"/>
      <c r="G700" s="1172"/>
      <c r="H700" s="271"/>
      <c r="I700" s="270"/>
      <c r="J700" s="270"/>
      <c r="K700" s="270"/>
      <c r="L700" s="270"/>
      <c r="M700" s="270"/>
      <c r="N700" s="270"/>
      <c r="O700" s="270"/>
      <c r="P700" s="1072"/>
      <c r="Q700" s="270"/>
      <c r="R700" s="270"/>
      <c r="S700" s="1072"/>
      <c r="T700" s="270"/>
      <c r="U700" s="1019"/>
      <c r="V700" s="1118"/>
      <c r="W700" s="1177"/>
      <c r="X700" s="1212"/>
      <c r="Y700" s="627"/>
      <c r="Z700" s="492"/>
      <c r="AA700" s="493" t="s">
        <v>769</v>
      </c>
      <c r="AB700" s="1069"/>
      <c r="AC700" s="1070"/>
      <c r="AD700" s="839"/>
      <c r="AE700" s="270" t="str">
        <f>IF(Z700="","",IF(Z700&gt;AB700,Y700,IF(Z700=AB700,"",AC700)))</f>
        <v/>
      </c>
      <c r="AF700" s="270" t="str">
        <f>IF(Z700="","",IF(Z700=AB700,Y700,""))</f>
        <v/>
      </c>
      <c r="AG700" s="270" t="str">
        <f>IF(Z700="","",IF(Z700=AB700,AC700,""))</f>
        <v/>
      </c>
      <c r="AH700" s="270" t="str">
        <f>IF(Z700="","",IF(Z700&lt;AB700,Y700,IF(Z700=AB700,"",AC700)))</f>
        <v/>
      </c>
      <c r="AI700" s="270" t="str">
        <f>IF(Z700="","",IF(Z700&gt;AB700,Y696,""))</f>
        <v/>
      </c>
      <c r="AJ700" s="270" t="str">
        <f>IF(Z700="","",IF(Z700&lt;AB700,AC696,""))</f>
        <v/>
      </c>
      <c r="AK700" s="270" t="str">
        <f>CONCATENATE(AE700,AH700)</f>
        <v/>
      </c>
      <c r="AL700" s="270"/>
      <c r="AM700" s="270"/>
      <c r="AN700" s="270"/>
      <c r="AO700" s="271"/>
      <c r="AP700" s="270"/>
      <c r="AQ700" s="270"/>
      <c r="AR700" s="270"/>
      <c r="AS700" s="270"/>
      <c r="AT700" s="270"/>
      <c r="AU700" s="270"/>
      <c r="AV700" s="270"/>
      <c r="AW700" s="270"/>
      <c r="AX700" s="270"/>
      <c r="AY700" s="1072"/>
      <c r="AZ700" s="270"/>
      <c r="BA700" s="270"/>
      <c r="BB700" s="1072"/>
      <c r="BC700" s="270"/>
      <c r="BD700" s="270"/>
      <c r="BE700" s="270"/>
      <c r="BF700" s="270"/>
      <c r="BG700" s="270"/>
      <c r="BH700" s="270"/>
      <c r="BI700" s="270"/>
      <c r="BJ700" s="270"/>
      <c r="BK700" s="270"/>
      <c r="BL700" s="270"/>
      <c r="BM700" s="270"/>
      <c r="BN700" s="270"/>
      <c r="BO700" s="270"/>
      <c r="BP700" s="270"/>
      <c r="BQ700" s="270"/>
      <c r="BR700" s="270"/>
      <c r="BS700" s="270"/>
      <c r="BT700" s="270"/>
      <c r="BU700" s="270"/>
      <c r="BV700" s="270"/>
      <c r="BW700" s="270"/>
      <c r="BX700" s="270"/>
      <c r="BY700" s="270"/>
      <c r="BZ700" s="270"/>
      <c r="CA700" s="270"/>
      <c r="CB700" s="270"/>
      <c r="CC700" s="270"/>
      <c r="CD700" s="270"/>
      <c r="CE700"/>
      <c r="CF700" s="1396"/>
      <c r="CG700" s="1396"/>
      <c r="CH700" s="270"/>
      <c r="CI700" s="270"/>
      <c r="CJ700" s="270"/>
      <c r="CK700" s="270"/>
      <c r="CL700" s="270"/>
      <c r="CM700" s="270"/>
    </row>
    <row r="701" spans="1:91" ht="13.5" hidden="1" outlineLevel="3" thickBot="1" x14ac:dyDescent="0.25">
      <c r="A701" s="270"/>
      <c r="B701" s="271"/>
      <c r="C701" s="12"/>
      <c r="D701" s="1071"/>
      <c r="E701" s="1071"/>
      <c r="F701" s="1071"/>
      <c r="G701" s="626"/>
      <c r="H701" s="271"/>
      <c r="I701" s="270"/>
      <c r="J701" s="270"/>
      <c r="K701" s="270"/>
      <c r="L701" s="270"/>
      <c r="M701" s="270"/>
      <c r="N701" s="270"/>
      <c r="O701" s="270"/>
      <c r="P701" s="1072"/>
      <c r="Q701" s="270"/>
      <c r="R701" s="270"/>
      <c r="S701" s="1072"/>
      <c r="T701" s="270"/>
      <c r="U701" s="1019"/>
      <c r="V701" s="1077"/>
      <c r="W701" s="1078"/>
      <c r="X701" s="1075" t="str">
        <f>N_Substitute</f>
        <v>Remplaçant</v>
      </c>
      <c r="Y701" s="627"/>
      <c r="Z701" s="492"/>
      <c r="AA701" s="1076"/>
      <c r="AB701" s="1069"/>
      <c r="AC701" s="1070"/>
      <c r="AD701" s="839"/>
      <c r="AE701" s="270"/>
      <c r="AF701" s="270"/>
      <c r="AG701" s="270"/>
      <c r="AH701" s="270"/>
      <c r="AI701" s="270"/>
      <c r="AJ701" s="270"/>
      <c r="AK701" s="270"/>
      <c r="AL701" s="270"/>
      <c r="AM701" s="270"/>
      <c r="AN701" s="270"/>
      <c r="AO701" s="271"/>
      <c r="AP701" s="270"/>
      <c r="AQ701" s="270"/>
      <c r="AR701" s="270"/>
      <c r="AS701" s="270"/>
      <c r="AT701" s="270"/>
      <c r="AU701" s="270"/>
      <c r="AV701" s="270"/>
      <c r="AW701" s="270"/>
      <c r="AX701" s="270"/>
      <c r="AY701" s="1072"/>
      <c r="AZ701" s="270"/>
      <c r="BA701" s="270"/>
      <c r="BB701" s="1072"/>
      <c r="BC701" s="270"/>
      <c r="BD701" s="270"/>
      <c r="BE701" s="270"/>
      <c r="BF701" s="270"/>
      <c r="BG701" s="270"/>
      <c r="BH701" s="270"/>
      <c r="BI701" s="270"/>
      <c r="BJ701" s="270"/>
      <c r="BK701" s="270"/>
      <c r="BL701" s="270"/>
      <c r="BM701" s="270"/>
      <c r="BN701" s="270"/>
      <c r="BO701" s="270"/>
      <c r="BP701" s="270"/>
      <c r="BQ701" s="270"/>
      <c r="BR701" s="270"/>
      <c r="BS701" s="270"/>
      <c r="BT701" s="270"/>
      <c r="BU701" s="270"/>
      <c r="BV701" s="270"/>
      <c r="BW701" s="270"/>
      <c r="BX701" s="270"/>
      <c r="BY701" s="270"/>
      <c r="BZ701" s="270"/>
      <c r="CA701" s="270"/>
      <c r="CB701" s="270"/>
      <c r="CC701" s="270"/>
      <c r="CD701" s="270"/>
      <c r="CE701"/>
      <c r="CF701" s="1396"/>
      <c r="CG701" s="1396"/>
      <c r="CH701" s="270"/>
      <c r="CI701" s="270"/>
      <c r="CJ701" s="270"/>
      <c r="CK701" s="270"/>
      <c r="CL701" s="270"/>
      <c r="CM701" s="270"/>
    </row>
    <row r="702" spans="1:91" ht="13.5" hidden="1" outlineLevel="3" thickBot="1" x14ac:dyDescent="0.25">
      <c r="A702" s="270"/>
      <c r="B702" s="271"/>
      <c r="C702" s="12"/>
      <c r="D702" s="1071"/>
      <c r="E702" s="1071"/>
      <c r="F702" s="1071"/>
      <c r="G702" s="626"/>
      <c r="H702" s="271"/>
      <c r="I702" s="270"/>
      <c r="J702" s="270"/>
      <c r="K702" s="270"/>
      <c r="L702" s="270"/>
      <c r="M702" s="270"/>
      <c r="N702" s="270"/>
      <c r="O702" s="270"/>
      <c r="P702" s="1072"/>
      <c r="Q702" s="270"/>
      <c r="R702" s="270"/>
      <c r="S702" s="1072"/>
      <c r="T702" s="270"/>
      <c r="U702" s="1019"/>
      <c r="V702" s="1087"/>
      <c r="W702" s="1088"/>
      <c r="X702" s="1089" t="str">
        <f>N_Substitute</f>
        <v>Remplaçant</v>
      </c>
      <c r="Y702" s="631"/>
      <c r="Z702" s="496"/>
      <c r="AA702" s="1090"/>
      <c r="AB702" s="1091"/>
      <c r="AC702" s="1092"/>
      <c r="AD702" s="839"/>
      <c r="AE702" s="270"/>
      <c r="AF702" s="270"/>
      <c r="AG702" s="270"/>
      <c r="AH702" s="270"/>
      <c r="AI702" s="270"/>
      <c r="AJ702" s="270"/>
      <c r="AK702" s="270"/>
      <c r="AL702" s="270"/>
      <c r="AM702" s="270"/>
      <c r="AN702" s="270"/>
      <c r="AO702" s="271"/>
      <c r="AP702" s="270"/>
      <c r="AQ702" s="270"/>
      <c r="AR702" s="270"/>
      <c r="AS702" s="270"/>
      <c r="AT702" s="270"/>
      <c r="AU702" s="270"/>
      <c r="AV702" s="270"/>
      <c r="AW702" s="270"/>
      <c r="AX702" s="270"/>
      <c r="AY702" s="1072"/>
      <c r="AZ702" s="270"/>
      <c r="BA702" s="270"/>
      <c r="BB702" s="1072"/>
      <c r="BC702" s="270"/>
      <c r="BD702" s="270"/>
      <c r="BE702" s="270"/>
      <c r="BF702" s="270"/>
      <c r="BG702" s="270"/>
      <c r="BH702" s="270"/>
      <c r="BI702" s="270"/>
      <c r="BJ702" s="270"/>
      <c r="BK702" s="270"/>
      <c r="BL702" s="270"/>
      <c r="BM702" s="270"/>
      <c r="BN702" s="270"/>
      <c r="BO702" s="270"/>
      <c r="BP702" s="270"/>
      <c r="BQ702" s="270"/>
      <c r="BR702" s="270"/>
      <c r="BS702" s="270"/>
      <c r="BT702" s="270"/>
      <c r="BU702" s="270"/>
      <c r="BV702" s="270"/>
      <c r="BW702" s="270"/>
      <c r="BX702" s="270"/>
      <c r="BY702" s="270"/>
      <c r="BZ702" s="270"/>
      <c r="CA702" s="270"/>
      <c r="CB702" s="270"/>
      <c r="CC702" s="270"/>
      <c r="CD702" s="270"/>
      <c r="CE702"/>
      <c r="CF702" s="1396"/>
      <c r="CG702" s="1396"/>
      <c r="CH702" s="270"/>
      <c r="CI702" s="270"/>
      <c r="CJ702" s="270"/>
      <c r="CK702" s="270"/>
      <c r="CL702" s="270"/>
      <c r="CM702" s="270"/>
    </row>
    <row r="703" spans="1:91" outlineLevel="1" x14ac:dyDescent="0.2">
      <c r="A703" s="270"/>
      <c r="B703" s="271"/>
      <c r="C703" s="270"/>
      <c r="D703" s="270"/>
      <c r="E703" s="270"/>
      <c r="F703" s="270"/>
      <c r="G703" s="271"/>
      <c r="H703" s="270"/>
      <c r="I703" s="270"/>
      <c r="J703" s="270"/>
      <c r="K703" s="270"/>
      <c r="L703" s="270"/>
      <c r="M703" s="270"/>
      <c r="N703" s="270"/>
      <c r="O703" s="270"/>
      <c r="P703" s="270"/>
      <c r="Q703" s="270"/>
      <c r="R703" s="270"/>
      <c r="S703" s="270"/>
      <c r="T703" s="270"/>
      <c r="U703" s="575"/>
      <c r="V703" s="1097"/>
      <c r="W703" s="1097"/>
      <c r="X703" s="1098"/>
      <c r="Y703" s="1099"/>
      <c r="Z703" s="1097"/>
      <c r="AA703" s="1097"/>
      <c r="AB703" s="1097"/>
      <c r="AC703" s="1100"/>
      <c r="AD703" s="839"/>
      <c r="AE703" s="270"/>
      <c r="AF703" s="270"/>
      <c r="AG703" s="270"/>
      <c r="AH703" s="270"/>
      <c r="AI703" s="270"/>
      <c r="AJ703" s="270"/>
      <c r="AK703" s="270"/>
      <c r="AL703" s="270"/>
      <c r="AM703" s="270"/>
      <c r="AN703" s="270"/>
      <c r="AO703" s="575"/>
      <c r="AP703" s="270"/>
      <c r="AQ703" s="270"/>
      <c r="AR703" s="270"/>
      <c r="AS703" s="270"/>
      <c r="AT703" s="270"/>
      <c r="AU703" s="270"/>
      <c r="AV703" s="270"/>
      <c r="AW703" s="270"/>
      <c r="AX703" s="270"/>
      <c r="AY703" s="270"/>
      <c r="AZ703" s="270"/>
      <c r="BA703" s="270"/>
      <c r="BB703" s="270"/>
      <c r="BC703" s="270"/>
      <c r="BD703" s="270"/>
      <c r="BE703" s="270"/>
      <c r="BF703" s="270"/>
      <c r="BG703" s="270"/>
      <c r="BH703" s="270"/>
      <c r="BI703" s="270"/>
      <c r="BJ703" s="270"/>
      <c r="BK703" s="270"/>
      <c r="BL703" s="270"/>
      <c r="BM703" s="270"/>
      <c r="BN703" s="270"/>
      <c r="BO703" s="270"/>
      <c r="BP703" s="270"/>
      <c r="BQ703" s="270"/>
      <c r="BR703" s="270"/>
      <c r="BS703" s="270"/>
      <c r="BT703" s="270"/>
      <c r="BU703" s="270"/>
      <c r="BV703" s="270"/>
      <c r="BW703" s="270"/>
      <c r="BX703" s="270"/>
      <c r="BY703" s="270"/>
      <c r="BZ703" s="270"/>
      <c r="CA703" s="270"/>
      <c r="CB703" s="270"/>
      <c r="CC703" s="270"/>
      <c r="CD703" s="270"/>
      <c r="CE703"/>
      <c r="CF703" s="1396"/>
      <c r="CG703" s="1396"/>
      <c r="CH703" s="270"/>
      <c r="CI703" s="270"/>
      <c r="CJ703" s="270"/>
      <c r="CK703" s="270"/>
      <c r="CL703" s="270"/>
      <c r="CM703" s="270"/>
    </row>
    <row r="704" spans="1:91" x14ac:dyDescent="0.2">
      <c r="A704" s="270"/>
      <c r="B704" s="271"/>
      <c r="C704" s="270"/>
      <c r="D704" s="270"/>
      <c r="E704" s="270"/>
      <c r="F704" s="270"/>
      <c r="G704" s="271"/>
      <c r="H704" s="270"/>
      <c r="I704" s="270"/>
      <c r="J704" s="270"/>
      <c r="K704" s="270"/>
      <c r="L704" s="270"/>
      <c r="M704" s="270"/>
      <c r="N704" s="270"/>
      <c r="O704" s="270"/>
      <c r="P704" s="270"/>
      <c r="Q704" s="270"/>
      <c r="R704" s="270"/>
      <c r="S704" s="270"/>
      <c r="T704" s="270"/>
      <c r="U704" s="270"/>
      <c r="V704" s="271"/>
      <c r="W704" s="271"/>
      <c r="X704" s="270"/>
      <c r="Y704" s="646"/>
      <c r="Z704" s="270"/>
      <c r="AA704" s="271"/>
      <c r="AB704" s="270"/>
      <c r="AC704" s="290"/>
      <c r="AD704" s="839"/>
      <c r="AE704" s="270"/>
      <c r="AF704" s="270"/>
      <c r="AG704" s="270"/>
      <c r="AH704" s="270"/>
      <c r="AI704" s="270"/>
      <c r="AJ704" s="270"/>
      <c r="AK704" s="270"/>
      <c r="AL704" s="270"/>
      <c r="AM704" s="270"/>
      <c r="AN704" s="270"/>
      <c r="AO704" s="575"/>
      <c r="AP704" s="270"/>
      <c r="AQ704" s="270"/>
      <c r="AR704" s="270"/>
      <c r="AS704" s="270"/>
      <c r="AT704" s="270"/>
      <c r="AU704" s="270"/>
      <c r="AV704" s="270"/>
      <c r="AW704" s="270"/>
      <c r="AX704" s="270"/>
      <c r="AY704" s="270"/>
      <c r="AZ704" s="270"/>
      <c r="BA704" s="270"/>
      <c r="BB704" s="270"/>
      <c r="BC704" s="270"/>
      <c r="BD704" s="270"/>
      <c r="BE704" s="270"/>
      <c r="BF704" s="270"/>
      <c r="BG704" s="270"/>
      <c r="BH704" s="270"/>
      <c r="BI704" s="270"/>
      <c r="BJ704" s="270"/>
      <c r="BK704" s="270"/>
      <c r="BL704" s="270"/>
      <c r="BM704" s="270"/>
      <c r="BN704" s="270"/>
      <c r="BO704" s="270"/>
      <c r="BP704" s="270"/>
      <c r="BQ704" s="270"/>
      <c r="BR704" s="270"/>
      <c r="BS704" s="270"/>
      <c r="BT704" s="270"/>
      <c r="BU704" s="270"/>
      <c r="BV704" s="270"/>
      <c r="BW704" s="270"/>
      <c r="BX704" s="270"/>
      <c r="BY704" s="270"/>
      <c r="BZ704" s="270"/>
      <c r="CA704" s="270"/>
      <c r="CB704" s="270"/>
      <c r="CC704" s="270"/>
      <c r="CD704" s="270"/>
      <c r="CE704"/>
      <c r="CF704" s="1396"/>
      <c r="CG704" s="1396"/>
      <c r="CH704" s="270"/>
      <c r="CI704" s="270"/>
      <c r="CJ704" s="270"/>
      <c r="CK704" s="270"/>
      <c r="CL704" s="270"/>
      <c r="CM704" s="270"/>
    </row>
  </sheetData>
  <sheetProtection formatColumns="0" formatRows="0"/>
  <dataConsolidate/>
  <customSheetViews>
    <customSheetView guid="{13F24B0A-7740-483A-BEF7-5257F8522605}" colorId="18" showGridLines="0" fitToPage="1" hiddenRows="1" hiddenColumns="1">
      <selection activeCell="Y2" sqref="Y2:AC2"/>
      <pageMargins left="0.78740157499999996" right="0.78740157499999996" top="0.984251969" bottom="0.984251969" header="0.4921259845" footer="0.4921259845"/>
      <pageSetup paperSize="9" scale="46" orientation="portrait" r:id="rId1"/>
      <headerFooter alignWithMargins="0"/>
    </customSheetView>
  </customSheetViews>
  <conditionalFormatting sqref="AO498:BB505 AO7:BB9 AO37:BB39 AO140:BB144 AO221:BB226 AO338:BB344 AO88:BB91">
    <cfRule type="expression" dxfId="77" priority="8" stopIfTrue="1">
      <formula>IF(OR($AO7=$AO6,$AO7=$AO8),TRUE,FALSE)</formula>
    </cfRule>
  </conditionalFormatting>
  <conditionalFormatting sqref="AP7:AP9 AP498:AP505 AP37:AP39 AP140:AP144 AP221:AP226 AP338:AP344 AP88:AP91">
    <cfRule type="expression" dxfId="76" priority="2">
      <formula>AND(LEFT($AP7,1) = "(", RIGHT($AP7,1) =")")</formula>
    </cfRule>
  </conditionalFormatting>
  <conditionalFormatting sqref="G37:G39 G7:G9 G88:G91 G498:G505 G338:G344 G221:G226 G140:G144">
    <cfRule type="expression" dxfId="75" priority="1" stopIfTrue="1">
      <formula>IF(COUNTIF(G:G,G7)&gt;1,TRUE,FALSE)</formula>
    </cfRule>
  </conditionalFormatting>
  <dataValidations count="183">
    <dataValidation type="list" allowBlank="1" showInputMessage="1" showErrorMessage="1" sqref="Y152 AC152 Y159 AC159 Y166 AC166 Y173 AC173 Y180 AC180 Y187 AC187 Y194 AC194 Y201 AC201 Y208 AC208 Y234 AC234 Y241 AC241 Y248 AC248 Y255 AC255 Y262 AC262 Y269 AC269 Y276 AC276 Y283 AC283 Y290 AC290 Y297 AC297 Y304 AC304 Y311 AC311 Y318 AC318 Y325 AC325 Y332 AC332 Y352 AC352 Y359 AC359 Y366 AC366 Y373 AC373 Y380 AC380 Y387 AC387 Y394 AC394 Y401 AC401 Y408 AC408 Y415 AC415 Y422 AC422 Y429 AC429 Y436 AC436 Y443 AC443 Y450 AC450 Y457 AC457 Y464 AC464 Y471 AC471 Y478 AC478 Y485 AC485 Y492 AC492 Y513 AC513 Y520 AC520 Y527 AC527 Y534 AC534 Y541 AC541 Y548 AC548 Y555 AC555 Y562 AC562 Y569 AC569 Y576 AC576 Y583 AC583 Y590 AC590 Y597 AC597 Y604 AC604 Y611 AC611 Y618 AC618 Y625 AC625 Y632 AC632 Y639 AC639 Y646 AC646 Y653 AC653 Y660 AC660 Y667 AC667 Y674 AC674 Y681 AC681 Y688 AC688 Y695 AC695 Y702 AC702 Y215 AC215 Y134 AC134 Y127 AC127 Y120 AC120 Y113 AC113 Y106 AC106 Y99 AC99 Y31 AC31 Y24 AC24 Y17 AC17 Y47 AC47 Y54 AC54 Y61 AC61 Y68 AC68 Y75 AC75 Y82 AC82" xr:uid="{00000000-0002-0000-1400-000000000000}">
      <formula1>OFFSET(Liste_Equipes,MATCH(Y11,Liste_Equipes,0)-1,1,1,OFFSET(Liste_Nb_Equipiers,MATCH(Y11,Liste_Equipes,0)-1,0,1,1))</formula1>
    </dataValidation>
    <dataValidation type="list" allowBlank="1" showInputMessage="1" showErrorMessage="1" sqref="Y151 AC151 Y158 AC158 Y165 AC165 Y172 AC172 Y179 AC179 Y186 AC186 Y193 AC193 Y200 AC200 Y207 AC207 Y233 AC233 Y240 AC240 Y247 AC247 Y254 AC254 Y261 AC261 Y268 AC268 Y275 AC275 Y282 AC282 Y289 AC289 Y296 AC296 Y303 AC303 Y310 AC310 Y317 AC317 Y324 AC324 Y331 AC331 Y351 AC351 Y358 AC358 Y365 AC365 Y372 AC372 Y379 AC379 Y386 AC386 Y393 AC393 Y400 AC400 Y407 AC407 Y414 AC414 Y421 AC421 Y428 AC428 Y435 AC435 Y442 AC442 Y449 AC449 Y456 AC456 Y463 AC463 Y470 AC470 Y477 AC477 Y484 AC484 Y491 AC491 Y512 AC512 Y519 AC519 Y526 AC526 Y533 AC533 Y540 AC540 Y547 AC547 Y554 AC554 Y561 AC561 Y568 AC568 Y575 AC575 Y582 AC582 Y589 AC589 Y596 AC596 Y603 AC603 Y610 AC610 Y617 AC617 Y624 AC624 Y631 AC631 Y638 AC638 Y645 AC645 Y652 AC652 Y659 AC659 Y666 AC666 Y673 AC673 Y680 AC680 Y687 AC687 Y694 AC694 Y701 AC701 Y214 AC214 Y133 AC133 Y126 AC126 Y119 AC119 Y112 AC112 Y105 AC105 Y98 AC98 Y30 AC30 Y23 AC23 Y16 AC16 Y46 AC46 Y53 AC53 Y60 AC60 Y67 AC67 Y74 AC74 Y81 AC81" xr:uid="{00000000-0002-0000-1400-000001000000}">
      <formula1>OFFSET(Liste_Equipes,MATCH(Y11,Liste_Equipes,0)-1,1,1,OFFSET(Liste_Nb_Equipiers,MATCH(Y11,Liste_Equipes,0)-1,0,1,1))</formula1>
    </dataValidation>
    <dataValidation type="list" allowBlank="1" showInputMessage="1" showErrorMessage="1" sqref="AC326" xr:uid="{00000000-0002-0000-1400-000002000000}">
      <formula1>G221:G226</formula1>
    </dataValidation>
    <dataValidation type="list" allowBlank="1" showInputMessage="1" showErrorMessage="1" sqref="AC319" xr:uid="{00000000-0002-0000-1400-000003000000}">
      <formula1>G221:G226</formula1>
    </dataValidation>
    <dataValidation type="list" allowBlank="1" showInputMessage="1" showErrorMessage="1" sqref="AC312" xr:uid="{00000000-0002-0000-1400-000004000000}">
      <formula1>G221:G226</formula1>
    </dataValidation>
    <dataValidation type="list" allowBlank="1" showInputMessage="1" showErrorMessage="1" sqref="AC305" xr:uid="{00000000-0002-0000-1400-000005000000}">
      <formula1>G221:G226</formula1>
    </dataValidation>
    <dataValidation type="list" allowBlank="1" showInputMessage="1" showErrorMessage="1" sqref="AC298" xr:uid="{00000000-0002-0000-1400-000006000000}">
      <formula1>G221:G226</formula1>
    </dataValidation>
    <dataValidation type="list" allowBlank="1" showInputMessage="1" showErrorMessage="1" sqref="AC291" xr:uid="{00000000-0002-0000-1400-000007000000}">
      <formula1>G221:G226</formula1>
    </dataValidation>
    <dataValidation type="list" allowBlank="1" showInputMessage="1" showErrorMessage="1" sqref="AC284" xr:uid="{00000000-0002-0000-1400-000008000000}">
      <formula1>G221:G226</formula1>
    </dataValidation>
    <dataValidation type="list" allowBlank="1" showInputMessage="1" showErrorMessage="1" sqref="AC277" xr:uid="{00000000-0002-0000-1400-000009000000}">
      <formula1>G221:G226</formula1>
    </dataValidation>
    <dataValidation type="list" allowBlank="1" showInputMessage="1" showErrorMessage="1" sqref="AC270" xr:uid="{00000000-0002-0000-1400-00000A000000}">
      <formula1>G221:G226</formula1>
    </dataValidation>
    <dataValidation type="list" allowBlank="1" showInputMessage="1" showErrorMessage="1" sqref="AC263" xr:uid="{00000000-0002-0000-1400-00000B000000}">
      <formula1>G221:G226</formula1>
    </dataValidation>
    <dataValidation type="list" allowBlank="1" showInputMessage="1" showErrorMessage="1" sqref="AC256" xr:uid="{00000000-0002-0000-1400-00000C000000}">
      <formula1>G221:G226</formula1>
    </dataValidation>
    <dataValidation type="list" allowBlank="1" showInputMessage="1" showErrorMessage="1" sqref="AC249" xr:uid="{00000000-0002-0000-1400-00000D000000}">
      <formula1>G221:G226</formula1>
    </dataValidation>
    <dataValidation type="list" allowBlank="1" showInputMessage="1" showErrorMessage="1" sqref="AC242" xr:uid="{00000000-0002-0000-1400-00000E000000}">
      <formula1>G221:G226</formula1>
    </dataValidation>
    <dataValidation type="list" allowBlank="1" showInputMessage="1" showErrorMessage="1" sqref="AC235" xr:uid="{00000000-0002-0000-1400-00000F000000}">
      <formula1>G221:G226</formula1>
    </dataValidation>
    <dataValidation type="list" allowBlank="1" showInputMessage="1" showErrorMessage="1" sqref="AC228" xr:uid="{00000000-0002-0000-1400-000010000000}">
      <formula1>G221:G226</formula1>
    </dataValidation>
    <dataValidation type="list" allowBlank="1" showInputMessage="1" showErrorMessage="1" sqref="Y326" xr:uid="{00000000-0002-0000-1400-000011000000}">
      <formula1>G221:G226</formula1>
    </dataValidation>
    <dataValidation type="list" allowBlank="1" showInputMessage="1" showErrorMessage="1" sqref="Y319" xr:uid="{00000000-0002-0000-1400-000012000000}">
      <formula1>G221:G226</formula1>
    </dataValidation>
    <dataValidation type="list" allowBlank="1" showInputMessage="1" showErrorMessage="1" sqref="Y312" xr:uid="{00000000-0002-0000-1400-000013000000}">
      <formula1>G221:G226</formula1>
    </dataValidation>
    <dataValidation type="list" allowBlank="1" showInputMessage="1" showErrorMessage="1" sqref="Y305" xr:uid="{00000000-0002-0000-1400-000014000000}">
      <formula1>G221:G226</formula1>
    </dataValidation>
    <dataValidation type="list" allowBlank="1" showInputMessage="1" showErrorMessage="1" sqref="Y298" xr:uid="{00000000-0002-0000-1400-000015000000}">
      <formula1>G221:G226</formula1>
    </dataValidation>
    <dataValidation type="list" allowBlank="1" showInputMessage="1" showErrorMessage="1" sqref="Y291" xr:uid="{00000000-0002-0000-1400-000016000000}">
      <formula1>G221:G226</formula1>
    </dataValidation>
    <dataValidation type="list" allowBlank="1" showInputMessage="1" showErrorMessage="1" sqref="Y284" xr:uid="{00000000-0002-0000-1400-000017000000}">
      <formula1>G221:G226</formula1>
    </dataValidation>
    <dataValidation type="list" allowBlank="1" showInputMessage="1" showErrorMessage="1" sqref="Y277" xr:uid="{00000000-0002-0000-1400-000018000000}">
      <formula1>G221:G226</formula1>
    </dataValidation>
    <dataValidation type="list" allowBlank="1" showInputMessage="1" showErrorMessage="1" sqref="Y270" xr:uid="{00000000-0002-0000-1400-000019000000}">
      <formula1>G221:G226</formula1>
    </dataValidation>
    <dataValidation type="list" allowBlank="1" showInputMessage="1" showErrorMessage="1" sqref="Y263" xr:uid="{00000000-0002-0000-1400-00001A000000}">
      <formula1>G221:G226</formula1>
    </dataValidation>
    <dataValidation type="list" allowBlank="1" showInputMessage="1" showErrorMessage="1" sqref="Y256" xr:uid="{00000000-0002-0000-1400-00001B000000}">
      <formula1>G221:G226</formula1>
    </dataValidation>
    <dataValidation type="list" allowBlank="1" showInputMessage="1" showErrorMessage="1" sqref="Y249" xr:uid="{00000000-0002-0000-1400-00001C000000}">
      <formula1>G221:G226</formula1>
    </dataValidation>
    <dataValidation type="list" allowBlank="1" showInputMessage="1" showErrorMessage="1" sqref="Y242" xr:uid="{00000000-0002-0000-1400-00001D000000}">
      <formula1>G221:G226</formula1>
    </dataValidation>
    <dataValidation type="list" allowBlank="1" showInputMessage="1" showErrorMessage="1" sqref="Y235" xr:uid="{00000000-0002-0000-1400-00001E000000}">
      <formula1>G221:G226</formula1>
    </dataValidation>
    <dataValidation type="list" allowBlank="1" showInputMessage="1" showErrorMessage="1" sqref="Y228" xr:uid="{00000000-0002-0000-1400-00001F000000}">
      <formula1>G221:G226</formula1>
    </dataValidation>
    <dataValidation type="list" allowBlank="1" showInputMessage="1" showErrorMessage="1" sqref="AC486" xr:uid="{00000000-0002-0000-1400-000020000000}">
      <formula1>G338:G344</formula1>
    </dataValidation>
    <dataValidation type="list" allowBlank="1" showInputMessage="1" showErrorMessage="1" sqref="AC479" xr:uid="{00000000-0002-0000-1400-000021000000}">
      <formula1>G338:G344</formula1>
    </dataValidation>
    <dataValidation type="list" allowBlank="1" showInputMessage="1" showErrorMessage="1" sqref="AC472" xr:uid="{00000000-0002-0000-1400-000022000000}">
      <formula1>G338:G344</formula1>
    </dataValidation>
    <dataValidation type="list" allowBlank="1" showInputMessage="1" showErrorMessage="1" sqref="AC465" xr:uid="{00000000-0002-0000-1400-000023000000}">
      <formula1>G338:G344</formula1>
    </dataValidation>
    <dataValidation type="list" allowBlank="1" showInputMessage="1" showErrorMessage="1" sqref="AC458" xr:uid="{00000000-0002-0000-1400-000024000000}">
      <formula1>G338:G344</formula1>
    </dataValidation>
    <dataValidation type="list" allowBlank="1" showInputMessage="1" showErrorMessage="1" sqref="AC451" xr:uid="{00000000-0002-0000-1400-000025000000}">
      <formula1>G338:G344</formula1>
    </dataValidation>
    <dataValidation type="list" allowBlank="1" showInputMessage="1" showErrorMessage="1" sqref="AC444" xr:uid="{00000000-0002-0000-1400-000026000000}">
      <formula1>G338:G344</formula1>
    </dataValidation>
    <dataValidation type="list" allowBlank="1" showInputMessage="1" showErrorMessage="1" sqref="AC437" xr:uid="{00000000-0002-0000-1400-000027000000}">
      <formula1>G338:G344</formula1>
    </dataValidation>
    <dataValidation type="list" allowBlank="1" showInputMessage="1" showErrorMessage="1" sqref="AC430" xr:uid="{00000000-0002-0000-1400-000028000000}">
      <formula1>G338:G344</formula1>
    </dataValidation>
    <dataValidation type="list" allowBlank="1" showInputMessage="1" showErrorMessage="1" sqref="AC423" xr:uid="{00000000-0002-0000-1400-000029000000}">
      <formula1>G338:G344</formula1>
    </dataValidation>
    <dataValidation type="list" allowBlank="1" showInputMessage="1" showErrorMessage="1" sqref="AC416" xr:uid="{00000000-0002-0000-1400-00002A000000}">
      <formula1>G338:G344</formula1>
    </dataValidation>
    <dataValidation type="list" allowBlank="1" showInputMessage="1" showErrorMessage="1" sqref="AC409" xr:uid="{00000000-0002-0000-1400-00002B000000}">
      <formula1>G338:G344</formula1>
    </dataValidation>
    <dataValidation type="list" allowBlank="1" showInputMessage="1" showErrorMessage="1" sqref="AC402" xr:uid="{00000000-0002-0000-1400-00002C000000}">
      <formula1>G338:G344</formula1>
    </dataValidation>
    <dataValidation type="list" allowBlank="1" showInputMessage="1" showErrorMessage="1" sqref="AC395" xr:uid="{00000000-0002-0000-1400-00002D000000}">
      <formula1>G338:G344</formula1>
    </dataValidation>
    <dataValidation type="list" allowBlank="1" showInputMessage="1" showErrorMessage="1" sqref="AC388" xr:uid="{00000000-0002-0000-1400-00002E000000}">
      <formula1>G338:G344</formula1>
    </dataValidation>
    <dataValidation type="list" allowBlank="1" showInputMessage="1" showErrorMessage="1" sqref="AC381" xr:uid="{00000000-0002-0000-1400-00002F000000}">
      <formula1>G338:G344</formula1>
    </dataValidation>
    <dataValidation type="list" allowBlank="1" showInputMessage="1" showErrorMessage="1" sqref="AC374" xr:uid="{00000000-0002-0000-1400-000030000000}">
      <formula1>G338:G344</formula1>
    </dataValidation>
    <dataValidation type="list" allowBlank="1" showInputMessage="1" showErrorMessage="1" sqref="AC367" xr:uid="{00000000-0002-0000-1400-000031000000}">
      <formula1>G338:G344</formula1>
    </dataValidation>
    <dataValidation type="list" allowBlank="1" showInputMessage="1" showErrorMessage="1" sqref="AC360" xr:uid="{00000000-0002-0000-1400-000032000000}">
      <formula1>G338:G344</formula1>
    </dataValidation>
    <dataValidation type="list" allowBlank="1" showInputMessage="1" showErrorMessage="1" sqref="AC353" xr:uid="{00000000-0002-0000-1400-000033000000}">
      <formula1>G338:G344</formula1>
    </dataValidation>
    <dataValidation type="list" allowBlank="1" showInputMessage="1" showErrorMessage="1" sqref="AC346" xr:uid="{00000000-0002-0000-1400-000034000000}">
      <formula1>G338:G344</formula1>
    </dataValidation>
    <dataValidation type="list" allowBlank="1" showInputMessage="1" showErrorMessage="1" sqref="Y486" xr:uid="{00000000-0002-0000-1400-000035000000}">
      <formula1>G338:G344</formula1>
    </dataValidation>
    <dataValidation type="list" allowBlank="1" showInputMessage="1" showErrorMessage="1" sqref="Y479" xr:uid="{00000000-0002-0000-1400-000036000000}">
      <formula1>G338:G344</formula1>
    </dataValidation>
    <dataValidation type="list" allowBlank="1" showInputMessage="1" showErrorMessage="1" sqref="Y472" xr:uid="{00000000-0002-0000-1400-000037000000}">
      <formula1>G338:G344</formula1>
    </dataValidation>
    <dataValidation type="list" allowBlank="1" showInputMessage="1" showErrorMessage="1" sqref="Y465" xr:uid="{00000000-0002-0000-1400-000038000000}">
      <formula1>G338:G344</formula1>
    </dataValidation>
    <dataValidation type="list" allowBlank="1" showInputMessage="1" showErrorMessage="1" sqref="Y458" xr:uid="{00000000-0002-0000-1400-000039000000}">
      <formula1>G338:G344</formula1>
    </dataValidation>
    <dataValidation type="list" allowBlank="1" showInputMessage="1" showErrorMessage="1" sqref="Y451" xr:uid="{00000000-0002-0000-1400-00003A000000}">
      <formula1>G338:G344</formula1>
    </dataValidation>
    <dataValidation type="list" allowBlank="1" showInputMessage="1" showErrorMessage="1" sqref="Y444" xr:uid="{00000000-0002-0000-1400-00003B000000}">
      <formula1>G338:G344</formula1>
    </dataValidation>
    <dataValidation type="list" allowBlank="1" showInputMessage="1" showErrorMessage="1" sqref="Y437" xr:uid="{00000000-0002-0000-1400-00003C000000}">
      <formula1>G338:G344</formula1>
    </dataValidation>
    <dataValidation type="list" allowBlank="1" showInputMessage="1" showErrorMessage="1" sqref="Y430" xr:uid="{00000000-0002-0000-1400-00003D000000}">
      <formula1>G338:G344</formula1>
    </dataValidation>
    <dataValidation type="list" allowBlank="1" showInputMessage="1" showErrorMessage="1" sqref="Y423" xr:uid="{00000000-0002-0000-1400-00003E000000}">
      <formula1>G338:G344</formula1>
    </dataValidation>
    <dataValidation type="list" allowBlank="1" showInputMessage="1" showErrorMessage="1" sqref="Y416" xr:uid="{00000000-0002-0000-1400-00003F000000}">
      <formula1>G338:G344</formula1>
    </dataValidation>
    <dataValidation type="list" allowBlank="1" showInputMessage="1" showErrorMessage="1" sqref="Y409" xr:uid="{00000000-0002-0000-1400-000040000000}">
      <formula1>G338:G344</formula1>
    </dataValidation>
    <dataValidation type="list" allowBlank="1" showInputMessage="1" showErrorMessage="1" sqref="Y402" xr:uid="{00000000-0002-0000-1400-000041000000}">
      <formula1>G338:G344</formula1>
    </dataValidation>
    <dataValidation type="list" allowBlank="1" showInputMessage="1" showErrorMessage="1" sqref="Y395" xr:uid="{00000000-0002-0000-1400-000042000000}">
      <formula1>G338:G344</formula1>
    </dataValidation>
    <dataValidation type="list" allowBlank="1" showInputMessage="1" showErrorMessage="1" sqref="Y388" xr:uid="{00000000-0002-0000-1400-000043000000}">
      <formula1>G338:G344</formula1>
    </dataValidation>
    <dataValidation type="list" allowBlank="1" showInputMessage="1" showErrorMessage="1" sqref="Y381" xr:uid="{00000000-0002-0000-1400-000044000000}">
      <formula1>G338:G344</formula1>
    </dataValidation>
    <dataValidation type="list" allowBlank="1" showInputMessage="1" showErrorMessage="1" sqref="Y374" xr:uid="{00000000-0002-0000-1400-000045000000}">
      <formula1>G338:G344</formula1>
    </dataValidation>
    <dataValidation type="list" allowBlank="1" showInputMessage="1" showErrorMessage="1" sqref="Y367" xr:uid="{00000000-0002-0000-1400-000046000000}">
      <formula1>G338:G344</formula1>
    </dataValidation>
    <dataValidation type="list" allowBlank="1" showInputMessage="1" showErrorMessage="1" sqref="Y360" xr:uid="{00000000-0002-0000-1400-000047000000}">
      <formula1>G338:G344</formula1>
    </dataValidation>
    <dataValidation type="list" allowBlank="1" showInputMessage="1" showErrorMessage="1" sqref="Y353" xr:uid="{00000000-0002-0000-1400-000048000000}">
      <formula1>G338:G344</formula1>
    </dataValidation>
    <dataValidation type="list" allowBlank="1" showInputMessage="1" showErrorMessage="1" sqref="Y346" xr:uid="{00000000-0002-0000-1400-000049000000}">
      <formula1>G338:G344</formula1>
    </dataValidation>
    <dataValidation type="list" allowBlank="1" showInputMessage="1" showErrorMessage="1" sqref="AC696" xr:uid="{00000000-0002-0000-1400-00004A000000}">
      <formula1>G498:G505</formula1>
    </dataValidation>
    <dataValidation type="list" allowBlank="1" showInputMessage="1" showErrorMessage="1" sqref="AC689" xr:uid="{00000000-0002-0000-1400-00004B000000}">
      <formula1>G498:G505</formula1>
    </dataValidation>
    <dataValidation type="list" allowBlank="1" showInputMessage="1" showErrorMessage="1" sqref="AC682" xr:uid="{00000000-0002-0000-1400-00004C000000}">
      <formula1>G498:G505</formula1>
    </dataValidation>
    <dataValidation type="list" allowBlank="1" showInputMessage="1" showErrorMessage="1" sqref="AC675" xr:uid="{00000000-0002-0000-1400-00004D000000}">
      <formula1>G498:G505</formula1>
    </dataValidation>
    <dataValidation type="list" allowBlank="1" showInputMessage="1" showErrorMessage="1" sqref="AC668" xr:uid="{00000000-0002-0000-1400-00004E000000}">
      <formula1>G498:G505</formula1>
    </dataValidation>
    <dataValidation type="list" allowBlank="1" showInputMessage="1" showErrorMessage="1" sqref="AC661" xr:uid="{00000000-0002-0000-1400-00004F000000}">
      <formula1>G498:G505</formula1>
    </dataValidation>
    <dataValidation type="list" allowBlank="1" showInputMessage="1" showErrorMessage="1" sqref="AC654" xr:uid="{00000000-0002-0000-1400-000050000000}">
      <formula1>G498:G505</formula1>
    </dataValidation>
    <dataValidation type="list" allowBlank="1" showInputMessage="1" showErrorMessage="1" sqref="AC647" xr:uid="{00000000-0002-0000-1400-000051000000}">
      <formula1>G498:G505</formula1>
    </dataValidation>
    <dataValidation type="list" allowBlank="1" showInputMessage="1" showErrorMessage="1" sqref="AC640" xr:uid="{00000000-0002-0000-1400-000052000000}">
      <formula1>G498:G505</formula1>
    </dataValidation>
    <dataValidation type="list" allowBlank="1" showInputMessage="1" showErrorMessage="1" sqref="AC633" xr:uid="{00000000-0002-0000-1400-000053000000}">
      <formula1>G498:G505</formula1>
    </dataValidation>
    <dataValidation type="list" allowBlank="1" showInputMessage="1" showErrorMessage="1" sqref="AC626" xr:uid="{00000000-0002-0000-1400-000054000000}">
      <formula1>G498:G505</formula1>
    </dataValidation>
    <dataValidation type="list" allowBlank="1" showInputMessage="1" showErrorMessage="1" sqref="AC619" xr:uid="{00000000-0002-0000-1400-000055000000}">
      <formula1>G498:G505</formula1>
    </dataValidation>
    <dataValidation type="list" allowBlank="1" showInputMessage="1" showErrorMessage="1" sqref="AC612" xr:uid="{00000000-0002-0000-1400-000056000000}">
      <formula1>G498:G505</formula1>
    </dataValidation>
    <dataValidation type="list" allowBlank="1" showInputMessage="1" showErrorMessage="1" sqref="AC605" xr:uid="{00000000-0002-0000-1400-000057000000}">
      <formula1>G498:G505</formula1>
    </dataValidation>
    <dataValidation type="list" allowBlank="1" showInputMessage="1" showErrorMessage="1" sqref="AC598" xr:uid="{00000000-0002-0000-1400-000058000000}">
      <formula1>G498:G505</formula1>
    </dataValidation>
    <dataValidation type="list" allowBlank="1" showInputMessage="1" showErrorMessage="1" sqref="AC591" xr:uid="{00000000-0002-0000-1400-000059000000}">
      <formula1>G498:G505</formula1>
    </dataValidation>
    <dataValidation type="list" allowBlank="1" showInputMessage="1" showErrorMessage="1" sqref="AC584" xr:uid="{00000000-0002-0000-1400-00005A000000}">
      <formula1>G498:G505</formula1>
    </dataValidation>
    <dataValidation type="list" allowBlank="1" showInputMessage="1" showErrorMessage="1" sqref="AC577" xr:uid="{00000000-0002-0000-1400-00005B000000}">
      <formula1>G498:G505</formula1>
    </dataValidation>
    <dataValidation type="list" allowBlank="1" showInputMessage="1" showErrorMessage="1" sqref="AC570" xr:uid="{00000000-0002-0000-1400-00005C000000}">
      <formula1>G498:G505</formula1>
    </dataValidation>
    <dataValidation type="list" allowBlank="1" showInputMessage="1" showErrorMessage="1" sqref="AC563" xr:uid="{00000000-0002-0000-1400-00005D000000}">
      <formula1>G498:G505</formula1>
    </dataValidation>
    <dataValidation type="list" allowBlank="1" showInputMessage="1" showErrorMessage="1" sqref="AC556" xr:uid="{00000000-0002-0000-1400-00005E000000}">
      <formula1>G498:G505</formula1>
    </dataValidation>
    <dataValidation type="list" allowBlank="1" showInputMessage="1" showErrorMessage="1" sqref="AC549" xr:uid="{00000000-0002-0000-1400-00005F000000}">
      <formula1>G498:G505</formula1>
    </dataValidation>
    <dataValidation type="list" allowBlank="1" showInputMessage="1" showErrorMessage="1" sqref="AC542" xr:uid="{00000000-0002-0000-1400-000060000000}">
      <formula1>G498:G505</formula1>
    </dataValidation>
    <dataValidation type="list" allowBlank="1" showInputMessage="1" showErrorMessage="1" sqref="AC535" xr:uid="{00000000-0002-0000-1400-000061000000}">
      <formula1>G498:G505</formula1>
    </dataValidation>
    <dataValidation type="list" allowBlank="1" showInputMessage="1" showErrorMessage="1" sqref="AC528" xr:uid="{00000000-0002-0000-1400-000062000000}">
      <formula1>G498:G505</formula1>
    </dataValidation>
    <dataValidation type="list" allowBlank="1" showInputMessage="1" showErrorMessage="1" sqref="AC521" xr:uid="{00000000-0002-0000-1400-000063000000}">
      <formula1>G498:G505</formula1>
    </dataValidation>
    <dataValidation type="list" allowBlank="1" showInputMessage="1" showErrorMessage="1" sqref="AC514" xr:uid="{00000000-0002-0000-1400-000064000000}">
      <formula1>G498:G505</formula1>
    </dataValidation>
    <dataValidation type="list" allowBlank="1" showInputMessage="1" showErrorMessage="1" sqref="AC507" xr:uid="{00000000-0002-0000-1400-000065000000}">
      <formula1>G498:G505</formula1>
    </dataValidation>
    <dataValidation type="list" allowBlank="1" showInputMessage="1" showErrorMessage="1" sqref="Y696" xr:uid="{00000000-0002-0000-1400-000066000000}">
      <formula1>G498:G505</formula1>
    </dataValidation>
    <dataValidation type="list" allowBlank="1" showInputMessage="1" showErrorMessage="1" sqref="Y689" xr:uid="{00000000-0002-0000-1400-000067000000}">
      <formula1>G498:G505</formula1>
    </dataValidation>
    <dataValidation type="list" allowBlank="1" showInputMessage="1" showErrorMessage="1" sqref="Y682" xr:uid="{00000000-0002-0000-1400-000068000000}">
      <formula1>G498:G505</formula1>
    </dataValidation>
    <dataValidation type="list" allowBlank="1" showInputMessage="1" showErrorMessage="1" sqref="Y675" xr:uid="{00000000-0002-0000-1400-000069000000}">
      <formula1>G498:G505</formula1>
    </dataValidation>
    <dataValidation type="list" allowBlank="1" showInputMessage="1" showErrorMessage="1" sqref="Y668" xr:uid="{00000000-0002-0000-1400-00006A000000}">
      <formula1>G498:G505</formula1>
    </dataValidation>
    <dataValidation type="list" allowBlank="1" showInputMessage="1" showErrorMessage="1" sqref="Y661" xr:uid="{00000000-0002-0000-1400-00006B000000}">
      <formula1>G498:G505</formula1>
    </dataValidation>
    <dataValidation type="list" allowBlank="1" showInputMessage="1" showErrorMessage="1" sqref="Y654" xr:uid="{00000000-0002-0000-1400-00006C000000}">
      <formula1>G498:G505</formula1>
    </dataValidation>
    <dataValidation type="list" allowBlank="1" showInputMessage="1" showErrorMessage="1" sqref="Y647" xr:uid="{00000000-0002-0000-1400-00006D000000}">
      <formula1>G498:G505</formula1>
    </dataValidation>
    <dataValidation type="list" allowBlank="1" showInputMessage="1" showErrorMessage="1" sqref="Y640" xr:uid="{00000000-0002-0000-1400-00006E000000}">
      <formula1>G498:G505</formula1>
    </dataValidation>
    <dataValidation type="list" allowBlank="1" showInputMessage="1" showErrorMessage="1" sqref="Y633" xr:uid="{00000000-0002-0000-1400-00006F000000}">
      <formula1>G498:G505</formula1>
    </dataValidation>
    <dataValidation type="list" allowBlank="1" showInputMessage="1" showErrorMessage="1" sqref="Y626" xr:uid="{00000000-0002-0000-1400-000070000000}">
      <formula1>G498:G505</formula1>
    </dataValidation>
    <dataValidation type="list" allowBlank="1" showInputMessage="1" showErrorMessage="1" sqref="Y619" xr:uid="{00000000-0002-0000-1400-000071000000}">
      <formula1>G498:G505</formula1>
    </dataValidation>
    <dataValidation type="list" allowBlank="1" showInputMessage="1" showErrorMessage="1" sqref="Y612" xr:uid="{00000000-0002-0000-1400-000072000000}">
      <formula1>G498:G505</formula1>
    </dataValidation>
    <dataValidation type="list" allowBlank="1" showInputMessage="1" showErrorMessage="1" sqref="Y605" xr:uid="{00000000-0002-0000-1400-000073000000}">
      <formula1>G498:G505</formula1>
    </dataValidation>
    <dataValidation type="list" allowBlank="1" showInputMessage="1" showErrorMessage="1" sqref="Y598" xr:uid="{00000000-0002-0000-1400-000074000000}">
      <formula1>G498:G505</formula1>
    </dataValidation>
    <dataValidation type="list" allowBlank="1" showInputMessage="1" showErrorMessage="1" sqref="Y591" xr:uid="{00000000-0002-0000-1400-000075000000}">
      <formula1>G498:G505</formula1>
    </dataValidation>
    <dataValidation type="list" allowBlank="1" showInputMessage="1" showErrorMessage="1" sqref="Y584" xr:uid="{00000000-0002-0000-1400-000076000000}">
      <formula1>G498:G505</formula1>
    </dataValidation>
    <dataValidation type="list" allowBlank="1" showInputMessage="1" showErrorMessage="1" sqref="Y577" xr:uid="{00000000-0002-0000-1400-000077000000}">
      <formula1>G498:G505</formula1>
    </dataValidation>
    <dataValidation type="list" allowBlank="1" showInputMessage="1" showErrorMessage="1" sqref="Y570" xr:uid="{00000000-0002-0000-1400-000078000000}">
      <formula1>G498:G505</formula1>
    </dataValidation>
    <dataValidation type="list" allowBlank="1" showInputMessage="1" showErrorMessage="1" sqref="Y563" xr:uid="{00000000-0002-0000-1400-000079000000}">
      <formula1>G498:G505</formula1>
    </dataValidation>
    <dataValidation type="list" allowBlank="1" showInputMessage="1" showErrorMessage="1" sqref="Y556" xr:uid="{00000000-0002-0000-1400-00007A000000}">
      <formula1>G498:G505</formula1>
    </dataValidation>
    <dataValidation type="list" allowBlank="1" showInputMessage="1" showErrorMessage="1" sqref="Y549" xr:uid="{00000000-0002-0000-1400-00007B000000}">
      <formula1>G498:G505</formula1>
    </dataValidation>
    <dataValidation type="list" allowBlank="1" showInputMessage="1" showErrorMessage="1" sqref="Y542" xr:uid="{00000000-0002-0000-1400-00007C000000}">
      <formula1>G498:G505</formula1>
    </dataValidation>
    <dataValidation type="list" allowBlank="1" showInputMessage="1" showErrorMessage="1" sqref="Y535" xr:uid="{00000000-0002-0000-1400-00007D000000}">
      <formula1>G498:G505</formula1>
    </dataValidation>
    <dataValidation type="list" allowBlank="1" showInputMessage="1" showErrorMessage="1" sqref="Y528" xr:uid="{00000000-0002-0000-1400-00007E000000}">
      <formula1>G498:G505</formula1>
    </dataValidation>
    <dataValidation type="list" allowBlank="1" showInputMessage="1" showErrorMessage="1" sqref="Y521" xr:uid="{00000000-0002-0000-1400-00007F000000}">
      <formula1>G498:G505</formula1>
    </dataValidation>
    <dataValidation type="list" allowBlank="1" showInputMessage="1" showErrorMessage="1" sqref="Y514" xr:uid="{00000000-0002-0000-1400-000080000000}">
      <formula1>G498:G505</formula1>
    </dataValidation>
    <dataValidation type="list" allowBlank="1" showInputMessage="1" showErrorMessage="1" sqref="Y507" xr:uid="{00000000-0002-0000-1400-000081000000}">
      <formula1>G498:G505</formula1>
    </dataValidation>
    <dataValidation type="list" allowBlank="1" showInputMessage="1" showErrorMessage="1" sqref="AC209" xr:uid="{00000000-0002-0000-1400-000082000000}">
      <formula1>G140:G144</formula1>
    </dataValidation>
    <dataValidation type="list" allowBlank="1" showInputMessage="1" showErrorMessage="1" sqref="AC202" xr:uid="{00000000-0002-0000-1400-000083000000}">
      <formula1>G140:G144</formula1>
    </dataValidation>
    <dataValidation type="list" allowBlank="1" showInputMessage="1" showErrorMessage="1" sqref="AC195" xr:uid="{00000000-0002-0000-1400-000084000000}">
      <formula1>G140:G144</formula1>
    </dataValidation>
    <dataValidation type="list" allowBlank="1" showInputMessage="1" showErrorMessage="1" sqref="AC188" xr:uid="{00000000-0002-0000-1400-000085000000}">
      <formula1>G140:G144</formula1>
    </dataValidation>
    <dataValidation type="list" allowBlank="1" showInputMessage="1" showErrorMessage="1" sqref="AC181" xr:uid="{00000000-0002-0000-1400-000086000000}">
      <formula1>G140:G144</formula1>
    </dataValidation>
    <dataValidation type="list" allowBlank="1" showInputMessage="1" showErrorMessage="1" sqref="AC174" xr:uid="{00000000-0002-0000-1400-000087000000}">
      <formula1>G140:G144</formula1>
    </dataValidation>
    <dataValidation type="list" allowBlank="1" showInputMessage="1" showErrorMessage="1" sqref="AC167" xr:uid="{00000000-0002-0000-1400-000088000000}">
      <formula1>G140:G144</formula1>
    </dataValidation>
    <dataValidation type="list" allowBlank="1" showInputMessage="1" showErrorMessage="1" sqref="AC160" xr:uid="{00000000-0002-0000-1400-000089000000}">
      <formula1>G140:G144</formula1>
    </dataValidation>
    <dataValidation type="list" allowBlank="1" showInputMessage="1" showErrorMessage="1" sqref="AC153" xr:uid="{00000000-0002-0000-1400-00008A000000}">
      <formula1>G140:G144</formula1>
    </dataValidation>
    <dataValidation type="list" allowBlank="1" showInputMessage="1" showErrorMessage="1" sqref="AC146" xr:uid="{00000000-0002-0000-1400-00008B000000}">
      <formula1>G140:G144</formula1>
    </dataValidation>
    <dataValidation type="list" allowBlank="1" showInputMessage="1" showErrorMessage="1" sqref="Y209" xr:uid="{00000000-0002-0000-1400-00008C000000}">
      <formula1>G140:G144</formula1>
    </dataValidation>
    <dataValidation type="list" allowBlank="1" showInputMessage="1" showErrorMessage="1" sqref="Y202" xr:uid="{00000000-0002-0000-1400-00008D000000}">
      <formula1>G140:G144</formula1>
    </dataValidation>
    <dataValidation type="list" allowBlank="1" showInputMessage="1" showErrorMessage="1" sqref="Y195" xr:uid="{00000000-0002-0000-1400-00008E000000}">
      <formula1>G140:G144</formula1>
    </dataValidation>
    <dataValidation type="list" allowBlank="1" showInputMessage="1" showErrorMessage="1" sqref="Y188" xr:uid="{00000000-0002-0000-1400-00008F000000}">
      <formula1>G140:G144</formula1>
    </dataValidation>
    <dataValidation type="list" allowBlank="1" showInputMessage="1" showErrorMessage="1" sqref="Y181" xr:uid="{00000000-0002-0000-1400-000090000000}">
      <formula1>G140:G144</formula1>
    </dataValidation>
    <dataValidation type="list" allowBlank="1" showInputMessage="1" showErrorMessage="1" sqref="Y174" xr:uid="{00000000-0002-0000-1400-000091000000}">
      <formula1>G140:G144</formula1>
    </dataValidation>
    <dataValidation type="list" allowBlank="1" showInputMessage="1" showErrorMessage="1" sqref="Y167" xr:uid="{00000000-0002-0000-1400-000092000000}">
      <formula1>G140:G144</formula1>
    </dataValidation>
    <dataValidation type="list" allowBlank="1" showInputMessage="1" showErrorMessage="1" sqref="Y160" xr:uid="{00000000-0002-0000-1400-000093000000}">
      <formula1>G140:G144</formula1>
    </dataValidation>
    <dataValidation type="list" allowBlank="1" showInputMessage="1" showErrorMessage="1" sqref="Y153" xr:uid="{00000000-0002-0000-1400-000094000000}">
      <formula1>G140:G144</formula1>
    </dataValidation>
    <dataValidation type="list" allowBlank="1" showInputMessage="1" showErrorMessage="1" sqref="Y146" xr:uid="{00000000-0002-0000-1400-000095000000}">
      <formula1>G140:G144</formula1>
    </dataValidation>
    <dataValidation type="list" allowBlank="1" showInputMessage="1" showErrorMessage="1" sqref="AC128" xr:uid="{00000000-0002-0000-1400-000096000000}">
      <formula1>G88:G91</formula1>
    </dataValidation>
    <dataValidation type="list" allowBlank="1" showInputMessage="1" showErrorMessage="1" sqref="AC121" xr:uid="{00000000-0002-0000-1400-000097000000}">
      <formula1>G88:G91</formula1>
    </dataValidation>
    <dataValidation type="list" allowBlank="1" showInputMessage="1" showErrorMessage="1" sqref="AC114" xr:uid="{00000000-0002-0000-1400-000098000000}">
      <formula1>G88:G91</formula1>
    </dataValidation>
    <dataValidation type="list" allowBlank="1" showInputMessage="1" showErrorMessage="1" sqref="AC107" xr:uid="{00000000-0002-0000-1400-000099000000}">
      <formula1>G88:G91</formula1>
    </dataValidation>
    <dataValidation type="list" allowBlank="1" showInputMessage="1" showErrorMessage="1" sqref="AC100" xr:uid="{00000000-0002-0000-1400-00009A000000}">
      <formula1>G88:G91</formula1>
    </dataValidation>
    <dataValidation type="list" allowBlank="1" showInputMessage="1" showErrorMessage="1" sqref="AC93" xr:uid="{00000000-0002-0000-1400-00009B000000}">
      <formula1>G88:G91</formula1>
    </dataValidation>
    <dataValidation type="list" allowBlank="1" showInputMessage="1" showErrorMessage="1" sqref="Y128" xr:uid="{00000000-0002-0000-1400-00009C000000}">
      <formula1>G88:G91</formula1>
    </dataValidation>
    <dataValidation type="list" allowBlank="1" showInputMessage="1" showErrorMessage="1" sqref="Y121" xr:uid="{00000000-0002-0000-1400-00009D000000}">
      <formula1>G88:G91</formula1>
    </dataValidation>
    <dataValidation type="list" allowBlank="1" showInputMessage="1" showErrorMessage="1" sqref="Y114" xr:uid="{00000000-0002-0000-1400-00009E000000}">
      <formula1>G88:G91</formula1>
    </dataValidation>
    <dataValidation type="list" allowBlank="1" showInputMessage="1" showErrorMessage="1" sqref="Y107" xr:uid="{00000000-0002-0000-1400-00009F000000}">
      <formula1>G88:G91</formula1>
    </dataValidation>
    <dataValidation type="list" allowBlank="1" showInputMessage="1" showErrorMessage="1" sqref="Y100" xr:uid="{00000000-0002-0000-1400-0000A0000000}">
      <formula1>G88:G91</formula1>
    </dataValidation>
    <dataValidation type="list" allowBlank="1" showInputMessage="1" sqref="Y93" xr:uid="{00000000-0002-0000-1400-0000A1000000}">
      <formula1>G88:G91</formula1>
    </dataValidation>
    <dataValidation type="list" allowBlank="1" showInputMessage="1" showErrorMessage="1" sqref="AC76" xr:uid="{00000000-0002-0000-1400-0000A2000000}">
      <formula1>G37:G39</formula1>
    </dataValidation>
    <dataValidation type="list" allowBlank="1" showInputMessage="1" showErrorMessage="1" sqref="AC69" xr:uid="{00000000-0002-0000-1400-0000A3000000}">
      <formula1>G37:G39</formula1>
    </dataValidation>
    <dataValidation type="list" allowBlank="1" showInputMessage="1" showErrorMessage="1" sqref="AC62" xr:uid="{00000000-0002-0000-1400-0000A4000000}">
      <formula1>G37:G39</formula1>
    </dataValidation>
    <dataValidation type="list" allowBlank="1" showInputMessage="1" showErrorMessage="1" sqref="Y76" xr:uid="{00000000-0002-0000-1400-0000A5000000}">
      <formula1>G37:G39</formula1>
    </dataValidation>
    <dataValidation type="list" allowBlank="1" showInputMessage="1" showErrorMessage="1" sqref="Y69" xr:uid="{00000000-0002-0000-1400-0000A6000000}">
      <formula1>G37:G39</formula1>
    </dataValidation>
    <dataValidation type="list" allowBlank="1" showInputMessage="1" showErrorMessage="1" sqref="Y62" xr:uid="{00000000-0002-0000-1400-0000A7000000}">
      <formula1>G37:G39</formula1>
    </dataValidation>
    <dataValidation type="list" allowBlank="1" showInputMessage="1" showErrorMessage="1" sqref="AC25 AC55" xr:uid="{00000000-0002-0000-1400-0000A8000000}">
      <formula1>G7:G9</formula1>
    </dataValidation>
    <dataValidation type="list" allowBlank="1" showInputMessage="1" showErrorMessage="1" sqref="AC18 AC48" xr:uid="{00000000-0002-0000-1400-0000A9000000}">
      <formula1>G7:G9</formula1>
    </dataValidation>
    <dataValidation type="list" allowBlank="1" showInputMessage="1" showErrorMessage="1" sqref="AC11 AC41" xr:uid="{00000000-0002-0000-1400-0000AA000000}">
      <formula1>G7:G9</formula1>
    </dataValidation>
    <dataValidation type="list" allowBlank="1" showInputMessage="1" showErrorMessage="1" sqref="Y25 Y55" xr:uid="{00000000-0002-0000-1400-0000AB000000}">
      <formula1>G7:G9</formula1>
    </dataValidation>
    <dataValidation type="list" allowBlank="1" showInputMessage="1" showErrorMessage="1" sqref="Y18 Y48" xr:uid="{00000000-0002-0000-1400-0000AC000000}">
      <formula1>G7:G9</formula1>
    </dataValidation>
    <dataValidation type="list" allowBlank="1" showInputMessage="1" showErrorMessage="1" sqref="Y11 Y41" xr:uid="{00000000-0002-0000-1400-0000AD000000}">
      <formula1>G7:G9</formula1>
    </dataValidation>
    <dataValidation type="list" allowBlank="1" showInputMessage="1" showErrorMessage="1" sqref="AC532 AC406 AC15 Y59 Y52 AC22 Y22 Y97 AC518 Y511 AC525 Y518 AC679 AC213 AC66 AC59 AC73 Y66 Y80 Y525 AC97 Y104 AC104 Y111 AC111 Y118 AC118 Y125 AC125 Y132 AC132 Y213 AC150 AC80 AC157 Y150 AC164 Y157 AC171 Y164 AC178 Y171 AC185 Y178 AC192 Y185 AC199 Y192 AC206 Y199 Y700 Y73 AC232 Y206 AC239 Y232 AC246 Y239 AC253 Y246 AC260 Y253 AC267 Y260 AC274 Y267 AC281 Y274 AC288 Y281 AC295 Y288 AC302 Y295 AC309 Y302 AC316 Y309 AC323 Y316 AC330 Y323 AC476 Y469 AC483 Y476 AC490 Y483 AC350 Y330 AC357 Y350 Y364 AC469 AC434 Y427 AC441 Y434 AC448 Y441 AC413 Y406 AC420 Y413 AC427 Y420 AC392 Y385 AC399 Y392 Y399 AC385 AC371 AC364 AC378 Y371 Y378 Y357 AC455 Y448 AC462 Y455 Y462 Y672 AC686 Y679 AC693 Y686 AC700 Y693 AC651 Y644 AC658 Y651 AC665 Y658 AC672 Y665 AC623 Y616 AC630 Y623 AC637 Y630 AC644 Y637 AC595 Y588 AC602 Y595 AC609 Y602 AC616 Y609 AC567 Y560 AC574 Y567 AC581 Y574 AC588 Y581 AC539 Y532 AC546 Y539 AC553 Y546 AC560 Y553 AC511 Y490 Y45 Y15 AC52 AC45 AC29" xr:uid="{00000000-0002-0000-1400-0000AE000000}">
      <formula1>OFFSET(Liste_Equipes,MATCH(Y11,Liste_Equipes,0)-1,1,1,OFFSET(Liste_Nb_Equipiers,MATCH(Y11,Liste_Equipes,0)-1,0,1,1))</formula1>
    </dataValidation>
    <dataValidation type="list" allowBlank="1" showInputMessage="1" showErrorMessage="1" sqref="Y531 AC531 AC14 Y14 Y58 AC58 AC21 Y21 Y517 AC517 Y524 AC524 Y678 AC678 Y65 AC65 Y72 AC72 Y79 AC79 Y96 AC96 Y103 AC103 Y110 AC110 Y117 AC117 Y124 AC124 Y131 AC131 Y149 AC149 Y156 AC156 Y163 AC163 Y170 AC170 Y177 AC177 Y184 AC184 Y191 AC191 Y198 AC198 Y205 AC205 Y212 AC212 Y231 AC231 Y238 AC238 Y245 AC245 Y252 AC252 Y259 AC259 Y266 AC266 Y273 AC273 Y280 AC280 Y287 AC287 Y294 AC294 Y301 AC301 Y308 AC308 Y315 AC315 Y322 AC322 Y329 AC329 Y475 AC475 Y482 AC482 Y489 AC489 Y349 AC349 Y356 AC356 Y363 AC363 Y433 AC433 Y440 AC440 Y447 AC447 Y412 AC412 Y419 AC419 Y426 AC426 Y391 AC391 Y398 AC398 Y405 AC405 Y370 AC370 Y377 AC377 Y384 AC384 Y454 AC454 Y461 AC461 Y468 AC468 Y685 AC685 Y692 AC692 Y699 AC699 Y650 AC650 Y657 AC657 Y664 AC664 Y671 AC671 Y622 AC622 Y629 AC629 Y636 AC636 Y643 AC643 Y594 AC594 Y601 AC601 Y608 AC608 Y615 AC615 Y566 AC566 Y573 AC573 Y580 AC580 Y587 AC587 Y538 AC538 Y545 AC545 Y552 AC552 Y559 AC559 Y510 AC510 AC44 Y44 Y51 AC51 AC28 Y28:Y29" xr:uid="{00000000-0002-0000-1400-0000AF000000}">
      <formula1>OFFSET(Liste_Equipes,MATCH(Y11,Liste_Equipes,0)-1,1,1,OFFSET(Liste_Nb_Equipiers,MATCH(Y11,Liste_Equipes,0)-1,0,1,1))</formula1>
    </dataValidation>
    <dataValidation type="list" allowBlank="1" showInputMessage="1" showErrorMessage="1" sqref="Y530 AC530 AC13 Y13 Y57 AC57 AC20 Y20 Y516 AC516 Y523 AC523 Y677 AC677 Y64 AC64 Y71 AC71 Y78 AC78 Y95 AC95 Y102 AC102 Y109 AC109 Y116 AC116 Y123 AC123 Y130 AC130 Y148 AC148 Y155 AC155 Y162 AC162 Y169 AC169 Y176 AC176 Y183 AC183 Y190 AC190 Y197 AC197 Y204 AC204 Y211 AC211 Y230 AC230 Y237 AC237 Y244 AC244 Y251 AC251 Y258 AC258 Y265 AC265 Y272 AC272 Y279 AC279 Y286 AC286 Y293 AC293 Y300 AC300 Y307 AC307 Y314 AC314 Y321 AC321 Y328 AC328 Y474 AC474 Y481 AC481 Y488 AC488 Y348 AC348 Y355 AC355 Y362 AC362 Y432 AC432 Y439 AC439 Y446 AC446 Y411 AC411 Y418 AC418 Y425 AC425 Y390 AC390 Y397 AC397 Y404 AC404 Y369 AC369 Y376 AC376 Y383 AC383 Y453 AC453 Y460 AC460 Y467 AC467 Y684 AC684 Y691 AC691 Y698 AC698 Y649 AC649 Y656 AC656 Y663 AC663 Y670 AC670 Y621 AC621 Y628 AC628 Y635 AC635 Y642 AC642 Y593 AC593 Y600 AC600 Y607 AC607 Y614 AC614 Y565 AC565 Y572 AC572 Y579 AC579 Y586 AC586 Y537 AC537 Y544 AC544 Y551 AC551 Y558 AC558 Y509 AC509 AC43 Y43 Y50 AC50 AC27 Y27" xr:uid="{00000000-0002-0000-1400-0000B0000000}">
      <formula1>OFFSET(Liste_Equipes,MATCH(Y11,Liste_Equipes,0)-1,1,1,OFFSET(Liste_Nb_Equipiers,MATCH(Y11,Liste_Equipes,0)-1,0,1,1))</formula1>
    </dataValidation>
    <dataValidation type="list" allowBlank="1" showInputMessage="1" showErrorMessage="1" sqref="Y529 AC529 AC12 Y12 Y56 AC56 AC19 Y19 Y515 AC515 Y522 AC522 Y676 AC676 Y63 AC63 Y70 AC70 Y77 AC77 Y94 AC94 Y101 AC101 Y108 AC108 Y115 AC115 Y122 AC122 Y129 AC129 Y147 AC147 Y154 AC154 Y161 AC161 Y168 AC168 Y175 AC175 Y182 AC182 Y189 AC189 Y196 AC196 Y203 AC203 Y210 AC210 Y229 AC229 Y236 AC236 Y243 AC243 Y250 AC250 Y257 AC257 Y264 AC264 Y271 AC271 Y278 AC278 Y285 AC285 Y292 AC292 Y299 AC299 Y306 AC306 Y313 AC313 Y320 AC320 Y327 AC327 Y473 AC473 Y480 AC480 Y487 AC487 Y347 AC347 Y354 AC354 Y361 AC361 Y431 AC431 Y438 AC438 Y445 AC445 Y410 AC410 Y417 AC417 Y424 AC424 Y389 AC389 Y396 AC396 Y403 AC403 Y368 AC368 Y375 AC375 Y382 AC382 Y452 AC452 Y459 AC459 Y466 AC466 Y683 AC683 Y690 AC690 Y697 AC697 Y648 AC648 Y655 AC655 Y662 AC662 Y669 AC669 Y620 AC620 Y627 AC627 Y634 AC634 Y641 AC641 Y592 AC592 Y599 AC599 Y606 AC606 Y613 AC613 Y564 AC564 Y571 AC571 Y578 AC578 Y585 AC585 Y536 AC536 Y543 AC543 Y550 AC550 Y557 AC557 Y508 AC508 AC42 Y42 Y49 AC49 AC26 Y26" xr:uid="{00000000-0002-0000-1400-0000B1000000}">
      <formula1>OFFSET(Liste_Equipes,MATCH(Y11,Liste_Equipes,0)-1,1,1,OFFSET(Liste_Nb_Equipiers,MATCH(Y11,Liste_Equipes,0)-1,0,1,1))</formula1>
    </dataValidation>
    <dataValidation type="list" allowBlank="1" showInputMessage="1" showErrorMessage="1" sqref="BF334" xr:uid="{00000000-0002-0000-1400-0000B2000000}">
      <formula1>OFFSET(Liste_Equipes,MATCH(BF218,Liste_Equipes,0)-1,1,1,OFFSET(Liste_Nb_Equipiers,MATCH(BF218,Liste_Equipes,0)-1,0,1,1))</formula1>
    </dataValidation>
    <dataValidation type="list" allowBlank="1" showInputMessage="1" showErrorMessage="1" errorTitle="Erreur de saisie" error="Vous devez tapez un nombre entier entre 0 et 100" sqref="AB694:AB695 AB30:AB31 Z30:Z31 AB16:AB17 Z16:Z17 AB23:AB24 AB60:AB61 Z60:Z61 AB46:AB47 Z46:Z47 AB53:AB54 Z53:Z54 Z23:Z24 AB81:AB82 Z81:Z82 AB67:AB68 Z67:Z68 AB74:AB75 Z74:Z75 Z303:Z304 AB303:AB304 Z296:Z297 AB296:AB297 Z310:Z311 AB310:AB311 Z282:Z283 AB282:AB283 Z275:Z276 AB275:AB276 Z289:Z290 AB289:AB290 Z261:Z262 AB261:AB262 Z254:Z255 AB254:AB255 Z268:Z269 AB268:AB269 Z358:Z359 AB358:AB359 Z351:Z352 AB351:AB352 Z365:Z366 AB365:AB366 Z126:Z127 AB126:AB127 Z119:Z120 Z158:Z159 AB158:AB159 Z151:Z152 AB151:AB152 Z165:Z166 AB119:AB120 Z133:Z134 AB133:AB134 Z105:Z106 AB105:AB106 Z98:Z99 AB98:AB99 Z112:Z113 AB112:AB113 Z240:Z241 AB240:AB241 Z233:Z234 AB233:AB234 Z247:Z248 AB247:AB248 Z186:Z187 AB186:AB187 Z179:Z180 AB179:AB180 Z172:Z173 AB172:AB173 Z207:Z208 AB207:AB208 Z200:Z201 AB200:AB201 Z214:Z215 AB214:AB215 AB165:AB166 Z193:Z194 AB193:AB194 Z701:Z702 AB701:AB702 Z379:Z380 AB379:AB380 Z372:Z373 AB372:AB373 Z386:Z387 AB386:AB387 Z400:Z401 AB400:AB401 Z393:Z394 AB393:AB394 Z407:Z408 AB407:AB408 Z421:Z422 AB421:AB422 Z414:Z415 AB414:AB415 Z428:Z429 AB428:AB429 Z442:Z443 AB442:AB443 Z435:Z436 AB435:AB436 Z449:Z450 AB449:AB450 Z463:Z464 AB463:AB464 Z456:Z457 AB456:AB457 Z470:Z471 AB470:AB471 Z484:Z485 AB484:AB485 Z477:Z478 AB477:AB478 Z491:Z492 AB491:AB492 Z526:Z527 AB526:AB527 Z512:Z513 AB512:AB513 Z519:Z520 AB519:AB520 Z547:Z548 AB547:AB548 Z533:Z534 AB533:AB534 Z540:Z541 AB540:AB541 Z568:Z569 AB568:AB569 Z554:Z555 AB554:AB555 Z561:Z562 AB561:AB562 Z610:Z611 AB610:AB611 Z596:Z597 AB596:AB597 Z603:Z604 AB603:AB604 Z617:Z618 AB617:AB618 Z589:Z590 AB589:AB590 Z575:Z576 AB575:AB576 Z582:Z583 AB582:AB583 Z638:Z639 AB638:AB639 Z624:Z625 AB624:AB625 Z631:Z632 AB631:AB632 Z659:Z660 AB659:AB660 Z645:Z646 AB645:AB646 Z652:Z653 AB652:AB653 Z680:Z681 AB680:AB681 Z666:Z667 AB666:AB667 Z673:Z674 AB673:AB674 Z324:Z325 AB324:AB325 Z317:Z318 AB317:AB318 Z331:Z332 AB331:AB332 Z687:Z688 AB687:AB688 Z694:Z695" xr:uid="{00000000-0002-0000-1400-0000B3000000}">
      <formula1>"M1,M2,M3,M4"</formula1>
    </dataValidation>
    <dataValidation type="whole" allowBlank="1" showInputMessage="1" showErrorMessage="1" errorTitle="Erreur de saisie" error="Vous devez tapez un nombre entier entre 0 et 100" sqref="Z689:Z693 Z25:Z29 Z11:Z15 AB11:AB15 Z18:Z22 AB41:AB45 AB55:AB59 AB25:AB29 Z55:Z59 AB48:AB52 Z41:Z45 Z48:Z52 AB18:AB22 Z62:Z66 AB62:AB66 AB76:AB80 Z76:Z80 AB69:AB73 Z69:Z73 Z319:Z323 Z298:Z302 AB298:AB302 Z305:Z309 AB305:AB309 AB291:AB295 Z277:Z281 AB277:AB281 Z284:Z288 AB284:AB288 AB270:AB274 Z270:Z274 Z256:Z260 AB256:AB260 Z263:Z267 AB263:AB267 AB249:AB253 Z249:Z253 Z353:Z357 AB353:AB357 Z360:Z364 AB360:AB364 AB346:AB350 Z346:Z350 Z153:Z157 Z121:Z125 AB153:AB157 AB121:AB125 Z128:Z132 AB128:AB132 AB114:AB118 Z160:Z164 Z114:Z118 AB160:AB164 AB146:AB150 Z146:Z150 Z100:Z104 AB100:AB104 Z107:Z111 AB107:AB111 AB93:AB97 Z93:Z97 Z235:Z239 AB235:AB239 Z242:Z246 AB242:AB246 AB228:AB232 Z228:Z232 Z181:Z185 Z167:Z171 AB181:AB185 Z188:Z192 AB188:AB192 AB174:AB178 Z202:Z206 AB202:AB206 Z209:Z213 AB209:AB213 AB195:AB199 Z195:Z199 Z174:Z178 AB167:AB171 Z696:Z700 AB696:AB700 Z675:Z679 Z374:Z378 AB374:AB378 Z381:Z385 AB381:AB385 AB367:AB371 Z367:Z371 Z395:Z399 AB395:AB399 Z402:Z406 AB402:AB406 AB388:AB392 Z388:Z392 Z416:Z420 AB416:AB420 Z423:Z427 AB423:AB427 AB409:AB413 Z409:Z413 Z437:Z441 AB437:AB441 Z444:Z448 AB444:AB448 AB430:AB434 Z430:Z434 Z458:Z462 AB458:AB462 Z465:Z469 AB465:AB469 AB451:AB455 Z451:Z455 Z479:Z483 AB479:AB483 Z486:Z490 AB486:AB490 AB472:AB476 Z472:Z476 Z521:Z525 AB521:AB525 Z507:Z511 AB507:AB511 Z542:Z546 AB542:AB546 Z528:Z532 AB528:AB532 AB535:AB539 Z535:Z539 Z563:Z567 AB563:AB567 AB514:AB518 Z514:Z518 Z549:Z553 AB549:AB553 AB556:AB560 Z556:Z560 Z605:Z609 AB605:AB609 Z591:Z595 AB591:AB595 AB598:AB602 Z598:Z602 Z612:Z616 AB612:AB616 Z584:Z588 AB584:AB588 Z570:Z574 AB570:AB574 AB577:AB581 Z577:Z581 Z633:Z637 AB633:AB637 Z619:Z623 AB619:AB623 AB626:AB630 Z626:Z630 Z654:Z658 AB654:AB658 Z640:Z644 AB640:AB644 AB647:AB651 Z647:Z651 AB675:AB679 Z661:Z665 AB661:AB665 AB668:AB672 Z668:Z672 AB319:AB323 Z326:Z330 AB326:AB330 AB312:AB316 Z312:Z316 Z291:Z295 Z682:Z686 AB682:AB686 AB689:AB693" xr:uid="{00000000-0002-0000-1400-0000B4000000}">
      <formula1>0</formula1>
      <formula2>100</formula2>
    </dataValidation>
    <dataValidation type="list" allowBlank="1" showInputMessage="1" showErrorMessage="1" sqref="G221:G226 G140:G144 G498:G505 G338:G344 G88:G91" xr:uid="{00000000-0002-0000-1400-0000B5000000}">
      <formula1>OFFSET(ListOfTeams,0,0,NbOfTeams)</formula1>
    </dataValidation>
    <dataValidation type="list" allowBlank="1" showInputMessage="1" sqref="G7:G9 G37:G39" xr:uid="{00000000-0002-0000-1400-0000B6000000}">
      <formula1>OFFSET(ListOfTeams,0,0,NbOfTeams)</formula1>
    </dataValidation>
  </dataValidations>
  <pageMargins left="0.78740157499999996" right="0.78740157499999996" top="0.984251969" bottom="0.984251969" header="0.4921259845" footer="0.4921259845"/>
  <pageSetup paperSize="9" scale="46" orientation="portrait" r:id="rId2"/>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t_FDLIndividuals">
    <tabColor theme="0" tint="-0.249977111117893"/>
    <outlinePr summaryBelow="0" summaryRight="0"/>
    <pageSetUpPr fitToPage="1"/>
  </sheetPr>
  <dimension ref="A1:BN324"/>
  <sheetViews>
    <sheetView showGridLines="0" workbookViewId="0">
      <selection activeCell="G318" sqref="G318"/>
    </sheetView>
  </sheetViews>
  <sheetFormatPr baseColWidth="10" defaultColWidth="3.7109375" defaultRowHeight="12.75" outlineLevelRow="1" outlineLevelCol="1" x14ac:dyDescent="0.2"/>
  <cols>
    <col min="1" max="1" width="3.28515625" style="7" customWidth="1"/>
    <col min="2" max="2" width="2.85546875" style="7" customWidth="1"/>
    <col min="3" max="6" width="2.85546875" style="7" hidden="1" customWidth="1"/>
    <col min="7" max="7" width="20.5703125" style="7" customWidth="1"/>
    <col min="8" max="8" width="2.85546875" style="7" customWidth="1"/>
    <col min="9" max="9" width="12.140625" style="7" customWidth="1"/>
    <col min="10" max="14" width="2.85546875" style="7" customWidth="1"/>
    <col min="15" max="17" width="2.28515625" style="7" customWidth="1"/>
    <col min="18" max="18" width="3.85546875" style="7" bestFit="1" customWidth="1" collapsed="1"/>
    <col min="19" max="19" width="5" style="7" hidden="1" customWidth="1" outlineLevel="1"/>
    <col min="20" max="20" width="5.28515625" style="7" hidden="1" customWidth="1" outlineLevel="1"/>
    <col min="21" max="21" width="8" style="7" hidden="1" customWidth="1" outlineLevel="1"/>
    <col min="22" max="22" width="17.140625" style="7" customWidth="1"/>
    <col min="23" max="23" width="3.7109375" style="7" customWidth="1"/>
    <col min="24" max="24" width="1.5703125" style="7" bestFit="1" customWidth="1"/>
    <col min="25" max="25" width="3.7109375" style="7" customWidth="1"/>
    <col min="26" max="26" width="19" style="7" customWidth="1"/>
    <col min="27" max="28" width="3.7109375" style="7" customWidth="1"/>
    <col min="29" max="29" width="1.5703125" style="7" bestFit="1" customWidth="1"/>
    <col min="30" max="30" width="3.7109375" style="7" customWidth="1"/>
    <col min="31" max="37" width="2.5703125" style="7" hidden="1" customWidth="1"/>
    <col min="38" max="38" width="2.5703125" style="7" customWidth="1"/>
    <col min="39" max="39" width="3.5703125" style="7" customWidth="1"/>
    <col min="40" max="16384" width="3.7109375" style="7"/>
  </cols>
  <sheetData>
    <row r="1" spans="1:66" ht="13.5" thickBot="1" x14ac:dyDescent="0.25">
      <c r="A1"/>
      <c r="B1"/>
      <c r="C1"/>
      <c r="D1"/>
      <c r="E1"/>
      <c r="F1"/>
      <c r="G1" s="1" t="str">
        <f>N_Event_Type</f>
        <v>Type de l'épreuve</v>
      </c>
      <c r="H1"/>
      <c r="I1"/>
      <c r="J1"/>
      <c r="K1"/>
      <c r="L1"/>
      <c r="M1"/>
      <c r="N1"/>
      <c r="O1"/>
      <c r="P1"/>
      <c r="Q1"/>
      <c r="R1" s="333"/>
      <c r="S1"/>
      <c r="T1"/>
      <c r="U1"/>
      <c r="V1"/>
      <c r="W1"/>
      <c r="X1"/>
      <c r="Y1"/>
      <c r="Z1"/>
      <c r="AA1"/>
      <c r="AB1"/>
      <c r="AC1"/>
      <c r="AD1"/>
      <c r="AE1"/>
      <c r="AF1"/>
      <c r="AG1"/>
      <c r="AH1"/>
      <c r="AI1"/>
      <c r="AJ1"/>
      <c r="AK1"/>
      <c r="AM1"/>
      <c r="AN1" s="1397"/>
      <c r="AO1" s="1397"/>
      <c r="AP1" s="1397"/>
      <c r="AQ1" s="1397"/>
      <c r="AR1" s="1397"/>
      <c r="AS1" s="1397"/>
      <c r="AT1" s="1397"/>
      <c r="AU1" s="1397"/>
      <c r="AV1" s="1397"/>
      <c r="AW1" s="1397"/>
      <c r="AX1" s="1397"/>
      <c r="AY1" s="1397"/>
      <c r="AZ1" s="1397"/>
      <c r="BA1" s="1397"/>
      <c r="BB1" s="1397"/>
      <c r="BC1" s="1397"/>
      <c r="BD1" s="1397"/>
      <c r="BE1" s="1397"/>
      <c r="BF1" s="1397"/>
      <c r="BG1" s="1397"/>
      <c r="BH1" s="1397"/>
      <c r="BI1" s="1397"/>
      <c r="BJ1" s="1397"/>
      <c r="BK1" s="1397"/>
      <c r="BL1" s="1397"/>
      <c r="BM1" s="1397"/>
      <c r="BN1" s="1397"/>
    </row>
    <row r="2" spans="1:66" ht="13.5" thickBot="1" x14ac:dyDescent="0.25">
      <c r="A2" s="267"/>
      <c r="B2" s="267"/>
      <c r="C2" s="401"/>
      <c r="D2" s="267"/>
      <c r="E2" s="267"/>
      <c r="F2" s="267"/>
      <c r="G2" s="322" t="str">
        <f>Event1</f>
        <v>Open</v>
      </c>
      <c r="H2" s="267"/>
      <c r="I2" s="267"/>
      <c r="J2" s="267"/>
      <c r="K2" s="267"/>
      <c r="L2" s="267"/>
      <c r="M2" s="267"/>
      <c r="N2" s="267"/>
      <c r="O2" s="267"/>
      <c r="P2" s="267"/>
      <c r="Q2" s="267"/>
      <c r="R2" s="334"/>
      <c r="S2" s="267"/>
      <c r="T2" s="267"/>
      <c r="U2" s="267"/>
      <c r="V2" s="267"/>
      <c r="W2" s="267"/>
      <c r="X2" s="1"/>
      <c r="Y2" s="16"/>
      <c r="Z2"/>
      <c r="AA2" s="267"/>
      <c r="AB2" s="267"/>
      <c r="AC2" s="267"/>
      <c r="AD2" s="267"/>
      <c r="AE2" s="267"/>
      <c r="AF2" s="267"/>
      <c r="AG2" s="267"/>
      <c r="AH2" s="267"/>
      <c r="AI2" s="267"/>
      <c r="AJ2" s="267"/>
      <c r="AK2" s="267"/>
      <c r="AM2" s="267"/>
      <c r="AN2" s="1397"/>
      <c r="AO2" s="1397"/>
      <c r="AP2" s="1397"/>
      <c r="AQ2" s="1397"/>
      <c r="AR2" s="1397"/>
      <c r="AS2" s="1397"/>
      <c r="AT2" s="1397"/>
      <c r="AU2" s="1397"/>
      <c r="AV2" s="1397"/>
      <c r="AW2" s="1397"/>
      <c r="AX2" s="1397"/>
      <c r="AY2" s="1397"/>
      <c r="AZ2" s="1397"/>
      <c r="BA2" s="1397"/>
      <c r="BB2" s="1397"/>
      <c r="BC2" s="1397"/>
      <c r="BD2" s="1397"/>
      <c r="BE2" s="1397"/>
      <c r="BF2" s="1397"/>
      <c r="BG2" s="1397"/>
      <c r="BH2" s="1397"/>
      <c r="BI2" s="1397"/>
      <c r="BJ2" s="1397"/>
      <c r="BK2" s="1397"/>
      <c r="BL2" s="1397"/>
      <c r="BM2" s="1397"/>
      <c r="BN2" s="1397"/>
    </row>
    <row r="3" spans="1:66" ht="13.5" thickBot="1" x14ac:dyDescent="0.25">
      <c r="A3" s="267"/>
      <c r="B3" s="267"/>
      <c r="C3" s="267"/>
      <c r="D3" s="267"/>
      <c r="E3" s="267"/>
      <c r="F3" s="267"/>
      <c r="G3" s="1"/>
      <c r="H3" s="267"/>
      <c r="I3" s="267"/>
      <c r="J3" s="267"/>
      <c r="K3" s="267"/>
      <c r="L3" s="267"/>
      <c r="M3" s="267"/>
      <c r="N3" s="267"/>
      <c r="O3" s="267"/>
      <c r="P3" s="267"/>
      <c r="Q3" s="267"/>
      <c r="R3" s="334"/>
      <c r="S3" s="267"/>
      <c r="T3" s="267"/>
      <c r="U3" s="267"/>
      <c r="V3" s="267"/>
      <c r="W3" s="267"/>
      <c r="X3" s="267"/>
      <c r="Y3" s="267"/>
      <c r="Z3" s="267"/>
      <c r="AA3" s="267"/>
      <c r="AB3" s="267"/>
      <c r="AC3" s="267"/>
      <c r="AD3" s="267"/>
      <c r="AE3" s="267"/>
      <c r="AF3" s="267"/>
      <c r="AG3" s="267"/>
      <c r="AH3" s="267"/>
      <c r="AI3" s="267"/>
      <c r="AJ3" s="267"/>
      <c r="AK3" s="267"/>
      <c r="AM3" s="267"/>
      <c r="AN3" s="1397"/>
      <c r="AO3" s="1397"/>
      <c r="AP3" s="1397"/>
      <c r="AQ3" s="1397"/>
      <c r="AR3" s="1397"/>
      <c r="AS3" s="1397"/>
      <c r="AT3" s="1397"/>
      <c r="AU3" s="1397"/>
      <c r="AV3" s="1397"/>
      <c r="AW3" s="1397"/>
      <c r="AX3" s="1397"/>
      <c r="AY3" s="1397"/>
      <c r="AZ3" s="1397"/>
      <c r="BA3" s="1397"/>
      <c r="BB3" s="1397"/>
      <c r="BC3" s="1397"/>
      <c r="BD3" s="1397"/>
      <c r="BE3" s="1397"/>
      <c r="BF3" s="1397"/>
      <c r="BG3" s="1397"/>
      <c r="BH3" s="1397"/>
      <c r="BI3" s="1397"/>
      <c r="BJ3" s="1397"/>
      <c r="BK3" s="1397"/>
      <c r="BL3" s="1397"/>
      <c r="BM3" s="1397"/>
      <c r="BN3" s="1397"/>
    </row>
    <row r="4" spans="1:66" ht="13.5" collapsed="1" thickBot="1" x14ac:dyDescent="0.25">
      <c r="A4" s="267"/>
      <c r="B4" s="2358" t="str">
        <f>N_BARRAGES</f>
        <v>BARRAGES</v>
      </c>
      <c r="C4" s="2359"/>
      <c r="D4" s="2359"/>
      <c r="E4" s="2359"/>
      <c r="F4" s="2359"/>
      <c r="G4" s="2359"/>
      <c r="H4" s="2359"/>
      <c r="I4" s="2359"/>
      <c r="J4" s="2359"/>
      <c r="K4" s="2359"/>
      <c r="L4" s="2359"/>
      <c r="M4" s="2359"/>
      <c r="N4" s="2359"/>
      <c r="O4" s="2359"/>
      <c r="P4" s="2359"/>
      <c r="Q4" s="2359"/>
      <c r="R4" s="2359"/>
      <c r="S4" s="2359"/>
      <c r="T4" s="2359"/>
      <c r="U4" s="2359"/>
      <c r="V4" s="2359"/>
      <c r="W4" s="2359"/>
      <c r="X4" s="2359"/>
      <c r="Y4" s="2359"/>
      <c r="Z4" s="2359"/>
      <c r="AA4" s="2359"/>
      <c r="AB4" s="2359"/>
      <c r="AC4" s="2359"/>
      <c r="AD4" s="2359"/>
      <c r="AE4" s="2359"/>
      <c r="AF4" s="2359"/>
      <c r="AG4" s="2359"/>
      <c r="AH4" s="2359"/>
      <c r="AI4" s="2359"/>
      <c r="AJ4" s="2359"/>
      <c r="AK4" s="2359"/>
      <c r="AL4" s="2360"/>
      <c r="AM4" s="267"/>
      <c r="AN4" s="1397"/>
      <c r="AO4" s="1397"/>
      <c r="AP4" s="1397"/>
      <c r="AQ4" s="1397"/>
      <c r="AR4" s="1397"/>
      <c r="AS4" s="1397"/>
      <c r="AT4" s="1397"/>
      <c r="AU4" s="1397"/>
      <c r="AV4" s="1397"/>
      <c r="AW4" s="1397"/>
      <c r="AX4" s="1397"/>
      <c r="AY4" s="1397"/>
      <c r="AZ4" s="1397"/>
      <c r="BA4" s="1397"/>
      <c r="BB4" s="1397"/>
      <c r="BC4" s="1397"/>
      <c r="BD4" s="1397"/>
      <c r="BE4" s="1397"/>
      <c r="BF4" s="1397"/>
      <c r="BG4" s="1397"/>
      <c r="BH4" s="1397"/>
      <c r="BI4" s="1397"/>
      <c r="BJ4" s="1397"/>
      <c r="BK4" s="1397"/>
      <c r="BL4" s="1397"/>
      <c r="BM4" s="1397"/>
      <c r="BN4" s="1397"/>
    </row>
    <row r="5" spans="1:66" ht="13.5" hidden="1" outlineLevel="1" thickBot="1" x14ac:dyDescent="0.25">
      <c r="A5" s="267"/>
      <c r="B5" s="267"/>
      <c r="C5" s="267"/>
      <c r="D5" s="267"/>
      <c r="E5" s="267"/>
      <c r="F5" s="267"/>
      <c r="G5" s="358" t="str">
        <f>N_Qualifiés</f>
        <v>Qualifiés</v>
      </c>
      <c r="H5" s="267"/>
      <c r="I5" s="2093" t="str">
        <f>N_Disqualified</f>
        <v>Disqualifiés</v>
      </c>
      <c r="J5" s="267"/>
      <c r="K5" s="267"/>
      <c r="L5" s="267"/>
      <c r="M5" s="267"/>
      <c r="N5" s="267"/>
      <c r="O5" s="267"/>
      <c r="P5" s="267"/>
      <c r="Q5" s="267"/>
      <c r="R5" s="334"/>
      <c r="S5" s="324" t="str">
        <f>N_Heure</f>
        <v>Heure</v>
      </c>
      <c r="T5" s="324" t="str">
        <f>N_Table</f>
        <v>Table</v>
      </c>
      <c r="U5" s="324" t="str">
        <f>N_Arbitre</f>
        <v>Arbitre</v>
      </c>
      <c r="V5" s="304"/>
      <c r="W5" s="2364" t="str">
        <f>N_Scores</f>
        <v>Scores</v>
      </c>
      <c r="X5" s="2365"/>
      <c r="Y5" s="2366"/>
      <c r="Z5" s="305"/>
      <c r="AA5" s="358" t="str">
        <f>N_MS</f>
        <v>MS</v>
      </c>
      <c r="AB5" s="2367" t="str">
        <f>N_Diff</f>
        <v>Diff</v>
      </c>
      <c r="AC5" s="2368"/>
      <c r="AD5" s="2369"/>
      <c r="AE5" s="267"/>
      <c r="AF5" s="267"/>
      <c r="AG5" s="267"/>
      <c r="AH5" s="267"/>
      <c r="AI5" s="267"/>
      <c r="AJ5" s="267"/>
      <c r="AK5" s="267"/>
      <c r="AM5" s="267"/>
      <c r="AN5" s="1397"/>
      <c r="AO5" s="1397"/>
      <c r="AP5" s="1397"/>
      <c r="AQ5" s="1397"/>
      <c r="AR5" s="1397"/>
      <c r="AS5" s="1397"/>
      <c r="AT5" s="1397"/>
      <c r="AU5" s="1397"/>
      <c r="AV5" s="1397"/>
      <c r="AW5" s="1397"/>
      <c r="AX5" s="1397"/>
      <c r="AY5" s="1397"/>
      <c r="AZ5" s="1397"/>
      <c r="BA5" s="1397"/>
      <c r="BB5" s="1397"/>
      <c r="BC5" s="1397"/>
      <c r="BD5" s="1397"/>
      <c r="BE5" s="1397"/>
      <c r="BF5" s="1397"/>
      <c r="BG5" s="1397"/>
      <c r="BH5" s="1397"/>
      <c r="BI5" s="1397"/>
      <c r="BJ5" s="1397"/>
      <c r="BK5" s="1397"/>
      <c r="BL5" s="1397"/>
      <c r="BM5" s="1397"/>
      <c r="BN5" s="1397"/>
    </row>
    <row r="6" spans="1:66" ht="13.5" hidden="1" outlineLevel="1" thickBot="1" x14ac:dyDescent="0.25">
      <c r="A6" s="589"/>
      <c r="B6" s="589"/>
      <c r="C6" s="589"/>
      <c r="D6" s="589"/>
      <c r="E6" s="589"/>
      <c r="F6" s="589"/>
      <c r="G6" s="604" t="str">
        <f t="shared" ref="G6:G17" si="0">IF(W6="",IF(OR(HidePlayerFormulas,V6=""),"","("&amp;V6&amp;"-"&amp;Z6&amp;")"),IF(W6&gt;Y6,V6,IF(Y6&gt;W6,Z6,IF(AB6&gt;AD6,V6,IF(AD6&gt;AB6,Z6,mess_erreur_marque)))))</f>
        <v/>
      </c>
      <c r="H6" s="589"/>
      <c r="I6" s="2094" t="str">
        <f t="shared" ref="I6:I17" si="1">IF(G6="","",IF(G6=V6,Z6,V6))</f>
        <v/>
      </c>
      <c r="K6" s="589"/>
      <c r="L6" s="589"/>
      <c r="M6" s="589"/>
      <c r="N6" s="589"/>
      <c r="O6" s="589"/>
      <c r="P6" s="589"/>
      <c r="Q6" s="589"/>
      <c r="R6" s="558" t="s">
        <v>1720</v>
      </c>
      <c r="S6" s="590"/>
      <c r="T6" s="591"/>
      <c r="U6" s="592"/>
      <c r="V6" s="605"/>
      <c r="W6" s="593"/>
      <c r="X6" s="594" t="s">
        <v>769</v>
      </c>
      <c r="Y6" s="595"/>
      <c r="Z6" s="605"/>
      <c r="AA6" s="596"/>
      <c r="AB6" s="597"/>
      <c r="AC6" s="594" t="s">
        <v>769</v>
      </c>
      <c r="AD6" s="595"/>
      <c r="AE6" s="589"/>
      <c r="AF6" s="589"/>
      <c r="AG6" s="589"/>
      <c r="AH6" s="589"/>
      <c r="AI6" s="589"/>
      <c r="AJ6" s="589"/>
      <c r="AK6" s="589"/>
      <c r="AL6" s="575"/>
      <c r="AM6" s="589"/>
      <c r="AN6" s="1397"/>
      <c r="AO6" s="1397"/>
      <c r="AP6" s="1397"/>
      <c r="AQ6" s="1397"/>
      <c r="AR6" s="1397"/>
      <c r="AS6" s="1397"/>
      <c r="AT6" s="1397"/>
      <c r="AU6" s="1397"/>
      <c r="AV6" s="1397"/>
      <c r="AW6" s="1397"/>
      <c r="AX6" s="1397"/>
      <c r="AY6" s="1397"/>
      <c r="AZ6" s="1397"/>
      <c r="BA6" s="1397"/>
      <c r="BB6" s="1397"/>
      <c r="BC6" s="1397"/>
      <c r="BD6" s="1397"/>
      <c r="BE6" s="1397"/>
      <c r="BF6" s="1397"/>
      <c r="BG6" s="1397"/>
      <c r="BH6" s="1397"/>
      <c r="BI6" s="1397"/>
      <c r="BJ6" s="1397"/>
      <c r="BK6" s="1397"/>
      <c r="BL6" s="1397"/>
      <c r="BM6" s="1397"/>
      <c r="BN6" s="1397"/>
    </row>
    <row r="7" spans="1:66" ht="13.5" hidden="1" outlineLevel="1" thickBot="1" x14ac:dyDescent="0.25">
      <c r="A7" s="589"/>
      <c r="B7" s="589"/>
      <c r="C7" s="589"/>
      <c r="D7" s="589"/>
      <c r="E7" s="589"/>
      <c r="F7" s="589"/>
      <c r="G7" s="604" t="str">
        <f t="shared" si="0"/>
        <v/>
      </c>
      <c r="H7" s="589"/>
      <c r="I7" s="2094" t="str">
        <f t="shared" si="1"/>
        <v/>
      </c>
      <c r="K7" s="589"/>
      <c r="L7" s="589"/>
      <c r="M7" s="589"/>
      <c r="N7" s="589"/>
      <c r="O7" s="589"/>
      <c r="P7" s="589"/>
      <c r="Q7" s="589"/>
      <c r="R7" s="558" t="s">
        <v>1720</v>
      </c>
      <c r="S7" s="590"/>
      <c r="T7" s="591"/>
      <c r="U7" s="592"/>
      <c r="V7" s="605"/>
      <c r="W7" s="593"/>
      <c r="X7" s="594" t="s">
        <v>769</v>
      </c>
      <c r="Y7" s="595"/>
      <c r="Z7" s="605"/>
      <c r="AA7" s="596"/>
      <c r="AB7" s="597"/>
      <c r="AC7" s="594" t="s">
        <v>769</v>
      </c>
      <c r="AD7" s="595"/>
      <c r="AE7" s="589"/>
      <c r="AF7" s="589"/>
      <c r="AG7" s="589"/>
      <c r="AH7" s="589"/>
      <c r="AI7" s="589"/>
      <c r="AJ7" s="589"/>
      <c r="AK7" s="589"/>
      <c r="AL7" s="575"/>
      <c r="AM7" s="589"/>
      <c r="AN7" s="1397"/>
      <c r="AO7" s="1397"/>
      <c r="AP7" s="1397"/>
      <c r="AQ7" s="1397"/>
      <c r="AR7" s="1397"/>
      <c r="AS7" s="1397"/>
      <c r="AT7" s="1397"/>
      <c r="AU7" s="1397"/>
      <c r="AV7" s="1397"/>
      <c r="AW7" s="1397"/>
      <c r="AX7" s="1397"/>
      <c r="AY7" s="1397"/>
      <c r="AZ7" s="1397"/>
      <c r="BA7" s="1397"/>
      <c r="BB7" s="1397"/>
      <c r="BC7" s="1397"/>
      <c r="BD7" s="1397"/>
      <c r="BE7" s="1397"/>
      <c r="BF7" s="1397"/>
      <c r="BG7" s="1397"/>
      <c r="BH7" s="1397"/>
      <c r="BI7" s="1397"/>
      <c r="BJ7" s="1397"/>
      <c r="BK7" s="1397"/>
      <c r="BL7" s="1397"/>
      <c r="BM7" s="1397"/>
      <c r="BN7" s="1397"/>
    </row>
    <row r="8" spans="1:66" ht="13.5" hidden="1" outlineLevel="1" thickBot="1" x14ac:dyDescent="0.25">
      <c r="A8" s="589"/>
      <c r="B8" s="589"/>
      <c r="C8" s="589"/>
      <c r="D8" s="589"/>
      <c r="E8" s="589"/>
      <c r="F8" s="589"/>
      <c r="G8" s="604" t="str">
        <f t="shared" si="0"/>
        <v/>
      </c>
      <c r="H8" s="589"/>
      <c r="I8" s="2094" t="str">
        <f t="shared" si="1"/>
        <v/>
      </c>
      <c r="K8" s="589"/>
      <c r="L8" s="589"/>
      <c r="M8" s="589"/>
      <c r="N8" s="589"/>
      <c r="O8" s="589"/>
      <c r="P8" s="589"/>
      <c r="Q8" s="589"/>
      <c r="R8" s="558" t="s">
        <v>1720</v>
      </c>
      <c r="S8" s="590"/>
      <c r="T8" s="591"/>
      <c r="U8" s="592"/>
      <c r="V8" s="605"/>
      <c r="W8" s="593"/>
      <c r="X8" s="594" t="s">
        <v>769</v>
      </c>
      <c r="Y8" s="595"/>
      <c r="Z8" s="605" t="s">
        <v>898</v>
      </c>
      <c r="AA8" s="596"/>
      <c r="AB8" s="597"/>
      <c r="AC8" s="594" t="s">
        <v>769</v>
      </c>
      <c r="AD8" s="595"/>
      <c r="AE8" s="589"/>
      <c r="AF8" s="589"/>
      <c r="AG8" s="589"/>
      <c r="AH8" s="589"/>
      <c r="AI8" s="589"/>
      <c r="AJ8" s="589"/>
      <c r="AK8" s="589"/>
      <c r="AL8" s="575"/>
      <c r="AM8" s="589"/>
      <c r="AN8" s="1397"/>
      <c r="AO8" s="1397"/>
      <c r="AP8" s="1397"/>
      <c r="AQ8" s="1397"/>
      <c r="AR8" s="1397"/>
      <c r="AS8" s="1397"/>
      <c r="AT8" s="1397"/>
      <c r="AU8" s="1397"/>
      <c r="AV8" s="1397"/>
      <c r="AW8" s="1397"/>
      <c r="AX8" s="1397"/>
      <c r="AY8" s="1397"/>
      <c r="AZ8" s="1397"/>
      <c r="BA8" s="1397"/>
      <c r="BB8" s="1397"/>
      <c r="BC8" s="1397"/>
      <c r="BD8" s="1397"/>
      <c r="BE8" s="1397"/>
      <c r="BF8" s="1397"/>
      <c r="BG8" s="1397"/>
      <c r="BH8" s="1397"/>
      <c r="BI8" s="1397"/>
      <c r="BJ8" s="1397"/>
      <c r="BK8" s="1397"/>
      <c r="BL8" s="1397"/>
      <c r="BM8" s="1397"/>
      <c r="BN8" s="1397"/>
    </row>
    <row r="9" spans="1:66" ht="13.5" hidden="1" outlineLevel="1" thickBot="1" x14ac:dyDescent="0.25">
      <c r="A9" s="589"/>
      <c r="B9" s="589"/>
      <c r="C9" s="589"/>
      <c r="D9" s="589"/>
      <c r="E9" s="589"/>
      <c r="F9" s="589"/>
      <c r="G9" s="604" t="str">
        <f t="shared" si="0"/>
        <v/>
      </c>
      <c r="H9" s="589"/>
      <c r="I9" s="2094" t="str">
        <f t="shared" si="1"/>
        <v/>
      </c>
      <c r="K9" s="589"/>
      <c r="L9" s="589"/>
      <c r="M9" s="589"/>
      <c r="N9" s="589"/>
      <c r="O9" s="589"/>
      <c r="P9" s="589"/>
      <c r="Q9" s="589"/>
      <c r="R9" s="558" t="s">
        <v>1720</v>
      </c>
      <c r="S9" s="590"/>
      <c r="T9" s="591"/>
      <c r="U9" s="592"/>
      <c r="V9" s="605"/>
      <c r="W9" s="593"/>
      <c r="X9" s="594" t="s">
        <v>769</v>
      </c>
      <c r="Y9" s="595"/>
      <c r="Z9" s="605"/>
      <c r="AA9" s="596"/>
      <c r="AB9" s="597"/>
      <c r="AC9" s="594" t="s">
        <v>769</v>
      </c>
      <c r="AD9" s="595"/>
      <c r="AE9" s="589"/>
      <c r="AF9" s="589"/>
      <c r="AG9" s="589"/>
      <c r="AH9" s="589"/>
      <c r="AI9" s="589"/>
      <c r="AJ9" s="589"/>
      <c r="AK9" s="589"/>
      <c r="AL9" s="575"/>
      <c r="AM9" s="589"/>
      <c r="AN9" s="1397"/>
      <c r="AO9" s="1397"/>
      <c r="AP9" s="1397"/>
      <c r="AQ9" s="1397"/>
      <c r="AR9" s="1397"/>
      <c r="AS9" s="1397"/>
      <c r="AT9" s="1397"/>
      <c r="AU9" s="1397"/>
      <c r="AV9" s="1397"/>
      <c r="AW9" s="1397"/>
      <c r="AX9" s="1397"/>
      <c r="AY9" s="1397"/>
      <c r="AZ9" s="1397"/>
      <c r="BA9" s="1397"/>
      <c r="BB9" s="1397"/>
      <c r="BC9" s="1397"/>
      <c r="BD9" s="1397"/>
      <c r="BE9" s="1397"/>
      <c r="BF9" s="1397"/>
      <c r="BG9" s="1397"/>
      <c r="BH9" s="1397"/>
      <c r="BI9" s="1397"/>
      <c r="BJ9" s="1397"/>
      <c r="BK9" s="1397"/>
      <c r="BL9" s="1397"/>
      <c r="BM9" s="1397"/>
      <c r="BN9" s="1397"/>
    </row>
    <row r="10" spans="1:66" ht="13.5" hidden="1" outlineLevel="1" thickBot="1" x14ac:dyDescent="0.25">
      <c r="A10" s="589"/>
      <c r="B10" s="589"/>
      <c r="C10" s="589"/>
      <c r="D10" s="589"/>
      <c r="E10" s="589"/>
      <c r="F10" s="589"/>
      <c r="G10" s="604" t="str">
        <f t="shared" si="0"/>
        <v/>
      </c>
      <c r="H10" s="589"/>
      <c r="I10" s="2094" t="str">
        <f t="shared" si="1"/>
        <v/>
      </c>
      <c r="K10" s="589"/>
      <c r="L10" s="589"/>
      <c r="M10" s="589"/>
      <c r="N10" s="589"/>
      <c r="O10" s="589"/>
      <c r="P10" s="589"/>
      <c r="Q10" s="589"/>
      <c r="R10" s="558" t="s">
        <v>1720</v>
      </c>
      <c r="S10" s="590"/>
      <c r="T10" s="591"/>
      <c r="U10" s="592"/>
      <c r="V10" s="605"/>
      <c r="W10" s="593"/>
      <c r="X10" s="594" t="s">
        <v>769</v>
      </c>
      <c r="Y10" s="595"/>
      <c r="Z10" s="605"/>
      <c r="AA10" s="596"/>
      <c r="AB10" s="597"/>
      <c r="AC10" s="594" t="s">
        <v>769</v>
      </c>
      <c r="AD10" s="595"/>
      <c r="AE10" s="589"/>
      <c r="AF10" s="589"/>
      <c r="AG10" s="589"/>
      <c r="AH10" s="589"/>
      <c r="AI10" s="589"/>
      <c r="AJ10" s="589"/>
      <c r="AK10" s="589"/>
      <c r="AL10" s="575"/>
      <c r="AM10" s="589"/>
      <c r="AN10" s="1397"/>
      <c r="AO10" s="1397"/>
      <c r="AP10" s="1397"/>
      <c r="AQ10" s="1397"/>
      <c r="AR10" s="1397"/>
      <c r="AS10" s="1397"/>
      <c r="AT10" s="1397"/>
      <c r="AU10" s="1397"/>
      <c r="AV10" s="1397"/>
      <c r="AW10" s="1397"/>
      <c r="AX10" s="1397"/>
      <c r="AY10" s="1397"/>
      <c r="AZ10" s="1397"/>
      <c r="BA10" s="1397"/>
      <c r="BB10" s="1397"/>
      <c r="BC10" s="1397"/>
      <c r="BD10" s="1397"/>
      <c r="BE10" s="1397"/>
      <c r="BF10" s="1397"/>
      <c r="BG10" s="1397"/>
      <c r="BH10" s="1397"/>
      <c r="BI10" s="1397"/>
      <c r="BJ10" s="1397"/>
      <c r="BK10" s="1397"/>
      <c r="BL10" s="1397"/>
      <c r="BM10" s="1397"/>
      <c r="BN10" s="1397"/>
    </row>
    <row r="11" spans="1:66" ht="13.5" hidden="1" outlineLevel="1" thickBot="1" x14ac:dyDescent="0.25">
      <c r="A11" s="589"/>
      <c r="B11" s="589"/>
      <c r="C11" s="589"/>
      <c r="D11" s="589"/>
      <c r="E11" s="589"/>
      <c r="F11" s="589"/>
      <c r="G11" s="604" t="str">
        <f t="shared" si="0"/>
        <v/>
      </c>
      <c r="H11" s="589"/>
      <c r="I11" s="2094" t="str">
        <f t="shared" si="1"/>
        <v/>
      </c>
      <c r="K11" s="589"/>
      <c r="L11" s="589"/>
      <c r="M11" s="589"/>
      <c r="N11" s="589"/>
      <c r="O11" s="589"/>
      <c r="P11" s="589"/>
      <c r="Q11" s="589"/>
      <c r="R11" s="558" t="s">
        <v>1720</v>
      </c>
      <c r="S11" s="590"/>
      <c r="T11" s="591"/>
      <c r="U11" s="592"/>
      <c r="V11" s="605"/>
      <c r="W11" s="593"/>
      <c r="X11" s="594" t="s">
        <v>769</v>
      </c>
      <c r="Y11" s="595"/>
      <c r="Z11" s="605"/>
      <c r="AA11" s="596"/>
      <c r="AB11" s="597"/>
      <c r="AC11" s="594" t="s">
        <v>769</v>
      </c>
      <c r="AD11" s="595"/>
      <c r="AE11" s="589"/>
      <c r="AF11" s="589"/>
      <c r="AG11" s="589"/>
      <c r="AH11" s="589"/>
      <c r="AI11" s="589"/>
      <c r="AJ11" s="589"/>
      <c r="AK11" s="589"/>
      <c r="AL11" s="575"/>
      <c r="AM11" s="589"/>
      <c r="AN11" s="1397"/>
      <c r="AO11" s="1397"/>
      <c r="AP11" s="1397"/>
      <c r="AQ11" s="1397"/>
      <c r="AR11" s="1397"/>
      <c r="AS11" s="1397"/>
      <c r="AT11" s="1397"/>
      <c r="AU11" s="1397"/>
      <c r="AV11" s="1397"/>
      <c r="AW11" s="1397"/>
      <c r="AX11" s="1397"/>
      <c r="AY11" s="1397"/>
      <c r="AZ11" s="1397"/>
      <c r="BA11" s="1397"/>
      <c r="BB11" s="1397"/>
      <c r="BC11" s="1397"/>
      <c r="BD11" s="1397"/>
      <c r="BE11" s="1397"/>
      <c r="BF11" s="1397"/>
      <c r="BG11" s="1397"/>
      <c r="BH11" s="1397"/>
      <c r="BI11" s="1397"/>
      <c r="BJ11" s="1397"/>
      <c r="BK11" s="1397"/>
      <c r="BL11" s="1397"/>
      <c r="BM11" s="1397"/>
      <c r="BN11" s="1397"/>
    </row>
    <row r="12" spans="1:66" ht="13.5" hidden="1" outlineLevel="1" thickBot="1" x14ac:dyDescent="0.25">
      <c r="A12" s="589"/>
      <c r="B12" s="589"/>
      <c r="C12" s="589"/>
      <c r="D12" s="589"/>
      <c r="E12" s="589"/>
      <c r="F12" s="589"/>
      <c r="G12" s="604" t="str">
        <f t="shared" si="0"/>
        <v/>
      </c>
      <c r="H12" s="589"/>
      <c r="I12" s="2094" t="str">
        <f t="shared" si="1"/>
        <v/>
      </c>
      <c r="K12" s="589"/>
      <c r="L12" s="589"/>
      <c r="M12" s="589"/>
      <c r="N12" s="589"/>
      <c r="O12" s="589"/>
      <c r="P12" s="589"/>
      <c r="Q12" s="589"/>
      <c r="R12" s="558" t="s">
        <v>1720</v>
      </c>
      <c r="S12" s="590"/>
      <c r="T12" s="591"/>
      <c r="U12" s="592"/>
      <c r="V12" s="605"/>
      <c r="W12" s="593"/>
      <c r="X12" s="594" t="s">
        <v>769</v>
      </c>
      <c r="Y12" s="595"/>
      <c r="Z12" s="605"/>
      <c r="AA12" s="596"/>
      <c r="AB12" s="597"/>
      <c r="AC12" s="594" t="s">
        <v>769</v>
      </c>
      <c r="AD12" s="595"/>
      <c r="AE12" s="589"/>
      <c r="AF12" s="589"/>
      <c r="AG12" s="589"/>
      <c r="AH12" s="589"/>
      <c r="AI12" s="589"/>
      <c r="AJ12" s="589"/>
      <c r="AK12" s="589"/>
      <c r="AL12" s="575"/>
      <c r="AM12" s="589"/>
      <c r="AN12" s="1397"/>
      <c r="AO12" s="1397"/>
      <c r="AP12" s="1397"/>
      <c r="AQ12" s="1397"/>
      <c r="AR12" s="1397"/>
      <c r="AS12" s="1397"/>
      <c r="AT12" s="1397"/>
      <c r="AU12" s="1397"/>
      <c r="AV12" s="1397"/>
      <c r="AW12" s="1397"/>
      <c r="AX12" s="1397"/>
      <c r="AY12" s="1397"/>
      <c r="AZ12" s="1397"/>
      <c r="BA12" s="1397"/>
      <c r="BB12" s="1397"/>
      <c r="BC12" s="1397"/>
      <c r="BD12" s="1397"/>
      <c r="BE12" s="1397"/>
      <c r="BF12" s="1397"/>
      <c r="BG12" s="1397"/>
      <c r="BH12" s="1397"/>
      <c r="BI12" s="1397"/>
      <c r="BJ12" s="1397"/>
      <c r="BK12" s="1397"/>
      <c r="BL12" s="1397"/>
      <c r="BM12" s="1397"/>
      <c r="BN12" s="1397"/>
    </row>
    <row r="13" spans="1:66" ht="13.5" hidden="1" outlineLevel="1" thickBot="1" x14ac:dyDescent="0.25">
      <c r="A13" s="589"/>
      <c r="B13" s="589"/>
      <c r="C13" s="589"/>
      <c r="D13" s="589"/>
      <c r="E13" s="589"/>
      <c r="F13" s="589"/>
      <c r="G13" s="604" t="str">
        <f t="shared" si="0"/>
        <v/>
      </c>
      <c r="H13" s="589"/>
      <c r="I13" s="2094" t="str">
        <f t="shared" si="1"/>
        <v/>
      </c>
      <c r="K13" s="589"/>
      <c r="L13" s="589"/>
      <c r="M13" s="589"/>
      <c r="N13" s="589"/>
      <c r="O13" s="589"/>
      <c r="P13" s="589"/>
      <c r="Q13" s="589"/>
      <c r="R13" s="558" t="s">
        <v>1720</v>
      </c>
      <c r="S13" s="590"/>
      <c r="T13" s="591"/>
      <c r="U13" s="592"/>
      <c r="V13" s="605"/>
      <c r="W13" s="593"/>
      <c r="X13" s="594" t="s">
        <v>769</v>
      </c>
      <c r="Y13" s="595"/>
      <c r="Z13" s="605"/>
      <c r="AA13" s="596"/>
      <c r="AB13" s="597"/>
      <c r="AC13" s="594" t="s">
        <v>769</v>
      </c>
      <c r="AD13" s="595"/>
      <c r="AE13" s="589"/>
      <c r="AF13" s="589"/>
      <c r="AG13" s="589"/>
      <c r="AH13" s="589"/>
      <c r="AI13" s="589"/>
      <c r="AJ13" s="589"/>
      <c r="AK13" s="589"/>
      <c r="AL13" s="575"/>
      <c r="AM13" s="589"/>
      <c r="AN13" s="1397"/>
      <c r="AO13" s="1397"/>
      <c r="AP13" s="1397"/>
      <c r="AQ13" s="1397"/>
      <c r="AR13" s="1397"/>
      <c r="AS13" s="1397"/>
      <c r="AT13" s="1397"/>
      <c r="AU13" s="1397"/>
      <c r="AV13" s="1397"/>
      <c r="AW13" s="1397"/>
      <c r="AX13" s="1397"/>
      <c r="AY13" s="1397"/>
      <c r="AZ13" s="1397"/>
      <c r="BA13" s="1397"/>
      <c r="BB13" s="1397"/>
      <c r="BC13" s="1397"/>
      <c r="BD13" s="1397"/>
      <c r="BE13" s="1397"/>
      <c r="BF13" s="1397"/>
      <c r="BG13" s="1397"/>
      <c r="BH13" s="1397"/>
      <c r="BI13" s="1397"/>
      <c r="BJ13" s="1397"/>
      <c r="BK13" s="1397"/>
      <c r="BL13" s="1397"/>
      <c r="BM13" s="1397"/>
      <c r="BN13" s="1397"/>
    </row>
    <row r="14" spans="1:66" ht="13.5" hidden="1" outlineLevel="1" thickBot="1" x14ac:dyDescent="0.25">
      <c r="A14" s="589"/>
      <c r="B14" s="589"/>
      <c r="C14" s="589"/>
      <c r="D14" s="589"/>
      <c r="E14" s="589"/>
      <c r="F14" s="589"/>
      <c r="G14" s="604" t="str">
        <f t="shared" si="0"/>
        <v/>
      </c>
      <c r="H14" s="589"/>
      <c r="I14" s="2094" t="str">
        <f t="shared" si="1"/>
        <v/>
      </c>
      <c r="K14" s="589"/>
      <c r="L14" s="589"/>
      <c r="M14" s="589"/>
      <c r="N14" s="589"/>
      <c r="O14" s="589"/>
      <c r="P14" s="589"/>
      <c r="Q14" s="589"/>
      <c r="R14" s="558" t="s">
        <v>1720</v>
      </c>
      <c r="S14" s="590"/>
      <c r="T14" s="591"/>
      <c r="U14" s="592"/>
      <c r="V14" s="605"/>
      <c r="W14" s="593"/>
      <c r="X14" s="594" t="s">
        <v>769</v>
      </c>
      <c r="Y14" s="595"/>
      <c r="Z14" s="605"/>
      <c r="AA14" s="596"/>
      <c r="AB14" s="597"/>
      <c r="AC14" s="594" t="s">
        <v>769</v>
      </c>
      <c r="AD14" s="595"/>
      <c r="AE14" s="589"/>
      <c r="AF14" s="589"/>
      <c r="AG14" s="589"/>
      <c r="AH14" s="589"/>
      <c r="AI14" s="589"/>
      <c r="AJ14" s="589"/>
      <c r="AK14" s="589"/>
      <c r="AL14" s="575"/>
      <c r="AM14" s="589"/>
      <c r="AN14" s="1397"/>
      <c r="AO14" s="1397"/>
      <c r="AP14" s="1397"/>
      <c r="AQ14" s="1397"/>
      <c r="AR14" s="1397"/>
      <c r="AS14" s="1397"/>
      <c r="AT14" s="1397"/>
      <c r="AU14" s="1397"/>
      <c r="AV14" s="1397"/>
      <c r="AW14" s="1397"/>
      <c r="AX14" s="1397"/>
      <c r="AY14" s="1397"/>
      <c r="AZ14" s="1397"/>
      <c r="BA14" s="1397"/>
      <c r="BB14" s="1397"/>
      <c r="BC14" s="1397"/>
      <c r="BD14" s="1397"/>
      <c r="BE14" s="1397"/>
      <c r="BF14" s="1397"/>
      <c r="BG14" s="1397"/>
      <c r="BH14" s="1397"/>
      <c r="BI14" s="1397"/>
      <c r="BJ14" s="1397"/>
      <c r="BK14" s="1397"/>
      <c r="BL14" s="1397"/>
      <c r="BM14" s="1397"/>
      <c r="BN14" s="1397"/>
    </row>
    <row r="15" spans="1:66" ht="13.5" hidden="1" outlineLevel="1" thickBot="1" x14ac:dyDescent="0.25">
      <c r="A15" s="589"/>
      <c r="B15" s="589"/>
      <c r="C15" s="589"/>
      <c r="D15" s="589"/>
      <c r="E15" s="589"/>
      <c r="F15" s="589"/>
      <c r="G15" s="604" t="str">
        <f t="shared" si="0"/>
        <v/>
      </c>
      <c r="H15" s="589"/>
      <c r="I15" s="2094" t="str">
        <f t="shared" si="1"/>
        <v/>
      </c>
      <c r="K15" s="589"/>
      <c r="L15" s="589"/>
      <c r="M15" s="589"/>
      <c r="N15" s="589"/>
      <c r="O15" s="589"/>
      <c r="P15" s="589"/>
      <c r="Q15" s="589"/>
      <c r="R15" s="558" t="s">
        <v>1720</v>
      </c>
      <c r="S15" s="590"/>
      <c r="T15" s="591"/>
      <c r="U15" s="592"/>
      <c r="V15" s="605"/>
      <c r="W15" s="593"/>
      <c r="X15" s="594" t="s">
        <v>769</v>
      </c>
      <c r="Y15" s="595"/>
      <c r="Z15" s="605"/>
      <c r="AA15" s="596"/>
      <c r="AB15" s="597"/>
      <c r="AC15" s="594" t="s">
        <v>769</v>
      </c>
      <c r="AD15" s="595"/>
      <c r="AE15" s="589"/>
      <c r="AF15" s="589"/>
      <c r="AG15" s="589"/>
      <c r="AH15" s="589"/>
      <c r="AI15" s="589"/>
      <c r="AJ15" s="589"/>
      <c r="AK15" s="589"/>
      <c r="AL15" s="575"/>
      <c r="AM15" s="589"/>
      <c r="AN15" s="1397"/>
      <c r="AO15" s="1397"/>
      <c r="AP15" s="1397"/>
      <c r="AQ15" s="1397"/>
      <c r="AR15" s="1397"/>
      <c r="AS15" s="1397"/>
      <c r="AT15" s="1397"/>
      <c r="AU15" s="1397"/>
      <c r="AV15" s="1397"/>
      <c r="AW15" s="1397"/>
      <c r="AX15" s="1397"/>
      <c r="AY15" s="1397"/>
      <c r="AZ15" s="1397"/>
      <c r="BA15" s="1397"/>
      <c r="BB15" s="1397"/>
      <c r="BC15" s="1397"/>
      <c r="BD15" s="1397"/>
      <c r="BE15" s="1397"/>
      <c r="BF15" s="1397"/>
      <c r="BG15" s="1397"/>
      <c r="BH15" s="1397"/>
      <c r="BI15" s="1397"/>
      <c r="BJ15" s="1397"/>
      <c r="BK15" s="1397"/>
      <c r="BL15" s="1397"/>
      <c r="BM15" s="1397"/>
      <c r="BN15" s="1397"/>
    </row>
    <row r="16" spans="1:66" ht="13.5" hidden="1" outlineLevel="1" thickBot="1" x14ac:dyDescent="0.25">
      <c r="A16" s="589"/>
      <c r="B16" s="589"/>
      <c r="C16" s="589"/>
      <c r="D16" s="589"/>
      <c r="E16" s="589"/>
      <c r="F16" s="589"/>
      <c r="G16" s="604" t="str">
        <f t="shared" si="0"/>
        <v/>
      </c>
      <c r="H16" s="589"/>
      <c r="I16" s="2094" t="str">
        <f t="shared" si="1"/>
        <v/>
      </c>
      <c r="K16" s="589"/>
      <c r="L16" s="589"/>
      <c r="M16" s="589"/>
      <c r="N16" s="589"/>
      <c r="O16" s="589"/>
      <c r="P16" s="589"/>
      <c r="Q16" s="589"/>
      <c r="R16" s="558" t="s">
        <v>1720</v>
      </c>
      <c r="S16" s="590"/>
      <c r="T16" s="591"/>
      <c r="U16" s="592"/>
      <c r="V16" s="605"/>
      <c r="W16" s="593"/>
      <c r="X16" s="594" t="s">
        <v>769</v>
      </c>
      <c r="Y16" s="595"/>
      <c r="Z16" s="605"/>
      <c r="AA16" s="596"/>
      <c r="AB16" s="597"/>
      <c r="AC16" s="594" t="s">
        <v>769</v>
      </c>
      <c r="AD16" s="595"/>
      <c r="AE16" s="589"/>
      <c r="AF16" s="589"/>
      <c r="AG16" s="589"/>
      <c r="AH16" s="589"/>
      <c r="AI16" s="589"/>
      <c r="AJ16" s="589"/>
      <c r="AK16" s="589"/>
      <c r="AL16" s="575"/>
      <c r="AM16" s="589"/>
      <c r="AN16" s="1397"/>
      <c r="AO16" s="1397"/>
      <c r="AP16" s="1397"/>
      <c r="AQ16" s="1397"/>
      <c r="AR16" s="1397"/>
      <c r="AS16" s="1397"/>
      <c r="AT16" s="1397"/>
      <c r="AU16" s="1397"/>
      <c r="AV16" s="1397"/>
      <c r="AW16" s="1397"/>
      <c r="AX16" s="1397"/>
      <c r="AY16" s="1397"/>
      <c r="AZ16" s="1397"/>
      <c r="BA16" s="1397"/>
      <c r="BB16" s="1397"/>
      <c r="BC16" s="1397"/>
      <c r="BD16" s="1397"/>
      <c r="BE16" s="1397"/>
      <c r="BF16" s="1397"/>
      <c r="BG16" s="1397"/>
      <c r="BH16" s="1397"/>
      <c r="BI16" s="1397"/>
      <c r="BJ16" s="1397"/>
      <c r="BK16" s="1397"/>
      <c r="BL16" s="1397"/>
      <c r="BM16" s="1397"/>
      <c r="BN16" s="1397"/>
    </row>
    <row r="17" spans="1:66" ht="13.5" hidden="1" outlineLevel="1" thickBot="1" x14ac:dyDescent="0.25">
      <c r="A17" s="589"/>
      <c r="B17" s="589"/>
      <c r="C17" s="589"/>
      <c r="D17" s="589"/>
      <c r="E17" s="589"/>
      <c r="F17" s="589"/>
      <c r="G17" s="604" t="str">
        <f t="shared" si="0"/>
        <v/>
      </c>
      <c r="H17" s="589"/>
      <c r="I17" s="2094" t="str">
        <f t="shared" si="1"/>
        <v/>
      </c>
      <c r="K17" s="589"/>
      <c r="L17" s="589"/>
      <c r="M17" s="589"/>
      <c r="N17" s="589"/>
      <c r="O17" s="589"/>
      <c r="P17" s="589"/>
      <c r="Q17" s="589"/>
      <c r="R17" s="558" t="s">
        <v>1720</v>
      </c>
      <c r="S17" s="590"/>
      <c r="T17" s="591"/>
      <c r="U17" s="599"/>
      <c r="V17" s="605"/>
      <c r="W17" s="593"/>
      <c r="X17" s="594" t="s">
        <v>769</v>
      </c>
      <c r="Y17" s="595"/>
      <c r="Z17" s="605"/>
      <c r="AA17" s="596"/>
      <c r="AB17" s="597"/>
      <c r="AC17" s="594" t="s">
        <v>769</v>
      </c>
      <c r="AD17" s="595"/>
      <c r="AE17" s="589"/>
      <c r="AF17" s="589"/>
      <c r="AG17" s="589"/>
      <c r="AH17" s="589"/>
      <c r="AI17" s="589"/>
      <c r="AJ17" s="589"/>
      <c r="AK17" s="589"/>
      <c r="AL17" s="575"/>
      <c r="AM17" s="589"/>
      <c r="AN17" s="1397"/>
      <c r="AO17" s="1397"/>
      <c r="AP17" s="1397"/>
      <c r="AQ17" s="1397"/>
      <c r="AR17" s="1397"/>
      <c r="AS17" s="1397"/>
      <c r="AT17" s="1397"/>
      <c r="AU17" s="1397"/>
      <c r="AV17" s="1397"/>
      <c r="AW17" s="1397"/>
      <c r="AX17" s="1397"/>
      <c r="AY17" s="1397"/>
      <c r="AZ17" s="1397"/>
      <c r="BA17" s="1397"/>
      <c r="BB17" s="1397"/>
      <c r="BC17" s="1397"/>
      <c r="BD17" s="1397"/>
      <c r="BE17" s="1397"/>
      <c r="BF17" s="1397"/>
      <c r="BG17" s="1397"/>
      <c r="BH17" s="1397"/>
      <c r="BI17" s="1397"/>
      <c r="BJ17" s="1397"/>
      <c r="BK17" s="1397"/>
      <c r="BL17" s="1397"/>
      <c r="BM17" s="1397"/>
      <c r="BN17" s="1397"/>
    </row>
    <row r="18" spans="1:66" ht="13.5" hidden="1" outlineLevel="1" thickBot="1" x14ac:dyDescent="0.25">
      <c r="A18" s="267"/>
      <c r="B18" s="267"/>
      <c r="C18" s="267"/>
      <c r="D18" s="267"/>
      <c r="E18" s="267"/>
      <c r="F18" s="267"/>
      <c r="G18" s="267"/>
      <c r="H18" s="267"/>
      <c r="I18" s="267"/>
      <c r="J18" s="267"/>
      <c r="K18" s="267"/>
      <c r="L18" s="267"/>
      <c r="M18" s="267"/>
      <c r="N18" s="267"/>
      <c r="O18" s="267"/>
      <c r="P18" s="267"/>
      <c r="Q18" s="267"/>
      <c r="R18" s="334"/>
      <c r="S18" s="267"/>
      <c r="T18" s="267"/>
      <c r="U18" s="267"/>
      <c r="V18" s="267"/>
      <c r="W18" s="267"/>
      <c r="X18" s="267"/>
      <c r="Y18" s="267"/>
      <c r="Z18" s="337"/>
      <c r="AA18" s="267"/>
      <c r="AB18" s="267"/>
      <c r="AC18" s="267"/>
      <c r="AD18" s="267"/>
      <c r="AE18" s="267"/>
      <c r="AF18" s="267"/>
      <c r="AG18" s="267"/>
      <c r="AH18" s="267"/>
      <c r="AI18" s="267"/>
      <c r="AJ18" s="267"/>
      <c r="AK18" s="267"/>
      <c r="AM18" s="267"/>
      <c r="AN18" s="1397"/>
      <c r="AO18" s="1397"/>
      <c r="AP18" s="1397"/>
      <c r="AQ18" s="1397"/>
      <c r="AR18" s="1397"/>
      <c r="AS18" s="1397"/>
      <c r="AT18" s="1397"/>
      <c r="AU18" s="1397"/>
      <c r="AV18" s="1397"/>
      <c r="AW18" s="1397"/>
      <c r="AX18" s="1397"/>
      <c r="AY18" s="1397"/>
      <c r="AZ18" s="1397"/>
      <c r="BA18" s="1397"/>
      <c r="BB18" s="1397"/>
      <c r="BC18" s="1397"/>
      <c r="BD18" s="1397"/>
      <c r="BE18" s="1397"/>
      <c r="BF18" s="1397"/>
      <c r="BG18" s="1397"/>
      <c r="BH18" s="1397"/>
      <c r="BI18" s="1397"/>
      <c r="BJ18" s="1397"/>
      <c r="BK18" s="1397"/>
      <c r="BL18" s="1397"/>
      <c r="BM18" s="1397"/>
      <c r="BN18" s="1397"/>
    </row>
    <row r="19" spans="1:66" ht="13.5" hidden="1" outlineLevel="1" thickBot="1" x14ac:dyDescent="0.25">
      <c r="A19" s="589"/>
      <c r="B19" s="589"/>
      <c r="C19" s="589"/>
      <c r="D19" s="589"/>
      <c r="E19" s="589"/>
      <c r="F19" s="589"/>
      <c r="G19" s="604" t="str">
        <f t="shared" ref="G19:G30" si="2">IF(W19="",IF(OR(HidePlayerFormulas,V19=""),"","("&amp;V19&amp;"-"&amp;Z19&amp;")"),IF(W19&gt;Y19,V19,IF(Y19&gt;W19,Z19,IF(AB19&gt;AD19,V19,IF(AD19&gt;AB19,Z19,mess_erreur_marque)))))</f>
        <v/>
      </c>
      <c r="H19" s="589"/>
      <c r="I19" s="2094" t="str">
        <f t="shared" ref="I19:I30" si="3">IF(G19="","",IF(G19=V19,Z19,V19))</f>
        <v/>
      </c>
      <c r="K19" s="589"/>
      <c r="L19" s="589"/>
      <c r="M19" s="589"/>
      <c r="N19" s="589"/>
      <c r="O19" s="589"/>
      <c r="P19" s="589"/>
      <c r="Q19" s="589"/>
      <c r="R19" s="558" t="s">
        <v>1720</v>
      </c>
      <c r="S19" s="590"/>
      <c r="T19" s="591"/>
      <c r="U19" s="599"/>
      <c r="V19" s="605"/>
      <c r="W19" s="600"/>
      <c r="X19" s="601" t="s">
        <v>769</v>
      </c>
      <c r="Y19" s="602"/>
      <c r="Z19" s="605"/>
      <c r="AA19" s="596"/>
      <c r="AB19" s="603"/>
      <c r="AC19" s="601" t="s">
        <v>769</v>
      </c>
      <c r="AD19" s="602"/>
      <c r="AE19" s="589"/>
      <c r="AF19" s="589"/>
      <c r="AG19" s="589"/>
      <c r="AH19" s="589"/>
      <c r="AI19" s="589"/>
      <c r="AJ19" s="589"/>
      <c r="AK19" s="589"/>
      <c r="AL19" s="575"/>
      <c r="AM19" s="589"/>
      <c r="AN19" s="1397"/>
      <c r="AO19" s="1397"/>
      <c r="AP19" s="1397"/>
      <c r="AQ19" s="1397"/>
      <c r="AR19" s="1397"/>
      <c r="AS19" s="1397"/>
      <c r="AT19" s="1397"/>
      <c r="AU19" s="1397"/>
      <c r="AV19" s="1397"/>
      <c r="AW19" s="1397"/>
      <c r="AX19" s="1397"/>
      <c r="AY19" s="1397"/>
      <c r="AZ19" s="1397"/>
      <c r="BA19" s="1397"/>
      <c r="BB19" s="1397"/>
      <c r="BC19" s="1397"/>
      <c r="BD19" s="1397"/>
      <c r="BE19" s="1397"/>
      <c r="BF19" s="1397"/>
      <c r="BG19" s="1397"/>
      <c r="BH19" s="1397"/>
      <c r="BI19" s="1397"/>
      <c r="BJ19" s="1397"/>
      <c r="BK19" s="1397"/>
      <c r="BL19" s="1397"/>
      <c r="BM19" s="1397"/>
      <c r="BN19" s="1397"/>
    </row>
    <row r="20" spans="1:66" ht="13.5" hidden="1" outlineLevel="1" thickBot="1" x14ac:dyDescent="0.25">
      <c r="A20" s="589"/>
      <c r="B20" s="589"/>
      <c r="C20" s="589"/>
      <c r="D20" s="589"/>
      <c r="E20" s="589"/>
      <c r="F20" s="589"/>
      <c r="G20" s="604" t="str">
        <f t="shared" si="2"/>
        <v/>
      </c>
      <c r="H20" s="589"/>
      <c r="I20" s="2094" t="str">
        <f t="shared" si="3"/>
        <v/>
      </c>
      <c r="K20" s="589"/>
      <c r="L20" s="589"/>
      <c r="M20" s="589"/>
      <c r="N20" s="589"/>
      <c r="O20" s="589"/>
      <c r="P20" s="589"/>
      <c r="Q20" s="589"/>
      <c r="R20" s="558" t="s">
        <v>1720</v>
      </c>
      <c r="S20" s="590"/>
      <c r="T20" s="591"/>
      <c r="U20" s="592"/>
      <c r="V20" s="605"/>
      <c r="W20" s="593"/>
      <c r="X20" s="594" t="s">
        <v>769</v>
      </c>
      <c r="Y20" s="595"/>
      <c r="Z20" s="605"/>
      <c r="AA20" s="596"/>
      <c r="AB20" s="597"/>
      <c r="AC20" s="594" t="s">
        <v>769</v>
      </c>
      <c r="AD20" s="595"/>
      <c r="AE20" s="589"/>
      <c r="AF20" s="589"/>
      <c r="AG20" s="589"/>
      <c r="AH20" s="589"/>
      <c r="AI20" s="589"/>
      <c r="AJ20" s="589"/>
      <c r="AK20" s="589"/>
      <c r="AL20" s="575"/>
      <c r="AM20" s="589"/>
      <c r="AN20" s="1397"/>
      <c r="AO20" s="1397"/>
      <c r="AP20" s="1397"/>
      <c r="AQ20" s="1397"/>
      <c r="AR20" s="1397"/>
      <c r="AS20" s="1397"/>
      <c r="AT20" s="1397"/>
      <c r="AU20" s="1397"/>
      <c r="AV20" s="1397"/>
      <c r="AW20" s="1397"/>
      <c r="AX20" s="1397"/>
      <c r="AY20" s="1397"/>
      <c r="AZ20" s="1397"/>
      <c r="BA20" s="1397"/>
      <c r="BB20" s="1397"/>
      <c r="BC20" s="1397"/>
      <c r="BD20" s="1397"/>
      <c r="BE20" s="1397"/>
      <c r="BF20" s="1397"/>
      <c r="BG20" s="1397"/>
      <c r="BH20" s="1397"/>
      <c r="BI20" s="1397"/>
      <c r="BJ20" s="1397"/>
      <c r="BK20" s="1397"/>
      <c r="BL20" s="1397"/>
      <c r="BM20" s="1397"/>
      <c r="BN20" s="1397"/>
    </row>
    <row r="21" spans="1:66" ht="13.5" hidden="1" outlineLevel="1" thickBot="1" x14ac:dyDescent="0.25">
      <c r="A21" s="589"/>
      <c r="B21" s="589"/>
      <c r="C21" s="589"/>
      <c r="D21" s="589"/>
      <c r="E21" s="589"/>
      <c r="F21" s="589"/>
      <c r="G21" s="604" t="str">
        <f t="shared" si="2"/>
        <v/>
      </c>
      <c r="H21" s="589"/>
      <c r="I21" s="2094" t="str">
        <f t="shared" si="3"/>
        <v/>
      </c>
      <c r="K21" s="589"/>
      <c r="L21" s="589"/>
      <c r="M21" s="589"/>
      <c r="N21" s="589"/>
      <c r="O21" s="589"/>
      <c r="P21" s="589"/>
      <c r="Q21" s="589"/>
      <c r="R21" s="558" t="s">
        <v>1720</v>
      </c>
      <c r="S21" s="590"/>
      <c r="T21" s="591"/>
      <c r="U21" s="592"/>
      <c r="V21" s="605"/>
      <c r="W21" s="593"/>
      <c r="X21" s="594" t="s">
        <v>769</v>
      </c>
      <c r="Y21" s="595"/>
      <c r="Z21" s="605"/>
      <c r="AA21" s="596"/>
      <c r="AB21" s="597"/>
      <c r="AC21" s="594" t="s">
        <v>769</v>
      </c>
      <c r="AD21" s="595"/>
      <c r="AE21" s="589"/>
      <c r="AF21" s="589"/>
      <c r="AG21" s="589"/>
      <c r="AH21" s="589"/>
      <c r="AI21" s="589"/>
      <c r="AJ21" s="589"/>
      <c r="AK21" s="589"/>
      <c r="AL21" s="575"/>
      <c r="AM21" s="589"/>
      <c r="AN21" s="1397"/>
      <c r="AO21" s="1397"/>
      <c r="AP21" s="1397"/>
      <c r="AQ21" s="1397"/>
      <c r="AR21" s="1397"/>
      <c r="AS21" s="1397"/>
      <c r="AT21" s="1397"/>
      <c r="AU21" s="1397"/>
      <c r="AV21" s="1397"/>
      <c r="AW21" s="1397"/>
      <c r="AX21" s="1397"/>
      <c r="AY21" s="1397"/>
      <c r="AZ21" s="1397"/>
      <c r="BA21" s="1397"/>
      <c r="BB21" s="1397"/>
      <c r="BC21" s="1397"/>
      <c r="BD21" s="1397"/>
      <c r="BE21" s="1397"/>
      <c r="BF21" s="1397"/>
      <c r="BG21" s="1397"/>
      <c r="BH21" s="1397"/>
      <c r="BI21" s="1397"/>
      <c r="BJ21" s="1397"/>
      <c r="BK21" s="1397"/>
      <c r="BL21" s="1397"/>
      <c r="BM21" s="1397"/>
      <c r="BN21" s="1397"/>
    </row>
    <row r="22" spans="1:66" ht="13.5" hidden="1" outlineLevel="1" thickBot="1" x14ac:dyDescent="0.25">
      <c r="A22" s="589"/>
      <c r="B22" s="589"/>
      <c r="C22" s="589"/>
      <c r="D22" s="589"/>
      <c r="E22" s="589"/>
      <c r="F22" s="589"/>
      <c r="G22" s="604" t="str">
        <f t="shared" si="2"/>
        <v/>
      </c>
      <c r="H22" s="589"/>
      <c r="I22" s="2094" t="str">
        <f t="shared" si="3"/>
        <v/>
      </c>
      <c r="K22" s="589"/>
      <c r="L22" s="589"/>
      <c r="M22" s="589"/>
      <c r="N22" s="589"/>
      <c r="O22" s="589"/>
      <c r="P22" s="589"/>
      <c r="Q22" s="589"/>
      <c r="R22" s="558" t="s">
        <v>1720</v>
      </c>
      <c r="S22" s="590"/>
      <c r="T22" s="591"/>
      <c r="U22" s="592"/>
      <c r="V22" s="605"/>
      <c r="W22" s="593"/>
      <c r="X22" s="594" t="s">
        <v>769</v>
      </c>
      <c r="Y22" s="595"/>
      <c r="Z22" s="605"/>
      <c r="AA22" s="596"/>
      <c r="AB22" s="597"/>
      <c r="AC22" s="594" t="s">
        <v>769</v>
      </c>
      <c r="AD22" s="595"/>
      <c r="AE22" s="589"/>
      <c r="AF22" s="589"/>
      <c r="AG22" s="589"/>
      <c r="AH22" s="589"/>
      <c r="AI22" s="589"/>
      <c r="AJ22" s="589"/>
      <c r="AK22" s="589"/>
      <c r="AL22" s="575"/>
      <c r="AM22" s="589"/>
      <c r="AN22" s="1397"/>
      <c r="AO22" s="1397"/>
      <c r="AP22" s="1397"/>
      <c r="AQ22" s="1397"/>
      <c r="AR22" s="1397"/>
      <c r="AS22" s="1397"/>
      <c r="AT22" s="1397"/>
      <c r="AU22" s="1397"/>
      <c r="AV22" s="1397"/>
      <c r="AW22" s="1397"/>
      <c r="AX22" s="1397"/>
      <c r="AY22" s="1397"/>
      <c r="AZ22" s="1397"/>
      <c r="BA22" s="1397"/>
      <c r="BB22" s="1397"/>
      <c r="BC22" s="1397"/>
      <c r="BD22" s="1397"/>
      <c r="BE22" s="1397"/>
      <c r="BF22" s="1397"/>
      <c r="BG22" s="1397"/>
      <c r="BH22" s="1397"/>
      <c r="BI22" s="1397"/>
      <c r="BJ22" s="1397"/>
      <c r="BK22" s="1397"/>
      <c r="BL22" s="1397"/>
      <c r="BM22" s="1397"/>
      <c r="BN22" s="1397"/>
    </row>
    <row r="23" spans="1:66" ht="13.5" hidden="1" outlineLevel="1" thickBot="1" x14ac:dyDescent="0.25">
      <c r="A23" s="589"/>
      <c r="B23" s="589"/>
      <c r="C23" s="589"/>
      <c r="D23" s="589"/>
      <c r="E23" s="589"/>
      <c r="F23" s="589"/>
      <c r="G23" s="604" t="str">
        <f t="shared" si="2"/>
        <v/>
      </c>
      <c r="H23" s="589"/>
      <c r="I23" s="2094" t="str">
        <f t="shared" si="3"/>
        <v/>
      </c>
      <c r="K23" s="589"/>
      <c r="L23" s="589"/>
      <c r="M23" s="589"/>
      <c r="N23" s="589"/>
      <c r="O23" s="589"/>
      <c r="P23" s="589"/>
      <c r="Q23" s="589"/>
      <c r="R23" s="558" t="s">
        <v>1720</v>
      </c>
      <c r="S23" s="590"/>
      <c r="T23" s="591"/>
      <c r="U23" s="592"/>
      <c r="V23" s="605"/>
      <c r="W23" s="593"/>
      <c r="X23" s="594" t="s">
        <v>769</v>
      </c>
      <c r="Y23" s="595"/>
      <c r="Z23" s="605"/>
      <c r="AA23" s="596"/>
      <c r="AB23" s="597"/>
      <c r="AC23" s="594" t="s">
        <v>769</v>
      </c>
      <c r="AD23" s="595"/>
      <c r="AE23" s="589"/>
      <c r="AF23" s="589"/>
      <c r="AG23" s="589"/>
      <c r="AH23" s="589"/>
      <c r="AI23" s="589"/>
      <c r="AJ23" s="589"/>
      <c r="AK23" s="589"/>
      <c r="AL23" s="575"/>
      <c r="AM23" s="589"/>
      <c r="AN23" s="1397"/>
      <c r="AO23" s="1397"/>
      <c r="AP23" s="1397"/>
      <c r="AQ23" s="1397"/>
      <c r="AR23" s="1397"/>
      <c r="AS23" s="1397"/>
      <c r="AT23" s="1397"/>
      <c r="AU23" s="1397"/>
      <c r="AV23" s="1397"/>
      <c r="AW23" s="1397"/>
      <c r="AX23" s="1397"/>
      <c r="AY23" s="1397"/>
      <c r="AZ23" s="1397"/>
      <c r="BA23" s="1397"/>
      <c r="BB23" s="1397"/>
      <c r="BC23" s="1397"/>
      <c r="BD23" s="1397"/>
      <c r="BE23" s="1397"/>
      <c r="BF23" s="1397"/>
      <c r="BG23" s="1397"/>
      <c r="BH23" s="1397"/>
      <c r="BI23" s="1397"/>
      <c r="BJ23" s="1397"/>
      <c r="BK23" s="1397"/>
      <c r="BL23" s="1397"/>
      <c r="BM23" s="1397"/>
      <c r="BN23" s="1397"/>
    </row>
    <row r="24" spans="1:66" ht="13.5" hidden="1" outlineLevel="1" thickBot="1" x14ac:dyDescent="0.25">
      <c r="A24" s="589"/>
      <c r="B24" s="589"/>
      <c r="C24" s="589"/>
      <c r="D24" s="589"/>
      <c r="E24" s="589"/>
      <c r="F24" s="589"/>
      <c r="G24" s="604" t="str">
        <f t="shared" si="2"/>
        <v/>
      </c>
      <c r="H24" s="589"/>
      <c r="I24" s="2094" t="str">
        <f t="shared" si="3"/>
        <v/>
      </c>
      <c r="K24" s="589"/>
      <c r="L24" s="589"/>
      <c r="M24" s="589"/>
      <c r="N24" s="589"/>
      <c r="O24" s="589"/>
      <c r="P24" s="589"/>
      <c r="Q24" s="589"/>
      <c r="R24" s="558" t="s">
        <v>1720</v>
      </c>
      <c r="S24" s="590"/>
      <c r="T24" s="591"/>
      <c r="U24" s="592"/>
      <c r="V24" s="605"/>
      <c r="W24" s="593"/>
      <c r="X24" s="594" t="s">
        <v>769</v>
      </c>
      <c r="Y24" s="595"/>
      <c r="Z24" s="605"/>
      <c r="AA24" s="596"/>
      <c r="AB24" s="597"/>
      <c r="AC24" s="594" t="s">
        <v>769</v>
      </c>
      <c r="AD24" s="595"/>
      <c r="AE24" s="589"/>
      <c r="AF24" s="589"/>
      <c r="AG24" s="589"/>
      <c r="AH24" s="589"/>
      <c r="AI24" s="589"/>
      <c r="AJ24" s="589"/>
      <c r="AK24" s="589"/>
      <c r="AL24" s="575"/>
      <c r="AM24" s="589"/>
      <c r="AN24" s="1397"/>
      <c r="AO24" s="1397"/>
      <c r="AP24" s="1397"/>
      <c r="AQ24" s="1397"/>
      <c r="AR24" s="1397"/>
      <c r="AS24" s="1397"/>
      <c r="AT24" s="1397"/>
      <c r="AU24" s="1397"/>
      <c r="AV24" s="1397"/>
      <c r="AW24" s="1397"/>
      <c r="AX24" s="1397"/>
      <c r="AY24" s="1397"/>
      <c r="AZ24" s="1397"/>
      <c r="BA24" s="1397"/>
      <c r="BB24" s="1397"/>
      <c r="BC24" s="1397"/>
      <c r="BD24" s="1397"/>
      <c r="BE24" s="1397"/>
      <c r="BF24" s="1397"/>
      <c r="BG24" s="1397"/>
      <c r="BH24" s="1397"/>
      <c r="BI24" s="1397"/>
      <c r="BJ24" s="1397"/>
      <c r="BK24" s="1397"/>
      <c r="BL24" s="1397"/>
      <c r="BM24" s="1397"/>
      <c r="BN24" s="1397"/>
    </row>
    <row r="25" spans="1:66" ht="13.5" hidden="1" outlineLevel="1" thickBot="1" x14ac:dyDescent="0.25">
      <c r="A25" s="589"/>
      <c r="B25" s="589"/>
      <c r="C25" s="589"/>
      <c r="D25" s="589"/>
      <c r="E25" s="589"/>
      <c r="F25" s="589"/>
      <c r="G25" s="604" t="str">
        <f t="shared" si="2"/>
        <v/>
      </c>
      <c r="H25" s="589"/>
      <c r="I25" s="2094" t="str">
        <f t="shared" si="3"/>
        <v/>
      </c>
      <c r="K25" s="589"/>
      <c r="L25" s="589"/>
      <c r="M25" s="589"/>
      <c r="N25" s="589"/>
      <c r="O25" s="589"/>
      <c r="P25" s="589"/>
      <c r="Q25" s="589"/>
      <c r="R25" s="558" t="s">
        <v>1720</v>
      </c>
      <c r="S25" s="590"/>
      <c r="T25" s="591"/>
      <c r="U25" s="592"/>
      <c r="V25" s="605"/>
      <c r="W25" s="593"/>
      <c r="X25" s="594" t="s">
        <v>769</v>
      </c>
      <c r="Y25" s="595"/>
      <c r="Z25" s="605"/>
      <c r="AA25" s="596"/>
      <c r="AB25" s="597"/>
      <c r="AC25" s="594" t="s">
        <v>769</v>
      </c>
      <c r="AD25" s="595"/>
      <c r="AE25" s="589"/>
      <c r="AF25" s="589"/>
      <c r="AG25" s="589"/>
      <c r="AH25" s="589"/>
      <c r="AI25" s="589"/>
      <c r="AJ25" s="589"/>
      <c r="AK25" s="589"/>
      <c r="AL25" s="575"/>
      <c r="AM25" s="589"/>
      <c r="AN25" s="1397"/>
      <c r="AO25" s="1397"/>
      <c r="AP25" s="1397"/>
      <c r="AQ25" s="1397"/>
      <c r="AR25" s="1397"/>
      <c r="AS25" s="1397"/>
      <c r="AT25" s="1397"/>
      <c r="AU25" s="1397"/>
      <c r="AV25" s="1397"/>
      <c r="AW25" s="1397"/>
      <c r="AX25" s="1397"/>
      <c r="AY25" s="1397"/>
      <c r="AZ25" s="1397"/>
      <c r="BA25" s="1397"/>
      <c r="BB25" s="1397"/>
      <c r="BC25" s="1397"/>
      <c r="BD25" s="1397"/>
      <c r="BE25" s="1397"/>
      <c r="BF25" s="1397"/>
      <c r="BG25" s="1397"/>
      <c r="BH25" s="1397"/>
      <c r="BI25" s="1397"/>
      <c r="BJ25" s="1397"/>
      <c r="BK25" s="1397"/>
      <c r="BL25" s="1397"/>
      <c r="BM25" s="1397"/>
      <c r="BN25" s="1397"/>
    </row>
    <row r="26" spans="1:66" ht="13.5" hidden="1" outlineLevel="1" thickBot="1" x14ac:dyDescent="0.25">
      <c r="A26" s="589"/>
      <c r="B26" s="589"/>
      <c r="C26" s="589"/>
      <c r="D26" s="589"/>
      <c r="E26" s="589"/>
      <c r="F26" s="589"/>
      <c r="G26" s="604" t="str">
        <f t="shared" si="2"/>
        <v/>
      </c>
      <c r="H26" s="589"/>
      <c r="I26" s="2094" t="str">
        <f t="shared" si="3"/>
        <v/>
      </c>
      <c r="K26" s="589"/>
      <c r="L26" s="589"/>
      <c r="M26" s="589"/>
      <c r="N26" s="589"/>
      <c r="O26" s="589"/>
      <c r="P26" s="589"/>
      <c r="Q26" s="589"/>
      <c r="R26" s="558" t="s">
        <v>1720</v>
      </c>
      <c r="S26" s="590"/>
      <c r="T26" s="591"/>
      <c r="U26" s="592"/>
      <c r="V26" s="605"/>
      <c r="W26" s="593"/>
      <c r="X26" s="594" t="s">
        <v>769</v>
      </c>
      <c r="Y26" s="595"/>
      <c r="Z26" s="605"/>
      <c r="AA26" s="596"/>
      <c r="AB26" s="597"/>
      <c r="AC26" s="594" t="s">
        <v>769</v>
      </c>
      <c r="AD26" s="595"/>
      <c r="AE26" s="589"/>
      <c r="AF26" s="589"/>
      <c r="AG26" s="589"/>
      <c r="AH26" s="589"/>
      <c r="AI26" s="589"/>
      <c r="AJ26" s="589"/>
      <c r="AK26" s="589"/>
      <c r="AL26" s="575"/>
      <c r="AM26" s="589"/>
      <c r="AN26" s="1397"/>
      <c r="AO26" s="1397"/>
      <c r="AP26" s="1397"/>
      <c r="AQ26" s="1397"/>
      <c r="AR26" s="1397"/>
      <c r="AS26" s="1397"/>
      <c r="AT26" s="1397"/>
      <c r="AU26" s="1397"/>
      <c r="AV26" s="1397"/>
      <c r="AW26" s="1397"/>
      <c r="AX26" s="1397"/>
      <c r="AY26" s="1397"/>
      <c r="AZ26" s="1397"/>
      <c r="BA26" s="1397"/>
      <c r="BB26" s="1397"/>
      <c r="BC26" s="1397"/>
      <c r="BD26" s="1397"/>
      <c r="BE26" s="1397"/>
      <c r="BF26" s="1397"/>
      <c r="BG26" s="1397"/>
      <c r="BH26" s="1397"/>
      <c r="BI26" s="1397"/>
      <c r="BJ26" s="1397"/>
      <c r="BK26" s="1397"/>
      <c r="BL26" s="1397"/>
      <c r="BM26" s="1397"/>
      <c r="BN26" s="1397"/>
    </row>
    <row r="27" spans="1:66" ht="13.5" hidden="1" outlineLevel="1" thickBot="1" x14ac:dyDescent="0.25">
      <c r="A27" s="589"/>
      <c r="B27" s="589"/>
      <c r="C27" s="589"/>
      <c r="D27" s="589"/>
      <c r="E27" s="589"/>
      <c r="F27" s="589"/>
      <c r="G27" s="604" t="str">
        <f t="shared" si="2"/>
        <v/>
      </c>
      <c r="H27" s="589"/>
      <c r="I27" s="2094" t="str">
        <f t="shared" si="3"/>
        <v/>
      </c>
      <c r="K27" s="589"/>
      <c r="L27" s="589"/>
      <c r="M27" s="589"/>
      <c r="N27" s="589"/>
      <c r="O27" s="589"/>
      <c r="P27" s="589"/>
      <c r="Q27" s="589"/>
      <c r="R27" s="558" t="s">
        <v>1720</v>
      </c>
      <c r="S27" s="590"/>
      <c r="T27" s="591"/>
      <c r="U27" s="592"/>
      <c r="V27" s="605"/>
      <c r="W27" s="593"/>
      <c r="X27" s="594" t="s">
        <v>769</v>
      </c>
      <c r="Y27" s="595"/>
      <c r="Z27" s="605"/>
      <c r="AA27" s="596"/>
      <c r="AB27" s="597"/>
      <c r="AC27" s="594" t="s">
        <v>769</v>
      </c>
      <c r="AD27" s="595"/>
      <c r="AE27" s="589"/>
      <c r="AF27" s="589"/>
      <c r="AG27" s="589"/>
      <c r="AH27" s="589"/>
      <c r="AI27" s="589"/>
      <c r="AJ27" s="589"/>
      <c r="AK27" s="589"/>
      <c r="AL27" s="575"/>
      <c r="AM27" s="589"/>
      <c r="AN27" s="1397"/>
      <c r="AO27" s="1397"/>
      <c r="AP27" s="1397"/>
      <c r="AQ27" s="1397"/>
      <c r="AR27" s="1397"/>
      <c r="AS27" s="1397"/>
      <c r="AT27" s="1397"/>
      <c r="AU27" s="1397"/>
      <c r="AV27" s="1397"/>
      <c r="AW27" s="1397"/>
      <c r="AX27" s="1397"/>
      <c r="AY27" s="1397"/>
      <c r="AZ27" s="1397"/>
      <c r="BA27" s="1397"/>
      <c r="BB27" s="1397"/>
      <c r="BC27" s="1397"/>
      <c r="BD27" s="1397"/>
      <c r="BE27" s="1397"/>
      <c r="BF27" s="1397"/>
      <c r="BG27" s="1397"/>
      <c r="BH27" s="1397"/>
      <c r="BI27" s="1397"/>
      <c r="BJ27" s="1397"/>
      <c r="BK27" s="1397"/>
      <c r="BL27" s="1397"/>
      <c r="BM27" s="1397"/>
      <c r="BN27" s="1397"/>
    </row>
    <row r="28" spans="1:66" ht="13.5" hidden="1" outlineLevel="1" thickBot="1" x14ac:dyDescent="0.25">
      <c r="A28" s="589"/>
      <c r="B28" s="589"/>
      <c r="C28" s="589"/>
      <c r="D28" s="589"/>
      <c r="E28" s="589"/>
      <c r="F28" s="589"/>
      <c r="G28" s="604" t="str">
        <f t="shared" si="2"/>
        <v/>
      </c>
      <c r="H28" s="589"/>
      <c r="I28" s="2094" t="str">
        <f t="shared" si="3"/>
        <v/>
      </c>
      <c r="K28" s="589"/>
      <c r="L28" s="589"/>
      <c r="M28" s="589"/>
      <c r="N28" s="589"/>
      <c r="O28" s="589"/>
      <c r="P28" s="589"/>
      <c r="Q28" s="589"/>
      <c r="R28" s="558" t="s">
        <v>1720</v>
      </c>
      <c r="S28" s="590"/>
      <c r="T28" s="591"/>
      <c r="U28" s="592"/>
      <c r="V28" s="605"/>
      <c r="W28" s="593"/>
      <c r="X28" s="594" t="s">
        <v>769</v>
      </c>
      <c r="Y28" s="595"/>
      <c r="Z28" s="605"/>
      <c r="AA28" s="596"/>
      <c r="AB28" s="597"/>
      <c r="AC28" s="594" t="s">
        <v>769</v>
      </c>
      <c r="AD28" s="595"/>
      <c r="AE28" s="589"/>
      <c r="AF28" s="589"/>
      <c r="AG28" s="589"/>
      <c r="AH28" s="589"/>
      <c r="AI28" s="589"/>
      <c r="AJ28" s="589"/>
      <c r="AK28" s="589"/>
      <c r="AL28" s="575"/>
      <c r="AM28" s="589"/>
      <c r="AN28" s="1397"/>
      <c r="AO28" s="1397"/>
      <c r="AP28" s="1397"/>
      <c r="AQ28" s="1397"/>
      <c r="AR28" s="1397"/>
      <c r="AS28" s="1397"/>
      <c r="AT28" s="1397"/>
      <c r="AU28" s="1397"/>
      <c r="AV28" s="1397"/>
      <c r="AW28" s="1397"/>
      <c r="AX28" s="1397"/>
      <c r="AY28" s="1397"/>
      <c r="AZ28" s="1397"/>
      <c r="BA28" s="1397"/>
      <c r="BB28" s="1397"/>
      <c r="BC28" s="1397"/>
      <c r="BD28" s="1397"/>
      <c r="BE28" s="1397"/>
      <c r="BF28" s="1397"/>
      <c r="BG28" s="1397"/>
      <c r="BH28" s="1397"/>
      <c r="BI28" s="1397"/>
      <c r="BJ28" s="1397"/>
      <c r="BK28" s="1397"/>
      <c r="BL28" s="1397"/>
      <c r="BM28" s="1397"/>
      <c r="BN28" s="1397"/>
    </row>
    <row r="29" spans="1:66" ht="13.5" hidden="1" outlineLevel="1" thickBot="1" x14ac:dyDescent="0.25">
      <c r="A29" s="589"/>
      <c r="B29" s="589"/>
      <c r="C29" s="589"/>
      <c r="D29" s="589"/>
      <c r="E29" s="589"/>
      <c r="F29" s="589"/>
      <c r="G29" s="604" t="str">
        <f t="shared" si="2"/>
        <v/>
      </c>
      <c r="H29" s="589"/>
      <c r="I29" s="2094" t="str">
        <f t="shared" si="3"/>
        <v/>
      </c>
      <c r="K29" s="589"/>
      <c r="L29" s="589"/>
      <c r="M29" s="589"/>
      <c r="N29" s="589"/>
      <c r="O29" s="589"/>
      <c r="P29" s="589"/>
      <c r="Q29" s="589"/>
      <c r="R29" s="558" t="s">
        <v>1720</v>
      </c>
      <c r="S29" s="590"/>
      <c r="T29" s="591"/>
      <c r="U29" s="592"/>
      <c r="V29" s="605"/>
      <c r="W29" s="593"/>
      <c r="X29" s="594" t="s">
        <v>769</v>
      </c>
      <c r="Y29" s="595"/>
      <c r="Z29" s="605"/>
      <c r="AA29" s="596"/>
      <c r="AB29" s="597"/>
      <c r="AC29" s="594" t="s">
        <v>769</v>
      </c>
      <c r="AD29" s="595"/>
      <c r="AE29" s="589"/>
      <c r="AF29" s="589"/>
      <c r="AG29" s="589"/>
      <c r="AH29" s="589"/>
      <c r="AI29" s="589"/>
      <c r="AJ29" s="589"/>
      <c r="AK29" s="589"/>
      <c r="AL29" s="575"/>
      <c r="AM29" s="589"/>
      <c r="AN29" s="1397"/>
      <c r="AO29" s="1397"/>
      <c r="AP29" s="1397"/>
      <c r="AQ29" s="1397"/>
      <c r="AR29" s="1397"/>
      <c r="AS29" s="1397"/>
      <c r="AT29" s="1397"/>
      <c r="AU29" s="1397"/>
      <c r="AV29" s="1397"/>
      <c r="AW29" s="1397"/>
      <c r="AX29" s="1397"/>
      <c r="AY29" s="1397"/>
      <c r="AZ29" s="1397"/>
      <c r="BA29" s="1397"/>
      <c r="BB29" s="1397"/>
      <c r="BC29" s="1397"/>
      <c r="BD29" s="1397"/>
      <c r="BE29" s="1397"/>
      <c r="BF29" s="1397"/>
      <c r="BG29" s="1397"/>
      <c r="BH29" s="1397"/>
      <c r="BI29" s="1397"/>
      <c r="BJ29" s="1397"/>
      <c r="BK29" s="1397"/>
      <c r="BL29" s="1397"/>
      <c r="BM29" s="1397"/>
      <c r="BN29" s="1397"/>
    </row>
    <row r="30" spans="1:66" ht="13.5" hidden="1" outlineLevel="1" thickBot="1" x14ac:dyDescent="0.25">
      <c r="A30" s="589"/>
      <c r="B30" s="589"/>
      <c r="C30" s="589"/>
      <c r="D30" s="589"/>
      <c r="E30" s="589"/>
      <c r="F30" s="589"/>
      <c r="G30" s="604" t="str">
        <f t="shared" si="2"/>
        <v/>
      </c>
      <c r="H30" s="589"/>
      <c r="I30" s="2094" t="str">
        <f t="shared" si="3"/>
        <v/>
      </c>
      <c r="K30" s="589"/>
      <c r="L30" s="589"/>
      <c r="M30" s="589"/>
      <c r="N30" s="589"/>
      <c r="O30" s="589"/>
      <c r="P30" s="589"/>
      <c r="Q30" s="589"/>
      <c r="R30" s="558" t="s">
        <v>1720</v>
      </c>
      <c r="S30" s="590"/>
      <c r="T30" s="591"/>
      <c r="U30" s="592"/>
      <c r="V30" s="605"/>
      <c r="W30" s="593"/>
      <c r="X30" s="594" t="s">
        <v>769</v>
      </c>
      <c r="Y30" s="595"/>
      <c r="Z30" s="605"/>
      <c r="AA30" s="596"/>
      <c r="AB30" s="597"/>
      <c r="AC30" s="594" t="s">
        <v>769</v>
      </c>
      <c r="AD30" s="595"/>
      <c r="AE30" s="589"/>
      <c r="AF30" s="589"/>
      <c r="AG30" s="589"/>
      <c r="AH30" s="589"/>
      <c r="AI30" s="589"/>
      <c r="AJ30" s="589"/>
      <c r="AK30" s="589"/>
      <c r="AL30" s="575"/>
      <c r="AM30" s="589"/>
      <c r="AN30" s="1397"/>
      <c r="AO30" s="1397"/>
      <c r="AP30" s="1397"/>
      <c r="AQ30" s="1397"/>
      <c r="AR30" s="1397"/>
      <c r="AS30" s="1397"/>
      <c r="AT30" s="1397"/>
      <c r="AU30" s="1397"/>
      <c r="AV30" s="1397"/>
      <c r="AW30" s="1397"/>
      <c r="AX30" s="1397"/>
      <c r="AY30" s="1397"/>
      <c r="AZ30" s="1397"/>
      <c r="BA30" s="1397"/>
      <c r="BB30" s="1397"/>
      <c r="BC30" s="1397"/>
      <c r="BD30" s="1397"/>
      <c r="BE30" s="1397"/>
      <c r="BF30" s="1397"/>
      <c r="BG30" s="1397"/>
      <c r="BH30" s="1397"/>
      <c r="BI30" s="1397"/>
      <c r="BJ30" s="1397"/>
      <c r="BK30" s="1397"/>
      <c r="BL30" s="1397"/>
      <c r="BM30" s="1397"/>
      <c r="BN30" s="1397"/>
    </row>
    <row r="31" spans="1:66" ht="13.5" hidden="1" outlineLevel="1" thickBot="1" x14ac:dyDescent="0.25">
      <c r="A31" s="267"/>
      <c r="B31" s="267"/>
      <c r="C31" s="267"/>
      <c r="D31" s="267"/>
      <c r="E31" s="267"/>
      <c r="F31" s="267"/>
      <c r="G31" s="358" t="str">
        <f>N_Pre_Qualified</f>
        <v>Qualifiés d'office</v>
      </c>
      <c r="H31" s="267"/>
      <c r="I31" s="267"/>
      <c r="J31" s="267"/>
      <c r="K31" s="267"/>
      <c r="L31" s="267"/>
      <c r="M31" s="267"/>
      <c r="N31" s="267"/>
      <c r="O31" s="267"/>
      <c r="P31" s="267"/>
      <c r="Q31" s="267"/>
      <c r="R31" s="334"/>
      <c r="S31" s="267"/>
      <c r="T31" s="267"/>
      <c r="U31" s="267"/>
      <c r="V31" s="267"/>
      <c r="W31" s="267"/>
      <c r="X31" s="267"/>
      <c r="Y31" s="267"/>
      <c r="Z31" s="267"/>
      <c r="AA31" s="267"/>
      <c r="AB31" s="267"/>
      <c r="AC31" s="267"/>
      <c r="AD31" s="267"/>
      <c r="AE31" s="267"/>
      <c r="AF31" s="267"/>
      <c r="AG31" s="267"/>
      <c r="AH31" s="267"/>
      <c r="AI31" s="267"/>
      <c r="AJ31" s="267"/>
      <c r="AK31" s="267"/>
      <c r="AM31" s="267"/>
      <c r="AN31" s="1397"/>
      <c r="AO31" s="1397"/>
      <c r="AP31" s="1397"/>
      <c r="AQ31" s="1397"/>
      <c r="AR31" s="1397"/>
      <c r="AS31" s="1397"/>
      <c r="AT31" s="1397"/>
      <c r="AU31" s="1397"/>
      <c r="AV31" s="1397"/>
      <c r="AW31" s="1397"/>
      <c r="AX31" s="1397"/>
      <c r="AY31" s="1397"/>
      <c r="AZ31" s="1397"/>
      <c r="BA31" s="1397"/>
      <c r="BB31" s="1397"/>
      <c r="BC31" s="1397"/>
      <c r="BD31" s="1397"/>
      <c r="BE31" s="1397"/>
      <c r="BF31" s="1397"/>
      <c r="BG31" s="1397"/>
      <c r="BH31" s="1397"/>
      <c r="BI31" s="1397"/>
      <c r="BJ31" s="1397"/>
      <c r="BK31" s="1397"/>
      <c r="BL31" s="1397"/>
      <c r="BM31" s="1397"/>
      <c r="BN31" s="1397"/>
    </row>
    <row r="32" spans="1:66" ht="13.5" hidden="1" outlineLevel="1" thickBot="1" x14ac:dyDescent="0.25">
      <c r="A32" s="267"/>
      <c r="B32" s="267"/>
      <c r="C32" s="267"/>
      <c r="D32" s="267"/>
      <c r="E32" s="267"/>
      <c r="F32" s="267"/>
      <c r="G32" s="605"/>
      <c r="H32" s="267"/>
      <c r="I32" s="267"/>
      <c r="J32" s="267"/>
      <c r="K32" s="267"/>
      <c r="L32" s="267"/>
      <c r="M32" s="267"/>
      <c r="N32" s="267"/>
      <c r="O32" s="267"/>
      <c r="P32" s="267"/>
      <c r="Q32" s="267"/>
      <c r="R32" s="334"/>
      <c r="S32" s="267"/>
      <c r="T32" s="267"/>
      <c r="U32" s="267"/>
      <c r="V32" s="267"/>
      <c r="W32" s="267"/>
      <c r="X32" s="280"/>
      <c r="Y32" s="280"/>
      <c r="Z32" s="267"/>
      <c r="AA32" s="280"/>
      <c r="AB32" s="267"/>
      <c r="AC32" s="267"/>
      <c r="AD32" s="280"/>
      <c r="AE32" s="267"/>
      <c r="AF32" s="267"/>
      <c r="AG32" s="267"/>
      <c r="AH32" s="267"/>
      <c r="AI32" s="267"/>
      <c r="AJ32" s="267"/>
      <c r="AK32" s="267"/>
      <c r="AM32" s="267"/>
      <c r="AN32" s="1397"/>
      <c r="AO32" s="1397"/>
      <c r="AP32" s="1397"/>
      <c r="AQ32" s="1397"/>
      <c r="AR32" s="1397"/>
      <c r="AS32" s="1397"/>
      <c r="AT32" s="1397"/>
      <c r="AU32" s="1397"/>
      <c r="AV32" s="1397"/>
      <c r="AW32" s="1397"/>
      <c r="AX32" s="1397"/>
      <c r="AY32" s="1397"/>
      <c r="AZ32" s="1397"/>
      <c r="BA32" s="1397"/>
      <c r="BB32" s="1397"/>
      <c r="BC32" s="1397"/>
      <c r="BD32" s="1397"/>
      <c r="BE32" s="1397"/>
      <c r="BF32" s="1397"/>
      <c r="BG32" s="1397"/>
      <c r="BH32" s="1397"/>
      <c r="BI32" s="1397"/>
      <c r="BJ32" s="1397"/>
      <c r="BK32" s="1397"/>
      <c r="BL32" s="1397"/>
      <c r="BM32" s="1397"/>
      <c r="BN32" s="1397"/>
    </row>
    <row r="33" spans="1:66" ht="13.5" hidden="1" outlineLevel="1" thickBot="1" x14ac:dyDescent="0.25">
      <c r="A33" s="267"/>
      <c r="B33" s="267"/>
      <c r="C33" s="267"/>
      <c r="D33" s="267"/>
      <c r="E33" s="267"/>
      <c r="F33" s="267"/>
      <c r="G33" s="605"/>
      <c r="H33" s="267"/>
      <c r="I33" s="267"/>
      <c r="J33" s="267"/>
      <c r="K33" s="267"/>
      <c r="L33" s="267"/>
      <c r="M33" s="267"/>
      <c r="N33" s="267"/>
      <c r="O33" s="267"/>
      <c r="P33" s="267"/>
      <c r="Q33" s="267"/>
      <c r="R33" s="334"/>
      <c r="S33" s="267"/>
      <c r="T33" s="267"/>
      <c r="U33" s="267"/>
      <c r="V33" s="267"/>
      <c r="W33" s="267"/>
      <c r="X33" s="267"/>
      <c r="Y33" s="267"/>
      <c r="Z33" s="267"/>
      <c r="AA33" s="267"/>
      <c r="AB33" s="267"/>
      <c r="AC33" s="267"/>
      <c r="AD33" s="280"/>
      <c r="AE33" s="267"/>
      <c r="AF33" s="267"/>
      <c r="AG33" s="267"/>
      <c r="AH33" s="267"/>
      <c r="AI33" s="267"/>
      <c r="AJ33" s="267"/>
      <c r="AK33" s="267"/>
      <c r="AM33" s="267"/>
      <c r="AN33" s="1397"/>
      <c r="AO33" s="1397"/>
      <c r="AP33" s="1397"/>
      <c r="AQ33" s="1397"/>
      <c r="AR33" s="1397"/>
      <c r="AS33" s="1397"/>
      <c r="AT33" s="1397"/>
      <c r="AU33" s="1397"/>
      <c r="AV33" s="1397"/>
      <c r="AW33" s="1397"/>
      <c r="AX33" s="1397"/>
      <c r="AY33" s="1397"/>
      <c r="AZ33" s="1397"/>
      <c r="BA33" s="1397"/>
      <c r="BB33" s="1397"/>
      <c r="BC33" s="1397"/>
      <c r="BD33" s="1397"/>
      <c r="BE33" s="1397"/>
      <c r="BF33" s="1397"/>
      <c r="BG33" s="1397"/>
      <c r="BH33" s="1397"/>
      <c r="BI33" s="1397"/>
      <c r="BJ33" s="1397"/>
      <c r="BK33" s="1397"/>
      <c r="BL33" s="1397"/>
      <c r="BM33" s="1397"/>
      <c r="BN33" s="1397"/>
    </row>
    <row r="34" spans="1:66" ht="13.5" hidden="1" outlineLevel="1" thickBot="1" x14ac:dyDescent="0.25">
      <c r="A34" s="267"/>
      <c r="B34" s="267"/>
      <c r="C34" s="267"/>
      <c r="D34" s="267"/>
      <c r="E34" s="267"/>
      <c r="F34" s="267"/>
      <c r="G34" s="605"/>
      <c r="H34" s="267"/>
      <c r="I34" s="267"/>
      <c r="J34" s="267"/>
      <c r="K34" s="267"/>
      <c r="L34" s="267"/>
      <c r="M34" s="267"/>
      <c r="N34" s="267"/>
      <c r="O34" s="267"/>
      <c r="P34" s="267"/>
      <c r="Q34" s="267"/>
      <c r="R34" s="334"/>
      <c r="S34" s="267"/>
      <c r="T34" s="267"/>
      <c r="U34" s="267"/>
      <c r="V34" s="267"/>
      <c r="W34" s="267"/>
      <c r="X34" s="267"/>
      <c r="Y34" s="267"/>
      <c r="Z34" s="267"/>
      <c r="AA34" s="267"/>
      <c r="AB34" s="267"/>
      <c r="AC34" s="267"/>
      <c r="AD34" s="280"/>
      <c r="AE34" s="267"/>
      <c r="AF34" s="267"/>
      <c r="AG34" s="267"/>
      <c r="AH34" s="267"/>
      <c r="AI34" s="267"/>
      <c r="AJ34" s="267"/>
      <c r="AK34" s="267"/>
      <c r="AM34" s="267"/>
      <c r="AN34" s="1397"/>
      <c r="AO34" s="1397"/>
      <c r="AP34" s="1397"/>
      <c r="AQ34" s="1397"/>
      <c r="AR34" s="1397"/>
      <c r="AS34" s="1397"/>
      <c r="AT34" s="1397"/>
      <c r="AU34" s="1397"/>
      <c r="AV34" s="1397"/>
      <c r="AW34" s="1397"/>
      <c r="AX34" s="1397"/>
      <c r="AY34" s="1397"/>
      <c r="AZ34" s="1397"/>
      <c r="BA34" s="1397"/>
      <c r="BB34" s="1397"/>
      <c r="BC34" s="1397"/>
      <c r="BD34" s="1397"/>
      <c r="BE34" s="1397"/>
      <c r="BF34" s="1397"/>
      <c r="BG34" s="1397"/>
      <c r="BH34" s="1397"/>
      <c r="BI34" s="1397"/>
      <c r="BJ34" s="1397"/>
      <c r="BK34" s="1397"/>
      <c r="BL34" s="1397"/>
      <c r="BM34" s="1397"/>
      <c r="BN34" s="1397"/>
    </row>
    <row r="35" spans="1:66" ht="13.5" hidden="1" outlineLevel="1" thickBot="1" x14ac:dyDescent="0.25">
      <c r="A35" s="267"/>
      <c r="B35" s="267"/>
      <c r="C35" s="267"/>
      <c r="D35" s="267"/>
      <c r="E35" s="267"/>
      <c r="F35" s="267"/>
      <c r="G35" s="605"/>
      <c r="H35" s="267"/>
      <c r="I35" s="267"/>
      <c r="J35" s="267"/>
      <c r="K35" s="267"/>
      <c r="L35" s="267"/>
      <c r="M35" s="267"/>
      <c r="N35" s="267"/>
      <c r="O35" s="267"/>
      <c r="P35" s="267"/>
      <c r="Q35" s="267"/>
      <c r="R35" s="334"/>
      <c r="S35" s="267"/>
      <c r="T35" s="267"/>
      <c r="U35" s="267"/>
      <c r="V35" s="267"/>
      <c r="W35" s="267"/>
      <c r="X35" s="267"/>
      <c r="Y35" s="267"/>
      <c r="Z35" s="267"/>
      <c r="AA35" s="267"/>
      <c r="AB35" s="267"/>
      <c r="AC35" s="267"/>
      <c r="AD35" s="280"/>
      <c r="AE35" s="267"/>
      <c r="AF35" s="267"/>
      <c r="AG35" s="267"/>
      <c r="AH35" s="267"/>
      <c r="AI35" s="267"/>
      <c r="AJ35" s="267"/>
      <c r="AK35" s="267"/>
      <c r="AM35" s="267"/>
      <c r="AN35" s="1397"/>
      <c r="AO35" s="1397"/>
      <c r="AP35" s="1397"/>
      <c r="AQ35" s="1397"/>
      <c r="AR35" s="1397"/>
      <c r="AS35" s="1397"/>
      <c r="AT35" s="1397"/>
      <c r="AU35" s="1397"/>
      <c r="AV35" s="1397"/>
      <c r="AW35" s="1397"/>
      <c r="AX35" s="1397"/>
      <c r="AY35" s="1397"/>
      <c r="AZ35" s="1397"/>
      <c r="BA35" s="1397"/>
      <c r="BB35" s="1397"/>
      <c r="BC35" s="1397"/>
      <c r="BD35" s="1397"/>
      <c r="BE35" s="1397"/>
      <c r="BF35" s="1397"/>
      <c r="BG35" s="1397"/>
      <c r="BH35" s="1397"/>
      <c r="BI35" s="1397"/>
      <c r="BJ35" s="1397"/>
      <c r="BK35" s="1397"/>
      <c r="BL35" s="1397"/>
      <c r="BM35" s="1397"/>
      <c r="BN35" s="1397"/>
    </row>
    <row r="36" spans="1:66" ht="13.5" hidden="1" outlineLevel="1" thickBot="1" x14ac:dyDescent="0.25">
      <c r="A36" s="267"/>
      <c r="B36" s="267"/>
      <c r="C36" s="267"/>
      <c r="D36" s="267"/>
      <c r="E36" s="267"/>
      <c r="F36" s="267"/>
      <c r="G36" s="605"/>
      <c r="H36" s="267"/>
      <c r="I36" s="267"/>
      <c r="J36" s="267"/>
      <c r="K36" s="267"/>
      <c r="L36" s="267"/>
      <c r="M36" s="267"/>
      <c r="N36" s="267"/>
      <c r="O36" s="267"/>
      <c r="P36" s="267"/>
      <c r="Q36" s="267"/>
      <c r="R36" s="334"/>
      <c r="S36" s="267"/>
      <c r="T36" s="267"/>
      <c r="U36" s="267"/>
      <c r="V36" s="267"/>
      <c r="W36" s="267"/>
      <c r="X36" s="267"/>
      <c r="Y36" s="267"/>
      <c r="Z36" s="267"/>
      <c r="AA36" s="267"/>
      <c r="AB36" s="267"/>
      <c r="AC36" s="267"/>
      <c r="AD36" s="280"/>
      <c r="AE36" s="267"/>
      <c r="AF36" s="267"/>
      <c r="AG36" s="267"/>
      <c r="AH36" s="267"/>
      <c r="AI36" s="267"/>
      <c r="AJ36" s="267"/>
      <c r="AK36" s="267"/>
      <c r="AM36" s="267"/>
      <c r="AN36" s="1397"/>
      <c r="AO36" s="1397"/>
      <c r="AP36" s="1397"/>
      <c r="AQ36" s="1397"/>
      <c r="AR36" s="1397"/>
      <c r="AS36" s="1397"/>
      <c r="AT36" s="1397"/>
      <c r="AU36" s="1397"/>
      <c r="AV36" s="1397"/>
      <c r="AW36" s="1397"/>
      <c r="AX36" s="1397"/>
      <c r="AY36" s="1397"/>
      <c r="AZ36" s="1397"/>
      <c r="BA36" s="1397"/>
      <c r="BB36" s="1397"/>
      <c r="BC36" s="1397"/>
      <c r="BD36" s="1397"/>
      <c r="BE36" s="1397"/>
      <c r="BF36" s="1397"/>
      <c r="BG36" s="1397"/>
      <c r="BH36" s="1397"/>
      <c r="BI36" s="1397"/>
      <c r="BJ36" s="1397"/>
      <c r="BK36" s="1397"/>
      <c r="BL36" s="1397"/>
      <c r="BM36" s="1397"/>
      <c r="BN36" s="1397"/>
    </row>
    <row r="37" spans="1:66" ht="13.5" hidden="1" outlineLevel="1" thickBot="1" x14ac:dyDescent="0.25">
      <c r="A37" s="267"/>
      <c r="B37" s="267"/>
      <c r="C37" s="267"/>
      <c r="D37" s="267"/>
      <c r="E37" s="267"/>
      <c r="F37" s="267"/>
      <c r="G37" s="605"/>
      <c r="H37" s="267"/>
      <c r="I37" s="267"/>
      <c r="J37" s="267"/>
      <c r="K37" s="267"/>
      <c r="L37" s="267"/>
      <c r="M37" s="267"/>
      <c r="N37" s="267"/>
      <c r="O37" s="267"/>
      <c r="P37" s="267"/>
      <c r="Q37" s="267"/>
      <c r="R37" s="334"/>
      <c r="S37" s="267"/>
      <c r="T37" s="267"/>
      <c r="U37" s="267"/>
      <c r="V37" s="267"/>
      <c r="W37" s="267"/>
      <c r="X37" s="267"/>
      <c r="Y37" s="267"/>
      <c r="Z37" s="267"/>
      <c r="AA37" s="267"/>
      <c r="AB37" s="267"/>
      <c r="AC37" s="267"/>
      <c r="AD37" s="280"/>
      <c r="AE37" s="267"/>
      <c r="AF37" s="267"/>
      <c r="AG37" s="267"/>
      <c r="AH37" s="267"/>
      <c r="AI37" s="267"/>
      <c r="AJ37" s="267"/>
      <c r="AK37" s="267"/>
      <c r="AM37" s="267"/>
      <c r="AN37" s="1397"/>
      <c r="AO37" s="1397"/>
      <c r="AP37" s="1397"/>
      <c r="AQ37" s="1397"/>
      <c r="AR37" s="1397"/>
      <c r="AS37" s="1397"/>
      <c r="AT37" s="1397"/>
      <c r="AU37" s="1397"/>
      <c r="AV37" s="1397"/>
      <c r="AW37" s="1397"/>
      <c r="AX37" s="1397"/>
      <c r="AY37" s="1397"/>
      <c r="AZ37" s="1397"/>
      <c r="BA37" s="1397"/>
      <c r="BB37" s="1397"/>
      <c r="BC37" s="1397"/>
      <c r="BD37" s="1397"/>
      <c r="BE37" s="1397"/>
      <c r="BF37" s="1397"/>
      <c r="BG37" s="1397"/>
      <c r="BH37" s="1397"/>
      <c r="BI37" s="1397"/>
      <c r="BJ37" s="1397"/>
      <c r="BK37" s="1397"/>
      <c r="BL37" s="1397"/>
      <c r="BM37" s="1397"/>
      <c r="BN37" s="1397"/>
    </row>
    <row r="38" spans="1:66" ht="13.5" hidden="1" outlineLevel="1" thickBot="1" x14ac:dyDescent="0.25">
      <c r="A38" s="267"/>
      <c r="B38" s="267"/>
      <c r="C38" s="267"/>
      <c r="D38" s="267"/>
      <c r="E38" s="267"/>
      <c r="F38" s="267"/>
      <c r="G38" s="605"/>
      <c r="H38" s="267"/>
      <c r="I38" s="267"/>
      <c r="J38" s="267"/>
      <c r="K38" s="267"/>
      <c r="L38" s="267"/>
      <c r="M38" s="267"/>
      <c r="N38" s="267"/>
      <c r="O38" s="267"/>
      <c r="P38" s="267"/>
      <c r="Q38" s="267"/>
      <c r="R38" s="334"/>
      <c r="S38" s="267"/>
      <c r="T38" s="267"/>
      <c r="U38" s="267"/>
      <c r="V38" s="267"/>
      <c r="W38" s="267"/>
      <c r="X38" s="267"/>
      <c r="Y38" s="267"/>
      <c r="Z38" s="267"/>
      <c r="AA38" s="267"/>
      <c r="AB38" s="267"/>
      <c r="AC38" s="267"/>
      <c r="AD38" s="280"/>
      <c r="AE38" s="267"/>
      <c r="AF38" s="267"/>
      <c r="AG38" s="267"/>
      <c r="AH38" s="267"/>
      <c r="AI38" s="267"/>
      <c r="AJ38" s="267"/>
      <c r="AK38" s="267"/>
      <c r="AM38" s="267"/>
      <c r="AN38" s="1397"/>
      <c r="AO38" s="1397"/>
      <c r="AP38" s="1397"/>
      <c r="AQ38" s="1397"/>
      <c r="AR38" s="1397"/>
      <c r="AS38" s="1397"/>
      <c r="AT38" s="1397"/>
      <c r="AU38" s="1397"/>
      <c r="AV38" s="1397"/>
      <c r="AW38" s="1397"/>
      <c r="AX38" s="1397"/>
      <c r="AY38" s="1397"/>
      <c r="AZ38" s="1397"/>
      <c r="BA38" s="1397"/>
      <c r="BB38" s="1397"/>
      <c r="BC38" s="1397"/>
      <c r="BD38" s="1397"/>
      <c r="BE38" s="1397"/>
      <c r="BF38" s="1397"/>
      <c r="BG38" s="1397"/>
      <c r="BH38" s="1397"/>
      <c r="BI38" s="1397"/>
      <c r="BJ38" s="1397"/>
      <c r="BK38" s="1397"/>
      <c r="BL38" s="1397"/>
      <c r="BM38" s="1397"/>
      <c r="BN38" s="1397"/>
    </row>
    <row r="39" spans="1:66" ht="13.5" hidden="1" outlineLevel="1" thickBot="1" x14ac:dyDescent="0.25">
      <c r="A39" s="267"/>
      <c r="B39" s="267"/>
      <c r="C39" s="267"/>
      <c r="D39" s="267"/>
      <c r="E39" s="267"/>
      <c r="F39" s="267"/>
      <c r="G39" s="605"/>
      <c r="H39" s="267"/>
      <c r="I39" s="267"/>
      <c r="J39" s="267"/>
      <c r="K39" s="267"/>
      <c r="L39" s="267"/>
      <c r="M39" s="267"/>
      <c r="N39" s="267"/>
      <c r="O39" s="267"/>
      <c r="P39" s="267"/>
      <c r="Q39" s="267"/>
      <c r="R39" s="334"/>
      <c r="S39" s="267"/>
      <c r="T39" s="267"/>
      <c r="U39" s="267"/>
      <c r="V39" s="267"/>
      <c r="W39" s="267"/>
      <c r="X39" s="267"/>
      <c r="Y39" s="267"/>
      <c r="Z39" s="267"/>
      <c r="AA39" s="267"/>
      <c r="AB39" s="267"/>
      <c r="AC39" s="267"/>
      <c r="AD39" s="280"/>
      <c r="AE39" s="267"/>
      <c r="AF39" s="267"/>
      <c r="AG39" s="267"/>
      <c r="AH39" s="267"/>
      <c r="AI39" s="267"/>
      <c r="AJ39" s="267"/>
      <c r="AK39" s="267"/>
      <c r="AM39" s="267"/>
      <c r="AN39" s="1397"/>
      <c r="AO39" s="1397"/>
      <c r="AP39" s="1397"/>
      <c r="AQ39" s="1397"/>
      <c r="AR39" s="1397"/>
      <c r="AS39" s="1397"/>
      <c r="AT39" s="1397"/>
      <c r="AU39" s="1397"/>
      <c r="AV39" s="1397"/>
      <c r="AW39" s="1397"/>
      <c r="AX39" s="1397"/>
      <c r="AY39" s="1397"/>
      <c r="AZ39" s="1397"/>
      <c r="BA39" s="1397"/>
      <c r="BB39" s="1397"/>
      <c r="BC39" s="1397"/>
      <c r="BD39" s="1397"/>
      <c r="BE39" s="1397"/>
      <c r="BF39" s="1397"/>
      <c r="BG39" s="1397"/>
      <c r="BH39" s="1397"/>
      <c r="BI39" s="1397"/>
      <c r="BJ39" s="1397"/>
      <c r="BK39" s="1397"/>
      <c r="BL39" s="1397"/>
      <c r="BM39" s="1397"/>
      <c r="BN39" s="1397"/>
    </row>
    <row r="40" spans="1:66" ht="13.5" hidden="1" outlineLevel="1" thickBot="1" x14ac:dyDescent="0.25">
      <c r="A40" s="267"/>
      <c r="B40" s="267"/>
      <c r="C40" s="267"/>
      <c r="D40" s="267"/>
      <c r="E40" s="267"/>
      <c r="F40" s="267"/>
      <c r="G40" s="267"/>
      <c r="H40" s="267"/>
      <c r="I40" s="267"/>
      <c r="J40" s="267"/>
      <c r="K40" s="267"/>
      <c r="L40" s="267"/>
      <c r="M40" s="267"/>
      <c r="N40" s="267"/>
      <c r="O40" s="267"/>
      <c r="P40" s="267"/>
      <c r="Q40" s="267"/>
      <c r="R40" s="334"/>
      <c r="S40" s="267"/>
      <c r="T40" s="267"/>
      <c r="U40" s="267"/>
      <c r="V40" s="267"/>
      <c r="W40" s="267"/>
      <c r="X40" s="267"/>
      <c r="Y40" s="267"/>
      <c r="Z40" s="267"/>
      <c r="AA40" s="267"/>
      <c r="AB40" s="267"/>
      <c r="AC40" s="267"/>
      <c r="AD40" s="267"/>
      <c r="AE40" s="267"/>
      <c r="AF40" s="267"/>
      <c r="AG40" s="267"/>
      <c r="AH40" s="267"/>
      <c r="AI40" s="267"/>
      <c r="AJ40" s="267"/>
      <c r="AK40" s="267"/>
      <c r="AM40" s="267"/>
      <c r="AN40" s="1397"/>
      <c r="AO40" s="1397"/>
      <c r="AP40" s="1397"/>
      <c r="AQ40" s="1397"/>
      <c r="AR40" s="1397"/>
      <c r="AS40" s="1397"/>
      <c r="AT40" s="1397"/>
      <c r="AU40" s="1397"/>
      <c r="AV40" s="1397"/>
      <c r="AW40" s="1397"/>
      <c r="AX40" s="1397"/>
      <c r="AY40" s="1397"/>
      <c r="AZ40" s="1397"/>
      <c r="BA40" s="1397"/>
      <c r="BB40" s="1397"/>
      <c r="BC40" s="1397"/>
      <c r="BD40" s="1397"/>
      <c r="BE40" s="1397"/>
      <c r="BF40" s="1397"/>
      <c r="BG40" s="1397"/>
      <c r="BH40" s="1397"/>
      <c r="BI40" s="1397"/>
      <c r="BJ40" s="1397"/>
      <c r="BK40" s="1397"/>
      <c r="BL40" s="1397"/>
      <c r="BM40" s="1397"/>
      <c r="BN40" s="1397"/>
    </row>
    <row r="41" spans="1:66" ht="13.5" collapsed="1" thickBot="1" x14ac:dyDescent="0.25">
      <c r="A41" s="267"/>
      <c r="B41" s="2370" t="str">
        <f>N__1_128_DE_FINALE</f>
        <v>1/128 DE FINALE</v>
      </c>
      <c r="C41" s="2371"/>
      <c r="D41" s="2371"/>
      <c r="E41" s="2371"/>
      <c r="F41" s="2371"/>
      <c r="G41" s="2371"/>
      <c r="H41" s="2371"/>
      <c r="I41" s="2371"/>
      <c r="J41" s="2371"/>
      <c r="K41" s="2371"/>
      <c r="L41" s="2371"/>
      <c r="M41" s="2371"/>
      <c r="N41" s="2371"/>
      <c r="O41" s="2371"/>
      <c r="P41" s="2371"/>
      <c r="Q41" s="2371"/>
      <c r="R41" s="2371"/>
      <c r="S41" s="2371"/>
      <c r="T41" s="2371"/>
      <c r="U41" s="2371"/>
      <c r="V41" s="2371"/>
      <c r="W41" s="2371"/>
      <c r="X41" s="2371"/>
      <c r="Y41" s="2371"/>
      <c r="Z41" s="2371"/>
      <c r="AA41" s="2371"/>
      <c r="AB41" s="2371"/>
      <c r="AC41" s="2371"/>
      <c r="AD41" s="2371"/>
      <c r="AE41" s="2371"/>
      <c r="AF41" s="2371"/>
      <c r="AG41" s="2371"/>
      <c r="AH41" s="2371"/>
      <c r="AI41" s="2371"/>
      <c r="AJ41" s="2371"/>
      <c r="AK41" s="2371"/>
      <c r="AL41" s="2372"/>
      <c r="AM41" s="267"/>
      <c r="AN41" s="1397"/>
      <c r="AO41" s="1397"/>
      <c r="AP41" s="1397"/>
      <c r="AQ41" s="1397"/>
      <c r="AR41" s="1397"/>
      <c r="AS41" s="1397"/>
      <c r="AT41" s="1397"/>
      <c r="AU41" s="1397"/>
      <c r="AV41" s="1397"/>
      <c r="AW41" s="1397"/>
      <c r="AX41" s="1397"/>
      <c r="AY41" s="1397"/>
      <c r="AZ41" s="1397"/>
      <c r="BA41" s="1397"/>
      <c r="BB41" s="1397"/>
      <c r="BC41" s="1397"/>
      <c r="BD41" s="1397"/>
      <c r="BE41" s="1397"/>
      <c r="BF41" s="1397"/>
      <c r="BG41" s="1397"/>
      <c r="BH41" s="1397"/>
      <c r="BI41" s="1397"/>
      <c r="BJ41" s="1397"/>
      <c r="BK41" s="1397"/>
      <c r="BL41" s="1397"/>
      <c r="BM41" s="1397"/>
      <c r="BN41" s="1397"/>
    </row>
    <row r="42" spans="1:66" ht="13.5" hidden="1" outlineLevel="1" thickBot="1" x14ac:dyDescent="0.25">
      <c r="A42" s="267"/>
      <c r="B42" s="267"/>
      <c r="C42" s="267"/>
      <c r="D42" s="267"/>
      <c r="E42" s="267"/>
      <c r="F42" s="267"/>
      <c r="G42" s="323" t="str">
        <f>N_Qualifiés</f>
        <v>Qualifiés</v>
      </c>
      <c r="H42" s="267"/>
      <c r="I42" s="2093" t="str">
        <f>N_Disqualified</f>
        <v>Disqualifiés</v>
      </c>
      <c r="J42" s="267"/>
      <c r="K42" s="267"/>
      <c r="L42" s="267"/>
      <c r="M42" s="267"/>
      <c r="N42" s="267"/>
      <c r="O42" s="267"/>
      <c r="P42" s="267"/>
      <c r="Q42" s="267"/>
      <c r="R42" s="334"/>
      <c r="S42" s="324" t="str">
        <f>N_Heure</f>
        <v>Heure</v>
      </c>
      <c r="T42" s="324" t="str">
        <f>N_Table</f>
        <v>Table</v>
      </c>
      <c r="U42" s="324" t="str">
        <f>N_Arbitre</f>
        <v>Arbitre</v>
      </c>
      <c r="V42" s="325"/>
      <c r="W42" s="2373" t="str">
        <f>N_Scores</f>
        <v>Scores</v>
      </c>
      <c r="X42" s="2374"/>
      <c r="Y42" s="2375"/>
      <c r="Z42" s="326"/>
      <c r="AA42" s="323" t="str">
        <f>N_MS</f>
        <v>MS</v>
      </c>
      <c r="AB42" s="2376" t="str">
        <f>N_Diff</f>
        <v>Diff</v>
      </c>
      <c r="AC42" s="2377"/>
      <c r="AD42" s="2378"/>
      <c r="AE42" s="267"/>
      <c r="AF42" s="267"/>
      <c r="AG42" s="267"/>
      <c r="AH42" s="267"/>
      <c r="AI42" s="267"/>
      <c r="AJ42" s="267"/>
      <c r="AK42" s="267"/>
      <c r="AM42" s="267"/>
      <c r="AN42" s="1397"/>
      <c r="AO42" s="1397"/>
      <c r="AP42" s="1397"/>
      <c r="AQ42" s="1397"/>
      <c r="AR42" s="1397"/>
      <c r="AS42" s="1397"/>
      <c r="AT42" s="1397"/>
      <c r="AU42" s="1397"/>
      <c r="AV42" s="1397"/>
      <c r="AW42" s="1397"/>
      <c r="AX42" s="1397"/>
      <c r="AY42" s="1397"/>
      <c r="AZ42" s="1397"/>
      <c r="BA42" s="1397"/>
      <c r="BB42" s="1397"/>
      <c r="BC42" s="1397"/>
      <c r="BD42" s="1397"/>
      <c r="BE42" s="1397"/>
      <c r="BF42" s="1397"/>
      <c r="BG42" s="1397"/>
      <c r="BH42" s="1397"/>
      <c r="BI42" s="1397"/>
      <c r="BJ42" s="1397"/>
      <c r="BK42" s="1397"/>
      <c r="BL42" s="1397"/>
      <c r="BM42" s="1397"/>
      <c r="BN42" s="1397"/>
    </row>
    <row r="43" spans="1:66" ht="13.5" hidden="1" outlineLevel="1" thickBot="1" x14ac:dyDescent="0.25">
      <c r="A43" s="589"/>
      <c r="B43" s="589"/>
      <c r="C43" s="589"/>
      <c r="D43" s="589"/>
      <c r="E43" s="589"/>
      <c r="F43" s="589"/>
      <c r="G43" s="2110" t="str">
        <f t="shared" ref="G43:G106" si="4">IF(W43="",IF(OR(HidePlayerFormulas,V43=""),"","("&amp;V43&amp;"-"&amp;Z43&amp;")"),IF(W43&gt;Y43,V43,IF(Y43&gt;W43,Z43,IF(AB43&gt;AD43,V43,IF(AD43&gt;AB43,Z43,mess_erreur_marque)))))</f>
        <v/>
      </c>
      <c r="H43" s="589"/>
      <c r="I43" s="2095" t="str">
        <f t="shared" ref="I43:I74" si="5">IF(G43="","",IF(G43=V43,Z43,V43))</f>
        <v/>
      </c>
      <c r="K43" s="589"/>
      <c r="L43" s="589"/>
      <c r="M43" s="589"/>
      <c r="N43" s="589"/>
      <c r="O43" s="589"/>
      <c r="P43" s="589"/>
      <c r="Q43" s="589"/>
      <c r="R43" s="558" t="s">
        <v>2117</v>
      </c>
      <c r="S43" s="590"/>
      <c r="T43" s="591"/>
      <c r="U43" s="592"/>
      <c r="V43" s="605"/>
      <c r="W43" s="593"/>
      <c r="X43" s="594" t="s">
        <v>769</v>
      </c>
      <c r="Y43" s="595"/>
      <c r="Z43" s="605"/>
      <c r="AA43" s="596"/>
      <c r="AB43" s="597"/>
      <c r="AC43" s="594" t="s">
        <v>769</v>
      </c>
      <c r="AD43" s="595"/>
      <c r="AE43" s="589"/>
      <c r="AF43" s="589"/>
      <c r="AG43" s="589"/>
      <c r="AH43" s="589"/>
      <c r="AI43" s="589"/>
      <c r="AJ43" s="589"/>
      <c r="AK43" s="589"/>
      <c r="AL43" s="575"/>
      <c r="AM43" s="589"/>
      <c r="AN43" s="1397"/>
      <c r="AO43" s="1397"/>
      <c r="AP43" s="1397"/>
      <c r="AQ43" s="1397"/>
      <c r="AR43" s="1397"/>
      <c r="AS43" s="1397"/>
      <c r="AT43" s="1397"/>
      <c r="AU43" s="1397"/>
      <c r="AV43" s="1397"/>
      <c r="AW43" s="1397"/>
      <c r="AX43" s="1397"/>
      <c r="AY43" s="1397"/>
      <c r="AZ43" s="1397"/>
      <c r="BA43" s="1397"/>
      <c r="BB43" s="1397"/>
      <c r="BC43" s="1397"/>
      <c r="BD43" s="1397"/>
      <c r="BE43" s="1397"/>
      <c r="BF43" s="1397"/>
      <c r="BG43" s="1397"/>
      <c r="BH43" s="1397"/>
      <c r="BI43" s="1397"/>
      <c r="BJ43" s="1397"/>
      <c r="BK43" s="1397"/>
      <c r="BL43" s="1397"/>
      <c r="BM43" s="1397"/>
      <c r="BN43" s="1397"/>
    </row>
    <row r="44" spans="1:66" ht="13.5" hidden="1" outlineLevel="1" thickBot="1" x14ac:dyDescent="0.25">
      <c r="A44" s="589"/>
      <c r="B44" s="589"/>
      <c r="C44" s="589"/>
      <c r="D44" s="589"/>
      <c r="E44" s="589"/>
      <c r="F44" s="589"/>
      <c r="G44" s="2110" t="str">
        <f t="shared" si="4"/>
        <v/>
      </c>
      <c r="H44" s="589"/>
      <c r="I44" s="2095" t="str">
        <f t="shared" si="5"/>
        <v/>
      </c>
      <c r="K44" s="589"/>
      <c r="L44" s="589"/>
      <c r="M44" s="589"/>
      <c r="N44" s="589"/>
      <c r="O44" s="589"/>
      <c r="P44" s="589"/>
      <c r="Q44" s="589"/>
      <c r="R44" s="558" t="s">
        <v>2117</v>
      </c>
      <c r="S44" s="590"/>
      <c r="T44" s="591"/>
      <c r="U44" s="592"/>
      <c r="V44" s="605"/>
      <c r="W44" s="593"/>
      <c r="X44" s="594" t="s">
        <v>769</v>
      </c>
      <c r="Y44" s="595"/>
      <c r="Z44" s="605"/>
      <c r="AA44" s="596"/>
      <c r="AB44" s="597"/>
      <c r="AC44" s="594" t="s">
        <v>769</v>
      </c>
      <c r="AD44" s="595"/>
      <c r="AE44" s="589"/>
      <c r="AF44" s="589"/>
      <c r="AG44" s="589"/>
      <c r="AH44" s="589"/>
      <c r="AI44" s="589"/>
      <c r="AJ44" s="589"/>
      <c r="AK44" s="589"/>
      <c r="AL44" s="575"/>
      <c r="AM44" s="589"/>
      <c r="AN44" s="1397"/>
      <c r="AO44" s="1397"/>
      <c r="AP44" s="1397"/>
      <c r="AQ44" s="1397"/>
      <c r="AR44" s="1397"/>
      <c r="AS44" s="1397"/>
      <c r="AT44" s="1397"/>
      <c r="AU44" s="1397"/>
      <c r="AV44" s="1397"/>
      <c r="AW44" s="1397"/>
      <c r="AX44" s="1397"/>
      <c r="AY44" s="1397"/>
      <c r="AZ44" s="1397"/>
      <c r="BA44" s="1397"/>
      <c r="BB44" s="1397"/>
      <c r="BC44" s="1397"/>
      <c r="BD44" s="1397"/>
      <c r="BE44" s="1397"/>
      <c r="BF44" s="1397"/>
      <c r="BG44" s="1397"/>
      <c r="BH44" s="1397"/>
      <c r="BI44" s="1397"/>
      <c r="BJ44" s="1397"/>
      <c r="BK44" s="1397"/>
      <c r="BL44" s="1397"/>
      <c r="BM44" s="1397"/>
      <c r="BN44" s="1397"/>
    </row>
    <row r="45" spans="1:66" ht="13.5" hidden="1" outlineLevel="1" thickBot="1" x14ac:dyDescent="0.25">
      <c r="A45" s="589"/>
      <c r="B45" s="589"/>
      <c r="C45" s="589"/>
      <c r="D45" s="589"/>
      <c r="E45" s="589"/>
      <c r="F45" s="589"/>
      <c r="G45" s="2110" t="str">
        <f t="shared" si="4"/>
        <v/>
      </c>
      <c r="H45" s="589"/>
      <c r="I45" s="2095" t="str">
        <f t="shared" si="5"/>
        <v/>
      </c>
      <c r="K45" s="589"/>
      <c r="L45" s="589"/>
      <c r="M45" s="589"/>
      <c r="N45" s="589"/>
      <c r="O45" s="589"/>
      <c r="P45" s="589"/>
      <c r="Q45" s="589"/>
      <c r="R45" s="558" t="s">
        <v>2117</v>
      </c>
      <c r="S45" s="590"/>
      <c r="T45" s="591"/>
      <c r="U45" s="592"/>
      <c r="V45" s="605"/>
      <c r="W45" s="593"/>
      <c r="X45" s="594" t="s">
        <v>769</v>
      </c>
      <c r="Y45" s="595"/>
      <c r="Z45" s="605"/>
      <c r="AA45" s="596"/>
      <c r="AB45" s="597"/>
      <c r="AC45" s="594" t="s">
        <v>769</v>
      </c>
      <c r="AD45" s="595"/>
      <c r="AE45" s="589"/>
      <c r="AF45" s="589"/>
      <c r="AG45" s="589"/>
      <c r="AH45" s="589"/>
      <c r="AI45" s="589"/>
      <c r="AJ45" s="589"/>
      <c r="AK45" s="589"/>
      <c r="AL45" s="575"/>
      <c r="AM45" s="589"/>
      <c r="AN45" s="1397"/>
      <c r="AO45" s="1397"/>
      <c r="AP45" s="1397"/>
      <c r="AQ45" s="1397"/>
      <c r="AR45" s="1397"/>
      <c r="AS45" s="1397"/>
      <c r="AT45" s="1397"/>
      <c r="AU45" s="1397"/>
      <c r="AV45" s="1397"/>
      <c r="AW45" s="1397"/>
      <c r="AX45" s="1397"/>
      <c r="AY45" s="1397"/>
      <c r="AZ45" s="1397"/>
      <c r="BA45" s="1397"/>
      <c r="BB45" s="1397"/>
      <c r="BC45" s="1397"/>
      <c r="BD45" s="1397"/>
      <c r="BE45" s="1397"/>
      <c r="BF45" s="1397"/>
      <c r="BG45" s="1397"/>
      <c r="BH45" s="1397"/>
      <c r="BI45" s="1397"/>
      <c r="BJ45" s="1397"/>
      <c r="BK45" s="1397"/>
      <c r="BL45" s="1397"/>
      <c r="BM45" s="1397"/>
      <c r="BN45" s="1397"/>
    </row>
    <row r="46" spans="1:66" ht="13.5" hidden="1" outlineLevel="1" thickBot="1" x14ac:dyDescent="0.25">
      <c r="A46" s="589"/>
      <c r="B46" s="589"/>
      <c r="C46" s="589"/>
      <c r="D46" s="589"/>
      <c r="E46" s="589"/>
      <c r="F46" s="589"/>
      <c r="G46" s="2110" t="str">
        <f t="shared" si="4"/>
        <v/>
      </c>
      <c r="H46" s="589"/>
      <c r="I46" s="2095" t="str">
        <f t="shared" si="5"/>
        <v/>
      </c>
      <c r="K46" s="589"/>
      <c r="L46" s="589"/>
      <c r="M46" s="589"/>
      <c r="N46" s="589"/>
      <c r="O46" s="589"/>
      <c r="P46" s="589"/>
      <c r="Q46" s="589"/>
      <c r="R46" s="558" t="s">
        <v>2117</v>
      </c>
      <c r="S46" s="590"/>
      <c r="T46" s="591"/>
      <c r="U46" s="592"/>
      <c r="V46" s="605"/>
      <c r="W46" s="593"/>
      <c r="X46" s="594" t="s">
        <v>769</v>
      </c>
      <c r="Y46" s="595"/>
      <c r="Z46" s="605"/>
      <c r="AA46" s="596"/>
      <c r="AB46" s="597"/>
      <c r="AC46" s="594" t="s">
        <v>769</v>
      </c>
      <c r="AD46" s="595"/>
      <c r="AE46" s="589"/>
      <c r="AF46" s="589"/>
      <c r="AG46" s="589"/>
      <c r="AH46" s="589"/>
      <c r="AI46" s="589"/>
      <c r="AJ46" s="589"/>
      <c r="AK46" s="589"/>
      <c r="AL46" s="575"/>
      <c r="AM46" s="589"/>
      <c r="AN46" s="1397"/>
      <c r="AO46" s="1397"/>
      <c r="AP46" s="1397"/>
      <c r="AQ46" s="1397"/>
      <c r="AR46" s="1397"/>
      <c r="AS46" s="1397"/>
      <c r="AT46" s="1397"/>
      <c r="AU46" s="1397"/>
      <c r="AV46" s="1397"/>
      <c r="AW46" s="1397"/>
      <c r="AX46" s="1397"/>
      <c r="AY46" s="1397"/>
      <c r="AZ46" s="1397"/>
      <c r="BA46" s="1397"/>
      <c r="BB46" s="1397"/>
      <c r="BC46" s="1397"/>
      <c r="BD46" s="1397"/>
      <c r="BE46" s="1397"/>
      <c r="BF46" s="1397"/>
      <c r="BG46" s="1397"/>
      <c r="BH46" s="1397"/>
      <c r="BI46" s="1397"/>
      <c r="BJ46" s="1397"/>
      <c r="BK46" s="1397"/>
      <c r="BL46" s="1397"/>
      <c r="BM46" s="1397"/>
      <c r="BN46" s="1397"/>
    </row>
    <row r="47" spans="1:66" ht="13.5" hidden="1" outlineLevel="1" thickBot="1" x14ac:dyDescent="0.25">
      <c r="A47" s="589"/>
      <c r="B47" s="589"/>
      <c r="C47" s="589"/>
      <c r="D47" s="589"/>
      <c r="E47" s="589"/>
      <c r="F47" s="589"/>
      <c r="G47" s="2110" t="str">
        <f t="shared" si="4"/>
        <v/>
      </c>
      <c r="H47" s="589"/>
      <c r="I47" s="2095" t="str">
        <f t="shared" si="5"/>
        <v/>
      </c>
      <c r="K47" s="589"/>
      <c r="L47" s="589"/>
      <c r="M47" s="589"/>
      <c r="N47" s="589"/>
      <c r="O47" s="589"/>
      <c r="P47" s="589"/>
      <c r="Q47" s="589"/>
      <c r="R47" s="558" t="s">
        <v>2117</v>
      </c>
      <c r="S47" s="590"/>
      <c r="T47" s="591"/>
      <c r="U47" s="592"/>
      <c r="V47" s="605"/>
      <c r="W47" s="593"/>
      <c r="X47" s="594" t="s">
        <v>769</v>
      </c>
      <c r="Y47" s="595"/>
      <c r="Z47" s="605"/>
      <c r="AA47" s="596"/>
      <c r="AB47" s="597"/>
      <c r="AC47" s="594" t="s">
        <v>769</v>
      </c>
      <c r="AD47" s="595"/>
      <c r="AE47" s="589"/>
      <c r="AF47" s="589"/>
      <c r="AG47" s="589"/>
      <c r="AH47" s="589"/>
      <c r="AI47" s="589"/>
      <c r="AJ47" s="589"/>
      <c r="AK47" s="589"/>
      <c r="AL47" s="575"/>
      <c r="AM47" s="589"/>
      <c r="AN47" s="1397"/>
      <c r="AO47" s="1397"/>
      <c r="AP47" s="1397"/>
      <c r="AQ47" s="1397"/>
      <c r="AR47" s="1397"/>
      <c r="AS47" s="1397"/>
      <c r="AT47" s="1397"/>
      <c r="AU47" s="1397"/>
      <c r="AV47" s="1397"/>
      <c r="AW47" s="1397"/>
      <c r="AX47" s="1397"/>
      <c r="AY47" s="1397"/>
      <c r="AZ47" s="1397"/>
      <c r="BA47" s="1397"/>
      <c r="BB47" s="1397"/>
      <c r="BC47" s="1397"/>
      <c r="BD47" s="1397"/>
      <c r="BE47" s="1397"/>
      <c r="BF47" s="1397"/>
      <c r="BG47" s="1397"/>
      <c r="BH47" s="1397"/>
      <c r="BI47" s="1397"/>
      <c r="BJ47" s="1397"/>
      <c r="BK47" s="1397"/>
      <c r="BL47" s="1397"/>
      <c r="BM47" s="1397"/>
      <c r="BN47" s="1397"/>
    </row>
    <row r="48" spans="1:66" ht="13.5" hidden="1" outlineLevel="1" thickBot="1" x14ac:dyDescent="0.25">
      <c r="A48" s="589"/>
      <c r="B48" s="589"/>
      <c r="C48" s="589"/>
      <c r="D48" s="589"/>
      <c r="E48" s="589"/>
      <c r="F48" s="589"/>
      <c r="G48" s="2110" t="str">
        <f t="shared" si="4"/>
        <v/>
      </c>
      <c r="H48" s="589"/>
      <c r="I48" s="2095" t="str">
        <f t="shared" si="5"/>
        <v/>
      </c>
      <c r="K48" s="589"/>
      <c r="L48" s="589"/>
      <c r="M48" s="589"/>
      <c r="N48" s="589"/>
      <c r="O48" s="589"/>
      <c r="P48" s="589"/>
      <c r="Q48" s="589"/>
      <c r="R48" s="558" t="s">
        <v>2117</v>
      </c>
      <c r="S48" s="590"/>
      <c r="T48" s="591"/>
      <c r="U48" s="592"/>
      <c r="V48" s="605"/>
      <c r="W48" s="593"/>
      <c r="X48" s="594" t="s">
        <v>769</v>
      </c>
      <c r="Y48" s="595"/>
      <c r="Z48" s="605"/>
      <c r="AA48" s="596"/>
      <c r="AB48" s="597"/>
      <c r="AC48" s="594" t="s">
        <v>769</v>
      </c>
      <c r="AD48" s="595"/>
      <c r="AE48" s="589"/>
      <c r="AF48" s="589"/>
      <c r="AG48" s="589"/>
      <c r="AH48" s="589"/>
      <c r="AI48" s="589"/>
      <c r="AJ48" s="589"/>
      <c r="AK48" s="589"/>
      <c r="AL48" s="575"/>
      <c r="AM48" s="589"/>
      <c r="AN48" s="1397"/>
      <c r="AO48" s="1397"/>
      <c r="AP48" s="1397"/>
      <c r="AQ48" s="1397"/>
      <c r="AR48" s="1397"/>
      <c r="AS48" s="1397"/>
      <c r="AT48" s="1397"/>
      <c r="AU48" s="1397"/>
      <c r="AV48" s="1397"/>
      <c r="AW48" s="1397"/>
      <c r="AX48" s="1397"/>
      <c r="AY48" s="1397"/>
      <c r="AZ48" s="1397"/>
      <c r="BA48" s="1397"/>
      <c r="BB48" s="1397"/>
      <c r="BC48" s="1397"/>
      <c r="BD48" s="1397"/>
      <c r="BE48" s="1397"/>
      <c r="BF48" s="1397"/>
      <c r="BG48" s="1397"/>
      <c r="BH48" s="1397"/>
      <c r="BI48" s="1397"/>
      <c r="BJ48" s="1397"/>
      <c r="BK48" s="1397"/>
      <c r="BL48" s="1397"/>
      <c r="BM48" s="1397"/>
      <c r="BN48" s="1397"/>
    </row>
    <row r="49" spans="1:66" ht="13.5" hidden="1" outlineLevel="1" thickBot="1" x14ac:dyDescent="0.25">
      <c r="A49" s="589"/>
      <c r="B49" s="589"/>
      <c r="C49" s="589"/>
      <c r="D49" s="589"/>
      <c r="E49" s="589"/>
      <c r="F49" s="589"/>
      <c r="G49" s="2110" t="str">
        <f t="shared" si="4"/>
        <v/>
      </c>
      <c r="H49" s="589"/>
      <c r="I49" s="2095" t="str">
        <f t="shared" si="5"/>
        <v/>
      </c>
      <c r="K49" s="589"/>
      <c r="L49" s="589"/>
      <c r="M49" s="589"/>
      <c r="N49" s="589"/>
      <c r="O49" s="589"/>
      <c r="P49" s="589"/>
      <c r="Q49" s="589"/>
      <c r="R49" s="558" t="s">
        <v>2117</v>
      </c>
      <c r="S49" s="590"/>
      <c r="T49" s="591"/>
      <c r="U49" s="592"/>
      <c r="V49" s="605"/>
      <c r="W49" s="593"/>
      <c r="X49" s="594" t="s">
        <v>769</v>
      </c>
      <c r="Y49" s="595"/>
      <c r="Z49" s="605"/>
      <c r="AA49" s="596"/>
      <c r="AB49" s="597"/>
      <c r="AC49" s="594" t="s">
        <v>769</v>
      </c>
      <c r="AD49" s="595"/>
      <c r="AE49" s="589"/>
      <c r="AF49" s="589"/>
      <c r="AG49" s="589"/>
      <c r="AH49" s="589"/>
      <c r="AI49" s="589"/>
      <c r="AJ49" s="589"/>
      <c r="AK49" s="589"/>
      <c r="AL49" s="575"/>
      <c r="AM49" s="589"/>
      <c r="AN49" s="1397"/>
      <c r="AO49" s="1397"/>
      <c r="AP49" s="1397"/>
      <c r="AQ49" s="1397"/>
      <c r="AR49" s="1397"/>
      <c r="AS49" s="1397"/>
      <c r="AT49" s="1397"/>
      <c r="AU49" s="1397"/>
      <c r="AV49" s="1397"/>
      <c r="AW49" s="1397"/>
      <c r="AX49" s="1397"/>
      <c r="AY49" s="1397"/>
      <c r="AZ49" s="1397"/>
      <c r="BA49" s="1397"/>
      <c r="BB49" s="1397"/>
      <c r="BC49" s="1397"/>
      <c r="BD49" s="1397"/>
      <c r="BE49" s="1397"/>
      <c r="BF49" s="1397"/>
      <c r="BG49" s="1397"/>
      <c r="BH49" s="1397"/>
      <c r="BI49" s="1397"/>
      <c r="BJ49" s="1397"/>
      <c r="BK49" s="1397"/>
      <c r="BL49" s="1397"/>
      <c r="BM49" s="1397"/>
      <c r="BN49" s="1397"/>
    </row>
    <row r="50" spans="1:66" ht="13.5" hidden="1" outlineLevel="1" thickBot="1" x14ac:dyDescent="0.25">
      <c r="A50" s="589"/>
      <c r="B50" s="589"/>
      <c r="C50" s="589"/>
      <c r="D50" s="589"/>
      <c r="E50" s="589"/>
      <c r="F50" s="589"/>
      <c r="G50" s="2110" t="str">
        <f t="shared" si="4"/>
        <v/>
      </c>
      <c r="H50" s="589"/>
      <c r="I50" s="2095" t="str">
        <f t="shared" si="5"/>
        <v/>
      </c>
      <c r="K50" s="589"/>
      <c r="L50" s="589"/>
      <c r="M50" s="589"/>
      <c r="N50" s="589"/>
      <c r="O50" s="589"/>
      <c r="P50" s="589"/>
      <c r="Q50" s="589"/>
      <c r="R50" s="558" t="s">
        <v>2117</v>
      </c>
      <c r="S50" s="590"/>
      <c r="T50" s="591"/>
      <c r="U50" s="592"/>
      <c r="V50" s="605"/>
      <c r="W50" s="593"/>
      <c r="X50" s="594" t="s">
        <v>769</v>
      </c>
      <c r="Y50" s="595"/>
      <c r="Z50" s="605"/>
      <c r="AA50" s="596"/>
      <c r="AB50" s="597"/>
      <c r="AC50" s="594" t="s">
        <v>769</v>
      </c>
      <c r="AD50" s="595"/>
      <c r="AE50" s="589"/>
      <c r="AF50" s="589"/>
      <c r="AG50" s="589"/>
      <c r="AH50" s="589"/>
      <c r="AI50" s="589"/>
      <c r="AJ50" s="589"/>
      <c r="AK50" s="589"/>
      <c r="AL50" s="575"/>
      <c r="AM50" s="589"/>
      <c r="AN50" s="1397"/>
      <c r="AO50" s="1397"/>
      <c r="AP50" s="1397"/>
      <c r="AQ50" s="1397"/>
      <c r="AR50" s="1397"/>
      <c r="AS50" s="1397"/>
      <c r="AT50" s="1397"/>
      <c r="AU50" s="1397"/>
      <c r="AV50" s="1397"/>
      <c r="AW50" s="1397"/>
      <c r="AX50" s="1397"/>
      <c r="AY50" s="1397"/>
      <c r="AZ50" s="1397"/>
      <c r="BA50" s="1397"/>
      <c r="BB50" s="1397"/>
      <c r="BC50" s="1397"/>
      <c r="BD50" s="1397"/>
      <c r="BE50" s="1397"/>
      <c r="BF50" s="1397"/>
      <c r="BG50" s="1397"/>
      <c r="BH50" s="1397"/>
      <c r="BI50" s="1397"/>
      <c r="BJ50" s="1397"/>
      <c r="BK50" s="1397"/>
      <c r="BL50" s="1397"/>
      <c r="BM50" s="1397"/>
      <c r="BN50" s="1397"/>
    </row>
    <row r="51" spans="1:66" ht="13.5" hidden="1" outlineLevel="1" thickBot="1" x14ac:dyDescent="0.25">
      <c r="A51" s="589"/>
      <c r="B51" s="589"/>
      <c r="C51" s="589"/>
      <c r="D51" s="589"/>
      <c r="E51" s="589"/>
      <c r="F51" s="589"/>
      <c r="G51" s="2110" t="str">
        <f t="shared" si="4"/>
        <v/>
      </c>
      <c r="H51" s="589"/>
      <c r="I51" s="2095" t="str">
        <f t="shared" si="5"/>
        <v/>
      </c>
      <c r="K51" s="589"/>
      <c r="L51" s="589"/>
      <c r="M51" s="589"/>
      <c r="N51" s="589"/>
      <c r="O51" s="589"/>
      <c r="P51" s="589"/>
      <c r="Q51" s="589"/>
      <c r="R51" s="558" t="s">
        <v>2117</v>
      </c>
      <c r="S51" s="590"/>
      <c r="T51" s="591"/>
      <c r="U51" s="592"/>
      <c r="V51" s="605"/>
      <c r="W51" s="593"/>
      <c r="X51" s="594" t="s">
        <v>769</v>
      </c>
      <c r="Y51" s="595"/>
      <c r="Z51" s="605"/>
      <c r="AA51" s="596"/>
      <c r="AB51" s="597"/>
      <c r="AC51" s="594" t="s">
        <v>769</v>
      </c>
      <c r="AD51" s="595"/>
      <c r="AE51" s="589"/>
      <c r="AF51" s="589"/>
      <c r="AG51" s="589"/>
      <c r="AH51" s="589"/>
      <c r="AI51" s="589"/>
      <c r="AJ51" s="589"/>
      <c r="AK51" s="589"/>
      <c r="AL51" s="575"/>
      <c r="AM51" s="589"/>
      <c r="AN51" s="1397"/>
      <c r="AO51" s="1397"/>
      <c r="AP51" s="1397"/>
      <c r="AQ51" s="1397"/>
      <c r="AR51" s="1397"/>
      <c r="AS51" s="1397"/>
      <c r="AT51" s="1397"/>
      <c r="AU51" s="1397"/>
      <c r="AV51" s="1397"/>
      <c r="AW51" s="1397"/>
      <c r="AX51" s="1397"/>
      <c r="AY51" s="1397"/>
      <c r="AZ51" s="1397"/>
      <c r="BA51" s="1397"/>
      <c r="BB51" s="1397"/>
      <c r="BC51" s="1397"/>
      <c r="BD51" s="1397"/>
      <c r="BE51" s="1397"/>
      <c r="BF51" s="1397"/>
      <c r="BG51" s="1397"/>
      <c r="BH51" s="1397"/>
      <c r="BI51" s="1397"/>
      <c r="BJ51" s="1397"/>
      <c r="BK51" s="1397"/>
      <c r="BL51" s="1397"/>
      <c r="BM51" s="1397"/>
      <c r="BN51" s="1397"/>
    </row>
    <row r="52" spans="1:66" ht="13.5" hidden="1" outlineLevel="1" thickBot="1" x14ac:dyDescent="0.25">
      <c r="A52" s="589"/>
      <c r="B52" s="589"/>
      <c r="C52" s="589"/>
      <c r="D52" s="589"/>
      <c r="E52" s="589"/>
      <c r="F52" s="589"/>
      <c r="G52" s="2110" t="str">
        <f t="shared" si="4"/>
        <v/>
      </c>
      <c r="H52" s="589"/>
      <c r="I52" s="2095" t="str">
        <f t="shared" si="5"/>
        <v/>
      </c>
      <c r="K52" s="589"/>
      <c r="L52" s="589"/>
      <c r="M52" s="589"/>
      <c r="N52" s="589"/>
      <c r="O52" s="589"/>
      <c r="P52" s="589"/>
      <c r="Q52" s="589"/>
      <c r="R52" s="558" t="s">
        <v>2117</v>
      </c>
      <c r="S52" s="590"/>
      <c r="T52" s="591"/>
      <c r="U52" s="592"/>
      <c r="V52" s="605"/>
      <c r="W52" s="593"/>
      <c r="X52" s="594" t="s">
        <v>769</v>
      </c>
      <c r="Y52" s="595"/>
      <c r="Z52" s="605"/>
      <c r="AA52" s="596"/>
      <c r="AB52" s="597"/>
      <c r="AC52" s="594" t="s">
        <v>769</v>
      </c>
      <c r="AD52" s="595"/>
      <c r="AE52" s="589"/>
      <c r="AF52" s="589"/>
      <c r="AG52" s="589"/>
      <c r="AH52" s="589"/>
      <c r="AI52" s="589"/>
      <c r="AJ52" s="589"/>
      <c r="AK52" s="589"/>
      <c r="AL52" s="575"/>
      <c r="AM52" s="589"/>
      <c r="AN52" s="1397"/>
      <c r="AO52" s="1397"/>
      <c r="AP52" s="1397"/>
      <c r="AQ52" s="1397"/>
      <c r="AR52" s="1397"/>
      <c r="AS52" s="1397"/>
      <c r="AT52" s="1397"/>
      <c r="AU52" s="1397"/>
      <c r="AV52" s="1397"/>
      <c r="AW52" s="1397"/>
      <c r="AX52" s="1397"/>
      <c r="AY52" s="1397"/>
      <c r="AZ52" s="1397"/>
      <c r="BA52" s="1397"/>
      <c r="BB52" s="1397"/>
      <c r="BC52" s="1397"/>
      <c r="BD52" s="1397"/>
      <c r="BE52" s="1397"/>
      <c r="BF52" s="1397"/>
      <c r="BG52" s="1397"/>
      <c r="BH52" s="1397"/>
      <c r="BI52" s="1397"/>
      <c r="BJ52" s="1397"/>
      <c r="BK52" s="1397"/>
      <c r="BL52" s="1397"/>
      <c r="BM52" s="1397"/>
      <c r="BN52" s="1397"/>
    </row>
    <row r="53" spans="1:66" ht="13.5" hidden="1" outlineLevel="1" thickBot="1" x14ac:dyDescent="0.25">
      <c r="A53" s="589"/>
      <c r="B53" s="589"/>
      <c r="C53" s="589"/>
      <c r="D53" s="589"/>
      <c r="E53" s="589"/>
      <c r="F53" s="589"/>
      <c r="G53" s="2110" t="str">
        <f t="shared" si="4"/>
        <v/>
      </c>
      <c r="H53" s="589"/>
      <c r="I53" s="2095" t="str">
        <f t="shared" si="5"/>
        <v/>
      </c>
      <c r="K53" s="589"/>
      <c r="L53" s="589"/>
      <c r="M53" s="589"/>
      <c r="N53" s="589"/>
      <c r="O53" s="589"/>
      <c r="P53" s="589"/>
      <c r="Q53" s="589"/>
      <c r="R53" s="558" t="s">
        <v>2117</v>
      </c>
      <c r="S53" s="590"/>
      <c r="T53" s="591"/>
      <c r="U53" s="592"/>
      <c r="V53" s="605"/>
      <c r="W53" s="593"/>
      <c r="X53" s="594" t="s">
        <v>769</v>
      </c>
      <c r="Y53" s="595"/>
      <c r="Z53" s="605"/>
      <c r="AA53" s="596"/>
      <c r="AB53" s="597"/>
      <c r="AC53" s="594" t="s">
        <v>769</v>
      </c>
      <c r="AD53" s="595"/>
      <c r="AE53" s="589"/>
      <c r="AF53" s="589"/>
      <c r="AG53" s="589"/>
      <c r="AH53" s="589"/>
      <c r="AI53" s="589"/>
      <c r="AJ53" s="589"/>
      <c r="AK53" s="589"/>
      <c r="AL53" s="575"/>
      <c r="AM53" s="589"/>
      <c r="AN53" s="1397"/>
      <c r="AO53" s="1397"/>
      <c r="AP53" s="1397"/>
      <c r="AQ53" s="1397"/>
      <c r="AR53" s="1397"/>
      <c r="AS53" s="1397"/>
      <c r="AT53" s="1397"/>
      <c r="AU53" s="1397"/>
      <c r="AV53" s="1397"/>
      <c r="AW53" s="1397"/>
      <c r="AX53" s="1397"/>
      <c r="AY53" s="1397"/>
      <c r="AZ53" s="1397"/>
      <c r="BA53" s="1397"/>
      <c r="BB53" s="1397"/>
      <c r="BC53" s="1397"/>
      <c r="BD53" s="1397"/>
      <c r="BE53" s="1397"/>
      <c r="BF53" s="1397"/>
      <c r="BG53" s="1397"/>
      <c r="BH53" s="1397"/>
      <c r="BI53" s="1397"/>
      <c r="BJ53" s="1397"/>
      <c r="BK53" s="1397"/>
      <c r="BL53" s="1397"/>
      <c r="BM53" s="1397"/>
      <c r="BN53" s="1397"/>
    </row>
    <row r="54" spans="1:66" ht="13.5" hidden="1" outlineLevel="1" thickBot="1" x14ac:dyDescent="0.25">
      <c r="A54" s="589"/>
      <c r="B54" s="589"/>
      <c r="C54" s="589"/>
      <c r="D54" s="589"/>
      <c r="E54" s="589"/>
      <c r="F54" s="589"/>
      <c r="G54" s="2110" t="str">
        <f t="shared" si="4"/>
        <v/>
      </c>
      <c r="H54" s="589"/>
      <c r="I54" s="2095" t="str">
        <f t="shared" si="5"/>
        <v/>
      </c>
      <c r="K54" s="589"/>
      <c r="L54" s="589"/>
      <c r="M54" s="589"/>
      <c r="N54" s="589"/>
      <c r="O54" s="589"/>
      <c r="P54" s="589"/>
      <c r="Q54" s="589"/>
      <c r="R54" s="558" t="s">
        <v>2117</v>
      </c>
      <c r="S54" s="590"/>
      <c r="T54" s="591"/>
      <c r="U54" s="592"/>
      <c r="V54" s="605"/>
      <c r="W54" s="593"/>
      <c r="X54" s="594" t="s">
        <v>769</v>
      </c>
      <c r="Y54" s="595"/>
      <c r="Z54" s="605"/>
      <c r="AA54" s="596"/>
      <c r="AB54" s="597"/>
      <c r="AC54" s="594" t="s">
        <v>769</v>
      </c>
      <c r="AD54" s="595"/>
      <c r="AE54" s="589"/>
      <c r="AF54" s="589"/>
      <c r="AG54" s="589"/>
      <c r="AH54" s="589"/>
      <c r="AI54" s="589"/>
      <c r="AJ54" s="589"/>
      <c r="AK54" s="589"/>
      <c r="AL54" s="575"/>
      <c r="AM54" s="589"/>
      <c r="AN54" s="1397"/>
      <c r="AO54" s="1397"/>
      <c r="AP54" s="1397"/>
      <c r="AQ54" s="1397"/>
      <c r="AR54" s="1397"/>
      <c r="AS54" s="1397"/>
      <c r="AT54" s="1397"/>
      <c r="AU54" s="1397"/>
      <c r="AV54" s="1397"/>
      <c r="AW54" s="1397"/>
      <c r="AX54" s="1397"/>
      <c r="AY54" s="1397"/>
      <c r="AZ54" s="1397"/>
      <c r="BA54" s="1397"/>
      <c r="BB54" s="1397"/>
      <c r="BC54" s="1397"/>
      <c r="BD54" s="1397"/>
      <c r="BE54" s="1397"/>
      <c r="BF54" s="1397"/>
      <c r="BG54" s="1397"/>
      <c r="BH54" s="1397"/>
      <c r="BI54" s="1397"/>
      <c r="BJ54" s="1397"/>
      <c r="BK54" s="1397"/>
      <c r="BL54" s="1397"/>
      <c r="BM54" s="1397"/>
      <c r="BN54" s="1397"/>
    </row>
    <row r="55" spans="1:66" ht="13.5" hidden="1" outlineLevel="1" thickBot="1" x14ac:dyDescent="0.25">
      <c r="A55" s="589"/>
      <c r="B55" s="589"/>
      <c r="C55" s="589"/>
      <c r="D55" s="589"/>
      <c r="E55" s="589"/>
      <c r="F55" s="589"/>
      <c r="G55" s="2110" t="str">
        <f t="shared" si="4"/>
        <v/>
      </c>
      <c r="H55" s="589"/>
      <c r="I55" s="2095" t="str">
        <f t="shared" si="5"/>
        <v/>
      </c>
      <c r="K55" s="589"/>
      <c r="L55" s="589"/>
      <c r="M55" s="589"/>
      <c r="N55" s="589"/>
      <c r="O55" s="589"/>
      <c r="P55" s="589"/>
      <c r="Q55" s="589"/>
      <c r="R55" s="558" t="s">
        <v>2117</v>
      </c>
      <c r="S55" s="590"/>
      <c r="T55" s="591"/>
      <c r="U55" s="592"/>
      <c r="V55" s="605"/>
      <c r="W55" s="593"/>
      <c r="X55" s="594" t="s">
        <v>769</v>
      </c>
      <c r="Y55" s="595"/>
      <c r="Z55" s="605"/>
      <c r="AA55" s="596"/>
      <c r="AB55" s="597"/>
      <c r="AC55" s="594" t="s">
        <v>769</v>
      </c>
      <c r="AD55" s="595"/>
      <c r="AE55" s="589"/>
      <c r="AF55" s="589"/>
      <c r="AG55" s="589"/>
      <c r="AH55" s="589"/>
      <c r="AI55" s="589"/>
      <c r="AJ55" s="589"/>
      <c r="AK55" s="589"/>
      <c r="AL55" s="575"/>
      <c r="AM55" s="589"/>
      <c r="AN55" s="1397"/>
      <c r="AO55" s="1397"/>
      <c r="AP55" s="1397"/>
      <c r="AQ55" s="1397"/>
      <c r="AR55" s="1397"/>
      <c r="AS55" s="1397"/>
      <c r="AT55" s="1397"/>
      <c r="AU55" s="1397"/>
      <c r="AV55" s="1397"/>
      <c r="AW55" s="1397"/>
      <c r="AX55" s="1397"/>
      <c r="AY55" s="1397"/>
      <c r="AZ55" s="1397"/>
      <c r="BA55" s="1397"/>
      <c r="BB55" s="1397"/>
      <c r="BC55" s="1397"/>
      <c r="BD55" s="1397"/>
      <c r="BE55" s="1397"/>
      <c r="BF55" s="1397"/>
      <c r="BG55" s="1397"/>
      <c r="BH55" s="1397"/>
      <c r="BI55" s="1397"/>
      <c r="BJ55" s="1397"/>
      <c r="BK55" s="1397"/>
      <c r="BL55" s="1397"/>
      <c r="BM55" s="1397"/>
      <c r="BN55" s="1397"/>
    </row>
    <row r="56" spans="1:66" ht="13.5" hidden="1" outlineLevel="1" thickBot="1" x14ac:dyDescent="0.25">
      <c r="A56" s="589"/>
      <c r="B56" s="589"/>
      <c r="C56" s="589"/>
      <c r="D56" s="589"/>
      <c r="E56" s="589"/>
      <c r="F56" s="589"/>
      <c r="G56" s="2110" t="str">
        <f t="shared" si="4"/>
        <v/>
      </c>
      <c r="H56" s="589"/>
      <c r="I56" s="2095" t="str">
        <f t="shared" si="5"/>
        <v/>
      </c>
      <c r="K56" s="589"/>
      <c r="L56" s="589"/>
      <c r="M56" s="589"/>
      <c r="N56" s="589"/>
      <c r="O56" s="589"/>
      <c r="P56" s="589"/>
      <c r="Q56" s="589"/>
      <c r="R56" s="558" t="s">
        <v>2117</v>
      </c>
      <c r="S56" s="590"/>
      <c r="T56" s="591"/>
      <c r="U56" s="592"/>
      <c r="V56" s="605"/>
      <c r="W56" s="593"/>
      <c r="X56" s="594" t="s">
        <v>769</v>
      </c>
      <c r="Y56" s="595"/>
      <c r="Z56" s="605"/>
      <c r="AA56" s="596"/>
      <c r="AB56" s="597"/>
      <c r="AC56" s="594" t="s">
        <v>769</v>
      </c>
      <c r="AD56" s="595"/>
      <c r="AE56" s="589"/>
      <c r="AF56" s="589"/>
      <c r="AG56" s="589"/>
      <c r="AH56" s="589"/>
      <c r="AI56" s="589"/>
      <c r="AJ56" s="589"/>
      <c r="AK56" s="589"/>
      <c r="AL56" s="575"/>
      <c r="AM56" s="589"/>
      <c r="AN56" s="1397"/>
      <c r="AO56" s="1397"/>
      <c r="AP56" s="1397"/>
      <c r="AQ56" s="1397"/>
      <c r="AR56" s="1397"/>
      <c r="AS56" s="1397"/>
      <c r="AT56" s="1397"/>
      <c r="AU56" s="1397"/>
      <c r="AV56" s="1397"/>
      <c r="AW56" s="1397"/>
      <c r="AX56" s="1397"/>
      <c r="AY56" s="1397"/>
      <c r="AZ56" s="1397"/>
      <c r="BA56" s="1397"/>
      <c r="BB56" s="1397"/>
      <c r="BC56" s="1397"/>
      <c r="BD56" s="1397"/>
      <c r="BE56" s="1397"/>
      <c r="BF56" s="1397"/>
      <c r="BG56" s="1397"/>
      <c r="BH56" s="1397"/>
      <c r="BI56" s="1397"/>
      <c r="BJ56" s="1397"/>
      <c r="BK56" s="1397"/>
      <c r="BL56" s="1397"/>
      <c r="BM56" s="1397"/>
      <c r="BN56" s="1397"/>
    </row>
    <row r="57" spans="1:66" ht="13.5" hidden="1" outlineLevel="1" thickBot="1" x14ac:dyDescent="0.25">
      <c r="A57" s="589"/>
      <c r="B57" s="589"/>
      <c r="C57" s="589"/>
      <c r="D57" s="589"/>
      <c r="E57" s="589"/>
      <c r="F57" s="589"/>
      <c r="G57" s="2110" t="str">
        <f t="shared" si="4"/>
        <v/>
      </c>
      <c r="H57" s="589"/>
      <c r="I57" s="2095" t="str">
        <f t="shared" si="5"/>
        <v/>
      </c>
      <c r="K57" s="589"/>
      <c r="L57" s="589"/>
      <c r="M57" s="589"/>
      <c r="N57" s="589"/>
      <c r="O57" s="589"/>
      <c r="P57" s="589"/>
      <c r="Q57" s="589"/>
      <c r="R57" s="558" t="s">
        <v>2117</v>
      </c>
      <c r="S57" s="590"/>
      <c r="T57" s="591"/>
      <c r="U57" s="592"/>
      <c r="V57" s="605"/>
      <c r="W57" s="593"/>
      <c r="X57" s="594" t="s">
        <v>769</v>
      </c>
      <c r="Y57" s="595"/>
      <c r="Z57" s="605"/>
      <c r="AA57" s="596"/>
      <c r="AB57" s="597"/>
      <c r="AC57" s="594" t="s">
        <v>769</v>
      </c>
      <c r="AD57" s="595"/>
      <c r="AE57" s="589"/>
      <c r="AF57" s="589"/>
      <c r="AG57" s="589"/>
      <c r="AH57" s="589"/>
      <c r="AI57" s="589"/>
      <c r="AJ57" s="589"/>
      <c r="AK57" s="589"/>
      <c r="AL57" s="575"/>
      <c r="AM57" s="589"/>
      <c r="AN57" s="1397"/>
      <c r="AO57" s="1397"/>
      <c r="AP57" s="1397"/>
      <c r="AQ57" s="1397"/>
      <c r="AR57" s="1397"/>
      <c r="AS57" s="1397"/>
      <c r="AT57" s="1397"/>
      <c r="AU57" s="1397"/>
      <c r="AV57" s="1397"/>
      <c r="AW57" s="1397"/>
      <c r="AX57" s="1397"/>
      <c r="AY57" s="1397"/>
      <c r="AZ57" s="1397"/>
      <c r="BA57" s="1397"/>
      <c r="BB57" s="1397"/>
      <c r="BC57" s="1397"/>
      <c r="BD57" s="1397"/>
      <c r="BE57" s="1397"/>
      <c r="BF57" s="1397"/>
      <c r="BG57" s="1397"/>
      <c r="BH57" s="1397"/>
      <c r="BI57" s="1397"/>
      <c r="BJ57" s="1397"/>
      <c r="BK57" s="1397"/>
      <c r="BL57" s="1397"/>
      <c r="BM57" s="1397"/>
      <c r="BN57" s="1397"/>
    </row>
    <row r="58" spans="1:66" ht="13.5" hidden="1" outlineLevel="1" thickBot="1" x14ac:dyDescent="0.25">
      <c r="A58" s="589"/>
      <c r="B58" s="589"/>
      <c r="C58" s="589"/>
      <c r="D58" s="589"/>
      <c r="E58" s="589"/>
      <c r="F58" s="589"/>
      <c r="G58" s="2110" t="str">
        <f t="shared" si="4"/>
        <v/>
      </c>
      <c r="H58" s="589"/>
      <c r="I58" s="2095" t="str">
        <f t="shared" si="5"/>
        <v/>
      </c>
      <c r="K58" s="589"/>
      <c r="L58" s="589"/>
      <c r="M58" s="589"/>
      <c r="N58" s="589"/>
      <c r="O58" s="589"/>
      <c r="P58" s="589"/>
      <c r="Q58" s="589"/>
      <c r="R58" s="558" t="s">
        <v>2117</v>
      </c>
      <c r="S58" s="590"/>
      <c r="T58" s="591"/>
      <c r="U58" s="592"/>
      <c r="V58" s="605"/>
      <c r="W58" s="593"/>
      <c r="X58" s="594" t="s">
        <v>769</v>
      </c>
      <c r="Y58" s="595"/>
      <c r="Z58" s="605"/>
      <c r="AA58" s="596"/>
      <c r="AB58" s="597"/>
      <c r="AC58" s="594" t="s">
        <v>769</v>
      </c>
      <c r="AD58" s="595"/>
      <c r="AE58" s="589"/>
      <c r="AF58" s="589"/>
      <c r="AG58" s="589"/>
      <c r="AH58" s="589"/>
      <c r="AI58" s="589"/>
      <c r="AJ58" s="589"/>
      <c r="AK58" s="589"/>
      <c r="AL58" s="575"/>
      <c r="AM58" s="589"/>
      <c r="AN58" s="1397"/>
      <c r="AO58" s="1397"/>
      <c r="AP58" s="1397"/>
      <c r="AQ58" s="1397"/>
      <c r="AR58" s="1397"/>
      <c r="AS58" s="1397"/>
      <c r="AT58" s="1397"/>
      <c r="AU58" s="1397"/>
      <c r="AV58" s="1397"/>
      <c r="AW58" s="1397"/>
      <c r="AX58" s="1397"/>
      <c r="AY58" s="1397"/>
      <c r="AZ58" s="1397"/>
      <c r="BA58" s="1397"/>
      <c r="BB58" s="1397"/>
      <c r="BC58" s="1397"/>
      <c r="BD58" s="1397"/>
      <c r="BE58" s="1397"/>
      <c r="BF58" s="1397"/>
      <c r="BG58" s="1397"/>
      <c r="BH58" s="1397"/>
      <c r="BI58" s="1397"/>
      <c r="BJ58" s="1397"/>
      <c r="BK58" s="1397"/>
      <c r="BL58" s="1397"/>
      <c r="BM58" s="1397"/>
      <c r="BN58" s="1397"/>
    </row>
    <row r="59" spans="1:66" ht="13.5" hidden="1" outlineLevel="1" thickBot="1" x14ac:dyDescent="0.25">
      <c r="A59" s="589"/>
      <c r="B59" s="589"/>
      <c r="C59" s="589"/>
      <c r="D59" s="589"/>
      <c r="E59" s="589"/>
      <c r="F59" s="589"/>
      <c r="G59" s="2110" t="str">
        <f t="shared" si="4"/>
        <v/>
      </c>
      <c r="H59" s="589"/>
      <c r="I59" s="2095" t="str">
        <f t="shared" si="5"/>
        <v/>
      </c>
      <c r="K59" s="589"/>
      <c r="L59" s="589"/>
      <c r="M59" s="589"/>
      <c r="N59" s="589"/>
      <c r="O59" s="589"/>
      <c r="P59" s="589"/>
      <c r="Q59" s="589"/>
      <c r="R59" s="558" t="s">
        <v>2117</v>
      </c>
      <c r="S59" s="590"/>
      <c r="T59" s="591"/>
      <c r="U59" s="592"/>
      <c r="V59" s="605"/>
      <c r="W59" s="593"/>
      <c r="X59" s="594" t="s">
        <v>769</v>
      </c>
      <c r="Y59" s="595"/>
      <c r="Z59" s="605"/>
      <c r="AA59" s="596"/>
      <c r="AB59" s="597"/>
      <c r="AC59" s="594" t="s">
        <v>769</v>
      </c>
      <c r="AD59" s="595"/>
      <c r="AE59" s="589"/>
      <c r="AF59" s="589"/>
      <c r="AG59" s="589"/>
      <c r="AH59" s="589"/>
      <c r="AI59" s="589"/>
      <c r="AJ59" s="589"/>
      <c r="AK59" s="589"/>
      <c r="AL59" s="575"/>
      <c r="AM59" s="589"/>
      <c r="AN59" s="1397"/>
      <c r="AO59" s="1397"/>
      <c r="AP59" s="1397"/>
      <c r="AQ59" s="1397"/>
      <c r="AR59" s="1397"/>
      <c r="AS59" s="1397"/>
      <c r="AT59" s="1397"/>
      <c r="AU59" s="1397"/>
      <c r="AV59" s="1397"/>
      <c r="AW59" s="1397"/>
      <c r="AX59" s="1397"/>
      <c r="AY59" s="1397"/>
      <c r="AZ59" s="1397"/>
      <c r="BA59" s="1397"/>
      <c r="BB59" s="1397"/>
      <c r="BC59" s="1397"/>
      <c r="BD59" s="1397"/>
      <c r="BE59" s="1397"/>
      <c r="BF59" s="1397"/>
      <c r="BG59" s="1397"/>
      <c r="BH59" s="1397"/>
      <c r="BI59" s="1397"/>
      <c r="BJ59" s="1397"/>
      <c r="BK59" s="1397"/>
      <c r="BL59" s="1397"/>
      <c r="BM59" s="1397"/>
      <c r="BN59" s="1397"/>
    </row>
    <row r="60" spans="1:66" ht="13.5" hidden="1" outlineLevel="1" thickBot="1" x14ac:dyDescent="0.25">
      <c r="A60" s="589"/>
      <c r="B60" s="589"/>
      <c r="C60" s="589"/>
      <c r="D60" s="589"/>
      <c r="E60" s="589"/>
      <c r="F60" s="589"/>
      <c r="G60" s="2110" t="str">
        <f t="shared" si="4"/>
        <v/>
      </c>
      <c r="H60" s="589"/>
      <c r="I60" s="2095" t="str">
        <f t="shared" si="5"/>
        <v/>
      </c>
      <c r="K60" s="589"/>
      <c r="L60" s="589"/>
      <c r="M60" s="589"/>
      <c r="N60" s="589"/>
      <c r="O60" s="589"/>
      <c r="P60" s="589"/>
      <c r="Q60" s="589"/>
      <c r="R60" s="558" t="s">
        <v>2117</v>
      </c>
      <c r="S60" s="590"/>
      <c r="T60" s="591"/>
      <c r="U60" s="592"/>
      <c r="V60" s="605"/>
      <c r="W60" s="593"/>
      <c r="X60" s="594" t="s">
        <v>769</v>
      </c>
      <c r="Y60" s="595"/>
      <c r="Z60" s="605"/>
      <c r="AA60" s="596"/>
      <c r="AB60" s="597"/>
      <c r="AC60" s="594" t="s">
        <v>769</v>
      </c>
      <c r="AD60" s="595"/>
      <c r="AE60" s="589"/>
      <c r="AF60" s="589"/>
      <c r="AG60" s="589"/>
      <c r="AH60" s="589"/>
      <c r="AI60" s="589"/>
      <c r="AJ60" s="589"/>
      <c r="AK60" s="589"/>
      <c r="AL60" s="575"/>
      <c r="AM60" s="589"/>
      <c r="AN60" s="1397"/>
      <c r="AO60" s="1397"/>
      <c r="AP60" s="1397"/>
      <c r="AQ60" s="1397"/>
      <c r="AR60" s="1397"/>
      <c r="AS60" s="1397"/>
      <c r="AT60" s="1397"/>
      <c r="AU60" s="1397"/>
      <c r="AV60" s="1397"/>
      <c r="AW60" s="1397"/>
      <c r="AX60" s="1397"/>
      <c r="AY60" s="1397"/>
      <c r="AZ60" s="1397"/>
      <c r="BA60" s="1397"/>
      <c r="BB60" s="1397"/>
      <c r="BC60" s="1397"/>
      <c r="BD60" s="1397"/>
      <c r="BE60" s="1397"/>
      <c r="BF60" s="1397"/>
      <c r="BG60" s="1397"/>
      <c r="BH60" s="1397"/>
      <c r="BI60" s="1397"/>
      <c r="BJ60" s="1397"/>
      <c r="BK60" s="1397"/>
      <c r="BL60" s="1397"/>
      <c r="BM60" s="1397"/>
      <c r="BN60" s="1397"/>
    </row>
    <row r="61" spans="1:66" ht="13.5" hidden="1" outlineLevel="1" thickBot="1" x14ac:dyDescent="0.25">
      <c r="A61" s="589"/>
      <c r="B61" s="589"/>
      <c r="C61" s="589"/>
      <c r="D61" s="589"/>
      <c r="E61" s="589"/>
      <c r="F61" s="589"/>
      <c r="G61" s="2110" t="str">
        <f t="shared" si="4"/>
        <v/>
      </c>
      <c r="H61" s="589"/>
      <c r="I61" s="2095" t="str">
        <f t="shared" si="5"/>
        <v/>
      </c>
      <c r="K61" s="589"/>
      <c r="L61" s="589"/>
      <c r="M61" s="589"/>
      <c r="N61" s="589"/>
      <c r="O61" s="589"/>
      <c r="P61" s="589"/>
      <c r="Q61" s="589"/>
      <c r="R61" s="558" t="s">
        <v>2117</v>
      </c>
      <c r="S61" s="590"/>
      <c r="T61" s="591"/>
      <c r="U61" s="592"/>
      <c r="V61" s="605"/>
      <c r="W61" s="593"/>
      <c r="X61" s="594" t="s">
        <v>769</v>
      </c>
      <c r="Y61" s="595"/>
      <c r="Z61" s="605"/>
      <c r="AA61" s="596"/>
      <c r="AB61" s="597"/>
      <c r="AC61" s="594" t="s">
        <v>769</v>
      </c>
      <c r="AD61" s="595"/>
      <c r="AE61" s="589"/>
      <c r="AF61" s="589"/>
      <c r="AG61" s="589"/>
      <c r="AH61" s="589"/>
      <c r="AI61" s="589"/>
      <c r="AJ61" s="589"/>
      <c r="AK61" s="589"/>
      <c r="AL61" s="575"/>
      <c r="AM61" s="589"/>
      <c r="AN61" s="1397"/>
      <c r="AO61" s="1397"/>
      <c r="AP61" s="1397"/>
      <c r="AQ61" s="1397"/>
      <c r="AR61" s="1397"/>
      <c r="AS61" s="1397"/>
      <c r="AT61" s="1397"/>
      <c r="AU61" s="1397"/>
      <c r="AV61" s="1397"/>
      <c r="AW61" s="1397"/>
      <c r="AX61" s="1397"/>
      <c r="AY61" s="1397"/>
      <c r="AZ61" s="1397"/>
      <c r="BA61" s="1397"/>
      <c r="BB61" s="1397"/>
      <c r="BC61" s="1397"/>
      <c r="BD61" s="1397"/>
      <c r="BE61" s="1397"/>
      <c r="BF61" s="1397"/>
      <c r="BG61" s="1397"/>
      <c r="BH61" s="1397"/>
      <c r="BI61" s="1397"/>
      <c r="BJ61" s="1397"/>
      <c r="BK61" s="1397"/>
      <c r="BL61" s="1397"/>
      <c r="BM61" s="1397"/>
      <c r="BN61" s="1397"/>
    </row>
    <row r="62" spans="1:66" ht="13.5" hidden="1" outlineLevel="1" thickBot="1" x14ac:dyDescent="0.25">
      <c r="A62" s="589"/>
      <c r="B62" s="589"/>
      <c r="C62" s="589"/>
      <c r="D62" s="589"/>
      <c r="E62" s="589"/>
      <c r="F62" s="589"/>
      <c r="G62" s="2110" t="str">
        <f t="shared" si="4"/>
        <v/>
      </c>
      <c r="H62" s="589"/>
      <c r="I62" s="2095" t="str">
        <f t="shared" si="5"/>
        <v/>
      </c>
      <c r="K62" s="589"/>
      <c r="L62" s="589"/>
      <c r="M62" s="589"/>
      <c r="N62" s="589"/>
      <c r="O62" s="589"/>
      <c r="P62" s="589"/>
      <c r="Q62" s="589"/>
      <c r="R62" s="558" t="s">
        <v>2117</v>
      </c>
      <c r="S62" s="590"/>
      <c r="T62" s="591"/>
      <c r="U62" s="592"/>
      <c r="V62" s="605"/>
      <c r="W62" s="593"/>
      <c r="X62" s="594" t="s">
        <v>769</v>
      </c>
      <c r="Y62" s="595"/>
      <c r="Z62" s="605"/>
      <c r="AA62" s="596"/>
      <c r="AB62" s="597"/>
      <c r="AC62" s="594" t="s">
        <v>769</v>
      </c>
      <c r="AD62" s="595"/>
      <c r="AE62" s="589"/>
      <c r="AF62" s="589"/>
      <c r="AG62" s="589"/>
      <c r="AH62" s="589"/>
      <c r="AI62" s="589"/>
      <c r="AJ62" s="589"/>
      <c r="AK62" s="589"/>
      <c r="AL62" s="575"/>
      <c r="AM62" s="589"/>
      <c r="AN62" s="1397"/>
      <c r="AO62" s="1397"/>
      <c r="AP62" s="1397"/>
      <c r="AQ62" s="1397"/>
      <c r="AR62" s="1397"/>
      <c r="AS62" s="1397"/>
      <c r="AT62" s="1397"/>
      <c r="AU62" s="1397"/>
      <c r="AV62" s="1397"/>
      <c r="AW62" s="1397"/>
      <c r="AX62" s="1397"/>
      <c r="AY62" s="1397"/>
      <c r="AZ62" s="1397"/>
      <c r="BA62" s="1397"/>
      <c r="BB62" s="1397"/>
      <c r="BC62" s="1397"/>
      <c r="BD62" s="1397"/>
      <c r="BE62" s="1397"/>
      <c r="BF62" s="1397"/>
      <c r="BG62" s="1397"/>
      <c r="BH62" s="1397"/>
      <c r="BI62" s="1397"/>
      <c r="BJ62" s="1397"/>
      <c r="BK62" s="1397"/>
      <c r="BL62" s="1397"/>
      <c r="BM62" s="1397"/>
      <c r="BN62" s="1397"/>
    </row>
    <row r="63" spans="1:66" ht="13.5" hidden="1" outlineLevel="1" thickBot="1" x14ac:dyDescent="0.25">
      <c r="A63" s="589"/>
      <c r="B63" s="589"/>
      <c r="C63" s="589"/>
      <c r="D63" s="589"/>
      <c r="E63" s="589"/>
      <c r="F63" s="589"/>
      <c r="G63" s="2110" t="str">
        <f t="shared" si="4"/>
        <v/>
      </c>
      <c r="H63" s="589"/>
      <c r="I63" s="2095" t="str">
        <f t="shared" si="5"/>
        <v/>
      </c>
      <c r="K63" s="589"/>
      <c r="L63" s="589"/>
      <c r="M63" s="589"/>
      <c r="N63" s="589"/>
      <c r="O63" s="589"/>
      <c r="P63" s="589"/>
      <c r="Q63" s="589"/>
      <c r="R63" s="558" t="s">
        <v>2117</v>
      </c>
      <c r="S63" s="590"/>
      <c r="T63" s="591"/>
      <c r="U63" s="592"/>
      <c r="V63" s="605"/>
      <c r="W63" s="593"/>
      <c r="X63" s="594" t="s">
        <v>769</v>
      </c>
      <c r="Y63" s="595"/>
      <c r="Z63" s="605"/>
      <c r="AA63" s="596"/>
      <c r="AB63" s="597"/>
      <c r="AC63" s="594" t="s">
        <v>769</v>
      </c>
      <c r="AD63" s="595"/>
      <c r="AE63" s="589"/>
      <c r="AF63" s="589"/>
      <c r="AG63" s="589"/>
      <c r="AH63" s="589"/>
      <c r="AI63" s="589"/>
      <c r="AJ63" s="589"/>
      <c r="AK63" s="589"/>
      <c r="AL63" s="575"/>
      <c r="AM63" s="589"/>
      <c r="AN63" s="1397"/>
      <c r="AO63" s="1397"/>
      <c r="AP63" s="1397"/>
      <c r="AQ63" s="1397"/>
      <c r="AR63" s="1397"/>
      <c r="AS63" s="1397"/>
      <c r="AT63" s="1397"/>
      <c r="AU63" s="1397"/>
      <c r="AV63" s="1397"/>
      <c r="AW63" s="1397"/>
      <c r="AX63" s="1397"/>
      <c r="AY63" s="1397"/>
      <c r="AZ63" s="1397"/>
      <c r="BA63" s="1397"/>
      <c r="BB63" s="1397"/>
      <c r="BC63" s="1397"/>
      <c r="BD63" s="1397"/>
      <c r="BE63" s="1397"/>
      <c r="BF63" s="1397"/>
      <c r="BG63" s="1397"/>
      <c r="BH63" s="1397"/>
      <c r="BI63" s="1397"/>
      <c r="BJ63" s="1397"/>
      <c r="BK63" s="1397"/>
      <c r="BL63" s="1397"/>
      <c r="BM63" s="1397"/>
      <c r="BN63" s="1397"/>
    </row>
    <row r="64" spans="1:66" ht="13.5" hidden="1" outlineLevel="1" thickBot="1" x14ac:dyDescent="0.25">
      <c r="A64" s="589"/>
      <c r="B64" s="589"/>
      <c r="C64" s="589"/>
      <c r="D64" s="589"/>
      <c r="E64" s="589"/>
      <c r="F64" s="589"/>
      <c r="G64" s="2110" t="str">
        <f t="shared" si="4"/>
        <v/>
      </c>
      <c r="H64" s="589"/>
      <c r="I64" s="2095" t="str">
        <f t="shared" si="5"/>
        <v/>
      </c>
      <c r="K64" s="589"/>
      <c r="L64" s="589"/>
      <c r="M64" s="589"/>
      <c r="N64" s="589"/>
      <c r="O64" s="589"/>
      <c r="P64" s="589"/>
      <c r="Q64" s="589"/>
      <c r="R64" s="558" t="s">
        <v>2117</v>
      </c>
      <c r="S64" s="590"/>
      <c r="T64" s="591"/>
      <c r="U64" s="592"/>
      <c r="V64" s="605"/>
      <c r="W64" s="593"/>
      <c r="X64" s="594" t="s">
        <v>769</v>
      </c>
      <c r="Y64" s="595"/>
      <c r="Z64" s="605"/>
      <c r="AA64" s="596"/>
      <c r="AB64" s="597"/>
      <c r="AC64" s="594" t="s">
        <v>769</v>
      </c>
      <c r="AD64" s="595"/>
      <c r="AE64" s="589"/>
      <c r="AF64" s="589"/>
      <c r="AG64" s="589"/>
      <c r="AH64" s="589"/>
      <c r="AI64" s="589"/>
      <c r="AJ64" s="589"/>
      <c r="AK64" s="589"/>
      <c r="AL64" s="575"/>
      <c r="AM64" s="589"/>
      <c r="AN64" s="1397"/>
      <c r="AO64" s="1397"/>
      <c r="AP64" s="1397"/>
      <c r="AQ64" s="1397"/>
      <c r="AR64" s="1397"/>
      <c r="AS64" s="1397"/>
      <c r="AT64" s="1397"/>
      <c r="AU64" s="1397"/>
      <c r="AV64" s="1397"/>
      <c r="AW64" s="1397"/>
      <c r="AX64" s="1397"/>
      <c r="AY64" s="1397"/>
      <c r="AZ64" s="1397"/>
      <c r="BA64" s="1397"/>
      <c r="BB64" s="1397"/>
      <c r="BC64" s="1397"/>
      <c r="BD64" s="1397"/>
      <c r="BE64" s="1397"/>
      <c r="BF64" s="1397"/>
      <c r="BG64" s="1397"/>
      <c r="BH64" s="1397"/>
      <c r="BI64" s="1397"/>
      <c r="BJ64" s="1397"/>
      <c r="BK64" s="1397"/>
      <c r="BL64" s="1397"/>
      <c r="BM64" s="1397"/>
      <c r="BN64" s="1397"/>
    </row>
    <row r="65" spans="1:66" ht="13.5" hidden="1" outlineLevel="1" thickBot="1" x14ac:dyDescent="0.25">
      <c r="A65" s="589"/>
      <c r="B65" s="589"/>
      <c r="C65" s="589"/>
      <c r="D65" s="589"/>
      <c r="E65" s="589"/>
      <c r="F65" s="589"/>
      <c r="G65" s="2110" t="str">
        <f t="shared" si="4"/>
        <v/>
      </c>
      <c r="H65" s="589"/>
      <c r="I65" s="2095" t="str">
        <f t="shared" si="5"/>
        <v/>
      </c>
      <c r="K65" s="589"/>
      <c r="L65" s="589"/>
      <c r="M65" s="589"/>
      <c r="N65" s="589"/>
      <c r="O65" s="589"/>
      <c r="P65" s="589"/>
      <c r="Q65" s="589"/>
      <c r="R65" s="558" t="s">
        <v>2117</v>
      </c>
      <c r="S65" s="590"/>
      <c r="T65" s="591"/>
      <c r="U65" s="592"/>
      <c r="V65" s="605"/>
      <c r="W65" s="593"/>
      <c r="X65" s="594" t="s">
        <v>769</v>
      </c>
      <c r="Y65" s="595"/>
      <c r="Z65" s="605"/>
      <c r="AA65" s="596"/>
      <c r="AB65" s="597"/>
      <c r="AC65" s="594" t="s">
        <v>769</v>
      </c>
      <c r="AD65" s="595"/>
      <c r="AE65" s="589"/>
      <c r="AF65" s="589"/>
      <c r="AG65" s="589"/>
      <c r="AH65" s="589"/>
      <c r="AI65" s="589"/>
      <c r="AJ65" s="589"/>
      <c r="AK65" s="589"/>
      <c r="AL65" s="575"/>
      <c r="AM65" s="589"/>
      <c r="AN65" s="1397"/>
      <c r="AO65" s="1397"/>
      <c r="AP65" s="1397"/>
      <c r="AQ65" s="1397"/>
      <c r="AR65" s="1397"/>
      <c r="AS65" s="1397"/>
      <c r="AT65" s="1397"/>
      <c r="AU65" s="1397"/>
      <c r="AV65" s="1397"/>
      <c r="AW65" s="1397"/>
      <c r="AX65" s="1397"/>
      <c r="AY65" s="1397"/>
      <c r="AZ65" s="1397"/>
      <c r="BA65" s="1397"/>
      <c r="BB65" s="1397"/>
      <c r="BC65" s="1397"/>
      <c r="BD65" s="1397"/>
      <c r="BE65" s="1397"/>
      <c r="BF65" s="1397"/>
      <c r="BG65" s="1397"/>
      <c r="BH65" s="1397"/>
      <c r="BI65" s="1397"/>
      <c r="BJ65" s="1397"/>
      <c r="BK65" s="1397"/>
      <c r="BL65" s="1397"/>
      <c r="BM65" s="1397"/>
      <c r="BN65" s="1397"/>
    </row>
    <row r="66" spans="1:66" ht="13.5" hidden="1" outlineLevel="1" thickBot="1" x14ac:dyDescent="0.25">
      <c r="A66" s="589"/>
      <c r="B66" s="589"/>
      <c r="C66" s="589"/>
      <c r="D66" s="589"/>
      <c r="E66" s="589"/>
      <c r="F66" s="589"/>
      <c r="G66" s="2110" t="str">
        <f t="shared" si="4"/>
        <v/>
      </c>
      <c r="H66" s="589"/>
      <c r="I66" s="2095" t="str">
        <f t="shared" si="5"/>
        <v/>
      </c>
      <c r="K66" s="589"/>
      <c r="L66" s="589"/>
      <c r="M66" s="589"/>
      <c r="N66" s="589"/>
      <c r="O66" s="589"/>
      <c r="P66" s="589"/>
      <c r="Q66" s="589"/>
      <c r="R66" s="558" t="s">
        <v>2117</v>
      </c>
      <c r="S66" s="590"/>
      <c r="T66" s="591"/>
      <c r="U66" s="592"/>
      <c r="V66" s="605"/>
      <c r="W66" s="593"/>
      <c r="X66" s="594" t="s">
        <v>769</v>
      </c>
      <c r="Y66" s="595"/>
      <c r="Z66" s="605"/>
      <c r="AA66" s="596"/>
      <c r="AB66" s="597"/>
      <c r="AC66" s="594" t="s">
        <v>769</v>
      </c>
      <c r="AD66" s="595"/>
      <c r="AE66" s="589"/>
      <c r="AF66" s="589"/>
      <c r="AG66" s="589"/>
      <c r="AH66" s="589"/>
      <c r="AI66" s="589"/>
      <c r="AJ66" s="589"/>
      <c r="AK66" s="589"/>
      <c r="AL66" s="575"/>
      <c r="AM66" s="589"/>
      <c r="AN66" s="1397"/>
      <c r="AO66" s="1397"/>
      <c r="AP66" s="1397"/>
      <c r="AQ66" s="1397"/>
      <c r="AR66" s="1397"/>
      <c r="AS66" s="1397"/>
      <c r="AT66" s="1397"/>
      <c r="AU66" s="1397"/>
      <c r="AV66" s="1397"/>
      <c r="AW66" s="1397"/>
      <c r="AX66" s="1397"/>
      <c r="AY66" s="1397"/>
      <c r="AZ66" s="1397"/>
      <c r="BA66" s="1397"/>
      <c r="BB66" s="1397"/>
      <c r="BC66" s="1397"/>
      <c r="BD66" s="1397"/>
      <c r="BE66" s="1397"/>
      <c r="BF66" s="1397"/>
      <c r="BG66" s="1397"/>
      <c r="BH66" s="1397"/>
      <c r="BI66" s="1397"/>
      <c r="BJ66" s="1397"/>
      <c r="BK66" s="1397"/>
      <c r="BL66" s="1397"/>
      <c r="BM66" s="1397"/>
      <c r="BN66" s="1397"/>
    </row>
    <row r="67" spans="1:66" ht="13.5" hidden="1" outlineLevel="1" thickBot="1" x14ac:dyDescent="0.25">
      <c r="A67" s="589"/>
      <c r="B67" s="589"/>
      <c r="C67" s="589"/>
      <c r="D67" s="589"/>
      <c r="E67" s="589"/>
      <c r="F67" s="589"/>
      <c r="G67" s="2110" t="str">
        <f t="shared" si="4"/>
        <v/>
      </c>
      <c r="H67" s="589"/>
      <c r="I67" s="2095" t="str">
        <f t="shared" si="5"/>
        <v/>
      </c>
      <c r="K67" s="589"/>
      <c r="L67" s="589"/>
      <c r="M67" s="589"/>
      <c r="N67" s="589"/>
      <c r="O67" s="589"/>
      <c r="P67" s="589"/>
      <c r="Q67" s="589"/>
      <c r="R67" s="558" t="s">
        <v>2117</v>
      </c>
      <c r="S67" s="590"/>
      <c r="T67" s="591"/>
      <c r="U67" s="592"/>
      <c r="V67" s="605"/>
      <c r="W67" s="593"/>
      <c r="X67" s="594" t="s">
        <v>769</v>
      </c>
      <c r="Y67" s="595"/>
      <c r="Z67" s="605"/>
      <c r="AA67" s="596"/>
      <c r="AB67" s="597"/>
      <c r="AC67" s="594" t="s">
        <v>769</v>
      </c>
      <c r="AD67" s="595"/>
      <c r="AE67" s="589"/>
      <c r="AF67" s="589"/>
      <c r="AG67" s="589"/>
      <c r="AH67" s="589"/>
      <c r="AI67" s="589"/>
      <c r="AJ67" s="589"/>
      <c r="AK67" s="589"/>
      <c r="AL67" s="575"/>
      <c r="AM67" s="589"/>
      <c r="AN67" s="1397"/>
      <c r="AO67" s="1397"/>
      <c r="AP67" s="1397"/>
      <c r="AQ67" s="1397"/>
      <c r="AR67" s="1397"/>
      <c r="AS67" s="1397"/>
      <c r="AT67" s="1397"/>
      <c r="AU67" s="1397"/>
      <c r="AV67" s="1397"/>
      <c r="AW67" s="1397"/>
      <c r="AX67" s="1397"/>
      <c r="AY67" s="1397"/>
      <c r="AZ67" s="1397"/>
      <c r="BA67" s="1397"/>
      <c r="BB67" s="1397"/>
      <c r="BC67" s="1397"/>
      <c r="BD67" s="1397"/>
      <c r="BE67" s="1397"/>
      <c r="BF67" s="1397"/>
      <c r="BG67" s="1397"/>
      <c r="BH67" s="1397"/>
      <c r="BI67" s="1397"/>
      <c r="BJ67" s="1397"/>
      <c r="BK67" s="1397"/>
      <c r="BL67" s="1397"/>
      <c r="BM67" s="1397"/>
      <c r="BN67" s="1397"/>
    </row>
    <row r="68" spans="1:66" ht="13.5" hidden="1" outlineLevel="1" thickBot="1" x14ac:dyDescent="0.25">
      <c r="A68" s="589"/>
      <c r="B68" s="589"/>
      <c r="C68" s="589"/>
      <c r="D68" s="589"/>
      <c r="E68" s="589"/>
      <c r="F68" s="589"/>
      <c r="G68" s="2110" t="str">
        <f t="shared" si="4"/>
        <v/>
      </c>
      <c r="H68" s="589"/>
      <c r="I68" s="2095" t="str">
        <f t="shared" si="5"/>
        <v/>
      </c>
      <c r="K68" s="589"/>
      <c r="L68" s="589"/>
      <c r="M68" s="589"/>
      <c r="N68" s="589"/>
      <c r="O68" s="589"/>
      <c r="P68" s="589"/>
      <c r="Q68" s="589"/>
      <c r="R68" s="558" t="s">
        <v>2117</v>
      </c>
      <c r="S68" s="590"/>
      <c r="T68" s="591"/>
      <c r="U68" s="592"/>
      <c r="V68" s="605"/>
      <c r="W68" s="593"/>
      <c r="X68" s="594" t="s">
        <v>769</v>
      </c>
      <c r="Y68" s="595"/>
      <c r="Z68" s="605"/>
      <c r="AA68" s="596"/>
      <c r="AB68" s="597"/>
      <c r="AC68" s="594" t="s">
        <v>769</v>
      </c>
      <c r="AD68" s="595"/>
      <c r="AE68" s="589"/>
      <c r="AF68" s="589"/>
      <c r="AG68" s="589"/>
      <c r="AH68" s="589"/>
      <c r="AI68" s="589"/>
      <c r="AJ68" s="589"/>
      <c r="AK68" s="589"/>
      <c r="AL68" s="575"/>
      <c r="AM68" s="589"/>
      <c r="AN68" s="1397"/>
      <c r="AO68" s="1397"/>
      <c r="AP68" s="1397"/>
      <c r="AQ68" s="1397"/>
      <c r="AR68" s="1397"/>
      <c r="AS68" s="1397"/>
      <c r="AT68" s="1397"/>
      <c r="AU68" s="1397"/>
      <c r="AV68" s="1397"/>
      <c r="AW68" s="1397"/>
      <c r="AX68" s="1397"/>
      <c r="AY68" s="1397"/>
      <c r="AZ68" s="1397"/>
      <c r="BA68" s="1397"/>
      <c r="BB68" s="1397"/>
      <c r="BC68" s="1397"/>
      <c r="BD68" s="1397"/>
      <c r="BE68" s="1397"/>
      <c r="BF68" s="1397"/>
      <c r="BG68" s="1397"/>
      <c r="BH68" s="1397"/>
      <c r="BI68" s="1397"/>
      <c r="BJ68" s="1397"/>
      <c r="BK68" s="1397"/>
      <c r="BL68" s="1397"/>
      <c r="BM68" s="1397"/>
      <c r="BN68" s="1397"/>
    </row>
    <row r="69" spans="1:66" ht="13.5" hidden="1" outlineLevel="1" thickBot="1" x14ac:dyDescent="0.25">
      <c r="A69" s="589"/>
      <c r="B69" s="589"/>
      <c r="C69" s="589"/>
      <c r="D69" s="589"/>
      <c r="E69" s="589"/>
      <c r="F69" s="589"/>
      <c r="G69" s="2110" t="str">
        <f t="shared" si="4"/>
        <v/>
      </c>
      <c r="H69" s="589"/>
      <c r="I69" s="2095" t="str">
        <f t="shared" si="5"/>
        <v/>
      </c>
      <c r="K69" s="589"/>
      <c r="L69" s="589"/>
      <c r="M69" s="589"/>
      <c r="N69" s="589"/>
      <c r="O69" s="589"/>
      <c r="P69" s="589"/>
      <c r="Q69" s="589"/>
      <c r="R69" s="558" t="s">
        <v>2117</v>
      </c>
      <c r="S69" s="590"/>
      <c r="T69" s="591"/>
      <c r="U69" s="592"/>
      <c r="V69" s="605"/>
      <c r="W69" s="593"/>
      <c r="X69" s="594" t="s">
        <v>769</v>
      </c>
      <c r="Y69" s="595"/>
      <c r="Z69" s="605"/>
      <c r="AA69" s="596"/>
      <c r="AB69" s="597"/>
      <c r="AC69" s="594" t="s">
        <v>769</v>
      </c>
      <c r="AD69" s="595"/>
      <c r="AE69" s="589"/>
      <c r="AF69" s="589"/>
      <c r="AG69" s="589"/>
      <c r="AH69" s="589"/>
      <c r="AI69" s="589"/>
      <c r="AJ69" s="589"/>
      <c r="AK69" s="589"/>
      <c r="AL69" s="575"/>
      <c r="AM69" s="589"/>
      <c r="AN69" s="1397"/>
      <c r="AO69" s="1397"/>
      <c r="AP69" s="1397"/>
      <c r="AQ69" s="1397"/>
      <c r="AR69" s="1397"/>
      <c r="AS69" s="1397"/>
      <c r="AT69" s="1397"/>
      <c r="AU69" s="1397"/>
      <c r="AV69" s="1397"/>
      <c r="AW69" s="1397"/>
      <c r="AX69" s="1397"/>
      <c r="AY69" s="1397"/>
      <c r="AZ69" s="1397"/>
      <c r="BA69" s="1397"/>
      <c r="BB69" s="1397"/>
      <c r="BC69" s="1397"/>
      <c r="BD69" s="1397"/>
      <c r="BE69" s="1397"/>
      <c r="BF69" s="1397"/>
      <c r="BG69" s="1397"/>
      <c r="BH69" s="1397"/>
      <c r="BI69" s="1397"/>
      <c r="BJ69" s="1397"/>
      <c r="BK69" s="1397"/>
      <c r="BL69" s="1397"/>
      <c r="BM69" s="1397"/>
      <c r="BN69" s="1397"/>
    </row>
    <row r="70" spans="1:66" ht="13.5" hidden="1" outlineLevel="1" thickBot="1" x14ac:dyDescent="0.25">
      <c r="A70" s="589"/>
      <c r="B70" s="589"/>
      <c r="C70" s="589"/>
      <c r="D70" s="589"/>
      <c r="E70" s="589"/>
      <c r="F70" s="589"/>
      <c r="G70" s="2110" t="str">
        <f t="shared" si="4"/>
        <v/>
      </c>
      <c r="H70" s="589"/>
      <c r="I70" s="2095" t="str">
        <f t="shared" si="5"/>
        <v/>
      </c>
      <c r="K70" s="589"/>
      <c r="L70" s="589"/>
      <c r="M70" s="589"/>
      <c r="N70" s="589"/>
      <c r="O70" s="589"/>
      <c r="P70" s="589"/>
      <c r="Q70" s="589"/>
      <c r="R70" s="558" t="s">
        <v>2117</v>
      </c>
      <c r="S70" s="590"/>
      <c r="T70" s="591"/>
      <c r="U70" s="592"/>
      <c r="V70" s="605"/>
      <c r="W70" s="593"/>
      <c r="X70" s="594" t="s">
        <v>769</v>
      </c>
      <c r="Y70" s="595"/>
      <c r="Z70" s="605"/>
      <c r="AA70" s="596"/>
      <c r="AB70" s="597"/>
      <c r="AC70" s="594" t="s">
        <v>769</v>
      </c>
      <c r="AD70" s="595"/>
      <c r="AE70" s="589"/>
      <c r="AF70" s="589"/>
      <c r="AG70" s="589"/>
      <c r="AH70" s="589"/>
      <c r="AI70" s="589"/>
      <c r="AJ70" s="589"/>
      <c r="AK70" s="589"/>
      <c r="AL70" s="575"/>
      <c r="AM70" s="589"/>
      <c r="AN70" s="1397"/>
      <c r="AO70" s="1397"/>
      <c r="AP70" s="1397"/>
      <c r="AQ70" s="1397"/>
      <c r="AR70" s="1397"/>
      <c r="AS70" s="1397"/>
      <c r="AT70" s="1397"/>
      <c r="AU70" s="1397"/>
      <c r="AV70" s="1397"/>
      <c r="AW70" s="1397"/>
      <c r="AX70" s="1397"/>
      <c r="AY70" s="1397"/>
      <c r="AZ70" s="1397"/>
      <c r="BA70" s="1397"/>
      <c r="BB70" s="1397"/>
      <c r="BC70" s="1397"/>
      <c r="BD70" s="1397"/>
      <c r="BE70" s="1397"/>
      <c r="BF70" s="1397"/>
      <c r="BG70" s="1397"/>
      <c r="BH70" s="1397"/>
      <c r="BI70" s="1397"/>
      <c r="BJ70" s="1397"/>
      <c r="BK70" s="1397"/>
      <c r="BL70" s="1397"/>
      <c r="BM70" s="1397"/>
      <c r="BN70" s="1397"/>
    </row>
    <row r="71" spans="1:66" ht="13.5" hidden="1" outlineLevel="1" thickBot="1" x14ac:dyDescent="0.25">
      <c r="A71" s="589"/>
      <c r="B71" s="589"/>
      <c r="C71" s="589"/>
      <c r="D71" s="589"/>
      <c r="E71" s="589"/>
      <c r="F71" s="589"/>
      <c r="G71" s="2110" t="str">
        <f t="shared" si="4"/>
        <v/>
      </c>
      <c r="H71" s="589"/>
      <c r="I71" s="2095" t="str">
        <f t="shared" si="5"/>
        <v/>
      </c>
      <c r="K71" s="589"/>
      <c r="L71" s="589"/>
      <c r="M71" s="589"/>
      <c r="N71" s="589"/>
      <c r="O71" s="589"/>
      <c r="P71" s="589"/>
      <c r="Q71" s="589"/>
      <c r="R71" s="558" t="s">
        <v>2117</v>
      </c>
      <c r="S71" s="590"/>
      <c r="T71" s="591"/>
      <c r="U71" s="592"/>
      <c r="V71" s="605"/>
      <c r="W71" s="593"/>
      <c r="X71" s="594" t="s">
        <v>769</v>
      </c>
      <c r="Y71" s="595"/>
      <c r="Z71" s="605"/>
      <c r="AA71" s="596"/>
      <c r="AB71" s="597"/>
      <c r="AC71" s="594" t="s">
        <v>769</v>
      </c>
      <c r="AD71" s="595"/>
      <c r="AE71" s="589"/>
      <c r="AF71" s="589"/>
      <c r="AG71" s="589"/>
      <c r="AH71" s="589"/>
      <c r="AI71" s="589"/>
      <c r="AJ71" s="589"/>
      <c r="AK71" s="589"/>
      <c r="AL71" s="575"/>
      <c r="AM71" s="589"/>
      <c r="AN71" s="1397"/>
      <c r="AO71" s="1397"/>
      <c r="AP71" s="1397"/>
      <c r="AQ71" s="1397"/>
      <c r="AR71" s="1397"/>
      <c r="AS71" s="1397"/>
      <c r="AT71" s="1397"/>
      <c r="AU71" s="1397"/>
      <c r="AV71" s="1397"/>
      <c r="AW71" s="1397"/>
      <c r="AX71" s="1397"/>
      <c r="AY71" s="1397"/>
      <c r="AZ71" s="1397"/>
      <c r="BA71" s="1397"/>
      <c r="BB71" s="1397"/>
      <c r="BC71" s="1397"/>
      <c r="BD71" s="1397"/>
      <c r="BE71" s="1397"/>
      <c r="BF71" s="1397"/>
      <c r="BG71" s="1397"/>
      <c r="BH71" s="1397"/>
      <c r="BI71" s="1397"/>
      <c r="BJ71" s="1397"/>
      <c r="BK71" s="1397"/>
      <c r="BL71" s="1397"/>
      <c r="BM71" s="1397"/>
      <c r="BN71" s="1397"/>
    </row>
    <row r="72" spans="1:66" ht="13.5" hidden="1" outlineLevel="1" thickBot="1" x14ac:dyDescent="0.25">
      <c r="A72" s="589"/>
      <c r="B72" s="589"/>
      <c r="C72" s="589"/>
      <c r="D72" s="589"/>
      <c r="E72" s="589"/>
      <c r="F72" s="589"/>
      <c r="G72" s="2110" t="str">
        <f t="shared" si="4"/>
        <v/>
      </c>
      <c r="H72" s="589"/>
      <c r="I72" s="2095" t="str">
        <f t="shared" si="5"/>
        <v/>
      </c>
      <c r="K72" s="589"/>
      <c r="L72" s="589"/>
      <c r="M72" s="589"/>
      <c r="N72" s="589"/>
      <c r="O72" s="589"/>
      <c r="P72" s="589"/>
      <c r="Q72" s="589"/>
      <c r="R72" s="558" t="s">
        <v>2117</v>
      </c>
      <c r="S72" s="590"/>
      <c r="T72" s="591"/>
      <c r="U72" s="592"/>
      <c r="V72" s="605"/>
      <c r="W72" s="593"/>
      <c r="X72" s="594" t="s">
        <v>769</v>
      </c>
      <c r="Y72" s="595"/>
      <c r="Z72" s="605"/>
      <c r="AA72" s="596"/>
      <c r="AB72" s="597"/>
      <c r="AC72" s="594" t="s">
        <v>769</v>
      </c>
      <c r="AD72" s="595"/>
      <c r="AE72" s="589"/>
      <c r="AF72" s="589"/>
      <c r="AG72" s="589"/>
      <c r="AH72" s="589"/>
      <c r="AI72" s="589"/>
      <c r="AJ72" s="589"/>
      <c r="AK72" s="589"/>
      <c r="AL72" s="575"/>
      <c r="AM72" s="589"/>
      <c r="AN72" s="1397"/>
      <c r="AO72" s="1397"/>
      <c r="AP72" s="1397"/>
      <c r="AQ72" s="1397"/>
      <c r="AR72" s="1397"/>
      <c r="AS72" s="1397"/>
      <c r="AT72" s="1397"/>
      <c r="AU72" s="1397"/>
      <c r="AV72" s="1397"/>
      <c r="AW72" s="1397"/>
      <c r="AX72" s="1397"/>
      <c r="AY72" s="1397"/>
      <c r="AZ72" s="1397"/>
      <c r="BA72" s="1397"/>
      <c r="BB72" s="1397"/>
      <c r="BC72" s="1397"/>
      <c r="BD72" s="1397"/>
      <c r="BE72" s="1397"/>
      <c r="BF72" s="1397"/>
      <c r="BG72" s="1397"/>
      <c r="BH72" s="1397"/>
      <c r="BI72" s="1397"/>
      <c r="BJ72" s="1397"/>
      <c r="BK72" s="1397"/>
      <c r="BL72" s="1397"/>
      <c r="BM72" s="1397"/>
      <c r="BN72" s="1397"/>
    </row>
    <row r="73" spans="1:66" ht="13.5" hidden="1" outlineLevel="1" thickBot="1" x14ac:dyDescent="0.25">
      <c r="A73" s="589"/>
      <c r="B73" s="589"/>
      <c r="C73" s="589"/>
      <c r="D73" s="589"/>
      <c r="E73" s="589"/>
      <c r="F73" s="589"/>
      <c r="G73" s="2110" t="str">
        <f t="shared" si="4"/>
        <v/>
      </c>
      <c r="H73" s="589"/>
      <c r="I73" s="2095" t="str">
        <f t="shared" si="5"/>
        <v/>
      </c>
      <c r="K73" s="589"/>
      <c r="L73" s="589"/>
      <c r="M73" s="589"/>
      <c r="N73" s="589"/>
      <c r="O73" s="589"/>
      <c r="P73" s="589"/>
      <c r="Q73" s="589"/>
      <c r="R73" s="558" t="s">
        <v>2117</v>
      </c>
      <c r="S73" s="590"/>
      <c r="T73" s="591"/>
      <c r="U73" s="592"/>
      <c r="V73" s="605"/>
      <c r="W73" s="593"/>
      <c r="X73" s="594" t="s">
        <v>769</v>
      </c>
      <c r="Y73" s="595"/>
      <c r="Z73" s="605"/>
      <c r="AA73" s="596"/>
      <c r="AB73" s="597"/>
      <c r="AC73" s="594" t="s">
        <v>769</v>
      </c>
      <c r="AD73" s="595"/>
      <c r="AE73" s="589"/>
      <c r="AF73" s="589"/>
      <c r="AG73" s="589"/>
      <c r="AH73" s="589"/>
      <c r="AI73" s="589"/>
      <c r="AJ73" s="589"/>
      <c r="AK73" s="589"/>
      <c r="AL73" s="575"/>
      <c r="AM73" s="589"/>
      <c r="AN73" s="1397"/>
      <c r="AO73" s="1397"/>
      <c r="AP73" s="1397"/>
      <c r="AQ73" s="1397"/>
      <c r="AR73" s="1397"/>
      <c r="AS73" s="1397"/>
      <c r="AT73" s="1397"/>
      <c r="AU73" s="1397"/>
      <c r="AV73" s="1397"/>
      <c r="AW73" s="1397"/>
      <c r="AX73" s="1397"/>
      <c r="AY73" s="1397"/>
      <c r="AZ73" s="1397"/>
      <c r="BA73" s="1397"/>
      <c r="BB73" s="1397"/>
      <c r="BC73" s="1397"/>
      <c r="BD73" s="1397"/>
      <c r="BE73" s="1397"/>
      <c r="BF73" s="1397"/>
      <c r="BG73" s="1397"/>
      <c r="BH73" s="1397"/>
      <c r="BI73" s="1397"/>
      <c r="BJ73" s="1397"/>
      <c r="BK73" s="1397"/>
      <c r="BL73" s="1397"/>
      <c r="BM73" s="1397"/>
      <c r="BN73" s="1397"/>
    </row>
    <row r="74" spans="1:66" ht="13.5" hidden="1" outlineLevel="1" thickBot="1" x14ac:dyDescent="0.25">
      <c r="A74" s="589"/>
      <c r="B74" s="589"/>
      <c r="C74" s="589"/>
      <c r="D74" s="589"/>
      <c r="E74" s="589"/>
      <c r="F74" s="589"/>
      <c r="G74" s="2110" t="str">
        <f t="shared" si="4"/>
        <v/>
      </c>
      <c r="H74" s="589"/>
      <c r="I74" s="2095" t="str">
        <f t="shared" si="5"/>
        <v/>
      </c>
      <c r="K74" s="589"/>
      <c r="L74" s="589"/>
      <c r="M74" s="589"/>
      <c r="N74" s="589"/>
      <c r="O74" s="589"/>
      <c r="P74" s="589"/>
      <c r="Q74" s="589"/>
      <c r="R74" s="558" t="s">
        <v>2117</v>
      </c>
      <c r="S74" s="590"/>
      <c r="T74" s="591"/>
      <c r="U74" s="592"/>
      <c r="V74" s="605"/>
      <c r="W74" s="593"/>
      <c r="X74" s="594" t="s">
        <v>769</v>
      </c>
      <c r="Y74" s="595"/>
      <c r="Z74" s="605"/>
      <c r="AA74" s="596"/>
      <c r="AB74" s="597"/>
      <c r="AC74" s="594" t="s">
        <v>769</v>
      </c>
      <c r="AD74" s="595"/>
      <c r="AE74" s="589"/>
      <c r="AF74" s="589"/>
      <c r="AG74" s="589"/>
      <c r="AH74" s="589"/>
      <c r="AI74" s="589"/>
      <c r="AJ74" s="589"/>
      <c r="AK74" s="589"/>
      <c r="AL74" s="575"/>
      <c r="AM74" s="589"/>
      <c r="AN74" s="1397"/>
      <c r="AO74" s="1397"/>
      <c r="AP74" s="1397"/>
      <c r="AQ74" s="1397"/>
      <c r="AR74" s="1397"/>
      <c r="AS74" s="1397"/>
      <c r="AT74" s="1397"/>
      <c r="AU74" s="1397"/>
      <c r="AV74" s="1397"/>
      <c r="AW74" s="1397"/>
      <c r="AX74" s="1397"/>
      <c r="AY74" s="1397"/>
      <c r="AZ74" s="1397"/>
      <c r="BA74" s="1397"/>
      <c r="BB74" s="1397"/>
      <c r="BC74" s="1397"/>
      <c r="BD74" s="1397"/>
      <c r="BE74" s="1397"/>
      <c r="BF74" s="1397"/>
      <c r="BG74" s="1397"/>
      <c r="BH74" s="1397"/>
      <c r="BI74" s="1397"/>
      <c r="BJ74" s="1397"/>
      <c r="BK74" s="1397"/>
      <c r="BL74" s="1397"/>
      <c r="BM74" s="1397"/>
      <c r="BN74" s="1397"/>
    </row>
    <row r="75" spans="1:66" ht="13.5" hidden="1" outlineLevel="1" thickBot="1" x14ac:dyDescent="0.25">
      <c r="A75" s="589"/>
      <c r="B75" s="589"/>
      <c r="C75" s="589"/>
      <c r="D75" s="589"/>
      <c r="E75" s="589"/>
      <c r="F75" s="589"/>
      <c r="G75" s="2110" t="str">
        <f t="shared" si="4"/>
        <v/>
      </c>
      <c r="H75" s="589"/>
      <c r="I75" s="2095" t="str">
        <f t="shared" ref="I75:I106" si="6">IF(G75="","",IF(G75=V75,Z75,V75))</f>
        <v/>
      </c>
      <c r="K75" s="589"/>
      <c r="L75" s="589"/>
      <c r="M75" s="589"/>
      <c r="N75" s="589"/>
      <c r="O75" s="589"/>
      <c r="P75" s="589"/>
      <c r="Q75" s="589"/>
      <c r="R75" s="558" t="s">
        <v>2117</v>
      </c>
      <c r="S75" s="590"/>
      <c r="T75" s="591"/>
      <c r="U75" s="592"/>
      <c r="V75" s="605"/>
      <c r="W75" s="593"/>
      <c r="X75" s="594" t="s">
        <v>769</v>
      </c>
      <c r="Y75" s="595"/>
      <c r="Z75" s="605"/>
      <c r="AA75" s="596"/>
      <c r="AB75" s="597"/>
      <c r="AC75" s="594" t="s">
        <v>769</v>
      </c>
      <c r="AD75" s="595"/>
      <c r="AE75" s="589"/>
      <c r="AF75" s="589"/>
      <c r="AG75" s="589"/>
      <c r="AH75" s="589"/>
      <c r="AI75" s="589"/>
      <c r="AJ75" s="589"/>
      <c r="AK75" s="589"/>
      <c r="AL75" s="575"/>
      <c r="AM75" s="589"/>
      <c r="AN75" s="1397"/>
      <c r="AO75" s="1397"/>
      <c r="AP75" s="1397"/>
      <c r="AQ75" s="1397"/>
      <c r="AR75" s="1397"/>
      <c r="AS75" s="1397"/>
      <c r="AT75" s="1397"/>
      <c r="AU75" s="1397"/>
      <c r="AV75" s="1397"/>
      <c r="AW75" s="1397"/>
      <c r="AX75" s="1397"/>
      <c r="AY75" s="1397"/>
      <c r="AZ75" s="1397"/>
      <c r="BA75" s="1397"/>
      <c r="BB75" s="1397"/>
      <c r="BC75" s="1397"/>
      <c r="BD75" s="1397"/>
      <c r="BE75" s="1397"/>
      <c r="BF75" s="1397"/>
      <c r="BG75" s="1397"/>
      <c r="BH75" s="1397"/>
      <c r="BI75" s="1397"/>
      <c r="BJ75" s="1397"/>
      <c r="BK75" s="1397"/>
      <c r="BL75" s="1397"/>
      <c r="BM75" s="1397"/>
      <c r="BN75" s="1397"/>
    </row>
    <row r="76" spans="1:66" ht="13.5" hidden="1" outlineLevel="1" thickBot="1" x14ac:dyDescent="0.25">
      <c r="A76" s="589"/>
      <c r="B76" s="589"/>
      <c r="C76" s="589"/>
      <c r="D76" s="589"/>
      <c r="E76" s="589"/>
      <c r="F76" s="589"/>
      <c r="G76" s="2110" t="str">
        <f t="shared" si="4"/>
        <v/>
      </c>
      <c r="H76" s="589"/>
      <c r="I76" s="2095" t="str">
        <f t="shared" si="6"/>
        <v/>
      </c>
      <c r="K76" s="589"/>
      <c r="L76" s="589"/>
      <c r="M76" s="589"/>
      <c r="N76" s="589"/>
      <c r="O76" s="589"/>
      <c r="P76" s="589"/>
      <c r="Q76" s="589"/>
      <c r="R76" s="558" t="s">
        <v>2117</v>
      </c>
      <c r="S76" s="590"/>
      <c r="T76" s="591"/>
      <c r="U76" s="592"/>
      <c r="V76" s="605"/>
      <c r="W76" s="593"/>
      <c r="X76" s="594" t="s">
        <v>769</v>
      </c>
      <c r="Y76" s="595"/>
      <c r="Z76" s="605"/>
      <c r="AA76" s="596"/>
      <c r="AB76" s="597"/>
      <c r="AC76" s="594" t="s">
        <v>769</v>
      </c>
      <c r="AD76" s="595"/>
      <c r="AE76" s="589"/>
      <c r="AF76" s="589"/>
      <c r="AG76" s="589"/>
      <c r="AH76" s="589"/>
      <c r="AI76" s="589"/>
      <c r="AJ76" s="589"/>
      <c r="AK76" s="589"/>
      <c r="AL76" s="575"/>
      <c r="AM76" s="589"/>
      <c r="AN76" s="1397"/>
      <c r="AO76" s="1397"/>
      <c r="AP76" s="1397"/>
      <c r="AQ76" s="1397"/>
      <c r="AR76" s="1397"/>
      <c r="AS76" s="1397"/>
      <c r="AT76" s="1397"/>
      <c r="AU76" s="1397"/>
      <c r="AV76" s="1397"/>
      <c r="AW76" s="1397"/>
      <c r="AX76" s="1397"/>
      <c r="AY76" s="1397"/>
      <c r="AZ76" s="1397"/>
      <c r="BA76" s="1397"/>
      <c r="BB76" s="1397"/>
      <c r="BC76" s="1397"/>
      <c r="BD76" s="1397"/>
      <c r="BE76" s="1397"/>
      <c r="BF76" s="1397"/>
      <c r="BG76" s="1397"/>
      <c r="BH76" s="1397"/>
      <c r="BI76" s="1397"/>
      <c r="BJ76" s="1397"/>
      <c r="BK76" s="1397"/>
      <c r="BL76" s="1397"/>
      <c r="BM76" s="1397"/>
      <c r="BN76" s="1397"/>
    </row>
    <row r="77" spans="1:66" ht="13.5" hidden="1" outlineLevel="1" thickBot="1" x14ac:dyDescent="0.25">
      <c r="A77" s="589"/>
      <c r="B77" s="589"/>
      <c r="C77" s="589"/>
      <c r="D77" s="589"/>
      <c r="E77" s="589"/>
      <c r="F77" s="589"/>
      <c r="G77" s="2110" t="str">
        <f t="shared" si="4"/>
        <v/>
      </c>
      <c r="H77" s="589"/>
      <c r="I77" s="2095" t="str">
        <f t="shared" si="6"/>
        <v/>
      </c>
      <c r="K77" s="589"/>
      <c r="L77" s="589"/>
      <c r="M77" s="589"/>
      <c r="N77" s="589"/>
      <c r="O77" s="589"/>
      <c r="P77" s="589"/>
      <c r="Q77" s="589"/>
      <c r="R77" s="558" t="s">
        <v>2117</v>
      </c>
      <c r="S77" s="590"/>
      <c r="T77" s="591"/>
      <c r="U77" s="592"/>
      <c r="V77" s="605"/>
      <c r="W77" s="593"/>
      <c r="X77" s="594" t="s">
        <v>769</v>
      </c>
      <c r="Y77" s="595"/>
      <c r="Z77" s="605"/>
      <c r="AA77" s="596"/>
      <c r="AB77" s="597"/>
      <c r="AC77" s="594" t="s">
        <v>769</v>
      </c>
      <c r="AD77" s="595"/>
      <c r="AE77" s="589"/>
      <c r="AF77" s="589"/>
      <c r="AG77" s="589"/>
      <c r="AH77" s="589"/>
      <c r="AI77" s="589"/>
      <c r="AJ77" s="589"/>
      <c r="AK77" s="589"/>
      <c r="AL77" s="575"/>
      <c r="AM77" s="589"/>
      <c r="AN77" s="1397"/>
      <c r="AO77" s="1397"/>
      <c r="AP77" s="1397"/>
      <c r="AQ77" s="1397"/>
      <c r="AR77" s="1397"/>
      <c r="AS77" s="1397"/>
      <c r="AT77" s="1397"/>
      <c r="AU77" s="1397"/>
      <c r="AV77" s="1397"/>
      <c r="AW77" s="1397"/>
      <c r="AX77" s="1397"/>
      <c r="AY77" s="1397"/>
      <c r="AZ77" s="1397"/>
      <c r="BA77" s="1397"/>
      <c r="BB77" s="1397"/>
      <c r="BC77" s="1397"/>
      <c r="BD77" s="1397"/>
      <c r="BE77" s="1397"/>
      <c r="BF77" s="1397"/>
      <c r="BG77" s="1397"/>
      <c r="BH77" s="1397"/>
      <c r="BI77" s="1397"/>
      <c r="BJ77" s="1397"/>
      <c r="BK77" s="1397"/>
      <c r="BL77" s="1397"/>
      <c r="BM77" s="1397"/>
      <c r="BN77" s="1397"/>
    </row>
    <row r="78" spans="1:66" ht="13.5" hidden="1" outlineLevel="1" thickBot="1" x14ac:dyDescent="0.25">
      <c r="A78" s="589"/>
      <c r="B78" s="589"/>
      <c r="C78" s="589"/>
      <c r="D78" s="589"/>
      <c r="E78" s="589"/>
      <c r="F78" s="589"/>
      <c r="G78" s="2110" t="str">
        <f t="shared" si="4"/>
        <v/>
      </c>
      <c r="H78" s="589"/>
      <c r="I78" s="2095" t="str">
        <f t="shared" si="6"/>
        <v/>
      </c>
      <c r="K78" s="589"/>
      <c r="L78" s="589"/>
      <c r="M78" s="589"/>
      <c r="N78" s="589"/>
      <c r="O78" s="589"/>
      <c r="P78" s="589"/>
      <c r="Q78" s="589"/>
      <c r="R78" s="558" t="s">
        <v>2117</v>
      </c>
      <c r="S78" s="590"/>
      <c r="T78" s="591"/>
      <c r="U78" s="592"/>
      <c r="V78" s="605"/>
      <c r="W78" s="593"/>
      <c r="X78" s="594" t="s">
        <v>769</v>
      </c>
      <c r="Y78" s="595"/>
      <c r="Z78" s="605"/>
      <c r="AA78" s="596"/>
      <c r="AB78" s="597"/>
      <c r="AC78" s="594" t="s">
        <v>769</v>
      </c>
      <c r="AD78" s="595"/>
      <c r="AE78" s="589"/>
      <c r="AF78" s="589"/>
      <c r="AG78" s="589"/>
      <c r="AH78" s="589"/>
      <c r="AI78" s="589"/>
      <c r="AJ78" s="589"/>
      <c r="AK78" s="589"/>
      <c r="AL78" s="575"/>
      <c r="AM78" s="589"/>
      <c r="AN78" s="1397"/>
      <c r="AO78" s="1397"/>
      <c r="AP78" s="1397"/>
      <c r="AQ78" s="1397"/>
      <c r="AR78" s="1397"/>
      <c r="AS78" s="1397"/>
      <c r="AT78" s="1397"/>
      <c r="AU78" s="1397"/>
      <c r="AV78" s="1397"/>
      <c r="AW78" s="1397"/>
      <c r="AX78" s="1397"/>
      <c r="AY78" s="1397"/>
      <c r="AZ78" s="1397"/>
      <c r="BA78" s="1397"/>
      <c r="BB78" s="1397"/>
      <c r="BC78" s="1397"/>
      <c r="BD78" s="1397"/>
      <c r="BE78" s="1397"/>
      <c r="BF78" s="1397"/>
      <c r="BG78" s="1397"/>
      <c r="BH78" s="1397"/>
      <c r="BI78" s="1397"/>
      <c r="BJ78" s="1397"/>
      <c r="BK78" s="1397"/>
      <c r="BL78" s="1397"/>
      <c r="BM78" s="1397"/>
      <c r="BN78" s="1397"/>
    </row>
    <row r="79" spans="1:66" ht="13.5" hidden="1" outlineLevel="1" thickBot="1" x14ac:dyDescent="0.25">
      <c r="A79" s="589"/>
      <c r="B79" s="589"/>
      <c r="C79" s="589"/>
      <c r="D79" s="589"/>
      <c r="E79" s="589"/>
      <c r="F79" s="589"/>
      <c r="G79" s="2110" t="str">
        <f t="shared" si="4"/>
        <v/>
      </c>
      <c r="H79" s="589"/>
      <c r="I79" s="2095" t="str">
        <f t="shared" si="6"/>
        <v/>
      </c>
      <c r="K79" s="589"/>
      <c r="L79" s="589"/>
      <c r="M79" s="589"/>
      <c r="N79" s="589"/>
      <c r="O79" s="589"/>
      <c r="P79" s="589"/>
      <c r="Q79" s="589"/>
      <c r="R79" s="558" t="s">
        <v>2117</v>
      </c>
      <c r="S79" s="590"/>
      <c r="T79" s="591"/>
      <c r="U79" s="592"/>
      <c r="V79" s="605"/>
      <c r="W79" s="593"/>
      <c r="X79" s="594" t="s">
        <v>769</v>
      </c>
      <c r="Y79" s="595"/>
      <c r="Z79" s="605"/>
      <c r="AA79" s="596"/>
      <c r="AB79" s="597"/>
      <c r="AC79" s="594" t="s">
        <v>769</v>
      </c>
      <c r="AD79" s="595"/>
      <c r="AE79" s="589"/>
      <c r="AF79" s="589"/>
      <c r="AG79" s="589"/>
      <c r="AH79" s="589"/>
      <c r="AI79" s="589"/>
      <c r="AJ79" s="589"/>
      <c r="AK79" s="589"/>
      <c r="AL79" s="575"/>
      <c r="AM79" s="589"/>
      <c r="AN79" s="1397"/>
      <c r="AO79" s="1397"/>
      <c r="AP79" s="1397"/>
      <c r="AQ79" s="1397"/>
      <c r="AR79" s="1397"/>
      <c r="AS79" s="1397"/>
      <c r="AT79" s="1397"/>
      <c r="AU79" s="1397"/>
      <c r="AV79" s="1397"/>
      <c r="AW79" s="1397"/>
      <c r="AX79" s="1397"/>
      <c r="AY79" s="1397"/>
      <c r="AZ79" s="1397"/>
      <c r="BA79" s="1397"/>
      <c r="BB79" s="1397"/>
      <c r="BC79" s="1397"/>
      <c r="BD79" s="1397"/>
      <c r="BE79" s="1397"/>
      <c r="BF79" s="1397"/>
      <c r="BG79" s="1397"/>
      <c r="BH79" s="1397"/>
      <c r="BI79" s="1397"/>
      <c r="BJ79" s="1397"/>
      <c r="BK79" s="1397"/>
      <c r="BL79" s="1397"/>
      <c r="BM79" s="1397"/>
      <c r="BN79" s="1397"/>
    </row>
    <row r="80" spans="1:66" ht="13.5" hidden="1" outlineLevel="1" thickBot="1" x14ac:dyDescent="0.25">
      <c r="A80" s="589"/>
      <c r="B80" s="589"/>
      <c r="C80" s="589"/>
      <c r="D80" s="589"/>
      <c r="E80" s="589"/>
      <c r="F80" s="589"/>
      <c r="G80" s="2110" t="str">
        <f t="shared" si="4"/>
        <v/>
      </c>
      <c r="H80" s="589"/>
      <c r="I80" s="2095" t="str">
        <f t="shared" si="6"/>
        <v/>
      </c>
      <c r="K80" s="589"/>
      <c r="L80" s="589"/>
      <c r="M80" s="589"/>
      <c r="N80" s="589"/>
      <c r="O80" s="589"/>
      <c r="P80" s="589"/>
      <c r="Q80" s="589"/>
      <c r="R80" s="558" t="s">
        <v>2117</v>
      </c>
      <c r="S80" s="590"/>
      <c r="T80" s="591"/>
      <c r="U80" s="592"/>
      <c r="V80" s="605"/>
      <c r="W80" s="593"/>
      <c r="X80" s="594" t="s">
        <v>769</v>
      </c>
      <c r="Y80" s="595"/>
      <c r="Z80" s="605"/>
      <c r="AA80" s="596"/>
      <c r="AB80" s="597"/>
      <c r="AC80" s="594" t="s">
        <v>769</v>
      </c>
      <c r="AD80" s="595"/>
      <c r="AE80" s="589"/>
      <c r="AF80" s="589"/>
      <c r="AG80" s="589"/>
      <c r="AH80" s="589"/>
      <c r="AI80" s="589"/>
      <c r="AJ80" s="589"/>
      <c r="AK80" s="589"/>
      <c r="AL80" s="575"/>
      <c r="AM80" s="589"/>
      <c r="AN80" s="1397"/>
      <c r="AO80" s="1397"/>
      <c r="AP80" s="1397"/>
      <c r="AQ80" s="1397"/>
      <c r="AR80" s="1397"/>
      <c r="AS80" s="1397"/>
      <c r="AT80" s="1397"/>
      <c r="AU80" s="1397"/>
      <c r="AV80" s="1397"/>
      <c r="AW80" s="1397"/>
      <c r="AX80" s="1397"/>
      <c r="AY80" s="1397"/>
      <c r="AZ80" s="1397"/>
      <c r="BA80" s="1397"/>
      <c r="BB80" s="1397"/>
      <c r="BC80" s="1397"/>
      <c r="BD80" s="1397"/>
      <c r="BE80" s="1397"/>
      <c r="BF80" s="1397"/>
      <c r="BG80" s="1397"/>
      <c r="BH80" s="1397"/>
      <c r="BI80" s="1397"/>
      <c r="BJ80" s="1397"/>
      <c r="BK80" s="1397"/>
      <c r="BL80" s="1397"/>
      <c r="BM80" s="1397"/>
      <c r="BN80" s="1397"/>
    </row>
    <row r="81" spans="1:66" ht="13.5" hidden="1" outlineLevel="1" thickBot="1" x14ac:dyDescent="0.25">
      <c r="A81" s="589"/>
      <c r="B81" s="589"/>
      <c r="C81" s="589"/>
      <c r="D81" s="589"/>
      <c r="E81" s="589"/>
      <c r="F81" s="589"/>
      <c r="G81" s="2110" t="str">
        <f t="shared" si="4"/>
        <v/>
      </c>
      <c r="H81" s="589"/>
      <c r="I81" s="2095" t="str">
        <f t="shared" si="6"/>
        <v/>
      </c>
      <c r="K81" s="589"/>
      <c r="L81" s="589"/>
      <c r="M81" s="589"/>
      <c r="N81" s="589"/>
      <c r="O81" s="589"/>
      <c r="P81" s="589"/>
      <c r="Q81" s="589"/>
      <c r="R81" s="558" t="s">
        <v>2117</v>
      </c>
      <c r="S81" s="590"/>
      <c r="T81" s="591"/>
      <c r="U81" s="592"/>
      <c r="V81" s="605"/>
      <c r="W81" s="593"/>
      <c r="X81" s="594" t="s">
        <v>769</v>
      </c>
      <c r="Y81" s="595"/>
      <c r="Z81" s="605"/>
      <c r="AA81" s="596"/>
      <c r="AB81" s="597"/>
      <c r="AC81" s="594" t="s">
        <v>769</v>
      </c>
      <c r="AD81" s="595"/>
      <c r="AE81" s="589"/>
      <c r="AF81" s="589"/>
      <c r="AG81" s="589"/>
      <c r="AH81" s="589"/>
      <c r="AI81" s="589"/>
      <c r="AJ81" s="589"/>
      <c r="AK81" s="589"/>
      <c r="AL81" s="575"/>
      <c r="AM81" s="589"/>
      <c r="AN81" s="1397"/>
      <c r="AO81" s="1397"/>
      <c r="AP81" s="1397"/>
      <c r="AQ81" s="1397"/>
      <c r="AR81" s="1397"/>
      <c r="AS81" s="1397"/>
      <c r="AT81" s="1397"/>
      <c r="AU81" s="1397"/>
      <c r="AV81" s="1397"/>
      <c r="AW81" s="1397"/>
      <c r="AX81" s="1397"/>
      <c r="AY81" s="1397"/>
      <c r="AZ81" s="1397"/>
      <c r="BA81" s="1397"/>
      <c r="BB81" s="1397"/>
      <c r="BC81" s="1397"/>
      <c r="BD81" s="1397"/>
      <c r="BE81" s="1397"/>
      <c r="BF81" s="1397"/>
      <c r="BG81" s="1397"/>
      <c r="BH81" s="1397"/>
      <c r="BI81" s="1397"/>
      <c r="BJ81" s="1397"/>
      <c r="BK81" s="1397"/>
      <c r="BL81" s="1397"/>
      <c r="BM81" s="1397"/>
      <c r="BN81" s="1397"/>
    </row>
    <row r="82" spans="1:66" ht="13.5" hidden="1" outlineLevel="1" thickBot="1" x14ac:dyDescent="0.25">
      <c r="A82" s="589"/>
      <c r="B82" s="589"/>
      <c r="C82" s="589"/>
      <c r="D82" s="589"/>
      <c r="E82" s="589"/>
      <c r="F82" s="589"/>
      <c r="G82" s="2110" t="str">
        <f t="shared" si="4"/>
        <v/>
      </c>
      <c r="H82" s="589"/>
      <c r="I82" s="2095" t="str">
        <f t="shared" si="6"/>
        <v/>
      </c>
      <c r="K82" s="589"/>
      <c r="L82" s="589"/>
      <c r="M82" s="589"/>
      <c r="N82" s="589"/>
      <c r="O82" s="589"/>
      <c r="P82" s="589"/>
      <c r="Q82" s="589"/>
      <c r="R82" s="558" t="s">
        <v>2117</v>
      </c>
      <c r="S82" s="590"/>
      <c r="T82" s="591"/>
      <c r="U82" s="592"/>
      <c r="V82" s="605"/>
      <c r="W82" s="593"/>
      <c r="X82" s="594" t="s">
        <v>769</v>
      </c>
      <c r="Y82" s="595"/>
      <c r="Z82" s="605"/>
      <c r="AA82" s="596"/>
      <c r="AB82" s="597"/>
      <c r="AC82" s="594" t="s">
        <v>769</v>
      </c>
      <c r="AD82" s="595"/>
      <c r="AE82" s="589"/>
      <c r="AF82" s="589"/>
      <c r="AG82" s="589"/>
      <c r="AH82" s="589"/>
      <c r="AI82" s="589"/>
      <c r="AJ82" s="589"/>
      <c r="AK82" s="589"/>
      <c r="AL82" s="575"/>
      <c r="AM82" s="589"/>
      <c r="AN82" s="1397"/>
      <c r="AO82" s="1397"/>
      <c r="AP82" s="1397"/>
      <c r="AQ82" s="1397"/>
      <c r="AR82" s="1397"/>
      <c r="AS82" s="1397"/>
      <c r="AT82" s="1397"/>
      <c r="AU82" s="1397"/>
      <c r="AV82" s="1397"/>
      <c r="AW82" s="1397"/>
      <c r="AX82" s="1397"/>
      <c r="AY82" s="1397"/>
      <c r="AZ82" s="1397"/>
      <c r="BA82" s="1397"/>
      <c r="BB82" s="1397"/>
      <c r="BC82" s="1397"/>
      <c r="BD82" s="1397"/>
      <c r="BE82" s="1397"/>
      <c r="BF82" s="1397"/>
      <c r="BG82" s="1397"/>
      <c r="BH82" s="1397"/>
      <c r="BI82" s="1397"/>
      <c r="BJ82" s="1397"/>
      <c r="BK82" s="1397"/>
      <c r="BL82" s="1397"/>
      <c r="BM82" s="1397"/>
      <c r="BN82" s="1397"/>
    </row>
    <row r="83" spans="1:66" ht="13.5" hidden="1" outlineLevel="1" thickBot="1" x14ac:dyDescent="0.25">
      <c r="A83" s="589"/>
      <c r="B83" s="589"/>
      <c r="C83" s="589"/>
      <c r="D83" s="589"/>
      <c r="E83" s="589"/>
      <c r="F83" s="589"/>
      <c r="G83" s="2110" t="str">
        <f t="shared" si="4"/>
        <v/>
      </c>
      <c r="H83" s="589"/>
      <c r="I83" s="2095" t="str">
        <f t="shared" si="6"/>
        <v/>
      </c>
      <c r="K83" s="589"/>
      <c r="L83" s="589"/>
      <c r="M83" s="589"/>
      <c r="N83" s="589"/>
      <c r="O83" s="589"/>
      <c r="P83" s="589"/>
      <c r="Q83" s="589"/>
      <c r="R83" s="558" t="s">
        <v>2117</v>
      </c>
      <c r="S83" s="590"/>
      <c r="T83" s="591"/>
      <c r="U83" s="592"/>
      <c r="V83" s="605"/>
      <c r="W83" s="593"/>
      <c r="X83" s="594" t="s">
        <v>769</v>
      </c>
      <c r="Y83" s="595"/>
      <c r="Z83" s="605"/>
      <c r="AA83" s="596"/>
      <c r="AB83" s="597"/>
      <c r="AC83" s="594" t="s">
        <v>769</v>
      </c>
      <c r="AD83" s="595"/>
      <c r="AE83" s="589"/>
      <c r="AF83" s="589"/>
      <c r="AG83" s="589"/>
      <c r="AH83" s="589"/>
      <c r="AI83" s="589"/>
      <c r="AJ83" s="589"/>
      <c r="AK83" s="589"/>
      <c r="AL83" s="575"/>
      <c r="AM83" s="589"/>
      <c r="AN83" s="1397"/>
      <c r="AO83" s="1397"/>
      <c r="AP83" s="1397"/>
      <c r="AQ83" s="1397"/>
      <c r="AR83" s="1397"/>
      <c r="AS83" s="1397"/>
      <c r="AT83" s="1397"/>
      <c r="AU83" s="1397"/>
      <c r="AV83" s="1397"/>
      <c r="AW83" s="1397"/>
      <c r="AX83" s="1397"/>
      <c r="AY83" s="1397"/>
      <c r="AZ83" s="1397"/>
      <c r="BA83" s="1397"/>
      <c r="BB83" s="1397"/>
      <c r="BC83" s="1397"/>
      <c r="BD83" s="1397"/>
      <c r="BE83" s="1397"/>
      <c r="BF83" s="1397"/>
      <c r="BG83" s="1397"/>
      <c r="BH83" s="1397"/>
      <c r="BI83" s="1397"/>
      <c r="BJ83" s="1397"/>
      <c r="BK83" s="1397"/>
      <c r="BL83" s="1397"/>
      <c r="BM83" s="1397"/>
      <c r="BN83" s="1397"/>
    </row>
    <row r="84" spans="1:66" ht="13.5" hidden="1" outlineLevel="1" thickBot="1" x14ac:dyDescent="0.25">
      <c r="A84" s="589"/>
      <c r="B84" s="589"/>
      <c r="C84" s="589"/>
      <c r="D84" s="589"/>
      <c r="E84" s="589"/>
      <c r="F84" s="589"/>
      <c r="G84" s="2110" t="str">
        <f t="shared" si="4"/>
        <v/>
      </c>
      <c r="H84" s="589"/>
      <c r="I84" s="2095" t="str">
        <f t="shared" si="6"/>
        <v/>
      </c>
      <c r="K84" s="589"/>
      <c r="L84" s="589"/>
      <c r="M84" s="589"/>
      <c r="N84" s="589"/>
      <c r="O84" s="589"/>
      <c r="P84" s="589"/>
      <c r="Q84" s="589"/>
      <c r="R84" s="558" t="s">
        <v>2117</v>
      </c>
      <c r="S84" s="590"/>
      <c r="T84" s="591"/>
      <c r="U84" s="592"/>
      <c r="V84" s="605"/>
      <c r="W84" s="593"/>
      <c r="X84" s="594" t="s">
        <v>769</v>
      </c>
      <c r="Y84" s="595"/>
      <c r="Z84" s="605"/>
      <c r="AA84" s="596"/>
      <c r="AB84" s="597"/>
      <c r="AC84" s="594" t="s">
        <v>769</v>
      </c>
      <c r="AD84" s="595"/>
      <c r="AE84" s="589"/>
      <c r="AF84" s="589"/>
      <c r="AG84" s="589"/>
      <c r="AH84" s="589"/>
      <c r="AI84" s="589"/>
      <c r="AJ84" s="589"/>
      <c r="AK84" s="589"/>
      <c r="AL84" s="575"/>
      <c r="AM84" s="589"/>
      <c r="AN84" s="1397"/>
      <c r="AO84" s="1397"/>
      <c r="AP84" s="1397"/>
      <c r="AQ84" s="1397"/>
      <c r="AR84" s="1397"/>
      <c r="AS84" s="1397"/>
      <c r="AT84" s="1397"/>
      <c r="AU84" s="1397"/>
      <c r="AV84" s="1397"/>
      <c r="AW84" s="1397"/>
      <c r="AX84" s="1397"/>
      <c r="AY84" s="1397"/>
      <c r="AZ84" s="1397"/>
      <c r="BA84" s="1397"/>
      <c r="BB84" s="1397"/>
      <c r="BC84" s="1397"/>
      <c r="BD84" s="1397"/>
      <c r="BE84" s="1397"/>
      <c r="BF84" s="1397"/>
      <c r="BG84" s="1397"/>
      <c r="BH84" s="1397"/>
      <c r="BI84" s="1397"/>
      <c r="BJ84" s="1397"/>
      <c r="BK84" s="1397"/>
      <c r="BL84" s="1397"/>
      <c r="BM84" s="1397"/>
      <c r="BN84" s="1397"/>
    </row>
    <row r="85" spans="1:66" ht="13.5" hidden="1" outlineLevel="1" thickBot="1" x14ac:dyDescent="0.25">
      <c r="A85" s="589"/>
      <c r="B85" s="589"/>
      <c r="C85" s="589"/>
      <c r="D85" s="589"/>
      <c r="E85" s="589"/>
      <c r="F85" s="589"/>
      <c r="G85" s="2110" t="str">
        <f t="shared" si="4"/>
        <v/>
      </c>
      <c r="H85" s="589"/>
      <c r="I85" s="2095" t="str">
        <f t="shared" si="6"/>
        <v/>
      </c>
      <c r="K85" s="589"/>
      <c r="L85" s="589"/>
      <c r="M85" s="589"/>
      <c r="N85" s="589"/>
      <c r="O85" s="589"/>
      <c r="P85" s="589"/>
      <c r="Q85" s="589"/>
      <c r="R85" s="558" t="s">
        <v>2117</v>
      </c>
      <c r="S85" s="590"/>
      <c r="T85" s="591"/>
      <c r="U85" s="592"/>
      <c r="V85" s="605"/>
      <c r="W85" s="593"/>
      <c r="X85" s="594" t="s">
        <v>769</v>
      </c>
      <c r="Y85" s="595"/>
      <c r="Z85" s="605"/>
      <c r="AA85" s="596"/>
      <c r="AB85" s="597"/>
      <c r="AC85" s="594" t="s">
        <v>769</v>
      </c>
      <c r="AD85" s="595"/>
      <c r="AE85" s="589"/>
      <c r="AF85" s="589"/>
      <c r="AG85" s="589"/>
      <c r="AH85" s="589"/>
      <c r="AI85" s="589"/>
      <c r="AJ85" s="589"/>
      <c r="AK85" s="589"/>
      <c r="AL85" s="575"/>
      <c r="AM85" s="589"/>
      <c r="AN85" s="1397"/>
      <c r="AO85" s="1397"/>
      <c r="AP85" s="1397"/>
      <c r="AQ85" s="1397"/>
      <c r="AR85" s="1397"/>
      <c r="AS85" s="1397"/>
      <c r="AT85" s="1397"/>
      <c r="AU85" s="1397"/>
      <c r="AV85" s="1397"/>
      <c r="AW85" s="1397"/>
      <c r="AX85" s="1397"/>
      <c r="AY85" s="1397"/>
      <c r="AZ85" s="1397"/>
      <c r="BA85" s="1397"/>
      <c r="BB85" s="1397"/>
      <c r="BC85" s="1397"/>
      <c r="BD85" s="1397"/>
      <c r="BE85" s="1397"/>
      <c r="BF85" s="1397"/>
      <c r="BG85" s="1397"/>
      <c r="BH85" s="1397"/>
      <c r="BI85" s="1397"/>
      <c r="BJ85" s="1397"/>
      <c r="BK85" s="1397"/>
      <c r="BL85" s="1397"/>
      <c r="BM85" s="1397"/>
      <c r="BN85" s="1397"/>
    </row>
    <row r="86" spans="1:66" ht="13.5" hidden="1" outlineLevel="1" thickBot="1" x14ac:dyDescent="0.25">
      <c r="A86" s="589"/>
      <c r="B86" s="589"/>
      <c r="C86" s="589"/>
      <c r="D86" s="589"/>
      <c r="E86" s="589"/>
      <c r="F86" s="589"/>
      <c r="G86" s="2110" t="str">
        <f t="shared" si="4"/>
        <v/>
      </c>
      <c r="H86" s="589"/>
      <c r="I86" s="2095" t="str">
        <f t="shared" si="6"/>
        <v/>
      </c>
      <c r="K86" s="589"/>
      <c r="L86" s="589"/>
      <c r="M86" s="589"/>
      <c r="N86" s="589"/>
      <c r="O86" s="589"/>
      <c r="P86" s="589"/>
      <c r="Q86" s="589"/>
      <c r="R86" s="558" t="s">
        <v>2117</v>
      </c>
      <c r="S86" s="590"/>
      <c r="T86" s="591"/>
      <c r="U86" s="592"/>
      <c r="V86" s="605"/>
      <c r="W86" s="593"/>
      <c r="X86" s="594" t="s">
        <v>769</v>
      </c>
      <c r="Y86" s="595"/>
      <c r="Z86" s="605"/>
      <c r="AA86" s="596"/>
      <c r="AB86" s="597"/>
      <c r="AC86" s="594" t="s">
        <v>769</v>
      </c>
      <c r="AD86" s="595"/>
      <c r="AE86" s="589"/>
      <c r="AF86" s="589"/>
      <c r="AG86" s="589"/>
      <c r="AH86" s="589"/>
      <c r="AI86" s="589"/>
      <c r="AJ86" s="589"/>
      <c r="AK86" s="589"/>
      <c r="AL86" s="575"/>
      <c r="AM86" s="589"/>
      <c r="AN86" s="1397"/>
      <c r="AO86" s="1397"/>
      <c r="AP86" s="1397"/>
      <c r="AQ86" s="1397"/>
      <c r="AR86" s="1397"/>
      <c r="AS86" s="1397"/>
      <c r="AT86" s="1397"/>
      <c r="AU86" s="1397"/>
      <c r="AV86" s="1397"/>
      <c r="AW86" s="1397"/>
      <c r="AX86" s="1397"/>
      <c r="AY86" s="1397"/>
      <c r="AZ86" s="1397"/>
      <c r="BA86" s="1397"/>
      <c r="BB86" s="1397"/>
      <c r="BC86" s="1397"/>
      <c r="BD86" s="1397"/>
      <c r="BE86" s="1397"/>
      <c r="BF86" s="1397"/>
      <c r="BG86" s="1397"/>
      <c r="BH86" s="1397"/>
      <c r="BI86" s="1397"/>
      <c r="BJ86" s="1397"/>
      <c r="BK86" s="1397"/>
      <c r="BL86" s="1397"/>
      <c r="BM86" s="1397"/>
      <c r="BN86" s="1397"/>
    </row>
    <row r="87" spans="1:66" ht="13.5" hidden="1" outlineLevel="1" thickBot="1" x14ac:dyDescent="0.25">
      <c r="A87" s="589"/>
      <c r="B87" s="589"/>
      <c r="C87" s="589"/>
      <c r="D87" s="589"/>
      <c r="E87" s="589"/>
      <c r="F87" s="589"/>
      <c r="G87" s="2110" t="str">
        <f t="shared" si="4"/>
        <v/>
      </c>
      <c r="H87" s="589"/>
      <c r="I87" s="2095" t="str">
        <f t="shared" si="6"/>
        <v/>
      </c>
      <c r="K87" s="589"/>
      <c r="L87" s="589"/>
      <c r="M87" s="589"/>
      <c r="N87" s="589"/>
      <c r="O87" s="589"/>
      <c r="P87" s="589"/>
      <c r="Q87" s="589"/>
      <c r="R87" s="558" t="s">
        <v>2117</v>
      </c>
      <c r="S87" s="590"/>
      <c r="T87" s="591"/>
      <c r="U87" s="592"/>
      <c r="V87" s="605"/>
      <c r="W87" s="593"/>
      <c r="X87" s="594" t="s">
        <v>769</v>
      </c>
      <c r="Y87" s="595"/>
      <c r="Z87" s="605"/>
      <c r="AA87" s="596"/>
      <c r="AB87" s="597"/>
      <c r="AC87" s="594" t="s">
        <v>769</v>
      </c>
      <c r="AD87" s="595"/>
      <c r="AE87" s="589"/>
      <c r="AF87" s="589"/>
      <c r="AG87" s="589"/>
      <c r="AH87" s="589"/>
      <c r="AI87" s="589"/>
      <c r="AJ87" s="589"/>
      <c r="AK87" s="589"/>
      <c r="AL87" s="575"/>
      <c r="AM87" s="589"/>
      <c r="AN87" s="1397"/>
      <c r="AO87" s="1397"/>
      <c r="AP87" s="1397"/>
      <c r="AQ87" s="1397"/>
      <c r="AR87" s="1397"/>
      <c r="AS87" s="1397"/>
      <c r="AT87" s="1397"/>
      <c r="AU87" s="1397"/>
      <c r="AV87" s="1397"/>
      <c r="AW87" s="1397"/>
      <c r="AX87" s="1397"/>
      <c r="AY87" s="1397"/>
      <c r="AZ87" s="1397"/>
      <c r="BA87" s="1397"/>
      <c r="BB87" s="1397"/>
      <c r="BC87" s="1397"/>
      <c r="BD87" s="1397"/>
      <c r="BE87" s="1397"/>
      <c r="BF87" s="1397"/>
      <c r="BG87" s="1397"/>
      <c r="BH87" s="1397"/>
      <c r="BI87" s="1397"/>
      <c r="BJ87" s="1397"/>
      <c r="BK87" s="1397"/>
      <c r="BL87" s="1397"/>
      <c r="BM87" s="1397"/>
      <c r="BN87" s="1397"/>
    </row>
    <row r="88" spans="1:66" ht="13.5" hidden="1" outlineLevel="1" thickBot="1" x14ac:dyDescent="0.25">
      <c r="A88" s="589"/>
      <c r="B88" s="589"/>
      <c r="C88" s="589"/>
      <c r="D88" s="589"/>
      <c r="E88" s="589"/>
      <c r="F88" s="589"/>
      <c r="G88" s="2110" t="str">
        <f t="shared" si="4"/>
        <v/>
      </c>
      <c r="H88" s="589"/>
      <c r="I88" s="2095" t="str">
        <f t="shared" si="6"/>
        <v/>
      </c>
      <c r="K88" s="589"/>
      <c r="L88" s="589"/>
      <c r="M88" s="589"/>
      <c r="N88" s="589"/>
      <c r="O88" s="589"/>
      <c r="P88" s="589"/>
      <c r="Q88" s="589"/>
      <c r="R88" s="558" t="s">
        <v>2117</v>
      </c>
      <c r="S88" s="590"/>
      <c r="T88" s="591"/>
      <c r="U88" s="592"/>
      <c r="V88" s="605"/>
      <c r="W88" s="593"/>
      <c r="X88" s="594" t="s">
        <v>769</v>
      </c>
      <c r="Y88" s="595"/>
      <c r="Z88" s="605"/>
      <c r="AA88" s="596"/>
      <c r="AB88" s="597"/>
      <c r="AC88" s="594" t="s">
        <v>769</v>
      </c>
      <c r="AD88" s="595"/>
      <c r="AE88" s="589"/>
      <c r="AF88" s="589"/>
      <c r="AG88" s="589"/>
      <c r="AH88" s="589"/>
      <c r="AI88" s="589"/>
      <c r="AJ88" s="589"/>
      <c r="AK88" s="589"/>
      <c r="AL88" s="575"/>
      <c r="AM88" s="589"/>
      <c r="AN88" s="1397"/>
      <c r="AO88" s="1397"/>
      <c r="AP88" s="1397"/>
      <c r="AQ88" s="1397"/>
      <c r="AR88" s="1397"/>
      <c r="AS88" s="1397"/>
      <c r="AT88" s="1397"/>
      <c r="AU88" s="1397"/>
      <c r="AV88" s="1397"/>
      <c r="AW88" s="1397"/>
      <c r="AX88" s="1397"/>
      <c r="AY88" s="1397"/>
      <c r="AZ88" s="1397"/>
      <c r="BA88" s="1397"/>
      <c r="BB88" s="1397"/>
      <c r="BC88" s="1397"/>
      <c r="BD88" s="1397"/>
      <c r="BE88" s="1397"/>
      <c r="BF88" s="1397"/>
      <c r="BG88" s="1397"/>
      <c r="BH88" s="1397"/>
      <c r="BI88" s="1397"/>
      <c r="BJ88" s="1397"/>
      <c r="BK88" s="1397"/>
      <c r="BL88" s="1397"/>
      <c r="BM88" s="1397"/>
      <c r="BN88" s="1397"/>
    </row>
    <row r="89" spans="1:66" ht="13.5" hidden="1" outlineLevel="1" thickBot="1" x14ac:dyDescent="0.25">
      <c r="A89" s="589"/>
      <c r="B89" s="589"/>
      <c r="C89" s="589"/>
      <c r="D89" s="589"/>
      <c r="E89" s="589"/>
      <c r="F89" s="589"/>
      <c r="G89" s="2110" t="str">
        <f t="shared" si="4"/>
        <v/>
      </c>
      <c r="H89" s="589"/>
      <c r="I89" s="2095" t="str">
        <f t="shared" si="6"/>
        <v/>
      </c>
      <c r="K89" s="589"/>
      <c r="L89" s="589"/>
      <c r="M89" s="589"/>
      <c r="N89" s="589"/>
      <c r="O89" s="589"/>
      <c r="P89" s="589"/>
      <c r="Q89" s="589"/>
      <c r="R89" s="558" t="s">
        <v>2117</v>
      </c>
      <c r="S89" s="590"/>
      <c r="T89" s="591"/>
      <c r="U89" s="592"/>
      <c r="V89" s="605"/>
      <c r="W89" s="593"/>
      <c r="X89" s="594" t="s">
        <v>769</v>
      </c>
      <c r="Y89" s="595"/>
      <c r="Z89" s="605"/>
      <c r="AA89" s="596"/>
      <c r="AB89" s="597"/>
      <c r="AC89" s="594" t="s">
        <v>769</v>
      </c>
      <c r="AD89" s="595"/>
      <c r="AE89" s="589"/>
      <c r="AF89" s="589"/>
      <c r="AG89" s="589"/>
      <c r="AH89" s="589"/>
      <c r="AI89" s="589"/>
      <c r="AJ89" s="589"/>
      <c r="AK89" s="589"/>
      <c r="AL89" s="575"/>
      <c r="AM89" s="589"/>
      <c r="AN89" s="1397"/>
      <c r="AO89" s="1397"/>
      <c r="AP89" s="1397"/>
      <c r="AQ89" s="1397"/>
      <c r="AR89" s="1397"/>
      <c r="AS89" s="1397"/>
      <c r="AT89" s="1397"/>
      <c r="AU89" s="1397"/>
      <c r="AV89" s="1397"/>
      <c r="AW89" s="1397"/>
      <c r="AX89" s="1397"/>
      <c r="AY89" s="1397"/>
      <c r="AZ89" s="1397"/>
      <c r="BA89" s="1397"/>
      <c r="BB89" s="1397"/>
      <c r="BC89" s="1397"/>
      <c r="BD89" s="1397"/>
      <c r="BE89" s="1397"/>
      <c r="BF89" s="1397"/>
      <c r="BG89" s="1397"/>
      <c r="BH89" s="1397"/>
      <c r="BI89" s="1397"/>
      <c r="BJ89" s="1397"/>
      <c r="BK89" s="1397"/>
      <c r="BL89" s="1397"/>
      <c r="BM89" s="1397"/>
      <c r="BN89" s="1397"/>
    </row>
    <row r="90" spans="1:66" ht="13.5" hidden="1" outlineLevel="1" thickBot="1" x14ac:dyDescent="0.25">
      <c r="A90" s="589"/>
      <c r="B90" s="589"/>
      <c r="C90" s="589"/>
      <c r="D90" s="589"/>
      <c r="E90" s="589"/>
      <c r="F90" s="589"/>
      <c r="G90" s="2110" t="str">
        <f t="shared" si="4"/>
        <v/>
      </c>
      <c r="H90" s="589"/>
      <c r="I90" s="2095" t="str">
        <f t="shared" si="6"/>
        <v/>
      </c>
      <c r="K90" s="589"/>
      <c r="L90" s="589"/>
      <c r="M90" s="589"/>
      <c r="N90" s="589"/>
      <c r="O90" s="589"/>
      <c r="P90" s="589"/>
      <c r="Q90" s="589"/>
      <c r="R90" s="558" t="s">
        <v>2117</v>
      </c>
      <c r="S90" s="590"/>
      <c r="T90" s="591"/>
      <c r="U90" s="592"/>
      <c r="V90" s="605"/>
      <c r="W90" s="593"/>
      <c r="X90" s="594" t="s">
        <v>769</v>
      </c>
      <c r="Y90" s="595"/>
      <c r="Z90" s="605"/>
      <c r="AA90" s="596"/>
      <c r="AB90" s="597"/>
      <c r="AC90" s="594" t="s">
        <v>769</v>
      </c>
      <c r="AD90" s="595"/>
      <c r="AE90" s="589"/>
      <c r="AF90" s="589"/>
      <c r="AG90" s="589"/>
      <c r="AH90" s="589"/>
      <c r="AI90" s="589"/>
      <c r="AJ90" s="589"/>
      <c r="AK90" s="589"/>
      <c r="AL90" s="575"/>
      <c r="AM90" s="589"/>
      <c r="AN90" s="1397"/>
      <c r="AO90" s="1397"/>
      <c r="AP90" s="1397"/>
      <c r="AQ90" s="1397"/>
      <c r="AR90" s="1397"/>
      <c r="AS90" s="1397"/>
      <c r="AT90" s="1397"/>
      <c r="AU90" s="1397"/>
      <c r="AV90" s="1397"/>
      <c r="AW90" s="1397"/>
      <c r="AX90" s="1397"/>
      <c r="AY90" s="1397"/>
      <c r="AZ90" s="1397"/>
      <c r="BA90" s="1397"/>
      <c r="BB90" s="1397"/>
      <c r="BC90" s="1397"/>
      <c r="BD90" s="1397"/>
      <c r="BE90" s="1397"/>
      <c r="BF90" s="1397"/>
      <c r="BG90" s="1397"/>
      <c r="BH90" s="1397"/>
      <c r="BI90" s="1397"/>
      <c r="BJ90" s="1397"/>
      <c r="BK90" s="1397"/>
      <c r="BL90" s="1397"/>
      <c r="BM90" s="1397"/>
      <c r="BN90" s="1397"/>
    </row>
    <row r="91" spans="1:66" ht="13.5" hidden="1" outlineLevel="1" thickBot="1" x14ac:dyDescent="0.25">
      <c r="A91" s="589"/>
      <c r="B91" s="589"/>
      <c r="C91" s="589"/>
      <c r="D91" s="589"/>
      <c r="E91" s="589"/>
      <c r="F91" s="589"/>
      <c r="G91" s="2110" t="str">
        <f t="shared" si="4"/>
        <v/>
      </c>
      <c r="H91" s="589"/>
      <c r="I91" s="2095" t="str">
        <f t="shared" si="6"/>
        <v/>
      </c>
      <c r="K91" s="589"/>
      <c r="L91" s="589"/>
      <c r="M91" s="589"/>
      <c r="N91" s="589"/>
      <c r="O91" s="589"/>
      <c r="P91" s="589"/>
      <c r="Q91" s="589"/>
      <c r="R91" s="558" t="s">
        <v>2117</v>
      </c>
      <c r="S91" s="590"/>
      <c r="T91" s="591"/>
      <c r="U91" s="592"/>
      <c r="V91" s="605"/>
      <c r="W91" s="593"/>
      <c r="X91" s="594" t="s">
        <v>769</v>
      </c>
      <c r="Y91" s="595"/>
      <c r="Z91" s="605"/>
      <c r="AA91" s="596"/>
      <c r="AB91" s="597"/>
      <c r="AC91" s="594" t="s">
        <v>769</v>
      </c>
      <c r="AD91" s="595"/>
      <c r="AE91" s="589"/>
      <c r="AF91" s="589"/>
      <c r="AG91" s="589"/>
      <c r="AH91" s="589"/>
      <c r="AI91" s="589"/>
      <c r="AJ91" s="589"/>
      <c r="AK91" s="589"/>
      <c r="AL91" s="575"/>
      <c r="AM91" s="589"/>
      <c r="AN91" s="1397"/>
      <c r="AO91" s="1397"/>
      <c r="AP91" s="1397"/>
      <c r="AQ91" s="1397"/>
      <c r="AR91" s="1397"/>
      <c r="AS91" s="1397"/>
      <c r="AT91" s="1397"/>
      <c r="AU91" s="1397"/>
      <c r="AV91" s="1397"/>
      <c r="AW91" s="1397"/>
      <c r="AX91" s="1397"/>
      <c r="AY91" s="1397"/>
      <c r="AZ91" s="1397"/>
      <c r="BA91" s="1397"/>
      <c r="BB91" s="1397"/>
      <c r="BC91" s="1397"/>
      <c r="BD91" s="1397"/>
      <c r="BE91" s="1397"/>
      <c r="BF91" s="1397"/>
      <c r="BG91" s="1397"/>
      <c r="BH91" s="1397"/>
      <c r="BI91" s="1397"/>
      <c r="BJ91" s="1397"/>
      <c r="BK91" s="1397"/>
      <c r="BL91" s="1397"/>
      <c r="BM91" s="1397"/>
      <c r="BN91" s="1397"/>
    </row>
    <row r="92" spans="1:66" ht="13.5" hidden="1" outlineLevel="1" thickBot="1" x14ac:dyDescent="0.25">
      <c r="A92" s="589"/>
      <c r="B92" s="589"/>
      <c r="C92" s="589"/>
      <c r="D92" s="589"/>
      <c r="E92" s="589"/>
      <c r="F92" s="589"/>
      <c r="G92" s="2110" t="str">
        <f t="shared" si="4"/>
        <v/>
      </c>
      <c r="H92" s="589"/>
      <c r="I92" s="2095" t="str">
        <f t="shared" si="6"/>
        <v/>
      </c>
      <c r="K92" s="589"/>
      <c r="L92" s="589"/>
      <c r="M92" s="589"/>
      <c r="N92" s="589"/>
      <c r="O92" s="589"/>
      <c r="P92" s="589"/>
      <c r="Q92" s="589"/>
      <c r="R92" s="558" t="s">
        <v>2117</v>
      </c>
      <c r="S92" s="590"/>
      <c r="T92" s="591"/>
      <c r="U92" s="592"/>
      <c r="V92" s="605"/>
      <c r="W92" s="593"/>
      <c r="X92" s="594" t="s">
        <v>769</v>
      </c>
      <c r="Y92" s="595"/>
      <c r="Z92" s="605"/>
      <c r="AA92" s="596"/>
      <c r="AB92" s="597"/>
      <c r="AC92" s="594" t="s">
        <v>769</v>
      </c>
      <c r="AD92" s="595"/>
      <c r="AE92" s="589"/>
      <c r="AF92" s="589"/>
      <c r="AG92" s="589"/>
      <c r="AH92" s="589"/>
      <c r="AI92" s="589"/>
      <c r="AJ92" s="589"/>
      <c r="AK92" s="589"/>
      <c r="AL92" s="575"/>
      <c r="AM92" s="589"/>
      <c r="AN92" s="1397"/>
      <c r="AO92" s="1397"/>
      <c r="AP92" s="1397"/>
      <c r="AQ92" s="1397"/>
      <c r="AR92" s="1397"/>
      <c r="AS92" s="1397"/>
      <c r="AT92" s="1397"/>
      <c r="AU92" s="1397"/>
      <c r="AV92" s="1397"/>
      <c r="AW92" s="1397"/>
      <c r="AX92" s="1397"/>
      <c r="AY92" s="1397"/>
      <c r="AZ92" s="1397"/>
      <c r="BA92" s="1397"/>
      <c r="BB92" s="1397"/>
      <c r="BC92" s="1397"/>
      <c r="BD92" s="1397"/>
      <c r="BE92" s="1397"/>
      <c r="BF92" s="1397"/>
      <c r="BG92" s="1397"/>
      <c r="BH92" s="1397"/>
      <c r="BI92" s="1397"/>
      <c r="BJ92" s="1397"/>
      <c r="BK92" s="1397"/>
      <c r="BL92" s="1397"/>
      <c r="BM92" s="1397"/>
      <c r="BN92" s="1397"/>
    </row>
    <row r="93" spans="1:66" ht="13.5" hidden="1" outlineLevel="1" thickBot="1" x14ac:dyDescent="0.25">
      <c r="A93" s="589"/>
      <c r="B93" s="589"/>
      <c r="C93" s="589"/>
      <c r="D93" s="589"/>
      <c r="E93" s="589"/>
      <c r="F93" s="589"/>
      <c r="G93" s="2110" t="str">
        <f t="shared" si="4"/>
        <v/>
      </c>
      <c r="H93" s="589"/>
      <c r="I93" s="2095" t="str">
        <f t="shared" si="6"/>
        <v/>
      </c>
      <c r="K93" s="589"/>
      <c r="L93" s="589"/>
      <c r="M93" s="589"/>
      <c r="N93" s="589"/>
      <c r="O93" s="589"/>
      <c r="P93" s="589"/>
      <c r="Q93" s="589"/>
      <c r="R93" s="558" t="s">
        <v>2117</v>
      </c>
      <c r="S93" s="590"/>
      <c r="T93" s="591"/>
      <c r="U93" s="592"/>
      <c r="V93" s="605"/>
      <c r="W93" s="593"/>
      <c r="X93" s="594" t="s">
        <v>769</v>
      </c>
      <c r="Y93" s="595"/>
      <c r="Z93" s="605"/>
      <c r="AA93" s="596"/>
      <c r="AB93" s="597"/>
      <c r="AC93" s="594" t="s">
        <v>769</v>
      </c>
      <c r="AD93" s="595"/>
      <c r="AE93" s="589"/>
      <c r="AF93" s="589"/>
      <c r="AG93" s="589"/>
      <c r="AH93" s="589"/>
      <c r="AI93" s="589"/>
      <c r="AJ93" s="589"/>
      <c r="AK93" s="589"/>
      <c r="AL93" s="575"/>
      <c r="AM93" s="589"/>
      <c r="AN93" s="1397"/>
      <c r="AO93" s="1397"/>
      <c r="AP93" s="1397"/>
      <c r="AQ93" s="1397"/>
      <c r="AR93" s="1397"/>
      <c r="AS93" s="1397"/>
      <c r="AT93" s="1397"/>
      <c r="AU93" s="1397"/>
      <c r="AV93" s="1397"/>
      <c r="AW93" s="1397"/>
      <c r="AX93" s="1397"/>
      <c r="AY93" s="1397"/>
      <c r="AZ93" s="1397"/>
      <c r="BA93" s="1397"/>
      <c r="BB93" s="1397"/>
      <c r="BC93" s="1397"/>
      <c r="BD93" s="1397"/>
      <c r="BE93" s="1397"/>
      <c r="BF93" s="1397"/>
      <c r="BG93" s="1397"/>
      <c r="BH93" s="1397"/>
      <c r="BI93" s="1397"/>
      <c r="BJ93" s="1397"/>
      <c r="BK93" s="1397"/>
      <c r="BL93" s="1397"/>
      <c r="BM93" s="1397"/>
      <c r="BN93" s="1397"/>
    </row>
    <row r="94" spans="1:66" ht="13.5" hidden="1" outlineLevel="1" thickBot="1" x14ac:dyDescent="0.25">
      <c r="A94" s="589"/>
      <c r="B94" s="589"/>
      <c r="C94" s="589"/>
      <c r="D94" s="589"/>
      <c r="E94" s="589"/>
      <c r="F94" s="589"/>
      <c r="G94" s="2110" t="str">
        <f t="shared" si="4"/>
        <v/>
      </c>
      <c r="H94" s="589"/>
      <c r="I94" s="2095" t="str">
        <f t="shared" si="6"/>
        <v/>
      </c>
      <c r="K94" s="589"/>
      <c r="L94" s="589"/>
      <c r="M94" s="589"/>
      <c r="N94" s="589"/>
      <c r="O94" s="589"/>
      <c r="P94" s="589"/>
      <c r="Q94" s="589"/>
      <c r="R94" s="558" t="s">
        <v>2117</v>
      </c>
      <c r="S94" s="590"/>
      <c r="T94" s="591"/>
      <c r="U94" s="592"/>
      <c r="V94" s="605"/>
      <c r="W94" s="593"/>
      <c r="X94" s="594" t="s">
        <v>769</v>
      </c>
      <c r="Y94" s="595"/>
      <c r="Z94" s="605"/>
      <c r="AA94" s="596"/>
      <c r="AB94" s="597"/>
      <c r="AC94" s="594" t="s">
        <v>769</v>
      </c>
      <c r="AD94" s="595"/>
      <c r="AE94" s="589"/>
      <c r="AF94" s="589"/>
      <c r="AG94" s="589"/>
      <c r="AH94" s="589"/>
      <c r="AI94" s="589"/>
      <c r="AJ94" s="589"/>
      <c r="AK94" s="589"/>
      <c r="AL94" s="575"/>
      <c r="AM94" s="589"/>
      <c r="AN94" s="1397"/>
      <c r="AO94" s="1397"/>
      <c r="AP94" s="1397"/>
      <c r="AQ94" s="1397"/>
      <c r="AR94" s="1397"/>
      <c r="AS94" s="1397"/>
      <c r="AT94" s="1397"/>
      <c r="AU94" s="1397"/>
      <c r="AV94" s="1397"/>
      <c r="AW94" s="1397"/>
      <c r="AX94" s="1397"/>
      <c r="AY94" s="1397"/>
      <c r="AZ94" s="1397"/>
      <c r="BA94" s="1397"/>
      <c r="BB94" s="1397"/>
      <c r="BC94" s="1397"/>
      <c r="BD94" s="1397"/>
      <c r="BE94" s="1397"/>
      <c r="BF94" s="1397"/>
      <c r="BG94" s="1397"/>
      <c r="BH94" s="1397"/>
      <c r="BI94" s="1397"/>
      <c r="BJ94" s="1397"/>
      <c r="BK94" s="1397"/>
      <c r="BL94" s="1397"/>
      <c r="BM94" s="1397"/>
      <c r="BN94" s="1397"/>
    </row>
    <row r="95" spans="1:66" ht="13.5" hidden="1" outlineLevel="1" thickBot="1" x14ac:dyDescent="0.25">
      <c r="A95" s="589"/>
      <c r="B95" s="589"/>
      <c r="C95" s="589"/>
      <c r="D95" s="589"/>
      <c r="E95" s="589"/>
      <c r="F95" s="589"/>
      <c r="G95" s="2110" t="str">
        <f t="shared" si="4"/>
        <v/>
      </c>
      <c r="H95" s="589"/>
      <c r="I95" s="2095" t="str">
        <f t="shared" si="6"/>
        <v/>
      </c>
      <c r="K95" s="589"/>
      <c r="L95" s="589"/>
      <c r="M95" s="589"/>
      <c r="N95" s="589"/>
      <c r="O95" s="589"/>
      <c r="P95" s="589"/>
      <c r="Q95" s="589"/>
      <c r="R95" s="558" t="s">
        <v>2117</v>
      </c>
      <c r="S95" s="590"/>
      <c r="T95" s="591"/>
      <c r="U95" s="592"/>
      <c r="V95" s="605"/>
      <c r="W95" s="593"/>
      <c r="X95" s="594" t="s">
        <v>769</v>
      </c>
      <c r="Y95" s="595"/>
      <c r="Z95" s="605"/>
      <c r="AA95" s="596"/>
      <c r="AB95" s="597"/>
      <c r="AC95" s="594" t="s">
        <v>769</v>
      </c>
      <c r="AD95" s="595"/>
      <c r="AE95" s="589"/>
      <c r="AF95" s="589"/>
      <c r="AG95" s="589"/>
      <c r="AH95" s="589"/>
      <c r="AI95" s="589"/>
      <c r="AJ95" s="589"/>
      <c r="AK95" s="589"/>
      <c r="AL95" s="575"/>
      <c r="AM95" s="589"/>
      <c r="AN95" s="1397"/>
      <c r="AO95" s="1397"/>
      <c r="AP95" s="1397"/>
      <c r="AQ95" s="1397"/>
      <c r="AR95" s="1397"/>
      <c r="AS95" s="1397"/>
      <c r="AT95" s="1397"/>
      <c r="AU95" s="1397"/>
      <c r="AV95" s="1397"/>
      <c r="AW95" s="1397"/>
      <c r="AX95" s="1397"/>
      <c r="AY95" s="1397"/>
      <c r="AZ95" s="1397"/>
      <c r="BA95" s="1397"/>
      <c r="BB95" s="1397"/>
      <c r="BC95" s="1397"/>
      <c r="BD95" s="1397"/>
      <c r="BE95" s="1397"/>
      <c r="BF95" s="1397"/>
      <c r="BG95" s="1397"/>
      <c r="BH95" s="1397"/>
      <c r="BI95" s="1397"/>
      <c r="BJ95" s="1397"/>
      <c r="BK95" s="1397"/>
      <c r="BL95" s="1397"/>
      <c r="BM95" s="1397"/>
      <c r="BN95" s="1397"/>
    </row>
    <row r="96" spans="1:66" ht="13.5" hidden="1" outlineLevel="1" thickBot="1" x14ac:dyDescent="0.25">
      <c r="A96" s="589"/>
      <c r="B96" s="589"/>
      <c r="C96" s="589"/>
      <c r="D96" s="589"/>
      <c r="E96" s="589"/>
      <c r="F96" s="589"/>
      <c r="G96" s="2110" t="str">
        <f t="shared" si="4"/>
        <v/>
      </c>
      <c r="H96" s="589"/>
      <c r="I96" s="2095" t="str">
        <f t="shared" si="6"/>
        <v/>
      </c>
      <c r="K96" s="589"/>
      <c r="L96" s="589"/>
      <c r="M96" s="589"/>
      <c r="N96" s="589"/>
      <c r="O96" s="589"/>
      <c r="P96" s="589"/>
      <c r="Q96" s="589"/>
      <c r="R96" s="558" t="s">
        <v>2117</v>
      </c>
      <c r="S96" s="590"/>
      <c r="T96" s="591"/>
      <c r="U96" s="592"/>
      <c r="V96" s="605"/>
      <c r="W96" s="593"/>
      <c r="X96" s="594" t="s">
        <v>769</v>
      </c>
      <c r="Y96" s="595"/>
      <c r="Z96" s="605"/>
      <c r="AA96" s="596"/>
      <c r="AB96" s="597"/>
      <c r="AC96" s="594" t="s">
        <v>769</v>
      </c>
      <c r="AD96" s="595"/>
      <c r="AE96" s="589"/>
      <c r="AF96" s="589"/>
      <c r="AG96" s="589"/>
      <c r="AH96" s="589"/>
      <c r="AI96" s="589"/>
      <c r="AJ96" s="589"/>
      <c r="AK96" s="589"/>
      <c r="AL96" s="575"/>
      <c r="AM96" s="589"/>
      <c r="AN96" s="1397"/>
      <c r="AO96" s="1397"/>
      <c r="AP96" s="1397"/>
      <c r="AQ96" s="1397"/>
      <c r="AR96" s="1397"/>
      <c r="AS96" s="1397"/>
      <c r="AT96" s="1397"/>
      <c r="AU96" s="1397"/>
      <c r="AV96" s="1397"/>
      <c r="AW96" s="1397"/>
      <c r="AX96" s="1397"/>
      <c r="AY96" s="1397"/>
      <c r="AZ96" s="1397"/>
      <c r="BA96" s="1397"/>
      <c r="BB96" s="1397"/>
      <c r="BC96" s="1397"/>
      <c r="BD96" s="1397"/>
      <c r="BE96" s="1397"/>
      <c r="BF96" s="1397"/>
      <c r="BG96" s="1397"/>
      <c r="BH96" s="1397"/>
      <c r="BI96" s="1397"/>
      <c r="BJ96" s="1397"/>
      <c r="BK96" s="1397"/>
      <c r="BL96" s="1397"/>
      <c r="BM96" s="1397"/>
      <c r="BN96" s="1397"/>
    </row>
    <row r="97" spans="1:66" ht="13.5" hidden="1" outlineLevel="1" thickBot="1" x14ac:dyDescent="0.25">
      <c r="A97" s="589"/>
      <c r="B97" s="589"/>
      <c r="C97" s="589"/>
      <c r="D97" s="589"/>
      <c r="E97" s="589"/>
      <c r="F97" s="589"/>
      <c r="G97" s="2110" t="str">
        <f t="shared" si="4"/>
        <v/>
      </c>
      <c r="H97" s="589"/>
      <c r="I97" s="2095" t="str">
        <f t="shared" si="6"/>
        <v/>
      </c>
      <c r="K97" s="589"/>
      <c r="L97" s="589"/>
      <c r="M97" s="589"/>
      <c r="N97" s="589"/>
      <c r="O97" s="589"/>
      <c r="P97" s="589"/>
      <c r="Q97" s="589"/>
      <c r="R97" s="558" t="s">
        <v>2117</v>
      </c>
      <c r="S97" s="590"/>
      <c r="T97" s="591"/>
      <c r="U97" s="592"/>
      <c r="V97" s="605"/>
      <c r="W97" s="593"/>
      <c r="X97" s="594" t="s">
        <v>769</v>
      </c>
      <c r="Y97" s="595"/>
      <c r="Z97" s="605"/>
      <c r="AA97" s="596"/>
      <c r="AB97" s="597"/>
      <c r="AC97" s="594" t="s">
        <v>769</v>
      </c>
      <c r="AD97" s="595"/>
      <c r="AE97" s="589"/>
      <c r="AF97" s="589"/>
      <c r="AG97" s="589"/>
      <c r="AH97" s="589"/>
      <c r="AI97" s="589"/>
      <c r="AJ97" s="589"/>
      <c r="AK97" s="589"/>
      <c r="AL97" s="575"/>
      <c r="AM97" s="589"/>
      <c r="AN97" s="1397"/>
      <c r="AO97" s="1397"/>
      <c r="AP97" s="1397"/>
      <c r="AQ97" s="1397"/>
      <c r="AR97" s="1397"/>
      <c r="AS97" s="1397"/>
      <c r="AT97" s="1397"/>
      <c r="AU97" s="1397"/>
      <c r="AV97" s="1397"/>
      <c r="AW97" s="1397"/>
      <c r="AX97" s="1397"/>
      <c r="AY97" s="1397"/>
      <c r="AZ97" s="1397"/>
      <c r="BA97" s="1397"/>
      <c r="BB97" s="1397"/>
      <c r="BC97" s="1397"/>
      <c r="BD97" s="1397"/>
      <c r="BE97" s="1397"/>
      <c r="BF97" s="1397"/>
      <c r="BG97" s="1397"/>
      <c r="BH97" s="1397"/>
      <c r="BI97" s="1397"/>
      <c r="BJ97" s="1397"/>
      <c r="BK97" s="1397"/>
      <c r="BL97" s="1397"/>
      <c r="BM97" s="1397"/>
      <c r="BN97" s="1397"/>
    </row>
    <row r="98" spans="1:66" ht="13.5" hidden="1" outlineLevel="1" thickBot="1" x14ac:dyDescent="0.25">
      <c r="A98" s="589"/>
      <c r="B98" s="589"/>
      <c r="C98" s="589"/>
      <c r="D98" s="589"/>
      <c r="E98" s="589"/>
      <c r="F98" s="589"/>
      <c r="G98" s="2110" t="str">
        <f t="shared" si="4"/>
        <v/>
      </c>
      <c r="H98" s="589"/>
      <c r="I98" s="2095" t="str">
        <f t="shared" si="6"/>
        <v/>
      </c>
      <c r="K98" s="589"/>
      <c r="L98" s="589"/>
      <c r="M98" s="589"/>
      <c r="N98" s="589"/>
      <c r="O98" s="589"/>
      <c r="P98" s="589"/>
      <c r="Q98" s="589"/>
      <c r="R98" s="558" t="s">
        <v>2117</v>
      </c>
      <c r="S98" s="590"/>
      <c r="T98" s="591"/>
      <c r="U98" s="592"/>
      <c r="V98" s="605"/>
      <c r="W98" s="593"/>
      <c r="X98" s="594" t="s">
        <v>769</v>
      </c>
      <c r="Y98" s="595"/>
      <c r="Z98" s="605"/>
      <c r="AA98" s="596"/>
      <c r="AB98" s="597"/>
      <c r="AC98" s="594" t="s">
        <v>769</v>
      </c>
      <c r="AD98" s="595"/>
      <c r="AE98" s="589"/>
      <c r="AF98" s="589"/>
      <c r="AG98" s="589"/>
      <c r="AH98" s="589"/>
      <c r="AI98" s="589"/>
      <c r="AJ98" s="589"/>
      <c r="AK98" s="589"/>
      <c r="AL98" s="575"/>
      <c r="AM98" s="589"/>
      <c r="AN98" s="1397"/>
      <c r="AO98" s="1397"/>
      <c r="AP98" s="1397"/>
      <c r="AQ98" s="1397"/>
      <c r="AR98" s="1397"/>
      <c r="AS98" s="1397"/>
      <c r="AT98" s="1397"/>
      <c r="AU98" s="1397"/>
      <c r="AV98" s="1397"/>
      <c r="AW98" s="1397"/>
      <c r="AX98" s="1397"/>
      <c r="AY98" s="1397"/>
      <c r="AZ98" s="1397"/>
      <c r="BA98" s="1397"/>
      <c r="BB98" s="1397"/>
      <c r="BC98" s="1397"/>
      <c r="BD98" s="1397"/>
      <c r="BE98" s="1397"/>
      <c r="BF98" s="1397"/>
      <c r="BG98" s="1397"/>
      <c r="BH98" s="1397"/>
      <c r="BI98" s="1397"/>
      <c r="BJ98" s="1397"/>
      <c r="BK98" s="1397"/>
      <c r="BL98" s="1397"/>
      <c r="BM98" s="1397"/>
      <c r="BN98" s="1397"/>
    </row>
    <row r="99" spans="1:66" ht="13.5" hidden="1" outlineLevel="1" thickBot="1" x14ac:dyDescent="0.25">
      <c r="A99" s="589"/>
      <c r="B99" s="589"/>
      <c r="C99" s="589"/>
      <c r="D99" s="589"/>
      <c r="E99" s="589"/>
      <c r="F99" s="589"/>
      <c r="G99" s="2110" t="str">
        <f t="shared" si="4"/>
        <v/>
      </c>
      <c r="H99" s="589"/>
      <c r="I99" s="2095" t="str">
        <f t="shared" si="6"/>
        <v/>
      </c>
      <c r="K99" s="589"/>
      <c r="L99" s="589"/>
      <c r="M99" s="589"/>
      <c r="N99" s="589"/>
      <c r="O99" s="589"/>
      <c r="P99" s="589"/>
      <c r="Q99" s="589"/>
      <c r="R99" s="558" t="s">
        <v>2117</v>
      </c>
      <c r="S99" s="590"/>
      <c r="T99" s="591"/>
      <c r="U99" s="592"/>
      <c r="V99" s="605"/>
      <c r="W99" s="593"/>
      <c r="X99" s="594" t="s">
        <v>769</v>
      </c>
      <c r="Y99" s="595"/>
      <c r="Z99" s="605"/>
      <c r="AA99" s="596"/>
      <c r="AB99" s="597"/>
      <c r="AC99" s="594" t="s">
        <v>769</v>
      </c>
      <c r="AD99" s="595"/>
      <c r="AE99" s="589"/>
      <c r="AF99" s="589"/>
      <c r="AG99" s="589"/>
      <c r="AH99" s="589"/>
      <c r="AI99" s="589"/>
      <c r="AJ99" s="589"/>
      <c r="AK99" s="589"/>
      <c r="AL99" s="575"/>
      <c r="AM99" s="589"/>
      <c r="AN99" s="1397"/>
      <c r="AO99" s="1397"/>
      <c r="AP99" s="1397"/>
      <c r="AQ99" s="1397"/>
      <c r="AR99" s="1397"/>
      <c r="AS99" s="1397"/>
      <c r="AT99" s="1397"/>
      <c r="AU99" s="1397"/>
      <c r="AV99" s="1397"/>
      <c r="AW99" s="1397"/>
      <c r="AX99" s="1397"/>
      <c r="AY99" s="1397"/>
      <c r="AZ99" s="1397"/>
      <c r="BA99" s="1397"/>
      <c r="BB99" s="1397"/>
      <c r="BC99" s="1397"/>
      <c r="BD99" s="1397"/>
      <c r="BE99" s="1397"/>
      <c r="BF99" s="1397"/>
      <c r="BG99" s="1397"/>
      <c r="BH99" s="1397"/>
      <c r="BI99" s="1397"/>
      <c r="BJ99" s="1397"/>
      <c r="BK99" s="1397"/>
      <c r="BL99" s="1397"/>
      <c r="BM99" s="1397"/>
      <c r="BN99" s="1397"/>
    </row>
    <row r="100" spans="1:66" ht="13.5" hidden="1" outlineLevel="1" thickBot="1" x14ac:dyDescent="0.25">
      <c r="A100" s="589"/>
      <c r="B100" s="589"/>
      <c r="C100" s="589"/>
      <c r="D100" s="589"/>
      <c r="E100" s="589"/>
      <c r="F100" s="589"/>
      <c r="G100" s="2110" t="str">
        <f t="shared" si="4"/>
        <v/>
      </c>
      <c r="H100" s="589"/>
      <c r="I100" s="2095" t="str">
        <f t="shared" si="6"/>
        <v/>
      </c>
      <c r="K100" s="589"/>
      <c r="L100" s="589"/>
      <c r="M100" s="589"/>
      <c r="N100" s="589"/>
      <c r="O100" s="589"/>
      <c r="P100" s="589"/>
      <c r="Q100" s="589"/>
      <c r="R100" s="558" t="s">
        <v>2117</v>
      </c>
      <c r="S100" s="590"/>
      <c r="T100" s="591"/>
      <c r="U100" s="592"/>
      <c r="V100" s="605"/>
      <c r="W100" s="593"/>
      <c r="X100" s="594" t="s">
        <v>769</v>
      </c>
      <c r="Y100" s="595"/>
      <c r="Z100" s="605"/>
      <c r="AA100" s="596"/>
      <c r="AB100" s="597"/>
      <c r="AC100" s="594" t="s">
        <v>769</v>
      </c>
      <c r="AD100" s="595"/>
      <c r="AE100" s="589"/>
      <c r="AF100" s="589"/>
      <c r="AG100" s="589"/>
      <c r="AH100" s="589"/>
      <c r="AI100" s="589"/>
      <c r="AJ100" s="589"/>
      <c r="AK100" s="589"/>
      <c r="AL100" s="575"/>
      <c r="AM100" s="589"/>
      <c r="AN100" s="1397"/>
      <c r="AO100" s="1397"/>
      <c r="AP100" s="1397"/>
      <c r="AQ100" s="1397"/>
      <c r="AR100" s="1397"/>
      <c r="AS100" s="1397"/>
      <c r="AT100" s="1397"/>
      <c r="AU100" s="1397"/>
      <c r="AV100" s="1397"/>
      <c r="AW100" s="1397"/>
      <c r="AX100" s="1397"/>
      <c r="AY100" s="1397"/>
      <c r="AZ100" s="1397"/>
      <c r="BA100" s="1397"/>
      <c r="BB100" s="1397"/>
      <c r="BC100" s="1397"/>
      <c r="BD100" s="1397"/>
      <c r="BE100" s="1397"/>
      <c r="BF100" s="1397"/>
      <c r="BG100" s="1397"/>
      <c r="BH100" s="1397"/>
      <c r="BI100" s="1397"/>
      <c r="BJ100" s="1397"/>
      <c r="BK100" s="1397"/>
      <c r="BL100" s="1397"/>
      <c r="BM100" s="1397"/>
      <c r="BN100" s="1397"/>
    </row>
    <row r="101" spans="1:66" ht="13.5" hidden="1" outlineLevel="1" thickBot="1" x14ac:dyDescent="0.25">
      <c r="A101" s="589"/>
      <c r="B101" s="589"/>
      <c r="C101" s="589"/>
      <c r="D101" s="589"/>
      <c r="E101" s="589"/>
      <c r="F101" s="589"/>
      <c r="G101" s="2110" t="str">
        <f t="shared" si="4"/>
        <v/>
      </c>
      <c r="H101" s="589"/>
      <c r="I101" s="2095" t="str">
        <f t="shared" si="6"/>
        <v/>
      </c>
      <c r="K101" s="589"/>
      <c r="L101" s="589"/>
      <c r="M101" s="589"/>
      <c r="N101" s="589"/>
      <c r="O101" s="589"/>
      <c r="P101" s="589"/>
      <c r="Q101" s="589"/>
      <c r="R101" s="558" t="s">
        <v>2117</v>
      </c>
      <c r="S101" s="590"/>
      <c r="T101" s="591"/>
      <c r="U101" s="592"/>
      <c r="V101" s="605"/>
      <c r="W101" s="593"/>
      <c r="X101" s="594" t="s">
        <v>769</v>
      </c>
      <c r="Y101" s="595"/>
      <c r="Z101" s="605"/>
      <c r="AA101" s="596"/>
      <c r="AB101" s="597"/>
      <c r="AC101" s="594" t="s">
        <v>769</v>
      </c>
      <c r="AD101" s="595"/>
      <c r="AE101" s="589"/>
      <c r="AF101" s="589"/>
      <c r="AG101" s="589"/>
      <c r="AH101" s="589"/>
      <c r="AI101" s="589"/>
      <c r="AJ101" s="589"/>
      <c r="AK101" s="589"/>
      <c r="AL101" s="575"/>
      <c r="AM101" s="589"/>
      <c r="AN101" s="1397"/>
      <c r="AO101" s="1397"/>
      <c r="AP101" s="1397"/>
      <c r="AQ101" s="1397"/>
      <c r="AR101" s="1397"/>
      <c r="AS101" s="1397"/>
      <c r="AT101" s="1397"/>
      <c r="AU101" s="1397"/>
      <c r="AV101" s="1397"/>
      <c r="AW101" s="1397"/>
      <c r="AX101" s="1397"/>
      <c r="AY101" s="1397"/>
      <c r="AZ101" s="1397"/>
      <c r="BA101" s="1397"/>
      <c r="BB101" s="1397"/>
      <c r="BC101" s="1397"/>
      <c r="BD101" s="1397"/>
      <c r="BE101" s="1397"/>
      <c r="BF101" s="1397"/>
      <c r="BG101" s="1397"/>
      <c r="BH101" s="1397"/>
      <c r="BI101" s="1397"/>
      <c r="BJ101" s="1397"/>
      <c r="BK101" s="1397"/>
      <c r="BL101" s="1397"/>
      <c r="BM101" s="1397"/>
      <c r="BN101" s="1397"/>
    </row>
    <row r="102" spans="1:66" ht="13.5" hidden="1" outlineLevel="1" thickBot="1" x14ac:dyDescent="0.25">
      <c r="A102" s="589"/>
      <c r="B102" s="589"/>
      <c r="C102" s="589"/>
      <c r="D102" s="589"/>
      <c r="E102" s="589"/>
      <c r="F102" s="589"/>
      <c r="G102" s="2110" t="str">
        <f t="shared" si="4"/>
        <v/>
      </c>
      <c r="H102" s="589"/>
      <c r="I102" s="2095" t="str">
        <f t="shared" si="6"/>
        <v/>
      </c>
      <c r="K102" s="589"/>
      <c r="L102" s="589"/>
      <c r="M102" s="589"/>
      <c r="N102" s="589"/>
      <c r="O102" s="589"/>
      <c r="P102" s="589"/>
      <c r="Q102" s="589"/>
      <c r="R102" s="558" t="s">
        <v>2117</v>
      </c>
      <c r="S102" s="590"/>
      <c r="T102" s="591"/>
      <c r="U102" s="592"/>
      <c r="V102" s="605"/>
      <c r="W102" s="593"/>
      <c r="X102" s="594" t="s">
        <v>769</v>
      </c>
      <c r="Y102" s="595"/>
      <c r="Z102" s="605"/>
      <c r="AA102" s="596"/>
      <c r="AB102" s="597"/>
      <c r="AC102" s="594" t="s">
        <v>769</v>
      </c>
      <c r="AD102" s="595"/>
      <c r="AE102" s="589"/>
      <c r="AF102" s="589"/>
      <c r="AG102" s="589"/>
      <c r="AH102" s="589"/>
      <c r="AI102" s="589"/>
      <c r="AJ102" s="589"/>
      <c r="AK102" s="589"/>
      <c r="AL102" s="575"/>
      <c r="AM102" s="589"/>
      <c r="AN102" s="1397"/>
      <c r="AO102" s="1397"/>
      <c r="AP102" s="1397"/>
      <c r="AQ102" s="1397"/>
      <c r="AR102" s="1397"/>
      <c r="AS102" s="1397"/>
      <c r="AT102" s="1397"/>
      <c r="AU102" s="1397"/>
      <c r="AV102" s="1397"/>
      <c r="AW102" s="1397"/>
      <c r="AX102" s="1397"/>
      <c r="AY102" s="1397"/>
      <c r="AZ102" s="1397"/>
      <c r="BA102" s="1397"/>
      <c r="BB102" s="1397"/>
      <c r="BC102" s="1397"/>
      <c r="BD102" s="1397"/>
      <c r="BE102" s="1397"/>
      <c r="BF102" s="1397"/>
      <c r="BG102" s="1397"/>
      <c r="BH102" s="1397"/>
      <c r="BI102" s="1397"/>
      <c r="BJ102" s="1397"/>
      <c r="BK102" s="1397"/>
      <c r="BL102" s="1397"/>
      <c r="BM102" s="1397"/>
      <c r="BN102" s="1397"/>
    </row>
    <row r="103" spans="1:66" ht="13.5" hidden="1" outlineLevel="1" thickBot="1" x14ac:dyDescent="0.25">
      <c r="A103" s="589"/>
      <c r="B103" s="589"/>
      <c r="C103" s="589"/>
      <c r="D103" s="589"/>
      <c r="E103" s="589"/>
      <c r="F103" s="589"/>
      <c r="G103" s="2110" t="str">
        <f t="shared" si="4"/>
        <v/>
      </c>
      <c r="H103" s="589"/>
      <c r="I103" s="2095" t="str">
        <f t="shared" si="6"/>
        <v/>
      </c>
      <c r="K103" s="589"/>
      <c r="L103" s="589"/>
      <c r="M103" s="589"/>
      <c r="N103" s="589"/>
      <c r="O103" s="589"/>
      <c r="P103" s="589"/>
      <c r="Q103" s="589"/>
      <c r="R103" s="558" t="s">
        <v>2117</v>
      </c>
      <c r="S103" s="590"/>
      <c r="T103" s="591"/>
      <c r="U103" s="592"/>
      <c r="V103" s="605"/>
      <c r="W103" s="593"/>
      <c r="X103" s="594" t="s">
        <v>769</v>
      </c>
      <c r="Y103" s="595"/>
      <c r="Z103" s="605"/>
      <c r="AA103" s="596"/>
      <c r="AB103" s="597"/>
      <c r="AC103" s="594" t="s">
        <v>769</v>
      </c>
      <c r="AD103" s="595"/>
      <c r="AE103" s="589"/>
      <c r="AF103" s="589"/>
      <c r="AG103" s="589"/>
      <c r="AH103" s="589"/>
      <c r="AI103" s="589"/>
      <c r="AJ103" s="589"/>
      <c r="AK103" s="589"/>
      <c r="AL103" s="575"/>
      <c r="AM103" s="589"/>
      <c r="AN103" s="1397"/>
      <c r="AO103" s="1397"/>
      <c r="AP103" s="1397"/>
      <c r="AQ103" s="1397"/>
      <c r="AR103" s="1397"/>
      <c r="AS103" s="1397"/>
      <c r="AT103" s="1397"/>
      <c r="AU103" s="1397"/>
      <c r="AV103" s="1397"/>
      <c r="AW103" s="1397"/>
      <c r="AX103" s="1397"/>
      <c r="AY103" s="1397"/>
      <c r="AZ103" s="1397"/>
      <c r="BA103" s="1397"/>
      <c r="BB103" s="1397"/>
      <c r="BC103" s="1397"/>
      <c r="BD103" s="1397"/>
      <c r="BE103" s="1397"/>
      <c r="BF103" s="1397"/>
      <c r="BG103" s="1397"/>
      <c r="BH103" s="1397"/>
      <c r="BI103" s="1397"/>
      <c r="BJ103" s="1397"/>
      <c r="BK103" s="1397"/>
      <c r="BL103" s="1397"/>
      <c r="BM103" s="1397"/>
      <c r="BN103" s="1397"/>
    </row>
    <row r="104" spans="1:66" ht="13.5" hidden="1" outlineLevel="1" thickBot="1" x14ac:dyDescent="0.25">
      <c r="A104" s="589"/>
      <c r="B104" s="589"/>
      <c r="C104" s="589"/>
      <c r="D104" s="589"/>
      <c r="E104" s="589"/>
      <c r="F104" s="589"/>
      <c r="G104" s="2110" t="str">
        <f t="shared" si="4"/>
        <v/>
      </c>
      <c r="H104" s="589"/>
      <c r="I104" s="2095" t="str">
        <f t="shared" si="6"/>
        <v/>
      </c>
      <c r="K104" s="589"/>
      <c r="L104" s="589"/>
      <c r="M104" s="589"/>
      <c r="N104" s="589"/>
      <c r="O104" s="589"/>
      <c r="P104" s="589"/>
      <c r="Q104" s="589"/>
      <c r="R104" s="558" t="s">
        <v>2117</v>
      </c>
      <c r="S104" s="590"/>
      <c r="T104" s="591"/>
      <c r="U104" s="592"/>
      <c r="V104" s="605"/>
      <c r="W104" s="593"/>
      <c r="X104" s="594" t="s">
        <v>769</v>
      </c>
      <c r="Y104" s="595"/>
      <c r="Z104" s="605"/>
      <c r="AA104" s="596"/>
      <c r="AB104" s="597"/>
      <c r="AC104" s="594" t="s">
        <v>769</v>
      </c>
      <c r="AD104" s="595"/>
      <c r="AE104" s="589"/>
      <c r="AF104" s="589"/>
      <c r="AG104" s="589"/>
      <c r="AH104" s="589"/>
      <c r="AI104" s="589"/>
      <c r="AJ104" s="589"/>
      <c r="AK104" s="589"/>
      <c r="AL104" s="575"/>
      <c r="AM104" s="589"/>
      <c r="AN104" s="1397"/>
      <c r="AO104" s="1397"/>
      <c r="AP104" s="1397"/>
      <c r="AQ104" s="1397"/>
      <c r="AR104" s="1397"/>
      <c r="AS104" s="1397"/>
      <c r="AT104" s="1397"/>
      <c r="AU104" s="1397"/>
      <c r="AV104" s="1397"/>
      <c r="AW104" s="1397"/>
      <c r="AX104" s="1397"/>
      <c r="AY104" s="1397"/>
      <c r="AZ104" s="1397"/>
      <c r="BA104" s="1397"/>
      <c r="BB104" s="1397"/>
      <c r="BC104" s="1397"/>
      <c r="BD104" s="1397"/>
      <c r="BE104" s="1397"/>
      <c r="BF104" s="1397"/>
      <c r="BG104" s="1397"/>
      <c r="BH104" s="1397"/>
      <c r="BI104" s="1397"/>
      <c r="BJ104" s="1397"/>
      <c r="BK104" s="1397"/>
      <c r="BL104" s="1397"/>
      <c r="BM104" s="1397"/>
      <c r="BN104" s="1397"/>
    </row>
    <row r="105" spans="1:66" ht="13.5" hidden="1" outlineLevel="1" thickBot="1" x14ac:dyDescent="0.25">
      <c r="A105" s="589"/>
      <c r="B105" s="589"/>
      <c r="C105" s="589"/>
      <c r="D105" s="589"/>
      <c r="E105" s="589"/>
      <c r="F105" s="589"/>
      <c r="G105" s="2110" t="str">
        <f t="shared" si="4"/>
        <v/>
      </c>
      <c r="H105" s="589"/>
      <c r="I105" s="2095" t="str">
        <f t="shared" si="6"/>
        <v/>
      </c>
      <c r="K105" s="589"/>
      <c r="L105" s="589"/>
      <c r="M105" s="589"/>
      <c r="N105" s="589"/>
      <c r="O105" s="589"/>
      <c r="P105" s="589"/>
      <c r="Q105" s="589"/>
      <c r="R105" s="558" t="s">
        <v>2117</v>
      </c>
      <c r="S105" s="590"/>
      <c r="T105" s="591"/>
      <c r="U105" s="592"/>
      <c r="V105" s="605"/>
      <c r="W105" s="593"/>
      <c r="X105" s="594" t="s">
        <v>769</v>
      </c>
      <c r="Y105" s="595"/>
      <c r="Z105" s="605"/>
      <c r="AA105" s="596"/>
      <c r="AB105" s="597"/>
      <c r="AC105" s="594" t="s">
        <v>769</v>
      </c>
      <c r="AD105" s="595"/>
      <c r="AE105" s="589"/>
      <c r="AF105" s="589"/>
      <c r="AG105" s="589"/>
      <c r="AH105" s="589"/>
      <c r="AI105" s="589"/>
      <c r="AJ105" s="589"/>
      <c r="AK105" s="589"/>
      <c r="AL105" s="575"/>
      <c r="AM105" s="589"/>
      <c r="AN105" s="1397"/>
      <c r="AO105" s="1397"/>
      <c r="AP105" s="1397"/>
      <c r="AQ105" s="1397"/>
      <c r="AR105" s="1397"/>
      <c r="AS105" s="1397"/>
      <c r="AT105" s="1397"/>
      <c r="AU105" s="1397"/>
      <c r="AV105" s="1397"/>
      <c r="AW105" s="1397"/>
      <c r="AX105" s="1397"/>
      <c r="AY105" s="1397"/>
      <c r="AZ105" s="1397"/>
      <c r="BA105" s="1397"/>
      <c r="BB105" s="1397"/>
      <c r="BC105" s="1397"/>
      <c r="BD105" s="1397"/>
      <c r="BE105" s="1397"/>
      <c r="BF105" s="1397"/>
      <c r="BG105" s="1397"/>
      <c r="BH105" s="1397"/>
      <c r="BI105" s="1397"/>
      <c r="BJ105" s="1397"/>
      <c r="BK105" s="1397"/>
      <c r="BL105" s="1397"/>
      <c r="BM105" s="1397"/>
      <c r="BN105" s="1397"/>
    </row>
    <row r="106" spans="1:66" ht="13.5" hidden="1" outlineLevel="1" thickBot="1" x14ac:dyDescent="0.25">
      <c r="A106" s="589"/>
      <c r="B106" s="589"/>
      <c r="C106" s="589"/>
      <c r="D106" s="589"/>
      <c r="E106" s="589"/>
      <c r="F106" s="589"/>
      <c r="G106" s="2110" t="str">
        <f t="shared" si="4"/>
        <v/>
      </c>
      <c r="H106" s="589"/>
      <c r="I106" s="2095" t="str">
        <f t="shared" si="6"/>
        <v/>
      </c>
      <c r="K106" s="589"/>
      <c r="L106" s="589"/>
      <c r="M106" s="589"/>
      <c r="N106" s="589"/>
      <c r="O106" s="589"/>
      <c r="P106" s="589"/>
      <c r="Q106" s="589"/>
      <c r="R106" s="558" t="s">
        <v>2117</v>
      </c>
      <c r="S106" s="590"/>
      <c r="T106" s="591"/>
      <c r="U106" s="592"/>
      <c r="V106" s="605"/>
      <c r="W106" s="593"/>
      <c r="X106" s="594" t="s">
        <v>769</v>
      </c>
      <c r="Y106" s="595"/>
      <c r="Z106" s="605"/>
      <c r="AA106" s="596"/>
      <c r="AB106" s="597"/>
      <c r="AC106" s="594" t="s">
        <v>769</v>
      </c>
      <c r="AD106" s="595"/>
      <c r="AE106" s="589"/>
      <c r="AF106" s="589"/>
      <c r="AG106" s="589"/>
      <c r="AH106" s="589"/>
      <c r="AI106" s="589"/>
      <c r="AJ106" s="589"/>
      <c r="AK106" s="589"/>
      <c r="AL106" s="575"/>
      <c r="AM106" s="589"/>
      <c r="AN106" s="1397"/>
      <c r="AO106" s="1397"/>
      <c r="AP106" s="1397"/>
      <c r="AQ106" s="1397"/>
      <c r="AR106" s="1397"/>
      <c r="AS106" s="1397"/>
      <c r="AT106" s="1397"/>
      <c r="AU106" s="1397"/>
      <c r="AV106" s="1397"/>
      <c r="AW106" s="1397"/>
      <c r="AX106" s="1397"/>
      <c r="AY106" s="1397"/>
      <c r="AZ106" s="1397"/>
      <c r="BA106" s="1397"/>
      <c r="BB106" s="1397"/>
      <c r="BC106" s="1397"/>
      <c r="BD106" s="1397"/>
      <c r="BE106" s="1397"/>
      <c r="BF106" s="1397"/>
      <c r="BG106" s="1397"/>
      <c r="BH106" s="1397"/>
      <c r="BI106" s="1397"/>
      <c r="BJ106" s="1397"/>
      <c r="BK106" s="1397"/>
      <c r="BL106" s="1397"/>
      <c r="BM106" s="1397"/>
      <c r="BN106" s="1397"/>
    </row>
    <row r="107" spans="1:66" ht="13.5" hidden="1" outlineLevel="1" thickBot="1" x14ac:dyDescent="0.25">
      <c r="A107" s="589"/>
      <c r="B107" s="589"/>
      <c r="C107" s="589"/>
      <c r="D107" s="589"/>
      <c r="E107" s="589"/>
      <c r="F107" s="589"/>
      <c r="G107" s="2110" t="str">
        <f t="shared" ref="G107:G170" si="7">IF(W107="",IF(OR(HidePlayerFormulas,V107=""),"","("&amp;V107&amp;"-"&amp;Z107&amp;")"),IF(W107&gt;Y107,V107,IF(Y107&gt;W107,Z107,IF(AB107&gt;AD107,V107,IF(AD107&gt;AB107,Z107,mess_erreur_marque)))))</f>
        <v/>
      </c>
      <c r="H107" s="589"/>
      <c r="I107" s="2095" t="str">
        <f t="shared" ref="I107:I138" si="8">IF(G107="","",IF(G107=V107,Z107,V107))</f>
        <v/>
      </c>
      <c r="K107" s="589"/>
      <c r="L107" s="589"/>
      <c r="M107" s="589"/>
      <c r="N107" s="589"/>
      <c r="O107" s="589"/>
      <c r="P107" s="589"/>
      <c r="Q107" s="589"/>
      <c r="R107" s="558" t="s">
        <v>2117</v>
      </c>
      <c r="S107" s="590"/>
      <c r="T107" s="591"/>
      <c r="U107" s="592"/>
      <c r="V107" s="605"/>
      <c r="W107" s="593"/>
      <c r="X107" s="594" t="s">
        <v>769</v>
      </c>
      <c r="Y107" s="595"/>
      <c r="Z107" s="605"/>
      <c r="AA107" s="596"/>
      <c r="AB107" s="597"/>
      <c r="AC107" s="594" t="s">
        <v>769</v>
      </c>
      <c r="AD107" s="595"/>
      <c r="AE107" s="589"/>
      <c r="AF107" s="589"/>
      <c r="AG107" s="589"/>
      <c r="AH107" s="589"/>
      <c r="AI107" s="589"/>
      <c r="AJ107" s="589"/>
      <c r="AK107" s="589"/>
      <c r="AL107" s="575"/>
      <c r="AM107" s="589"/>
      <c r="AN107" s="1397"/>
      <c r="AO107" s="1397"/>
      <c r="AP107" s="1397"/>
      <c r="AQ107" s="1397"/>
      <c r="AR107" s="1397"/>
      <c r="AS107" s="1397"/>
      <c r="AT107" s="1397"/>
      <c r="AU107" s="1397"/>
      <c r="AV107" s="1397"/>
      <c r="AW107" s="1397"/>
      <c r="AX107" s="1397"/>
      <c r="AY107" s="1397"/>
      <c r="AZ107" s="1397"/>
      <c r="BA107" s="1397"/>
      <c r="BB107" s="1397"/>
      <c r="BC107" s="1397"/>
      <c r="BD107" s="1397"/>
      <c r="BE107" s="1397"/>
      <c r="BF107" s="1397"/>
      <c r="BG107" s="1397"/>
      <c r="BH107" s="1397"/>
      <c r="BI107" s="1397"/>
      <c r="BJ107" s="1397"/>
      <c r="BK107" s="1397"/>
      <c r="BL107" s="1397"/>
      <c r="BM107" s="1397"/>
      <c r="BN107" s="1397"/>
    </row>
    <row r="108" spans="1:66" ht="13.5" hidden="1" outlineLevel="1" thickBot="1" x14ac:dyDescent="0.25">
      <c r="A108" s="589"/>
      <c r="B108" s="589"/>
      <c r="C108" s="589"/>
      <c r="D108" s="589"/>
      <c r="E108" s="589"/>
      <c r="F108" s="589"/>
      <c r="G108" s="2110" t="str">
        <f t="shared" si="7"/>
        <v/>
      </c>
      <c r="H108" s="589"/>
      <c r="I108" s="2095" t="str">
        <f t="shared" si="8"/>
        <v/>
      </c>
      <c r="K108" s="589"/>
      <c r="L108" s="589"/>
      <c r="M108" s="589"/>
      <c r="N108" s="589"/>
      <c r="O108" s="589"/>
      <c r="P108" s="589"/>
      <c r="Q108" s="589"/>
      <c r="R108" s="558" t="s">
        <v>2117</v>
      </c>
      <c r="S108" s="590"/>
      <c r="T108" s="591"/>
      <c r="U108" s="592"/>
      <c r="V108" s="605"/>
      <c r="W108" s="593"/>
      <c r="X108" s="594" t="s">
        <v>769</v>
      </c>
      <c r="Y108" s="595"/>
      <c r="Z108" s="605"/>
      <c r="AA108" s="596"/>
      <c r="AB108" s="597"/>
      <c r="AC108" s="594" t="s">
        <v>769</v>
      </c>
      <c r="AD108" s="595"/>
      <c r="AE108" s="589"/>
      <c r="AF108" s="589"/>
      <c r="AG108" s="589"/>
      <c r="AH108" s="589"/>
      <c r="AI108" s="589"/>
      <c r="AJ108" s="589"/>
      <c r="AK108" s="589"/>
      <c r="AL108" s="575"/>
      <c r="AM108" s="589"/>
      <c r="AN108" s="1397"/>
      <c r="AO108" s="1397"/>
      <c r="AP108" s="1397"/>
      <c r="AQ108" s="1397"/>
      <c r="AR108" s="1397"/>
      <c r="AS108" s="1397"/>
      <c r="AT108" s="1397"/>
      <c r="AU108" s="1397"/>
      <c r="AV108" s="1397"/>
      <c r="AW108" s="1397"/>
      <c r="AX108" s="1397"/>
      <c r="AY108" s="1397"/>
      <c r="AZ108" s="1397"/>
      <c r="BA108" s="1397"/>
      <c r="BB108" s="1397"/>
      <c r="BC108" s="1397"/>
      <c r="BD108" s="1397"/>
      <c r="BE108" s="1397"/>
      <c r="BF108" s="1397"/>
      <c r="BG108" s="1397"/>
      <c r="BH108" s="1397"/>
      <c r="BI108" s="1397"/>
      <c r="BJ108" s="1397"/>
      <c r="BK108" s="1397"/>
      <c r="BL108" s="1397"/>
      <c r="BM108" s="1397"/>
      <c r="BN108" s="1397"/>
    </row>
    <row r="109" spans="1:66" ht="13.5" hidden="1" outlineLevel="1" thickBot="1" x14ac:dyDescent="0.25">
      <c r="A109" s="589"/>
      <c r="B109" s="589"/>
      <c r="C109" s="589"/>
      <c r="D109" s="589"/>
      <c r="E109" s="589"/>
      <c r="F109" s="589"/>
      <c r="G109" s="2110" t="str">
        <f t="shared" si="7"/>
        <v/>
      </c>
      <c r="H109" s="589"/>
      <c r="I109" s="2095" t="str">
        <f t="shared" si="8"/>
        <v/>
      </c>
      <c r="K109" s="589"/>
      <c r="L109" s="589"/>
      <c r="M109" s="589"/>
      <c r="N109" s="589"/>
      <c r="O109" s="589"/>
      <c r="P109" s="589"/>
      <c r="Q109" s="589"/>
      <c r="R109" s="558" t="s">
        <v>2117</v>
      </c>
      <c r="S109" s="590"/>
      <c r="T109" s="591"/>
      <c r="U109" s="592"/>
      <c r="V109" s="605"/>
      <c r="W109" s="593"/>
      <c r="X109" s="594" t="s">
        <v>769</v>
      </c>
      <c r="Y109" s="595"/>
      <c r="Z109" s="605"/>
      <c r="AA109" s="596"/>
      <c r="AB109" s="597"/>
      <c r="AC109" s="594" t="s">
        <v>769</v>
      </c>
      <c r="AD109" s="595"/>
      <c r="AE109" s="589"/>
      <c r="AF109" s="589"/>
      <c r="AG109" s="589"/>
      <c r="AH109" s="589"/>
      <c r="AI109" s="589"/>
      <c r="AJ109" s="589"/>
      <c r="AK109" s="589"/>
      <c r="AL109" s="575"/>
      <c r="AM109" s="589"/>
      <c r="AN109" s="1397"/>
      <c r="AO109" s="1397"/>
      <c r="AP109" s="1397"/>
      <c r="AQ109" s="1397"/>
      <c r="AR109" s="1397"/>
      <c r="AS109" s="1397"/>
      <c r="AT109" s="1397"/>
      <c r="AU109" s="1397"/>
      <c r="AV109" s="1397"/>
      <c r="AW109" s="1397"/>
      <c r="AX109" s="1397"/>
      <c r="AY109" s="1397"/>
      <c r="AZ109" s="1397"/>
      <c r="BA109" s="1397"/>
      <c r="BB109" s="1397"/>
      <c r="BC109" s="1397"/>
      <c r="BD109" s="1397"/>
      <c r="BE109" s="1397"/>
      <c r="BF109" s="1397"/>
      <c r="BG109" s="1397"/>
      <c r="BH109" s="1397"/>
      <c r="BI109" s="1397"/>
      <c r="BJ109" s="1397"/>
      <c r="BK109" s="1397"/>
      <c r="BL109" s="1397"/>
      <c r="BM109" s="1397"/>
      <c r="BN109" s="1397"/>
    </row>
    <row r="110" spans="1:66" ht="13.5" hidden="1" outlineLevel="1" thickBot="1" x14ac:dyDescent="0.25">
      <c r="A110" s="589"/>
      <c r="B110" s="589"/>
      <c r="C110" s="589"/>
      <c r="D110" s="589"/>
      <c r="E110" s="589"/>
      <c r="F110" s="589"/>
      <c r="G110" s="2110" t="str">
        <f t="shared" si="7"/>
        <v/>
      </c>
      <c r="H110" s="589"/>
      <c r="I110" s="2095" t="str">
        <f t="shared" si="8"/>
        <v/>
      </c>
      <c r="K110" s="589"/>
      <c r="L110" s="589"/>
      <c r="M110" s="589"/>
      <c r="N110" s="589"/>
      <c r="O110" s="589"/>
      <c r="P110" s="589"/>
      <c r="Q110" s="589"/>
      <c r="R110" s="558" t="s">
        <v>2117</v>
      </c>
      <c r="S110" s="590"/>
      <c r="T110" s="591"/>
      <c r="U110" s="592"/>
      <c r="V110" s="605"/>
      <c r="W110" s="593"/>
      <c r="X110" s="594" t="s">
        <v>769</v>
      </c>
      <c r="Y110" s="595"/>
      <c r="Z110" s="605"/>
      <c r="AA110" s="596"/>
      <c r="AB110" s="597"/>
      <c r="AC110" s="594" t="s">
        <v>769</v>
      </c>
      <c r="AD110" s="595"/>
      <c r="AE110" s="589"/>
      <c r="AF110" s="589"/>
      <c r="AG110" s="589"/>
      <c r="AH110" s="589"/>
      <c r="AI110" s="589"/>
      <c r="AJ110" s="589"/>
      <c r="AK110" s="589"/>
      <c r="AL110" s="575"/>
      <c r="AM110" s="589"/>
      <c r="AN110" s="1397"/>
      <c r="AO110" s="1397"/>
      <c r="AP110" s="1397"/>
      <c r="AQ110" s="1397"/>
      <c r="AR110" s="1397"/>
      <c r="AS110" s="1397"/>
      <c r="AT110" s="1397"/>
      <c r="AU110" s="1397"/>
      <c r="AV110" s="1397"/>
      <c r="AW110" s="1397"/>
      <c r="AX110" s="1397"/>
      <c r="AY110" s="1397"/>
      <c r="AZ110" s="1397"/>
      <c r="BA110" s="1397"/>
      <c r="BB110" s="1397"/>
      <c r="BC110" s="1397"/>
      <c r="BD110" s="1397"/>
      <c r="BE110" s="1397"/>
      <c r="BF110" s="1397"/>
      <c r="BG110" s="1397"/>
      <c r="BH110" s="1397"/>
      <c r="BI110" s="1397"/>
      <c r="BJ110" s="1397"/>
      <c r="BK110" s="1397"/>
      <c r="BL110" s="1397"/>
      <c r="BM110" s="1397"/>
      <c r="BN110" s="1397"/>
    </row>
    <row r="111" spans="1:66" ht="13.5" hidden="1" outlineLevel="1" thickBot="1" x14ac:dyDescent="0.25">
      <c r="A111" s="589"/>
      <c r="B111" s="589"/>
      <c r="C111" s="589"/>
      <c r="D111" s="589"/>
      <c r="E111" s="589"/>
      <c r="F111" s="589"/>
      <c r="G111" s="2110" t="str">
        <f t="shared" si="7"/>
        <v/>
      </c>
      <c r="H111" s="589"/>
      <c r="I111" s="2095" t="str">
        <f t="shared" si="8"/>
        <v/>
      </c>
      <c r="K111" s="589"/>
      <c r="L111" s="589"/>
      <c r="M111" s="589"/>
      <c r="N111" s="589"/>
      <c r="O111" s="589"/>
      <c r="P111" s="589"/>
      <c r="Q111" s="589"/>
      <c r="R111" s="558" t="s">
        <v>2117</v>
      </c>
      <c r="S111" s="590"/>
      <c r="T111" s="591"/>
      <c r="U111" s="592"/>
      <c r="V111" s="605"/>
      <c r="W111" s="593"/>
      <c r="X111" s="594" t="s">
        <v>769</v>
      </c>
      <c r="Y111" s="595"/>
      <c r="Z111" s="605"/>
      <c r="AA111" s="596"/>
      <c r="AB111" s="597"/>
      <c r="AC111" s="594" t="s">
        <v>769</v>
      </c>
      <c r="AD111" s="595"/>
      <c r="AE111" s="589"/>
      <c r="AF111" s="589"/>
      <c r="AG111" s="589"/>
      <c r="AH111" s="589"/>
      <c r="AI111" s="589"/>
      <c r="AJ111" s="589"/>
      <c r="AK111" s="589"/>
      <c r="AL111" s="575"/>
      <c r="AM111" s="589"/>
      <c r="AN111" s="1397"/>
      <c r="AO111" s="1397"/>
      <c r="AP111" s="1397"/>
      <c r="AQ111" s="1397"/>
      <c r="AR111" s="1397"/>
      <c r="AS111" s="1397"/>
      <c r="AT111" s="1397"/>
      <c r="AU111" s="1397"/>
      <c r="AV111" s="1397"/>
      <c r="AW111" s="1397"/>
      <c r="AX111" s="1397"/>
      <c r="AY111" s="1397"/>
      <c r="AZ111" s="1397"/>
      <c r="BA111" s="1397"/>
      <c r="BB111" s="1397"/>
      <c r="BC111" s="1397"/>
      <c r="BD111" s="1397"/>
      <c r="BE111" s="1397"/>
      <c r="BF111" s="1397"/>
      <c r="BG111" s="1397"/>
      <c r="BH111" s="1397"/>
      <c r="BI111" s="1397"/>
      <c r="BJ111" s="1397"/>
      <c r="BK111" s="1397"/>
      <c r="BL111" s="1397"/>
      <c r="BM111" s="1397"/>
      <c r="BN111" s="1397"/>
    </row>
    <row r="112" spans="1:66" ht="13.5" hidden="1" outlineLevel="1" thickBot="1" x14ac:dyDescent="0.25">
      <c r="A112" s="589"/>
      <c r="B112" s="589"/>
      <c r="C112" s="589"/>
      <c r="D112" s="589"/>
      <c r="E112" s="589"/>
      <c r="F112" s="589"/>
      <c r="G112" s="2110" t="str">
        <f t="shared" si="7"/>
        <v/>
      </c>
      <c r="H112" s="589"/>
      <c r="I112" s="2095" t="str">
        <f t="shared" si="8"/>
        <v/>
      </c>
      <c r="K112" s="589"/>
      <c r="L112" s="589"/>
      <c r="M112" s="589"/>
      <c r="N112" s="589"/>
      <c r="O112" s="589"/>
      <c r="P112" s="589"/>
      <c r="Q112" s="589"/>
      <c r="R112" s="558" t="s">
        <v>2117</v>
      </c>
      <c r="S112" s="590"/>
      <c r="T112" s="591"/>
      <c r="U112" s="592"/>
      <c r="V112" s="605"/>
      <c r="W112" s="593"/>
      <c r="X112" s="594" t="s">
        <v>769</v>
      </c>
      <c r="Y112" s="595"/>
      <c r="Z112" s="605"/>
      <c r="AA112" s="596"/>
      <c r="AB112" s="597"/>
      <c r="AC112" s="594" t="s">
        <v>769</v>
      </c>
      <c r="AD112" s="595"/>
      <c r="AE112" s="589"/>
      <c r="AF112" s="589"/>
      <c r="AG112" s="589"/>
      <c r="AH112" s="589"/>
      <c r="AI112" s="589"/>
      <c r="AJ112" s="589"/>
      <c r="AK112" s="589"/>
      <c r="AL112" s="575"/>
      <c r="AM112" s="589"/>
      <c r="AN112" s="1397"/>
      <c r="AO112" s="1397"/>
      <c r="AP112" s="1397"/>
      <c r="AQ112" s="1397"/>
      <c r="AR112" s="1397"/>
      <c r="AS112" s="1397"/>
      <c r="AT112" s="1397"/>
      <c r="AU112" s="1397"/>
      <c r="AV112" s="1397"/>
      <c r="AW112" s="1397"/>
      <c r="AX112" s="1397"/>
      <c r="AY112" s="1397"/>
      <c r="AZ112" s="1397"/>
      <c r="BA112" s="1397"/>
      <c r="BB112" s="1397"/>
      <c r="BC112" s="1397"/>
      <c r="BD112" s="1397"/>
      <c r="BE112" s="1397"/>
      <c r="BF112" s="1397"/>
      <c r="BG112" s="1397"/>
      <c r="BH112" s="1397"/>
      <c r="BI112" s="1397"/>
      <c r="BJ112" s="1397"/>
      <c r="BK112" s="1397"/>
      <c r="BL112" s="1397"/>
      <c r="BM112" s="1397"/>
      <c r="BN112" s="1397"/>
    </row>
    <row r="113" spans="1:66" ht="13.5" hidden="1" outlineLevel="1" thickBot="1" x14ac:dyDescent="0.25">
      <c r="A113" s="589"/>
      <c r="B113" s="589"/>
      <c r="C113" s="589"/>
      <c r="D113" s="589"/>
      <c r="E113" s="589"/>
      <c r="F113" s="589"/>
      <c r="G113" s="2110" t="str">
        <f t="shared" si="7"/>
        <v/>
      </c>
      <c r="H113" s="589"/>
      <c r="I113" s="2095" t="str">
        <f t="shared" si="8"/>
        <v/>
      </c>
      <c r="K113" s="589"/>
      <c r="L113" s="589"/>
      <c r="M113" s="589"/>
      <c r="N113" s="589"/>
      <c r="O113" s="589"/>
      <c r="P113" s="589"/>
      <c r="Q113" s="589"/>
      <c r="R113" s="558" t="s">
        <v>2117</v>
      </c>
      <c r="S113" s="590"/>
      <c r="T113" s="591"/>
      <c r="U113" s="592"/>
      <c r="V113" s="605"/>
      <c r="W113" s="593"/>
      <c r="X113" s="594" t="s">
        <v>769</v>
      </c>
      <c r="Y113" s="595"/>
      <c r="Z113" s="605"/>
      <c r="AA113" s="596"/>
      <c r="AB113" s="597"/>
      <c r="AC113" s="594" t="s">
        <v>769</v>
      </c>
      <c r="AD113" s="595"/>
      <c r="AE113" s="589"/>
      <c r="AF113" s="589"/>
      <c r="AG113" s="589"/>
      <c r="AH113" s="589"/>
      <c r="AI113" s="589"/>
      <c r="AJ113" s="589"/>
      <c r="AK113" s="589"/>
      <c r="AL113" s="575"/>
      <c r="AM113" s="589"/>
      <c r="AN113" s="1397"/>
      <c r="AO113" s="1397"/>
      <c r="AP113" s="1397"/>
      <c r="AQ113" s="1397"/>
      <c r="AR113" s="1397"/>
      <c r="AS113" s="1397"/>
      <c r="AT113" s="1397"/>
      <c r="AU113" s="1397"/>
      <c r="AV113" s="1397"/>
      <c r="AW113" s="1397"/>
      <c r="AX113" s="1397"/>
      <c r="AY113" s="1397"/>
      <c r="AZ113" s="1397"/>
      <c r="BA113" s="1397"/>
      <c r="BB113" s="1397"/>
      <c r="BC113" s="1397"/>
      <c r="BD113" s="1397"/>
      <c r="BE113" s="1397"/>
      <c r="BF113" s="1397"/>
      <c r="BG113" s="1397"/>
      <c r="BH113" s="1397"/>
      <c r="BI113" s="1397"/>
      <c r="BJ113" s="1397"/>
      <c r="BK113" s="1397"/>
      <c r="BL113" s="1397"/>
      <c r="BM113" s="1397"/>
      <c r="BN113" s="1397"/>
    </row>
    <row r="114" spans="1:66" ht="13.5" hidden="1" outlineLevel="1" thickBot="1" x14ac:dyDescent="0.25">
      <c r="A114" s="589"/>
      <c r="B114" s="589"/>
      <c r="C114" s="589"/>
      <c r="D114" s="589"/>
      <c r="E114" s="589"/>
      <c r="F114" s="589"/>
      <c r="G114" s="2110" t="str">
        <f t="shared" si="7"/>
        <v/>
      </c>
      <c r="H114" s="589"/>
      <c r="I114" s="2095" t="str">
        <f t="shared" si="8"/>
        <v/>
      </c>
      <c r="K114" s="589"/>
      <c r="L114" s="589"/>
      <c r="M114" s="589"/>
      <c r="N114" s="589"/>
      <c r="O114" s="589"/>
      <c r="P114" s="589"/>
      <c r="Q114" s="589"/>
      <c r="R114" s="558" t="s">
        <v>2117</v>
      </c>
      <c r="S114" s="590"/>
      <c r="T114" s="591"/>
      <c r="U114" s="592"/>
      <c r="V114" s="605"/>
      <c r="W114" s="593"/>
      <c r="X114" s="594" t="s">
        <v>769</v>
      </c>
      <c r="Y114" s="595"/>
      <c r="Z114" s="605"/>
      <c r="AA114" s="596"/>
      <c r="AB114" s="597"/>
      <c r="AC114" s="594" t="s">
        <v>769</v>
      </c>
      <c r="AD114" s="595"/>
      <c r="AE114" s="589"/>
      <c r="AF114" s="589"/>
      <c r="AG114" s="589"/>
      <c r="AH114" s="589"/>
      <c r="AI114" s="589"/>
      <c r="AJ114" s="589"/>
      <c r="AK114" s="589"/>
      <c r="AL114" s="575"/>
      <c r="AM114" s="589"/>
      <c r="AN114" s="1397"/>
      <c r="AO114" s="1397"/>
      <c r="AP114" s="1397"/>
      <c r="AQ114" s="1397"/>
      <c r="AR114" s="1397"/>
      <c r="AS114" s="1397"/>
      <c r="AT114" s="1397"/>
      <c r="AU114" s="1397"/>
      <c r="AV114" s="1397"/>
      <c r="AW114" s="1397"/>
      <c r="AX114" s="1397"/>
      <c r="AY114" s="1397"/>
      <c r="AZ114" s="1397"/>
      <c r="BA114" s="1397"/>
      <c r="BB114" s="1397"/>
      <c r="BC114" s="1397"/>
      <c r="BD114" s="1397"/>
      <c r="BE114" s="1397"/>
      <c r="BF114" s="1397"/>
      <c r="BG114" s="1397"/>
      <c r="BH114" s="1397"/>
      <c r="BI114" s="1397"/>
      <c r="BJ114" s="1397"/>
      <c r="BK114" s="1397"/>
      <c r="BL114" s="1397"/>
      <c r="BM114" s="1397"/>
      <c r="BN114" s="1397"/>
    </row>
    <row r="115" spans="1:66" ht="13.5" hidden="1" outlineLevel="1" thickBot="1" x14ac:dyDescent="0.25">
      <c r="A115" s="589"/>
      <c r="B115" s="589"/>
      <c r="C115" s="589"/>
      <c r="D115" s="589"/>
      <c r="E115" s="589"/>
      <c r="F115" s="589"/>
      <c r="G115" s="2110" t="str">
        <f t="shared" si="7"/>
        <v/>
      </c>
      <c r="H115" s="589"/>
      <c r="I115" s="2095" t="str">
        <f t="shared" si="8"/>
        <v/>
      </c>
      <c r="K115" s="589"/>
      <c r="L115" s="589"/>
      <c r="M115" s="589"/>
      <c r="N115" s="589"/>
      <c r="O115" s="589"/>
      <c r="P115" s="589"/>
      <c r="Q115" s="589"/>
      <c r="R115" s="558" t="s">
        <v>2117</v>
      </c>
      <c r="S115" s="590"/>
      <c r="T115" s="591"/>
      <c r="U115" s="592"/>
      <c r="V115" s="605"/>
      <c r="W115" s="593"/>
      <c r="X115" s="594" t="s">
        <v>769</v>
      </c>
      <c r="Y115" s="595"/>
      <c r="Z115" s="605"/>
      <c r="AA115" s="596"/>
      <c r="AB115" s="597"/>
      <c r="AC115" s="594" t="s">
        <v>769</v>
      </c>
      <c r="AD115" s="595"/>
      <c r="AE115" s="589"/>
      <c r="AF115" s="589"/>
      <c r="AG115" s="589"/>
      <c r="AH115" s="589"/>
      <c r="AI115" s="589"/>
      <c r="AJ115" s="589"/>
      <c r="AK115" s="589"/>
      <c r="AL115" s="575"/>
      <c r="AM115" s="589"/>
      <c r="AN115" s="1397"/>
      <c r="AO115" s="1397"/>
      <c r="AP115" s="1397"/>
      <c r="AQ115" s="1397"/>
      <c r="AR115" s="1397"/>
      <c r="AS115" s="1397"/>
      <c r="AT115" s="1397"/>
      <c r="AU115" s="1397"/>
      <c r="AV115" s="1397"/>
      <c r="AW115" s="1397"/>
      <c r="AX115" s="1397"/>
      <c r="AY115" s="1397"/>
      <c r="AZ115" s="1397"/>
      <c r="BA115" s="1397"/>
      <c r="BB115" s="1397"/>
      <c r="BC115" s="1397"/>
      <c r="BD115" s="1397"/>
      <c r="BE115" s="1397"/>
      <c r="BF115" s="1397"/>
      <c r="BG115" s="1397"/>
      <c r="BH115" s="1397"/>
      <c r="BI115" s="1397"/>
      <c r="BJ115" s="1397"/>
      <c r="BK115" s="1397"/>
      <c r="BL115" s="1397"/>
      <c r="BM115" s="1397"/>
      <c r="BN115" s="1397"/>
    </row>
    <row r="116" spans="1:66" ht="13.5" hidden="1" outlineLevel="1" thickBot="1" x14ac:dyDescent="0.25">
      <c r="A116" s="589"/>
      <c r="B116" s="589"/>
      <c r="C116" s="589"/>
      <c r="D116" s="589"/>
      <c r="E116" s="589"/>
      <c r="F116" s="589"/>
      <c r="G116" s="2110" t="str">
        <f t="shared" si="7"/>
        <v/>
      </c>
      <c r="H116" s="589"/>
      <c r="I116" s="2095" t="str">
        <f t="shared" si="8"/>
        <v/>
      </c>
      <c r="K116" s="589"/>
      <c r="L116" s="589"/>
      <c r="M116" s="589"/>
      <c r="N116" s="589"/>
      <c r="O116" s="589"/>
      <c r="P116" s="589"/>
      <c r="Q116" s="589"/>
      <c r="R116" s="558" t="s">
        <v>2117</v>
      </c>
      <c r="S116" s="590"/>
      <c r="T116" s="591"/>
      <c r="U116" s="592"/>
      <c r="V116" s="605"/>
      <c r="W116" s="593"/>
      <c r="X116" s="594" t="s">
        <v>769</v>
      </c>
      <c r="Y116" s="595"/>
      <c r="Z116" s="605"/>
      <c r="AA116" s="596"/>
      <c r="AB116" s="597"/>
      <c r="AC116" s="594" t="s">
        <v>769</v>
      </c>
      <c r="AD116" s="595"/>
      <c r="AE116" s="589"/>
      <c r="AF116" s="589"/>
      <c r="AG116" s="589"/>
      <c r="AH116" s="589"/>
      <c r="AI116" s="589"/>
      <c r="AJ116" s="589"/>
      <c r="AK116" s="589"/>
      <c r="AL116" s="575"/>
      <c r="AM116" s="589"/>
      <c r="AN116" s="1397"/>
      <c r="AO116" s="1397"/>
      <c r="AP116" s="1397"/>
      <c r="AQ116" s="1397"/>
      <c r="AR116" s="1397"/>
      <c r="AS116" s="1397"/>
      <c r="AT116" s="1397"/>
      <c r="AU116" s="1397"/>
      <c r="AV116" s="1397"/>
      <c r="AW116" s="1397"/>
      <c r="AX116" s="1397"/>
      <c r="AY116" s="1397"/>
      <c r="AZ116" s="1397"/>
      <c r="BA116" s="1397"/>
      <c r="BB116" s="1397"/>
      <c r="BC116" s="1397"/>
      <c r="BD116" s="1397"/>
      <c r="BE116" s="1397"/>
      <c r="BF116" s="1397"/>
      <c r="BG116" s="1397"/>
      <c r="BH116" s="1397"/>
      <c r="BI116" s="1397"/>
      <c r="BJ116" s="1397"/>
      <c r="BK116" s="1397"/>
      <c r="BL116" s="1397"/>
      <c r="BM116" s="1397"/>
      <c r="BN116" s="1397"/>
    </row>
    <row r="117" spans="1:66" ht="13.5" hidden="1" outlineLevel="1" thickBot="1" x14ac:dyDescent="0.25">
      <c r="A117" s="589"/>
      <c r="B117" s="589"/>
      <c r="C117" s="589"/>
      <c r="D117" s="589"/>
      <c r="E117" s="589"/>
      <c r="F117" s="589"/>
      <c r="G117" s="2110" t="str">
        <f t="shared" si="7"/>
        <v/>
      </c>
      <c r="H117" s="589"/>
      <c r="I117" s="2095" t="str">
        <f t="shared" si="8"/>
        <v/>
      </c>
      <c r="K117" s="589"/>
      <c r="L117" s="589"/>
      <c r="M117" s="589"/>
      <c r="N117" s="589"/>
      <c r="O117" s="589"/>
      <c r="P117" s="589"/>
      <c r="Q117" s="589"/>
      <c r="R117" s="558" t="s">
        <v>2117</v>
      </c>
      <c r="S117" s="590"/>
      <c r="T117" s="591"/>
      <c r="U117" s="592"/>
      <c r="V117" s="605"/>
      <c r="W117" s="593"/>
      <c r="X117" s="594" t="s">
        <v>769</v>
      </c>
      <c r="Y117" s="595"/>
      <c r="Z117" s="605"/>
      <c r="AA117" s="596"/>
      <c r="AB117" s="597"/>
      <c r="AC117" s="594" t="s">
        <v>769</v>
      </c>
      <c r="AD117" s="595"/>
      <c r="AE117" s="589"/>
      <c r="AF117" s="589"/>
      <c r="AG117" s="589"/>
      <c r="AH117" s="589"/>
      <c r="AI117" s="589"/>
      <c r="AJ117" s="589"/>
      <c r="AK117" s="589"/>
      <c r="AL117" s="575"/>
      <c r="AM117" s="589"/>
      <c r="AN117" s="1397"/>
      <c r="AO117" s="1397"/>
      <c r="AP117" s="1397"/>
      <c r="AQ117" s="1397"/>
      <c r="AR117" s="1397"/>
      <c r="AS117" s="1397"/>
      <c r="AT117" s="1397"/>
      <c r="AU117" s="1397"/>
      <c r="AV117" s="1397"/>
      <c r="AW117" s="1397"/>
      <c r="AX117" s="1397"/>
      <c r="AY117" s="1397"/>
      <c r="AZ117" s="1397"/>
      <c r="BA117" s="1397"/>
      <c r="BB117" s="1397"/>
      <c r="BC117" s="1397"/>
      <c r="BD117" s="1397"/>
      <c r="BE117" s="1397"/>
      <c r="BF117" s="1397"/>
      <c r="BG117" s="1397"/>
      <c r="BH117" s="1397"/>
      <c r="BI117" s="1397"/>
      <c r="BJ117" s="1397"/>
      <c r="BK117" s="1397"/>
      <c r="BL117" s="1397"/>
      <c r="BM117" s="1397"/>
      <c r="BN117" s="1397"/>
    </row>
    <row r="118" spans="1:66" ht="13.5" hidden="1" outlineLevel="1" thickBot="1" x14ac:dyDescent="0.25">
      <c r="A118" s="589"/>
      <c r="B118" s="589"/>
      <c r="C118" s="589"/>
      <c r="D118" s="589"/>
      <c r="E118" s="589"/>
      <c r="F118" s="589"/>
      <c r="G118" s="2110" t="str">
        <f t="shared" si="7"/>
        <v/>
      </c>
      <c r="H118" s="589"/>
      <c r="I118" s="2095" t="str">
        <f t="shared" si="8"/>
        <v/>
      </c>
      <c r="K118" s="589"/>
      <c r="L118" s="589"/>
      <c r="M118" s="589"/>
      <c r="N118" s="589"/>
      <c r="O118" s="589"/>
      <c r="P118" s="589"/>
      <c r="Q118" s="589"/>
      <c r="R118" s="558" t="s">
        <v>2117</v>
      </c>
      <c r="S118" s="590"/>
      <c r="T118" s="591"/>
      <c r="U118" s="592"/>
      <c r="V118" s="605"/>
      <c r="W118" s="593"/>
      <c r="X118" s="594" t="s">
        <v>769</v>
      </c>
      <c r="Y118" s="595"/>
      <c r="Z118" s="605"/>
      <c r="AA118" s="596"/>
      <c r="AB118" s="597"/>
      <c r="AC118" s="594" t="s">
        <v>769</v>
      </c>
      <c r="AD118" s="595"/>
      <c r="AE118" s="589"/>
      <c r="AF118" s="589"/>
      <c r="AG118" s="589"/>
      <c r="AH118" s="589"/>
      <c r="AI118" s="589"/>
      <c r="AJ118" s="589"/>
      <c r="AK118" s="589"/>
      <c r="AL118" s="575"/>
      <c r="AM118" s="589"/>
      <c r="AN118" s="1397"/>
      <c r="AO118" s="1397"/>
      <c r="AP118" s="1397"/>
      <c r="AQ118" s="1397"/>
      <c r="AR118" s="1397"/>
      <c r="AS118" s="1397"/>
      <c r="AT118" s="1397"/>
      <c r="AU118" s="1397"/>
      <c r="AV118" s="1397"/>
      <c r="AW118" s="1397"/>
      <c r="AX118" s="1397"/>
      <c r="AY118" s="1397"/>
      <c r="AZ118" s="1397"/>
      <c r="BA118" s="1397"/>
      <c r="BB118" s="1397"/>
      <c r="BC118" s="1397"/>
      <c r="BD118" s="1397"/>
      <c r="BE118" s="1397"/>
      <c r="BF118" s="1397"/>
      <c r="BG118" s="1397"/>
      <c r="BH118" s="1397"/>
      <c r="BI118" s="1397"/>
      <c r="BJ118" s="1397"/>
      <c r="BK118" s="1397"/>
      <c r="BL118" s="1397"/>
      <c r="BM118" s="1397"/>
      <c r="BN118" s="1397"/>
    </row>
    <row r="119" spans="1:66" ht="13.5" hidden="1" outlineLevel="1" thickBot="1" x14ac:dyDescent="0.25">
      <c r="A119" s="589"/>
      <c r="B119" s="589"/>
      <c r="C119" s="589"/>
      <c r="D119" s="589"/>
      <c r="E119" s="589"/>
      <c r="F119" s="589"/>
      <c r="G119" s="2110" t="str">
        <f t="shared" si="7"/>
        <v/>
      </c>
      <c r="H119" s="589"/>
      <c r="I119" s="2095" t="str">
        <f t="shared" si="8"/>
        <v/>
      </c>
      <c r="K119" s="589"/>
      <c r="L119" s="589"/>
      <c r="M119" s="589"/>
      <c r="N119" s="589"/>
      <c r="O119" s="589"/>
      <c r="P119" s="589"/>
      <c r="Q119" s="589"/>
      <c r="R119" s="558" t="s">
        <v>2117</v>
      </c>
      <c r="S119" s="590"/>
      <c r="T119" s="591"/>
      <c r="U119" s="592"/>
      <c r="V119" s="605"/>
      <c r="W119" s="593"/>
      <c r="X119" s="594" t="s">
        <v>769</v>
      </c>
      <c r="Y119" s="595"/>
      <c r="Z119" s="605"/>
      <c r="AA119" s="596"/>
      <c r="AB119" s="597"/>
      <c r="AC119" s="594" t="s">
        <v>769</v>
      </c>
      <c r="AD119" s="595"/>
      <c r="AE119" s="589"/>
      <c r="AF119" s="589"/>
      <c r="AG119" s="589"/>
      <c r="AH119" s="589"/>
      <c r="AI119" s="589"/>
      <c r="AJ119" s="589"/>
      <c r="AK119" s="589"/>
      <c r="AL119" s="575"/>
      <c r="AM119" s="589"/>
      <c r="AN119" s="1397"/>
      <c r="AO119" s="1397"/>
      <c r="AP119" s="1397"/>
      <c r="AQ119" s="1397"/>
      <c r="AR119" s="1397"/>
      <c r="AS119" s="1397"/>
      <c r="AT119" s="1397"/>
      <c r="AU119" s="1397"/>
      <c r="AV119" s="1397"/>
      <c r="AW119" s="1397"/>
      <c r="AX119" s="1397"/>
      <c r="AY119" s="1397"/>
      <c r="AZ119" s="1397"/>
      <c r="BA119" s="1397"/>
      <c r="BB119" s="1397"/>
      <c r="BC119" s="1397"/>
      <c r="BD119" s="1397"/>
      <c r="BE119" s="1397"/>
      <c r="BF119" s="1397"/>
      <c r="BG119" s="1397"/>
      <c r="BH119" s="1397"/>
      <c r="BI119" s="1397"/>
      <c r="BJ119" s="1397"/>
      <c r="BK119" s="1397"/>
      <c r="BL119" s="1397"/>
      <c r="BM119" s="1397"/>
      <c r="BN119" s="1397"/>
    </row>
    <row r="120" spans="1:66" ht="13.5" hidden="1" outlineLevel="1" thickBot="1" x14ac:dyDescent="0.25">
      <c r="A120" s="589"/>
      <c r="B120" s="589"/>
      <c r="C120" s="589"/>
      <c r="D120" s="589"/>
      <c r="E120" s="589"/>
      <c r="F120" s="589"/>
      <c r="G120" s="2110" t="str">
        <f t="shared" si="7"/>
        <v/>
      </c>
      <c r="H120" s="589"/>
      <c r="I120" s="2095" t="str">
        <f t="shared" si="8"/>
        <v/>
      </c>
      <c r="K120" s="589"/>
      <c r="L120" s="589"/>
      <c r="M120" s="589"/>
      <c r="N120" s="589"/>
      <c r="O120" s="589"/>
      <c r="P120" s="589"/>
      <c r="Q120" s="589"/>
      <c r="R120" s="558" t="s">
        <v>2117</v>
      </c>
      <c r="S120" s="590"/>
      <c r="T120" s="591"/>
      <c r="U120" s="592"/>
      <c r="V120" s="605"/>
      <c r="W120" s="593"/>
      <c r="X120" s="594" t="s">
        <v>769</v>
      </c>
      <c r="Y120" s="595"/>
      <c r="Z120" s="605"/>
      <c r="AA120" s="596"/>
      <c r="AB120" s="597"/>
      <c r="AC120" s="594" t="s">
        <v>769</v>
      </c>
      <c r="AD120" s="595"/>
      <c r="AE120" s="589"/>
      <c r="AF120" s="589"/>
      <c r="AG120" s="589"/>
      <c r="AH120" s="589"/>
      <c r="AI120" s="589"/>
      <c r="AJ120" s="589"/>
      <c r="AK120" s="589"/>
      <c r="AL120" s="575"/>
      <c r="AM120" s="589"/>
      <c r="AN120" s="1397"/>
      <c r="AO120" s="1397"/>
      <c r="AP120" s="1397"/>
      <c r="AQ120" s="1397"/>
      <c r="AR120" s="1397"/>
      <c r="AS120" s="1397"/>
      <c r="AT120" s="1397"/>
      <c r="AU120" s="1397"/>
      <c r="AV120" s="1397"/>
      <c r="AW120" s="1397"/>
      <c r="AX120" s="1397"/>
      <c r="AY120" s="1397"/>
      <c r="AZ120" s="1397"/>
      <c r="BA120" s="1397"/>
      <c r="BB120" s="1397"/>
      <c r="BC120" s="1397"/>
      <c r="BD120" s="1397"/>
      <c r="BE120" s="1397"/>
      <c r="BF120" s="1397"/>
      <c r="BG120" s="1397"/>
      <c r="BH120" s="1397"/>
      <c r="BI120" s="1397"/>
      <c r="BJ120" s="1397"/>
      <c r="BK120" s="1397"/>
      <c r="BL120" s="1397"/>
      <c r="BM120" s="1397"/>
      <c r="BN120" s="1397"/>
    </row>
    <row r="121" spans="1:66" ht="13.5" hidden="1" outlineLevel="1" thickBot="1" x14ac:dyDescent="0.25">
      <c r="A121" s="589"/>
      <c r="B121" s="589"/>
      <c r="C121" s="589"/>
      <c r="D121" s="589"/>
      <c r="E121" s="589"/>
      <c r="F121" s="589"/>
      <c r="G121" s="2110" t="str">
        <f t="shared" si="7"/>
        <v/>
      </c>
      <c r="H121" s="589"/>
      <c r="I121" s="2095" t="str">
        <f t="shared" si="8"/>
        <v/>
      </c>
      <c r="K121" s="589"/>
      <c r="L121" s="589"/>
      <c r="M121" s="589"/>
      <c r="N121" s="589"/>
      <c r="O121" s="589"/>
      <c r="P121" s="589"/>
      <c r="Q121" s="589"/>
      <c r="R121" s="558" t="s">
        <v>2117</v>
      </c>
      <c r="S121" s="590"/>
      <c r="T121" s="591"/>
      <c r="U121" s="592"/>
      <c r="V121" s="605"/>
      <c r="W121" s="593"/>
      <c r="X121" s="594" t="s">
        <v>769</v>
      </c>
      <c r="Y121" s="595"/>
      <c r="Z121" s="605"/>
      <c r="AA121" s="596"/>
      <c r="AB121" s="597"/>
      <c r="AC121" s="594" t="s">
        <v>769</v>
      </c>
      <c r="AD121" s="595"/>
      <c r="AE121" s="589"/>
      <c r="AF121" s="589"/>
      <c r="AG121" s="589"/>
      <c r="AH121" s="589"/>
      <c r="AI121" s="589"/>
      <c r="AJ121" s="589"/>
      <c r="AK121" s="589"/>
      <c r="AL121" s="575"/>
      <c r="AM121" s="589"/>
      <c r="AN121" s="1397"/>
      <c r="AO121" s="1397"/>
      <c r="AP121" s="1397"/>
      <c r="AQ121" s="1397"/>
      <c r="AR121" s="1397"/>
      <c r="AS121" s="1397"/>
      <c r="AT121" s="1397"/>
      <c r="AU121" s="1397"/>
      <c r="AV121" s="1397"/>
      <c r="AW121" s="1397"/>
      <c r="AX121" s="1397"/>
      <c r="AY121" s="1397"/>
      <c r="AZ121" s="1397"/>
      <c r="BA121" s="1397"/>
      <c r="BB121" s="1397"/>
      <c r="BC121" s="1397"/>
      <c r="BD121" s="1397"/>
      <c r="BE121" s="1397"/>
      <c r="BF121" s="1397"/>
      <c r="BG121" s="1397"/>
      <c r="BH121" s="1397"/>
      <c r="BI121" s="1397"/>
      <c r="BJ121" s="1397"/>
      <c r="BK121" s="1397"/>
      <c r="BL121" s="1397"/>
      <c r="BM121" s="1397"/>
      <c r="BN121" s="1397"/>
    </row>
    <row r="122" spans="1:66" ht="13.5" hidden="1" outlineLevel="1" thickBot="1" x14ac:dyDescent="0.25">
      <c r="A122" s="589"/>
      <c r="B122" s="589"/>
      <c r="C122" s="589"/>
      <c r="D122" s="589"/>
      <c r="E122" s="589"/>
      <c r="F122" s="589"/>
      <c r="G122" s="2110" t="str">
        <f t="shared" si="7"/>
        <v/>
      </c>
      <c r="H122" s="589"/>
      <c r="I122" s="2095" t="str">
        <f t="shared" si="8"/>
        <v/>
      </c>
      <c r="K122" s="589"/>
      <c r="L122" s="589"/>
      <c r="M122" s="589"/>
      <c r="N122" s="589"/>
      <c r="O122" s="589"/>
      <c r="P122" s="589"/>
      <c r="Q122" s="589"/>
      <c r="R122" s="558" t="s">
        <v>2117</v>
      </c>
      <c r="S122" s="590"/>
      <c r="T122" s="591"/>
      <c r="U122" s="592"/>
      <c r="V122" s="605"/>
      <c r="W122" s="593"/>
      <c r="X122" s="594" t="s">
        <v>769</v>
      </c>
      <c r="Y122" s="595"/>
      <c r="Z122" s="605"/>
      <c r="AA122" s="596"/>
      <c r="AB122" s="597"/>
      <c r="AC122" s="594" t="s">
        <v>769</v>
      </c>
      <c r="AD122" s="595"/>
      <c r="AE122" s="589"/>
      <c r="AF122" s="589"/>
      <c r="AG122" s="589"/>
      <c r="AH122" s="589"/>
      <c r="AI122" s="589"/>
      <c r="AJ122" s="589"/>
      <c r="AK122" s="589"/>
      <c r="AL122" s="575"/>
      <c r="AM122" s="589"/>
      <c r="AN122" s="1397"/>
      <c r="AO122" s="1397"/>
      <c r="AP122" s="1397"/>
      <c r="AQ122" s="1397"/>
      <c r="AR122" s="1397"/>
      <c r="AS122" s="1397"/>
      <c r="AT122" s="1397"/>
      <c r="AU122" s="1397"/>
      <c r="AV122" s="1397"/>
      <c r="AW122" s="1397"/>
      <c r="AX122" s="1397"/>
      <c r="AY122" s="1397"/>
      <c r="AZ122" s="1397"/>
      <c r="BA122" s="1397"/>
      <c r="BB122" s="1397"/>
      <c r="BC122" s="1397"/>
      <c r="BD122" s="1397"/>
      <c r="BE122" s="1397"/>
      <c r="BF122" s="1397"/>
      <c r="BG122" s="1397"/>
      <c r="BH122" s="1397"/>
      <c r="BI122" s="1397"/>
      <c r="BJ122" s="1397"/>
      <c r="BK122" s="1397"/>
      <c r="BL122" s="1397"/>
      <c r="BM122" s="1397"/>
      <c r="BN122" s="1397"/>
    </row>
    <row r="123" spans="1:66" ht="13.5" hidden="1" outlineLevel="1" thickBot="1" x14ac:dyDescent="0.25">
      <c r="A123" s="589"/>
      <c r="B123" s="589"/>
      <c r="C123" s="589"/>
      <c r="D123" s="589"/>
      <c r="E123" s="589"/>
      <c r="F123" s="589"/>
      <c r="G123" s="2110" t="str">
        <f t="shared" si="7"/>
        <v/>
      </c>
      <c r="H123" s="589"/>
      <c r="I123" s="2095" t="str">
        <f t="shared" si="8"/>
        <v/>
      </c>
      <c r="K123" s="589"/>
      <c r="L123" s="589"/>
      <c r="M123" s="589"/>
      <c r="N123" s="589"/>
      <c r="O123" s="589"/>
      <c r="P123" s="589"/>
      <c r="Q123" s="589"/>
      <c r="R123" s="558" t="s">
        <v>2117</v>
      </c>
      <c r="S123" s="590"/>
      <c r="T123" s="591"/>
      <c r="U123" s="592"/>
      <c r="V123" s="605"/>
      <c r="W123" s="593"/>
      <c r="X123" s="594" t="s">
        <v>769</v>
      </c>
      <c r="Y123" s="595"/>
      <c r="Z123" s="605"/>
      <c r="AA123" s="596"/>
      <c r="AB123" s="597"/>
      <c r="AC123" s="594" t="s">
        <v>769</v>
      </c>
      <c r="AD123" s="595"/>
      <c r="AE123" s="589"/>
      <c r="AF123" s="589"/>
      <c r="AG123" s="589"/>
      <c r="AH123" s="589"/>
      <c r="AI123" s="589"/>
      <c r="AJ123" s="589"/>
      <c r="AK123" s="589"/>
      <c r="AL123" s="575"/>
      <c r="AM123" s="589"/>
      <c r="AN123" s="1397"/>
      <c r="AO123" s="1397"/>
      <c r="AP123" s="1397"/>
      <c r="AQ123" s="1397"/>
      <c r="AR123" s="1397"/>
      <c r="AS123" s="1397"/>
      <c r="AT123" s="1397"/>
      <c r="AU123" s="1397"/>
      <c r="AV123" s="1397"/>
      <c r="AW123" s="1397"/>
      <c r="AX123" s="1397"/>
      <c r="AY123" s="1397"/>
      <c r="AZ123" s="1397"/>
      <c r="BA123" s="1397"/>
      <c r="BB123" s="1397"/>
      <c r="BC123" s="1397"/>
      <c r="BD123" s="1397"/>
      <c r="BE123" s="1397"/>
      <c r="BF123" s="1397"/>
      <c r="BG123" s="1397"/>
      <c r="BH123" s="1397"/>
      <c r="BI123" s="1397"/>
      <c r="BJ123" s="1397"/>
      <c r="BK123" s="1397"/>
      <c r="BL123" s="1397"/>
      <c r="BM123" s="1397"/>
      <c r="BN123" s="1397"/>
    </row>
    <row r="124" spans="1:66" ht="13.5" hidden="1" outlineLevel="1" thickBot="1" x14ac:dyDescent="0.25">
      <c r="A124" s="589"/>
      <c r="B124" s="589"/>
      <c r="C124" s="589"/>
      <c r="D124" s="589"/>
      <c r="E124" s="589"/>
      <c r="F124" s="589"/>
      <c r="G124" s="2110" t="str">
        <f t="shared" si="7"/>
        <v/>
      </c>
      <c r="H124" s="589"/>
      <c r="I124" s="2095" t="str">
        <f t="shared" si="8"/>
        <v/>
      </c>
      <c r="K124" s="589"/>
      <c r="L124" s="589"/>
      <c r="M124" s="589"/>
      <c r="N124" s="589"/>
      <c r="O124" s="589"/>
      <c r="P124" s="589"/>
      <c r="Q124" s="589"/>
      <c r="R124" s="558" t="s">
        <v>2117</v>
      </c>
      <c r="S124" s="590"/>
      <c r="T124" s="591"/>
      <c r="U124" s="592"/>
      <c r="V124" s="605"/>
      <c r="W124" s="593"/>
      <c r="X124" s="594" t="s">
        <v>769</v>
      </c>
      <c r="Y124" s="595"/>
      <c r="Z124" s="605"/>
      <c r="AA124" s="596"/>
      <c r="AB124" s="597"/>
      <c r="AC124" s="594" t="s">
        <v>769</v>
      </c>
      <c r="AD124" s="595"/>
      <c r="AE124" s="589"/>
      <c r="AF124" s="589"/>
      <c r="AG124" s="589"/>
      <c r="AH124" s="589"/>
      <c r="AI124" s="589"/>
      <c r="AJ124" s="589"/>
      <c r="AK124" s="589"/>
      <c r="AL124" s="575"/>
      <c r="AM124" s="589"/>
      <c r="AN124" s="1397"/>
      <c r="AO124" s="1397"/>
      <c r="AP124" s="1397"/>
      <c r="AQ124" s="1397"/>
      <c r="AR124" s="1397"/>
      <c r="AS124" s="1397"/>
      <c r="AT124" s="1397"/>
      <c r="AU124" s="1397"/>
      <c r="AV124" s="1397"/>
      <c r="AW124" s="1397"/>
      <c r="AX124" s="1397"/>
      <c r="AY124" s="1397"/>
      <c r="AZ124" s="1397"/>
      <c r="BA124" s="1397"/>
      <c r="BB124" s="1397"/>
      <c r="BC124" s="1397"/>
      <c r="BD124" s="1397"/>
      <c r="BE124" s="1397"/>
      <c r="BF124" s="1397"/>
      <c r="BG124" s="1397"/>
      <c r="BH124" s="1397"/>
      <c r="BI124" s="1397"/>
      <c r="BJ124" s="1397"/>
      <c r="BK124" s="1397"/>
      <c r="BL124" s="1397"/>
      <c r="BM124" s="1397"/>
      <c r="BN124" s="1397"/>
    </row>
    <row r="125" spans="1:66" ht="13.5" hidden="1" outlineLevel="1" thickBot="1" x14ac:dyDescent="0.25">
      <c r="A125" s="589"/>
      <c r="B125" s="589"/>
      <c r="C125" s="589"/>
      <c r="D125" s="589"/>
      <c r="E125" s="589"/>
      <c r="F125" s="589"/>
      <c r="G125" s="2110" t="str">
        <f t="shared" si="7"/>
        <v/>
      </c>
      <c r="H125" s="589"/>
      <c r="I125" s="2095" t="str">
        <f t="shared" si="8"/>
        <v/>
      </c>
      <c r="K125" s="589"/>
      <c r="L125" s="589"/>
      <c r="M125" s="589"/>
      <c r="N125" s="589"/>
      <c r="O125" s="589"/>
      <c r="P125" s="589"/>
      <c r="Q125" s="589"/>
      <c r="R125" s="558" t="s">
        <v>2117</v>
      </c>
      <c r="S125" s="590"/>
      <c r="T125" s="591"/>
      <c r="U125" s="592"/>
      <c r="V125" s="605"/>
      <c r="W125" s="593"/>
      <c r="X125" s="594" t="s">
        <v>769</v>
      </c>
      <c r="Y125" s="595"/>
      <c r="Z125" s="605"/>
      <c r="AA125" s="596"/>
      <c r="AB125" s="597"/>
      <c r="AC125" s="594" t="s">
        <v>769</v>
      </c>
      <c r="AD125" s="595"/>
      <c r="AE125" s="589"/>
      <c r="AF125" s="589"/>
      <c r="AG125" s="589"/>
      <c r="AH125" s="589"/>
      <c r="AI125" s="589"/>
      <c r="AJ125" s="589"/>
      <c r="AK125" s="589"/>
      <c r="AL125" s="575"/>
      <c r="AM125" s="589"/>
      <c r="AN125" s="1397"/>
      <c r="AO125" s="1397"/>
      <c r="AP125" s="1397"/>
      <c r="AQ125" s="1397"/>
      <c r="AR125" s="1397"/>
      <c r="AS125" s="1397"/>
      <c r="AT125" s="1397"/>
      <c r="AU125" s="1397"/>
      <c r="AV125" s="1397"/>
      <c r="AW125" s="1397"/>
      <c r="AX125" s="1397"/>
      <c r="AY125" s="1397"/>
      <c r="AZ125" s="1397"/>
      <c r="BA125" s="1397"/>
      <c r="BB125" s="1397"/>
      <c r="BC125" s="1397"/>
      <c r="BD125" s="1397"/>
      <c r="BE125" s="1397"/>
      <c r="BF125" s="1397"/>
      <c r="BG125" s="1397"/>
      <c r="BH125" s="1397"/>
      <c r="BI125" s="1397"/>
      <c r="BJ125" s="1397"/>
      <c r="BK125" s="1397"/>
      <c r="BL125" s="1397"/>
      <c r="BM125" s="1397"/>
      <c r="BN125" s="1397"/>
    </row>
    <row r="126" spans="1:66" ht="13.5" hidden="1" outlineLevel="1" thickBot="1" x14ac:dyDescent="0.25">
      <c r="A126" s="589"/>
      <c r="B126" s="589"/>
      <c r="C126" s="589"/>
      <c r="D126" s="589"/>
      <c r="E126" s="589"/>
      <c r="F126" s="589"/>
      <c r="G126" s="2110" t="str">
        <f t="shared" si="7"/>
        <v/>
      </c>
      <c r="H126" s="589"/>
      <c r="I126" s="2095" t="str">
        <f t="shared" si="8"/>
        <v/>
      </c>
      <c r="K126" s="589"/>
      <c r="L126" s="589"/>
      <c r="M126" s="589"/>
      <c r="N126" s="589"/>
      <c r="O126" s="589"/>
      <c r="P126" s="589"/>
      <c r="Q126" s="589"/>
      <c r="R126" s="558" t="s">
        <v>2117</v>
      </c>
      <c r="S126" s="590"/>
      <c r="T126" s="591"/>
      <c r="U126" s="592"/>
      <c r="V126" s="605"/>
      <c r="W126" s="593"/>
      <c r="X126" s="594" t="s">
        <v>769</v>
      </c>
      <c r="Y126" s="595"/>
      <c r="Z126" s="605"/>
      <c r="AA126" s="596"/>
      <c r="AB126" s="597"/>
      <c r="AC126" s="594" t="s">
        <v>769</v>
      </c>
      <c r="AD126" s="595"/>
      <c r="AE126" s="589"/>
      <c r="AF126" s="589"/>
      <c r="AG126" s="589"/>
      <c r="AH126" s="589"/>
      <c r="AI126" s="589"/>
      <c r="AJ126" s="589"/>
      <c r="AK126" s="589"/>
      <c r="AL126" s="575"/>
      <c r="AM126" s="589"/>
      <c r="AN126" s="1397"/>
      <c r="AO126" s="1397"/>
      <c r="AP126" s="1397"/>
      <c r="AQ126" s="1397"/>
      <c r="AR126" s="1397"/>
      <c r="AS126" s="1397"/>
      <c r="AT126" s="1397"/>
      <c r="AU126" s="1397"/>
      <c r="AV126" s="1397"/>
      <c r="AW126" s="1397"/>
      <c r="AX126" s="1397"/>
      <c r="AY126" s="1397"/>
      <c r="AZ126" s="1397"/>
      <c r="BA126" s="1397"/>
      <c r="BB126" s="1397"/>
      <c r="BC126" s="1397"/>
      <c r="BD126" s="1397"/>
      <c r="BE126" s="1397"/>
      <c r="BF126" s="1397"/>
      <c r="BG126" s="1397"/>
      <c r="BH126" s="1397"/>
      <c r="BI126" s="1397"/>
      <c r="BJ126" s="1397"/>
      <c r="BK126" s="1397"/>
      <c r="BL126" s="1397"/>
      <c r="BM126" s="1397"/>
      <c r="BN126" s="1397"/>
    </row>
    <row r="127" spans="1:66" ht="13.5" hidden="1" outlineLevel="1" thickBot="1" x14ac:dyDescent="0.25">
      <c r="A127" s="589"/>
      <c r="B127" s="589"/>
      <c r="C127" s="589"/>
      <c r="D127" s="589"/>
      <c r="E127" s="589"/>
      <c r="F127" s="589"/>
      <c r="G127" s="2110" t="str">
        <f t="shared" si="7"/>
        <v/>
      </c>
      <c r="H127" s="589"/>
      <c r="I127" s="2095" t="str">
        <f t="shared" si="8"/>
        <v/>
      </c>
      <c r="K127" s="589"/>
      <c r="L127" s="589"/>
      <c r="M127" s="589"/>
      <c r="N127" s="589"/>
      <c r="O127" s="589"/>
      <c r="P127" s="589"/>
      <c r="Q127" s="589"/>
      <c r="R127" s="558" t="s">
        <v>2117</v>
      </c>
      <c r="S127" s="590"/>
      <c r="T127" s="591"/>
      <c r="U127" s="592"/>
      <c r="V127" s="605"/>
      <c r="W127" s="593"/>
      <c r="X127" s="594" t="s">
        <v>769</v>
      </c>
      <c r="Y127" s="595"/>
      <c r="Z127" s="605"/>
      <c r="AA127" s="596"/>
      <c r="AB127" s="597"/>
      <c r="AC127" s="594" t="s">
        <v>769</v>
      </c>
      <c r="AD127" s="595"/>
      <c r="AE127" s="589"/>
      <c r="AF127" s="589"/>
      <c r="AG127" s="589"/>
      <c r="AH127" s="589"/>
      <c r="AI127" s="589"/>
      <c r="AJ127" s="589"/>
      <c r="AK127" s="589"/>
      <c r="AL127" s="575"/>
      <c r="AM127" s="589"/>
      <c r="AN127" s="1397"/>
      <c r="AO127" s="1397"/>
      <c r="AP127" s="1397"/>
      <c r="AQ127" s="1397"/>
      <c r="AR127" s="1397"/>
      <c r="AS127" s="1397"/>
      <c r="AT127" s="1397"/>
      <c r="AU127" s="1397"/>
      <c r="AV127" s="1397"/>
      <c r="AW127" s="1397"/>
      <c r="AX127" s="1397"/>
      <c r="AY127" s="1397"/>
      <c r="AZ127" s="1397"/>
      <c r="BA127" s="1397"/>
      <c r="BB127" s="1397"/>
      <c r="BC127" s="1397"/>
      <c r="BD127" s="1397"/>
      <c r="BE127" s="1397"/>
      <c r="BF127" s="1397"/>
      <c r="BG127" s="1397"/>
      <c r="BH127" s="1397"/>
      <c r="BI127" s="1397"/>
      <c r="BJ127" s="1397"/>
      <c r="BK127" s="1397"/>
      <c r="BL127" s="1397"/>
      <c r="BM127" s="1397"/>
      <c r="BN127" s="1397"/>
    </row>
    <row r="128" spans="1:66" ht="13.5" hidden="1" outlineLevel="1" thickBot="1" x14ac:dyDescent="0.25">
      <c r="A128" s="589"/>
      <c r="B128" s="589"/>
      <c r="C128" s="589"/>
      <c r="D128" s="589"/>
      <c r="E128" s="589"/>
      <c r="F128" s="589"/>
      <c r="G128" s="2110" t="str">
        <f t="shared" si="7"/>
        <v/>
      </c>
      <c r="H128" s="589"/>
      <c r="I128" s="2095" t="str">
        <f t="shared" si="8"/>
        <v/>
      </c>
      <c r="K128" s="589"/>
      <c r="L128" s="589"/>
      <c r="M128" s="589"/>
      <c r="N128" s="589"/>
      <c r="O128" s="589"/>
      <c r="P128" s="589"/>
      <c r="Q128" s="589"/>
      <c r="R128" s="558" t="s">
        <v>2117</v>
      </c>
      <c r="S128" s="590"/>
      <c r="T128" s="591"/>
      <c r="U128" s="592"/>
      <c r="V128" s="605"/>
      <c r="W128" s="593"/>
      <c r="X128" s="594" t="s">
        <v>769</v>
      </c>
      <c r="Y128" s="595"/>
      <c r="Z128" s="605"/>
      <c r="AA128" s="596"/>
      <c r="AB128" s="597"/>
      <c r="AC128" s="594" t="s">
        <v>769</v>
      </c>
      <c r="AD128" s="595"/>
      <c r="AE128" s="589"/>
      <c r="AF128" s="589"/>
      <c r="AG128" s="589"/>
      <c r="AH128" s="589"/>
      <c r="AI128" s="589"/>
      <c r="AJ128" s="589"/>
      <c r="AK128" s="589"/>
      <c r="AL128" s="575"/>
      <c r="AM128" s="589"/>
      <c r="AN128" s="1397"/>
      <c r="AO128" s="1397"/>
      <c r="AP128" s="1397"/>
      <c r="AQ128" s="1397"/>
      <c r="AR128" s="1397"/>
      <c r="AS128" s="1397"/>
      <c r="AT128" s="1397"/>
      <c r="AU128" s="1397"/>
      <c r="AV128" s="1397"/>
      <c r="AW128" s="1397"/>
      <c r="AX128" s="1397"/>
      <c r="AY128" s="1397"/>
      <c r="AZ128" s="1397"/>
      <c r="BA128" s="1397"/>
      <c r="BB128" s="1397"/>
      <c r="BC128" s="1397"/>
      <c r="BD128" s="1397"/>
      <c r="BE128" s="1397"/>
      <c r="BF128" s="1397"/>
      <c r="BG128" s="1397"/>
      <c r="BH128" s="1397"/>
      <c r="BI128" s="1397"/>
      <c r="BJ128" s="1397"/>
      <c r="BK128" s="1397"/>
      <c r="BL128" s="1397"/>
      <c r="BM128" s="1397"/>
      <c r="BN128" s="1397"/>
    </row>
    <row r="129" spans="1:66" ht="13.5" hidden="1" outlineLevel="1" thickBot="1" x14ac:dyDescent="0.25">
      <c r="A129" s="589"/>
      <c r="B129" s="589"/>
      <c r="C129" s="589"/>
      <c r="D129" s="589"/>
      <c r="E129" s="589"/>
      <c r="F129" s="589"/>
      <c r="G129" s="2110" t="str">
        <f t="shared" si="7"/>
        <v/>
      </c>
      <c r="H129" s="589"/>
      <c r="I129" s="2095" t="str">
        <f t="shared" si="8"/>
        <v/>
      </c>
      <c r="K129" s="589"/>
      <c r="L129" s="589"/>
      <c r="M129" s="589"/>
      <c r="N129" s="589"/>
      <c r="O129" s="589"/>
      <c r="P129" s="589"/>
      <c r="Q129" s="589"/>
      <c r="R129" s="558" t="s">
        <v>2117</v>
      </c>
      <c r="S129" s="590"/>
      <c r="T129" s="591"/>
      <c r="U129" s="592"/>
      <c r="V129" s="605"/>
      <c r="W129" s="593"/>
      <c r="X129" s="594" t="s">
        <v>769</v>
      </c>
      <c r="Y129" s="595"/>
      <c r="Z129" s="605"/>
      <c r="AA129" s="596"/>
      <c r="AB129" s="597"/>
      <c r="AC129" s="594" t="s">
        <v>769</v>
      </c>
      <c r="AD129" s="595"/>
      <c r="AE129" s="589"/>
      <c r="AF129" s="589"/>
      <c r="AG129" s="589"/>
      <c r="AH129" s="589"/>
      <c r="AI129" s="589"/>
      <c r="AJ129" s="589"/>
      <c r="AK129" s="589"/>
      <c r="AL129" s="575"/>
      <c r="AM129" s="589"/>
      <c r="AN129" s="1397"/>
      <c r="AO129" s="1397"/>
      <c r="AP129" s="1397"/>
      <c r="AQ129" s="1397"/>
      <c r="AR129" s="1397"/>
      <c r="AS129" s="1397"/>
      <c r="AT129" s="1397"/>
      <c r="AU129" s="1397"/>
      <c r="AV129" s="1397"/>
      <c r="AW129" s="1397"/>
      <c r="AX129" s="1397"/>
      <c r="AY129" s="1397"/>
      <c r="AZ129" s="1397"/>
      <c r="BA129" s="1397"/>
      <c r="BB129" s="1397"/>
      <c r="BC129" s="1397"/>
      <c r="BD129" s="1397"/>
      <c r="BE129" s="1397"/>
      <c r="BF129" s="1397"/>
      <c r="BG129" s="1397"/>
      <c r="BH129" s="1397"/>
      <c r="BI129" s="1397"/>
      <c r="BJ129" s="1397"/>
      <c r="BK129" s="1397"/>
      <c r="BL129" s="1397"/>
      <c r="BM129" s="1397"/>
      <c r="BN129" s="1397"/>
    </row>
    <row r="130" spans="1:66" ht="13.5" hidden="1" outlineLevel="1" thickBot="1" x14ac:dyDescent="0.25">
      <c r="A130" s="589"/>
      <c r="B130" s="589"/>
      <c r="C130" s="589"/>
      <c r="D130" s="589"/>
      <c r="E130" s="589"/>
      <c r="F130" s="589"/>
      <c r="G130" s="2110" t="str">
        <f t="shared" si="7"/>
        <v/>
      </c>
      <c r="H130" s="589"/>
      <c r="I130" s="2095" t="str">
        <f t="shared" si="8"/>
        <v/>
      </c>
      <c r="K130" s="589"/>
      <c r="L130" s="589"/>
      <c r="M130" s="589"/>
      <c r="N130" s="589"/>
      <c r="O130" s="589"/>
      <c r="P130" s="589"/>
      <c r="Q130" s="589"/>
      <c r="R130" s="558" t="s">
        <v>2117</v>
      </c>
      <c r="S130" s="590"/>
      <c r="T130" s="591"/>
      <c r="U130" s="592"/>
      <c r="V130" s="605"/>
      <c r="W130" s="593"/>
      <c r="X130" s="594" t="s">
        <v>769</v>
      </c>
      <c r="Y130" s="595"/>
      <c r="Z130" s="605"/>
      <c r="AA130" s="596"/>
      <c r="AB130" s="597"/>
      <c r="AC130" s="594" t="s">
        <v>769</v>
      </c>
      <c r="AD130" s="595"/>
      <c r="AE130" s="589"/>
      <c r="AF130" s="589"/>
      <c r="AG130" s="589"/>
      <c r="AH130" s="589"/>
      <c r="AI130" s="589"/>
      <c r="AJ130" s="589"/>
      <c r="AK130" s="589"/>
      <c r="AL130" s="575"/>
      <c r="AM130" s="589"/>
      <c r="AN130" s="1397"/>
      <c r="AO130" s="1397"/>
      <c r="AP130" s="1397"/>
      <c r="AQ130" s="1397"/>
      <c r="AR130" s="1397"/>
      <c r="AS130" s="1397"/>
      <c r="AT130" s="1397"/>
      <c r="AU130" s="1397"/>
      <c r="AV130" s="1397"/>
      <c r="AW130" s="1397"/>
      <c r="AX130" s="1397"/>
      <c r="AY130" s="1397"/>
      <c r="AZ130" s="1397"/>
      <c r="BA130" s="1397"/>
      <c r="BB130" s="1397"/>
      <c r="BC130" s="1397"/>
      <c r="BD130" s="1397"/>
      <c r="BE130" s="1397"/>
      <c r="BF130" s="1397"/>
      <c r="BG130" s="1397"/>
      <c r="BH130" s="1397"/>
      <c r="BI130" s="1397"/>
      <c r="BJ130" s="1397"/>
      <c r="BK130" s="1397"/>
      <c r="BL130" s="1397"/>
      <c r="BM130" s="1397"/>
      <c r="BN130" s="1397"/>
    </row>
    <row r="131" spans="1:66" ht="13.5" hidden="1" outlineLevel="1" thickBot="1" x14ac:dyDescent="0.25">
      <c r="A131" s="589"/>
      <c r="B131" s="589"/>
      <c r="C131" s="589"/>
      <c r="D131" s="589"/>
      <c r="E131" s="589"/>
      <c r="F131" s="589"/>
      <c r="G131" s="2110" t="str">
        <f t="shared" si="7"/>
        <v/>
      </c>
      <c r="H131" s="589"/>
      <c r="I131" s="2095" t="str">
        <f t="shared" si="8"/>
        <v/>
      </c>
      <c r="K131" s="589"/>
      <c r="L131" s="589"/>
      <c r="M131" s="589"/>
      <c r="N131" s="589"/>
      <c r="O131" s="589"/>
      <c r="P131" s="589"/>
      <c r="Q131" s="589"/>
      <c r="R131" s="558" t="s">
        <v>2117</v>
      </c>
      <c r="S131" s="590"/>
      <c r="T131" s="591"/>
      <c r="U131" s="592"/>
      <c r="V131" s="605"/>
      <c r="W131" s="593"/>
      <c r="X131" s="594" t="s">
        <v>769</v>
      </c>
      <c r="Y131" s="595"/>
      <c r="Z131" s="605"/>
      <c r="AA131" s="596"/>
      <c r="AB131" s="597"/>
      <c r="AC131" s="594" t="s">
        <v>769</v>
      </c>
      <c r="AD131" s="595"/>
      <c r="AE131" s="589"/>
      <c r="AF131" s="589"/>
      <c r="AG131" s="589"/>
      <c r="AH131" s="589"/>
      <c r="AI131" s="589"/>
      <c r="AJ131" s="589"/>
      <c r="AK131" s="589"/>
      <c r="AL131" s="575"/>
      <c r="AM131" s="589"/>
      <c r="AN131" s="1397"/>
      <c r="AO131" s="1397"/>
      <c r="AP131" s="1397"/>
      <c r="AQ131" s="1397"/>
      <c r="AR131" s="1397"/>
      <c r="AS131" s="1397"/>
      <c r="AT131" s="1397"/>
      <c r="AU131" s="1397"/>
      <c r="AV131" s="1397"/>
      <c r="AW131" s="1397"/>
      <c r="AX131" s="1397"/>
      <c r="AY131" s="1397"/>
      <c r="AZ131" s="1397"/>
      <c r="BA131" s="1397"/>
      <c r="BB131" s="1397"/>
      <c r="BC131" s="1397"/>
      <c r="BD131" s="1397"/>
      <c r="BE131" s="1397"/>
      <c r="BF131" s="1397"/>
      <c r="BG131" s="1397"/>
      <c r="BH131" s="1397"/>
      <c r="BI131" s="1397"/>
      <c r="BJ131" s="1397"/>
      <c r="BK131" s="1397"/>
      <c r="BL131" s="1397"/>
      <c r="BM131" s="1397"/>
      <c r="BN131" s="1397"/>
    </row>
    <row r="132" spans="1:66" ht="13.5" hidden="1" outlineLevel="1" thickBot="1" x14ac:dyDescent="0.25">
      <c r="A132" s="589"/>
      <c r="B132" s="589"/>
      <c r="C132" s="589"/>
      <c r="D132" s="589"/>
      <c r="E132" s="589"/>
      <c r="F132" s="589"/>
      <c r="G132" s="2110" t="str">
        <f t="shared" si="7"/>
        <v/>
      </c>
      <c r="H132" s="589"/>
      <c r="I132" s="2095" t="str">
        <f t="shared" si="8"/>
        <v/>
      </c>
      <c r="K132" s="589"/>
      <c r="L132" s="589"/>
      <c r="M132" s="589"/>
      <c r="N132" s="589"/>
      <c r="O132" s="589"/>
      <c r="P132" s="589"/>
      <c r="Q132" s="589"/>
      <c r="R132" s="558" t="s">
        <v>2117</v>
      </c>
      <c r="S132" s="590"/>
      <c r="T132" s="591"/>
      <c r="U132" s="592"/>
      <c r="V132" s="605"/>
      <c r="W132" s="593"/>
      <c r="X132" s="594" t="s">
        <v>769</v>
      </c>
      <c r="Y132" s="595"/>
      <c r="Z132" s="605"/>
      <c r="AA132" s="596"/>
      <c r="AB132" s="597"/>
      <c r="AC132" s="594" t="s">
        <v>769</v>
      </c>
      <c r="AD132" s="595"/>
      <c r="AE132" s="589"/>
      <c r="AF132" s="589"/>
      <c r="AG132" s="589"/>
      <c r="AH132" s="589"/>
      <c r="AI132" s="589"/>
      <c r="AJ132" s="589"/>
      <c r="AK132" s="589"/>
      <c r="AL132" s="575"/>
      <c r="AM132" s="589"/>
      <c r="AN132" s="1397"/>
      <c r="AO132" s="1397"/>
      <c r="AP132" s="1397"/>
      <c r="AQ132" s="1397"/>
      <c r="AR132" s="1397"/>
      <c r="AS132" s="1397"/>
      <c r="AT132" s="1397"/>
      <c r="AU132" s="1397"/>
      <c r="AV132" s="1397"/>
      <c r="AW132" s="1397"/>
      <c r="AX132" s="1397"/>
      <c r="AY132" s="1397"/>
      <c r="AZ132" s="1397"/>
      <c r="BA132" s="1397"/>
      <c r="BB132" s="1397"/>
      <c r="BC132" s="1397"/>
      <c r="BD132" s="1397"/>
      <c r="BE132" s="1397"/>
      <c r="BF132" s="1397"/>
      <c r="BG132" s="1397"/>
      <c r="BH132" s="1397"/>
      <c r="BI132" s="1397"/>
      <c r="BJ132" s="1397"/>
      <c r="BK132" s="1397"/>
      <c r="BL132" s="1397"/>
      <c r="BM132" s="1397"/>
      <c r="BN132" s="1397"/>
    </row>
    <row r="133" spans="1:66" ht="13.5" hidden="1" outlineLevel="1" thickBot="1" x14ac:dyDescent="0.25">
      <c r="A133" s="589"/>
      <c r="B133" s="589"/>
      <c r="C133" s="589"/>
      <c r="D133" s="589"/>
      <c r="E133" s="589"/>
      <c r="F133" s="589"/>
      <c r="G133" s="2110" t="str">
        <f t="shared" si="7"/>
        <v/>
      </c>
      <c r="H133" s="589"/>
      <c r="I133" s="2095" t="str">
        <f t="shared" si="8"/>
        <v/>
      </c>
      <c r="K133" s="589"/>
      <c r="L133" s="589"/>
      <c r="M133" s="589"/>
      <c r="N133" s="589"/>
      <c r="O133" s="589"/>
      <c r="P133" s="589"/>
      <c r="Q133" s="589"/>
      <c r="R133" s="558" t="s">
        <v>2117</v>
      </c>
      <c r="S133" s="590"/>
      <c r="T133" s="591"/>
      <c r="U133" s="592"/>
      <c r="V133" s="605"/>
      <c r="W133" s="593"/>
      <c r="X133" s="594" t="s">
        <v>769</v>
      </c>
      <c r="Y133" s="595"/>
      <c r="Z133" s="605"/>
      <c r="AA133" s="596"/>
      <c r="AB133" s="597"/>
      <c r="AC133" s="594" t="s">
        <v>769</v>
      </c>
      <c r="AD133" s="595"/>
      <c r="AE133" s="589"/>
      <c r="AF133" s="589"/>
      <c r="AG133" s="589"/>
      <c r="AH133" s="589"/>
      <c r="AI133" s="589"/>
      <c r="AJ133" s="589"/>
      <c r="AK133" s="589"/>
      <c r="AL133" s="575"/>
      <c r="AM133" s="589"/>
      <c r="AN133" s="1397"/>
      <c r="AO133" s="1397"/>
      <c r="AP133" s="1397"/>
      <c r="AQ133" s="1397"/>
      <c r="AR133" s="1397"/>
      <c r="AS133" s="1397"/>
      <c r="AT133" s="1397"/>
      <c r="AU133" s="1397"/>
      <c r="AV133" s="1397"/>
      <c r="AW133" s="1397"/>
      <c r="AX133" s="1397"/>
      <c r="AY133" s="1397"/>
      <c r="AZ133" s="1397"/>
      <c r="BA133" s="1397"/>
      <c r="BB133" s="1397"/>
      <c r="BC133" s="1397"/>
      <c r="BD133" s="1397"/>
      <c r="BE133" s="1397"/>
      <c r="BF133" s="1397"/>
      <c r="BG133" s="1397"/>
      <c r="BH133" s="1397"/>
      <c r="BI133" s="1397"/>
      <c r="BJ133" s="1397"/>
      <c r="BK133" s="1397"/>
      <c r="BL133" s="1397"/>
      <c r="BM133" s="1397"/>
      <c r="BN133" s="1397"/>
    </row>
    <row r="134" spans="1:66" ht="13.5" hidden="1" outlineLevel="1" thickBot="1" x14ac:dyDescent="0.25">
      <c r="A134" s="589"/>
      <c r="B134" s="589"/>
      <c r="C134" s="589"/>
      <c r="D134" s="589"/>
      <c r="E134" s="589"/>
      <c r="F134" s="589"/>
      <c r="G134" s="2110" t="str">
        <f t="shared" si="7"/>
        <v/>
      </c>
      <c r="H134" s="589"/>
      <c r="I134" s="2095" t="str">
        <f t="shared" si="8"/>
        <v/>
      </c>
      <c r="K134" s="589"/>
      <c r="L134" s="589"/>
      <c r="M134" s="589"/>
      <c r="N134" s="589"/>
      <c r="O134" s="589"/>
      <c r="P134" s="589"/>
      <c r="Q134" s="589"/>
      <c r="R134" s="558" t="s">
        <v>2117</v>
      </c>
      <c r="S134" s="590"/>
      <c r="T134" s="591"/>
      <c r="U134" s="592"/>
      <c r="V134" s="605"/>
      <c r="W134" s="593"/>
      <c r="X134" s="594" t="s">
        <v>769</v>
      </c>
      <c r="Y134" s="595"/>
      <c r="Z134" s="605"/>
      <c r="AA134" s="596"/>
      <c r="AB134" s="597"/>
      <c r="AC134" s="594" t="s">
        <v>769</v>
      </c>
      <c r="AD134" s="595"/>
      <c r="AE134" s="589"/>
      <c r="AF134" s="589"/>
      <c r="AG134" s="589"/>
      <c r="AH134" s="589"/>
      <c r="AI134" s="589"/>
      <c r="AJ134" s="589"/>
      <c r="AK134" s="589"/>
      <c r="AL134" s="575"/>
      <c r="AM134" s="589"/>
      <c r="AN134" s="1397"/>
      <c r="AO134" s="1397"/>
      <c r="AP134" s="1397"/>
      <c r="AQ134" s="1397"/>
      <c r="AR134" s="1397"/>
      <c r="AS134" s="1397"/>
      <c r="AT134" s="1397"/>
      <c r="AU134" s="1397"/>
      <c r="AV134" s="1397"/>
      <c r="AW134" s="1397"/>
      <c r="AX134" s="1397"/>
      <c r="AY134" s="1397"/>
      <c r="AZ134" s="1397"/>
      <c r="BA134" s="1397"/>
      <c r="BB134" s="1397"/>
      <c r="BC134" s="1397"/>
      <c r="BD134" s="1397"/>
      <c r="BE134" s="1397"/>
      <c r="BF134" s="1397"/>
      <c r="BG134" s="1397"/>
      <c r="BH134" s="1397"/>
      <c r="BI134" s="1397"/>
      <c r="BJ134" s="1397"/>
      <c r="BK134" s="1397"/>
      <c r="BL134" s="1397"/>
      <c r="BM134" s="1397"/>
      <c r="BN134" s="1397"/>
    </row>
    <row r="135" spans="1:66" ht="13.5" hidden="1" outlineLevel="1" thickBot="1" x14ac:dyDescent="0.25">
      <c r="A135" s="589"/>
      <c r="B135" s="589"/>
      <c r="C135" s="589"/>
      <c r="D135" s="589"/>
      <c r="E135" s="589"/>
      <c r="F135" s="589"/>
      <c r="G135" s="2110" t="str">
        <f t="shared" si="7"/>
        <v/>
      </c>
      <c r="H135" s="589"/>
      <c r="I135" s="2095" t="str">
        <f t="shared" si="8"/>
        <v/>
      </c>
      <c r="K135" s="589"/>
      <c r="L135" s="589"/>
      <c r="M135" s="589"/>
      <c r="N135" s="589"/>
      <c r="O135" s="589"/>
      <c r="P135" s="589"/>
      <c r="Q135" s="589"/>
      <c r="R135" s="558" t="s">
        <v>2117</v>
      </c>
      <c r="S135" s="590"/>
      <c r="T135" s="591"/>
      <c r="U135" s="592"/>
      <c r="V135" s="605"/>
      <c r="W135" s="593"/>
      <c r="X135" s="594" t="s">
        <v>769</v>
      </c>
      <c r="Y135" s="595"/>
      <c r="Z135" s="605"/>
      <c r="AA135" s="596"/>
      <c r="AB135" s="597"/>
      <c r="AC135" s="594" t="s">
        <v>769</v>
      </c>
      <c r="AD135" s="595"/>
      <c r="AE135" s="589"/>
      <c r="AF135" s="589"/>
      <c r="AG135" s="589"/>
      <c r="AH135" s="589"/>
      <c r="AI135" s="589"/>
      <c r="AJ135" s="589"/>
      <c r="AK135" s="589"/>
      <c r="AL135" s="575"/>
      <c r="AM135" s="589"/>
      <c r="AN135" s="1397"/>
      <c r="AO135" s="1397"/>
      <c r="AP135" s="1397"/>
      <c r="AQ135" s="1397"/>
      <c r="AR135" s="1397"/>
      <c r="AS135" s="1397"/>
      <c r="AT135" s="1397"/>
      <c r="AU135" s="1397"/>
      <c r="AV135" s="1397"/>
      <c r="AW135" s="1397"/>
      <c r="AX135" s="1397"/>
      <c r="AY135" s="1397"/>
      <c r="AZ135" s="1397"/>
      <c r="BA135" s="1397"/>
      <c r="BB135" s="1397"/>
      <c r="BC135" s="1397"/>
      <c r="BD135" s="1397"/>
      <c r="BE135" s="1397"/>
      <c r="BF135" s="1397"/>
      <c r="BG135" s="1397"/>
      <c r="BH135" s="1397"/>
      <c r="BI135" s="1397"/>
      <c r="BJ135" s="1397"/>
      <c r="BK135" s="1397"/>
      <c r="BL135" s="1397"/>
      <c r="BM135" s="1397"/>
      <c r="BN135" s="1397"/>
    </row>
    <row r="136" spans="1:66" ht="13.5" hidden="1" outlineLevel="1" thickBot="1" x14ac:dyDescent="0.25">
      <c r="A136" s="589"/>
      <c r="B136" s="589"/>
      <c r="C136" s="589"/>
      <c r="D136" s="589"/>
      <c r="E136" s="589"/>
      <c r="F136" s="589"/>
      <c r="G136" s="2110" t="str">
        <f t="shared" si="7"/>
        <v/>
      </c>
      <c r="H136" s="589"/>
      <c r="I136" s="2095" t="str">
        <f t="shared" si="8"/>
        <v/>
      </c>
      <c r="K136" s="589"/>
      <c r="L136" s="589"/>
      <c r="M136" s="589"/>
      <c r="N136" s="589"/>
      <c r="O136" s="589"/>
      <c r="P136" s="589"/>
      <c r="Q136" s="589"/>
      <c r="R136" s="558" t="s">
        <v>2117</v>
      </c>
      <c r="S136" s="590"/>
      <c r="T136" s="591"/>
      <c r="U136" s="592"/>
      <c r="V136" s="605"/>
      <c r="W136" s="593"/>
      <c r="X136" s="594" t="s">
        <v>769</v>
      </c>
      <c r="Y136" s="595"/>
      <c r="Z136" s="605"/>
      <c r="AA136" s="596"/>
      <c r="AB136" s="597"/>
      <c r="AC136" s="594" t="s">
        <v>769</v>
      </c>
      <c r="AD136" s="595"/>
      <c r="AE136" s="589"/>
      <c r="AF136" s="589"/>
      <c r="AG136" s="589"/>
      <c r="AH136" s="589"/>
      <c r="AI136" s="589"/>
      <c r="AJ136" s="589"/>
      <c r="AK136" s="589"/>
      <c r="AL136" s="575"/>
      <c r="AM136" s="589"/>
      <c r="AN136" s="1397"/>
      <c r="AO136" s="1397"/>
      <c r="AP136" s="1397"/>
      <c r="AQ136" s="1397"/>
      <c r="AR136" s="1397"/>
      <c r="AS136" s="1397"/>
      <c r="AT136" s="1397"/>
      <c r="AU136" s="1397"/>
      <c r="AV136" s="1397"/>
      <c r="AW136" s="1397"/>
      <c r="AX136" s="1397"/>
      <c r="AY136" s="1397"/>
      <c r="AZ136" s="1397"/>
      <c r="BA136" s="1397"/>
      <c r="BB136" s="1397"/>
      <c r="BC136" s="1397"/>
      <c r="BD136" s="1397"/>
      <c r="BE136" s="1397"/>
      <c r="BF136" s="1397"/>
      <c r="BG136" s="1397"/>
      <c r="BH136" s="1397"/>
      <c r="BI136" s="1397"/>
      <c r="BJ136" s="1397"/>
      <c r="BK136" s="1397"/>
      <c r="BL136" s="1397"/>
      <c r="BM136" s="1397"/>
      <c r="BN136" s="1397"/>
    </row>
    <row r="137" spans="1:66" ht="13.5" hidden="1" outlineLevel="1" thickBot="1" x14ac:dyDescent="0.25">
      <c r="A137" s="589"/>
      <c r="B137" s="589"/>
      <c r="C137" s="589"/>
      <c r="D137" s="589"/>
      <c r="E137" s="589"/>
      <c r="F137" s="589"/>
      <c r="G137" s="2110" t="str">
        <f t="shared" si="7"/>
        <v/>
      </c>
      <c r="H137" s="589"/>
      <c r="I137" s="2095" t="str">
        <f t="shared" si="8"/>
        <v/>
      </c>
      <c r="K137" s="589"/>
      <c r="L137" s="589"/>
      <c r="M137" s="589"/>
      <c r="N137" s="589"/>
      <c r="O137" s="589"/>
      <c r="P137" s="589"/>
      <c r="Q137" s="589"/>
      <c r="R137" s="558" t="s">
        <v>2117</v>
      </c>
      <c r="S137" s="590"/>
      <c r="T137" s="591"/>
      <c r="U137" s="592"/>
      <c r="V137" s="605"/>
      <c r="W137" s="593"/>
      <c r="X137" s="594" t="s">
        <v>769</v>
      </c>
      <c r="Y137" s="595"/>
      <c r="Z137" s="605"/>
      <c r="AA137" s="596"/>
      <c r="AB137" s="597"/>
      <c r="AC137" s="594" t="s">
        <v>769</v>
      </c>
      <c r="AD137" s="595"/>
      <c r="AE137" s="589"/>
      <c r="AF137" s="589"/>
      <c r="AG137" s="589"/>
      <c r="AH137" s="589"/>
      <c r="AI137" s="589"/>
      <c r="AJ137" s="589"/>
      <c r="AK137" s="589"/>
      <c r="AL137" s="575"/>
      <c r="AM137" s="589"/>
      <c r="AN137" s="1397"/>
      <c r="AO137" s="1397"/>
      <c r="AP137" s="1397"/>
      <c r="AQ137" s="1397"/>
      <c r="AR137" s="1397"/>
      <c r="AS137" s="1397"/>
      <c r="AT137" s="1397"/>
      <c r="AU137" s="1397"/>
      <c r="AV137" s="1397"/>
      <c r="AW137" s="1397"/>
      <c r="AX137" s="1397"/>
      <c r="AY137" s="1397"/>
      <c r="AZ137" s="1397"/>
      <c r="BA137" s="1397"/>
      <c r="BB137" s="1397"/>
      <c r="BC137" s="1397"/>
      <c r="BD137" s="1397"/>
      <c r="BE137" s="1397"/>
      <c r="BF137" s="1397"/>
      <c r="BG137" s="1397"/>
      <c r="BH137" s="1397"/>
      <c r="BI137" s="1397"/>
      <c r="BJ137" s="1397"/>
      <c r="BK137" s="1397"/>
      <c r="BL137" s="1397"/>
      <c r="BM137" s="1397"/>
      <c r="BN137" s="1397"/>
    </row>
    <row r="138" spans="1:66" ht="13.5" hidden="1" outlineLevel="1" thickBot="1" x14ac:dyDescent="0.25">
      <c r="A138" s="589"/>
      <c r="B138" s="589"/>
      <c r="C138" s="589"/>
      <c r="D138" s="589"/>
      <c r="E138" s="589"/>
      <c r="F138" s="589"/>
      <c r="G138" s="2110" t="str">
        <f t="shared" si="7"/>
        <v/>
      </c>
      <c r="H138" s="589"/>
      <c r="I138" s="2095" t="str">
        <f t="shared" si="8"/>
        <v/>
      </c>
      <c r="K138" s="589"/>
      <c r="L138" s="589"/>
      <c r="M138" s="589"/>
      <c r="N138" s="589"/>
      <c r="O138" s="589"/>
      <c r="P138" s="589"/>
      <c r="Q138" s="589"/>
      <c r="R138" s="558" t="s">
        <v>2117</v>
      </c>
      <c r="S138" s="590"/>
      <c r="T138" s="591"/>
      <c r="U138" s="592"/>
      <c r="V138" s="605"/>
      <c r="W138" s="593"/>
      <c r="X138" s="594" t="s">
        <v>769</v>
      </c>
      <c r="Y138" s="595"/>
      <c r="Z138" s="605"/>
      <c r="AA138" s="596"/>
      <c r="AB138" s="597"/>
      <c r="AC138" s="594" t="s">
        <v>769</v>
      </c>
      <c r="AD138" s="595"/>
      <c r="AE138" s="589"/>
      <c r="AF138" s="589"/>
      <c r="AG138" s="589"/>
      <c r="AH138" s="589"/>
      <c r="AI138" s="589"/>
      <c r="AJ138" s="589"/>
      <c r="AK138" s="589"/>
      <c r="AL138" s="575"/>
      <c r="AM138" s="589"/>
      <c r="AN138" s="1397"/>
      <c r="AO138" s="1397"/>
      <c r="AP138" s="1397"/>
      <c r="AQ138" s="1397"/>
      <c r="AR138" s="1397"/>
      <c r="AS138" s="1397"/>
      <c r="AT138" s="1397"/>
      <c r="AU138" s="1397"/>
      <c r="AV138" s="1397"/>
      <c r="AW138" s="1397"/>
      <c r="AX138" s="1397"/>
      <c r="AY138" s="1397"/>
      <c r="AZ138" s="1397"/>
      <c r="BA138" s="1397"/>
      <c r="BB138" s="1397"/>
      <c r="BC138" s="1397"/>
      <c r="BD138" s="1397"/>
      <c r="BE138" s="1397"/>
      <c r="BF138" s="1397"/>
      <c r="BG138" s="1397"/>
      <c r="BH138" s="1397"/>
      <c r="BI138" s="1397"/>
      <c r="BJ138" s="1397"/>
      <c r="BK138" s="1397"/>
      <c r="BL138" s="1397"/>
      <c r="BM138" s="1397"/>
      <c r="BN138" s="1397"/>
    </row>
    <row r="139" spans="1:66" ht="13.5" hidden="1" outlineLevel="1" thickBot="1" x14ac:dyDescent="0.25">
      <c r="A139" s="589"/>
      <c r="B139" s="589"/>
      <c r="C139" s="589"/>
      <c r="D139" s="589"/>
      <c r="E139" s="589"/>
      <c r="F139" s="589"/>
      <c r="G139" s="2110" t="str">
        <f t="shared" si="7"/>
        <v/>
      </c>
      <c r="H139" s="589"/>
      <c r="I139" s="2095" t="str">
        <f t="shared" ref="I139:I170" si="9">IF(G139="","",IF(G139=V139,Z139,V139))</f>
        <v/>
      </c>
      <c r="K139" s="589"/>
      <c r="L139" s="589"/>
      <c r="M139" s="589"/>
      <c r="N139" s="589"/>
      <c r="O139" s="589"/>
      <c r="P139" s="589"/>
      <c r="Q139" s="589"/>
      <c r="R139" s="558" t="s">
        <v>2117</v>
      </c>
      <c r="S139" s="590"/>
      <c r="T139" s="591"/>
      <c r="U139" s="592"/>
      <c r="V139" s="605"/>
      <c r="W139" s="593"/>
      <c r="X139" s="594" t="s">
        <v>769</v>
      </c>
      <c r="Y139" s="595"/>
      <c r="Z139" s="605"/>
      <c r="AA139" s="596"/>
      <c r="AB139" s="597"/>
      <c r="AC139" s="594" t="s">
        <v>769</v>
      </c>
      <c r="AD139" s="595"/>
      <c r="AE139" s="589"/>
      <c r="AF139" s="589"/>
      <c r="AG139" s="589"/>
      <c r="AH139" s="589"/>
      <c r="AI139" s="589"/>
      <c r="AJ139" s="589"/>
      <c r="AK139" s="589"/>
      <c r="AL139" s="575"/>
      <c r="AM139" s="589"/>
      <c r="AN139" s="1397"/>
      <c r="AO139" s="1397"/>
      <c r="AP139" s="1397"/>
      <c r="AQ139" s="1397"/>
      <c r="AR139" s="1397"/>
      <c r="AS139" s="1397"/>
      <c r="AT139" s="1397"/>
      <c r="AU139" s="1397"/>
      <c r="AV139" s="1397"/>
      <c r="AW139" s="1397"/>
      <c r="AX139" s="1397"/>
      <c r="AY139" s="1397"/>
      <c r="AZ139" s="1397"/>
      <c r="BA139" s="1397"/>
      <c r="BB139" s="1397"/>
      <c r="BC139" s="1397"/>
      <c r="BD139" s="1397"/>
      <c r="BE139" s="1397"/>
      <c r="BF139" s="1397"/>
      <c r="BG139" s="1397"/>
      <c r="BH139" s="1397"/>
      <c r="BI139" s="1397"/>
      <c r="BJ139" s="1397"/>
      <c r="BK139" s="1397"/>
      <c r="BL139" s="1397"/>
      <c r="BM139" s="1397"/>
      <c r="BN139" s="1397"/>
    </row>
    <row r="140" spans="1:66" ht="13.5" hidden="1" outlineLevel="1" thickBot="1" x14ac:dyDescent="0.25">
      <c r="A140" s="589"/>
      <c r="B140" s="589"/>
      <c r="C140" s="589"/>
      <c r="D140" s="589"/>
      <c r="E140" s="589"/>
      <c r="F140" s="589"/>
      <c r="G140" s="2110" t="str">
        <f t="shared" si="7"/>
        <v/>
      </c>
      <c r="H140" s="589"/>
      <c r="I140" s="2095" t="str">
        <f t="shared" si="9"/>
        <v/>
      </c>
      <c r="K140" s="589"/>
      <c r="L140" s="589"/>
      <c r="M140" s="589"/>
      <c r="N140" s="589"/>
      <c r="O140" s="589"/>
      <c r="P140" s="589"/>
      <c r="Q140" s="589"/>
      <c r="R140" s="558" t="s">
        <v>2117</v>
      </c>
      <c r="S140" s="590"/>
      <c r="T140" s="591"/>
      <c r="U140" s="592"/>
      <c r="V140" s="605"/>
      <c r="W140" s="593"/>
      <c r="X140" s="594" t="s">
        <v>769</v>
      </c>
      <c r="Y140" s="595"/>
      <c r="Z140" s="605"/>
      <c r="AA140" s="596"/>
      <c r="AB140" s="597"/>
      <c r="AC140" s="594" t="s">
        <v>769</v>
      </c>
      <c r="AD140" s="595"/>
      <c r="AE140" s="589"/>
      <c r="AF140" s="589"/>
      <c r="AG140" s="589"/>
      <c r="AH140" s="589"/>
      <c r="AI140" s="589"/>
      <c r="AJ140" s="589"/>
      <c r="AK140" s="589"/>
      <c r="AL140" s="575"/>
      <c r="AM140" s="589"/>
      <c r="AN140" s="1397"/>
      <c r="AO140" s="1397"/>
      <c r="AP140" s="1397"/>
      <c r="AQ140" s="1397"/>
      <c r="AR140" s="1397"/>
      <c r="AS140" s="1397"/>
      <c r="AT140" s="1397"/>
      <c r="AU140" s="1397"/>
      <c r="AV140" s="1397"/>
      <c r="AW140" s="1397"/>
      <c r="AX140" s="1397"/>
      <c r="AY140" s="1397"/>
      <c r="AZ140" s="1397"/>
      <c r="BA140" s="1397"/>
      <c r="BB140" s="1397"/>
      <c r="BC140" s="1397"/>
      <c r="BD140" s="1397"/>
      <c r="BE140" s="1397"/>
      <c r="BF140" s="1397"/>
      <c r="BG140" s="1397"/>
      <c r="BH140" s="1397"/>
      <c r="BI140" s="1397"/>
      <c r="BJ140" s="1397"/>
      <c r="BK140" s="1397"/>
      <c r="BL140" s="1397"/>
      <c r="BM140" s="1397"/>
      <c r="BN140" s="1397"/>
    </row>
    <row r="141" spans="1:66" ht="13.5" hidden="1" outlineLevel="1" thickBot="1" x14ac:dyDescent="0.25">
      <c r="A141" s="589"/>
      <c r="B141" s="589"/>
      <c r="C141" s="589"/>
      <c r="D141" s="589"/>
      <c r="E141" s="589"/>
      <c r="F141" s="589"/>
      <c r="G141" s="2110" t="str">
        <f t="shared" si="7"/>
        <v/>
      </c>
      <c r="H141" s="589"/>
      <c r="I141" s="2095" t="str">
        <f t="shared" si="9"/>
        <v/>
      </c>
      <c r="K141" s="589"/>
      <c r="L141" s="589"/>
      <c r="M141" s="589"/>
      <c r="N141" s="589"/>
      <c r="O141" s="589"/>
      <c r="P141" s="589"/>
      <c r="Q141" s="589"/>
      <c r="R141" s="558" t="s">
        <v>2117</v>
      </c>
      <c r="S141" s="590"/>
      <c r="T141" s="591"/>
      <c r="U141" s="592"/>
      <c r="V141" s="605"/>
      <c r="W141" s="593"/>
      <c r="X141" s="594" t="s">
        <v>769</v>
      </c>
      <c r="Y141" s="595"/>
      <c r="Z141" s="605"/>
      <c r="AA141" s="596"/>
      <c r="AB141" s="597"/>
      <c r="AC141" s="594" t="s">
        <v>769</v>
      </c>
      <c r="AD141" s="595"/>
      <c r="AE141" s="589"/>
      <c r="AF141" s="589"/>
      <c r="AG141" s="589"/>
      <c r="AH141" s="589"/>
      <c r="AI141" s="589"/>
      <c r="AJ141" s="589"/>
      <c r="AK141" s="589"/>
      <c r="AL141" s="575"/>
      <c r="AM141" s="589"/>
      <c r="AN141" s="1397"/>
      <c r="AO141" s="1397"/>
      <c r="AP141" s="1397"/>
      <c r="AQ141" s="1397"/>
      <c r="AR141" s="1397"/>
      <c r="AS141" s="1397"/>
      <c r="AT141" s="1397"/>
      <c r="AU141" s="1397"/>
      <c r="AV141" s="1397"/>
      <c r="AW141" s="1397"/>
      <c r="AX141" s="1397"/>
      <c r="AY141" s="1397"/>
      <c r="AZ141" s="1397"/>
      <c r="BA141" s="1397"/>
      <c r="BB141" s="1397"/>
      <c r="BC141" s="1397"/>
      <c r="BD141" s="1397"/>
      <c r="BE141" s="1397"/>
      <c r="BF141" s="1397"/>
      <c r="BG141" s="1397"/>
      <c r="BH141" s="1397"/>
      <c r="BI141" s="1397"/>
      <c r="BJ141" s="1397"/>
      <c r="BK141" s="1397"/>
      <c r="BL141" s="1397"/>
      <c r="BM141" s="1397"/>
      <c r="BN141" s="1397"/>
    </row>
    <row r="142" spans="1:66" ht="13.5" hidden="1" outlineLevel="1" thickBot="1" x14ac:dyDescent="0.25">
      <c r="A142" s="589"/>
      <c r="B142" s="589"/>
      <c r="C142" s="589"/>
      <c r="D142" s="589"/>
      <c r="E142" s="589"/>
      <c r="F142" s="589"/>
      <c r="G142" s="2110" t="str">
        <f t="shared" si="7"/>
        <v/>
      </c>
      <c r="H142" s="589"/>
      <c r="I142" s="2095" t="str">
        <f t="shared" si="9"/>
        <v/>
      </c>
      <c r="K142" s="589"/>
      <c r="L142" s="589"/>
      <c r="M142" s="589"/>
      <c r="N142" s="589"/>
      <c r="O142" s="589"/>
      <c r="P142" s="589"/>
      <c r="Q142" s="589"/>
      <c r="R142" s="558" t="s">
        <v>2117</v>
      </c>
      <c r="S142" s="590"/>
      <c r="T142" s="591"/>
      <c r="U142" s="592"/>
      <c r="V142" s="605"/>
      <c r="W142" s="593"/>
      <c r="X142" s="594" t="s">
        <v>769</v>
      </c>
      <c r="Y142" s="595"/>
      <c r="Z142" s="605"/>
      <c r="AA142" s="596"/>
      <c r="AB142" s="597"/>
      <c r="AC142" s="594" t="s">
        <v>769</v>
      </c>
      <c r="AD142" s="595"/>
      <c r="AE142" s="589"/>
      <c r="AF142" s="589"/>
      <c r="AG142" s="589"/>
      <c r="AH142" s="589"/>
      <c r="AI142" s="589"/>
      <c r="AJ142" s="589"/>
      <c r="AK142" s="589"/>
      <c r="AL142" s="575"/>
      <c r="AM142" s="589"/>
      <c r="AN142" s="1397"/>
      <c r="AO142" s="1397"/>
      <c r="AP142" s="1397"/>
      <c r="AQ142" s="1397"/>
      <c r="AR142" s="1397"/>
      <c r="AS142" s="1397"/>
      <c r="AT142" s="1397"/>
      <c r="AU142" s="1397"/>
      <c r="AV142" s="1397"/>
      <c r="AW142" s="1397"/>
      <c r="AX142" s="1397"/>
      <c r="AY142" s="1397"/>
      <c r="AZ142" s="1397"/>
      <c r="BA142" s="1397"/>
      <c r="BB142" s="1397"/>
      <c r="BC142" s="1397"/>
      <c r="BD142" s="1397"/>
      <c r="BE142" s="1397"/>
      <c r="BF142" s="1397"/>
      <c r="BG142" s="1397"/>
      <c r="BH142" s="1397"/>
      <c r="BI142" s="1397"/>
      <c r="BJ142" s="1397"/>
      <c r="BK142" s="1397"/>
      <c r="BL142" s="1397"/>
      <c r="BM142" s="1397"/>
      <c r="BN142" s="1397"/>
    </row>
    <row r="143" spans="1:66" ht="13.5" hidden="1" outlineLevel="1" thickBot="1" x14ac:dyDescent="0.25">
      <c r="A143" s="589"/>
      <c r="B143" s="589"/>
      <c r="C143" s="589"/>
      <c r="D143" s="589"/>
      <c r="E143" s="589"/>
      <c r="F143" s="589"/>
      <c r="G143" s="2110" t="str">
        <f t="shared" si="7"/>
        <v/>
      </c>
      <c r="H143" s="589"/>
      <c r="I143" s="2095" t="str">
        <f t="shared" si="9"/>
        <v/>
      </c>
      <c r="K143" s="589"/>
      <c r="L143" s="589"/>
      <c r="M143" s="589"/>
      <c r="N143" s="589"/>
      <c r="O143" s="589"/>
      <c r="P143" s="589"/>
      <c r="Q143" s="589"/>
      <c r="R143" s="558" t="s">
        <v>2117</v>
      </c>
      <c r="S143" s="590"/>
      <c r="T143" s="591"/>
      <c r="U143" s="592"/>
      <c r="V143" s="605"/>
      <c r="W143" s="593"/>
      <c r="X143" s="594" t="s">
        <v>769</v>
      </c>
      <c r="Y143" s="595"/>
      <c r="Z143" s="605"/>
      <c r="AA143" s="596"/>
      <c r="AB143" s="597"/>
      <c r="AC143" s="594" t="s">
        <v>769</v>
      </c>
      <c r="AD143" s="595"/>
      <c r="AE143" s="589"/>
      <c r="AF143" s="589"/>
      <c r="AG143" s="589"/>
      <c r="AH143" s="589"/>
      <c r="AI143" s="589"/>
      <c r="AJ143" s="589"/>
      <c r="AK143" s="589"/>
      <c r="AL143" s="575"/>
      <c r="AM143" s="589"/>
      <c r="AN143" s="1397"/>
      <c r="AO143" s="1397"/>
      <c r="AP143" s="1397"/>
      <c r="AQ143" s="1397"/>
      <c r="AR143" s="1397"/>
      <c r="AS143" s="1397"/>
      <c r="AT143" s="1397"/>
      <c r="AU143" s="1397"/>
      <c r="AV143" s="1397"/>
      <c r="AW143" s="1397"/>
      <c r="AX143" s="1397"/>
      <c r="AY143" s="1397"/>
      <c r="AZ143" s="1397"/>
      <c r="BA143" s="1397"/>
      <c r="BB143" s="1397"/>
      <c r="BC143" s="1397"/>
      <c r="BD143" s="1397"/>
      <c r="BE143" s="1397"/>
      <c r="BF143" s="1397"/>
      <c r="BG143" s="1397"/>
      <c r="BH143" s="1397"/>
      <c r="BI143" s="1397"/>
      <c r="BJ143" s="1397"/>
      <c r="BK143" s="1397"/>
      <c r="BL143" s="1397"/>
      <c r="BM143" s="1397"/>
      <c r="BN143" s="1397"/>
    </row>
    <row r="144" spans="1:66" ht="13.5" hidden="1" outlineLevel="1" thickBot="1" x14ac:dyDescent="0.25">
      <c r="A144" s="589"/>
      <c r="B144" s="589"/>
      <c r="C144" s="589"/>
      <c r="D144" s="589"/>
      <c r="E144" s="589"/>
      <c r="F144" s="589"/>
      <c r="G144" s="2110" t="str">
        <f t="shared" si="7"/>
        <v/>
      </c>
      <c r="H144" s="589"/>
      <c r="I144" s="2095" t="str">
        <f t="shared" si="9"/>
        <v/>
      </c>
      <c r="K144" s="589"/>
      <c r="L144" s="589"/>
      <c r="M144" s="589"/>
      <c r="N144" s="589"/>
      <c r="O144" s="589"/>
      <c r="P144" s="589"/>
      <c r="Q144" s="589"/>
      <c r="R144" s="558" t="s">
        <v>2117</v>
      </c>
      <c r="S144" s="590"/>
      <c r="T144" s="591"/>
      <c r="U144" s="592"/>
      <c r="V144" s="605"/>
      <c r="W144" s="593"/>
      <c r="X144" s="594" t="s">
        <v>769</v>
      </c>
      <c r="Y144" s="595"/>
      <c r="Z144" s="605"/>
      <c r="AA144" s="596"/>
      <c r="AB144" s="597"/>
      <c r="AC144" s="594" t="s">
        <v>769</v>
      </c>
      <c r="AD144" s="595"/>
      <c r="AE144" s="589"/>
      <c r="AF144" s="589"/>
      <c r="AG144" s="589"/>
      <c r="AH144" s="589"/>
      <c r="AI144" s="589"/>
      <c r="AJ144" s="589"/>
      <c r="AK144" s="589"/>
      <c r="AL144" s="575"/>
      <c r="AM144" s="589"/>
      <c r="AN144" s="1397"/>
      <c r="AO144" s="1397"/>
      <c r="AP144" s="1397"/>
      <c r="AQ144" s="1397"/>
      <c r="AR144" s="1397"/>
      <c r="AS144" s="1397"/>
      <c r="AT144" s="1397"/>
      <c r="AU144" s="1397"/>
      <c r="AV144" s="1397"/>
      <c r="AW144" s="1397"/>
      <c r="AX144" s="1397"/>
      <c r="AY144" s="1397"/>
      <c r="AZ144" s="1397"/>
      <c r="BA144" s="1397"/>
      <c r="BB144" s="1397"/>
      <c r="BC144" s="1397"/>
      <c r="BD144" s="1397"/>
      <c r="BE144" s="1397"/>
      <c r="BF144" s="1397"/>
      <c r="BG144" s="1397"/>
      <c r="BH144" s="1397"/>
      <c r="BI144" s="1397"/>
      <c r="BJ144" s="1397"/>
      <c r="BK144" s="1397"/>
      <c r="BL144" s="1397"/>
      <c r="BM144" s="1397"/>
      <c r="BN144" s="1397"/>
    </row>
    <row r="145" spans="1:66" ht="13.5" hidden="1" outlineLevel="1" thickBot="1" x14ac:dyDescent="0.25">
      <c r="A145" s="589"/>
      <c r="B145" s="589"/>
      <c r="C145" s="589"/>
      <c r="D145" s="589"/>
      <c r="E145" s="589"/>
      <c r="F145" s="589"/>
      <c r="G145" s="2110" t="str">
        <f t="shared" si="7"/>
        <v/>
      </c>
      <c r="H145" s="589"/>
      <c r="I145" s="2095" t="str">
        <f t="shared" si="9"/>
        <v/>
      </c>
      <c r="K145" s="589"/>
      <c r="L145" s="589"/>
      <c r="M145" s="589"/>
      <c r="N145" s="589"/>
      <c r="O145" s="589"/>
      <c r="P145" s="589"/>
      <c r="Q145" s="589"/>
      <c r="R145" s="558" t="s">
        <v>2117</v>
      </c>
      <c r="S145" s="590"/>
      <c r="T145" s="591"/>
      <c r="U145" s="592"/>
      <c r="V145" s="605"/>
      <c r="W145" s="593"/>
      <c r="X145" s="594" t="s">
        <v>769</v>
      </c>
      <c r="Y145" s="595"/>
      <c r="Z145" s="605"/>
      <c r="AA145" s="596"/>
      <c r="AB145" s="597"/>
      <c r="AC145" s="594" t="s">
        <v>769</v>
      </c>
      <c r="AD145" s="595"/>
      <c r="AE145" s="589"/>
      <c r="AF145" s="589"/>
      <c r="AG145" s="589"/>
      <c r="AH145" s="589"/>
      <c r="AI145" s="589"/>
      <c r="AJ145" s="589"/>
      <c r="AK145" s="589"/>
      <c r="AL145" s="575"/>
      <c r="AM145" s="589"/>
      <c r="AN145" s="1397"/>
      <c r="AO145" s="1397"/>
      <c r="AP145" s="1397"/>
      <c r="AQ145" s="1397"/>
      <c r="AR145" s="1397"/>
      <c r="AS145" s="1397"/>
      <c r="AT145" s="1397"/>
      <c r="AU145" s="1397"/>
      <c r="AV145" s="1397"/>
      <c r="AW145" s="1397"/>
      <c r="AX145" s="1397"/>
      <c r="AY145" s="1397"/>
      <c r="AZ145" s="1397"/>
      <c r="BA145" s="1397"/>
      <c r="BB145" s="1397"/>
      <c r="BC145" s="1397"/>
      <c r="BD145" s="1397"/>
      <c r="BE145" s="1397"/>
      <c r="BF145" s="1397"/>
      <c r="BG145" s="1397"/>
      <c r="BH145" s="1397"/>
      <c r="BI145" s="1397"/>
      <c r="BJ145" s="1397"/>
      <c r="BK145" s="1397"/>
      <c r="BL145" s="1397"/>
      <c r="BM145" s="1397"/>
      <c r="BN145" s="1397"/>
    </row>
    <row r="146" spans="1:66" ht="13.5" hidden="1" outlineLevel="1" thickBot="1" x14ac:dyDescent="0.25">
      <c r="A146" s="589"/>
      <c r="B146" s="589"/>
      <c r="C146" s="589"/>
      <c r="D146" s="589"/>
      <c r="E146" s="589"/>
      <c r="F146" s="589"/>
      <c r="G146" s="2110" t="str">
        <f t="shared" si="7"/>
        <v/>
      </c>
      <c r="H146" s="589"/>
      <c r="I146" s="2095" t="str">
        <f t="shared" si="9"/>
        <v/>
      </c>
      <c r="K146" s="589"/>
      <c r="L146" s="589"/>
      <c r="M146" s="589"/>
      <c r="N146" s="589"/>
      <c r="O146" s="589"/>
      <c r="P146" s="589"/>
      <c r="Q146" s="589"/>
      <c r="R146" s="558" t="s">
        <v>2117</v>
      </c>
      <c r="S146" s="590"/>
      <c r="T146" s="591"/>
      <c r="U146" s="592"/>
      <c r="V146" s="605"/>
      <c r="W146" s="593"/>
      <c r="X146" s="594" t="s">
        <v>769</v>
      </c>
      <c r="Y146" s="595"/>
      <c r="Z146" s="605"/>
      <c r="AA146" s="596"/>
      <c r="AB146" s="597"/>
      <c r="AC146" s="594" t="s">
        <v>769</v>
      </c>
      <c r="AD146" s="595"/>
      <c r="AE146" s="589"/>
      <c r="AF146" s="589"/>
      <c r="AG146" s="589"/>
      <c r="AH146" s="589"/>
      <c r="AI146" s="589"/>
      <c r="AJ146" s="589"/>
      <c r="AK146" s="589"/>
      <c r="AL146" s="575"/>
      <c r="AM146" s="589"/>
      <c r="AN146" s="1397"/>
      <c r="AO146" s="1397"/>
      <c r="AP146" s="1397"/>
      <c r="AQ146" s="1397"/>
      <c r="AR146" s="1397"/>
      <c r="AS146" s="1397"/>
      <c r="AT146" s="1397"/>
      <c r="AU146" s="1397"/>
      <c r="AV146" s="1397"/>
      <c r="AW146" s="1397"/>
      <c r="AX146" s="1397"/>
      <c r="AY146" s="1397"/>
      <c r="AZ146" s="1397"/>
      <c r="BA146" s="1397"/>
      <c r="BB146" s="1397"/>
      <c r="BC146" s="1397"/>
      <c r="BD146" s="1397"/>
      <c r="BE146" s="1397"/>
      <c r="BF146" s="1397"/>
      <c r="BG146" s="1397"/>
      <c r="BH146" s="1397"/>
      <c r="BI146" s="1397"/>
      <c r="BJ146" s="1397"/>
      <c r="BK146" s="1397"/>
      <c r="BL146" s="1397"/>
      <c r="BM146" s="1397"/>
      <c r="BN146" s="1397"/>
    </row>
    <row r="147" spans="1:66" ht="13.5" hidden="1" outlineLevel="1" thickBot="1" x14ac:dyDescent="0.25">
      <c r="A147" s="589"/>
      <c r="B147" s="589"/>
      <c r="C147" s="589"/>
      <c r="D147" s="589"/>
      <c r="E147" s="589"/>
      <c r="F147" s="589"/>
      <c r="G147" s="2110" t="str">
        <f t="shared" si="7"/>
        <v/>
      </c>
      <c r="H147" s="589"/>
      <c r="I147" s="2095" t="str">
        <f t="shared" si="9"/>
        <v/>
      </c>
      <c r="K147" s="589"/>
      <c r="L147" s="589"/>
      <c r="M147" s="589"/>
      <c r="N147" s="589"/>
      <c r="O147" s="589"/>
      <c r="P147" s="589"/>
      <c r="Q147" s="589"/>
      <c r="R147" s="558" t="s">
        <v>2117</v>
      </c>
      <c r="S147" s="590"/>
      <c r="T147" s="591"/>
      <c r="U147" s="592"/>
      <c r="V147" s="605"/>
      <c r="W147" s="593"/>
      <c r="X147" s="594" t="s">
        <v>769</v>
      </c>
      <c r="Y147" s="595"/>
      <c r="Z147" s="605"/>
      <c r="AA147" s="596"/>
      <c r="AB147" s="597"/>
      <c r="AC147" s="594" t="s">
        <v>769</v>
      </c>
      <c r="AD147" s="595"/>
      <c r="AE147" s="589"/>
      <c r="AF147" s="589"/>
      <c r="AG147" s="589"/>
      <c r="AH147" s="589"/>
      <c r="AI147" s="589"/>
      <c r="AJ147" s="589"/>
      <c r="AK147" s="589"/>
      <c r="AL147" s="575"/>
      <c r="AM147" s="589"/>
      <c r="AN147" s="1397"/>
      <c r="AO147" s="1397"/>
      <c r="AP147" s="1397"/>
      <c r="AQ147" s="1397"/>
      <c r="AR147" s="1397"/>
      <c r="AS147" s="1397"/>
      <c r="AT147" s="1397"/>
      <c r="AU147" s="1397"/>
      <c r="AV147" s="1397"/>
      <c r="AW147" s="1397"/>
      <c r="AX147" s="1397"/>
      <c r="AY147" s="1397"/>
      <c r="AZ147" s="1397"/>
      <c r="BA147" s="1397"/>
      <c r="BB147" s="1397"/>
      <c r="BC147" s="1397"/>
      <c r="BD147" s="1397"/>
      <c r="BE147" s="1397"/>
      <c r="BF147" s="1397"/>
      <c r="BG147" s="1397"/>
      <c r="BH147" s="1397"/>
      <c r="BI147" s="1397"/>
      <c r="BJ147" s="1397"/>
      <c r="BK147" s="1397"/>
      <c r="BL147" s="1397"/>
      <c r="BM147" s="1397"/>
      <c r="BN147" s="1397"/>
    </row>
    <row r="148" spans="1:66" ht="13.5" hidden="1" outlineLevel="1" thickBot="1" x14ac:dyDescent="0.25">
      <c r="A148" s="589"/>
      <c r="B148" s="589"/>
      <c r="C148" s="589"/>
      <c r="D148" s="589"/>
      <c r="E148" s="589"/>
      <c r="F148" s="589"/>
      <c r="G148" s="2110" t="str">
        <f t="shared" si="7"/>
        <v/>
      </c>
      <c r="H148" s="589"/>
      <c r="I148" s="2095" t="str">
        <f t="shared" si="9"/>
        <v/>
      </c>
      <c r="K148" s="589"/>
      <c r="L148" s="589"/>
      <c r="M148" s="589"/>
      <c r="N148" s="589"/>
      <c r="O148" s="589"/>
      <c r="P148" s="589"/>
      <c r="Q148" s="589"/>
      <c r="R148" s="558" t="s">
        <v>2117</v>
      </c>
      <c r="S148" s="590"/>
      <c r="T148" s="591"/>
      <c r="U148" s="592"/>
      <c r="V148" s="605"/>
      <c r="W148" s="593"/>
      <c r="X148" s="594" t="s">
        <v>769</v>
      </c>
      <c r="Y148" s="595"/>
      <c r="Z148" s="605"/>
      <c r="AA148" s="596"/>
      <c r="AB148" s="597"/>
      <c r="AC148" s="594" t="s">
        <v>769</v>
      </c>
      <c r="AD148" s="595"/>
      <c r="AE148" s="589"/>
      <c r="AF148" s="589"/>
      <c r="AG148" s="589"/>
      <c r="AH148" s="589"/>
      <c r="AI148" s="589"/>
      <c r="AJ148" s="589"/>
      <c r="AK148" s="589"/>
      <c r="AL148" s="575"/>
      <c r="AM148" s="589"/>
      <c r="AN148" s="1397"/>
      <c r="AO148" s="1397"/>
      <c r="AP148" s="1397"/>
      <c r="AQ148" s="1397"/>
      <c r="AR148" s="1397"/>
      <c r="AS148" s="1397"/>
      <c r="AT148" s="1397"/>
      <c r="AU148" s="1397"/>
      <c r="AV148" s="1397"/>
      <c r="AW148" s="1397"/>
      <c r="AX148" s="1397"/>
      <c r="AY148" s="1397"/>
      <c r="AZ148" s="1397"/>
      <c r="BA148" s="1397"/>
      <c r="BB148" s="1397"/>
      <c r="BC148" s="1397"/>
      <c r="BD148" s="1397"/>
      <c r="BE148" s="1397"/>
      <c r="BF148" s="1397"/>
      <c r="BG148" s="1397"/>
      <c r="BH148" s="1397"/>
      <c r="BI148" s="1397"/>
      <c r="BJ148" s="1397"/>
      <c r="BK148" s="1397"/>
      <c r="BL148" s="1397"/>
      <c r="BM148" s="1397"/>
      <c r="BN148" s="1397"/>
    </row>
    <row r="149" spans="1:66" ht="13.5" hidden="1" outlineLevel="1" thickBot="1" x14ac:dyDescent="0.25">
      <c r="A149" s="589"/>
      <c r="B149" s="589"/>
      <c r="C149" s="589"/>
      <c r="D149" s="589"/>
      <c r="E149" s="589"/>
      <c r="F149" s="589"/>
      <c r="G149" s="2110" t="str">
        <f t="shared" si="7"/>
        <v/>
      </c>
      <c r="H149" s="589"/>
      <c r="I149" s="2095" t="str">
        <f t="shared" si="9"/>
        <v/>
      </c>
      <c r="K149" s="589"/>
      <c r="L149" s="589"/>
      <c r="M149" s="589"/>
      <c r="N149" s="589"/>
      <c r="O149" s="589"/>
      <c r="P149" s="589"/>
      <c r="Q149" s="589"/>
      <c r="R149" s="558" t="s">
        <v>2117</v>
      </c>
      <c r="S149" s="590"/>
      <c r="T149" s="591"/>
      <c r="U149" s="592"/>
      <c r="V149" s="605"/>
      <c r="W149" s="593"/>
      <c r="X149" s="594" t="s">
        <v>769</v>
      </c>
      <c r="Y149" s="595"/>
      <c r="Z149" s="605"/>
      <c r="AA149" s="596"/>
      <c r="AB149" s="597"/>
      <c r="AC149" s="594" t="s">
        <v>769</v>
      </c>
      <c r="AD149" s="595"/>
      <c r="AE149" s="589"/>
      <c r="AF149" s="589"/>
      <c r="AG149" s="589"/>
      <c r="AH149" s="589"/>
      <c r="AI149" s="589"/>
      <c r="AJ149" s="589"/>
      <c r="AK149" s="589"/>
      <c r="AL149" s="575"/>
      <c r="AM149" s="589"/>
      <c r="AN149" s="1397"/>
      <c r="AO149" s="1397"/>
      <c r="AP149" s="1397"/>
      <c r="AQ149" s="1397"/>
      <c r="AR149" s="1397"/>
      <c r="AS149" s="1397"/>
      <c r="AT149" s="1397"/>
      <c r="AU149" s="1397"/>
      <c r="AV149" s="1397"/>
      <c r="AW149" s="1397"/>
      <c r="AX149" s="1397"/>
      <c r="AY149" s="1397"/>
      <c r="AZ149" s="1397"/>
      <c r="BA149" s="1397"/>
      <c r="BB149" s="1397"/>
      <c r="BC149" s="1397"/>
      <c r="BD149" s="1397"/>
      <c r="BE149" s="1397"/>
      <c r="BF149" s="1397"/>
      <c r="BG149" s="1397"/>
      <c r="BH149" s="1397"/>
      <c r="BI149" s="1397"/>
      <c r="BJ149" s="1397"/>
      <c r="BK149" s="1397"/>
      <c r="BL149" s="1397"/>
      <c r="BM149" s="1397"/>
      <c r="BN149" s="1397"/>
    </row>
    <row r="150" spans="1:66" ht="13.5" hidden="1" outlineLevel="1" thickBot="1" x14ac:dyDescent="0.25">
      <c r="A150" s="589"/>
      <c r="B150" s="589"/>
      <c r="C150" s="589"/>
      <c r="D150" s="589"/>
      <c r="E150" s="589"/>
      <c r="F150" s="589"/>
      <c r="G150" s="2110" t="str">
        <f t="shared" si="7"/>
        <v/>
      </c>
      <c r="H150" s="589"/>
      <c r="I150" s="2095" t="str">
        <f t="shared" si="9"/>
        <v/>
      </c>
      <c r="K150" s="589"/>
      <c r="L150" s="589"/>
      <c r="M150" s="589"/>
      <c r="N150" s="589"/>
      <c r="O150" s="589"/>
      <c r="P150" s="589"/>
      <c r="Q150" s="589"/>
      <c r="R150" s="558" t="s">
        <v>2117</v>
      </c>
      <c r="S150" s="590"/>
      <c r="T150" s="591"/>
      <c r="U150" s="592"/>
      <c r="V150" s="605"/>
      <c r="W150" s="593"/>
      <c r="X150" s="594" t="s">
        <v>769</v>
      </c>
      <c r="Y150" s="595"/>
      <c r="Z150" s="605"/>
      <c r="AA150" s="596"/>
      <c r="AB150" s="597"/>
      <c r="AC150" s="594" t="s">
        <v>769</v>
      </c>
      <c r="AD150" s="595"/>
      <c r="AE150" s="589"/>
      <c r="AF150" s="589"/>
      <c r="AG150" s="589"/>
      <c r="AH150" s="589"/>
      <c r="AI150" s="589"/>
      <c r="AJ150" s="589"/>
      <c r="AK150" s="589"/>
      <c r="AL150" s="575"/>
      <c r="AM150" s="589"/>
      <c r="AN150" s="1397"/>
      <c r="AO150" s="1397"/>
      <c r="AP150" s="1397"/>
      <c r="AQ150" s="1397"/>
      <c r="AR150" s="1397"/>
      <c r="AS150" s="1397"/>
      <c r="AT150" s="1397"/>
      <c r="AU150" s="1397"/>
      <c r="AV150" s="1397"/>
      <c r="AW150" s="1397"/>
      <c r="AX150" s="1397"/>
      <c r="AY150" s="1397"/>
      <c r="AZ150" s="1397"/>
      <c r="BA150" s="1397"/>
      <c r="BB150" s="1397"/>
      <c r="BC150" s="1397"/>
      <c r="BD150" s="1397"/>
      <c r="BE150" s="1397"/>
      <c r="BF150" s="1397"/>
      <c r="BG150" s="1397"/>
      <c r="BH150" s="1397"/>
      <c r="BI150" s="1397"/>
      <c r="BJ150" s="1397"/>
      <c r="BK150" s="1397"/>
      <c r="BL150" s="1397"/>
      <c r="BM150" s="1397"/>
      <c r="BN150" s="1397"/>
    </row>
    <row r="151" spans="1:66" ht="13.5" hidden="1" outlineLevel="1" thickBot="1" x14ac:dyDescent="0.25">
      <c r="A151" s="589"/>
      <c r="B151" s="589"/>
      <c r="C151" s="589"/>
      <c r="D151" s="589"/>
      <c r="E151" s="589"/>
      <c r="F151" s="589"/>
      <c r="G151" s="2110" t="str">
        <f t="shared" si="7"/>
        <v/>
      </c>
      <c r="H151" s="589"/>
      <c r="I151" s="2095" t="str">
        <f t="shared" si="9"/>
        <v/>
      </c>
      <c r="K151" s="589"/>
      <c r="L151" s="589"/>
      <c r="M151" s="589"/>
      <c r="N151" s="589"/>
      <c r="O151" s="589"/>
      <c r="P151" s="589"/>
      <c r="Q151" s="589"/>
      <c r="R151" s="558" t="s">
        <v>2117</v>
      </c>
      <c r="S151" s="590"/>
      <c r="T151" s="591"/>
      <c r="U151" s="592"/>
      <c r="V151" s="605"/>
      <c r="W151" s="593"/>
      <c r="X151" s="594" t="s">
        <v>769</v>
      </c>
      <c r="Y151" s="595"/>
      <c r="Z151" s="605"/>
      <c r="AA151" s="596"/>
      <c r="AB151" s="597"/>
      <c r="AC151" s="594" t="s">
        <v>769</v>
      </c>
      <c r="AD151" s="595"/>
      <c r="AE151" s="589"/>
      <c r="AF151" s="589"/>
      <c r="AG151" s="589"/>
      <c r="AH151" s="589"/>
      <c r="AI151" s="589"/>
      <c r="AJ151" s="589"/>
      <c r="AK151" s="589"/>
      <c r="AL151" s="575"/>
      <c r="AM151" s="589"/>
      <c r="AN151" s="1397"/>
      <c r="AO151" s="1397"/>
      <c r="AP151" s="1397"/>
      <c r="AQ151" s="1397"/>
      <c r="AR151" s="1397"/>
      <c r="AS151" s="1397"/>
      <c r="AT151" s="1397"/>
      <c r="AU151" s="1397"/>
      <c r="AV151" s="1397"/>
      <c r="AW151" s="1397"/>
      <c r="AX151" s="1397"/>
      <c r="AY151" s="1397"/>
      <c r="AZ151" s="1397"/>
      <c r="BA151" s="1397"/>
      <c r="BB151" s="1397"/>
      <c r="BC151" s="1397"/>
      <c r="BD151" s="1397"/>
      <c r="BE151" s="1397"/>
      <c r="BF151" s="1397"/>
      <c r="BG151" s="1397"/>
      <c r="BH151" s="1397"/>
      <c r="BI151" s="1397"/>
      <c r="BJ151" s="1397"/>
      <c r="BK151" s="1397"/>
      <c r="BL151" s="1397"/>
      <c r="BM151" s="1397"/>
      <c r="BN151" s="1397"/>
    </row>
    <row r="152" spans="1:66" ht="13.5" hidden="1" outlineLevel="1" thickBot="1" x14ac:dyDescent="0.25">
      <c r="A152" s="589"/>
      <c r="B152" s="589"/>
      <c r="C152" s="589"/>
      <c r="D152" s="589"/>
      <c r="E152" s="589"/>
      <c r="F152" s="589"/>
      <c r="G152" s="2110" t="str">
        <f t="shared" si="7"/>
        <v/>
      </c>
      <c r="H152" s="589"/>
      <c r="I152" s="2095" t="str">
        <f t="shared" si="9"/>
        <v/>
      </c>
      <c r="K152" s="589"/>
      <c r="L152" s="589"/>
      <c r="M152" s="589"/>
      <c r="N152" s="589"/>
      <c r="O152" s="589"/>
      <c r="P152" s="589"/>
      <c r="Q152" s="589"/>
      <c r="R152" s="558" t="s">
        <v>2117</v>
      </c>
      <c r="S152" s="590"/>
      <c r="T152" s="591"/>
      <c r="U152" s="592"/>
      <c r="V152" s="605"/>
      <c r="W152" s="593"/>
      <c r="X152" s="594" t="s">
        <v>769</v>
      </c>
      <c r="Y152" s="595"/>
      <c r="Z152" s="605"/>
      <c r="AA152" s="596"/>
      <c r="AB152" s="597"/>
      <c r="AC152" s="594" t="s">
        <v>769</v>
      </c>
      <c r="AD152" s="595"/>
      <c r="AE152" s="589"/>
      <c r="AF152" s="589"/>
      <c r="AG152" s="589"/>
      <c r="AH152" s="589"/>
      <c r="AI152" s="589"/>
      <c r="AJ152" s="589"/>
      <c r="AK152" s="589"/>
      <c r="AL152" s="575"/>
      <c r="AM152" s="589"/>
      <c r="AN152" s="1397"/>
      <c r="AO152" s="1397"/>
      <c r="AP152" s="1397"/>
      <c r="AQ152" s="1397"/>
      <c r="AR152" s="1397"/>
      <c r="AS152" s="1397"/>
      <c r="AT152" s="1397"/>
      <c r="AU152" s="1397"/>
      <c r="AV152" s="1397"/>
      <c r="AW152" s="1397"/>
      <c r="AX152" s="1397"/>
      <c r="AY152" s="1397"/>
      <c r="AZ152" s="1397"/>
      <c r="BA152" s="1397"/>
      <c r="BB152" s="1397"/>
      <c r="BC152" s="1397"/>
      <c r="BD152" s="1397"/>
      <c r="BE152" s="1397"/>
      <c r="BF152" s="1397"/>
      <c r="BG152" s="1397"/>
      <c r="BH152" s="1397"/>
      <c r="BI152" s="1397"/>
      <c r="BJ152" s="1397"/>
      <c r="BK152" s="1397"/>
      <c r="BL152" s="1397"/>
      <c r="BM152" s="1397"/>
      <c r="BN152" s="1397"/>
    </row>
    <row r="153" spans="1:66" ht="13.5" hidden="1" outlineLevel="1" thickBot="1" x14ac:dyDescent="0.25">
      <c r="A153" s="589"/>
      <c r="B153" s="589"/>
      <c r="C153" s="589"/>
      <c r="D153" s="589"/>
      <c r="E153" s="589"/>
      <c r="F153" s="589"/>
      <c r="G153" s="2110" t="str">
        <f t="shared" si="7"/>
        <v/>
      </c>
      <c r="H153" s="589"/>
      <c r="I153" s="2095" t="str">
        <f t="shared" si="9"/>
        <v/>
      </c>
      <c r="K153" s="589"/>
      <c r="L153" s="589"/>
      <c r="M153" s="589"/>
      <c r="N153" s="589"/>
      <c r="O153" s="589"/>
      <c r="P153" s="589"/>
      <c r="Q153" s="589"/>
      <c r="R153" s="558" t="s">
        <v>2117</v>
      </c>
      <c r="S153" s="590"/>
      <c r="T153" s="591"/>
      <c r="U153" s="592"/>
      <c r="V153" s="605"/>
      <c r="W153" s="593"/>
      <c r="X153" s="594" t="s">
        <v>769</v>
      </c>
      <c r="Y153" s="595"/>
      <c r="Z153" s="605"/>
      <c r="AA153" s="596"/>
      <c r="AB153" s="597"/>
      <c r="AC153" s="594" t="s">
        <v>769</v>
      </c>
      <c r="AD153" s="595"/>
      <c r="AE153" s="589"/>
      <c r="AF153" s="589"/>
      <c r="AG153" s="589"/>
      <c r="AH153" s="589"/>
      <c r="AI153" s="589"/>
      <c r="AJ153" s="589"/>
      <c r="AK153" s="589"/>
      <c r="AL153" s="575"/>
      <c r="AM153" s="589"/>
      <c r="AN153" s="1397"/>
      <c r="AO153" s="1397"/>
      <c r="AP153" s="1397"/>
      <c r="AQ153" s="1397"/>
      <c r="AR153" s="1397"/>
      <c r="AS153" s="1397"/>
      <c r="AT153" s="1397"/>
      <c r="AU153" s="1397"/>
      <c r="AV153" s="1397"/>
      <c r="AW153" s="1397"/>
      <c r="AX153" s="1397"/>
      <c r="AY153" s="1397"/>
      <c r="AZ153" s="1397"/>
      <c r="BA153" s="1397"/>
      <c r="BB153" s="1397"/>
      <c r="BC153" s="1397"/>
      <c r="BD153" s="1397"/>
      <c r="BE153" s="1397"/>
      <c r="BF153" s="1397"/>
      <c r="BG153" s="1397"/>
      <c r="BH153" s="1397"/>
      <c r="BI153" s="1397"/>
      <c r="BJ153" s="1397"/>
      <c r="BK153" s="1397"/>
      <c r="BL153" s="1397"/>
      <c r="BM153" s="1397"/>
      <c r="BN153" s="1397"/>
    </row>
    <row r="154" spans="1:66" ht="13.5" hidden="1" outlineLevel="1" thickBot="1" x14ac:dyDescent="0.25">
      <c r="A154" s="589"/>
      <c r="B154" s="589"/>
      <c r="C154" s="589"/>
      <c r="D154" s="589"/>
      <c r="E154" s="589"/>
      <c r="F154" s="589"/>
      <c r="G154" s="2110" t="str">
        <f t="shared" si="7"/>
        <v/>
      </c>
      <c r="H154" s="589"/>
      <c r="I154" s="2095" t="str">
        <f t="shared" si="9"/>
        <v/>
      </c>
      <c r="K154" s="589"/>
      <c r="L154" s="589"/>
      <c r="M154" s="589"/>
      <c r="N154" s="589"/>
      <c r="O154" s="589"/>
      <c r="P154" s="589"/>
      <c r="Q154" s="589"/>
      <c r="R154" s="558" t="s">
        <v>2117</v>
      </c>
      <c r="S154" s="590"/>
      <c r="T154" s="591"/>
      <c r="U154" s="592"/>
      <c r="V154" s="605"/>
      <c r="W154" s="593"/>
      <c r="X154" s="594" t="s">
        <v>769</v>
      </c>
      <c r="Y154" s="595"/>
      <c r="Z154" s="605"/>
      <c r="AA154" s="596"/>
      <c r="AB154" s="597"/>
      <c r="AC154" s="594" t="s">
        <v>769</v>
      </c>
      <c r="AD154" s="595"/>
      <c r="AE154" s="589"/>
      <c r="AF154" s="589"/>
      <c r="AG154" s="589"/>
      <c r="AH154" s="589"/>
      <c r="AI154" s="589"/>
      <c r="AJ154" s="589"/>
      <c r="AK154" s="589"/>
      <c r="AL154" s="575"/>
      <c r="AM154" s="589"/>
      <c r="AN154" s="1397"/>
      <c r="AO154" s="1397"/>
      <c r="AP154" s="1397"/>
      <c r="AQ154" s="1397"/>
      <c r="AR154" s="1397"/>
      <c r="AS154" s="1397"/>
      <c r="AT154" s="1397"/>
      <c r="AU154" s="1397"/>
      <c r="AV154" s="1397"/>
      <c r="AW154" s="1397"/>
      <c r="AX154" s="1397"/>
      <c r="AY154" s="1397"/>
      <c r="AZ154" s="1397"/>
      <c r="BA154" s="1397"/>
      <c r="BB154" s="1397"/>
      <c r="BC154" s="1397"/>
      <c r="BD154" s="1397"/>
      <c r="BE154" s="1397"/>
      <c r="BF154" s="1397"/>
      <c r="BG154" s="1397"/>
      <c r="BH154" s="1397"/>
      <c r="BI154" s="1397"/>
      <c r="BJ154" s="1397"/>
      <c r="BK154" s="1397"/>
      <c r="BL154" s="1397"/>
      <c r="BM154" s="1397"/>
      <c r="BN154" s="1397"/>
    </row>
    <row r="155" spans="1:66" ht="13.5" hidden="1" outlineLevel="1" thickBot="1" x14ac:dyDescent="0.25">
      <c r="A155" s="589"/>
      <c r="B155" s="589"/>
      <c r="C155" s="589"/>
      <c r="D155" s="589"/>
      <c r="E155" s="589"/>
      <c r="F155" s="589"/>
      <c r="G155" s="2110" t="str">
        <f t="shared" si="7"/>
        <v/>
      </c>
      <c r="H155" s="589"/>
      <c r="I155" s="2095" t="str">
        <f t="shared" si="9"/>
        <v/>
      </c>
      <c r="K155" s="589"/>
      <c r="L155" s="589"/>
      <c r="M155" s="589"/>
      <c r="N155" s="589"/>
      <c r="O155" s="589"/>
      <c r="P155" s="589"/>
      <c r="Q155" s="589"/>
      <c r="R155" s="558" t="s">
        <v>2117</v>
      </c>
      <c r="S155" s="590"/>
      <c r="T155" s="591"/>
      <c r="U155" s="592"/>
      <c r="V155" s="605"/>
      <c r="W155" s="593"/>
      <c r="X155" s="594" t="s">
        <v>769</v>
      </c>
      <c r="Y155" s="595"/>
      <c r="Z155" s="605"/>
      <c r="AA155" s="596"/>
      <c r="AB155" s="597"/>
      <c r="AC155" s="594" t="s">
        <v>769</v>
      </c>
      <c r="AD155" s="595"/>
      <c r="AE155" s="589"/>
      <c r="AF155" s="589"/>
      <c r="AG155" s="589"/>
      <c r="AH155" s="589"/>
      <c r="AI155" s="589"/>
      <c r="AJ155" s="589"/>
      <c r="AK155" s="589"/>
      <c r="AL155" s="575"/>
      <c r="AM155" s="589"/>
      <c r="AN155" s="1397"/>
      <c r="AO155" s="1397"/>
      <c r="AP155" s="1397"/>
      <c r="AQ155" s="1397"/>
      <c r="AR155" s="1397"/>
      <c r="AS155" s="1397"/>
      <c r="AT155" s="1397"/>
      <c r="AU155" s="1397"/>
      <c r="AV155" s="1397"/>
      <c r="AW155" s="1397"/>
      <c r="AX155" s="1397"/>
      <c r="AY155" s="1397"/>
      <c r="AZ155" s="1397"/>
      <c r="BA155" s="1397"/>
      <c r="BB155" s="1397"/>
      <c r="BC155" s="1397"/>
      <c r="BD155" s="1397"/>
      <c r="BE155" s="1397"/>
      <c r="BF155" s="1397"/>
      <c r="BG155" s="1397"/>
      <c r="BH155" s="1397"/>
      <c r="BI155" s="1397"/>
      <c r="BJ155" s="1397"/>
      <c r="BK155" s="1397"/>
      <c r="BL155" s="1397"/>
      <c r="BM155" s="1397"/>
      <c r="BN155" s="1397"/>
    </row>
    <row r="156" spans="1:66" ht="13.5" hidden="1" outlineLevel="1" thickBot="1" x14ac:dyDescent="0.25">
      <c r="A156" s="589"/>
      <c r="B156" s="589"/>
      <c r="C156" s="589"/>
      <c r="D156" s="589"/>
      <c r="E156" s="589"/>
      <c r="F156" s="589"/>
      <c r="G156" s="2110" t="str">
        <f t="shared" si="7"/>
        <v/>
      </c>
      <c r="H156" s="589"/>
      <c r="I156" s="2095" t="str">
        <f t="shared" si="9"/>
        <v/>
      </c>
      <c r="K156" s="589"/>
      <c r="L156" s="589"/>
      <c r="M156" s="589"/>
      <c r="N156" s="589"/>
      <c r="O156" s="589"/>
      <c r="P156" s="589"/>
      <c r="Q156" s="589"/>
      <c r="R156" s="558" t="s">
        <v>2117</v>
      </c>
      <c r="S156" s="590"/>
      <c r="T156" s="591"/>
      <c r="U156" s="592"/>
      <c r="V156" s="605"/>
      <c r="W156" s="593"/>
      <c r="X156" s="594" t="s">
        <v>769</v>
      </c>
      <c r="Y156" s="595"/>
      <c r="Z156" s="605"/>
      <c r="AA156" s="596"/>
      <c r="AB156" s="597"/>
      <c r="AC156" s="594" t="s">
        <v>769</v>
      </c>
      <c r="AD156" s="595"/>
      <c r="AE156" s="589"/>
      <c r="AF156" s="589"/>
      <c r="AG156" s="589"/>
      <c r="AH156" s="589"/>
      <c r="AI156" s="589"/>
      <c r="AJ156" s="589"/>
      <c r="AK156" s="589"/>
      <c r="AL156" s="575"/>
      <c r="AM156" s="589"/>
      <c r="AN156" s="1397"/>
      <c r="AO156" s="1397"/>
      <c r="AP156" s="1397"/>
      <c r="AQ156" s="1397"/>
      <c r="AR156" s="1397"/>
      <c r="AS156" s="1397"/>
      <c r="AT156" s="1397"/>
      <c r="AU156" s="1397"/>
      <c r="AV156" s="1397"/>
      <c r="AW156" s="1397"/>
      <c r="AX156" s="1397"/>
      <c r="AY156" s="1397"/>
      <c r="AZ156" s="1397"/>
      <c r="BA156" s="1397"/>
      <c r="BB156" s="1397"/>
      <c r="BC156" s="1397"/>
      <c r="BD156" s="1397"/>
      <c r="BE156" s="1397"/>
      <c r="BF156" s="1397"/>
      <c r="BG156" s="1397"/>
      <c r="BH156" s="1397"/>
      <c r="BI156" s="1397"/>
      <c r="BJ156" s="1397"/>
      <c r="BK156" s="1397"/>
      <c r="BL156" s="1397"/>
      <c r="BM156" s="1397"/>
      <c r="BN156" s="1397"/>
    </row>
    <row r="157" spans="1:66" ht="13.5" hidden="1" outlineLevel="1" thickBot="1" x14ac:dyDescent="0.25">
      <c r="A157" s="589"/>
      <c r="B157" s="589"/>
      <c r="C157" s="589"/>
      <c r="D157" s="589"/>
      <c r="E157" s="589"/>
      <c r="F157" s="589"/>
      <c r="G157" s="2110" t="str">
        <f t="shared" si="7"/>
        <v/>
      </c>
      <c r="H157" s="589"/>
      <c r="I157" s="2095" t="str">
        <f t="shared" si="9"/>
        <v/>
      </c>
      <c r="K157" s="589"/>
      <c r="L157" s="589"/>
      <c r="M157" s="589"/>
      <c r="N157" s="589"/>
      <c r="O157" s="589"/>
      <c r="P157" s="589"/>
      <c r="Q157" s="589"/>
      <c r="R157" s="558" t="s">
        <v>2117</v>
      </c>
      <c r="S157" s="590"/>
      <c r="T157" s="591"/>
      <c r="U157" s="592"/>
      <c r="V157" s="605"/>
      <c r="W157" s="593"/>
      <c r="X157" s="594" t="s">
        <v>769</v>
      </c>
      <c r="Y157" s="595"/>
      <c r="Z157" s="605"/>
      <c r="AA157" s="596"/>
      <c r="AB157" s="597"/>
      <c r="AC157" s="594" t="s">
        <v>769</v>
      </c>
      <c r="AD157" s="595"/>
      <c r="AE157" s="589"/>
      <c r="AF157" s="589"/>
      <c r="AG157" s="589"/>
      <c r="AH157" s="589"/>
      <c r="AI157" s="589"/>
      <c r="AJ157" s="589"/>
      <c r="AK157" s="589"/>
      <c r="AL157" s="575"/>
      <c r="AM157" s="589"/>
      <c r="AN157" s="1397"/>
      <c r="AO157" s="1397"/>
      <c r="AP157" s="1397"/>
      <c r="AQ157" s="1397"/>
      <c r="AR157" s="1397"/>
      <c r="AS157" s="1397"/>
      <c r="AT157" s="1397"/>
      <c r="AU157" s="1397"/>
      <c r="AV157" s="1397"/>
      <c r="AW157" s="1397"/>
      <c r="AX157" s="1397"/>
      <c r="AY157" s="1397"/>
      <c r="AZ157" s="1397"/>
      <c r="BA157" s="1397"/>
      <c r="BB157" s="1397"/>
      <c r="BC157" s="1397"/>
      <c r="BD157" s="1397"/>
      <c r="BE157" s="1397"/>
      <c r="BF157" s="1397"/>
      <c r="BG157" s="1397"/>
      <c r="BH157" s="1397"/>
      <c r="BI157" s="1397"/>
      <c r="BJ157" s="1397"/>
      <c r="BK157" s="1397"/>
      <c r="BL157" s="1397"/>
      <c r="BM157" s="1397"/>
      <c r="BN157" s="1397"/>
    </row>
    <row r="158" spans="1:66" ht="13.5" hidden="1" outlineLevel="1" thickBot="1" x14ac:dyDescent="0.25">
      <c r="A158" s="589"/>
      <c r="B158" s="589"/>
      <c r="C158" s="589"/>
      <c r="D158" s="589"/>
      <c r="E158" s="589"/>
      <c r="F158" s="589"/>
      <c r="G158" s="2110" t="str">
        <f t="shared" si="7"/>
        <v/>
      </c>
      <c r="H158" s="589"/>
      <c r="I158" s="2095" t="str">
        <f t="shared" si="9"/>
        <v/>
      </c>
      <c r="K158" s="589"/>
      <c r="L158" s="589"/>
      <c r="M158" s="589"/>
      <c r="N158" s="589"/>
      <c r="O158" s="589"/>
      <c r="P158" s="589"/>
      <c r="Q158" s="589"/>
      <c r="R158" s="558" t="s">
        <v>2117</v>
      </c>
      <c r="S158" s="590"/>
      <c r="T158" s="591"/>
      <c r="U158" s="592"/>
      <c r="V158" s="605"/>
      <c r="W158" s="593"/>
      <c r="X158" s="594" t="s">
        <v>769</v>
      </c>
      <c r="Y158" s="595"/>
      <c r="Z158" s="605"/>
      <c r="AA158" s="596"/>
      <c r="AB158" s="597"/>
      <c r="AC158" s="594" t="s">
        <v>769</v>
      </c>
      <c r="AD158" s="595"/>
      <c r="AE158" s="589"/>
      <c r="AF158" s="589"/>
      <c r="AG158" s="589"/>
      <c r="AH158" s="589"/>
      <c r="AI158" s="589"/>
      <c r="AJ158" s="589"/>
      <c r="AK158" s="589"/>
      <c r="AL158" s="575"/>
      <c r="AM158" s="589"/>
      <c r="AN158" s="1397"/>
      <c r="AO158" s="1397"/>
      <c r="AP158" s="1397"/>
      <c r="AQ158" s="1397"/>
      <c r="AR158" s="1397"/>
      <c r="AS158" s="1397"/>
      <c r="AT158" s="1397"/>
      <c r="AU158" s="1397"/>
      <c r="AV158" s="1397"/>
      <c r="AW158" s="1397"/>
      <c r="AX158" s="1397"/>
      <c r="AY158" s="1397"/>
      <c r="AZ158" s="1397"/>
      <c r="BA158" s="1397"/>
      <c r="BB158" s="1397"/>
      <c r="BC158" s="1397"/>
      <c r="BD158" s="1397"/>
      <c r="BE158" s="1397"/>
      <c r="BF158" s="1397"/>
      <c r="BG158" s="1397"/>
      <c r="BH158" s="1397"/>
      <c r="BI158" s="1397"/>
      <c r="BJ158" s="1397"/>
      <c r="BK158" s="1397"/>
      <c r="BL158" s="1397"/>
      <c r="BM158" s="1397"/>
      <c r="BN158" s="1397"/>
    </row>
    <row r="159" spans="1:66" ht="13.5" hidden="1" outlineLevel="1" thickBot="1" x14ac:dyDescent="0.25">
      <c r="A159" s="589"/>
      <c r="B159" s="589"/>
      <c r="C159" s="589"/>
      <c r="D159" s="589"/>
      <c r="E159" s="589"/>
      <c r="F159" s="589"/>
      <c r="G159" s="2110" t="str">
        <f t="shared" si="7"/>
        <v/>
      </c>
      <c r="H159" s="589"/>
      <c r="I159" s="2095" t="str">
        <f t="shared" si="9"/>
        <v/>
      </c>
      <c r="K159" s="589"/>
      <c r="L159" s="589"/>
      <c r="M159" s="589"/>
      <c r="N159" s="589"/>
      <c r="O159" s="589"/>
      <c r="P159" s="589"/>
      <c r="Q159" s="589"/>
      <c r="R159" s="558" t="s">
        <v>2117</v>
      </c>
      <c r="S159" s="590"/>
      <c r="T159" s="591"/>
      <c r="U159" s="592"/>
      <c r="V159" s="605"/>
      <c r="W159" s="593"/>
      <c r="X159" s="594" t="s">
        <v>769</v>
      </c>
      <c r="Y159" s="595"/>
      <c r="Z159" s="605"/>
      <c r="AA159" s="596"/>
      <c r="AB159" s="597"/>
      <c r="AC159" s="594" t="s">
        <v>769</v>
      </c>
      <c r="AD159" s="595"/>
      <c r="AE159" s="589"/>
      <c r="AF159" s="589"/>
      <c r="AG159" s="589"/>
      <c r="AH159" s="589"/>
      <c r="AI159" s="589"/>
      <c r="AJ159" s="589"/>
      <c r="AK159" s="589"/>
      <c r="AL159" s="575"/>
      <c r="AM159" s="589"/>
      <c r="AN159" s="1397"/>
      <c r="AO159" s="1397"/>
      <c r="AP159" s="1397"/>
      <c r="AQ159" s="1397"/>
      <c r="AR159" s="1397"/>
      <c r="AS159" s="1397"/>
      <c r="AT159" s="1397"/>
      <c r="AU159" s="1397"/>
      <c r="AV159" s="1397"/>
      <c r="AW159" s="1397"/>
      <c r="AX159" s="1397"/>
      <c r="AY159" s="1397"/>
      <c r="AZ159" s="1397"/>
      <c r="BA159" s="1397"/>
      <c r="BB159" s="1397"/>
      <c r="BC159" s="1397"/>
      <c r="BD159" s="1397"/>
      <c r="BE159" s="1397"/>
      <c r="BF159" s="1397"/>
      <c r="BG159" s="1397"/>
      <c r="BH159" s="1397"/>
      <c r="BI159" s="1397"/>
      <c r="BJ159" s="1397"/>
      <c r="BK159" s="1397"/>
      <c r="BL159" s="1397"/>
      <c r="BM159" s="1397"/>
      <c r="BN159" s="1397"/>
    </row>
    <row r="160" spans="1:66" ht="13.5" hidden="1" outlineLevel="1" thickBot="1" x14ac:dyDescent="0.25">
      <c r="A160" s="589"/>
      <c r="B160" s="589"/>
      <c r="C160" s="589"/>
      <c r="D160" s="589"/>
      <c r="E160" s="589"/>
      <c r="F160" s="589"/>
      <c r="G160" s="2110" t="str">
        <f t="shared" si="7"/>
        <v/>
      </c>
      <c r="H160" s="589"/>
      <c r="I160" s="2095" t="str">
        <f t="shared" si="9"/>
        <v/>
      </c>
      <c r="K160" s="589"/>
      <c r="L160" s="589"/>
      <c r="M160" s="589"/>
      <c r="N160" s="589"/>
      <c r="O160" s="589"/>
      <c r="P160" s="589"/>
      <c r="Q160" s="589"/>
      <c r="R160" s="558" t="s">
        <v>2117</v>
      </c>
      <c r="S160" s="590"/>
      <c r="T160" s="591"/>
      <c r="U160" s="592"/>
      <c r="V160" s="605"/>
      <c r="W160" s="593"/>
      <c r="X160" s="594" t="s">
        <v>769</v>
      </c>
      <c r="Y160" s="595"/>
      <c r="Z160" s="605"/>
      <c r="AA160" s="596"/>
      <c r="AB160" s="597"/>
      <c r="AC160" s="594" t="s">
        <v>769</v>
      </c>
      <c r="AD160" s="595"/>
      <c r="AE160" s="589"/>
      <c r="AF160" s="589"/>
      <c r="AG160" s="589"/>
      <c r="AH160" s="589"/>
      <c r="AI160" s="589"/>
      <c r="AJ160" s="589"/>
      <c r="AK160" s="589"/>
      <c r="AL160" s="575"/>
      <c r="AM160" s="589"/>
      <c r="AN160" s="1397"/>
      <c r="AO160" s="1397"/>
      <c r="AP160" s="1397"/>
      <c r="AQ160" s="1397"/>
      <c r="AR160" s="1397"/>
      <c r="AS160" s="1397"/>
      <c r="AT160" s="1397"/>
      <c r="AU160" s="1397"/>
      <c r="AV160" s="1397"/>
      <c r="AW160" s="1397"/>
      <c r="AX160" s="1397"/>
      <c r="AY160" s="1397"/>
      <c r="AZ160" s="1397"/>
      <c r="BA160" s="1397"/>
      <c r="BB160" s="1397"/>
      <c r="BC160" s="1397"/>
      <c r="BD160" s="1397"/>
      <c r="BE160" s="1397"/>
      <c r="BF160" s="1397"/>
      <c r="BG160" s="1397"/>
      <c r="BH160" s="1397"/>
      <c r="BI160" s="1397"/>
      <c r="BJ160" s="1397"/>
      <c r="BK160" s="1397"/>
      <c r="BL160" s="1397"/>
      <c r="BM160" s="1397"/>
      <c r="BN160" s="1397"/>
    </row>
    <row r="161" spans="1:66" ht="13.5" hidden="1" outlineLevel="1" thickBot="1" x14ac:dyDescent="0.25">
      <c r="A161" s="589"/>
      <c r="B161" s="589"/>
      <c r="C161" s="589"/>
      <c r="D161" s="589"/>
      <c r="E161" s="589"/>
      <c r="F161" s="589"/>
      <c r="G161" s="2110" t="str">
        <f t="shared" si="7"/>
        <v/>
      </c>
      <c r="H161" s="589"/>
      <c r="I161" s="2095" t="str">
        <f t="shared" si="9"/>
        <v/>
      </c>
      <c r="K161" s="589"/>
      <c r="L161" s="589"/>
      <c r="M161" s="589"/>
      <c r="N161" s="589"/>
      <c r="O161" s="589"/>
      <c r="P161" s="589"/>
      <c r="Q161" s="589"/>
      <c r="R161" s="558" t="s">
        <v>2117</v>
      </c>
      <c r="S161" s="590"/>
      <c r="T161" s="591"/>
      <c r="U161" s="592"/>
      <c r="V161" s="605"/>
      <c r="W161" s="593"/>
      <c r="X161" s="594" t="s">
        <v>769</v>
      </c>
      <c r="Y161" s="595"/>
      <c r="Z161" s="605"/>
      <c r="AA161" s="596"/>
      <c r="AB161" s="597"/>
      <c r="AC161" s="594" t="s">
        <v>769</v>
      </c>
      <c r="AD161" s="595"/>
      <c r="AE161" s="589"/>
      <c r="AF161" s="589"/>
      <c r="AG161" s="589"/>
      <c r="AH161" s="589"/>
      <c r="AI161" s="589"/>
      <c r="AJ161" s="589"/>
      <c r="AK161" s="589"/>
      <c r="AL161" s="575"/>
      <c r="AM161" s="589"/>
      <c r="AN161" s="1397"/>
      <c r="AO161" s="1397"/>
      <c r="AP161" s="1397"/>
      <c r="AQ161" s="1397"/>
      <c r="AR161" s="1397"/>
      <c r="AS161" s="1397"/>
      <c r="AT161" s="1397"/>
      <c r="AU161" s="1397"/>
      <c r="AV161" s="1397"/>
      <c r="AW161" s="1397"/>
      <c r="AX161" s="1397"/>
      <c r="AY161" s="1397"/>
      <c r="AZ161" s="1397"/>
      <c r="BA161" s="1397"/>
      <c r="BB161" s="1397"/>
      <c r="BC161" s="1397"/>
      <c r="BD161" s="1397"/>
      <c r="BE161" s="1397"/>
      <c r="BF161" s="1397"/>
      <c r="BG161" s="1397"/>
      <c r="BH161" s="1397"/>
      <c r="BI161" s="1397"/>
      <c r="BJ161" s="1397"/>
      <c r="BK161" s="1397"/>
      <c r="BL161" s="1397"/>
      <c r="BM161" s="1397"/>
      <c r="BN161" s="1397"/>
    </row>
    <row r="162" spans="1:66" ht="13.5" hidden="1" outlineLevel="1" thickBot="1" x14ac:dyDescent="0.25">
      <c r="A162" s="589"/>
      <c r="B162" s="589"/>
      <c r="C162" s="589"/>
      <c r="D162" s="589"/>
      <c r="E162" s="589"/>
      <c r="F162" s="589"/>
      <c r="G162" s="2110" t="str">
        <f t="shared" si="7"/>
        <v/>
      </c>
      <c r="H162" s="589"/>
      <c r="I162" s="2095" t="str">
        <f t="shared" si="9"/>
        <v/>
      </c>
      <c r="K162" s="589"/>
      <c r="L162" s="589"/>
      <c r="M162" s="589"/>
      <c r="N162" s="589"/>
      <c r="O162" s="589"/>
      <c r="P162" s="589"/>
      <c r="Q162" s="589"/>
      <c r="R162" s="558" t="s">
        <v>2117</v>
      </c>
      <c r="S162" s="590"/>
      <c r="T162" s="591"/>
      <c r="U162" s="592"/>
      <c r="V162" s="605"/>
      <c r="W162" s="593"/>
      <c r="X162" s="594" t="s">
        <v>769</v>
      </c>
      <c r="Y162" s="595"/>
      <c r="Z162" s="605"/>
      <c r="AA162" s="596"/>
      <c r="AB162" s="597"/>
      <c r="AC162" s="594" t="s">
        <v>769</v>
      </c>
      <c r="AD162" s="595"/>
      <c r="AE162" s="589"/>
      <c r="AF162" s="589"/>
      <c r="AG162" s="589"/>
      <c r="AH162" s="589"/>
      <c r="AI162" s="589"/>
      <c r="AJ162" s="589"/>
      <c r="AK162" s="589"/>
      <c r="AL162" s="575"/>
      <c r="AM162" s="589"/>
      <c r="AN162" s="1397"/>
      <c r="AO162" s="1397"/>
      <c r="AP162" s="1397"/>
      <c r="AQ162" s="1397"/>
      <c r="AR162" s="1397"/>
      <c r="AS162" s="1397"/>
      <c r="AT162" s="1397"/>
      <c r="AU162" s="1397"/>
      <c r="AV162" s="1397"/>
      <c r="AW162" s="1397"/>
      <c r="AX162" s="1397"/>
      <c r="AY162" s="1397"/>
      <c r="AZ162" s="1397"/>
      <c r="BA162" s="1397"/>
      <c r="BB162" s="1397"/>
      <c r="BC162" s="1397"/>
      <c r="BD162" s="1397"/>
      <c r="BE162" s="1397"/>
      <c r="BF162" s="1397"/>
      <c r="BG162" s="1397"/>
      <c r="BH162" s="1397"/>
      <c r="BI162" s="1397"/>
      <c r="BJ162" s="1397"/>
      <c r="BK162" s="1397"/>
      <c r="BL162" s="1397"/>
      <c r="BM162" s="1397"/>
      <c r="BN162" s="1397"/>
    </row>
    <row r="163" spans="1:66" ht="13.5" hidden="1" outlineLevel="1" thickBot="1" x14ac:dyDescent="0.25">
      <c r="A163" s="589"/>
      <c r="B163" s="589"/>
      <c r="C163" s="589"/>
      <c r="D163" s="589"/>
      <c r="E163" s="589"/>
      <c r="F163" s="589"/>
      <c r="G163" s="2110" t="str">
        <f t="shared" si="7"/>
        <v/>
      </c>
      <c r="H163" s="589"/>
      <c r="I163" s="2095" t="str">
        <f t="shared" si="9"/>
        <v/>
      </c>
      <c r="K163" s="589"/>
      <c r="L163" s="589"/>
      <c r="M163" s="589"/>
      <c r="N163" s="589"/>
      <c r="O163" s="589"/>
      <c r="P163" s="589"/>
      <c r="Q163" s="589"/>
      <c r="R163" s="558" t="s">
        <v>2117</v>
      </c>
      <c r="S163" s="590"/>
      <c r="T163" s="591"/>
      <c r="U163" s="592"/>
      <c r="V163" s="605"/>
      <c r="W163" s="593"/>
      <c r="X163" s="594" t="s">
        <v>769</v>
      </c>
      <c r="Y163" s="595"/>
      <c r="Z163" s="605"/>
      <c r="AA163" s="596"/>
      <c r="AB163" s="597"/>
      <c r="AC163" s="594" t="s">
        <v>769</v>
      </c>
      <c r="AD163" s="595"/>
      <c r="AE163" s="589"/>
      <c r="AF163" s="589"/>
      <c r="AG163" s="589"/>
      <c r="AH163" s="589"/>
      <c r="AI163" s="589"/>
      <c r="AJ163" s="589"/>
      <c r="AK163" s="589"/>
      <c r="AL163" s="575"/>
      <c r="AM163" s="589"/>
      <c r="AN163" s="1397"/>
      <c r="AO163" s="1397"/>
      <c r="AP163" s="1397"/>
      <c r="AQ163" s="1397"/>
      <c r="AR163" s="1397"/>
      <c r="AS163" s="1397"/>
      <c r="AT163" s="1397"/>
      <c r="AU163" s="1397"/>
      <c r="AV163" s="1397"/>
      <c r="AW163" s="1397"/>
      <c r="AX163" s="1397"/>
      <c r="AY163" s="1397"/>
      <c r="AZ163" s="1397"/>
      <c r="BA163" s="1397"/>
      <c r="BB163" s="1397"/>
      <c r="BC163" s="1397"/>
      <c r="BD163" s="1397"/>
      <c r="BE163" s="1397"/>
      <c r="BF163" s="1397"/>
      <c r="BG163" s="1397"/>
      <c r="BH163" s="1397"/>
      <c r="BI163" s="1397"/>
      <c r="BJ163" s="1397"/>
      <c r="BK163" s="1397"/>
      <c r="BL163" s="1397"/>
      <c r="BM163" s="1397"/>
      <c r="BN163" s="1397"/>
    </row>
    <row r="164" spans="1:66" ht="13.5" hidden="1" outlineLevel="1" thickBot="1" x14ac:dyDescent="0.25">
      <c r="A164" s="589"/>
      <c r="B164" s="589"/>
      <c r="C164" s="589"/>
      <c r="D164" s="589"/>
      <c r="E164" s="589"/>
      <c r="F164" s="589"/>
      <c r="G164" s="2110" t="str">
        <f t="shared" si="7"/>
        <v/>
      </c>
      <c r="H164" s="589"/>
      <c r="I164" s="2095" t="str">
        <f t="shared" si="9"/>
        <v/>
      </c>
      <c r="K164" s="589"/>
      <c r="L164" s="589"/>
      <c r="M164" s="589"/>
      <c r="N164" s="589"/>
      <c r="O164" s="589"/>
      <c r="P164" s="589"/>
      <c r="Q164" s="589"/>
      <c r="R164" s="558" t="s">
        <v>2117</v>
      </c>
      <c r="S164" s="590"/>
      <c r="T164" s="591"/>
      <c r="U164" s="592"/>
      <c r="V164" s="605"/>
      <c r="W164" s="593"/>
      <c r="X164" s="594" t="s">
        <v>769</v>
      </c>
      <c r="Y164" s="595"/>
      <c r="Z164" s="605"/>
      <c r="AA164" s="596"/>
      <c r="AB164" s="597"/>
      <c r="AC164" s="594" t="s">
        <v>769</v>
      </c>
      <c r="AD164" s="595"/>
      <c r="AE164" s="589"/>
      <c r="AF164" s="589"/>
      <c r="AG164" s="589"/>
      <c r="AH164" s="589"/>
      <c r="AI164" s="589"/>
      <c r="AJ164" s="589"/>
      <c r="AK164" s="589"/>
      <c r="AL164" s="575"/>
      <c r="AM164" s="589"/>
      <c r="AN164" s="1397"/>
      <c r="AO164" s="1397"/>
      <c r="AP164" s="1397"/>
      <c r="AQ164" s="1397"/>
      <c r="AR164" s="1397"/>
      <c r="AS164" s="1397"/>
      <c r="AT164" s="1397"/>
      <c r="AU164" s="1397"/>
      <c r="AV164" s="1397"/>
      <c r="AW164" s="1397"/>
      <c r="AX164" s="1397"/>
      <c r="AY164" s="1397"/>
      <c r="AZ164" s="1397"/>
      <c r="BA164" s="1397"/>
      <c r="BB164" s="1397"/>
      <c r="BC164" s="1397"/>
      <c r="BD164" s="1397"/>
      <c r="BE164" s="1397"/>
      <c r="BF164" s="1397"/>
      <c r="BG164" s="1397"/>
      <c r="BH164" s="1397"/>
      <c r="BI164" s="1397"/>
      <c r="BJ164" s="1397"/>
      <c r="BK164" s="1397"/>
      <c r="BL164" s="1397"/>
      <c r="BM164" s="1397"/>
      <c r="BN164" s="1397"/>
    </row>
    <row r="165" spans="1:66" ht="13.5" hidden="1" outlineLevel="1" thickBot="1" x14ac:dyDescent="0.25">
      <c r="A165" s="589"/>
      <c r="B165" s="589"/>
      <c r="C165" s="589"/>
      <c r="D165" s="589"/>
      <c r="E165" s="589"/>
      <c r="F165" s="589"/>
      <c r="G165" s="2110" t="str">
        <f t="shared" si="7"/>
        <v/>
      </c>
      <c r="H165" s="589"/>
      <c r="I165" s="2095" t="str">
        <f t="shared" si="9"/>
        <v/>
      </c>
      <c r="K165" s="589"/>
      <c r="L165" s="589"/>
      <c r="M165" s="589"/>
      <c r="N165" s="589"/>
      <c r="O165" s="589"/>
      <c r="P165" s="589"/>
      <c r="Q165" s="589"/>
      <c r="R165" s="558" t="s">
        <v>2117</v>
      </c>
      <c r="S165" s="590"/>
      <c r="T165" s="591"/>
      <c r="U165" s="592"/>
      <c r="V165" s="605"/>
      <c r="W165" s="593"/>
      <c r="X165" s="594" t="s">
        <v>769</v>
      </c>
      <c r="Y165" s="595"/>
      <c r="Z165" s="605"/>
      <c r="AA165" s="596"/>
      <c r="AB165" s="597"/>
      <c r="AC165" s="594" t="s">
        <v>769</v>
      </c>
      <c r="AD165" s="595"/>
      <c r="AE165" s="589"/>
      <c r="AF165" s="589"/>
      <c r="AG165" s="589"/>
      <c r="AH165" s="589"/>
      <c r="AI165" s="589"/>
      <c r="AJ165" s="589"/>
      <c r="AK165" s="589"/>
      <c r="AL165" s="575"/>
      <c r="AM165" s="589"/>
      <c r="AN165" s="1397"/>
      <c r="AO165" s="1397"/>
      <c r="AP165" s="1397"/>
      <c r="AQ165" s="1397"/>
      <c r="AR165" s="1397"/>
      <c r="AS165" s="1397"/>
      <c r="AT165" s="1397"/>
      <c r="AU165" s="1397"/>
      <c r="AV165" s="1397"/>
      <c r="AW165" s="1397"/>
      <c r="AX165" s="1397"/>
      <c r="AY165" s="1397"/>
      <c r="AZ165" s="1397"/>
      <c r="BA165" s="1397"/>
      <c r="BB165" s="1397"/>
      <c r="BC165" s="1397"/>
      <c r="BD165" s="1397"/>
      <c r="BE165" s="1397"/>
      <c r="BF165" s="1397"/>
      <c r="BG165" s="1397"/>
      <c r="BH165" s="1397"/>
      <c r="BI165" s="1397"/>
      <c r="BJ165" s="1397"/>
      <c r="BK165" s="1397"/>
      <c r="BL165" s="1397"/>
      <c r="BM165" s="1397"/>
      <c r="BN165" s="1397"/>
    </row>
    <row r="166" spans="1:66" ht="13.5" hidden="1" outlineLevel="1" thickBot="1" x14ac:dyDescent="0.25">
      <c r="A166" s="589"/>
      <c r="B166" s="589"/>
      <c r="C166" s="589"/>
      <c r="D166" s="589"/>
      <c r="E166" s="589"/>
      <c r="F166" s="589"/>
      <c r="G166" s="2110" t="str">
        <f t="shared" si="7"/>
        <v/>
      </c>
      <c r="H166" s="589"/>
      <c r="I166" s="2095" t="str">
        <f t="shared" si="9"/>
        <v/>
      </c>
      <c r="K166" s="589"/>
      <c r="L166" s="589"/>
      <c r="M166" s="589"/>
      <c r="N166" s="589"/>
      <c r="O166" s="589"/>
      <c r="P166" s="589"/>
      <c r="Q166" s="589"/>
      <c r="R166" s="558" t="s">
        <v>2117</v>
      </c>
      <c r="S166" s="590"/>
      <c r="T166" s="591"/>
      <c r="U166" s="592"/>
      <c r="V166" s="605"/>
      <c r="W166" s="593"/>
      <c r="X166" s="594" t="s">
        <v>769</v>
      </c>
      <c r="Y166" s="595"/>
      <c r="Z166" s="605"/>
      <c r="AA166" s="596"/>
      <c r="AB166" s="597"/>
      <c r="AC166" s="594" t="s">
        <v>769</v>
      </c>
      <c r="AD166" s="595"/>
      <c r="AE166" s="589"/>
      <c r="AF166" s="589"/>
      <c r="AG166" s="589"/>
      <c r="AH166" s="589"/>
      <c r="AI166" s="589"/>
      <c r="AJ166" s="589"/>
      <c r="AK166" s="589"/>
      <c r="AL166" s="575"/>
      <c r="AM166" s="589"/>
      <c r="AN166" s="1397"/>
      <c r="AO166" s="1397"/>
      <c r="AP166" s="1397"/>
      <c r="AQ166" s="1397"/>
      <c r="AR166" s="1397"/>
      <c r="AS166" s="1397"/>
      <c r="AT166" s="1397"/>
      <c r="AU166" s="1397"/>
      <c r="AV166" s="1397"/>
      <c r="AW166" s="1397"/>
      <c r="AX166" s="1397"/>
      <c r="AY166" s="1397"/>
      <c r="AZ166" s="1397"/>
      <c r="BA166" s="1397"/>
      <c r="BB166" s="1397"/>
      <c r="BC166" s="1397"/>
      <c r="BD166" s="1397"/>
      <c r="BE166" s="1397"/>
      <c r="BF166" s="1397"/>
      <c r="BG166" s="1397"/>
      <c r="BH166" s="1397"/>
      <c r="BI166" s="1397"/>
      <c r="BJ166" s="1397"/>
      <c r="BK166" s="1397"/>
      <c r="BL166" s="1397"/>
      <c r="BM166" s="1397"/>
      <c r="BN166" s="1397"/>
    </row>
    <row r="167" spans="1:66" ht="13.5" hidden="1" outlineLevel="1" thickBot="1" x14ac:dyDescent="0.25">
      <c r="A167" s="589"/>
      <c r="B167" s="589"/>
      <c r="C167" s="589"/>
      <c r="D167" s="589"/>
      <c r="E167" s="589"/>
      <c r="F167" s="589"/>
      <c r="G167" s="2110" t="str">
        <f t="shared" si="7"/>
        <v/>
      </c>
      <c r="H167" s="589"/>
      <c r="I167" s="2095" t="str">
        <f t="shared" si="9"/>
        <v/>
      </c>
      <c r="K167" s="589"/>
      <c r="L167" s="589"/>
      <c r="M167" s="589"/>
      <c r="N167" s="589"/>
      <c r="O167" s="589"/>
      <c r="P167" s="589"/>
      <c r="Q167" s="589"/>
      <c r="R167" s="558" t="s">
        <v>2117</v>
      </c>
      <c r="S167" s="590"/>
      <c r="T167" s="591"/>
      <c r="U167" s="592"/>
      <c r="V167" s="605"/>
      <c r="W167" s="593"/>
      <c r="X167" s="594" t="s">
        <v>769</v>
      </c>
      <c r="Y167" s="595"/>
      <c r="Z167" s="605"/>
      <c r="AA167" s="596"/>
      <c r="AB167" s="597"/>
      <c r="AC167" s="594" t="s">
        <v>769</v>
      </c>
      <c r="AD167" s="595"/>
      <c r="AE167" s="589"/>
      <c r="AF167" s="589"/>
      <c r="AG167" s="589"/>
      <c r="AH167" s="589"/>
      <c r="AI167" s="589"/>
      <c r="AJ167" s="589"/>
      <c r="AK167" s="589"/>
      <c r="AL167" s="575"/>
      <c r="AM167" s="589"/>
      <c r="AN167" s="1397"/>
      <c r="AO167" s="1397"/>
      <c r="AP167" s="1397"/>
      <c r="AQ167" s="1397"/>
      <c r="AR167" s="1397"/>
      <c r="AS167" s="1397"/>
      <c r="AT167" s="1397"/>
      <c r="AU167" s="1397"/>
      <c r="AV167" s="1397"/>
      <c r="AW167" s="1397"/>
      <c r="AX167" s="1397"/>
      <c r="AY167" s="1397"/>
      <c r="AZ167" s="1397"/>
      <c r="BA167" s="1397"/>
      <c r="BB167" s="1397"/>
      <c r="BC167" s="1397"/>
      <c r="BD167" s="1397"/>
      <c r="BE167" s="1397"/>
      <c r="BF167" s="1397"/>
      <c r="BG167" s="1397"/>
      <c r="BH167" s="1397"/>
      <c r="BI167" s="1397"/>
      <c r="BJ167" s="1397"/>
      <c r="BK167" s="1397"/>
      <c r="BL167" s="1397"/>
      <c r="BM167" s="1397"/>
      <c r="BN167" s="1397"/>
    </row>
    <row r="168" spans="1:66" ht="13.5" hidden="1" outlineLevel="1" thickBot="1" x14ac:dyDescent="0.25">
      <c r="A168" s="589"/>
      <c r="B168" s="589"/>
      <c r="C168" s="589"/>
      <c r="D168" s="589"/>
      <c r="E168" s="589"/>
      <c r="F168" s="589"/>
      <c r="G168" s="2110" t="str">
        <f t="shared" si="7"/>
        <v/>
      </c>
      <c r="H168" s="589"/>
      <c r="I168" s="2095" t="str">
        <f t="shared" si="9"/>
        <v/>
      </c>
      <c r="K168" s="589"/>
      <c r="L168" s="589"/>
      <c r="M168" s="589"/>
      <c r="N168" s="589"/>
      <c r="O168" s="589"/>
      <c r="P168" s="589"/>
      <c r="Q168" s="589"/>
      <c r="R168" s="558" t="s">
        <v>2117</v>
      </c>
      <c r="S168" s="590"/>
      <c r="T168" s="591"/>
      <c r="U168" s="592"/>
      <c r="V168" s="605"/>
      <c r="W168" s="593"/>
      <c r="X168" s="594" t="s">
        <v>769</v>
      </c>
      <c r="Y168" s="595"/>
      <c r="Z168" s="605"/>
      <c r="AA168" s="596"/>
      <c r="AB168" s="597"/>
      <c r="AC168" s="594" t="s">
        <v>769</v>
      </c>
      <c r="AD168" s="595"/>
      <c r="AE168" s="589"/>
      <c r="AF168" s="589"/>
      <c r="AG168" s="589"/>
      <c r="AH168" s="589"/>
      <c r="AI168" s="589"/>
      <c r="AJ168" s="589"/>
      <c r="AK168" s="589"/>
      <c r="AL168" s="575"/>
      <c r="AM168" s="589"/>
      <c r="AN168" s="1397"/>
      <c r="AO168" s="1397"/>
      <c r="AP168" s="1397"/>
      <c r="AQ168" s="1397"/>
      <c r="AR168" s="1397"/>
      <c r="AS168" s="1397"/>
      <c r="AT168" s="1397"/>
      <c r="AU168" s="1397"/>
      <c r="AV168" s="1397"/>
      <c r="AW168" s="1397"/>
      <c r="AX168" s="1397"/>
      <c r="AY168" s="1397"/>
      <c r="AZ168" s="1397"/>
      <c r="BA168" s="1397"/>
      <c r="BB168" s="1397"/>
      <c r="BC168" s="1397"/>
      <c r="BD168" s="1397"/>
      <c r="BE168" s="1397"/>
      <c r="BF168" s="1397"/>
      <c r="BG168" s="1397"/>
      <c r="BH168" s="1397"/>
      <c r="BI168" s="1397"/>
      <c r="BJ168" s="1397"/>
      <c r="BK168" s="1397"/>
      <c r="BL168" s="1397"/>
      <c r="BM168" s="1397"/>
      <c r="BN168" s="1397"/>
    </row>
    <row r="169" spans="1:66" ht="13.5" hidden="1" outlineLevel="1" thickBot="1" x14ac:dyDescent="0.25">
      <c r="A169" s="589"/>
      <c r="B169" s="589"/>
      <c r="C169" s="589"/>
      <c r="D169" s="589"/>
      <c r="E169" s="589"/>
      <c r="F169" s="589"/>
      <c r="G169" s="2110" t="str">
        <f t="shared" si="7"/>
        <v/>
      </c>
      <c r="H169" s="589"/>
      <c r="I169" s="2095" t="str">
        <f t="shared" si="9"/>
        <v/>
      </c>
      <c r="K169" s="589"/>
      <c r="L169" s="589"/>
      <c r="M169" s="589"/>
      <c r="N169" s="589"/>
      <c r="O169" s="589"/>
      <c r="P169" s="589"/>
      <c r="Q169" s="589"/>
      <c r="R169" s="558" t="s">
        <v>2117</v>
      </c>
      <c r="S169" s="590"/>
      <c r="T169" s="591"/>
      <c r="U169" s="592"/>
      <c r="V169" s="605"/>
      <c r="W169" s="593"/>
      <c r="X169" s="594" t="s">
        <v>769</v>
      </c>
      <c r="Y169" s="595"/>
      <c r="Z169" s="605"/>
      <c r="AA169" s="596"/>
      <c r="AB169" s="597"/>
      <c r="AC169" s="594" t="s">
        <v>769</v>
      </c>
      <c r="AD169" s="595"/>
      <c r="AE169" s="589"/>
      <c r="AF169" s="589"/>
      <c r="AG169" s="589"/>
      <c r="AH169" s="589"/>
      <c r="AI169" s="589"/>
      <c r="AJ169" s="589"/>
      <c r="AK169" s="589"/>
      <c r="AL169" s="575"/>
      <c r="AM169" s="589"/>
      <c r="AN169" s="1397"/>
      <c r="AO169" s="1397"/>
      <c r="AP169" s="1397"/>
      <c r="AQ169" s="1397"/>
      <c r="AR169" s="1397"/>
      <c r="AS169" s="1397"/>
      <c r="AT169" s="1397"/>
      <c r="AU169" s="1397"/>
      <c r="AV169" s="1397"/>
      <c r="AW169" s="1397"/>
      <c r="AX169" s="1397"/>
      <c r="AY169" s="1397"/>
      <c r="AZ169" s="1397"/>
      <c r="BA169" s="1397"/>
      <c r="BB169" s="1397"/>
      <c r="BC169" s="1397"/>
      <c r="BD169" s="1397"/>
      <c r="BE169" s="1397"/>
      <c r="BF169" s="1397"/>
      <c r="BG169" s="1397"/>
      <c r="BH169" s="1397"/>
      <c r="BI169" s="1397"/>
      <c r="BJ169" s="1397"/>
      <c r="BK169" s="1397"/>
      <c r="BL169" s="1397"/>
      <c r="BM169" s="1397"/>
      <c r="BN169" s="1397"/>
    </row>
    <row r="170" spans="1:66" ht="13.5" hidden="1" outlineLevel="1" thickBot="1" x14ac:dyDescent="0.25">
      <c r="A170" s="589"/>
      <c r="B170" s="589"/>
      <c r="C170" s="589"/>
      <c r="D170" s="589"/>
      <c r="E170" s="589"/>
      <c r="F170" s="589"/>
      <c r="G170" s="2110" t="str">
        <f t="shared" si="7"/>
        <v/>
      </c>
      <c r="H170" s="589"/>
      <c r="I170" s="2095" t="str">
        <f t="shared" si="9"/>
        <v/>
      </c>
      <c r="K170" s="589"/>
      <c r="L170" s="589"/>
      <c r="M170" s="589"/>
      <c r="N170" s="589"/>
      <c r="O170" s="589"/>
      <c r="P170" s="589"/>
      <c r="Q170" s="589"/>
      <c r="R170" s="558" t="s">
        <v>2117</v>
      </c>
      <c r="S170" s="590"/>
      <c r="T170" s="591"/>
      <c r="U170" s="592"/>
      <c r="V170" s="605"/>
      <c r="W170" s="593"/>
      <c r="X170" s="594" t="s">
        <v>769</v>
      </c>
      <c r="Y170" s="595"/>
      <c r="Z170" s="605"/>
      <c r="AA170" s="596"/>
      <c r="AB170" s="597"/>
      <c r="AC170" s="594" t="s">
        <v>769</v>
      </c>
      <c r="AD170" s="595"/>
      <c r="AE170" s="589"/>
      <c r="AF170" s="589"/>
      <c r="AG170" s="589"/>
      <c r="AH170" s="589"/>
      <c r="AI170" s="589"/>
      <c r="AJ170" s="589"/>
      <c r="AK170" s="589"/>
      <c r="AL170" s="575"/>
      <c r="AM170" s="589"/>
      <c r="AN170" s="1397"/>
      <c r="AO170" s="1397"/>
      <c r="AP170" s="1397"/>
      <c r="AQ170" s="1397"/>
      <c r="AR170" s="1397"/>
      <c r="AS170" s="1397"/>
      <c r="AT170" s="1397"/>
      <c r="AU170" s="1397"/>
      <c r="AV170" s="1397"/>
      <c r="AW170" s="1397"/>
      <c r="AX170" s="1397"/>
      <c r="AY170" s="1397"/>
      <c r="AZ170" s="1397"/>
      <c r="BA170" s="1397"/>
      <c r="BB170" s="1397"/>
      <c r="BC170" s="1397"/>
      <c r="BD170" s="1397"/>
      <c r="BE170" s="1397"/>
      <c r="BF170" s="1397"/>
      <c r="BG170" s="1397"/>
      <c r="BH170" s="1397"/>
      <c r="BI170" s="1397"/>
      <c r="BJ170" s="1397"/>
      <c r="BK170" s="1397"/>
      <c r="BL170" s="1397"/>
      <c r="BM170" s="1397"/>
      <c r="BN170" s="1397"/>
    </row>
    <row r="171" spans="1:66" ht="13.5" hidden="1" outlineLevel="1" thickBot="1" x14ac:dyDescent="0.25">
      <c r="A171" s="589"/>
      <c r="B171" s="589"/>
      <c r="C171" s="589"/>
      <c r="D171" s="589"/>
      <c r="E171" s="589"/>
      <c r="F171" s="589"/>
      <c r="G171" s="589"/>
      <c r="H171" s="589"/>
      <c r="I171" s="589"/>
      <c r="J171" s="589"/>
      <c r="K171" s="589"/>
      <c r="L171" s="589"/>
      <c r="M171" s="589"/>
      <c r="N171" s="589"/>
      <c r="O171" s="589"/>
      <c r="P171" s="589"/>
      <c r="Q171" s="589"/>
      <c r="R171" s="558"/>
      <c r="S171" s="589"/>
      <c r="T171" s="589"/>
      <c r="U171" s="589"/>
      <c r="V171" s="589"/>
      <c r="W171" s="589"/>
      <c r="X171" s="589"/>
      <c r="Y171" s="589"/>
      <c r="Z171" s="589"/>
      <c r="AA171" s="589"/>
      <c r="AB171" s="589"/>
      <c r="AC171" s="589"/>
      <c r="AD171" s="589"/>
      <c r="AE171" s="589"/>
      <c r="AF171" s="589"/>
      <c r="AG171" s="589"/>
      <c r="AH171" s="589"/>
      <c r="AI171" s="589"/>
      <c r="AJ171" s="589"/>
      <c r="AK171" s="589"/>
      <c r="AL171" s="575"/>
      <c r="AM171" s="589"/>
      <c r="AN171" s="1397"/>
      <c r="AO171" s="1397"/>
      <c r="AP171" s="1397"/>
      <c r="AQ171" s="1397"/>
      <c r="AR171" s="1397"/>
      <c r="AS171" s="1397"/>
      <c r="AT171" s="1397"/>
      <c r="AU171" s="1397"/>
      <c r="AV171" s="1397"/>
      <c r="AW171" s="1397"/>
      <c r="AX171" s="1397"/>
      <c r="AY171" s="1397"/>
      <c r="AZ171" s="1397"/>
      <c r="BA171" s="1397"/>
      <c r="BB171" s="1397"/>
      <c r="BC171" s="1397"/>
      <c r="BD171" s="1397"/>
      <c r="BE171" s="1397"/>
      <c r="BF171" s="1397"/>
      <c r="BG171" s="1397"/>
      <c r="BH171" s="1397"/>
      <c r="BI171" s="1397"/>
      <c r="BJ171" s="1397"/>
      <c r="BK171" s="1397"/>
      <c r="BL171" s="1397"/>
      <c r="BM171" s="1397"/>
      <c r="BN171" s="1397"/>
    </row>
    <row r="172" spans="1:66" ht="13.5" collapsed="1" thickBot="1" x14ac:dyDescent="0.25">
      <c r="A172" s="589"/>
      <c r="B172" s="2379" t="str">
        <f>N__1_64_DE_FINALE</f>
        <v>1/64 DE FINALE</v>
      </c>
      <c r="C172" s="2380"/>
      <c r="D172" s="2380"/>
      <c r="E172" s="2380"/>
      <c r="F172" s="2380"/>
      <c r="G172" s="2380"/>
      <c r="H172" s="2380"/>
      <c r="I172" s="2380"/>
      <c r="J172" s="2380"/>
      <c r="K172" s="2380"/>
      <c r="L172" s="2380"/>
      <c r="M172" s="2380"/>
      <c r="N172" s="2380"/>
      <c r="O172" s="2380"/>
      <c r="P172" s="2380"/>
      <c r="Q172" s="2380"/>
      <c r="R172" s="2380"/>
      <c r="S172" s="2380"/>
      <c r="T172" s="2380"/>
      <c r="U172" s="2380"/>
      <c r="V172" s="2380"/>
      <c r="W172" s="2380"/>
      <c r="X172" s="2380"/>
      <c r="Y172" s="2380"/>
      <c r="Z172" s="2380"/>
      <c r="AA172" s="2380"/>
      <c r="AB172" s="2380"/>
      <c r="AC172" s="2380"/>
      <c r="AD172" s="2380"/>
      <c r="AE172" s="2380"/>
      <c r="AF172" s="2380"/>
      <c r="AG172" s="2380"/>
      <c r="AH172" s="2380"/>
      <c r="AI172" s="2380"/>
      <c r="AJ172" s="2380"/>
      <c r="AK172" s="2380"/>
      <c r="AL172" s="2381"/>
      <c r="AM172" s="589"/>
      <c r="AN172" s="1397"/>
      <c r="AO172" s="1397"/>
      <c r="AP172" s="1397"/>
      <c r="AQ172" s="1397"/>
      <c r="AR172" s="1397"/>
      <c r="AS172" s="1397"/>
      <c r="AT172" s="1397"/>
      <c r="AU172" s="1397"/>
      <c r="AV172" s="1397"/>
      <c r="AW172" s="1397"/>
      <c r="AX172" s="1397"/>
      <c r="AY172" s="1397"/>
      <c r="AZ172" s="1397"/>
      <c r="BA172" s="1397"/>
      <c r="BB172" s="1397"/>
      <c r="BC172" s="1397"/>
      <c r="BD172" s="1397"/>
      <c r="BE172" s="1397"/>
      <c r="BF172" s="1397"/>
      <c r="BG172" s="1397"/>
      <c r="BH172" s="1397"/>
      <c r="BI172" s="1397"/>
      <c r="BJ172" s="1397"/>
      <c r="BK172" s="1397"/>
      <c r="BL172" s="1397"/>
      <c r="BM172" s="1397"/>
      <c r="BN172" s="1397"/>
    </row>
    <row r="173" spans="1:66" ht="13.5" hidden="1" outlineLevel="1" thickBot="1" x14ac:dyDescent="0.25">
      <c r="A173" s="589"/>
      <c r="B173" s="589"/>
      <c r="C173" s="589"/>
      <c r="D173" s="589"/>
      <c r="E173" s="589"/>
      <c r="F173" s="589"/>
      <c r="G173" s="606" t="str">
        <f>N_Qualifiés</f>
        <v>Qualifiés</v>
      </c>
      <c r="H173" s="589"/>
      <c r="I173" s="2093" t="str">
        <f>N_Disqualified</f>
        <v>Disqualifiés</v>
      </c>
      <c r="J173" s="589"/>
      <c r="K173" s="589"/>
      <c r="L173" s="589"/>
      <c r="M173" s="589"/>
      <c r="N173" s="589"/>
      <c r="O173" s="589"/>
      <c r="P173" s="589"/>
      <c r="Q173" s="589"/>
      <c r="R173" s="558"/>
      <c r="S173" s="607" t="str">
        <f>N_Heure</f>
        <v>Heure</v>
      </c>
      <c r="T173" s="607" t="str">
        <f>N_Table</f>
        <v>Table</v>
      </c>
      <c r="U173" s="607" t="str">
        <f>N_Arbitre</f>
        <v>Arbitre</v>
      </c>
      <c r="V173" s="608"/>
      <c r="W173" s="2349" t="str">
        <f>N_Scores</f>
        <v>Scores</v>
      </c>
      <c r="X173" s="2350"/>
      <c r="Y173" s="2351"/>
      <c r="Z173" s="609"/>
      <c r="AA173" s="606" t="str">
        <f>N_MS</f>
        <v>MS</v>
      </c>
      <c r="AB173" s="2346" t="str">
        <f>N_Diff</f>
        <v>Diff</v>
      </c>
      <c r="AC173" s="2347"/>
      <c r="AD173" s="2348"/>
      <c r="AE173" s="589"/>
      <c r="AF173" s="589"/>
      <c r="AG173" s="589"/>
      <c r="AH173" s="589"/>
      <c r="AI173" s="589"/>
      <c r="AJ173" s="589"/>
      <c r="AK173" s="589"/>
      <c r="AL173" s="575"/>
      <c r="AM173" s="589"/>
      <c r="AN173" s="1397"/>
      <c r="AO173" s="1397"/>
      <c r="AP173" s="1397"/>
      <c r="AQ173" s="1397"/>
      <c r="AR173" s="1397"/>
      <c r="AS173" s="1397"/>
      <c r="AT173" s="1397"/>
      <c r="AU173" s="1397"/>
      <c r="AV173" s="1397"/>
      <c r="AW173" s="1397"/>
      <c r="AX173" s="1397"/>
      <c r="AY173" s="1397"/>
      <c r="AZ173" s="1397"/>
      <c r="BA173" s="1397"/>
      <c r="BB173" s="1397"/>
      <c r="BC173" s="1397"/>
      <c r="BD173" s="1397"/>
      <c r="BE173" s="1397"/>
      <c r="BF173" s="1397"/>
      <c r="BG173" s="1397"/>
      <c r="BH173" s="1397"/>
      <c r="BI173" s="1397"/>
      <c r="BJ173" s="1397"/>
      <c r="BK173" s="1397"/>
      <c r="BL173" s="1397"/>
      <c r="BM173" s="1397"/>
      <c r="BN173" s="1397"/>
    </row>
    <row r="174" spans="1:66" ht="13.5" hidden="1" outlineLevel="1" thickBot="1" x14ac:dyDescent="0.25">
      <c r="A174" s="589"/>
      <c r="B174" s="589"/>
      <c r="C174" s="589"/>
      <c r="D174" s="589"/>
      <c r="E174" s="589"/>
      <c r="F174" s="589"/>
      <c r="G174" s="2109" t="str">
        <f t="shared" ref="G174:G205" si="10">IF(W174="",IF(OR(HidePlayerFormulas,V174=""),"","("&amp;V174&amp;"-"&amp;Z174&amp;")"),IF(W174&gt;Y174,V174,IF(Y174&gt;W174,Z174,IF(AB174&gt;AD174,V174,IF(AD174&gt;AB174,Z174,mess_erreur_marque)))))</f>
        <v/>
      </c>
      <c r="H174" s="589"/>
      <c r="I174" s="2096" t="str">
        <f t="shared" ref="I174:I205" si="11">IF(G174="","",IF(G174=V174,Z174,V174))</f>
        <v/>
      </c>
      <c r="K174" s="589"/>
      <c r="L174" s="589"/>
      <c r="M174" s="589"/>
      <c r="N174" s="589"/>
      <c r="O174" s="589"/>
      <c r="P174" s="589"/>
      <c r="Q174" s="589"/>
      <c r="R174" s="558" t="s">
        <v>2116</v>
      </c>
      <c r="S174" s="590"/>
      <c r="T174" s="591"/>
      <c r="U174" s="592"/>
      <c r="V174" s="605"/>
      <c r="W174" s="593"/>
      <c r="X174" s="594" t="s">
        <v>769</v>
      </c>
      <c r="Y174" s="595"/>
      <c r="Z174" s="605"/>
      <c r="AA174" s="596"/>
      <c r="AB174" s="597"/>
      <c r="AC174" s="594" t="s">
        <v>769</v>
      </c>
      <c r="AD174" s="595"/>
      <c r="AE174" s="589"/>
      <c r="AF174" s="589"/>
      <c r="AG174" s="589"/>
      <c r="AH174" s="589"/>
      <c r="AI174" s="589"/>
      <c r="AJ174" s="589"/>
      <c r="AK174" s="589"/>
      <c r="AL174" s="575"/>
      <c r="AM174" s="589"/>
      <c r="AN174" s="1397"/>
      <c r="AO174" s="1397"/>
      <c r="AP174" s="1397"/>
      <c r="AQ174" s="1397"/>
      <c r="AR174" s="1397"/>
      <c r="AS174" s="1397"/>
      <c r="AT174" s="1397"/>
      <c r="AU174" s="1397"/>
      <c r="AV174" s="1397"/>
      <c r="AW174" s="1397"/>
      <c r="AX174" s="1397"/>
      <c r="AY174" s="1397"/>
      <c r="AZ174" s="1397"/>
      <c r="BA174" s="1397"/>
      <c r="BB174" s="1397"/>
      <c r="BC174" s="1397"/>
      <c r="BD174" s="1397"/>
      <c r="BE174" s="1397"/>
      <c r="BF174" s="1397"/>
      <c r="BG174" s="1397"/>
      <c r="BH174" s="1397"/>
      <c r="BI174" s="1397"/>
      <c r="BJ174" s="1397"/>
      <c r="BK174" s="1397"/>
      <c r="BL174" s="1397"/>
      <c r="BM174" s="1397"/>
      <c r="BN174" s="1397"/>
    </row>
    <row r="175" spans="1:66" ht="13.5" hidden="1" outlineLevel="1" thickBot="1" x14ac:dyDescent="0.25">
      <c r="A175" s="589"/>
      <c r="B175" s="589"/>
      <c r="C175" s="589"/>
      <c r="D175" s="589"/>
      <c r="E175" s="589"/>
      <c r="F175" s="589"/>
      <c r="G175" s="2109" t="str">
        <f t="shared" si="10"/>
        <v/>
      </c>
      <c r="H175" s="589"/>
      <c r="I175" s="2096" t="str">
        <f t="shared" si="11"/>
        <v/>
      </c>
      <c r="K175" s="589"/>
      <c r="L175" s="589"/>
      <c r="M175" s="589"/>
      <c r="N175" s="589"/>
      <c r="O175" s="589"/>
      <c r="P175" s="589"/>
      <c r="Q175" s="589"/>
      <c r="R175" s="558" t="s">
        <v>2116</v>
      </c>
      <c r="S175" s="590"/>
      <c r="T175" s="591"/>
      <c r="U175" s="592"/>
      <c r="V175" s="605"/>
      <c r="W175" s="593"/>
      <c r="X175" s="594" t="s">
        <v>769</v>
      </c>
      <c r="Y175" s="595"/>
      <c r="Z175" s="605"/>
      <c r="AA175" s="596"/>
      <c r="AB175" s="597"/>
      <c r="AC175" s="594" t="s">
        <v>769</v>
      </c>
      <c r="AD175" s="595"/>
      <c r="AE175" s="589"/>
      <c r="AF175" s="589"/>
      <c r="AG175" s="589"/>
      <c r="AH175" s="589"/>
      <c r="AI175" s="589"/>
      <c r="AJ175" s="589"/>
      <c r="AK175" s="589"/>
      <c r="AL175" s="575"/>
      <c r="AM175" s="589"/>
      <c r="AN175" s="1397"/>
      <c r="AO175" s="1397"/>
      <c r="AP175" s="1397"/>
      <c r="AQ175" s="1397"/>
      <c r="AR175" s="1397"/>
      <c r="AS175" s="1397"/>
      <c r="AT175" s="1397"/>
      <c r="AU175" s="1397"/>
      <c r="AV175" s="1397"/>
      <c r="AW175" s="1397"/>
      <c r="AX175" s="1397"/>
      <c r="AY175" s="1397"/>
      <c r="AZ175" s="1397"/>
      <c r="BA175" s="1397"/>
      <c r="BB175" s="1397"/>
      <c r="BC175" s="1397"/>
      <c r="BD175" s="1397"/>
      <c r="BE175" s="1397"/>
      <c r="BF175" s="1397"/>
      <c r="BG175" s="1397"/>
      <c r="BH175" s="1397"/>
      <c r="BI175" s="1397"/>
      <c r="BJ175" s="1397"/>
      <c r="BK175" s="1397"/>
      <c r="BL175" s="1397"/>
      <c r="BM175" s="1397"/>
      <c r="BN175" s="1397"/>
    </row>
    <row r="176" spans="1:66" ht="13.5" hidden="1" outlineLevel="1" thickBot="1" x14ac:dyDescent="0.25">
      <c r="A176" s="589"/>
      <c r="B176" s="589"/>
      <c r="C176" s="589"/>
      <c r="D176" s="589"/>
      <c r="E176" s="589"/>
      <c r="F176" s="589"/>
      <c r="G176" s="2109" t="str">
        <f t="shared" si="10"/>
        <v/>
      </c>
      <c r="H176" s="589"/>
      <c r="I176" s="2096" t="str">
        <f t="shared" si="11"/>
        <v/>
      </c>
      <c r="K176" s="589"/>
      <c r="L176" s="589"/>
      <c r="M176" s="589"/>
      <c r="N176" s="589"/>
      <c r="O176" s="589"/>
      <c r="P176" s="589"/>
      <c r="Q176" s="589"/>
      <c r="R176" s="558" t="s">
        <v>2116</v>
      </c>
      <c r="S176" s="590"/>
      <c r="T176" s="591"/>
      <c r="U176" s="592"/>
      <c r="V176" s="605"/>
      <c r="W176" s="593"/>
      <c r="X176" s="594" t="s">
        <v>769</v>
      </c>
      <c r="Y176" s="595"/>
      <c r="Z176" s="605"/>
      <c r="AA176" s="596"/>
      <c r="AB176" s="597"/>
      <c r="AC176" s="594" t="s">
        <v>769</v>
      </c>
      <c r="AD176" s="595"/>
      <c r="AE176" s="589"/>
      <c r="AF176" s="589"/>
      <c r="AG176" s="589"/>
      <c r="AH176" s="589"/>
      <c r="AI176" s="589"/>
      <c r="AJ176" s="589"/>
      <c r="AK176" s="589"/>
      <c r="AL176" s="575"/>
      <c r="AM176" s="589"/>
      <c r="AN176" s="1397"/>
      <c r="AO176" s="1397"/>
      <c r="AP176" s="1397"/>
      <c r="AQ176" s="1397"/>
      <c r="AR176" s="1397"/>
      <c r="AS176" s="1397"/>
      <c r="AT176" s="1397"/>
      <c r="AU176" s="1397"/>
      <c r="AV176" s="1397"/>
      <c r="AW176" s="1397"/>
      <c r="AX176" s="1397"/>
      <c r="AY176" s="1397"/>
      <c r="AZ176" s="1397"/>
      <c r="BA176" s="1397"/>
      <c r="BB176" s="1397"/>
      <c r="BC176" s="1397"/>
      <c r="BD176" s="1397"/>
      <c r="BE176" s="1397"/>
      <c r="BF176" s="1397"/>
      <c r="BG176" s="1397"/>
      <c r="BH176" s="1397"/>
      <c r="BI176" s="1397"/>
      <c r="BJ176" s="1397"/>
      <c r="BK176" s="1397"/>
      <c r="BL176" s="1397"/>
      <c r="BM176" s="1397"/>
      <c r="BN176" s="1397"/>
    </row>
    <row r="177" spans="1:66" ht="13.5" hidden="1" outlineLevel="1" thickBot="1" x14ac:dyDescent="0.25">
      <c r="A177" s="589"/>
      <c r="B177" s="589"/>
      <c r="C177" s="589"/>
      <c r="D177" s="589"/>
      <c r="E177" s="589"/>
      <c r="F177" s="589"/>
      <c r="G177" s="2109" t="str">
        <f t="shared" si="10"/>
        <v/>
      </c>
      <c r="H177" s="589"/>
      <c r="I177" s="2096" t="str">
        <f t="shared" si="11"/>
        <v/>
      </c>
      <c r="K177" s="589"/>
      <c r="L177" s="589"/>
      <c r="M177" s="589"/>
      <c r="N177" s="589"/>
      <c r="O177" s="589"/>
      <c r="P177" s="589"/>
      <c r="Q177" s="589"/>
      <c r="R177" s="558" t="s">
        <v>2116</v>
      </c>
      <c r="S177" s="590"/>
      <c r="T177" s="591"/>
      <c r="U177" s="592"/>
      <c r="V177" s="605"/>
      <c r="W177" s="593"/>
      <c r="X177" s="594" t="s">
        <v>769</v>
      </c>
      <c r="Y177" s="595"/>
      <c r="Z177" s="605"/>
      <c r="AA177" s="596"/>
      <c r="AB177" s="597"/>
      <c r="AC177" s="594" t="s">
        <v>769</v>
      </c>
      <c r="AD177" s="595"/>
      <c r="AE177" s="589"/>
      <c r="AF177" s="589"/>
      <c r="AG177" s="589"/>
      <c r="AH177" s="589"/>
      <c r="AI177" s="589"/>
      <c r="AJ177" s="589"/>
      <c r="AK177" s="589"/>
      <c r="AL177" s="575"/>
      <c r="AM177" s="589"/>
      <c r="AN177" s="1397"/>
      <c r="AO177" s="1397"/>
      <c r="AP177" s="1397"/>
      <c r="AQ177" s="1397"/>
      <c r="AR177" s="1397"/>
      <c r="AS177" s="1397"/>
      <c r="AT177" s="1397"/>
      <c r="AU177" s="1397"/>
      <c r="AV177" s="1397"/>
      <c r="AW177" s="1397"/>
      <c r="AX177" s="1397"/>
      <c r="AY177" s="1397"/>
      <c r="AZ177" s="1397"/>
      <c r="BA177" s="1397"/>
      <c r="BB177" s="1397"/>
      <c r="BC177" s="1397"/>
      <c r="BD177" s="1397"/>
      <c r="BE177" s="1397"/>
      <c r="BF177" s="1397"/>
      <c r="BG177" s="1397"/>
      <c r="BH177" s="1397"/>
      <c r="BI177" s="1397"/>
      <c r="BJ177" s="1397"/>
      <c r="BK177" s="1397"/>
      <c r="BL177" s="1397"/>
      <c r="BM177" s="1397"/>
      <c r="BN177" s="1397"/>
    </row>
    <row r="178" spans="1:66" ht="13.5" hidden="1" outlineLevel="1" thickBot="1" x14ac:dyDescent="0.25">
      <c r="A178" s="589"/>
      <c r="B178" s="589"/>
      <c r="C178" s="589"/>
      <c r="D178" s="589"/>
      <c r="E178" s="589"/>
      <c r="F178" s="589"/>
      <c r="G178" s="2109" t="str">
        <f t="shared" si="10"/>
        <v/>
      </c>
      <c r="H178" s="589"/>
      <c r="I178" s="2096" t="str">
        <f t="shared" si="11"/>
        <v/>
      </c>
      <c r="K178" s="589"/>
      <c r="L178" s="589"/>
      <c r="M178" s="589"/>
      <c r="N178" s="589"/>
      <c r="O178" s="589"/>
      <c r="P178" s="589"/>
      <c r="Q178" s="589"/>
      <c r="R178" s="558" t="s">
        <v>2116</v>
      </c>
      <c r="S178" s="590"/>
      <c r="T178" s="591"/>
      <c r="U178" s="592"/>
      <c r="V178" s="605"/>
      <c r="W178" s="593"/>
      <c r="X178" s="594" t="s">
        <v>769</v>
      </c>
      <c r="Y178" s="595"/>
      <c r="Z178" s="605"/>
      <c r="AA178" s="596"/>
      <c r="AB178" s="597"/>
      <c r="AC178" s="594" t="s">
        <v>769</v>
      </c>
      <c r="AD178" s="595"/>
      <c r="AE178" s="589"/>
      <c r="AF178" s="589"/>
      <c r="AG178" s="589"/>
      <c r="AH178" s="589"/>
      <c r="AI178" s="589"/>
      <c r="AJ178" s="589"/>
      <c r="AK178" s="589"/>
      <c r="AL178" s="575"/>
      <c r="AM178" s="589"/>
      <c r="AN178" s="1397"/>
      <c r="AO178" s="1397"/>
      <c r="AP178" s="1397"/>
      <c r="AQ178" s="1397"/>
      <c r="AR178" s="1397"/>
      <c r="AS178" s="1397"/>
      <c r="AT178" s="1397"/>
      <c r="AU178" s="1397"/>
      <c r="AV178" s="1397"/>
      <c r="AW178" s="1397"/>
      <c r="AX178" s="1397"/>
      <c r="AY178" s="1397"/>
      <c r="AZ178" s="1397"/>
      <c r="BA178" s="1397"/>
      <c r="BB178" s="1397"/>
      <c r="BC178" s="1397"/>
      <c r="BD178" s="1397"/>
      <c r="BE178" s="1397"/>
      <c r="BF178" s="1397"/>
      <c r="BG178" s="1397"/>
      <c r="BH178" s="1397"/>
      <c r="BI178" s="1397"/>
      <c r="BJ178" s="1397"/>
      <c r="BK178" s="1397"/>
      <c r="BL178" s="1397"/>
      <c r="BM178" s="1397"/>
      <c r="BN178" s="1397"/>
    </row>
    <row r="179" spans="1:66" ht="13.5" hidden="1" outlineLevel="1" thickBot="1" x14ac:dyDescent="0.25">
      <c r="A179" s="589"/>
      <c r="B179" s="589"/>
      <c r="C179" s="589"/>
      <c r="D179" s="589"/>
      <c r="E179" s="589"/>
      <c r="F179" s="589"/>
      <c r="G179" s="2109" t="str">
        <f t="shared" si="10"/>
        <v/>
      </c>
      <c r="H179" s="589"/>
      <c r="I179" s="2096" t="str">
        <f t="shared" si="11"/>
        <v/>
      </c>
      <c r="K179" s="589"/>
      <c r="L179" s="589"/>
      <c r="M179" s="589"/>
      <c r="N179" s="589"/>
      <c r="O179" s="589"/>
      <c r="P179" s="589"/>
      <c r="Q179" s="589"/>
      <c r="R179" s="558" t="s">
        <v>2116</v>
      </c>
      <c r="S179" s="590"/>
      <c r="T179" s="591"/>
      <c r="U179" s="592"/>
      <c r="V179" s="605"/>
      <c r="W179" s="593"/>
      <c r="X179" s="594" t="s">
        <v>769</v>
      </c>
      <c r="Y179" s="595"/>
      <c r="Z179" s="605"/>
      <c r="AA179" s="596"/>
      <c r="AB179" s="597"/>
      <c r="AC179" s="594" t="s">
        <v>769</v>
      </c>
      <c r="AD179" s="595"/>
      <c r="AE179" s="589"/>
      <c r="AF179" s="589"/>
      <c r="AG179" s="589"/>
      <c r="AH179" s="589"/>
      <c r="AI179" s="589"/>
      <c r="AJ179" s="589"/>
      <c r="AK179" s="589"/>
      <c r="AL179" s="575"/>
      <c r="AM179" s="589"/>
      <c r="AN179" s="1397"/>
      <c r="AO179" s="1397"/>
      <c r="AP179" s="1397"/>
      <c r="AQ179" s="1397"/>
      <c r="AR179" s="1397"/>
      <c r="AS179" s="1397"/>
      <c r="AT179" s="1397"/>
      <c r="AU179" s="1397"/>
      <c r="AV179" s="1397"/>
      <c r="AW179" s="1397"/>
      <c r="AX179" s="1397"/>
      <c r="AY179" s="1397"/>
      <c r="AZ179" s="1397"/>
      <c r="BA179" s="1397"/>
      <c r="BB179" s="1397"/>
      <c r="BC179" s="1397"/>
      <c r="BD179" s="1397"/>
      <c r="BE179" s="1397"/>
      <c r="BF179" s="1397"/>
      <c r="BG179" s="1397"/>
      <c r="BH179" s="1397"/>
      <c r="BI179" s="1397"/>
      <c r="BJ179" s="1397"/>
      <c r="BK179" s="1397"/>
      <c r="BL179" s="1397"/>
      <c r="BM179" s="1397"/>
      <c r="BN179" s="1397"/>
    </row>
    <row r="180" spans="1:66" ht="13.5" hidden="1" outlineLevel="1" thickBot="1" x14ac:dyDescent="0.25">
      <c r="A180" s="589"/>
      <c r="B180" s="589"/>
      <c r="C180" s="589"/>
      <c r="D180" s="589"/>
      <c r="E180" s="589"/>
      <c r="F180" s="589"/>
      <c r="G180" s="2109" t="str">
        <f t="shared" si="10"/>
        <v/>
      </c>
      <c r="H180" s="589"/>
      <c r="I180" s="2096" t="str">
        <f t="shared" si="11"/>
        <v/>
      </c>
      <c r="K180" s="589"/>
      <c r="L180" s="589"/>
      <c r="M180" s="589"/>
      <c r="N180" s="589"/>
      <c r="O180" s="589"/>
      <c r="P180" s="589"/>
      <c r="Q180" s="589"/>
      <c r="R180" s="558" t="s">
        <v>2116</v>
      </c>
      <c r="S180" s="590"/>
      <c r="T180" s="591"/>
      <c r="U180" s="592"/>
      <c r="V180" s="605"/>
      <c r="W180" s="593"/>
      <c r="X180" s="594" t="s">
        <v>769</v>
      </c>
      <c r="Y180" s="595"/>
      <c r="Z180" s="605"/>
      <c r="AA180" s="596"/>
      <c r="AB180" s="597"/>
      <c r="AC180" s="594" t="s">
        <v>769</v>
      </c>
      <c r="AD180" s="595"/>
      <c r="AE180" s="589"/>
      <c r="AF180" s="589"/>
      <c r="AG180" s="589"/>
      <c r="AH180" s="589"/>
      <c r="AI180" s="589"/>
      <c r="AJ180" s="589"/>
      <c r="AK180" s="589"/>
      <c r="AL180" s="575"/>
      <c r="AM180" s="589"/>
      <c r="AN180" s="1397"/>
      <c r="AO180" s="1397"/>
      <c r="AP180" s="1397"/>
      <c r="AQ180" s="1397"/>
      <c r="AR180" s="1397"/>
      <c r="AS180" s="1397"/>
      <c r="AT180" s="1397"/>
      <c r="AU180" s="1397"/>
      <c r="AV180" s="1397"/>
      <c r="AW180" s="1397"/>
      <c r="AX180" s="1397"/>
      <c r="AY180" s="1397"/>
      <c r="AZ180" s="1397"/>
      <c r="BA180" s="1397"/>
      <c r="BB180" s="1397"/>
      <c r="BC180" s="1397"/>
      <c r="BD180" s="1397"/>
      <c r="BE180" s="1397"/>
      <c r="BF180" s="1397"/>
      <c r="BG180" s="1397"/>
      <c r="BH180" s="1397"/>
      <c r="BI180" s="1397"/>
      <c r="BJ180" s="1397"/>
      <c r="BK180" s="1397"/>
      <c r="BL180" s="1397"/>
      <c r="BM180" s="1397"/>
      <c r="BN180" s="1397"/>
    </row>
    <row r="181" spans="1:66" ht="13.5" hidden="1" outlineLevel="1" thickBot="1" x14ac:dyDescent="0.25">
      <c r="A181" s="589"/>
      <c r="B181" s="589"/>
      <c r="C181" s="589"/>
      <c r="D181" s="589"/>
      <c r="E181" s="589"/>
      <c r="F181" s="589"/>
      <c r="G181" s="2109" t="str">
        <f t="shared" si="10"/>
        <v/>
      </c>
      <c r="H181" s="589"/>
      <c r="I181" s="2096" t="str">
        <f t="shared" si="11"/>
        <v/>
      </c>
      <c r="K181" s="589"/>
      <c r="L181" s="589"/>
      <c r="M181" s="589"/>
      <c r="N181" s="589"/>
      <c r="O181" s="589"/>
      <c r="P181" s="589"/>
      <c r="Q181" s="589"/>
      <c r="R181" s="558" t="s">
        <v>2116</v>
      </c>
      <c r="S181" s="590"/>
      <c r="T181" s="591"/>
      <c r="U181" s="592"/>
      <c r="V181" s="605"/>
      <c r="W181" s="593"/>
      <c r="X181" s="594" t="s">
        <v>769</v>
      </c>
      <c r="Y181" s="595"/>
      <c r="Z181" s="605"/>
      <c r="AA181" s="596"/>
      <c r="AB181" s="597"/>
      <c r="AC181" s="594" t="s">
        <v>769</v>
      </c>
      <c r="AD181" s="595"/>
      <c r="AE181" s="589"/>
      <c r="AF181" s="589"/>
      <c r="AG181" s="589"/>
      <c r="AH181" s="589"/>
      <c r="AI181" s="589"/>
      <c r="AJ181" s="589"/>
      <c r="AK181" s="589"/>
      <c r="AL181" s="575"/>
      <c r="AM181" s="589"/>
      <c r="AN181" s="1397"/>
      <c r="AO181" s="1397"/>
      <c r="AP181" s="1397"/>
      <c r="AQ181" s="1397"/>
      <c r="AR181" s="1397"/>
      <c r="AS181" s="1397"/>
      <c r="AT181" s="1397"/>
      <c r="AU181" s="1397"/>
      <c r="AV181" s="1397"/>
      <c r="AW181" s="1397"/>
      <c r="AX181" s="1397"/>
      <c r="AY181" s="1397"/>
      <c r="AZ181" s="1397"/>
      <c r="BA181" s="1397"/>
      <c r="BB181" s="1397"/>
      <c r="BC181" s="1397"/>
      <c r="BD181" s="1397"/>
      <c r="BE181" s="1397"/>
      <c r="BF181" s="1397"/>
      <c r="BG181" s="1397"/>
      <c r="BH181" s="1397"/>
      <c r="BI181" s="1397"/>
      <c r="BJ181" s="1397"/>
      <c r="BK181" s="1397"/>
      <c r="BL181" s="1397"/>
      <c r="BM181" s="1397"/>
      <c r="BN181" s="1397"/>
    </row>
    <row r="182" spans="1:66" ht="13.5" hidden="1" outlineLevel="1" thickBot="1" x14ac:dyDescent="0.25">
      <c r="A182" s="589"/>
      <c r="B182" s="589"/>
      <c r="C182" s="589"/>
      <c r="D182" s="589"/>
      <c r="E182" s="589"/>
      <c r="F182" s="589"/>
      <c r="G182" s="2109" t="str">
        <f t="shared" si="10"/>
        <v/>
      </c>
      <c r="H182" s="589"/>
      <c r="I182" s="2096" t="str">
        <f t="shared" si="11"/>
        <v/>
      </c>
      <c r="K182" s="589"/>
      <c r="L182" s="589"/>
      <c r="M182" s="589"/>
      <c r="N182" s="589"/>
      <c r="O182" s="589"/>
      <c r="P182" s="589"/>
      <c r="Q182" s="589"/>
      <c r="R182" s="558" t="s">
        <v>2116</v>
      </c>
      <c r="S182" s="590"/>
      <c r="T182" s="591"/>
      <c r="U182" s="592"/>
      <c r="V182" s="605"/>
      <c r="W182" s="593"/>
      <c r="X182" s="594" t="s">
        <v>769</v>
      </c>
      <c r="Y182" s="595"/>
      <c r="Z182" s="605"/>
      <c r="AA182" s="596"/>
      <c r="AB182" s="597"/>
      <c r="AC182" s="594" t="s">
        <v>769</v>
      </c>
      <c r="AD182" s="595"/>
      <c r="AE182" s="589"/>
      <c r="AF182" s="589"/>
      <c r="AG182" s="589"/>
      <c r="AH182" s="589"/>
      <c r="AI182" s="589"/>
      <c r="AJ182" s="589"/>
      <c r="AK182" s="589"/>
      <c r="AL182" s="575"/>
      <c r="AM182" s="589"/>
      <c r="AN182" s="1397"/>
      <c r="AO182" s="1397"/>
      <c r="AP182" s="1397"/>
      <c r="AQ182" s="1397"/>
      <c r="AR182" s="1397"/>
      <c r="AS182" s="1397"/>
      <c r="AT182" s="1397"/>
      <c r="AU182" s="1397"/>
      <c r="AV182" s="1397"/>
      <c r="AW182" s="1397"/>
      <c r="AX182" s="1397"/>
      <c r="AY182" s="1397"/>
      <c r="AZ182" s="1397"/>
      <c r="BA182" s="1397"/>
      <c r="BB182" s="1397"/>
      <c r="BC182" s="1397"/>
      <c r="BD182" s="1397"/>
      <c r="BE182" s="1397"/>
      <c r="BF182" s="1397"/>
      <c r="BG182" s="1397"/>
      <c r="BH182" s="1397"/>
      <c r="BI182" s="1397"/>
      <c r="BJ182" s="1397"/>
      <c r="BK182" s="1397"/>
      <c r="BL182" s="1397"/>
      <c r="BM182" s="1397"/>
      <c r="BN182" s="1397"/>
    </row>
    <row r="183" spans="1:66" ht="13.5" hidden="1" outlineLevel="1" thickBot="1" x14ac:dyDescent="0.25">
      <c r="A183" s="589"/>
      <c r="B183" s="589"/>
      <c r="C183" s="589"/>
      <c r="D183" s="589"/>
      <c r="E183" s="589"/>
      <c r="F183" s="589"/>
      <c r="G183" s="2109" t="str">
        <f t="shared" si="10"/>
        <v/>
      </c>
      <c r="H183" s="589"/>
      <c r="I183" s="2096" t="str">
        <f t="shared" si="11"/>
        <v/>
      </c>
      <c r="K183" s="589"/>
      <c r="L183" s="589"/>
      <c r="M183" s="589"/>
      <c r="N183" s="589"/>
      <c r="O183" s="589"/>
      <c r="P183" s="589"/>
      <c r="Q183" s="589"/>
      <c r="R183" s="558" t="s">
        <v>2116</v>
      </c>
      <c r="S183" s="590"/>
      <c r="T183" s="591"/>
      <c r="U183" s="592"/>
      <c r="V183" s="605"/>
      <c r="W183" s="593"/>
      <c r="X183" s="594" t="s">
        <v>769</v>
      </c>
      <c r="Y183" s="595"/>
      <c r="Z183" s="605"/>
      <c r="AA183" s="596"/>
      <c r="AB183" s="597"/>
      <c r="AC183" s="594" t="s">
        <v>769</v>
      </c>
      <c r="AD183" s="595"/>
      <c r="AE183" s="589"/>
      <c r="AF183" s="589"/>
      <c r="AG183" s="589"/>
      <c r="AH183" s="589"/>
      <c r="AI183" s="589"/>
      <c r="AJ183" s="589"/>
      <c r="AK183" s="589"/>
      <c r="AL183" s="575"/>
      <c r="AM183" s="589"/>
      <c r="AN183" s="1397"/>
      <c r="AO183" s="1397"/>
      <c r="AP183" s="1397"/>
      <c r="AQ183" s="1397"/>
      <c r="AR183" s="1397"/>
      <c r="AS183" s="1397"/>
      <c r="AT183" s="1397"/>
      <c r="AU183" s="1397"/>
      <c r="AV183" s="1397"/>
      <c r="AW183" s="1397"/>
      <c r="AX183" s="1397"/>
      <c r="AY183" s="1397"/>
      <c r="AZ183" s="1397"/>
      <c r="BA183" s="1397"/>
      <c r="BB183" s="1397"/>
      <c r="BC183" s="1397"/>
      <c r="BD183" s="1397"/>
      <c r="BE183" s="1397"/>
      <c r="BF183" s="1397"/>
      <c r="BG183" s="1397"/>
      <c r="BH183" s="1397"/>
      <c r="BI183" s="1397"/>
      <c r="BJ183" s="1397"/>
      <c r="BK183" s="1397"/>
      <c r="BL183" s="1397"/>
      <c r="BM183" s="1397"/>
      <c r="BN183" s="1397"/>
    </row>
    <row r="184" spans="1:66" ht="13.5" hidden="1" outlineLevel="1" thickBot="1" x14ac:dyDescent="0.25">
      <c r="A184" s="589"/>
      <c r="B184" s="589"/>
      <c r="C184" s="589"/>
      <c r="D184" s="589"/>
      <c r="E184" s="589"/>
      <c r="F184" s="589"/>
      <c r="G184" s="2109" t="str">
        <f t="shared" si="10"/>
        <v/>
      </c>
      <c r="H184" s="589"/>
      <c r="I184" s="2096" t="str">
        <f t="shared" si="11"/>
        <v/>
      </c>
      <c r="K184" s="589"/>
      <c r="L184" s="589"/>
      <c r="M184" s="589"/>
      <c r="N184" s="589"/>
      <c r="O184" s="589"/>
      <c r="P184" s="589"/>
      <c r="Q184" s="589"/>
      <c r="R184" s="558" t="s">
        <v>2116</v>
      </c>
      <c r="S184" s="590"/>
      <c r="T184" s="591"/>
      <c r="U184" s="592"/>
      <c r="V184" s="605"/>
      <c r="W184" s="593"/>
      <c r="X184" s="594" t="s">
        <v>769</v>
      </c>
      <c r="Y184" s="595"/>
      <c r="Z184" s="605"/>
      <c r="AA184" s="596"/>
      <c r="AB184" s="597"/>
      <c r="AC184" s="594" t="s">
        <v>769</v>
      </c>
      <c r="AD184" s="595"/>
      <c r="AE184" s="589"/>
      <c r="AF184" s="589"/>
      <c r="AG184" s="589"/>
      <c r="AH184" s="589"/>
      <c r="AI184" s="589"/>
      <c r="AJ184" s="589"/>
      <c r="AK184" s="589"/>
      <c r="AL184" s="575"/>
      <c r="AM184" s="589"/>
      <c r="AN184" s="1397"/>
      <c r="AO184" s="1397"/>
      <c r="AP184" s="1397"/>
      <c r="AQ184" s="1397"/>
      <c r="AR184" s="1397"/>
      <c r="AS184" s="1397"/>
      <c r="AT184" s="1397"/>
      <c r="AU184" s="1397"/>
      <c r="AV184" s="1397"/>
      <c r="AW184" s="1397"/>
      <c r="AX184" s="1397"/>
      <c r="AY184" s="1397"/>
      <c r="AZ184" s="1397"/>
      <c r="BA184" s="1397"/>
      <c r="BB184" s="1397"/>
      <c r="BC184" s="1397"/>
      <c r="BD184" s="1397"/>
      <c r="BE184" s="1397"/>
      <c r="BF184" s="1397"/>
      <c r="BG184" s="1397"/>
      <c r="BH184" s="1397"/>
      <c r="BI184" s="1397"/>
      <c r="BJ184" s="1397"/>
      <c r="BK184" s="1397"/>
      <c r="BL184" s="1397"/>
      <c r="BM184" s="1397"/>
      <c r="BN184" s="1397"/>
    </row>
    <row r="185" spans="1:66" ht="13.5" hidden="1" outlineLevel="1" thickBot="1" x14ac:dyDescent="0.25">
      <c r="A185" s="589"/>
      <c r="B185" s="589"/>
      <c r="C185" s="589"/>
      <c r="D185" s="589"/>
      <c r="E185" s="589"/>
      <c r="F185" s="589"/>
      <c r="G185" s="2109" t="str">
        <f t="shared" si="10"/>
        <v/>
      </c>
      <c r="H185" s="589"/>
      <c r="I185" s="2096" t="str">
        <f t="shared" si="11"/>
        <v/>
      </c>
      <c r="K185" s="589"/>
      <c r="L185" s="589"/>
      <c r="M185" s="589"/>
      <c r="N185" s="589"/>
      <c r="O185" s="589"/>
      <c r="P185" s="589"/>
      <c r="Q185" s="589"/>
      <c r="R185" s="558" t="s">
        <v>2116</v>
      </c>
      <c r="S185" s="590"/>
      <c r="T185" s="591"/>
      <c r="U185" s="592"/>
      <c r="V185" s="605"/>
      <c r="W185" s="593"/>
      <c r="X185" s="594" t="s">
        <v>769</v>
      </c>
      <c r="Y185" s="595"/>
      <c r="Z185" s="605"/>
      <c r="AA185" s="596"/>
      <c r="AB185" s="597"/>
      <c r="AC185" s="594" t="s">
        <v>769</v>
      </c>
      <c r="AD185" s="595"/>
      <c r="AE185" s="589"/>
      <c r="AF185" s="589"/>
      <c r="AG185" s="589"/>
      <c r="AH185" s="589"/>
      <c r="AI185" s="589"/>
      <c r="AJ185" s="589"/>
      <c r="AK185" s="589"/>
      <c r="AL185" s="575"/>
      <c r="AM185" s="589"/>
      <c r="AN185" s="1397"/>
      <c r="AO185" s="1397"/>
      <c r="AP185" s="1397"/>
      <c r="AQ185" s="1397"/>
      <c r="AR185" s="1397"/>
      <c r="AS185" s="1397"/>
      <c r="AT185" s="1397"/>
      <c r="AU185" s="1397"/>
      <c r="AV185" s="1397"/>
      <c r="AW185" s="1397"/>
      <c r="AX185" s="1397"/>
      <c r="AY185" s="1397"/>
      <c r="AZ185" s="1397"/>
      <c r="BA185" s="1397"/>
      <c r="BB185" s="1397"/>
      <c r="BC185" s="1397"/>
      <c r="BD185" s="1397"/>
      <c r="BE185" s="1397"/>
      <c r="BF185" s="1397"/>
      <c r="BG185" s="1397"/>
      <c r="BH185" s="1397"/>
      <c r="BI185" s="1397"/>
      <c r="BJ185" s="1397"/>
      <c r="BK185" s="1397"/>
      <c r="BL185" s="1397"/>
      <c r="BM185" s="1397"/>
      <c r="BN185" s="1397"/>
    </row>
    <row r="186" spans="1:66" ht="13.5" hidden="1" outlineLevel="1" thickBot="1" x14ac:dyDescent="0.25">
      <c r="A186" s="589"/>
      <c r="B186" s="589"/>
      <c r="C186" s="589"/>
      <c r="D186" s="589"/>
      <c r="E186" s="589"/>
      <c r="F186" s="589"/>
      <c r="G186" s="2109" t="str">
        <f t="shared" si="10"/>
        <v/>
      </c>
      <c r="H186" s="589"/>
      <c r="I186" s="2096" t="str">
        <f t="shared" si="11"/>
        <v/>
      </c>
      <c r="K186" s="589"/>
      <c r="L186" s="589"/>
      <c r="M186" s="589"/>
      <c r="N186" s="589"/>
      <c r="O186" s="589"/>
      <c r="P186" s="589"/>
      <c r="Q186" s="589"/>
      <c r="R186" s="558" t="s">
        <v>2116</v>
      </c>
      <c r="S186" s="590"/>
      <c r="T186" s="591"/>
      <c r="U186" s="592"/>
      <c r="V186" s="605"/>
      <c r="W186" s="593"/>
      <c r="X186" s="594" t="s">
        <v>769</v>
      </c>
      <c r="Y186" s="595"/>
      <c r="Z186" s="605"/>
      <c r="AA186" s="596"/>
      <c r="AB186" s="597"/>
      <c r="AC186" s="594" t="s">
        <v>769</v>
      </c>
      <c r="AD186" s="595"/>
      <c r="AE186" s="589"/>
      <c r="AF186" s="589"/>
      <c r="AG186" s="589"/>
      <c r="AH186" s="589"/>
      <c r="AI186" s="589"/>
      <c r="AJ186" s="589"/>
      <c r="AK186" s="589"/>
      <c r="AL186" s="575"/>
      <c r="AM186" s="589"/>
      <c r="AN186" s="1397"/>
      <c r="AO186" s="1397"/>
      <c r="AP186" s="1397"/>
      <c r="AQ186" s="1397"/>
      <c r="AR186" s="1397"/>
      <c r="AS186" s="1397"/>
      <c r="AT186" s="1397"/>
      <c r="AU186" s="1397"/>
      <c r="AV186" s="1397"/>
      <c r="AW186" s="1397"/>
      <c r="AX186" s="1397"/>
      <c r="AY186" s="1397"/>
      <c r="AZ186" s="1397"/>
      <c r="BA186" s="1397"/>
      <c r="BB186" s="1397"/>
      <c r="BC186" s="1397"/>
      <c r="BD186" s="1397"/>
      <c r="BE186" s="1397"/>
      <c r="BF186" s="1397"/>
      <c r="BG186" s="1397"/>
      <c r="BH186" s="1397"/>
      <c r="BI186" s="1397"/>
      <c r="BJ186" s="1397"/>
      <c r="BK186" s="1397"/>
      <c r="BL186" s="1397"/>
      <c r="BM186" s="1397"/>
      <c r="BN186" s="1397"/>
    </row>
    <row r="187" spans="1:66" ht="13.5" hidden="1" outlineLevel="1" thickBot="1" x14ac:dyDescent="0.25">
      <c r="A187" s="589"/>
      <c r="B187" s="589"/>
      <c r="C187" s="589"/>
      <c r="D187" s="589"/>
      <c r="E187" s="589"/>
      <c r="F187" s="589"/>
      <c r="G187" s="2109" t="str">
        <f t="shared" si="10"/>
        <v/>
      </c>
      <c r="H187" s="589"/>
      <c r="I187" s="2096" t="str">
        <f t="shared" si="11"/>
        <v/>
      </c>
      <c r="K187" s="589"/>
      <c r="L187" s="589"/>
      <c r="M187" s="589"/>
      <c r="N187" s="589"/>
      <c r="O187" s="589"/>
      <c r="P187" s="589"/>
      <c r="Q187" s="589"/>
      <c r="R187" s="558" t="s">
        <v>2116</v>
      </c>
      <c r="S187" s="590"/>
      <c r="T187" s="591"/>
      <c r="U187" s="592"/>
      <c r="V187" s="605"/>
      <c r="W187" s="593"/>
      <c r="X187" s="594" t="s">
        <v>769</v>
      </c>
      <c r="Y187" s="595"/>
      <c r="Z187" s="605"/>
      <c r="AA187" s="596"/>
      <c r="AB187" s="597"/>
      <c r="AC187" s="594" t="s">
        <v>769</v>
      </c>
      <c r="AD187" s="595"/>
      <c r="AE187" s="589"/>
      <c r="AF187" s="589"/>
      <c r="AG187" s="589"/>
      <c r="AH187" s="589"/>
      <c r="AI187" s="589"/>
      <c r="AJ187" s="589"/>
      <c r="AK187" s="589"/>
      <c r="AL187" s="575"/>
      <c r="AM187" s="589"/>
      <c r="AN187" s="1397"/>
      <c r="AO187" s="1397"/>
      <c r="AP187" s="1397"/>
      <c r="AQ187" s="1397"/>
      <c r="AR187" s="1397"/>
      <c r="AS187" s="1397"/>
      <c r="AT187" s="1397"/>
      <c r="AU187" s="1397"/>
      <c r="AV187" s="1397"/>
      <c r="AW187" s="1397"/>
      <c r="AX187" s="1397"/>
      <c r="AY187" s="1397"/>
      <c r="AZ187" s="1397"/>
      <c r="BA187" s="1397"/>
      <c r="BB187" s="1397"/>
      <c r="BC187" s="1397"/>
      <c r="BD187" s="1397"/>
      <c r="BE187" s="1397"/>
      <c r="BF187" s="1397"/>
      <c r="BG187" s="1397"/>
      <c r="BH187" s="1397"/>
      <c r="BI187" s="1397"/>
      <c r="BJ187" s="1397"/>
      <c r="BK187" s="1397"/>
      <c r="BL187" s="1397"/>
      <c r="BM187" s="1397"/>
      <c r="BN187" s="1397"/>
    </row>
    <row r="188" spans="1:66" ht="13.5" hidden="1" outlineLevel="1" thickBot="1" x14ac:dyDescent="0.25">
      <c r="A188" s="589"/>
      <c r="B188" s="589"/>
      <c r="C188" s="589"/>
      <c r="D188" s="589"/>
      <c r="E188" s="589"/>
      <c r="F188" s="589"/>
      <c r="G188" s="2109" t="str">
        <f t="shared" si="10"/>
        <v/>
      </c>
      <c r="H188" s="589"/>
      <c r="I188" s="2096" t="str">
        <f t="shared" si="11"/>
        <v/>
      </c>
      <c r="K188" s="589"/>
      <c r="L188" s="589"/>
      <c r="M188" s="589"/>
      <c r="N188" s="589"/>
      <c r="O188" s="589"/>
      <c r="P188" s="589"/>
      <c r="Q188" s="589"/>
      <c r="R188" s="558" t="s">
        <v>2116</v>
      </c>
      <c r="S188" s="590"/>
      <c r="T188" s="591"/>
      <c r="U188" s="592"/>
      <c r="V188" s="605"/>
      <c r="W188" s="593"/>
      <c r="X188" s="594" t="s">
        <v>769</v>
      </c>
      <c r="Y188" s="595"/>
      <c r="Z188" s="605"/>
      <c r="AA188" s="596"/>
      <c r="AB188" s="597"/>
      <c r="AC188" s="594" t="s">
        <v>769</v>
      </c>
      <c r="AD188" s="595"/>
      <c r="AE188" s="589"/>
      <c r="AF188" s="589"/>
      <c r="AG188" s="589"/>
      <c r="AH188" s="589"/>
      <c r="AI188" s="589"/>
      <c r="AJ188" s="589"/>
      <c r="AK188" s="589"/>
      <c r="AL188" s="575"/>
      <c r="AM188" s="589"/>
      <c r="AN188" s="1397"/>
      <c r="AO188" s="1397"/>
      <c r="AP188" s="1397"/>
      <c r="AQ188" s="1397"/>
      <c r="AR188" s="1397"/>
      <c r="AS188" s="1397"/>
      <c r="AT188" s="1397"/>
      <c r="AU188" s="1397"/>
      <c r="AV188" s="1397"/>
      <c r="AW188" s="1397"/>
      <c r="AX188" s="1397"/>
      <c r="AY188" s="1397"/>
      <c r="AZ188" s="1397"/>
      <c r="BA188" s="1397"/>
      <c r="BB188" s="1397"/>
      <c r="BC188" s="1397"/>
      <c r="BD188" s="1397"/>
      <c r="BE188" s="1397"/>
      <c r="BF188" s="1397"/>
      <c r="BG188" s="1397"/>
      <c r="BH188" s="1397"/>
      <c r="BI188" s="1397"/>
      <c r="BJ188" s="1397"/>
      <c r="BK188" s="1397"/>
      <c r="BL188" s="1397"/>
      <c r="BM188" s="1397"/>
      <c r="BN188" s="1397"/>
    </row>
    <row r="189" spans="1:66" ht="13.5" hidden="1" outlineLevel="1" thickBot="1" x14ac:dyDescent="0.25">
      <c r="A189" s="589"/>
      <c r="B189" s="589"/>
      <c r="C189" s="589"/>
      <c r="D189" s="589"/>
      <c r="E189" s="589"/>
      <c r="F189" s="589"/>
      <c r="G189" s="2109" t="str">
        <f t="shared" si="10"/>
        <v/>
      </c>
      <c r="H189" s="589"/>
      <c r="I189" s="2096" t="str">
        <f t="shared" si="11"/>
        <v/>
      </c>
      <c r="K189" s="589"/>
      <c r="L189" s="589"/>
      <c r="M189" s="589"/>
      <c r="N189" s="589"/>
      <c r="O189" s="589"/>
      <c r="P189" s="589"/>
      <c r="Q189" s="589"/>
      <c r="R189" s="558" t="s">
        <v>2116</v>
      </c>
      <c r="S189" s="590"/>
      <c r="T189" s="591"/>
      <c r="U189" s="592"/>
      <c r="V189" s="605"/>
      <c r="W189" s="593"/>
      <c r="X189" s="594" t="s">
        <v>769</v>
      </c>
      <c r="Y189" s="595"/>
      <c r="Z189" s="605"/>
      <c r="AA189" s="596"/>
      <c r="AB189" s="597"/>
      <c r="AC189" s="594" t="s">
        <v>769</v>
      </c>
      <c r="AD189" s="595"/>
      <c r="AE189" s="589"/>
      <c r="AF189" s="589"/>
      <c r="AG189" s="589"/>
      <c r="AH189" s="589"/>
      <c r="AI189" s="589"/>
      <c r="AJ189" s="589"/>
      <c r="AK189" s="589"/>
      <c r="AL189" s="575"/>
      <c r="AM189" s="589"/>
      <c r="AN189" s="1397"/>
      <c r="AO189" s="1397"/>
      <c r="AP189" s="1397"/>
      <c r="AQ189" s="1397"/>
      <c r="AR189" s="1397"/>
      <c r="AS189" s="1397"/>
      <c r="AT189" s="1397"/>
      <c r="AU189" s="1397"/>
      <c r="AV189" s="1397"/>
      <c r="AW189" s="1397"/>
      <c r="AX189" s="1397"/>
      <c r="AY189" s="1397"/>
      <c r="AZ189" s="1397"/>
      <c r="BA189" s="1397"/>
      <c r="BB189" s="1397"/>
      <c r="BC189" s="1397"/>
      <c r="BD189" s="1397"/>
      <c r="BE189" s="1397"/>
      <c r="BF189" s="1397"/>
      <c r="BG189" s="1397"/>
      <c r="BH189" s="1397"/>
      <c r="BI189" s="1397"/>
      <c r="BJ189" s="1397"/>
      <c r="BK189" s="1397"/>
      <c r="BL189" s="1397"/>
      <c r="BM189" s="1397"/>
      <c r="BN189" s="1397"/>
    </row>
    <row r="190" spans="1:66" ht="13.5" hidden="1" outlineLevel="1" thickBot="1" x14ac:dyDescent="0.25">
      <c r="A190" s="589"/>
      <c r="B190" s="589"/>
      <c r="C190" s="589"/>
      <c r="D190" s="589"/>
      <c r="E190" s="589"/>
      <c r="F190" s="589"/>
      <c r="G190" s="2109" t="str">
        <f t="shared" si="10"/>
        <v/>
      </c>
      <c r="H190" s="589"/>
      <c r="I190" s="2096" t="str">
        <f t="shared" si="11"/>
        <v/>
      </c>
      <c r="K190" s="589"/>
      <c r="L190" s="589"/>
      <c r="M190" s="589"/>
      <c r="N190" s="589"/>
      <c r="O190" s="589"/>
      <c r="P190" s="589"/>
      <c r="Q190" s="589"/>
      <c r="R190" s="558" t="s">
        <v>2116</v>
      </c>
      <c r="S190" s="590"/>
      <c r="T190" s="591"/>
      <c r="U190" s="592"/>
      <c r="V190" s="605"/>
      <c r="W190" s="593"/>
      <c r="X190" s="594" t="s">
        <v>769</v>
      </c>
      <c r="Y190" s="595"/>
      <c r="Z190" s="605"/>
      <c r="AA190" s="596"/>
      <c r="AB190" s="597"/>
      <c r="AC190" s="594" t="s">
        <v>769</v>
      </c>
      <c r="AD190" s="595"/>
      <c r="AE190" s="589"/>
      <c r="AF190" s="589"/>
      <c r="AG190" s="589"/>
      <c r="AH190" s="589"/>
      <c r="AI190" s="589"/>
      <c r="AJ190" s="589"/>
      <c r="AK190" s="589"/>
      <c r="AL190" s="575"/>
      <c r="AM190" s="589"/>
      <c r="AN190" s="1397"/>
      <c r="AO190" s="1397"/>
      <c r="AP190" s="1397"/>
      <c r="AQ190" s="1397"/>
      <c r="AR190" s="1397"/>
      <c r="AS190" s="1397"/>
      <c r="AT190" s="1397"/>
      <c r="AU190" s="1397"/>
      <c r="AV190" s="1397"/>
      <c r="AW190" s="1397"/>
      <c r="AX190" s="1397"/>
      <c r="AY190" s="1397"/>
      <c r="AZ190" s="1397"/>
      <c r="BA190" s="1397"/>
      <c r="BB190" s="1397"/>
      <c r="BC190" s="1397"/>
      <c r="BD190" s="1397"/>
      <c r="BE190" s="1397"/>
      <c r="BF190" s="1397"/>
      <c r="BG190" s="1397"/>
      <c r="BH190" s="1397"/>
      <c r="BI190" s="1397"/>
      <c r="BJ190" s="1397"/>
      <c r="BK190" s="1397"/>
      <c r="BL190" s="1397"/>
      <c r="BM190" s="1397"/>
      <c r="BN190" s="1397"/>
    </row>
    <row r="191" spans="1:66" ht="13.5" hidden="1" outlineLevel="1" thickBot="1" x14ac:dyDescent="0.25">
      <c r="A191" s="589"/>
      <c r="B191" s="589"/>
      <c r="C191" s="589"/>
      <c r="D191" s="589"/>
      <c r="E191" s="589"/>
      <c r="F191" s="589"/>
      <c r="G191" s="2109" t="str">
        <f t="shared" si="10"/>
        <v/>
      </c>
      <c r="H191" s="589"/>
      <c r="I191" s="2096" t="str">
        <f t="shared" si="11"/>
        <v/>
      </c>
      <c r="K191" s="589"/>
      <c r="L191" s="589"/>
      <c r="M191" s="589"/>
      <c r="N191" s="589"/>
      <c r="O191" s="589"/>
      <c r="P191" s="589"/>
      <c r="Q191" s="589"/>
      <c r="R191" s="558" t="s">
        <v>2116</v>
      </c>
      <c r="S191" s="590"/>
      <c r="T191" s="591"/>
      <c r="U191" s="592"/>
      <c r="V191" s="605"/>
      <c r="W191" s="593"/>
      <c r="X191" s="594" t="s">
        <v>769</v>
      </c>
      <c r="Y191" s="595"/>
      <c r="Z191" s="605"/>
      <c r="AA191" s="596"/>
      <c r="AB191" s="597"/>
      <c r="AC191" s="594" t="s">
        <v>769</v>
      </c>
      <c r="AD191" s="595"/>
      <c r="AE191" s="589"/>
      <c r="AF191" s="589"/>
      <c r="AG191" s="589"/>
      <c r="AH191" s="589"/>
      <c r="AI191" s="589"/>
      <c r="AJ191" s="589"/>
      <c r="AK191" s="589"/>
      <c r="AL191" s="575"/>
      <c r="AM191" s="589"/>
      <c r="AN191" s="1397"/>
      <c r="AO191" s="1397"/>
      <c r="AP191" s="1397"/>
      <c r="AQ191" s="1397"/>
      <c r="AR191" s="1397"/>
      <c r="AS191" s="1397"/>
      <c r="AT191" s="1397"/>
      <c r="AU191" s="1397"/>
      <c r="AV191" s="1397"/>
      <c r="AW191" s="1397"/>
      <c r="AX191" s="1397"/>
      <c r="AY191" s="1397"/>
      <c r="AZ191" s="1397"/>
      <c r="BA191" s="1397"/>
      <c r="BB191" s="1397"/>
      <c r="BC191" s="1397"/>
      <c r="BD191" s="1397"/>
      <c r="BE191" s="1397"/>
      <c r="BF191" s="1397"/>
      <c r="BG191" s="1397"/>
      <c r="BH191" s="1397"/>
      <c r="BI191" s="1397"/>
      <c r="BJ191" s="1397"/>
      <c r="BK191" s="1397"/>
      <c r="BL191" s="1397"/>
      <c r="BM191" s="1397"/>
      <c r="BN191" s="1397"/>
    </row>
    <row r="192" spans="1:66" ht="13.5" hidden="1" outlineLevel="1" thickBot="1" x14ac:dyDescent="0.25">
      <c r="A192" s="589"/>
      <c r="B192" s="589"/>
      <c r="C192" s="589"/>
      <c r="D192" s="589"/>
      <c r="E192" s="589"/>
      <c r="F192" s="589"/>
      <c r="G192" s="2109" t="str">
        <f t="shared" si="10"/>
        <v/>
      </c>
      <c r="H192" s="589"/>
      <c r="I192" s="2096" t="str">
        <f t="shared" si="11"/>
        <v/>
      </c>
      <c r="K192" s="589"/>
      <c r="L192" s="589"/>
      <c r="M192" s="589"/>
      <c r="N192" s="589"/>
      <c r="O192" s="589"/>
      <c r="P192" s="589"/>
      <c r="Q192" s="589"/>
      <c r="R192" s="558" t="s">
        <v>2116</v>
      </c>
      <c r="S192" s="590"/>
      <c r="T192" s="591"/>
      <c r="U192" s="592"/>
      <c r="V192" s="605"/>
      <c r="W192" s="593"/>
      <c r="X192" s="594" t="s">
        <v>769</v>
      </c>
      <c r="Y192" s="595"/>
      <c r="Z192" s="605"/>
      <c r="AA192" s="596"/>
      <c r="AB192" s="597"/>
      <c r="AC192" s="594" t="s">
        <v>769</v>
      </c>
      <c r="AD192" s="595"/>
      <c r="AE192" s="589"/>
      <c r="AF192" s="589"/>
      <c r="AG192" s="589"/>
      <c r="AH192" s="589"/>
      <c r="AI192" s="589"/>
      <c r="AJ192" s="589"/>
      <c r="AK192" s="589"/>
      <c r="AL192" s="575"/>
      <c r="AM192" s="589"/>
      <c r="AN192" s="1397"/>
      <c r="AO192" s="1397"/>
      <c r="AP192" s="1397"/>
      <c r="AQ192" s="1397"/>
      <c r="AR192" s="1397"/>
      <c r="AS192" s="1397"/>
      <c r="AT192" s="1397"/>
      <c r="AU192" s="1397"/>
      <c r="AV192" s="1397"/>
      <c r="AW192" s="1397"/>
      <c r="AX192" s="1397"/>
      <c r="AY192" s="1397"/>
      <c r="AZ192" s="1397"/>
      <c r="BA192" s="1397"/>
      <c r="BB192" s="1397"/>
      <c r="BC192" s="1397"/>
      <c r="BD192" s="1397"/>
      <c r="BE192" s="1397"/>
      <c r="BF192" s="1397"/>
      <c r="BG192" s="1397"/>
      <c r="BH192" s="1397"/>
      <c r="BI192" s="1397"/>
      <c r="BJ192" s="1397"/>
      <c r="BK192" s="1397"/>
      <c r="BL192" s="1397"/>
      <c r="BM192" s="1397"/>
      <c r="BN192" s="1397"/>
    </row>
    <row r="193" spans="1:66" ht="13.5" hidden="1" outlineLevel="1" thickBot="1" x14ac:dyDescent="0.25">
      <c r="A193" s="589"/>
      <c r="B193" s="589"/>
      <c r="C193" s="589"/>
      <c r="D193" s="589"/>
      <c r="E193" s="589"/>
      <c r="F193" s="589"/>
      <c r="G193" s="2109" t="str">
        <f t="shared" si="10"/>
        <v/>
      </c>
      <c r="H193" s="589"/>
      <c r="I193" s="2096" t="str">
        <f t="shared" si="11"/>
        <v/>
      </c>
      <c r="K193" s="589"/>
      <c r="L193" s="589"/>
      <c r="M193" s="589"/>
      <c r="N193" s="589"/>
      <c r="O193" s="589"/>
      <c r="P193" s="589"/>
      <c r="Q193" s="589"/>
      <c r="R193" s="558" t="s">
        <v>2116</v>
      </c>
      <c r="S193" s="590"/>
      <c r="T193" s="591"/>
      <c r="U193" s="592"/>
      <c r="V193" s="605"/>
      <c r="W193" s="593"/>
      <c r="X193" s="594" t="s">
        <v>769</v>
      </c>
      <c r="Y193" s="595"/>
      <c r="Z193" s="605"/>
      <c r="AA193" s="596"/>
      <c r="AB193" s="597"/>
      <c r="AC193" s="594" t="s">
        <v>769</v>
      </c>
      <c r="AD193" s="595"/>
      <c r="AE193" s="589"/>
      <c r="AF193" s="589"/>
      <c r="AG193" s="589"/>
      <c r="AH193" s="589"/>
      <c r="AI193" s="589"/>
      <c r="AJ193" s="589"/>
      <c r="AK193" s="589"/>
      <c r="AL193" s="575"/>
      <c r="AM193" s="589"/>
      <c r="AN193" s="1397"/>
      <c r="AO193" s="1397"/>
      <c r="AP193" s="1397"/>
      <c r="AQ193" s="1397"/>
      <c r="AR193" s="1397"/>
      <c r="AS193" s="1397"/>
      <c r="AT193" s="1397"/>
      <c r="AU193" s="1397"/>
      <c r="AV193" s="1397"/>
      <c r="AW193" s="1397"/>
      <c r="AX193" s="1397"/>
      <c r="AY193" s="1397"/>
      <c r="AZ193" s="1397"/>
      <c r="BA193" s="1397"/>
      <c r="BB193" s="1397"/>
      <c r="BC193" s="1397"/>
      <c r="BD193" s="1397"/>
      <c r="BE193" s="1397"/>
      <c r="BF193" s="1397"/>
      <c r="BG193" s="1397"/>
      <c r="BH193" s="1397"/>
      <c r="BI193" s="1397"/>
      <c r="BJ193" s="1397"/>
      <c r="BK193" s="1397"/>
      <c r="BL193" s="1397"/>
      <c r="BM193" s="1397"/>
      <c r="BN193" s="1397"/>
    </row>
    <row r="194" spans="1:66" ht="13.5" hidden="1" outlineLevel="1" thickBot="1" x14ac:dyDescent="0.25">
      <c r="A194" s="589"/>
      <c r="B194" s="589"/>
      <c r="C194" s="589"/>
      <c r="D194" s="589"/>
      <c r="E194" s="589"/>
      <c r="F194" s="589"/>
      <c r="G194" s="2109" t="str">
        <f t="shared" si="10"/>
        <v/>
      </c>
      <c r="H194" s="589"/>
      <c r="I194" s="2096" t="str">
        <f t="shared" si="11"/>
        <v/>
      </c>
      <c r="K194" s="589"/>
      <c r="L194" s="589"/>
      <c r="M194" s="589"/>
      <c r="N194" s="589"/>
      <c r="O194" s="589"/>
      <c r="P194" s="589"/>
      <c r="Q194" s="589"/>
      <c r="R194" s="558" t="s">
        <v>2116</v>
      </c>
      <c r="S194" s="590"/>
      <c r="T194" s="591"/>
      <c r="U194" s="592"/>
      <c r="V194" s="605"/>
      <c r="W194" s="593"/>
      <c r="X194" s="594" t="s">
        <v>769</v>
      </c>
      <c r="Y194" s="595"/>
      <c r="Z194" s="605"/>
      <c r="AA194" s="596"/>
      <c r="AB194" s="597"/>
      <c r="AC194" s="594" t="s">
        <v>769</v>
      </c>
      <c r="AD194" s="595"/>
      <c r="AE194" s="589"/>
      <c r="AF194" s="589"/>
      <c r="AG194" s="589"/>
      <c r="AH194" s="589"/>
      <c r="AI194" s="589"/>
      <c r="AJ194" s="589"/>
      <c r="AK194" s="589"/>
      <c r="AL194" s="575"/>
      <c r="AM194" s="589"/>
      <c r="AN194" s="1397"/>
      <c r="AO194" s="1397"/>
      <c r="AP194" s="1397"/>
      <c r="AQ194" s="1397"/>
      <c r="AR194" s="1397"/>
      <c r="AS194" s="1397"/>
      <c r="AT194" s="1397"/>
      <c r="AU194" s="1397"/>
      <c r="AV194" s="1397"/>
      <c r="AW194" s="1397"/>
      <c r="AX194" s="1397"/>
      <c r="AY194" s="1397"/>
      <c r="AZ194" s="1397"/>
      <c r="BA194" s="1397"/>
      <c r="BB194" s="1397"/>
      <c r="BC194" s="1397"/>
      <c r="BD194" s="1397"/>
      <c r="BE194" s="1397"/>
      <c r="BF194" s="1397"/>
      <c r="BG194" s="1397"/>
      <c r="BH194" s="1397"/>
      <c r="BI194" s="1397"/>
      <c r="BJ194" s="1397"/>
      <c r="BK194" s="1397"/>
      <c r="BL194" s="1397"/>
      <c r="BM194" s="1397"/>
      <c r="BN194" s="1397"/>
    </row>
    <row r="195" spans="1:66" ht="13.5" hidden="1" outlineLevel="1" thickBot="1" x14ac:dyDescent="0.25">
      <c r="A195" s="589"/>
      <c r="B195" s="589"/>
      <c r="C195" s="589"/>
      <c r="D195" s="589"/>
      <c r="E195" s="589"/>
      <c r="F195" s="589"/>
      <c r="G195" s="2109" t="str">
        <f t="shared" si="10"/>
        <v/>
      </c>
      <c r="H195" s="589"/>
      <c r="I195" s="2096" t="str">
        <f t="shared" si="11"/>
        <v/>
      </c>
      <c r="K195" s="589"/>
      <c r="L195" s="589"/>
      <c r="M195" s="589"/>
      <c r="N195" s="589"/>
      <c r="O195" s="589"/>
      <c r="P195" s="589"/>
      <c r="Q195" s="589"/>
      <c r="R195" s="558" t="s">
        <v>2116</v>
      </c>
      <c r="S195" s="590"/>
      <c r="T195" s="591"/>
      <c r="U195" s="592"/>
      <c r="V195" s="605"/>
      <c r="W195" s="593"/>
      <c r="X195" s="594" t="s">
        <v>769</v>
      </c>
      <c r="Y195" s="595"/>
      <c r="Z195" s="605"/>
      <c r="AA195" s="596"/>
      <c r="AB195" s="597"/>
      <c r="AC195" s="594" t="s">
        <v>769</v>
      </c>
      <c r="AD195" s="595"/>
      <c r="AE195" s="589"/>
      <c r="AF195" s="589"/>
      <c r="AG195" s="589"/>
      <c r="AH195" s="589"/>
      <c r="AI195" s="589"/>
      <c r="AJ195" s="589"/>
      <c r="AK195" s="589"/>
      <c r="AL195" s="575"/>
      <c r="AM195" s="589"/>
      <c r="AN195" s="1397"/>
      <c r="AO195" s="1397"/>
      <c r="AP195" s="1397"/>
      <c r="AQ195" s="1397"/>
      <c r="AR195" s="1397"/>
      <c r="AS195" s="1397"/>
      <c r="AT195" s="1397"/>
      <c r="AU195" s="1397"/>
      <c r="AV195" s="1397"/>
      <c r="AW195" s="1397"/>
      <c r="AX195" s="1397"/>
      <c r="AY195" s="1397"/>
      <c r="AZ195" s="1397"/>
      <c r="BA195" s="1397"/>
      <c r="BB195" s="1397"/>
      <c r="BC195" s="1397"/>
      <c r="BD195" s="1397"/>
      <c r="BE195" s="1397"/>
      <c r="BF195" s="1397"/>
      <c r="BG195" s="1397"/>
      <c r="BH195" s="1397"/>
      <c r="BI195" s="1397"/>
      <c r="BJ195" s="1397"/>
      <c r="BK195" s="1397"/>
      <c r="BL195" s="1397"/>
      <c r="BM195" s="1397"/>
      <c r="BN195" s="1397"/>
    </row>
    <row r="196" spans="1:66" ht="13.5" hidden="1" outlineLevel="1" thickBot="1" x14ac:dyDescent="0.25">
      <c r="A196" s="589"/>
      <c r="B196" s="589"/>
      <c r="C196" s="589"/>
      <c r="D196" s="589"/>
      <c r="E196" s="589"/>
      <c r="F196" s="589"/>
      <c r="G196" s="2109" t="str">
        <f t="shared" si="10"/>
        <v/>
      </c>
      <c r="H196" s="589"/>
      <c r="I196" s="2096" t="str">
        <f t="shared" si="11"/>
        <v/>
      </c>
      <c r="K196" s="589"/>
      <c r="L196" s="589"/>
      <c r="M196" s="589"/>
      <c r="N196" s="589"/>
      <c r="O196" s="589"/>
      <c r="P196" s="589"/>
      <c r="Q196" s="589"/>
      <c r="R196" s="558" t="s">
        <v>2116</v>
      </c>
      <c r="S196" s="590"/>
      <c r="T196" s="591"/>
      <c r="U196" s="592"/>
      <c r="V196" s="605"/>
      <c r="W196" s="593"/>
      <c r="X196" s="594" t="s">
        <v>769</v>
      </c>
      <c r="Y196" s="595"/>
      <c r="Z196" s="605"/>
      <c r="AA196" s="596"/>
      <c r="AB196" s="597"/>
      <c r="AC196" s="594" t="s">
        <v>769</v>
      </c>
      <c r="AD196" s="595"/>
      <c r="AE196" s="589"/>
      <c r="AF196" s="589"/>
      <c r="AG196" s="589"/>
      <c r="AH196" s="589"/>
      <c r="AI196" s="589"/>
      <c r="AJ196" s="589"/>
      <c r="AK196" s="589"/>
      <c r="AL196" s="575"/>
      <c r="AM196" s="589"/>
      <c r="AN196" s="1397"/>
      <c r="AO196" s="1397"/>
      <c r="AP196" s="1397"/>
      <c r="AQ196" s="1397"/>
      <c r="AR196" s="1397"/>
      <c r="AS196" s="1397"/>
      <c r="AT196" s="1397"/>
      <c r="AU196" s="1397"/>
      <c r="AV196" s="1397"/>
      <c r="AW196" s="1397"/>
      <c r="AX196" s="1397"/>
      <c r="AY196" s="1397"/>
      <c r="AZ196" s="1397"/>
      <c r="BA196" s="1397"/>
      <c r="BB196" s="1397"/>
      <c r="BC196" s="1397"/>
      <c r="BD196" s="1397"/>
      <c r="BE196" s="1397"/>
      <c r="BF196" s="1397"/>
      <c r="BG196" s="1397"/>
      <c r="BH196" s="1397"/>
      <c r="BI196" s="1397"/>
      <c r="BJ196" s="1397"/>
      <c r="BK196" s="1397"/>
      <c r="BL196" s="1397"/>
      <c r="BM196" s="1397"/>
      <c r="BN196" s="1397"/>
    </row>
    <row r="197" spans="1:66" ht="13.5" hidden="1" outlineLevel="1" thickBot="1" x14ac:dyDescent="0.25">
      <c r="A197" s="589"/>
      <c r="B197" s="589"/>
      <c r="C197" s="589"/>
      <c r="D197" s="589"/>
      <c r="E197" s="589"/>
      <c r="F197" s="589"/>
      <c r="G197" s="2109" t="str">
        <f t="shared" si="10"/>
        <v/>
      </c>
      <c r="H197" s="589"/>
      <c r="I197" s="2096" t="str">
        <f t="shared" si="11"/>
        <v/>
      </c>
      <c r="K197" s="589"/>
      <c r="L197" s="589"/>
      <c r="M197" s="589"/>
      <c r="N197" s="589"/>
      <c r="O197" s="589"/>
      <c r="P197" s="589"/>
      <c r="Q197" s="589"/>
      <c r="R197" s="558" t="s">
        <v>2116</v>
      </c>
      <c r="S197" s="590"/>
      <c r="T197" s="591"/>
      <c r="U197" s="592"/>
      <c r="V197" s="605"/>
      <c r="W197" s="593"/>
      <c r="X197" s="594" t="s">
        <v>769</v>
      </c>
      <c r="Y197" s="595"/>
      <c r="Z197" s="605"/>
      <c r="AA197" s="596"/>
      <c r="AB197" s="597"/>
      <c r="AC197" s="594" t="s">
        <v>769</v>
      </c>
      <c r="AD197" s="595"/>
      <c r="AE197" s="589"/>
      <c r="AF197" s="589"/>
      <c r="AG197" s="589"/>
      <c r="AH197" s="589"/>
      <c r="AI197" s="589"/>
      <c r="AJ197" s="589"/>
      <c r="AK197" s="589"/>
      <c r="AL197" s="575"/>
      <c r="AM197" s="589"/>
      <c r="AN197" s="1397"/>
      <c r="AO197" s="1397"/>
      <c r="AP197" s="1397"/>
      <c r="AQ197" s="1397"/>
      <c r="AR197" s="1397"/>
      <c r="AS197" s="1397"/>
      <c r="AT197" s="1397"/>
      <c r="AU197" s="1397"/>
      <c r="AV197" s="1397"/>
      <c r="AW197" s="1397"/>
      <c r="AX197" s="1397"/>
      <c r="AY197" s="1397"/>
      <c r="AZ197" s="1397"/>
      <c r="BA197" s="1397"/>
      <c r="BB197" s="1397"/>
      <c r="BC197" s="1397"/>
      <c r="BD197" s="1397"/>
      <c r="BE197" s="1397"/>
      <c r="BF197" s="1397"/>
      <c r="BG197" s="1397"/>
      <c r="BH197" s="1397"/>
      <c r="BI197" s="1397"/>
      <c r="BJ197" s="1397"/>
      <c r="BK197" s="1397"/>
      <c r="BL197" s="1397"/>
      <c r="BM197" s="1397"/>
      <c r="BN197" s="1397"/>
    </row>
    <row r="198" spans="1:66" ht="13.5" hidden="1" outlineLevel="1" thickBot="1" x14ac:dyDescent="0.25">
      <c r="A198" s="589"/>
      <c r="B198" s="589"/>
      <c r="C198" s="589"/>
      <c r="D198" s="589"/>
      <c r="E198" s="589"/>
      <c r="F198" s="589"/>
      <c r="G198" s="2109" t="str">
        <f t="shared" si="10"/>
        <v/>
      </c>
      <c r="H198" s="589"/>
      <c r="I198" s="2096" t="str">
        <f t="shared" si="11"/>
        <v/>
      </c>
      <c r="K198" s="589"/>
      <c r="L198" s="589"/>
      <c r="M198" s="589"/>
      <c r="N198" s="589"/>
      <c r="O198" s="589"/>
      <c r="P198" s="589"/>
      <c r="Q198" s="589"/>
      <c r="R198" s="558" t="s">
        <v>2116</v>
      </c>
      <c r="S198" s="590"/>
      <c r="T198" s="591"/>
      <c r="U198" s="592"/>
      <c r="V198" s="605"/>
      <c r="W198" s="593"/>
      <c r="X198" s="594" t="s">
        <v>769</v>
      </c>
      <c r="Y198" s="595"/>
      <c r="Z198" s="605"/>
      <c r="AA198" s="596"/>
      <c r="AB198" s="597"/>
      <c r="AC198" s="594" t="s">
        <v>769</v>
      </c>
      <c r="AD198" s="595"/>
      <c r="AE198" s="589"/>
      <c r="AF198" s="589"/>
      <c r="AG198" s="589"/>
      <c r="AH198" s="589"/>
      <c r="AI198" s="589"/>
      <c r="AJ198" s="589"/>
      <c r="AK198" s="589"/>
      <c r="AL198" s="575"/>
      <c r="AM198" s="589"/>
      <c r="AN198" s="1397"/>
      <c r="AO198" s="1397"/>
      <c r="AP198" s="1397"/>
      <c r="AQ198" s="1397"/>
      <c r="AR198" s="1397"/>
      <c r="AS198" s="1397"/>
      <c r="AT198" s="1397"/>
      <c r="AU198" s="1397"/>
      <c r="AV198" s="1397"/>
      <c r="AW198" s="1397"/>
      <c r="AX198" s="1397"/>
      <c r="AY198" s="1397"/>
      <c r="AZ198" s="1397"/>
      <c r="BA198" s="1397"/>
      <c r="BB198" s="1397"/>
      <c r="BC198" s="1397"/>
      <c r="BD198" s="1397"/>
      <c r="BE198" s="1397"/>
      <c r="BF198" s="1397"/>
      <c r="BG198" s="1397"/>
      <c r="BH198" s="1397"/>
      <c r="BI198" s="1397"/>
      <c r="BJ198" s="1397"/>
      <c r="BK198" s="1397"/>
      <c r="BL198" s="1397"/>
      <c r="BM198" s="1397"/>
      <c r="BN198" s="1397"/>
    </row>
    <row r="199" spans="1:66" ht="13.5" hidden="1" outlineLevel="1" thickBot="1" x14ac:dyDescent="0.25">
      <c r="A199" s="589"/>
      <c r="B199" s="589"/>
      <c r="C199" s="589"/>
      <c r="D199" s="589"/>
      <c r="E199" s="589"/>
      <c r="F199" s="589"/>
      <c r="G199" s="2109" t="str">
        <f t="shared" si="10"/>
        <v/>
      </c>
      <c r="H199" s="589"/>
      <c r="I199" s="2096" t="str">
        <f t="shared" si="11"/>
        <v/>
      </c>
      <c r="K199" s="589"/>
      <c r="L199" s="589"/>
      <c r="M199" s="589"/>
      <c r="N199" s="589"/>
      <c r="O199" s="589"/>
      <c r="P199" s="589"/>
      <c r="Q199" s="589"/>
      <c r="R199" s="558" t="s">
        <v>2116</v>
      </c>
      <c r="S199" s="590"/>
      <c r="T199" s="591"/>
      <c r="U199" s="592"/>
      <c r="V199" s="605"/>
      <c r="W199" s="593"/>
      <c r="X199" s="594" t="s">
        <v>769</v>
      </c>
      <c r="Y199" s="595"/>
      <c r="Z199" s="605"/>
      <c r="AA199" s="596"/>
      <c r="AB199" s="597"/>
      <c r="AC199" s="594" t="s">
        <v>769</v>
      </c>
      <c r="AD199" s="595"/>
      <c r="AE199" s="589"/>
      <c r="AF199" s="589"/>
      <c r="AG199" s="589"/>
      <c r="AH199" s="589"/>
      <c r="AI199" s="589"/>
      <c r="AJ199" s="589"/>
      <c r="AK199" s="589"/>
      <c r="AL199" s="575"/>
      <c r="AM199" s="589"/>
      <c r="AN199" s="1397"/>
      <c r="AO199" s="1397"/>
      <c r="AP199" s="1397"/>
      <c r="AQ199" s="1397"/>
      <c r="AR199" s="1397"/>
      <c r="AS199" s="1397"/>
      <c r="AT199" s="1397"/>
      <c r="AU199" s="1397"/>
      <c r="AV199" s="1397"/>
      <c r="AW199" s="1397"/>
      <c r="AX199" s="1397"/>
      <c r="AY199" s="1397"/>
      <c r="AZ199" s="1397"/>
      <c r="BA199" s="1397"/>
      <c r="BB199" s="1397"/>
      <c r="BC199" s="1397"/>
      <c r="BD199" s="1397"/>
      <c r="BE199" s="1397"/>
      <c r="BF199" s="1397"/>
      <c r="BG199" s="1397"/>
      <c r="BH199" s="1397"/>
      <c r="BI199" s="1397"/>
      <c r="BJ199" s="1397"/>
      <c r="BK199" s="1397"/>
      <c r="BL199" s="1397"/>
      <c r="BM199" s="1397"/>
      <c r="BN199" s="1397"/>
    </row>
    <row r="200" spans="1:66" ht="13.5" hidden="1" outlineLevel="1" thickBot="1" x14ac:dyDescent="0.25">
      <c r="A200" s="589"/>
      <c r="B200" s="589"/>
      <c r="C200" s="589"/>
      <c r="D200" s="589"/>
      <c r="E200" s="589"/>
      <c r="F200" s="589"/>
      <c r="G200" s="2109" t="str">
        <f t="shared" si="10"/>
        <v/>
      </c>
      <c r="H200" s="589"/>
      <c r="I200" s="2096" t="str">
        <f t="shared" si="11"/>
        <v/>
      </c>
      <c r="K200" s="589"/>
      <c r="L200" s="589"/>
      <c r="M200" s="589"/>
      <c r="N200" s="589"/>
      <c r="O200" s="589"/>
      <c r="P200" s="589"/>
      <c r="Q200" s="589"/>
      <c r="R200" s="558" t="s">
        <v>2116</v>
      </c>
      <c r="S200" s="590"/>
      <c r="T200" s="591"/>
      <c r="U200" s="592"/>
      <c r="V200" s="605"/>
      <c r="W200" s="593"/>
      <c r="X200" s="594" t="s">
        <v>769</v>
      </c>
      <c r="Y200" s="595"/>
      <c r="Z200" s="605"/>
      <c r="AA200" s="596"/>
      <c r="AB200" s="597"/>
      <c r="AC200" s="594" t="s">
        <v>769</v>
      </c>
      <c r="AD200" s="595"/>
      <c r="AE200" s="589"/>
      <c r="AF200" s="589"/>
      <c r="AG200" s="589"/>
      <c r="AH200" s="589"/>
      <c r="AI200" s="589"/>
      <c r="AJ200" s="589"/>
      <c r="AK200" s="589"/>
      <c r="AL200" s="575"/>
      <c r="AM200" s="589"/>
      <c r="AN200" s="1397"/>
      <c r="AO200" s="1397"/>
      <c r="AP200" s="1397"/>
      <c r="AQ200" s="1397"/>
      <c r="AR200" s="1397"/>
      <c r="AS200" s="1397"/>
      <c r="AT200" s="1397"/>
      <c r="AU200" s="1397"/>
      <c r="AV200" s="1397"/>
      <c r="AW200" s="1397"/>
      <c r="AX200" s="1397"/>
      <c r="AY200" s="1397"/>
      <c r="AZ200" s="1397"/>
      <c r="BA200" s="1397"/>
      <c r="BB200" s="1397"/>
      <c r="BC200" s="1397"/>
      <c r="BD200" s="1397"/>
      <c r="BE200" s="1397"/>
      <c r="BF200" s="1397"/>
      <c r="BG200" s="1397"/>
      <c r="BH200" s="1397"/>
      <c r="BI200" s="1397"/>
      <c r="BJ200" s="1397"/>
      <c r="BK200" s="1397"/>
      <c r="BL200" s="1397"/>
      <c r="BM200" s="1397"/>
      <c r="BN200" s="1397"/>
    </row>
    <row r="201" spans="1:66" ht="13.5" hidden="1" outlineLevel="1" thickBot="1" x14ac:dyDescent="0.25">
      <c r="A201" s="589"/>
      <c r="B201" s="589"/>
      <c r="C201" s="589"/>
      <c r="D201" s="589"/>
      <c r="E201" s="589"/>
      <c r="F201" s="589"/>
      <c r="G201" s="2109" t="str">
        <f t="shared" si="10"/>
        <v/>
      </c>
      <c r="H201" s="589"/>
      <c r="I201" s="2096" t="str">
        <f t="shared" si="11"/>
        <v/>
      </c>
      <c r="K201" s="589"/>
      <c r="L201" s="589"/>
      <c r="M201" s="589"/>
      <c r="N201" s="589"/>
      <c r="O201" s="589"/>
      <c r="P201" s="589"/>
      <c r="Q201" s="589"/>
      <c r="R201" s="558" t="s">
        <v>2116</v>
      </c>
      <c r="S201" s="590"/>
      <c r="T201" s="591"/>
      <c r="U201" s="592"/>
      <c r="V201" s="605"/>
      <c r="W201" s="593"/>
      <c r="X201" s="594" t="s">
        <v>769</v>
      </c>
      <c r="Y201" s="595"/>
      <c r="Z201" s="605"/>
      <c r="AA201" s="596"/>
      <c r="AB201" s="597"/>
      <c r="AC201" s="594" t="s">
        <v>769</v>
      </c>
      <c r="AD201" s="595"/>
      <c r="AE201" s="589"/>
      <c r="AF201" s="589"/>
      <c r="AG201" s="589"/>
      <c r="AH201" s="589"/>
      <c r="AI201" s="589"/>
      <c r="AJ201" s="589"/>
      <c r="AK201" s="589"/>
      <c r="AL201" s="575"/>
      <c r="AM201" s="589"/>
      <c r="AN201" s="1397"/>
      <c r="AO201" s="1397"/>
      <c r="AP201" s="1397"/>
      <c r="AQ201" s="1397"/>
      <c r="AR201" s="1397"/>
      <c r="AS201" s="1397"/>
      <c r="AT201" s="1397"/>
      <c r="AU201" s="1397"/>
      <c r="AV201" s="1397"/>
      <c r="AW201" s="1397"/>
      <c r="AX201" s="1397"/>
      <c r="AY201" s="1397"/>
      <c r="AZ201" s="1397"/>
      <c r="BA201" s="1397"/>
      <c r="BB201" s="1397"/>
      <c r="BC201" s="1397"/>
      <c r="BD201" s="1397"/>
      <c r="BE201" s="1397"/>
      <c r="BF201" s="1397"/>
      <c r="BG201" s="1397"/>
      <c r="BH201" s="1397"/>
      <c r="BI201" s="1397"/>
      <c r="BJ201" s="1397"/>
      <c r="BK201" s="1397"/>
      <c r="BL201" s="1397"/>
      <c r="BM201" s="1397"/>
      <c r="BN201" s="1397"/>
    </row>
    <row r="202" spans="1:66" ht="13.5" hidden="1" outlineLevel="1" thickBot="1" x14ac:dyDescent="0.25">
      <c r="A202" s="589"/>
      <c r="B202" s="589"/>
      <c r="C202" s="589"/>
      <c r="D202" s="589"/>
      <c r="E202" s="589"/>
      <c r="F202" s="589"/>
      <c r="G202" s="2109" t="str">
        <f t="shared" si="10"/>
        <v/>
      </c>
      <c r="H202" s="589"/>
      <c r="I202" s="2096" t="str">
        <f t="shared" si="11"/>
        <v/>
      </c>
      <c r="K202" s="589"/>
      <c r="L202" s="589"/>
      <c r="M202" s="589"/>
      <c r="N202" s="589"/>
      <c r="O202" s="589"/>
      <c r="P202" s="589"/>
      <c r="Q202" s="589"/>
      <c r="R202" s="558" t="s">
        <v>2116</v>
      </c>
      <c r="S202" s="590"/>
      <c r="T202" s="591"/>
      <c r="U202" s="592"/>
      <c r="V202" s="605"/>
      <c r="W202" s="593"/>
      <c r="X202" s="594" t="s">
        <v>769</v>
      </c>
      <c r="Y202" s="595"/>
      <c r="Z202" s="605"/>
      <c r="AA202" s="596"/>
      <c r="AB202" s="597"/>
      <c r="AC202" s="594" t="s">
        <v>769</v>
      </c>
      <c r="AD202" s="595"/>
      <c r="AE202" s="589"/>
      <c r="AF202" s="589"/>
      <c r="AG202" s="589"/>
      <c r="AH202" s="589"/>
      <c r="AI202" s="589"/>
      <c r="AJ202" s="589"/>
      <c r="AK202" s="589"/>
      <c r="AL202" s="575"/>
      <c r="AM202" s="589"/>
      <c r="AN202" s="1397"/>
      <c r="AO202" s="1397"/>
      <c r="AP202" s="1397"/>
      <c r="AQ202" s="1397"/>
      <c r="AR202" s="1397"/>
      <c r="AS202" s="1397"/>
      <c r="AT202" s="1397"/>
      <c r="AU202" s="1397"/>
      <c r="AV202" s="1397"/>
      <c r="AW202" s="1397"/>
      <c r="AX202" s="1397"/>
      <c r="AY202" s="1397"/>
      <c r="AZ202" s="1397"/>
      <c r="BA202" s="1397"/>
      <c r="BB202" s="1397"/>
      <c r="BC202" s="1397"/>
      <c r="BD202" s="1397"/>
      <c r="BE202" s="1397"/>
      <c r="BF202" s="1397"/>
      <c r="BG202" s="1397"/>
      <c r="BH202" s="1397"/>
      <c r="BI202" s="1397"/>
      <c r="BJ202" s="1397"/>
      <c r="BK202" s="1397"/>
      <c r="BL202" s="1397"/>
      <c r="BM202" s="1397"/>
      <c r="BN202" s="1397"/>
    </row>
    <row r="203" spans="1:66" ht="13.5" hidden="1" outlineLevel="1" thickBot="1" x14ac:dyDescent="0.25">
      <c r="A203" s="589"/>
      <c r="B203" s="589"/>
      <c r="C203" s="589"/>
      <c r="D203" s="589"/>
      <c r="E203" s="589"/>
      <c r="F203" s="589"/>
      <c r="G203" s="2109" t="str">
        <f t="shared" si="10"/>
        <v/>
      </c>
      <c r="H203" s="589"/>
      <c r="I203" s="2096" t="str">
        <f t="shared" si="11"/>
        <v/>
      </c>
      <c r="K203" s="589"/>
      <c r="L203" s="589"/>
      <c r="M203" s="589"/>
      <c r="N203" s="589"/>
      <c r="O203" s="589"/>
      <c r="P203" s="589"/>
      <c r="Q203" s="589"/>
      <c r="R203" s="558" t="s">
        <v>2116</v>
      </c>
      <c r="S203" s="590"/>
      <c r="T203" s="591"/>
      <c r="U203" s="592"/>
      <c r="V203" s="605"/>
      <c r="W203" s="593"/>
      <c r="X203" s="594" t="s">
        <v>769</v>
      </c>
      <c r="Y203" s="595"/>
      <c r="Z203" s="605"/>
      <c r="AA203" s="596"/>
      <c r="AB203" s="597"/>
      <c r="AC203" s="594" t="s">
        <v>769</v>
      </c>
      <c r="AD203" s="595"/>
      <c r="AE203" s="589"/>
      <c r="AF203" s="589"/>
      <c r="AG203" s="589"/>
      <c r="AH203" s="589"/>
      <c r="AI203" s="589"/>
      <c r="AJ203" s="589"/>
      <c r="AK203" s="589"/>
      <c r="AL203" s="575"/>
      <c r="AM203" s="589"/>
      <c r="AN203" s="1397"/>
      <c r="AO203" s="1397"/>
      <c r="AP203" s="1397"/>
      <c r="AQ203" s="1397"/>
      <c r="AR203" s="1397"/>
      <c r="AS203" s="1397"/>
      <c r="AT203" s="1397"/>
      <c r="AU203" s="1397"/>
      <c r="AV203" s="1397"/>
      <c r="AW203" s="1397"/>
      <c r="AX203" s="1397"/>
      <c r="AY203" s="1397"/>
      <c r="AZ203" s="1397"/>
      <c r="BA203" s="1397"/>
      <c r="BB203" s="1397"/>
      <c r="BC203" s="1397"/>
      <c r="BD203" s="1397"/>
      <c r="BE203" s="1397"/>
      <c r="BF203" s="1397"/>
      <c r="BG203" s="1397"/>
      <c r="BH203" s="1397"/>
      <c r="BI203" s="1397"/>
      <c r="BJ203" s="1397"/>
      <c r="BK203" s="1397"/>
      <c r="BL203" s="1397"/>
      <c r="BM203" s="1397"/>
      <c r="BN203" s="1397"/>
    </row>
    <row r="204" spans="1:66" ht="13.5" hidden="1" outlineLevel="1" thickBot="1" x14ac:dyDescent="0.25">
      <c r="A204" s="589"/>
      <c r="B204" s="589"/>
      <c r="C204" s="589"/>
      <c r="D204" s="589"/>
      <c r="E204" s="589"/>
      <c r="F204" s="589"/>
      <c r="G204" s="2109" t="str">
        <f t="shared" si="10"/>
        <v/>
      </c>
      <c r="H204" s="589"/>
      <c r="I204" s="2096" t="str">
        <f t="shared" si="11"/>
        <v/>
      </c>
      <c r="K204" s="589"/>
      <c r="L204" s="589"/>
      <c r="M204" s="589"/>
      <c r="N204" s="589"/>
      <c r="O204" s="589"/>
      <c r="P204" s="589"/>
      <c r="Q204" s="589"/>
      <c r="R204" s="558" t="s">
        <v>2116</v>
      </c>
      <c r="S204" s="590"/>
      <c r="T204" s="591"/>
      <c r="U204" s="592"/>
      <c r="V204" s="605"/>
      <c r="W204" s="593"/>
      <c r="X204" s="594" t="s">
        <v>769</v>
      </c>
      <c r="Y204" s="595"/>
      <c r="Z204" s="605"/>
      <c r="AA204" s="596"/>
      <c r="AB204" s="597"/>
      <c r="AC204" s="594" t="s">
        <v>769</v>
      </c>
      <c r="AD204" s="595"/>
      <c r="AE204" s="589"/>
      <c r="AF204" s="589"/>
      <c r="AG204" s="589"/>
      <c r="AH204" s="589"/>
      <c r="AI204" s="589"/>
      <c r="AJ204" s="589"/>
      <c r="AK204" s="589"/>
      <c r="AL204" s="575"/>
      <c r="AM204" s="589"/>
      <c r="AN204" s="1397"/>
      <c r="AO204" s="1397"/>
      <c r="AP204" s="1397"/>
      <c r="AQ204" s="1397"/>
      <c r="AR204" s="1397"/>
      <c r="AS204" s="1397"/>
      <c r="AT204" s="1397"/>
      <c r="AU204" s="1397"/>
      <c r="AV204" s="1397"/>
      <c r="AW204" s="1397"/>
      <c r="AX204" s="1397"/>
      <c r="AY204" s="1397"/>
      <c r="AZ204" s="1397"/>
      <c r="BA204" s="1397"/>
      <c r="BB204" s="1397"/>
      <c r="BC204" s="1397"/>
      <c r="BD204" s="1397"/>
      <c r="BE204" s="1397"/>
      <c r="BF204" s="1397"/>
      <c r="BG204" s="1397"/>
      <c r="BH204" s="1397"/>
      <c r="BI204" s="1397"/>
      <c r="BJ204" s="1397"/>
      <c r="BK204" s="1397"/>
      <c r="BL204" s="1397"/>
      <c r="BM204" s="1397"/>
      <c r="BN204" s="1397"/>
    </row>
    <row r="205" spans="1:66" ht="13.5" hidden="1" outlineLevel="1" thickBot="1" x14ac:dyDescent="0.25">
      <c r="A205" s="589"/>
      <c r="B205" s="589"/>
      <c r="C205" s="589"/>
      <c r="D205" s="589"/>
      <c r="E205" s="589"/>
      <c r="F205" s="589"/>
      <c r="G205" s="2109" t="str">
        <f t="shared" si="10"/>
        <v/>
      </c>
      <c r="H205" s="589"/>
      <c r="I205" s="2096" t="str">
        <f t="shared" si="11"/>
        <v/>
      </c>
      <c r="K205" s="589"/>
      <c r="L205" s="589"/>
      <c r="M205" s="589"/>
      <c r="N205" s="589"/>
      <c r="O205" s="589"/>
      <c r="P205" s="589"/>
      <c r="Q205" s="589"/>
      <c r="R205" s="558" t="s">
        <v>2116</v>
      </c>
      <c r="S205" s="590"/>
      <c r="T205" s="591"/>
      <c r="U205" s="592"/>
      <c r="V205" s="605"/>
      <c r="W205" s="593"/>
      <c r="X205" s="594" t="s">
        <v>769</v>
      </c>
      <c r="Y205" s="595"/>
      <c r="Z205" s="605"/>
      <c r="AA205" s="596"/>
      <c r="AB205" s="597"/>
      <c r="AC205" s="594" t="s">
        <v>769</v>
      </c>
      <c r="AD205" s="595"/>
      <c r="AE205" s="589"/>
      <c r="AF205" s="589"/>
      <c r="AG205" s="589"/>
      <c r="AH205" s="589"/>
      <c r="AI205" s="589"/>
      <c r="AJ205" s="589"/>
      <c r="AK205" s="589"/>
      <c r="AL205" s="575"/>
      <c r="AM205" s="589"/>
      <c r="AN205" s="1397"/>
      <c r="AO205" s="1397"/>
      <c r="AP205" s="1397"/>
      <c r="AQ205" s="1397"/>
      <c r="AR205" s="1397"/>
      <c r="AS205" s="1397"/>
      <c r="AT205" s="1397"/>
      <c r="AU205" s="1397"/>
      <c r="AV205" s="1397"/>
      <c r="AW205" s="1397"/>
      <c r="AX205" s="1397"/>
      <c r="AY205" s="1397"/>
      <c r="AZ205" s="1397"/>
      <c r="BA205" s="1397"/>
      <c r="BB205" s="1397"/>
      <c r="BC205" s="1397"/>
      <c r="BD205" s="1397"/>
      <c r="BE205" s="1397"/>
      <c r="BF205" s="1397"/>
      <c r="BG205" s="1397"/>
      <c r="BH205" s="1397"/>
      <c r="BI205" s="1397"/>
      <c r="BJ205" s="1397"/>
      <c r="BK205" s="1397"/>
      <c r="BL205" s="1397"/>
      <c r="BM205" s="1397"/>
      <c r="BN205" s="1397"/>
    </row>
    <row r="206" spans="1:66" ht="13.5" hidden="1" outlineLevel="1" thickBot="1" x14ac:dyDescent="0.25">
      <c r="A206" s="589"/>
      <c r="B206" s="589"/>
      <c r="C206" s="589"/>
      <c r="D206" s="589"/>
      <c r="E206" s="589"/>
      <c r="F206" s="589"/>
      <c r="G206" s="2109" t="str">
        <f t="shared" ref="G206:G237" si="12">IF(W206="",IF(OR(HidePlayerFormulas,V206=""),"","("&amp;V206&amp;"-"&amp;Z206&amp;")"),IF(W206&gt;Y206,V206,IF(Y206&gt;W206,Z206,IF(AB206&gt;AD206,V206,IF(AD206&gt;AB206,Z206,mess_erreur_marque)))))</f>
        <v/>
      </c>
      <c r="H206" s="589"/>
      <c r="I206" s="2096" t="str">
        <f t="shared" ref="I206:I237" si="13">IF(G206="","",IF(G206=V206,Z206,V206))</f>
        <v/>
      </c>
      <c r="K206" s="589"/>
      <c r="L206" s="589"/>
      <c r="M206" s="589"/>
      <c r="N206" s="589"/>
      <c r="O206" s="589"/>
      <c r="P206" s="589"/>
      <c r="Q206" s="589"/>
      <c r="R206" s="558" t="s">
        <v>2116</v>
      </c>
      <c r="S206" s="590"/>
      <c r="T206" s="591"/>
      <c r="U206" s="592"/>
      <c r="V206" s="605"/>
      <c r="W206" s="593"/>
      <c r="X206" s="594" t="s">
        <v>769</v>
      </c>
      <c r="Y206" s="595"/>
      <c r="Z206" s="605"/>
      <c r="AA206" s="596"/>
      <c r="AB206" s="597"/>
      <c r="AC206" s="594" t="s">
        <v>769</v>
      </c>
      <c r="AD206" s="595"/>
      <c r="AE206" s="589"/>
      <c r="AF206" s="589"/>
      <c r="AG206" s="589"/>
      <c r="AH206" s="589"/>
      <c r="AI206" s="589"/>
      <c r="AJ206" s="589"/>
      <c r="AK206" s="589"/>
      <c r="AL206" s="575"/>
      <c r="AM206" s="589"/>
      <c r="AN206" s="1397"/>
      <c r="AO206" s="1397"/>
      <c r="AP206" s="1397"/>
      <c r="AQ206" s="1397"/>
      <c r="AR206" s="1397"/>
      <c r="AS206" s="1397"/>
      <c r="AT206" s="1397"/>
      <c r="AU206" s="1397"/>
      <c r="AV206" s="1397"/>
      <c r="AW206" s="1397"/>
      <c r="AX206" s="1397"/>
      <c r="AY206" s="1397"/>
      <c r="AZ206" s="1397"/>
      <c r="BA206" s="1397"/>
      <c r="BB206" s="1397"/>
      <c r="BC206" s="1397"/>
      <c r="BD206" s="1397"/>
      <c r="BE206" s="1397"/>
      <c r="BF206" s="1397"/>
      <c r="BG206" s="1397"/>
      <c r="BH206" s="1397"/>
      <c r="BI206" s="1397"/>
      <c r="BJ206" s="1397"/>
      <c r="BK206" s="1397"/>
      <c r="BL206" s="1397"/>
      <c r="BM206" s="1397"/>
      <c r="BN206" s="1397"/>
    </row>
    <row r="207" spans="1:66" ht="13.5" hidden="1" outlineLevel="1" thickBot="1" x14ac:dyDescent="0.25">
      <c r="A207" s="589"/>
      <c r="B207" s="589"/>
      <c r="C207" s="589"/>
      <c r="D207" s="589"/>
      <c r="E207" s="589"/>
      <c r="F207" s="589"/>
      <c r="G207" s="2109" t="str">
        <f t="shared" si="12"/>
        <v/>
      </c>
      <c r="H207" s="589"/>
      <c r="I207" s="2096" t="str">
        <f t="shared" si="13"/>
        <v/>
      </c>
      <c r="K207" s="589"/>
      <c r="L207" s="589"/>
      <c r="M207" s="589"/>
      <c r="N207" s="589"/>
      <c r="O207" s="589"/>
      <c r="P207" s="589"/>
      <c r="Q207" s="589"/>
      <c r="R207" s="558" t="s">
        <v>2116</v>
      </c>
      <c r="S207" s="590"/>
      <c r="T207" s="591"/>
      <c r="U207" s="592"/>
      <c r="V207" s="605"/>
      <c r="W207" s="593"/>
      <c r="X207" s="594" t="s">
        <v>769</v>
      </c>
      <c r="Y207" s="595"/>
      <c r="Z207" s="605"/>
      <c r="AA207" s="596"/>
      <c r="AB207" s="597"/>
      <c r="AC207" s="594" t="s">
        <v>769</v>
      </c>
      <c r="AD207" s="595"/>
      <c r="AE207" s="589"/>
      <c r="AF207" s="589"/>
      <c r="AG207" s="589"/>
      <c r="AH207" s="589"/>
      <c r="AI207" s="589"/>
      <c r="AJ207" s="589"/>
      <c r="AK207" s="589"/>
      <c r="AL207" s="575"/>
      <c r="AM207" s="589"/>
      <c r="AN207" s="1397"/>
      <c r="AO207" s="1397"/>
      <c r="AP207" s="1397"/>
      <c r="AQ207" s="1397"/>
      <c r="AR207" s="1397"/>
      <c r="AS207" s="1397"/>
      <c r="AT207" s="1397"/>
      <c r="AU207" s="1397"/>
      <c r="AV207" s="1397"/>
      <c r="AW207" s="1397"/>
      <c r="AX207" s="1397"/>
      <c r="AY207" s="1397"/>
      <c r="AZ207" s="1397"/>
      <c r="BA207" s="1397"/>
      <c r="BB207" s="1397"/>
      <c r="BC207" s="1397"/>
      <c r="BD207" s="1397"/>
      <c r="BE207" s="1397"/>
      <c r="BF207" s="1397"/>
      <c r="BG207" s="1397"/>
      <c r="BH207" s="1397"/>
      <c r="BI207" s="1397"/>
      <c r="BJ207" s="1397"/>
      <c r="BK207" s="1397"/>
      <c r="BL207" s="1397"/>
      <c r="BM207" s="1397"/>
      <c r="BN207" s="1397"/>
    </row>
    <row r="208" spans="1:66" ht="13.5" hidden="1" outlineLevel="1" thickBot="1" x14ac:dyDescent="0.25">
      <c r="A208" s="589"/>
      <c r="B208" s="589"/>
      <c r="C208" s="589"/>
      <c r="D208" s="589"/>
      <c r="E208" s="589"/>
      <c r="F208" s="589"/>
      <c r="G208" s="2109" t="str">
        <f t="shared" si="12"/>
        <v/>
      </c>
      <c r="H208" s="589"/>
      <c r="I208" s="2096" t="str">
        <f t="shared" si="13"/>
        <v/>
      </c>
      <c r="K208" s="589"/>
      <c r="L208" s="589"/>
      <c r="M208" s="589"/>
      <c r="N208" s="589"/>
      <c r="O208" s="589"/>
      <c r="P208" s="589"/>
      <c r="Q208" s="589"/>
      <c r="R208" s="558" t="s">
        <v>2116</v>
      </c>
      <c r="S208" s="590"/>
      <c r="T208" s="591"/>
      <c r="U208" s="592"/>
      <c r="V208" s="605"/>
      <c r="W208" s="593"/>
      <c r="X208" s="594" t="s">
        <v>769</v>
      </c>
      <c r="Y208" s="595"/>
      <c r="Z208" s="605"/>
      <c r="AA208" s="596"/>
      <c r="AB208" s="597"/>
      <c r="AC208" s="594" t="s">
        <v>769</v>
      </c>
      <c r="AD208" s="595"/>
      <c r="AE208" s="589"/>
      <c r="AF208" s="589"/>
      <c r="AG208" s="589"/>
      <c r="AH208" s="589"/>
      <c r="AI208" s="589"/>
      <c r="AJ208" s="589"/>
      <c r="AK208" s="589"/>
      <c r="AL208" s="575"/>
      <c r="AM208" s="589"/>
      <c r="AN208" s="1397"/>
      <c r="AO208" s="1397"/>
      <c r="AP208" s="1397"/>
      <c r="AQ208" s="1397"/>
      <c r="AR208" s="1397"/>
      <c r="AS208" s="1397"/>
      <c r="AT208" s="1397"/>
      <c r="AU208" s="1397"/>
      <c r="AV208" s="1397"/>
      <c r="AW208" s="1397"/>
      <c r="AX208" s="1397"/>
      <c r="AY208" s="1397"/>
      <c r="AZ208" s="1397"/>
      <c r="BA208" s="1397"/>
      <c r="BB208" s="1397"/>
      <c r="BC208" s="1397"/>
      <c r="BD208" s="1397"/>
      <c r="BE208" s="1397"/>
      <c r="BF208" s="1397"/>
      <c r="BG208" s="1397"/>
      <c r="BH208" s="1397"/>
      <c r="BI208" s="1397"/>
      <c r="BJ208" s="1397"/>
      <c r="BK208" s="1397"/>
      <c r="BL208" s="1397"/>
      <c r="BM208" s="1397"/>
      <c r="BN208" s="1397"/>
    </row>
    <row r="209" spans="1:66" ht="13.5" hidden="1" outlineLevel="1" thickBot="1" x14ac:dyDescent="0.25">
      <c r="A209" s="589"/>
      <c r="B209" s="589"/>
      <c r="C209" s="589"/>
      <c r="D209" s="589"/>
      <c r="E209" s="589"/>
      <c r="F209" s="589"/>
      <c r="G209" s="2109" t="str">
        <f t="shared" si="12"/>
        <v/>
      </c>
      <c r="H209" s="589"/>
      <c r="I209" s="2096" t="str">
        <f t="shared" si="13"/>
        <v/>
      </c>
      <c r="K209" s="589"/>
      <c r="L209" s="589"/>
      <c r="M209" s="589"/>
      <c r="N209" s="589"/>
      <c r="O209" s="589"/>
      <c r="P209" s="589"/>
      <c r="Q209" s="589"/>
      <c r="R209" s="558" t="s">
        <v>2116</v>
      </c>
      <c r="S209" s="590"/>
      <c r="T209" s="591"/>
      <c r="U209" s="592"/>
      <c r="V209" s="605"/>
      <c r="W209" s="593"/>
      <c r="X209" s="594" t="s">
        <v>769</v>
      </c>
      <c r="Y209" s="595"/>
      <c r="Z209" s="605"/>
      <c r="AA209" s="596"/>
      <c r="AB209" s="597"/>
      <c r="AC209" s="594" t="s">
        <v>769</v>
      </c>
      <c r="AD209" s="595"/>
      <c r="AE209" s="589"/>
      <c r="AF209" s="589"/>
      <c r="AG209" s="589"/>
      <c r="AH209" s="589"/>
      <c r="AI209" s="589"/>
      <c r="AJ209" s="589"/>
      <c r="AK209" s="589"/>
      <c r="AL209" s="575"/>
      <c r="AM209" s="589"/>
      <c r="AN209" s="1397"/>
      <c r="AO209" s="1397"/>
      <c r="AP209" s="1397"/>
      <c r="AQ209" s="1397"/>
      <c r="AR209" s="1397"/>
      <c r="AS209" s="1397"/>
      <c r="AT209" s="1397"/>
      <c r="AU209" s="1397"/>
      <c r="AV209" s="1397"/>
      <c r="AW209" s="1397"/>
      <c r="AX209" s="1397"/>
      <c r="AY209" s="1397"/>
      <c r="AZ209" s="1397"/>
      <c r="BA209" s="1397"/>
      <c r="BB209" s="1397"/>
      <c r="BC209" s="1397"/>
      <c r="BD209" s="1397"/>
      <c r="BE209" s="1397"/>
      <c r="BF209" s="1397"/>
      <c r="BG209" s="1397"/>
      <c r="BH209" s="1397"/>
      <c r="BI209" s="1397"/>
      <c r="BJ209" s="1397"/>
      <c r="BK209" s="1397"/>
      <c r="BL209" s="1397"/>
      <c r="BM209" s="1397"/>
      <c r="BN209" s="1397"/>
    </row>
    <row r="210" spans="1:66" ht="13.5" hidden="1" outlineLevel="1" thickBot="1" x14ac:dyDescent="0.25">
      <c r="A210" s="589"/>
      <c r="B210" s="589"/>
      <c r="C210" s="589"/>
      <c r="D210" s="589"/>
      <c r="E210" s="589"/>
      <c r="F210" s="589"/>
      <c r="G210" s="2109" t="str">
        <f t="shared" si="12"/>
        <v/>
      </c>
      <c r="H210" s="589"/>
      <c r="I210" s="2096" t="str">
        <f t="shared" si="13"/>
        <v/>
      </c>
      <c r="K210" s="589"/>
      <c r="L210" s="589"/>
      <c r="M210" s="589"/>
      <c r="N210" s="589"/>
      <c r="O210" s="589"/>
      <c r="P210" s="589"/>
      <c r="Q210" s="589"/>
      <c r="R210" s="558" t="s">
        <v>2116</v>
      </c>
      <c r="S210" s="590"/>
      <c r="T210" s="591"/>
      <c r="U210" s="592"/>
      <c r="V210" s="605"/>
      <c r="W210" s="593"/>
      <c r="X210" s="594" t="s">
        <v>769</v>
      </c>
      <c r="Y210" s="595"/>
      <c r="Z210" s="605"/>
      <c r="AA210" s="596"/>
      <c r="AB210" s="597"/>
      <c r="AC210" s="594" t="s">
        <v>769</v>
      </c>
      <c r="AD210" s="595"/>
      <c r="AE210" s="589"/>
      <c r="AF210" s="589"/>
      <c r="AG210" s="589"/>
      <c r="AH210" s="589"/>
      <c r="AI210" s="589"/>
      <c r="AJ210" s="589"/>
      <c r="AK210" s="589"/>
      <c r="AL210" s="575"/>
      <c r="AM210" s="589"/>
      <c r="AN210" s="1397"/>
      <c r="AO210" s="1397"/>
      <c r="AP210" s="1397"/>
      <c r="AQ210" s="1397"/>
      <c r="AR210" s="1397"/>
      <c r="AS210" s="1397"/>
      <c r="AT210" s="1397"/>
      <c r="AU210" s="1397"/>
      <c r="AV210" s="1397"/>
      <c r="AW210" s="1397"/>
      <c r="AX210" s="1397"/>
      <c r="AY210" s="1397"/>
      <c r="AZ210" s="1397"/>
      <c r="BA210" s="1397"/>
      <c r="BB210" s="1397"/>
      <c r="BC210" s="1397"/>
      <c r="BD210" s="1397"/>
      <c r="BE210" s="1397"/>
      <c r="BF210" s="1397"/>
      <c r="BG210" s="1397"/>
      <c r="BH210" s="1397"/>
      <c r="BI210" s="1397"/>
      <c r="BJ210" s="1397"/>
      <c r="BK210" s="1397"/>
      <c r="BL210" s="1397"/>
      <c r="BM210" s="1397"/>
      <c r="BN210" s="1397"/>
    </row>
    <row r="211" spans="1:66" ht="13.5" hidden="1" outlineLevel="1" thickBot="1" x14ac:dyDescent="0.25">
      <c r="A211" s="589"/>
      <c r="B211" s="589"/>
      <c r="C211" s="589"/>
      <c r="D211" s="589"/>
      <c r="E211" s="589"/>
      <c r="F211" s="589"/>
      <c r="G211" s="2109" t="str">
        <f t="shared" si="12"/>
        <v/>
      </c>
      <c r="H211" s="589"/>
      <c r="I211" s="2096" t="str">
        <f t="shared" si="13"/>
        <v/>
      </c>
      <c r="K211" s="589"/>
      <c r="L211" s="589"/>
      <c r="M211" s="589"/>
      <c r="N211" s="589"/>
      <c r="O211" s="589"/>
      <c r="P211" s="589"/>
      <c r="Q211" s="589"/>
      <c r="R211" s="558" t="s">
        <v>2116</v>
      </c>
      <c r="S211" s="590"/>
      <c r="T211" s="591"/>
      <c r="U211" s="592"/>
      <c r="V211" s="605"/>
      <c r="W211" s="593"/>
      <c r="X211" s="594" t="s">
        <v>769</v>
      </c>
      <c r="Y211" s="595"/>
      <c r="Z211" s="605"/>
      <c r="AA211" s="596"/>
      <c r="AB211" s="597"/>
      <c r="AC211" s="594" t="s">
        <v>769</v>
      </c>
      <c r="AD211" s="595"/>
      <c r="AE211" s="589"/>
      <c r="AF211" s="589"/>
      <c r="AG211" s="589"/>
      <c r="AH211" s="589"/>
      <c r="AI211" s="589"/>
      <c r="AJ211" s="589"/>
      <c r="AK211" s="589"/>
      <c r="AL211" s="575"/>
      <c r="AM211" s="589"/>
      <c r="AN211" s="1397"/>
      <c r="AO211" s="1397"/>
      <c r="AP211" s="1397"/>
      <c r="AQ211" s="1397"/>
      <c r="AR211" s="1397"/>
      <c r="AS211" s="1397"/>
      <c r="AT211" s="1397"/>
      <c r="AU211" s="1397"/>
      <c r="AV211" s="1397"/>
      <c r="AW211" s="1397"/>
      <c r="AX211" s="1397"/>
      <c r="AY211" s="1397"/>
      <c r="AZ211" s="1397"/>
      <c r="BA211" s="1397"/>
      <c r="BB211" s="1397"/>
      <c r="BC211" s="1397"/>
      <c r="BD211" s="1397"/>
      <c r="BE211" s="1397"/>
      <c r="BF211" s="1397"/>
      <c r="BG211" s="1397"/>
      <c r="BH211" s="1397"/>
      <c r="BI211" s="1397"/>
      <c r="BJ211" s="1397"/>
      <c r="BK211" s="1397"/>
      <c r="BL211" s="1397"/>
      <c r="BM211" s="1397"/>
      <c r="BN211" s="1397"/>
    </row>
    <row r="212" spans="1:66" ht="13.5" hidden="1" outlineLevel="1" thickBot="1" x14ac:dyDescent="0.25">
      <c r="A212" s="589"/>
      <c r="B212" s="589"/>
      <c r="C212" s="589"/>
      <c r="D212" s="589"/>
      <c r="E212" s="589"/>
      <c r="F212" s="589"/>
      <c r="G212" s="2109" t="str">
        <f t="shared" si="12"/>
        <v/>
      </c>
      <c r="H212" s="589"/>
      <c r="I212" s="2096" t="str">
        <f t="shared" si="13"/>
        <v/>
      </c>
      <c r="K212" s="589"/>
      <c r="L212" s="589"/>
      <c r="M212" s="589"/>
      <c r="N212" s="589"/>
      <c r="O212" s="589"/>
      <c r="P212" s="589"/>
      <c r="Q212" s="589"/>
      <c r="R212" s="558" t="s">
        <v>2116</v>
      </c>
      <c r="S212" s="590"/>
      <c r="T212" s="591"/>
      <c r="U212" s="592"/>
      <c r="V212" s="605"/>
      <c r="W212" s="593"/>
      <c r="X212" s="594" t="s">
        <v>769</v>
      </c>
      <c r="Y212" s="595"/>
      <c r="Z212" s="605"/>
      <c r="AA212" s="596"/>
      <c r="AB212" s="597"/>
      <c r="AC212" s="594" t="s">
        <v>769</v>
      </c>
      <c r="AD212" s="595"/>
      <c r="AE212" s="589"/>
      <c r="AF212" s="589"/>
      <c r="AG212" s="589"/>
      <c r="AH212" s="589"/>
      <c r="AI212" s="589"/>
      <c r="AJ212" s="589"/>
      <c r="AK212" s="589"/>
      <c r="AL212" s="575"/>
      <c r="AM212" s="589"/>
      <c r="AN212" s="1397"/>
      <c r="AO212" s="1397"/>
      <c r="AP212" s="1397"/>
      <c r="AQ212" s="1397"/>
      <c r="AR212" s="1397"/>
      <c r="AS212" s="1397"/>
      <c r="AT212" s="1397"/>
      <c r="AU212" s="1397"/>
      <c r="AV212" s="1397"/>
      <c r="AW212" s="1397"/>
      <c r="AX212" s="1397"/>
      <c r="AY212" s="1397"/>
      <c r="AZ212" s="1397"/>
      <c r="BA212" s="1397"/>
      <c r="BB212" s="1397"/>
      <c r="BC212" s="1397"/>
      <c r="BD212" s="1397"/>
      <c r="BE212" s="1397"/>
      <c r="BF212" s="1397"/>
      <c r="BG212" s="1397"/>
      <c r="BH212" s="1397"/>
      <c r="BI212" s="1397"/>
      <c r="BJ212" s="1397"/>
      <c r="BK212" s="1397"/>
      <c r="BL212" s="1397"/>
      <c r="BM212" s="1397"/>
      <c r="BN212" s="1397"/>
    </row>
    <row r="213" spans="1:66" ht="13.5" hidden="1" outlineLevel="1" thickBot="1" x14ac:dyDescent="0.25">
      <c r="A213" s="589"/>
      <c r="B213" s="589"/>
      <c r="C213" s="589"/>
      <c r="D213" s="589"/>
      <c r="E213" s="589"/>
      <c r="F213" s="589"/>
      <c r="G213" s="2109" t="str">
        <f t="shared" si="12"/>
        <v/>
      </c>
      <c r="H213" s="589"/>
      <c r="I213" s="2096" t="str">
        <f t="shared" si="13"/>
        <v/>
      </c>
      <c r="K213" s="589"/>
      <c r="L213" s="589"/>
      <c r="M213" s="589"/>
      <c r="N213" s="589"/>
      <c r="O213" s="589"/>
      <c r="P213" s="589"/>
      <c r="Q213" s="589"/>
      <c r="R213" s="558" t="s">
        <v>2116</v>
      </c>
      <c r="S213" s="590"/>
      <c r="T213" s="591"/>
      <c r="U213" s="592"/>
      <c r="V213" s="605"/>
      <c r="W213" s="593"/>
      <c r="X213" s="594" t="s">
        <v>769</v>
      </c>
      <c r="Y213" s="595"/>
      <c r="Z213" s="605"/>
      <c r="AA213" s="596"/>
      <c r="AB213" s="597"/>
      <c r="AC213" s="594" t="s">
        <v>769</v>
      </c>
      <c r="AD213" s="595"/>
      <c r="AE213" s="589"/>
      <c r="AF213" s="589"/>
      <c r="AG213" s="589"/>
      <c r="AH213" s="589"/>
      <c r="AI213" s="589"/>
      <c r="AJ213" s="589"/>
      <c r="AK213" s="589"/>
      <c r="AL213" s="575"/>
      <c r="AM213" s="589"/>
      <c r="AN213" s="1397"/>
      <c r="AO213" s="1397"/>
      <c r="AP213" s="1397"/>
      <c r="AQ213" s="1397"/>
      <c r="AR213" s="1397"/>
      <c r="AS213" s="1397"/>
      <c r="AT213" s="1397"/>
      <c r="AU213" s="1397"/>
      <c r="AV213" s="1397"/>
      <c r="AW213" s="1397"/>
      <c r="AX213" s="1397"/>
      <c r="AY213" s="1397"/>
      <c r="AZ213" s="1397"/>
      <c r="BA213" s="1397"/>
      <c r="BB213" s="1397"/>
      <c r="BC213" s="1397"/>
      <c r="BD213" s="1397"/>
      <c r="BE213" s="1397"/>
      <c r="BF213" s="1397"/>
      <c r="BG213" s="1397"/>
      <c r="BH213" s="1397"/>
      <c r="BI213" s="1397"/>
      <c r="BJ213" s="1397"/>
      <c r="BK213" s="1397"/>
      <c r="BL213" s="1397"/>
      <c r="BM213" s="1397"/>
      <c r="BN213" s="1397"/>
    </row>
    <row r="214" spans="1:66" ht="13.5" hidden="1" outlineLevel="1" thickBot="1" x14ac:dyDescent="0.25">
      <c r="A214" s="589"/>
      <c r="B214" s="589"/>
      <c r="C214" s="589"/>
      <c r="D214" s="589"/>
      <c r="E214" s="589"/>
      <c r="F214" s="589"/>
      <c r="G214" s="2109" t="str">
        <f t="shared" si="12"/>
        <v/>
      </c>
      <c r="H214" s="589"/>
      <c r="I214" s="2096" t="str">
        <f t="shared" si="13"/>
        <v/>
      </c>
      <c r="K214" s="589"/>
      <c r="L214" s="589"/>
      <c r="M214" s="589"/>
      <c r="N214" s="589"/>
      <c r="O214" s="589"/>
      <c r="P214" s="589"/>
      <c r="Q214" s="589"/>
      <c r="R214" s="558" t="s">
        <v>2116</v>
      </c>
      <c r="S214" s="590"/>
      <c r="T214" s="591"/>
      <c r="U214" s="592"/>
      <c r="V214" s="605"/>
      <c r="W214" s="593"/>
      <c r="X214" s="594" t="s">
        <v>769</v>
      </c>
      <c r="Y214" s="595"/>
      <c r="Z214" s="605"/>
      <c r="AA214" s="596"/>
      <c r="AB214" s="597"/>
      <c r="AC214" s="594" t="s">
        <v>769</v>
      </c>
      <c r="AD214" s="595"/>
      <c r="AE214" s="589"/>
      <c r="AF214" s="589"/>
      <c r="AG214" s="589"/>
      <c r="AH214" s="589"/>
      <c r="AI214" s="589"/>
      <c r="AJ214" s="589"/>
      <c r="AK214" s="589"/>
      <c r="AL214" s="575"/>
      <c r="AM214" s="589"/>
      <c r="AN214" s="1397"/>
      <c r="AO214" s="1397"/>
      <c r="AP214" s="1397"/>
      <c r="AQ214" s="1397"/>
      <c r="AR214" s="1397"/>
      <c r="AS214" s="1397"/>
      <c r="AT214" s="1397"/>
      <c r="AU214" s="1397"/>
      <c r="AV214" s="1397"/>
      <c r="AW214" s="1397"/>
      <c r="AX214" s="1397"/>
      <c r="AY214" s="1397"/>
      <c r="AZ214" s="1397"/>
      <c r="BA214" s="1397"/>
      <c r="BB214" s="1397"/>
      <c r="BC214" s="1397"/>
      <c r="BD214" s="1397"/>
      <c r="BE214" s="1397"/>
      <c r="BF214" s="1397"/>
      <c r="BG214" s="1397"/>
      <c r="BH214" s="1397"/>
      <c r="BI214" s="1397"/>
      <c r="BJ214" s="1397"/>
      <c r="BK214" s="1397"/>
      <c r="BL214" s="1397"/>
      <c r="BM214" s="1397"/>
      <c r="BN214" s="1397"/>
    </row>
    <row r="215" spans="1:66" ht="13.5" hidden="1" outlineLevel="1" thickBot="1" x14ac:dyDescent="0.25">
      <c r="A215" s="589"/>
      <c r="B215" s="589"/>
      <c r="C215" s="589"/>
      <c r="D215" s="589"/>
      <c r="E215" s="589"/>
      <c r="F215" s="589"/>
      <c r="G215" s="2109" t="str">
        <f t="shared" si="12"/>
        <v/>
      </c>
      <c r="H215" s="589"/>
      <c r="I215" s="2096" t="str">
        <f t="shared" si="13"/>
        <v/>
      </c>
      <c r="K215" s="589"/>
      <c r="L215" s="589"/>
      <c r="M215" s="589"/>
      <c r="N215" s="589"/>
      <c r="O215" s="589"/>
      <c r="P215" s="589"/>
      <c r="Q215" s="589"/>
      <c r="R215" s="558" t="s">
        <v>2116</v>
      </c>
      <c r="S215" s="590"/>
      <c r="T215" s="591"/>
      <c r="U215" s="592"/>
      <c r="V215" s="605"/>
      <c r="W215" s="593"/>
      <c r="X215" s="594" t="s">
        <v>769</v>
      </c>
      <c r="Y215" s="595"/>
      <c r="Z215" s="605"/>
      <c r="AA215" s="596"/>
      <c r="AB215" s="597"/>
      <c r="AC215" s="594" t="s">
        <v>769</v>
      </c>
      <c r="AD215" s="595"/>
      <c r="AE215" s="589"/>
      <c r="AF215" s="589"/>
      <c r="AG215" s="589"/>
      <c r="AH215" s="589"/>
      <c r="AI215" s="589"/>
      <c r="AJ215" s="589"/>
      <c r="AK215" s="589"/>
      <c r="AL215" s="575"/>
      <c r="AM215" s="589"/>
      <c r="AN215" s="1397"/>
      <c r="AO215" s="1397"/>
      <c r="AP215" s="1397"/>
      <c r="AQ215" s="1397"/>
      <c r="AR215" s="1397"/>
      <c r="AS215" s="1397"/>
      <c r="AT215" s="1397"/>
      <c r="AU215" s="1397"/>
      <c r="AV215" s="1397"/>
      <c r="AW215" s="1397"/>
      <c r="AX215" s="1397"/>
      <c r="AY215" s="1397"/>
      <c r="AZ215" s="1397"/>
      <c r="BA215" s="1397"/>
      <c r="BB215" s="1397"/>
      <c r="BC215" s="1397"/>
      <c r="BD215" s="1397"/>
      <c r="BE215" s="1397"/>
      <c r="BF215" s="1397"/>
      <c r="BG215" s="1397"/>
      <c r="BH215" s="1397"/>
      <c r="BI215" s="1397"/>
      <c r="BJ215" s="1397"/>
      <c r="BK215" s="1397"/>
      <c r="BL215" s="1397"/>
      <c r="BM215" s="1397"/>
      <c r="BN215" s="1397"/>
    </row>
    <row r="216" spans="1:66" ht="13.5" hidden="1" outlineLevel="1" thickBot="1" x14ac:dyDescent="0.25">
      <c r="A216" s="589"/>
      <c r="B216" s="589"/>
      <c r="C216" s="589"/>
      <c r="D216" s="589"/>
      <c r="E216" s="589"/>
      <c r="F216" s="589"/>
      <c r="G216" s="2109" t="str">
        <f t="shared" si="12"/>
        <v/>
      </c>
      <c r="H216" s="589"/>
      <c r="I216" s="2096" t="str">
        <f t="shared" si="13"/>
        <v/>
      </c>
      <c r="K216" s="589"/>
      <c r="L216" s="589"/>
      <c r="M216" s="589"/>
      <c r="N216" s="589"/>
      <c r="O216" s="589"/>
      <c r="P216" s="589"/>
      <c r="Q216" s="589"/>
      <c r="R216" s="558" t="s">
        <v>2116</v>
      </c>
      <c r="S216" s="590"/>
      <c r="T216" s="591"/>
      <c r="U216" s="592"/>
      <c r="V216" s="605"/>
      <c r="W216" s="593"/>
      <c r="X216" s="594" t="s">
        <v>769</v>
      </c>
      <c r="Y216" s="595"/>
      <c r="Z216" s="605"/>
      <c r="AA216" s="596"/>
      <c r="AB216" s="597"/>
      <c r="AC216" s="594" t="s">
        <v>769</v>
      </c>
      <c r="AD216" s="595"/>
      <c r="AE216" s="589"/>
      <c r="AF216" s="589"/>
      <c r="AG216" s="589"/>
      <c r="AH216" s="589"/>
      <c r="AI216" s="589"/>
      <c r="AJ216" s="589"/>
      <c r="AK216" s="589"/>
      <c r="AL216" s="575"/>
      <c r="AM216" s="589"/>
      <c r="AN216" s="1397"/>
      <c r="AO216" s="1397"/>
      <c r="AP216" s="1397"/>
      <c r="AQ216" s="1397"/>
      <c r="AR216" s="1397"/>
      <c r="AS216" s="1397"/>
      <c r="AT216" s="1397"/>
      <c r="AU216" s="1397"/>
      <c r="AV216" s="1397"/>
      <c r="AW216" s="1397"/>
      <c r="AX216" s="1397"/>
      <c r="AY216" s="1397"/>
      <c r="AZ216" s="1397"/>
      <c r="BA216" s="1397"/>
      <c r="BB216" s="1397"/>
      <c r="BC216" s="1397"/>
      <c r="BD216" s="1397"/>
      <c r="BE216" s="1397"/>
      <c r="BF216" s="1397"/>
      <c r="BG216" s="1397"/>
      <c r="BH216" s="1397"/>
      <c r="BI216" s="1397"/>
      <c r="BJ216" s="1397"/>
      <c r="BK216" s="1397"/>
      <c r="BL216" s="1397"/>
      <c r="BM216" s="1397"/>
      <c r="BN216" s="1397"/>
    </row>
    <row r="217" spans="1:66" ht="13.5" hidden="1" outlineLevel="1" thickBot="1" x14ac:dyDescent="0.25">
      <c r="A217" s="589"/>
      <c r="B217" s="589"/>
      <c r="C217" s="589"/>
      <c r="D217" s="589"/>
      <c r="E217" s="589"/>
      <c r="F217" s="589"/>
      <c r="G217" s="2109" t="str">
        <f t="shared" si="12"/>
        <v/>
      </c>
      <c r="H217" s="589"/>
      <c r="I217" s="2096" t="str">
        <f t="shared" si="13"/>
        <v/>
      </c>
      <c r="K217" s="589"/>
      <c r="L217" s="589"/>
      <c r="M217" s="589"/>
      <c r="N217" s="589"/>
      <c r="O217" s="589"/>
      <c r="P217" s="589"/>
      <c r="Q217" s="589"/>
      <c r="R217" s="558" t="s">
        <v>2116</v>
      </c>
      <c r="S217" s="590"/>
      <c r="T217" s="591"/>
      <c r="U217" s="592"/>
      <c r="V217" s="605"/>
      <c r="W217" s="593"/>
      <c r="X217" s="594" t="s">
        <v>769</v>
      </c>
      <c r="Y217" s="595"/>
      <c r="Z217" s="605"/>
      <c r="AA217" s="596"/>
      <c r="AB217" s="597"/>
      <c r="AC217" s="594" t="s">
        <v>769</v>
      </c>
      <c r="AD217" s="595"/>
      <c r="AE217" s="589"/>
      <c r="AF217" s="589"/>
      <c r="AG217" s="589"/>
      <c r="AH217" s="589"/>
      <c r="AI217" s="589"/>
      <c r="AJ217" s="589"/>
      <c r="AK217" s="589"/>
      <c r="AL217" s="575"/>
      <c r="AM217" s="589"/>
      <c r="AN217" s="1397"/>
      <c r="AO217" s="1397"/>
      <c r="AP217" s="1397"/>
      <c r="AQ217" s="1397"/>
      <c r="AR217" s="1397"/>
      <c r="AS217" s="1397"/>
      <c r="AT217" s="1397"/>
      <c r="AU217" s="1397"/>
      <c r="AV217" s="1397"/>
      <c r="AW217" s="1397"/>
      <c r="AX217" s="1397"/>
      <c r="AY217" s="1397"/>
      <c r="AZ217" s="1397"/>
      <c r="BA217" s="1397"/>
      <c r="BB217" s="1397"/>
      <c r="BC217" s="1397"/>
      <c r="BD217" s="1397"/>
      <c r="BE217" s="1397"/>
      <c r="BF217" s="1397"/>
      <c r="BG217" s="1397"/>
      <c r="BH217" s="1397"/>
      <c r="BI217" s="1397"/>
      <c r="BJ217" s="1397"/>
      <c r="BK217" s="1397"/>
      <c r="BL217" s="1397"/>
      <c r="BM217" s="1397"/>
      <c r="BN217" s="1397"/>
    </row>
    <row r="218" spans="1:66" ht="13.5" hidden="1" outlineLevel="1" thickBot="1" x14ac:dyDescent="0.25">
      <c r="A218" s="589"/>
      <c r="B218" s="589"/>
      <c r="C218" s="589"/>
      <c r="D218" s="589"/>
      <c r="E218" s="589"/>
      <c r="F218" s="589"/>
      <c r="G218" s="2109" t="str">
        <f t="shared" si="12"/>
        <v/>
      </c>
      <c r="H218" s="589"/>
      <c r="I218" s="2096" t="str">
        <f t="shared" si="13"/>
        <v/>
      </c>
      <c r="K218" s="589"/>
      <c r="L218" s="589"/>
      <c r="M218" s="589"/>
      <c r="N218" s="589"/>
      <c r="O218" s="589"/>
      <c r="P218" s="589"/>
      <c r="Q218" s="589"/>
      <c r="R218" s="558" t="s">
        <v>2116</v>
      </c>
      <c r="S218" s="590"/>
      <c r="T218" s="591"/>
      <c r="U218" s="592"/>
      <c r="V218" s="605"/>
      <c r="W218" s="593"/>
      <c r="X218" s="594" t="s">
        <v>769</v>
      </c>
      <c r="Y218" s="595"/>
      <c r="Z218" s="605"/>
      <c r="AA218" s="596"/>
      <c r="AB218" s="597"/>
      <c r="AC218" s="594" t="s">
        <v>769</v>
      </c>
      <c r="AD218" s="595"/>
      <c r="AE218" s="589"/>
      <c r="AF218" s="589"/>
      <c r="AG218" s="589"/>
      <c r="AH218" s="589"/>
      <c r="AI218" s="589"/>
      <c r="AJ218" s="589"/>
      <c r="AK218" s="589"/>
      <c r="AL218" s="575"/>
      <c r="AM218" s="589"/>
      <c r="AN218" s="1397"/>
      <c r="AO218" s="1397"/>
      <c r="AP218" s="1397"/>
      <c r="AQ218" s="1397"/>
      <c r="AR218" s="1397"/>
      <c r="AS218" s="1397"/>
      <c r="AT218" s="1397"/>
      <c r="AU218" s="1397"/>
      <c r="AV218" s="1397"/>
      <c r="AW218" s="1397"/>
      <c r="AX218" s="1397"/>
      <c r="AY218" s="1397"/>
      <c r="AZ218" s="1397"/>
      <c r="BA218" s="1397"/>
      <c r="BB218" s="1397"/>
      <c r="BC218" s="1397"/>
      <c r="BD218" s="1397"/>
      <c r="BE218" s="1397"/>
      <c r="BF218" s="1397"/>
      <c r="BG218" s="1397"/>
      <c r="BH218" s="1397"/>
      <c r="BI218" s="1397"/>
      <c r="BJ218" s="1397"/>
      <c r="BK218" s="1397"/>
      <c r="BL218" s="1397"/>
      <c r="BM218" s="1397"/>
      <c r="BN218" s="1397"/>
    </row>
    <row r="219" spans="1:66" ht="13.5" hidden="1" outlineLevel="1" thickBot="1" x14ac:dyDescent="0.25">
      <c r="A219" s="589"/>
      <c r="B219" s="589"/>
      <c r="C219" s="589"/>
      <c r="D219" s="589"/>
      <c r="E219" s="589"/>
      <c r="F219" s="589"/>
      <c r="G219" s="2109" t="str">
        <f t="shared" si="12"/>
        <v/>
      </c>
      <c r="H219" s="589"/>
      <c r="I219" s="2096" t="str">
        <f t="shared" si="13"/>
        <v/>
      </c>
      <c r="K219" s="589"/>
      <c r="L219" s="589"/>
      <c r="M219" s="589"/>
      <c r="N219" s="589"/>
      <c r="O219" s="589"/>
      <c r="P219" s="589"/>
      <c r="Q219" s="589"/>
      <c r="R219" s="558" t="s">
        <v>2116</v>
      </c>
      <c r="S219" s="590"/>
      <c r="T219" s="591"/>
      <c r="U219" s="592"/>
      <c r="V219" s="605"/>
      <c r="W219" s="593"/>
      <c r="X219" s="594" t="s">
        <v>769</v>
      </c>
      <c r="Y219" s="595"/>
      <c r="Z219" s="605"/>
      <c r="AA219" s="596"/>
      <c r="AB219" s="597"/>
      <c r="AC219" s="594" t="s">
        <v>769</v>
      </c>
      <c r="AD219" s="595"/>
      <c r="AE219" s="589"/>
      <c r="AF219" s="589"/>
      <c r="AG219" s="589"/>
      <c r="AH219" s="589"/>
      <c r="AI219" s="589"/>
      <c r="AJ219" s="589"/>
      <c r="AK219" s="589"/>
      <c r="AL219" s="575"/>
      <c r="AM219" s="589"/>
      <c r="AN219" s="1397"/>
      <c r="AO219" s="1397"/>
      <c r="AP219" s="1397"/>
      <c r="AQ219" s="1397"/>
      <c r="AR219" s="1397"/>
      <c r="AS219" s="1397"/>
      <c r="AT219" s="1397"/>
      <c r="AU219" s="1397"/>
      <c r="AV219" s="1397"/>
      <c r="AW219" s="1397"/>
      <c r="AX219" s="1397"/>
      <c r="AY219" s="1397"/>
      <c r="AZ219" s="1397"/>
      <c r="BA219" s="1397"/>
      <c r="BB219" s="1397"/>
      <c r="BC219" s="1397"/>
      <c r="BD219" s="1397"/>
      <c r="BE219" s="1397"/>
      <c r="BF219" s="1397"/>
      <c r="BG219" s="1397"/>
      <c r="BH219" s="1397"/>
      <c r="BI219" s="1397"/>
      <c r="BJ219" s="1397"/>
      <c r="BK219" s="1397"/>
      <c r="BL219" s="1397"/>
      <c r="BM219" s="1397"/>
      <c r="BN219" s="1397"/>
    </row>
    <row r="220" spans="1:66" ht="13.5" hidden="1" outlineLevel="1" thickBot="1" x14ac:dyDescent="0.25">
      <c r="A220" s="589"/>
      <c r="B220" s="589"/>
      <c r="C220" s="589"/>
      <c r="D220" s="589"/>
      <c r="E220" s="589"/>
      <c r="F220" s="589"/>
      <c r="G220" s="2109" t="str">
        <f t="shared" si="12"/>
        <v/>
      </c>
      <c r="H220" s="589"/>
      <c r="I220" s="2096" t="str">
        <f t="shared" si="13"/>
        <v/>
      </c>
      <c r="K220" s="589"/>
      <c r="L220" s="589"/>
      <c r="M220" s="589"/>
      <c r="N220" s="589"/>
      <c r="O220" s="589"/>
      <c r="P220" s="589"/>
      <c r="Q220" s="589"/>
      <c r="R220" s="558" t="s">
        <v>2116</v>
      </c>
      <c r="S220" s="590"/>
      <c r="T220" s="591"/>
      <c r="U220" s="592"/>
      <c r="V220" s="605"/>
      <c r="W220" s="593"/>
      <c r="X220" s="594" t="s">
        <v>769</v>
      </c>
      <c r="Y220" s="595"/>
      <c r="Z220" s="605"/>
      <c r="AA220" s="596"/>
      <c r="AB220" s="597"/>
      <c r="AC220" s="594" t="s">
        <v>769</v>
      </c>
      <c r="AD220" s="595"/>
      <c r="AE220" s="589"/>
      <c r="AF220" s="589"/>
      <c r="AG220" s="589"/>
      <c r="AH220" s="589"/>
      <c r="AI220" s="589"/>
      <c r="AJ220" s="589"/>
      <c r="AK220" s="589"/>
      <c r="AL220" s="575"/>
      <c r="AM220" s="589"/>
      <c r="AN220" s="1397"/>
      <c r="AO220" s="1397"/>
      <c r="AP220" s="1397"/>
      <c r="AQ220" s="1397"/>
      <c r="AR220" s="1397"/>
      <c r="AS220" s="1397"/>
      <c r="AT220" s="1397"/>
      <c r="AU220" s="1397"/>
      <c r="AV220" s="1397"/>
      <c r="AW220" s="1397"/>
      <c r="AX220" s="1397"/>
      <c r="AY220" s="1397"/>
      <c r="AZ220" s="1397"/>
      <c r="BA220" s="1397"/>
      <c r="BB220" s="1397"/>
      <c r="BC220" s="1397"/>
      <c r="BD220" s="1397"/>
      <c r="BE220" s="1397"/>
      <c r="BF220" s="1397"/>
      <c r="BG220" s="1397"/>
      <c r="BH220" s="1397"/>
      <c r="BI220" s="1397"/>
      <c r="BJ220" s="1397"/>
      <c r="BK220" s="1397"/>
      <c r="BL220" s="1397"/>
      <c r="BM220" s="1397"/>
      <c r="BN220" s="1397"/>
    </row>
    <row r="221" spans="1:66" ht="13.5" hidden="1" outlineLevel="1" thickBot="1" x14ac:dyDescent="0.25">
      <c r="A221" s="589"/>
      <c r="B221" s="589"/>
      <c r="C221" s="589"/>
      <c r="D221" s="589"/>
      <c r="E221" s="589"/>
      <c r="F221" s="589"/>
      <c r="G221" s="2109" t="str">
        <f t="shared" si="12"/>
        <v/>
      </c>
      <c r="H221" s="589"/>
      <c r="I221" s="2096" t="str">
        <f t="shared" si="13"/>
        <v/>
      </c>
      <c r="K221" s="589"/>
      <c r="L221" s="589"/>
      <c r="M221" s="589"/>
      <c r="N221" s="589"/>
      <c r="O221" s="589"/>
      <c r="P221" s="589"/>
      <c r="Q221" s="589"/>
      <c r="R221" s="558" t="s">
        <v>2116</v>
      </c>
      <c r="S221" s="590"/>
      <c r="T221" s="591"/>
      <c r="U221" s="592"/>
      <c r="V221" s="605"/>
      <c r="W221" s="593"/>
      <c r="X221" s="594" t="s">
        <v>769</v>
      </c>
      <c r="Y221" s="595"/>
      <c r="Z221" s="605"/>
      <c r="AA221" s="596"/>
      <c r="AB221" s="597"/>
      <c r="AC221" s="594" t="s">
        <v>769</v>
      </c>
      <c r="AD221" s="595"/>
      <c r="AE221" s="589"/>
      <c r="AF221" s="589"/>
      <c r="AG221" s="589"/>
      <c r="AH221" s="589"/>
      <c r="AI221" s="589"/>
      <c r="AJ221" s="589"/>
      <c r="AK221" s="589"/>
      <c r="AL221" s="575"/>
      <c r="AM221" s="589"/>
      <c r="AN221" s="1397"/>
      <c r="AO221" s="1397"/>
      <c r="AP221" s="1397"/>
      <c r="AQ221" s="1397"/>
      <c r="AR221" s="1397"/>
      <c r="AS221" s="1397"/>
      <c r="AT221" s="1397"/>
      <c r="AU221" s="1397"/>
      <c r="AV221" s="1397"/>
      <c r="AW221" s="1397"/>
      <c r="AX221" s="1397"/>
      <c r="AY221" s="1397"/>
      <c r="AZ221" s="1397"/>
      <c r="BA221" s="1397"/>
      <c r="BB221" s="1397"/>
      <c r="BC221" s="1397"/>
      <c r="BD221" s="1397"/>
      <c r="BE221" s="1397"/>
      <c r="BF221" s="1397"/>
      <c r="BG221" s="1397"/>
      <c r="BH221" s="1397"/>
      <c r="BI221" s="1397"/>
      <c r="BJ221" s="1397"/>
      <c r="BK221" s="1397"/>
      <c r="BL221" s="1397"/>
      <c r="BM221" s="1397"/>
      <c r="BN221" s="1397"/>
    </row>
    <row r="222" spans="1:66" ht="13.5" hidden="1" outlineLevel="1" thickBot="1" x14ac:dyDescent="0.25">
      <c r="A222" s="589"/>
      <c r="B222" s="589"/>
      <c r="C222" s="589"/>
      <c r="D222" s="589"/>
      <c r="E222" s="589"/>
      <c r="F222" s="589"/>
      <c r="G222" s="2109" t="str">
        <f t="shared" si="12"/>
        <v/>
      </c>
      <c r="H222" s="589"/>
      <c r="I222" s="2096" t="str">
        <f t="shared" si="13"/>
        <v/>
      </c>
      <c r="K222" s="589"/>
      <c r="L222" s="589"/>
      <c r="M222" s="589"/>
      <c r="N222" s="589"/>
      <c r="O222" s="589"/>
      <c r="P222" s="589"/>
      <c r="Q222" s="589"/>
      <c r="R222" s="558" t="s">
        <v>2116</v>
      </c>
      <c r="S222" s="590"/>
      <c r="T222" s="591"/>
      <c r="U222" s="592"/>
      <c r="V222" s="605"/>
      <c r="W222" s="593"/>
      <c r="X222" s="594" t="s">
        <v>769</v>
      </c>
      <c r="Y222" s="595"/>
      <c r="Z222" s="605"/>
      <c r="AA222" s="596"/>
      <c r="AB222" s="597"/>
      <c r="AC222" s="594" t="s">
        <v>769</v>
      </c>
      <c r="AD222" s="595"/>
      <c r="AE222" s="589"/>
      <c r="AF222" s="589"/>
      <c r="AG222" s="589"/>
      <c r="AH222" s="589"/>
      <c r="AI222" s="589"/>
      <c r="AJ222" s="589"/>
      <c r="AK222" s="589"/>
      <c r="AL222" s="575"/>
      <c r="AM222" s="589"/>
      <c r="AN222" s="1397"/>
      <c r="AO222" s="1397"/>
      <c r="AP222" s="1397"/>
      <c r="AQ222" s="1397"/>
      <c r="AR222" s="1397"/>
      <c r="AS222" s="1397"/>
      <c r="AT222" s="1397"/>
      <c r="AU222" s="1397"/>
      <c r="AV222" s="1397"/>
      <c r="AW222" s="1397"/>
      <c r="AX222" s="1397"/>
      <c r="AY222" s="1397"/>
      <c r="AZ222" s="1397"/>
      <c r="BA222" s="1397"/>
      <c r="BB222" s="1397"/>
      <c r="BC222" s="1397"/>
      <c r="BD222" s="1397"/>
      <c r="BE222" s="1397"/>
      <c r="BF222" s="1397"/>
      <c r="BG222" s="1397"/>
      <c r="BH222" s="1397"/>
      <c r="BI222" s="1397"/>
      <c r="BJ222" s="1397"/>
      <c r="BK222" s="1397"/>
      <c r="BL222" s="1397"/>
      <c r="BM222" s="1397"/>
      <c r="BN222" s="1397"/>
    </row>
    <row r="223" spans="1:66" ht="13.5" hidden="1" outlineLevel="1" thickBot="1" x14ac:dyDescent="0.25">
      <c r="A223" s="589"/>
      <c r="B223" s="589"/>
      <c r="C223" s="589"/>
      <c r="D223" s="589"/>
      <c r="E223" s="589"/>
      <c r="F223" s="589"/>
      <c r="G223" s="2109" t="str">
        <f t="shared" si="12"/>
        <v/>
      </c>
      <c r="H223" s="589"/>
      <c r="I223" s="2096" t="str">
        <f t="shared" si="13"/>
        <v/>
      </c>
      <c r="K223" s="589"/>
      <c r="L223" s="589"/>
      <c r="M223" s="589"/>
      <c r="N223" s="589"/>
      <c r="O223" s="589"/>
      <c r="P223" s="589"/>
      <c r="Q223" s="589"/>
      <c r="R223" s="558" t="s">
        <v>2116</v>
      </c>
      <c r="S223" s="590"/>
      <c r="T223" s="591"/>
      <c r="U223" s="592"/>
      <c r="V223" s="605"/>
      <c r="W223" s="593"/>
      <c r="X223" s="594" t="s">
        <v>769</v>
      </c>
      <c r="Y223" s="595"/>
      <c r="Z223" s="605"/>
      <c r="AA223" s="596"/>
      <c r="AB223" s="597"/>
      <c r="AC223" s="594" t="s">
        <v>769</v>
      </c>
      <c r="AD223" s="595"/>
      <c r="AE223" s="589"/>
      <c r="AF223" s="589"/>
      <c r="AG223" s="589"/>
      <c r="AH223" s="589"/>
      <c r="AI223" s="589"/>
      <c r="AJ223" s="589"/>
      <c r="AK223" s="589"/>
      <c r="AL223" s="575"/>
      <c r="AM223" s="589"/>
      <c r="AN223" s="1397"/>
      <c r="AO223" s="1397"/>
      <c r="AP223" s="1397"/>
      <c r="AQ223" s="1397"/>
      <c r="AR223" s="1397"/>
      <c r="AS223" s="1397"/>
      <c r="AT223" s="1397"/>
      <c r="AU223" s="1397"/>
      <c r="AV223" s="1397"/>
      <c r="AW223" s="1397"/>
      <c r="AX223" s="1397"/>
      <c r="AY223" s="1397"/>
      <c r="AZ223" s="1397"/>
      <c r="BA223" s="1397"/>
      <c r="BB223" s="1397"/>
      <c r="BC223" s="1397"/>
      <c r="BD223" s="1397"/>
      <c r="BE223" s="1397"/>
      <c r="BF223" s="1397"/>
      <c r="BG223" s="1397"/>
      <c r="BH223" s="1397"/>
      <c r="BI223" s="1397"/>
      <c r="BJ223" s="1397"/>
      <c r="BK223" s="1397"/>
      <c r="BL223" s="1397"/>
      <c r="BM223" s="1397"/>
      <c r="BN223" s="1397"/>
    </row>
    <row r="224" spans="1:66" ht="13.5" hidden="1" outlineLevel="1" thickBot="1" x14ac:dyDescent="0.25">
      <c r="A224" s="589"/>
      <c r="B224" s="589"/>
      <c r="C224" s="589"/>
      <c r="D224" s="589"/>
      <c r="E224" s="589"/>
      <c r="F224" s="589"/>
      <c r="G224" s="2109" t="str">
        <f t="shared" si="12"/>
        <v/>
      </c>
      <c r="H224" s="589"/>
      <c r="I224" s="2096" t="str">
        <f t="shared" si="13"/>
        <v/>
      </c>
      <c r="K224" s="589"/>
      <c r="L224" s="589"/>
      <c r="M224" s="589"/>
      <c r="N224" s="589"/>
      <c r="O224" s="589"/>
      <c r="P224" s="589"/>
      <c r="Q224" s="589"/>
      <c r="R224" s="558" t="s">
        <v>2116</v>
      </c>
      <c r="S224" s="590"/>
      <c r="T224" s="591"/>
      <c r="U224" s="592"/>
      <c r="V224" s="605"/>
      <c r="W224" s="593"/>
      <c r="X224" s="594" t="s">
        <v>769</v>
      </c>
      <c r="Y224" s="595"/>
      <c r="Z224" s="605"/>
      <c r="AA224" s="596"/>
      <c r="AB224" s="597"/>
      <c r="AC224" s="594" t="s">
        <v>769</v>
      </c>
      <c r="AD224" s="595"/>
      <c r="AE224" s="589"/>
      <c r="AF224" s="589"/>
      <c r="AG224" s="589"/>
      <c r="AH224" s="589"/>
      <c r="AI224" s="589"/>
      <c r="AJ224" s="589"/>
      <c r="AK224" s="589"/>
      <c r="AL224" s="575"/>
      <c r="AM224" s="589"/>
      <c r="AN224" s="1397"/>
      <c r="AO224" s="1397"/>
      <c r="AP224" s="1397"/>
      <c r="AQ224" s="1397"/>
      <c r="AR224" s="1397"/>
      <c r="AS224" s="1397"/>
      <c r="AT224" s="1397"/>
      <c r="AU224" s="1397"/>
      <c r="AV224" s="1397"/>
      <c r="AW224" s="1397"/>
      <c r="AX224" s="1397"/>
      <c r="AY224" s="1397"/>
      <c r="AZ224" s="1397"/>
      <c r="BA224" s="1397"/>
      <c r="BB224" s="1397"/>
      <c r="BC224" s="1397"/>
      <c r="BD224" s="1397"/>
      <c r="BE224" s="1397"/>
      <c r="BF224" s="1397"/>
      <c r="BG224" s="1397"/>
      <c r="BH224" s="1397"/>
      <c r="BI224" s="1397"/>
      <c r="BJ224" s="1397"/>
      <c r="BK224" s="1397"/>
      <c r="BL224" s="1397"/>
      <c r="BM224" s="1397"/>
      <c r="BN224" s="1397"/>
    </row>
    <row r="225" spans="1:66" ht="13.5" hidden="1" outlineLevel="1" thickBot="1" x14ac:dyDescent="0.25">
      <c r="A225" s="589"/>
      <c r="B225" s="589"/>
      <c r="C225" s="589"/>
      <c r="D225" s="589"/>
      <c r="E225" s="589"/>
      <c r="F225" s="589"/>
      <c r="G225" s="2109" t="str">
        <f t="shared" si="12"/>
        <v/>
      </c>
      <c r="H225" s="589"/>
      <c r="I225" s="2096" t="str">
        <f t="shared" si="13"/>
        <v/>
      </c>
      <c r="K225" s="589"/>
      <c r="L225" s="589"/>
      <c r="M225" s="589"/>
      <c r="N225" s="589"/>
      <c r="O225" s="589"/>
      <c r="P225" s="589"/>
      <c r="Q225" s="589"/>
      <c r="R225" s="558" t="s">
        <v>2116</v>
      </c>
      <c r="S225" s="590"/>
      <c r="T225" s="591"/>
      <c r="U225" s="592"/>
      <c r="V225" s="605"/>
      <c r="W225" s="593"/>
      <c r="X225" s="594" t="s">
        <v>769</v>
      </c>
      <c r="Y225" s="595"/>
      <c r="Z225" s="605"/>
      <c r="AA225" s="596"/>
      <c r="AB225" s="597"/>
      <c r="AC225" s="594" t="s">
        <v>769</v>
      </c>
      <c r="AD225" s="595"/>
      <c r="AE225" s="589"/>
      <c r="AF225" s="589"/>
      <c r="AG225" s="589"/>
      <c r="AH225" s="589"/>
      <c r="AI225" s="589"/>
      <c r="AJ225" s="589"/>
      <c r="AK225" s="589"/>
      <c r="AL225" s="575"/>
      <c r="AM225" s="589"/>
      <c r="AN225" s="1397"/>
      <c r="AO225" s="1397"/>
      <c r="AP225" s="1397"/>
      <c r="AQ225" s="1397"/>
      <c r="AR225" s="1397"/>
      <c r="AS225" s="1397"/>
      <c r="AT225" s="1397"/>
      <c r="AU225" s="1397"/>
      <c r="AV225" s="1397"/>
      <c r="AW225" s="1397"/>
      <c r="AX225" s="1397"/>
      <c r="AY225" s="1397"/>
      <c r="AZ225" s="1397"/>
      <c r="BA225" s="1397"/>
      <c r="BB225" s="1397"/>
      <c r="BC225" s="1397"/>
      <c r="BD225" s="1397"/>
      <c r="BE225" s="1397"/>
      <c r="BF225" s="1397"/>
      <c r="BG225" s="1397"/>
      <c r="BH225" s="1397"/>
      <c r="BI225" s="1397"/>
      <c r="BJ225" s="1397"/>
      <c r="BK225" s="1397"/>
      <c r="BL225" s="1397"/>
      <c r="BM225" s="1397"/>
      <c r="BN225" s="1397"/>
    </row>
    <row r="226" spans="1:66" ht="13.5" hidden="1" outlineLevel="1" thickBot="1" x14ac:dyDescent="0.25">
      <c r="A226" s="589"/>
      <c r="B226" s="589"/>
      <c r="C226" s="589"/>
      <c r="D226" s="589"/>
      <c r="E226" s="589"/>
      <c r="F226" s="589"/>
      <c r="G226" s="2109" t="str">
        <f t="shared" si="12"/>
        <v/>
      </c>
      <c r="H226" s="589"/>
      <c r="I226" s="2096" t="str">
        <f t="shared" si="13"/>
        <v/>
      </c>
      <c r="K226" s="589"/>
      <c r="L226" s="589"/>
      <c r="M226" s="589"/>
      <c r="N226" s="589"/>
      <c r="O226" s="589"/>
      <c r="P226" s="589"/>
      <c r="Q226" s="589"/>
      <c r="R226" s="558" t="s">
        <v>2116</v>
      </c>
      <c r="S226" s="590"/>
      <c r="T226" s="591"/>
      <c r="U226" s="592"/>
      <c r="V226" s="605"/>
      <c r="W226" s="593"/>
      <c r="X226" s="594" t="s">
        <v>769</v>
      </c>
      <c r="Y226" s="595"/>
      <c r="Z226" s="605"/>
      <c r="AA226" s="596"/>
      <c r="AB226" s="597"/>
      <c r="AC226" s="594" t="s">
        <v>769</v>
      </c>
      <c r="AD226" s="595"/>
      <c r="AE226" s="589"/>
      <c r="AF226" s="589"/>
      <c r="AG226" s="589"/>
      <c r="AH226" s="589"/>
      <c r="AI226" s="589"/>
      <c r="AJ226" s="589"/>
      <c r="AK226" s="589"/>
      <c r="AL226" s="575"/>
      <c r="AM226" s="589"/>
      <c r="AN226" s="1397"/>
      <c r="AO226" s="1397"/>
      <c r="AP226" s="1397"/>
      <c r="AQ226" s="1397"/>
      <c r="AR226" s="1397"/>
      <c r="AS226" s="1397"/>
      <c r="AT226" s="1397"/>
      <c r="AU226" s="1397"/>
      <c r="AV226" s="1397"/>
      <c r="AW226" s="1397"/>
      <c r="AX226" s="1397"/>
      <c r="AY226" s="1397"/>
      <c r="AZ226" s="1397"/>
      <c r="BA226" s="1397"/>
      <c r="BB226" s="1397"/>
      <c r="BC226" s="1397"/>
      <c r="BD226" s="1397"/>
      <c r="BE226" s="1397"/>
      <c r="BF226" s="1397"/>
      <c r="BG226" s="1397"/>
      <c r="BH226" s="1397"/>
      <c r="BI226" s="1397"/>
      <c r="BJ226" s="1397"/>
      <c r="BK226" s="1397"/>
      <c r="BL226" s="1397"/>
      <c r="BM226" s="1397"/>
      <c r="BN226" s="1397"/>
    </row>
    <row r="227" spans="1:66" ht="13.5" hidden="1" outlineLevel="1" thickBot="1" x14ac:dyDescent="0.25">
      <c r="A227" s="589"/>
      <c r="B227" s="589"/>
      <c r="C227" s="589"/>
      <c r="D227" s="589"/>
      <c r="E227" s="589"/>
      <c r="F227" s="589"/>
      <c r="G227" s="2109" t="str">
        <f t="shared" si="12"/>
        <v/>
      </c>
      <c r="H227" s="589"/>
      <c r="I227" s="2096" t="str">
        <f t="shared" si="13"/>
        <v/>
      </c>
      <c r="K227" s="589"/>
      <c r="L227" s="589"/>
      <c r="M227" s="589"/>
      <c r="N227" s="589"/>
      <c r="O227" s="589"/>
      <c r="P227" s="589"/>
      <c r="Q227" s="589"/>
      <c r="R227" s="558" t="s">
        <v>2116</v>
      </c>
      <c r="S227" s="590"/>
      <c r="T227" s="591"/>
      <c r="U227" s="592"/>
      <c r="V227" s="605"/>
      <c r="W227" s="593"/>
      <c r="X227" s="594" t="s">
        <v>769</v>
      </c>
      <c r="Y227" s="595"/>
      <c r="Z227" s="605"/>
      <c r="AA227" s="596"/>
      <c r="AB227" s="597"/>
      <c r="AC227" s="594" t="s">
        <v>769</v>
      </c>
      <c r="AD227" s="595"/>
      <c r="AE227" s="589"/>
      <c r="AF227" s="589"/>
      <c r="AG227" s="589"/>
      <c r="AH227" s="589"/>
      <c r="AI227" s="589"/>
      <c r="AJ227" s="589"/>
      <c r="AK227" s="589"/>
      <c r="AL227" s="575"/>
      <c r="AM227" s="589"/>
      <c r="AN227" s="1397"/>
      <c r="AO227" s="1397"/>
      <c r="AP227" s="1397"/>
      <c r="AQ227" s="1397"/>
      <c r="AR227" s="1397"/>
      <c r="AS227" s="1397"/>
      <c r="AT227" s="1397"/>
      <c r="AU227" s="1397"/>
      <c r="AV227" s="1397"/>
      <c r="AW227" s="1397"/>
      <c r="AX227" s="1397"/>
      <c r="AY227" s="1397"/>
      <c r="AZ227" s="1397"/>
      <c r="BA227" s="1397"/>
      <c r="BB227" s="1397"/>
      <c r="BC227" s="1397"/>
      <c r="BD227" s="1397"/>
      <c r="BE227" s="1397"/>
      <c r="BF227" s="1397"/>
      <c r="BG227" s="1397"/>
      <c r="BH227" s="1397"/>
      <c r="BI227" s="1397"/>
      <c r="BJ227" s="1397"/>
      <c r="BK227" s="1397"/>
      <c r="BL227" s="1397"/>
      <c r="BM227" s="1397"/>
      <c r="BN227" s="1397"/>
    </row>
    <row r="228" spans="1:66" ht="13.5" hidden="1" outlineLevel="1" thickBot="1" x14ac:dyDescent="0.25">
      <c r="A228" s="589"/>
      <c r="B228" s="589"/>
      <c r="C228" s="589"/>
      <c r="D228" s="589"/>
      <c r="E228" s="589"/>
      <c r="F228" s="589"/>
      <c r="G228" s="2109" t="str">
        <f t="shared" si="12"/>
        <v/>
      </c>
      <c r="H228" s="589"/>
      <c r="I228" s="2096" t="str">
        <f t="shared" si="13"/>
        <v/>
      </c>
      <c r="K228" s="589"/>
      <c r="L228" s="589"/>
      <c r="M228" s="589"/>
      <c r="N228" s="589"/>
      <c r="O228" s="589"/>
      <c r="P228" s="589"/>
      <c r="Q228" s="589"/>
      <c r="R228" s="558" t="s">
        <v>2116</v>
      </c>
      <c r="S228" s="590"/>
      <c r="T228" s="591"/>
      <c r="U228" s="592"/>
      <c r="V228" s="605"/>
      <c r="W228" s="593"/>
      <c r="X228" s="594" t="s">
        <v>769</v>
      </c>
      <c r="Y228" s="595"/>
      <c r="Z228" s="605"/>
      <c r="AA228" s="596"/>
      <c r="AB228" s="597"/>
      <c r="AC228" s="594" t="s">
        <v>769</v>
      </c>
      <c r="AD228" s="595"/>
      <c r="AE228" s="589"/>
      <c r="AF228" s="589"/>
      <c r="AG228" s="589"/>
      <c r="AH228" s="589"/>
      <c r="AI228" s="589"/>
      <c r="AJ228" s="589"/>
      <c r="AK228" s="589"/>
      <c r="AL228" s="575"/>
      <c r="AM228" s="589"/>
      <c r="AN228" s="1397"/>
      <c r="AO228" s="1397"/>
      <c r="AP228" s="1397"/>
      <c r="AQ228" s="1397"/>
      <c r="AR228" s="1397"/>
      <c r="AS228" s="1397"/>
      <c r="AT228" s="1397"/>
      <c r="AU228" s="1397"/>
      <c r="AV228" s="1397"/>
      <c r="AW228" s="1397"/>
      <c r="AX228" s="1397"/>
      <c r="AY228" s="1397"/>
      <c r="AZ228" s="1397"/>
      <c r="BA228" s="1397"/>
      <c r="BB228" s="1397"/>
      <c r="BC228" s="1397"/>
      <c r="BD228" s="1397"/>
      <c r="BE228" s="1397"/>
      <c r="BF228" s="1397"/>
      <c r="BG228" s="1397"/>
      <c r="BH228" s="1397"/>
      <c r="BI228" s="1397"/>
      <c r="BJ228" s="1397"/>
      <c r="BK228" s="1397"/>
      <c r="BL228" s="1397"/>
      <c r="BM228" s="1397"/>
      <c r="BN228" s="1397"/>
    </row>
    <row r="229" spans="1:66" ht="13.5" hidden="1" outlineLevel="1" thickBot="1" x14ac:dyDescent="0.25">
      <c r="A229" s="589"/>
      <c r="B229" s="589"/>
      <c r="C229" s="589"/>
      <c r="D229" s="589"/>
      <c r="E229" s="589"/>
      <c r="F229" s="589"/>
      <c r="G229" s="2109" t="str">
        <f t="shared" si="12"/>
        <v/>
      </c>
      <c r="H229" s="589"/>
      <c r="I229" s="2096" t="str">
        <f t="shared" si="13"/>
        <v/>
      </c>
      <c r="K229" s="589"/>
      <c r="L229" s="589"/>
      <c r="M229" s="589"/>
      <c r="N229" s="589"/>
      <c r="O229" s="589"/>
      <c r="P229" s="589"/>
      <c r="Q229" s="589"/>
      <c r="R229" s="558" t="s">
        <v>2116</v>
      </c>
      <c r="S229" s="590"/>
      <c r="T229" s="591"/>
      <c r="U229" s="592"/>
      <c r="V229" s="605"/>
      <c r="W229" s="593"/>
      <c r="X229" s="594" t="s">
        <v>769</v>
      </c>
      <c r="Y229" s="595"/>
      <c r="Z229" s="605"/>
      <c r="AA229" s="596"/>
      <c r="AB229" s="597"/>
      <c r="AC229" s="594" t="s">
        <v>769</v>
      </c>
      <c r="AD229" s="595"/>
      <c r="AE229" s="589"/>
      <c r="AF229" s="589"/>
      <c r="AG229" s="589"/>
      <c r="AH229" s="589"/>
      <c r="AI229" s="589"/>
      <c r="AJ229" s="589"/>
      <c r="AK229" s="589"/>
      <c r="AL229" s="575"/>
      <c r="AM229" s="589"/>
      <c r="AN229" s="1397"/>
      <c r="AO229" s="1397"/>
      <c r="AP229" s="1397"/>
      <c r="AQ229" s="1397"/>
      <c r="AR229" s="1397"/>
      <c r="AS229" s="1397"/>
      <c r="AT229" s="1397"/>
      <c r="AU229" s="1397"/>
      <c r="AV229" s="1397"/>
      <c r="AW229" s="1397"/>
      <c r="AX229" s="1397"/>
      <c r="AY229" s="1397"/>
      <c r="AZ229" s="1397"/>
      <c r="BA229" s="1397"/>
      <c r="BB229" s="1397"/>
      <c r="BC229" s="1397"/>
      <c r="BD229" s="1397"/>
      <c r="BE229" s="1397"/>
      <c r="BF229" s="1397"/>
      <c r="BG229" s="1397"/>
      <c r="BH229" s="1397"/>
      <c r="BI229" s="1397"/>
      <c r="BJ229" s="1397"/>
      <c r="BK229" s="1397"/>
      <c r="BL229" s="1397"/>
      <c r="BM229" s="1397"/>
      <c r="BN229" s="1397"/>
    </row>
    <row r="230" spans="1:66" ht="13.5" hidden="1" outlineLevel="1" thickBot="1" x14ac:dyDescent="0.25">
      <c r="A230" s="589"/>
      <c r="B230" s="589"/>
      <c r="C230" s="589"/>
      <c r="D230" s="589"/>
      <c r="E230" s="589"/>
      <c r="F230" s="589"/>
      <c r="G230" s="2109" t="str">
        <f t="shared" si="12"/>
        <v/>
      </c>
      <c r="H230" s="589"/>
      <c r="I230" s="2096" t="str">
        <f t="shared" si="13"/>
        <v/>
      </c>
      <c r="K230" s="589"/>
      <c r="L230" s="589"/>
      <c r="M230" s="589"/>
      <c r="N230" s="589"/>
      <c r="O230" s="589"/>
      <c r="P230" s="589"/>
      <c r="Q230" s="589"/>
      <c r="R230" s="558" t="s">
        <v>2116</v>
      </c>
      <c r="S230" s="590"/>
      <c r="T230" s="591"/>
      <c r="U230" s="592"/>
      <c r="V230" s="605"/>
      <c r="W230" s="593"/>
      <c r="X230" s="594" t="s">
        <v>769</v>
      </c>
      <c r="Y230" s="595"/>
      <c r="Z230" s="605"/>
      <c r="AA230" s="596"/>
      <c r="AB230" s="597"/>
      <c r="AC230" s="594" t="s">
        <v>769</v>
      </c>
      <c r="AD230" s="595"/>
      <c r="AE230" s="589"/>
      <c r="AF230" s="589"/>
      <c r="AG230" s="589"/>
      <c r="AH230" s="589"/>
      <c r="AI230" s="589"/>
      <c r="AJ230" s="589"/>
      <c r="AK230" s="589"/>
      <c r="AL230" s="575"/>
      <c r="AM230" s="589"/>
      <c r="AN230" s="1397"/>
      <c r="AO230" s="1397"/>
      <c r="AP230" s="1397"/>
      <c r="AQ230" s="1397"/>
      <c r="AR230" s="1397"/>
      <c r="AS230" s="1397"/>
      <c r="AT230" s="1397"/>
      <c r="AU230" s="1397"/>
      <c r="AV230" s="1397"/>
      <c r="AW230" s="1397"/>
      <c r="AX230" s="1397"/>
      <c r="AY230" s="1397"/>
      <c r="AZ230" s="1397"/>
      <c r="BA230" s="1397"/>
      <c r="BB230" s="1397"/>
      <c r="BC230" s="1397"/>
      <c r="BD230" s="1397"/>
      <c r="BE230" s="1397"/>
      <c r="BF230" s="1397"/>
      <c r="BG230" s="1397"/>
      <c r="BH230" s="1397"/>
      <c r="BI230" s="1397"/>
      <c r="BJ230" s="1397"/>
      <c r="BK230" s="1397"/>
      <c r="BL230" s="1397"/>
      <c r="BM230" s="1397"/>
      <c r="BN230" s="1397"/>
    </row>
    <row r="231" spans="1:66" ht="13.5" hidden="1" outlineLevel="1" thickBot="1" x14ac:dyDescent="0.25">
      <c r="A231" s="589"/>
      <c r="B231" s="589"/>
      <c r="C231" s="589"/>
      <c r="D231" s="589"/>
      <c r="E231" s="589"/>
      <c r="F231" s="589"/>
      <c r="G231" s="2109" t="str">
        <f t="shared" si="12"/>
        <v/>
      </c>
      <c r="H231" s="589"/>
      <c r="I231" s="2096" t="str">
        <f t="shared" si="13"/>
        <v/>
      </c>
      <c r="K231" s="589"/>
      <c r="L231" s="589"/>
      <c r="M231" s="589"/>
      <c r="N231" s="589"/>
      <c r="O231" s="589"/>
      <c r="P231" s="589"/>
      <c r="Q231" s="589"/>
      <c r="R231" s="558" t="s">
        <v>2116</v>
      </c>
      <c r="S231" s="590"/>
      <c r="T231" s="591"/>
      <c r="U231" s="592"/>
      <c r="V231" s="605"/>
      <c r="W231" s="593"/>
      <c r="X231" s="594" t="s">
        <v>769</v>
      </c>
      <c r="Y231" s="595"/>
      <c r="Z231" s="605"/>
      <c r="AA231" s="596"/>
      <c r="AB231" s="597"/>
      <c r="AC231" s="594" t="s">
        <v>769</v>
      </c>
      <c r="AD231" s="595"/>
      <c r="AE231" s="589"/>
      <c r="AF231" s="589"/>
      <c r="AG231" s="589"/>
      <c r="AH231" s="589"/>
      <c r="AI231" s="589"/>
      <c r="AJ231" s="589"/>
      <c r="AK231" s="589"/>
      <c r="AL231" s="575"/>
      <c r="AM231" s="589"/>
      <c r="AN231" s="1397"/>
      <c r="AO231" s="1397"/>
      <c r="AP231" s="1397"/>
      <c r="AQ231" s="1397"/>
      <c r="AR231" s="1397"/>
      <c r="AS231" s="1397"/>
      <c r="AT231" s="1397"/>
      <c r="AU231" s="1397"/>
      <c r="AV231" s="1397"/>
      <c r="AW231" s="1397"/>
      <c r="AX231" s="1397"/>
      <c r="AY231" s="1397"/>
      <c r="AZ231" s="1397"/>
      <c r="BA231" s="1397"/>
      <c r="BB231" s="1397"/>
      <c r="BC231" s="1397"/>
      <c r="BD231" s="1397"/>
      <c r="BE231" s="1397"/>
      <c r="BF231" s="1397"/>
      <c r="BG231" s="1397"/>
      <c r="BH231" s="1397"/>
      <c r="BI231" s="1397"/>
      <c r="BJ231" s="1397"/>
      <c r="BK231" s="1397"/>
      <c r="BL231" s="1397"/>
      <c r="BM231" s="1397"/>
      <c r="BN231" s="1397"/>
    </row>
    <row r="232" spans="1:66" ht="13.5" hidden="1" outlineLevel="1" thickBot="1" x14ac:dyDescent="0.25">
      <c r="A232" s="589"/>
      <c r="B232" s="589"/>
      <c r="C232" s="589"/>
      <c r="D232" s="589"/>
      <c r="E232" s="589"/>
      <c r="F232" s="589"/>
      <c r="G232" s="2109" t="str">
        <f t="shared" si="12"/>
        <v/>
      </c>
      <c r="H232" s="589"/>
      <c r="I232" s="2096" t="str">
        <f t="shared" si="13"/>
        <v/>
      </c>
      <c r="K232" s="589"/>
      <c r="L232" s="589"/>
      <c r="M232" s="589"/>
      <c r="N232" s="589"/>
      <c r="O232" s="589"/>
      <c r="P232" s="589"/>
      <c r="Q232" s="589"/>
      <c r="R232" s="558" t="s">
        <v>2116</v>
      </c>
      <c r="S232" s="590"/>
      <c r="T232" s="591"/>
      <c r="U232" s="592"/>
      <c r="V232" s="605"/>
      <c r="W232" s="593"/>
      <c r="X232" s="594" t="s">
        <v>769</v>
      </c>
      <c r="Y232" s="595"/>
      <c r="Z232" s="605"/>
      <c r="AA232" s="596"/>
      <c r="AB232" s="597"/>
      <c r="AC232" s="594" t="s">
        <v>769</v>
      </c>
      <c r="AD232" s="595"/>
      <c r="AE232" s="589"/>
      <c r="AF232" s="589"/>
      <c r="AG232" s="589"/>
      <c r="AH232" s="589"/>
      <c r="AI232" s="589"/>
      <c r="AJ232" s="589"/>
      <c r="AK232" s="589"/>
      <c r="AL232" s="575"/>
      <c r="AM232" s="589"/>
      <c r="AN232" s="1397"/>
      <c r="AO232" s="1397"/>
      <c r="AP232" s="1397"/>
      <c r="AQ232" s="1397"/>
      <c r="AR232" s="1397"/>
      <c r="AS232" s="1397"/>
      <c r="AT232" s="1397"/>
      <c r="AU232" s="1397"/>
      <c r="AV232" s="1397"/>
      <c r="AW232" s="1397"/>
      <c r="AX232" s="1397"/>
      <c r="AY232" s="1397"/>
      <c r="AZ232" s="1397"/>
      <c r="BA232" s="1397"/>
      <c r="BB232" s="1397"/>
      <c r="BC232" s="1397"/>
      <c r="BD232" s="1397"/>
      <c r="BE232" s="1397"/>
      <c r="BF232" s="1397"/>
      <c r="BG232" s="1397"/>
      <c r="BH232" s="1397"/>
      <c r="BI232" s="1397"/>
      <c r="BJ232" s="1397"/>
      <c r="BK232" s="1397"/>
      <c r="BL232" s="1397"/>
      <c r="BM232" s="1397"/>
      <c r="BN232" s="1397"/>
    </row>
    <row r="233" spans="1:66" ht="13.5" hidden="1" outlineLevel="1" thickBot="1" x14ac:dyDescent="0.25">
      <c r="A233" s="589"/>
      <c r="B233" s="589"/>
      <c r="C233" s="589"/>
      <c r="D233" s="589"/>
      <c r="E233" s="589"/>
      <c r="F233" s="589"/>
      <c r="G233" s="2109" t="str">
        <f t="shared" si="12"/>
        <v/>
      </c>
      <c r="H233" s="589"/>
      <c r="I233" s="2096" t="str">
        <f t="shared" si="13"/>
        <v/>
      </c>
      <c r="K233" s="589"/>
      <c r="L233" s="589"/>
      <c r="M233" s="589"/>
      <c r="N233" s="589"/>
      <c r="O233" s="589"/>
      <c r="P233" s="589"/>
      <c r="Q233" s="589"/>
      <c r="R233" s="558" t="s">
        <v>2116</v>
      </c>
      <c r="S233" s="590"/>
      <c r="T233" s="591"/>
      <c r="U233" s="592"/>
      <c r="V233" s="605"/>
      <c r="W233" s="593"/>
      <c r="X233" s="594" t="s">
        <v>769</v>
      </c>
      <c r="Y233" s="595"/>
      <c r="Z233" s="605"/>
      <c r="AA233" s="596"/>
      <c r="AB233" s="597"/>
      <c r="AC233" s="594" t="s">
        <v>769</v>
      </c>
      <c r="AD233" s="595"/>
      <c r="AE233" s="589"/>
      <c r="AF233" s="589"/>
      <c r="AG233" s="589"/>
      <c r="AH233" s="589"/>
      <c r="AI233" s="589"/>
      <c r="AJ233" s="589"/>
      <c r="AK233" s="589"/>
      <c r="AL233" s="575"/>
      <c r="AM233" s="589"/>
      <c r="AN233" s="1397"/>
      <c r="AO233" s="1397"/>
      <c r="AP233" s="1397"/>
      <c r="AQ233" s="1397"/>
      <c r="AR233" s="1397"/>
      <c r="AS233" s="1397"/>
      <c r="AT233" s="1397"/>
      <c r="AU233" s="1397"/>
      <c r="AV233" s="1397"/>
      <c r="AW233" s="1397"/>
      <c r="AX233" s="1397"/>
      <c r="AY233" s="1397"/>
      <c r="AZ233" s="1397"/>
      <c r="BA233" s="1397"/>
      <c r="BB233" s="1397"/>
      <c r="BC233" s="1397"/>
      <c r="BD233" s="1397"/>
      <c r="BE233" s="1397"/>
      <c r="BF233" s="1397"/>
      <c r="BG233" s="1397"/>
      <c r="BH233" s="1397"/>
      <c r="BI233" s="1397"/>
      <c r="BJ233" s="1397"/>
      <c r="BK233" s="1397"/>
      <c r="BL233" s="1397"/>
      <c r="BM233" s="1397"/>
      <c r="BN233" s="1397"/>
    </row>
    <row r="234" spans="1:66" ht="13.5" hidden="1" outlineLevel="1" thickBot="1" x14ac:dyDescent="0.25">
      <c r="A234" s="589"/>
      <c r="B234" s="589"/>
      <c r="C234" s="589"/>
      <c r="D234" s="589"/>
      <c r="E234" s="589"/>
      <c r="F234" s="589"/>
      <c r="G234" s="2109" t="str">
        <f t="shared" si="12"/>
        <v/>
      </c>
      <c r="H234" s="589"/>
      <c r="I234" s="2096" t="str">
        <f t="shared" si="13"/>
        <v/>
      </c>
      <c r="K234" s="589"/>
      <c r="L234" s="589"/>
      <c r="M234" s="589"/>
      <c r="N234" s="589"/>
      <c r="O234" s="589"/>
      <c r="P234" s="589"/>
      <c r="Q234" s="589"/>
      <c r="R234" s="558" t="s">
        <v>2116</v>
      </c>
      <c r="S234" s="590"/>
      <c r="T234" s="591"/>
      <c r="U234" s="592"/>
      <c r="V234" s="605"/>
      <c r="W234" s="593"/>
      <c r="X234" s="594" t="s">
        <v>769</v>
      </c>
      <c r="Y234" s="595"/>
      <c r="Z234" s="605"/>
      <c r="AA234" s="596"/>
      <c r="AB234" s="597"/>
      <c r="AC234" s="594" t="s">
        <v>769</v>
      </c>
      <c r="AD234" s="595"/>
      <c r="AE234" s="589"/>
      <c r="AF234" s="589"/>
      <c r="AG234" s="589"/>
      <c r="AH234" s="589"/>
      <c r="AI234" s="589"/>
      <c r="AJ234" s="589"/>
      <c r="AK234" s="589"/>
      <c r="AL234" s="575"/>
      <c r="AM234" s="589"/>
      <c r="AN234" s="1397"/>
      <c r="AO234" s="1397"/>
      <c r="AP234" s="1397"/>
      <c r="AQ234" s="1397"/>
      <c r="AR234" s="1397"/>
      <c r="AS234" s="1397"/>
      <c r="AT234" s="1397"/>
      <c r="AU234" s="1397"/>
      <c r="AV234" s="1397"/>
      <c r="AW234" s="1397"/>
      <c r="AX234" s="1397"/>
      <c r="AY234" s="1397"/>
      <c r="AZ234" s="1397"/>
      <c r="BA234" s="1397"/>
      <c r="BB234" s="1397"/>
      <c r="BC234" s="1397"/>
      <c r="BD234" s="1397"/>
      <c r="BE234" s="1397"/>
      <c r="BF234" s="1397"/>
      <c r="BG234" s="1397"/>
      <c r="BH234" s="1397"/>
      <c r="BI234" s="1397"/>
      <c r="BJ234" s="1397"/>
      <c r="BK234" s="1397"/>
      <c r="BL234" s="1397"/>
      <c r="BM234" s="1397"/>
      <c r="BN234" s="1397"/>
    </row>
    <row r="235" spans="1:66" ht="13.5" hidden="1" outlineLevel="1" thickBot="1" x14ac:dyDescent="0.25">
      <c r="A235" s="589"/>
      <c r="B235" s="589"/>
      <c r="C235" s="589"/>
      <c r="D235" s="589"/>
      <c r="E235" s="589"/>
      <c r="F235" s="589"/>
      <c r="G235" s="2109" t="str">
        <f t="shared" si="12"/>
        <v/>
      </c>
      <c r="H235" s="589"/>
      <c r="I235" s="2096" t="str">
        <f t="shared" si="13"/>
        <v/>
      </c>
      <c r="K235" s="589"/>
      <c r="L235" s="589"/>
      <c r="M235" s="589"/>
      <c r="N235" s="589"/>
      <c r="O235" s="589"/>
      <c r="P235" s="589"/>
      <c r="Q235" s="589"/>
      <c r="R235" s="558" t="s">
        <v>2116</v>
      </c>
      <c r="S235" s="590"/>
      <c r="T235" s="591"/>
      <c r="U235" s="592"/>
      <c r="V235" s="605"/>
      <c r="W235" s="593"/>
      <c r="X235" s="594" t="s">
        <v>769</v>
      </c>
      <c r="Y235" s="595"/>
      <c r="Z235" s="605"/>
      <c r="AA235" s="596"/>
      <c r="AB235" s="597"/>
      <c r="AC235" s="594" t="s">
        <v>769</v>
      </c>
      <c r="AD235" s="595"/>
      <c r="AE235" s="589"/>
      <c r="AF235" s="589"/>
      <c r="AG235" s="589"/>
      <c r="AH235" s="589"/>
      <c r="AI235" s="589"/>
      <c r="AJ235" s="589"/>
      <c r="AK235" s="589"/>
      <c r="AL235" s="575"/>
      <c r="AM235" s="589"/>
      <c r="AN235" s="1397"/>
      <c r="AO235" s="1397"/>
      <c r="AP235" s="1397"/>
      <c r="AQ235" s="1397"/>
      <c r="AR235" s="1397"/>
      <c r="AS235" s="1397"/>
      <c r="AT235" s="1397"/>
      <c r="AU235" s="1397"/>
      <c r="AV235" s="1397"/>
      <c r="AW235" s="1397"/>
      <c r="AX235" s="1397"/>
      <c r="AY235" s="1397"/>
      <c r="AZ235" s="1397"/>
      <c r="BA235" s="1397"/>
      <c r="BB235" s="1397"/>
      <c r="BC235" s="1397"/>
      <c r="BD235" s="1397"/>
      <c r="BE235" s="1397"/>
      <c r="BF235" s="1397"/>
      <c r="BG235" s="1397"/>
      <c r="BH235" s="1397"/>
      <c r="BI235" s="1397"/>
      <c r="BJ235" s="1397"/>
      <c r="BK235" s="1397"/>
      <c r="BL235" s="1397"/>
      <c r="BM235" s="1397"/>
      <c r="BN235" s="1397"/>
    </row>
    <row r="236" spans="1:66" ht="13.5" hidden="1" outlineLevel="1" thickBot="1" x14ac:dyDescent="0.25">
      <c r="A236" s="589"/>
      <c r="B236" s="589"/>
      <c r="C236" s="589"/>
      <c r="D236" s="589"/>
      <c r="E236" s="589"/>
      <c r="F236" s="589"/>
      <c r="G236" s="2109" t="str">
        <f t="shared" si="12"/>
        <v/>
      </c>
      <c r="H236" s="589"/>
      <c r="I236" s="2096" t="str">
        <f t="shared" si="13"/>
        <v/>
      </c>
      <c r="K236" s="589"/>
      <c r="L236" s="589"/>
      <c r="M236" s="589"/>
      <c r="N236" s="589"/>
      <c r="O236" s="589"/>
      <c r="P236" s="589"/>
      <c r="Q236" s="589"/>
      <c r="R236" s="558" t="s">
        <v>2116</v>
      </c>
      <c r="S236" s="590"/>
      <c r="T236" s="591"/>
      <c r="U236" s="592"/>
      <c r="V236" s="605"/>
      <c r="W236" s="593"/>
      <c r="X236" s="594" t="s">
        <v>769</v>
      </c>
      <c r="Y236" s="595"/>
      <c r="Z236" s="605"/>
      <c r="AA236" s="596"/>
      <c r="AB236" s="597"/>
      <c r="AC236" s="594" t="s">
        <v>769</v>
      </c>
      <c r="AD236" s="595"/>
      <c r="AE236" s="589"/>
      <c r="AF236" s="589"/>
      <c r="AG236" s="589"/>
      <c r="AH236" s="589"/>
      <c r="AI236" s="589"/>
      <c r="AJ236" s="589"/>
      <c r="AK236" s="589"/>
      <c r="AL236" s="575"/>
      <c r="AM236" s="589"/>
      <c r="AN236" s="1397"/>
      <c r="AO236" s="1397"/>
      <c r="AP236" s="1397"/>
      <c r="AQ236" s="1397"/>
      <c r="AR236" s="1397"/>
      <c r="AS236" s="1397"/>
      <c r="AT236" s="1397"/>
      <c r="AU236" s="1397"/>
      <c r="AV236" s="1397"/>
      <c r="AW236" s="1397"/>
      <c r="AX236" s="1397"/>
      <c r="AY236" s="1397"/>
      <c r="AZ236" s="1397"/>
      <c r="BA236" s="1397"/>
      <c r="BB236" s="1397"/>
      <c r="BC236" s="1397"/>
      <c r="BD236" s="1397"/>
      <c r="BE236" s="1397"/>
      <c r="BF236" s="1397"/>
      <c r="BG236" s="1397"/>
      <c r="BH236" s="1397"/>
      <c r="BI236" s="1397"/>
      <c r="BJ236" s="1397"/>
      <c r="BK236" s="1397"/>
      <c r="BL236" s="1397"/>
      <c r="BM236" s="1397"/>
      <c r="BN236" s="1397"/>
    </row>
    <row r="237" spans="1:66" ht="13.5" hidden="1" outlineLevel="1" thickBot="1" x14ac:dyDescent="0.25">
      <c r="A237" s="589"/>
      <c r="B237" s="589"/>
      <c r="C237" s="589"/>
      <c r="D237" s="589"/>
      <c r="E237" s="589"/>
      <c r="F237" s="589"/>
      <c r="G237" s="2109" t="str">
        <f t="shared" si="12"/>
        <v/>
      </c>
      <c r="H237" s="589"/>
      <c r="I237" s="2096" t="str">
        <f t="shared" si="13"/>
        <v/>
      </c>
      <c r="K237" s="589"/>
      <c r="L237" s="589"/>
      <c r="M237" s="589"/>
      <c r="N237" s="589"/>
      <c r="O237" s="589"/>
      <c r="P237" s="589"/>
      <c r="Q237" s="589"/>
      <c r="R237" s="558" t="s">
        <v>2116</v>
      </c>
      <c r="S237" s="590"/>
      <c r="T237" s="591"/>
      <c r="U237" s="592"/>
      <c r="V237" s="605"/>
      <c r="W237" s="593"/>
      <c r="X237" s="594" t="s">
        <v>769</v>
      </c>
      <c r="Y237" s="595"/>
      <c r="Z237" s="605"/>
      <c r="AA237" s="596"/>
      <c r="AB237" s="597"/>
      <c r="AC237" s="594" t="s">
        <v>769</v>
      </c>
      <c r="AD237" s="595"/>
      <c r="AE237" s="589"/>
      <c r="AF237" s="589"/>
      <c r="AG237" s="589"/>
      <c r="AH237" s="589"/>
      <c r="AI237" s="589"/>
      <c r="AJ237" s="589"/>
      <c r="AK237" s="589"/>
      <c r="AL237" s="575"/>
      <c r="AM237" s="589"/>
      <c r="AN237" s="1397"/>
      <c r="AO237" s="1397"/>
      <c r="AP237" s="1397"/>
      <c r="AQ237" s="1397"/>
      <c r="AR237" s="1397"/>
      <c r="AS237" s="1397"/>
      <c r="AT237" s="1397"/>
      <c r="AU237" s="1397"/>
      <c r="AV237" s="1397"/>
      <c r="AW237" s="1397"/>
      <c r="AX237" s="1397"/>
      <c r="AY237" s="1397"/>
      <c r="AZ237" s="1397"/>
      <c r="BA237" s="1397"/>
      <c r="BB237" s="1397"/>
      <c r="BC237" s="1397"/>
      <c r="BD237" s="1397"/>
      <c r="BE237" s="1397"/>
      <c r="BF237" s="1397"/>
      <c r="BG237" s="1397"/>
      <c r="BH237" s="1397"/>
      <c r="BI237" s="1397"/>
      <c r="BJ237" s="1397"/>
      <c r="BK237" s="1397"/>
      <c r="BL237" s="1397"/>
      <c r="BM237" s="1397"/>
      <c r="BN237" s="1397"/>
    </row>
    <row r="238" spans="1:66" ht="13.5" hidden="1" outlineLevel="1" thickBot="1" x14ac:dyDescent="0.25">
      <c r="A238" s="589"/>
      <c r="B238" s="589"/>
      <c r="C238" s="589"/>
      <c r="D238" s="589"/>
      <c r="E238" s="589"/>
      <c r="F238" s="589"/>
      <c r="G238" s="589"/>
      <c r="H238" s="589"/>
      <c r="I238" s="589"/>
      <c r="J238" s="589"/>
      <c r="K238" s="589"/>
      <c r="L238" s="589"/>
      <c r="M238" s="589"/>
      <c r="N238" s="589"/>
      <c r="O238" s="589"/>
      <c r="P238" s="589"/>
      <c r="Q238" s="589"/>
      <c r="R238" s="558"/>
      <c r="S238" s="589"/>
      <c r="T238" s="589"/>
      <c r="U238" s="589"/>
      <c r="V238" s="589"/>
      <c r="W238" s="589"/>
      <c r="X238" s="589"/>
      <c r="Y238" s="589"/>
      <c r="Z238" s="589"/>
      <c r="AA238" s="589"/>
      <c r="AB238" s="589"/>
      <c r="AC238" s="589"/>
      <c r="AD238" s="589"/>
      <c r="AE238" s="589"/>
      <c r="AF238" s="589"/>
      <c r="AG238" s="589"/>
      <c r="AH238" s="589"/>
      <c r="AI238" s="589"/>
      <c r="AJ238" s="589"/>
      <c r="AK238" s="589"/>
      <c r="AL238" s="575"/>
      <c r="AM238" s="589"/>
      <c r="AN238" s="1397"/>
      <c r="AO238" s="1397"/>
      <c r="AP238" s="1397"/>
      <c r="AQ238" s="1397"/>
      <c r="AR238" s="1397"/>
      <c r="AS238" s="1397"/>
      <c r="AT238" s="1397"/>
      <c r="AU238" s="1397"/>
      <c r="AV238" s="1397"/>
      <c r="AW238" s="1397"/>
      <c r="AX238" s="1397"/>
      <c r="AY238" s="1397"/>
      <c r="AZ238" s="1397"/>
      <c r="BA238" s="1397"/>
      <c r="BB238" s="1397"/>
      <c r="BC238" s="1397"/>
      <c r="BD238" s="1397"/>
      <c r="BE238" s="1397"/>
      <c r="BF238" s="1397"/>
      <c r="BG238" s="1397"/>
      <c r="BH238" s="1397"/>
      <c r="BI238" s="1397"/>
      <c r="BJ238" s="1397"/>
      <c r="BK238" s="1397"/>
      <c r="BL238" s="1397"/>
      <c r="BM238" s="1397"/>
      <c r="BN238" s="1397"/>
    </row>
    <row r="239" spans="1:66" ht="13.5" collapsed="1" thickBot="1" x14ac:dyDescent="0.25">
      <c r="A239" s="589"/>
      <c r="B239" s="2361" t="str">
        <f>N__1_32_DE_FINALE</f>
        <v>1/32 DE FINALE</v>
      </c>
      <c r="C239" s="2362"/>
      <c r="D239" s="2362"/>
      <c r="E239" s="2362"/>
      <c r="F239" s="2362"/>
      <c r="G239" s="2362"/>
      <c r="H239" s="2362"/>
      <c r="I239" s="2362"/>
      <c r="J239" s="2362"/>
      <c r="K239" s="2362"/>
      <c r="L239" s="2362"/>
      <c r="M239" s="2362"/>
      <c r="N239" s="2362"/>
      <c r="O239" s="2362"/>
      <c r="P239" s="2362"/>
      <c r="Q239" s="2362"/>
      <c r="R239" s="2362"/>
      <c r="S239" s="2362"/>
      <c r="T239" s="2362"/>
      <c r="U239" s="2362"/>
      <c r="V239" s="2362"/>
      <c r="W239" s="2362"/>
      <c r="X239" s="2362"/>
      <c r="Y239" s="2362"/>
      <c r="Z239" s="2362"/>
      <c r="AA239" s="2362"/>
      <c r="AB239" s="2362"/>
      <c r="AC239" s="2362"/>
      <c r="AD239" s="2362"/>
      <c r="AE239" s="2362"/>
      <c r="AF239" s="2362"/>
      <c r="AG239" s="2362"/>
      <c r="AH239" s="2362"/>
      <c r="AI239" s="2362"/>
      <c r="AJ239" s="2362"/>
      <c r="AK239" s="2362"/>
      <c r="AL239" s="2363"/>
      <c r="AM239" s="589"/>
      <c r="AN239" s="1397"/>
      <c r="AO239" s="1397"/>
      <c r="AP239" s="1397"/>
      <c r="AQ239" s="1397"/>
      <c r="AR239" s="1397"/>
      <c r="AS239" s="1397"/>
      <c r="AT239" s="1397"/>
      <c r="AU239" s="1397"/>
      <c r="AV239" s="1397"/>
      <c r="AW239" s="1397"/>
      <c r="AX239" s="1397"/>
      <c r="AY239" s="1397"/>
      <c r="AZ239" s="1397"/>
      <c r="BA239" s="1397"/>
      <c r="BB239" s="1397"/>
      <c r="BC239" s="1397"/>
      <c r="BD239" s="1397"/>
      <c r="BE239" s="1397"/>
      <c r="BF239" s="1397"/>
      <c r="BG239" s="1397"/>
      <c r="BH239" s="1397"/>
      <c r="BI239" s="1397"/>
      <c r="BJ239" s="1397"/>
      <c r="BK239" s="1397"/>
      <c r="BL239" s="1397"/>
      <c r="BM239" s="1397"/>
      <c r="BN239" s="1397"/>
    </row>
    <row r="240" spans="1:66" ht="13.5" hidden="1" outlineLevel="1" thickBot="1" x14ac:dyDescent="0.25">
      <c r="A240" s="589"/>
      <c r="B240" s="589"/>
      <c r="C240" s="589"/>
      <c r="D240" s="589"/>
      <c r="E240" s="589"/>
      <c r="F240" s="589"/>
      <c r="G240" s="606" t="str">
        <f>N_Qualifiés</f>
        <v>Qualifiés</v>
      </c>
      <c r="H240" s="589"/>
      <c r="I240" s="2093" t="str">
        <f>N_Disqualified</f>
        <v>Disqualifiés</v>
      </c>
      <c r="J240" s="589"/>
      <c r="K240" s="589"/>
      <c r="L240" s="589"/>
      <c r="M240" s="589"/>
      <c r="N240" s="589"/>
      <c r="O240" s="589"/>
      <c r="P240" s="589"/>
      <c r="Q240" s="589"/>
      <c r="R240" s="558"/>
      <c r="S240" s="607" t="str">
        <f>N_Heure</f>
        <v>Heure</v>
      </c>
      <c r="T240" s="607" t="str">
        <f>N_Table</f>
        <v>Table</v>
      </c>
      <c r="U240" s="607" t="str">
        <f>N_Arbitre</f>
        <v>Arbitre</v>
      </c>
      <c r="V240" s="608"/>
      <c r="W240" s="2349" t="str">
        <f>N_Scores</f>
        <v>Scores</v>
      </c>
      <c r="X240" s="2350"/>
      <c r="Y240" s="2351"/>
      <c r="Z240" s="609"/>
      <c r="AA240" s="606" t="str">
        <f>N_MS</f>
        <v>MS</v>
      </c>
      <c r="AB240" s="2346" t="str">
        <f>N_Diff</f>
        <v>Diff</v>
      </c>
      <c r="AC240" s="2347"/>
      <c r="AD240" s="2348"/>
      <c r="AE240" s="589"/>
      <c r="AF240" s="589"/>
      <c r="AG240" s="589"/>
      <c r="AH240" s="589"/>
      <c r="AI240" s="589"/>
      <c r="AJ240" s="589"/>
      <c r="AK240" s="589"/>
      <c r="AL240" s="575"/>
      <c r="AM240" s="589"/>
      <c r="AN240" s="1397"/>
      <c r="AO240" s="1397"/>
      <c r="AP240" s="1397"/>
      <c r="AQ240" s="1397"/>
      <c r="AR240" s="1397"/>
      <c r="AS240" s="1397"/>
      <c r="AT240" s="1397"/>
      <c r="AU240" s="1397"/>
      <c r="AV240" s="1397"/>
      <c r="AW240" s="1397"/>
      <c r="AX240" s="1397"/>
      <c r="AY240" s="1397"/>
      <c r="AZ240" s="1397"/>
      <c r="BA240" s="1397"/>
      <c r="BB240" s="1397"/>
      <c r="BC240" s="1397"/>
      <c r="BD240" s="1397"/>
      <c r="BE240" s="1397"/>
      <c r="BF240" s="1397"/>
      <c r="BG240" s="1397"/>
      <c r="BH240" s="1397"/>
      <c r="BI240" s="1397"/>
      <c r="BJ240" s="1397"/>
      <c r="BK240" s="1397"/>
      <c r="BL240" s="1397"/>
      <c r="BM240" s="1397"/>
      <c r="BN240" s="1397"/>
    </row>
    <row r="241" spans="1:66" ht="13.5" hidden="1" outlineLevel="1" thickBot="1" x14ac:dyDescent="0.25">
      <c r="A241" s="589"/>
      <c r="B241" s="589"/>
      <c r="C241" s="589"/>
      <c r="D241" s="589"/>
      <c r="E241" s="589"/>
      <c r="F241" s="589"/>
      <c r="G241" s="2108" t="str">
        <f t="shared" ref="G241:G272" si="14">IF(W241="",IF(OR(HidePlayerFormulas,V241=""),"","("&amp;V241&amp;"-"&amp;Z241&amp;")"),IF(W241&gt;Y241,V241,IF(Y241&gt;W241,Z241,IF(AB241&gt;AD241,V241,IF(AD241&gt;AB241,Z241,mess_erreur_marque)))))</f>
        <v/>
      </c>
      <c r="H241" s="589"/>
      <c r="I241" s="2097" t="str">
        <f t="shared" ref="I241:I272" si="15">IF(G241="","",IF(G241=V241,Z241,V241))</f>
        <v/>
      </c>
      <c r="K241" s="589"/>
      <c r="L241" s="589"/>
      <c r="M241" s="589"/>
      <c r="N241" s="589"/>
      <c r="O241" s="589"/>
      <c r="P241" s="589"/>
      <c r="Q241" s="589"/>
      <c r="R241" s="558" t="s">
        <v>2115</v>
      </c>
      <c r="S241" s="590"/>
      <c r="T241" s="591"/>
      <c r="U241" s="592"/>
      <c r="V241" s="605"/>
      <c r="W241" s="593"/>
      <c r="X241" s="594" t="s">
        <v>769</v>
      </c>
      <c r="Y241" s="595"/>
      <c r="Z241" s="605"/>
      <c r="AA241" s="596"/>
      <c r="AB241" s="597"/>
      <c r="AC241" s="594" t="s">
        <v>769</v>
      </c>
      <c r="AD241" s="595"/>
      <c r="AE241" s="589"/>
      <c r="AF241" s="589"/>
      <c r="AG241" s="589"/>
      <c r="AH241" s="589"/>
      <c r="AI241" s="589"/>
      <c r="AJ241" s="589"/>
      <c r="AK241" s="589"/>
      <c r="AL241" s="575"/>
      <c r="AM241" s="589"/>
      <c r="AN241" s="1397"/>
      <c r="AO241" s="1397"/>
      <c r="AP241" s="1397"/>
      <c r="AQ241" s="1397"/>
      <c r="AR241" s="1397"/>
      <c r="AS241" s="1397"/>
      <c r="AT241" s="1397"/>
      <c r="AU241" s="1397"/>
      <c r="AV241" s="1397"/>
      <c r="AW241" s="1397"/>
      <c r="AX241" s="1397"/>
      <c r="AY241" s="1397"/>
      <c r="AZ241" s="1397"/>
      <c r="BA241" s="1397"/>
      <c r="BB241" s="1397"/>
      <c r="BC241" s="1397"/>
      <c r="BD241" s="1397"/>
      <c r="BE241" s="1397"/>
      <c r="BF241" s="1397"/>
      <c r="BG241" s="1397"/>
      <c r="BH241" s="1397"/>
      <c r="BI241" s="1397"/>
      <c r="BJ241" s="1397"/>
      <c r="BK241" s="1397"/>
      <c r="BL241" s="1397"/>
      <c r="BM241" s="1397"/>
      <c r="BN241" s="1397"/>
    </row>
    <row r="242" spans="1:66" ht="13.5" hidden="1" outlineLevel="1" thickBot="1" x14ac:dyDescent="0.25">
      <c r="A242" s="589"/>
      <c r="B242" s="589"/>
      <c r="C242" s="589"/>
      <c r="D242" s="589"/>
      <c r="E242" s="589"/>
      <c r="F242" s="589"/>
      <c r="G242" s="2108" t="str">
        <f t="shared" si="14"/>
        <v/>
      </c>
      <c r="H242" s="589"/>
      <c r="I242" s="2097" t="str">
        <f t="shared" si="15"/>
        <v/>
      </c>
      <c r="K242" s="589"/>
      <c r="L242" s="589"/>
      <c r="M242" s="589"/>
      <c r="N242" s="589"/>
      <c r="O242" s="589"/>
      <c r="P242" s="589"/>
      <c r="Q242" s="589"/>
      <c r="R242" s="558" t="s">
        <v>2115</v>
      </c>
      <c r="S242" s="590"/>
      <c r="T242" s="591"/>
      <c r="U242" s="592"/>
      <c r="V242" s="605"/>
      <c r="W242" s="593"/>
      <c r="X242" s="594" t="s">
        <v>769</v>
      </c>
      <c r="Y242" s="595"/>
      <c r="Z242" s="605"/>
      <c r="AA242" s="596"/>
      <c r="AB242" s="597"/>
      <c r="AC242" s="594" t="s">
        <v>769</v>
      </c>
      <c r="AD242" s="595"/>
      <c r="AE242" s="589"/>
      <c r="AF242" s="589"/>
      <c r="AG242" s="589"/>
      <c r="AH242" s="589"/>
      <c r="AI242" s="589"/>
      <c r="AJ242" s="589"/>
      <c r="AK242" s="589"/>
      <c r="AL242" s="575"/>
      <c r="AM242" s="589"/>
      <c r="AN242" s="1397"/>
      <c r="AO242" s="1397"/>
      <c r="AP242" s="1397"/>
      <c r="AQ242" s="1397"/>
      <c r="AR242" s="1397"/>
      <c r="AS242" s="1397"/>
      <c r="AT242" s="1397"/>
      <c r="AU242" s="1397"/>
      <c r="AV242" s="1397"/>
      <c r="AW242" s="1397"/>
      <c r="AX242" s="1397"/>
      <c r="AY242" s="1397"/>
      <c r="AZ242" s="1397"/>
      <c r="BA242" s="1397"/>
      <c r="BB242" s="1397"/>
      <c r="BC242" s="1397"/>
      <c r="BD242" s="1397"/>
      <c r="BE242" s="1397"/>
      <c r="BF242" s="1397"/>
      <c r="BG242" s="1397"/>
      <c r="BH242" s="1397"/>
      <c r="BI242" s="1397"/>
      <c r="BJ242" s="1397"/>
      <c r="BK242" s="1397"/>
      <c r="BL242" s="1397"/>
      <c r="BM242" s="1397"/>
      <c r="BN242" s="1397"/>
    </row>
    <row r="243" spans="1:66" ht="13.5" hidden="1" outlineLevel="1" thickBot="1" x14ac:dyDescent="0.25">
      <c r="A243" s="589"/>
      <c r="B243" s="589"/>
      <c r="C243" s="589"/>
      <c r="D243" s="589"/>
      <c r="E243" s="589"/>
      <c r="F243" s="589"/>
      <c r="G243" s="2108" t="str">
        <f t="shared" si="14"/>
        <v/>
      </c>
      <c r="H243" s="589"/>
      <c r="I243" s="2097" t="str">
        <f t="shared" si="15"/>
        <v/>
      </c>
      <c r="K243" s="589"/>
      <c r="L243" s="589"/>
      <c r="M243" s="589"/>
      <c r="N243" s="589"/>
      <c r="O243" s="589"/>
      <c r="P243" s="589"/>
      <c r="Q243" s="589"/>
      <c r="R243" s="558" t="s">
        <v>2115</v>
      </c>
      <c r="S243" s="590"/>
      <c r="T243" s="591"/>
      <c r="U243" s="592"/>
      <c r="V243" s="605"/>
      <c r="W243" s="593"/>
      <c r="X243" s="594" t="s">
        <v>769</v>
      </c>
      <c r="Y243" s="595"/>
      <c r="Z243" s="605"/>
      <c r="AA243" s="596"/>
      <c r="AB243" s="597"/>
      <c r="AC243" s="594" t="s">
        <v>769</v>
      </c>
      <c r="AD243" s="595"/>
      <c r="AE243" s="589"/>
      <c r="AF243" s="589"/>
      <c r="AG243" s="589"/>
      <c r="AH243" s="589"/>
      <c r="AI243" s="589"/>
      <c r="AJ243" s="589"/>
      <c r="AK243" s="589"/>
      <c r="AL243" s="575"/>
      <c r="AM243" s="589"/>
      <c r="AN243" s="1397"/>
      <c r="AO243" s="1397"/>
      <c r="AP243" s="1397"/>
      <c r="AQ243" s="1397"/>
      <c r="AR243" s="1397"/>
      <c r="AS243" s="1397"/>
      <c r="AT243" s="1397"/>
      <c r="AU243" s="1397"/>
      <c r="AV243" s="1397"/>
      <c r="AW243" s="1397"/>
      <c r="AX243" s="1397"/>
      <c r="AY243" s="1397"/>
      <c r="AZ243" s="1397"/>
      <c r="BA243" s="1397"/>
      <c r="BB243" s="1397"/>
      <c r="BC243" s="1397"/>
      <c r="BD243" s="1397"/>
      <c r="BE243" s="1397"/>
      <c r="BF243" s="1397"/>
      <c r="BG243" s="1397"/>
      <c r="BH243" s="1397"/>
      <c r="BI243" s="1397"/>
      <c r="BJ243" s="1397"/>
      <c r="BK243" s="1397"/>
      <c r="BL243" s="1397"/>
      <c r="BM243" s="1397"/>
      <c r="BN243" s="1397"/>
    </row>
    <row r="244" spans="1:66" ht="13.5" hidden="1" outlineLevel="1" thickBot="1" x14ac:dyDescent="0.25">
      <c r="A244" s="589"/>
      <c r="B244" s="589"/>
      <c r="C244" s="589"/>
      <c r="D244" s="589"/>
      <c r="E244" s="589"/>
      <c r="F244" s="589"/>
      <c r="G244" s="2108" t="str">
        <f t="shared" si="14"/>
        <v/>
      </c>
      <c r="H244" s="589"/>
      <c r="I244" s="2097" t="str">
        <f t="shared" si="15"/>
        <v/>
      </c>
      <c r="K244" s="589"/>
      <c r="L244" s="589"/>
      <c r="M244" s="589"/>
      <c r="N244" s="589"/>
      <c r="O244" s="589"/>
      <c r="P244" s="589"/>
      <c r="Q244" s="589"/>
      <c r="R244" s="558" t="s">
        <v>2115</v>
      </c>
      <c r="S244" s="590"/>
      <c r="T244" s="591"/>
      <c r="U244" s="592"/>
      <c r="V244" s="605"/>
      <c r="W244" s="593"/>
      <c r="X244" s="594" t="s">
        <v>769</v>
      </c>
      <c r="Y244" s="595"/>
      <c r="Z244" s="605"/>
      <c r="AA244" s="596"/>
      <c r="AB244" s="597"/>
      <c r="AC244" s="594" t="s">
        <v>769</v>
      </c>
      <c r="AD244" s="595"/>
      <c r="AE244" s="589"/>
      <c r="AF244" s="589"/>
      <c r="AG244" s="589"/>
      <c r="AH244" s="589"/>
      <c r="AI244" s="589"/>
      <c r="AJ244" s="589"/>
      <c r="AK244" s="589"/>
      <c r="AL244" s="575"/>
      <c r="AM244" s="589"/>
      <c r="AN244" s="1397"/>
      <c r="AO244" s="1397"/>
      <c r="AP244" s="1397"/>
      <c r="AQ244" s="1397"/>
      <c r="AR244" s="1397"/>
      <c r="AS244" s="1397"/>
      <c r="AT244" s="1397"/>
      <c r="AU244" s="1397"/>
      <c r="AV244" s="1397"/>
      <c r="AW244" s="1397"/>
      <c r="AX244" s="1397"/>
      <c r="AY244" s="1397"/>
      <c r="AZ244" s="1397"/>
      <c r="BA244" s="1397"/>
      <c r="BB244" s="1397"/>
      <c r="BC244" s="1397"/>
      <c r="BD244" s="1397"/>
      <c r="BE244" s="1397"/>
      <c r="BF244" s="1397"/>
      <c r="BG244" s="1397"/>
      <c r="BH244" s="1397"/>
      <c r="BI244" s="1397"/>
      <c r="BJ244" s="1397"/>
      <c r="BK244" s="1397"/>
      <c r="BL244" s="1397"/>
      <c r="BM244" s="1397"/>
      <c r="BN244" s="1397"/>
    </row>
    <row r="245" spans="1:66" ht="13.5" hidden="1" outlineLevel="1" thickBot="1" x14ac:dyDescent="0.25">
      <c r="A245" s="589"/>
      <c r="B245" s="589"/>
      <c r="C245" s="589"/>
      <c r="D245" s="589"/>
      <c r="E245" s="589"/>
      <c r="F245" s="589"/>
      <c r="G245" s="2108" t="str">
        <f t="shared" si="14"/>
        <v/>
      </c>
      <c r="H245" s="589"/>
      <c r="I245" s="2097" t="str">
        <f t="shared" si="15"/>
        <v/>
      </c>
      <c r="K245" s="589"/>
      <c r="L245" s="589"/>
      <c r="M245" s="589"/>
      <c r="N245" s="589"/>
      <c r="O245" s="589"/>
      <c r="P245" s="589"/>
      <c r="Q245" s="589"/>
      <c r="R245" s="558" t="s">
        <v>2115</v>
      </c>
      <c r="S245" s="590"/>
      <c r="T245" s="591"/>
      <c r="U245" s="592"/>
      <c r="V245" s="605"/>
      <c r="W245" s="593"/>
      <c r="X245" s="594" t="s">
        <v>769</v>
      </c>
      <c r="Y245" s="595"/>
      <c r="Z245" s="605"/>
      <c r="AA245" s="596"/>
      <c r="AB245" s="597"/>
      <c r="AC245" s="594" t="s">
        <v>769</v>
      </c>
      <c r="AD245" s="595"/>
      <c r="AE245" s="589"/>
      <c r="AF245" s="589"/>
      <c r="AG245" s="589"/>
      <c r="AH245" s="589"/>
      <c r="AI245" s="589"/>
      <c r="AJ245" s="589"/>
      <c r="AK245" s="589"/>
      <c r="AL245" s="575"/>
      <c r="AM245" s="589"/>
      <c r="AN245" s="1397"/>
      <c r="AO245" s="1397"/>
      <c r="AP245" s="1397"/>
      <c r="AQ245" s="1397"/>
      <c r="AR245" s="1397"/>
      <c r="AS245" s="1397"/>
      <c r="AT245" s="1397"/>
      <c r="AU245" s="1397"/>
      <c r="AV245" s="1397"/>
      <c r="AW245" s="1397"/>
      <c r="AX245" s="1397"/>
      <c r="AY245" s="1397"/>
      <c r="AZ245" s="1397"/>
      <c r="BA245" s="1397"/>
      <c r="BB245" s="1397"/>
      <c r="BC245" s="1397"/>
      <c r="BD245" s="1397"/>
      <c r="BE245" s="1397"/>
      <c r="BF245" s="1397"/>
      <c r="BG245" s="1397"/>
      <c r="BH245" s="1397"/>
      <c r="BI245" s="1397"/>
      <c r="BJ245" s="1397"/>
      <c r="BK245" s="1397"/>
      <c r="BL245" s="1397"/>
      <c r="BM245" s="1397"/>
      <c r="BN245" s="1397"/>
    </row>
    <row r="246" spans="1:66" ht="13.5" hidden="1" outlineLevel="1" thickBot="1" x14ac:dyDescent="0.25">
      <c r="A246" s="589"/>
      <c r="B246" s="589"/>
      <c r="C246" s="589"/>
      <c r="D246" s="589"/>
      <c r="E246" s="589"/>
      <c r="F246" s="589"/>
      <c r="G246" s="2108" t="str">
        <f t="shared" si="14"/>
        <v/>
      </c>
      <c r="H246" s="589"/>
      <c r="I246" s="2097" t="str">
        <f t="shared" si="15"/>
        <v/>
      </c>
      <c r="K246" s="589"/>
      <c r="L246" s="589"/>
      <c r="M246" s="589"/>
      <c r="N246" s="589"/>
      <c r="O246" s="589"/>
      <c r="P246" s="589"/>
      <c r="Q246" s="589"/>
      <c r="R246" s="558" t="s">
        <v>2115</v>
      </c>
      <c r="S246" s="590"/>
      <c r="T246" s="591"/>
      <c r="U246" s="592"/>
      <c r="V246" s="605"/>
      <c r="W246" s="593"/>
      <c r="X246" s="594" t="s">
        <v>769</v>
      </c>
      <c r="Y246" s="595"/>
      <c r="Z246" s="605"/>
      <c r="AA246" s="596"/>
      <c r="AB246" s="597"/>
      <c r="AC246" s="594" t="s">
        <v>769</v>
      </c>
      <c r="AD246" s="595"/>
      <c r="AE246" s="589"/>
      <c r="AF246" s="589"/>
      <c r="AG246" s="589"/>
      <c r="AH246" s="589"/>
      <c r="AI246" s="589"/>
      <c r="AJ246" s="589"/>
      <c r="AK246" s="589"/>
      <c r="AL246" s="575"/>
      <c r="AM246" s="589"/>
      <c r="AN246" s="1397"/>
      <c r="AO246" s="1397"/>
      <c r="AP246" s="1397"/>
      <c r="AQ246" s="1397"/>
      <c r="AR246" s="1397"/>
      <c r="AS246" s="1397"/>
      <c r="AT246" s="1397"/>
      <c r="AU246" s="1397"/>
      <c r="AV246" s="1397"/>
      <c r="AW246" s="1397"/>
      <c r="AX246" s="1397"/>
      <c r="AY246" s="1397"/>
      <c r="AZ246" s="1397"/>
      <c r="BA246" s="1397"/>
      <c r="BB246" s="1397"/>
      <c r="BC246" s="1397"/>
      <c r="BD246" s="1397"/>
      <c r="BE246" s="1397"/>
      <c r="BF246" s="1397"/>
      <c r="BG246" s="1397"/>
      <c r="BH246" s="1397"/>
      <c r="BI246" s="1397"/>
      <c r="BJ246" s="1397"/>
      <c r="BK246" s="1397"/>
      <c r="BL246" s="1397"/>
      <c r="BM246" s="1397"/>
      <c r="BN246" s="1397"/>
    </row>
    <row r="247" spans="1:66" ht="13.5" hidden="1" outlineLevel="1" thickBot="1" x14ac:dyDescent="0.25">
      <c r="A247" s="589"/>
      <c r="B247" s="589"/>
      <c r="C247" s="589"/>
      <c r="D247" s="589"/>
      <c r="E247" s="589"/>
      <c r="F247" s="589"/>
      <c r="G247" s="2108" t="str">
        <f t="shared" si="14"/>
        <v/>
      </c>
      <c r="H247" s="589"/>
      <c r="I247" s="2097" t="str">
        <f t="shared" si="15"/>
        <v/>
      </c>
      <c r="K247" s="589"/>
      <c r="L247" s="589"/>
      <c r="M247" s="589"/>
      <c r="N247" s="589"/>
      <c r="O247" s="589"/>
      <c r="P247" s="589"/>
      <c r="Q247" s="589"/>
      <c r="R247" s="558" t="s">
        <v>2115</v>
      </c>
      <c r="S247" s="590"/>
      <c r="T247" s="591"/>
      <c r="U247" s="592"/>
      <c r="V247" s="605"/>
      <c r="W247" s="593"/>
      <c r="X247" s="594" t="s">
        <v>769</v>
      </c>
      <c r="Y247" s="595"/>
      <c r="Z247" s="605"/>
      <c r="AA247" s="596"/>
      <c r="AB247" s="597"/>
      <c r="AC247" s="594" t="s">
        <v>769</v>
      </c>
      <c r="AD247" s="595"/>
      <c r="AE247" s="589"/>
      <c r="AF247" s="589"/>
      <c r="AG247" s="589"/>
      <c r="AH247" s="589"/>
      <c r="AI247" s="589"/>
      <c r="AJ247" s="589"/>
      <c r="AK247" s="589"/>
      <c r="AL247" s="575"/>
      <c r="AM247" s="589"/>
      <c r="AN247" s="1397"/>
      <c r="AO247" s="1397"/>
      <c r="AP247" s="1397"/>
      <c r="AQ247" s="1397"/>
      <c r="AR247" s="1397"/>
      <c r="AS247" s="1397"/>
      <c r="AT247" s="1397"/>
      <c r="AU247" s="1397"/>
      <c r="AV247" s="1397"/>
      <c r="AW247" s="1397"/>
      <c r="AX247" s="1397"/>
      <c r="AY247" s="1397"/>
      <c r="AZ247" s="1397"/>
      <c r="BA247" s="1397"/>
      <c r="BB247" s="1397"/>
      <c r="BC247" s="1397"/>
      <c r="BD247" s="1397"/>
      <c r="BE247" s="1397"/>
      <c r="BF247" s="1397"/>
      <c r="BG247" s="1397"/>
      <c r="BH247" s="1397"/>
      <c r="BI247" s="1397"/>
      <c r="BJ247" s="1397"/>
      <c r="BK247" s="1397"/>
      <c r="BL247" s="1397"/>
      <c r="BM247" s="1397"/>
      <c r="BN247" s="1397"/>
    </row>
    <row r="248" spans="1:66" ht="13.5" hidden="1" outlineLevel="1" thickBot="1" x14ac:dyDescent="0.25">
      <c r="A248" s="589"/>
      <c r="B248" s="589"/>
      <c r="C248" s="589"/>
      <c r="D248" s="589"/>
      <c r="E248" s="589"/>
      <c r="F248" s="589"/>
      <c r="G248" s="2108" t="str">
        <f t="shared" si="14"/>
        <v/>
      </c>
      <c r="H248" s="589"/>
      <c r="I248" s="2097" t="str">
        <f t="shared" si="15"/>
        <v/>
      </c>
      <c r="K248" s="589"/>
      <c r="L248" s="589"/>
      <c r="M248" s="589"/>
      <c r="N248" s="589"/>
      <c r="O248" s="589"/>
      <c r="P248" s="589"/>
      <c r="Q248" s="589"/>
      <c r="R248" s="558" t="s">
        <v>2115</v>
      </c>
      <c r="S248" s="590"/>
      <c r="T248" s="591"/>
      <c r="U248" s="592"/>
      <c r="V248" s="605"/>
      <c r="W248" s="593"/>
      <c r="X248" s="594" t="s">
        <v>769</v>
      </c>
      <c r="Y248" s="595"/>
      <c r="Z248" s="605"/>
      <c r="AA248" s="596"/>
      <c r="AB248" s="597"/>
      <c r="AC248" s="594" t="s">
        <v>769</v>
      </c>
      <c r="AD248" s="595"/>
      <c r="AE248" s="589"/>
      <c r="AF248" s="589"/>
      <c r="AG248" s="589"/>
      <c r="AH248" s="589"/>
      <c r="AI248" s="589"/>
      <c r="AJ248" s="589"/>
      <c r="AK248" s="589"/>
      <c r="AL248" s="575"/>
      <c r="AM248" s="589"/>
      <c r="AN248" s="1397"/>
      <c r="AO248" s="1397"/>
      <c r="AP248" s="1397"/>
      <c r="AQ248" s="1397"/>
      <c r="AR248" s="1397"/>
      <c r="AS248" s="1397"/>
      <c r="AT248" s="1397"/>
      <c r="AU248" s="1397"/>
      <c r="AV248" s="1397"/>
      <c r="AW248" s="1397"/>
      <c r="AX248" s="1397"/>
      <c r="AY248" s="1397"/>
      <c r="AZ248" s="1397"/>
      <c r="BA248" s="1397"/>
      <c r="BB248" s="1397"/>
      <c r="BC248" s="1397"/>
      <c r="BD248" s="1397"/>
      <c r="BE248" s="1397"/>
      <c r="BF248" s="1397"/>
      <c r="BG248" s="1397"/>
      <c r="BH248" s="1397"/>
      <c r="BI248" s="1397"/>
      <c r="BJ248" s="1397"/>
      <c r="BK248" s="1397"/>
      <c r="BL248" s="1397"/>
      <c r="BM248" s="1397"/>
      <c r="BN248" s="1397"/>
    </row>
    <row r="249" spans="1:66" ht="13.5" hidden="1" outlineLevel="1" thickBot="1" x14ac:dyDescent="0.25">
      <c r="A249" s="589"/>
      <c r="B249" s="589"/>
      <c r="C249" s="589"/>
      <c r="D249" s="589"/>
      <c r="E249" s="589"/>
      <c r="F249" s="589"/>
      <c r="G249" s="2108" t="str">
        <f t="shared" si="14"/>
        <v/>
      </c>
      <c r="H249" s="589"/>
      <c r="I249" s="2097" t="str">
        <f t="shared" si="15"/>
        <v/>
      </c>
      <c r="K249" s="589"/>
      <c r="L249" s="589"/>
      <c r="M249" s="589"/>
      <c r="N249" s="589"/>
      <c r="O249" s="589"/>
      <c r="P249" s="589"/>
      <c r="Q249" s="589"/>
      <c r="R249" s="558" t="s">
        <v>2115</v>
      </c>
      <c r="S249" s="590"/>
      <c r="T249" s="591"/>
      <c r="U249" s="592"/>
      <c r="V249" s="605"/>
      <c r="W249" s="593"/>
      <c r="X249" s="594" t="s">
        <v>769</v>
      </c>
      <c r="Y249" s="595"/>
      <c r="Z249" s="605"/>
      <c r="AA249" s="596"/>
      <c r="AB249" s="597"/>
      <c r="AC249" s="594" t="s">
        <v>769</v>
      </c>
      <c r="AD249" s="595"/>
      <c r="AE249" s="589"/>
      <c r="AF249" s="589"/>
      <c r="AG249" s="589"/>
      <c r="AH249" s="589"/>
      <c r="AI249" s="589"/>
      <c r="AJ249" s="589"/>
      <c r="AK249" s="589"/>
      <c r="AL249" s="575"/>
      <c r="AM249" s="589"/>
      <c r="AN249" s="1397"/>
      <c r="AO249" s="1397"/>
      <c r="AP249" s="1397"/>
      <c r="AQ249" s="1397"/>
      <c r="AR249" s="1397"/>
      <c r="AS249" s="1397"/>
      <c r="AT249" s="1397"/>
      <c r="AU249" s="1397"/>
      <c r="AV249" s="1397"/>
      <c r="AW249" s="1397"/>
      <c r="AX249" s="1397"/>
      <c r="AY249" s="1397"/>
      <c r="AZ249" s="1397"/>
      <c r="BA249" s="1397"/>
      <c r="BB249" s="1397"/>
      <c r="BC249" s="1397"/>
      <c r="BD249" s="1397"/>
      <c r="BE249" s="1397"/>
      <c r="BF249" s="1397"/>
      <c r="BG249" s="1397"/>
      <c r="BH249" s="1397"/>
      <c r="BI249" s="1397"/>
      <c r="BJ249" s="1397"/>
      <c r="BK249" s="1397"/>
      <c r="BL249" s="1397"/>
      <c r="BM249" s="1397"/>
      <c r="BN249" s="1397"/>
    </row>
    <row r="250" spans="1:66" ht="13.5" hidden="1" outlineLevel="1" thickBot="1" x14ac:dyDescent="0.25">
      <c r="A250" s="589"/>
      <c r="B250" s="589"/>
      <c r="C250" s="589"/>
      <c r="D250" s="589"/>
      <c r="E250" s="589"/>
      <c r="F250" s="589"/>
      <c r="G250" s="2108" t="str">
        <f t="shared" si="14"/>
        <v/>
      </c>
      <c r="H250" s="589"/>
      <c r="I250" s="2097" t="str">
        <f t="shared" si="15"/>
        <v/>
      </c>
      <c r="K250" s="589"/>
      <c r="L250" s="589"/>
      <c r="M250" s="589"/>
      <c r="N250" s="589"/>
      <c r="O250" s="589"/>
      <c r="P250" s="589"/>
      <c r="Q250" s="589"/>
      <c r="R250" s="558" t="s">
        <v>2115</v>
      </c>
      <c r="S250" s="590"/>
      <c r="T250" s="591"/>
      <c r="U250" s="592"/>
      <c r="V250" s="605"/>
      <c r="W250" s="593"/>
      <c r="X250" s="594" t="s">
        <v>769</v>
      </c>
      <c r="Y250" s="595"/>
      <c r="Z250" s="605"/>
      <c r="AA250" s="596"/>
      <c r="AB250" s="597"/>
      <c r="AC250" s="594" t="s">
        <v>769</v>
      </c>
      <c r="AD250" s="595"/>
      <c r="AE250" s="589"/>
      <c r="AF250" s="589"/>
      <c r="AG250" s="589"/>
      <c r="AH250" s="589"/>
      <c r="AI250" s="589"/>
      <c r="AJ250" s="589"/>
      <c r="AK250" s="589"/>
      <c r="AL250" s="575"/>
      <c r="AM250" s="589"/>
      <c r="AN250" s="1397"/>
      <c r="AO250" s="1397"/>
      <c r="AP250" s="1397"/>
      <c r="AQ250" s="1397"/>
      <c r="AR250" s="1397"/>
      <c r="AS250" s="1397"/>
      <c r="AT250" s="1397"/>
      <c r="AU250" s="1397"/>
      <c r="AV250" s="1397"/>
      <c r="AW250" s="1397"/>
      <c r="AX250" s="1397"/>
      <c r="AY250" s="1397"/>
      <c r="AZ250" s="1397"/>
      <c r="BA250" s="1397"/>
      <c r="BB250" s="1397"/>
      <c r="BC250" s="1397"/>
      <c r="BD250" s="1397"/>
      <c r="BE250" s="1397"/>
      <c r="BF250" s="1397"/>
      <c r="BG250" s="1397"/>
      <c r="BH250" s="1397"/>
      <c r="BI250" s="1397"/>
      <c r="BJ250" s="1397"/>
      <c r="BK250" s="1397"/>
      <c r="BL250" s="1397"/>
      <c r="BM250" s="1397"/>
      <c r="BN250" s="1397"/>
    </row>
    <row r="251" spans="1:66" ht="13.5" hidden="1" outlineLevel="1" thickBot="1" x14ac:dyDescent="0.25">
      <c r="A251" s="589"/>
      <c r="B251" s="589"/>
      <c r="C251" s="589"/>
      <c r="D251" s="589"/>
      <c r="E251" s="589"/>
      <c r="F251" s="589"/>
      <c r="G251" s="2108" t="str">
        <f t="shared" si="14"/>
        <v/>
      </c>
      <c r="H251" s="589"/>
      <c r="I251" s="2097" t="str">
        <f t="shared" si="15"/>
        <v/>
      </c>
      <c r="K251" s="589"/>
      <c r="L251" s="589"/>
      <c r="M251" s="589"/>
      <c r="N251" s="589"/>
      <c r="O251" s="589"/>
      <c r="P251" s="589"/>
      <c r="Q251" s="589"/>
      <c r="R251" s="558" t="s">
        <v>2115</v>
      </c>
      <c r="S251" s="590"/>
      <c r="T251" s="591"/>
      <c r="U251" s="592"/>
      <c r="V251" s="605"/>
      <c r="W251" s="593"/>
      <c r="X251" s="594" t="s">
        <v>769</v>
      </c>
      <c r="Y251" s="595"/>
      <c r="Z251" s="605"/>
      <c r="AA251" s="596"/>
      <c r="AB251" s="597"/>
      <c r="AC251" s="594" t="s">
        <v>769</v>
      </c>
      <c r="AD251" s="595"/>
      <c r="AE251" s="589"/>
      <c r="AF251" s="589"/>
      <c r="AG251" s="589"/>
      <c r="AH251" s="589"/>
      <c r="AI251" s="589"/>
      <c r="AJ251" s="589"/>
      <c r="AK251" s="589"/>
      <c r="AL251" s="575"/>
      <c r="AM251" s="589"/>
      <c r="AN251" s="1397"/>
      <c r="AO251" s="1397"/>
      <c r="AP251" s="1397"/>
      <c r="AQ251" s="1397"/>
      <c r="AR251" s="1397"/>
      <c r="AS251" s="1397"/>
      <c r="AT251" s="1397"/>
      <c r="AU251" s="1397"/>
      <c r="AV251" s="1397"/>
      <c r="AW251" s="1397"/>
      <c r="AX251" s="1397"/>
      <c r="AY251" s="1397"/>
      <c r="AZ251" s="1397"/>
      <c r="BA251" s="1397"/>
      <c r="BB251" s="1397"/>
      <c r="BC251" s="1397"/>
      <c r="BD251" s="1397"/>
      <c r="BE251" s="1397"/>
      <c r="BF251" s="1397"/>
      <c r="BG251" s="1397"/>
      <c r="BH251" s="1397"/>
      <c r="BI251" s="1397"/>
      <c r="BJ251" s="1397"/>
      <c r="BK251" s="1397"/>
      <c r="BL251" s="1397"/>
      <c r="BM251" s="1397"/>
      <c r="BN251" s="1397"/>
    </row>
    <row r="252" spans="1:66" ht="13.5" hidden="1" outlineLevel="1" thickBot="1" x14ac:dyDescent="0.25">
      <c r="A252" s="589"/>
      <c r="B252" s="589"/>
      <c r="C252" s="589"/>
      <c r="D252" s="589"/>
      <c r="E252" s="589"/>
      <c r="F252" s="589"/>
      <c r="G252" s="2108" t="str">
        <f t="shared" si="14"/>
        <v/>
      </c>
      <c r="H252" s="589"/>
      <c r="I252" s="2097" t="str">
        <f t="shared" si="15"/>
        <v/>
      </c>
      <c r="K252" s="589"/>
      <c r="L252" s="589"/>
      <c r="M252" s="589"/>
      <c r="N252" s="589"/>
      <c r="O252" s="589"/>
      <c r="P252" s="589"/>
      <c r="Q252" s="589"/>
      <c r="R252" s="558" t="s">
        <v>2115</v>
      </c>
      <c r="S252" s="590"/>
      <c r="T252" s="591"/>
      <c r="U252" s="592"/>
      <c r="V252" s="605"/>
      <c r="W252" s="593"/>
      <c r="X252" s="594" t="s">
        <v>769</v>
      </c>
      <c r="Y252" s="595"/>
      <c r="Z252" s="605"/>
      <c r="AA252" s="596"/>
      <c r="AB252" s="597"/>
      <c r="AC252" s="594" t="s">
        <v>769</v>
      </c>
      <c r="AD252" s="595"/>
      <c r="AE252" s="589"/>
      <c r="AF252" s="589"/>
      <c r="AG252" s="589"/>
      <c r="AH252" s="589"/>
      <c r="AI252" s="589"/>
      <c r="AJ252" s="589"/>
      <c r="AK252" s="589"/>
      <c r="AL252" s="575"/>
      <c r="AM252" s="589"/>
      <c r="AN252" s="1397"/>
      <c r="AO252" s="1397"/>
      <c r="AP252" s="1397"/>
      <c r="AQ252" s="1397"/>
      <c r="AR252" s="1397"/>
      <c r="AS252" s="1397"/>
      <c r="AT252" s="1397"/>
      <c r="AU252" s="1397"/>
      <c r="AV252" s="1397"/>
      <c r="AW252" s="1397"/>
      <c r="AX252" s="1397"/>
      <c r="AY252" s="1397"/>
      <c r="AZ252" s="1397"/>
      <c r="BA252" s="1397"/>
      <c r="BB252" s="1397"/>
      <c r="BC252" s="1397"/>
      <c r="BD252" s="1397"/>
      <c r="BE252" s="1397"/>
      <c r="BF252" s="1397"/>
      <c r="BG252" s="1397"/>
      <c r="BH252" s="1397"/>
      <c r="BI252" s="1397"/>
      <c r="BJ252" s="1397"/>
      <c r="BK252" s="1397"/>
      <c r="BL252" s="1397"/>
      <c r="BM252" s="1397"/>
      <c r="BN252" s="1397"/>
    </row>
    <row r="253" spans="1:66" ht="13.5" hidden="1" outlineLevel="1" thickBot="1" x14ac:dyDescent="0.25">
      <c r="A253" s="589"/>
      <c r="B253" s="589"/>
      <c r="C253" s="589"/>
      <c r="D253" s="589"/>
      <c r="E253" s="589"/>
      <c r="F253" s="589"/>
      <c r="G253" s="2108" t="str">
        <f t="shared" si="14"/>
        <v/>
      </c>
      <c r="H253" s="589"/>
      <c r="I253" s="2097" t="str">
        <f t="shared" si="15"/>
        <v/>
      </c>
      <c r="K253" s="589"/>
      <c r="L253" s="589"/>
      <c r="M253" s="589"/>
      <c r="N253" s="589"/>
      <c r="O253" s="589"/>
      <c r="P253" s="589"/>
      <c r="Q253" s="589"/>
      <c r="R253" s="558" t="s">
        <v>2115</v>
      </c>
      <c r="S253" s="590"/>
      <c r="T253" s="591"/>
      <c r="U253" s="592"/>
      <c r="V253" s="605"/>
      <c r="W253" s="593"/>
      <c r="X253" s="594" t="s">
        <v>769</v>
      </c>
      <c r="Y253" s="595"/>
      <c r="Z253" s="605"/>
      <c r="AA253" s="596"/>
      <c r="AB253" s="597"/>
      <c r="AC253" s="594" t="s">
        <v>769</v>
      </c>
      <c r="AD253" s="595"/>
      <c r="AE253" s="589"/>
      <c r="AF253" s="589"/>
      <c r="AG253" s="589"/>
      <c r="AH253" s="589"/>
      <c r="AI253" s="589"/>
      <c r="AJ253" s="589"/>
      <c r="AK253" s="589"/>
      <c r="AL253" s="575"/>
      <c r="AM253" s="589"/>
      <c r="AN253" s="1397"/>
      <c r="AO253" s="1397"/>
      <c r="AP253" s="1397"/>
      <c r="AQ253" s="1397"/>
      <c r="AR253" s="1397"/>
      <c r="AS253" s="1397"/>
      <c r="AT253" s="1397"/>
      <c r="AU253" s="1397"/>
      <c r="AV253" s="1397"/>
      <c r="AW253" s="1397"/>
      <c r="AX253" s="1397"/>
      <c r="AY253" s="1397"/>
      <c r="AZ253" s="1397"/>
      <c r="BA253" s="1397"/>
      <c r="BB253" s="1397"/>
      <c r="BC253" s="1397"/>
      <c r="BD253" s="1397"/>
      <c r="BE253" s="1397"/>
      <c r="BF253" s="1397"/>
      <c r="BG253" s="1397"/>
      <c r="BH253" s="1397"/>
      <c r="BI253" s="1397"/>
      <c r="BJ253" s="1397"/>
      <c r="BK253" s="1397"/>
      <c r="BL253" s="1397"/>
      <c r="BM253" s="1397"/>
      <c r="BN253" s="1397"/>
    </row>
    <row r="254" spans="1:66" ht="13.5" hidden="1" outlineLevel="1" thickBot="1" x14ac:dyDescent="0.25">
      <c r="A254" s="589"/>
      <c r="B254" s="589"/>
      <c r="C254" s="589"/>
      <c r="D254" s="589"/>
      <c r="E254" s="589"/>
      <c r="F254" s="589"/>
      <c r="G254" s="2108" t="str">
        <f t="shared" si="14"/>
        <v/>
      </c>
      <c r="H254" s="589"/>
      <c r="I254" s="2097" t="str">
        <f t="shared" si="15"/>
        <v/>
      </c>
      <c r="K254" s="589"/>
      <c r="L254" s="589"/>
      <c r="M254" s="589"/>
      <c r="N254" s="589"/>
      <c r="O254" s="589"/>
      <c r="P254" s="589"/>
      <c r="Q254" s="589"/>
      <c r="R254" s="558" t="s">
        <v>2115</v>
      </c>
      <c r="S254" s="590"/>
      <c r="T254" s="591"/>
      <c r="U254" s="592"/>
      <c r="V254" s="605"/>
      <c r="W254" s="593"/>
      <c r="X254" s="594" t="s">
        <v>769</v>
      </c>
      <c r="Y254" s="595"/>
      <c r="Z254" s="605"/>
      <c r="AA254" s="596"/>
      <c r="AB254" s="597"/>
      <c r="AC254" s="594" t="s">
        <v>769</v>
      </c>
      <c r="AD254" s="595"/>
      <c r="AE254" s="589"/>
      <c r="AF254" s="589"/>
      <c r="AG254" s="589"/>
      <c r="AH254" s="589"/>
      <c r="AI254" s="589"/>
      <c r="AJ254" s="589"/>
      <c r="AK254" s="589"/>
      <c r="AL254" s="575"/>
      <c r="AM254" s="589"/>
      <c r="AN254" s="1397"/>
      <c r="AO254" s="1397"/>
      <c r="AP254" s="1397"/>
      <c r="AQ254" s="1397"/>
      <c r="AR254" s="1397"/>
      <c r="AS254" s="1397"/>
      <c r="AT254" s="1397"/>
      <c r="AU254" s="1397"/>
      <c r="AV254" s="1397"/>
      <c r="AW254" s="1397"/>
      <c r="AX254" s="1397"/>
      <c r="AY254" s="1397"/>
      <c r="AZ254" s="1397"/>
      <c r="BA254" s="1397"/>
      <c r="BB254" s="1397"/>
      <c r="BC254" s="1397"/>
      <c r="BD254" s="1397"/>
      <c r="BE254" s="1397"/>
      <c r="BF254" s="1397"/>
      <c r="BG254" s="1397"/>
      <c r="BH254" s="1397"/>
      <c r="BI254" s="1397"/>
      <c r="BJ254" s="1397"/>
      <c r="BK254" s="1397"/>
      <c r="BL254" s="1397"/>
      <c r="BM254" s="1397"/>
      <c r="BN254" s="1397"/>
    </row>
    <row r="255" spans="1:66" ht="13.5" hidden="1" outlineLevel="1" thickBot="1" x14ac:dyDescent="0.25">
      <c r="A255" s="589"/>
      <c r="B255" s="589"/>
      <c r="C255" s="589"/>
      <c r="D255" s="589"/>
      <c r="E255" s="589"/>
      <c r="F255" s="589"/>
      <c r="G255" s="2108" t="str">
        <f t="shared" si="14"/>
        <v/>
      </c>
      <c r="H255" s="589"/>
      <c r="I255" s="2097" t="str">
        <f t="shared" si="15"/>
        <v/>
      </c>
      <c r="K255" s="589"/>
      <c r="L255" s="589"/>
      <c r="M255" s="589"/>
      <c r="N255" s="589"/>
      <c r="O255" s="589"/>
      <c r="P255" s="589"/>
      <c r="Q255" s="589"/>
      <c r="R255" s="558" t="s">
        <v>2115</v>
      </c>
      <c r="S255" s="590"/>
      <c r="T255" s="591"/>
      <c r="U255" s="592"/>
      <c r="V255" s="605"/>
      <c r="W255" s="593"/>
      <c r="X255" s="594" t="s">
        <v>769</v>
      </c>
      <c r="Y255" s="595"/>
      <c r="Z255" s="605"/>
      <c r="AA255" s="596"/>
      <c r="AB255" s="597"/>
      <c r="AC255" s="594" t="s">
        <v>769</v>
      </c>
      <c r="AD255" s="595"/>
      <c r="AE255" s="589"/>
      <c r="AF255" s="589"/>
      <c r="AG255" s="589"/>
      <c r="AH255" s="589"/>
      <c r="AI255" s="589"/>
      <c r="AJ255" s="589"/>
      <c r="AK255" s="589"/>
      <c r="AL255" s="575"/>
      <c r="AM255" s="589"/>
      <c r="AN255" s="1397"/>
      <c r="AO255" s="1397"/>
      <c r="AP255" s="1397"/>
      <c r="AQ255" s="1397"/>
      <c r="AR255" s="1397"/>
      <c r="AS255" s="1397"/>
      <c r="AT255" s="1397"/>
      <c r="AU255" s="1397"/>
      <c r="AV255" s="1397"/>
      <c r="AW255" s="1397"/>
      <c r="AX255" s="1397"/>
      <c r="AY255" s="1397"/>
      <c r="AZ255" s="1397"/>
      <c r="BA255" s="1397"/>
      <c r="BB255" s="1397"/>
      <c r="BC255" s="1397"/>
      <c r="BD255" s="1397"/>
      <c r="BE255" s="1397"/>
      <c r="BF255" s="1397"/>
      <c r="BG255" s="1397"/>
      <c r="BH255" s="1397"/>
      <c r="BI255" s="1397"/>
      <c r="BJ255" s="1397"/>
      <c r="BK255" s="1397"/>
      <c r="BL255" s="1397"/>
      <c r="BM255" s="1397"/>
      <c r="BN255" s="1397"/>
    </row>
    <row r="256" spans="1:66" ht="13.5" hidden="1" outlineLevel="1" thickBot="1" x14ac:dyDescent="0.25">
      <c r="A256" s="589"/>
      <c r="B256" s="589"/>
      <c r="C256" s="589"/>
      <c r="D256" s="589"/>
      <c r="E256" s="589"/>
      <c r="F256" s="589"/>
      <c r="G256" s="2108" t="str">
        <f t="shared" si="14"/>
        <v/>
      </c>
      <c r="H256" s="589"/>
      <c r="I256" s="2097" t="str">
        <f t="shared" si="15"/>
        <v/>
      </c>
      <c r="K256" s="589"/>
      <c r="L256" s="589"/>
      <c r="M256" s="589"/>
      <c r="N256" s="589"/>
      <c r="O256" s="589"/>
      <c r="P256" s="589"/>
      <c r="Q256" s="589"/>
      <c r="R256" s="558" t="s">
        <v>2115</v>
      </c>
      <c r="S256" s="590"/>
      <c r="T256" s="591"/>
      <c r="U256" s="592"/>
      <c r="V256" s="605"/>
      <c r="W256" s="593"/>
      <c r="X256" s="594" t="s">
        <v>769</v>
      </c>
      <c r="Y256" s="595"/>
      <c r="Z256" s="605"/>
      <c r="AA256" s="596"/>
      <c r="AB256" s="597"/>
      <c r="AC256" s="594" t="s">
        <v>769</v>
      </c>
      <c r="AD256" s="595"/>
      <c r="AE256" s="589"/>
      <c r="AF256" s="589"/>
      <c r="AG256" s="589"/>
      <c r="AH256" s="589"/>
      <c r="AI256" s="589"/>
      <c r="AJ256" s="589"/>
      <c r="AK256" s="589"/>
      <c r="AL256" s="575"/>
      <c r="AM256" s="589"/>
      <c r="AN256" s="1397"/>
      <c r="AO256" s="1397"/>
      <c r="AP256" s="1397"/>
      <c r="AQ256" s="1397"/>
      <c r="AR256" s="1397"/>
      <c r="AS256" s="1397"/>
      <c r="AT256" s="1397"/>
      <c r="AU256" s="1397"/>
      <c r="AV256" s="1397"/>
      <c r="AW256" s="1397"/>
      <c r="AX256" s="1397"/>
      <c r="AY256" s="1397"/>
      <c r="AZ256" s="1397"/>
      <c r="BA256" s="1397"/>
      <c r="BB256" s="1397"/>
      <c r="BC256" s="1397"/>
      <c r="BD256" s="1397"/>
      <c r="BE256" s="1397"/>
      <c r="BF256" s="1397"/>
      <c r="BG256" s="1397"/>
      <c r="BH256" s="1397"/>
      <c r="BI256" s="1397"/>
      <c r="BJ256" s="1397"/>
      <c r="BK256" s="1397"/>
      <c r="BL256" s="1397"/>
      <c r="BM256" s="1397"/>
      <c r="BN256" s="1397"/>
    </row>
    <row r="257" spans="1:66" ht="13.5" hidden="1" outlineLevel="1" thickBot="1" x14ac:dyDescent="0.25">
      <c r="A257" s="589"/>
      <c r="B257" s="589"/>
      <c r="C257" s="589"/>
      <c r="D257" s="589"/>
      <c r="E257" s="589"/>
      <c r="F257" s="589"/>
      <c r="G257" s="2108" t="str">
        <f t="shared" si="14"/>
        <v/>
      </c>
      <c r="H257" s="589"/>
      <c r="I257" s="2097" t="str">
        <f t="shared" si="15"/>
        <v/>
      </c>
      <c r="K257" s="589"/>
      <c r="L257" s="589"/>
      <c r="M257" s="589"/>
      <c r="N257" s="589"/>
      <c r="O257" s="589"/>
      <c r="P257" s="589"/>
      <c r="Q257" s="589"/>
      <c r="R257" s="558" t="s">
        <v>2115</v>
      </c>
      <c r="S257" s="590"/>
      <c r="T257" s="591"/>
      <c r="U257" s="592"/>
      <c r="V257" s="605"/>
      <c r="W257" s="593"/>
      <c r="X257" s="594" t="s">
        <v>769</v>
      </c>
      <c r="Y257" s="595"/>
      <c r="Z257" s="605"/>
      <c r="AA257" s="596"/>
      <c r="AB257" s="597"/>
      <c r="AC257" s="594" t="s">
        <v>769</v>
      </c>
      <c r="AD257" s="595"/>
      <c r="AE257" s="589"/>
      <c r="AF257" s="589"/>
      <c r="AG257" s="589"/>
      <c r="AH257" s="589"/>
      <c r="AI257" s="589"/>
      <c r="AJ257" s="589"/>
      <c r="AK257" s="589"/>
      <c r="AL257" s="575"/>
      <c r="AM257" s="589"/>
      <c r="AN257" s="1397"/>
      <c r="AO257" s="1397"/>
      <c r="AP257" s="1397"/>
      <c r="AQ257" s="1397"/>
      <c r="AR257" s="1397"/>
      <c r="AS257" s="1397"/>
      <c r="AT257" s="1397"/>
      <c r="AU257" s="1397"/>
      <c r="AV257" s="1397"/>
      <c r="AW257" s="1397"/>
      <c r="AX257" s="1397"/>
      <c r="AY257" s="1397"/>
      <c r="AZ257" s="1397"/>
      <c r="BA257" s="1397"/>
      <c r="BB257" s="1397"/>
      <c r="BC257" s="1397"/>
      <c r="BD257" s="1397"/>
      <c r="BE257" s="1397"/>
      <c r="BF257" s="1397"/>
      <c r="BG257" s="1397"/>
      <c r="BH257" s="1397"/>
      <c r="BI257" s="1397"/>
      <c r="BJ257" s="1397"/>
      <c r="BK257" s="1397"/>
      <c r="BL257" s="1397"/>
      <c r="BM257" s="1397"/>
      <c r="BN257" s="1397"/>
    </row>
    <row r="258" spans="1:66" ht="13.5" hidden="1" outlineLevel="1" thickBot="1" x14ac:dyDescent="0.25">
      <c r="A258" s="589"/>
      <c r="B258" s="589"/>
      <c r="C258" s="589"/>
      <c r="D258" s="589"/>
      <c r="E258" s="589"/>
      <c r="F258" s="589"/>
      <c r="G258" s="2108" t="str">
        <f t="shared" si="14"/>
        <v/>
      </c>
      <c r="H258" s="589"/>
      <c r="I258" s="2097" t="str">
        <f t="shared" si="15"/>
        <v/>
      </c>
      <c r="K258" s="589"/>
      <c r="L258" s="589"/>
      <c r="M258" s="589"/>
      <c r="N258" s="589"/>
      <c r="O258" s="589"/>
      <c r="P258" s="589"/>
      <c r="Q258" s="589"/>
      <c r="R258" s="558" t="s">
        <v>2115</v>
      </c>
      <c r="S258" s="590"/>
      <c r="T258" s="591"/>
      <c r="U258" s="592"/>
      <c r="V258" s="605"/>
      <c r="W258" s="593"/>
      <c r="X258" s="594" t="s">
        <v>769</v>
      </c>
      <c r="Y258" s="595"/>
      <c r="Z258" s="605"/>
      <c r="AA258" s="596"/>
      <c r="AB258" s="597"/>
      <c r="AC258" s="594" t="s">
        <v>769</v>
      </c>
      <c r="AD258" s="595"/>
      <c r="AE258" s="589"/>
      <c r="AF258" s="589"/>
      <c r="AG258" s="589"/>
      <c r="AH258" s="589"/>
      <c r="AI258" s="589"/>
      <c r="AJ258" s="589"/>
      <c r="AK258" s="589"/>
      <c r="AL258" s="575"/>
      <c r="AM258" s="589"/>
      <c r="AN258" s="1397"/>
      <c r="AO258" s="1397"/>
      <c r="AP258" s="1397"/>
      <c r="AQ258" s="1397"/>
      <c r="AR258" s="1397"/>
      <c r="AS258" s="1397"/>
      <c r="AT258" s="1397"/>
      <c r="AU258" s="1397"/>
      <c r="AV258" s="1397"/>
      <c r="AW258" s="1397"/>
      <c r="AX258" s="1397"/>
      <c r="AY258" s="1397"/>
      <c r="AZ258" s="1397"/>
      <c r="BA258" s="1397"/>
      <c r="BB258" s="1397"/>
      <c r="BC258" s="1397"/>
      <c r="BD258" s="1397"/>
      <c r="BE258" s="1397"/>
      <c r="BF258" s="1397"/>
      <c r="BG258" s="1397"/>
      <c r="BH258" s="1397"/>
      <c r="BI258" s="1397"/>
      <c r="BJ258" s="1397"/>
      <c r="BK258" s="1397"/>
      <c r="BL258" s="1397"/>
      <c r="BM258" s="1397"/>
      <c r="BN258" s="1397"/>
    </row>
    <row r="259" spans="1:66" ht="13.5" hidden="1" outlineLevel="1" thickBot="1" x14ac:dyDescent="0.25">
      <c r="A259" s="589"/>
      <c r="B259" s="589"/>
      <c r="C259" s="589"/>
      <c r="D259" s="589"/>
      <c r="E259" s="589"/>
      <c r="F259" s="589"/>
      <c r="G259" s="2108" t="str">
        <f t="shared" si="14"/>
        <v/>
      </c>
      <c r="H259" s="589"/>
      <c r="I259" s="2097" t="str">
        <f t="shared" si="15"/>
        <v/>
      </c>
      <c r="K259" s="589"/>
      <c r="L259" s="589"/>
      <c r="M259" s="589"/>
      <c r="N259" s="589"/>
      <c r="O259" s="589"/>
      <c r="P259" s="589"/>
      <c r="Q259" s="589"/>
      <c r="R259" s="558" t="s">
        <v>2115</v>
      </c>
      <c r="S259" s="590"/>
      <c r="T259" s="591"/>
      <c r="U259" s="592"/>
      <c r="V259" s="605"/>
      <c r="W259" s="593"/>
      <c r="X259" s="594" t="s">
        <v>769</v>
      </c>
      <c r="Y259" s="595"/>
      <c r="Z259" s="605"/>
      <c r="AA259" s="596"/>
      <c r="AB259" s="597"/>
      <c r="AC259" s="594" t="s">
        <v>769</v>
      </c>
      <c r="AD259" s="595"/>
      <c r="AE259" s="589"/>
      <c r="AF259" s="589"/>
      <c r="AG259" s="589"/>
      <c r="AH259" s="589"/>
      <c r="AI259" s="589"/>
      <c r="AJ259" s="589"/>
      <c r="AK259" s="589"/>
      <c r="AL259" s="575"/>
      <c r="AM259" s="589"/>
      <c r="AN259" s="1397"/>
      <c r="AO259" s="1397"/>
      <c r="AP259" s="1397"/>
      <c r="AQ259" s="1397"/>
      <c r="AR259" s="1397"/>
      <c r="AS259" s="1397"/>
      <c r="AT259" s="1397"/>
      <c r="AU259" s="1397"/>
      <c r="AV259" s="1397"/>
      <c r="AW259" s="1397"/>
      <c r="AX259" s="1397"/>
      <c r="AY259" s="1397"/>
      <c r="AZ259" s="1397"/>
      <c r="BA259" s="1397"/>
      <c r="BB259" s="1397"/>
      <c r="BC259" s="1397"/>
      <c r="BD259" s="1397"/>
      <c r="BE259" s="1397"/>
      <c r="BF259" s="1397"/>
      <c r="BG259" s="1397"/>
      <c r="BH259" s="1397"/>
      <c r="BI259" s="1397"/>
      <c r="BJ259" s="1397"/>
      <c r="BK259" s="1397"/>
      <c r="BL259" s="1397"/>
      <c r="BM259" s="1397"/>
      <c r="BN259" s="1397"/>
    </row>
    <row r="260" spans="1:66" ht="13.5" hidden="1" outlineLevel="1" thickBot="1" x14ac:dyDescent="0.25">
      <c r="A260" s="589"/>
      <c r="B260" s="589"/>
      <c r="C260" s="589"/>
      <c r="D260" s="589"/>
      <c r="E260" s="589"/>
      <c r="F260" s="589"/>
      <c r="G260" s="2108" t="str">
        <f t="shared" si="14"/>
        <v/>
      </c>
      <c r="H260" s="589"/>
      <c r="I260" s="2097" t="str">
        <f t="shared" si="15"/>
        <v/>
      </c>
      <c r="K260" s="589"/>
      <c r="L260" s="589"/>
      <c r="M260" s="589"/>
      <c r="N260" s="589"/>
      <c r="O260" s="589"/>
      <c r="P260" s="589"/>
      <c r="Q260" s="589"/>
      <c r="R260" s="558" t="s">
        <v>2115</v>
      </c>
      <c r="S260" s="590"/>
      <c r="T260" s="591"/>
      <c r="U260" s="592"/>
      <c r="V260" s="605"/>
      <c r="W260" s="593"/>
      <c r="X260" s="594" t="s">
        <v>769</v>
      </c>
      <c r="Y260" s="595"/>
      <c r="Z260" s="605"/>
      <c r="AA260" s="596"/>
      <c r="AB260" s="597"/>
      <c r="AC260" s="594" t="s">
        <v>769</v>
      </c>
      <c r="AD260" s="595"/>
      <c r="AE260" s="589"/>
      <c r="AF260" s="589"/>
      <c r="AG260" s="589"/>
      <c r="AH260" s="589"/>
      <c r="AI260" s="589"/>
      <c r="AJ260" s="589"/>
      <c r="AK260" s="589"/>
      <c r="AL260" s="575"/>
      <c r="AM260" s="589"/>
      <c r="AN260" s="1397"/>
      <c r="AO260" s="1397"/>
      <c r="AP260" s="1397"/>
      <c r="AQ260" s="1397"/>
      <c r="AR260" s="1397"/>
      <c r="AS260" s="1397"/>
      <c r="AT260" s="1397"/>
      <c r="AU260" s="1397"/>
      <c r="AV260" s="1397"/>
      <c r="AW260" s="1397"/>
      <c r="AX260" s="1397"/>
      <c r="AY260" s="1397"/>
      <c r="AZ260" s="1397"/>
      <c r="BA260" s="1397"/>
      <c r="BB260" s="1397"/>
      <c r="BC260" s="1397"/>
      <c r="BD260" s="1397"/>
      <c r="BE260" s="1397"/>
      <c r="BF260" s="1397"/>
      <c r="BG260" s="1397"/>
      <c r="BH260" s="1397"/>
      <c r="BI260" s="1397"/>
      <c r="BJ260" s="1397"/>
      <c r="BK260" s="1397"/>
      <c r="BL260" s="1397"/>
      <c r="BM260" s="1397"/>
      <c r="BN260" s="1397"/>
    </row>
    <row r="261" spans="1:66" ht="13.5" hidden="1" outlineLevel="1" thickBot="1" x14ac:dyDescent="0.25">
      <c r="A261" s="589"/>
      <c r="B261" s="589"/>
      <c r="C261" s="589"/>
      <c r="D261" s="589"/>
      <c r="E261" s="589"/>
      <c r="F261" s="589"/>
      <c r="G261" s="2108" t="str">
        <f t="shared" si="14"/>
        <v/>
      </c>
      <c r="H261" s="589"/>
      <c r="I261" s="2097" t="str">
        <f t="shared" si="15"/>
        <v/>
      </c>
      <c r="K261" s="589"/>
      <c r="L261" s="589"/>
      <c r="M261" s="589"/>
      <c r="N261" s="589"/>
      <c r="O261" s="589"/>
      <c r="P261" s="589"/>
      <c r="Q261" s="589"/>
      <c r="R261" s="558" t="s">
        <v>2115</v>
      </c>
      <c r="S261" s="590"/>
      <c r="T261" s="591"/>
      <c r="U261" s="592"/>
      <c r="V261" s="605"/>
      <c r="W261" s="593"/>
      <c r="X261" s="594" t="s">
        <v>769</v>
      </c>
      <c r="Y261" s="595"/>
      <c r="Z261" s="605"/>
      <c r="AA261" s="596"/>
      <c r="AB261" s="597"/>
      <c r="AC261" s="594" t="s">
        <v>769</v>
      </c>
      <c r="AD261" s="595"/>
      <c r="AE261" s="589"/>
      <c r="AF261" s="589"/>
      <c r="AG261" s="589"/>
      <c r="AH261" s="589"/>
      <c r="AI261" s="589"/>
      <c r="AJ261" s="589"/>
      <c r="AK261" s="589"/>
      <c r="AL261" s="575"/>
      <c r="AM261" s="589"/>
      <c r="AN261" s="1397"/>
      <c r="AO261" s="1397"/>
      <c r="AP261" s="1397"/>
      <c r="AQ261" s="1397"/>
      <c r="AR261" s="1397"/>
      <c r="AS261" s="1397"/>
      <c r="AT261" s="1397"/>
      <c r="AU261" s="1397"/>
      <c r="AV261" s="1397"/>
      <c r="AW261" s="1397"/>
      <c r="AX261" s="1397"/>
      <c r="AY261" s="1397"/>
      <c r="AZ261" s="1397"/>
      <c r="BA261" s="1397"/>
      <c r="BB261" s="1397"/>
      <c r="BC261" s="1397"/>
      <c r="BD261" s="1397"/>
      <c r="BE261" s="1397"/>
      <c r="BF261" s="1397"/>
      <c r="BG261" s="1397"/>
      <c r="BH261" s="1397"/>
      <c r="BI261" s="1397"/>
      <c r="BJ261" s="1397"/>
      <c r="BK261" s="1397"/>
      <c r="BL261" s="1397"/>
      <c r="BM261" s="1397"/>
      <c r="BN261" s="1397"/>
    </row>
    <row r="262" spans="1:66" ht="13.5" hidden="1" outlineLevel="1" thickBot="1" x14ac:dyDescent="0.25">
      <c r="A262" s="589"/>
      <c r="B262" s="589"/>
      <c r="C262" s="589"/>
      <c r="D262" s="589"/>
      <c r="E262" s="589"/>
      <c r="F262" s="589"/>
      <c r="G262" s="2108" t="str">
        <f t="shared" si="14"/>
        <v/>
      </c>
      <c r="H262" s="589"/>
      <c r="I262" s="2097" t="str">
        <f t="shared" si="15"/>
        <v/>
      </c>
      <c r="K262" s="589"/>
      <c r="L262" s="589"/>
      <c r="M262" s="589"/>
      <c r="N262" s="589"/>
      <c r="O262" s="589"/>
      <c r="P262" s="589"/>
      <c r="Q262" s="589"/>
      <c r="R262" s="558" t="s">
        <v>2115</v>
      </c>
      <c r="S262" s="590"/>
      <c r="T262" s="591"/>
      <c r="U262" s="592"/>
      <c r="V262" s="605"/>
      <c r="W262" s="593"/>
      <c r="X262" s="594" t="s">
        <v>769</v>
      </c>
      <c r="Y262" s="595"/>
      <c r="Z262" s="605"/>
      <c r="AA262" s="596"/>
      <c r="AB262" s="597"/>
      <c r="AC262" s="594" t="s">
        <v>769</v>
      </c>
      <c r="AD262" s="595"/>
      <c r="AE262" s="589"/>
      <c r="AF262" s="589"/>
      <c r="AG262" s="589"/>
      <c r="AH262" s="589"/>
      <c r="AI262" s="589"/>
      <c r="AJ262" s="589"/>
      <c r="AK262" s="589"/>
      <c r="AL262" s="575"/>
      <c r="AM262" s="589"/>
      <c r="AN262" s="1397"/>
      <c r="AO262" s="1397"/>
      <c r="AP262" s="1397"/>
      <c r="AQ262" s="1397"/>
      <c r="AR262" s="1397"/>
      <c r="AS262" s="1397"/>
      <c r="AT262" s="1397"/>
      <c r="AU262" s="1397"/>
      <c r="AV262" s="1397"/>
      <c r="AW262" s="1397"/>
      <c r="AX262" s="1397"/>
      <c r="AY262" s="1397"/>
      <c r="AZ262" s="1397"/>
      <c r="BA262" s="1397"/>
      <c r="BB262" s="1397"/>
      <c r="BC262" s="1397"/>
      <c r="BD262" s="1397"/>
      <c r="BE262" s="1397"/>
      <c r="BF262" s="1397"/>
      <c r="BG262" s="1397"/>
      <c r="BH262" s="1397"/>
      <c r="BI262" s="1397"/>
      <c r="BJ262" s="1397"/>
      <c r="BK262" s="1397"/>
      <c r="BL262" s="1397"/>
      <c r="BM262" s="1397"/>
      <c r="BN262" s="1397"/>
    </row>
    <row r="263" spans="1:66" ht="13.5" hidden="1" outlineLevel="1" thickBot="1" x14ac:dyDescent="0.25">
      <c r="A263" s="589"/>
      <c r="B263" s="589"/>
      <c r="C263" s="589"/>
      <c r="D263" s="589"/>
      <c r="E263" s="589"/>
      <c r="F263" s="589"/>
      <c r="G263" s="2108" t="str">
        <f t="shared" si="14"/>
        <v/>
      </c>
      <c r="H263" s="589"/>
      <c r="I263" s="2097" t="str">
        <f t="shared" si="15"/>
        <v/>
      </c>
      <c r="K263" s="589"/>
      <c r="L263" s="589"/>
      <c r="M263" s="589"/>
      <c r="N263" s="589"/>
      <c r="O263" s="589"/>
      <c r="P263" s="589"/>
      <c r="Q263" s="589"/>
      <c r="R263" s="558" t="s">
        <v>2115</v>
      </c>
      <c r="S263" s="590"/>
      <c r="T263" s="591"/>
      <c r="U263" s="592"/>
      <c r="V263" s="605"/>
      <c r="W263" s="593"/>
      <c r="X263" s="594" t="s">
        <v>769</v>
      </c>
      <c r="Y263" s="595"/>
      <c r="Z263" s="605"/>
      <c r="AA263" s="596"/>
      <c r="AB263" s="597"/>
      <c r="AC263" s="594" t="s">
        <v>769</v>
      </c>
      <c r="AD263" s="595"/>
      <c r="AE263" s="589"/>
      <c r="AF263" s="589"/>
      <c r="AG263" s="589"/>
      <c r="AH263" s="589"/>
      <c r="AI263" s="589"/>
      <c r="AJ263" s="589"/>
      <c r="AK263" s="589"/>
      <c r="AL263" s="575"/>
      <c r="AM263" s="589"/>
      <c r="AN263" s="1397"/>
      <c r="AO263" s="1397"/>
      <c r="AP263" s="1397"/>
      <c r="AQ263" s="1397"/>
      <c r="AR263" s="1397"/>
      <c r="AS263" s="1397"/>
      <c r="AT263" s="1397"/>
      <c r="AU263" s="1397"/>
      <c r="AV263" s="1397"/>
      <c r="AW263" s="1397"/>
      <c r="AX263" s="1397"/>
      <c r="AY263" s="1397"/>
      <c r="AZ263" s="1397"/>
      <c r="BA263" s="1397"/>
      <c r="BB263" s="1397"/>
      <c r="BC263" s="1397"/>
      <c r="BD263" s="1397"/>
      <c r="BE263" s="1397"/>
      <c r="BF263" s="1397"/>
      <c r="BG263" s="1397"/>
      <c r="BH263" s="1397"/>
      <c r="BI263" s="1397"/>
      <c r="BJ263" s="1397"/>
      <c r="BK263" s="1397"/>
      <c r="BL263" s="1397"/>
      <c r="BM263" s="1397"/>
      <c r="BN263" s="1397"/>
    </row>
    <row r="264" spans="1:66" ht="13.5" hidden="1" outlineLevel="1" thickBot="1" x14ac:dyDescent="0.25">
      <c r="A264" s="589"/>
      <c r="B264" s="589"/>
      <c r="C264" s="589"/>
      <c r="D264" s="589"/>
      <c r="E264" s="589"/>
      <c r="F264" s="589"/>
      <c r="G264" s="2108" t="str">
        <f t="shared" si="14"/>
        <v/>
      </c>
      <c r="H264" s="589"/>
      <c r="I264" s="2097" t="str">
        <f t="shared" si="15"/>
        <v/>
      </c>
      <c r="K264" s="589"/>
      <c r="L264" s="589"/>
      <c r="M264" s="589"/>
      <c r="N264" s="589"/>
      <c r="O264" s="589"/>
      <c r="P264" s="589"/>
      <c r="Q264" s="589"/>
      <c r="R264" s="558" t="s">
        <v>2115</v>
      </c>
      <c r="S264" s="590"/>
      <c r="T264" s="591"/>
      <c r="U264" s="592"/>
      <c r="V264" s="605"/>
      <c r="W264" s="593"/>
      <c r="X264" s="594" t="s">
        <v>769</v>
      </c>
      <c r="Y264" s="595"/>
      <c r="Z264" s="605"/>
      <c r="AA264" s="596"/>
      <c r="AB264" s="597"/>
      <c r="AC264" s="594" t="s">
        <v>769</v>
      </c>
      <c r="AD264" s="595"/>
      <c r="AE264" s="589"/>
      <c r="AF264" s="589"/>
      <c r="AG264" s="589"/>
      <c r="AH264" s="589"/>
      <c r="AI264" s="589"/>
      <c r="AJ264" s="589"/>
      <c r="AK264" s="589"/>
      <c r="AL264" s="575"/>
      <c r="AM264" s="589"/>
      <c r="AN264" s="1397"/>
      <c r="AO264" s="1397"/>
      <c r="AP264" s="1397"/>
      <c r="AQ264" s="1397"/>
      <c r="AR264" s="1397"/>
      <c r="AS264" s="1397"/>
      <c r="AT264" s="1397"/>
      <c r="AU264" s="1397"/>
      <c r="AV264" s="1397"/>
      <c r="AW264" s="1397"/>
      <c r="AX264" s="1397"/>
      <c r="AY264" s="1397"/>
      <c r="AZ264" s="1397"/>
      <c r="BA264" s="1397"/>
      <c r="BB264" s="1397"/>
      <c r="BC264" s="1397"/>
      <c r="BD264" s="1397"/>
      <c r="BE264" s="1397"/>
      <c r="BF264" s="1397"/>
      <c r="BG264" s="1397"/>
      <c r="BH264" s="1397"/>
      <c r="BI264" s="1397"/>
      <c r="BJ264" s="1397"/>
      <c r="BK264" s="1397"/>
      <c r="BL264" s="1397"/>
      <c r="BM264" s="1397"/>
      <c r="BN264" s="1397"/>
    </row>
    <row r="265" spans="1:66" ht="13.5" hidden="1" outlineLevel="1" thickBot="1" x14ac:dyDescent="0.25">
      <c r="A265" s="589"/>
      <c r="B265" s="589"/>
      <c r="C265" s="589"/>
      <c r="D265" s="589"/>
      <c r="E265" s="589"/>
      <c r="F265" s="589"/>
      <c r="G265" s="2108" t="str">
        <f t="shared" si="14"/>
        <v/>
      </c>
      <c r="H265" s="589"/>
      <c r="I265" s="2097" t="str">
        <f t="shared" si="15"/>
        <v/>
      </c>
      <c r="K265" s="589"/>
      <c r="L265" s="589"/>
      <c r="M265" s="589"/>
      <c r="N265" s="589"/>
      <c r="O265" s="589"/>
      <c r="P265" s="589"/>
      <c r="Q265" s="589"/>
      <c r="R265" s="558" t="s">
        <v>2115</v>
      </c>
      <c r="S265" s="590"/>
      <c r="T265" s="591"/>
      <c r="U265" s="592"/>
      <c r="V265" s="605"/>
      <c r="W265" s="593"/>
      <c r="X265" s="594" t="s">
        <v>769</v>
      </c>
      <c r="Y265" s="595"/>
      <c r="Z265" s="605"/>
      <c r="AA265" s="596"/>
      <c r="AB265" s="597"/>
      <c r="AC265" s="594" t="s">
        <v>769</v>
      </c>
      <c r="AD265" s="595"/>
      <c r="AE265" s="589"/>
      <c r="AF265" s="589"/>
      <c r="AG265" s="589"/>
      <c r="AH265" s="589"/>
      <c r="AI265" s="589"/>
      <c r="AJ265" s="589"/>
      <c r="AK265" s="589"/>
      <c r="AL265" s="575"/>
      <c r="AM265" s="589"/>
      <c r="AN265" s="1397"/>
      <c r="AO265" s="1397"/>
      <c r="AP265" s="1397"/>
      <c r="AQ265" s="1397"/>
      <c r="AR265" s="1397"/>
      <c r="AS265" s="1397"/>
      <c r="AT265" s="1397"/>
      <c r="AU265" s="1397"/>
      <c r="AV265" s="1397"/>
      <c r="AW265" s="1397"/>
      <c r="AX265" s="1397"/>
      <c r="AY265" s="1397"/>
      <c r="AZ265" s="1397"/>
      <c r="BA265" s="1397"/>
      <c r="BB265" s="1397"/>
      <c r="BC265" s="1397"/>
      <c r="BD265" s="1397"/>
      <c r="BE265" s="1397"/>
      <c r="BF265" s="1397"/>
      <c r="BG265" s="1397"/>
      <c r="BH265" s="1397"/>
      <c r="BI265" s="1397"/>
      <c r="BJ265" s="1397"/>
      <c r="BK265" s="1397"/>
      <c r="BL265" s="1397"/>
      <c r="BM265" s="1397"/>
      <c r="BN265" s="1397"/>
    </row>
    <row r="266" spans="1:66" ht="13.5" hidden="1" outlineLevel="1" thickBot="1" x14ac:dyDescent="0.25">
      <c r="A266" s="589"/>
      <c r="B266" s="589"/>
      <c r="C266" s="589"/>
      <c r="D266" s="589"/>
      <c r="E266" s="589"/>
      <c r="F266" s="589"/>
      <c r="G266" s="2108" t="str">
        <f t="shared" si="14"/>
        <v/>
      </c>
      <c r="H266" s="589"/>
      <c r="I266" s="2097" t="str">
        <f t="shared" si="15"/>
        <v/>
      </c>
      <c r="K266" s="589"/>
      <c r="L266" s="589"/>
      <c r="M266" s="589"/>
      <c r="N266" s="589"/>
      <c r="O266" s="589"/>
      <c r="P266" s="589"/>
      <c r="Q266" s="589"/>
      <c r="R266" s="558" t="s">
        <v>2115</v>
      </c>
      <c r="S266" s="590"/>
      <c r="T266" s="591"/>
      <c r="U266" s="592"/>
      <c r="V266" s="605"/>
      <c r="W266" s="593"/>
      <c r="X266" s="594" t="s">
        <v>769</v>
      </c>
      <c r="Y266" s="595"/>
      <c r="Z266" s="605"/>
      <c r="AA266" s="596"/>
      <c r="AB266" s="597"/>
      <c r="AC266" s="594" t="s">
        <v>769</v>
      </c>
      <c r="AD266" s="595"/>
      <c r="AE266" s="589"/>
      <c r="AF266" s="589"/>
      <c r="AG266" s="589"/>
      <c r="AH266" s="589"/>
      <c r="AI266" s="589"/>
      <c r="AJ266" s="589"/>
      <c r="AK266" s="589"/>
      <c r="AL266" s="575"/>
      <c r="AM266" s="589"/>
      <c r="AN266" s="1397"/>
      <c r="AO266" s="1397"/>
      <c r="AP266" s="1397"/>
      <c r="AQ266" s="1397"/>
      <c r="AR266" s="1397"/>
      <c r="AS266" s="1397"/>
      <c r="AT266" s="1397"/>
      <c r="AU266" s="1397"/>
      <c r="AV266" s="1397"/>
      <c r="AW266" s="1397"/>
      <c r="AX266" s="1397"/>
      <c r="AY266" s="1397"/>
      <c r="AZ266" s="1397"/>
      <c r="BA266" s="1397"/>
      <c r="BB266" s="1397"/>
      <c r="BC266" s="1397"/>
      <c r="BD266" s="1397"/>
      <c r="BE266" s="1397"/>
      <c r="BF266" s="1397"/>
      <c r="BG266" s="1397"/>
      <c r="BH266" s="1397"/>
      <c r="BI266" s="1397"/>
      <c r="BJ266" s="1397"/>
      <c r="BK266" s="1397"/>
      <c r="BL266" s="1397"/>
      <c r="BM266" s="1397"/>
      <c r="BN266" s="1397"/>
    </row>
    <row r="267" spans="1:66" ht="13.5" hidden="1" outlineLevel="1" thickBot="1" x14ac:dyDescent="0.25">
      <c r="A267" s="589"/>
      <c r="B267" s="589"/>
      <c r="C267" s="589"/>
      <c r="D267" s="589"/>
      <c r="E267" s="589"/>
      <c r="F267" s="589"/>
      <c r="G267" s="2108" t="str">
        <f t="shared" si="14"/>
        <v/>
      </c>
      <c r="H267" s="589"/>
      <c r="I267" s="2097" t="str">
        <f t="shared" si="15"/>
        <v/>
      </c>
      <c r="K267" s="589"/>
      <c r="L267" s="589"/>
      <c r="M267" s="589"/>
      <c r="N267" s="589"/>
      <c r="O267" s="589"/>
      <c r="P267" s="589"/>
      <c r="Q267" s="589"/>
      <c r="R267" s="558" t="s">
        <v>2115</v>
      </c>
      <c r="S267" s="590"/>
      <c r="T267" s="591"/>
      <c r="U267" s="592"/>
      <c r="V267" s="605"/>
      <c r="W267" s="593"/>
      <c r="X267" s="594" t="s">
        <v>769</v>
      </c>
      <c r="Y267" s="595"/>
      <c r="Z267" s="605"/>
      <c r="AA267" s="596"/>
      <c r="AB267" s="597"/>
      <c r="AC267" s="594" t="s">
        <v>769</v>
      </c>
      <c r="AD267" s="595"/>
      <c r="AE267" s="589"/>
      <c r="AF267" s="589"/>
      <c r="AG267" s="589"/>
      <c r="AH267" s="589"/>
      <c r="AI267" s="589"/>
      <c r="AJ267" s="589"/>
      <c r="AK267" s="589"/>
      <c r="AL267" s="575"/>
      <c r="AM267" s="589"/>
      <c r="AN267" s="1397"/>
      <c r="AO267" s="1397"/>
      <c r="AP267" s="1397"/>
      <c r="AQ267" s="1397"/>
      <c r="AR267" s="1397"/>
      <c r="AS267" s="1397"/>
      <c r="AT267" s="1397"/>
      <c r="AU267" s="1397"/>
      <c r="AV267" s="1397"/>
      <c r="AW267" s="1397"/>
      <c r="AX267" s="1397"/>
      <c r="AY267" s="1397"/>
      <c r="AZ267" s="1397"/>
      <c r="BA267" s="1397"/>
      <c r="BB267" s="1397"/>
      <c r="BC267" s="1397"/>
      <c r="BD267" s="1397"/>
      <c r="BE267" s="1397"/>
      <c r="BF267" s="1397"/>
      <c r="BG267" s="1397"/>
      <c r="BH267" s="1397"/>
      <c r="BI267" s="1397"/>
      <c r="BJ267" s="1397"/>
      <c r="BK267" s="1397"/>
      <c r="BL267" s="1397"/>
      <c r="BM267" s="1397"/>
      <c r="BN267" s="1397"/>
    </row>
    <row r="268" spans="1:66" ht="13.5" hidden="1" outlineLevel="1" thickBot="1" x14ac:dyDescent="0.25">
      <c r="A268" s="589"/>
      <c r="B268" s="589"/>
      <c r="C268" s="589"/>
      <c r="D268" s="589"/>
      <c r="E268" s="589"/>
      <c r="F268" s="589"/>
      <c r="G268" s="2108" t="str">
        <f t="shared" si="14"/>
        <v/>
      </c>
      <c r="H268" s="589"/>
      <c r="I268" s="2097" t="str">
        <f t="shared" si="15"/>
        <v/>
      </c>
      <c r="K268" s="589"/>
      <c r="L268" s="589"/>
      <c r="M268" s="589"/>
      <c r="N268" s="589"/>
      <c r="O268" s="589"/>
      <c r="P268" s="589"/>
      <c r="Q268" s="589"/>
      <c r="R268" s="558" t="s">
        <v>2115</v>
      </c>
      <c r="S268" s="590"/>
      <c r="T268" s="591"/>
      <c r="U268" s="592"/>
      <c r="V268" s="605"/>
      <c r="W268" s="593"/>
      <c r="X268" s="594" t="s">
        <v>769</v>
      </c>
      <c r="Y268" s="595"/>
      <c r="Z268" s="605"/>
      <c r="AA268" s="596"/>
      <c r="AB268" s="597"/>
      <c r="AC268" s="594" t="s">
        <v>769</v>
      </c>
      <c r="AD268" s="595"/>
      <c r="AE268" s="589"/>
      <c r="AF268" s="589"/>
      <c r="AG268" s="589"/>
      <c r="AH268" s="589"/>
      <c r="AI268" s="589"/>
      <c r="AJ268" s="589"/>
      <c r="AK268" s="589"/>
      <c r="AL268" s="575"/>
      <c r="AM268" s="589"/>
      <c r="AN268" s="1397"/>
      <c r="AO268" s="1397"/>
      <c r="AP268" s="1397"/>
      <c r="AQ268" s="1397"/>
      <c r="AR268" s="1397"/>
      <c r="AS268" s="1397"/>
      <c r="AT268" s="1397"/>
      <c r="AU268" s="1397"/>
      <c r="AV268" s="1397"/>
      <c r="AW268" s="1397"/>
      <c r="AX268" s="1397"/>
      <c r="AY268" s="1397"/>
      <c r="AZ268" s="1397"/>
      <c r="BA268" s="1397"/>
      <c r="BB268" s="1397"/>
      <c r="BC268" s="1397"/>
      <c r="BD268" s="1397"/>
      <c r="BE268" s="1397"/>
      <c r="BF268" s="1397"/>
      <c r="BG268" s="1397"/>
      <c r="BH268" s="1397"/>
      <c r="BI268" s="1397"/>
      <c r="BJ268" s="1397"/>
      <c r="BK268" s="1397"/>
      <c r="BL268" s="1397"/>
      <c r="BM268" s="1397"/>
      <c r="BN268" s="1397"/>
    </row>
    <row r="269" spans="1:66" ht="13.5" hidden="1" outlineLevel="1" thickBot="1" x14ac:dyDescent="0.25">
      <c r="A269" s="589"/>
      <c r="B269" s="589"/>
      <c r="C269" s="589"/>
      <c r="D269" s="589"/>
      <c r="E269" s="589"/>
      <c r="F269" s="589"/>
      <c r="G269" s="2108" t="str">
        <f t="shared" si="14"/>
        <v/>
      </c>
      <c r="H269" s="589"/>
      <c r="I269" s="2097" t="str">
        <f t="shared" si="15"/>
        <v/>
      </c>
      <c r="K269" s="589"/>
      <c r="L269" s="589"/>
      <c r="M269" s="589"/>
      <c r="N269" s="589"/>
      <c r="O269" s="589"/>
      <c r="P269" s="589"/>
      <c r="Q269" s="589"/>
      <c r="R269" s="558" t="s">
        <v>2115</v>
      </c>
      <c r="S269" s="590"/>
      <c r="T269" s="591"/>
      <c r="U269" s="592"/>
      <c r="V269" s="605"/>
      <c r="W269" s="593"/>
      <c r="X269" s="594" t="s">
        <v>769</v>
      </c>
      <c r="Y269" s="595"/>
      <c r="Z269" s="605"/>
      <c r="AA269" s="596"/>
      <c r="AB269" s="597"/>
      <c r="AC269" s="594" t="s">
        <v>769</v>
      </c>
      <c r="AD269" s="595"/>
      <c r="AE269" s="589"/>
      <c r="AF269" s="589"/>
      <c r="AG269" s="589"/>
      <c r="AH269" s="589"/>
      <c r="AI269" s="589"/>
      <c r="AJ269" s="589"/>
      <c r="AK269" s="589"/>
      <c r="AL269" s="575"/>
      <c r="AM269" s="589"/>
      <c r="AN269" s="1397"/>
      <c r="AO269" s="1397"/>
      <c r="AP269" s="1397"/>
      <c r="AQ269" s="1397"/>
      <c r="AR269" s="1397"/>
      <c r="AS269" s="1397"/>
      <c r="AT269" s="1397"/>
      <c r="AU269" s="1397"/>
      <c r="AV269" s="1397"/>
      <c r="AW269" s="1397"/>
      <c r="AX269" s="1397"/>
      <c r="AY269" s="1397"/>
      <c r="AZ269" s="1397"/>
      <c r="BA269" s="1397"/>
      <c r="BB269" s="1397"/>
      <c r="BC269" s="1397"/>
      <c r="BD269" s="1397"/>
      <c r="BE269" s="1397"/>
      <c r="BF269" s="1397"/>
      <c r="BG269" s="1397"/>
      <c r="BH269" s="1397"/>
      <c r="BI269" s="1397"/>
      <c r="BJ269" s="1397"/>
      <c r="BK269" s="1397"/>
      <c r="BL269" s="1397"/>
      <c r="BM269" s="1397"/>
      <c r="BN269" s="1397"/>
    </row>
    <row r="270" spans="1:66" ht="13.5" hidden="1" outlineLevel="1" thickBot="1" x14ac:dyDescent="0.25">
      <c r="A270" s="589"/>
      <c r="B270" s="589"/>
      <c r="C270" s="589"/>
      <c r="D270" s="589"/>
      <c r="E270" s="589"/>
      <c r="F270" s="589"/>
      <c r="G270" s="2108" t="str">
        <f t="shared" si="14"/>
        <v/>
      </c>
      <c r="H270" s="589"/>
      <c r="I270" s="2097" t="str">
        <f t="shared" si="15"/>
        <v/>
      </c>
      <c r="K270" s="589"/>
      <c r="L270" s="589"/>
      <c r="M270" s="589"/>
      <c r="N270" s="589"/>
      <c r="O270" s="589"/>
      <c r="P270" s="589"/>
      <c r="Q270" s="589"/>
      <c r="R270" s="558" t="s">
        <v>2115</v>
      </c>
      <c r="S270" s="590"/>
      <c r="T270" s="591"/>
      <c r="U270" s="592"/>
      <c r="V270" s="605"/>
      <c r="W270" s="593"/>
      <c r="X270" s="594" t="s">
        <v>769</v>
      </c>
      <c r="Y270" s="595"/>
      <c r="Z270" s="605"/>
      <c r="AA270" s="596"/>
      <c r="AB270" s="597"/>
      <c r="AC270" s="594" t="s">
        <v>769</v>
      </c>
      <c r="AD270" s="595"/>
      <c r="AE270" s="589"/>
      <c r="AF270" s="589"/>
      <c r="AG270" s="589"/>
      <c r="AH270" s="589"/>
      <c r="AI270" s="589"/>
      <c r="AJ270" s="589"/>
      <c r="AK270" s="589"/>
      <c r="AL270" s="575"/>
      <c r="AM270" s="589"/>
      <c r="AN270" s="1397"/>
      <c r="AO270" s="1397"/>
      <c r="AP270" s="1397"/>
      <c r="AQ270" s="1397"/>
      <c r="AR270" s="1397"/>
      <c r="AS270" s="1397"/>
      <c r="AT270" s="1397"/>
      <c r="AU270" s="1397"/>
      <c r="AV270" s="1397"/>
      <c r="AW270" s="1397"/>
      <c r="AX270" s="1397"/>
      <c r="AY270" s="1397"/>
      <c r="AZ270" s="1397"/>
      <c r="BA270" s="1397"/>
      <c r="BB270" s="1397"/>
      <c r="BC270" s="1397"/>
      <c r="BD270" s="1397"/>
      <c r="BE270" s="1397"/>
      <c r="BF270" s="1397"/>
      <c r="BG270" s="1397"/>
      <c r="BH270" s="1397"/>
      <c r="BI270" s="1397"/>
      <c r="BJ270" s="1397"/>
      <c r="BK270" s="1397"/>
      <c r="BL270" s="1397"/>
      <c r="BM270" s="1397"/>
      <c r="BN270" s="1397"/>
    </row>
    <row r="271" spans="1:66" ht="13.5" hidden="1" outlineLevel="1" thickBot="1" x14ac:dyDescent="0.25">
      <c r="A271" s="589"/>
      <c r="B271" s="589"/>
      <c r="C271" s="589"/>
      <c r="D271" s="589"/>
      <c r="E271" s="589"/>
      <c r="F271" s="589"/>
      <c r="G271" s="2108" t="str">
        <f t="shared" si="14"/>
        <v/>
      </c>
      <c r="H271" s="589"/>
      <c r="I271" s="2097" t="str">
        <f t="shared" si="15"/>
        <v/>
      </c>
      <c r="K271" s="589"/>
      <c r="L271" s="589"/>
      <c r="M271" s="589"/>
      <c r="N271" s="589"/>
      <c r="O271" s="589"/>
      <c r="P271" s="589"/>
      <c r="Q271" s="589"/>
      <c r="R271" s="558" t="s">
        <v>2115</v>
      </c>
      <c r="S271" s="590"/>
      <c r="T271" s="591"/>
      <c r="U271" s="592"/>
      <c r="V271" s="605"/>
      <c r="W271" s="593"/>
      <c r="X271" s="594" t="s">
        <v>769</v>
      </c>
      <c r="Y271" s="595"/>
      <c r="Z271" s="605"/>
      <c r="AA271" s="596"/>
      <c r="AB271" s="597"/>
      <c r="AC271" s="594" t="s">
        <v>769</v>
      </c>
      <c r="AD271" s="595"/>
      <c r="AE271" s="589"/>
      <c r="AF271" s="589"/>
      <c r="AG271" s="589"/>
      <c r="AH271" s="589"/>
      <c r="AI271" s="589"/>
      <c r="AJ271" s="589"/>
      <c r="AK271" s="589"/>
      <c r="AL271" s="575"/>
      <c r="AM271" s="589"/>
      <c r="AN271" s="1397"/>
      <c r="AO271" s="1397"/>
      <c r="AP271" s="1397"/>
      <c r="AQ271" s="1397"/>
      <c r="AR271" s="1397"/>
      <c r="AS271" s="1397"/>
      <c r="AT271" s="1397"/>
      <c r="AU271" s="1397"/>
      <c r="AV271" s="1397"/>
      <c r="AW271" s="1397"/>
      <c r="AX271" s="1397"/>
      <c r="AY271" s="1397"/>
      <c r="AZ271" s="1397"/>
      <c r="BA271" s="1397"/>
      <c r="BB271" s="1397"/>
      <c r="BC271" s="1397"/>
      <c r="BD271" s="1397"/>
      <c r="BE271" s="1397"/>
      <c r="BF271" s="1397"/>
      <c r="BG271" s="1397"/>
      <c r="BH271" s="1397"/>
      <c r="BI271" s="1397"/>
      <c r="BJ271" s="1397"/>
      <c r="BK271" s="1397"/>
      <c r="BL271" s="1397"/>
      <c r="BM271" s="1397"/>
      <c r="BN271" s="1397"/>
    </row>
    <row r="272" spans="1:66" ht="13.5" hidden="1" outlineLevel="1" thickBot="1" x14ac:dyDescent="0.25">
      <c r="A272" s="589"/>
      <c r="B272" s="589"/>
      <c r="C272" s="589"/>
      <c r="D272" s="589"/>
      <c r="E272" s="589"/>
      <c r="F272" s="589"/>
      <c r="G272" s="2108" t="str">
        <f t="shared" si="14"/>
        <v/>
      </c>
      <c r="H272" s="589"/>
      <c r="I272" s="2097" t="str">
        <f t="shared" si="15"/>
        <v/>
      </c>
      <c r="K272" s="589"/>
      <c r="L272" s="589"/>
      <c r="M272" s="589"/>
      <c r="N272" s="589"/>
      <c r="O272" s="589"/>
      <c r="P272" s="589"/>
      <c r="Q272" s="589"/>
      <c r="R272" s="558" t="s">
        <v>2115</v>
      </c>
      <c r="S272" s="590"/>
      <c r="T272" s="591"/>
      <c r="U272" s="592"/>
      <c r="V272" s="605"/>
      <c r="W272" s="593"/>
      <c r="X272" s="594" t="s">
        <v>769</v>
      </c>
      <c r="Y272" s="595"/>
      <c r="Z272" s="605"/>
      <c r="AA272" s="596"/>
      <c r="AB272" s="597"/>
      <c r="AC272" s="594" t="s">
        <v>769</v>
      </c>
      <c r="AD272" s="595"/>
      <c r="AE272" s="589"/>
      <c r="AF272" s="589"/>
      <c r="AG272" s="589"/>
      <c r="AH272" s="589"/>
      <c r="AI272" s="589"/>
      <c r="AJ272" s="589"/>
      <c r="AK272" s="589"/>
      <c r="AL272" s="575"/>
      <c r="AM272" s="589"/>
      <c r="AN272" s="1397"/>
      <c r="AO272" s="1397"/>
      <c r="AP272" s="1397"/>
      <c r="AQ272" s="1397"/>
      <c r="AR272" s="1397"/>
      <c r="AS272" s="1397"/>
      <c r="AT272" s="1397"/>
      <c r="AU272" s="1397"/>
      <c r="AV272" s="1397"/>
      <c r="AW272" s="1397"/>
      <c r="AX272" s="1397"/>
      <c r="AY272" s="1397"/>
      <c r="AZ272" s="1397"/>
      <c r="BA272" s="1397"/>
      <c r="BB272" s="1397"/>
      <c r="BC272" s="1397"/>
      <c r="BD272" s="1397"/>
      <c r="BE272" s="1397"/>
      <c r="BF272" s="1397"/>
      <c r="BG272" s="1397"/>
      <c r="BH272" s="1397"/>
      <c r="BI272" s="1397"/>
      <c r="BJ272" s="1397"/>
      <c r="BK272" s="1397"/>
      <c r="BL272" s="1397"/>
      <c r="BM272" s="1397"/>
      <c r="BN272" s="1397"/>
    </row>
    <row r="273" spans="1:66" ht="13.5" hidden="1" outlineLevel="1" thickBot="1" x14ac:dyDescent="0.25">
      <c r="A273" s="589"/>
      <c r="B273" s="589"/>
      <c r="C273" s="589"/>
      <c r="D273" s="589"/>
      <c r="E273" s="589"/>
      <c r="F273" s="589"/>
      <c r="G273" s="589"/>
      <c r="H273" s="589"/>
      <c r="I273" s="589"/>
      <c r="J273" s="589"/>
      <c r="K273" s="589"/>
      <c r="L273" s="589"/>
      <c r="M273" s="589"/>
      <c r="N273" s="589"/>
      <c r="O273" s="589"/>
      <c r="P273" s="589"/>
      <c r="Q273" s="589"/>
      <c r="R273" s="558"/>
      <c r="S273" s="589"/>
      <c r="T273" s="589"/>
      <c r="U273" s="589"/>
      <c r="V273" s="589"/>
      <c r="W273" s="589"/>
      <c r="X273" s="589"/>
      <c r="Y273" s="589"/>
      <c r="Z273" s="589"/>
      <c r="AA273" s="589"/>
      <c r="AB273" s="589"/>
      <c r="AC273" s="589"/>
      <c r="AD273" s="589"/>
      <c r="AE273" s="589"/>
      <c r="AF273" s="589"/>
      <c r="AG273" s="589"/>
      <c r="AH273" s="589"/>
      <c r="AI273" s="589"/>
      <c r="AJ273" s="589"/>
      <c r="AK273" s="589"/>
      <c r="AL273" s="575"/>
      <c r="AM273" s="589"/>
      <c r="AN273" s="1397"/>
      <c r="AO273" s="1397"/>
      <c r="AP273" s="1397"/>
      <c r="AQ273" s="1397"/>
      <c r="AR273" s="1397"/>
      <c r="AS273" s="1397"/>
      <c r="AT273" s="1397"/>
      <c r="AU273" s="1397"/>
      <c r="AV273" s="1397"/>
      <c r="AW273" s="1397"/>
      <c r="AX273" s="1397"/>
      <c r="AY273" s="1397"/>
      <c r="AZ273" s="1397"/>
      <c r="BA273" s="1397"/>
      <c r="BB273" s="1397"/>
      <c r="BC273" s="1397"/>
      <c r="BD273" s="1397"/>
      <c r="BE273" s="1397"/>
      <c r="BF273" s="1397"/>
      <c r="BG273" s="1397"/>
      <c r="BH273" s="1397"/>
      <c r="BI273" s="1397"/>
      <c r="BJ273" s="1397"/>
      <c r="BK273" s="1397"/>
      <c r="BL273" s="1397"/>
      <c r="BM273" s="1397"/>
      <c r="BN273" s="1397"/>
    </row>
    <row r="274" spans="1:66" ht="13.5" collapsed="1" thickBot="1" x14ac:dyDescent="0.25">
      <c r="A274" s="589"/>
      <c r="B274" s="2382" t="str">
        <f>N__1_16_DE_FINALE</f>
        <v>1/16 DE FINALE</v>
      </c>
      <c r="C274" s="2383"/>
      <c r="D274" s="2383"/>
      <c r="E274" s="2383"/>
      <c r="F274" s="2383"/>
      <c r="G274" s="2383"/>
      <c r="H274" s="2383"/>
      <c r="I274" s="2383"/>
      <c r="J274" s="2383"/>
      <c r="K274" s="2383"/>
      <c r="L274" s="2383"/>
      <c r="M274" s="2383"/>
      <c r="N274" s="2383"/>
      <c r="O274" s="2383"/>
      <c r="P274" s="2383"/>
      <c r="Q274" s="2383"/>
      <c r="R274" s="2383"/>
      <c r="S274" s="2383"/>
      <c r="T274" s="2383"/>
      <c r="U274" s="2383"/>
      <c r="V274" s="2383"/>
      <c r="W274" s="2383"/>
      <c r="X274" s="2383"/>
      <c r="Y274" s="2383"/>
      <c r="Z274" s="2383"/>
      <c r="AA274" s="2383"/>
      <c r="AB274" s="2383"/>
      <c r="AC274" s="2383"/>
      <c r="AD274" s="2383"/>
      <c r="AE274" s="2383"/>
      <c r="AF274" s="2383"/>
      <c r="AG274" s="2383"/>
      <c r="AH274" s="2383"/>
      <c r="AI274" s="2383"/>
      <c r="AJ274" s="2383"/>
      <c r="AK274" s="2383"/>
      <c r="AL274" s="2384"/>
      <c r="AM274" s="589"/>
      <c r="AN274" s="1397"/>
      <c r="AO274" s="1397"/>
      <c r="AP274" s="1397"/>
      <c r="AQ274" s="1397"/>
      <c r="AR274" s="1397"/>
      <c r="AS274" s="1397"/>
      <c r="AT274" s="1397"/>
      <c r="AU274" s="1397"/>
      <c r="AV274" s="1397"/>
      <c r="AW274" s="1397"/>
      <c r="AX274" s="1397"/>
      <c r="AY274" s="1397"/>
      <c r="AZ274" s="1397"/>
      <c r="BA274" s="1397"/>
      <c r="BB274" s="1397"/>
      <c r="BC274" s="1397"/>
      <c r="BD274" s="1397"/>
      <c r="BE274" s="1397"/>
      <c r="BF274" s="1397"/>
      <c r="BG274" s="1397"/>
      <c r="BH274" s="1397"/>
      <c r="BI274" s="1397"/>
      <c r="BJ274" s="1397"/>
      <c r="BK274" s="1397"/>
      <c r="BL274" s="1397"/>
      <c r="BM274" s="1397"/>
      <c r="BN274" s="1397"/>
    </row>
    <row r="275" spans="1:66" ht="13.5" hidden="1" outlineLevel="1" thickBot="1" x14ac:dyDescent="0.25">
      <c r="A275" s="589"/>
      <c r="B275" s="589"/>
      <c r="C275" s="589"/>
      <c r="D275" s="589"/>
      <c r="E275" s="589"/>
      <c r="F275" s="589"/>
      <c r="G275" s="606" t="str">
        <f>N_Qualifiés</f>
        <v>Qualifiés</v>
      </c>
      <c r="H275" s="589"/>
      <c r="I275" s="2093" t="str">
        <f>N_Disqualified</f>
        <v>Disqualifiés</v>
      </c>
      <c r="J275" s="589"/>
      <c r="K275" s="589"/>
      <c r="L275" s="589"/>
      <c r="M275" s="589"/>
      <c r="N275" s="589"/>
      <c r="O275" s="589"/>
      <c r="P275" s="589"/>
      <c r="Q275" s="589"/>
      <c r="R275" s="558"/>
      <c r="S275" s="607" t="str">
        <f>N_Heure</f>
        <v>Heure</v>
      </c>
      <c r="T275" s="607" t="str">
        <f>N_Table</f>
        <v>Table</v>
      </c>
      <c r="U275" s="607" t="str">
        <f>N_Arbitre</f>
        <v>Arbitre</v>
      </c>
      <c r="V275" s="608"/>
      <c r="W275" s="2349" t="str">
        <f>N_Scores</f>
        <v>Scores</v>
      </c>
      <c r="X275" s="2350"/>
      <c r="Y275" s="2351"/>
      <c r="Z275" s="609"/>
      <c r="AA275" s="606" t="str">
        <f>N_MS</f>
        <v>MS</v>
      </c>
      <c r="AB275" s="2346" t="str">
        <f>N_Diff</f>
        <v>Diff</v>
      </c>
      <c r="AC275" s="2347"/>
      <c r="AD275" s="2348"/>
      <c r="AE275" s="589"/>
      <c r="AF275" s="589"/>
      <c r="AG275" s="589"/>
      <c r="AH275" s="589"/>
      <c r="AI275" s="589"/>
      <c r="AJ275" s="589"/>
      <c r="AK275" s="589"/>
      <c r="AL275" s="575"/>
      <c r="AM275" s="589"/>
      <c r="AN275" s="1397"/>
      <c r="AO275" s="1397"/>
      <c r="AP275" s="1397"/>
      <c r="AQ275" s="1397"/>
      <c r="AR275" s="1397"/>
      <c r="AS275" s="1397"/>
      <c r="AT275" s="1397"/>
      <c r="AU275" s="1397"/>
      <c r="AV275" s="1397"/>
      <c r="AW275" s="1397"/>
      <c r="AX275" s="1397"/>
      <c r="AY275" s="1397"/>
      <c r="AZ275" s="1397"/>
      <c r="BA275" s="1397"/>
      <c r="BB275" s="1397"/>
      <c r="BC275" s="1397"/>
      <c r="BD275" s="1397"/>
      <c r="BE275" s="1397"/>
      <c r="BF275" s="1397"/>
      <c r="BG275" s="1397"/>
      <c r="BH275" s="1397"/>
      <c r="BI275" s="1397"/>
      <c r="BJ275" s="1397"/>
      <c r="BK275" s="1397"/>
      <c r="BL275" s="1397"/>
      <c r="BM275" s="1397"/>
      <c r="BN275" s="1397"/>
    </row>
    <row r="276" spans="1:66" ht="13.5" hidden="1" outlineLevel="1" thickBot="1" x14ac:dyDescent="0.25">
      <c r="A276" s="589"/>
      <c r="B276" s="589"/>
      <c r="C276" s="589"/>
      <c r="D276" s="589"/>
      <c r="E276" s="589"/>
      <c r="F276" s="589"/>
      <c r="G276" s="2107" t="str">
        <f t="shared" ref="G276:G291" si="16">IF(W276="",IF(OR(HidePlayerFormulas,V276=""),"","("&amp;V276&amp;"-"&amp;Z276&amp;")"),IF(W276&gt;Y276,V276,IF(Y276&gt;W276,Z276,IF(AB276&gt;AD276,V276,IF(AD276&gt;AB276,Z276,mess_erreur_marque)))))</f>
        <v/>
      </c>
      <c r="H276" s="589"/>
      <c r="I276" s="2098" t="str">
        <f t="shared" ref="I276:I291" si="17">IF(G276="","",IF(G276=V276,Z276,V276))</f>
        <v/>
      </c>
      <c r="K276" s="589"/>
      <c r="L276" s="589"/>
      <c r="M276" s="589"/>
      <c r="N276" s="589"/>
      <c r="O276" s="589"/>
      <c r="P276" s="589"/>
      <c r="Q276" s="589"/>
      <c r="R276" s="558" t="s">
        <v>1721</v>
      </c>
      <c r="S276" s="590"/>
      <c r="T276" s="591"/>
      <c r="U276" s="592"/>
      <c r="V276" s="605"/>
      <c r="W276" s="593"/>
      <c r="X276" s="594" t="s">
        <v>769</v>
      </c>
      <c r="Y276" s="595"/>
      <c r="Z276" s="605"/>
      <c r="AA276" s="596"/>
      <c r="AB276" s="597"/>
      <c r="AC276" s="594" t="s">
        <v>769</v>
      </c>
      <c r="AD276" s="595"/>
      <c r="AE276" s="589"/>
      <c r="AF276" s="589"/>
      <c r="AG276" s="589"/>
      <c r="AH276" s="589"/>
      <c r="AI276" s="589"/>
      <c r="AJ276" s="589"/>
      <c r="AK276" s="589"/>
      <c r="AL276" s="575"/>
      <c r="AM276" s="589"/>
      <c r="AN276" s="1397"/>
      <c r="AO276" s="1397"/>
      <c r="AP276" s="1397"/>
      <c r="AQ276" s="1397"/>
      <c r="AR276" s="1397"/>
      <c r="AS276" s="1397"/>
      <c r="AT276" s="1397"/>
      <c r="AU276" s="1397"/>
      <c r="AV276" s="1397"/>
      <c r="AW276" s="1397"/>
      <c r="AX276" s="1397"/>
      <c r="AY276" s="1397"/>
      <c r="AZ276" s="1397"/>
      <c r="BA276" s="1397"/>
      <c r="BB276" s="1397"/>
      <c r="BC276" s="1397"/>
      <c r="BD276" s="1397"/>
      <c r="BE276" s="1397"/>
      <c r="BF276" s="1397"/>
      <c r="BG276" s="1397"/>
      <c r="BH276" s="1397"/>
      <c r="BI276" s="1397"/>
      <c r="BJ276" s="1397"/>
      <c r="BK276" s="1397"/>
      <c r="BL276" s="1397"/>
      <c r="BM276" s="1397"/>
      <c r="BN276" s="1397"/>
    </row>
    <row r="277" spans="1:66" ht="13.5" hidden="1" outlineLevel="1" thickBot="1" x14ac:dyDescent="0.25">
      <c r="A277" s="589"/>
      <c r="B277" s="589"/>
      <c r="C277" s="589"/>
      <c r="D277" s="589"/>
      <c r="E277" s="589"/>
      <c r="F277" s="589"/>
      <c r="G277" s="2107" t="str">
        <f t="shared" si="16"/>
        <v/>
      </c>
      <c r="H277" s="589"/>
      <c r="I277" s="2098" t="str">
        <f t="shared" si="17"/>
        <v/>
      </c>
      <c r="K277" s="589"/>
      <c r="L277" s="589"/>
      <c r="M277" s="589"/>
      <c r="N277" s="589"/>
      <c r="O277" s="589"/>
      <c r="P277" s="589"/>
      <c r="Q277" s="589"/>
      <c r="R277" s="558" t="s">
        <v>1721</v>
      </c>
      <c r="S277" s="590"/>
      <c r="T277" s="591"/>
      <c r="U277" s="592"/>
      <c r="V277" s="605"/>
      <c r="W277" s="593"/>
      <c r="X277" s="594" t="s">
        <v>769</v>
      </c>
      <c r="Y277" s="595"/>
      <c r="Z277" s="605"/>
      <c r="AA277" s="596"/>
      <c r="AB277" s="597"/>
      <c r="AC277" s="594" t="s">
        <v>769</v>
      </c>
      <c r="AD277" s="595"/>
      <c r="AE277" s="589"/>
      <c r="AF277" s="589"/>
      <c r="AG277" s="589"/>
      <c r="AH277" s="589"/>
      <c r="AI277" s="589"/>
      <c r="AJ277" s="589"/>
      <c r="AK277" s="589"/>
      <c r="AL277" s="575"/>
      <c r="AM277" s="589"/>
      <c r="AN277" s="1397"/>
      <c r="AO277" s="1397"/>
      <c r="AP277" s="1397"/>
      <c r="AQ277" s="1397"/>
      <c r="AR277" s="1397"/>
      <c r="AS277" s="1397"/>
      <c r="AT277" s="1397"/>
      <c r="AU277" s="1397"/>
      <c r="AV277" s="1397"/>
      <c r="AW277" s="1397"/>
      <c r="AX277" s="1397"/>
      <c r="AY277" s="1397"/>
      <c r="AZ277" s="1397"/>
      <c r="BA277" s="1397"/>
      <c r="BB277" s="1397"/>
      <c r="BC277" s="1397"/>
      <c r="BD277" s="1397"/>
      <c r="BE277" s="1397"/>
      <c r="BF277" s="1397"/>
      <c r="BG277" s="1397"/>
      <c r="BH277" s="1397"/>
      <c r="BI277" s="1397"/>
      <c r="BJ277" s="1397"/>
      <c r="BK277" s="1397"/>
      <c r="BL277" s="1397"/>
      <c r="BM277" s="1397"/>
      <c r="BN277" s="1397"/>
    </row>
    <row r="278" spans="1:66" ht="13.5" hidden="1" outlineLevel="1" thickBot="1" x14ac:dyDescent="0.25">
      <c r="A278" s="589"/>
      <c r="B278" s="589"/>
      <c r="C278" s="589"/>
      <c r="D278" s="589"/>
      <c r="E278" s="589"/>
      <c r="F278" s="589"/>
      <c r="G278" s="2107" t="str">
        <f t="shared" si="16"/>
        <v/>
      </c>
      <c r="H278" s="589"/>
      <c r="I278" s="2098" t="str">
        <f t="shared" si="17"/>
        <v/>
      </c>
      <c r="K278" s="589"/>
      <c r="L278" s="589"/>
      <c r="M278" s="589"/>
      <c r="N278" s="589"/>
      <c r="O278" s="589"/>
      <c r="P278" s="589"/>
      <c r="Q278" s="589"/>
      <c r="R278" s="558" t="s">
        <v>1721</v>
      </c>
      <c r="S278" s="590"/>
      <c r="T278" s="591"/>
      <c r="U278" s="592"/>
      <c r="V278" s="605"/>
      <c r="W278" s="593"/>
      <c r="X278" s="594" t="s">
        <v>769</v>
      </c>
      <c r="Y278" s="595"/>
      <c r="Z278" s="605"/>
      <c r="AA278" s="596"/>
      <c r="AB278" s="597"/>
      <c r="AC278" s="594" t="s">
        <v>769</v>
      </c>
      <c r="AD278" s="595"/>
      <c r="AE278" s="589"/>
      <c r="AF278" s="589"/>
      <c r="AG278" s="589"/>
      <c r="AH278" s="589"/>
      <c r="AI278" s="589"/>
      <c r="AJ278" s="589"/>
      <c r="AK278" s="589"/>
      <c r="AL278" s="575"/>
      <c r="AM278" s="589"/>
      <c r="AN278" s="1397"/>
      <c r="AO278" s="1397"/>
      <c r="AP278" s="1397"/>
      <c r="AQ278" s="1397"/>
      <c r="AR278" s="1397"/>
      <c r="AS278" s="1397"/>
      <c r="AT278" s="1397"/>
      <c r="AU278" s="1397"/>
      <c r="AV278" s="1397"/>
      <c r="AW278" s="1397"/>
      <c r="AX278" s="1397"/>
      <c r="AY278" s="1397"/>
      <c r="AZ278" s="1397"/>
      <c r="BA278" s="1397"/>
      <c r="BB278" s="1397"/>
      <c r="BC278" s="1397"/>
      <c r="BD278" s="1397"/>
      <c r="BE278" s="1397"/>
      <c r="BF278" s="1397"/>
      <c r="BG278" s="1397"/>
      <c r="BH278" s="1397"/>
      <c r="BI278" s="1397"/>
      <c r="BJ278" s="1397"/>
      <c r="BK278" s="1397"/>
      <c r="BL278" s="1397"/>
      <c r="BM278" s="1397"/>
      <c r="BN278" s="1397"/>
    </row>
    <row r="279" spans="1:66" ht="13.5" hidden="1" outlineLevel="1" thickBot="1" x14ac:dyDescent="0.25">
      <c r="A279" s="589"/>
      <c r="B279" s="589"/>
      <c r="C279" s="589"/>
      <c r="D279" s="589"/>
      <c r="E279" s="589"/>
      <c r="F279" s="589"/>
      <c r="G279" s="2107" t="str">
        <f t="shared" si="16"/>
        <v/>
      </c>
      <c r="H279" s="589"/>
      <c r="I279" s="2098" t="str">
        <f t="shared" si="17"/>
        <v/>
      </c>
      <c r="K279" s="589"/>
      <c r="L279" s="589"/>
      <c r="M279" s="589"/>
      <c r="N279" s="589"/>
      <c r="O279" s="589"/>
      <c r="P279" s="589"/>
      <c r="Q279" s="589"/>
      <c r="R279" s="558" t="s">
        <v>1721</v>
      </c>
      <c r="S279" s="590"/>
      <c r="T279" s="591"/>
      <c r="U279" s="592"/>
      <c r="V279" s="605"/>
      <c r="W279" s="593"/>
      <c r="X279" s="594" t="s">
        <v>769</v>
      </c>
      <c r="Y279" s="595"/>
      <c r="Z279" s="605"/>
      <c r="AA279" s="596"/>
      <c r="AB279" s="597"/>
      <c r="AC279" s="594" t="s">
        <v>769</v>
      </c>
      <c r="AD279" s="595"/>
      <c r="AE279" s="589"/>
      <c r="AF279" s="589"/>
      <c r="AG279" s="589"/>
      <c r="AH279" s="589"/>
      <c r="AI279" s="589"/>
      <c r="AJ279" s="589"/>
      <c r="AK279" s="589"/>
      <c r="AL279" s="575"/>
      <c r="AM279" s="589"/>
      <c r="AN279" s="1397"/>
      <c r="AO279" s="1397"/>
      <c r="AP279" s="1397"/>
      <c r="AQ279" s="1397"/>
      <c r="AR279" s="1397"/>
      <c r="AS279" s="1397"/>
      <c r="AT279" s="1397"/>
      <c r="AU279" s="1397"/>
      <c r="AV279" s="1397"/>
      <c r="AW279" s="1397"/>
      <c r="AX279" s="1397"/>
      <c r="AY279" s="1397"/>
      <c r="AZ279" s="1397"/>
      <c r="BA279" s="1397"/>
      <c r="BB279" s="1397"/>
      <c r="BC279" s="1397"/>
      <c r="BD279" s="1397"/>
      <c r="BE279" s="1397"/>
      <c r="BF279" s="1397"/>
      <c r="BG279" s="1397"/>
      <c r="BH279" s="1397"/>
      <c r="BI279" s="1397"/>
      <c r="BJ279" s="1397"/>
      <c r="BK279" s="1397"/>
      <c r="BL279" s="1397"/>
      <c r="BM279" s="1397"/>
      <c r="BN279" s="1397"/>
    </row>
    <row r="280" spans="1:66" ht="13.5" hidden="1" outlineLevel="1" thickBot="1" x14ac:dyDescent="0.25">
      <c r="A280" s="589"/>
      <c r="B280" s="589"/>
      <c r="C280" s="589"/>
      <c r="D280" s="589"/>
      <c r="E280" s="589"/>
      <c r="F280" s="589"/>
      <c r="G280" s="2107" t="str">
        <f t="shared" si="16"/>
        <v/>
      </c>
      <c r="H280" s="589"/>
      <c r="I280" s="2098" t="str">
        <f t="shared" si="17"/>
        <v/>
      </c>
      <c r="K280" s="589"/>
      <c r="L280" s="589"/>
      <c r="M280" s="589"/>
      <c r="N280" s="589"/>
      <c r="O280" s="589"/>
      <c r="P280" s="589"/>
      <c r="Q280" s="589"/>
      <c r="R280" s="558" t="s">
        <v>1721</v>
      </c>
      <c r="S280" s="590"/>
      <c r="T280" s="591"/>
      <c r="U280" s="592"/>
      <c r="V280" s="605"/>
      <c r="W280" s="593"/>
      <c r="X280" s="594" t="s">
        <v>769</v>
      </c>
      <c r="Y280" s="595"/>
      <c r="Z280" s="605"/>
      <c r="AA280" s="596"/>
      <c r="AB280" s="597"/>
      <c r="AC280" s="594" t="s">
        <v>769</v>
      </c>
      <c r="AD280" s="595"/>
      <c r="AE280" s="589"/>
      <c r="AF280" s="589"/>
      <c r="AG280" s="589"/>
      <c r="AH280" s="589"/>
      <c r="AI280" s="589"/>
      <c r="AJ280" s="589"/>
      <c r="AK280" s="589"/>
      <c r="AL280" s="575"/>
      <c r="AM280" s="589"/>
      <c r="AN280" s="1397"/>
      <c r="AO280" s="1397"/>
      <c r="AP280" s="1397"/>
      <c r="AQ280" s="1397"/>
      <c r="AR280" s="1397"/>
      <c r="AS280" s="1397"/>
      <c r="AT280" s="1397"/>
      <c r="AU280" s="1397"/>
      <c r="AV280" s="1397"/>
      <c r="AW280" s="1397"/>
      <c r="AX280" s="1397"/>
      <c r="AY280" s="1397"/>
      <c r="AZ280" s="1397"/>
      <c r="BA280" s="1397"/>
      <c r="BB280" s="1397"/>
      <c r="BC280" s="1397"/>
      <c r="BD280" s="1397"/>
      <c r="BE280" s="1397"/>
      <c r="BF280" s="1397"/>
      <c r="BG280" s="1397"/>
      <c r="BH280" s="1397"/>
      <c r="BI280" s="1397"/>
      <c r="BJ280" s="1397"/>
      <c r="BK280" s="1397"/>
      <c r="BL280" s="1397"/>
      <c r="BM280" s="1397"/>
      <c r="BN280" s="1397"/>
    </row>
    <row r="281" spans="1:66" ht="13.5" hidden="1" outlineLevel="1" thickBot="1" x14ac:dyDescent="0.25">
      <c r="A281" s="589"/>
      <c r="B281" s="589"/>
      <c r="C281" s="589"/>
      <c r="D281" s="589"/>
      <c r="E281" s="589"/>
      <c r="F281" s="589"/>
      <c r="G281" s="2107" t="str">
        <f t="shared" si="16"/>
        <v/>
      </c>
      <c r="H281" s="589"/>
      <c r="I281" s="2098" t="str">
        <f t="shared" si="17"/>
        <v/>
      </c>
      <c r="K281" s="589"/>
      <c r="L281" s="589"/>
      <c r="M281" s="589"/>
      <c r="N281" s="589"/>
      <c r="O281" s="589"/>
      <c r="P281" s="589"/>
      <c r="Q281" s="589"/>
      <c r="R281" s="558" t="s">
        <v>1721</v>
      </c>
      <c r="S281" s="590"/>
      <c r="T281" s="591"/>
      <c r="U281" s="592"/>
      <c r="V281" s="605"/>
      <c r="W281" s="593"/>
      <c r="X281" s="594" t="s">
        <v>769</v>
      </c>
      <c r="Y281" s="595"/>
      <c r="Z281" s="605"/>
      <c r="AA281" s="596"/>
      <c r="AB281" s="597"/>
      <c r="AC281" s="594" t="s">
        <v>769</v>
      </c>
      <c r="AD281" s="595"/>
      <c r="AE281" s="589"/>
      <c r="AF281" s="589"/>
      <c r="AG281" s="589"/>
      <c r="AH281" s="589"/>
      <c r="AI281" s="589"/>
      <c r="AJ281" s="589"/>
      <c r="AK281" s="589"/>
      <c r="AL281" s="575"/>
      <c r="AM281" s="589"/>
      <c r="AN281" s="1397"/>
      <c r="AO281" s="1397"/>
      <c r="AP281" s="1397"/>
      <c r="AQ281" s="1397"/>
      <c r="AR281" s="1397"/>
      <c r="AS281" s="1397"/>
      <c r="AT281" s="1397"/>
      <c r="AU281" s="1397"/>
      <c r="AV281" s="1397"/>
      <c r="AW281" s="1397"/>
      <c r="AX281" s="1397"/>
      <c r="AY281" s="1397"/>
      <c r="AZ281" s="1397"/>
      <c r="BA281" s="1397"/>
      <c r="BB281" s="1397"/>
      <c r="BC281" s="1397"/>
      <c r="BD281" s="1397"/>
      <c r="BE281" s="1397"/>
      <c r="BF281" s="1397"/>
      <c r="BG281" s="1397"/>
      <c r="BH281" s="1397"/>
      <c r="BI281" s="1397"/>
      <c r="BJ281" s="1397"/>
      <c r="BK281" s="1397"/>
      <c r="BL281" s="1397"/>
      <c r="BM281" s="1397"/>
      <c r="BN281" s="1397"/>
    </row>
    <row r="282" spans="1:66" ht="13.5" hidden="1" outlineLevel="1" thickBot="1" x14ac:dyDescent="0.25">
      <c r="A282" s="589"/>
      <c r="B282" s="589"/>
      <c r="C282" s="589"/>
      <c r="D282" s="589"/>
      <c r="E282" s="589"/>
      <c r="F282" s="589"/>
      <c r="G282" s="2107" t="str">
        <f t="shared" si="16"/>
        <v/>
      </c>
      <c r="H282" s="589"/>
      <c r="I282" s="2098" t="str">
        <f t="shared" si="17"/>
        <v/>
      </c>
      <c r="K282" s="589"/>
      <c r="L282" s="589"/>
      <c r="M282" s="589"/>
      <c r="N282" s="589"/>
      <c r="O282" s="589"/>
      <c r="P282" s="589"/>
      <c r="Q282" s="589"/>
      <c r="R282" s="558" t="s">
        <v>1721</v>
      </c>
      <c r="S282" s="590"/>
      <c r="T282" s="591"/>
      <c r="U282" s="592"/>
      <c r="V282" s="605"/>
      <c r="W282" s="593"/>
      <c r="X282" s="594" t="s">
        <v>769</v>
      </c>
      <c r="Y282" s="595"/>
      <c r="Z282" s="605"/>
      <c r="AA282" s="596"/>
      <c r="AB282" s="597"/>
      <c r="AC282" s="594" t="s">
        <v>769</v>
      </c>
      <c r="AD282" s="595"/>
      <c r="AE282" s="589"/>
      <c r="AF282" s="589"/>
      <c r="AG282" s="589"/>
      <c r="AH282" s="589"/>
      <c r="AI282" s="589"/>
      <c r="AJ282" s="589"/>
      <c r="AK282" s="589"/>
      <c r="AL282" s="575"/>
      <c r="AM282" s="589"/>
      <c r="AN282" s="1397"/>
      <c r="AO282" s="1397"/>
      <c r="AP282" s="1397"/>
      <c r="AQ282" s="1397"/>
      <c r="AR282" s="1397"/>
      <c r="AS282" s="1397"/>
      <c r="AT282" s="1397"/>
      <c r="AU282" s="1397"/>
      <c r="AV282" s="1397"/>
      <c r="AW282" s="1397"/>
      <c r="AX282" s="1397"/>
      <c r="AY282" s="1397"/>
      <c r="AZ282" s="1397"/>
      <c r="BA282" s="1397"/>
      <c r="BB282" s="1397"/>
      <c r="BC282" s="1397"/>
      <c r="BD282" s="1397"/>
      <c r="BE282" s="1397"/>
      <c r="BF282" s="1397"/>
      <c r="BG282" s="1397"/>
      <c r="BH282" s="1397"/>
      <c r="BI282" s="1397"/>
      <c r="BJ282" s="1397"/>
      <c r="BK282" s="1397"/>
      <c r="BL282" s="1397"/>
      <c r="BM282" s="1397"/>
      <c r="BN282" s="1397"/>
    </row>
    <row r="283" spans="1:66" ht="13.5" hidden="1" outlineLevel="1" thickBot="1" x14ac:dyDescent="0.25">
      <c r="A283" s="589"/>
      <c r="B283" s="589"/>
      <c r="C283" s="589"/>
      <c r="D283" s="589"/>
      <c r="E283" s="589"/>
      <c r="F283" s="589"/>
      <c r="G283" s="2107" t="str">
        <f t="shared" si="16"/>
        <v/>
      </c>
      <c r="H283" s="589"/>
      <c r="I283" s="2098" t="str">
        <f t="shared" si="17"/>
        <v/>
      </c>
      <c r="K283" s="589"/>
      <c r="L283" s="589"/>
      <c r="M283" s="589"/>
      <c r="N283" s="589"/>
      <c r="O283" s="589"/>
      <c r="P283" s="589"/>
      <c r="Q283" s="589"/>
      <c r="R283" s="558" t="s">
        <v>1721</v>
      </c>
      <c r="S283" s="590"/>
      <c r="T283" s="591"/>
      <c r="U283" s="592"/>
      <c r="V283" s="605"/>
      <c r="W283" s="593"/>
      <c r="X283" s="594" t="s">
        <v>769</v>
      </c>
      <c r="Y283" s="595"/>
      <c r="Z283" s="605"/>
      <c r="AA283" s="596"/>
      <c r="AB283" s="597"/>
      <c r="AC283" s="594" t="s">
        <v>769</v>
      </c>
      <c r="AD283" s="595"/>
      <c r="AE283" s="589"/>
      <c r="AF283" s="589"/>
      <c r="AG283" s="589"/>
      <c r="AH283" s="589"/>
      <c r="AI283" s="589"/>
      <c r="AJ283" s="589"/>
      <c r="AK283" s="589"/>
      <c r="AL283" s="575"/>
      <c r="AM283" s="589"/>
      <c r="AN283" s="1397"/>
      <c r="AO283" s="1397"/>
      <c r="AP283" s="1397"/>
      <c r="AQ283" s="1397"/>
      <c r="AR283" s="1397"/>
      <c r="AS283" s="1397"/>
      <c r="AT283" s="1397"/>
      <c r="AU283" s="1397"/>
      <c r="AV283" s="1397"/>
      <c r="AW283" s="1397"/>
      <c r="AX283" s="1397"/>
      <c r="AY283" s="1397"/>
      <c r="AZ283" s="1397"/>
      <c r="BA283" s="1397"/>
      <c r="BB283" s="1397"/>
      <c r="BC283" s="1397"/>
      <c r="BD283" s="1397"/>
      <c r="BE283" s="1397"/>
      <c r="BF283" s="1397"/>
      <c r="BG283" s="1397"/>
      <c r="BH283" s="1397"/>
      <c r="BI283" s="1397"/>
      <c r="BJ283" s="1397"/>
      <c r="BK283" s="1397"/>
      <c r="BL283" s="1397"/>
      <c r="BM283" s="1397"/>
      <c r="BN283" s="1397"/>
    </row>
    <row r="284" spans="1:66" ht="13.5" hidden="1" outlineLevel="1" thickBot="1" x14ac:dyDescent="0.25">
      <c r="A284" s="589"/>
      <c r="B284" s="589"/>
      <c r="C284" s="589"/>
      <c r="D284" s="589"/>
      <c r="E284" s="589"/>
      <c r="F284" s="589"/>
      <c r="G284" s="2107" t="str">
        <f t="shared" si="16"/>
        <v/>
      </c>
      <c r="H284" s="589"/>
      <c r="I284" s="2098" t="str">
        <f t="shared" si="17"/>
        <v/>
      </c>
      <c r="K284" s="589"/>
      <c r="L284" s="589"/>
      <c r="M284" s="589"/>
      <c r="N284" s="589"/>
      <c r="O284" s="589"/>
      <c r="P284" s="589"/>
      <c r="Q284" s="589"/>
      <c r="R284" s="558" t="s">
        <v>1721</v>
      </c>
      <c r="S284" s="590"/>
      <c r="T284" s="591"/>
      <c r="U284" s="592"/>
      <c r="V284" s="605"/>
      <c r="W284" s="593"/>
      <c r="X284" s="594" t="s">
        <v>769</v>
      </c>
      <c r="Y284" s="595"/>
      <c r="Z284" s="605"/>
      <c r="AA284" s="596"/>
      <c r="AB284" s="597"/>
      <c r="AC284" s="594" t="s">
        <v>769</v>
      </c>
      <c r="AD284" s="595"/>
      <c r="AE284" s="589"/>
      <c r="AF284" s="589"/>
      <c r="AG284" s="589"/>
      <c r="AH284" s="589"/>
      <c r="AI284" s="589"/>
      <c r="AJ284" s="589"/>
      <c r="AK284" s="589"/>
      <c r="AL284" s="575"/>
      <c r="AM284" s="589"/>
      <c r="AN284" s="1397"/>
      <c r="AO284" s="1397"/>
      <c r="AP284" s="1397"/>
      <c r="AQ284" s="1397"/>
      <c r="AR284" s="1397"/>
      <c r="AS284" s="1397"/>
      <c r="AT284" s="1397"/>
      <c r="AU284" s="1397"/>
      <c r="AV284" s="1397"/>
      <c r="AW284" s="1397"/>
      <c r="AX284" s="1397"/>
      <c r="AY284" s="1397"/>
      <c r="AZ284" s="1397"/>
      <c r="BA284" s="1397"/>
      <c r="BB284" s="1397"/>
      <c r="BC284" s="1397"/>
      <c r="BD284" s="1397"/>
      <c r="BE284" s="1397"/>
      <c r="BF284" s="1397"/>
      <c r="BG284" s="1397"/>
      <c r="BH284" s="1397"/>
      <c r="BI284" s="1397"/>
      <c r="BJ284" s="1397"/>
      <c r="BK284" s="1397"/>
      <c r="BL284" s="1397"/>
      <c r="BM284" s="1397"/>
      <c r="BN284" s="1397"/>
    </row>
    <row r="285" spans="1:66" ht="13.5" hidden="1" outlineLevel="1" thickBot="1" x14ac:dyDescent="0.25">
      <c r="A285" s="589"/>
      <c r="B285" s="589"/>
      <c r="C285" s="589"/>
      <c r="D285" s="589"/>
      <c r="E285" s="589"/>
      <c r="F285" s="589"/>
      <c r="G285" s="2107" t="str">
        <f t="shared" si="16"/>
        <v/>
      </c>
      <c r="H285" s="589"/>
      <c r="I285" s="2098" t="str">
        <f t="shared" si="17"/>
        <v/>
      </c>
      <c r="K285" s="589"/>
      <c r="L285" s="589"/>
      <c r="M285" s="589"/>
      <c r="N285" s="589"/>
      <c r="O285" s="589"/>
      <c r="P285" s="589"/>
      <c r="Q285" s="589"/>
      <c r="R285" s="558" t="s">
        <v>1721</v>
      </c>
      <c r="S285" s="590"/>
      <c r="T285" s="591"/>
      <c r="U285" s="592"/>
      <c r="V285" s="605"/>
      <c r="W285" s="593"/>
      <c r="X285" s="594" t="s">
        <v>769</v>
      </c>
      <c r="Y285" s="595"/>
      <c r="Z285" s="605"/>
      <c r="AA285" s="596"/>
      <c r="AB285" s="597"/>
      <c r="AC285" s="594" t="s">
        <v>769</v>
      </c>
      <c r="AD285" s="595"/>
      <c r="AE285" s="589"/>
      <c r="AF285" s="589"/>
      <c r="AG285" s="589"/>
      <c r="AH285" s="589"/>
      <c r="AI285" s="589"/>
      <c r="AJ285" s="589"/>
      <c r="AK285" s="589"/>
      <c r="AL285" s="575"/>
      <c r="AM285" s="589"/>
      <c r="AN285" s="1397"/>
      <c r="AO285" s="1397"/>
      <c r="AP285" s="1397"/>
      <c r="AQ285" s="1397"/>
      <c r="AR285" s="1397"/>
      <c r="AS285" s="1397"/>
      <c r="AT285" s="1397"/>
      <c r="AU285" s="1397"/>
      <c r="AV285" s="1397"/>
      <c r="AW285" s="1397"/>
      <c r="AX285" s="1397"/>
      <c r="AY285" s="1397"/>
      <c r="AZ285" s="1397"/>
      <c r="BA285" s="1397"/>
      <c r="BB285" s="1397"/>
      <c r="BC285" s="1397"/>
      <c r="BD285" s="1397"/>
      <c r="BE285" s="1397"/>
      <c r="BF285" s="1397"/>
      <c r="BG285" s="1397"/>
      <c r="BH285" s="1397"/>
      <c r="BI285" s="1397"/>
      <c r="BJ285" s="1397"/>
      <c r="BK285" s="1397"/>
      <c r="BL285" s="1397"/>
      <c r="BM285" s="1397"/>
      <c r="BN285" s="1397"/>
    </row>
    <row r="286" spans="1:66" ht="13.5" hidden="1" outlineLevel="1" thickBot="1" x14ac:dyDescent="0.25">
      <c r="A286" s="589"/>
      <c r="B286" s="589"/>
      <c r="C286" s="589"/>
      <c r="D286" s="589"/>
      <c r="E286" s="589"/>
      <c r="F286" s="589"/>
      <c r="G286" s="2107" t="str">
        <f t="shared" si="16"/>
        <v/>
      </c>
      <c r="H286" s="589"/>
      <c r="I286" s="2098" t="str">
        <f t="shared" si="17"/>
        <v/>
      </c>
      <c r="K286" s="589"/>
      <c r="L286" s="589"/>
      <c r="M286" s="589"/>
      <c r="N286" s="589"/>
      <c r="O286" s="589"/>
      <c r="P286" s="589"/>
      <c r="Q286" s="589"/>
      <c r="R286" s="558" t="s">
        <v>1721</v>
      </c>
      <c r="S286" s="590"/>
      <c r="T286" s="591"/>
      <c r="U286" s="592"/>
      <c r="V286" s="605"/>
      <c r="W286" s="593"/>
      <c r="X286" s="594" t="s">
        <v>769</v>
      </c>
      <c r="Y286" s="595"/>
      <c r="Z286" s="605"/>
      <c r="AA286" s="596"/>
      <c r="AB286" s="597"/>
      <c r="AC286" s="594" t="s">
        <v>769</v>
      </c>
      <c r="AD286" s="595"/>
      <c r="AE286" s="589"/>
      <c r="AF286" s="589"/>
      <c r="AG286" s="589"/>
      <c r="AH286" s="589"/>
      <c r="AI286" s="589"/>
      <c r="AJ286" s="589"/>
      <c r="AK286" s="589"/>
      <c r="AL286" s="575"/>
      <c r="AM286" s="589"/>
      <c r="AN286" s="1397"/>
      <c r="AO286" s="1397"/>
      <c r="AP286" s="1397"/>
      <c r="AQ286" s="1397"/>
      <c r="AR286" s="1397"/>
      <c r="AS286" s="1397"/>
      <c r="AT286" s="1397"/>
      <c r="AU286" s="1397"/>
      <c r="AV286" s="1397"/>
      <c r="AW286" s="1397"/>
      <c r="AX286" s="1397"/>
      <c r="AY286" s="1397"/>
      <c r="AZ286" s="1397"/>
      <c r="BA286" s="1397"/>
      <c r="BB286" s="1397"/>
      <c r="BC286" s="1397"/>
      <c r="BD286" s="1397"/>
      <c r="BE286" s="1397"/>
      <c r="BF286" s="1397"/>
      <c r="BG286" s="1397"/>
      <c r="BH286" s="1397"/>
      <c r="BI286" s="1397"/>
      <c r="BJ286" s="1397"/>
      <c r="BK286" s="1397"/>
      <c r="BL286" s="1397"/>
      <c r="BM286" s="1397"/>
      <c r="BN286" s="1397"/>
    </row>
    <row r="287" spans="1:66" ht="13.5" hidden="1" outlineLevel="1" thickBot="1" x14ac:dyDescent="0.25">
      <c r="A287" s="589"/>
      <c r="B287" s="589"/>
      <c r="C287" s="589"/>
      <c r="D287" s="589"/>
      <c r="E287" s="589"/>
      <c r="F287" s="589"/>
      <c r="G287" s="2107" t="str">
        <f t="shared" si="16"/>
        <v/>
      </c>
      <c r="H287" s="589"/>
      <c r="I287" s="2098" t="str">
        <f t="shared" si="17"/>
        <v/>
      </c>
      <c r="K287" s="589"/>
      <c r="L287" s="589"/>
      <c r="M287" s="589"/>
      <c r="N287" s="589"/>
      <c r="O287" s="589"/>
      <c r="P287" s="589"/>
      <c r="Q287" s="589"/>
      <c r="R287" s="558" t="s">
        <v>1721</v>
      </c>
      <c r="S287" s="590"/>
      <c r="T287" s="591"/>
      <c r="U287" s="599"/>
      <c r="V287" s="605"/>
      <c r="W287" s="593"/>
      <c r="X287" s="594" t="s">
        <v>769</v>
      </c>
      <c r="Y287" s="595"/>
      <c r="Z287" s="605"/>
      <c r="AA287" s="596"/>
      <c r="AB287" s="597"/>
      <c r="AC287" s="594" t="s">
        <v>769</v>
      </c>
      <c r="AD287" s="595"/>
      <c r="AE287" s="589"/>
      <c r="AF287" s="589"/>
      <c r="AG287" s="589"/>
      <c r="AH287" s="589"/>
      <c r="AI287" s="589"/>
      <c r="AJ287" s="589"/>
      <c r="AK287" s="589"/>
      <c r="AL287" s="575"/>
      <c r="AM287" s="589"/>
      <c r="AN287" s="1397"/>
      <c r="AO287" s="1397"/>
      <c r="AP287" s="1397"/>
      <c r="AQ287" s="1397"/>
      <c r="AR287" s="1397"/>
      <c r="AS287" s="1397"/>
      <c r="AT287" s="1397"/>
      <c r="AU287" s="1397"/>
      <c r="AV287" s="1397"/>
      <c r="AW287" s="1397"/>
      <c r="AX287" s="1397"/>
      <c r="AY287" s="1397"/>
      <c r="AZ287" s="1397"/>
      <c r="BA287" s="1397"/>
      <c r="BB287" s="1397"/>
      <c r="BC287" s="1397"/>
      <c r="BD287" s="1397"/>
      <c r="BE287" s="1397"/>
      <c r="BF287" s="1397"/>
      <c r="BG287" s="1397"/>
      <c r="BH287" s="1397"/>
      <c r="BI287" s="1397"/>
      <c r="BJ287" s="1397"/>
      <c r="BK287" s="1397"/>
      <c r="BL287" s="1397"/>
      <c r="BM287" s="1397"/>
      <c r="BN287" s="1397"/>
    </row>
    <row r="288" spans="1:66" ht="13.5" hidden="1" outlineLevel="1" thickBot="1" x14ac:dyDescent="0.25">
      <c r="A288" s="589"/>
      <c r="B288" s="589"/>
      <c r="C288" s="589"/>
      <c r="D288" s="589"/>
      <c r="E288" s="589"/>
      <c r="F288" s="589"/>
      <c r="G288" s="2107" t="str">
        <f t="shared" si="16"/>
        <v/>
      </c>
      <c r="H288" s="589"/>
      <c r="I288" s="2098" t="str">
        <f t="shared" si="17"/>
        <v/>
      </c>
      <c r="K288" s="589"/>
      <c r="L288" s="589"/>
      <c r="M288" s="589"/>
      <c r="N288" s="589"/>
      <c r="O288" s="589"/>
      <c r="P288" s="589"/>
      <c r="Q288" s="589"/>
      <c r="R288" s="558" t="s">
        <v>1721</v>
      </c>
      <c r="S288" s="590"/>
      <c r="T288" s="591"/>
      <c r="U288" s="599"/>
      <c r="V288" s="605"/>
      <c r="W288" s="600"/>
      <c r="X288" s="601" t="s">
        <v>769</v>
      </c>
      <c r="Y288" s="602"/>
      <c r="Z288" s="605"/>
      <c r="AA288" s="596"/>
      <c r="AB288" s="603"/>
      <c r="AC288" s="601" t="s">
        <v>769</v>
      </c>
      <c r="AD288" s="602"/>
      <c r="AE288" s="589"/>
      <c r="AF288" s="589"/>
      <c r="AG288" s="589"/>
      <c r="AH288" s="589"/>
      <c r="AI288" s="589"/>
      <c r="AJ288" s="589"/>
      <c r="AK288" s="589"/>
      <c r="AL288" s="575"/>
      <c r="AM288" s="589"/>
      <c r="AN288" s="1397"/>
      <c r="AO288" s="1397"/>
      <c r="AP288" s="1397"/>
      <c r="AQ288" s="1397"/>
      <c r="AR288" s="1397"/>
      <c r="AS288" s="1397"/>
      <c r="AT288" s="1397"/>
      <c r="AU288" s="1397"/>
      <c r="AV288" s="1397"/>
      <c r="AW288" s="1397"/>
      <c r="AX288" s="1397"/>
      <c r="AY288" s="1397"/>
      <c r="AZ288" s="1397"/>
      <c r="BA288" s="1397"/>
      <c r="BB288" s="1397"/>
      <c r="BC288" s="1397"/>
      <c r="BD288" s="1397"/>
      <c r="BE288" s="1397"/>
      <c r="BF288" s="1397"/>
      <c r="BG288" s="1397"/>
      <c r="BH288" s="1397"/>
      <c r="BI288" s="1397"/>
      <c r="BJ288" s="1397"/>
      <c r="BK288" s="1397"/>
      <c r="BL288" s="1397"/>
      <c r="BM288" s="1397"/>
      <c r="BN288" s="1397"/>
    </row>
    <row r="289" spans="1:66" ht="13.5" hidden="1" outlineLevel="1" thickBot="1" x14ac:dyDescent="0.25">
      <c r="A289" s="589"/>
      <c r="B289" s="589"/>
      <c r="C289" s="589"/>
      <c r="D289" s="589"/>
      <c r="E289" s="589"/>
      <c r="F289" s="589"/>
      <c r="G289" s="2107" t="str">
        <f t="shared" si="16"/>
        <v/>
      </c>
      <c r="H289" s="589"/>
      <c r="I289" s="2098" t="str">
        <f t="shared" si="17"/>
        <v/>
      </c>
      <c r="K289" s="589"/>
      <c r="L289" s="589"/>
      <c r="M289" s="589"/>
      <c r="N289" s="589"/>
      <c r="O289" s="589"/>
      <c r="P289" s="589"/>
      <c r="Q289" s="589"/>
      <c r="R289" s="558" t="s">
        <v>1721</v>
      </c>
      <c r="S289" s="590"/>
      <c r="T289" s="591"/>
      <c r="U289" s="592"/>
      <c r="V289" s="605"/>
      <c r="W289" s="593"/>
      <c r="X289" s="594" t="s">
        <v>769</v>
      </c>
      <c r="Y289" s="595"/>
      <c r="Z289" s="605"/>
      <c r="AA289" s="596"/>
      <c r="AB289" s="597"/>
      <c r="AC289" s="594" t="s">
        <v>769</v>
      </c>
      <c r="AD289" s="595"/>
      <c r="AE289" s="589"/>
      <c r="AF289" s="589"/>
      <c r="AG289" s="589"/>
      <c r="AH289" s="589"/>
      <c r="AI289" s="589"/>
      <c r="AJ289" s="589"/>
      <c r="AK289" s="589"/>
      <c r="AL289" s="575"/>
      <c r="AM289" s="589"/>
      <c r="AN289" s="1397"/>
      <c r="AO289" s="1397"/>
      <c r="AP289" s="1397"/>
      <c r="AQ289" s="1397"/>
      <c r="AR289" s="1397"/>
      <c r="AS289" s="1397"/>
      <c r="AT289" s="1397"/>
      <c r="AU289" s="1397"/>
      <c r="AV289" s="1397"/>
      <c r="AW289" s="1397"/>
      <c r="AX289" s="1397"/>
      <c r="AY289" s="1397"/>
      <c r="AZ289" s="1397"/>
      <c r="BA289" s="1397"/>
      <c r="BB289" s="1397"/>
      <c r="BC289" s="1397"/>
      <c r="BD289" s="1397"/>
      <c r="BE289" s="1397"/>
      <c r="BF289" s="1397"/>
      <c r="BG289" s="1397"/>
      <c r="BH289" s="1397"/>
      <c r="BI289" s="1397"/>
      <c r="BJ289" s="1397"/>
      <c r="BK289" s="1397"/>
      <c r="BL289" s="1397"/>
      <c r="BM289" s="1397"/>
      <c r="BN289" s="1397"/>
    </row>
    <row r="290" spans="1:66" ht="13.5" hidden="1" outlineLevel="1" thickBot="1" x14ac:dyDescent="0.25">
      <c r="A290" s="589"/>
      <c r="B290" s="589"/>
      <c r="C290" s="589"/>
      <c r="D290" s="589"/>
      <c r="E290" s="589"/>
      <c r="F290" s="589"/>
      <c r="G290" s="2107" t="str">
        <f t="shared" si="16"/>
        <v/>
      </c>
      <c r="H290" s="589"/>
      <c r="I290" s="2098" t="str">
        <f t="shared" si="17"/>
        <v/>
      </c>
      <c r="K290" s="589"/>
      <c r="L290" s="589"/>
      <c r="M290" s="589"/>
      <c r="N290" s="589"/>
      <c r="O290" s="589"/>
      <c r="P290" s="589"/>
      <c r="Q290" s="589"/>
      <c r="R290" s="558" t="s">
        <v>1721</v>
      </c>
      <c r="S290" s="590"/>
      <c r="T290" s="591"/>
      <c r="U290" s="592"/>
      <c r="V290" s="605"/>
      <c r="W290" s="593"/>
      <c r="X290" s="594" t="s">
        <v>769</v>
      </c>
      <c r="Y290" s="595"/>
      <c r="Z290" s="605"/>
      <c r="AA290" s="596"/>
      <c r="AB290" s="597"/>
      <c r="AC290" s="594" t="s">
        <v>769</v>
      </c>
      <c r="AD290" s="595"/>
      <c r="AE290" s="589"/>
      <c r="AF290" s="589"/>
      <c r="AG290" s="589"/>
      <c r="AH290" s="589"/>
      <c r="AI290" s="589"/>
      <c r="AJ290" s="589"/>
      <c r="AK290" s="589"/>
      <c r="AL290" s="575"/>
      <c r="AM290" s="589"/>
      <c r="AN290" s="1397"/>
      <c r="AO290" s="1397"/>
      <c r="AP290" s="1397"/>
      <c r="AQ290" s="1397"/>
      <c r="AR290" s="1397"/>
      <c r="AS290" s="1397"/>
      <c r="AT290" s="1397"/>
      <c r="AU290" s="1397"/>
      <c r="AV290" s="1397"/>
      <c r="AW290" s="1397"/>
      <c r="AX290" s="1397"/>
      <c r="AY290" s="1397"/>
      <c r="AZ290" s="1397"/>
      <c r="BA290" s="1397"/>
      <c r="BB290" s="1397"/>
      <c r="BC290" s="1397"/>
      <c r="BD290" s="1397"/>
      <c r="BE290" s="1397"/>
      <c r="BF290" s="1397"/>
      <c r="BG290" s="1397"/>
      <c r="BH290" s="1397"/>
      <c r="BI290" s="1397"/>
      <c r="BJ290" s="1397"/>
      <c r="BK290" s="1397"/>
      <c r="BL290" s="1397"/>
      <c r="BM290" s="1397"/>
      <c r="BN290" s="1397"/>
    </row>
    <row r="291" spans="1:66" ht="13.5" hidden="1" outlineLevel="1" thickBot="1" x14ac:dyDescent="0.25">
      <c r="A291" s="589"/>
      <c r="B291" s="589"/>
      <c r="C291" s="589"/>
      <c r="D291" s="589"/>
      <c r="E291" s="589"/>
      <c r="F291" s="589"/>
      <c r="G291" s="2107" t="str">
        <f t="shared" si="16"/>
        <v/>
      </c>
      <c r="H291" s="589"/>
      <c r="I291" s="2098" t="str">
        <f t="shared" si="17"/>
        <v/>
      </c>
      <c r="K291" s="589"/>
      <c r="L291" s="589"/>
      <c r="M291" s="589"/>
      <c r="N291" s="589"/>
      <c r="O291" s="589"/>
      <c r="P291" s="589"/>
      <c r="Q291" s="589"/>
      <c r="R291" s="558" t="s">
        <v>1721</v>
      </c>
      <c r="S291" s="590"/>
      <c r="T291" s="591"/>
      <c r="U291" s="592"/>
      <c r="V291" s="605"/>
      <c r="W291" s="593"/>
      <c r="X291" s="594" t="s">
        <v>769</v>
      </c>
      <c r="Y291" s="595"/>
      <c r="Z291" s="605"/>
      <c r="AA291" s="596"/>
      <c r="AB291" s="597"/>
      <c r="AC291" s="594" t="s">
        <v>769</v>
      </c>
      <c r="AD291" s="595"/>
      <c r="AE291" s="589"/>
      <c r="AF291" s="589"/>
      <c r="AG291" s="589"/>
      <c r="AH291" s="589"/>
      <c r="AI291" s="589"/>
      <c r="AJ291" s="589"/>
      <c r="AK291" s="589"/>
      <c r="AL291" s="575"/>
      <c r="AM291" s="589"/>
      <c r="AN291" s="1397"/>
      <c r="AO291" s="1397"/>
      <c r="AP291" s="1397"/>
      <c r="AQ291" s="1397"/>
      <c r="AR291" s="1397"/>
      <c r="AS291" s="1397"/>
      <c r="AT291" s="1397"/>
      <c r="AU291" s="1397"/>
      <c r="AV291" s="1397"/>
      <c r="AW291" s="1397"/>
      <c r="AX291" s="1397"/>
      <c r="AY291" s="1397"/>
      <c r="AZ291" s="1397"/>
      <c r="BA291" s="1397"/>
      <c r="BB291" s="1397"/>
      <c r="BC291" s="1397"/>
      <c r="BD291" s="1397"/>
      <c r="BE291" s="1397"/>
      <c r="BF291" s="1397"/>
      <c r="BG291" s="1397"/>
      <c r="BH291" s="1397"/>
      <c r="BI291" s="1397"/>
      <c r="BJ291" s="1397"/>
      <c r="BK291" s="1397"/>
      <c r="BL291" s="1397"/>
      <c r="BM291" s="1397"/>
      <c r="BN291" s="1397"/>
    </row>
    <row r="292" spans="1:66" ht="13.5" hidden="1" outlineLevel="1" thickBot="1" x14ac:dyDescent="0.25">
      <c r="A292" s="589"/>
      <c r="B292" s="589"/>
      <c r="C292" s="589"/>
      <c r="D292" s="589"/>
      <c r="E292" s="589"/>
      <c r="F292" s="589"/>
      <c r="G292" s="589"/>
      <c r="H292" s="589"/>
      <c r="I292" s="589"/>
      <c r="J292" s="589"/>
      <c r="K292" s="589"/>
      <c r="L292" s="589"/>
      <c r="M292" s="589"/>
      <c r="N292" s="589"/>
      <c r="O292" s="589"/>
      <c r="P292" s="589"/>
      <c r="Q292" s="589"/>
      <c r="R292" s="558"/>
      <c r="S292" s="589"/>
      <c r="T292" s="589"/>
      <c r="U292" s="589"/>
      <c r="V292" s="589"/>
      <c r="W292" s="589"/>
      <c r="X292" s="589"/>
      <c r="Y292" s="589"/>
      <c r="Z292" s="589"/>
      <c r="AA292" s="589"/>
      <c r="AB292" s="589"/>
      <c r="AC292" s="589"/>
      <c r="AD292" s="589"/>
      <c r="AE292" s="589"/>
      <c r="AF292" s="589"/>
      <c r="AG292" s="589"/>
      <c r="AH292" s="589"/>
      <c r="AI292" s="589"/>
      <c r="AJ292" s="589"/>
      <c r="AK292" s="589"/>
      <c r="AL292" s="575"/>
      <c r="AM292" s="589"/>
      <c r="AN292" s="1397"/>
      <c r="AO292" s="1397"/>
      <c r="AP292" s="1397"/>
      <c r="AQ292" s="1397"/>
      <c r="AR292" s="1397"/>
      <c r="AS292" s="1397"/>
      <c r="AT292" s="1397"/>
      <c r="AU292" s="1397"/>
      <c r="AV292" s="1397"/>
      <c r="AW292" s="1397"/>
      <c r="AX292" s="1397"/>
      <c r="AY292" s="1397"/>
      <c r="AZ292" s="1397"/>
      <c r="BA292" s="1397"/>
      <c r="BB292" s="1397"/>
      <c r="BC292" s="1397"/>
      <c r="BD292" s="1397"/>
      <c r="BE292" s="1397"/>
      <c r="BF292" s="1397"/>
      <c r="BG292" s="1397"/>
      <c r="BH292" s="1397"/>
      <c r="BI292" s="1397"/>
      <c r="BJ292" s="1397"/>
      <c r="BK292" s="1397"/>
      <c r="BL292" s="1397"/>
      <c r="BM292" s="1397"/>
      <c r="BN292" s="1397"/>
    </row>
    <row r="293" spans="1:66" ht="13.5" collapsed="1" thickBot="1" x14ac:dyDescent="0.25">
      <c r="A293" s="589"/>
      <c r="B293" s="2385" t="str">
        <f>N__1_8_DE_FINALE</f>
        <v>1/8 DE FINALE</v>
      </c>
      <c r="C293" s="2386"/>
      <c r="D293" s="2386"/>
      <c r="E293" s="2386"/>
      <c r="F293" s="2386"/>
      <c r="G293" s="2386"/>
      <c r="H293" s="2386"/>
      <c r="I293" s="2386"/>
      <c r="J293" s="2386"/>
      <c r="K293" s="2386"/>
      <c r="L293" s="2386"/>
      <c r="M293" s="2386"/>
      <c r="N293" s="2386"/>
      <c r="O293" s="2386"/>
      <c r="P293" s="2386"/>
      <c r="Q293" s="2386"/>
      <c r="R293" s="2386"/>
      <c r="S293" s="2386"/>
      <c r="T293" s="2386"/>
      <c r="U293" s="2386"/>
      <c r="V293" s="2386"/>
      <c r="W293" s="2386"/>
      <c r="X293" s="2386"/>
      <c r="Y293" s="2386"/>
      <c r="Z293" s="2386"/>
      <c r="AA293" s="2386"/>
      <c r="AB293" s="2386"/>
      <c r="AC293" s="2386"/>
      <c r="AD293" s="2386"/>
      <c r="AE293" s="2386"/>
      <c r="AF293" s="2386"/>
      <c r="AG293" s="2386"/>
      <c r="AH293" s="2386"/>
      <c r="AI293" s="2386"/>
      <c r="AJ293" s="2386"/>
      <c r="AK293" s="2386"/>
      <c r="AL293" s="2387"/>
      <c r="AM293" s="589"/>
      <c r="AN293" s="1397"/>
      <c r="AO293" s="1397"/>
      <c r="AP293" s="1397"/>
      <c r="AQ293" s="1397"/>
      <c r="AR293" s="1397"/>
      <c r="AS293" s="1397"/>
      <c r="AT293" s="1397"/>
      <c r="AU293" s="1397"/>
      <c r="AV293" s="1397"/>
      <c r="AW293" s="1397"/>
      <c r="AX293" s="1397"/>
      <c r="AY293" s="1397"/>
      <c r="AZ293" s="1397"/>
      <c r="BA293" s="1397"/>
      <c r="BB293" s="1397"/>
      <c r="BC293" s="1397"/>
      <c r="BD293" s="1397"/>
      <c r="BE293" s="1397"/>
      <c r="BF293" s="1397"/>
      <c r="BG293" s="1397"/>
      <c r="BH293" s="1397"/>
      <c r="BI293" s="1397"/>
      <c r="BJ293" s="1397"/>
      <c r="BK293" s="1397"/>
      <c r="BL293" s="1397"/>
      <c r="BM293" s="1397"/>
      <c r="BN293" s="1397"/>
    </row>
    <row r="294" spans="1:66" ht="13.5" hidden="1" outlineLevel="1" thickBot="1" x14ac:dyDescent="0.25">
      <c r="A294" s="589"/>
      <c r="B294" s="589"/>
      <c r="C294" s="589"/>
      <c r="D294" s="589"/>
      <c r="E294" s="589"/>
      <c r="F294" s="589"/>
      <c r="G294" s="606" t="str">
        <f>N_Qualifiés</f>
        <v>Qualifiés</v>
      </c>
      <c r="H294" s="589"/>
      <c r="I294" s="2093" t="str">
        <f>N_Disqualified</f>
        <v>Disqualifiés</v>
      </c>
      <c r="J294" s="589"/>
      <c r="K294" s="589"/>
      <c r="L294" s="589"/>
      <c r="M294" s="589"/>
      <c r="N294" s="589"/>
      <c r="O294" s="589"/>
      <c r="P294" s="589"/>
      <c r="Q294" s="589"/>
      <c r="R294" s="558"/>
      <c r="S294" s="607" t="str">
        <f>N_Heure</f>
        <v>Heure</v>
      </c>
      <c r="T294" s="607" t="str">
        <f>N_Table</f>
        <v>Table</v>
      </c>
      <c r="U294" s="607" t="str">
        <f>N_Arbitre</f>
        <v>Arbitre</v>
      </c>
      <c r="V294" s="608"/>
      <c r="W294" s="2349" t="str">
        <f>N_Scores</f>
        <v>Scores</v>
      </c>
      <c r="X294" s="2350"/>
      <c r="Y294" s="2351"/>
      <c r="Z294" s="609"/>
      <c r="AA294" s="606" t="str">
        <f>N_MS</f>
        <v>MS</v>
      </c>
      <c r="AB294" s="2346" t="str">
        <f>N_Diff</f>
        <v>Diff</v>
      </c>
      <c r="AC294" s="2347"/>
      <c r="AD294" s="2348"/>
      <c r="AE294" s="589"/>
      <c r="AF294" s="589"/>
      <c r="AG294" s="589"/>
      <c r="AH294" s="589"/>
      <c r="AI294" s="589"/>
      <c r="AJ294" s="589"/>
      <c r="AK294" s="589"/>
      <c r="AL294" s="575"/>
      <c r="AM294" s="589"/>
      <c r="AN294" s="1397"/>
      <c r="AO294" s="1397"/>
      <c r="AP294" s="1397"/>
      <c r="AQ294" s="1397"/>
      <c r="AR294" s="1397"/>
      <c r="AS294" s="1397"/>
      <c r="AT294" s="1397"/>
      <c r="AU294" s="1397"/>
      <c r="AV294" s="1397"/>
      <c r="AW294" s="1397"/>
      <c r="AX294" s="1397"/>
      <c r="AY294" s="1397"/>
      <c r="AZ294" s="1397"/>
      <c r="BA294" s="1397"/>
      <c r="BB294" s="1397"/>
      <c r="BC294" s="1397"/>
      <c r="BD294" s="1397"/>
      <c r="BE294" s="1397"/>
      <c r="BF294" s="1397"/>
      <c r="BG294" s="1397"/>
      <c r="BH294" s="1397"/>
      <c r="BI294" s="1397"/>
      <c r="BJ294" s="1397"/>
      <c r="BK294" s="1397"/>
      <c r="BL294" s="1397"/>
      <c r="BM294" s="1397"/>
      <c r="BN294" s="1397"/>
    </row>
    <row r="295" spans="1:66" ht="13.5" hidden="1" outlineLevel="1" thickBot="1" x14ac:dyDescent="0.25">
      <c r="A295" s="589"/>
      <c r="B295" s="589"/>
      <c r="C295" s="589"/>
      <c r="D295" s="589"/>
      <c r="E295" s="589"/>
      <c r="F295" s="589"/>
      <c r="G295" s="2106" t="str">
        <f t="shared" ref="G295:G302" si="18">IF(W295="",IF(OR(HidePlayerFormulas,V295=""),"","("&amp;V295&amp;"-"&amp;Z295&amp;")"),IF(W295&gt;Y295,V295,IF(Y295&gt;W295,Z295,IF(AB295&gt;AD295,V295,IF(AD295&gt;AB295,Z295,mess_erreur_marque)))))</f>
        <v/>
      </c>
      <c r="H295" s="589"/>
      <c r="I295" s="2099" t="str">
        <f t="shared" ref="I295:I302" si="19">IF(G295="","",IF(G295=V295,Z295,V295))</f>
        <v/>
      </c>
      <c r="K295" s="589"/>
      <c r="L295" s="589"/>
      <c r="M295" s="589"/>
      <c r="N295" s="589"/>
      <c r="O295" s="589"/>
      <c r="P295" s="589"/>
      <c r="Q295" s="589"/>
      <c r="R295" s="558" t="s">
        <v>1722</v>
      </c>
      <c r="S295" s="590"/>
      <c r="T295" s="591"/>
      <c r="U295" s="592"/>
      <c r="V295" s="605"/>
      <c r="W295" s="593"/>
      <c r="X295" s="594" t="s">
        <v>769</v>
      </c>
      <c r="Y295" s="595"/>
      <c r="Z295" s="605"/>
      <c r="AA295" s="596"/>
      <c r="AB295" s="597"/>
      <c r="AC295" s="594" t="s">
        <v>769</v>
      </c>
      <c r="AD295" s="595"/>
      <c r="AE295" s="589"/>
      <c r="AF295" s="589"/>
      <c r="AG295" s="589"/>
      <c r="AH295" s="589"/>
      <c r="AI295" s="589"/>
      <c r="AJ295" s="589"/>
      <c r="AK295" s="589"/>
      <c r="AL295" s="575"/>
      <c r="AM295" s="589"/>
      <c r="AN295" s="1397"/>
      <c r="AO295" s="1397"/>
      <c r="AP295" s="1397"/>
      <c r="AQ295" s="1397"/>
      <c r="AR295" s="1397"/>
      <c r="AS295" s="1397"/>
      <c r="AT295" s="1397"/>
      <c r="AU295" s="1397"/>
      <c r="AV295" s="1397"/>
      <c r="AW295" s="1397"/>
      <c r="AX295" s="1397"/>
      <c r="AY295" s="1397"/>
      <c r="AZ295" s="1397"/>
      <c r="BA295" s="1397"/>
      <c r="BB295" s="1397"/>
      <c r="BC295" s="1397"/>
      <c r="BD295" s="1397"/>
      <c r="BE295" s="1397"/>
      <c r="BF295" s="1397"/>
      <c r="BG295" s="1397"/>
      <c r="BH295" s="1397"/>
      <c r="BI295" s="1397"/>
      <c r="BJ295" s="1397"/>
      <c r="BK295" s="1397"/>
      <c r="BL295" s="1397"/>
      <c r="BM295" s="1397"/>
      <c r="BN295" s="1397"/>
    </row>
    <row r="296" spans="1:66" ht="13.5" hidden="1" outlineLevel="1" thickBot="1" x14ac:dyDescent="0.25">
      <c r="A296" s="589"/>
      <c r="B296" s="589"/>
      <c r="C296" s="589"/>
      <c r="D296" s="589"/>
      <c r="E296" s="589"/>
      <c r="F296" s="589"/>
      <c r="G296" s="2106" t="str">
        <f t="shared" si="18"/>
        <v/>
      </c>
      <c r="H296" s="589"/>
      <c r="I296" s="2099" t="str">
        <f t="shared" si="19"/>
        <v/>
      </c>
      <c r="K296" s="589"/>
      <c r="L296" s="589"/>
      <c r="M296" s="589"/>
      <c r="N296" s="589"/>
      <c r="O296" s="589"/>
      <c r="P296" s="589"/>
      <c r="Q296" s="589"/>
      <c r="R296" s="558" t="s">
        <v>1722</v>
      </c>
      <c r="S296" s="590"/>
      <c r="T296" s="591"/>
      <c r="U296" s="592"/>
      <c r="V296" s="605"/>
      <c r="W296" s="593"/>
      <c r="X296" s="594" t="s">
        <v>769</v>
      </c>
      <c r="Y296" s="595"/>
      <c r="Z296" s="605"/>
      <c r="AA296" s="596"/>
      <c r="AB296" s="597"/>
      <c r="AC296" s="594" t="s">
        <v>769</v>
      </c>
      <c r="AD296" s="595"/>
      <c r="AE296" s="589"/>
      <c r="AF296" s="589"/>
      <c r="AG296" s="589"/>
      <c r="AH296" s="589"/>
      <c r="AI296" s="589"/>
      <c r="AJ296" s="589"/>
      <c r="AK296" s="589"/>
      <c r="AL296" s="575"/>
      <c r="AM296" s="589"/>
      <c r="AN296" s="1397"/>
      <c r="AO296" s="1397"/>
      <c r="AP296" s="1397"/>
      <c r="AQ296" s="1397"/>
      <c r="AR296" s="1397"/>
      <c r="AS296" s="1397"/>
      <c r="AT296" s="1397"/>
      <c r="AU296" s="1397"/>
      <c r="AV296" s="1397"/>
      <c r="AW296" s="1397"/>
      <c r="AX296" s="1397"/>
      <c r="AY296" s="1397"/>
      <c r="AZ296" s="1397"/>
      <c r="BA296" s="1397"/>
      <c r="BB296" s="1397"/>
      <c r="BC296" s="1397"/>
      <c r="BD296" s="1397"/>
      <c r="BE296" s="1397"/>
      <c r="BF296" s="1397"/>
      <c r="BG296" s="1397"/>
      <c r="BH296" s="1397"/>
      <c r="BI296" s="1397"/>
      <c r="BJ296" s="1397"/>
      <c r="BK296" s="1397"/>
      <c r="BL296" s="1397"/>
      <c r="BM296" s="1397"/>
      <c r="BN296" s="1397"/>
    </row>
    <row r="297" spans="1:66" ht="13.5" hidden="1" outlineLevel="1" thickBot="1" x14ac:dyDescent="0.25">
      <c r="A297" s="589"/>
      <c r="B297" s="589"/>
      <c r="C297" s="589"/>
      <c r="D297" s="589"/>
      <c r="E297" s="589"/>
      <c r="F297" s="589"/>
      <c r="G297" s="2106" t="str">
        <f t="shared" si="18"/>
        <v/>
      </c>
      <c r="H297" s="589"/>
      <c r="I297" s="2099" t="str">
        <f t="shared" si="19"/>
        <v/>
      </c>
      <c r="K297" s="589"/>
      <c r="L297" s="589"/>
      <c r="M297" s="589"/>
      <c r="N297" s="589"/>
      <c r="O297" s="589"/>
      <c r="P297" s="589"/>
      <c r="Q297" s="589"/>
      <c r="R297" s="558" t="s">
        <v>1722</v>
      </c>
      <c r="S297" s="590"/>
      <c r="T297" s="591"/>
      <c r="U297" s="592"/>
      <c r="V297" s="605"/>
      <c r="W297" s="593"/>
      <c r="X297" s="594" t="s">
        <v>769</v>
      </c>
      <c r="Y297" s="595"/>
      <c r="Z297" s="605"/>
      <c r="AA297" s="596"/>
      <c r="AB297" s="597"/>
      <c r="AC297" s="594" t="s">
        <v>769</v>
      </c>
      <c r="AD297" s="595"/>
      <c r="AE297" s="589"/>
      <c r="AF297" s="589"/>
      <c r="AG297" s="589"/>
      <c r="AH297" s="589"/>
      <c r="AI297" s="589"/>
      <c r="AJ297" s="589"/>
      <c r="AK297" s="589"/>
      <c r="AL297" s="575"/>
      <c r="AM297" s="589"/>
      <c r="AN297" s="1397"/>
      <c r="AO297" s="1397"/>
      <c r="AP297" s="1397"/>
      <c r="AQ297" s="1397"/>
      <c r="AR297" s="1397"/>
      <c r="AS297" s="1397"/>
      <c r="AT297" s="1397"/>
      <c r="AU297" s="1397"/>
      <c r="AV297" s="1397"/>
      <c r="AW297" s="1397"/>
      <c r="AX297" s="1397"/>
      <c r="AY297" s="1397"/>
      <c r="AZ297" s="1397"/>
      <c r="BA297" s="1397"/>
      <c r="BB297" s="1397"/>
      <c r="BC297" s="1397"/>
      <c r="BD297" s="1397"/>
      <c r="BE297" s="1397"/>
      <c r="BF297" s="1397"/>
      <c r="BG297" s="1397"/>
      <c r="BH297" s="1397"/>
      <c r="BI297" s="1397"/>
      <c r="BJ297" s="1397"/>
      <c r="BK297" s="1397"/>
      <c r="BL297" s="1397"/>
      <c r="BM297" s="1397"/>
      <c r="BN297" s="1397"/>
    </row>
    <row r="298" spans="1:66" ht="13.5" hidden="1" outlineLevel="1" thickBot="1" x14ac:dyDescent="0.25">
      <c r="A298" s="589"/>
      <c r="B298" s="589"/>
      <c r="C298" s="589"/>
      <c r="D298" s="589"/>
      <c r="E298" s="589"/>
      <c r="F298" s="589"/>
      <c r="G298" s="2106" t="str">
        <f t="shared" si="18"/>
        <v/>
      </c>
      <c r="H298" s="589"/>
      <c r="I298" s="2099" t="str">
        <f t="shared" si="19"/>
        <v/>
      </c>
      <c r="K298" s="589"/>
      <c r="L298" s="589"/>
      <c r="M298" s="589"/>
      <c r="N298" s="589"/>
      <c r="O298" s="589"/>
      <c r="P298" s="589"/>
      <c r="Q298" s="589"/>
      <c r="R298" s="558" t="s">
        <v>1722</v>
      </c>
      <c r="S298" s="590"/>
      <c r="T298" s="591"/>
      <c r="U298" s="592"/>
      <c r="V298" s="605"/>
      <c r="W298" s="593"/>
      <c r="X298" s="594" t="s">
        <v>769</v>
      </c>
      <c r="Y298" s="595"/>
      <c r="Z298" s="605"/>
      <c r="AA298" s="596"/>
      <c r="AB298" s="597"/>
      <c r="AC298" s="594" t="s">
        <v>769</v>
      </c>
      <c r="AD298" s="595"/>
      <c r="AE298" s="589"/>
      <c r="AF298" s="589"/>
      <c r="AG298" s="589"/>
      <c r="AH298" s="589"/>
      <c r="AI298" s="589"/>
      <c r="AJ298" s="589"/>
      <c r="AK298" s="589"/>
      <c r="AL298" s="575"/>
      <c r="AM298" s="589"/>
      <c r="AN298" s="1397"/>
      <c r="AO298" s="1397"/>
      <c r="AP298" s="1397"/>
      <c r="AQ298" s="1397"/>
      <c r="AR298" s="1397"/>
      <c r="AS298" s="1397"/>
      <c r="AT298" s="1397"/>
      <c r="AU298" s="1397"/>
      <c r="AV298" s="1397"/>
      <c r="AW298" s="1397"/>
      <c r="AX298" s="1397"/>
      <c r="AY298" s="1397"/>
      <c r="AZ298" s="1397"/>
      <c r="BA298" s="1397"/>
      <c r="BB298" s="1397"/>
      <c r="BC298" s="1397"/>
      <c r="BD298" s="1397"/>
      <c r="BE298" s="1397"/>
      <c r="BF298" s="1397"/>
      <c r="BG298" s="1397"/>
      <c r="BH298" s="1397"/>
      <c r="BI298" s="1397"/>
      <c r="BJ298" s="1397"/>
      <c r="BK298" s="1397"/>
      <c r="BL298" s="1397"/>
      <c r="BM298" s="1397"/>
      <c r="BN298" s="1397"/>
    </row>
    <row r="299" spans="1:66" ht="13.5" hidden="1" outlineLevel="1" thickBot="1" x14ac:dyDescent="0.25">
      <c r="A299" s="589"/>
      <c r="B299" s="589"/>
      <c r="C299" s="589"/>
      <c r="D299" s="589"/>
      <c r="E299" s="589"/>
      <c r="F299" s="589"/>
      <c r="G299" s="2106" t="str">
        <f t="shared" si="18"/>
        <v/>
      </c>
      <c r="H299" s="589"/>
      <c r="I299" s="2099" t="str">
        <f t="shared" si="19"/>
        <v/>
      </c>
      <c r="K299" s="589"/>
      <c r="L299" s="589"/>
      <c r="M299" s="589"/>
      <c r="N299" s="589"/>
      <c r="O299" s="589"/>
      <c r="P299" s="589"/>
      <c r="Q299" s="589"/>
      <c r="R299" s="558" t="s">
        <v>1722</v>
      </c>
      <c r="S299" s="590"/>
      <c r="T299" s="591"/>
      <c r="U299" s="592"/>
      <c r="V299" s="605"/>
      <c r="W299" s="593"/>
      <c r="X299" s="594" t="s">
        <v>769</v>
      </c>
      <c r="Y299" s="595"/>
      <c r="Z299" s="605"/>
      <c r="AA299" s="596"/>
      <c r="AB299" s="597"/>
      <c r="AC299" s="594" t="s">
        <v>769</v>
      </c>
      <c r="AD299" s="595"/>
      <c r="AE299" s="589"/>
      <c r="AF299" s="589"/>
      <c r="AG299" s="589"/>
      <c r="AH299" s="589"/>
      <c r="AI299" s="589"/>
      <c r="AJ299" s="589"/>
      <c r="AK299" s="589"/>
      <c r="AL299" s="575"/>
      <c r="AM299" s="589"/>
      <c r="AN299" s="1397"/>
      <c r="AO299" s="1397"/>
      <c r="AP299" s="1397"/>
      <c r="AQ299" s="1397"/>
      <c r="AR299" s="1397"/>
      <c r="AS299" s="1397"/>
      <c r="AT299" s="1397"/>
      <c r="AU299" s="1397"/>
      <c r="AV299" s="1397"/>
      <c r="AW299" s="1397"/>
      <c r="AX299" s="1397"/>
      <c r="AY299" s="1397"/>
      <c r="AZ299" s="1397"/>
      <c r="BA299" s="1397"/>
      <c r="BB299" s="1397"/>
      <c r="BC299" s="1397"/>
      <c r="BD299" s="1397"/>
      <c r="BE299" s="1397"/>
      <c r="BF299" s="1397"/>
      <c r="BG299" s="1397"/>
      <c r="BH299" s="1397"/>
      <c r="BI299" s="1397"/>
      <c r="BJ299" s="1397"/>
      <c r="BK299" s="1397"/>
      <c r="BL299" s="1397"/>
      <c r="BM299" s="1397"/>
      <c r="BN299" s="1397"/>
    </row>
    <row r="300" spans="1:66" ht="13.5" hidden="1" outlineLevel="1" thickBot="1" x14ac:dyDescent="0.25">
      <c r="A300" s="589"/>
      <c r="B300" s="589"/>
      <c r="C300" s="589"/>
      <c r="D300" s="589"/>
      <c r="E300" s="589"/>
      <c r="F300" s="589"/>
      <c r="G300" s="2106" t="str">
        <f t="shared" si="18"/>
        <v/>
      </c>
      <c r="H300" s="589"/>
      <c r="I300" s="2099" t="str">
        <f t="shared" si="19"/>
        <v/>
      </c>
      <c r="K300" s="589"/>
      <c r="L300" s="589"/>
      <c r="M300" s="589"/>
      <c r="N300" s="589"/>
      <c r="O300" s="589"/>
      <c r="P300" s="589"/>
      <c r="Q300" s="589"/>
      <c r="R300" s="558" t="s">
        <v>1722</v>
      </c>
      <c r="S300" s="590"/>
      <c r="T300" s="591"/>
      <c r="U300" s="592"/>
      <c r="V300" s="605"/>
      <c r="W300" s="593"/>
      <c r="X300" s="594" t="s">
        <v>769</v>
      </c>
      <c r="Y300" s="595"/>
      <c r="Z300" s="605"/>
      <c r="AA300" s="596"/>
      <c r="AB300" s="597"/>
      <c r="AC300" s="594" t="s">
        <v>769</v>
      </c>
      <c r="AD300" s="595"/>
      <c r="AE300" s="589"/>
      <c r="AF300" s="589"/>
      <c r="AG300" s="589"/>
      <c r="AH300" s="589"/>
      <c r="AI300" s="589"/>
      <c r="AJ300" s="589"/>
      <c r="AK300" s="589"/>
      <c r="AL300" s="575"/>
      <c r="AM300" s="589"/>
      <c r="AN300" s="1397"/>
      <c r="AO300" s="1397"/>
      <c r="AP300" s="1397"/>
      <c r="AQ300" s="1397"/>
      <c r="AR300" s="1397"/>
      <c r="AS300" s="1397"/>
      <c r="AT300" s="1397"/>
      <c r="AU300" s="1397"/>
      <c r="AV300" s="1397"/>
      <c r="AW300" s="1397"/>
      <c r="AX300" s="1397"/>
      <c r="AY300" s="1397"/>
      <c r="AZ300" s="1397"/>
      <c r="BA300" s="1397"/>
      <c r="BB300" s="1397"/>
      <c r="BC300" s="1397"/>
      <c r="BD300" s="1397"/>
      <c r="BE300" s="1397"/>
      <c r="BF300" s="1397"/>
      <c r="BG300" s="1397"/>
      <c r="BH300" s="1397"/>
      <c r="BI300" s="1397"/>
      <c r="BJ300" s="1397"/>
      <c r="BK300" s="1397"/>
      <c r="BL300" s="1397"/>
      <c r="BM300" s="1397"/>
      <c r="BN300" s="1397"/>
    </row>
    <row r="301" spans="1:66" ht="13.5" hidden="1" outlineLevel="1" thickBot="1" x14ac:dyDescent="0.25">
      <c r="A301" s="589"/>
      <c r="B301" s="589"/>
      <c r="C301" s="589"/>
      <c r="D301" s="589"/>
      <c r="E301" s="589"/>
      <c r="F301" s="589"/>
      <c r="G301" s="2106" t="str">
        <f t="shared" si="18"/>
        <v/>
      </c>
      <c r="H301" s="589"/>
      <c r="I301" s="2099" t="str">
        <f t="shared" si="19"/>
        <v/>
      </c>
      <c r="K301" s="589"/>
      <c r="L301" s="589"/>
      <c r="M301" s="589"/>
      <c r="N301" s="589"/>
      <c r="O301" s="589"/>
      <c r="P301" s="589"/>
      <c r="Q301" s="589"/>
      <c r="R301" s="558" t="s">
        <v>1722</v>
      </c>
      <c r="S301" s="590"/>
      <c r="T301" s="591"/>
      <c r="U301" s="592"/>
      <c r="V301" s="605"/>
      <c r="W301" s="593"/>
      <c r="X301" s="594" t="s">
        <v>769</v>
      </c>
      <c r="Y301" s="595"/>
      <c r="Z301" s="605"/>
      <c r="AA301" s="596"/>
      <c r="AB301" s="597"/>
      <c r="AC301" s="594" t="s">
        <v>769</v>
      </c>
      <c r="AD301" s="595"/>
      <c r="AE301" s="589"/>
      <c r="AF301" s="589"/>
      <c r="AG301" s="589"/>
      <c r="AH301" s="589"/>
      <c r="AI301" s="589"/>
      <c r="AJ301" s="589"/>
      <c r="AK301" s="589"/>
      <c r="AL301" s="575"/>
      <c r="AM301" s="589"/>
      <c r="AN301" s="1397"/>
      <c r="AO301" s="1397"/>
      <c r="AP301" s="1397"/>
      <c r="AQ301" s="1397"/>
      <c r="AR301" s="1397"/>
      <c r="AS301" s="1397"/>
      <c r="AT301" s="1397"/>
      <c r="AU301" s="1397"/>
      <c r="AV301" s="1397"/>
      <c r="AW301" s="1397"/>
      <c r="AX301" s="1397"/>
      <c r="AY301" s="1397"/>
      <c r="AZ301" s="1397"/>
      <c r="BA301" s="1397"/>
      <c r="BB301" s="1397"/>
      <c r="BC301" s="1397"/>
      <c r="BD301" s="1397"/>
      <c r="BE301" s="1397"/>
      <c r="BF301" s="1397"/>
      <c r="BG301" s="1397"/>
      <c r="BH301" s="1397"/>
      <c r="BI301" s="1397"/>
      <c r="BJ301" s="1397"/>
      <c r="BK301" s="1397"/>
      <c r="BL301" s="1397"/>
      <c r="BM301" s="1397"/>
      <c r="BN301" s="1397"/>
    </row>
    <row r="302" spans="1:66" ht="13.5" hidden="1" outlineLevel="1" thickBot="1" x14ac:dyDescent="0.25">
      <c r="A302" s="589"/>
      <c r="B302" s="589"/>
      <c r="C302" s="589"/>
      <c r="D302" s="589"/>
      <c r="E302" s="589"/>
      <c r="F302" s="589"/>
      <c r="G302" s="2106" t="str">
        <f t="shared" si="18"/>
        <v/>
      </c>
      <c r="H302" s="589"/>
      <c r="I302" s="2099" t="str">
        <f t="shared" si="19"/>
        <v/>
      </c>
      <c r="K302" s="589"/>
      <c r="L302" s="589"/>
      <c r="M302" s="589"/>
      <c r="N302" s="589"/>
      <c r="O302" s="589"/>
      <c r="P302" s="589"/>
      <c r="Q302" s="589"/>
      <c r="R302" s="558" t="s">
        <v>1722</v>
      </c>
      <c r="S302" s="590"/>
      <c r="T302" s="591"/>
      <c r="U302" s="592"/>
      <c r="V302" s="605"/>
      <c r="W302" s="593"/>
      <c r="X302" s="594" t="s">
        <v>769</v>
      </c>
      <c r="Y302" s="595"/>
      <c r="Z302" s="605"/>
      <c r="AA302" s="596"/>
      <c r="AB302" s="597"/>
      <c r="AC302" s="594" t="s">
        <v>769</v>
      </c>
      <c r="AD302" s="595"/>
      <c r="AE302" s="589"/>
      <c r="AF302" s="589"/>
      <c r="AG302" s="589"/>
      <c r="AH302" s="589"/>
      <c r="AI302" s="589"/>
      <c r="AJ302" s="589"/>
      <c r="AK302" s="589"/>
      <c r="AL302" s="575"/>
      <c r="AM302" s="589"/>
      <c r="AN302" s="1397"/>
      <c r="AO302" s="1397"/>
      <c r="AP302" s="1397"/>
      <c r="AQ302" s="1397"/>
      <c r="AR302" s="1397"/>
      <c r="AS302" s="1397"/>
      <c r="AT302" s="1397"/>
      <c r="AU302" s="1397"/>
      <c r="AV302" s="1397"/>
      <c r="AW302" s="1397"/>
      <c r="AX302" s="1397"/>
      <c r="AY302" s="1397"/>
      <c r="AZ302" s="1397"/>
      <c r="BA302" s="1397"/>
      <c r="BB302" s="1397"/>
      <c r="BC302" s="1397"/>
      <c r="BD302" s="1397"/>
      <c r="BE302" s="1397"/>
      <c r="BF302" s="1397"/>
      <c r="BG302" s="1397"/>
      <c r="BH302" s="1397"/>
      <c r="BI302" s="1397"/>
      <c r="BJ302" s="1397"/>
      <c r="BK302" s="1397"/>
      <c r="BL302" s="1397"/>
      <c r="BM302" s="1397"/>
      <c r="BN302" s="1397"/>
    </row>
    <row r="303" spans="1:66" ht="13.5" hidden="1" outlineLevel="1" thickBot="1" x14ac:dyDescent="0.25">
      <c r="A303" s="589"/>
      <c r="B303" s="589"/>
      <c r="C303" s="589"/>
      <c r="D303" s="589"/>
      <c r="E303" s="589"/>
      <c r="F303" s="589"/>
      <c r="G303" s="589"/>
      <c r="H303" s="589"/>
      <c r="I303" s="589"/>
      <c r="J303" s="589"/>
      <c r="K303" s="589"/>
      <c r="L303" s="589"/>
      <c r="M303" s="589"/>
      <c r="N303" s="589"/>
      <c r="O303" s="589"/>
      <c r="P303" s="589"/>
      <c r="Q303" s="589"/>
      <c r="R303" s="558"/>
      <c r="S303" s="589"/>
      <c r="T303" s="589"/>
      <c r="U303" s="589"/>
      <c r="V303" s="589"/>
      <c r="W303" s="589"/>
      <c r="X303" s="589"/>
      <c r="Y303" s="589"/>
      <c r="Z303" s="589"/>
      <c r="AA303" s="589"/>
      <c r="AB303" s="589"/>
      <c r="AC303" s="589"/>
      <c r="AD303" s="589"/>
      <c r="AE303" s="589"/>
      <c r="AF303" s="589"/>
      <c r="AG303" s="589"/>
      <c r="AH303" s="589"/>
      <c r="AI303" s="589"/>
      <c r="AJ303" s="589"/>
      <c r="AK303" s="589"/>
      <c r="AL303" s="575"/>
      <c r="AM303" s="589"/>
      <c r="AN303" s="1397"/>
      <c r="AO303" s="1397"/>
      <c r="AP303" s="1397"/>
      <c r="AQ303" s="1397"/>
      <c r="AR303" s="1397"/>
      <c r="AS303" s="1397"/>
      <c r="AT303" s="1397"/>
      <c r="AU303" s="1397"/>
      <c r="AV303" s="1397"/>
      <c r="AW303" s="1397"/>
      <c r="AX303" s="1397"/>
      <c r="AY303" s="1397"/>
      <c r="AZ303" s="1397"/>
      <c r="BA303" s="1397"/>
      <c r="BB303" s="1397"/>
      <c r="BC303" s="1397"/>
      <c r="BD303" s="1397"/>
      <c r="BE303" s="1397"/>
      <c r="BF303" s="1397"/>
      <c r="BG303" s="1397"/>
      <c r="BH303" s="1397"/>
      <c r="BI303" s="1397"/>
      <c r="BJ303" s="1397"/>
      <c r="BK303" s="1397"/>
      <c r="BL303" s="1397"/>
      <c r="BM303" s="1397"/>
      <c r="BN303" s="1397"/>
    </row>
    <row r="304" spans="1:66" ht="13.5" collapsed="1" thickBot="1" x14ac:dyDescent="0.25">
      <c r="A304" s="589"/>
      <c r="B304" s="2388" t="str">
        <f>N_QUART_DE_FINALE</f>
        <v>1/4 DE FINALE</v>
      </c>
      <c r="C304" s="2389"/>
      <c r="D304" s="2389"/>
      <c r="E304" s="2389"/>
      <c r="F304" s="2389"/>
      <c r="G304" s="2389"/>
      <c r="H304" s="2389"/>
      <c r="I304" s="2389"/>
      <c r="J304" s="2389"/>
      <c r="K304" s="2389"/>
      <c r="L304" s="2389"/>
      <c r="M304" s="2389"/>
      <c r="N304" s="2389"/>
      <c r="O304" s="2389"/>
      <c r="P304" s="2389"/>
      <c r="Q304" s="2389"/>
      <c r="R304" s="2389"/>
      <c r="S304" s="2389"/>
      <c r="T304" s="2389"/>
      <c r="U304" s="2389"/>
      <c r="V304" s="2389"/>
      <c r="W304" s="2389"/>
      <c r="X304" s="2389"/>
      <c r="Y304" s="2389"/>
      <c r="Z304" s="2389"/>
      <c r="AA304" s="2389"/>
      <c r="AB304" s="2389"/>
      <c r="AC304" s="2389"/>
      <c r="AD304" s="2389"/>
      <c r="AE304" s="2389"/>
      <c r="AF304" s="2389"/>
      <c r="AG304" s="2389"/>
      <c r="AH304" s="2389"/>
      <c r="AI304" s="2389"/>
      <c r="AJ304" s="2389"/>
      <c r="AK304" s="2389"/>
      <c r="AL304" s="2390"/>
      <c r="AM304" s="589"/>
      <c r="AN304" s="1397"/>
      <c r="AO304" s="1397"/>
      <c r="AP304" s="1397"/>
      <c r="AQ304" s="1397"/>
      <c r="AR304" s="1397"/>
      <c r="AS304" s="1397"/>
      <c r="AT304" s="1397"/>
      <c r="AU304" s="1397"/>
      <c r="AV304" s="1397"/>
      <c r="AW304" s="1397"/>
      <c r="AX304" s="1397"/>
      <c r="AY304" s="1397"/>
      <c r="AZ304" s="1397"/>
      <c r="BA304" s="1397"/>
      <c r="BB304" s="1397"/>
      <c r="BC304" s="1397"/>
      <c r="BD304" s="1397"/>
      <c r="BE304" s="1397"/>
      <c r="BF304" s="1397"/>
      <c r="BG304" s="1397"/>
      <c r="BH304" s="1397"/>
      <c r="BI304" s="1397"/>
      <c r="BJ304" s="1397"/>
      <c r="BK304" s="1397"/>
      <c r="BL304" s="1397"/>
      <c r="BM304" s="1397"/>
      <c r="BN304" s="1397"/>
    </row>
    <row r="305" spans="1:66" ht="13.5" hidden="1" outlineLevel="1" thickBot="1" x14ac:dyDescent="0.25">
      <c r="A305" s="589"/>
      <c r="B305" s="589"/>
      <c r="C305" s="589"/>
      <c r="D305" s="589"/>
      <c r="E305" s="589"/>
      <c r="F305" s="589"/>
      <c r="G305" s="606" t="str">
        <f>N_Qualifiés</f>
        <v>Qualifiés</v>
      </c>
      <c r="H305" s="589"/>
      <c r="I305" s="2093" t="str">
        <f>N_Disqualified</f>
        <v>Disqualifiés</v>
      </c>
      <c r="J305" s="589"/>
      <c r="K305" s="589"/>
      <c r="L305" s="589"/>
      <c r="M305" s="589"/>
      <c r="N305" s="589"/>
      <c r="O305" s="589"/>
      <c r="P305" s="589"/>
      <c r="Q305" s="589"/>
      <c r="R305" s="558"/>
      <c r="S305" s="607" t="str">
        <f>N_Heure</f>
        <v>Heure</v>
      </c>
      <c r="T305" s="607" t="str">
        <f>N_Table</f>
        <v>Table</v>
      </c>
      <c r="U305" s="607" t="str">
        <f>N_Arbitre</f>
        <v>Arbitre</v>
      </c>
      <c r="V305" s="608"/>
      <c r="W305" s="2349" t="str">
        <f>N_Scores</f>
        <v>Scores</v>
      </c>
      <c r="X305" s="2350"/>
      <c r="Y305" s="2351"/>
      <c r="Z305" s="609"/>
      <c r="AA305" s="606" t="str">
        <f>N_MS</f>
        <v>MS</v>
      </c>
      <c r="AB305" s="2346" t="str">
        <f>N_Diff</f>
        <v>Diff</v>
      </c>
      <c r="AC305" s="2347"/>
      <c r="AD305" s="2348"/>
      <c r="AE305" s="589"/>
      <c r="AF305" s="589"/>
      <c r="AG305" s="589"/>
      <c r="AH305" s="589"/>
      <c r="AI305" s="589"/>
      <c r="AJ305" s="589"/>
      <c r="AK305" s="589"/>
      <c r="AL305" s="575"/>
      <c r="AM305" s="589"/>
      <c r="AN305" s="1397"/>
      <c r="AO305" s="1397"/>
      <c r="AP305" s="1397"/>
      <c r="AQ305" s="1397"/>
      <c r="AR305" s="1397"/>
      <c r="AS305" s="1397"/>
      <c r="AT305" s="1397"/>
      <c r="AU305" s="1397"/>
      <c r="AV305" s="1397"/>
      <c r="AW305" s="1397"/>
      <c r="AX305" s="1397"/>
      <c r="AY305" s="1397"/>
      <c r="AZ305" s="1397"/>
      <c r="BA305" s="1397"/>
      <c r="BB305" s="1397"/>
      <c r="BC305" s="1397"/>
      <c r="BD305" s="1397"/>
      <c r="BE305" s="1397"/>
      <c r="BF305" s="1397"/>
      <c r="BG305" s="1397"/>
      <c r="BH305" s="1397"/>
      <c r="BI305" s="1397"/>
      <c r="BJ305" s="1397"/>
      <c r="BK305" s="1397"/>
      <c r="BL305" s="1397"/>
      <c r="BM305" s="1397"/>
      <c r="BN305" s="1397"/>
    </row>
    <row r="306" spans="1:66" ht="13.5" hidden="1" outlineLevel="1" thickBot="1" x14ac:dyDescent="0.25">
      <c r="A306" s="589"/>
      <c r="B306" s="589"/>
      <c r="C306" s="589"/>
      <c r="D306" s="589"/>
      <c r="E306" s="589"/>
      <c r="F306" s="589"/>
      <c r="G306" s="2105" t="str">
        <f>IF(W306="",IF(OR(HidePlayerFormulas,V306=""),"","("&amp;V306&amp;"-"&amp;Z306&amp;")"),IF(W306&gt;Y306,V306,IF(Y306&gt;W306,Z306,IF(AB306&gt;AD306,V306,IF(AD306&gt;AB306,Z306,mess_erreur_marque)))))</f>
        <v/>
      </c>
      <c r="H306" s="589"/>
      <c r="I306" s="2100" t="str">
        <f>IF(G306="","",IF(G306=V306,Z306,V306))</f>
        <v/>
      </c>
      <c r="K306" s="589"/>
      <c r="L306" s="589"/>
      <c r="M306" s="589"/>
      <c r="N306" s="589"/>
      <c r="O306" s="589"/>
      <c r="P306" s="589"/>
      <c r="Q306" s="589"/>
      <c r="R306" s="558" t="s">
        <v>1723</v>
      </c>
      <c r="S306" s="590"/>
      <c r="T306" s="591"/>
      <c r="U306" s="592"/>
      <c r="V306" s="605"/>
      <c r="W306" s="593"/>
      <c r="X306" s="594" t="s">
        <v>769</v>
      </c>
      <c r="Y306" s="595"/>
      <c r="Z306" s="605"/>
      <c r="AA306" s="596"/>
      <c r="AB306" s="597"/>
      <c r="AC306" s="594" t="s">
        <v>769</v>
      </c>
      <c r="AD306" s="595"/>
      <c r="AE306" s="589"/>
      <c r="AF306" s="589"/>
      <c r="AG306" s="589"/>
      <c r="AH306" s="589"/>
      <c r="AI306" s="589"/>
      <c r="AJ306" s="589"/>
      <c r="AK306" s="589"/>
      <c r="AL306" s="575"/>
      <c r="AM306" s="589"/>
      <c r="AN306" s="1397"/>
      <c r="AO306" s="1397"/>
      <c r="AP306" s="1397"/>
      <c r="AQ306" s="1397"/>
      <c r="AR306" s="1397"/>
      <c r="AS306" s="1397"/>
      <c r="AT306" s="1397"/>
      <c r="AU306" s="1397"/>
      <c r="AV306" s="1397"/>
      <c r="AW306" s="1397"/>
      <c r="AX306" s="1397"/>
      <c r="AY306" s="1397"/>
      <c r="AZ306" s="1397"/>
      <c r="BA306" s="1397"/>
      <c r="BB306" s="1397"/>
      <c r="BC306" s="1397"/>
      <c r="BD306" s="1397"/>
      <c r="BE306" s="1397"/>
      <c r="BF306" s="1397"/>
      <c r="BG306" s="1397"/>
      <c r="BH306" s="1397"/>
      <c r="BI306" s="1397"/>
      <c r="BJ306" s="1397"/>
      <c r="BK306" s="1397"/>
      <c r="BL306" s="1397"/>
      <c r="BM306" s="1397"/>
      <c r="BN306" s="1397"/>
    </row>
    <row r="307" spans="1:66" ht="13.5" hidden="1" outlineLevel="1" thickBot="1" x14ac:dyDescent="0.25">
      <c r="A307" s="589"/>
      <c r="B307" s="589"/>
      <c r="C307" s="589"/>
      <c r="D307" s="589"/>
      <c r="E307" s="589"/>
      <c r="F307" s="589"/>
      <c r="G307" s="2105" t="str">
        <f>IF(W307="",IF(OR(HidePlayerFormulas,V307=""),"","("&amp;V307&amp;"-"&amp;Z307&amp;")"),IF(W307&gt;Y307,V307,IF(Y307&gt;W307,Z307,IF(AB307&gt;AD307,V307,IF(AD307&gt;AB307,Z307,mess_erreur_marque)))))</f>
        <v/>
      </c>
      <c r="H307" s="589"/>
      <c r="I307" s="2100" t="str">
        <f>IF(G307="","",IF(G307=V307,Z307,V307))</f>
        <v/>
      </c>
      <c r="K307" s="589"/>
      <c r="L307" s="589"/>
      <c r="M307" s="589"/>
      <c r="N307" s="589"/>
      <c r="O307" s="589"/>
      <c r="P307" s="589"/>
      <c r="Q307" s="589"/>
      <c r="R307" s="558" t="s">
        <v>1723</v>
      </c>
      <c r="S307" s="590"/>
      <c r="T307" s="591"/>
      <c r="U307" s="592"/>
      <c r="V307" s="605"/>
      <c r="W307" s="593"/>
      <c r="X307" s="594" t="s">
        <v>769</v>
      </c>
      <c r="Y307" s="595"/>
      <c r="Z307" s="605"/>
      <c r="AA307" s="596"/>
      <c r="AB307" s="597"/>
      <c r="AC307" s="594" t="s">
        <v>769</v>
      </c>
      <c r="AD307" s="595"/>
      <c r="AE307" s="589"/>
      <c r="AF307" s="589"/>
      <c r="AG307" s="589"/>
      <c r="AH307" s="589"/>
      <c r="AI307" s="589"/>
      <c r="AJ307" s="589"/>
      <c r="AK307" s="589"/>
      <c r="AL307" s="575"/>
      <c r="AM307" s="589"/>
      <c r="AN307" s="1397"/>
      <c r="AO307" s="1397"/>
      <c r="AP307" s="1397"/>
      <c r="AQ307" s="1397"/>
      <c r="AR307" s="1397"/>
      <c r="AS307" s="1397"/>
      <c r="AT307" s="1397"/>
      <c r="AU307" s="1397"/>
      <c r="AV307" s="1397"/>
      <c r="AW307" s="1397"/>
      <c r="AX307" s="1397"/>
      <c r="AY307" s="1397"/>
      <c r="AZ307" s="1397"/>
      <c r="BA307" s="1397"/>
      <c r="BB307" s="1397"/>
      <c r="BC307" s="1397"/>
      <c r="BD307" s="1397"/>
      <c r="BE307" s="1397"/>
      <c r="BF307" s="1397"/>
      <c r="BG307" s="1397"/>
      <c r="BH307" s="1397"/>
      <c r="BI307" s="1397"/>
      <c r="BJ307" s="1397"/>
      <c r="BK307" s="1397"/>
      <c r="BL307" s="1397"/>
      <c r="BM307" s="1397"/>
      <c r="BN307" s="1397"/>
    </row>
    <row r="308" spans="1:66" ht="13.5" hidden="1" outlineLevel="1" thickBot="1" x14ac:dyDescent="0.25">
      <c r="A308" s="589"/>
      <c r="B308" s="589"/>
      <c r="C308" s="589"/>
      <c r="D308" s="589"/>
      <c r="E308" s="589"/>
      <c r="F308" s="589"/>
      <c r="G308" s="2105" t="str">
        <f>IF(W308="",IF(OR(HidePlayerFormulas,V308=""),"","("&amp;V308&amp;"-"&amp;Z308&amp;")"),IF(W308&gt;Y308,V308,IF(Y308&gt;W308,Z308,IF(AB308&gt;AD308,V308,IF(AD308&gt;AB308,Z308,mess_erreur_marque)))))</f>
        <v/>
      </c>
      <c r="H308" s="589"/>
      <c r="I308" s="2100" t="str">
        <f>IF(G308="","",IF(G308=V308,Z308,V308))</f>
        <v/>
      </c>
      <c r="K308" s="589"/>
      <c r="L308" s="589"/>
      <c r="M308" s="589"/>
      <c r="N308" s="589"/>
      <c r="O308" s="589"/>
      <c r="P308" s="589"/>
      <c r="Q308" s="589"/>
      <c r="R308" s="558" t="s">
        <v>1723</v>
      </c>
      <c r="S308" s="590"/>
      <c r="T308" s="591"/>
      <c r="U308" s="592"/>
      <c r="V308" s="605"/>
      <c r="W308" s="593"/>
      <c r="X308" s="594" t="s">
        <v>769</v>
      </c>
      <c r="Y308" s="595"/>
      <c r="Z308" s="605"/>
      <c r="AA308" s="596"/>
      <c r="AB308" s="597"/>
      <c r="AC308" s="594" t="s">
        <v>769</v>
      </c>
      <c r="AD308" s="595"/>
      <c r="AE308" s="589"/>
      <c r="AF308" s="589"/>
      <c r="AG308" s="589"/>
      <c r="AH308" s="589"/>
      <c r="AI308" s="589"/>
      <c r="AJ308" s="589"/>
      <c r="AK308" s="589"/>
      <c r="AL308" s="575"/>
      <c r="AM308" s="589"/>
      <c r="AN308" s="1397"/>
      <c r="AO308" s="1397"/>
      <c r="AP308" s="1397"/>
      <c r="AQ308" s="1397"/>
      <c r="AR308" s="1397"/>
      <c r="AS308" s="1397"/>
      <c r="AT308" s="1397"/>
      <c r="AU308" s="1397"/>
      <c r="AV308" s="1397"/>
      <c r="AW308" s="1397"/>
      <c r="AX308" s="1397"/>
      <c r="AY308" s="1397"/>
      <c r="AZ308" s="1397"/>
      <c r="BA308" s="1397"/>
      <c r="BB308" s="1397"/>
      <c r="BC308" s="1397"/>
      <c r="BD308" s="1397"/>
      <c r="BE308" s="1397"/>
      <c r="BF308" s="1397"/>
      <c r="BG308" s="1397"/>
      <c r="BH308" s="1397"/>
      <c r="BI308" s="1397"/>
      <c r="BJ308" s="1397"/>
      <c r="BK308" s="1397"/>
      <c r="BL308" s="1397"/>
      <c r="BM308" s="1397"/>
      <c r="BN308" s="1397"/>
    </row>
    <row r="309" spans="1:66" ht="13.5" hidden="1" outlineLevel="1" thickBot="1" x14ac:dyDescent="0.25">
      <c r="A309" s="589"/>
      <c r="B309" s="589"/>
      <c r="C309" s="589"/>
      <c r="D309" s="589"/>
      <c r="E309" s="589"/>
      <c r="F309" s="589"/>
      <c r="G309" s="2105" t="str">
        <f>IF(W309="",IF(OR(HidePlayerFormulas,V309=""),"","("&amp;V309&amp;"-"&amp;Z309&amp;")"),IF(W309&gt;Y309,V309,IF(Y309&gt;W309,Z309,IF(AB309&gt;AD309,V309,IF(AD309&gt;AB309,Z309,mess_erreur_marque)))))</f>
        <v/>
      </c>
      <c r="H309" s="589"/>
      <c r="I309" s="2100" t="str">
        <f>IF(G309="","",IF(G309=V309,Z309,V309))</f>
        <v/>
      </c>
      <c r="K309" s="589"/>
      <c r="L309" s="589"/>
      <c r="M309" s="589"/>
      <c r="N309" s="589"/>
      <c r="O309" s="589"/>
      <c r="P309" s="589"/>
      <c r="Q309" s="589"/>
      <c r="R309" s="558" t="s">
        <v>1723</v>
      </c>
      <c r="S309" s="590"/>
      <c r="T309" s="591"/>
      <c r="U309" s="592"/>
      <c r="V309" s="605"/>
      <c r="W309" s="593"/>
      <c r="X309" s="594" t="s">
        <v>769</v>
      </c>
      <c r="Y309" s="595"/>
      <c r="Z309" s="605"/>
      <c r="AA309" s="596"/>
      <c r="AB309" s="597"/>
      <c r="AC309" s="594" t="s">
        <v>769</v>
      </c>
      <c r="AD309" s="595"/>
      <c r="AE309" s="589"/>
      <c r="AF309" s="589"/>
      <c r="AG309" s="589"/>
      <c r="AH309" s="589"/>
      <c r="AI309" s="589"/>
      <c r="AJ309" s="589"/>
      <c r="AK309" s="589"/>
      <c r="AL309" s="575"/>
      <c r="AM309" s="589"/>
      <c r="AN309" s="1397"/>
      <c r="AO309" s="1397"/>
      <c r="AP309" s="1397"/>
      <c r="AQ309" s="1397"/>
      <c r="AR309" s="1397"/>
      <c r="AS309" s="1397"/>
      <c r="AT309" s="1397"/>
      <c r="AU309" s="1397"/>
      <c r="AV309" s="1397"/>
      <c r="AW309" s="1397"/>
      <c r="AX309" s="1397"/>
      <c r="AY309" s="1397"/>
      <c r="AZ309" s="1397"/>
      <c r="BA309" s="1397"/>
      <c r="BB309" s="1397"/>
      <c r="BC309" s="1397"/>
      <c r="BD309" s="1397"/>
      <c r="BE309" s="1397"/>
      <c r="BF309" s="1397"/>
      <c r="BG309" s="1397"/>
      <c r="BH309" s="1397"/>
      <c r="BI309" s="1397"/>
      <c r="BJ309" s="1397"/>
      <c r="BK309" s="1397"/>
      <c r="BL309" s="1397"/>
      <c r="BM309" s="1397"/>
      <c r="BN309" s="1397"/>
    </row>
    <row r="310" spans="1:66" ht="13.5" hidden="1" outlineLevel="1" thickBot="1" x14ac:dyDescent="0.25">
      <c r="A310" s="589"/>
      <c r="B310" s="589"/>
      <c r="C310" s="589"/>
      <c r="D310" s="589"/>
      <c r="E310" s="589"/>
      <c r="F310" s="589"/>
      <c r="G310" s="589"/>
      <c r="H310" s="589"/>
      <c r="I310" s="589"/>
      <c r="J310" s="589"/>
      <c r="K310" s="589"/>
      <c r="L310" s="589"/>
      <c r="M310" s="589"/>
      <c r="N310" s="589"/>
      <c r="O310" s="589"/>
      <c r="P310" s="589"/>
      <c r="Q310" s="589"/>
      <c r="R310" s="558"/>
      <c r="S310" s="589"/>
      <c r="T310" s="589"/>
      <c r="U310" s="589"/>
      <c r="V310" s="589"/>
      <c r="W310" s="589"/>
      <c r="X310" s="589"/>
      <c r="Y310" s="589"/>
      <c r="Z310" s="589"/>
      <c r="AA310" s="589"/>
      <c r="AB310" s="589"/>
      <c r="AC310" s="589"/>
      <c r="AD310" s="589"/>
      <c r="AE310" s="589"/>
      <c r="AF310" s="589"/>
      <c r="AG310" s="589"/>
      <c r="AH310" s="589"/>
      <c r="AI310" s="589"/>
      <c r="AJ310" s="589"/>
      <c r="AK310" s="589"/>
      <c r="AL310" s="575"/>
      <c r="AM310" s="589"/>
      <c r="AN310" s="1397"/>
      <c r="AO310" s="1397"/>
      <c r="AP310" s="1397"/>
      <c r="AQ310" s="1397"/>
      <c r="AR310" s="1397"/>
      <c r="AS310" s="1397"/>
      <c r="AT310" s="1397"/>
      <c r="AU310" s="1397"/>
      <c r="AV310" s="1397"/>
      <c r="AW310" s="1397"/>
      <c r="AX310" s="1397"/>
      <c r="AY310" s="1397"/>
      <c r="AZ310" s="1397"/>
      <c r="BA310" s="1397"/>
      <c r="BB310" s="1397"/>
      <c r="BC310" s="1397"/>
      <c r="BD310" s="1397"/>
      <c r="BE310" s="1397"/>
      <c r="BF310" s="1397"/>
      <c r="BG310" s="1397"/>
      <c r="BH310" s="1397"/>
      <c r="BI310" s="1397"/>
      <c r="BJ310" s="1397"/>
      <c r="BK310" s="1397"/>
      <c r="BL310" s="1397"/>
      <c r="BM310" s="1397"/>
      <c r="BN310" s="1397"/>
    </row>
    <row r="311" spans="1:66" ht="13.5" collapsed="1" thickBot="1" x14ac:dyDescent="0.25">
      <c r="A311" s="589"/>
      <c r="B311" s="2391" t="str">
        <f>N_DEMI_FINALE</f>
        <v>1/2 FINALES</v>
      </c>
      <c r="C311" s="2392"/>
      <c r="D311" s="2392"/>
      <c r="E311" s="2392"/>
      <c r="F311" s="2392"/>
      <c r="G311" s="2392"/>
      <c r="H311" s="2392"/>
      <c r="I311" s="2392"/>
      <c r="J311" s="2392"/>
      <c r="K311" s="2392"/>
      <c r="L311" s="2392"/>
      <c r="M311" s="2392"/>
      <c r="N311" s="2392"/>
      <c r="O311" s="2392"/>
      <c r="P311" s="2392"/>
      <c r="Q311" s="2392"/>
      <c r="R311" s="2392"/>
      <c r="S311" s="2392"/>
      <c r="T311" s="2392"/>
      <c r="U311" s="2392"/>
      <c r="V311" s="2392"/>
      <c r="W311" s="2392"/>
      <c r="X311" s="2392"/>
      <c r="Y311" s="2392"/>
      <c r="Z311" s="2392"/>
      <c r="AA311" s="2392"/>
      <c r="AB311" s="2392"/>
      <c r="AC311" s="2392"/>
      <c r="AD311" s="2392"/>
      <c r="AE311" s="2392"/>
      <c r="AF311" s="2392"/>
      <c r="AG311" s="2392"/>
      <c r="AH311" s="2392"/>
      <c r="AI311" s="2392"/>
      <c r="AJ311" s="2392"/>
      <c r="AK311" s="2392"/>
      <c r="AL311" s="2393"/>
      <c r="AM311" s="589"/>
      <c r="AN311" s="1397"/>
      <c r="AO311" s="1397"/>
      <c r="AP311" s="1397"/>
      <c r="AQ311" s="1397"/>
      <c r="AR311" s="1397"/>
      <c r="AS311" s="1397"/>
      <c r="AT311" s="1397"/>
      <c r="AU311" s="1397"/>
      <c r="AV311" s="1397"/>
      <c r="AW311" s="1397"/>
      <c r="AX311" s="1397"/>
      <c r="AY311" s="1397"/>
      <c r="AZ311" s="1397"/>
      <c r="BA311" s="1397"/>
      <c r="BB311" s="1397"/>
      <c r="BC311" s="1397"/>
      <c r="BD311" s="1397"/>
      <c r="BE311" s="1397"/>
      <c r="BF311" s="1397"/>
      <c r="BG311" s="1397"/>
      <c r="BH311" s="1397"/>
      <c r="BI311" s="1397"/>
      <c r="BJ311" s="1397"/>
      <c r="BK311" s="1397"/>
      <c r="BL311" s="1397"/>
      <c r="BM311" s="1397"/>
      <c r="BN311" s="1397"/>
    </row>
    <row r="312" spans="1:66" ht="13.5" hidden="1" outlineLevel="1" thickBot="1" x14ac:dyDescent="0.25">
      <c r="A312" s="589"/>
      <c r="B312" s="589"/>
      <c r="C312" s="589"/>
      <c r="D312" s="589"/>
      <c r="E312" s="589"/>
      <c r="F312" s="589"/>
      <c r="G312" s="606" t="str">
        <f>N_Qualifiés</f>
        <v>Qualifiés</v>
      </c>
      <c r="H312" s="589"/>
      <c r="I312" s="2093" t="str">
        <f>N_Disqualified</f>
        <v>Disqualifiés</v>
      </c>
      <c r="J312" s="589"/>
      <c r="K312" s="589"/>
      <c r="L312" s="589"/>
      <c r="M312" s="589"/>
      <c r="N312" s="589"/>
      <c r="O312" s="589"/>
      <c r="P312" s="589"/>
      <c r="Q312" s="589"/>
      <c r="R312" s="558"/>
      <c r="S312" s="607" t="str">
        <f>N_Heure</f>
        <v>Heure</v>
      </c>
      <c r="T312" s="607" t="str">
        <f>N_Table</f>
        <v>Table</v>
      </c>
      <c r="U312" s="607" t="str">
        <f>N_Arbitre</f>
        <v>Arbitre</v>
      </c>
      <c r="V312" s="608"/>
      <c r="W312" s="2349" t="str">
        <f>N_Scores</f>
        <v>Scores</v>
      </c>
      <c r="X312" s="2350"/>
      <c r="Y312" s="2351"/>
      <c r="Z312" s="609"/>
      <c r="AA312" s="606" t="str">
        <f>N_MS</f>
        <v>MS</v>
      </c>
      <c r="AB312" s="2346" t="str">
        <f>N_Diff</f>
        <v>Diff</v>
      </c>
      <c r="AC312" s="2347"/>
      <c r="AD312" s="2348"/>
      <c r="AE312" s="589"/>
      <c r="AF312" s="589"/>
      <c r="AG312" s="589"/>
      <c r="AH312" s="589"/>
      <c r="AI312" s="589"/>
      <c r="AJ312" s="589"/>
      <c r="AK312" s="589"/>
      <c r="AL312" s="575"/>
      <c r="AM312" s="589"/>
      <c r="AN312" s="1397"/>
      <c r="AO312" s="1397"/>
      <c r="AP312" s="1397"/>
      <c r="AQ312" s="1397"/>
      <c r="AR312" s="1397"/>
      <c r="AS312" s="1397"/>
      <c r="AT312" s="1397"/>
      <c r="AU312" s="1397"/>
      <c r="AV312" s="1397"/>
      <c r="AW312" s="1397"/>
      <c r="AX312" s="1397"/>
      <c r="AY312" s="1397"/>
      <c r="AZ312" s="1397"/>
      <c r="BA312" s="1397"/>
      <c r="BB312" s="1397"/>
      <c r="BC312" s="1397"/>
      <c r="BD312" s="1397"/>
      <c r="BE312" s="1397"/>
      <c r="BF312" s="1397"/>
      <c r="BG312" s="1397"/>
      <c r="BH312" s="1397"/>
      <c r="BI312" s="1397"/>
      <c r="BJ312" s="1397"/>
      <c r="BK312" s="1397"/>
      <c r="BL312" s="1397"/>
      <c r="BM312" s="1397"/>
      <c r="BN312" s="1397"/>
    </row>
    <row r="313" spans="1:66" ht="13.5" hidden="1" outlineLevel="1" thickBot="1" x14ac:dyDescent="0.25">
      <c r="A313" s="589"/>
      <c r="B313" s="589"/>
      <c r="C313" s="589"/>
      <c r="D313" s="589"/>
      <c r="E313" s="589"/>
      <c r="F313" s="589"/>
      <c r="G313" s="2101" t="str">
        <f>IF(W313="",IF(OR(HidePlayerFormulas,V313=""),"","("&amp;V313&amp;"-"&amp;Z313&amp;")"),IF(W313&gt;Y313,V313,IF(Y313&gt;W313,Z313,IF(AB313&gt;AD313,V313,IF(AD313&gt;AB313,Z313,mess_erreur_marque)))))</f>
        <v/>
      </c>
      <c r="H313" s="589"/>
      <c r="I313" s="1335" t="str">
        <f>IF(G313="","",IF(G313=V313,Z313,V313))</f>
        <v/>
      </c>
      <c r="K313" s="589"/>
      <c r="L313" s="589"/>
      <c r="M313" s="589"/>
      <c r="N313" s="589"/>
      <c r="O313" s="589"/>
      <c r="P313" s="589"/>
      <c r="Q313" s="589"/>
      <c r="R313" s="558" t="s">
        <v>1724</v>
      </c>
      <c r="S313" s="590"/>
      <c r="T313" s="591"/>
      <c r="U313" s="592"/>
      <c r="V313" s="605"/>
      <c r="W313" s="593"/>
      <c r="X313" s="594" t="s">
        <v>769</v>
      </c>
      <c r="Y313" s="595"/>
      <c r="Z313" s="605"/>
      <c r="AA313" s="596"/>
      <c r="AB313" s="597"/>
      <c r="AC313" s="594" t="s">
        <v>769</v>
      </c>
      <c r="AD313" s="595"/>
      <c r="AE313" s="589"/>
      <c r="AF313" s="589"/>
      <c r="AG313" s="589"/>
      <c r="AH313" s="589"/>
      <c r="AI313" s="589"/>
      <c r="AJ313" s="589"/>
      <c r="AK313" s="589"/>
      <c r="AL313" s="575"/>
      <c r="AM313" s="589"/>
      <c r="AN313" s="1397"/>
      <c r="AO313" s="1397"/>
      <c r="AP313" s="1397"/>
      <c r="AQ313" s="1397"/>
      <c r="AR313" s="1397"/>
      <c r="AS313" s="1397"/>
      <c r="AT313" s="1397"/>
      <c r="AU313" s="1397"/>
      <c r="AV313" s="1397"/>
      <c r="AW313" s="1397"/>
      <c r="AX313" s="1397"/>
      <c r="AY313" s="1397"/>
      <c r="AZ313" s="1397"/>
      <c r="BA313" s="1397"/>
      <c r="BB313" s="1397"/>
      <c r="BC313" s="1397"/>
      <c r="BD313" s="1397"/>
      <c r="BE313" s="1397"/>
      <c r="BF313" s="1397"/>
      <c r="BG313" s="1397"/>
      <c r="BH313" s="1397"/>
      <c r="BI313" s="1397"/>
      <c r="BJ313" s="1397"/>
      <c r="BK313" s="1397"/>
      <c r="BL313" s="1397"/>
      <c r="BM313" s="1397"/>
      <c r="BN313" s="1397"/>
    </row>
    <row r="314" spans="1:66" ht="13.5" hidden="1" outlineLevel="1" thickBot="1" x14ac:dyDescent="0.25">
      <c r="A314" s="589"/>
      <c r="B314" s="589"/>
      <c r="C314" s="589"/>
      <c r="D314" s="589"/>
      <c r="E314" s="589"/>
      <c r="F314" s="589"/>
      <c r="G314" s="2101" t="str">
        <f>IF(W314="",IF(OR(HidePlayerFormulas,V314=""),"","("&amp;V314&amp;"-"&amp;Z314&amp;")"),IF(W314&gt;Y314,V314,IF(Y314&gt;W314,Z314,IF(AB314&gt;AD314,V314,IF(AD314&gt;AB314,Z314,mess_erreur_marque)))))</f>
        <v/>
      </c>
      <c r="H314" s="589"/>
      <c r="I314" s="1335" t="str">
        <f>IF(G314="","",IF(G314=V314,Z314,V314))</f>
        <v/>
      </c>
      <c r="K314" s="589"/>
      <c r="L314" s="589"/>
      <c r="M314" s="589"/>
      <c r="N314" s="589"/>
      <c r="O314" s="589"/>
      <c r="P314" s="589"/>
      <c r="Q314" s="589"/>
      <c r="R314" s="558" t="s">
        <v>1724</v>
      </c>
      <c r="S314" s="590"/>
      <c r="T314" s="591"/>
      <c r="U314" s="592"/>
      <c r="V314" s="605"/>
      <c r="W314" s="593"/>
      <c r="X314" s="594" t="s">
        <v>769</v>
      </c>
      <c r="Y314" s="595"/>
      <c r="Z314" s="605"/>
      <c r="AA314" s="596"/>
      <c r="AB314" s="597"/>
      <c r="AC314" s="594" t="s">
        <v>769</v>
      </c>
      <c r="AD314" s="595"/>
      <c r="AE314" s="589"/>
      <c r="AF314" s="589"/>
      <c r="AG314" s="589"/>
      <c r="AH314" s="589"/>
      <c r="AI314" s="589"/>
      <c r="AJ314" s="589"/>
      <c r="AK314" s="589"/>
      <c r="AL314" s="575"/>
      <c r="AM314" s="589"/>
      <c r="AN314" s="1397"/>
      <c r="AO314" s="1397"/>
      <c r="AP314" s="1397"/>
      <c r="AQ314" s="1397"/>
      <c r="AR314" s="1397"/>
      <c r="AS314" s="1397"/>
      <c r="AT314" s="1397"/>
      <c r="AU314" s="1397"/>
      <c r="AV314" s="1397"/>
      <c r="AW314" s="1397"/>
      <c r="AX314" s="1397"/>
      <c r="AY314" s="1397"/>
      <c r="AZ314" s="1397"/>
      <c r="BA314" s="1397"/>
      <c r="BB314" s="1397"/>
      <c r="BC314" s="1397"/>
      <c r="BD314" s="1397"/>
      <c r="BE314" s="1397"/>
      <c r="BF314" s="1397"/>
      <c r="BG314" s="1397"/>
      <c r="BH314" s="1397"/>
      <c r="BI314" s="1397"/>
      <c r="BJ314" s="1397"/>
      <c r="BK314" s="1397"/>
      <c r="BL314" s="1397"/>
      <c r="BM314" s="1397"/>
      <c r="BN314" s="1397"/>
    </row>
    <row r="315" spans="1:66" ht="13.5" hidden="1" outlineLevel="1" thickBot="1" x14ac:dyDescent="0.25">
      <c r="A315" s="589"/>
      <c r="B315" s="589"/>
      <c r="C315" s="589"/>
      <c r="D315" s="589"/>
      <c r="E315" s="589"/>
      <c r="F315" s="589"/>
      <c r="G315" s="589"/>
      <c r="H315" s="589"/>
      <c r="I315" s="589"/>
      <c r="J315" s="589"/>
      <c r="K315" s="589"/>
      <c r="L315" s="589"/>
      <c r="M315" s="589"/>
      <c r="N315" s="589"/>
      <c r="O315" s="589"/>
      <c r="P315" s="589"/>
      <c r="Q315" s="589"/>
      <c r="R315" s="558"/>
      <c r="S315" s="589"/>
      <c r="T315" s="589"/>
      <c r="U315" s="589"/>
      <c r="V315" s="589"/>
      <c r="W315" s="589"/>
      <c r="X315" s="589"/>
      <c r="Y315" s="589"/>
      <c r="Z315" s="589"/>
      <c r="AA315" s="589"/>
      <c r="AB315" s="589"/>
      <c r="AC315" s="589"/>
      <c r="AD315" s="589"/>
      <c r="AE315" s="589"/>
      <c r="AF315" s="589"/>
      <c r="AG315" s="589"/>
      <c r="AH315" s="589"/>
      <c r="AI315" s="589"/>
      <c r="AJ315" s="589"/>
      <c r="AK315" s="589"/>
      <c r="AL315" s="575"/>
      <c r="AM315" s="589"/>
      <c r="AN315" s="1397"/>
      <c r="AO315" s="1397"/>
      <c r="AP315" s="1397"/>
      <c r="AQ315" s="1397"/>
      <c r="AR315" s="1397"/>
      <c r="AS315" s="1397"/>
      <c r="AT315" s="1397"/>
      <c r="AU315" s="1397"/>
      <c r="AV315" s="1397"/>
      <c r="AW315" s="1397"/>
      <c r="AX315" s="1397"/>
      <c r="AY315" s="1397"/>
      <c r="AZ315" s="1397"/>
      <c r="BA315" s="1397"/>
      <c r="BB315" s="1397"/>
      <c r="BC315" s="1397"/>
      <c r="BD315" s="1397"/>
      <c r="BE315" s="1397"/>
      <c r="BF315" s="1397"/>
      <c r="BG315" s="1397"/>
      <c r="BH315" s="1397"/>
      <c r="BI315" s="1397"/>
      <c r="BJ315" s="1397"/>
      <c r="BK315" s="1397"/>
      <c r="BL315" s="1397"/>
      <c r="BM315" s="1397"/>
      <c r="BN315" s="1397"/>
    </row>
    <row r="316" spans="1:66" ht="13.5" collapsed="1" thickBot="1" x14ac:dyDescent="0.25">
      <c r="A316" s="589"/>
      <c r="B316" s="2355" t="str">
        <f>N_THIRD</f>
        <v>PETITE FINALE</v>
      </c>
      <c r="C316" s="2356"/>
      <c r="D316" s="2356"/>
      <c r="E316" s="2356"/>
      <c r="F316" s="2356"/>
      <c r="G316" s="2356"/>
      <c r="H316" s="2356"/>
      <c r="I316" s="2356"/>
      <c r="J316" s="2356"/>
      <c r="K316" s="2356"/>
      <c r="L316" s="2356"/>
      <c r="M316" s="2356"/>
      <c r="N316" s="2356"/>
      <c r="O316" s="2356"/>
      <c r="P316" s="2356"/>
      <c r="Q316" s="2356"/>
      <c r="R316" s="2356"/>
      <c r="S316" s="2356"/>
      <c r="T316" s="2356"/>
      <c r="U316" s="2356"/>
      <c r="V316" s="2356"/>
      <c r="W316" s="2356"/>
      <c r="X316" s="2356"/>
      <c r="Y316" s="2356"/>
      <c r="Z316" s="2356"/>
      <c r="AA316" s="2356"/>
      <c r="AB316" s="2356"/>
      <c r="AC316" s="2356"/>
      <c r="AD316" s="2356"/>
      <c r="AE316" s="2356"/>
      <c r="AF316" s="2356"/>
      <c r="AG316" s="2356"/>
      <c r="AH316" s="2356"/>
      <c r="AI316" s="2356"/>
      <c r="AJ316" s="2356"/>
      <c r="AK316" s="2356"/>
      <c r="AL316" s="2357"/>
      <c r="AM316" s="589"/>
      <c r="AN316" s="1397"/>
      <c r="AO316" s="1397"/>
      <c r="AP316" s="1397"/>
      <c r="AQ316" s="1397"/>
      <c r="AR316" s="1397"/>
      <c r="AS316" s="1397"/>
      <c r="AT316" s="1397"/>
      <c r="AU316" s="1397"/>
      <c r="AV316" s="1397"/>
      <c r="AW316" s="1397"/>
      <c r="AX316" s="1397"/>
      <c r="AY316" s="1397"/>
      <c r="AZ316" s="1397"/>
      <c r="BA316" s="1397"/>
      <c r="BB316" s="1397"/>
      <c r="BC316" s="1397"/>
      <c r="BD316" s="1397"/>
      <c r="BE316" s="1397"/>
      <c r="BF316" s="1397"/>
      <c r="BG316" s="1397"/>
      <c r="BH316" s="1397"/>
      <c r="BI316" s="1397"/>
      <c r="BJ316" s="1397"/>
      <c r="BK316" s="1397"/>
      <c r="BL316" s="1397"/>
      <c r="BM316" s="1397"/>
      <c r="BN316" s="1397"/>
    </row>
    <row r="317" spans="1:66" ht="13.5" hidden="1" outlineLevel="1" thickBot="1" x14ac:dyDescent="0.25">
      <c r="A317" s="589"/>
      <c r="B317" s="589"/>
      <c r="C317" s="589"/>
      <c r="D317" s="589"/>
      <c r="E317" s="589"/>
      <c r="F317" s="589"/>
      <c r="G317" s="606" t="str">
        <f>N_ThirdWinner</f>
        <v>Troisième</v>
      </c>
      <c r="H317" s="589"/>
      <c r="I317" s="2093" t="str">
        <f>N_ThirdLoser</f>
        <v>Quatrième</v>
      </c>
      <c r="J317" s="589"/>
      <c r="K317" s="589"/>
      <c r="L317" s="589"/>
      <c r="M317" s="589"/>
      <c r="N317" s="589"/>
      <c r="O317" s="589"/>
      <c r="P317" s="589"/>
      <c r="Q317" s="589"/>
      <c r="R317" s="558"/>
      <c r="S317" s="607" t="str">
        <f>N_Heure</f>
        <v>Heure</v>
      </c>
      <c r="T317" s="607" t="str">
        <f>N_Table</f>
        <v>Table</v>
      </c>
      <c r="U317" s="607" t="str">
        <f>N_Arbitre</f>
        <v>Arbitre</v>
      </c>
      <c r="V317" s="608"/>
      <c r="W317" s="2349" t="str">
        <f>N_Scores</f>
        <v>Scores</v>
      </c>
      <c r="X317" s="2350"/>
      <c r="Y317" s="2351"/>
      <c r="Z317" s="609"/>
      <c r="AA317" s="606" t="str">
        <f>N_MS</f>
        <v>MS</v>
      </c>
      <c r="AB317" s="2346" t="str">
        <f>N_Diff</f>
        <v>Diff</v>
      </c>
      <c r="AC317" s="2347"/>
      <c r="AD317" s="2348"/>
      <c r="AE317" s="589"/>
      <c r="AF317" s="589"/>
      <c r="AG317" s="589"/>
      <c r="AH317" s="589"/>
      <c r="AI317" s="589"/>
      <c r="AJ317" s="589"/>
      <c r="AK317" s="589"/>
      <c r="AL317" s="575"/>
      <c r="AM317" s="589"/>
      <c r="AN317" s="1397"/>
      <c r="AO317" s="1397"/>
      <c r="AP317" s="1397"/>
      <c r="AQ317" s="1397"/>
      <c r="AR317" s="1397"/>
      <c r="AS317" s="1397"/>
      <c r="AT317" s="1397"/>
      <c r="AU317" s="1397"/>
      <c r="AV317" s="1397"/>
      <c r="AW317" s="1397"/>
      <c r="AX317" s="1397"/>
      <c r="AY317" s="1397"/>
      <c r="AZ317" s="1397"/>
      <c r="BA317" s="1397"/>
      <c r="BB317" s="1397"/>
      <c r="BC317" s="1397"/>
      <c r="BD317" s="1397"/>
      <c r="BE317" s="1397"/>
      <c r="BF317" s="1397"/>
      <c r="BG317" s="1397"/>
      <c r="BH317" s="1397"/>
      <c r="BI317" s="1397"/>
      <c r="BJ317" s="1397"/>
      <c r="BK317" s="1397"/>
      <c r="BL317" s="1397"/>
      <c r="BM317" s="1397"/>
      <c r="BN317" s="1397"/>
    </row>
    <row r="318" spans="1:66" ht="13.5" hidden="1" outlineLevel="1" thickBot="1" x14ac:dyDescent="0.25">
      <c r="A318" s="589"/>
      <c r="B318" s="589"/>
      <c r="C318" s="589"/>
      <c r="D318" s="589"/>
      <c r="E318" s="589"/>
      <c r="F318" s="589"/>
      <c r="G318" s="1335" t="str">
        <f>IF(W318="",IF(OR(HidePlayerFormulas,V318=""),"","("&amp;V318&amp;"-"&amp;Z318&amp;")"),IF(W318&gt;Y318,V318,IF(Y318&gt;W318,Z318,IF(AB318&gt;AD318,V318,IF(AD318&gt;AB318,Z318,mess_erreur_marque)))))</f>
        <v/>
      </c>
      <c r="H318" s="589"/>
      <c r="I318" s="2102" t="str">
        <f>IF(G318="","",IF(G318=V318,Z318,V318))</f>
        <v/>
      </c>
      <c r="K318" s="589"/>
      <c r="L318" s="589"/>
      <c r="M318" s="589"/>
      <c r="N318" s="589"/>
      <c r="O318" s="589"/>
      <c r="P318" s="589"/>
      <c r="Q318" s="589"/>
      <c r="R318" s="558" t="s">
        <v>7979</v>
      </c>
      <c r="S318" s="590"/>
      <c r="T318" s="591"/>
      <c r="U318" s="592"/>
      <c r="V318" s="605"/>
      <c r="W318" s="593"/>
      <c r="X318" s="594" t="s">
        <v>769</v>
      </c>
      <c r="Y318" s="595"/>
      <c r="Z318" s="605"/>
      <c r="AA318" s="596"/>
      <c r="AB318" s="597"/>
      <c r="AC318" s="594" t="s">
        <v>769</v>
      </c>
      <c r="AD318" s="595"/>
      <c r="AE318" s="589"/>
      <c r="AF318" s="589"/>
      <c r="AG318" s="589"/>
      <c r="AH318" s="589"/>
      <c r="AI318" s="589"/>
      <c r="AJ318" s="589"/>
      <c r="AK318" s="589"/>
      <c r="AL318" s="575"/>
      <c r="AM318" s="589"/>
      <c r="AN318" s="1397"/>
      <c r="AO318" s="1397"/>
      <c r="AP318" s="1397"/>
      <c r="AQ318" s="1397"/>
      <c r="AR318" s="1397"/>
      <c r="AS318" s="1397"/>
      <c r="AT318" s="1397"/>
      <c r="AU318" s="1397"/>
      <c r="AV318" s="1397"/>
      <c r="AW318" s="1397"/>
      <c r="AX318" s="1397"/>
      <c r="AY318" s="1397"/>
      <c r="AZ318" s="1397"/>
      <c r="BA318" s="1397"/>
      <c r="BB318" s="1397"/>
      <c r="BC318" s="1397"/>
      <c r="BD318" s="1397"/>
      <c r="BE318" s="1397"/>
      <c r="BF318" s="1397"/>
      <c r="BG318" s="1397"/>
      <c r="BH318" s="1397"/>
      <c r="BI318" s="1397"/>
      <c r="BJ318" s="1397"/>
      <c r="BK318" s="1397"/>
      <c r="BL318" s="1397"/>
      <c r="BM318" s="1397"/>
      <c r="BN318" s="1397"/>
    </row>
    <row r="319" spans="1:66" ht="13.5" hidden="1" outlineLevel="1" thickBot="1" x14ac:dyDescent="0.25">
      <c r="A319" s="267"/>
      <c r="B319" s="267"/>
      <c r="C319" s="267"/>
      <c r="D319" s="267"/>
      <c r="E319" s="267"/>
      <c r="F319" s="267"/>
      <c r="G319" s="267"/>
      <c r="H319" s="267"/>
      <c r="I319" s="267"/>
      <c r="J319" s="267"/>
      <c r="K319" s="267"/>
      <c r="L319" s="267"/>
      <c r="M319" s="267"/>
      <c r="N319" s="267"/>
      <c r="O319" s="267"/>
      <c r="P319" s="267"/>
      <c r="Q319" s="267"/>
      <c r="R319" s="334"/>
      <c r="S319" s="267"/>
      <c r="T319" s="267"/>
      <c r="U319" s="267"/>
      <c r="V319" s="267"/>
      <c r="W319" s="267"/>
      <c r="X319" s="267"/>
      <c r="Y319" s="267"/>
      <c r="Z319" s="267"/>
      <c r="AA319" s="267"/>
      <c r="AB319" s="267"/>
      <c r="AC319" s="267"/>
      <c r="AD319" s="267"/>
      <c r="AE319" s="267"/>
      <c r="AF319" s="267"/>
      <c r="AG319" s="267"/>
      <c r="AH319" s="267"/>
      <c r="AI319" s="267"/>
      <c r="AJ319" s="267"/>
      <c r="AK319" s="267"/>
      <c r="AM319" s="267"/>
      <c r="AN319" s="1397"/>
      <c r="AO319" s="1397"/>
      <c r="AP319" s="1397"/>
      <c r="AQ319" s="1397"/>
      <c r="AR319" s="1397"/>
      <c r="AS319" s="1397"/>
      <c r="AT319" s="1397"/>
      <c r="AU319" s="1397"/>
      <c r="AV319" s="1397"/>
      <c r="AW319" s="1397"/>
      <c r="AX319" s="1397"/>
      <c r="AY319" s="1397"/>
      <c r="AZ319" s="1397"/>
      <c r="BA319" s="1397"/>
      <c r="BB319" s="1397"/>
      <c r="BC319" s="1397"/>
      <c r="BD319" s="1397"/>
      <c r="BE319" s="1397"/>
      <c r="BF319" s="1397"/>
      <c r="BG319" s="1397"/>
      <c r="BH319" s="1397"/>
      <c r="BI319" s="1397"/>
      <c r="BJ319" s="1397"/>
      <c r="BK319" s="1397"/>
      <c r="BL319" s="1397"/>
      <c r="BM319" s="1397"/>
      <c r="BN319" s="1397"/>
    </row>
    <row r="320" spans="1:66" ht="13.5" collapsed="1" thickBot="1" x14ac:dyDescent="0.25">
      <c r="A320" s="589"/>
      <c r="B320" s="2352" t="str">
        <f>N_FINALE</f>
        <v>FINALE</v>
      </c>
      <c r="C320" s="2353"/>
      <c r="D320" s="2353"/>
      <c r="E320" s="2353"/>
      <c r="F320" s="2353"/>
      <c r="G320" s="2353"/>
      <c r="H320" s="2353"/>
      <c r="I320" s="2353"/>
      <c r="J320" s="2353"/>
      <c r="K320" s="2353"/>
      <c r="L320" s="2353"/>
      <c r="M320" s="2353"/>
      <c r="N320" s="2353"/>
      <c r="O320" s="2353"/>
      <c r="P320" s="2353"/>
      <c r="Q320" s="2353"/>
      <c r="R320" s="2353"/>
      <c r="S320" s="2353"/>
      <c r="T320" s="2353"/>
      <c r="U320" s="2353"/>
      <c r="V320" s="2353"/>
      <c r="W320" s="2353"/>
      <c r="X320" s="2353"/>
      <c r="Y320" s="2353"/>
      <c r="Z320" s="2353"/>
      <c r="AA320" s="2353"/>
      <c r="AB320" s="2353"/>
      <c r="AC320" s="2353"/>
      <c r="AD320" s="2353"/>
      <c r="AE320" s="2353"/>
      <c r="AF320" s="2353"/>
      <c r="AG320" s="2353"/>
      <c r="AH320" s="2353"/>
      <c r="AI320" s="2353"/>
      <c r="AJ320" s="2353"/>
      <c r="AK320" s="2353"/>
      <c r="AL320" s="2354"/>
      <c r="AM320" s="589"/>
      <c r="AN320" s="1397"/>
      <c r="AO320" s="1397"/>
      <c r="AP320" s="1397"/>
      <c r="AQ320" s="1397"/>
      <c r="AR320" s="1397"/>
      <c r="AS320" s="1397"/>
      <c r="AT320" s="1397"/>
      <c r="AU320" s="1397"/>
      <c r="AV320" s="1397"/>
      <c r="AW320" s="1397"/>
      <c r="AX320" s="1397"/>
      <c r="AY320" s="1397"/>
      <c r="AZ320" s="1397"/>
      <c r="BA320" s="1397"/>
      <c r="BB320" s="1397"/>
      <c r="BC320" s="1397"/>
      <c r="BD320" s="1397"/>
      <c r="BE320" s="1397"/>
      <c r="BF320" s="1397"/>
      <c r="BG320" s="1397"/>
      <c r="BH320" s="1397"/>
      <c r="BI320" s="1397"/>
      <c r="BJ320" s="1397"/>
      <c r="BK320" s="1397"/>
      <c r="BL320" s="1397"/>
      <c r="BM320" s="1397"/>
      <c r="BN320" s="1397"/>
    </row>
    <row r="321" spans="1:66" ht="13.5" hidden="1" outlineLevel="1" thickBot="1" x14ac:dyDescent="0.25">
      <c r="A321" s="589"/>
      <c r="B321" s="589"/>
      <c r="C321" s="589"/>
      <c r="D321" s="589"/>
      <c r="E321" s="589"/>
      <c r="F321" s="589"/>
      <c r="G321" s="606" t="str">
        <f>N_VAINQUEUR</f>
        <v>VAINQUEUR</v>
      </c>
      <c r="H321" s="589"/>
      <c r="I321" s="2093" t="str">
        <f>N_Finalist</f>
        <v>Finaliste</v>
      </c>
      <c r="J321" s="589"/>
      <c r="K321" s="589"/>
      <c r="L321" s="589"/>
      <c r="M321" s="589"/>
      <c r="N321" s="589"/>
      <c r="O321" s="589"/>
      <c r="P321" s="589"/>
      <c r="Q321" s="589"/>
      <c r="R321" s="558"/>
      <c r="S321" s="607" t="str">
        <f>N_Heure</f>
        <v>Heure</v>
      </c>
      <c r="T321" s="607" t="str">
        <f>N_Table</f>
        <v>Table</v>
      </c>
      <c r="U321" s="607" t="str">
        <f>N_Arbitre</f>
        <v>Arbitre</v>
      </c>
      <c r="V321" s="608"/>
      <c r="W321" s="2349" t="str">
        <f>N_Scores</f>
        <v>Scores</v>
      </c>
      <c r="X321" s="2350"/>
      <c r="Y321" s="2351"/>
      <c r="Z321" s="609"/>
      <c r="AA321" s="606" t="str">
        <f>N_MS</f>
        <v>MS</v>
      </c>
      <c r="AB321" s="2346" t="str">
        <f>N_Diff</f>
        <v>Diff</v>
      </c>
      <c r="AC321" s="2347"/>
      <c r="AD321" s="2348"/>
      <c r="AE321" s="589"/>
      <c r="AF321" s="589"/>
      <c r="AG321" s="589"/>
      <c r="AH321" s="589"/>
      <c r="AI321" s="589"/>
      <c r="AJ321" s="589"/>
      <c r="AK321" s="589"/>
      <c r="AL321" s="575"/>
      <c r="AM321" s="589"/>
      <c r="AN321" s="1397"/>
      <c r="AO321" s="1397"/>
      <c r="AP321" s="1397"/>
      <c r="AQ321" s="1397"/>
      <c r="AR321" s="1397"/>
      <c r="AS321" s="1397"/>
      <c r="AT321" s="1397"/>
      <c r="AU321" s="1397"/>
      <c r="AV321" s="1397"/>
      <c r="AW321" s="1397"/>
      <c r="AX321" s="1397"/>
      <c r="AY321" s="1397"/>
      <c r="AZ321" s="1397"/>
      <c r="BA321" s="1397"/>
      <c r="BB321" s="1397"/>
      <c r="BC321" s="1397"/>
      <c r="BD321" s="1397"/>
      <c r="BE321" s="1397"/>
      <c r="BF321" s="1397"/>
      <c r="BG321" s="1397"/>
      <c r="BH321" s="1397"/>
      <c r="BI321" s="1397"/>
      <c r="BJ321" s="1397"/>
      <c r="BK321" s="1397"/>
      <c r="BL321" s="1397"/>
      <c r="BM321" s="1397"/>
      <c r="BN321" s="1397"/>
    </row>
    <row r="322" spans="1:66" ht="13.5" hidden="1" outlineLevel="1" thickBot="1" x14ac:dyDescent="0.25">
      <c r="A322" s="589"/>
      <c r="B322" s="589"/>
      <c r="C322" s="589"/>
      <c r="D322" s="589"/>
      <c r="E322" s="589"/>
      <c r="F322" s="589"/>
      <c r="G322" s="2103" t="str">
        <f>IF(W322="",IF(OR(HidePlayerFormulas,V322=""),"","("&amp;V322&amp;"-"&amp;Z322&amp;")"),IF(W322&gt;Y322,V322,IF(Y322&gt;W322,Z322,IF(AB322&gt;AD322,V322,IF(AD322&gt;AB322,Z322,mess_erreur_marque)))))</f>
        <v/>
      </c>
      <c r="H322" s="589"/>
      <c r="I322" s="2104" t="str">
        <f>IF(G322="","",IF(G322=V322,Z322,V322))</f>
        <v/>
      </c>
      <c r="K322" s="589"/>
      <c r="L322" s="589"/>
      <c r="M322" s="589"/>
      <c r="N322" s="589"/>
      <c r="O322" s="589"/>
      <c r="P322" s="589"/>
      <c r="Q322" s="589"/>
      <c r="R322" s="558" t="s">
        <v>1725</v>
      </c>
      <c r="S322" s="590"/>
      <c r="T322" s="591"/>
      <c r="U322" s="592"/>
      <c r="V322" s="605"/>
      <c r="W322" s="593"/>
      <c r="X322" s="594" t="s">
        <v>769</v>
      </c>
      <c r="Y322" s="595"/>
      <c r="Z322" s="605"/>
      <c r="AA322" s="596"/>
      <c r="AB322" s="597"/>
      <c r="AC322" s="594" t="s">
        <v>769</v>
      </c>
      <c r="AD322" s="595"/>
      <c r="AE322" s="589"/>
      <c r="AF322" s="589"/>
      <c r="AG322" s="589"/>
      <c r="AH322" s="589"/>
      <c r="AI322" s="589"/>
      <c r="AJ322" s="589"/>
      <c r="AK322" s="589"/>
      <c r="AL322" s="575"/>
      <c r="AM322" s="589"/>
      <c r="AN322" s="1397"/>
      <c r="AO322" s="1397"/>
      <c r="AP322" s="1397"/>
      <c r="AQ322" s="1397"/>
      <c r="AR322" s="1397"/>
      <c r="AS322" s="1397"/>
      <c r="AT322" s="1397"/>
      <c r="AU322" s="1397"/>
      <c r="AV322" s="1397"/>
      <c r="AW322" s="1397"/>
      <c r="AX322" s="1397"/>
      <c r="AY322" s="1397"/>
      <c r="AZ322" s="1397"/>
      <c r="BA322" s="1397"/>
      <c r="BB322" s="1397"/>
      <c r="BC322" s="1397"/>
      <c r="BD322" s="1397"/>
      <c r="BE322" s="1397"/>
      <c r="BF322" s="1397"/>
      <c r="BG322" s="1397"/>
      <c r="BH322" s="1397"/>
      <c r="BI322" s="1397"/>
      <c r="BJ322" s="1397"/>
      <c r="BK322" s="1397"/>
      <c r="BL322" s="1397"/>
      <c r="BM322" s="1397"/>
      <c r="BN322" s="1397"/>
    </row>
    <row r="323" spans="1:66" hidden="1" outlineLevel="1" x14ac:dyDescent="0.2">
      <c r="A323" s="267"/>
      <c r="B323" s="267"/>
      <c r="C323" s="267"/>
      <c r="D323" s="267"/>
      <c r="E323" s="267"/>
      <c r="F323" s="267"/>
      <c r="G323" s="267"/>
      <c r="H323" s="267"/>
      <c r="I323" s="267"/>
      <c r="J323" s="267"/>
      <c r="K323" s="267"/>
      <c r="L323" s="267"/>
      <c r="M323" s="267"/>
      <c r="N323" s="267"/>
      <c r="O323" s="267"/>
      <c r="P323" s="267"/>
      <c r="Q323" s="267"/>
      <c r="R323" s="334"/>
      <c r="S323" s="267"/>
      <c r="T323" s="267"/>
      <c r="U323" s="267"/>
      <c r="V323" s="267"/>
      <c r="W323" s="267"/>
      <c r="X323" s="267"/>
      <c r="Y323" s="267"/>
      <c r="Z323" s="267"/>
      <c r="AA323" s="267"/>
      <c r="AB323" s="267"/>
      <c r="AC323" s="267"/>
      <c r="AD323" s="267"/>
      <c r="AE323" s="267"/>
      <c r="AF323" s="267"/>
      <c r="AG323" s="267"/>
      <c r="AH323" s="267"/>
      <c r="AI323" s="267"/>
      <c r="AJ323" s="267"/>
      <c r="AK323" s="267"/>
      <c r="AM323" s="267"/>
      <c r="AN323" s="1397"/>
      <c r="AO323" s="1397"/>
      <c r="AP323" s="1397"/>
      <c r="AQ323" s="1397"/>
      <c r="AR323" s="1397"/>
      <c r="AS323" s="1397"/>
      <c r="AT323" s="1397"/>
      <c r="AU323" s="1397"/>
      <c r="AV323" s="1397"/>
      <c r="AW323" s="1397"/>
      <c r="AX323" s="1397"/>
      <c r="AY323" s="1397"/>
      <c r="AZ323" s="1397"/>
      <c r="BA323" s="1397"/>
      <c r="BB323" s="1397"/>
      <c r="BC323" s="1397"/>
      <c r="BD323" s="1397"/>
      <c r="BE323" s="1397"/>
      <c r="BF323" s="1397"/>
      <c r="BG323" s="1397"/>
      <c r="BH323" s="1397"/>
      <c r="BI323" s="1397"/>
      <c r="BJ323" s="1397"/>
      <c r="BK323" s="1397"/>
      <c r="BL323" s="1397"/>
      <c r="BM323" s="1397"/>
      <c r="BN323" s="1397"/>
    </row>
    <row r="324" spans="1:66" x14ac:dyDescent="0.2">
      <c r="A324" s="1397"/>
      <c r="B324" s="1397"/>
      <c r="C324" s="1397"/>
      <c r="D324" s="1397"/>
      <c r="E324" s="1397"/>
      <c r="F324" s="1397"/>
      <c r="G324" s="1397"/>
      <c r="H324" s="1397"/>
      <c r="I324" s="1397"/>
      <c r="J324" s="1397"/>
      <c r="K324" s="1397"/>
      <c r="L324" s="1397"/>
      <c r="M324" s="1397"/>
      <c r="N324" s="1397"/>
      <c r="O324" s="1397"/>
      <c r="P324" s="1397"/>
      <c r="Q324" s="1397"/>
      <c r="R324" s="13"/>
      <c r="S324" s="1397"/>
      <c r="T324" s="1397"/>
      <c r="U324" s="1397"/>
      <c r="V324" s="1397"/>
      <c r="W324" s="1397"/>
      <c r="X324" s="1397"/>
      <c r="Y324" s="1397"/>
      <c r="Z324" s="1397"/>
      <c r="AA324" s="1397"/>
      <c r="AB324" s="1397"/>
      <c r="AC324" s="1397"/>
      <c r="AD324" s="1397"/>
      <c r="AE324" s="1397"/>
      <c r="AF324" s="1397"/>
      <c r="AG324" s="1397"/>
      <c r="AH324" s="1397"/>
      <c r="AI324" s="1397"/>
      <c r="AJ324" s="1397"/>
      <c r="AK324" s="1397"/>
      <c r="AL324" s="1397"/>
      <c r="AM324" s="1397"/>
      <c r="AN324" s="1397"/>
      <c r="AO324" s="1397"/>
      <c r="AP324" s="1397"/>
      <c r="AQ324" s="1397"/>
      <c r="AR324" s="1397"/>
      <c r="AS324" s="1397"/>
      <c r="AT324" s="1397"/>
      <c r="AU324" s="1397"/>
      <c r="AV324" s="1397"/>
      <c r="AW324" s="1397"/>
      <c r="AX324" s="1397"/>
      <c r="AY324" s="1397"/>
      <c r="AZ324" s="1397"/>
      <c r="BA324" s="1397"/>
      <c r="BB324" s="1397"/>
      <c r="BC324" s="1397"/>
      <c r="BD324" s="1397"/>
      <c r="BE324" s="1397"/>
      <c r="BF324" s="1397"/>
      <c r="BG324" s="1397"/>
      <c r="BH324" s="1397"/>
      <c r="BI324" s="1397"/>
      <c r="BJ324" s="1397"/>
      <c r="BK324" s="1397"/>
      <c r="BL324" s="1397"/>
      <c r="BM324" s="1397"/>
      <c r="BN324" s="1397"/>
    </row>
  </sheetData>
  <sheetProtection formatColumns="0" formatRows="0"/>
  <dataConsolidate/>
  <customSheetViews>
    <customSheetView guid="{13F24B0A-7740-483A-BEF7-5257F8522605}" showGridLines="0" fitToPage="1" hiddenRows="1" hiddenColumns="1" state="hidden">
      <selection activeCell="I330" sqref="I330"/>
      <rowBreaks count="2" manualBreakCount="2">
        <brk id="39" max="16383" man="1"/>
        <brk id="302" max="16383" man="1"/>
      </rowBreaks>
      <pageMargins left="0.51181102362204722" right="0.51181102362204722" top="0.85" bottom="0.47244094488188981" header="0.27559055118110237" footer="0.31496062992125984"/>
      <printOptions horizontalCentered="1"/>
      <pageSetup paperSize="9" fitToHeight="0" orientation="landscape" r:id="rId1"/>
      <headerFooter alignWithMargins="0">
        <oddHeader>&amp;L28 février &amp; 1er mars 2009&amp;C&amp;"Arial,Gras"&amp;16COUPE DE FRANCE 2009
&amp;A&amp;R&amp;P / &amp;N</oddHeader>
      </headerFooter>
    </customSheetView>
  </customSheetViews>
  <mergeCells count="30">
    <mergeCell ref="B274:AL274"/>
    <mergeCell ref="B293:AL293"/>
    <mergeCell ref="AB305:AD305"/>
    <mergeCell ref="B304:AL304"/>
    <mergeCell ref="B311:AL311"/>
    <mergeCell ref="W275:Y275"/>
    <mergeCell ref="AB275:AD275"/>
    <mergeCell ref="AB294:AD294"/>
    <mergeCell ref="W305:Y305"/>
    <mergeCell ref="W294:Y294"/>
    <mergeCell ref="B4:AL4"/>
    <mergeCell ref="B239:AL239"/>
    <mergeCell ref="W5:Y5"/>
    <mergeCell ref="W240:Y240"/>
    <mergeCell ref="AB5:AD5"/>
    <mergeCell ref="B41:AL41"/>
    <mergeCell ref="W42:Y42"/>
    <mergeCell ref="AB42:AD42"/>
    <mergeCell ref="B172:AL172"/>
    <mergeCell ref="W173:Y173"/>
    <mergeCell ref="AB173:AD173"/>
    <mergeCell ref="AB240:AD240"/>
    <mergeCell ref="AB321:AD321"/>
    <mergeCell ref="W312:Y312"/>
    <mergeCell ref="W321:Y321"/>
    <mergeCell ref="B320:AL320"/>
    <mergeCell ref="AB312:AD312"/>
    <mergeCell ref="B316:AL316"/>
    <mergeCell ref="W317:Y317"/>
    <mergeCell ref="AB317:AD317"/>
  </mergeCells>
  <phoneticPr fontId="0" type="noConversion"/>
  <conditionalFormatting sqref="G1:G1048576 V1:V1048576 Z1:Z1048576">
    <cfRule type="expression" dxfId="74" priority="18" stopIfTrue="1">
      <formula>AND(LEFT(G1,1) = "(", RIGHT(G1,1) =")")</formula>
    </cfRule>
  </conditionalFormatting>
  <conditionalFormatting sqref="I5">
    <cfRule type="expression" dxfId="73" priority="17" stopIfTrue="1">
      <formula>AND(LEFT(I5,1) = "(", RIGHT(I5,1) =")")</formula>
    </cfRule>
  </conditionalFormatting>
  <conditionalFormatting sqref="I42">
    <cfRule type="expression" dxfId="72" priority="16" stopIfTrue="1">
      <formula>AND(LEFT(I42,1) = "(", RIGHT(I42,1) =")")</formula>
    </cfRule>
  </conditionalFormatting>
  <conditionalFormatting sqref="I173">
    <cfRule type="expression" dxfId="71" priority="15" stopIfTrue="1">
      <formula>AND(LEFT(I173,1) = "(", RIGHT(I173,1) =")")</formula>
    </cfRule>
  </conditionalFormatting>
  <conditionalFormatting sqref="I240">
    <cfRule type="expression" dxfId="70" priority="14" stopIfTrue="1">
      <formula>AND(LEFT(I240,1) = "(", RIGHT(I240,1) =")")</formula>
    </cfRule>
  </conditionalFormatting>
  <conditionalFormatting sqref="I275">
    <cfRule type="expression" dxfId="69" priority="13" stopIfTrue="1">
      <formula>AND(LEFT(I275,1) = "(", RIGHT(I275,1) =")")</formula>
    </cfRule>
  </conditionalFormatting>
  <conditionalFormatting sqref="I294">
    <cfRule type="expression" dxfId="68" priority="12" stopIfTrue="1">
      <formula>AND(LEFT(I294,1) = "(", RIGHT(I294,1) =")")</formula>
    </cfRule>
  </conditionalFormatting>
  <conditionalFormatting sqref="I305">
    <cfRule type="expression" dxfId="67" priority="11" stopIfTrue="1">
      <formula>AND(LEFT(I305,1) = "(", RIGHT(I305,1) =")")</formula>
    </cfRule>
  </conditionalFormatting>
  <conditionalFormatting sqref="I312">
    <cfRule type="expression" dxfId="66" priority="10" stopIfTrue="1">
      <formula>AND(LEFT(I312,1) = "(", RIGHT(I312,1) =")")</formula>
    </cfRule>
  </conditionalFormatting>
  <conditionalFormatting sqref="I317">
    <cfRule type="expression" dxfId="65" priority="9" stopIfTrue="1">
      <formula>AND(LEFT(I317,1) = "(", RIGHT(I317,1) =")")</formula>
    </cfRule>
  </conditionalFormatting>
  <conditionalFormatting sqref="I321">
    <cfRule type="expression" dxfId="64" priority="8" stopIfTrue="1">
      <formula>AND(LEFT(I321,1) = "(", RIGHT(I321,1) =")")</formula>
    </cfRule>
  </conditionalFormatting>
  <conditionalFormatting sqref="I43:I170">
    <cfRule type="expression" dxfId="63" priority="7" stopIfTrue="1">
      <formula>AND(LEFT(I43,1) = "(", RIGHT(I43,1) =")")</formula>
    </cfRule>
  </conditionalFormatting>
  <conditionalFormatting sqref="I174:I237">
    <cfRule type="expression" dxfId="62" priority="6" stopIfTrue="1">
      <formula>AND(LEFT(I174,1) = "(", RIGHT(I174,1) =")")</formula>
    </cfRule>
  </conditionalFormatting>
  <conditionalFormatting sqref="I241:I272">
    <cfRule type="expression" dxfId="61" priority="5" stopIfTrue="1">
      <formula>AND(LEFT(I241,1) = "(", RIGHT(I241,1) =")")</formula>
    </cfRule>
  </conditionalFormatting>
  <conditionalFormatting sqref="I276:I291">
    <cfRule type="expression" dxfId="60" priority="4" stopIfTrue="1">
      <formula>AND(LEFT(I276,1) = "(", RIGHT(I276,1) =")")</formula>
    </cfRule>
  </conditionalFormatting>
  <conditionalFormatting sqref="I295:I302">
    <cfRule type="expression" dxfId="59" priority="3" stopIfTrue="1">
      <formula>AND(LEFT(I295,1) = "(", RIGHT(I295,1) =")")</formula>
    </cfRule>
  </conditionalFormatting>
  <conditionalFormatting sqref="I306:I309">
    <cfRule type="expression" dxfId="58" priority="2" stopIfTrue="1">
      <formula>AND(LEFT(I306,1) = "(", RIGHT(I306,1) =")")</formula>
    </cfRule>
  </conditionalFormatting>
  <conditionalFormatting sqref="I313:I314">
    <cfRule type="expression" dxfId="57" priority="1" stopIfTrue="1">
      <formula>AND(LEFT(I313,1) = "(", RIGHT(I313,1) =")")</formula>
    </cfRule>
  </conditionalFormatting>
  <dataValidations count="6">
    <dataValidation type="list" allowBlank="1" showInputMessage="1" showErrorMessage="1" sqref="AA6:AA17 AA19:AA30 AA276:AA291 AA295:AA302 AA306:AA309 AA313:AA314 AA322 AA241:AA272 AA174:AA237 AA43:AA170 AA318" xr:uid="{00000000-0002-0000-1500-000000000000}">
      <formula1>"x"</formula1>
    </dataValidation>
    <dataValidation type="list" allowBlank="1" showInputMessage="1" showErrorMessage="1" sqref="U19:U30 U6:U17 U276:U291 U295:U302 U306:U309 U313:U314 U322 U241:U272 U174:U237 U43:U170 U318" xr:uid="{00000000-0002-0000-1500-000001000000}">
      <formula1>Liste_Inscrits</formula1>
    </dataValidation>
    <dataValidation type="list" allowBlank="1" showInputMessage="1" showErrorMessage="1" sqref="G2" xr:uid="{00000000-0002-0000-1500-000002000000}">
      <formula1>List_Categories</formula1>
    </dataValidation>
    <dataValidation type="list" allowBlank="1" showErrorMessage="1" sqref="Z7:Z17 V7:V17 Z19:Z30 V19:V30" xr:uid="{00000000-0002-0000-1500-000003000000}">
      <formula1>OFFSET(List_headers,1,MATCH(Particular_Category,List_headers,0)-1,OFFSET(List_headers,-1,MATCH(Particular_Category,List_headers,0)-1,1,1),1)</formula1>
    </dataValidation>
    <dataValidation type="list" allowBlank="1" showInputMessage="1" showErrorMessage="1" sqref="G32:G39" xr:uid="{00000000-0002-0000-1500-000004000000}">
      <formula1>OFFSET(List_headers,1,MATCH(Particular_Category,List_headers,0)-1,OFFSET(List_headers,-1,MATCH(Particular_Category,List_headers,0)-1,1,1),1)</formula1>
    </dataValidation>
    <dataValidation type="list" allowBlank="1" sqref="V6 Z6 V241:V272 Z241:Z272 V276:V291 Z276:Z291 V295:V302 Z295:Z302 V306:V309 Z306:Z309 V313:V314 Z313:Z314 V322 Z322 V174:V237 Z174:Z237 V43:V170 Z43:Z170 V318 Z318" xr:uid="{00000000-0002-0000-1500-000005000000}">
      <formula1>OFFSET(List_headers,1,MATCH(Particular_Category,List_headers,0)-1,OFFSET(List_headers,-1,MATCH(Particular_Category,List_headers,0)-1,1,1),1)</formula1>
    </dataValidation>
  </dataValidations>
  <printOptions horizontalCentered="1"/>
  <pageMargins left="0.51181102362204722" right="0.51181102362204722" top="0.85" bottom="0.47244094488188981" header="0.27559055118110237" footer="0.31496062992125984"/>
  <pageSetup paperSize="9" fitToHeight="0" orientation="landscape" r:id="rId2"/>
  <headerFooter alignWithMargins="0">
    <oddHeader>&amp;L28 février &amp; 1er mars 2009&amp;C&amp;"Arial,Gras"&amp;16COUPE DE FRANCE 2009
&amp;A&amp;R&amp;P / &amp;N</oddHeader>
  </headerFooter>
  <rowBreaks count="2" manualBreakCount="2">
    <brk id="39" max="16383" man="1"/>
    <brk id="302" max="16383" man="1"/>
  </rowBreaks>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t_FDLTeams">
    <tabColor theme="0" tint="-0.249977111117893"/>
    <outlinePr summaryBelow="0" summaryRight="0"/>
  </sheetPr>
  <dimension ref="A1:BQ238"/>
  <sheetViews>
    <sheetView showGridLines="0" workbookViewId="0">
      <selection activeCell="Y246" sqref="Y246"/>
    </sheetView>
  </sheetViews>
  <sheetFormatPr baseColWidth="10" defaultColWidth="3.7109375" defaultRowHeight="12.75" outlineLevelRow="3" outlineLevelCol="1" x14ac:dyDescent="0.2"/>
  <cols>
    <col min="1" max="20" width="2.42578125" style="7" customWidth="1"/>
    <col min="21" max="21" width="2.42578125" style="7" customWidth="1" collapsed="1"/>
    <col min="22" max="22" width="6.42578125" style="7" hidden="1" customWidth="1" outlineLevel="1"/>
    <col min="23" max="23" width="6.140625" style="7" hidden="1" customWidth="1" outlineLevel="1"/>
    <col min="24" max="24" width="18.7109375" style="7" hidden="1" customWidth="1" outlineLevel="1"/>
    <col min="25" max="25" width="18.28515625" style="7" customWidth="1"/>
    <col min="26" max="26" width="5.42578125" style="7" customWidth="1"/>
    <col min="27" max="27" width="1.5703125" style="7" bestFit="1" customWidth="1"/>
    <col min="28" max="28" width="5.42578125" style="7" customWidth="1"/>
    <col min="29" max="29" width="17.7109375" style="7" customWidth="1"/>
    <col min="30" max="30" width="3.7109375" style="7" customWidth="1"/>
    <col min="31" max="38" width="3.7109375" style="7" hidden="1" customWidth="1"/>
    <col min="39" max="39" width="3.7109375" style="7" customWidth="1"/>
    <col min="40" max="40" width="3" style="7" customWidth="1"/>
    <col min="41" max="16384" width="3.7109375" style="7"/>
  </cols>
  <sheetData>
    <row r="1" spans="1:69" ht="13.5" thickBot="1" x14ac:dyDescent="0.25">
      <c r="A1" s="270"/>
      <c r="B1" s="270"/>
      <c r="C1" s="270"/>
      <c r="D1" s="270"/>
      <c r="E1" s="270"/>
      <c r="F1" s="270"/>
      <c r="G1" s="270"/>
      <c r="H1" s="270"/>
      <c r="I1" s="270"/>
      <c r="J1" s="270"/>
      <c r="K1" s="270"/>
      <c r="L1" s="270"/>
      <c r="M1" s="270"/>
      <c r="N1" s="270"/>
      <c r="O1" s="270"/>
      <c r="P1" s="270"/>
      <c r="Q1" s="270"/>
      <c r="R1" s="270"/>
      <c r="S1" s="270"/>
      <c r="T1" s="270"/>
      <c r="U1" s="632"/>
      <c r="V1" s="270"/>
      <c r="W1" s="270"/>
      <c r="X1" s="270"/>
      <c r="Y1" s="1" t="str">
        <f>N_Event_Type</f>
        <v>Type de l'épreuve</v>
      </c>
      <c r="Z1" s="270"/>
      <c r="AA1" s="270"/>
      <c r="AB1" s="270"/>
      <c r="AC1" s="270"/>
      <c r="AD1" s="270"/>
      <c r="AE1" s="270"/>
      <c r="AF1" s="270"/>
      <c r="AG1" s="270"/>
      <c r="AH1" s="270"/>
      <c r="AI1" s="270"/>
      <c r="AJ1" s="270"/>
      <c r="AK1" s="270"/>
      <c r="AL1" s="270"/>
      <c r="AM1" s="270"/>
      <c r="AN1" s="270"/>
      <c r="AO1" s="270"/>
      <c r="AP1" s="270"/>
      <c r="AQ1" s="270"/>
      <c r="AR1" s="270"/>
      <c r="AS1" s="270"/>
      <c r="AT1" s="270"/>
      <c r="AU1" s="270"/>
      <c r="AV1" s="270"/>
      <c r="AW1" s="270"/>
      <c r="AX1" s="270"/>
      <c r="AY1" s="270"/>
      <c r="AZ1" s="270"/>
      <c r="BA1" s="270"/>
      <c r="BB1" s="270"/>
      <c r="BC1" s="270"/>
      <c r="BD1" s="270"/>
      <c r="BE1" s="270"/>
      <c r="BF1" s="270"/>
      <c r="BG1" s="270"/>
      <c r="BH1" s="270"/>
      <c r="BI1" s="270"/>
      <c r="BJ1" s="270"/>
      <c r="BK1" s="270"/>
      <c r="BL1" s="270"/>
      <c r="BM1" s="270"/>
      <c r="BN1" s="270"/>
      <c r="BO1" s="270"/>
      <c r="BP1" s="270"/>
      <c r="BQ1" s="270"/>
    </row>
    <row r="2" spans="1:69" ht="13.5" thickBot="1" x14ac:dyDescent="0.25">
      <c r="A2" s="270"/>
      <c r="B2" s="270"/>
      <c r="C2" s="628"/>
      <c r="D2" s="270"/>
      <c r="E2" s="270"/>
      <c r="F2" s="270"/>
      <c r="G2" s="270"/>
      <c r="H2" s="270"/>
      <c r="I2" s="270"/>
      <c r="J2" s="270"/>
      <c r="K2" s="270"/>
      <c r="L2" s="270"/>
      <c r="M2" s="270"/>
      <c r="N2" s="270"/>
      <c r="O2" s="270"/>
      <c r="P2" s="270"/>
      <c r="Q2" s="270"/>
      <c r="R2" s="270"/>
      <c r="S2" s="270"/>
      <c r="T2" s="270"/>
      <c r="U2" s="632"/>
      <c r="V2" s="270"/>
      <c r="W2" s="270"/>
      <c r="X2" s="270"/>
      <c r="Y2" s="322" t="str">
        <f>Event1</f>
        <v>Open</v>
      </c>
      <c r="Z2" s="270"/>
      <c r="AA2" s="271"/>
      <c r="AB2" s="290"/>
      <c r="AC2" s="270"/>
      <c r="AD2" s="270"/>
      <c r="AE2" s="270"/>
      <c r="AF2" s="270"/>
      <c r="AG2" s="270"/>
      <c r="AH2" s="270"/>
      <c r="AI2" s="270"/>
      <c r="AJ2" s="270"/>
      <c r="AK2" s="270"/>
      <c r="AL2" s="270"/>
      <c r="AM2" s="270"/>
      <c r="AN2" s="270"/>
      <c r="AO2" s="270"/>
      <c r="AP2" s="270"/>
      <c r="AQ2" s="270"/>
      <c r="AR2" s="270"/>
      <c r="AS2" s="270"/>
      <c r="AT2" s="270"/>
      <c r="AU2" s="270"/>
      <c r="AV2" s="270"/>
      <c r="AW2" s="270"/>
      <c r="AX2" s="270"/>
      <c r="AY2" s="270"/>
      <c r="AZ2" s="270"/>
      <c r="BA2" s="270"/>
      <c r="BB2" s="270"/>
      <c r="BC2" s="270"/>
      <c r="BD2" s="270"/>
      <c r="BE2" s="270"/>
      <c r="BF2" s="270"/>
      <c r="BG2" s="270"/>
      <c r="BH2" s="270"/>
      <c r="BI2" s="270"/>
      <c r="BJ2" s="270"/>
      <c r="BK2" s="270"/>
      <c r="BL2" s="270"/>
      <c r="BM2" s="270"/>
      <c r="BN2" s="270"/>
      <c r="BO2" s="270"/>
      <c r="BP2" s="270"/>
      <c r="BQ2" s="270"/>
    </row>
    <row r="3" spans="1:69" ht="13.5" thickBot="1" x14ac:dyDescent="0.25">
      <c r="A3" s="270"/>
      <c r="B3" s="270"/>
      <c r="C3" s="270"/>
      <c r="D3" s="270"/>
      <c r="E3" s="270"/>
      <c r="F3" s="270"/>
      <c r="G3" s="270"/>
      <c r="H3" s="270"/>
      <c r="I3" s="270"/>
      <c r="J3" s="270"/>
      <c r="K3" s="270"/>
      <c r="L3" s="270"/>
      <c r="M3" s="270"/>
      <c r="N3" s="270"/>
      <c r="O3" s="270"/>
      <c r="P3" s="270"/>
      <c r="Q3" s="270"/>
      <c r="R3" s="270"/>
      <c r="S3" s="270"/>
      <c r="T3" s="270"/>
      <c r="U3" s="632"/>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c r="BB3" s="270"/>
      <c r="BC3" s="270"/>
      <c r="BD3" s="270"/>
      <c r="BE3" s="270"/>
      <c r="BF3" s="270"/>
      <c r="BG3" s="270"/>
      <c r="BH3" s="270"/>
      <c r="BI3" s="270"/>
      <c r="BJ3" s="270"/>
      <c r="BK3" s="270"/>
      <c r="BL3" s="270"/>
      <c r="BM3" s="270"/>
      <c r="BN3" s="270"/>
      <c r="BO3" s="270"/>
      <c r="BP3" s="270"/>
      <c r="BQ3" s="270"/>
    </row>
    <row r="4" spans="1:69" ht="13.5" collapsed="1" thickBot="1" x14ac:dyDescent="0.25">
      <c r="A4" s="270"/>
      <c r="B4" s="2421" t="str">
        <f>N_BARRAGES</f>
        <v>BARRAGES</v>
      </c>
      <c r="C4" s="2422"/>
      <c r="D4" s="2422"/>
      <c r="E4" s="2422"/>
      <c r="F4" s="2422"/>
      <c r="G4" s="2422"/>
      <c r="H4" s="2422"/>
      <c r="I4" s="2422"/>
      <c r="J4" s="2422"/>
      <c r="K4" s="2422"/>
      <c r="L4" s="2422"/>
      <c r="M4" s="2422"/>
      <c r="N4" s="2422"/>
      <c r="O4" s="2422"/>
      <c r="P4" s="2422"/>
      <c r="Q4" s="2422"/>
      <c r="R4" s="2422"/>
      <c r="S4" s="2422"/>
      <c r="T4" s="2422"/>
      <c r="U4" s="2422"/>
      <c r="V4" s="2422"/>
      <c r="W4" s="2422"/>
      <c r="X4" s="2422"/>
      <c r="Y4" s="2422"/>
      <c r="Z4" s="2422"/>
      <c r="AA4" s="2422"/>
      <c r="AB4" s="2422"/>
      <c r="AC4" s="2422"/>
      <c r="AD4" s="2422"/>
      <c r="AE4" s="2422"/>
      <c r="AF4" s="2422"/>
      <c r="AG4" s="2422"/>
      <c r="AH4" s="2422"/>
      <c r="AI4" s="2422"/>
      <c r="AJ4" s="2422"/>
      <c r="AK4" s="2422"/>
      <c r="AL4" s="2422"/>
      <c r="AM4" s="2423"/>
      <c r="AN4" s="270"/>
      <c r="AO4" s="270"/>
      <c r="AP4" s="270"/>
      <c r="AQ4" s="270"/>
      <c r="AR4" s="270"/>
      <c r="AS4" s="270"/>
      <c r="AT4" s="270"/>
      <c r="AU4" s="270"/>
      <c r="AV4" s="270"/>
      <c r="AW4" s="270"/>
      <c r="AX4" s="270"/>
      <c r="AY4" s="270"/>
      <c r="AZ4" s="270"/>
      <c r="BA4" s="270"/>
      <c r="BB4" s="270"/>
      <c r="BC4" s="270"/>
      <c r="BD4" s="270"/>
      <c r="BE4" s="270"/>
      <c r="BF4" s="270"/>
      <c r="BG4" s="270"/>
      <c r="BH4" s="270"/>
      <c r="BI4" s="270"/>
      <c r="BJ4" s="270"/>
      <c r="BK4" s="270"/>
      <c r="BL4" s="270"/>
      <c r="BM4" s="270"/>
      <c r="BN4" s="270"/>
      <c r="BO4" s="270"/>
      <c r="BP4" s="270"/>
      <c r="BQ4" s="270"/>
    </row>
    <row r="5" spans="1:69" ht="13.5" hidden="1" outlineLevel="1" thickBot="1" x14ac:dyDescent="0.25">
      <c r="A5" s="270"/>
      <c r="B5" s="270"/>
      <c r="C5" s="270"/>
      <c r="D5" s="270"/>
      <c r="E5" s="270"/>
      <c r="F5" s="270"/>
      <c r="G5" s="270"/>
      <c r="H5" s="270"/>
      <c r="I5" s="270"/>
      <c r="J5" s="270"/>
      <c r="K5" s="270"/>
      <c r="L5" s="270"/>
      <c r="M5" s="270"/>
      <c r="N5" s="270"/>
      <c r="O5" s="270"/>
      <c r="P5" s="270"/>
      <c r="Q5" s="270"/>
      <c r="R5" s="270"/>
      <c r="S5" s="270"/>
      <c r="T5" s="270"/>
      <c r="U5" s="632"/>
      <c r="V5" s="270"/>
      <c r="W5" s="270"/>
      <c r="X5" s="270"/>
      <c r="Y5" s="270"/>
      <c r="Z5" s="270"/>
      <c r="AA5" s="270"/>
      <c r="AB5" s="270"/>
      <c r="AC5" s="270"/>
      <c r="AD5" s="270"/>
      <c r="AE5" s="270"/>
      <c r="AF5" s="270"/>
      <c r="AG5" s="270"/>
      <c r="AH5" s="270"/>
      <c r="AI5" s="270"/>
      <c r="AJ5" s="270"/>
      <c r="AK5" s="270"/>
      <c r="AL5" s="270"/>
      <c r="AM5" s="270"/>
      <c r="AN5" s="270"/>
      <c r="AO5" s="270"/>
      <c r="AP5" s="270"/>
      <c r="AQ5" s="270"/>
      <c r="AR5" s="270"/>
      <c r="AS5" s="270"/>
      <c r="AT5" s="270"/>
      <c r="AU5" s="270"/>
      <c r="AV5" s="270"/>
      <c r="AW5" s="270"/>
      <c r="AX5" s="270"/>
      <c r="AY5" s="270"/>
      <c r="AZ5" s="270"/>
      <c r="BA5" s="270"/>
      <c r="BB5" s="270"/>
      <c r="BC5" s="270"/>
      <c r="BD5" s="270"/>
      <c r="BE5" s="270"/>
      <c r="BF5" s="270"/>
      <c r="BG5" s="270"/>
      <c r="BH5" s="270"/>
      <c r="BI5" s="270"/>
      <c r="BJ5" s="270"/>
      <c r="BK5" s="270"/>
      <c r="BL5" s="270"/>
      <c r="BM5" s="270"/>
      <c r="BN5" s="270"/>
      <c r="BO5" s="270"/>
      <c r="BP5" s="270"/>
      <c r="BQ5" s="270"/>
    </row>
    <row r="6" spans="1:69" ht="13.5" hidden="1" outlineLevel="1" thickBot="1" x14ac:dyDescent="0.25">
      <c r="A6" s="270"/>
      <c r="B6" s="270"/>
      <c r="C6" s="270"/>
      <c r="D6" s="270"/>
      <c r="E6" s="270"/>
      <c r="F6" s="270"/>
      <c r="G6" s="270"/>
      <c r="H6" s="270"/>
      <c r="I6" s="270"/>
      <c r="J6" s="270"/>
      <c r="K6" s="270"/>
      <c r="L6" s="270"/>
      <c r="M6" s="270"/>
      <c r="N6" s="270"/>
      <c r="O6" s="270"/>
      <c r="P6" s="270"/>
      <c r="Q6" s="270"/>
      <c r="R6" s="270"/>
      <c r="S6" s="270"/>
      <c r="T6" s="270"/>
      <c r="U6" s="633"/>
      <c r="V6" s="630" t="str">
        <f>N_Heure</f>
        <v>Heure</v>
      </c>
      <c r="W6" s="630" t="str">
        <f>N_Table</f>
        <v>Table</v>
      </c>
      <c r="X6" s="630" t="str">
        <f>N_Arbitre</f>
        <v>Arbitre</v>
      </c>
      <c r="Y6" s="2403" t="str">
        <f>N_Scores</f>
        <v>Scores</v>
      </c>
      <c r="Z6" s="2404"/>
      <c r="AA6" s="2404"/>
      <c r="AB6" s="2404"/>
      <c r="AC6" s="2405"/>
      <c r="AD6" s="634" t="str">
        <f>N_MS</f>
        <v>MS</v>
      </c>
      <c r="AE6" s="270"/>
      <c r="AF6" s="270"/>
      <c r="AG6" s="270"/>
      <c r="AH6" s="270"/>
      <c r="AI6" s="270"/>
      <c r="AJ6" s="270"/>
      <c r="AK6" s="270"/>
      <c r="AL6" s="270" t="str">
        <f>IF(COUNTA(Z10:Z13)&gt;3,"OK","")</f>
        <v/>
      </c>
      <c r="AM6" s="270"/>
      <c r="AN6" s="270"/>
      <c r="AO6" s="270"/>
      <c r="AP6" s="270"/>
      <c r="AQ6" s="270"/>
      <c r="AR6" s="270"/>
      <c r="AS6" s="270"/>
      <c r="AT6" s="270"/>
      <c r="AU6" s="270"/>
      <c r="AV6" s="270"/>
      <c r="AW6" s="270"/>
      <c r="AX6" s="270"/>
      <c r="AY6" s="270"/>
      <c r="AZ6" s="270"/>
      <c r="BA6" s="270"/>
      <c r="BB6" s="270"/>
      <c r="BC6" s="270"/>
      <c r="BD6" s="270"/>
      <c r="BE6" s="270"/>
      <c r="BF6" s="270"/>
      <c r="BG6" s="270"/>
      <c r="BH6" s="270"/>
      <c r="BI6" s="270"/>
      <c r="BJ6" s="270"/>
      <c r="BK6" s="270"/>
      <c r="BL6" s="270"/>
      <c r="BM6" s="270"/>
      <c r="BN6" s="270"/>
      <c r="BO6" s="270"/>
      <c r="BP6" s="270"/>
      <c r="BQ6" s="270"/>
    </row>
    <row r="7" spans="1:69" ht="26.25" hidden="1" outlineLevel="1" thickBot="1" x14ac:dyDescent="0.25">
      <c r="A7" s="270"/>
      <c r="B7" s="270"/>
      <c r="C7" s="270"/>
      <c r="D7" s="270"/>
      <c r="E7" s="270"/>
      <c r="F7" s="270"/>
      <c r="G7" s="270"/>
      <c r="H7" s="270"/>
      <c r="I7" s="270"/>
      <c r="J7" s="270"/>
      <c r="K7" s="270"/>
      <c r="L7" s="270"/>
      <c r="M7" s="270"/>
      <c r="N7" s="270"/>
      <c r="O7" s="270"/>
      <c r="P7" s="270"/>
      <c r="Q7" s="270"/>
      <c r="R7" s="270"/>
      <c r="S7" s="270"/>
      <c r="T7" s="270"/>
      <c r="U7" s="635" t="s">
        <v>1720</v>
      </c>
      <c r="V7" s="1536"/>
      <c r="W7" s="1537"/>
      <c r="X7" s="1537"/>
      <c r="Y7" s="648"/>
      <c r="Z7" s="649" t="str">
        <f>IF(OR(ISNUMBER(Z10),ISNUMBER(Z11),ISNUMBER(Z12),ISNUMBER(Z13)),Lire_Gain_Matches(Z10:Z13, AB10:AB13),"")</f>
        <v/>
      </c>
      <c r="AA7" s="650" t="s">
        <v>769</v>
      </c>
      <c r="AB7" s="651" t="str">
        <f>IF(OR(ISNUMBER(Z10),ISNUMBER(Z11),ISNUMBER(Z12),ISNUMBER(Z13)),Lire_Gain_Matches(AB10:AB13, Z10:Z13),"")</f>
        <v/>
      </c>
      <c r="AC7" s="648"/>
      <c r="AD7" s="231" t="str">
        <f>IF(ISNA(VLOOKUP("X",AD10:AD13,1,FALSE)),"","X")</f>
        <v/>
      </c>
      <c r="AE7" s="270" t="str">
        <f>IF(Z7="","",IF(Z7&gt;AB7,Y7,IF(Z7=AB7,IF(AL7=Y7,AC7,IF(AL7=AC7,Y7,"")),AC7)))</f>
        <v/>
      </c>
      <c r="AF7" s="270" t="str">
        <f>IF(Z7="","",IF(Z7=AB7,IF(AL7=Y7,"",IF(AL7=AC7,"",Y7)),""))</f>
        <v/>
      </c>
      <c r="AG7" s="270" t="str">
        <f>IF(Z7="","",IF(Z7=AB7,IF(AL7=Y7,"",IF(AL7=AC7,"",AC7)),""))</f>
        <v/>
      </c>
      <c r="AH7" s="270" t="str">
        <f>IF(Z7="","",IF(Z7&lt;AB7,Y7,IF(Z7=AB7,IF(AL7=Y7,Y7,IF(AL7=AC7,AC7,"")),AC7)))</f>
        <v/>
      </c>
      <c r="AI7" s="270"/>
      <c r="AJ7" s="270"/>
      <c r="AK7" s="270"/>
      <c r="AL7" s="270" t="str">
        <f>IF(COUNTIF(Y10:Y13,WithdrawLabel)&gt;COUNTIF(AC10:AC13,WithdrawLabel),Y7,IF(COUNTIF(AC10:AC13,WithdrawLabel)&gt;COUNTIF(Y10:Y13,WithdrawLabel),AC7,""))</f>
        <v/>
      </c>
      <c r="AM7" s="598"/>
      <c r="AN7" s="270"/>
      <c r="AO7" s="270"/>
      <c r="AP7" s="270"/>
      <c r="AQ7" s="270"/>
      <c r="AR7" s="270"/>
      <c r="AS7" s="270"/>
      <c r="AT7" s="270"/>
      <c r="AU7" s="270"/>
      <c r="AV7" s="270"/>
      <c r="AW7" s="270"/>
      <c r="AX7" s="270"/>
      <c r="AY7" s="270"/>
      <c r="AZ7" s="270"/>
      <c r="BA7" s="270"/>
      <c r="BB7" s="270"/>
      <c r="BC7" s="270"/>
      <c r="BD7" s="270"/>
      <c r="BE7" s="270"/>
      <c r="BF7" s="270"/>
      <c r="BG7" s="270"/>
      <c r="BH7" s="270"/>
      <c r="BI7" s="270"/>
      <c r="BJ7" s="270"/>
      <c r="BK7" s="270"/>
      <c r="BL7" s="270"/>
      <c r="BM7" s="270"/>
      <c r="BN7" s="270"/>
      <c r="BO7" s="270"/>
      <c r="BP7" s="270"/>
      <c r="BQ7" s="270"/>
    </row>
    <row r="8" spans="1:69" ht="18.75" hidden="1" outlineLevel="1" thickBot="1" x14ac:dyDescent="0.25">
      <c r="A8" s="270"/>
      <c r="B8" s="270"/>
      <c r="C8" s="270"/>
      <c r="D8" s="270"/>
      <c r="E8" s="270"/>
      <c r="F8" s="270"/>
      <c r="G8" s="270"/>
      <c r="H8" s="270"/>
      <c r="I8" s="270"/>
      <c r="J8" s="270"/>
      <c r="K8" s="270"/>
      <c r="L8" s="270"/>
      <c r="M8" s="270"/>
      <c r="N8" s="270"/>
      <c r="O8" s="270"/>
      <c r="P8" s="270"/>
      <c r="Q8" s="270"/>
      <c r="R8" s="270"/>
      <c r="S8" s="270"/>
      <c r="T8" s="270"/>
      <c r="U8" s="632"/>
      <c r="V8" s="629"/>
      <c r="W8" s="647"/>
      <c r="X8" s="647"/>
      <c r="Y8" s="652" t="str">
        <f>N_Total_buts</f>
        <v>Total des buts</v>
      </c>
      <c r="Z8" s="649" t="str">
        <f>IF(OR(ISNUMBER(Z10),ISNUMBER(Z11),ISNUMBER(Z12),ISNUMBER(Z13)),SUM(Z10:Z13),"")</f>
        <v/>
      </c>
      <c r="AA8" s="650" t="s">
        <v>769</v>
      </c>
      <c r="AB8" s="651" t="str">
        <f>IF(OR(ISNUMBER(Z10),ISNUMBER(Z11),ISNUMBER(Z12),ISNUMBER(Z13)),SUM(AB10:AB13),"")</f>
        <v/>
      </c>
      <c r="AC8" s="653" t="str">
        <f>IF(Z14="","",CONCATENATE("(Diff : ",Z14," - ",AB14,")"))</f>
        <v/>
      </c>
      <c r="AD8" s="270"/>
      <c r="AE8" s="270"/>
      <c r="AF8" s="270"/>
      <c r="AG8" s="270"/>
      <c r="AH8" s="270"/>
      <c r="AI8" s="270"/>
      <c r="AJ8" s="270"/>
      <c r="AK8" s="270"/>
      <c r="AL8" s="270"/>
      <c r="AM8" s="610"/>
      <c r="AN8" s="270"/>
      <c r="AO8" s="270"/>
      <c r="AP8" s="270"/>
      <c r="AQ8" s="270"/>
      <c r="AR8" s="270"/>
      <c r="AS8" s="270"/>
      <c r="AT8" s="270"/>
      <c r="AU8" s="270"/>
      <c r="AV8" s="270"/>
      <c r="AW8" s="270"/>
      <c r="AX8" s="270"/>
      <c r="AY8" s="270"/>
      <c r="AZ8" s="270"/>
      <c r="BA8" s="270"/>
      <c r="BB8" s="270"/>
      <c r="BC8" s="270"/>
      <c r="BD8" s="270"/>
      <c r="BE8" s="270"/>
      <c r="BF8" s="270"/>
      <c r="BG8" s="270"/>
      <c r="BH8" s="270"/>
      <c r="BI8" s="270"/>
      <c r="BJ8" s="270"/>
      <c r="BK8" s="270"/>
      <c r="BL8" s="270"/>
      <c r="BM8" s="270"/>
      <c r="BN8" s="270"/>
      <c r="BO8" s="270"/>
      <c r="BP8" s="270"/>
      <c r="BQ8" s="270"/>
    </row>
    <row r="9" spans="1:69" ht="26.25" hidden="1" outlineLevel="1" thickBot="1" x14ac:dyDescent="0.25">
      <c r="A9" s="270"/>
      <c r="B9" s="270"/>
      <c r="C9" s="270"/>
      <c r="D9" s="270"/>
      <c r="E9" s="270"/>
      <c r="F9" s="270"/>
      <c r="G9" s="1334" t="str">
        <f>IF(Z9="","",IF(Z9=Y7,AC7,Y7))</f>
        <v/>
      </c>
      <c r="H9" s="270"/>
      <c r="I9" s="270"/>
      <c r="J9" s="1334" t="str">
        <f>IF(Z9="","",IF(Z9=Y7,AC7,Y7))</f>
        <v/>
      </c>
      <c r="K9" s="270"/>
      <c r="L9" s="270"/>
      <c r="M9" s="270"/>
      <c r="N9" s="270"/>
      <c r="O9" s="270"/>
      <c r="P9" s="270"/>
      <c r="Q9" s="270"/>
      <c r="R9" s="270"/>
      <c r="S9" s="270"/>
      <c r="T9" s="270"/>
      <c r="U9" s="632"/>
      <c r="V9" s="629"/>
      <c r="W9" s="647"/>
      <c r="X9" s="647"/>
      <c r="Y9" s="654" t="str">
        <f>N_VAINQUEUR</f>
        <v>VAINQUEUR</v>
      </c>
      <c r="Z9" s="2427" t="str">
        <f>IF(AL6&lt;&gt;"OK",IF(HidePlayerFormulas,"","("&amp;Y7&amp;"-"&amp;AC7&amp;")"),IF(AE7="",IF(Z8&gt;AB8,Y7,IF(Z8&lt;AB8,AC7,mess_erreur_marque)),AE7))</f>
        <v/>
      </c>
      <c r="AA9" s="2428"/>
      <c r="AB9" s="2428"/>
      <c r="AC9" s="2429"/>
      <c r="AD9" s="270"/>
      <c r="AE9" s="270"/>
      <c r="AF9" s="270"/>
      <c r="AG9" s="270"/>
      <c r="AH9" s="270"/>
      <c r="AI9" s="270"/>
      <c r="AJ9" s="270"/>
      <c r="AK9" s="270"/>
      <c r="AL9" s="270"/>
      <c r="AM9" s="598"/>
      <c r="AN9" s="270"/>
      <c r="AO9" s="270"/>
      <c r="AP9" s="270"/>
      <c r="AQ9" s="270"/>
      <c r="AR9" s="270"/>
      <c r="AS9" s="270"/>
      <c r="AT9" s="270"/>
      <c r="AU9" s="270"/>
      <c r="AV9" s="270"/>
      <c r="AW9" s="270"/>
      <c r="AX9" s="270"/>
      <c r="AY9" s="270"/>
      <c r="AZ9" s="270"/>
      <c r="BA9" s="270"/>
      <c r="BB9" s="270"/>
      <c r="BC9" s="270"/>
      <c r="BD9" s="270"/>
      <c r="BE9" s="270"/>
      <c r="BF9" s="270"/>
      <c r="BG9" s="270"/>
      <c r="BH9" s="270"/>
      <c r="BI9" s="270"/>
      <c r="BJ9" s="270"/>
      <c r="BK9" s="270"/>
      <c r="BL9" s="270"/>
      <c r="BM9" s="270"/>
      <c r="BN9" s="270"/>
      <c r="BO9" s="270"/>
      <c r="BP9" s="270"/>
      <c r="BQ9" s="270"/>
    </row>
    <row r="10" spans="1:69" ht="25.5" hidden="1" outlineLevel="3" x14ac:dyDescent="0.2">
      <c r="A10" s="270"/>
      <c r="B10" s="270"/>
      <c r="C10" s="270"/>
      <c r="D10" s="270"/>
      <c r="E10" s="270"/>
      <c r="F10" s="270"/>
      <c r="G10" s="270"/>
      <c r="H10" s="270"/>
      <c r="I10" s="270"/>
      <c r="J10" s="270"/>
      <c r="K10" s="270"/>
      <c r="L10" s="270"/>
      <c r="M10" s="270"/>
      <c r="N10" s="270"/>
      <c r="O10" s="270"/>
      <c r="P10" s="270"/>
      <c r="Q10" s="270"/>
      <c r="R10" s="270"/>
      <c r="S10" s="270"/>
      <c r="T10" s="270"/>
      <c r="U10" s="632"/>
      <c r="V10" s="636"/>
      <c r="W10" s="655"/>
      <c r="X10" s="656"/>
      <c r="Y10" s="657"/>
      <c r="Z10" s="484"/>
      <c r="AA10" s="485" t="s">
        <v>769</v>
      </c>
      <c r="AB10" s="484"/>
      <c r="AC10" s="930"/>
      <c r="AD10" s="637"/>
      <c r="AE10" s="270"/>
      <c r="AF10" s="270"/>
      <c r="AG10" s="270"/>
      <c r="AH10" s="270"/>
      <c r="AI10" s="270"/>
      <c r="AJ10" s="270"/>
      <c r="AK10" s="270"/>
      <c r="AL10" s="270"/>
      <c r="AM10" s="598"/>
      <c r="AN10" s="270"/>
      <c r="AO10" s="270"/>
      <c r="AP10" s="270"/>
      <c r="AQ10" s="270"/>
      <c r="AR10" s="270"/>
      <c r="AS10" s="270"/>
      <c r="AT10" s="270"/>
      <c r="AU10" s="270"/>
      <c r="AV10" s="270"/>
      <c r="AW10" s="270"/>
      <c r="AX10" s="270"/>
      <c r="AY10" s="270"/>
      <c r="AZ10" s="270"/>
      <c r="BA10" s="270"/>
      <c r="BB10" s="270"/>
      <c r="BC10" s="270"/>
      <c r="BD10" s="270"/>
      <c r="BE10" s="270"/>
      <c r="BF10" s="270"/>
      <c r="BG10" s="270"/>
      <c r="BH10" s="270"/>
      <c r="BI10" s="270"/>
      <c r="BJ10" s="270"/>
      <c r="BK10" s="270"/>
      <c r="BL10" s="270"/>
      <c r="BM10" s="270"/>
      <c r="BN10" s="270"/>
      <c r="BO10" s="270"/>
      <c r="BP10" s="270"/>
      <c r="BQ10" s="270"/>
    </row>
    <row r="11" spans="1:69" ht="25.5" hidden="1" outlineLevel="3" x14ac:dyDescent="0.2">
      <c r="A11" s="270"/>
      <c r="B11" s="270"/>
      <c r="C11" s="270"/>
      <c r="D11" s="270"/>
      <c r="E11" s="270"/>
      <c r="F11" s="270"/>
      <c r="G11" s="270"/>
      <c r="H11" s="270"/>
      <c r="I11" s="270"/>
      <c r="J11" s="270"/>
      <c r="K11" s="270"/>
      <c r="L11" s="270"/>
      <c r="M11" s="270"/>
      <c r="N11" s="270"/>
      <c r="O11" s="270"/>
      <c r="P11" s="270"/>
      <c r="Q11" s="270"/>
      <c r="R11" s="270"/>
      <c r="S11" s="270"/>
      <c r="T11" s="270"/>
      <c r="U11" s="632"/>
      <c r="V11" s="638"/>
      <c r="W11" s="658"/>
      <c r="X11" s="659"/>
      <c r="Y11" s="627"/>
      <c r="Z11" s="492"/>
      <c r="AA11" s="493" t="s">
        <v>769</v>
      </c>
      <c r="AB11" s="492"/>
      <c r="AC11" s="931"/>
      <c r="AD11" s="639"/>
      <c r="AE11" s="270"/>
      <c r="AF11" s="270"/>
      <c r="AG11" s="270"/>
      <c r="AH11" s="270"/>
      <c r="AI11" s="270"/>
      <c r="AJ11" s="270"/>
      <c r="AK11" s="270"/>
      <c r="AL11" s="270"/>
      <c r="AM11" s="598"/>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row>
    <row r="12" spans="1:69" ht="25.5" hidden="1" outlineLevel="3" x14ac:dyDescent="0.2">
      <c r="A12" s="270"/>
      <c r="B12" s="270"/>
      <c r="C12" s="270"/>
      <c r="D12" s="270"/>
      <c r="E12" s="270"/>
      <c r="F12" s="270"/>
      <c r="G12" s="270"/>
      <c r="H12" s="270"/>
      <c r="I12" s="270"/>
      <c r="J12" s="270"/>
      <c r="K12" s="270"/>
      <c r="L12" s="270"/>
      <c r="M12" s="270"/>
      <c r="N12" s="270"/>
      <c r="O12" s="270"/>
      <c r="P12" s="270"/>
      <c r="Q12" s="270"/>
      <c r="R12" s="270"/>
      <c r="S12" s="270"/>
      <c r="T12" s="270"/>
      <c r="U12" s="632"/>
      <c r="V12" s="638"/>
      <c r="W12" s="658"/>
      <c r="X12" s="659"/>
      <c r="Y12" s="627"/>
      <c r="Z12" s="492"/>
      <c r="AA12" s="493" t="s">
        <v>769</v>
      </c>
      <c r="AB12" s="492"/>
      <c r="AC12" s="931"/>
      <c r="AD12" s="640"/>
      <c r="AE12" s="270"/>
      <c r="AF12" s="270"/>
      <c r="AG12" s="270"/>
      <c r="AH12" s="270"/>
      <c r="AI12" s="270"/>
      <c r="AJ12" s="270"/>
      <c r="AK12" s="270"/>
      <c r="AL12" s="270"/>
      <c r="AM12" s="598"/>
      <c r="AN12" s="270"/>
      <c r="AO12" s="270"/>
      <c r="AP12" s="270"/>
      <c r="AQ12" s="270"/>
      <c r="AR12" s="270"/>
      <c r="AS12" s="270"/>
      <c r="AT12" s="270"/>
      <c r="AU12" s="270"/>
      <c r="AV12" s="270"/>
      <c r="AW12" s="270"/>
      <c r="AX12" s="270"/>
      <c r="AY12" s="270"/>
      <c r="AZ12" s="270"/>
      <c r="BA12" s="270"/>
      <c r="BB12" s="270"/>
      <c r="BC12" s="270"/>
      <c r="BD12" s="270"/>
      <c r="BE12" s="270"/>
      <c r="BF12" s="270"/>
      <c r="BG12" s="270"/>
      <c r="BH12" s="270"/>
      <c r="BI12" s="270"/>
      <c r="BJ12" s="270"/>
      <c r="BK12" s="270"/>
      <c r="BL12" s="270"/>
      <c r="BM12" s="270"/>
      <c r="BN12" s="270"/>
      <c r="BO12" s="270"/>
      <c r="BP12" s="270"/>
      <c r="BQ12" s="270"/>
    </row>
    <row r="13" spans="1:69" ht="26.25" hidden="1" outlineLevel="3" thickBot="1" x14ac:dyDescent="0.25">
      <c r="A13" s="270"/>
      <c r="B13" s="270"/>
      <c r="C13" s="270"/>
      <c r="D13" s="270"/>
      <c r="E13" s="270"/>
      <c r="F13" s="270"/>
      <c r="G13" s="270"/>
      <c r="H13" s="270"/>
      <c r="I13" s="270"/>
      <c r="J13" s="270"/>
      <c r="K13" s="270"/>
      <c r="L13" s="270"/>
      <c r="M13" s="270"/>
      <c r="N13" s="270"/>
      <c r="O13" s="270"/>
      <c r="P13" s="270"/>
      <c r="Q13" s="270"/>
      <c r="R13" s="270"/>
      <c r="S13" s="270"/>
      <c r="T13" s="270"/>
      <c r="U13" s="632"/>
      <c r="V13" s="641"/>
      <c r="W13" s="660"/>
      <c r="X13" s="661"/>
      <c r="Y13" s="631"/>
      <c r="Z13" s="496"/>
      <c r="AA13" s="497" t="s">
        <v>769</v>
      </c>
      <c r="AB13" s="496"/>
      <c r="AC13" s="932"/>
      <c r="AD13" s="642"/>
      <c r="AE13" s="270"/>
      <c r="AF13" s="270"/>
      <c r="AG13" s="270"/>
      <c r="AH13" s="270"/>
      <c r="AI13" s="270"/>
      <c r="AJ13" s="270"/>
      <c r="AK13" s="270"/>
      <c r="AL13" s="270"/>
      <c r="AM13" s="598"/>
      <c r="AN13" s="270"/>
      <c r="AO13" s="270"/>
      <c r="AP13" s="270"/>
      <c r="AQ13" s="270"/>
      <c r="AR13" s="270"/>
      <c r="AS13" s="270"/>
      <c r="AT13" s="270"/>
      <c r="AU13" s="270"/>
      <c r="AV13" s="270"/>
      <c r="AW13" s="270"/>
      <c r="AX13" s="270"/>
      <c r="AY13" s="270"/>
      <c r="AZ13" s="270"/>
      <c r="BA13" s="270"/>
      <c r="BB13" s="270"/>
      <c r="BC13" s="270"/>
      <c r="BD13" s="270"/>
      <c r="BE13" s="270"/>
      <c r="BF13" s="270"/>
      <c r="BG13" s="270"/>
      <c r="BH13" s="270"/>
      <c r="BI13" s="270"/>
      <c r="BJ13" s="270"/>
      <c r="BK13" s="270"/>
      <c r="BL13" s="270"/>
      <c r="BM13" s="270"/>
      <c r="BN13" s="270"/>
      <c r="BO13" s="270"/>
      <c r="BP13" s="270"/>
      <c r="BQ13" s="270"/>
    </row>
    <row r="14" spans="1:69" ht="26.25" hidden="1" outlineLevel="3" thickBot="1" x14ac:dyDescent="0.25">
      <c r="A14" s="270"/>
      <c r="B14" s="270"/>
      <c r="C14" s="270"/>
      <c r="D14" s="270"/>
      <c r="E14" s="270"/>
      <c r="F14" s="270"/>
      <c r="G14" s="270"/>
      <c r="H14" s="270"/>
      <c r="I14" s="270"/>
      <c r="J14" s="270"/>
      <c r="K14" s="270"/>
      <c r="L14" s="270"/>
      <c r="M14" s="270"/>
      <c r="N14" s="270"/>
      <c r="O14" s="270"/>
      <c r="P14" s="270"/>
      <c r="Q14" s="270"/>
      <c r="R14" s="270"/>
      <c r="S14" s="270"/>
      <c r="T14" s="270"/>
      <c r="U14" s="632"/>
      <c r="V14" s="643"/>
      <c r="W14" s="644" t="str">
        <f>N_Différentiel</f>
        <v>Différentiel</v>
      </c>
      <c r="X14" s="662"/>
      <c r="Y14" s="663"/>
      <c r="Z14" s="488"/>
      <c r="AA14" s="489" t="s">
        <v>769</v>
      </c>
      <c r="AB14" s="488"/>
      <c r="AC14" s="933"/>
      <c r="AD14" s="270"/>
      <c r="AE14" s="270"/>
      <c r="AF14" s="270"/>
      <c r="AG14" s="270"/>
      <c r="AH14" s="270"/>
      <c r="AI14" s="270"/>
      <c r="AJ14" s="270"/>
      <c r="AK14" s="270"/>
      <c r="AL14" s="270"/>
      <c r="AM14" s="598"/>
      <c r="AN14" s="270"/>
      <c r="AO14" s="270"/>
      <c r="AP14" s="270"/>
      <c r="AQ14" s="270"/>
      <c r="AR14" s="270"/>
      <c r="AS14" s="270"/>
      <c r="AT14" s="270"/>
      <c r="AU14" s="270"/>
      <c r="AV14" s="270"/>
      <c r="AW14" s="270"/>
      <c r="AX14" s="270"/>
      <c r="AY14" s="270"/>
      <c r="AZ14" s="270"/>
      <c r="BA14" s="270"/>
      <c r="BB14" s="270"/>
      <c r="BC14" s="270"/>
      <c r="BD14" s="270"/>
      <c r="BE14" s="270"/>
      <c r="BF14" s="270"/>
      <c r="BG14" s="270"/>
      <c r="BH14" s="270"/>
      <c r="BI14" s="270"/>
      <c r="BJ14" s="270"/>
      <c r="BK14" s="270"/>
      <c r="BL14" s="270"/>
      <c r="BM14" s="270"/>
      <c r="BN14" s="270"/>
      <c r="BO14" s="270"/>
      <c r="BP14" s="270"/>
      <c r="BQ14" s="270"/>
    </row>
    <row r="15" spans="1:69" ht="25.5" hidden="1" outlineLevel="3" x14ac:dyDescent="0.2">
      <c r="A15" s="270"/>
      <c r="B15" s="270"/>
      <c r="C15" s="270"/>
      <c r="D15" s="270"/>
      <c r="E15" s="270"/>
      <c r="F15" s="270"/>
      <c r="G15" s="270"/>
      <c r="H15" s="270"/>
      <c r="I15" s="270"/>
      <c r="J15" s="270"/>
      <c r="K15" s="270"/>
      <c r="L15" s="270"/>
      <c r="M15" s="270"/>
      <c r="N15" s="270"/>
      <c r="O15" s="270"/>
      <c r="P15" s="270"/>
      <c r="Q15" s="270"/>
      <c r="R15" s="270"/>
      <c r="S15" s="270"/>
      <c r="T15" s="270"/>
      <c r="U15" s="632"/>
      <c r="V15" s="643"/>
      <c r="W15" s="664"/>
      <c r="X15" s="665" t="str">
        <f>N_Substitute</f>
        <v>Remplaçant</v>
      </c>
      <c r="Y15" s="657"/>
      <c r="Z15" s="480"/>
      <c r="AA15" s="666"/>
      <c r="AB15" s="480"/>
      <c r="AC15" s="934"/>
      <c r="AD15" s="270"/>
      <c r="AE15" s="270"/>
      <c r="AF15" s="270"/>
      <c r="AG15" s="270"/>
      <c r="AH15" s="270"/>
      <c r="AI15" s="270"/>
      <c r="AJ15" s="270"/>
      <c r="AK15" s="270"/>
      <c r="AL15" s="270"/>
      <c r="AM15" s="598"/>
      <c r="AN15" s="270"/>
      <c r="AO15" s="270"/>
      <c r="AP15" s="270"/>
      <c r="AQ15" s="270"/>
      <c r="AR15" s="270"/>
      <c r="AS15" s="270"/>
      <c r="AT15" s="270"/>
      <c r="AU15" s="270"/>
      <c r="AV15" s="270"/>
      <c r="AW15" s="270"/>
      <c r="AX15" s="270"/>
      <c r="AY15" s="270"/>
      <c r="AZ15" s="270"/>
      <c r="BA15" s="270"/>
      <c r="BB15" s="270"/>
      <c r="BC15" s="270"/>
      <c r="BD15" s="270"/>
      <c r="BE15" s="270"/>
      <c r="BF15" s="270"/>
      <c r="BG15" s="270"/>
      <c r="BH15" s="270"/>
      <c r="BI15" s="270"/>
      <c r="BJ15" s="270"/>
      <c r="BK15" s="270"/>
      <c r="BL15" s="270"/>
      <c r="BM15" s="270"/>
      <c r="BN15" s="270"/>
      <c r="BO15" s="270"/>
      <c r="BP15" s="270"/>
      <c r="BQ15" s="270"/>
    </row>
    <row r="16" spans="1:69" ht="26.25" hidden="1" outlineLevel="3" thickBot="1" x14ac:dyDescent="0.25">
      <c r="A16" s="270"/>
      <c r="B16" s="270"/>
      <c r="C16" s="270"/>
      <c r="D16" s="270"/>
      <c r="E16" s="270"/>
      <c r="F16" s="270"/>
      <c r="G16" s="270"/>
      <c r="H16" s="270"/>
      <c r="I16" s="270"/>
      <c r="J16" s="270"/>
      <c r="K16" s="270"/>
      <c r="L16" s="270"/>
      <c r="M16" s="270"/>
      <c r="N16" s="270"/>
      <c r="O16" s="270"/>
      <c r="P16" s="270"/>
      <c r="Q16" s="270"/>
      <c r="R16" s="270"/>
      <c r="S16" s="270"/>
      <c r="T16" s="270"/>
      <c r="U16" s="632"/>
      <c r="V16" s="643"/>
      <c r="W16" s="664"/>
      <c r="X16" s="667" t="str">
        <f>N_Substitute</f>
        <v>Remplaçant</v>
      </c>
      <c r="Y16" s="663"/>
      <c r="Z16" s="488"/>
      <c r="AA16" s="668"/>
      <c r="AB16" s="488"/>
      <c r="AC16" s="933"/>
      <c r="AD16" s="270"/>
      <c r="AE16" s="270"/>
      <c r="AF16" s="270"/>
      <c r="AG16" s="270"/>
      <c r="AH16" s="270"/>
      <c r="AI16" s="270"/>
      <c r="AJ16" s="270"/>
      <c r="AK16" s="270"/>
      <c r="AL16" s="270"/>
      <c r="AM16" s="598"/>
      <c r="AN16" s="270"/>
      <c r="AO16" s="270"/>
      <c r="AP16" s="270"/>
      <c r="AQ16" s="270"/>
      <c r="AR16" s="270"/>
      <c r="AS16" s="270"/>
      <c r="AT16" s="270"/>
      <c r="AU16" s="270"/>
      <c r="AV16" s="270"/>
      <c r="AW16" s="270"/>
      <c r="AX16" s="270"/>
      <c r="AY16" s="270"/>
      <c r="AZ16" s="270"/>
      <c r="BA16" s="270"/>
      <c r="BB16" s="270"/>
      <c r="BC16" s="270"/>
      <c r="BD16" s="270"/>
      <c r="BE16" s="270"/>
      <c r="BF16" s="270"/>
      <c r="BG16" s="270"/>
      <c r="BH16" s="270"/>
      <c r="BI16" s="270"/>
      <c r="BJ16" s="270"/>
      <c r="BK16" s="270"/>
      <c r="BL16" s="270"/>
      <c r="BM16" s="270"/>
      <c r="BN16" s="270"/>
      <c r="BO16" s="270"/>
      <c r="BP16" s="270"/>
      <c r="BQ16" s="270"/>
    </row>
    <row r="17" spans="1:69" ht="13.5" hidden="1" outlineLevel="1" thickBot="1" x14ac:dyDescent="0.25">
      <c r="A17" s="270"/>
      <c r="B17" s="270"/>
      <c r="C17" s="270"/>
      <c r="D17" s="270"/>
      <c r="E17" s="270"/>
      <c r="F17" s="270"/>
      <c r="G17" s="270"/>
      <c r="H17" s="270"/>
      <c r="I17" s="270"/>
      <c r="J17" s="270"/>
      <c r="K17" s="270"/>
      <c r="L17" s="270"/>
      <c r="M17" s="270"/>
      <c r="N17" s="270"/>
      <c r="O17" s="270"/>
      <c r="P17" s="270"/>
      <c r="Q17" s="270"/>
      <c r="R17" s="270"/>
      <c r="S17" s="270"/>
      <c r="T17" s="270"/>
      <c r="U17" s="632"/>
      <c r="V17" s="270"/>
      <c r="W17" s="270"/>
      <c r="X17" s="270"/>
      <c r="Y17" s="270"/>
      <c r="Z17" s="270"/>
      <c r="AA17" s="270"/>
      <c r="AB17" s="270"/>
      <c r="AC17" s="270"/>
      <c r="AD17" s="270"/>
      <c r="AE17" s="270"/>
      <c r="AF17" s="270"/>
      <c r="AG17" s="270"/>
      <c r="AH17" s="270"/>
      <c r="AI17" s="270"/>
      <c r="AJ17" s="270"/>
      <c r="AK17" s="270"/>
      <c r="AL17" s="270"/>
      <c r="AM17" s="270"/>
      <c r="AN17" s="270"/>
      <c r="AO17" s="270"/>
      <c r="AP17" s="270"/>
      <c r="AQ17" s="270"/>
      <c r="AR17" s="270"/>
      <c r="AS17" s="270"/>
      <c r="AT17" s="270"/>
      <c r="AU17" s="270"/>
      <c r="AV17" s="270"/>
      <c r="AW17" s="270"/>
      <c r="AX17" s="270"/>
      <c r="AY17" s="270"/>
      <c r="AZ17" s="270"/>
      <c r="BA17" s="270"/>
      <c r="BB17" s="270"/>
      <c r="BC17" s="270"/>
      <c r="BD17" s="270"/>
      <c r="BE17" s="270"/>
      <c r="BF17" s="270"/>
      <c r="BG17" s="270"/>
      <c r="BH17" s="270"/>
      <c r="BI17" s="270"/>
      <c r="BJ17" s="270"/>
      <c r="BK17" s="270"/>
      <c r="BL17" s="270"/>
      <c r="BM17" s="270"/>
      <c r="BN17" s="270"/>
      <c r="BO17" s="270"/>
      <c r="BP17" s="270"/>
      <c r="BQ17" s="270"/>
    </row>
    <row r="18" spans="1:69" ht="13.5" hidden="1" outlineLevel="1" thickBot="1" x14ac:dyDescent="0.25">
      <c r="A18" s="270"/>
      <c r="B18" s="270"/>
      <c r="C18" s="270"/>
      <c r="D18" s="270"/>
      <c r="E18" s="270"/>
      <c r="F18" s="270"/>
      <c r="G18" s="270"/>
      <c r="H18" s="270"/>
      <c r="I18" s="270"/>
      <c r="J18" s="270"/>
      <c r="K18" s="270"/>
      <c r="L18" s="270"/>
      <c r="M18" s="270"/>
      <c r="N18" s="270"/>
      <c r="O18" s="270"/>
      <c r="P18" s="270"/>
      <c r="Q18" s="270"/>
      <c r="R18" s="270"/>
      <c r="S18" s="270"/>
      <c r="T18" s="270"/>
      <c r="U18" s="633"/>
      <c r="V18" s="630" t="str">
        <f>N_Heure</f>
        <v>Heure</v>
      </c>
      <c r="W18" s="630" t="str">
        <f>N_Table</f>
        <v>Table</v>
      </c>
      <c r="X18" s="630" t="str">
        <f>N_Arbitre</f>
        <v>Arbitre</v>
      </c>
      <c r="Y18" s="2403" t="str">
        <f>N_Scores</f>
        <v>Scores</v>
      </c>
      <c r="Z18" s="2404"/>
      <c r="AA18" s="2404"/>
      <c r="AB18" s="2404"/>
      <c r="AC18" s="2405"/>
      <c r="AD18" s="634" t="str">
        <f>N_MS</f>
        <v>MS</v>
      </c>
      <c r="AE18" s="270"/>
      <c r="AF18" s="270"/>
      <c r="AG18" s="270"/>
      <c r="AH18" s="270"/>
      <c r="AI18" s="270"/>
      <c r="AJ18" s="270"/>
      <c r="AK18" s="270"/>
      <c r="AL18" s="270" t="str">
        <f>IF(COUNTA(Z22:Z25)&gt;3,"OK","")</f>
        <v/>
      </c>
      <c r="AM18" s="270"/>
      <c r="AN18" s="270"/>
      <c r="AO18" s="270"/>
      <c r="AP18" s="270"/>
      <c r="AQ18" s="270"/>
      <c r="AR18" s="270"/>
      <c r="AS18" s="270"/>
      <c r="AT18" s="270"/>
      <c r="AU18" s="270"/>
      <c r="AV18" s="270"/>
      <c r="AW18" s="270"/>
      <c r="AX18" s="270"/>
      <c r="AY18" s="270"/>
      <c r="AZ18" s="270"/>
      <c r="BA18" s="270"/>
      <c r="BB18" s="270"/>
      <c r="BC18" s="270"/>
      <c r="BD18" s="270"/>
      <c r="BE18" s="270"/>
      <c r="BF18" s="270"/>
      <c r="BG18" s="270"/>
      <c r="BH18" s="270"/>
      <c r="BI18" s="270"/>
      <c r="BJ18" s="270"/>
      <c r="BK18" s="270"/>
      <c r="BL18" s="270"/>
      <c r="BM18" s="270"/>
      <c r="BN18" s="270"/>
      <c r="BO18" s="270"/>
      <c r="BP18" s="270"/>
      <c r="BQ18" s="270"/>
    </row>
    <row r="19" spans="1:69" ht="26.25" hidden="1" outlineLevel="1" thickBot="1" x14ac:dyDescent="0.25">
      <c r="A19" s="270"/>
      <c r="B19" s="270"/>
      <c r="C19" s="270"/>
      <c r="D19" s="270"/>
      <c r="E19" s="270"/>
      <c r="F19" s="270"/>
      <c r="G19" s="270"/>
      <c r="H19" s="270"/>
      <c r="I19" s="270"/>
      <c r="J19" s="270"/>
      <c r="K19" s="270"/>
      <c r="L19" s="270"/>
      <c r="M19" s="270"/>
      <c r="N19" s="270"/>
      <c r="O19" s="270"/>
      <c r="P19" s="270"/>
      <c r="Q19" s="270"/>
      <c r="R19" s="270"/>
      <c r="S19" s="270"/>
      <c r="T19" s="270"/>
      <c r="U19" s="635" t="s">
        <v>1720</v>
      </c>
      <c r="V19" s="1536"/>
      <c r="W19" s="1537"/>
      <c r="X19" s="1537"/>
      <c r="Y19" s="648"/>
      <c r="Z19" s="649" t="str">
        <f>IF(OR(ISNUMBER(Z22),ISNUMBER(Z23),ISNUMBER(Z24),ISNUMBER(Z25)),Lire_Gain_Matches(Z22:Z25, AB22:AB25),"")</f>
        <v/>
      </c>
      <c r="AA19" s="650" t="s">
        <v>769</v>
      </c>
      <c r="AB19" s="651" t="str">
        <f>IF(OR(ISNUMBER(Z22),ISNUMBER(Z23),ISNUMBER(Z24),ISNUMBER(Z25)),Lire_Gain_Matches(AB22:AB25, Z22:Z25),"")</f>
        <v/>
      </c>
      <c r="AC19" s="648"/>
      <c r="AD19" s="231" t="str">
        <f>IF(ISNA(VLOOKUP("X",AD22:AD25,1,FALSE)),"","X")</f>
        <v/>
      </c>
      <c r="AE19" s="270" t="str">
        <f>IF(Z19="","",IF(Z19&gt;AB19,Y19,IF(Z19=AB19,IF(AL19=Y19,AC19,IF(AL19=AC19,Y19,"")),AC19)))</f>
        <v/>
      </c>
      <c r="AF19" s="270" t="str">
        <f>IF(Z19="","",IF(Z19=AB19,IF(AL19=Y19,"",IF(AL19=AC19,"",Y19)),""))</f>
        <v/>
      </c>
      <c r="AG19" s="270" t="str">
        <f>IF(Z19="","",IF(Z19=AB19,IF(AL19=Y19,"",IF(AL19=AC19,"",AC19)),""))</f>
        <v/>
      </c>
      <c r="AH19" s="270" t="str">
        <f>IF(Z19="","",IF(Z19&lt;AB19,Y19,IF(Z19=AB19,IF(AL19=Y19,Y19,IF(AL19=AC19,AC19,"")),AC19)))</f>
        <v/>
      </c>
      <c r="AI19" s="270"/>
      <c r="AJ19" s="270"/>
      <c r="AK19" s="270"/>
      <c r="AL19" s="1276" t="str">
        <f>IF(COUNTIF(Y22:Y25,WithdrawLabel)&gt;COUNTIF(AC22:AC25,WithdrawLabel),Y19,IF(COUNTIF(AC22:AC25,WithdrawLabel)&gt;COUNTIF(Y22:Y25,WithdrawLabel),AC19,""))</f>
        <v/>
      </c>
      <c r="AM19" s="598"/>
      <c r="AN19" s="270"/>
      <c r="AO19" s="270"/>
      <c r="AP19" s="270"/>
      <c r="AQ19" s="270"/>
      <c r="AR19" s="270"/>
      <c r="AS19" s="270"/>
      <c r="AT19" s="270"/>
      <c r="AU19" s="270"/>
      <c r="AV19" s="270"/>
      <c r="AW19" s="270"/>
      <c r="AX19" s="270"/>
      <c r="AY19" s="270"/>
      <c r="AZ19" s="270"/>
      <c r="BA19" s="270"/>
      <c r="BB19" s="270"/>
      <c r="BC19" s="270"/>
      <c r="BD19" s="270"/>
      <c r="BE19" s="270"/>
      <c r="BF19" s="270"/>
      <c r="BG19" s="270"/>
      <c r="BH19" s="270"/>
      <c r="BI19" s="270"/>
      <c r="BJ19" s="270"/>
      <c r="BK19" s="270"/>
      <c r="BL19" s="270"/>
      <c r="BM19" s="270"/>
      <c r="BN19" s="270"/>
      <c r="BO19" s="270"/>
      <c r="BP19" s="270"/>
      <c r="BQ19" s="270"/>
    </row>
    <row r="20" spans="1:69" ht="18.75" hidden="1" outlineLevel="1" thickBot="1" x14ac:dyDescent="0.25">
      <c r="A20" s="270"/>
      <c r="B20" s="270"/>
      <c r="C20" s="270"/>
      <c r="D20" s="270"/>
      <c r="E20" s="270"/>
      <c r="F20" s="270"/>
      <c r="G20" s="270"/>
      <c r="H20" s="270"/>
      <c r="I20" s="270"/>
      <c r="J20" s="270"/>
      <c r="K20" s="270"/>
      <c r="L20" s="270"/>
      <c r="M20" s="270"/>
      <c r="N20" s="270"/>
      <c r="O20" s="270"/>
      <c r="P20" s="270"/>
      <c r="Q20" s="270"/>
      <c r="R20" s="270"/>
      <c r="S20" s="270"/>
      <c r="T20" s="270"/>
      <c r="U20" s="632"/>
      <c r="V20" s="629"/>
      <c r="W20" s="647"/>
      <c r="X20" s="647"/>
      <c r="Y20" s="652" t="str">
        <f>N_Total_buts</f>
        <v>Total des buts</v>
      </c>
      <c r="Z20" s="649" t="str">
        <f>IF(OR(ISNUMBER(Z22),ISNUMBER(Z23),ISNUMBER(Z24),ISNUMBER(Z25)),SUM(Z22:Z25),"")</f>
        <v/>
      </c>
      <c r="AA20" s="650" t="s">
        <v>769</v>
      </c>
      <c r="AB20" s="651" t="str">
        <f>IF(OR(ISNUMBER(Z22),ISNUMBER(Z23),ISNUMBER(Z24),ISNUMBER(Z25)),SUM(AB22:AB25),"")</f>
        <v/>
      </c>
      <c r="AC20" s="653" t="str">
        <f>IF(Z26="","",CONCATENATE("(Diff : ",Z26," - ",AB26,")"))</f>
        <v/>
      </c>
      <c r="AD20" s="270"/>
      <c r="AE20" s="270"/>
      <c r="AF20" s="270"/>
      <c r="AG20" s="270"/>
      <c r="AH20" s="270"/>
      <c r="AI20" s="270"/>
      <c r="AJ20" s="270"/>
      <c r="AK20" s="270"/>
      <c r="AL20" s="270"/>
      <c r="AM20" s="61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row>
    <row r="21" spans="1:69" ht="26.25" hidden="1" outlineLevel="1" thickBot="1" x14ac:dyDescent="0.25">
      <c r="A21" s="270"/>
      <c r="B21" s="270"/>
      <c r="C21" s="270"/>
      <c r="D21" s="270"/>
      <c r="E21" s="270"/>
      <c r="F21" s="270"/>
      <c r="G21" s="270"/>
      <c r="H21" s="270"/>
      <c r="I21" s="270"/>
      <c r="J21" s="1334" t="str">
        <f>IF(Z21="","",IF(Z21=Y19,AC19,Y19))</f>
        <v/>
      </c>
      <c r="K21" s="270"/>
      <c r="L21" s="270"/>
      <c r="M21" s="270"/>
      <c r="N21" s="270"/>
      <c r="O21" s="270"/>
      <c r="P21" s="270"/>
      <c r="Q21" s="270"/>
      <c r="R21" s="270"/>
      <c r="S21" s="270"/>
      <c r="T21" s="270"/>
      <c r="U21" s="632"/>
      <c r="V21" s="629"/>
      <c r="W21" s="647"/>
      <c r="X21" s="647"/>
      <c r="Y21" s="654" t="str">
        <f>N_VAINQUEUR</f>
        <v>VAINQUEUR</v>
      </c>
      <c r="Z21" s="2427" t="str">
        <f>IF(AL18&lt;&gt;"OK",IF(HidePlayerFormulas,"","("&amp;Y19&amp;"-"&amp;AC19&amp;")"),IF(AE19="",IF(Z20&gt;AB20,Y19,IF(Z20&lt;AB20,AC19,mess_erreur_marque)),AE19))</f>
        <v/>
      </c>
      <c r="AA21" s="2428"/>
      <c r="AB21" s="2428"/>
      <c r="AC21" s="2429"/>
      <c r="AD21" s="270"/>
      <c r="AE21" s="270"/>
      <c r="AF21" s="270"/>
      <c r="AG21" s="270"/>
      <c r="AH21" s="270"/>
      <c r="AI21" s="270"/>
      <c r="AJ21" s="270"/>
      <c r="AK21" s="270"/>
      <c r="AL21" s="270"/>
      <c r="AM21" s="598"/>
      <c r="AN21" s="270"/>
      <c r="AO21" s="270"/>
      <c r="AP21" s="270"/>
      <c r="AQ21" s="270"/>
      <c r="AR21" s="270"/>
      <c r="AS21" s="270"/>
      <c r="AT21" s="270"/>
      <c r="AU21" s="270"/>
      <c r="AV21" s="270"/>
      <c r="AW21" s="270"/>
      <c r="AX21" s="270"/>
      <c r="AY21" s="270"/>
      <c r="AZ21" s="270"/>
      <c r="BA21" s="270"/>
      <c r="BB21" s="270"/>
      <c r="BC21" s="270"/>
      <c r="BD21" s="270"/>
      <c r="BE21" s="270"/>
      <c r="BF21" s="270"/>
      <c r="BG21" s="270"/>
      <c r="BH21" s="270"/>
      <c r="BI21" s="270"/>
      <c r="BJ21" s="270"/>
      <c r="BK21" s="270"/>
      <c r="BL21" s="270"/>
      <c r="BM21" s="270"/>
      <c r="BN21" s="270"/>
      <c r="BO21" s="270"/>
      <c r="BP21" s="270"/>
      <c r="BQ21" s="270"/>
    </row>
    <row r="22" spans="1:69" ht="25.5" hidden="1" outlineLevel="3" x14ac:dyDescent="0.2">
      <c r="A22" s="270"/>
      <c r="B22" s="270"/>
      <c r="C22" s="270"/>
      <c r="D22" s="270"/>
      <c r="E22" s="270"/>
      <c r="F22" s="270"/>
      <c r="G22" s="270"/>
      <c r="H22" s="270"/>
      <c r="I22" s="270"/>
      <c r="J22" s="270"/>
      <c r="K22" s="270"/>
      <c r="L22" s="270"/>
      <c r="M22" s="270"/>
      <c r="N22" s="270"/>
      <c r="O22" s="270"/>
      <c r="P22" s="270"/>
      <c r="Q22" s="270"/>
      <c r="R22" s="270"/>
      <c r="S22" s="270"/>
      <c r="T22" s="270"/>
      <c r="U22" s="632"/>
      <c r="V22" s="636"/>
      <c r="W22" s="655"/>
      <c r="X22" s="656"/>
      <c r="Y22" s="1270"/>
      <c r="Z22" s="484"/>
      <c r="AA22" s="485" t="s">
        <v>769</v>
      </c>
      <c r="AB22" s="484">
        <v>0</v>
      </c>
      <c r="AC22" s="1272"/>
      <c r="AD22" s="637"/>
      <c r="AE22" s="270"/>
      <c r="AF22" s="270"/>
      <c r="AG22" s="270"/>
      <c r="AH22" s="270"/>
      <c r="AI22" s="270"/>
      <c r="AJ22" s="270"/>
      <c r="AK22" s="270"/>
      <c r="AL22" s="270"/>
      <c r="AM22" s="1275"/>
      <c r="AN22" s="270"/>
      <c r="AO22" s="270"/>
      <c r="AP22" s="270"/>
      <c r="AQ22" s="270"/>
      <c r="AR22" s="270"/>
      <c r="AS22" s="270"/>
      <c r="AT22" s="270"/>
      <c r="AU22" s="270"/>
      <c r="AV22" s="270"/>
      <c r="AW22" s="270"/>
      <c r="AX22" s="270"/>
      <c r="AY22" s="270"/>
      <c r="AZ22" s="270"/>
      <c r="BA22" s="270"/>
      <c r="BB22" s="270"/>
      <c r="BC22" s="270"/>
      <c r="BD22" s="270"/>
      <c r="BE22" s="270"/>
      <c r="BF22" s="270"/>
      <c r="BG22" s="270"/>
      <c r="BH22" s="270"/>
      <c r="BI22" s="270"/>
      <c r="BJ22" s="270"/>
      <c r="BK22" s="270"/>
      <c r="BL22" s="270"/>
      <c r="BM22" s="270"/>
      <c r="BN22" s="270"/>
      <c r="BO22" s="270"/>
      <c r="BP22" s="270"/>
      <c r="BQ22" s="270"/>
    </row>
    <row r="23" spans="1:69" ht="25.5" hidden="1" outlineLevel="3" x14ac:dyDescent="0.2">
      <c r="A23" s="270"/>
      <c r="B23" s="270"/>
      <c r="C23" s="270"/>
      <c r="D23" s="270"/>
      <c r="E23" s="270"/>
      <c r="F23" s="270"/>
      <c r="G23" s="270"/>
      <c r="H23" s="270"/>
      <c r="I23" s="270"/>
      <c r="J23" s="270"/>
      <c r="K23" s="270"/>
      <c r="L23" s="270"/>
      <c r="M23" s="270"/>
      <c r="N23" s="270"/>
      <c r="O23" s="270"/>
      <c r="P23" s="270"/>
      <c r="Q23" s="270"/>
      <c r="R23" s="270"/>
      <c r="S23" s="270"/>
      <c r="T23" s="270"/>
      <c r="U23" s="632"/>
      <c r="V23" s="638"/>
      <c r="W23" s="658"/>
      <c r="X23" s="659"/>
      <c r="Y23" s="1271"/>
      <c r="Z23" s="492"/>
      <c r="AA23" s="493" t="s">
        <v>769</v>
      </c>
      <c r="AB23" s="492">
        <v>1</v>
      </c>
      <c r="AC23" s="1273"/>
      <c r="AD23" s="639"/>
      <c r="AE23" s="270"/>
      <c r="AF23" s="270"/>
      <c r="AG23" s="270"/>
      <c r="AH23" s="270"/>
      <c r="AI23" s="270"/>
      <c r="AJ23" s="270"/>
      <c r="AK23" s="270"/>
      <c r="AL23" s="270"/>
      <c r="AM23" s="598"/>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row>
    <row r="24" spans="1:69" ht="25.5" hidden="1" outlineLevel="3" x14ac:dyDescent="0.2">
      <c r="A24" s="270"/>
      <c r="B24" s="270"/>
      <c r="C24" s="270"/>
      <c r="D24" s="270"/>
      <c r="E24" s="270"/>
      <c r="F24" s="270"/>
      <c r="G24" s="270"/>
      <c r="H24" s="270"/>
      <c r="I24" s="270"/>
      <c r="J24" s="270"/>
      <c r="K24" s="270"/>
      <c r="L24" s="270"/>
      <c r="M24" s="270"/>
      <c r="N24" s="270"/>
      <c r="O24" s="270"/>
      <c r="P24" s="270"/>
      <c r="Q24" s="270"/>
      <c r="R24" s="270"/>
      <c r="S24" s="270"/>
      <c r="T24" s="270"/>
      <c r="U24" s="632"/>
      <c r="V24" s="638"/>
      <c r="W24" s="658"/>
      <c r="X24" s="659"/>
      <c r="Y24" s="1271"/>
      <c r="Z24" s="492"/>
      <c r="AA24" s="493" t="s">
        <v>769</v>
      </c>
      <c r="AB24" s="492">
        <v>1</v>
      </c>
      <c r="AC24" s="1273"/>
      <c r="AD24" s="640"/>
      <c r="AE24" s="270"/>
      <c r="AF24" s="270"/>
      <c r="AG24" s="270"/>
      <c r="AH24" s="270"/>
      <c r="AI24" s="270"/>
      <c r="AJ24" s="270"/>
      <c r="AK24" s="270"/>
      <c r="AL24" s="270"/>
      <c r="AM24" s="598"/>
      <c r="AN24" s="270"/>
      <c r="AO24" s="270"/>
      <c r="AP24" s="270"/>
      <c r="AQ24" s="270"/>
      <c r="AR24" s="270"/>
      <c r="AS24" s="270"/>
      <c r="AT24" s="270"/>
      <c r="AU24" s="270"/>
      <c r="AV24" s="270"/>
      <c r="AW24" s="270"/>
      <c r="AX24" s="270"/>
      <c r="AY24" s="270"/>
      <c r="AZ24" s="270"/>
      <c r="BA24" s="270"/>
      <c r="BB24" s="270"/>
      <c r="BC24" s="270"/>
      <c r="BD24" s="270"/>
      <c r="BE24" s="270"/>
      <c r="BF24" s="270"/>
      <c r="BG24" s="270"/>
      <c r="BH24" s="270"/>
      <c r="BI24" s="270"/>
      <c r="BJ24" s="270"/>
      <c r="BK24" s="270"/>
      <c r="BL24" s="270"/>
      <c r="BM24" s="270"/>
      <c r="BN24" s="270"/>
      <c r="BO24" s="270"/>
      <c r="BP24" s="270"/>
      <c r="BQ24" s="270"/>
    </row>
    <row r="25" spans="1:69" ht="26.25" hidden="1" outlineLevel="3" thickBot="1" x14ac:dyDescent="0.25">
      <c r="A25" s="270"/>
      <c r="B25" s="270"/>
      <c r="C25" s="270"/>
      <c r="D25" s="270"/>
      <c r="E25" s="270"/>
      <c r="F25" s="270"/>
      <c r="G25" s="270"/>
      <c r="H25" s="270"/>
      <c r="I25" s="270"/>
      <c r="J25" s="270"/>
      <c r="K25" s="270"/>
      <c r="L25" s="270"/>
      <c r="M25" s="270"/>
      <c r="N25" s="270"/>
      <c r="O25" s="270"/>
      <c r="P25" s="270"/>
      <c r="Q25" s="270"/>
      <c r="R25" s="270"/>
      <c r="S25" s="270"/>
      <c r="T25" s="270"/>
      <c r="U25" s="632"/>
      <c r="V25" s="641"/>
      <c r="W25" s="660"/>
      <c r="X25" s="661"/>
      <c r="Y25" s="631"/>
      <c r="Z25" s="496"/>
      <c r="AA25" s="497" t="s">
        <v>769</v>
      </c>
      <c r="AB25" s="496">
        <v>3</v>
      </c>
      <c r="AC25" s="1274"/>
      <c r="AD25" s="642"/>
      <c r="AE25" s="270"/>
      <c r="AF25" s="270"/>
      <c r="AG25" s="270"/>
      <c r="AH25" s="270"/>
      <c r="AI25" s="270"/>
      <c r="AJ25" s="270"/>
      <c r="AK25" s="270"/>
      <c r="AL25" s="270"/>
      <c r="AM25" s="598"/>
      <c r="AN25" s="270"/>
      <c r="AO25" s="270"/>
      <c r="AP25" s="270"/>
      <c r="AQ25" s="270"/>
      <c r="AR25" s="270"/>
      <c r="AS25" s="270"/>
      <c r="AT25" s="270"/>
      <c r="AU25" s="270"/>
      <c r="AV25" s="270"/>
      <c r="AW25" s="270"/>
      <c r="AX25" s="270"/>
      <c r="AY25" s="270"/>
      <c r="AZ25" s="270"/>
      <c r="BA25" s="270"/>
      <c r="BB25" s="270"/>
      <c r="BC25" s="270"/>
      <c r="BD25" s="270"/>
      <c r="BE25" s="270"/>
      <c r="BF25" s="270"/>
      <c r="BG25" s="270"/>
      <c r="BH25" s="270"/>
      <c r="BI25" s="270"/>
      <c r="BJ25" s="270"/>
      <c r="BK25" s="270"/>
      <c r="BL25" s="270"/>
      <c r="BM25" s="270"/>
      <c r="BN25" s="270"/>
      <c r="BO25" s="270"/>
      <c r="BP25" s="270"/>
      <c r="BQ25" s="270"/>
    </row>
    <row r="26" spans="1:69" ht="26.25" hidden="1" outlineLevel="3" thickBot="1" x14ac:dyDescent="0.25">
      <c r="A26" s="270"/>
      <c r="B26" s="270"/>
      <c r="C26" s="270"/>
      <c r="D26" s="270"/>
      <c r="E26" s="270"/>
      <c r="F26" s="270"/>
      <c r="G26" s="270"/>
      <c r="H26" s="270"/>
      <c r="I26" s="270"/>
      <c r="J26" s="270"/>
      <c r="K26" s="270"/>
      <c r="L26" s="270"/>
      <c r="M26" s="270"/>
      <c r="N26" s="270"/>
      <c r="O26" s="270"/>
      <c r="P26" s="270"/>
      <c r="Q26" s="270"/>
      <c r="R26" s="270"/>
      <c r="S26" s="270"/>
      <c r="T26" s="270"/>
      <c r="U26" s="632"/>
      <c r="V26" s="643"/>
      <c r="W26" s="644" t="str">
        <f>N_Différentiel</f>
        <v>Différentiel</v>
      </c>
      <c r="X26" s="662"/>
      <c r="Y26" s="663"/>
      <c r="Z26" s="488"/>
      <c r="AA26" s="489" t="s">
        <v>769</v>
      </c>
      <c r="AB26" s="488"/>
      <c r="AC26" s="933"/>
      <c r="AD26" s="270"/>
      <c r="AE26" s="270"/>
      <c r="AF26" s="270"/>
      <c r="AG26" s="270"/>
      <c r="AH26" s="270"/>
      <c r="AI26" s="270"/>
      <c r="AJ26" s="270"/>
      <c r="AK26" s="270"/>
      <c r="AL26" s="270"/>
      <c r="AM26" s="598"/>
      <c r="AN26" s="270"/>
      <c r="AO26" s="270"/>
      <c r="AP26" s="270"/>
      <c r="AQ26" s="270"/>
      <c r="AR26" s="270"/>
      <c r="AS26" s="270"/>
      <c r="AT26" s="270"/>
      <c r="AU26" s="270"/>
      <c r="AV26" s="270"/>
      <c r="AW26" s="270"/>
      <c r="AX26" s="270"/>
      <c r="AY26" s="270"/>
      <c r="AZ26" s="270"/>
      <c r="BA26" s="270"/>
      <c r="BB26" s="270"/>
      <c r="BC26" s="270"/>
      <c r="BD26" s="270"/>
      <c r="BE26" s="270"/>
      <c r="BF26" s="270"/>
      <c r="BG26" s="270"/>
      <c r="BH26" s="270"/>
      <c r="BI26" s="270"/>
      <c r="BJ26" s="270"/>
      <c r="BK26" s="270"/>
      <c r="BL26" s="270"/>
      <c r="BM26" s="270"/>
      <c r="BN26" s="270"/>
      <c r="BO26" s="270"/>
      <c r="BP26" s="270"/>
      <c r="BQ26" s="270"/>
    </row>
    <row r="27" spans="1:69" ht="25.5" hidden="1" outlineLevel="3" x14ac:dyDescent="0.2">
      <c r="A27" s="270"/>
      <c r="B27" s="270"/>
      <c r="C27" s="270"/>
      <c r="D27" s="270"/>
      <c r="E27" s="270"/>
      <c r="F27" s="270"/>
      <c r="G27" s="270"/>
      <c r="H27" s="270"/>
      <c r="I27" s="270"/>
      <c r="J27" s="270"/>
      <c r="K27" s="270"/>
      <c r="L27" s="270"/>
      <c r="M27" s="270"/>
      <c r="N27" s="270"/>
      <c r="O27" s="270"/>
      <c r="P27" s="270"/>
      <c r="Q27" s="270"/>
      <c r="R27" s="270"/>
      <c r="S27" s="270"/>
      <c r="T27" s="270"/>
      <c r="U27" s="632"/>
      <c r="V27" s="643"/>
      <c r="W27" s="664"/>
      <c r="X27" s="665" t="str">
        <f>N_Substitute</f>
        <v>Remplaçant</v>
      </c>
      <c r="Y27" s="657"/>
      <c r="Z27" s="480"/>
      <c r="AA27" s="666"/>
      <c r="AB27" s="480"/>
      <c r="AC27" s="934"/>
      <c r="AD27" s="270"/>
      <c r="AE27" s="270"/>
      <c r="AF27" s="270"/>
      <c r="AG27" s="270"/>
      <c r="AH27" s="270"/>
      <c r="AI27" s="270"/>
      <c r="AJ27" s="270"/>
      <c r="AK27" s="270"/>
      <c r="AL27" s="270"/>
      <c r="AM27" s="598"/>
      <c r="AN27" s="270"/>
      <c r="AO27" s="270"/>
      <c r="AP27" s="270"/>
      <c r="AQ27" s="270"/>
      <c r="AR27" s="270"/>
      <c r="AS27" s="270"/>
      <c r="AT27" s="270"/>
      <c r="AU27" s="270"/>
      <c r="AV27" s="270"/>
      <c r="AW27" s="270"/>
      <c r="AX27" s="270"/>
      <c r="AY27" s="270"/>
      <c r="AZ27" s="270"/>
      <c r="BA27" s="270"/>
      <c r="BB27" s="270"/>
      <c r="BC27" s="270"/>
      <c r="BD27" s="270"/>
      <c r="BE27" s="270"/>
      <c r="BF27" s="270"/>
      <c r="BG27" s="270"/>
      <c r="BH27" s="270"/>
      <c r="BI27" s="270"/>
      <c r="BJ27" s="270"/>
      <c r="BK27" s="270"/>
      <c r="BL27" s="270"/>
      <c r="BM27" s="270"/>
      <c r="BN27" s="270"/>
      <c r="BO27" s="270"/>
      <c r="BP27" s="270"/>
      <c r="BQ27" s="270"/>
    </row>
    <row r="28" spans="1:69" ht="26.25" hidden="1" outlineLevel="3" thickBot="1" x14ac:dyDescent="0.25">
      <c r="A28" s="270"/>
      <c r="B28" s="270"/>
      <c r="C28" s="270"/>
      <c r="D28" s="270"/>
      <c r="E28" s="270"/>
      <c r="F28" s="270"/>
      <c r="G28" s="270"/>
      <c r="H28" s="270"/>
      <c r="I28" s="270"/>
      <c r="J28" s="270"/>
      <c r="K28" s="270"/>
      <c r="L28" s="270"/>
      <c r="M28" s="270"/>
      <c r="N28" s="270"/>
      <c r="O28" s="270"/>
      <c r="P28" s="270"/>
      <c r="Q28" s="270"/>
      <c r="R28" s="270"/>
      <c r="S28" s="270"/>
      <c r="T28" s="270"/>
      <c r="U28" s="632"/>
      <c r="V28" s="643"/>
      <c r="W28" s="664"/>
      <c r="X28" s="667" t="str">
        <f>N_Substitute</f>
        <v>Remplaçant</v>
      </c>
      <c r="Y28" s="663"/>
      <c r="Z28" s="488"/>
      <c r="AA28" s="668"/>
      <c r="AB28" s="488"/>
      <c r="AC28" s="933"/>
      <c r="AD28" s="270"/>
      <c r="AE28" s="270"/>
      <c r="AF28" s="270"/>
      <c r="AG28" s="270"/>
      <c r="AH28" s="270"/>
      <c r="AI28" s="270"/>
      <c r="AJ28" s="270"/>
      <c r="AK28" s="270"/>
      <c r="AL28" s="270"/>
      <c r="AM28" s="598"/>
      <c r="AN28" s="270"/>
      <c r="AO28" s="270"/>
      <c r="AP28" s="270"/>
      <c r="AQ28" s="270"/>
      <c r="AR28" s="270"/>
      <c r="AS28" s="270"/>
      <c r="AT28" s="270"/>
      <c r="AU28" s="270"/>
      <c r="AV28" s="270"/>
      <c r="AW28" s="270"/>
      <c r="AX28" s="270"/>
      <c r="AY28" s="270"/>
      <c r="AZ28" s="270"/>
      <c r="BA28" s="270"/>
      <c r="BB28" s="270"/>
      <c r="BC28" s="270"/>
      <c r="BD28" s="270"/>
      <c r="BE28" s="270"/>
      <c r="BF28" s="270"/>
      <c r="BG28" s="270"/>
      <c r="BH28" s="270"/>
      <c r="BI28" s="270"/>
      <c r="BJ28" s="270"/>
      <c r="BK28" s="270"/>
      <c r="BL28" s="270"/>
      <c r="BM28" s="270"/>
      <c r="BN28" s="270"/>
      <c r="BO28" s="270"/>
      <c r="BP28" s="270"/>
      <c r="BQ28" s="270"/>
    </row>
    <row r="29" spans="1:69" ht="13.5" hidden="1" outlineLevel="1" thickBot="1" x14ac:dyDescent="0.25">
      <c r="A29" s="270"/>
      <c r="B29" s="270"/>
      <c r="C29" s="270"/>
      <c r="D29" s="270"/>
      <c r="E29" s="270"/>
      <c r="F29" s="270"/>
      <c r="G29" s="270"/>
      <c r="H29" s="270"/>
      <c r="I29" s="270"/>
      <c r="J29" s="270"/>
      <c r="K29" s="270"/>
      <c r="L29" s="270"/>
      <c r="M29" s="270"/>
      <c r="N29" s="270"/>
      <c r="O29" s="270"/>
      <c r="P29" s="270"/>
      <c r="Q29" s="270"/>
      <c r="R29" s="270"/>
      <c r="S29" s="270"/>
      <c r="T29" s="270"/>
      <c r="U29" s="632"/>
      <c r="V29" s="270"/>
      <c r="W29" s="270"/>
      <c r="X29" s="270"/>
      <c r="Y29" s="270"/>
      <c r="Z29" s="270"/>
      <c r="AA29" s="270"/>
      <c r="AB29" s="270"/>
      <c r="AC29" s="270"/>
      <c r="AD29" s="270"/>
      <c r="AE29" s="270"/>
      <c r="AF29" s="270"/>
      <c r="AG29" s="270"/>
      <c r="AH29" s="270"/>
      <c r="AI29" s="270"/>
      <c r="AJ29" s="270"/>
      <c r="AK29" s="270"/>
      <c r="AL29" s="270"/>
      <c r="AM29" s="270"/>
      <c r="AN29" s="270"/>
      <c r="AO29" s="270"/>
      <c r="AP29" s="270"/>
      <c r="AQ29" s="270"/>
      <c r="AR29" s="270"/>
      <c r="AS29" s="270"/>
      <c r="AT29" s="270"/>
      <c r="AU29" s="270"/>
      <c r="AV29" s="270"/>
      <c r="AW29" s="270"/>
      <c r="AX29" s="270"/>
      <c r="AY29" s="270"/>
      <c r="AZ29" s="270"/>
      <c r="BA29" s="270"/>
      <c r="BB29" s="270"/>
      <c r="BC29" s="270"/>
      <c r="BD29" s="270"/>
      <c r="BE29" s="270"/>
      <c r="BF29" s="270"/>
      <c r="BG29" s="270"/>
      <c r="BH29" s="270"/>
      <c r="BI29" s="270"/>
      <c r="BJ29" s="270"/>
      <c r="BK29" s="270"/>
      <c r="BL29" s="270"/>
      <c r="BM29" s="270"/>
      <c r="BN29" s="270"/>
      <c r="BO29" s="270"/>
      <c r="BP29" s="270"/>
      <c r="BQ29" s="270"/>
    </row>
    <row r="30" spans="1:69" ht="13.5" hidden="1" outlineLevel="1" thickBot="1" x14ac:dyDescent="0.25">
      <c r="A30" s="270"/>
      <c r="B30" s="270"/>
      <c r="C30" s="270"/>
      <c r="D30" s="270"/>
      <c r="E30" s="270"/>
      <c r="F30" s="270"/>
      <c r="G30" s="270"/>
      <c r="H30" s="270"/>
      <c r="I30" s="270"/>
      <c r="J30" s="270"/>
      <c r="K30" s="270"/>
      <c r="L30" s="270"/>
      <c r="M30" s="270"/>
      <c r="N30" s="270"/>
      <c r="O30" s="270"/>
      <c r="P30" s="270"/>
      <c r="Q30" s="270"/>
      <c r="R30" s="270"/>
      <c r="S30" s="270"/>
      <c r="T30" s="270"/>
      <c r="U30" s="632"/>
      <c r="V30" s="270"/>
      <c r="W30" s="270"/>
      <c r="X30" s="270"/>
      <c r="Y30" s="270"/>
      <c r="Z30" s="669" t="str">
        <f>N_Pre_Qualified</f>
        <v>Qualifiés d'office</v>
      </c>
      <c r="AA30" s="670"/>
      <c r="AB30" s="670"/>
      <c r="AC30" s="671"/>
      <c r="AD30" s="270"/>
      <c r="AE30" s="270"/>
      <c r="AF30" s="270"/>
      <c r="AG30" s="270"/>
      <c r="AH30" s="270"/>
      <c r="AI30" s="270"/>
      <c r="AJ30" s="270"/>
      <c r="AK30" s="270"/>
      <c r="AL30" s="270"/>
      <c r="AM30" s="270"/>
      <c r="AN30" s="270"/>
      <c r="AO30" s="270"/>
      <c r="AP30" s="270"/>
      <c r="AQ30" s="270"/>
      <c r="AR30" s="270"/>
      <c r="AS30" s="270"/>
      <c r="AT30" s="270"/>
      <c r="AU30" s="270"/>
      <c r="AV30" s="270"/>
      <c r="AW30" s="270"/>
      <c r="AX30" s="270"/>
      <c r="AY30" s="270"/>
      <c r="AZ30" s="270"/>
      <c r="BA30" s="270"/>
      <c r="BB30" s="270"/>
      <c r="BC30" s="270"/>
      <c r="BD30" s="270"/>
      <c r="BE30" s="270"/>
      <c r="BF30" s="270"/>
      <c r="BG30" s="270"/>
      <c r="BH30" s="270"/>
      <c r="BI30" s="270"/>
      <c r="BJ30" s="270"/>
      <c r="BK30" s="270"/>
      <c r="BL30" s="270"/>
      <c r="BM30" s="270"/>
      <c r="BN30" s="270"/>
      <c r="BO30" s="270"/>
      <c r="BP30" s="270"/>
      <c r="BQ30" s="270"/>
    </row>
    <row r="31" spans="1:69" ht="26.25" hidden="1" outlineLevel="1" thickBot="1" x14ac:dyDescent="0.25">
      <c r="A31" s="270"/>
      <c r="B31" s="270"/>
      <c r="C31" s="270"/>
      <c r="D31" s="270"/>
      <c r="E31" s="270"/>
      <c r="F31" s="270"/>
      <c r="G31" s="270"/>
      <c r="H31" s="270"/>
      <c r="I31" s="270"/>
      <c r="J31" s="270"/>
      <c r="K31" s="270"/>
      <c r="L31" s="270"/>
      <c r="M31" s="270"/>
      <c r="N31" s="270"/>
      <c r="O31" s="270"/>
      <c r="P31" s="270"/>
      <c r="Q31" s="270"/>
      <c r="R31" s="270"/>
      <c r="S31" s="270"/>
      <c r="T31" s="270"/>
      <c r="U31" s="632"/>
      <c r="V31" s="629"/>
      <c r="W31" s="629"/>
      <c r="X31" s="629"/>
      <c r="Y31" s="270"/>
      <c r="Z31" s="2427"/>
      <c r="AA31" s="2428"/>
      <c r="AB31" s="2428"/>
      <c r="AC31" s="2429"/>
      <c r="AD31" s="270"/>
      <c r="AE31" s="270"/>
      <c r="AF31" s="270"/>
      <c r="AG31" s="270"/>
      <c r="AH31" s="270"/>
      <c r="AI31" s="270"/>
      <c r="AJ31" s="270"/>
      <c r="AK31" s="270"/>
      <c r="AL31" s="270"/>
      <c r="AM31" s="598"/>
      <c r="AN31" s="270"/>
      <c r="AO31" s="270"/>
      <c r="AP31" s="270"/>
      <c r="AQ31" s="270"/>
      <c r="AR31" s="270"/>
      <c r="AS31" s="270"/>
      <c r="AT31" s="270"/>
      <c r="AU31" s="270"/>
      <c r="AV31" s="270"/>
      <c r="AW31" s="270"/>
      <c r="AX31" s="270"/>
      <c r="AY31" s="270"/>
      <c r="AZ31" s="270"/>
      <c r="BA31" s="270"/>
      <c r="BB31" s="270"/>
      <c r="BC31" s="270"/>
      <c r="BD31" s="270"/>
      <c r="BE31" s="270"/>
      <c r="BF31" s="270"/>
      <c r="BG31" s="270"/>
      <c r="BH31" s="270"/>
      <c r="BI31" s="270"/>
      <c r="BJ31" s="270"/>
      <c r="BK31" s="270"/>
      <c r="BL31" s="270"/>
      <c r="BM31" s="270"/>
      <c r="BN31" s="270"/>
      <c r="BO31" s="270"/>
      <c r="BP31" s="270"/>
      <c r="BQ31" s="270"/>
    </row>
    <row r="32" spans="1:69" ht="26.25" hidden="1" outlineLevel="1" thickBot="1" x14ac:dyDescent="0.25">
      <c r="A32" s="270"/>
      <c r="B32" s="270"/>
      <c r="C32" s="270"/>
      <c r="D32" s="270"/>
      <c r="E32" s="270"/>
      <c r="F32" s="270"/>
      <c r="G32" s="270"/>
      <c r="H32" s="270"/>
      <c r="I32" s="270"/>
      <c r="J32" s="270"/>
      <c r="K32" s="270"/>
      <c r="L32" s="270"/>
      <c r="M32" s="270"/>
      <c r="N32" s="270"/>
      <c r="O32" s="270"/>
      <c r="P32" s="270"/>
      <c r="Q32" s="270"/>
      <c r="R32" s="270"/>
      <c r="S32" s="270"/>
      <c r="T32" s="270"/>
      <c r="U32" s="632"/>
      <c r="V32" s="629"/>
      <c r="W32" s="629"/>
      <c r="X32" s="629"/>
      <c r="Y32" s="270"/>
      <c r="Z32" s="2427"/>
      <c r="AA32" s="2428"/>
      <c r="AB32" s="2428"/>
      <c r="AC32" s="2429"/>
      <c r="AD32" s="270"/>
      <c r="AE32" s="270"/>
      <c r="AF32" s="270"/>
      <c r="AG32" s="270"/>
      <c r="AH32" s="270"/>
      <c r="AI32" s="270"/>
      <c r="AJ32" s="270"/>
      <c r="AK32" s="270"/>
      <c r="AL32" s="270"/>
      <c r="AM32" s="598"/>
      <c r="AN32" s="270"/>
      <c r="AO32" s="270"/>
      <c r="AP32" s="270"/>
      <c r="AQ32" s="270"/>
      <c r="AR32" s="270"/>
      <c r="AS32" s="270"/>
      <c r="AT32" s="270"/>
      <c r="AU32" s="270"/>
      <c r="AV32" s="270"/>
      <c r="AW32" s="270"/>
      <c r="AX32" s="270"/>
      <c r="AY32" s="270"/>
      <c r="AZ32" s="270"/>
      <c r="BA32" s="270"/>
      <c r="BB32" s="270"/>
      <c r="BC32" s="270"/>
      <c r="BD32" s="270"/>
      <c r="BE32" s="270"/>
      <c r="BF32" s="270"/>
      <c r="BG32" s="270"/>
      <c r="BH32" s="270"/>
      <c r="BI32" s="270"/>
      <c r="BJ32" s="270"/>
      <c r="BK32" s="270"/>
      <c r="BL32" s="270"/>
      <c r="BM32" s="270"/>
      <c r="BN32" s="270"/>
      <c r="BO32" s="270"/>
      <c r="BP32" s="270"/>
      <c r="BQ32" s="270"/>
    </row>
    <row r="33" spans="1:69" ht="26.25" hidden="1" outlineLevel="1" thickBot="1" x14ac:dyDescent="0.25">
      <c r="A33" s="270"/>
      <c r="B33" s="270"/>
      <c r="C33" s="270"/>
      <c r="D33" s="270"/>
      <c r="E33" s="270"/>
      <c r="F33" s="270"/>
      <c r="G33" s="270"/>
      <c r="H33" s="270"/>
      <c r="I33" s="270"/>
      <c r="J33" s="270"/>
      <c r="K33" s="270"/>
      <c r="L33" s="270"/>
      <c r="M33" s="270"/>
      <c r="N33" s="270"/>
      <c r="O33" s="270"/>
      <c r="P33" s="270"/>
      <c r="Q33" s="270"/>
      <c r="R33" s="270"/>
      <c r="S33" s="270"/>
      <c r="T33" s="270"/>
      <c r="U33" s="632"/>
      <c r="V33" s="629"/>
      <c r="W33" s="629"/>
      <c r="X33" s="629"/>
      <c r="Y33" s="270"/>
      <c r="Z33" s="2427"/>
      <c r="AA33" s="2428"/>
      <c r="AB33" s="2428"/>
      <c r="AC33" s="2429"/>
      <c r="AD33" s="270"/>
      <c r="AE33" s="270"/>
      <c r="AF33" s="270"/>
      <c r="AG33" s="270"/>
      <c r="AH33" s="270"/>
      <c r="AI33" s="270"/>
      <c r="AJ33" s="270"/>
      <c r="AK33" s="270"/>
      <c r="AL33" s="270"/>
      <c r="AM33" s="598"/>
      <c r="AN33" s="270"/>
      <c r="AO33" s="270"/>
      <c r="AP33" s="270"/>
      <c r="AQ33" s="270"/>
      <c r="AR33" s="270"/>
      <c r="AS33" s="270"/>
      <c r="AT33" s="270"/>
      <c r="AU33" s="270"/>
      <c r="AV33" s="270"/>
      <c r="AW33" s="270"/>
      <c r="AX33" s="270"/>
      <c r="AY33" s="270"/>
      <c r="AZ33" s="270"/>
      <c r="BA33" s="270"/>
      <c r="BB33" s="270"/>
      <c r="BC33" s="270"/>
      <c r="BD33" s="270"/>
      <c r="BE33" s="270"/>
      <c r="BF33" s="270"/>
      <c r="BG33" s="270"/>
      <c r="BH33" s="270"/>
      <c r="BI33" s="270"/>
      <c r="BJ33" s="270"/>
      <c r="BK33" s="270"/>
      <c r="BL33" s="270"/>
      <c r="BM33" s="270"/>
      <c r="BN33" s="270"/>
      <c r="BO33" s="270"/>
      <c r="BP33" s="270"/>
      <c r="BQ33" s="270"/>
    </row>
    <row r="34" spans="1:69" ht="26.25" hidden="1" outlineLevel="1" thickBot="1" x14ac:dyDescent="0.25">
      <c r="A34" s="270"/>
      <c r="B34" s="270"/>
      <c r="C34" s="270"/>
      <c r="D34" s="270"/>
      <c r="E34" s="270"/>
      <c r="F34" s="270"/>
      <c r="G34" s="270"/>
      <c r="H34" s="270"/>
      <c r="I34" s="270"/>
      <c r="J34" s="270"/>
      <c r="K34" s="270"/>
      <c r="L34" s="270"/>
      <c r="M34" s="270"/>
      <c r="N34" s="270"/>
      <c r="O34" s="270"/>
      <c r="P34" s="270"/>
      <c r="Q34" s="270"/>
      <c r="R34" s="270"/>
      <c r="S34" s="270"/>
      <c r="T34" s="270"/>
      <c r="U34" s="632"/>
      <c r="V34" s="629"/>
      <c r="W34" s="629"/>
      <c r="X34" s="629"/>
      <c r="Y34" s="270"/>
      <c r="Z34" s="2427"/>
      <c r="AA34" s="2428"/>
      <c r="AB34" s="2428"/>
      <c r="AC34" s="2429"/>
      <c r="AD34" s="270"/>
      <c r="AE34" s="270"/>
      <c r="AF34" s="270"/>
      <c r="AG34" s="270"/>
      <c r="AH34" s="270"/>
      <c r="AI34" s="270"/>
      <c r="AJ34" s="270"/>
      <c r="AK34" s="270"/>
      <c r="AL34" s="270"/>
      <c r="AM34" s="598"/>
      <c r="AN34" s="270"/>
      <c r="AO34" s="270"/>
      <c r="AP34" s="270"/>
      <c r="AQ34" s="270"/>
      <c r="AR34" s="270"/>
      <c r="AS34" s="270"/>
      <c r="AT34" s="270"/>
      <c r="AU34" s="270"/>
      <c r="AV34" s="270"/>
      <c r="AW34" s="270"/>
      <c r="AX34" s="270"/>
      <c r="AY34" s="270"/>
      <c r="AZ34" s="270"/>
      <c r="BA34" s="270"/>
      <c r="BB34" s="270"/>
      <c r="BC34" s="270"/>
      <c r="BD34" s="270"/>
      <c r="BE34" s="270"/>
      <c r="BF34" s="270"/>
      <c r="BG34" s="270"/>
      <c r="BH34" s="270"/>
      <c r="BI34" s="270"/>
      <c r="BJ34" s="270"/>
      <c r="BK34" s="270"/>
      <c r="BL34" s="270"/>
      <c r="BM34" s="270"/>
      <c r="BN34" s="270"/>
      <c r="BO34" s="270"/>
      <c r="BP34" s="270"/>
      <c r="BQ34" s="270"/>
    </row>
    <row r="35" spans="1:69" ht="13.5" hidden="1" outlineLevel="1" thickBot="1" x14ac:dyDescent="0.25">
      <c r="A35" s="270"/>
      <c r="B35" s="270"/>
      <c r="C35" s="270"/>
      <c r="D35" s="270"/>
      <c r="E35" s="270"/>
      <c r="F35" s="270"/>
      <c r="G35" s="270"/>
      <c r="H35" s="270"/>
      <c r="I35" s="270"/>
      <c r="J35" s="270"/>
      <c r="K35" s="270"/>
      <c r="L35" s="270"/>
      <c r="M35" s="270"/>
      <c r="N35" s="270"/>
      <c r="O35" s="270"/>
      <c r="P35" s="270"/>
      <c r="Q35" s="270"/>
      <c r="R35" s="270"/>
      <c r="S35" s="270"/>
      <c r="T35" s="270"/>
      <c r="U35" s="632"/>
      <c r="V35" s="270"/>
      <c r="W35" s="270"/>
      <c r="X35" s="270"/>
      <c r="Y35" s="270"/>
      <c r="Z35" s="270"/>
      <c r="AA35" s="270"/>
      <c r="AB35" s="270"/>
      <c r="AC35" s="270"/>
      <c r="AD35" s="270"/>
      <c r="AE35" s="270"/>
      <c r="AF35" s="270"/>
      <c r="AG35" s="270"/>
      <c r="AH35" s="270"/>
      <c r="AI35" s="270"/>
      <c r="AJ35" s="270"/>
      <c r="AK35" s="270"/>
      <c r="AL35" s="270"/>
      <c r="AM35" s="270"/>
      <c r="AN35" s="270"/>
      <c r="AO35" s="270"/>
      <c r="AP35" s="270"/>
      <c r="AQ35" s="270"/>
      <c r="AR35" s="270"/>
      <c r="AS35" s="270"/>
      <c r="AT35" s="270"/>
      <c r="AU35" s="270"/>
      <c r="AV35" s="270"/>
      <c r="AW35" s="270"/>
      <c r="AX35" s="270"/>
      <c r="AY35" s="270"/>
      <c r="AZ35" s="270"/>
      <c r="BA35" s="270"/>
      <c r="BB35" s="270"/>
      <c r="BC35" s="270"/>
      <c r="BD35" s="270"/>
      <c r="BE35" s="270"/>
      <c r="BF35" s="270"/>
      <c r="BG35" s="270"/>
      <c r="BH35" s="270"/>
      <c r="BI35" s="270"/>
      <c r="BJ35" s="270"/>
      <c r="BK35" s="270"/>
      <c r="BL35" s="270"/>
      <c r="BM35" s="270"/>
      <c r="BN35" s="270"/>
      <c r="BO35" s="270"/>
      <c r="BP35" s="270"/>
      <c r="BQ35" s="270"/>
    </row>
    <row r="36" spans="1:69" ht="13.5" collapsed="1" thickBot="1" x14ac:dyDescent="0.25">
      <c r="A36" s="270"/>
      <c r="B36" s="2424" t="str">
        <f>N__1_8_DE_FINALE</f>
        <v>1/8 DE FINALE</v>
      </c>
      <c r="C36" s="2425"/>
      <c r="D36" s="2425"/>
      <c r="E36" s="2425"/>
      <c r="F36" s="2425"/>
      <c r="G36" s="2425"/>
      <c r="H36" s="2425"/>
      <c r="I36" s="2425"/>
      <c r="J36" s="2425"/>
      <c r="K36" s="2425"/>
      <c r="L36" s="2425"/>
      <c r="M36" s="2425"/>
      <c r="N36" s="2425"/>
      <c r="O36" s="2425"/>
      <c r="P36" s="2425"/>
      <c r="Q36" s="2425"/>
      <c r="R36" s="2425"/>
      <c r="S36" s="2425"/>
      <c r="T36" s="2425"/>
      <c r="U36" s="2425"/>
      <c r="V36" s="2425"/>
      <c r="W36" s="2425"/>
      <c r="X36" s="2425"/>
      <c r="Y36" s="2425"/>
      <c r="Z36" s="2425"/>
      <c r="AA36" s="2425"/>
      <c r="AB36" s="2425"/>
      <c r="AC36" s="2425"/>
      <c r="AD36" s="2425"/>
      <c r="AE36" s="2425"/>
      <c r="AF36" s="2425"/>
      <c r="AG36" s="2425"/>
      <c r="AH36" s="2425"/>
      <c r="AI36" s="2425"/>
      <c r="AJ36" s="2425"/>
      <c r="AK36" s="2425"/>
      <c r="AL36" s="2425"/>
      <c r="AM36" s="2426"/>
      <c r="AN36" s="270"/>
      <c r="AO36" s="270"/>
      <c r="AP36" s="270"/>
      <c r="AQ36" s="270"/>
      <c r="AR36" s="270"/>
      <c r="AS36" s="270"/>
      <c r="AT36" s="270"/>
      <c r="AU36" s="270"/>
      <c r="AV36" s="270"/>
      <c r="AW36" s="270"/>
      <c r="AX36" s="270"/>
      <c r="AY36" s="270"/>
      <c r="AZ36" s="270"/>
      <c r="BA36" s="270"/>
      <c r="BB36" s="270"/>
      <c r="BC36" s="270"/>
      <c r="BD36" s="270"/>
      <c r="BE36" s="270"/>
      <c r="BF36" s="270"/>
      <c r="BG36" s="270"/>
      <c r="BH36" s="270"/>
      <c r="BI36" s="270"/>
      <c r="BJ36" s="270"/>
      <c r="BK36" s="270"/>
      <c r="BL36" s="270"/>
      <c r="BM36" s="270"/>
      <c r="BN36" s="270"/>
      <c r="BO36" s="270"/>
      <c r="BP36" s="270"/>
      <c r="BQ36" s="270"/>
    </row>
    <row r="37" spans="1:69" ht="13.5" hidden="1" outlineLevel="1" thickBot="1" x14ac:dyDescent="0.25">
      <c r="A37" s="270"/>
      <c r="B37" s="270"/>
      <c r="C37" s="270"/>
      <c r="D37" s="270"/>
      <c r="E37" s="270"/>
      <c r="F37" s="270"/>
      <c r="G37" s="270"/>
      <c r="H37" s="270"/>
      <c r="I37" s="270"/>
      <c r="J37" s="270"/>
      <c r="K37" s="270"/>
      <c r="L37" s="270"/>
      <c r="M37" s="270"/>
      <c r="N37" s="270"/>
      <c r="O37" s="270"/>
      <c r="P37" s="270"/>
      <c r="Q37" s="270"/>
      <c r="R37" s="270"/>
      <c r="S37" s="270"/>
      <c r="T37" s="270"/>
      <c r="U37" s="632"/>
      <c r="V37" s="270"/>
      <c r="W37" s="270"/>
      <c r="X37" s="270"/>
      <c r="Y37" s="270"/>
      <c r="Z37" s="270"/>
      <c r="AA37" s="270"/>
      <c r="AB37" s="270"/>
      <c r="AC37" s="270"/>
      <c r="AD37" s="270"/>
      <c r="AE37" s="270"/>
      <c r="AF37" s="270"/>
      <c r="AG37" s="270"/>
      <c r="AH37" s="270"/>
      <c r="AI37" s="270"/>
      <c r="AJ37" s="270"/>
      <c r="AK37" s="270"/>
      <c r="AL37" s="270"/>
      <c r="AM37" s="270"/>
      <c r="AN37" s="270"/>
      <c r="AO37" s="270"/>
      <c r="AP37" s="270"/>
      <c r="AQ37" s="270"/>
      <c r="AR37" s="270"/>
      <c r="AS37" s="270"/>
      <c r="AT37" s="270"/>
      <c r="AU37" s="270"/>
      <c r="AV37" s="270"/>
      <c r="AW37" s="270"/>
      <c r="AX37" s="270"/>
      <c r="AY37" s="270"/>
      <c r="AZ37" s="270"/>
      <c r="BA37" s="270"/>
      <c r="BB37" s="270"/>
      <c r="BC37" s="270"/>
      <c r="BD37" s="270"/>
      <c r="BE37" s="270"/>
      <c r="BF37" s="270"/>
      <c r="BG37" s="270"/>
      <c r="BH37" s="270"/>
      <c r="BI37" s="270"/>
      <c r="BJ37" s="270"/>
      <c r="BK37" s="270"/>
      <c r="BL37" s="270"/>
      <c r="BM37" s="270"/>
      <c r="BN37" s="270"/>
      <c r="BO37" s="270"/>
      <c r="BP37" s="270"/>
      <c r="BQ37" s="270"/>
    </row>
    <row r="38" spans="1:69" ht="13.5" hidden="1" outlineLevel="1" thickBot="1" x14ac:dyDescent="0.25">
      <c r="A38" s="270"/>
      <c r="B38" s="270"/>
      <c r="C38" s="270"/>
      <c r="D38" s="270"/>
      <c r="E38" s="270"/>
      <c r="F38" s="270"/>
      <c r="G38" s="270"/>
      <c r="H38" s="270"/>
      <c r="I38" s="270"/>
      <c r="J38" s="270"/>
      <c r="K38" s="270"/>
      <c r="L38" s="270"/>
      <c r="M38" s="270"/>
      <c r="N38" s="270"/>
      <c r="O38" s="270"/>
      <c r="P38" s="270"/>
      <c r="Q38" s="270"/>
      <c r="R38" s="270"/>
      <c r="S38" s="270"/>
      <c r="T38" s="270"/>
      <c r="U38" s="633"/>
      <c r="V38" s="630" t="str">
        <f>N_Heure</f>
        <v>Heure</v>
      </c>
      <c r="W38" s="630" t="str">
        <f>N_Table</f>
        <v>Table</v>
      </c>
      <c r="X38" s="630" t="str">
        <f>N_Arbitre</f>
        <v>Arbitre</v>
      </c>
      <c r="Y38" s="2403" t="str">
        <f>N_Scores</f>
        <v>Scores</v>
      </c>
      <c r="Z38" s="2404"/>
      <c r="AA38" s="2404"/>
      <c r="AB38" s="2404"/>
      <c r="AC38" s="2405"/>
      <c r="AD38" s="634" t="str">
        <f>N_MS</f>
        <v>MS</v>
      </c>
      <c r="AE38" s="270"/>
      <c r="AF38" s="270"/>
      <c r="AG38" s="270"/>
      <c r="AH38" s="270"/>
      <c r="AI38" s="270"/>
      <c r="AJ38" s="270"/>
      <c r="AK38" s="270"/>
      <c r="AL38" s="270" t="str">
        <f>IF(COUNTA(Z42:Z45)&gt;3,"OK","")</f>
        <v/>
      </c>
      <c r="AM38" s="270"/>
      <c r="AN38" s="270"/>
      <c r="AO38" s="270"/>
      <c r="AP38" s="270"/>
      <c r="AQ38" s="270"/>
      <c r="AR38" s="270"/>
      <c r="AS38" s="270"/>
      <c r="AT38" s="270"/>
      <c r="AU38" s="270"/>
      <c r="AV38" s="270"/>
      <c r="AW38" s="270"/>
      <c r="AX38" s="270"/>
      <c r="AY38" s="270"/>
      <c r="AZ38" s="270"/>
      <c r="BA38" s="270"/>
      <c r="BB38" s="270"/>
      <c r="BC38" s="270"/>
      <c r="BD38" s="270"/>
      <c r="BE38" s="270"/>
      <c r="BF38" s="270"/>
      <c r="BG38" s="270"/>
      <c r="BH38" s="270"/>
      <c r="BI38" s="270"/>
      <c r="BJ38" s="270"/>
      <c r="BK38" s="270"/>
      <c r="BL38" s="270"/>
      <c r="BM38" s="270"/>
      <c r="BN38" s="270"/>
      <c r="BO38" s="270"/>
      <c r="BP38" s="270"/>
      <c r="BQ38" s="270"/>
    </row>
    <row r="39" spans="1:69" ht="26.25" hidden="1" outlineLevel="1" thickBot="1" x14ac:dyDescent="0.25">
      <c r="A39" s="270"/>
      <c r="B39" s="270"/>
      <c r="C39" s="270"/>
      <c r="D39" s="270"/>
      <c r="E39" s="270"/>
      <c r="F39" s="270"/>
      <c r="G39" s="270"/>
      <c r="H39" s="270"/>
      <c r="I39" s="270"/>
      <c r="J39" s="270"/>
      <c r="K39" s="270"/>
      <c r="L39" s="270"/>
      <c r="M39" s="270"/>
      <c r="N39" s="270"/>
      <c r="O39" s="270"/>
      <c r="P39" s="270"/>
      <c r="Q39" s="270"/>
      <c r="R39" s="270"/>
      <c r="S39" s="270"/>
      <c r="T39" s="270"/>
      <c r="U39" s="635" t="s">
        <v>1722</v>
      </c>
      <c r="V39" s="1536"/>
      <c r="W39" s="1537"/>
      <c r="X39" s="1537"/>
      <c r="Y39" s="672"/>
      <c r="Z39" s="649" t="str">
        <f>IF(OR(ISNUMBER(Z42),ISNUMBER(Z43),ISNUMBER(Z44),ISNUMBER(Z45)),Lire_Gain_Matches(Z42:Z45, AB42:AB45),"")</f>
        <v/>
      </c>
      <c r="AA39" s="650" t="s">
        <v>769</v>
      </c>
      <c r="AB39" s="651" t="str">
        <f>IF(OR(ISNUMBER(Z42),ISNUMBER(Z43),ISNUMBER(Z44),ISNUMBER(Z45)),Lire_Gain_Matches(AB42:AB45, Z42:Z45),"")</f>
        <v/>
      </c>
      <c r="AC39" s="672"/>
      <c r="AD39" s="231" t="str">
        <f>IF(ISNA(VLOOKUP("X",AD42:AD45,1,FALSE)),"","X")</f>
        <v/>
      </c>
      <c r="AE39" s="270" t="str">
        <f>IF(Z39="","",IF(Z39&gt;AB39,Y39,IF(Z39=AB39,IF(AL39=Y39,AC39,IF(AL39=AC39,Y39,"")),AC39)))</f>
        <v/>
      </c>
      <c r="AF39" s="270" t="str">
        <f>IF(Z39="","",IF(Z39=AB39,IF(AL39=Y39,"",IF(AL39=AC39,"",Y39)),""))</f>
        <v/>
      </c>
      <c r="AG39" s="270" t="str">
        <f>IF(Z39="","",IF(Z39=AB39,IF(AL39=Y39,"",IF(AL39=AC39,"",AC39)),""))</f>
        <v/>
      </c>
      <c r="AH39" s="270" t="str">
        <f>IF(Z39="","",IF(Z39&lt;AB39,Y39,IF(Z39=AB39,IF(AL39=Y39,Y39,IF(AL39=AC39,AC39,"")),AC39)))</f>
        <v/>
      </c>
      <c r="AI39" s="270"/>
      <c r="AJ39" s="270"/>
      <c r="AK39" s="270"/>
      <c r="AL39" s="270" t="str">
        <f>IF(COUNTIF(Y42:Y45,WithdrawLabel)&gt;COUNTIF(AC42:AC45,WithdrawLabel),Y39,IF(COUNTIF(AC42:AC45,WithdrawLabel)&gt;COUNTIF(Y42:Y45,WithdrawLabel),AC39,""))</f>
        <v/>
      </c>
      <c r="AM39" s="598"/>
      <c r="AN39" s="270"/>
      <c r="AO39" s="270"/>
      <c r="AP39" s="270"/>
      <c r="AQ39" s="270"/>
      <c r="AR39" s="270"/>
      <c r="AS39" s="270"/>
      <c r="AT39" s="270"/>
      <c r="AU39" s="270"/>
      <c r="AV39" s="270"/>
      <c r="AW39" s="270"/>
      <c r="AX39" s="270"/>
      <c r="AY39" s="270"/>
      <c r="AZ39" s="270"/>
      <c r="BA39" s="270"/>
      <c r="BB39" s="270"/>
      <c r="BC39" s="270"/>
      <c r="BD39" s="270"/>
      <c r="BE39" s="270"/>
      <c r="BF39" s="270"/>
      <c r="BG39" s="270"/>
      <c r="BH39" s="270"/>
      <c r="BI39" s="270"/>
      <c r="BJ39" s="270"/>
      <c r="BK39" s="270"/>
      <c r="BL39" s="270"/>
      <c r="BM39" s="270"/>
      <c r="BN39" s="270"/>
      <c r="BO39" s="270"/>
      <c r="BP39" s="270"/>
      <c r="BQ39" s="270"/>
    </row>
    <row r="40" spans="1:69" ht="18.75" hidden="1" outlineLevel="1" thickBot="1" x14ac:dyDescent="0.25">
      <c r="A40" s="270"/>
      <c r="B40" s="270"/>
      <c r="C40" s="270"/>
      <c r="D40" s="270"/>
      <c r="E40" s="270"/>
      <c r="F40" s="270"/>
      <c r="G40" s="270"/>
      <c r="H40" s="270"/>
      <c r="I40" s="270"/>
      <c r="J40" s="270"/>
      <c r="K40" s="270"/>
      <c r="L40" s="270"/>
      <c r="M40" s="270"/>
      <c r="N40" s="270"/>
      <c r="O40" s="270"/>
      <c r="P40" s="270"/>
      <c r="Q40" s="270"/>
      <c r="R40" s="270"/>
      <c r="S40" s="270"/>
      <c r="T40" s="270"/>
      <c r="U40" s="632"/>
      <c r="V40" s="629"/>
      <c r="W40" s="647"/>
      <c r="X40" s="647"/>
      <c r="Y40" s="652" t="str">
        <f>N_Total_buts</f>
        <v>Total des buts</v>
      </c>
      <c r="Z40" s="649" t="str">
        <f>IF(OR(ISNUMBER(Z42),ISNUMBER(Z43),ISNUMBER(Z44),ISNUMBER(Z45)),SUM(Z42:Z45),"")</f>
        <v/>
      </c>
      <c r="AA40" s="650" t="s">
        <v>769</v>
      </c>
      <c r="AB40" s="651" t="str">
        <f>IF(OR(ISNUMBER(Z42),ISNUMBER(Z43),ISNUMBER(Z44),ISNUMBER(Z45)),SUM(AB42:AB45),"")</f>
        <v/>
      </c>
      <c r="AC40" s="653" t="str">
        <f>IF(Z46="","",CONCATENATE("(Diff : ",Z46," - ",AB46,")"))</f>
        <v/>
      </c>
      <c r="AD40" s="270"/>
      <c r="AE40" s="270"/>
      <c r="AF40" s="270"/>
      <c r="AG40" s="270"/>
      <c r="AH40" s="270"/>
      <c r="AI40" s="270"/>
      <c r="AJ40" s="270"/>
      <c r="AK40" s="270"/>
      <c r="AL40" s="270"/>
      <c r="AM40" s="610"/>
      <c r="AN40" s="270"/>
      <c r="AO40" s="270"/>
      <c r="AP40" s="270"/>
      <c r="AQ40" s="270"/>
      <c r="AR40" s="270"/>
      <c r="AS40" s="270"/>
      <c r="AT40" s="270"/>
      <c r="AU40" s="270"/>
      <c r="AV40" s="270"/>
      <c r="AW40" s="270"/>
      <c r="AX40" s="270"/>
      <c r="AY40" s="270"/>
      <c r="AZ40" s="270"/>
      <c r="BA40" s="270"/>
      <c r="BB40" s="270"/>
      <c r="BC40" s="270"/>
      <c r="BD40" s="270"/>
      <c r="BE40" s="270"/>
      <c r="BF40" s="270"/>
      <c r="BG40" s="270"/>
      <c r="BH40" s="270"/>
      <c r="BI40" s="270"/>
      <c r="BJ40" s="270"/>
      <c r="BK40" s="270"/>
      <c r="BL40" s="270"/>
      <c r="BM40" s="270"/>
      <c r="BN40" s="270"/>
      <c r="BO40" s="270"/>
      <c r="BP40" s="270"/>
      <c r="BQ40" s="270"/>
    </row>
    <row r="41" spans="1:69" ht="26.25" hidden="1" outlineLevel="1" collapsed="1" thickBot="1" x14ac:dyDescent="0.25">
      <c r="A41" s="270"/>
      <c r="B41" s="270"/>
      <c r="C41" s="270"/>
      <c r="D41" s="270"/>
      <c r="E41" s="270"/>
      <c r="F41" s="270"/>
      <c r="G41" s="270"/>
      <c r="H41" s="270"/>
      <c r="I41" s="270"/>
      <c r="J41" s="1334" t="str">
        <f>IF(Z41="","",IF(Z41=Y39,AC39,Y39))</f>
        <v/>
      </c>
      <c r="K41" s="270"/>
      <c r="L41" s="270"/>
      <c r="M41" s="270"/>
      <c r="N41" s="270"/>
      <c r="O41" s="270"/>
      <c r="P41" s="270"/>
      <c r="Q41" s="270"/>
      <c r="R41" s="270"/>
      <c r="S41" s="270"/>
      <c r="T41" s="270"/>
      <c r="U41" s="632"/>
      <c r="V41" s="629"/>
      <c r="W41" s="647"/>
      <c r="X41" s="647"/>
      <c r="Y41" s="654" t="str">
        <f>N_VAINQUEUR</f>
        <v>VAINQUEUR</v>
      </c>
      <c r="Z41" s="2406" t="str">
        <f>IF(AL38&lt;&gt;"OK",IF(HidePlayerFormulas,"","("&amp;Y39&amp;"-"&amp;AC39&amp;")"),IF(AE39="",IF(Z40&gt;AB40,Y39,IF(Z40&lt;AB40,AC39,mess_erreur_marque)),AE39))</f>
        <v/>
      </c>
      <c r="AA41" s="2407"/>
      <c r="AB41" s="2407"/>
      <c r="AC41" s="2408"/>
      <c r="AD41" s="270"/>
      <c r="AE41" s="270"/>
      <c r="AF41" s="270"/>
      <c r="AG41" s="270"/>
      <c r="AH41" s="270"/>
      <c r="AI41" s="270"/>
      <c r="AJ41" s="270"/>
      <c r="AK41" s="270"/>
      <c r="AL41" s="270"/>
      <c r="AM41" s="598"/>
      <c r="AN41" s="270"/>
      <c r="AO41" s="270"/>
      <c r="AP41" s="270"/>
      <c r="AQ41" s="270"/>
      <c r="AR41" s="270"/>
      <c r="AS41" s="270"/>
      <c r="AT41" s="270"/>
      <c r="AU41" s="270"/>
      <c r="AV41" s="270"/>
      <c r="AW41" s="270"/>
      <c r="AX41" s="270"/>
      <c r="AY41" s="270"/>
      <c r="AZ41" s="270"/>
      <c r="BA41" s="270"/>
      <c r="BB41" s="270"/>
      <c r="BC41" s="270"/>
      <c r="BD41" s="270"/>
      <c r="BE41" s="270"/>
      <c r="BF41" s="270"/>
      <c r="BG41" s="270"/>
      <c r="BH41" s="270"/>
      <c r="BI41" s="270"/>
      <c r="BJ41" s="270"/>
      <c r="BK41" s="270"/>
      <c r="BL41" s="270"/>
      <c r="BM41" s="270"/>
      <c r="BN41" s="270"/>
      <c r="BO41" s="270"/>
      <c r="BP41" s="270"/>
      <c r="BQ41" s="270"/>
    </row>
    <row r="42" spans="1:69" ht="26.25" hidden="1" outlineLevel="3" thickBot="1" x14ac:dyDescent="0.25">
      <c r="A42" s="270"/>
      <c r="B42" s="270"/>
      <c r="C42" s="270"/>
      <c r="D42" s="270"/>
      <c r="E42" s="270"/>
      <c r="F42" s="270"/>
      <c r="G42" s="270"/>
      <c r="H42" s="270"/>
      <c r="I42" s="270"/>
      <c r="J42" s="270"/>
      <c r="K42" s="270"/>
      <c r="L42" s="270"/>
      <c r="M42" s="270"/>
      <c r="N42" s="270"/>
      <c r="O42" s="270"/>
      <c r="P42" s="270"/>
      <c r="Q42" s="270"/>
      <c r="R42" s="270"/>
      <c r="S42" s="270"/>
      <c r="T42" s="270"/>
      <c r="U42" s="632"/>
      <c r="V42" s="636"/>
      <c r="W42" s="655"/>
      <c r="X42" s="656"/>
      <c r="Y42" s="657"/>
      <c r="Z42" s="484"/>
      <c r="AA42" s="485" t="s">
        <v>769</v>
      </c>
      <c r="AB42" s="484"/>
      <c r="AC42" s="930"/>
      <c r="AD42" s="637"/>
      <c r="AE42" s="270"/>
      <c r="AF42" s="270"/>
      <c r="AG42" s="270"/>
      <c r="AH42" s="270"/>
      <c r="AI42" s="270"/>
      <c r="AJ42" s="270"/>
      <c r="AK42" s="270"/>
      <c r="AL42" s="270"/>
      <c r="AM42" s="598"/>
      <c r="AN42" s="270"/>
      <c r="AO42" s="270"/>
      <c r="AP42" s="270"/>
      <c r="AQ42" s="270"/>
      <c r="AR42" s="270"/>
      <c r="AS42" s="270"/>
      <c r="AT42" s="270"/>
      <c r="AU42" s="270"/>
      <c r="AV42" s="270"/>
      <c r="AW42" s="270"/>
      <c r="AX42" s="270"/>
      <c r="AY42" s="270"/>
      <c r="AZ42" s="270"/>
      <c r="BA42" s="270"/>
      <c r="BB42" s="270"/>
      <c r="BC42" s="270"/>
      <c r="BD42" s="270"/>
      <c r="BE42" s="270"/>
      <c r="BF42" s="270"/>
      <c r="BG42" s="270"/>
      <c r="BH42" s="270"/>
      <c r="BI42" s="270"/>
      <c r="BJ42" s="270"/>
      <c r="BK42" s="270"/>
      <c r="BL42" s="270"/>
      <c r="BM42" s="270"/>
      <c r="BN42" s="270"/>
      <c r="BO42" s="270"/>
      <c r="BP42" s="270"/>
      <c r="BQ42" s="270"/>
    </row>
    <row r="43" spans="1:69" ht="26.25" hidden="1" outlineLevel="3" thickBot="1" x14ac:dyDescent="0.25">
      <c r="A43" s="270"/>
      <c r="B43" s="270"/>
      <c r="C43" s="270"/>
      <c r="D43" s="270"/>
      <c r="E43" s="270"/>
      <c r="F43" s="270"/>
      <c r="G43" s="270"/>
      <c r="H43" s="270"/>
      <c r="I43" s="270"/>
      <c r="J43" s="270"/>
      <c r="K43" s="270"/>
      <c r="L43" s="270"/>
      <c r="M43" s="270"/>
      <c r="N43" s="270"/>
      <c r="O43" s="270"/>
      <c r="P43" s="270"/>
      <c r="Q43" s="270"/>
      <c r="R43" s="270"/>
      <c r="S43" s="270"/>
      <c r="T43" s="270"/>
      <c r="U43" s="632"/>
      <c r="V43" s="638"/>
      <c r="W43" s="658"/>
      <c r="X43" s="659"/>
      <c r="Y43" s="627"/>
      <c r="Z43" s="492"/>
      <c r="AA43" s="493" t="s">
        <v>769</v>
      </c>
      <c r="AB43" s="492"/>
      <c r="AC43" s="931"/>
      <c r="AD43" s="639"/>
      <c r="AE43" s="270"/>
      <c r="AF43" s="270"/>
      <c r="AG43" s="270"/>
      <c r="AH43" s="270"/>
      <c r="AI43" s="270"/>
      <c r="AJ43" s="270"/>
      <c r="AK43" s="270"/>
      <c r="AL43" s="270"/>
      <c r="AM43" s="598"/>
      <c r="AN43" s="270"/>
      <c r="AO43" s="270"/>
      <c r="AP43" s="270"/>
      <c r="AQ43" s="270"/>
      <c r="AR43" s="270"/>
      <c r="AS43" s="270"/>
      <c r="AT43" s="270"/>
      <c r="AU43" s="270"/>
      <c r="AV43" s="270"/>
      <c r="AW43" s="270"/>
      <c r="AX43" s="270"/>
      <c r="AY43" s="270"/>
      <c r="AZ43" s="270"/>
      <c r="BA43" s="270"/>
      <c r="BB43" s="270"/>
      <c r="BC43" s="270"/>
      <c r="BD43" s="270"/>
      <c r="BE43" s="270"/>
      <c r="BF43" s="270"/>
      <c r="BG43" s="270"/>
      <c r="BH43" s="270"/>
      <c r="BI43" s="270"/>
      <c r="BJ43" s="270"/>
      <c r="BK43" s="270"/>
      <c r="BL43" s="270"/>
      <c r="BM43" s="270"/>
      <c r="BN43" s="270"/>
      <c r="BO43" s="270"/>
      <c r="BP43" s="270"/>
      <c r="BQ43" s="270"/>
    </row>
    <row r="44" spans="1:69" ht="26.25" hidden="1" outlineLevel="3" thickBot="1" x14ac:dyDescent="0.25">
      <c r="A44" s="270"/>
      <c r="B44" s="270"/>
      <c r="C44" s="270"/>
      <c r="D44" s="270"/>
      <c r="E44" s="270"/>
      <c r="F44" s="270"/>
      <c r="G44" s="270"/>
      <c r="H44" s="270"/>
      <c r="I44" s="270"/>
      <c r="J44" s="270"/>
      <c r="K44" s="270"/>
      <c r="L44" s="270"/>
      <c r="M44" s="270"/>
      <c r="N44" s="270"/>
      <c r="O44" s="270"/>
      <c r="P44" s="270"/>
      <c r="Q44" s="270"/>
      <c r="R44" s="270"/>
      <c r="S44" s="270"/>
      <c r="T44" s="270"/>
      <c r="U44" s="632"/>
      <c r="V44" s="638"/>
      <c r="W44" s="658"/>
      <c r="X44" s="659"/>
      <c r="Y44" s="627"/>
      <c r="Z44" s="492"/>
      <c r="AA44" s="493" t="s">
        <v>769</v>
      </c>
      <c r="AB44" s="492"/>
      <c r="AC44" s="931"/>
      <c r="AD44" s="640"/>
      <c r="AE44" s="270"/>
      <c r="AF44" s="270"/>
      <c r="AG44" s="270"/>
      <c r="AH44" s="270"/>
      <c r="AI44" s="270"/>
      <c r="AJ44" s="270"/>
      <c r="AK44" s="270"/>
      <c r="AL44" s="270"/>
      <c r="AM44" s="598"/>
      <c r="AN44" s="270"/>
      <c r="AO44" s="270"/>
      <c r="AP44" s="270"/>
      <c r="AQ44" s="270"/>
      <c r="AR44" s="270"/>
      <c r="AS44" s="270"/>
      <c r="AT44" s="270"/>
      <c r="AU44" s="270"/>
      <c r="AV44" s="270"/>
      <c r="AW44" s="270"/>
      <c r="AX44" s="270"/>
      <c r="AY44" s="270"/>
      <c r="AZ44" s="270"/>
      <c r="BA44" s="270"/>
      <c r="BB44" s="270"/>
      <c r="BC44" s="270"/>
      <c r="BD44" s="270"/>
      <c r="BE44" s="270"/>
      <c r="BF44" s="270"/>
      <c r="BG44" s="270"/>
      <c r="BH44" s="270"/>
      <c r="BI44" s="270"/>
      <c r="BJ44" s="270"/>
      <c r="BK44" s="270"/>
      <c r="BL44" s="270"/>
      <c r="BM44" s="270"/>
      <c r="BN44" s="270"/>
      <c r="BO44" s="270"/>
      <c r="BP44" s="270"/>
      <c r="BQ44" s="270"/>
    </row>
    <row r="45" spans="1:69" ht="26.25" hidden="1" outlineLevel="3" thickBot="1" x14ac:dyDescent="0.25">
      <c r="A45" s="270"/>
      <c r="B45" s="270"/>
      <c r="C45" s="270"/>
      <c r="D45" s="270"/>
      <c r="E45" s="270"/>
      <c r="F45" s="270"/>
      <c r="G45" s="270"/>
      <c r="H45" s="270"/>
      <c r="I45" s="270"/>
      <c r="J45" s="270"/>
      <c r="K45" s="270"/>
      <c r="L45" s="270"/>
      <c r="M45" s="270"/>
      <c r="N45" s="270"/>
      <c r="O45" s="270"/>
      <c r="P45" s="270"/>
      <c r="Q45" s="270"/>
      <c r="R45" s="270"/>
      <c r="S45" s="270"/>
      <c r="T45" s="270"/>
      <c r="U45" s="632"/>
      <c r="V45" s="641"/>
      <c r="W45" s="660"/>
      <c r="X45" s="661"/>
      <c r="Y45" s="631"/>
      <c r="Z45" s="496"/>
      <c r="AA45" s="497" t="s">
        <v>769</v>
      </c>
      <c r="AB45" s="496"/>
      <c r="AC45" s="932"/>
      <c r="AD45" s="642"/>
      <c r="AE45" s="270"/>
      <c r="AF45" s="270"/>
      <c r="AG45" s="270"/>
      <c r="AH45" s="270"/>
      <c r="AI45" s="270"/>
      <c r="AJ45" s="270"/>
      <c r="AK45" s="270"/>
      <c r="AL45" s="270"/>
      <c r="AM45" s="598"/>
      <c r="AN45" s="270"/>
      <c r="AO45" s="270"/>
      <c r="AP45" s="270"/>
      <c r="AQ45" s="270"/>
      <c r="AR45" s="270"/>
      <c r="AS45" s="270"/>
      <c r="AT45" s="270"/>
      <c r="AU45" s="270"/>
      <c r="AV45" s="270"/>
      <c r="AW45" s="270"/>
      <c r="AX45" s="270"/>
      <c r="AY45" s="270"/>
      <c r="AZ45" s="270"/>
      <c r="BA45" s="270"/>
      <c r="BB45" s="270"/>
      <c r="BC45" s="270"/>
      <c r="BD45" s="270"/>
      <c r="BE45" s="270"/>
      <c r="BF45" s="270"/>
      <c r="BG45" s="270"/>
      <c r="BH45" s="270"/>
      <c r="BI45" s="270"/>
      <c r="BJ45" s="270"/>
      <c r="BK45" s="270"/>
      <c r="BL45" s="270"/>
      <c r="BM45" s="270"/>
      <c r="BN45" s="270"/>
      <c r="BO45" s="270"/>
      <c r="BP45" s="270"/>
      <c r="BQ45" s="270"/>
    </row>
    <row r="46" spans="1:69" ht="26.25" hidden="1" outlineLevel="3" thickBot="1" x14ac:dyDescent="0.25">
      <c r="A46" s="270"/>
      <c r="B46" s="270"/>
      <c r="C46" s="270"/>
      <c r="D46" s="270"/>
      <c r="E46" s="270"/>
      <c r="F46" s="270"/>
      <c r="G46" s="270"/>
      <c r="H46" s="270"/>
      <c r="I46" s="270"/>
      <c r="J46" s="270"/>
      <c r="K46" s="270"/>
      <c r="L46" s="270"/>
      <c r="M46" s="270"/>
      <c r="N46" s="270"/>
      <c r="O46" s="270"/>
      <c r="P46" s="270"/>
      <c r="Q46" s="270"/>
      <c r="R46" s="270"/>
      <c r="S46" s="270"/>
      <c r="T46" s="270"/>
      <c r="U46" s="632"/>
      <c r="V46" s="643"/>
      <c r="W46" s="644" t="str">
        <f>N_Différentiel</f>
        <v>Différentiel</v>
      </c>
      <c r="X46" s="662"/>
      <c r="Y46" s="663"/>
      <c r="Z46" s="488"/>
      <c r="AA46" s="489" t="s">
        <v>769</v>
      </c>
      <c r="AB46" s="488"/>
      <c r="AC46" s="933"/>
      <c r="AD46" s="270"/>
      <c r="AE46" s="270"/>
      <c r="AF46" s="270"/>
      <c r="AG46" s="270"/>
      <c r="AH46" s="270"/>
      <c r="AI46" s="270"/>
      <c r="AJ46" s="270"/>
      <c r="AK46" s="270"/>
      <c r="AL46" s="270"/>
      <c r="AM46" s="598"/>
      <c r="AN46" s="270"/>
      <c r="AO46" s="270"/>
      <c r="AP46" s="270"/>
      <c r="AQ46" s="270"/>
      <c r="AR46" s="270"/>
      <c r="AS46" s="270"/>
      <c r="AT46" s="270"/>
      <c r="AU46" s="270"/>
      <c r="AV46" s="270"/>
      <c r="AW46" s="270"/>
      <c r="AX46" s="270"/>
      <c r="AY46" s="270"/>
      <c r="AZ46" s="270"/>
      <c r="BA46" s="270"/>
      <c r="BB46" s="270"/>
      <c r="BC46" s="270"/>
      <c r="BD46" s="270"/>
      <c r="BE46" s="270"/>
      <c r="BF46" s="270"/>
      <c r="BG46" s="270"/>
      <c r="BH46" s="270"/>
      <c r="BI46" s="270"/>
      <c r="BJ46" s="270"/>
      <c r="BK46" s="270"/>
      <c r="BL46" s="270"/>
      <c r="BM46" s="270"/>
      <c r="BN46" s="270"/>
      <c r="BO46" s="270"/>
      <c r="BP46" s="270"/>
      <c r="BQ46" s="270"/>
    </row>
    <row r="47" spans="1:69" ht="26.25" hidden="1" outlineLevel="3" thickBot="1" x14ac:dyDescent="0.25">
      <c r="A47" s="270"/>
      <c r="B47" s="270"/>
      <c r="C47" s="270"/>
      <c r="D47" s="270"/>
      <c r="E47" s="270"/>
      <c r="F47" s="270"/>
      <c r="G47" s="270"/>
      <c r="H47" s="270"/>
      <c r="I47" s="270"/>
      <c r="J47" s="270"/>
      <c r="K47" s="270"/>
      <c r="L47" s="270"/>
      <c r="M47" s="270"/>
      <c r="N47" s="270"/>
      <c r="O47" s="270"/>
      <c r="P47" s="270"/>
      <c r="Q47" s="270"/>
      <c r="R47" s="270"/>
      <c r="S47" s="270"/>
      <c r="T47" s="270"/>
      <c r="U47" s="632"/>
      <c r="V47" s="643"/>
      <c r="W47" s="664"/>
      <c r="X47" s="665" t="str">
        <f>N_Substitute</f>
        <v>Remplaçant</v>
      </c>
      <c r="Y47" s="657"/>
      <c r="Z47" s="480"/>
      <c r="AA47" s="666"/>
      <c r="AB47" s="480"/>
      <c r="AC47" s="934"/>
      <c r="AD47" s="270"/>
      <c r="AE47" s="270"/>
      <c r="AF47" s="270"/>
      <c r="AG47" s="270"/>
      <c r="AH47" s="270"/>
      <c r="AI47" s="270"/>
      <c r="AJ47" s="270"/>
      <c r="AK47" s="270"/>
      <c r="AL47" s="270"/>
      <c r="AM47" s="598"/>
      <c r="AN47" s="270"/>
      <c r="AO47" s="270"/>
      <c r="AP47" s="270"/>
      <c r="AQ47" s="270"/>
      <c r="AR47" s="270"/>
      <c r="AS47" s="270"/>
      <c r="AT47" s="270"/>
      <c r="AU47" s="270"/>
      <c r="AV47" s="270"/>
      <c r="AW47" s="270"/>
      <c r="AX47" s="270"/>
      <c r="AY47" s="270"/>
      <c r="AZ47" s="270"/>
      <c r="BA47" s="270"/>
      <c r="BB47" s="270"/>
      <c r="BC47" s="270"/>
      <c r="BD47" s="270"/>
      <c r="BE47" s="270"/>
      <c r="BF47" s="270"/>
      <c r="BG47" s="270"/>
      <c r="BH47" s="270"/>
      <c r="BI47" s="270"/>
      <c r="BJ47" s="270"/>
      <c r="BK47" s="270"/>
      <c r="BL47" s="270"/>
      <c r="BM47" s="270"/>
      <c r="BN47" s="270"/>
      <c r="BO47" s="270"/>
      <c r="BP47" s="270"/>
      <c r="BQ47" s="270"/>
    </row>
    <row r="48" spans="1:69" ht="26.25" hidden="1" outlineLevel="3" thickBot="1" x14ac:dyDescent="0.25">
      <c r="A48" s="270"/>
      <c r="B48" s="270"/>
      <c r="C48" s="270"/>
      <c r="D48" s="270"/>
      <c r="E48" s="270"/>
      <c r="F48" s="270"/>
      <c r="G48" s="270"/>
      <c r="H48" s="270"/>
      <c r="I48" s="270"/>
      <c r="J48" s="270"/>
      <c r="K48" s="270"/>
      <c r="L48" s="270"/>
      <c r="M48" s="270"/>
      <c r="N48" s="270"/>
      <c r="O48" s="270"/>
      <c r="P48" s="270"/>
      <c r="Q48" s="270"/>
      <c r="R48" s="270"/>
      <c r="S48" s="270"/>
      <c r="T48" s="270"/>
      <c r="U48" s="632"/>
      <c r="V48" s="643"/>
      <c r="W48" s="664"/>
      <c r="X48" s="667" t="str">
        <f>N_Substitute</f>
        <v>Remplaçant</v>
      </c>
      <c r="Y48" s="663"/>
      <c r="Z48" s="488"/>
      <c r="AA48" s="668"/>
      <c r="AB48" s="488"/>
      <c r="AC48" s="933"/>
      <c r="AD48" s="270"/>
      <c r="AE48" s="270"/>
      <c r="AF48" s="270"/>
      <c r="AG48" s="270"/>
      <c r="AH48" s="270"/>
      <c r="AI48" s="270"/>
      <c r="AJ48" s="270"/>
      <c r="AK48" s="270"/>
      <c r="AL48" s="270"/>
      <c r="AM48" s="598"/>
      <c r="AN48" s="270"/>
      <c r="AO48" s="270"/>
      <c r="AP48" s="270"/>
      <c r="AQ48" s="270"/>
      <c r="AR48" s="270"/>
      <c r="AS48" s="270"/>
      <c r="AT48" s="270"/>
      <c r="AU48" s="270"/>
      <c r="AV48" s="270"/>
      <c r="AW48" s="270"/>
      <c r="AX48" s="270"/>
      <c r="AY48" s="270"/>
      <c r="AZ48" s="270"/>
      <c r="BA48" s="270"/>
      <c r="BB48" s="270"/>
      <c r="BC48" s="270"/>
      <c r="BD48" s="270"/>
      <c r="BE48" s="270"/>
      <c r="BF48" s="270"/>
      <c r="BG48" s="270"/>
      <c r="BH48" s="270"/>
      <c r="BI48" s="270"/>
      <c r="BJ48" s="270"/>
      <c r="BK48" s="270"/>
      <c r="BL48" s="270"/>
      <c r="BM48" s="270"/>
      <c r="BN48" s="270"/>
      <c r="BO48" s="270"/>
      <c r="BP48" s="270"/>
      <c r="BQ48" s="270"/>
    </row>
    <row r="49" spans="1:69" ht="13.5" hidden="1" outlineLevel="1" thickBot="1" x14ac:dyDescent="0.25">
      <c r="A49" s="270"/>
      <c r="B49" s="270"/>
      <c r="C49" s="270"/>
      <c r="D49" s="270"/>
      <c r="E49" s="270"/>
      <c r="F49" s="270"/>
      <c r="G49" s="270"/>
      <c r="H49" s="270"/>
      <c r="I49" s="270"/>
      <c r="J49" s="270"/>
      <c r="K49" s="270"/>
      <c r="L49" s="270"/>
      <c r="M49" s="270"/>
      <c r="N49" s="270"/>
      <c r="O49" s="270"/>
      <c r="P49" s="270"/>
      <c r="Q49" s="270"/>
      <c r="R49" s="270"/>
      <c r="S49" s="270"/>
      <c r="T49" s="270"/>
      <c r="U49" s="632"/>
      <c r="V49" s="270"/>
      <c r="W49" s="270"/>
      <c r="X49" s="270"/>
      <c r="Y49" s="270"/>
      <c r="Z49" s="270"/>
      <c r="AA49" s="270"/>
      <c r="AB49" s="270"/>
      <c r="AC49" s="270"/>
      <c r="AD49" s="270"/>
      <c r="AE49" s="270"/>
      <c r="AF49" s="270"/>
      <c r="AG49" s="270"/>
      <c r="AH49" s="270"/>
      <c r="AI49" s="270"/>
      <c r="AJ49" s="270"/>
      <c r="AK49" s="270"/>
      <c r="AL49" s="270"/>
      <c r="AM49" s="270"/>
      <c r="AN49" s="270"/>
      <c r="AO49" s="270"/>
      <c r="AP49" s="270"/>
      <c r="AQ49" s="270"/>
      <c r="AR49" s="270"/>
      <c r="AS49" s="270"/>
      <c r="AT49" s="270"/>
      <c r="AU49" s="270"/>
      <c r="AV49" s="270"/>
      <c r="AW49" s="270"/>
      <c r="AX49" s="270"/>
      <c r="AY49" s="270"/>
      <c r="AZ49" s="270"/>
      <c r="BA49" s="270"/>
      <c r="BB49" s="270"/>
      <c r="BC49" s="270"/>
      <c r="BD49" s="270"/>
      <c r="BE49" s="270"/>
      <c r="BF49" s="270"/>
      <c r="BG49" s="270"/>
      <c r="BH49" s="270"/>
      <c r="BI49" s="270"/>
      <c r="BJ49" s="270"/>
      <c r="BK49" s="270"/>
      <c r="BL49" s="270"/>
      <c r="BM49" s="270"/>
      <c r="BN49" s="270"/>
      <c r="BO49" s="270"/>
      <c r="BP49" s="270"/>
      <c r="BQ49" s="270"/>
    </row>
    <row r="50" spans="1:69" ht="13.5" hidden="1" outlineLevel="1" thickBot="1" x14ac:dyDescent="0.25">
      <c r="A50" s="270"/>
      <c r="B50" s="270"/>
      <c r="C50" s="270"/>
      <c r="D50" s="270"/>
      <c r="E50" s="270"/>
      <c r="F50" s="270"/>
      <c r="G50" s="270"/>
      <c r="H50" s="270"/>
      <c r="I50" s="270"/>
      <c r="J50" s="270"/>
      <c r="K50" s="270"/>
      <c r="L50" s="270"/>
      <c r="M50" s="270"/>
      <c r="N50" s="270"/>
      <c r="O50" s="270"/>
      <c r="P50" s="270"/>
      <c r="Q50" s="270"/>
      <c r="R50" s="270"/>
      <c r="S50" s="270"/>
      <c r="T50" s="270"/>
      <c r="U50" s="633"/>
      <c r="V50" s="630" t="str">
        <f>N_Heure</f>
        <v>Heure</v>
      </c>
      <c r="W50" s="630" t="str">
        <f>N_Table</f>
        <v>Table</v>
      </c>
      <c r="X50" s="630" t="str">
        <f>N_Arbitre</f>
        <v>Arbitre</v>
      </c>
      <c r="Y50" s="2403" t="str">
        <f>N_Scores</f>
        <v>Scores</v>
      </c>
      <c r="Z50" s="2404"/>
      <c r="AA50" s="2404"/>
      <c r="AB50" s="2404"/>
      <c r="AC50" s="2405"/>
      <c r="AD50" s="634" t="str">
        <f>N_MS</f>
        <v>MS</v>
      </c>
      <c r="AE50" s="270"/>
      <c r="AF50" s="270"/>
      <c r="AG50" s="270"/>
      <c r="AH50" s="270"/>
      <c r="AI50" s="270"/>
      <c r="AJ50" s="270"/>
      <c r="AK50" s="270"/>
      <c r="AL50" s="270" t="str">
        <f>IF(COUNTA(Z54:Z57)&gt;3,"OK","")</f>
        <v/>
      </c>
      <c r="AM50" s="270"/>
      <c r="AN50" s="270"/>
      <c r="AO50" s="270"/>
      <c r="AP50" s="270"/>
      <c r="AQ50" s="270"/>
      <c r="AR50" s="270"/>
      <c r="AS50" s="270"/>
      <c r="AT50" s="270"/>
      <c r="AU50" s="270"/>
      <c r="AV50" s="270"/>
      <c r="AW50" s="270"/>
      <c r="AX50" s="270"/>
      <c r="AY50" s="270"/>
      <c r="AZ50" s="270"/>
      <c r="BA50" s="270"/>
      <c r="BB50" s="270"/>
      <c r="BC50" s="270"/>
      <c r="BD50" s="270"/>
      <c r="BE50" s="270"/>
      <c r="BF50" s="270"/>
      <c r="BG50" s="270"/>
      <c r="BH50" s="270"/>
      <c r="BI50" s="270"/>
      <c r="BJ50" s="270"/>
      <c r="BK50" s="270"/>
      <c r="BL50" s="270"/>
      <c r="BM50" s="270"/>
      <c r="BN50" s="270"/>
      <c r="BO50" s="270"/>
      <c r="BP50" s="270"/>
      <c r="BQ50" s="270"/>
    </row>
    <row r="51" spans="1:69" ht="26.25" hidden="1" outlineLevel="1" thickBot="1" x14ac:dyDescent="0.25">
      <c r="A51" s="270"/>
      <c r="B51" s="270"/>
      <c r="C51" s="270"/>
      <c r="D51" s="270"/>
      <c r="E51" s="270"/>
      <c r="F51" s="270"/>
      <c r="G51" s="270"/>
      <c r="H51" s="270"/>
      <c r="I51" s="270"/>
      <c r="J51" s="270"/>
      <c r="K51" s="270"/>
      <c r="L51" s="270"/>
      <c r="M51" s="270"/>
      <c r="N51" s="270"/>
      <c r="O51" s="270"/>
      <c r="P51" s="270"/>
      <c r="Q51" s="270"/>
      <c r="R51" s="270"/>
      <c r="S51" s="270"/>
      <c r="T51" s="270"/>
      <c r="U51" s="635" t="s">
        <v>1722</v>
      </c>
      <c r="V51" s="1536"/>
      <c r="W51" s="1537"/>
      <c r="X51" s="1537"/>
      <c r="Y51" s="672"/>
      <c r="Z51" s="649" t="str">
        <f>IF(OR(ISNUMBER(Z54),ISNUMBER(Z55),ISNUMBER(Z56),ISNUMBER(Z57)),Lire_Gain_Matches(Z54:Z57, AB54:AB57),"")</f>
        <v/>
      </c>
      <c r="AA51" s="650" t="s">
        <v>769</v>
      </c>
      <c r="AB51" s="651" t="str">
        <f>IF(OR(ISNUMBER(Z54),ISNUMBER(Z55),ISNUMBER(Z56),ISNUMBER(Z57)),Lire_Gain_Matches(AB54:AB57, Z54:Z57),"")</f>
        <v/>
      </c>
      <c r="AC51" s="672"/>
      <c r="AD51" s="231" t="str">
        <f>IF(ISNA(VLOOKUP("X",AD54:AD57,1,FALSE)),"","X")</f>
        <v/>
      </c>
      <c r="AE51" s="270" t="str">
        <f>IF(Z51="","",IF(Z51&gt;AB51,Y51,IF(Z51=AB51,IF(AL51=Y51,AC51,IF(AL51=AC51,Y51,"")),AC51)))</f>
        <v/>
      </c>
      <c r="AF51" s="270" t="str">
        <f>IF(Z51="","",IF(Z51=AB51,IF(AL51=Y51,"",IF(AL51=AC51,"",Y51)),""))</f>
        <v/>
      </c>
      <c r="AG51" s="270" t="str">
        <f>IF(Z51="","",IF(Z51=AB51,IF(AL51=Y51,"",IF(AL51=AC51,"",AC51)),""))</f>
        <v/>
      </c>
      <c r="AH51" s="270" t="str">
        <f>IF(Z51="","",IF(Z51&lt;AB51,Y51,IF(Z51=AB51,IF(AL51=Y51,Y51,IF(AL51=AC51,AC51,"")),AC51)))</f>
        <v/>
      </c>
      <c r="AI51" s="270"/>
      <c r="AJ51" s="270"/>
      <c r="AK51" s="270"/>
      <c r="AL51" s="270" t="str">
        <f>IF(COUNTIF(Y54:Y57,WithdrawLabel)&gt;COUNTIF(AC54:AC57,WithdrawLabel),Y51,IF(COUNTIF(AC54:AC57,WithdrawLabel)&gt;COUNTIF(Y54:Y57,WithdrawLabel),AC51,""))</f>
        <v/>
      </c>
      <c r="AM51" s="598"/>
      <c r="AN51" s="270"/>
      <c r="AO51" s="270"/>
      <c r="AP51" s="270"/>
      <c r="AQ51" s="270"/>
      <c r="AR51" s="270"/>
      <c r="AS51" s="270"/>
      <c r="AT51" s="270"/>
      <c r="AU51" s="270"/>
      <c r="AV51" s="270"/>
      <c r="AW51" s="270"/>
      <c r="AX51" s="270"/>
      <c r="AY51" s="270"/>
      <c r="AZ51" s="270"/>
      <c r="BA51" s="270"/>
      <c r="BB51" s="270"/>
      <c r="BC51" s="270"/>
      <c r="BD51" s="270"/>
      <c r="BE51" s="270"/>
      <c r="BF51" s="270"/>
      <c r="BG51" s="270"/>
      <c r="BH51" s="270"/>
      <c r="BI51" s="270"/>
      <c r="BJ51" s="270"/>
      <c r="BK51" s="270"/>
      <c r="BL51" s="270"/>
      <c r="BM51" s="270"/>
      <c r="BN51" s="270"/>
      <c r="BO51" s="270"/>
      <c r="BP51" s="270"/>
      <c r="BQ51" s="270"/>
    </row>
    <row r="52" spans="1:69" ht="18.75" hidden="1" outlineLevel="1" thickBot="1" x14ac:dyDescent="0.25">
      <c r="A52" s="270"/>
      <c r="B52" s="270"/>
      <c r="C52" s="270"/>
      <c r="D52" s="270"/>
      <c r="E52" s="270"/>
      <c r="F52" s="270"/>
      <c r="G52" s="270"/>
      <c r="H52" s="270"/>
      <c r="I52" s="270"/>
      <c r="J52" s="270"/>
      <c r="K52" s="270"/>
      <c r="L52" s="270"/>
      <c r="M52" s="270"/>
      <c r="N52" s="270"/>
      <c r="O52" s="270"/>
      <c r="P52" s="270"/>
      <c r="Q52" s="270"/>
      <c r="R52" s="270"/>
      <c r="S52" s="270"/>
      <c r="T52" s="270"/>
      <c r="U52" s="632"/>
      <c r="V52" s="629"/>
      <c r="W52" s="647"/>
      <c r="X52" s="647"/>
      <c r="Y52" s="652" t="str">
        <f>N_Total_buts</f>
        <v>Total des buts</v>
      </c>
      <c r="Z52" s="649" t="str">
        <f>IF(OR(ISNUMBER(Z54),ISNUMBER(Z55),ISNUMBER(Z56),ISNUMBER(Z57)),SUM(Z54:Z57),"")</f>
        <v/>
      </c>
      <c r="AA52" s="650" t="s">
        <v>769</v>
      </c>
      <c r="AB52" s="651" t="str">
        <f>IF(OR(ISNUMBER(Z54),ISNUMBER(Z55),ISNUMBER(Z56),ISNUMBER(Z57)),SUM(AB54:AB57),"")</f>
        <v/>
      </c>
      <c r="AC52" s="653" t="str">
        <f>IF(Z58="","",CONCATENATE("(Diff : ",Z58," - ",AB58,")"))</f>
        <v/>
      </c>
      <c r="AD52" s="270"/>
      <c r="AE52" s="270"/>
      <c r="AF52" s="270"/>
      <c r="AG52" s="270"/>
      <c r="AH52" s="270"/>
      <c r="AI52" s="270"/>
      <c r="AJ52" s="270"/>
      <c r="AK52" s="270"/>
      <c r="AL52" s="270"/>
      <c r="AM52" s="610"/>
      <c r="AN52" s="270"/>
      <c r="AO52" s="270"/>
      <c r="AP52" s="270"/>
      <c r="AQ52" s="270"/>
      <c r="AR52" s="270"/>
      <c r="AS52" s="270"/>
      <c r="AT52" s="270"/>
      <c r="AU52" s="270"/>
      <c r="AV52" s="270"/>
      <c r="AW52" s="270"/>
      <c r="AX52" s="270"/>
      <c r="AY52" s="270"/>
      <c r="AZ52" s="270"/>
      <c r="BA52" s="270"/>
      <c r="BB52" s="270"/>
      <c r="BC52" s="270"/>
      <c r="BD52" s="270"/>
      <c r="BE52" s="270"/>
      <c r="BF52" s="270"/>
      <c r="BG52" s="270"/>
      <c r="BH52" s="270"/>
      <c r="BI52" s="270"/>
      <c r="BJ52" s="270"/>
      <c r="BK52" s="270"/>
      <c r="BL52" s="270"/>
      <c r="BM52" s="270"/>
      <c r="BN52" s="270"/>
      <c r="BO52" s="270"/>
      <c r="BP52" s="270"/>
      <c r="BQ52" s="270"/>
    </row>
    <row r="53" spans="1:69" ht="26.25" hidden="1" outlineLevel="1" collapsed="1" thickBot="1" x14ac:dyDescent="0.25">
      <c r="A53" s="270"/>
      <c r="B53" s="270"/>
      <c r="C53" s="270"/>
      <c r="D53" s="270"/>
      <c r="E53" s="270"/>
      <c r="F53" s="270"/>
      <c r="G53" s="270"/>
      <c r="H53" s="270"/>
      <c r="I53" s="270"/>
      <c r="J53" s="1334" t="str">
        <f>IF(Z53="","",IF(Z53=Y51,AC51,Y51))</f>
        <v/>
      </c>
      <c r="K53" s="270"/>
      <c r="L53" s="270"/>
      <c r="M53" s="270"/>
      <c r="N53" s="270"/>
      <c r="O53" s="270"/>
      <c r="P53" s="270"/>
      <c r="Q53" s="270"/>
      <c r="R53" s="270"/>
      <c r="S53" s="270"/>
      <c r="T53" s="270"/>
      <c r="U53" s="632"/>
      <c r="V53" s="629"/>
      <c r="W53" s="647"/>
      <c r="X53" s="647"/>
      <c r="Y53" s="654" t="str">
        <f>N_VAINQUEUR</f>
        <v>VAINQUEUR</v>
      </c>
      <c r="Z53" s="2406" t="str">
        <f>IF(AL50&lt;&gt;"OK",IF(HidePlayerFormulas,"","("&amp;Y51&amp;"-"&amp;AC51&amp;")"),IF(AE51="",IF(Z52&gt;AB52,Y51,IF(Z52&lt;AB52,AC51,mess_erreur_marque)),AE51))</f>
        <v/>
      </c>
      <c r="AA53" s="2407"/>
      <c r="AB53" s="2407"/>
      <c r="AC53" s="2408"/>
      <c r="AD53" s="270"/>
      <c r="AE53" s="270"/>
      <c r="AF53" s="270"/>
      <c r="AG53" s="270"/>
      <c r="AH53" s="270"/>
      <c r="AI53" s="270"/>
      <c r="AJ53" s="270"/>
      <c r="AK53" s="270"/>
      <c r="AL53" s="270"/>
      <c r="AM53" s="598"/>
      <c r="AN53" s="270"/>
      <c r="AO53" s="270"/>
      <c r="AP53" s="270"/>
      <c r="AQ53" s="270"/>
      <c r="AR53" s="270"/>
      <c r="AS53" s="270"/>
      <c r="AT53" s="270"/>
      <c r="AU53" s="270"/>
      <c r="AV53" s="270"/>
      <c r="AW53" s="270"/>
      <c r="AX53" s="270"/>
      <c r="AY53" s="270"/>
      <c r="AZ53" s="270"/>
      <c r="BA53" s="270"/>
      <c r="BB53" s="270"/>
      <c r="BC53" s="270"/>
      <c r="BD53" s="270"/>
      <c r="BE53" s="270"/>
      <c r="BF53" s="270"/>
      <c r="BG53" s="270"/>
      <c r="BH53" s="270"/>
      <c r="BI53" s="270"/>
      <c r="BJ53" s="270"/>
      <c r="BK53" s="270"/>
      <c r="BL53" s="270"/>
      <c r="BM53" s="270"/>
      <c r="BN53" s="270"/>
      <c r="BO53" s="270"/>
      <c r="BP53" s="270"/>
      <c r="BQ53" s="270"/>
    </row>
    <row r="54" spans="1:69" ht="26.25" hidden="1" outlineLevel="3" thickBot="1" x14ac:dyDescent="0.25">
      <c r="A54" s="270"/>
      <c r="B54" s="270"/>
      <c r="C54" s="270"/>
      <c r="D54" s="270"/>
      <c r="E54" s="270"/>
      <c r="F54" s="270"/>
      <c r="G54" s="270"/>
      <c r="H54" s="270"/>
      <c r="I54" s="270"/>
      <c r="J54" s="270"/>
      <c r="K54" s="270"/>
      <c r="L54" s="270"/>
      <c r="M54" s="270"/>
      <c r="N54" s="270"/>
      <c r="O54" s="270"/>
      <c r="P54" s="270"/>
      <c r="Q54" s="270"/>
      <c r="R54" s="270"/>
      <c r="S54" s="270"/>
      <c r="T54" s="270"/>
      <c r="U54" s="632"/>
      <c r="V54" s="636"/>
      <c r="W54" s="655"/>
      <c r="X54" s="656"/>
      <c r="Y54" s="657"/>
      <c r="Z54" s="484"/>
      <c r="AA54" s="485" t="s">
        <v>769</v>
      </c>
      <c r="AB54" s="484"/>
      <c r="AC54" s="930"/>
      <c r="AD54" s="637"/>
      <c r="AE54" s="270"/>
      <c r="AF54" s="270"/>
      <c r="AG54" s="270"/>
      <c r="AH54" s="270"/>
      <c r="AI54" s="270"/>
      <c r="AJ54" s="270"/>
      <c r="AK54" s="270"/>
      <c r="AL54" s="270"/>
      <c r="AM54" s="598"/>
      <c r="AN54" s="270"/>
      <c r="AO54" s="270"/>
      <c r="AP54" s="270"/>
      <c r="AQ54" s="270"/>
      <c r="AR54" s="270"/>
      <c r="AS54" s="270"/>
      <c r="AT54" s="270"/>
      <c r="AU54" s="270"/>
      <c r="AV54" s="270"/>
      <c r="AW54" s="270"/>
      <c r="AX54" s="270"/>
      <c r="AY54" s="270"/>
      <c r="AZ54" s="270"/>
      <c r="BA54" s="270"/>
      <c r="BB54" s="270"/>
      <c r="BC54" s="270"/>
      <c r="BD54" s="270"/>
      <c r="BE54" s="270"/>
      <c r="BF54" s="270"/>
      <c r="BG54" s="270"/>
      <c r="BH54" s="270"/>
      <c r="BI54" s="270"/>
      <c r="BJ54" s="270"/>
      <c r="BK54" s="270"/>
      <c r="BL54" s="270"/>
      <c r="BM54" s="270"/>
      <c r="BN54" s="270"/>
      <c r="BO54" s="270"/>
      <c r="BP54" s="270"/>
      <c r="BQ54" s="270"/>
    </row>
    <row r="55" spans="1:69" ht="26.25" hidden="1" outlineLevel="3" thickBot="1" x14ac:dyDescent="0.25">
      <c r="A55" s="270"/>
      <c r="B55" s="270"/>
      <c r="C55" s="270"/>
      <c r="D55" s="270"/>
      <c r="E55" s="270"/>
      <c r="F55" s="270"/>
      <c r="G55" s="270"/>
      <c r="H55" s="270"/>
      <c r="I55" s="270"/>
      <c r="J55" s="270"/>
      <c r="K55" s="270"/>
      <c r="L55" s="270"/>
      <c r="M55" s="270"/>
      <c r="N55" s="270"/>
      <c r="O55" s="270"/>
      <c r="P55" s="270"/>
      <c r="Q55" s="270"/>
      <c r="R55" s="270"/>
      <c r="S55" s="270"/>
      <c r="T55" s="270"/>
      <c r="U55" s="632"/>
      <c r="V55" s="638"/>
      <c r="W55" s="658"/>
      <c r="X55" s="659"/>
      <c r="Y55" s="627"/>
      <c r="Z55" s="492"/>
      <c r="AA55" s="493" t="s">
        <v>769</v>
      </c>
      <c r="AB55" s="492"/>
      <c r="AC55" s="931"/>
      <c r="AD55" s="639"/>
      <c r="AE55" s="270"/>
      <c r="AF55" s="270"/>
      <c r="AG55" s="270"/>
      <c r="AH55" s="270"/>
      <c r="AI55" s="270"/>
      <c r="AJ55" s="270"/>
      <c r="AK55" s="270"/>
      <c r="AL55" s="270"/>
      <c r="AM55" s="598"/>
      <c r="AN55" s="270"/>
      <c r="AO55" s="270"/>
      <c r="AP55" s="270"/>
      <c r="AQ55" s="270"/>
      <c r="AR55" s="270"/>
      <c r="AS55" s="270"/>
      <c r="AT55" s="270"/>
      <c r="AU55" s="270"/>
      <c r="AV55" s="270"/>
      <c r="AW55" s="270"/>
      <c r="AX55" s="270"/>
      <c r="AY55" s="270"/>
      <c r="AZ55" s="270"/>
      <c r="BA55" s="270"/>
      <c r="BB55" s="270"/>
      <c r="BC55" s="270"/>
      <c r="BD55" s="270"/>
      <c r="BE55" s="270"/>
      <c r="BF55" s="270"/>
      <c r="BG55" s="270"/>
      <c r="BH55" s="270"/>
      <c r="BI55" s="270"/>
      <c r="BJ55" s="270"/>
      <c r="BK55" s="270"/>
      <c r="BL55" s="270"/>
      <c r="BM55" s="270"/>
      <c r="BN55" s="270"/>
      <c r="BO55" s="270"/>
      <c r="BP55" s="270"/>
      <c r="BQ55" s="270"/>
    </row>
    <row r="56" spans="1:69" ht="26.25" hidden="1" outlineLevel="3" thickBot="1" x14ac:dyDescent="0.25">
      <c r="A56" s="270"/>
      <c r="B56" s="270"/>
      <c r="C56" s="270"/>
      <c r="D56" s="270"/>
      <c r="E56" s="270"/>
      <c r="F56" s="270"/>
      <c r="G56" s="270"/>
      <c r="H56" s="270"/>
      <c r="I56" s="270"/>
      <c r="J56" s="270"/>
      <c r="K56" s="270"/>
      <c r="L56" s="270"/>
      <c r="M56" s="270"/>
      <c r="N56" s="270"/>
      <c r="O56" s="270"/>
      <c r="P56" s="270"/>
      <c r="Q56" s="270"/>
      <c r="R56" s="270"/>
      <c r="S56" s="270"/>
      <c r="T56" s="270"/>
      <c r="U56" s="632"/>
      <c r="V56" s="638"/>
      <c r="W56" s="658"/>
      <c r="X56" s="659"/>
      <c r="Y56" s="627"/>
      <c r="Z56" s="492"/>
      <c r="AA56" s="493" t="s">
        <v>769</v>
      </c>
      <c r="AB56" s="492"/>
      <c r="AC56" s="931"/>
      <c r="AD56" s="640"/>
      <c r="AE56" s="270"/>
      <c r="AF56" s="270"/>
      <c r="AG56" s="270"/>
      <c r="AH56" s="270"/>
      <c r="AI56" s="270"/>
      <c r="AJ56" s="270"/>
      <c r="AK56" s="270"/>
      <c r="AL56" s="270"/>
      <c r="AM56" s="598"/>
      <c r="AN56" s="270"/>
      <c r="AO56" s="270"/>
      <c r="AP56" s="270"/>
      <c r="AQ56" s="270"/>
      <c r="AR56" s="270"/>
      <c r="AS56" s="270"/>
      <c r="AT56" s="270"/>
      <c r="AU56" s="270"/>
      <c r="AV56" s="270"/>
      <c r="AW56" s="270"/>
      <c r="AX56" s="270"/>
      <c r="AY56" s="270"/>
      <c r="AZ56" s="270"/>
      <c r="BA56" s="270"/>
      <c r="BB56" s="270"/>
      <c r="BC56" s="270"/>
      <c r="BD56" s="270"/>
      <c r="BE56" s="270"/>
      <c r="BF56" s="270"/>
      <c r="BG56" s="270"/>
      <c r="BH56" s="270"/>
      <c r="BI56" s="270"/>
      <c r="BJ56" s="270"/>
      <c r="BK56" s="270"/>
      <c r="BL56" s="270"/>
      <c r="BM56" s="270"/>
      <c r="BN56" s="270"/>
      <c r="BO56" s="270"/>
      <c r="BP56" s="270"/>
      <c r="BQ56" s="270"/>
    </row>
    <row r="57" spans="1:69" ht="26.25" hidden="1" outlineLevel="3" thickBot="1" x14ac:dyDescent="0.25">
      <c r="A57" s="270"/>
      <c r="B57" s="270"/>
      <c r="C57" s="270"/>
      <c r="D57" s="270"/>
      <c r="E57" s="270"/>
      <c r="F57" s="270"/>
      <c r="G57" s="270"/>
      <c r="H57" s="270"/>
      <c r="I57" s="270"/>
      <c r="J57" s="270"/>
      <c r="K57" s="270"/>
      <c r="L57" s="270"/>
      <c r="M57" s="270"/>
      <c r="N57" s="270"/>
      <c r="O57" s="270"/>
      <c r="P57" s="270"/>
      <c r="Q57" s="270"/>
      <c r="R57" s="270"/>
      <c r="S57" s="270"/>
      <c r="T57" s="270"/>
      <c r="U57" s="632"/>
      <c r="V57" s="641"/>
      <c r="W57" s="660"/>
      <c r="X57" s="661"/>
      <c r="Y57" s="631"/>
      <c r="Z57" s="496"/>
      <c r="AA57" s="497" t="s">
        <v>769</v>
      </c>
      <c r="AB57" s="496"/>
      <c r="AC57" s="932"/>
      <c r="AD57" s="642"/>
      <c r="AE57" s="270"/>
      <c r="AF57" s="270"/>
      <c r="AG57" s="270"/>
      <c r="AH57" s="270"/>
      <c r="AI57" s="270"/>
      <c r="AJ57" s="270"/>
      <c r="AK57" s="270"/>
      <c r="AL57" s="270"/>
      <c r="AM57" s="598"/>
      <c r="AN57" s="270"/>
      <c r="AO57" s="270"/>
      <c r="AP57" s="270"/>
      <c r="AQ57" s="270"/>
      <c r="AR57" s="270"/>
      <c r="AS57" s="270"/>
      <c r="AT57" s="270"/>
      <c r="AU57" s="270"/>
      <c r="AV57" s="270"/>
      <c r="AW57" s="270"/>
      <c r="AX57" s="270"/>
      <c r="AY57" s="270"/>
      <c r="AZ57" s="270"/>
      <c r="BA57" s="270"/>
      <c r="BB57" s="270"/>
      <c r="BC57" s="270"/>
      <c r="BD57" s="270"/>
      <c r="BE57" s="270"/>
      <c r="BF57" s="270"/>
      <c r="BG57" s="270"/>
      <c r="BH57" s="270"/>
      <c r="BI57" s="270"/>
      <c r="BJ57" s="270"/>
      <c r="BK57" s="270"/>
      <c r="BL57" s="270"/>
      <c r="BM57" s="270"/>
      <c r="BN57" s="270"/>
      <c r="BO57" s="270"/>
      <c r="BP57" s="270"/>
      <c r="BQ57" s="270"/>
    </row>
    <row r="58" spans="1:69" ht="26.25" hidden="1" outlineLevel="3" thickBot="1" x14ac:dyDescent="0.25">
      <c r="A58" s="270"/>
      <c r="B58" s="270"/>
      <c r="C58" s="270"/>
      <c r="D58" s="270"/>
      <c r="E58" s="270"/>
      <c r="F58" s="270"/>
      <c r="G58" s="270"/>
      <c r="H58" s="270"/>
      <c r="I58" s="270"/>
      <c r="J58" s="270"/>
      <c r="K58" s="270"/>
      <c r="L58" s="270"/>
      <c r="M58" s="270"/>
      <c r="N58" s="270"/>
      <c r="O58" s="270"/>
      <c r="P58" s="270"/>
      <c r="Q58" s="270"/>
      <c r="R58" s="270"/>
      <c r="S58" s="270"/>
      <c r="T58" s="270"/>
      <c r="U58" s="632"/>
      <c r="V58" s="643"/>
      <c r="W58" s="644" t="str">
        <f>N_Différentiel</f>
        <v>Différentiel</v>
      </c>
      <c r="X58" s="662"/>
      <c r="Y58" s="663"/>
      <c r="Z58" s="488"/>
      <c r="AA58" s="489" t="s">
        <v>769</v>
      </c>
      <c r="AB58" s="488"/>
      <c r="AC58" s="933"/>
      <c r="AD58" s="270"/>
      <c r="AE58" s="270"/>
      <c r="AF58" s="270"/>
      <c r="AG58" s="270"/>
      <c r="AH58" s="270"/>
      <c r="AI58" s="270"/>
      <c r="AJ58" s="270"/>
      <c r="AK58" s="270"/>
      <c r="AL58" s="270"/>
      <c r="AM58" s="598"/>
      <c r="AN58" s="270"/>
      <c r="AO58" s="270"/>
      <c r="AP58" s="270"/>
      <c r="AQ58" s="270"/>
      <c r="AR58" s="270"/>
      <c r="AS58" s="270"/>
      <c r="AT58" s="270"/>
      <c r="AU58" s="270"/>
      <c r="AV58" s="270"/>
      <c r="AW58" s="270"/>
      <c r="AX58" s="270"/>
      <c r="AY58" s="270"/>
      <c r="AZ58" s="270"/>
      <c r="BA58" s="270"/>
      <c r="BB58" s="270"/>
      <c r="BC58" s="270"/>
      <c r="BD58" s="270"/>
      <c r="BE58" s="270"/>
      <c r="BF58" s="270"/>
      <c r="BG58" s="270"/>
      <c r="BH58" s="270"/>
      <c r="BI58" s="270"/>
      <c r="BJ58" s="270"/>
      <c r="BK58" s="270"/>
      <c r="BL58" s="270"/>
      <c r="BM58" s="270"/>
      <c r="BN58" s="270"/>
      <c r="BO58" s="270"/>
      <c r="BP58" s="270"/>
      <c r="BQ58" s="270"/>
    </row>
    <row r="59" spans="1:69" ht="26.25" hidden="1" outlineLevel="3" thickBot="1" x14ac:dyDescent="0.25">
      <c r="A59" s="270"/>
      <c r="B59" s="270"/>
      <c r="C59" s="270"/>
      <c r="D59" s="270"/>
      <c r="E59" s="270"/>
      <c r="F59" s="270"/>
      <c r="G59" s="270"/>
      <c r="H59" s="270"/>
      <c r="I59" s="270"/>
      <c r="J59" s="270"/>
      <c r="K59" s="270"/>
      <c r="L59" s="270"/>
      <c r="M59" s="270"/>
      <c r="N59" s="270"/>
      <c r="O59" s="270"/>
      <c r="P59" s="270"/>
      <c r="Q59" s="270"/>
      <c r="R59" s="270"/>
      <c r="S59" s="270"/>
      <c r="T59" s="270"/>
      <c r="U59" s="632"/>
      <c r="V59" s="643"/>
      <c r="W59" s="664"/>
      <c r="X59" s="665" t="str">
        <f>N_Substitute</f>
        <v>Remplaçant</v>
      </c>
      <c r="Y59" s="657"/>
      <c r="Z59" s="480"/>
      <c r="AA59" s="666"/>
      <c r="AB59" s="480"/>
      <c r="AC59" s="934"/>
      <c r="AD59" s="270"/>
      <c r="AE59" s="270"/>
      <c r="AF59" s="270"/>
      <c r="AG59" s="270"/>
      <c r="AH59" s="270"/>
      <c r="AI59" s="270"/>
      <c r="AJ59" s="270"/>
      <c r="AK59" s="270"/>
      <c r="AL59" s="270"/>
      <c r="AM59" s="598"/>
      <c r="AN59" s="270"/>
      <c r="AO59" s="270"/>
      <c r="AP59" s="270"/>
      <c r="AQ59" s="270"/>
      <c r="AR59" s="270"/>
      <c r="AS59" s="270"/>
      <c r="AT59" s="270"/>
      <c r="AU59" s="270"/>
      <c r="AV59" s="270"/>
      <c r="AW59" s="270"/>
      <c r="AX59" s="270"/>
      <c r="AY59" s="270"/>
      <c r="AZ59" s="270"/>
      <c r="BA59" s="270"/>
      <c r="BB59" s="270"/>
      <c r="BC59" s="270"/>
      <c r="BD59" s="270"/>
      <c r="BE59" s="270"/>
      <c r="BF59" s="270"/>
      <c r="BG59" s="270"/>
      <c r="BH59" s="270"/>
      <c r="BI59" s="270"/>
      <c r="BJ59" s="270"/>
      <c r="BK59" s="270"/>
      <c r="BL59" s="270"/>
      <c r="BM59" s="270"/>
      <c r="BN59" s="270"/>
      <c r="BO59" s="270"/>
      <c r="BP59" s="270"/>
      <c r="BQ59" s="270"/>
    </row>
    <row r="60" spans="1:69" ht="26.25" hidden="1" outlineLevel="3" thickBot="1" x14ac:dyDescent="0.25">
      <c r="A60" s="270"/>
      <c r="B60" s="270"/>
      <c r="C60" s="270"/>
      <c r="D60" s="270"/>
      <c r="E60" s="270"/>
      <c r="F60" s="270"/>
      <c r="G60" s="270"/>
      <c r="H60" s="270"/>
      <c r="I60" s="270"/>
      <c r="J60" s="270"/>
      <c r="K60" s="270"/>
      <c r="L60" s="270"/>
      <c r="M60" s="270"/>
      <c r="N60" s="270"/>
      <c r="O60" s="270"/>
      <c r="P60" s="270"/>
      <c r="Q60" s="270"/>
      <c r="R60" s="270"/>
      <c r="S60" s="270"/>
      <c r="T60" s="270"/>
      <c r="U60" s="632"/>
      <c r="V60" s="643"/>
      <c r="W60" s="664"/>
      <c r="X60" s="667" t="str">
        <f>N_Substitute</f>
        <v>Remplaçant</v>
      </c>
      <c r="Y60" s="663"/>
      <c r="Z60" s="488"/>
      <c r="AA60" s="668"/>
      <c r="AB60" s="488"/>
      <c r="AC60" s="933"/>
      <c r="AD60" s="270"/>
      <c r="AE60" s="270"/>
      <c r="AF60" s="270"/>
      <c r="AG60" s="270"/>
      <c r="AH60" s="270"/>
      <c r="AI60" s="270"/>
      <c r="AJ60" s="270"/>
      <c r="AK60" s="270"/>
      <c r="AL60" s="270"/>
      <c r="AM60" s="598"/>
      <c r="AN60" s="270"/>
      <c r="AO60" s="270"/>
      <c r="AP60" s="270"/>
      <c r="AQ60" s="270"/>
      <c r="AR60" s="270"/>
      <c r="AS60" s="270"/>
      <c r="AT60" s="270"/>
      <c r="AU60" s="270"/>
      <c r="AV60" s="270"/>
      <c r="AW60" s="270"/>
      <c r="AX60" s="270"/>
      <c r="AY60" s="270"/>
      <c r="AZ60" s="270"/>
      <c r="BA60" s="270"/>
      <c r="BB60" s="270"/>
      <c r="BC60" s="270"/>
      <c r="BD60" s="270"/>
      <c r="BE60" s="270"/>
      <c r="BF60" s="270"/>
      <c r="BG60" s="270"/>
      <c r="BH60" s="270"/>
      <c r="BI60" s="270"/>
      <c r="BJ60" s="270"/>
      <c r="BK60" s="270"/>
      <c r="BL60" s="270"/>
      <c r="BM60" s="270"/>
      <c r="BN60" s="270"/>
      <c r="BO60" s="270"/>
      <c r="BP60" s="270"/>
      <c r="BQ60" s="270"/>
    </row>
    <row r="61" spans="1:69" ht="13.5" hidden="1" outlineLevel="1" thickBot="1" x14ac:dyDescent="0.25">
      <c r="A61" s="270"/>
      <c r="B61" s="270"/>
      <c r="C61" s="270"/>
      <c r="D61" s="270"/>
      <c r="E61" s="270"/>
      <c r="F61" s="270"/>
      <c r="G61" s="270"/>
      <c r="H61" s="270"/>
      <c r="I61" s="270"/>
      <c r="J61" s="270"/>
      <c r="K61" s="270"/>
      <c r="L61" s="270"/>
      <c r="M61" s="270"/>
      <c r="N61" s="270"/>
      <c r="O61" s="270"/>
      <c r="P61" s="270"/>
      <c r="Q61" s="270"/>
      <c r="R61" s="270"/>
      <c r="S61" s="270"/>
      <c r="T61" s="270"/>
      <c r="U61" s="632"/>
      <c r="V61" s="270"/>
      <c r="W61" s="270"/>
      <c r="X61" s="270"/>
      <c r="Y61" s="270"/>
      <c r="Z61" s="270"/>
      <c r="AA61" s="270"/>
      <c r="AB61" s="270"/>
      <c r="AC61" s="270"/>
      <c r="AD61" s="270"/>
      <c r="AE61" s="270"/>
      <c r="AF61" s="270"/>
      <c r="AG61" s="270"/>
      <c r="AH61" s="270"/>
      <c r="AI61" s="270"/>
      <c r="AJ61" s="270"/>
      <c r="AK61" s="270"/>
      <c r="AL61" s="270"/>
      <c r="AM61" s="270"/>
      <c r="AN61" s="270"/>
      <c r="AO61" s="270"/>
      <c r="AP61" s="270"/>
      <c r="AQ61" s="270"/>
      <c r="AR61" s="270"/>
      <c r="AS61" s="270"/>
      <c r="AT61" s="270"/>
      <c r="AU61" s="270"/>
      <c r="AV61" s="270"/>
      <c r="AW61" s="270"/>
      <c r="AX61" s="270"/>
      <c r="AY61" s="270"/>
      <c r="AZ61" s="270"/>
      <c r="BA61" s="270"/>
      <c r="BB61" s="270"/>
      <c r="BC61" s="270"/>
      <c r="BD61" s="270"/>
      <c r="BE61" s="270"/>
      <c r="BF61" s="270"/>
      <c r="BG61" s="270"/>
      <c r="BH61" s="270"/>
      <c r="BI61" s="270"/>
      <c r="BJ61" s="270"/>
      <c r="BK61" s="270"/>
      <c r="BL61" s="270"/>
      <c r="BM61" s="270"/>
      <c r="BN61" s="270"/>
      <c r="BO61" s="270"/>
      <c r="BP61" s="270"/>
      <c r="BQ61" s="270"/>
    </row>
    <row r="62" spans="1:69" ht="13.5" hidden="1" outlineLevel="1" thickBot="1" x14ac:dyDescent="0.25">
      <c r="A62" s="270"/>
      <c r="B62" s="270"/>
      <c r="C62" s="270"/>
      <c r="D62" s="270"/>
      <c r="E62" s="270"/>
      <c r="F62" s="270"/>
      <c r="G62" s="270"/>
      <c r="H62" s="270"/>
      <c r="I62" s="270"/>
      <c r="J62" s="270"/>
      <c r="K62" s="270"/>
      <c r="L62" s="270"/>
      <c r="M62" s="270"/>
      <c r="N62" s="270"/>
      <c r="O62" s="270"/>
      <c r="P62" s="270"/>
      <c r="Q62" s="270"/>
      <c r="R62" s="270"/>
      <c r="S62" s="270"/>
      <c r="T62" s="270"/>
      <c r="U62" s="633"/>
      <c r="V62" s="630" t="str">
        <f>N_Heure</f>
        <v>Heure</v>
      </c>
      <c r="W62" s="630" t="str">
        <f>N_Table</f>
        <v>Table</v>
      </c>
      <c r="X62" s="630" t="str">
        <f>N_Arbitre</f>
        <v>Arbitre</v>
      </c>
      <c r="Y62" s="2403" t="str">
        <f>N_Scores</f>
        <v>Scores</v>
      </c>
      <c r="Z62" s="2404"/>
      <c r="AA62" s="2404"/>
      <c r="AB62" s="2404"/>
      <c r="AC62" s="2405"/>
      <c r="AD62" s="634" t="str">
        <f>N_MS</f>
        <v>MS</v>
      </c>
      <c r="AE62" s="270"/>
      <c r="AF62" s="270"/>
      <c r="AG62" s="270"/>
      <c r="AH62" s="270"/>
      <c r="AI62" s="270"/>
      <c r="AJ62" s="270"/>
      <c r="AK62" s="270"/>
      <c r="AL62" s="270" t="str">
        <f>IF(COUNTA(Z66:Z69)&gt;3,"OK","")</f>
        <v/>
      </c>
      <c r="AM62" s="270"/>
      <c r="AN62" s="270"/>
      <c r="AO62" s="270"/>
      <c r="AP62" s="270"/>
      <c r="AQ62" s="270"/>
      <c r="AR62" s="270"/>
      <c r="AS62" s="270"/>
      <c r="AT62" s="270"/>
      <c r="AU62" s="270"/>
      <c r="AV62" s="270"/>
      <c r="AW62" s="270"/>
      <c r="AX62" s="270"/>
      <c r="AY62" s="270"/>
      <c r="AZ62" s="270"/>
      <c r="BA62" s="270"/>
      <c r="BB62" s="270"/>
      <c r="BC62" s="270"/>
      <c r="BD62" s="270"/>
      <c r="BE62" s="270"/>
      <c r="BF62" s="270"/>
      <c r="BG62" s="270"/>
      <c r="BH62" s="270"/>
      <c r="BI62" s="270"/>
      <c r="BJ62" s="270"/>
      <c r="BK62" s="270"/>
      <c r="BL62" s="270"/>
      <c r="BM62" s="270"/>
      <c r="BN62" s="270"/>
      <c r="BO62" s="270"/>
      <c r="BP62" s="270"/>
      <c r="BQ62" s="270"/>
    </row>
    <row r="63" spans="1:69" ht="26.25" hidden="1" outlineLevel="1" thickBot="1" x14ac:dyDescent="0.25">
      <c r="A63" s="270"/>
      <c r="B63" s="270"/>
      <c r="C63" s="270"/>
      <c r="D63" s="270"/>
      <c r="E63" s="270"/>
      <c r="F63" s="270"/>
      <c r="G63" s="270"/>
      <c r="H63" s="270"/>
      <c r="I63" s="270"/>
      <c r="J63" s="270"/>
      <c r="K63" s="270"/>
      <c r="L63" s="270"/>
      <c r="M63" s="270"/>
      <c r="N63" s="270"/>
      <c r="O63" s="270"/>
      <c r="P63" s="270"/>
      <c r="Q63" s="270"/>
      <c r="R63" s="270"/>
      <c r="S63" s="270"/>
      <c r="T63" s="270"/>
      <c r="U63" s="635" t="s">
        <v>1722</v>
      </c>
      <c r="V63" s="1536"/>
      <c r="W63" s="1537"/>
      <c r="X63" s="1537"/>
      <c r="Y63" s="672"/>
      <c r="Z63" s="649" t="str">
        <f>IF(OR(ISNUMBER(Z66),ISNUMBER(Z67),ISNUMBER(Z68),ISNUMBER(Z69)),Lire_Gain_Matches(Z66:Z69, AB66:AB69),"")</f>
        <v/>
      </c>
      <c r="AA63" s="650" t="s">
        <v>769</v>
      </c>
      <c r="AB63" s="651" t="str">
        <f>IF(OR(ISNUMBER(Z66),ISNUMBER(Z67),ISNUMBER(Z68),ISNUMBER(Z69)),Lire_Gain_Matches(AB66:AB69, Z66:Z69),"")</f>
        <v/>
      </c>
      <c r="AC63" s="672"/>
      <c r="AD63" s="231" t="str">
        <f>IF(ISNA(VLOOKUP("X",AD66:AD69,1,FALSE)),"","X")</f>
        <v/>
      </c>
      <c r="AE63" s="270" t="str">
        <f>IF(Z63="","",IF(Z63&gt;AB63,Y63,IF(Z63=AB63,IF(AL63=Y63,AC63,IF(AL63=AC63,Y63,"")),AC63)))</f>
        <v/>
      </c>
      <c r="AF63" s="270" t="str">
        <f>IF(Z63="","",IF(Z63=AB63,IF(AL63=Y63,"",IF(AL63=AC63,"",Y63)),""))</f>
        <v/>
      </c>
      <c r="AG63" s="270" t="str">
        <f>IF(Z63="","",IF(Z63=AB63,IF(AL63=Y63,"",IF(AL63=AC63,"",AC63)),""))</f>
        <v/>
      </c>
      <c r="AH63" s="270" t="str">
        <f>IF(Z63="","",IF(Z63&lt;AB63,Y63,IF(Z63=AB63,IF(AL63=Y63,Y63,IF(AL63=AC63,AC63,"")),AC63)))</f>
        <v/>
      </c>
      <c r="AI63" s="270"/>
      <c r="AJ63" s="270"/>
      <c r="AK63" s="270"/>
      <c r="AL63" s="270" t="str">
        <f>IF(COUNTIF(Y66:Y69,WithdrawLabel)&gt;COUNTIF(AC66:AC69,WithdrawLabel),Y63,IF(COUNTIF(AC66:AC69,WithdrawLabel)&gt;COUNTIF(Y66:Y69,WithdrawLabel),AC63,""))</f>
        <v/>
      </c>
      <c r="AM63" s="598"/>
      <c r="AN63" s="270"/>
      <c r="AO63" s="270"/>
      <c r="AP63" s="270"/>
      <c r="AQ63" s="270"/>
      <c r="AR63" s="270"/>
      <c r="AS63" s="270"/>
      <c r="AT63" s="270"/>
      <c r="AU63" s="270"/>
      <c r="AV63" s="270"/>
      <c r="AW63" s="270"/>
      <c r="AX63" s="270"/>
      <c r="AY63" s="270"/>
      <c r="AZ63" s="270"/>
      <c r="BA63" s="270"/>
      <c r="BB63" s="270"/>
      <c r="BC63" s="270"/>
      <c r="BD63" s="270"/>
      <c r="BE63" s="270"/>
      <c r="BF63" s="270"/>
      <c r="BG63" s="270"/>
      <c r="BH63" s="270"/>
      <c r="BI63" s="270"/>
      <c r="BJ63" s="270"/>
      <c r="BK63" s="270"/>
      <c r="BL63" s="270"/>
      <c r="BM63" s="270"/>
      <c r="BN63" s="270"/>
      <c r="BO63" s="270"/>
      <c r="BP63" s="270"/>
      <c r="BQ63" s="270"/>
    </row>
    <row r="64" spans="1:69" ht="18.75" hidden="1" outlineLevel="1" thickBot="1" x14ac:dyDescent="0.25">
      <c r="A64" s="270"/>
      <c r="B64" s="270"/>
      <c r="C64" s="270"/>
      <c r="D64" s="270"/>
      <c r="E64" s="270"/>
      <c r="F64" s="270"/>
      <c r="G64" s="270"/>
      <c r="H64" s="270"/>
      <c r="I64" s="270"/>
      <c r="J64" s="270"/>
      <c r="K64" s="270"/>
      <c r="L64" s="270"/>
      <c r="M64" s="270"/>
      <c r="N64" s="270"/>
      <c r="O64" s="270"/>
      <c r="P64" s="270"/>
      <c r="Q64" s="270"/>
      <c r="R64" s="270"/>
      <c r="S64" s="270"/>
      <c r="T64" s="270"/>
      <c r="U64" s="632"/>
      <c r="V64" s="629"/>
      <c r="W64" s="647"/>
      <c r="X64" s="647"/>
      <c r="Y64" s="652" t="str">
        <f>N_Total_buts</f>
        <v>Total des buts</v>
      </c>
      <c r="Z64" s="649" t="str">
        <f>IF(OR(ISNUMBER(Z66),ISNUMBER(Z67),ISNUMBER(Z68),ISNUMBER(Z69)),SUM(Z66:Z69),"")</f>
        <v/>
      </c>
      <c r="AA64" s="650" t="s">
        <v>769</v>
      </c>
      <c r="AB64" s="651" t="str">
        <f>IF(OR(ISNUMBER(Z66),ISNUMBER(Z67),ISNUMBER(Z68),ISNUMBER(Z69)),SUM(AB66:AB69),"")</f>
        <v/>
      </c>
      <c r="AC64" s="653" t="str">
        <f>IF(Z70="","",CONCATENATE("(Diff : ",Z70," - ",AB70,")"))</f>
        <v/>
      </c>
      <c r="AD64" s="270"/>
      <c r="AE64" s="270"/>
      <c r="AF64" s="270"/>
      <c r="AG64" s="270"/>
      <c r="AH64" s="270"/>
      <c r="AI64" s="270"/>
      <c r="AJ64" s="270"/>
      <c r="AK64" s="270"/>
      <c r="AL64" s="270"/>
      <c r="AM64" s="610"/>
      <c r="AN64" s="270"/>
      <c r="AO64" s="270"/>
      <c r="AP64" s="270"/>
      <c r="AQ64" s="270"/>
      <c r="AR64" s="270"/>
      <c r="AS64" s="270"/>
      <c r="AT64" s="270"/>
      <c r="AU64" s="270"/>
      <c r="AV64" s="270"/>
      <c r="AW64" s="270"/>
      <c r="AX64" s="270"/>
      <c r="AY64" s="270"/>
      <c r="AZ64" s="270"/>
      <c r="BA64" s="270"/>
      <c r="BB64" s="270"/>
      <c r="BC64" s="270"/>
      <c r="BD64" s="270"/>
      <c r="BE64" s="270"/>
      <c r="BF64" s="270"/>
      <c r="BG64" s="270"/>
      <c r="BH64" s="270"/>
      <c r="BI64" s="270"/>
      <c r="BJ64" s="270"/>
      <c r="BK64" s="270"/>
      <c r="BL64" s="270"/>
      <c r="BM64" s="270"/>
      <c r="BN64" s="270"/>
      <c r="BO64" s="270"/>
      <c r="BP64" s="270"/>
      <c r="BQ64" s="270"/>
    </row>
    <row r="65" spans="1:69" ht="26.25" hidden="1" outlineLevel="1" collapsed="1" thickBot="1" x14ac:dyDescent="0.25">
      <c r="A65" s="270"/>
      <c r="B65" s="270"/>
      <c r="C65" s="270"/>
      <c r="D65" s="270"/>
      <c r="E65" s="270"/>
      <c r="F65" s="270"/>
      <c r="G65" s="270"/>
      <c r="H65" s="270"/>
      <c r="I65" s="270"/>
      <c r="J65" s="1334" t="str">
        <f>IF(Z65="","",IF(Z65=Y63,AC63,Y63))</f>
        <v/>
      </c>
      <c r="K65" s="270"/>
      <c r="L65" s="270"/>
      <c r="M65" s="270"/>
      <c r="N65" s="270"/>
      <c r="O65" s="270"/>
      <c r="P65" s="270"/>
      <c r="Q65" s="270"/>
      <c r="R65" s="270"/>
      <c r="S65" s="270"/>
      <c r="T65" s="270"/>
      <c r="U65" s="632"/>
      <c r="V65" s="629"/>
      <c r="W65" s="647"/>
      <c r="X65" s="647"/>
      <c r="Y65" s="654" t="str">
        <f>N_VAINQUEUR</f>
        <v>VAINQUEUR</v>
      </c>
      <c r="Z65" s="2406" t="str">
        <f>IF(AL62&lt;&gt;"OK",IF(HidePlayerFormulas,"","("&amp;Y63&amp;"-"&amp;AC63&amp;")"),IF(AE63="",IF(Z64&gt;AB64,Y63,IF(Z64&lt;AB64,AC63,mess_erreur_marque)),AE63))</f>
        <v/>
      </c>
      <c r="AA65" s="2407"/>
      <c r="AB65" s="2407"/>
      <c r="AC65" s="2408"/>
      <c r="AD65" s="270"/>
      <c r="AE65" s="270"/>
      <c r="AF65" s="270"/>
      <c r="AG65" s="270"/>
      <c r="AH65" s="270"/>
      <c r="AI65" s="270"/>
      <c r="AJ65" s="270"/>
      <c r="AK65" s="270"/>
      <c r="AL65" s="270"/>
      <c r="AM65" s="598"/>
      <c r="AN65" s="270"/>
      <c r="AO65" s="270"/>
      <c r="AP65" s="270"/>
      <c r="AQ65" s="270"/>
      <c r="AR65" s="270"/>
      <c r="AS65" s="270"/>
      <c r="AT65" s="270"/>
      <c r="AU65" s="270"/>
      <c r="AV65" s="270"/>
      <c r="AW65" s="270"/>
      <c r="AX65" s="270"/>
      <c r="AY65" s="270"/>
      <c r="AZ65" s="270"/>
      <c r="BA65" s="270"/>
      <c r="BB65" s="270"/>
      <c r="BC65" s="270"/>
      <c r="BD65" s="270"/>
      <c r="BE65" s="270"/>
      <c r="BF65" s="270"/>
      <c r="BG65" s="270"/>
      <c r="BH65" s="270"/>
      <c r="BI65" s="270"/>
      <c r="BJ65" s="270"/>
      <c r="BK65" s="270"/>
      <c r="BL65" s="270"/>
      <c r="BM65" s="270"/>
      <c r="BN65" s="270"/>
      <c r="BO65" s="270"/>
      <c r="BP65" s="270"/>
      <c r="BQ65" s="270"/>
    </row>
    <row r="66" spans="1:69" ht="26.25" hidden="1" outlineLevel="3" thickBot="1" x14ac:dyDescent="0.25">
      <c r="A66" s="270"/>
      <c r="B66" s="270"/>
      <c r="C66" s="270"/>
      <c r="D66" s="270"/>
      <c r="E66" s="270"/>
      <c r="F66" s="270"/>
      <c r="G66" s="270"/>
      <c r="H66" s="270"/>
      <c r="I66" s="270"/>
      <c r="J66" s="270"/>
      <c r="K66" s="270"/>
      <c r="L66" s="270"/>
      <c r="M66" s="270"/>
      <c r="N66" s="270"/>
      <c r="O66" s="270"/>
      <c r="P66" s="270"/>
      <c r="Q66" s="270"/>
      <c r="R66" s="270"/>
      <c r="S66" s="270"/>
      <c r="T66" s="270"/>
      <c r="U66" s="632"/>
      <c r="V66" s="636"/>
      <c r="W66" s="655"/>
      <c r="X66" s="656"/>
      <c r="Y66" s="657"/>
      <c r="Z66" s="484"/>
      <c r="AA66" s="485" t="s">
        <v>769</v>
      </c>
      <c r="AB66" s="484"/>
      <c r="AC66" s="930"/>
      <c r="AD66" s="637"/>
      <c r="AE66" s="270"/>
      <c r="AF66" s="270"/>
      <c r="AG66" s="270"/>
      <c r="AH66" s="270"/>
      <c r="AI66" s="270"/>
      <c r="AJ66" s="270"/>
      <c r="AK66" s="270"/>
      <c r="AL66" s="270"/>
      <c r="AM66" s="598"/>
      <c r="AN66" s="270"/>
      <c r="AO66" s="270"/>
      <c r="AP66" s="270"/>
      <c r="AQ66" s="270"/>
      <c r="AR66" s="270"/>
      <c r="AS66" s="270"/>
      <c r="AT66" s="270"/>
      <c r="AU66" s="270"/>
      <c r="AV66" s="270"/>
      <c r="AW66" s="270"/>
      <c r="AX66" s="270"/>
      <c r="AY66" s="270"/>
      <c r="AZ66" s="270"/>
      <c r="BA66" s="270"/>
      <c r="BB66" s="270"/>
      <c r="BC66" s="270"/>
      <c r="BD66" s="270"/>
      <c r="BE66" s="270"/>
      <c r="BF66" s="270"/>
      <c r="BG66" s="270"/>
      <c r="BH66" s="270"/>
      <c r="BI66" s="270"/>
      <c r="BJ66" s="270"/>
      <c r="BK66" s="270"/>
      <c r="BL66" s="270"/>
      <c r="BM66" s="270"/>
      <c r="BN66" s="270"/>
      <c r="BO66" s="270"/>
      <c r="BP66" s="270"/>
      <c r="BQ66" s="270"/>
    </row>
    <row r="67" spans="1:69" ht="26.25" hidden="1" outlineLevel="3" thickBot="1" x14ac:dyDescent="0.25">
      <c r="A67" s="270"/>
      <c r="B67" s="270"/>
      <c r="C67" s="270"/>
      <c r="D67" s="270"/>
      <c r="E67" s="270"/>
      <c r="F67" s="270"/>
      <c r="G67" s="270"/>
      <c r="H67" s="270"/>
      <c r="I67" s="270"/>
      <c r="J67" s="270"/>
      <c r="K67" s="270"/>
      <c r="L67" s="270"/>
      <c r="M67" s="270"/>
      <c r="N67" s="270"/>
      <c r="O67" s="270"/>
      <c r="P67" s="270"/>
      <c r="Q67" s="270"/>
      <c r="R67" s="270"/>
      <c r="S67" s="270"/>
      <c r="T67" s="270"/>
      <c r="U67" s="632"/>
      <c r="V67" s="638"/>
      <c r="W67" s="658"/>
      <c r="X67" s="659"/>
      <c r="Y67" s="627"/>
      <c r="Z67" s="492"/>
      <c r="AA67" s="493" t="s">
        <v>769</v>
      </c>
      <c r="AB67" s="492"/>
      <c r="AC67" s="931"/>
      <c r="AD67" s="639"/>
      <c r="AE67" s="270"/>
      <c r="AF67" s="270"/>
      <c r="AG67" s="270"/>
      <c r="AH67" s="270"/>
      <c r="AI67" s="270"/>
      <c r="AJ67" s="270"/>
      <c r="AK67" s="270"/>
      <c r="AL67" s="270"/>
      <c r="AM67" s="598"/>
      <c r="AN67" s="270"/>
      <c r="AO67" s="270"/>
      <c r="AP67" s="270"/>
      <c r="AQ67" s="270"/>
      <c r="AR67" s="270"/>
      <c r="AS67" s="270"/>
      <c r="AT67" s="270"/>
      <c r="AU67" s="270"/>
      <c r="AV67" s="270"/>
      <c r="AW67" s="270"/>
      <c r="AX67" s="270"/>
      <c r="AY67" s="270"/>
      <c r="AZ67" s="270"/>
      <c r="BA67" s="270"/>
      <c r="BB67" s="270"/>
      <c r="BC67" s="270"/>
      <c r="BD67" s="270"/>
      <c r="BE67" s="270"/>
      <c r="BF67" s="270"/>
      <c r="BG67" s="270"/>
      <c r="BH67" s="270"/>
      <c r="BI67" s="270"/>
      <c r="BJ67" s="270"/>
      <c r="BK67" s="270"/>
      <c r="BL67" s="270"/>
      <c r="BM67" s="270"/>
      <c r="BN67" s="270"/>
      <c r="BO67" s="270"/>
      <c r="BP67" s="270"/>
      <c r="BQ67" s="270"/>
    </row>
    <row r="68" spans="1:69" ht="26.25" hidden="1" outlineLevel="3" thickBot="1" x14ac:dyDescent="0.25">
      <c r="A68" s="270"/>
      <c r="B68" s="270"/>
      <c r="C68" s="270"/>
      <c r="D68" s="270"/>
      <c r="E68" s="270"/>
      <c r="F68" s="270"/>
      <c r="G68" s="270"/>
      <c r="H68" s="270"/>
      <c r="I68" s="270"/>
      <c r="J68" s="270"/>
      <c r="K68" s="270"/>
      <c r="L68" s="270"/>
      <c r="M68" s="270"/>
      <c r="N68" s="270"/>
      <c r="O68" s="270"/>
      <c r="P68" s="270"/>
      <c r="Q68" s="270"/>
      <c r="R68" s="270"/>
      <c r="S68" s="270"/>
      <c r="T68" s="270"/>
      <c r="U68" s="632"/>
      <c r="V68" s="638"/>
      <c r="W68" s="658"/>
      <c r="X68" s="659"/>
      <c r="Y68" s="627"/>
      <c r="Z68" s="492"/>
      <c r="AA68" s="493" t="s">
        <v>769</v>
      </c>
      <c r="AB68" s="492"/>
      <c r="AC68" s="931"/>
      <c r="AD68" s="640"/>
      <c r="AE68" s="270"/>
      <c r="AF68" s="270"/>
      <c r="AG68" s="270"/>
      <c r="AH68" s="270"/>
      <c r="AI68" s="270"/>
      <c r="AJ68" s="270"/>
      <c r="AK68" s="270"/>
      <c r="AL68" s="270"/>
      <c r="AM68" s="598"/>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row>
    <row r="69" spans="1:69" ht="26.25" hidden="1" outlineLevel="3" thickBot="1" x14ac:dyDescent="0.25">
      <c r="A69" s="270"/>
      <c r="B69" s="270"/>
      <c r="C69" s="270"/>
      <c r="D69" s="270"/>
      <c r="E69" s="270"/>
      <c r="F69" s="270"/>
      <c r="G69" s="270"/>
      <c r="H69" s="270"/>
      <c r="I69" s="270"/>
      <c r="J69" s="270"/>
      <c r="K69" s="270"/>
      <c r="L69" s="270"/>
      <c r="M69" s="270"/>
      <c r="N69" s="270"/>
      <c r="O69" s="270"/>
      <c r="P69" s="270"/>
      <c r="Q69" s="270"/>
      <c r="R69" s="270"/>
      <c r="S69" s="270"/>
      <c r="T69" s="270"/>
      <c r="U69" s="632"/>
      <c r="V69" s="641"/>
      <c r="W69" s="660"/>
      <c r="X69" s="661"/>
      <c r="Y69" s="631"/>
      <c r="Z69" s="496"/>
      <c r="AA69" s="497" t="s">
        <v>769</v>
      </c>
      <c r="AB69" s="496"/>
      <c r="AC69" s="932"/>
      <c r="AD69" s="642"/>
      <c r="AE69" s="270"/>
      <c r="AF69" s="270"/>
      <c r="AG69" s="270"/>
      <c r="AH69" s="270"/>
      <c r="AI69" s="270"/>
      <c r="AJ69" s="270"/>
      <c r="AK69" s="270"/>
      <c r="AL69" s="270"/>
      <c r="AM69" s="598"/>
      <c r="AN69" s="270"/>
      <c r="AO69" s="270"/>
      <c r="AP69" s="270"/>
      <c r="AQ69" s="270"/>
      <c r="AR69" s="270"/>
      <c r="AS69" s="270"/>
      <c r="AT69" s="270"/>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row>
    <row r="70" spans="1:69" ht="26.25" hidden="1" outlineLevel="3" thickBot="1" x14ac:dyDescent="0.25">
      <c r="A70" s="270"/>
      <c r="B70" s="270"/>
      <c r="C70" s="270"/>
      <c r="D70" s="270"/>
      <c r="E70" s="270"/>
      <c r="F70" s="270"/>
      <c r="G70" s="270"/>
      <c r="H70" s="270"/>
      <c r="I70" s="270"/>
      <c r="J70" s="270"/>
      <c r="K70" s="270"/>
      <c r="L70" s="270"/>
      <c r="M70" s="270"/>
      <c r="N70" s="270"/>
      <c r="O70" s="270"/>
      <c r="P70" s="270"/>
      <c r="Q70" s="270"/>
      <c r="R70" s="270"/>
      <c r="S70" s="270"/>
      <c r="T70" s="270"/>
      <c r="U70" s="632"/>
      <c r="V70" s="643"/>
      <c r="W70" s="644" t="str">
        <f>N_Différentiel</f>
        <v>Différentiel</v>
      </c>
      <c r="X70" s="662"/>
      <c r="Y70" s="663"/>
      <c r="Z70" s="488"/>
      <c r="AA70" s="489" t="s">
        <v>769</v>
      </c>
      <c r="AB70" s="488"/>
      <c r="AC70" s="933"/>
      <c r="AD70" s="270"/>
      <c r="AE70" s="270"/>
      <c r="AF70" s="270"/>
      <c r="AG70" s="270"/>
      <c r="AH70" s="270"/>
      <c r="AI70" s="270"/>
      <c r="AJ70" s="270"/>
      <c r="AK70" s="270"/>
      <c r="AL70" s="270"/>
      <c r="AM70" s="598"/>
      <c r="AN70" s="270"/>
      <c r="AO70" s="270"/>
      <c r="AP70" s="270"/>
      <c r="AQ70" s="270"/>
      <c r="AR70" s="270"/>
      <c r="AS70" s="270"/>
      <c r="AT70" s="270"/>
      <c r="AU70" s="270"/>
      <c r="AV70" s="270"/>
      <c r="AW70" s="270"/>
      <c r="AX70" s="270"/>
      <c r="AY70" s="270"/>
      <c r="AZ70" s="270"/>
      <c r="BA70" s="270"/>
      <c r="BB70" s="270"/>
      <c r="BC70" s="270"/>
      <c r="BD70" s="270"/>
      <c r="BE70" s="270"/>
      <c r="BF70" s="270"/>
      <c r="BG70" s="270"/>
      <c r="BH70" s="270"/>
      <c r="BI70" s="270"/>
      <c r="BJ70" s="270"/>
      <c r="BK70" s="270"/>
      <c r="BL70" s="270"/>
      <c r="BM70" s="270"/>
      <c r="BN70" s="270"/>
      <c r="BO70" s="270"/>
      <c r="BP70" s="270"/>
      <c r="BQ70" s="270"/>
    </row>
    <row r="71" spans="1:69" ht="26.25" hidden="1" outlineLevel="3" thickBot="1" x14ac:dyDescent="0.25">
      <c r="A71" s="270"/>
      <c r="B71" s="270"/>
      <c r="C71" s="270"/>
      <c r="D71" s="270"/>
      <c r="E71" s="270"/>
      <c r="F71" s="270"/>
      <c r="G71" s="270"/>
      <c r="H71" s="270"/>
      <c r="I71" s="270"/>
      <c r="J71" s="270"/>
      <c r="K71" s="270"/>
      <c r="L71" s="270"/>
      <c r="M71" s="270"/>
      <c r="N71" s="270"/>
      <c r="O71" s="270"/>
      <c r="P71" s="270"/>
      <c r="Q71" s="270"/>
      <c r="R71" s="270"/>
      <c r="S71" s="270"/>
      <c r="T71" s="270"/>
      <c r="U71" s="632"/>
      <c r="V71" s="643"/>
      <c r="W71" s="664"/>
      <c r="X71" s="665" t="str">
        <f>N_Substitute</f>
        <v>Remplaçant</v>
      </c>
      <c r="Y71" s="657"/>
      <c r="Z71" s="480"/>
      <c r="AA71" s="666"/>
      <c r="AB71" s="480"/>
      <c r="AC71" s="934"/>
      <c r="AD71" s="270"/>
      <c r="AE71" s="270"/>
      <c r="AF71" s="270"/>
      <c r="AG71" s="270"/>
      <c r="AH71" s="270"/>
      <c r="AI71" s="270"/>
      <c r="AJ71" s="270"/>
      <c r="AK71" s="270"/>
      <c r="AL71" s="270"/>
      <c r="AM71" s="598"/>
      <c r="AN71" s="270"/>
      <c r="AO71" s="270"/>
      <c r="AP71" s="270"/>
      <c r="AQ71" s="270"/>
      <c r="AR71" s="270"/>
      <c r="AS71" s="270"/>
      <c r="AT71" s="270"/>
      <c r="AU71" s="270"/>
      <c r="AV71" s="270"/>
      <c r="AW71" s="270"/>
      <c r="AX71" s="270"/>
      <c r="AY71" s="270"/>
      <c r="AZ71" s="270"/>
      <c r="BA71" s="270"/>
      <c r="BB71" s="270"/>
      <c r="BC71" s="270"/>
      <c r="BD71" s="270"/>
      <c r="BE71" s="270"/>
      <c r="BF71" s="270"/>
      <c r="BG71" s="270"/>
      <c r="BH71" s="270"/>
      <c r="BI71" s="270"/>
      <c r="BJ71" s="270"/>
      <c r="BK71" s="270"/>
      <c r="BL71" s="270"/>
      <c r="BM71" s="270"/>
      <c r="BN71" s="270"/>
      <c r="BO71" s="270"/>
      <c r="BP71" s="270"/>
      <c r="BQ71" s="270"/>
    </row>
    <row r="72" spans="1:69" ht="26.25" hidden="1" outlineLevel="3" thickBot="1" x14ac:dyDescent="0.25">
      <c r="A72" s="270"/>
      <c r="B72" s="270"/>
      <c r="C72" s="270"/>
      <c r="D72" s="270"/>
      <c r="E72" s="270"/>
      <c r="F72" s="270"/>
      <c r="G72" s="270"/>
      <c r="H72" s="270"/>
      <c r="I72" s="270"/>
      <c r="J72" s="270"/>
      <c r="K72" s="270"/>
      <c r="L72" s="270"/>
      <c r="M72" s="270"/>
      <c r="N72" s="270"/>
      <c r="O72" s="270"/>
      <c r="P72" s="270"/>
      <c r="Q72" s="270"/>
      <c r="R72" s="270"/>
      <c r="S72" s="270"/>
      <c r="T72" s="270"/>
      <c r="U72" s="632"/>
      <c r="V72" s="643"/>
      <c r="W72" s="664"/>
      <c r="X72" s="667" t="str">
        <f>N_Substitute</f>
        <v>Remplaçant</v>
      </c>
      <c r="Y72" s="663"/>
      <c r="Z72" s="488"/>
      <c r="AA72" s="668"/>
      <c r="AB72" s="488"/>
      <c r="AC72" s="933"/>
      <c r="AD72" s="270"/>
      <c r="AE72" s="270"/>
      <c r="AF72" s="270"/>
      <c r="AG72" s="270"/>
      <c r="AH72" s="270"/>
      <c r="AI72" s="270"/>
      <c r="AJ72" s="270"/>
      <c r="AK72" s="270"/>
      <c r="AL72" s="270"/>
      <c r="AM72" s="598"/>
      <c r="AN72" s="270"/>
      <c r="AO72" s="270"/>
      <c r="AP72" s="270"/>
      <c r="AQ72" s="270"/>
      <c r="AR72" s="270"/>
      <c r="AS72" s="270"/>
      <c r="AT72" s="270"/>
      <c r="AU72" s="270"/>
      <c r="AV72" s="270"/>
      <c r="AW72" s="270"/>
      <c r="AX72" s="270"/>
      <c r="AY72" s="270"/>
      <c r="AZ72" s="270"/>
      <c r="BA72" s="270"/>
      <c r="BB72" s="270"/>
      <c r="BC72" s="270"/>
      <c r="BD72" s="270"/>
      <c r="BE72" s="270"/>
      <c r="BF72" s="270"/>
      <c r="BG72" s="270"/>
      <c r="BH72" s="270"/>
      <c r="BI72" s="270"/>
      <c r="BJ72" s="270"/>
      <c r="BK72" s="270"/>
      <c r="BL72" s="270"/>
      <c r="BM72" s="270"/>
      <c r="BN72" s="270"/>
      <c r="BO72" s="270"/>
      <c r="BP72" s="270"/>
      <c r="BQ72" s="270"/>
    </row>
    <row r="73" spans="1:69" ht="13.5" hidden="1" outlineLevel="1" thickBot="1" x14ac:dyDescent="0.25">
      <c r="A73" s="270"/>
      <c r="B73" s="270"/>
      <c r="C73" s="270"/>
      <c r="D73" s="270"/>
      <c r="E73" s="270"/>
      <c r="F73" s="270"/>
      <c r="G73" s="270"/>
      <c r="H73" s="270"/>
      <c r="I73" s="270"/>
      <c r="J73" s="270"/>
      <c r="K73" s="270"/>
      <c r="L73" s="270"/>
      <c r="M73" s="270"/>
      <c r="N73" s="270"/>
      <c r="O73" s="270"/>
      <c r="P73" s="270"/>
      <c r="Q73" s="270"/>
      <c r="R73" s="270"/>
      <c r="S73" s="270"/>
      <c r="T73" s="270"/>
      <c r="U73" s="632"/>
      <c r="V73" s="270"/>
      <c r="W73" s="270"/>
      <c r="X73" s="270"/>
      <c r="Y73" s="270"/>
      <c r="Z73" s="270"/>
      <c r="AA73" s="270"/>
      <c r="AB73" s="270"/>
      <c r="AC73" s="270"/>
      <c r="AD73" s="270"/>
      <c r="AE73" s="270"/>
      <c r="AF73" s="270"/>
      <c r="AG73" s="270"/>
      <c r="AH73" s="270"/>
      <c r="AI73" s="270"/>
      <c r="AJ73" s="270"/>
      <c r="AK73" s="270"/>
      <c r="AL73" s="270"/>
      <c r="AM73" s="270"/>
      <c r="AN73" s="270"/>
      <c r="AO73" s="270"/>
      <c r="AP73" s="270"/>
      <c r="AQ73" s="270"/>
      <c r="AR73" s="270"/>
      <c r="AS73" s="270"/>
      <c r="AT73" s="270"/>
      <c r="AU73" s="270"/>
      <c r="AV73" s="270"/>
      <c r="AW73" s="270"/>
      <c r="AX73" s="270"/>
      <c r="AY73" s="270"/>
      <c r="AZ73" s="270"/>
      <c r="BA73" s="270"/>
      <c r="BB73" s="270"/>
      <c r="BC73" s="270"/>
      <c r="BD73" s="270"/>
      <c r="BE73" s="270"/>
      <c r="BF73" s="270"/>
      <c r="BG73" s="270"/>
      <c r="BH73" s="270"/>
      <c r="BI73" s="270"/>
      <c r="BJ73" s="270"/>
      <c r="BK73" s="270"/>
      <c r="BL73" s="270"/>
      <c r="BM73" s="270"/>
      <c r="BN73" s="270"/>
      <c r="BO73" s="270"/>
      <c r="BP73" s="270"/>
      <c r="BQ73" s="270"/>
    </row>
    <row r="74" spans="1:69" ht="13.5" hidden="1" outlineLevel="1" thickBot="1" x14ac:dyDescent="0.25">
      <c r="A74" s="270"/>
      <c r="B74" s="270"/>
      <c r="C74" s="270"/>
      <c r="D74" s="270"/>
      <c r="E74" s="270"/>
      <c r="F74" s="270"/>
      <c r="G74" s="270"/>
      <c r="H74" s="270"/>
      <c r="I74" s="270"/>
      <c r="J74" s="270"/>
      <c r="K74" s="270"/>
      <c r="L74" s="270"/>
      <c r="M74" s="270"/>
      <c r="N74" s="270"/>
      <c r="O74" s="270"/>
      <c r="P74" s="270"/>
      <c r="Q74" s="270"/>
      <c r="R74" s="270"/>
      <c r="S74" s="270"/>
      <c r="T74" s="270"/>
      <c r="U74" s="635"/>
      <c r="V74" s="630" t="str">
        <f>N_Heure</f>
        <v>Heure</v>
      </c>
      <c r="W74" s="630" t="str">
        <f>N_Table</f>
        <v>Table</v>
      </c>
      <c r="X74" s="630" t="str">
        <f>N_Arbitre</f>
        <v>Arbitre</v>
      </c>
      <c r="Y74" s="2403" t="str">
        <f>N_Scores</f>
        <v>Scores</v>
      </c>
      <c r="Z74" s="2404"/>
      <c r="AA74" s="2404"/>
      <c r="AB74" s="2404"/>
      <c r="AC74" s="2405"/>
      <c r="AD74" s="634" t="str">
        <f>N_MS</f>
        <v>MS</v>
      </c>
      <c r="AE74" s="270"/>
      <c r="AF74" s="270"/>
      <c r="AG74" s="270"/>
      <c r="AH74" s="270"/>
      <c r="AI74" s="270"/>
      <c r="AJ74" s="270"/>
      <c r="AK74" s="270"/>
      <c r="AL74" s="270" t="str">
        <f>IF(COUNTA(Z78:Z81)&gt;3,"OK","")</f>
        <v/>
      </c>
      <c r="AM74" s="270"/>
      <c r="AN74" s="270"/>
      <c r="AO74" s="270"/>
      <c r="AP74" s="270"/>
      <c r="AQ74" s="270"/>
      <c r="AR74" s="270"/>
      <c r="AS74" s="270"/>
      <c r="AT74" s="270"/>
      <c r="AU74" s="270"/>
      <c r="AV74" s="270"/>
      <c r="AW74" s="270"/>
      <c r="AX74" s="270"/>
      <c r="AY74" s="270"/>
      <c r="AZ74" s="270"/>
      <c r="BA74" s="270"/>
      <c r="BB74" s="270"/>
      <c r="BC74" s="270"/>
      <c r="BD74" s="270"/>
      <c r="BE74" s="270"/>
      <c r="BF74" s="270"/>
      <c r="BG74" s="270"/>
      <c r="BH74" s="270"/>
      <c r="BI74" s="270"/>
      <c r="BJ74" s="270"/>
      <c r="BK74" s="270"/>
      <c r="BL74" s="270"/>
      <c r="BM74" s="270"/>
      <c r="BN74" s="270"/>
      <c r="BO74" s="270"/>
      <c r="BP74" s="270"/>
      <c r="BQ74" s="270"/>
    </row>
    <row r="75" spans="1:69" ht="26.25" hidden="1" outlineLevel="1" thickBot="1" x14ac:dyDescent="0.25">
      <c r="A75" s="270"/>
      <c r="B75" s="270"/>
      <c r="C75" s="270"/>
      <c r="D75" s="270"/>
      <c r="E75" s="270"/>
      <c r="F75" s="270"/>
      <c r="G75" s="270"/>
      <c r="H75" s="270"/>
      <c r="I75" s="270"/>
      <c r="J75" s="270"/>
      <c r="K75" s="270"/>
      <c r="L75" s="270"/>
      <c r="M75" s="270"/>
      <c r="N75" s="270"/>
      <c r="O75" s="270"/>
      <c r="P75" s="270"/>
      <c r="Q75" s="270"/>
      <c r="R75" s="270"/>
      <c r="S75" s="270"/>
      <c r="T75" s="270"/>
      <c r="U75" s="635" t="s">
        <v>1722</v>
      </c>
      <c r="V75" s="1536"/>
      <c r="W75" s="1537"/>
      <c r="X75" s="1537"/>
      <c r="Y75" s="672"/>
      <c r="Z75" s="649" t="str">
        <f>IF(OR(ISNUMBER(Z78),ISNUMBER(Z79),ISNUMBER(Z80),ISNUMBER(Z81)),Lire_Gain_Matches(Z78:Z81, AB78:AB81),"")</f>
        <v/>
      </c>
      <c r="AA75" s="650" t="s">
        <v>769</v>
      </c>
      <c r="AB75" s="651" t="str">
        <f>IF(OR(ISNUMBER(Z78),ISNUMBER(Z79),ISNUMBER(Z80),ISNUMBER(Z81)),Lire_Gain_Matches(AB78:AB81, Z78:Z81),"")</f>
        <v/>
      </c>
      <c r="AC75" s="672"/>
      <c r="AD75" s="231" t="str">
        <f>IF(ISNA(VLOOKUP("X",AD78:AD81,1,FALSE)),"","X")</f>
        <v/>
      </c>
      <c r="AE75" s="270" t="str">
        <f>IF(Z75="","",IF(Z75&gt;AB75,Y75,IF(Z75=AB75,IF(AL75=Y75,AC75,IF(AL75=AC75,Y75,"")),AC75)))</f>
        <v/>
      </c>
      <c r="AF75" s="270" t="str">
        <f>IF(Z75="","",IF(Z75=AB75,IF(AL75=Y75,"",IF(AL75=AC75,"",Y75)),""))</f>
        <v/>
      </c>
      <c r="AG75" s="270" t="str">
        <f>IF(Z75="","",IF(Z75=AB75,IF(AL75=Y75,"",IF(AL75=AC75,"",AC75)),""))</f>
        <v/>
      </c>
      <c r="AH75" s="270" t="str">
        <f>IF(Z75="","",IF(Z75&lt;AB75,Y75,IF(Z75=AB75,IF(AL75=Y75,Y75,IF(AL75=AC75,AC75,"")),AC75)))</f>
        <v/>
      </c>
      <c r="AI75" s="270"/>
      <c r="AJ75" s="270"/>
      <c r="AK75" s="270"/>
      <c r="AL75" s="270" t="str">
        <f>IF(COUNTIF(Y78:Y81,WithdrawLabel)&gt;COUNTIF(AC78:AC81,WithdrawLabel),Y75,IF(COUNTIF(AC78:AC81,WithdrawLabel)&gt;COUNTIF(Y78:Y81,WithdrawLabel),AC75,""))</f>
        <v/>
      </c>
      <c r="AM75" s="598"/>
      <c r="AN75" s="270"/>
      <c r="AO75" s="270"/>
      <c r="AP75" s="270"/>
      <c r="AQ75" s="270"/>
      <c r="AR75" s="270"/>
      <c r="AS75" s="270"/>
      <c r="AT75" s="270"/>
      <c r="AU75" s="270"/>
      <c r="AV75" s="270"/>
      <c r="AW75" s="270"/>
      <c r="AX75" s="270"/>
      <c r="AY75" s="270"/>
      <c r="AZ75" s="270"/>
      <c r="BA75" s="270"/>
      <c r="BB75" s="270"/>
      <c r="BC75" s="270"/>
      <c r="BD75" s="270"/>
      <c r="BE75" s="270"/>
      <c r="BF75" s="270"/>
      <c r="BG75" s="270"/>
      <c r="BH75" s="270"/>
      <c r="BI75" s="270"/>
      <c r="BJ75" s="270"/>
      <c r="BK75" s="270"/>
      <c r="BL75" s="270"/>
      <c r="BM75" s="270"/>
      <c r="BN75" s="270"/>
      <c r="BO75" s="270"/>
      <c r="BP75" s="270"/>
      <c r="BQ75" s="270"/>
    </row>
    <row r="76" spans="1:69" ht="18.75" hidden="1" outlineLevel="1" thickBot="1" x14ac:dyDescent="0.25">
      <c r="A76" s="270"/>
      <c r="B76" s="270"/>
      <c r="C76" s="270"/>
      <c r="D76" s="270"/>
      <c r="E76" s="270"/>
      <c r="F76" s="270"/>
      <c r="G76" s="270"/>
      <c r="H76" s="270"/>
      <c r="I76" s="270"/>
      <c r="J76" s="270"/>
      <c r="K76" s="270"/>
      <c r="L76" s="270"/>
      <c r="M76" s="270"/>
      <c r="N76" s="270"/>
      <c r="O76" s="270"/>
      <c r="P76" s="270"/>
      <c r="Q76" s="270"/>
      <c r="R76" s="270"/>
      <c r="S76" s="270"/>
      <c r="T76" s="270"/>
      <c r="U76" s="632"/>
      <c r="V76" s="629"/>
      <c r="W76" s="647"/>
      <c r="X76" s="647"/>
      <c r="Y76" s="652" t="str">
        <f>N_Total_buts</f>
        <v>Total des buts</v>
      </c>
      <c r="Z76" s="649" t="str">
        <f>IF(OR(ISNUMBER(Z78),ISNUMBER(Z79),ISNUMBER(Z80),ISNUMBER(Z81)),SUM(Z78:Z81),"")</f>
        <v/>
      </c>
      <c r="AA76" s="650" t="s">
        <v>769</v>
      </c>
      <c r="AB76" s="651" t="str">
        <f>IF(OR(ISNUMBER(Z78),ISNUMBER(Z79),ISNUMBER(Z80),ISNUMBER(Z81)),SUM(AB78:AB81),"")</f>
        <v/>
      </c>
      <c r="AC76" s="653" t="str">
        <f>IF(Z82="","",CONCATENATE("(Diff : ",Z82," - ",AB82,")"))</f>
        <v/>
      </c>
      <c r="AD76" s="270"/>
      <c r="AE76" s="270"/>
      <c r="AF76" s="270"/>
      <c r="AG76" s="270"/>
      <c r="AH76" s="270"/>
      <c r="AI76" s="270"/>
      <c r="AJ76" s="270"/>
      <c r="AK76" s="270"/>
      <c r="AL76" s="270"/>
      <c r="AM76" s="610"/>
      <c r="AN76" s="270"/>
      <c r="AO76" s="270"/>
      <c r="AP76" s="270"/>
      <c r="AQ76" s="270"/>
      <c r="AR76" s="270"/>
      <c r="AS76" s="270"/>
      <c r="AT76" s="270"/>
      <c r="AU76" s="270"/>
      <c r="AV76" s="270"/>
      <c r="AW76" s="270"/>
      <c r="AX76" s="270"/>
      <c r="AY76" s="270"/>
      <c r="AZ76" s="270"/>
      <c r="BA76" s="270"/>
      <c r="BB76" s="270"/>
      <c r="BC76" s="270"/>
      <c r="BD76" s="270"/>
      <c r="BE76" s="270"/>
      <c r="BF76" s="270"/>
      <c r="BG76" s="270"/>
      <c r="BH76" s="270"/>
      <c r="BI76" s="270"/>
      <c r="BJ76" s="270"/>
      <c r="BK76" s="270"/>
      <c r="BL76" s="270"/>
      <c r="BM76" s="270"/>
      <c r="BN76" s="270"/>
      <c r="BO76" s="270"/>
      <c r="BP76" s="270"/>
      <c r="BQ76" s="270"/>
    </row>
    <row r="77" spans="1:69" ht="26.25" hidden="1" outlineLevel="1" collapsed="1" thickBot="1" x14ac:dyDescent="0.25">
      <c r="A77" s="270"/>
      <c r="B77" s="270"/>
      <c r="C77" s="270"/>
      <c r="D77" s="270"/>
      <c r="E77" s="270"/>
      <c r="F77" s="270"/>
      <c r="G77" s="270"/>
      <c r="H77" s="270"/>
      <c r="I77" s="270"/>
      <c r="J77" s="1334" t="str">
        <f>IF(Z77="","",IF(Z77=Y75,AC75,Y75))</f>
        <v/>
      </c>
      <c r="K77" s="270"/>
      <c r="L77" s="270"/>
      <c r="M77" s="270"/>
      <c r="N77" s="270"/>
      <c r="O77" s="270"/>
      <c r="P77" s="270"/>
      <c r="Q77" s="270"/>
      <c r="R77" s="270"/>
      <c r="S77" s="270"/>
      <c r="T77" s="270"/>
      <c r="U77" s="632"/>
      <c r="V77" s="629"/>
      <c r="W77" s="647"/>
      <c r="X77" s="647"/>
      <c r="Y77" s="654" t="str">
        <f>N_VAINQUEUR</f>
        <v>VAINQUEUR</v>
      </c>
      <c r="Z77" s="2406" t="str">
        <f>IF(AL74&lt;&gt;"OK",IF(HidePlayerFormulas,"","("&amp;Y75&amp;"-"&amp;AC75&amp;")"),IF(AE75="",IF(Z76&gt;AB76,Y75,IF(Z76&lt;AB76,AC75,mess_erreur_marque)),AE75))</f>
        <v/>
      </c>
      <c r="AA77" s="2407"/>
      <c r="AB77" s="2407"/>
      <c r="AC77" s="2408"/>
      <c r="AD77" s="270"/>
      <c r="AE77" s="270"/>
      <c r="AF77" s="270"/>
      <c r="AG77" s="270"/>
      <c r="AH77" s="270"/>
      <c r="AI77" s="270"/>
      <c r="AJ77" s="270"/>
      <c r="AK77" s="270"/>
      <c r="AL77" s="270"/>
      <c r="AM77" s="598"/>
      <c r="AN77" s="270"/>
      <c r="AO77" s="270"/>
      <c r="AP77" s="270"/>
      <c r="AQ77" s="270"/>
      <c r="AR77" s="270"/>
      <c r="AS77" s="270"/>
      <c r="AT77" s="270"/>
      <c r="AU77" s="270"/>
      <c r="AV77" s="270"/>
      <c r="AW77" s="270"/>
      <c r="AX77" s="270"/>
      <c r="AY77" s="270"/>
      <c r="AZ77" s="270"/>
      <c r="BA77" s="270"/>
      <c r="BB77" s="270"/>
      <c r="BC77" s="270"/>
      <c r="BD77" s="270"/>
      <c r="BE77" s="270"/>
      <c r="BF77" s="270"/>
      <c r="BG77" s="270"/>
      <c r="BH77" s="270"/>
      <c r="BI77" s="270"/>
      <c r="BJ77" s="270"/>
      <c r="BK77" s="270"/>
      <c r="BL77" s="270"/>
      <c r="BM77" s="270"/>
      <c r="BN77" s="270"/>
      <c r="BO77" s="270"/>
      <c r="BP77" s="270"/>
      <c r="BQ77" s="270"/>
    </row>
    <row r="78" spans="1:69" ht="26.25" hidden="1" outlineLevel="3" thickBot="1" x14ac:dyDescent="0.25">
      <c r="A78" s="270"/>
      <c r="B78" s="270"/>
      <c r="C78" s="270"/>
      <c r="D78" s="270"/>
      <c r="E78" s="270"/>
      <c r="F78" s="270"/>
      <c r="G78" s="270"/>
      <c r="H78" s="270"/>
      <c r="I78" s="270"/>
      <c r="J78" s="270"/>
      <c r="K78" s="270"/>
      <c r="L78" s="270"/>
      <c r="M78" s="270"/>
      <c r="N78" s="270"/>
      <c r="O78" s="270"/>
      <c r="P78" s="270"/>
      <c r="Q78" s="270"/>
      <c r="R78" s="270"/>
      <c r="S78" s="270"/>
      <c r="T78" s="270"/>
      <c r="U78" s="632"/>
      <c r="V78" s="636"/>
      <c r="W78" s="655"/>
      <c r="X78" s="656"/>
      <c r="Y78" s="657"/>
      <c r="Z78" s="484"/>
      <c r="AA78" s="485" t="s">
        <v>769</v>
      </c>
      <c r="AB78" s="484"/>
      <c r="AC78" s="930"/>
      <c r="AD78" s="637"/>
      <c r="AE78" s="270"/>
      <c r="AF78" s="270"/>
      <c r="AG78" s="270"/>
      <c r="AH78" s="270"/>
      <c r="AI78" s="270"/>
      <c r="AJ78" s="270"/>
      <c r="AK78" s="270"/>
      <c r="AL78" s="270"/>
      <c r="AM78" s="598"/>
      <c r="AN78" s="270"/>
      <c r="AO78" s="270"/>
      <c r="AP78" s="270"/>
      <c r="AQ78" s="270"/>
      <c r="AR78" s="270"/>
      <c r="AS78" s="270"/>
      <c r="AT78" s="270"/>
      <c r="AU78" s="270"/>
      <c r="AV78" s="270"/>
      <c r="AW78" s="270"/>
      <c r="AX78" s="270"/>
      <c r="AY78" s="270"/>
      <c r="AZ78" s="270"/>
      <c r="BA78" s="270"/>
      <c r="BB78" s="270"/>
      <c r="BC78" s="270"/>
      <c r="BD78" s="270"/>
      <c r="BE78" s="270"/>
      <c r="BF78" s="270"/>
      <c r="BG78" s="270"/>
      <c r="BH78" s="270"/>
      <c r="BI78" s="270"/>
      <c r="BJ78" s="270"/>
      <c r="BK78" s="270"/>
      <c r="BL78" s="270"/>
      <c r="BM78" s="270"/>
      <c r="BN78" s="270"/>
      <c r="BO78" s="270"/>
      <c r="BP78" s="270"/>
      <c r="BQ78" s="270"/>
    </row>
    <row r="79" spans="1:69" ht="26.25" hidden="1" outlineLevel="3" thickBot="1" x14ac:dyDescent="0.25">
      <c r="A79" s="270"/>
      <c r="B79" s="270"/>
      <c r="C79" s="270"/>
      <c r="D79" s="270"/>
      <c r="E79" s="270"/>
      <c r="F79" s="270"/>
      <c r="G79" s="270"/>
      <c r="H79" s="270"/>
      <c r="I79" s="270"/>
      <c r="J79" s="270"/>
      <c r="K79" s="270"/>
      <c r="L79" s="270"/>
      <c r="M79" s="270"/>
      <c r="N79" s="270"/>
      <c r="O79" s="270"/>
      <c r="P79" s="270"/>
      <c r="Q79" s="270"/>
      <c r="R79" s="270"/>
      <c r="S79" s="270"/>
      <c r="T79" s="270"/>
      <c r="U79" s="632"/>
      <c r="V79" s="638"/>
      <c r="W79" s="658"/>
      <c r="X79" s="659"/>
      <c r="Y79" s="627"/>
      <c r="Z79" s="492"/>
      <c r="AA79" s="493" t="s">
        <v>769</v>
      </c>
      <c r="AB79" s="492"/>
      <c r="AC79" s="931"/>
      <c r="AD79" s="639"/>
      <c r="AE79" s="270"/>
      <c r="AF79" s="270"/>
      <c r="AG79" s="270"/>
      <c r="AH79" s="270"/>
      <c r="AI79" s="270"/>
      <c r="AJ79" s="270"/>
      <c r="AK79" s="270"/>
      <c r="AL79" s="270"/>
      <c r="AM79" s="598"/>
      <c r="AN79" s="270"/>
      <c r="AO79" s="270"/>
      <c r="AP79" s="270"/>
      <c r="AQ79" s="270"/>
      <c r="AR79" s="270"/>
      <c r="AS79" s="270"/>
      <c r="AT79" s="270"/>
      <c r="AU79" s="270"/>
      <c r="AV79" s="270"/>
      <c r="AW79" s="270"/>
      <c r="AX79" s="270"/>
      <c r="AY79" s="270"/>
      <c r="AZ79" s="270"/>
      <c r="BA79" s="270"/>
      <c r="BB79" s="270"/>
      <c r="BC79" s="270"/>
      <c r="BD79" s="270"/>
      <c r="BE79" s="270"/>
      <c r="BF79" s="270"/>
      <c r="BG79" s="270"/>
      <c r="BH79" s="270"/>
      <c r="BI79" s="270"/>
      <c r="BJ79" s="270"/>
      <c r="BK79" s="270"/>
      <c r="BL79" s="270"/>
      <c r="BM79" s="270"/>
      <c r="BN79" s="270"/>
      <c r="BO79" s="270"/>
      <c r="BP79" s="270"/>
      <c r="BQ79" s="270"/>
    </row>
    <row r="80" spans="1:69" ht="26.25" hidden="1" outlineLevel="3" thickBot="1" x14ac:dyDescent="0.25">
      <c r="A80" s="270"/>
      <c r="B80" s="270"/>
      <c r="C80" s="270"/>
      <c r="D80" s="270"/>
      <c r="E80" s="270"/>
      <c r="F80" s="270"/>
      <c r="G80" s="270"/>
      <c r="H80" s="270"/>
      <c r="I80" s="270"/>
      <c r="J80" s="270"/>
      <c r="K80" s="270"/>
      <c r="L80" s="270"/>
      <c r="M80" s="270"/>
      <c r="N80" s="270"/>
      <c r="O80" s="270"/>
      <c r="P80" s="270"/>
      <c r="Q80" s="270"/>
      <c r="R80" s="270"/>
      <c r="S80" s="270"/>
      <c r="T80" s="270"/>
      <c r="U80" s="632"/>
      <c r="V80" s="638"/>
      <c r="W80" s="658"/>
      <c r="X80" s="659"/>
      <c r="Y80" s="627"/>
      <c r="Z80" s="492"/>
      <c r="AA80" s="493" t="s">
        <v>769</v>
      </c>
      <c r="AB80" s="492"/>
      <c r="AC80" s="931"/>
      <c r="AD80" s="640"/>
      <c r="AE80" s="270"/>
      <c r="AF80" s="270"/>
      <c r="AG80" s="270"/>
      <c r="AH80" s="270"/>
      <c r="AI80" s="270"/>
      <c r="AJ80" s="270"/>
      <c r="AK80" s="270"/>
      <c r="AL80" s="270"/>
      <c r="AM80" s="598"/>
      <c r="AN80" s="270"/>
      <c r="AO80" s="270"/>
      <c r="AP80" s="270"/>
      <c r="AQ80" s="270"/>
      <c r="AR80" s="270"/>
      <c r="AS80" s="270"/>
      <c r="AT80" s="270"/>
      <c r="AU80" s="270"/>
      <c r="AV80" s="270"/>
      <c r="AW80" s="270"/>
      <c r="AX80" s="270"/>
      <c r="AY80" s="270"/>
      <c r="AZ80" s="270"/>
      <c r="BA80" s="270"/>
      <c r="BB80" s="270"/>
      <c r="BC80" s="270"/>
      <c r="BD80" s="270"/>
      <c r="BE80" s="270"/>
      <c r="BF80" s="270"/>
      <c r="BG80" s="270"/>
      <c r="BH80" s="270"/>
      <c r="BI80" s="270"/>
      <c r="BJ80" s="270"/>
      <c r="BK80" s="270"/>
      <c r="BL80" s="270"/>
      <c r="BM80" s="270"/>
      <c r="BN80" s="270"/>
      <c r="BO80" s="270"/>
      <c r="BP80" s="270"/>
      <c r="BQ80" s="270"/>
    </row>
    <row r="81" spans="1:69" ht="26.25" hidden="1" outlineLevel="3" thickBot="1" x14ac:dyDescent="0.25">
      <c r="A81" s="270"/>
      <c r="B81" s="270"/>
      <c r="C81" s="270"/>
      <c r="D81" s="270"/>
      <c r="E81" s="270"/>
      <c r="F81" s="270"/>
      <c r="G81" s="270"/>
      <c r="H81" s="270"/>
      <c r="I81" s="270"/>
      <c r="J81" s="270"/>
      <c r="K81" s="270"/>
      <c r="L81" s="270"/>
      <c r="M81" s="270"/>
      <c r="N81" s="270"/>
      <c r="O81" s="270"/>
      <c r="P81" s="270"/>
      <c r="Q81" s="270"/>
      <c r="R81" s="270"/>
      <c r="S81" s="270"/>
      <c r="T81" s="270"/>
      <c r="U81" s="632"/>
      <c r="V81" s="641"/>
      <c r="W81" s="660"/>
      <c r="X81" s="661"/>
      <c r="Y81" s="631"/>
      <c r="Z81" s="496"/>
      <c r="AA81" s="497" t="s">
        <v>769</v>
      </c>
      <c r="AB81" s="496"/>
      <c r="AC81" s="932"/>
      <c r="AD81" s="642"/>
      <c r="AE81" s="270"/>
      <c r="AF81" s="270"/>
      <c r="AG81" s="270"/>
      <c r="AH81" s="270"/>
      <c r="AI81" s="270"/>
      <c r="AJ81" s="270"/>
      <c r="AK81" s="270"/>
      <c r="AL81" s="270"/>
      <c r="AM81" s="598"/>
      <c r="AN81" s="270"/>
      <c r="AO81" s="270"/>
      <c r="AP81" s="270"/>
      <c r="AQ81" s="270"/>
      <c r="AR81" s="270"/>
      <c r="AS81" s="270"/>
      <c r="AT81" s="270"/>
      <c r="AU81" s="270"/>
      <c r="AV81" s="270"/>
      <c r="AW81" s="270"/>
      <c r="AX81" s="270"/>
      <c r="AY81" s="270"/>
      <c r="AZ81" s="270"/>
      <c r="BA81" s="270"/>
      <c r="BB81" s="270"/>
      <c r="BC81" s="270"/>
      <c r="BD81" s="270"/>
      <c r="BE81" s="270"/>
      <c r="BF81" s="270"/>
      <c r="BG81" s="270"/>
      <c r="BH81" s="270"/>
      <c r="BI81" s="270"/>
      <c r="BJ81" s="270"/>
      <c r="BK81" s="270"/>
      <c r="BL81" s="270"/>
      <c r="BM81" s="270"/>
      <c r="BN81" s="270"/>
      <c r="BO81" s="270"/>
      <c r="BP81" s="270"/>
      <c r="BQ81" s="270"/>
    </row>
    <row r="82" spans="1:69" ht="26.25" hidden="1" outlineLevel="3" thickBot="1" x14ac:dyDescent="0.25">
      <c r="A82" s="270"/>
      <c r="B82" s="270"/>
      <c r="C82" s="270"/>
      <c r="D82" s="270"/>
      <c r="E82" s="270"/>
      <c r="F82" s="270"/>
      <c r="G82" s="270"/>
      <c r="H82" s="270"/>
      <c r="I82" s="270"/>
      <c r="J82" s="270"/>
      <c r="K82" s="270"/>
      <c r="L82" s="270"/>
      <c r="M82" s="270"/>
      <c r="N82" s="270"/>
      <c r="O82" s="270"/>
      <c r="P82" s="270"/>
      <c r="Q82" s="270"/>
      <c r="R82" s="270"/>
      <c r="S82" s="270"/>
      <c r="T82" s="270"/>
      <c r="U82" s="632"/>
      <c r="V82" s="643"/>
      <c r="W82" s="644" t="str">
        <f>N_Différentiel</f>
        <v>Différentiel</v>
      </c>
      <c r="X82" s="662"/>
      <c r="Y82" s="663"/>
      <c r="Z82" s="488"/>
      <c r="AA82" s="489" t="s">
        <v>769</v>
      </c>
      <c r="AB82" s="488"/>
      <c r="AC82" s="933"/>
      <c r="AD82" s="270"/>
      <c r="AE82" s="270"/>
      <c r="AF82" s="270"/>
      <c r="AG82" s="270"/>
      <c r="AH82" s="270"/>
      <c r="AI82" s="270"/>
      <c r="AJ82" s="270"/>
      <c r="AK82" s="270"/>
      <c r="AL82" s="270"/>
      <c r="AM82" s="598"/>
      <c r="AN82" s="270"/>
      <c r="AO82" s="270"/>
      <c r="AP82" s="270"/>
      <c r="AQ82" s="270"/>
      <c r="AR82" s="270"/>
      <c r="AS82" s="270"/>
      <c r="AT82" s="270"/>
      <c r="AU82" s="270"/>
      <c r="AV82" s="270"/>
      <c r="AW82" s="270"/>
      <c r="AX82" s="270"/>
      <c r="AY82" s="270"/>
      <c r="AZ82" s="270"/>
      <c r="BA82" s="270"/>
      <c r="BB82" s="270"/>
      <c r="BC82" s="270"/>
      <c r="BD82" s="270"/>
      <c r="BE82" s="270"/>
      <c r="BF82" s="270"/>
      <c r="BG82" s="270"/>
      <c r="BH82" s="270"/>
      <c r="BI82" s="270"/>
      <c r="BJ82" s="270"/>
      <c r="BK82" s="270"/>
      <c r="BL82" s="270"/>
      <c r="BM82" s="270"/>
      <c r="BN82" s="270"/>
      <c r="BO82" s="270"/>
      <c r="BP82" s="270"/>
      <c r="BQ82" s="270"/>
    </row>
    <row r="83" spans="1:69" ht="26.25" hidden="1" outlineLevel="3" thickBot="1" x14ac:dyDescent="0.25">
      <c r="A83" s="270"/>
      <c r="B83" s="270"/>
      <c r="C83" s="270"/>
      <c r="D83" s="270"/>
      <c r="E83" s="270"/>
      <c r="F83" s="270"/>
      <c r="G83" s="270"/>
      <c r="H83" s="270"/>
      <c r="I83" s="270"/>
      <c r="J83" s="270"/>
      <c r="K83" s="270"/>
      <c r="L83" s="270"/>
      <c r="M83" s="270"/>
      <c r="N83" s="270"/>
      <c r="O83" s="270"/>
      <c r="P83" s="270"/>
      <c r="Q83" s="270"/>
      <c r="R83" s="270"/>
      <c r="S83" s="270"/>
      <c r="T83" s="270"/>
      <c r="U83" s="632"/>
      <c r="V83" s="643"/>
      <c r="W83" s="664"/>
      <c r="X83" s="665" t="str">
        <f>N_Substitute</f>
        <v>Remplaçant</v>
      </c>
      <c r="Y83" s="657"/>
      <c r="Z83" s="480"/>
      <c r="AA83" s="666"/>
      <c r="AB83" s="480"/>
      <c r="AC83" s="934"/>
      <c r="AD83" s="270"/>
      <c r="AE83" s="270"/>
      <c r="AF83" s="270"/>
      <c r="AG83" s="270"/>
      <c r="AH83" s="270"/>
      <c r="AI83" s="270"/>
      <c r="AJ83" s="270"/>
      <c r="AK83" s="270"/>
      <c r="AL83" s="270"/>
      <c r="AM83" s="598"/>
      <c r="AN83" s="270"/>
      <c r="AO83" s="270"/>
      <c r="AP83" s="270"/>
      <c r="AQ83" s="270"/>
      <c r="AR83" s="270"/>
      <c r="AS83" s="270"/>
      <c r="AT83" s="270"/>
      <c r="AU83" s="270"/>
      <c r="AV83" s="270"/>
      <c r="AW83" s="270"/>
      <c r="AX83" s="270"/>
      <c r="AY83" s="270"/>
      <c r="AZ83" s="270"/>
      <c r="BA83" s="270"/>
      <c r="BB83" s="270"/>
      <c r="BC83" s="270"/>
      <c r="BD83" s="270"/>
      <c r="BE83" s="270"/>
      <c r="BF83" s="270"/>
      <c r="BG83" s="270"/>
      <c r="BH83" s="270"/>
      <c r="BI83" s="270"/>
      <c r="BJ83" s="270"/>
      <c r="BK83" s="270"/>
      <c r="BL83" s="270"/>
      <c r="BM83" s="270"/>
      <c r="BN83" s="270"/>
      <c r="BO83" s="270"/>
      <c r="BP83" s="270"/>
      <c r="BQ83" s="270"/>
    </row>
    <row r="84" spans="1:69" ht="26.25" hidden="1" outlineLevel="3" thickBot="1" x14ac:dyDescent="0.25">
      <c r="A84" s="270"/>
      <c r="B84" s="270"/>
      <c r="C84" s="270"/>
      <c r="D84" s="270"/>
      <c r="E84" s="270"/>
      <c r="F84" s="270"/>
      <c r="G84" s="270"/>
      <c r="H84" s="270"/>
      <c r="I84" s="270"/>
      <c r="J84" s="270"/>
      <c r="K84" s="270"/>
      <c r="L84" s="270"/>
      <c r="M84" s="270"/>
      <c r="N84" s="270"/>
      <c r="O84" s="270"/>
      <c r="P84" s="270"/>
      <c r="Q84" s="270"/>
      <c r="R84" s="270"/>
      <c r="S84" s="270"/>
      <c r="T84" s="270"/>
      <c r="U84" s="632"/>
      <c r="V84" s="643"/>
      <c r="W84" s="664"/>
      <c r="X84" s="667" t="str">
        <f>N_Substitute</f>
        <v>Remplaçant</v>
      </c>
      <c r="Y84" s="663"/>
      <c r="Z84" s="488"/>
      <c r="AA84" s="668"/>
      <c r="AB84" s="488"/>
      <c r="AC84" s="933"/>
      <c r="AD84" s="270"/>
      <c r="AE84" s="270"/>
      <c r="AF84" s="270"/>
      <c r="AG84" s="270"/>
      <c r="AH84" s="270"/>
      <c r="AI84" s="270"/>
      <c r="AJ84" s="270"/>
      <c r="AK84" s="270"/>
      <c r="AL84" s="270"/>
      <c r="AM84" s="598"/>
      <c r="AN84" s="270"/>
      <c r="AO84" s="270"/>
      <c r="AP84" s="270"/>
      <c r="AQ84" s="270"/>
      <c r="AR84" s="270"/>
      <c r="AS84" s="270"/>
      <c r="AT84" s="270"/>
      <c r="AU84" s="270"/>
      <c r="AV84" s="270"/>
      <c r="AW84" s="270"/>
      <c r="AX84" s="270"/>
      <c r="AY84" s="270"/>
      <c r="AZ84" s="270"/>
      <c r="BA84" s="270"/>
      <c r="BB84" s="270"/>
      <c r="BC84" s="270"/>
      <c r="BD84" s="270"/>
      <c r="BE84" s="270"/>
      <c r="BF84" s="270"/>
      <c r="BG84" s="270"/>
      <c r="BH84" s="270"/>
      <c r="BI84" s="270"/>
      <c r="BJ84" s="270"/>
      <c r="BK84" s="270"/>
      <c r="BL84" s="270"/>
      <c r="BM84" s="270"/>
      <c r="BN84" s="270"/>
      <c r="BO84" s="270"/>
      <c r="BP84" s="270"/>
      <c r="BQ84" s="270"/>
    </row>
    <row r="85" spans="1:69" ht="13.5" hidden="1" outlineLevel="1" thickBot="1" x14ac:dyDescent="0.25">
      <c r="A85" s="270"/>
      <c r="B85" s="270"/>
      <c r="C85" s="270"/>
      <c r="D85" s="270"/>
      <c r="E85" s="270"/>
      <c r="F85" s="270"/>
      <c r="G85" s="270"/>
      <c r="H85" s="270"/>
      <c r="I85" s="270"/>
      <c r="J85" s="270"/>
      <c r="K85" s="270"/>
      <c r="L85" s="270"/>
      <c r="M85" s="270"/>
      <c r="N85" s="270"/>
      <c r="O85" s="270"/>
      <c r="P85" s="270"/>
      <c r="Q85" s="270"/>
      <c r="R85" s="270"/>
      <c r="S85" s="270"/>
      <c r="T85" s="270"/>
      <c r="U85" s="632"/>
      <c r="V85" s="270"/>
      <c r="W85" s="270"/>
      <c r="X85" s="270"/>
      <c r="Y85" s="270"/>
      <c r="Z85" s="270"/>
      <c r="AA85" s="270"/>
      <c r="AB85" s="270"/>
      <c r="AC85" s="270"/>
      <c r="AD85" s="270"/>
      <c r="AE85" s="270"/>
      <c r="AF85" s="270"/>
      <c r="AG85" s="270"/>
      <c r="AH85" s="270"/>
      <c r="AI85" s="270"/>
      <c r="AJ85" s="270"/>
      <c r="AK85" s="270"/>
      <c r="AL85" s="270"/>
      <c r="AM85" s="270"/>
      <c r="AN85" s="270"/>
      <c r="AO85" s="270"/>
      <c r="AP85" s="270"/>
      <c r="AQ85" s="270"/>
      <c r="AR85" s="270"/>
      <c r="AS85" s="270"/>
      <c r="AT85" s="270"/>
      <c r="AU85" s="270"/>
      <c r="AV85" s="270"/>
      <c r="AW85" s="270"/>
      <c r="AX85" s="270"/>
      <c r="AY85" s="270"/>
      <c r="AZ85" s="270"/>
      <c r="BA85" s="270"/>
      <c r="BB85" s="270"/>
      <c r="BC85" s="270"/>
      <c r="BD85" s="270"/>
      <c r="BE85" s="270"/>
      <c r="BF85" s="270"/>
      <c r="BG85" s="270"/>
      <c r="BH85" s="270"/>
      <c r="BI85" s="270"/>
      <c r="BJ85" s="270"/>
      <c r="BK85" s="270"/>
      <c r="BL85" s="270"/>
      <c r="BM85" s="270"/>
      <c r="BN85" s="270"/>
      <c r="BO85" s="270"/>
      <c r="BP85" s="270"/>
      <c r="BQ85" s="270"/>
    </row>
    <row r="86" spans="1:69" ht="13.5" hidden="1" outlineLevel="1" thickBot="1" x14ac:dyDescent="0.25">
      <c r="A86" s="270"/>
      <c r="B86" s="270"/>
      <c r="C86" s="270"/>
      <c r="D86" s="270"/>
      <c r="E86" s="270"/>
      <c r="F86" s="270"/>
      <c r="G86" s="270"/>
      <c r="H86" s="270"/>
      <c r="I86" s="270"/>
      <c r="J86" s="270"/>
      <c r="K86" s="270"/>
      <c r="L86" s="270"/>
      <c r="M86" s="270"/>
      <c r="N86" s="270"/>
      <c r="O86" s="270"/>
      <c r="P86" s="270"/>
      <c r="Q86" s="270"/>
      <c r="R86" s="270"/>
      <c r="S86" s="270"/>
      <c r="T86" s="270"/>
      <c r="U86" s="633"/>
      <c r="V86" s="630" t="str">
        <f>N_Heure</f>
        <v>Heure</v>
      </c>
      <c r="W86" s="630" t="str">
        <f>N_Table</f>
        <v>Table</v>
      </c>
      <c r="X86" s="630" t="str">
        <f>N_Arbitre</f>
        <v>Arbitre</v>
      </c>
      <c r="Y86" s="2403" t="str">
        <f>N_Scores</f>
        <v>Scores</v>
      </c>
      <c r="Z86" s="2404"/>
      <c r="AA86" s="2404"/>
      <c r="AB86" s="2404"/>
      <c r="AC86" s="2405"/>
      <c r="AD86" s="634" t="str">
        <f>N_MS</f>
        <v>MS</v>
      </c>
      <c r="AE86" s="270"/>
      <c r="AF86" s="270"/>
      <c r="AG86" s="270"/>
      <c r="AH86" s="270"/>
      <c r="AI86" s="270"/>
      <c r="AJ86" s="270"/>
      <c r="AK86" s="270"/>
      <c r="AL86" s="270" t="str">
        <f>IF(COUNTA(Z90:Z93)&gt;3,"OK","")</f>
        <v/>
      </c>
      <c r="AM86" s="270"/>
      <c r="AN86" s="270"/>
      <c r="AO86" s="270"/>
      <c r="AP86" s="270"/>
      <c r="AQ86" s="270"/>
      <c r="AR86" s="270"/>
      <c r="AS86" s="270"/>
      <c r="AT86" s="270"/>
      <c r="AU86" s="270"/>
      <c r="AV86" s="270"/>
      <c r="AW86" s="270"/>
      <c r="AX86" s="270"/>
      <c r="AY86" s="270"/>
      <c r="AZ86" s="270"/>
      <c r="BA86" s="270"/>
      <c r="BB86" s="270"/>
      <c r="BC86" s="270"/>
      <c r="BD86" s="270"/>
      <c r="BE86" s="270"/>
      <c r="BF86" s="270"/>
      <c r="BG86" s="270"/>
      <c r="BH86" s="270"/>
      <c r="BI86" s="270"/>
      <c r="BJ86" s="270"/>
      <c r="BK86" s="270"/>
      <c r="BL86" s="270"/>
      <c r="BM86" s="270"/>
      <c r="BN86" s="270"/>
      <c r="BO86" s="270"/>
      <c r="BP86" s="270"/>
      <c r="BQ86" s="270"/>
    </row>
    <row r="87" spans="1:69" ht="26.25" hidden="1" outlineLevel="1" thickBot="1" x14ac:dyDescent="0.25">
      <c r="A87" s="270"/>
      <c r="B87" s="270"/>
      <c r="C87" s="270"/>
      <c r="D87" s="270"/>
      <c r="E87" s="270"/>
      <c r="F87" s="270"/>
      <c r="G87" s="270"/>
      <c r="H87" s="270"/>
      <c r="I87" s="270"/>
      <c r="J87" s="270"/>
      <c r="K87" s="270"/>
      <c r="L87" s="270"/>
      <c r="M87" s="270"/>
      <c r="N87" s="270"/>
      <c r="O87" s="270"/>
      <c r="P87" s="270"/>
      <c r="Q87" s="270"/>
      <c r="R87" s="270"/>
      <c r="S87" s="270"/>
      <c r="T87" s="270"/>
      <c r="U87" s="635" t="s">
        <v>1722</v>
      </c>
      <c r="V87" s="1536"/>
      <c r="W87" s="1537"/>
      <c r="X87" s="1537"/>
      <c r="Y87" s="672"/>
      <c r="Z87" s="649" t="str">
        <f>IF(OR(ISNUMBER(Z90),ISNUMBER(Z91),ISNUMBER(Z92),ISNUMBER(Z93)),Lire_Gain_Matches(Z90:Z93, AB90:AB93),"")</f>
        <v/>
      </c>
      <c r="AA87" s="650" t="s">
        <v>769</v>
      </c>
      <c r="AB87" s="651" t="str">
        <f>IF(OR(ISNUMBER(Z90),ISNUMBER(Z91),ISNUMBER(Z92),ISNUMBER(Z93)),Lire_Gain_Matches(AB90:AB93, Z90:Z93),"")</f>
        <v/>
      </c>
      <c r="AC87" s="672"/>
      <c r="AD87" s="231" t="str">
        <f>IF(ISNA(VLOOKUP("X",AD90:AD93,1,FALSE)),"","X")</f>
        <v/>
      </c>
      <c r="AE87" s="270" t="str">
        <f>IF(Z87="","",IF(Z87&gt;AB87,Y87,IF(Z87=AB87,IF(AL87=Y87,AC87,IF(AL87=AC87,Y87,"")),AC87)))</f>
        <v/>
      </c>
      <c r="AF87" s="270" t="str">
        <f>IF(Z87="","",IF(Z87=AB87,IF(AL87=Y87,"",IF(AL87=AC87,"",Y87)),""))</f>
        <v/>
      </c>
      <c r="AG87" s="270" t="str">
        <f>IF(Z87="","",IF(Z87=AB87,IF(AL87=Y87,"",IF(AL87=AC87,"",AC87)),""))</f>
        <v/>
      </c>
      <c r="AH87" s="270" t="str">
        <f>IF(Z87="","",IF(Z87&lt;AB87,Y87,IF(Z87=AB87,IF(AL87=Y87,Y87,IF(AL87=AC87,AC87,"")),AC87)))</f>
        <v/>
      </c>
      <c r="AI87" s="270"/>
      <c r="AJ87" s="270"/>
      <c r="AK87" s="270"/>
      <c r="AL87" s="270" t="str">
        <f>IF(COUNTIF(Y90:Y93,WithdrawLabel)&gt;COUNTIF(AC90:AC93,WithdrawLabel),Y87,IF(COUNTIF(AC90:AC93,WithdrawLabel)&gt;COUNTIF(Y90:Y93,WithdrawLabel),AC87,""))</f>
        <v/>
      </c>
      <c r="AM87" s="598"/>
      <c r="AN87" s="270"/>
      <c r="AO87" s="270"/>
      <c r="AP87" s="270"/>
      <c r="AQ87" s="270"/>
      <c r="AR87" s="270"/>
      <c r="AS87" s="270"/>
      <c r="AT87" s="270"/>
      <c r="AU87" s="270"/>
      <c r="AV87" s="270"/>
      <c r="AW87" s="270"/>
      <c r="AX87" s="270"/>
      <c r="AY87" s="270"/>
      <c r="AZ87" s="270"/>
      <c r="BA87" s="270"/>
      <c r="BB87" s="270"/>
      <c r="BC87" s="270"/>
      <c r="BD87" s="270"/>
      <c r="BE87" s="270"/>
      <c r="BF87" s="270"/>
      <c r="BG87" s="270"/>
      <c r="BH87" s="270"/>
      <c r="BI87" s="270"/>
      <c r="BJ87" s="270"/>
      <c r="BK87" s="270"/>
      <c r="BL87" s="270"/>
      <c r="BM87" s="270"/>
      <c r="BN87" s="270"/>
      <c r="BO87" s="270"/>
      <c r="BP87" s="270"/>
      <c r="BQ87" s="270"/>
    </row>
    <row r="88" spans="1:69" ht="18.75" hidden="1" outlineLevel="1" thickBot="1" x14ac:dyDescent="0.25">
      <c r="A88" s="270"/>
      <c r="B88" s="270"/>
      <c r="C88" s="270"/>
      <c r="D88" s="270"/>
      <c r="E88" s="270"/>
      <c r="F88" s="270"/>
      <c r="G88" s="270"/>
      <c r="H88" s="270"/>
      <c r="I88" s="270"/>
      <c r="J88" s="270"/>
      <c r="K88" s="270"/>
      <c r="L88" s="270"/>
      <c r="M88" s="270"/>
      <c r="N88" s="270"/>
      <c r="O88" s="270"/>
      <c r="P88" s="270"/>
      <c r="Q88" s="270"/>
      <c r="R88" s="270"/>
      <c r="S88" s="270"/>
      <c r="T88" s="270"/>
      <c r="U88" s="632"/>
      <c r="V88" s="629"/>
      <c r="W88" s="647"/>
      <c r="X88" s="647"/>
      <c r="Y88" s="652" t="str">
        <f>N_Total_buts</f>
        <v>Total des buts</v>
      </c>
      <c r="Z88" s="649" t="str">
        <f>IF(OR(ISNUMBER(Z90),ISNUMBER(Z91),ISNUMBER(Z92),ISNUMBER(Z93)),SUM(Z90:Z93),"")</f>
        <v/>
      </c>
      <c r="AA88" s="650" t="s">
        <v>769</v>
      </c>
      <c r="AB88" s="651" t="str">
        <f>IF(OR(ISNUMBER(Z90),ISNUMBER(Z91),ISNUMBER(Z92),ISNUMBER(Z93)),SUM(AB90:AB93),"")</f>
        <v/>
      </c>
      <c r="AC88" s="653" t="str">
        <f>IF(Z94="","",CONCATENATE("(Diff : ",Z94," - ",AB94,")"))</f>
        <v/>
      </c>
      <c r="AD88" s="270"/>
      <c r="AE88" s="270"/>
      <c r="AF88" s="270"/>
      <c r="AG88" s="270"/>
      <c r="AH88" s="270"/>
      <c r="AI88" s="270"/>
      <c r="AJ88" s="270"/>
      <c r="AK88" s="270"/>
      <c r="AL88" s="270"/>
      <c r="AM88" s="610"/>
      <c r="AN88" s="270"/>
      <c r="AO88" s="270"/>
      <c r="AP88" s="270"/>
      <c r="AQ88" s="270"/>
      <c r="AR88" s="270"/>
      <c r="AS88" s="270"/>
      <c r="AT88" s="270"/>
      <c r="AU88" s="270"/>
      <c r="AV88" s="270"/>
      <c r="AW88" s="270"/>
      <c r="AX88" s="270"/>
      <c r="AY88" s="270"/>
      <c r="AZ88" s="270"/>
      <c r="BA88" s="270"/>
      <c r="BB88" s="270"/>
      <c r="BC88" s="270"/>
      <c r="BD88" s="270"/>
      <c r="BE88" s="270"/>
      <c r="BF88" s="270"/>
      <c r="BG88" s="270"/>
      <c r="BH88" s="270"/>
      <c r="BI88" s="270"/>
      <c r="BJ88" s="270"/>
      <c r="BK88" s="270"/>
      <c r="BL88" s="270"/>
      <c r="BM88" s="270"/>
      <c r="BN88" s="270"/>
      <c r="BO88" s="270"/>
      <c r="BP88" s="270"/>
      <c r="BQ88" s="270"/>
    </row>
    <row r="89" spans="1:69" ht="26.25" hidden="1" outlineLevel="1" collapsed="1" thickBot="1" x14ac:dyDescent="0.25">
      <c r="A89" s="270"/>
      <c r="B89" s="270"/>
      <c r="C89" s="270"/>
      <c r="D89" s="270"/>
      <c r="E89" s="270"/>
      <c r="F89" s="270"/>
      <c r="G89" s="270"/>
      <c r="H89" s="270"/>
      <c r="I89" s="270"/>
      <c r="J89" s="1334" t="str">
        <f>IF(Z89="","",IF(Z89=Y87,AC87,Y87))</f>
        <v/>
      </c>
      <c r="K89" s="270"/>
      <c r="L89" s="270"/>
      <c r="M89" s="270"/>
      <c r="N89" s="270"/>
      <c r="O89" s="270"/>
      <c r="P89" s="270"/>
      <c r="Q89" s="270"/>
      <c r="R89" s="270"/>
      <c r="S89" s="270"/>
      <c r="T89" s="270"/>
      <c r="U89" s="632"/>
      <c r="V89" s="629"/>
      <c r="W89" s="647"/>
      <c r="X89" s="647"/>
      <c r="Y89" s="654" t="str">
        <f>N_VAINQUEUR</f>
        <v>VAINQUEUR</v>
      </c>
      <c r="Z89" s="2406" t="str">
        <f>IF(AL86&lt;&gt;"OK",IF(HidePlayerFormulas,"","("&amp;Y87&amp;"-"&amp;AC87&amp;")"),IF(AE87="",IF(Z88&gt;AB88,Y87,IF(Z88&lt;AB88,AC87,mess_erreur_marque)),AE87))</f>
        <v/>
      </c>
      <c r="AA89" s="2407"/>
      <c r="AB89" s="2407"/>
      <c r="AC89" s="2408"/>
      <c r="AD89" s="270"/>
      <c r="AE89" s="270"/>
      <c r="AF89" s="270"/>
      <c r="AG89" s="270"/>
      <c r="AH89" s="270"/>
      <c r="AI89" s="270"/>
      <c r="AJ89" s="270"/>
      <c r="AK89" s="270"/>
      <c r="AL89" s="270"/>
      <c r="AM89" s="598"/>
      <c r="AN89" s="270"/>
      <c r="AO89" s="270"/>
      <c r="AP89" s="270"/>
      <c r="AQ89" s="270"/>
      <c r="AR89" s="270"/>
      <c r="AS89" s="270"/>
      <c r="AT89" s="270"/>
      <c r="AU89" s="270"/>
      <c r="AV89" s="270"/>
      <c r="AW89" s="270"/>
      <c r="AX89" s="270"/>
      <c r="AY89" s="270"/>
      <c r="AZ89" s="270"/>
      <c r="BA89" s="270"/>
      <c r="BB89" s="270"/>
      <c r="BC89" s="270"/>
      <c r="BD89" s="270"/>
      <c r="BE89" s="270"/>
      <c r="BF89" s="270"/>
      <c r="BG89" s="270"/>
      <c r="BH89" s="270"/>
      <c r="BI89" s="270"/>
      <c r="BJ89" s="270"/>
      <c r="BK89" s="270"/>
      <c r="BL89" s="270"/>
      <c r="BM89" s="270"/>
      <c r="BN89" s="270"/>
      <c r="BO89" s="270"/>
      <c r="BP89" s="270"/>
      <c r="BQ89" s="270"/>
    </row>
    <row r="90" spans="1:69" ht="26.25" hidden="1" outlineLevel="3" thickBot="1" x14ac:dyDescent="0.25">
      <c r="A90" s="270"/>
      <c r="B90" s="270"/>
      <c r="C90" s="270"/>
      <c r="D90" s="270"/>
      <c r="E90" s="270"/>
      <c r="F90" s="270"/>
      <c r="G90" s="270"/>
      <c r="H90" s="270"/>
      <c r="I90" s="270"/>
      <c r="J90" s="270"/>
      <c r="K90" s="270"/>
      <c r="L90" s="270"/>
      <c r="M90" s="270"/>
      <c r="N90" s="270"/>
      <c r="O90" s="270"/>
      <c r="P90" s="270"/>
      <c r="Q90" s="270"/>
      <c r="R90" s="270"/>
      <c r="S90" s="270"/>
      <c r="T90" s="270"/>
      <c r="U90" s="632"/>
      <c r="V90" s="636"/>
      <c r="W90" s="655"/>
      <c r="X90" s="656"/>
      <c r="Y90" s="657"/>
      <c r="Z90" s="484"/>
      <c r="AA90" s="485" t="s">
        <v>769</v>
      </c>
      <c r="AB90" s="484"/>
      <c r="AC90" s="930"/>
      <c r="AD90" s="637"/>
      <c r="AE90" s="270"/>
      <c r="AF90" s="270"/>
      <c r="AG90" s="270"/>
      <c r="AH90" s="270"/>
      <c r="AI90" s="270"/>
      <c r="AJ90" s="270"/>
      <c r="AK90" s="270"/>
      <c r="AL90" s="270"/>
      <c r="AM90" s="598"/>
      <c r="AN90" s="270"/>
      <c r="AO90" s="270"/>
      <c r="AP90" s="270"/>
      <c r="AQ90" s="270"/>
      <c r="AR90" s="270"/>
      <c r="AS90" s="270"/>
      <c r="AT90" s="270"/>
      <c r="AU90" s="270"/>
      <c r="AV90" s="270"/>
      <c r="AW90" s="270"/>
      <c r="AX90" s="270"/>
      <c r="AY90" s="270"/>
      <c r="AZ90" s="270"/>
      <c r="BA90" s="270"/>
      <c r="BB90" s="270"/>
      <c r="BC90" s="270"/>
      <c r="BD90" s="270"/>
      <c r="BE90" s="270"/>
      <c r="BF90" s="270"/>
      <c r="BG90" s="270"/>
      <c r="BH90" s="270"/>
      <c r="BI90" s="270"/>
      <c r="BJ90" s="270"/>
      <c r="BK90" s="270"/>
      <c r="BL90" s="270"/>
      <c r="BM90" s="270"/>
      <c r="BN90" s="270"/>
      <c r="BO90" s="270"/>
      <c r="BP90" s="270"/>
      <c r="BQ90" s="270"/>
    </row>
    <row r="91" spans="1:69" ht="26.25" hidden="1" outlineLevel="3" thickBot="1" x14ac:dyDescent="0.25">
      <c r="A91" s="270"/>
      <c r="B91" s="270"/>
      <c r="C91" s="270"/>
      <c r="D91" s="270"/>
      <c r="E91" s="270"/>
      <c r="F91" s="270"/>
      <c r="G91" s="270"/>
      <c r="H91" s="270"/>
      <c r="I91" s="270"/>
      <c r="J91" s="270"/>
      <c r="K91" s="270"/>
      <c r="L91" s="270"/>
      <c r="M91" s="270"/>
      <c r="N91" s="270"/>
      <c r="O91" s="270"/>
      <c r="P91" s="270"/>
      <c r="Q91" s="270"/>
      <c r="R91" s="270"/>
      <c r="S91" s="270"/>
      <c r="T91" s="270"/>
      <c r="U91" s="632"/>
      <c r="V91" s="638"/>
      <c r="W91" s="658"/>
      <c r="X91" s="659"/>
      <c r="Y91" s="627"/>
      <c r="Z91" s="492"/>
      <c r="AA91" s="493" t="s">
        <v>769</v>
      </c>
      <c r="AB91" s="492"/>
      <c r="AC91" s="931"/>
      <c r="AD91" s="639"/>
      <c r="AE91" s="270"/>
      <c r="AF91" s="270"/>
      <c r="AG91" s="270"/>
      <c r="AH91" s="270"/>
      <c r="AI91" s="270"/>
      <c r="AJ91" s="270"/>
      <c r="AK91" s="270"/>
      <c r="AL91" s="270"/>
      <c r="AM91" s="598"/>
      <c r="AN91" s="270"/>
      <c r="AO91" s="270"/>
      <c r="AP91" s="270"/>
      <c r="AQ91" s="270"/>
      <c r="AR91" s="270"/>
      <c r="AS91" s="270"/>
      <c r="AT91" s="270"/>
      <c r="AU91" s="270"/>
      <c r="AV91" s="270"/>
      <c r="AW91" s="270"/>
      <c r="AX91" s="270"/>
      <c r="AY91" s="270"/>
      <c r="AZ91" s="270"/>
      <c r="BA91" s="270"/>
      <c r="BB91" s="270"/>
      <c r="BC91" s="270"/>
      <c r="BD91" s="270"/>
      <c r="BE91" s="270"/>
      <c r="BF91" s="270"/>
      <c r="BG91" s="270"/>
      <c r="BH91" s="270"/>
      <c r="BI91" s="270"/>
      <c r="BJ91" s="270"/>
      <c r="BK91" s="270"/>
      <c r="BL91" s="270"/>
      <c r="BM91" s="270"/>
      <c r="BN91" s="270"/>
      <c r="BO91" s="270"/>
      <c r="BP91" s="270"/>
      <c r="BQ91" s="270"/>
    </row>
    <row r="92" spans="1:69" ht="26.25" hidden="1" outlineLevel="3" thickBot="1" x14ac:dyDescent="0.25">
      <c r="A92" s="270"/>
      <c r="B92" s="270"/>
      <c r="C92" s="270"/>
      <c r="D92" s="270"/>
      <c r="E92" s="270"/>
      <c r="F92" s="270"/>
      <c r="G92" s="270"/>
      <c r="H92" s="270"/>
      <c r="I92" s="270"/>
      <c r="J92" s="270"/>
      <c r="K92" s="270"/>
      <c r="L92" s="270"/>
      <c r="M92" s="270"/>
      <c r="N92" s="270"/>
      <c r="O92" s="270"/>
      <c r="P92" s="270"/>
      <c r="Q92" s="270"/>
      <c r="R92" s="270"/>
      <c r="S92" s="270"/>
      <c r="T92" s="270"/>
      <c r="U92" s="632"/>
      <c r="V92" s="638"/>
      <c r="W92" s="658"/>
      <c r="X92" s="659"/>
      <c r="Y92" s="627"/>
      <c r="Z92" s="492"/>
      <c r="AA92" s="493" t="s">
        <v>769</v>
      </c>
      <c r="AB92" s="492"/>
      <c r="AC92" s="931"/>
      <c r="AD92" s="640"/>
      <c r="AE92" s="270"/>
      <c r="AF92" s="270"/>
      <c r="AG92" s="270"/>
      <c r="AH92" s="270"/>
      <c r="AI92" s="270"/>
      <c r="AJ92" s="270"/>
      <c r="AK92" s="270"/>
      <c r="AL92" s="270"/>
      <c r="AM92" s="598"/>
      <c r="AN92" s="270"/>
      <c r="AO92" s="270"/>
      <c r="AP92" s="270"/>
      <c r="AQ92" s="270"/>
      <c r="AR92" s="270"/>
      <c r="AS92" s="270"/>
      <c r="AT92" s="270"/>
      <c r="AU92" s="270"/>
      <c r="AV92" s="270"/>
      <c r="AW92" s="270"/>
      <c r="AX92" s="270"/>
      <c r="AY92" s="270"/>
      <c r="AZ92" s="270"/>
      <c r="BA92" s="270"/>
      <c r="BB92" s="270"/>
      <c r="BC92" s="270"/>
      <c r="BD92" s="270"/>
      <c r="BE92" s="270"/>
      <c r="BF92" s="270"/>
      <c r="BG92" s="270"/>
      <c r="BH92" s="270"/>
      <c r="BI92" s="270"/>
      <c r="BJ92" s="270"/>
      <c r="BK92" s="270"/>
      <c r="BL92" s="270"/>
      <c r="BM92" s="270"/>
      <c r="BN92" s="270"/>
      <c r="BO92" s="270"/>
      <c r="BP92" s="270"/>
      <c r="BQ92" s="270"/>
    </row>
    <row r="93" spans="1:69" ht="26.25" hidden="1" outlineLevel="3" thickBot="1" x14ac:dyDescent="0.25">
      <c r="A93" s="270"/>
      <c r="B93" s="270"/>
      <c r="C93" s="270"/>
      <c r="D93" s="270"/>
      <c r="E93" s="270"/>
      <c r="F93" s="270"/>
      <c r="G93" s="270"/>
      <c r="H93" s="270"/>
      <c r="I93" s="270"/>
      <c r="J93" s="270"/>
      <c r="K93" s="270"/>
      <c r="L93" s="270"/>
      <c r="M93" s="270"/>
      <c r="N93" s="270"/>
      <c r="O93" s="270"/>
      <c r="P93" s="270"/>
      <c r="Q93" s="270"/>
      <c r="R93" s="270"/>
      <c r="S93" s="270"/>
      <c r="T93" s="270"/>
      <c r="U93" s="632"/>
      <c r="V93" s="641"/>
      <c r="W93" s="660"/>
      <c r="X93" s="661"/>
      <c r="Y93" s="631"/>
      <c r="Z93" s="496"/>
      <c r="AA93" s="497" t="s">
        <v>769</v>
      </c>
      <c r="AB93" s="496"/>
      <c r="AC93" s="932"/>
      <c r="AD93" s="642"/>
      <c r="AE93" s="270"/>
      <c r="AF93" s="270"/>
      <c r="AG93" s="270"/>
      <c r="AH93" s="270"/>
      <c r="AI93" s="270"/>
      <c r="AJ93" s="270"/>
      <c r="AK93" s="270"/>
      <c r="AL93" s="270"/>
      <c r="AM93" s="598"/>
      <c r="AN93" s="270"/>
      <c r="AO93" s="270"/>
      <c r="AP93" s="270"/>
      <c r="AQ93" s="270"/>
      <c r="AR93" s="270"/>
      <c r="AS93" s="270"/>
      <c r="AT93" s="270"/>
      <c r="AU93" s="270"/>
      <c r="AV93" s="270"/>
      <c r="AW93" s="270"/>
      <c r="AX93" s="270"/>
      <c r="AY93" s="270"/>
      <c r="AZ93" s="270"/>
      <c r="BA93" s="270"/>
      <c r="BB93" s="270"/>
      <c r="BC93" s="270"/>
      <c r="BD93" s="270"/>
      <c r="BE93" s="270"/>
      <c r="BF93" s="270"/>
      <c r="BG93" s="270"/>
      <c r="BH93" s="270"/>
      <c r="BI93" s="270"/>
      <c r="BJ93" s="270"/>
      <c r="BK93" s="270"/>
      <c r="BL93" s="270"/>
      <c r="BM93" s="270"/>
      <c r="BN93" s="270"/>
      <c r="BO93" s="270"/>
      <c r="BP93" s="270"/>
      <c r="BQ93" s="270"/>
    </row>
    <row r="94" spans="1:69" ht="26.25" hidden="1" outlineLevel="3" thickBot="1" x14ac:dyDescent="0.25">
      <c r="A94" s="270"/>
      <c r="B94" s="270"/>
      <c r="C94" s="270"/>
      <c r="D94" s="270"/>
      <c r="E94" s="270"/>
      <c r="F94" s="270"/>
      <c r="G94" s="270"/>
      <c r="H94" s="270"/>
      <c r="I94" s="270"/>
      <c r="J94" s="270"/>
      <c r="K94" s="270"/>
      <c r="L94" s="270"/>
      <c r="M94" s="270"/>
      <c r="N94" s="270"/>
      <c r="O94" s="270"/>
      <c r="P94" s="270"/>
      <c r="Q94" s="270"/>
      <c r="R94" s="270"/>
      <c r="S94" s="270"/>
      <c r="T94" s="270"/>
      <c r="U94" s="632"/>
      <c r="V94" s="643"/>
      <c r="W94" s="644" t="str">
        <f>N_Différentiel</f>
        <v>Différentiel</v>
      </c>
      <c r="X94" s="662"/>
      <c r="Y94" s="663"/>
      <c r="Z94" s="488"/>
      <c r="AA94" s="489" t="s">
        <v>769</v>
      </c>
      <c r="AB94" s="488"/>
      <c r="AC94" s="933"/>
      <c r="AD94" s="270"/>
      <c r="AE94" s="270"/>
      <c r="AF94" s="270"/>
      <c r="AG94" s="270"/>
      <c r="AH94" s="270"/>
      <c r="AI94" s="270"/>
      <c r="AJ94" s="270"/>
      <c r="AK94" s="270"/>
      <c r="AL94" s="270"/>
      <c r="AM94" s="598"/>
      <c r="AN94" s="270"/>
      <c r="AO94" s="270"/>
      <c r="AP94" s="270"/>
      <c r="AQ94" s="270"/>
      <c r="AR94" s="270"/>
      <c r="AS94" s="270"/>
      <c r="AT94" s="270"/>
      <c r="AU94" s="270"/>
      <c r="AV94" s="270"/>
      <c r="AW94" s="270"/>
      <c r="AX94" s="270"/>
      <c r="AY94" s="270"/>
      <c r="AZ94" s="270"/>
      <c r="BA94" s="270"/>
      <c r="BB94" s="270"/>
      <c r="BC94" s="270"/>
      <c r="BD94" s="270"/>
      <c r="BE94" s="270"/>
      <c r="BF94" s="270"/>
      <c r="BG94" s="270"/>
      <c r="BH94" s="270"/>
      <c r="BI94" s="270"/>
      <c r="BJ94" s="270"/>
      <c r="BK94" s="270"/>
      <c r="BL94" s="270"/>
      <c r="BM94" s="270"/>
      <c r="BN94" s="270"/>
      <c r="BO94" s="270"/>
      <c r="BP94" s="270"/>
      <c r="BQ94" s="270"/>
    </row>
    <row r="95" spans="1:69" ht="26.25" hidden="1" outlineLevel="3" thickBot="1" x14ac:dyDescent="0.25">
      <c r="A95" s="270"/>
      <c r="B95" s="270"/>
      <c r="C95" s="270"/>
      <c r="D95" s="270"/>
      <c r="E95" s="270"/>
      <c r="F95" s="270"/>
      <c r="G95" s="270"/>
      <c r="H95" s="270"/>
      <c r="I95" s="270"/>
      <c r="J95" s="270"/>
      <c r="K95" s="270"/>
      <c r="L95" s="270"/>
      <c r="M95" s="270"/>
      <c r="N95" s="270"/>
      <c r="O95" s="270"/>
      <c r="P95" s="270"/>
      <c r="Q95" s="270"/>
      <c r="R95" s="270"/>
      <c r="S95" s="270"/>
      <c r="T95" s="270"/>
      <c r="U95" s="632"/>
      <c r="V95" s="643"/>
      <c r="W95" s="664"/>
      <c r="X95" s="665" t="str">
        <f>N_Substitute</f>
        <v>Remplaçant</v>
      </c>
      <c r="Y95" s="657"/>
      <c r="Z95" s="480"/>
      <c r="AA95" s="666"/>
      <c r="AB95" s="480"/>
      <c r="AC95" s="934"/>
      <c r="AD95" s="270"/>
      <c r="AE95" s="270"/>
      <c r="AF95" s="270"/>
      <c r="AG95" s="270"/>
      <c r="AH95" s="270"/>
      <c r="AI95" s="270"/>
      <c r="AJ95" s="270"/>
      <c r="AK95" s="270"/>
      <c r="AL95" s="270"/>
      <c r="AM95" s="598"/>
      <c r="AN95" s="270"/>
      <c r="AO95" s="270"/>
      <c r="AP95" s="270"/>
      <c r="AQ95" s="270"/>
      <c r="AR95" s="270"/>
      <c r="AS95" s="270"/>
      <c r="AT95" s="270"/>
      <c r="AU95" s="270"/>
      <c r="AV95" s="270"/>
      <c r="AW95" s="270"/>
      <c r="AX95" s="270"/>
      <c r="AY95" s="270"/>
      <c r="AZ95" s="270"/>
      <c r="BA95" s="270"/>
      <c r="BB95" s="270"/>
      <c r="BC95" s="270"/>
      <c r="BD95" s="270"/>
      <c r="BE95" s="270"/>
      <c r="BF95" s="270"/>
      <c r="BG95" s="270"/>
      <c r="BH95" s="270"/>
      <c r="BI95" s="270"/>
      <c r="BJ95" s="270"/>
      <c r="BK95" s="270"/>
      <c r="BL95" s="270"/>
      <c r="BM95" s="270"/>
      <c r="BN95" s="270"/>
      <c r="BO95" s="270"/>
      <c r="BP95" s="270"/>
      <c r="BQ95" s="270"/>
    </row>
    <row r="96" spans="1:69" ht="26.25" hidden="1" outlineLevel="3" thickBot="1" x14ac:dyDescent="0.25">
      <c r="A96" s="270"/>
      <c r="B96" s="270"/>
      <c r="C96" s="270"/>
      <c r="D96" s="270"/>
      <c r="E96" s="270"/>
      <c r="F96" s="270"/>
      <c r="G96" s="270"/>
      <c r="H96" s="270"/>
      <c r="I96" s="270"/>
      <c r="J96" s="270"/>
      <c r="K96" s="270"/>
      <c r="L96" s="270"/>
      <c r="M96" s="270"/>
      <c r="N96" s="270"/>
      <c r="O96" s="270"/>
      <c r="P96" s="270"/>
      <c r="Q96" s="270"/>
      <c r="R96" s="270"/>
      <c r="S96" s="270"/>
      <c r="T96" s="270"/>
      <c r="U96" s="632"/>
      <c r="V96" s="643"/>
      <c r="W96" s="664"/>
      <c r="X96" s="667" t="str">
        <f>N_Substitute</f>
        <v>Remplaçant</v>
      </c>
      <c r="Y96" s="663"/>
      <c r="Z96" s="488"/>
      <c r="AA96" s="668"/>
      <c r="AB96" s="488"/>
      <c r="AC96" s="933"/>
      <c r="AD96" s="270"/>
      <c r="AE96" s="270"/>
      <c r="AF96" s="270"/>
      <c r="AG96" s="270"/>
      <c r="AH96" s="270"/>
      <c r="AI96" s="270"/>
      <c r="AJ96" s="270"/>
      <c r="AK96" s="270"/>
      <c r="AL96" s="270"/>
      <c r="AM96" s="598"/>
      <c r="AN96" s="270"/>
      <c r="AO96" s="270"/>
      <c r="AP96" s="270"/>
      <c r="AQ96" s="270"/>
      <c r="AR96" s="270"/>
      <c r="AS96" s="270"/>
      <c r="AT96" s="270"/>
      <c r="AU96" s="270"/>
      <c r="AV96" s="270"/>
      <c r="AW96" s="270"/>
      <c r="AX96" s="270"/>
      <c r="AY96" s="270"/>
      <c r="AZ96" s="270"/>
      <c r="BA96" s="270"/>
      <c r="BB96" s="270"/>
      <c r="BC96" s="270"/>
      <c r="BD96" s="270"/>
      <c r="BE96" s="270"/>
      <c r="BF96" s="270"/>
      <c r="BG96" s="270"/>
      <c r="BH96" s="270"/>
      <c r="BI96" s="270"/>
      <c r="BJ96" s="270"/>
      <c r="BK96" s="270"/>
      <c r="BL96" s="270"/>
      <c r="BM96" s="270"/>
      <c r="BN96" s="270"/>
      <c r="BO96" s="270"/>
      <c r="BP96" s="270"/>
      <c r="BQ96" s="270"/>
    </row>
    <row r="97" spans="1:69" ht="13.5" hidden="1" outlineLevel="1" thickBot="1" x14ac:dyDescent="0.25">
      <c r="A97" s="270"/>
      <c r="B97" s="270"/>
      <c r="C97" s="270"/>
      <c r="D97" s="270"/>
      <c r="E97" s="270"/>
      <c r="F97" s="270"/>
      <c r="G97" s="270"/>
      <c r="H97" s="270"/>
      <c r="I97" s="270"/>
      <c r="J97" s="270"/>
      <c r="K97" s="270"/>
      <c r="L97" s="270"/>
      <c r="M97" s="270"/>
      <c r="N97" s="270"/>
      <c r="O97" s="270"/>
      <c r="P97" s="270"/>
      <c r="Q97" s="270"/>
      <c r="R97" s="270"/>
      <c r="S97" s="270"/>
      <c r="T97" s="270"/>
      <c r="U97" s="632"/>
      <c r="V97" s="270"/>
      <c r="W97" s="270"/>
      <c r="X97" s="270"/>
      <c r="Y97" s="270"/>
      <c r="Z97" s="270"/>
      <c r="AA97" s="270"/>
      <c r="AB97" s="270"/>
      <c r="AC97" s="270"/>
      <c r="AD97" s="270"/>
      <c r="AE97" s="270"/>
      <c r="AF97" s="270"/>
      <c r="AG97" s="270"/>
      <c r="AH97" s="270"/>
      <c r="AI97" s="270"/>
      <c r="AJ97" s="270"/>
      <c r="AK97" s="270"/>
      <c r="AL97" s="270"/>
      <c r="AM97" s="270"/>
      <c r="AN97" s="270"/>
      <c r="AO97" s="270"/>
      <c r="AP97" s="270"/>
      <c r="AQ97" s="270"/>
      <c r="AR97" s="270"/>
      <c r="AS97" s="270"/>
      <c r="AT97" s="270"/>
      <c r="AU97" s="270"/>
      <c r="AV97" s="270"/>
      <c r="AW97" s="270"/>
      <c r="AX97" s="270"/>
      <c r="AY97" s="270"/>
      <c r="AZ97" s="270"/>
      <c r="BA97" s="270"/>
      <c r="BB97" s="270"/>
      <c r="BC97" s="270"/>
      <c r="BD97" s="270"/>
      <c r="BE97" s="270"/>
      <c r="BF97" s="270"/>
      <c r="BG97" s="270"/>
      <c r="BH97" s="270"/>
      <c r="BI97" s="270"/>
      <c r="BJ97" s="270"/>
      <c r="BK97" s="270"/>
      <c r="BL97" s="270"/>
      <c r="BM97" s="270"/>
      <c r="BN97" s="270"/>
      <c r="BO97" s="270"/>
      <c r="BP97" s="270"/>
      <c r="BQ97" s="270"/>
    </row>
    <row r="98" spans="1:69" ht="13.5" hidden="1" outlineLevel="1" thickBot="1" x14ac:dyDescent="0.25">
      <c r="A98" s="270"/>
      <c r="B98" s="270"/>
      <c r="C98" s="270"/>
      <c r="D98" s="270"/>
      <c r="E98" s="270"/>
      <c r="F98" s="270"/>
      <c r="G98" s="270"/>
      <c r="H98" s="270"/>
      <c r="I98" s="270"/>
      <c r="J98" s="270"/>
      <c r="K98" s="270"/>
      <c r="L98" s="270"/>
      <c r="M98" s="270"/>
      <c r="N98" s="270"/>
      <c r="O98" s="270"/>
      <c r="P98" s="270"/>
      <c r="Q98" s="270"/>
      <c r="R98" s="270"/>
      <c r="S98" s="270"/>
      <c r="T98" s="270"/>
      <c r="U98" s="633"/>
      <c r="V98" s="630" t="str">
        <f>N_Heure</f>
        <v>Heure</v>
      </c>
      <c r="W98" s="630" t="str">
        <f>N_Table</f>
        <v>Table</v>
      </c>
      <c r="X98" s="630" t="str">
        <f>N_Arbitre</f>
        <v>Arbitre</v>
      </c>
      <c r="Y98" s="2403" t="str">
        <f>N_Scores</f>
        <v>Scores</v>
      </c>
      <c r="Z98" s="2404"/>
      <c r="AA98" s="2404"/>
      <c r="AB98" s="2404"/>
      <c r="AC98" s="2405"/>
      <c r="AD98" s="634" t="str">
        <f>N_MS</f>
        <v>MS</v>
      </c>
      <c r="AE98" s="270"/>
      <c r="AF98" s="270"/>
      <c r="AG98" s="270"/>
      <c r="AH98" s="270"/>
      <c r="AI98" s="270"/>
      <c r="AJ98" s="270"/>
      <c r="AK98" s="270"/>
      <c r="AL98" s="270" t="str">
        <f>IF(COUNTA(Z102:Z105)&gt;3,"OK","")</f>
        <v/>
      </c>
      <c r="AM98" s="270"/>
      <c r="AN98" s="270"/>
      <c r="AO98" s="270"/>
      <c r="AP98" s="270"/>
      <c r="AQ98" s="270"/>
      <c r="AR98" s="270"/>
      <c r="AS98" s="270"/>
      <c r="AT98" s="270"/>
      <c r="AU98" s="270"/>
      <c r="AV98" s="270"/>
      <c r="AW98" s="270"/>
      <c r="AX98" s="270"/>
      <c r="AY98" s="270"/>
      <c r="AZ98" s="270"/>
      <c r="BA98" s="270"/>
      <c r="BB98" s="270"/>
      <c r="BC98" s="270"/>
      <c r="BD98" s="270"/>
      <c r="BE98" s="270"/>
      <c r="BF98" s="270"/>
      <c r="BG98" s="270"/>
      <c r="BH98" s="270"/>
      <c r="BI98" s="270"/>
      <c r="BJ98" s="270"/>
      <c r="BK98" s="270"/>
      <c r="BL98" s="270"/>
      <c r="BM98" s="270"/>
      <c r="BN98" s="270"/>
      <c r="BO98" s="270"/>
      <c r="BP98" s="270"/>
      <c r="BQ98" s="270"/>
    </row>
    <row r="99" spans="1:69" ht="26.25" hidden="1" outlineLevel="1" thickBot="1" x14ac:dyDescent="0.25">
      <c r="A99" s="270"/>
      <c r="B99" s="270"/>
      <c r="C99" s="270"/>
      <c r="D99" s="270"/>
      <c r="E99" s="270"/>
      <c r="F99" s="270"/>
      <c r="G99" s="270"/>
      <c r="H99" s="270"/>
      <c r="I99" s="270"/>
      <c r="J99" s="270"/>
      <c r="K99" s="270"/>
      <c r="L99" s="270"/>
      <c r="M99" s="270"/>
      <c r="N99" s="270"/>
      <c r="O99" s="270"/>
      <c r="P99" s="270"/>
      <c r="Q99" s="270"/>
      <c r="R99" s="270"/>
      <c r="S99" s="270"/>
      <c r="T99" s="270"/>
      <c r="U99" s="635" t="s">
        <v>1722</v>
      </c>
      <c r="V99" s="1536"/>
      <c r="W99" s="1537"/>
      <c r="X99" s="1537"/>
      <c r="Y99" s="672"/>
      <c r="Z99" s="649" t="str">
        <f>IF(OR(ISNUMBER(Z102),ISNUMBER(Z103),ISNUMBER(Z104),ISNUMBER(Z105)),Lire_Gain_Matches(Z102:Z105, AB102:AB105),"")</f>
        <v/>
      </c>
      <c r="AA99" s="650" t="s">
        <v>769</v>
      </c>
      <c r="AB99" s="651" t="str">
        <f>IF(OR(ISNUMBER(Z102),ISNUMBER(Z103),ISNUMBER(Z104),ISNUMBER(Z105)),Lire_Gain_Matches(AB102:AB105, Z102:Z105),"")</f>
        <v/>
      </c>
      <c r="AC99" s="672"/>
      <c r="AD99" s="231" t="str">
        <f>IF(ISNA(VLOOKUP("X",AD102:AD105,1,FALSE)),"","X")</f>
        <v/>
      </c>
      <c r="AE99" s="270" t="str">
        <f>IF(Z99="","",IF(Z99&gt;AB99,Y99,IF(Z99=AB99,IF(AL99=Y99,AC99,IF(AL99=AC99,Y99,"")),AC99)))</f>
        <v/>
      </c>
      <c r="AF99" s="270" t="str">
        <f>IF(Z99="","",IF(Z99=AB99,IF(AL99=Y99,"",IF(AL99=AC99,"",Y99)),""))</f>
        <v/>
      </c>
      <c r="AG99" s="270" t="str">
        <f>IF(Z99="","",IF(Z99=AB99,IF(AL99=Y99,"",IF(AL99=AC99,"",AC99)),""))</f>
        <v/>
      </c>
      <c r="AH99" s="270" t="str">
        <f>IF(Z99="","",IF(Z99&lt;AB99,Y99,IF(Z99=AB99,IF(AL99=Y99,Y99,IF(AL99=AC99,AC99,"")),AC99)))</f>
        <v/>
      </c>
      <c r="AI99" s="270"/>
      <c r="AJ99" s="270"/>
      <c r="AK99" s="270"/>
      <c r="AL99" s="270" t="str">
        <f>IF(COUNTIF(Y102:Y105,WithdrawLabel)&gt;COUNTIF(AC102:AC105,WithdrawLabel),Y99,IF(COUNTIF(AC102:AC105,WithdrawLabel)&gt;COUNTIF(Y102:Y105,WithdrawLabel),AC99,""))</f>
        <v/>
      </c>
      <c r="AM99" s="598"/>
      <c r="AN99" s="270"/>
      <c r="AO99" s="270"/>
      <c r="AP99" s="270"/>
      <c r="AQ99" s="270"/>
      <c r="AR99" s="270"/>
      <c r="AS99" s="270"/>
      <c r="AT99" s="270"/>
      <c r="AU99" s="270"/>
      <c r="AV99" s="270"/>
      <c r="AW99" s="270"/>
      <c r="AX99" s="270"/>
      <c r="AY99" s="270"/>
      <c r="AZ99" s="270"/>
      <c r="BA99" s="270"/>
      <c r="BB99" s="270"/>
      <c r="BC99" s="270"/>
      <c r="BD99" s="270"/>
      <c r="BE99" s="270"/>
      <c r="BF99" s="270"/>
      <c r="BG99" s="270"/>
      <c r="BH99" s="270"/>
      <c r="BI99" s="270"/>
      <c r="BJ99" s="270"/>
      <c r="BK99" s="270"/>
      <c r="BL99" s="270"/>
      <c r="BM99" s="270"/>
      <c r="BN99" s="270"/>
      <c r="BO99" s="270"/>
      <c r="BP99" s="270"/>
      <c r="BQ99" s="270"/>
    </row>
    <row r="100" spans="1:69" ht="18.75" hidden="1" outlineLevel="1" thickBot="1" x14ac:dyDescent="0.25">
      <c r="A100" s="270"/>
      <c r="B100" s="270"/>
      <c r="C100" s="270"/>
      <c r="D100" s="270"/>
      <c r="E100" s="270"/>
      <c r="F100" s="270"/>
      <c r="G100" s="270"/>
      <c r="H100" s="270"/>
      <c r="I100" s="270"/>
      <c r="J100" s="270"/>
      <c r="K100" s="270"/>
      <c r="L100" s="270"/>
      <c r="M100" s="270"/>
      <c r="N100" s="270"/>
      <c r="O100" s="270"/>
      <c r="P100" s="270"/>
      <c r="Q100" s="270"/>
      <c r="R100" s="270"/>
      <c r="S100" s="270"/>
      <c r="T100" s="270"/>
      <c r="U100" s="632"/>
      <c r="V100" s="629"/>
      <c r="W100" s="647"/>
      <c r="X100" s="647"/>
      <c r="Y100" s="652" t="str">
        <f>N_Total_buts</f>
        <v>Total des buts</v>
      </c>
      <c r="Z100" s="649" t="str">
        <f>IF(OR(ISNUMBER(Z102),ISNUMBER(Z103),ISNUMBER(Z104),ISNUMBER(Z105)),SUM(Z102:Z105),"")</f>
        <v/>
      </c>
      <c r="AA100" s="650" t="s">
        <v>769</v>
      </c>
      <c r="AB100" s="651" t="str">
        <f>IF(OR(ISNUMBER(Z102),ISNUMBER(Z103),ISNUMBER(Z104),ISNUMBER(Z105)),SUM(AB102:AB105),"")</f>
        <v/>
      </c>
      <c r="AC100" s="653" t="str">
        <f>IF(Z106="","",CONCATENATE("(Diff : ",Z106," - ",AB106,")"))</f>
        <v/>
      </c>
      <c r="AD100" s="270"/>
      <c r="AE100" s="270"/>
      <c r="AF100" s="270"/>
      <c r="AG100" s="270"/>
      <c r="AH100" s="270"/>
      <c r="AI100" s="270"/>
      <c r="AJ100" s="270"/>
      <c r="AK100" s="270"/>
      <c r="AL100" s="270"/>
      <c r="AM100" s="610"/>
      <c r="AN100" s="270"/>
      <c r="AO100" s="270"/>
      <c r="AP100" s="270"/>
      <c r="AQ100" s="270"/>
      <c r="AR100" s="270"/>
      <c r="AS100" s="270"/>
      <c r="AT100" s="270"/>
      <c r="AU100" s="270"/>
      <c r="AV100" s="270"/>
      <c r="AW100" s="270"/>
      <c r="AX100" s="270"/>
      <c r="AY100" s="270"/>
      <c r="AZ100" s="270"/>
      <c r="BA100" s="270"/>
      <c r="BB100" s="270"/>
      <c r="BC100" s="270"/>
      <c r="BD100" s="270"/>
      <c r="BE100" s="270"/>
      <c r="BF100" s="270"/>
      <c r="BG100" s="270"/>
      <c r="BH100" s="270"/>
      <c r="BI100" s="270"/>
      <c r="BJ100" s="270"/>
      <c r="BK100" s="270"/>
      <c r="BL100" s="270"/>
      <c r="BM100" s="270"/>
      <c r="BN100" s="270"/>
      <c r="BO100" s="270"/>
      <c r="BP100" s="270"/>
      <c r="BQ100" s="270"/>
    </row>
    <row r="101" spans="1:69" ht="26.25" hidden="1" outlineLevel="1" collapsed="1" thickBot="1" x14ac:dyDescent="0.25">
      <c r="A101" s="270"/>
      <c r="B101" s="270"/>
      <c r="C101" s="270"/>
      <c r="D101" s="270"/>
      <c r="E101" s="270"/>
      <c r="F101" s="270"/>
      <c r="G101" s="270"/>
      <c r="H101" s="270"/>
      <c r="I101" s="270"/>
      <c r="J101" s="1334" t="str">
        <f>IF(Z101="","",IF(Z101=Y99,AC99,Y99))</f>
        <v/>
      </c>
      <c r="K101" s="270"/>
      <c r="L101" s="270"/>
      <c r="M101" s="270"/>
      <c r="N101" s="270"/>
      <c r="O101" s="270"/>
      <c r="P101" s="270"/>
      <c r="Q101" s="270"/>
      <c r="R101" s="270"/>
      <c r="S101" s="270"/>
      <c r="T101" s="270"/>
      <c r="U101" s="632"/>
      <c r="V101" s="629"/>
      <c r="W101" s="647"/>
      <c r="X101" s="647"/>
      <c r="Y101" s="654" t="str">
        <f>N_VAINQUEUR</f>
        <v>VAINQUEUR</v>
      </c>
      <c r="Z101" s="2406" t="str">
        <f>IF(AL98&lt;&gt;"OK",IF(HidePlayerFormulas,"","("&amp;Y99&amp;"-"&amp;AC99&amp;")"),IF(AE99="",IF(Z100&gt;AB100,Y99,IF(Z100&lt;AB100,AC99,mess_erreur_marque)),AE99))</f>
        <v/>
      </c>
      <c r="AA101" s="2407"/>
      <c r="AB101" s="2407"/>
      <c r="AC101" s="2408"/>
      <c r="AD101" s="270"/>
      <c r="AE101" s="270"/>
      <c r="AF101" s="270"/>
      <c r="AG101" s="270"/>
      <c r="AH101" s="270"/>
      <c r="AI101" s="270"/>
      <c r="AJ101" s="270"/>
      <c r="AK101" s="270"/>
      <c r="AL101" s="270"/>
      <c r="AM101" s="598"/>
      <c r="AN101" s="270"/>
      <c r="AO101" s="270"/>
      <c r="AP101" s="270"/>
      <c r="AQ101" s="270"/>
      <c r="AR101" s="270"/>
      <c r="AS101" s="270"/>
      <c r="AT101" s="270"/>
      <c r="AU101" s="270"/>
      <c r="AV101" s="270"/>
      <c r="AW101" s="270"/>
      <c r="AX101" s="270"/>
      <c r="AY101" s="270"/>
      <c r="AZ101" s="270"/>
      <c r="BA101" s="270"/>
      <c r="BB101" s="270"/>
      <c r="BC101" s="270"/>
      <c r="BD101" s="270"/>
      <c r="BE101" s="270"/>
      <c r="BF101" s="270"/>
      <c r="BG101" s="270"/>
      <c r="BH101" s="270"/>
      <c r="BI101" s="270"/>
      <c r="BJ101" s="270"/>
      <c r="BK101" s="270"/>
      <c r="BL101" s="270"/>
      <c r="BM101" s="270"/>
      <c r="BN101" s="270"/>
      <c r="BO101" s="270"/>
      <c r="BP101" s="270"/>
      <c r="BQ101" s="270"/>
    </row>
    <row r="102" spans="1:69" ht="26.25" hidden="1" outlineLevel="3" thickBot="1" x14ac:dyDescent="0.25">
      <c r="A102" s="270"/>
      <c r="B102" s="270"/>
      <c r="C102" s="270"/>
      <c r="D102" s="270"/>
      <c r="E102" s="270"/>
      <c r="F102" s="270"/>
      <c r="G102" s="270"/>
      <c r="H102" s="270"/>
      <c r="I102" s="270"/>
      <c r="J102" s="270"/>
      <c r="K102" s="270"/>
      <c r="L102" s="270"/>
      <c r="M102" s="270"/>
      <c r="N102" s="270"/>
      <c r="O102" s="270"/>
      <c r="P102" s="270"/>
      <c r="Q102" s="270"/>
      <c r="R102" s="270"/>
      <c r="S102" s="270"/>
      <c r="T102" s="270"/>
      <c r="U102" s="632"/>
      <c r="V102" s="636"/>
      <c r="W102" s="655"/>
      <c r="X102" s="656"/>
      <c r="Y102" s="657"/>
      <c r="Z102" s="484"/>
      <c r="AA102" s="485" t="s">
        <v>769</v>
      </c>
      <c r="AB102" s="484"/>
      <c r="AC102" s="930"/>
      <c r="AD102" s="637"/>
      <c r="AE102" s="270"/>
      <c r="AF102" s="270"/>
      <c r="AG102" s="270"/>
      <c r="AH102" s="270"/>
      <c r="AI102" s="270"/>
      <c r="AJ102" s="270"/>
      <c r="AK102" s="270"/>
      <c r="AL102" s="270"/>
      <c r="AM102" s="598"/>
      <c r="AN102" s="270"/>
      <c r="AO102" s="270"/>
      <c r="AP102" s="270"/>
      <c r="AQ102" s="270"/>
      <c r="AR102" s="270"/>
      <c r="AS102" s="270"/>
      <c r="AT102" s="270"/>
      <c r="AU102" s="270"/>
      <c r="AV102" s="270"/>
      <c r="AW102" s="270"/>
      <c r="AX102" s="270"/>
      <c r="AY102" s="270"/>
      <c r="AZ102" s="270"/>
      <c r="BA102" s="270"/>
      <c r="BB102" s="270"/>
      <c r="BC102" s="270"/>
      <c r="BD102" s="270"/>
      <c r="BE102" s="270"/>
      <c r="BF102" s="270"/>
      <c r="BG102" s="270"/>
      <c r="BH102" s="270"/>
      <c r="BI102" s="270"/>
      <c r="BJ102" s="270"/>
      <c r="BK102" s="270"/>
      <c r="BL102" s="270"/>
      <c r="BM102" s="270"/>
      <c r="BN102" s="270"/>
      <c r="BO102" s="270"/>
      <c r="BP102" s="270"/>
      <c r="BQ102" s="270"/>
    </row>
    <row r="103" spans="1:69" ht="26.25" hidden="1" outlineLevel="3" thickBot="1" x14ac:dyDescent="0.25">
      <c r="A103" s="270"/>
      <c r="B103" s="270"/>
      <c r="C103" s="270"/>
      <c r="D103" s="270"/>
      <c r="E103" s="270"/>
      <c r="F103" s="270"/>
      <c r="G103" s="270"/>
      <c r="H103" s="270"/>
      <c r="I103" s="270"/>
      <c r="J103" s="270"/>
      <c r="K103" s="270"/>
      <c r="L103" s="270"/>
      <c r="M103" s="270"/>
      <c r="N103" s="270"/>
      <c r="O103" s="270"/>
      <c r="P103" s="270"/>
      <c r="Q103" s="270"/>
      <c r="R103" s="270"/>
      <c r="S103" s="270"/>
      <c r="T103" s="270"/>
      <c r="U103" s="632"/>
      <c r="V103" s="638"/>
      <c r="W103" s="658"/>
      <c r="X103" s="659"/>
      <c r="Y103" s="627"/>
      <c r="Z103" s="492"/>
      <c r="AA103" s="493" t="s">
        <v>769</v>
      </c>
      <c r="AB103" s="492"/>
      <c r="AC103" s="931"/>
      <c r="AD103" s="639"/>
      <c r="AE103" s="270"/>
      <c r="AF103" s="270"/>
      <c r="AG103" s="270"/>
      <c r="AH103" s="270"/>
      <c r="AI103" s="270"/>
      <c r="AJ103" s="270"/>
      <c r="AK103" s="270"/>
      <c r="AL103" s="270"/>
      <c r="AM103" s="598"/>
      <c r="AN103" s="270"/>
      <c r="AO103" s="270"/>
      <c r="AP103" s="270"/>
      <c r="AQ103" s="270"/>
      <c r="AR103" s="270"/>
      <c r="AS103" s="270"/>
      <c r="AT103" s="270"/>
      <c r="AU103" s="270"/>
      <c r="AV103" s="270"/>
      <c r="AW103" s="270"/>
      <c r="AX103" s="270"/>
      <c r="AY103" s="270"/>
      <c r="AZ103" s="270"/>
      <c r="BA103" s="270"/>
      <c r="BB103" s="270"/>
      <c r="BC103" s="270"/>
      <c r="BD103" s="270"/>
      <c r="BE103" s="270"/>
      <c r="BF103" s="270"/>
      <c r="BG103" s="270"/>
      <c r="BH103" s="270"/>
      <c r="BI103" s="270"/>
      <c r="BJ103" s="270"/>
      <c r="BK103" s="270"/>
      <c r="BL103" s="270"/>
      <c r="BM103" s="270"/>
      <c r="BN103" s="270"/>
      <c r="BO103" s="270"/>
      <c r="BP103" s="270"/>
      <c r="BQ103" s="270"/>
    </row>
    <row r="104" spans="1:69" ht="26.25" hidden="1" outlineLevel="3" thickBot="1" x14ac:dyDescent="0.25">
      <c r="A104" s="270"/>
      <c r="B104" s="270"/>
      <c r="C104" s="270"/>
      <c r="D104" s="270"/>
      <c r="E104" s="270"/>
      <c r="F104" s="270"/>
      <c r="G104" s="270"/>
      <c r="H104" s="270"/>
      <c r="I104" s="270"/>
      <c r="J104" s="270"/>
      <c r="K104" s="270"/>
      <c r="L104" s="270"/>
      <c r="M104" s="270"/>
      <c r="N104" s="270"/>
      <c r="O104" s="270"/>
      <c r="P104" s="270"/>
      <c r="Q104" s="270"/>
      <c r="R104" s="270"/>
      <c r="S104" s="270"/>
      <c r="T104" s="270"/>
      <c r="U104" s="632"/>
      <c r="V104" s="638"/>
      <c r="W104" s="658"/>
      <c r="X104" s="659"/>
      <c r="Y104" s="627"/>
      <c r="Z104" s="492"/>
      <c r="AA104" s="493" t="s">
        <v>769</v>
      </c>
      <c r="AB104" s="492"/>
      <c r="AC104" s="931"/>
      <c r="AD104" s="640"/>
      <c r="AE104" s="270"/>
      <c r="AF104" s="270"/>
      <c r="AG104" s="270"/>
      <c r="AH104" s="270"/>
      <c r="AI104" s="270"/>
      <c r="AJ104" s="270"/>
      <c r="AK104" s="270"/>
      <c r="AL104" s="270"/>
      <c r="AM104" s="598"/>
      <c r="AN104" s="270"/>
      <c r="AO104" s="270"/>
      <c r="AP104" s="270"/>
      <c r="AQ104" s="270"/>
      <c r="AR104" s="270"/>
      <c r="AS104" s="270"/>
      <c r="AT104" s="270"/>
      <c r="AU104" s="270"/>
      <c r="AV104" s="270"/>
      <c r="AW104" s="270"/>
      <c r="AX104" s="270"/>
      <c r="AY104" s="270"/>
      <c r="AZ104" s="270"/>
      <c r="BA104" s="270"/>
      <c r="BB104" s="270"/>
      <c r="BC104" s="270"/>
      <c r="BD104" s="270"/>
      <c r="BE104" s="270"/>
      <c r="BF104" s="270"/>
      <c r="BG104" s="270"/>
      <c r="BH104" s="270"/>
      <c r="BI104" s="270"/>
      <c r="BJ104" s="270"/>
      <c r="BK104" s="270"/>
      <c r="BL104" s="270"/>
      <c r="BM104" s="270"/>
      <c r="BN104" s="270"/>
      <c r="BO104" s="270"/>
      <c r="BP104" s="270"/>
      <c r="BQ104" s="270"/>
    </row>
    <row r="105" spans="1:69" ht="26.25" hidden="1" outlineLevel="3" thickBot="1" x14ac:dyDescent="0.25">
      <c r="A105" s="270"/>
      <c r="B105" s="270"/>
      <c r="C105" s="270"/>
      <c r="D105" s="270"/>
      <c r="E105" s="270"/>
      <c r="F105" s="270"/>
      <c r="G105" s="270"/>
      <c r="H105" s="270"/>
      <c r="I105" s="270"/>
      <c r="J105" s="270"/>
      <c r="K105" s="270"/>
      <c r="L105" s="270"/>
      <c r="M105" s="270"/>
      <c r="N105" s="270"/>
      <c r="O105" s="270"/>
      <c r="P105" s="270"/>
      <c r="Q105" s="270"/>
      <c r="R105" s="270"/>
      <c r="S105" s="270"/>
      <c r="T105" s="270"/>
      <c r="U105" s="632"/>
      <c r="V105" s="641"/>
      <c r="W105" s="660"/>
      <c r="X105" s="661"/>
      <c r="Y105" s="631"/>
      <c r="Z105" s="496"/>
      <c r="AA105" s="497" t="s">
        <v>769</v>
      </c>
      <c r="AB105" s="496"/>
      <c r="AC105" s="932"/>
      <c r="AD105" s="642"/>
      <c r="AE105" s="270"/>
      <c r="AF105" s="270"/>
      <c r="AG105" s="270"/>
      <c r="AH105" s="270"/>
      <c r="AI105" s="270"/>
      <c r="AJ105" s="270"/>
      <c r="AK105" s="270"/>
      <c r="AL105" s="270"/>
      <c r="AM105" s="598"/>
      <c r="AN105" s="270"/>
      <c r="AO105" s="270"/>
      <c r="AP105" s="270"/>
      <c r="AQ105" s="270"/>
      <c r="AR105" s="270"/>
      <c r="AS105" s="270"/>
      <c r="AT105" s="270"/>
      <c r="AU105" s="270"/>
      <c r="AV105" s="270"/>
      <c r="AW105" s="270"/>
      <c r="AX105" s="270"/>
      <c r="AY105" s="270"/>
      <c r="AZ105" s="270"/>
      <c r="BA105" s="270"/>
      <c r="BB105" s="270"/>
      <c r="BC105" s="270"/>
      <c r="BD105" s="270"/>
      <c r="BE105" s="270"/>
      <c r="BF105" s="270"/>
      <c r="BG105" s="270"/>
      <c r="BH105" s="270"/>
      <c r="BI105" s="270"/>
      <c r="BJ105" s="270"/>
      <c r="BK105" s="270"/>
      <c r="BL105" s="270"/>
      <c r="BM105" s="270"/>
      <c r="BN105" s="270"/>
      <c r="BO105" s="270"/>
      <c r="BP105" s="270"/>
      <c r="BQ105" s="270"/>
    </row>
    <row r="106" spans="1:69" ht="26.25" hidden="1" outlineLevel="3" thickBot="1" x14ac:dyDescent="0.25">
      <c r="A106" s="270"/>
      <c r="B106" s="270"/>
      <c r="C106" s="270"/>
      <c r="D106" s="270"/>
      <c r="E106" s="270"/>
      <c r="F106" s="270"/>
      <c r="G106" s="270"/>
      <c r="H106" s="270"/>
      <c r="I106" s="270"/>
      <c r="J106" s="270"/>
      <c r="K106" s="270"/>
      <c r="L106" s="270"/>
      <c r="M106" s="270"/>
      <c r="N106" s="270"/>
      <c r="O106" s="270"/>
      <c r="P106" s="270"/>
      <c r="Q106" s="270"/>
      <c r="R106" s="270"/>
      <c r="S106" s="270"/>
      <c r="T106" s="270"/>
      <c r="U106" s="632"/>
      <c r="V106" s="643"/>
      <c r="W106" s="644" t="str">
        <f>N_Différentiel</f>
        <v>Différentiel</v>
      </c>
      <c r="X106" s="662"/>
      <c r="Y106" s="663"/>
      <c r="Z106" s="488"/>
      <c r="AA106" s="489" t="s">
        <v>769</v>
      </c>
      <c r="AB106" s="488"/>
      <c r="AC106" s="933"/>
      <c r="AD106" s="270"/>
      <c r="AE106" s="270"/>
      <c r="AF106" s="270"/>
      <c r="AG106" s="270"/>
      <c r="AH106" s="270"/>
      <c r="AI106" s="270"/>
      <c r="AJ106" s="270"/>
      <c r="AK106" s="270"/>
      <c r="AL106" s="270"/>
      <c r="AM106" s="598"/>
      <c r="AN106" s="270"/>
      <c r="AO106" s="270"/>
      <c r="AP106" s="270"/>
      <c r="AQ106" s="270"/>
      <c r="AR106" s="270"/>
      <c r="AS106" s="270"/>
      <c r="AT106" s="270"/>
      <c r="AU106" s="270"/>
      <c r="AV106" s="270"/>
      <c r="AW106" s="270"/>
      <c r="AX106" s="270"/>
      <c r="AY106" s="270"/>
      <c r="AZ106" s="270"/>
      <c r="BA106" s="270"/>
      <c r="BB106" s="270"/>
      <c r="BC106" s="270"/>
      <c r="BD106" s="270"/>
      <c r="BE106" s="270"/>
      <c r="BF106" s="270"/>
      <c r="BG106" s="270"/>
      <c r="BH106" s="270"/>
      <c r="BI106" s="270"/>
      <c r="BJ106" s="270"/>
      <c r="BK106" s="270"/>
      <c r="BL106" s="270"/>
      <c r="BM106" s="270"/>
      <c r="BN106" s="270"/>
      <c r="BO106" s="270"/>
      <c r="BP106" s="270"/>
      <c r="BQ106" s="270"/>
    </row>
    <row r="107" spans="1:69" ht="26.25" hidden="1" outlineLevel="3" thickBot="1" x14ac:dyDescent="0.25">
      <c r="A107" s="270"/>
      <c r="B107" s="270"/>
      <c r="C107" s="270"/>
      <c r="D107" s="270"/>
      <c r="E107" s="270"/>
      <c r="F107" s="270"/>
      <c r="G107" s="270"/>
      <c r="H107" s="270"/>
      <c r="I107" s="270"/>
      <c r="J107" s="270"/>
      <c r="K107" s="270"/>
      <c r="L107" s="270"/>
      <c r="M107" s="270"/>
      <c r="N107" s="270"/>
      <c r="O107" s="270"/>
      <c r="P107" s="270"/>
      <c r="Q107" s="270"/>
      <c r="R107" s="270"/>
      <c r="S107" s="270"/>
      <c r="T107" s="270"/>
      <c r="U107" s="632"/>
      <c r="V107" s="643"/>
      <c r="W107" s="664"/>
      <c r="X107" s="665" t="str">
        <f>N_Substitute</f>
        <v>Remplaçant</v>
      </c>
      <c r="Y107" s="657"/>
      <c r="Z107" s="480"/>
      <c r="AA107" s="666"/>
      <c r="AB107" s="480"/>
      <c r="AC107" s="934"/>
      <c r="AD107" s="270"/>
      <c r="AE107" s="270"/>
      <c r="AF107" s="270"/>
      <c r="AG107" s="270"/>
      <c r="AH107" s="270"/>
      <c r="AI107" s="270"/>
      <c r="AJ107" s="270"/>
      <c r="AK107" s="270"/>
      <c r="AL107" s="270"/>
      <c r="AM107" s="598"/>
      <c r="AN107" s="270"/>
      <c r="AO107" s="270"/>
      <c r="AP107" s="270"/>
      <c r="AQ107" s="270"/>
      <c r="AR107" s="270"/>
      <c r="AS107" s="270"/>
      <c r="AT107" s="270"/>
      <c r="AU107" s="270"/>
      <c r="AV107" s="270"/>
      <c r="AW107" s="270"/>
      <c r="AX107" s="270"/>
      <c r="AY107" s="270"/>
      <c r="AZ107" s="270"/>
      <c r="BA107" s="270"/>
      <c r="BB107" s="270"/>
      <c r="BC107" s="270"/>
      <c r="BD107" s="270"/>
      <c r="BE107" s="270"/>
      <c r="BF107" s="270"/>
      <c r="BG107" s="270"/>
      <c r="BH107" s="270"/>
      <c r="BI107" s="270"/>
      <c r="BJ107" s="270"/>
      <c r="BK107" s="270"/>
      <c r="BL107" s="270"/>
      <c r="BM107" s="270"/>
      <c r="BN107" s="270"/>
      <c r="BO107" s="270"/>
      <c r="BP107" s="270"/>
      <c r="BQ107" s="270"/>
    </row>
    <row r="108" spans="1:69" ht="26.25" hidden="1" outlineLevel="3" thickBot="1" x14ac:dyDescent="0.25">
      <c r="A108" s="270"/>
      <c r="B108" s="270"/>
      <c r="C108" s="270"/>
      <c r="D108" s="270"/>
      <c r="E108" s="270"/>
      <c r="F108" s="270"/>
      <c r="G108" s="270"/>
      <c r="H108" s="270"/>
      <c r="I108" s="270"/>
      <c r="J108" s="270"/>
      <c r="K108" s="270"/>
      <c r="L108" s="270"/>
      <c r="M108" s="270"/>
      <c r="N108" s="270"/>
      <c r="O108" s="270"/>
      <c r="P108" s="270"/>
      <c r="Q108" s="270"/>
      <c r="R108" s="270"/>
      <c r="S108" s="270"/>
      <c r="T108" s="270"/>
      <c r="U108" s="632"/>
      <c r="V108" s="643"/>
      <c r="W108" s="664"/>
      <c r="X108" s="667" t="str">
        <f>N_Substitute</f>
        <v>Remplaçant</v>
      </c>
      <c r="Y108" s="663"/>
      <c r="Z108" s="488"/>
      <c r="AA108" s="668"/>
      <c r="AB108" s="488"/>
      <c r="AC108" s="933"/>
      <c r="AD108" s="270"/>
      <c r="AE108" s="270"/>
      <c r="AF108" s="270"/>
      <c r="AG108" s="270"/>
      <c r="AH108" s="270"/>
      <c r="AI108" s="270"/>
      <c r="AJ108" s="270"/>
      <c r="AK108" s="270"/>
      <c r="AL108" s="270"/>
      <c r="AM108" s="598"/>
      <c r="AN108" s="270"/>
      <c r="AO108" s="270"/>
      <c r="AP108" s="270"/>
      <c r="AQ108" s="270"/>
      <c r="AR108" s="270"/>
      <c r="AS108" s="270"/>
      <c r="AT108" s="270"/>
      <c r="AU108" s="270"/>
      <c r="AV108" s="270"/>
      <c r="AW108" s="270"/>
      <c r="AX108" s="270"/>
      <c r="AY108" s="270"/>
      <c r="AZ108" s="270"/>
      <c r="BA108" s="270"/>
      <c r="BB108" s="270"/>
      <c r="BC108" s="270"/>
      <c r="BD108" s="270"/>
      <c r="BE108" s="270"/>
      <c r="BF108" s="270"/>
      <c r="BG108" s="270"/>
      <c r="BH108" s="270"/>
      <c r="BI108" s="270"/>
      <c r="BJ108" s="270"/>
      <c r="BK108" s="270"/>
      <c r="BL108" s="270"/>
      <c r="BM108" s="270"/>
      <c r="BN108" s="270"/>
      <c r="BO108" s="270"/>
      <c r="BP108" s="270"/>
      <c r="BQ108" s="270"/>
    </row>
    <row r="109" spans="1:69" ht="13.5" hidden="1" outlineLevel="1" thickBot="1" x14ac:dyDescent="0.25">
      <c r="A109" s="270"/>
      <c r="B109" s="270"/>
      <c r="C109" s="270"/>
      <c r="D109" s="270"/>
      <c r="E109" s="270"/>
      <c r="F109" s="270"/>
      <c r="G109" s="270"/>
      <c r="H109" s="270"/>
      <c r="I109" s="270"/>
      <c r="J109" s="270"/>
      <c r="K109" s="270"/>
      <c r="L109" s="270"/>
      <c r="M109" s="270"/>
      <c r="N109" s="270"/>
      <c r="O109" s="270"/>
      <c r="P109" s="270"/>
      <c r="Q109" s="270"/>
      <c r="R109" s="270"/>
      <c r="S109" s="270"/>
      <c r="T109" s="270"/>
      <c r="U109" s="632"/>
      <c r="V109" s="270"/>
      <c r="W109" s="270"/>
      <c r="X109" s="270"/>
      <c r="Y109" s="270"/>
      <c r="Z109" s="270"/>
      <c r="AA109" s="270"/>
      <c r="AB109" s="270"/>
      <c r="AC109" s="270"/>
      <c r="AD109" s="270"/>
      <c r="AE109" s="270"/>
      <c r="AF109" s="270"/>
      <c r="AG109" s="270"/>
      <c r="AH109" s="270"/>
      <c r="AI109" s="270"/>
      <c r="AJ109" s="270"/>
      <c r="AK109" s="270"/>
      <c r="AL109" s="270"/>
      <c r="AM109" s="270"/>
      <c r="AN109" s="270"/>
      <c r="AO109" s="270"/>
      <c r="AP109" s="270"/>
      <c r="AQ109" s="270"/>
      <c r="AR109" s="270"/>
      <c r="AS109" s="270"/>
      <c r="AT109" s="270"/>
      <c r="AU109" s="270"/>
      <c r="AV109" s="270"/>
      <c r="AW109" s="270"/>
      <c r="AX109" s="270"/>
      <c r="AY109" s="270"/>
      <c r="AZ109" s="270"/>
      <c r="BA109" s="270"/>
      <c r="BB109" s="270"/>
      <c r="BC109" s="270"/>
      <c r="BD109" s="270"/>
      <c r="BE109" s="270"/>
      <c r="BF109" s="270"/>
      <c r="BG109" s="270"/>
      <c r="BH109" s="270"/>
      <c r="BI109" s="270"/>
      <c r="BJ109" s="270"/>
      <c r="BK109" s="270"/>
      <c r="BL109" s="270"/>
      <c r="BM109" s="270"/>
      <c r="BN109" s="270"/>
      <c r="BO109" s="270"/>
      <c r="BP109" s="270"/>
      <c r="BQ109" s="270"/>
    </row>
    <row r="110" spans="1:69" ht="13.5" hidden="1" outlineLevel="1" thickBot="1" x14ac:dyDescent="0.25">
      <c r="A110" s="270"/>
      <c r="B110" s="270"/>
      <c r="C110" s="270"/>
      <c r="D110" s="270"/>
      <c r="E110" s="270"/>
      <c r="F110" s="270"/>
      <c r="G110" s="270"/>
      <c r="H110" s="270"/>
      <c r="I110" s="270"/>
      <c r="J110" s="270"/>
      <c r="K110" s="270"/>
      <c r="L110" s="270"/>
      <c r="M110" s="270"/>
      <c r="N110" s="270"/>
      <c r="O110" s="270"/>
      <c r="P110" s="270"/>
      <c r="Q110" s="270"/>
      <c r="R110" s="270"/>
      <c r="S110" s="270"/>
      <c r="T110" s="270"/>
      <c r="U110" s="633"/>
      <c r="V110" s="630" t="str">
        <f>N_Heure</f>
        <v>Heure</v>
      </c>
      <c r="W110" s="630" t="str">
        <f>N_Table</f>
        <v>Table</v>
      </c>
      <c r="X110" s="630" t="str">
        <f>N_Arbitre</f>
        <v>Arbitre</v>
      </c>
      <c r="Y110" s="2403" t="str">
        <f>N_Scores</f>
        <v>Scores</v>
      </c>
      <c r="Z110" s="2404"/>
      <c r="AA110" s="2404"/>
      <c r="AB110" s="2404"/>
      <c r="AC110" s="2405"/>
      <c r="AD110" s="634" t="str">
        <f>N_MS</f>
        <v>MS</v>
      </c>
      <c r="AE110" s="270"/>
      <c r="AF110" s="270"/>
      <c r="AG110" s="270"/>
      <c r="AH110" s="270"/>
      <c r="AI110" s="270"/>
      <c r="AJ110" s="270"/>
      <c r="AK110" s="270"/>
      <c r="AL110" s="270" t="str">
        <f>IF(COUNTA(Z114:Z117)&gt;3,"OK","")</f>
        <v/>
      </c>
      <c r="AM110" s="270"/>
      <c r="AN110" s="270"/>
      <c r="AO110" s="270"/>
      <c r="AP110" s="270"/>
      <c r="AQ110" s="270"/>
      <c r="AR110" s="270"/>
      <c r="AS110" s="270"/>
      <c r="AT110" s="270"/>
      <c r="AU110" s="270"/>
      <c r="AV110" s="270"/>
      <c r="AW110" s="270"/>
      <c r="AX110" s="270"/>
      <c r="AY110" s="270"/>
      <c r="AZ110" s="270"/>
      <c r="BA110" s="270"/>
      <c r="BB110" s="270"/>
      <c r="BC110" s="270"/>
      <c r="BD110" s="270"/>
      <c r="BE110" s="270"/>
      <c r="BF110" s="270"/>
      <c r="BG110" s="270"/>
      <c r="BH110" s="270"/>
      <c r="BI110" s="270"/>
      <c r="BJ110" s="270"/>
      <c r="BK110" s="270"/>
      <c r="BL110" s="270"/>
      <c r="BM110" s="270"/>
      <c r="BN110" s="270"/>
      <c r="BO110" s="270"/>
      <c r="BP110" s="270"/>
      <c r="BQ110" s="270"/>
    </row>
    <row r="111" spans="1:69" ht="26.25" hidden="1" outlineLevel="1" thickBot="1" x14ac:dyDescent="0.25">
      <c r="A111" s="270"/>
      <c r="B111" s="270"/>
      <c r="C111" s="270"/>
      <c r="D111" s="270"/>
      <c r="E111" s="270"/>
      <c r="F111" s="270"/>
      <c r="G111" s="270"/>
      <c r="H111" s="270"/>
      <c r="I111" s="270"/>
      <c r="J111" s="270"/>
      <c r="K111" s="270"/>
      <c r="L111" s="270"/>
      <c r="M111" s="270"/>
      <c r="N111" s="270"/>
      <c r="O111" s="270"/>
      <c r="P111" s="270"/>
      <c r="Q111" s="270"/>
      <c r="R111" s="270"/>
      <c r="S111" s="270"/>
      <c r="T111" s="270"/>
      <c r="U111" s="635" t="s">
        <v>1722</v>
      </c>
      <c r="V111" s="1536"/>
      <c r="W111" s="1537"/>
      <c r="X111" s="1537"/>
      <c r="Y111" s="672"/>
      <c r="Z111" s="649" t="str">
        <f>IF(OR(ISNUMBER(Z114),ISNUMBER(Z115),ISNUMBER(Z116),ISNUMBER(Z117)),Lire_Gain_Matches(Z114:Z117, AB114:AB117),"")</f>
        <v/>
      </c>
      <c r="AA111" s="650" t="s">
        <v>769</v>
      </c>
      <c r="AB111" s="651" t="str">
        <f>IF(OR(ISNUMBER(Z114),ISNUMBER(Z115),ISNUMBER(Z116),ISNUMBER(Z117)),Lire_Gain_Matches(AB114:AB117, Z114:Z117),"")</f>
        <v/>
      </c>
      <c r="AC111" s="672"/>
      <c r="AD111" s="231" t="str">
        <f>IF(ISNA(VLOOKUP("X",AD114:AD117,1,FALSE)),"","X")</f>
        <v/>
      </c>
      <c r="AE111" s="270" t="str">
        <f>IF(Z111="","",IF(Z111&gt;AB111,Y111,IF(Z111=AB111,IF(AL111=Y111,AC111,IF(AL111=AC111,Y111,"")),AC111)))</f>
        <v/>
      </c>
      <c r="AF111" s="270" t="str">
        <f>IF(Z111="","",IF(Z111=AB111,IF(AL111=Y111,"",IF(AL111=AC111,"",Y111)),""))</f>
        <v/>
      </c>
      <c r="AG111" s="270" t="str">
        <f>IF(Z111="","",IF(Z111=AB111,IF(AL111=Y111,"",IF(AL111=AC111,"",AC111)),""))</f>
        <v/>
      </c>
      <c r="AH111" s="270" t="str">
        <f>IF(Z111="","",IF(Z111&lt;AB111,Y111,IF(Z111=AB111,IF(AL111=Y111,Y111,IF(AL111=AC111,AC111,"")),AC111)))</f>
        <v/>
      </c>
      <c r="AI111" s="270"/>
      <c r="AJ111" s="270"/>
      <c r="AK111" s="270"/>
      <c r="AL111" s="270" t="str">
        <f>IF(COUNTIF(Y114:Y117,WithdrawLabel)&gt;COUNTIF(AC114:AC117,WithdrawLabel),Y111,IF(COUNTIF(AC114:AC117,WithdrawLabel)&gt;COUNTIF(Y114:Y117,WithdrawLabel),AC111,""))</f>
        <v/>
      </c>
      <c r="AM111" s="598"/>
      <c r="AN111" s="270"/>
      <c r="AO111" s="270"/>
      <c r="AP111" s="270"/>
      <c r="AQ111" s="270"/>
      <c r="AR111" s="270"/>
      <c r="AS111" s="270"/>
      <c r="AT111" s="270"/>
      <c r="AU111" s="270"/>
      <c r="AV111" s="270"/>
      <c r="AW111" s="270"/>
      <c r="AX111" s="270"/>
      <c r="AY111" s="270"/>
      <c r="AZ111" s="270"/>
      <c r="BA111" s="270"/>
      <c r="BB111" s="270"/>
      <c r="BC111" s="270"/>
      <c r="BD111" s="270"/>
      <c r="BE111" s="270"/>
      <c r="BF111" s="270"/>
      <c r="BG111" s="270"/>
      <c r="BH111" s="270"/>
      <c r="BI111" s="270"/>
      <c r="BJ111" s="270"/>
      <c r="BK111" s="270"/>
      <c r="BL111" s="270"/>
      <c r="BM111" s="270"/>
      <c r="BN111" s="270"/>
      <c r="BO111" s="270"/>
      <c r="BP111" s="270"/>
      <c r="BQ111" s="270"/>
    </row>
    <row r="112" spans="1:69" ht="18.75" hidden="1" outlineLevel="1" thickBot="1" x14ac:dyDescent="0.25">
      <c r="A112" s="270"/>
      <c r="B112" s="270"/>
      <c r="C112" s="270"/>
      <c r="D112" s="270"/>
      <c r="E112" s="270"/>
      <c r="F112" s="270"/>
      <c r="G112" s="270"/>
      <c r="H112" s="270"/>
      <c r="I112" s="270"/>
      <c r="J112" s="270"/>
      <c r="K112" s="270"/>
      <c r="L112" s="270"/>
      <c r="M112" s="270"/>
      <c r="N112" s="270"/>
      <c r="O112" s="270"/>
      <c r="P112" s="270"/>
      <c r="Q112" s="270"/>
      <c r="R112" s="270"/>
      <c r="S112" s="270"/>
      <c r="T112" s="270"/>
      <c r="U112" s="632"/>
      <c r="V112" s="629"/>
      <c r="W112" s="647"/>
      <c r="X112" s="647"/>
      <c r="Y112" s="652" t="str">
        <f>N_Total_buts</f>
        <v>Total des buts</v>
      </c>
      <c r="Z112" s="649" t="str">
        <f>IF(OR(ISNUMBER(Z114),ISNUMBER(Z115),ISNUMBER(Z116),ISNUMBER(Z117)),SUM(Z114:Z117),"")</f>
        <v/>
      </c>
      <c r="AA112" s="650" t="s">
        <v>769</v>
      </c>
      <c r="AB112" s="651" t="str">
        <f>IF(OR(ISNUMBER(Z114),ISNUMBER(Z115),ISNUMBER(Z116),ISNUMBER(Z117)),SUM(AB114:AB117),"")</f>
        <v/>
      </c>
      <c r="AC112" s="653" t="str">
        <f>IF(Z118="","",CONCATENATE("(Diff : ",Z118," - ",AB118,")"))</f>
        <v/>
      </c>
      <c r="AD112" s="270"/>
      <c r="AE112" s="270"/>
      <c r="AF112" s="270"/>
      <c r="AG112" s="270"/>
      <c r="AH112" s="270"/>
      <c r="AI112" s="270"/>
      <c r="AJ112" s="270"/>
      <c r="AK112" s="270"/>
      <c r="AL112" s="270"/>
      <c r="AM112" s="610"/>
      <c r="AN112" s="270"/>
      <c r="AO112" s="270"/>
      <c r="AP112" s="270"/>
      <c r="AQ112" s="270"/>
      <c r="AR112" s="270"/>
      <c r="AS112" s="270"/>
      <c r="AT112" s="270"/>
      <c r="AU112" s="270"/>
      <c r="AV112" s="270"/>
      <c r="AW112" s="270"/>
      <c r="AX112" s="270"/>
      <c r="AY112" s="270"/>
      <c r="AZ112" s="270"/>
      <c r="BA112" s="270"/>
      <c r="BB112" s="270"/>
      <c r="BC112" s="270"/>
      <c r="BD112" s="270"/>
      <c r="BE112" s="270"/>
      <c r="BF112" s="270"/>
      <c r="BG112" s="270"/>
      <c r="BH112" s="270"/>
      <c r="BI112" s="270"/>
      <c r="BJ112" s="270"/>
      <c r="BK112" s="270"/>
      <c r="BL112" s="270"/>
      <c r="BM112" s="270"/>
      <c r="BN112" s="270"/>
      <c r="BO112" s="270"/>
      <c r="BP112" s="270"/>
      <c r="BQ112" s="270"/>
    </row>
    <row r="113" spans="1:69" ht="26.25" hidden="1" outlineLevel="1" collapsed="1" thickBot="1" x14ac:dyDescent="0.25">
      <c r="A113" s="270"/>
      <c r="B113" s="270"/>
      <c r="C113" s="270"/>
      <c r="D113" s="270"/>
      <c r="E113" s="270"/>
      <c r="F113" s="270"/>
      <c r="G113" s="270"/>
      <c r="H113" s="270"/>
      <c r="I113" s="270"/>
      <c r="J113" s="1334" t="str">
        <f>IF(Z113="","",IF(Z113=Y111,AC111,Y111))</f>
        <v/>
      </c>
      <c r="K113" s="270"/>
      <c r="L113" s="270"/>
      <c r="M113" s="270"/>
      <c r="N113" s="270"/>
      <c r="O113" s="270"/>
      <c r="P113" s="270"/>
      <c r="Q113" s="270"/>
      <c r="R113" s="270"/>
      <c r="S113" s="270"/>
      <c r="T113" s="270"/>
      <c r="U113" s="632"/>
      <c r="V113" s="629"/>
      <c r="W113" s="647"/>
      <c r="X113" s="647"/>
      <c r="Y113" s="654" t="str">
        <f>N_VAINQUEUR</f>
        <v>VAINQUEUR</v>
      </c>
      <c r="Z113" s="2406" t="str">
        <f>IF(AL110&lt;&gt;"OK",IF(HidePlayerFormulas,"","("&amp;Y111&amp;"-"&amp;AC111&amp;")"),IF(AE111="",IF(Z112&gt;AB112,Y111,IF(Z112&lt;AB112,AC111,mess_erreur_marque)),AE111))</f>
        <v/>
      </c>
      <c r="AA113" s="2407"/>
      <c r="AB113" s="2407"/>
      <c r="AC113" s="2408"/>
      <c r="AD113" s="270"/>
      <c r="AE113" s="270"/>
      <c r="AF113" s="270"/>
      <c r="AG113" s="270"/>
      <c r="AH113" s="270"/>
      <c r="AI113" s="270"/>
      <c r="AJ113" s="270"/>
      <c r="AK113" s="270"/>
      <c r="AL113" s="270"/>
      <c r="AM113" s="598"/>
      <c r="AN113" s="270"/>
      <c r="AO113" s="270"/>
      <c r="AP113" s="270"/>
      <c r="AQ113" s="270"/>
      <c r="AR113" s="270"/>
      <c r="AS113" s="270"/>
      <c r="AT113" s="270"/>
      <c r="AU113" s="270"/>
      <c r="AV113" s="270"/>
      <c r="AW113" s="270"/>
      <c r="AX113" s="270"/>
      <c r="AY113" s="270"/>
      <c r="AZ113" s="270"/>
      <c r="BA113" s="270"/>
      <c r="BB113" s="270"/>
      <c r="BC113" s="270"/>
      <c r="BD113" s="270"/>
      <c r="BE113" s="270"/>
      <c r="BF113" s="270"/>
      <c r="BG113" s="270"/>
      <c r="BH113" s="270"/>
      <c r="BI113" s="270"/>
      <c r="BJ113" s="270"/>
      <c r="BK113" s="270"/>
      <c r="BL113" s="270"/>
      <c r="BM113" s="270"/>
      <c r="BN113" s="270"/>
      <c r="BO113" s="270"/>
      <c r="BP113" s="270"/>
      <c r="BQ113" s="270"/>
    </row>
    <row r="114" spans="1:69" ht="26.25" hidden="1" outlineLevel="3" thickBot="1" x14ac:dyDescent="0.25">
      <c r="A114" s="270"/>
      <c r="B114" s="270"/>
      <c r="C114" s="270"/>
      <c r="D114" s="270"/>
      <c r="E114" s="270"/>
      <c r="F114" s="270"/>
      <c r="G114" s="270"/>
      <c r="H114" s="270"/>
      <c r="I114" s="270"/>
      <c r="J114" s="270"/>
      <c r="K114" s="270"/>
      <c r="L114" s="270"/>
      <c r="M114" s="270"/>
      <c r="N114" s="270"/>
      <c r="O114" s="270"/>
      <c r="P114" s="270"/>
      <c r="Q114" s="270"/>
      <c r="R114" s="270"/>
      <c r="S114" s="270"/>
      <c r="T114" s="270"/>
      <c r="U114" s="632"/>
      <c r="V114" s="636"/>
      <c r="W114" s="655"/>
      <c r="X114" s="656"/>
      <c r="Y114" s="657"/>
      <c r="Z114" s="484"/>
      <c r="AA114" s="485" t="s">
        <v>769</v>
      </c>
      <c r="AB114" s="484"/>
      <c r="AC114" s="930"/>
      <c r="AD114" s="637"/>
      <c r="AE114" s="270"/>
      <c r="AF114" s="270"/>
      <c r="AG114" s="270"/>
      <c r="AH114" s="270"/>
      <c r="AI114" s="270"/>
      <c r="AJ114" s="270"/>
      <c r="AK114" s="270"/>
      <c r="AL114" s="270"/>
      <c r="AM114" s="598"/>
      <c r="AN114" s="270"/>
      <c r="AO114" s="270"/>
      <c r="AP114" s="270"/>
      <c r="AQ114" s="270"/>
      <c r="AR114" s="270"/>
      <c r="AS114" s="270"/>
      <c r="AT114" s="270"/>
      <c r="AU114" s="270"/>
      <c r="AV114" s="270"/>
      <c r="AW114" s="270"/>
      <c r="AX114" s="270"/>
      <c r="AY114" s="270"/>
      <c r="AZ114" s="270"/>
      <c r="BA114" s="270"/>
      <c r="BB114" s="270"/>
      <c r="BC114" s="270"/>
      <c r="BD114" s="270"/>
      <c r="BE114" s="270"/>
      <c r="BF114" s="270"/>
      <c r="BG114" s="270"/>
      <c r="BH114" s="270"/>
      <c r="BI114" s="270"/>
      <c r="BJ114" s="270"/>
      <c r="BK114" s="270"/>
      <c r="BL114" s="270"/>
      <c r="BM114" s="270"/>
      <c r="BN114" s="270"/>
      <c r="BO114" s="270"/>
      <c r="BP114" s="270"/>
      <c r="BQ114" s="270"/>
    </row>
    <row r="115" spans="1:69" ht="26.25" hidden="1" outlineLevel="3" thickBot="1" x14ac:dyDescent="0.25">
      <c r="A115" s="270"/>
      <c r="B115" s="270"/>
      <c r="C115" s="270"/>
      <c r="D115" s="270"/>
      <c r="E115" s="270"/>
      <c r="F115" s="270"/>
      <c r="G115" s="270"/>
      <c r="H115" s="270"/>
      <c r="I115" s="270"/>
      <c r="J115" s="270"/>
      <c r="K115" s="270"/>
      <c r="L115" s="270"/>
      <c r="M115" s="270"/>
      <c r="N115" s="270"/>
      <c r="O115" s="270"/>
      <c r="P115" s="270"/>
      <c r="Q115" s="270"/>
      <c r="R115" s="270"/>
      <c r="S115" s="270"/>
      <c r="T115" s="270"/>
      <c r="U115" s="632"/>
      <c r="V115" s="638"/>
      <c r="W115" s="658"/>
      <c r="X115" s="659"/>
      <c r="Y115" s="627"/>
      <c r="Z115" s="492"/>
      <c r="AA115" s="493" t="s">
        <v>769</v>
      </c>
      <c r="AB115" s="492"/>
      <c r="AC115" s="931"/>
      <c r="AD115" s="639"/>
      <c r="AE115" s="270"/>
      <c r="AF115" s="270"/>
      <c r="AG115" s="270"/>
      <c r="AH115" s="270"/>
      <c r="AI115" s="270"/>
      <c r="AJ115" s="270"/>
      <c r="AK115" s="270"/>
      <c r="AL115" s="270"/>
      <c r="AM115" s="598"/>
      <c r="AN115" s="270"/>
      <c r="AO115" s="270"/>
      <c r="AP115" s="270"/>
      <c r="AQ115" s="270"/>
      <c r="AR115" s="270"/>
      <c r="AS115" s="270"/>
      <c r="AT115" s="270"/>
      <c r="AU115" s="270"/>
      <c r="AV115" s="270"/>
      <c r="AW115" s="270"/>
      <c r="AX115" s="270"/>
      <c r="AY115" s="270"/>
      <c r="AZ115" s="270"/>
      <c r="BA115" s="270"/>
      <c r="BB115" s="270"/>
      <c r="BC115" s="270"/>
      <c r="BD115" s="270"/>
      <c r="BE115" s="270"/>
      <c r="BF115" s="270"/>
      <c r="BG115" s="270"/>
      <c r="BH115" s="270"/>
      <c r="BI115" s="270"/>
      <c r="BJ115" s="270"/>
      <c r="BK115" s="270"/>
      <c r="BL115" s="270"/>
      <c r="BM115" s="270"/>
      <c r="BN115" s="270"/>
      <c r="BO115" s="270"/>
      <c r="BP115" s="270"/>
      <c r="BQ115" s="270"/>
    </row>
    <row r="116" spans="1:69" ht="26.25" hidden="1" outlineLevel="3" thickBot="1" x14ac:dyDescent="0.25">
      <c r="A116" s="270"/>
      <c r="B116" s="270"/>
      <c r="C116" s="270"/>
      <c r="D116" s="270"/>
      <c r="E116" s="270"/>
      <c r="F116" s="270"/>
      <c r="G116" s="270"/>
      <c r="H116" s="270"/>
      <c r="I116" s="270"/>
      <c r="J116" s="270"/>
      <c r="K116" s="270"/>
      <c r="L116" s="270"/>
      <c r="M116" s="270"/>
      <c r="N116" s="270"/>
      <c r="O116" s="270"/>
      <c r="P116" s="270"/>
      <c r="Q116" s="270"/>
      <c r="R116" s="270"/>
      <c r="S116" s="270"/>
      <c r="T116" s="270"/>
      <c r="U116" s="632"/>
      <c r="V116" s="638"/>
      <c r="W116" s="658"/>
      <c r="X116" s="659"/>
      <c r="Y116" s="627"/>
      <c r="Z116" s="492"/>
      <c r="AA116" s="493" t="s">
        <v>769</v>
      </c>
      <c r="AB116" s="492"/>
      <c r="AC116" s="931"/>
      <c r="AD116" s="640"/>
      <c r="AE116" s="270"/>
      <c r="AF116" s="270"/>
      <c r="AG116" s="270"/>
      <c r="AH116" s="270"/>
      <c r="AI116" s="270"/>
      <c r="AJ116" s="270"/>
      <c r="AK116" s="270"/>
      <c r="AL116" s="270"/>
      <c r="AM116" s="598"/>
      <c r="AN116" s="270"/>
      <c r="AO116" s="270"/>
      <c r="AP116" s="270"/>
      <c r="AQ116" s="270"/>
      <c r="AR116" s="270"/>
      <c r="AS116" s="270"/>
      <c r="AT116" s="270"/>
      <c r="AU116" s="270"/>
      <c r="AV116" s="270"/>
      <c r="AW116" s="270"/>
      <c r="AX116" s="270"/>
      <c r="AY116" s="270"/>
      <c r="AZ116" s="270"/>
      <c r="BA116" s="270"/>
      <c r="BB116" s="270"/>
      <c r="BC116" s="270"/>
      <c r="BD116" s="270"/>
      <c r="BE116" s="270"/>
      <c r="BF116" s="270"/>
      <c r="BG116" s="270"/>
      <c r="BH116" s="270"/>
      <c r="BI116" s="270"/>
      <c r="BJ116" s="270"/>
      <c r="BK116" s="270"/>
      <c r="BL116" s="270"/>
      <c r="BM116" s="270"/>
      <c r="BN116" s="270"/>
      <c r="BO116" s="270"/>
      <c r="BP116" s="270"/>
      <c r="BQ116" s="270"/>
    </row>
    <row r="117" spans="1:69" ht="26.25" hidden="1" outlineLevel="3" thickBot="1" x14ac:dyDescent="0.25">
      <c r="A117" s="270"/>
      <c r="B117" s="270"/>
      <c r="C117" s="270"/>
      <c r="D117" s="270"/>
      <c r="E117" s="270"/>
      <c r="F117" s="270"/>
      <c r="G117" s="270"/>
      <c r="H117" s="270"/>
      <c r="I117" s="270"/>
      <c r="J117" s="270"/>
      <c r="K117" s="270"/>
      <c r="L117" s="270"/>
      <c r="M117" s="270"/>
      <c r="N117" s="270"/>
      <c r="O117" s="270"/>
      <c r="P117" s="270"/>
      <c r="Q117" s="270"/>
      <c r="R117" s="270"/>
      <c r="S117" s="270"/>
      <c r="T117" s="270"/>
      <c r="U117" s="632"/>
      <c r="V117" s="641"/>
      <c r="W117" s="660"/>
      <c r="X117" s="661"/>
      <c r="Y117" s="631"/>
      <c r="Z117" s="496"/>
      <c r="AA117" s="497" t="s">
        <v>769</v>
      </c>
      <c r="AB117" s="496"/>
      <c r="AC117" s="932"/>
      <c r="AD117" s="642"/>
      <c r="AE117" s="270"/>
      <c r="AF117" s="270"/>
      <c r="AG117" s="270"/>
      <c r="AH117" s="270"/>
      <c r="AI117" s="270"/>
      <c r="AJ117" s="270"/>
      <c r="AK117" s="270"/>
      <c r="AL117" s="270"/>
      <c r="AM117" s="598"/>
      <c r="AN117" s="270"/>
      <c r="AO117" s="270"/>
      <c r="AP117" s="270"/>
      <c r="AQ117" s="270"/>
      <c r="AR117" s="270"/>
      <c r="AS117" s="270"/>
      <c r="AT117" s="270"/>
      <c r="AU117" s="270"/>
      <c r="AV117" s="270"/>
      <c r="AW117" s="270"/>
      <c r="AX117" s="270"/>
      <c r="AY117" s="270"/>
      <c r="AZ117" s="270"/>
      <c r="BA117" s="270"/>
      <c r="BB117" s="270"/>
      <c r="BC117" s="270"/>
      <c r="BD117" s="270"/>
      <c r="BE117" s="270"/>
      <c r="BF117" s="270"/>
      <c r="BG117" s="270"/>
      <c r="BH117" s="270"/>
      <c r="BI117" s="270"/>
      <c r="BJ117" s="270"/>
      <c r="BK117" s="270"/>
      <c r="BL117" s="270"/>
      <c r="BM117" s="270"/>
      <c r="BN117" s="270"/>
      <c r="BO117" s="270"/>
      <c r="BP117" s="270"/>
      <c r="BQ117" s="270"/>
    </row>
    <row r="118" spans="1:69" ht="26.25" hidden="1" outlineLevel="3" thickBot="1" x14ac:dyDescent="0.25">
      <c r="A118" s="270"/>
      <c r="B118" s="270"/>
      <c r="C118" s="270"/>
      <c r="D118" s="270"/>
      <c r="E118" s="270"/>
      <c r="F118" s="270"/>
      <c r="G118" s="270"/>
      <c r="H118" s="270"/>
      <c r="I118" s="270"/>
      <c r="J118" s="270"/>
      <c r="K118" s="270"/>
      <c r="L118" s="270"/>
      <c r="M118" s="270"/>
      <c r="N118" s="270"/>
      <c r="O118" s="270"/>
      <c r="P118" s="270"/>
      <c r="Q118" s="270"/>
      <c r="R118" s="270"/>
      <c r="S118" s="270"/>
      <c r="T118" s="270"/>
      <c r="U118" s="632"/>
      <c r="V118" s="643"/>
      <c r="W118" s="644" t="str">
        <f>N_Différentiel</f>
        <v>Différentiel</v>
      </c>
      <c r="X118" s="662"/>
      <c r="Y118" s="663"/>
      <c r="Z118" s="488"/>
      <c r="AA118" s="489" t="s">
        <v>769</v>
      </c>
      <c r="AB118" s="488"/>
      <c r="AC118" s="933"/>
      <c r="AD118" s="270"/>
      <c r="AE118" s="270"/>
      <c r="AF118" s="270"/>
      <c r="AG118" s="270"/>
      <c r="AH118" s="270"/>
      <c r="AI118" s="270"/>
      <c r="AJ118" s="270"/>
      <c r="AK118" s="270"/>
      <c r="AL118" s="270"/>
      <c r="AM118" s="598"/>
      <c r="AN118" s="270"/>
      <c r="AO118" s="270"/>
      <c r="AP118" s="270"/>
      <c r="AQ118" s="270"/>
      <c r="AR118" s="270"/>
      <c r="AS118" s="270"/>
      <c r="AT118" s="270"/>
      <c r="AU118" s="270"/>
      <c r="AV118" s="270"/>
      <c r="AW118" s="270"/>
      <c r="AX118" s="270"/>
      <c r="AY118" s="270"/>
      <c r="AZ118" s="270"/>
      <c r="BA118" s="270"/>
      <c r="BB118" s="270"/>
      <c r="BC118" s="270"/>
      <c r="BD118" s="270"/>
      <c r="BE118" s="270"/>
      <c r="BF118" s="270"/>
      <c r="BG118" s="270"/>
      <c r="BH118" s="270"/>
      <c r="BI118" s="270"/>
      <c r="BJ118" s="270"/>
      <c r="BK118" s="270"/>
      <c r="BL118" s="270"/>
      <c r="BM118" s="270"/>
      <c r="BN118" s="270"/>
      <c r="BO118" s="270"/>
      <c r="BP118" s="270"/>
      <c r="BQ118" s="270"/>
    </row>
    <row r="119" spans="1:69" ht="26.25" hidden="1" outlineLevel="3" thickBot="1" x14ac:dyDescent="0.25">
      <c r="A119" s="270"/>
      <c r="B119" s="270"/>
      <c r="C119" s="270"/>
      <c r="D119" s="270"/>
      <c r="E119" s="270"/>
      <c r="F119" s="270"/>
      <c r="G119" s="270"/>
      <c r="H119" s="270"/>
      <c r="I119" s="270"/>
      <c r="J119" s="270"/>
      <c r="K119" s="270"/>
      <c r="L119" s="270"/>
      <c r="M119" s="270"/>
      <c r="N119" s="270"/>
      <c r="O119" s="270"/>
      <c r="P119" s="270"/>
      <c r="Q119" s="270"/>
      <c r="R119" s="270"/>
      <c r="S119" s="270"/>
      <c r="T119" s="270"/>
      <c r="U119" s="632"/>
      <c r="V119" s="643"/>
      <c r="W119" s="664"/>
      <c r="X119" s="665" t="str">
        <f>N_Substitute</f>
        <v>Remplaçant</v>
      </c>
      <c r="Y119" s="657"/>
      <c r="Z119" s="480"/>
      <c r="AA119" s="666"/>
      <c r="AB119" s="480"/>
      <c r="AC119" s="934"/>
      <c r="AD119" s="270"/>
      <c r="AE119" s="270"/>
      <c r="AF119" s="270"/>
      <c r="AG119" s="270"/>
      <c r="AH119" s="270"/>
      <c r="AI119" s="270"/>
      <c r="AJ119" s="270"/>
      <c r="AK119" s="270"/>
      <c r="AL119" s="270"/>
      <c r="AM119" s="598"/>
      <c r="AN119" s="270"/>
      <c r="AO119" s="270"/>
      <c r="AP119" s="270"/>
      <c r="AQ119" s="270"/>
      <c r="AR119" s="270"/>
      <c r="AS119" s="270"/>
      <c r="AT119" s="270"/>
      <c r="AU119" s="270"/>
      <c r="AV119" s="270"/>
      <c r="AW119" s="270"/>
      <c r="AX119" s="270"/>
      <c r="AY119" s="270"/>
      <c r="AZ119" s="270"/>
      <c r="BA119" s="270"/>
      <c r="BB119" s="270"/>
      <c r="BC119" s="270"/>
      <c r="BD119" s="270"/>
      <c r="BE119" s="270"/>
      <c r="BF119" s="270"/>
      <c r="BG119" s="270"/>
      <c r="BH119" s="270"/>
      <c r="BI119" s="270"/>
      <c r="BJ119" s="270"/>
      <c r="BK119" s="270"/>
      <c r="BL119" s="270"/>
      <c r="BM119" s="270"/>
      <c r="BN119" s="270"/>
      <c r="BO119" s="270"/>
      <c r="BP119" s="270"/>
      <c r="BQ119" s="270"/>
    </row>
    <row r="120" spans="1:69" ht="26.25" hidden="1" outlineLevel="3" thickBot="1" x14ac:dyDescent="0.25">
      <c r="A120" s="270"/>
      <c r="B120" s="270"/>
      <c r="C120" s="270"/>
      <c r="D120" s="270"/>
      <c r="E120" s="270"/>
      <c r="F120" s="270"/>
      <c r="G120" s="270"/>
      <c r="H120" s="270"/>
      <c r="I120" s="270"/>
      <c r="J120" s="270"/>
      <c r="K120" s="270"/>
      <c r="L120" s="270"/>
      <c r="M120" s="270"/>
      <c r="N120" s="270"/>
      <c r="O120" s="270"/>
      <c r="P120" s="270"/>
      <c r="Q120" s="270"/>
      <c r="R120" s="270"/>
      <c r="S120" s="270"/>
      <c r="T120" s="270"/>
      <c r="U120" s="632"/>
      <c r="V120" s="643"/>
      <c r="W120" s="664"/>
      <c r="X120" s="667" t="str">
        <f>N_Substitute</f>
        <v>Remplaçant</v>
      </c>
      <c r="Y120" s="663"/>
      <c r="Z120" s="488"/>
      <c r="AA120" s="668"/>
      <c r="AB120" s="488"/>
      <c r="AC120" s="933"/>
      <c r="AD120" s="270"/>
      <c r="AE120" s="270"/>
      <c r="AF120" s="270"/>
      <c r="AG120" s="270"/>
      <c r="AH120" s="270"/>
      <c r="AI120" s="270"/>
      <c r="AJ120" s="270"/>
      <c r="AK120" s="270"/>
      <c r="AL120" s="270"/>
      <c r="AM120" s="598"/>
      <c r="AN120" s="270"/>
      <c r="AO120" s="270"/>
      <c r="AP120" s="270"/>
      <c r="AQ120" s="270"/>
      <c r="AR120" s="270"/>
      <c r="AS120" s="270"/>
      <c r="AT120" s="270"/>
      <c r="AU120" s="270"/>
      <c r="AV120" s="270"/>
      <c r="AW120" s="270"/>
      <c r="AX120" s="270"/>
      <c r="AY120" s="270"/>
      <c r="AZ120" s="270"/>
      <c r="BA120" s="270"/>
      <c r="BB120" s="270"/>
      <c r="BC120" s="270"/>
      <c r="BD120" s="270"/>
      <c r="BE120" s="270"/>
      <c r="BF120" s="270"/>
      <c r="BG120" s="270"/>
      <c r="BH120" s="270"/>
      <c r="BI120" s="270"/>
      <c r="BJ120" s="270"/>
      <c r="BK120" s="270"/>
      <c r="BL120" s="270"/>
      <c r="BM120" s="270"/>
      <c r="BN120" s="270"/>
      <c r="BO120" s="270"/>
      <c r="BP120" s="270"/>
      <c r="BQ120" s="270"/>
    </row>
    <row r="121" spans="1:69" ht="13.5" hidden="1" outlineLevel="1" thickBot="1" x14ac:dyDescent="0.25">
      <c r="A121" s="270"/>
      <c r="B121" s="270"/>
      <c r="C121" s="270"/>
      <c r="D121" s="270"/>
      <c r="E121" s="270"/>
      <c r="F121" s="270"/>
      <c r="G121" s="270"/>
      <c r="H121" s="270"/>
      <c r="I121" s="270"/>
      <c r="J121" s="270"/>
      <c r="K121" s="270"/>
      <c r="L121" s="270"/>
      <c r="M121" s="270"/>
      <c r="N121" s="270"/>
      <c r="O121" s="270"/>
      <c r="P121" s="270"/>
      <c r="Q121" s="270"/>
      <c r="R121" s="270"/>
      <c r="S121" s="270"/>
      <c r="T121" s="270"/>
      <c r="U121" s="632"/>
      <c r="V121" s="270"/>
      <c r="W121" s="270"/>
      <c r="X121" s="270"/>
      <c r="Y121" s="270"/>
      <c r="Z121" s="270"/>
      <c r="AA121" s="270"/>
      <c r="AB121" s="270"/>
      <c r="AC121" s="270"/>
      <c r="AD121" s="270"/>
      <c r="AE121" s="270"/>
      <c r="AF121" s="270"/>
      <c r="AG121" s="270"/>
      <c r="AH121" s="270"/>
      <c r="AI121" s="270"/>
      <c r="AJ121" s="270"/>
      <c r="AK121" s="270"/>
      <c r="AL121" s="270"/>
      <c r="AM121" s="270"/>
      <c r="AN121" s="270"/>
      <c r="AO121" s="270"/>
      <c r="AP121" s="270"/>
      <c r="AQ121" s="270"/>
      <c r="AR121" s="270"/>
      <c r="AS121" s="270"/>
      <c r="AT121" s="270"/>
      <c r="AU121" s="270"/>
      <c r="AV121" s="270"/>
      <c r="AW121" s="270"/>
      <c r="AX121" s="270"/>
      <c r="AY121" s="270"/>
      <c r="AZ121" s="270"/>
      <c r="BA121" s="270"/>
      <c r="BB121" s="270"/>
      <c r="BC121" s="270"/>
      <c r="BD121" s="270"/>
      <c r="BE121" s="270"/>
      <c r="BF121" s="270"/>
      <c r="BG121" s="270"/>
      <c r="BH121" s="270"/>
      <c r="BI121" s="270"/>
      <c r="BJ121" s="270"/>
      <c r="BK121" s="270"/>
      <c r="BL121" s="270"/>
      <c r="BM121" s="270"/>
      <c r="BN121" s="270"/>
      <c r="BO121" s="270"/>
      <c r="BP121" s="270"/>
      <c r="BQ121" s="270"/>
    </row>
    <row r="122" spans="1:69" ht="13.5" hidden="1" outlineLevel="1" thickBot="1" x14ac:dyDescent="0.25">
      <c r="A122" s="270"/>
      <c r="B122" s="270"/>
      <c r="C122" s="270"/>
      <c r="D122" s="270"/>
      <c r="E122" s="270"/>
      <c r="F122" s="270"/>
      <c r="G122" s="270"/>
      <c r="H122" s="270"/>
      <c r="I122" s="270"/>
      <c r="J122" s="270"/>
      <c r="K122" s="270"/>
      <c r="L122" s="270"/>
      <c r="M122" s="270"/>
      <c r="N122" s="270"/>
      <c r="O122" s="270"/>
      <c r="P122" s="270"/>
      <c r="Q122" s="270"/>
      <c r="R122" s="270"/>
      <c r="S122" s="270"/>
      <c r="T122" s="270"/>
      <c r="U122" s="633"/>
      <c r="V122" s="630" t="str">
        <f>N_Heure</f>
        <v>Heure</v>
      </c>
      <c r="W122" s="630" t="str">
        <f>N_Table</f>
        <v>Table</v>
      </c>
      <c r="X122" s="630" t="str">
        <f>N_Arbitre</f>
        <v>Arbitre</v>
      </c>
      <c r="Y122" s="2403" t="str">
        <f>N_Scores</f>
        <v>Scores</v>
      </c>
      <c r="Z122" s="2404"/>
      <c r="AA122" s="2404"/>
      <c r="AB122" s="2404"/>
      <c r="AC122" s="2405"/>
      <c r="AD122" s="634" t="str">
        <f>N_MS</f>
        <v>MS</v>
      </c>
      <c r="AE122" s="270"/>
      <c r="AF122" s="270"/>
      <c r="AG122" s="270"/>
      <c r="AH122" s="270"/>
      <c r="AI122" s="270"/>
      <c r="AJ122" s="270"/>
      <c r="AK122" s="270"/>
      <c r="AL122" s="270" t="str">
        <f>IF(COUNTA(Z126:Z129)&gt;3,"OK","")</f>
        <v/>
      </c>
      <c r="AM122" s="270"/>
      <c r="AN122" s="270"/>
      <c r="AO122" s="270"/>
      <c r="AP122" s="270"/>
      <c r="AQ122" s="270"/>
      <c r="AR122" s="270"/>
      <c r="AS122" s="270"/>
      <c r="AT122" s="270"/>
      <c r="AU122" s="270"/>
      <c r="AV122" s="270"/>
      <c r="AW122" s="270"/>
      <c r="AX122" s="270"/>
      <c r="AY122" s="270"/>
      <c r="AZ122" s="270"/>
      <c r="BA122" s="270"/>
      <c r="BB122" s="270"/>
      <c r="BC122" s="270"/>
      <c r="BD122" s="270"/>
      <c r="BE122" s="270"/>
      <c r="BF122" s="270"/>
      <c r="BG122" s="270"/>
      <c r="BH122" s="270"/>
      <c r="BI122" s="270"/>
      <c r="BJ122" s="270"/>
      <c r="BK122" s="270"/>
      <c r="BL122" s="270"/>
      <c r="BM122" s="270"/>
      <c r="BN122" s="270"/>
      <c r="BO122" s="270"/>
      <c r="BP122" s="270"/>
      <c r="BQ122" s="270"/>
    </row>
    <row r="123" spans="1:69" ht="26.25" hidden="1" outlineLevel="1" thickBot="1" x14ac:dyDescent="0.25">
      <c r="A123" s="270"/>
      <c r="B123" s="270"/>
      <c r="C123" s="270"/>
      <c r="D123" s="270"/>
      <c r="E123" s="270"/>
      <c r="F123" s="270"/>
      <c r="G123" s="270"/>
      <c r="H123" s="270"/>
      <c r="I123" s="270"/>
      <c r="J123" s="270"/>
      <c r="K123" s="270"/>
      <c r="L123" s="270"/>
      <c r="M123" s="270"/>
      <c r="N123" s="270"/>
      <c r="O123" s="270"/>
      <c r="P123" s="270"/>
      <c r="Q123" s="270"/>
      <c r="R123" s="270"/>
      <c r="S123" s="270"/>
      <c r="T123" s="270"/>
      <c r="U123" s="635" t="s">
        <v>1722</v>
      </c>
      <c r="V123" s="1536"/>
      <c r="W123" s="1537"/>
      <c r="X123" s="1537"/>
      <c r="Y123" s="672"/>
      <c r="Z123" s="649" t="str">
        <f>IF(OR(ISNUMBER(Z126),ISNUMBER(Z127),ISNUMBER(Z128),ISNUMBER(Z129)),Lire_Gain_Matches(Z126:Z129, AB126:AB129),"")</f>
        <v/>
      </c>
      <c r="AA123" s="650" t="s">
        <v>769</v>
      </c>
      <c r="AB123" s="651" t="str">
        <f>IF(OR(ISNUMBER(Z126),ISNUMBER(Z127),ISNUMBER(Z128),ISNUMBER(Z129)),Lire_Gain_Matches(AB126:AB129, Z126:Z129),"")</f>
        <v/>
      </c>
      <c r="AC123" s="672"/>
      <c r="AD123" s="231" t="str">
        <f>IF(ISNA(VLOOKUP("X",AD126:AD129,1,FALSE)),"","X")</f>
        <v/>
      </c>
      <c r="AE123" s="270" t="str">
        <f>IF(Z123="","",IF(Z123&gt;AB123,Y123,IF(Z123=AB123,IF(AL123=Y123,AC123,IF(AL123=AC123,Y123,"")),AC123)))</f>
        <v/>
      </c>
      <c r="AF123" s="270" t="str">
        <f>IF(Z123="","",IF(Z123=AB123,IF(AL123=Y123,"",IF(AL123=AC123,"",Y123)),""))</f>
        <v/>
      </c>
      <c r="AG123" s="270" t="str">
        <f>IF(Z123="","",IF(Z123=AB123,IF(AL123=Y123,"",IF(AL123=AC123,"",AC123)),""))</f>
        <v/>
      </c>
      <c r="AH123" s="270" t="str">
        <f>IF(Z123="","",IF(Z123&lt;AB123,Y123,IF(Z123=AB123,IF(AL123=Y123,Y123,IF(AL123=AC123,AC123,"")),AC123)))</f>
        <v/>
      </c>
      <c r="AI123" s="270"/>
      <c r="AJ123" s="270"/>
      <c r="AK123" s="270"/>
      <c r="AL123" s="270" t="str">
        <f>IF(COUNTIF(Y126:Y129,WithdrawLabel)&gt;COUNTIF(AC126:AC129,WithdrawLabel),Y123,IF(COUNTIF(AC126:AC129,WithdrawLabel)&gt;COUNTIF(Y126:Y129,WithdrawLabel),AC123,""))</f>
        <v/>
      </c>
      <c r="AM123" s="598"/>
      <c r="AN123" s="270"/>
      <c r="AO123" s="270"/>
      <c r="AP123" s="270"/>
      <c r="AQ123" s="270"/>
      <c r="AR123" s="270"/>
      <c r="AS123" s="270"/>
      <c r="AT123" s="270"/>
      <c r="AU123" s="270"/>
      <c r="AV123" s="270"/>
      <c r="AW123" s="270"/>
      <c r="AX123" s="270"/>
      <c r="AY123" s="270"/>
      <c r="AZ123" s="270"/>
      <c r="BA123" s="270"/>
      <c r="BB123" s="270"/>
      <c r="BC123" s="270"/>
      <c r="BD123" s="270"/>
      <c r="BE123" s="270"/>
      <c r="BF123" s="270"/>
      <c r="BG123" s="270"/>
      <c r="BH123" s="270"/>
      <c r="BI123" s="270"/>
      <c r="BJ123" s="270"/>
      <c r="BK123" s="270"/>
      <c r="BL123" s="270"/>
      <c r="BM123" s="270"/>
      <c r="BN123" s="270"/>
      <c r="BO123" s="270"/>
      <c r="BP123" s="270"/>
      <c r="BQ123" s="270"/>
    </row>
    <row r="124" spans="1:69" ht="18.75" hidden="1" outlineLevel="1" thickBot="1" x14ac:dyDescent="0.25">
      <c r="A124" s="270"/>
      <c r="B124" s="270"/>
      <c r="C124" s="270"/>
      <c r="D124" s="270"/>
      <c r="E124" s="270"/>
      <c r="F124" s="270"/>
      <c r="G124" s="270"/>
      <c r="H124" s="270"/>
      <c r="I124" s="270"/>
      <c r="J124" s="270"/>
      <c r="K124" s="270"/>
      <c r="L124" s="270"/>
      <c r="M124" s="270"/>
      <c r="N124" s="270"/>
      <c r="O124" s="270"/>
      <c r="P124" s="270"/>
      <c r="Q124" s="270"/>
      <c r="R124" s="270"/>
      <c r="S124" s="270"/>
      <c r="T124" s="270"/>
      <c r="U124" s="632"/>
      <c r="V124" s="629"/>
      <c r="W124" s="647"/>
      <c r="X124" s="647"/>
      <c r="Y124" s="652" t="str">
        <f>N_Total_buts</f>
        <v>Total des buts</v>
      </c>
      <c r="Z124" s="649" t="str">
        <f>IF(OR(ISNUMBER(Z126),ISNUMBER(Z127),ISNUMBER(Z128),ISNUMBER(Z129)),SUM(Z126:Z129),"")</f>
        <v/>
      </c>
      <c r="AA124" s="650" t="s">
        <v>769</v>
      </c>
      <c r="AB124" s="651" t="str">
        <f>IF(OR(ISNUMBER(Z126),ISNUMBER(Z127),ISNUMBER(Z128),ISNUMBER(Z129)),SUM(AB126:AB129),"")</f>
        <v/>
      </c>
      <c r="AC124" s="653" t="str">
        <f>IF(Z130="","",CONCATENATE("(Diff : ",Z130," - ",AB130,")"))</f>
        <v/>
      </c>
      <c r="AD124" s="270"/>
      <c r="AE124" s="270"/>
      <c r="AF124" s="270"/>
      <c r="AG124" s="270"/>
      <c r="AH124" s="270"/>
      <c r="AI124" s="270"/>
      <c r="AJ124" s="270"/>
      <c r="AK124" s="270"/>
      <c r="AL124" s="270"/>
      <c r="AM124" s="610"/>
      <c r="AN124" s="270"/>
      <c r="AO124" s="270"/>
      <c r="AP124" s="270"/>
      <c r="AQ124" s="270"/>
      <c r="AR124" s="270"/>
      <c r="AS124" s="270"/>
      <c r="AT124" s="270"/>
      <c r="AU124" s="270"/>
      <c r="AV124" s="270"/>
      <c r="AW124" s="270"/>
      <c r="AX124" s="270"/>
      <c r="AY124" s="270"/>
      <c r="AZ124" s="270"/>
      <c r="BA124" s="270"/>
      <c r="BB124" s="270"/>
      <c r="BC124" s="270"/>
      <c r="BD124" s="270"/>
      <c r="BE124" s="270"/>
      <c r="BF124" s="270"/>
      <c r="BG124" s="270"/>
      <c r="BH124" s="270"/>
      <c r="BI124" s="270"/>
      <c r="BJ124" s="270"/>
      <c r="BK124" s="270"/>
      <c r="BL124" s="270"/>
      <c r="BM124" s="270"/>
      <c r="BN124" s="270"/>
      <c r="BO124" s="270"/>
      <c r="BP124" s="270"/>
      <c r="BQ124" s="270"/>
    </row>
    <row r="125" spans="1:69" ht="26.25" hidden="1" outlineLevel="1" collapsed="1" thickBot="1" x14ac:dyDescent="0.25">
      <c r="A125" s="270"/>
      <c r="B125" s="270"/>
      <c r="C125" s="270"/>
      <c r="D125" s="270"/>
      <c r="E125" s="270"/>
      <c r="F125" s="270"/>
      <c r="G125" s="270"/>
      <c r="H125" s="270"/>
      <c r="I125" s="270"/>
      <c r="J125" s="1334" t="str">
        <f>IF(Z125="","",IF(Z125=Y123,AC123,Y123))</f>
        <v/>
      </c>
      <c r="K125" s="270"/>
      <c r="L125" s="270"/>
      <c r="M125" s="270"/>
      <c r="N125" s="270"/>
      <c r="O125" s="270"/>
      <c r="P125" s="270"/>
      <c r="Q125" s="270"/>
      <c r="R125" s="270"/>
      <c r="S125" s="270"/>
      <c r="T125" s="270"/>
      <c r="U125" s="632"/>
      <c r="V125" s="629"/>
      <c r="W125" s="647"/>
      <c r="X125" s="647"/>
      <c r="Y125" s="654" t="str">
        <f>N_VAINQUEUR</f>
        <v>VAINQUEUR</v>
      </c>
      <c r="Z125" s="2406" t="str">
        <f>IF(AL122&lt;&gt;"OK",IF(HidePlayerFormulas,"","("&amp;Y123&amp;"-"&amp;AC123&amp;")"),IF(AE123="",IF(Z124&gt;AB124,Y123,IF(Z124&lt;AB124,AC123,mess_erreur_marque)),AE123))</f>
        <v/>
      </c>
      <c r="AA125" s="2407"/>
      <c r="AB125" s="2407"/>
      <c r="AC125" s="2408"/>
      <c r="AD125" s="270"/>
      <c r="AE125" s="270"/>
      <c r="AF125" s="270"/>
      <c r="AG125" s="270"/>
      <c r="AH125" s="270"/>
      <c r="AI125" s="270"/>
      <c r="AJ125" s="270"/>
      <c r="AK125" s="270"/>
      <c r="AL125" s="270"/>
      <c r="AM125" s="598"/>
      <c r="AN125" s="270"/>
      <c r="AO125" s="270"/>
      <c r="AP125" s="270"/>
      <c r="AQ125" s="270"/>
      <c r="AR125" s="270"/>
      <c r="AS125" s="270"/>
      <c r="AT125" s="270"/>
      <c r="AU125" s="270"/>
      <c r="AV125" s="270"/>
      <c r="AW125" s="270"/>
      <c r="AX125" s="270"/>
      <c r="AY125" s="270"/>
      <c r="AZ125" s="270"/>
      <c r="BA125" s="270"/>
      <c r="BB125" s="270"/>
      <c r="BC125" s="270"/>
      <c r="BD125" s="270"/>
      <c r="BE125" s="270"/>
      <c r="BF125" s="270"/>
      <c r="BG125" s="270"/>
      <c r="BH125" s="270"/>
      <c r="BI125" s="270"/>
      <c r="BJ125" s="270"/>
      <c r="BK125" s="270"/>
      <c r="BL125" s="270"/>
      <c r="BM125" s="270"/>
      <c r="BN125" s="270"/>
      <c r="BO125" s="270"/>
      <c r="BP125" s="270"/>
      <c r="BQ125" s="270"/>
    </row>
    <row r="126" spans="1:69" ht="26.25" hidden="1" outlineLevel="3" thickBot="1" x14ac:dyDescent="0.25">
      <c r="A126" s="270"/>
      <c r="B126" s="270"/>
      <c r="C126" s="270"/>
      <c r="D126" s="270"/>
      <c r="E126" s="270"/>
      <c r="F126" s="270"/>
      <c r="G126" s="270"/>
      <c r="H126" s="270"/>
      <c r="I126" s="270"/>
      <c r="J126" s="270"/>
      <c r="K126" s="270"/>
      <c r="L126" s="270"/>
      <c r="M126" s="270"/>
      <c r="N126" s="270"/>
      <c r="O126" s="270"/>
      <c r="P126" s="270"/>
      <c r="Q126" s="270"/>
      <c r="R126" s="270"/>
      <c r="S126" s="270"/>
      <c r="T126" s="270"/>
      <c r="U126" s="632"/>
      <c r="V126" s="636"/>
      <c r="W126" s="655"/>
      <c r="X126" s="656"/>
      <c r="Y126" s="657"/>
      <c r="Z126" s="484"/>
      <c r="AA126" s="485" t="s">
        <v>769</v>
      </c>
      <c r="AB126" s="484"/>
      <c r="AC126" s="930"/>
      <c r="AD126" s="637"/>
      <c r="AE126" s="270"/>
      <c r="AF126" s="270"/>
      <c r="AG126" s="270"/>
      <c r="AH126" s="270"/>
      <c r="AI126" s="270"/>
      <c r="AJ126" s="270"/>
      <c r="AK126" s="270"/>
      <c r="AL126" s="270"/>
      <c r="AM126" s="598"/>
      <c r="AN126" s="270"/>
      <c r="AO126" s="270"/>
      <c r="AP126" s="270"/>
      <c r="AQ126" s="270"/>
      <c r="AR126" s="270"/>
      <c r="AS126" s="270"/>
      <c r="AT126" s="270"/>
      <c r="AU126" s="270"/>
      <c r="AV126" s="270"/>
      <c r="AW126" s="270"/>
      <c r="AX126" s="270"/>
      <c r="AY126" s="270"/>
      <c r="AZ126" s="270"/>
      <c r="BA126" s="270"/>
      <c r="BB126" s="270"/>
      <c r="BC126" s="270"/>
      <c r="BD126" s="270"/>
      <c r="BE126" s="270"/>
      <c r="BF126" s="270"/>
      <c r="BG126" s="270"/>
      <c r="BH126" s="270"/>
      <c r="BI126" s="270"/>
      <c r="BJ126" s="270"/>
      <c r="BK126" s="270"/>
      <c r="BL126" s="270"/>
      <c r="BM126" s="270"/>
      <c r="BN126" s="270"/>
      <c r="BO126" s="270"/>
      <c r="BP126" s="270"/>
      <c r="BQ126" s="270"/>
    </row>
    <row r="127" spans="1:69" ht="26.25" hidden="1" outlineLevel="3" thickBot="1" x14ac:dyDescent="0.25">
      <c r="A127" s="270"/>
      <c r="B127" s="270"/>
      <c r="C127" s="270"/>
      <c r="D127" s="270"/>
      <c r="E127" s="270"/>
      <c r="F127" s="270"/>
      <c r="G127" s="270"/>
      <c r="H127" s="270"/>
      <c r="I127" s="270"/>
      <c r="J127" s="270"/>
      <c r="K127" s="270"/>
      <c r="L127" s="270"/>
      <c r="M127" s="270"/>
      <c r="N127" s="270"/>
      <c r="O127" s="270"/>
      <c r="P127" s="270"/>
      <c r="Q127" s="270"/>
      <c r="R127" s="270"/>
      <c r="S127" s="270"/>
      <c r="T127" s="270"/>
      <c r="U127" s="632"/>
      <c r="V127" s="638"/>
      <c r="W127" s="658"/>
      <c r="X127" s="659"/>
      <c r="Y127" s="627"/>
      <c r="Z127" s="492"/>
      <c r="AA127" s="493" t="s">
        <v>769</v>
      </c>
      <c r="AB127" s="492"/>
      <c r="AC127" s="931"/>
      <c r="AD127" s="639"/>
      <c r="AE127" s="270"/>
      <c r="AF127" s="270"/>
      <c r="AG127" s="270"/>
      <c r="AH127" s="270"/>
      <c r="AI127" s="270"/>
      <c r="AJ127" s="270"/>
      <c r="AK127" s="270"/>
      <c r="AL127" s="270"/>
      <c r="AM127" s="598"/>
      <c r="AN127" s="270"/>
      <c r="AO127" s="270"/>
      <c r="AP127" s="270"/>
      <c r="AQ127" s="270"/>
      <c r="AR127" s="270"/>
      <c r="AS127" s="270"/>
      <c r="AT127" s="270"/>
      <c r="AU127" s="270"/>
      <c r="AV127" s="270"/>
      <c r="AW127" s="270"/>
      <c r="AX127" s="270"/>
      <c r="AY127" s="270"/>
      <c r="AZ127" s="270"/>
      <c r="BA127" s="270"/>
      <c r="BB127" s="270"/>
      <c r="BC127" s="270"/>
      <c r="BD127" s="270"/>
      <c r="BE127" s="270"/>
      <c r="BF127" s="270"/>
      <c r="BG127" s="270"/>
      <c r="BH127" s="270"/>
      <c r="BI127" s="270"/>
      <c r="BJ127" s="270"/>
      <c r="BK127" s="270"/>
      <c r="BL127" s="270"/>
      <c r="BM127" s="270"/>
      <c r="BN127" s="270"/>
      <c r="BO127" s="270"/>
      <c r="BP127" s="270"/>
      <c r="BQ127" s="270"/>
    </row>
    <row r="128" spans="1:69" ht="26.25" hidden="1" outlineLevel="3" thickBot="1" x14ac:dyDescent="0.25">
      <c r="A128" s="270"/>
      <c r="B128" s="270"/>
      <c r="C128" s="270"/>
      <c r="D128" s="270"/>
      <c r="E128" s="270"/>
      <c r="F128" s="270"/>
      <c r="G128" s="270"/>
      <c r="H128" s="270"/>
      <c r="I128" s="270"/>
      <c r="J128" s="270"/>
      <c r="K128" s="270"/>
      <c r="L128" s="270"/>
      <c r="M128" s="270"/>
      <c r="N128" s="270"/>
      <c r="O128" s="270"/>
      <c r="P128" s="270"/>
      <c r="Q128" s="270"/>
      <c r="R128" s="270"/>
      <c r="S128" s="270"/>
      <c r="T128" s="270"/>
      <c r="U128" s="632"/>
      <c r="V128" s="638"/>
      <c r="W128" s="658"/>
      <c r="X128" s="659"/>
      <c r="Y128" s="627"/>
      <c r="Z128" s="492"/>
      <c r="AA128" s="493" t="s">
        <v>769</v>
      </c>
      <c r="AB128" s="492"/>
      <c r="AC128" s="931"/>
      <c r="AD128" s="640"/>
      <c r="AE128" s="270"/>
      <c r="AF128" s="270"/>
      <c r="AG128" s="270"/>
      <c r="AH128" s="270"/>
      <c r="AI128" s="270"/>
      <c r="AJ128" s="270"/>
      <c r="AK128" s="270"/>
      <c r="AL128" s="270"/>
      <c r="AM128" s="598"/>
      <c r="AN128" s="270"/>
      <c r="AO128" s="270"/>
      <c r="AP128" s="270"/>
      <c r="AQ128" s="270"/>
      <c r="AR128" s="270"/>
      <c r="AS128" s="270"/>
      <c r="AT128" s="270"/>
      <c r="AU128" s="270"/>
      <c r="AV128" s="270"/>
      <c r="AW128" s="270"/>
      <c r="AX128" s="270"/>
      <c r="AY128" s="270"/>
      <c r="AZ128" s="270"/>
      <c r="BA128" s="270"/>
      <c r="BB128" s="270"/>
      <c r="BC128" s="270"/>
      <c r="BD128" s="270"/>
      <c r="BE128" s="270"/>
      <c r="BF128" s="270"/>
      <c r="BG128" s="270"/>
      <c r="BH128" s="270"/>
      <c r="BI128" s="270"/>
      <c r="BJ128" s="270"/>
      <c r="BK128" s="270"/>
      <c r="BL128" s="270"/>
      <c r="BM128" s="270"/>
      <c r="BN128" s="270"/>
      <c r="BO128" s="270"/>
      <c r="BP128" s="270"/>
      <c r="BQ128" s="270"/>
    </row>
    <row r="129" spans="1:69" ht="26.25" hidden="1" outlineLevel="3" thickBot="1" x14ac:dyDescent="0.25">
      <c r="A129" s="270"/>
      <c r="B129" s="270"/>
      <c r="C129" s="270"/>
      <c r="D129" s="270"/>
      <c r="E129" s="270"/>
      <c r="F129" s="270"/>
      <c r="G129" s="270"/>
      <c r="H129" s="270"/>
      <c r="I129" s="270"/>
      <c r="J129" s="270"/>
      <c r="K129" s="270"/>
      <c r="L129" s="270"/>
      <c r="M129" s="270"/>
      <c r="N129" s="270"/>
      <c r="O129" s="270"/>
      <c r="P129" s="270"/>
      <c r="Q129" s="270"/>
      <c r="R129" s="270"/>
      <c r="S129" s="270"/>
      <c r="T129" s="270"/>
      <c r="U129" s="632"/>
      <c r="V129" s="641"/>
      <c r="W129" s="660"/>
      <c r="X129" s="661"/>
      <c r="Y129" s="631"/>
      <c r="Z129" s="496"/>
      <c r="AA129" s="497" t="s">
        <v>769</v>
      </c>
      <c r="AB129" s="496"/>
      <c r="AC129" s="932"/>
      <c r="AD129" s="642"/>
      <c r="AE129" s="270"/>
      <c r="AF129" s="270"/>
      <c r="AG129" s="270"/>
      <c r="AH129" s="270"/>
      <c r="AI129" s="270"/>
      <c r="AJ129" s="270"/>
      <c r="AK129" s="270"/>
      <c r="AL129" s="270"/>
      <c r="AM129" s="598"/>
      <c r="AN129" s="270"/>
      <c r="AO129" s="270"/>
      <c r="AP129" s="270"/>
      <c r="AQ129" s="270"/>
      <c r="AR129" s="270"/>
      <c r="AS129" s="270"/>
      <c r="AT129" s="270"/>
      <c r="AU129" s="270"/>
      <c r="AV129" s="270"/>
      <c r="AW129" s="270"/>
      <c r="AX129" s="270"/>
      <c r="AY129" s="270"/>
      <c r="AZ129" s="270"/>
      <c r="BA129" s="270"/>
      <c r="BB129" s="270"/>
      <c r="BC129" s="270"/>
      <c r="BD129" s="270"/>
      <c r="BE129" s="270"/>
      <c r="BF129" s="270"/>
      <c r="BG129" s="270"/>
      <c r="BH129" s="270"/>
      <c r="BI129" s="270"/>
      <c r="BJ129" s="270"/>
      <c r="BK129" s="270"/>
      <c r="BL129" s="270"/>
      <c r="BM129" s="270"/>
      <c r="BN129" s="270"/>
      <c r="BO129" s="270"/>
      <c r="BP129" s="270"/>
      <c r="BQ129" s="270"/>
    </row>
    <row r="130" spans="1:69" ht="26.25" hidden="1" outlineLevel="3" thickBot="1" x14ac:dyDescent="0.25">
      <c r="A130" s="270"/>
      <c r="B130" s="270"/>
      <c r="C130" s="270"/>
      <c r="D130" s="270"/>
      <c r="E130" s="270"/>
      <c r="F130" s="270"/>
      <c r="G130" s="270"/>
      <c r="H130" s="270"/>
      <c r="I130" s="270"/>
      <c r="J130" s="270"/>
      <c r="K130" s="270"/>
      <c r="L130" s="270"/>
      <c r="M130" s="270"/>
      <c r="N130" s="270"/>
      <c r="O130" s="270"/>
      <c r="P130" s="270"/>
      <c r="Q130" s="270"/>
      <c r="R130" s="270"/>
      <c r="S130" s="270"/>
      <c r="T130" s="270"/>
      <c r="U130" s="632"/>
      <c r="V130" s="643"/>
      <c r="W130" s="644" t="str">
        <f>N_Différentiel</f>
        <v>Différentiel</v>
      </c>
      <c r="X130" s="662"/>
      <c r="Y130" s="663"/>
      <c r="Z130" s="488"/>
      <c r="AA130" s="489" t="s">
        <v>769</v>
      </c>
      <c r="AB130" s="488"/>
      <c r="AC130" s="933"/>
      <c r="AD130" s="270"/>
      <c r="AE130" s="270"/>
      <c r="AF130" s="270"/>
      <c r="AG130" s="270"/>
      <c r="AH130" s="270"/>
      <c r="AI130" s="270"/>
      <c r="AJ130" s="270"/>
      <c r="AK130" s="270"/>
      <c r="AL130" s="270"/>
      <c r="AM130" s="598"/>
      <c r="AN130" s="270"/>
      <c r="AO130" s="270"/>
      <c r="AP130" s="270"/>
      <c r="AQ130" s="270"/>
      <c r="AR130" s="270"/>
      <c r="AS130" s="270"/>
      <c r="AT130" s="270"/>
      <c r="AU130" s="270"/>
      <c r="AV130" s="270"/>
      <c r="AW130" s="270"/>
      <c r="AX130" s="270"/>
      <c r="AY130" s="270"/>
      <c r="AZ130" s="270"/>
      <c r="BA130" s="270"/>
      <c r="BB130" s="270"/>
      <c r="BC130" s="270"/>
      <c r="BD130" s="270"/>
      <c r="BE130" s="270"/>
      <c r="BF130" s="270"/>
      <c r="BG130" s="270"/>
      <c r="BH130" s="270"/>
      <c r="BI130" s="270"/>
      <c r="BJ130" s="270"/>
      <c r="BK130" s="270"/>
      <c r="BL130" s="270"/>
      <c r="BM130" s="270"/>
      <c r="BN130" s="270"/>
      <c r="BO130" s="270"/>
      <c r="BP130" s="270"/>
      <c r="BQ130" s="270"/>
    </row>
    <row r="131" spans="1:69" ht="26.25" hidden="1" outlineLevel="3" thickBot="1" x14ac:dyDescent="0.25">
      <c r="A131" s="270"/>
      <c r="B131" s="270"/>
      <c r="C131" s="270"/>
      <c r="D131" s="270"/>
      <c r="E131" s="270"/>
      <c r="F131" s="270"/>
      <c r="G131" s="270"/>
      <c r="H131" s="270"/>
      <c r="I131" s="270"/>
      <c r="J131" s="270"/>
      <c r="K131" s="270"/>
      <c r="L131" s="270"/>
      <c r="M131" s="270"/>
      <c r="N131" s="270"/>
      <c r="O131" s="270"/>
      <c r="P131" s="270"/>
      <c r="Q131" s="270"/>
      <c r="R131" s="270"/>
      <c r="S131" s="270"/>
      <c r="T131" s="270"/>
      <c r="U131" s="632"/>
      <c r="V131" s="643"/>
      <c r="W131" s="664"/>
      <c r="X131" s="665" t="str">
        <f>N_Substitute</f>
        <v>Remplaçant</v>
      </c>
      <c r="Y131" s="657"/>
      <c r="Z131" s="480"/>
      <c r="AA131" s="666"/>
      <c r="AB131" s="480"/>
      <c r="AC131" s="934"/>
      <c r="AD131" s="270"/>
      <c r="AE131" s="270"/>
      <c r="AF131" s="270"/>
      <c r="AG131" s="270"/>
      <c r="AH131" s="270"/>
      <c r="AI131" s="270"/>
      <c r="AJ131" s="270"/>
      <c r="AK131" s="270"/>
      <c r="AL131" s="270"/>
      <c r="AM131" s="598"/>
      <c r="AN131" s="270"/>
      <c r="AO131" s="270"/>
      <c r="AP131" s="270"/>
      <c r="AQ131" s="270"/>
      <c r="AR131" s="270"/>
      <c r="AS131" s="270"/>
      <c r="AT131" s="270"/>
      <c r="AU131" s="270"/>
      <c r="AV131" s="270"/>
      <c r="AW131" s="270"/>
      <c r="AX131" s="270"/>
      <c r="AY131" s="270"/>
      <c r="AZ131" s="270"/>
      <c r="BA131" s="270"/>
      <c r="BB131" s="270"/>
      <c r="BC131" s="270"/>
      <c r="BD131" s="270"/>
      <c r="BE131" s="270"/>
      <c r="BF131" s="270"/>
      <c r="BG131" s="270"/>
      <c r="BH131" s="270"/>
      <c r="BI131" s="270"/>
      <c r="BJ131" s="270"/>
      <c r="BK131" s="270"/>
      <c r="BL131" s="270"/>
      <c r="BM131" s="270"/>
      <c r="BN131" s="270"/>
      <c r="BO131" s="270"/>
      <c r="BP131" s="270"/>
      <c r="BQ131" s="270"/>
    </row>
    <row r="132" spans="1:69" ht="26.25" hidden="1" outlineLevel="3" thickBot="1" x14ac:dyDescent="0.25">
      <c r="A132" s="270"/>
      <c r="B132" s="270"/>
      <c r="C132" s="270"/>
      <c r="D132" s="270"/>
      <c r="E132" s="270"/>
      <c r="F132" s="270"/>
      <c r="G132" s="270"/>
      <c r="H132" s="270"/>
      <c r="I132" s="270"/>
      <c r="J132" s="270"/>
      <c r="K132" s="270"/>
      <c r="L132" s="270"/>
      <c r="M132" s="270"/>
      <c r="N132" s="270"/>
      <c r="O132" s="270"/>
      <c r="P132" s="270"/>
      <c r="Q132" s="270"/>
      <c r="R132" s="270"/>
      <c r="S132" s="270"/>
      <c r="T132" s="270"/>
      <c r="U132" s="632"/>
      <c r="V132" s="643"/>
      <c r="W132" s="664"/>
      <c r="X132" s="667" t="str">
        <f>N_Substitute</f>
        <v>Remplaçant</v>
      </c>
      <c r="Y132" s="663"/>
      <c r="Z132" s="488"/>
      <c r="AA132" s="668"/>
      <c r="AB132" s="488"/>
      <c r="AC132" s="933"/>
      <c r="AD132" s="270"/>
      <c r="AE132" s="270"/>
      <c r="AF132" s="270"/>
      <c r="AG132" s="270"/>
      <c r="AH132" s="270"/>
      <c r="AI132" s="270"/>
      <c r="AJ132" s="270"/>
      <c r="AK132" s="270"/>
      <c r="AL132" s="270"/>
      <c r="AM132" s="598"/>
      <c r="AN132" s="270"/>
      <c r="AO132" s="270"/>
      <c r="AP132" s="270"/>
      <c r="AQ132" s="270"/>
      <c r="AR132" s="270"/>
      <c r="AS132" s="270"/>
      <c r="AT132" s="270"/>
      <c r="AU132" s="270"/>
      <c r="AV132" s="270"/>
      <c r="AW132" s="270"/>
      <c r="AX132" s="270"/>
      <c r="AY132" s="270"/>
      <c r="AZ132" s="270"/>
      <c r="BA132" s="270"/>
      <c r="BB132" s="270"/>
      <c r="BC132" s="270"/>
      <c r="BD132" s="270"/>
      <c r="BE132" s="270"/>
      <c r="BF132" s="270"/>
      <c r="BG132" s="270"/>
      <c r="BH132" s="270"/>
      <c r="BI132" s="270"/>
      <c r="BJ132" s="270"/>
      <c r="BK132" s="270"/>
      <c r="BL132" s="270"/>
      <c r="BM132" s="270"/>
      <c r="BN132" s="270"/>
      <c r="BO132" s="270"/>
      <c r="BP132" s="270"/>
      <c r="BQ132" s="270"/>
    </row>
    <row r="133" spans="1:69" ht="13.5" hidden="1" outlineLevel="1" thickBot="1" x14ac:dyDescent="0.25">
      <c r="A133" s="270"/>
      <c r="B133" s="270"/>
      <c r="C133" s="270"/>
      <c r="D133" s="270"/>
      <c r="E133" s="270"/>
      <c r="F133" s="270"/>
      <c r="G133" s="270"/>
      <c r="H133" s="270"/>
      <c r="I133" s="270"/>
      <c r="J133" s="270"/>
      <c r="K133" s="270"/>
      <c r="L133" s="270"/>
      <c r="M133" s="270"/>
      <c r="N133" s="270"/>
      <c r="O133" s="270"/>
      <c r="P133" s="270"/>
      <c r="Q133" s="270"/>
      <c r="R133" s="270"/>
      <c r="S133" s="270"/>
      <c r="T133" s="270"/>
      <c r="U133" s="632"/>
      <c r="V133" s="270"/>
      <c r="W133" s="270"/>
      <c r="X133" s="270"/>
      <c r="Y133" s="270"/>
      <c r="Z133" s="270"/>
      <c r="AA133" s="270"/>
      <c r="AB133" s="270"/>
      <c r="AC133" s="270"/>
      <c r="AD133" s="270"/>
      <c r="AE133" s="270"/>
      <c r="AF133" s="270"/>
      <c r="AG133" s="270"/>
      <c r="AH133" s="270"/>
      <c r="AI133" s="270"/>
      <c r="AJ133" s="270"/>
      <c r="AK133" s="270"/>
      <c r="AL133" s="270"/>
      <c r="AM133" s="270"/>
      <c r="AN133" s="270"/>
      <c r="AO133" s="270"/>
      <c r="AP133" s="270"/>
      <c r="AQ133" s="270"/>
      <c r="AR133" s="270"/>
      <c r="AS133" s="270"/>
      <c r="AT133" s="270"/>
      <c r="AU133" s="270"/>
      <c r="AV133" s="270"/>
      <c r="AW133" s="270"/>
      <c r="AX133" s="270"/>
      <c r="AY133" s="270"/>
      <c r="AZ133" s="270"/>
      <c r="BA133" s="270"/>
      <c r="BB133" s="270"/>
      <c r="BC133" s="270"/>
      <c r="BD133" s="270"/>
      <c r="BE133" s="270"/>
      <c r="BF133" s="270"/>
      <c r="BG133" s="270"/>
      <c r="BH133" s="270"/>
      <c r="BI133" s="270"/>
      <c r="BJ133" s="270"/>
      <c r="BK133" s="270"/>
      <c r="BL133" s="270"/>
      <c r="BM133" s="270"/>
      <c r="BN133" s="270"/>
      <c r="BO133" s="270"/>
      <c r="BP133" s="270"/>
      <c r="BQ133" s="270"/>
    </row>
    <row r="134" spans="1:69" ht="13.5" collapsed="1" thickBot="1" x14ac:dyDescent="0.25">
      <c r="A134" s="270"/>
      <c r="B134" s="2409" t="str">
        <f>N_QUART_DE_FINALE</f>
        <v>1/4 DE FINALE</v>
      </c>
      <c r="C134" s="2410"/>
      <c r="D134" s="2410"/>
      <c r="E134" s="2410"/>
      <c r="F134" s="2410"/>
      <c r="G134" s="2410"/>
      <c r="H134" s="2410"/>
      <c r="I134" s="2410"/>
      <c r="J134" s="2410"/>
      <c r="K134" s="2410"/>
      <c r="L134" s="2410"/>
      <c r="M134" s="2410"/>
      <c r="N134" s="2410"/>
      <c r="O134" s="2410"/>
      <c r="P134" s="2410"/>
      <c r="Q134" s="2410"/>
      <c r="R134" s="2410"/>
      <c r="S134" s="2410"/>
      <c r="T134" s="2410"/>
      <c r="U134" s="2410"/>
      <c r="V134" s="2410"/>
      <c r="W134" s="2410"/>
      <c r="X134" s="2410"/>
      <c r="Y134" s="2410"/>
      <c r="Z134" s="2410"/>
      <c r="AA134" s="2410"/>
      <c r="AB134" s="2410"/>
      <c r="AC134" s="2410"/>
      <c r="AD134" s="2410"/>
      <c r="AE134" s="2410"/>
      <c r="AF134" s="2410"/>
      <c r="AG134" s="2410"/>
      <c r="AH134" s="2410"/>
      <c r="AI134" s="2410"/>
      <c r="AJ134" s="2410"/>
      <c r="AK134" s="2410"/>
      <c r="AL134" s="2410"/>
      <c r="AM134" s="2411"/>
      <c r="AN134" s="270"/>
      <c r="AO134" s="270"/>
      <c r="AP134" s="270"/>
      <c r="AQ134" s="270"/>
      <c r="AR134" s="270"/>
      <c r="AS134" s="270"/>
      <c r="AT134" s="270"/>
      <c r="AU134" s="270"/>
      <c r="AV134" s="270"/>
      <c r="AW134" s="270"/>
      <c r="AX134" s="270"/>
      <c r="AY134" s="270"/>
      <c r="AZ134" s="270"/>
      <c r="BA134" s="270"/>
      <c r="BB134" s="270"/>
      <c r="BC134" s="270"/>
      <c r="BD134" s="270"/>
      <c r="BE134" s="270"/>
      <c r="BF134" s="270"/>
      <c r="BG134" s="270"/>
      <c r="BH134" s="270"/>
      <c r="BI134" s="270"/>
      <c r="BJ134" s="270"/>
      <c r="BK134" s="270"/>
      <c r="BL134" s="270"/>
      <c r="BM134" s="270"/>
      <c r="BN134" s="270"/>
      <c r="BO134" s="270"/>
      <c r="BP134" s="270"/>
      <c r="BQ134" s="270"/>
    </row>
    <row r="135" spans="1:69" ht="13.5" hidden="1" outlineLevel="1" thickBot="1" x14ac:dyDescent="0.25">
      <c r="A135" s="270"/>
      <c r="B135" s="270"/>
      <c r="C135" s="270"/>
      <c r="D135" s="270"/>
      <c r="E135" s="270"/>
      <c r="F135" s="270"/>
      <c r="G135" s="270"/>
      <c r="H135" s="270"/>
      <c r="I135" s="270"/>
      <c r="J135" s="270"/>
      <c r="K135" s="270"/>
      <c r="L135" s="270"/>
      <c r="M135" s="270"/>
      <c r="N135" s="270"/>
      <c r="O135" s="270"/>
      <c r="P135" s="270"/>
      <c r="Q135" s="270"/>
      <c r="R135" s="270"/>
      <c r="S135" s="270"/>
      <c r="T135" s="270"/>
      <c r="U135" s="632"/>
      <c r="V135" s="270"/>
      <c r="W135" s="270"/>
      <c r="X135" s="270"/>
      <c r="Y135" s="270"/>
      <c r="Z135" s="270"/>
      <c r="AA135" s="270"/>
      <c r="AB135" s="270"/>
      <c r="AC135" s="270"/>
      <c r="AD135" s="270"/>
      <c r="AE135" s="270"/>
      <c r="AF135" s="270"/>
      <c r="AG135" s="270"/>
      <c r="AH135" s="270"/>
      <c r="AI135" s="270"/>
      <c r="AJ135" s="270"/>
      <c r="AK135" s="270"/>
      <c r="AL135" s="270"/>
      <c r="AM135" s="270"/>
      <c r="AN135" s="270"/>
      <c r="AO135" s="270"/>
      <c r="AP135" s="270"/>
      <c r="AQ135" s="270"/>
      <c r="AR135" s="270"/>
      <c r="AS135" s="270"/>
      <c r="AT135" s="270"/>
      <c r="AU135" s="270"/>
      <c r="AV135" s="270"/>
      <c r="AW135" s="270"/>
      <c r="AX135" s="270"/>
      <c r="AY135" s="270"/>
      <c r="AZ135" s="270"/>
      <c r="BA135" s="270"/>
      <c r="BB135" s="270"/>
      <c r="BC135" s="270"/>
      <c r="BD135" s="270"/>
      <c r="BE135" s="270"/>
      <c r="BF135" s="270"/>
      <c r="BG135" s="270"/>
      <c r="BH135" s="270"/>
      <c r="BI135" s="270"/>
      <c r="BJ135" s="270"/>
      <c r="BK135" s="270"/>
      <c r="BL135" s="270"/>
      <c r="BM135" s="270"/>
      <c r="BN135" s="270"/>
      <c r="BO135" s="270"/>
      <c r="BP135" s="270"/>
      <c r="BQ135" s="270"/>
    </row>
    <row r="136" spans="1:69" ht="13.5" hidden="1" outlineLevel="1" thickBot="1" x14ac:dyDescent="0.25">
      <c r="A136" s="270"/>
      <c r="B136" s="270"/>
      <c r="C136" s="270"/>
      <c r="D136" s="270"/>
      <c r="E136" s="270"/>
      <c r="F136" s="270"/>
      <c r="G136" s="270"/>
      <c r="H136" s="270"/>
      <c r="I136" s="270"/>
      <c r="J136" s="270"/>
      <c r="K136" s="270"/>
      <c r="L136" s="270"/>
      <c r="M136" s="270"/>
      <c r="N136" s="270"/>
      <c r="O136" s="270"/>
      <c r="P136" s="270"/>
      <c r="Q136" s="270"/>
      <c r="R136" s="270"/>
      <c r="S136" s="270"/>
      <c r="T136" s="270"/>
      <c r="U136" s="633"/>
      <c r="V136" s="630" t="str">
        <f>N_Heure</f>
        <v>Heure</v>
      </c>
      <c r="W136" s="630" t="str">
        <f>N_Table</f>
        <v>Table</v>
      </c>
      <c r="X136" s="630" t="str">
        <f>N_Arbitre</f>
        <v>Arbitre</v>
      </c>
      <c r="Y136" s="2403" t="str">
        <f>N_Scores</f>
        <v>Scores</v>
      </c>
      <c r="Z136" s="2404"/>
      <c r="AA136" s="2404"/>
      <c r="AB136" s="2404"/>
      <c r="AC136" s="2405"/>
      <c r="AD136" s="634" t="str">
        <f>N_MS</f>
        <v>MS</v>
      </c>
      <c r="AE136" s="270"/>
      <c r="AF136" s="270"/>
      <c r="AG136" s="270"/>
      <c r="AH136" s="270"/>
      <c r="AI136" s="270"/>
      <c r="AJ136" s="270"/>
      <c r="AK136" s="270"/>
      <c r="AL136" s="270" t="str">
        <f>IF(COUNTA(Z140:Z143)&gt;3,"OK","")</f>
        <v/>
      </c>
      <c r="AM136" s="270"/>
      <c r="AN136" s="270"/>
      <c r="AO136" s="270"/>
      <c r="AP136" s="270"/>
      <c r="AQ136" s="270"/>
      <c r="AR136" s="270"/>
      <c r="AS136" s="270"/>
      <c r="AT136" s="270"/>
      <c r="AU136" s="270"/>
      <c r="AV136" s="270"/>
      <c r="AW136" s="270"/>
      <c r="AX136" s="270"/>
      <c r="AY136" s="270"/>
      <c r="AZ136" s="270"/>
      <c r="BA136" s="270"/>
      <c r="BB136" s="270"/>
      <c r="BC136" s="270"/>
      <c r="BD136" s="270"/>
      <c r="BE136" s="270"/>
      <c r="BF136" s="270"/>
      <c r="BG136" s="270"/>
      <c r="BH136" s="270"/>
      <c r="BI136" s="270"/>
      <c r="BJ136" s="270"/>
      <c r="BK136" s="270"/>
      <c r="BL136" s="270"/>
      <c r="BM136" s="270"/>
      <c r="BN136" s="270"/>
      <c r="BO136" s="270"/>
      <c r="BP136" s="270"/>
      <c r="BQ136" s="270"/>
    </row>
    <row r="137" spans="1:69" ht="26.25" hidden="1" outlineLevel="1" thickBot="1" x14ac:dyDescent="0.25">
      <c r="A137" s="270"/>
      <c r="B137" s="270"/>
      <c r="C137" s="270"/>
      <c r="D137" s="270"/>
      <c r="E137" s="270"/>
      <c r="F137" s="270"/>
      <c r="G137" s="270"/>
      <c r="H137" s="270"/>
      <c r="I137" s="270"/>
      <c r="J137" s="270"/>
      <c r="K137" s="270"/>
      <c r="L137" s="270"/>
      <c r="M137" s="270"/>
      <c r="N137" s="270"/>
      <c r="O137" s="270"/>
      <c r="P137" s="270"/>
      <c r="Q137" s="270"/>
      <c r="R137" s="270"/>
      <c r="S137" s="270"/>
      <c r="T137" s="270"/>
      <c r="U137" s="635" t="s">
        <v>1723</v>
      </c>
      <c r="V137" s="1536"/>
      <c r="W137" s="1537"/>
      <c r="X137" s="1537"/>
      <c r="Y137" s="673"/>
      <c r="Z137" s="649" t="str">
        <f>IF(OR(ISNUMBER(Z140),ISNUMBER(Z141),ISNUMBER(Z142),ISNUMBER(Z143)),Lire_Gain_Matches(Z140:Z143, AB140:AB143),"")</f>
        <v/>
      </c>
      <c r="AA137" s="650" t="s">
        <v>769</v>
      </c>
      <c r="AB137" s="651" t="str">
        <f>IF(OR(ISNUMBER(Z140),ISNUMBER(Z141),ISNUMBER(Z142),ISNUMBER(Z143)),Lire_Gain_Matches(AB140:AB143, Z140:Z143),"")</f>
        <v/>
      </c>
      <c r="AC137" s="673"/>
      <c r="AD137" s="231" t="str">
        <f>IF(ISNA(VLOOKUP("X",AD140:AD143,1,FALSE)),"","X")</f>
        <v/>
      </c>
      <c r="AE137" s="270" t="str">
        <f>IF(Z137="","",IF(Z137&gt;AB137,Y137,IF(Z137=AB137,IF(AL137=Y137,AC137,IF(AL137=AC137,Y137,"")),AC137)))</f>
        <v/>
      </c>
      <c r="AF137" s="270" t="str">
        <f>IF(Z137="","",IF(Z137=AB137,IF(AL137=Y137,"",IF(AL137=AC137,"",Y137)),""))</f>
        <v/>
      </c>
      <c r="AG137" s="270" t="str">
        <f>IF(Z137="","",IF(Z137=AB137,IF(AL137=Y137,"",IF(AL137=AC137,"",AC137)),""))</f>
        <v/>
      </c>
      <c r="AH137" s="270" t="str">
        <f>IF(Z137="","",IF(Z137&lt;AB137,Y137,IF(Z137=AB137,IF(AL137=Y137,Y137,IF(AL137=AC137,AC137,"")),AC137)))</f>
        <v/>
      </c>
      <c r="AI137" s="270"/>
      <c r="AJ137" s="270"/>
      <c r="AK137" s="270"/>
      <c r="AL137" s="270" t="str">
        <f>IF(COUNTIF(Y140:Y143,WithdrawLabel)&gt;COUNTIF(AC140:AC143,WithdrawLabel),Y137,IF(COUNTIF(AC140:AC143,WithdrawLabel)&gt;COUNTIF(Y140:Y143,WithdrawLabel),AC137,""))</f>
        <v/>
      </c>
      <c r="AM137" s="598"/>
      <c r="AN137" s="270"/>
      <c r="AO137" s="270"/>
      <c r="AP137" s="270"/>
      <c r="AQ137" s="270"/>
      <c r="AR137" s="270"/>
      <c r="AS137" s="270"/>
      <c r="AT137" s="270"/>
      <c r="AU137" s="270"/>
      <c r="AV137" s="270"/>
      <c r="AW137" s="270"/>
      <c r="AX137" s="270"/>
      <c r="AY137" s="270"/>
      <c r="AZ137" s="270"/>
      <c r="BA137" s="270"/>
      <c r="BB137" s="270"/>
      <c r="BC137" s="270"/>
      <c r="BD137" s="270"/>
      <c r="BE137" s="270"/>
      <c r="BF137" s="270"/>
      <c r="BG137" s="270"/>
      <c r="BH137" s="270"/>
      <c r="BI137" s="270"/>
      <c r="BJ137" s="270"/>
      <c r="BK137" s="270"/>
      <c r="BL137" s="270"/>
      <c r="BM137" s="270"/>
      <c r="BN137" s="270"/>
      <c r="BO137" s="270"/>
      <c r="BP137" s="270"/>
      <c r="BQ137" s="270"/>
    </row>
    <row r="138" spans="1:69" ht="18.75" hidden="1" outlineLevel="1" thickBot="1" x14ac:dyDescent="0.25">
      <c r="A138" s="270"/>
      <c r="B138" s="270"/>
      <c r="C138" s="270"/>
      <c r="D138" s="270"/>
      <c r="E138" s="270"/>
      <c r="F138" s="270"/>
      <c r="G138" s="270"/>
      <c r="H138" s="270"/>
      <c r="I138" s="270"/>
      <c r="J138" s="270"/>
      <c r="K138" s="270"/>
      <c r="L138" s="270"/>
      <c r="M138" s="270"/>
      <c r="N138" s="270"/>
      <c r="O138" s="270"/>
      <c r="P138" s="270"/>
      <c r="Q138" s="270"/>
      <c r="R138" s="270"/>
      <c r="S138" s="270"/>
      <c r="T138" s="270"/>
      <c r="U138" s="632"/>
      <c r="V138" s="629"/>
      <c r="W138" s="647"/>
      <c r="X138" s="647"/>
      <c r="Y138" s="652" t="str">
        <f>N_Total_buts</f>
        <v>Total des buts</v>
      </c>
      <c r="Z138" s="649" t="str">
        <f>IF(OR(ISNUMBER(Z140),ISNUMBER(Z141),ISNUMBER(Z142),ISNUMBER(Z143)),SUM(Z140:Z143),"")</f>
        <v/>
      </c>
      <c r="AA138" s="650" t="s">
        <v>769</v>
      </c>
      <c r="AB138" s="651" t="str">
        <f>IF(OR(ISNUMBER(Z140),ISNUMBER(Z141),ISNUMBER(Z142),ISNUMBER(Z143)),SUM(AB140:AB143),"")</f>
        <v/>
      </c>
      <c r="AC138" s="653" t="str">
        <f>IF(Z144="","",CONCATENATE("(Diff : ",Z144," - ",AB144,")"))</f>
        <v/>
      </c>
      <c r="AD138" s="270"/>
      <c r="AE138" s="270"/>
      <c r="AF138" s="270"/>
      <c r="AG138" s="270"/>
      <c r="AH138" s="270"/>
      <c r="AI138" s="270"/>
      <c r="AJ138" s="270"/>
      <c r="AK138" s="270"/>
      <c r="AL138" s="270"/>
      <c r="AM138" s="610"/>
      <c r="AN138" s="270"/>
      <c r="AO138" s="270"/>
      <c r="AP138" s="270"/>
      <c r="AQ138" s="270"/>
      <c r="AR138" s="270"/>
      <c r="AS138" s="270"/>
      <c r="AT138" s="270"/>
      <c r="AU138" s="270"/>
      <c r="AV138" s="270"/>
      <c r="AW138" s="270"/>
      <c r="AX138" s="270"/>
      <c r="AY138" s="270"/>
      <c r="AZ138" s="270"/>
      <c r="BA138" s="270"/>
      <c r="BB138" s="270"/>
      <c r="BC138" s="270"/>
      <c r="BD138" s="270"/>
      <c r="BE138" s="270"/>
      <c r="BF138" s="270"/>
      <c r="BG138" s="270"/>
      <c r="BH138" s="270"/>
      <c r="BI138" s="270"/>
      <c r="BJ138" s="270"/>
      <c r="BK138" s="270"/>
      <c r="BL138" s="270"/>
      <c r="BM138" s="270"/>
      <c r="BN138" s="270"/>
      <c r="BO138" s="270"/>
      <c r="BP138" s="270"/>
      <c r="BQ138" s="270"/>
    </row>
    <row r="139" spans="1:69" ht="26.25" hidden="1" outlineLevel="1" collapsed="1" thickBot="1" x14ac:dyDescent="0.25">
      <c r="A139" s="270"/>
      <c r="B139" s="270"/>
      <c r="C139" s="270"/>
      <c r="D139" s="270"/>
      <c r="E139" s="270"/>
      <c r="F139" s="270"/>
      <c r="G139" s="270"/>
      <c r="H139" s="270"/>
      <c r="I139" s="270"/>
      <c r="J139" s="1334" t="str">
        <f>IF(Z139="","",IF(Z139=Y137,AC137,Y137))</f>
        <v/>
      </c>
      <c r="K139" s="270"/>
      <c r="L139" s="270"/>
      <c r="M139" s="270"/>
      <c r="N139" s="270"/>
      <c r="O139" s="270"/>
      <c r="P139" s="270"/>
      <c r="Q139" s="270"/>
      <c r="R139" s="270"/>
      <c r="S139" s="270"/>
      <c r="T139" s="270"/>
      <c r="U139" s="632"/>
      <c r="V139" s="629"/>
      <c r="W139" s="647"/>
      <c r="X139" s="647"/>
      <c r="Y139" s="654" t="str">
        <f>N_VAINQUEUR</f>
        <v>VAINQUEUR</v>
      </c>
      <c r="Z139" s="2412" t="str">
        <f>IF(AL136&lt;&gt;"OK",IF(HidePlayerFormulas,"","("&amp;Y137&amp;"-"&amp;AC137&amp;")"),IF(AE137="",IF(Z138&gt;AB138,Y137,IF(Z138&lt;AB138,AC137,mess_erreur_marque)),AE137))</f>
        <v/>
      </c>
      <c r="AA139" s="2413"/>
      <c r="AB139" s="2413"/>
      <c r="AC139" s="2414"/>
      <c r="AD139" s="270"/>
      <c r="AE139" s="270"/>
      <c r="AF139" s="270"/>
      <c r="AG139" s="270"/>
      <c r="AH139" s="270"/>
      <c r="AI139" s="270"/>
      <c r="AJ139" s="270"/>
      <c r="AK139" s="270"/>
      <c r="AL139" s="270"/>
      <c r="AM139" s="598"/>
      <c r="AN139" s="270"/>
      <c r="AO139" s="270"/>
      <c r="AP139" s="270"/>
      <c r="AQ139" s="270"/>
      <c r="AR139" s="270"/>
      <c r="AS139" s="270"/>
      <c r="AT139" s="270"/>
      <c r="AU139" s="270"/>
      <c r="AV139" s="270"/>
      <c r="AW139" s="270"/>
      <c r="AX139" s="270"/>
      <c r="AY139" s="270"/>
      <c r="AZ139" s="270"/>
      <c r="BA139" s="270"/>
      <c r="BB139" s="270"/>
      <c r="BC139" s="270"/>
      <c r="BD139" s="270"/>
      <c r="BE139" s="270"/>
      <c r="BF139" s="270"/>
      <c r="BG139" s="270"/>
      <c r="BH139" s="270"/>
      <c r="BI139" s="270"/>
      <c r="BJ139" s="270"/>
      <c r="BK139" s="270"/>
      <c r="BL139" s="270"/>
      <c r="BM139" s="270"/>
      <c r="BN139" s="270"/>
      <c r="BO139" s="270"/>
      <c r="BP139" s="270"/>
      <c r="BQ139" s="270"/>
    </row>
    <row r="140" spans="1:69" ht="26.25" hidden="1" outlineLevel="3" thickBot="1" x14ac:dyDescent="0.25">
      <c r="A140" s="270"/>
      <c r="B140" s="270"/>
      <c r="C140" s="270"/>
      <c r="D140" s="270"/>
      <c r="E140" s="270"/>
      <c r="F140" s="270"/>
      <c r="G140" s="270"/>
      <c r="H140" s="270"/>
      <c r="I140" s="270"/>
      <c r="J140" s="270"/>
      <c r="K140" s="270"/>
      <c r="L140" s="270"/>
      <c r="M140" s="270"/>
      <c r="N140" s="270"/>
      <c r="O140" s="270"/>
      <c r="P140" s="270"/>
      <c r="Q140" s="270"/>
      <c r="R140" s="270"/>
      <c r="S140" s="270"/>
      <c r="T140" s="270"/>
      <c r="U140" s="632"/>
      <c r="V140" s="636"/>
      <c r="W140" s="655"/>
      <c r="X140" s="656"/>
      <c r="Y140" s="657"/>
      <c r="Z140" s="484"/>
      <c r="AA140" s="485" t="s">
        <v>769</v>
      </c>
      <c r="AB140" s="484"/>
      <c r="AC140" s="930"/>
      <c r="AD140" s="637"/>
      <c r="AE140" s="270"/>
      <c r="AF140" s="270"/>
      <c r="AG140" s="270"/>
      <c r="AH140" s="270"/>
      <c r="AI140" s="270"/>
      <c r="AJ140" s="270"/>
      <c r="AK140" s="270"/>
      <c r="AL140" s="270"/>
      <c r="AM140" s="598"/>
      <c r="AN140" s="270"/>
      <c r="AO140" s="270"/>
      <c r="AP140" s="270"/>
      <c r="AQ140" s="270"/>
      <c r="AR140" s="270"/>
      <c r="AS140" s="270"/>
      <c r="AT140" s="270"/>
      <c r="AU140" s="270"/>
      <c r="AV140" s="270"/>
      <c r="AW140" s="270"/>
      <c r="AX140" s="270"/>
      <c r="AY140" s="270"/>
      <c r="AZ140" s="270"/>
      <c r="BA140" s="270"/>
      <c r="BB140" s="270"/>
      <c r="BC140" s="270"/>
      <c r="BD140" s="270"/>
      <c r="BE140" s="270"/>
      <c r="BF140" s="270"/>
      <c r="BG140" s="270"/>
      <c r="BH140" s="270"/>
      <c r="BI140" s="270"/>
      <c r="BJ140" s="270"/>
      <c r="BK140" s="270"/>
      <c r="BL140" s="270"/>
      <c r="BM140" s="270"/>
      <c r="BN140" s="270"/>
      <c r="BO140" s="270"/>
      <c r="BP140" s="270"/>
      <c r="BQ140" s="270"/>
    </row>
    <row r="141" spans="1:69" ht="26.25" hidden="1" outlineLevel="3" thickBot="1" x14ac:dyDescent="0.25">
      <c r="A141" s="270"/>
      <c r="B141" s="270"/>
      <c r="C141" s="270"/>
      <c r="D141" s="270"/>
      <c r="E141" s="270"/>
      <c r="F141" s="270"/>
      <c r="G141" s="270"/>
      <c r="H141" s="270"/>
      <c r="I141" s="270"/>
      <c r="J141" s="270"/>
      <c r="K141" s="270"/>
      <c r="L141" s="270"/>
      <c r="M141" s="270"/>
      <c r="N141" s="270"/>
      <c r="O141" s="270"/>
      <c r="P141" s="270"/>
      <c r="Q141" s="270"/>
      <c r="R141" s="270"/>
      <c r="S141" s="270"/>
      <c r="T141" s="270"/>
      <c r="U141" s="632"/>
      <c r="V141" s="638"/>
      <c r="W141" s="658"/>
      <c r="X141" s="659"/>
      <c r="Y141" s="627"/>
      <c r="Z141" s="492"/>
      <c r="AA141" s="493" t="s">
        <v>769</v>
      </c>
      <c r="AB141" s="492"/>
      <c r="AC141" s="931"/>
      <c r="AD141" s="639"/>
      <c r="AE141" s="270"/>
      <c r="AF141" s="270"/>
      <c r="AG141" s="270"/>
      <c r="AH141" s="270"/>
      <c r="AI141" s="270"/>
      <c r="AJ141" s="270"/>
      <c r="AK141" s="270"/>
      <c r="AL141" s="270"/>
      <c r="AM141" s="598"/>
      <c r="AN141" s="270"/>
      <c r="AO141" s="270"/>
      <c r="AP141" s="270"/>
      <c r="AQ141" s="270"/>
      <c r="AR141" s="270"/>
      <c r="AS141" s="270"/>
      <c r="AT141" s="270"/>
      <c r="AU141" s="270"/>
      <c r="AV141" s="270"/>
      <c r="AW141" s="270"/>
      <c r="AX141" s="270"/>
      <c r="AY141" s="270"/>
      <c r="AZ141" s="270"/>
      <c r="BA141" s="270"/>
      <c r="BB141" s="270"/>
      <c r="BC141" s="270"/>
      <c r="BD141" s="270"/>
      <c r="BE141" s="270"/>
      <c r="BF141" s="270"/>
      <c r="BG141" s="270"/>
      <c r="BH141" s="270"/>
      <c r="BI141" s="270"/>
      <c r="BJ141" s="270"/>
      <c r="BK141" s="270"/>
      <c r="BL141" s="270"/>
      <c r="BM141" s="270"/>
      <c r="BN141" s="270"/>
      <c r="BO141" s="270"/>
      <c r="BP141" s="270"/>
      <c r="BQ141" s="270"/>
    </row>
    <row r="142" spans="1:69" ht="26.25" hidden="1" outlineLevel="3" thickBot="1" x14ac:dyDescent="0.25">
      <c r="A142" s="270"/>
      <c r="B142" s="270"/>
      <c r="C142" s="270"/>
      <c r="D142" s="270"/>
      <c r="E142" s="270"/>
      <c r="F142" s="270"/>
      <c r="G142" s="270"/>
      <c r="H142" s="270"/>
      <c r="I142" s="270"/>
      <c r="J142" s="270"/>
      <c r="K142" s="270"/>
      <c r="L142" s="270"/>
      <c r="M142" s="270"/>
      <c r="N142" s="270"/>
      <c r="O142" s="270"/>
      <c r="P142" s="270"/>
      <c r="Q142" s="270"/>
      <c r="R142" s="270"/>
      <c r="S142" s="270"/>
      <c r="T142" s="270"/>
      <c r="U142" s="632"/>
      <c r="V142" s="638"/>
      <c r="W142" s="658"/>
      <c r="X142" s="659"/>
      <c r="Y142" s="627"/>
      <c r="Z142" s="492"/>
      <c r="AA142" s="493" t="s">
        <v>769</v>
      </c>
      <c r="AB142" s="492"/>
      <c r="AC142" s="931"/>
      <c r="AD142" s="640"/>
      <c r="AE142" s="270"/>
      <c r="AF142" s="270"/>
      <c r="AG142" s="270"/>
      <c r="AH142" s="270"/>
      <c r="AI142" s="270"/>
      <c r="AJ142" s="270"/>
      <c r="AK142" s="270"/>
      <c r="AL142" s="270"/>
      <c r="AM142" s="598"/>
      <c r="AN142" s="270"/>
      <c r="AO142" s="270"/>
      <c r="AP142" s="270"/>
      <c r="AQ142" s="270"/>
      <c r="AR142" s="270"/>
      <c r="AS142" s="270"/>
      <c r="AT142" s="270"/>
      <c r="AU142" s="270"/>
      <c r="AV142" s="270"/>
      <c r="AW142" s="270"/>
      <c r="AX142" s="270"/>
      <c r="AY142" s="270"/>
      <c r="AZ142" s="270"/>
      <c r="BA142" s="270"/>
      <c r="BB142" s="270"/>
      <c r="BC142" s="270"/>
      <c r="BD142" s="270"/>
      <c r="BE142" s="270"/>
      <c r="BF142" s="270"/>
      <c r="BG142" s="270"/>
      <c r="BH142" s="270"/>
      <c r="BI142" s="270"/>
      <c r="BJ142" s="270"/>
      <c r="BK142" s="270"/>
      <c r="BL142" s="270"/>
      <c r="BM142" s="270"/>
      <c r="BN142" s="270"/>
      <c r="BO142" s="270"/>
      <c r="BP142" s="270"/>
      <c r="BQ142" s="270"/>
    </row>
    <row r="143" spans="1:69" ht="26.25" hidden="1" outlineLevel="3" thickBot="1" x14ac:dyDescent="0.25">
      <c r="A143" s="270"/>
      <c r="B143" s="270"/>
      <c r="C143" s="270"/>
      <c r="D143" s="270"/>
      <c r="E143" s="270"/>
      <c r="F143" s="270"/>
      <c r="G143" s="270"/>
      <c r="H143" s="270"/>
      <c r="I143" s="270"/>
      <c r="J143" s="270"/>
      <c r="K143" s="270"/>
      <c r="L143" s="270"/>
      <c r="M143" s="270"/>
      <c r="N143" s="270"/>
      <c r="O143" s="270"/>
      <c r="P143" s="270"/>
      <c r="Q143" s="270"/>
      <c r="R143" s="270"/>
      <c r="S143" s="270"/>
      <c r="T143" s="270"/>
      <c r="U143" s="632"/>
      <c r="V143" s="641"/>
      <c r="W143" s="660"/>
      <c r="X143" s="661"/>
      <c r="Y143" s="631"/>
      <c r="Z143" s="496"/>
      <c r="AA143" s="497" t="s">
        <v>769</v>
      </c>
      <c r="AB143" s="496"/>
      <c r="AC143" s="932"/>
      <c r="AD143" s="642"/>
      <c r="AE143" s="270"/>
      <c r="AF143" s="270"/>
      <c r="AG143" s="270"/>
      <c r="AH143" s="270"/>
      <c r="AI143" s="270"/>
      <c r="AJ143" s="270"/>
      <c r="AK143" s="270"/>
      <c r="AL143" s="270"/>
      <c r="AM143" s="598"/>
      <c r="AN143" s="270"/>
      <c r="AO143" s="270"/>
      <c r="AP143" s="270"/>
      <c r="AQ143" s="270"/>
      <c r="AR143" s="270"/>
      <c r="AS143" s="270"/>
      <c r="AT143" s="270"/>
      <c r="AU143" s="270"/>
      <c r="AV143" s="270"/>
      <c r="AW143" s="270"/>
      <c r="AX143" s="270"/>
      <c r="AY143" s="270"/>
      <c r="AZ143" s="270"/>
      <c r="BA143" s="270"/>
      <c r="BB143" s="270"/>
      <c r="BC143" s="270"/>
      <c r="BD143" s="270"/>
      <c r="BE143" s="270"/>
      <c r="BF143" s="270"/>
      <c r="BG143" s="270"/>
      <c r="BH143" s="270"/>
      <c r="BI143" s="270"/>
      <c r="BJ143" s="270"/>
      <c r="BK143" s="270"/>
      <c r="BL143" s="270"/>
      <c r="BM143" s="270"/>
      <c r="BN143" s="270"/>
      <c r="BO143" s="270"/>
      <c r="BP143" s="270"/>
      <c r="BQ143" s="270"/>
    </row>
    <row r="144" spans="1:69" ht="26.25" hidden="1" outlineLevel="3" thickBot="1" x14ac:dyDescent="0.25">
      <c r="A144" s="270"/>
      <c r="B144" s="270"/>
      <c r="C144" s="270"/>
      <c r="D144" s="270"/>
      <c r="E144" s="270"/>
      <c r="F144" s="270"/>
      <c r="G144" s="270"/>
      <c r="H144" s="270"/>
      <c r="I144" s="270"/>
      <c r="J144" s="270"/>
      <c r="K144" s="270"/>
      <c r="L144" s="270"/>
      <c r="M144" s="270"/>
      <c r="N144" s="270"/>
      <c r="O144" s="270"/>
      <c r="P144" s="270"/>
      <c r="Q144" s="270"/>
      <c r="R144" s="270"/>
      <c r="S144" s="270"/>
      <c r="T144" s="270"/>
      <c r="U144" s="632"/>
      <c r="V144" s="643"/>
      <c r="W144" s="644" t="str">
        <f>N_Différentiel</f>
        <v>Différentiel</v>
      </c>
      <c r="X144" s="662"/>
      <c r="Y144" s="663"/>
      <c r="Z144" s="488"/>
      <c r="AA144" s="489" t="s">
        <v>769</v>
      </c>
      <c r="AB144" s="488"/>
      <c r="AC144" s="933"/>
      <c r="AD144" s="270"/>
      <c r="AE144" s="270"/>
      <c r="AF144" s="270"/>
      <c r="AG144" s="270"/>
      <c r="AH144" s="270"/>
      <c r="AI144" s="270"/>
      <c r="AJ144" s="270"/>
      <c r="AK144" s="270"/>
      <c r="AL144" s="270"/>
      <c r="AM144" s="598"/>
      <c r="AN144" s="270"/>
      <c r="AO144" s="270"/>
      <c r="AP144" s="270"/>
      <c r="AQ144" s="270"/>
      <c r="AR144" s="270"/>
      <c r="AS144" s="270"/>
      <c r="AT144" s="270"/>
      <c r="AU144" s="270"/>
      <c r="AV144" s="270"/>
      <c r="AW144" s="270"/>
      <c r="AX144" s="270"/>
      <c r="AY144" s="270"/>
      <c r="AZ144" s="270"/>
      <c r="BA144" s="270"/>
      <c r="BB144" s="270"/>
      <c r="BC144" s="270"/>
      <c r="BD144" s="270"/>
      <c r="BE144" s="270"/>
      <c r="BF144" s="270"/>
      <c r="BG144" s="270"/>
      <c r="BH144" s="270"/>
      <c r="BI144" s="270"/>
      <c r="BJ144" s="270"/>
      <c r="BK144" s="270"/>
      <c r="BL144" s="270"/>
      <c r="BM144" s="270"/>
      <c r="BN144" s="270"/>
      <c r="BO144" s="270"/>
      <c r="BP144" s="270"/>
      <c r="BQ144" s="270"/>
    </row>
    <row r="145" spans="1:69" ht="26.25" hidden="1" outlineLevel="3" thickBot="1" x14ac:dyDescent="0.25">
      <c r="A145" s="270"/>
      <c r="B145" s="270"/>
      <c r="C145" s="270"/>
      <c r="D145" s="270"/>
      <c r="E145" s="270"/>
      <c r="F145" s="270"/>
      <c r="G145" s="270"/>
      <c r="H145" s="270"/>
      <c r="I145" s="270"/>
      <c r="J145" s="270"/>
      <c r="K145" s="270"/>
      <c r="L145" s="270"/>
      <c r="M145" s="270"/>
      <c r="N145" s="270"/>
      <c r="O145" s="270"/>
      <c r="P145" s="270"/>
      <c r="Q145" s="270"/>
      <c r="R145" s="270"/>
      <c r="S145" s="270"/>
      <c r="T145" s="270"/>
      <c r="U145" s="632"/>
      <c r="V145" s="643"/>
      <c r="W145" s="664"/>
      <c r="X145" s="665" t="str">
        <f>N_Substitute</f>
        <v>Remplaçant</v>
      </c>
      <c r="Y145" s="657"/>
      <c r="Z145" s="480"/>
      <c r="AA145" s="666"/>
      <c r="AB145" s="480"/>
      <c r="AC145" s="934"/>
      <c r="AD145" s="270"/>
      <c r="AE145" s="270"/>
      <c r="AF145" s="270"/>
      <c r="AG145" s="270"/>
      <c r="AH145" s="270"/>
      <c r="AI145" s="270"/>
      <c r="AJ145" s="270"/>
      <c r="AK145" s="270"/>
      <c r="AL145" s="270"/>
      <c r="AM145" s="598"/>
      <c r="AN145" s="270"/>
      <c r="AO145" s="270"/>
      <c r="AP145" s="270"/>
      <c r="AQ145" s="270"/>
      <c r="AR145" s="270"/>
      <c r="AS145" s="270"/>
      <c r="AT145" s="270"/>
      <c r="AU145" s="270"/>
      <c r="AV145" s="270"/>
      <c r="AW145" s="270"/>
      <c r="AX145" s="270"/>
      <c r="AY145" s="270"/>
      <c r="AZ145" s="270"/>
      <c r="BA145" s="270"/>
      <c r="BB145" s="270"/>
      <c r="BC145" s="270"/>
      <c r="BD145" s="270"/>
      <c r="BE145" s="270"/>
      <c r="BF145" s="270"/>
      <c r="BG145" s="270"/>
      <c r="BH145" s="270"/>
      <c r="BI145" s="270"/>
      <c r="BJ145" s="270"/>
      <c r="BK145" s="270"/>
      <c r="BL145" s="270"/>
      <c r="BM145" s="270"/>
      <c r="BN145" s="270"/>
      <c r="BO145" s="270"/>
      <c r="BP145" s="270"/>
      <c r="BQ145" s="270"/>
    </row>
    <row r="146" spans="1:69" ht="26.25" hidden="1" outlineLevel="3" thickBot="1" x14ac:dyDescent="0.25">
      <c r="A146" s="270"/>
      <c r="B146" s="270"/>
      <c r="C146" s="270"/>
      <c r="D146" s="270"/>
      <c r="E146" s="270"/>
      <c r="F146" s="270"/>
      <c r="G146" s="270"/>
      <c r="H146" s="270"/>
      <c r="I146" s="270"/>
      <c r="J146" s="270"/>
      <c r="K146" s="270"/>
      <c r="L146" s="270"/>
      <c r="M146" s="270"/>
      <c r="N146" s="270"/>
      <c r="O146" s="270"/>
      <c r="P146" s="270"/>
      <c r="Q146" s="270"/>
      <c r="R146" s="270"/>
      <c r="S146" s="270"/>
      <c r="T146" s="270"/>
      <c r="U146" s="632"/>
      <c r="V146" s="643"/>
      <c r="W146" s="664"/>
      <c r="X146" s="667" t="str">
        <f>N_Substitute</f>
        <v>Remplaçant</v>
      </c>
      <c r="Y146" s="663"/>
      <c r="Z146" s="488"/>
      <c r="AA146" s="668"/>
      <c r="AB146" s="488"/>
      <c r="AC146" s="933"/>
      <c r="AD146" s="270"/>
      <c r="AE146" s="270"/>
      <c r="AF146" s="270"/>
      <c r="AG146" s="270"/>
      <c r="AH146" s="270"/>
      <c r="AI146" s="270"/>
      <c r="AJ146" s="270"/>
      <c r="AK146" s="270"/>
      <c r="AL146" s="270"/>
      <c r="AM146" s="598"/>
      <c r="AN146" s="270"/>
      <c r="AO146" s="270"/>
      <c r="AP146" s="270"/>
      <c r="AQ146" s="270"/>
      <c r="AR146" s="270"/>
      <c r="AS146" s="270"/>
      <c r="AT146" s="270"/>
      <c r="AU146" s="270"/>
      <c r="AV146" s="270"/>
      <c r="AW146" s="270"/>
      <c r="AX146" s="270"/>
      <c r="AY146" s="270"/>
      <c r="AZ146" s="270"/>
      <c r="BA146" s="270"/>
      <c r="BB146" s="270"/>
      <c r="BC146" s="270"/>
      <c r="BD146" s="270"/>
      <c r="BE146" s="270"/>
      <c r="BF146" s="270"/>
      <c r="BG146" s="270"/>
      <c r="BH146" s="270"/>
      <c r="BI146" s="270"/>
      <c r="BJ146" s="270"/>
      <c r="BK146" s="270"/>
      <c r="BL146" s="270"/>
      <c r="BM146" s="270"/>
      <c r="BN146" s="270"/>
      <c r="BO146" s="270"/>
      <c r="BP146" s="270"/>
      <c r="BQ146" s="270"/>
    </row>
    <row r="147" spans="1:69" ht="13.5" hidden="1" outlineLevel="1" thickBot="1" x14ac:dyDescent="0.25">
      <c r="A147" s="270"/>
      <c r="B147" s="270"/>
      <c r="C147" s="270"/>
      <c r="D147" s="270"/>
      <c r="E147" s="270"/>
      <c r="F147" s="270"/>
      <c r="G147" s="270"/>
      <c r="H147" s="270"/>
      <c r="I147" s="270"/>
      <c r="J147" s="270"/>
      <c r="K147" s="270"/>
      <c r="L147" s="270"/>
      <c r="M147" s="270"/>
      <c r="N147" s="270"/>
      <c r="O147" s="270"/>
      <c r="P147" s="270"/>
      <c r="Q147" s="270"/>
      <c r="R147" s="270"/>
      <c r="S147" s="270"/>
      <c r="T147" s="270"/>
      <c r="U147" s="632"/>
      <c r="V147" s="270"/>
      <c r="W147" s="270"/>
      <c r="X147" s="270"/>
      <c r="Y147" s="270"/>
      <c r="Z147" s="270"/>
      <c r="AA147" s="270"/>
      <c r="AB147" s="270"/>
      <c r="AC147" s="270"/>
      <c r="AD147" s="270"/>
      <c r="AE147" s="270"/>
      <c r="AF147" s="270"/>
      <c r="AG147" s="270"/>
      <c r="AH147" s="270"/>
      <c r="AI147" s="270"/>
      <c r="AJ147" s="270"/>
      <c r="AK147" s="270"/>
      <c r="AL147" s="270"/>
      <c r="AM147" s="270"/>
      <c r="AN147" s="270"/>
      <c r="AO147" s="270"/>
      <c r="AP147" s="270"/>
      <c r="AQ147" s="270"/>
      <c r="AR147" s="270"/>
      <c r="AS147" s="270"/>
      <c r="AT147" s="270"/>
      <c r="AU147" s="270"/>
      <c r="AV147" s="270"/>
      <c r="AW147" s="270"/>
      <c r="AX147" s="270"/>
      <c r="AY147" s="270"/>
      <c r="AZ147" s="270"/>
      <c r="BA147" s="270"/>
      <c r="BB147" s="270"/>
      <c r="BC147" s="270"/>
      <c r="BD147" s="270"/>
      <c r="BE147" s="270"/>
      <c r="BF147" s="270"/>
      <c r="BG147" s="270"/>
      <c r="BH147" s="270"/>
      <c r="BI147" s="270"/>
      <c r="BJ147" s="270"/>
      <c r="BK147" s="270"/>
      <c r="BL147" s="270"/>
      <c r="BM147" s="270"/>
      <c r="BN147" s="270"/>
      <c r="BO147" s="270"/>
      <c r="BP147" s="270"/>
      <c r="BQ147" s="270"/>
    </row>
    <row r="148" spans="1:69" ht="13.5" hidden="1" outlineLevel="1" thickBot="1" x14ac:dyDescent="0.25">
      <c r="A148" s="270"/>
      <c r="B148" s="270"/>
      <c r="C148" s="270"/>
      <c r="D148" s="270"/>
      <c r="E148" s="270"/>
      <c r="F148" s="270"/>
      <c r="G148" s="270"/>
      <c r="H148" s="270"/>
      <c r="I148" s="270"/>
      <c r="J148" s="270"/>
      <c r="K148" s="270"/>
      <c r="L148" s="270"/>
      <c r="M148" s="270"/>
      <c r="N148" s="270"/>
      <c r="O148" s="270"/>
      <c r="P148" s="270"/>
      <c r="Q148" s="270"/>
      <c r="R148" s="270"/>
      <c r="S148" s="270"/>
      <c r="T148" s="270"/>
      <c r="U148" s="633"/>
      <c r="V148" s="630" t="str">
        <f>N_Heure</f>
        <v>Heure</v>
      </c>
      <c r="W148" s="630" t="str">
        <f>N_Table</f>
        <v>Table</v>
      </c>
      <c r="X148" s="630" t="str">
        <f>N_Arbitre</f>
        <v>Arbitre</v>
      </c>
      <c r="Y148" s="2403" t="str">
        <f>N_Scores</f>
        <v>Scores</v>
      </c>
      <c r="Z148" s="2404"/>
      <c r="AA148" s="2404"/>
      <c r="AB148" s="2404"/>
      <c r="AC148" s="2405"/>
      <c r="AD148" s="634" t="str">
        <f>N_MS</f>
        <v>MS</v>
      </c>
      <c r="AE148" s="270"/>
      <c r="AF148" s="270"/>
      <c r="AG148" s="270"/>
      <c r="AH148" s="270"/>
      <c r="AI148" s="270"/>
      <c r="AJ148" s="270"/>
      <c r="AK148" s="270"/>
      <c r="AL148" s="270" t="str">
        <f>IF(COUNTA(Z152:Z155)&gt;3,"OK","")</f>
        <v/>
      </c>
      <c r="AM148" s="270"/>
      <c r="AN148" s="270"/>
      <c r="AO148" s="270"/>
      <c r="AP148" s="270"/>
      <c r="AQ148" s="270"/>
      <c r="AR148" s="270"/>
      <c r="AS148" s="270"/>
      <c r="AT148" s="270"/>
      <c r="AU148" s="270"/>
      <c r="AV148" s="270"/>
      <c r="AW148" s="270"/>
      <c r="AX148" s="270"/>
      <c r="AY148" s="270"/>
      <c r="AZ148" s="270"/>
      <c r="BA148" s="270"/>
      <c r="BB148" s="270"/>
      <c r="BC148" s="270"/>
      <c r="BD148" s="270"/>
      <c r="BE148" s="270"/>
      <c r="BF148" s="270"/>
      <c r="BG148" s="270"/>
      <c r="BH148" s="270"/>
      <c r="BI148" s="270"/>
      <c r="BJ148" s="270"/>
      <c r="BK148" s="270"/>
      <c r="BL148" s="270"/>
      <c r="BM148" s="270"/>
      <c r="BN148" s="270"/>
      <c r="BO148" s="270"/>
      <c r="BP148" s="270"/>
      <c r="BQ148" s="270"/>
    </row>
    <row r="149" spans="1:69" ht="26.25" hidden="1" outlineLevel="1" thickBot="1" x14ac:dyDescent="0.25">
      <c r="A149" s="270"/>
      <c r="B149" s="270"/>
      <c r="C149" s="270"/>
      <c r="D149" s="270"/>
      <c r="E149" s="270"/>
      <c r="F149" s="270"/>
      <c r="G149" s="270"/>
      <c r="H149" s="270"/>
      <c r="I149" s="270"/>
      <c r="J149" s="270"/>
      <c r="K149" s="270"/>
      <c r="L149" s="270"/>
      <c r="M149" s="270"/>
      <c r="N149" s="270"/>
      <c r="O149" s="270"/>
      <c r="P149" s="270"/>
      <c r="Q149" s="270"/>
      <c r="R149" s="270"/>
      <c r="S149" s="270"/>
      <c r="T149" s="270"/>
      <c r="U149" s="635" t="s">
        <v>1723</v>
      </c>
      <c r="V149" s="1536"/>
      <c r="W149" s="1537"/>
      <c r="X149" s="1537"/>
      <c r="Y149" s="673"/>
      <c r="Z149" s="649" t="str">
        <f>IF(OR(ISNUMBER(Z152),ISNUMBER(Z153),ISNUMBER(Z154),ISNUMBER(Z155)),Lire_Gain_Matches(Z152:Z155, AB152:AB155),"")</f>
        <v/>
      </c>
      <c r="AA149" s="650" t="s">
        <v>769</v>
      </c>
      <c r="AB149" s="651" t="str">
        <f>IF(OR(ISNUMBER(Z152),ISNUMBER(Z153),ISNUMBER(Z154),ISNUMBER(Z155)),Lire_Gain_Matches(AB152:AB155, Z152:Z155),"")</f>
        <v/>
      </c>
      <c r="AC149" s="673"/>
      <c r="AD149" s="231" t="str">
        <f>IF(ISNA(VLOOKUP("X",AD152:AD155,1,FALSE)),"","X")</f>
        <v/>
      </c>
      <c r="AE149" s="270" t="str">
        <f>IF(Z149="","",IF(Z149&gt;AB149,Y149,IF(Z149=AB149,IF(AL149=Y149,AC149,IF(AL149=AC149,Y149,"")),AC149)))</f>
        <v/>
      </c>
      <c r="AF149" s="270" t="str">
        <f>IF(Z149="","",IF(Z149=AB149,IF(AL149=Y149,"",IF(AL149=AC149,"",Y149)),""))</f>
        <v/>
      </c>
      <c r="AG149" s="270" t="str">
        <f>IF(Z149="","",IF(Z149=AB149,IF(AL149=Y149,"",IF(AL149=AC149,"",AC149)),""))</f>
        <v/>
      </c>
      <c r="AH149" s="270" t="str">
        <f>IF(Z149="","",IF(Z149&lt;AB149,Y149,IF(Z149=AB149,IF(AL149=Y149,Y149,IF(AL149=AC149,AC149,"")),AC149)))</f>
        <v/>
      </c>
      <c r="AI149" s="270"/>
      <c r="AJ149" s="270"/>
      <c r="AK149" s="270"/>
      <c r="AL149" s="270" t="str">
        <f>IF(COUNTIF(Y152:Y155,WithdrawLabel)&gt;COUNTIF(AC152:AC155,WithdrawLabel),Y149,IF(COUNTIF(AC152:AC155,WithdrawLabel)&gt;COUNTIF(Y152:Y155,WithdrawLabel),AC149,""))</f>
        <v/>
      </c>
      <c r="AM149" s="598"/>
      <c r="AN149" s="270"/>
      <c r="AO149" s="270"/>
      <c r="AP149" s="270"/>
      <c r="AQ149" s="270"/>
      <c r="AR149" s="270"/>
      <c r="AS149" s="270"/>
      <c r="AT149" s="270"/>
      <c r="AU149" s="270"/>
      <c r="AV149" s="270"/>
      <c r="AW149" s="270"/>
      <c r="AX149" s="270"/>
      <c r="AY149" s="270"/>
      <c r="AZ149" s="270"/>
      <c r="BA149" s="270"/>
      <c r="BB149" s="270"/>
      <c r="BC149" s="270"/>
      <c r="BD149" s="270"/>
      <c r="BE149" s="270"/>
      <c r="BF149" s="270"/>
      <c r="BG149" s="270"/>
      <c r="BH149" s="270"/>
      <c r="BI149" s="270"/>
      <c r="BJ149" s="270"/>
      <c r="BK149" s="270"/>
      <c r="BL149" s="270"/>
      <c r="BM149" s="270"/>
      <c r="BN149" s="270"/>
      <c r="BO149" s="270"/>
      <c r="BP149" s="270"/>
      <c r="BQ149" s="270"/>
    </row>
    <row r="150" spans="1:69" ht="18.75" hidden="1" outlineLevel="1" thickBot="1" x14ac:dyDescent="0.25">
      <c r="A150" s="270"/>
      <c r="B150" s="270"/>
      <c r="C150" s="270"/>
      <c r="D150" s="270"/>
      <c r="E150" s="270"/>
      <c r="F150" s="270"/>
      <c r="G150" s="270"/>
      <c r="H150" s="270"/>
      <c r="I150" s="270"/>
      <c r="J150" s="270"/>
      <c r="K150" s="270"/>
      <c r="L150" s="270"/>
      <c r="M150" s="270"/>
      <c r="N150" s="270"/>
      <c r="O150" s="270"/>
      <c r="P150" s="270"/>
      <c r="Q150" s="270"/>
      <c r="R150" s="270"/>
      <c r="S150" s="270"/>
      <c r="T150" s="270"/>
      <c r="U150" s="632"/>
      <c r="V150" s="629"/>
      <c r="W150" s="647"/>
      <c r="X150" s="647"/>
      <c r="Y150" s="652" t="str">
        <f>N_Total_buts</f>
        <v>Total des buts</v>
      </c>
      <c r="Z150" s="649" t="str">
        <f>IF(OR(ISNUMBER(Z152),ISNUMBER(Z153),ISNUMBER(Z154),ISNUMBER(Z155)),SUM(Z152:Z155),"")</f>
        <v/>
      </c>
      <c r="AA150" s="650" t="s">
        <v>769</v>
      </c>
      <c r="AB150" s="651" t="str">
        <f>IF(OR(ISNUMBER(Z152),ISNUMBER(Z153),ISNUMBER(Z154),ISNUMBER(Z155)),SUM(AB152:AB155),"")</f>
        <v/>
      </c>
      <c r="AC150" s="653" t="str">
        <f>IF(Z156="","",CONCATENATE("(Diff : ",Z156," - ",AB156,")"))</f>
        <v/>
      </c>
      <c r="AD150" s="270"/>
      <c r="AE150" s="270"/>
      <c r="AF150" s="270"/>
      <c r="AG150" s="270"/>
      <c r="AH150" s="270"/>
      <c r="AI150" s="270"/>
      <c r="AJ150" s="270"/>
      <c r="AK150" s="270"/>
      <c r="AL150" s="270"/>
      <c r="AM150" s="610"/>
      <c r="AN150" s="270"/>
      <c r="AO150" s="270"/>
      <c r="AP150" s="270"/>
      <c r="AQ150" s="270"/>
      <c r="AR150" s="270"/>
      <c r="AS150" s="270"/>
      <c r="AT150" s="270"/>
      <c r="AU150" s="270"/>
      <c r="AV150" s="270"/>
      <c r="AW150" s="270"/>
      <c r="AX150" s="270"/>
      <c r="AY150" s="270"/>
      <c r="AZ150" s="270"/>
      <c r="BA150" s="270"/>
      <c r="BB150" s="270"/>
      <c r="BC150" s="270"/>
      <c r="BD150" s="270"/>
      <c r="BE150" s="270"/>
      <c r="BF150" s="270"/>
      <c r="BG150" s="270"/>
      <c r="BH150" s="270"/>
      <c r="BI150" s="270"/>
      <c r="BJ150" s="270"/>
      <c r="BK150" s="270"/>
      <c r="BL150" s="270"/>
      <c r="BM150" s="270"/>
      <c r="BN150" s="270"/>
      <c r="BO150" s="270"/>
      <c r="BP150" s="270"/>
      <c r="BQ150" s="270"/>
    </row>
    <row r="151" spans="1:69" ht="26.25" hidden="1" outlineLevel="1" collapsed="1" thickBot="1" x14ac:dyDescent="0.25">
      <c r="A151" s="270"/>
      <c r="B151" s="270"/>
      <c r="C151" s="270"/>
      <c r="D151" s="270"/>
      <c r="E151" s="270"/>
      <c r="F151" s="270"/>
      <c r="G151" s="270"/>
      <c r="H151" s="270"/>
      <c r="I151" s="270"/>
      <c r="J151" s="1334" t="str">
        <f>IF(Z151="","",IF(Z151=Y149,AC149,Y149))</f>
        <v/>
      </c>
      <c r="K151" s="270"/>
      <c r="L151" s="270"/>
      <c r="M151" s="270"/>
      <c r="N151" s="270"/>
      <c r="O151" s="270"/>
      <c r="P151" s="270"/>
      <c r="Q151" s="270"/>
      <c r="R151" s="270"/>
      <c r="S151" s="270"/>
      <c r="T151" s="270"/>
      <c r="U151" s="632"/>
      <c r="V151" s="629"/>
      <c r="W151" s="647"/>
      <c r="X151" s="647"/>
      <c r="Y151" s="654" t="str">
        <f>N_VAINQUEUR</f>
        <v>VAINQUEUR</v>
      </c>
      <c r="Z151" s="2412" t="str">
        <f>IF(AL148&lt;&gt;"OK",IF(HidePlayerFormulas,"","("&amp;Y149&amp;"-"&amp;AC149&amp;")"),IF(AE149="",IF(Z150&gt;AB150,Y149,IF(Z150&lt;AB150,AC149,mess_erreur_marque)),AE149))</f>
        <v/>
      </c>
      <c r="AA151" s="2413"/>
      <c r="AB151" s="2413"/>
      <c r="AC151" s="2414"/>
      <c r="AD151" s="270"/>
      <c r="AE151" s="270"/>
      <c r="AF151" s="270"/>
      <c r="AG151" s="270"/>
      <c r="AH151" s="270"/>
      <c r="AI151" s="270"/>
      <c r="AJ151" s="270"/>
      <c r="AK151" s="270"/>
      <c r="AL151" s="270"/>
      <c r="AM151" s="598"/>
      <c r="AN151" s="270"/>
      <c r="AO151" s="270"/>
      <c r="AP151" s="270"/>
      <c r="AQ151" s="270"/>
      <c r="AR151" s="270"/>
      <c r="AS151" s="270"/>
      <c r="AT151" s="270"/>
      <c r="AU151" s="270"/>
      <c r="AV151" s="270"/>
      <c r="AW151" s="270"/>
      <c r="AX151" s="270"/>
      <c r="AY151" s="270"/>
      <c r="AZ151" s="270"/>
      <c r="BA151" s="270"/>
      <c r="BB151" s="270"/>
      <c r="BC151" s="270"/>
      <c r="BD151" s="270"/>
      <c r="BE151" s="270"/>
      <c r="BF151" s="270"/>
      <c r="BG151" s="270"/>
      <c r="BH151" s="270"/>
      <c r="BI151" s="270"/>
      <c r="BJ151" s="270"/>
      <c r="BK151" s="270"/>
      <c r="BL151" s="270"/>
      <c r="BM151" s="270"/>
      <c r="BN151" s="270"/>
      <c r="BO151" s="270"/>
      <c r="BP151" s="270"/>
      <c r="BQ151" s="270"/>
    </row>
    <row r="152" spans="1:69" ht="26.25" hidden="1" outlineLevel="3" thickBot="1" x14ac:dyDescent="0.25">
      <c r="A152" s="270"/>
      <c r="B152" s="270"/>
      <c r="C152" s="270"/>
      <c r="D152" s="270"/>
      <c r="E152" s="270"/>
      <c r="F152" s="270"/>
      <c r="G152" s="270"/>
      <c r="H152" s="270"/>
      <c r="I152" s="270"/>
      <c r="J152" s="270"/>
      <c r="K152" s="270"/>
      <c r="L152" s="270"/>
      <c r="M152" s="270"/>
      <c r="N152" s="270"/>
      <c r="O152" s="270"/>
      <c r="P152" s="270"/>
      <c r="Q152" s="270"/>
      <c r="R152" s="270"/>
      <c r="S152" s="270"/>
      <c r="T152" s="270"/>
      <c r="U152" s="632"/>
      <c r="V152" s="636"/>
      <c r="W152" s="655"/>
      <c r="X152" s="656"/>
      <c r="Y152" s="657"/>
      <c r="Z152" s="484"/>
      <c r="AA152" s="485" t="s">
        <v>769</v>
      </c>
      <c r="AB152" s="484"/>
      <c r="AC152" s="930"/>
      <c r="AD152" s="637"/>
      <c r="AE152" s="270"/>
      <c r="AF152" s="270"/>
      <c r="AG152" s="270"/>
      <c r="AH152" s="270"/>
      <c r="AI152" s="270"/>
      <c r="AJ152" s="270"/>
      <c r="AK152" s="270"/>
      <c r="AL152" s="270"/>
      <c r="AM152" s="598"/>
      <c r="AN152" s="270"/>
      <c r="AO152" s="270"/>
      <c r="AP152" s="270"/>
      <c r="AQ152" s="270"/>
      <c r="AR152" s="270"/>
      <c r="AS152" s="270"/>
      <c r="AT152" s="270"/>
      <c r="AU152" s="270"/>
      <c r="AV152" s="270"/>
      <c r="AW152" s="270"/>
      <c r="AX152" s="270"/>
      <c r="AY152" s="270"/>
      <c r="AZ152" s="270"/>
      <c r="BA152" s="270"/>
      <c r="BB152" s="270"/>
      <c r="BC152" s="270"/>
      <c r="BD152" s="270"/>
      <c r="BE152" s="270"/>
      <c r="BF152" s="270"/>
      <c r="BG152" s="270"/>
      <c r="BH152" s="270"/>
      <c r="BI152" s="270"/>
      <c r="BJ152" s="270"/>
      <c r="BK152" s="270"/>
      <c r="BL152" s="270"/>
      <c r="BM152" s="270"/>
      <c r="BN152" s="270"/>
      <c r="BO152" s="270"/>
      <c r="BP152" s="270"/>
      <c r="BQ152" s="270"/>
    </row>
    <row r="153" spans="1:69" ht="26.25" hidden="1" outlineLevel="3" thickBot="1" x14ac:dyDescent="0.25">
      <c r="A153" s="270"/>
      <c r="B153" s="270"/>
      <c r="C153" s="270"/>
      <c r="D153" s="270"/>
      <c r="E153" s="270"/>
      <c r="F153" s="270"/>
      <c r="G153" s="270"/>
      <c r="H153" s="270"/>
      <c r="I153" s="270"/>
      <c r="J153" s="270"/>
      <c r="K153" s="270"/>
      <c r="L153" s="270"/>
      <c r="M153" s="270"/>
      <c r="N153" s="270"/>
      <c r="O153" s="270"/>
      <c r="P153" s="270"/>
      <c r="Q153" s="270"/>
      <c r="R153" s="270"/>
      <c r="S153" s="270"/>
      <c r="T153" s="270"/>
      <c r="U153" s="632"/>
      <c r="V153" s="638"/>
      <c r="W153" s="658"/>
      <c r="X153" s="659"/>
      <c r="Y153" s="627"/>
      <c r="Z153" s="492"/>
      <c r="AA153" s="493" t="s">
        <v>769</v>
      </c>
      <c r="AB153" s="492"/>
      <c r="AC153" s="931"/>
      <c r="AD153" s="639"/>
      <c r="AE153" s="270"/>
      <c r="AF153" s="270"/>
      <c r="AG153" s="270"/>
      <c r="AH153" s="270"/>
      <c r="AI153" s="270"/>
      <c r="AJ153" s="270"/>
      <c r="AK153" s="270"/>
      <c r="AL153" s="270"/>
      <c r="AM153" s="598"/>
      <c r="AN153" s="270"/>
      <c r="AO153" s="270"/>
      <c r="AP153" s="270"/>
      <c r="AQ153" s="270"/>
      <c r="AR153" s="270"/>
      <c r="AS153" s="270"/>
      <c r="AT153" s="270"/>
      <c r="AU153" s="270"/>
      <c r="AV153" s="270"/>
      <c r="AW153" s="270"/>
      <c r="AX153" s="270"/>
      <c r="AY153" s="270"/>
      <c r="AZ153" s="270"/>
      <c r="BA153" s="270"/>
      <c r="BB153" s="270"/>
      <c r="BC153" s="270"/>
      <c r="BD153" s="270"/>
      <c r="BE153" s="270"/>
      <c r="BF153" s="270"/>
      <c r="BG153" s="270"/>
      <c r="BH153" s="270"/>
      <c r="BI153" s="270"/>
      <c r="BJ153" s="270"/>
      <c r="BK153" s="270"/>
      <c r="BL153" s="270"/>
      <c r="BM153" s="270"/>
      <c r="BN153" s="270"/>
      <c r="BO153" s="270"/>
      <c r="BP153" s="270"/>
      <c r="BQ153" s="270"/>
    </row>
    <row r="154" spans="1:69" ht="26.25" hidden="1" outlineLevel="3" thickBot="1" x14ac:dyDescent="0.25">
      <c r="A154" s="270"/>
      <c r="B154" s="270"/>
      <c r="C154" s="270"/>
      <c r="D154" s="270"/>
      <c r="E154" s="270"/>
      <c r="F154" s="270"/>
      <c r="G154" s="270"/>
      <c r="H154" s="270"/>
      <c r="I154" s="270"/>
      <c r="J154" s="270"/>
      <c r="K154" s="270"/>
      <c r="L154" s="270"/>
      <c r="M154" s="270"/>
      <c r="N154" s="270"/>
      <c r="O154" s="270"/>
      <c r="P154" s="270"/>
      <c r="Q154" s="270"/>
      <c r="R154" s="270"/>
      <c r="S154" s="270"/>
      <c r="T154" s="270"/>
      <c r="U154" s="632"/>
      <c r="V154" s="638"/>
      <c r="W154" s="658"/>
      <c r="X154" s="659"/>
      <c r="Y154" s="627"/>
      <c r="Z154" s="492"/>
      <c r="AA154" s="493" t="s">
        <v>769</v>
      </c>
      <c r="AB154" s="492"/>
      <c r="AC154" s="931"/>
      <c r="AD154" s="640"/>
      <c r="AE154" s="270"/>
      <c r="AF154" s="270"/>
      <c r="AG154" s="270"/>
      <c r="AH154" s="270"/>
      <c r="AI154" s="270"/>
      <c r="AJ154" s="270"/>
      <c r="AK154" s="270"/>
      <c r="AL154" s="270"/>
      <c r="AM154" s="598"/>
      <c r="AN154" s="270"/>
      <c r="AO154" s="270"/>
      <c r="AP154" s="270"/>
      <c r="AQ154" s="270"/>
      <c r="AR154" s="270"/>
      <c r="AS154" s="270"/>
      <c r="AT154" s="270"/>
      <c r="AU154" s="270"/>
      <c r="AV154" s="270"/>
      <c r="AW154" s="270"/>
      <c r="AX154" s="270"/>
      <c r="AY154" s="270"/>
      <c r="AZ154" s="270"/>
      <c r="BA154" s="270"/>
      <c r="BB154" s="270"/>
      <c r="BC154" s="270"/>
      <c r="BD154" s="270"/>
      <c r="BE154" s="270"/>
      <c r="BF154" s="270"/>
      <c r="BG154" s="270"/>
      <c r="BH154" s="270"/>
      <c r="BI154" s="270"/>
      <c r="BJ154" s="270"/>
      <c r="BK154" s="270"/>
      <c r="BL154" s="270"/>
      <c r="BM154" s="270"/>
      <c r="BN154" s="270"/>
      <c r="BO154" s="270"/>
      <c r="BP154" s="270"/>
      <c r="BQ154" s="270"/>
    </row>
    <row r="155" spans="1:69" ht="26.25" hidden="1" outlineLevel="3" thickBot="1" x14ac:dyDescent="0.25">
      <c r="A155" s="270"/>
      <c r="B155" s="270"/>
      <c r="C155" s="270"/>
      <c r="D155" s="270"/>
      <c r="E155" s="270"/>
      <c r="F155" s="270"/>
      <c r="G155" s="270"/>
      <c r="H155" s="270"/>
      <c r="I155" s="270"/>
      <c r="J155" s="270"/>
      <c r="K155" s="270"/>
      <c r="L155" s="270"/>
      <c r="M155" s="270"/>
      <c r="N155" s="270"/>
      <c r="O155" s="270"/>
      <c r="P155" s="270"/>
      <c r="Q155" s="270"/>
      <c r="R155" s="270"/>
      <c r="S155" s="270"/>
      <c r="T155" s="270"/>
      <c r="U155" s="632"/>
      <c r="V155" s="641"/>
      <c r="W155" s="660"/>
      <c r="X155" s="661"/>
      <c r="Y155" s="631"/>
      <c r="Z155" s="496"/>
      <c r="AA155" s="497" t="s">
        <v>769</v>
      </c>
      <c r="AB155" s="496"/>
      <c r="AC155" s="932"/>
      <c r="AD155" s="642"/>
      <c r="AE155" s="270"/>
      <c r="AF155" s="270"/>
      <c r="AG155" s="270"/>
      <c r="AH155" s="270"/>
      <c r="AI155" s="270"/>
      <c r="AJ155" s="270"/>
      <c r="AK155" s="270"/>
      <c r="AL155" s="270"/>
      <c r="AM155" s="598"/>
      <c r="AN155" s="270"/>
      <c r="AO155" s="270"/>
      <c r="AP155" s="270"/>
      <c r="AQ155" s="270"/>
      <c r="AR155" s="270"/>
      <c r="AS155" s="270"/>
      <c r="AT155" s="270"/>
      <c r="AU155" s="270"/>
      <c r="AV155" s="270"/>
      <c r="AW155" s="270"/>
      <c r="AX155" s="270"/>
      <c r="AY155" s="270"/>
      <c r="AZ155" s="270"/>
      <c r="BA155" s="270"/>
      <c r="BB155" s="270"/>
      <c r="BC155" s="270"/>
      <c r="BD155" s="270"/>
      <c r="BE155" s="270"/>
      <c r="BF155" s="270"/>
      <c r="BG155" s="270"/>
      <c r="BH155" s="270"/>
      <c r="BI155" s="270"/>
      <c r="BJ155" s="270"/>
      <c r="BK155" s="270"/>
      <c r="BL155" s="270"/>
      <c r="BM155" s="270"/>
      <c r="BN155" s="270"/>
      <c r="BO155" s="270"/>
      <c r="BP155" s="270"/>
      <c r="BQ155" s="270"/>
    </row>
    <row r="156" spans="1:69" ht="26.25" hidden="1" outlineLevel="3" thickBot="1" x14ac:dyDescent="0.25">
      <c r="A156" s="270"/>
      <c r="B156" s="270"/>
      <c r="C156" s="270"/>
      <c r="D156" s="270"/>
      <c r="E156" s="270"/>
      <c r="F156" s="270"/>
      <c r="G156" s="270"/>
      <c r="H156" s="270"/>
      <c r="I156" s="270"/>
      <c r="J156" s="270"/>
      <c r="K156" s="270"/>
      <c r="L156" s="270"/>
      <c r="M156" s="270"/>
      <c r="N156" s="270"/>
      <c r="O156" s="270"/>
      <c r="P156" s="270"/>
      <c r="Q156" s="270"/>
      <c r="R156" s="270"/>
      <c r="S156" s="270"/>
      <c r="T156" s="270"/>
      <c r="U156" s="632"/>
      <c r="V156" s="643"/>
      <c r="W156" s="644" t="str">
        <f>N_Différentiel</f>
        <v>Différentiel</v>
      </c>
      <c r="X156" s="662"/>
      <c r="Y156" s="663"/>
      <c r="Z156" s="488"/>
      <c r="AA156" s="489" t="s">
        <v>769</v>
      </c>
      <c r="AB156" s="488"/>
      <c r="AC156" s="933"/>
      <c r="AD156" s="270"/>
      <c r="AE156" s="270"/>
      <c r="AF156" s="270"/>
      <c r="AG156" s="270"/>
      <c r="AH156" s="270"/>
      <c r="AI156" s="270"/>
      <c r="AJ156" s="270"/>
      <c r="AK156" s="270"/>
      <c r="AL156" s="270"/>
      <c r="AM156" s="598"/>
      <c r="AN156" s="270"/>
      <c r="AO156" s="270"/>
      <c r="AP156" s="270"/>
      <c r="AQ156" s="270"/>
      <c r="AR156" s="270"/>
      <c r="AS156" s="270"/>
      <c r="AT156" s="270"/>
      <c r="AU156" s="270"/>
      <c r="AV156" s="270"/>
      <c r="AW156" s="270"/>
      <c r="AX156" s="270"/>
      <c r="AY156" s="270"/>
      <c r="AZ156" s="270"/>
      <c r="BA156" s="270"/>
      <c r="BB156" s="270"/>
      <c r="BC156" s="270"/>
      <c r="BD156" s="270"/>
      <c r="BE156" s="270"/>
      <c r="BF156" s="270"/>
      <c r="BG156" s="270"/>
      <c r="BH156" s="270"/>
      <c r="BI156" s="270"/>
      <c r="BJ156" s="270"/>
      <c r="BK156" s="270"/>
      <c r="BL156" s="270"/>
      <c r="BM156" s="270"/>
      <c r="BN156" s="270"/>
      <c r="BO156" s="270"/>
      <c r="BP156" s="270"/>
      <c r="BQ156" s="270"/>
    </row>
    <row r="157" spans="1:69" ht="26.25" hidden="1" outlineLevel="3" thickBot="1" x14ac:dyDescent="0.25">
      <c r="A157" s="270"/>
      <c r="B157" s="270"/>
      <c r="C157" s="270"/>
      <c r="D157" s="270"/>
      <c r="E157" s="270"/>
      <c r="F157" s="270"/>
      <c r="G157" s="270"/>
      <c r="H157" s="270"/>
      <c r="I157" s="270"/>
      <c r="J157" s="270"/>
      <c r="K157" s="270"/>
      <c r="L157" s="270"/>
      <c r="M157" s="270"/>
      <c r="N157" s="270"/>
      <c r="O157" s="270"/>
      <c r="P157" s="270"/>
      <c r="Q157" s="270"/>
      <c r="R157" s="270"/>
      <c r="S157" s="270"/>
      <c r="T157" s="270"/>
      <c r="U157" s="632"/>
      <c r="V157" s="643"/>
      <c r="W157" s="664"/>
      <c r="X157" s="665" t="str">
        <f>N_Substitute</f>
        <v>Remplaçant</v>
      </c>
      <c r="Y157" s="657"/>
      <c r="Z157" s="480"/>
      <c r="AA157" s="666"/>
      <c r="AB157" s="480"/>
      <c r="AC157" s="934"/>
      <c r="AD157" s="270"/>
      <c r="AE157" s="270"/>
      <c r="AF157" s="270"/>
      <c r="AG157" s="270"/>
      <c r="AH157" s="270"/>
      <c r="AI157" s="270"/>
      <c r="AJ157" s="270"/>
      <c r="AK157" s="270"/>
      <c r="AL157" s="270"/>
      <c r="AM157" s="598"/>
      <c r="AN157" s="270"/>
      <c r="AO157" s="270"/>
      <c r="AP157" s="270"/>
      <c r="AQ157" s="270"/>
      <c r="AR157" s="270"/>
      <c r="AS157" s="270"/>
      <c r="AT157" s="270"/>
      <c r="AU157" s="270"/>
      <c r="AV157" s="270"/>
      <c r="AW157" s="270"/>
      <c r="AX157" s="270"/>
      <c r="AY157" s="270"/>
      <c r="AZ157" s="270"/>
      <c r="BA157" s="270"/>
      <c r="BB157" s="270"/>
      <c r="BC157" s="270"/>
      <c r="BD157" s="270"/>
      <c r="BE157" s="270"/>
      <c r="BF157" s="270"/>
      <c r="BG157" s="270"/>
      <c r="BH157" s="270"/>
      <c r="BI157" s="270"/>
      <c r="BJ157" s="270"/>
      <c r="BK157" s="270"/>
      <c r="BL157" s="270"/>
      <c r="BM157" s="270"/>
      <c r="BN157" s="270"/>
      <c r="BO157" s="270"/>
      <c r="BP157" s="270"/>
      <c r="BQ157" s="270"/>
    </row>
    <row r="158" spans="1:69" ht="26.25" hidden="1" outlineLevel="3" thickBot="1" x14ac:dyDescent="0.25">
      <c r="A158" s="270"/>
      <c r="B158" s="270"/>
      <c r="C158" s="270"/>
      <c r="D158" s="270"/>
      <c r="E158" s="270"/>
      <c r="F158" s="270"/>
      <c r="G158" s="270"/>
      <c r="H158" s="270"/>
      <c r="I158" s="270"/>
      <c r="J158" s="270"/>
      <c r="K158" s="270"/>
      <c r="L158" s="270"/>
      <c r="M158" s="270"/>
      <c r="N158" s="270"/>
      <c r="O158" s="270"/>
      <c r="P158" s="270"/>
      <c r="Q158" s="270"/>
      <c r="R158" s="270"/>
      <c r="S158" s="270"/>
      <c r="T158" s="270"/>
      <c r="U158" s="632"/>
      <c r="V158" s="643"/>
      <c r="W158" s="664"/>
      <c r="X158" s="667" t="str">
        <f>N_Substitute</f>
        <v>Remplaçant</v>
      </c>
      <c r="Y158" s="663"/>
      <c r="Z158" s="488"/>
      <c r="AA158" s="668"/>
      <c r="AB158" s="488"/>
      <c r="AC158" s="933"/>
      <c r="AD158" s="270"/>
      <c r="AE158" s="270"/>
      <c r="AF158" s="270"/>
      <c r="AG158" s="270"/>
      <c r="AH158" s="270"/>
      <c r="AI158" s="270"/>
      <c r="AJ158" s="270"/>
      <c r="AK158" s="270"/>
      <c r="AL158" s="270"/>
      <c r="AM158" s="598"/>
      <c r="AN158" s="270"/>
      <c r="AO158" s="270"/>
      <c r="AP158" s="270"/>
      <c r="AQ158" s="270"/>
      <c r="AR158" s="270"/>
      <c r="AS158" s="270"/>
      <c r="AT158" s="270"/>
      <c r="AU158" s="270"/>
      <c r="AV158" s="270"/>
      <c r="AW158" s="270"/>
      <c r="AX158" s="270"/>
      <c r="AY158" s="270"/>
      <c r="AZ158" s="270"/>
      <c r="BA158" s="270"/>
      <c r="BB158" s="270"/>
      <c r="BC158" s="270"/>
      <c r="BD158" s="270"/>
      <c r="BE158" s="270"/>
      <c r="BF158" s="270"/>
      <c r="BG158" s="270"/>
      <c r="BH158" s="270"/>
      <c r="BI158" s="270"/>
      <c r="BJ158" s="270"/>
      <c r="BK158" s="270"/>
      <c r="BL158" s="270"/>
      <c r="BM158" s="270"/>
      <c r="BN158" s="270"/>
      <c r="BO158" s="270"/>
      <c r="BP158" s="270"/>
      <c r="BQ158" s="270"/>
    </row>
    <row r="159" spans="1:69" ht="13.5" hidden="1" outlineLevel="1" thickBot="1" x14ac:dyDescent="0.25">
      <c r="A159" s="270"/>
      <c r="B159" s="270"/>
      <c r="C159" s="270"/>
      <c r="D159" s="270"/>
      <c r="E159" s="270"/>
      <c r="F159" s="270"/>
      <c r="G159" s="270"/>
      <c r="H159" s="270"/>
      <c r="I159" s="270"/>
      <c r="J159" s="270"/>
      <c r="K159" s="270"/>
      <c r="L159" s="270"/>
      <c r="M159" s="270"/>
      <c r="N159" s="270"/>
      <c r="O159" s="270"/>
      <c r="P159" s="270"/>
      <c r="Q159" s="270"/>
      <c r="R159" s="270"/>
      <c r="S159" s="270"/>
      <c r="T159" s="270"/>
      <c r="U159" s="632"/>
      <c r="V159" s="270"/>
      <c r="W159" s="270"/>
      <c r="X159" s="270"/>
      <c r="Y159" s="270"/>
      <c r="Z159" s="270"/>
      <c r="AA159" s="270"/>
      <c r="AB159" s="270"/>
      <c r="AC159" s="270"/>
      <c r="AD159" s="270"/>
      <c r="AE159" s="270"/>
      <c r="AF159" s="270"/>
      <c r="AG159" s="270"/>
      <c r="AH159" s="270"/>
      <c r="AI159" s="270"/>
      <c r="AJ159" s="270"/>
      <c r="AK159" s="270"/>
      <c r="AL159" s="270"/>
      <c r="AM159" s="270"/>
      <c r="AN159" s="270"/>
      <c r="AO159" s="270"/>
      <c r="AP159" s="270"/>
      <c r="AQ159" s="270"/>
      <c r="AR159" s="270"/>
      <c r="AS159" s="270"/>
      <c r="AT159" s="270"/>
      <c r="AU159" s="270"/>
      <c r="AV159" s="270"/>
      <c r="AW159" s="270"/>
      <c r="AX159" s="270"/>
      <c r="AY159" s="270"/>
      <c r="AZ159" s="270"/>
      <c r="BA159" s="270"/>
      <c r="BB159" s="270"/>
      <c r="BC159" s="270"/>
      <c r="BD159" s="270"/>
      <c r="BE159" s="270"/>
      <c r="BF159" s="270"/>
      <c r="BG159" s="270"/>
      <c r="BH159" s="270"/>
      <c r="BI159" s="270"/>
      <c r="BJ159" s="270"/>
      <c r="BK159" s="270"/>
      <c r="BL159" s="270"/>
      <c r="BM159" s="270"/>
      <c r="BN159" s="270"/>
      <c r="BO159" s="270"/>
      <c r="BP159" s="270"/>
      <c r="BQ159" s="270"/>
    </row>
    <row r="160" spans="1:69" ht="13.5" hidden="1" outlineLevel="1" thickBot="1" x14ac:dyDescent="0.25">
      <c r="A160" s="270"/>
      <c r="B160" s="270"/>
      <c r="C160" s="270"/>
      <c r="D160" s="270"/>
      <c r="E160" s="270"/>
      <c r="F160" s="270"/>
      <c r="G160" s="270"/>
      <c r="H160" s="270"/>
      <c r="I160" s="270"/>
      <c r="J160" s="270"/>
      <c r="K160" s="270"/>
      <c r="L160" s="270"/>
      <c r="M160" s="270"/>
      <c r="N160" s="270"/>
      <c r="O160" s="270"/>
      <c r="P160" s="270"/>
      <c r="Q160" s="270"/>
      <c r="R160" s="270"/>
      <c r="S160" s="270"/>
      <c r="T160" s="270"/>
      <c r="U160" s="633"/>
      <c r="V160" s="630" t="str">
        <f>N_Heure</f>
        <v>Heure</v>
      </c>
      <c r="W160" s="630" t="str">
        <f>N_Table</f>
        <v>Table</v>
      </c>
      <c r="X160" s="630" t="str">
        <f>N_Arbitre</f>
        <v>Arbitre</v>
      </c>
      <c r="Y160" s="2403" t="str">
        <f>N_Scores</f>
        <v>Scores</v>
      </c>
      <c r="Z160" s="2404"/>
      <c r="AA160" s="2404"/>
      <c r="AB160" s="2404"/>
      <c r="AC160" s="2405"/>
      <c r="AD160" s="634" t="str">
        <f>N_MS</f>
        <v>MS</v>
      </c>
      <c r="AE160" s="270"/>
      <c r="AF160" s="270"/>
      <c r="AG160" s="270"/>
      <c r="AH160" s="270"/>
      <c r="AI160" s="270"/>
      <c r="AJ160" s="270"/>
      <c r="AK160" s="270"/>
      <c r="AL160" s="270" t="str">
        <f>IF(COUNTA(Z164:Z167)&gt;3,"OK","")</f>
        <v/>
      </c>
      <c r="AM160" s="270"/>
      <c r="AN160" s="270"/>
      <c r="AO160" s="270"/>
      <c r="AP160" s="270"/>
      <c r="AQ160" s="270"/>
      <c r="AR160" s="270"/>
      <c r="AS160" s="270"/>
      <c r="AT160" s="270"/>
      <c r="AU160" s="270"/>
      <c r="AV160" s="270"/>
      <c r="AW160" s="270"/>
      <c r="AX160" s="270"/>
      <c r="AY160" s="270"/>
      <c r="AZ160" s="270"/>
      <c r="BA160" s="270"/>
      <c r="BB160" s="270"/>
      <c r="BC160" s="270"/>
      <c r="BD160" s="270"/>
      <c r="BE160" s="270"/>
      <c r="BF160" s="270"/>
      <c r="BG160" s="270"/>
      <c r="BH160" s="270"/>
      <c r="BI160" s="270"/>
      <c r="BJ160" s="270"/>
      <c r="BK160" s="270"/>
      <c r="BL160" s="270"/>
      <c r="BM160" s="270"/>
      <c r="BN160" s="270"/>
      <c r="BO160" s="270"/>
      <c r="BP160" s="270"/>
      <c r="BQ160" s="270"/>
    </row>
    <row r="161" spans="1:69" ht="26.25" hidden="1" outlineLevel="1" thickBot="1" x14ac:dyDescent="0.25">
      <c r="A161" s="270"/>
      <c r="B161" s="270"/>
      <c r="C161" s="270"/>
      <c r="D161" s="270"/>
      <c r="E161" s="270"/>
      <c r="F161" s="270"/>
      <c r="G161" s="270"/>
      <c r="H161" s="270"/>
      <c r="I161" s="270"/>
      <c r="J161" s="270"/>
      <c r="K161" s="270"/>
      <c r="L161" s="270"/>
      <c r="M161" s="270"/>
      <c r="N161" s="270"/>
      <c r="O161" s="270"/>
      <c r="P161" s="270"/>
      <c r="Q161" s="270"/>
      <c r="R161" s="270"/>
      <c r="S161" s="270"/>
      <c r="T161" s="270"/>
      <c r="U161" s="635" t="s">
        <v>1723</v>
      </c>
      <c r="V161" s="1536"/>
      <c r="W161" s="1537"/>
      <c r="X161" s="1537"/>
      <c r="Y161" s="673"/>
      <c r="Z161" s="649" t="str">
        <f>IF(OR(ISNUMBER(Z164),ISNUMBER(Z165),ISNUMBER(Z166),ISNUMBER(Z167)),Lire_Gain_Matches(Z164:Z167, AB164:AB167),"")</f>
        <v/>
      </c>
      <c r="AA161" s="650" t="s">
        <v>769</v>
      </c>
      <c r="AB161" s="651" t="str">
        <f>IF(OR(ISNUMBER(Z164),ISNUMBER(Z165),ISNUMBER(Z166),ISNUMBER(Z167)),Lire_Gain_Matches(AB164:AB167, Z164:Z167),"")</f>
        <v/>
      </c>
      <c r="AC161" s="673"/>
      <c r="AD161" s="231" t="str">
        <f>IF(ISNA(VLOOKUP("X",AD164:AD167,1,FALSE)),"","X")</f>
        <v/>
      </c>
      <c r="AE161" s="270" t="str">
        <f>IF(Z161="","",IF(Z161&gt;AB161,Y161,IF(Z161=AB161,IF(AL161=Y161,AC161,IF(AL161=AC161,Y161,"")),AC161)))</f>
        <v/>
      </c>
      <c r="AF161" s="270" t="str">
        <f>IF(Z161="","",IF(Z161=AB161,IF(AL161=Y161,"",IF(AL161=AC161,"",Y161)),""))</f>
        <v/>
      </c>
      <c r="AG161" s="270" t="str">
        <f>IF(Z161="","",IF(Z161=AB161,IF(AL161=Y161,"",IF(AL161=AC161,"",AC161)),""))</f>
        <v/>
      </c>
      <c r="AH161" s="270" t="str">
        <f>IF(Z161="","",IF(Z161&lt;AB161,Y161,IF(Z161=AB161,IF(AL161=Y161,Y161,IF(AL161=AC161,AC161,"")),AC161)))</f>
        <v/>
      </c>
      <c r="AI161" s="270"/>
      <c r="AJ161" s="270"/>
      <c r="AK161" s="270"/>
      <c r="AL161" s="270" t="str">
        <f>IF(COUNTIF(Y164:Y167,WithdrawLabel)&gt;COUNTIF(AC164:AC167,WithdrawLabel),Y161,IF(COUNTIF(AC164:AC167,WithdrawLabel)&gt;COUNTIF(Y164:Y167,WithdrawLabel),AC161,""))</f>
        <v/>
      </c>
      <c r="AM161" s="598"/>
      <c r="AN161" s="270"/>
      <c r="AO161" s="270"/>
      <c r="AP161" s="270"/>
      <c r="AQ161" s="270"/>
      <c r="AR161" s="270"/>
      <c r="AS161" s="270"/>
      <c r="AT161" s="270"/>
      <c r="AU161" s="270"/>
      <c r="AV161" s="270"/>
      <c r="AW161" s="270"/>
      <c r="AX161" s="270"/>
      <c r="AY161" s="270"/>
      <c r="AZ161" s="270"/>
      <c r="BA161" s="270"/>
      <c r="BB161" s="270"/>
      <c r="BC161" s="270"/>
      <c r="BD161" s="270"/>
      <c r="BE161" s="270"/>
      <c r="BF161" s="270"/>
      <c r="BG161" s="270"/>
      <c r="BH161" s="270"/>
      <c r="BI161" s="270"/>
      <c r="BJ161" s="270"/>
      <c r="BK161" s="270"/>
      <c r="BL161" s="270"/>
      <c r="BM161" s="270"/>
      <c r="BN161" s="270"/>
      <c r="BO161" s="270"/>
      <c r="BP161" s="270"/>
      <c r="BQ161" s="270"/>
    </row>
    <row r="162" spans="1:69" ht="18.75" hidden="1" outlineLevel="1" thickBot="1" x14ac:dyDescent="0.25">
      <c r="A162" s="270"/>
      <c r="B162" s="270"/>
      <c r="C162" s="270"/>
      <c r="D162" s="270"/>
      <c r="E162" s="270"/>
      <c r="F162" s="270"/>
      <c r="G162" s="270"/>
      <c r="H162" s="270"/>
      <c r="I162" s="270"/>
      <c r="J162" s="270"/>
      <c r="K162" s="270"/>
      <c r="L162" s="270"/>
      <c r="M162" s="270"/>
      <c r="N162" s="270"/>
      <c r="O162" s="270"/>
      <c r="P162" s="270"/>
      <c r="Q162" s="270"/>
      <c r="R162" s="270"/>
      <c r="S162" s="270"/>
      <c r="T162" s="270"/>
      <c r="U162" s="632"/>
      <c r="V162" s="629"/>
      <c r="W162" s="647"/>
      <c r="X162" s="647"/>
      <c r="Y162" s="652" t="str">
        <f>N_Total_buts</f>
        <v>Total des buts</v>
      </c>
      <c r="Z162" s="649" t="str">
        <f>IF(OR(ISNUMBER(Z164),ISNUMBER(Z165),ISNUMBER(Z166),ISNUMBER(Z167)),SUM(Z164:Z167),"")</f>
        <v/>
      </c>
      <c r="AA162" s="650" t="s">
        <v>769</v>
      </c>
      <c r="AB162" s="651" t="str">
        <f>IF(OR(ISNUMBER(Z164),ISNUMBER(Z165),ISNUMBER(Z166),ISNUMBER(Z167)),SUM(AB164:AB167),"")</f>
        <v/>
      </c>
      <c r="AC162" s="653" t="str">
        <f>IF(Z168="","",CONCATENATE("(Diff : ",Z168," - ",AB168,")"))</f>
        <v/>
      </c>
      <c r="AD162" s="270"/>
      <c r="AE162" s="270"/>
      <c r="AF162" s="270"/>
      <c r="AG162" s="270"/>
      <c r="AH162" s="270"/>
      <c r="AI162" s="270"/>
      <c r="AJ162" s="270"/>
      <c r="AK162" s="270"/>
      <c r="AL162" s="270"/>
      <c r="AM162" s="610"/>
      <c r="AN162" s="270"/>
      <c r="AO162" s="270"/>
      <c r="AP162" s="270"/>
      <c r="AQ162" s="270"/>
      <c r="AR162" s="270"/>
      <c r="AS162" s="270"/>
      <c r="AT162" s="270"/>
      <c r="AU162" s="270"/>
      <c r="AV162" s="270"/>
      <c r="AW162" s="270"/>
      <c r="AX162" s="270"/>
      <c r="AY162" s="270"/>
      <c r="AZ162" s="270"/>
      <c r="BA162" s="270"/>
      <c r="BB162" s="270"/>
      <c r="BC162" s="270"/>
      <c r="BD162" s="270"/>
      <c r="BE162" s="270"/>
      <c r="BF162" s="270"/>
      <c r="BG162" s="270"/>
      <c r="BH162" s="270"/>
      <c r="BI162" s="270"/>
      <c r="BJ162" s="270"/>
      <c r="BK162" s="270"/>
      <c r="BL162" s="270"/>
      <c r="BM162" s="270"/>
      <c r="BN162" s="270"/>
      <c r="BO162" s="270"/>
      <c r="BP162" s="270"/>
      <c r="BQ162" s="270"/>
    </row>
    <row r="163" spans="1:69" ht="26.25" hidden="1" outlineLevel="1" collapsed="1" thickBot="1" x14ac:dyDescent="0.25">
      <c r="A163" s="270"/>
      <c r="B163" s="270"/>
      <c r="C163" s="270"/>
      <c r="D163" s="270"/>
      <c r="E163" s="270"/>
      <c r="F163" s="270"/>
      <c r="G163" s="270"/>
      <c r="H163" s="270"/>
      <c r="I163" s="270"/>
      <c r="J163" s="1334" t="str">
        <f>IF(Z163="","",IF(Z163=Y161,AC161,Y161))</f>
        <v/>
      </c>
      <c r="K163" s="270"/>
      <c r="L163" s="270"/>
      <c r="M163" s="270"/>
      <c r="N163" s="270"/>
      <c r="O163" s="270"/>
      <c r="P163" s="270"/>
      <c r="Q163" s="270"/>
      <c r="R163" s="270"/>
      <c r="S163" s="270"/>
      <c r="T163" s="270"/>
      <c r="U163" s="632"/>
      <c r="V163" s="629"/>
      <c r="W163" s="647"/>
      <c r="X163" s="647"/>
      <c r="Y163" s="654" t="str">
        <f>N_VAINQUEUR</f>
        <v>VAINQUEUR</v>
      </c>
      <c r="Z163" s="2412" t="str">
        <f>IF(AL160&lt;&gt;"OK",IF(HidePlayerFormulas,"","("&amp;Y161&amp;"-"&amp;AC161&amp;")"),IF(AE161="",IF(Z162&gt;AB162,Y161,IF(Z162&lt;AB162,AC161,mess_erreur_marque)),AE161))</f>
        <v/>
      </c>
      <c r="AA163" s="2413"/>
      <c r="AB163" s="2413"/>
      <c r="AC163" s="2414"/>
      <c r="AD163" s="270"/>
      <c r="AE163" s="270"/>
      <c r="AF163" s="270"/>
      <c r="AG163" s="270"/>
      <c r="AH163" s="270"/>
      <c r="AI163" s="270"/>
      <c r="AJ163" s="270"/>
      <c r="AK163" s="270"/>
      <c r="AL163" s="270"/>
      <c r="AM163" s="598"/>
      <c r="AN163" s="270"/>
      <c r="AO163" s="270"/>
      <c r="AP163" s="270"/>
      <c r="AQ163" s="270"/>
      <c r="AR163" s="270"/>
      <c r="AS163" s="270"/>
      <c r="AT163" s="270"/>
      <c r="AU163" s="270"/>
      <c r="AV163" s="270"/>
      <c r="AW163" s="270"/>
      <c r="AX163" s="270"/>
      <c r="AY163" s="270"/>
      <c r="AZ163" s="270"/>
      <c r="BA163" s="270"/>
      <c r="BB163" s="270"/>
      <c r="BC163" s="270"/>
      <c r="BD163" s="270"/>
      <c r="BE163" s="270"/>
      <c r="BF163" s="270"/>
      <c r="BG163" s="270"/>
      <c r="BH163" s="270"/>
      <c r="BI163" s="270"/>
      <c r="BJ163" s="270"/>
      <c r="BK163" s="270"/>
      <c r="BL163" s="270"/>
      <c r="BM163" s="270"/>
      <c r="BN163" s="270"/>
      <c r="BO163" s="270"/>
      <c r="BP163" s="270"/>
      <c r="BQ163" s="270"/>
    </row>
    <row r="164" spans="1:69" ht="26.25" hidden="1" outlineLevel="3" thickBot="1" x14ac:dyDescent="0.25">
      <c r="A164" s="270"/>
      <c r="B164" s="270"/>
      <c r="C164" s="270"/>
      <c r="D164" s="270"/>
      <c r="E164" s="270"/>
      <c r="F164" s="270"/>
      <c r="G164" s="270"/>
      <c r="H164" s="270"/>
      <c r="I164" s="270"/>
      <c r="J164" s="270"/>
      <c r="K164" s="270"/>
      <c r="L164" s="270"/>
      <c r="M164" s="270"/>
      <c r="N164" s="270"/>
      <c r="O164" s="270"/>
      <c r="P164" s="270"/>
      <c r="Q164" s="270"/>
      <c r="R164" s="270"/>
      <c r="S164" s="270"/>
      <c r="T164" s="270"/>
      <c r="U164" s="632"/>
      <c r="V164" s="636"/>
      <c r="W164" s="655"/>
      <c r="X164" s="656"/>
      <c r="Y164" s="657"/>
      <c r="Z164" s="484"/>
      <c r="AA164" s="485" t="s">
        <v>769</v>
      </c>
      <c r="AB164" s="484"/>
      <c r="AC164" s="930"/>
      <c r="AD164" s="637"/>
      <c r="AE164" s="270"/>
      <c r="AF164" s="270"/>
      <c r="AG164" s="270"/>
      <c r="AH164" s="270"/>
      <c r="AI164" s="270"/>
      <c r="AJ164" s="270"/>
      <c r="AK164" s="270"/>
      <c r="AL164" s="270"/>
      <c r="AM164" s="598"/>
      <c r="AN164" s="270"/>
      <c r="AO164" s="270"/>
      <c r="AP164" s="270"/>
      <c r="AQ164" s="270"/>
      <c r="AR164" s="270"/>
      <c r="AS164" s="270"/>
      <c r="AT164" s="270"/>
      <c r="AU164" s="270"/>
      <c r="AV164" s="270"/>
      <c r="AW164" s="270"/>
      <c r="AX164" s="270"/>
      <c r="AY164" s="270"/>
      <c r="AZ164" s="270"/>
      <c r="BA164" s="270"/>
      <c r="BB164" s="270"/>
      <c r="BC164" s="270"/>
      <c r="BD164" s="270"/>
      <c r="BE164" s="270"/>
      <c r="BF164" s="270"/>
      <c r="BG164" s="270"/>
      <c r="BH164" s="270"/>
      <c r="BI164" s="270"/>
      <c r="BJ164" s="270"/>
      <c r="BK164" s="270"/>
      <c r="BL164" s="270"/>
      <c r="BM164" s="270"/>
      <c r="BN164" s="270"/>
      <c r="BO164" s="270"/>
      <c r="BP164" s="270"/>
      <c r="BQ164" s="270"/>
    </row>
    <row r="165" spans="1:69" ht="26.25" hidden="1" outlineLevel="3" thickBot="1" x14ac:dyDescent="0.25">
      <c r="A165" s="270"/>
      <c r="B165" s="270"/>
      <c r="C165" s="270"/>
      <c r="D165" s="270"/>
      <c r="E165" s="270"/>
      <c r="F165" s="270"/>
      <c r="G165" s="270"/>
      <c r="H165" s="270"/>
      <c r="I165" s="270"/>
      <c r="J165" s="270"/>
      <c r="K165" s="270"/>
      <c r="L165" s="270"/>
      <c r="M165" s="270"/>
      <c r="N165" s="270"/>
      <c r="O165" s="270"/>
      <c r="P165" s="270"/>
      <c r="Q165" s="270"/>
      <c r="R165" s="270"/>
      <c r="S165" s="270"/>
      <c r="T165" s="270"/>
      <c r="U165" s="632"/>
      <c r="V165" s="638"/>
      <c r="W165" s="658"/>
      <c r="X165" s="659"/>
      <c r="Y165" s="627"/>
      <c r="Z165" s="492"/>
      <c r="AA165" s="493" t="s">
        <v>769</v>
      </c>
      <c r="AB165" s="492"/>
      <c r="AC165" s="931"/>
      <c r="AD165" s="639"/>
      <c r="AE165" s="270"/>
      <c r="AF165" s="270"/>
      <c r="AG165" s="270"/>
      <c r="AH165" s="270"/>
      <c r="AI165" s="270"/>
      <c r="AJ165" s="270"/>
      <c r="AK165" s="270"/>
      <c r="AL165" s="270"/>
      <c r="AM165" s="598"/>
      <c r="AN165" s="270"/>
      <c r="AO165" s="270"/>
      <c r="AP165" s="270"/>
      <c r="AQ165" s="270"/>
      <c r="AR165" s="270"/>
      <c r="AS165" s="270"/>
      <c r="AT165" s="270"/>
      <c r="AU165" s="270"/>
      <c r="AV165" s="270"/>
      <c r="AW165" s="270"/>
      <c r="AX165" s="270"/>
      <c r="AY165" s="270"/>
      <c r="AZ165" s="270"/>
      <c r="BA165" s="270"/>
      <c r="BB165" s="270"/>
      <c r="BC165" s="270"/>
      <c r="BD165" s="270"/>
      <c r="BE165" s="270"/>
      <c r="BF165" s="270"/>
      <c r="BG165" s="270"/>
      <c r="BH165" s="270"/>
      <c r="BI165" s="270"/>
      <c r="BJ165" s="270"/>
      <c r="BK165" s="270"/>
      <c r="BL165" s="270"/>
      <c r="BM165" s="270"/>
      <c r="BN165" s="270"/>
      <c r="BO165" s="270"/>
      <c r="BP165" s="270"/>
      <c r="BQ165" s="270"/>
    </row>
    <row r="166" spans="1:69" ht="26.25" hidden="1" outlineLevel="3" thickBot="1" x14ac:dyDescent="0.25">
      <c r="A166" s="270"/>
      <c r="B166" s="270"/>
      <c r="C166" s="270"/>
      <c r="D166" s="270"/>
      <c r="E166" s="270"/>
      <c r="F166" s="270"/>
      <c r="G166" s="270"/>
      <c r="H166" s="270"/>
      <c r="I166" s="270"/>
      <c r="J166" s="270"/>
      <c r="K166" s="270"/>
      <c r="L166" s="270"/>
      <c r="M166" s="270"/>
      <c r="N166" s="270"/>
      <c r="O166" s="270"/>
      <c r="P166" s="270"/>
      <c r="Q166" s="270"/>
      <c r="R166" s="270"/>
      <c r="S166" s="270"/>
      <c r="T166" s="270"/>
      <c r="U166" s="632"/>
      <c r="V166" s="638"/>
      <c r="W166" s="658"/>
      <c r="X166" s="659"/>
      <c r="Y166" s="627"/>
      <c r="Z166" s="492"/>
      <c r="AA166" s="493" t="s">
        <v>769</v>
      </c>
      <c r="AB166" s="492"/>
      <c r="AC166" s="931"/>
      <c r="AD166" s="640"/>
      <c r="AE166" s="270"/>
      <c r="AF166" s="270"/>
      <c r="AG166" s="270"/>
      <c r="AH166" s="270"/>
      <c r="AI166" s="270"/>
      <c r="AJ166" s="270"/>
      <c r="AK166" s="270"/>
      <c r="AL166" s="270"/>
      <c r="AM166" s="598"/>
      <c r="AN166" s="270"/>
      <c r="AO166" s="270"/>
      <c r="AP166" s="270"/>
      <c r="AQ166" s="270"/>
      <c r="AR166" s="270"/>
      <c r="AS166" s="270"/>
      <c r="AT166" s="270"/>
      <c r="AU166" s="270"/>
      <c r="AV166" s="270"/>
      <c r="AW166" s="270"/>
      <c r="AX166" s="270"/>
      <c r="AY166" s="270"/>
      <c r="AZ166" s="270"/>
      <c r="BA166" s="270"/>
      <c r="BB166" s="270"/>
      <c r="BC166" s="270"/>
      <c r="BD166" s="270"/>
      <c r="BE166" s="270"/>
      <c r="BF166" s="270"/>
      <c r="BG166" s="270"/>
      <c r="BH166" s="270"/>
      <c r="BI166" s="270"/>
      <c r="BJ166" s="270"/>
      <c r="BK166" s="270"/>
      <c r="BL166" s="270"/>
      <c r="BM166" s="270"/>
      <c r="BN166" s="270"/>
      <c r="BO166" s="270"/>
      <c r="BP166" s="270"/>
      <c r="BQ166" s="270"/>
    </row>
    <row r="167" spans="1:69" ht="26.25" hidden="1" outlineLevel="3" thickBot="1" x14ac:dyDescent="0.25">
      <c r="A167" s="270"/>
      <c r="B167" s="270"/>
      <c r="C167" s="270"/>
      <c r="D167" s="270"/>
      <c r="E167" s="270"/>
      <c r="F167" s="270"/>
      <c r="G167" s="270"/>
      <c r="H167" s="270"/>
      <c r="I167" s="270"/>
      <c r="J167" s="270"/>
      <c r="K167" s="270"/>
      <c r="L167" s="270"/>
      <c r="M167" s="270"/>
      <c r="N167" s="270"/>
      <c r="O167" s="270"/>
      <c r="P167" s="270"/>
      <c r="Q167" s="270"/>
      <c r="R167" s="270"/>
      <c r="S167" s="270"/>
      <c r="T167" s="270"/>
      <c r="U167" s="632"/>
      <c r="V167" s="641"/>
      <c r="W167" s="660"/>
      <c r="X167" s="661"/>
      <c r="Y167" s="631"/>
      <c r="Z167" s="496"/>
      <c r="AA167" s="497" t="s">
        <v>769</v>
      </c>
      <c r="AB167" s="496"/>
      <c r="AC167" s="932"/>
      <c r="AD167" s="642"/>
      <c r="AE167" s="270"/>
      <c r="AF167" s="270"/>
      <c r="AG167" s="270"/>
      <c r="AH167" s="270"/>
      <c r="AI167" s="270"/>
      <c r="AJ167" s="270"/>
      <c r="AK167" s="270"/>
      <c r="AL167" s="270"/>
      <c r="AM167" s="598"/>
      <c r="AN167" s="270"/>
      <c r="AO167" s="270"/>
      <c r="AP167" s="270"/>
      <c r="AQ167" s="270"/>
      <c r="AR167" s="270"/>
      <c r="AS167" s="270"/>
      <c r="AT167" s="270"/>
      <c r="AU167" s="270"/>
      <c r="AV167" s="270"/>
      <c r="AW167" s="270"/>
      <c r="AX167" s="270"/>
      <c r="AY167" s="270"/>
      <c r="AZ167" s="270"/>
      <c r="BA167" s="270"/>
      <c r="BB167" s="270"/>
      <c r="BC167" s="270"/>
      <c r="BD167" s="270"/>
      <c r="BE167" s="270"/>
      <c r="BF167" s="270"/>
      <c r="BG167" s="270"/>
      <c r="BH167" s="270"/>
      <c r="BI167" s="270"/>
      <c r="BJ167" s="270"/>
      <c r="BK167" s="270"/>
      <c r="BL167" s="270"/>
      <c r="BM167" s="270"/>
      <c r="BN167" s="270"/>
      <c r="BO167" s="270"/>
      <c r="BP167" s="270"/>
      <c r="BQ167" s="270"/>
    </row>
    <row r="168" spans="1:69" ht="26.25" hidden="1" outlineLevel="3" thickBot="1" x14ac:dyDescent="0.25">
      <c r="A168" s="270"/>
      <c r="B168" s="270"/>
      <c r="C168" s="270"/>
      <c r="D168" s="270"/>
      <c r="E168" s="270"/>
      <c r="F168" s="270"/>
      <c r="G168" s="270"/>
      <c r="H168" s="270"/>
      <c r="I168" s="270"/>
      <c r="J168" s="270"/>
      <c r="K168" s="270"/>
      <c r="L168" s="270"/>
      <c r="M168" s="270"/>
      <c r="N168" s="270"/>
      <c r="O168" s="270"/>
      <c r="P168" s="270"/>
      <c r="Q168" s="270"/>
      <c r="R168" s="270"/>
      <c r="S168" s="270"/>
      <c r="T168" s="270"/>
      <c r="U168" s="632"/>
      <c r="V168" s="643"/>
      <c r="W168" s="644" t="str">
        <f>N_Différentiel</f>
        <v>Différentiel</v>
      </c>
      <c r="X168" s="662"/>
      <c r="Y168" s="663"/>
      <c r="Z168" s="488"/>
      <c r="AA168" s="489" t="s">
        <v>769</v>
      </c>
      <c r="AB168" s="488"/>
      <c r="AC168" s="933"/>
      <c r="AD168" s="270"/>
      <c r="AE168" s="270"/>
      <c r="AF168" s="270"/>
      <c r="AG168" s="270"/>
      <c r="AH168" s="270"/>
      <c r="AI168" s="270"/>
      <c r="AJ168" s="270"/>
      <c r="AK168" s="270"/>
      <c r="AL168" s="270"/>
      <c r="AM168" s="598"/>
      <c r="AN168" s="270"/>
      <c r="AO168" s="270"/>
      <c r="AP168" s="270"/>
      <c r="AQ168" s="270"/>
      <c r="AR168" s="270"/>
      <c r="AS168" s="270"/>
      <c r="AT168" s="270"/>
      <c r="AU168" s="270"/>
      <c r="AV168" s="270"/>
      <c r="AW168" s="270"/>
      <c r="AX168" s="270"/>
      <c r="AY168" s="270"/>
      <c r="AZ168" s="270"/>
      <c r="BA168" s="270"/>
      <c r="BB168" s="270"/>
      <c r="BC168" s="270"/>
      <c r="BD168" s="270"/>
      <c r="BE168" s="270"/>
      <c r="BF168" s="270"/>
      <c r="BG168" s="270"/>
      <c r="BH168" s="270"/>
      <c r="BI168" s="270"/>
      <c r="BJ168" s="270"/>
      <c r="BK168" s="270"/>
      <c r="BL168" s="270"/>
      <c r="BM168" s="270"/>
      <c r="BN168" s="270"/>
      <c r="BO168" s="270"/>
      <c r="BP168" s="270"/>
      <c r="BQ168" s="270"/>
    </row>
    <row r="169" spans="1:69" ht="26.25" hidden="1" outlineLevel="3" thickBot="1" x14ac:dyDescent="0.25">
      <c r="A169" s="270"/>
      <c r="B169" s="270"/>
      <c r="C169" s="270"/>
      <c r="D169" s="270"/>
      <c r="E169" s="270"/>
      <c r="F169" s="270"/>
      <c r="G169" s="270"/>
      <c r="H169" s="270"/>
      <c r="I169" s="270"/>
      <c r="J169" s="270"/>
      <c r="K169" s="270"/>
      <c r="L169" s="270"/>
      <c r="M169" s="270"/>
      <c r="N169" s="270"/>
      <c r="O169" s="270"/>
      <c r="P169" s="270"/>
      <c r="Q169" s="270"/>
      <c r="R169" s="270"/>
      <c r="S169" s="270"/>
      <c r="T169" s="270"/>
      <c r="U169" s="632"/>
      <c r="V169" s="643"/>
      <c r="W169" s="664"/>
      <c r="X169" s="665" t="str">
        <f>N_Substitute</f>
        <v>Remplaçant</v>
      </c>
      <c r="Y169" s="657"/>
      <c r="Z169" s="480"/>
      <c r="AA169" s="666"/>
      <c r="AB169" s="480"/>
      <c r="AC169" s="934"/>
      <c r="AD169" s="270"/>
      <c r="AE169" s="270"/>
      <c r="AF169" s="270"/>
      <c r="AG169" s="270"/>
      <c r="AH169" s="270"/>
      <c r="AI169" s="270"/>
      <c r="AJ169" s="270"/>
      <c r="AK169" s="270"/>
      <c r="AL169" s="270"/>
      <c r="AM169" s="598"/>
      <c r="AN169" s="270"/>
      <c r="AO169" s="270"/>
      <c r="AP169" s="270"/>
      <c r="AQ169" s="270"/>
      <c r="AR169" s="270"/>
      <c r="AS169" s="270"/>
      <c r="AT169" s="270"/>
      <c r="AU169" s="270"/>
      <c r="AV169" s="270"/>
      <c r="AW169" s="270"/>
      <c r="AX169" s="270"/>
      <c r="AY169" s="270"/>
      <c r="AZ169" s="270"/>
      <c r="BA169" s="270"/>
      <c r="BB169" s="270"/>
      <c r="BC169" s="270"/>
      <c r="BD169" s="270"/>
      <c r="BE169" s="270"/>
      <c r="BF169" s="270"/>
      <c r="BG169" s="270"/>
      <c r="BH169" s="270"/>
      <c r="BI169" s="270"/>
      <c r="BJ169" s="270"/>
      <c r="BK169" s="270"/>
      <c r="BL169" s="270"/>
      <c r="BM169" s="270"/>
      <c r="BN169" s="270"/>
      <c r="BO169" s="270"/>
      <c r="BP169" s="270"/>
      <c r="BQ169" s="270"/>
    </row>
    <row r="170" spans="1:69" ht="26.25" hidden="1" outlineLevel="3" thickBot="1" x14ac:dyDescent="0.25">
      <c r="A170" s="270"/>
      <c r="B170" s="270"/>
      <c r="C170" s="270"/>
      <c r="D170" s="270"/>
      <c r="E170" s="270"/>
      <c r="F170" s="270"/>
      <c r="G170" s="270"/>
      <c r="H170" s="270"/>
      <c r="I170" s="270"/>
      <c r="J170" s="270"/>
      <c r="K170" s="270"/>
      <c r="L170" s="270"/>
      <c r="M170" s="270"/>
      <c r="N170" s="270"/>
      <c r="O170" s="270"/>
      <c r="P170" s="270"/>
      <c r="Q170" s="270"/>
      <c r="R170" s="270"/>
      <c r="S170" s="270"/>
      <c r="T170" s="270"/>
      <c r="U170" s="632"/>
      <c r="V170" s="643"/>
      <c r="W170" s="664"/>
      <c r="X170" s="667" t="str">
        <f>N_Substitute</f>
        <v>Remplaçant</v>
      </c>
      <c r="Y170" s="663"/>
      <c r="Z170" s="488"/>
      <c r="AA170" s="668"/>
      <c r="AB170" s="488"/>
      <c r="AC170" s="933"/>
      <c r="AD170" s="270"/>
      <c r="AE170" s="270"/>
      <c r="AF170" s="270"/>
      <c r="AG170" s="270"/>
      <c r="AH170" s="270"/>
      <c r="AI170" s="270"/>
      <c r="AJ170" s="270"/>
      <c r="AK170" s="270"/>
      <c r="AL170" s="270"/>
      <c r="AM170" s="598"/>
      <c r="AN170" s="270"/>
      <c r="AO170" s="270"/>
      <c r="AP170" s="270"/>
      <c r="AQ170" s="270"/>
      <c r="AR170" s="270"/>
      <c r="AS170" s="270"/>
      <c r="AT170" s="270"/>
      <c r="AU170" s="270"/>
      <c r="AV170" s="270"/>
      <c r="AW170" s="270"/>
      <c r="AX170" s="270"/>
      <c r="AY170" s="270"/>
      <c r="AZ170" s="270"/>
      <c r="BA170" s="270"/>
      <c r="BB170" s="270"/>
      <c r="BC170" s="270"/>
      <c r="BD170" s="270"/>
      <c r="BE170" s="270"/>
      <c r="BF170" s="270"/>
      <c r="BG170" s="270"/>
      <c r="BH170" s="270"/>
      <c r="BI170" s="270"/>
      <c r="BJ170" s="270"/>
      <c r="BK170" s="270"/>
      <c r="BL170" s="270"/>
      <c r="BM170" s="270"/>
      <c r="BN170" s="270"/>
      <c r="BO170" s="270"/>
      <c r="BP170" s="270"/>
      <c r="BQ170" s="270"/>
    </row>
    <row r="171" spans="1:69" ht="13.5" hidden="1" outlineLevel="1" thickBot="1" x14ac:dyDescent="0.25">
      <c r="A171" s="270"/>
      <c r="B171" s="270"/>
      <c r="C171" s="270"/>
      <c r="D171" s="270"/>
      <c r="E171" s="270"/>
      <c r="F171" s="270"/>
      <c r="G171" s="270"/>
      <c r="H171" s="270"/>
      <c r="I171" s="270"/>
      <c r="J171" s="270"/>
      <c r="K171" s="270"/>
      <c r="L171" s="270"/>
      <c r="M171" s="270"/>
      <c r="N171" s="270"/>
      <c r="O171" s="270"/>
      <c r="P171" s="270"/>
      <c r="Q171" s="270"/>
      <c r="R171" s="270"/>
      <c r="S171" s="270"/>
      <c r="T171" s="270"/>
      <c r="U171" s="632"/>
      <c r="V171" s="270"/>
      <c r="W171" s="270"/>
      <c r="X171" s="270"/>
      <c r="Y171" s="270"/>
      <c r="Z171" s="270"/>
      <c r="AA171" s="270"/>
      <c r="AB171" s="270"/>
      <c r="AC171" s="270"/>
      <c r="AD171" s="270"/>
      <c r="AE171" s="270"/>
      <c r="AF171" s="270"/>
      <c r="AG171" s="270"/>
      <c r="AH171" s="270"/>
      <c r="AI171" s="270"/>
      <c r="AJ171" s="270"/>
      <c r="AK171" s="270"/>
      <c r="AL171" s="270"/>
      <c r="AM171" s="270"/>
      <c r="AN171" s="270"/>
      <c r="AO171" s="270"/>
      <c r="AP171" s="270"/>
      <c r="AQ171" s="270"/>
      <c r="AR171" s="270"/>
      <c r="AS171" s="270"/>
      <c r="AT171" s="270"/>
      <c r="AU171" s="270"/>
      <c r="AV171" s="270"/>
      <c r="AW171" s="270"/>
      <c r="AX171" s="270"/>
      <c r="AY171" s="270"/>
      <c r="AZ171" s="270"/>
      <c r="BA171" s="270"/>
      <c r="BB171" s="270"/>
      <c r="BC171" s="270"/>
      <c r="BD171" s="270"/>
      <c r="BE171" s="270"/>
      <c r="BF171" s="270"/>
      <c r="BG171" s="270"/>
      <c r="BH171" s="270"/>
      <c r="BI171" s="270"/>
      <c r="BJ171" s="270"/>
      <c r="BK171" s="270"/>
      <c r="BL171" s="270"/>
      <c r="BM171" s="270"/>
      <c r="BN171" s="270"/>
      <c r="BO171" s="270"/>
      <c r="BP171" s="270"/>
      <c r="BQ171" s="270"/>
    </row>
    <row r="172" spans="1:69" ht="13.5" hidden="1" outlineLevel="1" thickBot="1" x14ac:dyDescent="0.25">
      <c r="A172" s="270"/>
      <c r="B172" s="270"/>
      <c r="C172" s="270"/>
      <c r="D172" s="270"/>
      <c r="E172" s="270"/>
      <c r="F172" s="270"/>
      <c r="G172" s="270"/>
      <c r="H172" s="270"/>
      <c r="I172" s="270"/>
      <c r="J172" s="270"/>
      <c r="K172" s="270"/>
      <c r="L172" s="270"/>
      <c r="M172" s="270"/>
      <c r="N172" s="270"/>
      <c r="O172" s="270"/>
      <c r="P172" s="270"/>
      <c r="Q172" s="270"/>
      <c r="R172" s="270"/>
      <c r="S172" s="270"/>
      <c r="T172" s="270"/>
      <c r="U172" s="633"/>
      <c r="V172" s="630" t="str">
        <f>N_Heure</f>
        <v>Heure</v>
      </c>
      <c r="W172" s="630" t="str">
        <f>N_Table</f>
        <v>Table</v>
      </c>
      <c r="X172" s="630" t="str">
        <f>N_Arbitre</f>
        <v>Arbitre</v>
      </c>
      <c r="Y172" s="2403" t="str">
        <f>N_Scores</f>
        <v>Scores</v>
      </c>
      <c r="Z172" s="2404"/>
      <c r="AA172" s="2404"/>
      <c r="AB172" s="2404"/>
      <c r="AC172" s="2405"/>
      <c r="AD172" s="634" t="str">
        <f>N_MS</f>
        <v>MS</v>
      </c>
      <c r="AE172" s="270"/>
      <c r="AF172" s="270"/>
      <c r="AG172" s="270"/>
      <c r="AH172" s="270"/>
      <c r="AI172" s="270"/>
      <c r="AJ172" s="270"/>
      <c r="AK172" s="270"/>
      <c r="AL172" s="270" t="str">
        <f>IF(COUNTA(Z176:Z179)&gt;3,"OK","")</f>
        <v/>
      </c>
      <c r="AM172" s="270"/>
      <c r="AN172" s="270"/>
      <c r="AO172" s="270"/>
      <c r="AP172" s="270"/>
      <c r="AQ172" s="270"/>
      <c r="AR172" s="270"/>
      <c r="AS172" s="270"/>
      <c r="AT172" s="270"/>
      <c r="AU172" s="270"/>
      <c r="AV172" s="270"/>
      <c r="AW172" s="270"/>
      <c r="AX172" s="270"/>
      <c r="AY172" s="270"/>
      <c r="AZ172" s="270"/>
      <c r="BA172" s="270"/>
      <c r="BB172" s="270"/>
      <c r="BC172" s="270"/>
      <c r="BD172" s="270"/>
      <c r="BE172" s="270"/>
      <c r="BF172" s="270"/>
      <c r="BG172" s="270"/>
      <c r="BH172" s="270"/>
      <c r="BI172" s="270"/>
      <c r="BJ172" s="270"/>
      <c r="BK172" s="270"/>
      <c r="BL172" s="270"/>
      <c r="BM172" s="270"/>
      <c r="BN172" s="270"/>
      <c r="BO172" s="270"/>
      <c r="BP172" s="270"/>
      <c r="BQ172" s="270"/>
    </row>
    <row r="173" spans="1:69" ht="26.25" hidden="1" outlineLevel="1" thickBot="1" x14ac:dyDescent="0.25">
      <c r="A173" s="270"/>
      <c r="B173" s="270"/>
      <c r="C173" s="270"/>
      <c r="D173" s="270"/>
      <c r="E173" s="270"/>
      <c r="F173" s="270"/>
      <c r="G173" s="270"/>
      <c r="H173" s="270"/>
      <c r="I173" s="270"/>
      <c r="J173" s="270"/>
      <c r="K173" s="270"/>
      <c r="L173" s="270"/>
      <c r="M173" s="270"/>
      <c r="N173" s="270"/>
      <c r="O173" s="270"/>
      <c r="P173" s="270"/>
      <c r="Q173" s="270"/>
      <c r="R173" s="270"/>
      <c r="S173" s="270"/>
      <c r="T173" s="270"/>
      <c r="U173" s="635" t="s">
        <v>1723</v>
      </c>
      <c r="V173" s="1536"/>
      <c r="W173" s="1537"/>
      <c r="X173" s="1537"/>
      <c r="Y173" s="673"/>
      <c r="Z173" s="649" t="str">
        <f>IF(OR(ISNUMBER(Z176),ISNUMBER(Z177),ISNUMBER(Z178),ISNUMBER(Z179)),Lire_Gain_Matches(Z176:Z179, AB176:AB179),"")</f>
        <v/>
      </c>
      <c r="AA173" s="650" t="s">
        <v>769</v>
      </c>
      <c r="AB173" s="651" t="str">
        <f>IF(OR(ISNUMBER(Z176),ISNUMBER(Z177),ISNUMBER(Z178),ISNUMBER(Z179)),Lire_Gain_Matches(AB176:AB179, Z176:Z179),"")</f>
        <v/>
      </c>
      <c r="AC173" s="673"/>
      <c r="AD173" s="231" t="str">
        <f>IF(ISNA(VLOOKUP("X",AD176:AD179,1,FALSE)),"","X")</f>
        <v/>
      </c>
      <c r="AE173" s="270" t="str">
        <f>IF(Z173="","",IF(Z173&gt;AB173,Y173,IF(Z173=AB173,IF(AL173=Y173,AC173,IF(AL173=AC173,Y173,"")),AC173)))</f>
        <v/>
      </c>
      <c r="AF173" s="270" t="str">
        <f>IF(Z173="","",IF(Z173=AB173,IF(AL173=Y173,"",IF(AL173=AC173,"",Y173)),""))</f>
        <v/>
      </c>
      <c r="AG173" s="270" t="str">
        <f>IF(Z173="","",IF(Z173=AB173,IF(AL173=Y173,"",IF(AL173=AC173,"",AC173)),""))</f>
        <v/>
      </c>
      <c r="AH173" s="270" t="str">
        <f>IF(Z173="","",IF(Z173&lt;AB173,Y173,IF(Z173=AB173,IF(AL173=Y173,Y173,IF(AL173=AC173,AC173,"")),AC173)))</f>
        <v/>
      </c>
      <c r="AI173" s="270"/>
      <c r="AJ173" s="270"/>
      <c r="AK173" s="270"/>
      <c r="AL173" s="270" t="str">
        <f>IF(COUNTIF(Y176:Y179,WithdrawLabel)&gt;COUNTIF(AC176:AC179,WithdrawLabel),Y173,IF(COUNTIF(AC176:AC179,WithdrawLabel)&gt;COUNTIF(Y176:Y179,WithdrawLabel),AC173,""))</f>
        <v/>
      </c>
      <c r="AM173" s="598"/>
      <c r="AN173" s="270"/>
      <c r="AO173" s="270"/>
      <c r="AP173" s="270"/>
      <c r="AQ173" s="270"/>
      <c r="AR173" s="270"/>
      <c r="AS173" s="270"/>
      <c r="AT173" s="270"/>
      <c r="AU173" s="270"/>
      <c r="AV173" s="270"/>
      <c r="AW173" s="270"/>
      <c r="AX173" s="270"/>
      <c r="AY173" s="270"/>
      <c r="AZ173" s="270"/>
      <c r="BA173" s="270"/>
      <c r="BB173" s="270"/>
      <c r="BC173" s="270"/>
      <c r="BD173" s="270"/>
      <c r="BE173" s="270"/>
      <c r="BF173" s="270"/>
      <c r="BG173" s="270"/>
      <c r="BH173" s="270"/>
      <c r="BI173" s="270"/>
      <c r="BJ173" s="270"/>
      <c r="BK173" s="270"/>
      <c r="BL173" s="270"/>
      <c r="BM173" s="270"/>
      <c r="BN173" s="270"/>
      <c r="BO173" s="270"/>
      <c r="BP173" s="270"/>
      <c r="BQ173" s="270"/>
    </row>
    <row r="174" spans="1:69" ht="18.75" hidden="1" outlineLevel="1" thickBot="1" x14ac:dyDescent="0.25">
      <c r="A174" s="270"/>
      <c r="B174" s="270"/>
      <c r="C174" s="270"/>
      <c r="D174" s="270"/>
      <c r="E174" s="270"/>
      <c r="F174" s="270"/>
      <c r="G174" s="270"/>
      <c r="H174" s="270"/>
      <c r="I174" s="270"/>
      <c r="J174" s="270"/>
      <c r="K174" s="270"/>
      <c r="L174" s="270"/>
      <c r="M174" s="270"/>
      <c r="N174" s="270"/>
      <c r="O174" s="270"/>
      <c r="P174" s="270"/>
      <c r="Q174" s="270"/>
      <c r="R174" s="270"/>
      <c r="S174" s="270"/>
      <c r="T174" s="270"/>
      <c r="U174" s="632"/>
      <c r="V174" s="629"/>
      <c r="W174" s="647"/>
      <c r="X174" s="647"/>
      <c r="Y174" s="652" t="str">
        <f>N_Total_buts</f>
        <v>Total des buts</v>
      </c>
      <c r="Z174" s="649" t="str">
        <f>IF(OR(ISNUMBER(Z176),ISNUMBER(Z177),ISNUMBER(Z178),ISNUMBER(Z179)),SUM(Z176:Z179),"")</f>
        <v/>
      </c>
      <c r="AA174" s="650" t="s">
        <v>769</v>
      </c>
      <c r="AB174" s="651" t="str">
        <f>IF(OR(ISNUMBER(Z176),ISNUMBER(Z177),ISNUMBER(Z178),ISNUMBER(Z179)),SUM(AB176:AB179),"")</f>
        <v/>
      </c>
      <c r="AC174" s="653" t="str">
        <f>IF(Z180="","",CONCATENATE("(Diff : ",Z180," - ",AB180,")"))</f>
        <v/>
      </c>
      <c r="AD174" s="270"/>
      <c r="AE174" s="270"/>
      <c r="AF174" s="270"/>
      <c r="AG174" s="270"/>
      <c r="AH174" s="270"/>
      <c r="AI174" s="270"/>
      <c r="AJ174" s="270"/>
      <c r="AK174" s="270"/>
      <c r="AL174" s="270"/>
      <c r="AM174" s="610"/>
      <c r="AN174" s="270"/>
      <c r="AO174" s="270"/>
      <c r="AP174" s="270"/>
      <c r="AQ174" s="270"/>
      <c r="AR174" s="270"/>
      <c r="AS174" s="270"/>
      <c r="AT174" s="270"/>
      <c r="AU174" s="270"/>
      <c r="AV174" s="270"/>
      <c r="AW174" s="270"/>
      <c r="AX174" s="270"/>
      <c r="AY174" s="270"/>
      <c r="AZ174" s="270"/>
      <c r="BA174" s="270"/>
      <c r="BB174" s="270"/>
      <c r="BC174" s="270"/>
      <c r="BD174" s="270"/>
      <c r="BE174" s="270"/>
      <c r="BF174" s="270"/>
      <c r="BG174" s="270"/>
      <c r="BH174" s="270"/>
      <c r="BI174" s="270"/>
      <c r="BJ174" s="270"/>
      <c r="BK174" s="270"/>
      <c r="BL174" s="270"/>
      <c r="BM174" s="270"/>
      <c r="BN174" s="270"/>
      <c r="BO174" s="270"/>
      <c r="BP174" s="270"/>
      <c r="BQ174" s="270"/>
    </row>
    <row r="175" spans="1:69" ht="26.25" hidden="1" outlineLevel="1" collapsed="1" thickBot="1" x14ac:dyDescent="0.25">
      <c r="A175" s="270"/>
      <c r="B175" s="270"/>
      <c r="C175" s="270"/>
      <c r="D175" s="270"/>
      <c r="E175" s="270"/>
      <c r="F175" s="270"/>
      <c r="G175" s="270"/>
      <c r="H175" s="270"/>
      <c r="I175" s="270"/>
      <c r="J175" s="1334" t="str">
        <f>IF(Z175="","",IF(Z175=Y173,AC173,Y173))</f>
        <v/>
      </c>
      <c r="K175" s="270"/>
      <c r="L175" s="270"/>
      <c r="M175" s="270"/>
      <c r="N175" s="270"/>
      <c r="O175" s="270"/>
      <c r="P175" s="270"/>
      <c r="Q175" s="270"/>
      <c r="R175" s="270"/>
      <c r="S175" s="270"/>
      <c r="T175" s="270"/>
      <c r="U175" s="632"/>
      <c r="V175" s="629"/>
      <c r="W175" s="647"/>
      <c r="X175" s="647"/>
      <c r="Y175" s="654" t="str">
        <f>N_VAINQUEUR</f>
        <v>VAINQUEUR</v>
      </c>
      <c r="Z175" s="2412" t="str">
        <f>IF(AL172&lt;&gt;"OK",IF(HidePlayerFormulas,"","("&amp;Y173&amp;"-"&amp;AC173&amp;")"),IF(AE173="",IF(Z174&gt;AB174,Y173,IF(Z174&lt;AB174,AC173,mess_erreur_marque)),AE173))</f>
        <v/>
      </c>
      <c r="AA175" s="2413"/>
      <c r="AB175" s="2413"/>
      <c r="AC175" s="2414"/>
      <c r="AD175" s="270"/>
      <c r="AE175" s="270"/>
      <c r="AF175" s="270"/>
      <c r="AG175" s="270"/>
      <c r="AH175" s="270"/>
      <c r="AI175" s="270"/>
      <c r="AJ175" s="270"/>
      <c r="AK175" s="270"/>
      <c r="AL175" s="270"/>
      <c r="AM175" s="598"/>
      <c r="AN175" s="270"/>
      <c r="AO175" s="270"/>
      <c r="AP175" s="270"/>
      <c r="AQ175" s="270"/>
      <c r="AR175" s="270"/>
      <c r="AS175" s="270"/>
      <c r="AT175" s="270"/>
      <c r="AU175" s="270"/>
      <c r="AV175" s="270"/>
      <c r="AW175" s="270"/>
      <c r="AX175" s="270"/>
      <c r="AY175" s="270"/>
      <c r="AZ175" s="270"/>
      <c r="BA175" s="270"/>
      <c r="BB175" s="270"/>
      <c r="BC175" s="270"/>
      <c r="BD175" s="270"/>
      <c r="BE175" s="270"/>
      <c r="BF175" s="270"/>
      <c r="BG175" s="270"/>
      <c r="BH175" s="270"/>
      <c r="BI175" s="270"/>
      <c r="BJ175" s="270"/>
      <c r="BK175" s="270"/>
      <c r="BL175" s="270"/>
      <c r="BM175" s="270"/>
      <c r="BN175" s="270"/>
      <c r="BO175" s="270"/>
      <c r="BP175" s="270"/>
      <c r="BQ175" s="270"/>
    </row>
    <row r="176" spans="1:69" ht="26.25" hidden="1" outlineLevel="3" thickBot="1" x14ac:dyDescent="0.25">
      <c r="A176" s="270"/>
      <c r="B176" s="270"/>
      <c r="C176" s="270"/>
      <c r="D176" s="270"/>
      <c r="E176" s="270"/>
      <c r="F176" s="270"/>
      <c r="G176" s="270"/>
      <c r="H176" s="270"/>
      <c r="I176" s="270"/>
      <c r="J176" s="270"/>
      <c r="K176" s="270"/>
      <c r="L176" s="270"/>
      <c r="M176" s="270"/>
      <c r="N176" s="270"/>
      <c r="O176" s="270"/>
      <c r="P176" s="270"/>
      <c r="Q176" s="270"/>
      <c r="R176" s="270"/>
      <c r="S176" s="270"/>
      <c r="T176" s="270"/>
      <c r="U176" s="632"/>
      <c r="V176" s="636"/>
      <c r="W176" s="655"/>
      <c r="X176" s="656"/>
      <c r="Y176" s="657"/>
      <c r="Z176" s="484"/>
      <c r="AA176" s="485" t="s">
        <v>769</v>
      </c>
      <c r="AB176" s="484"/>
      <c r="AC176" s="930"/>
      <c r="AD176" s="637"/>
      <c r="AE176" s="270"/>
      <c r="AF176" s="270"/>
      <c r="AG176" s="270"/>
      <c r="AH176" s="270"/>
      <c r="AI176" s="270"/>
      <c r="AJ176" s="270"/>
      <c r="AK176" s="270"/>
      <c r="AL176" s="270"/>
      <c r="AM176" s="598"/>
      <c r="AN176" s="270"/>
      <c r="AO176" s="270"/>
      <c r="AP176" s="270"/>
      <c r="AQ176" s="270"/>
      <c r="AR176" s="270"/>
      <c r="AS176" s="270"/>
      <c r="AT176" s="270"/>
      <c r="AU176" s="270"/>
      <c r="AV176" s="270"/>
      <c r="AW176" s="270"/>
      <c r="AX176" s="270"/>
      <c r="AY176" s="270"/>
      <c r="AZ176" s="270"/>
      <c r="BA176" s="270"/>
      <c r="BB176" s="270"/>
      <c r="BC176" s="270"/>
      <c r="BD176" s="270"/>
      <c r="BE176" s="270"/>
      <c r="BF176" s="270"/>
      <c r="BG176" s="270"/>
      <c r="BH176" s="270"/>
      <c r="BI176" s="270"/>
      <c r="BJ176" s="270"/>
      <c r="BK176" s="270"/>
      <c r="BL176" s="270"/>
      <c r="BM176" s="270"/>
      <c r="BN176" s="270"/>
      <c r="BO176" s="270"/>
      <c r="BP176" s="270"/>
      <c r="BQ176" s="270"/>
    </row>
    <row r="177" spans="1:69" ht="26.25" hidden="1" outlineLevel="3" thickBot="1" x14ac:dyDescent="0.25">
      <c r="A177" s="270"/>
      <c r="B177" s="270"/>
      <c r="C177" s="270"/>
      <c r="D177" s="270"/>
      <c r="E177" s="270"/>
      <c r="F177" s="270"/>
      <c r="G177" s="270"/>
      <c r="H177" s="270"/>
      <c r="I177" s="270"/>
      <c r="J177" s="270"/>
      <c r="K177" s="270"/>
      <c r="L177" s="270"/>
      <c r="M177" s="270"/>
      <c r="N177" s="270"/>
      <c r="O177" s="270"/>
      <c r="P177" s="270"/>
      <c r="Q177" s="270"/>
      <c r="R177" s="270"/>
      <c r="S177" s="270"/>
      <c r="T177" s="270"/>
      <c r="U177" s="632"/>
      <c r="V177" s="638"/>
      <c r="W177" s="658"/>
      <c r="X177" s="659"/>
      <c r="Y177" s="627"/>
      <c r="Z177" s="492"/>
      <c r="AA177" s="493" t="s">
        <v>769</v>
      </c>
      <c r="AB177" s="492"/>
      <c r="AC177" s="931"/>
      <c r="AD177" s="639"/>
      <c r="AE177" s="270"/>
      <c r="AF177" s="270"/>
      <c r="AG177" s="270"/>
      <c r="AH177" s="270"/>
      <c r="AI177" s="270"/>
      <c r="AJ177" s="270"/>
      <c r="AK177" s="270"/>
      <c r="AL177" s="270"/>
      <c r="AM177" s="598"/>
      <c r="AN177" s="270"/>
      <c r="AO177" s="270"/>
      <c r="AP177" s="270"/>
      <c r="AQ177" s="270"/>
      <c r="AR177" s="270"/>
      <c r="AS177" s="270"/>
      <c r="AT177" s="270"/>
      <c r="AU177" s="270"/>
      <c r="AV177" s="270"/>
      <c r="AW177" s="270"/>
      <c r="AX177" s="270"/>
      <c r="AY177" s="270"/>
      <c r="AZ177" s="270"/>
      <c r="BA177" s="270"/>
      <c r="BB177" s="270"/>
      <c r="BC177" s="270"/>
      <c r="BD177" s="270"/>
      <c r="BE177" s="270"/>
      <c r="BF177" s="270"/>
      <c r="BG177" s="270"/>
      <c r="BH177" s="270"/>
      <c r="BI177" s="270"/>
      <c r="BJ177" s="270"/>
      <c r="BK177" s="270"/>
      <c r="BL177" s="270"/>
      <c r="BM177" s="270"/>
      <c r="BN177" s="270"/>
      <c r="BO177" s="270"/>
      <c r="BP177" s="270"/>
      <c r="BQ177" s="270"/>
    </row>
    <row r="178" spans="1:69" ht="26.25" hidden="1" outlineLevel="3" thickBot="1" x14ac:dyDescent="0.25">
      <c r="A178" s="270"/>
      <c r="B178" s="270"/>
      <c r="C178" s="270"/>
      <c r="D178" s="270"/>
      <c r="E178" s="270"/>
      <c r="F178" s="270"/>
      <c r="G178" s="270"/>
      <c r="H178" s="270"/>
      <c r="I178" s="270"/>
      <c r="J178" s="270"/>
      <c r="K178" s="270"/>
      <c r="L178" s="270"/>
      <c r="M178" s="270"/>
      <c r="N178" s="270"/>
      <c r="O178" s="270"/>
      <c r="P178" s="270"/>
      <c r="Q178" s="270"/>
      <c r="R178" s="270"/>
      <c r="S178" s="270"/>
      <c r="T178" s="270"/>
      <c r="U178" s="632"/>
      <c r="V178" s="638"/>
      <c r="W178" s="658"/>
      <c r="X178" s="659"/>
      <c r="Y178" s="627"/>
      <c r="Z178" s="492"/>
      <c r="AA178" s="493" t="s">
        <v>769</v>
      </c>
      <c r="AB178" s="492"/>
      <c r="AC178" s="931"/>
      <c r="AD178" s="640"/>
      <c r="AE178" s="270"/>
      <c r="AF178" s="270"/>
      <c r="AG178" s="270"/>
      <c r="AH178" s="270"/>
      <c r="AI178" s="270"/>
      <c r="AJ178" s="270"/>
      <c r="AK178" s="270"/>
      <c r="AL178" s="270"/>
      <c r="AM178" s="598"/>
      <c r="AN178" s="270"/>
      <c r="AO178" s="270"/>
      <c r="AP178" s="270"/>
      <c r="AQ178" s="270"/>
      <c r="AR178" s="270"/>
      <c r="AS178" s="270"/>
      <c r="AT178" s="270"/>
      <c r="AU178" s="270"/>
      <c r="AV178" s="270"/>
      <c r="AW178" s="270"/>
      <c r="AX178" s="270"/>
      <c r="AY178" s="270"/>
      <c r="AZ178" s="270"/>
      <c r="BA178" s="270"/>
      <c r="BB178" s="270"/>
      <c r="BC178" s="270"/>
      <c r="BD178" s="270"/>
      <c r="BE178" s="270"/>
      <c r="BF178" s="270"/>
      <c r="BG178" s="270"/>
      <c r="BH178" s="270"/>
      <c r="BI178" s="270"/>
      <c r="BJ178" s="270"/>
      <c r="BK178" s="270"/>
      <c r="BL178" s="270"/>
      <c r="BM178" s="270"/>
      <c r="BN178" s="270"/>
      <c r="BO178" s="270"/>
      <c r="BP178" s="270"/>
      <c r="BQ178" s="270"/>
    </row>
    <row r="179" spans="1:69" ht="26.25" hidden="1" outlineLevel="3" thickBot="1" x14ac:dyDescent="0.25">
      <c r="A179" s="270"/>
      <c r="B179" s="270"/>
      <c r="C179" s="270"/>
      <c r="D179" s="270"/>
      <c r="E179" s="270"/>
      <c r="F179" s="270"/>
      <c r="G179" s="270"/>
      <c r="H179" s="270"/>
      <c r="I179" s="270"/>
      <c r="J179" s="270"/>
      <c r="K179" s="270"/>
      <c r="L179" s="270"/>
      <c r="M179" s="270"/>
      <c r="N179" s="270"/>
      <c r="O179" s="270"/>
      <c r="P179" s="270"/>
      <c r="Q179" s="270"/>
      <c r="R179" s="270"/>
      <c r="S179" s="270"/>
      <c r="T179" s="270"/>
      <c r="U179" s="632"/>
      <c r="V179" s="641"/>
      <c r="W179" s="660"/>
      <c r="X179" s="661"/>
      <c r="Y179" s="631"/>
      <c r="Z179" s="496"/>
      <c r="AA179" s="497" t="s">
        <v>769</v>
      </c>
      <c r="AB179" s="496"/>
      <c r="AC179" s="932"/>
      <c r="AD179" s="642"/>
      <c r="AE179" s="270"/>
      <c r="AF179" s="270"/>
      <c r="AG179" s="270"/>
      <c r="AH179" s="270"/>
      <c r="AI179" s="270"/>
      <c r="AJ179" s="270"/>
      <c r="AK179" s="270"/>
      <c r="AL179" s="270"/>
      <c r="AM179" s="598"/>
      <c r="AN179" s="270"/>
      <c r="AO179" s="270"/>
      <c r="AP179" s="270"/>
      <c r="AQ179" s="270"/>
      <c r="AR179" s="270"/>
      <c r="AS179" s="270"/>
      <c r="AT179" s="270"/>
      <c r="AU179" s="270"/>
      <c r="AV179" s="270"/>
      <c r="AW179" s="270"/>
      <c r="AX179" s="270"/>
      <c r="AY179" s="270"/>
      <c r="AZ179" s="270"/>
      <c r="BA179" s="270"/>
      <c r="BB179" s="270"/>
      <c r="BC179" s="270"/>
      <c r="BD179" s="270"/>
      <c r="BE179" s="270"/>
      <c r="BF179" s="270"/>
      <c r="BG179" s="270"/>
      <c r="BH179" s="270"/>
      <c r="BI179" s="270"/>
      <c r="BJ179" s="270"/>
      <c r="BK179" s="270"/>
      <c r="BL179" s="270"/>
      <c r="BM179" s="270"/>
      <c r="BN179" s="270"/>
      <c r="BO179" s="270"/>
      <c r="BP179" s="270"/>
      <c r="BQ179" s="270"/>
    </row>
    <row r="180" spans="1:69" ht="26.25" hidden="1" outlineLevel="3" thickBot="1" x14ac:dyDescent="0.25">
      <c r="A180" s="270"/>
      <c r="B180" s="270"/>
      <c r="C180" s="270"/>
      <c r="D180" s="270"/>
      <c r="E180" s="270"/>
      <c r="F180" s="270"/>
      <c r="G180" s="270"/>
      <c r="H180" s="270"/>
      <c r="I180" s="270"/>
      <c r="J180" s="270"/>
      <c r="K180" s="270"/>
      <c r="L180" s="270"/>
      <c r="M180" s="270"/>
      <c r="N180" s="270"/>
      <c r="O180" s="270"/>
      <c r="P180" s="270"/>
      <c r="Q180" s="270"/>
      <c r="R180" s="270"/>
      <c r="S180" s="270"/>
      <c r="T180" s="270"/>
      <c r="U180" s="632"/>
      <c r="V180" s="643"/>
      <c r="W180" s="644" t="str">
        <f>N_Différentiel</f>
        <v>Différentiel</v>
      </c>
      <c r="X180" s="662"/>
      <c r="Y180" s="663"/>
      <c r="Z180" s="488"/>
      <c r="AA180" s="489" t="s">
        <v>769</v>
      </c>
      <c r="AB180" s="488"/>
      <c r="AC180" s="933"/>
      <c r="AD180" s="270"/>
      <c r="AE180" s="270"/>
      <c r="AF180" s="270"/>
      <c r="AG180" s="270"/>
      <c r="AH180" s="270"/>
      <c r="AI180" s="270"/>
      <c r="AJ180" s="270"/>
      <c r="AK180" s="270"/>
      <c r="AL180" s="270"/>
      <c r="AM180" s="598"/>
      <c r="AN180" s="270"/>
      <c r="AO180" s="270"/>
      <c r="AP180" s="270"/>
      <c r="AQ180" s="270"/>
      <c r="AR180" s="270"/>
      <c r="AS180" s="270"/>
      <c r="AT180" s="270"/>
      <c r="AU180" s="270"/>
      <c r="AV180" s="270"/>
      <c r="AW180" s="270"/>
      <c r="AX180" s="270"/>
      <c r="AY180" s="270"/>
      <c r="AZ180" s="270"/>
      <c r="BA180" s="270"/>
      <c r="BB180" s="270"/>
      <c r="BC180" s="270"/>
      <c r="BD180" s="270"/>
      <c r="BE180" s="270"/>
      <c r="BF180" s="270"/>
      <c r="BG180" s="270"/>
      <c r="BH180" s="270"/>
      <c r="BI180" s="270"/>
      <c r="BJ180" s="270"/>
      <c r="BK180" s="270"/>
      <c r="BL180" s="270"/>
      <c r="BM180" s="270"/>
      <c r="BN180" s="270"/>
      <c r="BO180" s="270"/>
      <c r="BP180" s="270"/>
      <c r="BQ180" s="270"/>
    </row>
    <row r="181" spans="1:69" ht="26.25" hidden="1" outlineLevel="3" thickBot="1" x14ac:dyDescent="0.25">
      <c r="A181" s="270"/>
      <c r="B181" s="270"/>
      <c r="C181" s="270"/>
      <c r="D181" s="270"/>
      <c r="E181" s="270"/>
      <c r="F181" s="270"/>
      <c r="G181" s="270"/>
      <c r="H181" s="270"/>
      <c r="I181" s="270"/>
      <c r="J181" s="270"/>
      <c r="K181" s="270"/>
      <c r="L181" s="270"/>
      <c r="M181" s="270"/>
      <c r="N181" s="270"/>
      <c r="O181" s="270"/>
      <c r="P181" s="270"/>
      <c r="Q181" s="270"/>
      <c r="R181" s="270"/>
      <c r="S181" s="270"/>
      <c r="T181" s="270"/>
      <c r="U181" s="632"/>
      <c r="V181" s="643"/>
      <c r="W181" s="664"/>
      <c r="X181" s="665" t="str">
        <f>N_Substitute</f>
        <v>Remplaçant</v>
      </c>
      <c r="Y181" s="657"/>
      <c r="Z181" s="480"/>
      <c r="AA181" s="666"/>
      <c r="AB181" s="480"/>
      <c r="AC181" s="934"/>
      <c r="AD181" s="270"/>
      <c r="AE181" s="270"/>
      <c r="AF181" s="270"/>
      <c r="AG181" s="270"/>
      <c r="AH181" s="270"/>
      <c r="AI181" s="270"/>
      <c r="AJ181" s="270"/>
      <c r="AK181" s="270"/>
      <c r="AL181" s="270"/>
      <c r="AM181" s="598"/>
      <c r="AN181" s="270"/>
      <c r="AO181" s="270"/>
      <c r="AP181" s="270"/>
      <c r="AQ181" s="270"/>
      <c r="AR181" s="270"/>
      <c r="AS181" s="270"/>
      <c r="AT181" s="270"/>
      <c r="AU181" s="270"/>
      <c r="AV181" s="270"/>
      <c r="AW181" s="270"/>
      <c r="AX181" s="270"/>
      <c r="AY181" s="270"/>
      <c r="AZ181" s="270"/>
      <c r="BA181" s="270"/>
      <c r="BB181" s="270"/>
      <c r="BC181" s="270"/>
      <c r="BD181" s="270"/>
      <c r="BE181" s="270"/>
      <c r="BF181" s="270"/>
      <c r="BG181" s="270"/>
      <c r="BH181" s="270"/>
      <c r="BI181" s="270"/>
      <c r="BJ181" s="270"/>
      <c r="BK181" s="270"/>
      <c r="BL181" s="270"/>
      <c r="BM181" s="270"/>
      <c r="BN181" s="270"/>
      <c r="BO181" s="270"/>
      <c r="BP181" s="270"/>
      <c r="BQ181" s="270"/>
    </row>
    <row r="182" spans="1:69" ht="26.25" hidden="1" outlineLevel="3" thickBot="1" x14ac:dyDescent="0.25">
      <c r="A182" s="270"/>
      <c r="B182" s="270"/>
      <c r="C182" s="270"/>
      <c r="D182" s="270"/>
      <c r="E182" s="270"/>
      <c r="F182" s="270"/>
      <c r="G182" s="270"/>
      <c r="H182" s="270"/>
      <c r="I182" s="270"/>
      <c r="J182" s="270"/>
      <c r="K182" s="270"/>
      <c r="L182" s="270"/>
      <c r="M182" s="270"/>
      <c r="N182" s="270"/>
      <c r="O182" s="270"/>
      <c r="P182" s="270"/>
      <c r="Q182" s="270"/>
      <c r="R182" s="270"/>
      <c r="S182" s="270"/>
      <c r="T182" s="270"/>
      <c r="U182" s="632"/>
      <c r="V182" s="643"/>
      <c r="W182" s="664"/>
      <c r="X182" s="667" t="str">
        <f>N_Substitute</f>
        <v>Remplaçant</v>
      </c>
      <c r="Y182" s="663"/>
      <c r="Z182" s="488"/>
      <c r="AA182" s="668"/>
      <c r="AB182" s="488"/>
      <c r="AC182" s="933"/>
      <c r="AD182" s="270"/>
      <c r="AE182" s="270"/>
      <c r="AF182" s="270"/>
      <c r="AG182" s="270"/>
      <c r="AH182" s="270"/>
      <c r="AI182" s="270"/>
      <c r="AJ182" s="270"/>
      <c r="AK182" s="270"/>
      <c r="AL182" s="270"/>
      <c r="AM182" s="598"/>
      <c r="AN182" s="270"/>
      <c r="AO182" s="270"/>
      <c r="AP182" s="270"/>
      <c r="AQ182" s="270"/>
      <c r="AR182" s="270"/>
      <c r="AS182" s="270"/>
      <c r="AT182" s="270"/>
      <c r="AU182" s="270"/>
      <c r="AV182" s="270"/>
      <c r="AW182" s="270"/>
      <c r="AX182" s="270"/>
      <c r="AY182" s="270"/>
      <c r="AZ182" s="270"/>
      <c r="BA182" s="270"/>
      <c r="BB182" s="270"/>
      <c r="BC182" s="270"/>
      <c r="BD182" s="270"/>
      <c r="BE182" s="270"/>
      <c r="BF182" s="270"/>
      <c r="BG182" s="270"/>
      <c r="BH182" s="270"/>
      <c r="BI182" s="270"/>
      <c r="BJ182" s="270"/>
      <c r="BK182" s="270"/>
      <c r="BL182" s="270"/>
      <c r="BM182" s="270"/>
      <c r="BN182" s="270"/>
      <c r="BO182" s="270"/>
      <c r="BP182" s="270"/>
      <c r="BQ182" s="270"/>
    </row>
    <row r="183" spans="1:69" ht="13.5" hidden="1" outlineLevel="1" thickBot="1" x14ac:dyDescent="0.25">
      <c r="A183" s="270"/>
      <c r="B183" s="270"/>
      <c r="C183" s="270"/>
      <c r="D183" s="270"/>
      <c r="E183" s="270"/>
      <c r="F183" s="270"/>
      <c r="G183" s="270"/>
      <c r="H183" s="270"/>
      <c r="I183" s="270"/>
      <c r="J183" s="270"/>
      <c r="K183" s="270"/>
      <c r="L183" s="270"/>
      <c r="M183" s="270"/>
      <c r="N183" s="270"/>
      <c r="O183" s="270"/>
      <c r="P183" s="270"/>
      <c r="Q183" s="270"/>
      <c r="R183" s="270"/>
      <c r="S183" s="270"/>
      <c r="T183" s="270"/>
      <c r="U183" s="632"/>
      <c r="V183" s="270"/>
      <c r="W183" s="270"/>
      <c r="X183" s="270"/>
      <c r="Y183" s="270"/>
      <c r="Z183" s="270"/>
      <c r="AA183" s="270"/>
      <c r="AB183" s="270"/>
      <c r="AC183" s="270"/>
      <c r="AD183" s="270"/>
      <c r="AE183" s="270"/>
      <c r="AF183" s="270"/>
      <c r="AG183" s="270"/>
      <c r="AH183" s="270"/>
      <c r="AI183" s="270"/>
      <c r="AJ183" s="270"/>
      <c r="AK183" s="270"/>
      <c r="AL183" s="270"/>
      <c r="AM183" s="270"/>
      <c r="AN183" s="270"/>
      <c r="AO183" s="270"/>
      <c r="AP183" s="270"/>
      <c r="AQ183" s="270"/>
      <c r="AR183" s="270"/>
      <c r="AS183" s="270"/>
      <c r="AT183" s="270"/>
      <c r="AU183" s="270"/>
      <c r="AV183" s="270"/>
      <c r="AW183" s="270"/>
      <c r="AX183" s="270"/>
      <c r="AY183" s="270"/>
      <c r="AZ183" s="270"/>
      <c r="BA183" s="270"/>
      <c r="BB183" s="270"/>
      <c r="BC183" s="270"/>
      <c r="BD183" s="270"/>
      <c r="BE183" s="270"/>
      <c r="BF183" s="270"/>
      <c r="BG183" s="270"/>
      <c r="BH183" s="270"/>
      <c r="BI183" s="270"/>
      <c r="BJ183" s="270"/>
      <c r="BK183" s="270"/>
      <c r="BL183" s="270"/>
      <c r="BM183" s="270"/>
      <c r="BN183" s="270"/>
      <c r="BO183" s="270"/>
      <c r="BP183" s="270"/>
      <c r="BQ183" s="270"/>
    </row>
    <row r="184" spans="1:69" ht="13.5" collapsed="1" thickBot="1" x14ac:dyDescent="0.25">
      <c r="A184" s="270"/>
      <c r="B184" s="2415" t="str">
        <f>N_DEMI_FINALE</f>
        <v>1/2 FINALES</v>
      </c>
      <c r="C184" s="2416"/>
      <c r="D184" s="2416"/>
      <c r="E184" s="2416"/>
      <c r="F184" s="2416"/>
      <c r="G184" s="2416"/>
      <c r="H184" s="2416"/>
      <c r="I184" s="2416"/>
      <c r="J184" s="2416"/>
      <c r="K184" s="2416"/>
      <c r="L184" s="2416"/>
      <c r="M184" s="2416"/>
      <c r="N184" s="2416"/>
      <c r="O184" s="2416"/>
      <c r="P184" s="2416"/>
      <c r="Q184" s="2416"/>
      <c r="R184" s="2416"/>
      <c r="S184" s="2416"/>
      <c r="T184" s="2416"/>
      <c r="U184" s="2416"/>
      <c r="V184" s="2416"/>
      <c r="W184" s="2416"/>
      <c r="X184" s="2416"/>
      <c r="Y184" s="2416"/>
      <c r="Z184" s="2416"/>
      <c r="AA184" s="2416"/>
      <c r="AB184" s="2416"/>
      <c r="AC184" s="2416"/>
      <c r="AD184" s="2416"/>
      <c r="AE184" s="2416"/>
      <c r="AF184" s="2416"/>
      <c r="AG184" s="2416"/>
      <c r="AH184" s="2416"/>
      <c r="AI184" s="2416"/>
      <c r="AJ184" s="2416"/>
      <c r="AK184" s="2416"/>
      <c r="AL184" s="2416"/>
      <c r="AM184" s="2417"/>
      <c r="AN184" s="270"/>
      <c r="AO184" s="270"/>
      <c r="AP184" s="270"/>
      <c r="AQ184" s="270"/>
      <c r="AR184" s="270"/>
      <c r="AS184" s="270"/>
      <c r="AT184" s="270"/>
      <c r="AU184" s="270"/>
      <c r="AV184" s="270"/>
      <c r="AW184" s="270"/>
      <c r="AX184" s="270"/>
      <c r="AY184" s="270"/>
      <c r="AZ184" s="270"/>
      <c r="BA184" s="270"/>
      <c r="BB184" s="270"/>
      <c r="BC184" s="270"/>
      <c r="BD184" s="270"/>
      <c r="BE184" s="270"/>
      <c r="BF184" s="270"/>
      <c r="BG184" s="270"/>
      <c r="BH184" s="270"/>
      <c r="BI184" s="270"/>
      <c r="BJ184" s="270"/>
      <c r="BK184" s="270"/>
      <c r="BL184" s="270"/>
      <c r="BM184" s="270"/>
      <c r="BN184" s="270"/>
      <c r="BO184" s="270"/>
      <c r="BP184" s="270"/>
      <c r="BQ184" s="270"/>
    </row>
    <row r="185" spans="1:69" ht="13.5" hidden="1" outlineLevel="1" thickBot="1" x14ac:dyDescent="0.25">
      <c r="A185" s="270"/>
      <c r="B185" s="270"/>
      <c r="C185" s="270"/>
      <c r="D185" s="270"/>
      <c r="E185" s="270"/>
      <c r="F185" s="270"/>
      <c r="G185" s="270"/>
      <c r="H185" s="270"/>
      <c r="I185" s="270"/>
      <c r="J185" s="270"/>
      <c r="K185" s="270"/>
      <c r="L185" s="270"/>
      <c r="M185" s="270"/>
      <c r="N185" s="270"/>
      <c r="O185" s="270"/>
      <c r="P185" s="270"/>
      <c r="Q185" s="270"/>
      <c r="R185" s="270"/>
      <c r="S185" s="270"/>
      <c r="T185" s="270"/>
      <c r="U185" s="632"/>
      <c r="V185" s="270"/>
      <c r="W185" s="270"/>
      <c r="X185" s="270"/>
      <c r="Y185" s="270"/>
      <c r="Z185" s="270"/>
      <c r="AA185" s="270"/>
      <c r="AB185" s="270"/>
      <c r="AC185" s="270"/>
      <c r="AD185" s="270"/>
      <c r="AE185" s="270"/>
      <c r="AF185" s="270"/>
      <c r="AG185" s="270"/>
      <c r="AH185" s="270"/>
      <c r="AI185" s="270"/>
      <c r="AJ185" s="270"/>
      <c r="AK185" s="270"/>
      <c r="AL185" s="270"/>
      <c r="AM185" s="270"/>
      <c r="AN185" s="270"/>
      <c r="AO185" s="270"/>
      <c r="AP185" s="270"/>
      <c r="AQ185" s="270"/>
      <c r="AR185" s="270"/>
      <c r="AS185" s="270"/>
      <c r="AT185" s="270"/>
      <c r="AU185" s="270"/>
      <c r="AV185" s="270"/>
      <c r="AW185" s="270"/>
      <c r="AX185" s="270"/>
      <c r="AY185" s="270"/>
      <c r="AZ185" s="270"/>
      <c r="BA185" s="270"/>
      <c r="BB185" s="270"/>
      <c r="BC185" s="270"/>
      <c r="BD185" s="270"/>
      <c r="BE185" s="270"/>
      <c r="BF185" s="270"/>
      <c r="BG185" s="270"/>
      <c r="BH185" s="270"/>
      <c r="BI185" s="270"/>
      <c r="BJ185" s="270"/>
      <c r="BK185" s="270"/>
      <c r="BL185" s="270"/>
      <c r="BM185" s="270"/>
      <c r="BN185" s="270"/>
      <c r="BO185" s="270"/>
      <c r="BP185" s="270"/>
      <c r="BQ185" s="270"/>
    </row>
    <row r="186" spans="1:69" ht="13.5" hidden="1" outlineLevel="1" thickBot="1" x14ac:dyDescent="0.25">
      <c r="A186" s="270"/>
      <c r="B186" s="270"/>
      <c r="C186" s="270"/>
      <c r="D186" s="270"/>
      <c r="E186" s="270"/>
      <c r="F186" s="270"/>
      <c r="G186" s="270"/>
      <c r="H186" s="270"/>
      <c r="I186" s="270"/>
      <c r="J186" s="270"/>
      <c r="K186" s="270"/>
      <c r="L186" s="270"/>
      <c r="M186" s="270"/>
      <c r="N186" s="270"/>
      <c r="O186" s="270"/>
      <c r="P186" s="270"/>
      <c r="Q186" s="270"/>
      <c r="R186" s="270"/>
      <c r="S186" s="270"/>
      <c r="T186" s="270"/>
      <c r="U186" s="633"/>
      <c r="V186" s="630" t="str">
        <f>N_Heure</f>
        <v>Heure</v>
      </c>
      <c r="W186" s="630" t="str">
        <f>N_Table</f>
        <v>Table</v>
      </c>
      <c r="X186" s="630" t="str">
        <f>N_Arbitre</f>
        <v>Arbitre</v>
      </c>
      <c r="Y186" s="2403" t="str">
        <f>N_Scores</f>
        <v>Scores</v>
      </c>
      <c r="Z186" s="2404"/>
      <c r="AA186" s="2404"/>
      <c r="AB186" s="2404"/>
      <c r="AC186" s="2405"/>
      <c r="AD186" s="634" t="str">
        <f>N_MS</f>
        <v>MS</v>
      </c>
      <c r="AE186" s="270"/>
      <c r="AF186" s="270"/>
      <c r="AG186" s="270"/>
      <c r="AH186" s="270"/>
      <c r="AI186" s="270"/>
      <c r="AJ186" s="270"/>
      <c r="AK186" s="270"/>
      <c r="AL186" s="270" t="str">
        <f>IF(COUNTA(Z190:Z193)&gt;3,"OK","")</f>
        <v/>
      </c>
      <c r="AM186" s="270"/>
      <c r="AN186" s="270"/>
      <c r="AO186" s="270"/>
      <c r="AP186" s="270"/>
      <c r="AQ186" s="270"/>
      <c r="AR186" s="270"/>
      <c r="AS186" s="270"/>
      <c r="AT186" s="270"/>
      <c r="AU186" s="270"/>
      <c r="AV186" s="270"/>
      <c r="AW186" s="270"/>
      <c r="AX186" s="270"/>
      <c r="AY186" s="270"/>
      <c r="AZ186" s="270"/>
      <c r="BA186" s="270"/>
      <c r="BB186" s="270"/>
      <c r="BC186" s="270"/>
      <c r="BD186" s="270"/>
      <c r="BE186" s="270"/>
      <c r="BF186" s="270"/>
      <c r="BG186" s="270"/>
      <c r="BH186" s="270"/>
      <c r="BI186" s="270"/>
      <c r="BJ186" s="270"/>
      <c r="BK186" s="270"/>
      <c r="BL186" s="270"/>
      <c r="BM186" s="270"/>
      <c r="BN186" s="270"/>
      <c r="BO186" s="270"/>
      <c r="BP186" s="270"/>
      <c r="BQ186" s="270"/>
    </row>
    <row r="187" spans="1:69" ht="26.25" hidden="1" outlineLevel="1" thickBot="1" x14ac:dyDescent="0.25">
      <c r="A187" s="270"/>
      <c r="B187" s="270"/>
      <c r="C187" s="270"/>
      <c r="D187" s="270"/>
      <c r="E187" s="270"/>
      <c r="F187" s="270"/>
      <c r="G187" s="270"/>
      <c r="H187" s="270"/>
      <c r="I187" s="270"/>
      <c r="J187" s="270"/>
      <c r="K187" s="270"/>
      <c r="L187" s="270"/>
      <c r="M187" s="270"/>
      <c r="N187" s="270"/>
      <c r="O187" s="270"/>
      <c r="P187" s="270"/>
      <c r="Q187" s="270"/>
      <c r="R187" s="270"/>
      <c r="S187" s="270"/>
      <c r="T187" s="270"/>
      <c r="U187" s="635" t="s">
        <v>1724</v>
      </c>
      <c r="V187" s="1536"/>
      <c r="W187" s="1537"/>
      <c r="X187" s="1537"/>
      <c r="Y187" s="674"/>
      <c r="Z187" s="649" t="str">
        <f>IF(OR(ISNUMBER(Z190),ISNUMBER(Z191),ISNUMBER(Z192),ISNUMBER(Z193)),Lire_Gain_Matches(Z190:Z193, AB190:AB193),"")</f>
        <v/>
      </c>
      <c r="AA187" s="650" t="s">
        <v>769</v>
      </c>
      <c r="AB187" s="651" t="str">
        <f>IF(OR(ISNUMBER(Z190),ISNUMBER(Z191),ISNUMBER(Z192),ISNUMBER(Z193)),Lire_Gain_Matches(AB190:AB193, Z190:Z193),"")</f>
        <v/>
      </c>
      <c r="AC187" s="674"/>
      <c r="AD187" s="231" t="str">
        <f>IF(ISNA(VLOOKUP("X",AD190:AD193,1,FALSE)),"","X")</f>
        <v/>
      </c>
      <c r="AE187" s="270" t="str">
        <f>IF(Z187="","",IF(Z187&gt;AB187,Y187,IF(Z187=AB187,IF(AL187=Y187,AC187,IF(AL187=AC187,Y187,"")),AC187)))</f>
        <v/>
      </c>
      <c r="AF187" s="270" t="str">
        <f>IF(Z187="","",IF(Z187=AB187,IF(AL187=Y187,"",IF(AL187=AC187,"",Y187)),""))</f>
        <v/>
      </c>
      <c r="AG187" s="270" t="str">
        <f>IF(Z187="","",IF(Z187=AB187,IF(AL187=Y187,"",IF(AL187=AC187,"",AC187)),""))</f>
        <v/>
      </c>
      <c r="AH187" s="270" t="str">
        <f>IF(Z187="","",IF(Z187&lt;AB187,Y187,IF(Z187=AB187,IF(AL187=Y187,Y187,IF(AL187=AC187,AC187,"")),AC187)))</f>
        <v/>
      </c>
      <c r="AI187" s="270"/>
      <c r="AJ187" s="270"/>
      <c r="AK187" s="270"/>
      <c r="AL187" s="270" t="str">
        <f>IF(COUNTIF(Y190:Y193,WithdrawLabel)&gt;COUNTIF(AC190:AC193,WithdrawLabel),Y187,IF(COUNTIF(AC190:AC193,WithdrawLabel)&gt;COUNTIF(Y190:Y193,WithdrawLabel),AC187,""))</f>
        <v/>
      </c>
      <c r="AM187" s="598"/>
      <c r="AN187" s="270"/>
      <c r="AO187" s="270"/>
      <c r="AP187" s="270"/>
      <c r="AQ187" s="270"/>
      <c r="AR187" s="270"/>
      <c r="AS187" s="270"/>
      <c r="AT187" s="270"/>
      <c r="AU187" s="270"/>
      <c r="AV187" s="270"/>
      <c r="AW187" s="270"/>
      <c r="AX187" s="270"/>
      <c r="AY187" s="270"/>
      <c r="AZ187" s="270"/>
      <c r="BA187" s="270"/>
      <c r="BB187" s="270"/>
      <c r="BC187" s="270"/>
      <c r="BD187" s="270"/>
      <c r="BE187" s="270"/>
      <c r="BF187" s="270"/>
      <c r="BG187" s="270"/>
      <c r="BH187" s="270"/>
      <c r="BI187" s="270"/>
      <c r="BJ187" s="270"/>
      <c r="BK187" s="270"/>
      <c r="BL187" s="270"/>
      <c r="BM187" s="270"/>
      <c r="BN187" s="270"/>
      <c r="BO187" s="270"/>
      <c r="BP187" s="270"/>
      <c r="BQ187" s="270"/>
    </row>
    <row r="188" spans="1:69" ht="18.75" hidden="1" outlineLevel="1" thickBot="1" x14ac:dyDescent="0.25">
      <c r="A188" s="270"/>
      <c r="B188" s="270"/>
      <c r="C188" s="270"/>
      <c r="D188" s="270"/>
      <c r="E188" s="270"/>
      <c r="F188" s="270"/>
      <c r="G188" s="270"/>
      <c r="H188" s="270"/>
      <c r="I188" s="270"/>
      <c r="J188" s="270"/>
      <c r="K188" s="270"/>
      <c r="L188" s="270"/>
      <c r="M188" s="270"/>
      <c r="N188" s="270"/>
      <c r="O188" s="270"/>
      <c r="P188" s="270"/>
      <c r="Q188" s="270"/>
      <c r="R188" s="270"/>
      <c r="S188" s="270"/>
      <c r="T188" s="270"/>
      <c r="U188" s="632"/>
      <c r="V188" s="629"/>
      <c r="W188" s="647"/>
      <c r="X188" s="647"/>
      <c r="Y188" s="652" t="str">
        <f>N_Total_buts</f>
        <v>Total des buts</v>
      </c>
      <c r="Z188" s="649" t="str">
        <f>IF(OR(ISNUMBER(Z190),ISNUMBER(Z191),ISNUMBER(Z192),ISNUMBER(Z193)),SUM(Z190:Z193),"")</f>
        <v/>
      </c>
      <c r="AA188" s="650" t="s">
        <v>769</v>
      </c>
      <c r="AB188" s="651" t="str">
        <f>IF(OR(ISNUMBER(Z190),ISNUMBER(Z191),ISNUMBER(Z192),ISNUMBER(Z193)),SUM(AB190:AB193),"")</f>
        <v/>
      </c>
      <c r="AC188" s="653" t="str">
        <f>IF(Z194="","",CONCATENATE("(Diff : ",Z194," - ",AB194,")"))</f>
        <v/>
      </c>
      <c r="AD188" s="270"/>
      <c r="AE188" s="270"/>
      <c r="AF188" s="270"/>
      <c r="AG188" s="270"/>
      <c r="AH188" s="270"/>
      <c r="AI188" s="270"/>
      <c r="AJ188" s="270"/>
      <c r="AK188" s="270"/>
      <c r="AL188" s="270"/>
      <c r="AM188" s="610"/>
      <c r="AN188" s="270"/>
      <c r="AO188" s="270"/>
      <c r="AP188" s="270"/>
      <c r="AQ188" s="270"/>
      <c r="AR188" s="270"/>
      <c r="AS188" s="270"/>
      <c r="AT188" s="270"/>
      <c r="AU188" s="270"/>
      <c r="AV188" s="270"/>
      <c r="AW188" s="270"/>
      <c r="AX188" s="270"/>
      <c r="AY188" s="270"/>
      <c r="AZ188" s="270"/>
      <c r="BA188" s="270"/>
      <c r="BB188" s="270"/>
      <c r="BC188" s="270"/>
      <c r="BD188" s="270"/>
      <c r="BE188" s="270"/>
      <c r="BF188" s="270"/>
      <c r="BG188" s="270"/>
      <c r="BH188" s="270"/>
      <c r="BI188" s="270"/>
      <c r="BJ188" s="270"/>
      <c r="BK188" s="270"/>
      <c r="BL188" s="270"/>
      <c r="BM188" s="270"/>
      <c r="BN188" s="270"/>
      <c r="BO188" s="270"/>
      <c r="BP188" s="270"/>
      <c r="BQ188" s="270"/>
    </row>
    <row r="189" spans="1:69" ht="26.25" hidden="1" outlineLevel="1" collapsed="1" thickBot="1" x14ac:dyDescent="0.25">
      <c r="A189" s="270"/>
      <c r="B189" s="270"/>
      <c r="C189" s="270"/>
      <c r="D189" s="270"/>
      <c r="E189" s="270"/>
      <c r="F189" s="270"/>
      <c r="G189" s="270"/>
      <c r="H189" s="270"/>
      <c r="I189" s="270"/>
      <c r="J189" s="1334" t="str">
        <f>IF(Z189="","",IF(Z189=Y187,AC187,Y187))</f>
        <v/>
      </c>
      <c r="K189" s="270"/>
      <c r="L189" s="270"/>
      <c r="M189" s="270"/>
      <c r="N189" s="270"/>
      <c r="O189" s="270"/>
      <c r="P189" s="270"/>
      <c r="Q189" s="270"/>
      <c r="R189" s="270"/>
      <c r="S189" s="270"/>
      <c r="T189" s="270"/>
      <c r="U189" s="632"/>
      <c r="V189" s="629"/>
      <c r="W189" s="647"/>
      <c r="X189" s="647"/>
      <c r="Y189" s="654" t="str">
        <f>N_VAINQUEUR</f>
        <v>VAINQUEUR</v>
      </c>
      <c r="Z189" s="2397" t="str">
        <f>IF(AL186&lt;&gt;"OK",IF(HidePlayerFormulas,"","("&amp;Y187&amp;"-"&amp;AC187&amp;")"),IF(AE187="",IF(Z188&gt;AB188,Y187,IF(Z188&lt;AB188,AC187,mess_erreur_marque)),AE187))</f>
        <v/>
      </c>
      <c r="AA189" s="2398"/>
      <c r="AB189" s="2398"/>
      <c r="AC189" s="2399"/>
      <c r="AD189" s="270"/>
      <c r="AE189" s="270"/>
      <c r="AF189" s="270"/>
      <c r="AG189" s="270"/>
      <c r="AH189" s="270"/>
      <c r="AI189" s="270"/>
      <c r="AJ189" s="270"/>
      <c r="AK189" s="270"/>
      <c r="AL189" s="270"/>
      <c r="AM189" s="598"/>
      <c r="AN189" s="270"/>
      <c r="AO189" s="270"/>
      <c r="AP189" s="270"/>
      <c r="AQ189" s="270"/>
      <c r="AR189" s="270"/>
      <c r="AS189" s="270"/>
      <c r="AT189" s="270"/>
      <c r="AU189" s="270"/>
      <c r="AV189" s="270"/>
      <c r="AW189" s="270"/>
      <c r="AX189" s="270"/>
      <c r="AY189" s="270"/>
      <c r="AZ189" s="270"/>
      <c r="BA189" s="270"/>
      <c r="BB189" s="270"/>
      <c r="BC189" s="270"/>
      <c r="BD189" s="270"/>
      <c r="BE189" s="270"/>
      <c r="BF189" s="270"/>
      <c r="BG189" s="270"/>
      <c r="BH189" s="270"/>
      <c r="BI189" s="270"/>
      <c r="BJ189" s="270"/>
      <c r="BK189" s="270"/>
      <c r="BL189" s="270"/>
      <c r="BM189" s="270"/>
      <c r="BN189" s="270"/>
      <c r="BO189" s="270"/>
      <c r="BP189" s="270"/>
      <c r="BQ189" s="270"/>
    </row>
    <row r="190" spans="1:69" ht="26.25" hidden="1" outlineLevel="3" thickBot="1" x14ac:dyDescent="0.25">
      <c r="A190" s="270"/>
      <c r="B190" s="270"/>
      <c r="C190" s="270"/>
      <c r="D190" s="270"/>
      <c r="E190" s="270"/>
      <c r="F190" s="270"/>
      <c r="G190" s="270"/>
      <c r="H190" s="270"/>
      <c r="I190" s="270"/>
      <c r="J190" s="270"/>
      <c r="K190" s="270"/>
      <c r="L190" s="270"/>
      <c r="M190" s="270"/>
      <c r="N190" s="270"/>
      <c r="O190" s="270"/>
      <c r="P190" s="270"/>
      <c r="Q190" s="270"/>
      <c r="R190" s="270"/>
      <c r="S190" s="270"/>
      <c r="T190" s="270"/>
      <c r="U190" s="632"/>
      <c r="V190" s="636"/>
      <c r="W190" s="655"/>
      <c r="X190" s="656"/>
      <c r="Y190" s="657"/>
      <c r="Z190" s="484"/>
      <c r="AA190" s="485" t="s">
        <v>769</v>
      </c>
      <c r="AB190" s="484"/>
      <c r="AC190" s="930"/>
      <c r="AD190" s="637"/>
      <c r="AE190" s="270"/>
      <c r="AF190" s="270"/>
      <c r="AG190" s="270"/>
      <c r="AH190" s="270"/>
      <c r="AI190" s="270"/>
      <c r="AJ190" s="270"/>
      <c r="AK190" s="270"/>
      <c r="AL190" s="270"/>
      <c r="AM190" s="598"/>
      <c r="AN190" s="270"/>
      <c r="AO190" s="270"/>
      <c r="AP190" s="270"/>
      <c r="AQ190" s="270"/>
      <c r="AR190" s="270"/>
      <c r="AS190" s="270"/>
      <c r="AT190" s="270"/>
      <c r="AU190" s="270"/>
      <c r="AV190" s="270"/>
      <c r="AW190" s="270"/>
      <c r="AX190" s="270"/>
      <c r="AY190" s="270"/>
      <c r="AZ190" s="270"/>
      <c r="BA190" s="270"/>
      <c r="BB190" s="270"/>
      <c r="BC190" s="270"/>
      <c r="BD190" s="270"/>
      <c r="BE190" s="270"/>
      <c r="BF190" s="270"/>
      <c r="BG190" s="270"/>
      <c r="BH190" s="270"/>
      <c r="BI190" s="270"/>
      <c r="BJ190" s="270"/>
      <c r="BK190" s="270"/>
      <c r="BL190" s="270"/>
      <c r="BM190" s="270"/>
      <c r="BN190" s="270"/>
      <c r="BO190" s="270"/>
      <c r="BP190" s="270"/>
      <c r="BQ190" s="270"/>
    </row>
    <row r="191" spans="1:69" ht="26.25" hidden="1" outlineLevel="3" thickBot="1" x14ac:dyDescent="0.25">
      <c r="A191" s="270"/>
      <c r="B191" s="270"/>
      <c r="C191" s="270"/>
      <c r="D191" s="270"/>
      <c r="E191" s="270"/>
      <c r="F191" s="270"/>
      <c r="G191" s="270"/>
      <c r="H191" s="270"/>
      <c r="I191" s="270"/>
      <c r="J191" s="270"/>
      <c r="K191" s="270"/>
      <c r="L191" s="270"/>
      <c r="M191" s="270"/>
      <c r="N191" s="270"/>
      <c r="O191" s="270"/>
      <c r="P191" s="270"/>
      <c r="Q191" s="270"/>
      <c r="R191" s="270"/>
      <c r="S191" s="270"/>
      <c r="T191" s="270"/>
      <c r="U191" s="632"/>
      <c r="V191" s="638"/>
      <c r="W191" s="658"/>
      <c r="X191" s="659"/>
      <c r="Y191" s="627"/>
      <c r="Z191" s="492"/>
      <c r="AA191" s="493" t="s">
        <v>769</v>
      </c>
      <c r="AB191" s="492"/>
      <c r="AC191" s="931"/>
      <c r="AD191" s="639"/>
      <c r="AE191" s="270"/>
      <c r="AF191" s="270"/>
      <c r="AG191" s="270"/>
      <c r="AH191" s="270"/>
      <c r="AI191" s="270"/>
      <c r="AJ191" s="270"/>
      <c r="AK191" s="270"/>
      <c r="AL191" s="270"/>
      <c r="AM191" s="598"/>
      <c r="AN191" s="270"/>
      <c r="AO191" s="270"/>
      <c r="AP191" s="270"/>
      <c r="AQ191" s="270"/>
      <c r="AR191" s="270"/>
      <c r="AS191" s="270"/>
      <c r="AT191" s="270"/>
      <c r="AU191" s="270"/>
      <c r="AV191" s="270"/>
      <c r="AW191" s="270"/>
      <c r="AX191" s="270"/>
      <c r="AY191" s="270"/>
      <c r="AZ191" s="270"/>
      <c r="BA191" s="270"/>
      <c r="BB191" s="270"/>
      <c r="BC191" s="270"/>
      <c r="BD191" s="270"/>
      <c r="BE191" s="270"/>
      <c r="BF191" s="270"/>
      <c r="BG191" s="270"/>
      <c r="BH191" s="270"/>
      <c r="BI191" s="270"/>
      <c r="BJ191" s="270"/>
      <c r="BK191" s="270"/>
      <c r="BL191" s="270"/>
      <c r="BM191" s="270"/>
      <c r="BN191" s="270"/>
      <c r="BO191" s="270"/>
      <c r="BP191" s="270"/>
      <c r="BQ191" s="270"/>
    </row>
    <row r="192" spans="1:69" ht="26.25" hidden="1" outlineLevel="3" thickBot="1" x14ac:dyDescent="0.25">
      <c r="A192" s="270"/>
      <c r="B192" s="270"/>
      <c r="C192" s="270"/>
      <c r="D192" s="270"/>
      <c r="E192" s="270"/>
      <c r="F192" s="270"/>
      <c r="G192" s="270"/>
      <c r="H192" s="270"/>
      <c r="I192" s="270"/>
      <c r="J192" s="270"/>
      <c r="K192" s="270"/>
      <c r="L192" s="270"/>
      <c r="M192" s="270"/>
      <c r="N192" s="270"/>
      <c r="O192" s="270"/>
      <c r="P192" s="270"/>
      <c r="Q192" s="270"/>
      <c r="R192" s="270"/>
      <c r="S192" s="270"/>
      <c r="T192" s="270"/>
      <c r="U192" s="632"/>
      <c r="V192" s="638"/>
      <c r="W192" s="658"/>
      <c r="X192" s="659"/>
      <c r="Y192" s="627"/>
      <c r="Z192" s="492"/>
      <c r="AA192" s="493" t="s">
        <v>769</v>
      </c>
      <c r="AB192" s="492"/>
      <c r="AC192" s="931"/>
      <c r="AD192" s="640"/>
      <c r="AE192" s="270"/>
      <c r="AF192" s="270"/>
      <c r="AG192" s="270"/>
      <c r="AH192" s="270"/>
      <c r="AI192" s="270"/>
      <c r="AJ192" s="270"/>
      <c r="AK192" s="270"/>
      <c r="AL192" s="270"/>
      <c r="AM192" s="598"/>
      <c r="AN192" s="270"/>
      <c r="AO192" s="270"/>
      <c r="AP192" s="270"/>
      <c r="AQ192" s="270"/>
      <c r="AR192" s="270"/>
      <c r="AS192" s="270"/>
      <c r="AT192" s="270"/>
      <c r="AU192" s="270"/>
      <c r="AV192" s="270"/>
      <c r="AW192" s="270"/>
      <c r="AX192" s="270"/>
      <c r="AY192" s="270"/>
      <c r="AZ192" s="270"/>
      <c r="BA192" s="270"/>
      <c r="BB192" s="270"/>
      <c r="BC192" s="270"/>
      <c r="BD192" s="270"/>
      <c r="BE192" s="270"/>
      <c r="BF192" s="270"/>
      <c r="BG192" s="270"/>
      <c r="BH192" s="270"/>
      <c r="BI192" s="270"/>
      <c r="BJ192" s="270"/>
      <c r="BK192" s="270"/>
      <c r="BL192" s="270"/>
      <c r="BM192" s="270"/>
      <c r="BN192" s="270"/>
      <c r="BO192" s="270"/>
      <c r="BP192" s="270"/>
      <c r="BQ192" s="270"/>
    </row>
    <row r="193" spans="1:69" ht="26.25" hidden="1" outlineLevel="3" thickBot="1" x14ac:dyDescent="0.25">
      <c r="A193" s="270"/>
      <c r="B193" s="270"/>
      <c r="C193" s="270"/>
      <c r="D193" s="270"/>
      <c r="E193" s="270"/>
      <c r="F193" s="270"/>
      <c r="G193" s="270"/>
      <c r="H193" s="270"/>
      <c r="I193" s="270"/>
      <c r="J193" s="270"/>
      <c r="K193" s="270"/>
      <c r="L193" s="270"/>
      <c r="M193" s="270"/>
      <c r="N193" s="270"/>
      <c r="O193" s="270"/>
      <c r="P193" s="270"/>
      <c r="Q193" s="270"/>
      <c r="R193" s="270"/>
      <c r="S193" s="270"/>
      <c r="T193" s="270"/>
      <c r="U193" s="632"/>
      <c r="V193" s="641"/>
      <c r="W193" s="660"/>
      <c r="X193" s="661"/>
      <c r="Y193" s="631"/>
      <c r="Z193" s="496"/>
      <c r="AA193" s="497" t="s">
        <v>769</v>
      </c>
      <c r="AB193" s="496"/>
      <c r="AC193" s="932"/>
      <c r="AD193" s="642"/>
      <c r="AE193" s="270"/>
      <c r="AF193" s="270"/>
      <c r="AG193" s="270"/>
      <c r="AH193" s="270"/>
      <c r="AI193" s="270"/>
      <c r="AJ193" s="270"/>
      <c r="AK193" s="270"/>
      <c r="AL193" s="270"/>
      <c r="AM193" s="598"/>
      <c r="AN193" s="270"/>
      <c r="AO193" s="270"/>
      <c r="AP193" s="270"/>
      <c r="AQ193" s="270"/>
      <c r="AR193" s="270"/>
      <c r="AS193" s="270"/>
      <c r="AT193" s="270"/>
      <c r="AU193" s="270"/>
      <c r="AV193" s="270"/>
      <c r="AW193" s="270"/>
      <c r="AX193" s="270"/>
      <c r="AY193" s="270"/>
      <c r="AZ193" s="270"/>
      <c r="BA193" s="270"/>
      <c r="BB193" s="270"/>
      <c r="BC193" s="270"/>
      <c r="BD193" s="270"/>
      <c r="BE193" s="270"/>
      <c r="BF193" s="270"/>
      <c r="BG193" s="270"/>
      <c r="BH193" s="270"/>
      <c r="BI193" s="270"/>
      <c r="BJ193" s="270"/>
      <c r="BK193" s="270"/>
      <c r="BL193" s="270"/>
      <c r="BM193" s="270"/>
      <c r="BN193" s="270"/>
      <c r="BO193" s="270"/>
      <c r="BP193" s="270"/>
      <c r="BQ193" s="270"/>
    </row>
    <row r="194" spans="1:69" ht="26.25" hidden="1" outlineLevel="3" thickBot="1" x14ac:dyDescent="0.25">
      <c r="A194" s="270"/>
      <c r="B194" s="270"/>
      <c r="C194" s="270"/>
      <c r="D194" s="270"/>
      <c r="E194" s="270"/>
      <c r="F194" s="270"/>
      <c r="G194" s="270"/>
      <c r="H194" s="270"/>
      <c r="I194" s="270"/>
      <c r="J194" s="270"/>
      <c r="K194" s="270"/>
      <c r="L194" s="270"/>
      <c r="M194" s="270"/>
      <c r="N194" s="270"/>
      <c r="O194" s="270"/>
      <c r="P194" s="270"/>
      <c r="Q194" s="270"/>
      <c r="R194" s="270"/>
      <c r="S194" s="270"/>
      <c r="T194" s="270"/>
      <c r="U194" s="632"/>
      <c r="V194" s="643"/>
      <c r="W194" s="644" t="str">
        <f>N_Différentiel</f>
        <v>Différentiel</v>
      </c>
      <c r="X194" s="662"/>
      <c r="Y194" s="663"/>
      <c r="Z194" s="488"/>
      <c r="AA194" s="489" t="s">
        <v>769</v>
      </c>
      <c r="AB194" s="488"/>
      <c r="AC194" s="933"/>
      <c r="AD194" s="270"/>
      <c r="AE194" s="270"/>
      <c r="AF194" s="270"/>
      <c r="AG194" s="270"/>
      <c r="AH194" s="270"/>
      <c r="AI194" s="270"/>
      <c r="AJ194" s="270"/>
      <c r="AK194" s="270"/>
      <c r="AL194" s="270"/>
      <c r="AM194" s="598"/>
      <c r="AN194" s="270"/>
      <c r="AO194" s="270"/>
      <c r="AP194" s="270"/>
      <c r="AQ194" s="270"/>
      <c r="AR194" s="270"/>
      <c r="AS194" s="270"/>
      <c r="AT194" s="270"/>
      <c r="AU194" s="270"/>
      <c r="AV194" s="270"/>
      <c r="AW194" s="270"/>
      <c r="AX194" s="270"/>
      <c r="AY194" s="270"/>
      <c r="AZ194" s="270"/>
      <c r="BA194" s="270"/>
      <c r="BB194" s="270"/>
      <c r="BC194" s="270"/>
      <c r="BD194" s="270"/>
      <c r="BE194" s="270"/>
      <c r="BF194" s="270"/>
      <c r="BG194" s="270"/>
      <c r="BH194" s="270"/>
      <c r="BI194" s="270"/>
      <c r="BJ194" s="270"/>
      <c r="BK194" s="270"/>
      <c r="BL194" s="270"/>
      <c r="BM194" s="270"/>
      <c r="BN194" s="270"/>
      <c r="BO194" s="270"/>
      <c r="BP194" s="270"/>
      <c r="BQ194" s="270"/>
    </row>
    <row r="195" spans="1:69" ht="26.25" hidden="1" outlineLevel="3" thickBot="1" x14ac:dyDescent="0.25">
      <c r="A195" s="270"/>
      <c r="B195" s="270"/>
      <c r="C195" s="270"/>
      <c r="D195" s="270"/>
      <c r="E195" s="270"/>
      <c r="F195" s="270"/>
      <c r="G195" s="270"/>
      <c r="H195" s="270"/>
      <c r="I195" s="270"/>
      <c r="J195" s="270"/>
      <c r="K195" s="270"/>
      <c r="L195" s="270"/>
      <c r="M195" s="270"/>
      <c r="N195" s="270"/>
      <c r="O195" s="270"/>
      <c r="P195" s="270"/>
      <c r="Q195" s="270"/>
      <c r="R195" s="270"/>
      <c r="S195" s="270"/>
      <c r="T195" s="270"/>
      <c r="U195" s="632"/>
      <c r="V195" s="643"/>
      <c r="W195" s="664"/>
      <c r="X195" s="665" t="str">
        <f>N_Substitute</f>
        <v>Remplaçant</v>
      </c>
      <c r="Y195" s="657"/>
      <c r="Z195" s="480"/>
      <c r="AA195" s="666"/>
      <c r="AB195" s="480"/>
      <c r="AC195" s="934"/>
      <c r="AD195" s="270"/>
      <c r="AE195" s="270"/>
      <c r="AF195" s="270"/>
      <c r="AG195" s="270"/>
      <c r="AH195" s="270"/>
      <c r="AI195" s="270"/>
      <c r="AJ195" s="270"/>
      <c r="AK195" s="270"/>
      <c r="AL195" s="270"/>
      <c r="AM195" s="598"/>
      <c r="AN195" s="270"/>
      <c r="AO195" s="270"/>
      <c r="AP195" s="270"/>
      <c r="AQ195" s="270"/>
      <c r="AR195" s="270"/>
      <c r="AS195" s="270"/>
      <c r="AT195" s="270"/>
      <c r="AU195" s="270"/>
      <c r="AV195" s="270"/>
      <c r="AW195" s="270"/>
      <c r="AX195" s="270"/>
      <c r="AY195" s="270"/>
      <c r="AZ195" s="270"/>
      <c r="BA195" s="270"/>
      <c r="BB195" s="270"/>
      <c r="BC195" s="270"/>
      <c r="BD195" s="270"/>
      <c r="BE195" s="270"/>
      <c r="BF195" s="270"/>
      <c r="BG195" s="270"/>
      <c r="BH195" s="270"/>
      <c r="BI195" s="270"/>
      <c r="BJ195" s="270"/>
      <c r="BK195" s="270"/>
      <c r="BL195" s="270"/>
      <c r="BM195" s="270"/>
      <c r="BN195" s="270"/>
      <c r="BO195" s="270"/>
      <c r="BP195" s="270"/>
      <c r="BQ195" s="270"/>
    </row>
    <row r="196" spans="1:69" ht="26.25" hidden="1" outlineLevel="3" thickBot="1" x14ac:dyDescent="0.25">
      <c r="A196" s="270"/>
      <c r="B196" s="270"/>
      <c r="C196" s="270"/>
      <c r="D196" s="270"/>
      <c r="E196" s="270"/>
      <c r="F196" s="270"/>
      <c r="G196" s="270"/>
      <c r="H196" s="270"/>
      <c r="I196" s="270"/>
      <c r="J196" s="270"/>
      <c r="K196" s="270"/>
      <c r="L196" s="270"/>
      <c r="M196" s="270"/>
      <c r="N196" s="270"/>
      <c r="O196" s="270"/>
      <c r="P196" s="270"/>
      <c r="Q196" s="270"/>
      <c r="R196" s="270"/>
      <c r="S196" s="270"/>
      <c r="T196" s="270"/>
      <c r="U196" s="632"/>
      <c r="V196" s="643"/>
      <c r="W196" s="664"/>
      <c r="X196" s="667" t="str">
        <f>N_Substitute</f>
        <v>Remplaçant</v>
      </c>
      <c r="Y196" s="663"/>
      <c r="Z196" s="488"/>
      <c r="AA196" s="668"/>
      <c r="AB196" s="488"/>
      <c r="AC196" s="933"/>
      <c r="AD196" s="270"/>
      <c r="AE196" s="270"/>
      <c r="AF196" s="270"/>
      <c r="AG196" s="270"/>
      <c r="AH196" s="270"/>
      <c r="AI196" s="270"/>
      <c r="AJ196" s="270"/>
      <c r="AK196" s="270"/>
      <c r="AL196" s="270"/>
      <c r="AM196" s="598"/>
      <c r="AN196" s="270"/>
      <c r="AO196" s="270"/>
      <c r="AP196" s="270"/>
      <c r="AQ196" s="270"/>
      <c r="AR196" s="270"/>
      <c r="AS196" s="270"/>
      <c r="AT196" s="270"/>
      <c r="AU196" s="270"/>
      <c r="AV196" s="270"/>
      <c r="AW196" s="270"/>
      <c r="AX196" s="270"/>
      <c r="AY196" s="270"/>
      <c r="AZ196" s="270"/>
      <c r="BA196" s="270"/>
      <c r="BB196" s="270"/>
      <c r="BC196" s="270"/>
      <c r="BD196" s="270"/>
      <c r="BE196" s="270"/>
      <c r="BF196" s="270"/>
      <c r="BG196" s="270"/>
      <c r="BH196" s="270"/>
      <c r="BI196" s="270"/>
      <c r="BJ196" s="270"/>
      <c r="BK196" s="270"/>
      <c r="BL196" s="270"/>
      <c r="BM196" s="270"/>
      <c r="BN196" s="270"/>
      <c r="BO196" s="270"/>
      <c r="BP196" s="270"/>
      <c r="BQ196" s="270"/>
    </row>
    <row r="197" spans="1:69" ht="13.5" hidden="1" outlineLevel="1" thickBot="1" x14ac:dyDescent="0.25">
      <c r="A197" s="270"/>
      <c r="B197" s="270"/>
      <c r="C197" s="270"/>
      <c r="D197" s="270"/>
      <c r="E197" s="270"/>
      <c r="F197" s="270"/>
      <c r="G197" s="270"/>
      <c r="H197" s="270"/>
      <c r="I197" s="270"/>
      <c r="J197" s="270"/>
      <c r="K197" s="270"/>
      <c r="L197" s="270"/>
      <c r="M197" s="270"/>
      <c r="N197" s="270"/>
      <c r="O197" s="270"/>
      <c r="P197" s="270"/>
      <c r="Q197" s="270"/>
      <c r="R197" s="270"/>
      <c r="S197" s="270"/>
      <c r="T197" s="270"/>
      <c r="U197" s="632"/>
      <c r="V197" s="270"/>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270"/>
      <c r="AS197" s="270"/>
      <c r="AT197" s="270"/>
      <c r="AU197" s="270"/>
      <c r="AV197" s="270"/>
      <c r="AW197" s="270"/>
      <c r="AX197" s="270"/>
      <c r="AY197" s="270"/>
      <c r="AZ197" s="270"/>
      <c r="BA197" s="270"/>
      <c r="BB197" s="270"/>
      <c r="BC197" s="270"/>
      <c r="BD197" s="270"/>
      <c r="BE197" s="270"/>
      <c r="BF197" s="270"/>
      <c r="BG197" s="270"/>
      <c r="BH197" s="270"/>
      <c r="BI197" s="270"/>
      <c r="BJ197" s="270"/>
      <c r="BK197" s="270"/>
      <c r="BL197" s="270"/>
      <c r="BM197" s="270"/>
      <c r="BN197" s="270"/>
      <c r="BO197" s="270"/>
      <c r="BP197" s="270"/>
      <c r="BQ197" s="270"/>
    </row>
    <row r="198" spans="1:69" ht="13.5" hidden="1" outlineLevel="1" thickBot="1" x14ac:dyDescent="0.25">
      <c r="A198" s="270"/>
      <c r="B198" s="270"/>
      <c r="C198" s="270"/>
      <c r="D198" s="270"/>
      <c r="E198" s="270"/>
      <c r="F198" s="270"/>
      <c r="G198" s="270"/>
      <c r="H198" s="270"/>
      <c r="I198" s="270"/>
      <c r="J198" s="270"/>
      <c r="K198" s="270"/>
      <c r="L198" s="270"/>
      <c r="M198" s="270"/>
      <c r="N198" s="270"/>
      <c r="O198" s="270"/>
      <c r="P198" s="270"/>
      <c r="Q198" s="270"/>
      <c r="R198" s="270"/>
      <c r="S198" s="270"/>
      <c r="T198" s="270"/>
      <c r="U198" s="633"/>
      <c r="V198" s="630" t="str">
        <f>N_Heure</f>
        <v>Heure</v>
      </c>
      <c r="W198" s="630" t="str">
        <f>N_Table</f>
        <v>Table</v>
      </c>
      <c r="X198" s="630" t="str">
        <f>N_Arbitre</f>
        <v>Arbitre</v>
      </c>
      <c r="Y198" s="2403" t="str">
        <f>N_Scores</f>
        <v>Scores</v>
      </c>
      <c r="Z198" s="2404"/>
      <c r="AA198" s="2404"/>
      <c r="AB198" s="2404"/>
      <c r="AC198" s="2405"/>
      <c r="AD198" s="634" t="str">
        <f>N_MS</f>
        <v>MS</v>
      </c>
      <c r="AE198" s="270"/>
      <c r="AF198" s="270"/>
      <c r="AG198" s="270"/>
      <c r="AH198" s="270"/>
      <c r="AI198" s="270"/>
      <c r="AJ198" s="270"/>
      <c r="AK198" s="270"/>
      <c r="AL198" s="270" t="str">
        <f>IF(COUNTA(Z202:Z205)&gt;3,"OK","")</f>
        <v/>
      </c>
      <c r="AM198" s="270"/>
      <c r="AN198" s="270"/>
      <c r="AO198" s="270"/>
      <c r="AP198" s="270"/>
      <c r="AQ198" s="270"/>
      <c r="AR198" s="270"/>
      <c r="AS198" s="270"/>
      <c r="AT198" s="270"/>
      <c r="AU198" s="270"/>
      <c r="AV198" s="270"/>
      <c r="AW198" s="270"/>
      <c r="AX198" s="270"/>
      <c r="AY198" s="270"/>
      <c r="AZ198" s="270"/>
      <c r="BA198" s="270"/>
      <c r="BB198" s="270"/>
      <c r="BC198" s="270"/>
      <c r="BD198" s="270"/>
      <c r="BE198" s="270"/>
      <c r="BF198" s="270"/>
      <c r="BG198" s="270"/>
      <c r="BH198" s="270"/>
      <c r="BI198" s="270"/>
      <c r="BJ198" s="270"/>
      <c r="BK198" s="270"/>
      <c r="BL198" s="270"/>
      <c r="BM198" s="270"/>
      <c r="BN198" s="270"/>
      <c r="BO198" s="270"/>
      <c r="BP198" s="270"/>
      <c r="BQ198" s="270"/>
    </row>
    <row r="199" spans="1:69" ht="26.25" hidden="1" outlineLevel="1" thickBot="1" x14ac:dyDescent="0.25">
      <c r="A199" s="270"/>
      <c r="B199" s="270"/>
      <c r="C199" s="270"/>
      <c r="D199" s="270"/>
      <c r="E199" s="270"/>
      <c r="F199" s="270"/>
      <c r="G199" s="270"/>
      <c r="H199" s="270"/>
      <c r="I199" s="270"/>
      <c r="J199" s="270"/>
      <c r="K199" s="270"/>
      <c r="L199" s="270"/>
      <c r="M199" s="270"/>
      <c r="N199" s="270"/>
      <c r="O199" s="270"/>
      <c r="P199" s="270"/>
      <c r="Q199" s="270"/>
      <c r="R199" s="270"/>
      <c r="S199" s="270"/>
      <c r="T199" s="270"/>
      <c r="U199" s="635" t="s">
        <v>1724</v>
      </c>
      <c r="V199" s="1536"/>
      <c r="W199" s="1537"/>
      <c r="X199" s="1537"/>
      <c r="Y199" s="674"/>
      <c r="Z199" s="649" t="str">
        <f>IF(OR(ISNUMBER(Z202),ISNUMBER(Z203),ISNUMBER(Z204),ISNUMBER(Z205)),Lire_Gain_Matches(Z202:Z205, AB202:AB205),"")</f>
        <v/>
      </c>
      <c r="AA199" s="650" t="s">
        <v>769</v>
      </c>
      <c r="AB199" s="651" t="str">
        <f>IF(OR(ISNUMBER(Z202),ISNUMBER(Z203),ISNUMBER(Z204),ISNUMBER(Z205)),Lire_Gain_Matches(AB202:AB205, Z202:Z205),"")</f>
        <v/>
      </c>
      <c r="AC199" s="674"/>
      <c r="AD199" s="231" t="str">
        <f>IF(ISNA(VLOOKUP("X",AD202:AD205,1,FALSE)),"","X")</f>
        <v/>
      </c>
      <c r="AE199" s="270" t="str">
        <f>IF(Z199="","",IF(Z199&gt;AB199,Y199,IF(Z199=AB199,IF(AL199=Y199,AC199,IF(AL199=AC199,Y199,"")),AC199)))</f>
        <v/>
      </c>
      <c r="AF199" s="270" t="str">
        <f>IF(Z199="","",IF(Z199=AB199,IF(AL199=Y199,"",IF(AL199=AC199,"",Y199)),""))</f>
        <v/>
      </c>
      <c r="AG199" s="270" t="str">
        <f>IF(Z199="","",IF(Z199=AB199,IF(AL199=Y199,"",IF(AL199=AC199,"",AC199)),""))</f>
        <v/>
      </c>
      <c r="AH199" s="270" t="str">
        <f>IF(Z199="","",IF(Z199&lt;AB199,Y199,IF(Z199=AB199,IF(AL199=Y199,Y199,IF(AL199=AC199,AC199,"")),AC199)))</f>
        <v/>
      </c>
      <c r="AI199" s="270"/>
      <c r="AJ199" s="270"/>
      <c r="AK199" s="270"/>
      <c r="AL199" s="270" t="str">
        <f>IF(COUNTIF(Y202:Y205,WithdrawLabel)&gt;COUNTIF(AC202:AC205,WithdrawLabel),Y199,IF(COUNTIF(AC202:AC205,WithdrawLabel)&gt;COUNTIF(Y202:Y205,WithdrawLabel),AC199,""))</f>
        <v/>
      </c>
      <c r="AM199" s="598"/>
      <c r="AN199" s="270"/>
      <c r="AO199" s="270"/>
      <c r="AP199" s="270"/>
      <c r="AQ199" s="270"/>
      <c r="AR199" s="270"/>
      <c r="AS199" s="270"/>
      <c r="AT199" s="270"/>
      <c r="AU199" s="270"/>
      <c r="AV199" s="270"/>
      <c r="AW199" s="270"/>
      <c r="AX199" s="270"/>
      <c r="AY199" s="270"/>
      <c r="AZ199" s="270"/>
      <c r="BA199" s="270"/>
      <c r="BB199" s="270"/>
      <c r="BC199" s="270"/>
      <c r="BD199" s="270"/>
      <c r="BE199" s="270"/>
      <c r="BF199" s="270"/>
      <c r="BG199" s="270"/>
      <c r="BH199" s="270"/>
      <c r="BI199" s="270"/>
      <c r="BJ199" s="270"/>
      <c r="BK199" s="270"/>
      <c r="BL199" s="270"/>
      <c r="BM199" s="270"/>
      <c r="BN199" s="270"/>
      <c r="BO199" s="270"/>
      <c r="BP199" s="270"/>
      <c r="BQ199" s="270"/>
    </row>
    <row r="200" spans="1:69" ht="18.75" hidden="1" outlineLevel="1" thickBot="1" x14ac:dyDescent="0.25">
      <c r="A200" s="270"/>
      <c r="B200" s="270"/>
      <c r="C200" s="270"/>
      <c r="D200" s="270"/>
      <c r="E200" s="270"/>
      <c r="F200" s="270"/>
      <c r="G200" s="270"/>
      <c r="H200" s="270"/>
      <c r="I200" s="270"/>
      <c r="J200" s="270"/>
      <c r="K200" s="270"/>
      <c r="L200" s="270"/>
      <c r="M200" s="270"/>
      <c r="N200" s="270"/>
      <c r="O200" s="270"/>
      <c r="P200" s="270"/>
      <c r="Q200" s="270"/>
      <c r="R200" s="270"/>
      <c r="S200" s="270"/>
      <c r="T200" s="270"/>
      <c r="U200" s="632"/>
      <c r="V200" s="629"/>
      <c r="W200" s="647"/>
      <c r="X200" s="647"/>
      <c r="Y200" s="652" t="str">
        <f>N_Total_buts</f>
        <v>Total des buts</v>
      </c>
      <c r="Z200" s="649" t="str">
        <f>IF(OR(ISNUMBER(Z202),ISNUMBER(Z203),ISNUMBER(Z204),ISNUMBER(Z205)),SUM(Z202:Z205),"")</f>
        <v/>
      </c>
      <c r="AA200" s="650" t="s">
        <v>769</v>
      </c>
      <c r="AB200" s="651" t="str">
        <f>IF(OR(ISNUMBER(Z202),ISNUMBER(Z203),ISNUMBER(Z204),ISNUMBER(Z205)),SUM(AB202:AB205),"")</f>
        <v/>
      </c>
      <c r="AC200" s="653" t="str">
        <f>IF(Z206="","",CONCATENATE("(Diff : ",Z206," - ",AB206,")"))</f>
        <v/>
      </c>
      <c r="AD200" s="270"/>
      <c r="AE200" s="270"/>
      <c r="AF200" s="270"/>
      <c r="AG200" s="270"/>
      <c r="AH200" s="270"/>
      <c r="AI200" s="270"/>
      <c r="AJ200" s="270"/>
      <c r="AK200" s="270"/>
      <c r="AL200" s="270"/>
      <c r="AM200" s="610"/>
      <c r="AN200" s="270"/>
      <c r="AO200" s="270"/>
      <c r="AP200" s="270"/>
      <c r="AQ200" s="270"/>
      <c r="AR200" s="270"/>
      <c r="AS200" s="270"/>
      <c r="AT200" s="270"/>
      <c r="AU200" s="270"/>
      <c r="AV200" s="270"/>
      <c r="AW200" s="270"/>
      <c r="AX200" s="270"/>
      <c r="AY200" s="270"/>
      <c r="AZ200" s="270"/>
      <c r="BA200" s="270"/>
      <c r="BB200" s="270"/>
      <c r="BC200" s="270"/>
      <c r="BD200" s="270"/>
      <c r="BE200" s="270"/>
      <c r="BF200" s="270"/>
      <c r="BG200" s="270"/>
      <c r="BH200" s="270"/>
      <c r="BI200" s="270"/>
      <c r="BJ200" s="270"/>
      <c r="BK200" s="270"/>
      <c r="BL200" s="270"/>
      <c r="BM200" s="270"/>
      <c r="BN200" s="270"/>
      <c r="BO200" s="270"/>
      <c r="BP200" s="270"/>
      <c r="BQ200" s="270"/>
    </row>
    <row r="201" spans="1:69" ht="26.25" hidden="1" outlineLevel="1" collapsed="1" thickBot="1" x14ac:dyDescent="0.25">
      <c r="A201" s="270"/>
      <c r="B201" s="270"/>
      <c r="C201" s="270"/>
      <c r="D201" s="270"/>
      <c r="E201" s="270"/>
      <c r="F201" s="270"/>
      <c r="G201" s="270"/>
      <c r="H201" s="270"/>
      <c r="I201" s="270"/>
      <c r="J201" s="1334" t="str">
        <f>IF(Z201="","",IF(Z201=Y199,AC199,Y199))</f>
        <v/>
      </c>
      <c r="K201" s="270"/>
      <c r="L201" s="270"/>
      <c r="M201" s="270"/>
      <c r="N201" s="270"/>
      <c r="O201" s="270"/>
      <c r="P201" s="270"/>
      <c r="Q201" s="270"/>
      <c r="R201" s="270"/>
      <c r="S201" s="270"/>
      <c r="T201" s="270"/>
      <c r="U201" s="632"/>
      <c r="V201" s="629"/>
      <c r="W201" s="647"/>
      <c r="X201" s="647"/>
      <c r="Y201" s="654" t="str">
        <f>N_VAINQUEUR</f>
        <v>VAINQUEUR</v>
      </c>
      <c r="Z201" s="2397" t="str">
        <f>IF(AL198&lt;&gt;"OK",IF(HidePlayerFormulas,"","("&amp;Y199&amp;"-"&amp;AC199&amp;")"),IF(AE199="",IF(Z200&gt;AB200,Y199,IF(Z200&lt;AB200,AC199,mess_erreur_marque)),AE199))</f>
        <v/>
      </c>
      <c r="AA201" s="2398"/>
      <c r="AB201" s="2398"/>
      <c r="AC201" s="2399"/>
      <c r="AD201" s="270"/>
      <c r="AE201" s="270"/>
      <c r="AF201" s="270"/>
      <c r="AG201" s="270"/>
      <c r="AH201" s="270"/>
      <c r="AI201" s="270"/>
      <c r="AJ201" s="270"/>
      <c r="AK201" s="270"/>
      <c r="AL201" s="270"/>
      <c r="AM201" s="598"/>
      <c r="AN201" s="270"/>
      <c r="AO201" s="270"/>
      <c r="AP201" s="270"/>
      <c r="AQ201" s="270"/>
      <c r="AR201" s="270"/>
      <c r="AS201" s="270"/>
      <c r="AT201" s="270"/>
      <c r="AU201" s="270"/>
      <c r="AV201" s="270"/>
      <c r="AW201" s="270"/>
      <c r="AX201" s="270"/>
      <c r="AY201" s="270"/>
      <c r="AZ201" s="270"/>
      <c r="BA201" s="270"/>
      <c r="BB201" s="270"/>
      <c r="BC201" s="270"/>
      <c r="BD201" s="270"/>
      <c r="BE201" s="270"/>
      <c r="BF201" s="270"/>
      <c r="BG201" s="270"/>
      <c r="BH201" s="270"/>
      <c r="BI201" s="270"/>
      <c r="BJ201" s="270"/>
      <c r="BK201" s="270"/>
      <c r="BL201" s="270"/>
      <c r="BM201" s="270"/>
      <c r="BN201" s="270"/>
      <c r="BO201" s="270"/>
      <c r="BP201" s="270"/>
      <c r="BQ201" s="270"/>
    </row>
    <row r="202" spans="1:69" ht="26.25" hidden="1" outlineLevel="3" thickBot="1" x14ac:dyDescent="0.25">
      <c r="A202" s="270"/>
      <c r="B202" s="270"/>
      <c r="C202" s="270"/>
      <c r="D202" s="270"/>
      <c r="E202" s="270"/>
      <c r="F202" s="270"/>
      <c r="G202" s="270"/>
      <c r="H202" s="270"/>
      <c r="I202" s="270"/>
      <c r="J202" s="270"/>
      <c r="K202" s="270"/>
      <c r="L202" s="270"/>
      <c r="M202" s="270"/>
      <c r="N202" s="270"/>
      <c r="O202" s="270"/>
      <c r="P202" s="270"/>
      <c r="Q202" s="270"/>
      <c r="R202" s="270"/>
      <c r="S202" s="270"/>
      <c r="T202" s="270"/>
      <c r="U202" s="632"/>
      <c r="V202" s="636"/>
      <c r="W202" s="655"/>
      <c r="X202" s="656"/>
      <c r="Y202" s="657"/>
      <c r="Z202" s="484"/>
      <c r="AA202" s="485" t="s">
        <v>769</v>
      </c>
      <c r="AB202" s="484"/>
      <c r="AC202" s="930"/>
      <c r="AD202" s="637"/>
      <c r="AE202" s="270"/>
      <c r="AF202" s="270"/>
      <c r="AG202" s="270"/>
      <c r="AH202" s="270"/>
      <c r="AI202" s="270"/>
      <c r="AJ202" s="270"/>
      <c r="AK202" s="270"/>
      <c r="AL202" s="270"/>
      <c r="AM202" s="598"/>
      <c r="AN202" s="270"/>
      <c r="AO202" s="270"/>
      <c r="AP202" s="270"/>
      <c r="AQ202" s="270"/>
      <c r="AR202" s="270"/>
      <c r="AS202" s="270"/>
      <c r="AT202" s="270"/>
      <c r="AU202" s="270"/>
      <c r="AV202" s="270"/>
      <c r="AW202" s="270"/>
      <c r="AX202" s="270"/>
      <c r="AY202" s="270"/>
      <c r="AZ202" s="270"/>
      <c r="BA202" s="270"/>
      <c r="BB202" s="270"/>
      <c r="BC202" s="270"/>
      <c r="BD202" s="270"/>
      <c r="BE202" s="270"/>
      <c r="BF202" s="270"/>
      <c r="BG202" s="270"/>
      <c r="BH202" s="270"/>
      <c r="BI202" s="270"/>
      <c r="BJ202" s="270"/>
      <c r="BK202" s="270"/>
      <c r="BL202" s="270"/>
      <c r="BM202" s="270"/>
      <c r="BN202" s="270"/>
      <c r="BO202" s="270"/>
      <c r="BP202" s="270"/>
      <c r="BQ202" s="270"/>
    </row>
    <row r="203" spans="1:69" ht="26.25" hidden="1" outlineLevel="3" thickBot="1" x14ac:dyDescent="0.25">
      <c r="A203" s="270"/>
      <c r="B203" s="270"/>
      <c r="C203" s="270"/>
      <c r="D203" s="270"/>
      <c r="E203" s="270"/>
      <c r="F203" s="270"/>
      <c r="G203" s="270"/>
      <c r="H203" s="270"/>
      <c r="I203" s="270"/>
      <c r="J203" s="270"/>
      <c r="K203" s="270"/>
      <c r="L203" s="270"/>
      <c r="M203" s="270"/>
      <c r="N203" s="270"/>
      <c r="O203" s="270"/>
      <c r="P203" s="270"/>
      <c r="Q203" s="270"/>
      <c r="R203" s="270"/>
      <c r="S203" s="270"/>
      <c r="T203" s="270"/>
      <c r="U203" s="632"/>
      <c r="V203" s="638"/>
      <c r="W203" s="658"/>
      <c r="X203" s="659"/>
      <c r="Y203" s="627"/>
      <c r="Z203" s="492"/>
      <c r="AA203" s="493" t="s">
        <v>769</v>
      </c>
      <c r="AB203" s="492"/>
      <c r="AC203" s="931"/>
      <c r="AD203" s="639"/>
      <c r="AE203" s="270"/>
      <c r="AF203" s="270"/>
      <c r="AG203" s="270"/>
      <c r="AH203" s="270"/>
      <c r="AI203" s="270"/>
      <c r="AJ203" s="270"/>
      <c r="AK203" s="270"/>
      <c r="AL203" s="270"/>
      <c r="AM203" s="598"/>
      <c r="AN203" s="270"/>
      <c r="AO203" s="270"/>
      <c r="AP203" s="270"/>
      <c r="AQ203" s="270"/>
      <c r="AR203" s="270"/>
      <c r="AS203" s="270"/>
      <c r="AT203" s="270"/>
      <c r="AU203" s="270"/>
      <c r="AV203" s="270"/>
      <c r="AW203" s="270"/>
      <c r="AX203" s="270"/>
      <c r="AY203" s="270"/>
      <c r="AZ203" s="270"/>
      <c r="BA203" s="270"/>
      <c r="BB203" s="270"/>
      <c r="BC203" s="270"/>
      <c r="BD203" s="270"/>
      <c r="BE203" s="270"/>
      <c r="BF203" s="270"/>
      <c r="BG203" s="270"/>
      <c r="BH203" s="270"/>
      <c r="BI203" s="270"/>
      <c r="BJ203" s="270"/>
      <c r="BK203" s="270"/>
      <c r="BL203" s="270"/>
      <c r="BM203" s="270"/>
      <c r="BN203" s="270"/>
      <c r="BO203" s="270"/>
      <c r="BP203" s="270"/>
      <c r="BQ203" s="270"/>
    </row>
    <row r="204" spans="1:69" ht="26.25" hidden="1" outlineLevel="3" thickBot="1" x14ac:dyDescent="0.25">
      <c r="A204" s="270"/>
      <c r="B204" s="270"/>
      <c r="C204" s="270"/>
      <c r="D204" s="270"/>
      <c r="E204" s="270"/>
      <c r="F204" s="270"/>
      <c r="G204" s="270"/>
      <c r="H204" s="270"/>
      <c r="I204" s="270"/>
      <c r="J204" s="270"/>
      <c r="K204" s="270"/>
      <c r="L204" s="270"/>
      <c r="M204" s="270"/>
      <c r="N204" s="270"/>
      <c r="O204" s="270"/>
      <c r="P204" s="270"/>
      <c r="Q204" s="270"/>
      <c r="R204" s="270"/>
      <c r="S204" s="270"/>
      <c r="T204" s="270"/>
      <c r="U204" s="632"/>
      <c r="V204" s="638"/>
      <c r="W204" s="658"/>
      <c r="X204" s="659"/>
      <c r="Y204" s="627"/>
      <c r="Z204" s="492"/>
      <c r="AA204" s="493" t="s">
        <v>769</v>
      </c>
      <c r="AB204" s="492"/>
      <c r="AC204" s="931"/>
      <c r="AD204" s="640"/>
      <c r="AE204" s="270"/>
      <c r="AF204" s="270"/>
      <c r="AG204" s="270"/>
      <c r="AH204" s="270"/>
      <c r="AI204" s="270"/>
      <c r="AJ204" s="270"/>
      <c r="AK204" s="270"/>
      <c r="AL204" s="270"/>
      <c r="AM204" s="598"/>
      <c r="AN204" s="270"/>
      <c r="AO204" s="270"/>
      <c r="AP204" s="270"/>
      <c r="AQ204" s="270"/>
      <c r="AR204" s="270"/>
      <c r="AS204" s="270"/>
      <c r="AT204" s="270"/>
      <c r="AU204" s="270"/>
      <c r="AV204" s="270"/>
      <c r="AW204" s="270"/>
      <c r="AX204" s="270"/>
      <c r="AY204" s="270"/>
      <c r="AZ204" s="270"/>
      <c r="BA204" s="270"/>
      <c r="BB204" s="270"/>
      <c r="BC204" s="270"/>
      <c r="BD204" s="270"/>
      <c r="BE204" s="270"/>
      <c r="BF204" s="270"/>
      <c r="BG204" s="270"/>
      <c r="BH204" s="270"/>
      <c r="BI204" s="270"/>
      <c r="BJ204" s="270"/>
      <c r="BK204" s="270"/>
      <c r="BL204" s="270"/>
      <c r="BM204" s="270"/>
      <c r="BN204" s="270"/>
      <c r="BO204" s="270"/>
      <c r="BP204" s="270"/>
      <c r="BQ204" s="270"/>
    </row>
    <row r="205" spans="1:69" ht="26.25" hidden="1" outlineLevel="3" thickBot="1" x14ac:dyDescent="0.25">
      <c r="A205" s="270"/>
      <c r="B205" s="270"/>
      <c r="C205" s="270"/>
      <c r="D205" s="270"/>
      <c r="E205" s="270"/>
      <c r="F205" s="270"/>
      <c r="G205" s="270"/>
      <c r="H205" s="270"/>
      <c r="I205" s="270"/>
      <c r="J205" s="270"/>
      <c r="K205" s="270"/>
      <c r="L205" s="270"/>
      <c r="M205" s="270"/>
      <c r="N205" s="270"/>
      <c r="O205" s="270"/>
      <c r="P205" s="270"/>
      <c r="Q205" s="270"/>
      <c r="R205" s="270"/>
      <c r="S205" s="270"/>
      <c r="T205" s="270"/>
      <c r="U205" s="632"/>
      <c r="V205" s="641"/>
      <c r="W205" s="660"/>
      <c r="X205" s="661"/>
      <c r="Y205" s="631"/>
      <c r="Z205" s="496"/>
      <c r="AA205" s="497" t="s">
        <v>769</v>
      </c>
      <c r="AB205" s="496"/>
      <c r="AC205" s="932"/>
      <c r="AD205" s="642"/>
      <c r="AE205" s="270"/>
      <c r="AF205" s="270"/>
      <c r="AG205" s="270"/>
      <c r="AH205" s="270"/>
      <c r="AI205" s="270"/>
      <c r="AJ205" s="270"/>
      <c r="AK205" s="270"/>
      <c r="AL205" s="270"/>
      <c r="AM205" s="598"/>
      <c r="AN205" s="270"/>
      <c r="AO205" s="270"/>
      <c r="AP205" s="270"/>
      <c r="AQ205" s="270"/>
      <c r="AR205" s="270"/>
      <c r="AS205" s="270"/>
      <c r="AT205" s="270"/>
      <c r="AU205" s="270"/>
      <c r="AV205" s="270"/>
      <c r="AW205" s="270"/>
      <c r="AX205" s="270"/>
      <c r="AY205" s="270"/>
      <c r="AZ205" s="270"/>
      <c r="BA205" s="270"/>
      <c r="BB205" s="270"/>
      <c r="BC205" s="270"/>
      <c r="BD205" s="270"/>
      <c r="BE205" s="270"/>
      <c r="BF205" s="270"/>
      <c r="BG205" s="270"/>
      <c r="BH205" s="270"/>
      <c r="BI205" s="270"/>
      <c r="BJ205" s="270"/>
      <c r="BK205" s="270"/>
      <c r="BL205" s="270"/>
      <c r="BM205" s="270"/>
      <c r="BN205" s="270"/>
      <c r="BO205" s="270"/>
      <c r="BP205" s="270"/>
      <c r="BQ205" s="270"/>
    </row>
    <row r="206" spans="1:69" ht="26.25" hidden="1" outlineLevel="3" thickBot="1" x14ac:dyDescent="0.25">
      <c r="A206" s="270"/>
      <c r="B206" s="270"/>
      <c r="C206" s="270"/>
      <c r="D206" s="270"/>
      <c r="E206" s="270"/>
      <c r="F206" s="270"/>
      <c r="G206" s="270"/>
      <c r="H206" s="270"/>
      <c r="I206" s="270"/>
      <c r="J206" s="270"/>
      <c r="K206" s="270"/>
      <c r="L206" s="270"/>
      <c r="M206" s="270"/>
      <c r="N206" s="270"/>
      <c r="O206" s="270"/>
      <c r="P206" s="270"/>
      <c r="Q206" s="270"/>
      <c r="R206" s="270"/>
      <c r="S206" s="270"/>
      <c r="T206" s="270"/>
      <c r="U206" s="632"/>
      <c r="V206" s="643"/>
      <c r="W206" s="644" t="str">
        <f>N_Différentiel</f>
        <v>Différentiel</v>
      </c>
      <c r="X206" s="662"/>
      <c r="Y206" s="663"/>
      <c r="Z206" s="488"/>
      <c r="AA206" s="489" t="s">
        <v>769</v>
      </c>
      <c r="AB206" s="488"/>
      <c r="AC206" s="933"/>
      <c r="AD206" s="270"/>
      <c r="AE206" s="270"/>
      <c r="AF206" s="270"/>
      <c r="AG206" s="270"/>
      <c r="AH206" s="270"/>
      <c r="AI206" s="270"/>
      <c r="AJ206" s="270"/>
      <c r="AK206" s="270"/>
      <c r="AL206" s="270"/>
      <c r="AM206" s="598"/>
      <c r="AN206" s="270"/>
      <c r="AO206" s="270"/>
      <c r="AP206" s="270"/>
      <c r="AQ206" s="270"/>
      <c r="AR206" s="270"/>
      <c r="AS206" s="270"/>
      <c r="AT206" s="270"/>
      <c r="AU206" s="270"/>
      <c r="AV206" s="270"/>
      <c r="AW206" s="270"/>
      <c r="AX206" s="270"/>
      <c r="AY206" s="270"/>
      <c r="AZ206" s="270"/>
      <c r="BA206" s="270"/>
      <c r="BB206" s="270"/>
      <c r="BC206" s="270"/>
      <c r="BD206" s="270"/>
      <c r="BE206" s="270"/>
      <c r="BF206" s="270"/>
      <c r="BG206" s="270"/>
      <c r="BH206" s="270"/>
      <c r="BI206" s="270"/>
      <c r="BJ206" s="270"/>
      <c r="BK206" s="270"/>
      <c r="BL206" s="270"/>
      <c r="BM206" s="270"/>
      <c r="BN206" s="270"/>
      <c r="BO206" s="270"/>
      <c r="BP206" s="270"/>
      <c r="BQ206" s="270"/>
    </row>
    <row r="207" spans="1:69" ht="26.25" hidden="1" outlineLevel="3" thickBot="1" x14ac:dyDescent="0.25">
      <c r="A207" s="270"/>
      <c r="B207" s="270"/>
      <c r="C207" s="270"/>
      <c r="D207" s="270"/>
      <c r="E207" s="270"/>
      <c r="F207" s="270"/>
      <c r="G207" s="270"/>
      <c r="H207" s="270"/>
      <c r="I207" s="270"/>
      <c r="J207" s="270"/>
      <c r="K207" s="270"/>
      <c r="L207" s="270"/>
      <c r="M207" s="270"/>
      <c r="N207" s="270"/>
      <c r="O207" s="270"/>
      <c r="P207" s="270"/>
      <c r="Q207" s="270"/>
      <c r="R207" s="270"/>
      <c r="S207" s="270"/>
      <c r="T207" s="270"/>
      <c r="U207" s="632"/>
      <c r="V207" s="643"/>
      <c r="W207" s="664"/>
      <c r="X207" s="665" t="str">
        <f>N_Substitute</f>
        <v>Remplaçant</v>
      </c>
      <c r="Y207" s="657"/>
      <c r="Z207" s="480"/>
      <c r="AA207" s="666"/>
      <c r="AB207" s="480"/>
      <c r="AC207" s="934"/>
      <c r="AD207" s="270"/>
      <c r="AE207" s="270"/>
      <c r="AF207" s="270"/>
      <c r="AG207" s="270"/>
      <c r="AH207" s="270"/>
      <c r="AI207" s="270"/>
      <c r="AJ207" s="270"/>
      <c r="AK207" s="270"/>
      <c r="AL207" s="270"/>
      <c r="AM207" s="598"/>
      <c r="AN207" s="270"/>
      <c r="AO207" s="270"/>
      <c r="AP207" s="270"/>
      <c r="AQ207" s="270"/>
      <c r="AR207" s="270"/>
      <c r="AS207" s="270"/>
      <c r="AT207" s="270"/>
      <c r="AU207" s="270"/>
      <c r="AV207" s="270"/>
      <c r="AW207" s="270"/>
      <c r="AX207" s="270"/>
      <c r="AY207" s="270"/>
      <c r="AZ207" s="270"/>
      <c r="BA207" s="270"/>
      <c r="BB207" s="270"/>
      <c r="BC207" s="270"/>
      <c r="BD207" s="270"/>
      <c r="BE207" s="270"/>
      <c r="BF207" s="270"/>
      <c r="BG207" s="270"/>
      <c r="BH207" s="270"/>
      <c r="BI207" s="270"/>
      <c r="BJ207" s="270"/>
      <c r="BK207" s="270"/>
      <c r="BL207" s="270"/>
      <c r="BM207" s="270"/>
      <c r="BN207" s="270"/>
      <c r="BO207" s="270"/>
      <c r="BP207" s="270"/>
      <c r="BQ207" s="270"/>
    </row>
    <row r="208" spans="1:69" ht="26.25" hidden="1" outlineLevel="3" thickBot="1" x14ac:dyDescent="0.25">
      <c r="A208" s="270"/>
      <c r="B208" s="270"/>
      <c r="C208" s="270"/>
      <c r="D208" s="270"/>
      <c r="E208" s="270"/>
      <c r="F208" s="270"/>
      <c r="G208" s="270"/>
      <c r="H208" s="270"/>
      <c r="I208" s="270"/>
      <c r="J208" s="270"/>
      <c r="K208" s="270"/>
      <c r="L208" s="270"/>
      <c r="M208" s="270"/>
      <c r="N208" s="270"/>
      <c r="O208" s="270"/>
      <c r="P208" s="270"/>
      <c r="Q208" s="270"/>
      <c r="R208" s="270"/>
      <c r="S208" s="270"/>
      <c r="T208" s="270"/>
      <c r="U208" s="632"/>
      <c r="V208" s="643"/>
      <c r="W208" s="664"/>
      <c r="X208" s="667" t="str">
        <f>N_Substitute</f>
        <v>Remplaçant</v>
      </c>
      <c r="Y208" s="663"/>
      <c r="Z208" s="488"/>
      <c r="AA208" s="668"/>
      <c r="AB208" s="488"/>
      <c r="AC208" s="933"/>
      <c r="AD208" s="270"/>
      <c r="AE208" s="270"/>
      <c r="AF208" s="270"/>
      <c r="AG208" s="270"/>
      <c r="AH208" s="270"/>
      <c r="AI208" s="270"/>
      <c r="AJ208" s="270"/>
      <c r="AK208" s="270"/>
      <c r="AL208" s="270"/>
      <c r="AM208" s="598"/>
      <c r="AN208" s="270"/>
      <c r="AO208" s="270"/>
      <c r="AP208" s="270"/>
      <c r="AQ208" s="270"/>
      <c r="AR208" s="270"/>
      <c r="AS208" s="270"/>
      <c r="AT208" s="270"/>
      <c r="AU208" s="270"/>
      <c r="AV208" s="270"/>
      <c r="AW208" s="270"/>
      <c r="AX208" s="270"/>
      <c r="AY208" s="270"/>
      <c r="AZ208" s="270"/>
      <c r="BA208" s="270"/>
      <c r="BB208" s="270"/>
      <c r="BC208" s="270"/>
      <c r="BD208" s="270"/>
      <c r="BE208" s="270"/>
      <c r="BF208" s="270"/>
      <c r="BG208" s="270"/>
      <c r="BH208" s="270"/>
      <c r="BI208" s="270"/>
      <c r="BJ208" s="270"/>
      <c r="BK208" s="270"/>
      <c r="BL208" s="270"/>
      <c r="BM208" s="270"/>
      <c r="BN208" s="270"/>
      <c r="BO208" s="270"/>
      <c r="BP208" s="270"/>
      <c r="BQ208" s="270"/>
    </row>
    <row r="209" spans="1:69" ht="13.5" hidden="1" outlineLevel="1" thickBot="1" x14ac:dyDescent="0.25">
      <c r="A209" s="270"/>
      <c r="B209" s="270"/>
      <c r="C209" s="270"/>
      <c r="D209" s="270"/>
      <c r="E209" s="270"/>
      <c r="F209" s="270"/>
      <c r="G209" s="270"/>
      <c r="H209" s="270"/>
      <c r="I209" s="270"/>
      <c r="J209" s="270"/>
      <c r="K209" s="270"/>
      <c r="L209" s="270"/>
      <c r="M209" s="270"/>
      <c r="N209" s="270"/>
      <c r="O209" s="270"/>
      <c r="P209" s="270"/>
      <c r="Q209" s="270"/>
      <c r="R209" s="270"/>
      <c r="S209" s="270"/>
      <c r="T209" s="270"/>
      <c r="U209" s="632"/>
      <c r="V209" s="643"/>
      <c r="W209" s="643"/>
      <c r="X209" s="645"/>
      <c r="Y209" s="646"/>
      <c r="Z209" s="626"/>
      <c r="AA209" s="271"/>
      <c r="AB209" s="626"/>
      <c r="AC209" s="646"/>
      <c r="AD209" s="270"/>
      <c r="AE209" s="270"/>
      <c r="AF209" s="270"/>
      <c r="AG209" s="270"/>
      <c r="AH209" s="270"/>
      <c r="AI209" s="270"/>
      <c r="AJ209" s="270"/>
      <c r="AK209" s="270"/>
      <c r="AL209" s="270"/>
      <c r="AM209" s="270"/>
      <c r="AN209" s="270"/>
      <c r="AO209" s="270"/>
      <c r="AP209" s="270"/>
      <c r="AQ209" s="270"/>
      <c r="AR209" s="270"/>
      <c r="AS209" s="270"/>
      <c r="AT209" s="270"/>
      <c r="AU209" s="270"/>
      <c r="AV209" s="270"/>
      <c r="AW209" s="270"/>
      <c r="AX209" s="270"/>
      <c r="AY209" s="270"/>
      <c r="AZ209" s="270"/>
      <c r="BA209" s="270"/>
      <c r="BB209" s="270"/>
      <c r="BC209" s="270"/>
      <c r="BD209" s="270"/>
      <c r="BE209" s="270"/>
      <c r="BF209" s="270"/>
      <c r="BG209" s="270"/>
      <c r="BH209" s="270"/>
      <c r="BI209" s="270"/>
      <c r="BJ209" s="270"/>
      <c r="BK209" s="270"/>
      <c r="BL209" s="270"/>
      <c r="BM209" s="270"/>
      <c r="BN209" s="270"/>
      <c r="BO209" s="270"/>
      <c r="BP209" s="270"/>
      <c r="BQ209" s="270"/>
    </row>
    <row r="210" spans="1:69" ht="13.5" collapsed="1" thickBot="1" x14ac:dyDescent="0.25">
      <c r="A210" s="270"/>
      <c r="B210" s="2418" t="str">
        <f>N_THIRD</f>
        <v>PETITE FINALE</v>
      </c>
      <c r="C210" s="2419"/>
      <c r="D210" s="2419"/>
      <c r="E210" s="2419"/>
      <c r="F210" s="2419"/>
      <c r="G210" s="2419"/>
      <c r="H210" s="2419"/>
      <c r="I210" s="2419"/>
      <c r="J210" s="2419"/>
      <c r="K210" s="2419"/>
      <c r="L210" s="2419"/>
      <c r="M210" s="2419"/>
      <c r="N210" s="2419"/>
      <c r="O210" s="2419"/>
      <c r="P210" s="2419"/>
      <c r="Q210" s="2419"/>
      <c r="R210" s="2419"/>
      <c r="S210" s="2419"/>
      <c r="T210" s="2419"/>
      <c r="U210" s="2419"/>
      <c r="V210" s="2419"/>
      <c r="W210" s="2419"/>
      <c r="X210" s="2419"/>
      <c r="Y210" s="2419"/>
      <c r="Z210" s="2419"/>
      <c r="AA210" s="2419"/>
      <c r="AB210" s="2419"/>
      <c r="AC210" s="2419"/>
      <c r="AD210" s="2419"/>
      <c r="AE210" s="2419"/>
      <c r="AF210" s="2419"/>
      <c r="AG210" s="2419"/>
      <c r="AH210" s="2419"/>
      <c r="AI210" s="2419"/>
      <c r="AJ210" s="2419"/>
      <c r="AK210" s="2419"/>
      <c r="AL210" s="2419"/>
      <c r="AM210" s="2420"/>
      <c r="AN210" s="270"/>
      <c r="AO210" s="270"/>
      <c r="AP210" s="270"/>
      <c r="AQ210" s="270"/>
      <c r="AR210" s="270"/>
      <c r="AS210" s="270"/>
      <c r="AT210" s="270"/>
      <c r="AU210" s="270"/>
      <c r="AV210" s="270"/>
      <c r="AW210" s="270"/>
      <c r="AX210" s="270"/>
      <c r="AY210" s="270"/>
      <c r="AZ210" s="270"/>
      <c r="BA210" s="270"/>
      <c r="BB210" s="270"/>
      <c r="BC210" s="270"/>
      <c r="BD210" s="270"/>
      <c r="BE210" s="270"/>
      <c r="BF210" s="270"/>
      <c r="BG210" s="270"/>
      <c r="BH210" s="270"/>
      <c r="BI210" s="270"/>
      <c r="BJ210" s="270"/>
      <c r="BK210" s="270"/>
      <c r="BL210" s="270"/>
      <c r="BM210" s="270"/>
      <c r="BN210" s="270"/>
      <c r="BO210" s="270"/>
      <c r="BP210" s="270"/>
      <c r="BQ210" s="270"/>
    </row>
    <row r="211" spans="1:69" ht="13.5" hidden="1" outlineLevel="1" thickBot="1" x14ac:dyDescent="0.25">
      <c r="A211" s="270"/>
      <c r="B211" s="270"/>
      <c r="C211" s="270"/>
      <c r="D211" s="270"/>
      <c r="E211" s="270"/>
      <c r="F211" s="270"/>
      <c r="G211" s="270"/>
      <c r="H211" s="270"/>
      <c r="I211" s="270"/>
      <c r="J211" s="270"/>
      <c r="K211" s="270"/>
      <c r="L211" s="270"/>
      <c r="M211" s="270"/>
      <c r="N211" s="270"/>
      <c r="O211" s="270"/>
      <c r="P211" s="270"/>
      <c r="Q211" s="270"/>
      <c r="R211" s="270"/>
      <c r="S211" s="270"/>
      <c r="T211" s="270"/>
      <c r="U211" s="632"/>
      <c r="V211" s="270"/>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270"/>
      <c r="AS211" s="270"/>
      <c r="AT211" s="270"/>
      <c r="AU211" s="270"/>
      <c r="AV211" s="270"/>
      <c r="AW211" s="270"/>
      <c r="AX211" s="270"/>
      <c r="AY211" s="270"/>
      <c r="AZ211" s="270"/>
      <c r="BA211" s="270"/>
      <c r="BB211" s="270"/>
      <c r="BC211" s="270"/>
      <c r="BD211" s="270"/>
      <c r="BE211" s="270"/>
      <c r="BF211" s="270"/>
      <c r="BG211" s="270"/>
      <c r="BH211" s="270"/>
      <c r="BI211" s="270"/>
      <c r="BJ211" s="270"/>
      <c r="BK211" s="270"/>
      <c r="BL211" s="270"/>
      <c r="BM211" s="270"/>
      <c r="BN211" s="270"/>
      <c r="BO211" s="270"/>
      <c r="BP211" s="270"/>
      <c r="BQ211" s="270"/>
    </row>
    <row r="212" spans="1:69" ht="13.5" hidden="1" outlineLevel="1" thickBot="1" x14ac:dyDescent="0.25">
      <c r="A212" s="270"/>
      <c r="B212" s="270"/>
      <c r="C212" s="270"/>
      <c r="D212" s="270"/>
      <c r="E212" s="270"/>
      <c r="F212" s="270"/>
      <c r="G212" s="270"/>
      <c r="H212" s="270"/>
      <c r="I212" s="270"/>
      <c r="J212" s="270"/>
      <c r="K212" s="270"/>
      <c r="L212" s="270"/>
      <c r="M212" s="270"/>
      <c r="N212" s="270"/>
      <c r="O212" s="270"/>
      <c r="P212" s="270"/>
      <c r="Q212" s="270"/>
      <c r="R212" s="270"/>
      <c r="S212" s="270"/>
      <c r="T212" s="270"/>
      <c r="U212" s="633"/>
      <c r="V212" s="630" t="str">
        <f>N_Heure</f>
        <v>Heure</v>
      </c>
      <c r="W212" s="630" t="str">
        <f>N_Table</f>
        <v>Table</v>
      </c>
      <c r="X212" s="630" t="str">
        <f>N_Arbitre</f>
        <v>Arbitre</v>
      </c>
      <c r="Y212" s="2403" t="str">
        <f>N_Scores</f>
        <v>Scores</v>
      </c>
      <c r="Z212" s="2404"/>
      <c r="AA212" s="2404"/>
      <c r="AB212" s="2404"/>
      <c r="AC212" s="2405"/>
      <c r="AD212" s="634" t="str">
        <f>N_MS</f>
        <v>MS</v>
      </c>
      <c r="AE212" s="270"/>
      <c r="AF212" s="270"/>
      <c r="AG212" s="270"/>
      <c r="AH212" s="270"/>
      <c r="AI212" s="270"/>
      <c r="AJ212" s="270"/>
      <c r="AK212" s="270"/>
      <c r="AL212" s="270" t="str">
        <f>IF(COUNTA(Z216:Z219)&gt;3,"OK","")</f>
        <v/>
      </c>
      <c r="AM212" s="270"/>
      <c r="AN212" s="270"/>
      <c r="AO212" s="270"/>
      <c r="AP212" s="270"/>
      <c r="AQ212" s="270"/>
      <c r="AR212" s="270"/>
      <c r="AS212" s="270"/>
      <c r="AT212" s="270"/>
      <c r="AU212" s="270"/>
      <c r="AV212" s="270"/>
      <c r="AW212" s="270"/>
      <c r="AX212" s="270"/>
      <c r="AY212" s="270"/>
      <c r="AZ212" s="270"/>
      <c r="BA212" s="270"/>
      <c r="BB212" s="270"/>
      <c r="BC212" s="270"/>
      <c r="BD212" s="270"/>
      <c r="BE212" s="270"/>
      <c r="BF212" s="270"/>
      <c r="BG212" s="270"/>
      <c r="BH212" s="270"/>
      <c r="BI212" s="270"/>
      <c r="BJ212" s="270"/>
      <c r="BK212" s="270"/>
      <c r="BL212" s="270"/>
      <c r="BM212" s="270"/>
      <c r="BN212" s="270"/>
      <c r="BO212" s="270"/>
      <c r="BP212" s="270"/>
      <c r="BQ212" s="270"/>
    </row>
    <row r="213" spans="1:69" ht="26.25" hidden="1" outlineLevel="1" thickBot="1" x14ac:dyDescent="0.25">
      <c r="A213" s="270"/>
      <c r="B213" s="270"/>
      <c r="C213" s="270"/>
      <c r="D213" s="270"/>
      <c r="E213" s="270"/>
      <c r="F213" s="270"/>
      <c r="G213" s="270"/>
      <c r="H213" s="270"/>
      <c r="I213" s="270"/>
      <c r="J213" s="270"/>
      <c r="K213" s="270"/>
      <c r="L213" s="270"/>
      <c r="M213" s="270"/>
      <c r="N213" s="270"/>
      <c r="O213" s="270"/>
      <c r="P213" s="270"/>
      <c r="Q213" s="270"/>
      <c r="R213" s="270"/>
      <c r="S213" s="270"/>
      <c r="T213" s="270"/>
      <c r="U213" s="635" t="s">
        <v>1725</v>
      </c>
      <c r="V213" s="1536"/>
      <c r="W213" s="1537"/>
      <c r="X213" s="1537"/>
      <c r="Y213" s="1336"/>
      <c r="Z213" s="649" t="str">
        <f>IF(OR(ISNUMBER(Z216),ISNUMBER(Z217),ISNUMBER(Z218),ISNUMBER(Z219)),Lire_Gain_Matches(Z216:Z219, AB216:AB219),"")</f>
        <v/>
      </c>
      <c r="AA213" s="650" t="s">
        <v>769</v>
      </c>
      <c r="AB213" s="651" t="str">
        <f>IF(OR(ISNUMBER(Z216),ISNUMBER(Z217),ISNUMBER(Z218),ISNUMBER(Z219)),Lire_Gain_Matches(AB216:AB219, Z216:Z219),"")</f>
        <v/>
      </c>
      <c r="AC213" s="1337"/>
      <c r="AD213" s="231" t="str">
        <f>IF(ISNA(VLOOKUP("X",AD216:AD219,1,FALSE)),"","X")</f>
        <v/>
      </c>
      <c r="AE213" s="270" t="str">
        <f>IF(Z213="","",IF(Z213&gt;AB213,Y213,IF(Z213=AB213,IF(AL213=Y213,AC213,IF(AL213=AC213,Y213,"")),AC213)))</f>
        <v/>
      </c>
      <c r="AF213" s="270" t="str">
        <f>IF(Z213="","",IF(Z213=AB213,IF(AL213=Y213,"",IF(AL213=AC213,"",Y213)),""))</f>
        <v/>
      </c>
      <c r="AG213" s="270" t="str">
        <f>IF(Z213="","",IF(Z213=AB213,IF(AL213=Y213,"",IF(AL213=AC213,"",AC213)),""))</f>
        <v/>
      </c>
      <c r="AH213" s="270" t="str">
        <f>IF(Z213="","",IF(Z213&lt;AB213,Y213,IF(Z213=AB213,IF(AL213=Y213,Y213,IF(AL213=AC213,AC213,"")),AC213)))</f>
        <v/>
      </c>
      <c r="AI213" s="270"/>
      <c r="AJ213" s="270"/>
      <c r="AK213" s="270"/>
      <c r="AL213" s="270" t="str">
        <f>IF(COUNTIF(Y216:Y219,WithdrawLabel)&gt;COUNTIF(AC216:AC219,WithdrawLabel),Y213,IF(COUNTIF(AC216:AC219,WithdrawLabel)&gt;COUNTIF(Y216:Y219,WithdrawLabel),AC213,""))</f>
        <v/>
      </c>
      <c r="AM213" s="598"/>
      <c r="AN213" s="270"/>
      <c r="AO213" s="270"/>
      <c r="AP213" s="270"/>
      <c r="AQ213" s="270"/>
      <c r="AR213" s="270"/>
      <c r="AS213" s="270"/>
      <c r="AT213" s="270"/>
      <c r="AU213" s="270"/>
      <c r="AV213" s="270"/>
      <c r="AW213" s="270"/>
      <c r="AX213" s="270"/>
      <c r="AY213" s="270"/>
      <c r="AZ213" s="270"/>
      <c r="BA213" s="270"/>
      <c r="BB213" s="270"/>
      <c r="BC213" s="270"/>
      <c r="BD213" s="270"/>
      <c r="BE213" s="270"/>
      <c r="BF213" s="270"/>
      <c r="BG213" s="270"/>
      <c r="BH213" s="270"/>
      <c r="BI213" s="270"/>
      <c r="BJ213" s="270"/>
      <c r="BK213" s="270"/>
      <c r="BL213" s="270"/>
      <c r="BM213" s="270"/>
      <c r="BN213" s="270"/>
      <c r="BO213" s="270"/>
      <c r="BP213" s="270"/>
      <c r="BQ213" s="270"/>
    </row>
    <row r="214" spans="1:69" ht="18.75" hidden="1" outlineLevel="1" thickBot="1" x14ac:dyDescent="0.25">
      <c r="A214" s="270"/>
      <c r="B214" s="270"/>
      <c r="C214" s="270"/>
      <c r="D214" s="270"/>
      <c r="E214" s="270"/>
      <c r="F214" s="270"/>
      <c r="G214" s="270"/>
      <c r="H214" s="270"/>
      <c r="I214" s="270"/>
      <c r="J214" s="270"/>
      <c r="K214" s="270"/>
      <c r="L214" s="270"/>
      <c r="M214" s="270"/>
      <c r="N214" s="270"/>
      <c r="O214" s="270"/>
      <c r="P214" s="270"/>
      <c r="Q214" s="270"/>
      <c r="R214" s="270"/>
      <c r="S214" s="270"/>
      <c r="T214" s="270"/>
      <c r="U214" s="632"/>
      <c r="V214" s="629"/>
      <c r="W214" s="647"/>
      <c r="X214" s="647"/>
      <c r="Y214" s="652" t="str">
        <f>N_Total_buts</f>
        <v>Total des buts</v>
      </c>
      <c r="Z214" s="649" t="str">
        <f>IF(OR(ISNUMBER(Z216),ISNUMBER(Z217),ISNUMBER(Z218),ISNUMBER(Z219)),SUM(Z216:Z219),"")</f>
        <v/>
      </c>
      <c r="AA214" s="650" t="s">
        <v>769</v>
      </c>
      <c r="AB214" s="651" t="str">
        <f>IF(OR(ISNUMBER(Z216),ISNUMBER(Z217),ISNUMBER(Z218),ISNUMBER(Z219)),SUM(AB216:AB219),"")</f>
        <v/>
      </c>
      <c r="AC214" s="653" t="str">
        <f>IF(Z220="","",CONCATENATE("(Diff : ",Z220," - ",AB220,")"))</f>
        <v/>
      </c>
      <c r="AD214" s="270"/>
      <c r="AE214" s="270"/>
      <c r="AF214" s="270"/>
      <c r="AG214" s="270"/>
      <c r="AH214" s="270"/>
      <c r="AI214" s="270"/>
      <c r="AJ214" s="270"/>
      <c r="AK214" s="270"/>
      <c r="AL214" s="270"/>
      <c r="AM214" s="610"/>
      <c r="AN214" s="270"/>
      <c r="AO214" s="270"/>
      <c r="AP214" s="270"/>
      <c r="AQ214" s="270"/>
      <c r="AR214" s="270"/>
      <c r="AS214" s="270"/>
      <c r="AT214" s="270"/>
      <c r="AU214" s="270"/>
      <c r="AV214" s="270"/>
      <c r="AW214" s="270"/>
      <c r="AX214" s="270"/>
      <c r="AY214" s="270"/>
      <c r="AZ214" s="270"/>
      <c r="BA214" s="270"/>
      <c r="BB214" s="270"/>
      <c r="BC214" s="270"/>
      <c r="BD214" s="270"/>
      <c r="BE214" s="270"/>
      <c r="BF214" s="270"/>
      <c r="BG214" s="270"/>
      <c r="BH214" s="270"/>
      <c r="BI214" s="270"/>
      <c r="BJ214" s="270"/>
      <c r="BK214" s="270"/>
      <c r="BL214" s="270"/>
      <c r="BM214" s="270"/>
      <c r="BN214" s="270"/>
      <c r="BO214" s="270"/>
      <c r="BP214" s="270"/>
      <c r="BQ214" s="270"/>
    </row>
    <row r="215" spans="1:69" ht="26.25" hidden="1" outlineLevel="1" thickBot="1" x14ac:dyDescent="0.25">
      <c r="A215" s="270"/>
      <c r="B215" s="270"/>
      <c r="C215" s="270"/>
      <c r="D215" s="270"/>
      <c r="E215" s="270"/>
      <c r="F215" s="270"/>
      <c r="G215" s="270"/>
      <c r="H215" s="270"/>
      <c r="I215" s="270"/>
      <c r="J215" s="1334" t="str">
        <f>IF(Z215="","",IF(Z215=Y213,AC213,Y213))</f>
        <v/>
      </c>
      <c r="K215" s="270"/>
      <c r="L215" s="270"/>
      <c r="M215" s="270"/>
      <c r="N215" s="270"/>
      <c r="O215" s="270"/>
      <c r="P215" s="270"/>
      <c r="Q215" s="270"/>
      <c r="R215" s="270"/>
      <c r="S215" s="270"/>
      <c r="T215" s="270"/>
      <c r="U215" s="632"/>
      <c r="V215" s="629"/>
      <c r="W215" s="647"/>
      <c r="X215" s="647"/>
      <c r="Y215" s="654" t="str">
        <f>N_VAINQUEUR</f>
        <v>VAINQUEUR</v>
      </c>
      <c r="Z215" s="2430" t="str">
        <f>IF(AL212&lt;&gt;"OK",IF(HidePlayerFormulas,"","("&amp;Y213&amp;"-"&amp;AC213&amp;")"),IF(AE213="",IF(Z214&gt;AB214,Y213,IF(Z214&lt;AB214,AC213,mess_erreur_marque)),AE213))</f>
        <v/>
      </c>
      <c r="AA215" s="2431"/>
      <c r="AB215" s="2431"/>
      <c r="AC215" s="2432"/>
      <c r="AD215" s="270"/>
      <c r="AE215" s="270"/>
      <c r="AF215" s="270"/>
      <c r="AG215" s="270"/>
      <c r="AH215" s="270"/>
      <c r="AI215" s="270"/>
      <c r="AJ215" s="270"/>
      <c r="AK215" s="270"/>
      <c r="AL215" s="270"/>
      <c r="AM215" s="598"/>
      <c r="AN215" s="270"/>
      <c r="AO215" s="270"/>
      <c r="AP215" s="270"/>
      <c r="AQ215" s="270"/>
      <c r="AR215" s="270"/>
      <c r="AS215" s="270"/>
      <c r="AT215" s="270"/>
      <c r="AU215" s="270"/>
      <c r="AV215" s="270"/>
      <c r="AW215" s="270"/>
      <c r="AX215" s="270"/>
      <c r="AY215" s="270"/>
      <c r="AZ215" s="270"/>
      <c r="BA215" s="270"/>
      <c r="BB215" s="270"/>
      <c r="BC215" s="270"/>
      <c r="BD215" s="270"/>
      <c r="BE215" s="270"/>
      <c r="BF215" s="270"/>
      <c r="BG215" s="270"/>
      <c r="BH215" s="270"/>
      <c r="BI215" s="270"/>
      <c r="BJ215" s="270"/>
      <c r="BK215" s="270"/>
      <c r="BL215" s="270"/>
      <c r="BM215" s="270"/>
      <c r="BN215" s="270"/>
      <c r="BO215" s="270"/>
      <c r="BP215" s="270"/>
      <c r="BQ215" s="270"/>
    </row>
    <row r="216" spans="1:69" ht="26.25" hidden="1" outlineLevel="3" thickBot="1" x14ac:dyDescent="0.25">
      <c r="A216" s="270"/>
      <c r="B216" s="270"/>
      <c r="C216" s="270"/>
      <c r="D216" s="270"/>
      <c r="E216" s="270"/>
      <c r="F216" s="270"/>
      <c r="G216" s="270"/>
      <c r="H216" s="270"/>
      <c r="I216" s="270"/>
      <c r="J216" s="270"/>
      <c r="K216" s="270"/>
      <c r="L216" s="270"/>
      <c r="M216" s="270"/>
      <c r="N216" s="270"/>
      <c r="O216" s="270"/>
      <c r="P216" s="270"/>
      <c r="Q216" s="270"/>
      <c r="R216" s="270"/>
      <c r="S216" s="270"/>
      <c r="T216" s="270"/>
      <c r="U216" s="632"/>
      <c r="V216" s="636"/>
      <c r="W216" s="655"/>
      <c r="X216" s="656"/>
      <c r="Y216" s="657"/>
      <c r="Z216" s="484"/>
      <c r="AA216" s="485" t="s">
        <v>769</v>
      </c>
      <c r="AB216" s="484"/>
      <c r="AC216" s="930"/>
      <c r="AD216" s="637"/>
      <c r="AE216" s="270"/>
      <c r="AF216" s="270"/>
      <c r="AG216" s="270"/>
      <c r="AH216" s="270"/>
      <c r="AI216" s="270"/>
      <c r="AJ216" s="270"/>
      <c r="AK216" s="270"/>
      <c r="AL216" s="270"/>
      <c r="AM216" s="598"/>
      <c r="AN216" s="270"/>
      <c r="AO216" s="270"/>
      <c r="AP216" s="270"/>
      <c r="AQ216" s="270"/>
      <c r="AR216" s="270"/>
      <c r="AS216" s="270"/>
      <c r="AT216" s="270"/>
      <c r="AU216" s="270"/>
      <c r="AV216" s="270"/>
      <c r="AW216" s="270"/>
      <c r="AX216" s="270"/>
      <c r="AY216" s="270"/>
      <c r="AZ216" s="270"/>
      <c r="BA216" s="270"/>
      <c r="BB216" s="270"/>
      <c r="BC216" s="270"/>
      <c r="BD216" s="270"/>
      <c r="BE216" s="270"/>
      <c r="BF216" s="270"/>
      <c r="BG216" s="270"/>
      <c r="BH216" s="270"/>
      <c r="BI216" s="270"/>
      <c r="BJ216" s="270"/>
      <c r="BK216" s="270"/>
      <c r="BL216" s="270"/>
      <c r="BM216" s="270"/>
      <c r="BN216" s="270"/>
      <c r="BO216" s="270"/>
      <c r="BP216" s="270"/>
      <c r="BQ216" s="270"/>
    </row>
    <row r="217" spans="1:69" ht="26.25" hidden="1" outlineLevel="3" thickBot="1" x14ac:dyDescent="0.25">
      <c r="A217" s="270"/>
      <c r="B217" s="270"/>
      <c r="C217" s="270"/>
      <c r="D217" s="270"/>
      <c r="E217" s="270"/>
      <c r="F217" s="270"/>
      <c r="G217" s="270"/>
      <c r="H217" s="270"/>
      <c r="I217" s="270"/>
      <c r="J217" s="270"/>
      <c r="K217" s="270"/>
      <c r="L217" s="270"/>
      <c r="M217" s="270"/>
      <c r="N217" s="270"/>
      <c r="O217" s="270"/>
      <c r="P217" s="270"/>
      <c r="Q217" s="270"/>
      <c r="R217" s="270"/>
      <c r="S217" s="270"/>
      <c r="T217" s="270"/>
      <c r="U217" s="632"/>
      <c r="V217" s="638"/>
      <c r="W217" s="658"/>
      <c r="X217" s="659"/>
      <c r="Y217" s="627"/>
      <c r="Z217" s="492"/>
      <c r="AA217" s="493" t="s">
        <v>769</v>
      </c>
      <c r="AB217" s="492"/>
      <c r="AC217" s="931"/>
      <c r="AD217" s="639"/>
      <c r="AE217" s="270"/>
      <c r="AF217" s="270"/>
      <c r="AG217" s="270"/>
      <c r="AH217" s="270"/>
      <c r="AI217" s="270"/>
      <c r="AJ217" s="270"/>
      <c r="AK217" s="270"/>
      <c r="AL217" s="270"/>
      <c r="AM217" s="598"/>
      <c r="AN217" s="270"/>
      <c r="AO217" s="270"/>
      <c r="AP217" s="270"/>
      <c r="AQ217" s="270"/>
      <c r="AR217" s="270"/>
      <c r="AS217" s="270"/>
      <c r="AT217" s="270"/>
      <c r="AU217" s="270"/>
      <c r="AV217" s="270"/>
      <c r="AW217" s="270"/>
      <c r="AX217" s="270"/>
      <c r="AY217" s="270"/>
      <c r="AZ217" s="270"/>
      <c r="BA217" s="270"/>
      <c r="BB217" s="270"/>
      <c r="BC217" s="270"/>
      <c r="BD217" s="270"/>
      <c r="BE217" s="270"/>
      <c r="BF217" s="270"/>
      <c r="BG217" s="270"/>
      <c r="BH217" s="270"/>
      <c r="BI217" s="270"/>
      <c r="BJ217" s="270"/>
      <c r="BK217" s="270"/>
      <c r="BL217" s="270"/>
      <c r="BM217" s="270"/>
      <c r="BN217" s="270"/>
      <c r="BO217" s="270"/>
      <c r="BP217" s="270"/>
      <c r="BQ217" s="270"/>
    </row>
    <row r="218" spans="1:69" ht="26.25" hidden="1" outlineLevel="3" thickBot="1" x14ac:dyDescent="0.25">
      <c r="A218" s="270"/>
      <c r="B218" s="270"/>
      <c r="C218" s="270"/>
      <c r="D218" s="270"/>
      <c r="E218" s="270"/>
      <c r="F218" s="270"/>
      <c r="G218" s="270"/>
      <c r="H218" s="270"/>
      <c r="I218" s="270"/>
      <c r="J218" s="270"/>
      <c r="K218" s="270"/>
      <c r="L218" s="270"/>
      <c r="M218" s="270"/>
      <c r="N218" s="270"/>
      <c r="O218" s="270"/>
      <c r="P218" s="270"/>
      <c r="Q218" s="270"/>
      <c r="R218" s="270"/>
      <c r="S218" s="270"/>
      <c r="T218" s="270"/>
      <c r="U218" s="632"/>
      <c r="V218" s="638"/>
      <c r="W218" s="658"/>
      <c r="X218" s="659"/>
      <c r="Y218" s="627"/>
      <c r="Z218" s="492"/>
      <c r="AA218" s="493" t="s">
        <v>769</v>
      </c>
      <c r="AB218" s="492"/>
      <c r="AC218" s="931"/>
      <c r="AD218" s="640"/>
      <c r="AE218" s="270"/>
      <c r="AF218" s="270"/>
      <c r="AG218" s="270"/>
      <c r="AH218" s="270"/>
      <c r="AI218" s="270"/>
      <c r="AJ218" s="270"/>
      <c r="AK218" s="270"/>
      <c r="AL218" s="270"/>
      <c r="AM218" s="598"/>
      <c r="AN218" s="270"/>
      <c r="AO218" s="270"/>
      <c r="AP218" s="270"/>
      <c r="AQ218" s="270"/>
      <c r="AR218" s="270"/>
      <c r="AS218" s="270"/>
      <c r="AT218" s="270"/>
      <c r="AU218" s="270"/>
      <c r="AV218" s="270"/>
      <c r="AW218" s="270"/>
      <c r="AX218" s="270"/>
      <c r="AY218" s="270"/>
      <c r="AZ218" s="270"/>
      <c r="BA218" s="270"/>
      <c r="BB218" s="270"/>
      <c r="BC218" s="270"/>
      <c r="BD218" s="270"/>
      <c r="BE218" s="270"/>
      <c r="BF218" s="270"/>
      <c r="BG218" s="270"/>
      <c r="BH218" s="270"/>
      <c r="BI218" s="270"/>
      <c r="BJ218" s="270"/>
      <c r="BK218" s="270"/>
      <c r="BL218" s="270"/>
      <c r="BM218" s="270"/>
      <c r="BN218" s="270"/>
      <c r="BO218" s="270"/>
      <c r="BP218" s="270"/>
      <c r="BQ218" s="270"/>
    </row>
    <row r="219" spans="1:69" ht="26.25" hidden="1" outlineLevel="3" thickBot="1" x14ac:dyDescent="0.25">
      <c r="A219" s="270"/>
      <c r="B219" s="270"/>
      <c r="C219" s="270"/>
      <c r="D219" s="270"/>
      <c r="E219" s="270"/>
      <c r="F219" s="270"/>
      <c r="G219" s="270"/>
      <c r="H219" s="270"/>
      <c r="I219" s="270"/>
      <c r="J219" s="270"/>
      <c r="K219" s="270"/>
      <c r="L219" s="270"/>
      <c r="M219" s="270"/>
      <c r="N219" s="270"/>
      <c r="O219" s="270"/>
      <c r="P219" s="270"/>
      <c r="Q219" s="270"/>
      <c r="R219" s="270"/>
      <c r="S219" s="270"/>
      <c r="T219" s="270"/>
      <c r="U219" s="632"/>
      <c r="V219" s="641"/>
      <c r="W219" s="660"/>
      <c r="X219" s="661"/>
      <c r="Y219" s="631"/>
      <c r="Z219" s="496"/>
      <c r="AA219" s="497" t="s">
        <v>769</v>
      </c>
      <c r="AB219" s="496"/>
      <c r="AC219" s="932"/>
      <c r="AD219" s="642"/>
      <c r="AE219" s="270"/>
      <c r="AF219" s="270"/>
      <c r="AG219" s="270"/>
      <c r="AH219" s="270"/>
      <c r="AI219" s="270"/>
      <c r="AJ219" s="270"/>
      <c r="AK219" s="270"/>
      <c r="AL219" s="270"/>
      <c r="AM219" s="598"/>
      <c r="AN219" s="270"/>
      <c r="AO219" s="270"/>
      <c r="AP219" s="270"/>
      <c r="AQ219" s="270"/>
      <c r="AR219" s="270"/>
      <c r="AS219" s="270"/>
      <c r="AT219" s="270"/>
      <c r="AU219" s="270"/>
      <c r="AV219" s="270"/>
      <c r="AW219" s="270"/>
      <c r="AX219" s="270"/>
      <c r="AY219" s="270"/>
      <c r="AZ219" s="270"/>
      <c r="BA219" s="270"/>
      <c r="BB219" s="270"/>
      <c r="BC219" s="270"/>
      <c r="BD219" s="270"/>
      <c r="BE219" s="270"/>
      <c r="BF219" s="270"/>
      <c r="BG219" s="270"/>
      <c r="BH219" s="270"/>
      <c r="BI219" s="270"/>
      <c r="BJ219" s="270"/>
      <c r="BK219" s="270"/>
      <c r="BL219" s="270"/>
      <c r="BM219" s="270"/>
      <c r="BN219" s="270"/>
      <c r="BO219" s="270"/>
      <c r="BP219" s="270"/>
      <c r="BQ219" s="270"/>
    </row>
    <row r="220" spans="1:69" ht="26.25" hidden="1" outlineLevel="3" thickBot="1" x14ac:dyDescent="0.25">
      <c r="A220" s="270"/>
      <c r="B220" s="270"/>
      <c r="C220" s="270"/>
      <c r="D220" s="270"/>
      <c r="E220" s="270"/>
      <c r="F220" s="270"/>
      <c r="G220" s="270"/>
      <c r="H220" s="270"/>
      <c r="I220" s="270"/>
      <c r="J220" s="270"/>
      <c r="K220" s="270"/>
      <c r="L220" s="270"/>
      <c r="M220" s="270"/>
      <c r="N220" s="270"/>
      <c r="O220" s="270"/>
      <c r="P220" s="270"/>
      <c r="Q220" s="270"/>
      <c r="R220" s="270"/>
      <c r="S220" s="270"/>
      <c r="T220" s="270"/>
      <c r="U220" s="632"/>
      <c r="V220" s="643"/>
      <c r="W220" s="644" t="str">
        <f>N_Différentiel</f>
        <v>Différentiel</v>
      </c>
      <c r="X220" s="662"/>
      <c r="Y220" s="663"/>
      <c r="Z220" s="488"/>
      <c r="AA220" s="489" t="s">
        <v>769</v>
      </c>
      <c r="AB220" s="488"/>
      <c r="AC220" s="933"/>
      <c r="AD220" s="270"/>
      <c r="AE220" s="270"/>
      <c r="AF220" s="270"/>
      <c r="AG220" s="270"/>
      <c r="AH220" s="270"/>
      <c r="AI220" s="270"/>
      <c r="AJ220" s="270"/>
      <c r="AK220" s="270"/>
      <c r="AL220" s="270"/>
      <c r="AM220" s="598"/>
      <c r="AN220" s="270"/>
      <c r="AO220" s="270"/>
      <c r="AP220" s="270"/>
      <c r="AQ220" s="270"/>
      <c r="AR220" s="270"/>
      <c r="AS220" s="270"/>
      <c r="AT220" s="270"/>
      <c r="AU220" s="270"/>
      <c r="AV220" s="270"/>
      <c r="AW220" s="270"/>
      <c r="AX220" s="270"/>
      <c r="AY220" s="270"/>
      <c r="AZ220" s="270"/>
      <c r="BA220" s="270"/>
      <c r="BB220" s="270"/>
      <c r="BC220" s="270"/>
      <c r="BD220" s="270"/>
      <c r="BE220" s="270"/>
      <c r="BF220" s="270"/>
      <c r="BG220" s="270"/>
      <c r="BH220" s="270"/>
      <c r="BI220" s="270"/>
      <c r="BJ220" s="270"/>
      <c r="BK220" s="270"/>
      <c r="BL220" s="270"/>
      <c r="BM220" s="270"/>
      <c r="BN220" s="270"/>
      <c r="BO220" s="270"/>
      <c r="BP220" s="270"/>
      <c r="BQ220" s="270"/>
    </row>
    <row r="221" spans="1:69" ht="26.25" hidden="1" outlineLevel="3" thickBot="1" x14ac:dyDescent="0.25">
      <c r="A221" s="270"/>
      <c r="B221" s="270"/>
      <c r="C221" s="270"/>
      <c r="D221" s="270"/>
      <c r="E221" s="270"/>
      <c r="F221" s="270"/>
      <c r="G221" s="270"/>
      <c r="H221" s="270"/>
      <c r="I221" s="270"/>
      <c r="J221" s="270"/>
      <c r="K221" s="270"/>
      <c r="L221" s="270"/>
      <c r="M221" s="270"/>
      <c r="N221" s="270"/>
      <c r="O221" s="270"/>
      <c r="P221" s="270"/>
      <c r="Q221" s="270"/>
      <c r="R221" s="270"/>
      <c r="S221" s="270"/>
      <c r="T221" s="270"/>
      <c r="U221" s="632"/>
      <c r="V221" s="643"/>
      <c r="W221" s="664"/>
      <c r="X221" s="665" t="str">
        <f>N_Substitute</f>
        <v>Remplaçant</v>
      </c>
      <c r="Y221" s="657"/>
      <c r="Z221" s="480"/>
      <c r="AA221" s="666"/>
      <c r="AB221" s="480"/>
      <c r="AC221" s="934"/>
      <c r="AD221" s="270"/>
      <c r="AE221" s="270"/>
      <c r="AF221" s="270"/>
      <c r="AG221" s="270"/>
      <c r="AH221" s="270"/>
      <c r="AI221" s="270"/>
      <c r="AJ221" s="270"/>
      <c r="AK221" s="270"/>
      <c r="AL221" s="270"/>
      <c r="AM221" s="598"/>
      <c r="AN221" s="270"/>
      <c r="AO221" s="270"/>
      <c r="AP221" s="270"/>
      <c r="AQ221" s="270"/>
      <c r="AR221" s="270"/>
      <c r="AS221" s="270"/>
      <c r="AT221" s="270"/>
      <c r="AU221" s="270"/>
      <c r="AV221" s="270"/>
      <c r="AW221" s="270"/>
      <c r="AX221" s="270"/>
      <c r="AY221" s="270"/>
      <c r="AZ221" s="270"/>
      <c r="BA221" s="270"/>
      <c r="BB221" s="270"/>
      <c r="BC221" s="270"/>
      <c r="BD221" s="270"/>
      <c r="BE221" s="270"/>
      <c r="BF221" s="270"/>
      <c r="BG221" s="270"/>
      <c r="BH221" s="270"/>
      <c r="BI221" s="270"/>
      <c r="BJ221" s="270"/>
      <c r="BK221" s="270"/>
      <c r="BL221" s="270"/>
      <c r="BM221" s="270"/>
      <c r="BN221" s="270"/>
      <c r="BO221" s="270"/>
      <c r="BP221" s="270"/>
      <c r="BQ221" s="270"/>
    </row>
    <row r="222" spans="1:69" ht="26.25" hidden="1" outlineLevel="3" thickBot="1" x14ac:dyDescent="0.25">
      <c r="A222" s="270"/>
      <c r="B222" s="270"/>
      <c r="C222" s="270"/>
      <c r="D222" s="270"/>
      <c r="E222" s="270"/>
      <c r="F222" s="270"/>
      <c r="G222" s="270"/>
      <c r="H222" s="270"/>
      <c r="I222" s="270"/>
      <c r="J222" s="270"/>
      <c r="K222" s="270"/>
      <c r="L222" s="270"/>
      <c r="M222" s="270"/>
      <c r="N222" s="270"/>
      <c r="O222" s="270"/>
      <c r="P222" s="270"/>
      <c r="Q222" s="270"/>
      <c r="R222" s="270"/>
      <c r="S222" s="270"/>
      <c r="T222" s="270"/>
      <c r="U222" s="632"/>
      <c r="V222" s="643"/>
      <c r="W222" s="664"/>
      <c r="X222" s="667" t="str">
        <f>N_Substitute</f>
        <v>Remplaçant</v>
      </c>
      <c r="Y222" s="663"/>
      <c r="Z222" s="488"/>
      <c r="AA222" s="668"/>
      <c r="AB222" s="488"/>
      <c r="AC222" s="933"/>
      <c r="AD222" s="270"/>
      <c r="AE222" s="270"/>
      <c r="AF222" s="270"/>
      <c r="AG222" s="270"/>
      <c r="AH222" s="270"/>
      <c r="AI222" s="270"/>
      <c r="AJ222" s="270"/>
      <c r="AK222" s="270"/>
      <c r="AL222" s="270"/>
      <c r="AM222" s="598"/>
      <c r="AN222" s="270"/>
      <c r="AO222" s="270"/>
      <c r="AP222" s="270"/>
      <c r="AQ222" s="270"/>
      <c r="AR222" s="270"/>
      <c r="AS222" s="270"/>
      <c r="AT222" s="270"/>
      <c r="AU222" s="270"/>
      <c r="AV222" s="270"/>
      <c r="AW222" s="270"/>
      <c r="AX222" s="270"/>
      <c r="AY222" s="270"/>
      <c r="AZ222" s="270"/>
      <c r="BA222" s="270"/>
      <c r="BB222" s="270"/>
      <c r="BC222" s="270"/>
      <c r="BD222" s="270"/>
      <c r="BE222" s="270"/>
      <c r="BF222" s="270"/>
      <c r="BG222" s="270"/>
      <c r="BH222" s="270"/>
      <c r="BI222" s="270"/>
      <c r="BJ222" s="270"/>
      <c r="BK222" s="270"/>
      <c r="BL222" s="270"/>
      <c r="BM222" s="270"/>
      <c r="BN222" s="270"/>
      <c r="BO222" s="270"/>
      <c r="BP222" s="270"/>
      <c r="BQ222" s="270"/>
    </row>
    <row r="223" spans="1:69" ht="13.5" hidden="1" outlineLevel="1" thickBot="1" x14ac:dyDescent="0.25">
      <c r="A223" s="270"/>
      <c r="B223" s="270"/>
      <c r="C223" s="270"/>
      <c r="D223" s="270"/>
      <c r="E223" s="270"/>
      <c r="F223" s="270"/>
      <c r="G223" s="270"/>
      <c r="H223" s="270"/>
      <c r="I223" s="270"/>
      <c r="J223" s="270"/>
      <c r="K223" s="270"/>
      <c r="L223" s="270"/>
      <c r="M223" s="270"/>
      <c r="N223" s="270"/>
      <c r="O223" s="270"/>
      <c r="P223" s="270"/>
      <c r="Q223" s="270"/>
      <c r="R223" s="270"/>
      <c r="S223" s="270"/>
      <c r="T223" s="270"/>
      <c r="U223" s="632"/>
      <c r="V223" s="270"/>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270"/>
      <c r="AS223" s="270"/>
      <c r="AT223" s="270"/>
      <c r="AU223" s="270"/>
      <c r="AV223" s="270"/>
      <c r="AW223" s="270"/>
      <c r="AX223" s="270"/>
      <c r="AY223" s="270"/>
      <c r="AZ223" s="270"/>
      <c r="BA223" s="270"/>
      <c r="BB223" s="270"/>
      <c r="BC223" s="270"/>
      <c r="BD223" s="270"/>
      <c r="BE223" s="270"/>
      <c r="BF223" s="270"/>
      <c r="BG223" s="270"/>
      <c r="BH223" s="270"/>
      <c r="BI223" s="270"/>
      <c r="BJ223" s="270"/>
      <c r="BK223" s="270"/>
      <c r="BL223" s="270"/>
      <c r="BM223" s="270"/>
      <c r="BN223" s="270"/>
      <c r="BO223" s="270"/>
      <c r="BP223" s="270"/>
      <c r="BQ223" s="270"/>
    </row>
    <row r="224" spans="1:69" ht="13.5" collapsed="1" thickBot="1" x14ac:dyDescent="0.25">
      <c r="A224" s="270"/>
      <c r="B224" s="2394" t="str">
        <f>N_FINALE</f>
        <v>FINALE</v>
      </c>
      <c r="C224" s="2395"/>
      <c r="D224" s="2395"/>
      <c r="E224" s="2395"/>
      <c r="F224" s="2395"/>
      <c r="G224" s="2395"/>
      <c r="H224" s="2395"/>
      <c r="I224" s="2395"/>
      <c r="J224" s="2395"/>
      <c r="K224" s="2395"/>
      <c r="L224" s="2395"/>
      <c r="M224" s="2395"/>
      <c r="N224" s="2395"/>
      <c r="O224" s="2395"/>
      <c r="P224" s="2395"/>
      <c r="Q224" s="2395"/>
      <c r="R224" s="2395"/>
      <c r="S224" s="2395"/>
      <c r="T224" s="2395"/>
      <c r="U224" s="2395"/>
      <c r="V224" s="2395"/>
      <c r="W224" s="2395"/>
      <c r="X224" s="2395"/>
      <c r="Y224" s="2395"/>
      <c r="Z224" s="2395"/>
      <c r="AA224" s="2395"/>
      <c r="AB224" s="2395"/>
      <c r="AC224" s="2395"/>
      <c r="AD224" s="2395"/>
      <c r="AE224" s="2395"/>
      <c r="AF224" s="2395"/>
      <c r="AG224" s="2395"/>
      <c r="AH224" s="2395"/>
      <c r="AI224" s="2395"/>
      <c r="AJ224" s="2395"/>
      <c r="AK224" s="2395"/>
      <c r="AL224" s="2395"/>
      <c r="AM224" s="2396"/>
      <c r="AN224" s="270"/>
      <c r="AO224" s="270"/>
      <c r="AP224" s="270"/>
      <c r="AQ224" s="270"/>
      <c r="AR224" s="270"/>
      <c r="AS224" s="270"/>
      <c r="AT224" s="270"/>
      <c r="AU224" s="270"/>
      <c r="AV224" s="270"/>
      <c r="AW224" s="270"/>
      <c r="AX224" s="270"/>
      <c r="AY224" s="270"/>
      <c r="AZ224" s="270"/>
      <c r="BA224" s="270"/>
      <c r="BB224" s="270"/>
      <c r="BC224" s="270"/>
      <c r="BD224" s="270"/>
      <c r="BE224" s="270"/>
      <c r="BF224" s="270"/>
      <c r="BG224" s="270"/>
      <c r="BH224" s="270"/>
      <c r="BI224" s="270"/>
      <c r="BJ224" s="270"/>
      <c r="BK224" s="270"/>
      <c r="BL224" s="270"/>
      <c r="BM224" s="270"/>
      <c r="BN224" s="270"/>
      <c r="BO224" s="270"/>
      <c r="BP224" s="270"/>
      <c r="BQ224" s="270"/>
    </row>
    <row r="225" spans="1:69" hidden="1" outlineLevel="1" x14ac:dyDescent="0.2">
      <c r="A225" s="270"/>
      <c r="B225" s="270"/>
      <c r="C225" s="270"/>
      <c r="D225" s="270"/>
      <c r="E225" s="270"/>
      <c r="F225" s="270"/>
      <c r="G225" s="270"/>
      <c r="H225" s="270"/>
      <c r="I225" s="270"/>
      <c r="J225" s="270"/>
      <c r="K225" s="270"/>
      <c r="L225" s="270"/>
      <c r="M225" s="270"/>
      <c r="N225" s="270"/>
      <c r="O225" s="270"/>
      <c r="P225" s="270"/>
      <c r="Q225" s="270"/>
      <c r="R225" s="270"/>
      <c r="S225" s="270"/>
      <c r="T225" s="270"/>
      <c r="U225" s="632"/>
      <c r="V225" s="270"/>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270"/>
      <c r="AS225" s="270"/>
      <c r="AT225" s="270"/>
      <c r="AU225" s="270"/>
      <c r="AV225" s="270"/>
      <c r="AW225" s="270"/>
      <c r="AX225" s="270"/>
      <c r="AY225" s="270"/>
      <c r="AZ225" s="270"/>
      <c r="BA225" s="270"/>
      <c r="BB225" s="270"/>
      <c r="BC225" s="270"/>
      <c r="BD225" s="270"/>
      <c r="BE225" s="270"/>
      <c r="BF225" s="270"/>
      <c r="BG225" s="270"/>
      <c r="BH225" s="270"/>
      <c r="BI225" s="270"/>
      <c r="BJ225" s="270"/>
      <c r="BK225" s="270"/>
      <c r="BL225" s="270"/>
      <c r="BM225" s="270"/>
      <c r="BN225" s="270"/>
      <c r="BO225" s="270"/>
      <c r="BP225" s="270"/>
      <c r="BQ225" s="270"/>
    </row>
    <row r="226" spans="1:69" ht="13.5" hidden="1" outlineLevel="1" thickBot="1" x14ac:dyDescent="0.25">
      <c r="A226" s="270"/>
      <c r="B226" s="270"/>
      <c r="C226" s="270"/>
      <c r="D226" s="270"/>
      <c r="E226" s="270"/>
      <c r="F226" s="270"/>
      <c r="G226" s="270"/>
      <c r="H226" s="270"/>
      <c r="I226" s="270"/>
      <c r="J226" s="270"/>
      <c r="K226" s="270"/>
      <c r="L226" s="270"/>
      <c r="M226" s="270"/>
      <c r="N226" s="270"/>
      <c r="O226" s="270"/>
      <c r="P226" s="270"/>
      <c r="Q226" s="270"/>
      <c r="R226" s="270"/>
      <c r="S226" s="270"/>
      <c r="T226" s="270"/>
      <c r="U226" s="633"/>
      <c r="V226" s="630" t="str">
        <f>N_Heure</f>
        <v>Heure</v>
      </c>
      <c r="W226" s="630" t="str">
        <f>N_Table</f>
        <v>Table</v>
      </c>
      <c r="X226" s="630" t="str">
        <f>N_Arbitre</f>
        <v>Arbitre</v>
      </c>
      <c r="Y226" s="2403" t="str">
        <f>N_Scores</f>
        <v>Scores</v>
      </c>
      <c r="Z226" s="2404"/>
      <c r="AA226" s="2404"/>
      <c r="AB226" s="2404"/>
      <c r="AC226" s="2405"/>
      <c r="AD226" s="634" t="str">
        <f>N_MS</f>
        <v>MS</v>
      </c>
      <c r="AE226" s="270"/>
      <c r="AF226" s="270"/>
      <c r="AG226" s="270"/>
      <c r="AH226" s="270"/>
      <c r="AI226" s="270"/>
      <c r="AJ226" s="270"/>
      <c r="AK226" s="270"/>
      <c r="AL226" s="270" t="str">
        <f>IF(COUNTA(Z230:Z233)&gt;3,"OK","")</f>
        <v/>
      </c>
      <c r="AM226" s="270"/>
      <c r="AN226" s="270"/>
      <c r="AO226" s="270"/>
      <c r="AP226" s="270"/>
      <c r="AQ226" s="270"/>
      <c r="AR226" s="270"/>
      <c r="AS226" s="270"/>
      <c r="AT226" s="270"/>
      <c r="AU226" s="270"/>
      <c r="AV226" s="270"/>
      <c r="AW226" s="270"/>
      <c r="AX226" s="270"/>
      <c r="AY226" s="270"/>
      <c r="AZ226" s="270"/>
      <c r="BA226" s="270"/>
      <c r="BB226" s="270"/>
      <c r="BC226" s="270"/>
      <c r="BD226" s="270"/>
      <c r="BE226" s="270"/>
      <c r="BF226" s="270"/>
      <c r="BG226" s="270"/>
      <c r="BH226" s="270"/>
      <c r="BI226" s="270"/>
      <c r="BJ226" s="270"/>
      <c r="BK226" s="270"/>
      <c r="BL226" s="270"/>
      <c r="BM226" s="270"/>
      <c r="BN226" s="270"/>
      <c r="BO226" s="270"/>
      <c r="BP226" s="270"/>
      <c r="BQ226" s="270"/>
    </row>
    <row r="227" spans="1:69" ht="26.25" hidden="1" outlineLevel="1" thickBot="1" x14ac:dyDescent="0.25">
      <c r="A227" s="270"/>
      <c r="B227" s="270"/>
      <c r="C227" s="270"/>
      <c r="D227" s="270"/>
      <c r="E227" s="270"/>
      <c r="F227" s="270"/>
      <c r="G227" s="270"/>
      <c r="H227" s="270"/>
      <c r="I227" s="270"/>
      <c r="J227" s="270"/>
      <c r="K227" s="270"/>
      <c r="L227" s="270"/>
      <c r="M227" s="270"/>
      <c r="N227" s="270"/>
      <c r="O227" s="270"/>
      <c r="P227" s="270"/>
      <c r="Q227" s="270"/>
      <c r="R227" s="270"/>
      <c r="S227" s="270"/>
      <c r="T227" s="270"/>
      <c r="U227" s="635" t="s">
        <v>1725</v>
      </c>
      <c r="V227" s="1536"/>
      <c r="W227" s="1537"/>
      <c r="X227" s="1537"/>
      <c r="Y227" s="675"/>
      <c r="Z227" s="649" t="str">
        <f>IF(OR(ISNUMBER(Z230),ISNUMBER(Z231),ISNUMBER(Z232),ISNUMBER(Z233)),Lire_Gain_Matches(Z230:Z233, AB230:AB233),"")</f>
        <v/>
      </c>
      <c r="AA227" s="650" t="s">
        <v>769</v>
      </c>
      <c r="AB227" s="651" t="str">
        <f>IF(OR(ISNUMBER(Z230),ISNUMBER(Z231),ISNUMBER(Z232),ISNUMBER(Z233)),Lire_Gain_Matches(AB230:AB233, Z230:Z233),"")</f>
        <v/>
      </c>
      <c r="AC227" s="676"/>
      <c r="AD227" s="231" t="str">
        <f>IF(ISNA(VLOOKUP("X",AD230:AD233,1,FALSE)),"","X")</f>
        <v/>
      </c>
      <c r="AE227" s="270" t="str">
        <f>IF(Z227="","",IF(Z227&gt;AB227,Y227,IF(Z227=AB227,IF(AL227=Y227,AC227,IF(AL227=AC227,Y227,"")),AC227)))</f>
        <v/>
      </c>
      <c r="AF227" s="270" t="str">
        <f>IF(Z227="","",IF(Z227=AB227,IF(AL227=Y227,"",IF(AL227=AC227,"",Y227)),""))</f>
        <v/>
      </c>
      <c r="AG227" s="270" t="str">
        <f>IF(Z227="","",IF(Z227=AB227,IF(AL227=Y227,"",IF(AL227=AC227,"",AC227)),""))</f>
        <v/>
      </c>
      <c r="AH227" s="270" t="str">
        <f>IF(Z227="","",IF(Z227&lt;AB227,Y227,IF(Z227=AB227,IF(AL227=Y227,Y227,IF(AL227=AC227,AC227,"")),AC227)))</f>
        <v/>
      </c>
      <c r="AI227" s="270"/>
      <c r="AJ227" s="270"/>
      <c r="AK227" s="270"/>
      <c r="AL227" s="270" t="str">
        <f>IF(COUNTIF(Y230:Y233,WithdrawLabel)&gt;COUNTIF(AC230:AC233,WithdrawLabel),Y227,IF(COUNTIF(AC230:AC233,WithdrawLabel)&gt;COUNTIF(Y230:Y233,WithdrawLabel),AC227,""))</f>
        <v/>
      </c>
      <c r="AM227" s="598"/>
      <c r="AN227" s="270"/>
      <c r="AO227" s="270"/>
      <c r="AP227" s="270"/>
      <c r="AQ227" s="270"/>
      <c r="AR227" s="270"/>
      <c r="AS227" s="270"/>
      <c r="AT227" s="270"/>
      <c r="AU227" s="270"/>
      <c r="AV227" s="270"/>
      <c r="AW227" s="270"/>
      <c r="AX227" s="270"/>
      <c r="AY227" s="270"/>
      <c r="AZ227" s="270"/>
      <c r="BA227" s="270"/>
      <c r="BB227" s="270"/>
      <c r="BC227" s="270"/>
      <c r="BD227" s="270"/>
      <c r="BE227" s="270"/>
      <c r="BF227" s="270"/>
      <c r="BG227" s="270"/>
      <c r="BH227" s="270"/>
      <c r="BI227" s="270"/>
      <c r="BJ227" s="270"/>
      <c r="BK227" s="270"/>
      <c r="BL227" s="270"/>
      <c r="BM227" s="270"/>
      <c r="BN227" s="270"/>
      <c r="BO227" s="270"/>
      <c r="BP227" s="270"/>
      <c r="BQ227" s="270"/>
    </row>
    <row r="228" spans="1:69" ht="18.75" hidden="1" outlineLevel="1" thickBot="1" x14ac:dyDescent="0.25">
      <c r="A228" s="270"/>
      <c r="B228" s="270"/>
      <c r="C228" s="270"/>
      <c r="D228" s="270"/>
      <c r="E228" s="270"/>
      <c r="F228" s="270"/>
      <c r="G228" s="270"/>
      <c r="H228" s="270"/>
      <c r="I228" s="270"/>
      <c r="J228" s="270"/>
      <c r="K228" s="270"/>
      <c r="L228" s="270"/>
      <c r="M228" s="270"/>
      <c r="N228" s="270"/>
      <c r="O228" s="270"/>
      <c r="P228" s="270"/>
      <c r="Q228" s="270"/>
      <c r="R228" s="270"/>
      <c r="S228" s="270"/>
      <c r="T228" s="270"/>
      <c r="U228" s="632"/>
      <c r="V228" s="629"/>
      <c r="W228" s="647"/>
      <c r="X228" s="647"/>
      <c r="Y228" s="652" t="str">
        <f>N_Total_buts</f>
        <v>Total des buts</v>
      </c>
      <c r="Z228" s="649" t="str">
        <f>IF(OR(ISNUMBER(Z230),ISNUMBER(Z231),ISNUMBER(Z232),ISNUMBER(Z233)),SUM(Z230:Z233),"")</f>
        <v/>
      </c>
      <c r="AA228" s="650" t="s">
        <v>769</v>
      </c>
      <c r="AB228" s="651" t="str">
        <f>IF(OR(ISNUMBER(Z230),ISNUMBER(Z231),ISNUMBER(Z232),ISNUMBER(Z233)),SUM(AB230:AB233),"")</f>
        <v/>
      </c>
      <c r="AC228" s="653" t="str">
        <f>IF(Z234="","",CONCATENATE("(Diff : ",Z234," - ",AB234,")"))</f>
        <v/>
      </c>
      <c r="AD228" s="270"/>
      <c r="AE228" s="270"/>
      <c r="AF228" s="270"/>
      <c r="AG228" s="270"/>
      <c r="AH228" s="270"/>
      <c r="AI228" s="270"/>
      <c r="AJ228" s="270"/>
      <c r="AK228" s="270"/>
      <c r="AL228" s="270"/>
      <c r="AM228" s="610"/>
      <c r="AN228" s="270"/>
      <c r="AO228" s="270"/>
      <c r="AP228" s="270"/>
      <c r="AQ228" s="270"/>
      <c r="AR228" s="270"/>
      <c r="AS228" s="270"/>
      <c r="AT228" s="270"/>
      <c r="AU228" s="270"/>
      <c r="AV228" s="270"/>
      <c r="AW228" s="270"/>
      <c r="AX228" s="270"/>
      <c r="AY228" s="270"/>
      <c r="AZ228" s="270"/>
      <c r="BA228" s="270"/>
      <c r="BB228" s="270"/>
      <c r="BC228" s="270"/>
      <c r="BD228" s="270"/>
      <c r="BE228" s="270"/>
      <c r="BF228" s="270"/>
      <c r="BG228" s="270"/>
      <c r="BH228" s="270"/>
      <c r="BI228" s="270"/>
      <c r="BJ228" s="270"/>
      <c r="BK228" s="270"/>
      <c r="BL228" s="270"/>
      <c r="BM228" s="270"/>
      <c r="BN228" s="270"/>
      <c r="BO228" s="270"/>
      <c r="BP228" s="270"/>
      <c r="BQ228" s="270"/>
    </row>
    <row r="229" spans="1:69" ht="26.25" hidden="1" outlineLevel="1" thickBot="1" x14ac:dyDescent="0.25">
      <c r="A229" s="270"/>
      <c r="B229" s="270"/>
      <c r="C229" s="270"/>
      <c r="D229" s="270"/>
      <c r="E229" s="270"/>
      <c r="F229" s="270"/>
      <c r="G229" s="270"/>
      <c r="H229" s="270"/>
      <c r="I229" s="270"/>
      <c r="J229" s="1334" t="str">
        <f>IF(Z229="","",IF(Z229=Y227,AC227,Y227))</f>
        <v/>
      </c>
      <c r="K229" s="270"/>
      <c r="L229" s="270"/>
      <c r="M229" s="270"/>
      <c r="N229" s="270"/>
      <c r="O229" s="270"/>
      <c r="P229" s="270"/>
      <c r="Q229" s="270"/>
      <c r="R229" s="270"/>
      <c r="S229" s="270"/>
      <c r="T229" s="270"/>
      <c r="U229" s="632"/>
      <c r="V229" s="629"/>
      <c r="W229" s="647"/>
      <c r="X229" s="647"/>
      <c r="Y229" s="654" t="str">
        <f>N_VAINQUEUR</f>
        <v>VAINQUEUR</v>
      </c>
      <c r="Z229" s="2400" t="str">
        <f>IF(AL226&lt;&gt;"OK",IF(HidePlayerFormulas,"","("&amp;Y227&amp;"-"&amp;AC227&amp;")"),IF(AE227="",IF(Z228&gt;AB228,Y227,IF(Z228&lt;AB228,AC227,mess_erreur_marque)),AE227))</f>
        <v/>
      </c>
      <c r="AA229" s="2401"/>
      <c r="AB229" s="2401"/>
      <c r="AC229" s="2402"/>
      <c r="AD229" s="270"/>
      <c r="AE229" s="270"/>
      <c r="AF229" s="270"/>
      <c r="AG229" s="270"/>
      <c r="AH229" s="270"/>
      <c r="AI229" s="270"/>
      <c r="AJ229" s="270"/>
      <c r="AK229" s="270"/>
      <c r="AL229" s="270"/>
      <c r="AM229" s="598"/>
      <c r="AN229" s="270"/>
      <c r="AO229" s="270"/>
      <c r="AP229" s="270"/>
      <c r="AQ229" s="270"/>
      <c r="AR229" s="270"/>
      <c r="AS229" s="270"/>
      <c r="AT229" s="270"/>
      <c r="AU229" s="270"/>
      <c r="AV229" s="270"/>
      <c r="AW229" s="270"/>
      <c r="AX229" s="270"/>
      <c r="AY229" s="270"/>
      <c r="AZ229" s="270"/>
      <c r="BA229" s="270"/>
      <c r="BB229" s="270"/>
      <c r="BC229" s="270"/>
      <c r="BD229" s="270"/>
      <c r="BE229" s="270"/>
      <c r="BF229" s="270"/>
      <c r="BG229" s="270"/>
      <c r="BH229" s="270"/>
      <c r="BI229" s="270"/>
      <c r="BJ229" s="270"/>
      <c r="BK229" s="270"/>
      <c r="BL229" s="270"/>
      <c r="BM229" s="270"/>
      <c r="BN229" s="270"/>
      <c r="BO229" s="270"/>
      <c r="BP229" s="270"/>
      <c r="BQ229" s="270"/>
    </row>
    <row r="230" spans="1:69" ht="25.5" hidden="1" outlineLevel="3" x14ac:dyDescent="0.2">
      <c r="A230" s="270"/>
      <c r="B230" s="270"/>
      <c r="C230" s="270"/>
      <c r="D230" s="270"/>
      <c r="E230" s="270"/>
      <c r="F230" s="270"/>
      <c r="G230" s="270"/>
      <c r="H230" s="270"/>
      <c r="I230" s="270"/>
      <c r="J230" s="270"/>
      <c r="K230" s="270"/>
      <c r="L230" s="270"/>
      <c r="M230" s="270"/>
      <c r="N230" s="270"/>
      <c r="O230" s="270"/>
      <c r="P230" s="270"/>
      <c r="Q230" s="270"/>
      <c r="R230" s="270"/>
      <c r="S230" s="270"/>
      <c r="T230" s="270"/>
      <c r="U230" s="632"/>
      <c r="V230" s="636"/>
      <c r="W230" s="655"/>
      <c r="X230" s="656"/>
      <c r="Y230" s="657"/>
      <c r="Z230" s="484"/>
      <c r="AA230" s="485" t="s">
        <v>769</v>
      </c>
      <c r="AB230" s="484"/>
      <c r="AC230" s="930"/>
      <c r="AD230" s="637"/>
      <c r="AE230" s="270"/>
      <c r="AF230" s="270"/>
      <c r="AG230" s="270"/>
      <c r="AH230" s="270"/>
      <c r="AI230" s="270"/>
      <c r="AJ230" s="270"/>
      <c r="AK230" s="270"/>
      <c r="AL230" s="270"/>
      <c r="AM230" s="598"/>
      <c r="AN230" s="270"/>
      <c r="AO230" s="270"/>
      <c r="AP230" s="270"/>
      <c r="AQ230" s="270"/>
      <c r="AR230" s="270"/>
      <c r="AS230" s="270"/>
      <c r="AT230" s="270"/>
      <c r="AU230" s="270"/>
      <c r="AV230" s="270"/>
      <c r="AW230" s="270"/>
      <c r="AX230" s="270"/>
      <c r="AY230" s="270"/>
      <c r="AZ230" s="270"/>
      <c r="BA230" s="270"/>
      <c r="BB230" s="270"/>
      <c r="BC230" s="270"/>
      <c r="BD230" s="270"/>
      <c r="BE230" s="270"/>
      <c r="BF230" s="270"/>
      <c r="BG230" s="270"/>
      <c r="BH230" s="270"/>
      <c r="BI230" s="270"/>
      <c r="BJ230" s="270"/>
      <c r="BK230" s="270"/>
      <c r="BL230" s="270"/>
      <c r="BM230" s="270"/>
      <c r="BN230" s="270"/>
      <c r="BO230" s="270"/>
      <c r="BP230" s="270"/>
      <c r="BQ230" s="270"/>
    </row>
    <row r="231" spans="1:69" ht="25.5" hidden="1" outlineLevel="3" x14ac:dyDescent="0.2">
      <c r="A231" s="270"/>
      <c r="B231" s="270"/>
      <c r="C231" s="270"/>
      <c r="D231" s="270"/>
      <c r="E231" s="270"/>
      <c r="F231" s="270"/>
      <c r="G231" s="270"/>
      <c r="H231" s="270"/>
      <c r="I231" s="270"/>
      <c r="J231" s="270"/>
      <c r="K231" s="270"/>
      <c r="L231" s="270"/>
      <c r="M231" s="270"/>
      <c r="N231" s="270"/>
      <c r="O231" s="270"/>
      <c r="P231" s="270"/>
      <c r="Q231" s="270"/>
      <c r="R231" s="270"/>
      <c r="S231" s="270"/>
      <c r="T231" s="270"/>
      <c r="U231" s="632"/>
      <c r="V231" s="638"/>
      <c r="W231" s="658"/>
      <c r="X231" s="659"/>
      <c r="Y231" s="627"/>
      <c r="Z231" s="492"/>
      <c r="AA231" s="493" t="s">
        <v>769</v>
      </c>
      <c r="AB231" s="492"/>
      <c r="AC231" s="931"/>
      <c r="AD231" s="639"/>
      <c r="AE231" s="270"/>
      <c r="AF231" s="270"/>
      <c r="AG231" s="270"/>
      <c r="AH231" s="270"/>
      <c r="AI231" s="270"/>
      <c r="AJ231" s="270"/>
      <c r="AK231" s="270"/>
      <c r="AL231" s="270"/>
      <c r="AM231" s="598"/>
      <c r="AN231" s="270"/>
      <c r="AO231" s="270"/>
      <c r="AP231" s="270"/>
      <c r="AQ231" s="270"/>
      <c r="AR231" s="270"/>
      <c r="AS231" s="270"/>
      <c r="AT231" s="270"/>
      <c r="AU231" s="270"/>
      <c r="AV231" s="270"/>
      <c r="AW231" s="270"/>
      <c r="AX231" s="270"/>
      <c r="AY231" s="270"/>
      <c r="AZ231" s="270"/>
      <c r="BA231" s="270"/>
      <c r="BB231" s="270"/>
      <c r="BC231" s="270"/>
      <c r="BD231" s="270"/>
      <c r="BE231" s="270"/>
      <c r="BF231" s="270"/>
      <c r="BG231" s="270"/>
      <c r="BH231" s="270"/>
      <c r="BI231" s="270"/>
      <c r="BJ231" s="270"/>
      <c r="BK231" s="270"/>
      <c r="BL231" s="270"/>
      <c r="BM231" s="270"/>
      <c r="BN231" s="270"/>
      <c r="BO231" s="270"/>
      <c r="BP231" s="270"/>
      <c r="BQ231" s="270"/>
    </row>
    <row r="232" spans="1:69" ht="25.5" hidden="1" outlineLevel="3" x14ac:dyDescent="0.2">
      <c r="A232" s="270"/>
      <c r="B232" s="270"/>
      <c r="C232" s="270"/>
      <c r="D232" s="270"/>
      <c r="E232" s="270"/>
      <c r="F232" s="270"/>
      <c r="G232" s="270"/>
      <c r="H232" s="270"/>
      <c r="I232" s="270"/>
      <c r="J232" s="270"/>
      <c r="K232" s="270"/>
      <c r="L232" s="270"/>
      <c r="M232" s="270"/>
      <c r="N232" s="270"/>
      <c r="O232" s="270"/>
      <c r="P232" s="270"/>
      <c r="Q232" s="270"/>
      <c r="R232" s="270"/>
      <c r="S232" s="270"/>
      <c r="T232" s="270"/>
      <c r="U232" s="632"/>
      <c r="V232" s="638"/>
      <c r="W232" s="658"/>
      <c r="X232" s="659"/>
      <c r="Y232" s="627"/>
      <c r="Z232" s="492"/>
      <c r="AA232" s="493" t="s">
        <v>769</v>
      </c>
      <c r="AB232" s="492"/>
      <c r="AC232" s="931"/>
      <c r="AD232" s="640"/>
      <c r="AE232" s="270"/>
      <c r="AF232" s="270"/>
      <c r="AG232" s="270"/>
      <c r="AH232" s="270"/>
      <c r="AI232" s="270"/>
      <c r="AJ232" s="270"/>
      <c r="AK232" s="270"/>
      <c r="AL232" s="270"/>
      <c r="AM232" s="598"/>
      <c r="AN232" s="270"/>
      <c r="AO232" s="270"/>
      <c r="AP232" s="270"/>
      <c r="AQ232" s="270"/>
      <c r="AR232" s="270"/>
      <c r="AS232" s="270"/>
      <c r="AT232" s="270"/>
      <c r="AU232" s="270"/>
      <c r="AV232" s="270"/>
      <c r="AW232" s="270"/>
      <c r="AX232" s="270"/>
      <c r="AY232" s="270"/>
      <c r="AZ232" s="270"/>
      <c r="BA232" s="270"/>
      <c r="BB232" s="270"/>
      <c r="BC232" s="270"/>
      <c r="BD232" s="270"/>
      <c r="BE232" s="270"/>
      <c r="BF232" s="270"/>
      <c r="BG232" s="270"/>
      <c r="BH232" s="270"/>
      <c r="BI232" s="270"/>
      <c r="BJ232" s="270"/>
      <c r="BK232" s="270"/>
      <c r="BL232" s="270"/>
      <c r="BM232" s="270"/>
      <c r="BN232" s="270"/>
      <c r="BO232" s="270"/>
      <c r="BP232" s="270"/>
      <c r="BQ232" s="270"/>
    </row>
    <row r="233" spans="1:69" ht="26.25" hidden="1" outlineLevel="3" thickBot="1" x14ac:dyDescent="0.25">
      <c r="A233" s="270"/>
      <c r="B233" s="270"/>
      <c r="C233" s="270"/>
      <c r="D233" s="270"/>
      <c r="E233" s="270"/>
      <c r="F233" s="270"/>
      <c r="G233" s="270"/>
      <c r="H233" s="270"/>
      <c r="I233" s="270"/>
      <c r="J233" s="270"/>
      <c r="K233" s="270"/>
      <c r="L233" s="270"/>
      <c r="M233" s="270"/>
      <c r="N233" s="270"/>
      <c r="O233" s="270"/>
      <c r="P233" s="270"/>
      <c r="Q233" s="270"/>
      <c r="R233" s="270"/>
      <c r="S233" s="270"/>
      <c r="T233" s="270"/>
      <c r="U233" s="632"/>
      <c r="V233" s="641"/>
      <c r="W233" s="660"/>
      <c r="X233" s="661"/>
      <c r="Y233" s="631"/>
      <c r="Z233" s="496"/>
      <c r="AA233" s="497" t="s">
        <v>769</v>
      </c>
      <c r="AB233" s="496"/>
      <c r="AC233" s="932"/>
      <c r="AD233" s="642"/>
      <c r="AE233" s="270"/>
      <c r="AF233" s="270"/>
      <c r="AG233" s="270"/>
      <c r="AH233" s="270"/>
      <c r="AI233" s="270"/>
      <c r="AJ233" s="270"/>
      <c r="AK233" s="270"/>
      <c r="AL233" s="270"/>
      <c r="AM233" s="598"/>
      <c r="AN233" s="270"/>
      <c r="AO233" s="270"/>
      <c r="AP233" s="270"/>
      <c r="AQ233" s="270"/>
      <c r="AR233" s="270"/>
      <c r="AS233" s="270"/>
      <c r="AT233" s="270"/>
      <c r="AU233" s="270"/>
      <c r="AV233" s="270"/>
      <c r="AW233" s="270"/>
      <c r="AX233" s="270"/>
      <c r="AY233" s="270"/>
      <c r="AZ233" s="270"/>
      <c r="BA233" s="270"/>
      <c r="BB233" s="270"/>
      <c r="BC233" s="270"/>
      <c r="BD233" s="270"/>
      <c r="BE233" s="270"/>
      <c r="BF233" s="270"/>
      <c r="BG233" s="270"/>
      <c r="BH233" s="270"/>
      <c r="BI233" s="270"/>
      <c r="BJ233" s="270"/>
      <c r="BK233" s="270"/>
      <c r="BL233" s="270"/>
      <c r="BM233" s="270"/>
      <c r="BN233" s="270"/>
      <c r="BO233" s="270"/>
      <c r="BP233" s="270"/>
      <c r="BQ233" s="270"/>
    </row>
    <row r="234" spans="1:69" ht="26.25" hidden="1" outlineLevel="3" thickBot="1" x14ac:dyDescent="0.25">
      <c r="A234" s="270"/>
      <c r="B234" s="270"/>
      <c r="C234" s="270"/>
      <c r="D234" s="270"/>
      <c r="E234" s="270"/>
      <c r="F234" s="270"/>
      <c r="G234" s="270"/>
      <c r="H234" s="270"/>
      <c r="I234" s="270"/>
      <c r="J234" s="270"/>
      <c r="K234" s="270"/>
      <c r="L234" s="270"/>
      <c r="M234" s="270"/>
      <c r="N234" s="270"/>
      <c r="O234" s="270"/>
      <c r="P234" s="270"/>
      <c r="Q234" s="270"/>
      <c r="R234" s="270"/>
      <c r="S234" s="270"/>
      <c r="T234" s="270"/>
      <c r="U234" s="632"/>
      <c r="V234" s="643"/>
      <c r="W234" s="644" t="str">
        <f>N_Différentiel</f>
        <v>Différentiel</v>
      </c>
      <c r="X234" s="662"/>
      <c r="Y234" s="663"/>
      <c r="Z234" s="488"/>
      <c r="AA234" s="489" t="s">
        <v>769</v>
      </c>
      <c r="AB234" s="488"/>
      <c r="AC234" s="933"/>
      <c r="AD234" s="270"/>
      <c r="AE234" s="270"/>
      <c r="AF234" s="270"/>
      <c r="AG234" s="270"/>
      <c r="AH234" s="270"/>
      <c r="AI234" s="270"/>
      <c r="AJ234" s="270"/>
      <c r="AK234" s="270"/>
      <c r="AL234" s="270"/>
      <c r="AM234" s="598"/>
      <c r="AN234" s="270"/>
      <c r="AO234" s="270"/>
      <c r="AP234" s="270"/>
      <c r="AQ234" s="270"/>
      <c r="AR234" s="270"/>
      <c r="AS234" s="270"/>
      <c r="AT234" s="270"/>
      <c r="AU234" s="270"/>
      <c r="AV234" s="270"/>
      <c r="AW234" s="270"/>
      <c r="AX234" s="270"/>
      <c r="AY234" s="270"/>
      <c r="AZ234" s="270"/>
      <c r="BA234" s="270"/>
      <c r="BB234" s="270"/>
      <c r="BC234" s="270"/>
      <c r="BD234" s="270"/>
      <c r="BE234" s="270"/>
      <c r="BF234" s="270"/>
      <c r="BG234" s="270"/>
      <c r="BH234" s="270"/>
      <c r="BI234" s="270"/>
      <c r="BJ234" s="270"/>
      <c r="BK234" s="270"/>
      <c r="BL234" s="270"/>
      <c r="BM234" s="270"/>
      <c r="BN234" s="270"/>
      <c r="BO234" s="270"/>
      <c r="BP234" s="270"/>
      <c r="BQ234" s="270"/>
    </row>
    <row r="235" spans="1:69" ht="25.5" hidden="1" outlineLevel="3" x14ac:dyDescent="0.2">
      <c r="A235" s="270"/>
      <c r="B235" s="270"/>
      <c r="C235" s="270"/>
      <c r="D235" s="270"/>
      <c r="E235" s="270"/>
      <c r="F235" s="270"/>
      <c r="G235" s="270"/>
      <c r="H235" s="270"/>
      <c r="I235" s="270"/>
      <c r="J235" s="270"/>
      <c r="K235" s="270"/>
      <c r="L235" s="270"/>
      <c r="M235" s="270"/>
      <c r="N235" s="270"/>
      <c r="O235" s="270"/>
      <c r="P235" s="270"/>
      <c r="Q235" s="270"/>
      <c r="R235" s="270"/>
      <c r="S235" s="270"/>
      <c r="T235" s="270"/>
      <c r="U235" s="632"/>
      <c r="V235" s="643"/>
      <c r="W235" s="664"/>
      <c r="X235" s="665" t="str">
        <f>N_Substitute</f>
        <v>Remplaçant</v>
      </c>
      <c r="Y235" s="657"/>
      <c r="Z235" s="480"/>
      <c r="AA235" s="666"/>
      <c r="AB235" s="480"/>
      <c r="AC235" s="934"/>
      <c r="AD235" s="270"/>
      <c r="AE235" s="270"/>
      <c r="AF235" s="270"/>
      <c r="AG235" s="270"/>
      <c r="AH235" s="270"/>
      <c r="AI235" s="270"/>
      <c r="AJ235" s="270"/>
      <c r="AK235" s="270"/>
      <c r="AL235" s="270"/>
      <c r="AM235" s="598"/>
      <c r="AN235" s="270"/>
      <c r="AO235" s="270"/>
      <c r="AP235" s="270"/>
      <c r="AQ235" s="270"/>
      <c r="AR235" s="270"/>
      <c r="AS235" s="270"/>
      <c r="AT235" s="270"/>
      <c r="AU235" s="270"/>
      <c r="AV235" s="270"/>
      <c r="AW235" s="270"/>
      <c r="AX235" s="270"/>
      <c r="AY235" s="270"/>
      <c r="AZ235" s="270"/>
      <c r="BA235" s="270"/>
      <c r="BB235" s="270"/>
      <c r="BC235" s="270"/>
      <c r="BD235" s="270"/>
      <c r="BE235" s="270"/>
      <c r="BF235" s="270"/>
      <c r="BG235" s="270"/>
      <c r="BH235" s="270"/>
      <c r="BI235" s="270"/>
      <c r="BJ235" s="270"/>
      <c r="BK235" s="270"/>
      <c r="BL235" s="270"/>
      <c r="BM235" s="270"/>
      <c r="BN235" s="270"/>
      <c r="BO235" s="270"/>
      <c r="BP235" s="270"/>
      <c r="BQ235" s="270"/>
    </row>
    <row r="236" spans="1:69" ht="26.25" hidden="1" outlineLevel="3" thickBot="1" x14ac:dyDescent="0.25">
      <c r="A236" s="270"/>
      <c r="B236" s="270"/>
      <c r="C236" s="270"/>
      <c r="D236" s="270"/>
      <c r="E236" s="270"/>
      <c r="F236" s="270"/>
      <c r="G236" s="270"/>
      <c r="H236" s="270"/>
      <c r="I236" s="270"/>
      <c r="J236" s="270"/>
      <c r="K236" s="270"/>
      <c r="L236" s="270"/>
      <c r="M236" s="270"/>
      <c r="N236" s="270"/>
      <c r="O236" s="270"/>
      <c r="P236" s="270"/>
      <c r="Q236" s="270"/>
      <c r="R236" s="270"/>
      <c r="S236" s="270"/>
      <c r="T236" s="270"/>
      <c r="U236" s="632"/>
      <c r="V236" s="643"/>
      <c r="W236" s="664"/>
      <c r="X236" s="667" t="str">
        <f>N_Substitute</f>
        <v>Remplaçant</v>
      </c>
      <c r="Y236" s="663"/>
      <c r="Z236" s="488"/>
      <c r="AA236" s="668"/>
      <c r="AB236" s="488"/>
      <c r="AC236" s="933"/>
      <c r="AD236" s="270"/>
      <c r="AE236" s="270"/>
      <c r="AF236" s="270"/>
      <c r="AG236" s="270"/>
      <c r="AH236" s="270"/>
      <c r="AI236" s="270"/>
      <c r="AJ236" s="270"/>
      <c r="AK236" s="270"/>
      <c r="AL236" s="270"/>
      <c r="AM236" s="598"/>
      <c r="AN236" s="270"/>
      <c r="AO236" s="270"/>
      <c r="AP236" s="270"/>
      <c r="AQ236" s="270"/>
      <c r="AR236" s="270"/>
      <c r="AS236" s="270"/>
      <c r="AT236" s="270"/>
      <c r="AU236" s="270"/>
      <c r="AV236" s="270"/>
      <c r="AW236" s="270"/>
      <c r="AX236" s="270"/>
      <c r="AY236" s="270"/>
      <c r="AZ236" s="270"/>
      <c r="BA236" s="270"/>
      <c r="BB236" s="270"/>
      <c r="BC236" s="270"/>
      <c r="BD236" s="270"/>
      <c r="BE236" s="270"/>
      <c r="BF236" s="270"/>
      <c r="BG236" s="270"/>
      <c r="BH236" s="270"/>
      <c r="BI236" s="270"/>
      <c r="BJ236" s="270"/>
      <c r="BK236" s="270"/>
      <c r="BL236" s="270"/>
      <c r="BM236" s="270"/>
      <c r="BN236" s="270"/>
      <c r="BO236" s="270"/>
      <c r="BP236" s="270"/>
      <c r="BQ236" s="270"/>
    </row>
    <row r="237" spans="1:69" hidden="1" outlineLevel="1" x14ac:dyDescent="0.2">
      <c r="A237" s="270"/>
      <c r="B237" s="270"/>
      <c r="C237" s="270"/>
      <c r="D237" s="270"/>
      <c r="E237" s="270"/>
      <c r="F237" s="270"/>
      <c r="G237" s="270"/>
      <c r="H237" s="270"/>
      <c r="I237" s="270"/>
      <c r="J237" s="270"/>
      <c r="K237" s="270"/>
      <c r="L237" s="270"/>
      <c r="M237" s="270"/>
      <c r="N237" s="270"/>
      <c r="O237" s="270"/>
      <c r="P237" s="270"/>
      <c r="Q237" s="270"/>
      <c r="R237" s="270"/>
      <c r="S237" s="270"/>
      <c r="T237" s="270"/>
      <c r="U237" s="632"/>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270"/>
      <c r="AS237" s="270"/>
      <c r="AT237" s="270"/>
      <c r="AU237" s="270"/>
      <c r="AV237" s="270"/>
      <c r="AW237" s="270"/>
      <c r="AX237" s="270"/>
      <c r="AY237" s="270"/>
      <c r="AZ237" s="270"/>
      <c r="BA237" s="270"/>
      <c r="BB237" s="270"/>
      <c r="BC237" s="270"/>
      <c r="BD237" s="270"/>
      <c r="BE237" s="270"/>
      <c r="BF237" s="270"/>
      <c r="BG237" s="270"/>
      <c r="BH237" s="270"/>
      <c r="BI237" s="270"/>
      <c r="BJ237" s="270"/>
      <c r="BK237" s="270"/>
      <c r="BL237" s="270"/>
      <c r="BM237" s="270"/>
      <c r="BN237" s="270"/>
      <c r="BO237" s="270"/>
      <c r="BP237" s="270"/>
      <c r="BQ237" s="270"/>
    </row>
    <row r="238" spans="1:69" x14ac:dyDescent="0.2">
      <c r="A238" s="270"/>
      <c r="B238" s="270"/>
      <c r="C238" s="270"/>
      <c r="D238" s="270"/>
      <c r="E238" s="270"/>
      <c r="F238" s="270"/>
      <c r="G238" s="270"/>
      <c r="H238" s="270"/>
      <c r="I238" s="270"/>
      <c r="J238" s="270"/>
      <c r="K238" s="270"/>
      <c r="L238" s="270"/>
      <c r="M238" s="270"/>
      <c r="N238" s="270"/>
      <c r="O238" s="270"/>
      <c r="P238" s="270"/>
      <c r="Q238" s="270"/>
      <c r="R238" s="270"/>
      <c r="S238" s="270"/>
      <c r="T238" s="270"/>
      <c r="U238" s="632"/>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270"/>
      <c r="AS238" s="270"/>
      <c r="AT238" s="270"/>
      <c r="AU238" s="270"/>
      <c r="AV238" s="270"/>
      <c r="AW238" s="270"/>
      <c r="AX238" s="270"/>
      <c r="AY238" s="270"/>
      <c r="AZ238" s="270"/>
      <c r="BA238" s="270"/>
      <c r="BB238" s="270"/>
      <c r="BC238" s="270"/>
      <c r="BD238" s="270"/>
      <c r="BE238" s="270"/>
      <c r="BF238" s="270"/>
      <c r="BG238" s="270"/>
      <c r="BH238" s="270"/>
      <c r="BI238" s="270"/>
      <c r="BJ238" s="270"/>
      <c r="BK238" s="270"/>
      <c r="BL238" s="270"/>
      <c r="BM238" s="270"/>
      <c r="BN238" s="270"/>
      <c r="BO238" s="270"/>
      <c r="BP238" s="270"/>
      <c r="BQ238" s="270"/>
    </row>
  </sheetData>
  <sheetProtection formatColumns="0" formatRows="0"/>
  <dataConsolidate/>
  <customSheetViews>
    <customSheetView guid="{13F24B0A-7740-483A-BEF7-5257F8522605}" showGridLines="0" hiddenRows="1" hiddenColumns="1" state="hidden">
      <pageMargins left="0.78740157499999996" right="0.78740157499999996" top="0.984251969" bottom="0.984251969" header="0.4921259845" footer="0.4921259845"/>
      <pageSetup paperSize="9" orientation="portrait" r:id="rId1"/>
      <headerFooter alignWithMargins="0"/>
    </customSheetView>
  </customSheetViews>
  <mergeCells count="46">
    <mergeCell ref="Y212:AC212"/>
    <mergeCell ref="Z215:AC215"/>
    <mergeCell ref="Y38:AC38"/>
    <mergeCell ref="Z33:AC33"/>
    <mergeCell ref="Z34:AC34"/>
    <mergeCell ref="Z41:AC41"/>
    <mergeCell ref="Z53:AC53"/>
    <mergeCell ref="Y62:AC62"/>
    <mergeCell ref="Y50:AC50"/>
    <mergeCell ref="Z201:AC201"/>
    <mergeCell ref="Z151:AC151"/>
    <mergeCell ref="Y160:AC160"/>
    <mergeCell ref="Y98:AC98"/>
    <mergeCell ref="Z113:AC113"/>
    <mergeCell ref="Y122:AC122"/>
    <mergeCell ref="Z125:AC125"/>
    <mergeCell ref="Y136:AC136"/>
    <mergeCell ref="Z65:AC65"/>
    <mergeCell ref="Z77:AC77"/>
    <mergeCell ref="Y86:AC86"/>
    <mergeCell ref="Y74:AC74"/>
    <mergeCell ref="Z89:AC89"/>
    <mergeCell ref="B4:AM4"/>
    <mergeCell ref="B36:AM36"/>
    <mergeCell ref="Z32:AC32"/>
    <mergeCell ref="Z31:AC31"/>
    <mergeCell ref="Y6:AC6"/>
    <mergeCell ref="Z9:AC9"/>
    <mergeCell ref="Z21:AC21"/>
    <mergeCell ref="Y18:AC18"/>
    <mergeCell ref="B224:AM224"/>
    <mergeCell ref="Z189:AC189"/>
    <mergeCell ref="Z229:AC229"/>
    <mergeCell ref="Y148:AC148"/>
    <mergeCell ref="Z101:AC101"/>
    <mergeCell ref="Y110:AC110"/>
    <mergeCell ref="B134:AM134"/>
    <mergeCell ref="Y198:AC198"/>
    <mergeCell ref="Z175:AC175"/>
    <mergeCell ref="Z139:AC139"/>
    <mergeCell ref="Y226:AC226"/>
    <mergeCell ref="Y186:AC186"/>
    <mergeCell ref="B184:AM184"/>
    <mergeCell ref="B210:AM210"/>
    <mergeCell ref="Z163:AC163"/>
    <mergeCell ref="Y172:AC172"/>
  </mergeCells>
  <phoneticPr fontId="0" type="noConversion"/>
  <conditionalFormatting sqref="AC214 AC228 AC200 AC188 AC174 AC162 AC150 AC138 AC124 AC112 AC100 AC88 AC76 AC64 AC52 AC40 AC8 AC20">
    <cfRule type="expression" dxfId="56" priority="22" stopIfTrue="1">
      <formula>IF(AC8="",FALSE,TRUE)</formula>
    </cfRule>
  </conditionalFormatting>
  <dataValidations count="12">
    <dataValidation type="list" allowBlank="1" showInputMessage="1" sqref="Y42 AC42 Y54 AC54 Y66 AC66 Y78 AC78 Y90 AC90 Y102 AC102 Y114 AC114 Y126 AC126 Y140 AC140 Y152 AC152 Y164 AC164 Y176 AC176 Y190 AC190 Y202 AC202 Y230 AC230 Y10 AC10 Y22 AC22 Y216 AC216" xr:uid="{00000000-0002-0000-1600-000000000000}">
      <formula1>OFFSET(Liste_Equipes,MATCH(Y7,Liste_Equipes,0)-1,1,1,OFFSET(Liste_Nb_Equipiers,MATCH(Y7,Liste_Equipes,0)-1,0,1,1))</formula1>
    </dataValidation>
    <dataValidation type="list" allowBlank="1" showInputMessage="1" sqref="Y43 AC43 Y55 AC55 Y67 AC67 Y79 AC79 Y91 AC91 Y103 AC103 Y115 AC115 Y127 AC127 Y141 AC141 Y153 AC153 Y165 AC165 Y177 AC177 Y191 AC191 Y203 AC203 Y231 AC231 Y11 AC11 Y23 AC23 Y217 AC217" xr:uid="{00000000-0002-0000-1600-000001000000}">
      <formula1>OFFSET(Liste_Equipes,MATCH(Y7,Liste_Equipes,0)-1,1,1,OFFSET(Liste_Nb_Equipiers,MATCH(Y7,Liste_Equipes,0)-1,0,1,1))</formula1>
    </dataValidation>
    <dataValidation type="list" allowBlank="1" showInputMessage="1" sqref="Y44 AC44 Y56 AC56 Y68 AC68 Y80 AC80 Y92 AC92 Y104 AC104 Y116 AC116 Y128 AC128 Y142 AC142 Y154 AC154 Y166 AC166 Y178 AC178 Y192 AC192 Y204 AC204 Y232 AC232 Y12 AC12 Y24 AC24 Y218 AC218" xr:uid="{00000000-0002-0000-1600-000002000000}">
      <formula1>OFFSET(Liste_Equipes,MATCH(Y7,Liste_Equipes,0)-1,1,1,OFFSET(Liste_Nb_Equipiers,MATCH(Y7,Liste_Equipes,0)-1,0,1,1))</formula1>
    </dataValidation>
    <dataValidation type="list" allowBlank="1" showInputMessage="1" sqref="Y45 AC45 Y57 AC57 Y69 AC69 Y81 AC81 Y93 AC93 Y105 AC105 Y117 AC117 Y129 AC129 Y143 AC143 Y155 AC155 Y167 AC167 Y179 AC179 Y193 AC193 Y205 AC205 Y233 AC233 Y13 AC13 Y25 AC25 Y219 AC219" xr:uid="{00000000-0002-0000-1600-000003000000}">
      <formula1>OFFSET(Liste_Equipes,MATCH(Y7,Liste_Equipes,0)-1,1,1,OFFSET(Liste_Nb_Equipiers,MATCH(Y7,Liste_Equipes,0)-1,0,1,1))</formula1>
    </dataValidation>
    <dataValidation type="list" allowBlank="1" showInputMessage="1" sqref="AC46 AC234 AC58 Y46 AC70 Y58 AC82 Y70 AC94 Y82 AC106 Y94 AC118 Y106 AC130 Y118 AC144 Y130 AC156 Y144 AC168 Y156 AC180 Y168 Y194 Y206 Y180 AC26 Y14 Y26 AC14 AC194 AC206 Y234 AC220 Y220" xr:uid="{00000000-0002-0000-1600-000004000000}">
      <formula1>OFFSET(Liste_Equipes,MATCH(Y7,Liste_Equipes,0)-1,1,1,OFFSET(Liste_Nb_Equipiers,MATCH(Y7,Liste_Equipes,0)-1,0,1,1))</formula1>
    </dataValidation>
    <dataValidation type="list" allowBlank="1" showInputMessage="1" showErrorMessage="1" sqref="AD230:AD233 AD176:AD179 AD152:AD155 AD140:AD143 AD164:AD167 AD10:AD13 AD22:AD25 AD114:AD117 AD102:AD105 AD126:AD129 AD66:AD69 AD42:AD45 AD54:AD57 AD90:AD93 AD78:AD81 AD190:AD193 AD202:AD205 AD216:AD219" xr:uid="{00000000-0002-0000-1600-000005000000}">
      <formula1>"x"</formula1>
    </dataValidation>
    <dataValidation type="whole" allowBlank="1" showInputMessage="1" showErrorMessage="1" errorTitle="Erreur de saisie" error="Vous devez tapez un nombre entier entre 0 et 100" sqref="Z230:Z234 AB209 Z176:Z180 AB164:AB168 AB152:AB156 AB140:AB144 Z140:Z144 Z126:Z130 Z164:Z168 Z152:Z156 AB10:AB14 AB230:AB234 Z22:Z26 Z10:Z14 AB114:AB118 AB102:AB106 Z102:Z106 Z90:Z94 AB126:AB130 Z114:Z118 AB66:AB70 AB54:AB58 AB42:AB46 AB22:AB26 Z54:Z58 Z42:Z46 AB90:AB94 AB78:AB82 Z78:Z82 Z66:Z70 Z190:Z194 AB176:AB180 AB190:AB194 AB202:AB206 Z202:Z206 Z209 Z216:Z220 AB216:AB220" xr:uid="{00000000-0002-0000-1600-000006000000}">
      <formula1>0</formula1>
      <formula2>100</formula2>
    </dataValidation>
    <dataValidation type="list" allowBlank="1" showInputMessage="1" showErrorMessage="1" errorTitle="Erreur de saisie" error="Vous devez tapez un nombre entier entre 0 et 100" sqref="Z15:Z16 AB15:AB16 Z27:Z28 AB27:AB28 Z47:Z48 AB47:AB48 Z59:Z60 AB59:AB60 Z71:Z72 AB71:AB72 Z83:Z84 AB83:AB84 Z95:Z96 AB95:AB96 Z107:Z108 AB107:AB108 Z119:Z120 AB119:AB120 Z131:Z132 AB131:AB132 Z145:Z146 AB145:AB146 Z157:Z158 AB157:AB158 Z169:Z170 AB169:AB170 Z181:Z182 AB181:AB182 Z195:Z196 AB195:AB196 Z207:Z208 AB207:AB208 Z235:Z236 AB235:AB236 Z221:Z222 AB221:AB222" xr:uid="{00000000-0002-0000-1600-000007000000}">
      <formula1>"M1,M2,M3,M4"</formula1>
    </dataValidation>
    <dataValidation type="list" allowBlank="1" showInputMessage="1" sqref="Y15 AC15 Y27 AC27 Y47 AC47 Y59 AC59 Y71 AC71 Y83 AC83 Y95 AC95 Y107 AC107 Y119 AC119 Y131 AC131 Y145 AC145 Y157 AC157 Y169 AC169 Y181 AC181 Y195 AC195 Y207 AC207 Y235 AC235 Y221 AC221" xr:uid="{00000000-0002-0000-1600-000008000000}">
      <formula1>OFFSET(Liste_Equipes,MATCH(Y7,Liste_Equipes,0)-1,1,1,OFFSET(Liste_Nb_Equipiers,MATCH(Y7,Liste_Equipes,0)-1,0,1,1))</formula1>
    </dataValidation>
    <dataValidation type="list" allowBlank="1" showInputMessage="1" sqref="Y16 AC16 Y28 AC28 Y48 AC48 Y60 AC60 Y72 AC72 Y84 AC84 Y96 AC96 Y108 AC108 Y120 AC120 Y132 AC132 Y146 AC146 Y158 AC158 Y170 AC170 Y182 AC182 Y196 AC196 AC208:AC209 AC236 Y236 Y208:Y209 AC222 Y222" xr:uid="{00000000-0002-0000-1600-000009000000}">
      <formula1>OFFSET(Liste_Equipes,MATCH(Y7,Liste_Equipes,0)-1,1,1,OFFSET(Liste_Nb_Equipiers,MATCH(Y7,Liste_Equipes,0)-1,0,1,1))</formula1>
    </dataValidation>
    <dataValidation type="list" allowBlank="1" showInputMessage="1" showErrorMessage="1" sqref="Y2" xr:uid="{00000000-0002-0000-1600-00000A000000}">
      <formula1>List_Categories</formula1>
    </dataValidation>
    <dataValidation type="list" allowBlank="1" showInputMessage="1" showErrorMessage="1" sqref="Y7 AC7 Y19 AC19 Z31:AC34 Y39 AC39 Y51 AC51 Y63 AC63 Y75 AC75 Y87 AC87 Y99 AC99 Y111 AC111 Y123 AC123 Y137 AC137 Y149 AC149 Y161 AC161 AC173 Y173 Y187 AC187 AC199 Y199 Y227 AC227 Y213 AC213" xr:uid="{00000000-0002-0000-1600-00000B000000}">
      <formula1>OFFSET(ListOfTeams,0,0,NbOfTeams)</formula1>
    </dataValidation>
  </dataValidations>
  <pageMargins left="0.78740157499999996" right="0.78740157499999996" top="0.984251969" bottom="0.984251969" header="0.4921259845" footer="0.4921259845"/>
  <pageSetup paperSize="9" orientation="portrait" r:id="rId2"/>
  <headerFooter alignWithMargins="0"/>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t_FDLDoubles">
    <tabColor theme="0" tint="-0.249977111117893"/>
    <outlinePr summaryBelow="0" summaryRight="0"/>
  </sheetPr>
  <dimension ref="A1:BU166"/>
  <sheetViews>
    <sheetView showGridLines="0" workbookViewId="0">
      <selection activeCell="Y170" sqref="Y170"/>
    </sheetView>
  </sheetViews>
  <sheetFormatPr baseColWidth="10" defaultColWidth="2.7109375" defaultRowHeight="12.75" outlineLevelRow="2" outlineLevelCol="1" x14ac:dyDescent="0.2"/>
  <cols>
    <col min="1" max="1" width="2.5703125" style="7" customWidth="1"/>
    <col min="2" max="13" width="2.85546875" style="7" customWidth="1"/>
    <col min="14" max="20" width="2.28515625" style="7" customWidth="1"/>
    <col min="21" max="21" width="2.28515625" style="7" customWidth="1" collapsed="1"/>
    <col min="22" max="22" width="7.42578125" style="7" hidden="1" customWidth="1" outlineLevel="1"/>
    <col min="23" max="23" width="7" style="7" hidden="1" customWidth="1" outlineLevel="1"/>
    <col min="24" max="24" width="14.28515625" style="7" hidden="1" customWidth="1" outlineLevel="1"/>
    <col min="25" max="25" width="25.28515625" style="7" customWidth="1"/>
    <col min="26" max="26" width="5.42578125" style="7" customWidth="1"/>
    <col min="27" max="27" width="1.5703125" style="7" bestFit="1" customWidth="1"/>
    <col min="28" max="28" width="5.42578125" style="7" customWidth="1"/>
    <col min="29" max="29" width="26.28515625" style="7" customWidth="1"/>
    <col min="30" max="30" width="3.85546875" style="7" bestFit="1" customWidth="1"/>
    <col min="31" max="38" width="3.5703125" style="7" hidden="1" customWidth="1"/>
    <col min="39" max="39" width="3.5703125" style="7" customWidth="1"/>
    <col min="40" max="40" width="3" style="7" customWidth="1"/>
    <col min="41" max="16384" width="2.7109375" style="7"/>
  </cols>
  <sheetData>
    <row r="1" spans="1:73" ht="13.5" thickBot="1" x14ac:dyDescent="0.25">
      <c r="A1"/>
      <c r="B1"/>
      <c r="C1"/>
      <c r="D1"/>
      <c r="E1"/>
      <c r="F1"/>
      <c r="G1"/>
      <c r="H1"/>
      <c r="I1"/>
      <c r="J1"/>
      <c r="K1"/>
      <c r="L1"/>
      <c r="M1"/>
      <c r="N1"/>
      <c r="O1"/>
      <c r="P1"/>
      <c r="Q1"/>
      <c r="R1"/>
      <c r="S1"/>
      <c r="T1"/>
      <c r="U1" s="6"/>
      <c r="V1"/>
      <c r="W1"/>
      <c r="X1"/>
      <c r="Y1" s="1" t="str">
        <f>N_Event_Type</f>
        <v>Type de l'épreuve</v>
      </c>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row>
    <row r="2" spans="1:73" ht="13.5" thickBot="1" x14ac:dyDescent="0.25">
      <c r="A2"/>
      <c r="B2"/>
      <c r="C2" s="401"/>
      <c r="D2"/>
      <c r="E2"/>
      <c r="F2"/>
      <c r="G2"/>
      <c r="H2"/>
      <c r="I2"/>
      <c r="J2"/>
      <c r="K2"/>
      <c r="L2"/>
      <c r="M2"/>
      <c r="N2"/>
      <c r="O2"/>
      <c r="P2"/>
      <c r="Q2"/>
      <c r="R2"/>
      <c r="S2"/>
      <c r="T2"/>
      <c r="U2" s="6"/>
      <c r="V2"/>
      <c r="W2"/>
      <c r="X2"/>
      <c r="Y2" s="322" t="str">
        <f>Event1</f>
        <v>Open</v>
      </c>
      <c r="Z2"/>
      <c r="AA2" s="1"/>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row>
    <row r="3" spans="1:73" ht="11.25" customHeight="1" thickBot="1" x14ac:dyDescent="0.25">
      <c r="A3"/>
      <c r="B3"/>
      <c r="C3"/>
      <c r="D3"/>
      <c r="E3"/>
      <c r="F3"/>
      <c r="G3"/>
      <c r="H3"/>
      <c r="I3"/>
      <c r="J3"/>
      <c r="K3"/>
      <c r="L3"/>
      <c r="M3"/>
      <c r="N3"/>
      <c r="O3"/>
      <c r="P3"/>
      <c r="Q3"/>
      <c r="R3"/>
      <c r="S3"/>
      <c r="T3"/>
      <c r="U3" s="6"/>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row>
    <row r="4" spans="1:73" ht="13.5" collapsed="1" thickBot="1" x14ac:dyDescent="0.25">
      <c r="A4"/>
      <c r="B4" s="2457" t="str">
        <f>N_BARRAGES</f>
        <v>BARRAGES</v>
      </c>
      <c r="C4" s="2458"/>
      <c r="D4" s="2458"/>
      <c r="E4" s="2458"/>
      <c r="F4" s="2458"/>
      <c r="G4" s="2458"/>
      <c r="H4" s="2458"/>
      <c r="I4" s="2458"/>
      <c r="J4" s="2458"/>
      <c r="K4" s="2458"/>
      <c r="L4" s="2458"/>
      <c r="M4" s="2458"/>
      <c r="N4" s="2458"/>
      <c r="O4" s="2458"/>
      <c r="P4" s="2458"/>
      <c r="Q4" s="2458"/>
      <c r="R4" s="2458"/>
      <c r="S4" s="2458"/>
      <c r="T4" s="2458"/>
      <c r="U4" s="2458"/>
      <c r="V4" s="2458"/>
      <c r="W4" s="2458"/>
      <c r="X4" s="2458"/>
      <c r="Y4" s="2458"/>
      <c r="Z4" s="2458"/>
      <c r="AA4" s="2458"/>
      <c r="AB4" s="2458"/>
      <c r="AC4" s="2458"/>
      <c r="AD4" s="2458"/>
      <c r="AE4" s="2458"/>
      <c r="AF4" s="2458"/>
      <c r="AG4" s="2458"/>
      <c r="AH4" s="2458"/>
      <c r="AI4" s="2458"/>
      <c r="AJ4" s="2458"/>
      <c r="AK4" s="2458"/>
      <c r="AL4" s="2458"/>
      <c r="AM4" s="2459"/>
      <c r="AN4"/>
      <c r="AO4"/>
      <c r="AP4"/>
      <c r="AQ4"/>
      <c r="AR4"/>
      <c r="AS4"/>
      <c r="AT4"/>
      <c r="AU4"/>
      <c r="AV4"/>
      <c r="AW4"/>
      <c r="AX4"/>
      <c r="AY4"/>
      <c r="AZ4"/>
      <c r="BA4"/>
      <c r="BB4"/>
      <c r="BC4"/>
      <c r="BD4"/>
      <c r="BE4"/>
      <c r="BF4"/>
      <c r="BG4"/>
      <c r="BH4"/>
      <c r="BI4"/>
      <c r="BJ4"/>
      <c r="BK4"/>
      <c r="BL4"/>
      <c r="BM4"/>
      <c r="BN4"/>
      <c r="BO4"/>
      <c r="BP4"/>
      <c r="BQ4"/>
      <c r="BR4"/>
      <c r="BS4"/>
      <c r="BT4"/>
      <c r="BU4"/>
    </row>
    <row r="5" spans="1:73" ht="13.5" hidden="1" outlineLevel="1" thickBot="1" x14ac:dyDescent="0.25">
      <c r="A5"/>
      <c r="B5"/>
      <c r="C5"/>
      <c r="D5"/>
      <c r="E5"/>
      <c r="F5"/>
      <c r="G5"/>
      <c r="H5"/>
      <c r="I5"/>
      <c r="J5"/>
      <c r="K5"/>
      <c r="L5"/>
      <c r="M5"/>
      <c r="N5"/>
      <c r="O5"/>
      <c r="P5"/>
      <c r="Q5"/>
      <c r="R5"/>
      <c r="S5"/>
      <c r="T5"/>
      <c r="U5" s="6"/>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row>
    <row r="6" spans="1:73" ht="13.5" hidden="1" outlineLevel="1" thickBot="1" x14ac:dyDescent="0.25">
      <c r="A6"/>
      <c r="B6"/>
      <c r="C6"/>
      <c r="D6"/>
      <c r="E6"/>
      <c r="F6"/>
      <c r="G6"/>
      <c r="H6"/>
      <c r="I6"/>
      <c r="J6"/>
      <c r="K6"/>
      <c r="L6"/>
      <c r="M6"/>
      <c r="N6"/>
      <c r="O6"/>
      <c r="P6"/>
      <c r="Q6"/>
      <c r="R6"/>
      <c r="S6"/>
      <c r="T6"/>
      <c r="U6" s="6"/>
      <c r="V6" s="3" t="str">
        <f>N_Heure</f>
        <v>Heure</v>
      </c>
      <c r="W6" s="3" t="str">
        <f>N_Table</f>
        <v>Table</v>
      </c>
      <c r="X6" s="3" t="str">
        <f>N_Arbitre</f>
        <v>Arbitre</v>
      </c>
      <c r="Y6" s="2439" t="str">
        <f>N_Scores</f>
        <v>Scores</v>
      </c>
      <c r="Z6" s="2440"/>
      <c r="AA6" s="2440"/>
      <c r="AB6" s="2440"/>
      <c r="AC6" s="2441"/>
      <c r="AD6" s="228" t="str">
        <f>N_MS</f>
        <v>MS</v>
      </c>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row>
    <row r="7" spans="1:73" ht="13.5" hidden="1" outlineLevel="1" thickBot="1" x14ac:dyDescent="0.25">
      <c r="A7"/>
      <c r="B7"/>
      <c r="C7"/>
      <c r="D7"/>
      <c r="E7"/>
      <c r="F7"/>
      <c r="G7"/>
      <c r="H7"/>
      <c r="I7"/>
      <c r="J7"/>
      <c r="K7"/>
      <c r="L7"/>
      <c r="M7"/>
      <c r="N7"/>
      <c r="O7"/>
      <c r="P7"/>
      <c r="Q7"/>
      <c r="R7"/>
      <c r="S7"/>
      <c r="T7"/>
      <c r="U7" s="330" t="s">
        <v>1720</v>
      </c>
      <c r="V7" s="8"/>
      <c r="W7" s="8"/>
      <c r="X7" s="8"/>
      <c r="Y7" s="328"/>
      <c r="Z7" s="229" t="str">
        <f>IF(OR(ISNUMBER(Z10),ISNUMBER(Z11)),Lire_Gain_Matches(Z10:Z11, AB10:AB11),"")</f>
        <v/>
      </c>
      <c r="AA7" s="226" t="s">
        <v>769</v>
      </c>
      <c r="AB7" s="230" t="str">
        <f>IF(OR(ISNUMBER(Z10),ISNUMBER(Z11)),Lire_Gain_Matches(AB10:AB11, Z10:Z11),"")</f>
        <v/>
      </c>
      <c r="AC7" s="328"/>
      <c r="AD7" s="231" t="str">
        <f>IF(ISNA(VLOOKUP("X",AD10:AD11,1,FALSE)),"","X")</f>
        <v/>
      </c>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row>
    <row r="8" spans="1:73" ht="13.5" hidden="1" outlineLevel="1" thickBot="1" x14ac:dyDescent="0.25">
      <c r="A8"/>
      <c r="B8"/>
      <c r="C8"/>
      <c r="D8"/>
      <c r="E8"/>
      <c r="F8"/>
      <c r="G8"/>
      <c r="H8"/>
      <c r="I8"/>
      <c r="J8"/>
      <c r="K8"/>
      <c r="L8"/>
      <c r="M8"/>
      <c r="N8"/>
      <c r="O8"/>
      <c r="P8"/>
      <c r="Q8"/>
      <c r="R8"/>
      <c r="S8"/>
      <c r="T8"/>
      <c r="U8" s="6"/>
      <c r="V8" s="8"/>
      <c r="W8" s="8"/>
      <c r="X8" s="8"/>
      <c r="Y8" s="232" t="str">
        <f>N_Total_buts</f>
        <v>Total des buts</v>
      </c>
      <c r="Z8" s="229" t="str">
        <f>IF(OR(ISNUMBER(Z10),ISNUMBER(Z11)),SUM(Z10:Z11),"")</f>
        <v/>
      </c>
      <c r="AA8" s="226" t="s">
        <v>769</v>
      </c>
      <c r="AB8" s="230" t="str">
        <f>IF(OR(ISNUMBER(Z10),ISNUMBER(Z11)),SUM(AB10:AB11),"")</f>
        <v/>
      </c>
      <c r="AC8" s="233" t="str">
        <f>IF(Z12="","",CONCATENATE("(Diff : ",Z12," - ",AB12,")"))</f>
        <v/>
      </c>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row>
    <row r="9" spans="1:73" ht="13.5" hidden="1" outlineLevel="1" thickBot="1" x14ac:dyDescent="0.25">
      <c r="A9"/>
      <c r="B9"/>
      <c r="C9"/>
      <c r="D9"/>
      <c r="E9"/>
      <c r="F9"/>
      <c r="G9"/>
      <c r="H9"/>
      <c r="I9"/>
      <c r="J9" s="833" t="str">
        <f>IF(Z9="","",IF(Z9=Y7,AC7,Y7))</f>
        <v/>
      </c>
      <c r="K9"/>
      <c r="L9"/>
      <c r="M9"/>
      <c r="N9"/>
      <c r="O9"/>
      <c r="P9"/>
      <c r="Q9"/>
      <c r="R9"/>
      <c r="S9"/>
      <c r="T9"/>
      <c r="U9" s="6"/>
      <c r="V9" s="8"/>
      <c r="W9" s="8"/>
      <c r="X9" s="8"/>
      <c r="Y9" s="234" t="str">
        <f>N_VAINQUEUR</f>
        <v>VAINQUEUR</v>
      </c>
      <c r="Z9" s="2469" t="str">
        <f>IF(Z10="",IF(HidePlayerFormulas,"","("&amp;Y7&amp;"-"&amp;AC7&amp;")"),IF(Z7&gt;AB7,Y7,IF(AB7&gt;Z7,AC7,IF(Z8&gt;AB8,Y7,IF(AB8&gt;Z8,AC7,IF(Z14&gt;AB14,Y7,IF(AB14&gt;Z14,AC7,mess_erreur_marque)))))))</f>
        <v/>
      </c>
      <c r="AA9" s="2470"/>
      <c r="AB9" s="2470"/>
      <c r="AC9" s="2471"/>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row>
    <row r="10" spans="1:73" hidden="1" outlineLevel="2" x14ac:dyDescent="0.2">
      <c r="A10"/>
      <c r="B10"/>
      <c r="C10"/>
      <c r="D10"/>
      <c r="E10"/>
      <c r="F10"/>
      <c r="G10"/>
      <c r="H10"/>
      <c r="I10"/>
      <c r="J10"/>
      <c r="K10"/>
      <c r="L10"/>
      <c r="M10"/>
      <c r="N10"/>
      <c r="O10"/>
      <c r="P10"/>
      <c r="Q10"/>
      <c r="R10"/>
      <c r="S10"/>
      <c r="T10"/>
      <c r="U10" s="6"/>
      <c r="V10" s="144"/>
      <c r="W10" s="145"/>
      <c r="X10" s="235"/>
      <c r="Y10" s="147"/>
      <c r="Z10" s="236"/>
      <c r="AA10" s="60" t="s">
        <v>769</v>
      </c>
      <c r="AB10" s="236"/>
      <c r="AC10" s="147"/>
      <c r="AD10" s="15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row>
    <row r="11" spans="1:73" ht="13.5" hidden="1" outlineLevel="2" thickBot="1" x14ac:dyDescent="0.25">
      <c r="A11"/>
      <c r="B11"/>
      <c r="C11"/>
      <c r="D11"/>
      <c r="E11"/>
      <c r="F11"/>
      <c r="G11"/>
      <c r="H11"/>
      <c r="I11"/>
      <c r="J11"/>
      <c r="K11"/>
      <c r="L11"/>
      <c r="M11"/>
      <c r="N11"/>
      <c r="O11"/>
      <c r="P11"/>
      <c r="Q11"/>
      <c r="R11"/>
      <c r="S11"/>
      <c r="T11"/>
      <c r="U11" s="6"/>
      <c r="V11" s="171"/>
      <c r="W11" s="172"/>
      <c r="X11" s="238"/>
      <c r="Y11" s="174"/>
      <c r="Z11" s="175"/>
      <c r="AA11" s="52" t="s">
        <v>769</v>
      </c>
      <c r="AB11" s="175"/>
      <c r="AC11" s="174"/>
      <c r="AD11" s="176"/>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row>
    <row r="12" spans="1:73" ht="13.5" hidden="1" outlineLevel="2" thickBot="1" x14ac:dyDescent="0.25">
      <c r="A12"/>
      <c r="B12"/>
      <c r="C12"/>
      <c r="D12"/>
      <c r="E12"/>
      <c r="F12"/>
      <c r="G12"/>
      <c r="H12"/>
      <c r="I12"/>
      <c r="J12"/>
      <c r="K12"/>
      <c r="L12"/>
      <c r="M12"/>
      <c r="N12"/>
      <c r="O12"/>
      <c r="P12"/>
      <c r="Q12"/>
      <c r="R12"/>
      <c r="S12"/>
      <c r="T12"/>
      <c r="U12" s="6"/>
      <c r="V12" s="178"/>
      <c r="W12" s="179" t="str">
        <f>N_Différentiel</f>
        <v>Différentiel</v>
      </c>
      <c r="X12" s="239"/>
      <c r="Y12" s="240"/>
      <c r="Z12" s="182"/>
      <c r="AA12" s="66" t="s">
        <v>769</v>
      </c>
      <c r="AB12" s="182"/>
      <c r="AC12" s="240"/>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row>
    <row r="13" spans="1:73" ht="13.5" hidden="1" outlineLevel="1" thickBot="1" x14ac:dyDescent="0.25">
      <c r="A13"/>
      <c r="B13"/>
      <c r="C13"/>
      <c r="D13"/>
      <c r="E13"/>
      <c r="F13"/>
      <c r="G13"/>
      <c r="H13"/>
      <c r="I13"/>
      <c r="J13"/>
      <c r="K13"/>
      <c r="L13"/>
      <c r="M13"/>
      <c r="N13"/>
      <c r="O13"/>
      <c r="P13"/>
      <c r="Q13"/>
      <c r="R13"/>
      <c r="S13"/>
      <c r="T13"/>
      <c r="U13" s="6"/>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row>
    <row r="14" spans="1:73" ht="13.5" hidden="1" outlineLevel="1" thickBot="1" x14ac:dyDescent="0.25">
      <c r="A14"/>
      <c r="B14"/>
      <c r="C14"/>
      <c r="D14"/>
      <c r="E14"/>
      <c r="F14"/>
      <c r="G14"/>
      <c r="H14"/>
      <c r="I14"/>
      <c r="J14"/>
      <c r="K14"/>
      <c r="L14"/>
      <c r="M14"/>
      <c r="N14"/>
      <c r="O14"/>
      <c r="P14"/>
      <c r="Q14"/>
      <c r="R14"/>
      <c r="S14"/>
      <c r="T14"/>
      <c r="U14" s="6"/>
      <c r="V14" s="3" t="str">
        <f>N_Heure</f>
        <v>Heure</v>
      </c>
      <c r="W14" s="3" t="str">
        <f>N_Table</f>
        <v>Table</v>
      </c>
      <c r="X14" s="3" t="str">
        <f>N_Arbitre</f>
        <v>Arbitre</v>
      </c>
      <c r="Y14" s="2439" t="str">
        <f>N_Scores</f>
        <v>Scores</v>
      </c>
      <c r="Z14" s="2440"/>
      <c r="AA14" s="2440"/>
      <c r="AB14" s="2440"/>
      <c r="AC14" s="2441"/>
      <c r="AD14" s="228" t="str">
        <f>N_MS</f>
        <v>MS</v>
      </c>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row>
    <row r="15" spans="1:73" ht="13.5" hidden="1" outlineLevel="1" thickBot="1" x14ac:dyDescent="0.25">
      <c r="A15"/>
      <c r="B15"/>
      <c r="C15"/>
      <c r="D15"/>
      <c r="E15"/>
      <c r="F15"/>
      <c r="G15"/>
      <c r="H15"/>
      <c r="I15"/>
      <c r="J15"/>
      <c r="K15"/>
      <c r="L15"/>
      <c r="M15"/>
      <c r="N15"/>
      <c r="O15"/>
      <c r="P15"/>
      <c r="Q15"/>
      <c r="R15"/>
      <c r="S15"/>
      <c r="T15"/>
      <c r="U15" s="330" t="s">
        <v>1720</v>
      </c>
      <c r="V15" s="8"/>
      <c r="W15" s="8"/>
      <c r="X15" s="8"/>
      <c r="Y15" s="328"/>
      <c r="Z15" s="229" t="str">
        <f>IF(OR(ISNUMBER(Z18),ISNUMBER(Z19)),Lire_Gain_Matches(Z18:Z19, AB18:AB19),"")</f>
        <v/>
      </c>
      <c r="AA15" s="226" t="s">
        <v>769</v>
      </c>
      <c r="AB15" s="230" t="str">
        <f>IF(OR(ISNUMBER(Z18),ISNUMBER(Z19)),Lire_Gain_Matches(AB18:AB19, Z18:Z19),"")</f>
        <v/>
      </c>
      <c r="AC15" s="328"/>
      <c r="AD15" s="231" t="str">
        <f>IF(ISNA(VLOOKUP("X",AD18:AD19,1,FALSE)),"","X")</f>
        <v/>
      </c>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row>
    <row r="16" spans="1:73" ht="13.5" hidden="1" outlineLevel="1" thickBot="1" x14ac:dyDescent="0.25">
      <c r="A16"/>
      <c r="B16"/>
      <c r="C16"/>
      <c r="D16"/>
      <c r="E16"/>
      <c r="F16"/>
      <c r="G16"/>
      <c r="H16"/>
      <c r="I16"/>
      <c r="J16"/>
      <c r="K16"/>
      <c r="L16"/>
      <c r="M16"/>
      <c r="N16"/>
      <c r="O16"/>
      <c r="P16"/>
      <c r="Q16"/>
      <c r="R16"/>
      <c r="S16"/>
      <c r="T16"/>
      <c r="U16" s="6"/>
      <c r="V16" s="8"/>
      <c r="W16" s="8"/>
      <c r="X16" s="8"/>
      <c r="Y16" s="232" t="str">
        <f>N_Total_buts</f>
        <v>Total des buts</v>
      </c>
      <c r="Z16" s="229" t="str">
        <f>IF(OR(ISNUMBER(Z18),ISNUMBER(Z19)),SUM(Z18:Z19),"")</f>
        <v/>
      </c>
      <c r="AA16" s="226" t="s">
        <v>769</v>
      </c>
      <c r="AB16" s="230" t="str">
        <f>IF(OR(ISNUMBER(Z18),ISNUMBER(Z19)),SUM(AB18:AB19),"")</f>
        <v/>
      </c>
      <c r="AC16" s="233" t="str">
        <f>IF(Z20="","",CONCATENATE("(Diff : ",Z20," - ",AB20,")"))</f>
        <v/>
      </c>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row>
    <row r="17" spans="1:73" ht="13.5" hidden="1" outlineLevel="1" thickBot="1" x14ac:dyDescent="0.25">
      <c r="A17"/>
      <c r="B17"/>
      <c r="C17"/>
      <c r="D17"/>
      <c r="E17"/>
      <c r="F17"/>
      <c r="G17"/>
      <c r="H17"/>
      <c r="I17"/>
      <c r="J17" s="833" t="str">
        <f>IF(Z17="","",IF(Z17=Y15,AC15,Y15))</f>
        <v/>
      </c>
      <c r="K17"/>
      <c r="L17"/>
      <c r="M17"/>
      <c r="N17"/>
      <c r="O17"/>
      <c r="P17"/>
      <c r="Q17"/>
      <c r="R17"/>
      <c r="S17"/>
      <c r="T17"/>
      <c r="U17" s="6"/>
      <c r="V17" s="8"/>
      <c r="W17" s="8"/>
      <c r="X17" s="8"/>
      <c r="Y17" s="234" t="str">
        <f>N_VAINQUEUR</f>
        <v>VAINQUEUR</v>
      </c>
      <c r="Z17" s="2469" t="str">
        <f>IF(Z18="",IF(HidePlayerFormulas,"","("&amp;Y15&amp;"-"&amp;AC15&amp;")"),IF(Z15&gt;AB15,Y15,IF(AB15&gt;Z15,AC15,IF(Z16&gt;AB16,Y15,IF(AB16&gt;Z16,AC15,IF(Z22&gt;AB22,Y15,IF(AB22&gt;Z22,AC15,mess_erreur_marque)))))))</f>
        <v/>
      </c>
      <c r="AA17" s="2470"/>
      <c r="AB17" s="2470"/>
      <c r="AC17" s="2471"/>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row>
    <row r="18" spans="1:73" hidden="1" outlineLevel="2" x14ac:dyDescent="0.2">
      <c r="A18"/>
      <c r="B18"/>
      <c r="C18"/>
      <c r="D18"/>
      <c r="E18"/>
      <c r="F18"/>
      <c r="G18"/>
      <c r="H18"/>
      <c r="I18"/>
      <c r="J18"/>
      <c r="K18"/>
      <c r="L18"/>
      <c r="M18"/>
      <c r="N18"/>
      <c r="O18"/>
      <c r="P18"/>
      <c r="Q18"/>
      <c r="R18"/>
      <c r="S18"/>
      <c r="T18"/>
      <c r="U18" s="6"/>
      <c r="V18" s="144"/>
      <c r="W18" s="145"/>
      <c r="X18" s="235"/>
      <c r="Y18" s="147"/>
      <c r="Z18" s="236"/>
      <c r="AA18" s="60" t="s">
        <v>769</v>
      </c>
      <c r="AB18" s="236"/>
      <c r="AC18" s="147"/>
      <c r="AD18" s="150"/>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row>
    <row r="19" spans="1:73" ht="13.5" hidden="1" outlineLevel="2" thickBot="1" x14ac:dyDescent="0.25">
      <c r="A19"/>
      <c r="B19"/>
      <c r="C19"/>
      <c r="D19"/>
      <c r="E19"/>
      <c r="F19"/>
      <c r="G19"/>
      <c r="H19"/>
      <c r="I19"/>
      <c r="J19"/>
      <c r="K19"/>
      <c r="L19"/>
      <c r="M19"/>
      <c r="N19"/>
      <c r="O19"/>
      <c r="P19"/>
      <c r="Q19"/>
      <c r="R19"/>
      <c r="S19"/>
      <c r="T19"/>
      <c r="U19" s="6"/>
      <c r="V19" s="171"/>
      <c r="W19" s="172"/>
      <c r="X19" s="238"/>
      <c r="Y19" s="174"/>
      <c r="Z19" s="175"/>
      <c r="AA19" s="52" t="s">
        <v>769</v>
      </c>
      <c r="AB19" s="175"/>
      <c r="AC19" s="174"/>
      <c r="AD19" s="176"/>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row>
    <row r="20" spans="1:73" ht="13.5" hidden="1" outlineLevel="2" thickBot="1" x14ac:dyDescent="0.25">
      <c r="A20"/>
      <c r="B20"/>
      <c r="C20"/>
      <c r="D20"/>
      <c r="E20"/>
      <c r="F20"/>
      <c r="G20"/>
      <c r="H20"/>
      <c r="I20"/>
      <c r="J20"/>
      <c r="K20"/>
      <c r="L20"/>
      <c r="M20"/>
      <c r="N20"/>
      <c r="O20"/>
      <c r="P20"/>
      <c r="Q20"/>
      <c r="R20"/>
      <c r="S20"/>
      <c r="T20"/>
      <c r="U20" s="6"/>
      <c r="V20" s="178"/>
      <c r="W20" s="179" t="str">
        <f>N_Différentiel</f>
        <v>Différentiel</v>
      </c>
      <c r="X20" s="239"/>
      <c r="Y20" s="240"/>
      <c r="Z20" s="182"/>
      <c r="AA20" s="66" t="s">
        <v>769</v>
      </c>
      <c r="AB20" s="182"/>
      <c r="AC20" s="24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row>
    <row r="21" spans="1:73" hidden="1" outlineLevel="1" x14ac:dyDescent="0.2">
      <c r="A21"/>
      <c r="B21"/>
      <c r="C21"/>
      <c r="D21"/>
      <c r="E21"/>
      <c r="F21"/>
      <c r="G21"/>
      <c r="H21"/>
      <c r="I21"/>
      <c r="J21"/>
      <c r="K21"/>
      <c r="L21"/>
      <c r="M21"/>
      <c r="N21"/>
      <c r="O21"/>
      <c r="P21"/>
      <c r="Q21"/>
      <c r="R21"/>
      <c r="S21"/>
      <c r="T21"/>
      <c r="U21" s="6"/>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row>
    <row r="22" spans="1:73" ht="13.5" hidden="1" outlineLevel="1" thickBot="1" x14ac:dyDescent="0.25">
      <c r="A22"/>
      <c r="B22"/>
      <c r="C22"/>
      <c r="D22"/>
      <c r="E22"/>
      <c r="F22"/>
      <c r="G22"/>
      <c r="H22"/>
      <c r="I22"/>
      <c r="J22"/>
      <c r="K22"/>
      <c r="L22"/>
      <c r="M22"/>
      <c r="N22"/>
      <c r="O22"/>
      <c r="P22"/>
      <c r="Q22"/>
      <c r="R22"/>
      <c r="S22"/>
      <c r="T22"/>
      <c r="U22" s="6"/>
      <c r="V22"/>
      <c r="W22"/>
      <c r="X22"/>
      <c r="Y22"/>
      <c r="Z22" s="329" t="str">
        <f>N_Pre_Qualified</f>
        <v>Qualifiés d'office</v>
      </c>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row>
    <row r="23" spans="1:73" ht="13.5" hidden="1" outlineLevel="1" thickBot="1" x14ac:dyDescent="0.25">
      <c r="A23"/>
      <c r="B23"/>
      <c r="C23"/>
      <c r="D23"/>
      <c r="E23"/>
      <c r="F23"/>
      <c r="G23"/>
      <c r="H23"/>
      <c r="I23"/>
      <c r="J23"/>
      <c r="K23"/>
      <c r="L23"/>
      <c r="M23"/>
      <c r="N23"/>
      <c r="O23"/>
      <c r="P23"/>
      <c r="Q23"/>
      <c r="R23"/>
      <c r="S23"/>
      <c r="T23"/>
      <c r="U23" s="6"/>
      <c r="V23" s="8"/>
      <c r="W23" s="8"/>
      <c r="X23" s="8"/>
      <c r="Y23"/>
      <c r="Z23" s="2469"/>
      <c r="AA23" s="2470"/>
      <c r="AB23" s="2470"/>
      <c r="AC23" s="2471"/>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row>
    <row r="24" spans="1:73" ht="13.5" hidden="1" outlineLevel="1" thickBot="1" x14ac:dyDescent="0.25">
      <c r="A24"/>
      <c r="B24"/>
      <c r="C24"/>
      <c r="D24"/>
      <c r="E24"/>
      <c r="F24"/>
      <c r="G24"/>
      <c r="H24"/>
      <c r="I24"/>
      <c r="J24"/>
      <c r="K24"/>
      <c r="L24"/>
      <c r="M24"/>
      <c r="N24"/>
      <c r="O24"/>
      <c r="P24"/>
      <c r="Q24"/>
      <c r="R24"/>
      <c r="S24"/>
      <c r="T24"/>
      <c r="U24" s="6"/>
      <c r="V24" s="8"/>
      <c r="W24" s="8"/>
      <c r="X24" s="8"/>
      <c r="Y24"/>
      <c r="Z24" s="2469"/>
      <c r="AA24" s="2470"/>
      <c r="AB24" s="2470"/>
      <c r="AC24" s="2471"/>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row>
    <row r="25" spans="1:73" ht="13.5" hidden="1" outlineLevel="1" thickBot="1" x14ac:dyDescent="0.25">
      <c r="A25"/>
      <c r="B25"/>
      <c r="C25"/>
      <c r="D25"/>
      <c r="E25"/>
      <c r="F25"/>
      <c r="G25"/>
      <c r="H25"/>
      <c r="I25"/>
      <c r="J25"/>
      <c r="K25"/>
      <c r="L25"/>
      <c r="M25"/>
      <c r="N25"/>
      <c r="O25"/>
      <c r="P25"/>
      <c r="Q25"/>
      <c r="R25"/>
      <c r="S25"/>
      <c r="T25"/>
      <c r="U25" s="6"/>
      <c r="V25" s="8"/>
      <c r="W25" s="8"/>
      <c r="X25" s="8"/>
      <c r="Y25"/>
      <c r="Z25" s="2469"/>
      <c r="AA25" s="2470"/>
      <c r="AB25" s="2470"/>
      <c r="AC25" s="2471"/>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row>
    <row r="26" spans="1:73" ht="13.5" hidden="1" outlineLevel="1" thickBot="1" x14ac:dyDescent="0.25">
      <c r="A26"/>
      <c r="B26"/>
      <c r="C26"/>
      <c r="D26"/>
      <c r="E26"/>
      <c r="F26"/>
      <c r="G26"/>
      <c r="H26"/>
      <c r="I26"/>
      <c r="J26"/>
      <c r="K26"/>
      <c r="L26"/>
      <c r="M26"/>
      <c r="N26"/>
      <c r="O26"/>
      <c r="P26"/>
      <c r="Q26"/>
      <c r="R26"/>
      <c r="S26"/>
      <c r="T26"/>
      <c r="U26" s="6"/>
      <c r="V26" s="8"/>
      <c r="W26" s="8"/>
      <c r="X26" s="8"/>
      <c r="Y26"/>
      <c r="Z26" s="2469"/>
      <c r="AA26" s="2470"/>
      <c r="AB26" s="2470"/>
      <c r="AC26" s="2471"/>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row>
    <row r="27" spans="1:73" ht="13.5" hidden="1" outlineLevel="1" thickBot="1" x14ac:dyDescent="0.25">
      <c r="A27"/>
      <c r="B27"/>
      <c r="C27"/>
      <c r="D27"/>
      <c r="E27"/>
      <c r="F27"/>
      <c r="G27"/>
      <c r="H27"/>
      <c r="I27"/>
      <c r="J27"/>
      <c r="K27"/>
      <c r="L27"/>
      <c r="M27"/>
      <c r="N27"/>
      <c r="O27"/>
      <c r="P27"/>
      <c r="Q27"/>
      <c r="R27"/>
      <c r="S27"/>
      <c r="T27"/>
      <c r="U27" s="6"/>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row>
    <row r="28" spans="1:73" ht="13.5" collapsed="1" thickBot="1" x14ac:dyDescent="0.25">
      <c r="A28"/>
      <c r="B28" s="2460" t="str">
        <f>N__1_8_DE_FINALE</f>
        <v>1/8 DE FINALE</v>
      </c>
      <c r="C28" s="2461"/>
      <c r="D28" s="2461"/>
      <c r="E28" s="2461"/>
      <c r="F28" s="2461"/>
      <c r="G28" s="2461"/>
      <c r="H28" s="2461"/>
      <c r="I28" s="2461"/>
      <c r="J28" s="2461"/>
      <c r="K28" s="2461"/>
      <c r="L28" s="2461"/>
      <c r="M28" s="2461"/>
      <c r="N28" s="2461"/>
      <c r="O28" s="2461"/>
      <c r="P28" s="2461"/>
      <c r="Q28" s="2461"/>
      <c r="R28" s="2461"/>
      <c r="S28" s="2461"/>
      <c r="T28" s="2461"/>
      <c r="U28" s="2461"/>
      <c r="V28" s="2461"/>
      <c r="W28" s="2461"/>
      <c r="X28" s="2461"/>
      <c r="Y28" s="2461"/>
      <c r="Z28" s="2461"/>
      <c r="AA28" s="2461"/>
      <c r="AB28" s="2461"/>
      <c r="AC28" s="2461"/>
      <c r="AD28" s="2461"/>
      <c r="AE28" s="2461"/>
      <c r="AF28" s="2461"/>
      <c r="AG28" s="2461"/>
      <c r="AH28" s="2461"/>
      <c r="AI28" s="2461"/>
      <c r="AJ28" s="2461"/>
      <c r="AK28" s="2461"/>
      <c r="AL28" s="2461"/>
      <c r="AM28" s="2462"/>
      <c r="AN28"/>
      <c r="AO28"/>
      <c r="AP28"/>
      <c r="AQ28"/>
      <c r="AR28"/>
      <c r="AS28"/>
      <c r="AT28"/>
      <c r="AU28"/>
      <c r="AV28"/>
      <c r="AW28"/>
      <c r="AX28"/>
      <c r="AY28"/>
      <c r="AZ28"/>
      <c r="BA28"/>
      <c r="BB28"/>
      <c r="BC28"/>
      <c r="BD28"/>
      <c r="BE28"/>
      <c r="BF28"/>
      <c r="BG28"/>
      <c r="BH28"/>
      <c r="BI28"/>
      <c r="BJ28"/>
      <c r="BK28"/>
      <c r="BL28"/>
      <c r="BM28"/>
      <c r="BN28"/>
      <c r="BO28"/>
      <c r="BP28"/>
      <c r="BQ28"/>
      <c r="BR28"/>
      <c r="BS28"/>
      <c r="BT28"/>
      <c r="BU28"/>
    </row>
    <row r="29" spans="1:73" ht="13.5" hidden="1" outlineLevel="1" thickBot="1" x14ac:dyDescent="0.25">
      <c r="A29"/>
      <c r="B29"/>
      <c r="C29"/>
      <c r="D29"/>
      <c r="E29"/>
      <c r="F29"/>
      <c r="G29"/>
      <c r="H29"/>
      <c r="I29"/>
      <c r="J29"/>
      <c r="K29"/>
      <c r="L29"/>
      <c r="M29"/>
      <c r="N29"/>
      <c r="O29"/>
      <c r="P29"/>
      <c r="Q29"/>
      <c r="R29"/>
      <c r="S29"/>
      <c r="T29"/>
      <c r="U29" s="6"/>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row>
    <row r="30" spans="1:73" ht="13.5" hidden="1" outlineLevel="1" thickBot="1" x14ac:dyDescent="0.25">
      <c r="A30"/>
      <c r="B30"/>
      <c r="C30"/>
      <c r="D30"/>
      <c r="E30"/>
      <c r="F30"/>
      <c r="G30"/>
      <c r="H30"/>
      <c r="I30"/>
      <c r="J30"/>
      <c r="K30"/>
      <c r="L30"/>
      <c r="M30"/>
      <c r="N30"/>
      <c r="O30"/>
      <c r="P30"/>
      <c r="Q30"/>
      <c r="R30"/>
      <c r="S30"/>
      <c r="T30"/>
      <c r="U30" s="6"/>
      <c r="V30" s="3" t="str">
        <f>N_Heure</f>
        <v>Heure</v>
      </c>
      <c r="W30" s="3" t="str">
        <f>N_Table</f>
        <v>Table</v>
      </c>
      <c r="X30" s="3" t="str">
        <f>N_Arbitre</f>
        <v>Arbitre</v>
      </c>
      <c r="Y30" s="2439" t="str">
        <f>N_Scores</f>
        <v>Scores</v>
      </c>
      <c r="Z30" s="2440"/>
      <c r="AA30" s="2440"/>
      <c r="AB30" s="2440"/>
      <c r="AC30" s="2441"/>
      <c r="AD30" s="228" t="str">
        <f>N_MS</f>
        <v>MS</v>
      </c>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row>
    <row r="31" spans="1:73" ht="13.5" hidden="1" outlineLevel="1" thickBot="1" x14ac:dyDescent="0.25">
      <c r="A31"/>
      <c r="B31"/>
      <c r="C31"/>
      <c r="D31"/>
      <c r="E31"/>
      <c r="F31"/>
      <c r="G31"/>
      <c r="H31"/>
      <c r="I31"/>
      <c r="J31"/>
      <c r="K31"/>
      <c r="L31"/>
      <c r="M31"/>
      <c r="N31"/>
      <c r="O31"/>
      <c r="P31"/>
      <c r="Q31"/>
      <c r="R31"/>
      <c r="S31"/>
      <c r="T31"/>
      <c r="U31" s="330" t="s">
        <v>1722</v>
      </c>
      <c r="V31" s="8"/>
      <c r="W31" s="8"/>
      <c r="X31" s="8"/>
      <c r="Y31" s="166"/>
      <c r="Z31" s="229" t="str">
        <f>IF(OR(ISNUMBER(Z34),ISNUMBER(Z35)),Lire_Gain_Matches(Z34:Z35, AB34:AB35),"")</f>
        <v/>
      </c>
      <c r="AA31" s="226" t="s">
        <v>769</v>
      </c>
      <c r="AB31" s="230" t="str">
        <f>IF(OR(ISNUMBER(Z34),ISNUMBER(Z35)),Lire_Gain_Matches(AB34:AB35, Z34:Z35),"")</f>
        <v/>
      </c>
      <c r="AC31" s="166"/>
      <c r="AD31" s="231" t="str">
        <f>IF(ISNA(VLOOKUP("X",AD34:AD35,1,FALSE)),"","X")</f>
        <v/>
      </c>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row>
    <row r="32" spans="1:73" ht="13.5" hidden="1" outlineLevel="1" thickBot="1" x14ac:dyDescent="0.25">
      <c r="A32"/>
      <c r="B32"/>
      <c r="C32"/>
      <c r="D32"/>
      <c r="E32"/>
      <c r="F32"/>
      <c r="G32"/>
      <c r="H32"/>
      <c r="I32"/>
      <c r="J32"/>
      <c r="K32"/>
      <c r="L32"/>
      <c r="M32"/>
      <c r="N32"/>
      <c r="O32"/>
      <c r="P32"/>
      <c r="Q32"/>
      <c r="R32"/>
      <c r="S32"/>
      <c r="T32"/>
      <c r="U32" s="6"/>
      <c r="V32" s="8"/>
      <c r="W32" s="8"/>
      <c r="X32" s="8"/>
      <c r="Y32" s="232" t="str">
        <f>N_Total_buts</f>
        <v>Total des buts</v>
      </c>
      <c r="Z32" s="229" t="str">
        <f>IF(OR(ISNUMBER(Z34),ISNUMBER(Z35)),SUM(Z34:Z35),"")</f>
        <v/>
      </c>
      <c r="AA32" s="226" t="s">
        <v>769</v>
      </c>
      <c r="AB32" s="230" t="str">
        <f>IF(OR(ISNUMBER(Z34),ISNUMBER(Z35)),SUM(AB34:AB35),"")</f>
        <v/>
      </c>
      <c r="AC32" s="233" t="str">
        <f>IF(Z36="","",CONCATENATE("(Diff : ",Z36," - ",AB36,")"))</f>
        <v/>
      </c>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row>
    <row r="33" spans="1:73" ht="13.5" hidden="1" outlineLevel="1" thickBot="1" x14ac:dyDescent="0.25">
      <c r="A33"/>
      <c r="B33"/>
      <c r="C33"/>
      <c r="D33"/>
      <c r="E33"/>
      <c r="F33"/>
      <c r="G33"/>
      <c r="H33"/>
      <c r="I33"/>
      <c r="J33" s="833" t="str">
        <f>IF(Z33="","",IF(Z33=Y31,AC31,Y31))</f>
        <v/>
      </c>
      <c r="K33"/>
      <c r="L33"/>
      <c r="M33"/>
      <c r="N33"/>
      <c r="O33"/>
      <c r="P33"/>
      <c r="Q33"/>
      <c r="R33"/>
      <c r="S33"/>
      <c r="T33"/>
      <c r="U33" s="6"/>
      <c r="V33" s="8"/>
      <c r="W33" s="8"/>
      <c r="X33" s="8"/>
      <c r="Y33" s="234" t="str">
        <f>N_VAINQUEUR</f>
        <v>VAINQUEUR</v>
      </c>
      <c r="Z33" s="2433" t="str">
        <f>IF(Z34="",IF(HidePlayerFormulas,"","("&amp;Y31&amp;"-"&amp;AC31&amp;")"),IF(Z31&gt;AB31,Y31,IF(AB31&gt;Z31,AC31,IF(Z32&gt;AB32,Y31,IF(AB32&gt;Z32,AC31,IF(Z38&gt;AB38,Y31,IF(AB38&gt;Z38,AC31,mess_erreur_marque)))))))</f>
        <v/>
      </c>
      <c r="AA33" s="2434"/>
      <c r="AB33" s="2434"/>
      <c r="AC33" s="2435"/>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row>
    <row r="34" spans="1:73" hidden="1" outlineLevel="2" x14ac:dyDescent="0.2">
      <c r="A34"/>
      <c r="B34"/>
      <c r="C34"/>
      <c r="D34"/>
      <c r="E34"/>
      <c r="F34"/>
      <c r="G34"/>
      <c r="H34"/>
      <c r="I34"/>
      <c r="J34"/>
      <c r="K34"/>
      <c r="L34"/>
      <c r="M34"/>
      <c r="N34"/>
      <c r="O34"/>
      <c r="P34"/>
      <c r="Q34"/>
      <c r="R34"/>
      <c r="S34"/>
      <c r="T34"/>
      <c r="U34" s="6"/>
      <c r="V34" s="144"/>
      <c r="W34" s="145"/>
      <c r="X34" s="235"/>
      <c r="Y34" s="147"/>
      <c r="Z34" s="236"/>
      <c r="AA34" s="60" t="s">
        <v>769</v>
      </c>
      <c r="AB34" s="236"/>
      <c r="AC34" s="147"/>
      <c r="AD34" s="150"/>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row>
    <row r="35" spans="1:73" ht="13.5" hidden="1" outlineLevel="2" thickBot="1" x14ac:dyDescent="0.25">
      <c r="A35"/>
      <c r="B35"/>
      <c r="C35"/>
      <c r="D35"/>
      <c r="E35"/>
      <c r="F35"/>
      <c r="G35"/>
      <c r="H35"/>
      <c r="I35"/>
      <c r="J35"/>
      <c r="K35"/>
      <c r="L35"/>
      <c r="M35"/>
      <c r="N35"/>
      <c r="O35"/>
      <c r="P35"/>
      <c r="Q35"/>
      <c r="R35"/>
      <c r="S35"/>
      <c r="T35"/>
      <c r="U35" s="6"/>
      <c r="V35" s="171"/>
      <c r="W35" s="172"/>
      <c r="X35" s="238"/>
      <c r="Y35" s="174"/>
      <c r="Z35" s="175"/>
      <c r="AA35" s="52" t="s">
        <v>769</v>
      </c>
      <c r="AB35" s="175"/>
      <c r="AC35" s="174"/>
      <c r="AD35" s="176"/>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row>
    <row r="36" spans="1:73" ht="13.5" hidden="1" outlineLevel="2" thickBot="1" x14ac:dyDescent="0.25">
      <c r="A36"/>
      <c r="B36"/>
      <c r="C36"/>
      <c r="D36"/>
      <c r="E36"/>
      <c r="F36"/>
      <c r="G36"/>
      <c r="H36"/>
      <c r="I36"/>
      <c r="J36"/>
      <c r="K36"/>
      <c r="L36"/>
      <c r="M36"/>
      <c r="N36"/>
      <c r="O36"/>
      <c r="P36"/>
      <c r="Q36"/>
      <c r="R36"/>
      <c r="S36"/>
      <c r="T36"/>
      <c r="U36" s="6"/>
      <c r="V36" s="178"/>
      <c r="W36" s="179" t="str">
        <f>N_Différentiel</f>
        <v>Différentiel</v>
      </c>
      <c r="X36" s="239"/>
      <c r="Y36" s="240"/>
      <c r="Z36" s="182"/>
      <c r="AA36" s="66" t="s">
        <v>769</v>
      </c>
      <c r="AB36" s="182"/>
      <c r="AC36" s="240"/>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row>
    <row r="37" spans="1:73" ht="13.5" hidden="1" outlineLevel="1" thickBot="1" x14ac:dyDescent="0.25">
      <c r="A37"/>
      <c r="B37"/>
      <c r="C37"/>
      <c r="D37"/>
      <c r="E37"/>
      <c r="F37"/>
      <c r="G37"/>
      <c r="H37"/>
      <c r="I37"/>
      <c r="J37"/>
      <c r="K37"/>
      <c r="L37"/>
      <c r="M37"/>
      <c r="N37"/>
      <c r="O37"/>
      <c r="P37"/>
      <c r="Q37"/>
      <c r="R37"/>
      <c r="S37"/>
      <c r="T37"/>
      <c r="U37" s="6"/>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row>
    <row r="38" spans="1:73" ht="13.5" hidden="1" outlineLevel="1" thickBot="1" x14ac:dyDescent="0.25">
      <c r="A38"/>
      <c r="B38"/>
      <c r="C38"/>
      <c r="D38"/>
      <c r="E38"/>
      <c r="F38"/>
      <c r="G38"/>
      <c r="H38"/>
      <c r="I38"/>
      <c r="J38"/>
      <c r="K38"/>
      <c r="L38"/>
      <c r="M38"/>
      <c r="N38"/>
      <c r="O38"/>
      <c r="P38"/>
      <c r="Q38"/>
      <c r="R38"/>
      <c r="S38"/>
      <c r="T38"/>
      <c r="U38" s="6"/>
      <c r="V38" s="3" t="str">
        <f>N_Heure</f>
        <v>Heure</v>
      </c>
      <c r="W38" s="3" t="str">
        <f>N_Table</f>
        <v>Table</v>
      </c>
      <c r="X38" s="3" t="str">
        <f>N_Arbitre</f>
        <v>Arbitre</v>
      </c>
      <c r="Y38" s="2439" t="str">
        <f>N_Scores</f>
        <v>Scores</v>
      </c>
      <c r="Z38" s="2440"/>
      <c r="AA38" s="2440"/>
      <c r="AB38" s="2440"/>
      <c r="AC38" s="2441"/>
      <c r="AD38" s="228" t="str">
        <f>N_MS</f>
        <v>MS</v>
      </c>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row>
    <row r="39" spans="1:73" ht="13.5" hidden="1" outlineLevel="1" thickBot="1" x14ac:dyDescent="0.25">
      <c r="A39"/>
      <c r="B39"/>
      <c r="C39"/>
      <c r="D39"/>
      <c r="E39"/>
      <c r="F39"/>
      <c r="G39"/>
      <c r="H39"/>
      <c r="I39"/>
      <c r="J39"/>
      <c r="K39"/>
      <c r="L39"/>
      <c r="M39"/>
      <c r="N39"/>
      <c r="O39"/>
      <c r="P39"/>
      <c r="Q39"/>
      <c r="R39"/>
      <c r="S39"/>
      <c r="T39"/>
      <c r="U39" s="330" t="s">
        <v>1722</v>
      </c>
      <c r="V39" s="8"/>
      <c r="W39" s="8"/>
      <c r="X39" s="8"/>
      <c r="Y39" s="166"/>
      <c r="Z39" s="229" t="str">
        <f>IF(OR(ISNUMBER(Z42),ISNUMBER(Z43)),Lire_Gain_Matches(Z42:Z43, AB42:AB43),"")</f>
        <v/>
      </c>
      <c r="AA39" s="226" t="s">
        <v>769</v>
      </c>
      <c r="AB39" s="230" t="str">
        <f>IF(OR(ISNUMBER(Z42),ISNUMBER(Z43)),Lire_Gain_Matches(AB42:AB43, Z42:Z43),"")</f>
        <v/>
      </c>
      <c r="AC39" s="166"/>
      <c r="AD39" s="231" t="str">
        <f>IF(ISNA(VLOOKUP("X",AD42:AD43,1,FALSE)),"","X")</f>
        <v/>
      </c>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row>
    <row r="40" spans="1:73" ht="13.5" hidden="1" outlineLevel="1" thickBot="1" x14ac:dyDescent="0.25">
      <c r="A40"/>
      <c r="B40"/>
      <c r="C40"/>
      <c r="D40"/>
      <c r="E40"/>
      <c r="F40"/>
      <c r="G40"/>
      <c r="H40"/>
      <c r="I40"/>
      <c r="J40"/>
      <c r="K40"/>
      <c r="L40"/>
      <c r="M40"/>
      <c r="N40"/>
      <c r="O40"/>
      <c r="P40"/>
      <c r="Q40"/>
      <c r="R40"/>
      <c r="S40"/>
      <c r="T40"/>
      <c r="U40" s="6"/>
      <c r="V40" s="8"/>
      <c r="W40" s="8"/>
      <c r="X40" s="8"/>
      <c r="Y40" s="232" t="str">
        <f>N_Total_buts</f>
        <v>Total des buts</v>
      </c>
      <c r="Z40" s="229" t="str">
        <f>IF(OR(ISNUMBER(Z42),ISNUMBER(Z43)),SUM(Z42:Z43),"")</f>
        <v/>
      </c>
      <c r="AA40" s="226" t="s">
        <v>769</v>
      </c>
      <c r="AB40" s="230" t="str">
        <f>IF(OR(ISNUMBER(Z42),ISNUMBER(Z43)),SUM(AB42:AB43),"")</f>
        <v/>
      </c>
      <c r="AC40" s="233" t="str">
        <f>IF(Z44="","",CONCATENATE("(Diff : ",Z44," - ",AB44,")"))</f>
        <v/>
      </c>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row>
    <row r="41" spans="1:73" ht="13.5" hidden="1" outlineLevel="1" thickBot="1" x14ac:dyDescent="0.25">
      <c r="A41"/>
      <c r="B41"/>
      <c r="C41"/>
      <c r="D41"/>
      <c r="E41"/>
      <c r="F41"/>
      <c r="G41"/>
      <c r="H41"/>
      <c r="I41"/>
      <c r="J41" s="833" t="str">
        <f>IF(Z41="","",IF(Z41=Y39,AC39,Y39))</f>
        <v/>
      </c>
      <c r="K41"/>
      <c r="L41"/>
      <c r="M41"/>
      <c r="N41"/>
      <c r="O41"/>
      <c r="P41"/>
      <c r="Q41"/>
      <c r="R41"/>
      <c r="S41"/>
      <c r="T41"/>
      <c r="U41" s="6"/>
      <c r="V41" s="8"/>
      <c r="W41" s="8"/>
      <c r="X41" s="8"/>
      <c r="Y41" s="234" t="str">
        <f>N_VAINQUEUR</f>
        <v>VAINQUEUR</v>
      </c>
      <c r="Z41" s="2433" t="str">
        <f>IF(Z42="",IF(HidePlayerFormulas,"","("&amp;Y39&amp;"-"&amp;AC39&amp;")"),IF(Z39&gt;AB39,Y39,IF(AB39&gt;Z39,AC39,IF(Z40&gt;AB40,Y39,IF(AB40&gt;Z40,AC39,IF(Z46&gt;AB46,Y39,IF(AB46&gt;Z46,AC39,mess_erreur_marque)))))))</f>
        <v/>
      </c>
      <c r="AA41" s="2434"/>
      <c r="AB41" s="2434"/>
      <c r="AC41" s="2435"/>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row>
    <row r="42" spans="1:73" ht="12.75" hidden="1" customHeight="1" outlineLevel="2" x14ac:dyDescent="0.2">
      <c r="A42"/>
      <c r="B42"/>
      <c r="C42"/>
      <c r="D42"/>
      <c r="E42"/>
      <c r="F42"/>
      <c r="G42"/>
      <c r="H42"/>
      <c r="I42"/>
      <c r="J42"/>
      <c r="K42"/>
      <c r="L42"/>
      <c r="M42"/>
      <c r="N42"/>
      <c r="O42"/>
      <c r="P42"/>
      <c r="Q42"/>
      <c r="R42"/>
      <c r="S42"/>
      <c r="T42"/>
      <c r="U42" s="6"/>
      <c r="V42" s="144"/>
      <c r="W42" s="145"/>
      <c r="X42" s="235"/>
      <c r="Y42" s="147"/>
      <c r="Z42" s="236"/>
      <c r="AA42" s="60" t="s">
        <v>769</v>
      </c>
      <c r="AB42" s="236"/>
      <c r="AC42" s="147"/>
      <c r="AD42" s="150"/>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row>
    <row r="43" spans="1:73" ht="13.5" hidden="1" customHeight="1" outlineLevel="2" thickBot="1" x14ac:dyDescent="0.25">
      <c r="A43"/>
      <c r="B43"/>
      <c r="C43"/>
      <c r="D43"/>
      <c r="E43"/>
      <c r="F43"/>
      <c r="G43"/>
      <c r="H43"/>
      <c r="I43"/>
      <c r="J43"/>
      <c r="K43"/>
      <c r="L43"/>
      <c r="M43"/>
      <c r="N43"/>
      <c r="O43"/>
      <c r="P43"/>
      <c r="Q43"/>
      <c r="R43"/>
      <c r="S43"/>
      <c r="T43"/>
      <c r="U43" s="6"/>
      <c r="V43" s="171"/>
      <c r="W43" s="172"/>
      <c r="X43" s="238"/>
      <c r="Y43" s="174"/>
      <c r="Z43" s="175"/>
      <c r="AA43" s="52" t="s">
        <v>769</v>
      </c>
      <c r="AB43" s="175"/>
      <c r="AC43" s="174"/>
      <c r="AD43" s="176"/>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row>
    <row r="44" spans="1:73" ht="13.5" hidden="1" customHeight="1" outlineLevel="2" thickBot="1" x14ac:dyDescent="0.25">
      <c r="A44"/>
      <c r="B44"/>
      <c r="C44"/>
      <c r="D44"/>
      <c r="E44"/>
      <c r="F44"/>
      <c r="G44"/>
      <c r="H44"/>
      <c r="I44"/>
      <c r="J44"/>
      <c r="K44"/>
      <c r="L44"/>
      <c r="M44"/>
      <c r="N44"/>
      <c r="O44"/>
      <c r="P44"/>
      <c r="Q44"/>
      <c r="R44"/>
      <c r="S44"/>
      <c r="T44"/>
      <c r="U44" s="6"/>
      <c r="V44" s="178"/>
      <c r="W44" s="179" t="str">
        <f>N_Différentiel</f>
        <v>Différentiel</v>
      </c>
      <c r="X44" s="239"/>
      <c r="Y44" s="240"/>
      <c r="Z44" s="182"/>
      <c r="AA44" s="66" t="s">
        <v>769</v>
      </c>
      <c r="AB44" s="182"/>
      <c r="AC44" s="240"/>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row>
    <row r="45" spans="1:73" ht="13.5" hidden="1" outlineLevel="1" thickBot="1" x14ac:dyDescent="0.25">
      <c r="A45"/>
      <c r="B45"/>
      <c r="C45"/>
      <c r="D45"/>
      <c r="E45"/>
      <c r="F45"/>
      <c r="G45"/>
      <c r="H45"/>
      <c r="I45"/>
      <c r="J45"/>
      <c r="K45"/>
      <c r="L45"/>
      <c r="M45"/>
      <c r="N45"/>
      <c r="O45"/>
      <c r="P45"/>
      <c r="Q45"/>
      <c r="R45"/>
      <c r="S45"/>
      <c r="T45"/>
      <c r="U45" s="6"/>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row>
    <row r="46" spans="1:73" ht="13.5" hidden="1" outlineLevel="1" thickBot="1" x14ac:dyDescent="0.25">
      <c r="A46"/>
      <c r="B46"/>
      <c r="C46"/>
      <c r="D46"/>
      <c r="E46"/>
      <c r="F46"/>
      <c r="G46"/>
      <c r="H46"/>
      <c r="I46"/>
      <c r="J46"/>
      <c r="K46"/>
      <c r="L46"/>
      <c r="M46"/>
      <c r="N46"/>
      <c r="O46"/>
      <c r="P46"/>
      <c r="Q46"/>
      <c r="R46"/>
      <c r="S46"/>
      <c r="T46"/>
      <c r="U46" s="6"/>
      <c r="V46" s="3" t="str">
        <f>N_Heure</f>
        <v>Heure</v>
      </c>
      <c r="W46" s="3" t="str">
        <f>N_Table</f>
        <v>Table</v>
      </c>
      <c r="X46" s="3" t="str">
        <f>N_Arbitre</f>
        <v>Arbitre</v>
      </c>
      <c r="Y46" s="2439" t="str">
        <f>N_Scores</f>
        <v>Scores</v>
      </c>
      <c r="Z46" s="2440"/>
      <c r="AA46" s="2440"/>
      <c r="AB46" s="2440"/>
      <c r="AC46" s="2441"/>
      <c r="AD46" s="228" t="str">
        <f>N_MS</f>
        <v>MS</v>
      </c>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row>
    <row r="47" spans="1:73" ht="13.5" hidden="1" outlineLevel="1" thickBot="1" x14ac:dyDescent="0.25">
      <c r="A47"/>
      <c r="B47"/>
      <c r="C47"/>
      <c r="D47"/>
      <c r="E47"/>
      <c r="F47"/>
      <c r="G47"/>
      <c r="H47"/>
      <c r="I47"/>
      <c r="J47"/>
      <c r="K47"/>
      <c r="L47"/>
      <c r="M47"/>
      <c r="N47"/>
      <c r="O47"/>
      <c r="P47"/>
      <c r="Q47"/>
      <c r="R47"/>
      <c r="S47"/>
      <c r="T47"/>
      <c r="U47" s="330" t="s">
        <v>1722</v>
      </c>
      <c r="V47" s="8"/>
      <c r="W47" s="8"/>
      <c r="X47" s="8"/>
      <c r="Y47" s="166"/>
      <c r="Z47" s="229" t="str">
        <f>IF(OR(ISNUMBER(Z50),ISNUMBER(Z51)),Lire_Gain_Matches(Z50:Z51, AB50:AB51),"")</f>
        <v/>
      </c>
      <c r="AA47" s="226" t="s">
        <v>769</v>
      </c>
      <c r="AB47" s="230" t="str">
        <f>IF(OR(ISNUMBER(Z50),ISNUMBER(Z51)),Lire_Gain_Matches(AB50:AB51, Z50:Z51),"")</f>
        <v/>
      </c>
      <c r="AC47" s="166"/>
      <c r="AD47" s="231" t="str">
        <f>IF(ISNA(VLOOKUP("X",AD50:AD51,1,FALSE)),"","X")</f>
        <v/>
      </c>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row>
    <row r="48" spans="1:73" ht="13.5" hidden="1" outlineLevel="1" thickBot="1" x14ac:dyDescent="0.25">
      <c r="A48"/>
      <c r="B48"/>
      <c r="C48"/>
      <c r="D48"/>
      <c r="E48"/>
      <c r="F48"/>
      <c r="G48"/>
      <c r="H48"/>
      <c r="I48"/>
      <c r="J48"/>
      <c r="K48"/>
      <c r="L48"/>
      <c r="M48"/>
      <c r="N48"/>
      <c r="O48"/>
      <c r="P48"/>
      <c r="Q48"/>
      <c r="R48"/>
      <c r="S48"/>
      <c r="T48"/>
      <c r="U48" s="6"/>
      <c r="V48" s="8"/>
      <c r="W48" s="8"/>
      <c r="X48" s="8"/>
      <c r="Y48" s="232" t="str">
        <f>N_Total_buts</f>
        <v>Total des buts</v>
      </c>
      <c r="Z48" s="229" t="str">
        <f>IF(OR(ISNUMBER(Z50),ISNUMBER(Z51)),SUM(Z50:Z51),"")</f>
        <v/>
      </c>
      <c r="AA48" s="226" t="s">
        <v>769</v>
      </c>
      <c r="AB48" s="230" t="str">
        <f>IF(OR(ISNUMBER(Z50),ISNUMBER(Z51)),SUM(AB50:AB51),"")</f>
        <v/>
      </c>
      <c r="AC48" s="233" t="str">
        <f>IF(Z52="","",CONCATENATE("(Diff : ",Z52," - ",AB52,")"))</f>
        <v/>
      </c>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row>
    <row r="49" spans="1:73" ht="13.5" hidden="1" outlineLevel="1" thickBot="1" x14ac:dyDescent="0.25">
      <c r="A49"/>
      <c r="B49"/>
      <c r="C49"/>
      <c r="D49"/>
      <c r="E49"/>
      <c r="F49"/>
      <c r="G49"/>
      <c r="H49"/>
      <c r="I49"/>
      <c r="J49" s="833" t="str">
        <f>IF(Z49="","",IF(Z49=Y47,AC47,Y47))</f>
        <v/>
      </c>
      <c r="K49"/>
      <c r="L49"/>
      <c r="M49"/>
      <c r="N49"/>
      <c r="O49"/>
      <c r="P49"/>
      <c r="Q49"/>
      <c r="R49"/>
      <c r="S49"/>
      <c r="T49"/>
      <c r="U49" s="6"/>
      <c r="V49" s="8"/>
      <c r="W49" s="8"/>
      <c r="X49" s="8"/>
      <c r="Y49" s="234" t="str">
        <f>N_VAINQUEUR</f>
        <v>VAINQUEUR</v>
      </c>
      <c r="Z49" s="2433" t="str">
        <f>IF(Z50="",IF(HidePlayerFormulas,"","("&amp;Y47&amp;"-"&amp;AC47&amp;")"),IF(Z47&gt;AB47,Y47,IF(AB47&gt;Z47,AC47,IF(Z48&gt;AB48,Y47,IF(AB48&gt;Z48,AC47,IF(Z54&gt;AB54,Y47,IF(AB54&gt;Z54,AC47,mess_erreur_marque)))))))</f>
        <v/>
      </c>
      <c r="AA49" s="2434"/>
      <c r="AB49" s="2434"/>
      <c r="AC49" s="2435"/>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row>
    <row r="50" spans="1:73" ht="12.75" hidden="1" customHeight="1" outlineLevel="2" x14ac:dyDescent="0.2">
      <c r="A50"/>
      <c r="B50"/>
      <c r="C50"/>
      <c r="D50"/>
      <c r="E50"/>
      <c r="F50"/>
      <c r="G50"/>
      <c r="H50"/>
      <c r="I50"/>
      <c r="J50"/>
      <c r="K50"/>
      <c r="L50"/>
      <c r="M50"/>
      <c r="N50"/>
      <c r="O50"/>
      <c r="P50"/>
      <c r="Q50"/>
      <c r="R50"/>
      <c r="S50"/>
      <c r="T50"/>
      <c r="U50" s="6"/>
      <c r="V50" s="144"/>
      <c r="W50" s="145"/>
      <c r="X50" s="235"/>
      <c r="Y50" s="147"/>
      <c r="Z50" s="236"/>
      <c r="AA50" s="60" t="s">
        <v>769</v>
      </c>
      <c r="AB50" s="236"/>
      <c r="AC50" s="147"/>
      <c r="AD50" s="1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row>
    <row r="51" spans="1:73" ht="13.5" hidden="1" customHeight="1" outlineLevel="2" thickBot="1" x14ac:dyDescent="0.25">
      <c r="A51"/>
      <c r="B51"/>
      <c r="C51"/>
      <c r="D51"/>
      <c r="E51"/>
      <c r="F51"/>
      <c r="G51"/>
      <c r="H51"/>
      <c r="I51"/>
      <c r="J51"/>
      <c r="K51"/>
      <c r="L51"/>
      <c r="M51"/>
      <c r="N51"/>
      <c r="O51"/>
      <c r="P51"/>
      <c r="Q51"/>
      <c r="R51"/>
      <c r="S51"/>
      <c r="T51"/>
      <c r="U51" s="6"/>
      <c r="V51" s="171"/>
      <c r="W51" s="172"/>
      <c r="X51" s="238"/>
      <c r="Y51" s="174"/>
      <c r="Z51" s="175"/>
      <c r="AA51" s="52" t="s">
        <v>769</v>
      </c>
      <c r="AB51" s="175"/>
      <c r="AC51" s="174"/>
      <c r="AD51" s="176"/>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row>
    <row r="52" spans="1:73" ht="13.5" hidden="1" customHeight="1" outlineLevel="2" thickBot="1" x14ac:dyDescent="0.25">
      <c r="A52"/>
      <c r="B52"/>
      <c r="C52"/>
      <c r="D52"/>
      <c r="E52"/>
      <c r="F52"/>
      <c r="G52"/>
      <c r="H52"/>
      <c r="I52"/>
      <c r="J52"/>
      <c r="K52"/>
      <c r="L52"/>
      <c r="M52"/>
      <c r="N52"/>
      <c r="O52"/>
      <c r="P52"/>
      <c r="Q52"/>
      <c r="R52"/>
      <c r="S52"/>
      <c r="T52"/>
      <c r="U52" s="6"/>
      <c r="V52" s="178"/>
      <c r="W52" s="179" t="str">
        <f>N_Différentiel</f>
        <v>Différentiel</v>
      </c>
      <c r="X52" s="239"/>
      <c r="Y52" s="240"/>
      <c r="Z52" s="182"/>
      <c r="AA52" s="66" t="s">
        <v>769</v>
      </c>
      <c r="AB52" s="182"/>
      <c r="AC52" s="240"/>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row>
    <row r="53" spans="1:73" ht="13.5" hidden="1" outlineLevel="1" thickBot="1" x14ac:dyDescent="0.25">
      <c r="A53"/>
      <c r="B53"/>
      <c r="C53"/>
      <c r="D53"/>
      <c r="E53"/>
      <c r="F53"/>
      <c r="G53"/>
      <c r="H53"/>
      <c r="I53"/>
      <c r="J53"/>
      <c r="K53"/>
      <c r="L53"/>
      <c r="M53"/>
      <c r="N53"/>
      <c r="O53"/>
      <c r="P53"/>
      <c r="Q53"/>
      <c r="R53"/>
      <c r="S53"/>
      <c r="T53"/>
      <c r="U53" s="6"/>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row>
    <row r="54" spans="1:73" ht="13.5" hidden="1" outlineLevel="1" thickBot="1" x14ac:dyDescent="0.25">
      <c r="A54"/>
      <c r="B54"/>
      <c r="C54"/>
      <c r="D54"/>
      <c r="E54"/>
      <c r="F54"/>
      <c r="G54"/>
      <c r="H54"/>
      <c r="I54"/>
      <c r="J54"/>
      <c r="K54"/>
      <c r="L54"/>
      <c r="M54"/>
      <c r="N54"/>
      <c r="O54"/>
      <c r="P54"/>
      <c r="Q54"/>
      <c r="R54"/>
      <c r="S54"/>
      <c r="T54"/>
      <c r="U54" s="6"/>
      <c r="V54" s="3" t="str">
        <f>N_Heure</f>
        <v>Heure</v>
      </c>
      <c r="W54" s="3" t="str">
        <f>N_Table</f>
        <v>Table</v>
      </c>
      <c r="X54" s="3" t="str">
        <f>N_Arbitre</f>
        <v>Arbitre</v>
      </c>
      <c r="Y54" s="2439" t="str">
        <f>N_Scores</f>
        <v>Scores</v>
      </c>
      <c r="Z54" s="2440"/>
      <c r="AA54" s="2440"/>
      <c r="AB54" s="2440"/>
      <c r="AC54" s="2441"/>
      <c r="AD54" s="228" t="str">
        <f>N_MS</f>
        <v>MS</v>
      </c>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row>
    <row r="55" spans="1:73" ht="13.5" hidden="1" outlineLevel="1" thickBot="1" x14ac:dyDescent="0.25">
      <c r="A55"/>
      <c r="B55"/>
      <c r="C55"/>
      <c r="D55"/>
      <c r="E55"/>
      <c r="F55"/>
      <c r="G55"/>
      <c r="H55"/>
      <c r="I55"/>
      <c r="J55"/>
      <c r="K55"/>
      <c r="L55"/>
      <c r="M55"/>
      <c r="N55"/>
      <c r="O55"/>
      <c r="P55"/>
      <c r="Q55"/>
      <c r="R55"/>
      <c r="S55"/>
      <c r="T55"/>
      <c r="U55" s="330" t="s">
        <v>1722</v>
      </c>
      <c r="V55" s="8"/>
      <c r="W55" s="8"/>
      <c r="X55" s="8"/>
      <c r="Y55" s="166"/>
      <c r="Z55" s="229" t="str">
        <f>IF(OR(ISNUMBER(Z58),ISNUMBER(Z59)),Lire_Gain_Matches(Z58:Z59, AB58:AB59),"")</f>
        <v/>
      </c>
      <c r="AA55" s="226" t="s">
        <v>769</v>
      </c>
      <c r="AB55" s="230" t="str">
        <f>IF(OR(ISNUMBER(Z58),ISNUMBER(Z59)),Lire_Gain_Matches(AB58:AB59, Z58:Z59),"")</f>
        <v/>
      </c>
      <c r="AC55" s="166"/>
      <c r="AD55" s="231" t="str">
        <f>IF(ISNA(VLOOKUP("X",AD58:AD59,1,FALSE)),"","X")</f>
        <v/>
      </c>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row>
    <row r="56" spans="1:73" ht="13.5" hidden="1" outlineLevel="1" thickBot="1" x14ac:dyDescent="0.25">
      <c r="A56"/>
      <c r="B56"/>
      <c r="C56"/>
      <c r="D56"/>
      <c r="E56"/>
      <c r="F56"/>
      <c r="G56"/>
      <c r="H56"/>
      <c r="I56"/>
      <c r="J56"/>
      <c r="K56"/>
      <c r="L56"/>
      <c r="M56"/>
      <c r="N56"/>
      <c r="O56"/>
      <c r="P56"/>
      <c r="Q56"/>
      <c r="R56"/>
      <c r="S56"/>
      <c r="T56"/>
      <c r="U56" s="6"/>
      <c r="V56" s="8"/>
      <c r="W56" s="8"/>
      <c r="X56" s="8"/>
      <c r="Y56" s="232" t="str">
        <f>N_Total_buts</f>
        <v>Total des buts</v>
      </c>
      <c r="Z56" s="229" t="str">
        <f>IF(OR(ISNUMBER(Z58),ISNUMBER(Z59)),SUM(Z58:Z59),"")</f>
        <v/>
      </c>
      <c r="AA56" s="226" t="s">
        <v>769</v>
      </c>
      <c r="AB56" s="230" t="str">
        <f>IF(OR(ISNUMBER(Z58),ISNUMBER(Z59)),SUM(AB58:AB59),"")</f>
        <v/>
      </c>
      <c r="AC56" s="233" t="str">
        <f>IF(Z60="","",CONCATENATE("(Diff : ",Z60," - ",AB60,")"))</f>
        <v/>
      </c>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row>
    <row r="57" spans="1:73" ht="13.5" hidden="1" outlineLevel="1" thickBot="1" x14ac:dyDescent="0.25">
      <c r="A57"/>
      <c r="B57"/>
      <c r="C57"/>
      <c r="D57"/>
      <c r="E57"/>
      <c r="F57"/>
      <c r="G57"/>
      <c r="H57"/>
      <c r="I57"/>
      <c r="J57" s="833" t="str">
        <f>IF(Z57="","",IF(Z57=Y55,AC55,Y55))</f>
        <v/>
      </c>
      <c r="K57"/>
      <c r="L57"/>
      <c r="M57"/>
      <c r="N57"/>
      <c r="O57"/>
      <c r="P57"/>
      <c r="Q57"/>
      <c r="R57"/>
      <c r="S57"/>
      <c r="T57"/>
      <c r="U57" s="6"/>
      <c r="V57" s="8"/>
      <c r="W57" s="8"/>
      <c r="X57" s="8"/>
      <c r="Y57" s="234" t="str">
        <f>N_VAINQUEUR</f>
        <v>VAINQUEUR</v>
      </c>
      <c r="Z57" s="2433" t="str">
        <f>IF(Z58="",IF(HidePlayerFormulas,"","("&amp;Y55&amp;"-"&amp;AC55&amp;")"),IF(Z55&gt;AB55,Y55,IF(AB55&gt;Z55,AC55,IF(Z56&gt;AB56,Y55,IF(AB56&gt;Z56,AC55,IF(Z62&gt;AB62,Y55,IF(AB62&gt;Z62,AC55,mess_erreur_marque)))))))</f>
        <v/>
      </c>
      <c r="AA57" s="2434"/>
      <c r="AB57" s="2434"/>
      <c r="AC57" s="2435"/>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row>
    <row r="58" spans="1:73" ht="12.75" hidden="1" customHeight="1" outlineLevel="2" x14ac:dyDescent="0.2">
      <c r="A58"/>
      <c r="B58"/>
      <c r="C58"/>
      <c r="D58"/>
      <c r="E58"/>
      <c r="F58"/>
      <c r="G58"/>
      <c r="H58"/>
      <c r="I58"/>
      <c r="J58"/>
      <c r="K58"/>
      <c r="L58"/>
      <c r="M58"/>
      <c r="N58"/>
      <c r="O58"/>
      <c r="P58"/>
      <c r="Q58"/>
      <c r="R58"/>
      <c r="S58"/>
      <c r="T58"/>
      <c r="U58" s="6"/>
      <c r="V58" s="144"/>
      <c r="W58" s="145"/>
      <c r="X58" s="235"/>
      <c r="Y58" s="147"/>
      <c r="Z58" s="236"/>
      <c r="AA58" s="60" t="s">
        <v>769</v>
      </c>
      <c r="AB58" s="236"/>
      <c r="AC58" s="147"/>
      <c r="AD58" s="150"/>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row>
    <row r="59" spans="1:73" ht="13.5" hidden="1" customHeight="1" outlineLevel="2" thickBot="1" x14ac:dyDescent="0.25">
      <c r="A59"/>
      <c r="B59"/>
      <c r="C59"/>
      <c r="D59"/>
      <c r="E59"/>
      <c r="F59"/>
      <c r="G59"/>
      <c r="H59"/>
      <c r="I59"/>
      <c r="J59"/>
      <c r="K59"/>
      <c r="L59"/>
      <c r="M59"/>
      <c r="N59"/>
      <c r="O59"/>
      <c r="P59"/>
      <c r="Q59"/>
      <c r="R59"/>
      <c r="S59"/>
      <c r="T59"/>
      <c r="U59" s="6"/>
      <c r="V59" s="171"/>
      <c r="W59" s="172"/>
      <c r="X59" s="238"/>
      <c r="Y59" s="174"/>
      <c r="Z59" s="175"/>
      <c r="AA59" s="52" t="s">
        <v>769</v>
      </c>
      <c r="AB59" s="175"/>
      <c r="AC59" s="174"/>
      <c r="AD59" s="176"/>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row>
    <row r="60" spans="1:73" ht="13.5" hidden="1" customHeight="1" outlineLevel="2" thickBot="1" x14ac:dyDescent="0.25">
      <c r="A60"/>
      <c r="B60"/>
      <c r="C60"/>
      <c r="D60"/>
      <c r="E60"/>
      <c r="F60"/>
      <c r="G60"/>
      <c r="H60"/>
      <c r="I60"/>
      <c r="J60"/>
      <c r="K60"/>
      <c r="L60"/>
      <c r="M60"/>
      <c r="N60"/>
      <c r="O60"/>
      <c r="P60"/>
      <c r="Q60"/>
      <c r="R60"/>
      <c r="S60"/>
      <c r="T60"/>
      <c r="U60" s="6"/>
      <c r="V60" s="178"/>
      <c r="W60" s="179" t="str">
        <f>N_Différentiel</f>
        <v>Différentiel</v>
      </c>
      <c r="X60" s="239"/>
      <c r="Y60" s="240"/>
      <c r="Z60" s="182"/>
      <c r="AA60" s="66" t="s">
        <v>769</v>
      </c>
      <c r="AB60" s="182"/>
      <c r="AC60" s="24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row>
    <row r="61" spans="1:73" ht="13.5" hidden="1" outlineLevel="1" thickBot="1" x14ac:dyDescent="0.25">
      <c r="A61"/>
      <c r="B61"/>
      <c r="C61"/>
      <c r="D61"/>
      <c r="E61"/>
      <c r="F61"/>
      <c r="G61"/>
      <c r="H61"/>
      <c r="I61"/>
      <c r="J61"/>
      <c r="K61"/>
      <c r="L61"/>
      <c r="M61"/>
      <c r="N61"/>
      <c r="O61"/>
      <c r="P61"/>
      <c r="Q61"/>
      <c r="R61"/>
      <c r="S61"/>
      <c r="T61"/>
      <c r="U61" s="6"/>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row>
    <row r="62" spans="1:73" ht="13.5" hidden="1" outlineLevel="1" thickBot="1" x14ac:dyDescent="0.25">
      <c r="A62"/>
      <c r="B62"/>
      <c r="C62"/>
      <c r="D62"/>
      <c r="E62"/>
      <c r="F62"/>
      <c r="G62"/>
      <c r="H62"/>
      <c r="I62"/>
      <c r="J62"/>
      <c r="K62"/>
      <c r="L62"/>
      <c r="M62"/>
      <c r="N62"/>
      <c r="O62"/>
      <c r="P62"/>
      <c r="Q62"/>
      <c r="R62"/>
      <c r="S62"/>
      <c r="T62"/>
      <c r="U62" s="6"/>
      <c r="V62" s="3" t="str">
        <f>N_Heure</f>
        <v>Heure</v>
      </c>
      <c r="W62" s="3" t="str">
        <f>N_Table</f>
        <v>Table</v>
      </c>
      <c r="X62" s="3" t="str">
        <f>N_Arbitre</f>
        <v>Arbitre</v>
      </c>
      <c r="Y62" s="2439" t="str">
        <f>N_Scores</f>
        <v>Scores</v>
      </c>
      <c r="Z62" s="2440"/>
      <c r="AA62" s="2440"/>
      <c r="AB62" s="2440"/>
      <c r="AC62" s="2441"/>
      <c r="AD62" s="228" t="str">
        <f>N_MS</f>
        <v>MS</v>
      </c>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row>
    <row r="63" spans="1:73" ht="13.5" hidden="1" outlineLevel="1" thickBot="1" x14ac:dyDescent="0.25">
      <c r="A63"/>
      <c r="B63"/>
      <c r="C63"/>
      <c r="D63"/>
      <c r="E63"/>
      <c r="F63"/>
      <c r="G63"/>
      <c r="H63"/>
      <c r="I63"/>
      <c r="J63"/>
      <c r="K63"/>
      <c r="L63"/>
      <c r="M63"/>
      <c r="N63"/>
      <c r="O63"/>
      <c r="P63"/>
      <c r="Q63"/>
      <c r="R63"/>
      <c r="S63"/>
      <c r="T63"/>
      <c r="U63" s="330" t="s">
        <v>1722</v>
      </c>
      <c r="V63" s="8"/>
      <c r="W63" s="8"/>
      <c r="X63" s="8"/>
      <c r="Y63" s="166"/>
      <c r="Z63" s="229" t="str">
        <f>IF(OR(ISNUMBER(Z66),ISNUMBER(Z67)),Lire_Gain_Matches(Z66:Z67, AB66:AB67),"")</f>
        <v/>
      </c>
      <c r="AA63" s="226" t="s">
        <v>769</v>
      </c>
      <c r="AB63" s="230" t="str">
        <f>IF(OR(ISNUMBER(Z66),ISNUMBER(Z67)),Lire_Gain_Matches(AB66:AB67, Z66:Z67),"")</f>
        <v/>
      </c>
      <c r="AC63" s="166"/>
      <c r="AD63" s="231" t="str">
        <f>IF(ISNA(VLOOKUP("X",AD66:AD67,1,FALSE)),"","X")</f>
        <v/>
      </c>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row>
    <row r="64" spans="1:73" ht="13.5" hidden="1" outlineLevel="1" thickBot="1" x14ac:dyDescent="0.25">
      <c r="A64"/>
      <c r="B64"/>
      <c r="C64"/>
      <c r="D64"/>
      <c r="E64"/>
      <c r="F64"/>
      <c r="G64"/>
      <c r="H64"/>
      <c r="I64"/>
      <c r="J64"/>
      <c r="K64"/>
      <c r="L64"/>
      <c r="M64"/>
      <c r="N64"/>
      <c r="O64"/>
      <c r="P64"/>
      <c r="Q64"/>
      <c r="R64"/>
      <c r="S64"/>
      <c r="T64"/>
      <c r="U64" s="6"/>
      <c r="V64" s="8"/>
      <c r="W64" s="8"/>
      <c r="X64" s="8"/>
      <c r="Y64" s="232" t="str">
        <f>N_Total_buts</f>
        <v>Total des buts</v>
      </c>
      <c r="Z64" s="229" t="str">
        <f>IF(OR(ISNUMBER(Z66),ISNUMBER(Z67)),SUM(Z66:Z67),"")</f>
        <v/>
      </c>
      <c r="AA64" s="226" t="s">
        <v>769</v>
      </c>
      <c r="AB64" s="230" t="str">
        <f>IF(OR(ISNUMBER(Z66),ISNUMBER(Z67)),SUM(AB66:AB67),"")</f>
        <v/>
      </c>
      <c r="AC64" s="233" t="str">
        <f>IF(Z68="","",CONCATENATE("(Diff : ",Z68," - ",AB68,")"))</f>
        <v/>
      </c>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row>
    <row r="65" spans="1:73" ht="13.5" hidden="1" outlineLevel="1" thickBot="1" x14ac:dyDescent="0.25">
      <c r="A65"/>
      <c r="B65"/>
      <c r="C65"/>
      <c r="D65"/>
      <c r="E65"/>
      <c r="F65"/>
      <c r="G65"/>
      <c r="H65"/>
      <c r="I65"/>
      <c r="J65" s="833" t="str">
        <f>IF(Z65="","",IF(Z65=Y63,AC63,Y63))</f>
        <v/>
      </c>
      <c r="K65"/>
      <c r="L65"/>
      <c r="M65"/>
      <c r="N65"/>
      <c r="O65"/>
      <c r="P65"/>
      <c r="Q65"/>
      <c r="R65"/>
      <c r="S65"/>
      <c r="T65"/>
      <c r="U65" s="6"/>
      <c r="V65" s="8"/>
      <c r="W65" s="8"/>
      <c r="X65" s="8"/>
      <c r="Y65" s="234" t="str">
        <f>N_VAINQUEUR</f>
        <v>VAINQUEUR</v>
      </c>
      <c r="Z65" s="2433" t="str">
        <f>IF(Z66="",IF(HidePlayerFormulas,"","("&amp;Y63&amp;"-"&amp;AC63&amp;")"),IF(Z63&gt;AB63,Y63,IF(AB63&gt;Z63,AC63,IF(Z64&gt;AB64,Y63,IF(AB64&gt;Z64,AC63,IF(Z70&gt;AB70,Y63,IF(AB70&gt;Z70,AC63,mess_erreur_marque)))))))</f>
        <v/>
      </c>
      <c r="AA65" s="2434"/>
      <c r="AB65" s="2434"/>
      <c r="AC65" s="243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row>
    <row r="66" spans="1:73" ht="12.75" hidden="1" customHeight="1" outlineLevel="2" x14ac:dyDescent="0.2">
      <c r="A66"/>
      <c r="B66"/>
      <c r="C66"/>
      <c r="D66"/>
      <c r="E66"/>
      <c r="F66"/>
      <c r="G66"/>
      <c r="H66"/>
      <c r="I66"/>
      <c r="J66"/>
      <c r="K66"/>
      <c r="L66"/>
      <c r="M66"/>
      <c r="N66"/>
      <c r="O66"/>
      <c r="P66"/>
      <c r="Q66"/>
      <c r="R66"/>
      <c r="S66"/>
      <c r="T66"/>
      <c r="U66" s="6"/>
      <c r="V66" s="144"/>
      <c r="W66" s="145"/>
      <c r="X66" s="235"/>
      <c r="Y66" s="147"/>
      <c r="Z66" s="236"/>
      <c r="AA66" s="60" t="s">
        <v>769</v>
      </c>
      <c r="AB66" s="236"/>
      <c r="AC66" s="147"/>
      <c r="AD66" s="150"/>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row>
    <row r="67" spans="1:73" ht="13.5" hidden="1" customHeight="1" outlineLevel="2" thickBot="1" x14ac:dyDescent="0.25">
      <c r="A67"/>
      <c r="B67"/>
      <c r="C67"/>
      <c r="D67"/>
      <c r="E67"/>
      <c r="F67"/>
      <c r="G67"/>
      <c r="H67"/>
      <c r="I67"/>
      <c r="J67"/>
      <c r="K67"/>
      <c r="L67"/>
      <c r="M67"/>
      <c r="N67"/>
      <c r="O67"/>
      <c r="P67"/>
      <c r="Q67"/>
      <c r="R67"/>
      <c r="S67"/>
      <c r="T67"/>
      <c r="U67" s="6"/>
      <c r="V67" s="171"/>
      <c r="W67" s="172"/>
      <c r="X67" s="238"/>
      <c r="Y67" s="174"/>
      <c r="Z67" s="175"/>
      <c r="AA67" s="52" t="s">
        <v>769</v>
      </c>
      <c r="AB67" s="175"/>
      <c r="AC67" s="174"/>
      <c r="AD67" s="176"/>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row>
    <row r="68" spans="1:73" ht="13.5" hidden="1" customHeight="1" outlineLevel="2" thickBot="1" x14ac:dyDescent="0.25">
      <c r="A68"/>
      <c r="B68"/>
      <c r="C68"/>
      <c r="D68"/>
      <c r="E68"/>
      <c r="F68"/>
      <c r="G68"/>
      <c r="H68"/>
      <c r="I68"/>
      <c r="J68"/>
      <c r="K68"/>
      <c r="L68"/>
      <c r="M68"/>
      <c r="N68"/>
      <c r="O68"/>
      <c r="P68"/>
      <c r="Q68"/>
      <c r="R68"/>
      <c r="S68"/>
      <c r="T68"/>
      <c r="U68" s="6"/>
      <c r="V68" s="178"/>
      <c r="W68" s="179" t="str">
        <f>N_Différentiel</f>
        <v>Différentiel</v>
      </c>
      <c r="X68" s="239"/>
      <c r="Y68" s="240"/>
      <c r="Z68" s="182"/>
      <c r="AA68" s="66" t="s">
        <v>769</v>
      </c>
      <c r="AB68" s="182"/>
      <c r="AC68" s="240"/>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row>
    <row r="69" spans="1:73" ht="13.5" hidden="1" outlineLevel="1" thickBot="1" x14ac:dyDescent="0.25">
      <c r="A69"/>
      <c r="B69"/>
      <c r="C69"/>
      <c r="D69"/>
      <c r="E69"/>
      <c r="F69"/>
      <c r="G69"/>
      <c r="H69"/>
      <c r="I69"/>
      <c r="J69"/>
      <c r="K69"/>
      <c r="L69"/>
      <c r="M69"/>
      <c r="N69"/>
      <c r="O69"/>
      <c r="P69"/>
      <c r="Q69"/>
      <c r="R69"/>
      <c r="S69"/>
      <c r="T69"/>
      <c r="U69" s="6"/>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row>
    <row r="70" spans="1:73" ht="13.5" hidden="1" outlineLevel="1" thickBot="1" x14ac:dyDescent="0.25">
      <c r="A70"/>
      <c r="B70"/>
      <c r="C70"/>
      <c r="D70"/>
      <c r="E70"/>
      <c r="F70"/>
      <c r="G70"/>
      <c r="H70"/>
      <c r="I70"/>
      <c r="J70"/>
      <c r="K70"/>
      <c r="L70"/>
      <c r="M70"/>
      <c r="N70"/>
      <c r="O70"/>
      <c r="P70"/>
      <c r="Q70"/>
      <c r="R70"/>
      <c r="S70"/>
      <c r="T70"/>
      <c r="U70" s="6"/>
      <c r="V70" s="3" t="str">
        <f>N_Heure</f>
        <v>Heure</v>
      </c>
      <c r="W70" s="3" t="str">
        <f>N_Table</f>
        <v>Table</v>
      </c>
      <c r="X70" s="3" t="str">
        <f>N_Arbitre</f>
        <v>Arbitre</v>
      </c>
      <c r="Y70" s="2439" t="str">
        <f>N_Scores</f>
        <v>Scores</v>
      </c>
      <c r="Z70" s="2440"/>
      <c r="AA70" s="2440"/>
      <c r="AB70" s="2440"/>
      <c r="AC70" s="2441"/>
      <c r="AD70" s="228" t="str">
        <f>N_MS</f>
        <v>MS</v>
      </c>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row>
    <row r="71" spans="1:73" ht="13.5" hidden="1" outlineLevel="1" thickBot="1" x14ac:dyDescent="0.25">
      <c r="A71"/>
      <c r="B71"/>
      <c r="C71"/>
      <c r="D71"/>
      <c r="E71"/>
      <c r="F71"/>
      <c r="G71"/>
      <c r="H71"/>
      <c r="I71"/>
      <c r="J71"/>
      <c r="K71"/>
      <c r="L71"/>
      <c r="M71"/>
      <c r="N71"/>
      <c r="O71"/>
      <c r="P71"/>
      <c r="Q71"/>
      <c r="R71"/>
      <c r="S71"/>
      <c r="T71"/>
      <c r="U71" s="330" t="s">
        <v>1722</v>
      </c>
      <c r="V71" s="8"/>
      <c r="W71" s="8"/>
      <c r="X71" s="8"/>
      <c r="Y71" s="166"/>
      <c r="Z71" s="229" t="str">
        <f>IF(OR(ISNUMBER(Z74),ISNUMBER(Z75)),Lire_Gain_Matches(Z74:Z75, AB74:AB75),"")</f>
        <v/>
      </c>
      <c r="AA71" s="226" t="s">
        <v>769</v>
      </c>
      <c r="AB71" s="230" t="str">
        <f>IF(OR(ISNUMBER(Z74),ISNUMBER(Z75)),Lire_Gain_Matches(AB74:AB75, Z74:Z75),"")</f>
        <v/>
      </c>
      <c r="AC71" s="166"/>
      <c r="AD71" s="231" t="str">
        <f>IF(ISNA(VLOOKUP("X",AD74:AD75,1,FALSE)),"","X")</f>
        <v/>
      </c>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row>
    <row r="72" spans="1:73" ht="13.5" hidden="1" outlineLevel="1" thickBot="1" x14ac:dyDescent="0.25">
      <c r="A72"/>
      <c r="B72"/>
      <c r="C72"/>
      <c r="D72"/>
      <c r="E72"/>
      <c r="F72"/>
      <c r="G72"/>
      <c r="H72"/>
      <c r="I72"/>
      <c r="J72"/>
      <c r="K72"/>
      <c r="L72"/>
      <c r="M72"/>
      <c r="N72"/>
      <c r="O72"/>
      <c r="P72"/>
      <c r="Q72"/>
      <c r="R72"/>
      <c r="S72"/>
      <c r="T72"/>
      <c r="U72" s="6"/>
      <c r="V72" s="8"/>
      <c r="W72" s="8"/>
      <c r="X72" s="8"/>
      <c r="Y72" s="232" t="str">
        <f>N_Total_buts</f>
        <v>Total des buts</v>
      </c>
      <c r="Z72" s="229" t="str">
        <f>IF(OR(ISNUMBER(Z74),ISNUMBER(Z75)),SUM(Z74:Z75),"")</f>
        <v/>
      </c>
      <c r="AA72" s="226" t="s">
        <v>769</v>
      </c>
      <c r="AB72" s="230" t="str">
        <f>IF(OR(ISNUMBER(Z74),ISNUMBER(Z75)),SUM(AB74:AB75),"")</f>
        <v/>
      </c>
      <c r="AC72" s="233" t="str">
        <f>IF(Z76="","",CONCATENATE("(Diff : ",Z76," - ",AB76,")"))</f>
        <v/>
      </c>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row>
    <row r="73" spans="1:73" ht="13.5" hidden="1" outlineLevel="1" thickBot="1" x14ac:dyDescent="0.25">
      <c r="A73"/>
      <c r="B73"/>
      <c r="C73"/>
      <c r="D73"/>
      <c r="E73"/>
      <c r="F73"/>
      <c r="G73"/>
      <c r="H73"/>
      <c r="I73"/>
      <c r="J73" s="833" t="str">
        <f>IF(Z73="","",IF(Z73=Y71,AC71,Y71))</f>
        <v/>
      </c>
      <c r="K73"/>
      <c r="L73"/>
      <c r="M73"/>
      <c r="N73"/>
      <c r="O73"/>
      <c r="P73"/>
      <c r="Q73"/>
      <c r="R73"/>
      <c r="S73"/>
      <c r="T73"/>
      <c r="U73" s="6"/>
      <c r="V73" s="8"/>
      <c r="W73" s="8"/>
      <c r="X73" s="8"/>
      <c r="Y73" s="234" t="str">
        <f>N_VAINQUEUR</f>
        <v>VAINQUEUR</v>
      </c>
      <c r="Z73" s="2433" t="str">
        <f>IF(Z74="",IF(HidePlayerFormulas,"","("&amp;Y71&amp;"-"&amp;AC71&amp;")"),IF(Z71&gt;AB71,Y71,IF(AB71&gt;Z71,AC71,IF(Z72&gt;AB72,Y71,IF(AB72&gt;Z72,AC71,IF(Z78&gt;AB78,Y71,IF(AB78&gt;Z78,AC71,mess_erreur_marque)))))))</f>
        <v/>
      </c>
      <c r="AA73" s="2434"/>
      <c r="AB73" s="2434"/>
      <c r="AC73" s="2435"/>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row>
    <row r="74" spans="1:73" ht="12.75" hidden="1" customHeight="1" outlineLevel="2" x14ac:dyDescent="0.2">
      <c r="A74"/>
      <c r="B74"/>
      <c r="C74"/>
      <c r="D74"/>
      <c r="E74"/>
      <c r="F74"/>
      <c r="G74"/>
      <c r="H74"/>
      <c r="I74"/>
      <c r="J74"/>
      <c r="K74"/>
      <c r="L74"/>
      <c r="M74"/>
      <c r="N74"/>
      <c r="O74"/>
      <c r="P74"/>
      <c r="Q74"/>
      <c r="R74"/>
      <c r="S74"/>
      <c r="T74"/>
      <c r="U74" s="6"/>
      <c r="V74" s="144"/>
      <c r="W74" s="145"/>
      <c r="X74" s="235"/>
      <c r="Y74" s="147"/>
      <c r="Z74" s="236"/>
      <c r="AA74" s="60" t="s">
        <v>769</v>
      </c>
      <c r="AB74" s="236"/>
      <c r="AC74" s="147"/>
      <c r="AD74" s="150"/>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row>
    <row r="75" spans="1:73" ht="13.5" hidden="1" customHeight="1" outlineLevel="2" thickBot="1" x14ac:dyDescent="0.25">
      <c r="A75"/>
      <c r="B75"/>
      <c r="C75"/>
      <c r="D75"/>
      <c r="E75"/>
      <c r="F75"/>
      <c r="G75"/>
      <c r="H75"/>
      <c r="I75"/>
      <c r="J75"/>
      <c r="K75"/>
      <c r="L75"/>
      <c r="M75"/>
      <c r="N75"/>
      <c r="O75"/>
      <c r="P75"/>
      <c r="Q75"/>
      <c r="R75"/>
      <c r="S75"/>
      <c r="T75"/>
      <c r="U75" s="6"/>
      <c r="V75" s="171"/>
      <c r="W75" s="172"/>
      <c r="X75" s="238"/>
      <c r="Y75" s="174"/>
      <c r="Z75" s="175"/>
      <c r="AA75" s="52" t="s">
        <v>769</v>
      </c>
      <c r="AB75" s="175"/>
      <c r="AC75" s="174"/>
      <c r="AD75" s="176"/>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row>
    <row r="76" spans="1:73" ht="13.5" hidden="1" customHeight="1" outlineLevel="2" thickBot="1" x14ac:dyDescent="0.25">
      <c r="A76"/>
      <c r="B76"/>
      <c r="C76"/>
      <c r="D76"/>
      <c r="E76"/>
      <c r="F76"/>
      <c r="G76"/>
      <c r="H76"/>
      <c r="I76"/>
      <c r="J76"/>
      <c r="K76"/>
      <c r="L76"/>
      <c r="M76"/>
      <c r="N76"/>
      <c r="O76"/>
      <c r="P76"/>
      <c r="Q76"/>
      <c r="R76"/>
      <c r="S76"/>
      <c r="T76"/>
      <c r="U76" s="6"/>
      <c r="V76" s="178"/>
      <c r="W76" s="179" t="str">
        <f>N_Différentiel</f>
        <v>Différentiel</v>
      </c>
      <c r="X76" s="239"/>
      <c r="Y76" s="240"/>
      <c r="Z76" s="182"/>
      <c r="AA76" s="66" t="s">
        <v>769</v>
      </c>
      <c r="AB76" s="182"/>
      <c r="AC76" s="240"/>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row>
    <row r="77" spans="1:73" ht="13.5" hidden="1" outlineLevel="1" thickBot="1" x14ac:dyDescent="0.25">
      <c r="A77"/>
      <c r="B77"/>
      <c r="C77"/>
      <c r="D77"/>
      <c r="E77"/>
      <c r="F77"/>
      <c r="G77"/>
      <c r="H77"/>
      <c r="I77"/>
      <c r="J77"/>
      <c r="K77"/>
      <c r="L77"/>
      <c r="M77"/>
      <c r="N77"/>
      <c r="O77"/>
      <c r="P77"/>
      <c r="Q77"/>
      <c r="R77"/>
      <c r="S77"/>
      <c r="T77"/>
      <c r="U77" s="6"/>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row>
    <row r="78" spans="1:73" ht="13.5" hidden="1" outlineLevel="1" thickBot="1" x14ac:dyDescent="0.25">
      <c r="A78"/>
      <c r="B78"/>
      <c r="C78"/>
      <c r="D78"/>
      <c r="E78"/>
      <c r="F78"/>
      <c r="G78"/>
      <c r="H78"/>
      <c r="I78"/>
      <c r="J78"/>
      <c r="K78"/>
      <c r="L78"/>
      <c r="M78"/>
      <c r="N78"/>
      <c r="O78"/>
      <c r="P78"/>
      <c r="Q78"/>
      <c r="R78"/>
      <c r="S78"/>
      <c r="T78"/>
      <c r="U78" s="6"/>
      <c r="V78" s="3" t="str">
        <f>N_Heure</f>
        <v>Heure</v>
      </c>
      <c r="W78" s="3" t="str">
        <f>N_Table</f>
        <v>Table</v>
      </c>
      <c r="X78" s="3" t="str">
        <f>N_Arbitre</f>
        <v>Arbitre</v>
      </c>
      <c r="Y78" s="2439" t="str">
        <f>N_Scores</f>
        <v>Scores</v>
      </c>
      <c r="Z78" s="2440"/>
      <c r="AA78" s="2440"/>
      <c r="AB78" s="2440"/>
      <c r="AC78" s="2441"/>
      <c r="AD78" s="228" t="str">
        <f>N_MS</f>
        <v>MS</v>
      </c>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row>
    <row r="79" spans="1:73" ht="13.5" hidden="1" outlineLevel="1" thickBot="1" x14ac:dyDescent="0.25">
      <c r="A79"/>
      <c r="B79"/>
      <c r="C79"/>
      <c r="D79"/>
      <c r="E79"/>
      <c r="F79"/>
      <c r="G79"/>
      <c r="H79"/>
      <c r="I79"/>
      <c r="J79"/>
      <c r="K79"/>
      <c r="L79"/>
      <c r="M79"/>
      <c r="N79"/>
      <c r="O79"/>
      <c r="P79"/>
      <c r="Q79"/>
      <c r="R79"/>
      <c r="S79"/>
      <c r="T79"/>
      <c r="U79" s="330" t="s">
        <v>1722</v>
      </c>
      <c r="V79" s="8"/>
      <c r="W79" s="8"/>
      <c r="X79" s="8"/>
      <c r="Y79" s="166"/>
      <c r="Z79" s="229" t="str">
        <f>IF(OR(ISNUMBER(Z82),ISNUMBER(Z83)),Lire_Gain_Matches(Z82:Z83, AB82:AB83),"")</f>
        <v/>
      </c>
      <c r="AA79" s="226" t="s">
        <v>769</v>
      </c>
      <c r="AB79" s="230" t="str">
        <f>IF(OR(ISNUMBER(Z82),ISNUMBER(Z83)),Lire_Gain_Matches(AB82:AB83, Z82:Z83),"")</f>
        <v/>
      </c>
      <c r="AC79" s="166"/>
      <c r="AD79" s="231" t="str">
        <f>IF(ISNA(VLOOKUP("X",AD82:AD83,1,FALSE)),"","X")</f>
        <v/>
      </c>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row>
    <row r="80" spans="1:73" ht="13.5" hidden="1" outlineLevel="1" thickBot="1" x14ac:dyDescent="0.25">
      <c r="A80"/>
      <c r="B80"/>
      <c r="C80"/>
      <c r="D80"/>
      <c r="E80"/>
      <c r="F80"/>
      <c r="G80"/>
      <c r="H80"/>
      <c r="I80"/>
      <c r="J80"/>
      <c r="K80"/>
      <c r="L80"/>
      <c r="M80"/>
      <c r="N80"/>
      <c r="O80"/>
      <c r="P80"/>
      <c r="Q80"/>
      <c r="R80"/>
      <c r="S80"/>
      <c r="T80"/>
      <c r="U80" s="6"/>
      <c r="V80" s="8"/>
      <c r="W80" s="8"/>
      <c r="X80" s="8"/>
      <c r="Y80" s="232" t="str">
        <f>N_Total_buts</f>
        <v>Total des buts</v>
      </c>
      <c r="Z80" s="229" t="str">
        <f>IF(OR(ISNUMBER(Z82),ISNUMBER(Z83)),SUM(Z82:Z83),"")</f>
        <v/>
      </c>
      <c r="AA80" s="226" t="s">
        <v>769</v>
      </c>
      <c r="AB80" s="230" t="str">
        <f>IF(OR(ISNUMBER(Z82),ISNUMBER(Z83)),SUM(AB82:AB83),"")</f>
        <v/>
      </c>
      <c r="AC80" s="233" t="str">
        <f>IF(Z84="","",CONCATENATE("(Diff : ",Z84," - ",AB84,")"))</f>
        <v/>
      </c>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row>
    <row r="81" spans="1:73" ht="13.5" hidden="1" outlineLevel="1" thickBot="1" x14ac:dyDescent="0.25">
      <c r="A81"/>
      <c r="B81"/>
      <c r="C81"/>
      <c r="D81"/>
      <c r="E81"/>
      <c r="F81"/>
      <c r="G81"/>
      <c r="H81"/>
      <c r="I81"/>
      <c r="J81" s="833" t="str">
        <f>IF(Z81="","",IF(Z81=Y79,AC79,Y79))</f>
        <v/>
      </c>
      <c r="K81"/>
      <c r="L81"/>
      <c r="M81"/>
      <c r="N81"/>
      <c r="O81"/>
      <c r="P81"/>
      <c r="Q81"/>
      <c r="R81"/>
      <c r="S81"/>
      <c r="T81"/>
      <c r="U81" s="6"/>
      <c r="V81" s="8"/>
      <c r="W81" s="8"/>
      <c r="X81" s="8"/>
      <c r="Y81" s="234" t="str">
        <f>N_VAINQUEUR</f>
        <v>VAINQUEUR</v>
      </c>
      <c r="Z81" s="2433" t="str">
        <f>IF(Z82="",IF(HidePlayerFormulas,"","("&amp;Y79&amp;"-"&amp;AC79&amp;")"),IF(Z79&gt;AB79,Y79,IF(AB79&gt;Z79,AC79,IF(Z80&gt;AB80,Y79,IF(AB80&gt;Z80,AC79,IF(Z86&gt;AB86,Y79,IF(AB86&gt;Z86,AC79,mess_erreur_marque)))))))</f>
        <v/>
      </c>
      <c r="AA81" s="2434"/>
      <c r="AB81" s="2434"/>
      <c r="AC81" s="2435"/>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row>
    <row r="82" spans="1:73" ht="12.75" hidden="1" customHeight="1" outlineLevel="2" x14ac:dyDescent="0.2">
      <c r="A82"/>
      <c r="B82"/>
      <c r="C82"/>
      <c r="D82"/>
      <c r="E82"/>
      <c r="F82"/>
      <c r="G82"/>
      <c r="H82"/>
      <c r="I82"/>
      <c r="J82"/>
      <c r="K82"/>
      <c r="L82"/>
      <c r="M82"/>
      <c r="N82"/>
      <c r="O82"/>
      <c r="P82"/>
      <c r="Q82"/>
      <c r="R82"/>
      <c r="S82"/>
      <c r="T82"/>
      <c r="U82" s="6"/>
      <c r="V82" s="144"/>
      <c r="W82" s="145"/>
      <c r="X82" s="235"/>
      <c r="Y82" s="147"/>
      <c r="Z82" s="236"/>
      <c r="AA82" s="60" t="s">
        <v>769</v>
      </c>
      <c r="AB82" s="236"/>
      <c r="AC82" s="147"/>
      <c r="AD82" s="150"/>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row>
    <row r="83" spans="1:73" ht="13.5" hidden="1" customHeight="1" outlineLevel="2" thickBot="1" x14ac:dyDescent="0.25">
      <c r="A83"/>
      <c r="B83"/>
      <c r="C83"/>
      <c r="D83"/>
      <c r="E83"/>
      <c r="F83"/>
      <c r="G83"/>
      <c r="H83"/>
      <c r="I83"/>
      <c r="J83"/>
      <c r="K83"/>
      <c r="L83"/>
      <c r="M83"/>
      <c r="N83"/>
      <c r="O83"/>
      <c r="P83"/>
      <c r="Q83"/>
      <c r="R83"/>
      <c r="S83"/>
      <c r="T83"/>
      <c r="U83" s="6"/>
      <c r="V83" s="171"/>
      <c r="W83" s="172"/>
      <c r="X83" s="238"/>
      <c r="Y83" s="174"/>
      <c r="Z83" s="175"/>
      <c r="AA83" s="52" t="s">
        <v>769</v>
      </c>
      <c r="AB83" s="175"/>
      <c r="AC83" s="174"/>
      <c r="AD83" s="176"/>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row>
    <row r="84" spans="1:73" ht="13.5" hidden="1" customHeight="1" outlineLevel="2" thickBot="1" x14ac:dyDescent="0.25">
      <c r="A84"/>
      <c r="B84"/>
      <c r="C84"/>
      <c r="D84"/>
      <c r="E84"/>
      <c r="F84"/>
      <c r="G84"/>
      <c r="H84"/>
      <c r="I84"/>
      <c r="J84"/>
      <c r="K84"/>
      <c r="L84"/>
      <c r="M84"/>
      <c r="N84"/>
      <c r="O84"/>
      <c r="P84"/>
      <c r="Q84"/>
      <c r="R84"/>
      <c r="S84"/>
      <c r="T84"/>
      <c r="U84" s="6"/>
      <c r="V84" s="178"/>
      <c r="W84" s="179" t="str">
        <f>N_Différentiel</f>
        <v>Différentiel</v>
      </c>
      <c r="X84" s="239"/>
      <c r="Y84" s="240"/>
      <c r="Z84" s="182"/>
      <c r="AA84" s="66" t="s">
        <v>769</v>
      </c>
      <c r="AB84" s="182"/>
      <c r="AC84" s="240"/>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row>
    <row r="85" spans="1:73" ht="13.5" hidden="1" outlineLevel="1" thickBot="1" x14ac:dyDescent="0.25">
      <c r="A85"/>
      <c r="B85"/>
      <c r="C85"/>
      <c r="D85"/>
      <c r="E85"/>
      <c r="F85"/>
      <c r="G85"/>
      <c r="H85"/>
      <c r="I85"/>
      <c r="J85"/>
      <c r="K85"/>
      <c r="L85"/>
      <c r="M85"/>
      <c r="N85"/>
      <c r="O85"/>
      <c r="P85"/>
      <c r="Q85"/>
      <c r="R85"/>
      <c r="S85"/>
      <c r="T85"/>
      <c r="U85" s="6"/>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row>
    <row r="86" spans="1:73" ht="13.5" hidden="1" outlineLevel="1" thickBot="1" x14ac:dyDescent="0.25">
      <c r="A86"/>
      <c r="B86"/>
      <c r="C86"/>
      <c r="D86"/>
      <c r="E86"/>
      <c r="F86"/>
      <c r="G86"/>
      <c r="H86"/>
      <c r="I86"/>
      <c r="J86"/>
      <c r="K86"/>
      <c r="L86"/>
      <c r="M86"/>
      <c r="N86"/>
      <c r="O86"/>
      <c r="P86"/>
      <c r="Q86"/>
      <c r="R86"/>
      <c r="S86"/>
      <c r="T86"/>
      <c r="U86" s="6"/>
      <c r="V86" s="3" t="str">
        <f>N_Heure</f>
        <v>Heure</v>
      </c>
      <c r="W86" s="3" t="str">
        <f>N_Table</f>
        <v>Table</v>
      </c>
      <c r="X86" s="3" t="str">
        <f>N_Arbitre</f>
        <v>Arbitre</v>
      </c>
      <c r="Y86" s="2439" t="str">
        <f>N_Scores</f>
        <v>Scores</v>
      </c>
      <c r="Z86" s="2440"/>
      <c r="AA86" s="2440"/>
      <c r="AB86" s="2440"/>
      <c r="AC86" s="2441"/>
      <c r="AD86" s="228" t="str">
        <f>N_MS</f>
        <v>MS</v>
      </c>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row>
    <row r="87" spans="1:73" ht="13.5" hidden="1" outlineLevel="1" thickBot="1" x14ac:dyDescent="0.25">
      <c r="A87"/>
      <c r="B87"/>
      <c r="C87"/>
      <c r="D87"/>
      <c r="E87"/>
      <c r="F87"/>
      <c r="G87"/>
      <c r="H87"/>
      <c r="I87"/>
      <c r="J87"/>
      <c r="K87"/>
      <c r="L87"/>
      <c r="M87"/>
      <c r="N87"/>
      <c r="O87"/>
      <c r="P87"/>
      <c r="Q87"/>
      <c r="R87"/>
      <c r="S87"/>
      <c r="T87"/>
      <c r="U87" s="330" t="s">
        <v>1722</v>
      </c>
      <c r="V87" s="8"/>
      <c r="W87" s="8"/>
      <c r="X87" s="8"/>
      <c r="Y87" s="166"/>
      <c r="Z87" s="229" t="str">
        <f>IF(OR(ISNUMBER(Z90),ISNUMBER(Z91)),Lire_Gain_Matches(Z90:Z91, AB90:AB91),"")</f>
        <v/>
      </c>
      <c r="AA87" s="226" t="s">
        <v>769</v>
      </c>
      <c r="AB87" s="230" t="str">
        <f>IF(OR(ISNUMBER(Z90),ISNUMBER(Z91)),Lire_Gain_Matches(AB90:AB91, Z90:Z91),"")</f>
        <v/>
      </c>
      <c r="AC87" s="166"/>
      <c r="AD87" s="231" t="str">
        <f>IF(ISNA(VLOOKUP("X",AD90:AD91,1,FALSE)),"","X")</f>
        <v/>
      </c>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row>
    <row r="88" spans="1:73" ht="13.5" hidden="1" outlineLevel="1" thickBot="1" x14ac:dyDescent="0.25">
      <c r="A88"/>
      <c r="B88"/>
      <c r="C88"/>
      <c r="D88"/>
      <c r="E88"/>
      <c r="F88"/>
      <c r="G88"/>
      <c r="H88"/>
      <c r="I88"/>
      <c r="J88"/>
      <c r="K88"/>
      <c r="L88"/>
      <c r="M88"/>
      <c r="N88"/>
      <c r="O88"/>
      <c r="P88"/>
      <c r="Q88"/>
      <c r="R88"/>
      <c r="S88"/>
      <c r="T88"/>
      <c r="U88" s="6"/>
      <c r="V88" s="8"/>
      <c r="W88" s="8"/>
      <c r="X88" s="8"/>
      <c r="Y88" s="232" t="str">
        <f>N_Total_buts</f>
        <v>Total des buts</v>
      </c>
      <c r="Z88" s="229" t="str">
        <f>IF(OR(ISNUMBER(Z90),ISNUMBER(Z91)),SUM(Z90:Z91),"")</f>
        <v/>
      </c>
      <c r="AA88" s="226" t="s">
        <v>769</v>
      </c>
      <c r="AB88" s="230" t="str">
        <f>IF(OR(ISNUMBER(Z90),ISNUMBER(Z91)),SUM(AB90:AB91),"")</f>
        <v/>
      </c>
      <c r="AC88" s="233" t="str">
        <f>IF(Z92="","",CONCATENATE("(Diff : ",Z92," - ",AB92,")"))</f>
        <v/>
      </c>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row>
    <row r="89" spans="1:73" ht="13.5" hidden="1" outlineLevel="1" thickBot="1" x14ac:dyDescent="0.25">
      <c r="A89"/>
      <c r="B89"/>
      <c r="C89"/>
      <c r="D89"/>
      <c r="E89"/>
      <c r="F89"/>
      <c r="G89"/>
      <c r="H89"/>
      <c r="I89"/>
      <c r="J89" s="833" t="str">
        <f>IF(Z89="","",IF(Z89=Y87,AC87,Y87))</f>
        <v/>
      </c>
      <c r="K89"/>
      <c r="L89"/>
      <c r="M89"/>
      <c r="N89"/>
      <c r="O89"/>
      <c r="P89"/>
      <c r="Q89"/>
      <c r="R89"/>
      <c r="S89"/>
      <c r="T89"/>
      <c r="U89" s="6"/>
      <c r="V89" s="8"/>
      <c r="W89" s="8"/>
      <c r="X89" s="8"/>
      <c r="Y89" s="234" t="str">
        <f>N_VAINQUEUR</f>
        <v>VAINQUEUR</v>
      </c>
      <c r="Z89" s="2433" t="str">
        <f>IF(Z90="",IF(HidePlayerFormulas,"","("&amp;Y87&amp;"-"&amp;AC87&amp;")"),IF(Z87&gt;AB87,Y87,IF(AB87&gt;Z87,AC87,IF(Z88&gt;AB88,Y87,IF(AB88&gt;Z88,AC87,IF(Z94&gt;AB94,Y87,IF(AB94&gt;Z94,AC87,mess_erreur_marque)))))))</f>
        <v/>
      </c>
      <c r="AA89" s="2434"/>
      <c r="AB89" s="2434"/>
      <c r="AC89" s="2435"/>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row>
    <row r="90" spans="1:73" ht="12.75" hidden="1" customHeight="1" outlineLevel="2" x14ac:dyDescent="0.2">
      <c r="A90"/>
      <c r="B90"/>
      <c r="C90"/>
      <c r="D90"/>
      <c r="E90"/>
      <c r="F90"/>
      <c r="G90"/>
      <c r="H90"/>
      <c r="I90"/>
      <c r="J90"/>
      <c r="K90"/>
      <c r="L90"/>
      <c r="M90"/>
      <c r="N90"/>
      <c r="O90"/>
      <c r="P90"/>
      <c r="Q90"/>
      <c r="R90"/>
      <c r="S90"/>
      <c r="T90"/>
      <c r="U90" s="6"/>
      <c r="V90" s="144"/>
      <c r="W90" s="145"/>
      <c r="X90" s="235"/>
      <c r="Y90" s="147"/>
      <c r="Z90" s="236"/>
      <c r="AA90" s="60" t="s">
        <v>769</v>
      </c>
      <c r="AB90" s="236"/>
      <c r="AC90" s="147"/>
      <c r="AD90" s="15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row>
    <row r="91" spans="1:73" ht="13.5" hidden="1" customHeight="1" outlineLevel="2" thickBot="1" x14ac:dyDescent="0.25">
      <c r="A91"/>
      <c r="B91"/>
      <c r="C91"/>
      <c r="D91"/>
      <c r="E91"/>
      <c r="F91"/>
      <c r="G91"/>
      <c r="H91"/>
      <c r="I91"/>
      <c r="J91"/>
      <c r="K91"/>
      <c r="L91"/>
      <c r="M91"/>
      <c r="N91"/>
      <c r="O91"/>
      <c r="P91"/>
      <c r="Q91"/>
      <c r="R91"/>
      <c r="S91"/>
      <c r="T91"/>
      <c r="U91" s="6"/>
      <c r="V91" s="171"/>
      <c r="W91" s="172"/>
      <c r="X91" s="238"/>
      <c r="Y91" s="174"/>
      <c r="Z91" s="175"/>
      <c r="AA91" s="52" t="s">
        <v>769</v>
      </c>
      <c r="AB91" s="175"/>
      <c r="AC91" s="174"/>
      <c r="AD91" s="176"/>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row>
    <row r="92" spans="1:73" ht="13.5" hidden="1" customHeight="1" outlineLevel="2" thickBot="1" x14ac:dyDescent="0.25">
      <c r="A92"/>
      <c r="B92"/>
      <c r="C92"/>
      <c r="D92"/>
      <c r="E92"/>
      <c r="F92"/>
      <c r="G92"/>
      <c r="H92"/>
      <c r="I92"/>
      <c r="J92"/>
      <c r="K92"/>
      <c r="L92"/>
      <c r="M92"/>
      <c r="N92"/>
      <c r="O92"/>
      <c r="P92"/>
      <c r="Q92"/>
      <c r="R92"/>
      <c r="S92"/>
      <c r="T92"/>
      <c r="U92" s="6"/>
      <c r="V92" s="178"/>
      <c r="W92" s="179" t="str">
        <f>N_Différentiel</f>
        <v>Différentiel</v>
      </c>
      <c r="X92" s="239"/>
      <c r="Y92" s="240"/>
      <c r="Z92" s="182"/>
      <c r="AA92" s="66" t="s">
        <v>769</v>
      </c>
      <c r="AB92" s="182"/>
      <c r="AC92" s="240"/>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row>
    <row r="93" spans="1:73" ht="13.5" hidden="1" outlineLevel="1" thickBot="1" x14ac:dyDescent="0.25">
      <c r="A93"/>
      <c r="B93"/>
      <c r="C93"/>
      <c r="D93"/>
      <c r="E93"/>
      <c r="F93"/>
      <c r="G93"/>
      <c r="H93"/>
      <c r="I93"/>
      <c r="J93"/>
      <c r="K93"/>
      <c r="L93"/>
      <c r="M93"/>
      <c r="N93"/>
      <c r="O93"/>
      <c r="P93"/>
      <c r="Q93"/>
      <c r="R93"/>
      <c r="S93"/>
      <c r="T93"/>
      <c r="U93" s="6"/>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row>
    <row r="94" spans="1:73" ht="13.5" collapsed="1" thickBot="1" x14ac:dyDescent="0.25">
      <c r="A94"/>
      <c r="B94" s="2463" t="str">
        <f>N_QUART_DE_FINALE</f>
        <v>1/4 DE FINALE</v>
      </c>
      <c r="C94" s="2464"/>
      <c r="D94" s="2464"/>
      <c r="E94" s="2464"/>
      <c r="F94" s="2464"/>
      <c r="G94" s="2464"/>
      <c r="H94" s="2464"/>
      <c r="I94" s="2464"/>
      <c r="J94" s="2464"/>
      <c r="K94" s="2464"/>
      <c r="L94" s="2464"/>
      <c r="M94" s="2464"/>
      <c r="N94" s="2464"/>
      <c r="O94" s="2464"/>
      <c r="P94" s="2464"/>
      <c r="Q94" s="2464"/>
      <c r="R94" s="2464"/>
      <c r="S94" s="2464"/>
      <c r="T94" s="2464"/>
      <c r="U94" s="2464"/>
      <c r="V94" s="2464"/>
      <c r="W94" s="2464"/>
      <c r="X94" s="2464"/>
      <c r="Y94" s="2464"/>
      <c r="Z94" s="2464"/>
      <c r="AA94" s="2464"/>
      <c r="AB94" s="2464"/>
      <c r="AC94" s="2464"/>
      <c r="AD94" s="2464"/>
      <c r="AE94" s="2464"/>
      <c r="AF94" s="2464"/>
      <c r="AG94" s="2464"/>
      <c r="AH94" s="2464"/>
      <c r="AI94" s="2464"/>
      <c r="AJ94" s="2464"/>
      <c r="AK94" s="2464"/>
      <c r="AL94" s="2464"/>
      <c r="AM94" s="2465"/>
      <c r="AN94"/>
      <c r="AO94"/>
      <c r="AP94"/>
      <c r="AQ94"/>
      <c r="AR94"/>
      <c r="AS94"/>
      <c r="AT94"/>
      <c r="AU94"/>
      <c r="AV94"/>
      <c r="AW94"/>
      <c r="AX94"/>
      <c r="AY94"/>
      <c r="AZ94"/>
      <c r="BA94"/>
      <c r="BB94"/>
      <c r="BC94"/>
      <c r="BD94"/>
      <c r="BE94"/>
      <c r="BF94"/>
      <c r="BG94"/>
      <c r="BH94"/>
      <c r="BI94"/>
      <c r="BJ94"/>
      <c r="BK94"/>
      <c r="BL94"/>
      <c r="BM94"/>
      <c r="BN94"/>
      <c r="BO94"/>
      <c r="BP94"/>
      <c r="BQ94"/>
      <c r="BR94"/>
      <c r="BS94"/>
      <c r="BT94"/>
      <c r="BU94"/>
    </row>
    <row r="95" spans="1:73" ht="13.5" hidden="1" outlineLevel="1" thickBot="1" x14ac:dyDescent="0.25">
      <c r="A95"/>
      <c r="B95"/>
      <c r="C95"/>
      <c r="D95"/>
      <c r="E95"/>
      <c r="F95"/>
      <c r="G95"/>
      <c r="H95"/>
      <c r="I95"/>
      <c r="J95"/>
      <c r="K95"/>
      <c r="L95"/>
      <c r="M95"/>
      <c r="N95"/>
      <c r="O95"/>
      <c r="P95"/>
      <c r="Q95"/>
      <c r="R95"/>
      <c r="S95"/>
      <c r="T95"/>
      <c r="U95" s="6"/>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row>
    <row r="96" spans="1:73" ht="13.5" hidden="1" outlineLevel="1" thickBot="1" x14ac:dyDescent="0.25">
      <c r="A96"/>
      <c r="B96"/>
      <c r="C96"/>
      <c r="D96"/>
      <c r="E96"/>
      <c r="F96"/>
      <c r="G96"/>
      <c r="H96"/>
      <c r="I96"/>
      <c r="J96"/>
      <c r="K96"/>
      <c r="L96"/>
      <c r="M96"/>
      <c r="N96"/>
      <c r="O96"/>
      <c r="P96"/>
      <c r="Q96"/>
      <c r="R96"/>
      <c r="S96"/>
      <c r="T96"/>
      <c r="U96" s="6"/>
      <c r="V96" s="3" t="str">
        <f>N_Heure</f>
        <v>Heure</v>
      </c>
      <c r="W96" s="3" t="str">
        <f>N_Table</f>
        <v>Table</v>
      </c>
      <c r="X96" s="3" t="str">
        <f>N_Arbitre</f>
        <v>Arbitre</v>
      </c>
      <c r="Y96" s="2439" t="str">
        <f>N_Scores</f>
        <v>Scores</v>
      </c>
      <c r="Z96" s="2440"/>
      <c r="AA96" s="2440"/>
      <c r="AB96" s="2440"/>
      <c r="AC96" s="2441"/>
      <c r="AD96" s="228" t="str">
        <f>N_MS</f>
        <v>MS</v>
      </c>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row>
    <row r="97" spans="1:73" ht="13.5" hidden="1" outlineLevel="1" thickBot="1" x14ac:dyDescent="0.25">
      <c r="A97"/>
      <c r="B97"/>
      <c r="C97"/>
      <c r="D97"/>
      <c r="E97"/>
      <c r="F97"/>
      <c r="G97"/>
      <c r="H97"/>
      <c r="I97"/>
      <c r="J97"/>
      <c r="K97"/>
      <c r="L97"/>
      <c r="M97"/>
      <c r="N97"/>
      <c r="O97"/>
      <c r="P97"/>
      <c r="Q97"/>
      <c r="R97"/>
      <c r="S97"/>
      <c r="T97"/>
      <c r="U97" s="330" t="s">
        <v>1723</v>
      </c>
      <c r="V97" s="8"/>
      <c r="W97" s="8"/>
      <c r="X97" s="8"/>
      <c r="Y97" s="187"/>
      <c r="Z97" s="229" t="str">
        <f>IF(OR(ISNUMBER(Z100),ISNUMBER(Z101)),Lire_Gain_Matches(Z100:Z101, AB100:AB101),"")</f>
        <v/>
      </c>
      <c r="AA97" s="226" t="s">
        <v>769</v>
      </c>
      <c r="AB97" s="230" t="str">
        <f>IF(OR(ISNUMBER(Z100),ISNUMBER(Z101)),Lire_Gain_Matches(AB100:AB101, Z100:Z101),"")</f>
        <v/>
      </c>
      <c r="AC97" s="187"/>
      <c r="AD97" s="231" t="str">
        <f>IF(ISNA(VLOOKUP("X",AD100:AD101,1,FALSE)),"","X")</f>
        <v/>
      </c>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row>
    <row r="98" spans="1:73" ht="13.5" hidden="1" outlineLevel="1" thickBot="1" x14ac:dyDescent="0.25">
      <c r="A98"/>
      <c r="B98"/>
      <c r="C98"/>
      <c r="D98"/>
      <c r="E98"/>
      <c r="F98"/>
      <c r="G98"/>
      <c r="H98"/>
      <c r="I98"/>
      <c r="J98"/>
      <c r="K98"/>
      <c r="L98"/>
      <c r="M98"/>
      <c r="N98"/>
      <c r="O98"/>
      <c r="P98"/>
      <c r="Q98"/>
      <c r="R98"/>
      <c r="S98"/>
      <c r="T98"/>
      <c r="U98" s="6"/>
      <c r="V98" s="8"/>
      <c r="W98" s="8"/>
      <c r="X98" s="8"/>
      <c r="Y98" s="232" t="str">
        <f>N_Total_buts</f>
        <v>Total des buts</v>
      </c>
      <c r="Z98" s="229" t="str">
        <f>IF(OR(ISNUMBER(Z100),ISNUMBER(Z101)),SUM(Z100:Z101),"")</f>
        <v/>
      </c>
      <c r="AA98" s="226" t="s">
        <v>769</v>
      </c>
      <c r="AB98" s="230" t="str">
        <f>IF(OR(ISNUMBER(Z100),ISNUMBER(Z101)),SUM(AB100:AB101),"")</f>
        <v/>
      </c>
      <c r="AC98" s="233" t="str">
        <f>IF(Z102="","",CONCATENATE("(Diff : ",Z102," - ",AB102,")"))</f>
        <v/>
      </c>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row>
    <row r="99" spans="1:73" ht="13.5" hidden="1" outlineLevel="1" thickBot="1" x14ac:dyDescent="0.25">
      <c r="A99"/>
      <c r="B99"/>
      <c r="C99"/>
      <c r="D99"/>
      <c r="E99"/>
      <c r="F99"/>
      <c r="G99"/>
      <c r="H99"/>
      <c r="I99"/>
      <c r="J99" s="833" t="str">
        <f>IF(Z99="","",IF(Z99=Y97,AC97,Y97))</f>
        <v/>
      </c>
      <c r="K99"/>
      <c r="L99"/>
      <c r="M99"/>
      <c r="N99"/>
      <c r="O99"/>
      <c r="P99"/>
      <c r="Q99"/>
      <c r="R99"/>
      <c r="S99"/>
      <c r="T99"/>
      <c r="U99" s="6"/>
      <c r="V99" s="8"/>
      <c r="W99" s="8"/>
      <c r="X99" s="8"/>
      <c r="Y99" s="234" t="str">
        <f>N_VAINQUEUR</f>
        <v>VAINQUEUR</v>
      </c>
      <c r="Z99" s="2436" t="str">
        <f>IF(Z100="",IF(HidePlayerFormulas,"","("&amp;Y97&amp;"-"&amp;AC97&amp;")"),IF(Z97&gt;AB97,Y97,IF(AB97&gt;Z97,AC97,IF(Z98&gt;AB98,Y97,IF(AB98&gt;Z98,AC97,IF(Z104&gt;AB104,Y97,IF(AB104&gt;Z104,AC97,mess_erreur_marque)))))))</f>
        <v/>
      </c>
      <c r="AA99" s="2437"/>
      <c r="AB99" s="2437"/>
      <c r="AC99" s="2438"/>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row>
    <row r="100" spans="1:73" hidden="1" outlineLevel="2" x14ac:dyDescent="0.2">
      <c r="A100"/>
      <c r="B100"/>
      <c r="C100"/>
      <c r="D100"/>
      <c r="E100"/>
      <c r="F100"/>
      <c r="G100"/>
      <c r="H100"/>
      <c r="I100"/>
      <c r="J100"/>
      <c r="K100"/>
      <c r="L100"/>
      <c r="M100"/>
      <c r="N100"/>
      <c r="O100"/>
      <c r="P100"/>
      <c r="Q100"/>
      <c r="R100"/>
      <c r="S100"/>
      <c r="T100"/>
      <c r="U100" s="6"/>
      <c r="V100" s="144"/>
      <c r="W100" s="145"/>
      <c r="X100" s="235"/>
      <c r="Y100" s="147"/>
      <c r="Z100" s="236"/>
      <c r="AA100" s="60" t="s">
        <v>769</v>
      </c>
      <c r="AB100" s="236"/>
      <c r="AC100" s="147"/>
      <c r="AD100" s="15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row>
    <row r="101" spans="1:73" ht="13.5" hidden="1" outlineLevel="2" thickBot="1" x14ac:dyDescent="0.25">
      <c r="A101"/>
      <c r="B101"/>
      <c r="C101"/>
      <c r="D101"/>
      <c r="E101"/>
      <c r="F101"/>
      <c r="G101"/>
      <c r="H101"/>
      <c r="I101"/>
      <c r="J101"/>
      <c r="K101"/>
      <c r="L101"/>
      <c r="M101"/>
      <c r="N101"/>
      <c r="O101"/>
      <c r="P101"/>
      <c r="Q101"/>
      <c r="R101"/>
      <c r="S101"/>
      <c r="T101"/>
      <c r="U101" s="6"/>
      <c r="V101" s="171"/>
      <c r="W101" s="172"/>
      <c r="X101" s="238"/>
      <c r="Y101" s="174"/>
      <c r="Z101" s="175"/>
      <c r="AA101" s="52" t="s">
        <v>769</v>
      </c>
      <c r="AB101" s="175"/>
      <c r="AC101" s="174"/>
      <c r="AD101" s="176"/>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row>
    <row r="102" spans="1:73" ht="13.5" hidden="1" outlineLevel="2" thickBot="1" x14ac:dyDescent="0.25">
      <c r="A102"/>
      <c r="B102"/>
      <c r="C102"/>
      <c r="D102"/>
      <c r="E102"/>
      <c r="F102"/>
      <c r="G102"/>
      <c r="H102"/>
      <c r="I102"/>
      <c r="J102"/>
      <c r="K102"/>
      <c r="L102"/>
      <c r="M102"/>
      <c r="N102"/>
      <c r="O102"/>
      <c r="P102"/>
      <c r="Q102"/>
      <c r="R102"/>
      <c r="S102"/>
      <c r="T102"/>
      <c r="U102" s="6"/>
      <c r="V102" s="178"/>
      <c r="W102" s="179" t="str">
        <f>N_Différentiel</f>
        <v>Différentiel</v>
      </c>
      <c r="X102" s="239"/>
      <c r="Y102" s="240"/>
      <c r="Z102" s="182"/>
      <c r="AA102" s="66" t="s">
        <v>769</v>
      </c>
      <c r="AB102" s="182"/>
      <c r="AC102" s="240"/>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row>
    <row r="103" spans="1:73" ht="13.5" hidden="1" outlineLevel="1" thickBot="1" x14ac:dyDescent="0.25">
      <c r="A103"/>
      <c r="B103"/>
      <c r="C103"/>
      <c r="D103"/>
      <c r="E103"/>
      <c r="F103"/>
      <c r="G103"/>
      <c r="H103"/>
      <c r="I103"/>
      <c r="J103"/>
      <c r="K103"/>
      <c r="L103"/>
      <c r="M103"/>
      <c r="N103"/>
      <c r="O103"/>
      <c r="P103"/>
      <c r="Q103"/>
      <c r="R103"/>
      <c r="S103"/>
      <c r="T103"/>
      <c r="U103" s="6"/>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row>
    <row r="104" spans="1:73" ht="13.5" hidden="1" outlineLevel="1" thickBot="1" x14ac:dyDescent="0.25">
      <c r="A104"/>
      <c r="B104"/>
      <c r="C104"/>
      <c r="D104"/>
      <c r="E104"/>
      <c r="F104"/>
      <c r="G104"/>
      <c r="H104"/>
      <c r="I104"/>
      <c r="J104"/>
      <c r="K104"/>
      <c r="L104"/>
      <c r="M104"/>
      <c r="N104"/>
      <c r="O104"/>
      <c r="P104"/>
      <c r="Q104"/>
      <c r="R104"/>
      <c r="S104"/>
      <c r="T104"/>
      <c r="U104" s="6"/>
      <c r="V104" s="3" t="str">
        <f>N_Heure</f>
        <v>Heure</v>
      </c>
      <c r="W104" s="3" t="str">
        <f>N_Table</f>
        <v>Table</v>
      </c>
      <c r="X104" s="3" t="str">
        <f>N_Arbitre</f>
        <v>Arbitre</v>
      </c>
      <c r="Y104" s="2439" t="str">
        <f>N_Scores</f>
        <v>Scores</v>
      </c>
      <c r="Z104" s="2440"/>
      <c r="AA104" s="2440"/>
      <c r="AB104" s="2440"/>
      <c r="AC104" s="2441"/>
      <c r="AD104" s="228" t="str">
        <f>N_MS</f>
        <v>MS</v>
      </c>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row>
    <row r="105" spans="1:73" ht="13.5" hidden="1" outlineLevel="1" thickBot="1" x14ac:dyDescent="0.25">
      <c r="A105"/>
      <c r="B105"/>
      <c r="C105"/>
      <c r="D105"/>
      <c r="E105"/>
      <c r="F105"/>
      <c r="G105"/>
      <c r="H105"/>
      <c r="I105"/>
      <c r="J105"/>
      <c r="K105"/>
      <c r="L105"/>
      <c r="M105"/>
      <c r="N105"/>
      <c r="O105"/>
      <c r="P105"/>
      <c r="Q105"/>
      <c r="R105"/>
      <c r="S105"/>
      <c r="T105"/>
      <c r="U105" s="330" t="s">
        <v>1723</v>
      </c>
      <c r="V105" s="8"/>
      <c r="W105" s="8"/>
      <c r="X105" s="8"/>
      <c r="Y105" s="187"/>
      <c r="Z105" s="229" t="str">
        <f>IF(OR(ISNUMBER(Z108),ISNUMBER(Z109)),Lire_Gain_Matches(Z108:Z109, AB108:AB109),"")</f>
        <v/>
      </c>
      <c r="AA105" s="226" t="s">
        <v>769</v>
      </c>
      <c r="AB105" s="230" t="str">
        <f>IF(OR(ISNUMBER(Z108),ISNUMBER(Z109)),Lire_Gain_Matches(AB108:AB109, Z108:Z109),"")</f>
        <v/>
      </c>
      <c r="AC105" s="187"/>
      <c r="AD105" s="231" t="str">
        <f>IF(ISNA(VLOOKUP("X",AD108:AD109,1,FALSE)),"","X")</f>
        <v/>
      </c>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row>
    <row r="106" spans="1:73" ht="13.5" hidden="1" outlineLevel="1" thickBot="1" x14ac:dyDescent="0.25">
      <c r="A106"/>
      <c r="B106"/>
      <c r="C106"/>
      <c r="D106"/>
      <c r="E106"/>
      <c r="F106"/>
      <c r="G106"/>
      <c r="H106"/>
      <c r="I106"/>
      <c r="J106"/>
      <c r="K106"/>
      <c r="L106"/>
      <c r="M106"/>
      <c r="N106"/>
      <c r="O106"/>
      <c r="P106"/>
      <c r="Q106"/>
      <c r="R106"/>
      <c r="S106"/>
      <c r="T106"/>
      <c r="U106" s="6"/>
      <c r="V106" s="8"/>
      <c r="W106" s="8"/>
      <c r="X106" s="8"/>
      <c r="Y106" s="232" t="str">
        <f>N_Total_buts</f>
        <v>Total des buts</v>
      </c>
      <c r="Z106" s="229" t="str">
        <f>IF(OR(ISNUMBER(Z108),ISNUMBER(Z109)),SUM(Z108:Z109),"")</f>
        <v/>
      </c>
      <c r="AA106" s="226" t="s">
        <v>769</v>
      </c>
      <c r="AB106" s="230" t="str">
        <f>IF(OR(ISNUMBER(Z108),ISNUMBER(Z109)),SUM(AB108:AB109),"")</f>
        <v/>
      </c>
      <c r="AC106" s="233" t="str">
        <f>IF(Z110="","",CONCATENATE("(Diff : ",Z110," - ",AB110,")"))</f>
        <v/>
      </c>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row>
    <row r="107" spans="1:73" ht="13.5" hidden="1" outlineLevel="1" thickBot="1" x14ac:dyDescent="0.25">
      <c r="A107"/>
      <c r="B107"/>
      <c r="C107"/>
      <c r="D107"/>
      <c r="E107"/>
      <c r="F107"/>
      <c r="G107"/>
      <c r="H107"/>
      <c r="I107"/>
      <c r="J107" s="833" t="str">
        <f>IF(Z107="","",IF(Z107=Y105,AC105,Y105))</f>
        <v/>
      </c>
      <c r="K107"/>
      <c r="L107"/>
      <c r="M107"/>
      <c r="N107"/>
      <c r="O107"/>
      <c r="P107"/>
      <c r="Q107"/>
      <c r="R107"/>
      <c r="S107"/>
      <c r="T107"/>
      <c r="U107" s="6"/>
      <c r="V107" s="8"/>
      <c r="W107" s="8"/>
      <c r="X107" s="8"/>
      <c r="Y107" s="234" t="str">
        <f>N_VAINQUEUR</f>
        <v>VAINQUEUR</v>
      </c>
      <c r="Z107" s="2436" t="str">
        <f>IF(Z108="",IF(HidePlayerFormulas,"","("&amp;Y105&amp;"-"&amp;AC105&amp;")"),IF(Z105&gt;AB105,Y105,IF(AB105&gt;Z105,AC105,IF(Z106&gt;AB106,Y105,IF(AB106&gt;Z106,AC105,IF(Z112&gt;AB112,Y105,IF(AB112&gt;Z112,AC105,mess_erreur_marque)))))))</f>
        <v/>
      </c>
      <c r="AA107" s="2437"/>
      <c r="AB107" s="2437"/>
      <c r="AC107" s="2438"/>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row>
    <row r="108" spans="1:73" ht="12.75" hidden="1" customHeight="1" outlineLevel="2" x14ac:dyDescent="0.2">
      <c r="A108"/>
      <c r="B108"/>
      <c r="C108"/>
      <c r="D108"/>
      <c r="E108"/>
      <c r="F108"/>
      <c r="G108"/>
      <c r="H108"/>
      <c r="I108"/>
      <c r="J108"/>
      <c r="K108"/>
      <c r="L108"/>
      <c r="M108"/>
      <c r="N108"/>
      <c r="O108"/>
      <c r="P108"/>
      <c r="Q108"/>
      <c r="R108"/>
      <c r="S108"/>
      <c r="T108"/>
      <c r="U108" s="6"/>
      <c r="V108" s="144"/>
      <c r="W108" s="145"/>
      <c r="X108" s="235"/>
      <c r="Y108" s="147"/>
      <c r="Z108" s="236"/>
      <c r="AA108" s="60" t="s">
        <v>769</v>
      </c>
      <c r="AB108" s="236"/>
      <c r="AC108" s="147"/>
      <c r="AD108" s="150"/>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row>
    <row r="109" spans="1:73" ht="13.5" hidden="1" customHeight="1" outlineLevel="2" thickBot="1" x14ac:dyDescent="0.25">
      <c r="A109"/>
      <c r="B109"/>
      <c r="C109"/>
      <c r="D109"/>
      <c r="E109"/>
      <c r="F109"/>
      <c r="G109"/>
      <c r="H109"/>
      <c r="I109"/>
      <c r="J109"/>
      <c r="K109"/>
      <c r="L109"/>
      <c r="M109"/>
      <c r="N109"/>
      <c r="O109"/>
      <c r="P109"/>
      <c r="Q109"/>
      <c r="R109"/>
      <c r="S109"/>
      <c r="T109"/>
      <c r="U109" s="6"/>
      <c r="V109" s="171"/>
      <c r="W109" s="172"/>
      <c r="X109" s="238"/>
      <c r="Y109" s="174"/>
      <c r="Z109" s="175"/>
      <c r="AA109" s="52" t="s">
        <v>769</v>
      </c>
      <c r="AB109" s="175"/>
      <c r="AC109" s="174"/>
      <c r="AD109" s="176"/>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row>
    <row r="110" spans="1:73" ht="13.5" hidden="1" customHeight="1" outlineLevel="2" thickBot="1" x14ac:dyDescent="0.25">
      <c r="A110"/>
      <c r="B110"/>
      <c r="C110"/>
      <c r="D110"/>
      <c r="E110"/>
      <c r="F110"/>
      <c r="G110"/>
      <c r="H110"/>
      <c r="I110"/>
      <c r="J110"/>
      <c r="K110"/>
      <c r="L110"/>
      <c r="M110"/>
      <c r="N110"/>
      <c r="O110"/>
      <c r="P110"/>
      <c r="Q110"/>
      <c r="R110"/>
      <c r="S110"/>
      <c r="T110"/>
      <c r="U110" s="6"/>
      <c r="V110" s="178"/>
      <c r="W110" s="179" t="str">
        <f>N_Différentiel</f>
        <v>Différentiel</v>
      </c>
      <c r="X110" s="239"/>
      <c r="Y110" s="240"/>
      <c r="Z110" s="182"/>
      <c r="AA110" s="66" t="s">
        <v>769</v>
      </c>
      <c r="AB110" s="182"/>
      <c r="AC110" s="24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row>
    <row r="111" spans="1:73" ht="13.5" hidden="1" outlineLevel="1" thickBot="1" x14ac:dyDescent="0.25">
      <c r="A111"/>
      <c r="B111"/>
      <c r="C111"/>
      <c r="D111"/>
      <c r="E111"/>
      <c r="F111"/>
      <c r="G111"/>
      <c r="H111"/>
      <c r="I111"/>
      <c r="J111"/>
      <c r="K111"/>
      <c r="L111"/>
      <c r="M111"/>
      <c r="N111"/>
      <c r="O111"/>
      <c r="P111"/>
      <c r="Q111"/>
      <c r="R111"/>
      <c r="S111"/>
      <c r="T111"/>
      <c r="U111" s="6"/>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row>
    <row r="112" spans="1:73" ht="13.5" hidden="1" outlineLevel="1" thickBot="1" x14ac:dyDescent="0.25">
      <c r="A112"/>
      <c r="B112"/>
      <c r="C112"/>
      <c r="D112"/>
      <c r="E112"/>
      <c r="F112"/>
      <c r="G112"/>
      <c r="H112"/>
      <c r="I112"/>
      <c r="J112"/>
      <c r="K112"/>
      <c r="L112"/>
      <c r="M112"/>
      <c r="N112"/>
      <c r="O112"/>
      <c r="P112"/>
      <c r="Q112"/>
      <c r="R112"/>
      <c r="S112"/>
      <c r="T112"/>
      <c r="U112" s="6"/>
      <c r="V112" s="3" t="str">
        <f>N_Heure</f>
        <v>Heure</v>
      </c>
      <c r="W112" s="3" t="str">
        <f>N_Table</f>
        <v>Table</v>
      </c>
      <c r="X112" s="3" t="str">
        <f>N_Arbitre</f>
        <v>Arbitre</v>
      </c>
      <c r="Y112" s="2439" t="str">
        <f>N_Scores</f>
        <v>Scores</v>
      </c>
      <c r="Z112" s="2440"/>
      <c r="AA112" s="2440"/>
      <c r="AB112" s="2440"/>
      <c r="AC112" s="2441"/>
      <c r="AD112" s="228" t="str">
        <f>N_MS</f>
        <v>MS</v>
      </c>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row>
    <row r="113" spans="1:73" ht="13.5" hidden="1" outlineLevel="1" thickBot="1" x14ac:dyDescent="0.25">
      <c r="A113"/>
      <c r="B113"/>
      <c r="C113"/>
      <c r="D113"/>
      <c r="E113"/>
      <c r="F113"/>
      <c r="G113"/>
      <c r="H113"/>
      <c r="I113"/>
      <c r="J113"/>
      <c r="K113"/>
      <c r="L113"/>
      <c r="M113"/>
      <c r="N113"/>
      <c r="O113"/>
      <c r="P113"/>
      <c r="Q113"/>
      <c r="R113"/>
      <c r="S113"/>
      <c r="T113"/>
      <c r="U113" s="330" t="s">
        <v>1723</v>
      </c>
      <c r="V113" s="8"/>
      <c r="W113" s="8"/>
      <c r="X113" s="8"/>
      <c r="Y113" s="187"/>
      <c r="Z113" s="229" t="str">
        <f>IF(OR(ISNUMBER(Z116),ISNUMBER(Z117)),Lire_Gain_Matches(Z116:Z117, AB116:AB117),"")</f>
        <v/>
      </c>
      <c r="AA113" s="226" t="s">
        <v>769</v>
      </c>
      <c r="AB113" s="230" t="str">
        <f>IF(OR(ISNUMBER(Z116),ISNUMBER(Z117)),Lire_Gain_Matches(AB116:AB117, Z116:Z117),"")</f>
        <v/>
      </c>
      <c r="AC113" s="187"/>
      <c r="AD113" s="231" t="str">
        <f>IF(ISNA(VLOOKUP("X",AD116:AD117,1,FALSE)),"","X")</f>
        <v/>
      </c>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row>
    <row r="114" spans="1:73" ht="13.5" hidden="1" outlineLevel="1" thickBot="1" x14ac:dyDescent="0.25">
      <c r="A114"/>
      <c r="B114"/>
      <c r="C114"/>
      <c r="D114"/>
      <c r="E114"/>
      <c r="F114"/>
      <c r="G114"/>
      <c r="H114"/>
      <c r="I114"/>
      <c r="J114"/>
      <c r="K114"/>
      <c r="L114"/>
      <c r="M114"/>
      <c r="N114"/>
      <c r="O114"/>
      <c r="P114"/>
      <c r="Q114"/>
      <c r="R114"/>
      <c r="S114"/>
      <c r="T114"/>
      <c r="U114" s="6"/>
      <c r="V114" s="8"/>
      <c r="W114" s="8"/>
      <c r="X114" s="8"/>
      <c r="Y114" s="232" t="str">
        <f>N_Total_buts</f>
        <v>Total des buts</v>
      </c>
      <c r="Z114" s="229" t="str">
        <f>IF(OR(ISNUMBER(Z116),ISNUMBER(Z117)),SUM(Z116:Z117),"")</f>
        <v/>
      </c>
      <c r="AA114" s="226" t="s">
        <v>769</v>
      </c>
      <c r="AB114" s="230" t="str">
        <f>IF(OR(ISNUMBER(Z116),ISNUMBER(Z117)),SUM(AB116:AB117),"")</f>
        <v/>
      </c>
      <c r="AC114" s="233" t="str">
        <f>IF(Z118="","",CONCATENATE("(Diff : ",Z118," - ",AB118,")"))</f>
        <v/>
      </c>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row>
    <row r="115" spans="1:73" ht="13.5" hidden="1" outlineLevel="1" thickBot="1" x14ac:dyDescent="0.25">
      <c r="A115"/>
      <c r="B115"/>
      <c r="C115"/>
      <c r="D115"/>
      <c r="E115"/>
      <c r="F115"/>
      <c r="G115"/>
      <c r="H115"/>
      <c r="I115"/>
      <c r="J115" s="833" t="str">
        <f>IF(Z115="","",IF(Z115=Y113,AC113,Y113))</f>
        <v/>
      </c>
      <c r="K115"/>
      <c r="L115"/>
      <c r="M115"/>
      <c r="N115"/>
      <c r="O115"/>
      <c r="P115"/>
      <c r="Q115"/>
      <c r="R115"/>
      <c r="S115"/>
      <c r="T115"/>
      <c r="U115" s="6"/>
      <c r="V115" s="8"/>
      <c r="W115" s="8"/>
      <c r="X115" s="8"/>
      <c r="Y115" s="234" t="str">
        <f>N_VAINQUEUR</f>
        <v>VAINQUEUR</v>
      </c>
      <c r="Z115" s="2436" t="str">
        <f>IF(Z116="",IF(HidePlayerFormulas,"","("&amp;Y113&amp;"-"&amp;AC113&amp;")"),IF(Z113&gt;AB113,Y113,IF(AB113&gt;Z113,AC113,IF(Z114&gt;AB114,Y113,IF(AB114&gt;Z114,AC113,IF(Z120&gt;AB120,Y113,IF(AB120&gt;Z120,AC113,mess_erreur_marque)))))))</f>
        <v/>
      </c>
      <c r="AA115" s="2437"/>
      <c r="AB115" s="2437"/>
      <c r="AC115" s="2438"/>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row>
    <row r="116" spans="1:73" ht="12.75" hidden="1" customHeight="1" outlineLevel="2" x14ac:dyDescent="0.2">
      <c r="A116"/>
      <c r="B116"/>
      <c r="C116"/>
      <c r="D116"/>
      <c r="E116"/>
      <c r="F116"/>
      <c r="G116"/>
      <c r="H116"/>
      <c r="I116"/>
      <c r="J116"/>
      <c r="K116"/>
      <c r="L116"/>
      <c r="M116"/>
      <c r="N116"/>
      <c r="O116"/>
      <c r="P116"/>
      <c r="Q116"/>
      <c r="R116"/>
      <c r="S116"/>
      <c r="T116"/>
      <c r="U116" s="6"/>
      <c r="V116" s="144"/>
      <c r="W116" s="145"/>
      <c r="X116" s="235"/>
      <c r="Y116" s="147"/>
      <c r="Z116" s="236"/>
      <c r="AA116" s="60" t="s">
        <v>769</v>
      </c>
      <c r="AB116" s="236"/>
      <c r="AC116" s="147"/>
      <c r="AD116" s="150"/>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row>
    <row r="117" spans="1:73" ht="13.5" hidden="1" customHeight="1" outlineLevel="2" thickBot="1" x14ac:dyDescent="0.25">
      <c r="A117"/>
      <c r="B117"/>
      <c r="C117"/>
      <c r="D117"/>
      <c r="E117"/>
      <c r="F117"/>
      <c r="G117"/>
      <c r="H117"/>
      <c r="I117"/>
      <c r="J117"/>
      <c r="K117"/>
      <c r="L117"/>
      <c r="M117"/>
      <c r="N117"/>
      <c r="O117"/>
      <c r="P117"/>
      <c r="Q117"/>
      <c r="R117"/>
      <c r="S117"/>
      <c r="T117"/>
      <c r="U117" s="6"/>
      <c r="V117" s="171"/>
      <c r="W117" s="172"/>
      <c r="X117" s="238"/>
      <c r="Y117" s="174"/>
      <c r="Z117" s="175"/>
      <c r="AA117" s="52" t="s">
        <v>769</v>
      </c>
      <c r="AB117" s="175"/>
      <c r="AC117" s="174"/>
      <c r="AD117" s="176"/>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row>
    <row r="118" spans="1:73" ht="13.5" hidden="1" customHeight="1" outlineLevel="2" thickBot="1" x14ac:dyDescent="0.25">
      <c r="A118"/>
      <c r="B118"/>
      <c r="C118"/>
      <c r="D118"/>
      <c r="E118"/>
      <c r="F118"/>
      <c r="G118"/>
      <c r="H118"/>
      <c r="I118"/>
      <c r="J118"/>
      <c r="K118"/>
      <c r="L118"/>
      <c r="M118"/>
      <c r="N118"/>
      <c r="O118"/>
      <c r="P118"/>
      <c r="Q118"/>
      <c r="R118"/>
      <c r="S118"/>
      <c r="T118"/>
      <c r="U118" s="6"/>
      <c r="V118" s="178"/>
      <c r="W118" s="179" t="str">
        <f>N_Différentiel</f>
        <v>Différentiel</v>
      </c>
      <c r="X118" s="239"/>
      <c r="Y118" s="240"/>
      <c r="Z118" s="182"/>
      <c r="AA118" s="66" t="s">
        <v>769</v>
      </c>
      <c r="AB118" s="182"/>
      <c r="AC118" s="240"/>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row>
    <row r="119" spans="1:73" ht="13.5" hidden="1" outlineLevel="1" thickBot="1" x14ac:dyDescent="0.25">
      <c r="A119"/>
      <c r="B119"/>
      <c r="C119"/>
      <c r="D119"/>
      <c r="E119"/>
      <c r="F119"/>
      <c r="G119"/>
      <c r="H119"/>
      <c r="I119"/>
      <c r="J119"/>
      <c r="K119"/>
      <c r="L119"/>
      <c r="M119"/>
      <c r="N119"/>
      <c r="O119"/>
      <c r="P119"/>
      <c r="Q119"/>
      <c r="R119"/>
      <c r="S119"/>
      <c r="T119"/>
      <c r="U119" s="6"/>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row>
    <row r="120" spans="1:73" ht="13.5" hidden="1" outlineLevel="1" thickBot="1" x14ac:dyDescent="0.25">
      <c r="A120"/>
      <c r="B120"/>
      <c r="C120"/>
      <c r="D120"/>
      <c r="E120"/>
      <c r="F120"/>
      <c r="G120"/>
      <c r="H120"/>
      <c r="I120"/>
      <c r="J120"/>
      <c r="K120"/>
      <c r="L120"/>
      <c r="M120"/>
      <c r="N120"/>
      <c r="O120"/>
      <c r="P120"/>
      <c r="Q120"/>
      <c r="R120"/>
      <c r="S120"/>
      <c r="T120"/>
      <c r="U120" s="6"/>
      <c r="V120" s="3" t="str">
        <f>N_Heure</f>
        <v>Heure</v>
      </c>
      <c r="W120" s="3" t="str">
        <f>N_Table</f>
        <v>Table</v>
      </c>
      <c r="X120" s="3" t="str">
        <f>N_Arbitre</f>
        <v>Arbitre</v>
      </c>
      <c r="Y120" s="2439" t="str">
        <f>N_Scores</f>
        <v>Scores</v>
      </c>
      <c r="Z120" s="2440"/>
      <c r="AA120" s="2440"/>
      <c r="AB120" s="2440"/>
      <c r="AC120" s="2441"/>
      <c r="AD120" s="228" t="str">
        <f>N_MS</f>
        <v>MS</v>
      </c>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row>
    <row r="121" spans="1:73" ht="13.5" hidden="1" outlineLevel="1" thickBot="1" x14ac:dyDescent="0.25">
      <c r="A121"/>
      <c r="B121"/>
      <c r="C121"/>
      <c r="D121"/>
      <c r="E121"/>
      <c r="F121"/>
      <c r="G121"/>
      <c r="H121"/>
      <c r="I121"/>
      <c r="J121"/>
      <c r="K121"/>
      <c r="L121"/>
      <c r="M121"/>
      <c r="N121"/>
      <c r="O121"/>
      <c r="P121"/>
      <c r="Q121"/>
      <c r="R121"/>
      <c r="S121"/>
      <c r="T121"/>
      <c r="U121" s="330" t="s">
        <v>1723</v>
      </c>
      <c r="V121" s="8"/>
      <c r="W121" s="8"/>
      <c r="X121" s="8"/>
      <c r="Y121" s="187"/>
      <c r="Z121" s="229" t="str">
        <f>IF(OR(ISNUMBER(Z124),ISNUMBER(Z125)),Lire_Gain_Matches(Z124:Z125, AB124:AB125),"")</f>
        <v/>
      </c>
      <c r="AA121" s="226" t="s">
        <v>769</v>
      </c>
      <c r="AB121" s="230" t="str">
        <f>IF(OR(ISNUMBER(Z124),ISNUMBER(Z125)),Lire_Gain_Matches(AB124:AB125, Z124:Z125),"")</f>
        <v/>
      </c>
      <c r="AC121" s="187"/>
      <c r="AD121" s="231" t="str">
        <f>IF(ISNA(VLOOKUP("X",AD124:AD125,1,FALSE)),"","X")</f>
        <v/>
      </c>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row>
    <row r="122" spans="1:73" ht="13.5" hidden="1" outlineLevel="1" thickBot="1" x14ac:dyDescent="0.25">
      <c r="A122"/>
      <c r="B122"/>
      <c r="C122"/>
      <c r="D122"/>
      <c r="E122"/>
      <c r="F122"/>
      <c r="G122"/>
      <c r="H122"/>
      <c r="I122"/>
      <c r="J122"/>
      <c r="K122"/>
      <c r="L122"/>
      <c r="M122"/>
      <c r="N122"/>
      <c r="O122"/>
      <c r="P122"/>
      <c r="Q122"/>
      <c r="R122"/>
      <c r="S122"/>
      <c r="T122"/>
      <c r="U122" s="6"/>
      <c r="V122" s="8"/>
      <c r="W122" s="8"/>
      <c r="X122" s="8"/>
      <c r="Y122" s="232" t="str">
        <f>N_Total_buts</f>
        <v>Total des buts</v>
      </c>
      <c r="Z122" s="229" t="str">
        <f>IF(OR(ISNUMBER(Z124),ISNUMBER(Z125)),SUM(Z124:Z125),"")</f>
        <v/>
      </c>
      <c r="AA122" s="226" t="s">
        <v>769</v>
      </c>
      <c r="AB122" s="230" t="str">
        <f>IF(OR(ISNUMBER(Z124),ISNUMBER(Z125)),SUM(AB124:AB125),"")</f>
        <v/>
      </c>
      <c r="AC122" s="233" t="str">
        <f>IF(Z126="","",CONCATENATE("(Diff : ",Z126," - ",AB126,")"))</f>
        <v/>
      </c>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row>
    <row r="123" spans="1:73" ht="13.5" hidden="1" outlineLevel="1" thickBot="1" x14ac:dyDescent="0.25">
      <c r="A123"/>
      <c r="B123"/>
      <c r="C123"/>
      <c r="D123"/>
      <c r="E123"/>
      <c r="F123"/>
      <c r="G123"/>
      <c r="H123"/>
      <c r="I123"/>
      <c r="J123" s="833" t="str">
        <f>IF(Z123="","",IF(Z123=Y121,AC121,Y121))</f>
        <v/>
      </c>
      <c r="K123"/>
      <c r="L123"/>
      <c r="M123"/>
      <c r="N123"/>
      <c r="O123"/>
      <c r="P123"/>
      <c r="Q123"/>
      <c r="R123"/>
      <c r="S123"/>
      <c r="T123"/>
      <c r="U123" s="6"/>
      <c r="V123" s="8"/>
      <c r="W123" s="8"/>
      <c r="X123" s="8"/>
      <c r="Y123" s="234" t="str">
        <f>N_VAINQUEUR</f>
        <v>VAINQUEUR</v>
      </c>
      <c r="Z123" s="2436" t="str">
        <f>IF(Z124="",IF(HidePlayerFormulas,"","("&amp;Y121&amp;"-"&amp;AC121&amp;")"),IF(Z121&gt;AB121,Y121,IF(AB121&gt;Z121,AC121,IF(Z122&gt;AB122,Y121,IF(AB122&gt;Z122,AC121,IF(Z128&gt;AB128,Y121,IF(AB128&gt;Z128,AC121,mess_erreur_marque)))))))</f>
        <v/>
      </c>
      <c r="AA123" s="2437"/>
      <c r="AB123" s="2437"/>
      <c r="AC123" s="2438"/>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row>
    <row r="124" spans="1:73" ht="12.75" hidden="1" customHeight="1" outlineLevel="2" x14ac:dyDescent="0.2">
      <c r="A124"/>
      <c r="B124"/>
      <c r="C124"/>
      <c r="D124"/>
      <c r="E124"/>
      <c r="F124"/>
      <c r="G124"/>
      <c r="H124"/>
      <c r="I124"/>
      <c r="J124"/>
      <c r="K124"/>
      <c r="L124"/>
      <c r="M124"/>
      <c r="N124"/>
      <c r="O124"/>
      <c r="P124"/>
      <c r="Q124"/>
      <c r="R124"/>
      <c r="S124"/>
      <c r="T124"/>
      <c r="U124" s="6"/>
      <c r="V124" s="144"/>
      <c r="W124" s="145"/>
      <c r="X124" s="235"/>
      <c r="Y124" s="147"/>
      <c r="Z124" s="236"/>
      <c r="AA124" s="60" t="s">
        <v>769</v>
      </c>
      <c r="AB124" s="236"/>
      <c r="AC124" s="147"/>
      <c r="AD124" s="150"/>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row>
    <row r="125" spans="1:73" ht="13.5" hidden="1" customHeight="1" outlineLevel="2" thickBot="1" x14ac:dyDescent="0.25">
      <c r="A125"/>
      <c r="B125"/>
      <c r="C125"/>
      <c r="D125"/>
      <c r="E125"/>
      <c r="F125"/>
      <c r="G125"/>
      <c r="H125"/>
      <c r="I125"/>
      <c r="J125"/>
      <c r="K125"/>
      <c r="L125"/>
      <c r="M125"/>
      <c r="N125"/>
      <c r="O125"/>
      <c r="P125"/>
      <c r="Q125"/>
      <c r="R125"/>
      <c r="S125"/>
      <c r="T125"/>
      <c r="U125" s="6"/>
      <c r="V125" s="171"/>
      <c r="W125" s="172"/>
      <c r="X125" s="238"/>
      <c r="Y125" s="174"/>
      <c r="Z125" s="175"/>
      <c r="AA125" s="52" t="s">
        <v>769</v>
      </c>
      <c r="AB125" s="175"/>
      <c r="AC125" s="174"/>
      <c r="AD125" s="176"/>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row>
    <row r="126" spans="1:73" ht="13.5" hidden="1" customHeight="1" outlineLevel="2" thickBot="1" x14ac:dyDescent="0.25">
      <c r="A126"/>
      <c r="B126"/>
      <c r="C126"/>
      <c r="D126"/>
      <c r="E126"/>
      <c r="F126"/>
      <c r="G126"/>
      <c r="H126"/>
      <c r="I126"/>
      <c r="J126"/>
      <c r="K126"/>
      <c r="L126"/>
      <c r="M126"/>
      <c r="N126"/>
      <c r="O126"/>
      <c r="P126"/>
      <c r="Q126"/>
      <c r="R126"/>
      <c r="S126"/>
      <c r="T126"/>
      <c r="U126" s="6"/>
      <c r="V126" s="178"/>
      <c r="W126" s="179" t="str">
        <f>N_Différentiel</f>
        <v>Différentiel</v>
      </c>
      <c r="X126" s="239"/>
      <c r="Y126" s="240"/>
      <c r="Z126" s="182"/>
      <c r="AA126" s="66" t="s">
        <v>769</v>
      </c>
      <c r="AB126" s="182"/>
      <c r="AC126" s="240"/>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row>
    <row r="127" spans="1:73" ht="13.5" hidden="1" outlineLevel="1" thickBot="1" x14ac:dyDescent="0.25">
      <c r="A127"/>
      <c r="B127"/>
      <c r="C127"/>
      <c r="D127"/>
      <c r="E127"/>
      <c r="F127"/>
      <c r="G127"/>
      <c r="H127"/>
      <c r="I127"/>
      <c r="J127"/>
      <c r="K127"/>
      <c r="L127"/>
      <c r="M127"/>
      <c r="N127"/>
      <c r="O127"/>
      <c r="P127"/>
      <c r="Q127"/>
      <c r="R127"/>
      <c r="S127"/>
      <c r="T127"/>
      <c r="U127" s="6"/>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row>
    <row r="128" spans="1:73" ht="13.5" collapsed="1" thickBot="1" x14ac:dyDescent="0.25">
      <c r="A128"/>
      <c r="B128" s="2466" t="str">
        <f>N_DEMI_FINALE</f>
        <v>1/2 FINALES</v>
      </c>
      <c r="C128" s="2467"/>
      <c r="D128" s="2467"/>
      <c r="E128" s="2467"/>
      <c r="F128" s="2467"/>
      <c r="G128" s="2467"/>
      <c r="H128" s="2467"/>
      <c r="I128" s="2467"/>
      <c r="J128" s="2467"/>
      <c r="K128" s="2467"/>
      <c r="L128" s="2467"/>
      <c r="M128" s="2467"/>
      <c r="N128" s="2467"/>
      <c r="O128" s="2467"/>
      <c r="P128" s="2467"/>
      <c r="Q128" s="2467"/>
      <c r="R128" s="2467"/>
      <c r="S128" s="2467"/>
      <c r="T128" s="2467"/>
      <c r="U128" s="2467"/>
      <c r="V128" s="2467"/>
      <c r="W128" s="2467"/>
      <c r="X128" s="2467"/>
      <c r="Y128" s="2467"/>
      <c r="Z128" s="2467"/>
      <c r="AA128" s="2467"/>
      <c r="AB128" s="2467"/>
      <c r="AC128" s="2467"/>
      <c r="AD128" s="2467"/>
      <c r="AE128" s="2467"/>
      <c r="AF128" s="2467"/>
      <c r="AG128" s="2467"/>
      <c r="AH128" s="2467"/>
      <c r="AI128" s="2467"/>
      <c r="AJ128" s="2467"/>
      <c r="AK128" s="2467"/>
      <c r="AL128" s="2467"/>
      <c r="AM128" s="246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row>
    <row r="129" spans="1:73" ht="13.5" hidden="1" outlineLevel="1" thickBot="1" x14ac:dyDescent="0.25">
      <c r="A129"/>
      <c r="B129"/>
      <c r="C129"/>
      <c r="D129"/>
      <c r="E129"/>
      <c r="F129"/>
      <c r="G129"/>
      <c r="H129"/>
      <c r="I129"/>
      <c r="J129"/>
      <c r="K129"/>
      <c r="L129"/>
      <c r="M129"/>
      <c r="N129"/>
      <c r="O129"/>
      <c r="P129"/>
      <c r="Q129"/>
      <c r="R129"/>
      <c r="S129"/>
      <c r="T129"/>
      <c r="U129" s="6"/>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row>
    <row r="130" spans="1:73" ht="13.5" hidden="1" outlineLevel="1" thickBot="1" x14ac:dyDescent="0.25">
      <c r="A130"/>
      <c r="B130"/>
      <c r="C130"/>
      <c r="D130"/>
      <c r="E130"/>
      <c r="F130"/>
      <c r="G130"/>
      <c r="H130"/>
      <c r="I130"/>
      <c r="J130"/>
      <c r="K130"/>
      <c r="L130"/>
      <c r="M130"/>
      <c r="N130"/>
      <c r="O130"/>
      <c r="P130"/>
      <c r="Q130"/>
      <c r="R130"/>
      <c r="S130"/>
      <c r="T130"/>
      <c r="U130" s="6"/>
      <c r="V130" s="3" t="str">
        <f>N_Heure</f>
        <v>Heure</v>
      </c>
      <c r="W130" s="3" t="str">
        <f>N_Table</f>
        <v>Table</v>
      </c>
      <c r="X130" s="3" t="str">
        <f>N_Arbitre</f>
        <v>Arbitre</v>
      </c>
      <c r="Y130" s="2439" t="str">
        <f>N_Scores</f>
        <v>Scores</v>
      </c>
      <c r="Z130" s="2440"/>
      <c r="AA130" s="2440"/>
      <c r="AB130" s="2440"/>
      <c r="AC130" s="2441"/>
      <c r="AD130" s="228" t="str">
        <f>N_MS</f>
        <v>MS</v>
      </c>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row>
    <row r="131" spans="1:73" ht="13.5" hidden="1" outlineLevel="1" thickBot="1" x14ac:dyDescent="0.25">
      <c r="A131"/>
      <c r="B131"/>
      <c r="C131"/>
      <c r="D131"/>
      <c r="E131"/>
      <c r="F131"/>
      <c r="G131"/>
      <c r="H131"/>
      <c r="I131"/>
      <c r="J131"/>
      <c r="K131"/>
      <c r="L131"/>
      <c r="M131"/>
      <c r="N131"/>
      <c r="O131"/>
      <c r="P131"/>
      <c r="Q131"/>
      <c r="R131"/>
      <c r="S131"/>
      <c r="T131"/>
      <c r="U131" s="330" t="s">
        <v>1724</v>
      </c>
      <c r="V131" s="8"/>
      <c r="W131" s="8"/>
      <c r="X131" s="8"/>
      <c r="Y131" s="189"/>
      <c r="Z131" s="229" t="str">
        <f>IF(OR(ISNUMBER(Z134),ISNUMBER(Z135)),Lire_Gain_Matches(Z134:Z135, AB134:AB135),"")</f>
        <v/>
      </c>
      <c r="AA131" s="226" t="s">
        <v>769</v>
      </c>
      <c r="AB131" s="230" t="str">
        <f>IF(OR(ISNUMBER(Z134),ISNUMBER(Z135)),Lire_Gain_Matches(AB134:AB135, Z134:Z135),"")</f>
        <v/>
      </c>
      <c r="AC131" s="189"/>
      <c r="AD131" s="231" t="str">
        <f>IF(ISNA(VLOOKUP("X",AD134:AD135,1,FALSE)),"","X")</f>
        <v/>
      </c>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row>
    <row r="132" spans="1:73" ht="13.5" hidden="1" outlineLevel="1" thickBot="1" x14ac:dyDescent="0.25">
      <c r="A132"/>
      <c r="B132"/>
      <c r="C132"/>
      <c r="D132"/>
      <c r="E132"/>
      <c r="F132"/>
      <c r="G132"/>
      <c r="H132"/>
      <c r="I132"/>
      <c r="J132"/>
      <c r="K132"/>
      <c r="L132"/>
      <c r="M132"/>
      <c r="N132"/>
      <c r="O132"/>
      <c r="P132"/>
      <c r="Q132"/>
      <c r="R132"/>
      <c r="S132"/>
      <c r="T132"/>
      <c r="U132" s="6"/>
      <c r="V132" s="8"/>
      <c r="W132" s="8"/>
      <c r="X132" s="8"/>
      <c r="Y132" s="232" t="str">
        <f>N_Total_buts</f>
        <v>Total des buts</v>
      </c>
      <c r="Z132" s="229" t="str">
        <f>IF(OR(ISNUMBER(Z134),ISNUMBER(Z135)),SUM(Z134:Z135),"")</f>
        <v/>
      </c>
      <c r="AA132" s="226" t="s">
        <v>769</v>
      </c>
      <c r="AB132" s="230" t="str">
        <f>IF(OR(ISNUMBER(Z134),ISNUMBER(Z135)),SUM(AB134:AB135),"")</f>
        <v/>
      </c>
      <c r="AC132" s="233" t="str">
        <f>IF(Z136="","",CONCATENATE("(Diff : ",Z136," - ",AB136,")"))</f>
        <v/>
      </c>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row>
    <row r="133" spans="1:73" ht="13.5" hidden="1" outlineLevel="1" thickBot="1" x14ac:dyDescent="0.25">
      <c r="A133"/>
      <c r="B133"/>
      <c r="C133"/>
      <c r="D133"/>
      <c r="E133"/>
      <c r="F133"/>
      <c r="G133"/>
      <c r="H133"/>
      <c r="I133"/>
      <c r="J133" s="833" t="str">
        <f>IF(Z133="","",IF(Z133=Y131,AC131,Y131))</f>
        <v/>
      </c>
      <c r="K133"/>
      <c r="L133"/>
      <c r="M133"/>
      <c r="N133"/>
      <c r="O133"/>
      <c r="P133"/>
      <c r="Q133"/>
      <c r="R133"/>
      <c r="S133"/>
      <c r="T133"/>
      <c r="U133" s="6"/>
      <c r="V133" s="8"/>
      <c r="W133" s="8"/>
      <c r="X133" s="8"/>
      <c r="Y133" s="234" t="str">
        <f>N_VAINQUEUR</f>
        <v>VAINQUEUR</v>
      </c>
      <c r="Z133" s="2445" t="str">
        <f>IF(Z134="",IF(HidePlayerFormulas,"","("&amp;Y131&amp;"-"&amp;AC131&amp;")"),IF(Z131&gt;AB131,Y131,IF(AB131&gt;Z131,AC131,IF(Z132&gt;AB132,Y131,IF(AB132&gt;Z132,AC131,IF(Z138&gt;AB138,Y131,IF(AB138&gt;Z138,AC131,mess_erreur_marque)))))))</f>
        <v/>
      </c>
      <c r="AA133" s="2446"/>
      <c r="AB133" s="2446"/>
      <c r="AC133" s="2447"/>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row>
    <row r="134" spans="1:73" hidden="1" outlineLevel="2" x14ac:dyDescent="0.2">
      <c r="A134"/>
      <c r="B134"/>
      <c r="C134"/>
      <c r="D134"/>
      <c r="E134"/>
      <c r="F134"/>
      <c r="G134"/>
      <c r="H134"/>
      <c r="I134"/>
      <c r="J134"/>
      <c r="K134"/>
      <c r="L134"/>
      <c r="M134"/>
      <c r="N134"/>
      <c r="O134"/>
      <c r="P134"/>
      <c r="Q134"/>
      <c r="R134"/>
      <c r="S134"/>
      <c r="T134"/>
      <c r="U134" s="6"/>
      <c r="V134" s="144"/>
      <c r="W134" s="145"/>
      <c r="X134" s="235"/>
      <c r="Y134" s="147"/>
      <c r="Z134" s="236"/>
      <c r="AA134" s="60" t="s">
        <v>769</v>
      </c>
      <c r="AB134" s="236"/>
      <c r="AC134" s="147"/>
      <c r="AD134" s="150"/>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row>
    <row r="135" spans="1:73" ht="13.5" hidden="1" outlineLevel="2" thickBot="1" x14ac:dyDescent="0.25">
      <c r="A135"/>
      <c r="B135"/>
      <c r="C135"/>
      <c r="D135"/>
      <c r="E135"/>
      <c r="F135"/>
      <c r="G135"/>
      <c r="H135"/>
      <c r="I135"/>
      <c r="J135"/>
      <c r="K135"/>
      <c r="L135"/>
      <c r="M135"/>
      <c r="N135"/>
      <c r="O135"/>
      <c r="P135"/>
      <c r="Q135"/>
      <c r="R135"/>
      <c r="S135"/>
      <c r="T135"/>
      <c r="U135" s="6"/>
      <c r="V135" s="171"/>
      <c r="W135" s="172"/>
      <c r="X135" s="238"/>
      <c r="Y135" s="174"/>
      <c r="Z135" s="175"/>
      <c r="AA135" s="52" t="s">
        <v>769</v>
      </c>
      <c r="AB135" s="175"/>
      <c r="AC135" s="174"/>
      <c r="AD135" s="176"/>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row>
    <row r="136" spans="1:73" ht="13.5" hidden="1" outlineLevel="2" thickBot="1" x14ac:dyDescent="0.25">
      <c r="A136"/>
      <c r="B136"/>
      <c r="C136"/>
      <c r="D136"/>
      <c r="E136"/>
      <c r="F136"/>
      <c r="G136"/>
      <c r="H136"/>
      <c r="I136"/>
      <c r="J136"/>
      <c r="K136"/>
      <c r="L136"/>
      <c r="M136"/>
      <c r="N136"/>
      <c r="O136"/>
      <c r="P136"/>
      <c r="Q136"/>
      <c r="R136"/>
      <c r="S136"/>
      <c r="T136"/>
      <c r="U136" s="6"/>
      <c r="V136" s="178"/>
      <c r="W136" s="179" t="str">
        <f>N_Différentiel</f>
        <v>Différentiel</v>
      </c>
      <c r="X136" s="239"/>
      <c r="Y136" s="240"/>
      <c r="Z136" s="182"/>
      <c r="AA136" s="66" t="s">
        <v>769</v>
      </c>
      <c r="AB136" s="182"/>
      <c r="AC136" s="240"/>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row>
    <row r="137" spans="1:73" ht="13.5" hidden="1" outlineLevel="1" thickBot="1" x14ac:dyDescent="0.25">
      <c r="A137"/>
      <c r="B137"/>
      <c r="C137"/>
      <c r="D137"/>
      <c r="E137"/>
      <c r="F137"/>
      <c r="G137"/>
      <c r="H137"/>
      <c r="I137"/>
      <c r="J137"/>
      <c r="K137"/>
      <c r="L137"/>
      <c r="M137"/>
      <c r="N137"/>
      <c r="O137"/>
      <c r="P137"/>
      <c r="Q137"/>
      <c r="R137"/>
      <c r="S137"/>
      <c r="T137"/>
      <c r="U137" s="6"/>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row>
    <row r="138" spans="1:73" ht="13.5" hidden="1" outlineLevel="1" thickBot="1" x14ac:dyDescent="0.25">
      <c r="A138"/>
      <c r="B138"/>
      <c r="C138"/>
      <c r="D138"/>
      <c r="E138"/>
      <c r="F138"/>
      <c r="G138"/>
      <c r="H138"/>
      <c r="I138"/>
      <c r="J138"/>
      <c r="K138"/>
      <c r="L138"/>
      <c r="M138"/>
      <c r="N138"/>
      <c r="O138"/>
      <c r="P138"/>
      <c r="Q138"/>
      <c r="R138"/>
      <c r="S138"/>
      <c r="T138"/>
      <c r="U138" s="6"/>
      <c r="V138" s="3" t="str">
        <f>N_Heure</f>
        <v>Heure</v>
      </c>
      <c r="W138" s="3" t="str">
        <f>N_Table</f>
        <v>Table</v>
      </c>
      <c r="X138" s="3" t="str">
        <f>N_Arbitre</f>
        <v>Arbitre</v>
      </c>
      <c r="Y138" s="2439" t="str">
        <f>N_Scores</f>
        <v>Scores</v>
      </c>
      <c r="Z138" s="2440"/>
      <c r="AA138" s="2440"/>
      <c r="AB138" s="2440"/>
      <c r="AC138" s="2441"/>
      <c r="AD138" s="228" t="str">
        <f>N_MS</f>
        <v>MS</v>
      </c>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row>
    <row r="139" spans="1:73" ht="13.5" hidden="1" outlineLevel="1" thickBot="1" x14ac:dyDescent="0.25">
      <c r="A139"/>
      <c r="B139"/>
      <c r="C139"/>
      <c r="D139"/>
      <c r="E139"/>
      <c r="F139"/>
      <c r="G139"/>
      <c r="H139"/>
      <c r="I139"/>
      <c r="J139"/>
      <c r="K139"/>
      <c r="L139"/>
      <c r="M139"/>
      <c r="N139"/>
      <c r="O139"/>
      <c r="P139"/>
      <c r="Q139"/>
      <c r="R139"/>
      <c r="S139"/>
      <c r="T139"/>
      <c r="U139" s="330" t="s">
        <v>1724</v>
      </c>
      <c r="V139" s="8"/>
      <c r="W139" s="8"/>
      <c r="X139" s="8"/>
      <c r="Y139" s="189"/>
      <c r="Z139" s="229" t="str">
        <f>IF(OR(ISNUMBER(Z142),ISNUMBER(Z143)),Lire_Gain_Matches(Z142:Z143, AB142:AB143),"")</f>
        <v/>
      </c>
      <c r="AA139" s="226" t="s">
        <v>769</v>
      </c>
      <c r="AB139" s="230" t="str">
        <f>IF(OR(ISNUMBER(Z142),ISNUMBER(Z143)),Lire_Gain_Matches(AB142:AB143, Z142:Z143),"")</f>
        <v/>
      </c>
      <c r="AC139" s="189"/>
      <c r="AD139" s="231" t="str">
        <f>IF(ISNA(VLOOKUP("X",AD142:AD143,1,FALSE)),"","X")</f>
        <v/>
      </c>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row>
    <row r="140" spans="1:73" ht="13.5" hidden="1" outlineLevel="1" thickBot="1" x14ac:dyDescent="0.25">
      <c r="A140"/>
      <c r="B140"/>
      <c r="C140"/>
      <c r="D140"/>
      <c r="E140"/>
      <c r="F140"/>
      <c r="G140"/>
      <c r="H140"/>
      <c r="I140"/>
      <c r="J140"/>
      <c r="K140"/>
      <c r="L140"/>
      <c r="M140"/>
      <c r="N140"/>
      <c r="O140"/>
      <c r="P140"/>
      <c r="Q140"/>
      <c r="R140"/>
      <c r="S140"/>
      <c r="T140"/>
      <c r="U140" s="6"/>
      <c r="V140" s="8"/>
      <c r="W140" s="8"/>
      <c r="X140" s="8"/>
      <c r="Y140" s="232" t="str">
        <f>N_Total_buts</f>
        <v>Total des buts</v>
      </c>
      <c r="Z140" s="229" t="str">
        <f>IF(OR(ISNUMBER(Z142),ISNUMBER(Z143)),SUM(Z142:Z143),"")</f>
        <v/>
      </c>
      <c r="AA140" s="226" t="s">
        <v>769</v>
      </c>
      <c r="AB140" s="230" t="str">
        <f>IF(OR(ISNUMBER(Z142),ISNUMBER(Z143)),SUM(AB142:AB143),"")</f>
        <v/>
      </c>
      <c r="AC140" s="233" t="str">
        <f>IF(Z144="","",CONCATENATE("(Diff : ",Z144," - ",AB144,")"))</f>
        <v/>
      </c>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row>
    <row r="141" spans="1:73" ht="13.5" hidden="1" outlineLevel="1" thickBot="1" x14ac:dyDescent="0.25">
      <c r="A141"/>
      <c r="B141"/>
      <c r="C141"/>
      <c r="D141"/>
      <c r="E141"/>
      <c r="F141"/>
      <c r="G141"/>
      <c r="H141"/>
      <c r="I141"/>
      <c r="J141" s="833" t="str">
        <f>IF(Z141="","",IF(Z141=Y139,AC139,Y139))</f>
        <v/>
      </c>
      <c r="K141"/>
      <c r="L141"/>
      <c r="M141"/>
      <c r="N141"/>
      <c r="O141"/>
      <c r="P141"/>
      <c r="Q141"/>
      <c r="R141"/>
      <c r="S141"/>
      <c r="T141"/>
      <c r="U141" s="6"/>
      <c r="V141" s="8"/>
      <c r="W141" s="8"/>
      <c r="X141" s="8"/>
      <c r="Y141" s="234" t="str">
        <f>N_VAINQUEUR</f>
        <v>VAINQUEUR</v>
      </c>
      <c r="Z141" s="2445" t="str">
        <f>IF(Z142="",IF(HidePlayerFormulas,"","("&amp;Y139&amp;"-"&amp;AC139&amp;")"),IF(Z139&gt;AB139,Y139,IF(AB139&gt;Z139,AC139,IF(Z140&gt;AB140,Y139,IF(AB140&gt;Z140,AC139,IF(Z156&gt;AB156,Y139,IF(AB156&gt;Z156,AC139,mess_erreur_marque)))))))</f>
        <v/>
      </c>
      <c r="AA141" s="2446"/>
      <c r="AB141" s="2446"/>
      <c r="AC141" s="2447"/>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row>
    <row r="142" spans="1:73" hidden="1" outlineLevel="2" x14ac:dyDescent="0.2">
      <c r="A142"/>
      <c r="B142"/>
      <c r="C142"/>
      <c r="D142"/>
      <c r="E142"/>
      <c r="F142"/>
      <c r="G142"/>
      <c r="H142"/>
      <c r="I142"/>
      <c r="J142"/>
      <c r="K142"/>
      <c r="L142"/>
      <c r="M142"/>
      <c r="N142"/>
      <c r="O142"/>
      <c r="P142"/>
      <c r="Q142"/>
      <c r="R142"/>
      <c r="S142"/>
      <c r="T142"/>
      <c r="U142" s="6"/>
      <c r="V142" s="144"/>
      <c r="W142" s="145"/>
      <c r="X142" s="235"/>
      <c r="Y142" s="147"/>
      <c r="Z142" s="236"/>
      <c r="AA142" s="60" t="s">
        <v>769</v>
      </c>
      <c r="AB142" s="236"/>
      <c r="AC142" s="147"/>
      <c r="AD142" s="150"/>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row>
    <row r="143" spans="1:73" ht="13.5" hidden="1" outlineLevel="2" thickBot="1" x14ac:dyDescent="0.25">
      <c r="A143"/>
      <c r="B143"/>
      <c r="C143"/>
      <c r="D143"/>
      <c r="E143"/>
      <c r="F143"/>
      <c r="G143"/>
      <c r="H143"/>
      <c r="I143"/>
      <c r="J143"/>
      <c r="K143"/>
      <c r="L143"/>
      <c r="M143"/>
      <c r="N143"/>
      <c r="O143"/>
      <c r="P143"/>
      <c r="Q143"/>
      <c r="R143"/>
      <c r="S143"/>
      <c r="T143"/>
      <c r="U143" s="6"/>
      <c r="V143" s="171"/>
      <c r="W143" s="172"/>
      <c r="X143" s="238"/>
      <c r="Y143" s="174"/>
      <c r="Z143" s="175"/>
      <c r="AA143" s="52" t="s">
        <v>769</v>
      </c>
      <c r="AB143" s="175"/>
      <c r="AC143" s="174"/>
      <c r="AD143" s="176"/>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row>
    <row r="144" spans="1:73" ht="13.5" hidden="1" outlineLevel="2" thickBot="1" x14ac:dyDescent="0.25">
      <c r="A144"/>
      <c r="B144"/>
      <c r="C144"/>
      <c r="D144"/>
      <c r="E144"/>
      <c r="F144"/>
      <c r="G144"/>
      <c r="H144"/>
      <c r="I144"/>
      <c r="J144"/>
      <c r="K144"/>
      <c r="L144"/>
      <c r="M144"/>
      <c r="N144"/>
      <c r="O144"/>
      <c r="P144"/>
      <c r="Q144"/>
      <c r="R144"/>
      <c r="S144"/>
      <c r="T144"/>
      <c r="U144" s="6"/>
      <c r="V144" s="178"/>
      <c r="W144" s="179" t="str">
        <f>N_Différentiel</f>
        <v>Différentiel</v>
      </c>
      <c r="X144" s="239"/>
      <c r="Y144" s="240"/>
      <c r="Z144" s="182"/>
      <c r="AA144" s="66" t="s">
        <v>769</v>
      </c>
      <c r="AB144" s="182"/>
      <c r="AC144" s="240"/>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row>
    <row r="145" spans="1:73" ht="13.5" hidden="1" outlineLevel="1" thickBot="1" x14ac:dyDescent="0.25">
      <c r="A145"/>
      <c r="B145"/>
      <c r="C145"/>
      <c r="D145"/>
      <c r="E145"/>
      <c r="F145"/>
      <c r="G145"/>
      <c r="H145"/>
      <c r="I145"/>
      <c r="J145"/>
      <c r="K145"/>
      <c r="L145"/>
      <c r="M145"/>
      <c r="N145"/>
      <c r="O145"/>
      <c r="P145"/>
      <c r="Q145"/>
      <c r="R145"/>
      <c r="S145"/>
      <c r="T145"/>
      <c r="U145" s="6"/>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row>
    <row r="146" spans="1:73" ht="13.5" collapsed="1" thickBot="1" x14ac:dyDescent="0.25">
      <c r="A146"/>
      <c r="B146" s="2451" t="str">
        <f>N_THIRD</f>
        <v>PETITE FINALE</v>
      </c>
      <c r="C146" s="2452"/>
      <c r="D146" s="2452"/>
      <c r="E146" s="2452"/>
      <c r="F146" s="2452"/>
      <c r="G146" s="2452"/>
      <c r="H146" s="2452"/>
      <c r="I146" s="2452"/>
      <c r="J146" s="2452"/>
      <c r="K146" s="2452"/>
      <c r="L146" s="2452"/>
      <c r="M146" s="2452"/>
      <c r="N146" s="2452"/>
      <c r="O146" s="2452"/>
      <c r="P146" s="2452"/>
      <c r="Q146" s="2452"/>
      <c r="R146" s="2452"/>
      <c r="S146" s="2452"/>
      <c r="T146" s="2452"/>
      <c r="U146" s="2452"/>
      <c r="V146" s="2452"/>
      <c r="W146" s="2452"/>
      <c r="X146" s="2452"/>
      <c r="Y146" s="2452"/>
      <c r="Z146" s="2452"/>
      <c r="AA146" s="2452"/>
      <c r="AB146" s="2452"/>
      <c r="AC146" s="2452"/>
      <c r="AD146" s="2452"/>
      <c r="AE146" s="2452"/>
      <c r="AF146" s="2452"/>
      <c r="AG146" s="2452"/>
      <c r="AH146" s="2452"/>
      <c r="AI146" s="2452"/>
      <c r="AJ146" s="2452"/>
      <c r="AK146" s="2452"/>
      <c r="AL146" s="2452"/>
      <c r="AM146" s="2453"/>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row>
    <row r="147" spans="1:73" ht="13.5" hidden="1" outlineLevel="1" thickBot="1" x14ac:dyDescent="0.25">
      <c r="A147"/>
      <c r="B147"/>
      <c r="C147"/>
      <c r="D147"/>
      <c r="E147"/>
      <c r="F147"/>
      <c r="G147"/>
      <c r="H147"/>
      <c r="I147"/>
      <c r="J147"/>
      <c r="K147"/>
      <c r="L147"/>
      <c r="M147"/>
      <c r="N147"/>
      <c r="O147"/>
      <c r="P147"/>
      <c r="Q147"/>
      <c r="R147"/>
      <c r="S147"/>
      <c r="T147"/>
      <c r="U147" s="6"/>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row>
    <row r="148" spans="1:73" ht="13.5" hidden="1" outlineLevel="1" thickBot="1" x14ac:dyDescent="0.25">
      <c r="A148"/>
      <c r="B148"/>
      <c r="C148"/>
      <c r="D148"/>
      <c r="E148"/>
      <c r="F148"/>
      <c r="G148"/>
      <c r="H148"/>
      <c r="I148"/>
      <c r="J148"/>
      <c r="K148"/>
      <c r="L148"/>
      <c r="M148"/>
      <c r="N148"/>
      <c r="O148"/>
      <c r="P148"/>
      <c r="Q148"/>
      <c r="R148"/>
      <c r="S148"/>
      <c r="T148"/>
      <c r="U148" s="6"/>
      <c r="V148" s="3" t="str">
        <f>N_Heure</f>
        <v>Heure</v>
      </c>
      <c r="W148" s="3" t="str">
        <f>N_Table</f>
        <v>Table</v>
      </c>
      <c r="X148" s="3" t="str">
        <f>N_Arbitre</f>
        <v>Arbitre</v>
      </c>
      <c r="Y148" s="2439" t="str">
        <f>N_Scores</f>
        <v>Scores</v>
      </c>
      <c r="Z148" s="2440"/>
      <c r="AA148" s="2440"/>
      <c r="AB148" s="2440"/>
      <c r="AC148" s="2441"/>
      <c r="AD148" s="228" t="str">
        <f>N_MS</f>
        <v>MS</v>
      </c>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row>
    <row r="149" spans="1:73" ht="13.5" hidden="1" outlineLevel="1" thickBot="1" x14ac:dyDescent="0.25">
      <c r="A149"/>
      <c r="B149"/>
      <c r="C149"/>
      <c r="D149"/>
      <c r="E149"/>
      <c r="F149"/>
      <c r="G149"/>
      <c r="H149"/>
      <c r="I149"/>
      <c r="J149"/>
      <c r="K149"/>
      <c r="L149"/>
      <c r="M149"/>
      <c r="N149"/>
      <c r="O149"/>
      <c r="P149"/>
      <c r="Q149"/>
      <c r="R149"/>
      <c r="S149"/>
      <c r="T149"/>
      <c r="U149" s="330" t="s">
        <v>1725</v>
      </c>
      <c r="V149" s="8"/>
      <c r="W149" s="8"/>
      <c r="X149" s="8"/>
      <c r="Y149" s="1338"/>
      <c r="Z149" s="229" t="str">
        <f>IF(OR(ISNUMBER(Z152),ISNUMBER(Z153)),Lire_Gain_Matches(Z152:Z153, AB152:AB153),"")</f>
        <v/>
      </c>
      <c r="AA149" s="226" t="s">
        <v>769</v>
      </c>
      <c r="AB149" s="230" t="str">
        <f>IF(OR(ISNUMBER(Z152),ISNUMBER(Z153)),Lire_Gain_Matches(AB152:AB153, Z152:Z153),"")</f>
        <v/>
      </c>
      <c r="AC149" s="1338"/>
      <c r="AD149" s="231" t="str">
        <f>IF(ISNA(VLOOKUP("X",AD152:AD153,1,FALSE)),"","X")</f>
        <v/>
      </c>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row>
    <row r="150" spans="1:73" ht="13.5" hidden="1" outlineLevel="1" thickBot="1" x14ac:dyDescent="0.25">
      <c r="A150"/>
      <c r="B150"/>
      <c r="C150"/>
      <c r="D150"/>
      <c r="E150"/>
      <c r="F150"/>
      <c r="G150"/>
      <c r="H150"/>
      <c r="I150"/>
      <c r="J150"/>
      <c r="K150"/>
      <c r="L150"/>
      <c r="M150"/>
      <c r="N150"/>
      <c r="O150"/>
      <c r="P150"/>
      <c r="Q150"/>
      <c r="R150"/>
      <c r="S150"/>
      <c r="T150"/>
      <c r="U150" s="6"/>
      <c r="V150" s="8"/>
      <c r="W150" s="8"/>
      <c r="X150" s="8"/>
      <c r="Y150" s="232" t="str">
        <f>N_Total_buts</f>
        <v>Total des buts</v>
      </c>
      <c r="Z150" s="229" t="str">
        <f>IF(OR(ISNUMBER(Z152),ISNUMBER(Z153)),SUM(Z152:Z153),"")</f>
        <v/>
      </c>
      <c r="AA150" s="226" t="s">
        <v>769</v>
      </c>
      <c r="AB150" s="230" t="str">
        <f>IF(OR(ISNUMBER(Z152),ISNUMBER(Z153)),SUM(AB152:AB153),"")</f>
        <v/>
      </c>
      <c r="AC150" s="233" t="str">
        <f>IF(Z154="","",CONCATENATE("(Diff : ",Z154," - ",AB154,")"))</f>
        <v/>
      </c>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row>
    <row r="151" spans="1:73" ht="16.5" hidden="1" outlineLevel="1" thickBot="1" x14ac:dyDescent="0.3">
      <c r="A151"/>
      <c r="B151"/>
      <c r="C151"/>
      <c r="D151"/>
      <c r="E151"/>
      <c r="F151"/>
      <c r="G151"/>
      <c r="H151"/>
      <c r="I151"/>
      <c r="J151" s="833" t="str">
        <f>IF(Z151="","",IF(Z151=Y149,AC149,Y149))</f>
        <v/>
      </c>
      <c r="K151"/>
      <c r="L151"/>
      <c r="M151"/>
      <c r="N151"/>
      <c r="O151"/>
      <c r="P151"/>
      <c r="Q151"/>
      <c r="R151"/>
      <c r="S151"/>
      <c r="T151"/>
      <c r="U151" s="6"/>
      <c r="V151" s="8"/>
      <c r="W151" s="8"/>
      <c r="X151" s="8"/>
      <c r="Y151" s="234" t="str">
        <f>N_VAINQUEUR</f>
        <v>VAINQUEUR</v>
      </c>
      <c r="Z151" s="2454" t="str">
        <f>IF(Z152="",IF(HidePlayerFormulas,"","("&amp;Y149&amp;"-"&amp;AC149&amp;")"),IF(Z149&gt;AB149,Y149,IF(AB149&gt;Z149,AC149,IF(Z150&gt;AB150,Y149,IF(AB150&gt;Z150,AC149,IF(Z156&gt;AB156,Y149,IF(AB156&gt;Z156,AC149,mess_erreur_marque)))))))</f>
        <v/>
      </c>
      <c r="AA151" s="2455"/>
      <c r="AB151" s="2455"/>
      <c r="AC151" s="2456"/>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row>
    <row r="152" spans="1:73" hidden="1" outlineLevel="2" x14ac:dyDescent="0.2">
      <c r="A152"/>
      <c r="B152"/>
      <c r="C152"/>
      <c r="D152"/>
      <c r="E152"/>
      <c r="F152"/>
      <c r="G152"/>
      <c r="H152"/>
      <c r="I152"/>
      <c r="J152"/>
      <c r="K152"/>
      <c r="L152"/>
      <c r="M152"/>
      <c r="N152"/>
      <c r="O152"/>
      <c r="P152"/>
      <c r="Q152"/>
      <c r="R152"/>
      <c r="S152"/>
      <c r="T152"/>
      <c r="U152" s="6"/>
      <c r="V152" s="144"/>
      <c r="W152" s="145"/>
      <c r="X152" s="235"/>
      <c r="Y152" s="147"/>
      <c r="Z152" s="236"/>
      <c r="AA152" s="60" t="s">
        <v>769</v>
      </c>
      <c r="AB152" s="236"/>
      <c r="AC152" s="147"/>
      <c r="AD152" s="150"/>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row>
    <row r="153" spans="1:73" ht="13.5" hidden="1" outlineLevel="2" thickBot="1" x14ac:dyDescent="0.25">
      <c r="A153"/>
      <c r="B153"/>
      <c r="C153"/>
      <c r="D153"/>
      <c r="E153"/>
      <c r="F153"/>
      <c r="G153"/>
      <c r="H153"/>
      <c r="I153"/>
      <c r="J153"/>
      <c r="K153"/>
      <c r="L153"/>
      <c r="M153"/>
      <c r="N153"/>
      <c r="O153"/>
      <c r="P153"/>
      <c r="Q153"/>
      <c r="R153"/>
      <c r="S153"/>
      <c r="T153"/>
      <c r="U153" s="6"/>
      <c r="V153" s="171"/>
      <c r="W153" s="172"/>
      <c r="X153" s="238"/>
      <c r="Y153" s="174"/>
      <c r="Z153" s="175"/>
      <c r="AA153" s="52" t="s">
        <v>769</v>
      </c>
      <c r="AB153" s="175"/>
      <c r="AC153" s="174"/>
      <c r="AD153" s="176"/>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row>
    <row r="154" spans="1:73" ht="13.5" hidden="1" outlineLevel="2" thickBot="1" x14ac:dyDescent="0.25">
      <c r="A154"/>
      <c r="B154"/>
      <c r="C154"/>
      <c r="D154"/>
      <c r="E154"/>
      <c r="F154"/>
      <c r="G154"/>
      <c r="H154"/>
      <c r="I154"/>
      <c r="J154"/>
      <c r="K154"/>
      <c r="L154"/>
      <c r="M154"/>
      <c r="N154"/>
      <c r="O154"/>
      <c r="P154"/>
      <c r="Q154"/>
      <c r="R154"/>
      <c r="S154"/>
      <c r="T154"/>
      <c r="U154" s="6"/>
      <c r="V154" s="178"/>
      <c r="W154" s="179" t="str">
        <f>N_Différentiel</f>
        <v>Différentiel</v>
      </c>
      <c r="X154" s="239"/>
      <c r="Y154" s="240"/>
      <c r="Z154" s="182"/>
      <c r="AA154" s="66" t="s">
        <v>769</v>
      </c>
      <c r="AB154" s="182"/>
      <c r="AC154" s="240"/>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row>
    <row r="155" spans="1:73" ht="13.5" hidden="1" outlineLevel="1" thickBot="1" x14ac:dyDescent="0.25">
      <c r="A155"/>
      <c r="B155"/>
      <c r="C155"/>
      <c r="D155"/>
      <c r="E155"/>
      <c r="F155"/>
      <c r="G155"/>
      <c r="H155"/>
      <c r="I155"/>
      <c r="J155"/>
      <c r="K155"/>
      <c r="L155"/>
      <c r="M155"/>
      <c r="N155"/>
      <c r="O155"/>
      <c r="P155"/>
      <c r="Q155"/>
      <c r="R155"/>
      <c r="S155"/>
      <c r="T155"/>
      <c r="U155" s="6"/>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row>
    <row r="156" spans="1:73" ht="13.5" collapsed="1" thickBot="1" x14ac:dyDescent="0.25">
      <c r="A156"/>
      <c r="B156" s="2448" t="str">
        <f>N_FINALE</f>
        <v>FINALE</v>
      </c>
      <c r="C156" s="2449"/>
      <c r="D156" s="2449"/>
      <c r="E156" s="2449"/>
      <c r="F156" s="2449"/>
      <c r="G156" s="2449"/>
      <c r="H156" s="2449"/>
      <c r="I156" s="2449"/>
      <c r="J156" s="2449"/>
      <c r="K156" s="2449"/>
      <c r="L156" s="2449"/>
      <c r="M156" s="2449"/>
      <c r="N156" s="2449"/>
      <c r="O156" s="2449"/>
      <c r="P156" s="2449"/>
      <c r="Q156" s="2449"/>
      <c r="R156" s="2449"/>
      <c r="S156" s="2449"/>
      <c r="T156" s="2449"/>
      <c r="U156" s="2449"/>
      <c r="V156" s="2449"/>
      <c r="W156" s="2449"/>
      <c r="X156" s="2449"/>
      <c r="Y156" s="2449"/>
      <c r="Z156" s="2449"/>
      <c r="AA156" s="2449"/>
      <c r="AB156" s="2449"/>
      <c r="AC156" s="2449"/>
      <c r="AD156" s="2449"/>
      <c r="AE156" s="2449"/>
      <c r="AF156" s="2449"/>
      <c r="AG156" s="2449"/>
      <c r="AH156" s="2449"/>
      <c r="AI156" s="2449"/>
      <c r="AJ156" s="2449"/>
      <c r="AK156" s="2449"/>
      <c r="AL156" s="2449"/>
      <c r="AM156" s="2450"/>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row>
    <row r="157" spans="1:73" ht="13.5" hidden="1" outlineLevel="1" thickBot="1" x14ac:dyDescent="0.25">
      <c r="A157"/>
      <c r="B157"/>
      <c r="C157"/>
      <c r="D157"/>
      <c r="E157"/>
      <c r="F157"/>
      <c r="G157"/>
      <c r="H157"/>
      <c r="I157"/>
      <c r="J157"/>
      <c r="K157"/>
      <c r="L157"/>
      <c r="M157"/>
      <c r="N157"/>
      <c r="O157"/>
      <c r="P157"/>
      <c r="Q157"/>
      <c r="R157"/>
      <c r="S157"/>
      <c r="T157"/>
      <c r="U157" s="6"/>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row>
    <row r="158" spans="1:73" ht="13.5" hidden="1" outlineLevel="1" thickBot="1" x14ac:dyDescent="0.25">
      <c r="A158"/>
      <c r="B158"/>
      <c r="C158"/>
      <c r="D158"/>
      <c r="E158"/>
      <c r="F158"/>
      <c r="G158"/>
      <c r="H158"/>
      <c r="I158"/>
      <c r="J158"/>
      <c r="K158"/>
      <c r="L158"/>
      <c r="M158"/>
      <c r="N158"/>
      <c r="O158"/>
      <c r="P158"/>
      <c r="Q158"/>
      <c r="R158"/>
      <c r="S158"/>
      <c r="T158"/>
      <c r="U158" s="6"/>
      <c r="V158" s="3" t="str">
        <f>N_Heure</f>
        <v>Heure</v>
      </c>
      <c r="W158" s="3" t="str">
        <f>N_Table</f>
        <v>Table</v>
      </c>
      <c r="X158" s="3" t="str">
        <f>N_Arbitre</f>
        <v>Arbitre</v>
      </c>
      <c r="Y158" s="2439" t="str">
        <f>N_Scores</f>
        <v>Scores</v>
      </c>
      <c r="Z158" s="2440"/>
      <c r="AA158" s="2440"/>
      <c r="AB158" s="2440"/>
      <c r="AC158" s="2441"/>
      <c r="AD158" s="228" t="str">
        <f>N_MS</f>
        <v>MS</v>
      </c>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row>
    <row r="159" spans="1:73" ht="13.5" hidden="1" outlineLevel="1" thickBot="1" x14ac:dyDescent="0.25">
      <c r="A159"/>
      <c r="B159"/>
      <c r="C159"/>
      <c r="D159"/>
      <c r="E159"/>
      <c r="F159"/>
      <c r="G159"/>
      <c r="H159"/>
      <c r="I159"/>
      <c r="J159"/>
      <c r="K159"/>
      <c r="L159"/>
      <c r="M159"/>
      <c r="N159"/>
      <c r="O159"/>
      <c r="P159"/>
      <c r="Q159"/>
      <c r="R159"/>
      <c r="S159"/>
      <c r="T159"/>
      <c r="U159" s="330" t="s">
        <v>1725</v>
      </c>
      <c r="V159" s="8"/>
      <c r="W159" s="8"/>
      <c r="X159" s="8"/>
      <c r="Y159" s="241"/>
      <c r="Z159" s="229" t="str">
        <f>IF(OR(ISNUMBER(Z162),ISNUMBER(Z163)),Lire_Gain_Matches(Z162:Z163, AB162:AB163),"")</f>
        <v/>
      </c>
      <c r="AA159" s="226" t="s">
        <v>769</v>
      </c>
      <c r="AB159" s="230" t="str">
        <f>IF(OR(ISNUMBER(Z162),ISNUMBER(Z163)),Lire_Gain_Matches(AB162:AB163, Z162:Z163),"")</f>
        <v/>
      </c>
      <c r="AC159" s="241"/>
      <c r="AD159" s="231" t="str">
        <f>IF(ISNA(VLOOKUP("X",AD162:AD163,1,FALSE)),"","X")</f>
        <v/>
      </c>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row>
    <row r="160" spans="1:73" ht="13.5" hidden="1" outlineLevel="1" thickBot="1" x14ac:dyDescent="0.25">
      <c r="A160"/>
      <c r="B160"/>
      <c r="C160"/>
      <c r="D160"/>
      <c r="E160"/>
      <c r="F160"/>
      <c r="G160"/>
      <c r="H160"/>
      <c r="I160"/>
      <c r="J160"/>
      <c r="K160"/>
      <c r="L160"/>
      <c r="M160"/>
      <c r="N160"/>
      <c r="O160"/>
      <c r="P160"/>
      <c r="Q160"/>
      <c r="R160"/>
      <c r="S160"/>
      <c r="T160"/>
      <c r="U160" s="6"/>
      <c r="V160" s="8"/>
      <c r="W160" s="8"/>
      <c r="X160" s="8"/>
      <c r="Y160" s="232" t="str">
        <f>N_Total_buts</f>
        <v>Total des buts</v>
      </c>
      <c r="Z160" s="229" t="str">
        <f>IF(OR(ISNUMBER(Z162),ISNUMBER(Z163)),SUM(Z162:Z163),"")</f>
        <v/>
      </c>
      <c r="AA160" s="226" t="s">
        <v>769</v>
      </c>
      <c r="AB160" s="230" t="str">
        <f>IF(OR(ISNUMBER(Z162),ISNUMBER(Z163)),SUM(AB162:AB163),"")</f>
        <v/>
      </c>
      <c r="AC160" s="233" t="str">
        <f>IF(Z164="","",CONCATENATE("(Diff : ",Z164," - ",AB164,")"))</f>
        <v/>
      </c>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row>
    <row r="161" spans="1:73" ht="16.5" hidden="1" outlineLevel="1" thickBot="1" x14ac:dyDescent="0.3">
      <c r="A161"/>
      <c r="B161"/>
      <c r="C161"/>
      <c r="D161"/>
      <c r="E161"/>
      <c r="F161"/>
      <c r="G161"/>
      <c r="H161"/>
      <c r="I161"/>
      <c r="J161" s="833" t="str">
        <f>IF(Z161="","",IF(Z161=Y159,AC159,Y159))</f>
        <v/>
      </c>
      <c r="K161"/>
      <c r="L161"/>
      <c r="M161"/>
      <c r="N161"/>
      <c r="O161"/>
      <c r="P161"/>
      <c r="Q161"/>
      <c r="R161"/>
      <c r="S161"/>
      <c r="T161"/>
      <c r="U161" s="6"/>
      <c r="V161" s="8"/>
      <c r="W161" s="8"/>
      <c r="X161" s="8"/>
      <c r="Y161" s="234" t="str">
        <f>N_VAINQUEUR</f>
        <v>VAINQUEUR</v>
      </c>
      <c r="Z161" s="2442" t="str">
        <f>IF(Z162="",IF(HidePlayerFormulas,"","("&amp;Y159&amp;"-"&amp;AC159&amp;")"),IF(Z159&gt;AB159,Y159,IF(AB159&gt;Z159,AC159,IF(Z160&gt;AB160,Y159,IF(AB160&gt;Z160,AC159,IF(Z166&gt;AB166,Y159,IF(AB166&gt;Z166,AC159,mess_erreur_marque)))))))</f>
        <v/>
      </c>
      <c r="AA161" s="2443"/>
      <c r="AB161" s="2443"/>
      <c r="AC161" s="2444"/>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row>
    <row r="162" spans="1:73" hidden="1" outlineLevel="2" x14ac:dyDescent="0.2">
      <c r="A162"/>
      <c r="B162"/>
      <c r="C162"/>
      <c r="D162"/>
      <c r="E162"/>
      <c r="F162"/>
      <c r="G162"/>
      <c r="H162"/>
      <c r="I162"/>
      <c r="J162"/>
      <c r="K162"/>
      <c r="L162"/>
      <c r="M162"/>
      <c r="N162"/>
      <c r="O162"/>
      <c r="P162"/>
      <c r="Q162"/>
      <c r="R162"/>
      <c r="S162"/>
      <c r="T162"/>
      <c r="U162" s="6"/>
      <c r="V162" s="144"/>
      <c r="W162" s="145"/>
      <c r="X162" s="235"/>
      <c r="Y162" s="147"/>
      <c r="Z162" s="236"/>
      <c r="AA162" s="60" t="s">
        <v>769</v>
      </c>
      <c r="AB162" s="236"/>
      <c r="AC162" s="147"/>
      <c r="AD162" s="150"/>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row>
    <row r="163" spans="1:73" ht="13.5" hidden="1" outlineLevel="2" thickBot="1" x14ac:dyDescent="0.25">
      <c r="A163"/>
      <c r="B163"/>
      <c r="C163"/>
      <c r="D163"/>
      <c r="E163"/>
      <c r="F163"/>
      <c r="G163"/>
      <c r="H163"/>
      <c r="I163"/>
      <c r="J163"/>
      <c r="K163"/>
      <c r="L163"/>
      <c r="M163"/>
      <c r="N163"/>
      <c r="O163"/>
      <c r="P163"/>
      <c r="Q163"/>
      <c r="R163"/>
      <c r="S163"/>
      <c r="T163"/>
      <c r="U163" s="6"/>
      <c r="V163" s="171"/>
      <c r="W163" s="172"/>
      <c r="X163" s="238"/>
      <c r="Y163" s="174"/>
      <c r="Z163" s="175"/>
      <c r="AA163" s="52" t="s">
        <v>769</v>
      </c>
      <c r="AB163" s="175"/>
      <c r="AC163" s="174"/>
      <c r="AD163" s="176"/>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row>
    <row r="164" spans="1:73" ht="13.5" hidden="1" outlineLevel="2" thickBot="1" x14ac:dyDescent="0.25">
      <c r="A164"/>
      <c r="B164"/>
      <c r="C164"/>
      <c r="D164"/>
      <c r="E164"/>
      <c r="F164"/>
      <c r="G164"/>
      <c r="H164"/>
      <c r="I164"/>
      <c r="J164"/>
      <c r="K164"/>
      <c r="L164"/>
      <c r="M164"/>
      <c r="N164"/>
      <c r="O164"/>
      <c r="P164"/>
      <c r="Q164"/>
      <c r="R164"/>
      <c r="S164"/>
      <c r="T164"/>
      <c r="U164" s="6"/>
      <c r="V164" s="178"/>
      <c r="W164" s="179" t="str">
        <f>N_Différentiel</f>
        <v>Différentiel</v>
      </c>
      <c r="X164" s="239"/>
      <c r="Y164" s="240"/>
      <c r="Z164" s="182"/>
      <c r="AA164" s="66" t="s">
        <v>769</v>
      </c>
      <c r="AB164" s="182"/>
      <c r="AC164" s="240"/>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row>
    <row r="165" spans="1:73" hidden="1" outlineLevel="1" x14ac:dyDescent="0.2">
      <c r="A165"/>
      <c r="B165"/>
      <c r="C165"/>
      <c r="D165"/>
      <c r="E165"/>
      <c r="F165"/>
      <c r="G165"/>
      <c r="H165"/>
      <c r="I165"/>
      <c r="J165"/>
      <c r="K165"/>
      <c r="L165"/>
      <c r="M165"/>
      <c r="N165"/>
      <c r="O165"/>
      <c r="P165"/>
      <c r="Q165"/>
      <c r="R165"/>
      <c r="S165"/>
      <c r="T165"/>
      <c r="U165" s="6"/>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row>
    <row r="166" spans="1:73" x14ac:dyDescent="0.2">
      <c r="A166"/>
      <c r="B166"/>
      <c r="C166"/>
      <c r="D166"/>
      <c r="E166"/>
      <c r="F166"/>
      <c r="G166"/>
      <c r="H166"/>
      <c r="I166"/>
      <c r="J166"/>
      <c r="K166"/>
      <c r="L166"/>
      <c r="M166"/>
      <c r="N166"/>
      <c r="O166"/>
      <c r="P166"/>
      <c r="Q166"/>
      <c r="R166"/>
      <c r="S166"/>
      <c r="T166"/>
      <c r="U166" s="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row>
  </sheetData>
  <sheetProtection formatColumns="0" formatRows="0"/>
  <dataConsolidate/>
  <customSheetViews>
    <customSheetView guid="{13F24B0A-7740-483A-BEF7-5257F8522605}" showGridLines="0" hiddenRows="1" hiddenColumns="1" state="hidden" topLeftCell="B1">
      <selection activeCell="D2" sqref="D2"/>
      <pageMargins left="0.78740157499999996" right="0.78740157499999996" top="0.984251969" bottom="0.984251969" header="0.4921259845" footer="0.4921259845"/>
      <pageSetup paperSize="9" orientation="portrait" r:id="rId1"/>
      <headerFooter alignWithMargins="0"/>
    </customSheetView>
  </customSheetViews>
  <mergeCells count="46">
    <mergeCell ref="B4:AM4"/>
    <mergeCell ref="B28:AM28"/>
    <mergeCell ref="B94:AM94"/>
    <mergeCell ref="B128:AM128"/>
    <mergeCell ref="Y6:AC6"/>
    <mergeCell ref="Z9:AC9"/>
    <mergeCell ref="Y14:AC14"/>
    <mergeCell ref="Z26:AC26"/>
    <mergeCell ref="Z17:AC17"/>
    <mergeCell ref="Z25:AC25"/>
    <mergeCell ref="Y86:AC86"/>
    <mergeCell ref="Z24:AC24"/>
    <mergeCell ref="Z23:AC23"/>
    <mergeCell ref="Z33:AC33"/>
    <mergeCell ref="Z81:AC81"/>
    <mergeCell ref="Y38:AC38"/>
    <mergeCell ref="Z49:AC49"/>
    <mergeCell ref="Y30:AC30"/>
    <mergeCell ref="Z65:AC65"/>
    <mergeCell ref="Z41:AC41"/>
    <mergeCell ref="Y46:AC46"/>
    <mergeCell ref="Y78:AC78"/>
    <mergeCell ref="Y70:AC70"/>
    <mergeCell ref="Z73:AC73"/>
    <mergeCell ref="Y54:AC54"/>
    <mergeCell ref="Y62:AC62"/>
    <mergeCell ref="Z57:AC57"/>
    <mergeCell ref="Y158:AC158"/>
    <mergeCell ref="Z161:AC161"/>
    <mergeCell ref="Z107:AC107"/>
    <mergeCell ref="Z133:AC133"/>
    <mergeCell ref="Y138:AC138"/>
    <mergeCell ref="Y112:AC112"/>
    <mergeCell ref="Z115:AC115"/>
    <mergeCell ref="B156:AM156"/>
    <mergeCell ref="B146:AM146"/>
    <mergeCell ref="Y148:AC148"/>
    <mergeCell ref="Z151:AC151"/>
    <mergeCell ref="Y130:AC130"/>
    <mergeCell ref="Z141:AC141"/>
    <mergeCell ref="Z89:AC89"/>
    <mergeCell ref="Z99:AC99"/>
    <mergeCell ref="Y104:AC104"/>
    <mergeCell ref="Y120:AC120"/>
    <mergeCell ref="Z123:AC123"/>
    <mergeCell ref="Y96:AC96"/>
  </mergeCells>
  <phoneticPr fontId="0" type="noConversion"/>
  <conditionalFormatting sqref="AC150:AC160 AC140 AC132 AC122 AC114 AC106 AC98 AC80 AC72 AC64 AC56 AC48 AC40 AC32 AC8 AC16 AC88">
    <cfRule type="expression" dxfId="55" priority="24" stopIfTrue="1">
      <formula>IF(AC8="",FALSE,TRUE)</formula>
    </cfRule>
  </conditionalFormatting>
  <dataValidations count="8">
    <dataValidation type="list" allowBlank="1" showInputMessage="1" showErrorMessage="1" sqref="Y82 AC82 Y100 AC100 Y108 AC108 Y116 AC116 Y124 AC124 Y134 AC134 Y142 AC142 Y162 AC162 Y66 AC66 Y58 AC58 Y34 AC34 Y42 AC42 Y50 AC50 Y74 AC74 Y10 AC10 Y18 AC18 Y90 AC90 Y152 AC152" xr:uid="{00000000-0002-0000-1700-000000000000}">
      <formula1>OFFSET(Liste_Doubles,MATCH(Y7,Liste_Doubles,0)-1,1,1,OFFSET(Liste_Nb_Equipiers_Doubles,MATCH(Y7,Liste_Doubles,0)-1,0,1,1))</formula1>
    </dataValidation>
    <dataValidation type="list" allowBlank="1" showInputMessage="1" showErrorMessage="1" sqref="Y83 AC83 Y101 AC101 Y109 AC109 Y117 AC117 Y125 AC125 Y135 AC135 Y143 AC143 Y163 AC163 Y67 AC67 Y59 AC59 Y35 AC35 Y43 AC43 Y51 AC51 Y75 AC75 Y11 AC11 Y19 AC19 Y91 AC91 Y153 AC153" xr:uid="{00000000-0002-0000-1700-000001000000}">
      <formula1>OFFSET(Liste_Doubles,MATCH(Y7,Liste_Doubles,0)-1,1,1,OFFSET(Liste_Nb_Equipiers_Doubles,MATCH(Y7,Liste_Doubles,0)-1,0,1,1))</formula1>
    </dataValidation>
    <dataValidation type="list" allowBlank="1" showInputMessage="1" showErrorMessage="1" sqref="AC84 Y20 Y102 AC102 Y110 AC110 Y118 AC118 Y126 AC126 Y136 AC136 Y144 AC144 AC164 AC92 Y68 AC68 Y60 AC60 Y36 AC36 Y44 AC44 Y52 AC52 Y76 AC76 AC12 Y12 AC20 Y84 Y92 Y164 AC154 Y154" xr:uid="{00000000-0002-0000-1700-000002000000}">
      <formula1>OFFSET(Liste_Doubles,MATCH(Y7,Liste_Doubles,0)-1,1,1,OFFSET(Liste_Nb_Equipiers_Doubles,MATCH(Y7,Liste_Doubles,0)-1,0,1,1))</formula1>
    </dataValidation>
    <dataValidation type="list" allowBlank="1" showInputMessage="1" showErrorMessage="1" sqref="AD162:AD163 AD142:AD143 AD134:AD135 AD90:AD91 AD10:AD11 AD18:AD19 AD34:AD35 AD42:AD43 AD50:AD51 AD58:AD59 AD66:AD67 AD74:AD75 AD82:AD83 AD108:AD109 AD100:AD101 AD116:AD117 AD124:AD125 AD152:AD153" xr:uid="{00000000-0002-0000-1700-000003000000}">
      <formula1>"x"</formula1>
    </dataValidation>
    <dataValidation type="whole" allowBlank="1" showInputMessage="1" showErrorMessage="1" errorTitle="Erreur de saisie" error="Vous devez tapez un nombre entier entre 0 et 100" sqref="AB162:AB164 Z162:Z164 AB142:AB144 Z134:Z136 AB134:AB136 AB90:AB92 Z90:Z92 Z82:Z84 Z10:Z12 AB18:AB20 Z18:Z20 AB74:AB76 Z74:Z76 AB34:AB36 Z34:Z36 AB42:AB44 Z42:Z44 AB50:AB52 Z50:Z52 AB66:AB68 Z66:Z68 AB58:AB60 Z58:Z60 AB10:AB12 AB82:AB84 AB100:AB102 Z100:Z102 AB108:AB110 Z108:Z110 AB116:AB118 Z116:Z118 AB124:AB126 Z124:Z126 Z142:Z144 AB152:AB154 Z152:Z154" xr:uid="{00000000-0002-0000-1700-000004000000}">
      <formula1>0</formula1>
      <formula2>100</formula2>
    </dataValidation>
    <dataValidation type="list" allowBlank="1" showInputMessage="1" showErrorMessage="1" sqref="Z23:AC26" xr:uid="{00000000-0002-0000-1700-000005000000}">
      <formula1>List_Doubles</formula1>
    </dataValidation>
    <dataValidation type="list" allowBlank="1" showInputMessage="1" showErrorMessage="1" sqref="Y2" xr:uid="{00000000-0002-0000-1700-000006000000}">
      <formula1>List_Categories</formula1>
    </dataValidation>
    <dataValidation type="list" allowBlank="1" showInputMessage="1" showErrorMessage="1" sqref="Y7 AC7 AC15 Y15 Y31 AC31 AC39 Y39 Y47 AC47 AC55 Y55 Y63 AC63 AC71 Y71 Y79 AC79 AC87 Y87 Y97 AC97 AC105 Y105 Y113 AC113 AC121 Y121 Y131 AC131 AC139 Y139 Y159 AC159 Y149 AC149" xr:uid="{00000000-0002-0000-1700-000007000000}">
      <formula1>OFFSET(ListOfTeams,0,0,NbOfTeams)</formula1>
    </dataValidation>
  </dataValidations>
  <pageMargins left="0.78740157499999996" right="0.78740157499999996" top="0.984251969" bottom="0.984251969" header="0.4921259845" footer="0.4921259845"/>
  <pageSetup paperSize="9" orientation="portrait" r:id="rId2"/>
  <headerFooter alignWithMargins="0"/>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t_SelMatchIndividuals">
    <tabColor theme="0" tint="-0.249977111117893"/>
    <outlinePr summaryRight="0"/>
    <pageSetUpPr fitToPage="1"/>
  </sheetPr>
  <dimension ref="A1:AU73"/>
  <sheetViews>
    <sheetView showGridLines="0" zoomScale="70" zoomScaleNormal="70" workbookViewId="0">
      <selection activeCell="AZ73" sqref="AZ73"/>
    </sheetView>
  </sheetViews>
  <sheetFormatPr baseColWidth="10" defaultColWidth="11.42578125" defaultRowHeight="12.75" outlineLevelCol="2" x14ac:dyDescent="0.2"/>
  <cols>
    <col min="1" max="1" width="6.42578125" bestFit="1" customWidth="1"/>
    <col min="2" max="2" width="26.85546875" bestFit="1" customWidth="1" collapsed="1"/>
    <col min="3" max="3" width="7.42578125" hidden="1" customWidth="1" outlineLevel="2"/>
    <col min="4" max="4" width="7" hidden="1" customWidth="1" outlineLevel="2"/>
    <col min="5" max="5" width="18.42578125" style="7" hidden="1" customWidth="1" outlineLevel="2"/>
    <col min="6" max="6" width="6.28515625" style="7" customWidth="1" outlineLevel="1" collapsed="1"/>
    <col min="7" max="7" width="4.85546875" style="7" customWidth="1" outlineLevel="1"/>
    <col min="8" max="8" width="5.28515625" style="7" customWidth="1" outlineLevel="1"/>
    <col min="9" max="9" width="21.7109375" style="7" bestFit="1" customWidth="1" collapsed="1"/>
    <col min="10" max="10" width="6.42578125" bestFit="1" customWidth="1"/>
    <col min="11" max="11" width="23.140625" bestFit="1" customWidth="1" collapsed="1"/>
    <col min="12" max="12" width="7.42578125" hidden="1" customWidth="1" outlineLevel="2"/>
    <col min="13" max="13" width="7" hidden="1" customWidth="1" outlineLevel="2"/>
    <col min="14" max="14" width="19.5703125" style="7" hidden="1" customWidth="1" outlineLevel="2"/>
    <col min="15" max="15" width="6.28515625" style="7" customWidth="1" outlineLevel="1"/>
    <col min="16" max="16" width="4.85546875" style="7" customWidth="1" outlineLevel="1"/>
    <col min="17" max="17" width="5.28515625" style="7" customWidth="1" outlineLevel="1"/>
    <col min="18" max="18" width="23.140625" bestFit="1" customWidth="1" collapsed="1"/>
    <col min="19" max="19" width="7.42578125" hidden="1" customWidth="1" outlineLevel="2"/>
    <col min="20" max="20" width="7" hidden="1" customWidth="1" outlineLevel="2"/>
    <col min="21" max="21" width="8.28515625" style="7" hidden="1" customWidth="1" outlineLevel="2"/>
    <col min="22" max="22" width="6.28515625" style="7" customWidth="1" outlineLevel="1" collapsed="1"/>
    <col min="23" max="23" width="4.85546875" style="7" customWidth="1" outlineLevel="1"/>
    <col min="24" max="24" width="5.28515625" style="7" customWidth="1" outlineLevel="1"/>
    <col min="25" max="25" width="23.140625" bestFit="1" customWidth="1" collapsed="1"/>
    <col min="26" max="26" width="7.42578125" hidden="1" customWidth="1" outlineLevel="2"/>
    <col min="27" max="27" width="7" hidden="1" customWidth="1" outlineLevel="2"/>
    <col min="28" max="28" width="8.28515625" style="7" hidden="1" customWidth="1" outlineLevel="2"/>
    <col min="29" max="29" width="6.28515625" style="7" customWidth="1" outlineLevel="1" collapsed="1"/>
    <col min="30" max="30" width="4.85546875" style="7" customWidth="1" outlineLevel="1"/>
    <col min="31" max="31" width="5.28515625" style="7" customWidth="1" outlineLevel="1"/>
    <col min="32" max="32" width="23.140625" bestFit="1" customWidth="1" collapsed="1"/>
    <col min="33" max="33" width="7.42578125" hidden="1" customWidth="1" outlineLevel="2"/>
    <col min="34" max="34" width="7" hidden="1" customWidth="1" outlineLevel="2"/>
    <col min="35" max="35" width="8.28515625" style="7" hidden="1" customWidth="1" outlineLevel="2"/>
    <col min="36" max="36" width="6.28515625" style="7" customWidth="1" outlineLevel="1" collapsed="1"/>
    <col min="37" max="37" width="4.85546875" style="7" customWidth="1" outlineLevel="1"/>
    <col min="38" max="38" width="5.28515625" style="7" customWidth="1" outlineLevel="1"/>
    <col min="39" max="39" width="18.42578125" bestFit="1" customWidth="1" collapsed="1"/>
    <col min="40" max="40" width="7.42578125" hidden="1" customWidth="1" outlineLevel="2"/>
    <col min="41" max="41" width="7" hidden="1" customWidth="1" outlineLevel="2"/>
    <col min="42" max="42" width="8.28515625" style="7" hidden="1" customWidth="1" outlineLevel="2"/>
    <col min="43" max="43" width="6.28515625" style="7" customWidth="1" outlineLevel="1" collapsed="1"/>
    <col min="44" max="44" width="4.85546875" style="7" customWidth="1" outlineLevel="1"/>
    <col min="45" max="45" width="5.28515625" style="7" customWidth="1" outlineLevel="1"/>
    <col min="46" max="46" width="25.42578125" customWidth="1" collapsed="1"/>
    <col min="47" max="47" width="3.7109375" customWidth="1"/>
  </cols>
  <sheetData>
    <row r="1" spans="1:46" x14ac:dyDescent="0.2">
      <c r="F1" s="11"/>
      <c r="G1" s="11"/>
      <c r="H1" s="11"/>
      <c r="O1" s="11"/>
      <c r="P1" s="11"/>
      <c r="Q1" s="11"/>
    </row>
    <row r="2" spans="1:46" x14ac:dyDescent="0.2">
      <c r="F2" s="11"/>
      <c r="G2" s="11"/>
      <c r="H2" s="11"/>
      <c r="O2" s="11"/>
      <c r="P2" s="11"/>
      <c r="Q2" s="11"/>
    </row>
    <row r="3" spans="1:46" x14ac:dyDescent="0.2">
      <c r="F3" s="11"/>
      <c r="G3" s="11"/>
      <c r="H3" s="11"/>
      <c r="O3" s="11"/>
      <c r="P3" s="11"/>
      <c r="Q3" s="11"/>
    </row>
    <row r="4" spans="1:46" x14ac:dyDescent="0.2">
      <c r="B4" s="1"/>
      <c r="F4"/>
      <c r="G4"/>
      <c r="H4"/>
      <c r="I4"/>
      <c r="J4" s="11"/>
      <c r="O4" s="11"/>
      <c r="P4" s="11"/>
      <c r="Q4" s="11"/>
    </row>
    <row r="5" spans="1:46" x14ac:dyDescent="0.2">
      <c r="F5" s="11"/>
      <c r="G5" s="11"/>
      <c r="H5" s="11"/>
      <c r="O5" s="11"/>
      <c r="P5" s="11"/>
      <c r="Q5" s="11"/>
    </row>
    <row r="6" spans="1:46" x14ac:dyDescent="0.2">
      <c r="B6" s="108" t="str">
        <f>N_BARRAGES</f>
        <v>BARRAGES</v>
      </c>
      <c r="C6" s="109"/>
      <c r="D6" s="109"/>
      <c r="E6" s="109"/>
      <c r="F6" s="109"/>
      <c r="G6" s="109"/>
      <c r="H6" s="109"/>
      <c r="I6" s="110"/>
      <c r="K6" s="111" t="str">
        <f>N__1_16_DE_FINALE</f>
        <v>1/16 DE FINALE</v>
      </c>
      <c r="L6" s="112"/>
      <c r="M6" s="112"/>
      <c r="N6" s="112"/>
      <c r="O6" s="112"/>
      <c r="P6" s="112"/>
      <c r="Q6" s="112"/>
      <c r="R6" s="113" t="str">
        <f>N__1_8_DE_FINALE</f>
        <v>1/8 DE FINALE</v>
      </c>
      <c r="S6" s="113"/>
      <c r="T6" s="113"/>
      <c r="U6" s="113"/>
      <c r="V6" s="113"/>
      <c r="W6" s="113"/>
      <c r="X6" s="113"/>
      <c r="Y6" s="412" t="str">
        <f>N_QUART_DE_FINALE</f>
        <v>1/4 DE FINALE</v>
      </c>
      <c r="Z6" s="114"/>
      <c r="AA6" s="114"/>
      <c r="AB6" s="114"/>
      <c r="AC6" s="114"/>
      <c r="AD6" s="114"/>
      <c r="AE6" s="114"/>
      <c r="AF6" s="413" t="str">
        <f>N_DEMI_FINALE</f>
        <v>1/2 FINALES</v>
      </c>
      <c r="AG6" s="115"/>
      <c r="AH6" s="115"/>
      <c r="AI6" s="115"/>
      <c r="AJ6" s="115"/>
      <c r="AK6" s="115"/>
      <c r="AL6" s="115"/>
      <c r="AM6" s="116" t="str">
        <f>N_FINALE</f>
        <v>FINALE</v>
      </c>
      <c r="AN6" s="117"/>
      <c r="AO6" s="117"/>
      <c r="AP6" s="117"/>
      <c r="AQ6" s="117"/>
      <c r="AR6" s="117"/>
      <c r="AS6" s="117"/>
      <c r="AT6" s="118" t="str">
        <f>N_Winner</f>
        <v>Vainqueur</v>
      </c>
    </row>
    <row r="7" spans="1:46" ht="13.5" thickBot="1" x14ac:dyDescent="0.25">
      <c r="A7" s="8"/>
      <c r="F7" s="11"/>
      <c r="G7" s="11"/>
      <c r="H7" s="11"/>
      <c r="O7" s="11"/>
      <c r="P7" s="11"/>
      <c r="Q7" s="11"/>
    </row>
    <row r="8" spans="1:46" ht="13.5" thickBot="1" x14ac:dyDescent="0.25">
      <c r="A8" s="8"/>
      <c r="F8" s="11"/>
      <c r="G8" s="11"/>
      <c r="H8" s="11"/>
      <c r="L8" s="119" t="str">
        <f>N_Heure</f>
        <v>Heure</v>
      </c>
      <c r="M8" s="119" t="str">
        <f>N_Table</f>
        <v>Table</v>
      </c>
      <c r="N8" s="402" t="str">
        <f>N_Arbitre</f>
        <v>Arbitre</v>
      </c>
      <c r="O8" s="914" t="str">
        <f>N_Buts</f>
        <v>Buts</v>
      </c>
      <c r="P8" s="915" t="str">
        <f>N_MS</f>
        <v>MS</v>
      </c>
      <c r="Q8" s="916" t="str">
        <f>N_Diff</f>
        <v>Diff</v>
      </c>
    </row>
    <row r="9" spans="1:46" x14ac:dyDescent="0.2">
      <c r="A9" s="8"/>
      <c r="C9" s="119" t="str">
        <f>N_Heure</f>
        <v>Heure</v>
      </c>
      <c r="D9" s="119" t="str">
        <f>N_Table</f>
        <v>Table</v>
      </c>
      <c r="E9" s="119" t="str">
        <f>N_Arbitre</f>
        <v>Arbitre</v>
      </c>
      <c r="F9" s="119" t="str">
        <f>N_Buts</f>
        <v>Buts</v>
      </c>
      <c r="G9" s="119" t="str">
        <f>N_MS</f>
        <v>MS</v>
      </c>
      <c r="H9" s="119" t="str">
        <f>N_Diff</f>
        <v>Diff</v>
      </c>
      <c r="J9" s="120" t="s">
        <v>835</v>
      </c>
      <c r="K9" s="920"/>
      <c r="L9" s="2481"/>
      <c r="M9" s="2472"/>
      <c r="N9" s="2484"/>
      <c r="O9" s="346"/>
      <c r="P9" s="121"/>
      <c r="Q9" s="347"/>
      <c r="R9" s="123" t="str">
        <f>IF(O9="","",CONCATENATE(O9," ",IF(R10=K9,IF(P10="X",N_res_MS,IF(Q9="","",CONCATENATE(N_res_Diff,Q9,"-",Q11))),"")))</f>
        <v/>
      </c>
      <c r="Z9" s="120"/>
      <c r="AA9" s="120"/>
      <c r="AB9" s="120"/>
      <c r="AC9" s="120"/>
      <c r="AD9" s="120"/>
      <c r="AE9" s="120"/>
      <c r="AF9" s="120"/>
      <c r="AG9" s="120"/>
      <c r="AH9" s="120"/>
      <c r="AI9" s="120"/>
      <c r="AJ9" s="120"/>
      <c r="AK9" s="120"/>
      <c r="AL9" s="120"/>
      <c r="AM9" s="120"/>
      <c r="AN9" s="120"/>
      <c r="AO9" s="120"/>
      <c r="AP9" s="120"/>
      <c r="AQ9" s="120"/>
      <c r="AR9" s="120"/>
      <c r="AS9" s="120"/>
    </row>
    <row r="10" spans="1:46" x14ac:dyDescent="0.2">
      <c r="A10" s="8" t="s">
        <v>836</v>
      </c>
      <c r="B10" s="124" t="s">
        <v>1662</v>
      </c>
      <c r="C10" s="2478"/>
      <c r="D10" s="2472"/>
      <c r="E10" s="2475"/>
      <c r="F10" s="122"/>
      <c r="G10" s="125"/>
      <c r="H10" s="122"/>
      <c r="I10" s="262" t="str">
        <f>IF(F10="","",CONCATENATE(F10," ",IF(I11=B10,IF(G11="X",N_res_MS,IF(H10="","",CONCATENATE(N_res_Diff,H10,"-",H12))),"")))</f>
        <v/>
      </c>
      <c r="J10" s="120"/>
      <c r="K10" s="921"/>
      <c r="L10" s="2482"/>
      <c r="M10" s="2473"/>
      <c r="N10" s="2485"/>
      <c r="O10" s="917"/>
      <c r="P10" s="126"/>
      <c r="Q10" s="918"/>
      <c r="R10" s="913" t="str">
        <f>IF(O9="","",IF(O9&gt;O11,K9,IF(O9&lt;O11,K11,IF(Q9&gt;Q11,K9,IF(Q9&lt;Q11,K11,mess_erreur_marque)))))</f>
        <v/>
      </c>
      <c r="S10" s="119" t="str">
        <f>N_Heure</f>
        <v>Heure</v>
      </c>
      <c r="T10" s="119" t="str">
        <f>N_Table</f>
        <v>Table</v>
      </c>
      <c r="U10" s="119" t="str">
        <f>N_Arbitre</f>
        <v>Arbitre</v>
      </c>
      <c r="V10" s="119" t="str">
        <f>N_Buts</f>
        <v>Buts</v>
      </c>
      <c r="W10" s="119" t="str">
        <f>N_MS</f>
        <v>MS</v>
      </c>
      <c r="X10" s="119" t="str">
        <f>N_Diff</f>
        <v>Diff</v>
      </c>
      <c r="Z10" s="120"/>
      <c r="AA10" s="120"/>
      <c r="AB10" s="120"/>
      <c r="AC10" s="120"/>
      <c r="AD10" s="120"/>
      <c r="AE10" s="120"/>
      <c r="AF10" s="8"/>
      <c r="AG10" s="120"/>
      <c r="AH10" s="120"/>
      <c r="AI10" s="120"/>
      <c r="AJ10" s="120"/>
      <c r="AK10" s="120"/>
      <c r="AL10" s="120"/>
      <c r="AM10" s="120"/>
      <c r="AN10" s="120"/>
      <c r="AO10" s="120"/>
      <c r="AP10" s="120"/>
      <c r="AQ10" s="120"/>
      <c r="AR10" s="120"/>
      <c r="AS10" s="120"/>
    </row>
    <row r="11" spans="1:46" ht="13.5" thickBot="1" x14ac:dyDescent="0.25">
      <c r="A11" s="8"/>
      <c r="B11" s="8"/>
      <c r="C11" s="2479"/>
      <c r="D11" s="2473"/>
      <c r="E11" s="2476"/>
      <c r="F11" s="124"/>
      <c r="G11" s="126"/>
      <c r="H11" s="124"/>
      <c r="I11" s="124" t="str">
        <f>IF(F10="","",IF(F10&gt;F12,B10,IF(F10&lt;F12,B12,IF(H10&gt;H12,B10,IF(H10&lt;H12,B12,mess_erreur_marque)))))</f>
        <v/>
      </c>
      <c r="J11" s="120" t="s">
        <v>836</v>
      </c>
      <c r="K11" s="922" t="str">
        <f>IF(I11="","",I11)</f>
        <v/>
      </c>
      <c r="L11" s="2483"/>
      <c r="M11" s="2474"/>
      <c r="N11" s="2486"/>
      <c r="O11" s="348"/>
      <c r="P11" s="919"/>
      <c r="Q11" s="350"/>
      <c r="R11" s="123" t="str">
        <f>IF(O11="","",CONCATENATE(O11," ",IF(R10=K11,IF(P10="X",N_res_MS,IF(Q11="","",CONCATENATE(N_res_Diff,Q11,"-",Q9))),"")))</f>
        <v/>
      </c>
      <c r="S11" s="2478"/>
      <c r="T11" s="2472"/>
      <c r="U11" s="2475"/>
      <c r="V11" s="122"/>
      <c r="W11" s="127"/>
      <c r="X11" s="122"/>
      <c r="Y11" s="408" t="str">
        <f>IF(V11="","",CONCATENATE(V11," ",IF(Y12=R10,IF(W12="X",N_res_MS,IF(X11="","",CONCATENATE(N_res_Diff,X11,"-",X13))),"")))</f>
        <v/>
      </c>
      <c r="AF11" s="8"/>
      <c r="AG11" s="120"/>
      <c r="AH11" s="120"/>
      <c r="AI11" s="120"/>
      <c r="AJ11" s="120"/>
      <c r="AK11" s="120"/>
      <c r="AL11" s="120"/>
      <c r="AM11" s="120"/>
      <c r="AN11" s="120"/>
      <c r="AO11" s="120"/>
      <c r="AP11" s="120"/>
      <c r="AQ11" s="120"/>
      <c r="AR11" s="120"/>
      <c r="AS11" s="120"/>
    </row>
    <row r="12" spans="1:46" ht="13.5" thickBot="1" x14ac:dyDescent="0.25">
      <c r="A12" s="17" t="s">
        <v>837</v>
      </c>
      <c r="B12" s="124" t="s">
        <v>1663</v>
      </c>
      <c r="C12" s="2480"/>
      <c r="D12" s="2474"/>
      <c r="E12" s="2477"/>
      <c r="F12" s="122"/>
      <c r="G12" s="125"/>
      <c r="H12" s="122"/>
      <c r="I12" s="123" t="str">
        <f>IF(F12="","",CONCATENATE(F12," ",IF(I11=B12,IF(G11="X",N_res_MS,IF(H12="","",CONCATENATE(N_res_Diff,H12,"-",H10))),"")))</f>
        <v/>
      </c>
      <c r="J12" s="120"/>
      <c r="K12" s="8"/>
      <c r="L12" s="119" t="str">
        <f>N_Heure</f>
        <v>Heure</v>
      </c>
      <c r="M12" s="119" t="str">
        <f>N_Table</f>
        <v>Table</v>
      </c>
      <c r="N12" s="402" t="str">
        <f>N_Arbitre</f>
        <v>Arbitre</v>
      </c>
      <c r="O12" s="914" t="str">
        <f>N_Buts</f>
        <v>Buts</v>
      </c>
      <c r="P12" s="915" t="str">
        <f>N_MS</f>
        <v>MS</v>
      </c>
      <c r="Q12" s="916" t="str">
        <f>N_Diff</f>
        <v>Diff</v>
      </c>
      <c r="S12" s="2479"/>
      <c r="T12" s="2473"/>
      <c r="U12" s="2476"/>
      <c r="V12" s="128"/>
      <c r="W12" s="126"/>
      <c r="X12" s="128"/>
      <c r="Y12" s="131" t="str">
        <f>IF(V11="","",IF(V11&gt;V13,R10,IF(V11&lt;V13,R14,IF(X11&gt;X13,R10,IF(X11&lt;X13,R14,mess_erreur_marque)))))</f>
        <v/>
      </c>
      <c r="AF12" s="8"/>
      <c r="AG12" s="120"/>
      <c r="AH12" s="120"/>
      <c r="AI12" s="120"/>
      <c r="AJ12" s="120"/>
      <c r="AK12" s="120"/>
      <c r="AL12" s="120"/>
      <c r="AM12" s="120"/>
      <c r="AN12" s="120"/>
      <c r="AO12" s="120"/>
      <c r="AP12" s="120"/>
      <c r="AQ12" s="120"/>
      <c r="AR12" s="120"/>
      <c r="AS12" s="120"/>
    </row>
    <row r="13" spans="1:46" x14ac:dyDescent="0.2">
      <c r="A13" s="8"/>
      <c r="B13" s="8"/>
      <c r="C13" s="8"/>
      <c r="D13" s="8"/>
      <c r="E13" s="8"/>
      <c r="F13" s="8"/>
      <c r="G13" s="8"/>
      <c r="H13" s="8"/>
      <c r="I13" s="11"/>
      <c r="J13" s="120" t="s">
        <v>838</v>
      </c>
      <c r="K13" s="920"/>
      <c r="L13" s="2481"/>
      <c r="M13" s="2472"/>
      <c r="N13" s="2484"/>
      <c r="O13" s="346"/>
      <c r="P13" s="121"/>
      <c r="Q13" s="347"/>
      <c r="R13" s="123" t="str">
        <f>IF(O13="","",CONCATENATE(O13," ",IF(R14=K13,IF(P14="X",N_res_MS,IF(Q13="","",CONCATENATE(N_res_Diff,Q13,"-",Q15))),"")))</f>
        <v/>
      </c>
      <c r="S13" s="2480"/>
      <c r="T13" s="2474"/>
      <c r="U13" s="2477"/>
      <c r="V13" s="122"/>
      <c r="W13" s="127"/>
      <c r="X13" s="122"/>
      <c r="Y13" s="405" t="str">
        <f>IF(V13="","",CONCATENATE(V13," ",IF(Y12=R14,IF(W12="X",N_res_MS,IF(X13="","",CONCATENATE(N_res_Diff,X13,"-",X11))),"")))</f>
        <v/>
      </c>
      <c r="AF13" s="409"/>
      <c r="AG13" s="120"/>
      <c r="AH13" s="120"/>
      <c r="AI13" s="120"/>
      <c r="AJ13" s="120"/>
      <c r="AK13" s="120"/>
      <c r="AL13" s="120"/>
      <c r="AM13" s="120"/>
      <c r="AN13" s="120"/>
      <c r="AO13" s="120"/>
      <c r="AP13" s="120"/>
      <c r="AQ13" s="120"/>
      <c r="AR13" s="120"/>
      <c r="AS13" s="120"/>
    </row>
    <row r="14" spans="1:46" x14ac:dyDescent="0.2">
      <c r="A14" s="8"/>
      <c r="B14" s="8"/>
      <c r="C14" s="8"/>
      <c r="D14" s="8"/>
      <c r="E14" s="8"/>
      <c r="F14" s="8"/>
      <c r="G14" s="8"/>
      <c r="H14" s="8"/>
      <c r="I14" s="11"/>
      <c r="J14" s="120"/>
      <c r="K14" s="921"/>
      <c r="L14" s="2482"/>
      <c r="M14" s="2473"/>
      <c r="N14" s="2485"/>
      <c r="O14" s="917"/>
      <c r="P14" s="126"/>
      <c r="Q14" s="918"/>
      <c r="R14" s="913" t="str">
        <f>IF(O13="","",IF(O13&gt;O15,K13,IF(O13&lt;O15,K15,IF(Q13&gt;Q15,K13,IF(Q13&lt;Q15,K15,mess_erreur_marque)))))</f>
        <v/>
      </c>
      <c r="S14" s="120"/>
      <c r="T14" s="120"/>
      <c r="U14" s="120"/>
      <c r="V14" s="120"/>
      <c r="W14" s="120"/>
      <c r="X14" s="120"/>
      <c r="Y14" s="11"/>
      <c r="Z14" s="119" t="str">
        <f>N_Heure</f>
        <v>Heure</v>
      </c>
      <c r="AA14" s="119" t="str">
        <f>N_Table</f>
        <v>Table</v>
      </c>
      <c r="AB14" s="119" t="str">
        <f>N_Arbitre</f>
        <v>Arbitre</v>
      </c>
      <c r="AC14" s="119" t="str">
        <f>N_Buts</f>
        <v>Buts</v>
      </c>
      <c r="AD14" s="119" t="str">
        <f>N_MS</f>
        <v>MS</v>
      </c>
      <c r="AE14" s="119" t="str">
        <f>N_Diff</f>
        <v>Diff</v>
      </c>
      <c r="AF14" s="409"/>
      <c r="AM14" s="120"/>
      <c r="AN14" s="120"/>
      <c r="AO14" s="120"/>
      <c r="AP14" s="120"/>
      <c r="AQ14" s="120"/>
      <c r="AR14" s="120"/>
      <c r="AS14" s="120"/>
    </row>
    <row r="15" spans="1:46" ht="13.5" thickBot="1" x14ac:dyDescent="0.25">
      <c r="A15" s="8"/>
      <c r="B15" s="8"/>
      <c r="C15" s="8"/>
      <c r="D15" s="8"/>
      <c r="E15" s="8"/>
      <c r="F15" s="8"/>
      <c r="G15" s="8"/>
      <c r="H15" s="8"/>
      <c r="I15" s="11"/>
      <c r="J15" s="120" t="s">
        <v>839</v>
      </c>
      <c r="K15" s="922"/>
      <c r="L15" s="2483"/>
      <c r="M15" s="2474"/>
      <c r="N15" s="2486"/>
      <c r="O15" s="348"/>
      <c r="P15" s="919"/>
      <c r="Q15" s="350"/>
      <c r="R15" s="123" t="str">
        <f>IF(O15="","",CONCATENATE(O15," ",IF(R14=K15,IF(P14="X",N_res_MS,IF(Q15="","",CONCATENATE(N_res_Diff,Q15,"-",Q13))),"")))</f>
        <v/>
      </c>
      <c r="S15" s="120"/>
      <c r="T15" s="120"/>
      <c r="U15" s="120"/>
      <c r="V15" s="120"/>
      <c r="W15" s="120"/>
      <c r="X15" s="120"/>
      <c r="Y15" s="8"/>
      <c r="Z15" s="2478"/>
      <c r="AA15" s="2472"/>
      <c r="AB15" s="2475"/>
      <c r="AC15" s="122"/>
      <c r="AD15" s="127"/>
      <c r="AE15" s="122"/>
      <c r="AF15" s="408" t="str">
        <f>IF(AC15="","",CONCATENATE(AC15," ",IF(AF16=Y12,IF(AD16="X",N_res_MS,IF(AE15="","",CONCATENATE(N_res_Diff,AE15,"-",AE17))),"")))</f>
        <v/>
      </c>
      <c r="AM15" s="120"/>
      <c r="AN15" s="120"/>
      <c r="AO15" s="120"/>
      <c r="AP15" s="120"/>
      <c r="AQ15" s="120"/>
      <c r="AR15" s="120"/>
      <c r="AS15" s="120"/>
    </row>
    <row r="16" spans="1:46" ht="13.5" thickBot="1" x14ac:dyDescent="0.25">
      <c r="A16" s="8"/>
      <c r="B16" s="8"/>
      <c r="C16" s="8"/>
      <c r="D16" s="8"/>
      <c r="E16" s="8"/>
      <c r="F16" s="8"/>
      <c r="G16" s="8"/>
      <c r="H16" s="8"/>
      <c r="I16" s="11"/>
      <c r="J16" s="120"/>
      <c r="K16" s="8"/>
      <c r="L16" s="119" t="str">
        <f>N_Heure</f>
        <v>Heure</v>
      </c>
      <c r="M16" s="119" t="str">
        <f>N_Table</f>
        <v>Table</v>
      </c>
      <c r="N16" s="119" t="str">
        <f>N_Arbitre</f>
        <v>Arbitre</v>
      </c>
      <c r="O16" s="914" t="str">
        <f>N_Buts</f>
        <v>Buts</v>
      </c>
      <c r="P16" s="915" t="str">
        <f>N_MS</f>
        <v>MS</v>
      </c>
      <c r="Q16" s="916" t="str">
        <f>N_Diff</f>
        <v>Diff</v>
      </c>
      <c r="S16" s="120"/>
      <c r="T16" s="120"/>
      <c r="U16" s="120"/>
      <c r="V16" s="120"/>
      <c r="W16" s="120"/>
      <c r="X16" s="120"/>
      <c r="Y16" s="8"/>
      <c r="Z16" s="2479"/>
      <c r="AA16" s="2473"/>
      <c r="AB16" s="2476"/>
      <c r="AC16" s="132"/>
      <c r="AD16" s="126"/>
      <c r="AE16" s="132"/>
      <c r="AF16" s="410" t="str">
        <f>IF(AC15="","",IF(AC15&gt;AC17,Y12,IF(AC15&lt;AC17,Y20,IF(AE15&gt;AE17,Y12,IF(AE15&lt;AE17,Y20,mess_erreur_marque)))))</f>
        <v/>
      </c>
      <c r="AG16" s="120"/>
      <c r="AH16" s="120"/>
      <c r="AI16" s="120"/>
      <c r="AJ16" s="120"/>
      <c r="AK16" s="120"/>
      <c r="AL16" s="120"/>
      <c r="AM16" s="120"/>
      <c r="AN16" s="120"/>
      <c r="AO16" s="120"/>
      <c r="AP16" s="120"/>
      <c r="AQ16" s="120"/>
      <c r="AR16" s="120"/>
      <c r="AS16" s="120"/>
    </row>
    <row r="17" spans="1:46" x14ac:dyDescent="0.2">
      <c r="A17" s="8"/>
      <c r="B17" s="8"/>
      <c r="C17" s="119" t="str">
        <f>N_Heure</f>
        <v>Heure</v>
      </c>
      <c r="D17" s="119" t="str">
        <f>N_Table</f>
        <v>Table</v>
      </c>
      <c r="E17" s="119" t="str">
        <f>N_Arbitre</f>
        <v>Arbitre</v>
      </c>
      <c r="F17" s="119" t="str">
        <f>N_Buts</f>
        <v>Buts</v>
      </c>
      <c r="G17" s="119" t="str">
        <f>N_MS</f>
        <v>MS</v>
      </c>
      <c r="H17" s="119" t="str">
        <f>N_Diff</f>
        <v>Diff</v>
      </c>
      <c r="J17" s="120" t="s">
        <v>840</v>
      </c>
      <c r="K17" s="920"/>
      <c r="L17" s="2481"/>
      <c r="M17" s="2472"/>
      <c r="N17" s="2475"/>
      <c r="O17" s="346"/>
      <c r="P17" s="121"/>
      <c r="Q17" s="347"/>
      <c r="R17" s="123" t="str">
        <f>IF(O17="","",CONCATENATE(O17," ",IF(R18=K17,IF(P18="X",N_res_MS,IF(Q17="","",CONCATENATE(N_res_Diff,Q17,"-",Q19))),"")))</f>
        <v/>
      </c>
      <c r="Z17" s="2480"/>
      <c r="AA17" s="2474"/>
      <c r="AB17" s="2477"/>
      <c r="AC17" s="122"/>
      <c r="AD17" s="127"/>
      <c r="AE17" s="122"/>
      <c r="AF17" s="411" t="str">
        <f>IF(AC17="","",CONCATENATE(AC17," ",IF(AF16=Y20,IF(AD16="X",N_res_MS,IF(AE17="","",CONCATENATE(N_res_Diff,AE17,"-",AE15))),"")))</f>
        <v/>
      </c>
      <c r="AG17" s="120"/>
      <c r="AH17" s="120"/>
      <c r="AI17" s="120"/>
      <c r="AJ17" s="120"/>
      <c r="AK17" s="120"/>
      <c r="AL17" s="120"/>
      <c r="AM17" s="130"/>
      <c r="AN17" s="120"/>
      <c r="AO17" s="120"/>
      <c r="AP17" s="120"/>
      <c r="AQ17" s="120"/>
      <c r="AR17" s="120"/>
      <c r="AS17" s="120"/>
    </row>
    <row r="18" spans="1:46" x14ac:dyDescent="0.2">
      <c r="A18" s="17" t="s">
        <v>841</v>
      </c>
      <c r="B18" s="124"/>
      <c r="C18" s="2478"/>
      <c r="D18" s="2472"/>
      <c r="E18" s="2475"/>
      <c r="F18" s="122"/>
      <c r="G18" s="125"/>
      <c r="H18" s="122"/>
      <c r="I18" s="262" t="str">
        <f>IF(F18="","",CONCATENATE(F18," ",IF(I19=B18,IF(G19="X",N_res_MS,IF(H18="","",CONCATENATE(N_res_Diff,H18,"-",H20))),"")))</f>
        <v/>
      </c>
      <c r="J18" s="120"/>
      <c r="K18" s="921"/>
      <c r="L18" s="2482"/>
      <c r="M18" s="2473"/>
      <c r="N18" s="2476"/>
      <c r="O18" s="917"/>
      <c r="P18" s="126"/>
      <c r="Q18" s="918"/>
      <c r="R18" s="129" t="str">
        <f>IF(O17="","",IF(O17&gt;O19,K17,IF(O17&lt;O19,K19,IF(Q17&gt;Q19,K17,IF(Q17&lt;Q19,K19,mess_erreur_marque)))))</f>
        <v/>
      </c>
      <c r="S18" s="119" t="str">
        <f>N_Heure</f>
        <v>Heure</v>
      </c>
      <c r="T18" s="119" t="str">
        <f>N_Table</f>
        <v>Table</v>
      </c>
      <c r="U18" s="119" t="str">
        <f>N_Arbitre</f>
        <v>Arbitre</v>
      </c>
      <c r="V18" s="119" t="str">
        <f>N_Buts</f>
        <v>Buts</v>
      </c>
      <c r="W18" s="119" t="str">
        <f>N_MS</f>
        <v>MS</v>
      </c>
      <c r="X18" s="119" t="str">
        <f>N_Diff</f>
        <v>Diff</v>
      </c>
      <c r="Z18" s="120"/>
      <c r="AA18" s="120"/>
      <c r="AB18" s="133"/>
      <c r="AC18" s="133"/>
      <c r="AD18" s="133"/>
      <c r="AE18" s="133"/>
      <c r="AF18" s="409"/>
      <c r="AG18" s="120"/>
      <c r="AH18" s="120"/>
      <c r="AI18" s="120"/>
      <c r="AJ18" s="120"/>
      <c r="AK18" s="120"/>
      <c r="AL18" s="120"/>
      <c r="AM18" s="130"/>
      <c r="AN18" s="120"/>
      <c r="AO18" s="120"/>
      <c r="AP18" s="120"/>
      <c r="AQ18" s="120"/>
      <c r="AR18" s="120"/>
      <c r="AS18" s="120"/>
    </row>
    <row r="19" spans="1:46" ht="13.5" thickBot="1" x14ac:dyDescent="0.25">
      <c r="A19" s="8"/>
      <c r="B19" s="8"/>
      <c r="C19" s="2479"/>
      <c r="D19" s="2473"/>
      <c r="E19" s="2476"/>
      <c r="F19" s="124"/>
      <c r="G19" s="126"/>
      <c r="H19" s="124"/>
      <c r="I19" s="124" t="str">
        <f>IF(F18="","",IF(F18&gt;F20,B18,IF(F18&lt;F20,B20,IF(H18&gt;H20,B18,IF(H18&lt;H20,B20,mess_erreur_marque)))))</f>
        <v/>
      </c>
      <c r="J19" s="120" t="s">
        <v>841</v>
      </c>
      <c r="K19" s="922" t="str">
        <f>IF(I19="","",I19)</f>
        <v/>
      </c>
      <c r="L19" s="2483"/>
      <c r="M19" s="2474"/>
      <c r="N19" s="2477"/>
      <c r="O19" s="348"/>
      <c r="P19" s="919"/>
      <c r="Q19" s="350"/>
      <c r="R19" s="123" t="str">
        <f>IF(O19="","",CONCATENATE(O19," ",IF(R18=K19,IF(P18="X",N_res_MS,IF(Q19="","",CONCATENATE(N_res_Diff,Q19,"-",Q17))),"")))</f>
        <v/>
      </c>
      <c r="S19" s="2478"/>
      <c r="T19" s="2472"/>
      <c r="U19" s="2475"/>
      <c r="V19" s="122"/>
      <c r="W19" s="127"/>
      <c r="X19" s="122"/>
      <c r="Y19" s="408" t="str">
        <f>IF(V19="","",CONCATENATE(V19," ",IF(Y20=R18,IF(W20="X",N_res_MS,IF(X19="","",CONCATENATE(N_res_Diff,X19,"-",X21))),"")))</f>
        <v/>
      </c>
      <c r="Z19" s="120"/>
      <c r="AA19" s="120"/>
      <c r="AB19" s="120"/>
      <c r="AC19" s="120"/>
      <c r="AD19" s="120"/>
      <c r="AE19" s="120"/>
      <c r="AF19" s="409"/>
      <c r="AG19" s="120"/>
      <c r="AH19" s="120"/>
      <c r="AI19" s="120"/>
      <c r="AJ19" s="120"/>
      <c r="AK19" s="120"/>
      <c r="AL19" s="120"/>
      <c r="AM19" s="130"/>
      <c r="AN19" s="120"/>
      <c r="AO19" s="120"/>
      <c r="AP19" s="120"/>
      <c r="AQ19" s="120"/>
      <c r="AR19" s="120"/>
      <c r="AS19" s="120"/>
    </row>
    <row r="20" spans="1:46" ht="13.5" thickBot="1" x14ac:dyDescent="0.25">
      <c r="A20" s="17" t="s">
        <v>842</v>
      </c>
      <c r="B20" s="124"/>
      <c r="C20" s="2480"/>
      <c r="D20" s="2474"/>
      <c r="E20" s="2477"/>
      <c r="F20" s="122"/>
      <c r="G20" s="125"/>
      <c r="H20" s="122"/>
      <c r="I20" s="123" t="str">
        <f>IF(F20="","",CONCATENATE(F20," ",IF(I19=B20,IF(G19="X",N_res_MS,IF(H20="","",CONCATENATE(N_res_Diff,H20,"-",H18))),"")))</f>
        <v/>
      </c>
      <c r="J20" s="120"/>
      <c r="K20" s="8"/>
      <c r="L20" s="119" t="str">
        <f>N_Heure</f>
        <v>Heure</v>
      </c>
      <c r="M20" s="119" t="str">
        <f>N_Table</f>
        <v>Table</v>
      </c>
      <c r="N20" s="119" t="str">
        <f>N_Arbitre</f>
        <v>Arbitre</v>
      </c>
      <c r="O20" s="914" t="str">
        <f>N_Buts</f>
        <v>Buts</v>
      </c>
      <c r="P20" s="915" t="str">
        <f>N_MS</f>
        <v>MS</v>
      </c>
      <c r="Q20" s="916" t="str">
        <f>N_Diff</f>
        <v>Diff</v>
      </c>
      <c r="S20" s="2479"/>
      <c r="T20" s="2473"/>
      <c r="U20" s="2476"/>
      <c r="V20" s="128"/>
      <c r="W20" s="126"/>
      <c r="X20" s="128"/>
      <c r="Y20" s="131" t="str">
        <f>IF(V19="","",IF(V19&gt;V21,R18,IF(V19&lt;V21,R22,IF(X19&gt;X21,R18,IF(X19&lt;X21,R22,mess_erreur_marque)))))</f>
        <v/>
      </c>
      <c r="Z20" s="120"/>
      <c r="AA20" s="120"/>
      <c r="AB20" s="120"/>
      <c r="AC20" s="120"/>
      <c r="AD20" s="120"/>
      <c r="AE20" s="120"/>
      <c r="AF20" s="8"/>
      <c r="AG20" s="120"/>
      <c r="AH20" s="120"/>
      <c r="AI20" s="120"/>
      <c r="AJ20" s="120"/>
      <c r="AK20" s="120"/>
      <c r="AL20" s="120"/>
      <c r="AM20" s="130"/>
      <c r="AN20" s="120"/>
      <c r="AO20" s="120"/>
      <c r="AP20" s="120"/>
      <c r="AQ20" s="120"/>
      <c r="AR20" s="120"/>
      <c r="AS20" s="120"/>
    </row>
    <row r="21" spans="1:46" x14ac:dyDescent="0.2">
      <c r="A21" s="8"/>
      <c r="B21" s="8"/>
      <c r="C21" s="8"/>
      <c r="D21" s="8"/>
      <c r="E21" s="8"/>
      <c r="F21" s="8"/>
      <c r="G21" s="8"/>
      <c r="H21" s="8"/>
      <c r="I21" s="11"/>
      <c r="J21" s="120" t="s">
        <v>843</v>
      </c>
      <c r="K21" s="920"/>
      <c r="L21" s="2481"/>
      <c r="M21" s="2472"/>
      <c r="N21" s="2475"/>
      <c r="O21" s="346"/>
      <c r="P21" s="121"/>
      <c r="Q21" s="347"/>
      <c r="R21" s="123" t="str">
        <f>IF(O21="","",CONCATENATE(O21," ",IF(R22=K21,IF(P22="X",N_res_MS,IF(Q21="","",CONCATENATE(N_res_Diff,Q21,"-",Q23))),"")))</f>
        <v/>
      </c>
      <c r="S21" s="2480"/>
      <c r="T21" s="2474"/>
      <c r="U21" s="2477"/>
      <c r="V21" s="122"/>
      <c r="W21" s="127"/>
      <c r="X21" s="122"/>
      <c r="Y21" s="405" t="str">
        <f>IF(V21="","",CONCATENATE(V21," ",IF(Y20=R22,IF(W20="X",N_res_MS,IF(X21="","",CONCATENATE(N_res_Diff,X21,"-",X19))),"")))</f>
        <v/>
      </c>
      <c r="Z21" s="120"/>
      <c r="AA21" s="120"/>
      <c r="AB21" s="120"/>
      <c r="AC21" s="120"/>
      <c r="AD21" s="120"/>
      <c r="AE21" s="120"/>
      <c r="AF21" s="8"/>
      <c r="AG21" s="120"/>
      <c r="AH21" s="120"/>
      <c r="AI21" s="120"/>
      <c r="AJ21" s="120"/>
      <c r="AK21" s="120"/>
      <c r="AL21" s="120"/>
      <c r="AM21" s="130"/>
      <c r="AN21" s="120"/>
      <c r="AO21" s="120"/>
      <c r="AP21" s="120"/>
      <c r="AQ21" s="120"/>
      <c r="AR21" s="120"/>
      <c r="AS21" s="120"/>
    </row>
    <row r="22" spans="1:46" x14ac:dyDescent="0.2">
      <c r="A22" s="8"/>
      <c r="B22" s="8"/>
      <c r="C22" s="8"/>
      <c r="D22" s="8"/>
      <c r="E22" s="8"/>
      <c r="F22" s="8"/>
      <c r="G22" s="8"/>
      <c r="H22" s="8"/>
      <c r="I22" s="11"/>
      <c r="J22" s="120"/>
      <c r="K22" s="921"/>
      <c r="L22" s="2482"/>
      <c r="M22" s="2473"/>
      <c r="N22" s="2476"/>
      <c r="O22" s="917"/>
      <c r="P22" s="126"/>
      <c r="Q22" s="918"/>
      <c r="R22" s="129" t="str">
        <f>IF(O21="","",IF(O21&gt;O23,K21,IF(O21&lt;O23,K23,IF(Q21&gt;Q23,K21,IF(Q21&lt;Q23,K23,mess_erreur_marque)))))</f>
        <v/>
      </c>
      <c r="S22" s="120"/>
      <c r="T22" s="120"/>
      <c r="U22" s="120"/>
      <c r="V22" s="120"/>
      <c r="W22" s="120"/>
      <c r="X22" s="120"/>
      <c r="Y22" s="8"/>
      <c r="Z22" s="120"/>
      <c r="AA22" s="120"/>
      <c r="AB22" s="120"/>
      <c r="AC22" s="120"/>
      <c r="AD22" s="120"/>
      <c r="AE22" s="120"/>
      <c r="AF22" s="8"/>
      <c r="AG22" s="119" t="str">
        <f>N_Heure</f>
        <v>Heure</v>
      </c>
      <c r="AH22" s="119" t="str">
        <f>N_Table</f>
        <v>Table</v>
      </c>
      <c r="AI22" s="119" t="str">
        <f>N_Arbitre</f>
        <v>Arbitre</v>
      </c>
      <c r="AJ22" s="119" t="str">
        <f>N_Buts</f>
        <v>Buts</v>
      </c>
      <c r="AK22" s="119" t="str">
        <f>N_MS</f>
        <v>MS</v>
      </c>
      <c r="AL22" s="119" t="str">
        <f>N_Diff</f>
        <v>Diff</v>
      </c>
      <c r="AM22" s="130"/>
      <c r="AN22" s="120"/>
      <c r="AO22" s="120"/>
      <c r="AP22" s="120"/>
      <c r="AQ22" s="120"/>
      <c r="AR22" s="120"/>
      <c r="AS22" s="120"/>
    </row>
    <row r="23" spans="1:46" ht="13.5" thickBot="1" x14ac:dyDescent="0.25">
      <c r="A23" s="8"/>
      <c r="B23" s="8"/>
      <c r="C23" s="8"/>
      <c r="D23" s="8"/>
      <c r="E23" s="8"/>
      <c r="F23" s="8"/>
      <c r="G23" s="8"/>
      <c r="H23" s="8"/>
      <c r="I23" s="11"/>
      <c r="J23" s="120" t="s">
        <v>844</v>
      </c>
      <c r="K23" s="922"/>
      <c r="L23" s="2483"/>
      <c r="M23" s="2474"/>
      <c r="N23" s="2477"/>
      <c r="O23" s="348"/>
      <c r="P23" s="919"/>
      <c r="Q23" s="350"/>
      <c r="R23" s="123" t="str">
        <f>IF(O23="","",CONCATENATE(O23," ",IF(R22=K23,IF(P22="X",N_res_MS,IF(Q23="","",CONCATENATE(N_res_Diff,Q23,"-",Q21))),"")))</f>
        <v/>
      </c>
      <c r="S23" s="120"/>
      <c r="T23" s="120"/>
      <c r="U23" s="120"/>
      <c r="V23" s="120"/>
      <c r="W23" s="120"/>
      <c r="X23" s="120"/>
      <c r="Y23" s="8"/>
      <c r="Z23" s="120"/>
      <c r="AA23" s="120"/>
      <c r="AB23" s="120"/>
      <c r="AC23" s="120"/>
      <c r="AD23" s="120"/>
      <c r="AE23" s="120"/>
      <c r="AF23" s="8"/>
      <c r="AG23" s="2478"/>
      <c r="AH23" s="2472"/>
      <c r="AI23" s="2475"/>
      <c r="AJ23" s="122"/>
      <c r="AK23" s="127"/>
      <c r="AL23" s="122"/>
      <c r="AM23" s="408" t="str">
        <f>IF(AJ23="","",CONCATENATE(AJ23," ",IF(AM24=AF16,IF(AK24="X",N_res_MS,IF(AL23="","",CONCATENATE(N_res_Diff,AL23,"-",AL25))),"")))</f>
        <v/>
      </c>
    </row>
    <row r="24" spans="1:46" ht="13.5" thickBot="1" x14ac:dyDescent="0.25">
      <c r="A24" s="8"/>
      <c r="B24" s="8"/>
      <c r="C24" s="8"/>
      <c r="D24" s="8"/>
      <c r="E24" s="8"/>
      <c r="F24" s="8"/>
      <c r="G24" s="8"/>
      <c r="H24" s="8"/>
      <c r="I24" s="11"/>
      <c r="J24" s="120"/>
      <c r="K24" s="8"/>
      <c r="L24" s="119" t="str">
        <f>N_Heure</f>
        <v>Heure</v>
      </c>
      <c r="M24" s="119" t="str">
        <f>N_Table</f>
        <v>Table</v>
      </c>
      <c r="N24" s="119" t="str">
        <f>N_Arbitre</f>
        <v>Arbitre</v>
      </c>
      <c r="O24" s="914" t="str">
        <f>N_Buts</f>
        <v>Buts</v>
      </c>
      <c r="P24" s="915" t="str">
        <f>N_MS</f>
        <v>MS</v>
      </c>
      <c r="Q24" s="916" t="str">
        <f>N_Diff</f>
        <v>Diff</v>
      </c>
      <c r="S24" s="120"/>
      <c r="T24" s="120"/>
      <c r="U24" s="120"/>
      <c r="V24" s="120"/>
      <c r="W24" s="120"/>
      <c r="X24" s="120"/>
      <c r="Y24" s="8"/>
      <c r="Z24" s="120"/>
      <c r="AA24" s="120"/>
      <c r="AB24" s="120"/>
      <c r="AC24" s="120"/>
      <c r="AD24" s="120"/>
      <c r="AE24" s="120"/>
      <c r="AF24" s="8"/>
      <c r="AG24" s="2479"/>
      <c r="AH24" s="2473"/>
      <c r="AI24" s="2476"/>
      <c r="AJ24" s="135"/>
      <c r="AK24" s="126"/>
      <c r="AL24" s="135"/>
      <c r="AM24" s="136" t="str">
        <f>IF(AJ23="","",IF(AJ23&gt;AJ25,AF16,IF(AJ23&lt;AJ25,AF32,IF(AL23&gt;AL25,AF16,IF(AL23&lt;AL25,AF32,mess_erreur_marque)))))</f>
        <v/>
      </c>
      <c r="AN24" s="120"/>
      <c r="AO24" s="120"/>
      <c r="AP24" s="120"/>
      <c r="AQ24" s="120"/>
      <c r="AR24" s="120"/>
      <c r="AS24" s="120"/>
    </row>
    <row r="25" spans="1:46" x14ac:dyDescent="0.2">
      <c r="A25" s="8"/>
      <c r="B25" s="8"/>
      <c r="C25" s="119" t="str">
        <f>N_Heure</f>
        <v>Heure</v>
      </c>
      <c r="D25" s="119" t="str">
        <f>N_Table</f>
        <v>Table</v>
      </c>
      <c r="E25" s="119" t="str">
        <f>N_Arbitre</f>
        <v>Arbitre</v>
      </c>
      <c r="F25" s="119" t="str">
        <f>N_Buts</f>
        <v>Buts</v>
      </c>
      <c r="G25" s="119" t="str">
        <f>N_MS</f>
        <v>MS</v>
      </c>
      <c r="H25" s="119" t="str">
        <f>N_Diff</f>
        <v>Diff</v>
      </c>
      <c r="J25" s="120" t="s">
        <v>845</v>
      </c>
      <c r="K25" s="920"/>
      <c r="L25" s="2478"/>
      <c r="M25" s="2472"/>
      <c r="N25" s="2475"/>
      <c r="O25" s="346"/>
      <c r="P25" s="121"/>
      <c r="Q25" s="347"/>
      <c r="R25" s="123" t="str">
        <f>IF(O25="","",CONCATENATE(O25," ",IF(R26=K25,IF(P26="X",N_res_MS,IF(Q25="","",CONCATENATE(N_res_Diff,Q25,"-",Q27))),"")))</f>
        <v/>
      </c>
      <c r="Z25" s="120"/>
      <c r="AA25" s="120"/>
      <c r="AB25" s="120"/>
      <c r="AC25" s="120"/>
      <c r="AD25" s="120"/>
      <c r="AE25" s="120"/>
      <c r="AF25" s="8"/>
      <c r="AG25" s="2480"/>
      <c r="AH25" s="2474"/>
      <c r="AI25" s="2477"/>
      <c r="AJ25" s="122"/>
      <c r="AK25" s="127"/>
      <c r="AL25" s="122"/>
      <c r="AM25" s="411" t="str">
        <f>IF(AJ25="","",CONCATENATE(AJ25," ",IF(AM24=AF32,IF(AK24="X",N_res_MS,IF(AL25="","",CONCATENATE(N_res_Diff,AL25,"-",AL23))),"")))</f>
        <v/>
      </c>
      <c r="AN25" s="130"/>
      <c r="AO25" s="120"/>
      <c r="AP25" s="120"/>
      <c r="AQ25" s="120"/>
      <c r="AR25" s="120"/>
      <c r="AS25" s="120"/>
      <c r="AT25" s="139"/>
    </row>
    <row r="26" spans="1:46" x14ac:dyDescent="0.2">
      <c r="A26" s="8" t="s">
        <v>846</v>
      </c>
      <c r="B26" s="124"/>
      <c r="C26" s="2478"/>
      <c r="D26" s="2472"/>
      <c r="E26" s="2475"/>
      <c r="F26" s="122"/>
      <c r="G26" s="125"/>
      <c r="H26" s="122"/>
      <c r="I26" s="262" t="str">
        <f>IF(F26="","",CONCATENATE(F26," ",IF(I27=B26,IF(G27="X",N_res_MS,IF(H26="","",CONCATENATE(N_res_Diff,H26,"-",H28))),"")))</f>
        <v/>
      </c>
      <c r="J26" s="120"/>
      <c r="K26" s="921"/>
      <c r="L26" s="2479"/>
      <c r="M26" s="2473"/>
      <c r="N26" s="2476"/>
      <c r="O26" s="917"/>
      <c r="P26" s="126"/>
      <c r="Q26" s="918"/>
      <c r="R26" s="129" t="str">
        <f>IF(O25="","",IF(O25&gt;O27,K25,IF(O25&lt;O27,K27,IF(Q25&gt;Q27,K25,IF(Q25&lt;Q27,K27,mess_erreur_marque)))))</f>
        <v/>
      </c>
      <c r="S26" s="119" t="str">
        <f>N_Heure</f>
        <v>Heure</v>
      </c>
      <c r="T26" s="119" t="str">
        <f>N_Table</f>
        <v>Table</v>
      </c>
      <c r="U26" s="119" t="str">
        <f>N_Arbitre</f>
        <v>Arbitre</v>
      </c>
      <c r="V26" s="119" t="str">
        <f>N_Buts</f>
        <v>Buts</v>
      </c>
      <c r="W26" s="119" t="str">
        <f>N_MS</f>
        <v>MS</v>
      </c>
      <c r="X26" s="119" t="str">
        <f>N_Diff</f>
        <v>Diff</v>
      </c>
      <c r="Z26" s="120"/>
      <c r="AA26" s="120"/>
      <c r="AB26" s="120"/>
      <c r="AC26" s="120"/>
      <c r="AD26" s="120"/>
      <c r="AE26" s="120"/>
      <c r="AF26" s="8"/>
      <c r="AG26" s="120"/>
      <c r="AH26" s="120"/>
      <c r="AI26" s="120"/>
      <c r="AJ26" s="120"/>
      <c r="AK26" s="120"/>
      <c r="AL26" s="133"/>
      <c r="AM26" s="130"/>
      <c r="AN26" s="130"/>
      <c r="AO26" s="120"/>
      <c r="AP26" s="120"/>
      <c r="AQ26" s="120"/>
      <c r="AR26" s="120"/>
      <c r="AS26" s="120"/>
      <c r="AT26" s="139"/>
    </row>
    <row r="27" spans="1:46" ht="13.5" thickBot="1" x14ac:dyDescent="0.25">
      <c r="A27" s="8"/>
      <c r="B27" s="8"/>
      <c r="C27" s="2479"/>
      <c r="D27" s="2473"/>
      <c r="E27" s="2476"/>
      <c r="F27" s="124"/>
      <c r="G27" s="126"/>
      <c r="H27" s="124"/>
      <c r="I27" s="124" t="str">
        <f>IF(F26="","",IF(F26&gt;F28,B26,IF(F26&lt;F28,B28,IF(H26&gt;H28,B26,IF(H26&lt;H28,B28,mess_erreur_marque)))))</f>
        <v/>
      </c>
      <c r="J27" s="120" t="s">
        <v>847</v>
      </c>
      <c r="K27" s="922" t="str">
        <f>IF(I27="","",I27)</f>
        <v/>
      </c>
      <c r="L27" s="2480"/>
      <c r="M27" s="2474"/>
      <c r="N27" s="2477"/>
      <c r="O27" s="348"/>
      <c r="P27" s="919"/>
      <c r="Q27" s="350"/>
      <c r="R27" s="123" t="str">
        <f>IF(O27="","",CONCATENATE(O27," ",IF(R26=K27,IF(P26="X",N_res_MS,IF(Q27="","",CONCATENATE(N_res_Diff,Q27,"-",Q25))),"")))</f>
        <v/>
      </c>
      <c r="S27" s="2478"/>
      <c r="T27" s="2472"/>
      <c r="U27" s="2475"/>
      <c r="V27" s="122"/>
      <c r="W27" s="127"/>
      <c r="X27" s="122"/>
      <c r="Y27" s="408" t="str">
        <f>IF(V27="","",CONCATENATE(V27," ",IF(Y28=R26,IF(W28="X",N_res_MS,IF(X27="","",CONCATENATE(N_res_Diff,X27,"-",X29))),"")))</f>
        <v/>
      </c>
      <c r="AF27" s="8"/>
      <c r="AG27" s="120"/>
      <c r="AH27" s="120"/>
      <c r="AI27" s="120"/>
      <c r="AJ27" s="120"/>
      <c r="AK27" s="120"/>
      <c r="AL27" s="120"/>
      <c r="AM27" s="130"/>
      <c r="AN27" s="130"/>
      <c r="AO27" s="120"/>
      <c r="AP27" s="120"/>
      <c r="AQ27" s="120"/>
      <c r="AR27" s="120"/>
      <c r="AS27" s="120"/>
      <c r="AT27" s="139"/>
    </row>
    <row r="28" spans="1:46" ht="13.5" thickBot="1" x14ac:dyDescent="0.25">
      <c r="A28" s="8" t="s">
        <v>847</v>
      </c>
      <c r="B28" s="124"/>
      <c r="C28" s="2480"/>
      <c r="D28" s="2474"/>
      <c r="E28" s="2477"/>
      <c r="F28" s="122"/>
      <c r="G28" s="125"/>
      <c r="H28" s="122"/>
      <c r="I28" s="123" t="str">
        <f>IF(F28="","",CONCATENATE(F28," ",IF(I27=B28,IF(G27="X",N_res_MS,IF(H28="","",CONCATENATE(N_res_Diff,H28,"-",H26))),"")))</f>
        <v/>
      </c>
      <c r="J28" s="120"/>
      <c r="K28" s="8"/>
      <c r="L28" s="119" t="str">
        <f>N_Heure</f>
        <v>Heure</v>
      </c>
      <c r="M28" s="119" t="str">
        <f>N_Table</f>
        <v>Table</v>
      </c>
      <c r="N28" s="119" t="str">
        <f>N_Arbitre</f>
        <v>Arbitre</v>
      </c>
      <c r="O28" s="914" t="str">
        <f>N_Buts</f>
        <v>Buts</v>
      </c>
      <c r="P28" s="915" t="str">
        <f>N_MS</f>
        <v>MS</v>
      </c>
      <c r="Q28" s="916" t="str">
        <f>N_Diff</f>
        <v>Diff</v>
      </c>
      <c r="S28" s="2479"/>
      <c r="T28" s="2473"/>
      <c r="U28" s="2476"/>
      <c r="V28" s="128"/>
      <c r="W28" s="126"/>
      <c r="X28" s="128"/>
      <c r="Y28" s="131" t="str">
        <f>IF(V27="","",IF(V27&gt;V29,R26,IF(V27&lt;V29,R30,IF(X27&gt;X29,R26,IF(X27&lt;X29,R30,mess_erreur_marque)))))</f>
        <v/>
      </c>
      <c r="AF28" s="8"/>
      <c r="AG28" s="120"/>
      <c r="AH28" s="120"/>
      <c r="AI28" s="120"/>
      <c r="AJ28" s="120"/>
      <c r="AK28" s="120"/>
      <c r="AL28" s="120"/>
      <c r="AM28" s="130"/>
      <c r="AN28" s="130"/>
      <c r="AO28" s="120"/>
      <c r="AP28" s="120"/>
      <c r="AQ28" s="120"/>
      <c r="AR28" s="120"/>
      <c r="AS28" s="120"/>
      <c r="AT28" s="139"/>
    </row>
    <row r="29" spans="1:46" x14ac:dyDescent="0.2">
      <c r="A29" s="8"/>
      <c r="B29" s="8"/>
      <c r="C29" s="8"/>
      <c r="D29" s="8"/>
      <c r="E29" s="8"/>
      <c r="F29" s="8"/>
      <c r="G29" s="8"/>
      <c r="H29" s="8"/>
      <c r="I29" s="11"/>
      <c r="J29" s="120" t="s">
        <v>848</v>
      </c>
      <c r="K29" s="920"/>
      <c r="L29" s="2478"/>
      <c r="M29" s="2472"/>
      <c r="N29" s="2475"/>
      <c r="O29" s="346"/>
      <c r="P29" s="121"/>
      <c r="Q29" s="347"/>
      <c r="R29" s="123" t="str">
        <f>IF(O29="","",CONCATENATE(O29," ",IF(R30=K29,IF(P30="X",N_res_MS,IF(Q29="","",CONCATENATE(N_res_Diff,Q29,"-",Q31))),"")))</f>
        <v/>
      </c>
      <c r="S29" s="2480"/>
      <c r="T29" s="2474"/>
      <c r="U29" s="2477"/>
      <c r="V29" s="122"/>
      <c r="W29" s="127"/>
      <c r="X29" s="122"/>
      <c r="Y29" s="405" t="str">
        <f>IF(V29="","",CONCATENATE(V29," ",IF(Y28=R30,IF(W28="X",N_res_MS,IF(X29="","",CONCATENATE(N_res_Diff,X29,"-",X27))),"")))</f>
        <v/>
      </c>
      <c r="AF29" s="409"/>
      <c r="AG29" s="120"/>
      <c r="AH29" s="120"/>
      <c r="AI29" s="120"/>
      <c r="AJ29" s="120"/>
      <c r="AK29" s="120"/>
      <c r="AL29" s="120"/>
      <c r="AM29" s="130"/>
      <c r="AN29" s="130"/>
      <c r="AO29" s="120"/>
      <c r="AP29" s="120"/>
      <c r="AQ29" s="120"/>
      <c r="AR29" s="120"/>
      <c r="AS29" s="120"/>
      <c r="AT29" s="139"/>
    </row>
    <row r="30" spans="1:46" x14ac:dyDescent="0.2">
      <c r="A30" s="8"/>
      <c r="B30" s="8"/>
      <c r="C30" s="8"/>
      <c r="D30" s="8"/>
      <c r="E30" s="8"/>
      <c r="F30" s="8"/>
      <c r="G30" s="8"/>
      <c r="H30" s="8"/>
      <c r="I30" s="11"/>
      <c r="J30" s="120"/>
      <c r="K30" s="921"/>
      <c r="L30" s="2479"/>
      <c r="M30" s="2473"/>
      <c r="N30" s="2476"/>
      <c r="O30" s="917"/>
      <c r="P30" s="126"/>
      <c r="Q30" s="918"/>
      <c r="R30" s="129" t="str">
        <f>IF(O29="","",IF(O29&gt;O31,K29,IF(O29&lt;O31,K31,IF(Q29&gt;Q31,K29,IF(Q29&lt;Q31,K31,mess_erreur_marque)))))</f>
        <v/>
      </c>
      <c r="S30" s="120"/>
      <c r="T30" s="120"/>
      <c r="U30" s="120"/>
      <c r="V30" s="120"/>
      <c r="W30" s="120"/>
      <c r="X30" s="120"/>
      <c r="Y30" s="11"/>
      <c r="Z30" s="119" t="str">
        <f>N_Heure</f>
        <v>Heure</v>
      </c>
      <c r="AA30" s="119" t="str">
        <f>N_Table</f>
        <v>Table</v>
      </c>
      <c r="AB30" s="119" t="str">
        <f>N_Arbitre</f>
        <v>Arbitre</v>
      </c>
      <c r="AC30" s="119" t="str">
        <f>N_Buts</f>
        <v>Buts</v>
      </c>
      <c r="AD30" s="119" t="str">
        <f>N_MS</f>
        <v>MS</v>
      </c>
      <c r="AE30" s="402" t="str">
        <f>N_Diff</f>
        <v>Diff</v>
      </c>
      <c r="AF30" s="409"/>
      <c r="AG30" s="120"/>
      <c r="AH30" s="120"/>
      <c r="AI30" s="120"/>
      <c r="AJ30" s="120"/>
      <c r="AK30" s="120"/>
      <c r="AL30" s="120"/>
      <c r="AM30" s="130"/>
      <c r="AN30" s="130"/>
      <c r="AO30" s="120"/>
      <c r="AP30" s="120"/>
      <c r="AQ30" s="120"/>
      <c r="AR30" s="120"/>
      <c r="AS30" s="120"/>
      <c r="AT30" s="139"/>
    </row>
    <row r="31" spans="1:46" ht="13.5" thickBot="1" x14ac:dyDescent="0.25">
      <c r="A31" s="8"/>
      <c r="B31" s="8"/>
      <c r="C31" s="8"/>
      <c r="D31" s="8"/>
      <c r="E31" s="8"/>
      <c r="F31" s="8"/>
      <c r="G31" s="8"/>
      <c r="H31" s="8"/>
      <c r="I31" s="11"/>
      <c r="J31" s="120" t="s">
        <v>849</v>
      </c>
      <c r="K31" s="922"/>
      <c r="L31" s="2480"/>
      <c r="M31" s="2474"/>
      <c r="N31" s="2477"/>
      <c r="O31" s="348"/>
      <c r="P31" s="919"/>
      <c r="Q31" s="350"/>
      <c r="R31" s="123" t="str">
        <f>IF(O31="","",CONCATENATE(O31," ",IF(R30=K31,IF(P30="X",N_res_MS,IF(Q31="","",CONCATENATE(N_res_Diff,Q31,"-",Q29))),"")))</f>
        <v/>
      </c>
      <c r="S31" s="120"/>
      <c r="T31" s="120"/>
      <c r="U31" s="120"/>
      <c r="V31" s="120"/>
      <c r="W31" s="120"/>
      <c r="X31" s="120"/>
      <c r="Y31" s="8"/>
      <c r="Z31" s="2478"/>
      <c r="AA31" s="2472"/>
      <c r="AB31" s="2475"/>
      <c r="AC31" s="122"/>
      <c r="AD31" s="127"/>
      <c r="AE31" s="403"/>
      <c r="AF31" s="408" t="str">
        <f>IF(AC31="","",CONCATENATE(AC31," ",IF(AF32=Y28,IF(AD32="X",N_res_MS,IF(AE31="","",CONCATENATE(N_res_Diff,AE31,"-",AE33))),"")))</f>
        <v/>
      </c>
      <c r="AG31" s="120"/>
      <c r="AH31" s="120"/>
      <c r="AI31" s="120"/>
      <c r="AJ31" s="120"/>
      <c r="AK31" s="120"/>
      <c r="AL31" s="120"/>
      <c r="AM31" s="130"/>
      <c r="AN31" s="130"/>
      <c r="AO31" s="120"/>
      <c r="AP31" s="120"/>
      <c r="AQ31" s="120"/>
      <c r="AR31" s="120"/>
      <c r="AS31" s="120"/>
      <c r="AT31" s="139"/>
    </row>
    <row r="32" spans="1:46" ht="13.5" thickBot="1" x14ac:dyDescent="0.25">
      <c r="A32" s="8"/>
      <c r="B32" s="8"/>
      <c r="C32" s="8"/>
      <c r="D32" s="8"/>
      <c r="E32" s="8"/>
      <c r="F32" s="8"/>
      <c r="G32" s="8"/>
      <c r="H32" s="8"/>
      <c r="I32" s="11"/>
      <c r="J32" s="120"/>
      <c r="K32" s="8"/>
      <c r="L32" s="119" t="str">
        <f>N_Heure</f>
        <v>Heure</v>
      </c>
      <c r="M32" s="119" t="str">
        <f>N_Table</f>
        <v>Table</v>
      </c>
      <c r="N32" s="119" t="str">
        <f>N_Arbitre</f>
        <v>Arbitre</v>
      </c>
      <c r="O32" s="914" t="str">
        <f>N_Buts</f>
        <v>Buts</v>
      </c>
      <c r="P32" s="915" t="str">
        <f>N_MS</f>
        <v>MS</v>
      </c>
      <c r="Q32" s="916" t="str">
        <f>N_Diff</f>
        <v>Diff</v>
      </c>
      <c r="S32" s="120"/>
      <c r="T32" s="120"/>
      <c r="U32" s="120"/>
      <c r="V32" s="120"/>
      <c r="W32" s="120"/>
      <c r="X32" s="120"/>
      <c r="Y32" s="8"/>
      <c r="Z32" s="2479"/>
      <c r="AA32" s="2473"/>
      <c r="AB32" s="2476"/>
      <c r="AC32" s="132"/>
      <c r="AD32" s="126"/>
      <c r="AE32" s="132"/>
      <c r="AF32" s="134" t="str">
        <f>IF(AC31="","",IF(AC31&gt;AC33,Y28,IF(AC31&lt;AC33,Y36,IF(AE31&gt;AE33,Y28,IF(AE31&lt;AE33,Y36,mess_erreur_marque)))))</f>
        <v/>
      </c>
      <c r="AG32" s="120"/>
      <c r="AH32" s="120"/>
      <c r="AI32" s="120"/>
      <c r="AJ32" s="120"/>
      <c r="AK32" s="120"/>
      <c r="AL32" s="120"/>
      <c r="AM32" s="120"/>
      <c r="AN32" s="130"/>
      <c r="AO32" s="120"/>
      <c r="AP32" s="120"/>
      <c r="AQ32" s="120"/>
      <c r="AR32" s="120"/>
      <c r="AS32" s="120"/>
      <c r="AT32" s="139"/>
    </row>
    <row r="33" spans="1:47" x14ac:dyDescent="0.2">
      <c r="A33" s="8"/>
      <c r="B33" s="8"/>
      <c r="C33" s="119" t="str">
        <f>N_Heure</f>
        <v>Heure</v>
      </c>
      <c r="D33" s="119" t="str">
        <f>N_Table</f>
        <v>Table</v>
      </c>
      <c r="E33" s="119" t="str">
        <f>N_Arbitre</f>
        <v>Arbitre</v>
      </c>
      <c r="F33" s="119" t="str">
        <f>N_Buts</f>
        <v>Buts</v>
      </c>
      <c r="G33" s="119" t="str">
        <f>N_MS</f>
        <v>MS</v>
      </c>
      <c r="H33" s="119" t="str">
        <f>N_Diff</f>
        <v>Diff</v>
      </c>
      <c r="J33" s="120" t="s">
        <v>850</v>
      </c>
      <c r="K33" s="920"/>
      <c r="L33" s="2478"/>
      <c r="M33" s="2472"/>
      <c r="N33" s="2475"/>
      <c r="O33" s="346"/>
      <c r="P33" s="121"/>
      <c r="Q33" s="347"/>
      <c r="R33" s="123" t="str">
        <f>IF(O33="","",CONCATENATE(O33," ",IF(R34=K33,IF(P34="X",N_res_MS,IF(Q33="","",CONCATENATE(N_res_Diff,Q33,"-",Q35))),"")))</f>
        <v/>
      </c>
      <c r="Z33" s="2480"/>
      <c r="AA33" s="2474"/>
      <c r="AB33" s="2477"/>
      <c r="AC33" s="122"/>
      <c r="AD33" s="127"/>
      <c r="AE33" s="403"/>
      <c r="AF33" s="411" t="str">
        <f>IF(AC33="","",CONCATENATE(AC33," ",IF(AF32=Y36,IF(AD32="X",N_res_MS,IF(AE33="","",CONCATENATE(N_res_Diff,AE33,"-",AE31))),"")))</f>
        <v/>
      </c>
      <c r="AG33" s="120"/>
      <c r="AH33" s="120"/>
      <c r="AI33" s="120"/>
      <c r="AJ33" s="120"/>
      <c r="AK33" s="120"/>
      <c r="AL33" s="120"/>
      <c r="AM33" s="120"/>
      <c r="AN33" s="130"/>
      <c r="AO33" s="120"/>
      <c r="AP33" s="120"/>
      <c r="AQ33" s="120"/>
      <c r="AR33" s="120"/>
      <c r="AS33" s="120"/>
      <c r="AT33" s="139"/>
    </row>
    <row r="34" spans="1:47" x14ac:dyDescent="0.2">
      <c r="A34" s="8" t="s">
        <v>851</v>
      </c>
      <c r="B34" s="124"/>
      <c r="C34" s="2478"/>
      <c r="D34" s="2472"/>
      <c r="E34" s="2475"/>
      <c r="F34" s="122"/>
      <c r="G34" s="125"/>
      <c r="H34" s="122"/>
      <c r="I34" s="262" t="str">
        <f>IF(F34="","",CONCATENATE(F34," ",IF(I35=B34,IF(G35="X",N_res_MS,IF(H34="","",CONCATENATE(N_res_Diff,H34,"-",H36))),"")))</f>
        <v/>
      </c>
      <c r="J34" s="120"/>
      <c r="K34" s="921"/>
      <c r="L34" s="2479"/>
      <c r="M34" s="2473"/>
      <c r="N34" s="2476"/>
      <c r="O34" s="917"/>
      <c r="P34" s="126"/>
      <c r="Q34" s="918"/>
      <c r="R34" s="129" t="str">
        <f>IF(O33="","",IF(O33&gt;O35,K33,IF(O33&lt;O35,K35,IF(Q33&gt;Q35,K33,IF(Q33&lt;Q35,K35,mess_erreur_marque)))))</f>
        <v/>
      </c>
      <c r="S34" s="119" t="str">
        <f>N_Heure</f>
        <v>Heure</v>
      </c>
      <c r="T34" s="119" t="str">
        <f>N_Table</f>
        <v>Table</v>
      </c>
      <c r="U34" s="119" t="str">
        <f>N_Arbitre</f>
        <v>Arbitre</v>
      </c>
      <c r="V34" s="119" t="str">
        <f>N_Buts</f>
        <v>Buts</v>
      </c>
      <c r="W34" s="119" t="str">
        <f>N_MS</f>
        <v>MS</v>
      </c>
      <c r="X34" s="119" t="str">
        <f>N_Diff</f>
        <v>Diff</v>
      </c>
      <c r="Z34" s="120"/>
      <c r="AA34" s="120"/>
      <c r="AB34" s="133"/>
      <c r="AC34" s="133"/>
      <c r="AD34" s="133"/>
      <c r="AE34" s="133"/>
      <c r="AF34" s="409"/>
      <c r="AG34" s="120"/>
      <c r="AH34" s="120"/>
      <c r="AI34" s="120"/>
      <c r="AJ34" s="120"/>
      <c r="AK34" s="120"/>
      <c r="AL34" s="120"/>
      <c r="AM34" s="120"/>
      <c r="AN34" s="130"/>
      <c r="AO34" s="120"/>
      <c r="AP34" s="120"/>
      <c r="AQ34" s="120"/>
      <c r="AR34" s="120"/>
      <c r="AS34" s="120"/>
      <c r="AT34" s="139"/>
    </row>
    <row r="35" spans="1:47" ht="13.5" thickBot="1" x14ac:dyDescent="0.25">
      <c r="A35" s="8"/>
      <c r="B35" s="8"/>
      <c r="C35" s="2479"/>
      <c r="D35" s="2473"/>
      <c r="E35" s="2476"/>
      <c r="F35" s="124"/>
      <c r="G35" s="126"/>
      <c r="H35" s="124"/>
      <c r="I35" s="124" t="str">
        <f>IF(F34="","",IF(F34&gt;F36,B34,IF(F34&lt;F36,B36,IF(H34&gt;H36,B34,IF(H34&lt;H36,B36,mess_erreur_marque)))))</f>
        <v/>
      </c>
      <c r="J35" s="120" t="s">
        <v>851</v>
      </c>
      <c r="K35" s="922" t="str">
        <f>IF(I35="","",I35)</f>
        <v/>
      </c>
      <c r="L35" s="2480"/>
      <c r="M35" s="2474"/>
      <c r="N35" s="2477"/>
      <c r="O35" s="348"/>
      <c r="P35" s="919"/>
      <c r="Q35" s="350"/>
      <c r="R35" s="123" t="str">
        <f>IF(O35="","",CONCATENATE(O35," ",IF(R34=K35,IF(P34="X",N_res_MS,IF(Q35="","",CONCATENATE(N_res_Diff,Q35,"-",Q33))),"")))</f>
        <v/>
      </c>
      <c r="S35" s="2478"/>
      <c r="T35" s="2472"/>
      <c r="U35" s="2475"/>
      <c r="V35" s="122"/>
      <c r="W35" s="127"/>
      <c r="X35" s="122"/>
      <c r="Y35" s="408" t="str">
        <f>IF(V35="","",CONCATENATE(V35," ",IF(Y36=R34,IF(W36="X",N_res_MS,IF(X35="","",CONCATENATE(N_res_Diff,X35,"-",X37))),"")))</f>
        <v/>
      </c>
      <c r="Z35" s="120"/>
      <c r="AA35" s="120"/>
      <c r="AB35" s="120"/>
      <c r="AC35" s="120"/>
      <c r="AD35" s="120"/>
      <c r="AE35" s="120"/>
      <c r="AF35" s="409"/>
      <c r="AG35" s="120"/>
      <c r="AH35" s="120"/>
      <c r="AI35" s="120"/>
      <c r="AJ35" s="120"/>
      <c r="AK35" s="120"/>
      <c r="AL35" s="120"/>
      <c r="AM35" s="120"/>
      <c r="AN35" s="130"/>
      <c r="AO35" s="120"/>
      <c r="AP35" s="120"/>
      <c r="AQ35" s="120"/>
      <c r="AR35" s="120"/>
      <c r="AS35" s="120"/>
      <c r="AT35" s="139"/>
    </row>
    <row r="36" spans="1:47" ht="13.5" thickBot="1" x14ac:dyDescent="0.25">
      <c r="A36" s="17" t="s">
        <v>852</v>
      </c>
      <c r="B36" s="124"/>
      <c r="C36" s="2480"/>
      <c r="D36" s="2474"/>
      <c r="E36" s="2477"/>
      <c r="F36" s="122"/>
      <c r="G36" s="125"/>
      <c r="H36" s="122"/>
      <c r="I36" s="123" t="str">
        <f>IF(F36="","",CONCATENATE(F36," ",IF(I35=B36,IF(G35="X",N_res_MS,IF(H36="","",CONCATENATE(N_res_Diff,H36,"-",H34))),"")))</f>
        <v/>
      </c>
      <c r="J36" s="120"/>
      <c r="K36" s="8"/>
      <c r="L36" s="119" t="str">
        <f>N_Heure</f>
        <v>Heure</v>
      </c>
      <c r="M36" s="119" t="str">
        <f>N_Table</f>
        <v>Table</v>
      </c>
      <c r="N36" s="119" t="str">
        <f>N_Arbitre</f>
        <v>Arbitre</v>
      </c>
      <c r="O36" s="914" t="str">
        <f>N_Buts</f>
        <v>Buts</v>
      </c>
      <c r="P36" s="915" t="str">
        <f>N_MS</f>
        <v>MS</v>
      </c>
      <c r="Q36" s="916" t="str">
        <f>N_Diff</f>
        <v>Diff</v>
      </c>
      <c r="S36" s="2479"/>
      <c r="T36" s="2473"/>
      <c r="U36" s="2476"/>
      <c r="V36" s="128"/>
      <c r="W36" s="126"/>
      <c r="X36" s="128"/>
      <c r="Y36" s="131" t="str">
        <f>IF(V35="","",IF(V35&gt;V37,R34,IF(V35&lt;V37,R38,IF(X35&gt;X37,R34,IF(X35&lt;X37,R38,mess_erreur_marque)))))</f>
        <v/>
      </c>
      <c r="Z36" s="120"/>
      <c r="AA36" s="120"/>
      <c r="AB36" s="120"/>
      <c r="AC36" s="120"/>
      <c r="AD36" s="120"/>
      <c r="AE36" s="120"/>
      <c r="AF36" s="8"/>
      <c r="AG36" s="120"/>
      <c r="AH36" s="120"/>
      <c r="AI36" s="120"/>
      <c r="AJ36" s="120"/>
      <c r="AK36" s="120"/>
      <c r="AL36" s="120"/>
      <c r="AM36" s="120"/>
      <c r="AN36" s="130"/>
      <c r="AO36" s="120"/>
      <c r="AP36" s="120"/>
      <c r="AQ36" s="120"/>
      <c r="AR36" s="120"/>
      <c r="AS36" s="120"/>
      <c r="AT36" s="139"/>
    </row>
    <row r="37" spans="1:47" x14ac:dyDescent="0.2">
      <c r="A37" s="8"/>
      <c r="B37" s="8"/>
      <c r="C37" s="8"/>
      <c r="D37" s="8"/>
      <c r="E37" s="8"/>
      <c r="F37" s="8"/>
      <c r="G37" s="8"/>
      <c r="H37" s="8"/>
      <c r="I37" s="11"/>
      <c r="J37" s="120" t="s">
        <v>853</v>
      </c>
      <c r="K37" s="920"/>
      <c r="L37" s="2478"/>
      <c r="M37" s="2472"/>
      <c r="N37" s="2475"/>
      <c r="O37" s="346"/>
      <c r="P37" s="121"/>
      <c r="Q37" s="347"/>
      <c r="R37" s="123" t="str">
        <f>IF(O37="","",CONCATENATE(O37," ",IF(R38=K37,IF(P38="X",N_res_MS,IF(Q37="","",CONCATENATE(N_res_Diff,Q37,"-",Q39))),"")))</f>
        <v/>
      </c>
      <c r="S37" s="2480"/>
      <c r="T37" s="2474"/>
      <c r="U37" s="2477"/>
      <c r="V37" s="122"/>
      <c r="W37" s="127"/>
      <c r="X37" s="122"/>
      <c r="Y37" s="405" t="str">
        <f>IF(V37="","",CONCATENATE(V37," ",IF(Y36=R38,IF(W36="X",N_res_MS,IF(X37="","",CONCATENATE(N_res_Diff,X37,"-",X35))),"")))</f>
        <v/>
      </c>
      <c r="Z37" s="120"/>
      <c r="AA37" s="120"/>
      <c r="AB37" s="120"/>
      <c r="AC37" s="120"/>
      <c r="AD37" s="120"/>
      <c r="AE37" s="120"/>
      <c r="AF37" s="8"/>
      <c r="AG37" s="120"/>
      <c r="AH37" s="120"/>
      <c r="AI37" s="120"/>
      <c r="AJ37" s="120"/>
      <c r="AK37" s="120"/>
      <c r="AL37" s="120"/>
      <c r="AM37" s="120"/>
      <c r="AN37" s="130"/>
      <c r="AO37" s="120"/>
      <c r="AP37" s="120"/>
      <c r="AQ37" s="120"/>
      <c r="AR37" s="120"/>
      <c r="AS37" s="120"/>
      <c r="AT37" s="139"/>
    </row>
    <row r="38" spans="1:47" x14ac:dyDescent="0.2">
      <c r="A38" s="8"/>
      <c r="B38" s="8"/>
      <c r="C38" s="8"/>
      <c r="D38" s="8"/>
      <c r="E38" s="8"/>
      <c r="F38" s="8"/>
      <c r="G38" s="8"/>
      <c r="H38" s="8"/>
      <c r="I38" s="11"/>
      <c r="J38" s="120"/>
      <c r="K38" s="921"/>
      <c r="L38" s="2479"/>
      <c r="M38" s="2473"/>
      <c r="N38" s="2476"/>
      <c r="O38" s="917"/>
      <c r="P38" s="126"/>
      <c r="Q38" s="918"/>
      <c r="R38" s="129" t="str">
        <f>IF(O37="","",IF(O37&gt;O39,K37,IF(O37&lt;O39,K39,IF(Q37&gt;Q39,K37,IF(Q37&lt;Q39,K39,mess_erreur_marque)))))</f>
        <v/>
      </c>
      <c r="S38" s="120"/>
      <c r="T38" s="120"/>
      <c r="U38" s="120"/>
      <c r="V38" s="120"/>
      <c r="W38" s="120"/>
      <c r="X38" s="120"/>
      <c r="Y38" s="8"/>
      <c r="Z38" s="120"/>
      <c r="AA38" s="120"/>
      <c r="AB38" s="120"/>
      <c r="AC38" s="120"/>
      <c r="AD38" s="120"/>
      <c r="AE38" s="120"/>
      <c r="AF38" s="8"/>
      <c r="AG38" s="120"/>
      <c r="AH38" s="120"/>
      <c r="AI38" s="120"/>
      <c r="AJ38" s="120"/>
      <c r="AK38" s="120"/>
      <c r="AL38" s="120"/>
      <c r="AM38" s="120"/>
      <c r="AN38" s="119" t="str">
        <f>N_Heure</f>
        <v>Heure</v>
      </c>
      <c r="AO38" s="119" t="str">
        <f>N_Table</f>
        <v>Table</v>
      </c>
      <c r="AP38" s="119" t="str">
        <f>N_Arbitre</f>
        <v>Arbitre</v>
      </c>
      <c r="AQ38" s="119" t="str">
        <f>N_Buts</f>
        <v>Buts</v>
      </c>
      <c r="AR38" s="119" t="str">
        <f>N_MS</f>
        <v>MS</v>
      </c>
      <c r="AS38" s="402" t="str">
        <f>N_Diff</f>
        <v>Diff</v>
      </c>
      <c r="AT38" s="139"/>
    </row>
    <row r="39" spans="1:47" ht="13.5" thickBot="1" x14ac:dyDescent="0.25">
      <c r="A39" s="8"/>
      <c r="B39" s="8"/>
      <c r="C39" s="119" t="str">
        <f>N_Heure</f>
        <v>Heure</v>
      </c>
      <c r="D39" s="119" t="str">
        <f>N_Table</f>
        <v>Table</v>
      </c>
      <c r="E39" s="119" t="str">
        <f>N_Arbitre</f>
        <v>Arbitre</v>
      </c>
      <c r="F39" s="119" t="str">
        <f>N_Buts</f>
        <v>Buts</v>
      </c>
      <c r="G39" s="119" t="str">
        <f>N_MS</f>
        <v>MS</v>
      </c>
      <c r="H39" s="119" t="str">
        <f>N_Diff</f>
        <v>Diff</v>
      </c>
      <c r="J39" s="120" t="s">
        <v>854</v>
      </c>
      <c r="K39" s="922"/>
      <c r="L39" s="2480"/>
      <c r="M39" s="2474"/>
      <c r="N39" s="2477"/>
      <c r="O39" s="348"/>
      <c r="P39" s="919"/>
      <c r="Q39" s="350"/>
      <c r="R39" s="123" t="str">
        <f>IF(O39="","",CONCATENATE(O39," ",IF(R38=K39,IF(P38="X",N_res_MS,IF(Q39="","",CONCATENATE(N_res_Diff,Q39,"-",Q37))),"")))</f>
        <v/>
      </c>
      <c r="S39" s="120"/>
      <c r="T39" s="120"/>
      <c r="U39" s="120"/>
      <c r="V39" s="120"/>
      <c r="W39" s="120"/>
      <c r="X39" s="120"/>
      <c r="Y39" s="8"/>
      <c r="Z39" s="120"/>
      <c r="AA39" s="120"/>
      <c r="AB39" s="120"/>
      <c r="AC39" s="120"/>
      <c r="AD39" s="120"/>
      <c r="AE39" s="120"/>
      <c r="AF39" s="8"/>
      <c r="AG39" s="120"/>
      <c r="AH39" s="120"/>
      <c r="AI39" s="120"/>
      <c r="AJ39" s="120"/>
      <c r="AK39" s="120"/>
      <c r="AL39" s="120"/>
      <c r="AN39" s="2478"/>
      <c r="AO39" s="2472"/>
      <c r="AP39" s="2475"/>
      <c r="AQ39" s="122"/>
      <c r="AR39" s="127"/>
      <c r="AS39" s="403"/>
      <c r="AT39" s="405" t="str">
        <f>IF(AQ39="","",CONCATENATE(AQ39," ",IF(AT40=AM24,IF(AR40="X",N_res_MS,IF(AS39="","",CONCATENATE(N_res_Diff,AS39,"-",AS41))),"")))</f>
        <v/>
      </c>
    </row>
    <row r="40" spans="1:47" ht="15" customHeight="1" thickBot="1" x14ac:dyDescent="0.3">
      <c r="A40" s="8" t="s">
        <v>855</v>
      </c>
      <c r="B40" s="124"/>
      <c r="C40" s="2478"/>
      <c r="D40" s="2472"/>
      <c r="E40" s="2475"/>
      <c r="F40" s="122"/>
      <c r="G40" s="125"/>
      <c r="H40" s="122"/>
      <c r="I40" s="262" t="str">
        <f>IF(F40="","",CONCATENATE(F40," ",IF(I41=B40,IF(G41="X",N_res_MS,IF(H40="","",CONCATENATE(N_res_Diff,H40,"-",H42))),"")))</f>
        <v/>
      </c>
      <c r="J40" s="120"/>
      <c r="K40" s="8"/>
      <c r="L40" s="119" t="str">
        <f>N_Heure</f>
        <v>Heure</v>
      </c>
      <c r="M40" s="119" t="str">
        <f>N_Table</f>
        <v>Table</v>
      </c>
      <c r="N40" s="119" t="str">
        <f>N_Arbitre</f>
        <v>Arbitre</v>
      </c>
      <c r="O40" s="914" t="str">
        <f>N_Buts</f>
        <v>Buts</v>
      </c>
      <c r="P40" s="915" t="str">
        <f>N_MS</f>
        <v>MS</v>
      </c>
      <c r="Q40" s="916" t="str">
        <f>N_Diff</f>
        <v>Diff</v>
      </c>
      <c r="S40" s="120"/>
      <c r="T40" s="120"/>
      <c r="U40" s="120"/>
      <c r="V40" s="120"/>
      <c r="W40" s="120"/>
      <c r="X40" s="120"/>
      <c r="Y40" s="8"/>
      <c r="Z40" s="120"/>
      <c r="AA40" s="120"/>
      <c r="AB40" s="120"/>
      <c r="AC40" s="120"/>
      <c r="AD40" s="120"/>
      <c r="AE40" s="120"/>
      <c r="AF40" s="8"/>
      <c r="AG40" s="120"/>
      <c r="AH40" s="120"/>
      <c r="AI40" s="120"/>
      <c r="AJ40" s="120"/>
      <c r="AK40" s="120"/>
      <c r="AL40" s="120"/>
      <c r="AM40" s="406"/>
      <c r="AN40" s="2479"/>
      <c r="AO40" s="2473"/>
      <c r="AP40" s="2476"/>
      <c r="AQ40" s="137"/>
      <c r="AR40" s="126"/>
      <c r="AS40" s="137"/>
      <c r="AT40" s="407" t="str">
        <f>IF(AQ39="","",IF(AQ39&gt;AQ41,#REF!,IF(AQ39&lt;AQ41,AM56,IF(AS39&gt;AS41,#REF!,IF(AS39&lt;AS41,AM56,mess_erreur_marque)))))</f>
        <v/>
      </c>
      <c r="AU40" s="138"/>
    </row>
    <row r="41" spans="1:47" x14ac:dyDescent="0.2">
      <c r="A41" s="8"/>
      <c r="B41" s="8"/>
      <c r="C41" s="2479"/>
      <c r="D41" s="2473"/>
      <c r="E41" s="2476"/>
      <c r="F41" s="124"/>
      <c r="G41" s="126"/>
      <c r="H41" s="124"/>
      <c r="I41" s="124" t="str">
        <f>IF(F40="","",IF(F40&gt;F42,B40,IF(F40&lt;F42,B42,IF(H40&gt;H42,B40,IF(H40&lt;H42,B42,mess_erreur_marque)))))</f>
        <v/>
      </c>
      <c r="J41" s="120" t="s">
        <v>855</v>
      </c>
      <c r="K41" s="920" t="str">
        <f>IF(I41="","",I41)</f>
        <v/>
      </c>
      <c r="L41" s="2478"/>
      <c r="M41" s="2472"/>
      <c r="N41" s="2475"/>
      <c r="O41" s="346"/>
      <c r="P41" s="121"/>
      <c r="Q41" s="347"/>
      <c r="R41" s="123" t="str">
        <f>IF(O41="","",CONCATENATE(O41," ",IF(R42=K41,IF(P42="X",N_res_MS,IF(Q41="","",CONCATENATE(N_res_Diff,Q41,"-",Q43))),"")))</f>
        <v/>
      </c>
      <c r="Z41" s="120"/>
      <c r="AA41" s="120"/>
      <c r="AB41" s="120"/>
      <c r="AC41" s="120"/>
      <c r="AD41" s="120"/>
      <c r="AE41" s="120"/>
      <c r="AF41" s="8"/>
      <c r="AG41" s="120"/>
      <c r="AH41" s="120"/>
      <c r="AI41" s="120"/>
      <c r="AJ41" s="120"/>
      <c r="AK41" s="120"/>
      <c r="AL41" s="120"/>
      <c r="AN41" s="2480"/>
      <c r="AO41" s="2474"/>
      <c r="AP41" s="2477"/>
      <c r="AQ41" s="122"/>
      <c r="AR41" s="127"/>
      <c r="AS41" s="403"/>
      <c r="AT41" s="404" t="str">
        <f>IF(AQ41="","",CONCATENATE(AQ41," ",IF(AT40=AM56,IF(AR40="X",N_res_MS,IF(AS41="","",CONCATENATE(N_res_Diff,AS41,"-",AS39))),"")))</f>
        <v/>
      </c>
    </row>
    <row r="42" spans="1:47" x14ac:dyDescent="0.2">
      <c r="A42" s="17" t="s">
        <v>856</v>
      </c>
      <c r="B42" s="124"/>
      <c r="C42" s="2480"/>
      <c r="D42" s="2474"/>
      <c r="E42" s="2477"/>
      <c r="F42" s="122"/>
      <c r="G42" s="125"/>
      <c r="H42" s="122"/>
      <c r="I42" s="123" t="str">
        <f>IF(F42="","",CONCATENATE(F42," ",IF(I41=B42,IF(G41="X",N_res_MS,IF(H42="","",CONCATENATE(N_res_Diff,H42,"-",H40))),"")))</f>
        <v/>
      </c>
      <c r="J42" s="120"/>
      <c r="K42" s="921"/>
      <c r="L42" s="2479"/>
      <c r="M42" s="2473"/>
      <c r="N42" s="2476"/>
      <c r="O42" s="917"/>
      <c r="P42" s="126"/>
      <c r="Q42" s="918"/>
      <c r="R42" s="129" t="str">
        <f>IF(O41="","",IF(O41&gt;O43,K41,IF(O41&lt;O43,K43,IF(Q41&gt;Q43,K41,IF(Q41&lt;Q43,K43,mess_erreur_marque)))))</f>
        <v/>
      </c>
      <c r="S42" s="119" t="str">
        <f>N_Heure</f>
        <v>Heure</v>
      </c>
      <c r="T42" s="119" t="str">
        <f>N_Table</f>
        <v>Table</v>
      </c>
      <c r="U42" s="119" t="str">
        <f>N_Arbitre</f>
        <v>Arbitre</v>
      </c>
      <c r="V42" s="119" t="str">
        <f>N_Buts</f>
        <v>Buts</v>
      </c>
      <c r="W42" s="119" t="str">
        <f>N_MS</f>
        <v>MS</v>
      </c>
      <c r="X42" s="119" t="str">
        <f>N_Diff</f>
        <v>Diff</v>
      </c>
      <c r="Z42" s="120"/>
      <c r="AA42" s="120"/>
      <c r="AB42" s="120"/>
      <c r="AC42" s="120"/>
      <c r="AD42" s="120"/>
      <c r="AE42" s="120"/>
      <c r="AF42" s="8"/>
      <c r="AG42" s="120"/>
      <c r="AH42" s="120"/>
      <c r="AI42" s="120"/>
      <c r="AJ42" s="120"/>
      <c r="AK42" s="120"/>
      <c r="AL42" s="120"/>
      <c r="AM42" s="120"/>
      <c r="AN42" s="130"/>
      <c r="AO42" s="120"/>
      <c r="AP42" s="120"/>
      <c r="AQ42" s="120"/>
      <c r="AR42" s="120"/>
      <c r="AS42" s="133"/>
      <c r="AT42" s="139"/>
    </row>
    <row r="43" spans="1:47" ht="13.5" thickBot="1" x14ac:dyDescent="0.25">
      <c r="A43" s="8"/>
      <c r="B43" s="8"/>
      <c r="C43" s="8"/>
      <c r="D43" s="8"/>
      <c r="E43" s="8"/>
      <c r="F43" s="8"/>
      <c r="G43" s="8"/>
      <c r="H43" s="8"/>
      <c r="I43" s="11"/>
      <c r="J43" s="120" t="s">
        <v>857</v>
      </c>
      <c r="K43" s="922"/>
      <c r="L43" s="2480"/>
      <c r="M43" s="2474"/>
      <c r="N43" s="2477"/>
      <c r="O43" s="348"/>
      <c r="P43" s="919"/>
      <c r="Q43" s="350"/>
      <c r="R43" s="123" t="str">
        <f>IF(O43="","",CONCATENATE(O43," ",IF(R42=K43,IF(P42="X",N_res_MS,IF(Q43="","",CONCATENATE(N_res_Diff,Q43,"-",Q41))),"")))</f>
        <v/>
      </c>
      <c r="S43" s="2478"/>
      <c r="T43" s="2472"/>
      <c r="U43" s="2475"/>
      <c r="V43" s="122"/>
      <c r="W43" s="127"/>
      <c r="X43" s="122"/>
      <c r="Y43" s="408" t="str">
        <f>IF(V43="","",CONCATENATE(V43," ",IF(Y44=R42,IF(W44="X",N_res_MS,IF(X43="","",CONCATENATE(N_res_Diff,X43,"-",X45))),"")))</f>
        <v/>
      </c>
      <c r="AF43" s="8"/>
      <c r="AG43" s="120"/>
      <c r="AH43" s="120"/>
      <c r="AI43" s="120"/>
      <c r="AJ43" s="120"/>
      <c r="AK43" s="120"/>
      <c r="AL43" s="120"/>
      <c r="AM43" s="120"/>
      <c r="AN43" s="130"/>
      <c r="AO43" s="120"/>
      <c r="AP43" s="120"/>
      <c r="AQ43" s="120"/>
      <c r="AR43" s="120"/>
      <c r="AS43" s="120"/>
      <c r="AT43" s="139"/>
    </row>
    <row r="44" spans="1:47" ht="13.5" thickBot="1" x14ac:dyDescent="0.25">
      <c r="A44" s="8"/>
      <c r="B44" s="8"/>
      <c r="C44" s="8"/>
      <c r="D44" s="8"/>
      <c r="E44" s="8"/>
      <c r="F44" s="8"/>
      <c r="G44" s="8"/>
      <c r="H44" s="8"/>
      <c r="I44" s="11"/>
      <c r="J44" s="120"/>
      <c r="K44" s="8"/>
      <c r="L44" s="119" t="str">
        <f>N_Heure</f>
        <v>Heure</v>
      </c>
      <c r="M44" s="119" t="str">
        <f>N_Table</f>
        <v>Table</v>
      </c>
      <c r="N44" s="119" t="str">
        <f>N_Arbitre</f>
        <v>Arbitre</v>
      </c>
      <c r="O44" s="914" t="str">
        <f>N_Buts</f>
        <v>Buts</v>
      </c>
      <c r="P44" s="915" t="str">
        <f>N_MS</f>
        <v>MS</v>
      </c>
      <c r="Q44" s="916" t="str">
        <f>N_Diff</f>
        <v>Diff</v>
      </c>
      <c r="S44" s="2479"/>
      <c r="T44" s="2473"/>
      <c r="U44" s="2476"/>
      <c r="V44" s="128"/>
      <c r="W44" s="126"/>
      <c r="X44" s="128"/>
      <c r="Y44" s="131" t="str">
        <f>IF(V43="","",IF(V43&gt;V45,R42,IF(V43&lt;V45,R46,IF(X43&gt;X45,R42,IF(X43&lt;X45,R46,mess_erreur_marque)))))</f>
        <v/>
      </c>
      <c r="AF44" s="8"/>
      <c r="AG44" s="120"/>
      <c r="AH44" s="120"/>
      <c r="AI44" s="120"/>
      <c r="AJ44" s="120"/>
      <c r="AK44" s="120"/>
      <c r="AL44" s="120"/>
      <c r="AM44" s="120"/>
      <c r="AN44" s="130"/>
      <c r="AO44" s="120"/>
      <c r="AP44" s="120"/>
      <c r="AQ44" s="120"/>
      <c r="AR44" s="120"/>
      <c r="AS44" s="120"/>
      <c r="AT44" s="139"/>
    </row>
    <row r="45" spans="1:47" x14ac:dyDescent="0.2">
      <c r="A45" s="8"/>
      <c r="B45" s="8"/>
      <c r="C45" s="8"/>
      <c r="D45" s="8"/>
      <c r="E45" s="8"/>
      <c r="F45" s="8"/>
      <c r="G45" s="8"/>
      <c r="H45" s="8"/>
      <c r="I45" s="11"/>
      <c r="J45" s="120" t="s">
        <v>858</v>
      </c>
      <c r="K45" s="920"/>
      <c r="L45" s="2478"/>
      <c r="M45" s="2472"/>
      <c r="N45" s="2475"/>
      <c r="O45" s="346"/>
      <c r="P45" s="121"/>
      <c r="Q45" s="347"/>
      <c r="R45" s="123" t="str">
        <f>IF(O45="","",CONCATENATE(O45," ",IF(R46=K45,IF(P46="X",N_res_MS,IF(Q45="","",CONCATENATE(N_res_Diff,Q45,"-",Q47))),"")))</f>
        <v/>
      </c>
      <c r="S45" s="2480"/>
      <c r="T45" s="2474"/>
      <c r="U45" s="2477"/>
      <c r="V45" s="122"/>
      <c r="W45" s="127"/>
      <c r="X45" s="122"/>
      <c r="Y45" s="405" t="str">
        <f>IF(V45="","",CONCATENATE(V45," ",IF(Y44=R46,IF(W44="X",N_res_MS,IF(X45="","",CONCATENATE(N_res_Diff,X45,"-",X43))),"")))</f>
        <v/>
      </c>
      <c r="AF45" s="409"/>
      <c r="AG45" s="120"/>
      <c r="AH45" s="120"/>
      <c r="AI45" s="120"/>
      <c r="AJ45" s="120"/>
      <c r="AK45" s="120"/>
      <c r="AL45" s="120"/>
      <c r="AM45" s="120"/>
      <c r="AN45" s="130"/>
      <c r="AO45" s="120"/>
      <c r="AP45" s="120"/>
      <c r="AQ45" s="120"/>
      <c r="AR45" s="120"/>
      <c r="AS45" s="120"/>
      <c r="AT45" s="139"/>
    </row>
    <row r="46" spans="1:47" x14ac:dyDescent="0.2">
      <c r="A46" s="8"/>
      <c r="B46" s="8"/>
      <c r="C46" s="8"/>
      <c r="D46" s="8"/>
      <c r="E46" s="8"/>
      <c r="F46" s="8"/>
      <c r="G46" s="8"/>
      <c r="H46" s="8"/>
      <c r="I46" s="11"/>
      <c r="J46" s="120"/>
      <c r="K46" s="921"/>
      <c r="L46" s="2479"/>
      <c r="M46" s="2473"/>
      <c r="N46" s="2476"/>
      <c r="O46" s="917"/>
      <c r="P46" s="126"/>
      <c r="Q46" s="918"/>
      <c r="R46" s="129" t="str">
        <f>IF(O45="","",IF(O45&gt;O47,K45,IF(O45&lt;O47,K47,IF(Q45&gt;Q47,K45,IF(Q45&lt;Q47,K47,mess_erreur_marque)))))</f>
        <v/>
      </c>
      <c r="S46" s="120"/>
      <c r="T46" s="120"/>
      <c r="U46" s="120"/>
      <c r="V46" s="120"/>
      <c r="W46" s="120"/>
      <c r="X46" s="120"/>
      <c r="Y46" s="11"/>
      <c r="Z46" s="119" t="str">
        <f>N_Heure</f>
        <v>Heure</v>
      </c>
      <c r="AA46" s="119" t="str">
        <f>N_Table</f>
        <v>Table</v>
      </c>
      <c r="AB46" s="119" t="str">
        <f>N_Arbitre</f>
        <v>Arbitre</v>
      </c>
      <c r="AC46" s="119" t="str">
        <f>N_Buts</f>
        <v>Buts</v>
      </c>
      <c r="AD46" s="119" t="str">
        <f>N_MS</f>
        <v>MS</v>
      </c>
      <c r="AE46" s="402" t="str">
        <f>N_Diff</f>
        <v>Diff</v>
      </c>
      <c r="AF46" s="409"/>
      <c r="AG46" s="120"/>
      <c r="AH46" s="120"/>
      <c r="AI46" s="120"/>
      <c r="AJ46" s="120"/>
      <c r="AK46" s="120"/>
      <c r="AL46" s="120"/>
      <c r="AM46" s="120"/>
      <c r="AN46" s="130"/>
      <c r="AO46" s="120"/>
      <c r="AP46" s="120"/>
      <c r="AQ46" s="120"/>
      <c r="AR46" s="120"/>
      <c r="AS46" s="120"/>
      <c r="AT46" s="139"/>
    </row>
    <row r="47" spans="1:47" ht="13.5" thickBot="1" x14ac:dyDescent="0.25">
      <c r="A47" s="8"/>
      <c r="B47" s="8"/>
      <c r="C47" s="8"/>
      <c r="D47" s="8"/>
      <c r="E47" s="8"/>
      <c r="F47" s="8"/>
      <c r="G47" s="8"/>
      <c r="H47" s="8"/>
      <c r="I47" s="11"/>
      <c r="J47" s="120" t="s">
        <v>859</v>
      </c>
      <c r="K47" s="922"/>
      <c r="L47" s="2480"/>
      <c r="M47" s="2474"/>
      <c r="N47" s="2477"/>
      <c r="O47" s="348"/>
      <c r="P47" s="919"/>
      <c r="Q47" s="350"/>
      <c r="R47" s="123" t="str">
        <f>IF(O47="","",CONCATENATE(O47," ",IF(R46=K47,IF(P46="X",N_res_MS,IF(Q47="","",CONCATENATE(N_res_Diff,Q47,"-",Q45))),"")))</f>
        <v/>
      </c>
      <c r="S47" s="120"/>
      <c r="T47" s="120"/>
      <c r="U47" s="120"/>
      <c r="V47" s="120"/>
      <c r="W47" s="120"/>
      <c r="X47" s="120"/>
      <c r="Y47" s="8"/>
      <c r="Z47" s="2478"/>
      <c r="AA47" s="2472"/>
      <c r="AB47" s="2475"/>
      <c r="AC47" s="122"/>
      <c r="AD47" s="127"/>
      <c r="AE47" s="403"/>
      <c r="AF47" s="408" t="str">
        <f>IF(AC47="","",CONCATENATE(AC47," ",IF(AF48=Y44,IF(AD48="X",N_res_MS,IF(AE47="","",CONCATENATE(N_res_Diff,AE47,"-",AE49))),"")))</f>
        <v/>
      </c>
      <c r="AM47" s="120"/>
      <c r="AN47" s="130"/>
      <c r="AO47" s="120"/>
      <c r="AP47" s="120"/>
      <c r="AQ47" s="120"/>
      <c r="AR47" s="120"/>
      <c r="AS47" s="120"/>
      <c r="AT47" s="139"/>
    </row>
    <row r="48" spans="1:47" ht="13.5" thickBot="1" x14ac:dyDescent="0.25">
      <c r="A48" s="8"/>
      <c r="B48" s="8"/>
      <c r="C48" s="8"/>
      <c r="D48" s="8"/>
      <c r="E48" s="8"/>
      <c r="F48" s="8"/>
      <c r="G48" s="8"/>
      <c r="H48" s="8"/>
      <c r="I48" s="11"/>
      <c r="J48" s="120"/>
      <c r="K48" s="8"/>
      <c r="L48" s="119" t="str">
        <f>N_Heure</f>
        <v>Heure</v>
      </c>
      <c r="M48" s="119" t="str">
        <f>N_Table</f>
        <v>Table</v>
      </c>
      <c r="N48" s="119" t="str">
        <f>N_Arbitre</f>
        <v>Arbitre</v>
      </c>
      <c r="O48" s="914" t="str">
        <f>N_Buts</f>
        <v>Buts</v>
      </c>
      <c r="P48" s="915" t="str">
        <f>N_MS</f>
        <v>MS</v>
      </c>
      <c r="Q48" s="916" t="str">
        <f>N_Diff</f>
        <v>Diff</v>
      </c>
      <c r="S48" s="120"/>
      <c r="T48" s="120"/>
      <c r="U48" s="120"/>
      <c r="V48" s="120"/>
      <c r="W48" s="120"/>
      <c r="X48" s="120"/>
      <c r="Y48" s="8"/>
      <c r="Z48" s="2479"/>
      <c r="AA48" s="2473"/>
      <c r="AB48" s="2476"/>
      <c r="AC48" s="132"/>
      <c r="AD48" s="126"/>
      <c r="AE48" s="132"/>
      <c r="AF48" s="134" t="str">
        <f>IF(AC47="","",IF(AC47&gt;AC49,Y44,IF(AC47&lt;AC49,Y52,IF(AE47&gt;AE49,Y44,IF(AE47&lt;AE49,Y52,mess_erreur_marque)))))</f>
        <v/>
      </c>
      <c r="AG48" s="120"/>
      <c r="AH48" s="120"/>
      <c r="AI48" s="120"/>
      <c r="AJ48" s="120"/>
      <c r="AK48" s="120"/>
      <c r="AL48" s="120"/>
      <c r="AM48" s="120"/>
      <c r="AN48" s="130"/>
      <c r="AO48" s="120"/>
      <c r="AP48" s="120"/>
      <c r="AQ48" s="120"/>
      <c r="AR48" s="120"/>
      <c r="AS48" s="120"/>
      <c r="AT48" s="139"/>
    </row>
    <row r="49" spans="1:46" x14ac:dyDescent="0.2">
      <c r="A49" s="8"/>
      <c r="B49" s="8"/>
      <c r="C49" s="8"/>
      <c r="D49" s="8"/>
      <c r="E49" s="8"/>
      <c r="F49" s="8"/>
      <c r="G49" s="8"/>
      <c r="H49" s="8"/>
      <c r="I49" s="11"/>
      <c r="J49" s="120" t="s">
        <v>860</v>
      </c>
      <c r="K49" s="920"/>
      <c r="L49" s="2478"/>
      <c r="M49" s="2472"/>
      <c r="N49" s="2475"/>
      <c r="O49" s="346"/>
      <c r="P49" s="121"/>
      <c r="Q49" s="347"/>
      <c r="R49" s="123" t="str">
        <f>IF(O49="","",CONCATENATE(O49," ",IF(R50=K49,IF(P50="X",N_res_MS,IF(Q49="","",CONCATENATE(N_res_Diff,Q49,"-",Q51))),"")))</f>
        <v/>
      </c>
      <c r="Z49" s="2480"/>
      <c r="AA49" s="2474"/>
      <c r="AB49" s="2477"/>
      <c r="AC49" s="122"/>
      <c r="AD49" s="127"/>
      <c r="AE49" s="403"/>
      <c r="AF49" s="411" t="str">
        <f>IF(AC49="","",CONCATENATE(AC49," ",IF(AF48=Y52,IF(AD48="X",N_res_MS,IF(AE49="","",CONCATENATE(N_res_Diff,AE49,"-",AE47))),"")))</f>
        <v/>
      </c>
      <c r="AG49" s="120"/>
      <c r="AH49" s="120"/>
      <c r="AI49" s="120"/>
      <c r="AJ49" s="120"/>
      <c r="AK49" s="120"/>
      <c r="AL49" s="120"/>
      <c r="AM49" s="130"/>
      <c r="AN49" s="130"/>
      <c r="AO49" s="120"/>
      <c r="AP49" s="120"/>
      <c r="AQ49" s="120"/>
      <c r="AR49" s="120"/>
      <c r="AS49" s="120"/>
      <c r="AT49" s="139"/>
    </row>
    <row r="50" spans="1:46" x14ac:dyDescent="0.2">
      <c r="A50" s="8"/>
      <c r="B50" s="8"/>
      <c r="C50" s="8"/>
      <c r="D50" s="8"/>
      <c r="E50" s="8"/>
      <c r="F50" s="8"/>
      <c r="G50" s="8"/>
      <c r="H50" s="8"/>
      <c r="I50" s="11"/>
      <c r="J50" s="120"/>
      <c r="K50" s="921"/>
      <c r="L50" s="2479"/>
      <c r="M50" s="2473"/>
      <c r="N50" s="2476"/>
      <c r="O50" s="917"/>
      <c r="P50" s="126"/>
      <c r="Q50" s="918"/>
      <c r="R50" s="129" t="str">
        <f>IF(O49="","",IF(O49&gt;O51,K49,IF(O49&lt;O51,K51,IF(Q49&gt;Q51,K49,IF(Q49&lt;Q51,K51,mess_erreur_marque)))))</f>
        <v/>
      </c>
      <c r="S50" s="119" t="str">
        <f>N_Heure</f>
        <v>Heure</v>
      </c>
      <c r="T50" s="119" t="str">
        <f>N_Table</f>
        <v>Table</v>
      </c>
      <c r="U50" s="119" t="str">
        <f>N_Arbitre</f>
        <v>Arbitre</v>
      </c>
      <c r="V50" s="119" t="str">
        <f>N_Buts</f>
        <v>Buts</v>
      </c>
      <c r="W50" s="119" t="str">
        <f>N_MS</f>
        <v>MS</v>
      </c>
      <c r="X50" s="119" t="str">
        <f>N_Diff</f>
        <v>Diff</v>
      </c>
      <c r="Z50" s="120"/>
      <c r="AA50" s="120"/>
      <c r="AB50" s="133"/>
      <c r="AC50" s="133"/>
      <c r="AD50" s="133"/>
      <c r="AE50" s="133"/>
      <c r="AF50" s="409"/>
      <c r="AG50" s="120"/>
      <c r="AH50" s="120"/>
      <c r="AI50" s="120"/>
      <c r="AJ50" s="120"/>
      <c r="AK50" s="120"/>
      <c r="AL50" s="120"/>
      <c r="AM50" s="130"/>
      <c r="AN50" s="130"/>
      <c r="AO50" s="120"/>
      <c r="AP50" s="120"/>
      <c r="AQ50" s="120"/>
      <c r="AR50" s="120"/>
      <c r="AS50" s="120"/>
      <c r="AT50" s="139"/>
    </row>
    <row r="51" spans="1:46" ht="13.5" thickBot="1" x14ac:dyDescent="0.25">
      <c r="A51" s="8"/>
      <c r="B51" s="8"/>
      <c r="C51" s="119" t="str">
        <f>N_Heure</f>
        <v>Heure</v>
      </c>
      <c r="D51" s="119" t="str">
        <f>N_Table</f>
        <v>Table</v>
      </c>
      <c r="E51" s="119" t="str">
        <f>N_Arbitre</f>
        <v>Arbitre</v>
      </c>
      <c r="F51" s="119" t="str">
        <f>N_Buts</f>
        <v>Buts</v>
      </c>
      <c r="G51" s="119" t="str">
        <f>N_MS</f>
        <v>MS</v>
      </c>
      <c r="H51" s="119" t="str">
        <f>N_Diff</f>
        <v>Diff</v>
      </c>
      <c r="J51" s="120" t="s">
        <v>861</v>
      </c>
      <c r="K51" s="922"/>
      <c r="L51" s="2480"/>
      <c r="M51" s="2474"/>
      <c r="N51" s="2477"/>
      <c r="O51" s="348"/>
      <c r="P51" s="919"/>
      <c r="Q51" s="350"/>
      <c r="R51" s="123" t="str">
        <f>IF(O51="","",CONCATENATE(O51," ",IF(R50=K51,IF(P50="X",N_res_MS,IF(Q51="","",CONCATENATE(N_res_Diff,Q51,"-",Q49))),"")))</f>
        <v/>
      </c>
      <c r="S51" s="2478"/>
      <c r="T51" s="2472"/>
      <c r="U51" s="2475"/>
      <c r="V51" s="122"/>
      <c r="W51" s="127"/>
      <c r="X51" s="122"/>
      <c r="Y51" s="408" t="str">
        <f>IF(V51="","",CONCATENATE(V51," ",IF(Y52=R50,IF(W52="X",N_res_MS,IF(X51="","",CONCATENATE(N_res_Diff,X51,"-",X53))),"")))</f>
        <v/>
      </c>
      <c r="Z51" s="120"/>
      <c r="AA51" s="120"/>
      <c r="AB51" s="120"/>
      <c r="AC51" s="120"/>
      <c r="AD51" s="120"/>
      <c r="AE51" s="120"/>
      <c r="AF51" s="409"/>
      <c r="AG51" s="120"/>
      <c r="AH51" s="120"/>
      <c r="AI51" s="120"/>
      <c r="AJ51" s="120"/>
      <c r="AK51" s="120"/>
      <c r="AL51" s="120"/>
      <c r="AM51" s="130"/>
      <c r="AN51" s="130"/>
      <c r="AO51" s="120"/>
      <c r="AP51" s="120"/>
      <c r="AQ51" s="120"/>
      <c r="AR51" s="120"/>
      <c r="AS51" s="120"/>
      <c r="AT51" s="139"/>
    </row>
    <row r="52" spans="1:46" ht="13.5" thickBot="1" x14ac:dyDescent="0.25">
      <c r="A52" s="8" t="s">
        <v>862</v>
      </c>
      <c r="B52" s="124"/>
      <c r="C52" s="2478"/>
      <c r="D52" s="2472"/>
      <c r="E52" s="2475"/>
      <c r="F52" s="122"/>
      <c r="G52" s="125"/>
      <c r="H52" s="122"/>
      <c r="I52" s="262" t="str">
        <f>IF(F52="","",CONCATENATE(F52," ",IF(I53=B52,IF(G53="X",N_res_MS,IF(H52="","",CONCATENATE(N_res_Diff,H52,"-",H54))),"")))</f>
        <v/>
      </c>
      <c r="J52" s="120"/>
      <c r="K52" s="8"/>
      <c r="L52" s="119" t="str">
        <f>N_Heure</f>
        <v>Heure</v>
      </c>
      <c r="M52" s="119" t="str">
        <f>N_Table</f>
        <v>Table</v>
      </c>
      <c r="N52" s="119" t="str">
        <f>N_Arbitre</f>
        <v>Arbitre</v>
      </c>
      <c r="O52" s="914" t="str">
        <f>N_Buts</f>
        <v>Buts</v>
      </c>
      <c r="P52" s="915" t="str">
        <f>N_MS</f>
        <v>MS</v>
      </c>
      <c r="Q52" s="916" t="str">
        <f>N_Diff</f>
        <v>Diff</v>
      </c>
      <c r="S52" s="2479"/>
      <c r="T52" s="2473"/>
      <c r="U52" s="2476"/>
      <c r="V52" s="128"/>
      <c r="W52" s="126"/>
      <c r="X52" s="128"/>
      <c r="Y52" s="131" t="str">
        <f>IF(V51="","",IF(V51&gt;V53,R50,IF(V51&lt;V53,R54,IF(X51&gt;X53,R50,IF(X51&lt;X53,R54,mess_erreur_marque)))))</f>
        <v/>
      </c>
      <c r="Z52" s="120"/>
      <c r="AA52" s="120"/>
      <c r="AB52" s="120"/>
      <c r="AC52" s="120"/>
      <c r="AD52" s="120"/>
      <c r="AE52" s="120"/>
      <c r="AF52" s="8"/>
      <c r="AG52" s="120"/>
      <c r="AH52" s="120"/>
      <c r="AI52" s="120"/>
      <c r="AJ52" s="120"/>
      <c r="AK52" s="120"/>
      <c r="AL52" s="120"/>
      <c r="AM52" s="130"/>
      <c r="AN52" s="130"/>
      <c r="AO52" s="120"/>
      <c r="AP52" s="120"/>
      <c r="AQ52" s="120"/>
      <c r="AR52" s="120"/>
      <c r="AS52" s="120"/>
      <c r="AT52" s="139"/>
    </row>
    <row r="53" spans="1:46" x14ac:dyDescent="0.2">
      <c r="A53" s="8"/>
      <c r="B53" s="8"/>
      <c r="C53" s="2479"/>
      <c r="D53" s="2473"/>
      <c r="E53" s="2476"/>
      <c r="F53" s="124"/>
      <c r="G53" s="126"/>
      <c r="H53" s="124"/>
      <c r="I53" s="124" t="str">
        <f>IF(F52="","",IF(F52&gt;F54,B52,IF(F52&lt;F54,B54,IF(H52&gt;H54,B52,IF(H52&lt;H54,B54,mess_erreur_marque)))))</f>
        <v/>
      </c>
      <c r="J53" s="120" t="s">
        <v>862</v>
      </c>
      <c r="K53" s="920" t="str">
        <f>IF(I53="","",I53)</f>
        <v/>
      </c>
      <c r="L53" s="2478"/>
      <c r="M53" s="2472"/>
      <c r="N53" s="2475"/>
      <c r="O53" s="346"/>
      <c r="P53" s="121"/>
      <c r="Q53" s="347"/>
      <c r="R53" s="123" t="str">
        <f>IF(O53="","",CONCATENATE(O53," ",IF(R54=K53,IF(P54="X",N_res_MS,IF(Q53="","",CONCATENATE(N_res_Diff,Q53,"-",Q55))),"")))</f>
        <v/>
      </c>
      <c r="S53" s="2480"/>
      <c r="T53" s="2474"/>
      <c r="U53" s="2477"/>
      <c r="V53" s="122"/>
      <c r="W53" s="127"/>
      <c r="X53" s="122"/>
      <c r="Y53" s="405" t="str">
        <f>IF(V53="","",CONCATENATE(V53," ",IF(Y52=R54,IF(W52="X",N_res_MS,IF(X53="","",CONCATENATE(N_res_Diff,X53,"-",X51))),"")))</f>
        <v/>
      </c>
      <c r="Z53" s="120"/>
      <c r="AA53" s="120"/>
      <c r="AB53" s="120"/>
      <c r="AC53" s="120"/>
      <c r="AD53" s="120"/>
      <c r="AE53" s="120"/>
      <c r="AF53" s="8"/>
      <c r="AG53" s="120"/>
      <c r="AH53" s="120"/>
      <c r="AI53" s="120"/>
      <c r="AJ53" s="120"/>
      <c r="AK53" s="120"/>
      <c r="AL53" s="120"/>
      <c r="AM53" s="130"/>
      <c r="AN53" s="130"/>
      <c r="AO53" s="120"/>
      <c r="AP53" s="120"/>
      <c r="AQ53" s="120"/>
      <c r="AR53" s="120"/>
      <c r="AS53" s="120"/>
      <c r="AT53" s="139"/>
    </row>
    <row r="54" spans="1:46" x14ac:dyDescent="0.2">
      <c r="A54" s="17" t="s">
        <v>863</v>
      </c>
      <c r="B54" s="124"/>
      <c r="C54" s="2480"/>
      <c r="D54" s="2474"/>
      <c r="E54" s="2477"/>
      <c r="F54" s="122"/>
      <c r="G54" s="125"/>
      <c r="H54" s="122"/>
      <c r="I54" s="123" t="str">
        <f>IF(F54="","",CONCATENATE(F54," ",IF(I53=B54,IF(G53="X",N_res_MS,IF(H54="","",CONCATENATE(N_res_Diff,H54,"-",H52))),"")))</f>
        <v/>
      </c>
      <c r="J54" s="120"/>
      <c r="K54" s="921"/>
      <c r="L54" s="2479"/>
      <c r="M54" s="2473"/>
      <c r="N54" s="2476"/>
      <c r="O54" s="917"/>
      <c r="P54" s="126"/>
      <c r="Q54" s="918"/>
      <c r="R54" s="129" t="str">
        <f>IF(O53="","",IF(O53&gt;O55,K53,IF(O53&lt;O55,K55,IF(Q53&gt;Q55,K53,IF(Q53&lt;Q55,K55,mess_erreur_marque)))))</f>
        <v/>
      </c>
      <c r="S54" s="120"/>
      <c r="T54" s="120"/>
      <c r="U54" s="120"/>
      <c r="V54" s="120"/>
      <c r="W54" s="120"/>
      <c r="X54" s="120"/>
      <c r="Y54" s="8"/>
      <c r="Z54" s="120"/>
      <c r="AA54" s="120"/>
      <c r="AB54" s="120"/>
      <c r="AC54" s="120"/>
      <c r="AD54" s="120"/>
      <c r="AE54" s="120"/>
      <c r="AF54" s="8"/>
      <c r="AG54" s="119" t="str">
        <f>N_Heure</f>
        <v>Heure</v>
      </c>
      <c r="AH54" s="119" t="str">
        <f>N_Table</f>
        <v>Table</v>
      </c>
      <c r="AI54" s="119" t="str">
        <f>N_Arbitre</f>
        <v>Arbitre</v>
      </c>
      <c r="AJ54" s="119" t="str">
        <f>N_Buts</f>
        <v>Buts</v>
      </c>
      <c r="AK54" s="119" t="str">
        <f>N_MS</f>
        <v>MS</v>
      </c>
      <c r="AL54" s="402" t="str">
        <f>N_Diff</f>
        <v>Diff</v>
      </c>
      <c r="AM54" s="130"/>
      <c r="AN54" s="130"/>
      <c r="AO54" s="120"/>
      <c r="AP54" s="120"/>
      <c r="AQ54" s="120"/>
      <c r="AR54" s="120"/>
      <c r="AS54" s="120"/>
      <c r="AT54" s="139"/>
    </row>
    <row r="55" spans="1:46" ht="13.5" thickBot="1" x14ac:dyDescent="0.25">
      <c r="A55" s="8"/>
      <c r="B55" s="8"/>
      <c r="C55" s="8"/>
      <c r="D55" s="8"/>
      <c r="E55" s="8"/>
      <c r="F55" s="8"/>
      <c r="G55" s="8"/>
      <c r="H55" s="8"/>
      <c r="I55" s="11"/>
      <c r="J55" s="120" t="s">
        <v>864</v>
      </c>
      <c r="K55" s="922"/>
      <c r="L55" s="2480"/>
      <c r="M55" s="2474"/>
      <c r="N55" s="2477"/>
      <c r="O55" s="348"/>
      <c r="P55" s="919"/>
      <c r="Q55" s="350"/>
      <c r="R55" s="123" t="str">
        <f>IF(O55="","",CONCATENATE(O55," ",IF(R54=K55,IF(P54="X",N_res_MS,IF(Q55="","",CONCATENATE(N_res_Diff,Q55,"-",Q53))),"")))</f>
        <v/>
      </c>
      <c r="S55" s="120"/>
      <c r="T55" s="120"/>
      <c r="U55" s="120"/>
      <c r="V55" s="120"/>
      <c r="W55" s="120"/>
      <c r="X55" s="120"/>
      <c r="Y55" s="8"/>
      <c r="Z55" s="120"/>
      <c r="AA55" s="120"/>
      <c r="AB55" s="120"/>
      <c r="AC55" s="120"/>
      <c r="AD55" s="120"/>
      <c r="AE55" s="120"/>
      <c r="AF55" s="8"/>
      <c r="AG55" s="2478"/>
      <c r="AH55" s="2472"/>
      <c r="AI55" s="2475"/>
      <c r="AJ55" s="122"/>
      <c r="AK55" s="127"/>
      <c r="AL55" s="403"/>
      <c r="AM55" s="408" t="str">
        <f>IF(AJ55="","",CONCATENATE(AJ55," ",IF(AM56=AF48,IF(AK56="X",N_res_MS,IF(AL55="","",CONCATENATE(N_res_Diff,AL55,"-",AL57))),"")))</f>
        <v/>
      </c>
      <c r="AN55" s="130"/>
      <c r="AO55" s="120"/>
      <c r="AP55" s="120"/>
      <c r="AQ55" s="120"/>
      <c r="AR55" s="120"/>
      <c r="AS55" s="120"/>
    </row>
    <row r="56" spans="1:46" ht="13.5" thickBot="1" x14ac:dyDescent="0.25">
      <c r="A56" s="8"/>
      <c r="B56" s="8"/>
      <c r="C56" s="8"/>
      <c r="D56" s="8"/>
      <c r="E56" s="8"/>
      <c r="F56" s="8"/>
      <c r="G56" s="8"/>
      <c r="H56" s="8"/>
      <c r="I56" s="11"/>
      <c r="J56" s="120"/>
      <c r="K56" s="8"/>
      <c r="L56" s="119" t="str">
        <f>N_Heure</f>
        <v>Heure</v>
      </c>
      <c r="M56" s="119" t="str">
        <f>N_Table</f>
        <v>Table</v>
      </c>
      <c r="N56" s="119" t="str">
        <f>N_Arbitre</f>
        <v>Arbitre</v>
      </c>
      <c r="O56" s="914" t="str">
        <f>N_Buts</f>
        <v>Buts</v>
      </c>
      <c r="P56" s="915" t="str">
        <f>N_MS</f>
        <v>MS</v>
      </c>
      <c r="Q56" s="916" t="str">
        <f>N_Diff</f>
        <v>Diff</v>
      </c>
      <c r="S56" s="120"/>
      <c r="T56" s="120"/>
      <c r="U56" s="120"/>
      <c r="V56" s="120"/>
      <c r="W56" s="120"/>
      <c r="X56" s="120"/>
      <c r="Y56" s="8"/>
      <c r="Z56" s="120"/>
      <c r="AA56" s="120"/>
      <c r="AB56" s="120"/>
      <c r="AC56" s="120"/>
      <c r="AD56" s="120"/>
      <c r="AE56" s="120"/>
      <c r="AF56" s="8"/>
      <c r="AG56" s="2479"/>
      <c r="AH56" s="2473"/>
      <c r="AI56" s="2476"/>
      <c r="AJ56" s="135"/>
      <c r="AK56" s="126"/>
      <c r="AL56" s="135"/>
      <c r="AM56" s="136" t="str">
        <f>IF(AJ55="","",IF(AJ55&gt;AJ57,AF48,IF(AJ55&lt;AJ57,AF64,IF(AL55&gt;AL57,AF48,IF(AL55&lt;AL57,AF64,mess_erreur_marque)))))</f>
        <v/>
      </c>
      <c r="AN56" s="120"/>
      <c r="AO56" s="120"/>
      <c r="AP56" s="120"/>
      <c r="AQ56" s="120"/>
      <c r="AR56" s="120"/>
      <c r="AS56" s="120"/>
    </row>
    <row r="57" spans="1:46" x14ac:dyDescent="0.2">
      <c r="A57" s="8"/>
      <c r="B57" s="8"/>
      <c r="C57" s="8"/>
      <c r="D57" s="8"/>
      <c r="E57" s="8"/>
      <c r="F57" s="8"/>
      <c r="G57" s="8"/>
      <c r="H57" s="8"/>
      <c r="I57" s="11"/>
      <c r="J57" s="120" t="s">
        <v>865</v>
      </c>
      <c r="K57" s="920"/>
      <c r="L57" s="2478"/>
      <c r="M57" s="2472"/>
      <c r="N57" s="2475"/>
      <c r="O57" s="346"/>
      <c r="P57" s="121"/>
      <c r="Q57" s="347"/>
      <c r="R57" s="123" t="str">
        <f>IF(O57="","",CONCATENATE(O57," ",IF(R58=K57,IF(P58="X",N_res_MS,IF(Q57="","",CONCATENATE(N_res_Diff,Q57,"-",Q59))),"")))</f>
        <v/>
      </c>
      <c r="Z57" s="120"/>
      <c r="AA57" s="120"/>
      <c r="AB57" s="120"/>
      <c r="AC57" s="120"/>
      <c r="AD57" s="120"/>
      <c r="AE57" s="120"/>
      <c r="AF57" s="8"/>
      <c r="AG57" s="2480"/>
      <c r="AH57" s="2474"/>
      <c r="AI57" s="2477"/>
      <c r="AJ57" s="122"/>
      <c r="AK57" s="127"/>
      <c r="AL57" s="403"/>
      <c r="AM57" s="411" t="str">
        <f>IF(AJ57="","",CONCATENATE(AJ57," ",IF(AM56=AF64,IF(AK56="X",N_res_MS,IF(AL57="","",CONCATENATE(N_res_Diff,AL57,"-",AL55))),"")))</f>
        <v/>
      </c>
      <c r="AN57" s="120"/>
      <c r="AO57" s="120"/>
      <c r="AP57" s="120"/>
      <c r="AQ57" s="120"/>
      <c r="AR57" s="120"/>
      <c r="AS57" s="120"/>
    </row>
    <row r="58" spans="1:46" x14ac:dyDescent="0.2">
      <c r="A58" s="8"/>
      <c r="B58" s="8"/>
      <c r="C58" s="8"/>
      <c r="D58" s="8"/>
      <c r="E58" s="8"/>
      <c r="F58" s="8"/>
      <c r="G58" s="8"/>
      <c r="H58" s="8"/>
      <c r="I58" s="11"/>
      <c r="J58" s="120"/>
      <c r="K58" s="921"/>
      <c r="L58" s="2479"/>
      <c r="M58" s="2473"/>
      <c r="N58" s="2476"/>
      <c r="O58" s="917"/>
      <c r="P58" s="126"/>
      <c r="Q58" s="918"/>
      <c r="R58" s="129" t="str">
        <f>IF(O57="","",IF(O57&gt;O59,K57,IF(O57&lt;O59,K59,IF(Q57&gt;Q59,K57,IF(Q57&lt;Q59,K59,mess_erreur_marque)))))</f>
        <v/>
      </c>
      <c r="S58" s="119" t="str">
        <f>N_Heure</f>
        <v>Heure</v>
      </c>
      <c r="T58" s="119" t="str">
        <f>N_Table</f>
        <v>Table</v>
      </c>
      <c r="U58" s="119" t="str">
        <f>N_Arbitre</f>
        <v>Arbitre</v>
      </c>
      <c r="V58" s="119" t="str">
        <f>N_Buts</f>
        <v>Buts</v>
      </c>
      <c r="W58" s="119" t="str">
        <f>N_MS</f>
        <v>MS</v>
      </c>
      <c r="X58" s="119" t="str">
        <f>N_Diff</f>
        <v>Diff</v>
      </c>
      <c r="Z58" s="120"/>
      <c r="AA58" s="120"/>
      <c r="AB58" s="120"/>
      <c r="AC58" s="120"/>
      <c r="AD58" s="120"/>
      <c r="AE58" s="120"/>
      <c r="AF58" s="8"/>
      <c r="AG58" s="120"/>
      <c r="AH58" s="120"/>
      <c r="AI58" s="120"/>
      <c r="AJ58" s="120"/>
      <c r="AK58" s="120"/>
      <c r="AL58" s="133"/>
      <c r="AM58" s="130"/>
      <c r="AN58" s="120"/>
      <c r="AO58" s="120"/>
      <c r="AP58" s="120"/>
      <c r="AQ58" s="120"/>
      <c r="AR58" s="120"/>
      <c r="AS58" s="120"/>
    </row>
    <row r="59" spans="1:46" ht="13.5" thickBot="1" x14ac:dyDescent="0.25">
      <c r="A59" s="8"/>
      <c r="B59" s="8"/>
      <c r="C59" s="119" t="str">
        <f>N_Heure</f>
        <v>Heure</v>
      </c>
      <c r="D59" s="119" t="str">
        <f>N_Table</f>
        <v>Table</v>
      </c>
      <c r="E59" s="119" t="str">
        <f>N_Arbitre</f>
        <v>Arbitre</v>
      </c>
      <c r="F59" s="119" t="str">
        <f>N_Buts</f>
        <v>Buts</v>
      </c>
      <c r="G59" s="119" t="str">
        <f>N_MS</f>
        <v>MS</v>
      </c>
      <c r="H59" s="119" t="str">
        <f>N_Diff</f>
        <v>Diff</v>
      </c>
      <c r="J59" s="120" t="s">
        <v>866</v>
      </c>
      <c r="K59" s="922"/>
      <c r="L59" s="2480"/>
      <c r="M59" s="2474"/>
      <c r="N59" s="2477"/>
      <c r="O59" s="348"/>
      <c r="P59" s="919"/>
      <c r="Q59" s="350"/>
      <c r="R59" s="123" t="str">
        <f>IF(O59="","",CONCATENATE(O59," ",IF(R58=K59,IF(P58="X",N_res_MS,IF(Q59="","",CONCATENATE(N_res_Diff,Q59,"-",Q57))),"")))</f>
        <v/>
      </c>
      <c r="S59" s="2478"/>
      <c r="T59" s="2472"/>
      <c r="U59" s="2475"/>
      <c r="V59" s="122"/>
      <c r="W59" s="127"/>
      <c r="X59" s="122"/>
      <c r="Y59" s="408" t="str">
        <f>IF(V59="","",CONCATENATE(V59," ",IF(Y60=R58,IF(W60="X",N_res_MS,IF(X59="","",CONCATENATE(N_res_Diff,X59,"-",X61))),"")))</f>
        <v/>
      </c>
      <c r="AF59" s="8"/>
      <c r="AG59" s="120"/>
      <c r="AH59" s="120"/>
      <c r="AI59" s="120"/>
      <c r="AJ59" s="120"/>
      <c r="AK59" s="120"/>
      <c r="AL59" s="120"/>
      <c r="AM59" s="130"/>
      <c r="AN59" s="120"/>
      <c r="AO59" s="120"/>
      <c r="AP59" s="120"/>
      <c r="AQ59" s="120"/>
      <c r="AR59" s="120"/>
      <c r="AS59" s="120"/>
    </row>
    <row r="60" spans="1:46" ht="13.5" thickBot="1" x14ac:dyDescent="0.25">
      <c r="A60" s="8" t="s">
        <v>867</v>
      </c>
      <c r="B60" s="124"/>
      <c r="C60" s="2478"/>
      <c r="D60" s="2472"/>
      <c r="E60" s="2475"/>
      <c r="F60" s="122"/>
      <c r="G60" s="125"/>
      <c r="H60" s="122"/>
      <c r="I60" s="262" t="str">
        <f>IF(F60="","",CONCATENATE(F60," ",IF(I61=B60,IF(G61="X",N_res_MS,IF(H60="","",CONCATENATE(N_res_Diff,H60,"-",H62))),"")))</f>
        <v/>
      </c>
      <c r="J60" s="120"/>
      <c r="K60" s="8"/>
      <c r="L60" s="119" t="str">
        <f>N_Heure</f>
        <v>Heure</v>
      </c>
      <c r="M60" s="119" t="str">
        <f>N_Table</f>
        <v>Table</v>
      </c>
      <c r="N60" s="119" t="str">
        <f>N_Arbitre</f>
        <v>Arbitre</v>
      </c>
      <c r="O60" s="914" t="str">
        <f>N_Buts</f>
        <v>Buts</v>
      </c>
      <c r="P60" s="915" t="str">
        <f>N_MS</f>
        <v>MS</v>
      </c>
      <c r="Q60" s="916" t="str">
        <f>N_Diff</f>
        <v>Diff</v>
      </c>
      <c r="S60" s="2479"/>
      <c r="T60" s="2473"/>
      <c r="U60" s="2476"/>
      <c r="V60" s="128"/>
      <c r="W60" s="126"/>
      <c r="X60" s="128"/>
      <c r="Y60" s="131" t="str">
        <f>IF(V59="","",IF(V59&gt;V61,R58,IF(V59&lt;V61,R62,IF(X59&gt;X61,R58,IF(X59&lt;X61,R62,mess_erreur_marque)))))</f>
        <v/>
      </c>
      <c r="AF60" s="8"/>
      <c r="AG60" s="120"/>
      <c r="AH60" s="120"/>
      <c r="AI60" s="120"/>
      <c r="AJ60" s="120"/>
      <c r="AK60" s="120"/>
      <c r="AL60" s="120"/>
      <c r="AM60" s="130"/>
      <c r="AN60" s="120"/>
      <c r="AO60" s="120"/>
      <c r="AP60" s="120"/>
      <c r="AQ60" s="120"/>
      <c r="AR60" s="120"/>
      <c r="AS60" s="120"/>
    </row>
    <row r="61" spans="1:46" x14ac:dyDescent="0.2">
      <c r="A61" s="8"/>
      <c r="B61" s="8"/>
      <c r="C61" s="2479"/>
      <c r="D61" s="2473"/>
      <c r="E61" s="2476"/>
      <c r="F61" s="124"/>
      <c r="G61" s="126"/>
      <c r="H61" s="124"/>
      <c r="I61" s="124" t="str">
        <f>IF(F60="","",IF(F60&gt;F62,B60,IF(F60&lt;F62,B62,IF(H60&gt;H62,B60,IF(H60&lt;H62,B62,mess_erreur_marque)))))</f>
        <v/>
      </c>
      <c r="J61" s="120" t="s">
        <v>867</v>
      </c>
      <c r="K61" s="920" t="str">
        <f>IF(I61="","",I61)</f>
        <v/>
      </c>
      <c r="L61" s="2478"/>
      <c r="M61" s="2472"/>
      <c r="N61" s="2475"/>
      <c r="O61" s="346"/>
      <c r="P61" s="121"/>
      <c r="Q61" s="347"/>
      <c r="R61" s="123" t="str">
        <f>IF(O61="","",CONCATENATE(O61," ",IF(R62=K61,IF(P62="X",N_res_MS,IF(Q61="","",CONCATENATE(N_res_Diff,Q61,"-",Q63))),"")))</f>
        <v/>
      </c>
      <c r="S61" s="2480"/>
      <c r="T61" s="2474"/>
      <c r="U61" s="2477"/>
      <c r="V61" s="122"/>
      <c r="W61" s="127"/>
      <c r="X61" s="122"/>
      <c r="Y61" s="405" t="str">
        <f>IF(V61="","",CONCATENATE(V61," ",IF(Y60=R62,IF(W60="X",N_res_MS,IF(X61="","",CONCATENATE(N_res_Diff,X61,"-",X59))),"")))</f>
        <v/>
      </c>
      <c r="AF61" s="409"/>
      <c r="AG61" s="120"/>
      <c r="AH61" s="120"/>
      <c r="AI61" s="120"/>
      <c r="AJ61" s="120"/>
      <c r="AK61" s="120"/>
      <c r="AL61" s="120"/>
      <c r="AM61" s="130"/>
      <c r="AN61" s="120"/>
      <c r="AO61" s="120"/>
      <c r="AP61" s="120"/>
      <c r="AQ61" s="120"/>
      <c r="AR61" s="120"/>
      <c r="AS61" s="120"/>
    </row>
    <row r="62" spans="1:46" x14ac:dyDescent="0.2">
      <c r="A62" s="17" t="s">
        <v>868</v>
      </c>
      <c r="B62" s="124"/>
      <c r="C62" s="2480"/>
      <c r="D62" s="2474"/>
      <c r="E62" s="2477"/>
      <c r="F62" s="122"/>
      <c r="G62" s="125"/>
      <c r="H62" s="122"/>
      <c r="I62" s="123" t="str">
        <f>IF(F62="","",CONCATENATE(F62," ",IF(I61=B62,IF(G61="X",N_res_MS,IF(H62="","",CONCATENATE(N_res_Diff,H62,"-",H60))),"")))</f>
        <v/>
      </c>
      <c r="J62" s="120"/>
      <c r="K62" s="921"/>
      <c r="L62" s="2479"/>
      <c r="M62" s="2473"/>
      <c r="N62" s="2476"/>
      <c r="O62" s="917"/>
      <c r="P62" s="126"/>
      <c r="Q62" s="918"/>
      <c r="R62" s="129" t="str">
        <f>IF(O61="","",IF(O61&gt;O63,K61,IF(O61&lt;O63,K63,IF(Q61&gt;Q63,K61,IF(Q61&lt;Q63,K63,mess_erreur_marque)))))</f>
        <v/>
      </c>
      <c r="S62" s="120"/>
      <c r="T62" s="120"/>
      <c r="U62" s="120"/>
      <c r="V62" s="120"/>
      <c r="W62" s="120"/>
      <c r="X62" s="120"/>
      <c r="Y62" s="11"/>
      <c r="Z62" s="119" t="str">
        <f>N_Heure</f>
        <v>Heure</v>
      </c>
      <c r="AA62" s="119" t="str">
        <f>N_Table</f>
        <v>Table</v>
      </c>
      <c r="AB62" s="119" t="str">
        <f>N_Arbitre</f>
        <v>Arbitre</v>
      </c>
      <c r="AC62" s="119" t="str">
        <f>N_Buts</f>
        <v>Buts</v>
      </c>
      <c r="AD62" s="119" t="str">
        <f>N_MS</f>
        <v>MS</v>
      </c>
      <c r="AE62" s="402" t="str">
        <f>N_Diff</f>
        <v>Diff</v>
      </c>
      <c r="AF62" s="409"/>
      <c r="AG62" s="120"/>
      <c r="AH62" s="120"/>
      <c r="AI62" s="120"/>
      <c r="AJ62" s="120"/>
      <c r="AK62" s="120"/>
      <c r="AL62" s="120"/>
      <c r="AM62" s="130"/>
      <c r="AN62" s="120"/>
      <c r="AO62" s="120"/>
      <c r="AP62" s="120"/>
      <c r="AQ62" s="120"/>
      <c r="AR62" s="120"/>
      <c r="AS62" s="120"/>
    </row>
    <row r="63" spans="1:46" ht="13.5" thickBot="1" x14ac:dyDescent="0.25">
      <c r="A63" s="8"/>
      <c r="B63" s="8"/>
      <c r="C63" s="8"/>
      <c r="D63" s="8"/>
      <c r="E63" s="8"/>
      <c r="F63" s="8"/>
      <c r="G63" s="8"/>
      <c r="H63" s="8"/>
      <c r="I63" s="11"/>
      <c r="J63" s="120" t="s">
        <v>869</v>
      </c>
      <c r="K63" s="922"/>
      <c r="L63" s="2480"/>
      <c r="M63" s="2474"/>
      <c r="N63" s="2477"/>
      <c r="O63" s="348"/>
      <c r="P63" s="919"/>
      <c r="Q63" s="350"/>
      <c r="R63" s="123" t="str">
        <f>IF(O63="","",CONCATENATE(O63," ",IF(R62=K63,IF(P62="X",N_res_MS,IF(Q63="","",CONCATENATE(N_res_Diff,Q63,"-",Q61))),"")))</f>
        <v/>
      </c>
      <c r="S63" s="120"/>
      <c r="T63" s="120"/>
      <c r="U63" s="120"/>
      <c r="V63" s="120"/>
      <c r="W63" s="120"/>
      <c r="X63" s="120"/>
      <c r="Y63" s="8"/>
      <c r="Z63" s="2478"/>
      <c r="AA63" s="2472"/>
      <c r="AB63" s="2475"/>
      <c r="AC63" s="122"/>
      <c r="AD63" s="127"/>
      <c r="AE63" s="403"/>
      <c r="AF63" s="408" t="str">
        <f>IF(AC63="","",CONCATENATE(AC63," ",IF(AF64=Y60,IF(AD64="X",N_res_MS,IF(AE63="","",CONCATENATE(N_res_Diff,AE63,"-",AE65))),"")))</f>
        <v/>
      </c>
      <c r="AG63" s="120"/>
      <c r="AH63" s="120"/>
      <c r="AI63" s="120"/>
      <c r="AJ63" s="120"/>
      <c r="AK63" s="120"/>
      <c r="AL63" s="120"/>
      <c r="AM63" s="130"/>
      <c r="AN63" s="120"/>
      <c r="AO63" s="120"/>
      <c r="AP63" s="120"/>
      <c r="AQ63" s="120"/>
      <c r="AR63" s="120"/>
      <c r="AS63" s="120"/>
    </row>
    <row r="64" spans="1:46" ht="13.5" thickBot="1" x14ac:dyDescent="0.25">
      <c r="A64" s="8"/>
      <c r="B64" s="8"/>
      <c r="C64" s="8"/>
      <c r="D64" s="8"/>
      <c r="E64" s="8"/>
      <c r="F64" s="8"/>
      <c r="G64" s="8"/>
      <c r="H64" s="8"/>
      <c r="I64" s="11"/>
      <c r="J64" s="120"/>
      <c r="K64" s="8"/>
      <c r="L64" s="119" t="str">
        <f>N_Heure</f>
        <v>Heure</v>
      </c>
      <c r="M64" s="119" t="str">
        <f>N_Table</f>
        <v>Table</v>
      </c>
      <c r="N64" s="119" t="str">
        <f>N_Arbitre</f>
        <v>Arbitre</v>
      </c>
      <c r="O64" s="914" t="str">
        <f>N_Buts</f>
        <v>Buts</v>
      </c>
      <c r="P64" s="915" t="str">
        <f>N_MS</f>
        <v>MS</v>
      </c>
      <c r="Q64" s="916" t="str">
        <f>N_Diff</f>
        <v>Diff</v>
      </c>
      <c r="S64" s="120"/>
      <c r="T64" s="120"/>
      <c r="U64" s="120"/>
      <c r="V64" s="120"/>
      <c r="W64" s="120"/>
      <c r="X64" s="120"/>
      <c r="Y64" s="8"/>
      <c r="Z64" s="2479"/>
      <c r="AA64" s="2473"/>
      <c r="AB64" s="2476"/>
      <c r="AC64" s="132"/>
      <c r="AD64" s="126"/>
      <c r="AE64" s="132"/>
      <c r="AF64" s="134" t="str">
        <f>IF(AC63="","",IF(AC63&gt;AC65,Y60,IF(AC63&lt;AC65,Y68,IF(AE63&gt;AE65,Y60,IF(AE63&lt;AE65,Y68,mess_erreur_marque)))))</f>
        <v/>
      </c>
      <c r="AG64" s="120"/>
      <c r="AH64" s="120"/>
      <c r="AI64" s="120"/>
      <c r="AJ64" s="120"/>
      <c r="AK64" s="120"/>
      <c r="AL64" s="120"/>
      <c r="AM64" s="120"/>
      <c r="AN64" s="120"/>
      <c r="AO64" s="120"/>
      <c r="AP64" s="120"/>
      <c r="AQ64" s="120"/>
      <c r="AR64" s="120"/>
      <c r="AS64" s="120"/>
    </row>
    <row r="65" spans="1:45" x14ac:dyDescent="0.2">
      <c r="A65" s="8"/>
      <c r="B65" s="8"/>
      <c r="C65" s="8"/>
      <c r="D65" s="8"/>
      <c r="E65" s="8"/>
      <c r="F65" s="8"/>
      <c r="G65" s="8"/>
      <c r="H65" s="8"/>
      <c r="I65" s="11"/>
      <c r="J65" s="120" t="s">
        <v>870</v>
      </c>
      <c r="K65" s="920"/>
      <c r="L65" s="2478"/>
      <c r="M65" s="2472"/>
      <c r="N65" s="2475"/>
      <c r="O65" s="346"/>
      <c r="P65" s="121"/>
      <c r="Q65" s="347"/>
      <c r="R65" s="123" t="str">
        <f>IF(O65="","",CONCATENATE(O65," ",IF(R66=K65,IF(P66="X",N_res_MS,IF(Q65="","",CONCATENATE(N_res_Diff,Q65,"-",Q67))),"")))</f>
        <v/>
      </c>
      <c r="Z65" s="2480"/>
      <c r="AA65" s="2474"/>
      <c r="AB65" s="2477"/>
      <c r="AC65" s="122"/>
      <c r="AD65" s="127"/>
      <c r="AE65" s="403"/>
      <c r="AF65" s="411" t="str">
        <f>IF(AC65="","",CONCATENATE(AC65," ",IF(AF64=Y68,IF(AD64="X",N_res_MS,IF(AE65="","",CONCATENATE(N_res_Diff,AE65,"-",AE63))),"")))</f>
        <v/>
      </c>
      <c r="AG65" s="120"/>
      <c r="AH65" s="120"/>
      <c r="AI65" s="120"/>
      <c r="AJ65" s="120"/>
      <c r="AK65" s="120"/>
      <c r="AL65" s="120"/>
      <c r="AM65" s="120"/>
      <c r="AN65" s="120"/>
      <c r="AO65" s="120"/>
      <c r="AP65" s="120"/>
      <c r="AQ65" s="120"/>
      <c r="AR65" s="120"/>
      <c r="AS65" s="120"/>
    </row>
    <row r="66" spans="1:45" x14ac:dyDescent="0.2">
      <c r="A66" s="8"/>
      <c r="B66" s="8"/>
      <c r="C66" s="8"/>
      <c r="D66" s="8"/>
      <c r="E66" s="8"/>
      <c r="F66" s="8"/>
      <c r="G66" s="8"/>
      <c r="H66" s="8"/>
      <c r="I66" s="11"/>
      <c r="J66" s="120"/>
      <c r="K66" s="921"/>
      <c r="L66" s="2479"/>
      <c r="M66" s="2473"/>
      <c r="N66" s="2476"/>
      <c r="O66" s="917"/>
      <c r="P66" s="126"/>
      <c r="Q66" s="918"/>
      <c r="R66" s="129" t="str">
        <f>IF(O65="","",IF(O65&gt;O67,K65,IF(O65&lt;O67,K67,IF(Q65&gt;Q67,K65,IF(Q65&lt;Q67,K67,mess_erreur_marque)))))</f>
        <v/>
      </c>
      <c r="S66" s="119" t="str">
        <f>N_Heure</f>
        <v>Heure</v>
      </c>
      <c r="T66" s="119" t="str">
        <f>N_Table</f>
        <v>Table</v>
      </c>
      <c r="U66" s="119" t="str">
        <f>N_Arbitre</f>
        <v>Arbitre</v>
      </c>
      <c r="V66" s="119" t="str">
        <f>N_Buts</f>
        <v>Buts</v>
      </c>
      <c r="W66" s="119" t="str">
        <f>N_MS</f>
        <v>MS</v>
      </c>
      <c r="X66" s="119" t="str">
        <f>N_Diff</f>
        <v>Diff</v>
      </c>
      <c r="Z66" s="120"/>
      <c r="AA66" s="120"/>
      <c r="AB66" s="133"/>
      <c r="AC66" s="133"/>
      <c r="AD66" s="133"/>
      <c r="AE66" s="133"/>
      <c r="AF66" s="409"/>
      <c r="AG66" s="120"/>
      <c r="AH66" s="120"/>
      <c r="AI66" s="120"/>
      <c r="AJ66" s="120"/>
      <c r="AK66" s="120"/>
      <c r="AL66" s="120"/>
      <c r="AM66" s="120"/>
      <c r="AN66" s="120"/>
      <c r="AO66" s="120"/>
      <c r="AP66" s="120"/>
      <c r="AQ66" s="120"/>
      <c r="AR66" s="120"/>
      <c r="AS66" s="120"/>
    </row>
    <row r="67" spans="1:45" ht="13.5" thickBot="1" x14ac:dyDescent="0.25">
      <c r="A67" s="8"/>
      <c r="B67" s="8"/>
      <c r="C67" s="119" t="str">
        <f>N_Heure</f>
        <v>Heure</v>
      </c>
      <c r="D67" s="119" t="str">
        <f>N_Table</f>
        <v>Table</v>
      </c>
      <c r="E67" s="119" t="str">
        <f>N_Arbitre</f>
        <v>Arbitre</v>
      </c>
      <c r="F67" s="119" t="str">
        <f>N_Buts</f>
        <v>Buts</v>
      </c>
      <c r="G67" s="119" t="str">
        <f>N_MS</f>
        <v>MS</v>
      </c>
      <c r="H67" s="119" t="str">
        <f>N_Diff</f>
        <v>Diff</v>
      </c>
      <c r="J67" s="120" t="s">
        <v>871</v>
      </c>
      <c r="K67" s="922"/>
      <c r="L67" s="2480"/>
      <c r="M67" s="2474"/>
      <c r="N67" s="2477"/>
      <c r="O67" s="348"/>
      <c r="P67" s="919"/>
      <c r="Q67" s="350"/>
      <c r="R67" s="123" t="str">
        <f>IF(O67="","",CONCATENATE(O67," ",IF(R66=K67,IF(P66="X",N_res_MS,IF(Q67="","",CONCATENATE(N_res_Diff,Q67,"-",Q65))),"")))</f>
        <v/>
      </c>
      <c r="S67" s="2478"/>
      <c r="T67" s="2472"/>
      <c r="U67" s="2475"/>
      <c r="V67" s="122"/>
      <c r="W67" s="127"/>
      <c r="X67" s="122"/>
      <c r="Y67" s="408" t="str">
        <f>IF(V67="","",CONCATENATE(V67," ",IF(Y68=R66,IF(W68="X",N_res_MS,IF(X67="","",CONCATENATE(N_res_Diff,X67,"-",X69))),"")))</f>
        <v/>
      </c>
      <c r="Z67" s="120"/>
      <c r="AA67" s="120"/>
      <c r="AB67" s="120"/>
      <c r="AC67" s="120"/>
      <c r="AD67" s="120"/>
      <c r="AE67" s="120"/>
      <c r="AF67" s="409"/>
      <c r="AG67" s="120"/>
      <c r="AH67" s="120"/>
      <c r="AI67" s="120"/>
      <c r="AJ67" s="120"/>
      <c r="AK67" s="120"/>
      <c r="AL67" s="120"/>
      <c r="AM67" s="120"/>
      <c r="AN67" s="120"/>
      <c r="AO67" s="120"/>
      <c r="AP67" s="120"/>
      <c r="AQ67" s="120"/>
      <c r="AR67" s="120"/>
      <c r="AS67" s="120"/>
    </row>
    <row r="68" spans="1:45" ht="13.5" thickBot="1" x14ac:dyDescent="0.25">
      <c r="A68" s="8" t="s">
        <v>872</v>
      </c>
      <c r="B68" s="124" t="s">
        <v>2070</v>
      </c>
      <c r="C68" s="2478"/>
      <c r="D68" s="2472"/>
      <c r="E68" s="2475"/>
      <c r="F68" s="122"/>
      <c r="G68" s="125"/>
      <c r="H68" s="122"/>
      <c r="I68" s="262" t="str">
        <f>IF(F68="","",CONCATENATE(F68," ",IF(I69=B68,IF(G69="X",N_res_MS,IF(H68="","",CONCATENATE(N_res_Diff,H68,"-",H70))),"")))</f>
        <v/>
      </c>
      <c r="J68" s="120"/>
      <c r="K68" s="8"/>
      <c r="L68" s="119" t="str">
        <f>N_Heure</f>
        <v>Heure</v>
      </c>
      <c r="M68" s="119" t="str">
        <f>N_Table</f>
        <v>Table</v>
      </c>
      <c r="N68" s="119" t="str">
        <f>N_Arbitre</f>
        <v>Arbitre</v>
      </c>
      <c r="O68" s="914" t="str">
        <f>N_Buts</f>
        <v>Buts</v>
      </c>
      <c r="P68" s="915" t="str">
        <f>N_MS</f>
        <v>MS</v>
      </c>
      <c r="Q68" s="916" t="str">
        <f>N_Diff</f>
        <v>Diff</v>
      </c>
      <c r="S68" s="2479"/>
      <c r="T68" s="2473"/>
      <c r="U68" s="2476"/>
      <c r="V68" s="128"/>
      <c r="W68" s="126"/>
      <c r="X68" s="128"/>
      <c r="Y68" s="131" t="str">
        <f>IF(V67="","",IF(V67&gt;V69,R66,IF(V67&lt;V69,R70,IF(X67&gt;X69,R66,IF(X67&lt;X69,R70,mess_erreur_marque)))))</f>
        <v/>
      </c>
      <c r="Z68" s="120"/>
      <c r="AA68" s="120"/>
      <c r="AB68" s="120"/>
      <c r="AC68" s="120"/>
      <c r="AD68" s="120"/>
      <c r="AE68" s="120"/>
      <c r="AF68" s="8"/>
      <c r="AG68" s="120"/>
      <c r="AH68" s="120"/>
      <c r="AI68" s="120"/>
      <c r="AJ68" s="120"/>
      <c r="AK68" s="120"/>
      <c r="AL68" s="120"/>
      <c r="AM68" s="120"/>
      <c r="AN68" s="120"/>
      <c r="AO68" s="120"/>
      <c r="AP68" s="120"/>
      <c r="AQ68" s="120"/>
      <c r="AR68" s="120"/>
      <c r="AS68" s="120"/>
    </row>
    <row r="69" spans="1:45" x14ac:dyDescent="0.2">
      <c r="A69" s="8"/>
      <c r="B69" s="8"/>
      <c r="C69" s="2479"/>
      <c r="D69" s="2473"/>
      <c r="E69" s="2476"/>
      <c r="F69" s="124"/>
      <c r="G69" s="126"/>
      <c r="H69" s="124"/>
      <c r="I69" s="124" t="str">
        <f>IF(F68="","",IF(F68&gt;F70,B68,IF(F68&lt;F70,B70,IF(H68&gt;H70,B68,IF(H68&lt;H70,B70,mess_erreur_marque)))))</f>
        <v/>
      </c>
      <c r="J69" s="120" t="s">
        <v>872</v>
      </c>
      <c r="K69" s="920" t="str">
        <f>IF(I69="","",I69)</f>
        <v/>
      </c>
      <c r="L69" s="2478"/>
      <c r="M69" s="2472"/>
      <c r="N69" s="2475"/>
      <c r="O69" s="346"/>
      <c r="P69" s="121"/>
      <c r="Q69" s="347"/>
      <c r="R69" s="123" t="str">
        <f>IF(O69="","",CONCATENATE(O69," ",IF(R70=K69,IF(P70="X",N_res_MS,IF(Q69="","",CONCATENATE(N_res_Diff,Q69,"-",Q71))),"")))</f>
        <v/>
      </c>
      <c r="S69" s="2480"/>
      <c r="T69" s="2474"/>
      <c r="U69" s="2477"/>
      <c r="V69" s="122"/>
      <c r="W69" s="127"/>
      <c r="X69" s="122"/>
      <c r="Y69" s="405" t="str">
        <f>IF(V69="","",CONCATENATE(V69," ",IF(Y68=R70,IF(W68="X",N_res_MS,IF(X69="","",CONCATENATE(N_res_Diff,X69,"-",X67))),"")))</f>
        <v/>
      </c>
      <c r="Z69" s="120"/>
      <c r="AA69" s="120"/>
      <c r="AB69" s="120"/>
      <c r="AC69" s="120"/>
      <c r="AD69" s="120"/>
      <c r="AE69" s="120"/>
      <c r="AF69" s="120"/>
      <c r="AG69" s="120"/>
      <c r="AH69" s="120"/>
      <c r="AI69" s="120"/>
      <c r="AJ69" s="120"/>
      <c r="AK69" s="120"/>
      <c r="AL69" s="120"/>
      <c r="AM69" s="120"/>
      <c r="AN69" s="120"/>
      <c r="AO69" s="120"/>
      <c r="AP69" s="120"/>
      <c r="AQ69" s="120"/>
      <c r="AR69" s="120"/>
      <c r="AS69" s="120"/>
    </row>
    <row r="70" spans="1:45" x14ac:dyDescent="0.2">
      <c r="A70" s="17" t="s">
        <v>873</v>
      </c>
      <c r="B70" s="124" t="s">
        <v>2071</v>
      </c>
      <c r="C70" s="2480"/>
      <c r="D70" s="2474"/>
      <c r="E70" s="2477"/>
      <c r="F70" s="122"/>
      <c r="G70" s="125"/>
      <c r="H70" s="122"/>
      <c r="I70" s="123" t="str">
        <f>IF(F70="","",CONCATENATE(F70," ",IF(I69=B70,IF(G69="X",N_res_MS,IF(H70="","",CONCATENATE(N_res_Diff,H70,"-",H68))),"")))</f>
        <v/>
      </c>
      <c r="J70" s="120"/>
      <c r="K70" s="921"/>
      <c r="L70" s="2479"/>
      <c r="M70" s="2473"/>
      <c r="N70" s="2476"/>
      <c r="O70" s="917"/>
      <c r="P70" s="126"/>
      <c r="Q70" s="918"/>
      <c r="R70" s="129" t="str">
        <f>IF(O69="","",IF(O69&gt;O71,K69,IF(O69&lt;O71,K71,IF(Q69&gt;Q71,K69,IF(Q69&lt;Q71,K71,mess_erreur_marque)))))</f>
        <v/>
      </c>
      <c r="S70" s="120"/>
      <c r="T70" s="120"/>
      <c r="U70" s="120"/>
      <c r="V70" s="120"/>
      <c r="W70" s="120"/>
      <c r="X70" s="120"/>
      <c r="Y70" s="8"/>
      <c r="Z70" s="120"/>
      <c r="AA70" s="120"/>
      <c r="AB70" s="120"/>
      <c r="AC70" s="120"/>
      <c r="AD70" s="120"/>
      <c r="AE70" s="120"/>
      <c r="AF70" s="120"/>
      <c r="AG70" s="120"/>
      <c r="AH70" s="120"/>
      <c r="AI70" s="120"/>
      <c r="AJ70" s="120"/>
      <c r="AK70" s="120"/>
      <c r="AL70" s="120"/>
      <c r="AM70" s="120"/>
      <c r="AN70" s="120"/>
      <c r="AO70" s="120"/>
      <c r="AP70" s="120"/>
      <c r="AQ70" s="120"/>
      <c r="AR70" s="120"/>
      <c r="AS70" s="120"/>
    </row>
    <row r="71" spans="1:45" ht="13.5" thickBot="1" x14ac:dyDescent="0.25">
      <c r="A71" s="8"/>
      <c r="B71" s="8"/>
      <c r="C71" s="8"/>
      <c r="D71" s="8"/>
      <c r="E71" s="8"/>
      <c r="F71" s="8"/>
      <c r="G71" s="8"/>
      <c r="H71" s="8"/>
      <c r="I71" s="11"/>
      <c r="J71" s="120" t="s">
        <v>874</v>
      </c>
      <c r="K71" s="922"/>
      <c r="L71" s="2480"/>
      <c r="M71" s="2474"/>
      <c r="N71" s="2477"/>
      <c r="O71" s="348"/>
      <c r="P71" s="919"/>
      <c r="Q71" s="350"/>
      <c r="R71" s="123" t="str">
        <f>IF(O71="","",CONCATENATE(O71," ",IF(R70=K71,IF(P70="X",N_res_MS,IF(Q71="","",CONCATENATE(N_res_Diff,Q71,"-",Q69))),"")))</f>
        <v/>
      </c>
      <c r="S71" s="120"/>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row>
    <row r="72" spans="1:45" x14ac:dyDescent="0.2">
      <c r="A72" s="8"/>
      <c r="B72" s="8"/>
      <c r="C72" s="8"/>
      <c r="D72" s="8"/>
      <c r="E72" s="8"/>
      <c r="F72" s="8"/>
      <c r="G72" s="8"/>
      <c r="H72" s="8"/>
      <c r="I72" s="11"/>
      <c r="J72" s="120"/>
      <c r="L72" s="8"/>
      <c r="M72" s="8"/>
      <c r="N72" s="8"/>
      <c r="O72" s="8"/>
      <c r="P72" s="8"/>
      <c r="Q72" s="8"/>
    </row>
    <row r="73" spans="1:45" s="7" customFormat="1" ht="12" customHeight="1" x14ac:dyDescent="0.2"/>
  </sheetData>
  <sheetProtection sheet="1" objects="1" scenarios="1" formatColumns="0" formatRows="0"/>
  <dataConsolidate/>
  <customSheetViews>
    <customSheetView guid="{13F24B0A-7740-483A-BEF7-5257F8522605}" scale="70" showGridLines="0" fitToPage="1" hiddenColumns="1" state="hidden" topLeftCell="F40">
      <selection activeCell="AU73" sqref="AU73"/>
      <pageMargins left="0.31" right="0.28000000000000003" top="1.05" bottom="0.74" header="0.32" footer="0.4921259845"/>
      <pageSetup paperSize="9" scale="50" fitToWidth="2" orientation="landscape" r:id="rId1"/>
      <headerFooter alignWithMargins="0">
        <oddHeader>&amp;L&amp;16
&amp;A&amp;C&amp;16Fédération Française de Football de Table (F.F.F.T.)
National Comité Départemental 64&amp;R&amp;16
16 décembre 2007</oddHeader>
        <oddFooter>&amp;C&amp;14&amp;P / &amp;N</oddFooter>
      </headerFooter>
    </customSheetView>
  </customSheetViews>
  <mergeCells count="117">
    <mergeCell ref="AP39:AP41"/>
    <mergeCell ref="AH23:AH25"/>
    <mergeCell ref="AI23:AI25"/>
    <mergeCell ref="S67:S69"/>
    <mergeCell ref="T67:T69"/>
    <mergeCell ref="AH55:AH57"/>
    <mergeCell ref="AI55:AI57"/>
    <mergeCell ref="Z47:Z49"/>
    <mergeCell ref="AB63:AB65"/>
    <mergeCell ref="Z63:Z65"/>
    <mergeCell ref="AG55:AG57"/>
    <mergeCell ref="AN39:AN41"/>
    <mergeCell ref="AO39:AO41"/>
    <mergeCell ref="AA63:AA65"/>
    <mergeCell ref="U59:U61"/>
    <mergeCell ref="U51:U53"/>
    <mergeCell ref="S51:S53"/>
    <mergeCell ref="T51:T53"/>
    <mergeCell ref="U67:U69"/>
    <mergeCell ref="S59:S61"/>
    <mergeCell ref="T59:T61"/>
    <mergeCell ref="Z15:Z17"/>
    <mergeCell ref="AA15:AA17"/>
    <mergeCell ref="AB15:AB17"/>
    <mergeCell ref="Z31:Z33"/>
    <mergeCell ref="AA31:AA33"/>
    <mergeCell ref="AG23:AG25"/>
    <mergeCell ref="AB31:AB33"/>
    <mergeCell ref="S35:S37"/>
    <mergeCell ref="AA47:AA49"/>
    <mergeCell ref="AB47:AB49"/>
    <mergeCell ref="U35:U37"/>
    <mergeCell ref="U43:U45"/>
    <mergeCell ref="T35:T37"/>
    <mergeCell ref="S43:S45"/>
    <mergeCell ref="T43:T45"/>
    <mergeCell ref="T11:T13"/>
    <mergeCell ref="U11:U13"/>
    <mergeCell ref="S19:S21"/>
    <mergeCell ref="T19:T21"/>
    <mergeCell ref="U19:U21"/>
    <mergeCell ref="S11:S13"/>
    <mergeCell ref="S27:S29"/>
    <mergeCell ref="T27:T29"/>
    <mergeCell ref="U27:U29"/>
    <mergeCell ref="L57:L59"/>
    <mergeCell ref="M57:M59"/>
    <mergeCell ref="N57:N59"/>
    <mergeCell ref="L69:L71"/>
    <mergeCell ref="M69:M71"/>
    <mergeCell ref="N69:N71"/>
    <mergeCell ref="L61:L63"/>
    <mergeCell ref="M61:M63"/>
    <mergeCell ref="N61:N63"/>
    <mergeCell ref="L65:L67"/>
    <mergeCell ref="M65:M67"/>
    <mergeCell ref="N65:N67"/>
    <mergeCell ref="L53:L55"/>
    <mergeCell ref="M53:M55"/>
    <mergeCell ref="N53:N55"/>
    <mergeCell ref="L41:L43"/>
    <mergeCell ref="M41:M43"/>
    <mergeCell ref="N41:N43"/>
    <mergeCell ref="L45:L47"/>
    <mergeCell ref="M45:M47"/>
    <mergeCell ref="N45:N47"/>
    <mergeCell ref="M33:M35"/>
    <mergeCell ref="N33:N35"/>
    <mergeCell ref="L37:L39"/>
    <mergeCell ref="M37:M39"/>
    <mergeCell ref="N37:N39"/>
    <mergeCell ref="L29:L31"/>
    <mergeCell ref="M29:M31"/>
    <mergeCell ref="N29:N31"/>
    <mergeCell ref="L49:L51"/>
    <mergeCell ref="M49:M51"/>
    <mergeCell ref="N49:N51"/>
    <mergeCell ref="M25:M27"/>
    <mergeCell ref="N25:N27"/>
    <mergeCell ref="N9:N11"/>
    <mergeCell ref="L13:L15"/>
    <mergeCell ref="M13:M15"/>
    <mergeCell ref="N13:N15"/>
    <mergeCell ref="M9:M11"/>
    <mergeCell ref="M21:M23"/>
    <mergeCell ref="N21:N23"/>
    <mergeCell ref="M17:M19"/>
    <mergeCell ref="L21:L23"/>
    <mergeCell ref="N17:N19"/>
    <mergeCell ref="C68:C70"/>
    <mergeCell ref="D68:D70"/>
    <mergeCell ref="E68:E70"/>
    <mergeCell ref="C40:C42"/>
    <mergeCell ref="D40:D42"/>
    <mergeCell ref="E40:E42"/>
    <mergeCell ref="C52:C54"/>
    <mergeCell ref="D52:D54"/>
    <mergeCell ref="E52:E54"/>
    <mergeCell ref="C60:C62"/>
    <mergeCell ref="D60:D62"/>
    <mergeCell ref="E60:E62"/>
    <mergeCell ref="D34:D36"/>
    <mergeCell ref="E34:E36"/>
    <mergeCell ref="C10:C12"/>
    <mergeCell ref="D10:D12"/>
    <mergeCell ref="E10:E12"/>
    <mergeCell ref="L9:L11"/>
    <mergeCell ref="C18:C20"/>
    <mergeCell ref="D18:D20"/>
    <mergeCell ref="E18:E20"/>
    <mergeCell ref="L17:L19"/>
    <mergeCell ref="C26:C28"/>
    <mergeCell ref="D26:D28"/>
    <mergeCell ref="E26:E28"/>
    <mergeCell ref="C34:C36"/>
    <mergeCell ref="L25:L27"/>
    <mergeCell ref="L33:L35"/>
  </mergeCells>
  <phoneticPr fontId="0" type="noConversion"/>
  <dataValidations count="2">
    <dataValidation type="list" allowBlank="1" showInputMessage="1" showErrorMessage="1" sqref="AR40 AD48 AD32 AD16 AD64 G11 G61 P10 G27 P38 P22 P14 G41 G53 G69 G19 P18 G35 P26 P30 P34 P70 P42 P54 P46 P50 P58 P62 P66 W20 W60 W52 W28 W44 W12 W36 W68 AK56 AK24" xr:uid="{00000000-0002-0000-1800-000000000000}">
      <formula1>"X"</formula1>
    </dataValidation>
    <dataValidation type="whole" allowBlank="1" showInputMessage="1" showErrorMessage="1" errorTitle="Erreur de saisie" error="Vous devez tapez un nombre entier entre 0 et 100" sqref="AS39 AC49 AE49 AC47 AE47 AC33 AE33 AC31 AE31 AC17 AE17 AC15 AE15 AC65 AE65 AC63 AE63 F36 H34 H36 O9 O11 Q9 Q11 F60 F62 Q65 F12 H10 H12 F26 F28 H26 H28 O37 O21 O23 Q67 O13 F18 O15 F20 F40 F42 H40 H42 O67 F52 F54 H52 H54 F68 F70 H68 H70 Q13 Q15 H18 H20 Q21 Q23 F10 O17 O19 Q17 Q19 O39 Q37 Q39 F34 O25 O27 Q25 Q27 O29 O31 Q29 Q31 O33 O35 Q33 Q35 H60 H62 O69 O71 Q69 Q71 O41 O43 Q41 Q43 O53 O55 O45 O47 Q45 Q47 Q53 Q55 O49 O51 Q49 Q51 O57 O59 Q57 Q59 O61 O63 Q61 Q63 O65 X19 V19 X21 V21 X59 V59 X61 V61 X51 V51 X53 V53 X27 V27 X29 V29 X43 V43 X45 V45 X11 V11 X13 V13 X35 V35 X67 V67 X69 V69 X37 V37 AJ55 AL55 AL57 AJ57 AJ23 AL23 AL25 AJ25 AQ41 AS41 AQ39" xr:uid="{00000000-0002-0000-1800-000001000000}">
      <formula1>0</formula1>
      <formula2>100</formula2>
    </dataValidation>
  </dataValidations>
  <pageMargins left="0.31" right="0.28000000000000003" top="1.05" bottom="0.74" header="0.32" footer="0.4921259845"/>
  <pageSetup paperSize="9" scale="50" fitToWidth="2" orientation="landscape" r:id="rId2"/>
  <headerFooter alignWithMargins="0">
    <oddHeader>&amp;L&amp;16
&amp;A&amp;C&amp;16Fédération Française de Football de Table (F.F.F.T.)
National Comité Départemental 64&amp;R&amp;16
16 décembre 2007</oddHeader>
    <oddFooter>&amp;C&amp;14&amp;P / &amp;N</oddFooter>
  </headerFooter>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t_SelMatchTeams">
    <tabColor theme="0" tint="-0.249977111117893"/>
    <outlinePr summaryBelow="0"/>
    <pageSetUpPr fitToPage="1"/>
  </sheetPr>
  <dimension ref="A4:BW128"/>
  <sheetViews>
    <sheetView showGridLines="0" zoomScale="70" zoomScaleNormal="70" zoomScaleSheetLayoutView="25" workbookViewId="0">
      <pane ySplit="6" topLeftCell="A7" activePane="bottomLeft" state="frozen"/>
      <selection activeCell="N33" sqref="N33"/>
      <selection pane="bottomLeft" activeCell="A7" sqref="A7"/>
    </sheetView>
  </sheetViews>
  <sheetFormatPr baseColWidth="10" defaultColWidth="4.7109375" defaultRowHeight="12.75" outlineLevelCol="2" x14ac:dyDescent="0.2"/>
  <cols>
    <col min="1" max="1" width="7.28515625" customWidth="1"/>
    <col min="2" max="2" width="18" customWidth="1"/>
    <col min="3" max="3" width="10" customWidth="1" outlineLevel="1"/>
    <col min="4" max="4" width="6.28515625" customWidth="1" outlineLevel="1"/>
    <col min="5" max="5" width="4.85546875" customWidth="1" outlineLevel="1"/>
    <col min="6" max="6" width="5.28515625" customWidth="1" outlineLevel="1"/>
    <col min="7" max="7" width="1.7109375" customWidth="1" outlineLevel="1"/>
    <col min="8" max="8" width="7.42578125" style="1" hidden="1" customWidth="1" outlineLevel="2"/>
    <col min="9" max="9" width="7" style="1" hidden="1" customWidth="1" outlineLevel="2"/>
    <col min="10" max="10" width="8.28515625" hidden="1" customWidth="1" outlineLevel="2"/>
    <col min="11" max="11" width="23.85546875" style="6" customWidth="1" outlineLevel="1" collapsed="1"/>
    <col min="12" max="12" width="2.28515625" style="1" customWidth="1" outlineLevel="1"/>
    <col min="13" max="13" width="1.85546875" style="1" customWidth="1" outlineLevel="1"/>
    <col min="14" max="14" width="2.28515625" style="1" customWidth="1" outlineLevel="1"/>
    <col min="15" max="15" width="13.7109375" style="16" customWidth="1" outlineLevel="1"/>
    <col min="16" max="16" width="4.85546875" customWidth="1" outlineLevel="1"/>
    <col min="17" max="17" width="23.7109375" bestFit="1" customWidth="1"/>
    <col min="18" max="18" width="12.5703125" customWidth="1" collapsed="1"/>
    <col min="19" max="19" width="10" customWidth="1" outlineLevel="1"/>
    <col min="20" max="20" width="6.28515625" customWidth="1" outlineLevel="1"/>
    <col min="21" max="21" width="4.85546875" customWidth="1" outlineLevel="1"/>
    <col min="22" max="22" width="5.28515625" customWidth="1" outlineLevel="1" collapsed="1"/>
    <col min="23" max="23" width="2" customWidth="1" outlineLevel="1"/>
    <col min="24" max="24" width="7.42578125" hidden="1" customWidth="1" outlineLevel="2"/>
    <col min="25" max="25" width="7" hidden="1" customWidth="1" outlineLevel="2"/>
    <col min="26" max="26" width="8.28515625" hidden="1" customWidth="1" outlineLevel="2"/>
    <col min="27" max="27" width="14.7109375" customWidth="1" outlineLevel="1" collapsed="1"/>
    <col min="28" max="28" width="4.28515625" style="1" customWidth="1" outlineLevel="1"/>
    <col min="29" max="29" width="1.85546875" customWidth="1" outlineLevel="1"/>
    <col min="30" max="30" width="4.28515625" style="1" customWidth="1" outlineLevel="1"/>
    <col min="31" max="31" width="13.42578125" customWidth="1" outlineLevel="1"/>
    <col min="32" max="32" width="4.85546875" customWidth="1" outlineLevel="1"/>
    <col min="33" max="33" width="11.42578125" customWidth="1"/>
    <col min="34" max="34" width="11.42578125" customWidth="1" collapsed="1"/>
    <col min="35" max="35" width="10" customWidth="1" outlineLevel="1"/>
    <col min="36" max="36" width="6.28515625" customWidth="1" outlineLevel="1"/>
    <col min="37" max="37" width="4.85546875" customWidth="1" outlineLevel="1"/>
    <col min="38" max="38" width="5.28515625" customWidth="1" outlineLevel="1" collapsed="1"/>
    <col min="39" max="39" width="2" customWidth="1" outlineLevel="1"/>
    <col min="40" max="40" width="7.42578125" hidden="1" customWidth="1" outlineLevel="2"/>
    <col min="41" max="41" width="7" hidden="1" customWidth="1" outlineLevel="2"/>
    <col min="42" max="42" width="8.28515625" hidden="1" customWidth="1" outlineLevel="2"/>
    <col min="43" max="43" width="10" customWidth="1" outlineLevel="1" collapsed="1"/>
    <col min="44" max="44" width="4.28515625" style="1" customWidth="1" outlineLevel="1"/>
    <col min="45" max="45" width="1.85546875" customWidth="1" outlineLevel="1"/>
    <col min="46" max="46" width="4.28515625" style="1" customWidth="1" outlineLevel="1"/>
    <col min="47" max="47" width="13.42578125" customWidth="1" outlineLevel="1"/>
    <col min="48" max="48" width="4.85546875" customWidth="1" outlineLevel="1"/>
    <col min="49" max="49" width="11.42578125" customWidth="1"/>
    <col min="50" max="50" width="15.28515625" customWidth="1" collapsed="1"/>
    <col min="51" max="51" width="10" customWidth="1" outlineLevel="1"/>
    <col min="52" max="52" width="6.28515625" customWidth="1" outlineLevel="1"/>
    <col min="53" max="53" width="4.85546875" customWidth="1" outlineLevel="1"/>
    <col min="54" max="54" width="5.28515625" customWidth="1" outlineLevel="1" collapsed="1"/>
    <col min="55" max="55" width="2.28515625" customWidth="1" outlineLevel="1"/>
    <col min="56" max="56" width="7.42578125" hidden="1" customWidth="1" outlineLevel="2"/>
    <col min="57" max="57" width="7" hidden="1" customWidth="1" outlineLevel="2"/>
    <col min="58" max="58" width="8.28515625" hidden="1" customWidth="1" outlineLevel="2"/>
    <col min="59" max="59" width="10" customWidth="1" outlineLevel="1" collapsed="1"/>
    <col min="60" max="60" width="5.140625" customWidth="1" outlineLevel="1"/>
    <col min="61" max="61" width="1.85546875" customWidth="1" outlineLevel="1"/>
    <col min="62" max="62" width="5.7109375" customWidth="1" outlineLevel="1"/>
    <col min="63" max="63" width="11.42578125" customWidth="1" outlineLevel="1"/>
    <col min="64" max="64" width="4.85546875" customWidth="1" outlineLevel="1"/>
    <col min="65" max="66" width="11.42578125" customWidth="1"/>
    <col min="67" max="67" width="18.28515625" customWidth="1"/>
    <col min="68" max="70" width="14.42578125" customWidth="1"/>
    <col min="71" max="74" width="11.42578125" customWidth="1"/>
    <col min="75" max="75" width="5.28515625" customWidth="1"/>
    <col min="76" max="16384" width="4.7109375" style="1396"/>
  </cols>
  <sheetData>
    <row r="4" spans="1:66" x14ac:dyDescent="0.2">
      <c r="A4" s="11"/>
    </row>
    <row r="5" spans="1:66" ht="13.5" thickBot="1" x14ac:dyDescent="0.25"/>
    <row r="6" spans="1:66" ht="13.5" thickBot="1" x14ac:dyDescent="0.25">
      <c r="B6" s="2460" t="str">
        <f>N__1_8_DE_FINALE</f>
        <v>1/8 DE FINALE</v>
      </c>
      <c r="C6" s="2461"/>
      <c r="D6" s="2461"/>
      <c r="E6" s="2461"/>
      <c r="F6" s="2461"/>
      <c r="G6" s="2461"/>
      <c r="H6" s="2461"/>
      <c r="I6" s="2461"/>
      <c r="J6" s="2461"/>
      <c r="K6" s="2461"/>
      <c r="L6" s="2461"/>
      <c r="M6" s="2461"/>
      <c r="N6" s="2461"/>
      <c r="O6" s="2461"/>
      <c r="P6" s="2461"/>
      <c r="Q6" s="2462"/>
      <c r="R6" s="2463" t="str">
        <f>N_QUART_DE_FINALE</f>
        <v>1/4 DE FINALE</v>
      </c>
      <c r="S6" s="2464"/>
      <c r="T6" s="2464"/>
      <c r="U6" s="2464"/>
      <c r="V6" s="2464"/>
      <c r="W6" s="2464"/>
      <c r="X6" s="2464"/>
      <c r="Y6" s="2464"/>
      <c r="Z6" s="2464"/>
      <c r="AA6" s="2464"/>
      <c r="AB6" s="2464"/>
      <c r="AC6" s="2464"/>
      <c r="AD6" s="2464"/>
      <c r="AE6" s="2464"/>
      <c r="AF6" s="2464"/>
      <c r="AG6" s="2465"/>
      <c r="AH6" s="2466" t="str">
        <f>N_DEMI_FINALE</f>
        <v>1/2 FINALES</v>
      </c>
      <c r="AI6" s="2467"/>
      <c r="AJ6" s="2467"/>
      <c r="AK6" s="2467"/>
      <c r="AL6" s="2467"/>
      <c r="AM6" s="2467"/>
      <c r="AN6" s="2467"/>
      <c r="AO6" s="2467"/>
      <c r="AP6" s="2467"/>
      <c r="AQ6" s="2467"/>
      <c r="AR6" s="2467"/>
      <c r="AS6" s="2467"/>
      <c r="AT6" s="2467"/>
      <c r="AU6" s="2467"/>
      <c r="AV6" s="2467"/>
      <c r="AW6" s="2468"/>
      <c r="AX6" s="2448" t="str">
        <f>N_FINALE</f>
        <v>FINALE</v>
      </c>
      <c r="AY6" s="2449"/>
      <c r="AZ6" s="2449"/>
      <c r="BA6" s="2449"/>
      <c r="BB6" s="2449"/>
      <c r="BC6" s="2449"/>
      <c r="BD6" s="2449"/>
      <c r="BE6" s="2449"/>
      <c r="BF6" s="2449"/>
      <c r="BG6" s="2449"/>
      <c r="BH6" s="2449"/>
      <c r="BI6" s="2449"/>
      <c r="BJ6" s="2449"/>
      <c r="BK6" s="2449"/>
      <c r="BL6" s="2449"/>
      <c r="BM6" s="2450"/>
      <c r="BN6" s="8"/>
    </row>
    <row r="7" spans="1:66" ht="13.5" thickBot="1" x14ac:dyDescent="0.25">
      <c r="B7" s="8"/>
      <c r="C7" s="140"/>
      <c r="D7" s="140"/>
      <c r="E7" s="140"/>
      <c r="F7" s="140"/>
      <c r="G7" s="8"/>
      <c r="H7" s="140"/>
      <c r="I7" s="140"/>
      <c r="J7" s="140"/>
      <c r="K7" s="140"/>
      <c r="L7" s="140"/>
      <c r="M7" s="8"/>
      <c r="N7" s="140"/>
      <c r="O7" s="140"/>
      <c r="P7" s="140"/>
      <c r="Q7" s="8"/>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8"/>
      <c r="AY7" s="8"/>
      <c r="AZ7" s="8"/>
      <c r="BA7" s="8"/>
      <c r="BB7" s="8"/>
      <c r="BC7" s="8"/>
      <c r="BD7" s="8"/>
      <c r="BE7" s="8"/>
      <c r="BF7" s="8"/>
      <c r="BG7" s="8"/>
      <c r="BH7" s="8"/>
      <c r="BI7" s="8"/>
      <c r="BJ7" s="8"/>
      <c r="BK7" s="8"/>
      <c r="BL7" s="8"/>
      <c r="BM7" s="8"/>
      <c r="BN7" s="8"/>
    </row>
    <row r="8" spans="1:66" ht="13.5" thickBot="1" x14ac:dyDescent="0.25">
      <c r="B8" s="8"/>
      <c r="H8" s="3" t="str">
        <f>N_Heure</f>
        <v>Heure</v>
      </c>
      <c r="I8" s="22" t="str">
        <f>N_Table</f>
        <v>Table</v>
      </c>
      <c r="J8" s="22" t="str">
        <f>N_Arbitre</f>
        <v>Arbitre</v>
      </c>
      <c r="K8" s="2490" t="str">
        <f>N_Matches</f>
        <v>Matches</v>
      </c>
      <c r="L8" s="2491"/>
      <c r="M8" s="2491"/>
      <c r="N8" s="2491"/>
      <c r="O8" s="2492"/>
      <c r="P8" s="3" t="str">
        <f>N_MS</f>
        <v>MS</v>
      </c>
      <c r="Q8" s="8"/>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8"/>
      <c r="AY8" s="8"/>
      <c r="AZ8" s="8"/>
      <c r="BA8" s="8"/>
      <c r="BB8" s="8"/>
      <c r="BC8" s="8"/>
      <c r="BD8" s="8"/>
      <c r="BE8" s="8"/>
      <c r="BF8" s="8"/>
      <c r="BG8" s="8"/>
      <c r="BH8" s="8"/>
      <c r="BI8" s="8"/>
      <c r="BJ8" s="8"/>
      <c r="BK8" s="8"/>
      <c r="BL8" s="8"/>
      <c r="BM8" s="8"/>
      <c r="BN8" s="8"/>
    </row>
    <row r="9" spans="1:66" ht="13.5" thickBot="1" x14ac:dyDescent="0.25">
      <c r="C9" s="141" t="str">
        <f>N_Matches</f>
        <v>Matches</v>
      </c>
      <c r="D9" s="142" t="str">
        <f>N_Buts</f>
        <v>Buts</v>
      </c>
      <c r="E9" s="142" t="str">
        <f>N_MS</f>
        <v>MS</v>
      </c>
      <c r="F9" s="143" t="str">
        <f>N_Diff</f>
        <v>Diff</v>
      </c>
      <c r="G9" s="7"/>
      <c r="H9" s="144"/>
      <c r="I9" s="145"/>
      <c r="J9" s="146"/>
      <c r="K9" s="147"/>
      <c r="L9" s="148"/>
      <c r="M9" s="35" t="s">
        <v>769</v>
      </c>
      <c r="N9" s="148"/>
      <c r="O9" s="149"/>
      <c r="P9" s="150"/>
    </row>
    <row r="10" spans="1:66" ht="13.5" thickBot="1" x14ac:dyDescent="0.25">
      <c r="B10" s="128" t="s">
        <v>825</v>
      </c>
      <c r="C10" s="151" t="str">
        <f>IF(OR(ISNUMBER(L9),ISNUMBER(L10),ISNUMBER(L11),ISNUMBER(L12)),Lire_Gain_Matches(L9:L12, N9:N12),"")</f>
        <v/>
      </c>
      <c r="D10" s="152" t="str">
        <f>IF(OR(ISNUMBER(L9),ISNUMBER(L10),ISNUMBER(L11),ISNUMBER(L12)),SUM(L9:L12),"")</f>
        <v/>
      </c>
      <c r="E10" s="153"/>
      <c r="F10" s="154" t="str">
        <f>IF(L13="","",L13)</f>
        <v/>
      </c>
      <c r="G10" s="155"/>
      <c r="H10" s="156"/>
      <c r="I10" s="157"/>
      <c r="J10" s="158"/>
      <c r="K10" s="103"/>
      <c r="L10" s="10"/>
      <c r="M10" s="45" t="s">
        <v>769</v>
      </c>
      <c r="N10" s="10"/>
      <c r="O10" s="79"/>
      <c r="P10" s="159"/>
      <c r="Q10" s="263" t="str">
        <f>IF(C10="","",CONCATENATE(C10,IF(B10=Q11,IF(C10=C12,CONCATENATE(" [ ",D10," - ",D12," ] ",IF(E11="x",N_res_MS,IF(F10="","",CONCATENATE(" (",N_res_Diff," ",F10," - ",F12,")")))),IF(E11="x",N_res_MS,"")),"")))</f>
        <v/>
      </c>
    </row>
    <row r="11" spans="1:66" ht="13.5" thickBot="1" x14ac:dyDescent="0.25">
      <c r="C11" s="160"/>
      <c r="D11" s="161"/>
      <c r="E11" s="162" t="str">
        <f>IF(ISNA(VLOOKUP("X",P9:P12,1,FALSE)),"","X")</f>
        <v/>
      </c>
      <c r="F11" s="163"/>
      <c r="G11" s="164"/>
      <c r="H11" s="156"/>
      <c r="I11" s="157"/>
      <c r="J11" s="158"/>
      <c r="K11" s="103"/>
      <c r="L11" s="10"/>
      <c r="M11" s="45" t="s">
        <v>769</v>
      </c>
      <c r="N11" s="10"/>
      <c r="O11" s="79"/>
      <c r="P11" s="165"/>
      <c r="Q11" s="166" t="str">
        <f>IF(C10="","",IF(C10&gt;C12,B10,IF(C12&gt;C10,B12,IF(D10&gt;D12,B10,IF(D12&gt;D10,B12,IF(F10&gt;F12,B10,IF(F12&gt;F10,B12,mess_erreur_marque)))))))</f>
        <v/>
      </c>
    </row>
    <row r="12" spans="1:66" ht="13.5" thickBot="1" x14ac:dyDescent="0.25">
      <c r="B12" s="128" t="s">
        <v>826</v>
      </c>
      <c r="C12" s="167" t="str">
        <f>IF(OR(ISNUMBER(L9),ISNUMBER(L10),ISNUMBER(L11),ISNUMBER(L12)),Lire_Gain_Matches(N9:N12, L9:L12),"")</f>
        <v/>
      </c>
      <c r="D12" s="168" t="str">
        <f>IF(OR(ISNUMBER(L9),ISNUMBER(L10),ISNUMBER(L11),ISNUMBER(L12)),SUM(N9:N12),"")</f>
        <v/>
      </c>
      <c r="E12" s="169"/>
      <c r="F12" s="170" t="str">
        <f>IF(N13="","",N13)</f>
        <v/>
      </c>
      <c r="G12" s="155"/>
      <c r="H12" s="171"/>
      <c r="I12" s="172"/>
      <c r="J12" s="173"/>
      <c r="K12" s="174"/>
      <c r="L12" s="175"/>
      <c r="M12" s="52" t="s">
        <v>769</v>
      </c>
      <c r="N12" s="175"/>
      <c r="O12" s="96"/>
      <c r="P12" s="176"/>
      <c r="Q12" t="str">
        <f>IF(C12="","",CONCATENATE(C12,IF(B12=Q11,IF(C10=C12,CONCATENATE(" [ ",D12," -",D10," ] ",IF(E11="x",N_res_MS,IF(F12="","",CONCATENATE(" (",N_res_Diff," ",F12," - ",F10,")")))),IF(E11="x",N_res_MS,"")),"")))</f>
        <v/>
      </c>
      <c r="R12" s="139"/>
      <c r="X12" s="3" t="str">
        <f>N_Heure</f>
        <v>Heure</v>
      </c>
      <c r="Y12" s="22" t="str">
        <f>N_Table</f>
        <v>Table</v>
      </c>
      <c r="Z12" s="22" t="str">
        <f>N_Arbitre</f>
        <v>Arbitre</v>
      </c>
      <c r="AA12" s="2490" t="str">
        <f>N_Matches</f>
        <v>Matches</v>
      </c>
      <c r="AB12" s="2491"/>
      <c r="AC12" s="2491"/>
      <c r="AD12" s="2491"/>
      <c r="AE12" s="2492"/>
      <c r="AF12" s="3" t="str">
        <f>N_MS</f>
        <v>MS</v>
      </c>
    </row>
    <row r="13" spans="1:66" ht="13.5" thickBot="1" x14ac:dyDescent="0.25">
      <c r="H13" s="178"/>
      <c r="I13" s="179" t="str">
        <f>N_Différentiel</f>
        <v>Différentiel</v>
      </c>
      <c r="J13" s="180"/>
      <c r="K13" s="181"/>
      <c r="L13" s="182"/>
      <c r="M13" s="66" t="s">
        <v>769</v>
      </c>
      <c r="N13" s="182"/>
      <c r="O13" s="183"/>
      <c r="Q13" s="177"/>
      <c r="S13" s="141" t="str">
        <f>N_Matches</f>
        <v>Matches</v>
      </c>
      <c r="T13" s="142" t="str">
        <f>N_Buts</f>
        <v>Buts</v>
      </c>
      <c r="U13" s="142" t="str">
        <f>N_MS</f>
        <v>MS</v>
      </c>
      <c r="V13" s="143" t="str">
        <f>N_Diff</f>
        <v>Diff</v>
      </c>
      <c r="W13" s="7"/>
      <c r="X13" s="144"/>
      <c r="Y13" s="145"/>
      <c r="Z13" s="146"/>
      <c r="AA13" s="147"/>
      <c r="AB13" s="148"/>
      <c r="AC13" s="35" t="s">
        <v>769</v>
      </c>
      <c r="AD13" s="148"/>
      <c r="AE13" s="149"/>
      <c r="AF13" s="150"/>
    </row>
    <row r="14" spans="1:66" ht="13.5" thickBot="1" x14ac:dyDescent="0.25">
      <c r="H14" s="178"/>
      <c r="I14" s="178"/>
      <c r="J14" s="7"/>
      <c r="K14" s="184"/>
      <c r="L14" s="185"/>
      <c r="M14" s="11"/>
      <c r="N14" s="185"/>
      <c r="O14" s="123"/>
      <c r="R14" s="132" t="str">
        <f>Q11</f>
        <v/>
      </c>
      <c r="S14" s="151" t="str">
        <f>IF(OR(ISNUMBER(AB13),ISNUMBER(AB14),ISNUMBER(AB15),ISNUMBER(AB16)),Lire_Gain_Matches(AB13:AB16, AD13:AD16),"")</f>
        <v/>
      </c>
      <c r="T14" s="152" t="str">
        <f>IF(OR(ISNUMBER(AB13),ISNUMBER(AB14),ISNUMBER(AB15),ISNUMBER(AB16)),SUM(AB13:AB16),"")</f>
        <v/>
      </c>
      <c r="U14" s="153"/>
      <c r="V14" s="154" t="str">
        <f>IF(AB17="","",AB17)</f>
        <v/>
      </c>
      <c r="W14" s="155"/>
      <c r="X14" s="156"/>
      <c r="Y14" s="157"/>
      <c r="Z14" s="158"/>
      <c r="AA14" s="103"/>
      <c r="AB14" s="10"/>
      <c r="AC14" s="45" t="s">
        <v>769</v>
      </c>
      <c r="AD14" s="10"/>
      <c r="AE14" s="79"/>
      <c r="AF14" s="159"/>
      <c r="AG14" s="263" t="str">
        <f>IF(S14="","",CONCATENATE(S14,IF(R14=AG15,IF(S14=S16,CONCATENATE(" [ ",T14," - ",T16," ] ",IF(U15="x",N_res_MS,IF(V14="","",CONCATENATE(" (",N_res_Diff," ",V14," - ",V16,")")))),IF(U15="x",N_res_MS,"")),"")))</f>
        <v/>
      </c>
      <c r="AN14" s="8"/>
      <c r="AO14" s="8"/>
      <c r="AP14" s="8"/>
      <c r="AQ14" s="8"/>
      <c r="AR14" s="8"/>
      <c r="AS14" s="8"/>
      <c r="AT14" s="8"/>
      <c r="AU14" s="8"/>
      <c r="AV14" s="8"/>
    </row>
    <row r="15" spans="1:66" ht="13.5" thickBot="1" x14ac:dyDescent="0.25">
      <c r="S15" s="160"/>
      <c r="T15" s="161"/>
      <c r="U15" s="162" t="str">
        <f>IF(ISNA(VLOOKUP("X",AF13:AF16,1,FALSE)),"","X")</f>
        <v/>
      </c>
      <c r="V15" s="163"/>
      <c r="W15" s="186"/>
      <c r="X15" s="156"/>
      <c r="Y15" s="157"/>
      <c r="Z15" s="158"/>
      <c r="AA15" s="103"/>
      <c r="AB15" s="10"/>
      <c r="AC15" s="45" t="s">
        <v>769</v>
      </c>
      <c r="AD15" s="10"/>
      <c r="AE15" s="79"/>
      <c r="AF15" s="165"/>
      <c r="AG15" s="187" t="str">
        <f>IF(S14="","",IF(S14&gt;S16,R14,IF(S16&gt;S14,R16,IF(T14&gt;T16,R14,IF(T16&gt;T14,R16,IF(V14&gt;V16,R14,IF(V16&gt;V14,R16,mess_erreur_marque)))))))</f>
        <v/>
      </c>
    </row>
    <row r="16" spans="1:66" ht="13.5" thickBot="1" x14ac:dyDescent="0.25">
      <c r="H16" s="3" t="str">
        <f>N_Heure</f>
        <v>Heure</v>
      </c>
      <c r="I16" s="22" t="str">
        <f>N_Table</f>
        <v>Table</v>
      </c>
      <c r="J16" s="22" t="str">
        <f>N_Arbitre</f>
        <v>Arbitre</v>
      </c>
      <c r="K16" s="2490" t="str">
        <f>N_Matches</f>
        <v>Matches</v>
      </c>
      <c r="L16" s="2491"/>
      <c r="M16" s="2491"/>
      <c r="N16" s="2491"/>
      <c r="O16" s="2492"/>
      <c r="P16" s="3" t="str">
        <f>N_MS</f>
        <v>MS</v>
      </c>
      <c r="R16" s="132" t="str">
        <f>Q19</f>
        <v/>
      </c>
      <c r="S16" s="167" t="str">
        <f>IF(OR(ISNUMBER(AB13),ISNUMBER(AB14),ISNUMBER(AB15),ISNUMBER(AB16)),Lire_Gain_Matches(AD13:AD16, AB13:AB16),"")</f>
        <v/>
      </c>
      <c r="T16" s="168" t="str">
        <f>IF(OR(ISNUMBER(AB13),ISNUMBER(AB14),ISNUMBER(AB15),ISNUMBER(AB16)),SUM(AD13:AD16),"")</f>
        <v/>
      </c>
      <c r="U16" s="169"/>
      <c r="V16" s="170" t="str">
        <f>IF(AD17="","",AD17)</f>
        <v/>
      </c>
      <c r="W16" s="155"/>
      <c r="X16" s="171"/>
      <c r="Y16" s="172"/>
      <c r="Z16" s="173"/>
      <c r="AA16" s="174"/>
      <c r="AB16" s="175"/>
      <c r="AC16" s="52" t="s">
        <v>769</v>
      </c>
      <c r="AD16" s="175"/>
      <c r="AE16" s="96"/>
      <c r="AF16" s="176"/>
      <c r="AG16" s="265" t="str">
        <f>IF(S16="","",CONCATENATE(S16,IF(R16=AG15,IF(S14=S16,CONCATENATE(" [ ",T16," -",T14," ] ",IF(U15="x",N_res_MS,IF(V16="","",CONCATENATE(" (",N_res_Diff," ",V16," - ",V14,")")))),IF(U15="x",N_res_MS,"")),"")))</f>
        <v/>
      </c>
    </row>
    <row r="17" spans="2:49" ht="13.5" thickBot="1" x14ac:dyDescent="0.25">
      <c r="C17" s="141" t="str">
        <f>N_Matches</f>
        <v>Matches</v>
      </c>
      <c r="D17" s="142" t="str">
        <f>N_Buts</f>
        <v>Buts</v>
      </c>
      <c r="E17" s="142" t="str">
        <f>N_MS</f>
        <v>MS</v>
      </c>
      <c r="F17" s="143" t="str">
        <f>N_Diff</f>
        <v>Diff</v>
      </c>
      <c r="G17" s="7"/>
      <c r="H17" s="144"/>
      <c r="I17" s="145"/>
      <c r="J17" s="146"/>
      <c r="K17" s="147"/>
      <c r="L17" s="148"/>
      <c r="M17" s="35" t="s">
        <v>769</v>
      </c>
      <c r="N17" s="148"/>
      <c r="O17" s="149"/>
      <c r="P17" s="150"/>
      <c r="Q17" s="177"/>
      <c r="X17" s="178"/>
      <c r="Y17" s="179" t="str">
        <f>N_Différentiel</f>
        <v>Différentiel</v>
      </c>
      <c r="Z17" s="180"/>
      <c r="AA17" s="181"/>
      <c r="AB17" s="182"/>
      <c r="AC17" s="66" t="s">
        <v>769</v>
      </c>
      <c r="AD17" s="182"/>
      <c r="AE17" s="183"/>
      <c r="AG17" s="177"/>
    </row>
    <row r="18" spans="2:49" ht="13.5" thickBot="1" x14ac:dyDescent="0.25">
      <c r="B18" s="128" t="s">
        <v>827</v>
      </c>
      <c r="C18" s="151" t="str">
        <f>IF(OR(ISNUMBER(L17),ISNUMBER(L18),ISNUMBER(L19),ISNUMBER(L20)),Lire_Gain_Matches(L17:L20, N17:N20),"")</f>
        <v/>
      </c>
      <c r="D18" s="152" t="str">
        <f>IF(OR(ISNUMBER(L17),ISNUMBER(L18),ISNUMBER(L19),ISNUMBER(L20)),SUM(L17:L20),"")</f>
        <v/>
      </c>
      <c r="E18" s="153"/>
      <c r="F18" s="154" t="str">
        <f>IF(L21="","",L21)</f>
        <v/>
      </c>
      <c r="G18" s="155"/>
      <c r="H18" s="156"/>
      <c r="I18" s="157"/>
      <c r="J18" s="158"/>
      <c r="K18" s="103"/>
      <c r="L18" s="10"/>
      <c r="M18" s="45" t="s">
        <v>769</v>
      </c>
      <c r="N18" s="10"/>
      <c r="O18" s="79"/>
      <c r="P18" s="159"/>
      <c r="Q18" s="263" t="str">
        <f>IF(C18="","",CONCATENATE(C18,IF(B18=Q19,IF(C18=C20,CONCATENATE(" [ ",D18," - ",D20," ] ",IF(E19="x",N_res_MS,IF(F18="","",CONCATENATE(" (",N_res_Diff," ",F18," - ",F20,")")))),IF(E19="x",N_res_MS,"")),"")))</f>
        <v/>
      </c>
      <c r="R18" s="139"/>
      <c r="AG18" s="177"/>
    </row>
    <row r="19" spans="2:49" ht="13.5" thickBot="1" x14ac:dyDescent="0.25">
      <c r="C19" s="160"/>
      <c r="D19" s="161"/>
      <c r="E19" s="162" t="str">
        <f>IF(ISNA(VLOOKUP("X",P17:P20,1,FALSE)),"","X")</f>
        <v/>
      </c>
      <c r="F19" s="163"/>
      <c r="G19" s="164"/>
      <c r="H19" s="156"/>
      <c r="I19" s="157"/>
      <c r="J19" s="158"/>
      <c r="K19" s="103"/>
      <c r="L19" s="10"/>
      <c r="M19" s="45" t="s">
        <v>769</v>
      </c>
      <c r="N19" s="10"/>
      <c r="O19" s="79"/>
      <c r="P19" s="165"/>
      <c r="Q19" s="166" t="str">
        <f>IF(C18="","",IF(C18&gt;C20,B18,IF(C20&gt;C18,B20,IF(D18&gt;D20,B18,IF(D20&gt;D18,B20,IF(F18&gt;F20,B18,IF(F20&gt;F18,B20,mess_erreur_marque)))))))</f>
        <v/>
      </c>
      <c r="AG19" s="177"/>
    </row>
    <row r="20" spans="2:49" ht="13.5" thickBot="1" x14ac:dyDescent="0.25">
      <c r="B20" s="128" t="s">
        <v>828</v>
      </c>
      <c r="C20" s="167" t="str">
        <f>IF(OR(ISNUMBER(L17),ISNUMBER(L18),ISNUMBER(L19),ISNUMBER(L20)),Lire_Gain_Matches(N17:N20, L17:L20),"")</f>
        <v/>
      </c>
      <c r="D20" s="168" t="str">
        <f>IF(OR(ISNUMBER(L17),ISNUMBER(L18),ISNUMBER(L19),ISNUMBER(L20)),SUM(N17:N20),"")</f>
        <v/>
      </c>
      <c r="E20" s="169"/>
      <c r="F20" s="170" t="str">
        <f>IF(N21="","",N21)</f>
        <v/>
      </c>
      <c r="G20" s="155"/>
      <c r="H20" s="171"/>
      <c r="I20" s="172"/>
      <c r="J20" s="173"/>
      <c r="K20" s="174"/>
      <c r="L20" s="175"/>
      <c r="M20" s="52" t="s">
        <v>769</v>
      </c>
      <c r="N20" s="175"/>
      <c r="O20" s="96"/>
      <c r="P20" s="176"/>
      <c r="Q20" t="str">
        <f>IF(C20="","",CONCATENATE(C20,IF(B20=Q19,IF(C18=C20,CONCATENATE(" [ ",D20," -",D18," ] ",IF(E19="x",N_res_MS,IF(F20="","",CONCATENATE(" (",N_res_Diff," ",F20," - ",F18,")")))),IF(E19="x",N_res_MS,"")),"")))</f>
        <v/>
      </c>
      <c r="AG20" s="177"/>
      <c r="AN20" s="3" t="str">
        <f>N_Heure</f>
        <v>Heure</v>
      </c>
      <c r="AO20" s="22" t="str">
        <f>N_Table</f>
        <v>Table</v>
      </c>
      <c r="AP20" s="22" t="str">
        <f>N_Arbitre</f>
        <v>Arbitre</v>
      </c>
      <c r="AQ20" s="2490" t="str">
        <f>N_Matches</f>
        <v>Matches</v>
      </c>
      <c r="AR20" s="2491"/>
      <c r="AS20" s="2491"/>
      <c r="AT20" s="2491"/>
      <c r="AU20" s="2492"/>
      <c r="AV20" s="3" t="str">
        <f>N_MS</f>
        <v>MS</v>
      </c>
    </row>
    <row r="21" spans="2:49" ht="13.5" thickBot="1" x14ac:dyDescent="0.25">
      <c r="H21" s="178"/>
      <c r="I21" s="179" t="str">
        <f>N_Différentiel</f>
        <v>Différentiel</v>
      </c>
      <c r="J21" s="180"/>
      <c r="K21" s="181"/>
      <c r="L21" s="182"/>
      <c r="M21" s="66" t="s">
        <v>769</v>
      </c>
      <c r="N21" s="182"/>
      <c r="O21" s="183"/>
      <c r="AG21" s="177"/>
      <c r="AI21" s="141" t="str">
        <f>N_Matches</f>
        <v>Matches</v>
      </c>
      <c r="AJ21" s="142" t="str">
        <f>N_Buts</f>
        <v>Buts</v>
      </c>
      <c r="AK21" s="142" t="str">
        <f>N_MS</f>
        <v>MS</v>
      </c>
      <c r="AL21" s="143" t="str">
        <f>N_Diff</f>
        <v>Diff</v>
      </c>
      <c r="AM21" s="7"/>
      <c r="AN21" s="144"/>
      <c r="AO21" s="145"/>
      <c r="AP21" s="146"/>
      <c r="AQ21" s="147"/>
      <c r="AR21" s="148"/>
      <c r="AS21" s="35" t="s">
        <v>769</v>
      </c>
      <c r="AT21" s="148"/>
      <c r="AU21" s="149"/>
      <c r="AV21" s="150"/>
    </row>
    <row r="22" spans="2:49" ht="13.5" thickBot="1" x14ac:dyDescent="0.25">
      <c r="H22" s="178"/>
      <c r="I22" s="178"/>
      <c r="J22" s="7"/>
      <c r="K22" s="184"/>
      <c r="L22" s="185"/>
      <c r="M22" s="11"/>
      <c r="N22" s="185"/>
      <c r="O22" s="123"/>
      <c r="AH22" s="135" t="str">
        <f>AG15</f>
        <v/>
      </c>
      <c r="AI22" s="151" t="str">
        <f>IF(OR(ISNUMBER(AR21),ISNUMBER(AR22),ISNUMBER(AR23),ISNUMBER(AR24)),Lire_Gain_Matches(AR21:AR24, AT21:AT24),"")</f>
        <v/>
      </c>
      <c r="AJ22" s="152" t="str">
        <f>IF(OR(ISNUMBER(AR21),ISNUMBER(AR22),ISNUMBER(AR23),ISNUMBER(AR24)),SUM(AR21:AR24),"")</f>
        <v/>
      </c>
      <c r="AK22" s="153"/>
      <c r="AL22" s="154" t="str">
        <f>IF(AR25="","",AR25)</f>
        <v/>
      </c>
      <c r="AM22" s="155"/>
      <c r="AN22" s="156"/>
      <c r="AO22" s="157"/>
      <c r="AP22" s="158"/>
      <c r="AQ22" s="103"/>
      <c r="AR22" s="10"/>
      <c r="AS22" s="45" t="s">
        <v>769</v>
      </c>
      <c r="AT22" s="10"/>
      <c r="AU22" s="79"/>
      <c r="AV22" s="159"/>
      <c r="AW22" s="263" t="str">
        <f>IF(AI22="","",CONCATENATE(AI22,IF(AH22=AW23,IF(AI22=AI24,CONCATENATE(" [ ",AJ22," - ",AJ24," ] ",IF(AK23="x",N_res_MS,IF(AL22="","",CONCATENATE(" (",N_res_Diff," ",AL22," - ",AL24,")")))),IF(AK23="x",N_res_MS,"")),"")))</f>
        <v/>
      </c>
    </row>
    <row r="23" spans="2:49" ht="13.5" thickBot="1" x14ac:dyDescent="0.25">
      <c r="AI23" s="160"/>
      <c r="AJ23" s="161"/>
      <c r="AK23" s="162" t="str">
        <f>IF(ISNA(VLOOKUP("X",AV21:AV24,1,FALSE)),"","X")</f>
        <v/>
      </c>
      <c r="AL23" s="163"/>
      <c r="AM23" s="188"/>
      <c r="AN23" s="156"/>
      <c r="AO23" s="157"/>
      <c r="AP23" s="158"/>
      <c r="AQ23" s="103"/>
      <c r="AR23" s="10"/>
      <c r="AS23" s="45" t="s">
        <v>769</v>
      </c>
      <c r="AT23" s="10"/>
      <c r="AU23" s="79"/>
      <c r="AV23" s="165"/>
      <c r="AW23" s="189" t="str">
        <f>IF(AI22="","",IF(AI22&gt;AI24,AH22,IF(AI24&gt;AI22,AH24,IF(AJ22&gt;AJ24,AH22,IF(AJ24&gt;AJ22,AH24,IF(AL22&gt;AL24,AH22,IF(AL24&gt;AL22,AH24,mess_erreur_marque)))))))</f>
        <v/>
      </c>
    </row>
    <row r="24" spans="2:49" ht="13.5" thickBot="1" x14ac:dyDescent="0.25">
      <c r="H24" s="3" t="str">
        <f>N_Heure</f>
        <v>Heure</v>
      </c>
      <c r="I24" s="22" t="str">
        <f>N_Table</f>
        <v>Table</v>
      </c>
      <c r="J24" s="22" t="str">
        <f>N_Arbitre</f>
        <v>Arbitre</v>
      </c>
      <c r="K24" s="2490" t="str">
        <f>N_Matches</f>
        <v>Matches</v>
      </c>
      <c r="L24" s="2491"/>
      <c r="M24" s="2491"/>
      <c r="N24" s="2491"/>
      <c r="O24" s="2492"/>
      <c r="P24" s="3" t="str">
        <f>N_MS</f>
        <v>MS</v>
      </c>
      <c r="AH24" s="135" t="str">
        <f>AG31</f>
        <v/>
      </c>
      <c r="AI24" s="167" t="str">
        <f>IF(OR(ISNUMBER(AR21),ISNUMBER(AR22),ISNUMBER(AR23),ISNUMBER(AR24)),Lire_Gain_Matches(AT21:AT24, AR21:AR24),"")</f>
        <v/>
      </c>
      <c r="AJ24" s="168" t="str">
        <f>IF(OR(ISNUMBER(AR21),ISNUMBER(AR22),ISNUMBER(AR23),ISNUMBER(AR24)),SUM(AT21:AT24),"")</f>
        <v/>
      </c>
      <c r="AK24" s="169"/>
      <c r="AL24" s="170" t="str">
        <f>IF(AT25="","",AT25)</f>
        <v/>
      </c>
      <c r="AM24" s="155"/>
      <c r="AN24" s="171"/>
      <c r="AO24" s="172"/>
      <c r="AP24" s="173"/>
      <c r="AQ24" s="174"/>
      <c r="AR24" s="175"/>
      <c r="AS24" s="52" t="s">
        <v>769</v>
      </c>
      <c r="AT24" s="175"/>
      <c r="AU24" s="96"/>
      <c r="AV24" s="176"/>
      <c r="AW24" s="265" t="str">
        <f>IF(AI24="","",CONCATENATE(AI24,IF(AH24=AW23,IF(AI22=AI24,CONCATENATE(" [ ",AJ24," -",AJ22," ] ",IF(AK23="x",N_res_MS,IF(AL24="","",CONCATENATE(" (",N_res_Diff," ",AL24," - ",AL22,")")))),IF(AK23="x",N_res_MS,"")),"")))</f>
        <v/>
      </c>
    </row>
    <row r="25" spans="2:49" ht="13.5" thickBot="1" x14ac:dyDescent="0.25">
      <c r="C25" s="141" t="str">
        <f>N_Matches</f>
        <v>Matches</v>
      </c>
      <c r="D25" s="142" t="str">
        <f>N_Buts</f>
        <v>Buts</v>
      </c>
      <c r="E25" s="142" t="str">
        <f>N_MS</f>
        <v>MS</v>
      </c>
      <c r="F25" s="143" t="str">
        <f>N_Diff</f>
        <v>Diff</v>
      </c>
      <c r="G25" s="7"/>
      <c r="H25" s="144"/>
      <c r="I25" s="145"/>
      <c r="J25" s="146"/>
      <c r="K25" s="147"/>
      <c r="L25" s="148"/>
      <c r="M25" s="35" t="s">
        <v>769</v>
      </c>
      <c r="N25" s="148"/>
      <c r="O25" s="149"/>
      <c r="P25" s="150"/>
      <c r="AG25" s="177"/>
      <c r="AN25" s="178"/>
      <c r="AO25" s="179" t="str">
        <f>N_Différentiel</f>
        <v>Différentiel</v>
      </c>
      <c r="AP25" s="180"/>
      <c r="AQ25" s="181"/>
      <c r="AR25" s="182"/>
      <c r="AS25" s="66" t="s">
        <v>769</v>
      </c>
      <c r="AT25" s="182"/>
      <c r="AU25" s="183"/>
      <c r="AW25" s="177"/>
    </row>
    <row r="26" spans="2:49" ht="13.5" thickBot="1" x14ac:dyDescent="0.25">
      <c r="B26" s="128" t="s">
        <v>825</v>
      </c>
      <c r="C26" s="151" t="str">
        <f>IF(OR(ISNUMBER(L25),ISNUMBER(L26),ISNUMBER(L27),ISNUMBER(L28)),Lire_Gain_Matches(L25:L28, N25:N28),"")</f>
        <v/>
      </c>
      <c r="D26" s="152" t="str">
        <f>IF(OR(ISNUMBER(L25),ISNUMBER(L26),ISNUMBER(L27),ISNUMBER(L28)),SUM(L25:L28),"")</f>
        <v/>
      </c>
      <c r="E26" s="153"/>
      <c r="F26" s="154" t="str">
        <f>IF(L29="","",L29)</f>
        <v/>
      </c>
      <c r="G26" s="155"/>
      <c r="H26" s="156"/>
      <c r="I26" s="157"/>
      <c r="J26" s="158"/>
      <c r="K26" s="103"/>
      <c r="L26" s="10"/>
      <c r="M26" s="45" t="s">
        <v>769</v>
      </c>
      <c r="N26" s="10"/>
      <c r="O26" s="79"/>
      <c r="P26" s="159"/>
      <c r="Q26" s="263" t="str">
        <f>IF(C26="","",CONCATENATE(C26,IF(B26=Q27,IF(C26=C28,CONCATENATE(" [ ",D26," - ",D28," ] ",IF(E27="x",N_res_MS,IF(F26="","",CONCATENATE(" (",N_res_Diff," ",F26," - ",F28,")")))),IF(E27="x",N_res_MS,"")),"")))</f>
        <v/>
      </c>
      <c r="AG26" s="177"/>
      <c r="AW26" s="177"/>
    </row>
    <row r="27" spans="2:49" ht="13.5" thickBot="1" x14ac:dyDescent="0.25">
      <c r="C27" s="160"/>
      <c r="D27" s="161"/>
      <c r="E27" s="162" t="str">
        <f>IF(ISNA(VLOOKUP("X",P25:P28,1,FALSE)),"","X")</f>
        <v/>
      </c>
      <c r="F27" s="163"/>
      <c r="G27" s="164"/>
      <c r="H27" s="156"/>
      <c r="I27" s="157"/>
      <c r="J27" s="158"/>
      <c r="K27" s="103"/>
      <c r="L27" s="10"/>
      <c r="M27" s="45" t="s">
        <v>769</v>
      </c>
      <c r="N27" s="10"/>
      <c r="O27" s="79"/>
      <c r="P27" s="165"/>
      <c r="Q27" s="166" t="str">
        <f>IF(C26="","",IF(C26&gt;C28,B26,IF(C28&gt;C26,B28,IF(D26&gt;D28,B26,IF(D28&gt;D26,B28,IF(F26&gt;F28,B26,IF(F28&gt;F26,B28,mess_erreur_marque)))))))</f>
        <v/>
      </c>
      <c r="AG27" s="177"/>
      <c r="AW27" s="177"/>
    </row>
    <row r="28" spans="2:49" ht="13.5" thickBot="1" x14ac:dyDescent="0.25">
      <c r="B28" s="128" t="s">
        <v>826</v>
      </c>
      <c r="C28" s="167" t="str">
        <f>IF(OR(ISNUMBER(L25),ISNUMBER(L26),ISNUMBER(L27),ISNUMBER(L28)),Lire_Gain_Matches(N25:N28, L25:L28),"")</f>
        <v/>
      </c>
      <c r="D28" s="168" t="str">
        <f>IF(OR(ISNUMBER(L25),ISNUMBER(L26),ISNUMBER(L27),ISNUMBER(L28)),SUM(N25:N28),"")</f>
        <v/>
      </c>
      <c r="E28" s="169"/>
      <c r="F28" s="170" t="str">
        <f>IF(N29="","",N29)</f>
        <v/>
      </c>
      <c r="G28" s="155"/>
      <c r="H28" s="171"/>
      <c r="I28" s="172"/>
      <c r="J28" s="173"/>
      <c r="K28" s="174"/>
      <c r="L28" s="175"/>
      <c r="M28" s="52" t="s">
        <v>769</v>
      </c>
      <c r="N28" s="175"/>
      <c r="O28" s="96"/>
      <c r="P28" s="176"/>
      <c r="Q28" t="str">
        <f>IF(C28="","",CONCATENATE(C28,IF(B28=Q27,IF(C26=C28,CONCATENATE(" [ ",D28," -",D26," ] ",IF(E27="x",N_res_MS,IF(F28="","",CONCATENATE(" (",N_res_Diff," ",F28," - ",F26,")")))),IF(E27="x",N_res_MS,"")),"")))</f>
        <v/>
      </c>
      <c r="R28" s="139"/>
      <c r="X28" s="3" t="str">
        <f>N_Heure</f>
        <v>Heure</v>
      </c>
      <c r="Y28" s="22" t="str">
        <f>N_Table</f>
        <v>Table</v>
      </c>
      <c r="Z28" s="22" t="str">
        <f>N_Arbitre</f>
        <v>Arbitre</v>
      </c>
      <c r="AA28" s="2490" t="str">
        <f>N_Matches</f>
        <v>Matches</v>
      </c>
      <c r="AB28" s="2491"/>
      <c r="AC28" s="2491"/>
      <c r="AD28" s="2491"/>
      <c r="AE28" s="2492"/>
      <c r="AF28" s="3" t="str">
        <f>N_MS</f>
        <v>MS</v>
      </c>
      <c r="AG28" s="177"/>
      <c r="AW28" s="177"/>
    </row>
    <row r="29" spans="2:49" ht="13.5" thickBot="1" x14ac:dyDescent="0.25">
      <c r="H29" s="178"/>
      <c r="I29" s="179" t="str">
        <f>N_Différentiel</f>
        <v>Différentiel</v>
      </c>
      <c r="J29" s="180"/>
      <c r="K29" s="181"/>
      <c r="L29" s="182"/>
      <c r="M29" s="66" t="s">
        <v>769</v>
      </c>
      <c r="N29" s="182"/>
      <c r="O29" s="183"/>
      <c r="Q29" s="177"/>
      <c r="S29" s="141" t="str">
        <f>N_Matches</f>
        <v>Matches</v>
      </c>
      <c r="T29" s="142" t="str">
        <f>N_Buts</f>
        <v>Buts</v>
      </c>
      <c r="U29" s="142" t="str">
        <f>N_MS</f>
        <v>MS</v>
      </c>
      <c r="V29" s="143" t="str">
        <f>N_Diff</f>
        <v>Diff</v>
      </c>
      <c r="W29" s="7"/>
      <c r="X29" s="144"/>
      <c r="Y29" s="145"/>
      <c r="Z29" s="146"/>
      <c r="AA29" s="147"/>
      <c r="AB29" s="148"/>
      <c r="AC29" s="35" t="s">
        <v>769</v>
      </c>
      <c r="AD29" s="148"/>
      <c r="AE29" s="149"/>
      <c r="AF29" s="150"/>
      <c r="AG29" s="177"/>
      <c r="AW29" s="177"/>
    </row>
    <row r="30" spans="2:49" ht="13.5" thickBot="1" x14ac:dyDescent="0.25">
      <c r="H30" s="178"/>
      <c r="I30" s="178"/>
      <c r="J30" s="7"/>
      <c r="K30" s="184"/>
      <c r="L30" s="185"/>
      <c r="M30" s="11"/>
      <c r="N30" s="185"/>
      <c r="O30" s="123"/>
      <c r="R30" s="132" t="str">
        <f>Q27</f>
        <v/>
      </c>
      <c r="S30" s="151" t="str">
        <f>IF(OR(ISNUMBER(AB29),ISNUMBER(AB30),ISNUMBER(AB31),ISNUMBER(AB32)),Lire_Gain_Matches(AB29:AB32, AD29:AD32),"")</f>
        <v/>
      </c>
      <c r="T30" s="152" t="str">
        <f>IF(OR(ISNUMBER(AB29),ISNUMBER(AB30),ISNUMBER(AB31),ISNUMBER(AB32)),SUM(AB29:AB32),"")</f>
        <v/>
      </c>
      <c r="U30" s="153"/>
      <c r="V30" s="154" t="str">
        <f>IF(AB33="","",AB33)</f>
        <v/>
      </c>
      <c r="W30" s="155"/>
      <c r="X30" s="156"/>
      <c r="Y30" s="157"/>
      <c r="Z30" s="158"/>
      <c r="AA30" s="103"/>
      <c r="AB30" s="10"/>
      <c r="AC30" s="45" t="s">
        <v>769</v>
      </c>
      <c r="AD30" s="10"/>
      <c r="AE30" s="79"/>
      <c r="AF30" s="159"/>
      <c r="AG30" s="264" t="str">
        <f>IF(S30="","",CONCATENATE(S30,IF(R30=AG31,IF(S30=S32,CONCATENATE(" [ ",T30," - ",T32," ] ",IF(U31="x",N_res_MS,IF(V30="","",CONCATENATE(" (",N_res_Diff," ",V30," - ",V32,")")))),IF(U31="x",N_res_MS,"")),"")))</f>
        <v/>
      </c>
      <c r="AN30" s="8"/>
      <c r="AO30" s="8"/>
      <c r="AP30" s="8"/>
      <c r="AQ30" s="8"/>
      <c r="AR30" s="8"/>
      <c r="AS30" s="8"/>
      <c r="AT30" s="8"/>
      <c r="AU30" s="8"/>
      <c r="AV30" s="8"/>
      <c r="AW30" s="177"/>
    </row>
    <row r="31" spans="2:49" ht="13.5" thickBot="1" x14ac:dyDescent="0.25">
      <c r="S31" s="160"/>
      <c r="T31" s="161"/>
      <c r="U31" s="162" t="str">
        <f>IF(ISNA(VLOOKUP("X",AF29:AF32,1,FALSE)),"","X")</f>
        <v/>
      </c>
      <c r="V31" s="163"/>
      <c r="W31" s="186"/>
      <c r="X31" s="156"/>
      <c r="Y31" s="157"/>
      <c r="Z31" s="158"/>
      <c r="AA31" s="103"/>
      <c r="AB31" s="10"/>
      <c r="AC31" s="45" t="s">
        <v>769</v>
      </c>
      <c r="AD31" s="10"/>
      <c r="AE31" s="79"/>
      <c r="AF31" s="165"/>
      <c r="AG31" s="187" t="str">
        <f>IF(S30="","",IF(S30&gt;S32,R30,IF(S32&gt;S30,R32,IF(T30&gt;T32,R30,IF(T32&gt;T30,R32,IF(V30&gt;V32,R30,IF(V32&gt;V30,R32,mess_erreur_marque)))))))</f>
        <v/>
      </c>
      <c r="AW31" s="177"/>
    </row>
    <row r="32" spans="2:49" ht="13.5" thickBot="1" x14ac:dyDescent="0.25">
      <c r="H32" s="3" t="str">
        <f>N_Heure</f>
        <v>Heure</v>
      </c>
      <c r="I32" s="22" t="str">
        <f>N_Table</f>
        <v>Table</v>
      </c>
      <c r="J32" s="22" t="str">
        <f>N_Arbitre</f>
        <v>Arbitre</v>
      </c>
      <c r="K32" s="2490" t="str">
        <f>N_Matches</f>
        <v>Matches</v>
      </c>
      <c r="L32" s="2491"/>
      <c r="M32" s="2491"/>
      <c r="N32" s="2491"/>
      <c r="O32" s="2492"/>
      <c r="P32" s="3" t="str">
        <f>N_MS</f>
        <v>MS</v>
      </c>
      <c r="R32" s="132" t="str">
        <f>Q35</f>
        <v/>
      </c>
      <c r="S32" s="167" t="str">
        <f>IF(OR(ISNUMBER(AB29),ISNUMBER(AB30),ISNUMBER(AB31),ISNUMBER(AB32)),Lire_Gain_Matches(AD29:AD32, AB29:AB32),"")</f>
        <v/>
      </c>
      <c r="T32" s="168" t="str">
        <f>IF(OR(ISNUMBER(AB29),ISNUMBER(AB30),ISNUMBER(AB31),ISNUMBER(AB32)),SUM(AD29:AD32),"")</f>
        <v/>
      </c>
      <c r="U32" s="169"/>
      <c r="V32" s="170" t="str">
        <f>IF(AD33="","",AD33)</f>
        <v/>
      </c>
      <c r="W32" s="155"/>
      <c r="X32" s="171"/>
      <c r="Y32" s="172"/>
      <c r="Z32" s="173"/>
      <c r="AA32" s="174"/>
      <c r="AB32" s="175"/>
      <c r="AC32" s="52" t="s">
        <v>769</v>
      </c>
      <c r="AD32" s="175"/>
      <c r="AE32" s="96"/>
      <c r="AF32" s="176"/>
      <c r="AG32" t="str">
        <f>IF(S32="","",CONCATENATE(S32,IF(R32=AG31,IF(S30=S32,CONCATENATE(" [ ",T32," -",T30," ] ",IF(U31="x",N_res_MS,IF(V32="","",CONCATENATE(" (",N_res_Diff," ",V32," - ",V30,")")))),IF(U31="x",N_res_MS,"")),"")))</f>
        <v/>
      </c>
      <c r="AW32" s="177"/>
    </row>
    <row r="33" spans="2:74" ht="13.5" thickBot="1" x14ac:dyDescent="0.25">
      <c r="C33" s="141" t="str">
        <f>N_Matches</f>
        <v>Matches</v>
      </c>
      <c r="D33" s="142" t="str">
        <f>N_Buts</f>
        <v>Buts</v>
      </c>
      <c r="E33" s="142" t="str">
        <f>N_MS</f>
        <v>MS</v>
      </c>
      <c r="F33" s="143" t="str">
        <f>N_Diff</f>
        <v>Diff</v>
      </c>
      <c r="G33" s="7"/>
      <c r="H33" s="144"/>
      <c r="I33" s="145"/>
      <c r="J33" s="146"/>
      <c r="K33" s="147"/>
      <c r="L33" s="148"/>
      <c r="M33" s="35" t="s">
        <v>769</v>
      </c>
      <c r="N33" s="148"/>
      <c r="O33" s="149"/>
      <c r="P33" s="150"/>
      <c r="Q33" s="177"/>
      <c r="X33" s="178"/>
      <c r="Y33" s="179" t="str">
        <f>N_Différentiel</f>
        <v>Différentiel</v>
      </c>
      <c r="Z33" s="180"/>
      <c r="AA33" s="181"/>
      <c r="AB33" s="182"/>
      <c r="AC33" s="66" t="s">
        <v>769</v>
      </c>
      <c r="AD33" s="182"/>
      <c r="AE33" s="183"/>
      <c r="AW33" s="177"/>
    </row>
    <row r="34" spans="2:74" ht="13.5" thickBot="1" x14ac:dyDescent="0.25">
      <c r="B34" s="128"/>
      <c r="C34" s="151"/>
      <c r="D34" s="152"/>
      <c r="E34" s="153"/>
      <c r="F34" s="154" t="str">
        <f>IF(L37="","",L37)</f>
        <v/>
      </c>
      <c r="G34" s="155"/>
      <c r="H34" s="156"/>
      <c r="I34" s="157"/>
      <c r="J34" s="158"/>
      <c r="K34" s="103"/>
      <c r="L34" s="10"/>
      <c r="M34" s="45" t="s">
        <v>769</v>
      </c>
      <c r="N34" s="10"/>
      <c r="O34" s="79"/>
      <c r="P34" s="159"/>
      <c r="Q34" s="263" t="str">
        <f>IF(C34="","",CONCATENATE(C34,IF(B34=Q35,IF(C34=C36,CONCATENATE(" [ ",D34," - ",D36," ] ",IF(E35="x",N_res_MS,IF(F34="","",CONCATENATE(" (",N_res_Diff," ",F34," - ",F36,")")))),IF(E35="x",N_res_MS,"")),"")))</f>
        <v/>
      </c>
      <c r="R34" s="139"/>
      <c r="AW34" s="177"/>
    </row>
    <row r="35" spans="2:74" ht="13.5" thickBot="1" x14ac:dyDescent="0.25">
      <c r="C35" s="160"/>
      <c r="D35" s="161"/>
      <c r="E35" s="162" t="str">
        <f>IF(ISNA(VLOOKUP("X",P33:P36,1,FALSE)),"","X")</f>
        <v/>
      </c>
      <c r="F35" s="163"/>
      <c r="G35" s="164"/>
      <c r="H35" s="156"/>
      <c r="I35" s="157"/>
      <c r="J35" s="158"/>
      <c r="K35" s="103"/>
      <c r="L35" s="10"/>
      <c r="M35" s="45" t="s">
        <v>769</v>
      </c>
      <c r="N35" s="10"/>
      <c r="O35" s="79"/>
      <c r="P35" s="165"/>
      <c r="Q35" s="166" t="str">
        <f>IF(C34="","",IF(C34&gt;C36,B34,IF(C36&gt;C34,B36,IF(D34&gt;D36,B34,IF(D36&gt;D34,B36,IF(F34&gt;F36,B34,IF(F36&gt;F34,B36,mess_erreur_marque)))))))</f>
        <v/>
      </c>
      <c r="AW35" s="177"/>
      <c r="BD35" s="3" t="str">
        <f>N_Heure</f>
        <v>Heure</v>
      </c>
      <c r="BE35" s="22" t="str">
        <f>N_Table</f>
        <v>Table</v>
      </c>
      <c r="BF35" s="22" t="str">
        <f>N_Arbitre</f>
        <v>Arbitre</v>
      </c>
      <c r="BG35" s="2490" t="str">
        <f>N_Matches</f>
        <v>Matches</v>
      </c>
      <c r="BH35" s="2491"/>
      <c r="BI35" s="2491"/>
      <c r="BJ35" s="2491"/>
      <c r="BK35" s="2492"/>
      <c r="BL35" s="3" t="str">
        <f>N_MS</f>
        <v>MS</v>
      </c>
    </row>
    <row r="36" spans="2:74" ht="13.5" thickBot="1" x14ac:dyDescent="0.25">
      <c r="B36" s="128"/>
      <c r="C36" s="167"/>
      <c r="D36" s="168"/>
      <c r="E36" s="169"/>
      <c r="F36" s="170" t="str">
        <f>IF(N37="","",N37)</f>
        <v/>
      </c>
      <c r="G36" s="155"/>
      <c r="H36" s="171"/>
      <c r="I36" s="172"/>
      <c r="J36" s="173"/>
      <c r="K36" s="174"/>
      <c r="L36" s="175"/>
      <c r="M36" s="52" t="s">
        <v>769</v>
      </c>
      <c r="N36" s="175"/>
      <c r="O36" s="96"/>
      <c r="P36" s="176"/>
      <c r="Q36" t="str">
        <f>IF(C36="","",CONCATENATE(C36,IF(B36=Q35,IF(C34=C36,CONCATENATE(" [ ",D36," -",D34," ] ",IF(E35="x",N_res_MS,IF(F36="","",CONCATENATE(" (",N_res_Diff," ",F36," - ",F34,")")))),IF(E35="x",N_res_MS,"")),"")))</f>
        <v/>
      </c>
      <c r="AW36" s="177"/>
      <c r="AY36" s="141" t="str">
        <f>N_Matches</f>
        <v>Matches</v>
      </c>
      <c r="AZ36" s="142" t="str">
        <f>N_Buts</f>
        <v>Buts</v>
      </c>
      <c r="BA36" s="142" t="str">
        <f>N_MS</f>
        <v>MS</v>
      </c>
      <c r="BB36" s="143" t="str">
        <f>N_Diff</f>
        <v>Diff</v>
      </c>
      <c r="BC36" s="7"/>
      <c r="BD36" s="144"/>
      <c r="BE36" s="145"/>
      <c r="BF36" s="146"/>
      <c r="BG36" s="147"/>
      <c r="BH36" s="148"/>
      <c r="BI36" s="35" t="s">
        <v>769</v>
      </c>
      <c r="BJ36" s="148"/>
      <c r="BK36" s="149"/>
      <c r="BL36" s="150"/>
    </row>
    <row r="37" spans="2:74" ht="13.5" thickBot="1" x14ac:dyDescent="0.25">
      <c r="H37" s="178"/>
      <c r="I37" s="179" t="str">
        <f>N_Différentiel</f>
        <v>Différentiel</v>
      </c>
      <c r="J37" s="180"/>
      <c r="K37" s="181"/>
      <c r="L37" s="182"/>
      <c r="M37" s="66" t="s">
        <v>769</v>
      </c>
      <c r="N37" s="182"/>
      <c r="O37" s="183"/>
      <c r="AX37" s="137" t="str">
        <f>AW23</f>
        <v/>
      </c>
      <c r="AY37" s="151" t="str">
        <f>IF(OR(ISNUMBER(BH36),ISNUMBER(BH37),ISNUMBER(BH38),ISNUMBER(BH39)),Lire_Gain_Matches(BH36:BH39, BJ36:BJ39),"")</f>
        <v/>
      </c>
      <c r="AZ37" s="152" t="str">
        <f>IF(OR(ISNUMBER(BH36),ISNUMBER(BH37),ISNUMBER(BH38),ISNUMBER(BH39)),SUM(BH36:BH39),"")</f>
        <v/>
      </c>
      <c r="BA37" s="153"/>
      <c r="BB37" s="154" t="str">
        <f>IF(BH40="","",BH40)</f>
        <v/>
      </c>
      <c r="BC37" s="155"/>
      <c r="BD37" s="156"/>
      <c r="BE37" s="157"/>
      <c r="BF37" s="158"/>
      <c r="BG37" s="103"/>
      <c r="BH37" s="10"/>
      <c r="BI37" s="45" t="s">
        <v>769</v>
      </c>
      <c r="BJ37" s="10"/>
      <c r="BK37" s="79"/>
      <c r="BL37" s="159"/>
      <c r="BM37" s="263" t="str">
        <f>IF(AY37="","",CONCATENATE(AY37,IF(AX37=BM38,IF(AY37=AY39,CONCATENATE(" [ ",AZ37," - ",AZ39," ] ",IF(BA38="x",N_res_MS,IF(BB37="","",CONCATENATE(" (",N_res_Diff," ",BB37," - ",BB39,")")))),IF(BA38="x",N_res_MS,"")),"")))</f>
        <v/>
      </c>
    </row>
    <row r="38" spans="2:74" ht="18.75" thickBot="1" x14ac:dyDescent="0.3">
      <c r="AY38" s="160"/>
      <c r="AZ38" s="161"/>
      <c r="BA38" s="162" t="str">
        <f>IF(ISNA(VLOOKUP("X",BL36:BL39,1,FALSE)),"","X")</f>
        <v/>
      </c>
      <c r="BB38" s="163"/>
      <c r="BC38" s="190"/>
      <c r="BD38" s="156"/>
      <c r="BE38" s="157"/>
      <c r="BF38" s="158"/>
      <c r="BG38" s="103"/>
      <c r="BH38" s="10"/>
      <c r="BI38" s="45" t="s">
        <v>769</v>
      </c>
      <c r="BJ38" s="10"/>
      <c r="BK38" s="79"/>
      <c r="BL38" s="165"/>
      <c r="BM38" s="191" t="str">
        <f>IF(AY37="","",IF(AY37&gt;AY39,AX37,IF(AY39&gt;AY37,AX39,IF(AZ37&gt;AZ39,AX37,IF(AZ39&gt;AZ37,AX39,IF(BB37&gt;BB39,AX37,IF(BB39&gt;BB37,AX39,mess_erreur_marque)))))))</f>
        <v/>
      </c>
      <c r="BN38" s="268"/>
    </row>
    <row r="39" spans="2:74" ht="13.5" thickBot="1" x14ac:dyDescent="0.25">
      <c r="H39" s="3" t="str">
        <f>N_Heure</f>
        <v>Heure</v>
      </c>
      <c r="I39" s="22" t="str">
        <f>N_Table</f>
        <v>Table</v>
      </c>
      <c r="J39" s="22" t="str">
        <f>N_Arbitre</f>
        <v>Arbitre</v>
      </c>
      <c r="K39" s="2490" t="str">
        <f>N_Matches</f>
        <v>Matches</v>
      </c>
      <c r="L39" s="2491"/>
      <c r="M39" s="2491"/>
      <c r="N39" s="2491"/>
      <c r="O39" s="2492"/>
      <c r="P39" s="3" t="str">
        <f>N_MS</f>
        <v>MS</v>
      </c>
      <c r="AX39" s="137" t="str">
        <f>AW54</f>
        <v/>
      </c>
      <c r="AY39" s="167" t="str">
        <f>IF(OR(ISNUMBER(BH36),ISNUMBER(BH37),ISNUMBER(BH38),ISNUMBER(BH39)),Lire_Gain_Matches(BJ36:BJ39, BH36:BH39),"")</f>
        <v/>
      </c>
      <c r="AZ39" s="168" t="str">
        <f>IF(OR(ISNUMBER(BH36),ISNUMBER(BH37),ISNUMBER(BH38),ISNUMBER(BH39)),SUM(BJ36:BJ39),"")</f>
        <v/>
      </c>
      <c r="BA39" s="169"/>
      <c r="BB39" s="170" t="str">
        <f>IF(BJ40="","",BJ40)</f>
        <v/>
      </c>
      <c r="BC39" s="155"/>
      <c r="BD39" s="171"/>
      <c r="BE39" s="172"/>
      <c r="BF39" s="173"/>
      <c r="BG39" s="174"/>
      <c r="BH39" s="175"/>
      <c r="BI39" s="52" t="s">
        <v>769</v>
      </c>
      <c r="BJ39" s="175"/>
      <c r="BK39" s="96"/>
      <c r="BL39" s="176"/>
      <c r="BM39" t="str">
        <f>IF(AY39="","",CONCATENATE(AY39,IF(AX39=BM38,IF(AY37=AY39,CONCATENATE(" [ ",AZ39," -",AZ37," ] ",IF(BA38="x",N_res_MS,IF(BB39="","",CONCATENATE(" (",N_res_Diff," ",BB39," - ",BB37,")")))),IF(BA38="x",N_res_MS,"")),"")))</f>
        <v/>
      </c>
    </row>
    <row r="40" spans="2:74" ht="13.5" thickBot="1" x14ac:dyDescent="0.25">
      <c r="C40" s="141" t="str">
        <f>N_Matches</f>
        <v>Matches</v>
      </c>
      <c r="D40" s="142" t="str">
        <f>N_Buts</f>
        <v>Buts</v>
      </c>
      <c r="E40" s="142" t="str">
        <f>N_MS</f>
        <v>MS</v>
      </c>
      <c r="F40" s="143" t="str">
        <f>N_Diff</f>
        <v>Diff</v>
      </c>
      <c r="G40" s="7"/>
      <c r="H40" s="144"/>
      <c r="I40" s="145"/>
      <c r="J40" s="146"/>
      <c r="K40" s="147"/>
      <c r="L40" s="148"/>
      <c r="M40" s="35" t="s">
        <v>769</v>
      </c>
      <c r="N40" s="148"/>
      <c r="O40" s="149"/>
      <c r="P40" s="150"/>
      <c r="AW40" s="177"/>
      <c r="BD40" s="178"/>
      <c r="BE40" s="179" t="str">
        <f>N_Différentiel</f>
        <v>Différentiel</v>
      </c>
      <c r="BF40" s="180"/>
      <c r="BG40" s="181"/>
      <c r="BH40" s="182"/>
      <c r="BI40" s="66" t="s">
        <v>769</v>
      </c>
      <c r="BJ40" s="182"/>
      <c r="BK40" s="183"/>
    </row>
    <row r="41" spans="2:74" ht="13.5" thickBot="1" x14ac:dyDescent="0.25">
      <c r="B41" s="128"/>
      <c r="C41" s="151" t="str">
        <f>IF(OR(ISNUMBER(L40),ISNUMBER(L41),ISNUMBER(L42),ISNUMBER(L43)),Lire_Gain_Matches(L40:L43, N40:N43),"")</f>
        <v/>
      </c>
      <c r="D41" s="152" t="str">
        <f>IF(OR(ISNUMBER(L40),ISNUMBER(L41),ISNUMBER(L42),ISNUMBER(L43)),SUM(L40:L43),"")</f>
        <v/>
      </c>
      <c r="E41" s="153"/>
      <c r="F41" s="154" t="str">
        <f>IF(L44="","",L44)</f>
        <v/>
      </c>
      <c r="G41" s="155"/>
      <c r="H41" s="156"/>
      <c r="I41" s="157"/>
      <c r="J41" s="158"/>
      <c r="K41" s="103"/>
      <c r="L41" s="10"/>
      <c r="M41" s="45" t="s">
        <v>769</v>
      </c>
      <c r="N41" s="10"/>
      <c r="O41" s="79"/>
      <c r="P41" s="159"/>
      <c r="Q41" s="263" t="str">
        <f>IF(C41="","",CONCATENATE(C41,IF(B41=Q42,IF(C41=C43,CONCATENATE(" [ ",D41," - ",D43," ] ",IF(E42="x",N_res_MS,IF(F41="","",CONCATENATE(" (",N_res_Diff," ",F41," - ",F43,")")))),IF(E42="x",N_res_MS,"")),"")))</f>
        <v/>
      </c>
      <c r="AW41" s="177"/>
    </row>
    <row r="42" spans="2:74" ht="16.5" thickBot="1" x14ac:dyDescent="0.3">
      <c r="C42" s="160"/>
      <c r="D42" s="161"/>
      <c r="E42" s="162" t="str">
        <f>IF(ISNA(VLOOKUP("X",P40:P43,1,FALSE)),"","X")</f>
        <v/>
      </c>
      <c r="F42" s="163"/>
      <c r="G42" s="164"/>
      <c r="H42" s="156"/>
      <c r="I42" s="157"/>
      <c r="J42" s="158"/>
      <c r="K42" s="103"/>
      <c r="L42" s="10"/>
      <c r="M42" s="45" t="s">
        <v>769</v>
      </c>
      <c r="N42" s="10"/>
      <c r="O42" s="79"/>
      <c r="P42" s="165"/>
      <c r="Q42" s="166" t="str">
        <f>IF(C41="","",IF(C41&gt;C43,B41,IF(C43&gt;C41,B43,IF(D41&gt;D43,B41,IF(D43&gt;D41,B43,IF(F41&gt;F43,B41,IF(F43&gt;F41,B43,mess_erreur_marque)))))))</f>
        <v/>
      </c>
      <c r="AW42" s="177"/>
      <c r="BO42" s="2487" t="s">
        <v>875</v>
      </c>
      <c r="BP42" s="2488"/>
      <c r="BQ42" s="2488"/>
      <c r="BR42" s="2488"/>
      <c r="BS42" s="2488"/>
      <c r="BT42" s="2488"/>
      <c r="BU42" s="2488"/>
      <c r="BV42" s="2489"/>
    </row>
    <row r="43" spans="2:74" ht="13.5" thickBot="1" x14ac:dyDescent="0.25">
      <c r="B43" s="128"/>
      <c r="C43" s="167" t="str">
        <f>IF(OR(ISNUMBER(L40),ISNUMBER(L41),ISNUMBER(L42),ISNUMBER(L43)),Lire_Gain_Matches(N40:N43, L40:L43),"")</f>
        <v/>
      </c>
      <c r="D43" s="168" t="str">
        <f>IF(OR(ISNUMBER(L40),ISNUMBER(L41),ISNUMBER(L42),ISNUMBER(L43)),SUM(N40:N43),"")</f>
        <v/>
      </c>
      <c r="E43" s="169"/>
      <c r="F43" s="170" t="str">
        <f>IF(N44="","",N44)</f>
        <v/>
      </c>
      <c r="G43" s="155"/>
      <c r="H43" s="171"/>
      <c r="I43" s="172"/>
      <c r="J43" s="173"/>
      <c r="K43" s="174"/>
      <c r="L43" s="175"/>
      <c r="M43" s="52" t="s">
        <v>769</v>
      </c>
      <c r="N43" s="175"/>
      <c r="O43" s="96"/>
      <c r="P43" s="176"/>
      <c r="Q43" t="str">
        <f>IF(C43="","",CONCATENATE(C43,IF(B43=Q42,IF(C41=C43,CONCATENATE(" [ ",D43," -",D41," ] ",IF(E42="x",N_res_MS,IF(F43="","",CONCATENATE(" (",N_res_Diff," ",F43," - ",F41,")")))),IF(E42="x",N_res_MS,"")),"")))</f>
        <v/>
      </c>
      <c r="R43" s="139"/>
      <c r="X43" s="3" t="str">
        <f>N_Heure</f>
        <v>Heure</v>
      </c>
      <c r="Y43" s="22" t="str">
        <f>N_Table</f>
        <v>Table</v>
      </c>
      <c r="Z43" s="22" t="str">
        <f>N_Arbitre</f>
        <v>Arbitre</v>
      </c>
      <c r="AA43" s="2490" t="str">
        <f>N_Matches</f>
        <v>Matches</v>
      </c>
      <c r="AB43" s="2491"/>
      <c r="AC43" s="2491"/>
      <c r="AD43" s="2491"/>
      <c r="AE43" s="2492"/>
      <c r="AF43" s="3" t="str">
        <f>N_MS</f>
        <v>MS</v>
      </c>
      <c r="AW43" s="177"/>
    </row>
    <row r="44" spans="2:74" ht="13.5" thickBot="1" x14ac:dyDescent="0.25">
      <c r="H44" s="178"/>
      <c r="I44" s="179" t="str">
        <f>N_Différentiel</f>
        <v>Différentiel</v>
      </c>
      <c r="J44" s="180"/>
      <c r="K44" s="181"/>
      <c r="L44" s="182"/>
      <c r="M44" s="66" t="s">
        <v>769</v>
      </c>
      <c r="N44" s="182"/>
      <c r="O44" s="183"/>
      <c r="Q44" s="177"/>
      <c r="S44" s="141" t="str">
        <f>N_Matches</f>
        <v>Matches</v>
      </c>
      <c r="T44" s="142" t="str">
        <f>N_Buts</f>
        <v>Buts</v>
      </c>
      <c r="U44" s="142" t="str">
        <f>N_MS</f>
        <v>MS</v>
      </c>
      <c r="V44" s="143" t="str">
        <f>N_Diff</f>
        <v>Diff</v>
      </c>
      <c r="W44" s="7"/>
      <c r="X44" s="144"/>
      <c r="Y44" s="145"/>
      <c r="Z44" s="146"/>
      <c r="AA44" s="147"/>
      <c r="AB44" s="148"/>
      <c r="AC44" s="35" t="s">
        <v>769</v>
      </c>
      <c r="AD44" s="148"/>
      <c r="AE44" s="149"/>
      <c r="AF44" s="150"/>
      <c r="AW44" s="177"/>
      <c r="BO44" s="8"/>
      <c r="BP44" s="8" t="str">
        <f>BM38</f>
        <v/>
      </c>
      <c r="BQ44" s="8"/>
      <c r="BR44" s="8"/>
    </row>
    <row r="45" spans="2:74" ht="13.5" thickBot="1" x14ac:dyDescent="0.25">
      <c r="R45" s="132" t="str">
        <f>Q42</f>
        <v/>
      </c>
      <c r="S45" s="151" t="str">
        <f>IF(OR(ISNUMBER(AB44),ISNUMBER(AB45),ISNUMBER(AB46),ISNUMBER(AB47)),Lire_Gain_Matches(AB44:AB47, AD44:AD47),"")</f>
        <v/>
      </c>
      <c r="T45" s="152" t="str">
        <f>IF(OR(ISNUMBER(AB44),ISNUMBER(AB45),ISNUMBER(AB46),ISNUMBER(AB47)),SUM(AB44:AB47),"")</f>
        <v/>
      </c>
      <c r="U45" s="153"/>
      <c r="V45" s="154" t="str">
        <f>IF(AB48="","",AB48)</f>
        <v/>
      </c>
      <c r="W45" s="155"/>
      <c r="X45" s="156"/>
      <c r="Y45" s="157"/>
      <c r="Z45" s="158"/>
      <c r="AA45" s="103"/>
      <c r="AB45" s="10"/>
      <c r="AC45" s="45" t="s">
        <v>769</v>
      </c>
      <c r="AD45" s="10"/>
      <c r="AE45" s="79"/>
      <c r="AF45" s="159"/>
      <c r="AG45" s="263" t="str">
        <f>IF(S45="","",CONCATENATE(S45,IF(R45=AG46,IF(S45=S47,CONCATENATE(" [ ",T45," - ",T47," ] ",IF(U46="x",N_res_MS,IF(V45="","",CONCATENATE(" (",N_res_Diff," ",V45," - ",V47,")")))),IF(U46="x",N_res_MS,"")),"")))</f>
        <v/>
      </c>
      <c r="AW45" s="177"/>
      <c r="BO45" s="8" t="str">
        <f>IF(BM38=AX37,AX39,AX37)</f>
        <v/>
      </c>
      <c r="BP45" s="192" t="str">
        <f>IF(BP44="","",VLOOKUP(BP44,Equipes,2,FALSE))</f>
        <v/>
      </c>
      <c r="BQ45" s="8"/>
      <c r="BR45" s="8"/>
    </row>
    <row r="46" spans="2:74" ht="13.5" thickBot="1" x14ac:dyDescent="0.25">
      <c r="S46" s="160"/>
      <c r="T46" s="161"/>
      <c r="U46" s="162" t="str">
        <f>IF(ISNA(VLOOKUP("X",AF44:AF47,1,FALSE)),"","X")</f>
        <v/>
      </c>
      <c r="V46" s="163"/>
      <c r="W46" s="186"/>
      <c r="X46" s="156"/>
      <c r="Y46" s="157"/>
      <c r="Z46" s="158"/>
      <c r="AA46" s="103"/>
      <c r="AB46" s="10"/>
      <c r="AC46" s="45" t="s">
        <v>769</v>
      </c>
      <c r="AD46" s="10"/>
      <c r="AE46" s="79"/>
      <c r="AF46" s="165"/>
      <c r="AG46" s="187" t="str">
        <f>IF(S45="","",IF(S45&gt;S47,R45,IF(S47&gt;S45,R47,IF(T45&gt;T47,R45,IF(T47&gt;T45,R47,IF(V45&gt;V47,R45,IF(V47&gt;V45,R47,mess_erreur_marque)))))))</f>
        <v/>
      </c>
      <c r="AW46" s="177"/>
      <c r="BO46" s="193" t="str">
        <f>IF(BO45="","",VLOOKUP(BO45,Equipes,2,FALSE))</f>
        <v/>
      </c>
      <c r="BP46" s="194" t="str">
        <f>IF(BP44="","",VLOOKUP(BP44,Equipes,3,FALSE))</f>
        <v/>
      </c>
      <c r="BQ46" s="8" t="str">
        <f>BM60</f>
        <v/>
      </c>
      <c r="BR46" s="8"/>
    </row>
    <row r="47" spans="2:74" ht="13.5" thickBot="1" x14ac:dyDescent="0.25">
      <c r="H47" s="3" t="str">
        <f>N_Heure</f>
        <v>Heure</v>
      </c>
      <c r="I47" s="22" t="str">
        <f>N_Table</f>
        <v>Table</v>
      </c>
      <c r="J47" s="22" t="str">
        <f>N_Arbitre</f>
        <v>Arbitre</v>
      </c>
      <c r="K47" s="2490" t="str">
        <f>N_Matches</f>
        <v>Matches</v>
      </c>
      <c r="L47" s="2491"/>
      <c r="M47" s="2491"/>
      <c r="N47" s="2491"/>
      <c r="O47" s="2492"/>
      <c r="P47" s="3" t="str">
        <f>N_MS</f>
        <v>MS</v>
      </c>
      <c r="R47" s="132" t="str">
        <f>Q50</f>
        <v/>
      </c>
      <c r="S47" s="167" t="str">
        <f>IF(OR(ISNUMBER(AB44),ISNUMBER(AB45),ISNUMBER(AB46),ISNUMBER(AB47)),Lire_Gain_Matches(AD44:AD47, AB44:AB47),"")</f>
        <v/>
      </c>
      <c r="T47" s="168" t="str">
        <f>IF(OR(ISNUMBER(AB44),ISNUMBER(AB45),ISNUMBER(AB46),ISNUMBER(AB47)),SUM(AD44:AD47),"")</f>
        <v/>
      </c>
      <c r="U47" s="169"/>
      <c r="V47" s="170" t="str">
        <f>IF(AD48="","",AD48)</f>
        <v/>
      </c>
      <c r="W47" s="155"/>
      <c r="X47" s="171"/>
      <c r="Y47" s="172"/>
      <c r="Z47" s="173"/>
      <c r="AA47" s="174"/>
      <c r="AB47" s="175"/>
      <c r="AC47" s="52" t="s">
        <v>769</v>
      </c>
      <c r="AD47" s="175"/>
      <c r="AE47" s="96"/>
      <c r="AF47" s="176"/>
      <c r="AG47" s="265" t="str">
        <f>IF(S47="","",CONCATENATE(S47,IF(R47=AG46,IF(S45=S47,CONCATENATE(" [ ",T47," -",T45," ] ",IF(U46="x",N_res_MS,IF(V47="","",CONCATENATE(" (",N_res_Diff," ",V47," - ",V45,")")))),IF(U46="x",N_res_MS,"")),"")))</f>
        <v/>
      </c>
      <c r="AW47" s="177"/>
      <c r="BO47" s="195" t="str">
        <f>IF(BO46="","",VLOOKUP(BO46,Equipes,3,FALSE))</f>
        <v/>
      </c>
      <c r="BP47" s="196" t="str">
        <f>IF(BP44="","",VLOOKUP(BP44,Equipes,4,FALSE))</f>
        <v/>
      </c>
      <c r="BQ47" s="197" t="str">
        <f>IF(BQ46="","",VLOOKUP(BQ46,Equipes,2,FALSE))</f>
        <v/>
      </c>
      <c r="BR47" s="8" t="str">
        <f>IF(BM60=AX59,AX61,AX59)</f>
        <v/>
      </c>
    </row>
    <row r="48" spans="2:74" ht="13.5" thickBot="1" x14ac:dyDescent="0.25">
      <c r="C48" s="141" t="str">
        <f>N_Matches</f>
        <v>Matches</v>
      </c>
      <c r="D48" s="142" t="str">
        <f>N_Buts</f>
        <v>Buts</v>
      </c>
      <c r="E48" s="142" t="str">
        <f>N_MS</f>
        <v>MS</v>
      </c>
      <c r="F48" s="143" t="str">
        <f>N_Diff</f>
        <v>Diff</v>
      </c>
      <c r="G48" s="7"/>
      <c r="H48" s="144"/>
      <c r="I48" s="145"/>
      <c r="J48" s="146"/>
      <c r="K48" s="147"/>
      <c r="L48" s="148"/>
      <c r="M48" s="35" t="s">
        <v>769</v>
      </c>
      <c r="N48" s="148"/>
      <c r="O48" s="149"/>
      <c r="P48" s="150"/>
      <c r="Q48" s="177"/>
      <c r="X48" s="178"/>
      <c r="Y48" s="179" t="str">
        <f>N_Différentiel</f>
        <v>Différentiel</v>
      </c>
      <c r="Z48" s="180"/>
      <c r="AA48" s="181"/>
      <c r="AB48" s="182"/>
      <c r="AC48" s="66" t="s">
        <v>769</v>
      </c>
      <c r="AD48" s="182"/>
      <c r="AE48" s="183"/>
      <c r="AG48" s="177"/>
      <c r="AW48" s="177"/>
      <c r="BO48" s="195" t="str">
        <f>IF(BO45="","",VLOOKUP(BO45,Equipes,4,FALSE))</f>
        <v/>
      </c>
      <c r="BP48" s="196" t="str">
        <f>IF(BP44="","",VLOOKUP(BP44,Equipes,5,FALSE))</f>
        <v/>
      </c>
      <c r="BQ48" s="198" t="str">
        <f>IF(BQ46="","",VLOOKUP(BQ46,Equipes,3,FALSE))</f>
        <v/>
      </c>
      <c r="BR48" s="199" t="str">
        <f>IF(BR47="","",VLOOKUP(BR47,Equipes,2,FALSE))</f>
        <v/>
      </c>
      <c r="BS48" s="8" t="str">
        <f>BM98</f>
        <v/>
      </c>
    </row>
    <row r="49" spans="2:74" ht="13.5" thickBot="1" x14ac:dyDescent="0.25">
      <c r="B49" s="128"/>
      <c r="C49" s="151" t="str">
        <f>IF(OR(ISNUMBER(L48),ISNUMBER(L49),ISNUMBER(L50),ISNUMBER(L51)),Lire_Gain_Matches(L48:L51, N48:N51),"")</f>
        <v/>
      </c>
      <c r="D49" s="152" t="str">
        <f>IF(OR(ISNUMBER(L48),ISNUMBER(L49),ISNUMBER(L50),ISNUMBER(L51)),SUM(L48:L51),"")</f>
        <v/>
      </c>
      <c r="E49" s="153"/>
      <c r="F49" s="154" t="str">
        <f>IF(L52="","",L52)</f>
        <v/>
      </c>
      <c r="G49" s="155"/>
      <c r="H49" s="156"/>
      <c r="I49" s="157"/>
      <c r="J49" s="158"/>
      <c r="K49" s="103"/>
      <c r="L49" s="10"/>
      <c r="M49" s="45" t="s">
        <v>769</v>
      </c>
      <c r="N49" s="10"/>
      <c r="O49" s="79"/>
      <c r="P49" s="159"/>
      <c r="Q49" s="263" t="str">
        <f>IF(C49="","",CONCATENATE(C49,IF(B49=Q50,IF(C49=C51,CONCATENATE(" [ ",D49," - ",D51," ] ",IF(E50="x",N_res_MS,IF(F49="","",CONCATENATE(" (",N_res_Diff," ",F49," - ",F51,")")))),IF(E50="x",N_res_MS,"")),"")))</f>
        <v/>
      </c>
      <c r="R49" s="139"/>
      <c r="AG49" s="177"/>
      <c r="AW49" s="177"/>
      <c r="BO49" s="195" t="str">
        <f>IF(BO45="","",VLOOKUP(BO45,Equipes,5,FALSE))</f>
        <v/>
      </c>
      <c r="BP49" s="196" t="str">
        <f>IF(BP44="","",VLOOKUP(BP44,Equipes,6,FALSE))</f>
        <v/>
      </c>
      <c r="BQ49" s="198" t="str">
        <f>IF(BQ46="","",VLOOKUP(BQ46,Equipes,5,FALSE))</f>
        <v/>
      </c>
      <c r="BR49" s="200" t="str">
        <f>IF(BR47="","",VLOOKUP(BR47,Equipes,3,FALSE))</f>
        <v/>
      </c>
      <c r="BS49" s="201" t="str">
        <f>IF(BS48="","",VLOOKUP(BS48,Equipes,2,FALSE))</f>
        <v/>
      </c>
      <c r="BT49" s="8" t="str">
        <f>IF(BM98=AX97,AX99,AX97)</f>
        <v/>
      </c>
    </row>
    <row r="50" spans="2:74" ht="13.5" thickBot="1" x14ac:dyDescent="0.25">
      <c r="C50" s="160"/>
      <c r="D50" s="161"/>
      <c r="E50" s="162" t="str">
        <f>IF(ISNA(VLOOKUP("X",P48:P51,1,FALSE)),"","X")</f>
        <v/>
      </c>
      <c r="F50" s="163"/>
      <c r="G50" s="164"/>
      <c r="H50" s="156"/>
      <c r="I50" s="157"/>
      <c r="J50" s="158"/>
      <c r="K50" s="103"/>
      <c r="L50" s="10"/>
      <c r="M50" s="45" t="s">
        <v>769</v>
      </c>
      <c r="N50" s="10"/>
      <c r="O50" s="79"/>
      <c r="P50" s="165"/>
      <c r="Q50" s="166" t="str">
        <f>IF(C49="","",IF(C49&gt;C51,B49,IF(C51&gt;C49,B51,IF(D49&gt;D51,B49,IF(D51&gt;D49,B51,IF(F49&gt;F51,B49,IF(F51&gt;F49,B51,mess_erreur_marque)))))))</f>
        <v/>
      </c>
      <c r="AG50" s="177"/>
      <c r="AW50" s="177"/>
      <c r="BO50" s="195" t="str">
        <f>IF(BO45="","",VLOOKUP(BO45,Equipes,6,FALSE))</f>
        <v/>
      </c>
      <c r="BP50" s="196"/>
      <c r="BQ50" s="198" t="str">
        <f>IF(BQ46="","",VLOOKUP(BQ46,Equipes,5,FALSE))</f>
        <v/>
      </c>
      <c r="BR50" s="200" t="str">
        <f>IF(BR47="","",VLOOKUP(BR47,Equipes,4,FALSE))</f>
        <v/>
      </c>
      <c r="BS50" s="202" t="str">
        <f>IF(BS48="","",VLOOKUP(BS48,Equipes,3,FALSE))</f>
        <v/>
      </c>
      <c r="BT50" s="203" t="str">
        <f>IF(BT49="","",VLOOKUP(BT49,Equipes,2,FALSE))</f>
        <v/>
      </c>
      <c r="BU50" s="8" t="str">
        <f>BM120</f>
        <v/>
      </c>
    </row>
    <row r="51" spans="2:74" ht="13.5" thickBot="1" x14ac:dyDescent="0.25">
      <c r="B51" s="128"/>
      <c r="C51" s="167" t="str">
        <f>IF(OR(ISNUMBER(L48),ISNUMBER(L49),ISNUMBER(L50),ISNUMBER(L51)),Lire_Gain_Matches(N48:N51, L48:L51),"")</f>
        <v/>
      </c>
      <c r="D51" s="168" t="str">
        <f>IF(OR(ISNUMBER(L48),ISNUMBER(L49),ISNUMBER(L50),ISNUMBER(L51)),SUM(N48:N51),"")</f>
        <v/>
      </c>
      <c r="E51" s="169"/>
      <c r="F51" s="170" t="str">
        <f>IF(N52="","",N52)</f>
        <v/>
      </c>
      <c r="G51" s="155"/>
      <c r="H51" s="171"/>
      <c r="I51" s="172"/>
      <c r="J51" s="173"/>
      <c r="K51" s="174"/>
      <c r="L51" s="175"/>
      <c r="M51" s="52" t="s">
        <v>769</v>
      </c>
      <c r="N51" s="175"/>
      <c r="O51" s="96"/>
      <c r="P51" s="176"/>
      <c r="Q51" t="str">
        <f>IF(C51="","",CONCATENATE(C51,IF(B51=Q50,IF(C49=C51,CONCATENATE(" [ ",D51," -",D49," ] ",IF(E50="x",N_res_MS,IF(F51="","",CONCATENATE(" (",N_res_Diff," ",F51," - ",F49,")")))),IF(E50="x",N_res_MS,"")),"")))</f>
        <v/>
      </c>
      <c r="AG51" s="177"/>
      <c r="AN51" s="3" t="str">
        <f>N_Heure</f>
        <v>Heure</v>
      </c>
      <c r="AO51" s="22" t="str">
        <f>N_Table</f>
        <v>Table</v>
      </c>
      <c r="AP51" s="22" t="str">
        <f>N_Arbitre</f>
        <v>Arbitre</v>
      </c>
      <c r="AQ51" s="2490" t="str">
        <f>N_Matches</f>
        <v>Matches</v>
      </c>
      <c r="AR51" s="2491"/>
      <c r="AS51" s="2491"/>
      <c r="AT51" s="2491"/>
      <c r="AU51" s="2492"/>
      <c r="AV51" s="3" t="str">
        <f>N_MS</f>
        <v>MS</v>
      </c>
      <c r="AW51" s="177"/>
      <c r="BO51" s="195"/>
      <c r="BP51" s="196"/>
      <c r="BQ51" s="198" t="str">
        <f>IF(BQ46="","",VLOOKUP(BQ46,Equipes,6,FALSE))</f>
        <v/>
      </c>
      <c r="BR51" s="200" t="str">
        <f>IF(BR47="","",VLOOKUP(BR47,Equipes,5,FALSE))</f>
        <v/>
      </c>
      <c r="BS51" s="202" t="str">
        <f>IF(BS48="","",VLOOKUP(BS48,Equipes,4,FALSE))</f>
        <v/>
      </c>
      <c r="BT51" s="204" t="str">
        <f>IF(BT50="","",VLOOKUP(BT50,Equipes,3,FALSE))</f>
        <v/>
      </c>
      <c r="BU51" s="205" t="str">
        <f>IF(BU50="","",VLOOKUP(BU50,Equipes,2,FALSE))</f>
        <v/>
      </c>
      <c r="BV51" s="8" t="str">
        <f>IF(BM120=AX119,AX121,AX119)</f>
        <v/>
      </c>
    </row>
    <row r="52" spans="2:74" ht="13.5" thickBot="1" x14ac:dyDescent="0.25">
      <c r="H52" s="178"/>
      <c r="I52" s="179" t="str">
        <f>N_Différentiel</f>
        <v>Différentiel</v>
      </c>
      <c r="J52" s="180"/>
      <c r="K52" s="181"/>
      <c r="L52" s="182"/>
      <c r="M52" s="66" t="s">
        <v>769</v>
      </c>
      <c r="N52" s="182"/>
      <c r="O52" s="183"/>
      <c r="AG52" s="177"/>
      <c r="AI52" s="141" t="str">
        <f>N_Matches</f>
        <v>Matches</v>
      </c>
      <c r="AJ52" s="142" t="str">
        <f>N_Buts</f>
        <v>Buts</v>
      </c>
      <c r="AK52" s="142" t="str">
        <f>N_MS</f>
        <v>MS</v>
      </c>
      <c r="AL52" s="143" t="str">
        <f>N_Diff</f>
        <v>Diff</v>
      </c>
      <c r="AM52" s="7"/>
      <c r="AN52" s="144"/>
      <c r="AO52" s="145"/>
      <c r="AP52" s="146"/>
      <c r="AQ52" s="147"/>
      <c r="AR52" s="148"/>
      <c r="AS52" s="35" t="s">
        <v>769</v>
      </c>
      <c r="AT52" s="148"/>
      <c r="AU52" s="149"/>
      <c r="AV52" s="150"/>
      <c r="AW52" s="177"/>
      <c r="BO52" s="195"/>
      <c r="BP52" s="196"/>
      <c r="BQ52" s="198"/>
      <c r="BR52" s="200" t="str">
        <f>IF(BR47="","",VLOOKUP(BR47,Equipes,6,FALSE))</f>
        <v/>
      </c>
      <c r="BS52" s="202" t="str">
        <f>IF(BS48="","",VLOOKUP(BS48,Equipes,5,FALSE))</f>
        <v/>
      </c>
      <c r="BT52" s="204" t="str">
        <f>IF(BT49="","",VLOOKUP(BT49,Equipes,4,FALSE))</f>
        <v/>
      </c>
      <c r="BU52" s="206" t="str">
        <f>IF(BU50="","",VLOOKUP(BU50,Equipes,3,FALSE))</f>
        <v/>
      </c>
      <c r="BV52" s="207" t="str">
        <f>IF(BV51="","",VLOOKUP(BV51,Equipes,2,FALSE))</f>
        <v/>
      </c>
    </row>
    <row r="53" spans="2:74" ht="13.5" thickBot="1" x14ac:dyDescent="0.25">
      <c r="AH53" s="135" t="str">
        <f>AG46</f>
        <v/>
      </c>
      <c r="AI53" s="151" t="str">
        <f>IF(OR(ISNUMBER(AR52),ISNUMBER(AR53),ISNUMBER(AR54),ISNUMBER(AR55)),Lire_Gain_Matches(AR52:AR55, AT52:AT55),"")</f>
        <v/>
      </c>
      <c r="AJ53" s="152" t="str">
        <f>IF(OR(ISNUMBER(AR52),ISNUMBER(AR53),ISNUMBER(AR54),ISNUMBER(AR55)),SUM(AR52:AR55),"")</f>
        <v/>
      </c>
      <c r="AK53" s="153"/>
      <c r="AL53" s="154" t="str">
        <f>IF(AR56="","",AR56)</f>
        <v/>
      </c>
      <c r="AM53" s="155"/>
      <c r="AN53" s="156"/>
      <c r="AO53" s="157"/>
      <c r="AP53" s="158"/>
      <c r="AQ53" s="103"/>
      <c r="AR53" s="10"/>
      <c r="AS53" s="45" t="s">
        <v>769</v>
      </c>
      <c r="AT53" s="10"/>
      <c r="AU53" s="79"/>
      <c r="AV53" s="159"/>
      <c r="AW53" s="264" t="str">
        <f>IF(AI53="","",CONCATENATE(AI53,IF(AH53=AW54,IF(AI53=AI55,CONCATENATE(" [ ",AJ53," - ",AJ55," ] ",IF(AK54="x",N_res_MS,IF(AL53="","",CONCATENATE(" (",N_res_Diff," ",AL53," - ",AL55,")")))),IF(AK54="x",N_res_MS,"")),"")))</f>
        <v/>
      </c>
      <c r="BO53" s="208"/>
      <c r="BP53" s="209"/>
      <c r="BQ53" s="210"/>
      <c r="BR53" s="211"/>
      <c r="BS53" s="202" t="str">
        <f>IF(BS48="","",VLOOKUP(BS48,Equipes,6,FALSE))</f>
        <v/>
      </c>
      <c r="BT53" s="204" t="str">
        <f>IF(BT49="","",VLOOKUP(BT49,Equipes,5,FALSE))</f>
        <v/>
      </c>
      <c r="BU53" s="206" t="str">
        <f>IF(BU50="","",VLOOKUP(BU50,Equipes,5,FALSE))</f>
        <v/>
      </c>
      <c r="BV53" s="212" t="str">
        <f>IF(BV51="","",VLOOKUP(BV51,Equipes,3,FALSE))</f>
        <v/>
      </c>
    </row>
    <row r="54" spans="2:74" ht="13.5" thickBot="1" x14ac:dyDescent="0.25">
      <c r="AI54" s="160"/>
      <c r="AJ54" s="161"/>
      <c r="AK54" s="162" t="str">
        <f>IF(ISNA(VLOOKUP("X",AV52:AV55,1,FALSE)),"","X")</f>
        <v/>
      </c>
      <c r="AL54" s="163"/>
      <c r="AM54" s="188"/>
      <c r="AN54" s="156"/>
      <c r="AO54" s="157"/>
      <c r="AP54" s="158"/>
      <c r="AQ54" s="103"/>
      <c r="AR54" s="10"/>
      <c r="AS54" s="45" t="s">
        <v>769</v>
      </c>
      <c r="AT54" s="10"/>
      <c r="AU54" s="79"/>
      <c r="AV54" s="165"/>
      <c r="AW54" s="189" t="str">
        <f>IF(AI53="","",IF(AI53&gt;AI55,AH53,IF(AI55&gt;AI53,AH55,IF(AJ53&gt;AJ55,AH53,IF(AJ55&gt;AJ53,AH55,IF(AL53&gt;AL55,AH53,IF(AL55&gt;AL53,AH55,mess_erreur_marque)))))))</f>
        <v/>
      </c>
      <c r="BO54" s="208"/>
      <c r="BP54" s="209"/>
      <c r="BQ54" s="210"/>
      <c r="BR54" s="211"/>
      <c r="BS54" s="213"/>
      <c r="BT54" s="204" t="str">
        <f>IF(BT49="","",VLOOKUP(BT49,Equipes,6,FALSE))</f>
        <v/>
      </c>
      <c r="BU54" s="206" t="str">
        <f>IF(BU50="","",VLOOKUP(BU50,Equipes,5,FALSE))</f>
        <v/>
      </c>
      <c r="BV54" s="212" t="str">
        <f>IF(BV51="","",VLOOKUP(BV51,Equipes,4,FALSE))</f>
        <v/>
      </c>
    </row>
    <row r="55" spans="2:74" ht="13.5" thickBot="1" x14ac:dyDescent="0.25">
      <c r="H55" s="3" t="str">
        <f>N_Heure</f>
        <v>Heure</v>
      </c>
      <c r="I55" s="22" t="str">
        <f>N_Table</f>
        <v>Table</v>
      </c>
      <c r="J55" s="22" t="str">
        <f>N_Arbitre</f>
        <v>Arbitre</v>
      </c>
      <c r="K55" s="2490" t="str">
        <f>N_Matches</f>
        <v>Matches</v>
      </c>
      <c r="L55" s="2491"/>
      <c r="M55" s="2491"/>
      <c r="N55" s="2491"/>
      <c r="O55" s="2492"/>
      <c r="P55" s="3" t="str">
        <f>N_MS</f>
        <v>MS</v>
      </c>
      <c r="AH55" s="135" t="str">
        <f>AG62</f>
        <v/>
      </c>
      <c r="AI55" s="167" t="str">
        <f>IF(OR(ISNUMBER(AR52),ISNUMBER(AR53),ISNUMBER(AR54),ISNUMBER(AR55)),Lire_Gain_Matches(AT52:AT55, AR52:AR55),"")</f>
        <v/>
      </c>
      <c r="AJ55" s="168" t="str">
        <f>IF(OR(ISNUMBER(AR52),ISNUMBER(AR53),ISNUMBER(AR54),ISNUMBER(AR55)),SUM(AT52:AT55),"")</f>
        <v/>
      </c>
      <c r="AK55" s="169"/>
      <c r="AL55" s="170" t="str">
        <f>IF(AT56="","",AT56)</f>
        <v/>
      </c>
      <c r="AM55" s="155"/>
      <c r="AN55" s="171"/>
      <c r="AO55" s="172"/>
      <c r="AP55" s="173"/>
      <c r="AQ55" s="174"/>
      <c r="AR55" s="175"/>
      <c r="AS55" s="52" t="s">
        <v>769</v>
      </c>
      <c r="AT55" s="175"/>
      <c r="AU55" s="96"/>
      <c r="AV55" s="176"/>
      <c r="AW55" t="str">
        <f>IF(AI55="","",CONCATENATE(AI55,IF(AH55=AW54,IF(AI53=AI55,CONCATENATE(" [ ",AJ55," -",AJ53," ] ",IF(AK54="x",N_res_MS,IF(AL55="","",CONCATENATE(" (",N_res_Diff," ",AL55," - ",AL53,")")))),IF(AK54="x",N_res_MS,"")),"")))</f>
        <v/>
      </c>
      <c r="BO55" s="208"/>
      <c r="BP55" s="209"/>
      <c r="BQ55" s="210"/>
      <c r="BR55" s="211"/>
      <c r="BS55" s="213"/>
      <c r="BT55" s="214"/>
      <c r="BU55" s="206" t="str">
        <f>IF(BU50="","",VLOOKUP(BU50,Equipes,6,FALSE))</f>
        <v/>
      </c>
      <c r="BV55" s="212" t="str">
        <f>IF(BV51="","",VLOOKUP(BV51,Equipes,5,FALSE))</f>
        <v/>
      </c>
    </row>
    <row r="56" spans="2:74" ht="13.5" thickBot="1" x14ac:dyDescent="0.25">
      <c r="C56" s="141" t="str">
        <f>N_Matches</f>
        <v>Matches</v>
      </c>
      <c r="D56" s="142" t="str">
        <f>N_Buts</f>
        <v>Buts</v>
      </c>
      <c r="E56" s="142" t="str">
        <f>N_MS</f>
        <v>MS</v>
      </c>
      <c r="F56" s="143" t="str">
        <f>N_Diff</f>
        <v>Diff</v>
      </c>
      <c r="G56" s="7"/>
      <c r="H56" s="144"/>
      <c r="I56" s="145"/>
      <c r="J56" s="146"/>
      <c r="K56" s="147"/>
      <c r="L56" s="148"/>
      <c r="M56" s="35" t="s">
        <v>769</v>
      </c>
      <c r="N56" s="148"/>
      <c r="O56" s="149"/>
      <c r="P56" s="150"/>
      <c r="AG56" s="177"/>
      <c r="AN56" s="178"/>
      <c r="AO56" s="179" t="str">
        <f>N_Différentiel</f>
        <v>Différentiel</v>
      </c>
      <c r="AP56" s="180"/>
      <c r="AQ56" s="181"/>
      <c r="AR56" s="182"/>
      <c r="AS56" s="66" t="s">
        <v>769</v>
      </c>
      <c r="AT56" s="182"/>
      <c r="AU56" s="183"/>
      <c r="AX56" s="2494" t="str">
        <f>N_Petite_FINALE</f>
        <v>Petite FINALE</v>
      </c>
      <c r="AY56" s="2495"/>
      <c r="AZ56" s="2495"/>
      <c r="BA56" s="2495"/>
      <c r="BB56" s="2495"/>
      <c r="BC56" s="2495"/>
      <c r="BD56" s="2495"/>
      <c r="BE56" s="2495"/>
      <c r="BF56" s="2495"/>
      <c r="BG56" s="2495"/>
      <c r="BH56" s="2495"/>
      <c r="BI56" s="2495"/>
      <c r="BJ56" s="2495"/>
      <c r="BK56" s="2495"/>
      <c r="BL56" s="2495"/>
      <c r="BM56" s="2496"/>
      <c r="BN56" s="17"/>
      <c r="BO56" s="208"/>
      <c r="BP56" s="209"/>
      <c r="BQ56" s="210"/>
      <c r="BR56" s="211"/>
      <c r="BS56" s="213"/>
      <c r="BT56" s="214"/>
      <c r="BU56" s="215"/>
      <c r="BV56" s="216" t="str">
        <f>IF(BV51="","",VLOOKUP(BV51,Equipes,6,FALSE))</f>
        <v/>
      </c>
    </row>
    <row r="57" spans="2:74" ht="13.5" thickBot="1" x14ac:dyDescent="0.25">
      <c r="B57" s="128"/>
      <c r="C57" s="151" t="str">
        <f>IF(OR(ISNUMBER(L56),ISNUMBER(L57),ISNUMBER(L58),ISNUMBER(L59)),Lire_Gain_Matches(L56:L59, N56:N59),"")</f>
        <v/>
      </c>
      <c r="D57" s="152" t="str">
        <f>IF(OR(ISNUMBER(L56),ISNUMBER(L57),ISNUMBER(L58),ISNUMBER(L59)),SUM(L56:L59),"")</f>
        <v/>
      </c>
      <c r="E57" s="153"/>
      <c r="F57" s="154" t="str">
        <f>IF(L60="","",L60)</f>
        <v/>
      </c>
      <c r="G57" s="155"/>
      <c r="H57" s="156"/>
      <c r="I57" s="157"/>
      <c r="J57" s="158"/>
      <c r="K57" s="103"/>
      <c r="L57" s="10"/>
      <c r="M57" s="45" t="s">
        <v>769</v>
      </c>
      <c r="N57" s="10"/>
      <c r="O57" s="79"/>
      <c r="P57" s="159"/>
      <c r="Q57" s="263" t="str">
        <f>IF(C57="","",CONCATENATE(C57,IF(B57=Q58,IF(C57=C59,CONCATENATE(" [ ",D57," - ",D59," ] ",IF(E58="x",N_res_MS,IF(F57="","",CONCATENATE(" (",N_res_Diff," ",F57," - ",F59,")")))),IF(E58="x",N_res_MS,"")),"")))</f>
        <v/>
      </c>
      <c r="AG57" s="177"/>
      <c r="BD57" s="217" t="str">
        <f>N_Heure</f>
        <v>Heure</v>
      </c>
      <c r="BE57" s="218" t="str">
        <f>N_Table</f>
        <v>Table</v>
      </c>
      <c r="BF57" s="218" t="str">
        <f>N_Arbitre</f>
        <v>Arbitre</v>
      </c>
      <c r="BG57" s="219" t="str">
        <f>N_Matches</f>
        <v>Matches</v>
      </c>
      <c r="BH57" s="220"/>
      <c r="BI57" s="220"/>
      <c r="BJ57" s="220"/>
      <c r="BK57" s="221"/>
      <c r="BL57" s="217" t="str">
        <f>N_MS</f>
        <v>MS</v>
      </c>
      <c r="BO57" s="222"/>
      <c r="BP57" s="222"/>
      <c r="BQ57" s="222"/>
      <c r="BR57" s="222"/>
      <c r="BS57" s="222"/>
      <c r="BT57" s="222"/>
      <c r="BU57" s="222"/>
    </row>
    <row r="58" spans="2:74" ht="13.5" thickBot="1" x14ac:dyDescent="0.25">
      <c r="C58" s="160"/>
      <c r="D58" s="161"/>
      <c r="E58" s="162" t="str">
        <f>IF(ISNA(VLOOKUP("X",P56:P59,1,FALSE)),"","X")</f>
        <v/>
      </c>
      <c r="F58" s="163"/>
      <c r="G58" s="164"/>
      <c r="H58" s="156"/>
      <c r="I58" s="157"/>
      <c r="J58" s="158"/>
      <c r="K58" s="103"/>
      <c r="L58" s="10"/>
      <c r="M58" s="45" t="s">
        <v>769</v>
      </c>
      <c r="N58" s="10"/>
      <c r="O58" s="79"/>
      <c r="P58" s="165"/>
      <c r="Q58" s="166" t="str">
        <f>IF(C57="","",IF(C57&gt;C59,B57,IF(C59&gt;C57,B59,IF(D57&gt;D59,B57,IF(D59&gt;D57,B59,IF(F57&gt;F59,B57,IF(F59&gt;F57,B59,mess_erreur_marque)))))))</f>
        <v/>
      </c>
      <c r="AG58" s="177"/>
      <c r="AY58" s="141" t="str">
        <f>N_Matches</f>
        <v>Matches</v>
      </c>
      <c r="AZ58" s="142" t="str">
        <f>N_Buts</f>
        <v>Buts</v>
      </c>
      <c r="BA58" s="142" t="str">
        <f>N_MS</f>
        <v>MS</v>
      </c>
      <c r="BB58" s="143" t="str">
        <f>N_Diff</f>
        <v>Diff</v>
      </c>
      <c r="BC58" s="7"/>
      <c r="BD58" s="144"/>
      <c r="BE58" s="145"/>
      <c r="BF58" s="146"/>
      <c r="BG58" s="147"/>
      <c r="BH58" s="148"/>
      <c r="BI58" s="35" t="s">
        <v>769</v>
      </c>
      <c r="BJ58" s="148"/>
      <c r="BK58" s="149"/>
      <c r="BL58" s="150"/>
    </row>
    <row r="59" spans="2:74" ht="13.5" thickBot="1" x14ac:dyDescent="0.25">
      <c r="B59" s="128"/>
      <c r="C59" s="167" t="str">
        <f>IF(OR(ISNUMBER(L56),ISNUMBER(L57),ISNUMBER(L58),ISNUMBER(L59)),Lire_Gain_Matches(N56:N59, L56:L59),"")</f>
        <v/>
      </c>
      <c r="D59" s="168" t="str">
        <f>IF(OR(ISNUMBER(L56),ISNUMBER(L57),ISNUMBER(L58),ISNUMBER(L59)),SUM(N56:N59),"")</f>
        <v/>
      </c>
      <c r="E59" s="169"/>
      <c r="F59" s="170" t="str">
        <f>IF(N60="","",N60)</f>
        <v/>
      </c>
      <c r="G59" s="155"/>
      <c r="H59" s="171"/>
      <c r="I59" s="172"/>
      <c r="J59" s="173"/>
      <c r="K59" s="174"/>
      <c r="L59" s="175"/>
      <c r="M59" s="52" t="s">
        <v>769</v>
      </c>
      <c r="N59" s="175"/>
      <c r="O59" s="96"/>
      <c r="P59" s="176"/>
      <c r="Q59" t="str">
        <f>IF(C59="","",CONCATENATE(C59,IF(B59=Q58,IF(C57=C59,CONCATENATE(" [ ",D59," -",D57," ] ",IF(E58="x",N_res_MS,IF(F59="","",CONCATENATE(" (",N_res_Diff," ",F59," - ",F57,")")))),IF(E58="x",N_res_MS,"")),"")))</f>
        <v/>
      </c>
      <c r="R59" s="139"/>
      <c r="X59" s="3" t="str">
        <f>N_Heure</f>
        <v>Heure</v>
      </c>
      <c r="Y59" s="22" t="str">
        <f>N_Table</f>
        <v>Table</v>
      </c>
      <c r="Z59" s="22" t="str">
        <f>N_Arbitre</f>
        <v>Arbitre</v>
      </c>
      <c r="AA59" s="2490" t="str">
        <f>N_Matches</f>
        <v>Matches</v>
      </c>
      <c r="AB59" s="2491"/>
      <c r="AC59" s="2491"/>
      <c r="AD59" s="2491"/>
      <c r="AE59" s="2492"/>
      <c r="AF59" s="3" t="str">
        <f>N_MS</f>
        <v>MS</v>
      </c>
      <c r="AG59" s="177"/>
      <c r="AX59" s="223" t="str">
        <f>IF(AW23=AH22,AH24,AH22)</f>
        <v/>
      </c>
      <c r="AY59" s="151" t="str">
        <f>IF(OR(ISNUMBER(BH58),ISNUMBER(BH59),ISNUMBER(BH60),ISNUMBER(BH61)),Lire_Gain_Matches(BH58:BH61, BJ58:BJ61),"")</f>
        <v/>
      </c>
      <c r="AZ59" s="152" t="str">
        <f>IF(OR(ISNUMBER(BH58),ISNUMBER(BH59),ISNUMBER(BH60),ISNUMBER(BH61)),SUM(BH58:BH61),"")</f>
        <v/>
      </c>
      <c r="BA59" s="153"/>
      <c r="BB59" s="154" t="str">
        <f>IF(BH62="","",BH62)</f>
        <v/>
      </c>
      <c r="BC59" s="155"/>
      <c r="BD59" s="156"/>
      <c r="BE59" s="157"/>
      <c r="BF59" s="158"/>
      <c r="BG59" s="103"/>
      <c r="BH59" s="10"/>
      <c r="BI59" s="45" t="s">
        <v>769</v>
      </c>
      <c r="BJ59" s="10"/>
      <c r="BK59" s="79"/>
      <c r="BL59" s="159"/>
      <c r="BM59" s="263" t="str">
        <f>IF(AY59="","",CONCATENATE(AY59,IF(AX59=BM60,IF(AY59=AY61,CONCATENATE(" [ ",AZ59," - ",AZ61," ] ",IF(BA60="x",N_res_MS,IF(BB59="","",CONCATENATE(" (",N_res_Diff," ",BB59," - ",BB61,")")))),IF(BA60="x",N_res_MS,"")),"")))</f>
        <v/>
      </c>
    </row>
    <row r="60" spans="2:74" ht="18.75" thickBot="1" x14ac:dyDescent="0.3">
      <c r="H60" s="178"/>
      <c r="I60" s="179" t="str">
        <f>N_Différentiel</f>
        <v>Différentiel</v>
      </c>
      <c r="J60" s="180"/>
      <c r="K60" s="181"/>
      <c r="L60" s="182"/>
      <c r="M60" s="66" t="s">
        <v>769</v>
      </c>
      <c r="N60" s="182"/>
      <c r="O60" s="183"/>
      <c r="Q60" s="177"/>
      <c r="S60" s="141" t="str">
        <f>N_Matches</f>
        <v>Matches</v>
      </c>
      <c r="T60" s="142" t="str">
        <f>N_Buts</f>
        <v>Buts</v>
      </c>
      <c r="U60" s="142" t="str">
        <f>N_MS</f>
        <v>MS</v>
      </c>
      <c r="V60" s="143" t="str">
        <f>N_Diff</f>
        <v>Diff</v>
      </c>
      <c r="W60" s="7"/>
      <c r="X60" s="144"/>
      <c r="Y60" s="145"/>
      <c r="Z60" s="146"/>
      <c r="AA60" s="147"/>
      <c r="AB60" s="148"/>
      <c r="AC60" s="35" t="s">
        <v>769</v>
      </c>
      <c r="AD60" s="148"/>
      <c r="AE60" s="149"/>
      <c r="AF60" s="150"/>
      <c r="AG60" s="177"/>
      <c r="AY60" s="160"/>
      <c r="AZ60" s="161"/>
      <c r="BA60" s="162" t="str">
        <f>IF(ISNA(VLOOKUP("X",BL58:BL61,1,FALSE)),"","X")</f>
        <v/>
      </c>
      <c r="BB60" s="163"/>
      <c r="BC60" s="190"/>
      <c r="BD60" s="156"/>
      <c r="BE60" s="157"/>
      <c r="BF60" s="158"/>
      <c r="BG60" s="103"/>
      <c r="BH60" s="10"/>
      <c r="BI60" s="45" t="s">
        <v>769</v>
      </c>
      <c r="BJ60" s="10"/>
      <c r="BK60" s="79"/>
      <c r="BL60" s="165"/>
      <c r="BM60" s="224" t="str">
        <f>IF(AY59="","",IF(AY59&gt;AY61,AX59,IF(AY61&gt;AY59,AX61,IF(AZ59&gt;AZ61,AX59,IF(AZ61&gt;AZ59,AX61,IF(BB59&gt;BB61,AX59,IF(BB61&gt;BB59,AX61,mess_erreur_marque)))))))</f>
        <v/>
      </c>
      <c r="BN60" s="268"/>
    </row>
    <row r="61" spans="2:74" ht="13.5" thickBot="1" x14ac:dyDescent="0.25">
      <c r="R61" s="132" t="str">
        <f>Q58</f>
        <v/>
      </c>
      <c r="S61" s="151" t="str">
        <f>IF(OR(ISNUMBER(AB60),ISNUMBER(AB61),ISNUMBER(AB62),ISNUMBER(AB63)),Lire_Gain_Matches(AB60:AB63, AD60:AD63),"")</f>
        <v/>
      </c>
      <c r="T61" s="152" t="str">
        <f>IF(OR(ISNUMBER(AB60),ISNUMBER(AB61),ISNUMBER(AB62),ISNUMBER(AB63)),SUM(AB60:AB63),"")</f>
        <v/>
      </c>
      <c r="U61" s="153"/>
      <c r="V61" s="154" t="str">
        <f>IF(AB64="","",AB64)</f>
        <v/>
      </c>
      <c r="W61" s="155"/>
      <c r="X61" s="156"/>
      <c r="Y61" s="157"/>
      <c r="Z61" s="158"/>
      <c r="AA61" s="103"/>
      <c r="AB61" s="10"/>
      <c r="AC61" s="45" t="s">
        <v>769</v>
      </c>
      <c r="AD61" s="10"/>
      <c r="AE61" s="79"/>
      <c r="AF61" s="159"/>
      <c r="AG61" s="264" t="str">
        <f>IF(S61="","",CONCATENATE(S61,IF(R61=AG62,IF(S61=S63,CONCATENATE(" [ ",T61," - ",T63," ] ",IF(U62="x",N_res_MS,IF(V61="","",CONCATENATE(" (",N_res_Diff," ",V61," - ",V63,")")))),IF(U62="x",N_res_MS,"")),"")))</f>
        <v/>
      </c>
      <c r="AX61" s="223" t="str">
        <f>IF(AW54=AH53,AH55,AH53)</f>
        <v/>
      </c>
      <c r="AY61" s="167" t="str">
        <f>IF(OR(ISNUMBER(BH58),ISNUMBER(BH59),ISNUMBER(BH60),ISNUMBER(BH61)),Lire_Gain_Matches(BJ58:BJ61, BH58:BH61),"")</f>
        <v/>
      </c>
      <c r="AZ61" s="168" t="str">
        <f>IF(OR(ISNUMBER(BH58),ISNUMBER(BH59),ISNUMBER(BH60),ISNUMBER(BH61)),SUM(BJ58:BJ61),"")</f>
        <v/>
      </c>
      <c r="BA61" s="169"/>
      <c r="BB61" s="170" t="str">
        <f>IF(BJ62="","",BJ62)</f>
        <v/>
      </c>
      <c r="BC61" s="155"/>
      <c r="BD61" s="171"/>
      <c r="BE61" s="172"/>
      <c r="BF61" s="173"/>
      <c r="BG61" s="174"/>
      <c r="BH61" s="175"/>
      <c r="BI61" s="52" t="s">
        <v>769</v>
      </c>
      <c r="BJ61" s="175"/>
      <c r="BK61" s="96"/>
      <c r="BL61" s="176"/>
      <c r="BM61" t="str">
        <f>IF(AY61="","",CONCATENATE(AY61,IF(AX61=BM60,IF(AY59=AY61,CONCATENATE(" [ ",AZ61," -",AZ59," ] ",IF(BA60="x",N_res_MS,IF(BB61="","",CONCATENATE(" (",N_res_Diff," ",BB61," - ",BB59,")")))),IF(BA60="x",N_res_MS,"")),"")))</f>
        <v/>
      </c>
    </row>
    <row r="62" spans="2:74" ht="13.5" thickBot="1" x14ac:dyDescent="0.25">
      <c r="S62" s="160"/>
      <c r="T62" s="161"/>
      <c r="U62" s="162" t="str">
        <f>IF(ISNA(VLOOKUP("X",AF60:AF63,1,FALSE)),"","X")</f>
        <v/>
      </c>
      <c r="V62" s="163"/>
      <c r="W62" s="186"/>
      <c r="X62" s="156"/>
      <c r="Y62" s="157"/>
      <c r="Z62" s="158"/>
      <c r="AA62" s="103"/>
      <c r="AB62" s="10"/>
      <c r="AC62" s="45" t="s">
        <v>769</v>
      </c>
      <c r="AD62" s="10"/>
      <c r="AE62" s="79"/>
      <c r="AF62" s="165"/>
      <c r="AG62" s="187" t="str">
        <f>IF(S61="","",IF(S61&gt;S63,R61,IF(S63&gt;S61,R63,IF(T61&gt;T63,R61,IF(T63&gt;T61,R63,IF(V61&gt;V63,R61,IF(V63&gt;V61,R63,mess_erreur_marque)))))))</f>
        <v/>
      </c>
      <c r="BD62" s="178"/>
      <c r="BE62" s="179" t="str">
        <f>N_Différentiel</f>
        <v>Différentiel</v>
      </c>
      <c r="BF62" s="180"/>
      <c r="BG62" s="181"/>
      <c r="BH62" s="182"/>
      <c r="BI62" s="66" t="s">
        <v>769</v>
      </c>
      <c r="BJ62" s="182"/>
      <c r="BK62" s="183"/>
    </row>
    <row r="63" spans="2:74" ht="13.5" thickBot="1" x14ac:dyDescent="0.25">
      <c r="H63" s="3" t="str">
        <f>N_Heure</f>
        <v>Heure</v>
      </c>
      <c r="I63" s="22" t="str">
        <f>N_Table</f>
        <v>Table</v>
      </c>
      <c r="J63" s="22" t="str">
        <f>N_Arbitre</f>
        <v>Arbitre</v>
      </c>
      <c r="K63" s="2490" t="str">
        <f>N_Matches</f>
        <v>Matches</v>
      </c>
      <c r="L63" s="2491"/>
      <c r="M63" s="2491"/>
      <c r="N63" s="2491"/>
      <c r="O63" s="2492"/>
      <c r="P63" s="3" t="str">
        <f>N_MS</f>
        <v>MS</v>
      </c>
      <c r="R63" s="132" t="str">
        <f>Q66</f>
        <v/>
      </c>
      <c r="S63" s="167" t="str">
        <f>IF(OR(ISNUMBER(AB60),ISNUMBER(AB61),ISNUMBER(AB62),ISNUMBER(AB63)),Lire_Gain_Matches(AD60:AD63, AB60:AB63),"")</f>
        <v/>
      </c>
      <c r="T63" s="168" t="str">
        <f>IF(OR(ISNUMBER(AB60),ISNUMBER(AB61),ISNUMBER(AB62),ISNUMBER(AB63)),SUM(AD60:AD63),"")</f>
        <v/>
      </c>
      <c r="U63" s="169"/>
      <c r="V63" s="170" t="str">
        <f>IF(AD64="","",AD64)</f>
        <v/>
      </c>
      <c r="W63" s="155"/>
      <c r="X63" s="171"/>
      <c r="Y63" s="172"/>
      <c r="Z63" s="173"/>
      <c r="AA63" s="174"/>
      <c r="AB63" s="175"/>
      <c r="AC63" s="52" t="s">
        <v>769</v>
      </c>
      <c r="AD63" s="175"/>
      <c r="AE63" s="96"/>
      <c r="AF63" s="176"/>
      <c r="AG63" t="str">
        <f>IF(S63="","",CONCATENATE(S63,IF(R63=AG62,IF(S61=S63,CONCATENATE(" [ ",T63," -",T61," ] ",IF(U62="x",N_res_MS,IF(V63="","",CONCATENATE(" (",N_res_Diff," ",V63," - ",V61,")")))),IF(U62="x",N_res_MS,"")),"")))</f>
        <v/>
      </c>
    </row>
    <row r="64" spans="2:74" ht="13.5" thickBot="1" x14ac:dyDescent="0.25">
      <c r="C64" s="141" t="str">
        <f>N_Matches</f>
        <v>Matches</v>
      </c>
      <c r="D64" s="142" t="str">
        <f>N_Buts</f>
        <v>Buts</v>
      </c>
      <c r="E64" s="142" t="str">
        <f>N_MS</f>
        <v>MS</v>
      </c>
      <c r="F64" s="143" t="str">
        <f>N_Diff</f>
        <v>Diff</v>
      </c>
      <c r="G64" s="7"/>
      <c r="H64" s="144"/>
      <c r="I64" s="145"/>
      <c r="J64" s="146"/>
      <c r="K64" s="147"/>
      <c r="L64" s="148"/>
      <c r="M64" s="35" t="s">
        <v>769</v>
      </c>
      <c r="N64" s="148"/>
      <c r="O64" s="149"/>
      <c r="P64" s="150"/>
      <c r="Q64" s="177"/>
      <c r="X64" s="178"/>
      <c r="Y64" s="179" t="str">
        <f>N_Différentiel</f>
        <v>Différentiel</v>
      </c>
      <c r="Z64" s="180"/>
      <c r="AA64" s="181"/>
      <c r="AB64" s="182"/>
      <c r="AC64" s="66" t="s">
        <v>769</v>
      </c>
      <c r="AD64" s="182"/>
      <c r="AE64" s="183"/>
    </row>
    <row r="65" spans="2:66" ht="13.5" thickBot="1" x14ac:dyDescent="0.25">
      <c r="B65" s="128"/>
      <c r="C65" s="151" t="str">
        <f>IF(OR(ISNUMBER(L64),ISNUMBER(L65),ISNUMBER(L66),ISNUMBER(L67)),Lire_Gain_Matches(L64:L67, N64:N67),"")</f>
        <v/>
      </c>
      <c r="D65" s="152" t="str">
        <f>IF(OR(ISNUMBER(L64),ISNUMBER(L65),ISNUMBER(L66),ISNUMBER(L67)),SUM(L64:L67),"")</f>
        <v/>
      </c>
      <c r="E65" s="153"/>
      <c r="F65" s="154" t="str">
        <f>IF(L68="","",L68)</f>
        <v/>
      </c>
      <c r="G65" s="155"/>
      <c r="H65" s="156"/>
      <c r="I65" s="157"/>
      <c r="J65" s="158"/>
      <c r="K65" s="103"/>
      <c r="L65" s="10"/>
      <c r="M65" s="45" t="s">
        <v>769</v>
      </c>
      <c r="N65" s="10"/>
      <c r="O65" s="79"/>
      <c r="P65" s="159"/>
      <c r="Q65" s="264" t="str">
        <f>IF(C65="","",CONCATENATE(C65,IF(B65=Q66,IF(C65=C67,CONCATENATE(" [ ",D65," - ",D67," ] ",IF(E66="x",N_res_MS,IF(F65="","",CONCATENATE(" (",N_res_Diff," ",F65," - ",F67,")")))),IF(E66="x",N_res_MS,"")),"")))</f>
        <v/>
      </c>
      <c r="R65" s="139"/>
    </row>
    <row r="66" spans="2:66" ht="13.5" thickBot="1" x14ac:dyDescent="0.25">
      <c r="C66" s="160"/>
      <c r="D66" s="161"/>
      <c r="E66" s="162" t="str">
        <f>IF(ISNA(VLOOKUP("X",P64:P67,1,FALSE)),"","X")</f>
        <v/>
      </c>
      <c r="F66" s="163"/>
      <c r="G66" s="164"/>
      <c r="H66" s="156"/>
      <c r="I66" s="157"/>
      <c r="J66" s="158"/>
      <c r="K66" s="103"/>
      <c r="L66" s="10"/>
      <c r="M66" s="45" t="s">
        <v>769</v>
      </c>
      <c r="N66" s="10"/>
      <c r="O66" s="79"/>
      <c r="P66" s="165"/>
      <c r="Q66" s="166" t="str">
        <f>IF(C65="","",IF(C65&gt;C67,B65,IF(C67&gt;C65,B67,IF(D65&gt;D67,B65,IF(D67&gt;D65,B67,IF(F65&gt;F67,B65,IF(F67&gt;F65,B67,mess_erreur_marque)))))))</f>
        <v/>
      </c>
    </row>
    <row r="67" spans="2:66" ht="13.5" thickBot="1" x14ac:dyDescent="0.25">
      <c r="B67" s="128"/>
      <c r="C67" s="167" t="str">
        <f>IF(OR(ISNUMBER(L64),ISNUMBER(L65),ISNUMBER(L66),ISNUMBER(L67)),Lire_Gain_Matches(N64:N67, L64:L67),"")</f>
        <v/>
      </c>
      <c r="D67" s="168" t="str">
        <f>IF(OR(ISNUMBER(L64),ISNUMBER(L65),ISNUMBER(L66),ISNUMBER(L67)),SUM(N64:N67),"")</f>
        <v/>
      </c>
      <c r="E67" s="169"/>
      <c r="F67" s="170" t="str">
        <f>IF(N68="","",N68)</f>
        <v/>
      </c>
      <c r="G67" s="155"/>
      <c r="H67" s="171"/>
      <c r="I67" s="172"/>
      <c r="J67" s="173"/>
      <c r="K67" s="174"/>
      <c r="L67" s="175"/>
      <c r="M67" s="52" t="s">
        <v>769</v>
      </c>
      <c r="N67" s="175"/>
      <c r="O67" s="96"/>
      <c r="P67" s="176"/>
      <c r="Q67" t="str">
        <f>IF(C67="","",CONCATENATE(C67,IF(B67=Q66,IF(C65=C67,CONCATENATE(" [ ",D67," -",D65," ] ",IF(E66="x",N_res_MS,IF(F67="","",CONCATENATE(" (",N_res_Diff," ",F67," - ",F65,")")))),IF(E66="x",N_res_MS,"")),"")))</f>
        <v/>
      </c>
    </row>
    <row r="68" spans="2:66" ht="13.5" thickBot="1" x14ac:dyDescent="0.25">
      <c r="H68" s="178"/>
      <c r="I68" s="179" t="str">
        <f>N_Différentiel</f>
        <v>Différentiel</v>
      </c>
      <c r="J68" s="225"/>
      <c r="K68" s="181"/>
      <c r="L68" s="182"/>
      <c r="M68" s="66" t="s">
        <v>769</v>
      </c>
      <c r="N68" s="182"/>
      <c r="O68" s="183"/>
    </row>
    <row r="69" spans="2:66" ht="13.5" thickBot="1" x14ac:dyDescent="0.25">
      <c r="H69" s="178"/>
      <c r="I69" s="178"/>
      <c r="J69" s="227"/>
      <c r="L69" s="9"/>
      <c r="N69" s="9"/>
    </row>
    <row r="70" spans="2:66" ht="13.5" thickBot="1" x14ac:dyDescent="0.25">
      <c r="B70" s="2497" t="s">
        <v>877</v>
      </c>
      <c r="C70" s="2498"/>
      <c r="D70" s="2498"/>
      <c r="E70" s="2498"/>
      <c r="F70" s="2498"/>
      <c r="G70" s="2498"/>
      <c r="H70" s="2498"/>
      <c r="I70" s="2498"/>
      <c r="J70" s="2498"/>
      <c r="K70" s="2498"/>
      <c r="L70" s="2498"/>
      <c r="M70" s="2498"/>
      <c r="N70" s="2498"/>
      <c r="O70" s="2498"/>
      <c r="P70" s="2498"/>
      <c r="Q70" s="2498"/>
      <c r="R70" s="2498"/>
      <c r="S70" s="2498"/>
      <c r="T70" s="2498"/>
      <c r="U70" s="2498"/>
      <c r="V70" s="2498"/>
      <c r="W70" s="2498"/>
      <c r="X70" s="2498"/>
      <c r="Y70" s="2498"/>
      <c r="Z70" s="2498"/>
      <c r="AA70" s="2498"/>
      <c r="AB70" s="2498"/>
      <c r="AC70" s="2498"/>
      <c r="AD70" s="2498"/>
      <c r="AE70" s="2498"/>
      <c r="AF70" s="2498"/>
      <c r="AG70" s="2498"/>
      <c r="AH70" s="2498"/>
      <c r="AI70" s="2498"/>
      <c r="AJ70" s="2498"/>
      <c r="AK70" s="2498"/>
      <c r="AL70" s="2498"/>
      <c r="AM70" s="2498"/>
      <c r="AN70" s="2498"/>
      <c r="AO70" s="2498"/>
      <c r="AP70" s="2498"/>
      <c r="AQ70" s="2498"/>
      <c r="AR70" s="2498"/>
      <c r="AS70" s="2498"/>
      <c r="AT70" s="2498"/>
      <c r="AU70" s="2498"/>
      <c r="AV70" s="2498"/>
      <c r="AW70" s="2498"/>
      <c r="AX70" s="2498"/>
      <c r="AY70" s="2498"/>
      <c r="AZ70" s="2498"/>
      <c r="BA70" s="2498"/>
      <c r="BB70" s="2498"/>
      <c r="BC70" s="2498"/>
      <c r="BD70" s="2498"/>
      <c r="BE70" s="2498"/>
      <c r="BF70" s="2498"/>
      <c r="BG70" s="2498"/>
      <c r="BH70" s="2498"/>
      <c r="BI70" s="2498"/>
      <c r="BJ70" s="2498"/>
      <c r="BK70" s="2498"/>
      <c r="BL70" s="2498"/>
      <c r="BM70" s="2499"/>
      <c r="BN70" s="269"/>
    </row>
    <row r="71" spans="2:66" ht="13.5" thickBot="1" x14ac:dyDescent="0.25"/>
    <row r="72" spans="2:66" ht="13.5" thickBot="1" x14ac:dyDescent="0.25">
      <c r="X72" s="3" t="str">
        <f>N_Heure</f>
        <v>Heure</v>
      </c>
      <c r="Y72" s="22" t="str">
        <f>N_Table</f>
        <v>Table</v>
      </c>
      <c r="Z72" s="22" t="str">
        <f>N_Arbitre</f>
        <v>Arbitre</v>
      </c>
      <c r="AA72" s="2490" t="str">
        <f>N_Matches</f>
        <v>Matches</v>
      </c>
      <c r="AB72" s="2491"/>
      <c r="AC72" s="2491"/>
      <c r="AD72" s="2491"/>
      <c r="AE72" s="2492"/>
      <c r="AF72" s="3" t="str">
        <f>N_MS</f>
        <v>MS</v>
      </c>
    </row>
    <row r="73" spans="2:66" ht="13.5" thickBot="1" x14ac:dyDescent="0.25">
      <c r="S73" s="141" t="str">
        <f>N_Matches</f>
        <v>Matches</v>
      </c>
      <c r="T73" s="142" t="str">
        <f>N_Buts</f>
        <v>Buts</v>
      </c>
      <c r="U73" s="142" t="str">
        <f>N_MS</f>
        <v>MS</v>
      </c>
      <c r="V73" s="143" t="str">
        <f>N_Diff</f>
        <v>Diff</v>
      </c>
      <c r="W73" s="7"/>
      <c r="X73" s="144"/>
      <c r="Y73" s="145"/>
      <c r="Z73" s="146"/>
      <c r="AA73" s="147"/>
      <c r="AB73" s="148"/>
      <c r="AC73" s="35" t="s">
        <v>769</v>
      </c>
      <c r="AD73" s="148"/>
      <c r="AE73" s="149"/>
      <c r="AF73" s="150"/>
    </row>
    <row r="74" spans="2:66" ht="13.5" thickBot="1" x14ac:dyDescent="0.25">
      <c r="H74" s="178"/>
      <c r="I74" s="178"/>
      <c r="J74" s="7"/>
      <c r="K74" s="184"/>
      <c r="L74" s="185"/>
      <c r="M74" s="11"/>
      <c r="N74" s="185"/>
      <c r="O74" s="123"/>
      <c r="R74" s="132" t="str">
        <f>IF(AG15="","",IF(AG15=R14,R16,IF(AG15=R16,R14,"")))</f>
        <v/>
      </c>
      <c r="S74" s="151" t="str">
        <f>IF(OR(ISNUMBER(AB73),ISNUMBER(AB74),ISNUMBER(AB75),ISNUMBER(AB76)),Lire_Gain_Matches(AB73:AB76, AD73:AD76),"")</f>
        <v/>
      </c>
      <c r="T74" s="152" t="str">
        <f>IF(OR(ISNUMBER(AB73),ISNUMBER(AB74),ISNUMBER(AB75),ISNUMBER(AB76)),SUM(AB73:AB76),"")</f>
        <v/>
      </c>
      <c r="U74" s="153"/>
      <c r="V74" s="154" t="str">
        <f>IF(AB77="","",AB77)</f>
        <v/>
      </c>
      <c r="W74" s="155"/>
      <c r="X74" s="156"/>
      <c r="Y74" s="157"/>
      <c r="Z74" s="158"/>
      <c r="AA74" s="103"/>
      <c r="AB74" s="10"/>
      <c r="AC74" s="45" t="s">
        <v>769</v>
      </c>
      <c r="AD74" s="10"/>
      <c r="AE74" s="79"/>
      <c r="AF74" s="159"/>
      <c r="AG74" s="263" t="str">
        <f>IF(S74="","",CONCATENATE(S74,IF(R74=AG75,IF(S74=S76,CONCATENATE(" [ ",T74," - ",T76," ] ",IF(U75="x",N_res_MS,IF(V74="","",CONCATENATE(" (",N_res_Diff," ",V74," - ",V76,")")))),IF(U75="x",N_res_MS,"")),"")))</f>
        <v/>
      </c>
      <c r="AN74" s="8"/>
      <c r="AO74" s="8"/>
      <c r="AP74" s="8"/>
      <c r="AQ74" s="8"/>
      <c r="AR74" s="8"/>
      <c r="AS74" s="8"/>
      <c r="AT74" s="8"/>
      <c r="AU74" s="8"/>
      <c r="AV74" s="8"/>
    </row>
    <row r="75" spans="2:66" ht="13.5" thickBot="1" x14ac:dyDescent="0.25">
      <c r="S75" s="160"/>
      <c r="T75" s="161"/>
      <c r="U75" s="162" t="str">
        <f>IF(ISNA(VLOOKUP("X",AF73:AF76,1,FALSE)),"","X")</f>
        <v/>
      </c>
      <c r="V75" s="163"/>
      <c r="W75" s="186"/>
      <c r="X75" s="156"/>
      <c r="Y75" s="157"/>
      <c r="Z75" s="158"/>
      <c r="AA75" s="103"/>
      <c r="AB75" s="10"/>
      <c r="AC75" s="45" t="s">
        <v>769</v>
      </c>
      <c r="AD75" s="10"/>
      <c r="AE75" s="79"/>
      <c r="AF75" s="165"/>
      <c r="AG75" s="187" t="str">
        <f>IF(S74="","",IF(S74&gt;S76,R74,IF(S76&gt;S74,R76,IF(T74&gt;T76,R74,IF(T76&gt;T74,R76,IF(V74&gt;V76,R74,IF(V76&gt;V74,R76,mess_erreur_marque)))))))</f>
        <v/>
      </c>
    </row>
    <row r="76" spans="2:66" ht="13.5" thickBot="1" x14ac:dyDescent="0.25">
      <c r="H76" s="3" t="str">
        <f>N_Heure</f>
        <v>Heure</v>
      </c>
      <c r="I76" s="22" t="str">
        <f>N_Table</f>
        <v>Table</v>
      </c>
      <c r="J76" s="22" t="str">
        <f>N_Arbitre</f>
        <v>Arbitre</v>
      </c>
      <c r="K76" s="2490" t="str">
        <f>N_Matches</f>
        <v>Matches</v>
      </c>
      <c r="L76" s="2491"/>
      <c r="M76" s="2491"/>
      <c r="N76" s="2491"/>
      <c r="O76" s="2492"/>
      <c r="P76" s="3" t="str">
        <f>N_MS</f>
        <v>MS</v>
      </c>
      <c r="R76" s="132" t="str">
        <f>Q79</f>
        <v/>
      </c>
      <c r="S76" s="167" t="str">
        <f>IF(OR(ISNUMBER(AB73),ISNUMBER(AB74),ISNUMBER(AB75),ISNUMBER(AB76)),Lire_Gain_Matches(AD73:AD76, AB73:AB76),"")</f>
        <v/>
      </c>
      <c r="T76" s="168" t="str">
        <f>IF(OR(ISNUMBER(AB73),ISNUMBER(AB74),ISNUMBER(AB75),ISNUMBER(AB76)),SUM(AD73:AD76),"")</f>
        <v/>
      </c>
      <c r="U76" s="169"/>
      <c r="V76" s="170" t="str">
        <f>IF(AD77="","",AD77)</f>
        <v/>
      </c>
      <c r="W76" s="155"/>
      <c r="X76" s="171"/>
      <c r="Y76" s="172"/>
      <c r="Z76" s="173"/>
      <c r="AA76" s="174"/>
      <c r="AB76" s="175"/>
      <c r="AC76" s="52" t="s">
        <v>769</v>
      </c>
      <c r="AD76" s="175"/>
      <c r="AE76" s="96"/>
      <c r="AF76" s="176"/>
      <c r="AG76" s="265" t="str">
        <f>IF(S76="","",CONCATENATE(S76,IF(R76=AG75,IF(S74=S76,CONCATENATE(" [ ",T76," -",T74," ] ",IF(U75="x",N_res_MS,IF(V76="","",CONCATENATE(" (",N_res_Diff," ",V76," - ",V74,")")))),IF(U75="x",N_res_MS,"")),"")))</f>
        <v/>
      </c>
    </row>
    <row r="77" spans="2:66" ht="13.5" thickBot="1" x14ac:dyDescent="0.25">
      <c r="C77" s="141" t="str">
        <f>N_Matches</f>
        <v>Matches</v>
      </c>
      <c r="D77" s="142" t="str">
        <f>N_Buts</f>
        <v>Buts</v>
      </c>
      <c r="E77" s="142" t="str">
        <f>N_MS</f>
        <v>MS</v>
      </c>
      <c r="F77" s="143" t="str">
        <f>N_Diff</f>
        <v>Diff</v>
      </c>
      <c r="G77" s="7"/>
      <c r="H77" s="144"/>
      <c r="I77" s="145"/>
      <c r="J77" s="146"/>
      <c r="K77" s="147"/>
      <c r="L77" s="148"/>
      <c r="M77" s="35" t="s">
        <v>769</v>
      </c>
      <c r="N77" s="148"/>
      <c r="O77" s="149"/>
      <c r="P77" s="150"/>
      <c r="Q77" s="177"/>
      <c r="X77" s="178"/>
      <c r="Y77" s="179" t="str">
        <f>N_Différentiel</f>
        <v>Différentiel</v>
      </c>
      <c r="Z77" s="180"/>
      <c r="AA77" s="181"/>
      <c r="AB77" s="182"/>
      <c r="AC77" s="66" t="s">
        <v>769</v>
      </c>
      <c r="AD77" s="182"/>
      <c r="AE77" s="183"/>
      <c r="AG77" s="177"/>
    </row>
    <row r="78" spans="2:66" ht="13.5" thickBot="1" x14ac:dyDescent="0.25">
      <c r="B78" s="128"/>
      <c r="C78" s="151" t="str">
        <f>IF(OR(ISNUMBER(L77),ISNUMBER(L78),ISNUMBER(L79),ISNUMBER(L80)),Lire_Gain_Matches(L77:L80, N77:N80),"")</f>
        <v/>
      </c>
      <c r="D78" s="152" t="str">
        <f>IF(OR(ISNUMBER(L77),ISNUMBER(L78),ISNUMBER(L79),ISNUMBER(L80)),SUM(L77:L80),"")</f>
        <v/>
      </c>
      <c r="E78" s="153"/>
      <c r="F78" s="154" t="str">
        <f>IF(L81="","",L81)</f>
        <v/>
      </c>
      <c r="G78" s="155"/>
      <c r="H78" s="156"/>
      <c r="I78" s="157"/>
      <c r="J78" s="158"/>
      <c r="K78" s="103"/>
      <c r="L78" s="10"/>
      <c r="M78" s="45" t="s">
        <v>769</v>
      </c>
      <c r="N78" s="10"/>
      <c r="O78" s="79"/>
      <c r="P78" s="159"/>
      <c r="Q78" s="264" t="str">
        <f>IF(C78="","",CONCATENATE(C78,IF(B78=Q79,IF(C78=C80,CONCATENATE(" [ ",D78," - ",D80," ] ",IF(E79="x",N_res_MS,IF(F78="","",CONCATENATE(" (",N_res_Diff," ",F78," - ",F80,")")))),IF(E79="x",N_res_MS,"")),"")))</f>
        <v/>
      </c>
      <c r="AG78" s="177"/>
    </row>
    <row r="79" spans="2:66" ht="13.5" thickBot="1" x14ac:dyDescent="0.25">
      <c r="C79" s="160"/>
      <c r="D79" s="161"/>
      <c r="E79" s="162" t="str">
        <f>IF(ISNA(VLOOKUP("X",P77:P80,1,FALSE)),"","X")</f>
        <v/>
      </c>
      <c r="F79" s="163"/>
      <c r="G79" s="164"/>
      <c r="H79" s="156"/>
      <c r="I79" s="157"/>
      <c r="J79" s="158"/>
      <c r="K79" s="103"/>
      <c r="L79" s="10"/>
      <c r="M79" s="45" t="s">
        <v>769</v>
      </c>
      <c r="N79" s="10"/>
      <c r="O79" s="79"/>
      <c r="P79" s="165"/>
      <c r="Q79" s="166" t="str">
        <f>IF(C78="","",IF(C78&gt;C80,B78,IF(C80&gt;C78,B80,IF(D78&gt;D80,B78,IF(D80&gt;D78,B80,IF(F78&gt;F80,B78,IF(F80&gt;F78,B80,mess_erreur_marque)))))))</f>
        <v/>
      </c>
      <c r="AG79" s="177"/>
    </row>
    <row r="80" spans="2:66" ht="13.5" thickBot="1" x14ac:dyDescent="0.25">
      <c r="B80" s="128" t="str">
        <f>IF(Q35="","",IF(Q35=B34,B36,IF(Q35=B36,B34,"")))</f>
        <v/>
      </c>
      <c r="C80" s="167" t="str">
        <f>IF(OR(ISNUMBER(L77),ISNUMBER(L78),ISNUMBER(L79),ISNUMBER(L80)),Lire_Gain_Matches(N77:N80, L77:L80),"")</f>
        <v/>
      </c>
      <c r="D80" s="168" t="str">
        <f>IF(OR(ISNUMBER(L77),ISNUMBER(L78),ISNUMBER(L79),ISNUMBER(L80)),SUM(N77:N80),"")</f>
        <v/>
      </c>
      <c r="E80" s="169"/>
      <c r="F80" s="170" t="str">
        <f>IF(N81="","",N81)</f>
        <v/>
      </c>
      <c r="G80" s="155"/>
      <c r="H80" s="171"/>
      <c r="I80" s="172"/>
      <c r="J80" s="173"/>
      <c r="K80" s="174"/>
      <c r="L80" s="175"/>
      <c r="M80" s="52" t="s">
        <v>769</v>
      </c>
      <c r="N80" s="175"/>
      <c r="O80" s="96"/>
      <c r="P80" s="176"/>
      <c r="Q80" t="str">
        <f>IF(C80="","",CONCATENATE(C80,IF(B80=Q79,IF(C78=C80,CONCATENATE(" [ ",D80," -",D78," ] ",IF(E79="x",N_res_MS,IF(F80="","",CONCATENATE(" (",N_res_Diff," ",F80," - ",F78,")")))),IF(E79="x",N_res_MS,"")),"")))</f>
        <v/>
      </c>
      <c r="AG80" s="177"/>
      <c r="AN80" s="3" t="str">
        <f>N_Heure</f>
        <v>Heure</v>
      </c>
      <c r="AO80" s="22" t="str">
        <f>N_Table</f>
        <v>Table</v>
      </c>
      <c r="AP80" s="22" t="str">
        <f>N_Arbitre</f>
        <v>Arbitre</v>
      </c>
      <c r="AQ80" s="2490" t="str">
        <f>N_Matches</f>
        <v>Matches</v>
      </c>
      <c r="AR80" s="2491"/>
      <c r="AS80" s="2491"/>
      <c r="AT80" s="2491"/>
      <c r="AU80" s="2492"/>
      <c r="AV80" s="3" t="str">
        <f>N_MS</f>
        <v>MS</v>
      </c>
    </row>
    <row r="81" spans="2:64" ht="13.5" thickBot="1" x14ac:dyDescent="0.25">
      <c r="H81" s="178"/>
      <c r="I81" s="179" t="str">
        <f>N_Différentiel</f>
        <v>Différentiel</v>
      </c>
      <c r="J81" s="180"/>
      <c r="K81" s="181"/>
      <c r="L81" s="182"/>
      <c r="M81" s="66" t="s">
        <v>769</v>
      </c>
      <c r="N81" s="182"/>
      <c r="O81" s="183"/>
      <c r="AG81" s="177"/>
      <c r="AI81" s="141" t="str">
        <f>N_Matches</f>
        <v>Matches</v>
      </c>
      <c r="AJ81" s="142" t="str">
        <f>N_Buts</f>
        <v>Buts</v>
      </c>
      <c r="AK81" s="142" t="str">
        <f>N_MS</f>
        <v>MS</v>
      </c>
      <c r="AL81" s="143" t="str">
        <f>N_Diff</f>
        <v>Diff</v>
      </c>
      <c r="AM81" s="7"/>
      <c r="AN81" s="144"/>
      <c r="AO81" s="145"/>
      <c r="AP81" s="146"/>
      <c r="AQ81" s="147"/>
      <c r="AR81" s="148"/>
      <c r="AS81" s="35" t="s">
        <v>769</v>
      </c>
      <c r="AT81" s="148"/>
      <c r="AU81" s="149"/>
      <c r="AV81" s="150"/>
    </row>
    <row r="82" spans="2:64" ht="13.5" thickBot="1" x14ac:dyDescent="0.25">
      <c r="H82" s="178"/>
      <c r="I82" s="178"/>
      <c r="J82" s="7"/>
      <c r="K82" s="184"/>
      <c r="L82" s="185"/>
      <c r="M82" s="11"/>
      <c r="N82" s="185"/>
      <c r="O82" s="123"/>
      <c r="AH82" s="135" t="str">
        <f>AG75</f>
        <v/>
      </c>
      <c r="AI82" s="151" t="str">
        <f>IF(OR(ISNUMBER(AR81),ISNUMBER(AR82),ISNUMBER(AR83),ISNUMBER(AR84)),Lire_Gain_Matches(AR81:AR84, AT81:AT84),"")</f>
        <v/>
      </c>
      <c r="AJ82" s="152" t="str">
        <f>IF(OR(ISNUMBER(AR81),ISNUMBER(AR82),ISNUMBER(AR83),ISNUMBER(AR84)),SUM(AR81:AR84),"")</f>
        <v/>
      </c>
      <c r="AK82" s="153"/>
      <c r="AL82" s="154" t="str">
        <f>IF(AR85="","",AR85)</f>
        <v/>
      </c>
      <c r="AM82" s="155"/>
      <c r="AN82" s="156"/>
      <c r="AO82" s="157"/>
      <c r="AP82" s="158"/>
      <c r="AQ82" s="103"/>
      <c r="AR82" s="10"/>
      <c r="AS82" s="45" t="s">
        <v>769</v>
      </c>
      <c r="AT82" s="10"/>
      <c r="AU82" s="79"/>
      <c r="AV82" s="159"/>
      <c r="AW82" s="263" t="str">
        <f>IF(AI82="","",CONCATENATE(AI82,IF(AH82=AW83,IF(AI82=AI84,CONCATENATE(" [ ",AJ82," - ",AJ84," ] ",IF(AK83="x",N_res_MS,IF(AL82="","",CONCATENATE(" (",N_res_Diff," ",AL82," - ",AL84,")")))),IF(AK83="x",N_res_MS,"")),"")))</f>
        <v/>
      </c>
    </row>
    <row r="83" spans="2:64" ht="13.5" thickBot="1" x14ac:dyDescent="0.25">
      <c r="AI83" s="160"/>
      <c r="AJ83" s="161"/>
      <c r="AK83" s="162" t="str">
        <f>IF(ISNA(VLOOKUP("X",AV81:AV84,1,FALSE)),"","X")</f>
        <v/>
      </c>
      <c r="AL83" s="163"/>
      <c r="AM83" s="188"/>
      <c r="AN83" s="156"/>
      <c r="AO83" s="157"/>
      <c r="AP83" s="158"/>
      <c r="AQ83" s="103"/>
      <c r="AR83" s="10"/>
      <c r="AS83" s="45" t="s">
        <v>769</v>
      </c>
      <c r="AT83" s="10"/>
      <c r="AU83" s="79"/>
      <c r="AV83" s="165"/>
      <c r="AW83" s="189" t="str">
        <f>IF(AI82="","",IF(AI82&gt;AI84,AH82,IF(AI84&gt;AI82,AH84,IF(AJ82&gt;AJ84,AH82,IF(AJ84&gt;AJ82,AH84,IF(AL82&gt;AL84,AH82,IF(AL84&gt;AL82,AH84,mess_erreur_marque)))))))</f>
        <v/>
      </c>
    </row>
    <row r="84" spans="2:64" ht="13.5" thickBot="1" x14ac:dyDescent="0.25">
      <c r="H84" s="8"/>
      <c r="I84" s="8"/>
      <c r="J84" s="8"/>
      <c r="K84" s="2493"/>
      <c r="L84" s="2493"/>
      <c r="M84" s="2493"/>
      <c r="N84" s="2493"/>
      <c r="O84" s="2493"/>
      <c r="P84" s="8"/>
      <c r="AH84" s="135" t="str">
        <f>AG91</f>
        <v/>
      </c>
      <c r="AI84" s="167" t="str">
        <f>IF(OR(ISNUMBER(AR81),ISNUMBER(AR82),ISNUMBER(AR83),ISNUMBER(AR84)),Lire_Gain_Matches(AT81:AT84, AR81:AR84),"")</f>
        <v/>
      </c>
      <c r="AJ84" s="168" t="str">
        <f>IF(OR(ISNUMBER(AR81),ISNUMBER(AR82),ISNUMBER(AR83),ISNUMBER(AR84)),SUM(AT81:AT84),"")</f>
        <v/>
      </c>
      <c r="AK84" s="169"/>
      <c r="AL84" s="170" t="str">
        <f>IF(AT85="","",AT85)</f>
        <v/>
      </c>
      <c r="AM84" s="155"/>
      <c r="AN84" s="171"/>
      <c r="AO84" s="172"/>
      <c r="AP84" s="173"/>
      <c r="AQ84" s="174"/>
      <c r="AR84" s="175"/>
      <c r="AS84" s="52" t="s">
        <v>769</v>
      </c>
      <c r="AT84" s="175"/>
      <c r="AU84" s="96"/>
      <c r="AV84" s="176"/>
      <c r="AW84" s="265" t="str">
        <f>IF(AI84="","",CONCATENATE(AI84,IF(AH84=AW83,IF(AI82=AI84,CONCATENATE(" [ ",AJ84," -",AJ82," ] ",IF(AK83="x",N_res_MS,IF(AL84="","",CONCATENATE(" (",N_res_Diff," ",AL84," - ",AL82,")")))),IF(AK83="x",N_res_MS,"")),"")))</f>
        <v/>
      </c>
    </row>
    <row r="85" spans="2:64" ht="13.5" thickBot="1" x14ac:dyDescent="0.25">
      <c r="C85" s="8"/>
      <c r="D85" s="8"/>
      <c r="E85" s="8"/>
      <c r="F85" s="8"/>
      <c r="G85" s="7"/>
      <c r="H85" s="97"/>
      <c r="I85" s="98"/>
      <c r="J85" s="14"/>
      <c r="L85" s="9"/>
      <c r="N85" s="9"/>
      <c r="P85" s="11"/>
      <c r="AG85" s="177"/>
      <c r="AN85" s="178"/>
      <c r="AO85" s="179" t="str">
        <f>N_Différentiel</f>
        <v>Différentiel</v>
      </c>
      <c r="AP85" s="180"/>
      <c r="AQ85" s="181"/>
      <c r="AR85" s="182"/>
      <c r="AS85" s="66" t="s">
        <v>769</v>
      </c>
      <c r="AT85" s="182"/>
      <c r="AU85" s="183"/>
      <c r="AW85" s="177"/>
    </row>
    <row r="86" spans="2:64" x14ac:dyDescent="0.2">
      <c r="B86" s="8"/>
      <c r="C86" s="11"/>
      <c r="D86" s="11"/>
      <c r="E86" s="8"/>
      <c r="F86" s="11"/>
      <c r="G86" s="155"/>
      <c r="H86" s="97"/>
      <c r="I86" s="98"/>
      <c r="J86" s="14"/>
      <c r="L86" s="9"/>
      <c r="N86" s="9"/>
      <c r="P86" s="11"/>
      <c r="AG86" s="177"/>
      <c r="AW86" s="177"/>
    </row>
    <row r="87" spans="2:64" ht="13.5" thickBot="1" x14ac:dyDescent="0.25">
      <c r="E87" s="12"/>
      <c r="H87" s="97"/>
      <c r="I87" s="98"/>
      <c r="J87" s="14"/>
      <c r="L87" s="9"/>
      <c r="N87" s="9"/>
      <c r="P87" s="11"/>
      <c r="Q87" s="8"/>
      <c r="AG87" s="177"/>
      <c r="AW87" s="177"/>
    </row>
    <row r="88" spans="2:64" ht="13.5" thickBot="1" x14ac:dyDescent="0.25">
      <c r="B88" s="8"/>
      <c r="C88" s="11"/>
      <c r="D88" s="11"/>
      <c r="E88" s="8"/>
      <c r="F88" s="11"/>
      <c r="G88" s="155"/>
      <c r="H88" s="97"/>
      <c r="I88" s="98"/>
      <c r="J88" s="14"/>
      <c r="L88" s="9"/>
      <c r="N88" s="9"/>
      <c r="P88" s="11"/>
      <c r="X88" s="3" t="str">
        <f>N_Heure</f>
        <v>Heure</v>
      </c>
      <c r="Y88" s="22" t="str">
        <f>N_Table</f>
        <v>Table</v>
      </c>
      <c r="Z88" s="22" t="str">
        <f>N_Arbitre</f>
        <v>Arbitre</v>
      </c>
      <c r="AA88" s="2490" t="str">
        <f>N_Matches</f>
        <v>Matches</v>
      </c>
      <c r="AB88" s="2491"/>
      <c r="AC88" s="2491"/>
      <c r="AD88" s="2491"/>
      <c r="AE88" s="2492"/>
      <c r="AF88" s="3" t="str">
        <f>N_MS</f>
        <v>MS</v>
      </c>
      <c r="AG88" s="177"/>
      <c r="AW88" s="177"/>
    </row>
    <row r="89" spans="2:64" ht="13.5" thickBot="1" x14ac:dyDescent="0.25">
      <c r="H89" s="178"/>
      <c r="I89" s="178"/>
      <c r="J89" s="14"/>
      <c r="L89" s="9"/>
      <c r="N89" s="9"/>
      <c r="S89" s="141" t="str">
        <f>N_Matches</f>
        <v>Matches</v>
      </c>
      <c r="T89" s="142" t="str">
        <f>N_Buts</f>
        <v>Buts</v>
      </c>
      <c r="U89" s="142" t="str">
        <f>N_MS</f>
        <v>MS</v>
      </c>
      <c r="V89" s="143" t="str">
        <f>N_Diff</f>
        <v>Diff</v>
      </c>
      <c r="W89" s="7"/>
      <c r="X89" s="144"/>
      <c r="Y89" s="145"/>
      <c r="Z89" s="146"/>
      <c r="AA89" s="147"/>
      <c r="AB89" s="148"/>
      <c r="AC89" s="35" t="s">
        <v>769</v>
      </c>
      <c r="AD89" s="148"/>
      <c r="AE89" s="149"/>
      <c r="AF89" s="150"/>
      <c r="AG89" s="177"/>
      <c r="AW89" s="177"/>
    </row>
    <row r="90" spans="2:64" ht="13.5" thickBot="1" x14ac:dyDescent="0.25">
      <c r="H90" s="178"/>
      <c r="I90" s="178"/>
      <c r="J90" s="7"/>
      <c r="K90" s="184"/>
      <c r="L90" s="185"/>
      <c r="M90" s="11"/>
      <c r="N90" s="185"/>
      <c r="O90" s="123"/>
      <c r="R90" s="132" t="str">
        <f>IF(AG31="","",IF(AG31=R30,R32,IF(AG31=R32,R30,"")))</f>
        <v/>
      </c>
      <c r="S90" s="151" t="str">
        <f>IF(OR(ISNUMBER(AB89),ISNUMBER(AB90),ISNUMBER(AB91),ISNUMBER(AB92)),Lire_Gain_Matches(AB89:AB92, AD89:AD92),"")</f>
        <v/>
      </c>
      <c r="T90" s="152" t="str">
        <f>IF(OR(ISNUMBER(AB89),ISNUMBER(AB90),ISNUMBER(AB91),ISNUMBER(AB92)),SUM(AB89:AB92),"")</f>
        <v/>
      </c>
      <c r="U90" s="153"/>
      <c r="V90" s="154" t="str">
        <f>IF(AB93="","",AB93)</f>
        <v/>
      </c>
      <c r="W90" s="155"/>
      <c r="X90" s="156"/>
      <c r="Y90" s="157"/>
      <c r="Z90" s="158"/>
      <c r="AA90" s="103"/>
      <c r="AB90" s="10"/>
      <c r="AC90" s="45" t="s">
        <v>769</v>
      </c>
      <c r="AD90" s="10"/>
      <c r="AE90" s="79"/>
      <c r="AF90" s="159"/>
      <c r="AG90" s="264" t="str">
        <f>IF(S90="","",CONCATENATE(S90,IF(R90=AG91,IF(S90=S92,CONCATENATE(" [ ",T90," - ",T92," ] ",IF(U91="x",N_res_MS,IF(V90="","",CONCATENATE(" (",N_res_Diff," ",V90," - ",V92,")")))),IF(U91="x",N_res_MS,"")),"")))</f>
        <v/>
      </c>
      <c r="AN90" s="8"/>
      <c r="AO90" s="8"/>
      <c r="AP90" s="8"/>
      <c r="AQ90" s="8"/>
      <c r="AR90" s="8"/>
      <c r="AS90" s="8"/>
      <c r="AT90" s="8"/>
      <c r="AU90" s="8"/>
      <c r="AV90" s="8"/>
      <c r="AW90" s="177"/>
    </row>
    <row r="91" spans="2:64" ht="13.5" thickBot="1" x14ac:dyDescent="0.25">
      <c r="S91" s="160"/>
      <c r="T91" s="161"/>
      <c r="U91" s="162" t="str">
        <f>IF(ISNA(VLOOKUP("X",AF89:AF92,1,FALSE)),"","X")</f>
        <v/>
      </c>
      <c r="V91" s="163"/>
      <c r="W91" s="186"/>
      <c r="X91" s="156"/>
      <c r="Y91" s="157"/>
      <c r="Z91" s="158"/>
      <c r="AA91" s="103"/>
      <c r="AB91" s="10"/>
      <c r="AC91" s="45" t="s">
        <v>769</v>
      </c>
      <c r="AD91" s="10"/>
      <c r="AE91" s="79"/>
      <c r="AF91" s="165"/>
      <c r="AG91" s="187" t="str">
        <f>IF(S90="","",IF(S90&gt;S92,R90,IF(S92&gt;S90,R92,IF(T90&gt;T92,R90,IF(T92&gt;T90,R92,IF(V90&gt;V92,R90,IF(V92&gt;V90,R92,mess_erreur_marque)))))))</f>
        <v/>
      </c>
      <c r="AW91" s="177"/>
    </row>
    <row r="92" spans="2:64" ht="13.5" thickBot="1" x14ac:dyDescent="0.25">
      <c r="H92" s="3" t="str">
        <f>N_Heure</f>
        <v>Heure</v>
      </c>
      <c r="I92" s="22" t="str">
        <f>N_Table</f>
        <v>Table</v>
      </c>
      <c r="J92" s="22" t="str">
        <f>N_Arbitre</f>
        <v>Arbitre</v>
      </c>
      <c r="K92" s="2490" t="str">
        <f>N_Matches</f>
        <v>Matches</v>
      </c>
      <c r="L92" s="2491"/>
      <c r="M92" s="2491"/>
      <c r="N92" s="2491"/>
      <c r="O92" s="2492"/>
      <c r="P92" s="3" t="str">
        <f>N_MS</f>
        <v>MS</v>
      </c>
      <c r="R92" s="132" t="str">
        <f>Q95</f>
        <v/>
      </c>
      <c r="S92" s="167" t="str">
        <f>IF(OR(ISNUMBER(AB89),ISNUMBER(AB90),ISNUMBER(AB91),ISNUMBER(AB92)),Lire_Gain_Matches(AD89:AD92, AB89:AB92),"")</f>
        <v/>
      </c>
      <c r="T92" s="168" t="str">
        <f>IF(OR(ISNUMBER(AB89),ISNUMBER(AB90),ISNUMBER(AB91),ISNUMBER(AB92)),SUM(AD89:AD92),"")</f>
        <v/>
      </c>
      <c r="U92" s="169"/>
      <c r="V92" s="170" t="str">
        <f>IF(AD93="","",AD93)</f>
        <v/>
      </c>
      <c r="W92" s="155"/>
      <c r="X92" s="171"/>
      <c r="Y92" s="172"/>
      <c r="Z92" s="173"/>
      <c r="AA92" s="174"/>
      <c r="AB92" s="175"/>
      <c r="AC92" s="52" t="s">
        <v>769</v>
      </c>
      <c r="AD92" s="175"/>
      <c r="AE92" s="96"/>
      <c r="AF92" s="176"/>
      <c r="AG92" t="str">
        <f>IF(S92="","",CONCATENATE(S92,IF(R92=AG91,IF(S90=S92,CONCATENATE(" [ ",T92," -",T90," ] ",IF(U91="x",N_res_MS,IF(V92="","",CONCATENATE(" (",N_res_Diff," ",V92," - ",V90,")")))),IF(U91="x",N_res_MS,"")),"")))</f>
        <v/>
      </c>
      <c r="AW92" s="177"/>
    </row>
    <row r="93" spans="2:64" ht="13.5" thickBot="1" x14ac:dyDescent="0.25">
      <c r="C93" s="141" t="str">
        <f>N_Matches</f>
        <v>Matches</v>
      </c>
      <c r="D93" s="142" t="str">
        <f>N_Buts</f>
        <v>Buts</v>
      </c>
      <c r="E93" s="142" t="str">
        <f>N_MS</f>
        <v>MS</v>
      </c>
      <c r="F93" s="143" t="str">
        <f>N_Diff</f>
        <v>Diff</v>
      </c>
      <c r="G93" s="7"/>
      <c r="H93" s="144"/>
      <c r="I93" s="145"/>
      <c r="J93" s="146"/>
      <c r="K93" s="147"/>
      <c r="L93" s="148"/>
      <c r="M93" s="35" t="s">
        <v>769</v>
      </c>
      <c r="N93" s="148"/>
      <c r="O93" s="149"/>
      <c r="P93" s="150"/>
      <c r="Q93" s="177"/>
      <c r="X93" s="178"/>
      <c r="Y93" s="179" t="str">
        <f>N_Différentiel</f>
        <v>Différentiel</v>
      </c>
      <c r="Z93" s="180"/>
      <c r="AA93" s="181"/>
      <c r="AB93" s="182"/>
      <c r="AC93" s="66" t="s">
        <v>769</v>
      </c>
      <c r="AD93" s="182"/>
      <c r="AE93" s="183"/>
      <c r="AW93" s="177"/>
    </row>
    <row r="94" spans="2:64" ht="13.5" thickBot="1" x14ac:dyDescent="0.25">
      <c r="B94" s="128"/>
      <c r="C94" s="151" t="str">
        <f>IF(OR(ISNUMBER(L93),ISNUMBER(L94),ISNUMBER(L95),ISNUMBER(L96)),Lire_Gain_Matches(L93:L96, N93:N96),"")</f>
        <v/>
      </c>
      <c r="D94" s="152" t="str">
        <f>IF(OR(ISNUMBER(L93),ISNUMBER(L94),ISNUMBER(L95),ISNUMBER(L96)),SUM(L93:L96),"")</f>
        <v/>
      </c>
      <c r="E94" s="153"/>
      <c r="F94" s="154" t="str">
        <f>IF(L97="","",L97)</f>
        <v/>
      </c>
      <c r="G94" s="155"/>
      <c r="H94" s="156"/>
      <c r="I94" s="157"/>
      <c r="J94" s="158"/>
      <c r="K94" s="103"/>
      <c r="L94" s="10"/>
      <c r="M94" s="45" t="s">
        <v>769</v>
      </c>
      <c r="N94" s="10"/>
      <c r="O94" s="79"/>
      <c r="P94" s="159"/>
      <c r="Q94" s="264" t="str">
        <f>IF(C94="","",CONCATENATE(C94,IF(B94=Q95,IF(C94=C96,CONCATENATE(" [ ",D94," - ",D96," ] ",IF(E95="x",N_res_MS,IF(F94="","",CONCATENATE(" (",N_res_Diff," ",F94," - ",F96,")")))),IF(E95="x",N_res_MS,"")),"")))</f>
        <v/>
      </c>
      <c r="AW94" s="177"/>
    </row>
    <row r="95" spans="2:64" ht="13.5" thickBot="1" x14ac:dyDescent="0.25">
      <c r="C95" s="160"/>
      <c r="D95" s="161"/>
      <c r="E95" s="162" t="str">
        <f>IF(ISNA(VLOOKUP("X",P93:P96,1,FALSE)),"","X")</f>
        <v/>
      </c>
      <c r="F95" s="163"/>
      <c r="G95" s="164"/>
      <c r="H95" s="156"/>
      <c r="I95" s="157"/>
      <c r="J95" s="158"/>
      <c r="K95" s="103"/>
      <c r="L95" s="10"/>
      <c r="M95" s="45" t="s">
        <v>769</v>
      </c>
      <c r="N95" s="10"/>
      <c r="O95" s="79"/>
      <c r="P95" s="165"/>
      <c r="Q95" s="166" t="str">
        <f>IF(C94="","",IF(C94&gt;C96,B94,IF(C96&gt;C94,B96,IF(D94&gt;D96,B94,IF(D96&gt;D94,B96,IF(F94&gt;F96,B94,IF(F96&gt;F94,B96,mess_erreur_marque)))))))</f>
        <v/>
      </c>
      <c r="AW95" s="177"/>
      <c r="BD95" s="3" t="str">
        <f>N_Heure</f>
        <v>Heure</v>
      </c>
      <c r="BE95" s="22" t="str">
        <f>N_Table</f>
        <v>Table</v>
      </c>
      <c r="BF95" s="22" t="str">
        <f>N_Arbitre</f>
        <v>Arbitre</v>
      </c>
      <c r="BG95" s="2490" t="str">
        <f>N_Matches</f>
        <v>Matches</v>
      </c>
      <c r="BH95" s="2491"/>
      <c r="BI95" s="2491"/>
      <c r="BJ95" s="2491"/>
      <c r="BK95" s="2492"/>
      <c r="BL95" s="3" t="str">
        <f>N_MS</f>
        <v>MS</v>
      </c>
    </row>
    <row r="96" spans="2:64" ht="13.5" thickBot="1" x14ac:dyDescent="0.25">
      <c r="B96" s="128"/>
      <c r="C96" s="167" t="str">
        <f>IF(OR(ISNUMBER(L93),ISNUMBER(L94),ISNUMBER(L95),ISNUMBER(L96)),Lire_Gain_Matches(N93:N96, L93:L96),"")</f>
        <v/>
      </c>
      <c r="D96" s="168" t="str">
        <f>IF(OR(ISNUMBER(L93),ISNUMBER(L94),ISNUMBER(L95),ISNUMBER(L96)),SUM(N93:N96),"")</f>
        <v/>
      </c>
      <c r="E96" s="169"/>
      <c r="F96" s="170" t="str">
        <f>IF(N97="","",N97)</f>
        <v/>
      </c>
      <c r="G96" s="155"/>
      <c r="H96" s="171"/>
      <c r="I96" s="172"/>
      <c r="J96" s="173"/>
      <c r="K96" s="174"/>
      <c r="L96" s="175"/>
      <c r="M96" s="52" t="s">
        <v>769</v>
      </c>
      <c r="N96" s="175"/>
      <c r="O96" s="96"/>
      <c r="P96" s="176"/>
      <c r="Q96" t="str">
        <f>IF(C96="","",CONCATENATE(C96,IF(B96=Q95,IF(C94=C96,CONCATENATE(" [ ",D96," -",D94," ] ",IF(E95="x",N_res_MS,IF(F96="","",CONCATENATE(" (",N_res_Diff," ",F96," - ",F94,")")))),IF(E95="x",N_res_MS,"")),"")))</f>
        <v/>
      </c>
      <c r="AW96" s="177"/>
      <c r="AY96" s="141" t="str">
        <f>N_Matches</f>
        <v>Matches</v>
      </c>
      <c r="AZ96" s="142" t="str">
        <f>N_Buts</f>
        <v>Buts</v>
      </c>
      <c r="BA96" s="142" t="str">
        <f>N_MS</f>
        <v>MS</v>
      </c>
      <c r="BB96" s="143" t="str">
        <f>N_Diff</f>
        <v>Diff</v>
      </c>
      <c r="BC96" s="7"/>
      <c r="BD96" s="144"/>
      <c r="BE96" s="145"/>
      <c r="BF96" s="146"/>
      <c r="BG96" s="147"/>
      <c r="BH96" s="148"/>
      <c r="BI96" s="35" t="s">
        <v>769</v>
      </c>
      <c r="BJ96" s="148"/>
      <c r="BK96" s="149"/>
      <c r="BL96" s="150"/>
    </row>
    <row r="97" spans="2:70" ht="13.5" thickBot="1" x14ac:dyDescent="0.25">
      <c r="H97" s="178"/>
      <c r="I97" s="179" t="str">
        <f>N_Différentiel</f>
        <v>Différentiel</v>
      </c>
      <c r="J97" s="180"/>
      <c r="K97" s="181"/>
      <c r="L97" s="182"/>
      <c r="M97" s="66" t="s">
        <v>769</v>
      </c>
      <c r="N97" s="182"/>
      <c r="O97" s="183"/>
      <c r="AX97" s="137" t="str">
        <f>AW83</f>
        <v/>
      </c>
      <c r="AY97" s="151" t="str">
        <f>IF(OR(ISNUMBER(BH96),ISNUMBER(BH97),ISNUMBER(BH98),ISNUMBER(BH99)),Lire_Gain_Matches(BH96:BH99, BJ96:BJ99),"")</f>
        <v/>
      </c>
      <c r="AZ97" s="152" t="str">
        <f>IF(OR(ISNUMBER(BH96),ISNUMBER(BH97),ISNUMBER(BH98),ISNUMBER(BH99)),SUM(BH96:BH99),"")</f>
        <v/>
      </c>
      <c r="BA97" s="153"/>
      <c r="BB97" s="154" t="str">
        <f>IF(BH100="","",BH100)</f>
        <v/>
      </c>
      <c r="BC97" s="155"/>
      <c r="BD97" s="156"/>
      <c r="BE97" s="157"/>
      <c r="BF97" s="158"/>
      <c r="BG97" s="103"/>
      <c r="BH97" s="10"/>
      <c r="BI97" s="45" t="s">
        <v>769</v>
      </c>
      <c r="BJ97" s="10"/>
      <c r="BK97" s="79"/>
      <c r="BL97" s="159"/>
      <c r="BM97" s="263" t="str">
        <f>IF(AY97="","",CONCATENATE(AY97,IF(AX97=BM98,IF(AY97=AY99,CONCATENATE(" [ ",AZ97," - ",AZ99," ] ",IF(BA98="x",N_res_MS,IF(BB97="","",CONCATENATE(" (",N_res_Diff," ",BB97," - ",BB99,")")))),IF(BA98="x",N_res_MS,"")),"")))</f>
        <v/>
      </c>
    </row>
    <row r="98" spans="2:70" ht="18.75" thickBot="1" x14ac:dyDescent="0.3">
      <c r="AY98" s="160"/>
      <c r="AZ98" s="161"/>
      <c r="BA98" s="162" t="str">
        <f>IF(ISNA(VLOOKUP("X",BL96:BL99,1,FALSE)),"","X")</f>
        <v/>
      </c>
      <c r="BB98" s="163"/>
      <c r="BC98" s="190"/>
      <c r="BD98" s="156"/>
      <c r="BE98" s="157"/>
      <c r="BF98" s="158"/>
      <c r="BG98" s="103"/>
      <c r="BH98" s="10"/>
      <c r="BI98" s="45" t="s">
        <v>769</v>
      </c>
      <c r="BJ98" s="10"/>
      <c r="BK98" s="79"/>
      <c r="BL98" s="165"/>
      <c r="BM98" s="191" t="str">
        <f>IF(AY97="","",IF(AY97&gt;AY99,AX97,IF(AY99&gt;AY97,AX99,IF(AZ97&gt;AZ99,AX97,IF(AZ99&gt;AZ97,AX99,IF(BB97&gt;BB99,AX97,IF(BB99&gt;BB97,AX99,mess_erreur_marque)))))))</f>
        <v/>
      </c>
      <c r="BN98" s="268"/>
    </row>
    <row r="99" spans="2:70" ht="13.5" thickBot="1" x14ac:dyDescent="0.25">
      <c r="H99" s="8"/>
      <c r="I99" s="8"/>
      <c r="J99" s="8"/>
      <c r="K99" s="2493"/>
      <c r="L99" s="2493"/>
      <c r="M99" s="2493"/>
      <c r="N99" s="2493"/>
      <c r="O99" s="2493"/>
      <c r="P99" s="8"/>
      <c r="AX99" s="137" t="str">
        <f>AW114</f>
        <v/>
      </c>
      <c r="AY99" s="167" t="str">
        <f>IF(OR(ISNUMBER(BH96),ISNUMBER(BH97),ISNUMBER(BH98),ISNUMBER(BH99)),Lire_Gain_Matches(BJ96:BJ99, BH96:BH99),"")</f>
        <v/>
      </c>
      <c r="AZ99" s="168" t="str">
        <f>IF(OR(ISNUMBER(BH96),ISNUMBER(BH97),ISNUMBER(BH98),ISNUMBER(BH99)),SUM(BJ96:BJ99),"")</f>
        <v/>
      </c>
      <c r="BA99" s="169"/>
      <c r="BB99" s="170" t="str">
        <f>IF(BJ100="","",BJ100)</f>
        <v/>
      </c>
      <c r="BC99" s="155"/>
      <c r="BD99" s="171"/>
      <c r="BE99" s="172"/>
      <c r="BF99" s="173"/>
      <c r="BG99" s="174"/>
      <c r="BH99" s="175"/>
      <c r="BI99" s="52" t="s">
        <v>769</v>
      </c>
      <c r="BJ99" s="175"/>
      <c r="BK99" s="96"/>
      <c r="BL99" s="176"/>
      <c r="BM99" t="str">
        <f>IF(AY99="","",CONCATENATE(AY99,IF(AX99=BM98,IF(AY97=AY99,CONCATENATE(" [ ",AZ99," -",AZ97," ] ",IF(BA98="x",N_res_MS,IF(BB99="","",CONCATENATE(" (",N_res_Diff," ",BB99," - ",BB97,")")))),IF(BA98="x",N_res_MS,"")),"")))</f>
        <v/>
      </c>
    </row>
    <row r="100" spans="2:70" ht="13.5" thickBot="1" x14ac:dyDescent="0.25">
      <c r="C100" s="8"/>
      <c r="D100" s="8"/>
      <c r="E100" s="8"/>
      <c r="F100" s="8"/>
      <c r="G100" s="7"/>
      <c r="H100" s="97"/>
      <c r="I100" s="98"/>
      <c r="J100" s="14"/>
      <c r="L100" s="9"/>
      <c r="N100" s="9"/>
      <c r="P100" s="11"/>
      <c r="AW100" s="177"/>
      <c r="BD100" s="178"/>
      <c r="BE100" s="179" t="str">
        <f>N_Différentiel</f>
        <v>Différentiel</v>
      </c>
      <c r="BF100" s="180"/>
      <c r="BG100" s="181"/>
      <c r="BH100" s="182"/>
      <c r="BI100" s="66" t="s">
        <v>769</v>
      </c>
      <c r="BJ100" s="182"/>
      <c r="BK100" s="183"/>
    </row>
    <row r="101" spans="2:70" x14ac:dyDescent="0.2">
      <c r="B101" s="8"/>
      <c r="C101" s="11"/>
      <c r="D101" s="11"/>
      <c r="E101" s="8"/>
      <c r="F101" s="11"/>
      <c r="G101" s="155"/>
      <c r="H101" s="97"/>
      <c r="I101" s="98"/>
      <c r="J101" s="14"/>
      <c r="L101" s="9"/>
      <c r="N101" s="9"/>
      <c r="P101" s="11"/>
      <c r="AW101" s="177"/>
    </row>
    <row r="102" spans="2:70" ht="16.5" thickBot="1" x14ac:dyDescent="0.3">
      <c r="E102" s="12"/>
      <c r="H102" s="97"/>
      <c r="I102" s="98"/>
      <c r="J102" s="14"/>
      <c r="L102" s="9"/>
      <c r="N102" s="9"/>
      <c r="P102" s="11"/>
      <c r="Q102" s="8"/>
      <c r="AW102" s="177"/>
      <c r="BO102" s="2500"/>
      <c r="BP102" s="2500"/>
      <c r="BQ102" s="2500"/>
      <c r="BR102" s="2500"/>
    </row>
    <row r="103" spans="2:70" ht="13.5" thickBot="1" x14ac:dyDescent="0.25">
      <c r="B103" s="8"/>
      <c r="C103" s="11"/>
      <c r="D103" s="11"/>
      <c r="E103" s="8"/>
      <c r="F103" s="11"/>
      <c r="G103" s="155"/>
      <c r="H103" s="97"/>
      <c r="I103" s="98"/>
      <c r="J103" s="14"/>
      <c r="L103" s="9"/>
      <c r="N103" s="9"/>
      <c r="P103" s="11"/>
      <c r="X103" s="3" t="str">
        <f>N_Heure</f>
        <v>Heure</v>
      </c>
      <c r="Y103" s="22" t="str">
        <f>N_Table</f>
        <v>Table</v>
      </c>
      <c r="Z103" s="22" t="str">
        <f>N_Arbitre</f>
        <v>Arbitre</v>
      </c>
      <c r="AA103" s="2490" t="str">
        <f>N_Matches</f>
        <v>Matches</v>
      </c>
      <c r="AB103" s="2491"/>
      <c r="AC103" s="2491"/>
      <c r="AD103" s="2491"/>
      <c r="AE103" s="2492"/>
      <c r="AF103" s="3" t="str">
        <f>N_MS</f>
        <v>MS</v>
      </c>
      <c r="AW103" s="177"/>
    </row>
    <row r="104" spans="2:70" ht="13.5" thickBot="1" x14ac:dyDescent="0.25">
      <c r="H104" s="178"/>
      <c r="I104" s="178"/>
      <c r="J104" s="14"/>
      <c r="L104" s="9"/>
      <c r="N104" s="9"/>
      <c r="S104" s="141" t="str">
        <f>N_Matches</f>
        <v>Matches</v>
      </c>
      <c r="T104" s="142" t="str">
        <f>N_Buts</f>
        <v>Buts</v>
      </c>
      <c r="U104" s="142" t="str">
        <f>N_MS</f>
        <v>MS</v>
      </c>
      <c r="V104" s="143" t="str">
        <f>N_Diff</f>
        <v>Diff</v>
      </c>
      <c r="W104" s="7"/>
      <c r="X104" s="144"/>
      <c r="Y104" s="145"/>
      <c r="Z104" s="146"/>
      <c r="AA104" s="147"/>
      <c r="AB104" s="148"/>
      <c r="AC104" s="35" t="s">
        <v>769</v>
      </c>
      <c r="AD104" s="148"/>
      <c r="AE104" s="149"/>
      <c r="AF104" s="150"/>
      <c r="AW104" s="177"/>
      <c r="BO104" s="8"/>
      <c r="BQ104" s="8"/>
      <c r="BR104" s="8"/>
    </row>
    <row r="105" spans="2:70" ht="13.5" thickBot="1" x14ac:dyDescent="0.25">
      <c r="R105" s="132"/>
      <c r="S105" s="151" t="str">
        <f>IF(OR(ISNUMBER(AB104),ISNUMBER(AB105),ISNUMBER(AB106),ISNUMBER(AB107)),Lire_Gain_Matches(AB104:AB107, AD104:AD107),"")</f>
        <v/>
      </c>
      <c r="T105" s="152" t="str">
        <f>IF(OR(ISNUMBER(AB104),ISNUMBER(AB105),ISNUMBER(AB106),ISNUMBER(AB107)),SUM(AB104:AB107),"")</f>
        <v/>
      </c>
      <c r="U105" s="153"/>
      <c r="V105" s="154" t="str">
        <f>IF(AB108="","",AB108)</f>
        <v/>
      </c>
      <c r="W105" s="155"/>
      <c r="X105" s="156"/>
      <c r="Y105" s="157"/>
      <c r="Z105" s="158"/>
      <c r="AA105" s="103"/>
      <c r="AB105" s="10"/>
      <c r="AC105" s="45" t="s">
        <v>769</v>
      </c>
      <c r="AD105" s="10"/>
      <c r="AE105" s="79"/>
      <c r="AF105" s="159"/>
      <c r="AG105" s="263" t="str">
        <f>IF(S105="","",CONCATENATE(S105,IF(R105=AG106,IF(S105=S107,CONCATENATE(" [ ",T105," - ",T107," ] ",IF(U106="x",N_res_MS,IF(V105="","",CONCATENATE(" (",N_res_Diff," ",V105," - ",V107,")")))),IF(U106="x",N_res_MS,"")),"")))</f>
        <v/>
      </c>
      <c r="AW105" s="177"/>
      <c r="BQ105" s="8"/>
      <c r="BR105" s="8"/>
    </row>
    <row r="106" spans="2:70" ht="13.5" thickBot="1" x14ac:dyDescent="0.25">
      <c r="S106" s="160"/>
      <c r="T106" s="161"/>
      <c r="U106" s="162" t="str">
        <f>IF(ISNA(VLOOKUP("X",AF104:AF107,1,FALSE)),"","X")</f>
        <v/>
      </c>
      <c r="V106" s="163"/>
      <c r="W106" s="186"/>
      <c r="X106" s="156"/>
      <c r="Y106" s="157"/>
      <c r="Z106" s="158"/>
      <c r="AA106" s="103"/>
      <c r="AB106" s="10"/>
      <c r="AC106" s="45" t="s">
        <v>769</v>
      </c>
      <c r="AD106" s="10"/>
      <c r="AE106" s="79"/>
      <c r="AF106" s="165"/>
      <c r="AG106" s="187" t="str">
        <f>IF(S105="","",IF(S105&gt;S107,R105,IF(S107&gt;S105,R107,IF(T105&gt;T107,R105,IF(T107&gt;T105,R107,IF(V105&gt;V107,R105,IF(V107&gt;V105,R107,mess_erreur_marque)))))))</f>
        <v/>
      </c>
      <c r="AW106" s="177"/>
      <c r="BR106" s="8"/>
    </row>
    <row r="107" spans="2:70" ht="13.5" thickBot="1" x14ac:dyDescent="0.25">
      <c r="H107" s="3" t="str">
        <f>N_Heure</f>
        <v>Heure</v>
      </c>
      <c r="I107" s="22" t="str">
        <f>N_Table</f>
        <v>Table</v>
      </c>
      <c r="J107" s="22" t="str">
        <f>N_Arbitre</f>
        <v>Arbitre</v>
      </c>
      <c r="K107" s="2490" t="str">
        <f>N_Matches</f>
        <v>Matches</v>
      </c>
      <c r="L107" s="2491"/>
      <c r="M107" s="2491"/>
      <c r="N107" s="2491"/>
      <c r="O107" s="2492"/>
      <c r="P107" s="3" t="str">
        <f>N_MS</f>
        <v>MS</v>
      </c>
      <c r="R107" s="132" t="str">
        <f>Q110</f>
        <v/>
      </c>
      <c r="S107" s="167" t="str">
        <f>IF(OR(ISNUMBER(AB104),ISNUMBER(AB105),ISNUMBER(AB106),ISNUMBER(AB107)),Lire_Gain_Matches(AD104:AD107, AB104:AB107),"")</f>
        <v/>
      </c>
      <c r="T107" s="168" t="str">
        <f>IF(OR(ISNUMBER(AB104),ISNUMBER(AB105),ISNUMBER(AB106),ISNUMBER(AB107)),SUM(AD104:AD107),"")</f>
        <v/>
      </c>
      <c r="U107" s="169"/>
      <c r="V107" s="170" t="str">
        <f>IF(AD108="","",AD108)</f>
        <v/>
      </c>
      <c r="W107" s="155"/>
      <c r="X107" s="171"/>
      <c r="Y107" s="172"/>
      <c r="Z107" s="173"/>
      <c r="AA107" s="174"/>
      <c r="AB107" s="175"/>
      <c r="AC107" s="52" t="s">
        <v>769</v>
      </c>
      <c r="AD107" s="175"/>
      <c r="AE107" s="96"/>
      <c r="AF107" s="176"/>
      <c r="AG107" s="265" t="str">
        <f>IF(S107="","",CONCATENATE(S107,IF(R107=AG106,IF(S105=S107,CONCATENATE(" [ ",T107," -",T105," ] ",IF(U106="x",N_res_MS,IF(V107="","",CONCATENATE(" (",N_res_Diff," ",V107," - ",V105,")")))),IF(U106="x",N_res_MS,"")),"")))</f>
        <v/>
      </c>
      <c r="AW107" s="177"/>
    </row>
    <row r="108" spans="2:70" ht="13.5" thickBot="1" x14ac:dyDescent="0.25">
      <c r="C108" s="141" t="str">
        <f>N_Matches</f>
        <v>Matches</v>
      </c>
      <c r="D108" s="142" t="str">
        <f>N_Buts</f>
        <v>Buts</v>
      </c>
      <c r="E108" s="142" t="str">
        <f>N_MS</f>
        <v>MS</v>
      </c>
      <c r="F108" s="143" t="str">
        <f>N_Diff</f>
        <v>Diff</v>
      </c>
      <c r="G108" s="7"/>
      <c r="H108" s="144"/>
      <c r="I108" s="145"/>
      <c r="J108" s="146"/>
      <c r="K108" s="147"/>
      <c r="L108" s="148"/>
      <c r="M108" s="35" t="s">
        <v>769</v>
      </c>
      <c r="N108" s="148"/>
      <c r="O108" s="149"/>
      <c r="P108" s="150"/>
      <c r="Q108" s="177"/>
      <c r="X108" s="178"/>
      <c r="Y108" s="179" t="str">
        <f>N_Différentiel</f>
        <v>Différentiel</v>
      </c>
      <c r="Z108" s="180"/>
      <c r="AA108" s="181"/>
      <c r="AB108" s="182"/>
      <c r="AC108" s="66" t="s">
        <v>769</v>
      </c>
      <c r="AD108" s="182"/>
      <c r="AE108" s="183"/>
      <c r="AG108" s="177"/>
      <c r="AW108" s="177"/>
    </row>
    <row r="109" spans="2:70" ht="13.5" thickBot="1" x14ac:dyDescent="0.25">
      <c r="B109" s="128"/>
      <c r="C109" s="151" t="str">
        <f>IF(OR(ISNUMBER(L108),ISNUMBER(L109),ISNUMBER(L110),ISNUMBER(L111)),Lire_Gain_Matches(L108:L111, N108:N111),"")</f>
        <v/>
      </c>
      <c r="D109" s="152" t="str">
        <f>IF(OR(ISNUMBER(L108),ISNUMBER(L109),ISNUMBER(L110),ISNUMBER(L111)),SUM(L108:L111),"")</f>
        <v/>
      </c>
      <c r="E109" s="153"/>
      <c r="F109" s="154" t="str">
        <f>IF(L112="","",L112)</f>
        <v/>
      </c>
      <c r="G109" s="155"/>
      <c r="H109" s="156"/>
      <c r="I109" s="157"/>
      <c r="J109" s="158"/>
      <c r="K109" s="103"/>
      <c r="L109" s="10"/>
      <c r="M109" s="45" t="s">
        <v>769</v>
      </c>
      <c r="N109" s="10"/>
      <c r="O109" s="79"/>
      <c r="P109" s="159"/>
      <c r="Q109" s="264" t="str">
        <f>IF(C109="","",CONCATENATE(C109,IF(B109=Q110,IF(C109=C111,CONCATENATE(" [ ",D109," - ",D111," ] ",IF(E110="x",N_res_MS,IF(F109="","",CONCATENATE(" (",N_res_Diff," ",F109," - ",F111,")")))),IF(E110="x",N_res_MS,"")),"")))</f>
        <v/>
      </c>
      <c r="AG109" s="177"/>
      <c r="AW109" s="177"/>
    </row>
    <row r="110" spans="2:70" ht="13.5" thickBot="1" x14ac:dyDescent="0.25">
      <c r="C110" s="160"/>
      <c r="D110" s="161"/>
      <c r="E110" s="162" t="str">
        <f>IF(ISNA(VLOOKUP("X",P108:P111,1,FALSE)),"","X")</f>
        <v/>
      </c>
      <c r="F110" s="163"/>
      <c r="G110" s="164"/>
      <c r="H110" s="156"/>
      <c r="I110" s="157"/>
      <c r="J110" s="158"/>
      <c r="K110" s="103"/>
      <c r="L110" s="10"/>
      <c r="M110" s="45" t="s">
        <v>769</v>
      </c>
      <c r="N110" s="10"/>
      <c r="O110" s="79"/>
      <c r="P110" s="165"/>
      <c r="Q110" s="166" t="str">
        <f>IF(C109="","",IF(C109&gt;C111,B109,IF(C111&gt;C109,B111,IF(D109&gt;D111,B109,IF(D111&gt;D109,B111,IF(F109&gt;F111,B109,IF(F111&gt;F109,B111,mess_erreur_marque)))))))</f>
        <v/>
      </c>
      <c r="AG110" s="177"/>
      <c r="AW110" s="177"/>
      <c r="BP110" s="11"/>
    </row>
    <row r="111" spans="2:70" ht="13.5" thickBot="1" x14ac:dyDescent="0.25">
      <c r="B111" s="128" t="str">
        <f>IF(Q66="","",IF(Q66=B65,B67,IF(Q66=B67,B65,"")))</f>
        <v/>
      </c>
      <c r="C111" s="167" t="str">
        <f>IF(OR(ISNUMBER(L108),ISNUMBER(L109),ISNUMBER(L110),ISNUMBER(L111)),Lire_Gain_Matches(N108:N111, L108:L111),"")</f>
        <v/>
      </c>
      <c r="D111" s="168" t="str">
        <f>IF(OR(ISNUMBER(L108),ISNUMBER(L109),ISNUMBER(L110),ISNUMBER(L111)),SUM(N108:N111),"")</f>
        <v/>
      </c>
      <c r="E111" s="169"/>
      <c r="F111" s="170" t="str">
        <f>IF(N112="","",N112)</f>
        <v/>
      </c>
      <c r="G111" s="155"/>
      <c r="H111" s="171"/>
      <c r="I111" s="172"/>
      <c r="J111" s="173"/>
      <c r="K111" s="174"/>
      <c r="L111" s="175"/>
      <c r="M111" s="52" t="s">
        <v>769</v>
      </c>
      <c r="N111" s="175"/>
      <c r="O111" s="96"/>
      <c r="P111" s="176"/>
      <c r="Q111" t="str">
        <f>IF(C111="","",CONCATENATE(C111,IF(B111=Q110,IF(C109=C111,CONCATENATE(" [ ",D111," -",D109," ] ",IF(E110="x",N_res_MS,IF(F111="","",CONCATENATE(" (",N_res_Diff," ",F111," - ",F109,")")))),IF(E110="x",N_res_MS,"")),"")))</f>
        <v/>
      </c>
      <c r="AG111" s="177"/>
      <c r="AN111" s="3" t="str">
        <f>N_Heure</f>
        <v>Heure</v>
      </c>
      <c r="AO111" s="22" t="str">
        <f>N_Table</f>
        <v>Table</v>
      </c>
      <c r="AP111" s="22" t="str">
        <f>N_Arbitre</f>
        <v>Arbitre</v>
      </c>
      <c r="AQ111" s="2490" t="str">
        <f>N_Matches</f>
        <v>Matches</v>
      </c>
      <c r="AR111" s="2491"/>
      <c r="AS111" s="2491"/>
      <c r="AT111" s="2491"/>
      <c r="AU111" s="2492"/>
      <c r="AV111" s="3" t="str">
        <f>N_MS</f>
        <v>MS</v>
      </c>
      <c r="AW111" s="177"/>
      <c r="BO111" s="11"/>
      <c r="BP111" s="11"/>
    </row>
    <row r="112" spans="2:70" ht="13.5" thickBot="1" x14ac:dyDescent="0.25">
      <c r="H112" s="178"/>
      <c r="I112" s="179" t="str">
        <f>N_Différentiel</f>
        <v>Différentiel</v>
      </c>
      <c r="J112" s="180"/>
      <c r="K112" s="181"/>
      <c r="L112" s="182"/>
      <c r="M112" s="66" t="s">
        <v>769</v>
      </c>
      <c r="N112" s="182"/>
      <c r="O112" s="183"/>
      <c r="AG112" s="177"/>
      <c r="AI112" s="141" t="str">
        <f>N_Matches</f>
        <v>Matches</v>
      </c>
      <c r="AJ112" s="142" t="str">
        <f>N_Buts</f>
        <v>Buts</v>
      </c>
      <c r="AK112" s="142" t="str">
        <f>N_MS</f>
        <v>MS</v>
      </c>
      <c r="AL112" s="143" t="str">
        <f>N_Diff</f>
        <v>Diff</v>
      </c>
      <c r="AM112" s="7"/>
      <c r="AN112" s="144"/>
      <c r="AO112" s="145"/>
      <c r="AP112" s="146"/>
      <c r="AQ112" s="147"/>
      <c r="AR112" s="148"/>
      <c r="AS112" s="35" t="s">
        <v>769</v>
      </c>
      <c r="AT112" s="148"/>
      <c r="AU112" s="149"/>
      <c r="AV112" s="150"/>
      <c r="AW112" s="177"/>
      <c r="BO112" s="11"/>
      <c r="BP112" s="11"/>
      <c r="BQ112" s="11"/>
    </row>
    <row r="113" spans="2:66" ht="13.5" thickBot="1" x14ac:dyDescent="0.25">
      <c r="AH113" s="135" t="str">
        <f>AG106</f>
        <v/>
      </c>
      <c r="AI113" s="151" t="str">
        <f>IF(OR(ISNUMBER(AR112),ISNUMBER(AR113),ISNUMBER(AR114),ISNUMBER(AR115)),Lire_Gain_Matches(AR112:AR115, AT112:AT115),"")</f>
        <v/>
      </c>
      <c r="AJ113" s="152" t="str">
        <f>IF(OR(ISNUMBER(AR112),ISNUMBER(AR113),ISNUMBER(AR114),ISNUMBER(AR115)),SUM(AR112:AR115),"")</f>
        <v/>
      </c>
      <c r="AK113" s="153"/>
      <c r="AL113" s="154" t="str">
        <f>IF(AR116="","",AR116)</f>
        <v/>
      </c>
      <c r="AM113" s="155"/>
      <c r="AN113" s="156"/>
      <c r="AO113" s="157"/>
      <c r="AP113" s="158"/>
      <c r="AQ113" s="103"/>
      <c r="AR113" s="10"/>
      <c r="AS113" s="45" t="s">
        <v>769</v>
      </c>
      <c r="AT113" s="10"/>
      <c r="AU113" s="79"/>
      <c r="AV113" s="159"/>
      <c r="AW113" s="264" t="str">
        <f>IF(AI113="","",CONCATENATE(AI113,IF(AH113=AW114,IF(AI113=AI115,CONCATENATE(" [ ",AJ113," - ",AJ115," ] ",IF(AK114="x",N_res_MS,IF(AL113="","",CONCATENATE(" (",N_res_Diff," ",AL113," - ",AL115,")")))),IF(AK114="x",N_res_MS,"")),"")))</f>
        <v/>
      </c>
    </row>
    <row r="114" spans="2:66" ht="13.5" thickBot="1" x14ac:dyDescent="0.25">
      <c r="AI114" s="160"/>
      <c r="AJ114" s="161"/>
      <c r="AK114" s="162" t="str">
        <f>IF(ISNA(VLOOKUP("X",AV112:AV115,1,FALSE)),"","X")</f>
        <v/>
      </c>
      <c r="AL114" s="163"/>
      <c r="AM114" s="188"/>
      <c r="AN114" s="156"/>
      <c r="AO114" s="157"/>
      <c r="AP114" s="158"/>
      <c r="AQ114" s="103"/>
      <c r="AR114" s="10"/>
      <c r="AS114" s="45" t="s">
        <v>769</v>
      </c>
      <c r="AT114" s="10"/>
      <c r="AU114" s="79"/>
      <c r="AV114" s="165"/>
      <c r="AW114" s="189" t="str">
        <f>IF(AI113="","",IF(AI113&gt;AI115,AH113,IF(AI115&gt;AI113,AH115,IF(AJ113&gt;AJ115,AH113,IF(AJ115&gt;AJ113,AH115,IF(AL113&gt;AL115,AH113,IF(AL115&gt;AL113,AH115,mess_erreur_marque)))))))</f>
        <v/>
      </c>
    </row>
    <row r="115" spans="2:66" ht="13.5" thickBot="1" x14ac:dyDescent="0.25">
      <c r="H115" s="8"/>
      <c r="I115" s="8"/>
      <c r="J115" s="8"/>
      <c r="K115" s="2493"/>
      <c r="L115" s="2493"/>
      <c r="M115" s="2493"/>
      <c r="N115" s="2493"/>
      <c r="O115" s="2493"/>
      <c r="P115" s="8"/>
      <c r="AH115" s="135" t="str">
        <f>AG122</f>
        <v/>
      </c>
      <c r="AI115" s="167" t="str">
        <f>IF(OR(ISNUMBER(AR112),ISNUMBER(AR113),ISNUMBER(AR114),ISNUMBER(AR115)),Lire_Gain_Matches(AT112:AT115, AR112:AR115),"")</f>
        <v/>
      </c>
      <c r="AJ115" s="168" t="str">
        <f>IF(OR(ISNUMBER(AR112),ISNUMBER(AR113),ISNUMBER(AR114),ISNUMBER(AR115)),SUM(AT112:AT115),"")</f>
        <v/>
      </c>
      <c r="AK115" s="169"/>
      <c r="AL115" s="170" t="str">
        <f>IF(AT116="","",AT116)</f>
        <v/>
      </c>
      <c r="AM115" s="155"/>
      <c r="AN115" s="171"/>
      <c r="AO115" s="172"/>
      <c r="AP115" s="173"/>
      <c r="AQ115" s="174"/>
      <c r="AR115" s="175"/>
      <c r="AS115" s="52" t="s">
        <v>769</v>
      </c>
      <c r="AT115" s="175"/>
      <c r="AU115" s="96"/>
      <c r="AV115" s="176"/>
      <c r="AW115" t="str">
        <f>IF(AI115="","",CONCATENATE(AI115,IF(AH115=AW114,IF(AI113=AI115,CONCATENATE(" [ ",AJ115," -",AJ113," ] ",IF(AK114="x",N_res_MS,IF(AL115="","",CONCATENATE(" (",N_res_Diff," ",AL115," - ",AL113,")")))),IF(AK114="x",N_res_MS,"")),"")))</f>
        <v/>
      </c>
    </row>
    <row r="116" spans="2:66" ht="13.5" thickBot="1" x14ac:dyDescent="0.25">
      <c r="C116" s="8"/>
      <c r="D116" s="8"/>
      <c r="E116" s="8"/>
      <c r="F116" s="8"/>
      <c r="G116" s="7"/>
      <c r="H116" s="97"/>
      <c r="I116" s="98"/>
      <c r="J116" s="14"/>
      <c r="L116" s="9"/>
      <c r="N116" s="9"/>
      <c r="P116" s="11"/>
      <c r="AG116" s="177"/>
      <c r="AN116" s="178"/>
      <c r="AO116" s="179" t="str">
        <f>N_Différentiel</f>
        <v>Différentiel</v>
      </c>
      <c r="AP116" s="180"/>
      <c r="AQ116" s="181"/>
      <c r="AR116" s="182"/>
      <c r="AS116" s="66" t="s">
        <v>769</v>
      </c>
      <c r="AT116" s="182"/>
      <c r="AU116" s="183"/>
      <c r="AX116" s="2494" t="s">
        <v>876</v>
      </c>
      <c r="AY116" s="2495"/>
      <c r="AZ116" s="2495"/>
      <c r="BA116" s="2495"/>
      <c r="BB116" s="2495"/>
      <c r="BC116" s="2495"/>
      <c r="BD116" s="2495"/>
      <c r="BE116" s="2495"/>
      <c r="BF116" s="2495"/>
      <c r="BG116" s="2495"/>
      <c r="BH116" s="2495"/>
      <c r="BI116" s="2495"/>
      <c r="BJ116" s="2495"/>
      <c r="BK116" s="2495"/>
      <c r="BL116" s="2495"/>
      <c r="BM116" s="2496"/>
      <c r="BN116" s="17"/>
    </row>
    <row r="117" spans="2:66" ht="13.5" thickBot="1" x14ac:dyDescent="0.25">
      <c r="B117" s="8"/>
      <c r="C117" s="11"/>
      <c r="D117" s="11"/>
      <c r="E117" s="8"/>
      <c r="F117" s="11"/>
      <c r="G117" s="155"/>
      <c r="H117" s="97"/>
      <c r="I117" s="98"/>
      <c r="J117" s="14"/>
      <c r="L117" s="9"/>
      <c r="N117" s="9"/>
      <c r="P117" s="11"/>
      <c r="AG117" s="177"/>
      <c r="BD117" s="217" t="str">
        <f>N_Heure</f>
        <v>Heure</v>
      </c>
      <c r="BE117" s="218" t="str">
        <f>N_Table</f>
        <v>Table</v>
      </c>
      <c r="BF117" s="218" t="str">
        <f>N_Arbitre</f>
        <v>Arbitre</v>
      </c>
      <c r="BG117" s="219" t="str">
        <f>N_Matches</f>
        <v>Matches</v>
      </c>
      <c r="BH117" s="220"/>
      <c r="BI117" s="220"/>
      <c r="BJ117" s="220"/>
      <c r="BK117" s="221"/>
      <c r="BL117" s="217" t="str">
        <f>N_MS</f>
        <v>MS</v>
      </c>
    </row>
    <row r="118" spans="2:66" ht="13.5" thickBot="1" x14ac:dyDescent="0.25">
      <c r="E118" s="12"/>
      <c r="H118" s="97"/>
      <c r="I118" s="98"/>
      <c r="J118" s="14"/>
      <c r="L118" s="9"/>
      <c r="N118" s="9"/>
      <c r="P118" s="11"/>
      <c r="Q118" s="8"/>
      <c r="AG118" s="177"/>
      <c r="AY118" s="141" t="str">
        <f>N_Matches</f>
        <v>Matches</v>
      </c>
      <c r="AZ118" s="142" t="str">
        <f>N_Buts</f>
        <v>Buts</v>
      </c>
      <c r="BA118" s="142" t="str">
        <f>N_MS</f>
        <v>MS</v>
      </c>
      <c r="BB118" s="143" t="str">
        <f>N_Diff</f>
        <v>Diff</v>
      </c>
      <c r="BC118" s="7"/>
      <c r="BD118" s="144"/>
      <c r="BE118" s="145"/>
      <c r="BF118" s="146"/>
      <c r="BG118" s="147"/>
      <c r="BH118" s="148"/>
      <c r="BI118" s="35" t="s">
        <v>769</v>
      </c>
      <c r="BJ118" s="148"/>
      <c r="BK118" s="149"/>
      <c r="BL118" s="150"/>
    </row>
    <row r="119" spans="2:66" ht="13.5" thickBot="1" x14ac:dyDescent="0.25">
      <c r="B119" s="8"/>
      <c r="C119" s="11"/>
      <c r="D119" s="11"/>
      <c r="E119" s="8"/>
      <c r="F119" s="11"/>
      <c r="G119" s="155"/>
      <c r="H119" s="97"/>
      <c r="I119" s="98"/>
      <c r="J119" s="14"/>
      <c r="L119" s="9"/>
      <c r="N119" s="9"/>
      <c r="P119" s="11"/>
      <c r="X119" s="3" t="str">
        <f>N_Heure</f>
        <v>Heure</v>
      </c>
      <c r="Y119" s="22" t="str">
        <f>N_Table</f>
        <v>Table</v>
      </c>
      <c r="Z119" s="22" t="str">
        <f>N_Arbitre</f>
        <v>Arbitre</v>
      </c>
      <c r="AA119" s="2490" t="str">
        <f>N_Matches</f>
        <v>Matches</v>
      </c>
      <c r="AB119" s="2491"/>
      <c r="AC119" s="2491"/>
      <c r="AD119" s="2491"/>
      <c r="AE119" s="2492"/>
      <c r="AF119" s="3" t="str">
        <f>N_MS</f>
        <v>MS</v>
      </c>
      <c r="AG119" s="177"/>
      <c r="AX119" s="223" t="str">
        <f>IF(AW83=AH82,AH84,AH82)</f>
        <v/>
      </c>
      <c r="AY119" s="151" t="str">
        <f>IF(OR(ISNUMBER(BH118),ISNUMBER(BH119),ISNUMBER(BH120),ISNUMBER(BH121)),Lire_Gain_Matches(BH118:BH121, BJ118:BJ121),"")</f>
        <v/>
      </c>
      <c r="AZ119" s="152" t="str">
        <f>IF(OR(ISNUMBER(BH118),ISNUMBER(BH119),ISNUMBER(BH120),ISNUMBER(BH121)),SUM(BH118:BH121),"")</f>
        <v/>
      </c>
      <c r="BA119" s="153"/>
      <c r="BB119" s="154" t="str">
        <f>IF(BH122="","",BH122)</f>
        <v/>
      </c>
      <c r="BC119" s="155"/>
      <c r="BD119" s="156"/>
      <c r="BE119" s="157"/>
      <c r="BF119" s="158"/>
      <c r="BG119" s="103"/>
      <c r="BH119" s="10"/>
      <c r="BI119" s="45" t="s">
        <v>769</v>
      </c>
      <c r="BJ119" s="10"/>
      <c r="BK119" s="79"/>
      <c r="BL119" s="159"/>
      <c r="BM119" s="263" t="str">
        <f>IF(AY119="","",CONCATENATE(AY119,IF(AX119=BM120,IF(AY119=AY121,CONCATENATE(" [ ",AZ119," - ",AZ121," ] ",IF(BA120="x",N_res_MS,IF(BB119="","",CONCATENATE(" (",N_res_Diff," ",BB119," - ",BB121,")")))),IF(BA120="x",N_res_MS,"")),"")))</f>
        <v/>
      </c>
    </row>
    <row r="120" spans="2:66" ht="18.75" thickBot="1" x14ac:dyDescent="0.3">
      <c r="H120" s="178"/>
      <c r="I120" s="178"/>
      <c r="J120" s="14"/>
      <c r="L120" s="9"/>
      <c r="N120" s="9"/>
      <c r="S120" s="141" t="str">
        <f>N_Matches</f>
        <v>Matches</v>
      </c>
      <c r="T120" s="142" t="str">
        <f>N_Buts</f>
        <v>Buts</v>
      </c>
      <c r="U120" s="142" t="str">
        <f>N_MS</f>
        <v>MS</v>
      </c>
      <c r="V120" s="143" t="str">
        <f>N_Diff</f>
        <v>Diff</v>
      </c>
      <c r="W120" s="7"/>
      <c r="X120" s="144"/>
      <c r="Y120" s="145"/>
      <c r="Z120" s="146"/>
      <c r="AA120" s="147"/>
      <c r="AB120" s="148"/>
      <c r="AC120" s="35" t="s">
        <v>769</v>
      </c>
      <c r="AD120" s="148"/>
      <c r="AE120" s="149"/>
      <c r="AF120" s="150"/>
      <c r="AG120" s="177"/>
      <c r="AY120" s="160"/>
      <c r="AZ120" s="161"/>
      <c r="BA120" s="162" t="str">
        <f>IF(ISNA(VLOOKUP("X",BL118:BL121,1,FALSE)),"","X")</f>
        <v/>
      </c>
      <c r="BB120" s="163"/>
      <c r="BC120" s="190"/>
      <c r="BD120" s="156"/>
      <c r="BE120" s="157"/>
      <c r="BF120" s="158"/>
      <c r="BG120" s="103"/>
      <c r="BH120" s="10"/>
      <c r="BI120" s="45" t="s">
        <v>769</v>
      </c>
      <c r="BJ120" s="10"/>
      <c r="BK120" s="79"/>
      <c r="BL120" s="165"/>
      <c r="BM120" s="224" t="str">
        <f>IF(AY119="","",IF(AY119&gt;AY121,AX119,IF(AY121&gt;AY119,AX121,IF(AZ119&gt;AZ121,AX119,IF(AZ121&gt;AZ119,AX121,IF(BB119&gt;BB121,AX119,IF(BB121&gt;BB119,AX121,mess_erreur_marque)))))))</f>
        <v/>
      </c>
      <c r="BN120" s="268"/>
    </row>
    <row r="121" spans="2:66" ht="13.5" thickBot="1" x14ac:dyDescent="0.25">
      <c r="R121" s="132" t="str">
        <f>IF(AG62="","",IF(AG62=R61,R63,IF(AG62=R63,R61,"")))</f>
        <v/>
      </c>
      <c r="S121" s="151" t="str">
        <f>IF(OR(ISNUMBER(AB120),ISNUMBER(AB121),ISNUMBER(AB122),ISNUMBER(AB123)),Lire_Gain_Matches(AB120:AB123, AD120:AD123),"")</f>
        <v/>
      </c>
      <c r="T121" s="152" t="str">
        <f>IF(OR(ISNUMBER(AB120),ISNUMBER(AB121),ISNUMBER(AB122),ISNUMBER(AB123)),SUM(AB120:AB123),"")</f>
        <v/>
      </c>
      <c r="U121" s="153"/>
      <c r="V121" s="154" t="str">
        <f>IF(AB124="","",AB124)</f>
        <v/>
      </c>
      <c r="W121" s="155"/>
      <c r="X121" s="156"/>
      <c r="Y121" s="157"/>
      <c r="Z121" s="158"/>
      <c r="AA121" s="103"/>
      <c r="AB121" s="10"/>
      <c r="AC121" s="45" t="s">
        <v>769</v>
      </c>
      <c r="AD121" s="10"/>
      <c r="AE121" s="79"/>
      <c r="AF121" s="159"/>
      <c r="AG121" s="264" t="str">
        <f>IF(S121="","",CONCATENATE(S121,IF(R121=AG122,IF(S121=S123,CONCATENATE(" [ ",T121," - ",T123," ] ",IF(U122="x",N_res_MS,IF(V121="","",CONCATENATE(" (",N_res_Diff," ",V121," - ",V123,")")))),IF(U122="x",N_res_MS,"")),"")))</f>
        <v/>
      </c>
      <c r="AX121" s="223" t="str">
        <f>IF(AW114=AH113,AH115,AH113)</f>
        <v/>
      </c>
      <c r="AY121" s="167" t="str">
        <f>IF(OR(ISNUMBER(BH118),ISNUMBER(BH119),ISNUMBER(BH120),ISNUMBER(BH121)),Lire_Gain_Matches(BJ118:BJ121, BH118:BH121),"")</f>
        <v/>
      </c>
      <c r="AZ121" s="168" t="str">
        <f>IF(OR(ISNUMBER(BH118),ISNUMBER(BH119),ISNUMBER(BH120),ISNUMBER(BH121)),SUM(BJ118:BJ121),"")</f>
        <v/>
      </c>
      <c r="BA121" s="169"/>
      <c r="BB121" s="170" t="str">
        <f>IF(BJ122="","",BJ122)</f>
        <v/>
      </c>
      <c r="BC121" s="155"/>
      <c r="BD121" s="171"/>
      <c r="BE121" s="172"/>
      <c r="BF121" s="173"/>
      <c r="BG121" s="174"/>
      <c r="BH121" s="175"/>
      <c r="BI121" s="52" t="s">
        <v>769</v>
      </c>
      <c r="BJ121" s="175"/>
      <c r="BK121" s="96"/>
      <c r="BL121" s="176"/>
      <c r="BM121" t="str">
        <f>IF(AY121="","",CONCATENATE(AY121,IF(AX121=BM120,IF(AY119=AY121,CONCATENATE(" [ ",AZ121," -",AZ119," ] ",IF(BA120="x",N_res_MS,IF(BB121="","",CONCATENATE(" (",N_res_Diff," ",BB121," - ",BB119,")")))),IF(BA120="x",N_res_MS,"")),"")))</f>
        <v/>
      </c>
    </row>
    <row r="122" spans="2:66" ht="13.5" thickBot="1" x14ac:dyDescent="0.25">
      <c r="S122" s="160"/>
      <c r="T122" s="161"/>
      <c r="U122" s="162" t="str">
        <f>IF(ISNA(VLOOKUP("X",AF120:AF123,1,FALSE)),"","X")</f>
        <v/>
      </c>
      <c r="V122" s="163"/>
      <c r="W122" s="186"/>
      <c r="X122" s="156"/>
      <c r="Y122" s="157"/>
      <c r="Z122" s="158"/>
      <c r="AA122" s="103"/>
      <c r="AB122" s="10"/>
      <c r="AC122" s="45" t="s">
        <v>769</v>
      </c>
      <c r="AD122" s="10"/>
      <c r="AE122" s="79"/>
      <c r="AF122" s="165"/>
      <c r="AG122" s="187" t="str">
        <f>IF(S121="","",IF(S121&gt;S123,R121,IF(S123&gt;S121,R123,IF(T121&gt;T123,R121,IF(T123&gt;T121,R123,IF(V121&gt;V123,R121,IF(V123&gt;V121,R123,mess_erreur_marque)))))))</f>
        <v/>
      </c>
      <c r="BD122" s="178"/>
      <c r="BE122" s="179" t="str">
        <f>N_Différentiel</f>
        <v>Différentiel</v>
      </c>
      <c r="BF122" s="180"/>
      <c r="BG122" s="181"/>
      <c r="BH122" s="182"/>
      <c r="BI122" s="66" t="s">
        <v>769</v>
      </c>
      <c r="BJ122" s="182"/>
      <c r="BK122" s="183"/>
    </row>
    <row r="123" spans="2:66" ht="13.5" thickBot="1" x14ac:dyDescent="0.25">
      <c r="H123" s="3" t="str">
        <f>N_Heure</f>
        <v>Heure</v>
      </c>
      <c r="I123" s="22" t="str">
        <f>N_Table</f>
        <v>Table</v>
      </c>
      <c r="J123" s="22" t="str">
        <f>N_Arbitre</f>
        <v>Arbitre</v>
      </c>
      <c r="K123" s="2490" t="str">
        <f>N_Matches</f>
        <v>Matches</v>
      </c>
      <c r="L123" s="2491"/>
      <c r="M123" s="2491"/>
      <c r="N123" s="2491"/>
      <c r="O123" s="2492"/>
      <c r="P123" s="3" t="str">
        <f>N_MS</f>
        <v>MS</v>
      </c>
      <c r="R123" s="132" t="str">
        <f>Q126</f>
        <v/>
      </c>
      <c r="S123" s="167" t="str">
        <f>IF(OR(ISNUMBER(AB120),ISNUMBER(AB121),ISNUMBER(AB122),ISNUMBER(AB123)),Lire_Gain_Matches(AD120:AD123, AB120:AB123),"")</f>
        <v/>
      </c>
      <c r="T123" s="168" t="str">
        <f>IF(OR(ISNUMBER(AB120),ISNUMBER(AB121),ISNUMBER(AB122),ISNUMBER(AB123)),SUM(AD120:AD123),"")</f>
        <v/>
      </c>
      <c r="U123" s="169"/>
      <c r="V123" s="170" t="str">
        <f>IF(AD124="","",AD124)</f>
        <v/>
      </c>
      <c r="W123" s="155"/>
      <c r="X123" s="171"/>
      <c r="Y123" s="172"/>
      <c r="Z123" s="173"/>
      <c r="AA123" s="174"/>
      <c r="AB123" s="175"/>
      <c r="AC123" s="52" t="s">
        <v>769</v>
      </c>
      <c r="AD123" s="175"/>
      <c r="AE123" s="96"/>
      <c r="AF123" s="176"/>
      <c r="AG123" t="str">
        <f>IF(S123="","",CONCATENATE(S123,IF(R123=AG122,IF(S121=S123,CONCATENATE(" [ ",T123," -",T121," ] ",IF(U122="x",N_res_MS,IF(V123="","",CONCATENATE(" (",N_res_Diff," ",V123," - ",V121,")")))),IF(U122="x",N_res_MS,"")),"")))</f>
        <v/>
      </c>
    </row>
    <row r="124" spans="2:66" ht="13.5" thickBot="1" x14ac:dyDescent="0.25">
      <c r="C124" s="141" t="str">
        <f>N_Matches</f>
        <v>Matches</v>
      </c>
      <c r="D124" s="142" t="str">
        <f>N_Buts</f>
        <v>Buts</v>
      </c>
      <c r="E124" s="142" t="str">
        <f>N_MS</f>
        <v>MS</v>
      </c>
      <c r="F124" s="143" t="str">
        <f>N_Diff</f>
        <v>Diff</v>
      </c>
      <c r="G124" s="7"/>
      <c r="H124" s="144"/>
      <c r="I124" s="145"/>
      <c r="J124" s="146"/>
      <c r="K124" s="147"/>
      <c r="L124" s="148"/>
      <c r="M124" s="35" t="s">
        <v>769</v>
      </c>
      <c r="N124" s="148"/>
      <c r="O124" s="149"/>
      <c r="P124" s="150"/>
      <c r="Q124" s="177"/>
      <c r="X124" s="178"/>
      <c r="Y124" s="179" t="str">
        <f>N_Différentiel</f>
        <v>Différentiel</v>
      </c>
      <c r="Z124" s="180"/>
      <c r="AA124" s="181"/>
      <c r="AB124" s="182"/>
      <c r="AC124" s="66" t="s">
        <v>769</v>
      </c>
      <c r="AD124" s="182"/>
      <c r="AE124" s="183"/>
    </row>
    <row r="125" spans="2:66" ht="13.5" thickBot="1" x14ac:dyDescent="0.25">
      <c r="B125" s="128" t="str">
        <f>IF(Q58="","",IF(Q58=B57,B59,IF(Q58=B59,B57,"")))</f>
        <v/>
      </c>
      <c r="C125" s="151" t="str">
        <f>IF(OR(ISNUMBER(L124),ISNUMBER(L125),ISNUMBER(L126),ISNUMBER(L127)),Lire_Gain_Matches(L124:L127, N124:N127),"")</f>
        <v/>
      </c>
      <c r="D125" s="152" t="str">
        <f>IF(OR(ISNUMBER(L124),ISNUMBER(L125),ISNUMBER(L126),ISNUMBER(L127)),SUM(L124:L127),"")</f>
        <v/>
      </c>
      <c r="E125" s="153"/>
      <c r="F125" s="154" t="str">
        <f>IF(L128="","",L128)</f>
        <v/>
      </c>
      <c r="G125" s="155"/>
      <c r="H125" s="156"/>
      <c r="I125" s="157"/>
      <c r="J125" s="158"/>
      <c r="K125" s="103"/>
      <c r="L125" s="10"/>
      <c r="M125" s="45" t="s">
        <v>769</v>
      </c>
      <c r="N125" s="10"/>
      <c r="O125" s="79"/>
      <c r="P125" s="159"/>
      <c r="Q125" s="264" t="str">
        <f>IF(C125="","",CONCATENATE(C125,IF(B125=Q126,IF(C125=C127,CONCATENATE(" [ ",D125," - ",D127," ] ",IF(E126="x",N_res_MS,IF(F125="","",CONCATENATE(" (",N_res_Diff," ",F125," - ",F127,")")))),IF(E126="x",N_res_MS,"")),"")))</f>
        <v/>
      </c>
    </row>
    <row r="126" spans="2:66" ht="13.5" thickBot="1" x14ac:dyDescent="0.25">
      <c r="C126" s="160"/>
      <c r="D126" s="161"/>
      <c r="E126" s="162" t="str">
        <f>IF(ISNA(VLOOKUP("X",P124:P127,1,FALSE)),"","X")</f>
        <v/>
      </c>
      <c r="F126" s="163"/>
      <c r="G126" s="164"/>
      <c r="H126" s="156"/>
      <c r="I126" s="157"/>
      <c r="J126" s="158"/>
      <c r="K126" s="103"/>
      <c r="L126" s="10"/>
      <c r="M126" s="45" t="s">
        <v>769</v>
      </c>
      <c r="N126" s="10"/>
      <c r="O126" s="79"/>
      <c r="P126" s="165"/>
      <c r="Q126" s="166" t="str">
        <f>IF(C125="","",IF(C125&gt;C127,B125,IF(C127&gt;C125,B127,IF(D125&gt;D127,B125,IF(D127&gt;D125,B127,IF(F125&gt;F127,B125,IF(F127&gt;F125,B127,mess_erreur_marque)))))))</f>
        <v/>
      </c>
    </row>
    <row r="127" spans="2:66" ht="13.5" thickBot="1" x14ac:dyDescent="0.25">
      <c r="B127" s="128" t="str">
        <f>IF(Q50="","",IF(Q50=B49,B51,IF(Q50=B51,B49,"")))</f>
        <v/>
      </c>
      <c r="C127" s="167" t="str">
        <f>IF(OR(ISNUMBER(L124),ISNUMBER(L125),ISNUMBER(L126),ISNUMBER(L127)),Lire_Gain_Matches(N124:N127, L124:L127),"")</f>
        <v/>
      </c>
      <c r="D127" s="168" t="str">
        <f>IF(OR(ISNUMBER(L124),ISNUMBER(L125),ISNUMBER(L126),ISNUMBER(L127)),SUM(N124:N127),"")</f>
        <v/>
      </c>
      <c r="E127" s="169"/>
      <c r="F127" s="170" t="str">
        <f>IF(N128="","",N128)</f>
        <v/>
      </c>
      <c r="G127" s="155"/>
      <c r="H127" s="171"/>
      <c r="I127" s="172"/>
      <c r="J127" s="173"/>
      <c r="K127" s="174"/>
      <c r="L127" s="175"/>
      <c r="M127" s="52" t="s">
        <v>769</v>
      </c>
      <c r="N127" s="175"/>
      <c r="O127" s="96"/>
      <c r="P127" s="176"/>
      <c r="Q127" t="str">
        <f>IF(C127="","",CONCATENATE(C127,IF(B127=Q126,IF(C125=C127,CONCATENATE(" [ ",D127," -",D125," ] ",IF(E126="x",N_res_MS,IF(F127="","",CONCATENATE(" (",N_res_Diff," ",F127," - ",F125,")")))),IF(E126="x",N_res_MS,"")),"")))</f>
        <v/>
      </c>
    </row>
    <row r="128" spans="2:66" ht="13.5" thickBot="1" x14ac:dyDescent="0.25">
      <c r="B128" t="str">
        <f>IF(BO45="","",VLOOKUP(BO45,Equipes,2,FALSE))</f>
        <v/>
      </c>
      <c r="K128" s="181"/>
      <c r="L128" s="182"/>
      <c r="M128" s="66" t="s">
        <v>769</v>
      </c>
      <c r="N128" s="182"/>
      <c r="O128" s="183"/>
    </row>
  </sheetData>
  <sheetProtection sheet="1" objects="1" scenarios="1" formatColumns="0" formatRows="0"/>
  <dataConsolidate/>
  <customSheetViews>
    <customSheetView guid="{13F24B0A-7740-483A-BEF7-5257F8522605}" scale="70" showGridLines="0" fitToPage="1" hiddenColumns="1" state="hidden" topLeftCell="T1">
      <pane ySplit="6" topLeftCell="A7" activePane="bottomLeft" state="frozen"/>
      <selection pane="bottomLeft" activeCell="BW35" sqref="BW35"/>
      <rowBreaks count="1" manualBreakCount="1">
        <brk id="69" min="1" max="84" man="1"/>
      </rowBreaks>
      <pageMargins left="0.78740157499999996" right="0.78740157499999996" top="0.984251969" bottom="0.984251969" header="0.4921259845" footer="0.4921259845"/>
      <pageSetup paperSize="9" scale="22" fitToHeight="0" orientation="portrait" r:id="rId1"/>
      <headerFooter alignWithMargins="0"/>
    </customSheetView>
  </customSheetViews>
  <mergeCells count="38">
    <mergeCell ref="BO102:BR102"/>
    <mergeCell ref="AA103:AE103"/>
    <mergeCell ref="K107:O107"/>
    <mergeCell ref="K24:O24"/>
    <mergeCell ref="K32:O32"/>
    <mergeCell ref="K47:O47"/>
    <mergeCell ref="AA59:AE59"/>
    <mergeCell ref="K55:O55"/>
    <mergeCell ref="K92:O92"/>
    <mergeCell ref="K63:O63"/>
    <mergeCell ref="AQ51:AU51"/>
    <mergeCell ref="AA43:AE43"/>
    <mergeCell ref="K123:O123"/>
    <mergeCell ref="K99:O99"/>
    <mergeCell ref="AX56:BM56"/>
    <mergeCell ref="AX116:BM116"/>
    <mergeCell ref="AQ111:AU111"/>
    <mergeCell ref="K115:O115"/>
    <mergeCell ref="K84:O84"/>
    <mergeCell ref="BG95:BK95"/>
    <mergeCell ref="B70:BM70"/>
    <mergeCell ref="K76:O76"/>
    <mergeCell ref="AA119:AE119"/>
    <mergeCell ref="AA88:AE88"/>
    <mergeCell ref="AQ80:AU80"/>
    <mergeCell ref="AA72:AE72"/>
    <mergeCell ref="AX6:BM6"/>
    <mergeCell ref="BO42:BV42"/>
    <mergeCell ref="K8:O8"/>
    <mergeCell ref="AQ20:AU20"/>
    <mergeCell ref="BG35:BK35"/>
    <mergeCell ref="AA28:AE28"/>
    <mergeCell ref="AA12:AE12"/>
    <mergeCell ref="K16:O16"/>
    <mergeCell ref="B6:Q6"/>
    <mergeCell ref="K39:O39"/>
    <mergeCell ref="R6:AG6"/>
    <mergeCell ref="AH6:AW6"/>
  </mergeCells>
  <phoneticPr fontId="0" type="noConversion"/>
  <dataValidations count="15">
    <dataValidation type="list" allowBlank="1" showInputMessage="1" sqref="K9 K17 K25 K33 K40 K48 K56 K64 K77 K93 K108 K124 AA120 AA104 AA89 AA73 AA60 AA44 AA13 AA29 AQ21 BG58 AQ52 BG118 AQ81 BG96 AQ112 BG36" xr:uid="{00000000-0002-0000-1900-000000000000}">
      <formula1>OFFSET(Liste_Equipes,MATCH(B10,Liste_Equipes,0)-1,1,1,OFFSET(Liste_Nb_Equipiers,MATCH(B10,Liste_Equipes,0)-1,0,1,1))</formula1>
    </dataValidation>
    <dataValidation type="list" allowBlank="1" showInputMessage="1" sqref="K10 K18 K26 K34 K41 K49 K57 K65 K78 K94 K109 K125 AA121 AA105 AA90 AA74 AA61 AA45 AA14 AA30 AQ22 BG59 AQ53 BG119 AQ82 BG97 AQ113 BG37" xr:uid="{00000000-0002-0000-1900-000001000000}">
      <formula1>OFFSET(Liste_Equipes,MATCH(B10,Liste_Equipes,0)-1,1,1,OFFSET(Liste_Nb_Equipiers,MATCH(B10,Liste_Equipes,0)-1,0,1,1))</formula1>
    </dataValidation>
    <dataValidation type="list" allowBlank="1" showInputMessage="1" sqref="K11 K19 K27 K35 K42 K50 K58 K66 K79 K95 K110 K126 AA122 AA106 AA91 AA75 AA62 AA46 AA15 AA31 AQ23 BG60 AQ54 BG120 AQ83 BG98 AQ114 BG38" xr:uid="{00000000-0002-0000-1900-000002000000}">
      <formula1>OFFSET(Liste_Equipes,MATCH(B10,Liste_Equipes,0)-1,1,1,OFFSET(Liste_Nb_Equipiers,MATCH(B10,Liste_Equipes,0)-1,0,1,1))</formula1>
    </dataValidation>
    <dataValidation type="list" allowBlank="1" showInputMessage="1" sqref="K12 K20 K28 K36 K43 K51 K59 K67 K80 K96 K111 K127 AA123 AA107 AA92 AA76 AA63 AA47 AA16 AA32 AQ24 BG61 AQ55 BG121 AQ84 BG99 AQ115 BG39" xr:uid="{00000000-0002-0000-1900-000003000000}">
      <formula1>OFFSET(Liste_Equipes,MATCH(B10,Liste_Equipes,0)-1,1,1,OFFSET(Liste_Nb_Equipiers,MATCH(B10,Liste_Equipes,0)-1,0,1,1))</formula1>
    </dataValidation>
    <dataValidation type="list" allowBlank="1" showInputMessage="1" sqref="K13 K21 K29 K37 K44 K52 K60 K68 K81 K97 K112 K128 AA124 AA108 AA93 AA77 AA64 AA48 AA17 AA33 AQ25 BG62 AQ56 BG122 AQ85 BG100 AQ116 BG40" xr:uid="{00000000-0002-0000-1900-000004000000}">
      <formula1>OFFSET(Liste_Equipes,MATCH(B10,Liste_Equipes,0)-1,1,1,OFFSET(Liste_Nb_Equipiers,MATCH(B10,Liste_Equipes,0)-1,0,1,1))</formula1>
    </dataValidation>
    <dataValidation type="list" allowBlank="1" showInputMessage="1" sqref="O9 O17 O25 O33 O40 O48 O56 O64 O77 O93 O108 O124 AE120 AE104 AE89 AE73 AE60 AE44 AE13 AE29 AU21 BK58 AU52 BK118 AU81 BK96 AU112 BK36" xr:uid="{00000000-0002-0000-1900-000005000000}">
      <formula1>OFFSET(Liste_Equipes,MATCH(B12,Liste_Equipes,0)-1,1,1,OFFSET(Liste_Nb_Equipiers,MATCH(B12,Liste_Equipes,0)-1,0,1,1))</formula1>
    </dataValidation>
    <dataValidation type="list" allowBlank="1" showInputMessage="1" sqref="O10 O18 O26 O34 O41 O49 O57 O65 O78 O94 O109 O125 AE121 AE105 AE90 AE74 AE61 AE45 AE14 AE30 AU22 BK59 AU53 BK119 AU82 BK97 AU113 BK37" xr:uid="{00000000-0002-0000-1900-000006000000}">
      <formula1>OFFSET(Liste_Equipes,MATCH(B12,Liste_Equipes,0)-1,1,1,OFFSET(Liste_Nb_Equipiers,MATCH(B12,Liste_Equipes,0)-1,0,1,1))</formula1>
    </dataValidation>
    <dataValidation type="list" allowBlank="1" showInputMessage="1" sqref="O11 O19 O27 O35 O42 O50 O58 O66 O79 O95 O110 O126 AE122 AE106 AE91 AE75 AE62 AE46 AE15 AE31 AU23 BK60 AU54 BK120 AU83 BK98 AU114 BK38" xr:uid="{00000000-0002-0000-1900-000007000000}">
      <formula1>OFFSET(Liste_Equipes,MATCH(B12,Liste_Equipes,0)-1,1,1,OFFSET(Liste_Nb_Equipiers,MATCH(B12,Liste_Equipes,0)-1,0,1,1))</formula1>
    </dataValidation>
    <dataValidation type="list" allowBlank="1" showInputMessage="1" sqref="O12 O20 O28 O36 O43 O51 O59 O67 O80 O96 O111 O127 AE123 AE107 AE92 AE76 AE63 AE47 AE16 AE32 AU24 BK61 AU55 BK121 AU84 BK99 AU115 BK39" xr:uid="{00000000-0002-0000-1900-000008000000}">
      <formula1>OFFSET(Liste_Equipes,MATCH(B12,Liste_Equipes,0)-1,1,1,OFFSET(Liste_Nb_Equipiers,MATCH(B12,Liste_Equipes,0)-1,0,1,1))</formula1>
    </dataValidation>
    <dataValidation type="list" allowBlank="1" showInputMessage="1" sqref="O13 O21 O29 O37 O44 O52 O60 O68 O81 O97 O112 O128 AE124 AE108 AE93 AE77 AE64 AE48 AE17 AE33 AU25 BK62 AU56 BK122 AU85 BK100 AU116 BK40" xr:uid="{00000000-0002-0000-1900-000009000000}">
      <formula1>OFFSET(Liste_Equipes,MATCH(B12,Liste_Equipes,0)-1,1,1,OFFSET(Liste_Nb_Equipiers,MATCH(B12,Liste_Equipes,0)-1,0,1,1))</formula1>
    </dataValidation>
    <dataValidation type="list" allowBlank="1" showInputMessage="1" showErrorMessage="1" sqref="BL36:BL39 BL58:BL61 BL118:BL121 BL96:BL99 AF73:AF76 AF44:AF47 AF60:AF63 AF13:AF16 AF29:AF32 AF104:AF107 AF120:AF123 AF89:AF92 P9:P12 P124:P127 P85:P88 P116:P119 P108:P111 P93:P96 P100:P103 P77:P80 P64:P67 P56:P59 P48:P51 P40:P43 P33:P36 P25:P28 P17:P20 AV81:AV84 AV112:AV115 AV21:AV24 AV52:AV55" xr:uid="{00000000-0002-0000-1900-00000A000000}">
      <formula1>"x"</formula1>
    </dataValidation>
    <dataValidation type="whole" allowBlank="1" showInputMessage="1" showErrorMessage="1" errorTitle="Erreur de saisie" error="Vous devez tapez un nombre entier entre 0 et 100" sqref="AR52:AR56 AT52:AT56 AR81:AR85 AT81:AT85 AR112:AR116 AT112:AT116 AR21:AR25 AT21:AT25 AB104:AB108 AD104:AD108 AB89:AB93 AB13:AB17 AD13:AD17 AB60:AB64 AB73:AB77 AD60:AD64 AD73:AD77 AB44:AB48 AD89:AD93 AD44:AD48 AB120:AB124 L124:L128 AD120:AD124 N124:N128 L64:L69 L108:L112 L116:L120 L85:L90 L93:L97 N93:N97 N108:N112 L56:L60 N116:N120 N77:N82 L77:L82 L100:L104 N100:N104 L48:L52 N85:N90 N64:N69 L74 N74 L9:L14 L40:L44 N48:N52 N56:N60 L33:L37 N40:N44 AB29:AB33 N33:N37 N25:N30 L25:L30 L17:L22 N17:N22 AD29:AD33 N9:N14 BH58:BH62 BJ58:BJ62 BH96:BH100 BJ96:BJ100 BH118:BH122 BJ118:BJ122 BH36:BH40 BJ36:BJ40" xr:uid="{00000000-0002-0000-1900-00000B000000}">
      <formula1>0</formula1>
      <formula2>100</formula2>
    </dataValidation>
    <dataValidation allowBlank="1" showInputMessage="1" showErrorMessage="1" sqref="BB39 BB61 BB121 BB99 V76 V47 V63 V32 V16 V107 V123 V92 F96 F119 F127 F111 F103 F12 F88 F80 F59 F67 F51 F43 F36 F28 F20 AL84 AL115 AL24 AL55" xr:uid="{00000000-0002-0000-1900-00000C000000}"/>
    <dataValidation type="list" allowBlank="1" showInputMessage="1" showErrorMessage="1" sqref="K14 K22 K69 K30 K82 O74 K74 O14 O22 O69 O30 O82 K116:K120 K85:K90 K100:K104 O116:O120 O85:O90 O100:O104" xr:uid="{00000000-0002-0000-1900-00000D000000}">
      <formula1>#REF!</formula1>
    </dataValidation>
    <dataValidation type="list" allowBlank="1" showInputMessage="1" showErrorMessage="1" sqref="B10 B12 B18 B20 B26 B28 B34 B36 B41 B43 B49 B51 B57 B59 B67 B65 B96 B94 B80 B78 B127 B125 B111 B109 R123 R121 R107 R105 AH113 AH115 AX119 AX121 AX99 AX97 R92 R90 R76 R74 AH82 AH84 AX59 AX61 R61 R63 AH55 AH53 R45 R47 AX39 AX37 R30 R32 AH24 AH22 R14 R16" xr:uid="{00000000-0002-0000-1900-00000E000000}">
      <formula1>List_Teams</formula1>
    </dataValidation>
  </dataValidations>
  <pageMargins left="0.78740157499999996" right="0.78740157499999996" top="0.984251969" bottom="0.984251969" header="0.4921259845" footer="0.4921259845"/>
  <pageSetup paperSize="9" scale="22" fitToHeight="0" orientation="portrait" r:id="rId2"/>
  <headerFooter alignWithMargins="0"/>
  <rowBreaks count="1" manualBreakCount="1">
    <brk id="69" min="1" max="84" man="1"/>
  </rowBreaks>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t_SelMatchDoubles">
    <tabColor theme="0" tint="-0.249977111117893"/>
    <outlinePr summaryBelow="0"/>
    <pageSetUpPr fitToPage="1"/>
  </sheetPr>
  <dimension ref="A1:BR67"/>
  <sheetViews>
    <sheetView showGridLines="0" topLeftCell="AB1" zoomScale="75" zoomScaleNormal="75" workbookViewId="0">
      <pane ySplit="6" topLeftCell="A29" activePane="bottomLeft" state="frozen"/>
      <selection activeCell="N33" sqref="N33"/>
      <selection pane="bottomLeft" activeCell="BR67" sqref="BR67"/>
    </sheetView>
  </sheetViews>
  <sheetFormatPr baseColWidth="10" defaultColWidth="4.7109375" defaultRowHeight="12.75" outlineLevelCol="2" x14ac:dyDescent="0.2"/>
  <cols>
    <col min="1" max="1" width="7.85546875" style="1396" customWidth="1"/>
    <col min="2" max="2" width="17.42578125" style="1396" customWidth="1"/>
    <col min="3" max="3" width="10" style="1396" customWidth="1" outlineLevel="1"/>
    <col min="4" max="4" width="6.28515625" style="1396" customWidth="1" outlineLevel="1"/>
    <col min="5" max="5" width="4.85546875" style="1396" customWidth="1" outlineLevel="1"/>
    <col min="6" max="6" width="5.28515625" style="1396" customWidth="1" outlineLevel="1"/>
    <col min="7" max="7" width="1.7109375" style="1396" customWidth="1" outlineLevel="1"/>
    <col min="8" max="8" width="7.42578125" style="1396" hidden="1" customWidth="1" outlineLevel="2"/>
    <col min="9" max="9" width="7" style="1396" hidden="1" customWidth="1" outlineLevel="2"/>
    <col min="10" max="10" width="8.28515625" style="1396" hidden="1" customWidth="1" outlineLevel="2"/>
    <col min="11" max="11" width="15" style="1396" customWidth="1" outlineLevel="1" collapsed="1"/>
    <col min="12" max="12" width="2.28515625" style="1396" customWidth="1" outlineLevel="1"/>
    <col min="13" max="13" width="1.85546875" style="1396" customWidth="1" outlineLevel="1"/>
    <col min="14" max="14" width="2.28515625" style="1396" customWidth="1" outlineLevel="1"/>
    <col min="15" max="15" width="13.7109375" style="1396" customWidth="1" outlineLevel="1"/>
    <col min="16" max="16" width="4.85546875" style="1396" customWidth="1" outlineLevel="1"/>
    <col min="17" max="17" width="11.5703125" style="1396" customWidth="1"/>
    <col min="18" max="18" width="14.140625" style="1396" customWidth="1"/>
    <col min="19" max="19" width="10" style="1396" customWidth="1" outlineLevel="1"/>
    <col min="20" max="20" width="6.28515625" style="1396" customWidth="1" outlineLevel="1"/>
    <col min="21" max="21" width="4.85546875" style="1396" customWidth="1" outlineLevel="1"/>
    <col min="22" max="22" width="5.28515625" style="1396" customWidth="1" outlineLevel="1" collapsed="1"/>
    <col min="23" max="23" width="2" style="1396" customWidth="1" outlineLevel="1"/>
    <col min="24" max="24" width="7.42578125" style="1396" hidden="1" customWidth="1" outlineLevel="2"/>
    <col min="25" max="25" width="7" style="1396" hidden="1" customWidth="1" outlineLevel="2"/>
    <col min="26" max="26" width="8.28515625" style="1396" hidden="1" customWidth="1" outlineLevel="2"/>
    <col min="27" max="27" width="14.7109375" style="1396" customWidth="1" outlineLevel="1" collapsed="1"/>
    <col min="28" max="28" width="4.28515625" style="1396" customWidth="1" outlineLevel="1"/>
    <col min="29" max="29" width="1.85546875" style="1396" customWidth="1" outlineLevel="1"/>
    <col min="30" max="30" width="4.28515625" style="1396" customWidth="1" outlineLevel="1"/>
    <col min="31" max="31" width="13.42578125" style="1396" customWidth="1" outlineLevel="1"/>
    <col min="32" max="32" width="4.85546875" style="1396" customWidth="1" outlineLevel="1"/>
    <col min="33" max="33" width="11.42578125" style="1396" customWidth="1"/>
    <col min="34" max="34" width="11.42578125" style="1396" customWidth="1" collapsed="1"/>
    <col min="35" max="35" width="10" style="1396" customWidth="1" outlineLevel="1"/>
    <col min="36" max="36" width="6.28515625" style="1396" customWidth="1" outlineLevel="1"/>
    <col min="37" max="37" width="4.85546875" style="1396" customWidth="1" outlineLevel="1"/>
    <col min="38" max="38" width="5.28515625" style="1396" customWidth="1" outlineLevel="1" collapsed="1"/>
    <col min="39" max="39" width="2" style="1396" customWidth="1" outlineLevel="1"/>
    <col min="40" max="40" width="7.42578125" style="1396" hidden="1" customWidth="1" outlineLevel="2"/>
    <col min="41" max="41" width="7" style="1396" hidden="1" customWidth="1" outlineLevel="2"/>
    <col min="42" max="42" width="8.28515625" style="1396" hidden="1" customWidth="1" outlineLevel="2"/>
    <col min="43" max="43" width="10" style="1396" customWidth="1" outlineLevel="1" collapsed="1"/>
    <col min="44" max="44" width="4.28515625" style="1396" customWidth="1" outlineLevel="1"/>
    <col min="45" max="45" width="1.85546875" style="1396" customWidth="1" outlineLevel="1"/>
    <col min="46" max="46" width="4.28515625" style="1396" customWidth="1" outlineLevel="1"/>
    <col min="47" max="47" width="13.42578125" style="1396" customWidth="1" outlineLevel="1"/>
    <col min="48" max="48" width="4.85546875" style="1396" customWidth="1" outlineLevel="1"/>
    <col min="49" max="49" width="11.42578125" style="1396" customWidth="1"/>
    <col min="50" max="50" width="15.28515625" style="1396" customWidth="1"/>
    <col min="51" max="51" width="10" style="1396" customWidth="1" outlineLevel="1"/>
    <col min="52" max="52" width="6.28515625" style="1396" customWidth="1" outlineLevel="1"/>
    <col min="53" max="53" width="4.85546875" style="1396" customWidth="1" outlineLevel="1"/>
    <col min="54" max="54" width="5.28515625" style="1396" customWidth="1" outlineLevel="1"/>
    <col min="55" max="55" width="2.28515625" style="1396" customWidth="1" outlineLevel="1"/>
    <col min="56" max="56" width="7.42578125" style="1396" hidden="1" customWidth="1" outlineLevel="2"/>
    <col min="57" max="57" width="7" style="1396" hidden="1" customWidth="1" outlineLevel="2"/>
    <col min="58" max="58" width="8.28515625" style="1396" hidden="1" customWidth="1" outlineLevel="2"/>
    <col min="59" max="59" width="10" style="1396" customWidth="1" outlineLevel="1" collapsed="1"/>
    <col min="60" max="60" width="5.140625" style="1396" customWidth="1" outlineLevel="1"/>
    <col min="61" max="61" width="1.85546875" style="1396" customWidth="1" outlineLevel="1"/>
    <col min="62" max="62" width="5.7109375" style="1396" customWidth="1" outlineLevel="1"/>
    <col min="63" max="63" width="11.42578125" style="1396" customWidth="1" outlineLevel="1"/>
    <col min="64" max="64" width="4.85546875" style="1396" customWidth="1" outlineLevel="1"/>
    <col min="65" max="70" width="11.42578125" style="1396" customWidth="1"/>
    <col min="71" max="16384" width="4.7109375" style="1396"/>
  </cols>
  <sheetData>
    <row r="1" spans="1:70" x14ac:dyDescent="0.2">
      <c r="A1"/>
      <c r="B1"/>
      <c r="C1"/>
      <c r="D1"/>
      <c r="E1"/>
      <c r="F1"/>
      <c r="G1"/>
      <c r="H1" s="1"/>
      <c r="I1" s="1"/>
      <c r="J1"/>
      <c r="K1" s="6"/>
      <c r="L1" s="1"/>
      <c r="M1" s="1"/>
      <c r="N1" s="1"/>
      <c r="O1" s="16"/>
      <c r="P1"/>
      <c r="Q1"/>
      <c r="R1"/>
      <c r="S1"/>
      <c r="T1"/>
      <c r="U1"/>
      <c r="V1"/>
      <c r="W1"/>
      <c r="X1"/>
      <c r="Y1"/>
      <c r="Z1"/>
      <c r="AA1"/>
      <c r="AB1" s="1"/>
      <c r="AC1"/>
      <c r="AD1" s="1"/>
      <c r="AE1"/>
      <c r="AF1"/>
      <c r="AG1"/>
      <c r="AH1"/>
      <c r="AI1"/>
      <c r="AJ1"/>
      <c r="AK1"/>
      <c r="AL1"/>
      <c r="AM1"/>
      <c r="AN1"/>
      <c r="AO1"/>
      <c r="AP1"/>
      <c r="AQ1"/>
      <c r="AR1" s="1"/>
      <c r="AS1"/>
      <c r="AT1" s="1"/>
      <c r="AU1"/>
      <c r="AV1"/>
      <c r="AW1"/>
      <c r="AX1"/>
      <c r="AY1"/>
      <c r="AZ1"/>
      <c r="BA1"/>
      <c r="BB1"/>
      <c r="BC1"/>
      <c r="BD1"/>
      <c r="BE1"/>
      <c r="BF1"/>
      <c r="BG1"/>
      <c r="BH1"/>
      <c r="BI1"/>
      <c r="BJ1"/>
      <c r="BK1"/>
      <c r="BL1"/>
      <c r="BM1"/>
      <c r="BN1"/>
      <c r="BO1"/>
      <c r="BP1"/>
      <c r="BQ1"/>
      <c r="BR1"/>
    </row>
    <row r="2" spans="1:70" x14ac:dyDescent="0.2">
      <c r="A2"/>
      <c r="B2"/>
      <c r="C2"/>
      <c r="D2"/>
      <c r="E2"/>
      <c r="F2"/>
      <c r="G2"/>
      <c r="H2" s="1"/>
      <c r="I2" s="1"/>
      <c r="J2"/>
      <c r="K2" s="6"/>
      <c r="L2" s="1"/>
      <c r="M2" s="1"/>
      <c r="N2" s="1"/>
      <c r="O2" s="16"/>
      <c r="P2"/>
      <c r="Q2"/>
      <c r="R2"/>
      <c r="S2"/>
      <c r="T2"/>
      <c r="U2"/>
      <c r="V2"/>
      <c r="W2"/>
      <c r="X2"/>
      <c r="Y2"/>
      <c r="Z2"/>
      <c r="AA2"/>
      <c r="AB2" s="1"/>
      <c r="AC2"/>
      <c r="AD2" s="1"/>
      <c r="AE2"/>
      <c r="AF2"/>
      <c r="AG2"/>
      <c r="AH2"/>
      <c r="AI2"/>
      <c r="AJ2"/>
      <c r="AK2"/>
      <c r="AL2"/>
      <c r="AM2"/>
      <c r="AN2"/>
      <c r="AO2"/>
      <c r="AP2"/>
      <c r="AQ2"/>
      <c r="AR2" s="1"/>
      <c r="AS2"/>
      <c r="AT2" s="1"/>
      <c r="AU2"/>
      <c r="AV2"/>
      <c r="AW2"/>
      <c r="AX2"/>
      <c r="AY2"/>
      <c r="AZ2"/>
      <c r="BA2"/>
      <c r="BB2"/>
      <c r="BC2"/>
      <c r="BD2"/>
      <c r="BE2"/>
      <c r="BF2"/>
      <c r="BG2"/>
      <c r="BH2"/>
      <c r="BI2"/>
      <c r="BJ2"/>
      <c r="BK2"/>
      <c r="BL2"/>
      <c r="BM2"/>
      <c r="BN2"/>
      <c r="BO2"/>
      <c r="BP2"/>
      <c r="BQ2"/>
      <c r="BR2"/>
    </row>
    <row r="3" spans="1:70" x14ac:dyDescent="0.2">
      <c r="A3"/>
      <c r="B3"/>
      <c r="C3"/>
      <c r="D3"/>
      <c r="E3"/>
      <c r="F3"/>
      <c r="G3"/>
      <c r="H3" s="1"/>
      <c r="I3" s="1"/>
      <c r="J3"/>
      <c r="K3" s="6"/>
      <c r="L3" s="1"/>
      <c r="M3" s="1"/>
      <c r="N3" s="1"/>
      <c r="O3" s="16"/>
      <c r="P3"/>
      <c r="Q3"/>
      <c r="R3"/>
      <c r="S3"/>
      <c r="T3"/>
      <c r="U3"/>
      <c r="V3"/>
      <c r="W3"/>
      <c r="X3"/>
      <c r="Y3"/>
      <c r="Z3"/>
      <c r="AA3"/>
      <c r="AB3" s="1"/>
      <c r="AC3"/>
      <c r="AD3" s="1"/>
      <c r="AE3"/>
      <c r="AF3"/>
      <c r="AG3"/>
      <c r="AH3"/>
      <c r="AI3"/>
      <c r="AJ3"/>
      <c r="AK3"/>
      <c r="AL3"/>
      <c r="AM3"/>
      <c r="AN3"/>
      <c r="AO3"/>
      <c r="AP3"/>
      <c r="AQ3"/>
      <c r="AR3" s="1"/>
      <c r="AS3"/>
      <c r="AT3" s="1"/>
      <c r="AU3"/>
      <c r="AV3"/>
      <c r="AW3"/>
      <c r="AX3"/>
      <c r="AY3"/>
      <c r="AZ3"/>
      <c r="BA3"/>
      <c r="BB3"/>
      <c r="BC3"/>
      <c r="BD3"/>
      <c r="BE3"/>
      <c r="BF3"/>
      <c r="BG3"/>
      <c r="BH3"/>
      <c r="BI3"/>
      <c r="BJ3"/>
      <c r="BK3"/>
      <c r="BL3"/>
      <c r="BM3"/>
      <c r="BN3"/>
      <c r="BO3"/>
      <c r="BP3"/>
      <c r="BQ3"/>
      <c r="BR3"/>
    </row>
    <row r="4" spans="1:70" x14ac:dyDescent="0.2">
      <c r="A4" s="11"/>
      <c r="B4"/>
      <c r="C4"/>
      <c r="D4"/>
      <c r="E4"/>
      <c r="F4"/>
      <c r="G4"/>
      <c r="H4" s="1"/>
      <c r="I4" s="1"/>
      <c r="J4"/>
      <c r="K4" s="6"/>
      <c r="L4" s="1"/>
      <c r="M4" s="1"/>
      <c r="N4" s="1"/>
      <c r="O4" s="16"/>
      <c r="P4"/>
      <c r="Q4"/>
      <c r="R4"/>
      <c r="S4"/>
      <c r="T4"/>
      <c r="U4"/>
      <c r="V4"/>
      <c r="W4"/>
      <c r="X4"/>
      <c r="Y4"/>
      <c r="Z4"/>
      <c r="AA4"/>
      <c r="AB4" s="1"/>
      <c r="AC4"/>
      <c r="AD4" s="1"/>
      <c r="AE4"/>
      <c r="AF4"/>
      <c r="AG4"/>
      <c r="AH4"/>
      <c r="AI4"/>
      <c r="AJ4"/>
      <c r="AK4"/>
      <c r="AL4"/>
      <c r="AM4"/>
      <c r="AN4"/>
      <c r="AO4"/>
      <c r="AP4"/>
      <c r="AQ4"/>
      <c r="AR4" s="1"/>
      <c r="AS4"/>
      <c r="AT4" s="1"/>
      <c r="AU4"/>
      <c r="AV4"/>
      <c r="AW4"/>
      <c r="AX4"/>
      <c r="AY4"/>
      <c r="AZ4"/>
      <c r="BA4"/>
      <c r="BB4"/>
      <c r="BC4"/>
      <c r="BD4"/>
      <c r="BE4"/>
      <c r="BF4"/>
      <c r="BG4"/>
      <c r="BH4"/>
      <c r="BI4"/>
      <c r="BJ4"/>
      <c r="BK4"/>
      <c r="BL4"/>
      <c r="BM4"/>
      <c r="BN4"/>
      <c r="BO4"/>
      <c r="BP4"/>
      <c r="BQ4"/>
      <c r="BR4"/>
    </row>
    <row r="5" spans="1:70" ht="13.5" thickBot="1" x14ac:dyDescent="0.25">
      <c r="A5"/>
      <c r="B5"/>
      <c r="C5"/>
      <c r="D5"/>
      <c r="E5"/>
      <c r="F5"/>
      <c r="G5"/>
      <c r="H5" s="1"/>
      <c r="I5" s="1"/>
      <c r="J5"/>
      <c r="K5" s="6"/>
      <c r="L5" s="1"/>
      <c r="M5" s="1"/>
      <c r="N5" s="1"/>
      <c r="O5" s="16"/>
      <c r="P5"/>
      <c r="Q5"/>
      <c r="R5"/>
      <c r="S5"/>
      <c r="T5"/>
      <c r="U5"/>
      <c r="V5"/>
      <c r="W5"/>
      <c r="X5"/>
      <c r="Y5"/>
      <c r="Z5"/>
      <c r="AA5"/>
      <c r="AB5" s="1"/>
      <c r="AC5"/>
      <c r="AD5" s="1"/>
      <c r="AE5"/>
      <c r="AF5"/>
      <c r="AG5"/>
      <c r="AH5"/>
      <c r="AI5"/>
      <c r="AJ5"/>
      <c r="AK5"/>
      <c r="AL5"/>
      <c r="AM5"/>
      <c r="AN5"/>
      <c r="AO5"/>
      <c r="AP5"/>
      <c r="AQ5"/>
      <c r="AR5" s="1"/>
      <c r="AS5"/>
      <c r="AT5" s="1"/>
      <c r="AU5"/>
      <c r="AV5"/>
      <c r="AW5"/>
      <c r="AX5"/>
      <c r="AY5"/>
      <c r="AZ5"/>
      <c r="BA5"/>
      <c r="BB5"/>
      <c r="BC5"/>
      <c r="BD5"/>
      <c r="BE5"/>
      <c r="BF5"/>
      <c r="BG5"/>
      <c r="BH5"/>
      <c r="BI5"/>
      <c r="BJ5"/>
      <c r="BK5"/>
      <c r="BL5"/>
      <c r="BM5"/>
      <c r="BN5"/>
      <c r="BO5"/>
      <c r="BP5"/>
      <c r="BQ5"/>
      <c r="BR5"/>
    </row>
    <row r="6" spans="1:70" ht="13.5" thickBot="1" x14ac:dyDescent="0.25">
      <c r="A6"/>
      <c r="B6" s="2460" t="str">
        <f>N__1_8_DE_FINALE</f>
        <v>1/8 DE FINALE</v>
      </c>
      <c r="C6" s="2461"/>
      <c r="D6" s="2461"/>
      <c r="E6" s="2461"/>
      <c r="F6" s="2461"/>
      <c r="G6" s="242"/>
      <c r="H6" s="242"/>
      <c r="I6" s="242"/>
      <c r="J6" s="242"/>
      <c r="K6" s="242"/>
      <c r="L6" s="242"/>
      <c r="M6" s="242"/>
      <c r="N6" s="242"/>
      <c r="O6" s="242"/>
      <c r="P6" s="242"/>
      <c r="Q6" s="243"/>
      <c r="R6" s="2463" t="str">
        <f>N_QUART_DE_FINALE</f>
        <v>1/4 DE FINALE</v>
      </c>
      <c r="S6" s="2501"/>
      <c r="T6" s="2501"/>
      <c r="U6" s="2501"/>
      <c r="V6" s="2501"/>
      <c r="W6" s="313"/>
      <c r="X6" s="313"/>
      <c r="Y6" s="313"/>
      <c r="Z6" s="313"/>
      <c r="AA6" s="313"/>
      <c r="AB6" s="313"/>
      <c r="AC6" s="313"/>
      <c r="AD6" s="313"/>
      <c r="AE6" s="313"/>
      <c r="AF6" s="313"/>
      <c r="AG6" s="314"/>
      <c r="AH6" s="2466" t="str">
        <f>N_DEMI_FINALE</f>
        <v>1/2 FINALES</v>
      </c>
      <c r="AI6" s="2503"/>
      <c r="AJ6" s="2503"/>
      <c r="AK6" s="2503"/>
      <c r="AL6" s="2503"/>
      <c r="AM6" s="244"/>
      <c r="AN6" s="306"/>
      <c r="AO6" s="306"/>
      <c r="AP6" s="306"/>
      <c r="AQ6" s="2503"/>
      <c r="AR6" s="2503"/>
      <c r="AS6" s="2503"/>
      <c r="AT6" s="2503"/>
      <c r="AU6" s="2503"/>
      <c r="AV6" s="306"/>
      <c r="AW6" s="245"/>
      <c r="AX6" s="2448" t="str">
        <f>N_FINALE</f>
        <v>FINALE</v>
      </c>
      <c r="AY6" s="2449"/>
      <c r="AZ6" s="2449"/>
      <c r="BA6" s="2449"/>
      <c r="BB6" s="2449"/>
      <c r="BC6" s="246"/>
      <c r="BD6" s="247"/>
      <c r="BE6" s="247"/>
      <c r="BF6" s="247"/>
      <c r="BG6" s="2502"/>
      <c r="BH6" s="2502"/>
      <c r="BI6" s="2502"/>
      <c r="BJ6" s="2502"/>
      <c r="BK6" s="2502"/>
      <c r="BL6" s="247"/>
      <c r="BM6" s="248"/>
      <c r="BN6"/>
      <c r="BO6"/>
      <c r="BP6"/>
      <c r="BQ6"/>
      <c r="BR6"/>
    </row>
    <row r="7" spans="1:70" ht="13.5" thickBot="1" x14ac:dyDescent="0.25">
      <c r="A7"/>
      <c r="B7"/>
      <c r="C7"/>
      <c r="D7"/>
      <c r="E7"/>
      <c r="F7"/>
      <c r="G7"/>
      <c r="H7" s="1"/>
      <c r="I7" s="1"/>
      <c r="J7"/>
      <c r="K7" s="6"/>
      <c r="L7" s="1"/>
      <c r="M7" s="1"/>
      <c r="N7" s="1"/>
      <c r="O7" s="16"/>
      <c r="P7"/>
      <c r="Q7"/>
      <c r="R7"/>
      <c r="S7"/>
      <c r="T7"/>
      <c r="U7"/>
      <c r="V7"/>
      <c r="W7"/>
      <c r="X7"/>
      <c r="Y7"/>
      <c r="Z7"/>
      <c r="AA7"/>
      <c r="AB7" s="1"/>
      <c r="AC7"/>
      <c r="AD7" s="1"/>
      <c r="AE7"/>
      <c r="AF7"/>
      <c r="AG7"/>
      <c r="AH7"/>
      <c r="AI7"/>
      <c r="AJ7"/>
      <c r="AK7"/>
      <c r="AL7"/>
      <c r="AM7"/>
      <c r="AN7"/>
      <c r="AO7"/>
      <c r="AP7"/>
      <c r="AQ7"/>
      <c r="AR7" s="1"/>
      <c r="AS7"/>
      <c r="AT7" s="1"/>
      <c r="AU7"/>
      <c r="AV7"/>
      <c r="AW7"/>
      <c r="AX7"/>
      <c r="AY7"/>
      <c r="AZ7"/>
      <c r="BA7"/>
      <c r="BB7"/>
      <c r="BC7"/>
      <c r="BD7"/>
      <c r="BE7"/>
      <c r="BF7"/>
      <c r="BG7"/>
      <c r="BH7"/>
      <c r="BI7"/>
      <c r="BJ7"/>
      <c r="BK7"/>
      <c r="BL7"/>
      <c r="BM7"/>
      <c r="BN7"/>
      <c r="BO7"/>
      <c r="BP7"/>
      <c r="BQ7"/>
      <c r="BR7"/>
    </row>
    <row r="8" spans="1:70" ht="13.5" thickBot="1" x14ac:dyDescent="0.25">
      <c r="A8"/>
      <c r="B8"/>
      <c r="C8" s="141" t="str">
        <f>N_Matches</f>
        <v>Matches</v>
      </c>
      <c r="D8" s="142" t="str">
        <f>N_Buts</f>
        <v>Buts</v>
      </c>
      <c r="E8" s="142" t="str">
        <f>N_MS</f>
        <v>MS</v>
      </c>
      <c r="F8" s="143" t="str">
        <f>N_Diff</f>
        <v>Diff</v>
      </c>
      <c r="G8" s="7"/>
      <c r="H8" s="3" t="str">
        <f>N_Heure</f>
        <v>Heure</v>
      </c>
      <c r="I8" s="3" t="str">
        <f>N_Table</f>
        <v>Table</v>
      </c>
      <c r="J8" s="3" t="str">
        <f>N_Arbitre</f>
        <v>Arbitre</v>
      </c>
      <c r="K8" s="2490" t="str">
        <f>N_Matches</f>
        <v>Matches</v>
      </c>
      <c r="L8" s="2491"/>
      <c r="M8" s="2491"/>
      <c r="N8" s="2491"/>
      <c r="O8" s="2492"/>
      <c r="P8" s="3" t="str">
        <f>N_MS</f>
        <v>MS</v>
      </c>
      <c r="Q8"/>
      <c r="R8"/>
      <c r="S8"/>
      <c r="T8"/>
      <c r="U8"/>
      <c r="V8"/>
      <c r="W8"/>
      <c r="X8"/>
      <c r="Y8"/>
      <c r="Z8"/>
      <c r="AA8"/>
      <c r="AB8" s="1"/>
      <c r="AC8"/>
      <c r="AD8" s="1"/>
      <c r="AE8"/>
      <c r="AF8"/>
      <c r="AG8"/>
      <c r="AH8"/>
      <c r="AI8"/>
      <c r="AJ8"/>
      <c r="AK8"/>
      <c r="AL8"/>
      <c r="AM8"/>
      <c r="AN8"/>
      <c r="AO8"/>
      <c r="AP8"/>
      <c r="AQ8"/>
      <c r="AR8" s="1"/>
      <c r="AS8"/>
      <c r="AT8" s="1"/>
      <c r="AU8"/>
      <c r="AV8"/>
      <c r="AW8"/>
      <c r="AX8"/>
      <c r="AY8"/>
      <c r="AZ8"/>
      <c r="BA8"/>
      <c r="BB8"/>
      <c r="BC8"/>
      <c r="BD8"/>
      <c r="BE8"/>
      <c r="BF8"/>
      <c r="BG8"/>
      <c r="BH8"/>
      <c r="BI8"/>
      <c r="BJ8"/>
      <c r="BK8"/>
      <c r="BL8"/>
      <c r="BM8"/>
      <c r="BN8"/>
      <c r="BO8"/>
      <c r="BP8"/>
      <c r="BQ8"/>
      <c r="BR8"/>
    </row>
    <row r="9" spans="1:70" ht="13.5" thickBot="1" x14ac:dyDescent="0.25">
      <c r="A9"/>
      <c r="B9" s="128" t="s">
        <v>892</v>
      </c>
      <c r="C9" s="151" t="str">
        <f>IF(OR(,ISNUMBER(L9),ISNUMBER(L10)),Lire_Gain_Matches(L9:L10, N9:N10),"")</f>
        <v/>
      </c>
      <c r="D9" s="152" t="str">
        <f>IF(OR(ISNUMBER(L9),ISNUMBER(L10)),SUM(L9:L10),"")</f>
        <v/>
      </c>
      <c r="E9" s="153"/>
      <c r="F9" s="154" t="str">
        <f>IF(L11="","",L11)</f>
        <v/>
      </c>
      <c r="G9" s="155"/>
      <c r="H9" s="315"/>
      <c r="I9" s="316"/>
      <c r="J9" s="317"/>
      <c r="K9" s="237"/>
      <c r="L9" s="236"/>
      <c r="M9" s="60"/>
      <c r="N9" s="236"/>
      <c r="O9" s="318"/>
      <c r="P9" s="319"/>
      <c r="Q9" s="263" t="str">
        <f>IF(C9="","",CONCATENATE(C9,IF(B9=Q10,IF(C9=C11,CONCATENATE(" [ ",D9," - ",D11," ] ",IF(E10="x",N_res_MS,IF(F9="","",CONCATENATE(" (",N_res_Diff," ",F9," - ",F11,")")))),IF(E10="x",N_res_MS,"")),"")))</f>
        <v/>
      </c>
      <c r="R9"/>
      <c r="S9"/>
      <c r="T9"/>
      <c r="U9"/>
      <c r="V9"/>
      <c r="W9"/>
      <c r="X9"/>
      <c r="Y9"/>
      <c r="Z9"/>
      <c r="AA9"/>
      <c r="AB9" s="1"/>
      <c r="AC9"/>
      <c r="AD9" s="1"/>
      <c r="AE9"/>
      <c r="AF9"/>
      <c r="AG9"/>
      <c r="AH9"/>
      <c r="AI9"/>
      <c r="AJ9"/>
      <c r="AK9"/>
      <c r="AL9"/>
      <c r="AM9"/>
      <c r="AN9"/>
      <c r="AO9"/>
      <c r="AP9"/>
      <c r="AQ9"/>
      <c r="AR9" s="1"/>
      <c r="AS9"/>
      <c r="AT9" s="1"/>
      <c r="AU9"/>
      <c r="AV9"/>
      <c r="AW9"/>
      <c r="AX9"/>
      <c r="AY9"/>
      <c r="AZ9"/>
      <c r="BA9"/>
      <c r="BB9"/>
      <c r="BC9"/>
      <c r="BD9"/>
      <c r="BE9"/>
      <c r="BF9"/>
      <c r="BG9"/>
      <c r="BH9"/>
      <c r="BI9"/>
      <c r="BJ9"/>
      <c r="BK9"/>
      <c r="BL9"/>
      <c r="BM9"/>
      <c r="BN9"/>
      <c r="BO9"/>
      <c r="BP9"/>
      <c r="BQ9"/>
      <c r="BR9"/>
    </row>
    <row r="10" spans="1:70" ht="13.5" thickBot="1" x14ac:dyDescent="0.25">
      <c r="A10"/>
      <c r="B10"/>
      <c r="C10" s="160"/>
      <c r="D10" s="161"/>
      <c r="E10" s="162" t="str">
        <f>IF(ISNA(VLOOKUP("X",P9:P10,1,FALSE)),"","x")</f>
        <v/>
      </c>
      <c r="F10" s="163"/>
      <c r="G10" s="164"/>
      <c r="H10" s="171"/>
      <c r="I10" s="172"/>
      <c r="J10" s="173"/>
      <c r="K10" s="174"/>
      <c r="L10" s="175"/>
      <c r="M10" s="52"/>
      <c r="N10" s="175"/>
      <c r="O10" s="251"/>
      <c r="P10" s="252"/>
      <c r="Q10" s="166" t="str">
        <f>IF(C9="","",IF(C9&gt;C11,B9,IF(C11&gt;C9,B11,IF(D9&gt;D11,B9,IF(D11&gt;D9,B11,IF(F9&gt;F11,B9,IF(F11&gt;F9,B11,mess_erreur_marque)))))))</f>
        <v/>
      </c>
      <c r="R10"/>
      <c r="S10"/>
      <c r="T10"/>
      <c r="U10"/>
      <c r="V10"/>
      <c r="W10"/>
      <c r="X10"/>
      <c r="Y10"/>
      <c r="Z10"/>
      <c r="AA10"/>
      <c r="AB10" s="1"/>
      <c r="AC10"/>
      <c r="AD10" s="1"/>
      <c r="AE10"/>
      <c r="AF10"/>
      <c r="AG10"/>
      <c r="AH10"/>
      <c r="AI10"/>
      <c r="AJ10"/>
      <c r="AK10"/>
      <c r="AL10"/>
      <c r="AM10"/>
      <c r="AN10"/>
      <c r="AO10"/>
      <c r="AP10"/>
      <c r="AQ10"/>
      <c r="AR10" s="1"/>
      <c r="AS10"/>
      <c r="AT10" s="1"/>
      <c r="AU10"/>
      <c r="AV10"/>
      <c r="AW10"/>
      <c r="AX10"/>
      <c r="AY10"/>
      <c r="AZ10"/>
      <c r="BA10"/>
      <c r="BB10"/>
      <c r="BC10"/>
      <c r="BD10"/>
      <c r="BE10"/>
      <c r="BF10"/>
      <c r="BG10"/>
      <c r="BH10"/>
      <c r="BI10"/>
      <c r="BJ10"/>
      <c r="BK10"/>
      <c r="BL10"/>
      <c r="BM10"/>
      <c r="BN10"/>
      <c r="BO10"/>
      <c r="BP10"/>
      <c r="BQ10"/>
      <c r="BR10"/>
    </row>
    <row r="11" spans="1:70" ht="13.5" thickBot="1" x14ac:dyDescent="0.25">
      <c r="A11"/>
      <c r="B11" s="128" t="s">
        <v>893</v>
      </c>
      <c r="C11" s="167" t="str">
        <f>IF(OR(ISNUMBER(L9),ISNUMBER(L10)),Lire_Gain_Matches(N9:N10, L9:L10),"")</f>
        <v/>
      </c>
      <c r="D11" s="168" t="str">
        <f>IF(OR(ISNUMBER(L9),ISNUMBER(L10)),SUM(N9:N10),"")</f>
        <v/>
      </c>
      <c r="E11" s="169"/>
      <c r="F11" s="170" t="str">
        <f>IF(N11="","",N11)</f>
        <v/>
      </c>
      <c r="G11" s="155"/>
      <c r="H11" s="178"/>
      <c r="I11" s="179" t="str">
        <f>N_Différentiel</f>
        <v>Différentiel</v>
      </c>
      <c r="J11" s="239"/>
      <c r="K11" s="240"/>
      <c r="L11" s="182"/>
      <c r="M11" s="66" t="s">
        <v>769</v>
      </c>
      <c r="N11" s="182"/>
      <c r="O11" s="253"/>
      <c r="P11"/>
      <c r="Q11" s="266" t="str">
        <f>IF(C11="","",CONCATENATE(C11,IF(B11=Q10,IF(C9=C11,CONCATENATE(" [ ",D11," - ",D9," ] ",IF(E10="x",N_res_MS,IF(F11="","",CONCATENATE(" (",N_res_Diff," ",F11," - ",F9,")")))),IF(E10="x",N_res_MS,"")),"")))</f>
        <v/>
      </c>
      <c r="R11"/>
      <c r="S11"/>
      <c r="T11"/>
      <c r="U11"/>
      <c r="V11"/>
      <c r="W11"/>
      <c r="X11" s="1"/>
      <c r="Y11" s="1"/>
      <c r="Z11"/>
      <c r="AA11" s="6"/>
      <c r="AB11" s="1"/>
      <c r="AC11" s="1"/>
      <c r="AD11" s="1"/>
      <c r="AE11" s="16"/>
      <c r="AF11"/>
      <c r="AG11"/>
      <c r="AH11"/>
      <c r="AI11"/>
      <c r="AJ11"/>
      <c r="AK11"/>
      <c r="AL11"/>
      <c r="AM11"/>
      <c r="AN11"/>
      <c r="AO11"/>
      <c r="AP11"/>
      <c r="AQ11"/>
      <c r="AR11" s="1"/>
      <c r="AS11"/>
      <c r="AT11" s="1"/>
      <c r="AU11"/>
      <c r="AV11"/>
      <c r="AW11"/>
      <c r="AX11"/>
      <c r="AY11"/>
      <c r="AZ11"/>
      <c r="BA11"/>
      <c r="BB11"/>
      <c r="BC11"/>
      <c r="BD11"/>
      <c r="BE11"/>
      <c r="BF11"/>
      <c r="BG11"/>
      <c r="BH11"/>
      <c r="BI11"/>
      <c r="BJ11"/>
      <c r="BK11"/>
      <c r="BL11"/>
      <c r="BM11"/>
      <c r="BN11"/>
      <c r="BO11"/>
      <c r="BP11"/>
      <c r="BQ11"/>
      <c r="BR11"/>
    </row>
    <row r="12" spans="1:70" ht="13.5" thickBot="1" x14ac:dyDescent="0.25">
      <c r="A12"/>
      <c r="B12"/>
      <c r="C12"/>
      <c r="D12"/>
      <c r="E12"/>
      <c r="F12"/>
      <c r="G12"/>
      <c r="H12" s="1"/>
      <c r="I12" s="1"/>
      <c r="J12"/>
      <c r="K12" s="6"/>
      <c r="L12" s="1"/>
      <c r="M12" s="1"/>
      <c r="N12" s="1"/>
      <c r="O12" s="16"/>
      <c r="P12"/>
      <c r="Q12" s="177"/>
      <c r="R12"/>
      <c r="S12" s="141" t="str">
        <f>N_Matches</f>
        <v>Matches</v>
      </c>
      <c r="T12" s="142" t="str">
        <f>N_Buts</f>
        <v>Buts</v>
      </c>
      <c r="U12" s="142" t="str">
        <f>N_MS</f>
        <v>MS</v>
      </c>
      <c r="V12" s="143" t="str">
        <f>N_Diff</f>
        <v>Diff</v>
      </c>
      <c r="W12" s="7"/>
      <c r="X12" s="3" t="str">
        <f>N_Heure</f>
        <v>Heure</v>
      </c>
      <c r="Y12" s="3" t="str">
        <f>N_Table</f>
        <v>Table</v>
      </c>
      <c r="Z12" s="3" t="str">
        <f>N_Arbitre</f>
        <v>Arbitre</v>
      </c>
      <c r="AA12" s="2490" t="str">
        <f>N_Matches</f>
        <v>Matches</v>
      </c>
      <c r="AB12" s="2491"/>
      <c r="AC12" s="2491"/>
      <c r="AD12" s="2491"/>
      <c r="AE12" s="2492"/>
      <c r="AF12" s="3" t="str">
        <f>N_MS</f>
        <v>MS</v>
      </c>
      <c r="AG12"/>
      <c r="AH12"/>
      <c r="AI12"/>
      <c r="AJ12"/>
      <c r="AK12"/>
      <c r="AL12"/>
      <c r="AM12"/>
      <c r="AN12"/>
      <c r="AO12"/>
      <c r="AP12"/>
      <c r="AQ12"/>
      <c r="AR12" s="1"/>
      <c r="AS12"/>
      <c r="AT12" s="1"/>
      <c r="AU12"/>
      <c r="AV12"/>
      <c r="AW12"/>
      <c r="AX12"/>
      <c r="AY12"/>
      <c r="AZ12"/>
      <c r="BA12"/>
      <c r="BB12"/>
      <c r="BC12"/>
      <c r="BD12"/>
      <c r="BE12"/>
      <c r="BF12"/>
      <c r="BG12"/>
      <c r="BH12"/>
      <c r="BI12"/>
      <c r="BJ12"/>
      <c r="BK12"/>
      <c r="BL12"/>
      <c r="BM12"/>
      <c r="BN12"/>
      <c r="BO12"/>
      <c r="BP12"/>
      <c r="BQ12"/>
      <c r="BR12"/>
    </row>
    <row r="13" spans="1:70" ht="13.5" thickBot="1" x14ac:dyDescent="0.25">
      <c r="A13"/>
      <c r="B13"/>
      <c r="C13"/>
      <c r="D13"/>
      <c r="E13"/>
      <c r="F13"/>
      <c r="G13"/>
      <c r="H13" s="178"/>
      <c r="I13" s="178"/>
      <c r="J13" s="7"/>
      <c r="K13" s="184"/>
      <c r="L13" s="185"/>
      <c r="M13" s="11"/>
      <c r="N13" s="185"/>
      <c r="O13" s="123"/>
      <c r="P13"/>
      <c r="Q13"/>
      <c r="R13" s="132" t="str">
        <f>Q10</f>
        <v/>
      </c>
      <c r="S13" s="151" t="str">
        <f>IF(OR(,ISNUMBER(AB13),ISNUMBER(AB14)),Lire_Gain_Matches(AB13:AB14, AD13:AD14),"")</f>
        <v/>
      </c>
      <c r="T13" s="152" t="str">
        <f>IF(OR(ISNUMBER(AB13),ISNUMBER(AB14)),SUM(AB13:AB14),"")</f>
        <v/>
      </c>
      <c r="U13" s="153"/>
      <c r="V13" s="154" t="str">
        <f>IF(AB15="","",AB15)</f>
        <v/>
      </c>
      <c r="W13" s="155"/>
      <c r="X13" s="315"/>
      <c r="Y13" s="316"/>
      <c r="Z13" s="317"/>
      <c r="AA13" s="237"/>
      <c r="AB13" s="236"/>
      <c r="AC13" s="60"/>
      <c r="AD13" s="236"/>
      <c r="AE13" s="318"/>
      <c r="AF13" s="319"/>
      <c r="AG13" s="263" t="str">
        <f>IF(S13="","",CONCATENATE(S13,IF(R13=AG14,IF(S13=S15,CONCATENATE(" [ ",T13," - ",T15," ] ",IF(U14="x",N_res_MS,IF(V13="","",CONCATENATE(" (",N_res_Diff," ",V13," - ",V15,")")))),IF(U14="x",N_res_MS,"")),"")))</f>
        <v/>
      </c>
      <c r="AH13"/>
      <c r="AI13"/>
      <c r="AJ13"/>
      <c r="AK13"/>
      <c r="AL13"/>
      <c r="AM13"/>
      <c r="AN13" s="8"/>
      <c r="AO13" s="8"/>
      <c r="AP13" s="8"/>
      <c r="AQ13" s="8"/>
      <c r="AR13" s="8"/>
      <c r="AS13" s="8"/>
      <c r="AT13" s="8"/>
      <c r="AU13" s="8"/>
      <c r="AV13" s="8"/>
      <c r="AW13"/>
      <c r="AX13"/>
      <c r="AY13"/>
      <c r="AZ13"/>
      <c r="BA13"/>
      <c r="BB13"/>
      <c r="BC13"/>
      <c r="BD13"/>
      <c r="BE13"/>
      <c r="BF13"/>
      <c r="BG13"/>
      <c r="BH13"/>
      <c r="BI13"/>
      <c r="BJ13"/>
      <c r="BK13"/>
      <c r="BL13"/>
      <c r="BM13"/>
      <c r="BN13"/>
      <c r="BO13"/>
      <c r="BP13"/>
      <c r="BQ13"/>
      <c r="BR13"/>
    </row>
    <row r="14" spans="1:70" ht="13.5" thickBot="1" x14ac:dyDescent="0.25">
      <c r="A14"/>
      <c r="B14"/>
      <c r="C14"/>
      <c r="D14"/>
      <c r="E14"/>
      <c r="F14"/>
      <c r="G14"/>
      <c r="H14" s="1"/>
      <c r="I14" s="1"/>
      <c r="J14"/>
      <c r="K14" s="6"/>
      <c r="L14" s="1"/>
      <c r="M14" s="1"/>
      <c r="N14" s="1"/>
      <c r="O14" s="16"/>
      <c r="P14"/>
      <c r="Q14"/>
      <c r="R14"/>
      <c r="S14" s="160"/>
      <c r="T14" s="161"/>
      <c r="U14" s="162" t="str">
        <f>IF(ISNA(VLOOKUP("X",AF13:AF14,1,FALSE)),"","X")</f>
        <v/>
      </c>
      <c r="V14" s="163"/>
      <c r="W14" s="164"/>
      <c r="X14" s="171"/>
      <c r="Y14" s="172"/>
      <c r="Z14" s="173"/>
      <c r="AA14" s="174"/>
      <c r="AB14" s="175"/>
      <c r="AC14" s="52"/>
      <c r="AD14" s="175"/>
      <c r="AE14" s="251"/>
      <c r="AF14" s="252"/>
      <c r="AG14" s="187" t="str">
        <f>IF(S13="","",IF(S13&gt;S15,R13,IF(S15&gt;S13,R15,IF(T13&gt;T15,R13,IF(T15&gt;T13,R15,IF(V13&gt;V15,R13,IF(V15&gt;V13,R15,mess_erreur_marque)))))))</f>
        <v/>
      </c>
      <c r="AH14"/>
      <c r="AI14"/>
      <c r="AJ14"/>
      <c r="AK14"/>
      <c r="AL14"/>
      <c r="AM14"/>
      <c r="AN14"/>
      <c r="AO14"/>
      <c r="AP14"/>
      <c r="AQ14"/>
      <c r="AR14" s="1"/>
      <c r="AS14"/>
      <c r="AT14" s="1"/>
      <c r="AU14"/>
      <c r="AV14"/>
      <c r="AW14"/>
      <c r="AX14"/>
      <c r="AY14"/>
      <c r="AZ14"/>
      <c r="BA14"/>
      <c r="BB14"/>
      <c r="BC14"/>
      <c r="BD14"/>
      <c r="BE14"/>
      <c r="BF14"/>
      <c r="BG14"/>
      <c r="BH14"/>
      <c r="BI14"/>
      <c r="BJ14"/>
      <c r="BK14"/>
      <c r="BL14"/>
      <c r="BM14"/>
      <c r="BN14"/>
      <c r="BO14"/>
      <c r="BP14"/>
      <c r="BQ14"/>
      <c r="BR14"/>
    </row>
    <row r="15" spans="1:70" ht="13.5" thickBot="1" x14ac:dyDescent="0.25">
      <c r="A15"/>
      <c r="B15"/>
      <c r="C15"/>
      <c r="D15"/>
      <c r="E15"/>
      <c r="F15"/>
      <c r="G15"/>
      <c r="H15" s="1"/>
      <c r="I15" s="1"/>
      <c r="J15"/>
      <c r="K15" s="6"/>
      <c r="L15" s="1"/>
      <c r="M15" s="1"/>
      <c r="N15" s="1"/>
      <c r="O15" s="16"/>
      <c r="P15"/>
      <c r="Q15"/>
      <c r="R15" s="132" t="str">
        <f>Q18</f>
        <v/>
      </c>
      <c r="S15" s="167" t="str">
        <f>IF(OR(ISNUMBER(AB13),ISNUMBER(AB14)),Lire_Gain_Matches(AD13:AD14, AB13:AB14),"")</f>
        <v/>
      </c>
      <c r="T15" s="168" t="str">
        <f>IF(OR(ISNUMBER(AB13),ISNUMBER(AB14)),SUM(AD13:AD14),"")</f>
        <v/>
      </c>
      <c r="U15" s="169"/>
      <c r="V15" s="170" t="str">
        <f>IF(AD15="","",AD15)</f>
        <v/>
      </c>
      <c r="W15" s="155"/>
      <c r="X15" s="178"/>
      <c r="Y15" s="179" t="str">
        <f>N_Différentiel</f>
        <v>Différentiel</v>
      </c>
      <c r="Z15" s="239"/>
      <c r="AA15" s="240"/>
      <c r="AB15" s="182"/>
      <c r="AC15" s="66" t="s">
        <v>769</v>
      </c>
      <c r="AD15" s="182"/>
      <c r="AE15" s="253"/>
      <c r="AF15"/>
      <c r="AG15" s="266" t="str">
        <f>IF(S15="","",CONCATENATE(S15,IF(R15=AG14,IF(S13=S15,CONCATENATE(" [ ",T15," - ",T13," ] ",IF(U14="x",N_res_MS,IF(V15="","",CONCATENATE(" (",N_res_Diff," ",V15," - ",V13,")")))),IF(U14="x",N_res_MS,"")),"")))</f>
        <v/>
      </c>
      <c r="AH15"/>
      <c r="AI15"/>
      <c r="AJ15"/>
      <c r="AK15"/>
      <c r="AL15"/>
      <c r="AM15"/>
      <c r="AN15"/>
      <c r="AO15"/>
      <c r="AP15"/>
      <c r="AQ15"/>
      <c r="AR15" s="1"/>
      <c r="AS15"/>
      <c r="AT15" s="1"/>
      <c r="AU15"/>
      <c r="AV15"/>
      <c r="AW15"/>
      <c r="AX15"/>
      <c r="AY15"/>
      <c r="AZ15"/>
      <c r="BA15"/>
      <c r="BB15"/>
      <c r="BC15"/>
      <c r="BD15"/>
      <c r="BE15"/>
      <c r="BF15"/>
      <c r="BG15"/>
      <c r="BH15"/>
      <c r="BI15"/>
      <c r="BJ15"/>
      <c r="BK15"/>
      <c r="BL15"/>
      <c r="BM15"/>
      <c r="BN15"/>
      <c r="BO15"/>
      <c r="BP15"/>
      <c r="BQ15"/>
      <c r="BR15"/>
    </row>
    <row r="16" spans="1:70" ht="13.5" thickBot="1" x14ac:dyDescent="0.25">
      <c r="A16"/>
      <c r="B16"/>
      <c r="C16" s="141" t="str">
        <f>N_Matches</f>
        <v>Matches</v>
      </c>
      <c r="D16" s="142" t="str">
        <f>N_Buts</f>
        <v>Buts</v>
      </c>
      <c r="E16" s="142" t="str">
        <f>N_MS</f>
        <v>MS</v>
      </c>
      <c r="F16" s="143" t="str">
        <f>N_Diff</f>
        <v>Diff</v>
      </c>
      <c r="G16" s="7"/>
      <c r="H16" s="3" t="str">
        <f>N_Heure</f>
        <v>Heure</v>
      </c>
      <c r="I16" s="3" t="str">
        <f>N_Table</f>
        <v>Table</v>
      </c>
      <c r="J16" s="3" t="str">
        <f>N_Arbitre</f>
        <v>Arbitre</v>
      </c>
      <c r="K16" s="2490" t="str">
        <f>N_Matches</f>
        <v>Matches</v>
      </c>
      <c r="L16" s="2491"/>
      <c r="M16" s="2491"/>
      <c r="N16" s="2491"/>
      <c r="O16" s="2492"/>
      <c r="P16" s="3" t="str">
        <f>N_MS</f>
        <v>MS</v>
      </c>
      <c r="Q16" s="177"/>
      <c r="R16"/>
      <c r="S16"/>
      <c r="T16"/>
      <c r="U16"/>
      <c r="V16"/>
      <c r="W16"/>
      <c r="X16" s="1"/>
      <c r="Y16" s="1"/>
      <c r="Z16"/>
      <c r="AA16" s="6"/>
      <c r="AB16" s="1"/>
      <c r="AC16" s="1"/>
      <c r="AD16" s="1"/>
      <c r="AE16" s="16"/>
      <c r="AF16"/>
      <c r="AG16" s="177"/>
      <c r="AH16"/>
      <c r="AI16"/>
      <c r="AJ16"/>
      <c r="AK16"/>
      <c r="AL16"/>
      <c r="AM16"/>
      <c r="AN16"/>
      <c r="AO16"/>
      <c r="AP16"/>
      <c r="AQ16"/>
      <c r="AR16" s="1"/>
      <c r="AS16"/>
      <c r="AT16" s="1"/>
      <c r="AU16"/>
      <c r="AV16"/>
      <c r="AW16"/>
      <c r="AX16"/>
      <c r="AY16"/>
      <c r="AZ16"/>
      <c r="BA16"/>
      <c r="BB16"/>
      <c r="BC16"/>
      <c r="BD16"/>
      <c r="BE16"/>
      <c r="BF16"/>
      <c r="BG16"/>
      <c r="BH16"/>
      <c r="BI16"/>
      <c r="BJ16"/>
      <c r="BK16"/>
      <c r="BL16"/>
      <c r="BM16"/>
      <c r="BN16"/>
      <c r="BO16"/>
      <c r="BP16"/>
      <c r="BQ16"/>
      <c r="BR16"/>
    </row>
    <row r="17" spans="1:70" ht="13.5" thickBot="1" x14ac:dyDescent="0.25">
      <c r="A17"/>
      <c r="B17" s="128"/>
      <c r="C17" s="151" t="str">
        <f>IF(OR(,ISNUMBER(L17),ISNUMBER(L18)),Lire_Gain_Matches(L17:L18, N17:N18),"")</f>
        <v/>
      </c>
      <c r="D17" s="152" t="str">
        <f>IF(OR(ISNUMBER(L17),ISNUMBER(L18)),SUM(L17:L18),"")</f>
        <v/>
      </c>
      <c r="E17" s="153"/>
      <c r="F17" s="154" t="str">
        <f>IF(L19="","",L19)</f>
        <v/>
      </c>
      <c r="G17" s="155"/>
      <c r="H17" s="315"/>
      <c r="I17" s="316"/>
      <c r="J17" s="317"/>
      <c r="K17" s="237"/>
      <c r="L17" s="236"/>
      <c r="M17" s="60"/>
      <c r="N17" s="236"/>
      <c r="O17" s="318"/>
      <c r="P17" s="319"/>
      <c r="Q17" s="264" t="str">
        <f>IF(C17="","",CONCATENATE(C17,IF(B17=Q18,IF(C17=C19,CONCATENATE(" [ ",D17," - ",D19," ] ",IF(E18="x",N_res_MS,IF(F17="","",CONCATENATE(" (",N_res_Diff," ",F17," - ",F19,")")))),IF(E18="x",N_res_MS,"")),"")))</f>
        <v/>
      </c>
      <c r="R17"/>
      <c r="S17"/>
      <c r="T17"/>
      <c r="U17"/>
      <c r="V17"/>
      <c r="W17"/>
      <c r="X17"/>
      <c r="Y17"/>
      <c r="Z17"/>
      <c r="AA17"/>
      <c r="AB17" s="1"/>
      <c r="AC17"/>
      <c r="AD17" s="1"/>
      <c r="AE17"/>
      <c r="AF17"/>
      <c r="AG17" s="177"/>
      <c r="AH17"/>
      <c r="AI17"/>
      <c r="AJ17"/>
      <c r="AK17"/>
      <c r="AL17"/>
      <c r="AM17"/>
      <c r="AN17"/>
      <c r="AO17"/>
      <c r="AP17"/>
      <c r="AQ17"/>
      <c r="AR17" s="1"/>
      <c r="AS17"/>
      <c r="AT17" s="1"/>
      <c r="AU17"/>
      <c r="AV17"/>
      <c r="AW17"/>
      <c r="AX17"/>
      <c r="AY17"/>
      <c r="AZ17"/>
      <c r="BA17"/>
      <c r="BB17"/>
      <c r="BC17"/>
      <c r="BD17"/>
      <c r="BE17"/>
      <c r="BF17"/>
      <c r="BG17"/>
      <c r="BH17"/>
      <c r="BI17"/>
      <c r="BJ17"/>
      <c r="BK17"/>
      <c r="BL17"/>
      <c r="BM17"/>
      <c r="BN17"/>
      <c r="BO17"/>
      <c r="BP17"/>
      <c r="BQ17"/>
      <c r="BR17"/>
    </row>
    <row r="18" spans="1:70" ht="13.5" thickBot="1" x14ac:dyDescent="0.25">
      <c r="A18"/>
      <c r="B18"/>
      <c r="C18" s="160"/>
      <c r="D18" s="161"/>
      <c r="E18" s="162" t="str">
        <f>IF(ISNA(VLOOKUP("X",P17:P18,1,FALSE)),"","X")</f>
        <v/>
      </c>
      <c r="F18" s="163"/>
      <c r="G18" s="164"/>
      <c r="H18" s="171"/>
      <c r="I18" s="172"/>
      <c r="J18" s="173"/>
      <c r="K18" s="174"/>
      <c r="L18" s="175"/>
      <c r="M18" s="52"/>
      <c r="N18" s="175"/>
      <c r="O18" s="251"/>
      <c r="P18" s="252"/>
      <c r="Q18" s="166" t="str">
        <f>IF(C17="","",IF(C17&gt;C19,B17,IF(C19&gt;C17,B19,IF(D17&gt;D19,B17,IF(D19&gt;D17,B19,IF(F17&gt;F19,B17,IF(F19&gt;F17,B19,mess_erreur_marque)))))))</f>
        <v/>
      </c>
      <c r="R18"/>
      <c r="S18"/>
      <c r="T18"/>
      <c r="U18"/>
      <c r="V18"/>
      <c r="W18"/>
      <c r="X18"/>
      <c r="Y18"/>
      <c r="Z18"/>
      <c r="AA18"/>
      <c r="AB18" s="1"/>
      <c r="AC18"/>
      <c r="AD18" s="1"/>
      <c r="AE18"/>
      <c r="AF18"/>
      <c r="AG18" s="177"/>
      <c r="AH18"/>
      <c r="AI18"/>
      <c r="AJ18"/>
      <c r="AK18"/>
      <c r="AL18"/>
      <c r="AM18"/>
      <c r="AN18"/>
      <c r="AO18"/>
      <c r="AP18"/>
      <c r="AQ18"/>
      <c r="AR18" s="1"/>
      <c r="AS18"/>
      <c r="AT18" s="1"/>
      <c r="AU18"/>
      <c r="AV18"/>
      <c r="AW18"/>
      <c r="AX18"/>
      <c r="AY18"/>
      <c r="AZ18"/>
      <c r="BA18"/>
      <c r="BB18"/>
      <c r="BC18"/>
      <c r="BD18"/>
      <c r="BE18"/>
      <c r="BF18"/>
      <c r="BG18"/>
      <c r="BH18"/>
      <c r="BI18"/>
      <c r="BJ18"/>
      <c r="BK18"/>
      <c r="BL18"/>
      <c r="BM18"/>
      <c r="BN18"/>
      <c r="BO18"/>
      <c r="BP18"/>
      <c r="BQ18"/>
      <c r="BR18"/>
    </row>
    <row r="19" spans="1:70" ht="13.5" thickBot="1" x14ac:dyDescent="0.25">
      <c r="A19"/>
      <c r="B19" s="128"/>
      <c r="C19" s="167" t="str">
        <f>IF(OR(ISNUMBER(L17),ISNUMBER(L18)),Lire_Gain_Matches(N17:N18, L17:L18),"")</f>
        <v/>
      </c>
      <c r="D19" s="168" t="str">
        <f>IF(OR(ISNUMBER(L17),ISNUMBER(L18)),SUM(N17:N18),"")</f>
        <v/>
      </c>
      <c r="E19" s="169"/>
      <c r="F19" s="170" t="str">
        <f>IF(N19="","",N19)</f>
        <v/>
      </c>
      <c r="G19" s="155"/>
      <c r="H19" s="178"/>
      <c r="I19" s="179" t="str">
        <f>N_Différentiel</f>
        <v>Différentiel</v>
      </c>
      <c r="J19" s="239"/>
      <c r="K19" s="240"/>
      <c r="L19" s="182"/>
      <c r="M19" s="66" t="s">
        <v>769</v>
      </c>
      <c r="N19" s="182"/>
      <c r="O19" s="253"/>
      <c r="P19"/>
      <c r="Q19" t="str">
        <f>IF(C19="","",CONCATENATE(C19,IF(B19=Q18,IF(C17=C19,CONCATENATE(" [ ",D19," - ",D17," ] ",IF(E18="x",N_res_MS,IF(F19="","",CONCATENATE(" (",N_res_Diff," ",F19," - ",F17,")")))),IF(E18="x",N_res_MS,"")),"")))</f>
        <v/>
      </c>
      <c r="R19"/>
      <c r="S19"/>
      <c r="T19"/>
      <c r="U19"/>
      <c r="V19"/>
      <c r="W19"/>
      <c r="X19"/>
      <c r="Y19"/>
      <c r="Z19"/>
      <c r="AA19"/>
      <c r="AB19" s="1"/>
      <c r="AC19"/>
      <c r="AD19" s="1"/>
      <c r="AE19"/>
      <c r="AF19"/>
      <c r="AG19" s="177"/>
      <c r="AH19"/>
      <c r="AI19"/>
      <c r="AJ19"/>
      <c r="AK19"/>
      <c r="AL19"/>
      <c r="AM19"/>
      <c r="AN19" s="1"/>
      <c r="AO19" s="1"/>
      <c r="AP19"/>
      <c r="AQ19" s="6"/>
      <c r="AR19" s="1"/>
      <c r="AS19" s="1"/>
      <c r="AT19" s="1"/>
      <c r="AU19" s="16"/>
      <c r="AV19"/>
      <c r="AW19"/>
      <c r="AX19"/>
      <c r="AY19"/>
      <c r="AZ19"/>
      <c r="BA19"/>
      <c r="BB19"/>
      <c r="BC19"/>
      <c r="BD19"/>
      <c r="BE19"/>
      <c r="BF19"/>
      <c r="BG19"/>
      <c r="BH19"/>
      <c r="BI19"/>
      <c r="BJ19"/>
      <c r="BK19"/>
      <c r="BL19"/>
      <c r="BM19"/>
      <c r="BN19"/>
      <c r="BO19"/>
      <c r="BP19"/>
      <c r="BQ19"/>
      <c r="BR19"/>
    </row>
    <row r="20" spans="1:70" ht="13.5" thickBot="1" x14ac:dyDescent="0.25">
      <c r="A20"/>
      <c r="B20"/>
      <c r="C20"/>
      <c r="D20"/>
      <c r="E20"/>
      <c r="F20"/>
      <c r="G20"/>
      <c r="H20" s="1"/>
      <c r="I20" s="1"/>
      <c r="J20"/>
      <c r="K20" s="6"/>
      <c r="L20" s="1"/>
      <c r="M20" s="1"/>
      <c r="N20" s="1"/>
      <c r="O20" s="16"/>
      <c r="P20"/>
      <c r="Q20"/>
      <c r="R20"/>
      <c r="S20"/>
      <c r="T20"/>
      <c r="U20"/>
      <c r="V20"/>
      <c r="W20"/>
      <c r="X20"/>
      <c r="Y20"/>
      <c r="Z20"/>
      <c r="AA20"/>
      <c r="AB20" s="1"/>
      <c r="AC20"/>
      <c r="AD20" s="1"/>
      <c r="AE20"/>
      <c r="AF20"/>
      <c r="AG20" s="177"/>
      <c r="AH20"/>
      <c r="AI20" s="141" t="str">
        <f>N_Matches</f>
        <v>Matches</v>
      </c>
      <c r="AJ20" s="142" t="str">
        <f>N_Buts</f>
        <v>Buts</v>
      </c>
      <c r="AK20" s="142" t="str">
        <f>N_MS</f>
        <v>MS</v>
      </c>
      <c r="AL20" s="143" t="str">
        <f>N_Diff</f>
        <v>Diff</v>
      </c>
      <c r="AM20" s="7"/>
      <c r="AN20" s="3" t="str">
        <f>N_Heure</f>
        <v>Heure</v>
      </c>
      <c r="AO20" s="3" t="str">
        <f>N_Table</f>
        <v>Table</v>
      </c>
      <c r="AP20" s="3" t="str">
        <f>N_Arbitre</f>
        <v>Arbitre</v>
      </c>
      <c r="AQ20" s="2490" t="str">
        <f>N_Matches</f>
        <v>Matches</v>
      </c>
      <c r="AR20" s="2491"/>
      <c r="AS20" s="2491"/>
      <c r="AT20" s="2491"/>
      <c r="AU20" s="2492"/>
      <c r="AV20" s="3" t="str">
        <f>N_MS</f>
        <v>MS</v>
      </c>
      <c r="AW20"/>
      <c r="AX20"/>
      <c r="AY20"/>
      <c r="AZ20"/>
      <c r="BA20"/>
      <c r="BB20"/>
      <c r="BC20"/>
      <c r="BD20"/>
      <c r="BE20"/>
      <c r="BF20"/>
      <c r="BG20"/>
      <c r="BH20"/>
      <c r="BI20"/>
      <c r="BJ20"/>
      <c r="BK20"/>
      <c r="BL20"/>
      <c r="BM20"/>
      <c r="BN20"/>
      <c r="BO20"/>
      <c r="BP20"/>
      <c r="BQ20"/>
      <c r="BR20"/>
    </row>
    <row r="21" spans="1:70" ht="13.5" thickBot="1" x14ac:dyDescent="0.25">
      <c r="A21"/>
      <c r="B21"/>
      <c r="C21"/>
      <c r="D21"/>
      <c r="E21"/>
      <c r="F21"/>
      <c r="G21"/>
      <c r="H21" s="178"/>
      <c r="I21" s="178"/>
      <c r="J21" s="7"/>
      <c r="K21" s="184"/>
      <c r="L21" s="185"/>
      <c r="M21" s="11"/>
      <c r="N21" s="185"/>
      <c r="O21" s="123"/>
      <c r="P21"/>
      <c r="Q21"/>
      <c r="R21"/>
      <c r="S21"/>
      <c r="T21"/>
      <c r="U21"/>
      <c r="V21"/>
      <c r="W21"/>
      <c r="X21"/>
      <c r="Y21"/>
      <c r="Z21"/>
      <c r="AA21"/>
      <c r="AB21" s="1"/>
      <c r="AC21"/>
      <c r="AD21" s="1"/>
      <c r="AE21"/>
      <c r="AF21"/>
      <c r="AG21"/>
      <c r="AH21" s="135" t="str">
        <f>AG14</f>
        <v/>
      </c>
      <c r="AI21" s="151" t="str">
        <f>IF(OR(,ISNUMBER(AR21),ISNUMBER(AR22)),Lire_Gain_Matches(AR21:AR22, AT21:AT22),"")</f>
        <v/>
      </c>
      <c r="AJ21" s="152" t="str">
        <f>IF(OR(ISNUMBER(AR21),ISNUMBER(AR22)),SUM(AR21:AR22),"")</f>
        <v/>
      </c>
      <c r="AK21" s="153"/>
      <c r="AL21" s="154" t="str">
        <f>IF(AR23="","",AR23)</f>
        <v/>
      </c>
      <c r="AM21" s="155"/>
      <c r="AN21" s="315"/>
      <c r="AO21" s="316"/>
      <c r="AP21" s="317"/>
      <c r="AQ21" s="237"/>
      <c r="AR21" s="236"/>
      <c r="AS21" s="60"/>
      <c r="AT21" s="236"/>
      <c r="AU21" s="318"/>
      <c r="AV21" s="319"/>
      <c r="AW21" s="263" t="str">
        <f>IF(AI21="","",CONCATENATE(AI21,IF(AH21=AW22,IF(AI21=AI23,CONCATENATE(" [ ",AJ21," - ",AJ23," ] ",IF(AK22="x",N_res_MS,IF(AL21="","",CONCATENATE(" (",N_res_Diff," ",AL21," - ",AL23,")")))),IF(AK22="x",N_res_MS,"")),"")))</f>
        <v/>
      </c>
      <c r="AX21"/>
      <c r="AY21"/>
      <c r="AZ21"/>
      <c r="BA21"/>
      <c r="BB21"/>
      <c r="BC21"/>
      <c r="BD21"/>
      <c r="BE21"/>
      <c r="BF21"/>
      <c r="BG21"/>
      <c r="BH21"/>
      <c r="BI21"/>
      <c r="BJ21"/>
      <c r="BK21"/>
      <c r="BL21"/>
      <c r="BM21"/>
      <c r="BN21"/>
      <c r="BO21"/>
      <c r="BP21"/>
      <c r="BQ21"/>
      <c r="BR21"/>
    </row>
    <row r="22" spans="1:70" ht="13.5" thickBot="1" x14ac:dyDescent="0.25">
      <c r="A22"/>
      <c r="B22"/>
      <c r="C22"/>
      <c r="D22"/>
      <c r="E22"/>
      <c r="F22"/>
      <c r="G22"/>
      <c r="H22" s="1"/>
      <c r="I22" s="1"/>
      <c r="J22"/>
      <c r="K22" s="6"/>
      <c r="L22" s="1"/>
      <c r="M22" s="1"/>
      <c r="N22" s="1"/>
      <c r="O22" s="16"/>
      <c r="P22"/>
      <c r="Q22"/>
      <c r="R22"/>
      <c r="S22"/>
      <c r="T22"/>
      <c r="U22"/>
      <c r="V22"/>
      <c r="W22"/>
      <c r="X22"/>
      <c r="Y22"/>
      <c r="Z22"/>
      <c r="AA22"/>
      <c r="AB22" s="1"/>
      <c r="AC22"/>
      <c r="AD22" s="1"/>
      <c r="AE22"/>
      <c r="AF22"/>
      <c r="AG22"/>
      <c r="AH22"/>
      <c r="AI22" s="160"/>
      <c r="AJ22" s="161"/>
      <c r="AK22" s="162" t="str">
        <f>IF(ISNA(VLOOKUP("X",AV21:AV22,1,FALSE)),"","X")</f>
        <v/>
      </c>
      <c r="AL22" s="163"/>
      <c r="AM22" s="188"/>
      <c r="AN22" s="171"/>
      <c r="AO22" s="172"/>
      <c r="AP22" s="173"/>
      <c r="AQ22" s="174"/>
      <c r="AR22" s="175"/>
      <c r="AS22" s="52"/>
      <c r="AT22" s="175"/>
      <c r="AU22" s="251"/>
      <c r="AV22" s="252"/>
      <c r="AW22" s="189" t="str">
        <f>IF(AI21="","",IF(AI21&gt;AI23,AH21,IF(AI23&gt;AI21,AH23,IF(AJ21&gt;AJ23,AH21,IF(AJ23&gt;AJ21,AH23,IF(AL21&gt;AL23,AH21,IF(AL23&gt;AL21,AH23,mess_erreur_marque)))))))</f>
        <v/>
      </c>
      <c r="AX22"/>
      <c r="AY22"/>
      <c r="AZ22"/>
      <c r="BA22"/>
      <c r="BB22"/>
      <c r="BC22"/>
      <c r="BD22"/>
      <c r="BE22"/>
      <c r="BF22"/>
      <c r="BG22"/>
      <c r="BH22"/>
      <c r="BI22"/>
      <c r="BJ22"/>
      <c r="BK22"/>
      <c r="BL22"/>
      <c r="BM22"/>
      <c r="BN22"/>
      <c r="BO22"/>
      <c r="BP22"/>
      <c r="BQ22"/>
      <c r="BR22"/>
    </row>
    <row r="23" spans="1:70" ht="13.5" thickBot="1" x14ac:dyDescent="0.25">
      <c r="A23"/>
      <c r="B23"/>
      <c r="C23"/>
      <c r="D23"/>
      <c r="E23"/>
      <c r="F23"/>
      <c r="G23"/>
      <c r="H23" s="1"/>
      <c r="I23" s="1"/>
      <c r="J23"/>
      <c r="K23" s="6"/>
      <c r="L23" s="1"/>
      <c r="M23" s="1"/>
      <c r="N23" s="1"/>
      <c r="O23" s="16"/>
      <c r="P23"/>
      <c r="Q23"/>
      <c r="R23"/>
      <c r="S23"/>
      <c r="T23"/>
      <c r="U23"/>
      <c r="V23"/>
      <c r="W23"/>
      <c r="X23"/>
      <c r="Y23"/>
      <c r="Z23"/>
      <c r="AA23"/>
      <c r="AB23" s="1"/>
      <c r="AC23"/>
      <c r="AD23" s="1"/>
      <c r="AE23"/>
      <c r="AF23"/>
      <c r="AG23"/>
      <c r="AH23" s="135" t="str">
        <f>AG30</f>
        <v/>
      </c>
      <c r="AI23" s="167" t="str">
        <f>IF(OR(ISNUMBER(AR21),ISNUMBER(AR22)),Lire_Gain_Matches(AT21:AT22, AR21:AR22),"")</f>
        <v/>
      </c>
      <c r="AJ23" s="168" t="str">
        <f>IF(OR(ISNUMBER(AR21),ISNUMBER(AR22)),SUM(AT21:AT22),"")</f>
        <v/>
      </c>
      <c r="AK23" s="169"/>
      <c r="AL23" s="170" t="str">
        <f>IF(AT23="","",AT23)</f>
        <v/>
      </c>
      <c r="AM23" s="155"/>
      <c r="AN23" s="178"/>
      <c r="AO23" s="179" t="str">
        <f>N_Différentiel</f>
        <v>Différentiel</v>
      </c>
      <c r="AP23" s="239"/>
      <c r="AQ23" s="240"/>
      <c r="AR23" s="182"/>
      <c r="AS23" s="66" t="s">
        <v>769</v>
      </c>
      <c r="AT23" s="182"/>
      <c r="AU23" s="253"/>
      <c r="AV23"/>
      <c r="AW23" s="266" t="str">
        <f>IF(AI23="","",CONCATENATE(AI23,IF(AH23=AW22,IF(AI21=AI23,CONCATENATE(" [ ",AJ23," - ",AJ21," ] ",IF(AK22="x",N_res_MS,IF(AL23="","",CONCATENATE(" (",N_res_Diff," ",AL23," - ",AL21,")")))),IF(AK22="x",N_res_MS,"")),"")))</f>
        <v/>
      </c>
      <c r="AX23"/>
      <c r="AY23"/>
      <c r="AZ23"/>
      <c r="BA23"/>
      <c r="BB23"/>
      <c r="BC23"/>
      <c r="BD23"/>
      <c r="BE23"/>
      <c r="BF23"/>
      <c r="BG23"/>
      <c r="BH23"/>
      <c r="BI23"/>
      <c r="BJ23"/>
      <c r="BK23"/>
      <c r="BL23"/>
      <c r="BM23"/>
      <c r="BN23"/>
      <c r="BO23"/>
      <c r="BP23"/>
      <c r="BQ23"/>
      <c r="BR23"/>
    </row>
    <row r="24" spans="1:70" ht="13.5" thickBot="1" x14ac:dyDescent="0.25">
      <c r="A24"/>
      <c r="B24"/>
      <c r="C24" s="141" t="str">
        <f>N_Matches</f>
        <v>Matches</v>
      </c>
      <c r="D24" s="142" t="str">
        <f>N_Buts</f>
        <v>Buts</v>
      </c>
      <c r="E24" s="142" t="str">
        <f>N_MS</f>
        <v>MS</v>
      </c>
      <c r="F24" s="143" t="str">
        <f>N_Diff</f>
        <v>Diff</v>
      </c>
      <c r="G24" s="7"/>
      <c r="H24" s="3" t="str">
        <f>N_Heure</f>
        <v>Heure</v>
      </c>
      <c r="I24" s="3" t="str">
        <f>N_Table</f>
        <v>Table</v>
      </c>
      <c r="J24" s="3" t="str">
        <f>N_Arbitre</f>
        <v>Arbitre</v>
      </c>
      <c r="K24" s="2490" t="str">
        <f>N_Matches</f>
        <v>Matches</v>
      </c>
      <c r="L24" s="2491"/>
      <c r="M24" s="2491"/>
      <c r="N24" s="2491"/>
      <c r="O24" s="2492"/>
      <c r="P24" s="3" t="str">
        <f>N_MS</f>
        <v>MS</v>
      </c>
      <c r="Q24"/>
      <c r="R24"/>
      <c r="S24"/>
      <c r="T24"/>
      <c r="U24"/>
      <c r="V24"/>
      <c r="W24"/>
      <c r="X24"/>
      <c r="Y24"/>
      <c r="Z24"/>
      <c r="AA24"/>
      <c r="AB24" s="1"/>
      <c r="AC24"/>
      <c r="AD24" s="1"/>
      <c r="AE24"/>
      <c r="AF24"/>
      <c r="AG24" s="177"/>
      <c r="AH24"/>
      <c r="AI24"/>
      <c r="AJ24"/>
      <c r="AK24"/>
      <c r="AL24"/>
      <c r="AM24"/>
      <c r="AN24" s="1"/>
      <c r="AO24" s="1"/>
      <c r="AP24"/>
      <c r="AQ24" s="6"/>
      <c r="AR24" s="1"/>
      <c r="AS24" s="1"/>
      <c r="AT24" s="1"/>
      <c r="AU24" s="16"/>
      <c r="AV24"/>
      <c r="AW24" s="177"/>
      <c r="AX24"/>
      <c r="AY24"/>
      <c r="AZ24"/>
      <c r="BA24"/>
      <c r="BB24"/>
      <c r="BC24"/>
      <c r="BD24"/>
      <c r="BE24"/>
      <c r="BF24"/>
      <c r="BG24"/>
      <c r="BH24"/>
      <c r="BI24"/>
      <c r="BJ24"/>
      <c r="BK24"/>
      <c r="BL24"/>
      <c r="BM24"/>
      <c r="BN24"/>
      <c r="BO24"/>
      <c r="BP24"/>
      <c r="BQ24"/>
      <c r="BR24"/>
    </row>
    <row r="25" spans="1:70" ht="13.5" thickBot="1" x14ac:dyDescent="0.25">
      <c r="A25"/>
      <c r="B25" s="128"/>
      <c r="C25" s="151" t="str">
        <f>IF(OR(,ISNUMBER(L25),ISNUMBER(L26)),Lire_Gain_Matches(L25:L26, N25:N26),"")</f>
        <v/>
      </c>
      <c r="D25" s="152" t="str">
        <f>IF(OR(ISNUMBER(L25),ISNUMBER(L26)),SUM(L25:L26),"")</f>
        <v/>
      </c>
      <c r="E25" s="153"/>
      <c r="F25" s="154" t="str">
        <f>IF(L27="","",L27)</f>
        <v/>
      </c>
      <c r="G25" s="155"/>
      <c r="H25" s="156"/>
      <c r="I25" s="157"/>
      <c r="J25" s="158"/>
      <c r="K25" s="103"/>
      <c r="L25" s="10"/>
      <c r="M25" s="45"/>
      <c r="N25" s="10"/>
      <c r="O25" s="249"/>
      <c r="P25" s="250"/>
      <c r="Q25" s="263" t="str">
        <f>IF(C25="","",CONCATENATE(C25,IF(B25=Q26,IF(C25=C27,CONCATENATE(" [ ",D25," - ",D27," ] ",IF(E26="x",N_res_MS,IF(F25="","",CONCATENATE(" (",N_res_Diff," ",F25," - ",F27,")")))),IF(E26="x",N_res_MS,"")),"")))</f>
        <v/>
      </c>
      <c r="R25"/>
      <c r="S25"/>
      <c r="T25"/>
      <c r="U25"/>
      <c r="V25"/>
      <c r="W25"/>
      <c r="X25"/>
      <c r="Y25"/>
      <c r="Z25"/>
      <c r="AA25"/>
      <c r="AB25" s="1"/>
      <c r="AC25"/>
      <c r="AD25" s="1"/>
      <c r="AE25"/>
      <c r="AF25"/>
      <c r="AG25" s="177"/>
      <c r="AH25"/>
      <c r="AI25"/>
      <c r="AJ25"/>
      <c r="AK25"/>
      <c r="AL25"/>
      <c r="AM25"/>
      <c r="AN25"/>
      <c r="AO25"/>
      <c r="AP25"/>
      <c r="AQ25"/>
      <c r="AR25" s="1"/>
      <c r="AS25"/>
      <c r="AT25" s="1"/>
      <c r="AU25"/>
      <c r="AV25"/>
      <c r="AW25" s="177"/>
      <c r="AX25"/>
      <c r="AY25"/>
      <c r="AZ25"/>
      <c r="BA25"/>
      <c r="BB25"/>
      <c r="BC25"/>
      <c r="BD25"/>
      <c r="BE25"/>
      <c r="BF25"/>
      <c r="BG25"/>
      <c r="BH25"/>
      <c r="BI25"/>
      <c r="BJ25"/>
      <c r="BK25"/>
      <c r="BL25"/>
      <c r="BM25"/>
      <c r="BN25"/>
      <c r="BO25"/>
      <c r="BP25"/>
      <c r="BQ25"/>
      <c r="BR25"/>
    </row>
    <row r="26" spans="1:70" ht="13.5" thickBot="1" x14ac:dyDescent="0.25">
      <c r="A26"/>
      <c r="B26"/>
      <c r="C26" s="160"/>
      <c r="D26" s="161"/>
      <c r="E26" s="162" t="str">
        <f>IF(ISNA(VLOOKUP("X",P25:P26,1,FALSE)),"","X")</f>
        <v/>
      </c>
      <c r="F26" s="163"/>
      <c r="G26" s="164"/>
      <c r="H26" s="171"/>
      <c r="I26" s="172"/>
      <c r="J26" s="173"/>
      <c r="K26" s="174"/>
      <c r="L26" s="175"/>
      <c r="M26" s="52"/>
      <c r="N26" s="175"/>
      <c r="O26" s="251"/>
      <c r="P26" s="252"/>
      <c r="Q26" s="166" t="str">
        <f>IF(C25="","",IF(C25&gt;C27,B25,IF(C27&gt;C25,B27,IF(D25&gt;D27,B25,IF(D27&gt;D25,B27,IF(F25&gt;F27,B25,IF(F27&gt;F25,B27,mess_erreur_marque)))))))</f>
        <v/>
      </c>
      <c r="R26"/>
      <c r="S26"/>
      <c r="T26"/>
      <c r="U26"/>
      <c r="V26"/>
      <c r="W26"/>
      <c r="X26"/>
      <c r="Y26"/>
      <c r="Z26"/>
      <c r="AA26"/>
      <c r="AB26" s="1"/>
      <c r="AC26"/>
      <c r="AD26" s="1"/>
      <c r="AE26"/>
      <c r="AF26"/>
      <c r="AG26" s="177"/>
      <c r="AH26"/>
      <c r="AI26"/>
      <c r="AJ26"/>
      <c r="AK26"/>
      <c r="AL26"/>
      <c r="AM26"/>
      <c r="AN26"/>
      <c r="AO26"/>
      <c r="AP26"/>
      <c r="AQ26"/>
      <c r="AR26" s="1"/>
      <c r="AS26"/>
      <c r="AT26" s="1"/>
      <c r="AU26"/>
      <c r="AV26"/>
      <c r="AW26" s="177"/>
      <c r="AX26"/>
      <c r="AY26"/>
      <c r="AZ26"/>
      <c r="BA26"/>
      <c r="BB26"/>
      <c r="BC26"/>
      <c r="BD26"/>
      <c r="BE26"/>
      <c r="BF26"/>
      <c r="BG26"/>
      <c r="BH26"/>
      <c r="BI26"/>
      <c r="BJ26"/>
      <c r="BK26"/>
      <c r="BL26"/>
      <c r="BM26"/>
      <c r="BN26"/>
      <c r="BO26"/>
      <c r="BP26"/>
      <c r="BQ26"/>
      <c r="BR26"/>
    </row>
    <row r="27" spans="1:70" ht="13.5" thickBot="1" x14ac:dyDescent="0.25">
      <c r="A27"/>
      <c r="B27" s="128"/>
      <c r="C27" s="167" t="str">
        <f>IF(OR(ISNUMBER(L25),ISNUMBER(L26)),Lire_Gain_Matches(N25:N26, L25:L26),"")</f>
        <v/>
      </c>
      <c r="D27" s="168" t="str">
        <f>IF(OR(ISNUMBER(L25),ISNUMBER(L26)),SUM(N25:N26),"")</f>
        <v/>
      </c>
      <c r="E27" s="169"/>
      <c r="F27" s="170" t="str">
        <f>IF(N27="","",N27)</f>
        <v/>
      </c>
      <c r="G27" s="155"/>
      <c r="H27" s="178"/>
      <c r="I27" s="179" t="str">
        <f>N_Différentiel</f>
        <v>Différentiel</v>
      </c>
      <c r="J27" s="239"/>
      <c r="K27" s="240"/>
      <c r="L27" s="182"/>
      <c r="M27" s="66" t="s">
        <v>769</v>
      </c>
      <c r="N27" s="182"/>
      <c r="O27" s="253"/>
      <c r="P27"/>
      <c r="Q27" s="266" t="str">
        <f>IF(C27="","",CONCATENATE(C27,IF(B27=Q26,IF(C25=C27,CONCATENATE(" [ ",D27," - ",D25," ] ",IF(E26="x",N_res_MS,IF(F27="","",CONCATENATE(" (",N_res_Diff," ",F27," - ",F25,")")))),IF(E26="x",N_res_MS,"")),"")))</f>
        <v/>
      </c>
      <c r="R27"/>
      <c r="S27"/>
      <c r="T27"/>
      <c r="U27"/>
      <c r="V27"/>
      <c r="W27"/>
      <c r="X27" s="1"/>
      <c r="Y27" s="1"/>
      <c r="Z27"/>
      <c r="AA27" s="6"/>
      <c r="AB27" s="1"/>
      <c r="AC27" s="1"/>
      <c r="AD27" s="1"/>
      <c r="AE27" s="16"/>
      <c r="AF27"/>
      <c r="AG27" s="177"/>
      <c r="AH27"/>
      <c r="AI27"/>
      <c r="AJ27"/>
      <c r="AK27"/>
      <c r="AL27"/>
      <c r="AM27"/>
      <c r="AN27"/>
      <c r="AO27"/>
      <c r="AP27"/>
      <c r="AQ27"/>
      <c r="AR27" s="1"/>
      <c r="AS27"/>
      <c r="AT27" s="1"/>
      <c r="AU27"/>
      <c r="AV27"/>
      <c r="AW27" s="177"/>
      <c r="AX27"/>
      <c r="AY27"/>
      <c r="AZ27"/>
      <c r="BA27"/>
      <c r="BB27"/>
      <c r="BC27"/>
      <c r="BD27"/>
      <c r="BE27"/>
      <c r="BF27"/>
      <c r="BG27"/>
      <c r="BH27"/>
      <c r="BI27"/>
      <c r="BJ27"/>
      <c r="BK27"/>
      <c r="BL27"/>
      <c r="BM27"/>
      <c r="BN27"/>
      <c r="BO27"/>
      <c r="BP27"/>
      <c r="BQ27"/>
      <c r="BR27"/>
    </row>
    <row r="28" spans="1:70" ht="13.5" thickBot="1" x14ac:dyDescent="0.25">
      <c r="A28"/>
      <c r="B28"/>
      <c r="C28"/>
      <c r="D28"/>
      <c r="E28"/>
      <c r="F28"/>
      <c r="G28"/>
      <c r="H28" s="1"/>
      <c r="I28" s="1"/>
      <c r="J28"/>
      <c r="K28" s="6"/>
      <c r="L28" s="1"/>
      <c r="M28" s="1"/>
      <c r="N28" s="1"/>
      <c r="O28" s="16"/>
      <c r="P28"/>
      <c r="Q28" s="177"/>
      <c r="R28"/>
      <c r="S28" s="141" t="str">
        <f>N_Matches</f>
        <v>Matches</v>
      </c>
      <c r="T28" s="142" t="str">
        <f>N_Buts</f>
        <v>Buts</v>
      </c>
      <c r="U28" s="142" t="str">
        <f>N_MS</f>
        <v>MS</v>
      </c>
      <c r="V28" s="143" t="str">
        <f>N_Diff</f>
        <v>Diff</v>
      </c>
      <c r="W28" s="7"/>
      <c r="X28" s="3" t="str">
        <f>N_Heure</f>
        <v>Heure</v>
      </c>
      <c r="Y28" s="3" t="str">
        <f>N_Table</f>
        <v>Table</v>
      </c>
      <c r="Z28" s="3" t="str">
        <f>N_Arbitre</f>
        <v>Arbitre</v>
      </c>
      <c r="AA28" s="2490" t="str">
        <f>N_Matches</f>
        <v>Matches</v>
      </c>
      <c r="AB28" s="2491"/>
      <c r="AC28" s="2491"/>
      <c r="AD28" s="2491"/>
      <c r="AE28" s="2492"/>
      <c r="AF28" s="3" t="str">
        <f>N_MS</f>
        <v>MS</v>
      </c>
      <c r="AG28" s="177"/>
      <c r="AH28"/>
      <c r="AI28"/>
      <c r="AJ28"/>
      <c r="AK28"/>
      <c r="AL28"/>
      <c r="AM28"/>
      <c r="AN28"/>
      <c r="AO28"/>
      <c r="AP28"/>
      <c r="AQ28"/>
      <c r="AR28" s="1"/>
      <c r="AS28"/>
      <c r="AT28" s="1"/>
      <c r="AU28"/>
      <c r="AV28"/>
      <c r="AW28" s="177"/>
      <c r="AX28"/>
      <c r="AY28"/>
      <c r="AZ28"/>
      <c r="BA28"/>
      <c r="BB28"/>
      <c r="BC28"/>
      <c r="BD28"/>
      <c r="BE28"/>
      <c r="BF28"/>
      <c r="BG28"/>
      <c r="BH28"/>
      <c r="BI28"/>
      <c r="BJ28"/>
      <c r="BK28"/>
      <c r="BL28"/>
      <c r="BM28"/>
      <c r="BN28"/>
      <c r="BO28"/>
      <c r="BP28"/>
      <c r="BQ28"/>
      <c r="BR28"/>
    </row>
    <row r="29" spans="1:70" ht="13.5" thickBot="1" x14ac:dyDescent="0.25">
      <c r="A29"/>
      <c r="B29"/>
      <c r="C29"/>
      <c r="D29"/>
      <c r="E29"/>
      <c r="F29"/>
      <c r="G29"/>
      <c r="H29" s="178"/>
      <c r="I29" s="178"/>
      <c r="J29" s="7"/>
      <c r="K29" s="184"/>
      <c r="L29" s="185"/>
      <c r="M29" s="11"/>
      <c r="N29" s="185"/>
      <c r="O29" s="123"/>
      <c r="P29"/>
      <c r="Q29"/>
      <c r="R29" s="132" t="str">
        <f>Q26</f>
        <v/>
      </c>
      <c r="S29" s="151" t="str">
        <f>IF(OR(,ISNUMBER(AB29),ISNUMBER(AB30)),Lire_Gain_Matches(AB29:AB30, AD29:AD30),"")</f>
        <v/>
      </c>
      <c r="T29" s="152" t="str">
        <f>IF(OR(ISNUMBER(AB29),ISNUMBER(AB30)),SUM(AB29:AB30),"")</f>
        <v/>
      </c>
      <c r="U29" s="153"/>
      <c r="V29" s="154" t="str">
        <f>IF(AB31="","",AB31)</f>
        <v/>
      </c>
      <c r="W29" s="155"/>
      <c r="X29" s="315"/>
      <c r="Y29" s="316"/>
      <c r="Z29" s="317"/>
      <c r="AA29" s="237"/>
      <c r="AB29" s="236"/>
      <c r="AC29" s="60"/>
      <c r="AD29" s="236"/>
      <c r="AE29" s="318"/>
      <c r="AF29" s="319"/>
      <c r="AG29" s="264" t="str">
        <f>IF(S29="","",CONCATENATE(S29,IF(R29=AG30,IF(S29=S31,CONCATENATE(" [ ",T29," - ",T31," ] ",IF(U30="x",N_res_MS,IF(V29="","",CONCATENATE(" (",N_res_Diff," ",V29," - ",V31,")")))),IF(U30="x",N_res_MS,"")),"")))</f>
        <v/>
      </c>
      <c r="AH29"/>
      <c r="AI29"/>
      <c r="AJ29"/>
      <c r="AK29"/>
      <c r="AL29"/>
      <c r="AM29"/>
      <c r="AN29" s="8"/>
      <c r="AO29" s="8"/>
      <c r="AP29" s="8"/>
      <c r="AQ29" s="8"/>
      <c r="AR29" s="8"/>
      <c r="AS29" s="8"/>
      <c r="AT29" s="8"/>
      <c r="AU29" s="8"/>
      <c r="AV29" s="8"/>
      <c r="AW29" s="177"/>
      <c r="AX29"/>
      <c r="AY29"/>
      <c r="AZ29"/>
      <c r="BA29"/>
      <c r="BB29"/>
      <c r="BC29"/>
      <c r="BD29"/>
      <c r="BE29"/>
      <c r="BF29"/>
      <c r="BG29"/>
      <c r="BH29"/>
      <c r="BI29"/>
      <c r="BJ29"/>
      <c r="BK29"/>
      <c r="BL29"/>
      <c r="BM29"/>
      <c r="BN29"/>
      <c r="BO29"/>
      <c r="BP29"/>
      <c r="BQ29"/>
      <c r="BR29"/>
    </row>
    <row r="30" spans="1:70" ht="13.5" thickBot="1" x14ac:dyDescent="0.25">
      <c r="A30"/>
      <c r="B30"/>
      <c r="C30"/>
      <c r="D30"/>
      <c r="E30"/>
      <c r="F30"/>
      <c r="G30"/>
      <c r="H30" s="1"/>
      <c r="I30" s="1"/>
      <c r="J30"/>
      <c r="K30" s="6"/>
      <c r="L30" s="1"/>
      <c r="M30" s="1"/>
      <c r="N30" s="1"/>
      <c r="O30" s="16"/>
      <c r="P30"/>
      <c r="Q30"/>
      <c r="R30"/>
      <c r="S30" s="160"/>
      <c r="T30" s="161"/>
      <c r="U30" s="162" t="str">
        <f>IF(ISNA(VLOOKUP("X",AF29:AF30,1,FALSE)),"","X")</f>
        <v/>
      </c>
      <c r="V30" s="163"/>
      <c r="W30" s="186"/>
      <c r="X30" s="171"/>
      <c r="Y30" s="172"/>
      <c r="Z30" s="173"/>
      <c r="AA30" s="174"/>
      <c r="AB30" s="175"/>
      <c r="AC30" s="52"/>
      <c r="AD30" s="175"/>
      <c r="AE30" s="251"/>
      <c r="AF30" s="252"/>
      <c r="AG30" s="187" t="str">
        <f>IF(S29="","",IF(S29&gt;S31,R29,IF(S31&gt;S29,R31,IF(T29&gt;T31,R29,IF(T31&gt;T29,R31,IF(V29&gt;V31,R29,IF(V31&gt;V29,R31,mess_erreur_marque)))))))</f>
        <v/>
      </c>
      <c r="AH30"/>
      <c r="AI30"/>
      <c r="AJ30"/>
      <c r="AK30"/>
      <c r="AL30"/>
      <c r="AM30"/>
      <c r="AN30"/>
      <c r="AO30"/>
      <c r="AP30"/>
      <c r="AQ30"/>
      <c r="AR30" s="1"/>
      <c r="AS30"/>
      <c r="AT30" s="1"/>
      <c r="AU30"/>
      <c r="AV30"/>
      <c r="AW30" s="177"/>
      <c r="AX30"/>
      <c r="AY30"/>
      <c r="AZ30"/>
      <c r="BA30"/>
      <c r="BB30"/>
      <c r="BC30"/>
      <c r="BD30"/>
      <c r="BE30"/>
      <c r="BF30"/>
      <c r="BG30"/>
      <c r="BH30"/>
      <c r="BI30"/>
      <c r="BJ30"/>
      <c r="BK30"/>
      <c r="BL30"/>
      <c r="BM30"/>
      <c r="BN30"/>
      <c r="BO30"/>
      <c r="BP30"/>
      <c r="BQ30"/>
      <c r="BR30"/>
    </row>
    <row r="31" spans="1:70" ht="13.5" thickBot="1" x14ac:dyDescent="0.25">
      <c r="A31"/>
      <c r="B31"/>
      <c r="C31"/>
      <c r="D31"/>
      <c r="E31"/>
      <c r="F31"/>
      <c r="G31"/>
      <c r="H31" s="1"/>
      <c r="I31" s="1"/>
      <c r="J31"/>
      <c r="K31" s="6"/>
      <c r="L31" s="1"/>
      <c r="M31" s="1"/>
      <c r="N31" s="1"/>
      <c r="O31" s="16"/>
      <c r="P31"/>
      <c r="Q31"/>
      <c r="R31" s="132" t="str">
        <f>Q34</f>
        <v/>
      </c>
      <c r="S31" s="167" t="str">
        <f>IF(OR(ISNUMBER(AB29),ISNUMBER(AB30)),Lire_Gain_Matches(AD29:AD30, AB29:AB30),"")</f>
        <v/>
      </c>
      <c r="T31" s="168" t="str">
        <f>IF(OR(ISNUMBER(AB29),ISNUMBER(AB30)),SUM(AD29:AD30),"")</f>
        <v/>
      </c>
      <c r="U31" s="169"/>
      <c r="V31" s="170" t="str">
        <f>IF(AD31="","",AD31)</f>
        <v/>
      </c>
      <c r="W31" s="155"/>
      <c r="X31" s="178"/>
      <c r="Y31" s="179" t="str">
        <f>N_Différentiel</f>
        <v>Différentiel</v>
      </c>
      <c r="Z31" s="239"/>
      <c r="AA31" s="240"/>
      <c r="AB31" s="182"/>
      <c r="AC31" s="66" t="s">
        <v>769</v>
      </c>
      <c r="AD31" s="182"/>
      <c r="AE31" s="253"/>
      <c r="AF31"/>
      <c r="AG31" t="str">
        <f>IF(S31="","",CONCATENATE(S31,IF(R31=AG30,IF(S29=S31,CONCATENATE(" [ ",T31," - ",T29," ] ",IF(U30="x",N_res_MS,IF(V31="","",CONCATENATE(" (",N_res_Diff," ",V31," - ",V29,")")))),IF(U30="x",N_res_MS,"")),"")))</f>
        <v/>
      </c>
      <c r="AH31"/>
      <c r="AI31"/>
      <c r="AJ31"/>
      <c r="AK31"/>
      <c r="AL31"/>
      <c r="AM31"/>
      <c r="AN31"/>
      <c r="AO31"/>
      <c r="AP31"/>
      <c r="AQ31"/>
      <c r="AR31" s="1"/>
      <c r="AS31"/>
      <c r="AT31" s="1"/>
      <c r="AU31"/>
      <c r="AV31"/>
      <c r="AW31" s="177"/>
      <c r="AX31"/>
      <c r="AY31"/>
      <c r="AZ31"/>
      <c r="BA31"/>
      <c r="BB31"/>
      <c r="BC31"/>
      <c r="BD31"/>
      <c r="BE31"/>
      <c r="BF31"/>
      <c r="BG31"/>
      <c r="BH31"/>
      <c r="BI31"/>
      <c r="BJ31"/>
      <c r="BK31"/>
      <c r="BL31"/>
      <c r="BM31"/>
      <c r="BN31"/>
      <c r="BO31"/>
      <c r="BP31"/>
      <c r="BQ31"/>
      <c r="BR31"/>
    </row>
    <row r="32" spans="1:70" ht="13.5" thickBot="1" x14ac:dyDescent="0.25">
      <c r="A32"/>
      <c r="B32"/>
      <c r="C32" s="141" t="str">
        <f>N_Matches</f>
        <v>Matches</v>
      </c>
      <c r="D32" s="142" t="str">
        <f>N_Buts</f>
        <v>Buts</v>
      </c>
      <c r="E32" s="142" t="str">
        <f>N_MS</f>
        <v>MS</v>
      </c>
      <c r="F32" s="143" t="str">
        <f>N_Diff</f>
        <v>Diff</v>
      </c>
      <c r="G32" s="7"/>
      <c r="H32" s="3" t="str">
        <f>N_Heure</f>
        <v>Heure</v>
      </c>
      <c r="I32" s="3" t="str">
        <f>N_Table</f>
        <v>Table</v>
      </c>
      <c r="J32" s="3" t="str">
        <f>N_Arbitre</f>
        <v>Arbitre</v>
      </c>
      <c r="K32" s="2490" t="str">
        <f>N_Matches</f>
        <v>Matches</v>
      </c>
      <c r="L32" s="2491"/>
      <c r="M32" s="2491"/>
      <c r="N32" s="2491"/>
      <c r="O32" s="2492"/>
      <c r="P32" s="3" t="str">
        <f>N_MS</f>
        <v>MS</v>
      </c>
      <c r="Q32" s="177"/>
      <c r="R32"/>
      <c r="S32"/>
      <c r="T32"/>
      <c r="U32"/>
      <c r="V32"/>
      <c r="W32"/>
      <c r="X32" s="1"/>
      <c r="Y32" s="1"/>
      <c r="Z32"/>
      <c r="AA32" s="6"/>
      <c r="AB32" s="1"/>
      <c r="AC32" s="1"/>
      <c r="AD32" s="1"/>
      <c r="AE32" s="16"/>
      <c r="AF32"/>
      <c r="AG32"/>
      <c r="AH32"/>
      <c r="AI32"/>
      <c r="AJ32"/>
      <c r="AK32"/>
      <c r="AL32"/>
      <c r="AM32"/>
      <c r="AN32"/>
      <c r="AO32"/>
      <c r="AP32"/>
      <c r="AQ32"/>
      <c r="AR32" s="1"/>
      <c r="AS32"/>
      <c r="AT32" s="1"/>
      <c r="AU32"/>
      <c r="AV32"/>
      <c r="AW32" s="177"/>
      <c r="AX32"/>
      <c r="AY32"/>
      <c r="AZ32"/>
      <c r="BA32"/>
      <c r="BB32"/>
      <c r="BC32"/>
      <c r="BD32"/>
      <c r="BE32"/>
      <c r="BF32"/>
      <c r="BG32"/>
      <c r="BH32"/>
      <c r="BI32"/>
      <c r="BJ32"/>
      <c r="BK32"/>
      <c r="BL32"/>
      <c r="BM32"/>
      <c r="BN32"/>
      <c r="BO32"/>
      <c r="BP32"/>
      <c r="BQ32"/>
      <c r="BR32"/>
    </row>
    <row r="33" spans="1:70" ht="13.5" thickBot="1" x14ac:dyDescent="0.25">
      <c r="A33"/>
      <c r="B33" s="128"/>
      <c r="C33" s="151" t="str">
        <f>IF(OR(,ISNUMBER(L33),ISNUMBER(L34)),Lire_Gain_Matches(L33:L34, N33:N34),"")</f>
        <v/>
      </c>
      <c r="D33" s="152" t="str">
        <f>IF(OR(ISNUMBER(L33),ISNUMBER(L34)),SUM(L33:L34),"")</f>
        <v/>
      </c>
      <c r="E33" s="153"/>
      <c r="F33" s="154" t="str">
        <f>IF(L35="","",L35)</f>
        <v/>
      </c>
      <c r="G33" s="155"/>
      <c r="H33" s="156"/>
      <c r="I33" s="157"/>
      <c r="J33" s="158"/>
      <c r="K33" s="103"/>
      <c r="L33" s="10"/>
      <c r="M33" s="45"/>
      <c r="N33" s="10"/>
      <c r="O33" s="249"/>
      <c r="P33" s="250"/>
      <c r="Q33" s="264" t="str">
        <f>IF(C33="","",CONCATENATE(C33,IF(B33=Q34,IF(C33=C35,CONCATENATE(" [ ",D33," - ",D35," ] ",IF(E34="x",N_res_MS,IF(F33="","",CONCATENATE(" (",N_res_Diff," ",F33," - ",F35,")")))),IF(E34="x",N_res_MS,"")),"")))</f>
        <v/>
      </c>
      <c r="R33"/>
      <c r="S33"/>
      <c r="T33"/>
      <c r="U33"/>
      <c r="V33"/>
      <c r="W33"/>
      <c r="X33"/>
      <c r="Y33"/>
      <c r="Z33"/>
      <c r="AA33"/>
      <c r="AB33" s="1"/>
      <c r="AC33"/>
      <c r="AD33" s="1"/>
      <c r="AE33"/>
      <c r="AF33"/>
      <c r="AG33"/>
      <c r="AH33"/>
      <c r="AI33"/>
      <c r="AJ33"/>
      <c r="AK33"/>
      <c r="AL33"/>
      <c r="AM33"/>
      <c r="AN33"/>
      <c r="AO33"/>
      <c r="AP33"/>
      <c r="AQ33"/>
      <c r="AR33" s="1"/>
      <c r="AS33"/>
      <c r="AT33" s="1"/>
      <c r="AU33"/>
      <c r="AV33"/>
      <c r="AW33" s="177"/>
      <c r="AX33"/>
      <c r="AY33"/>
      <c r="AZ33"/>
      <c r="BA33"/>
      <c r="BB33"/>
      <c r="BC33"/>
      <c r="BD33"/>
      <c r="BE33"/>
      <c r="BF33"/>
      <c r="BG33"/>
      <c r="BH33"/>
      <c r="BI33"/>
      <c r="BJ33"/>
      <c r="BK33"/>
      <c r="BL33"/>
      <c r="BM33"/>
      <c r="BN33"/>
      <c r="BO33"/>
      <c r="BP33"/>
      <c r="BQ33"/>
      <c r="BR33"/>
    </row>
    <row r="34" spans="1:70" ht="13.5" thickBot="1" x14ac:dyDescent="0.25">
      <c r="A34"/>
      <c r="B34"/>
      <c r="C34" s="160"/>
      <c r="D34" s="161"/>
      <c r="E34" s="162" t="str">
        <f>IF(ISNA(VLOOKUP("X",P33:P34,1,FALSE)),"","X")</f>
        <v/>
      </c>
      <c r="F34" s="163"/>
      <c r="G34" s="164"/>
      <c r="H34" s="171"/>
      <c r="I34" s="172"/>
      <c r="J34" s="173"/>
      <c r="K34" s="174"/>
      <c r="L34" s="175"/>
      <c r="M34" s="52"/>
      <c r="N34" s="175"/>
      <c r="O34" s="251"/>
      <c r="P34" s="252"/>
      <c r="Q34" s="166" t="str">
        <f>IF(C33="","",IF(C33&gt;C35,B33,IF(C35&gt;C33,B35,IF(D33&gt;D35,B33,IF(D35&gt;D33,B35,IF(F33&gt;F35,B33,IF(F35&gt;F33,B35,mess_erreur_marque)))))))</f>
        <v/>
      </c>
      <c r="R34"/>
      <c r="S34"/>
      <c r="T34"/>
      <c r="U34"/>
      <c r="V34"/>
      <c r="W34"/>
      <c r="X34"/>
      <c r="Y34"/>
      <c r="Z34"/>
      <c r="AA34"/>
      <c r="AB34" s="1"/>
      <c r="AC34"/>
      <c r="AD34" s="1"/>
      <c r="AE34"/>
      <c r="AF34"/>
      <c r="AG34"/>
      <c r="AH34"/>
      <c r="AI34"/>
      <c r="AJ34"/>
      <c r="AK34"/>
      <c r="AL34"/>
      <c r="AM34"/>
      <c r="AN34"/>
      <c r="AO34"/>
      <c r="AP34"/>
      <c r="AQ34"/>
      <c r="AR34" s="1"/>
      <c r="AS34"/>
      <c r="AT34" s="1"/>
      <c r="AU34"/>
      <c r="AV34"/>
      <c r="AW34" s="177"/>
      <c r="AX34"/>
      <c r="AY34"/>
      <c r="AZ34"/>
      <c r="BA34"/>
      <c r="BB34"/>
      <c r="BC34"/>
      <c r="BD34" s="1"/>
      <c r="BE34" s="1"/>
      <c r="BF34"/>
      <c r="BG34" s="6"/>
      <c r="BH34" s="1"/>
      <c r="BI34" s="1"/>
      <c r="BJ34" s="1"/>
      <c r="BK34" s="16"/>
      <c r="BL34"/>
      <c r="BM34"/>
      <c r="BN34"/>
      <c r="BO34"/>
      <c r="BP34"/>
      <c r="BQ34"/>
      <c r="BR34"/>
    </row>
    <row r="35" spans="1:70" ht="13.5" thickBot="1" x14ac:dyDescent="0.25">
      <c r="A35"/>
      <c r="B35" s="128"/>
      <c r="C35" s="167" t="str">
        <f>IF(OR(ISNUMBER(L33),ISNUMBER(L34)),Lire_Gain_Matches(N33:N34, L33:L34),"")</f>
        <v/>
      </c>
      <c r="D35" s="168" t="str">
        <f>IF(OR(ISNUMBER(L33),ISNUMBER(L34)),SUM(N33:N34),"")</f>
        <v/>
      </c>
      <c r="E35" s="169"/>
      <c r="F35" s="170" t="str">
        <f>IF(N35="","",N35)</f>
        <v/>
      </c>
      <c r="G35" s="155"/>
      <c r="H35" s="178"/>
      <c r="I35" s="179" t="str">
        <f>N_Différentiel</f>
        <v>Différentiel</v>
      </c>
      <c r="J35" s="239"/>
      <c r="K35" s="240"/>
      <c r="L35" s="182"/>
      <c r="M35" s="66" t="s">
        <v>769</v>
      </c>
      <c r="N35" s="182"/>
      <c r="O35" s="253"/>
      <c r="P35"/>
      <c r="Q35" t="str">
        <f>IF(C35="","",CONCATENATE(C35,IF(B35=Q34,IF(C33=C35,CONCATENATE(" [ ",D35," - ",D33," ] ",IF(E34="x",N_res_MS,IF(F35="","",CONCATENATE(" (",N_res_Diff," ",F35," - ",F33,")")))),IF(E34="x",N_res_MS,"")),"")))</f>
        <v/>
      </c>
      <c r="R35"/>
      <c r="S35"/>
      <c r="T35"/>
      <c r="U35"/>
      <c r="V35"/>
      <c r="W35"/>
      <c r="X35"/>
      <c r="Y35"/>
      <c r="Z35"/>
      <c r="AA35"/>
      <c r="AB35" s="1"/>
      <c r="AC35"/>
      <c r="AD35" s="1"/>
      <c r="AE35"/>
      <c r="AF35"/>
      <c r="AG35"/>
      <c r="AH35"/>
      <c r="AI35"/>
      <c r="AJ35"/>
      <c r="AK35"/>
      <c r="AL35"/>
      <c r="AM35"/>
      <c r="AN35"/>
      <c r="AO35"/>
      <c r="AP35"/>
      <c r="AQ35"/>
      <c r="AR35" s="1"/>
      <c r="AS35"/>
      <c r="AT35" s="1"/>
      <c r="AU35"/>
      <c r="AV35"/>
      <c r="AW35" s="177"/>
      <c r="AX35"/>
      <c r="AY35" s="141" t="str">
        <f>N_Matches</f>
        <v>Matches</v>
      </c>
      <c r="AZ35" s="142" t="str">
        <f>N_Buts</f>
        <v>Buts</v>
      </c>
      <c r="BA35" s="142" t="str">
        <f>N_MS</f>
        <v>MS</v>
      </c>
      <c r="BB35" s="143" t="str">
        <f>N_Diff</f>
        <v>Diff</v>
      </c>
      <c r="BC35" s="7"/>
      <c r="BD35" s="3" t="str">
        <f>N_Heure</f>
        <v>Heure</v>
      </c>
      <c r="BE35" s="3" t="str">
        <f>N_Table</f>
        <v>Table</v>
      </c>
      <c r="BF35" s="3" t="str">
        <f>N_Arbitre</f>
        <v>Arbitre</v>
      </c>
      <c r="BG35" s="2490" t="str">
        <f>N_Matches</f>
        <v>Matches</v>
      </c>
      <c r="BH35" s="2491"/>
      <c r="BI35" s="2491"/>
      <c r="BJ35" s="2491"/>
      <c r="BK35" s="2492"/>
      <c r="BL35" s="3" t="str">
        <f>N_MS</f>
        <v>MS</v>
      </c>
      <c r="BM35"/>
      <c r="BN35"/>
      <c r="BO35"/>
      <c r="BP35"/>
      <c r="BQ35"/>
      <c r="BR35"/>
    </row>
    <row r="36" spans="1:70" ht="13.5" thickBot="1" x14ac:dyDescent="0.25">
      <c r="A36"/>
      <c r="B36"/>
      <c r="C36"/>
      <c r="D36"/>
      <c r="E36"/>
      <c r="F36"/>
      <c r="G36"/>
      <c r="H36" s="1"/>
      <c r="I36" s="1"/>
      <c r="J36"/>
      <c r="K36" s="6"/>
      <c r="L36" s="1"/>
      <c r="M36" s="1"/>
      <c r="N36" s="1"/>
      <c r="O36" s="16"/>
      <c r="P36"/>
      <c r="Q36"/>
      <c r="R36"/>
      <c r="S36"/>
      <c r="T36"/>
      <c r="U36"/>
      <c r="V36"/>
      <c r="W36"/>
      <c r="X36"/>
      <c r="Y36"/>
      <c r="Z36"/>
      <c r="AA36"/>
      <c r="AB36" s="1"/>
      <c r="AC36"/>
      <c r="AD36" s="1"/>
      <c r="AE36"/>
      <c r="AF36"/>
      <c r="AG36"/>
      <c r="AH36"/>
      <c r="AI36"/>
      <c r="AJ36"/>
      <c r="AK36"/>
      <c r="AL36"/>
      <c r="AM36"/>
      <c r="AN36"/>
      <c r="AO36"/>
      <c r="AP36"/>
      <c r="AQ36"/>
      <c r="AR36" s="1"/>
      <c r="AS36"/>
      <c r="AT36" s="1"/>
      <c r="AU36"/>
      <c r="AV36"/>
      <c r="AW36"/>
      <c r="AX36" s="137" t="str">
        <f>AW22</f>
        <v/>
      </c>
      <c r="AY36" s="151" t="str">
        <f>IF(OR(,ISNUMBER(BH36),ISNUMBER(BH37)),Lire_Gain_Matches(BH36:BH37, BJ36:BJ37),"")</f>
        <v/>
      </c>
      <c r="AZ36" s="152" t="str">
        <f>IF(OR(ISNUMBER(BH36),ISNUMBER(BH37)),SUM(BH36:BH37),"")</f>
        <v/>
      </c>
      <c r="BA36" s="153"/>
      <c r="BB36" s="154" t="str">
        <f>IF(BH38="","",BH38)</f>
        <v/>
      </c>
      <c r="BC36" s="155"/>
      <c r="BD36" s="315"/>
      <c r="BE36" s="316"/>
      <c r="BF36" s="317"/>
      <c r="BG36" s="237"/>
      <c r="BH36" s="236"/>
      <c r="BI36" s="60"/>
      <c r="BJ36" s="236"/>
      <c r="BK36" s="318"/>
      <c r="BL36" s="319"/>
      <c r="BM36" s="263" t="str">
        <f>IF(AY36="","",CONCATENATE(AY36,IF(AX36=BM37,IF(AY36=AY38,CONCATENATE(" [ ",AZ36," - ",AZ38," ] ",IF(BA37="x",N_res_MS,IF(BB36="","",CONCATENATE(" (",N_res_Diff," ",BB36," - ",BB38,")")))),IF(BA37="x",N_res_MS,"")),"")))</f>
        <v/>
      </c>
      <c r="BN36"/>
      <c r="BO36"/>
      <c r="BP36"/>
      <c r="BQ36"/>
      <c r="BR36"/>
    </row>
    <row r="37" spans="1:70" ht="18.75" thickBot="1" x14ac:dyDescent="0.3">
      <c r="A37"/>
      <c r="B37"/>
      <c r="C37"/>
      <c r="D37"/>
      <c r="E37"/>
      <c r="F37"/>
      <c r="G37"/>
      <c r="H37" s="1"/>
      <c r="I37" s="1"/>
      <c r="J37"/>
      <c r="K37" s="6"/>
      <c r="L37" s="1"/>
      <c r="M37" s="1"/>
      <c r="N37" s="1"/>
      <c r="O37" s="16"/>
      <c r="P37"/>
      <c r="Q37"/>
      <c r="R37"/>
      <c r="S37"/>
      <c r="T37"/>
      <c r="U37"/>
      <c r="V37"/>
      <c r="W37"/>
      <c r="X37"/>
      <c r="Y37"/>
      <c r="Z37"/>
      <c r="AA37"/>
      <c r="AB37" s="1"/>
      <c r="AC37"/>
      <c r="AD37" s="1"/>
      <c r="AE37"/>
      <c r="AF37"/>
      <c r="AG37"/>
      <c r="AH37"/>
      <c r="AI37"/>
      <c r="AJ37"/>
      <c r="AK37"/>
      <c r="AL37"/>
      <c r="AM37"/>
      <c r="AN37"/>
      <c r="AO37"/>
      <c r="AP37"/>
      <c r="AQ37"/>
      <c r="AR37" s="1"/>
      <c r="AS37"/>
      <c r="AT37" s="1"/>
      <c r="AU37"/>
      <c r="AV37"/>
      <c r="AW37"/>
      <c r="AX37"/>
      <c r="AY37" s="160"/>
      <c r="AZ37" s="161"/>
      <c r="BA37" s="162" t="str">
        <f>IF(ISNA(VLOOKUP("X",BL36:BL37,1,FALSE)),"","X")</f>
        <v/>
      </c>
      <c r="BB37" s="163"/>
      <c r="BC37" s="190"/>
      <c r="BD37" s="171"/>
      <c r="BE37" s="172"/>
      <c r="BF37" s="173"/>
      <c r="BG37" s="174"/>
      <c r="BH37" s="175"/>
      <c r="BI37" s="52"/>
      <c r="BJ37" s="175"/>
      <c r="BK37" s="251"/>
      <c r="BL37" s="252"/>
      <c r="BM37" s="191" t="str">
        <f>IF(AY36="","",IF(AY36&gt;AY38,AX36,IF(AY38&gt;AY36,AX38,IF(AZ36&gt;AZ38,AX36,IF(AZ38&gt;AZ36,AX38,IF(BB36&gt;BB38,AX36,IF(BB38&gt;BB36,AX38,mess_erreur_marque)))))))</f>
        <v/>
      </c>
      <c r="BN37"/>
      <c r="BO37"/>
      <c r="BP37"/>
      <c r="BQ37"/>
      <c r="BR37"/>
    </row>
    <row r="38" spans="1:70" ht="13.5" thickBot="1" x14ac:dyDescent="0.25">
      <c r="A38"/>
      <c r="B38"/>
      <c r="C38"/>
      <c r="D38"/>
      <c r="E38"/>
      <c r="F38"/>
      <c r="G38"/>
      <c r="H38" s="1"/>
      <c r="I38" s="1"/>
      <c r="J38"/>
      <c r="K38" s="6"/>
      <c r="L38" s="1"/>
      <c r="M38" s="1"/>
      <c r="N38" s="1"/>
      <c r="O38" s="16"/>
      <c r="P38"/>
      <c r="Q38"/>
      <c r="R38"/>
      <c r="S38"/>
      <c r="T38"/>
      <c r="U38"/>
      <c r="V38"/>
      <c r="W38"/>
      <c r="X38"/>
      <c r="Y38"/>
      <c r="Z38"/>
      <c r="AA38"/>
      <c r="AB38" s="1"/>
      <c r="AC38"/>
      <c r="AD38" s="1"/>
      <c r="AE38"/>
      <c r="AF38"/>
      <c r="AG38"/>
      <c r="AH38"/>
      <c r="AI38"/>
      <c r="AJ38"/>
      <c r="AK38"/>
      <c r="AL38"/>
      <c r="AM38"/>
      <c r="AN38"/>
      <c r="AO38"/>
      <c r="AP38"/>
      <c r="AQ38"/>
      <c r="AR38" s="1"/>
      <c r="AS38"/>
      <c r="AT38" s="1"/>
      <c r="AU38"/>
      <c r="AV38"/>
      <c r="AW38"/>
      <c r="AX38" s="137" t="str">
        <f>AW53</f>
        <v/>
      </c>
      <c r="AY38" s="167" t="str">
        <f>IF(OR(ISNUMBER(BH36),ISNUMBER(BH37)),Lire_Gain_Matches(BJ36:BJ37, BH36:BH37),"")</f>
        <v/>
      </c>
      <c r="AZ38" s="168" t="str">
        <f>IF(OR(ISNUMBER(BH36),ISNUMBER(BH37)),SUM(BJ36:BJ37),"")</f>
        <v/>
      </c>
      <c r="BA38" s="169"/>
      <c r="BB38" s="170" t="str">
        <f>IF(BJ38="","",BJ38)</f>
        <v/>
      </c>
      <c r="BC38" s="155"/>
      <c r="BD38" s="178"/>
      <c r="BE38" s="179" t="str">
        <f>N_Différentiel</f>
        <v>Différentiel</v>
      </c>
      <c r="BF38" s="239"/>
      <c r="BG38" s="240"/>
      <c r="BH38" s="182"/>
      <c r="BI38" s="66" t="s">
        <v>769</v>
      </c>
      <c r="BJ38" s="182"/>
      <c r="BK38" s="253"/>
      <c r="BL38"/>
      <c r="BM38" t="str">
        <f>IF(AY38="","",CONCATENATE(AY38,IF(AX38=BM37,IF(AY36=AY38,CONCATENATE(" [ ",AZ38," - ",AZ36," ] ",IF(BA37="x",N_res_MS,IF(BB38="","",CONCATENATE(" (",N_res_Diff," ",BB38," - ",BB36,")")))),IF(BA37="x",N_res_MS,"")),"")))</f>
        <v/>
      </c>
      <c r="BN38"/>
      <c r="BO38"/>
      <c r="BP38"/>
      <c r="BQ38"/>
      <c r="BR38"/>
    </row>
    <row r="39" spans="1:70" ht="13.5" thickBot="1" x14ac:dyDescent="0.25">
      <c r="A39"/>
      <c r="B39"/>
      <c r="C39" s="141" t="str">
        <f>N_Matches</f>
        <v>Matches</v>
      </c>
      <c r="D39" s="142" t="str">
        <f>N_Buts</f>
        <v>Buts</v>
      </c>
      <c r="E39" s="142" t="str">
        <f>N_MS</f>
        <v>MS</v>
      </c>
      <c r="F39" s="143" t="str">
        <f>N_Diff</f>
        <v>Diff</v>
      </c>
      <c r="G39" s="7"/>
      <c r="H39" s="3" t="str">
        <f>N_Heure</f>
        <v>Heure</v>
      </c>
      <c r="I39" s="3" t="str">
        <f>N_Table</f>
        <v>Table</v>
      </c>
      <c r="J39" s="3" t="str">
        <f>N_Arbitre</f>
        <v>Arbitre</v>
      </c>
      <c r="K39" s="2490" t="str">
        <f>N_Matches</f>
        <v>Matches</v>
      </c>
      <c r="L39" s="2491"/>
      <c r="M39" s="2491"/>
      <c r="N39" s="2491"/>
      <c r="O39" s="2492"/>
      <c r="P39" s="3" t="str">
        <f>N_MS</f>
        <v>MS</v>
      </c>
      <c r="Q39"/>
      <c r="R39"/>
      <c r="S39"/>
      <c r="T39"/>
      <c r="U39"/>
      <c r="V39"/>
      <c r="W39"/>
      <c r="X39"/>
      <c r="Y39"/>
      <c r="Z39"/>
      <c r="AA39"/>
      <c r="AB39" s="1"/>
      <c r="AC39"/>
      <c r="AD39" s="1"/>
      <c r="AE39"/>
      <c r="AF39"/>
      <c r="AG39"/>
      <c r="AH39"/>
      <c r="AI39"/>
      <c r="AJ39"/>
      <c r="AK39"/>
      <c r="AL39"/>
      <c r="AM39"/>
      <c r="AN39"/>
      <c r="AO39"/>
      <c r="AP39"/>
      <c r="AQ39"/>
      <c r="AR39" s="1"/>
      <c r="AS39"/>
      <c r="AT39" s="1"/>
      <c r="AU39"/>
      <c r="AV39"/>
      <c r="AW39" s="177"/>
      <c r="AX39"/>
      <c r="AY39"/>
      <c r="AZ39"/>
      <c r="BA39"/>
      <c r="BB39"/>
      <c r="BC39"/>
      <c r="BD39" s="1"/>
      <c r="BE39" s="1"/>
      <c r="BF39"/>
      <c r="BG39" s="6"/>
      <c r="BH39" s="1"/>
      <c r="BI39" s="1"/>
      <c r="BJ39" s="1"/>
      <c r="BK39" s="16"/>
      <c r="BL39"/>
      <c r="BM39"/>
      <c r="BN39"/>
      <c r="BO39"/>
      <c r="BP39"/>
      <c r="BQ39"/>
      <c r="BR39"/>
    </row>
    <row r="40" spans="1:70" ht="13.5" thickBot="1" x14ac:dyDescent="0.25">
      <c r="A40"/>
      <c r="B40" s="128"/>
      <c r="C40" s="151" t="str">
        <f>IF(OR(,ISNUMBER(L40),ISNUMBER(L41)),Lire_Gain_Matches(L40:L41, N40:N41),"")</f>
        <v/>
      </c>
      <c r="D40" s="152" t="str">
        <f>IF(OR(ISNUMBER(L40),ISNUMBER(L41)),SUM(L40:L41),"")</f>
        <v/>
      </c>
      <c r="E40" s="153"/>
      <c r="F40" s="154" t="str">
        <f>IF(L42="","",L42)</f>
        <v/>
      </c>
      <c r="G40" s="155"/>
      <c r="H40" s="156"/>
      <c r="I40" s="157"/>
      <c r="J40" s="158"/>
      <c r="K40" s="103"/>
      <c r="L40" s="10"/>
      <c r="M40" s="45"/>
      <c r="N40" s="10"/>
      <c r="O40" s="249"/>
      <c r="P40" s="250"/>
      <c r="Q40" s="263" t="str">
        <f>IF(C40="","",CONCATENATE(C40,IF(B40=Q41,IF(C40=C42,CONCATENATE(" [ ",D40," - ",D42," ] ",IF(E41="x",N_res_MS,IF(F40="","",CONCATENATE(" (",N_res_Diff," ",F40," - ",F42,")")))),IF(E41="x",N_res_MS,"")),"")))</f>
        <v/>
      </c>
      <c r="R40"/>
      <c r="S40"/>
      <c r="T40"/>
      <c r="U40"/>
      <c r="V40"/>
      <c r="W40"/>
      <c r="X40"/>
      <c r="Y40"/>
      <c r="Z40"/>
      <c r="AA40"/>
      <c r="AB40" s="1"/>
      <c r="AC40"/>
      <c r="AD40" s="1"/>
      <c r="AE40"/>
      <c r="AF40"/>
      <c r="AG40"/>
      <c r="AH40"/>
      <c r="AI40"/>
      <c r="AJ40"/>
      <c r="AK40"/>
      <c r="AL40"/>
      <c r="AM40"/>
      <c r="AN40"/>
      <c r="AO40"/>
      <c r="AP40"/>
      <c r="AQ40"/>
      <c r="AR40" s="1"/>
      <c r="AS40"/>
      <c r="AT40" s="1"/>
      <c r="AU40"/>
      <c r="AV40"/>
      <c r="AW40" s="177"/>
      <c r="AX40"/>
      <c r="AY40"/>
      <c r="AZ40"/>
      <c r="BA40"/>
      <c r="BB40"/>
      <c r="BC40"/>
      <c r="BD40"/>
      <c r="BE40"/>
      <c r="BF40"/>
      <c r="BG40"/>
      <c r="BH40"/>
      <c r="BI40"/>
      <c r="BJ40"/>
      <c r="BK40"/>
      <c r="BL40"/>
      <c r="BM40"/>
      <c r="BN40"/>
      <c r="BO40"/>
      <c r="BP40"/>
      <c r="BQ40"/>
      <c r="BR40"/>
    </row>
    <row r="41" spans="1:70" ht="16.5" thickBot="1" x14ac:dyDescent="0.3">
      <c r="A41"/>
      <c r="B41"/>
      <c r="C41" s="160"/>
      <c r="D41" s="161"/>
      <c r="E41" s="162" t="str">
        <f>IF(ISNA(VLOOKUP("X",P40:P41,1,FALSE)),"","X")</f>
        <v/>
      </c>
      <c r="F41" s="163"/>
      <c r="G41" s="164"/>
      <c r="H41" s="171"/>
      <c r="I41" s="172"/>
      <c r="J41" s="173"/>
      <c r="K41" s="174"/>
      <c r="L41" s="175"/>
      <c r="M41" s="52"/>
      <c r="N41" s="175"/>
      <c r="O41" s="251"/>
      <c r="P41" s="252"/>
      <c r="Q41" s="166" t="str">
        <f>IF(C40="","",IF(C40&gt;C42,B40,IF(C42&gt;C40,B42,IF(D40&gt;D42,B40,IF(D42&gt;D40,B42,IF(F40&gt;F42,B40,IF(F42&gt;F40,B42,mess_erreur_marque)))))))</f>
        <v/>
      </c>
      <c r="R41"/>
      <c r="S41"/>
      <c r="T41"/>
      <c r="U41"/>
      <c r="V41"/>
      <c r="W41"/>
      <c r="X41"/>
      <c r="Y41"/>
      <c r="Z41"/>
      <c r="AA41"/>
      <c r="AB41" s="1"/>
      <c r="AC41"/>
      <c r="AD41" s="1"/>
      <c r="AE41"/>
      <c r="AF41"/>
      <c r="AG41"/>
      <c r="AH41"/>
      <c r="AI41"/>
      <c r="AJ41"/>
      <c r="AK41"/>
      <c r="AL41"/>
      <c r="AM41"/>
      <c r="AN41"/>
      <c r="AO41"/>
      <c r="AP41"/>
      <c r="AQ41"/>
      <c r="AR41" s="1"/>
      <c r="AS41"/>
      <c r="AT41" s="1"/>
      <c r="AU41"/>
      <c r="AV41"/>
      <c r="AW41" s="177"/>
      <c r="AX41"/>
      <c r="AY41"/>
      <c r="AZ41"/>
      <c r="BA41"/>
      <c r="BB41"/>
      <c r="BC41"/>
      <c r="BD41"/>
      <c r="BE41"/>
      <c r="BF41"/>
      <c r="BG41"/>
      <c r="BH41"/>
      <c r="BI41"/>
      <c r="BJ41"/>
      <c r="BK41"/>
      <c r="BL41"/>
      <c r="BM41"/>
      <c r="BN41" s="2487" t="s">
        <v>875</v>
      </c>
      <c r="BO41" s="2488"/>
      <c r="BP41" s="2488"/>
      <c r="BQ41" s="2489"/>
      <c r="BR41"/>
    </row>
    <row r="42" spans="1:70" ht="13.5" thickBot="1" x14ac:dyDescent="0.25">
      <c r="A42"/>
      <c r="B42" s="128"/>
      <c r="C42" s="167" t="str">
        <f>IF(OR(ISNUMBER(L40),ISNUMBER(L41)),Lire_Gain_Matches(N40:N41, L40:L41),"")</f>
        <v/>
      </c>
      <c r="D42" s="168" t="str">
        <f>IF(OR(ISNUMBER(L40),ISNUMBER(L41)),SUM(N40:N41),"")</f>
        <v/>
      </c>
      <c r="E42" s="169"/>
      <c r="F42" s="170" t="str">
        <f>IF(N42="","",N42)</f>
        <v/>
      </c>
      <c r="G42" s="155"/>
      <c r="H42" s="178"/>
      <c r="I42" s="179" t="str">
        <f>N_Différentiel</f>
        <v>Différentiel</v>
      </c>
      <c r="J42" s="239"/>
      <c r="K42" s="240"/>
      <c r="L42" s="182"/>
      <c r="M42" s="66" t="s">
        <v>769</v>
      </c>
      <c r="N42" s="182"/>
      <c r="O42" s="253"/>
      <c r="P42"/>
      <c r="Q42" s="266" t="str">
        <f>IF(C42="","",CONCATENATE(C42,IF(B42=Q41,IF(C40=C42,CONCATENATE(" [ ",D42," - ",D40," ] ",IF(E41="x",N_res_MS,IF(F42="","",CONCATENATE(" (",N_res_Diff," ",F42," - ",F40,")")))),IF(E41="x",N_res_MS,"")),"")))</f>
        <v/>
      </c>
      <c r="R42"/>
      <c r="S42"/>
      <c r="T42"/>
      <c r="U42"/>
      <c r="V42"/>
      <c r="W42"/>
      <c r="X42" s="1"/>
      <c r="Y42" s="1"/>
      <c r="Z42"/>
      <c r="AA42" s="6"/>
      <c r="AB42" s="1"/>
      <c r="AC42" s="1"/>
      <c r="AD42" s="1"/>
      <c r="AE42" s="16"/>
      <c r="AF42"/>
      <c r="AG42"/>
      <c r="AH42"/>
      <c r="AI42"/>
      <c r="AJ42"/>
      <c r="AK42"/>
      <c r="AL42"/>
      <c r="AM42"/>
      <c r="AN42"/>
      <c r="AO42"/>
      <c r="AP42"/>
      <c r="AQ42"/>
      <c r="AR42" s="1"/>
      <c r="AS42"/>
      <c r="AT42" s="1"/>
      <c r="AU42"/>
      <c r="AV42"/>
      <c r="AW42" s="177"/>
      <c r="AX42"/>
      <c r="AY42"/>
      <c r="AZ42"/>
      <c r="BA42"/>
      <c r="BB42"/>
      <c r="BC42"/>
      <c r="BD42"/>
      <c r="BE42"/>
      <c r="BF42"/>
      <c r="BG42"/>
      <c r="BH42"/>
      <c r="BI42"/>
      <c r="BJ42"/>
      <c r="BK42"/>
      <c r="BL42"/>
      <c r="BM42"/>
      <c r="BN42"/>
      <c r="BO42"/>
      <c r="BP42"/>
      <c r="BQ42"/>
      <c r="BR42"/>
    </row>
    <row r="43" spans="1:70" ht="13.5" thickBot="1" x14ac:dyDescent="0.25">
      <c r="A43"/>
      <c r="B43"/>
      <c r="C43"/>
      <c r="D43"/>
      <c r="E43"/>
      <c r="F43"/>
      <c r="G43"/>
      <c r="H43" s="1"/>
      <c r="I43" s="1"/>
      <c r="J43"/>
      <c r="K43" s="6"/>
      <c r="L43" s="1"/>
      <c r="M43" s="1"/>
      <c r="N43" s="1"/>
      <c r="O43" s="16"/>
      <c r="P43"/>
      <c r="Q43" s="177"/>
      <c r="R43"/>
      <c r="S43" s="141" t="str">
        <f>N_Matches</f>
        <v>Matches</v>
      </c>
      <c r="T43" s="142" t="str">
        <f>N_Buts</f>
        <v>Buts</v>
      </c>
      <c r="U43" s="142" t="str">
        <f>N_MS</f>
        <v>MS</v>
      </c>
      <c r="V43" s="143" t="str">
        <f>N_Diff</f>
        <v>Diff</v>
      </c>
      <c r="W43" s="7"/>
      <c r="X43" s="3" t="str">
        <f>N_Heure</f>
        <v>Heure</v>
      </c>
      <c r="Y43" s="3" t="str">
        <f>N_Table</f>
        <v>Table</v>
      </c>
      <c r="Z43" s="3" t="str">
        <f>N_Arbitre</f>
        <v>Arbitre</v>
      </c>
      <c r="AA43" s="2490" t="str">
        <f>N_Matches</f>
        <v>Matches</v>
      </c>
      <c r="AB43" s="2491"/>
      <c r="AC43" s="2491"/>
      <c r="AD43" s="2491"/>
      <c r="AE43" s="2492"/>
      <c r="AF43" s="3" t="str">
        <f>N_MS</f>
        <v>MS</v>
      </c>
      <c r="AG43"/>
      <c r="AH43"/>
      <c r="AI43"/>
      <c r="AJ43"/>
      <c r="AK43"/>
      <c r="AL43"/>
      <c r="AM43"/>
      <c r="AN43"/>
      <c r="AO43"/>
      <c r="AP43"/>
      <c r="AQ43"/>
      <c r="AR43" s="1"/>
      <c r="AS43"/>
      <c r="AT43" s="1"/>
      <c r="AU43"/>
      <c r="AV43"/>
      <c r="AW43" s="177"/>
      <c r="AX43"/>
      <c r="AY43"/>
      <c r="AZ43"/>
      <c r="BA43"/>
      <c r="BB43"/>
      <c r="BC43"/>
      <c r="BD43"/>
      <c r="BE43"/>
      <c r="BF43"/>
      <c r="BG43"/>
      <c r="BH43"/>
      <c r="BI43"/>
      <c r="BJ43"/>
      <c r="BK43"/>
      <c r="BL43"/>
      <c r="BM43"/>
      <c r="BN43" s="8"/>
      <c r="BO43" s="8" t="str">
        <f>BM37</f>
        <v/>
      </c>
      <c r="BP43" s="8"/>
      <c r="BQ43" s="8"/>
      <c r="BR43"/>
    </row>
    <row r="44" spans="1:70" ht="13.5" thickBot="1" x14ac:dyDescent="0.25">
      <c r="A44"/>
      <c r="B44"/>
      <c r="C44"/>
      <c r="D44"/>
      <c r="E44"/>
      <c r="F44"/>
      <c r="G44"/>
      <c r="H44" s="1"/>
      <c r="I44" s="1"/>
      <c r="J44"/>
      <c r="K44" s="6"/>
      <c r="L44" s="1"/>
      <c r="M44" s="1"/>
      <c r="N44" s="1"/>
      <c r="O44" s="16"/>
      <c r="P44"/>
      <c r="Q44"/>
      <c r="R44" s="132" t="str">
        <f>Q41</f>
        <v/>
      </c>
      <c r="S44" s="151" t="str">
        <f>IF(OR(,ISNUMBER(AB44),ISNUMBER(AB45)),Lire_Gain_Matches(AB44:AB45, AD44:AD45),"")</f>
        <v/>
      </c>
      <c r="T44" s="152" t="str">
        <f>IF(OR(ISNUMBER(AB44),ISNUMBER(AB45)),SUM(AB44:AB45),"")</f>
        <v/>
      </c>
      <c r="U44" s="153"/>
      <c r="V44" s="154" t="str">
        <f>IF(AB46="","",AB46)</f>
        <v/>
      </c>
      <c r="W44" s="155"/>
      <c r="X44" s="315"/>
      <c r="Y44" s="316"/>
      <c r="Z44" s="317"/>
      <c r="AA44" s="237"/>
      <c r="AB44" s="236"/>
      <c r="AC44" s="60"/>
      <c r="AD44" s="236"/>
      <c r="AE44" s="318"/>
      <c r="AF44" s="319"/>
      <c r="AG44" s="263" t="str">
        <f>IF(S44="","",CONCATENATE(S44,IF(R44=AG45,IF(S44=S46,CONCATENATE(" [ ",T44," - ",T46," ] ",IF(U45="x",N_res_MS,IF(V44="","",CONCATENATE(" (",N_res_Diff," ",V44," - ",V46,")")))),IF(U45="x",N_res_MS,"")),"")))</f>
        <v/>
      </c>
      <c r="AH44"/>
      <c r="AI44"/>
      <c r="AJ44"/>
      <c r="AK44"/>
      <c r="AL44"/>
      <c r="AM44"/>
      <c r="AN44"/>
      <c r="AO44"/>
      <c r="AP44"/>
      <c r="AQ44"/>
      <c r="AR44" s="1"/>
      <c r="AS44"/>
      <c r="AT44" s="1"/>
      <c r="AU44"/>
      <c r="AV44"/>
      <c r="AW44" s="177"/>
      <c r="AX44"/>
      <c r="AY44"/>
      <c r="AZ44"/>
      <c r="BA44"/>
      <c r="BB44"/>
      <c r="BC44"/>
      <c r="BD44"/>
      <c r="BE44"/>
      <c r="BF44"/>
      <c r="BG44"/>
      <c r="BH44"/>
      <c r="BI44"/>
      <c r="BJ44"/>
      <c r="BK44"/>
      <c r="BL44"/>
      <c r="BM44"/>
      <c r="BN44" s="8" t="str">
        <f>IF(BM37=AX36,AX38,AX36)</f>
        <v/>
      </c>
      <c r="BO44" s="192" t="str">
        <f>IF(BO43="","",VLOOKUP(BO43,Equipes,2,FALSE))</f>
        <v/>
      </c>
      <c r="BP44" s="8"/>
      <c r="BQ44" s="8"/>
      <c r="BR44"/>
    </row>
    <row r="45" spans="1:70" ht="13.5" thickBot="1" x14ac:dyDescent="0.25">
      <c r="A45"/>
      <c r="B45"/>
      <c r="C45"/>
      <c r="D45"/>
      <c r="E45"/>
      <c r="F45"/>
      <c r="G45"/>
      <c r="H45" s="1"/>
      <c r="I45" s="1"/>
      <c r="J45"/>
      <c r="K45" s="6"/>
      <c r="L45" s="1"/>
      <c r="M45" s="1"/>
      <c r="N45" s="1"/>
      <c r="O45" s="16"/>
      <c r="P45"/>
      <c r="Q45"/>
      <c r="R45"/>
      <c r="S45" s="160"/>
      <c r="T45" s="161"/>
      <c r="U45" s="162" t="str">
        <f>IF(ISNA(VLOOKUP("X",AF44:AF45,1,FALSE)),"","X")</f>
        <v/>
      </c>
      <c r="V45" s="163"/>
      <c r="W45" s="186"/>
      <c r="X45" s="171"/>
      <c r="Y45" s="172"/>
      <c r="Z45" s="173"/>
      <c r="AA45" s="174"/>
      <c r="AB45" s="175"/>
      <c r="AC45" s="52"/>
      <c r="AD45" s="175"/>
      <c r="AE45" s="251"/>
      <c r="AF45" s="252"/>
      <c r="AG45" s="187" t="str">
        <f>IF(S44="","",IF(S44&gt;S46,R44,IF(S46&gt;S44,R46,IF(T44&gt;T46,R44,IF(T46&gt;T44,R46,IF(V44&gt;V46,R44,IF(V46&gt;V44,R46,mess_erreur_marque)))))))</f>
        <v/>
      </c>
      <c r="AH45"/>
      <c r="AI45"/>
      <c r="AJ45"/>
      <c r="AK45"/>
      <c r="AL45"/>
      <c r="AM45"/>
      <c r="AN45"/>
      <c r="AO45"/>
      <c r="AP45"/>
      <c r="AQ45"/>
      <c r="AR45" s="1"/>
      <c r="AS45"/>
      <c r="AT45" s="1"/>
      <c r="AU45"/>
      <c r="AV45"/>
      <c r="AW45" s="177"/>
      <c r="AX45"/>
      <c r="AY45"/>
      <c r="AZ45"/>
      <c r="BA45"/>
      <c r="BB45"/>
      <c r="BC45"/>
      <c r="BD45"/>
      <c r="BE45"/>
      <c r="BF45"/>
      <c r="BG45"/>
      <c r="BH45"/>
      <c r="BI45"/>
      <c r="BJ45"/>
      <c r="BK45"/>
      <c r="BL45"/>
      <c r="BM45"/>
      <c r="BN45" s="193" t="str">
        <f>IF(BN44="","",VLOOKUP(BN44,Equipes,2,FALSE))</f>
        <v/>
      </c>
      <c r="BO45" s="194" t="str">
        <f>IF(BO43="","",VLOOKUP(BO43,Equipes,3,FALSE))</f>
        <v/>
      </c>
      <c r="BP45" s="8" t="str">
        <f>BM59</f>
        <v/>
      </c>
      <c r="BQ45" s="8"/>
      <c r="BR45"/>
    </row>
    <row r="46" spans="1:70" ht="13.5" thickBot="1" x14ac:dyDescent="0.25">
      <c r="A46"/>
      <c r="B46"/>
      <c r="C46"/>
      <c r="D46"/>
      <c r="E46"/>
      <c r="F46"/>
      <c r="G46"/>
      <c r="H46" s="1"/>
      <c r="I46" s="1"/>
      <c r="J46"/>
      <c r="K46" s="6"/>
      <c r="L46" s="1"/>
      <c r="M46" s="1"/>
      <c r="N46" s="1"/>
      <c r="O46" s="16"/>
      <c r="P46"/>
      <c r="Q46"/>
      <c r="R46" s="132" t="str">
        <f>Q49</f>
        <v/>
      </c>
      <c r="S46" s="167" t="str">
        <f>IF(OR(ISNUMBER(AB44),ISNUMBER(AB45)),Lire_Gain_Matches(AD44:AD45, AB44:AB45),"")</f>
        <v/>
      </c>
      <c r="T46" s="168" t="str">
        <f>IF(OR(ISNUMBER(AB44),ISNUMBER(AB45)),SUM(AD44:AD45),"")</f>
        <v/>
      </c>
      <c r="U46" s="169"/>
      <c r="V46" s="170" t="str">
        <f>IF(AD46="","",AD46)</f>
        <v/>
      </c>
      <c r="W46" s="155"/>
      <c r="X46" s="178"/>
      <c r="Y46" s="179" t="str">
        <f>N_Différentiel</f>
        <v>Différentiel</v>
      </c>
      <c r="Z46" s="239"/>
      <c r="AA46" s="240"/>
      <c r="AB46" s="182"/>
      <c r="AC46" s="66" t="s">
        <v>769</v>
      </c>
      <c r="AD46" s="182"/>
      <c r="AE46" s="253"/>
      <c r="AF46"/>
      <c r="AG46" s="266" t="str">
        <f>IF(S46="","",CONCATENATE(S46,IF(R46=AG45,IF(S44=S46,CONCATENATE(" [ ",T46," - ",T44," ] ",IF(U45="x",N_res_MS,IF(V46="","",CONCATENATE(" (",N_res_Diff," ",V46," - ",V44,")")))),IF(U45="x",N_res_MS,"")),"")))</f>
        <v/>
      </c>
      <c r="AH46"/>
      <c r="AI46"/>
      <c r="AJ46"/>
      <c r="AK46"/>
      <c r="AL46"/>
      <c r="AM46"/>
      <c r="AN46"/>
      <c r="AO46"/>
      <c r="AP46"/>
      <c r="AQ46"/>
      <c r="AR46" s="1"/>
      <c r="AS46"/>
      <c r="AT46" s="1"/>
      <c r="AU46"/>
      <c r="AV46"/>
      <c r="AW46" s="177"/>
      <c r="AX46"/>
      <c r="AY46"/>
      <c r="AZ46"/>
      <c r="BA46"/>
      <c r="BB46"/>
      <c r="BC46"/>
      <c r="BD46"/>
      <c r="BE46"/>
      <c r="BF46"/>
      <c r="BG46"/>
      <c r="BH46"/>
      <c r="BI46"/>
      <c r="BJ46"/>
      <c r="BK46"/>
      <c r="BL46"/>
      <c r="BM46"/>
      <c r="BN46" s="195" t="str">
        <f>IF(BN45="","",VLOOKUP(BN45,Equipes,3,FALSE))</f>
        <v/>
      </c>
      <c r="BO46" s="194"/>
      <c r="BP46" s="197" t="str">
        <f>IF(BP45="","",VLOOKUP(BP45,Equipes,2,FALSE))</f>
        <v/>
      </c>
      <c r="BQ46" s="8" t="str">
        <f>IF(BM59=AX58,AX60,AX58)</f>
        <v/>
      </c>
      <c r="BR46"/>
    </row>
    <row r="47" spans="1:70" ht="13.5" thickBot="1" x14ac:dyDescent="0.25">
      <c r="A47"/>
      <c r="B47"/>
      <c r="C47" s="141" t="str">
        <f>N_Matches</f>
        <v>Matches</v>
      </c>
      <c r="D47" s="142" t="str">
        <f>N_Buts</f>
        <v>Buts</v>
      </c>
      <c r="E47" s="142" t="str">
        <f>N_MS</f>
        <v>MS</v>
      </c>
      <c r="F47" s="143" t="str">
        <f>N_Diff</f>
        <v>Diff</v>
      </c>
      <c r="G47" s="7"/>
      <c r="H47" s="3" t="str">
        <f>N_Heure</f>
        <v>Heure</v>
      </c>
      <c r="I47" s="3" t="str">
        <f>N_Table</f>
        <v>Table</v>
      </c>
      <c r="J47" s="3" t="str">
        <f>N_Arbitre</f>
        <v>Arbitre</v>
      </c>
      <c r="K47" s="2490" t="str">
        <f>N_Matches</f>
        <v>Matches</v>
      </c>
      <c r="L47" s="2491"/>
      <c r="M47" s="2491"/>
      <c r="N47" s="2491"/>
      <c r="O47" s="2492"/>
      <c r="P47" s="3" t="str">
        <f>N_MS</f>
        <v>MS</v>
      </c>
      <c r="Q47" s="177"/>
      <c r="R47"/>
      <c r="S47"/>
      <c r="T47"/>
      <c r="U47"/>
      <c r="V47"/>
      <c r="W47"/>
      <c r="X47" s="1"/>
      <c r="Y47" s="1"/>
      <c r="Z47"/>
      <c r="AA47" s="6"/>
      <c r="AB47" s="1"/>
      <c r="AC47" s="1"/>
      <c r="AD47" s="1"/>
      <c r="AE47" s="16"/>
      <c r="AF47"/>
      <c r="AG47" s="177"/>
      <c r="AH47"/>
      <c r="AI47"/>
      <c r="AJ47"/>
      <c r="AK47"/>
      <c r="AL47"/>
      <c r="AM47"/>
      <c r="AN47"/>
      <c r="AO47"/>
      <c r="AP47"/>
      <c r="AQ47"/>
      <c r="AR47" s="1"/>
      <c r="AS47"/>
      <c r="AT47" s="1"/>
      <c r="AU47"/>
      <c r="AV47"/>
      <c r="AW47" s="177"/>
      <c r="AX47"/>
      <c r="AY47"/>
      <c r="AZ47"/>
      <c r="BA47"/>
      <c r="BB47"/>
      <c r="BC47"/>
      <c r="BD47"/>
      <c r="BE47"/>
      <c r="BF47"/>
      <c r="BG47"/>
      <c r="BH47"/>
      <c r="BI47"/>
      <c r="BJ47"/>
      <c r="BK47"/>
      <c r="BL47"/>
      <c r="BM47"/>
      <c r="BN47" s="195"/>
      <c r="BO47" s="194"/>
      <c r="BP47" s="254" t="str">
        <f>IF(BP45="","",VLOOKUP(BP45,Equipes,3,FALSE))</f>
        <v/>
      </c>
      <c r="BQ47" s="199" t="str">
        <f>IF(BQ46="","",VLOOKUP(BQ46,Equipes,2,FALSE))</f>
        <v/>
      </c>
      <c r="BR47"/>
    </row>
    <row r="48" spans="1:70" ht="13.5" thickBot="1" x14ac:dyDescent="0.25">
      <c r="A48"/>
      <c r="B48" s="128"/>
      <c r="C48" s="151" t="str">
        <f>IF(OR(,ISNUMBER(L48),ISNUMBER(L49)),Lire_Gain_Matches(L48:L49, N48:N49),"")</f>
        <v/>
      </c>
      <c r="D48" s="152" t="str">
        <f>IF(OR(ISNUMBER(L48),ISNUMBER(L49)),SUM(L48:L49),"")</f>
        <v/>
      </c>
      <c r="E48" s="153"/>
      <c r="F48" s="154" t="str">
        <f>IF(L50="","",L50)</f>
        <v/>
      </c>
      <c r="G48" s="155"/>
      <c r="H48" s="156"/>
      <c r="I48" s="157"/>
      <c r="J48" s="158"/>
      <c r="K48" s="103"/>
      <c r="L48" s="10"/>
      <c r="M48" s="45"/>
      <c r="N48" s="10"/>
      <c r="O48" s="249"/>
      <c r="P48" s="250"/>
      <c r="Q48" s="264" t="str">
        <f>IF(C48="","",CONCATENATE(C48,IF(B48=Q49,IF(C48=C50,CONCATENATE(" [ ",D48," - ",D50," ] ",IF(E49="x",N_res_MS,IF(F48="","",CONCATENATE(" (",N_res_Diff," ",F48," - ",F50,")")))),IF(E49="x",N_res_MS,"")),"")))</f>
        <v/>
      </c>
      <c r="R48"/>
      <c r="S48"/>
      <c r="T48"/>
      <c r="U48"/>
      <c r="V48"/>
      <c r="W48"/>
      <c r="X48"/>
      <c r="Y48"/>
      <c r="Z48"/>
      <c r="AA48"/>
      <c r="AB48" s="1"/>
      <c r="AC48"/>
      <c r="AD48" s="1"/>
      <c r="AE48"/>
      <c r="AF48"/>
      <c r="AG48" s="177"/>
      <c r="AH48"/>
      <c r="AI48"/>
      <c r="AJ48"/>
      <c r="AK48"/>
      <c r="AL48"/>
      <c r="AM48"/>
      <c r="AN48"/>
      <c r="AO48"/>
      <c r="AP48"/>
      <c r="AQ48"/>
      <c r="AR48" s="1"/>
      <c r="AS48"/>
      <c r="AT48" s="1"/>
      <c r="AU48"/>
      <c r="AV48"/>
      <c r="AW48" s="177"/>
      <c r="AX48"/>
      <c r="AY48"/>
      <c r="AZ48"/>
      <c r="BA48"/>
      <c r="BB48"/>
      <c r="BC48"/>
      <c r="BD48"/>
      <c r="BE48"/>
      <c r="BF48"/>
      <c r="BG48"/>
      <c r="BH48"/>
      <c r="BI48"/>
      <c r="BJ48"/>
      <c r="BK48"/>
      <c r="BL48"/>
      <c r="BM48"/>
      <c r="BN48" s="255"/>
      <c r="BO48" s="256"/>
      <c r="BP48" s="257"/>
      <c r="BQ48" s="258" t="str">
        <f>IF(BQ46="","",VLOOKUP(BQ46,Equipes,3,FALSE))</f>
        <v/>
      </c>
      <c r="BR48"/>
    </row>
    <row r="49" spans="1:70" ht="13.5" thickBot="1" x14ac:dyDescent="0.25">
      <c r="A49"/>
      <c r="B49"/>
      <c r="C49" s="160"/>
      <c r="D49" s="161"/>
      <c r="E49" s="162" t="str">
        <f>IF(ISNA(VLOOKUP("X",P48:P49,1,FALSE)),"","X")</f>
        <v/>
      </c>
      <c r="F49" s="163"/>
      <c r="G49" s="164"/>
      <c r="H49" s="171"/>
      <c r="I49" s="172"/>
      <c r="J49" s="173"/>
      <c r="K49" s="174"/>
      <c r="L49" s="175"/>
      <c r="M49" s="52"/>
      <c r="N49" s="175"/>
      <c r="O49" s="251"/>
      <c r="P49" s="252"/>
      <c r="Q49" s="166" t="str">
        <f>IF(C48="","",IF(C48&gt;C50,B48,IF(C50&gt;C48,B50,IF(D48&gt;D50,B48,IF(D50&gt;D48,B50,IF(F48&gt;F50,B48,IF(F50&gt;F48,B50,mess_erreur_marque)))))))</f>
        <v/>
      </c>
      <c r="R49"/>
      <c r="S49"/>
      <c r="T49"/>
      <c r="U49"/>
      <c r="V49"/>
      <c r="W49"/>
      <c r="X49"/>
      <c r="Y49"/>
      <c r="Z49"/>
      <c r="AA49"/>
      <c r="AB49" s="1"/>
      <c r="AC49"/>
      <c r="AD49" s="1"/>
      <c r="AE49"/>
      <c r="AF49"/>
      <c r="AG49" s="177"/>
      <c r="AH49"/>
      <c r="AI49"/>
      <c r="AJ49"/>
      <c r="AK49"/>
      <c r="AL49"/>
      <c r="AM49"/>
      <c r="AN49"/>
      <c r="AO49"/>
      <c r="AP49"/>
      <c r="AQ49"/>
      <c r="AR49" s="1"/>
      <c r="AS49"/>
      <c r="AT49" s="1"/>
      <c r="AU49"/>
      <c r="AV49"/>
      <c r="AW49" s="177"/>
      <c r="AX49"/>
      <c r="AY49"/>
      <c r="AZ49"/>
      <c r="BA49"/>
      <c r="BB49"/>
      <c r="BC49"/>
      <c r="BD49"/>
      <c r="BE49"/>
      <c r="BF49"/>
      <c r="BG49"/>
      <c r="BH49"/>
      <c r="BI49"/>
      <c r="BJ49"/>
      <c r="BK49"/>
      <c r="BL49"/>
      <c r="BM49"/>
      <c r="BN49"/>
      <c r="BO49"/>
      <c r="BP49"/>
      <c r="BQ49"/>
      <c r="BR49"/>
    </row>
    <row r="50" spans="1:70" ht="13.5" thickBot="1" x14ac:dyDescent="0.25">
      <c r="A50"/>
      <c r="B50" s="128"/>
      <c r="C50" s="167" t="str">
        <f>IF(OR(ISNUMBER(L48),ISNUMBER(L49)),Lire_Gain_Matches(N48:N49, L48:L49),"")</f>
        <v/>
      </c>
      <c r="D50" s="168" t="str">
        <f>IF(OR(ISNUMBER(L48),ISNUMBER(L49)),SUM(N48:N49),"")</f>
        <v/>
      </c>
      <c r="E50" s="169"/>
      <c r="F50" s="170" t="str">
        <f>IF(N50="","",N50)</f>
        <v/>
      </c>
      <c r="G50" s="155"/>
      <c r="H50" s="178"/>
      <c r="I50" s="179" t="str">
        <f>N_Différentiel</f>
        <v>Différentiel</v>
      </c>
      <c r="J50" s="239"/>
      <c r="K50" s="240"/>
      <c r="L50" s="182"/>
      <c r="M50" s="66" t="s">
        <v>769</v>
      </c>
      <c r="N50" s="182"/>
      <c r="O50" s="253"/>
      <c r="P50"/>
      <c r="Q50" t="str">
        <f>IF(C50="","",CONCATENATE(C50,IF(B50=Q49,IF(C48=C50,CONCATENATE(" [ ",D50," - ",D48," ] ",IF(E49="x",N_res_MS,IF(F50="","",CONCATENATE(" (",N_res_Diff," ",F50," - ",F48,")")))),IF(E49="x",N_res_MS,"")),"")))</f>
        <v/>
      </c>
      <c r="R50"/>
      <c r="S50"/>
      <c r="T50"/>
      <c r="U50"/>
      <c r="V50"/>
      <c r="W50"/>
      <c r="X50"/>
      <c r="Y50"/>
      <c r="Z50"/>
      <c r="AA50"/>
      <c r="AB50" s="1"/>
      <c r="AC50"/>
      <c r="AD50" s="1"/>
      <c r="AE50"/>
      <c r="AF50"/>
      <c r="AG50" s="177"/>
      <c r="AH50"/>
      <c r="AI50"/>
      <c r="AJ50"/>
      <c r="AK50"/>
      <c r="AL50"/>
      <c r="AM50"/>
      <c r="AN50" s="1"/>
      <c r="AO50" s="1"/>
      <c r="AP50"/>
      <c r="AQ50" s="6"/>
      <c r="AR50" s="1"/>
      <c r="AS50" s="1"/>
      <c r="AT50" s="1"/>
      <c r="AU50" s="16"/>
      <c r="AV50"/>
      <c r="AW50" s="177"/>
      <c r="AX50"/>
      <c r="AY50"/>
      <c r="AZ50"/>
      <c r="BA50"/>
      <c r="BB50"/>
      <c r="BC50"/>
      <c r="BD50"/>
      <c r="BE50"/>
      <c r="BF50"/>
      <c r="BG50"/>
      <c r="BH50"/>
      <c r="BI50"/>
      <c r="BJ50"/>
      <c r="BK50"/>
      <c r="BL50"/>
      <c r="BM50"/>
      <c r="BN50"/>
      <c r="BO50"/>
      <c r="BP50"/>
      <c r="BQ50"/>
      <c r="BR50"/>
    </row>
    <row r="51" spans="1:70" ht="13.5" thickBot="1" x14ac:dyDescent="0.25">
      <c r="A51"/>
      <c r="B51"/>
      <c r="C51"/>
      <c r="D51"/>
      <c r="E51"/>
      <c r="F51"/>
      <c r="G51"/>
      <c r="H51" s="1"/>
      <c r="I51" s="1"/>
      <c r="J51"/>
      <c r="K51" s="6"/>
      <c r="L51" s="1"/>
      <c r="M51" s="1"/>
      <c r="N51" s="1"/>
      <c r="O51" s="16"/>
      <c r="P51"/>
      <c r="Q51"/>
      <c r="R51"/>
      <c r="S51"/>
      <c r="T51"/>
      <c r="U51"/>
      <c r="V51"/>
      <c r="W51"/>
      <c r="X51"/>
      <c r="Y51"/>
      <c r="Z51"/>
      <c r="AA51"/>
      <c r="AB51" s="1"/>
      <c r="AC51"/>
      <c r="AD51" s="1"/>
      <c r="AE51"/>
      <c r="AF51"/>
      <c r="AG51" s="177"/>
      <c r="AH51"/>
      <c r="AI51" s="141" t="str">
        <f>N_Matches</f>
        <v>Matches</v>
      </c>
      <c r="AJ51" s="142" t="str">
        <f>N_Buts</f>
        <v>Buts</v>
      </c>
      <c r="AK51" s="142" t="str">
        <f>N_MS</f>
        <v>MS</v>
      </c>
      <c r="AL51" s="143" t="str">
        <f>N_Diff</f>
        <v>Diff</v>
      </c>
      <c r="AM51" s="7"/>
      <c r="AN51" s="3" t="str">
        <f>N_Heure</f>
        <v>Heure</v>
      </c>
      <c r="AO51" s="3" t="str">
        <f>N_Table</f>
        <v>Table</v>
      </c>
      <c r="AP51" s="3" t="str">
        <f>N_Arbitre</f>
        <v>Arbitre</v>
      </c>
      <c r="AQ51" s="2490" t="str">
        <f>N_Matches</f>
        <v>Matches</v>
      </c>
      <c r="AR51" s="2491"/>
      <c r="AS51" s="2491"/>
      <c r="AT51" s="2491"/>
      <c r="AU51" s="2492"/>
      <c r="AV51" s="3" t="str">
        <f>N_MS</f>
        <v>MS</v>
      </c>
      <c r="AW51" s="177"/>
      <c r="AX51"/>
      <c r="AY51"/>
      <c r="AZ51"/>
      <c r="BA51"/>
      <c r="BB51"/>
      <c r="BC51"/>
      <c r="BD51"/>
      <c r="BE51"/>
      <c r="BF51"/>
      <c r="BG51"/>
      <c r="BH51"/>
      <c r="BI51"/>
      <c r="BJ51"/>
      <c r="BK51"/>
      <c r="BL51"/>
      <c r="BM51"/>
      <c r="BN51"/>
      <c r="BO51"/>
      <c r="BP51"/>
      <c r="BQ51"/>
      <c r="BR51"/>
    </row>
    <row r="52" spans="1:70" ht="13.5" thickBot="1" x14ac:dyDescent="0.25">
      <c r="A52"/>
      <c r="B52"/>
      <c r="C52"/>
      <c r="D52"/>
      <c r="E52"/>
      <c r="F52"/>
      <c r="G52"/>
      <c r="H52" s="1"/>
      <c r="I52" s="1"/>
      <c r="J52"/>
      <c r="K52" s="6"/>
      <c r="L52" s="1"/>
      <c r="M52" s="1"/>
      <c r="N52" s="1"/>
      <c r="O52" s="16"/>
      <c r="P52"/>
      <c r="Q52"/>
      <c r="R52"/>
      <c r="S52"/>
      <c r="T52"/>
      <c r="U52"/>
      <c r="V52"/>
      <c r="W52"/>
      <c r="X52"/>
      <c r="Y52"/>
      <c r="Z52"/>
      <c r="AA52"/>
      <c r="AB52" s="1"/>
      <c r="AC52"/>
      <c r="AD52" s="1"/>
      <c r="AE52"/>
      <c r="AF52"/>
      <c r="AG52"/>
      <c r="AH52" s="135" t="str">
        <f>AG45</f>
        <v/>
      </c>
      <c r="AI52" s="151" t="str">
        <f>IF(OR(,ISNUMBER(AR52),ISNUMBER(AR53)),Lire_Gain_Matches(AR52:AR53, AT52:AT53),"")</f>
        <v/>
      </c>
      <c r="AJ52" s="152" t="str">
        <f>IF(OR(ISNUMBER(AR52),ISNUMBER(AR53)),SUM(AR52:AR53),"")</f>
        <v/>
      </c>
      <c r="AK52" s="153"/>
      <c r="AL52" s="154" t="str">
        <f>IF(AR54="","",AR54)</f>
        <v/>
      </c>
      <c r="AM52" s="155"/>
      <c r="AN52" s="315"/>
      <c r="AO52" s="316"/>
      <c r="AP52" s="317"/>
      <c r="AQ52" s="237"/>
      <c r="AR52" s="236"/>
      <c r="AS52" s="60"/>
      <c r="AT52" s="236"/>
      <c r="AU52" s="318"/>
      <c r="AV52" s="319"/>
      <c r="AW52" s="264" t="str">
        <f>IF(AI52="","",CONCATENATE(AI52,IF(AH52=AW53,IF(AI52=AI54,CONCATENATE(" [ ",AJ52," - ",AJ54," ] ",IF(AK53="x",N_res_MS,IF(AL52="","",CONCATENATE(" (",N_res_Diff," ",AL52," - ",AL54,")")))),IF(AK53="x",N_res_MS,"")),"")))</f>
        <v/>
      </c>
      <c r="AX52"/>
      <c r="AY52"/>
      <c r="AZ52"/>
      <c r="BA52"/>
      <c r="BB52"/>
      <c r="BC52"/>
      <c r="BD52"/>
      <c r="BE52"/>
      <c r="BF52"/>
      <c r="BG52"/>
      <c r="BH52"/>
      <c r="BI52"/>
      <c r="BJ52"/>
      <c r="BK52"/>
      <c r="BL52"/>
      <c r="BM52"/>
      <c r="BN52"/>
      <c r="BO52"/>
      <c r="BP52"/>
      <c r="BQ52"/>
      <c r="BR52"/>
    </row>
    <row r="53" spans="1:70" ht="13.5" thickBot="1" x14ac:dyDescent="0.25">
      <c r="A53"/>
      <c r="B53"/>
      <c r="C53"/>
      <c r="D53"/>
      <c r="E53"/>
      <c r="F53"/>
      <c r="G53"/>
      <c r="H53" s="1"/>
      <c r="I53" s="1"/>
      <c r="J53"/>
      <c r="K53" s="6"/>
      <c r="L53" s="1"/>
      <c r="M53" s="1"/>
      <c r="N53" s="1"/>
      <c r="O53" s="16"/>
      <c r="P53"/>
      <c r="Q53"/>
      <c r="R53"/>
      <c r="S53"/>
      <c r="T53"/>
      <c r="U53"/>
      <c r="V53"/>
      <c r="W53"/>
      <c r="X53"/>
      <c r="Y53"/>
      <c r="Z53"/>
      <c r="AA53"/>
      <c r="AB53" s="1"/>
      <c r="AC53"/>
      <c r="AD53" s="1"/>
      <c r="AE53"/>
      <c r="AF53"/>
      <c r="AG53"/>
      <c r="AH53"/>
      <c r="AI53" s="160"/>
      <c r="AJ53" s="161"/>
      <c r="AK53" s="162" t="str">
        <f>IF(ISNA(VLOOKUP("X",AV52:AV53,1,FALSE)),"","X")</f>
        <v/>
      </c>
      <c r="AL53" s="163"/>
      <c r="AM53" s="188"/>
      <c r="AN53" s="171"/>
      <c r="AO53" s="172"/>
      <c r="AP53" s="173"/>
      <c r="AQ53" s="174"/>
      <c r="AR53" s="175"/>
      <c r="AS53" s="52"/>
      <c r="AT53" s="175"/>
      <c r="AU53" s="251"/>
      <c r="AV53" s="252"/>
      <c r="AW53" s="189" t="str">
        <f>IF(AI52="","",IF(AI52&gt;AI54,AH52,IF(AI54&gt;AI52,AH54,IF(AJ52&gt;AJ54,AH52,IF(AJ54&gt;AJ52,AH54,IF(AL52&gt;AL54,AH52,IF(AL54&gt;AL52,AH54,mess_erreur_marque)))))))</f>
        <v/>
      </c>
      <c r="AX53"/>
      <c r="AY53"/>
      <c r="AZ53"/>
      <c r="BA53"/>
      <c r="BB53"/>
      <c r="BC53"/>
      <c r="BD53"/>
      <c r="BE53"/>
      <c r="BF53"/>
      <c r="BG53"/>
      <c r="BH53"/>
      <c r="BI53"/>
      <c r="BJ53"/>
      <c r="BK53"/>
      <c r="BL53"/>
      <c r="BM53"/>
      <c r="BN53"/>
      <c r="BO53"/>
      <c r="BP53"/>
      <c r="BQ53"/>
      <c r="BR53"/>
    </row>
    <row r="54" spans="1:70" ht="13.5" thickBot="1" x14ac:dyDescent="0.25">
      <c r="A54"/>
      <c r="B54"/>
      <c r="C54"/>
      <c r="D54"/>
      <c r="E54"/>
      <c r="F54"/>
      <c r="G54"/>
      <c r="H54" s="1"/>
      <c r="I54" s="1"/>
      <c r="J54"/>
      <c r="K54" s="6"/>
      <c r="L54" s="1"/>
      <c r="M54" s="1"/>
      <c r="N54" s="1"/>
      <c r="O54" s="16"/>
      <c r="P54"/>
      <c r="Q54"/>
      <c r="R54"/>
      <c r="S54"/>
      <c r="T54"/>
      <c r="U54"/>
      <c r="V54"/>
      <c r="W54"/>
      <c r="X54"/>
      <c r="Y54"/>
      <c r="Z54"/>
      <c r="AA54"/>
      <c r="AB54" s="1"/>
      <c r="AC54"/>
      <c r="AD54" s="1"/>
      <c r="AE54"/>
      <c r="AF54"/>
      <c r="AG54"/>
      <c r="AH54" s="135" t="str">
        <f>AG61</f>
        <v/>
      </c>
      <c r="AI54" s="167" t="str">
        <f>IF(OR(ISNUMBER(AR52),ISNUMBER(AR53)),Lire_Gain_Matches(AT52:AT53, AR52:AR53),"")</f>
        <v/>
      </c>
      <c r="AJ54" s="168" t="str">
        <f>IF(OR(ISNUMBER(AR52),ISNUMBER(AR53)),SUM(AT52:AT53),"")</f>
        <v/>
      </c>
      <c r="AK54" s="169"/>
      <c r="AL54" s="170" t="str">
        <f>IF(AT54="","",AT54)</f>
        <v/>
      </c>
      <c r="AM54" s="155"/>
      <c r="AN54" s="178"/>
      <c r="AO54" s="179" t="str">
        <f>N_Différentiel</f>
        <v>Différentiel</v>
      </c>
      <c r="AP54" s="239"/>
      <c r="AQ54" s="240"/>
      <c r="AR54" s="182"/>
      <c r="AS54" s="66" t="s">
        <v>769</v>
      </c>
      <c r="AT54" s="182"/>
      <c r="AU54" s="253"/>
      <c r="AV54"/>
      <c r="AW54" t="str">
        <f>IF(AI54="","",CONCATENATE(AI54,IF(AH54=AW53,IF(AI52=AI54,CONCATENATE(" [ ",AJ54," - ",AJ52," ] ",IF(AK53="x",N_res_MS,IF(AL54="","",CONCATENATE(" (",N_res_Diff," ",AL54," - ",AL52,")")))),IF(AK53="x",N_res_MS,"")),"")))</f>
        <v/>
      </c>
      <c r="AX54"/>
      <c r="AY54"/>
      <c r="AZ54"/>
      <c r="BA54"/>
      <c r="BB54"/>
      <c r="BC54"/>
      <c r="BD54"/>
      <c r="BE54"/>
      <c r="BF54"/>
      <c r="BG54"/>
      <c r="BH54"/>
      <c r="BI54"/>
      <c r="BJ54"/>
      <c r="BK54"/>
      <c r="BL54"/>
      <c r="BM54"/>
      <c r="BN54"/>
      <c r="BO54"/>
      <c r="BP54"/>
      <c r="BQ54"/>
      <c r="BR54"/>
    </row>
    <row r="55" spans="1:70" ht="13.5" thickBot="1" x14ac:dyDescent="0.25">
      <c r="A55"/>
      <c r="B55"/>
      <c r="C55" s="141" t="str">
        <f>N_Matches</f>
        <v>Matches</v>
      </c>
      <c r="D55" s="142" t="str">
        <f>N_Buts</f>
        <v>Buts</v>
      </c>
      <c r="E55" s="142" t="str">
        <f>N_MS</f>
        <v>MS</v>
      </c>
      <c r="F55" s="143" t="str">
        <f>N_Diff</f>
        <v>Diff</v>
      </c>
      <c r="G55" s="7"/>
      <c r="H55" s="3" t="str">
        <f>N_Heure</f>
        <v>Heure</v>
      </c>
      <c r="I55" s="3" t="str">
        <f>N_Table</f>
        <v>Table</v>
      </c>
      <c r="J55" s="3" t="str">
        <f>N_Arbitre</f>
        <v>Arbitre</v>
      </c>
      <c r="K55" s="2490" t="str">
        <f>N_Matches</f>
        <v>Matches</v>
      </c>
      <c r="L55" s="2491"/>
      <c r="M55" s="2491"/>
      <c r="N55" s="2491"/>
      <c r="O55" s="2492"/>
      <c r="P55" s="3" t="str">
        <f>N_MS</f>
        <v>MS</v>
      </c>
      <c r="Q55"/>
      <c r="R55"/>
      <c r="S55"/>
      <c r="T55"/>
      <c r="U55"/>
      <c r="V55"/>
      <c r="W55"/>
      <c r="X55"/>
      <c r="Y55"/>
      <c r="Z55"/>
      <c r="AA55"/>
      <c r="AB55" s="1"/>
      <c r="AC55"/>
      <c r="AD55" s="1"/>
      <c r="AE55"/>
      <c r="AF55"/>
      <c r="AG55" s="177"/>
      <c r="AH55"/>
      <c r="AI55"/>
      <c r="AJ55"/>
      <c r="AK55"/>
      <c r="AL55"/>
      <c r="AM55"/>
      <c r="AN55" s="1"/>
      <c r="AO55" s="1"/>
      <c r="AP55"/>
      <c r="AQ55" s="6"/>
      <c r="AR55" s="1"/>
      <c r="AS55" s="1"/>
      <c r="AT55" s="1"/>
      <c r="AU55" s="16"/>
      <c r="AV55"/>
      <c r="AW55"/>
      <c r="AX55" s="2494" t="str">
        <f>N_Petite_FINALE</f>
        <v>Petite FINALE</v>
      </c>
      <c r="AY55" s="2458"/>
      <c r="AZ55" s="2458"/>
      <c r="BA55" s="2458"/>
      <c r="BB55" s="2458"/>
      <c r="BC55" s="260"/>
      <c r="BD55" s="259"/>
      <c r="BE55" s="259"/>
      <c r="BF55" s="259"/>
      <c r="BG55" s="2458"/>
      <c r="BH55" s="2458"/>
      <c r="BI55" s="2458"/>
      <c r="BJ55" s="2458"/>
      <c r="BK55" s="2458"/>
      <c r="BL55" s="259"/>
      <c r="BM55" s="261"/>
      <c r="BN55"/>
      <c r="BO55"/>
      <c r="BP55"/>
      <c r="BQ55"/>
      <c r="BR55"/>
    </row>
    <row r="56" spans="1:70" ht="13.5" thickBot="1" x14ac:dyDescent="0.25">
      <c r="A56"/>
      <c r="B56" s="128"/>
      <c r="C56" s="151" t="str">
        <f>IF(OR(,ISNUMBER(L56),ISNUMBER(L57)),Lire_Gain_Matches(L56:L57, N56:N57),"")</f>
        <v/>
      </c>
      <c r="D56" s="152" t="str">
        <f>IF(OR(ISNUMBER(L56),ISNUMBER(L57)),SUM(L56:L57),"")</f>
        <v/>
      </c>
      <c r="E56" s="153"/>
      <c r="F56" s="154" t="str">
        <f>IF(L58="","",L58)</f>
        <v/>
      </c>
      <c r="G56" s="155"/>
      <c r="H56" s="156"/>
      <c r="I56" s="157"/>
      <c r="J56" s="158"/>
      <c r="K56" s="103"/>
      <c r="L56" s="10"/>
      <c r="M56" s="45"/>
      <c r="N56" s="10"/>
      <c r="O56" s="249"/>
      <c r="P56" s="250"/>
      <c r="Q56" s="263" t="str">
        <f>IF(C56="","",CONCATENATE(C56,IF(B56=Q57,IF(C56=C58,CONCATENATE(" [ ",D56," - ",D58," ] ",IF(E57="x",N_res_MS,IF(F56="","",CONCATENATE(" (",N_res_Diff," ",F56," - ",F58,")")))),IF(E57="x",N_res_MS,"")),"")))</f>
        <v/>
      </c>
      <c r="R56"/>
      <c r="S56"/>
      <c r="T56"/>
      <c r="U56"/>
      <c r="V56"/>
      <c r="W56"/>
      <c r="X56"/>
      <c r="Y56"/>
      <c r="Z56"/>
      <c r="AA56"/>
      <c r="AB56" s="1"/>
      <c r="AC56"/>
      <c r="AD56" s="1"/>
      <c r="AE56"/>
      <c r="AF56"/>
      <c r="AG56" s="177"/>
      <c r="AH56"/>
      <c r="AI56"/>
      <c r="AJ56"/>
      <c r="AK56"/>
      <c r="AL56"/>
      <c r="AM56"/>
      <c r="AN56"/>
      <c r="AO56"/>
      <c r="AP56"/>
      <c r="AQ56"/>
      <c r="AR56" s="1"/>
      <c r="AS56"/>
      <c r="AT56" s="1"/>
      <c r="AU56"/>
      <c r="AV56"/>
      <c r="AW56"/>
      <c r="AX56"/>
      <c r="AY56"/>
      <c r="AZ56"/>
      <c r="BA56"/>
      <c r="BB56"/>
      <c r="BC56"/>
      <c r="BD56"/>
      <c r="BE56"/>
      <c r="BF56"/>
      <c r="BG56"/>
      <c r="BH56"/>
      <c r="BI56"/>
      <c r="BJ56"/>
      <c r="BK56"/>
      <c r="BL56"/>
      <c r="BM56"/>
      <c r="BN56"/>
      <c r="BO56"/>
      <c r="BP56"/>
      <c r="BQ56"/>
      <c r="BR56"/>
    </row>
    <row r="57" spans="1:70" ht="13.5" thickBot="1" x14ac:dyDescent="0.25">
      <c r="A57"/>
      <c r="B57"/>
      <c r="C57" s="160"/>
      <c r="D57" s="161"/>
      <c r="E57" s="162" t="str">
        <f>IF(ISNA(VLOOKUP("X",P56:P57,1,FALSE)),"","X")</f>
        <v/>
      </c>
      <c r="F57" s="163"/>
      <c r="G57" s="164"/>
      <c r="H57" s="171"/>
      <c r="I57" s="172"/>
      <c r="J57" s="173"/>
      <c r="K57" s="174"/>
      <c r="L57" s="175"/>
      <c r="M57" s="52"/>
      <c r="N57" s="175"/>
      <c r="O57" s="251"/>
      <c r="P57" s="252"/>
      <c r="Q57" s="166" t="str">
        <f>IF(C56="","",IF(C56&gt;C58,B56,IF(C58&gt;C56,B58,IF(D56&gt;D58,B56,IF(D58&gt;D56,B58,IF(F56&gt;F58,B56,IF(F58&gt;F56,B58,mess_erreur_marque)))))))</f>
        <v/>
      </c>
      <c r="R57"/>
      <c r="S57"/>
      <c r="T57"/>
      <c r="U57"/>
      <c r="V57"/>
      <c r="W57"/>
      <c r="X57"/>
      <c r="Y57"/>
      <c r="Z57"/>
      <c r="AA57"/>
      <c r="AB57" s="1"/>
      <c r="AC57"/>
      <c r="AD57" s="1"/>
      <c r="AE57"/>
      <c r="AF57"/>
      <c r="AG57" s="177"/>
      <c r="AH57"/>
      <c r="AI57"/>
      <c r="AJ57"/>
      <c r="AK57"/>
      <c r="AL57"/>
      <c r="AM57"/>
      <c r="AN57"/>
      <c r="AO57"/>
      <c r="AP57"/>
      <c r="AQ57"/>
      <c r="AR57" s="1"/>
      <c r="AS57"/>
      <c r="AT57" s="1"/>
      <c r="AU57"/>
      <c r="AV57"/>
      <c r="AW57"/>
      <c r="AX57"/>
      <c r="AY57" s="141" t="str">
        <f>N_Matches</f>
        <v>Matches</v>
      </c>
      <c r="AZ57" s="142" t="str">
        <f>N_Buts</f>
        <v>Buts</v>
      </c>
      <c r="BA57" s="142" t="str">
        <f>N_MS</f>
        <v>MS</v>
      </c>
      <c r="BB57" s="143" t="str">
        <f>N_Diff</f>
        <v>Diff</v>
      </c>
      <c r="BC57" s="7"/>
      <c r="BD57" s="3" t="str">
        <f>N_Heure</f>
        <v>Heure</v>
      </c>
      <c r="BE57" s="3" t="str">
        <f>N_Table</f>
        <v>Table</v>
      </c>
      <c r="BF57" s="3" t="str">
        <f>N_Arbitre</f>
        <v>Arbitre</v>
      </c>
      <c r="BG57" s="2490" t="str">
        <f>N_Matches</f>
        <v>Matches</v>
      </c>
      <c r="BH57" s="2491"/>
      <c r="BI57" s="2491"/>
      <c r="BJ57" s="2491"/>
      <c r="BK57" s="2492"/>
      <c r="BL57" s="3" t="str">
        <f>N_MS</f>
        <v>MS</v>
      </c>
      <c r="BM57"/>
      <c r="BN57"/>
      <c r="BO57"/>
      <c r="BP57"/>
      <c r="BQ57"/>
      <c r="BR57"/>
    </row>
    <row r="58" spans="1:70" ht="13.5" thickBot="1" x14ac:dyDescent="0.25">
      <c r="A58"/>
      <c r="B58" s="128"/>
      <c r="C58" s="167" t="str">
        <f>IF(OR(ISNUMBER(L56),ISNUMBER(L57)),Lire_Gain_Matches(N56:N57, L56:L57),"")</f>
        <v/>
      </c>
      <c r="D58" s="168" t="str">
        <f>IF(OR(ISNUMBER(L56),ISNUMBER(L57)),SUM(N56:N57),"")</f>
        <v/>
      </c>
      <c r="E58" s="169"/>
      <c r="F58" s="170" t="str">
        <f>IF(N58="","",N58)</f>
        <v/>
      </c>
      <c r="G58" s="155"/>
      <c r="H58" s="178"/>
      <c r="I58" s="179" t="str">
        <f>N_Différentiel</f>
        <v>Différentiel</v>
      </c>
      <c r="J58" s="239"/>
      <c r="K58" s="240"/>
      <c r="L58" s="182"/>
      <c r="M58" s="66" t="s">
        <v>769</v>
      </c>
      <c r="N58" s="182"/>
      <c r="O58" s="253"/>
      <c r="P58"/>
      <c r="Q58" s="266" t="str">
        <f>IF(C58="","",CONCATENATE(C58,IF(B58=Q57,IF(C56=C58,CONCATENATE(" [ ",D58," - ",D56," ] ",IF(E57="x",N_res_MS,IF(F58="","",CONCATENATE(" (",N_res_Diff," ",F58," - ",F56,")")))),IF(E57="x",N_res_MS,"")),"")))</f>
        <v/>
      </c>
      <c r="R58"/>
      <c r="S58"/>
      <c r="T58"/>
      <c r="U58"/>
      <c r="V58"/>
      <c r="W58"/>
      <c r="X58" s="1"/>
      <c r="Y58" s="1"/>
      <c r="Z58"/>
      <c r="AA58" s="6"/>
      <c r="AB58" s="1"/>
      <c r="AC58" s="1"/>
      <c r="AD58" s="1"/>
      <c r="AE58" s="16"/>
      <c r="AF58"/>
      <c r="AG58" s="177"/>
      <c r="AH58"/>
      <c r="AI58"/>
      <c r="AJ58"/>
      <c r="AK58"/>
      <c r="AL58"/>
      <c r="AM58"/>
      <c r="AN58"/>
      <c r="AO58"/>
      <c r="AP58"/>
      <c r="AQ58"/>
      <c r="AR58" s="1"/>
      <c r="AS58"/>
      <c r="AT58" s="1"/>
      <c r="AU58"/>
      <c r="AV58"/>
      <c r="AW58"/>
      <c r="AX58" s="223" t="str">
        <f>IF(AW22=AH21,AH23,AH21)</f>
        <v/>
      </c>
      <c r="AY58" s="151" t="str">
        <f>IF(OR(,ISNUMBER(BH58),ISNUMBER(BH59)),Lire_Gain_Matches(BH58:BH59, BJ58:BJ59),"")</f>
        <v/>
      </c>
      <c r="AZ58" s="152" t="str">
        <f>IF(OR(ISNUMBER(BH58),ISNUMBER(BH59)),SUM(BH58:BH59),"")</f>
        <v/>
      </c>
      <c r="BA58" s="153"/>
      <c r="BB58" s="154" t="str">
        <f>IF(BH60="","",BH60)</f>
        <v/>
      </c>
      <c r="BC58" s="155"/>
      <c r="BD58" s="315"/>
      <c r="BE58" s="316"/>
      <c r="BF58" s="317"/>
      <c r="BG58" s="237"/>
      <c r="BH58" s="236"/>
      <c r="BI58" s="60"/>
      <c r="BJ58" s="236"/>
      <c r="BK58" s="318"/>
      <c r="BL58" s="319"/>
      <c r="BM58" s="263" t="str">
        <f>IF(AY58="","",CONCATENATE(AY58,IF(AX58=BM59,IF(AY58=AY60,CONCATENATE(" [ ",AZ58," - ",AZ60," ] ",IF(BA59="x",N_res_MS,IF(BB58="","",CONCATENATE(" (",N_res_Diff," ",BB58," - ",BB60,")")))),IF(BA59="x",N_res_MS,"")),"")))</f>
        <v/>
      </c>
      <c r="BN58"/>
      <c r="BO58"/>
      <c r="BP58"/>
      <c r="BQ58"/>
      <c r="BR58"/>
    </row>
    <row r="59" spans="1:70" ht="18.75" thickBot="1" x14ac:dyDescent="0.3">
      <c r="A59"/>
      <c r="B59"/>
      <c r="C59"/>
      <c r="D59"/>
      <c r="E59"/>
      <c r="F59"/>
      <c r="G59"/>
      <c r="H59" s="1"/>
      <c r="I59" s="1"/>
      <c r="J59"/>
      <c r="K59" s="6"/>
      <c r="L59" s="1"/>
      <c r="M59" s="1"/>
      <c r="N59" s="1"/>
      <c r="O59" s="16"/>
      <c r="P59"/>
      <c r="Q59" s="177"/>
      <c r="R59"/>
      <c r="S59" s="141" t="str">
        <f>N_Matches</f>
        <v>Matches</v>
      </c>
      <c r="T59" s="142" t="str">
        <f>N_Buts</f>
        <v>Buts</v>
      </c>
      <c r="U59" s="142" t="str">
        <f>N_MS</f>
        <v>MS</v>
      </c>
      <c r="V59" s="143" t="str">
        <f>N_Diff</f>
        <v>Diff</v>
      </c>
      <c r="W59" s="7"/>
      <c r="X59" s="3" t="str">
        <f>N_Heure</f>
        <v>Heure</v>
      </c>
      <c r="Y59" s="3" t="str">
        <f>N_Table</f>
        <v>Table</v>
      </c>
      <c r="Z59" s="3" t="str">
        <f>N_Arbitre</f>
        <v>Arbitre</v>
      </c>
      <c r="AA59" s="2490" t="str">
        <f>N_Matches</f>
        <v>Matches</v>
      </c>
      <c r="AB59" s="2491"/>
      <c r="AC59" s="2491"/>
      <c r="AD59" s="2491"/>
      <c r="AE59" s="2492"/>
      <c r="AF59" s="3" t="str">
        <f>N_MS</f>
        <v>MS</v>
      </c>
      <c r="AG59" s="177"/>
      <c r="AH59"/>
      <c r="AI59"/>
      <c r="AJ59"/>
      <c r="AK59"/>
      <c r="AL59"/>
      <c r="AM59"/>
      <c r="AN59"/>
      <c r="AO59"/>
      <c r="AP59"/>
      <c r="AQ59"/>
      <c r="AR59" s="1"/>
      <c r="AS59"/>
      <c r="AT59" s="1"/>
      <c r="AU59"/>
      <c r="AV59"/>
      <c r="AW59"/>
      <c r="AX59"/>
      <c r="AY59" s="160"/>
      <c r="AZ59" s="161"/>
      <c r="BA59" s="162" t="str">
        <f>IF(ISNA(VLOOKUP("X",BL58:BL59,1,FALSE)),"","X")</f>
        <v/>
      </c>
      <c r="BB59" s="163"/>
      <c r="BC59" s="190"/>
      <c r="BD59" s="171"/>
      <c r="BE59" s="172"/>
      <c r="BF59" s="173"/>
      <c r="BG59" s="174"/>
      <c r="BH59" s="175"/>
      <c r="BI59" s="52"/>
      <c r="BJ59" s="175"/>
      <c r="BK59" s="251"/>
      <c r="BL59" s="252"/>
      <c r="BM59" s="224" t="str">
        <f>IF(AY58="","",IF(AY58&gt;AY60,AX58,IF(AY60&gt;AY58,AX60,IF(AZ58&gt;AZ60,AX58,IF(AZ60&gt;AZ58,AX60,IF(BB58&gt;BB60,AX58,IF(BB60&gt;BB58,AX60,mess_erreur_marque)))))))</f>
        <v/>
      </c>
      <c r="BN59"/>
      <c r="BO59"/>
      <c r="BP59"/>
      <c r="BQ59"/>
      <c r="BR59"/>
    </row>
    <row r="60" spans="1:70" ht="13.5" thickBot="1" x14ac:dyDescent="0.25">
      <c r="A60"/>
      <c r="B60"/>
      <c r="C60"/>
      <c r="D60"/>
      <c r="E60"/>
      <c r="F60"/>
      <c r="G60"/>
      <c r="H60" s="1"/>
      <c r="I60" s="1"/>
      <c r="J60"/>
      <c r="K60" s="6"/>
      <c r="L60" s="1"/>
      <c r="M60" s="1"/>
      <c r="N60" s="1"/>
      <c r="O60" s="16"/>
      <c r="P60"/>
      <c r="Q60"/>
      <c r="R60" s="132" t="str">
        <f>Q57</f>
        <v/>
      </c>
      <c r="S60" s="151" t="str">
        <f>IF(OR(,ISNUMBER(AB60),ISNUMBER(AB61)),Lire_Gain_Matches(AB60:AB61, AD60:AD61),"")</f>
        <v/>
      </c>
      <c r="T60" s="152" t="str">
        <f>IF(OR(ISNUMBER(AB60),ISNUMBER(AB61)),SUM(AB60:AB61),"")</f>
        <v/>
      </c>
      <c r="U60" s="153"/>
      <c r="V60" s="154" t="str">
        <f>IF(AB62="","",AB62)</f>
        <v/>
      </c>
      <c r="W60" s="155"/>
      <c r="X60" s="315"/>
      <c r="Y60" s="316"/>
      <c r="Z60" s="317"/>
      <c r="AA60" s="237"/>
      <c r="AB60" s="236"/>
      <c r="AC60" s="60"/>
      <c r="AD60" s="236"/>
      <c r="AE60" s="318"/>
      <c r="AF60" s="319"/>
      <c r="AG60" s="264" t="str">
        <f>IF(S60="","",CONCATENATE(S60,IF(R60=AG61,IF(S60=S62,CONCATENATE(" [ ",T60," - ",T62," ] ",IF(U61="x",N_res_MS,IF(V60="","",CONCATENATE(" (",N_res_Diff," ",V60," - ",V62,")")))),IF(U61="x",N_res_MS,"")),"")))</f>
        <v/>
      </c>
      <c r="AH60"/>
      <c r="AI60"/>
      <c r="AJ60"/>
      <c r="AK60"/>
      <c r="AL60"/>
      <c r="AM60"/>
      <c r="AN60"/>
      <c r="AO60"/>
      <c r="AP60"/>
      <c r="AQ60"/>
      <c r="AR60" s="1"/>
      <c r="AS60"/>
      <c r="AT60" s="1"/>
      <c r="AU60"/>
      <c r="AV60"/>
      <c r="AW60"/>
      <c r="AX60" s="223" t="str">
        <f>IF(AW53=AH52,AH54,AH52)</f>
        <v/>
      </c>
      <c r="AY60" s="167" t="str">
        <f>IF(OR(ISNUMBER(BH58),ISNUMBER(BH59)),Lire_Gain_Matches(BJ58:BJ59, BH58:BH59),"")</f>
        <v/>
      </c>
      <c r="AZ60" s="168" t="str">
        <f>IF(OR(ISNUMBER(BH58),ISNUMBER(BH59)),SUM(BJ58:BJ59),"")</f>
        <v/>
      </c>
      <c r="BA60" s="169"/>
      <c r="BB60" s="170" t="str">
        <f>IF(BJ60="","",BJ60)</f>
        <v/>
      </c>
      <c r="BC60" s="155"/>
      <c r="BD60" s="178"/>
      <c r="BE60" s="179" t="str">
        <f>N_Différentiel</f>
        <v>Différentiel</v>
      </c>
      <c r="BF60" s="239"/>
      <c r="BG60" s="240"/>
      <c r="BH60" s="182"/>
      <c r="BI60" s="66" t="s">
        <v>769</v>
      </c>
      <c r="BJ60" s="182"/>
      <c r="BK60" s="253"/>
      <c r="BL60"/>
      <c r="BM60" t="str">
        <f>IF(AY60="","",CONCATENATE(AY60,IF(AX60=BM59,IF(AY58=AY60,CONCATENATE(" [ ",AZ60," - ",AZ58," ] ",IF(BA59="x",N_res_MS,IF(BB60="","",CONCATENATE(" (",N_res_Diff," ",BB60," - ",BB58,")")))),IF(BA59="x",N_res_MS,"")),"")))</f>
        <v/>
      </c>
      <c r="BN60"/>
      <c r="BO60"/>
      <c r="BP60"/>
      <c r="BQ60"/>
      <c r="BR60"/>
    </row>
    <row r="61" spans="1:70" ht="13.5" thickBot="1" x14ac:dyDescent="0.25">
      <c r="A61"/>
      <c r="B61"/>
      <c r="C61"/>
      <c r="D61"/>
      <c r="E61"/>
      <c r="F61"/>
      <c r="G61"/>
      <c r="H61" s="1"/>
      <c r="I61" s="1"/>
      <c r="J61"/>
      <c r="K61" s="6"/>
      <c r="L61" s="1"/>
      <c r="M61" s="1"/>
      <c r="N61" s="1"/>
      <c r="O61" s="16"/>
      <c r="P61"/>
      <c r="Q61"/>
      <c r="R61"/>
      <c r="S61" s="160"/>
      <c r="T61" s="161"/>
      <c r="U61" s="162" t="str">
        <f>IF(ISNA(VLOOKUP("X",AF60:AF61,1,FALSE)),"","X")</f>
        <v/>
      </c>
      <c r="V61" s="163"/>
      <c r="W61" s="186"/>
      <c r="X61" s="171"/>
      <c r="Y61" s="172"/>
      <c r="Z61" s="173"/>
      <c r="AA61" s="174"/>
      <c r="AB61" s="175"/>
      <c r="AC61" s="52"/>
      <c r="AD61" s="175"/>
      <c r="AE61" s="251"/>
      <c r="AF61" s="252"/>
      <c r="AG61" s="187" t="str">
        <f>IF(S60="","",IF(S60&gt;S62,R60,IF(S62&gt;S60,R62,IF(T60&gt;T62,R60,IF(T62&gt;T60,R62,IF(V60&gt;V62,R60,IF(V62&gt;V60,R62,mess_erreur_marque)))))))</f>
        <v/>
      </c>
      <c r="AH61"/>
      <c r="AI61"/>
      <c r="AJ61"/>
      <c r="AK61"/>
      <c r="AL61"/>
      <c r="AM61"/>
      <c r="AN61"/>
      <c r="AO61"/>
      <c r="AP61"/>
      <c r="AQ61"/>
      <c r="AR61" s="1"/>
      <c r="AS61"/>
      <c r="AT61" s="1"/>
      <c r="AU61"/>
      <c r="AV61"/>
      <c r="AW61"/>
      <c r="AX61"/>
      <c r="AY61"/>
      <c r="AZ61"/>
      <c r="BA61"/>
      <c r="BB61"/>
      <c r="BC61"/>
      <c r="BD61"/>
      <c r="BE61"/>
      <c r="BF61"/>
      <c r="BG61"/>
      <c r="BH61"/>
      <c r="BI61"/>
      <c r="BJ61"/>
      <c r="BK61"/>
      <c r="BL61"/>
      <c r="BM61"/>
      <c r="BN61"/>
      <c r="BO61"/>
      <c r="BP61"/>
      <c r="BQ61"/>
      <c r="BR61"/>
    </row>
    <row r="62" spans="1:70" ht="13.5" thickBot="1" x14ac:dyDescent="0.25">
      <c r="A62"/>
      <c r="B62"/>
      <c r="C62"/>
      <c r="D62"/>
      <c r="E62"/>
      <c r="F62"/>
      <c r="G62"/>
      <c r="H62" s="1"/>
      <c r="I62" s="1"/>
      <c r="J62"/>
      <c r="K62" s="6"/>
      <c r="L62" s="1"/>
      <c r="M62" s="1"/>
      <c r="N62" s="1"/>
      <c r="O62" s="16"/>
      <c r="P62"/>
      <c r="Q62"/>
      <c r="R62" s="132" t="str">
        <f>Q65</f>
        <v/>
      </c>
      <c r="S62" s="167" t="str">
        <f>IF(OR(ISNUMBER(AB60),ISNUMBER(AB61)),Lire_Gain_Matches(AD60:AD61, AB60:AB61),"")</f>
        <v/>
      </c>
      <c r="T62" s="168" t="str">
        <f>IF(OR(ISNUMBER(AB60),ISNUMBER(AB61)),SUM(AD60:AD61),"")</f>
        <v/>
      </c>
      <c r="U62" s="169"/>
      <c r="V62" s="170" t="str">
        <f>IF(AD62="","",AD62)</f>
        <v/>
      </c>
      <c r="W62" s="155"/>
      <c r="X62" s="178"/>
      <c r="Y62" s="179" t="str">
        <f>N_Différentiel</f>
        <v>Différentiel</v>
      </c>
      <c r="Z62" s="239"/>
      <c r="AA62" s="240"/>
      <c r="AB62" s="182"/>
      <c r="AC62" s="66" t="s">
        <v>769</v>
      </c>
      <c r="AD62" s="182"/>
      <c r="AE62" s="253"/>
      <c r="AF62"/>
      <c r="AG62" t="str">
        <f>IF(S62="","",CONCATENATE(S62,IF(R62=AG61,IF(S60=S62,CONCATENATE(" [ ",T62," - ",T60," ] ",IF(U61="x",N_res_MS,IF(V62="","",CONCATENATE(" (",N_res_Diff," ",V62," - ",V60,")")))),IF(U61="x",N_res_MS,"")),"")))</f>
        <v/>
      </c>
      <c r="AH62"/>
      <c r="AI62"/>
      <c r="AJ62"/>
      <c r="AK62"/>
      <c r="AL62"/>
      <c r="AM62"/>
      <c r="AN62"/>
      <c r="AO62"/>
      <c r="AP62"/>
      <c r="AQ62"/>
      <c r="AR62" s="1"/>
      <c r="AS62"/>
      <c r="AT62" s="1"/>
      <c r="AU62"/>
      <c r="AV62"/>
      <c r="AW62"/>
      <c r="AX62"/>
      <c r="AY62"/>
      <c r="AZ62"/>
      <c r="BA62"/>
      <c r="BB62"/>
      <c r="BC62"/>
      <c r="BD62"/>
      <c r="BE62"/>
      <c r="BF62"/>
      <c r="BG62"/>
      <c r="BH62"/>
      <c r="BI62"/>
      <c r="BJ62"/>
      <c r="BK62"/>
      <c r="BL62"/>
      <c r="BM62"/>
      <c r="BN62"/>
      <c r="BO62"/>
      <c r="BP62"/>
      <c r="BQ62"/>
      <c r="BR62"/>
    </row>
    <row r="63" spans="1:70" ht="13.5" thickBot="1" x14ac:dyDescent="0.25">
      <c r="A63"/>
      <c r="B63"/>
      <c r="C63" s="141" t="str">
        <f>N_Matches</f>
        <v>Matches</v>
      </c>
      <c r="D63" s="142" t="str">
        <f>N_Buts</f>
        <v>Buts</v>
      </c>
      <c r="E63" s="142" t="str">
        <f>N_MS</f>
        <v>MS</v>
      </c>
      <c r="F63" s="143" t="str">
        <f>N_Diff</f>
        <v>Diff</v>
      </c>
      <c r="G63" s="7"/>
      <c r="H63" s="3" t="str">
        <f>N_Heure</f>
        <v>Heure</v>
      </c>
      <c r="I63" s="3" t="str">
        <f>N_Table</f>
        <v>Table</v>
      </c>
      <c r="J63" s="3" t="str">
        <f>N_Arbitre</f>
        <v>Arbitre</v>
      </c>
      <c r="K63" s="2490" t="str">
        <f>N_Matches</f>
        <v>Matches</v>
      </c>
      <c r="L63" s="2491"/>
      <c r="M63" s="2491"/>
      <c r="N63" s="2491"/>
      <c r="O63" s="2492"/>
      <c r="P63" s="3" t="str">
        <f>N_MS</f>
        <v>MS</v>
      </c>
      <c r="Q63" s="177"/>
      <c r="R63"/>
      <c r="S63"/>
      <c r="T63"/>
      <c r="U63"/>
      <c r="V63"/>
      <c r="W63"/>
      <c r="X63" s="1"/>
      <c r="Y63" s="1"/>
      <c r="Z63"/>
      <c r="AA63" s="6"/>
      <c r="AB63" s="1"/>
      <c r="AC63" s="1"/>
      <c r="AD63" s="1"/>
      <c r="AE63" s="16"/>
      <c r="AF63"/>
      <c r="AG63"/>
      <c r="AH63"/>
      <c r="AI63"/>
      <c r="AJ63"/>
      <c r="AK63"/>
      <c r="AL63"/>
      <c r="AM63"/>
      <c r="AN63"/>
      <c r="AO63"/>
      <c r="AP63"/>
      <c r="AQ63"/>
      <c r="AR63" s="1"/>
      <c r="AS63"/>
      <c r="AT63" s="1"/>
      <c r="AU63"/>
      <c r="AV63"/>
      <c r="AW63"/>
      <c r="AX63"/>
      <c r="AY63"/>
      <c r="AZ63"/>
      <c r="BA63"/>
      <c r="BB63"/>
      <c r="BC63"/>
      <c r="BD63"/>
      <c r="BE63"/>
      <c r="BF63"/>
      <c r="BG63"/>
      <c r="BH63"/>
      <c r="BI63"/>
      <c r="BJ63"/>
      <c r="BK63"/>
      <c r="BL63"/>
      <c r="BM63"/>
      <c r="BN63"/>
      <c r="BO63"/>
      <c r="BP63"/>
      <c r="BQ63"/>
      <c r="BR63"/>
    </row>
    <row r="64" spans="1:70" ht="13.5" thickBot="1" x14ac:dyDescent="0.25">
      <c r="A64"/>
      <c r="B64" s="128"/>
      <c r="C64" s="151" t="str">
        <f>IF(OR(,ISNUMBER(L64),ISNUMBER(L65)),Lire_Gain_Matches(L64:L65, N64:N65),"")</f>
        <v/>
      </c>
      <c r="D64" s="152" t="str">
        <f>IF(OR(ISNUMBER(L64),ISNUMBER(L65)),SUM(L64:L65),"")</f>
        <v/>
      </c>
      <c r="E64" s="153"/>
      <c r="F64" s="154" t="str">
        <f>IF(L66="","",L66)</f>
        <v/>
      </c>
      <c r="G64" s="155"/>
      <c r="H64" s="156"/>
      <c r="I64" s="157"/>
      <c r="J64" s="158"/>
      <c r="K64" s="103"/>
      <c r="L64" s="10"/>
      <c r="M64" s="45"/>
      <c r="N64" s="10"/>
      <c r="O64" s="249"/>
      <c r="P64" s="250"/>
      <c r="Q64" s="264" t="str">
        <f>IF(C64="","",CONCATENATE(C64,IF(B64=Q65,IF(C64=C66,CONCATENATE(" [ ",D64," - ",D66," ] ",IF(E65="x",N_res_MS,IF(F64="","",CONCATENATE(" (",N_res_Diff," ",F64," - ",F66,")")))),IF(E65="x",N_res_MS,"")),"")))</f>
        <v/>
      </c>
      <c r="R64"/>
      <c r="S64"/>
      <c r="T64"/>
      <c r="U64"/>
      <c r="V64"/>
      <c r="W64"/>
      <c r="X64"/>
      <c r="Y64"/>
      <c r="Z64"/>
      <c r="AA64"/>
      <c r="AB64" s="1"/>
      <c r="AC64"/>
      <c r="AD64" s="1"/>
      <c r="AE64"/>
      <c r="AF64"/>
      <c r="AG64"/>
      <c r="AH64"/>
      <c r="AI64"/>
      <c r="AJ64"/>
      <c r="AK64"/>
      <c r="AL64"/>
      <c r="AM64"/>
      <c r="AN64"/>
      <c r="AO64"/>
      <c r="AP64"/>
      <c r="AQ64"/>
      <c r="AR64" s="1"/>
      <c r="AS64"/>
      <c r="AT64" s="1"/>
      <c r="AU64"/>
      <c r="AV64"/>
      <c r="AW64"/>
      <c r="AX64"/>
      <c r="AY64"/>
      <c r="AZ64"/>
      <c r="BA64"/>
      <c r="BB64"/>
      <c r="BC64"/>
      <c r="BD64"/>
      <c r="BE64"/>
      <c r="BF64"/>
      <c r="BG64"/>
      <c r="BH64"/>
      <c r="BI64"/>
      <c r="BJ64"/>
      <c r="BK64"/>
      <c r="BL64"/>
      <c r="BM64"/>
      <c r="BN64"/>
      <c r="BO64"/>
      <c r="BP64"/>
      <c r="BQ64"/>
      <c r="BR64"/>
    </row>
    <row r="65" spans="1:70" ht="13.5" thickBot="1" x14ac:dyDescent="0.25">
      <c r="A65"/>
      <c r="B65"/>
      <c r="C65" s="160"/>
      <c r="D65" s="161"/>
      <c r="E65" s="162" t="str">
        <f>IF(ISNA(VLOOKUP("X",P64:P65,1,FALSE)),"","X")</f>
        <v/>
      </c>
      <c r="F65" s="163"/>
      <c r="G65" s="164"/>
      <c r="H65" s="171"/>
      <c r="I65" s="172"/>
      <c r="J65" s="173"/>
      <c r="K65" s="174"/>
      <c r="L65" s="175"/>
      <c r="M65" s="52"/>
      <c r="N65" s="175"/>
      <c r="O65" s="251"/>
      <c r="P65" s="252"/>
      <c r="Q65" s="166" t="str">
        <f>IF(C64="","",IF(C64&gt;C66,B64,IF(C66&gt;C64,B66,IF(D64&gt;D66,B64,IF(D66&gt;D64,B66,IF(F64&gt;F66,B64,IF(F66&gt;F64,B66,mess_erreur_marque)))))))</f>
        <v/>
      </c>
      <c r="R65"/>
      <c r="S65"/>
      <c r="T65"/>
      <c r="U65"/>
      <c r="V65"/>
      <c r="W65"/>
      <c r="X65"/>
      <c r="Y65"/>
      <c r="Z65"/>
      <c r="AA65"/>
      <c r="AB65" s="1"/>
      <c r="AC65"/>
      <c r="AD65" s="1"/>
      <c r="AE65"/>
      <c r="AF65"/>
      <c r="AG65"/>
      <c r="AH65"/>
      <c r="AI65"/>
      <c r="AJ65"/>
      <c r="AK65"/>
      <c r="AL65"/>
      <c r="AM65"/>
      <c r="AN65"/>
      <c r="AO65"/>
      <c r="AP65"/>
      <c r="AQ65"/>
      <c r="AR65" s="1"/>
      <c r="AS65"/>
      <c r="AT65" s="1"/>
      <c r="AU65"/>
      <c r="AV65"/>
      <c r="AW65"/>
      <c r="AX65"/>
      <c r="AY65"/>
      <c r="AZ65"/>
      <c r="BA65"/>
      <c r="BB65"/>
      <c r="BC65"/>
      <c r="BD65"/>
      <c r="BE65"/>
      <c r="BF65"/>
      <c r="BG65"/>
      <c r="BH65"/>
      <c r="BI65"/>
      <c r="BJ65"/>
      <c r="BK65"/>
      <c r="BL65"/>
      <c r="BM65"/>
      <c r="BN65"/>
      <c r="BO65"/>
      <c r="BP65"/>
      <c r="BQ65"/>
      <c r="BR65"/>
    </row>
    <row r="66" spans="1:70" ht="13.5" thickBot="1" x14ac:dyDescent="0.25">
      <c r="A66"/>
      <c r="B66" s="128"/>
      <c r="C66" s="167" t="str">
        <f>IF(OR(ISNUMBER(L64),ISNUMBER(L65)),Lire_Gain_Matches(N64:N65, L64:L65),"")</f>
        <v/>
      </c>
      <c r="D66" s="168" t="str">
        <f>IF(OR(ISNUMBER(L64),ISNUMBER(L65)),SUM(N64:N65),"")</f>
        <v/>
      </c>
      <c r="E66" s="169"/>
      <c r="F66" s="170" t="str">
        <f>IF(N66="","",N66)</f>
        <v/>
      </c>
      <c r="G66" s="155"/>
      <c r="H66" s="178"/>
      <c r="I66" s="179" t="str">
        <f>N_Différentiel</f>
        <v>Différentiel</v>
      </c>
      <c r="J66" s="239"/>
      <c r="K66" s="240"/>
      <c r="L66" s="182"/>
      <c r="M66" s="66" t="s">
        <v>769</v>
      </c>
      <c r="N66" s="182"/>
      <c r="O66" s="253"/>
      <c r="P66"/>
      <c r="Q66" t="str">
        <f>IF(C66="","",CONCATENATE(C66,IF(B66=Q65,IF(C64=C66,CONCATENATE(" [ ",D66," - ",D64," ] ",IF(E65="x",N_res_MS,IF(F66="","",CONCATENATE(" (",N_res_Diff," ",F66," - ",F64,")")))),IF(E65="x",N_res_MS,"")),"")))</f>
        <v/>
      </c>
      <c r="R66"/>
      <c r="S66"/>
      <c r="T66"/>
      <c r="U66"/>
      <c r="V66"/>
      <c r="W66"/>
      <c r="X66"/>
      <c r="Y66"/>
      <c r="Z66"/>
      <c r="AA66"/>
      <c r="AB66" s="1"/>
      <c r="AC66"/>
      <c r="AD66" s="1"/>
      <c r="AE66"/>
      <c r="AF66"/>
      <c r="AG66"/>
      <c r="AH66"/>
      <c r="AI66"/>
      <c r="AJ66"/>
      <c r="AK66"/>
      <c r="AL66"/>
      <c r="AM66"/>
      <c r="AN66"/>
      <c r="AO66"/>
      <c r="AP66"/>
      <c r="AQ66"/>
      <c r="AR66" s="1"/>
      <c r="AS66"/>
      <c r="AT66" s="1"/>
      <c r="AU66"/>
      <c r="AV66"/>
      <c r="AW66"/>
      <c r="AX66"/>
      <c r="AY66"/>
      <c r="AZ66"/>
      <c r="BA66"/>
      <c r="BB66"/>
      <c r="BC66"/>
      <c r="BD66"/>
      <c r="BE66"/>
      <c r="BF66"/>
      <c r="BG66"/>
      <c r="BH66"/>
      <c r="BI66"/>
      <c r="BJ66"/>
      <c r="BK66"/>
      <c r="BL66"/>
      <c r="BM66"/>
      <c r="BN66"/>
      <c r="BO66"/>
      <c r="BP66"/>
      <c r="BQ66"/>
      <c r="BR66"/>
    </row>
    <row r="67" spans="1:70" x14ac:dyDescent="0.2">
      <c r="A67"/>
      <c r="B67"/>
      <c r="C67"/>
      <c r="D67"/>
      <c r="E67"/>
      <c r="F67"/>
      <c r="G67"/>
      <c r="H67" s="1"/>
      <c r="I67" s="1"/>
      <c r="J67"/>
      <c r="K67" s="6"/>
      <c r="L67" s="1"/>
      <c r="M67" s="1"/>
      <c r="N67" s="1"/>
      <c r="O67" s="16"/>
      <c r="P67"/>
      <c r="Q67"/>
      <c r="R67"/>
      <c r="S67"/>
      <c r="T67"/>
      <c r="U67"/>
      <c r="V67"/>
      <c r="W67"/>
      <c r="X67"/>
      <c r="Y67"/>
      <c r="Z67"/>
      <c r="AA67"/>
      <c r="AB67" s="1"/>
      <c r="AC67"/>
      <c r="AD67" s="1"/>
      <c r="AE67"/>
      <c r="AF67"/>
      <c r="AG67"/>
      <c r="AH67"/>
      <c r="AI67"/>
      <c r="AJ67"/>
      <c r="AK67"/>
      <c r="AL67"/>
      <c r="AM67"/>
      <c r="AN67"/>
      <c r="AO67"/>
      <c r="AP67"/>
      <c r="AQ67"/>
      <c r="AR67" s="1"/>
      <c r="AS67"/>
      <c r="AT67" s="1"/>
      <c r="AU67"/>
      <c r="AV67"/>
      <c r="AW67"/>
      <c r="AX67"/>
      <c r="AY67"/>
      <c r="AZ67"/>
      <c r="BA67"/>
      <c r="BB67"/>
      <c r="BC67"/>
      <c r="BD67"/>
      <c r="BE67"/>
      <c r="BF67"/>
      <c r="BG67"/>
      <c r="BH67"/>
      <c r="BI67"/>
      <c r="BJ67"/>
      <c r="BK67"/>
      <c r="BL67"/>
      <c r="BM67"/>
      <c r="BN67"/>
      <c r="BO67"/>
      <c r="BP67"/>
      <c r="BQ67"/>
      <c r="BR67"/>
    </row>
  </sheetData>
  <sheetProtection sheet="1" objects="1" scenarios="1" formatColumns="0" formatRows="0"/>
  <dataConsolidate/>
  <customSheetViews>
    <customSheetView guid="{13F24B0A-7740-483A-BEF7-5257F8522605}" scale="75" showGridLines="0" fitToPage="1" hiddenColumns="1" state="hidden" topLeftCell="Q1">
      <pane ySplit="6" topLeftCell="A16" activePane="bottomLeft" state="frozen"/>
      <selection pane="bottomLeft" activeCell="BR67" sqref="BR67"/>
      <pageMargins left="0.78740157499999996" right="0.78740157499999996" top="0.984251969" bottom="0.984251969" header="0.4921259845" footer="0.4921259845"/>
      <pageSetup paperSize="9" scale="22" orientation="portrait" r:id="rId1"/>
      <headerFooter alignWithMargins="0"/>
    </customSheetView>
  </customSheetViews>
  <mergeCells count="25">
    <mergeCell ref="K63:O63"/>
    <mergeCell ref="AA59:AE59"/>
    <mergeCell ref="BG57:BK57"/>
    <mergeCell ref="AX55:BB55"/>
    <mergeCell ref="BG55:BK55"/>
    <mergeCell ref="K55:O55"/>
    <mergeCell ref="AQ51:AU51"/>
    <mergeCell ref="BN41:BQ41"/>
    <mergeCell ref="AH6:AL6"/>
    <mergeCell ref="K16:O16"/>
    <mergeCell ref="K24:O24"/>
    <mergeCell ref="K39:O39"/>
    <mergeCell ref="K32:O32"/>
    <mergeCell ref="K47:O47"/>
    <mergeCell ref="AA28:AE28"/>
    <mergeCell ref="AA43:AE43"/>
    <mergeCell ref="BG35:BK35"/>
    <mergeCell ref="AQ20:AU20"/>
    <mergeCell ref="AA12:AE12"/>
    <mergeCell ref="B6:F6"/>
    <mergeCell ref="K8:O8"/>
    <mergeCell ref="R6:V6"/>
    <mergeCell ref="BG6:BK6"/>
    <mergeCell ref="AX6:BB6"/>
    <mergeCell ref="AQ6:AU6"/>
  </mergeCells>
  <phoneticPr fontId="0" type="noConversion"/>
  <dataValidations count="11">
    <dataValidation type="list" allowBlank="1" showInputMessage="1" showErrorMessage="1" sqref="BL36:BL37 BL58:BL59 AF44:AF45 AF29:AF30 AF60:AF61 AF13:AF14 P48:P49 P64:P65 P56:P57 P40:P41 P33:P34 P25:P26 P17:P18 P9:P10 AV52:AV53 AV21:AV22" xr:uid="{00000000-0002-0000-1A00-000000000000}">
      <formula1>"x"</formula1>
    </dataValidation>
    <dataValidation type="whole" allowBlank="1" showInputMessage="1" showErrorMessage="1" errorTitle="Erreur de saisie" error="Vous devez tapez un nombre entier entre 0 et 100" sqref="AR52:AR54 AT52:AT54 BH36:BH38 BJ36:BJ38 AB60:AB62 AD60:AD62 L64:L66 AB44:AB46 N64:N66 AD44:AD46 AB13:AB15 AD13:AD15 N29 N21 AR21:AR23 N13 AB29:AB31 L13 L33:L35 L40:L42 L25:L27 N33:N35 N40:N42 L48:L50 N48:N50 L56:L58 N56:N58 L17:L19 N25:N27 L9:L11 N17:N19 N9:N11 L29 L21 AT21:AT23 AD29:AD31 BH58:BH60 BJ58:BJ60" xr:uid="{00000000-0002-0000-1A00-000001000000}">
      <formula1>0</formula1>
      <formula2>100</formula2>
    </dataValidation>
    <dataValidation allowBlank="1" showInputMessage="1" showErrorMessage="1" sqref="BB38 BB60 V15 V62 V46 V31 F50 F58 F66 F42 F35 F27 F19 F11 AL54 AL23" xr:uid="{00000000-0002-0000-1A00-000002000000}"/>
    <dataValidation type="list" allowBlank="1" showInputMessage="1" showErrorMessage="1" sqref="O13 O21 O29 K21 K29 K13" xr:uid="{00000000-0002-0000-1A00-000003000000}">
      <formula1>#REF!</formula1>
    </dataValidation>
    <dataValidation type="list" allowBlank="1" showInputMessage="1" sqref="O11 O19 O27 O35 O42 O50 O58 O66 AE62 AE46 AE15 AE31 AU23 AU54 BK38 BK60" xr:uid="{00000000-0002-0000-1A00-000004000000}">
      <formula1>OFFSET(Liste_Doubles,MATCH(B11,Liste_Doubles,0)-1,1,1,OFFSET(Liste_Nb_Equipiers_Doubles,MATCH(B11,Liste_Doubles,0)-1,0,1,1))</formula1>
    </dataValidation>
    <dataValidation type="list" allowBlank="1" showInputMessage="1" sqref="O10 O18 O26 O34 O41 O49 O57 O65 AE61 AE45 AE14 AE30 AU22 AU53 BK37 BK59" xr:uid="{00000000-0002-0000-1A00-000005000000}">
      <formula1>OFFSET(Liste_Doubles,MATCH(B11,Liste_Doubles,0)-1,1,1,OFFSET(Liste_Nb_Equipiers_Doubles,MATCH(B11,Liste_Doubles,0)-1,0,1,1))</formula1>
    </dataValidation>
    <dataValidation type="list" allowBlank="1" showInputMessage="1" sqref="O9 O17 O25 O33 O40 O48 O56 O64 AE60 AE44 AE13 AE29 AU21 AU52 BK36 BK58" xr:uid="{00000000-0002-0000-1A00-000006000000}">
      <formula1>OFFSET(Liste_Doubles,MATCH(B11,Liste_Doubles,0)-1,1,1,OFFSET(Liste_Nb_Equipiers_Doubles,MATCH(B11,Liste_Doubles,0)-1,0,1,1))</formula1>
    </dataValidation>
    <dataValidation type="list" allowBlank="1" showInputMessage="1" sqref="K11 K19 K27 K35 K42 K50 K58 K66 AA62 AA46 AA15 AA31 AQ23 AQ54 BG38 BG60" xr:uid="{00000000-0002-0000-1A00-000007000000}">
      <formula1>OFFSET(Liste_Doubles,MATCH(B9,Liste_Doubles,0)-1,1,1,OFFSET(Liste_Nb_Equipiers_Doubles,MATCH(B9,Liste_Doubles,0)-1,0,1,1))</formula1>
    </dataValidation>
    <dataValidation type="list" allowBlank="1" showInputMessage="1" sqref="K10 K18 K26 K34 K41 K49 K57 K65 AA61 AA45 AA14 AA30 AQ22 AQ53 BG37 BG59" xr:uid="{00000000-0002-0000-1A00-000008000000}">
      <formula1>OFFSET(Liste_Doubles,MATCH(B9,Liste_Doubles,0)-1,1,1,OFFSET(Liste_Nb_Equipiers_Doubles,MATCH(B9,Liste_Doubles,0)-1,0,1,1))</formula1>
    </dataValidation>
    <dataValidation type="list" allowBlank="1" showInputMessage="1" sqref="K9 K17 K25 K33 K40 K48 K56 K64 AA60 AA44 AA13 AA29 AQ21 AQ52 BG36 BG58" xr:uid="{00000000-0002-0000-1A00-000009000000}">
      <formula1>OFFSET(Liste_Doubles,MATCH(B9,Liste_Doubles,0)-1,1,1,OFFSET(Liste_Nb_Equipiers_Doubles,MATCH(B9,Liste_Doubles,0)-1,0,1,1))</formula1>
    </dataValidation>
    <dataValidation type="list" allowBlank="1" showInputMessage="1" showErrorMessage="1" sqref="B9 B11 B17 B19 R13 R15 AH21 AH23 R29 R31 B25 B27 B33 B40 AX36 AX38 R44 AX58 AX60 AH52 AH54 R62 R60 R46 B35 B42 B48 B50 B56 B58 B64 B66" xr:uid="{00000000-0002-0000-1A00-00000A000000}">
      <formula1>List_Doubles</formula1>
    </dataValidation>
  </dataValidations>
  <pageMargins left="0.78740157499999996" right="0.78740157499999996" top="0.984251969" bottom="0.984251969" header="0.4921259845" footer="0.4921259845"/>
  <pageSetup paperSize="9" scale="22" orientation="portrait" r:id="rId2"/>
  <headerFooter alignWithMargins="0"/>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t_DrawModel">
    <pageSetUpPr fitToPage="1"/>
  </sheetPr>
  <dimension ref="A1:AO133"/>
  <sheetViews>
    <sheetView showGridLines="0" workbookViewId="0">
      <selection activeCell="Q1" sqref="Q1"/>
    </sheetView>
  </sheetViews>
  <sheetFormatPr baseColWidth="10" defaultColWidth="3.7109375" defaultRowHeight="12.75" x14ac:dyDescent="0.2"/>
  <cols>
    <col min="1" max="1" width="3" customWidth="1"/>
    <col min="2" max="2" width="21.5703125" bestFit="1" customWidth="1"/>
    <col min="3" max="3" width="4.28515625" customWidth="1"/>
    <col min="4" max="4" width="3.5703125" customWidth="1"/>
    <col min="5" max="5" width="21.28515625" bestFit="1" customWidth="1"/>
    <col min="6" max="6" width="4.28515625" customWidth="1"/>
    <col min="7" max="7" width="3.5703125" customWidth="1"/>
    <col min="8" max="8" width="24.42578125" bestFit="1" customWidth="1"/>
    <col min="9" max="9" width="4.28515625" customWidth="1"/>
    <col min="10" max="10" width="3.5703125" customWidth="1"/>
    <col min="11" max="11" width="22.7109375" bestFit="1" customWidth="1"/>
    <col min="12" max="12" width="4.28515625" customWidth="1"/>
    <col min="13" max="14" width="3.5703125" customWidth="1"/>
    <col min="15" max="15" width="4.85546875" customWidth="1"/>
    <col min="16" max="16" width="2" customWidth="1"/>
    <col min="17" max="17" width="3.5703125" customWidth="1"/>
    <col min="18" max="18" width="4.85546875" customWidth="1"/>
    <col min="19" max="19" width="2" customWidth="1"/>
    <col min="20" max="20" width="3.5703125" customWidth="1"/>
    <col min="21" max="21" width="4.85546875" customWidth="1"/>
    <col min="22" max="22" width="2" customWidth="1"/>
    <col min="23" max="23" width="3.5703125" customWidth="1"/>
    <col min="24" max="24" width="4.85546875" customWidth="1"/>
    <col min="25" max="25" width="6.42578125" customWidth="1"/>
    <col min="26" max="26" width="4.42578125" bestFit="1" customWidth="1"/>
    <col min="27" max="27" width="22.140625" customWidth="1"/>
    <col min="28" max="28" width="12.5703125" bestFit="1" customWidth="1"/>
    <col min="29" max="30" width="6.85546875" bestFit="1" customWidth="1"/>
    <col min="31" max="31" width="5.140625" customWidth="1"/>
    <col min="32" max="32" width="21.140625" customWidth="1"/>
    <col min="33" max="35" width="6.85546875" bestFit="1" customWidth="1"/>
    <col min="36" max="36" width="3.28515625" customWidth="1"/>
    <col min="37" max="39" width="7.140625" hidden="1" customWidth="1"/>
    <col min="40" max="40" width="3" hidden="1" customWidth="1"/>
    <col min="41" max="41" width="2" hidden="1" customWidth="1"/>
  </cols>
  <sheetData>
    <row r="1" spans="1:41" s="1264" customFormat="1" ht="69.75" x14ac:dyDescent="0.35">
      <c r="A1" s="1253"/>
      <c r="B1" s="1253"/>
      <c r="C1" s="1262"/>
      <c r="D1" s="1253"/>
      <c r="E1" s="1263" t="str">
        <f>Tournament_Title</f>
        <v>&lt;FEDERATION&gt; &lt;Event Name&gt;&lt;YYYY&gt; - &lt;Location&gt; - &lt;Individuals/Teams&gt; Competition</v>
      </c>
      <c r="F1" s="1263"/>
      <c r="G1" s="1263"/>
      <c r="H1" s="1263"/>
      <c r="I1" s="1263"/>
      <c r="J1" s="1253"/>
      <c r="K1" s="1253"/>
      <c r="L1" s="1262"/>
      <c r="N1" s="1262"/>
      <c r="O1" s="1262"/>
      <c r="P1" s="1262"/>
      <c r="Q1" s="1262"/>
      <c r="R1" s="1262"/>
      <c r="S1" s="1262"/>
      <c r="T1" s="1262"/>
      <c r="U1" s="1262"/>
      <c r="V1" s="1262"/>
      <c r="W1" s="1262"/>
      <c r="X1" s="1262"/>
      <c r="Y1" s="1262"/>
      <c r="Z1" s="1260"/>
      <c r="AA1" s="1260"/>
      <c r="AB1" s="1260"/>
      <c r="AC1" s="1260"/>
      <c r="AD1" s="1260"/>
      <c r="AE1" s="1260"/>
      <c r="AF1" s="1260"/>
      <c r="AG1" s="1261"/>
      <c r="AH1" s="1261"/>
      <c r="AI1" s="1261"/>
      <c r="AK1" s="1622" t="s">
        <v>9827</v>
      </c>
      <c r="AL1" s="1622" t="s">
        <v>9828</v>
      </c>
      <c r="AM1" s="1622" t="s">
        <v>9829</v>
      </c>
    </row>
    <row r="2" spans="1:41" s="1264" customFormat="1" ht="23.25" x14ac:dyDescent="0.35">
      <c r="A2" s="1253"/>
      <c r="B2" s="1253"/>
      <c r="C2" s="1262"/>
      <c r="D2" s="1265"/>
      <c r="E2" s="1263" t="str">
        <f>N_Category</f>
        <v>Catégorie</v>
      </c>
      <c r="F2" s="1263"/>
      <c r="G2" s="1263"/>
      <c r="H2" s="1263" t="s">
        <v>889</v>
      </c>
      <c r="I2" s="1263"/>
      <c r="J2" s="1253"/>
      <c r="K2" s="1253"/>
      <c r="L2" s="1262"/>
      <c r="N2" s="1262"/>
      <c r="O2" s="1262"/>
      <c r="P2" s="1262"/>
      <c r="Q2" s="1262"/>
      <c r="R2" s="1262"/>
      <c r="S2" s="1262"/>
      <c r="T2" s="1262"/>
      <c r="U2" s="1262"/>
      <c r="V2" s="1262"/>
      <c r="W2" s="1262"/>
      <c r="X2" s="1262"/>
      <c r="Y2" s="1262"/>
      <c r="Z2" s="1266">
        <f>IF(NationalityTrigram,4,5)</f>
        <v>5</v>
      </c>
      <c r="AA2" s="1260"/>
      <c r="AB2" s="1260"/>
      <c r="AC2" s="1260"/>
      <c r="AD2" s="1260"/>
      <c r="AF2" s="1260"/>
      <c r="AG2" s="1260"/>
      <c r="AH2" s="1260"/>
      <c r="AI2" s="1261"/>
      <c r="AK2" s="1624">
        <v>64</v>
      </c>
      <c r="AL2" s="1624">
        <f>ROUNDUP(AK2/AM2,0)</f>
        <v>4</v>
      </c>
      <c r="AM2" s="1623">
        <v>16</v>
      </c>
    </row>
    <row r="3" spans="1:41" ht="22.5" customHeight="1" thickBot="1" x14ac:dyDescent="0.35">
      <c r="A3" s="1221"/>
      <c r="B3" s="1221"/>
      <c r="C3" s="1222"/>
      <c r="D3" s="1223"/>
      <c r="E3" s="1221"/>
      <c r="F3" s="1222"/>
      <c r="G3" s="1223"/>
      <c r="H3" s="1223"/>
      <c r="I3" s="1224"/>
      <c r="J3" s="1221"/>
      <c r="K3" s="1221"/>
      <c r="L3" s="1222"/>
      <c r="M3" s="1221"/>
      <c r="O3" s="1254" t="str">
        <f>N_Drawing</f>
        <v>Tirage</v>
      </c>
      <c r="P3" s="1254"/>
      <c r="Q3" s="1254"/>
      <c r="R3" s="1254"/>
      <c r="S3" s="1254"/>
      <c r="T3" s="1254"/>
      <c r="U3" s="1254"/>
      <c r="V3" s="1254"/>
      <c r="W3" s="1254"/>
      <c r="X3" s="1254"/>
      <c r="Z3" s="1255" t="str">
        <f>N_ParticipantsRanking</f>
        <v>Participants Classement</v>
      </c>
      <c r="AA3" s="1255"/>
      <c r="AB3" s="1255"/>
      <c r="AC3" s="1255"/>
      <c r="AD3" s="1255"/>
      <c r="AF3" s="1255" t="str">
        <f>N_ParticipantsAlphabeticals</f>
        <v>Participants Alphabétique</v>
      </c>
      <c r="AG3" s="1255"/>
      <c r="AH3" s="1255"/>
      <c r="AI3" s="1255"/>
      <c r="AK3" s="1"/>
      <c r="AL3" s="1"/>
      <c r="AM3" s="1"/>
    </row>
    <row r="4" spans="1:41" ht="13.5" customHeight="1" thickBot="1" x14ac:dyDescent="0.25">
      <c r="A4" s="1221"/>
      <c r="B4" s="1225" t="s">
        <v>4040</v>
      </c>
      <c r="C4" s="1226"/>
      <c r="D4" s="1221"/>
      <c r="E4" s="1225" t="s">
        <v>4041</v>
      </c>
      <c r="F4" s="1226"/>
      <c r="G4" s="1221"/>
      <c r="H4" s="1225" t="s">
        <v>4042</v>
      </c>
      <c r="I4" s="1226"/>
      <c r="J4" s="1221"/>
      <c r="K4" s="1225" t="s">
        <v>4043</v>
      </c>
      <c r="L4" s="1226"/>
      <c r="M4" s="1227"/>
      <c r="N4" s="271"/>
      <c r="O4" s="1228" t="s">
        <v>4040</v>
      </c>
      <c r="P4" s="1228"/>
      <c r="Q4" s="1229"/>
      <c r="R4" s="1228" t="s">
        <v>4041</v>
      </c>
      <c r="S4" s="1228"/>
      <c r="T4" s="1229"/>
      <c r="U4" s="1228" t="s">
        <v>4042</v>
      </c>
      <c r="V4" s="1228"/>
      <c r="W4" s="1229"/>
      <c r="X4" s="1228" t="s">
        <v>4043</v>
      </c>
      <c r="Z4" s="1234" t="s">
        <v>5390</v>
      </c>
      <c r="AA4" s="1234" t="str">
        <f>N_Name</f>
        <v>Nom</v>
      </c>
      <c r="AB4" s="1243" t="str">
        <f>N_Rank</f>
        <v>Clas.</v>
      </c>
      <c r="AC4" s="1243" t="str">
        <f>N_Nationality</f>
        <v>Nationalité</v>
      </c>
      <c r="AD4" s="1235" t="str">
        <f>N_Club</f>
        <v>Club</v>
      </c>
      <c r="AF4" s="1234" t="str">
        <f>N_Name</f>
        <v>Nom</v>
      </c>
      <c r="AG4" s="1243" t="str">
        <f>N_Rank</f>
        <v>Clas.</v>
      </c>
      <c r="AH4" s="1243" t="str">
        <f>N_Nationality</f>
        <v>Nationalité</v>
      </c>
      <c r="AI4" s="1235" t="str">
        <f>N_Club</f>
        <v>Club</v>
      </c>
      <c r="AK4" s="11" t="s">
        <v>9830</v>
      </c>
      <c r="AL4" s="11" t="s">
        <v>9709</v>
      </c>
      <c r="AM4" s="11" t="s">
        <v>9831</v>
      </c>
    </row>
    <row r="5" spans="1:41" x14ac:dyDescent="0.2">
      <c r="A5" s="1230">
        <v>1</v>
      </c>
      <c r="B5" s="1231" t="str">
        <f>IF(O5="",N_ToBeDrawn,IF(VLOOKUP(O5,DrawParticipantsRankingList,2,FALSE)="",N_Withdraw,VLOOKUP(O5,DrawParticipantsRankingList,2,FALSE)))</f>
        <v>Player 1</v>
      </c>
      <c r="C5" s="1232" t="str">
        <f>IF(O5="",N5,(IF(B5=N_Withdraw,"",VLOOKUP(O5,DrawParticipantsRankingList,NatClubColNum,FALSE))))</f>
        <v>ITA</v>
      </c>
      <c r="D5" s="1230">
        <v>1</v>
      </c>
      <c r="E5" s="1231" t="str">
        <f>IF(R5="",N_ToBeDrawn,IF(VLOOKUP(R5,DrawParticipantsRankingList,2,FALSE)="",N_Withdraw,VLOOKUP(R5,DrawParticipantsRankingList,2,FALSE)))</f>
        <v>Player 2</v>
      </c>
      <c r="F5" s="1232" t="str">
        <f>IF(R5="",Q5,(IF(E5=N_Withdraw,"",VLOOKUP(R5,DrawParticipantsRankingList,NatClubColNum,FALSE))))</f>
        <v>ITA</v>
      </c>
      <c r="G5" s="1230">
        <v>1</v>
      </c>
      <c r="H5" s="1231" t="str">
        <f>IF(U5="",N_ToBeDrawn,IF(VLOOKUP(U5,DrawParticipantsRankingList,2,FALSE)="",N_Withdraw,VLOOKUP(U5,DrawParticipantsRankingList,2,FALSE)))</f>
        <v>Player 3</v>
      </c>
      <c r="I5" s="1232" t="str">
        <f>IF(U5="",T5,(IF(H5=N_Withdraw,"",VLOOKUP(U5,DrawParticipantsRankingList,NatClubColNum,FALSE))))</f>
        <v>AUT</v>
      </c>
      <c r="J5" s="1230">
        <v>1</v>
      </c>
      <c r="K5" s="1231" t="str">
        <f>IF(X5="",N_ToBeDrawn,IF(VLOOKUP(X5,DrawParticipantsRankingList,2,FALSE)="",N_Withdraw,VLOOKUP(X5,DrawParticipantsRankingList,2,FALSE)))</f>
        <v>Player 4</v>
      </c>
      <c r="L5" s="1232" t="str">
        <f>IF(X5="",W5,(IF(K5=N_Withdraw,"",VLOOKUP(X5,DrawParticipantsRankingList,NatClubColNum,FALSE))))</f>
        <v>ITA</v>
      </c>
      <c r="M5" s="1221"/>
      <c r="N5" s="1230">
        <v>1</v>
      </c>
      <c r="O5" s="1233">
        <v>1</v>
      </c>
      <c r="P5" s="1468"/>
      <c r="Q5" s="1230">
        <v>1</v>
      </c>
      <c r="R5" s="1233">
        <v>2</v>
      </c>
      <c r="S5" s="1468"/>
      <c r="T5" s="1230">
        <v>1</v>
      </c>
      <c r="U5" s="1233">
        <v>3</v>
      </c>
      <c r="V5" s="1468"/>
      <c r="W5" s="1230">
        <v>1</v>
      </c>
      <c r="X5" s="1233">
        <v>4</v>
      </c>
      <c r="Z5" s="1258">
        <f>ROW(Z5)-ROW(Z$4)</f>
        <v>1</v>
      </c>
      <c r="AA5" s="1250" t="s">
        <v>1590</v>
      </c>
      <c r="AB5" s="1244">
        <v>1</v>
      </c>
      <c r="AC5" s="1244" t="s">
        <v>1023</v>
      </c>
      <c r="AD5" s="1245" t="s">
        <v>1037</v>
      </c>
      <c r="AE5" s="1267"/>
      <c r="AF5" s="1250" t="s">
        <v>1590</v>
      </c>
      <c r="AG5" s="1244">
        <v>1</v>
      </c>
      <c r="AH5" s="1244" t="s">
        <v>1023</v>
      </c>
      <c r="AI5" s="1245" t="s">
        <v>1037</v>
      </c>
      <c r="AJ5" s="1236"/>
      <c r="AK5" s="1">
        <f t="shared" ref="AK5" si="0">QUOTIENT(Z5-1,DrawNbGroups)</f>
        <v>0</v>
      </c>
      <c r="AL5" s="1">
        <f t="shared" ref="AL5" si="1">MOD(Z5-1,DrawNbGroups)+IF(Z5&lt;=DrawNbGroups*(DrawGroupSize-1),0,DrawNbGroups*DrawGroupSize-DrawNbParticipants)</f>
        <v>0</v>
      </c>
      <c r="AM5" s="1">
        <f t="shared" ref="AM5:AM36" ca="1" si="2">IF(Z5&gt;DrawNbParticipants,"",OFFSET($O$3,2+AK5+(DrawGroupSize+1+IF(OFFSET($W$3,DrawGroupSize-1+2,0)="",0,1))*QUOTIENT(AL5,4),MOD(AL5,4)*3))</f>
        <v>1</v>
      </c>
      <c r="AN5" s="1">
        <f t="shared" ref="AN5" ca="1" si="3">AK5+(DrawGroupSize+1+IF(OFFSET($W$3,DrawGroupSize-1+2,0)="",0,1))*QUOTIENT(AL5,4)</f>
        <v>0</v>
      </c>
      <c r="AO5" s="1">
        <f>MOD(AL5,4)*3</f>
        <v>0</v>
      </c>
    </row>
    <row r="6" spans="1:41" x14ac:dyDescent="0.2">
      <c r="A6" s="1221">
        <v>2</v>
      </c>
      <c r="B6" s="1237" t="str">
        <f>IF(O6="",N_ToBeDrawn,IF(VLOOKUP(O6,DrawParticipantsRankingList,2,FALSE)="",N_Withdraw,VLOOKUP(O6,DrawParticipantsRankingList,2,FALSE)))</f>
        <v>Player 60</v>
      </c>
      <c r="C6" s="1238" t="str">
        <f>IF(O6="",N6,(IF(B6=N_Withdraw,"",VLOOKUP(O6,DrawParticipantsRankingList,NatClubColNum,FALSE))))</f>
        <v>ITA</v>
      </c>
      <c r="D6" s="1221">
        <v>2</v>
      </c>
      <c r="E6" s="1237" t="str">
        <f>IF(R6="",N_ToBeDrawn,IF(VLOOKUP(R6,DrawParticipantsRankingList,2,FALSE)="",N_Withdraw,VLOOKUP(R6,DrawParticipantsRankingList,2,FALSE)))</f>
        <v>Player 61</v>
      </c>
      <c r="F6" s="1238" t="str">
        <f>IF(R6="",Q6,(IF(E6=N_Withdraw,"",VLOOKUP(R6,DrawParticipantsRankingList,NatClubColNum,FALSE))))</f>
        <v>AUT</v>
      </c>
      <c r="G6" s="1221">
        <v>2</v>
      </c>
      <c r="H6" s="1237" t="str">
        <f>IF(U6="",N_ToBeDrawn,IF(VLOOKUP(U6,DrawParticipantsRankingList,2,FALSE)="",N_Withdraw,VLOOKUP(U6,DrawParticipantsRankingList,2,FALSE)))</f>
        <v>Player 62</v>
      </c>
      <c r="I6" s="1238" t="str">
        <f>IF(U6="",T6,(IF(H6=N_Withdraw,"",VLOOKUP(U6,DrawParticipantsRankingList,NatClubColNum,FALSE))))</f>
        <v>ITA</v>
      </c>
      <c r="J6" s="1221">
        <v>2</v>
      </c>
      <c r="K6" s="1237" t="str">
        <f>IF(X6="",N_ToBeDrawn,IF(VLOOKUP(X6,DrawParticipantsRankingList,2,FALSE)="",N_Withdraw,VLOOKUP(X6,DrawParticipantsRankingList,2,FALSE)))</f>
        <v>Player 64</v>
      </c>
      <c r="L6" s="1238" t="str">
        <f>IF(X6="",W6,(IF(K6=N_Withdraw,"",VLOOKUP(X6,DrawParticipantsRankingList,NatClubColNum,FALSE))))</f>
        <v>ITA</v>
      </c>
      <c r="M6" s="1221"/>
      <c r="N6" s="1221">
        <v>2</v>
      </c>
      <c r="O6" s="1233">
        <v>60</v>
      </c>
      <c r="P6" s="1468"/>
      <c r="Q6" s="1221">
        <v>2</v>
      </c>
      <c r="R6" s="1233">
        <v>61</v>
      </c>
      <c r="S6" s="1468"/>
      <c r="T6" s="1221">
        <v>2</v>
      </c>
      <c r="U6" s="1233">
        <v>62</v>
      </c>
      <c r="V6" s="1468"/>
      <c r="W6" s="1221">
        <v>2</v>
      </c>
      <c r="X6" s="1233">
        <v>64</v>
      </c>
      <c r="Z6" s="1259">
        <f t="shared" ref="Z6:Z69" si="4">ROW(Z6)-ROW(Z$4)</f>
        <v>2</v>
      </c>
      <c r="AA6" s="1251" t="s">
        <v>1592</v>
      </c>
      <c r="AB6" s="1246">
        <f t="shared" ref="AB6:AB37" si="5">AB5+Z6</f>
        <v>3</v>
      </c>
      <c r="AC6" s="1246" t="s">
        <v>1019</v>
      </c>
      <c r="AD6" s="1247" t="s">
        <v>1037</v>
      </c>
      <c r="AE6" s="1267"/>
      <c r="AF6" s="1251" t="s">
        <v>5349</v>
      </c>
      <c r="AG6" s="1246">
        <v>2</v>
      </c>
      <c r="AH6" s="1246" t="s">
        <v>1019</v>
      </c>
      <c r="AI6" s="1247" t="s">
        <v>1037</v>
      </c>
      <c r="AJ6" s="1239"/>
      <c r="AK6" s="1">
        <f t="shared" ref="AK6:AK69" si="6">QUOTIENT(Z6-1,DrawNbGroups)</f>
        <v>0</v>
      </c>
      <c r="AL6" s="1">
        <f t="shared" ref="AL6:AL69" si="7">MOD(Z6-1,DrawNbGroups)+IF(Z6&lt;=DrawNbGroups*(DrawGroupSize-1),0,DrawNbGroups*DrawGroupSize-DrawNbParticipants)</f>
        <v>1</v>
      </c>
      <c r="AM6" s="1">
        <f t="shared" ca="1" si="2"/>
        <v>2</v>
      </c>
      <c r="AN6" s="1">
        <f t="shared" ref="AN6:AN69" ca="1" si="8">AK6+(DrawGroupSize+1+IF(OFFSET($W$3,DrawGroupSize-1+2,0)="",0,1))*QUOTIENT(AL6,4)</f>
        <v>0</v>
      </c>
      <c r="AO6" s="1">
        <f t="shared" ref="AO6:AO69" si="9">MOD(AL6,4)*3</f>
        <v>3</v>
      </c>
    </row>
    <row r="7" spans="1:41" x14ac:dyDescent="0.2">
      <c r="A7" s="1221">
        <v>3</v>
      </c>
      <c r="B7" s="1237" t="str">
        <f>IF(O7="",N_ToBeDrawn,IF(VLOOKUP(O7,DrawParticipantsRankingList,2,FALSE)="",N_Withdraw,VLOOKUP(O7,DrawParticipantsRankingList,2,FALSE)))</f>
        <v>Non encore défini</v>
      </c>
      <c r="C7" s="1238">
        <f>IF(O7="",N7,(IF(B7=N_Withdraw,"",VLOOKUP(O7,DrawParticipantsRankingList,NatClubColNum,FALSE))))</f>
        <v>3</v>
      </c>
      <c r="D7" s="1221">
        <v>3</v>
      </c>
      <c r="E7" s="1237" t="str">
        <f>IF(R7="",N_ToBeDrawn,IF(VLOOKUP(R7,DrawParticipantsRankingList,2,FALSE)="",N_Withdraw,VLOOKUP(R7,DrawParticipantsRankingList,2,FALSE)))</f>
        <v>Non encore défini</v>
      </c>
      <c r="F7" s="1238">
        <f>IF(R7="",Q7,(IF(E7=N_Withdraw,"",VLOOKUP(R7,DrawParticipantsRankingList,NatClubColNum,FALSE))))</f>
        <v>3</v>
      </c>
      <c r="G7" s="1221">
        <v>3</v>
      </c>
      <c r="H7" s="1237" t="str">
        <f>IF(U7="",N_ToBeDrawn,IF(VLOOKUP(U7,DrawParticipantsRankingList,2,FALSE)="",N_Withdraw,VLOOKUP(U7,DrawParticipantsRankingList,2,FALSE)))</f>
        <v>Non encore défini</v>
      </c>
      <c r="I7" s="1238">
        <f>IF(U7="",T7,(IF(H7=N_Withdraw,"",VLOOKUP(U7,DrawParticipantsRankingList,NatClubColNum,FALSE))))</f>
        <v>3</v>
      </c>
      <c r="J7" s="1221">
        <v>3</v>
      </c>
      <c r="K7" s="1237" t="str">
        <f>IF(X7="",N_ToBeDrawn,IF(VLOOKUP(X7,DrawParticipantsRankingList,2,FALSE)="",N_Withdraw,VLOOKUP(X7,DrawParticipantsRankingList,2,FALSE)))</f>
        <v>Non encore défini</v>
      </c>
      <c r="L7" s="1238">
        <f>IF(X7="",W7,(IF(K7=N_Withdraw,"",VLOOKUP(X7,DrawParticipantsRankingList,NatClubColNum,FALSE))))</f>
        <v>3</v>
      </c>
      <c r="M7" s="1221"/>
      <c r="N7" s="1221">
        <v>3</v>
      </c>
      <c r="O7" s="1233"/>
      <c r="P7" s="1468"/>
      <c r="Q7" s="1221">
        <v>3</v>
      </c>
      <c r="R7" s="1233"/>
      <c r="S7" s="1468"/>
      <c r="T7" s="1221">
        <v>3</v>
      </c>
      <c r="U7" s="1233"/>
      <c r="V7" s="1468"/>
      <c r="W7" s="1221">
        <v>3</v>
      </c>
      <c r="X7" s="1233"/>
      <c r="Z7" s="1259">
        <f t="shared" si="4"/>
        <v>3</v>
      </c>
      <c r="AA7" s="1251" t="s">
        <v>5350</v>
      </c>
      <c r="AB7" s="1246">
        <f t="shared" si="5"/>
        <v>6</v>
      </c>
      <c r="AC7" s="1246" t="s">
        <v>1023</v>
      </c>
      <c r="AD7" s="1247" t="s">
        <v>988</v>
      </c>
      <c r="AE7" s="1267"/>
      <c r="AF7" s="1251" t="s">
        <v>5350</v>
      </c>
      <c r="AG7" s="1246">
        <v>3</v>
      </c>
      <c r="AH7" s="1246" t="s">
        <v>1023</v>
      </c>
      <c r="AI7" s="1247" t="s">
        <v>988</v>
      </c>
      <c r="AJ7" s="1239"/>
      <c r="AK7" s="1">
        <f t="shared" si="6"/>
        <v>0</v>
      </c>
      <c r="AL7" s="1">
        <f t="shared" si="7"/>
        <v>2</v>
      </c>
      <c r="AM7" s="1">
        <f t="shared" ca="1" si="2"/>
        <v>3</v>
      </c>
      <c r="AN7" s="1">
        <f t="shared" ca="1" si="8"/>
        <v>0</v>
      </c>
      <c r="AO7" s="1">
        <f t="shared" si="9"/>
        <v>6</v>
      </c>
    </row>
    <row r="8" spans="1:41" ht="13.5" thickBot="1" x14ac:dyDescent="0.25">
      <c r="A8" s="1221">
        <v>4</v>
      </c>
      <c r="B8" s="1240" t="str">
        <f>IF(O8="",N_ToBeDrawn,IF(VLOOKUP(O8,DrawParticipantsRankingList,2,FALSE)="",N_Withdraw,VLOOKUP(O8,DrawParticipantsRankingList,2,FALSE)))</f>
        <v>Non encore défini</v>
      </c>
      <c r="C8" s="1241">
        <f>IF(O8="",N8,(IF(B8=N_Withdraw,"",VLOOKUP(O8,DrawParticipantsRankingList,NatClubColNum,FALSE))))</f>
        <v>4</v>
      </c>
      <c r="D8" s="1221">
        <v>4</v>
      </c>
      <c r="E8" s="1240" t="str">
        <f>IF(R8="",N_ToBeDrawn,IF(VLOOKUP(R8,DrawParticipantsRankingList,2,FALSE)="",N_Withdraw,VLOOKUP(R8,DrawParticipantsRankingList,2,FALSE)))</f>
        <v>Non encore défini</v>
      </c>
      <c r="F8" s="1241">
        <f>IF(R8="",Q8,(IF(E8=N_Withdraw,"",VLOOKUP(R8,DrawParticipantsRankingList,NatClubColNum,FALSE))))</f>
        <v>4</v>
      </c>
      <c r="G8" s="1221">
        <v>4</v>
      </c>
      <c r="H8" s="1240" t="str">
        <f>IF(U8="",N_ToBeDrawn,IF(VLOOKUP(U8,DrawParticipantsRankingList,2,FALSE)="",N_Withdraw,VLOOKUP(U8,DrawParticipantsRankingList,2,FALSE)))</f>
        <v>Non encore défini</v>
      </c>
      <c r="I8" s="1241">
        <f>IF(U8="",T8,(IF(H8=N_Withdraw,"",VLOOKUP(U8,DrawParticipantsRankingList,NatClubColNum,FALSE))))</f>
        <v>4</v>
      </c>
      <c r="J8" s="1221">
        <v>4</v>
      </c>
      <c r="K8" s="1240" t="str">
        <f>IF(X8="",N_ToBeDrawn,IF(VLOOKUP(X8,DrawParticipantsRankingList,2,FALSE)="",N_Withdraw,VLOOKUP(X8,DrawParticipantsRankingList,2,FALSE)))</f>
        <v>Non encore défini</v>
      </c>
      <c r="L8" s="1241">
        <f>IF(X8="",W8,(IF(K8=N_Withdraw,"",VLOOKUP(X8,DrawParticipantsRankingList,NatClubColNum,FALSE))))</f>
        <v>4</v>
      </c>
      <c r="M8" s="1221"/>
      <c r="N8" s="1221">
        <v>4</v>
      </c>
      <c r="O8" s="1233"/>
      <c r="P8" s="1468"/>
      <c r="Q8" s="1221">
        <v>4</v>
      </c>
      <c r="R8" s="1233"/>
      <c r="S8" s="1468"/>
      <c r="T8" s="1221">
        <v>4</v>
      </c>
      <c r="U8" s="1233"/>
      <c r="V8" s="1468"/>
      <c r="W8" s="1221">
        <v>4</v>
      </c>
      <c r="X8" s="1233"/>
      <c r="Z8" s="1259">
        <f t="shared" si="4"/>
        <v>4</v>
      </c>
      <c r="AA8" s="1251" t="s">
        <v>5351</v>
      </c>
      <c r="AB8" s="1246">
        <f t="shared" si="5"/>
        <v>10</v>
      </c>
      <c r="AC8" s="1246" t="s">
        <v>1019</v>
      </c>
      <c r="AD8" s="1247" t="s">
        <v>1037</v>
      </c>
      <c r="AE8" s="1267"/>
      <c r="AF8" s="1251" t="s">
        <v>5349</v>
      </c>
      <c r="AG8" s="1246">
        <v>2</v>
      </c>
      <c r="AH8" s="1246" t="s">
        <v>1019</v>
      </c>
      <c r="AI8" s="1247" t="s">
        <v>1037</v>
      </c>
      <c r="AJ8" s="1239"/>
      <c r="AK8" s="1">
        <f t="shared" si="6"/>
        <v>0</v>
      </c>
      <c r="AL8" s="1">
        <f t="shared" si="7"/>
        <v>3</v>
      </c>
      <c r="AM8" s="1">
        <f t="shared" ca="1" si="2"/>
        <v>4</v>
      </c>
      <c r="AN8" s="1">
        <f t="shared" ca="1" si="8"/>
        <v>0</v>
      </c>
      <c r="AO8" s="1">
        <f t="shared" si="9"/>
        <v>9</v>
      </c>
    </row>
    <row r="9" spans="1:41" x14ac:dyDescent="0.2">
      <c r="A9" s="1221"/>
      <c r="B9" s="1221"/>
      <c r="C9" s="1222"/>
      <c r="D9" s="1221"/>
      <c r="E9" s="1221"/>
      <c r="F9" s="1222"/>
      <c r="G9" s="1221"/>
      <c r="H9" s="1221"/>
      <c r="I9" s="1222"/>
      <c r="J9" s="1221"/>
      <c r="K9" s="1221"/>
      <c r="L9" s="1222"/>
      <c r="M9" s="1221"/>
      <c r="N9" s="1221"/>
      <c r="O9" s="1221"/>
      <c r="P9" s="1221"/>
      <c r="Q9" s="1221"/>
      <c r="R9" s="1221"/>
      <c r="S9" s="1221"/>
      <c r="T9" s="1221"/>
      <c r="U9" s="1221"/>
      <c r="V9" s="1221"/>
      <c r="W9" s="1221"/>
      <c r="X9" s="1221"/>
      <c r="Z9" s="1259">
        <f t="shared" si="4"/>
        <v>5</v>
      </c>
      <c r="AA9" s="1251" t="s">
        <v>5352</v>
      </c>
      <c r="AB9" s="1246">
        <f t="shared" si="5"/>
        <v>15</v>
      </c>
      <c r="AC9" s="1246" t="s">
        <v>1023</v>
      </c>
      <c r="AD9" s="1247" t="s">
        <v>988</v>
      </c>
      <c r="AE9" s="1267"/>
      <c r="AF9" s="1251" t="s">
        <v>5350</v>
      </c>
      <c r="AG9" s="1246">
        <v>3</v>
      </c>
      <c r="AH9" s="1246" t="s">
        <v>1023</v>
      </c>
      <c r="AI9" s="1247" t="s">
        <v>988</v>
      </c>
      <c r="AJ9" s="1239"/>
      <c r="AK9" s="1">
        <f t="shared" si="6"/>
        <v>0</v>
      </c>
      <c r="AL9" s="1">
        <f t="shared" si="7"/>
        <v>4</v>
      </c>
      <c r="AM9" s="1">
        <f t="shared" ca="1" si="2"/>
        <v>0</v>
      </c>
      <c r="AN9" s="1">
        <f t="shared" ca="1" si="8"/>
        <v>6</v>
      </c>
      <c r="AO9" s="1">
        <f t="shared" si="9"/>
        <v>0</v>
      </c>
    </row>
    <row r="10" spans="1:41" ht="13.5" thickBot="1" x14ac:dyDescent="0.25">
      <c r="A10" s="1221"/>
      <c r="B10" s="1225" t="s">
        <v>4044</v>
      </c>
      <c r="C10" s="1226"/>
      <c r="D10" s="1221"/>
      <c r="E10" s="1225" t="s">
        <v>4045</v>
      </c>
      <c r="F10" s="1226"/>
      <c r="G10" s="1221"/>
      <c r="H10" s="1225" t="s">
        <v>4046</v>
      </c>
      <c r="I10" s="1226"/>
      <c r="J10" s="1221"/>
      <c r="K10" s="1225" t="s">
        <v>4047</v>
      </c>
      <c r="L10" s="1226"/>
      <c r="M10" s="1227"/>
      <c r="N10" s="1229"/>
      <c r="O10" s="1228" t="s">
        <v>4044</v>
      </c>
      <c r="P10" s="1228"/>
      <c r="Q10" s="1229"/>
      <c r="R10" s="1228" t="s">
        <v>4045</v>
      </c>
      <c r="S10" s="1228"/>
      <c r="T10" s="1229"/>
      <c r="U10" s="1228" t="s">
        <v>4046</v>
      </c>
      <c r="V10" s="1228"/>
      <c r="W10" s="1229"/>
      <c r="X10" s="1228" t="s">
        <v>4047</v>
      </c>
      <c r="Z10" s="1259">
        <f t="shared" si="4"/>
        <v>6</v>
      </c>
      <c r="AA10" s="1251" t="s">
        <v>5353</v>
      </c>
      <c r="AB10" s="1246">
        <f t="shared" si="5"/>
        <v>21</v>
      </c>
      <c r="AC10" s="1246" t="s">
        <v>1019</v>
      </c>
      <c r="AD10" s="1247" t="s">
        <v>1037</v>
      </c>
      <c r="AE10" s="1267"/>
      <c r="AF10" s="1251" t="s">
        <v>5349</v>
      </c>
      <c r="AG10" s="1246">
        <v>2</v>
      </c>
      <c r="AH10" s="1246" t="s">
        <v>1019</v>
      </c>
      <c r="AI10" s="1247" t="s">
        <v>1037</v>
      </c>
      <c r="AJ10" s="1239"/>
      <c r="AK10" s="1">
        <f t="shared" si="6"/>
        <v>0</v>
      </c>
      <c r="AL10" s="1">
        <f t="shared" si="7"/>
        <v>5</v>
      </c>
      <c r="AM10" s="1">
        <f t="shared" ca="1" si="2"/>
        <v>0</v>
      </c>
      <c r="AN10" s="1">
        <f t="shared" ca="1" si="8"/>
        <v>6</v>
      </c>
      <c r="AO10" s="1">
        <f t="shared" si="9"/>
        <v>3</v>
      </c>
    </row>
    <row r="11" spans="1:41" x14ac:dyDescent="0.2">
      <c r="A11" s="1230">
        <v>1</v>
      </c>
      <c r="B11" s="1231" t="str">
        <f>IF(O11="",N_ToBeDrawn,IF(VLOOKUP(O11,DrawParticipantsRankingList,2,FALSE)="",N_Withdraw,VLOOKUP(O11,DrawParticipantsRankingList,2,FALSE)))</f>
        <v>Non encore défini</v>
      </c>
      <c r="C11" s="1232">
        <f>IF(O11="",N11,(IF(B11=N_Withdraw,"",VLOOKUP(O11,DrawParticipantsRankingList,NatClubColNum,FALSE))))</f>
        <v>1</v>
      </c>
      <c r="D11" s="1230">
        <v>1</v>
      </c>
      <c r="E11" s="1231" t="str">
        <f>IF(R11="",N_ToBeDrawn,IF(VLOOKUP(R11,DrawParticipantsRankingList,2,FALSE)="",N_Withdraw,VLOOKUP(R11,DrawParticipantsRankingList,2,FALSE)))</f>
        <v>Non encore défini</v>
      </c>
      <c r="F11" s="1232">
        <f>IF(R11="",Q11,(IF(E11=N_Withdraw,"",VLOOKUP(R11,DrawParticipantsRankingList,NatClubColNum,FALSE))))</f>
        <v>1</v>
      </c>
      <c r="G11" s="1230">
        <v>1</v>
      </c>
      <c r="H11" s="1231" t="str">
        <f>IF(U11="",N_ToBeDrawn,IF(VLOOKUP(U11,DrawParticipantsRankingList,2,FALSE)="",N_Withdraw,VLOOKUP(U11,DrawParticipantsRankingList,2,FALSE)))</f>
        <v>Non encore défini</v>
      </c>
      <c r="I11" s="1232">
        <f>IF(U11="",T11,(IF(H11=N_Withdraw,"",VLOOKUP(U11,DrawParticipantsRankingList,NatClubColNum,FALSE))))</f>
        <v>1</v>
      </c>
      <c r="J11" s="1230">
        <v>1</v>
      </c>
      <c r="K11" s="1231" t="str">
        <f>IF(X11="",N_ToBeDrawn,IF(VLOOKUP(X11,DrawParticipantsRankingList,2,FALSE)="",N_Withdraw,VLOOKUP(X11,DrawParticipantsRankingList,2,FALSE)))</f>
        <v>Non encore défini</v>
      </c>
      <c r="L11" s="1232">
        <f>IF(X11="",W11,(IF(K11=N_Withdraw,"",VLOOKUP(X11,DrawParticipantsRankingList,NatClubColNum,FALSE))))</f>
        <v>1</v>
      </c>
      <c r="M11" s="1221"/>
      <c r="N11" s="1230">
        <v>1</v>
      </c>
      <c r="O11" s="1233"/>
      <c r="P11" s="1468"/>
      <c r="Q11" s="1230">
        <v>1</v>
      </c>
      <c r="R11" s="1233"/>
      <c r="S11" s="1468"/>
      <c r="T11" s="1230">
        <v>1</v>
      </c>
      <c r="U11" s="1233"/>
      <c r="V11" s="1468"/>
      <c r="W11" s="1230">
        <v>1</v>
      </c>
      <c r="X11" s="1233"/>
      <c r="Z11" s="1259">
        <f t="shared" si="4"/>
        <v>7</v>
      </c>
      <c r="AA11" s="1251" t="s">
        <v>5354</v>
      </c>
      <c r="AB11" s="1246">
        <f t="shared" si="5"/>
        <v>28</v>
      </c>
      <c r="AC11" s="1246" t="s">
        <v>1023</v>
      </c>
      <c r="AD11" s="1247" t="s">
        <v>988</v>
      </c>
      <c r="AE11" s="1267"/>
      <c r="AF11" s="1251" t="s">
        <v>5350</v>
      </c>
      <c r="AG11" s="1246">
        <v>3</v>
      </c>
      <c r="AH11" s="1246" t="s">
        <v>1023</v>
      </c>
      <c r="AI11" s="1247" t="s">
        <v>988</v>
      </c>
      <c r="AJ11" s="1239"/>
      <c r="AK11" s="1">
        <f t="shared" si="6"/>
        <v>0</v>
      </c>
      <c r="AL11" s="1">
        <f t="shared" si="7"/>
        <v>6</v>
      </c>
      <c r="AM11" s="1">
        <f t="shared" ca="1" si="2"/>
        <v>0</v>
      </c>
      <c r="AN11" s="1">
        <f t="shared" ca="1" si="8"/>
        <v>6</v>
      </c>
      <c r="AO11" s="1">
        <f t="shared" si="9"/>
        <v>6</v>
      </c>
    </row>
    <row r="12" spans="1:41" x14ac:dyDescent="0.2">
      <c r="A12" s="1221">
        <v>2</v>
      </c>
      <c r="B12" s="1237" t="str">
        <f>IF(O12="",N_ToBeDrawn,IF(VLOOKUP(O12,DrawParticipantsRankingList,2,FALSE)="",N_Withdraw,VLOOKUP(O12,DrawParticipantsRankingList,2,FALSE)))</f>
        <v>Non encore défini</v>
      </c>
      <c r="C12" s="1238">
        <f>IF(O12="",N12,(IF(B12=N_Withdraw,"",VLOOKUP(O12,DrawParticipantsRankingList,NatClubColNum,FALSE))))</f>
        <v>2</v>
      </c>
      <c r="D12" s="1221">
        <v>2</v>
      </c>
      <c r="E12" s="1237" t="str">
        <f>IF(R12="",N_ToBeDrawn,IF(VLOOKUP(R12,DrawParticipantsRankingList,2,FALSE)="",N_Withdraw,VLOOKUP(R12,DrawParticipantsRankingList,2,FALSE)))</f>
        <v>Non encore défini</v>
      </c>
      <c r="F12" s="1238">
        <f>IF(R12="",Q12,(IF(E12=N_Withdraw,"",VLOOKUP(R12,DrawParticipantsRankingList,NatClubColNum,FALSE))))</f>
        <v>2</v>
      </c>
      <c r="G12" s="1221">
        <v>2</v>
      </c>
      <c r="H12" s="1237" t="str">
        <f>IF(U12="",N_ToBeDrawn,IF(VLOOKUP(U12,DrawParticipantsRankingList,2,FALSE)="",N_Withdraw,VLOOKUP(U12,DrawParticipantsRankingList,2,FALSE)))</f>
        <v>Non encore défini</v>
      </c>
      <c r="I12" s="1238">
        <f>IF(U12="",T12,(IF(H12=N_Withdraw,"",VLOOKUP(U12,DrawParticipantsRankingList,NatClubColNum,FALSE))))</f>
        <v>2</v>
      </c>
      <c r="J12" s="1221">
        <v>2</v>
      </c>
      <c r="K12" s="1237" t="str">
        <f>IF(X12="",N_ToBeDrawn,IF(VLOOKUP(X12,DrawParticipantsRankingList,2,FALSE)="",N_Withdraw,VLOOKUP(X12,DrawParticipantsRankingList,2,FALSE)))</f>
        <v>Non encore défini</v>
      </c>
      <c r="L12" s="1238">
        <f>IF(X12="",W12,(IF(K12=N_Withdraw,"",VLOOKUP(X12,DrawParticipantsRankingList,NatClubColNum,FALSE))))</f>
        <v>2</v>
      </c>
      <c r="M12" s="1221"/>
      <c r="N12" s="1221">
        <v>2</v>
      </c>
      <c r="O12" s="1233"/>
      <c r="P12" s="1468"/>
      <c r="Q12" s="1221">
        <v>2</v>
      </c>
      <c r="R12" s="1233"/>
      <c r="S12" s="1468"/>
      <c r="T12" s="1221">
        <v>2</v>
      </c>
      <c r="U12" s="1233"/>
      <c r="V12" s="1468"/>
      <c r="W12" s="1221">
        <v>2</v>
      </c>
      <c r="X12" s="1233"/>
      <c r="Z12" s="1259">
        <f t="shared" si="4"/>
        <v>8</v>
      </c>
      <c r="AA12" s="1251" t="s">
        <v>5355</v>
      </c>
      <c r="AB12" s="1246">
        <f t="shared" si="5"/>
        <v>36</v>
      </c>
      <c r="AC12" s="1246" t="s">
        <v>1019</v>
      </c>
      <c r="AD12" s="1247" t="s">
        <v>1037</v>
      </c>
      <c r="AE12" s="1267"/>
      <c r="AF12" s="1251" t="s">
        <v>5349</v>
      </c>
      <c r="AG12" s="1246">
        <v>2</v>
      </c>
      <c r="AH12" s="1246" t="s">
        <v>1019</v>
      </c>
      <c r="AI12" s="1247" t="s">
        <v>1037</v>
      </c>
      <c r="AJ12" s="1239"/>
      <c r="AK12" s="1">
        <f t="shared" si="6"/>
        <v>0</v>
      </c>
      <c r="AL12" s="1">
        <f t="shared" si="7"/>
        <v>7</v>
      </c>
      <c r="AM12" s="1">
        <f t="shared" ca="1" si="2"/>
        <v>0</v>
      </c>
      <c r="AN12" s="1">
        <f t="shared" ca="1" si="8"/>
        <v>6</v>
      </c>
      <c r="AO12" s="1">
        <f t="shared" si="9"/>
        <v>9</v>
      </c>
    </row>
    <row r="13" spans="1:41" x14ac:dyDescent="0.2">
      <c r="A13" s="1221">
        <v>3</v>
      </c>
      <c r="B13" s="1237" t="str">
        <f>IF(O13="",N_ToBeDrawn,IF(VLOOKUP(O13,DrawParticipantsRankingList,2,FALSE)="",N_Withdraw,VLOOKUP(O13,DrawParticipantsRankingList,2,FALSE)))</f>
        <v>Non encore défini</v>
      </c>
      <c r="C13" s="1238">
        <f>IF(O13="",N13,(IF(B13=N_Withdraw,"",VLOOKUP(O13,DrawParticipantsRankingList,NatClubColNum,FALSE))))</f>
        <v>3</v>
      </c>
      <c r="D13" s="1221">
        <v>3</v>
      </c>
      <c r="E13" s="1237" t="str">
        <f>IF(R13="",N_ToBeDrawn,IF(VLOOKUP(R13,DrawParticipantsRankingList,2,FALSE)="",N_Withdraw,VLOOKUP(R13,DrawParticipantsRankingList,2,FALSE)))</f>
        <v>Non encore défini</v>
      </c>
      <c r="F13" s="1238">
        <f>IF(R13="",Q13,(IF(E13=N_Withdraw,"",VLOOKUP(R13,DrawParticipantsRankingList,NatClubColNum,FALSE))))</f>
        <v>3</v>
      </c>
      <c r="G13" s="1221">
        <v>3</v>
      </c>
      <c r="H13" s="1237" t="str">
        <f>IF(U13="",N_ToBeDrawn,IF(VLOOKUP(U13,DrawParticipantsRankingList,2,FALSE)="",N_Withdraw,VLOOKUP(U13,DrawParticipantsRankingList,2,FALSE)))</f>
        <v>Non encore défini</v>
      </c>
      <c r="I13" s="1238">
        <f>IF(U13="",T13,(IF(H13=N_Withdraw,"",VLOOKUP(U13,DrawParticipantsRankingList,NatClubColNum,FALSE))))</f>
        <v>3</v>
      </c>
      <c r="J13" s="1221">
        <v>3</v>
      </c>
      <c r="K13" s="1237" t="str">
        <f>IF(X13="",N_ToBeDrawn,IF(VLOOKUP(X13,DrawParticipantsRankingList,2,FALSE)="",N_Withdraw,VLOOKUP(X13,DrawParticipantsRankingList,2,FALSE)))</f>
        <v>Non encore défini</v>
      </c>
      <c r="L13" s="1238">
        <f>IF(X13="",W13,(IF(K13=N_Withdraw,"",VLOOKUP(X13,DrawParticipantsRankingList,NatClubColNum,FALSE))))</f>
        <v>3</v>
      </c>
      <c r="M13" s="1221"/>
      <c r="N13" s="1221">
        <v>3</v>
      </c>
      <c r="O13" s="1233"/>
      <c r="P13" s="1468"/>
      <c r="Q13" s="1221">
        <v>3</v>
      </c>
      <c r="R13" s="1233"/>
      <c r="S13" s="1468"/>
      <c r="T13" s="1221">
        <v>3</v>
      </c>
      <c r="U13" s="1233"/>
      <c r="V13" s="1468"/>
      <c r="W13" s="1221">
        <v>3</v>
      </c>
      <c r="X13" s="1233"/>
      <c r="Z13" s="1259">
        <f t="shared" si="4"/>
        <v>9</v>
      </c>
      <c r="AA13" s="1251" t="s">
        <v>5356</v>
      </c>
      <c r="AB13" s="1246">
        <f t="shared" si="5"/>
        <v>45</v>
      </c>
      <c r="AC13" s="1246" t="s">
        <v>1023</v>
      </c>
      <c r="AD13" s="1247" t="s">
        <v>988</v>
      </c>
      <c r="AE13" s="1267"/>
      <c r="AF13" s="1251" t="s">
        <v>5350</v>
      </c>
      <c r="AG13" s="1246">
        <v>3</v>
      </c>
      <c r="AH13" s="1246" t="s">
        <v>1023</v>
      </c>
      <c r="AI13" s="1247" t="s">
        <v>988</v>
      </c>
      <c r="AJ13" s="1239"/>
      <c r="AK13" s="1">
        <f t="shared" si="6"/>
        <v>0</v>
      </c>
      <c r="AL13" s="1">
        <f t="shared" si="7"/>
        <v>8</v>
      </c>
      <c r="AM13" s="1">
        <f t="shared" ca="1" si="2"/>
        <v>0</v>
      </c>
      <c r="AN13" s="1">
        <f t="shared" ca="1" si="8"/>
        <v>12</v>
      </c>
      <c r="AO13" s="1">
        <f t="shared" si="9"/>
        <v>0</v>
      </c>
    </row>
    <row r="14" spans="1:41" ht="13.5" thickBot="1" x14ac:dyDescent="0.25">
      <c r="A14" s="1221">
        <v>4</v>
      </c>
      <c r="B14" s="1240" t="str">
        <f>IF(O14="",N_ToBeDrawn,IF(VLOOKUP(O14,DrawParticipantsRankingList,2,FALSE)="",N_Withdraw,VLOOKUP(O14,DrawParticipantsRankingList,2,FALSE)))</f>
        <v>Non encore défini</v>
      </c>
      <c r="C14" s="1241">
        <f>IF(O14="",N14,(IF(B14=N_Withdraw,"",VLOOKUP(O14,DrawParticipantsRankingList,NatClubColNum,FALSE))))</f>
        <v>4</v>
      </c>
      <c r="D14" s="1221">
        <v>4</v>
      </c>
      <c r="E14" s="1240" t="str">
        <f>IF(R14="",N_ToBeDrawn,IF(VLOOKUP(R14,DrawParticipantsRankingList,2,FALSE)="",N_Withdraw,VLOOKUP(R14,DrawParticipantsRankingList,2,FALSE)))</f>
        <v>Non encore défini</v>
      </c>
      <c r="F14" s="1241">
        <f>IF(R14="",Q14,(IF(E14=N_Withdraw,"",VLOOKUP(R14,DrawParticipantsRankingList,NatClubColNum,FALSE))))</f>
        <v>4</v>
      </c>
      <c r="G14" s="1221">
        <v>4</v>
      </c>
      <c r="H14" s="1240" t="str">
        <f>IF(U14="",N_ToBeDrawn,IF(VLOOKUP(U14,DrawParticipantsRankingList,2,FALSE)="",N_Withdraw,VLOOKUP(U14,DrawParticipantsRankingList,2,FALSE)))</f>
        <v>Non encore défini</v>
      </c>
      <c r="I14" s="1241">
        <f>IF(U14="",T14,(IF(H14=N_Withdraw,"",VLOOKUP(U14,DrawParticipantsRankingList,NatClubColNum,FALSE))))</f>
        <v>4</v>
      </c>
      <c r="J14" s="1221">
        <v>4</v>
      </c>
      <c r="K14" s="1240" t="str">
        <f>IF(X14="",N_ToBeDrawn,IF(VLOOKUP(X14,DrawParticipantsRankingList,2,FALSE)="",N_Withdraw,VLOOKUP(X14,DrawParticipantsRankingList,2,FALSE)))</f>
        <v>Non encore défini</v>
      </c>
      <c r="L14" s="1241">
        <f>IF(X14="",W14,(IF(K14=N_Withdraw,"",VLOOKUP(X14,DrawParticipantsRankingList,NatClubColNum,FALSE))))</f>
        <v>4</v>
      </c>
      <c r="M14" s="1221"/>
      <c r="N14" s="1221">
        <v>4</v>
      </c>
      <c r="O14" s="1233"/>
      <c r="P14" s="1468"/>
      <c r="Q14" s="1221">
        <v>4</v>
      </c>
      <c r="R14" s="1233"/>
      <c r="S14" s="1468"/>
      <c r="T14" s="1221">
        <v>4</v>
      </c>
      <c r="U14" s="1233"/>
      <c r="V14" s="1468"/>
      <c r="W14" s="1221">
        <v>4</v>
      </c>
      <c r="X14" s="1233"/>
      <c r="Z14" s="1259">
        <f t="shared" si="4"/>
        <v>10</v>
      </c>
      <c r="AA14" s="1251" t="s">
        <v>5357</v>
      </c>
      <c r="AB14" s="1246">
        <f t="shared" si="5"/>
        <v>55</v>
      </c>
      <c r="AC14" s="1246" t="s">
        <v>1019</v>
      </c>
      <c r="AD14" s="1247" t="s">
        <v>988</v>
      </c>
      <c r="AE14" s="1267"/>
      <c r="AF14" s="1251" t="s">
        <v>5349</v>
      </c>
      <c r="AG14" s="1246">
        <v>2</v>
      </c>
      <c r="AH14" s="1246" t="s">
        <v>1019</v>
      </c>
      <c r="AI14" s="1247" t="s">
        <v>1037</v>
      </c>
      <c r="AJ14" s="1239"/>
      <c r="AK14" s="1">
        <f t="shared" si="6"/>
        <v>0</v>
      </c>
      <c r="AL14" s="1">
        <f t="shared" si="7"/>
        <v>9</v>
      </c>
      <c r="AM14" s="1">
        <f t="shared" ca="1" si="2"/>
        <v>0</v>
      </c>
      <c r="AN14" s="1">
        <f t="shared" ca="1" si="8"/>
        <v>12</v>
      </c>
      <c r="AO14" s="1">
        <f t="shared" si="9"/>
        <v>3</v>
      </c>
    </row>
    <row r="15" spans="1:41" x14ac:dyDescent="0.2">
      <c r="A15" s="1221"/>
      <c r="B15" s="1221"/>
      <c r="C15" s="1242"/>
      <c r="D15" s="1221"/>
      <c r="E15" s="1221"/>
      <c r="F15" s="1222"/>
      <c r="G15" s="1221"/>
      <c r="H15" s="1221"/>
      <c r="I15" s="1222"/>
      <c r="J15" s="1221"/>
      <c r="K15" s="1221"/>
      <c r="L15" s="1222"/>
      <c r="M15" s="1221"/>
      <c r="N15" s="1221"/>
      <c r="O15" s="1221"/>
      <c r="P15" s="1221"/>
      <c r="Q15" s="1221"/>
      <c r="R15" s="1221"/>
      <c r="S15" s="1221"/>
      <c r="T15" s="1221"/>
      <c r="U15" s="1221"/>
      <c r="V15" s="1221"/>
      <c r="W15" s="1221"/>
      <c r="X15" s="1221"/>
      <c r="Z15" s="1259">
        <f t="shared" si="4"/>
        <v>11</v>
      </c>
      <c r="AA15" s="1251" t="s">
        <v>5358</v>
      </c>
      <c r="AB15" s="1246">
        <f t="shared" si="5"/>
        <v>66</v>
      </c>
      <c r="AC15" s="1246" t="s">
        <v>1023</v>
      </c>
      <c r="AD15" s="1247" t="s">
        <v>988</v>
      </c>
      <c r="AE15" s="1267"/>
      <c r="AF15" s="1251" t="s">
        <v>5350</v>
      </c>
      <c r="AG15" s="1246">
        <v>3</v>
      </c>
      <c r="AH15" s="1246" t="s">
        <v>1023</v>
      </c>
      <c r="AI15" s="1247" t="s">
        <v>988</v>
      </c>
      <c r="AJ15" s="1239"/>
      <c r="AK15" s="1">
        <f t="shared" si="6"/>
        <v>0</v>
      </c>
      <c r="AL15" s="1">
        <f t="shared" si="7"/>
        <v>10</v>
      </c>
      <c r="AM15" s="1">
        <f t="shared" ca="1" si="2"/>
        <v>0</v>
      </c>
      <c r="AN15" s="1">
        <f t="shared" ca="1" si="8"/>
        <v>12</v>
      </c>
      <c r="AO15" s="1">
        <f t="shared" si="9"/>
        <v>6</v>
      </c>
    </row>
    <row r="16" spans="1:41" ht="13.5" thickBot="1" x14ac:dyDescent="0.25">
      <c r="A16" s="1221"/>
      <c r="B16" s="1225" t="s">
        <v>4048</v>
      </c>
      <c r="C16" s="1226"/>
      <c r="D16" s="1221"/>
      <c r="E16" s="1225" t="s">
        <v>4049</v>
      </c>
      <c r="F16" s="1226"/>
      <c r="G16" s="1221"/>
      <c r="H16" s="1225" t="s">
        <v>4050</v>
      </c>
      <c r="I16" s="1226"/>
      <c r="J16" s="1221"/>
      <c r="K16" s="1225" t="s">
        <v>4051</v>
      </c>
      <c r="L16" s="1226"/>
      <c r="M16" s="1227"/>
      <c r="N16" s="1229"/>
      <c r="O16" s="1228" t="s">
        <v>4048</v>
      </c>
      <c r="P16" s="1228"/>
      <c r="Q16" s="1229"/>
      <c r="R16" s="1228" t="s">
        <v>4049</v>
      </c>
      <c r="S16" s="1228"/>
      <c r="T16" s="1229"/>
      <c r="U16" s="1228" t="s">
        <v>4050</v>
      </c>
      <c r="V16" s="1228"/>
      <c r="W16" s="1229"/>
      <c r="X16" s="1228" t="s">
        <v>4051</v>
      </c>
      <c r="Z16" s="1259">
        <f t="shared" si="4"/>
        <v>12</v>
      </c>
      <c r="AA16" s="1251" t="s">
        <v>5359</v>
      </c>
      <c r="AB16" s="1246">
        <f t="shared" si="5"/>
        <v>78</v>
      </c>
      <c r="AC16" s="1246" t="s">
        <v>1019</v>
      </c>
      <c r="AD16" s="1247" t="s">
        <v>1037</v>
      </c>
      <c r="AE16" s="1267"/>
      <c r="AF16" s="1251" t="s">
        <v>5349</v>
      </c>
      <c r="AG16" s="1246">
        <v>2</v>
      </c>
      <c r="AH16" s="1246" t="s">
        <v>1019</v>
      </c>
      <c r="AI16" s="1247" t="s">
        <v>1037</v>
      </c>
      <c r="AJ16" s="1239"/>
      <c r="AK16" s="1">
        <f t="shared" si="6"/>
        <v>0</v>
      </c>
      <c r="AL16" s="1">
        <f t="shared" si="7"/>
        <v>11</v>
      </c>
      <c r="AM16" s="1">
        <f t="shared" ca="1" si="2"/>
        <v>0</v>
      </c>
      <c r="AN16" s="1">
        <f t="shared" ca="1" si="8"/>
        <v>12</v>
      </c>
      <c r="AO16" s="1">
        <f t="shared" si="9"/>
        <v>9</v>
      </c>
    </row>
    <row r="17" spans="1:41" x14ac:dyDescent="0.2">
      <c r="A17" s="1230">
        <v>1</v>
      </c>
      <c r="B17" s="1231" t="str">
        <f>IF(O17="",N_ToBeDrawn,IF(VLOOKUP(O17,DrawParticipantsRankingList,2,FALSE)="",N_Withdraw,VLOOKUP(O17,DrawParticipantsRankingList,2,FALSE)))</f>
        <v>Non encore défini</v>
      </c>
      <c r="C17" s="1232">
        <f>IF(O17="",N17,(IF(B17=N_Withdraw,"",VLOOKUP(O17,DrawParticipantsRankingList,NatClubColNum,FALSE))))</f>
        <v>1</v>
      </c>
      <c r="D17" s="1230">
        <v>1</v>
      </c>
      <c r="E17" s="1231" t="str">
        <f>IF(R17="",N_ToBeDrawn,IF(VLOOKUP(R17,DrawParticipantsRankingList,2,FALSE)="",N_Withdraw,VLOOKUP(R17,DrawParticipantsRankingList,2,FALSE)))</f>
        <v>Non encore défini</v>
      </c>
      <c r="F17" s="1232">
        <f>IF(R17="",Q17,(IF(E17=N_Withdraw,"",VLOOKUP(R17,DrawParticipantsRankingList,NatClubColNum,FALSE))))</f>
        <v>1</v>
      </c>
      <c r="G17" s="1230">
        <v>1</v>
      </c>
      <c r="H17" s="1231" t="str">
        <f>IF(U17="",N_ToBeDrawn,IF(VLOOKUP(U17,DrawParticipantsRankingList,2,FALSE)="",N_Withdraw,VLOOKUP(U17,DrawParticipantsRankingList,2,FALSE)))</f>
        <v>Non encore défini</v>
      </c>
      <c r="I17" s="1232">
        <f>IF(U17="",T17,(IF(H17=N_Withdraw,"",VLOOKUP(U17,DrawParticipantsRankingList,NatClubColNum,FALSE))))</f>
        <v>1</v>
      </c>
      <c r="J17" s="1230">
        <v>1</v>
      </c>
      <c r="K17" s="1231" t="str">
        <f>IF(X17="",N_ToBeDrawn,IF(VLOOKUP(X17,DrawParticipantsRankingList,2,FALSE)="",N_Withdraw,VLOOKUP(X17,DrawParticipantsRankingList,2,FALSE)))</f>
        <v>Non encore défini</v>
      </c>
      <c r="L17" s="1232">
        <f>IF(X17="",W17,(IF(K17=N_Withdraw,"",VLOOKUP(X17,DrawParticipantsRankingList,NatClubColNum,FALSE))))</f>
        <v>1</v>
      </c>
      <c r="M17" s="1221"/>
      <c r="N17" s="1230">
        <v>1</v>
      </c>
      <c r="O17" s="1233"/>
      <c r="P17" s="1468"/>
      <c r="Q17" s="1230">
        <v>1</v>
      </c>
      <c r="R17" s="1233"/>
      <c r="S17" s="1468"/>
      <c r="T17" s="1230">
        <v>1</v>
      </c>
      <c r="U17" s="1233"/>
      <c r="V17" s="1468"/>
      <c r="W17" s="1230">
        <v>1</v>
      </c>
      <c r="X17" s="1233"/>
      <c r="Z17" s="1259">
        <f t="shared" si="4"/>
        <v>13</v>
      </c>
      <c r="AA17" s="1251" t="s">
        <v>5360</v>
      </c>
      <c r="AB17" s="1246">
        <f t="shared" si="5"/>
        <v>91</v>
      </c>
      <c r="AC17" s="1246" t="s">
        <v>1023</v>
      </c>
      <c r="AD17" s="1247" t="s">
        <v>988</v>
      </c>
      <c r="AE17" s="1267"/>
      <c r="AF17" s="1251" t="s">
        <v>5350</v>
      </c>
      <c r="AG17" s="1246">
        <v>3</v>
      </c>
      <c r="AH17" s="1246" t="s">
        <v>1023</v>
      </c>
      <c r="AI17" s="1247" t="s">
        <v>988</v>
      </c>
      <c r="AJ17" s="1239"/>
      <c r="AK17" s="1">
        <f t="shared" si="6"/>
        <v>0</v>
      </c>
      <c r="AL17" s="1">
        <f t="shared" si="7"/>
        <v>12</v>
      </c>
      <c r="AM17" s="1">
        <f t="shared" ca="1" si="2"/>
        <v>0</v>
      </c>
      <c r="AN17" s="1">
        <f t="shared" ca="1" si="8"/>
        <v>18</v>
      </c>
      <c r="AO17" s="1">
        <f t="shared" si="9"/>
        <v>0</v>
      </c>
    </row>
    <row r="18" spans="1:41" x14ac:dyDescent="0.2">
      <c r="A18" s="1221">
        <v>2</v>
      </c>
      <c r="B18" s="1237" t="str">
        <f>IF(O18="",N_ToBeDrawn,IF(VLOOKUP(O18,DrawParticipantsRankingList,2,FALSE)="",N_Withdraw,VLOOKUP(O18,DrawParticipantsRankingList,2,FALSE)))</f>
        <v>Non encore défini</v>
      </c>
      <c r="C18" s="1238">
        <f>IF(O18="",N18,(IF(B18=N_Withdraw,"",VLOOKUP(O18,DrawParticipantsRankingList,NatClubColNum,FALSE))))</f>
        <v>2</v>
      </c>
      <c r="D18" s="1221">
        <v>2</v>
      </c>
      <c r="E18" s="1237" t="str">
        <f>IF(R18="",N_ToBeDrawn,IF(VLOOKUP(R18,DrawParticipantsRankingList,2,FALSE)="",N_Withdraw,VLOOKUP(R18,DrawParticipantsRankingList,2,FALSE)))</f>
        <v>Non encore défini</v>
      </c>
      <c r="F18" s="1238">
        <f>IF(R18="",Q18,(IF(E18=N_Withdraw,"",VLOOKUP(R18,DrawParticipantsRankingList,NatClubColNum,FALSE))))</f>
        <v>2</v>
      </c>
      <c r="G18" s="1221">
        <v>2</v>
      </c>
      <c r="H18" s="1237" t="str">
        <f>IF(U18="",N_ToBeDrawn,IF(VLOOKUP(U18,DrawParticipantsRankingList,2,FALSE)="",N_Withdraw,VLOOKUP(U18,DrawParticipantsRankingList,2,FALSE)))</f>
        <v>Non encore défini</v>
      </c>
      <c r="I18" s="1238">
        <f>IF(U18="",T18,(IF(H18=N_Withdraw,"",VLOOKUP(U18,DrawParticipantsRankingList,NatClubColNum,FALSE))))</f>
        <v>2</v>
      </c>
      <c r="J18" s="1221">
        <v>2</v>
      </c>
      <c r="K18" s="1237" t="str">
        <f>IF(X18="",N_ToBeDrawn,IF(VLOOKUP(X18,DrawParticipantsRankingList,2,FALSE)="",N_Withdraw,VLOOKUP(X18,DrawParticipantsRankingList,2,FALSE)))</f>
        <v>Non encore défini</v>
      </c>
      <c r="L18" s="1238">
        <f>IF(X18="",W18,(IF(K18=N_Withdraw,"",VLOOKUP(X18,DrawParticipantsRankingList,NatClubColNum,FALSE))))</f>
        <v>2</v>
      </c>
      <c r="M18" s="1221"/>
      <c r="N18" s="1221">
        <v>2</v>
      </c>
      <c r="O18" s="1233"/>
      <c r="P18" s="1468"/>
      <c r="Q18" s="1221">
        <v>2</v>
      </c>
      <c r="R18" s="1233"/>
      <c r="S18" s="1468"/>
      <c r="T18" s="1221">
        <v>2</v>
      </c>
      <c r="U18" s="1233"/>
      <c r="V18" s="1468"/>
      <c r="W18" s="1221">
        <v>2</v>
      </c>
      <c r="X18" s="1233"/>
      <c r="Z18" s="1259">
        <f t="shared" si="4"/>
        <v>14</v>
      </c>
      <c r="AA18" s="1251" t="s">
        <v>5361</v>
      </c>
      <c r="AB18" s="1246">
        <f t="shared" si="5"/>
        <v>105</v>
      </c>
      <c r="AC18" s="1246" t="s">
        <v>1019</v>
      </c>
      <c r="AD18" s="1247" t="s">
        <v>1037</v>
      </c>
      <c r="AE18" s="1267"/>
      <c r="AF18" s="1251" t="s">
        <v>5349</v>
      </c>
      <c r="AG18" s="1246">
        <v>2</v>
      </c>
      <c r="AH18" s="1246" t="s">
        <v>1019</v>
      </c>
      <c r="AI18" s="1247" t="s">
        <v>1037</v>
      </c>
      <c r="AJ18" s="1239"/>
      <c r="AK18" s="1">
        <f t="shared" si="6"/>
        <v>0</v>
      </c>
      <c r="AL18" s="1">
        <f t="shared" si="7"/>
        <v>13</v>
      </c>
      <c r="AM18" s="1">
        <f t="shared" ca="1" si="2"/>
        <v>0</v>
      </c>
      <c r="AN18" s="1">
        <f t="shared" ca="1" si="8"/>
        <v>18</v>
      </c>
      <c r="AO18" s="1">
        <f t="shared" si="9"/>
        <v>3</v>
      </c>
    </row>
    <row r="19" spans="1:41" x14ac:dyDescent="0.2">
      <c r="A19" s="1221">
        <v>3</v>
      </c>
      <c r="B19" s="1237" t="str">
        <f>IF(O19="",N_ToBeDrawn,IF(VLOOKUP(O19,DrawParticipantsRankingList,2,FALSE)="",N_Withdraw,VLOOKUP(O19,DrawParticipantsRankingList,2,FALSE)))</f>
        <v>Non encore défini</v>
      </c>
      <c r="C19" s="1238">
        <f>IF(O19="",N19,(IF(B19=N_Withdraw,"",VLOOKUP(O19,DrawParticipantsRankingList,NatClubColNum,FALSE))))</f>
        <v>3</v>
      </c>
      <c r="D19" s="1221">
        <v>3</v>
      </c>
      <c r="E19" s="1237" t="str">
        <f>IF(R19="",N_ToBeDrawn,IF(VLOOKUP(R19,DrawParticipantsRankingList,2,FALSE)="",N_Withdraw,VLOOKUP(R19,DrawParticipantsRankingList,2,FALSE)))</f>
        <v>Non encore défini</v>
      </c>
      <c r="F19" s="1238">
        <f>IF(R19="",Q19,(IF(E19=N_Withdraw,"",VLOOKUP(R19,DrawParticipantsRankingList,NatClubColNum,FALSE))))</f>
        <v>3</v>
      </c>
      <c r="G19" s="1221">
        <v>3</v>
      </c>
      <c r="H19" s="1237" t="str">
        <f>IF(U19="",N_ToBeDrawn,IF(VLOOKUP(U19,DrawParticipantsRankingList,2,FALSE)="",N_Withdraw,VLOOKUP(U19,DrawParticipantsRankingList,2,FALSE)))</f>
        <v>Non encore défini</v>
      </c>
      <c r="I19" s="1238">
        <f>IF(U19="",T19,(IF(H19=N_Withdraw,"",VLOOKUP(U19,DrawParticipantsRankingList,NatClubColNum,FALSE))))</f>
        <v>3</v>
      </c>
      <c r="J19" s="1221">
        <v>3</v>
      </c>
      <c r="K19" s="1237" t="str">
        <f>IF(X19="",N_ToBeDrawn,IF(VLOOKUP(X19,DrawParticipantsRankingList,2,FALSE)="",N_Withdraw,VLOOKUP(X19,DrawParticipantsRankingList,2,FALSE)))</f>
        <v>Non encore défini</v>
      </c>
      <c r="L19" s="1238">
        <f>IF(X19="",W19,(IF(K19=N_Withdraw,"",VLOOKUP(X19,DrawParticipantsRankingList,NatClubColNum,FALSE))))</f>
        <v>3</v>
      </c>
      <c r="M19" s="1221"/>
      <c r="N19" s="1221">
        <v>3</v>
      </c>
      <c r="O19" s="1233"/>
      <c r="P19" s="1468"/>
      <c r="Q19" s="1221">
        <v>3</v>
      </c>
      <c r="R19" s="1233"/>
      <c r="S19" s="1468"/>
      <c r="T19" s="1221">
        <v>3</v>
      </c>
      <c r="U19" s="1233"/>
      <c r="V19" s="1468"/>
      <c r="W19" s="1221">
        <v>3</v>
      </c>
      <c r="X19" s="1233"/>
      <c r="Z19" s="1259">
        <f t="shared" si="4"/>
        <v>15</v>
      </c>
      <c r="AA19" s="1251" t="s">
        <v>5362</v>
      </c>
      <c r="AB19" s="1246">
        <f t="shared" si="5"/>
        <v>120</v>
      </c>
      <c r="AC19" s="1246" t="s">
        <v>1023</v>
      </c>
      <c r="AD19" s="1247" t="s">
        <v>988</v>
      </c>
      <c r="AE19" s="1267"/>
      <c r="AF19" s="1251" t="s">
        <v>5350</v>
      </c>
      <c r="AG19" s="1246">
        <v>3</v>
      </c>
      <c r="AH19" s="1246" t="s">
        <v>1023</v>
      </c>
      <c r="AI19" s="1247" t="s">
        <v>988</v>
      </c>
      <c r="AJ19" s="1239"/>
      <c r="AK19" s="1">
        <f t="shared" si="6"/>
        <v>0</v>
      </c>
      <c r="AL19" s="1">
        <f t="shared" si="7"/>
        <v>14</v>
      </c>
      <c r="AM19" s="1">
        <f t="shared" ca="1" si="2"/>
        <v>0</v>
      </c>
      <c r="AN19" s="1">
        <f t="shared" ca="1" si="8"/>
        <v>18</v>
      </c>
      <c r="AO19" s="1">
        <f t="shared" si="9"/>
        <v>6</v>
      </c>
    </row>
    <row r="20" spans="1:41" ht="13.5" thickBot="1" x14ac:dyDescent="0.25">
      <c r="A20" s="1221">
        <v>4</v>
      </c>
      <c r="B20" s="1240" t="str">
        <f>IF(O20="",N_ToBeDrawn,IF(VLOOKUP(O20,DrawParticipantsRankingList,2,FALSE)="",N_Withdraw,VLOOKUP(O20,DrawParticipantsRankingList,2,FALSE)))</f>
        <v>Non encore défini</v>
      </c>
      <c r="C20" s="1241">
        <f>IF(O20="",N20,(IF(B20=N_Withdraw,"",VLOOKUP(O20,DrawParticipantsRankingList,NatClubColNum,FALSE))))</f>
        <v>4</v>
      </c>
      <c r="D20" s="1221">
        <v>4</v>
      </c>
      <c r="E20" s="1240" t="str">
        <f>IF(R20="",N_ToBeDrawn,IF(VLOOKUP(R20,DrawParticipantsRankingList,2,FALSE)="",N_Withdraw,VLOOKUP(R20,DrawParticipantsRankingList,2,FALSE)))</f>
        <v>Non encore défini</v>
      </c>
      <c r="F20" s="1241">
        <f>IF(R20="",Q20,(IF(E20=N_Withdraw,"",VLOOKUP(R20,DrawParticipantsRankingList,NatClubColNum,FALSE))))</f>
        <v>4</v>
      </c>
      <c r="G20" s="1221">
        <v>4</v>
      </c>
      <c r="H20" s="1240" t="str">
        <f>IF(U20="",N_ToBeDrawn,IF(VLOOKUP(U20,DrawParticipantsRankingList,2,FALSE)="",N_Withdraw,VLOOKUP(U20,DrawParticipantsRankingList,2,FALSE)))</f>
        <v>Non encore défini</v>
      </c>
      <c r="I20" s="1241">
        <f>IF(U20="",T20,(IF(H20=N_Withdraw,"",VLOOKUP(U20,DrawParticipantsRankingList,NatClubColNum,FALSE))))</f>
        <v>4</v>
      </c>
      <c r="J20" s="1221">
        <v>4</v>
      </c>
      <c r="K20" s="1240" t="str">
        <f>IF(X20="",N_ToBeDrawn,IF(VLOOKUP(X20,DrawParticipantsRankingList,2,FALSE)="",N_Withdraw,VLOOKUP(X20,DrawParticipantsRankingList,2,FALSE)))</f>
        <v>Non encore défini</v>
      </c>
      <c r="L20" s="1241">
        <f>IF(X20="",W20,(IF(K20=N_Withdraw,"",VLOOKUP(X20,DrawParticipantsRankingList,NatClubColNum,FALSE))))</f>
        <v>4</v>
      </c>
      <c r="M20" s="1221"/>
      <c r="N20" s="1221">
        <v>4</v>
      </c>
      <c r="O20" s="1233"/>
      <c r="P20" s="1468"/>
      <c r="Q20" s="1221">
        <v>4</v>
      </c>
      <c r="R20" s="1233"/>
      <c r="S20" s="1468"/>
      <c r="T20" s="1221">
        <v>4</v>
      </c>
      <c r="U20" s="1233"/>
      <c r="V20" s="1468"/>
      <c r="W20" s="1221">
        <v>4</v>
      </c>
      <c r="X20" s="1233"/>
      <c r="Z20" s="1259">
        <f t="shared" si="4"/>
        <v>16</v>
      </c>
      <c r="AA20" s="1251" t="s">
        <v>5363</v>
      </c>
      <c r="AB20" s="1246">
        <f t="shared" si="5"/>
        <v>136</v>
      </c>
      <c r="AC20" s="1246" t="s">
        <v>1023</v>
      </c>
      <c r="AD20" s="1247" t="s">
        <v>988</v>
      </c>
      <c r="AE20" s="1267"/>
      <c r="AF20" s="1251" t="s">
        <v>5349</v>
      </c>
      <c r="AG20" s="1246">
        <v>2</v>
      </c>
      <c r="AH20" s="1246" t="s">
        <v>1019</v>
      </c>
      <c r="AI20" s="1247" t="s">
        <v>1037</v>
      </c>
      <c r="AJ20" s="1239"/>
      <c r="AK20" s="1">
        <f t="shared" si="6"/>
        <v>0</v>
      </c>
      <c r="AL20" s="1">
        <f t="shared" si="7"/>
        <v>15</v>
      </c>
      <c r="AM20" s="1">
        <f t="shared" ca="1" si="2"/>
        <v>0</v>
      </c>
      <c r="AN20" s="1">
        <f t="shared" ca="1" si="8"/>
        <v>18</v>
      </c>
      <c r="AO20" s="1">
        <f t="shared" si="9"/>
        <v>9</v>
      </c>
    </row>
    <row r="21" spans="1:41" x14ac:dyDescent="0.2">
      <c r="A21" s="1221"/>
      <c r="B21" s="1221"/>
      <c r="C21" s="1222"/>
      <c r="D21" s="1221"/>
      <c r="E21" s="1221"/>
      <c r="F21" s="1222"/>
      <c r="G21" s="1221"/>
      <c r="H21" s="1221"/>
      <c r="I21" s="1222"/>
      <c r="J21" s="1221"/>
      <c r="K21" s="1221"/>
      <c r="L21" s="1222"/>
      <c r="M21" s="1221"/>
      <c r="N21" s="1221"/>
      <c r="O21" s="1221"/>
      <c r="P21" s="1221"/>
      <c r="Q21" s="1221"/>
      <c r="R21" s="1221"/>
      <c r="S21" s="1221"/>
      <c r="T21" s="1221"/>
      <c r="U21" s="1221"/>
      <c r="V21" s="1221"/>
      <c r="W21" s="1221"/>
      <c r="X21" s="1221"/>
      <c r="Z21" s="1259">
        <f t="shared" si="4"/>
        <v>17</v>
      </c>
      <c r="AA21" s="1251" t="s">
        <v>5364</v>
      </c>
      <c r="AB21" s="1246">
        <f t="shared" si="5"/>
        <v>153</v>
      </c>
      <c r="AC21" s="1246" t="s">
        <v>1023</v>
      </c>
      <c r="AD21" s="1247" t="s">
        <v>988</v>
      </c>
      <c r="AE21" s="1267"/>
      <c r="AF21" s="1251" t="s">
        <v>5350</v>
      </c>
      <c r="AG21" s="1246">
        <v>3</v>
      </c>
      <c r="AH21" s="1246" t="s">
        <v>1023</v>
      </c>
      <c r="AI21" s="1247" t="s">
        <v>988</v>
      </c>
      <c r="AJ21" s="1239"/>
      <c r="AK21" s="1">
        <f t="shared" si="6"/>
        <v>1</v>
      </c>
      <c r="AL21" s="1">
        <f t="shared" si="7"/>
        <v>0</v>
      </c>
      <c r="AM21" s="1">
        <f t="shared" ca="1" si="2"/>
        <v>60</v>
      </c>
      <c r="AN21" s="1">
        <f t="shared" ca="1" si="8"/>
        <v>1</v>
      </c>
      <c r="AO21" s="1">
        <f t="shared" si="9"/>
        <v>0</v>
      </c>
    </row>
    <row r="22" spans="1:41" ht="13.5" thickBot="1" x14ac:dyDescent="0.25">
      <c r="A22" s="1221"/>
      <c r="B22" s="1225" t="s">
        <v>4052</v>
      </c>
      <c r="C22" s="1226"/>
      <c r="D22" s="1221"/>
      <c r="E22" s="1225" t="s">
        <v>4053</v>
      </c>
      <c r="F22" s="1226"/>
      <c r="G22" s="1221"/>
      <c r="H22" s="1225" t="s">
        <v>4054</v>
      </c>
      <c r="I22" s="1226"/>
      <c r="J22" s="1221"/>
      <c r="K22" s="1225" t="s">
        <v>4055</v>
      </c>
      <c r="L22" s="1226"/>
      <c r="M22" s="1227"/>
      <c r="N22" s="1229"/>
      <c r="O22" s="1228" t="s">
        <v>4052</v>
      </c>
      <c r="P22" s="1228"/>
      <c r="Q22" s="1229"/>
      <c r="R22" s="1228" t="s">
        <v>4053</v>
      </c>
      <c r="S22" s="1228"/>
      <c r="T22" s="1229"/>
      <c r="U22" s="1228" t="s">
        <v>4054</v>
      </c>
      <c r="V22" s="1228"/>
      <c r="W22" s="1229"/>
      <c r="X22" s="1228" t="s">
        <v>4055</v>
      </c>
      <c r="Z22" s="1259">
        <f t="shared" si="4"/>
        <v>18</v>
      </c>
      <c r="AA22" s="1251" t="s">
        <v>5365</v>
      </c>
      <c r="AB22" s="1246">
        <f t="shared" si="5"/>
        <v>171</v>
      </c>
      <c r="AC22" s="1246" t="s">
        <v>1019</v>
      </c>
      <c r="AD22" s="1247" t="s">
        <v>1037</v>
      </c>
      <c r="AE22" s="1267"/>
      <c r="AF22" s="1251" t="s">
        <v>5349</v>
      </c>
      <c r="AG22" s="1246">
        <v>2</v>
      </c>
      <c r="AH22" s="1246" t="s">
        <v>1019</v>
      </c>
      <c r="AI22" s="1247" t="s">
        <v>1037</v>
      </c>
      <c r="AJ22" s="1239"/>
      <c r="AK22" s="1">
        <f t="shared" si="6"/>
        <v>1</v>
      </c>
      <c r="AL22" s="1">
        <f t="shared" si="7"/>
        <v>1</v>
      </c>
      <c r="AM22" s="1">
        <f t="shared" ca="1" si="2"/>
        <v>61</v>
      </c>
      <c r="AN22" s="1">
        <f t="shared" ca="1" si="8"/>
        <v>1</v>
      </c>
      <c r="AO22" s="1">
        <f t="shared" si="9"/>
        <v>3</v>
      </c>
    </row>
    <row r="23" spans="1:41" x14ac:dyDescent="0.2">
      <c r="A23" s="1230">
        <v>1</v>
      </c>
      <c r="B23" s="1231" t="str">
        <f>IF(O23="",N_ToBeDrawn,IF(VLOOKUP(O23,DrawParticipantsRankingList,2,FALSE)="",N_Withdraw,VLOOKUP(O23,DrawParticipantsRankingList,2,FALSE)))</f>
        <v>Non encore défini</v>
      </c>
      <c r="C23" s="1232">
        <f>IF(O23="",N23,(IF(B23=N_Withdraw,"",VLOOKUP(O23,DrawParticipantsRankingList,NatClubColNum,FALSE))))</f>
        <v>1</v>
      </c>
      <c r="D23" s="1230">
        <v>1</v>
      </c>
      <c r="E23" s="1231" t="str">
        <f>IF(R23="",N_ToBeDrawn,IF(VLOOKUP(R23,DrawParticipantsRankingList,2,FALSE)="",N_Withdraw,VLOOKUP(R23,DrawParticipantsRankingList,2,FALSE)))</f>
        <v>Non encore défini</v>
      </c>
      <c r="F23" s="1232">
        <f>IF(R23="",Q23,(IF(E23=N_Withdraw,"",VLOOKUP(R23,DrawParticipantsRankingList,NatClubColNum,FALSE))))</f>
        <v>1</v>
      </c>
      <c r="G23" s="1230">
        <v>1</v>
      </c>
      <c r="H23" s="1231" t="str">
        <f>IF(U23="",N_ToBeDrawn,IF(VLOOKUP(U23,DrawParticipantsRankingList,2,FALSE)="",N_Withdraw,VLOOKUP(U23,DrawParticipantsRankingList,2,FALSE)))</f>
        <v>Non encore défini</v>
      </c>
      <c r="I23" s="1232">
        <f>IF(U23="",T23,(IF(H23=N_Withdraw,"",VLOOKUP(U23,DrawParticipantsRankingList,NatClubColNum,FALSE))))</f>
        <v>1</v>
      </c>
      <c r="J23" s="1230">
        <v>1</v>
      </c>
      <c r="K23" s="1231" t="str">
        <f>IF(X23="",N_ToBeDrawn,IF(VLOOKUP(X23,DrawParticipantsRankingList,2,FALSE)="",N_Withdraw,VLOOKUP(X23,DrawParticipantsRankingList,2,FALSE)))</f>
        <v>Non encore défini</v>
      </c>
      <c r="L23" s="1232">
        <f>IF(X23="",W23,(IF(K23=N_Withdraw,"",VLOOKUP(X23,DrawParticipantsRankingList,NatClubColNum,FALSE))))</f>
        <v>1</v>
      </c>
      <c r="M23" s="1221"/>
      <c r="N23" s="1230">
        <v>1</v>
      </c>
      <c r="O23" s="1233"/>
      <c r="P23" s="1468"/>
      <c r="Q23" s="1230">
        <v>1</v>
      </c>
      <c r="R23" s="1233"/>
      <c r="S23" s="1468"/>
      <c r="T23" s="1230">
        <v>1</v>
      </c>
      <c r="U23" s="1233"/>
      <c r="V23" s="1468"/>
      <c r="W23" s="1230">
        <v>1</v>
      </c>
      <c r="X23" s="1233"/>
      <c r="Z23" s="1259">
        <f t="shared" si="4"/>
        <v>19</v>
      </c>
      <c r="AA23" s="1251" t="s">
        <v>5366</v>
      </c>
      <c r="AB23" s="1246">
        <f t="shared" si="5"/>
        <v>190</v>
      </c>
      <c r="AC23" s="1246" t="s">
        <v>1023</v>
      </c>
      <c r="AD23" s="1247" t="s">
        <v>988</v>
      </c>
      <c r="AE23" s="1267"/>
      <c r="AF23" s="1251" t="s">
        <v>5350</v>
      </c>
      <c r="AG23" s="1246">
        <v>3</v>
      </c>
      <c r="AH23" s="1246" t="s">
        <v>1023</v>
      </c>
      <c r="AI23" s="1247" t="s">
        <v>988</v>
      </c>
      <c r="AJ23" s="1239"/>
      <c r="AK23" s="1">
        <f t="shared" si="6"/>
        <v>1</v>
      </c>
      <c r="AL23" s="1">
        <f t="shared" si="7"/>
        <v>2</v>
      </c>
      <c r="AM23" s="1">
        <f t="shared" ca="1" si="2"/>
        <v>62</v>
      </c>
      <c r="AN23" s="1">
        <f t="shared" ca="1" si="8"/>
        <v>1</v>
      </c>
      <c r="AO23" s="1">
        <f t="shared" si="9"/>
        <v>6</v>
      </c>
    </row>
    <row r="24" spans="1:41" x14ac:dyDescent="0.2">
      <c r="A24" s="1221">
        <v>2</v>
      </c>
      <c r="B24" s="1237" t="str">
        <f>IF(O24="",N_ToBeDrawn,IF(VLOOKUP(O24,DrawParticipantsRankingList,2,FALSE)="",N_Withdraw,VLOOKUP(O24,DrawParticipantsRankingList,2,FALSE)))</f>
        <v>Non encore défini</v>
      </c>
      <c r="C24" s="1238">
        <f>IF(O24="",N24,(IF(B24=N_Withdraw,"",VLOOKUP(O24,DrawParticipantsRankingList,NatClubColNum,FALSE))))</f>
        <v>2</v>
      </c>
      <c r="D24" s="1221">
        <v>2</v>
      </c>
      <c r="E24" s="1237" t="str">
        <f>IF(R24="",N_ToBeDrawn,IF(VLOOKUP(R24,DrawParticipantsRankingList,2,FALSE)="",N_Withdraw,VLOOKUP(R24,DrawParticipantsRankingList,2,FALSE)))</f>
        <v>Non encore défini</v>
      </c>
      <c r="F24" s="1238">
        <f>IF(R24="",Q24,(IF(E24=N_Withdraw,"",VLOOKUP(R24,DrawParticipantsRankingList,NatClubColNum,FALSE))))</f>
        <v>2</v>
      </c>
      <c r="G24" s="1221">
        <v>2</v>
      </c>
      <c r="H24" s="1237" t="str">
        <f>IF(U24="",N_ToBeDrawn,IF(VLOOKUP(U24,DrawParticipantsRankingList,2,FALSE)="",N_Withdraw,VLOOKUP(U24,DrawParticipantsRankingList,2,FALSE)))</f>
        <v>Non encore défini</v>
      </c>
      <c r="I24" s="1238">
        <f>IF(U24="",T24,(IF(H24=N_Withdraw,"",VLOOKUP(U24,DrawParticipantsRankingList,NatClubColNum,FALSE))))</f>
        <v>2</v>
      </c>
      <c r="J24" s="1221">
        <v>2</v>
      </c>
      <c r="K24" s="1237" t="str">
        <f>IF(X24="",N_ToBeDrawn,IF(VLOOKUP(X24,DrawParticipantsRankingList,2,FALSE)="",N_Withdraw,VLOOKUP(X24,DrawParticipantsRankingList,2,FALSE)))</f>
        <v>Non encore défini</v>
      </c>
      <c r="L24" s="1238">
        <f>IF(X24="",W24,(IF(K24=N_Withdraw,"",VLOOKUP(X24,DrawParticipantsRankingList,NatClubColNum,FALSE))))</f>
        <v>2</v>
      </c>
      <c r="M24" s="1221"/>
      <c r="N24" s="1221">
        <v>2</v>
      </c>
      <c r="O24" s="1233"/>
      <c r="P24" s="1468"/>
      <c r="Q24" s="1221">
        <v>2</v>
      </c>
      <c r="R24" s="1233"/>
      <c r="S24" s="1468"/>
      <c r="T24" s="1221">
        <v>2</v>
      </c>
      <c r="U24" s="1233"/>
      <c r="V24" s="1468"/>
      <c r="W24" s="1221">
        <v>2</v>
      </c>
      <c r="X24" s="1233"/>
      <c r="Z24" s="1259">
        <f t="shared" si="4"/>
        <v>20</v>
      </c>
      <c r="AA24" s="1251" t="s">
        <v>5367</v>
      </c>
      <c r="AB24" s="1246">
        <f t="shared" si="5"/>
        <v>210</v>
      </c>
      <c r="AC24" s="1246" t="s">
        <v>1019</v>
      </c>
      <c r="AD24" s="1247" t="s">
        <v>1037</v>
      </c>
      <c r="AE24" s="1267"/>
      <c r="AF24" s="1251" t="s">
        <v>5349</v>
      </c>
      <c r="AG24" s="1246">
        <v>2</v>
      </c>
      <c r="AH24" s="1246" t="s">
        <v>1019</v>
      </c>
      <c r="AI24" s="1247" t="s">
        <v>1037</v>
      </c>
      <c r="AJ24" s="1239"/>
      <c r="AK24" s="1">
        <f t="shared" si="6"/>
        <v>1</v>
      </c>
      <c r="AL24" s="1">
        <f t="shared" si="7"/>
        <v>3</v>
      </c>
      <c r="AM24" s="1">
        <f t="shared" ca="1" si="2"/>
        <v>64</v>
      </c>
      <c r="AN24" s="1">
        <f t="shared" ca="1" si="8"/>
        <v>1</v>
      </c>
      <c r="AO24" s="1">
        <f t="shared" si="9"/>
        <v>9</v>
      </c>
    </row>
    <row r="25" spans="1:41" x14ac:dyDescent="0.2">
      <c r="A25" s="1221">
        <v>3</v>
      </c>
      <c r="B25" s="1237" t="str">
        <f>IF(O25="",N_ToBeDrawn,IF(VLOOKUP(O25,DrawParticipantsRankingList,2,FALSE)="",N_Withdraw,VLOOKUP(O25,DrawParticipantsRankingList,2,FALSE)))</f>
        <v>Non encore défini</v>
      </c>
      <c r="C25" s="1238">
        <f>IF(O25="",N25,(IF(B25=N_Withdraw,"",VLOOKUP(O25,DrawParticipantsRankingList,NatClubColNum,FALSE))))</f>
        <v>3</v>
      </c>
      <c r="D25" s="1221">
        <v>3</v>
      </c>
      <c r="E25" s="1237" t="str">
        <f>IF(R25="",N_ToBeDrawn,IF(VLOOKUP(R25,DrawParticipantsRankingList,2,FALSE)="",N_Withdraw,VLOOKUP(R25,DrawParticipantsRankingList,2,FALSE)))</f>
        <v>Non encore défini</v>
      </c>
      <c r="F25" s="1238">
        <f>IF(R25="",Q25,(IF(E25=N_Withdraw,"",VLOOKUP(R25,DrawParticipantsRankingList,NatClubColNum,FALSE))))</f>
        <v>3</v>
      </c>
      <c r="G25" s="1221">
        <v>3</v>
      </c>
      <c r="H25" s="1237" t="str">
        <f>IF(U25="",N_ToBeDrawn,IF(VLOOKUP(U25,DrawParticipantsRankingList,2,FALSE)="",N_Withdraw,VLOOKUP(U25,DrawParticipantsRankingList,2,FALSE)))</f>
        <v>Non encore défini</v>
      </c>
      <c r="I25" s="1238">
        <f>IF(U25="",T25,(IF(H25=N_Withdraw,"",VLOOKUP(U25,DrawParticipantsRankingList,NatClubColNum,FALSE))))</f>
        <v>3</v>
      </c>
      <c r="J25" s="1221">
        <v>3</v>
      </c>
      <c r="K25" s="1237" t="str">
        <f>IF(X25="",N_ToBeDrawn,IF(VLOOKUP(X25,DrawParticipantsRankingList,2,FALSE)="",N_Withdraw,VLOOKUP(X25,DrawParticipantsRankingList,2,FALSE)))</f>
        <v>Non encore défini</v>
      </c>
      <c r="L25" s="1238">
        <f>IF(X25="",W25,(IF(K25=N_Withdraw,"",VLOOKUP(X25,DrawParticipantsRankingList,NatClubColNum,FALSE))))</f>
        <v>3</v>
      </c>
      <c r="M25" s="1221"/>
      <c r="N25" s="1221">
        <v>3</v>
      </c>
      <c r="O25" s="1233"/>
      <c r="P25" s="1468"/>
      <c r="Q25" s="1221">
        <v>3</v>
      </c>
      <c r="R25" s="1233"/>
      <c r="S25" s="1468"/>
      <c r="T25" s="1221">
        <v>3</v>
      </c>
      <c r="U25" s="1233"/>
      <c r="V25" s="1468"/>
      <c r="W25" s="1221">
        <v>3</v>
      </c>
      <c r="X25" s="1233"/>
      <c r="Z25" s="1259">
        <f t="shared" si="4"/>
        <v>21</v>
      </c>
      <c r="AA25" s="1251" t="s">
        <v>5368</v>
      </c>
      <c r="AB25" s="1246">
        <f t="shared" si="5"/>
        <v>231</v>
      </c>
      <c r="AC25" s="1246" t="s">
        <v>1023</v>
      </c>
      <c r="AD25" s="1247" t="s">
        <v>988</v>
      </c>
      <c r="AE25" s="1267"/>
      <c r="AF25" s="1251" t="s">
        <v>5350</v>
      </c>
      <c r="AG25" s="1246">
        <v>3</v>
      </c>
      <c r="AH25" s="1246" t="s">
        <v>1023</v>
      </c>
      <c r="AI25" s="1247" t="s">
        <v>988</v>
      </c>
      <c r="AJ25" s="1239"/>
      <c r="AK25" s="1">
        <f t="shared" si="6"/>
        <v>1</v>
      </c>
      <c r="AL25" s="1">
        <f t="shared" si="7"/>
        <v>4</v>
      </c>
      <c r="AM25" s="1">
        <f t="shared" ca="1" si="2"/>
        <v>0</v>
      </c>
      <c r="AN25" s="1">
        <f t="shared" ca="1" si="8"/>
        <v>7</v>
      </c>
      <c r="AO25" s="1">
        <f t="shared" si="9"/>
        <v>0</v>
      </c>
    </row>
    <row r="26" spans="1:41" ht="13.5" thickBot="1" x14ac:dyDescent="0.25">
      <c r="A26" s="1221">
        <v>4</v>
      </c>
      <c r="B26" s="1240" t="str">
        <f>IF(O26="",N_ToBeDrawn,IF(VLOOKUP(O26,DrawParticipantsRankingList,2,FALSE)="",N_Withdraw,VLOOKUP(O26,DrawParticipantsRankingList,2,FALSE)))</f>
        <v>Non encore défini</v>
      </c>
      <c r="C26" s="1241">
        <f>IF(O26="",N26,(IF(B26=N_Withdraw,"",VLOOKUP(O26,DrawParticipantsRankingList,NatClubColNum,FALSE))))</f>
        <v>4</v>
      </c>
      <c r="D26" s="1221">
        <v>4</v>
      </c>
      <c r="E26" s="1240" t="str">
        <f>IF(R26="",N_ToBeDrawn,IF(VLOOKUP(R26,DrawParticipantsRankingList,2,FALSE)="",N_Withdraw,VLOOKUP(R26,DrawParticipantsRankingList,2,FALSE)))</f>
        <v>Non encore défini</v>
      </c>
      <c r="F26" s="1241">
        <f>IF(R26="",Q26,(IF(E26=N_Withdraw,"",VLOOKUP(R26,DrawParticipantsRankingList,NatClubColNum,FALSE))))</f>
        <v>4</v>
      </c>
      <c r="G26" s="1221">
        <v>4</v>
      </c>
      <c r="H26" s="1240" t="str">
        <f>IF(U26="",N_ToBeDrawn,IF(VLOOKUP(U26,DrawParticipantsRankingList,2,FALSE)="",N_Withdraw,VLOOKUP(U26,DrawParticipantsRankingList,2,FALSE)))</f>
        <v>Non encore défini</v>
      </c>
      <c r="I26" s="1241">
        <f>IF(U26="",T26,(IF(H26=N_Withdraw,"",VLOOKUP(U26,DrawParticipantsRankingList,NatClubColNum,FALSE))))</f>
        <v>4</v>
      </c>
      <c r="J26" s="1221">
        <v>4</v>
      </c>
      <c r="K26" s="1240" t="str">
        <f>IF(X26="",N_ToBeDrawn,IF(VLOOKUP(X26,DrawParticipantsRankingList,2,FALSE)="",N_Withdraw,VLOOKUP(X26,DrawParticipantsRankingList,2,FALSE)))</f>
        <v>Non encore défini</v>
      </c>
      <c r="L26" s="1241">
        <f>IF(X26="",W26,(IF(K26=N_Withdraw,"",VLOOKUP(X26,DrawParticipantsRankingList,NatClubColNum,FALSE))))</f>
        <v>4</v>
      </c>
      <c r="M26" s="1221"/>
      <c r="N26" s="1221">
        <v>4</v>
      </c>
      <c r="O26" s="1233"/>
      <c r="P26" s="1468"/>
      <c r="Q26" s="1221">
        <v>4</v>
      </c>
      <c r="R26" s="1233"/>
      <c r="S26" s="1468"/>
      <c r="T26" s="1221">
        <v>4</v>
      </c>
      <c r="U26" s="1233"/>
      <c r="V26" s="1468"/>
      <c r="W26" s="1221">
        <v>4</v>
      </c>
      <c r="X26" s="1233"/>
      <c r="Z26" s="1259">
        <f t="shared" si="4"/>
        <v>22</v>
      </c>
      <c r="AA26" s="1251" t="s">
        <v>5369</v>
      </c>
      <c r="AB26" s="1246">
        <f t="shared" si="5"/>
        <v>253</v>
      </c>
      <c r="AC26" s="1246" t="s">
        <v>1019</v>
      </c>
      <c r="AD26" s="1247" t="s">
        <v>1037</v>
      </c>
      <c r="AE26" s="1267"/>
      <c r="AF26" s="1251" t="s">
        <v>5349</v>
      </c>
      <c r="AG26" s="1246">
        <v>2</v>
      </c>
      <c r="AH26" s="1246" t="s">
        <v>1019</v>
      </c>
      <c r="AI26" s="1247" t="s">
        <v>1037</v>
      </c>
      <c r="AJ26" s="1239"/>
      <c r="AK26" s="1">
        <f t="shared" si="6"/>
        <v>1</v>
      </c>
      <c r="AL26" s="1">
        <f t="shared" si="7"/>
        <v>5</v>
      </c>
      <c r="AM26" s="1">
        <f t="shared" ca="1" si="2"/>
        <v>0</v>
      </c>
      <c r="AN26" s="1">
        <f t="shared" ca="1" si="8"/>
        <v>7</v>
      </c>
      <c r="AO26" s="1">
        <f t="shared" si="9"/>
        <v>3</v>
      </c>
    </row>
    <row r="27" spans="1:41" x14ac:dyDescent="0.2">
      <c r="A27" s="1221"/>
      <c r="B27" s="1221"/>
      <c r="C27" s="1222"/>
      <c r="D27" s="1221"/>
      <c r="E27" s="1221"/>
      <c r="F27" s="1222"/>
      <c r="G27" s="1221"/>
      <c r="H27" s="1221"/>
      <c r="I27" s="1222"/>
      <c r="J27" s="1221"/>
      <c r="K27" s="1221"/>
      <c r="L27" s="1222"/>
      <c r="M27" s="1221"/>
      <c r="Z27" s="1259">
        <f t="shared" si="4"/>
        <v>23</v>
      </c>
      <c r="AA27" s="1251" t="s">
        <v>5398</v>
      </c>
      <c r="AB27" s="1246">
        <f t="shared" si="5"/>
        <v>276</v>
      </c>
      <c r="AC27" s="1246" t="s">
        <v>1023</v>
      </c>
      <c r="AD27" s="1247" t="s">
        <v>988</v>
      </c>
      <c r="AE27" s="1267"/>
      <c r="AF27" s="1251" t="s">
        <v>5350</v>
      </c>
      <c r="AG27" s="1246">
        <v>3</v>
      </c>
      <c r="AH27" s="1246" t="s">
        <v>1023</v>
      </c>
      <c r="AI27" s="1247" t="s">
        <v>988</v>
      </c>
      <c r="AJ27" s="1239"/>
      <c r="AK27" s="1">
        <f t="shared" si="6"/>
        <v>1</v>
      </c>
      <c r="AL27" s="1">
        <f t="shared" si="7"/>
        <v>6</v>
      </c>
      <c r="AM27" s="1">
        <f t="shared" ca="1" si="2"/>
        <v>0</v>
      </c>
      <c r="AN27" s="1">
        <f t="shared" ca="1" si="8"/>
        <v>7</v>
      </c>
      <c r="AO27" s="1">
        <f t="shared" si="9"/>
        <v>6</v>
      </c>
    </row>
    <row r="28" spans="1:41" ht="13.5" thickBot="1" x14ac:dyDescent="0.25">
      <c r="A28" s="1221"/>
      <c r="B28" s="1221"/>
      <c r="C28" s="1222"/>
      <c r="D28" s="1221"/>
      <c r="E28" s="1221"/>
      <c r="F28" s="1222"/>
      <c r="G28" s="1221"/>
      <c r="H28" s="1221"/>
      <c r="I28" s="1222"/>
      <c r="J28" s="1221"/>
      <c r="K28" s="1221"/>
      <c r="L28" s="1222"/>
      <c r="M28" s="1221"/>
      <c r="Z28" s="1259">
        <f t="shared" si="4"/>
        <v>24</v>
      </c>
      <c r="AA28" s="1251" t="s">
        <v>5399</v>
      </c>
      <c r="AB28" s="1246">
        <f t="shared" si="5"/>
        <v>300</v>
      </c>
      <c r="AC28" s="1246" t="s">
        <v>1019</v>
      </c>
      <c r="AD28" s="1247" t="s">
        <v>1037</v>
      </c>
      <c r="AE28" s="1267"/>
      <c r="AF28" s="1251" t="s">
        <v>5349</v>
      </c>
      <c r="AG28" s="1246">
        <v>2</v>
      </c>
      <c r="AH28" s="1246" t="s">
        <v>1019</v>
      </c>
      <c r="AI28" s="1247" t="s">
        <v>1037</v>
      </c>
      <c r="AJ28" s="1239"/>
      <c r="AK28" s="1">
        <f t="shared" si="6"/>
        <v>1</v>
      </c>
      <c r="AL28" s="1">
        <f t="shared" si="7"/>
        <v>7</v>
      </c>
      <c r="AM28" s="1">
        <f t="shared" ca="1" si="2"/>
        <v>0</v>
      </c>
      <c r="AN28" s="1">
        <f t="shared" ca="1" si="8"/>
        <v>7</v>
      </c>
      <c r="AO28" s="1">
        <f t="shared" si="9"/>
        <v>9</v>
      </c>
    </row>
    <row r="29" spans="1:41" x14ac:dyDescent="0.2">
      <c r="A29" s="1221"/>
      <c r="B29" s="855" t="s">
        <v>3724</v>
      </c>
      <c r="C29" s="856"/>
      <c r="D29" s="856"/>
      <c r="E29" s="856"/>
      <c r="F29" s="856"/>
      <c r="G29" s="923"/>
      <c r="H29" s="923"/>
      <c r="I29" s="923"/>
      <c r="J29" s="923"/>
      <c r="K29" s="923"/>
      <c r="L29" s="1471" t="s">
        <v>5448</v>
      </c>
      <c r="M29" s="1472"/>
      <c r="N29" s="1472"/>
      <c r="O29" s="1472"/>
      <c r="P29" s="1472"/>
      <c r="Q29" s="1472"/>
      <c r="R29" s="1472"/>
      <c r="S29" s="1472"/>
      <c r="T29" s="1472"/>
      <c r="U29" s="1472"/>
      <c r="V29" s="1472"/>
      <c r="W29" s="1472"/>
      <c r="X29" s="1473"/>
      <c r="Y29" s="1239"/>
      <c r="Z29" s="1259">
        <f t="shared" si="4"/>
        <v>25</v>
      </c>
      <c r="AA29" s="1251" t="s">
        <v>5400</v>
      </c>
      <c r="AB29" s="1246">
        <f t="shared" si="5"/>
        <v>325</v>
      </c>
      <c r="AC29" s="1246" t="s">
        <v>1023</v>
      </c>
      <c r="AD29" s="1247" t="s">
        <v>988</v>
      </c>
      <c r="AE29" s="1267"/>
      <c r="AF29" s="1251" t="s">
        <v>5350</v>
      </c>
      <c r="AG29" s="1246">
        <v>3</v>
      </c>
      <c r="AH29" s="1246" t="s">
        <v>1023</v>
      </c>
      <c r="AI29" s="1247" t="s">
        <v>988</v>
      </c>
      <c r="AK29" s="1">
        <f t="shared" si="6"/>
        <v>1</v>
      </c>
      <c r="AL29" s="1">
        <f t="shared" si="7"/>
        <v>8</v>
      </c>
      <c r="AM29" s="1">
        <f t="shared" ca="1" si="2"/>
        <v>0</v>
      </c>
      <c r="AN29" s="1">
        <f t="shared" ca="1" si="8"/>
        <v>13</v>
      </c>
      <c r="AO29" s="1">
        <f t="shared" si="9"/>
        <v>0</v>
      </c>
    </row>
    <row r="30" spans="1:41" x14ac:dyDescent="0.2">
      <c r="A30" s="1221"/>
      <c r="B30" s="870" t="s">
        <v>3795</v>
      </c>
      <c r="C30" s="846"/>
      <c r="D30" s="846"/>
      <c r="E30" s="846"/>
      <c r="F30" s="846"/>
      <c r="G30" s="924"/>
      <c r="H30" s="924"/>
      <c r="I30" s="924"/>
      <c r="J30" s="924"/>
      <c r="K30" s="924"/>
      <c r="L30" s="1474" t="s">
        <v>5456</v>
      </c>
      <c r="M30" s="1475"/>
      <c r="N30" s="1475"/>
      <c r="O30" s="1475"/>
      <c r="P30" s="1475"/>
      <c r="Q30" s="1475"/>
      <c r="R30" s="1475"/>
      <c r="S30" s="1475"/>
      <c r="T30" s="1475"/>
      <c r="U30" s="1475"/>
      <c r="V30" s="1475"/>
      <c r="W30" s="1475"/>
      <c r="X30" s="1476"/>
      <c r="Y30" s="1239"/>
      <c r="Z30" s="1259">
        <f t="shared" si="4"/>
        <v>26</v>
      </c>
      <c r="AA30" s="1251" t="s">
        <v>5401</v>
      </c>
      <c r="AB30" s="1246">
        <f t="shared" si="5"/>
        <v>351</v>
      </c>
      <c r="AC30" s="1246" t="s">
        <v>1019</v>
      </c>
      <c r="AD30" s="1247" t="s">
        <v>1037</v>
      </c>
      <c r="AE30" s="1267"/>
      <c r="AF30" s="1251" t="s">
        <v>5349</v>
      </c>
      <c r="AG30" s="1246">
        <v>2</v>
      </c>
      <c r="AH30" s="1246" t="s">
        <v>1019</v>
      </c>
      <c r="AI30" s="1247" t="s">
        <v>1037</v>
      </c>
      <c r="AK30" s="1">
        <f t="shared" si="6"/>
        <v>1</v>
      </c>
      <c r="AL30" s="1">
        <f t="shared" si="7"/>
        <v>9</v>
      </c>
      <c r="AM30" s="1">
        <f t="shared" ca="1" si="2"/>
        <v>0</v>
      </c>
      <c r="AN30" s="1">
        <f t="shared" ca="1" si="8"/>
        <v>13</v>
      </c>
      <c r="AO30" s="1">
        <f t="shared" si="9"/>
        <v>3</v>
      </c>
    </row>
    <row r="31" spans="1:41" x14ac:dyDescent="0.2">
      <c r="A31" s="1221"/>
      <c r="B31" s="859"/>
      <c r="C31" s="862"/>
      <c r="D31" s="846"/>
      <c r="E31" s="846"/>
      <c r="F31" s="846"/>
      <c r="G31" s="924"/>
      <c r="H31" s="924"/>
      <c r="I31" s="924"/>
      <c r="J31" s="924"/>
      <c r="K31" s="924"/>
      <c r="L31" s="1477" t="s">
        <v>5451</v>
      </c>
      <c r="M31" s="1478"/>
      <c r="N31" s="1478"/>
      <c r="O31" s="1478"/>
      <c r="P31" s="1478"/>
      <c r="Q31" s="1478"/>
      <c r="R31" s="1478"/>
      <c r="S31" s="1478"/>
      <c r="T31" s="1478"/>
      <c r="U31" s="1625">
        <v>600</v>
      </c>
      <c r="V31" s="1478"/>
      <c r="W31" s="1478"/>
      <c r="X31" s="1479"/>
      <c r="Y31" s="1239"/>
      <c r="Z31" s="1259">
        <f t="shared" si="4"/>
        <v>27</v>
      </c>
      <c r="AA31" s="1251" t="s">
        <v>5402</v>
      </c>
      <c r="AB31" s="1246">
        <f t="shared" si="5"/>
        <v>378</v>
      </c>
      <c r="AC31" s="1246" t="s">
        <v>1023</v>
      </c>
      <c r="AD31" s="1247" t="s">
        <v>988</v>
      </c>
      <c r="AE31" s="1267"/>
      <c r="AF31" s="1251" t="s">
        <v>5350</v>
      </c>
      <c r="AG31" s="1246">
        <v>3</v>
      </c>
      <c r="AH31" s="1246" t="s">
        <v>1023</v>
      </c>
      <c r="AI31" s="1247" t="s">
        <v>988</v>
      </c>
      <c r="AK31" s="1">
        <f t="shared" si="6"/>
        <v>1</v>
      </c>
      <c r="AL31" s="1">
        <f t="shared" si="7"/>
        <v>10</v>
      </c>
      <c r="AM31" s="1">
        <f t="shared" ca="1" si="2"/>
        <v>0</v>
      </c>
      <c r="AN31" s="1">
        <f t="shared" ca="1" si="8"/>
        <v>13</v>
      </c>
      <c r="AO31" s="1">
        <f t="shared" si="9"/>
        <v>6</v>
      </c>
    </row>
    <row r="32" spans="1:41" x14ac:dyDescent="0.2">
      <c r="A32" s="1221"/>
      <c r="B32" s="863" t="s">
        <v>5339</v>
      </c>
      <c r="C32" s="862"/>
      <c r="D32" s="846"/>
      <c r="E32" s="862" t="s">
        <v>5340</v>
      </c>
      <c r="F32" s="846"/>
      <c r="G32" s="846"/>
      <c r="H32" s="924"/>
      <c r="I32" s="924"/>
      <c r="J32" s="924"/>
      <c r="K32" s="924"/>
      <c r="L32" s="1477" t="s">
        <v>5450</v>
      </c>
      <c r="M32" s="1478"/>
      <c r="N32" s="1478"/>
      <c r="O32" s="1478"/>
      <c r="P32" s="1478"/>
      <c r="Q32" s="1478"/>
      <c r="R32" s="1478"/>
      <c r="S32" s="1478"/>
      <c r="T32" s="1478"/>
      <c r="U32" s="1478"/>
      <c r="V32" s="1478"/>
      <c r="W32" s="1478"/>
      <c r="X32" s="1479"/>
      <c r="Y32" s="1239"/>
      <c r="Z32" s="1259">
        <f t="shared" si="4"/>
        <v>28</v>
      </c>
      <c r="AA32" s="1251" t="s">
        <v>5403</v>
      </c>
      <c r="AB32" s="1246">
        <f t="shared" si="5"/>
        <v>406</v>
      </c>
      <c r="AC32" s="1246" t="s">
        <v>1019</v>
      </c>
      <c r="AD32" s="1247" t="s">
        <v>1037</v>
      </c>
      <c r="AE32" s="1267"/>
      <c r="AF32" s="1251" t="s">
        <v>5349</v>
      </c>
      <c r="AG32" s="1246">
        <v>2</v>
      </c>
      <c r="AH32" s="1246" t="s">
        <v>1019</v>
      </c>
      <c r="AI32" s="1247" t="s">
        <v>1037</v>
      </c>
      <c r="AK32" s="1">
        <f t="shared" si="6"/>
        <v>1</v>
      </c>
      <c r="AL32" s="1">
        <f t="shared" si="7"/>
        <v>11</v>
      </c>
      <c r="AM32" s="1">
        <f t="shared" ca="1" si="2"/>
        <v>0</v>
      </c>
      <c r="AN32" s="1">
        <f t="shared" ca="1" si="8"/>
        <v>13</v>
      </c>
      <c r="AO32" s="1">
        <f t="shared" si="9"/>
        <v>9</v>
      </c>
    </row>
    <row r="33" spans="1:41" x14ac:dyDescent="0.2">
      <c r="A33" s="1221"/>
      <c r="B33" s="863" t="s">
        <v>5396</v>
      </c>
      <c r="C33" s="862"/>
      <c r="D33" s="846"/>
      <c r="E33" s="862" t="s">
        <v>5397</v>
      </c>
      <c r="F33" s="846"/>
      <c r="G33" s="846"/>
      <c r="H33" s="924"/>
      <c r="I33" s="924"/>
      <c r="J33" s="924"/>
      <c r="K33" s="924"/>
      <c r="L33" s="1477" t="s">
        <v>5445</v>
      </c>
      <c r="M33" s="1478"/>
      <c r="N33" s="1478"/>
      <c r="O33" s="1478"/>
      <c r="P33" s="1478"/>
      <c r="Q33" s="1478"/>
      <c r="R33" s="1478"/>
      <c r="S33" s="1478"/>
      <c r="T33" s="1478"/>
      <c r="U33" s="1478"/>
      <c r="V33" s="1478"/>
      <c r="W33" s="1478"/>
      <c r="X33" s="1479"/>
      <c r="Y33" s="1239"/>
      <c r="Z33" s="1259">
        <f t="shared" si="4"/>
        <v>29</v>
      </c>
      <c r="AA33" s="1251" t="s">
        <v>5404</v>
      </c>
      <c r="AB33" s="1246">
        <f t="shared" si="5"/>
        <v>435</v>
      </c>
      <c r="AC33" s="1246" t="s">
        <v>1023</v>
      </c>
      <c r="AD33" s="1247" t="s">
        <v>988</v>
      </c>
      <c r="AE33" s="1267"/>
      <c r="AF33" s="1251" t="s">
        <v>5350</v>
      </c>
      <c r="AG33" s="1246">
        <v>3</v>
      </c>
      <c r="AH33" s="1246" t="s">
        <v>1023</v>
      </c>
      <c r="AI33" s="1247" t="s">
        <v>988</v>
      </c>
      <c r="AK33" s="1">
        <f t="shared" si="6"/>
        <v>1</v>
      </c>
      <c r="AL33" s="1">
        <f t="shared" si="7"/>
        <v>12</v>
      </c>
      <c r="AM33" s="1">
        <f t="shared" ca="1" si="2"/>
        <v>0</v>
      </c>
      <c r="AN33" s="1">
        <f t="shared" ca="1" si="8"/>
        <v>19</v>
      </c>
      <c r="AO33" s="1">
        <f t="shared" si="9"/>
        <v>0</v>
      </c>
    </row>
    <row r="34" spans="1:41" x14ac:dyDescent="0.2">
      <c r="A34" s="1221"/>
      <c r="B34" s="863"/>
      <c r="C34" s="862"/>
      <c r="D34" s="846"/>
      <c r="E34" s="862"/>
      <c r="F34" s="846"/>
      <c r="G34" s="846"/>
      <c r="H34" s="924"/>
      <c r="I34" s="924"/>
      <c r="J34" s="924"/>
      <c r="K34" s="924"/>
      <c r="L34" s="1477"/>
      <c r="M34" s="1478"/>
      <c r="N34" s="1478"/>
      <c r="O34" s="1478"/>
      <c r="P34" s="1478"/>
      <c r="Q34" s="1478"/>
      <c r="R34" s="1478"/>
      <c r="S34" s="1478"/>
      <c r="T34" s="1478"/>
      <c r="U34" s="1478"/>
      <c r="V34" s="1478"/>
      <c r="W34" s="1478"/>
      <c r="X34" s="1479"/>
      <c r="Y34" s="1239"/>
      <c r="Z34" s="1259">
        <f t="shared" si="4"/>
        <v>30</v>
      </c>
      <c r="AA34" s="1251" t="s">
        <v>5405</v>
      </c>
      <c r="AB34" s="1246">
        <f t="shared" si="5"/>
        <v>465</v>
      </c>
      <c r="AC34" s="1246" t="s">
        <v>1019</v>
      </c>
      <c r="AD34" s="1247" t="s">
        <v>1037</v>
      </c>
      <c r="AE34" s="1267"/>
      <c r="AF34" s="1251" t="s">
        <v>5349</v>
      </c>
      <c r="AG34" s="1246">
        <v>2</v>
      </c>
      <c r="AH34" s="1246" t="s">
        <v>1019</v>
      </c>
      <c r="AI34" s="1247" t="s">
        <v>1037</v>
      </c>
      <c r="AK34" s="1">
        <f t="shared" si="6"/>
        <v>1</v>
      </c>
      <c r="AL34" s="1">
        <f t="shared" si="7"/>
        <v>13</v>
      </c>
      <c r="AM34" s="1">
        <f t="shared" ca="1" si="2"/>
        <v>0</v>
      </c>
      <c r="AN34" s="1">
        <f t="shared" ca="1" si="8"/>
        <v>19</v>
      </c>
      <c r="AO34" s="1">
        <f t="shared" si="9"/>
        <v>3</v>
      </c>
    </row>
    <row r="35" spans="1:41" x14ac:dyDescent="0.2">
      <c r="A35" s="1221"/>
      <c r="B35" s="863" t="s">
        <v>3725</v>
      </c>
      <c r="C35" s="862"/>
      <c r="D35" s="846"/>
      <c r="E35" s="862" t="s">
        <v>3726</v>
      </c>
      <c r="F35" s="846"/>
      <c r="G35" s="846"/>
      <c r="H35" s="924"/>
      <c r="I35" s="924"/>
      <c r="J35" s="924"/>
      <c r="K35" s="924"/>
      <c r="L35" s="1477"/>
      <c r="M35" s="1478"/>
      <c r="N35" s="1478"/>
      <c r="O35" s="1480">
        <v>509</v>
      </c>
      <c r="P35" s="1478"/>
      <c r="Q35" s="1478"/>
      <c r="R35" s="1480">
        <v>511</v>
      </c>
      <c r="S35" s="1478"/>
      <c r="T35" s="1478"/>
      <c r="U35" s="1480">
        <v>530</v>
      </c>
      <c r="V35" s="1478"/>
      <c r="W35" s="1478"/>
      <c r="X35" s="1481">
        <v>513</v>
      </c>
      <c r="Y35" s="1239"/>
      <c r="Z35" s="1259">
        <f t="shared" si="4"/>
        <v>31</v>
      </c>
      <c r="AA35" s="1251" t="s">
        <v>5406</v>
      </c>
      <c r="AB35" s="1246">
        <f t="shared" si="5"/>
        <v>496</v>
      </c>
      <c r="AC35" s="1246" t="s">
        <v>1023</v>
      </c>
      <c r="AD35" s="1247" t="s">
        <v>988</v>
      </c>
      <c r="AE35" s="1267"/>
      <c r="AF35" s="1251" t="s">
        <v>5350</v>
      </c>
      <c r="AG35" s="1246">
        <v>3</v>
      </c>
      <c r="AH35" s="1246" t="s">
        <v>1023</v>
      </c>
      <c r="AI35" s="1247" t="s">
        <v>988</v>
      </c>
      <c r="AK35" s="1">
        <f t="shared" si="6"/>
        <v>1</v>
      </c>
      <c r="AL35" s="1">
        <f t="shared" si="7"/>
        <v>14</v>
      </c>
      <c r="AM35" s="1">
        <f t="shared" ca="1" si="2"/>
        <v>0</v>
      </c>
      <c r="AN35" s="1">
        <f t="shared" ca="1" si="8"/>
        <v>19</v>
      </c>
      <c r="AO35" s="1">
        <f t="shared" si="9"/>
        <v>6</v>
      </c>
    </row>
    <row r="36" spans="1:41" x14ac:dyDescent="0.2">
      <c r="A36" s="1221"/>
      <c r="B36" s="863"/>
      <c r="C36" s="862"/>
      <c r="D36" s="846"/>
      <c r="E36" s="862"/>
      <c r="F36" s="846"/>
      <c r="G36" s="846"/>
      <c r="H36" s="924"/>
      <c r="I36" s="924"/>
      <c r="J36" s="924"/>
      <c r="K36" s="924"/>
      <c r="L36" s="1477"/>
      <c r="M36" s="1478"/>
      <c r="N36" s="1478"/>
      <c r="O36" s="1480">
        <v>510</v>
      </c>
      <c r="P36" s="1478"/>
      <c r="Q36" s="1478"/>
      <c r="R36" s="1480">
        <v>520</v>
      </c>
      <c r="S36" s="1478"/>
      <c r="T36" s="1478"/>
      <c r="U36" s="1480">
        <v>512</v>
      </c>
      <c r="V36" s="1478"/>
      <c r="W36" s="1478"/>
      <c r="X36" s="1481">
        <v>540</v>
      </c>
      <c r="Y36" s="1239"/>
      <c r="Z36" s="1259">
        <f t="shared" si="4"/>
        <v>32</v>
      </c>
      <c r="AA36" s="1251" t="s">
        <v>5407</v>
      </c>
      <c r="AB36" s="1246">
        <f t="shared" si="5"/>
        <v>528</v>
      </c>
      <c r="AC36" s="1246" t="s">
        <v>1019</v>
      </c>
      <c r="AD36" s="1247" t="s">
        <v>1037</v>
      </c>
      <c r="AE36" s="1267"/>
      <c r="AF36" s="1251" t="s">
        <v>5349</v>
      </c>
      <c r="AG36" s="1246">
        <v>2</v>
      </c>
      <c r="AH36" s="1246" t="s">
        <v>1019</v>
      </c>
      <c r="AI36" s="1247" t="s">
        <v>1037</v>
      </c>
      <c r="AK36" s="1">
        <f t="shared" si="6"/>
        <v>1</v>
      </c>
      <c r="AL36" s="1">
        <f t="shared" si="7"/>
        <v>15</v>
      </c>
      <c r="AM36" s="1">
        <f t="shared" ca="1" si="2"/>
        <v>0</v>
      </c>
      <c r="AN36" s="1">
        <f t="shared" ca="1" si="8"/>
        <v>19</v>
      </c>
      <c r="AO36" s="1">
        <f t="shared" si="9"/>
        <v>9</v>
      </c>
    </row>
    <row r="37" spans="1:41" x14ac:dyDescent="0.2">
      <c r="A37" s="1221"/>
      <c r="B37" s="863" t="s">
        <v>5332</v>
      </c>
      <c r="C37" s="862"/>
      <c r="D37" s="846"/>
      <c r="E37" s="862" t="s">
        <v>5338</v>
      </c>
      <c r="F37" s="846"/>
      <c r="G37" s="846"/>
      <c r="H37" s="924"/>
      <c r="I37" s="924"/>
      <c r="J37" s="924"/>
      <c r="K37" s="924"/>
      <c r="L37" s="1477"/>
      <c r="M37" s="1478"/>
      <c r="N37" s="1478"/>
      <c r="O37" s="1480">
        <v>515</v>
      </c>
      <c r="P37" s="1478"/>
      <c r="Q37" s="1478"/>
      <c r="R37" s="1480">
        <v>522</v>
      </c>
      <c r="S37" s="1478"/>
      <c r="T37" s="1478"/>
      <c r="U37" s="1480">
        <v>535</v>
      </c>
      <c r="V37" s="1478"/>
      <c r="W37" s="1478"/>
      <c r="X37" s="1481">
        <v>522</v>
      </c>
      <c r="Y37" s="1239"/>
      <c r="Z37" s="1259">
        <f t="shared" si="4"/>
        <v>33</v>
      </c>
      <c r="AA37" s="1251" t="s">
        <v>5408</v>
      </c>
      <c r="AB37" s="1246">
        <f t="shared" si="5"/>
        <v>561</v>
      </c>
      <c r="AC37" s="1246" t="s">
        <v>1023</v>
      </c>
      <c r="AD37" s="1247" t="s">
        <v>988</v>
      </c>
      <c r="AE37" s="1267"/>
      <c r="AF37" s="1251" t="s">
        <v>5350</v>
      </c>
      <c r="AG37" s="1246">
        <v>3</v>
      </c>
      <c r="AH37" s="1246" t="s">
        <v>1023</v>
      </c>
      <c r="AI37" s="1247" t="s">
        <v>988</v>
      </c>
      <c r="AK37" s="1">
        <f t="shared" si="6"/>
        <v>2</v>
      </c>
      <c r="AL37" s="1">
        <f t="shared" si="7"/>
        <v>0</v>
      </c>
      <c r="AM37" s="1">
        <f t="shared" ref="AM37:AM68" ca="1" si="10">IF(Z37&gt;DrawNbParticipants,"",OFFSET($O$3,2+AK37+(DrawGroupSize+1+IF(OFFSET($W$3,DrawGroupSize-1+2,0)="",0,1))*QUOTIENT(AL37,4),MOD(AL37,4)*3))</f>
        <v>0</v>
      </c>
      <c r="AN37" s="1">
        <f t="shared" ca="1" si="8"/>
        <v>2</v>
      </c>
      <c r="AO37" s="1">
        <f t="shared" si="9"/>
        <v>0</v>
      </c>
    </row>
    <row r="38" spans="1:41" x14ac:dyDescent="0.2">
      <c r="A38" s="1221"/>
      <c r="B38" s="863" t="s">
        <v>5334</v>
      </c>
      <c r="C38" s="846"/>
      <c r="D38" s="862"/>
      <c r="E38" s="846"/>
      <c r="F38" s="862" t="s">
        <v>5341</v>
      </c>
      <c r="G38" s="846"/>
      <c r="H38" s="924"/>
      <c r="I38" s="924"/>
      <c r="J38" s="924"/>
      <c r="K38" s="924"/>
      <c r="L38" s="1477"/>
      <c r="M38" s="1478"/>
      <c r="N38" s="1478"/>
      <c r="O38" s="1480">
        <v>510</v>
      </c>
      <c r="P38" s="1478"/>
      <c r="Q38" s="1478"/>
      <c r="R38" s="1480">
        <v>525</v>
      </c>
      <c r="S38" s="1478"/>
      <c r="T38" s="1478"/>
      <c r="U38" s="1480">
        <v>530</v>
      </c>
      <c r="V38" s="1478"/>
      <c r="W38" s="1478"/>
      <c r="X38" s="1481">
        <v>545</v>
      </c>
      <c r="Y38" s="1239"/>
      <c r="Z38" s="1259">
        <f t="shared" si="4"/>
        <v>34</v>
      </c>
      <c r="AA38" s="1251" t="s">
        <v>5409</v>
      </c>
      <c r="AB38" s="1246">
        <f t="shared" ref="AB38:AB68" si="11">AB37+Z38</f>
        <v>595</v>
      </c>
      <c r="AC38" s="1246" t="s">
        <v>1019</v>
      </c>
      <c r="AD38" s="1247" t="s">
        <v>1037</v>
      </c>
      <c r="AE38" s="1267"/>
      <c r="AF38" s="1251" t="s">
        <v>5349</v>
      </c>
      <c r="AG38" s="1246">
        <v>2</v>
      </c>
      <c r="AH38" s="1246" t="s">
        <v>1019</v>
      </c>
      <c r="AI38" s="1247" t="s">
        <v>1037</v>
      </c>
      <c r="AK38" s="1">
        <f t="shared" si="6"/>
        <v>2</v>
      </c>
      <c r="AL38" s="1">
        <f t="shared" si="7"/>
        <v>1</v>
      </c>
      <c r="AM38" s="1">
        <f t="shared" ca="1" si="10"/>
        <v>0</v>
      </c>
      <c r="AN38" s="1">
        <f t="shared" ca="1" si="8"/>
        <v>2</v>
      </c>
      <c r="AO38" s="1">
        <f t="shared" si="9"/>
        <v>3</v>
      </c>
    </row>
    <row r="39" spans="1:41" ht="13.5" thickBot="1" x14ac:dyDescent="0.25">
      <c r="A39" s="1221"/>
      <c r="B39" s="863" t="s">
        <v>5335</v>
      </c>
      <c r="C39" s="846"/>
      <c r="D39" s="862"/>
      <c r="E39" s="846"/>
      <c r="F39" s="862" t="s">
        <v>5342</v>
      </c>
      <c r="G39" s="846"/>
      <c r="H39" s="924"/>
      <c r="I39" s="924"/>
      <c r="J39" s="924"/>
      <c r="K39" s="924"/>
      <c r="L39" s="1482"/>
      <c r="M39" s="1483"/>
      <c r="N39" s="1483"/>
      <c r="O39" s="1483"/>
      <c r="P39" s="1483"/>
      <c r="Q39" s="1483"/>
      <c r="R39" s="1483"/>
      <c r="S39" s="1483"/>
      <c r="T39" s="1483"/>
      <c r="U39" s="1483"/>
      <c r="V39" s="1483"/>
      <c r="W39" s="1483"/>
      <c r="X39" s="1484"/>
      <c r="Y39" s="1239"/>
      <c r="Z39" s="1259">
        <f t="shared" si="4"/>
        <v>35</v>
      </c>
      <c r="AA39" s="1251" t="s">
        <v>5410</v>
      </c>
      <c r="AB39" s="1246">
        <f t="shared" si="11"/>
        <v>630</v>
      </c>
      <c r="AC39" s="1246" t="s">
        <v>1023</v>
      </c>
      <c r="AD39" s="1247" t="s">
        <v>988</v>
      </c>
      <c r="AE39" s="1267"/>
      <c r="AF39" s="1251" t="s">
        <v>5350</v>
      </c>
      <c r="AG39" s="1246">
        <v>3</v>
      </c>
      <c r="AH39" s="1246" t="s">
        <v>1023</v>
      </c>
      <c r="AI39" s="1247" t="s">
        <v>988</v>
      </c>
      <c r="AK39" s="1">
        <f t="shared" si="6"/>
        <v>2</v>
      </c>
      <c r="AL39" s="1">
        <f t="shared" si="7"/>
        <v>2</v>
      </c>
      <c r="AM39" s="1">
        <f t="shared" ca="1" si="10"/>
        <v>0</v>
      </c>
      <c r="AN39" s="1">
        <f t="shared" ca="1" si="8"/>
        <v>2</v>
      </c>
      <c r="AO39" s="1">
        <f t="shared" si="9"/>
        <v>6</v>
      </c>
    </row>
    <row r="40" spans="1:41" x14ac:dyDescent="0.2">
      <c r="A40" s="1221"/>
      <c r="B40" s="863" t="s">
        <v>5336</v>
      </c>
      <c r="C40" s="846"/>
      <c r="D40" s="862"/>
      <c r="E40" s="846"/>
      <c r="F40" s="862" t="s">
        <v>5343</v>
      </c>
      <c r="G40" s="846"/>
      <c r="H40" s="924"/>
      <c r="I40" s="924"/>
      <c r="J40" s="924"/>
      <c r="K40" s="924"/>
      <c r="L40" s="1471" t="s">
        <v>5446</v>
      </c>
      <c r="M40" s="1472"/>
      <c r="N40" s="1472"/>
      <c r="O40" s="1472"/>
      <c r="P40" s="1472"/>
      <c r="Q40" s="1472"/>
      <c r="R40" s="1472"/>
      <c r="S40" s="1472"/>
      <c r="T40" s="1472"/>
      <c r="U40" s="1472"/>
      <c r="V40" s="1472"/>
      <c r="W40" s="1472"/>
      <c r="X40" s="1473"/>
      <c r="Y40" s="1239"/>
      <c r="Z40" s="1259">
        <f t="shared" si="4"/>
        <v>36</v>
      </c>
      <c r="AA40" s="1251" t="s">
        <v>5411</v>
      </c>
      <c r="AB40" s="1246">
        <f t="shared" si="11"/>
        <v>666</v>
      </c>
      <c r="AC40" s="1246" t="s">
        <v>1019</v>
      </c>
      <c r="AD40" s="1247" t="s">
        <v>1037</v>
      </c>
      <c r="AE40" s="1267"/>
      <c r="AF40" s="1251" t="s">
        <v>5349</v>
      </c>
      <c r="AG40" s="1246">
        <v>2</v>
      </c>
      <c r="AH40" s="1246" t="s">
        <v>1019</v>
      </c>
      <c r="AI40" s="1247" t="s">
        <v>1037</v>
      </c>
      <c r="AK40" s="1">
        <f t="shared" si="6"/>
        <v>2</v>
      </c>
      <c r="AL40" s="1">
        <f t="shared" si="7"/>
        <v>3</v>
      </c>
      <c r="AM40" s="1">
        <f t="shared" ca="1" si="10"/>
        <v>0</v>
      </c>
      <c r="AN40" s="1">
        <f t="shared" ca="1" si="8"/>
        <v>2</v>
      </c>
      <c r="AO40" s="1">
        <f t="shared" si="9"/>
        <v>9</v>
      </c>
    </row>
    <row r="41" spans="1:41" x14ac:dyDescent="0.2">
      <c r="A41" s="1221"/>
      <c r="B41" s="863" t="s">
        <v>5337</v>
      </c>
      <c r="C41" s="846"/>
      <c r="D41" s="862"/>
      <c r="E41" s="846"/>
      <c r="F41" s="862"/>
      <c r="G41" s="846"/>
      <c r="H41" s="924"/>
      <c r="I41" s="924"/>
      <c r="J41" s="924"/>
      <c r="K41" s="924"/>
      <c r="L41" s="1477" t="s">
        <v>5449</v>
      </c>
      <c r="M41" s="1478"/>
      <c r="N41" s="1478"/>
      <c r="O41" s="1478"/>
      <c r="P41" s="1478"/>
      <c r="Q41" s="1478"/>
      <c r="R41" s="1478"/>
      <c r="S41" s="1478"/>
      <c r="T41" s="1478"/>
      <c r="U41" s="1478"/>
      <c r="V41" s="1478"/>
      <c r="W41" s="1478"/>
      <c r="X41" s="1479"/>
      <c r="Y41" s="1239"/>
      <c r="Z41" s="1259">
        <f t="shared" si="4"/>
        <v>37</v>
      </c>
      <c r="AA41" s="1251" t="s">
        <v>5412</v>
      </c>
      <c r="AB41" s="1246">
        <f t="shared" si="11"/>
        <v>703</v>
      </c>
      <c r="AC41" s="1246" t="s">
        <v>1023</v>
      </c>
      <c r="AD41" s="1247" t="s">
        <v>988</v>
      </c>
      <c r="AE41" s="1267"/>
      <c r="AF41" s="1251" t="s">
        <v>5350</v>
      </c>
      <c r="AG41" s="1246">
        <v>3</v>
      </c>
      <c r="AH41" s="1246" t="s">
        <v>1023</v>
      </c>
      <c r="AI41" s="1247" t="s">
        <v>988</v>
      </c>
      <c r="AK41" s="1">
        <f t="shared" si="6"/>
        <v>2</v>
      </c>
      <c r="AL41" s="1">
        <f t="shared" si="7"/>
        <v>4</v>
      </c>
      <c r="AM41" s="1">
        <f t="shared" ca="1" si="10"/>
        <v>0</v>
      </c>
      <c r="AN41" s="1">
        <f t="shared" ca="1" si="8"/>
        <v>8</v>
      </c>
      <c r="AO41" s="1">
        <f t="shared" si="9"/>
        <v>0</v>
      </c>
    </row>
    <row r="42" spans="1:41" x14ac:dyDescent="0.2">
      <c r="A42" s="1221"/>
      <c r="B42" s="863" t="s">
        <v>5370</v>
      </c>
      <c r="C42" s="862"/>
      <c r="D42" s="862"/>
      <c r="E42" s="862" t="s">
        <v>5452</v>
      </c>
      <c r="F42" s="862"/>
      <c r="G42" s="846"/>
      <c r="H42" s="924"/>
      <c r="I42" s="924"/>
      <c r="J42" s="924"/>
      <c r="K42" s="924"/>
      <c r="L42" s="1477" t="s">
        <v>5447</v>
      </c>
      <c r="M42" s="1478"/>
      <c r="N42" s="1478"/>
      <c r="O42" s="1478"/>
      <c r="P42" s="1478"/>
      <c r="Q42" s="1478"/>
      <c r="R42" s="1478"/>
      <c r="S42" s="1478"/>
      <c r="T42" s="1478"/>
      <c r="U42" s="1478"/>
      <c r="V42" s="1478"/>
      <c r="W42" s="1478"/>
      <c r="X42" s="1479"/>
      <c r="Y42" s="1239"/>
      <c r="Z42" s="1259">
        <f t="shared" si="4"/>
        <v>38</v>
      </c>
      <c r="AA42" s="1251" t="s">
        <v>5413</v>
      </c>
      <c r="AB42" s="1246">
        <f t="shared" si="11"/>
        <v>741</v>
      </c>
      <c r="AC42" s="1246" t="s">
        <v>1019</v>
      </c>
      <c r="AD42" s="1247" t="s">
        <v>1037</v>
      </c>
      <c r="AE42" s="1267"/>
      <c r="AF42" s="1251" t="s">
        <v>5349</v>
      </c>
      <c r="AG42" s="1246">
        <v>2</v>
      </c>
      <c r="AH42" s="1246" t="s">
        <v>1019</v>
      </c>
      <c r="AI42" s="1247" t="s">
        <v>1037</v>
      </c>
      <c r="AK42" s="1">
        <f t="shared" si="6"/>
        <v>2</v>
      </c>
      <c r="AL42" s="1">
        <f t="shared" si="7"/>
        <v>5</v>
      </c>
      <c r="AM42" s="1">
        <f t="shared" ca="1" si="10"/>
        <v>0</v>
      </c>
      <c r="AN42" s="1">
        <f t="shared" ca="1" si="8"/>
        <v>8</v>
      </c>
      <c r="AO42" s="1">
        <f t="shared" si="9"/>
        <v>3</v>
      </c>
    </row>
    <row r="43" spans="1:41" x14ac:dyDescent="0.2">
      <c r="A43" s="1221"/>
      <c r="B43" s="863" t="s">
        <v>5371</v>
      </c>
      <c r="C43" s="862"/>
      <c r="D43" s="862"/>
      <c r="E43" s="862" t="s">
        <v>5453</v>
      </c>
      <c r="F43" s="862"/>
      <c r="G43" s="846"/>
      <c r="H43" s="924"/>
      <c r="I43" s="924"/>
      <c r="J43" s="924"/>
      <c r="K43" s="924"/>
      <c r="L43" s="1477" t="s">
        <v>5457</v>
      </c>
      <c r="M43" s="1478"/>
      <c r="N43" s="1478"/>
      <c r="O43" s="1478"/>
      <c r="P43" s="1478"/>
      <c r="Q43" s="1478"/>
      <c r="R43" s="1478"/>
      <c r="S43" s="1478"/>
      <c r="T43" s="1478"/>
      <c r="U43" s="1478"/>
      <c r="V43" s="1478"/>
      <c r="W43" s="1485" t="s">
        <v>1019</v>
      </c>
      <c r="X43" s="1479"/>
      <c r="Y43" s="1239"/>
      <c r="Z43" s="1259">
        <f t="shared" si="4"/>
        <v>39</v>
      </c>
      <c r="AA43" s="1251" t="s">
        <v>5414</v>
      </c>
      <c r="AB43" s="1246">
        <f t="shared" si="11"/>
        <v>780</v>
      </c>
      <c r="AC43" s="1246" t="s">
        <v>1023</v>
      </c>
      <c r="AD43" s="1247" t="s">
        <v>988</v>
      </c>
      <c r="AE43" s="1267"/>
      <c r="AF43" s="1251" t="s">
        <v>5350</v>
      </c>
      <c r="AG43" s="1246">
        <v>3</v>
      </c>
      <c r="AH43" s="1246" t="s">
        <v>1023</v>
      </c>
      <c r="AI43" s="1247" t="s">
        <v>988</v>
      </c>
      <c r="AK43" s="1">
        <f t="shared" si="6"/>
        <v>2</v>
      </c>
      <c r="AL43" s="1">
        <f t="shared" si="7"/>
        <v>6</v>
      </c>
      <c r="AM43" s="1">
        <f t="shared" ca="1" si="10"/>
        <v>0</v>
      </c>
      <c r="AN43" s="1">
        <f t="shared" ca="1" si="8"/>
        <v>8</v>
      </c>
      <c r="AO43" s="1">
        <f t="shared" si="9"/>
        <v>6</v>
      </c>
    </row>
    <row r="44" spans="1:41" ht="13.5" thickBot="1" x14ac:dyDescent="0.25">
      <c r="A44" s="1221"/>
      <c r="B44" s="863" t="s">
        <v>5372</v>
      </c>
      <c r="C44" s="862"/>
      <c r="D44" s="862"/>
      <c r="E44" s="862" t="s">
        <v>5454</v>
      </c>
      <c r="F44" s="862"/>
      <c r="G44" s="846"/>
      <c r="H44" s="924"/>
      <c r="I44" s="924"/>
      <c r="J44" s="924"/>
      <c r="K44" s="924"/>
      <c r="L44" s="1482"/>
      <c r="M44" s="1483"/>
      <c r="N44" s="1483"/>
      <c r="O44" s="1483"/>
      <c r="P44" s="1483"/>
      <c r="Q44" s="1483"/>
      <c r="R44" s="1483"/>
      <c r="S44" s="1483"/>
      <c r="T44" s="1483"/>
      <c r="U44" s="1483"/>
      <c r="V44" s="1483"/>
      <c r="W44" s="1483"/>
      <c r="X44" s="1484"/>
      <c r="Y44" s="1239"/>
      <c r="Z44" s="1259">
        <f t="shared" si="4"/>
        <v>40</v>
      </c>
      <c r="AA44" s="1251" t="s">
        <v>5415</v>
      </c>
      <c r="AB44" s="1246">
        <f t="shared" si="11"/>
        <v>820</v>
      </c>
      <c r="AC44" s="1246" t="s">
        <v>1019</v>
      </c>
      <c r="AD44" s="1247" t="s">
        <v>1037</v>
      </c>
      <c r="AE44" s="1267"/>
      <c r="AF44" s="1251" t="s">
        <v>5349</v>
      </c>
      <c r="AG44" s="1246">
        <v>2</v>
      </c>
      <c r="AH44" s="1246" t="s">
        <v>1019</v>
      </c>
      <c r="AI44" s="1247" t="s">
        <v>1037</v>
      </c>
      <c r="AK44" s="1">
        <f t="shared" si="6"/>
        <v>2</v>
      </c>
      <c r="AL44" s="1">
        <f t="shared" si="7"/>
        <v>7</v>
      </c>
      <c r="AM44" s="1">
        <f t="shared" ca="1" si="10"/>
        <v>0</v>
      </c>
      <c r="AN44" s="1">
        <f t="shared" ca="1" si="8"/>
        <v>8</v>
      </c>
      <c r="AO44" s="1">
        <f t="shared" si="9"/>
        <v>9</v>
      </c>
    </row>
    <row r="45" spans="1:41" x14ac:dyDescent="0.2">
      <c r="A45" s="1221"/>
      <c r="B45" s="863" t="s">
        <v>5373</v>
      </c>
      <c r="C45" s="862"/>
      <c r="D45" s="862"/>
      <c r="E45" s="862" t="s">
        <v>5455</v>
      </c>
      <c r="F45" s="862"/>
      <c r="G45" s="846"/>
      <c r="H45" s="924"/>
      <c r="I45" s="924"/>
      <c r="J45" s="924"/>
      <c r="K45" s="924"/>
      <c r="L45" s="924"/>
      <c r="M45" s="924"/>
      <c r="N45" s="924"/>
      <c r="O45" s="924"/>
      <c r="P45" s="924"/>
      <c r="Q45" s="924"/>
      <c r="R45" s="924"/>
      <c r="S45" s="924"/>
      <c r="T45" s="924"/>
      <c r="U45" s="924"/>
      <c r="V45" s="924"/>
      <c r="W45" s="924"/>
      <c r="X45" s="1486"/>
      <c r="Y45" s="1239"/>
      <c r="Z45" s="1259">
        <f t="shared" si="4"/>
        <v>41</v>
      </c>
      <c r="AA45" s="1251" t="s">
        <v>5416</v>
      </c>
      <c r="AB45" s="1246">
        <f t="shared" si="11"/>
        <v>861</v>
      </c>
      <c r="AC45" s="1246" t="s">
        <v>1023</v>
      </c>
      <c r="AD45" s="1247" t="s">
        <v>988</v>
      </c>
      <c r="AE45" s="1267"/>
      <c r="AF45" s="1251" t="s">
        <v>5350</v>
      </c>
      <c r="AG45" s="1246">
        <v>3</v>
      </c>
      <c r="AH45" s="1246" t="s">
        <v>1023</v>
      </c>
      <c r="AI45" s="1247" t="s">
        <v>988</v>
      </c>
      <c r="AK45" s="1">
        <f t="shared" si="6"/>
        <v>2</v>
      </c>
      <c r="AL45" s="1">
        <f t="shared" si="7"/>
        <v>8</v>
      </c>
      <c r="AM45" s="1">
        <f t="shared" ca="1" si="10"/>
        <v>0</v>
      </c>
      <c r="AN45" s="1">
        <f t="shared" ca="1" si="8"/>
        <v>14</v>
      </c>
      <c r="AO45" s="1">
        <f t="shared" si="9"/>
        <v>0</v>
      </c>
    </row>
    <row r="46" spans="1:41" x14ac:dyDescent="0.2">
      <c r="A46" s="1221"/>
      <c r="B46" s="859"/>
      <c r="C46" s="846"/>
      <c r="D46" s="862"/>
      <c r="E46" s="846"/>
      <c r="F46" s="862"/>
      <c r="G46" s="846"/>
      <c r="H46" s="924"/>
      <c r="I46" s="924"/>
      <c r="J46" s="924"/>
      <c r="K46" s="924"/>
      <c r="L46" s="924"/>
      <c r="M46" s="924"/>
      <c r="N46" s="924"/>
      <c r="O46" s="924"/>
      <c r="P46" s="924"/>
      <c r="Q46" s="924"/>
      <c r="R46" s="924"/>
      <c r="S46" s="924"/>
      <c r="T46" s="924"/>
      <c r="U46" s="924"/>
      <c r="V46" s="924"/>
      <c r="W46" s="924"/>
      <c r="X46" s="1486"/>
      <c r="Y46" s="1239"/>
      <c r="Z46" s="1259">
        <f t="shared" si="4"/>
        <v>42</v>
      </c>
      <c r="AA46" s="1251" t="s">
        <v>5417</v>
      </c>
      <c r="AB46" s="1246">
        <f t="shared" si="11"/>
        <v>903</v>
      </c>
      <c r="AC46" s="1246" t="s">
        <v>1019</v>
      </c>
      <c r="AD46" s="1247" t="s">
        <v>1037</v>
      </c>
      <c r="AE46" s="1267"/>
      <c r="AF46" s="1251" t="s">
        <v>5349</v>
      </c>
      <c r="AG46" s="1246">
        <v>2</v>
      </c>
      <c r="AH46" s="1246" t="s">
        <v>1019</v>
      </c>
      <c r="AI46" s="1247" t="s">
        <v>1037</v>
      </c>
      <c r="AK46" s="1">
        <f t="shared" si="6"/>
        <v>2</v>
      </c>
      <c r="AL46" s="1">
        <f t="shared" si="7"/>
        <v>9</v>
      </c>
      <c r="AM46" s="1">
        <f t="shared" ca="1" si="10"/>
        <v>0</v>
      </c>
      <c r="AN46" s="1">
        <f t="shared" ca="1" si="8"/>
        <v>14</v>
      </c>
      <c r="AO46" s="1">
        <f t="shared" si="9"/>
        <v>3</v>
      </c>
    </row>
    <row r="47" spans="1:41" x14ac:dyDescent="0.2">
      <c r="A47" s="1221"/>
      <c r="B47" s="863" t="s">
        <v>5333</v>
      </c>
      <c r="C47" s="862"/>
      <c r="D47" s="846"/>
      <c r="E47" s="862" t="s">
        <v>5338</v>
      </c>
      <c r="F47" s="846"/>
      <c r="G47" s="846"/>
      <c r="H47" s="924"/>
      <c r="I47" s="924"/>
      <c r="J47" s="924"/>
      <c r="K47" s="924"/>
      <c r="L47" s="924"/>
      <c r="M47" s="924"/>
      <c r="N47" s="924"/>
      <c r="O47" s="924"/>
      <c r="P47" s="924"/>
      <c r="Q47" s="924"/>
      <c r="R47" s="924"/>
      <c r="S47" s="924"/>
      <c r="T47" s="924"/>
      <c r="U47" s="924"/>
      <c r="V47" s="924"/>
      <c r="W47" s="924"/>
      <c r="X47" s="1486"/>
      <c r="Y47" s="1239"/>
      <c r="Z47" s="1259">
        <f t="shared" si="4"/>
        <v>43</v>
      </c>
      <c r="AA47" s="1251" t="s">
        <v>5418</v>
      </c>
      <c r="AB47" s="1246">
        <f t="shared" si="11"/>
        <v>946</v>
      </c>
      <c r="AC47" s="1246" t="s">
        <v>1023</v>
      </c>
      <c r="AD47" s="1247" t="s">
        <v>988</v>
      </c>
      <c r="AE47" s="1267"/>
      <c r="AF47" s="1251" t="s">
        <v>5350</v>
      </c>
      <c r="AG47" s="1246">
        <v>3</v>
      </c>
      <c r="AH47" s="1246" t="s">
        <v>1023</v>
      </c>
      <c r="AI47" s="1247" t="s">
        <v>988</v>
      </c>
      <c r="AK47" s="1">
        <f t="shared" si="6"/>
        <v>2</v>
      </c>
      <c r="AL47" s="1">
        <f t="shared" si="7"/>
        <v>10</v>
      </c>
      <c r="AM47" s="1">
        <f t="shared" ca="1" si="10"/>
        <v>0</v>
      </c>
      <c r="AN47" s="1">
        <f t="shared" ca="1" si="8"/>
        <v>14</v>
      </c>
      <c r="AO47" s="1">
        <f t="shared" si="9"/>
        <v>6</v>
      </c>
    </row>
    <row r="48" spans="1:41" x14ac:dyDescent="0.2">
      <c r="A48" s="1221"/>
      <c r="B48" s="863" t="s">
        <v>5344</v>
      </c>
      <c r="C48" s="846"/>
      <c r="D48" s="862"/>
      <c r="E48" s="846"/>
      <c r="F48" s="862" t="s">
        <v>5341</v>
      </c>
      <c r="G48" s="846"/>
      <c r="H48" s="924"/>
      <c r="I48" s="924"/>
      <c r="J48" s="924"/>
      <c r="K48" s="924"/>
      <c r="L48" s="924"/>
      <c r="M48" s="924"/>
      <c r="N48" s="924"/>
      <c r="O48" s="924"/>
      <c r="P48" s="924"/>
      <c r="Q48" s="924"/>
      <c r="R48" s="924"/>
      <c r="S48" s="924"/>
      <c r="T48" s="924"/>
      <c r="U48" s="924"/>
      <c r="V48" s="924"/>
      <c r="W48" s="924"/>
      <c r="X48" s="1486"/>
      <c r="Y48" s="1239"/>
      <c r="Z48" s="1259">
        <f t="shared" si="4"/>
        <v>44</v>
      </c>
      <c r="AA48" s="1251" t="s">
        <v>5419</v>
      </c>
      <c r="AB48" s="1246">
        <f t="shared" si="11"/>
        <v>990</v>
      </c>
      <c r="AC48" s="1246" t="s">
        <v>1019</v>
      </c>
      <c r="AD48" s="1247" t="s">
        <v>1037</v>
      </c>
      <c r="AE48" s="1267"/>
      <c r="AF48" s="1251" t="s">
        <v>5349</v>
      </c>
      <c r="AG48" s="1246">
        <v>2</v>
      </c>
      <c r="AH48" s="1246" t="s">
        <v>1019</v>
      </c>
      <c r="AI48" s="1247" t="s">
        <v>1037</v>
      </c>
      <c r="AK48" s="1">
        <f t="shared" si="6"/>
        <v>2</v>
      </c>
      <c r="AL48" s="1">
        <f t="shared" si="7"/>
        <v>11</v>
      </c>
      <c r="AM48" s="1">
        <f t="shared" ca="1" si="10"/>
        <v>0</v>
      </c>
      <c r="AN48" s="1">
        <f t="shared" ca="1" si="8"/>
        <v>14</v>
      </c>
      <c r="AO48" s="1">
        <f t="shared" si="9"/>
        <v>9</v>
      </c>
    </row>
    <row r="49" spans="1:41" x14ac:dyDescent="0.2">
      <c r="A49" s="1221"/>
      <c r="B49" s="863" t="s">
        <v>5345</v>
      </c>
      <c r="C49" s="846"/>
      <c r="D49" s="862"/>
      <c r="E49" s="846"/>
      <c r="F49" s="862" t="s">
        <v>5348</v>
      </c>
      <c r="G49" s="846"/>
      <c r="H49" s="924"/>
      <c r="I49" s="924"/>
      <c r="J49" s="924"/>
      <c r="K49" s="924"/>
      <c r="L49" s="924"/>
      <c r="M49" s="924"/>
      <c r="N49" s="924"/>
      <c r="O49" s="924"/>
      <c r="P49" s="924"/>
      <c r="Q49" s="924"/>
      <c r="R49" s="924"/>
      <c r="S49" s="924"/>
      <c r="T49" s="924"/>
      <c r="U49" s="924"/>
      <c r="V49" s="924"/>
      <c r="W49" s="924"/>
      <c r="X49" s="1486"/>
      <c r="Y49" s="1239"/>
      <c r="Z49" s="1259">
        <f t="shared" si="4"/>
        <v>45</v>
      </c>
      <c r="AA49" s="1251" t="s">
        <v>5420</v>
      </c>
      <c r="AB49" s="1246">
        <f t="shared" si="11"/>
        <v>1035</v>
      </c>
      <c r="AC49" s="1246" t="s">
        <v>1023</v>
      </c>
      <c r="AD49" s="1247" t="s">
        <v>988</v>
      </c>
      <c r="AE49" s="1267"/>
      <c r="AF49" s="1251" t="s">
        <v>5350</v>
      </c>
      <c r="AG49" s="1246">
        <v>3</v>
      </c>
      <c r="AH49" s="1246" t="s">
        <v>1023</v>
      </c>
      <c r="AI49" s="1247" t="s">
        <v>988</v>
      </c>
      <c r="AK49" s="1">
        <f t="shared" si="6"/>
        <v>2</v>
      </c>
      <c r="AL49" s="1">
        <f t="shared" si="7"/>
        <v>12</v>
      </c>
      <c r="AM49" s="1">
        <f t="shared" ca="1" si="10"/>
        <v>0</v>
      </c>
      <c r="AN49" s="1">
        <f t="shared" ca="1" si="8"/>
        <v>20</v>
      </c>
      <c r="AO49" s="1">
        <f t="shared" si="9"/>
        <v>0</v>
      </c>
    </row>
    <row r="50" spans="1:41" x14ac:dyDescent="0.2">
      <c r="A50" s="1221"/>
      <c r="B50" s="863" t="s">
        <v>5346</v>
      </c>
      <c r="C50" s="846"/>
      <c r="D50" s="862"/>
      <c r="E50" s="846"/>
      <c r="F50" s="862"/>
      <c r="G50" s="846"/>
      <c r="H50" s="924"/>
      <c r="I50" s="924"/>
      <c r="J50" s="924"/>
      <c r="K50" s="924"/>
      <c r="L50" s="924"/>
      <c r="M50" s="924"/>
      <c r="N50" s="924"/>
      <c r="O50" s="924"/>
      <c r="P50" s="924"/>
      <c r="Q50" s="924"/>
      <c r="R50" s="924"/>
      <c r="S50" s="924"/>
      <c r="T50" s="924"/>
      <c r="U50" s="924"/>
      <c r="V50" s="924"/>
      <c r="W50" s="924"/>
      <c r="X50" s="1486"/>
      <c r="Y50" s="1239"/>
      <c r="Z50" s="1259">
        <f t="shared" si="4"/>
        <v>46</v>
      </c>
      <c r="AA50" s="1251" t="s">
        <v>5421</v>
      </c>
      <c r="AB50" s="1246">
        <f t="shared" si="11"/>
        <v>1081</v>
      </c>
      <c r="AC50" s="1246" t="s">
        <v>1019</v>
      </c>
      <c r="AD50" s="1247" t="s">
        <v>1037</v>
      </c>
      <c r="AE50" s="1267"/>
      <c r="AF50" s="1251" t="s">
        <v>5349</v>
      </c>
      <c r="AG50" s="1246">
        <v>2</v>
      </c>
      <c r="AH50" s="1246" t="s">
        <v>1019</v>
      </c>
      <c r="AI50" s="1247" t="s">
        <v>1037</v>
      </c>
      <c r="AK50" s="1">
        <f t="shared" si="6"/>
        <v>2</v>
      </c>
      <c r="AL50" s="1">
        <f t="shared" si="7"/>
        <v>13</v>
      </c>
      <c r="AM50" s="1">
        <f t="shared" ca="1" si="10"/>
        <v>0</v>
      </c>
      <c r="AN50" s="1">
        <f t="shared" ca="1" si="8"/>
        <v>20</v>
      </c>
      <c r="AO50" s="1">
        <f t="shared" si="9"/>
        <v>3</v>
      </c>
    </row>
    <row r="51" spans="1:41" x14ac:dyDescent="0.2">
      <c r="A51" s="1221"/>
      <c r="B51" s="863" t="s">
        <v>5347</v>
      </c>
      <c r="C51" s="846"/>
      <c r="D51" s="862"/>
      <c r="E51" s="846"/>
      <c r="F51" s="862"/>
      <c r="G51" s="846"/>
      <c r="H51" s="924"/>
      <c r="I51" s="924"/>
      <c r="J51" s="924"/>
      <c r="K51" s="924"/>
      <c r="L51" s="924"/>
      <c r="M51" s="924"/>
      <c r="N51" s="924"/>
      <c r="O51" s="924"/>
      <c r="P51" s="924"/>
      <c r="Q51" s="924"/>
      <c r="R51" s="924"/>
      <c r="S51" s="924"/>
      <c r="T51" s="924"/>
      <c r="U51" s="924"/>
      <c r="V51" s="924"/>
      <c r="W51" s="924"/>
      <c r="X51" s="1486"/>
      <c r="Y51" s="1239"/>
      <c r="Z51" s="1259">
        <f t="shared" si="4"/>
        <v>47</v>
      </c>
      <c r="AA51" s="1251" t="s">
        <v>5422</v>
      </c>
      <c r="AB51" s="1246">
        <f t="shared" si="11"/>
        <v>1128</v>
      </c>
      <c r="AC51" s="1246" t="s">
        <v>1023</v>
      </c>
      <c r="AD51" s="1247" t="s">
        <v>988</v>
      </c>
      <c r="AE51" s="1267"/>
      <c r="AF51" s="1251" t="s">
        <v>5350</v>
      </c>
      <c r="AG51" s="1246">
        <v>3</v>
      </c>
      <c r="AH51" s="1246" t="s">
        <v>1023</v>
      </c>
      <c r="AI51" s="1247" t="s">
        <v>988</v>
      </c>
      <c r="AK51" s="1">
        <f t="shared" si="6"/>
        <v>2</v>
      </c>
      <c r="AL51" s="1">
        <f t="shared" si="7"/>
        <v>14</v>
      </c>
      <c r="AM51" s="1">
        <f t="shared" ca="1" si="10"/>
        <v>0</v>
      </c>
      <c r="AN51" s="1">
        <f t="shared" ca="1" si="8"/>
        <v>20</v>
      </c>
      <c r="AO51" s="1">
        <f t="shared" si="9"/>
        <v>6</v>
      </c>
    </row>
    <row r="52" spans="1:41" x14ac:dyDescent="0.2">
      <c r="A52" s="1221"/>
      <c r="B52" s="863" t="s">
        <v>5374</v>
      </c>
      <c r="C52" s="862"/>
      <c r="D52" s="862"/>
      <c r="E52" s="862" t="s">
        <v>5452</v>
      </c>
      <c r="F52" s="862"/>
      <c r="G52" s="846"/>
      <c r="H52" s="924"/>
      <c r="I52" s="924"/>
      <c r="J52" s="924"/>
      <c r="K52" s="924"/>
      <c r="L52" s="924"/>
      <c r="M52" s="924"/>
      <c r="N52" s="924"/>
      <c r="O52" s="924"/>
      <c r="P52" s="924"/>
      <c r="Q52" s="924"/>
      <c r="R52" s="924"/>
      <c r="S52" s="924"/>
      <c r="T52" s="924"/>
      <c r="U52" s="924"/>
      <c r="V52" s="924"/>
      <c r="W52" s="924"/>
      <c r="X52" s="1486"/>
      <c r="Y52" s="1239"/>
      <c r="Z52" s="1259">
        <f t="shared" si="4"/>
        <v>48</v>
      </c>
      <c r="AA52" s="1251" t="s">
        <v>5423</v>
      </c>
      <c r="AB52" s="1246">
        <f t="shared" si="11"/>
        <v>1176</v>
      </c>
      <c r="AC52" s="1246" t="s">
        <v>1019</v>
      </c>
      <c r="AD52" s="1247" t="s">
        <v>1037</v>
      </c>
      <c r="AE52" s="1267"/>
      <c r="AF52" s="1251" t="s">
        <v>5349</v>
      </c>
      <c r="AG52" s="1246">
        <v>2</v>
      </c>
      <c r="AH52" s="1246" t="s">
        <v>1019</v>
      </c>
      <c r="AI52" s="1247" t="s">
        <v>1037</v>
      </c>
      <c r="AK52" s="1">
        <f t="shared" si="6"/>
        <v>2</v>
      </c>
      <c r="AL52" s="1">
        <f t="shared" si="7"/>
        <v>15</v>
      </c>
      <c r="AM52" s="1">
        <f t="shared" ca="1" si="10"/>
        <v>0</v>
      </c>
      <c r="AN52" s="1">
        <f t="shared" ca="1" si="8"/>
        <v>20</v>
      </c>
      <c r="AO52" s="1">
        <f t="shared" si="9"/>
        <v>9</v>
      </c>
    </row>
    <row r="53" spans="1:41" x14ac:dyDescent="0.2">
      <c r="A53" s="1221"/>
      <c r="B53" s="863" t="s">
        <v>5375</v>
      </c>
      <c r="C53" s="862"/>
      <c r="D53" s="862"/>
      <c r="E53" s="862" t="s">
        <v>5453</v>
      </c>
      <c r="F53" s="862"/>
      <c r="G53" s="846"/>
      <c r="H53" s="924"/>
      <c r="I53" s="924"/>
      <c r="J53" s="924"/>
      <c r="K53" s="924"/>
      <c r="L53" s="924"/>
      <c r="M53" s="924"/>
      <c r="N53" s="924"/>
      <c r="O53" s="924"/>
      <c r="P53" s="924"/>
      <c r="Q53" s="924"/>
      <c r="R53" s="924"/>
      <c r="S53" s="924"/>
      <c r="T53" s="924"/>
      <c r="U53" s="924"/>
      <c r="V53" s="924"/>
      <c r="W53" s="924"/>
      <c r="X53" s="1486"/>
      <c r="Y53" s="1239"/>
      <c r="Z53" s="1259">
        <f t="shared" si="4"/>
        <v>49</v>
      </c>
      <c r="AA53" s="1251" t="s">
        <v>5424</v>
      </c>
      <c r="AB53" s="1246">
        <f t="shared" si="11"/>
        <v>1225</v>
      </c>
      <c r="AC53" s="1246" t="s">
        <v>1023</v>
      </c>
      <c r="AD53" s="1247" t="s">
        <v>988</v>
      </c>
      <c r="AE53" s="1267"/>
      <c r="AF53" s="1251" t="s">
        <v>5350</v>
      </c>
      <c r="AG53" s="1246">
        <v>3</v>
      </c>
      <c r="AH53" s="1246" t="s">
        <v>1023</v>
      </c>
      <c r="AI53" s="1247" t="s">
        <v>988</v>
      </c>
      <c r="AK53" s="1">
        <f t="shared" si="6"/>
        <v>3</v>
      </c>
      <c r="AL53" s="1">
        <f t="shared" si="7"/>
        <v>0</v>
      </c>
      <c r="AM53" s="1">
        <f t="shared" ca="1" si="10"/>
        <v>0</v>
      </c>
      <c r="AN53" s="1">
        <f t="shared" ca="1" si="8"/>
        <v>3</v>
      </c>
      <c r="AO53" s="1">
        <f t="shared" si="9"/>
        <v>0</v>
      </c>
    </row>
    <row r="54" spans="1:41" x14ac:dyDescent="0.2">
      <c r="A54" s="1221"/>
      <c r="B54" s="863" t="s">
        <v>5376</v>
      </c>
      <c r="C54" s="862"/>
      <c r="D54" s="862"/>
      <c r="E54" s="862" t="s">
        <v>5454</v>
      </c>
      <c r="F54" s="862"/>
      <c r="G54" s="846"/>
      <c r="H54" s="924"/>
      <c r="I54" s="924"/>
      <c r="J54" s="924"/>
      <c r="K54" s="924"/>
      <c r="L54" s="924"/>
      <c r="M54" s="924"/>
      <c r="N54" s="924"/>
      <c r="O54" s="924"/>
      <c r="P54" s="924"/>
      <c r="Q54" s="924"/>
      <c r="R54" s="924"/>
      <c r="S54" s="924"/>
      <c r="T54" s="924"/>
      <c r="U54" s="924"/>
      <c r="V54" s="924"/>
      <c r="W54" s="924"/>
      <c r="X54" s="1486"/>
      <c r="Y54" s="1239"/>
      <c r="Z54" s="1259">
        <f t="shared" si="4"/>
        <v>50</v>
      </c>
      <c r="AA54" s="1251" t="s">
        <v>5425</v>
      </c>
      <c r="AB54" s="1246">
        <f t="shared" si="11"/>
        <v>1275</v>
      </c>
      <c r="AC54" s="1246" t="s">
        <v>1019</v>
      </c>
      <c r="AD54" s="1247" t="s">
        <v>1037</v>
      </c>
      <c r="AE54" s="1267"/>
      <c r="AF54" s="1251" t="s">
        <v>5349</v>
      </c>
      <c r="AG54" s="1246">
        <v>2</v>
      </c>
      <c r="AH54" s="1246" t="s">
        <v>1019</v>
      </c>
      <c r="AI54" s="1247" t="s">
        <v>1037</v>
      </c>
      <c r="AK54" s="1">
        <f t="shared" si="6"/>
        <v>3</v>
      </c>
      <c r="AL54" s="1">
        <f t="shared" si="7"/>
        <v>1</v>
      </c>
      <c r="AM54" s="1">
        <f t="shared" ca="1" si="10"/>
        <v>0</v>
      </c>
      <c r="AN54" s="1">
        <f t="shared" ca="1" si="8"/>
        <v>3</v>
      </c>
      <c r="AO54" s="1">
        <f t="shared" si="9"/>
        <v>3</v>
      </c>
    </row>
    <row r="55" spans="1:41" x14ac:dyDescent="0.2">
      <c r="A55" s="1221"/>
      <c r="B55" s="863" t="s">
        <v>5377</v>
      </c>
      <c r="C55" s="862"/>
      <c r="D55" s="862"/>
      <c r="E55" s="862" t="s">
        <v>5455</v>
      </c>
      <c r="F55" s="862"/>
      <c r="G55" s="846"/>
      <c r="H55" s="924"/>
      <c r="I55" s="924"/>
      <c r="J55" s="924"/>
      <c r="K55" s="924"/>
      <c r="L55" s="924"/>
      <c r="M55" s="924"/>
      <c r="N55" s="924"/>
      <c r="O55" s="924"/>
      <c r="P55" s="924"/>
      <c r="Q55" s="924"/>
      <c r="R55" s="924"/>
      <c r="S55" s="924"/>
      <c r="T55" s="924"/>
      <c r="U55" s="924"/>
      <c r="V55" s="924"/>
      <c r="W55" s="924"/>
      <c r="X55" s="1486"/>
      <c r="Y55" s="1239"/>
      <c r="Z55" s="1259">
        <f t="shared" si="4"/>
        <v>51</v>
      </c>
      <c r="AA55" s="1251" t="s">
        <v>5426</v>
      </c>
      <c r="AB55" s="1246">
        <f t="shared" si="11"/>
        <v>1326</v>
      </c>
      <c r="AC55" s="1246" t="s">
        <v>1023</v>
      </c>
      <c r="AD55" s="1247" t="s">
        <v>988</v>
      </c>
      <c r="AE55" s="1267"/>
      <c r="AF55" s="1251" t="s">
        <v>5350</v>
      </c>
      <c r="AG55" s="1246">
        <v>3</v>
      </c>
      <c r="AH55" s="1246" t="s">
        <v>1023</v>
      </c>
      <c r="AI55" s="1247" t="s">
        <v>988</v>
      </c>
      <c r="AK55" s="1">
        <f t="shared" si="6"/>
        <v>3</v>
      </c>
      <c r="AL55" s="1">
        <f t="shared" si="7"/>
        <v>2</v>
      </c>
      <c r="AM55" s="1">
        <f t="shared" ca="1" si="10"/>
        <v>0</v>
      </c>
      <c r="AN55" s="1">
        <f t="shared" ca="1" si="8"/>
        <v>3</v>
      </c>
      <c r="AO55" s="1">
        <f t="shared" si="9"/>
        <v>6</v>
      </c>
    </row>
    <row r="56" spans="1:41" x14ac:dyDescent="0.2">
      <c r="A56" s="1221"/>
      <c r="B56" s="859"/>
      <c r="C56" s="846"/>
      <c r="D56" s="862"/>
      <c r="E56" s="846"/>
      <c r="F56" s="846"/>
      <c r="G56" s="924"/>
      <c r="H56" s="924"/>
      <c r="I56" s="924"/>
      <c r="J56" s="924"/>
      <c r="K56" s="924"/>
      <c r="L56" s="924"/>
      <c r="M56" s="924"/>
      <c r="N56" s="924"/>
      <c r="O56" s="924"/>
      <c r="P56" s="924"/>
      <c r="Q56" s="924"/>
      <c r="R56" s="924"/>
      <c r="S56" s="924"/>
      <c r="T56" s="924"/>
      <c r="U56" s="924"/>
      <c r="V56" s="924"/>
      <c r="W56" s="924"/>
      <c r="X56" s="1486"/>
      <c r="Y56" s="1239"/>
      <c r="Z56" s="1259">
        <f t="shared" si="4"/>
        <v>52</v>
      </c>
      <c r="AA56" s="1251" t="s">
        <v>5427</v>
      </c>
      <c r="AB56" s="1246">
        <f t="shared" si="11"/>
        <v>1378</v>
      </c>
      <c r="AC56" s="1246" t="s">
        <v>1019</v>
      </c>
      <c r="AD56" s="1247" t="s">
        <v>1037</v>
      </c>
      <c r="AE56" s="1267"/>
      <c r="AF56" s="1251" t="s">
        <v>5349</v>
      </c>
      <c r="AG56" s="1246">
        <v>2</v>
      </c>
      <c r="AH56" s="1246" t="s">
        <v>1019</v>
      </c>
      <c r="AI56" s="1247" t="s">
        <v>1037</v>
      </c>
      <c r="AK56" s="1">
        <f t="shared" si="6"/>
        <v>3</v>
      </c>
      <c r="AL56" s="1">
        <f t="shared" si="7"/>
        <v>3</v>
      </c>
      <c r="AM56" s="1">
        <f t="shared" ca="1" si="10"/>
        <v>0</v>
      </c>
      <c r="AN56" s="1">
        <f t="shared" ca="1" si="8"/>
        <v>3</v>
      </c>
      <c r="AO56" s="1">
        <f t="shared" si="9"/>
        <v>9</v>
      </c>
    </row>
    <row r="57" spans="1:41" x14ac:dyDescent="0.2">
      <c r="A57" s="1221"/>
      <c r="B57" s="859"/>
      <c r="C57" s="846"/>
      <c r="D57" s="862"/>
      <c r="E57" s="846"/>
      <c r="F57" s="846"/>
      <c r="G57" s="924"/>
      <c r="H57" s="924"/>
      <c r="I57" s="924"/>
      <c r="J57" s="924"/>
      <c r="K57" s="924"/>
      <c r="L57" s="924"/>
      <c r="M57" s="924"/>
      <c r="N57" s="924"/>
      <c r="O57" s="924"/>
      <c r="P57" s="924"/>
      <c r="Q57" s="924"/>
      <c r="R57" s="924"/>
      <c r="S57" s="924"/>
      <c r="T57" s="924"/>
      <c r="U57" s="924"/>
      <c r="V57" s="924"/>
      <c r="W57" s="924"/>
      <c r="X57" s="1486"/>
      <c r="Y57" s="1239"/>
      <c r="Z57" s="1259">
        <f t="shared" si="4"/>
        <v>53</v>
      </c>
      <c r="AA57" s="1251" t="s">
        <v>5428</v>
      </c>
      <c r="AB57" s="1246">
        <f t="shared" si="11"/>
        <v>1431</v>
      </c>
      <c r="AC57" s="1246" t="s">
        <v>1023</v>
      </c>
      <c r="AD57" s="1247" t="s">
        <v>988</v>
      </c>
      <c r="AE57" s="1267"/>
      <c r="AF57" s="1251" t="s">
        <v>5350</v>
      </c>
      <c r="AG57" s="1246">
        <v>3</v>
      </c>
      <c r="AH57" s="1246" t="s">
        <v>1023</v>
      </c>
      <c r="AI57" s="1247" t="s">
        <v>988</v>
      </c>
      <c r="AK57" s="1">
        <f t="shared" si="6"/>
        <v>3</v>
      </c>
      <c r="AL57" s="1">
        <f t="shared" si="7"/>
        <v>4</v>
      </c>
      <c r="AM57" s="1">
        <f t="shared" ca="1" si="10"/>
        <v>0</v>
      </c>
      <c r="AN57" s="1">
        <f t="shared" ca="1" si="8"/>
        <v>9</v>
      </c>
      <c r="AO57" s="1">
        <f t="shared" si="9"/>
        <v>0</v>
      </c>
    </row>
    <row r="58" spans="1:41" x14ac:dyDescent="0.2">
      <c r="A58" s="1221"/>
      <c r="B58" s="863" t="s">
        <v>5378</v>
      </c>
      <c r="C58" s="862"/>
      <c r="D58" s="846"/>
      <c r="E58" s="862" t="s">
        <v>5338</v>
      </c>
      <c r="F58" s="846"/>
      <c r="G58" s="846"/>
      <c r="H58" s="924"/>
      <c r="I58" s="924"/>
      <c r="J58" s="924"/>
      <c r="K58" s="924"/>
      <c r="L58" s="924"/>
      <c r="M58" s="924"/>
      <c r="N58" s="924"/>
      <c r="O58" s="924"/>
      <c r="P58" s="924"/>
      <c r="Q58" s="924"/>
      <c r="R58" s="924"/>
      <c r="S58" s="924"/>
      <c r="T58" s="924"/>
      <c r="U58" s="924"/>
      <c r="V58" s="924"/>
      <c r="W58" s="924"/>
      <c r="X58" s="1486"/>
      <c r="Y58" s="1239"/>
      <c r="Z58" s="1259">
        <f t="shared" si="4"/>
        <v>54</v>
      </c>
      <c r="AA58" s="1251" t="s">
        <v>5429</v>
      </c>
      <c r="AB58" s="1246">
        <f t="shared" si="11"/>
        <v>1485</v>
      </c>
      <c r="AC58" s="1246" t="s">
        <v>1019</v>
      </c>
      <c r="AD58" s="1247" t="s">
        <v>1037</v>
      </c>
      <c r="AE58" s="1267"/>
      <c r="AF58" s="1251" t="s">
        <v>5349</v>
      </c>
      <c r="AG58" s="1246">
        <v>2</v>
      </c>
      <c r="AH58" s="1246" t="s">
        <v>1019</v>
      </c>
      <c r="AI58" s="1247" t="s">
        <v>1037</v>
      </c>
      <c r="AK58" s="1">
        <f t="shared" si="6"/>
        <v>3</v>
      </c>
      <c r="AL58" s="1">
        <f t="shared" si="7"/>
        <v>5</v>
      </c>
      <c r="AM58" s="1">
        <f t="shared" ca="1" si="10"/>
        <v>0</v>
      </c>
      <c r="AN58" s="1">
        <f t="shared" ca="1" si="8"/>
        <v>9</v>
      </c>
      <c r="AO58" s="1">
        <f t="shared" si="9"/>
        <v>3</v>
      </c>
    </row>
    <row r="59" spans="1:41" x14ac:dyDescent="0.2">
      <c r="A59" s="1221"/>
      <c r="B59" s="863" t="s">
        <v>5379</v>
      </c>
      <c r="C59" s="846"/>
      <c r="D59" s="862"/>
      <c r="E59" s="846"/>
      <c r="F59" s="862" t="s">
        <v>5383</v>
      </c>
      <c r="G59" s="846"/>
      <c r="H59" s="924"/>
      <c r="I59" s="924"/>
      <c r="J59" s="924"/>
      <c r="K59" s="924"/>
      <c r="L59" s="924"/>
      <c r="M59" s="924"/>
      <c r="N59" s="924"/>
      <c r="O59" s="924"/>
      <c r="P59" s="924"/>
      <c r="Q59" s="924"/>
      <c r="R59" s="924"/>
      <c r="S59" s="924"/>
      <c r="T59" s="924"/>
      <c r="U59" s="924"/>
      <c r="V59" s="924"/>
      <c r="W59" s="924"/>
      <c r="X59" s="1486"/>
      <c r="Y59" s="1239"/>
      <c r="Z59" s="1259">
        <f t="shared" si="4"/>
        <v>55</v>
      </c>
      <c r="AA59" s="1251" t="s">
        <v>5430</v>
      </c>
      <c r="AB59" s="1246">
        <f t="shared" si="11"/>
        <v>1540</v>
      </c>
      <c r="AC59" s="1246" t="s">
        <v>1023</v>
      </c>
      <c r="AD59" s="1247" t="s">
        <v>988</v>
      </c>
      <c r="AE59" s="1267"/>
      <c r="AF59" s="1251" t="s">
        <v>5350</v>
      </c>
      <c r="AG59" s="1246">
        <v>3</v>
      </c>
      <c r="AH59" s="1246" t="s">
        <v>1023</v>
      </c>
      <c r="AI59" s="1247" t="s">
        <v>988</v>
      </c>
      <c r="AK59" s="1">
        <f t="shared" si="6"/>
        <v>3</v>
      </c>
      <c r="AL59" s="1">
        <f t="shared" si="7"/>
        <v>6</v>
      </c>
      <c r="AM59" s="1">
        <f t="shared" ca="1" si="10"/>
        <v>0</v>
      </c>
      <c r="AN59" s="1">
        <f t="shared" ca="1" si="8"/>
        <v>9</v>
      </c>
      <c r="AO59" s="1">
        <f t="shared" si="9"/>
        <v>6</v>
      </c>
    </row>
    <row r="60" spans="1:41" x14ac:dyDescent="0.2">
      <c r="A60" s="1221"/>
      <c r="B60" s="863" t="s">
        <v>5380</v>
      </c>
      <c r="C60" s="846"/>
      <c r="D60" s="862"/>
      <c r="E60" s="846"/>
      <c r="F60" s="862" t="s">
        <v>5384</v>
      </c>
      <c r="G60" s="846"/>
      <c r="H60" s="924"/>
      <c r="I60" s="924"/>
      <c r="J60" s="924"/>
      <c r="K60" s="924"/>
      <c r="L60" s="924"/>
      <c r="M60" s="924"/>
      <c r="N60" s="924"/>
      <c r="O60" s="924"/>
      <c r="P60" s="924"/>
      <c r="Q60" s="924"/>
      <c r="R60" s="924"/>
      <c r="S60" s="924"/>
      <c r="T60" s="924"/>
      <c r="U60" s="924"/>
      <c r="V60" s="924"/>
      <c r="W60" s="924"/>
      <c r="X60" s="1486"/>
      <c r="Y60" s="1239"/>
      <c r="Z60" s="1259">
        <f t="shared" si="4"/>
        <v>56</v>
      </c>
      <c r="AA60" s="1251" t="s">
        <v>5431</v>
      </c>
      <c r="AB60" s="1246">
        <f t="shared" si="11"/>
        <v>1596</v>
      </c>
      <c r="AC60" s="1246" t="s">
        <v>1019</v>
      </c>
      <c r="AD60" s="1247" t="s">
        <v>1037</v>
      </c>
      <c r="AE60" s="1267"/>
      <c r="AF60" s="1251" t="s">
        <v>5349</v>
      </c>
      <c r="AG60" s="1246">
        <v>2</v>
      </c>
      <c r="AH60" s="1246" t="s">
        <v>1019</v>
      </c>
      <c r="AI60" s="1247" t="s">
        <v>1037</v>
      </c>
      <c r="AK60" s="1">
        <f t="shared" si="6"/>
        <v>3</v>
      </c>
      <c r="AL60" s="1">
        <f t="shared" si="7"/>
        <v>7</v>
      </c>
      <c r="AM60" s="1">
        <f t="shared" ca="1" si="10"/>
        <v>0</v>
      </c>
      <c r="AN60" s="1">
        <f t="shared" ca="1" si="8"/>
        <v>9</v>
      </c>
      <c r="AO60" s="1">
        <f t="shared" si="9"/>
        <v>9</v>
      </c>
    </row>
    <row r="61" spans="1:41" x14ac:dyDescent="0.2">
      <c r="A61" s="1221"/>
      <c r="B61" s="863" t="s">
        <v>5381</v>
      </c>
      <c r="C61" s="846"/>
      <c r="D61" s="862"/>
      <c r="E61" s="846"/>
      <c r="F61" s="862" t="s">
        <v>5385</v>
      </c>
      <c r="G61" s="924"/>
      <c r="H61" s="924"/>
      <c r="I61" s="924"/>
      <c r="J61" s="924"/>
      <c r="K61" s="924"/>
      <c r="L61" s="924"/>
      <c r="M61" s="924"/>
      <c r="N61" s="924"/>
      <c r="O61" s="924"/>
      <c r="P61" s="924"/>
      <c r="Q61" s="924"/>
      <c r="R61" s="924"/>
      <c r="S61" s="924"/>
      <c r="T61" s="924"/>
      <c r="U61" s="924"/>
      <c r="V61" s="924"/>
      <c r="W61" s="924"/>
      <c r="X61" s="1486"/>
      <c r="Y61" s="1239"/>
      <c r="Z61" s="1259">
        <f t="shared" si="4"/>
        <v>57</v>
      </c>
      <c r="AA61" s="1251" t="s">
        <v>5432</v>
      </c>
      <c r="AB61" s="1246">
        <f t="shared" si="11"/>
        <v>1653</v>
      </c>
      <c r="AC61" s="1246" t="s">
        <v>1023</v>
      </c>
      <c r="AD61" s="1247" t="s">
        <v>988</v>
      </c>
      <c r="AE61" s="1267"/>
      <c r="AF61" s="1251" t="s">
        <v>5350</v>
      </c>
      <c r="AG61" s="1246">
        <v>3</v>
      </c>
      <c r="AH61" s="1246" t="s">
        <v>1023</v>
      </c>
      <c r="AI61" s="1247" t="s">
        <v>988</v>
      </c>
      <c r="AK61" s="1">
        <f t="shared" si="6"/>
        <v>3</v>
      </c>
      <c r="AL61" s="1">
        <f t="shared" si="7"/>
        <v>8</v>
      </c>
      <c r="AM61" s="1">
        <f t="shared" ca="1" si="10"/>
        <v>0</v>
      </c>
      <c r="AN61" s="1">
        <f t="shared" ca="1" si="8"/>
        <v>15</v>
      </c>
      <c r="AO61" s="1">
        <f t="shared" si="9"/>
        <v>0</v>
      </c>
    </row>
    <row r="62" spans="1:41" x14ac:dyDescent="0.2">
      <c r="A62" s="1221"/>
      <c r="B62" s="863" t="s">
        <v>5382</v>
      </c>
      <c r="C62" s="846"/>
      <c r="D62" s="862"/>
      <c r="E62" s="846"/>
      <c r="F62" s="862" t="s">
        <v>5386</v>
      </c>
      <c r="G62" s="924"/>
      <c r="H62" s="924"/>
      <c r="I62" s="924"/>
      <c r="J62" s="924"/>
      <c r="K62" s="924"/>
      <c r="L62" s="924"/>
      <c r="M62" s="924"/>
      <c r="N62" s="924"/>
      <c r="O62" s="924"/>
      <c r="P62" s="924"/>
      <c r="Q62" s="924"/>
      <c r="R62" s="924"/>
      <c r="S62" s="924"/>
      <c r="T62" s="924"/>
      <c r="U62" s="924"/>
      <c r="V62" s="924"/>
      <c r="W62" s="924"/>
      <c r="X62" s="1486"/>
      <c r="Y62" s="1239"/>
      <c r="Z62" s="1259">
        <f t="shared" si="4"/>
        <v>58</v>
      </c>
      <c r="AA62" s="1251" t="s">
        <v>5433</v>
      </c>
      <c r="AB62" s="1246">
        <f t="shared" si="11"/>
        <v>1711</v>
      </c>
      <c r="AC62" s="1246" t="s">
        <v>1019</v>
      </c>
      <c r="AD62" s="1247" t="s">
        <v>1037</v>
      </c>
      <c r="AE62" s="1267"/>
      <c r="AF62" s="1251" t="s">
        <v>5349</v>
      </c>
      <c r="AG62" s="1246">
        <v>2</v>
      </c>
      <c r="AH62" s="1246" t="s">
        <v>1019</v>
      </c>
      <c r="AI62" s="1247" t="s">
        <v>1037</v>
      </c>
      <c r="AK62" s="1">
        <f t="shared" si="6"/>
        <v>3</v>
      </c>
      <c r="AL62" s="1">
        <f t="shared" si="7"/>
        <v>9</v>
      </c>
      <c r="AM62" s="1">
        <f t="shared" ca="1" si="10"/>
        <v>0</v>
      </c>
      <c r="AN62" s="1">
        <f t="shared" ca="1" si="8"/>
        <v>15</v>
      </c>
      <c r="AO62" s="1">
        <f t="shared" si="9"/>
        <v>3</v>
      </c>
    </row>
    <row r="63" spans="1:41" x14ac:dyDescent="0.2">
      <c r="A63" s="1221"/>
      <c r="B63" s="863"/>
      <c r="C63" s="846"/>
      <c r="D63" s="862"/>
      <c r="E63" s="846"/>
      <c r="F63" s="862" t="s">
        <v>5387</v>
      </c>
      <c r="G63" s="924"/>
      <c r="H63" s="924"/>
      <c r="I63" s="924"/>
      <c r="J63" s="924"/>
      <c r="K63" s="924"/>
      <c r="L63" s="924"/>
      <c r="M63" s="924"/>
      <c r="N63" s="924"/>
      <c r="O63" s="924"/>
      <c r="P63" s="924"/>
      <c r="Q63" s="924"/>
      <c r="R63" s="924"/>
      <c r="S63" s="924"/>
      <c r="T63" s="924"/>
      <c r="U63" s="924"/>
      <c r="V63" s="924"/>
      <c r="W63" s="924"/>
      <c r="X63" s="1486"/>
      <c r="Y63" s="1239"/>
      <c r="Z63" s="1259">
        <f t="shared" si="4"/>
        <v>59</v>
      </c>
      <c r="AA63" s="1251" t="s">
        <v>5434</v>
      </c>
      <c r="AB63" s="1246">
        <f t="shared" si="11"/>
        <v>1770</v>
      </c>
      <c r="AC63" s="1246" t="s">
        <v>1023</v>
      </c>
      <c r="AD63" s="1247" t="s">
        <v>988</v>
      </c>
      <c r="AE63" s="1267"/>
      <c r="AF63" s="1251" t="s">
        <v>5350</v>
      </c>
      <c r="AG63" s="1246">
        <v>3</v>
      </c>
      <c r="AH63" s="1246" t="s">
        <v>1023</v>
      </c>
      <c r="AI63" s="1247" t="s">
        <v>988</v>
      </c>
      <c r="AK63" s="1">
        <f t="shared" si="6"/>
        <v>3</v>
      </c>
      <c r="AL63" s="1">
        <f t="shared" si="7"/>
        <v>10</v>
      </c>
      <c r="AM63" s="1">
        <f t="shared" ca="1" si="10"/>
        <v>0</v>
      </c>
      <c r="AN63" s="1">
        <f t="shared" ca="1" si="8"/>
        <v>15</v>
      </c>
      <c r="AO63" s="1">
        <f t="shared" si="9"/>
        <v>6</v>
      </c>
    </row>
    <row r="64" spans="1:41" x14ac:dyDescent="0.2">
      <c r="A64" s="1221"/>
      <c r="B64" s="863"/>
      <c r="C64" s="846"/>
      <c r="D64" s="862"/>
      <c r="E64" s="846"/>
      <c r="F64" s="862"/>
      <c r="G64" s="924"/>
      <c r="H64" s="924"/>
      <c r="I64" s="924"/>
      <c r="J64" s="924"/>
      <c r="K64" s="924"/>
      <c r="L64" s="924"/>
      <c r="M64" s="924"/>
      <c r="N64" s="924"/>
      <c r="O64" s="924"/>
      <c r="P64" s="924"/>
      <c r="Q64" s="924"/>
      <c r="R64" s="924"/>
      <c r="S64" s="924"/>
      <c r="T64" s="924"/>
      <c r="U64" s="924"/>
      <c r="V64" s="924"/>
      <c r="W64" s="924"/>
      <c r="X64" s="1486"/>
      <c r="Y64" s="1239"/>
      <c r="Z64" s="1259">
        <f t="shared" si="4"/>
        <v>60</v>
      </c>
      <c r="AA64" s="1251" t="s">
        <v>5435</v>
      </c>
      <c r="AB64" s="1246">
        <f t="shared" si="11"/>
        <v>1830</v>
      </c>
      <c r="AC64" s="1246" t="s">
        <v>1019</v>
      </c>
      <c r="AD64" s="1247" t="s">
        <v>1037</v>
      </c>
      <c r="AE64" s="1267"/>
      <c r="AF64" s="1251" t="s">
        <v>5349</v>
      </c>
      <c r="AG64" s="1246">
        <v>2</v>
      </c>
      <c r="AH64" s="1246" t="s">
        <v>1019</v>
      </c>
      <c r="AI64" s="1247" t="s">
        <v>1037</v>
      </c>
      <c r="AK64" s="1">
        <f t="shared" si="6"/>
        <v>3</v>
      </c>
      <c r="AL64" s="1">
        <f t="shared" si="7"/>
        <v>11</v>
      </c>
      <c r="AM64" s="1">
        <f t="shared" ca="1" si="10"/>
        <v>0</v>
      </c>
      <c r="AN64" s="1">
        <f t="shared" ca="1" si="8"/>
        <v>15</v>
      </c>
      <c r="AO64" s="1">
        <f t="shared" si="9"/>
        <v>9</v>
      </c>
    </row>
    <row r="65" spans="1:41" x14ac:dyDescent="0.2">
      <c r="A65" s="1221"/>
      <c r="B65" s="863" t="s">
        <v>5441</v>
      </c>
      <c r="C65" s="846"/>
      <c r="D65" s="862"/>
      <c r="E65" s="862" t="s">
        <v>5442</v>
      </c>
      <c r="F65" s="862"/>
      <c r="G65" s="924"/>
      <c r="H65" s="924"/>
      <c r="I65" s="924"/>
      <c r="J65" s="924"/>
      <c r="K65" s="924"/>
      <c r="L65" s="924"/>
      <c r="M65" s="924"/>
      <c r="N65" s="924"/>
      <c r="O65" s="924"/>
      <c r="P65" s="924"/>
      <c r="Q65" s="924"/>
      <c r="R65" s="924"/>
      <c r="S65" s="924"/>
      <c r="T65" s="924"/>
      <c r="U65" s="924"/>
      <c r="V65" s="924"/>
      <c r="W65" s="924"/>
      <c r="X65" s="1486"/>
      <c r="Y65" s="1239"/>
      <c r="Z65" s="1259">
        <f t="shared" si="4"/>
        <v>61</v>
      </c>
      <c r="AA65" s="1251" t="s">
        <v>5436</v>
      </c>
      <c r="AB65" s="1246">
        <f t="shared" si="11"/>
        <v>1891</v>
      </c>
      <c r="AC65" s="1246" t="s">
        <v>1023</v>
      </c>
      <c r="AD65" s="1247" t="s">
        <v>988</v>
      </c>
      <c r="AE65" s="1267"/>
      <c r="AF65" s="1251" t="s">
        <v>5350</v>
      </c>
      <c r="AG65" s="1246">
        <v>3</v>
      </c>
      <c r="AH65" s="1246" t="s">
        <v>1023</v>
      </c>
      <c r="AI65" s="1247" t="s">
        <v>988</v>
      </c>
      <c r="AK65" s="1">
        <f t="shared" si="6"/>
        <v>3</v>
      </c>
      <c r="AL65" s="1">
        <f t="shared" si="7"/>
        <v>12</v>
      </c>
      <c r="AM65" s="1">
        <f t="shared" ca="1" si="10"/>
        <v>0</v>
      </c>
      <c r="AN65" s="1">
        <f t="shared" ca="1" si="8"/>
        <v>21</v>
      </c>
      <c r="AO65" s="1">
        <f t="shared" si="9"/>
        <v>0</v>
      </c>
    </row>
    <row r="66" spans="1:41" x14ac:dyDescent="0.2">
      <c r="A66" s="1221"/>
      <c r="B66" s="863" t="s">
        <v>5440</v>
      </c>
      <c r="C66" s="846"/>
      <c r="D66" s="862"/>
      <c r="E66" s="862" t="s">
        <v>5391</v>
      </c>
      <c r="F66" s="862"/>
      <c r="G66" s="924"/>
      <c r="H66" s="924"/>
      <c r="I66" s="924"/>
      <c r="J66" s="924"/>
      <c r="K66" s="924"/>
      <c r="L66" s="924"/>
      <c r="M66" s="924"/>
      <c r="N66" s="924"/>
      <c r="O66" s="924"/>
      <c r="P66" s="924"/>
      <c r="Q66" s="924"/>
      <c r="R66" s="924"/>
      <c r="S66" s="924"/>
      <c r="T66" s="924"/>
      <c r="U66" s="924"/>
      <c r="V66" s="924"/>
      <c r="W66" s="924"/>
      <c r="X66" s="1486"/>
      <c r="Y66" s="1239"/>
      <c r="Z66" s="1259">
        <f t="shared" si="4"/>
        <v>62</v>
      </c>
      <c r="AA66" s="1251" t="s">
        <v>5437</v>
      </c>
      <c r="AB66" s="1246">
        <f t="shared" si="11"/>
        <v>1953</v>
      </c>
      <c r="AC66" s="1246" t="s">
        <v>1019</v>
      </c>
      <c r="AD66" s="1247" t="s">
        <v>1037</v>
      </c>
      <c r="AE66" s="1267"/>
      <c r="AF66" s="1251" t="s">
        <v>5349</v>
      </c>
      <c r="AG66" s="1246">
        <v>2</v>
      </c>
      <c r="AH66" s="1246" t="s">
        <v>1019</v>
      </c>
      <c r="AI66" s="1247" t="s">
        <v>1037</v>
      </c>
      <c r="AK66" s="1">
        <f t="shared" si="6"/>
        <v>3</v>
      </c>
      <c r="AL66" s="1">
        <f t="shared" si="7"/>
        <v>13</v>
      </c>
      <c r="AM66" s="1">
        <f t="shared" ca="1" si="10"/>
        <v>0</v>
      </c>
      <c r="AN66" s="1">
        <f t="shared" ca="1" si="8"/>
        <v>21</v>
      </c>
      <c r="AO66" s="1">
        <f t="shared" si="9"/>
        <v>3</v>
      </c>
    </row>
    <row r="67" spans="1:41" x14ac:dyDescent="0.2">
      <c r="A67" s="1221"/>
      <c r="B67" s="863" t="s">
        <v>5443</v>
      </c>
      <c r="C67" s="846"/>
      <c r="D67" s="862"/>
      <c r="E67" s="862" t="s">
        <v>5444</v>
      </c>
      <c r="F67" s="862"/>
      <c r="G67" s="924"/>
      <c r="H67" s="924"/>
      <c r="I67" s="924"/>
      <c r="J67" s="924"/>
      <c r="K67" s="924"/>
      <c r="L67" s="924"/>
      <c r="M67" s="924"/>
      <c r="N67" s="924"/>
      <c r="O67" s="924"/>
      <c r="P67" s="924"/>
      <c r="Q67" s="924"/>
      <c r="R67" s="924"/>
      <c r="S67" s="924"/>
      <c r="T67" s="924"/>
      <c r="U67" s="924"/>
      <c r="V67" s="924"/>
      <c r="W67" s="924"/>
      <c r="X67" s="1486"/>
      <c r="Z67" s="1259">
        <f t="shared" si="4"/>
        <v>63</v>
      </c>
      <c r="AA67" s="1251" t="s">
        <v>5438</v>
      </c>
      <c r="AB67" s="1246">
        <f t="shared" si="11"/>
        <v>2016</v>
      </c>
      <c r="AC67" s="1246" t="s">
        <v>1023</v>
      </c>
      <c r="AD67" s="1247" t="s">
        <v>988</v>
      </c>
      <c r="AE67" s="1267"/>
      <c r="AF67" s="1251" t="s">
        <v>5350</v>
      </c>
      <c r="AG67" s="1246">
        <v>3</v>
      </c>
      <c r="AH67" s="1246" t="s">
        <v>1023</v>
      </c>
      <c r="AI67" s="1247" t="s">
        <v>988</v>
      </c>
      <c r="AJ67" s="1239"/>
      <c r="AK67" s="1">
        <f t="shared" si="6"/>
        <v>3</v>
      </c>
      <c r="AL67" s="1">
        <f t="shared" si="7"/>
        <v>14</v>
      </c>
      <c r="AM67" s="1">
        <f t="shared" ca="1" si="10"/>
        <v>0</v>
      </c>
      <c r="AN67" s="1">
        <f t="shared" ca="1" si="8"/>
        <v>21</v>
      </c>
      <c r="AO67" s="1">
        <f t="shared" si="9"/>
        <v>6</v>
      </c>
    </row>
    <row r="68" spans="1:41" ht="13.5" thickBot="1" x14ac:dyDescent="0.25">
      <c r="A68" s="1221"/>
      <c r="B68" s="865"/>
      <c r="C68" s="866"/>
      <c r="D68" s="867"/>
      <c r="E68" s="866"/>
      <c r="F68" s="866"/>
      <c r="G68" s="925"/>
      <c r="H68" s="925"/>
      <c r="I68" s="925"/>
      <c r="J68" s="925"/>
      <c r="K68" s="925"/>
      <c r="L68" s="925"/>
      <c r="M68" s="925"/>
      <c r="N68" s="925"/>
      <c r="O68" s="925"/>
      <c r="P68" s="925"/>
      <c r="Q68" s="925"/>
      <c r="R68" s="925"/>
      <c r="S68" s="925"/>
      <c r="T68" s="925"/>
      <c r="U68" s="925"/>
      <c r="V68" s="925"/>
      <c r="W68" s="925"/>
      <c r="X68" s="1487"/>
      <c r="Z68" s="1259">
        <f t="shared" si="4"/>
        <v>64</v>
      </c>
      <c r="AA68" s="1251" t="s">
        <v>5439</v>
      </c>
      <c r="AB68" s="1246">
        <f t="shared" si="11"/>
        <v>2080</v>
      </c>
      <c r="AC68" s="1246" t="s">
        <v>1019</v>
      </c>
      <c r="AD68" s="1247" t="s">
        <v>1037</v>
      </c>
      <c r="AE68" s="1267"/>
      <c r="AF68" s="1251" t="s">
        <v>5349</v>
      </c>
      <c r="AG68" s="1246">
        <v>2</v>
      </c>
      <c r="AH68" s="1246" t="s">
        <v>1019</v>
      </c>
      <c r="AI68" s="1247" t="s">
        <v>1037</v>
      </c>
      <c r="AJ68" s="1239"/>
      <c r="AK68" s="1">
        <f t="shared" si="6"/>
        <v>3</v>
      </c>
      <c r="AL68" s="1">
        <f t="shared" si="7"/>
        <v>15</v>
      </c>
      <c r="AM68" s="1">
        <f t="shared" ca="1" si="10"/>
        <v>0</v>
      </c>
      <c r="AN68" s="1">
        <f t="shared" ca="1" si="8"/>
        <v>21</v>
      </c>
      <c r="AO68" s="1">
        <f t="shared" si="9"/>
        <v>9</v>
      </c>
    </row>
    <row r="69" spans="1:41" x14ac:dyDescent="0.2">
      <c r="A69" s="1221"/>
      <c r="B69" s="1221"/>
      <c r="C69" s="1222"/>
      <c r="D69" s="1221"/>
      <c r="E69" s="1221"/>
      <c r="F69" s="1222"/>
      <c r="G69" s="1221"/>
      <c r="H69" s="1221"/>
      <c r="I69" s="1222"/>
      <c r="J69" s="1221"/>
      <c r="K69" s="1221"/>
      <c r="L69" s="1222"/>
      <c r="M69" s="1221"/>
      <c r="Z69" s="1259">
        <f t="shared" si="4"/>
        <v>65</v>
      </c>
      <c r="AA69" s="1251"/>
      <c r="AB69" s="1246"/>
      <c r="AC69" s="1246"/>
      <c r="AD69" s="1247"/>
      <c r="AE69" s="1267"/>
      <c r="AF69" s="1251"/>
      <c r="AG69" s="1246"/>
      <c r="AH69" s="1246"/>
      <c r="AI69" s="1247"/>
      <c r="AJ69" s="1239"/>
      <c r="AK69" s="1">
        <f t="shared" si="6"/>
        <v>4</v>
      </c>
      <c r="AL69" s="1">
        <f t="shared" si="7"/>
        <v>0</v>
      </c>
      <c r="AM69" s="1" t="str">
        <f t="shared" ref="AM69:AM100" ca="1" si="12">IF(Z69&gt;DrawNbParticipants,"",OFFSET($O$3,2+AK69+(DrawGroupSize+1+IF(OFFSET($W$3,DrawGroupSize-1+2,0)="",0,1))*QUOTIENT(AL69,4),MOD(AL69,4)*3))</f>
        <v/>
      </c>
      <c r="AN69" s="1">
        <f t="shared" ca="1" si="8"/>
        <v>4</v>
      </c>
      <c r="AO69" s="1">
        <f t="shared" si="9"/>
        <v>0</v>
      </c>
    </row>
    <row r="70" spans="1:41" x14ac:dyDescent="0.2">
      <c r="A70" s="1221"/>
      <c r="B70" s="1221"/>
      <c r="C70" s="1222"/>
      <c r="D70" s="1221"/>
      <c r="E70" s="1221"/>
      <c r="F70" s="1222"/>
      <c r="G70" s="1221"/>
      <c r="H70" s="1221"/>
      <c r="I70" s="1222"/>
      <c r="J70" s="1221"/>
      <c r="K70" s="1221"/>
      <c r="L70" s="1222"/>
      <c r="M70" s="1221"/>
      <c r="Z70" s="1259">
        <f t="shared" ref="Z70:Z131" si="13">ROW(Z70)-ROW(Z$4)</f>
        <v>66</v>
      </c>
      <c r="AA70" s="1251"/>
      <c r="AB70" s="1246"/>
      <c r="AC70" s="1246"/>
      <c r="AD70" s="1247"/>
      <c r="AE70" s="1267"/>
      <c r="AF70" s="1251"/>
      <c r="AG70" s="1246"/>
      <c r="AH70" s="1246"/>
      <c r="AI70" s="1247"/>
      <c r="AJ70" s="1239"/>
      <c r="AK70" s="1">
        <f t="shared" ref="AK70:AK132" si="14">QUOTIENT(Z70-1,DrawNbGroups)</f>
        <v>4</v>
      </c>
      <c r="AL70" s="1">
        <f t="shared" ref="AL70:AL132" si="15">MOD(Z70-1,DrawNbGroups)+IF(Z70&lt;=DrawNbGroups*(DrawGroupSize-1),0,DrawNbGroups*DrawGroupSize-DrawNbParticipants)</f>
        <v>1</v>
      </c>
      <c r="AM70" s="1" t="str">
        <f t="shared" ca="1" si="12"/>
        <v/>
      </c>
      <c r="AN70" s="1">
        <f t="shared" ref="AN70:AN132" ca="1" si="16">AK70+(DrawGroupSize+1+IF(OFFSET($W$3,DrawGroupSize-1+2,0)="",0,1))*QUOTIENT(AL70,4)</f>
        <v>4</v>
      </c>
      <c r="AO70" s="1">
        <f t="shared" ref="AO70:AO132" si="17">MOD(AL70,4)*3</f>
        <v>3</v>
      </c>
    </row>
    <row r="71" spans="1:41" x14ac:dyDescent="0.2">
      <c r="A71" s="1221"/>
      <c r="B71" s="1221"/>
      <c r="C71" s="1222"/>
      <c r="D71" s="1221"/>
      <c r="E71" s="1221"/>
      <c r="F71" s="1222"/>
      <c r="G71" s="1221"/>
      <c r="H71" s="1221"/>
      <c r="I71" s="1222"/>
      <c r="J71" s="1221"/>
      <c r="K71" s="1221"/>
      <c r="L71" s="1222"/>
      <c r="M71" s="1221"/>
      <c r="Z71" s="1259">
        <f t="shared" si="13"/>
        <v>67</v>
      </c>
      <c r="AA71" s="1251"/>
      <c r="AB71" s="1246"/>
      <c r="AC71" s="1246"/>
      <c r="AD71" s="1247"/>
      <c r="AE71" s="1267"/>
      <c r="AF71" s="1251"/>
      <c r="AG71" s="1246"/>
      <c r="AH71" s="1246"/>
      <c r="AI71" s="1247"/>
      <c r="AJ71" s="1239"/>
      <c r="AK71" s="1">
        <f t="shared" si="14"/>
        <v>4</v>
      </c>
      <c r="AL71" s="1">
        <f t="shared" si="15"/>
        <v>2</v>
      </c>
      <c r="AM71" s="1" t="str">
        <f t="shared" ca="1" si="12"/>
        <v/>
      </c>
      <c r="AN71" s="1">
        <f t="shared" ca="1" si="16"/>
        <v>4</v>
      </c>
      <c r="AO71" s="1">
        <f t="shared" si="17"/>
        <v>6</v>
      </c>
    </row>
    <row r="72" spans="1:41" x14ac:dyDescent="0.2">
      <c r="A72" s="1221"/>
      <c r="B72" s="1221"/>
      <c r="C72" s="1222"/>
      <c r="D72" s="1221"/>
      <c r="E72" s="1221"/>
      <c r="F72" s="1222"/>
      <c r="G72" s="1221"/>
      <c r="H72" s="1221"/>
      <c r="I72" s="1222"/>
      <c r="J72" s="1221"/>
      <c r="K72" s="1221"/>
      <c r="L72" s="1222"/>
      <c r="M72" s="1221"/>
      <c r="Z72" s="1259">
        <f t="shared" si="13"/>
        <v>68</v>
      </c>
      <c r="AA72" s="1251"/>
      <c r="AB72" s="1246"/>
      <c r="AC72" s="1246"/>
      <c r="AD72" s="1247"/>
      <c r="AE72" s="1267"/>
      <c r="AF72" s="1251"/>
      <c r="AG72" s="1246"/>
      <c r="AH72" s="1246"/>
      <c r="AI72" s="1247"/>
      <c r="AJ72" s="1239"/>
      <c r="AK72" s="1">
        <f t="shared" si="14"/>
        <v>4</v>
      </c>
      <c r="AL72" s="1">
        <f t="shared" si="15"/>
        <v>3</v>
      </c>
      <c r="AM72" s="1" t="str">
        <f t="shared" ca="1" si="12"/>
        <v/>
      </c>
      <c r="AN72" s="1">
        <f t="shared" ca="1" si="16"/>
        <v>4</v>
      </c>
      <c r="AO72" s="1">
        <f t="shared" si="17"/>
        <v>9</v>
      </c>
    </row>
    <row r="73" spans="1:41" x14ac:dyDescent="0.2">
      <c r="A73" s="1221"/>
      <c r="B73" s="1221"/>
      <c r="C73" s="1222"/>
      <c r="D73" s="1221"/>
      <c r="E73" s="1221"/>
      <c r="F73" s="1222"/>
      <c r="G73" s="1221"/>
      <c r="H73" s="1221"/>
      <c r="I73" s="1222"/>
      <c r="J73" s="1221"/>
      <c r="K73" s="1221"/>
      <c r="L73" s="1222"/>
      <c r="M73" s="1221"/>
      <c r="Z73" s="1259">
        <f t="shared" si="13"/>
        <v>69</v>
      </c>
      <c r="AA73" s="1251"/>
      <c r="AB73" s="1246"/>
      <c r="AC73" s="1246"/>
      <c r="AD73" s="1247"/>
      <c r="AE73" s="1267"/>
      <c r="AF73" s="1251"/>
      <c r="AG73" s="1246"/>
      <c r="AH73" s="1246"/>
      <c r="AI73" s="1247"/>
      <c r="AJ73" s="1239"/>
      <c r="AK73" s="1">
        <f t="shared" si="14"/>
        <v>4</v>
      </c>
      <c r="AL73" s="1">
        <f t="shared" si="15"/>
        <v>4</v>
      </c>
      <c r="AM73" s="1" t="str">
        <f t="shared" ca="1" si="12"/>
        <v/>
      </c>
      <c r="AN73" s="1">
        <f t="shared" ca="1" si="16"/>
        <v>10</v>
      </c>
      <c r="AO73" s="1">
        <f t="shared" si="17"/>
        <v>0</v>
      </c>
    </row>
    <row r="74" spans="1:41" x14ac:dyDescent="0.2">
      <c r="A74" s="1221"/>
      <c r="B74" s="1221"/>
      <c r="C74" s="1222"/>
      <c r="D74" s="1221"/>
      <c r="E74" s="1221"/>
      <c r="F74" s="1222"/>
      <c r="G74" s="1221"/>
      <c r="H74" s="1221"/>
      <c r="I74" s="1222"/>
      <c r="J74" s="1221"/>
      <c r="K74" s="1221"/>
      <c r="L74" s="1222"/>
      <c r="M74" s="1221"/>
      <c r="Z74" s="1259">
        <f t="shared" si="13"/>
        <v>70</v>
      </c>
      <c r="AA74" s="1251"/>
      <c r="AB74" s="1246"/>
      <c r="AC74" s="1246"/>
      <c r="AD74" s="1247"/>
      <c r="AE74" s="1267"/>
      <c r="AF74" s="1251"/>
      <c r="AG74" s="1246"/>
      <c r="AH74" s="1246"/>
      <c r="AI74" s="1247"/>
      <c r="AJ74" s="1239"/>
      <c r="AK74" s="1">
        <f t="shared" si="14"/>
        <v>4</v>
      </c>
      <c r="AL74" s="1">
        <f t="shared" si="15"/>
        <v>5</v>
      </c>
      <c r="AM74" s="1" t="str">
        <f t="shared" ca="1" si="12"/>
        <v/>
      </c>
      <c r="AN74" s="1">
        <f t="shared" ca="1" si="16"/>
        <v>10</v>
      </c>
      <c r="AO74" s="1">
        <f t="shared" si="17"/>
        <v>3</v>
      </c>
    </row>
    <row r="75" spans="1:41" x14ac:dyDescent="0.2">
      <c r="A75" s="1221"/>
      <c r="B75" s="1221"/>
      <c r="C75" s="1222"/>
      <c r="D75" s="1221"/>
      <c r="E75" s="1221"/>
      <c r="F75" s="1222"/>
      <c r="G75" s="1221"/>
      <c r="H75" s="1221"/>
      <c r="I75" s="1222"/>
      <c r="J75" s="1221"/>
      <c r="K75" s="1221"/>
      <c r="L75" s="1222"/>
      <c r="M75" s="1221"/>
      <c r="Z75" s="1259">
        <f t="shared" si="13"/>
        <v>71</v>
      </c>
      <c r="AA75" s="1251"/>
      <c r="AB75" s="1246"/>
      <c r="AC75" s="1246"/>
      <c r="AD75" s="1247"/>
      <c r="AE75" s="1267"/>
      <c r="AF75" s="1251"/>
      <c r="AG75" s="1246"/>
      <c r="AH75" s="1246"/>
      <c r="AI75" s="1247"/>
      <c r="AJ75" s="1239"/>
      <c r="AK75" s="1">
        <f t="shared" si="14"/>
        <v>4</v>
      </c>
      <c r="AL75" s="1">
        <f t="shared" si="15"/>
        <v>6</v>
      </c>
      <c r="AM75" s="1" t="str">
        <f t="shared" ca="1" si="12"/>
        <v/>
      </c>
      <c r="AN75" s="1">
        <f t="shared" ca="1" si="16"/>
        <v>10</v>
      </c>
      <c r="AO75" s="1">
        <f t="shared" si="17"/>
        <v>6</v>
      </c>
    </row>
    <row r="76" spans="1:41" x14ac:dyDescent="0.2">
      <c r="A76" s="1221"/>
      <c r="B76" s="1221"/>
      <c r="C76" s="1222"/>
      <c r="D76" s="1221"/>
      <c r="E76" s="1221"/>
      <c r="F76" s="1222"/>
      <c r="G76" s="1221"/>
      <c r="H76" s="1221"/>
      <c r="I76" s="1222"/>
      <c r="J76" s="1221"/>
      <c r="K76" s="1221"/>
      <c r="L76" s="1222"/>
      <c r="M76" s="1221"/>
      <c r="Z76" s="1259">
        <f t="shared" si="13"/>
        <v>72</v>
      </c>
      <c r="AA76" s="1251"/>
      <c r="AB76" s="1246"/>
      <c r="AC76" s="1246"/>
      <c r="AD76" s="1247"/>
      <c r="AE76" s="1267"/>
      <c r="AF76" s="1251"/>
      <c r="AG76" s="1246"/>
      <c r="AH76" s="1246"/>
      <c r="AI76" s="1247"/>
      <c r="AJ76" s="1239"/>
      <c r="AK76" s="1">
        <f t="shared" si="14"/>
        <v>4</v>
      </c>
      <c r="AL76" s="1">
        <f t="shared" si="15"/>
        <v>7</v>
      </c>
      <c r="AM76" s="1" t="str">
        <f t="shared" ca="1" si="12"/>
        <v/>
      </c>
      <c r="AN76" s="1">
        <f t="shared" ca="1" si="16"/>
        <v>10</v>
      </c>
      <c r="AO76" s="1">
        <f t="shared" si="17"/>
        <v>9</v>
      </c>
    </row>
    <row r="77" spans="1:41" x14ac:dyDescent="0.2">
      <c r="A77" s="1221"/>
      <c r="B77" s="1221"/>
      <c r="C77" s="1222"/>
      <c r="D77" s="1221"/>
      <c r="E77" s="1221"/>
      <c r="F77" s="1222"/>
      <c r="G77" s="1221"/>
      <c r="H77" s="1221"/>
      <c r="I77" s="1222"/>
      <c r="J77" s="1221"/>
      <c r="K77" s="1221"/>
      <c r="L77" s="1222"/>
      <c r="M77" s="1221"/>
      <c r="Z77" s="1259">
        <f t="shared" si="13"/>
        <v>73</v>
      </c>
      <c r="AA77" s="1251"/>
      <c r="AB77" s="1246"/>
      <c r="AC77" s="1246"/>
      <c r="AD77" s="1247"/>
      <c r="AE77" s="1267"/>
      <c r="AF77" s="1251"/>
      <c r="AG77" s="1246"/>
      <c r="AH77" s="1246"/>
      <c r="AI77" s="1247"/>
      <c r="AJ77" s="1239"/>
      <c r="AK77" s="1">
        <f t="shared" si="14"/>
        <v>4</v>
      </c>
      <c r="AL77" s="1">
        <f t="shared" si="15"/>
        <v>8</v>
      </c>
      <c r="AM77" s="1" t="str">
        <f t="shared" ca="1" si="12"/>
        <v/>
      </c>
      <c r="AN77" s="1">
        <f t="shared" ca="1" si="16"/>
        <v>16</v>
      </c>
      <c r="AO77" s="1">
        <f t="shared" si="17"/>
        <v>0</v>
      </c>
    </row>
    <row r="78" spans="1:41" x14ac:dyDescent="0.2">
      <c r="A78" s="1221"/>
      <c r="B78" s="1221"/>
      <c r="C78" s="1222"/>
      <c r="D78" s="1221"/>
      <c r="E78" s="1221"/>
      <c r="F78" s="1222"/>
      <c r="G78" s="1221"/>
      <c r="H78" s="1221"/>
      <c r="I78" s="1222"/>
      <c r="J78" s="1221"/>
      <c r="K78" s="1221"/>
      <c r="L78" s="1222"/>
      <c r="M78" s="1221"/>
      <c r="Z78" s="1259">
        <f t="shared" si="13"/>
        <v>74</v>
      </c>
      <c r="AA78" s="1251"/>
      <c r="AB78" s="1246"/>
      <c r="AC78" s="1246"/>
      <c r="AD78" s="1247"/>
      <c r="AE78" s="1267"/>
      <c r="AF78" s="1251"/>
      <c r="AG78" s="1246"/>
      <c r="AH78" s="1246"/>
      <c r="AI78" s="1247"/>
      <c r="AJ78" s="1239"/>
      <c r="AK78" s="1">
        <f t="shared" si="14"/>
        <v>4</v>
      </c>
      <c r="AL78" s="1">
        <f t="shared" si="15"/>
        <v>9</v>
      </c>
      <c r="AM78" s="1" t="str">
        <f t="shared" ca="1" si="12"/>
        <v/>
      </c>
      <c r="AN78" s="1">
        <f t="shared" ca="1" si="16"/>
        <v>16</v>
      </c>
      <c r="AO78" s="1">
        <f t="shared" si="17"/>
        <v>3</v>
      </c>
    </row>
    <row r="79" spans="1:41" x14ac:dyDescent="0.2">
      <c r="A79" s="1221"/>
      <c r="B79" s="1221"/>
      <c r="C79" s="1222"/>
      <c r="D79" s="1221"/>
      <c r="E79" s="1221"/>
      <c r="F79" s="1222"/>
      <c r="G79" s="1221"/>
      <c r="H79" s="1221"/>
      <c r="I79" s="1222"/>
      <c r="J79" s="1221"/>
      <c r="K79" s="1221"/>
      <c r="L79" s="1222"/>
      <c r="M79" s="1221"/>
      <c r="Z79" s="1259">
        <f t="shared" si="13"/>
        <v>75</v>
      </c>
      <c r="AA79" s="1251"/>
      <c r="AB79" s="1246"/>
      <c r="AC79" s="1246"/>
      <c r="AD79" s="1247"/>
      <c r="AE79" s="1267"/>
      <c r="AF79" s="1251"/>
      <c r="AG79" s="1246"/>
      <c r="AH79" s="1246"/>
      <c r="AI79" s="1247"/>
      <c r="AJ79" s="1239"/>
      <c r="AK79" s="1">
        <f t="shared" si="14"/>
        <v>4</v>
      </c>
      <c r="AL79" s="1">
        <f t="shared" si="15"/>
        <v>10</v>
      </c>
      <c r="AM79" s="1" t="str">
        <f t="shared" ca="1" si="12"/>
        <v/>
      </c>
      <c r="AN79" s="1">
        <f t="shared" ca="1" si="16"/>
        <v>16</v>
      </c>
      <c r="AO79" s="1">
        <f t="shared" si="17"/>
        <v>6</v>
      </c>
    </row>
    <row r="80" spans="1:41" x14ac:dyDescent="0.2">
      <c r="A80" s="1221"/>
      <c r="B80" s="1221"/>
      <c r="C80" s="1222"/>
      <c r="D80" s="1221"/>
      <c r="E80" s="1221"/>
      <c r="F80" s="1222"/>
      <c r="G80" s="1221"/>
      <c r="H80" s="1221"/>
      <c r="I80" s="1222"/>
      <c r="J80" s="1221"/>
      <c r="K80" s="1221"/>
      <c r="L80" s="1222"/>
      <c r="M80" s="1221"/>
      <c r="Z80" s="1259">
        <f t="shared" si="13"/>
        <v>76</v>
      </c>
      <c r="AA80" s="1251"/>
      <c r="AB80" s="1246"/>
      <c r="AC80" s="1246"/>
      <c r="AD80" s="1247"/>
      <c r="AE80" s="1267"/>
      <c r="AF80" s="1251"/>
      <c r="AG80" s="1246"/>
      <c r="AH80" s="1246"/>
      <c r="AI80" s="1247"/>
      <c r="AJ80" s="1239"/>
      <c r="AK80" s="1">
        <f t="shared" si="14"/>
        <v>4</v>
      </c>
      <c r="AL80" s="1">
        <f t="shared" si="15"/>
        <v>11</v>
      </c>
      <c r="AM80" s="1" t="str">
        <f t="shared" ca="1" si="12"/>
        <v/>
      </c>
      <c r="AN80" s="1">
        <f t="shared" ca="1" si="16"/>
        <v>16</v>
      </c>
      <c r="AO80" s="1">
        <f t="shared" si="17"/>
        <v>9</v>
      </c>
    </row>
    <row r="81" spans="1:41" x14ac:dyDescent="0.2">
      <c r="A81" s="1221"/>
      <c r="B81" s="1221"/>
      <c r="C81" s="1222"/>
      <c r="D81" s="1221"/>
      <c r="E81" s="1221"/>
      <c r="F81" s="1222"/>
      <c r="G81" s="1221"/>
      <c r="H81" s="1221"/>
      <c r="I81" s="1222"/>
      <c r="J81" s="1221"/>
      <c r="K81" s="1221"/>
      <c r="L81" s="1222"/>
      <c r="M81" s="1221"/>
      <c r="Z81" s="1259">
        <f t="shared" si="13"/>
        <v>77</v>
      </c>
      <c r="AA81" s="1251"/>
      <c r="AB81" s="1246"/>
      <c r="AC81" s="1246"/>
      <c r="AD81" s="1247"/>
      <c r="AE81" s="1267"/>
      <c r="AF81" s="1251"/>
      <c r="AG81" s="1246"/>
      <c r="AH81" s="1246"/>
      <c r="AI81" s="1247"/>
      <c r="AJ81" s="1239"/>
      <c r="AK81" s="1">
        <f t="shared" si="14"/>
        <v>4</v>
      </c>
      <c r="AL81" s="1">
        <f t="shared" si="15"/>
        <v>12</v>
      </c>
      <c r="AM81" s="1" t="str">
        <f t="shared" ca="1" si="12"/>
        <v/>
      </c>
      <c r="AN81" s="1">
        <f t="shared" ca="1" si="16"/>
        <v>22</v>
      </c>
      <c r="AO81" s="1">
        <f t="shared" si="17"/>
        <v>0</v>
      </c>
    </row>
    <row r="82" spans="1:41" x14ac:dyDescent="0.2">
      <c r="A82" s="1221"/>
      <c r="B82" s="1221"/>
      <c r="C82" s="1222"/>
      <c r="D82" s="1221"/>
      <c r="E82" s="1221"/>
      <c r="F82" s="1222"/>
      <c r="G82" s="1221"/>
      <c r="H82" s="1221"/>
      <c r="I82" s="1222"/>
      <c r="J82" s="1221"/>
      <c r="K82" s="1221"/>
      <c r="L82" s="1222"/>
      <c r="M82" s="1221"/>
      <c r="Z82" s="1259">
        <f t="shared" si="13"/>
        <v>78</v>
      </c>
      <c r="AA82" s="1251"/>
      <c r="AB82" s="1246"/>
      <c r="AC82" s="1246"/>
      <c r="AD82" s="1247"/>
      <c r="AE82" s="1267"/>
      <c r="AF82" s="1251"/>
      <c r="AG82" s="1246"/>
      <c r="AH82" s="1246"/>
      <c r="AI82" s="1247"/>
      <c r="AJ82" s="1239"/>
      <c r="AK82" s="1">
        <f t="shared" si="14"/>
        <v>4</v>
      </c>
      <c r="AL82" s="1">
        <f t="shared" si="15"/>
        <v>13</v>
      </c>
      <c r="AM82" s="1" t="str">
        <f t="shared" ca="1" si="12"/>
        <v/>
      </c>
      <c r="AN82" s="1">
        <f t="shared" ca="1" si="16"/>
        <v>22</v>
      </c>
      <c r="AO82" s="1">
        <f t="shared" si="17"/>
        <v>3</v>
      </c>
    </row>
    <row r="83" spans="1:41" x14ac:dyDescent="0.2">
      <c r="A83" s="1221"/>
      <c r="H83" s="1221"/>
      <c r="I83" s="1222"/>
      <c r="J83" s="1221"/>
      <c r="K83" s="1221"/>
      <c r="L83" s="1222"/>
      <c r="M83" s="1221"/>
      <c r="Z83" s="1259">
        <f t="shared" si="13"/>
        <v>79</v>
      </c>
      <c r="AA83" s="1251"/>
      <c r="AB83" s="1246"/>
      <c r="AC83" s="1246"/>
      <c r="AD83" s="1247"/>
      <c r="AE83" s="1267"/>
      <c r="AF83" s="1251"/>
      <c r="AG83" s="1246"/>
      <c r="AH83" s="1246"/>
      <c r="AI83" s="1247"/>
      <c r="AJ83" s="1239"/>
      <c r="AK83" s="1">
        <f t="shared" si="14"/>
        <v>4</v>
      </c>
      <c r="AL83" s="1">
        <f t="shared" si="15"/>
        <v>14</v>
      </c>
      <c r="AM83" s="1" t="str">
        <f t="shared" ca="1" si="12"/>
        <v/>
      </c>
      <c r="AN83" s="1">
        <f t="shared" ca="1" si="16"/>
        <v>22</v>
      </c>
      <c r="AO83" s="1">
        <f t="shared" si="17"/>
        <v>6</v>
      </c>
    </row>
    <row r="84" spans="1:41" x14ac:dyDescent="0.2">
      <c r="A84" s="1221"/>
      <c r="H84" s="1221"/>
      <c r="I84" s="1222"/>
      <c r="J84" s="1221"/>
      <c r="K84" s="1221"/>
      <c r="L84" s="1222"/>
      <c r="M84" s="1221"/>
      <c r="Z84" s="1259">
        <f t="shared" si="13"/>
        <v>80</v>
      </c>
      <c r="AA84" s="1251"/>
      <c r="AB84" s="1246"/>
      <c r="AC84" s="1246"/>
      <c r="AD84" s="1247"/>
      <c r="AE84" s="1267"/>
      <c r="AF84" s="1251"/>
      <c r="AG84" s="1246"/>
      <c r="AH84" s="1246"/>
      <c r="AI84" s="1247"/>
      <c r="AJ84" s="1239"/>
      <c r="AK84" s="1">
        <f t="shared" si="14"/>
        <v>4</v>
      </c>
      <c r="AL84" s="1">
        <f t="shared" si="15"/>
        <v>15</v>
      </c>
      <c r="AM84" s="1" t="str">
        <f t="shared" ca="1" si="12"/>
        <v/>
      </c>
      <c r="AN84" s="1">
        <f t="shared" ca="1" si="16"/>
        <v>22</v>
      </c>
      <c r="AO84" s="1">
        <f t="shared" si="17"/>
        <v>9</v>
      </c>
    </row>
    <row r="85" spans="1:41" x14ac:dyDescent="0.2">
      <c r="A85" s="1221"/>
      <c r="H85" s="1221"/>
      <c r="I85" s="1222"/>
      <c r="J85" s="1221"/>
      <c r="K85" s="1221"/>
      <c r="L85" s="1222"/>
      <c r="M85" s="1221"/>
      <c r="Z85" s="1259">
        <f t="shared" si="13"/>
        <v>81</v>
      </c>
      <c r="AA85" s="1251"/>
      <c r="AB85" s="1246"/>
      <c r="AC85" s="1246"/>
      <c r="AD85" s="1247"/>
      <c r="AE85" s="1267"/>
      <c r="AF85" s="1251"/>
      <c r="AG85" s="1246"/>
      <c r="AH85" s="1246"/>
      <c r="AI85" s="1247"/>
      <c r="AJ85" s="1239"/>
      <c r="AK85" s="1">
        <f t="shared" si="14"/>
        <v>5</v>
      </c>
      <c r="AL85" s="1">
        <f t="shared" si="15"/>
        <v>0</v>
      </c>
      <c r="AM85" s="1" t="str">
        <f t="shared" ca="1" si="12"/>
        <v/>
      </c>
      <c r="AN85" s="1">
        <f t="shared" ca="1" si="16"/>
        <v>5</v>
      </c>
      <c r="AO85" s="1">
        <f t="shared" si="17"/>
        <v>0</v>
      </c>
    </row>
    <row r="86" spans="1:41" x14ac:dyDescent="0.2">
      <c r="A86" s="1221"/>
      <c r="H86" s="1221"/>
      <c r="I86" s="1222"/>
      <c r="J86" s="1221"/>
      <c r="K86" s="1221"/>
      <c r="L86" s="1222"/>
      <c r="M86" s="1221"/>
      <c r="Z86" s="1259">
        <f t="shared" si="13"/>
        <v>82</v>
      </c>
      <c r="AA86" s="1251"/>
      <c r="AB86" s="1246"/>
      <c r="AC86" s="1246"/>
      <c r="AD86" s="1247"/>
      <c r="AE86" s="1267"/>
      <c r="AF86" s="1251"/>
      <c r="AG86" s="1246"/>
      <c r="AH86" s="1246"/>
      <c r="AI86" s="1247"/>
      <c r="AJ86" s="1239"/>
      <c r="AK86" s="1">
        <f t="shared" si="14"/>
        <v>5</v>
      </c>
      <c r="AL86" s="1">
        <f t="shared" si="15"/>
        <v>1</v>
      </c>
      <c r="AM86" s="1" t="str">
        <f t="shared" ca="1" si="12"/>
        <v/>
      </c>
      <c r="AN86" s="1">
        <f t="shared" ca="1" si="16"/>
        <v>5</v>
      </c>
      <c r="AO86" s="1">
        <f t="shared" si="17"/>
        <v>3</v>
      </c>
    </row>
    <row r="87" spans="1:41" x14ac:dyDescent="0.2">
      <c r="A87" s="1221"/>
      <c r="H87" s="1221"/>
      <c r="I87" s="1222"/>
      <c r="J87" s="1221"/>
      <c r="K87" s="1221"/>
      <c r="L87" s="1222"/>
      <c r="M87" s="1221"/>
      <c r="Z87" s="1259">
        <f t="shared" si="13"/>
        <v>83</v>
      </c>
      <c r="AA87" s="1251"/>
      <c r="AB87" s="1246"/>
      <c r="AC87" s="1246"/>
      <c r="AD87" s="1247"/>
      <c r="AE87" s="1267"/>
      <c r="AF87" s="1251"/>
      <c r="AG87" s="1246"/>
      <c r="AH87" s="1246"/>
      <c r="AI87" s="1247"/>
      <c r="AJ87" s="1239"/>
      <c r="AK87" s="1">
        <f t="shared" si="14"/>
        <v>5</v>
      </c>
      <c r="AL87" s="1">
        <f t="shared" si="15"/>
        <v>2</v>
      </c>
      <c r="AM87" s="1" t="str">
        <f t="shared" ca="1" si="12"/>
        <v/>
      </c>
      <c r="AN87" s="1">
        <f t="shared" ca="1" si="16"/>
        <v>5</v>
      </c>
      <c r="AO87" s="1">
        <f t="shared" si="17"/>
        <v>6</v>
      </c>
    </row>
    <row r="88" spans="1:41" x14ac:dyDescent="0.2">
      <c r="A88" s="1221"/>
      <c r="H88" s="1221"/>
      <c r="I88" s="1222"/>
      <c r="J88" s="1221"/>
      <c r="K88" s="1221"/>
      <c r="L88" s="1222"/>
      <c r="M88" s="1221"/>
      <c r="Z88" s="1259">
        <f t="shared" si="13"/>
        <v>84</v>
      </c>
      <c r="AA88" s="1251"/>
      <c r="AB88" s="1246"/>
      <c r="AC88" s="1246"/>
      <c r="AD88" s="1247"/>
      <c r="AE88" s="1267"/>
      <c r="AF88" s="1251"/>
      <c r="AG88" s="1246"/>
      <c r="AH88" s="1246"/>
      <c r="AI88" s="1247"/>
      <c r="AJ88" s="1239"/>
      <c r="AK88" s="1">
        <f t="shared" si="14"/>
        <v>5</v>
      </c>
      <c r="AL88" s="1">
        <f t="shared" si="15"/>
        <v>3</v>
      </c>
      <c r="AM88" s="1" t="str">
        <f t="shared" ca="1" si="12"/>
        <v/>
      </c>
      <c r="AN88" s="1">
        <f t="shared" ca="1" si="16"/>
        <v>5</v>
      </c>
      <c r="AO88" s="1">
        <f t="shared" si="17"/>
        <v>9</v>
      </c>
    </row>
    <row r="89" spans="1:41" x14ac:dyDescent="0.2">
      <c r="A89" s="1221"/>
      <c r="H89" s="1221"/>
      <c r="I89" s="1222"/>
      <c r="J89" s="1221"/>
      <c r="K89" s="1221"/>
      <c r="L89" s="1222"/>
      <c r="M89" s="1221"/>
      <c r="Z89" s="1259">
        <f t="shared" si="13"/>
        <v>85</v>
      </c>
      <c r="AA89" s="1251"/>
      <c r="AB89" s="1246"/>
      <c r="AC89" s="1246"/>
      <c r="AD89" s="1247"/>
      <c r="AE89" s="1267"/>
      <c r="AF89" s="1251"/>
      <c r="AG89" s="1246"/>
      <c r="AH89" s="1246"/>
      <c r="AI89" s="1247"/>
      <c r="AJ89" s="1239"/>
      <c r="AK89" s="1">
        <f t="shared" si="14"/>
        <v>5</v>
      </c>
      <c r="AL89" s="1">
        <f t="shared" si="15"/>
        <v>4</v>
      </c>
      <c r="AM89" s="1" t="str">
        <f t="shared" ca="1" si="12"/>
        <v/>
      </c>
      <c r="AN89" s="1">
        <f t="shared" ca="1" si="16"/>
        <v>11</v>
      </c>
      <c r="AO89" s="1">
        <f t="shared" si="17"/>
        <v>0</v>
      </c>
    </row>
    <row r="90" spans="1:41" x14ac:dyDescent="0.2">
      <c r="A90" s="1221"/>
      <c r="H90" s="1221"/>
      <c r="I90" s="1222"/>
      <c r="J90" s="1221"/>
      <c r="K90" s="1221"/>
      <c r="L90" s="1222"/>
      <c r="M90" s="1221"/>
      <c r="Z90" s="1259">
        <f t="shared" si="13"/>
        <v>86</v>
      </c>
      <c r="AA90" s="1251"/>
      <c r="AB90" s="1246"/>
      <c r="AC90" s="1246"/>
      <c r="AD90" s="1247"/>
      <c r="AE90" s="1267"/>
      <c r="AF90" s="1251"/>
      <c r="AG90" s="1246"/>
      <c r="AH90" s="1246"/>
      <c r="AI90" s="1247"/>
      <c r="AJ90" s="1239"/>
      <c r="AK90" s="1">
        <f t="shared" si="14"/>
        <v>5</v>
      </c>
      <c r="AL90" s="1">
        <f t="shared" si="15"/>
        <v>5</v>
      </c>
      <c r="AM90" s="1" t="str">
        <f t="shared" ca="1" si="12"/>
        <v/>
      </c>
      <c r="AN90" s="1">
        <f t="shared" ca="1" si="16"/>
        <v>11</v>
      </c>
      <c r="AO90" s="1">
        <f t="shared" si="17"/>
        <v>3</v>
      </c>
    </row>
    <row r="91" spans="1:41" x14ac:dyDescent="0.2">
      <c r="A91" s="1221"/>
      <c r="H91" s="1221"/>
      <c r="I91" s="1222"/>
      <c r="J91" s="1221"/>
      <c r="K91" s="1221"/>
      <c r="L91" s="1222"/>
      <c r="M91" s="1221"/>
      <c r="Z91" s="1259">
        <f t="shared" si="13"/>
        <v>87</v>
      </c>
      <c r="AA91" s="1251"/>
      <c r="AB91" s="1246"/>
      <c r="AC91" s="1246"/>
      <c r="AD91" s="1247"/>
      <c r="AE91" s="1267"/>
      <c r="AF91" s="1251"/>
      <c r="AG91" s="1246"/>
      <c r="AH91" s="1246"/>
      <c r="AI91" s="1247"/>
      <c r="AK91" s="1">
        <f t="shared" si="14"/>
        <v>5</v>
      </c>
      <c r="AL91" s="1">
        <f t="shared" si="15"/>
        <v>6</v>
      </c>
      <c r="AM91" s="1" t="str">
        <f t="shared" ca="1" si="12"/>
        <v/>
      </c>
      <c r="AN91" s="1">
        <f t="shared" ca="1" si="16"/>
        <v>11</v>
      </c>
      <c r="AO91" s="1">
        <f t="shared" si="17"/>
        <v>6</v>
      </c>
    </row>
    <row r="92" spans="1:41" x14ac:dyDescent="0.2">
      <c r="H92" s="1221"/>
      <c r="I92" s="1222"/>
      <c r="J92" s="1221"/>
      <c r="K92" s="1221"/>
      <c r="L92" s="1222"/>
      <c r="M92" s="1221"/>
      <c r="Z92" s="1259">
        <f t="shared" si="13"/>
        <v>88</v>
      </c>
      <c r="AA92" s="1251"/>
      <c r="AB92" s="1246"/>
      <c r="AC92" s="1246"/>
      <c r="AD92" s="1247"/>
      <c r="AE92" s="1267"/>
      <c r="AF92" s="1251"/>
      <c r="AG92" s="1246"/>
      <c r="AH92" s="1246"/>
      <c r="AI92" s="1247"/>
      <c r="AK92" s="1">
        <f t="shared" si="14"/>
        <v>5</v>
      </c>
      <c r="AL92" s="1">
        <f t="shared" si="15"/>
        <v>7</v>
      </c>
      <c r="AM92" s="1" t="str">
        <f t="shared" ca="1" si="12"/>
        <v/>
      </c>
      <c r="AN92" s="1">
        <f t="shared" ca="1" si="16"/>
        <v>11</v>
      </c>
      <c r="AO92" s="1">
        <f t="shared" si="17"/>
        <v>9</v>
      </c>
    </row>
    <row r="93" spans="1:41" x14ac:dyDescent="0.2">
      <c r="H93" s="1221"/>
      <c r="I93" s="1222"/>
      <c r="J93" s="1221"/>
      <c r="K93" s="1221"/>
      <c r="L93" s="1222"/>
      <c r="M93" s="1221"/>
      <c r="Z93" s="1259">
        <f t="shared" si="13"/>
        <v>89</v>
      </c>
      <c r="AA93" s="1251"/>
      <c r="AB93" s="1246"/>
      <c r="AC93" s="1246"/>
      <c r="AD93" s="1247"/>
      <c r="AE93" s="1267"/>
      <c r="AF93" s="1251"/>
      <c r="AG93" s="1246"/>
      <c r="AH93" s="1246"/>
      <c r="AI93" s="1247"/>
      <c r="AK93" s="1">
        <f t="shared" si="14"/>
        <v>5</v>
      </c>
      <c r="AL93" s="1">
        <f t="shared" si="15"/>
        <v>8</v>
      </c>
      <c r="AM93" s="1" t="str">
        <f t="shared" ca="1" si="12"/>
        <v/>
      </c>
      <c r="AN93" s="1">
        <f t="shared" ca="1" si="16"/>
        <v>17</v>
      </c>
      <c r="AO93" s="1">
        <f t="shared" si="17"/>
        <v>0</v>
      </c>
    </row>
    <row r="94" spans="1:41" x14ac:dyDescent="0.2">
      <c r="Z94" s="1259">
        <f t="shared" si="13"/>
        <v>90</v>
      </c>
      <c r="AA94" s="1251"/>
      <c r="AB94" s="1246"/>
      <c r="AC94" s="1246"/>
      <c r="AD94" s="1247"/>
      <c r="AE94" s="1267"/>
      <c r="AF94" s="1251"/>
      <c r="AG94" s="1246"/>
      <c r="AH94" s="1246"/>
      <c r="AI94" s="1247"/>
      <c r="AK94" s="1">
        <f t="shared" si="14"/>
        <v>5</v>
      </c>
      <c r="AL94" s="1">
        <f t="shared" si="15"/>
        <v>9</v>
      </c>
      <c r="AM94" s="1" t="str">
        <f t="shared" ca="1" si="12"/>
        <v/>
      </c>
      <c r="AN94" s="1">
        <f t="shared" ca="1" si="16"/>
        <v>17</v>
      </c>
      <c r="AO94" s="1">
        <f t="shared" si="17"/>
        <v>3</v>
      </c>
    </row>
    <row r="95" spans="1:41" x14ac:dyDescent="0.2">
      <c r="Z95" s="1259">
        <f t="shared" si="13"/>
        <v>91</v>
      </c>
      <c r="AA95" s="1251"/>
      <c r="AB95" s="1246"/>
      <c r="AC95" s="1246"/>
      <c r="AD95" s="1247"/>
      <c r="AE95" s="1267"/>
      <c r="AF95" s="1251"/>
      <c r="AG95" s="1246"/>
      <c r="AH95" s="1246"/>
      <c r="AI95" s="1247"/>
      <c r="AK95" s="1">
        <f t="shared" si="14"/>
        <v>5</v>
      </c>
      <c r="AL95" s="1">
        <f t="shared" si="15"/>
        <v>10</v>
      </c>
      <c r="AM95" s="1" t="str">
        <f t="shared" ca="1" si="12"/>
        <v/>
      </c>
      <c r="AN95" s="1">
        <f t="shared" ca="1" si="16"/>
        <v>17</v>
      </c>
      <c r="AO95" s="1">
        <f t="shared" si="17"/>
        <v>6</v>
      </c>
    </row>
    <row r="96" spans="1:41" x14ac:dyDescent="0.2">
      <c r="Z96" s="1259">
        <f t="shared" si="13"/>
        <v>92</v>
      </c>
      <c r="AA96" s="1251"/>
      <c r="AB96" s="1246"/>
      <c r="AC96" s="1246"/>
      <c r="AD96" s="1247"/>
      <c r="AE96" s="1267"/>
      <c r="AF96" s="1251"/>
      <c r="AG96" s="1246"/>
      <c r="AH96" s="1246"/>
      <c r="AI96" s="1247"/>
      <c r="AK96" s="1">
        <f t="shared" si="14"/>
        <v>5</v>
      </c>
      <c r="AL96" s="1">
        <f t="shared" si="15"/>
        <v>11</v>
      </c>
      <c r="AM96" s="1" t="str">
        <f t="shared" ca="1" si="12"/>
        <v/>
      </c>
      <c r="AN96" s="1">
        <f t="shared" ca="1" si="16"/>
        <v>17</v>
      </c>
      <c r="AO96" s="1">
        <f t="shared" si="17"/>
        <v>9</v>
      </c>
    </row>
    <row r="97" spans="26:41" x14ac:dyDescent="0.2">
      <c r="Z97" s="1259">
        <f t="shared" si="13"/>
        <v>93</v>
      </c>
      <c r="AA97" s="1251"/>
      <c r="AB97" s="1246"/>
      <c r="AC97" s="1246"/>
      <c r="AD97" s="1247"/>
      <c r="AE97" s="1267"/>
      <c r="AF97" s="1251"/>
      <c r="AG97" s="1246"/>
      <c r="AH97" s="1246"/>
      <c r="AI97" s="1247"/>
      <c r="AK97" s="1">
        <f t="shared" si="14"/>
        <v>5</v>
      </c>
      <c r="AL97" s="1">
        <f t="shared" si="15"/>
        <v>12</v>
      </c>
      <c r="AM97" s="1" t="str">
        <f t="shared" ca="1" si="12"/>
        <v/>
      </c>
      <c r="AN97" s="1">
        <f t="shared" ca="1" si="16"/>
        <v>23</v>
      </c>
      <c r="AO97" s="1">
        <f t="shared" si="17"/>
        <v>0</v>
      </c>
    </row>
    <row r="98" spans="26:41" x14ac:dyDescent="0.2">
      <c r="Z98" s="1259">
        <f t="shared" si="13"/>
        <v>94</v>
      </c>
      <c r="AA98" s="1251"/>
      <c r="AB98" s="1246"/>
      <c r="AC98" s="1246"/>
      <c r="AD98" s="1247"/>
      <c r="AE98" s="1267"/>
      <c r="AF98" s="1251"/>
      <c r="AG98" s="1246"/>
      <c r="AH98" s="1246"/>
      <c r="AI98" s="1247"/>
      <c r="AK98" s="1">
        <f t="shared" si="14"/>
        <v>5</v>
      </c>
      <c r="AL98" s="1">
        <f t="shared" si="15"/>
        <v>13</v>
      </c>
      <c r="AM98" s="1" t="str">
        <f t="shared" ca="1" si="12"/>
        <v/>
      </c>
      <c r="AN98" s="1">
        <f t="shared" ca="1" si="16"/>
        <v>23</v>
      </c>
      <c r="AO98" s="1">
        <f t="shared" si="17"/>
        <v>3</v>
      </c>
    </row>
    <row r="99" spans="26:41" x14ac:dyDescent="0.2">
      <c r="Z99" s="1259">
        <f t="shared" si="13"/>
        <v>95</v>
      </c>
      <c r="AA99" s="1251"/>
      <c r="AB99" s="1246"/>
      <c r="AC99" s="1246"/>
      <c r="AD99" s="1247"/>
      <c r="AE99" s="1267"/>
      <c r="AF99" s="1251"/>
      <c r="AG99" s="1246"/>
      <c r="AH99" s="1246"/>
      <c r="AI99" s="1247"/>
      <c r="AK99" s="1">
        <f t="shared" si="14"/>
        <v>5</v>
      </c>
      <c r="AL99" s="1">
        <f t="shared" si="15"/>
        <v>14</v>
      </c>
      <c r="AM99" s="1" t="str">
        <f t="shared" ca="1" si="12"/>
        <v/>
      </c>
      <c r="AN99" s="1">
        <f t="shared" ca="1" si="16"/>
        <v>23</v>
      </c>
      <c r="AO99" s="1">
        <f t="shared" si="17"/>
        <v>6</v>
      </c>
    </row>
    <row r="100" spans="26:41" x14ac:dyDescent="0.2">
      <c r="Z100" s="1259">
        <f t="shared" si="13"/>
        <v>96</v>
      </c>
      <c r="AA100" s="1251"/>
      <c r="AB100" s="1246"/>
      <c r="AC100" s="1246"/>
      <c r="AD100" s="1247"/>
      <c r="AE100" s="1267"/>
      <c r="AF100" s="1251"/>
      <c r="AG100" s="1246"/>
      <c r="AH100" s="1246"/>
      <c r="AI100" s="1247"/>
      <c r="AK100" s="1">
        <f t="shared" si="14"/>
        <v>5</v>
      </c>
      <c r="AL100" s="1">
        <f t="shared" si="15"/>
        <v>15</v>
      </c>
      <c r="AM100" s="1" t="str">
        <f t="shared" ca="1" si="12"/>
        <v/>
      </c>
      <c r="AN100" s="1">
        <f t="shared" ca="1" si="16"/>
        <v>23</v>
      </c>
      <c r="AO100" s="1">
        <f t="shared" si="17"/>
        <v>9</v>
      </c>
    </row>
    <row r="101" spans="26:41" x14ac:dyDescent="0.2">
      <c r="Z101" s="1259">
        <f t="shared" si="13"/>
        <v>97</v>
      </c>
      <c r="AA101" s="1251"/>
      <c r="AB101" s="1246"/>
      <c r="AC101" s="1246"/>
      <c r="AD101" s="1247"/>
      <c r="AE101" s="1267"/>
      <c r="AF101" s="1251"/>
      <c r="AG101" s="1246"/>
      <c r="AH101" s="1246"/>
      <c r="AI101" s="1247"/>
      <c r="AK101" s="1">
        <f t="shared" si="14"/>
        <v>6</v>
      </c>
      <c r="AL101" s="1">
        <f t="shared" si="15"/>
        <v>0</v>
      </c>
      <c r="AM101" s="1" t="str">
        <f t="shared" ref="AM101:AM132" ca="1" si="18">IF(Z101&gt;DrawNbParticipants,"",OFFSET($O$3,2+AK101+(DrawGroupSize+1+IF(OFFSET($W$3,DrawGroupSize-1+2,0)="",0,1))*QUOTIENT(AL101,4),MOD(AL101,4)*3))</f>
        <v/>
      </c>
      <c r="AN101" s="1">
        <f t="shared" ca="1" si="16"/>
        <v>6</v>
      </c>
      <c r="AO101" s="1">
        <f t="shared" si="17"/>
        <v>0</v>
      </c>
    </row>
    <row r="102" spans="26:41" x14ac:dyDescent="0.2">
      <c r="Z102" s="1259">
        <f t="shared" si="13"/>
        <v>98</v>
      </c>
      <c r="AA102" s="1251"/>
      <c r="AB102" s="1246"/>
      <c r="AC102" s="1246"/>
      <c r="AD102" s="1247"/>
      <c r="AE102" s="1267"/>
      <c r="AF102" s="1251"/>
      <c r="AG102" s="1246"/>
      <c r="AH102" s="1246"/>
      <c r="AI102" s="1247"/>
      <c r="AK102" s="1">
        <f t="shared" si="14"/>
        <v>6</v>
      </c>
      <c r="AL102" s="1">
        <f t="shared" si="15"/>
        <v>1</v>
      </c>
      <c r="AM102" s="1" t="str">
        <f t="shared" ca="1" si="18"/>
        <v/>
      </c>
      <c r="AN102" s="1">
        <f t="shared" ca="1" si="16"/>
        <v>6</v>
      </c>
      <c r="AO102" s="1">
        <f t="shared" si="17"/>
        <v>3</v>
      </c>
    </row>
    <row r="103" spans="26:41" x14ac:dyDescent="0.2">
      <c r="Z103" s="1259">
        <f t="shared" si="13"/>
        <v>99</v>
      </c>
      <c r="AA103" s="1251"/>
      <c r="AB103" s="1246"/>
      <c r="AC103" s="1246"/>
      <c r="AD103" s="1247"/>
      <c r="AE103" s="1267"/>
      <c r="AF103" s="1251"/>
      <c r="AG103" s="1246"/>
      <c r="AH103" s="1246"/>
      <c r="AI103" s="1247"/>
      <c r="AK103" s="1">
        <f t="shared" si="14"/>
        <v>6</v>
      </c>
      <c r="AL103" s="1">
        <f t="shared" si="15"/>
        <v>2</v>
      </c>
      <c r="AM103" s="1" t="str">
        <f t="shared" ca="1" si="18"/>
        <v/>
      </c>
      <c r="AN103" s="1">
        <f t="shared" ca="1" si="16"/>
        <v>6</v>
      </c>
      <c r="AO103" s="1">
        <f t="shared" si="17"/>
        <v>6</v>
      </c>
    </row>
    <row r="104" spans="26:41" x14ac:dyDescent="0.2">
      <c r="Z104" s="1259">
        <f t="shared" si="13"/>
        <v>100</v>
      </c>
      <c r="AA104" s="1251"/>
      <c r="AB104" s="1246"/>
      <c r="AC104" s="1246"/>
      <c r="AD104" s="1247"/>
      <c r="AE104" s="1267"/>
      <c r="AF104" s="1251"/>
      <c r="AG104" s="1246"/>
      <c r="AH104" s="1246"/>
      <c r="AI104" s="1247"/>
      <c r="AK104" s="1">
        <f t="shared" si="14"/>
        <v>6</v>
      </c>
      <c r="AL104" s="1">
        <f t="shared" si="15"/>
        <v>3</v>
      </c>
      <c r="AM104" s="1" t="str">
        <f t="shared" ca="1" si="18"/>
        <v/>
      </c>
      <c r="AN104" s="1">
        <f t="shared" ca="1" si="16"/>
        <v>6</v>
      </c>
      <c r="AO104" s="1">
        <f t="shared" si="17"/>
        <v>9</v>
      </c>
    </row>
    <row r="105" spans="26:41" x14ac:dyDescent="0.2">
      <c r="Z105" s="1259">
        <f t="shared" si="13"/>
        <v>101</v>
      </c>
      <c r="AA105" s="1251"/>
      <c r="AB105" s="1246"/>
      <c r="AC105" s="1246"/>
      <c r="AD105" s="1247"/>
      <c r="AE105" s="1267"/>
      <c r="AF105" s="1251"/>
      <c r="AG105" s="1246"/>
      <c r="AH105" s="1246"/>
      <c r="AI105" s="1247"/>
      <c r="AK105" s="1">
        <f t="shared" si="14"/>
        <v>6</v>
      </c>
      <c r="AL105" s="1">
        <f t="shared" si="15"/>
        <v>4</v>
      </c>
      <c r="AM105" s="1" t="str">
        <f t="shared" ca="1" si="18"/>
        <v/>
      </c>
      <c r="AN105" s="1">
        <f t="shared" ca="1" si="16"/>
        <v>12</v>
      </c>
      <c r="AO105" s="1">
        <f t="shared" si="17"/>
        <v>0</v>
      </c>
    </row>
    <row r="106" spans="26:41" x14ac:dyDescent="0.2">
      <c r="Z106" s="1259">
        <f t="shared" si="13"/>
        <v>102</v>
      </c>
      <c r="AA106" s="1251"/>
      <c r="AB106" s="1246"/>
      <c r="AC106" s="1246"/>
      <c r="AD106" s="1247"/>
      <c r="AE106" s="1267"/>
      <c r="AF106" s="1251"/>
      <c r="AG106" s="1246"/>
      <c r="AH106" s="1246"/>
      <c r="AI106" s="1247"/>
      <c r="AK106" s="1">
        <f t="shared" si="14"/>
        <v>6</v>
      </c>
      <c r="AL106" s="1">
        <f t="shared" si="15"/>
        <v>5</v>
      </c>
      <c r="AM106" s="1" t="str">
        <f t="shared" ca="1" si="18"/>
        <v/>
      </c>
      <c r="AN106" s="1">
        <f t="shared" ca="1" si="16"/>
        <v>12</v>
      </c>
      <c r="AO106" s="1">
        <f t="shared" si="17"/>
        <v>3</v>
      </c>
    </row>
    <row r="107" spans="26:41" x14ac:dyDescent="0.2">
      <c r="Z107" s="1259">
        <f t="shared" si="13"/>
        <v>103</v>
      </c>
      <c r="AA107" s="1251"/>
      <c r="AB107" s="1246"/>
      <c r="AC107" s="1246"/>
      <c r="AD107" s="1247"/>
      <c r="AE107" s="1267"/>
      <c r="AF107" s="1251"/>
      <c r="AG107" s="1246"/>
      <c r="AH107" s="1246"/>
      <c r="AI107" s="1247"/>
      <c r="AK107" s="1">
        <f t="shared" si="14"/>
        <v>6</v>
      </c>
      <c r="AL107" s="1">
        <f t="shared" si="15"/>
        <v>6</v>
      </c>
      <c r="AM107" s="1" t="str">
        <f t="shared" ca="1" si="18"/>
        <v/>
      </c>
      <c r="AN107" s="1">
        <f t="shared" ca="1" si="16"/>
        <v>12</v>
      </c>
      <c r="AO107" s="1">
        <f t="shared" si="17"/>
        <v>6</v>
      </c>
    </row>
    <row r="108" spans="26:41" x14ac:dyDescent="0.2">
      <c r="Z108" s="1259">
        <f t="shared" si="13"/>
        <v>104</v>
      </c>
      <c r="AA108" s="1251"/>
      <c r="AB108" s="1246"/>
      <c r="AC108" s="1246"/>
      <c r="AD108" s="1247"/>
      <c r="AE108" s="1267"/>
      <c r="AF108" s="1251"/>
      <c r="AG108" s="1246"/>
      <c r="AH108" s="1246"/>
      <c r="AI108" s="1247"/>
      <c r="AK108" s="1">
        <f t="shared" si="14"/>
        <v>6</v>
      </c>
      <c r="AL108" s="1">
        <f t="shared" si="15"/>
        <v>7</v>
      </c>
      <c r="AM108" s="1" t="str">
        <f t="shared" ca="1" si="18"/>
        <v/>
      </c>
      <c r="AN108" s="1">
        <f t="shared" ca="1" si="16"/>
        <v>12</v>
      </c>
      <c r="AO108" s="1">
        <f t="shared" si="17"/>
        <v>9</v>
      </c>
    </row>
    <row r="109" spans="26:41" x14ac:dyDescent="0.2">
      <c r="Z109" s="1259">
        <f t="shared" si="13"/>
        <v>105</v>
      </c>
      <c r="AA109" s="1251"/>
      <c r="AB109" s="1246"/>
      <c r="AC109" s="1246"/>
      <c r="AD109" s="1247"/>
      <c r="AE109" s="1267"/>
      <c r="AF109" s="1251"/>
      <c r="AG109" s="1246"/>
      <c r="AH109" s="1246"/>
      <c r="AI109" s="1247"/>
      <c r="AK109" s="1">
        <f t="shared" si="14"/>
        <v>6</v>
      </c>
      <c r="AL109" s="1">
        <f t="shared" si="15"/>
        <v>8</v>
      </c>
      <c r="AM109" s="1" t="str">
        <f t="shared" ca="1" si="18"/>
        <v/>
      </c>
      <c r="AN109" s="1">
        <f t="shared" ca="1" si="16"/>
        <v>18</v>
      </c>
      <c r="AO109" s="1">
        <f t="shared" si="17"/>
        <v>0</v>
      </c>
    </row>
    <row r="110" spans="26:41" x14ac:dyDescent="0.2">
      <c r="Z110" s="1259">
        <f t="shared" si="13"/>
        <v>106</v>
      </c>
      <c r="AA110" s="1251"/>
      <c r="AB110" s="1246"/>
      <c r="AC110" s="1246"/>
      <c r="AD110" s="1247"/>
      <c r="AE110" s="1267"/>
      <c r="AF110" s="1251"/>
      <c r="AG110" s="1246"/>
      <c r="AH110" s="1246"/>
      <c r="AI110" s="1247"/>
      <c r="AK110" s="1">
        <f t="shared" si="14"/>
        <v>6</v>
      </c>
      <c r="AL110" s="1">
        <f t="shared" si="15"/>
        <v>9</v>
      </c>
      <c r="AM110" s="1" t="str">
        <f t="shared" ca="1" si="18"/>
        <v/>
      </c>
      <c r="AN110" s="1">
        <f t="shared" ca="1" si="16"/>
        <v>18</v>
      </c>
      <c r="AO110" s="1">
        <f t="shared" si="17"/>
        <v>3</v>
      </c>
    </row>
    <row r="111" spans="26:41" x14ac:dyDescent="0.2">
      <c r="Z111" s="1259">
        <f t="shared" si="13"/>
        <v>107</v>
      </c>
      <c r="AA111" s="1251"/>
      <c r="AB111" s="1246"/>
      <c r="AC111" s="1246"/>
      <c r="AD111" s="1247"/>
      <c r="AE111" s="1267"/>
      <c r="AF111" s="1251"/>
      <c r="AG111" s="1246"/>
      <c r="AH111" s="1246"/>
      <c r="AI111" s="1247"/>
      <c r="AK111" s="1">
        <f t="shared" si="14"/>
        <v>6</v>
      </c>
      <c r="AL111" s="1">
        <f t="shared" si="15"/>
        <v>10</v>
      </c>
      <c r="AM111" s="1" t="str">
        <f t="shared" ca="1" si="18"/>
        <v/>
      </c>
      <c r="AN111" s="1">
        <f t="shared" ca="1" si="16"/>
        <v>18</v>
      </c>
      <c r="AO111" s="1">
        <f t="shared" si="17"/>
        <v>6</v>
      </c>
    </row>
    <row r="112" spans="26:41" x14ac:dyDescent="0.2">
      <c r="Z112" s="1259">
        <f t="shared" si="13"/>
        <v>108</v>
      </c>
      <c r="AA112" s="1251"/>
      <c r="AB112" s="1246"/>
      <c r="AC112" s="1246"/>
      <c r="AD112" s="1247"/>
      <c r="AE112" s="1267"/>
      <c r="AF112" s="1251"/>
      <c r="AG112" s="1246"/>
      <c r="AH112" s="1246"/>
      <c r="AI112" s="1247"/>
      <c r="AK112" s="1">
        <f t="shared" si="14"/>
        <v>6</v>
      </c>
      <c r="AL112" s="1">
        <f t="shared" si="15"/>
        <v>11</v>
      </c>
      <c r="AM112" s="1" t="str">
        <f t="shared" ca="1" si="18"/>
        <v/>
      </c>
      <c r="AN112" s="1">
        <f t="shared" ca="1" si="16"/>
        <v>18</v>
      </c>
      <c r="AO112" s="1">
        <f t="shared" si="17"/>
        <v>9</v>
      </c>
    </row>
    <row r="113" spans="26:41" x14ac:dyDescent="0.2">
      <c r="Z113" s="1259">
        <f t="shared" si="13"/>
        <v>109</v>
      </c>
      <c r="AA113" s="1251"/>
      <c r="AB113" s="1246"/>
      <c r="AC113" s="1246"/>
      <c r="AD113" s="1247"/>
      <c r="AE113" s="1267"/>
      <c r="AF113" s="1251"/>
      <c r="AG113" s="1246"/>
      <c r="AH113" s="1246"/>
      <c r="AI113" s="1247"/>
      <c r="AK113" s="1">
        <f t="shared" si="14"/>
        <v>6</v>
      </c>
      <c r="AL113" s="1">
        <f t="shared" si="15"/>
        <v>12</v>
      </c>
      <c r="AM113" s="1" t="str">
        <f t="shared" ca="1" si="18"/>
        <v/>
      </c>
      <c r="AN113" s="1">
        <f t="shared" ca="1" si="16"/>
        <v>24</v>
      </c>
      <c r="AO113" s="1">
        <f t="shared" si="17"/>
        <v>0</v>
      </c>
    </row>
    <row r="114" spans="26:41" x14ac:dyDescent="0.2">
      <c r="Z114" s="1259">
        <f t="shared" si="13"/>
        <v>110</v>
      </c>
      <c r="AA114" s="1251"/>
      <c r="AB114" s="1246"/>
      <c r="AC114" s="1246"/>
      <c r="AD114" s="1247"/>
      <c r="AE114" s="1267"/>
      <c r="AF114" s="1251"/>
      <c r="AG114" s="1246"/>
      <c r="AH114" s="1246"/>
      <c r="AI114" s="1247"/>
      <c r="AK114" s="1">
        <f t="shared" si="14"/>
        <v>6</v>
      </c>
      <c r="AL114" s="1">
        <f t="shared" si="15"/>
        <v>13</v>
      </c>
      <c r="AM114" s="1" t="str">
        <f t="shared" ca="1" si="18"/>
        <v/>
      </c>
      <c r="AN114" s="1">
        <f t="shared" ca="1" si="16"/>
        <v>24</v>
      </c>
      <c r="AO114" s="1">
        <f t="shared" si="17"/>
        <v>3</v>
      </c>
    </row>
    <row r="115" spans="26:41" x14ac:dyDescent="0.2">
      <c r="Z115" s="1259">
        <f t="shared" si="13"/>
        <v>111</v>
      </c>
      <c r="AA115" s="1251"/>
      <c r="AB115" s="1246"/>
      <c r="AC115" s="1246"/>
      <c r="AD115" s="1247"/>
      <c r="AE115" s="1267"/>
      <c r="AF115" s="1251"/>
      <c r="AG115" s="1246"/>
      <c r="AH115" s="1246"/>
      <c r="AI115" s="1247"/>
      <c r="AK115" s="1">
        <f t="shared" si="14"/>
        <v>6</v>
      </c>
      <c r="AL115" s="1">
        <f t="shared" si="15"/>
        <v>14</v>
      </c>
      <c r="AM115" s="1" t="str">
        <f t="shared" ca="1" si="18"/>
        <v/>
      </c>
      <c r="AN115" s="1">
        <f t="shared" ca="1" si="16"/>
        <v>24</v>
      </c>
      <c r="AO115" s="1">
        <f t="shared" si="17"/>
        <v>6</v>
      </c>
    </row>
    <row r="116" spans="26:41" x14ac:dyDescent="0.2">
      <c r="Z116" s="1259">
        <f t="shared" si="13"/>
        <v>112</v>
      </c>
      <c r="AA116" s="1251"/>
      <c r="AB116" s="1246"/>
      <c r="AC116" s="1246"/>
      <c r="AD116" s="1247"/>
      <c r="AE116" s="1267"/>
      <c r="AF116" s="1251"/>
      <c r="AG116" s="1246"/>
      <c r="AH116" s="1246"/>
      <c r="AI116" s="1247"/>
      <c r="AK116" s="1">
        <f t="shared" si="14"/>
        <v>6</v>
      </c>
      <c r="AL116" s="1">
        <f t="shared" si="15"/>
        <v>15</v>
      </c>
      <c r="AM116" s="1" t="str">
        <f t="shared" ca="1" si="18"/>
        <v/>
      </c>
      <c r="AN116" s="1">
        <f t="shared" ca="1" si="16"/>
        <v>24</v>
      </c>
      <c r="AO116" s="1">
        <f t="shared" si="17"/>
        <v>9</v>
      </c>
    </row>
    <row r="117" spans="26:41" x14ac:dyDescent="0.2">
      <c r="Z117" s="1259">
        <f t="shared" si="13"/>
        <v>113</v>
      </c>
      <c r="AA117" s="1251"/>
      <c r="AB117" s="1246"/>
      <c r="AC117" s="1246"/>
      <c r="AD117" s="1247"/>
      <c r="AE117" s="1267"/>
      <c r="AF117" s="1251"/>
      <c r="AG117" s="1246"/>
      <c r="AH117" s="1246"/>
      <c r="AI117" s="1247"/>
      <c r="AK117" s="1">
        <f t="shared" si="14"/>
        <v>7</v>
      </c>
      <c r="AL117" s="1">
        <f t="shared" si="15"/>
        <v>0</v>
      </c>
      <c r="AM117" s="1" t="str">
        <f t="shared" ca="1" si="18"/>
        <v/>
      </c>
      <c r="AN117" s="1">
        <f t="shared" ca="1" si="16"/>
        <v>7</v>
      </c>
      <c r="AO117" s="1">
        <f t="shared" si="17"/>
        <v>0</v>
      </c>
    </row>
    <row r="118" spans="26:41" x14ac:dyDescent="0.2">
      <c r="Z118" s="1259">
        <f t="shared" si="13"/>
        <v>114</v>
      </c>
      <c r="AA118" s="1251"/>
      <c r="AB118" s="1246"/>
      <c r="AC118" s="1246"/>
      <c r="AD118" s="1247"/>
      <c r="AE118" s="1267"/>
      <c r="AF118" s="1251"/>
      <c r="AG118" s="1246"/>
      <c r="AH118" s="1246"/>
      <c r="AI118" s="1247"/>
      <c r="AK118" s="1">
        <f t="shared" si="14"/>
        <v>7</v>
      </c>
      <c r="AL118" s="1">
        <f t="shared" si="15"/>
        <v>1</v>
      </c>
      <c r="AM118" s="1" t="str">
        <f t="shared" ca="1" si="18"/>
        <v/>
      </c>
      <c r="AN118" s="1">
        <f t="shared" ca="1" si="16"/>
        <v>7</v>
      </c>
      <c r="AO118" s="1">
        <f t="shared" si="17"/>
        <v>3</v>
      </c>
    </row>
    <row r="119" spans="26:41" x14ac:dyDescent="0.2">
      <c r="Z119" s="1259">
        <f t="shared" si="13"/>
        <v>115</v>
      </c>
      <c r="AA119" s="1251"/>
      <c r="AB119" s="1246"/>
      <c r="AC119" s="1246"/>
      <c r="AD119" s="1247"/>
      <c r="AE119" s="1267"/>
      <c r="AF119" s="1251"/>
      <c r="AG119" s="1246"/>
      <c r="AH119" s="1246"/>
      <c r="AI119" s="1247"/>
      <c r="AK119" s="1">
        <f t="shared" si="14"/>
        <v>7</v>
      </c>
      <c r="AL119" s="1">
        <f t="shared" si="15"/>
        <v>2</v>
      </c>
      <c r="AM119" s="1" t="str">
        <f t="shared" ca="1" si="18"/>
        <v/>
      </c>
      <c r="AN119" s="1">
        <f t="shared" ca="1" si="16"/>
        <v>7</v>
      </c>
      <c r="AO119" s="1">
        <f t="shared" si="17"/>
        <v>6</v>
      </c>
    </row>
    <row r="120" spans="26:41" x14ac:dyDescent="0.2">
      <c r="Z120" s="1259">
        <f t="shared" si="13"/>
        <v>116</v>
      </c>
      <c r="AA120" s="1251"/>
      <c r="AB120" s="1246"/>
      <c r="AC120" s="1246"/>
      <c r="AD120" s="1247"/>
      <c r="AE120" s="1267"/>
      <c r="AF120" s="1251"/>
      <c r="AG120" s="1246"/>
      <c r="AH120" s="1246"/>
      <c r="AI120" s="1247"/>
      <c r="AK120" s="1">
        <f t="shared" si="14"/>
        <v>7</v>
      </c>
      <c r="AL120" s="1">
        <f t="shared" si="15"/>
        <v>3</v>
      </c>
      <c r="AM120" s="1" t="str">
        <f t="shared" ca="1" si="18"/>
        <v/>
      </c>
      <c r="AN120" s="1">
        <f t="shared" ca="1" si="16"/>
        <v>7</v>
      </c>
      <c r="AO120" s="1">
        <f t="shared" si="17"/>
        <v>9</v>
      </c>
    </row>
    <row r="121" spans="26:41" x14ac:dyDescent="0.2">
      <c r="Z121" s="1259">
        <f t="shared" si="13"/>
        <v>117</v>
      </c>
      <c r="AA121" s="1251"/>
      <c r="AB121" s="1246"/>
      <c r="AC121" s="1246"/>
      <c r="AD121" s="1247"/>
      <c r="AE121" s="1267"/>
      <c r="AF121" s="1251"/>
      <c r="AG121" s="1246"/>
      <c r="AH121" s="1246"/>
      <c r="AI121" s="1247"/>
      <c r="AK121" s="1">
        <f t="shared" si="14"/>
        <v>7</v>
      </c>
      <c r="AL121" s="1">
        <f t="shared" si="15"/>
        <v>4</v>
      </c>
      <c r="AM121" s="1" t="str">
        <f t="shared" ca="1" si="18"/>
        <v/>
      </c>
      <c r="AN121" s="1">
        <f t="shared" ca="1" si="16"/>
        <v>13</v>
      </c>
      <c r="AO121" s="1">
        <f t="shared" si="17"/>
        <v>0</v>
      </c>
    </row>
    <row r="122" spans="26:41" x14ac:dyDescent="0.2">
      <c r="Z122" s="1259">
        <f t="shared" si="13"/>
        <v>118</v>
      </c>
      <c r="AA122" s="1251"/>
      <c r="AB122" s="1246"/>
      <c r="AC122" s="1246"/>
      <c r="AD122" s="1247"/>
      <c r="AE122" s="1267"/>
      <c r="AF122" s="1251"/>
      <c r="AG122" s="1246"/>
      <c r="AH122" s="1246"/>
      <c r="AI122" s="1247"/>
      <c r="AK122" s="1">
        <f t="shared" si="14"/>
        <v>7</v>
      </c>
      <c r="AL122" s="1">
        <f t="shared" si="15"/>
        <v>5</v>
      </c>
      <c r="AM122" s="1" t="str">
        <f t="shared" ca="1" si="18"/>
        <v/>
      </c>
      <c r="AN122" s="1">
        <f t="shared" ca="1" si="16"/>
        <v>13</v>
      </c>
      <c r="AO122" s="1">
        <f t="shared" si="17"/>
        <v>3</v>
      </c>
    </row>
    <row r="123" spans="26:41" x14ac:dyDescent="0.2">
      <c r="Z123" s="1259">
        <f t="shared" si="13"/>
        <v>119</v>
      </c>
      <c r="AA123" s="1251"/>
      <c r="AB123" s="1246"/>
      <c r="AC123" s="1246"/>
      <c r="AD123" s="1247"/>
      <c r="AE123" s="1267"/>
      <c r="AF123" s="1251"/>
      <c r="AG123" s="1246"/>
      <c r="AH123" s="1246"/>
      <c r="AI123" s="1247"/>
      <c r="AK123" s="1">
        <f t="shared" si="14"/>
        <v>7</v>
      </c>
      <c r="AL123" s="1">
        <f t="shared" si="15"/>
        <v>6</v>
      </c>
      <c r="AM123" s="1" t="str">
        <f t="shared" ca="1" si="18"/>
        <v/>
      </c>
      <c r="AN123" s="1">
        <f t="shared" ca="1" si="16"/>
        <v>13</v>
      </c>
      <c r="AO123" s="1">
        <f t="shared" si="17"/>
        <v>6</v>
      </c>
    </row>
    <row r="124" spans="26:41" x14ac:dyDescent="0.2">
      <c r="Z124" s="1259">
        <f t="shared" si="13"/>
        <v>120</v>
      </c>
      <c r="AA124" s="1251"/>
      <c r="AB124" s="1246"/>
      <c r="AC124" s="1246"/>
      <c r="AD124" s="1247"/>
      <c r="AE124" s="1267"/>
      <c r="AF124" s="1251"/>
      <c r="AG124" s="1246"/>
      <c r="AH124" s="1246"/>
      <c r="AI124" s="1247"/>
      <c r="AK124" s="1">
        <f t="shared" si="14"/>
        <v>7</v>
      </c>
      <c r="AL124" s="1">
        <f t="shared" si="15"/>
        <v>7</v>
      </c>
      <c r="AM124" s="1" t="str">
        <f t="shared" ca="1" si="18"/>
        <v/>
      </c>
      <c r="AN124" s="1">
        <f t="shared" ca="1" si="16"/>
        <v>13</v>
      </c>
      <c r="AO124" s="1">
        <f t="shared" si="17"/>
        <v>9</v>
      </c>
    </row>
    <row r="125" spans="26:41" x14ac:dyDescent="0.2">
      <c r="Z125" s="1259">
        <f t="shared" si="13"/>
        <v>121</v>
      </c>
      <c r="AA125" s="1251"/>
      <c r="AB125" s="1246"/>
      <c r="AC125" s="1246"/>
      <c r="AD125" s="1247"/>
      <c r="AE125" s="1267"/>
      <c r="AF125" s="1251"/>
      <c r="AG125" s="1246"/>
      <c r="AH125" s="1246"/>
      <c r="AI125" s="1247"/>
      <c r="AK125" s="1">
        <f t="shared" si="14"/>
        <v>7</v>
      </c>
      <c r="AL125" s="1">
        <f t="shared" si="15"/>
        <v>8</v>
      </c>
      <c r="AM125" s="1" t="str">
        <f t="shared" ca="1" si="18"/>
        <v/>
      </c>
      <c r="AN125" s="1">
        <f t="shared" ca="1" si="16"/>
        <v>19</v>
      </c>
      <c r="AO125" s="1">
        <f t="shared" si="17"/>
        <v>0</v>
      </c>
    </row>
    <row r="126" spans="26:41" x14ac:dyDescent="0.2">
      <c r="Z126" s="1259">
        <f t="shared" si="13"/>
        <v>122</v>
      </c>
      <c r="AA126" s="1251"/>
      <c r="AB126" s="1246"/>
      <c r="AC126" s="1246"/>
      <c r="AD126" s="1247"/>
      <c r="AE126" s="1267"/>
      <c r="AF126" s="1251"/>
      <c r="AG126" s="1246"/>
      <c r="AH126" s="1246"/>
      <c r="AI126" s="1247"/>
      <c r="AK126" s="1">
        <f t="shared" si="14"/>
        <v>7</v>
      </c>
      <c r="AL126" s="1">
        <f t="shared" si="15"/>
        <v>9</v>
      </c>
      <c r="AM126" s="1" t="str">
        <f t="shared" ca="1" si="18"/>
        <v/>
      </c>
      <c r="AN126" s="1">
        <f t="shared" ca="1" si="16"/>
        <v>19</v>
      </c>
      <c r="AO126" s="1">
        <f t="shared" si="17"/>
        <v>3</v>
      </c>
    </row>
    <row r="127" spans="26:41" x14ac:dyDescent="0.2">
      <c r="Z127" s="1259">
        <f t="shared" si="13"/>
        <v>123</v>
      </c>
      <c r="AA127" s="1251"/>
      <c r="AB127" s="1246"/>
      <c r="AC127" s="1246"/>
      <c r="AD127" s="1247"/>
      <c r="AE127" s="1267"/>
      <c r="AF127" s="1251"/>
      <c r="AG127" s="1246"/>
      <c r="AH127" s="1246"/>
      <c r="AI127" s="1247"/>
      <c r="AK127" s="1">
        <f t="shared" si="14"/>
        <v>7</v>
      </c>
      <c r="AL127" s="1">
        <f t="shared" si="15"/>
        <v>10</v>
      </c>
      <c r="AM127" s="1" t="str">
        <f t="shared" ca="1" si="18"/>
        <v/>
      </c>
      <c r="AN127" s="1">
        <f t="shared" ca="1" si="16"/>
        <v>19</v>
      </c>
      <c r="AO127" s="1">
        <f t="shared" si="17"/>
        <v>6</v>
      </c>
    </row>
    <row r="128" spans="26:41" x14ac:dyDescent="0.2">
      <c r="Z128" s="1259">
        <f t="shared" si="13"/>
        <v>124</v>
      </c>
      <c r="AA128" s="1251"/>
      <c r="AB128" s="1246"/>
      <c r="AC128" s="1246"/>
      <c r="AD128" s="1247"/>
      <c r="AE128" s="1267"/>
      <c r="AF128" s="1251"/>
      <c r="AG128" s="1246"/>
      <c r="AH128" s="1246"/>
      <c r="AI128" s="1247"/>
      <c r="AK128" s="1">
        <f t="shared" si="14"/>
        <v>7</v>
      </c>
      <c r="AL128" s="1">
        <f t="shared" si="15"/>
        <v>11</v>
      </c>
      <c r="AM128" s="1" t="str">
        <f t="shared" ca="1" si="18"/>
        <v/>
      </c>
      <c r="AN128" s="1">
        <f t="shared" ca="1" si="16"/>
        <v>19</v>
      </c>
      <c r="AO128" s="1">
        <f t="shared" si="17"/>
        <v>9</v>
      </c>
    </row>
    <row r="129" spans="26:41" x14ac:dyDescent="0.2">
      <c r="Z129" s="1259">
        <f t="shared" si="13"/>
        <v>125</v>
      </c>
      <c r="AA129" s="1251"/>
      <c r="AB129" s="1246"/>
      <c r="AC129" s="1246"/>
      <c r="AD129" s="1247"/>
      <c r="AE129" s="1267"/>
      <c r="AF129" s="1251"/>
      <c r="AG129" s="1246"/>
      <c r="AH129" s="1246"/>
      <c r="AI129" s="1247"/>
      <c r="AK129" s="1">
        <f t="shared" si="14"/>
        <v>7</v>
      </c>
      <c r="AL129" s="1">
        <f t="shared" si="15"/>
        <v>12</v>
      </c>
      <c r="AM129" s="1" t="str">
        <f t="shared" ca="1" si="18"/>
        <v/>
      </c>
      <c r="AN129" s="1">
        <f t="shared" ca="1" si="16"/>
        <v>25</v>
      </c>
      <c r="AO129" s="1">
        <f t="shared" si="17"/>
        <v>0</v>
      </c>
    </row>
    <row r="130" spans="26:41" x14ac:dyDescent="0.2">
      <c r="Z130" s="1259">
        <f t="shared" si="13"/>
        <v>126</v>
      </c>
      <c r="AA130" s="1251"/>
      <c r="AB130" s="1246"/>
      <c r="AC130" s="1246"/>
      <c r="AD130" s="1247"/>
      <c r="AE130" s="1267"/>
      <c r="AF130" s="1251"/>
      <c r="AG130" s="1246"/>
      <c r="AH130" s="1246"/>
      <c r="AI130" s="1247"/>
      <c r="AK130" s="1">
        <f t="shared" si="14"/>
        <v>7</v>
      </c>
      <c r="AL130" s="1">
        <f t="shared" si="15"/>
        <v>13</v>
      </c>
      <c r="AM130" s="1" t="str">
        <f t="shared" ca="1" si="18"/>
        <v/>
      </c>
      <c r="AN130" s="1">
        <f t="shared" ca="1" si="16"/>
        <v>25</v>
      </c>
      <c r="AO130" s="1">
        <f t="shared" si="17"/>
        <v>3</v>
      </c>
    </row>
    <row r="131" spans="26:41" x14ac:dyDescent="0.2">
      <c r="Z131" s="1259">
        <f t="shared" si="13"/>
        <v>127</v>
      </c>
      <c r="AA131" s="1251"/>
      <c r="AB131" s="1246"/>
      <c r="AC131" s="1246"/>
      <c r="AD131" s="1247"/>
      <c r="AE131" s="1267"/>
      <c r="AF131" s="1251"/>
      <c r="AG131" s="1246"/>
      <c r="AH131" s="1246"/>
      <c r="AI131" s="1247"/>
      <c r="AK131" s="1">
        <f t="shared" si="14"/>
        <v>7</v>
      </c>
      <c r="AL131" s="1">
        <f t="shared" si="15"/>
        <v>14</v>
      </c>
      <c r="AM131" s="1" t="str">
        <f t="shared" ca="1" si="18"/>
        <v/>
      </c>
      <c r="AN131" s="1">
        <f t="shared" ca="1" si="16"/>
        <v>25</v>
      </c>
      <c r="AO131" s="1">
        <f t="shared" si="17"/>
        <v>6</v>
      </c>
    </row>
    <row r="132" spans="26:41" ht="13.5" thickBot="1" x14ac:dyDescent="0.25">
      <c r="Z132" s="1469">
        <f>ROW(Z132)-ROW(Z$4)</f>
        <v>128</v>
      </c>
      <c r="AA132" s="1252"/>
      <c r="AB132" s="1248"/>
      <c r="AC132" s="1248"/>
      <c r="AD132" s="1249"/>
      <c r="AE132" s="1267"/>
      <c r="AF132" s="1252"/>
      <c r="AG132" s="1248"/>
      <c r="AH132" s="1248"/>
      <c r="AI132" s="1249"/>
      <c r="AK132" s="1">
        <f t="shared" si="14"/>
        <v>7</v>
      </c>
      <c r="AL132" s="1">
        <f t="shared" si="15"/>
        <v>15</v>
      </c>
      <c r="AM132" s="1" t="str">
        <f t="shared" ca="1" si="18"/>
        <v/>
      </c>
      <c r="AN132" s="1">
        <f t="shared" ca="1" si="16"/>
        <v>25</v>
      </c>
      <c r="AO132" s="1">
        <f t="shared" si="17"/>
        <v>9</v>
      </c>
    </row>
    <row r="133" spans="26:41" x14ac:dyDescent="0.2">
      <c r="Z133" s="1470"/>
      <c r="AA133" s="1256"/>
      <c r="AB133" s="1257"/>
      <c r="AC133" s="1257"/>
      <c r="AD133" s="1257"/>
      <c r="AF133" s="1256"/>
      <c r="AG133" s="1257"/>
      <c r="AH133" s="1257"/>
      <c r="AI133" s="1257"/>
    </row>
  </sheetData>
  <sheetProtection formatColumns="0" formatRows="0"/>
  <dataConsolidate/>
  <customSheetViews>
    <customSheetView guid="{13F24B0A-7740-483A-BEF7-5257F8522605}" showGridLines="0" fitToPage="1" hiddenColumns="1" state="hidden">
      <selection activeCell="AC1" sqref="AC1"/>
      <pageMargins left="0.87" right="0.84" top="0.71" bottom="0.74803149606299213" header="0.31496062992125984" footer="0.31496062992125984"/>
      <pageSetup paperSize="9" orientation="landscape" verticalDpi="360" r:id="rId1"/>
    </customSheetView>
  </customSheetViews>
  <conditionalFormatting sqref="B5:C8 E5:F8 H5:I8 K5:L8 K11:L14 H11:I14 E11:F14 B11:C14 B17:C20 E17:F20 H17:I20 K17:L20 B23:C26 E23:F26 H23:I26 K23:L26">
    <cfRule type="cellIs" dxfId="54" priority="72" operator="equal">
      <formula>N_ToBeDrawn</formula>
    </cfRule>
  </conditionalFormatting>
  <conditionalFormatting sqref="C5:C8">
    <cfRule type="duplicateValues" dxfId="53" priority="70"/>
  </conditionalFormatting>
  <conditionalFormatting sqref="F5:F8">
    <cfRule type="duplicateValues" dxfId="52" priority="69"/>
  </conditionalFormatting>
  <conditionalFormatting sqref="I5:I8">
    <cfRule type="duplicateValues" dxfId="51" priority="68"/>
  </conditionalFormatting>
  <conditionalFormatting sqref="L5:L8">
    <cfRule type="duplicateValues" dxfId="50" priority="67"/>
  </conditionalFormatting>
  <conditionalFormatting sqref="C11:C14">
    <cfRule type="duplicateValues" dxfId="49" priority="66"/>
  </conditionalFormatting>
  <conditionalFormatting sqref="F11:F14">
    <cfRule type="duplicateValues" dxfId="48" priority="65"/>
  </conditionalFormatting>
  <conditionalFormatting sqref="I11:I14">
    <cfRule type="duplicateValues" dxfId="47" priority="64"/>
  </conditionalFormatting>
  <conditionalFormatting sqref="L11:L14">
    <cfRule type="duplicateValues" dxfId="46" priority="63"/>
  </conditionalFormatting>
  <conditionalFormatting sqref="C17:C20">
    <cfRule type="duplicateValues" dxfId="45" priority="62"/>
  </conditionalFormatting>
  <conditionalFormatting sqref="F17:F20">
    <cfRule type="duplicateValues" dxfId="44" priority="61"/>
  </conditionalFormatting>
  <conditionalFormatting sqref="I17:I20">
    <cfRule type="duplicateValues" dxfId="43" priority="60"/>
  </conditionalFormatting>
  <conditionalFormatting sqref="L17:L20">
    <cfRule type="duplicateValues" dxfId="42" priority="59"/>
  </conditionalFormatting>
  <conditionalFormatting sqref="C23:C26">
    <cfRule type="duplicateValues" dxfId="41" priority="58"/>
  </conditionalFormatting>
  <conditionalFormatting sqref="F23:F26">
    <cfRule type="duplicateValues" dxfId="40" priority="57"/>
  </conditionalFormatting>
  <conditionalFormatting sqref="I23:I26">
    <cfRule type="duplicateValues" dxfId="39" priority="56"/>
  </conditionalFormatting>
  <conditionalFormatting sqref="L23:L26">
    <cfRule type="duplicateValues" dxfId="38" priority="55"/>
  </conditionalFormatting>
  <conditionalFormatting sqref="C5:C8 F5:F8 I5:I8 L5:L8 L11:L14 I11:I14 F11:F14 C11:C14 C17:C20 F17:F20 I17:I20 L17:L20 C23:C26 F23:F26 I23:I26 L23:L26">
    <cfRule type="cellIs" dxfId="37" priority="54" operator="between">
      <formula>1</formula>
      <formula>30</formula>
    </cfRule>
  </conditionalFormatting>
  <conditionalFormatting sqref="O3:O65536 R3:R65536 X3:X65536 U3:U30 U32:U65536">
    <cfRule type="duplicateValues" dxfId="36" priority="89"/>
  </conditionalFormatting>
  <conditionalFormatting sqref="S29:S31 P29:P31 M34 M29:M31 P34 S34">
    <cfRule type="duplicateValues" dxfId="35" priority="21"/>
  </conditionalFormatting>
  <conditionalFormatting sqref="S33 P33 M33">
    <cfRule type="duplicateValues" dxfId="34" priority="20"/>
  </conditionalFormatting>
  <conditionalFormatting sqref="S32 P32 M32">
    <cfRule type="duplicateValues" dxfId="33" priority="19"/>
  </conditionalFormatting>
  <conditionalFormatting sqref="M40:M42">
    <cfRule type="duplicateValues" dxfId="32" priority="18"/>
  </conditionalFormatting>
  <conditionalFormatting sqref="M43">
    <cfRule type="duplicateValues" dxfId="31" priority="17"/>
  </conditionalFormatting>
  <conditionalFormatting sqref="M44">
    <cfRule type="duplicateValues" dxfId="30" priority="16"/>
  </conditionalFormatting>
  <conditionalFormatting sqref="F5:F8">
    <cfRule type="duplicateValues" dxfId="29" priority="15"/>
  </conditionalFormatting>
  <conditionalFormatting sqref="I5:I8">
    <cfRule type="duplicateValues" dxfId="28" priority="14"/>
  </conditionalFormatting>
  <conditionalFormatting sqref="L5:L8">
    <cfRule type="duplicateValues" dxfId="27" priority="13"/>
  </conditionalFormatting>
  <conditionalFormatting sqref="L11:L14">
    <cfRule type="duplicateValues" dxfId="26" priority="12"/>
  </conditionalFormatting>
  <conditionalFormatting sqref="I11:I14">
    <cfRule type="duplicateValues" dxfId="25" priority="11"/>
  </conditionalFormatting>
  <conditionalFormatting sqref="F11:F14">
    <cfRule type="duplicateValues" dxfId="24" priority="10"/>
  </conditionalFormatting>
  <conditionalFormatting sqref="C11:C14">
    <cfRule type="duplicateValues" dxfId="23" priority="9"/>
  </conditionalFormatting>
  <conditionalFormatting sqref="C17:C20">
    <cfRule type="duplicateValues" dxfId="22" priority="8"/>
  </conditionalFormatting>
  <conditionalFormatting sqref="F17:F20">
    <cfRule type="duplicateValues" dxfId="21" priority="7"/>
  </conditionalFormatting>
  <conditionalFormatting sqref="I17:I20">
    <cfRule type="duplicateValues" dxfId="20" priority="6"/>
  </conditionalFormatting>
  <conditionalFormatting sqref="L17:L20">
    <cfRule type="duplicateValues" dxfId="19" priority="5"/>
  </conditionalFormatting>
  <conditionalFormatting sqref="C23:C26">
    <cfRule type="duplicateValues" dxfId="18" priority="4"/>
  </conditionalFormatting>
  <conditionalFormatting sqref="F23:F26">
    <cfRule type="duplicateValues" dxfId="17" priority="3"/>
  </conditionalFormatting>
  <conditionalFormatting sqref="I23:I26">
    <cfRule type="duplicateValues" dxfId="16" priority="2"/>
  </conditionalFormatting>
  <conditionalFormatting sqref="L23:L26">
    <cfRule type="duplicateValues" dxfId="15" priority="1"/>
  </conditionalFormatting>
  <dataValidations count="2">
    <dataValidation type="whole" operator="lessThanOrEqual" allowBlank="1" showInputMessage="1" showErrorMessage="1" errorTitle="Please type again" error="Not a valid number!" sqref="P11:P14 P17:P20 S17:S20 V11:V14 V5:V8 P23:P26 S23:S26 V17:V20 S11:S14 V23:V26 P5:P8 S5:S8" xr:uid="{00000000-0002-0000-1B00-000000000000}">
      <formula1>64</formula1>
    </dataValidation>
    <dataValidation type="whole" operator="lessThanOrEqual" allowBlank="1" showInputMessage="1" showErrorMessage="1" errorTitle="Please type again" error="Not a valid number!" sqref="O5:O8 X23:X26 U23:U26 R23:R26 O23:O26 X17:X20 U17:U20 R17:R20 O17:O20 X11:X14 U11:U14 R11:R14 O11:O14 X5:X8 U5:U8 R5:R8" xr:uid="{00000000-0002-0000-1B00-000001000000}">
      <formula1>128</formula1>
    </dataValidation>
  </dataValidations>
  <hyperlinks>
    <hyperlink ref="B35" location="DrawModel!1:2" display="Rows 1 &amp; 2" xr:uid="{00000000-0004-0000-1B00-000000000000}"/>
    <hyperlink ref="B37" location="DrawModel!DrawGroupHeader" display="DrawGroupHeader" xr:uid="{00000000-0004-0000-1B00-000001000000}"/>
    <hyperlink ref="B38" location="DrawModel!DrawGroupFirstLine" display="DrawGroupFirstLine" xr:uid="{00000000-0004-0000-1B00-000002000000}"/>
    <hyperlink ref="B40" location="DrawModel!DrawGroupOddLine" display="DrawGroupOddLine" xr:uid="{00000000-0004-0000-1B00-000003000000}"/>
    <hyperlink ref="B39" location="DrawModel!DrawGroupEvenLine" display="DrawGroupEvenLine" xr:uid="{00000000-0004-0000-1B00-000004000000}"/>
    <hyperlink ref="B41" location="DrawModel!DrawGroupLastLine" display="DrawGroupLastLine" xr:uid="{00000000-0004-0000-1B00-000005000000}"/>
    <hyperlink ref="B32" location="DrawModel!DrawTournamentTitle" display="DrawTournamentTitle" xr:uid="{00000000-0004-0000-1B00-000006000000}"/>
    <hyperlink ref="B47" location="DrawModel!DrawGroupHeaderDraw" display="DrawGroupHeaderDraw" xr:uid="{00000000-0004-0000-1B00-000007000000}"/>
    <hyperlink ref="B48" location="DrawModel!DrawGroupFirstLineDraw" display="DrawGroupFirstLineDraw" xr:uid="{00000000-0004-0000-1B00-000008000000}"/>
    <hyperlink ref="B50" location="DrawModel!DrawGroupOddLineDraw" display="DrawGroupOddLineDraw" xr:uid="{00000000-0004-0000-1B00-000009000000}"/>
    <hyperlink ref="B49" location="DrawModel!DrawGroupevenLineDraw" display="DrawGroupEvenLineDraw" xr:uid="{00000000-0004-0000-1B00-00000A000000}"/>
    <hyperlink ref="B51" location="DrawModel!DrawGroupLastLineDraw" display="DrawGroupLastLineDraw" xr:uid="{00000000-0004-0000-1B00-00000B000000}"/>
    <hyperlink ref="B42" location="DrawModel!DrawGroupColumn1" display="DrawGroupColumn1" xr:uid="{00000000-0004-0000-1B00-00000C000000}"/>
    <hyperlink ref="B43" location="DrawModel!DrawGroupColumn2" display="DrawGroupColumn2" xr:uid="{00000000-0004-0000-1B00-00000D000000}"/>
    <hyperlink ref="B44" location="DrawModel!DrawGroupColumn3" display="DrawGroupColumn3" xr:uid="{00000000-0004-0000-1B00-00000E000000}"/>
    <hyperlink ref="B45" location="DrawModel!DrawGroupColumn4" display="DrawGroupColumn4" xr:uid="{00000000-0004-0000-1B00-00000F000000}"/>
    <hyperlink ref="B52" location="DrawModel!DrawGroupDrawColumn1" display="DrawGroupDrawColumn1" xr:uid="{00000000-0004-0000-1B00-000010000000}"/>
    <hyperlink ref="B53" location="DrawModel!DrawGroupDrawColumn2" display="DrawGroupDrawColumn2" xr:uid="{00000000-0004-0000-1B00-000011000000}"/>
    <hyperlink ref="B54" location="DrawModel!DrawGroupDrawColumn3" display="DrawGroupDrawColumn3" xr:uid="{00000000-0004-0000-1B00-000012000000}"/>
    <hyperlink ref="B55" location="DrawModel!DrawGroupDrawColumn4" display="DrawGroupDrawColumn4" xr:uid="{00000000-0004-0000-1B00-000013000000}"/>
    <hyperlink ref="B58" location="DrawModel!DrawGroupHeaderDraw" display="DrawGroupHeaderDraw" xr:uid="{00000000-0004-0000-1B00-000014000000}"/>
    <hyperlink ref="B59" location="DrawModel!DrawGroupFirstLineDraw" display="DrawGroupFirstLineDraw" xr:uid="{00000000-0004-0000-1B00-000015000000}"/>
    <hyperlink ref="B61" location="DrawModel!DrawGroupOddLineDraw" display="DrawGroupOddLineDraw" xr:uid="{00000000-0004-0000-1B00-000016000000}"/>
    <hyperlink ref="B60" location="DrawModel!DrawGroupevenLineDraw" display="DrawGroupEvenLineDraw" xr:uid="{00000000-0004-0000-1B00-000017000000}"/>
    <hyperlink ref="B62" location="DrawModel!DrawGroupLastLineDraw" display="DrawGroupLastLineDraw" xr:uid="{00000000-0004-0000-1B00-000018000000}"/>
    <hyperlink ref="B33" location="DrawModel!DrawEventName" display="DrawEventName" xr:uid="{00000000-0004-0000-1B00-000019000000}"/>
    <hyperlink ref="B65" location="DrawModel!DrawParticipantsLists" display="DrawParticipantsLists" xr:uid="{00000000-0004-0000-1B00-00001A000000}"/>
    <hyperlink ref="B66" location="DrawModel!DrawParticipantsRankingList" display="DrawParticipantsList" xr:uid="{00000000-0004-0000-1B00-00001B000000}"/>
    <hyperlink ref="B67" location="DrawModel!DrawParticipantsListByName" display="DrawParticipantsListByName" xr:uid="{00000000-0004-0000-1B00-00001C000000}"/>
  </hyperlinks>
  <pageMargins left="0.87" right="0.84" top="0.71" bottom="0.74803149606299213" header="0.31496062992125984" footer="0.31496062992125984"/>
  <pageSetup paperSize="9" orientation="landscape" verticalDpi="360" r:id="rId2"/>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t_ExportResults">
    <tabColor theme="0" tint="-0.249977111117893"/>
    <outlinePr summaryBelow="0"/>
    <pageSetUpPr fitToPage="1"/>
  </sheetPr>
  <dimension ref="A1:U101"/>
  <sheetViews>
    <sheetView showGridLines="0" zoomScale="130" zoomScaleNormal="130" workbookViewId="0">
      <selection activeCell="I23" sqref="I23"/>
    </sheetView>
  </sheetViews>
  <sheetFormatPr baseColWidth="10" defaultColWidth="5" defaultRowHeight="12.75" outlineLevelCol="1" x14ac:dyDescent="0.2"/>
  <cols>
    <col min="1" max="1" width="21.28515625" style="270" bestFit="1" customWidth="1"/>
    <col min="2" max="2" width="27.85546875" style="645" bestFit="1" customWidth="1"/>
    <col min="3" max="3" width="3.28515625" style="270" customWidth="1"/>
    <col min="4" max="4" width="1.7109375" style="270" customWidth="1"/>
    <col min="5" max="5" width="3.28515625" style="270" customWidth="1"/>
    <col min="6" max="6" width="22.42578125" style="270" customWidth="1"/>
    <col min="7" max="7" width="20.28515625" style="837" bestFit="1" customWidth="1"/>
    <col min="8" max="8" width="5.85546875" style="270" customWidth="1"/>
    <col min="9" max="9" width="21.85546875" style="270" bestFit="1" customWidth="1"/>
    <col min="10" max="14" width="4.5703125" style="270" customWidth="1"/>
    <col min="15" max="15" width="5.7109375" style="270" bestFit="1" customWidth="1"/>
    <col min="16" max="17" width="4.5703125" style="270" customWidth="1"/>
    <col min="18" max="18" width="5.85546875" style="270" bestFit="1" customWidth="1" outlineLevel="1"/>
    <col min="19" max="21" width="5" style="270" customWidth="1" outlineLevel="1"/>
    <col min="22" max="16384" width="5" style="270"/>
  </cols>
  <sheetData>
    <row r="1" spans="1:21" ht="38.25" thickBot="1" x14ac:dyDescent="0.25">
      <c r="A1" s="834" t="s">
        <v>3720</v>
      </c>
      <c r="B1" s="835" t="s">
        <v>7767</v>
      </c>
      <c r="C1" s="836"/>
      <c r="D1" s="835"/>
      <c r="E1" s="835"/>
      <c r="F1" s="835"/>
      <c r="G1" s="835"/>
      <c r="H1" s="835"/>
      <c r="I1" s="835"/>
      <c r="J1" s="835"/>
      <c r="K1" s="835"/>
      <c r="L1" s="835"/>
      <c r="M1" s="835"/>
      <c r="N1" s="835"/>
      <c r="O1" s="835"/>
      <c r="P1" s="835"/>
      <c r="Q1" s="835"/>
      <c r="R1" s="835"/>
      <c r="S1" s="835"/>
      <c r="T1" s="835"/>
      <c r="U1" s="835"/>
    </row>
    <row r="3" spans="1:21" s="838" customFormat="1" ht="15" x14ac:dyDescent="0.2">
      <c r="A3" s="2181" t="str">
        <f>N_Session</f>
        <v xml:space="preserve">Session N° </v>
      </c>
      <c r="B3" s="2182">
        <v>1</v>
      </c>
      <c r="C3" s="2183"/>
      <c r="D3" s="2183"/>
      <c r="E3" s="2183"/>
      <c r="F3" s="2184">
        <v>0.40625</v>
      </c>
      <c r="G3" s="2185"/>
    </row>
    <row r="4" spans="1:21" x14ac:dyDescent="0.2">
      <c r="A4" s="575" t="s">
        <v>3719</v>
      </c>
      <c r="B4" s="632" t="s">
        <v>3738</v>
      </c>
      <c r="C4" s="632">
        <v>1</v>
      </c>
      <c r="D4" s="12" t="s">
        <v>769</v>
      </c>
      <c r="E4" s="839">
        <v>2</v>
      </c>
      <c r="F4" s="839" t="s">
        <v>3738</v>
      </c>
      <c r="G4" s="935"/>
      <c r="I4" s="879" t="str">
        <f>N_Joueurs</f>
        <v>Joueurs</v>
      </c>
      <c r="J4" s="850" t="str">
        <f>N_Pts</f>
        <v>Pts</v>
      </c>
      <c r="K4" s="850" t="str">
        <f>N_J</f>
        <v>J</v>
      </c>
      <c r="L4" s="850" t="str">
        <f>N_G</f>
        <v>G</v>
      </c>
      <c r="M4" s="850" t="str">
        <f>N_N</f>
        <v>N</v>
      </c>
      <c r="N4" s="850" t="str">
        <f>N_P</f>
        <v>P</v>
      </c>
      <c r="O4" s="850" t="str">
        <f>N_BP</f>
        <v>BP</v>
      </c>
      <c r="P4" s="850" t="str">
        <f>N_BC</f>
        <v>BC</v>
      </c>
      <c r="Q4" s="851" t="str">
        <f>N_Diff.</f>
        <v>Diff.</v>
      </c>
    </row>
    <row r="5" spans="1:21" x14ac:dyDescent="0.2">
      <c r="A5" s="936" t="s">
        <v>3721</v>
      </c>
      <c r="B5" s="937" t="s">
        <v>3738</v>
      </c>
      <c r="C5" s="937">
        <v>1</v>
      </c>
      <c r="D5" s="938" t="s">
        <v>769</v>
      </c>
      <c r="E5" s="939">
        <v>2</v>
      </c>
      <c r="F5" s="939" t="s">
        <v>3738</v>
      </c>
      <c r="G5" s="940" t="s">
        <v>3723</v>
      </c>
      <c r="I5" s="880" t="s">
        <v>2867</v>
      </c>
      <c r="J5" s="270">
        <v>9</v>
      </c>
      <c r="Q5" s="841"/>
    </row>
    <row r="6" spans="1:21" x14ac:dyDescent="0.2">
      <c r="A6" s="270" t="s">
        <v>3722</v>
      </c>
      <c r="B6" s="632" t="s">
        <v>3738</v>
      </c>
      <c r="C6" s="632">
        <v>2</v>
      </c>
      <c r="D6" s="12" t="s">
        <v>769</v>
      </c>
      <c r="E6" s="839">
        <v>2</v>
      </c>
      <c r="F6" s="839" t="s">
        <v>3738</v>
      </c>
      <c r="G6" s="845" t="s">
        <v>3796</v>
      </c>
      <c r="I6" s="881" t="s">
        <v>2869</v>
      </c>
      <c r="J6" s="875">
        <v>6</v>
      </c>
      <c r="K6" s="875"/>
      <c r="L6" s="875"/>
      <c r="M6" s="875"/>
      <c r="N6" s="875"/>
      <c r="O6" s="875"/>
      <c r="P6" s="875"/>
      <c r="Q6" s="876"/>
    </row>
    <row r="7" spans="1:21" x14ac:dyDescent="0.2">
      <c r="B7" s="632"/>
      <c r="C7" s="632"/>
      <c r="D7" s="12"/>
      <c r="E7" s="839"/>
      <c r="F7" s="839"/>
      <c r="G7" s="845"/>
      <c r="I7" s="880" t="s">
        <v>2868</v>
      </c>
      <c r="J7" s="270">
        <v>3</v>
      </c>
      <c r="Q7" s="841"/>
    </row>
    <row r="8" spans="1:21" x14ac:dyDescent="0.2">
      <c r="I8" s="882" t="s">
        <v>2870</v>
      </c>
      <c r="J8" s="877">
        <v>0</v>
      </c>
      <c r="K8" s="877"/>
      <c r="L8" s="877"/>
      <c r="M8" s="877"/>
      <c r="N8" s="877"/>
      <c r="O8" s="877"/>
      <c r="P8" s="877"/>
      <c r="Q8" s="878"/>
    </row>
    <row r="9" spans="1:21" x14ac:dyDescent="0.2">
      <c r="A9" s="2171" t="s">
        <v>3719</v>
      </c>
      <c r="B9" s="2172" t="s">
        <v>3740</v>
      </c>
      <c r="C9" s="2172">
        <v>2</v>
      </c>
      <c r="D9" s="2173" t="s">
        <v>769</v>
      </c>
      <c r="E9" s="2174">
        <v>2</v>
      </c>
      <c r="F9" s="2174" t="s">
        <v>3741</v>
      </c>
      <c r="G9" s="2175" t="s">
        <v>3761</v>
      </c>
    </row>
    <row r="10" spans="1:21" x14ac:dyDescent="0.2">
      <c r="B10" s="885" t="s">
        <v>3738</v>
      </c>
      <c r="C10" s="632">
        <v>1</v>
      </c>
      <c r="D10" s="12" t="s">
        <v>769</v>
      </c>
      <c r="E10" s="839">
        <v>2</v>
      </c>
      <c r="F10" s="839" t="s">
        <v>3738</v>
      </c>
      <c r="G10" s="896"/>
      <c r="I10" s="883" t="str">
        <f>N_Equipes</f>
        <v>Equipes</v>
      </c>
      <c r="J10" s="852" t="str">
        <f>N_Pts</f>
        <v>Pts</v>
      </c>
      <c r="K10" s="852" t="str">
        <f>N_J</f>
        <v>J</v>
      </c>
      <c r="L10" s="852" t="str">
        <f>N_G</f>
        <v>G</v>
      </c>
      <c r="M10" s="852" t="str">
        <f>N_N</f>
        <v>N</v>
      </c>
      <c r="N10" s="852" t="str">
        <f>N_P</f>
        <v>P</v>
      </c>
      <c r="O10" s="852" t="str">
        <f>N_Diff_R</f>
        <v>Diff R</v>
      </c>
      <c r="P10" s="854" t="str">
        <f>N_MP</f>
        <v>MP</v>
      </c>
      <c r="Q10" s="850" t="str">
        <f>N_MC</f>
        <v>MC</v>
      </c>
      <c r="R10" s="851" t="str">
        <f>N_Diff_M</f>
        <v>Diff M</v>
      </c>
      <c r="S10" s="852" t="str">
        <f>N_BP</f>
        <v>BP</v>
      </c>
      <c r="T10" s="852" t="str">
        <f>N_BC</f>
        <v>BC</v>
      </c>
      <c r="U10" s="853" t="str">
        <f>N_Diff_B</f>
        <v>Diff B</v>
      </c>
    </row>
    <row r="11" spans="1:21" x14ac:dyDescent="0.2">
      <c r="B11" s="885" t="s">
        <v>3738</v>
      </c>
      <c r="C11" s="632">
        <v>2</v>
      </c>
      <c r="D11" s="12" t="s">
        <v>769</v>
      </c>
      <c r="E11" s="839">
        <v>1</v>
      </c>
      <c r="F11" s="839" t="s">
        <v>3738</v>
      </c>
      <c r="G11" s="896"/>
      <c r="I11" s="884" t="s">
        <v>2867</v>
      </c>
      <c r="J11" s="848">
        <v>9</v>
      </c>
      <c r="K11" s="848"/>
      <c r="L11" s="848"/>
      <c r="M11" s="848"/>
      <c r="N11" s="848"/>
      <c r="O11" s="848"/>
      <c r="P11" s="847"/>
      <c r="Q11" s="848"/>
      <c r="R11" s="849"/>
      <c r="S11" s="848"/>
      <c r="T11" s="848"/>
      <c r="U11" s="849"/>
    </row>
    <row r="12" spans="1:21" x14ac:dyDescent="0.2">
      <c r="B12" s="885" t="s">
        <v>3738</v>
      </c>
      <c r="C12" s="632">
        <v>2</v>
      </c>
      <c r="D12" s="12" t="s">
        <v>769</v>
      </c>
      <c r="E12" s="839">
        <v>1</v>
      </c>
      <c r="F12" s="839" t="s">
        <v>3738</v>
      </c>
      <c r="G12" s="896"/>
      <c r="I12" s="881" t="s">
        <v>2869</v>
      </c>
      <c r="J12" s="875">
        <v>6</v>
      </c>
      <c r="K12" s="875"/>
      <c r="L12" s="875"/>
      <c r="M12" s="875"/>
      <c r="N12" s="875"/>
      <c r="O12" s="875"/>
      <c r="P12" s="874"/>
      <c r="Q12" s="875"/>
      <c r="R12" s="876"/>
      <c r="S12" s="875"/>
      <c r="T12" s="875"/>
      <c r="U12" s="876"/>
    </row>
    <row r="13" spans="1:21" x14ac:dyDescent="0.2">
      <c r="B13" s="891" t="s">
        <v>3738</v>
      </c>
      <c r="C13" s="892">
        <v>1</v>
      </c>
      <c r="D13" s="893" t="s">
        <v>769</v>
      </c>
      <c r="E13" s="888">
        <v>2</v>
      </c>
      <c r="F13" s="888" t="s">
        <v>3738</v>
      </c>
      <c r="G13" s="897"/>
      <c r="I13" s="880" t="s">
        <v>2868</v>
      </c>
      <c r="J13" s="270">
        <v>3</v>
      </c>
      <c r="P13" s="840"/>
      <c r="R13" s="841"/>
      <c r="U13" s="841"/>
    </row>
    <row r="14" spans="1:21" x14ac:dyDescent="0.2">
      <c r="A14" s="890" t="str">
        <f>N_Différentiel</f>
        <v>Différentiel</v>
      </c>
      <c r="B14" s="891" t="s">
        <v>3738</v>
      </c>
      <c r="C14" s="887">
        <v>3</v>
      </c>
      <c r="D14" s="894" t="s">
        <v>769</v>
      </c>
      <c r="E14" s="895">
        <v>2</v>
      </c>
      <c r="F14" s="889" t="s">
        <v>3738</v>
      </c>
      <c r="G14" s="845"/>
      <c r="I14" s="881" t="s">
        <v>2870</v>
      </c>
      <c r="J14" s="875">
        <v>0</v>
      </c>
      <c r="K14" s="875"/>
      <c r="L14" s="875"/>
      <c r="M14" s="875"/>
      <c r="N14" s="875"/>
      <c r="O14" s="875"/>
      <c r="P14" s="874"/>
      <c r="Q14" s="875"/>
      <c r="R14" s="876"/>
      <c r="S14" s="875"/>
      <c r="T14" s="875"/>
      <c r="U14" s="876"/>
    </row>
    <row r="15" spans="1:21" x14ac:dyDescent="0.2">
      <c r="A15" s="890" t="str">
        <f>N_Substitue</f>
        <v>Remplaçant</v>
      </c>
      <c r="B15" s="885" t="s">
        <v>3738</v>
      </c>
      <c r="C15" s="632" t="s">
        <v>554</v>
      </c>
      <c r="E15" s="839" t="s">
        <v>2728</v>
      </c>
      <c r="F15" s="886" t="s">
        <v>3738</v>
      </c>
      <c r="G15" s="845"/>
      <c r="I15" s="577" t="s">
        <v>2868</v>
      </c>
      <c r="J15" s="843">
        <v>3</v>
      </c>
      <c r="K15" s="843"/>
      <c r="L15" s="843"/>
      <c r="M15" s="843"/>
      <c r="N15" s="843"/>
      <c r="O15" s="843"/>
      <c r="P15" s="842"/>
      <c r="Q15" s="843"/>
      <c r="R15" s="844"/>
      <c r="S15" s="843"/>
      <c r="T15" s="843"/>
      <c r="U15" s="844"/>
    </row>
    <row r="16" spans="1:21" x14ac:dyDescent="0.2">
      <c r="A16" s="890" t="str">
        <f>N_Substitue</f>
        <v>Remplaçant</v>
      </c>
      <c r="B16" s="891"/>
      <c r="C16" s="892"/>
      <c r="E16" s="839" t="s">
        <v>2729</v>
      </c>
      <c r="F16" s="886" t="s">
        <v>3738</v>
      </c>
      <c r="G16" s="845"/>
    </row>
    <row r="17" spans="1:14" x14ac:dyDescent="0.2">
      <c r="A17" s="2176" t="s">
        <v>3719</v>
      </c>
      <c r="B17" s="2177" t="s">
        <v>3740</v>
      </c>
      <c r="C17" s="2177">
        <v>2</v>
      </c>
      <c r="D17" s="2178" t="s">
        <v>769</v>
      </c>
      <c r="E17" s="2179">
        <v>2</v>
      </c>
      <c r="F17" s="2179" t="s">
        <v>3741</v>
      </c>
      <c r="G17" s="2180" t="s">
        <v>3759</v>
      </c>
    </row>
    <row r="18" spans="1:14" x14ac:dyDescent="0.2">
      <c r="B18" s="885" t="s">
        <v>3738</v>
      </c>
      <c r="C18" s="632">
        <v>1</v>
      </c>
      <c r="D18" s="12" t="s">
        <v>769</v>
      </c>
      <c r="E18" s="839">
        <v>2</v>
      </c>
      <c r="F18" s="839" t="s">
        <v>3738</v>
      </c>
      <c r="G18" s="896"/>
    </row>
    <row r="19" spans="1:14" x14ac:dyDescent="0.2">
      <c r="B19" s="885" t="s">
        <v>3738</v>
      </c>
      <c r="C19" s="632">
        <v>3</v>
      </c>
      <c r="D19" s="12" t="s">
        <v>769</v>
      </c>
      <c r="E19" s="839">
        <v>1</v>
      </c>
      <c r="F19" s="839" t="s">
        <v>3738</v>
      </c>
      <c r="G19" s="896" t="s">
        <v>3723</v>
      </c>
    </row>
    <row r="20" spans="1:14" x14ac:dyDescent="0.2">
      <c r="B20" s="885" t="s">
        <v>3738</v>
      </c>
      <c r="C20" s="632">
        <v>2</v>
      </c>
      <c r="D20" s="12" t="s">
        <v>769</v>
      </c>
      <c r="E20" s="839">
        <v>1</v>
      </c>
      <c r="F20" s="839" t="s">
        <v>3738</v>
      </c>
      <c r="G20" s="896"/>
    </row>
    <row r="21" spans="1:14" x14ac:dyDescent="0.2">
      <c r="B21" s="891" t="s">
        <v>3738</v>
      </c>
      <c r="C21" s="892">
        <v>1</v>
      </c>
      <c r="D21" s="893" t="s">
        <v>769</v>
      </c>
      <c r="E21" s="888">
        <v>2</v>
      </c>
      <c r="F21" s="888" t="s">
        <v>3738</v>
      </c>
      <c r="G21" s="897"/>
    </row>
    <row r="22" spans="1:14" x14ac:dyDescent="0.2">
      <c r="B22" s="885"/>
      <c r="C22" s="632"/>
      <c r="E22" s="839" t="s">
        <v>2728</v>
      </c>
      <c r="F22" s="886" t="s">
        <v>3738</v>
      </c>
      <c r="G22" s="845"/>
    </row>
    <row r="23" spans="1:14" x14ac:dyDescent="0.2">
      <c r="A23" s="2171" t="s">
        <v>3719</v>
      </c>
      <c r="B23" s="2172" t="s">
        <v>3740</v>
      </c>
      <c r="C23" s="2172">
        <v>2</v>
      </c>
      <c r="D23" s="2173" t="s">
        <v>769</v>
      </c>
      <c r="E23" s="2174">
        <v>1</v>
      </c>
      <c r="F23" s="2174" t="s">
        <v>3741</v>
      </c>
      <c r="G23" s="2175" t="s">
        <v>3760</v>
      </c>
    </row>
    <row r="24" spans="1:14" x14ac:dyDescent="0.2">
      <c r="B24" s="885" t="s">
        <v>3738</v>
      </c>
      <c r="C24" s="632">
        <v>1</v>
      </c>
      <c r="D24" s="12" t="s">
        <v>769</v>
      </c>
      <c r="E24" s="839">
        <v>2</v>
      </c>
      <c r="F24" s="839" t="s">
        <v>3738</v>
      </c>
      <c r="G24" s="896"/>
    </row>
    <row r="25" spans="1:14" x14ac:dyDescent="0.2">
      <c r="B25" s="885" t="s">
        <v>3738</v>
      </c>
      <c r="C25" s="632">
        <v>3</v>
      </c>
      <c r="D25" s="12" t="s">
        <v>769</v>
      </c>
      <c r="E25" s="839">
        <v>1</v>
      </c>
      <c r="F25" s="839" t="s">
        <v>3738</v>
      </c>
      <c r="G25" s="896"/>
    </row>
    <row r="26" spans="1:14" x14ac:dyDescent="0.2">
      <c r="B26" s="885" t="s">
        <v>3738</v>
      </c>
      <c r="C26" s="632">
        <v>2</v>
      </c>
      <c r="D26" s="12" t="s">
        <v>769</v>
      </c>
      <c r="E26" s="839">
        <v>1</v>
      </c>
      <c r="F26" s="839" t="s">
        <v>3738</v>
      </c>
      <c r="G26" s="896"/>
    </row>
    <row r="27" spans="1:14" x14ac:dyDescent="0.2">
      <c r="B27" s="891" t="s">
        <v>3738</v>
      </c>
      <c r="C27" s="892">
        <v>2</v>
      </c>
      <c r="D27" s="893" t="s">
        <v>769</v>
      </c>
      <c r="E27" s="888">
        <v>2</v>
      </c>
      <c r="F27" s="888" t="s">
        <v>3738</v>
      </c>
      <c r="G27" s="897"/>
    </row>
    <row r="28" spans="1:14" x14ac:dyDescent="0.2">
      <c r="C28" s="646"/>
      <c r="E28" s="839"/>
      <c r="F28" s="839"/>
    </row>
    <row r="29" spans="1:14" ht="13.5" thickBot="1" x14ac:dyDescent="0.25"/>
    <row r="30" spans="1:14" x14ac:dyDescent="0.2">
      <c r="B30" s="855" t="s">
        <v>3724</v>
      </c>
      <c r="C30" s="856"/>
      <c r="D30" s="856"/>
      <c r="E30" s="856"/>
      <c r="F30" s="856"/>
      <c r="G30" s="857"/>
      <c r="H30" s="856"/>
      <c r="I30" s="856"/>
      <c r="J30" s="856"/>
      <c r="K30" s="856"/>
      <c r="L30" s="856"/>
      <c r="M30" s="856"/>
      <c r="N30" s="858"/>
    </row>
    <row r="31" spans="1:14" x14ac:dyDescent="0.2">
      <c r="B31" s="870" t="s">
        <v>3795</v>
      </c>
      <c r="C31" s="846"/>
      <c r="D31" s="846"/>
      <c r="E31" s="846"/>
      <c r="F31" s="846"/>
      <c r="G31" s="860"/>
      <c r="H31" s="846"/>
      <c r="I31" s="846"/>
      <c r="J31" s="846"/>
      <c r="K31" s="846"/>
      <c r="L31" s="846"/>
      <c r="M31" s="846"/>
      <c r="N31" s="861"/>
    </row>
    <row r="32" spans="1:14" x14ac:dyDescent="0.2">
      <c r="B32" s="859"/>
      <c r="C32" s="862"/>
      <c r="D32" s="846"/>
      <c r="E32" s="846"/>
      <c r="F32" s="846"/>
      <c r="G32" s="860"/>
      <c r="H32" s="846"/>
      <c r="I32" s="846"/>
      <c r="J32" s="846"/>
      <c r="K32" s="846"/>
      <c r="L32" s="846"/>
      <c r="M32" s="846"/>
      <c r="N32" s="861"/>
    </row>
    <row r="33" spans="2:14" x14ac:dyDescent="0.2">
      <c r="B33" s="863" t="s">
        <v>4033</v>
      </c>
      <c r="C33" s="862" t="s">
        <v>4034</v>
      </c>
      <c r="D33" s="846"/>
      <c r="E33" s="846"/>
      <c r="F33" s="846"/>
      <c r="G33" s="860"/>
      <c r="H33" s="846"/>
      <c r="I33" s="846"/>
      <c r="J33" s="846"/>
      <c r="K33" s="846"/>
      <c r="L33" s="846"/>
      <c r="M33" s="846"/>
      <c r="N33" s="861"/>
    </row>
    <row r="34" spans="2:14" x14ac:dyDescent="0.2">
      <c r="B34" s="863"/>
      <c r="C34" s="862"/>
      <c r="D34" s="846"/>
      <c r="E34" s="846"/>
      <c r="F34" s="846"/>
      <c r="G34" s="860"/>
      <c r="H34" s="846"/>
      <c r="I34" s="846"/>
      <c r="J34" s="846"/>
      <c r="K34" s="846"/>
      <c r="L34" s="846"/>
      <c r="M34" s="846"/>
      <c r="N34" s="861"/>
    </row>
    <row r="35" spans="2:14" x14ac:dyDescent="0.2">
      <c r="B35" s="863" t="s">
        <v>3725</v>
      </c>
      <c r="C35" s="862" t="s">
        <v>3726</v>
      </c>
      <c r="D35" s="846"/>
      <c r="E35" s="846"/>
      <c r="F35" s="846"/>
      <c r="G35" s="860"/>
      <c r="H35" s="846"/>
      <c r="I35" s="846"/>
      <c r="J35" s="846"/>
      <c r="K35" s="846"/>
      <c r="L35" s="846"/>
      <c r="M35" s="846"/>
      <c r="N35" s="861"/>
    </row>
    <row r="36" spans="2:14" x14ac:dyDescent="0.2">
      <c r="B36" s="863"/>
      <c r="C36" s="862"/>
      <c r="D36" s="846"/>
      <c r="E36" s="846"/>
      <c r="F36" s="846"/>
      <c r="G36" s="860"/>
      <c r="H36" s="846"/>
      <c r="I36" s="846"/>
      <c r="J36" s="846"/>
      <c r="K36" s="846"/>
      <c r="L36" s="846"/>
      <c r="M36" s="846"/>
      <c r="N36" s="861"/>
    </row>
    <row r="37" spans="2:14" x14ac:dyDescent="0.2">
      <c r="B37" s="863" t="s">
        <v>3727</v>
      </c>
      <c r="C37" s="862" t="s">
        <v>3728</v>
      </c>
      <c r="D37" s="846"/>
      <c r="E37" s="846"/>
      <c r="F37" s="846"/>
      <c r="G37" s="860"/>
      <c r="H37" s="846"/>
      <c r="I37" s="846"/>
      <c r="J37" s="846"/>
      <c r="K37" s="846"/>
      <c r="L37" s="846"/>
      <c r="M37" s="846"/>
      <c r="N37" s="861"/>
    </row>
    <row r="38" spans="2:14" x14ac:dyDescent="0.2">
      <c r="B38" s="859"/>
      <c r="C38" s="846"/>
      <c r="D38" s="862" t="s">
        <v>3729</v>
      </c>
      <c r="E38" s="846"/>
      <c r="F38" s="846"/>
      <c r="G38" s="860"/>
      <c r="H38" s="846"/>
      <c r="I38" s="846"/>
      <c r="J38" s="846"/>
      <c r="K38" s="846"/>
      <c r="L38" s="846"/>
      <c r="M38" s="846"/>
      <c r="N38" s="861"/>
    </row>
    <row r="39" spans="2:14" x14ac:dyDescent="0.2">
      <c r="B39" s="859"/>
      <c r="C39" s="846"/>
      <c r="D39" s="862" t="s">
        <v>3730</v>
      </c>
      <c r="E39" s="846"/>
      <c r="F39" s="846"/>
      <c r="G39" s="860"/>
      <c r="H39" s="846"/>
      <c r="I39" s="846"/>
      <c r="J39" s="846"/>
      <c r="K39" s="846"/>
      <c r="L39" s="846"/>
      <c r="M39" s="846"/>
      <c r="N39" s="861"/>
    </row>
    <row r="40" spans="2:14" x14ac:dyDescent="0.2">
      <c r="B40" s="859"/>
      <c r="C40" s="846"/>
      <c r="D40" s="862" t="s">
        <v>3731</v>
      </c>
      <c r="E40" s="846"/>
      <c r="F40" s="846"/>
      <c r="G40" s="860"/>
      <c r="H40" s="846"/>
      <c r="I40" s="846"/>
      <c r="J40" s="846"/>
      <c r="K40" s="846"/>
      <c r="L40" s="846"/>
      <c r="M40" s="846"/>
      <c r="N40" s="861"/>
    </row>
    <row r="41" spans="2:14" x14ac:dyDescent="0.2">
      <c r="B41" s="859"/>
      <c r="C41" s="846"/>
      <c r="D41" s="862"/>
      <c r="E41" s="846"/>
      <c r="F41" s="846"/>
      <c r="G41" s="860"/>
      <c r="H41" s="846"/>
      <c r="I41" s="846"/>
      <c r="J41" s="846"/>
      <c r="K41" s="846"/>
      <c r="L41" s="846"/>
      <c r="M41" s="846"/>
      <c r="N41" s="861"/>
    </row>
    <row r="42" spans="2:14" x14ac:dyDescent="0.2">
      <c r="B42" s="864" t="s">
        <v>3742</v>
      </c>
      <c r="C42" s="862" t="s">
        <v>3732</v>
      </c>
      <c r="D42" s="846"/>
      <c r="E42" s="846"/>
      <c r="F42" s="846"/>
      <c r="G42" s="860"/>
      <c r="H42" s="846"/>
      <c r="I42" s="846"/>
      <c r="J42" s="846"/>
      <c r="K42" s="846"/>
      <c r="L42" s="846"/>
      <c r="M42" s="846"/>
      <c r="N42" s="861"/>
    </row>
    <row r="43" spans="2:14" x14ac:dyDescent="0.2">
      <c r="B43" s="863" t="s">
        <v>3743</v>
      </c>
      <c r="C43" s="846"/>
      <c r="D43" s="862" t="s">
        <v>3733</v>
      </c>
      <c r="E43" s="846"/>
      <c r="F43" s="846"/>
      <c r="G43" s="860"/>
      <c r="H43" s="846"/>
      <c r="I43" s="846"/>
      <c r="J43" s="846"/>
      <c r="K43" s="846"/>
      <c r="L43" s="846"/>
      <c r="M43" s="846"/>
      <c r="N43" s="861"/>
    </row>
    <row r="44" spans="2:14" x14ac:dyDescent="0.2">
      <c r="B44" s="863" t="s">
        <v>3744</v>
      </c>
      <c r="C44" s="846"/>
      <c r="D44" s="862" t="s">
        <v>3734</v>
      </c>
      <c r="E44" s="846"/>
      <c r="F44" s="846"/>
      <c r="G44" s="860"/>
      <c r="H44" s="846"/>
      <c r="I44" s="846"/>
      <c r="J44" s="846"/>
      <c r="K44" s="846"/>
      <c r="L44" s="846"/>
      <c r="M44" s="846"/>
      <c r="N44" s="861"/>
    </row>
    <row r="45" spans="2:14" x14ac:dyDescent="0.2">
      <c r="B45" s="863"/>
      <c r="C45" s="846"/>
      <c r="D45" s="862" t="s">
        <v>3735</v>
      </c>
      <c r="E45" s="846"/>
      <c r="F45" s="846"/>
      <c r="G45" s="860"/>
      <c r="H45" s="846"/>
      <c r="I45" s="846"/>
      <c r="J45" s="846"/>
      <c r="K45" s="846"/>
      <c r="L45" s="846"/>
      <c r="M45" s="846"/>
      <c r="N45" s="861"/>
    </row>
    <row r="46" spans="2:14" x14ac:dyDescent="0.2">
      <c r="B46" s="859"/>
      <c r="C46" s="846"/>
      <c r="D46" s="862" t="s">
        <v>3736</v>
      </c>
      <c r="E46" s="846"/>
      <c r="F46" s="846"/>
      <c r="G46" s="860"/>
      <c r="H46" s="846"/>
      <c r="I46" s="846"/>
      <c r="J46" s="846"/>
      <c r="K46" s="846"/>
      <c r="L46" s="846"/>
      <c r="M46" s="846"/>
      <c r="N46" s="861"/>
    </row>
    <row r="47" spans="2:14" x14ac:dyDescent="0.2">
      <c r="B47" s="859"/>
      <c r="C47" s="846"/>
      <c r="D47" s="862" t="s">
        <v>3737</v>
      </c>
      <c r="E47" s="846"/>
      <c r="F47" s="846"/>
      <c r="G47" s="860"/>
      <c r="H47" s="846"/>
      <c r="I47" s="846"/>
      <c r="J47" s="846"/>
      <c r="K47" s="846"/>
      <c r="L47" s="846"/>
      <c r="M47" s="846"/>
      <c r="N47" s="861"/>
    </row>
    <row r="48" spans="2:14" x14ac:dyDescent="0.2">
      <c r="B48" s="863" t="s">
        <v>3739</v>
      </c>
      <c r="C48" s="862" t="s">
        <v>3745</v>
      </c>
      <c r="D48" s="846"/>
      <c r="E48" s="846"/>
      <c r="F48" s="846"/>
      <c r="G48" s="860"/>
      <c r="H48" s="846"/>
      <c r="I48" s="846"/>
      <c r="J48" s="846"/>
      <c r="K48" s="846"/>
      <c r="L48" s="846"/>
      <c r="M48" s="846"/>
      <c r="N48" s="861"/>
    </row>
    <row r="49" spans="2:14" x14ac:dyDescent="0.2">
      <c r="B49" s="863" t="s">
        <v>3746</v>
      </c>
      <c r="C49" s="846"/>
      <c r="D49" s="862" t="s">
        <v>3747</v>
      </c>
      <c r="E49" s="846"/>
      <c r="F49" s="846"/>
      <c r="G49" s="860"/>
      <c r="H49" s="846"/>
      <c r="I49" s="846"/>
      <c r="J49" s="846"/>
      <c r="K49" s="846"/>
      <c r="L49" s="846"/>
      <c r="M49" s="846"/>
      <c r="N49" s="861"/>
    </row>
    <row r="50" spans="2:14" x14ac:dyDescent="0.2">
      <c r="B50" s="863" t="s">
        <v>3756</v>
      </c>
      <c r="C50" s="846"/>
      <c r="D50" s="862" t="s">
        <v>3748</v>
      </c>
      <c r="E50" s="846"/>
      <c r="F50" s="846"/>
      <c r="G50" s="860"/>
      <c r="H50" s="846"/>
      <c r="I50" s="846"/>
      <c r="J50" s="846"/>
      <c r="K50" s="846"/>
      <c r="L50" s="846"/>
      <c r="M50" s="846"/>
      <c r="N50" s="861"/>
    </row>
    <row r="51" spans="2:14" x14ac:dyDescent="0.2">
      <c r="B51" s="863" t="s">
        <v>3757</v>
      </c>
      <c r="C51" s="846"/>
      <c r="D51" s="862" t="s">
        <v>3749</v>
      </c>
      <c r="E51" s="846"/>
      <c r="F51" s="846"/>
      <c r="G51" s="860"/>
      <c r="H51" s="846"/>
      <c r="I51" s="846"/>
      <c r="J51" s="846"/>
      <c r="K51" s="846"/>
      <c r="L51" s="846"/>
      <c r="M51" s="846"/>
      <c r="N51" s="861"/>
    </row>
    <row r="52" spans="2:14" x14ac:dyDescent="0.2">
      <c r="B52" s="863" t="s">
        <v>3758</v>
      </c>
      <c r="C52" s="846"/>
      <c r="D52" s="862" t="s">
        <v>3750</v>
      </c>
      <c r="E52" s="846"/>
      <c r="F52" s="846"/>
      <c r="G52" s="860"/>
      <c r="H52" s="846"/>
      <c r="I52" s="846"/>
      <c r="J52" s="846"/>
      <c r="K52" s="846"/>
      <c r="L52" s="846"/>
      <c r="M52" s="846"/>
      <c r="N52" s="861"/>
    </row>
    <row r="53" spans="2:14" x14ac:dyDescent="0.2">
      <c r="B53" s="859"/>
      <c r="C53" s="846"/>
      <c r="D53" s="862" t="s">
        <v>3751</v>
      </c>
      <c r="E53" s="846"/>
      <c r="F53" s="846"/>
      <c r="G53" s="860"/>
      <c r="H53" s="846"/>
      <c r="I53" s="846"/>
      <c r="J53" s="846"/>
      <c r="K53" s="846"/>
      <c r="L53" s="846"/>
      <c r="M53" s="846"/>
      <c r="N53" s="861"/>
    </row>
    <row r="54" spans="2:14" x14ac:dyDescent="0.2">
      <c r="B54" s="859"/>
      <c r="C54" s="846"/>
      <c r="D54" s="862" t="s">
        <v>3752</v>
      </c>
      <c r="E54" s="846"/>
      <c r="F54" s="846"/>
      <c r="G54" s="860"/>
      <c r="H54" s="846"/>
      <c r="I54" s="846"/>
      <c r="J54" s="846"/>
      <c r="K54" s="846"/>
      <c r="L54" s="846"/>
      <c r="M54" s="846"/>
      <c r="N54" s="861"/>
    </row>
    <row r="55" spans="2:14" x14ac:dyDescent="0.2">
      <c r="B55" s="859"/>
      <c r="C55" s="846"/>
      <c r="D55" s="862" t="s">
        <v>3753</v>
      </c>
      <c r="E55" s="846"/>
      <c r="F55" s="846"/>
      <c r="G55" s="860"/>
      <c r="H55" s="846"/>
      <c r="I55" s="846"/>
      <c r="J55" s="846"/>
      <c r="K55" s="846"/>
      <c r="L55" s="846"/>
      <c r="M55" s="846"/>
      <c r="N55" s="861"/>
    </row>
    <row r="56" spans="2:14" x14ac:dyDescent="0.2">
      <c r="B56" s="859"/>
      <c r="C56" s="846"/>
      <c r="D56" s="862" t="s">
        <v>3754</v>
      </c>
      <c r="E56" s="846"/>
      <c r="F56" s="846"/>
      <c r="G56" s="860"/>
      <c r="H56" s="846"/>
      <c r="I56" s="846"/>
      <c r="J56" s="846"/>
      <c r="K56" s="846"/>
      <c r="L56" s="846"/>
      <c r="M56" s="846"/>
      <c r="N56" s="861"/>
    </row>
    <row r="57" spans="2:14" x14ac:dyDescent="0.2">
      <c r="B57" s="859"/>
      <c r="C57" s="846"/>
      <c r="D57" s="862" t="s">
        <v>3755</v>
      </c>
      <c r="E57" s="846"/>
      <c r="F57" s="846"/>
      <c r="G57" s="860"/>
      <c r="H57" s="846"/>
      <c r="I57" s="846"/>
      <c r="J57" s="846"/>
      <c r="K57" s="846"/>
      <c r="L57" s="846"/>
      <c r="M57" s="846"/>
      <c r="N57" s="861"/>
    </row>
    <row r="58" spans="2:14" x14ac:dyDescent="0.2">
      <c r="B58" s="859"/>
      <c r="C58" s="846"/>
      <c r="D58" s="846"/>
      <c r="E58" s="846"/>
      <c r="F58" s="846"/>
      <c r="G58" s="860"/>
      <c r="H58" s="846"/>
      <c r="I58" s="846"/>
      <c r="J58" s="846"/>
      <c r="K58" s="846"/>
      <c r="L58" s="846"/>
      <c r="M58" s="846"/>
      <c r="N58" s="861"/>
    </row>
    <row r="59" spans="2:14" x14ac:dyDescent="0.2">
      <c r="B59" s="864" t="s">
        <v>3762</v>
      </c>
      <c r="C59" s="862" t="s">
        <v>3776</v>
      </c>
      <c r="D59" s="846"/>
      <c r="E59" s="846"/>
      <c r="F59" s="846"/>
      <c r="G59" s="860"/>
      <c r="H59" s="846"/>
      <c r="I59" s="846"/>
      <c r="J59" s="846"/>
      <c r="K59" s="846"/>
      <c r="L59" s="846"/>
      <c r="M59" s="846"/>
      <c r="N59" s="861"/>
    </row>
    <row r="60" spans="2:14" x14ac:dyDescent="0.2">
      <c r="B60" s="863" t="s">
        <v>3763</v>
      </c>
      <c r="C60" s="846"/>
      <c r="D60" s="862" t="s">
        <v>3733</v>
      </c>
      <c r="E60" s="846"/>
      <c r="F60" s="846"/>
      <c r="G60" s="860"/>
      <c r="H60" s="846"/>
      <c r="I60" s="846"/>
      <c r="J60" s="846"/>
      <c r="K60" s="846"/>
      <c r="L60" s="846"/>
      <c r="M60" s="846"/>
      <c r="N60" s="861"/>
    </row>
    <row r="61" spans="2:14" x14ac:dyDescent="0.2">
      <c r="B61" s="863" t="s">
        <v>3764</v>
      </c>
      <c r="C61" s="846"/>
      <c r="D61" s="862" t="s">
        <v>3771</v>
      </c>
      <c r="E61" s="846"/>
      <c r="F61" s="846"/>
      <c r="G61" s="860"/>
      <c r="H61" s="846"/>
      <c r="I61" s="846"/>
      <c r="J61" s="846"/>
      <c r="K61" s="846"/>
      <c r="L61" s="846"/>
      <c r="M61" s="846"/>
      <c r="N61" s="861"/>
    </row>
    <row r="62" spans="2:14" x14ac:dyDescent="0.2">
      <c r="B62" s="863"/>
      <c r="C62" s="846"/>
      <c r="D62" s="862" t="s">
        <v>3773</v>
      </c>
      <c r="E62" s="846"/>
      <c r="F62" s="846"/>
      <c r="G62" s="860"/>
      <c r="H62" s="846"/>
      <c r="I62" s="846"/>
      <c r="J62" s="846"/>
      <c r="K62" s="846"/>
      <c r="L62" s="846"/>
      <c r="M62" s="846"/>
      <c r="N62" s="861"/>
    </row>
    <row r="63" spans="2:14" x14ac:dyDescent="0.2">
      <c r="B63" s="859"/>
      <c r="C63" s="846"/>
      <c r="D63" s="862" t="s">
        <v>3772</v>
      </c>
      <c r="E63" s="846"/>
      <c r="F63" s="846"/>
      <c r="G63" s="860"/>
      <c r="H63" s="846"/>
      <c r="I63" s="846"/>
      <c r="J63" s="846"/>
      <c r="K63" s="846"/>
      <c r="L63" s="846"/>
      <c r="M63" s="846"/>
      <c r="N63" s="861"/>
    </row>
    <row r="64" spans="2:14" x14ac:dyDescent="0.2">
      <c r="B64" s="859"/>
      <c r="C64" s="846"/>
      <c r="D64" s="862" t="s">
        <v>3770</v>
      </c>
      <c r="E64" s="846"/>
      <c r="F64" s="846"/>
      <c r="G64" s="860"/>
      <c r="H64" s="846"/>
      <c r="I64" s="846"/>
      <c r="J64" s="846"/>
      <c r="K64" s="846"/>
      <c r="L64" s="846"/>
      <c r="M64" s="846"/>
      <c r="N64" s="861"/>
    </row>
    <row r="65" spans="2:14" x14ac:dyDescent="0.2">
      <c r="B65" s="859"/>
      <c r="C65" s="846"/>
      <c r="D65" s="862"/>
      <c r="E65" s="846"/>
      <c r="F65" s="846"/>
      <c r="G65" s="860"/>
      <c r="H65" s="846"/>
      <c r="I65" s="846"/>
      <c r="J65" s="846"/>
      <c r="K65" s="846"/>
      <c r="L65" s="846"/>
      <c r="M65" s="846"/>
      <c r="N65" s="861"/>
    </row>
    <row r="66" spans="2:14" x14ac:dyDescent="0.2">
      <c r="B66" s="863" t="s">
        <v>3774</v>
      </c>
      <c r="C66" s="862" t="s">
        <v>3775</v>
      </c>
      <c r="D66" s="862"/>
      <c r="E66" s="846"/>
      <c r="F66" s="846"/>
      <c r="G66" s="860"/>
      <c r="H66" s="846"/>
      <c r="I66" s="846"/>
      <c r="J66" s="846"/>
      <c r="K66" s="846"/>
      <c r="L66" s="846"/>
      <c r="M66" s="846"/>
      <c r="N66" s="861"/>
    </row>
    <row r="67" spans="2:14" x14ac:dyDescent="0.2">
      <c r="B67" s="863"/>
      <c r="C67" s="862"/>
      <c r="D67" s="862" t="s">
        <v>3734</v>
      </c>
      <c r="E67" s="846"/>
      <c r="F67" s="846"/>
      <c r="G67" s="860"/>
      <c r="H67" s="846"/>
      <c r="I67" s="846"/>
      <c r="J67" s="846"/>
      <c r="K67" s="846"/>
      <c r="L67" s="846"/>
      <c r="M67" s="846"/>
      <c r="N67" s="861"/>
    </row>
    <row r="68" spans="2:14" x14ac:dyDescent="0.2">
      <c r="B68" s="863"/>
      <c r="C68" s="862"/>
      <c r="D68" s="862" t="s">
        <v>3735</v>
      </c>
      <c r="E68" s="846"/>
      <c r="F68" s="846"/>
      <c r="G68" s="860"/>
      <c r="H68" s="846"/>
      <c r="I68" s="846"/>
      <c r="J68" s="846"/>
      <c r="K68" s="846"/>
      <c r="L68" s="846"/>
      <c r="M68" s="846"/>
      <c r="N68" s="861"/>
    </row>
    <row r="69" spans="2:14" x14ac:dyDescent="0.2">
      <c r="B69" s="863"/>
      <c r="C69" s="862"/>
      <c r="D69" s="862" t="s">
        <v>3736</v>
      </c>
      <c r="E69" s="846"/>
      <c r="F69" s="846"/>
      <c r="G69" s="860"/>
      <c r="H69" s="846"/>
      <c r="I69" s="846"/>
      <c r="J69" s="846"/>
      <c r="K69" s="846"/>
      <c r="L69" s="846"/>
      <c r="M69" s="846"/>
      <c r="N69" s="861"/>
    </row>
    <row r="70" spans="2:14" x14ac:dyDescent="0.2">
      <c r="B70" s="863"/>
      <c r="C70" s="862"/>
      <c r="D70" s="862" t="s">
        <v>3777</v>
      </c>
      <c r="E70" s="846"/>
      <c r="F70" s="846"/>
      <c r="G70" s="860"/>
      <c r="H70" s="846"/>
      <c r="I70" s="846"/>
      <c r="J70" s="846"/>
      <c r="K70" s="846"/>
      <c r="L70" s="846"/>
      <c r="M70" s="846"/>
      <c r="N70" s="861"/>
    </row>
    <row r="71" spans="2:14" x14ac:dyDescent="0.2">
      <c r="B71" s="863" t="s">
        <v>11542</v>
      </c>
      <c r="C71" s="862" t="s">
        <v>3775</v>
      </c>
      <c r="D71" s="862"/>
      <c r="E71" s="846"/>
      <c r="F71" s="846"/>
      <c r="G71" s="860"/>
      <c r="H71" s="846"/>
      <c r="I71" s="846"/>
      <c r="J71" s="846"/>
      <c r="K71" s="846"/>
      <c r="L71" s="846"/>
      <c r="M71" s="846"/>
      <c r="N71" s="861"/>
    </row>
    <row r="72" spans="2:14" x14ac:dyDescent="0.2">
      <c r="B72" s="863"/>
      <c r="C72" s="862"/>
      <c r="D72" s="862" t="s">
        <v>3734</v>
      </c>
      <c r="E72" s="846"/>
      <c r="F72" s="846"/>
      <c r="G72" s="860"/>
      <c r="H72" s="846"/>
      <c r="I72" s="846"/>
      <c r="J72" s="846"/>
      <c r="K72" s="846"/>
      <c r="L72" s="846"/>
      <c r="M72" s="846"/>
      <c r="N72" s="861"/>
    </row>
    <row r="73" spans="2:14" x14ac:dyDescent="0.2">
      <c r="B73" s="863"/>
      <c r="C73" s="862"/>
      <c r="D73" s="862" t="s">
        <v>3735</v>
      </c>
      <c r="E73" s="846"/>
      <c r="F73" s="846"/>
      <c r="G73" s="860"/>
      <c r="H73" s="846"/>
      <c r="I73" s="846"/>
      <c r="J73" s="846"/>
      <c r="K73" s="846"/>
      <c r="L73" s="846"/>
      <c r="M73" s="846"/>
      <c r="N73" s="861"/>
    </row>
    <row r="74" spans="2:14" x14ac:dyDescent="0.2">
      <c r="B74" s="863"/>
      <c r="C74" s="862"/>
      <c r="D74" s="862" t="s">
        <v>3736</v>
      </c>
      <c r="E74" s="846"/>
      <c r="F74" s="846"/>
      <c r="G74" s="860"/>
      <c r="H74" s="846"/>
      <c r="I74" s="846"/>
      <c r="J74" s="846"/>
      <c r="K74" s="846"/>
      <c r="L74" s="846"/>
      <c r="M74" s="846"/>
      <c r="N74" s="861"/>
    </row>
    <row r="75" spans="2:14" x14ac:dyDescent="0.2">
      <c r="B75" s="863"/>
      <c r="C75" s="862"/>
      <c r="D75" s="862" t="s">
        <v>3777</v>
      </c>
      <c r="E75" s="846"/>
      <c r="F75" s="846"/>
      <c r="G75" s="860"/>
      <c r="H75" s="846"/>
      <c r="I75" s="846"/>
      <c r="J75" s="846"/>
      <c r="K75" s="846"/>
      <c r="L75" s="846"/>
      <c r="M75" s="846"/>
      <c r="N75" s="861"/>
    </row>
    <row r="76" spans="2:14" ht="13.5" customHeight="1" x14ac:dyDescent="0.2">
      <c r="B76" s="863" t="s">
        <v>3778</v>
      </c>
      <c r="C76" s="862" t="s">
        <v>3779</v>
      </c>
      <c r="D76" s="862"/>
      <c r="E76" s="846"/>
      <c r="F76" s="846"/>
      <c r="G76" s="860"/>
      <c r="H76" s="846"/>
      <c r="I76" s="846"/>
      <c r="J76" s="846"/>
      <c r="K76" s="846"/>
      <c r="L76" s="846"/>
      <c r="M76" s="846"/>
      <c r="N76" s="861"/>
    </row>
    <row r="77" spans="2:14" ht="13.5" customHeight="1" x14ac:dyDescent="0.2">
      <c r="B77" s="863"/>
      <c r="C77" s="862"/>
      <c r="D77" s="862" t="s">
        <v>3780</v>
      </c>
      <c r="E77" s="846"/>
      <c r="F77" s="846"/>
      <c r="G77" s="860"/>
      <c r="H77" s="846"/>
      <c r="I77" s="846"/>
      <c r="J77" s="846"/>
      <c r="K77" s="846"/>
      <c r="L77" s="846"/>
      <c r="M77" s="846"/>
      <c r="N77" s="861"/>
    </row>
    <row r="78" spans="2:14" ht="13.5" customHeight="1" x14ac:dyDescent="0.2">
      <c r="B78" s="863"/>
      <c r="C78" s="862"/>
      <c r="D78" s="862" t="s">
        <v>3782</v>
      </c>
      <c r="E78" s="846"/>
      <c r="F78" s="846"/>
      <c r="G78" s="860"/>
      <c r="H78" s="846"/>
      <c r="I78" s="846"/>
      <c r="J78" s="846"/>
      <c r="K78" s="846"/>
      <c r="L78" s="846"/>
      <c r="M78" s="846"/>
      <c r="N78" s="861"/>
    </row>
    <row r="79" spans="2:14" ht="13.5" customHeight="1" x14ac:dyDescent="0.2">
      <c r="B79" s="863"/>
      <c r="C79" s="862"/>
      <c r="D79" s="862" t="s">
        <v>3781</v>
      </c>
      <c r="E79" s="846"/>
      <c r="F79" s="846"/>
      <c r="G79" s="860"/>
      <c r="H79" s="846"/>
      <c r="I79" s="846"/>
      <c r="J79" s="846"/>
      <c r="K79" s="846"/>
      <c r="L79" s="846"/>
      <c r="M79" s="846"/>
      <c r="N79" s="861"/>
    </row>
    <row r="80" spans="2:14" ht="13.5" customHeight="1" x14ac:dyDescent="0.2">
      <c r="B80" s="863" t="s">
        <v>11543</v>
      </c>
      <c r="C80" s="862" t="s">
        <v>3779</v>
      </c>
      <c r="D80" s="862"/>
      <c r="E80" s="846"/>
      <c r="F80" s="846"/>
      <c r="G80" s="860"/>
      <c r="H80" s="846"/>
      <c r="I80" s="846"/>
      <c r="J80" s="846"/>
      <c r="K80" s="846"/>
      <c r="L80" s="846"/>
      <c r="M80" s="846"/>
      <c r="N80" s="861"/>
    </row>
    <row r="81" spans="2:14" ht="13.5" customHeight="1" x14ac:dyDescent="0.2">
      <c r="B81" s="863"/>
      <c r="C81" s="862"/>
      <c r="D81" s="862" t="s">
        <v>3780</v>
      </c>
      <c r="E81" s="846"/>
      <c r="F81" s="846"/>
      <c r="G81" s="860"/>
      <c r="H81" s="846"/>
      <c r="I81" s="846"/>
      <c r="J81" s="846"/>
      <c r="K81" s="846"/>
      <c r="L81" s="846"/>
      <c r="M81" s="846"/>
      <c r="N81" s="861"/>
    </row>
    <row r="82" spans="2:14" ht="13.5" customHeight="1" x14ac:dyDescent="0.2">
      <c r="B82" s="863"/>
      <c r="C82" s="862"/>
      <c r="D82" s="862" t="s">
        <v>3782</v>
      </c>
      <c r="E82" s="846"/>
      <c r="F82" s="846"/>
      <c r="G82" s="860"/>
      <c r="H82" s="846"/>
      <c r="I82" s="846"/>
      <c r="J82" s="846"/>
      <c r="K82" s="846"/>
      <c r="L82" s="846"/>
      <c r="M82" s="846"/>
      <c r="N82" s="861"/>
    </row>
    <row r="83" spans="2:14" ht="13.5" customHeight="1" x14ac:dyDescent="0.2">
      <c r="B83" s="863"/>
      <c r="C83" s="862"/>
      <c r="D83" s="862" t="s">
        <v>3781</v>
      </c>
      <c r="E83" s="846"/>
      <c r="F83" s="846"/>
      <c r="G83" s="860"/>
      <c r="H83" s="846"/>
      <c r="I83" s="846"/>
      <c r="J83" s="846"/>
      <c r="K83" s="846"/>
      <c r="L83" s="846"/>
      <c r="M83" s="846"/>
      <c r="N83" s="861"/>
    </row>
    <row r="84" spans="2:14" ht="13.5" customHeight="1" x14ac:dyDescent="0.2">
      <c r="B84" s="863" t="s">
        <v>3783</v>
      </c>
      <c r="C84" s="862" t="s">
        <v>3784</v>
      </c>
      <c r="D84" s="862"/>
      <c r="E84" s="846"/>
      <c r="F84" s="846"/>
      <c r="G84" s="860"/>
      <c r="H84" s="846"/>
      <c r="I84" s="846"/>
      <c r="J84" s="846"/>
      <c r="K84" s="846"/>
      <c r="L84" s="846"/>
      <c r="M84" s="846"/>
      <c r="N84" s="861"/>
    </row>
    <row r="85" spans="2:14" x14ac:dyDescent="0.2">
      <c r="B85" s="863"/>
      <c r="C85" s="862"/>
      <c r="D85" s="862" t="s">
        <v>3734</v>
      </c>
      <c r="E85" s="846"/>
      <c r="F85" s="846"/>
      <c r="G85" s="860"/>
      <c r="H85" s="846"/>
      <c r="I85" s="846"/>
      <c r="J85" s="846"/>
      <c r="K85" s="846"/>
      <c r="L85" s="846"/>
      <c r="M85" s="846"/>
      <c r="N85" s="861"/>
    </row>
    <row r="86" spans="2:14" x14ac:dyDescent="0.2">
      <c r="B86" s="863"/>
      <c r="C86" s="862"/>
      <c r="D86" s="862" t="s">
        <v>3735</v>
      </c>
      <c r="E86" s="846"/>
      <c r="F86" s="846"/>
      <c r="G86" s="860"/>
      <c r="H86" s="846"/>
      <c r="I86" s="846"/>
      <c r="J86" s="846"/>
      <c r="K86" s="846"/>
      <c r="L86" s="846"/>
      <c r="M86" s="846"/>
      <c r="N86" s="861"/>
    </row>
    <row r="87" spans="2:14" x14ac:dyDescent="0.2">
      <c r="B87" s="863"/>
      <c r="C87" s="862"/>
      <c r="D87" s="862" t="s">
        <v>3736</v>
      </c>
      <c r="E87" s="846"/>
      <c r="F87" s="846"/>
      <c r="G87" s="860"/>
      <c r="H87" s="846"/>
      <c r="I87" s="846"/>
      <c r="J87" s="846"/>
      <c r="K87" s="846"/>
      <c r="L87" s="846"/>
      <c r="M87" s="846"/>
      <c r="N87" s="861"/>
    </row>
    <row r="88" spans="2:14" x14ac:dyDescent="0.2">
      <c r="B88" s="859"/>
      <c r="C88" s="846"/>
      <c r="D88" s="862"/>
      <c r="E88" s="846"/>
      <c r="F88" s="846"/>
      <c r="G88" s="860"/>
      <c r="H88" s="846"/>
      <c r="I88" s="846"/>
      <c r="J88" s="846"/>
      <c r="K88" s="846"/>
      <c r="L88" s="846"/>
      <c r="M88" s="846"/>
      <c r="N88" s="861"/>
    </row>
    <row r="89" spans="2:14" x14ac:dyDescent="0.2">
      <c r="B89" s="863" t="s">
        <v>3765</v>
      </c>
      <c r="C89" s="862" t="s">
        <v>3745</v>
      </c>
      <c r="D89" s="846"/>
      <c r="E89" s="846"/>
      <c r="F89" s="846"/>
      <c r="G89" s="860"/>
      <c r="H89" s="846"/>
      <c r="I89" s="846"/>
      <c r="J89" s="846"/>
      <c r="K89" s="846"/>
      <c r="L89" s="846"/>
      <c r="M89" s="846"/>
      <c r="N89" s="861"/>
    </row>
    <row r="90" spans="2:14" x14ac:dyDescent="0.2">
      <c r="B90" s="863" t="s">
        <v>3766</v>
      </c>
      <c r="C90" s="846"/>
      <c r="D90" s="862" t="s">
        <v>3747</v>
      </c>
      <c r="E90" s="846"/>
      <c r="F90" s="846"/>
      <c r="G90" s="860"/>
      <c r="H90" s="846"/>
      <c r="I90" s="846"/>
      <c r="J90" s="846"/>
      <c r="K90" s="846"/>
      <c r="L90" s="846"/>
      <c r="M90" s="846"/>
      <c r="N90" s="861"/>
    </row>
    <row r="91" spans="2:14" x14ac:dyDescent="0.2">
      <c r="B91" s="863" t="s">
        <v>3767</v>
      </c>
      <c r="C91" s="846"/>
      <c r="D91" s="862" t="s">
        <v>3748</v>
      </c>
      <c r="E91" s="846"/>
      <c r="F91" s="846"/>
      <c r="G91" s="860"/>
      <c r="H91" s="846"/>
      <c r="I91" s="846"/>
      <c r="J91" s="846"/>
      <c r="K91" s="846"/>
      <c r="L91" s="846"/>
      <c r="M91" s="846"/>
      <c r="N91" s="861"/>
    </row>
    <row r="92" spans="2:14" x14ac:dyDescent="0.2">
      <c r="B92" s="863" t="s">
        <v>3768</v>
      </c>
      <c r="C92" s="846"/>
      <c r="D92" s="862" t="s">
        <v>3785</v>
      </c>
      <c r="E92" s="846"/>
      <c r="F92" s="846"/>
      <c r="G92" s="860"/>
      <c r="H92" s="846"/>
      <c r="I92" s="846"/>
      <c r="J92" s="846"/>
      <c r="K92" s="846"/>
      <c r="L92" s="846"/>
      <c r="M92" s="846"/>
      <c r="N92" s="861"/>
    </row>
    <row r="93" spans="2:14" x14ac:dyDescent="0.2">
      <c r="B93" s="863" t="s">
        <v>3769</v>
      </c>
      <c r="C93" s="846"/>
      <c r="D93" s="862" t="s">
        <v>3786</v>
      </c>
      <c r="E93" s="846"/>
      <c r="F93" s="846"/>
      <c r="G93" s="860"/>
      <c r="H93" s="846"/>
      <c r="I93" s="846"/>
      <c r="J93" s="846"/>
      <c r="K93" s="846"/>
      <c r="L93" s="846"/>
      <c r="M93" s="846"/>
      <c r="N93" s="861"/>
    </row>
    <row r="94" spans="2:14" x14ac:dyDescent="0.2">
      <c r="B94" s="859"/>
      <c r="C94" s="846"/>
      <c r="D94" s="862" t="s">
        <v>3787</v>
      </c>
      <c r="E94" s="846"/>
      <c r="F94" s="846"/>
      <c r="G94" s="860"/>
      <c r="H94" s="846"/>
      <c r="I94" s="846"/>
      <c r="J94" s="846"/>
      <c r="K94" s="846"/>
      <c r="L94" s="846"/>
      <c r="M94" s="846"/>
      <c r="N94" s="861"/>
    </row>
    <row r="95" spans="2:14" x14ac:dyDescent="0.2">
      <c r="B95" s="859"/>
      <c r="C95" s="846"/>
      <c r="D95" s="862" t="s">
        <v>3788</v>
      </c>
      <c r="E95" s="846"/>
      <c r="F95" s="846"/>
      <c r="G95" s="860"/>
      <c r="H95" s="846"/>
      <c r="I95" s="846"/>
      <c r="J95" s="846"/>
      <c r="K95" s="846"/>
      <c r="L95" s="846"/>
      <c r="M95" s="846"/>
      <c r="N95" s="861"/>
    </row>
    <row r="96" spans="2:14" x14ac:dyDescent="0.2">
      <c r="B96" s="859"/>
      <c r="C96" s="846"/>
      <c r="D96" s="862" t="s">
        <v>3789</v>
      </c>
      <c r="E96" s="846"/>
      <c r="F96" s="846"/>
      <c r="G96" s="860"/>
      <c r="H96" s="846"/>
      <c r="I96" s="846"/>
      <c r="J96" s="846"/>
      <c r="K96" s="846"/>
      <c r="L96" s="846"/>
      <c r="M96" s="846"/>
      <c r="N96" s="861"/>
    </row>
    <row r="97" spans="2:14" x14ac:dyDescent="0.2">
      <c r="B97" s="859"/>
      <c r="C97" s="846"/>
      <c r="D97" s="862" t="s">
        <v>3790</v>
      </c>
      <c r="E97" s="846"/>
      <c r="F97" s="846"/>
      <c r="G97" s="860"/>
      <c r="H97" s="846"/>
      <c r="I97" s="846"/>
      <c r="J97" s="846"/>
      <c r="K97" s="846"/>
      <c r="L97" s="846"/>
      <c r="M97" s="846"/>
      <c r="N97" s="861"/>
    </row>
    <row r="98" spans="2:14" x14ac:dyDescent="0.2">
      <c r="B98" s="859"/>
      <c r="C98" s="846"/>
      <c r="D98" s="862" t="s">
        <v>3791</v>
      </c>
      <c r="E98" s="846"/>
      <c r="F98" s="846"/>
      <c r="G98" s="860"/>
      <c r="H98" s="846"/>
      <c r="I98" s="846"/>
      <c r="J98" s="846"/>
      <c r="K98" s="846"/>
      <c r="L98" s="846"/>
      <c r="M98" s="846"/>
      <c r="N98" s="861"/>
    </row>
    <row r="99" spans="2:14" x14ac:dyDescent="0.2">
      <c r="B99" s="859"/>
      <c r="C99" s="846"/>
      <c r="D99" s="862" t="s">
        <v>3792</v>
      </c>
      <c r="E99" s="846"/>
      <c r="F99" s="846"/>
      <c r="G99" s="860"/>
      <c r="H99" s="846"/>
      <c r="I99" s="846"/>
      <c r="J99" s="846"/>
      <c r="K99" s="846"/>
      <c r="L99" s="846"/>
      <c r="M99" s="846"/>
      <c r="N99" s="861"/>
    </row>
    <row r="100" spans="2:14" x14ac:dyDescent="0.2">
      <c r="B100" s="859"/>
      <c r="C100" s="846"/>
      <c r="D100" s="862" t="s">
        <v>3793</v>
      </c>
      <c r="E100" s="846"/>
      <c r="F100" s="846"/>
      <c r="G100" s="860"/>
      <c r="H100" s="846"/>
      <c r="I100" s="846"/>
      <c r="J100" s="846"/>
      <c r="K100" s="846"/>
      <c r="L100" s="846"/>
      <c r="M100" s="846"/>
      <c r="N100" s="861"/>
    </row>
    <row r="101" spans="2:14" ht="13.5" thickBot="1" x14ac:dyDescent="0.25">
      <c r="B101" s="865"/>
      <c r="C101" s="866"/>
      <c r="D101" s="867" t="s">
        <v>3794</v>
      </c>
      <c r="E101" s="866"/>
      <c r="F101" s="866"/>
      <c r="G101" s="868"/>
      <c r="H101" s="866"/>
      <c r="I101" s="866"/>
      <c r="J101" s="866"/>
      <c r="K101" s="866"/>
      <c r="L101" s="866"/>
      <c r="M101" s="866"/>
      <c r="N101" s="869"/>
    </row>
  </sheetData>
  <sheetProtection formatColumns="0" formatRows="0"/>
  <dataConsolidate/>
  <customSheetViews>
    <customSheetView guid="{13F24B0A-7740-483A-BEF7-5257F8522605}" scale="85" showGridLines="0" fitToPage="1" state="hidden">
      <selection activeCell="G42" sqref="G42"/>
      <pageMargins left="0.23622047244094491" right="0.23622047244094491" top="0.51181102362204722" bottom="0.59055118110236227" header="0.31496062992125984" footer="0.31496062992125984"/>
      <printOptions horizontalCentered="1"/>
      <pageSetup paperSize="9" scale="78" fitToHeight="8" orientation="landscape" r:id="rId1"/>
      <headerFooter alignWithMargins="0">
        <oddFooter>&amp;C&amp;P / &amp;N</oddFooter>
      </headerFooter>
    </customSheetView>
  </customSheetViews>
  <hyperlinks>
    <hyperlink ref="B35" location="ExportResultsModel!1:2" display="Rows 1 &amp; 2" xr:uid="{00000000-0004-0000-1C00-000000000000}"/>
    <hyperlink ref="B37" location="Results_Session_Header" display="Results_Session_Header" xr:uid="{00000000-0004-0000-1C00-000001000000}"/>
    <hyperlink ref="B43" location="Results_Match_Even" display="Results_Match_Even" xr:uid="{00000000-0004-0000-1C00-000002000000}"/>
    <hyperlink ref="B42" location="Results_Match_First" display="Results_Match_First" xr:uid="{00000000-0004-0000-1C00-000003000000}"/>
    <hyperlink ref="B44" location="Results_Match_Odd" display="Results_Match_Odd" xr:uid="{00000000-0004-0000-1C00-000004000000}"/>
    <hyperlink ref="B48" location="Results_Group_Header" display="Results_Group_Header" xr:uid="{00000000-0004-0000-1C00-000005000000}"/>
    <hyperlink ref="B49" location="Results_Group_FirstLine" display="Results_Group_FirstLine" xr:uid="{00000000-0004-0000-1C00-000006000000}"/>
    <hyperlink ref="B51" location="Results_Group_OddLine" display="Results_Group_OddLine" xr:uid="{00000000-0004-0000-1C00-000007000000}"/>
    <hyperlink ref="B50" location="Results_Group_EvenLine" display="Results_Group_EvenLine" xr:uid="{00000000-0004-0000-1C00-000008000000}"/>
    <hyperlink ref="B60" location="Results_Match_Team_Even" display="Results_Match_Team_Even" xr:uid="{00000000-0004-0000-1C00-000009000000}"/>
    <hyperlink ref="B59" location="Results_Match_Team_First" display="Results_Match_Team_First" xr:uid="{00000000-0004-0000-1C00-00000A000000}"/>
    <hyperlink ref="B61" location="Results_Match_Team_Odd" display="Results_Match_Team_Odd" xr:uid="{00000000-0004-0000-1C00-00000B000000}"/>
    <hyperlink ref="B89" location="Results_Group_Header_Team" display="Results_Group_Header_Team" xr:uid="{00000000-0004-0000-1C00-00000C000000}"/>
    <hyperlink ref="B90" location="Results_Group_FirstLine_Team" display="Results_Group_FirstLine_Team" xr:uid="{00000000-0004-0000-1C00-00000D000000}"/>
    <hyperlink ref="B93" location="Results_Group_LastLine_Team" display="Results_Group_LastLine_Team" xr:uid="{00000000-0004-0000-1C00-00000E000000}"/>
    <hyperlink ref="B92" location="Results_Group_OddLine_Team" display="Results_Group_OddLine_Team" xr:uid="{00000000-0004-0000-1C00-00000F000000}"/>
    <hyperlink ref="B91" location="Results_Group_EvenLine_Team" display="Results_Group_EvenLine_Team" xr:uid="{00000000-0004-0000-1C00-000010000000}"/>
    <hyperlink ref="B66" location="Results_Match_TeamMatch" display="Results_Match_TeamMatch" xr:uid="{00000000-0004-0000-1C00-000011000000}"/>
    <hyperlink ref="B76" location="Results_Match_TeamSubstitute" display="Results_Match_TeamSubstitute" xr:uid="{00000000-0004-0000-1C00-000012000000}"/>
    <hyperlink ref="B84" location="Results_Match_TeamShouts" display="Results_Match_TeamShouts" xr:uid="{00000000-0004-0000-1C00-000013000000}"/>
    <hyperlink ref="B52" location="Results_Group_LastLine" display="Results_Group_LastLine" xr:uid="{00000000-0004-0000-1C00-000014000000}"/>
    <hyperlink ref="B33" location="ExportResultsModel!Tounament_Title" display="Tournament_Title" xr:uid="{00000000-0004-0000-1C00-000015000000}"/>
    <hyperlink ref="B71" location="Results_Match_TeamLastMatch" display="Results_Match_TeamLastMatch" xr:uid="{00000000-0004-0000-1C00-000016000000}"/>
    <hyperlink ref="B80" location="Results_Match_TeamSubstituteEnd" display="Results_Match_TeamSubstituteEnd" xr:uid="{00000000-0004-0000-1C00-000017000000}"/>
  </hyperlinks>
  <printOptions horizontalCentered="1"/>
  <pageMargins left="0.23622047244094491" right="0.23622047244094491" top="0.51181102362204722" bottom="0.59055118110236227" header="0.31496062992125984" footer="0.31496062992125984"/>
  <pageSetup paperSize="9" scale="78" fitToHeight="8" orientation="landscape" r:id="rId2"/>
  <headerFooter alignWithMargins="0">
    <oddFooter>&amp;C&amp;P / &amp;N</oddFooter>
  </headerFooter>
  <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t_Planning">
    <tabColor rgb="FFFFFF00"/>
    <outlinePr summaryBelow="0"/>
  </sheetPr>
  <dimension ref="A1:XFC135"/>
  <sheetViews>
    <sheetView showGridLines="0" zoomScaleNormal="100" workbookViewId="0">
      <pane ySplit="3" topLeftCell="A76" activePane="bottomLeft" state="frozen"/>
      <selection activeCell="C12" sqref="C12"/>
      <selection pane="bottomLeft" activeCell="M100" sqref="M100"/>
    </sheetView>
  </sheetViews>
  <sheetFormatPr baseColWidth="10" defaultColWidth="0" defaultRowHeight="12.75" outlineLevelRow="1" x14ac:dyDescent="0.2"/>
  <cols>
    <col min="1" max="1" width="8.85546875" style="1495" customWidth="1"/>
    <col min="2" max="2" width="1.42578125" customWidth="1"/>
    <col min="3" max="3" width="24.28515625" bestFit="1" customWidth="1"/>
    <col min="4" max="4" width="2" customWidth="1"/>
    <col min="5" max="5" width="9.28515625" customWidth="1"/>
    <col min="6" max="6" width="2.42578125" customWidth="1"/>
    <col min="7" max="7" width="2.85546875" style="7" hidden="1" customWidth="1"/>
    <col min="8" max="8" width="11" hidden="1" customWidth="1"/>
    <col min="9" max="10" width="2.85546875" hidden="1" customWidth="1"/>
    <col min="11" max="11" width="15.7109375" hidden="1" customWidth="1"/>
    <col min="12" max="12" width="32.28515625" style="14" bestFit="1" customWidth="1"/>
    <col min="13" max="13" width="4" style="14" customWidth="1"/>
    <col min="14" max="14" width="2.140625" customWidth="1"/>
    <col min="15" max="15" width="4.28515625" style="14" customWidth="1"/>
    <col min="16" max="16" width="32.28515625" bestFit="1" customWidth="1"/>
    <col min="17" max="17" width="4.140625" style="14" bestFit="1" customWidth="1"/>
    <col min="18" max="18" width="3.42578125" style="14" bestFit="1" customWidth="1"/>
    <col min="19" max="19" width="1.5703125" bestFit="1" customWidth="1"/>
    <col min="20" max="20" width="3.28515625" style="14" customWidth="1"/>
    <col min="21" max="21" width="1.42578125" hidden="1" customWidth="1"/>
    <col min="22" max="23" width="30.85546875" hidden="1" customWidth="1"/>
    <col min="24" max="25" width="2" hidden="1" customWidth="1"/>
    <col min="26" max="26" width="5.7109375" hidden="1" customWidth="1"/>
    <col min="27" max="27" width="32.28515625" style="14" bestFit="1" customWidth="1"/>
    <col min="28" max="28" width="3.42578125" customWidth="1"/>
    <col min="29" max="29" width="3.28515625" customWidth="1"/>
    <col min="30" max="30" width="23" hidden="1" customWidth="1"/>
    <col min="31" max="31" width="5" hidden="1" customWidth="1"/>
    <col min="32" max="32" width="5.5703125" hidden="1" customWidth="1"/>
    <col min="33" max="37" width="5" hidden="1" customWidth="1"/>
    <col min="38" max="38" width="15.42578125" style="11" customWidth="1"/>
    <col min="39" max="39" width="16.85546875" style="11" customWidth="1"/>
    <col min="40" max="40" width="12.7109375" style="11" customWidth="1"/>
    <col min="41" max="41" width="14.140625" style="11" customWidth="1"/>
    <col min="42" max="42" width="13" style="11" customWidth="1"/>
    <col min="43" max="43" width="4.28515625" style="7" customWidth="1"/>
    <col min="44" max="255" width="11.42578125" style="7" hidden="1"/>
    <col min="256" max="16383" width="0" style="7" hidden="1"/>
    <col min="16384" max="16384" width="3.28515625" style="7" hidden="1"/>
  </cols>
  <sheetData>
    <row r="1" spans="1:42" ht="13.5" thickTop="1" x14ac:dyDescent="0.2">
      <c r="A1" s="767"/>
      <c r="B1" s="768"/>
      <c r="C1" s="1322" t="str">
        <f>N_PlanningTitle</f>
        <v>PLANNING</v>
      </c>
      <c r="D1" s="1323"/>
      <c r="E1" s="1323"/>
      <c r="F1" s="1323"/>
      <c r="G1" s="1322"/>
      <c r="H1" s="1322"/>
      <c r="I1" s="1322"/>
      <c r="J1" s="1322"/>
      <c r="K1" s="1322"/>
      <c r="L1" s="1325"/>
      <c r="M1" s="1325"/>
      <c r="N1" s="1325"/>
      <c r="O1" s="1325"/>
      <c r="P1" s="1325"/>
      <c r="Q1" s="1325"/>
      <c r="R1" s="1325"/>
      <c r="S1" s="1325"/>
      <c r="T1" s="1325"/>
      <c r="U1" s="1323"/>
      <c r="V1" s="1323"/>
      <c r="W1" s="1323"/>
      <c r="X1" s="1323"/>
      <c r="Y1" s="1323"/>
      <c r="Z1" s="1323"/>
      <c r="AA1" s="1324"/>
      <c r="AB1" s="775"/>
      <c r="AC1" s="7"/>
      <c r="AL1" s="2329" t="str">
        <f>N_CheckReferee_Club_InGroup</f>
        <v>Arbitre du même Club qu'un des joueurs de la poule</v>
      </c>
      <c r="AM1" s="2329" t="str">
        <f>N_CheckReferee_Nat_InGroup</f>
        <v>Arbitre de même Nationalité qu'un des joueurs de la poule</v>
      </c>
      <c r="AN1" s="2329" t="str">
        <f>N_CheckReferee_SameClub</f>
        <v>Arbitre du même Club qu'un des joueurs</v>
      </c>
      <c r="AO1" s="2329" t="str">
        <f>N_CheckReferee_SameNat</f>
        <v>Arbitre de même Nationalité qu'un des joueurs</v>
      </c>
      <c r="AP1" s="2329" t="str">
        <f>N_CheckReferee_SameGroup</f>
        <v>Arbitre dans la même Poule qu'un des joueurs</v>
      </c>
    </row>
    <row r="2" spans="1:42" x14ac:dyDescent="0.2">
      <c r="A2" s="769"/>
      <c r="B2" s="770"/>
      <c r="C2" s="770"/>
      <c r="D2" s="770"/>
      <c r="E2" s="2111"/>
      <c r="F2" s="773"/>
      <c r="G2" s="1326"/>
      <c r="H2" s="770"/>
      <c r="I2" s="770"/>
      <c r="J2" s="770"/>
      <c r="K2" s="770"/>
      <c r="L2" s="1388" t="str">
        <f>N_Matches</f>
        <v>Matches</v>
      </c>
      <c r="M2" s="1389"/>
      <c r="N2" s="1389"/>
      <c r="O2" s="1389"/>
      <c r="P2" s="1389"/>
      <c r="Q2" s="425"/>
      <c r="R2" s="425"/>
      <c r="S2" s="426"/>
      <c r="T2" s="427"/>
      <c r="U2" s="770"/>
      <c r="V2" s="770"/>
      <c r="W2" s="770"/>
      <c r="X2" s="770"/>
      <c r="Y2" s="770"/>
      <c r="Z2" s="770"/>
      <c r="AA2" s="1318"/>
      <c r="AB2" s="1319"/>
      <c r="AC2" s="1890"/>
      <c r="AD2" s="1395"/>
      <c r="AE2" s="2323" t="s">
        <v>2110</v>
      </c>
      <c r="AF2" s="2323"/>
      <c r="AG2" s="2323"/>
      <c r="AH2" s="2323" t="s">
        <v>3822</v>
      </c>
      <c r="AI2" s="2323"/>
      <c r="AJ2" s="2323"/>
      <c r="AK2" s="2505"/>
      <c r="AL2" s="2330"/>
      <c r="AM2" s="2330"/>
      <c r="AN2" s="2330"/>
      <c r="AO2" s="2330"/>
      <c r="AP2" s="2330"/>
    </row>
    <row r="3" spans="1:42" ht="26.25" thickBot="1" x14ac:dyDescent="0.25">
      <c r="A3" s="428" t="str">
        <f>N_Heure</f>
        <v>Heure</v>
      </c>
      <c r="B3" s="771"/>
      <c r="C3" s="430" t="str">
        <f>N_Catégorie</f>
        <v>Stade de l'épreuve</v>
      </c>
      <c r="D3" s="772"/>
      <c r="E3" s="2112" t="str">
        <f>N_N__de_table</f>
        <v>N° de table</v>
      </c>
      <c r="F3" s="774"/>
      <c r="G3" s="771"/>
      <c r="H3" s="771"/>
      <c r="I3" s="771"/>
      <c r="J3" s="771"/>
      <c r="K3" s="774"/>
      <c r="L3" s="433" t="str">
        <f>N_Player1</f>
        <v>Joueur N° 1</v>
      </c>
      <c r="M3" s="434"/>
      <c r="N3" s="430" t="s">
        <v>769</v>
      </c>
      <c r="O3" s="434"/>
      <c r="P3" s="433" t="str">
        <f>N_Player2</f>
        <v>Joueur N° 2</v>
      </c>
      <c r="Q3" s="435" t="str">
        <f>N_MS</f>
        <v>MS</v>
      </c>
      <c r="R3" s="2326" t="str">
        <f>N_Diff</f>
        <v>Diff</v>
      </c>
      <c r="S3" s="2327"/>
      <c r="T3" s="2328"/>
      <c r="U3" s="772"/>
      <c r="V3" s="772"/>
      <c r="W3" s="772"/>
      <c r="X3" s="772"/>
      <c r="Y3" s="772"/>
      <c r="Z3" s="772"/>
      <c r="AA3" s="1320" t="str">
        <f>N_Arbitre</f>
        <v>Arbitre</v>
      </c>
      <c r="AB3" s="1321"/>
      <c r="AC3" s="1895"/>
      <c r="AD3" s="1395" t="s">
        <v>2109</v>
      </c>
      <c r="AE3" s="1395" t="s">
        <v>1568</v>
      </c>
      <c r="AF3" s="1395" t="s">
        <v>1589</v>
      </c>
      <c r="AG3" s="1395" t="s">
        <v>1554</v>
      </c>
      <c r="AH3" s="1395" t="str">
        <f>N_Winner</f>
        <v>Vainqueur</v>
      </c>
      <c r="AI3" s="1395" t="str">
        <f>N_Draw &amp; "1"</f>
        <v>Nul1</v>
      </c>
      <c r="AJ3" s="1395" t="str">
        <f>N_Draw &amp; "2"</f>
        <v>Nul2</v>
      </c>
      <c r="AK3" s="1395" t="str">
        <f>N_Loser</f>
        <v>Perdant</v>
      </c>
      <c r="AL3" s="2504"/>
      <c r="AM3" s="2504"/>
      <c r="AN3" s="2504"/>
      <c r="AO3" s="2504"/>
      <c r="AP3" s="2504"/>
    </row>
    <row r="4" spans="1:42" ht="15" customHeight="1" x14ac:dyDescent="0.2">
      <c r="A4" s="776">
        <v>0.35416666666666669</v>
      </c>
      <c r="B4" s="777"/>
      <c r="C4" s="778" t="str">
        <f t="shared" ref="C4:C132" si="0">N_Session</f>
        <v xml:space="preserve">Session N° </v>
      </c>
      <c r="D4" s="779"/>
      <c r="E4" s="780">
        <v>1</v>
      </c>
      <c r="F4" s="781"/>
      <c r="G4" s="782" t="s">
        <v>554</v>
      </c>
      <c r="H4" s="781"/>
      <c r="I4" s="781"/>
      <c r="J4" s="781"/>
      <c r="K4" s="781"/>
      <c r="L4" s="778" t="str">
        <f t="shared" ref="L4:L132" si="1">N_Duration</f>
        <v>Durée</v>
      </c>
      <c r="M4" s="783"/>
      <c r="N4" s="784" t="s">
        <v>1714</v>
      </c>
      <c r="O4" s="783"/>
      <c r="P4" s="785">
        <v>3.4722222222222224E-2</v>
      </c>
      <c r="Q4" s="786"/>
      <c r="R4" s="787"/>
      <c r="S4" s="783"/>
      <c r="T4" s="787"/>
      <c r="U4" s="783"/>
      <c r="V4" s="783"/>
      <c r="W4" s="783"/>
      <c r="X4" s="783"/>
      <c r="Y4" s="783"/>
      <c r="Z4" s="783"/>
      <c r="AA4" s="799"/>
      <c r="AB4" s="788"/>
      <c r="AC4" s="1394"/>
      <c r="AD4" s="1398"/>
      <c r="AE4" s="1398"/>
      <c r="AF4" s="1398"/>
      <c r="AG4" s="1398"/>
      <c r="AH4" s="1398"/>
      <c r="AI4" s="1398"/>
      <c r="AJ4" s="1398"/>
      <c r="AK4" s="1398"/>
      <c r="AL4" s="2219"/>
      <c r="AM4" s="2219"/>
      <c r="AN4" s="2219"/>
      <c r="AO4" s="2219"/>
      <c r="AP4" s="2219"/>
    </row>
    <row r="5" spans="1:42" outlineLevel="1" x14ac:dyDescent="0.2">
      <c r="A5" s="2227">
        <f t="shared" ref="A5:A12" ca="1" si="2">OFFSET(A5,-1,0)</f>
        <v>0.35416666666666669</v>
      </c>
      <c r="B5" s="815"/>
      <c r="C5" s="2226" t="str">
        <f>"D1_Tr1 - " &amp; N_Group &amp; " 1" &amp; " - " &amp; N_Round &amp; " 1"</f>
        <v>D1_Tr1 - Poule 1 - Tr 1</v>
      </c>
      <c r="D5" s="872"/>
      <c r="E5" s="119"/>
      <c r="F5" s="815"/>
      <c r="G5" s="817" t="s">
        <v>1715</v>
      </c>
      <c r="H5" s="817" t="str">
        <f t="shared" ref="H5:H12" si="3">IF(K5="","",SUBSTITUTE(MID(K5,1,SEARCH("!",K5,1)-1),"'",""))</f>
        <v>D1_Tr1</v>
      </c>
      <c r="I5" s="817">
        <f t="shared" ref="I5:I12" ca="1" si="4">IF(K5="","",CELL("row",INDIRECT(K5)))</f>
        <v>7</v>
      </c>
      <c r="J5" s="817">
        <f t="shared" ref="J5:J12" ca="1" si="5">IF(K5="","",CELL("col",INDIRECT(K5)))</f>
        <v>22</v>
      </c>
      <c r="K5" s="817" t="str">
        <f t="shared" ref="K5:K12" si="6">MID(Lire_Formule(L5),2,10000)</f>
        <v>D1_Tr1!V7</v>
      </c>
      <c r="L5" s="818" t="str">
        <f>D1_Tr1!V7</f>
        <v>Raphaël POMMIER (cae)</v>
      </c>
      <c r="M5" s="157">
        <v>8</v>
      </c>
      <c r="N5" s="394" t="s">
        <v>769</v>
      </c>
      <c r="O5" s="157">
        <v>3</v>
      </c>
      <c r="P5" s="818" t="str">
        <f t="shared" ref="P5:P12" ca="1" si="7">IF(K5="","",IF(G5="IT",INDIRECT(ADDRESS(I5+2,J5,4,TRUE,H5)),INDIRECT(ADDRESS(I5,J5+4,4,TRUE,H5))))</f>
        <v>Eric NASZALYI (iss)</v>
      </c>
      <c r="Q5" s="819"/>
      <c r="R5" s="397"/>
      <c r="S5" s="397"/>
      <c r="T5" s="397"/>
      <c r="U5" s="397"/>
      <c r="V5" s="820" t="str">
        <f t="shared" ref="V5:V12" ca="1" si="8">L5&amp;TEXT(A5,"hh:mm")</f>
        <v>Raphaël POMMIER (cae)08:30</v>
      </c>
      <c r="W5" s="820" t="str">
        <f t="shared" ref="W5:W12" ca="1" si="9">P5&amp;TEXT(A5,"hh:mm")</f>
        <v>Eric NASZALYI (iss)08:30</v>
      </c>
      <c r="X5" s="362">
        <f t="shared" ref="X5:X12" ca="1" si="10">IF(L5="",0,COUNTIF(PlayersAndHoursCol1,L5&amp;TEXT($A5,"hh:mm"))+COUNTIF(PlayersAndHoursCol2,L5&amp;TEXT($A5,"hh:mm")))</f>
        <v>1</v>
      </c>
      <c r="Y5" s="362">
        <f t="shared" ref="Y5:Y12" ca="1" si="11">IF(P5="",0,COUNTIF(PlayersAndHoursCol1,P5&amp;TEXT($A5,"hh:mm"))+COUNTIF(PlayersAndHoursCol2,P5&amp;TEXT($A5,"hh:mm")))</f>
        <v>1</v>
      </c>
      <c r="Z5" s="821" t="b">
        <f t="shared" ref="Z5:Z12" si="12">IF(AA5="",FALSE,NOT(AND(ISNA(MATCH(AA5&amp;TEXT($A5,"hh:mm"),PlayersAndHoursCol1,0)),ISNA(MATCH(AA5&amp;TEXT($A5,"hh:mm"),PlayersAndHoursCol2,0)),COUNTIF(AD:AD,AA5&amp;$A5)&lt;=1)))</f>
        <v>0</v>
      </c>
      <c r="AA5" s="2228"/>
      <c r="AB5" s="1327" t="s">
        <v>12955</v>
      </c>
      <c r="AD5" s="1395" t="str">
        <f t="shared" ref="AD5:AD12" ca="1" si="13">AA5&amp;A5</f>
        <v>0,354166666666667</v>
      </c>
      <c r="AE5" s="1395" t="str">
        <f>D1_Tr1!D1</f>
        <v>D1</v>
      </c>
      <c r="AF5" s="1395" t="s">
        <v>5462</v>
      </c>
      <c r="AG5" s="1395">
        <v>1</v>
      </c>
      <c r="AH5" s="1395" t="str">
        <f t="shared" ref="AH5:AH12" si="14">IF(OR(M5&gt;O5,R5&gt;T5),L5,IF(OR(M5&lt;O5,R5&lt;T5),P5,""))</f>
        <v>Raphaël POMMIER (cae)</v>
      </c>
      <c r="AI5" s="1395" t="str">
        <f t="shared" ref="AI5:AI12" si="15">IF(AND(M5&lt;&gt;"",M5=O5,R5=T5),L5,"")</f>
        <v/>
      </c>
      <c r="AJ5" s="1395" t="str">
        <f t="shared" ref="AJ5:AJ12" si="16">IF(AND(M5&lt;&gt;"",M5=O5,R5=T5),P5,"")</f>
        <v/>
      </c>
      <c r="AK5" s="1395" t="str">
        <f t="shared" ref="AK5:AK12" ca="1" si="17">IF(OR(M5&lt;O5,R5&lt;T5),L5,IF(OR(M5&gt;O5,R5&gt;T5),P5,""))</f>
        <v>Eric NASZALYI (iss)</v>
      </c>
      <c r="AL5" s="2220" t="str">
        <f t="shared" ref="AL5:AL12" si="18">IF(OR($AB5="",$AB5="V"),"",IF(MOD($AB5,10)=1,"XXX",""))</f>
        <v/>
      </c>
      <c r="AM5" s="2220" t="str">
        <f t="shared" ref="AM5:AM12" si="19">IF(OR($AB5="",$AB5="V"),"",IF(MOD($AB5,100)&gt;=10,"XXX",""))</f>
        <v/>
      </c>
      <c r="AN5" s="2220" t="str">
        <f t="shared" ref="AN5:AN12" si="20">IF(OR($AB5="",$AB5="V"),"",IF(MOD($AB5,1000)&gt;=100,"XXX",""))</f>
        <v/>
      </c>
      <c r="AO5" s="2220" t="str">
        <f t="shared" ref="AO5:AO12" si="21">IF(OR($AB5="",$AB5="V"),"",IF(MOD($AB5,10000)&gt;=1000,"XXX",""))</f>
        <v/>
      </c>
      <c r="AP5" s="2220" t="str">
        <f t="shared" ref="AP5:AP12" si="22">IF(OR($AB5="",$AB5="V"),"",IF(MOD($AB5,100000)&gt;=10000,"XXX",""))</f>
        <v/>
      </c>
    </row>
    <row r="6" spans="1:42" outlineLevel="1" x14ac:dyDescent="0.2">
      <c r="A6" s="2227">
        <f t="shared" ca="1" si="2"/>
        <v>0.35416666666666669</v>
      </c>
      <c r="B6" s="815"/>
      <c r="C6" s="2226" t="str">
        <f>"D1_Tr1 - " &amp; N_Group &amp; " 1" &amp; " - " &amp; N_Round &amp; " 1"</f>
        <v>D1_Tr1 - Poule 1 - Tr 1</v>
      </c>
      <c r="D6" s="872"/>
      <c r="E6" s="119"/>
      <c r="F6" s="815"/>
      <c r="G6" s="817" t="s">
        <v>1715</v>
      </c>
      <c r="H6" s="817" t="str">
        <f t="shared" si="3"/>
        <v>D1_Tr1</v>
      </c>
      <c r="I6" s="817">
        <f t="shared" ca="1" si="4"/>
        <v>8</v>
      </c>
      <c r="J6" s="817">
        <f t="shared" ca="1" si="5"/>
        <v>22</v>
      </c>
      <c r="K6" s="817" t="str">
        <f t="shared" si="6"/>
        <v>D1_Tr1!V8</v>
      </c>
      <c r="L6" s="818" t="str">
        <f>D1_Tr1!V8</f>
        <v>Théo MODESTE (iss)</v>
      </c>
      <c r="M6" s="157">
        <v>7</v>
      </c>
      <c r="N6" s="394" t="s">
        <v>769</v>
      </c>
      <c r="O6" s="157">
        <v>3</v>
      </c>
      <c r="P6" s="818" t="str">
        <f t="shared" ca="1" si="7"/>
        <v>Cédric PANDOLFI (sym)</v>
      </c>
      <c r="Q6" s="819"/>
      <c r="R6" s="397"/>
      <c r="S6" s="397"/>
      <c r="T6" s="397"/>
      <c r="U6" s="397"/>
      <c r="V6" s="820" t="str">
        <f t="shared" ca="1" si="8"/>
        <v>Théo MODESTE (iss)08:30</v>
      </c>
      <c r="W6" s="820" t="str">
        <f t="shared" ca="1" si="9"/>
        <v>Cédric PANDOLFI (sym)08:30</v>
      </c>
      <c r="X6" s="362">
        <f t="shared" ca="1" si="10"/>
        <v>1</v>
      </c>
      <c r="Y6" s="362">
        <f t="shared" ca="1" si="11"/>
        <v>1</v>
      </c>
      <c r="Z6" s="821" t="b">
        <f t="shared" si="12"/>
        <v>0</v>
      </c>
      <c r="AA6" s="2228"/>
      <c r="AB6" s="1327" t="s">
        <v>12955</v>
      </c>
      <c r="AD6" s="1395" t="str">
        <f t="shared" ca="1" si="13"/>
        <v>0,354166666666667</v>
      </c>
      <c r="AE6" s="1395" t="str">
        <f>D1_Tr1!D1</f>
        <v>D1</v>
      </c>
      <c r="AF6" s="1395" t="s">
        <v>5462</v>
      </c>
      <c r="AG6" s="1395">
        <v>1</v>
      </c>
      <c r="AH6" s="1395" t="str">
        <f t="shared" si="14"/>
        <v>Théo MODESTE (iss)</v>
      </c>
      <c r="AI6" s="1395" t="str">
        <f t="shared" si="15"/>
        <v/>
      </c>
      <c r="AJ6" s="1395" t="str">
        <f t="shared" si="16"/>
        <v/>
      </c>
      <c r="AK6" s="1395" t="str">
        <f t="shared" ca="1" si="17"/>
        <v>Cédric PANDOLFI (sym)</v>
      </c>
      <c r="AL6" s="2220" t="str">
        <f t="shared" si="18"/>
        <v/>
      </c>
      <c r="AM6" s="2220" t="str">
        <f t="shared" si="19"/>
        <v/>
      </c>
      <c r="AN6" s="2220" t="str">
        <f t="shared" si="20"/>
        <v/>
      </c>
      <c r="AO6" s="2220" t="str">
        <f t="shared" si="21"/>
        <v/>
      </c>
      <c r="AP6" s="2220" t="str">
        <f t="shared" si="22"/>
        <v/>
      </c>
    </row>
    <row r="7" spans="1:42" outlineLevel="1" x14ac:dyDescent="0.2">
      <c r="A7" s="2227">
        <f t="shared" ca="1" si="2"/>
        <v>0.35416666666666669</v>
      </c>
      <c r="B7" s="815"/>
      <c r="C7" s="2226" t="str">
        <f>"D1_Tr1 - " &amp; N_Group &amp; " 1" &amp; " - " &amp; N_Round &amp; " 1"</f>
        <v>D1_Tr1 - Poule 1 - Tr 1</v>
      </c>
      <c r="D7" s="872"/>
      <c r="E7" s="119"/>
      <c r="F7" s="815"/>
      <c r="G7" s="817" t="s">
        <v>1715</v>
      </c>
      <c r="H7" s="817" t="str">
        <f t="shared" si="3"/>
        <v>D1_Tr1</v>
      </c>
      <c r="I7" s="817">
        <f t="shared" ca="1" si="4"/>
        <v>9</v>
      </c>
      <c r="J7" s="817">
        <f t="shared" ca="1" si="5"/>
        <v>22</v>
      </c>
      <c r="K7" s="817" t="str">
        <f t="shared" si="6"/>
        <v>D1_Tr1!V9</v>
      </c>
      <c r="L7" s="818" t="str">
        <f>D1_Tr1!V9</f>
        <v>Thierry VIVRON (iss)</v>
      </c>
      <c r="M7" s="157">
        <v>6</v>
      </c>
      <c r="N7" s="394" t="s">
        <v>769</v>
      </c>
      <c r="O7" s="157">
        <v>3</v>
      </c>
      <c r="P7" s="818" t="str">
        <f t="shared" ca="1" si="7"/>
        <v>Cyprien BONNET (sym)</v>
      </c>
      <c r="Q7" s="819"/>
      <c r="R7" s="397"/>
      <c r="S7" s="397"/>
      <c r="T7" s="397"/>
      <c r="U7" s="397"/>
      <c r="V7" s="820" t="str">
        <f t="shared" ca="1" si="8"/>
        <v>Thierry VIVRON (iss)08:30</v>
      </c>
      <c r="W7" s="820" t="str">
        <f t="shared" ca="1" si="9"/>
        <v>Cyprien BONNET (sym)08:30</v>
      </c>
      <c r="X7" s="362">
        <f t="shared" ca="1" si="10"/>
        <v>1</v>
      </c>
      <c r="Y7" s="362">
        <f t="shared" ca="1" si="11"/>
        <v>1</v>
      </c>
      <c r="Z7" s="821" t="b">
        <f t="shared" si="12"/>
        <v>0</v>
      </c>
      <c r="AA7" s="2228"/>
      <c r="AB7" s="1327" t="s">
        <v>12955</v>
      </c>
      <c r="AD7" s="1395" t="str">
        <f t="shared" ca="1" si="13"/>
        <v>0,354166666666667</v>
      </c>
      <c r="AE7" s="1395" t="str">
        <f>D1_Tr1!D1</f>
        <v>D1</v>
      </c>
      <c r="AF7" s="1395" t="s">
        <v>5462</v>
      </c>
      <c r="AG7" s="1395">
        <v>1</v>
      </c>
      <c r="AH7" s="1395" t="str">
        <f t="shared" si="14"/>
        <v>Thierry VIVRON (iss)</v>
      </c>
      <c r="AI7" s="1395" t="str">
        <f t="shared" si="15"/>
        <v/>
      </c>
      <c r="AJ7" s="1395" t="str">
        <f t="shared" si="16"/>
        <v/>
      </c>
      <c r="AK7" s="1395" t="str">
        <f t="shared" ca="1" si="17"/>
        <v>Cyprien BONNET (sym)</v>
      </c>
      <c r="AL7" s="2220" t="str">
        <f t="shared" si="18"/>
        <v/>
      </c>
      <c r="AM7" s="2220" t="str">
        <f t="shared" si="19"/>
        <v/>
      </c>
      <c r="AN7" s="2220" t="str">
        <f t="shared" si="20"/>
        <v/>
      </c>
      <c r="AO7" s="2220" t="str">
        <f t="shared" si="21"/>
        <v/>
      </c>
      <c r="AP7" s="2220" t="str">
        <f t="shared" si="22"/>
        <v/>
      </c>
    </row>
    <row r="8" spans="1:42" outlineLevel="1" x14ac:dyDescent="0.2">
      <c r="A8" s="2227">
        <f t="shared" ca="1" si="2"/>
        <v>0.35416666666666669</v>
      </c>
      <c r="B8" s="815"/>
      <c r="C8" s="2226" t="str">
        <f>"D1_Tr1 - " &amp; N_Group &amp; " 1" &amp; " - " &amp; N_Round &amp; " 1"</f>
        <v>D1_Tr1 - Poule 1 - Tr 1</v>
      </c>
      <c r="D8" s="872"/>
      <c r="E8" s="119"/>
      <c r="F8" s="815"/>
      <c r="G8" s="817" t="s">
        <v>1715</v>
      </c>
      <c r="H8" s="817" t="str">
        <f t="shared" si="3"/>
        <v>D1_Tr1</v>
      </c>
      <c r="I8" s="817">
        <f t="shared" ca="1" si="4"/>
        <v>10</v>
      </c>
      <c r="J8" s="817">
        <f t="shared" ca="1" si="5"/>
        <v>22</v>
      </c>
      <c r="K8" s="817" t="str">
        <f t="shared" si="6"/>
        <v>D1_Tr1!V10</v>
      </c>
      <c r="L8" s="818" t="str">
        <f>D1_Tr1!V10</f>
        <v>David LEROY (puy)</v>
      </c>
      <c r="M8" s="157">
        <v>5</v>
      </c>
      <c r="N8" s="394" t="s">
        <v>769</v>
      </c>
      <c r="O8" s="157">
        <v>3</v>
      </c>
      <c r="P8" s="818" t="str">
        <f t="shared" ca="1" si="7"/>
        <v>Françoise GUYOT (chp)</v>
      </c>
      <c r="Q8" s="819"/>
      <c r="R8" s="397"/>
      <c r="S8" s="397"/>
      <c r="T8" s="397"/>
      <c r="U8" s="397"/>
      <c r="V8" s="820" t="str">
        <f t="shared" ca="1" si="8"/>
        <v>David LEROY (puy)08:30</v>
      </c>
      <c r="W8" s="820" t="str">
        <f t="shared" ca="1" si="9"/>
        <v>Françoise GUYOT (chp)08:30</v>
      </c>
      <c r="X8" s="362">
        <f t="shared" ca="1" si="10"/>
        <v>1</v>
      </c>
      <c r="Y8" s="362">
        <f t="shared" ca="1" si="11"/>
        <v>1</v>
      </c>
      <c r="Z8" s="821" t="b">
        <f t="shared" si="12"/>
        <v>0</v>
      </c>
      <c r="AA8" s="2228"/>
      <c r="AB8" s="1327" t="s">
        <v>12955</v>
      </c>
      <c r="AD8" s="1395" t="str">
        <f t="shared" ca="1" si="13"/>
        <v>0,354166666666667</v>
      </c>
      <c r="AE8" s="1395" t="str">
        <f>D1_Tr1!D1</f>
        <v>D1</v>
      </c>
      <c r="AF8" s="1395" t="s">
        <v>5462</v>
      </c>
      <c r="AG8" s="1395">
        <v>1</v>
      </c>
      <c r="AH8" s="1395" t="str">
        <f t="shared" si="14"/>
        <v>David LEROY (puy)</v>
      </c>
      <c r="AI8" s="1395" t="str">
        <f t="shared" si="15"/>
        <v/>
      </c>
      <c r="AJ8" s="1395" t="str">
        <f t="shared" si="16"/>
        <v/>
      </c>
      <c r="AK8" s="1395" t="str">
        <f t="shared" ca="1" si="17"/>
        <v>Françoise GUYOT (chp)</v>
      </c>
      <c r="AL8" s="2220" t="str">
        <f t="shared" si="18"/>
        <v/>
      </c>
      <c r="AM8" s="2220" t="str">
        <f t="shared" si="19"/>
        <v/>
      </c>
      <c r="AN8" s="2220" t="str">
        <f t="shared" si="20"/>
        <v/>
      </c>
      <c r="AO8" s="2220" t="str">
        <f t="shared" si="21"/>
        <v/>
      </c>
      <c r="AP8" s="2220" t="str">
        <f t="shared" si="22"/>
        <v/>
      </c>
    </row>
    <row r="9" spans="1:42" outlineLevel="1" x14ac:dyDescent="0.2">
      <c r="A9" s="2227">
        <f t="shared" ca="1" si="2"/>
        <v>0.35416666666666669</v>
      </c>
      <c r="B9" s="815"/>
      <c r="C9" s="2226" t="str">
        <f>"D1_Tr1 - " &amp; N_Group &amp; " 2" &amp; " - " &amp; N_Round &amp; " 1"</f>
        <v>D1_Tr1 - Poule 2 - Tr 1</v>
      </c>
      <c r="D9" s="872"/>
      <c r="E9" s="119"/>
      <c r="F9" s="815"/>
      <c r="G9" s="817" t="s">
        <v>1715</v>
      </c>
      <c r="H9" s="817" t="str">
        <f t="shared" si="3"/>
        <v>D1_Tr1</v>
      </c>
      <c r="I9" s="817">
        <f t="shared" ca="1" si="4"/>
        <v>39</v>
      </c>
      <c r="J9" s="817">
        <f t="shared" ca="1" si="5"/>
        <v>22</v>
      </c>
      <c r="K9" s="817" t="str">
        <f t="shared" si="6"/>
        <v>D1_Tr1!V39</v>
      </c>
      <c r="L9" s="818" t="str">
        <f>D1_Tr1!V39</f>
        <v>Stéphane POMMIER (cae)</v>
      </c>
      <c r="M9" s="157">
        <v>4</v>
      </c>
      <c r="N9" s="394" t="s">
        <v>769</v>
      </c>
      <c r="O9" s="157">
        <v>3</v>
      </c>
      <c r="P9" s="818" t="str">
        <f t="shared" ca="1" si="7"/>
        <v>Emmanuel GORGETTE (iss)</v>
      </c>
      <c r="Q9" s="819"/>
      <c r="R9" s="397"/>
      <c r="S9" s="397"/>
      <c r="T9" s="397"/>
      <c r="U9" s="397"/>
      <c r="V9" s="820" t="str">
        <f t="shared" ca="1" si="8"/>
        <v>Stéphane POMMIER (cae)08:30</v>
      </c>
      <c r="W9" s="820" t="str">
        <f t="shared" ca="1" si="9"/>
        <v>Emmanuel GORGETTE (iss)08:30</v>
      </c>
      <c r="X9" s="362">
        <f t="shared" ca="1" si="10"/>
        <v>1</v>
      </c>
      <c r="Y9" s="362">
        <f t="shared" ca="1" si="11"/>
        <v>1</v>
      </c>
      <c r="Z9" s="821" t="b">
        <f t="shared" si="12"/>
        <v>0</v>
      </c>
      <c r="AA9" s="2228"/>
      <c r="AB9" s="1327" t="s">
        <v>12955</v>
      </c>
      <c r="AD9" s="1395" t="str">
        <f t="shared" ca="1" si="13"/>
        <v>0,354166666666667</v>
      </c>
      <c r="AE9" s="1395" t="str">
        <f>D1_Tr1!D1</f>
        <v>D1</v>
      </c>
      <c r="AF9" s="1395" t="s">
        <v>5462</v>
      </c>
      <c r="AG9" s="1395">
        <v>1</v>
      </c>
      <c r="AH9" s="1395" t="str">
        <f t="shared" si="14"/>
        <v>Stéphane POMMIER (cae)</v>
      </c>
      <c r="AI9" s="1395" t="str">
        <f t="shared" si="15"/>
        <v/>
      </c>
      <c r="AJ9" s="1395" t="str">
        <f t="shared" si="16"/>
        <v/>
      </c>
      <c r="AK9" s="1395" t="str">
        <f t="shared" ca="1" si="17"/>
        <v>Emmanuel GORGETTE (iss)</v>
      </c>
      <c r="AL9" s="2220" t="str">
        <f t="shared" si="18"/>
        <v/>
      </c>
      <c r="AM9" s="2220" t="str">
        <f t="shared" si="19"/>
        <v/>
      </c>
      <c r="AN9" s="2220" t="str">
        <f t="shared" si="20"/>
        <v/>
      </c>
      <c r="AO9" s="2220" t="str">
        <f t="shared" si="21"/>
        <v/>
      </c>
      <c r="AP9" s="2220" t="str">
        <f t="shared" si="22"/>
        <v/>
      </c>
    </row>
    <row r="10" spans="1:42" outlineLevel="1" x14ac:dyDescent="0.2">
      <c r="A10" s="2227">
        <f t="shared" ca="1" si="2"/>
        <v>0.35416666666666669</v>
      </c>
      <c r="B10" s="815"/>
      <c r="C10" s="2226" t="str">
        <f>"D1_Tr1 - " &amp; N_Group &amp; " 2" &amp; " - " &amp; N_Round &amp; " 1"</f>
        <v>D1_Tr1 - Poule 2 - Tr 1</v>
      </c>
      <c r="D10" s="872"/>
      <c r="E10" s="119"/>
      <c r="F10" s="815"/>
      <c r="G10" s="817" t="s">
        <v>1715</v>
      </c>
      <c r="H10" s="817" t="str">
        <f t="shared" si="3"/>
        <v>D1_Tr1</v>
      </c>
      <c r="I10" s="817">
        <f t="shared" ca="1" si="4"/>
        <v>40</v>
      </c>
      <c r="J10" s="817">
        <f t="shared" ca="1" si="5"/>
        <v>22</v>
      </c>
      <c r="K10" s="817" t="str">
        <f t="shared" si="6"/>
        <v>D1_Tr1!V40</v>
      </c>
      <c r="L10" s="818" t="str">
        <f>D1_Tr1!V40</f>
        <v>Jean-Marie AMBERNY (iss)</v>
      </c>
      <c r="M10" s="157">
        <v>3</v>
      </c>
      <c r="N10" s="394" t="s">
        <v>769</v>
      </c>
      <c r="O10" s="157">
        <v>3</v>
      </c>
      <c r="P10" s="818" t="str">
        <f t="shared" ca="1" si="7"/>
        <v>Mickaël BLANC (sym)</v>
      </c>
      <c r="Q10" s="819"/>
      <c r="R10" s="397"/>
      <c r="S10" s="397"/>
      <c r="T10" s="397"/>
      <c r="U10" s="397"/>
      <c r="V10" s="820" t="str">
        <f t="shared" ca="1" si="8"/>
        <v>Jean-Marie AMBERNY (iss)08:30</v>
      </c>
      <c r="W10" s="820" t="str">
        <f t="shared" ca="1" si="9"/>
        <v>Mickaël BLANC (sym)08:30</v>
      </c>
      <c r="X10" s="362">
        <f t="shared" ca="1" si="10"/>
        <v>1</v>
      </c>
      <c r="Y10" s="362">
        <f t="shared" ca="1" si="11"/>
        <v>1</v>
      </c>
      <c r="Z10" s="821" t="b">
        <f t="shared" si="12"/>
        <v>0</v>
      </c>
      <c r="AA10" s="2228"/>
      <c r="AB10" s="1327" t="s">
        <v>12955</v>
      </c>
      <c r="AD10" s="1395" t="str">
        <f t="shared" ca="1" si="13"/>
        <v>0,354166666666667</v>
      </c>
      <c r="AE10" s="1395" t="str">
        <f>D1_Tr1!D1</f>
        <v>D1</v>
      </c>
      <c r="AF10" s="1395" t="s">
        <v>5462</v>
      </c>
      <c r="AG10" s="1395">
        <v>1</v>
      </c>
      <c r="AH10" s="1395" t="str">
        <f t="shared" si="14"/>
        <v/>
      </c>
      <c r="AI10" s="1395" t="str">
        <f t="shared" si="15"/>
        <v>Jean-Marie AMBERNY (iss)</v>
      </c>
      <c r="AJ10" s="1395" t="str">
        <f t="shared" ca="1" si="16"/>
        <v>Mickaël BLANC (sym)</v>
      </c>
      <c r="AK10" s="1395" t="str">
        <f t="shared" si="17"/>
        <v/>
      </c>
      <c r="AL10" s="2220" t="str">
        <f t="shared" si="18"/>
        <v/>
      </c>
      <c r="AM10" s="2220" t="str">
        <f t="shared" si="19"/>
        <v/>
      </c>
      <c r="AN10" s="2220" t="str">
        <f t="shared" si="20"/>
        <v/>
      </c>
      <c r="AO10" s="2220" t="str">
        <f t="shared" si="21"/>
        <v/>
      </c>
      <c r="AP10" s="2220" t="str">
        <f t="shared" si="22"/>
        <v/>
      </c>
    </row>
    <row r="11" spans="1:42" outlineLevel="1" x14ac:dyDescent="0.2">
      <c r="A11" s="2227">
        <f t="shared" ca="1" si="2"/>
        <v>0.35416666666666669</v>
      </c>
      <c r="B11" s="815"/>
      <c r="C11" s="2226" t="str">
        <f>"D1_Tr1 - " &amp; N_Group &amp; " 2" &amp; " - " &amp; N_Round &amp; " 1"</f>
        <v>D1_Tr1 - Poule 2 - Tr 1</v>
      </c>
      <c r="D11" s="872"/>
      <c r="E11" s="119"/>
      <c r="F11" s="815"/>
      <c r="G11" s="817" t="s">
        <v>1715</v>
      </c>
      <c r="H11" s="817" t="str">
        <f t="shared" si="3"/>
        <v>D1_Tr1</v>
      </c>
      <c r="I11" s="817">
        <f t="shared" ca="1" si="4"/>
        <v>41</v>
      </c>
      <c r="J11" s="817">
        <f t="shared" ca="1" si="5"/>
        <v>22</v>
      </c>
      <c r="K11" s="817" t="str">
        <f t="shared" si="6"/>
        <v>D1_Tr1!V41</v>
      </c>
      <c r="L11" s="818" t="str">
        <f>D1_Tr1!V41</f>
        <v>Axel DONVAL (iss)</v>
      </c>
      <c r="M11" s="157">
        <v>2</v>
      </c>
      <c r="N11" s="394" t="s">
        <v>769</v>
      </c>
      <c r="O11" s="157">
        <v>3</v>
      </c>
      <c r="P11" s="818" t="str">
        <f t="shared" ca="1" si="7"/>
        <v>Quentin AUSSET (chp)</v>
      </c>
      <c r="Q11" s="819"/>
      <c r="R11" s="397"/>
      <c r="S11" s="397"/>
      <c r="T11" s="397"/>
      <c r="U11" s="397"/>
      <c r="V11" s="820" t="str">
        <f t="shared" ca="1" si="8"/>
        <v>Axel DONVAL (iss)08:30</v>
      </c>
      <c r="W11" s="820" t="str">
        <f t="shared" ca="1" si="9"/>
        <v>Quentin AUSSET (chp)08:30</v>
      </c>
      <c r="X11" s="362">
        <f t="shared" ca="1" si="10"/>
        <v>1</v>
      </c>
      <c r="Y11" s="362">
        <f t="shared" ca="1" si="11"/>
        <v>1</v>
      </c>
      <c r="Z11" s="821" t="b">
        <f t="shared" si="12"/>
        <v>0</v>
      </c>
      <c r="AA11" s="2228"/>
      <c r="AB11" s="1327" t="s">
        <v>12955</v>
      </c>
      <c r="AD11" s="1395" t="str">
        <f t="shared" ca="1" si="13"/>
        <v>0,354166666666667</v>
      </c>
      <c r="AE11" s="1395" t="str">
        <f>D1_Tr1!D1</f>
        <v>D1</v>
      </c>
      <c r="AF11" s="1395" t="s">
        <v>5462</v>
      </c>
      <c r="AG11" s="1395">
        <v>1</v>
      </c>
      <c r="AH11" s="1395" t="str">
        <f t="shared" ca="1" si="14"/>
        <v>Quentin AUSSET (chp)</v>
      </c>
      <c r="AI11" s="1395" t="str">
        <f t="shared" si="15"/>
        <v/>
      </c>
      <c r="AJ11" s="1395" t="str">
        <f t="shared" si="16"/>
        <v/>
      </c>
      <c r="AK11" s="1395" t="str">
        <f t="shared" si="17"/>
        <v>Axel DONVAL (iss)</v>
      </c>
      <c r="AL11" s="2220" t="str">
        <f t="shared" si="18"/>
        <v/>
      </c>
      <c r="AM11" s="2220" t="str">
        <f t="shared" si="19"/>
        <v/>
      </c>
      <c r="AN11" s="2220" t="str">
        <f t="shared" si="20"/>
        <v/>
      </c>
      <c r="AO11" s="2220" t="str">
        <f t="shared" si="21"/>
        <v/>
      </c>
      <c r="AP11" s="2220" t="str">
        <f t="shared" si="22"/>
        <v/>
      </c>
    </row>
    <row r="12" spans="1:42" ht="13.5" outlineLevel="1" thickBot="1" x14ac:dyDescent="0.25">
      <c r="A12" s="2227">
        <f t="shared" ca="1" si="2"/>
        <v>0.35416666666666669</v>
      </c>
      <c r="B12" s="815"/>
      <c r="C12" s="2226" t="str">
        <f>"D1_Tr1 - " &amp; N_Group &amp; " 2" &amp; " - " &amp; N_Round &amp; " 1"</f>
        <v>D1_Tr1 - Poule 2 - Tr 1</v>
      </c>
      <c r="D12" s="872"/>
      <c r="E12" s="119"/>
      <c r="F12" s="815"/>
      <c r="G12" s="817" t="s">
        <v>1715</v>
      </c>
      <c r="H12" s="817" t="str">
        <f t="shared" si="3"/>
        <v>D1_Tr1</v>
      </c>
      <c r="I12" s="817">
        <f t="shared" ca="1" si="4"/>
        <v>42</v>
      </c>
      <c r="J12" s="817">
        <f t="shared" ca="1" si="5"/>
        <v>22</v>
      </c>
      <c r="K12" s="817" t="str">
        <f t="shared" si="6"/>
        <v>D1_Tr1!V42</v>
      </c>
      <c r="L12" s="818" t="str">
        <f>D1_Tr1!V42</f>
        <v>Jean-François BALARD (puy)</v>
      </c>
      <c r="M12" s="157">
        <v>1</v>
      </c>
      <c r="N12" s="394" t="s">
        <v>769</v>
      </c>
      <c r="O12" s="157">
        <v>3</v>
      </c>
      <c r="P12" s="818" t="str">
        <f t="shared" ca="1" si="7"/>
        <v>Audrey HERBAUT (chp)</v>
      </c>
      <c r="Q12" s="819"/>
      <c r="R12" s="397"/>
      <c r="S12" s="397"/>
      <c r="T12" s="397"/>
      <c r="U12" s="397"/>
      <c r="V12" s="820" t="str">
        <f t="shared" ca="1" si="8"/>
        <v>Jean-François BALARD (puy)08:30</v>
      </c>
      <c r="W12" s="820" t="str">
        <f t="shared" ca="1" si="9"/>
        <v>Audrey HERBAUT (chp)08:30</v>
      </c>
      <c r="X12" s="362">
        <f t="shared" ca="1" si="10"/>
        <v>1</v>
      </c>
      <c r="Y12" s="362">
        <f t="shared" ca="1" si="11"/>
        <v>1</v>
      </c>
      <c r="Z12" s="821" t="b">
        <f t="shared" si="12"/>
        <v>0</v>
      </c>
      <c r="AA12" s="2228"/>
      <c r="AB12" s="1327" t="s">
        <v>12955</v>
      </c>
      <c r="AD12" s="1395" t="str">
        <f t="shared" ca="1" si="13"/>
        <v>0,354166666666667</v>
      </c>
      <c r="AE12" s="1395" t="str">
        <f>D1_Tr1!D1</f>
        <v>D1</v>
      </c>
      <c r="AF12" s="1395" t="s">
        <v>5462</v>
      </c>
      <c r="AG12" s="1395">
        <v>1</v>
      </c>
      <c r="AH12" s="1395" t="str">
        <f t="shared" ca="1" si="14"/>
        <v>Audrey HERBAUT (chp)</v>
      </c>
      <c r="AI12" s="1395" t="str">
        <f t="shared" si="15"/>
        <v/>
      </c>
      <c r="AJ12" s="1395" t="str">
        <f t="shared" si="16"/>
        <v/>
      </c>
      <c r="AK12" s="1395" t="str">
        <f t="shared" si="17"/>
        <v>Jean-François BALARD (puy)</v>
      </c>
      <c r="AL12" s="2220" t="str">
        <f t="shared" si="18"/>
        <v/>
      </c>
      <c r="AM12" s="2220" t="str">
        <f t="shared" si="19"/>
        <v/>
      </c>
      <c r="AN12" s="2220" t="str">
        <f t="shared" si="20"/>
        <v/>
      </c>
      <c r="AO12" s="2220" t="str">
        <f t="shared" si="21"/>
        <v/>
      </c>
      <c r="AP12" s="2220" t="str">
        <f t="shared" si="22"/>
        <v/>
      </c>
    </row>
    <row r="13" spans="1:42" ht="15" x14ac:dyDescent="0.2">
      <c r="A13" s="789">
        <f>A4+P4</f>
        <v>0.3888888888888889</v>
      </c>
      <c r="B13" s="790"/>
      <c r="C13" s="791" t="str">
        <f t="shared" ref="C13" si="23">N_Session</f>
        <v xml:space="preserve">Session N° </v>
      </c>
      <c r="D13" s="792"/>
      <c r="E13" s="793">
        <f>E4+ 1</f>
        <v>2</v>
      </c>
      <c r="F13" s="794"/>
      <c r="G13" s="795" t="str">
        <f>"S" &amp; RIGHT(G4, LEN(G4)-1) + 1</f>
        <v>S2</v>
      </c>
      <c r="H13" s="794"/>
      <c r="I13" s="794"/>
      <c r="J13" s="794"/>
      <c r="K13" s="794"/>
      <c r="L13" s="791" t="str">
        <f t="shared" ref="L13" si="24">N_Duration</f>
        <v>Durée</v>
      </c>
      <c r="M13" s="796"/>
      <c r="N13" s="797" t="s">
        <v>1714</v>
      </c>
      <c r="O13" s="796"/>
      <c r="P13" s="785">
        <v>3.4722222222222224E-2</v>
      </c>
      <c r="Q13" s="799"/>
      <c r="R13" s="800"/>
      <c r="S13" s="796"/>
      <c r="T13" s="800"/>
      <c r="U13" s="796"/>
      <c r="V13" s="796"/>
      <c r="W13" s="796"/>
      <c r="X13" s="796"/>
      <c r="Y13" s="796"/>
      <c r="Z13" s="796"/>
      <c r="AA13" s="799"/>
      <c r="AB13" s="801"/>
      <c r="AC13" s="1394"/>
      <c r="AD13" s="1394"/>
      <c r="AE13" s="1394"/>
      <c r="AF13" s="1394"/>
      <c r="AG13" s="1394"/>
      <c r="AH13" s="1394"/>
      <c r="AI13" s="1394"/>
      <c r="AJ13" s="1394"/>
      <c r="AK13" s="1394"/>
      <c r="AL13" s="2219"/>
      <c r="AM13" s="2219"/>
      <c r="AN13" s="2219"/>
      <c r="AO13" s="2219"/>
      <c r="AP13" s="2219"/>
    </row>
    <row r="14" spans="1:42" outlineLevel="1" x14ac:dyDescent="0.2">
      <c r="A14" s="2227">
        <f t="shared" ref="A14:A21" ca="1" si="25">OFFSET(A14,-1,0)</f>
        <v>0.3888888888888889</v>
      </c>
      <c r="B14" s="815"/>
      <c r="C14" s="2226" t="str">
        <f>"D1_Tr1 - " &amp; N_Group &amp; " 1" &amp; " - " &amp; N_Round &amp; " 2"</f>
        <v>D1_Tr1 - Poule 1 - Tr 2</v>
      </c>
      <c r="D14" s="872"/>
      <c r="E14" s="119"/>
      <c r="F14" s="815"/>
      <c r="G14" s="817" t="s">
        <v>1715</v>
      </c>
      <c r="H14" s="817" t="str">
        <f t="shared" ref="H14:H21" si="26">IF(K14="","",SUBSTITUTE(MID(K14,1,SEARCH("!",K14,1)-1),"'",""))</f>
        <v>D1_Tr1</v>
      </c>
      <c r="I14" s="817">
        <f t="shared" ref="I14:I21" ca="1" si="27">IF(K14="","",CELL("row",INDIRECT(K14)))</f>
        <v>11</v>
      </c>
      <c r="J14" s="817">
        <f t="shared" ref="J14:J21" ca="1" si="28">IF(K14="","",CELL("col",INDIRECT(K14)))</f>
        <v>22</v>
      </c>
      <c r="K14" s="817" t="str">
        <f t="shared" ref="K14:K21" si="29">MID(Lire_Formule(L14),2,10000)</f>
        <v>D1_Tr1!V11</v>
      </c>
      <c r="L14" s="818" t="str">
        <f>D1_Tr1!V11</f>
        <v>Raphaël POMMIER (cae)</v>
      </c>
      <c r="M14" s="157">
        <v>8</v>
      </c>
      <c r="N14" s="394" t="s">
        <v>769</v>
      </c>
      <c r="O14" s="157">
        <v>3</v>
      </c>
      <c r="P14" s="818" t="str">
        <f t="shared" ref="P14:P21" ca="1" si="30">IF(K14="","",IF(G14="IT",INDIRECT(ADDRESS(I14+2,J14,4,TRUE,H14)),INDIRECT(ADDRESS(I14,J14+4,4,TRUE,H14))))</f>
        <v>David LEROY (puy)</v>
      </c>
      <c r="Q14" s="819"/>
      <c r="R14" s="397"/>
      <c r="S14" s="397"/>
      <c r="T14" s="397"/>
      <c r="U14" s="397"/>
      <c r="V14" s="820" t="str">
        <f t="shared" ref="V14:V21" ca="1" si="31">L14&amp;TEXT(A14,"hh:mm")</f>
        <v>Raphaël POMMIER (cae)09:20</v>
      </c>
      <c r="W14" s="820" t="str">
        <f t="shared" ref="W14:W21" ca="1" si="32">P14&amp;TEXT(A14,"hh:mm")</f>
        <v>David LEROY (puy)09:20</v>
      </c>
      <c r="X14" s="362">
        <f t="shared" ref="X14:X21" ca="1" si="33">IF(L14="",0,COUNTIF(PlayersAndHoursCol1,L14&amp;TEXT($A14,"hh:mm"))+COUNTIF(PlayersAndHoursCol2,L14&amp;TEXT($A14,"hh:mm")))</f>
        <v>1</v>
      </c>
      <c r="Y14" s="362">
        <f t="shared" ref="Y14:Y21" ca="1" si="34">IF(P14="",0,COUNTIF(PlayersAndHoursCol1,P14&amp;TEXT($A14,"hh:mm"))+COUNTIF(PlayersAndHoursCol2,P14&amp;TEXT($A14,"hh:mm")))</f>
        <v>1</v>
      </c>
      <c r="Z14" s="821" t="b">
        <f t="shared" ref="Z14:Z21" si="35">IF(AA14="",FALSE,NOT(AND(ISNA(MATCH(AA14&amp;TEXT($A14,"hh:mm"),PlayersAndHoursCol1,0)),ISNA(MATCH(AA14&amp;TEXT($A14,"hh:mm"),PlayersAndHoursCol2,0)),COUNTIF(AD:AD,AA14&amp;$A14)&lt;=1)))</f>
        <v>0</v>
      </c>
      <c r="AA14" s="2228"/>
      <c r="AB14" s="1327" t="s">
        <v>12955</v>
      </c>
      <c r="AD14" s="1395" t="str">
        <f t="shared" ref="AD14:AD21" ca="1" si="36">AA14&amp;A14</f>
        <v>0,388888888888889</v>
      </c>
      <c r="AE14" s="1395" t="str">
        <f>D1_Tr1!D1</f>
        <v>D1</v>
      </c>
      <c r="AF14" s="1395" t="s">
        <v>5462</v>
      </c>
      <c r="AG14" s="1395">
        <v>2</v>
      </c>
      <c r="AH14" s="1395" t="str">
        <f t="shared" ref="AH14:AH21" si="37">IF(OR(M14&gt;O14,R14&gt;T14),L14,IF(OR(M14&lt;O14,R14&lt;T14),P14,""))</f>
        <v>Raphaël POMMIER (cae)</v>
      </c>
      <c r="AI14" s="1395" t="str">
        <f t="shared" ref="AI14:AI21" si="38">IF(AND(M14&lt;&gt;"",M14=O14,R14=T14),L14,"")</f>
        <v/>
      </c>
      <c r="AJ14" s="1395" t="str">
        <f t="shared" ref="AJ14:AJ21" si="39">IF(AND(M14&lt;&gt;"",M14=O14,R14=T14),P14,"")</f>
        <v/>
      </c>
      <c r="AK14" s="1395" t="str">
        <f t="shared" ref="AK14:AK21" ca="1" si="40">IF(OR(M14&lt;O14,R14&lt;T14),L14,IF(OR(M14&gt;O14,R14&gt;T14),P14,""))</f>
        <v>David LEROY (puy)</v>
      </c>
      <c r="AL14" s="2220" t="str">
        <f t="shared" ref="AL14:AL21" si="41">IF(OR($AB14="",$AB14="V"),"",IF(MOD($AB14,10)=1,"XXX",""))</f>
        <v/>
      </c>
      <c r="AM14" s="2220" t="str">
        <f t="shared" ref="AM14:AM21" si="42">IF(OR($AB14="",$AB14="V"),"",IF(MOD($AB14,100)&gt;=10,"XXX",""))</f>
        <v/>
      </c>
      <c r="AN14" s="2220" t="str">
        <f t="shared" ref="AN14:AN21" si="43">IF(OR($AB14="",$AB14="V"),"",IF(MOD($AB14,1000)&gt;=100,"XXX",""))</f>
        <v/>
      </c>
      <c r="AO14" s="2220" t="str">
        <f t="shared" ref="AO14:AO21" si="44">IF(OR($AB14="",$AB14="V"),"",IF(MOD($AB14,10000)&gt;=1000,"XXX",""))</f>
        <v/>
      </c>
      <c r="AP14" s="2220" t="str">
        <f t="shared" ref="AP14:AP21" si="45">IF(OR($AB14="",$AB14="V"),"",IF(MOD($AB14,100000)&gt;=10000,"XXX",""))</f>
        <v/>
      </c>
    </row>
    <row r="15" spans="1:42" outlineLevel="1" x14ac:dyDescent="0.2">
      <c r="A15" s="2227">
        <f t="shared" ca="1" si="25"/>
        <v>0.3888888888888889</v>
      </c>
      <c r="B15" s="815"/>
      <c r="C15" s="2226" t="str">
        <f>"D1_Tr1 - " &amp; N_Group &amp; " 1" &amp; " - " &amp; N_Round &amp; " 2"</f>
        <v>D1_Tr1 - Poule 1 - Tr 2</v>
      </c>
      <c r="D15" s="872"/>
      <c r="E15" s="119"/>
      <c r="F15" s="815"/>
      <c r="G15" s="817" t="s">
        <v>1715</v>
      </c>
      <c r="H15" s="817" t="str">
        <f t="shared" si="26"/>
        <v>D1_Tr1</v>
      </c>
      <c r="I15" s="817">
        <f t="shared" ca="1" si="27"/>
        <v>12</v>
      </c>
      <c r="J15" s="817">
        <f t="shared" ca="1" si="28"/>
        <v>22</v>
      </c>
      <c r="K15" s="817" t="str">
        <f t="shared" si="29"/>
        <v>D1_Tr1!V12</v>
      </c>
      <c r="L15" s="818" t="str">
        <f>D1_Tr1!V12</f>
        <v>Théo MODESTE (iss)</v>
      </c>
      <c r="M15" s="157">
        <v>7</v>
      </c>
      <c r="N15" s="394" t="s">
        <v>769</v>
      </c>
      <c r="O15" s="157">
        <v>3</v>
      </c>
      <c r="P15" s="818" t="str">
        <f t="shared" ca="1" si="30"/>
        <v>Thierry VIVRON (iss)</v>
      </c>
      <c r="Q15" s="819"/>
      <c r="R15" s="397"/>
      <c r="S15" s="397"/>
      <c r="T15" s="397"/>
      <c r="U15" s="397"/>
      <c r="V15" s="820" t="str">
        <f t="shared" ca="1" si="31"/>
        <v>Théo MODESTE (iss)09:20</v>
      </c>
      <c r="W15" s="820" t="str">
        <f t="shared" ca="1" si="32"/>
        <v>Thierry VIVRON (iss)09:20</v>
      </c>
      <c r="X15" s="362">
        <f t="shared" ca="1" si="33"/>
        <v>1</v>
      </c>
      <c r="Y15" s="362">
        <f t="shared" ca="1" si="34"/>
        <v>1</v>
      </c>
      <c r="Z15" s="821" t="b">
        <f t="shared" si="35"/>
        <v>0</v>
      </c>
      <c r="AA15" s="2228"/>
      <c r="AB15" s="1327" t="s">
        <v>12955</v>
      </c>
      <c r="AD15" s="1395" t="str">
        <f t="shared" ca="1" si="36"/>
        <v>0,388888888888889</v>
      </c>
      <c r="AE15" s="1395" t="str">
        <f>D1_Tr1!D1</f>
        <v>D1</v>
      </c>
      <c r="AF15" s="1395" t="s">
        <v>5462</v>
      </c>
      <c r="AG15" s="1395">
        <v>2</v>
      </c>
      <c r="AH15" s="1395" t="str">
        <f t="shared" si="37"/>
        <v>Théo MODESTE (iss)</v>
      </c>
      <c r="AI15" s="1395" t="str">
        <f t="shared" si="38"/>
        <v/>
      </c>
      <c r="AJ15" s="1395" t="str">
        <f t="shared" si="39"/>
        <v/>
      </c>
      <c r="AK15" s="1395" t="str">
        <f t="shared" ca="1" si="40"/>
        <v>Thierry VIVRON (iss)</v>
      </c>
      <c r="AL15" s="2220" t="str">
        <f t="shared" si="41"/>
        <v/>
      </c>
      <c r="AM15" s="2220" t="str">
        <f t="shared" si="42"/>
        <v/>
      </c>
      <c r="AN15" s="2220" t="str">
        <f t="shared" si="43"/>
        <v/>
      </c>
      <c r="AO15" s="2220" t="str">
        <f t="shared" si="44"/>
        <v/>
      </c>
      <c r="AP15" s="2220" t="str">
        <f t="shared" si="45"/>
        <v/>
      </c>
    </row>
    <row r="16" spans="1:42" outlineLevel="1" x14ac:dyDescent="0.2">
      <c r="A16" s="2227">
        <f t="shared" ca="1" si="25"/>
        <v>0.3888888888888889</v>
      </c>
      <c r="B16" s="815"/>
      <c r="C16" s="2226" t="str">
        <f>"D1_Tr1 - " &amp; N_Group &amp; " 1" &amp; " - " &amp; N_Round &amp; " 2"</f>
        <v>D1_Tr1 - Poule 1 - Tr 2</v>
      </c>
      <c r="D16" s="872"/>
      <c r="E16" s="119"/>
      <c r="F16" s="815"/>
      <c r="G16" s="817" t="s">
        <v>1715</v>
      </c>
      <c r="H16" s="817" t="str">
        <f t="shared" si="26"/>
        <v>D1_Tr1</v>
      </c>
      <c r="I16" s="817">
        <f t="shared" ca="1" si="27"/>
        <v>13</v>
      </c>
      <c r="J16" s="817">
        <f t="shared" ca="1" si="28"/>
        <v>22</v>
      </c>
      <c r="K16" s="817" t="str">
        <f t="shared" si="29"/>
        <v>D1_Tr1!V13</v>
      </c>
      <c r="L16" s="818" t="str">
        <f>D1_Tr1!V13</f>
        <v>Eric NASZALYI (iss)</v>
      </c>
      <c r="M16" s="157">
        <v>6</v>
      </c>
      <c r="N16" s="394" t="s">
        <v>769</v>
      </c>
      <c r="O16" s="157">
        <v>3</v>
      </c>
      <c r="P16" s="818" t="str">
        <f t="shared" ca="1" si="30"/>
        <v>Cédric PANDOLFI (sym)</v>
      </c>
      <c r="Q16" s="819"/>
      <c r="R16" s="397"/>
      <c r="S16" s="397"/>
      <c r="T16" s="397"/>
      <c r="U16" s="397"/>
      <c r="V16" s="820" t="str">
        <f t="shared" ca="1" si="31"/>
        <v>Eric NASZALYI (iss)09:20</v>
      </c>
      <c r="W16" s="820" t="str">
        <f t="shared" ca="1" si="32"/>
        <v>Cédric PANDOLFI (sym)09:20</v>
      </c>
      <c r="X16" s="362">
        <f t="shared" ca="1" si="33"/>
        <v>1</v>
      </c>
      <c r="Y16" s="362">
        <f t="shared" ca="1" si="34"/>
        <v>1</v>
      </c>
      <c r="Z16" s="821" t="b">
        <f t="shared" si="35"/>
        <v>0</v>
      </c>
      <c r="AA16" s="2228"/>
      <c r="AB16" s="1327" t="s">
        <v>12955</v>
      </c>
      <c r="AD16" s="1395" t="str">
        <f t="shared" ca="1" si="36"/>
        <v>0,388888888888889</v>
      </c>
      <c r="AE16" s="1395" t="str">
        <f>D1_Tr1!D1</f>
        <v>D1</v>
      </c>
      <c r="AF16" s="1395" t="s">
        <v>5462</v>
      </c>
      <c r="AG16" s="1395">
        <v>2</v>
      </c>
      <c r="AH16" s="1395" t="str">
        <f t="shared" si="37"/>
        <v>Eric NASZALYI (iss)</v>
      </c>
      <c r="AI16" s="1395" t="str">
        <f t="shared" si="38"/>
        <v/>
      </c>
      <c r="AJ16" s="1395" t="str">
        <f t="shared" si="39"/>
        <v/>
      </c>
      <c r="AK16" s="1395" t="str">
        <f t="shared" ca="1" si="40"/>
        <v>Cédric PANDOLFI (sym)</v>
      </c>
      <c r="AL16" s="2220" t="str">
        <f t="shared" si="41"/>
        <v/>
      </c>
      <c r="AM16" s="2220" t="str">
        <f t="shared" si="42"/>
        <v/>
      </c>
      <c r="AN16" s="2220" t="str">
        <f t="shared" si="43"/>
        <v/>
      </c>
      <c r="AO16" s="2220" t="str">
        <f t="shared" si="44"/>
        <v/>
      </c>
      <c r="AP16" s="2220" t="str">
        <f t="shared" si="45"/>
        <v/>
      </c>
    </row>
    <row r="17" spans="1:42" outlineLevel="1" x14ac:dyDescent="0.2">
      <c r="A17" s="2227">
        <f t="shared" ca="1" si="25"/>
        <v>0.3888888888888889</v>
      </c>
      <c r="B17" s="815"/>
      <c r="C17" s="2226" t="str">
        <f>"D1_Tr1 - " &amp; N_Group &amp; " 1" &amp; " - " &amp; N_Round &amp; " 2"</f>
        <v>D1_Tr1 - Poule 1 - Tr 2</v>
      </c>
      <c r="D17" s="872"/>
      <c r="E17" s="119"/>
      <c r="F17" s="815"/>
      <c r="G17" s="817" t="s">
        <v>1715</v>
      </c>
      <c r="H17" s="817" t="str">
        <f t="shared" si="26"/>
        <v>D1_Tr1</v>
      </c>
      <c r="I17" s="817">
        <f t="shared" ca="1" si="27"/>
        <v>14</v>
      </c>
      <c r="J17" s="817">
        <f t="shared" ca="1" si="28"/>
        <v>22</v>
      </c>
      <c r="K17" s="817" t="str">
        <f t="shared" si="29"/>
        <v>D1_Tr1!V14</v>
      </c>
      <c r="L17" s="818" t="str">
        <f>D1_Tr1!V14</f>
        <v>Françoise GUYOT (chp)</v>
      </c>
      <c r="M17" s="157">
        <v>5</v>
      </c>
      <c r="N17" s="394" t="s">
        <v>769</v>
      </c>
      <c r="O17" s="157">
        <v>3</v>
      </c>
      <c r="P17" s="818" t="str">
        <f t="shared" ca="1" si="30"/>
        <v>Cyprien BONNET (sym)</v>
      </c>
      <c r="Q17" s="819"/>
      <c r="R17" s="397"/>
      <c r="S17" s="397"/>
      <c r="T17" s="397"/>
      <c r="U17" s="397"/>
      <c r="V17" s="820" t="str">
        <f t="shared" ca="1" si="31"/>
        <v>Françoise GUYOT (chp)09:20</v>
      </c>
      <c r="W17" s="820" t="str">
        <f t="shared" ca="1" si="32"/>
        <v>Cyprien BONNET (sym)09:20</v>
      </c>
      <c r="X17" s="362">
        <f t="shared" ca="1" si="33"/>
        <v>1</v>
      </c>
      <c r="Y17" s="362">
        <f t="shared" ca="1" si="34"/>
        <v>1</v>
      </c>
      <c r="Z17" s="821" t="b">
        <f t="shared" si="35"/>
        <v>0</v>
      </c>
      <c r="AA17" s="2228"/>
      <c r="AB17" s="1327" t="s">
        <v>12955</v>
      </c>
      <c r="AD17" s="1395" t="str">
        <f t="shared" ca="1" si="36"/>
        <v>0,388888888888889</v>
      </c>
      <c r="AE17" s="1395" t="str">
        <f>D1_Tr1!D1</f>
        <v>D1</v>
      </c>
      <c r="AF17" s="1395" t="s">
        <v>5462</v>
      </c>
      <c r="AG17" s="1395">
        <v>2</v>
      </c>
      <c r="AH17" s="1395" t="str">
        <f t="shared" si="37"/>
        <v>Françoise GUYOT (chp)</v>
      </c>
      <c r="AI17" s="1395" t="str">
        <f t="shared" si="38"/>
        <v/>
      </c>
      <c r="AJ17" s="1395" t="str">
        <f t="shared" si="39"/>
        <v/>
      </c>
      <c r="AK17" s="1395" t="str">
        <f t="shared" ca="1" si="40"/>
        <v>Cyprien BONNET (sym)</v>
      </c>
      <c r="AL17" s="2220" t="str">
        <f t="shared" si="41"/>
        <v/>
      </c>
      <c r="AM17" s="2220" t="str">
        <f t="shared" si="42"/>
        <v/>
      </c>
      <c r="AN17" s="2220" t="str">
        <f t="shared" si="43"/>
        <v/>
      </c>
      <c r="AO17" s="2220" t="str">
        <f t="shared" si="44"/>
        <v/>
      </c>
      <c r="AP17" s="2220" t="str">
        <f t="shared" si="45"/>
        <v/>
      </c>
    </row>
    <row r="18" spans="1:42" outlineLevel="1" x14ac:dyDescent="0.2">
      <c r="A18" s="2227">
        <f t="shared" ca="1" si="25"/>
        <v>0.3888888888888889</v>
      </c>
      <c r="B18" s="815"/>
      <c r="C18" s="2226" t="str">
        <f>"D1_Tr1 - " &amp; N_Group &amp; " 2" &amp; " - " &amp; N_Round &amp; " 2"</f>
        <v>D1_Tr1 - Poule 2 - Tr 2</v>
      </c>
      <c r="D18" s="872"/>
      <c r="E18" s="119"/>
      <c r="F18" s="815"/>
      <c r="G18" s="817" t="s">
        <v>1715</v>
      </c>
      <c r="H18" s="817" t="str">
        <f t="shared" si="26"/>
        <v>D1_Tr1</v>
      </c>
      <c r="I18" s="817">
        <f t="shared" ca="1" si="27"/>
        <v>43</v>
      </c>
      <c r="J18" s="817">
        <f t="shared" ca="1" si="28"/>
        <v>22</v>
      </c>
      <c r="K18" s="817" t="str">
        <f t="shared" si="29"/>
        <v>D1_Tr1!V43</v>
      </c>
      <c r="L18" s="818" t="str">
        <f>D1_Tr1!V43</f>
        <v>Stéphane POMMIER (cae)</v>
      </c>
      <c r="M18" s="157">
        <v>4</v>
      </c>
      <c r="N18" s="394" t="s">
        <v>769</v>
      </c>
      <c r="O18" s="157">
        <v>3</v>
      </c>
      <c r="P18" s="818" t="str">
        <f t="shared" ca="1" si="30"/>
        <v>Jean-François BALARD (puy)</v>
      </c>
      <c r="Q18" s="819"/>
      <c r="R18" s="397"/>
      <c r="S18" s="397"/>
      <c r="T18" s="397"/>
      <c r="U18" s="397"/>
      <c r="V18" s="820" t="str">
        <f t="shared" ca="1" si="31"/>
        <v>Stéphane POMMIER (cae)09:20</v>
      </c>
      <c r="W18" s="820" t="str">
        <f t="shared" ca="1" si="32"/>
        <v>Jean-François BALARD (puy)09:20</v>
      </c>
      <c r="X18" s="362">
        <f t="shared" ca="1" si="33"/>
        <v>1</v>
      </c>
      <c r="Y18" s="362">
        <f t="shared" ca="1" si="34"/>
        <v>1</v>
      </c>
      <c r="Z18" s="821" t="b">
        <f t="shared" si="35"/>
        <v>0</v>
      </c>
      <c r="AA18" s="2228"/>
      <c r="AB18" s="1327" t="s">
        <v>12955</v>
      </c>
      <c r="AD18" s="1395" t="str">
        <f t="shared" ca="1" si="36"/>
        <v>0,388888888888889</v>
      </c>
      <c r="AE18" s="1395" t="str">
        <f>D1_Tr1!D1</f>
        <v>D1</v>
      </c>
      <c r="AF18" s="1395" t="s">
        <v>5462</v>
      </c>
      <c r="AG18" s="1395">
        <v>2</v>
      </c>
      <c r="AH18" s="1395" t="str">
        <f t="shared" si="37"/>
        <v>Stéphane POMMIER (cae)</v>
      </c>
      <c r="AI18" s="1395" t="str">
        <f t="shared" si="38"/>
        <v/>
      </c>
      <c r="AJ18" s="1395" t="str">
        <f t="shared" si="39"/>
        <v/>
      </c>
      <c r="AK18" s="1395" t="str">
        <f t="shared" ca="1" si="40"/>
        <v>Jean-François BALARD (puy)</v>
      </c>
      <c r="AL18" s="2220" t="str">
        <f t="shared" si="41"/>
        <v/>
      </c>
      <c r="AM18" s="2220" t="str">
        <f t="shared" si="42"/>
        <v/>
      </c>
      <c r="AN18" s="2220" t="str">
        <f t="shared" si="43"/>
        <v/>
      </c>
      <c r="AO18" s="2220" t="str">
        <f t="shared" si="44"/>
        <v/>
      </c>
      <c r="AP18" s="2220" t="str">
        <f t="shared" si="45"/>
        <v/>
      </c>
    </row>
    <row r="19" spans="1:42" outlineLevel="1" x14ac:dyDescent="0.2">
      <c r="A19" s="2227">
        <f t="shared" ca="1" si="25"/>
        <v>0.3888888888888889</v>
      </c>
      <c r="B19" s="815"/>
      <c r="C19" s="2226" t="str">
        <f>"D1_Tr1 - " &amp; N_Group &amp; " 2" &amp; " - " &amp; N_Round &amp; " 2"</f>
        <v>D1_Tr1 - Poule 2 - Tr 2</v>
      </c>
      <c r="D19" s="872"/>
      <c r="E19" s="119"/>
      <c r="F19" s="815"/>
      <c r="G19" s="817" t="s">
        <v>1715</v>
      </c>
      <c r="H19" s="817" t="str">
        <f t="shared" si="26"/>
        <v>D1_Tr1</v>
      </c>
      <c r="I19" s="817">
        <f t="shared" ca="1" si="27"/>
        <v>44</v>
      </c>
      <c r="J19" s="817">
        <f t="shared" ca="1" si="28"/>
        <v>22</v>
      </c>
      <c r="K19" s="817" t="str">
        <f t="shared" si="29"/>
        <v>D1_Tr1!V44</v>
      </c>
      <c r="L19" s="818" t="str">
        <f>D1_Tr1!V44</f>
        <v>Jean-Marie AMBERNY (iss)</v>
      </c>
      <c r="M19" s="157">
        <v>3</v>
      </c>
      <c r="N19" s="394" t="s">
        <v>769</v>
      </c>
      <c r="O19" s="157">
        <v>3</v>
      </c>
      <c r="P19" s="818" t="str">
        <f t="shared" ca="1" si="30"/>
        <v>Axel DONVAL (iss)</v>
      </c>
      <c r="Q19" s="819"/>
      <c r="R19" s="397"/>
      <c r="S19" s="397"/>
      <c r="T19" s="397"/>
      <c r="U19" s="397"/>
      <c r="V19" s="820" t="str">
        <f t="shared" ca="1" si="31"/>
        <v>Jean-Marie AMBERNY (iss)09:20</v>
      </c>
      <c r="W19" s="820" t="str">
        <f t="shared" ca="1" si="32"/>
        <v>Axel DONVAL (iss)09:20</v>
      </c>
      <c r="X19" s="362">
        <f t="shared" ca="1" si="33"/>
        <v>1</v>
      </c>
      <c r="Y19" s="362">
        <f t="shared" ca="1" si="34"/>
        <v>1</v>
      </c>
      <c r="Z19" s="821" t="b">
        <f t="shared" si="35"/>
        <v>0</v>
      </c>
      <c r="AA19" s="2228"/>
      <c r="AB19" s="1327" t="s">
        <v>12955</v>
      </c>
      <c r="AD19" s="1395" t="str">
        <f t="shared" ca="1" si="36"/>
        <v>0,388888888888889</v>
      </c>
      <c r="AE19" s="1395" t="str">
        <f>D1_Tr1!D1</f>
        <v>D1</v>
      </c>
      <c r="AF19" s="1395" t="s">
        <v>5462</v>
      </c>
      <c r="AG19" s="1395">
        <v>2</v>
      </c>
      <c r="AH19" s="1395" t="str">
        <f t="shared" si="37"/>
        <v/>
      </c>
      <c r="AI19" s="1395" t="str">
        <f t="shared" si="38"/>
        <v>Jean-Marie AMBERNY (iss)</v>
      </c>
      <c r="AJ19" s="1395" t="str">
        <f t="shared" ca="1" si="39"/>
        <v>Axel DONVAL (iss)</v>
      </c>
      <c r="AK19" s="1395" t="str">
        <f t="shared" si="40"/>
        <v/>
      </c>
      <c r="AL19" s="2220" t="str">
        <f t="shared" si="41"/>
        <v/>
      </c>
      <c r="AM19" s="2220" t="str">
        <f t="shared" si="42"/>
        <v/>
      </c>
      <c r="AN19" s="2220" t="str">
        <f t="shared" si="43"/>
        <v/>
      </c>
      <c r="AO19" s="2220" t="str">
        <f t="shared" si="44"/>
        <v/>
      </c>
      <c r="AP19" s="2220" t="str">
        <f t="shared" si="45"/>
        <v/>
      </c>
    </row>
    <row r="20" spans="1:42" outlineLevel="1" x14ac:dyDescent="0.2">
      <c r="A20" s="2227">
        <f t="shared" ca="1" si="25"/>
        <v>0.3888888888888889</v>
      </c>
      <c r="B20" s="815"/>
      <c r="C20" s="2226" t="str">
        <f>"D1_Tr1 - " &amp; N_Group &amp; " 2" &amp; " - " &amp; N_Round &amp; " 2"</f>
        <v>D1_Tr1 - Poule 2 - Tr 2</v>
      </c>
      <c r="D20" s="872"/>
      <c r="E20" s="119"/>
      <c r="F20" s="815"/>
      <c r="G20" s="817" t="s">
        <v>1715</v>
      </c>
      <c r="H20" s="817" t="str">
        <f t="shared" si="26"/>
        <v>D1_Tr1</v>
      </c>
      <c r="I20" s="817">
        <f t="shared" ca="1" si="27"/>
        <v>45</v>
      </c>
      <c r="J20" s="817">
        <f t="shared" ca="1" si="28"/>
        <v>22</v>
      </c>
      <c r="K20" s="817" t="str">
        <f t="shared" si="29"/>
        <v>D1_Tr1!V45</v>
      </c>
      <c r="L20" s="818" t="str">
        <f>D1_Tr1!V45</f>
        <v>Emmanuel GORGETTE (iss)</v>
      </c>
      <c r="M20" s="157">
        <v>2</v>
      </c>
      <c r="N20" s="394" t="s">
        <v>769</v>
      </c>
      <c r="O20" s="157">
        <v>3</v>
      </c>
      <c r="P20" s="818" t="str">
        <f t="shared" ca="1" si="30"/>
        <v>Mickaël BLANC (sym)</v>
      </c>
      <c r="Q20" s="819"/>
      <c r="R20" s="397"/>
      <c r="S20" s="397"/>
      <c r="T20" s="397"/>
      <c r="U20" s="397"/>
      <c r="V20" s="820" t="str">
        <f t="shared" ca="1" si="31"/>
        <v>Emmanuel GORGETTE (iss)09:20</v>
      </c>
      <c r="W20" s="820" t="str">
        <f t="shared" ca="1" si="32"/>
        <v>Mickaël BLANC (sym)09:20</v>
      </c>
      <c r="X20" s="362">
        <f t="shared" ca="1" si="33"/>
        <v>1</v>
      </c>
      <c r="Y20" s="362">
        <f t="shared" ca="1" si="34"/>
        <v>1</v>
      </c>
      <c r="Z20" s="821" t="b">
        <f t="shared" si="35"/>
        <v>0</v>
      </c>
      <c r="AA20" s="2228"/>
      <c r="AB20" s="1327" t="s">
        <v>12955</v>
      </c>
      <c r="AD20" s="1395" t="str">
        <f t="shared" ca="1" si="36"/>
        <v>0,388888888888889</v>
      </c>
      <c r="AE20" s="1395" t="str">
        <f>D1_Tr1!D1</f>
        <v>D1</v>
      </c>
      <c r="AF20" s="1395" t="s">
        <v>5462</v>
      </c>
      <c r="AG20" s="1395">
        <v>2</v>
      </c>
      <c r="AH20" s="1395" t="str">
        <f t="shared" ca="1" si="37"/>
        <v>Mickaël BLANC (sym)</v>
      </c>
      <c r="AI20" s="1395" t="str">
        <f t="shared" si="38"/>
        <v/>
      </c>
      <c r="AJ20" s="1395" t="str">
        <f t="shared" si="39"/>
        <v/>
      </c>
      <c r="AK20" s="1395" t="str">
        <f t="shared" si="40"/>
        <v>Emmanuel GORGETTE (iss)</v>
      </c>
      <c r="AL20" s="2220" t="str">
        <f t="shared" si="41"/>
        <v/>
      </c>
      <c r="AM20" s="2220" t="str">
        <f t="shared" si="42"/>
        <v/>
      </c>
      <c r="AN20" s="2220" t="str">
        <f t="shared" si="43"/>
        <v/>
      </c>
      <c r="AO20" s="2220" t="str">
        <f t="shared" si="44"/>
        <v/>
      </c>
      <c r="AP20" s="2220" t="str">
        <f t="shared" si="45"/>
        <v/>
      </c>
    </row>
    <row r="21" spans="1:42" ht="13.5" outlineLevel="1" thickBot="1" x14ac:dyDescent="0.25">
      <c r="A21" s="2227">
        <f t="shared" ca="1" si="25"/>
        <v>0.3888888888888889</v>
      </c>
      <c r="B21" s="815"/>
      <c r="C21" s="2226" t="str">
        <f>"D1_Tr1 - " &amp; N_Group &amp; " 2" &amp; " - " &amp; N_Round &amp; " 2"</f>
        <v>D1_Tr1 - Poule 2 - Tr 2</v>
      </c>
      <c r="D21" s="872"/>
      <c r="E21" s="119"/>
      <c r="F21" s="815"/>
      <c r="G21" s="817" t="s">
        <v>1715</v>
      </c>
      <c r="H21" s="817" t="str">
        <f t="shared" si="26"/>
        <v>D1_Tr1</v>
      </c>
      <c r="I21" s="817">
        <f t="shared" ca="1" si="27"/>
        <v>46</v>
      </c>
      <c r="J21" s="817">
        <f t="shared" ca="1" si="28"/>
        <v>22</v>
      </c>
      <c r="K21" s="817" t="str">
        <f t="shared" si="29"/>
        <v>D1_Tr1!V46</v>
      </c>
      <c r="L21" s="818" t="str">
        <f>D1_Tr1!V46</f>
        <v>Audrey HERBAUT (chp)</v>
      </c>
      <c r="M21" s="157">
        <v>1</v>
      </c>
      <c r="N21" s="394" t="s">
        <v>769</v>
      </c>
      <c r="O21" s="157">
        <v>3</v>
      </c>
      <c r="P21" s="818" t="str">
        <f t="shared" ca="1" si="30"/>
        <v>Quentin AUSSET (chp)</v>
      </c>
      <c r="Q21" s="819"/>
      <c r="R21" s="397"/>
      <c r="S21" s="397"/>
      <c r="T21" s="397"/>
      <c r="U21" s="397"/>
      <c r="V21" s="820" t="str">
        <f t="shared" ca="1" si="31"/>
        <v>Audrey HERBAUT (chp)09:20</v>
      </c>
      <c r="W21" s="820" t="str">
        <f t="shared" ca="1" si="32"/>
        <v>Quentin AUSSET (chp)09:20</v>
      </c>
      <c r="X21" s="362">
        <f t="shared" ca="1" si="33"/>
        <v>1</v>
      </c>
      <c r="Y21" s="362">
        <f t="shared" ca="1" si="34"/>
        <v>1</v>
      </c>
      <c r="Z21" s="821" t="b">
        <f t="shared" si="35"/>
        <v>0</v>
      </c>
      <c r="AA21" s="2228"/>
      <c r="AB21" s="1327" t="s">
        <v>12955</v>
      </c>
      <c r="AD21" s="1395" t="str">
        <f t="shared" ca="1" si="36"/>
        <v>0,388888888888889</v>
      </c>
      <c r="AE21" s="1395" t="str">
        <f>D1_Tr1!D1</f>
        <v>D1</v>
      </c>
      <c r="AF21" s="1395" t="s">
        <v>5462</v>
      </c>
      <c r="AG21" s="1395">
        <v>2</v>
      </c>
      <c r="AH21" s="1395" t="str">
        <f t="shared" ca="1" si="37"/>
        <v>Quentin AUSSET (chp)</v>
      </c>
      <c r="AI21" s="1395" t="str">
        <f t="shared" si="38"/>
        <v/>
      </c>
      <c r="AJ21" s="1395" t="str">
        <f t="shared" si="39"/>
        <v/>
      </c>
      <c r="AK21" s="1395" t="str">
        <f t="shared" si="40"/>
        <v>Audrey HERBAUT (chp)</v>
      </c>
      <c r="AL21" s="2220" t="str">
        <f t="shared" si="41"/>
        <v/>
      </c>
      <c r="AM21" s="2220" t="str">
        <f t="shared" si="42"/>
        <v/>
      </c>
      <c r="AN21" s="2220" t="str">
        <f t="shared" si="43"/>
        <v/>
      </c>
      <c r="AO21" s="2220" t="str">
        <f t="shared" si="44"/>
        <v/>
      </c>
      <c r="AP21" s="2220" t="str">
        <f t="shared" si="45"/>
        <v/>
      </c>
    </row>
    <row r="22" spans="1:42" ht="15" x14ac:dyDescent="0.2">
      <c r="A22" s="789">
        <f>A13+P13</f>
        <v>0.4236111111111111</v>
      </c>
      <c r="B22" s="790"/>
      <c r="C22" s="791" t="str">
        <f t="shared" ref="C22" si="46">N_Session</f>
        <v xml:space="preserve">Session N° </v>
      </c>
      <c r="D22" s="792"/>
      <c r="E22" s="793">
        <f>E13+ 1</f>
        <v>3</v>
      </c>
      <c r="F22" s="794"/>
      <c r="G22" s="795" t="str">
        <f>"S" &amp; RIGHT(G13, LEN(G13)-1) + 1</f>
        <v>S3</v>
      </c>
      <c r="H22" s="794"/>
      <c r="I22" s="794"/>
      <c r="J22" s="794"/>
      <c r="K22" s="794"/>
      <c r="L22" s="791" t="str">
        <f t="shared" ref="L22" si="47">N_Duration</f>
        <v>Durée</v>
      </c>
      <c r="M22" s="796"/>
      <c r="N22" s="797" t="s">
        <v>1714</v>
      </c>
      <c r="O22" s="796"/>
      <c r="P22" s="785">
        <v>3.4722222222222224E-2</v>
      </c>
      <c r="Q22" s="799"/>
      <c r="R22" s="800"/>
      <c r="S22" s="796"/>
      <c r="T22" s="800"/>
      <c r="U22" s="796"/>
      <c r="V22" s="796"/>
      <c r="W22" s="796"/>
      <c r="X22" s="796"/>
      <c r="Y22" s="796"/>
      <c r="Z22" s="796"/>
      <c r="AA22" s="799"/>
      <c r="AB22" s="801"/>
      <c r="AC22" s="1394"/>
      <c r="AD22" s="1394"/>
      <c r="AE22" s="1394"/>
      <c r="AF22" s="1394"/>
      <c r="AG22" s="1394"/>
      <c r="AH22" s="1394"/>
      <c r="AI22" s="1394"/>
      <c r="AJ22" s="1394"/>
      <c r="AK22" s="1394"/>
      <c r="AL22" s="2219"/>
      <c r="AM22" s="2219"/>
      <c r="AN22" s="2219"/>
      <c r="AO22" s="2219"/>
      <c r="AP22" s="2219"/>
    </row>
    <row r="23" spans="1:42" outlineLevel="1" x14ac:dyDescent="0.2">
      <c r="A23" s="2227">
        <f t="shared" ref="A23:A30" ca="1" si="48">OFFSET(A23,-1,0)</f>
        <v>0.4236111111111111</v>
      </c>
      <c r="B23" s="815"/>
      <c r="C23" s="2226" t="str">
        <f>"D1_Tr1 - " &amp; N_Group &amp; " 1" &amp; " - " &amp; N_Round &amp; " 3"</f>
        <v>D1_Tr1 - Poule 1 - Tr 3</v>
      </c>
      <c r="D23" s="872"/>
      <c r="E23" s="119"/>
      <c r="F23" s="815"/>
      <c r="G23" s="817" t="s">
        <v>1715</v>
      </c>
      <c r="H23" s="817" t="str">
        <f t="shared" ref="H23:H30" si="49">IF(K23="","",SUBSTITUTE(MID(K23,1,SEARCH("!",K23,1)-1),"'",""))</f>
        <v>D1_Tr1</v>
      </c>
      <c r="I23" s="817">
        <f t="shared" ref="I23:I30" ca="1" si="50">IF(K23="","",CELL("row",INDIRECT(K23)))</f>
        <v>15</v>
      </c>
      <c r="J23" s="817">
        <f t="shared" ref="J23:J30" ca="1" si="51">IF(K23="","",CELL("col",INDIRECT(K23)))</f>
        <v>22</v>
      </c>
      <c r="K23" s="817" t="str">
        <f t="shared" ref="K23:K30" si="52">MID(Lire_Formule(L23),2,10000)</f>
        <v>D1_Tr1!V15</v>
      </c>
      <c r="L23" s="818" t="str">
        <f>D1_Tr1!V15</f>
        <v>Eric NASZALYI (iss)</v>
      </c>
      <c r="M23" s="157">
        <v>8</v>
      </c>
      <c r="N23" s="394" t="s">
        <v>769</v>
      </c>
      <c r="O23" s="157">
        <v>3</v>
      </c>
      <c r="P23" s="818" t="str">
        <f t="shared" ref="P23:P30" ca="1" si="53">IF(K23="","",IF(G23="IT",INDIRECT(ADDRESS(I23+2,J23,4,TRUE,H23)),INDIRECT(ADDRESS(I23,J23+4,4,TRUE,H23))))</f>
        <v>David LEROY (puy)</v>
      </c>
      <c r="Q23" s="819"/>
      <c r="R23" s="397"/>
      <c r="S23" s="397"/>
      <c r="T23" s="397"/>
      <c r="U23" s="397"/>
      <c r="V23" s="820" t="str">
        <f t="shared" ref="V23:V30" ca="1" si="54">L23&amp;TEXT(A23,"hh:mm")</f>
        <v>Eric NASZALYI (iss)10:10</v>
      </c>
      <c r="W23" s="820" t="str">
        <f t="shared" ref="W23:W30" ca="1" si="55">P23&amp;TEXT(A23,"hh:mm")</f>
        <v>David LEROY (puy)10:10</v>
      </c>
      <c r="X23" s="362">
        <f t="shared" ref="X23:X30" ca="1" si="56">IF(L23="",0,COUNTIF(PlayersAndHoursCol1,L23&amp;TEXT($A23,"hh:mm"))+COUNTIF(PlayersAndHoursCol2,L23&amp;TEXT($A23,"hh:mm")))</f>
        <v>1</v>
      </c>
      <c r="Y23" s="362">
        <f t="shared" ref="Y23:Y30" ca="1" si="57">IF(P23="",0,COUNTIF(PlayersAndHoursCol1,P23&amp;TEXT($A23,"hh:mm"))+COUNTIF(PlayersAndHoursCol2,P23&amp;TEXT($A23,"hh:mm")))</f>
        <v>1</v>
      </c>
      <c r="Z23" s="821" t="b">
        <f t="shared" ref="Z23:Z30" si="58">IF(AA23="",FALSE,NOT(AND(ISNA(MATCH(AA23&amp;TEXT($A23,"hh:mm"),PlayersAndHoursCol1,0)),ISNA(MATCH(AA23&amp;TEXT($A23,"hh:mm"),PlayersAndHoursCol2,0)),COUNTIF(AD:AD,AA23&amp;$A23)&lt;=1)))</f>
        <v>0</v>
      </c>
      <c r="AA23" s="2228"/>
      <c r="AB23" s="1327" t="s">
        <v>12955</v>
      </c>
      <c r="AD23" s="1395" t="str">
        <f t="shared" ref="AD23:AD30" ca="1" si="59">AA23&amp;A23</f>
        <v>0,423611111111111</v>
      </c>
      <c r="AE23" s="1395" t="str">
        <f>D1_Tr1!D1</f>
        <v>D1</v>
      </c>
      <c r="AF23" s="1395" t="s">
        <v>5462</v>
      </c>
      <c r="AG23" s="1395">
        <v>3</v>
      </c>
      <c r="AH23" s="1395" t="str">
        <f t="shared" ref="AH23:AH30" si="60">IF(OR(M23&gt;O23,R23&gt;T23),L23,IF(OR(M23&lt;O23,R23&lt;T23),P23,""))</f>
        <v>Eric NASZALYI (iss)</v>
      </c>
      <c r="AI23" s="1395" t="str">
        <f t="shared" ref="AI23:AI30" si="61">IF(AND(M23&lt;&gt;"",M23=O23,R23=T23),L23,"")</f>
        <v/>
      </c>
      <c r="AJ23" s="1395" t="str">
        <f t="shared" ref="AJ23:AJ30" si="62">IF(AND(M23&lt;&gt;"",M23=O23,R23=T23),P23,"")</f>
        <v/>
      </c>
      <c r="AK23" s="1395" t="str">
        <f t="shared" ref="AK23:AK30" ca="1" si="63">IF(OR(M23&lt;O23,R23&lt;T23),L23,IF(OR(M23&gt;O23,R23&gt;T23),P23,""))</f>
        <v>David LEROY (puy)</v>
      </c>
      <c r="AL23" s="2220" t="str">
        <f t="shared" ref="AL23:AL30" si="64">IF(OR($AB23="",$AB23="V"),"",IF(MOD($AB23,10)=1,"XXX",""))</f>
        <v/>
      </c>
      <c r="AM23" s="2220" t="str">
        <f t="shared" ref="AM23:AM30" si="65">IF(OR($AB23="",$AB23="V"),"",IF(MOD($AB23,100)&gt;=10,"XXX",""))</f>
        <v/>
      </c>
      <c r="AN23" s="2220" t="str">
        <f t="shared" ref="AN23:AN30" si="66">IF(OR($AB23="",$AB23="V"),"",IF(MOD($AB23,1000)&gt;=100,"XXX",""))</f>
        <v/>
      </c>
      <c r="AO23" s="2220" t="str">
        <f t="shared" ref="AO23:AO30" si="67">IF(OR($AB23="",$AB23="V"),"",IF(MOD($AB23,10000)&gt;=1000,"XXX",""))</f>
        <v/>
      </c>
      <c r="AP23" s="2220" t="str">
        <f t="shared" ref="AP23:AP30" si="68">IF(OR($AB23="",$AB23="V"),"",IF(MOD($AB23,100000)&gt;=10000,"XXX",""))</f>
        <v/>
      </c>
    </row>
    <row r="24" spans="1:42" outlineLevel="1" x14ac:dyDescent="0.2">
      <c r="A24" s="2227">
        <f t="shared" ca="1" si="48"/>
        <v>0.4236111111111111</v>
      </c>
      <c r="B24" s="815"/>
      <c r="C24" s="2226" t="str">
        <f>"D1_Tr1 - " &amp; N_Group &amp; " 1" &amp; " - " &amp; N_Round &amp; " 3"</f>
        <v>D1_Tr1 - Poule 1 - Tr 3</v>
      </c>
      <c r="D24" s="872"/>
      <c r="E24" s="119"/>
      <c r="F24" s="815"/>
      <c r="G24" s="817" t="s">
        <v>1715</v>
      </c>
      <c r="H24" s="817" t="str">
        <f t="shared" si="49"/>
        <v>D1_Tr1</v>
      </c>
      <c r="I24" s="817">
        <f t="shared" ca="1" si="50"/>
        <v>16</v>
      </c>
      <c r="J24" s="817">
        <f t="shared" ca="1" si="51"/>
        <v>22</v>
      </c>
      <c r="K24" s="817" t="str">
        <f t="shared" si="52"/>
        <v>D1_Tr1!V16</v>
      </c>
      <c r="L24" s="818" t="str">
        <f>D1_Tr1!V16</f>
        <v>Françoise GUYOT (chp)</v>
      </c>
      <c r="M24" s="157">
        <v>7</v>
      </c>
      <c r="N24" s="394" t="s">
        <v>769</v>
      </c>
      <c r="O24" s="157">
        <v>3</v>
      </c>
      <c r="P24" s="818" t="str">
        <f t="shared" ca="1" si="53"/>
        <v>Théo MODESTE (iss)</v>
      </c>
      <c r="Q24" s="819"/>
      <c r="R24" s="397"/>
      <c r="S24" s="397"/>
      <c r="T24" s="397"/>
      <c r="U24" s="397"/>
      <c r="V24" s="820" t="str">
        <f t="shared" ca="1" si="54"/>
        <v>Françoise GUYOT (chp)10:10</v>
      </c>
      <c r="W24" s="820" t="str">
        <f t="shared" ca="1" si="55"/>
        <v>Théo MODESTE (iss)10:10</v>
      </c>
      <c r="X24" s="362">
        <f t="shared" ca="1" si="56"/>
        <v>1</v>
      </c>
      <c r="Y24" s="362">
        <f t="shared" ca="1" si="57"/>
        <v>1</v>
      </c>
      <c r="Z24" s="821" t="b">
        <f t="shared" si="58"/>
        <v>0</v>
      </c>
      <c r="AA24" s="2228"/>
      <c r="AB24" s="1327" t="s">
        <v>12955</v>
      </c>
      <c r="AD24" s="1395" t="str">
        <f t="shared" ca="1" si="59"/>
        <v>0,423611111111111</v>
      </c>
      <c r="AE24" s="1395" t="str">
        <f>D1_Tr1!D1</f>
        <v>D1</v>
      </c>
      <c r="AF24" s="1395" t="s">
        <v>5462</v>
      </c>
      <c r="AG24" s="1395">
        <v>3</v>
      </c>
      <c r="AH24" s="1395" t="str">
        <f t="shared" si="60"/>
        <v>Françoise GUYOT (chp)</v>
      </c>
      <c r="AI24" s="1395" t="str">
        <f t="shared" si="61"/>
        <v/>
      </c>
      <c r="AJ24" s="1395" t="str">
        <f t="shared" si="62"/>
        <v/>
      </c>
      <c r="AK24" s="1395" t="str">
        <f t="shared" ca="1" si="63"/>
        <v>Théo MODESTE (iss)</v>
      </c>
      <c r="AL24" s="2220" t="str">
        <f t="shared" si="64"/>
        <v/>
      </c>
      <c r="AM24" s="2220" t="str">
        <f t="shared" si="65"/>
        <v/>
      </c>
      <c r="AN24" s="2220" t="str">
        <f t="shared" si="66"/>
        <v/>
      </c>
      <c r="AO24" s="2220" t="str">
        <f t="shared" si="67"/>
        <v/>
      </c>
      <c r="AP24" s="2220" t="str">
        <f t="shared" si="68"/>
        <v/>
      </c>
    </row>
    <row r="25" spans="1:42" outlineLevel="1" x14ac:dyDescent="0.2">
      <c r="A25" s="2227">
        <f t="shared" ca="1" si="48"/>
        <v>0.4236111111111111</v>
      </c>
      <c r="B25" s="815"/>
      <c r="C25" s="2226" t="str">
        <f>"D1_Tr1 - " &amp; N_Group &amp; " 1" &amp; " - " &amp; N_Round &amp; " 3"</f>
        <v>D1_Tr1 - Poule 1 - Tr 3</v>
      </c>
      <c r="D25" s="872"/>
      <c r="E25" s="119"/>
      <c r="F25" s="815"/>
      <c r="G25" s="817" t="s">
        <v>1715</v>
      </c>
      <c r="H25" s="817" t="str">
        <f t="shared" si="49"/>
        <v>D1_Tr1</v>
      </c>
      <c r="I25" s="817">
        <f t="shared" ca="1" si="50"/>
        <v>17</v>
      </c>
      <c r="J25" s="817">
        <f t="shared" ca="1" si="51"/>
        <v>22</v>
      </c>
      <c r="K25" s="817" t="str">
        <f t="shared" si="52"/>
        <v>D1_Tr1!V17</v>
      </c>
      <c r="L25" s="818" t="str">
        <f>D1_Tr1!V17</f>
        <v>Cyprien BONNET (sym)</v>
      </c>
      <c r="M25" s="157">
        <v>6</v>
      </c>
      <c r="N25" s="394" t="s">
        <v>769</v>
      </c>
      <c r="O25" s="157">
        <v>3</v>
      </c>
      <c r="P25" s="818" t="str">
        <f t="shared" ca="1" si="53"/>
        <v>Raphaël POMMIER (cae)</v>
      </c>
      <c r="Q25" s="819"/>
      <c r="R25" s="397"/>
      <c r="S25" s="397"/>
      <c r="T25" s="397"/>
      <c r="U25" s="397"/>
      <c r="V25" s="820" t="str">
        <f t="shared" ca="1" si="54"/>
        <v>Cyprien BONNET (sym)10:10</v>
      </c>
      <c r="W25" s="820" t="str">
        <f t="shared" ca="1" si="55"/>
        <v>Raphaël POMMIER (cae)10:10</v>
      </c>
      <c r="X25" s="362">
        <f t="shared" ca="1" si="56"/>
        <v>1</v>
      </c>
      <c r="Y25" s="362">
        <f t="shared" ca="1" si="57"/>
        <v>1</v>
      </c>
      <c r="Z25" s="821" t="b">
        <f t="shared" si="58"/>
        <v>0</v>
      </c>
      <c r="AA25" s="2228"/>
      <c r="AB25" s="1327" t="s">
        <v>12955</v>
      </c>
      <c r="AD25" s="1395" t="str">
        <f t="shared" ca="1" si="59"/>
        <v>0,423611111111111</v>
      </c>
      <c r="AE25" s="1395" t="str">
        <f>D1_Tr1!D1</f>
        <v>D1</v>
      </c>
      <c r="AF25" s="1395" t="s">
        <v>5462</v>
      </c>
      <c r="AG25" s="1395">
        <v>3</v>
      </c>
      <c r="AH25" s="1395" t="str">
        <f t="shared" si="60"/>
        <v>Cyprien BONNET (sym)</v>
      </c>
      <c r="AI25" s="1395" t="str">
        <f t="shared" si="61"/>
        <v/>
      </c>
      <c r="AJ25" s="1395" t="str">
        <f t="shared" si="62"/>
        <v/>
      </c>
      <c r="AK25" s="1395" t="str">
        <f t="shared" ca="1" si="63"/>
        <v>Raphaël POMMIER (cae)</v>
      </c>
      <c r="AL25" s="2220" t="str">
        <f t="shared" si="64"/>
        <v/>
      </c>
      <c r="AM25" s="2220" t="str">
        <f t="shared" si="65"/>
        <v/>
      </c>
      <c r="AN25" s="2220" t="str">
        <f t="shared" si="66"/>
        <v/>
      </c>
      <c r="AO25" s="2220" t="str">
        <f t="shared" si="67"/>
        <v/>
      </c>
      <c r="AP25" s="2220" t="str">
        <f t="shared" si="68"/>
        <v/>
      </c>
    </row>
    <row r="26" spans="1:42" outlineLevel="1" x14ac:dyDescent="0.2">
      <c r="A26" s="2227">
        <f t="shared" ca="1" si="48"/>
        <v>0.4236111111111111</v>
      </c>
      <c r="B26" s="815"/>
      <c r="C26" s="2226" t="str">
        <f>"D1_Tr1 - " &amp; N_Group &amp; " 1" &amp; " - " &amp; N_Round &amp; " 3"</f>
        <v>D1_Tr1 - Poule 1 - Tr 3</v>
      </c>
      <c r="D26" s="872"/>
      <c r="E26" s="119"/>
      <c r="F26" s="815"/>
      <c r="G26" s="817" t="s">
        <v>1715</v>
      </c>
      <c r="H26" s="817" t="str">
        <f t="shared" si="49"/>
        <v>D1_Tr1</v>
      </c>
      <c r="I26" s="817">
        <f t="shared" ca="1" si="50"/>
        <v>18</v>
      </c>
      <c r="J26" s="817">
        <f t="shared" ca="1" si="51"/>
        <v>22</v>
      </c>
      <c r="K26" s="817" t="str">
        <f t="shared" si="52"/>
        <v>D1_Tr1!V18</v>
      </c>
      <c r="L26" s="818" t="str">
        <f>D1_Tr1!V18</f>
        <v>Cédric PANDOLFI (sym)</v>
      </c>
      <c r="M26" s="157">
        <v>5</v>
      </c>
      <c r="N26" s="394" t="s">
        <v>769</v>
      </c>
      <c r="O26" s="157">
        <v>3</v>
      </c>
      <c r="P26" s="818" t="str">
        <f t="shared" ca="1" si="53"/>
        <v>Thierry VIVRON (iss)</v>
      </c>
      <c r="Q26" s="819"/>
      <c r="R26" s="397"/>
      <c r="S26" s="397"/>
      <c r="T26" s="397"/>
      <c r="U26" s="397"/>
      <c r="V26" s="820" t="str">
        <f t="shared" ca="1" si="54"/>
        <v>Cédric PANDOLFI (sym)10:10</v>
      </c>
      <c r="W26" s="820" t="str">
        <f t="shared" ca="1" si="55"/>
        <v>Thierry VIVRON (iss)10:10</v>
      </c>
      <c r="X26" s="362">
        <f t="shared" ca="1" si="56"/>
        <v>1</v>
      </c>
      <c r="Y26" s="362">
        <f t="shared" ca="1" si="57"/>
        <v>1</v>
      </c>
      <c r="Z26" s="821" t="b">
        <f t="shared" si="58"/>
        <v>0</v>
      </c>
      <c r="AA26" s="2228"/>
      <c r="AB26" s="1327" t="s">
        <v>12955</v>
      </c>
      <c r="AD26" s="1395" t="str">
        <f t="shared" ca="1" si="59"/>
        <v>0,423611111111111</v>
      </c>
      <c r="AE26" s="1395" t="str">
        <f>D1_Tr1!D1</f>
        <v>D1</v>
      </c>
      <c r="AF26" s="1395" t="s">
        <v>5462</v>
      </c>
      <c r="AG26" s="1395">
        <v>3</v>
      </c>
      <c r="AH26" s="1395" t="str">
        <f t="shared" si="60"/>
        <v>Cédric PANDOLFI (sym)</v>
      </c>
      <c r="AI26" s="1395" t="str">
        <f t="shared" si="61"/>
        <v/>
      </c>
      <c r="AJ26" s="1395" t="str">
        <f t="shared" si="62"/>
        <v/>
      </c>
      <c r="AK26" s="1395" t="str">
        <f t="shared" ca="1" si="63"/>
        <v>Thierry VIVRON (iss)</v>
      </c>
      <c r="AL26" s="2220" t="str">
        <f t="shared" si="64"/>
        <v/>
      </c>
      <c r="AM26" s="2220" t="str">
        <f t="shared" si="65"/>
        <v/>
      </c>
      <c r="AN26" s="2220" t="str">
        <f t="shared" si="66"/>
        <v/>
      </c>
      <c r="AO26" s="2220" t="str">
        <f t="shared" si="67"/>
        <v/>
      </c>
      <c r="AP26" s="2220" t="str">
        <f t="shared" si="68"/>
        <v/>
      </c>
    </row>
    <row r="27" spans="1:42" outlineLevel="1" x14ac:dyDescent="0.2">
      <c r="A27" s="2227">
        <f t="shared" ca="1" si="48"/>
        <v>0.4236111111111111</v>
      </c>
      <c r="B27" s="815"/>
      <c r="C27" s="2226" t="str">
        <f>"D1_Tr1 - " &amp; N_Group &amp; " 2" &amp; " - " &amp; N_Round &amp; " 3"</f>
        <v>D1_Tr1 - Poule 2 - Tr 3</v>
      </c>
      <c r="D27" s="872"/>
      <c r="E27" s="119"/>
      <c r="F27" s="815"/>
      <c r="G27" s="817" t="s">
        <v>1715</v>
      </c>
      <c r="H27" s="817" t="str">
        <f t="shared" si="49"/>
        <v>D1_Tr1</v>
      </c>
      <c r="I27" s="817">
        <f t="shared" ca="1" si="50"/>
        <v>47</v>
      </c>
      <c r="J27" s="817">
        <f t="shared" ca="1" si="51"/>
        <v>22</v>
      </c>
      <c r="K27" s="817" t="str">
        <f t="shared" si="52"/>
        <v>D1_Tr1!V47</v>
      </c>
      <c r="L27" s="818" t="str">
        <f>D1_Tr1!V47</f>
        <v>Emmanuel GORGETTE (iss)</v>
      </c>
      <c r="M27" s="157">
        <v>4</v>
      </c>
      <c r="N27" s="394" t="s">
        <v>769</v>
      </c>
      <c r="O27" s="157">
        <v>3</v>
      </c>
      <c r="P27" s="818" t="str">
        <f t="shared" ca="1" si="53"/>
        <v>Jean-François BALARD (puy)</v>
      </c>
      <c r="Q27" s="819"/>
      <c r="R27" s="397"/>
      <c r="S27" s="397"/>
      <c r="T27" s="397"/>
      <c r="U27" s="397"/>
      <c r="V27" s="820" t="str">
        <f t="shared" ca="1" si="54"/>
        <v>Emmanuel GORGETTE (iss)10:10</v>
      </c>
      <c r="W27" s="820" t="str">
        <f t="shared" ca="1" si="55"/>
        <v>Jean-François BALARD (puy)10:10</v>
      </c>
      <c r="X27" s="362">
        <f t="shared" ca="1" si="56"/>
        <v>1</v>
      </c>
      <c r="Y27" s="362">
        <f t="shared" ca="1" si="57"/>
        <v>1</v>
      </c>
      <c r="Z27" s="821" t="b">
        <f t="shared" si="58"/>
        <v>0</v>
      </c>
      <c r="AA27" s="2228"/>
      <c r="AB27" s="1327" t="s">
        <v>12955</v>
      </c>
      <c r="AD27" s="1395" t="str">
        <f t="shared" ca="1" si="59"/>
        <v>0,423611111111111</v>
      </c>
      <c r="AE27" s="1395" t="str">
        <f>D1_Tr1!D1</f>
        <v>D1</v>
      </c>
      <c r="AF27" s="1395" t="s">
        <v>5462</v>
      </c>
      <c r="AG27" s="1395">
        <v>3</v>
      </c>
      <c r="AH27" s="1395" t="str">
        <f t="shared" si="60"/>
        <v>Emmanuel GORGETTE (iss)</v>
      </c>
      <c r="AI27" s="1395" t="str">
        <f t="shared" si="61"/>
        <v/>
      </c>
      <c r="AJ27" s="1395" t="str">
        <f t="shared" si="62"/>
        <v/>
      </c>
      <c r="AK27" s="1395" t="str">
        <f t="shared" ca="1" si="63"/>
        <v>Jean-François BALARD (puy)</v>
      </c>
      <c r="AL27" s="2220" t="str">
        <f t="shared" si="64"/>
        <v/>
      </c>
      <c r="AM27" s="2220" t="str">
        <f t="shared" si="65"/>
        <v/>
      </c>
      <c r="AN27" s="2220" t="str">
        <f t="shared" si="66"/>
        <v/>
      </c>
      <c r="AO27" s="2220" t="str">
        <f t="shared" si="67"/>
        <v/>
      </c>
      <c r="AP27" s="2220" t="str">
        <f t="shared" si="68"/>
        <v/>
      </c>
    </row>
    <row r="28" spans="1:42" outlineLevel="1" x14ac:dyDescent="0.2">
      <c r="A28" s="2227">
        <f t="shared" ca="1" si="48"/>
        <v>0.4236111111111111</v>
      </c>
      <c r="B28" s="815"/>
      <c r="C28" s="2226" t="str">
        <f>"D1_Tr1 - " &amp; N_Group &amp; " 2" &amp; " - " &amp; N_Round &amp; " 3"</f>
        <v>D1_Tr1 - Poule 2 - Tr 3</v>
      </c>
      <c r="D28" s="872"/>
      <c r="E28" s="119"/>
      <c r="F28" s="815"/>
      <c r="G28" s="817" t="s">
        <v>1715</v>
      </c>
      <c r="H28" s="817" t="str">
        <f t="shared" si="49"/>
        <v>D1_Tr1</v>
      </c>
      <c r="I28" s="817">
        <f t="shared" ca="1" si="50"/>
        <v>48</v>
      </c>
      <c r="J28" s="817">
        <f t="shared" ca="1" si="51"/>
        <v>22</v>
      </c>
      <c r="K28" s="817" t="str">
        <f t="shared" si="52"/>
        <v>D1_Tr1!V48</v>
      </c>
      <c r="L28" s="818" t="str">
        <f>D1_Tr1!V48</f>
        <v>Audrey HERBAUT (chp)</v>
      </c>
      <c r="M28" s="157">
        <v>3</v>
      </c>
      <c r="N28" s="394" t="s">
        <v>769</v>
      </c>
      <c r="O28" s="157">
        <v>3</v>
      </c>
      <c r="P28" s="818" t="str">
        <f t="shared" ca="1" si="53"/>
        <v>Jean-Marie AMBERNY (iss)</v>
      </c>
      <c r="Q28" s="819"/>
      <c r="R28" s="397"/>
      <c r="S28" s="397"/>
      <c r="T28" s="397"/>
      <c r="U28" s="397"/>
      <c r="V28" s="820" t="str">
        <f t="shared" ca="1" si="54"/>
        <v>Audrey HERBAUT (chp)10:10</v>
      </c>
      <c r="W28" s="820" t="str">
        <f t="shared" ca="1" si="55"/>
        <v>Jean-Marie AMBERNY (iss)10:10</v>
      </c>
      <c r="X28" s="362">
        <f t="shared" ca="1" si="56"/>
        <v>1</v>
      </c>
      <c r="Y28" s="362">
        <f t="shared" ca="1" si="57"/>
        <v>1</v>
      </c>
      <c r="Z28" s="821" t="b">
        <f t="shared" si="58"/>
        <v>0</v>
      </c>
      <c r="AA28" s="2228"/>
      <c r="AB28" s="1327" t="s">
        <v>12955</v>
      </c>
      <c r="AD28" s="1395" t="str">
        <f t="shared" ca="1" si="59"/>
        <v>0,423611111111111</v>
      </c>
      <c r="AE28" s="1395" t="str">
        <f>D1_Tr1!D1</f>
        <v>D1</v>
      </c>
      <c r="AF28" s="1395" t="s">
        <v>5462</v>
      </c>
      <c r="AG28" s="1395">
        <v>3</v>
      </c>
      <c r="AH28" s="1395" t="str">
        <f t="shared" si="60"/>
        <v/>
      </c>
      <c r="AI28" s="1395" t="str">
        <f t="shared" si="61"/>
        <v>Audrey HERBAUT (chp)</v>
      </c>
      <c r="AJ28" s="1395" t="str">
        <f t="shared" ca="1" si="62"/>
        <v>Jean-Marie AMBERNY (iss)</v>
      </c>
      <c r="AK28" s="1395" t="str">
        <f t="shared" si="63"/>
        <v/>
      </c>
      <c r="AL28" s="2220" t="str">
        <f t="shared" si="64"/>
        <v/>
      </c>
      <c r="AM28" s="2220" t="str">
        <f t="shared" si="65"/>
        <v/>
      </c>
      <c r="AN28" s="2220" t="str">
        <f t="shared" si="66"/>
        <v/>
      </c>
      <c r="AO28" s="2220" t="str">
        <f t="shared" si="67"/>
        <v/>
      </c>
      <c r="AP28" s="2220" t="str">
        <f t="shared" si="68"/>
        <v/>
      </c>
    </row>
    <row r="29" spans="1:42" outlineLevel="1" x14ac:dyDescent="0.2">
      <c r="A29" s="2227">
        <f t="shared" ca="1" si="48"/>
        <v>0.4236111111111111</v>
      </c>
      <c r="B29" s="815"/>
      <c r="C29" s="2226" t="str">
        <f>"D1_Tr1 - " &amp; N_Group &amp; " 2" &amp; " - " &amp; N_Round &amp; " 3"</f>
        <v>D1_Tr1 - Poule 2 - Tr 3</v>
      </c>
      <c r="D29" s="872"/>
      <c r="E29" s="119"/>
      <c r="F29" s="815"/>
      <c r="G29" s="817" t="s">
        <v>1715</v>
      </c>
      <c r="H29" s="817" t="str">
        <f t="shared" si="49"/>
        <v>D1_Tr1</v>
      </c>
      <c r="I29" s="817">
        <f t="shared" ca="1" si="50"/>
        <v>49</v>
      </c>
      <c r="J29" s="817">
        <f t="shared" ca="1" si="51"/>
        <v>22</v>
      </c>
      <c r="K29" s="817" t="str">
        <f t="shared" si="52"/>
        <v>D1_Tr1!V49</v>
      </c>
      <c r="L29" s="818" t="str">
        <f>D1_Tr1!V49</f>
        <v>Quentin AUSSET (chp)</v>
      </c>
      <c r="M29" s="157">
        <v>2</v>
      </c>
      <c r="N29" s="394" t="s">
        <v>769</v>
      </c>
      <c r="O29" s="157">
        <v>3</v>
      </c>
      <c r="P29" s="818" t="str">
        <f t="shared" ca="1" si="53"/>
        <v>Stéphane POMMIER (cae)</v>
      </c>
      <c r="Q29" s="819"/>
      <c r="R29" s="397"/>
      <c r="S29" s="397"/>
      <c r="T29" s="397"/>
      <c r="U29" s="397"/>
      <c r="V29" s="820" t="str">
        <f t="shared" ca="1" si="54"/>
        <v>Quentin AUSSET (chp)10:10</v>
      </c>
      <c r="W29" s="820" t="str">
        <f t="shared" ca="1" si="55"/>
        <v>Stéphane POMMIER (cae)10:10</v>
      </c>
      <c r="X29" s="362">
        <f t="shared" ca="1" si="56"/>
        <v>1</v>
      </c>
      <c r="Y29" s="362">
        <f t="shared" ca="1" si="57"/>
        <v>1</v>
      </c>
      <c r="Z29" s="821" t="b">
        <f t="shared" si="58"/>
        <v>0</v>
      </c>
      <c r="AA29" s="2228"/>
      <c r="AB29" s="1327" t="s">
        <v>12955</v>
      </c>
      <c r="AD29" s="1395" t="str">
        <f t="shared" ca="1" si="59"/>
        <v>0,423611111111111</v>
      </c>
      <c r="AE29" s="1395" t="str">
        <f>D1_Tr1!D1</f>
        <v>D1</v>
      </c>
      <c r="AF29" s="1395" t="s">
        <v>5462</v>
      </c>
      <c r="AG29" s="1395">
        <v>3</v>
      </c>
      <c r="AH29" s="1395" t="str">
        <f t="shared" ca="1" si="60"/>
        <v>Stéphane POMMIER (cae)</v>
      </c>
      <c r="AI29" s="1395" t="str">
        <f t="shared" si="61"/>
        <v/>
      </c>
      <c r="AJ29" s="1395" t="str">
        <f t="shared" si="62"/>
        <v/>
      </c>
      <c r="AK29" s="1395" t="str">
        <f t="shared" si="63"/>
        <v>Quentin AUSSET (chp)</v>
      </c>
      <c r="AL29" s="2220" t="str">
        <f t="shared" si="64"/>
        <v/>
      </c>
      <c r="AM29" s="2220" t="str">
        <f t="shared" si="65"/>
        <v/>
      </c>
      <c r="AN29" s="2220" t="str">
        <f t="shared" si="66"/>
        <v/>
      </c>
      <c r="AO29" s="2220" t="str">
        <f t="shared" si="67"/>
        <v/>
      </c>
      <c r="AP29" s="2220" t="str">
        <f t="shared" si="68"/>
        <v/>
      </c>
    </row>
    <row r="30" spans="1:42" ht="13.5" outlineLevel="1" thickBot="1" x14ac:dyDescent="0.25">
      <c r="A30" s="2227">
        <f t="shared" ca="1" si="48"/>
        <v>0.4236111111111111</v>
      </c>
      <c r="B30" s="815"/>
      <c r="C30" s="2226" t="str">
        <f>"D1_Tr1 - " &amp; N_Group &amp; " 2" &amp; " - " &amp; N_Round &amp; " 3"</f>
        <v>D1_Tr1 - Poule 2 - Tr 3</v>
      </c>
      <c r="D30" s="872"/>
      <c r="E30" s="119"/>
      <c r="F30" s="815"/>
      <c r="G30" s="817" t="s">
        <v>1715</v>
      </c>
      <c r="H30" s="817" t="str">
        <f t="shared" si="49"/>
        <v>D1_Tr1</v>
      </c>
      <c r="I30" s="817">
        <f t="shared" ca="1" si="50"/>
        <v>50</v>
      </c>
      <c r="J30" s="817">
        <f t="shared" ca="1" si="51"/>
        <v>22</v>
      </c>
      <c r="K30" s="817" t="str">
        <f t="shared" si="52"/>
        <v>D1_Tr1!V50</v>
      </c>
      <c r="L30" s="818" t="str">
        <f>D1_Tr1!V50</f>
        <v>Mickaël BLANC (sym)</v>
      </c>
      <c r="M30" s="157">
        <v>1</v>
      </c>
      <c r="N30" s="394" t="s">
        <v>769</v>
      </c>
      <c r="O30" s="157">
        <v>3</v>
      </c>
      <c r="P30" s="818" t="str">
        <f t="shared" ca="1" si="53"/>
        <v>Axel DONVAL (iss)</v>
      </c>
      <c r="Q30" s="819"/>
      <c r="R30" s="397"/>
      <c r="S30" s="397"/>
      <c r="T30" s="397"/>
      <c r="U30" s="397"/>
      <c r="V30" s="820" t="str">
        <f t="shared" ca="1" si="54"/>
        <v>Mickaël BLANC (sym)10:10</v>
      </c>
      <c r="W30" s="820" t="str">
        <f t="shared" ca="1" si="55"/>
        <v>Axel DONVAL (iss)10:10</v>
      </c>
      <c r="X30" s="362">
        <f t="shared" ca="1" si="56"/>
        <v>1</v>
      </c>
      <c r="Y30" s="362">
        <f t="shared" ca="1" si="57"/>
        <v>1</v>
      </c>
      <c r="Z30" s="821" t="b">
        <f t="shared" si="58"/>
        <v>0</v>
      </c>
      <c r="AA30" s="2228"/>
      <c r="AB30" s="1327" t="s">
        <v>12955</v>
      </c>
      <c r="AD30" s="1395" t="str">
        <f t="shared" ca="1" si="59"/>
        <v>0,423611111111111</v>
      </c>
      <c r="AE30" s="1395" t="str">
        <f>D1_Tr1!D1</f>
        <v>D1</v>
      </c>
      <c r="AF30" s="1395" t="s">
        <v>5462</v>
      </c>
      <c r="AG30" s="1395">
        <v>3</v>
      </c>
      <c r="AH30" s="1395" t="str">
        <f t="shared" ca="1" si="60"/>
        <v>Axel DONVAL (iss)</v>
      </c>
      <c r="AI30" s="1395" t="str">
        <f t="shared" si="61"/>
        <v/>
      </c>
      <c r="AJ30" s="1395" t="str">
        <f t="shared" si="62"/>
        <v/>
      </c>
      <c r="AK30" s="1395" t="str">
        <f t="shared" si="63"/>
        <v>Mickaël BLANC (sym)</v>
      </c>
      <c r="AL30" s="2220" t="str">
        <f t="shared" si="64"/>
        <v/>
      </c>
      <c r="AM30" s="2220" t="str">
        <f t="shared" si="65"/>
        <v/>
      </c>
      <c r="AN30" s="2220" t="str">
        <f t="shared" si="66"/>
        <v/>
      </c>
      <c r="AO30" s="2220" t="str">
        <f t="shared" si="67"/>
        <v/>
      </c>
      <c r="AP30" s="2220" t="str">
        <f t="shared" si="68"/>
        <v/>
      </c>
    </row>
    <row r="31" spans="1:42" ht="15" x14ac:dyDescent="0.2">
      <c r="A31" s="789">
        <f>A22+P22</f>
        <v>0.45833333333333331</v>
      </c>
      <c r="B31" s="790"/>
      <c r="C31" s="791" t="str">
        <f t="shared" ref="C31" si="69">N_Session</f>
        <v xml:space="preserve">Session N° </v>
      </c>
      <c r="D31" s="792"/>
      <c r="E31" s="793">
        <f>E22+ 1</f>
        <v>4</v>
      </c>
      <c r="F31" s="794"/>
      <c r="G31" s="795" t="str">
        <f>"S" &amp; RIGHT(G22, LEN(G22)-1) + 1</f>
        <v>S4</v>
      </c>
      <c r="H31" s="794"/>
      <c r="I31" s="794"/>
      <c r="J31" s="794"/>
      <c r="K31" s="794"/>
      <c r="L31" s="791" t="str">
        <f t="shared" ref="L31" si="70">N_Duration</f>
        <v>Durée</v>
      </c>
      <c r="M31" s="796"/>
      <c r="N31" s="797" t="s">
        <v>1714</v>
      </c>
      <c r="O31" s="796"/>
      <c r="P31" s="785">
        <v>3.4722222222222224E-2</v>
      </c>
      <c r="Q31" s="799"/>
      <c r="R31" s="800"/>
      <c r="S31" s="796"/>
      <c r="T31" s="800"/>
      <c r="U31" s="796"/>
      <c r="V31" s="796"/>
      <c r="W31" s="796"/>
      <c r="X31" s="796"/>
      <c r="Y31" s="796"/>
      <c r="Z31" s="796"/>
      <c r="AA31" s="799"/>
      <c r="AB31" s="801"/>
      <c r="AC31" s="1394"/>
      <c r="AD31" s="1394"/>
      <c r="AE31" s="1394"/>
      <c r="AF31" s="1394"/>
      <c r="AG31" s="1394"/>
      <c r="AH31" s="1394"/>
      <c r="AI31" s="1394"/>
      <c r="AJ31" s="1394"/>
      <c r="AK31" s="1394"/>
      <c r="AL31" s="2219"/>
      <c r="AM31" s="2219"/>
      <c r="AN31" s="2219"/>
      <c r="AO31" s="2219"/>
      <c r="AP31" s="2219"/>
    </row>
    <row r="32" spans="1:42" outlineLevel="1" x14ac:dyDescent="0.2">
      <c r="A32" s="2227">
        <f t="shared" ref="A32:A39" ca="1" si="71">OFFSET(A32,-1,0)</f>
        <v>0.45833333333333331</v>
      </c>
      <c r="B32" s="815"/>
      <c r="C32" s="2226" t="str">
        <f>"D1_Tr1 - " &amp; N_Group &amp; " 1" &amp; " - " &amp; N_Round &amp; " 4"</f>
        <v>D1_Tr1 - Poule 1 - Tr 4</v>
      </c>
      <c r="D32" s="872"/>
      <c r="E32" s="119"/>
      <c r="F32" s="815"/>
      <c r="G32" s="817" t="s">
        <v>1715</v>
      </c>
      <c r="H32" s="817" t="str">
        <f t="shared" ref="H32:H39" si="72">IF(K32="","",SUBSTITUTE(MID(K32,1,SEARCH("!",K32,1)-1),"'",""))</f>
        <v>D1_Tr1</v>
      </c>
      <c r="I32" s="817">
        <f t="shared" ref="I32:I39" ca="1" si="73">IF(K32="","",CELL("row",INDIRECT(K32)))</f>
        <v>19</v>
      </c>
      <c r="J32" s="817">
        <f t="shared" ref="J32:J39" ca="1" si="74">IF(K32="","",CELL("col",INDIRECT(K32)))</f>
        <v>22</v>
      </c>
      <c r="K32" s="817" t="str">
        <f t="shared" ref="K32:K39" si="75">MID(Lire_Formule(L32),2,10000)</f>
        <v>D1_Tr1!V19</v>
      </c>
      <c r="L32" s="818" t="str">
        <f>D1_Tr1!V19</f>
        <v>Raphaël POMMIER (cae)</v>
      </c>
      <c r="M32" s="157">
        <v>8</v>
      </c>
      <c r="N32" s="394" t="s">
        <v>769</v>
      </c>
      <c r="O32" s="157">
        <v>3</v>
      </c>
      <c r="P32" s="818" t="str">
        <f t="shared" ref="P32:P39" ca="1" si="76">IF(K32="","",IF(G32="IT",INDIRECT(ADDRESS(I32+2,J32,4,TRUE,H32)),INDIRECT(ADDRESS(I32,J32+4,4,TRUE,H32))))</f>
        <v>Théo MODESTE (iss)</v>
      </c>
      <c r="Q32" s="819"/>
      <c r="R32" s="397"/>
      <c r="S32" s="397"/>
      <c r="T32" s="397"/>
      <c r="U32" s="397"/>
      <c r="V32" s="820" t="str">
        <f t="shared" ref="V32:V39" ca="1" si="77">L32&amp;TEXT(A32,"hh:mm")</f>
        <v>Raphaël POMMIER (cae)11:00</v>
      </c>
      <c r="W32" s="820" t="str">
        <f t="shared" ref="W32:W39" ca="1" si="78">P32&amp;TEXT(A32,"hh:mm")</f>
        <v>Théo MODESTE (iss)11:00</v>
      </c>
      <c r="X32" s="362">
        <f t="shared" ref="X32:X39" ca="1" si="79">IF(L32="",0,COUNTIF(PlayersAndHoursCol1,L32&amp;TEXT($A32,"hh:mm"))+COUNTIF(PlayersAndHoursCol2,L32&amp;TEXT($A32,"hh:mm")))</f>
        <v>1</v>
      </c>
      <c r="Y32" s="362">
        <f t="shared" ref="Y32:Y39" ca="1" si="80">IF(P32="",0,COUNTIF(PlayersAndHoursCol1,P32&amp;TEXT($A32,"hh:mm"))+COUNTIF(PlayersAndHoursCol2,P32&amp;TEXT($A32,"hh:mm")))</f>
        <v>1</v>
      </c>
      <c r="Z32" s="821" t="b">
        <f t="shared" ref="Z32:Z39" si="81">IF(AA32="",FALSE,NOT(AND(ISNA(MATCH(AA32&amp;TEXT($A32,"hh:mm"),PlayersAndHoursCol1,0)),ISNA(MATCH(AA32&amp;TEXT($A32,"hh:mm"),PlayersAndHoursCol2,0)),COUNTIF(AD:AD,AA32&amp;$A32)&lt;=1)))</f>
        <v>0</v>
      </c>
      <c r="AA32" s="2228"/>
      <c r="AB32" s="1327" t="s">
        <v>12955</v>
      </c>
      <c r="AD32" s="1395" t="str">
        <f t="shared" ref="AD32:AD39" ca="1" si="82">AA32&amp;A32</f>
        <v>0,458333333333333</v>
      </c>
      <c r="AE32" s="1395" t="str">
        <f>D1_Tr1!D1</f>
        <v>D1</v>
      </c>
      <c r="AF32" s="1395" t="s">
        <v>5462</v>
      </c>
      <c r="AG32" s="1395">
        <v>4</v>
      </c>
      <c r="AH32" s="1395" t="str">
        <f t="shared" ref="AH32:AH39" si="83">IF(OR(M32&gt;O32,R32&gt;T32),L32,IF(OR(M32&lt;O32,R32&lt;T32),P32,""))</f>
        <v>Raphaël POMMIER (cae)</v>
      </c>
      <c r="AI32" s="1395" t="str">
        <f t="shared" ref="AI32:AI39" si="84">IF(AND(M32&lt;&gt;"",M32=O32,R32=T32),L32,"")</f>
        <v/>
      </c>
      <c r="AJ32" s="1395" t="str">
        <f t="shared" ref="AJ32:AJ39" si="85">IF(AND(M32&lt;&gt;"",M32=O32,R32=T32),P32,"")</f>
        <v/>
      </c>
      <c r="AK32" s="1395" t="str">
        <f t="shared" ref="AK32:AK39" ca="1" si="86">IF(OR(M32&lt;O32,R32&lt;T32),L32,IF(OR(M32&gt;O32,R32&gt;T32),P32,""))</f>
        <v>Théo MODESTE (iss)</v>
      </c>
      <c r="AL32" s="2220" t="str">
        <f t="shared" ref="AL32:AL39" si="87">IF(OR($AB32="",$AB32="V"),"",IF(MOD($AB32,10)=1,"XXX",""))</f>
        <v/>
      </c>
      <c r="AM32" s="2220" t="str">
        <f t="shared" ref="AM32:AM39" si="88">IF(OR($AB32="",$AB32="V"),"",IF(MOD($AB32,100)&gt;=10,"XXX",""))</f>
        <v/>
      </c>
      <c r="AN32" s="2220" t="str">
        <f t="shared" ref="AN32:AN39" si="89">IF(OR($AB32="",$AB32="V"),"",IF(MOD($AB32,1000)&gt;=100,"XXX",""))</f>
        <v/>
      </c>
      <c r="AO32" s="2220" t="str">
        <f t="shared" ref="AO32:AO39" si="90">IF(OR($AB32="",$AB32="V"),"",IF(MOD($AB32,10000)&gt;=1000,"XXX",""))</f>
        <v/>
      </c>
      <c r="AP32" s="2220" t="str">
        <f t="shared" ref="AP32:AP39" si="91">IF(OR($AB32="",$AB32="V"),"",IF(MOD($AB32,100000)&gt;=10000,"XXX",""))</f>
        <v/>
      </c>
    </row>
    <row r="33" spans="1:42" outlineLevel="1" x14ac:dyDescent="0.2">
      <c r="A33" s="2227">
        <f t="shared" ca="1" si="71"/>
        <v>0.45833333333333331</v>
      </c>
      <c r="B33" s="815"/>
      <c r="C33" s="2226" t="str">
        <f>"D1_Tr1 - " &amp; N_Group &amp; " 1" &amp; " - " &amp; N_Round &amp; " 4"</f>
        <v>D1_Tr1 - Poule 1 - Tr 4</v>
      </c>
      <c r="D33" s="872"/>
      <c r="E33" s="119"/>
      <c r="F33" s="815"/>
      <c r="G33" s="817" t="s">
        <v>1715</v>
      </c>
      <c r="H33" s="817" t="str">
        <f t="shared" si="72"/>
        <v>D1_Tr1</v>
      </c>
      <c r="I33" s="817">
        <f t="shared" ca="1" si="73"/>
        <v>20</v>
      </c>
      <c r="J33" s="817">
        <f t="shared" ca="1" si="74"/>
        <v>22</v>
      </c>
      <c r="K33" s="817" t="str">
        <f t="shared" si="75"/>
        <v>D1_Tr1!V20</v>
      </c>
      <c r="L33" s="818" t="str">
        <f>D1_Tr1!V20</f>
        <v>Thierry VIVRON (iss)</v>
      </c>
      <c r="M33" s="157">
        <v>7</v>
      </c>
      <c r="N33" s="394" t="s">
        <v>769</v>
      </c>
      <c r="O33" s="157">
        <v>3</v>
      </c>
      <c r="P33" s="818" t="str">
        <f t="shared" ca="1" si="76"/>
        <v>Françoise GUYOT (chp)</v>
      </c>
      <c r="Q33" s="819"/>
      <c r="R33" s="397"/>
      <c r="S33" s="397"/>
      <c r="T33" s="397"/>
      <c r="U33" s="397"/>
      <c r="V33" s="820" t="str">
        <f t="shared" ca="1" si="77"/>
        <v>Thierry VIVRON (iss)11:00</v>
      </c>
      <c r="W33" s="820" t="str">
        <f t="shared" ca="1" si="78"/>
        <v>Françoise GUYOT (chp)11:00</v>
      </c>
      <c r="X33" s="362">
        <f t="shared" ca="1" si="79"/>
        <v>1</v>
      </c>
      <c r="Y33" s="362">
        <f t="shared" ca="1" si="80"/>
        <v>1</v>
      </c>
      <c r="Z33" s="821" t="b">
        <f t="shared" si="81"/>
        <v>0</v>
      </c>
      <c r="AA33" s="2228"/>
      <c r="AB33" s="1327" t="s">
        <v>12955</v>
      </c>
      <c r="AD33" s="1395" t="str">
        <f t="shared" ca="1" si="82"/>
        <v>0,458333333333333</v>
      </c>
      <c r="AE33" s="1395" t="str">
        <f>D1_Tr1!D1</f>
        <v>D1</v>
      </c>
      <c r="AF33" s="1395" t="s">
        <v>5462</v>
      </c>
      <c r="AG33" s="1395">
        <v>4</v>
      </c>
      <c r="AH33" s="1395" t="str">
        <f t="shared" si="83"/>
        <v>Thierry VIVRON (iss)</v>
      </c>
      <c r="AI33" s="1395" t="str">
        <f t="shared" si="84"/>
        <v/>
      </c>
      <c r="AJ33" s="1395" t="str">
        <f t="shared" si="85"/>
        <v/>
      </c>
      <c r="AK33" s="1395" t="str">
        <f t="shared" ca="1" si="86"/>
        <v>Françoise GUYOT (chp)</v>
      </c>
      <c r="AL33" s="2220" t="str">
        <f t="shared" si="87"/>
        <v/>
      </c>
      <c r="AM33" s="2220" t="str">
        <f t="shared" si="88"/>
        <v/>
      </c>
      <c r="AN33" s="2220" t="str">
        <f t="shared" si="89"/>
        <v/>
      </c>
      <c r="AO33" s="2220" t="str">
        <f t="shared" si="90"/>
        <v/>
      </c>
      <c r="AP33" s="2220" t="str">
        <f t="shared" si="91"/>
        <v/>
      </c>
    </row>
    <row r="34" spans="1:42" outlineLevel="1" x14ac:dyDescent="0.2">
      <c r="A34" s="2227">
        <f t="shared" ca="1" si="71"/>
        <v>0.45833333333333331</v>
      </c>
      <c r="B34" s="815"/>
      <c r="C34" s="2226" t="str">
        <f>"D1_Tr1 - " &amp; N_Group &amp; " 1" &amp; " - " &amp; N_Round &amp; " 4"</f>
        <v>D1_Tr1 - Poule 1 - Tr 4</v>
      </c>
      <c r="D34" s="872"/>
      <c r="E34" s="119"/>
      <c r="F34" s="815"/>
      <c r="G34" s="817" t="s">
        <v>1715</v>
      </c>
      <c r="H34" s="817" t="str">
        <f t="shared" si="72"/>
        <v>D1_Tr1</v>
      </c>
      <c r="I34" s="817">
        <f t="shared" ca="1" si="73"/>
        <v>21</v>
      </c>
      <c r="J34" s="817">
        <f t="shared" ca="1" si="74"/>
        <v>22</v>
      </c>
      <c r="K34" s="817" t="str">
        <f t="shared" si="75"/>
        <v>D1_Tr1!V21</v>
      </c>
      <c r="L34" s="818" t="str">
        <f>D1_Tr1!V21</f>
        <v>David LEROY (puy)</v>
      </c>
      <c r="M34" s="157">
        <v>6</v>
      </c>
      <c r="N34" s="394" t="s">
        <v>769</v>
      </c>
      <c r="O34" s="157">
        <v>3</v>
      </c>
      <c r="P34" s="818" t="str">
        <f t="shared" ca="1" si="76"/>
        <v>Cédric PANDOLFI (sym)</v>
      </c>
      <c r="Q34" s="819"/>
      <c r="R34" s="397"/>
      <c r="S34" s="397"/>
      <c r="T34" s="397"/>
      <c r="U34" s="397"/>
      <c r="V34" s="820" t="str">
        <f t="shared" ca="1" si="77"/>
        <v>David LEROY (puy)11:00</v>
      </c>
      <c r="W34" s="820" t="str">
        <f t="shared" ca="1" si="78"/>
        <v>Cédric PANDOLFI (sym)11:00</v>
      </c>
      <c r="X34" s="362">
        <f t="shared" ca="1" si="79"/>
        <v>1</v>
      </c>
      <c r="Y34" s="362">
        <f t="shared" ca="1" si="80"/>
        <v>1</v>
      </c>
      <c r="Z34" s="821" t="b">
        <f t="shared" si="81"/>
        <v>0</v>
      </c>
      <c r="AA34" s="2228"/>
      <c r="AB34" s="1327" t="s">
        <v>12955</v>
      </c>
      <c r="AD34" s="1395" t="str">
        <f t="shared" ca="1" si="82"/>
        <v>0,458333333333333</v>
      </c>
      <c r="AE34" s="1395" t="str">
        <f>D1_Tr1!D1</f>
        <v>D1</v>
      </c>
      <c r="AF34" s="1395" t="s">
        <v>5462</v>
      </c>
      <c r="AG34" s="1395">
        <v>4</v>
      </c>
      <c r="AH34" s="1395" t="str">
        <f t="shared" si="83"/>
        <v>David LEROY (puy)</v>
      </c>
      <c r="AI34" s="1395" t="str">
        <f t="shared" si="84"/>
        <v/>
      </c>
      <c r="AJ34" s="1395" t="str">
        <f t="shared" si="85"/>
        <v/>
      </c>
      <c r="AK34" s="1395" t="str">
        <f t="shared" ca="1" si="86"/>
        <v>Cédric PANDOLFI (sym)</v>
      </c>
      <c r="AL34" s="2220" t="str">
        <f t="shared" si="87"/>
        <v/>
      </c>
      <c r="AM34" s="2220" t="str">
        <f t="shared" si="88"/>
        <v/>
      </c>
      <c r="AN34" s="2220" t="str">
        <f t="shared" si="89"/>
        <v/>
      </c>
      <c r="AO34" s="2220" t="str">
        <f t="shared" si="90"/>
        <v/>
      </c>
      <c r="AP34" s="2220" t="str">
        <f t="shared" si="91"/>
        <v/>
      </c>
    </row>
    <row r="35" spans="1:42" outlineLevel="1" x14ac:dyDescent="0.2">
      <c r="A35" s="2227">
        <f t="shared" ca="1" si="71"/>
        <v>0.45833333333333331</v>
      </c>
      <c r="B35" s="815"/>
      <c r="C35" s="2226" t="str">
        <f>"D1_Tr1 - " &amp; N_Group &amp; " 1" &amp; " - " &amp; N_Round &amp; " 4"</f>
        <v>D1_Tr1 - Poule 1 - Tr 4</v>
      </c>
      <c r="D35" s="872"/>
      <c r="E35" s="119"/>
      <c r="F35" s="815"/>
      <c r="G35" s="817" t="s">
        <v>1715</v>
      </c>
      <c r="H35" s="817" t="str">
        <f t="shared" si="72"/>
        <v>D1_Tr1</v>
      </c>
      <c r="I35" s="817">
        <f t="shared" ca="1" si="73"/>
        <v>22</v>
      </c>
      <c r="J35" s="817">
        <f t="shared" ca="1" si="74"/>
        <v>22</v>
      </c>
      <c r="K35" s="817" t="str">
        <f t="shared" si="75"/>
        <v>D1_Tr1!V22</v>
      </c>
      <c r="L35" s="818" t="str">
        <f>D1_Tr1!V22</f>
        <v>Cyprien BONNET (sym)</v>
      </c>
      <c r="M35" s="157">
        <v>5</v>
      </c>
      <c r="N35" s="394" t="s">
        <v>769</v>
      </c>
      <c r="O35" s="157">
        <v>3</v>
      </c>
      <c r="P35" s="818" t="str">
        <f t="shared" ca="1" si="76"/>
        <v>Eric NASZALYI (iss)</v>
      </c>
      <c r="Q35" s="819"/>
      <c r="R35" s="397"/>
      <c r="S35" s="397"/>
      <c r="T35" s="397"/>
      <c r="U35" s="397"/>
      <c r="V35" s="820" t="str">
        <f t="shared" ca="1" si="77"/>
        <v>Cyprien BONNET (sym)11:00</v>
      </c>
      <c r="W35" s="820" t="str">
        <f t="shared" ca="1" si="78"/>
        <v>Eric NASZALYI (iss)11:00</v>
      </c>
      <c r="X35" s="362">
        <f t="shared" ca="1" si="79"/>
        <v>1</v>
      </c>
      <c r="Y35" s="362">
        <f t="shared" ca="1" si="80"/>
        <v>1</v>
      </c>
      <c r="Z35" s="821" t="b">
        <f t="shared" si="81"/>
        <v>0</v>
      </c>
      <c r="AA35" s="2228"/>
      <c r="AB35" s="1327" t="s">
        <v>12955</v>
      </c>
      <c r="AD35" s="1395" t="str">
        <f t="shared" ca="1" si="82"/>
        <v>0,458333333333333</v>
      </c>
      <c r="AE35" s="1395" t="str">
        <f>D1_Tr1!D1</f>
        <v>D1</v>
      </c>
      <c r="AF35" s="1395" t="s">
        <v>5462</v>
      </c>
      <c r="AG35" s="1395">
        <v>4</v>
      </c>
      <c r="AH35" s="1395" t="str">
        <f t="shared" si="83"/>
        <v>Cyprien BONNET (sym)</v>
      </c>
      <c r="AI35" s="1395" t="str">
        <f t="shared" si="84"/>
        <v/>
      </c>
      <c r="AJ35" s="1395" t="str">
        <f t="shared" si="85"/>
        <v/>
      </c>
      <c r="AK35" s="1395" t="str">
        <f t="shared" ca="1" si="86"/>
        <v>Eric NASZALYI (iss)</v>
      </c>
      <c r="AL35" s="2220" t="str">
        <f t="shared" si="87"/>
        <v/>
      </c>
      <c r="AM35" s="2220" t="str">
        <f t="shared" si="88"/>
        <v/>
      </c>
      <c r="AN35" s="2220" t="str">
        <f t="shared" si="89"/>
        <v/>
      </c>
      <c r="AO35" s="2220" t="str">
        <f t="shared" si="90"/>
        <v/>
      </c>
      <c r="AP35" s="2220" t="str">
        <f t="shared" si="91"/>
        <v/>
      </c>
    </row>
    <row r="36" spans="1:42" outlineLevel="1" x14ac:dyDescent="0.2">
      <c r="A36" s="2227">
        <f t="shared" ca="1" si="71"/>
        <v>0.45833333333333331</v>
      </c>
      <c r="B36" s="815"/>
      <c r="C36" s="2226" t="str">
        <f>"D1_Tr1 - " &amp; N_Group &amp; " 2" &amp; " - " &amp; N_Round &amp; " 4"</f>
        <v>D1_Tr1 - Poule 2 - Tr 4</v>
      </c>
      <c r="D36" s="872"/>
      <c r="E36" s="119"/>
      <c r="F36" s="815"/>
      <c r="G36" s="817" t="s">
        <v>1715</v>
      </c>
      <c r="H36" s="817" t="str">
        <f t="shared" si="72"/>
        <v>D1_Tr1</v>
      </c>
      <c r="I36" s="817">
        <f t="shared" ca="1" si="73"/>
        <v>51</v>
      </c>
      <c r="J36" s="817">
        <f t="shared" ca="1" si="74"/>
        <v>22</v>
      </c>
      <c r="K36" s="817" t="str">
        <f t="shared" si="75"/>
        <v>D1_Tr1!V51</v>
      </c>
      <c r="L36" s="818" t="str">
        <f>D1_Tr1!V51</f>
        <v>Stéphane POMMIER (cae)</v>
      </c>
      <c r="M36" s="157">
        <v>4</v>
      </c>
      <c r="N36" s="394" t="s">
        <v>769</v>
      </c>
      <c r="O36" s="157">
        <v>3</v>
      </c>
      <c r="P36" s="818" t="str">
        <f t="shared" ca="1" si="76"/>
        <v>Jean-Marie AMBERNY (iss)</v>
      </c>
      <c r="Q36" s="819"/>
      <c r="R36" s="397"/>
      <c r="S36" s="397"/>
      <c r="T36" s="397"/>
      <c r="U36" s="397"/>
      <c r="V36" s="820" t="str">
        <f t="shared" ca="1" si="77"/>
        <v>Stéphane POMMIER (cae)11:00</v>
      </c>
      <c r="W36" s="820" t="str">
        <f t="shared" ca="1" si="78"/>
        <v>Jean-Marie AMBERNY (iss)11:00</v>
      </c>
      <c r="X36" s="362">
        <f t="shared" ca="1" si="79"/>
        <v>1</v>
      </c>
      <c r="Y36" s="362">
        <f t="shared" ca="1" si="80"/>
        <v>1</v>
      </c>
      <c r="Z36" s="821" t="b">
        <f t="shared" si="81"/>
        <v>0</v>
      </c>
      <c r="AA36" s="2228"/>
      <c r="AB36" s="1327" t="s">
        <v>12955</v>
      </c>
      <c r="AD36" s="1395" t="str">
        <f t="shared" ca="1" si="82"/>
        <v>0,458333333333333</v>
      </c>
      <c r="AE36" s="1395" t="str">
        <f>D1_Tr1!D1</f>
        <v>D1</v>
      </c>
      <c r="AF36" s="1395" t="s">
        <v>5462</v>
      </c>
      <c r="AG36" s="1395">
        <v>4</v>
      </c>
      <c r="AH36" s="1395" t="str">
        <f t="shared" si="83"/>
        <v>Stéphane POMMIER (cae)</v>
      </c>
      <c r="AI36" s="1395" t="str">
        <f t="shared" si="84"/>
        <v/>
      </c>
      <c r="AJ36" s="1395" t="str">
        <f t="shared" si="85"/>
        <v/>
      </c>
      <c r="AK36" s="1395" t="str">
        <f t="shared" ca="1" si="86"/>
        <v>Jean-Marie AMBERNY (iss)</v>
      </c>
      <c r="AL36" s="2220" t="str">
        <f t="shared" si="87"/>
        <v/>
      </c>
      <c r="AM36" s="2220" t="str">
        <f t="shared" si="88"/>
        <v/>
      </c>
      <c r="AN36" s="2220" t="str">
        <f t="shared" si="89"/>
        <v/>
      </c>
      <c r="AO36" s="2220" t="str">
        <f t="shared" si="90"/>
        <v/>
      </c>
      <c r="AP36" s="2220" t="str">
        <f t="shared" si="91"/>
        <v/>
      </c>
    </row>
    <row r="37" spans="1:42" outlineLevel="1" x14ac:dyDescent="0.2">
      <c r="A37" s="2227">
        <f t="shared" ca="1" si="71"/>
        <v>0.45833333333333331</v>
      </c>
      <c r="B37" s="815"/>
      <c r="C37" s="2226" t="str">
        <f>"D1_Tr1 - " &amp; N_Group &amp; " 2" &amp; " - " &amp; N_Round &amp; " 4"</f>
        <v>D1_Tr1 - Poule 2 - Tr 4</v>
      </c>
      <c r="D37" s="872"/>
      <c r="E37" s="119"/>
      <c r="F37" s="815"/>
      <c r="G37" s="817" t="s">
        <v>1715</v>
      </c>
      <c r="H37" s="817" t="str">
        <f t="shared" si="72"/>
        <v>D1_Tr1</v>
      </c>
      <c r="I37" s="817">
        <f t="shared" ca="1" si="73"/>
        <v>52</v>
      </c>
      <c r="J37" s="817">
        <f t="shared" ca="1" si="74"/>
        <v>22</v>
      </c>
      <c r="K37" s="817" t="str">
        <f t="shared" si="75"/>
        <v>D1_Tr1!V52</v>
      </c>
      <c r="L37" s="818" t="str">
        <f>D1_Tr1!V52</f>
        <v>Axel DONVAL (iss)</v>
      </c>
      <c r="M37" s="157">
        <v>3</v>
      </c>
      <c r="N37" s="394" t="s">
        <v>769</v>
      </c>
      <c r="O37" s="157">
        <v>3</v>
      </c>
      <c r="P37" s="818" t="str">
        <f t="shared" ca="1" si="76"/>
        <v>Audrey HERBAUT (chp)</v>
      </c>
      <c r="Q37" s="819"/>
      <c r="R37" s="397"/>
      <c r="S37" s="397"/>
      <c r="T37" s="397"/>
      <c r="U37" s="397"/>
      <c r="V37" s="820" t="str">
        <f t="shared" ca="1" si="77"/>
        <v>Axel DONVAL (iss)11:00</v>
      </c>
      <c r="W37" s="820" t="str">
        <f t="shared" ca="1" si="78"/>
        <v>Audrey HERBAUT (chp)11:00</v>
      </c>
      <c r="X37" s="362">
        <f t="shared" ca="1" si="79"/>
        <v>1</v>
      </c>
      <c r="Y37" s="362">
        <f t="shared" ca="1" si="80"/>
        <v>1</v>
      </c>
      <c r="Z37" s="821" t="b">
        <f t="shared" si="81"/>
        <v>0</v>
      </c>
      <c r="AA37" s="2228"/>
      <c r="AB37" s="1327" t="s">
        <v>12955</v>
      </c>
      <c r="AD37" s="1395" t="str">
        <f t="shared" ca="1" si="82"/>
        <v>0,458333333333333</v>
      </c>
      <c r="AE37" s="1395" t="str">
        <f>D1_Tr1!D1</f>
        <v>D1</v>
      </c>
      <c r="AF37" s="1395" t="s">
        <v>5462</v>
      </c>
      <c r="AG37" s="1395">
        <v>4</v>
      </c>
      <c r="AH37" s="1395" t="str">
        <f t="shared" si="83"/>
        <v/>
      </c>
      <c r="AI37" s="1395" t="str">
        <f t="shared" si="84"/>
        <v>Axel DONVAL (iss)</v>
      </c>
      <c r="AJ37" s="1395" t="str">
        <f t="shared" ca="1" si="85"/>
        <v>Audrey HERBAUT (chp)</v>
      </c>
      <c r="AK37" s="1395" t="str">
        <f t="shared" si="86"/>
        <v/>
      </c>
      <c r="AL37" s="2220" t="str">
        <f t="shared" si="87"/>
        <v/>
      </c>
      <c r="AM37" s="2220" t="str">
        <f t="shared" si="88"/>
        <v/>
      </c>
      <c r="AN37" s="2220" t="str">
        <f t="shared" si="89"/>
        <v/>
      </c>
      <c r="AO37" s="2220" t="str">
        <f t="shared" si="90"/>
        <v/>
      </c>
      <c r="AP37" s="2220" t="str">
        <f t="shared" si="91"/>
        <v/>
      </c>
    </row>
    <row r="38" spans="1:42" outlineLevel="1" x14ac:dyDescent="0.2">
      <c r="A38" s="2227">
        <f t="shared" ca="1" si="71"/>
        <v>0.45833333333333331</v>
      </c>
      <c r="B38" s="815"/>
      <c r="C38" s="2226" t="str">
        <f>"D1_Tr1 - " &amp; N_Group &amp; " 2" &amp; " - " &amp; N_Round &amp; " 4"</f>
        <v>D1_Tr1 - Poule 2 - Tr 4</v>
      </c>
      <c r="D38" s="872"/>
      <c r="E38" s="119"/>
      <c r="F38" s="815"/>
      <c r="G38" s="817" t="s">
        <v>1715</v>
      </c>
      <c r="H38" s="817" t="str">
        <f t="shared" si="72"/>
        <v>D1_Tr1</v>
      </c>
      <c r="I38" s="817">
        <f t="shared" ca="1" si="73"/>
        <v>53</v>
      </c>
      <c r="J38" s="817">
        <f t="shared" ca="1" si="74"/>
        <v>22</v>
      </c>
      <c r="K38" s="817" t="str">
        <f t="shared" si="75"/>
        <v>D1_Tr1!V53</v>
      </c>
      <c r="L38" s="818" t="str">
        <f>D1_Tr1!V53</f>
        <v>Jean-François BALARD (puy)</v>
      </c>
      <c r="M38" s="157">
        <v>2</v>
      </c>
      <c r="N38" s="394" t="s">
        <v>769</v>
      </c>
      <c r="O38" s="157">
        <v>3</v>
      </c>
      <c r="P38" s="818" t="str">
        <f t="shared" ca="1" si="76"/>
        <v>Mickaël BLANC (sym)</v>
      </c>
      <c r="Q38" s="819"/>
      <c r="R38" s="397"/>
      <c r="S38" s="397"/>
      <c r="T38" s="397"/>
      <c r="U38" s="397"/>
      <c r="V38" s="820" t="str">
        <f t="shared" ca="1" si="77"/>
        <v>Jean-François BALARD (puy)11:00</v>
      </c>
      <c r="W38" s="820" t="str">
        <f t="shared" ca="1" si="78"/>
        <v>Mickaël BLANC (sym)11:00</v>
      </c>
      <c r="X38" s="362">
        <f t="shared" ca="1" si="79"/>
        <v>1</v>
      </c>
      <c r="Y38" s="362">
        <f t="shared" ca="1" si="80"/>
        <v>1</v>
      </c>
      <c r="Z38" s="821" t="b">
        <f t="shared" si="81"/>
        <v>0</v>
      </c>
      <c r="AA38" s="2228"/>
      <c r="AB38" s="1327" t="s">
        <v>12955</v>
      </c>
      <c r="AD38" s="1395" t="str">
        <f t="shared" ca="1" si="82"/>
        <v>0,458333333333333</v>
      </c>
      <c r="AE38" s="1395" t="str">
        <f>D1_Tr1!D1</f>
        <v>D1</v>
      </c>
      <c r="AF38" s="1395" t="s">
        <v>5462</v>
      </c>
      <c r="AG38" s="1395">
        <v>4</v>
      </c>
      <c r="AH38" s="1395" t="str">
        <f t="shared" ca="1" si="83"/>
        <v>Mickaël BLANC (sym)</v>
      </c>
      <c r="AI38" s="1395" t="str">
        <f t="shared" si="84"/>
        <v/>
      </c>
      <c r="AJ38" s="1395" t="str">
        <f t="shared" si="85"/>
        <v/>
      </c>
      <c r="AK38" s="1395" t="str">
        <f t="shared" si="86"/>
        <v>Jean-François BALARD (puy)</v>
      </c>
      <c r="AL38" s="2220" t="str">
        <f t="shared" si="87"/>
        <v/>
      </c>
      <c r="AM38" s="2220" t="str">
        <f t="shared" si="88"/>
        <v/>
      </c>
      <c r="AN38" s="2220" t="str">
        <f t="shared" si="89"/>
        <v/>
      </c>
      <c r="AO38" s="2220" t="str">
        <f t="shared" si="90"/>
        <v/>
      </c>
      <c r="AP38" s="2220" t="str">
        <f t="shared" si="91"/>
        <v/>
      </c>
    </row>
    <row r="39" spans="1:42" ht="13.5" outlineLevel="1" thickBot="1" x14ac:dyDescent="0.25">
      <c r="A39" s="2227">
        <f t="shared" ca="1" si="71"/>
        <v>0.45833333333333331</v>
      </c>
      <c r="B39" s="815"/>
      <c r="C39" s="2226" t="str">
        <f>"D1_Tr1 - " &amp; N_Group &amp; " 2" &amp; " - " &amp; N_Round &amp; " 4"</f>
        <v>D1_Tr1 - Poule 2 - Tr 4</v>
      </c>
      <c r="D39" s="872"/>
      <c r="E39" s="119"/>
      <c r="F39" s="815"/>
      <c r="G39" s="817" t="s">
        <v>1715</v>
      </c>
      <c r="H39" s="817" t="str">
        <f t="shared" si="72"/>
        <v>D1_Tr1</v>
      </c>
      <c r="I39" s="817">
        <f t="shared" ca="1" si="73"/>
        <v>54</v>
      </c>
      <c r="J39" s="817">
        <f t="shared" ca="1" si="74"/>
        <v>22</v>
      </c>
      <c r="K39" s="817" t="str">
        <f t="shared" si="75"/>
        <v>D1_Tr1!V54</v>
      </c>
      <c r="L39" s="818" t="str">
        <f>D1_Tr1!V54</f>
        <v>Quentin AUSSET (chp)</v>
      </c>
      <c r="M39" s="157">
        <v>1</v>
      </c>
      <c r="N39" s="394" t="s">
        <v>769</v>
      </c>
      <c r="O39" s="157">
        <v>3</v>
      </c>
      <c r="P39" s="818" t="str">
        <f t="shared" ca="1" si="76"/>
        <v>Emmanuel GORGETTE (iss)</v>
      </c>
      <c r="Q39" s="819"/>
      <c r="R39" s="397"/>
      <c r="S39" s="397"/>
      <c r="T39" s="397"/>
      <c r="U39" s="397"/>
      <c r="V39" s="820" t="str">
        <f t="shared" ca="1" si="77"/>
        <v>Quentin AUSSET (chp)11:00</v>
      </c>
      <c r="W39" s="820" t="str">
        <f t="shared" ca="1" si="78"/>
        <v>Emmanuel GORGETTE (iss)11:00</v>
      </c>
      <c r="X39" s="362">
        <f t="shared" ca="1" si="79"/>
        <v>1</v>
      </c>
      <c r="Y39" s="362">
        <f t="shared" ca="1" si="80"/>
        <v>1</v>
      </c>
      <c r="Z39" s="821" t="b">
        <f t="shared" si="81"/>
        <v>0</v>
      </c>
      <c r="AA39" s="2228"/>
      <c r="AB39" s="1327" t="s">
        <v>12955</v>
      </c>
      <c r="AD39" s="1395" t="str">
        <f t="shared" ca="1" si="82"/>
        <v>0,458333333333333</v>
      </c>
      <c r="AE39" s="1395" t="str">
        <f>D1_Tr1!D1</f>
        <v>D1</v>
      </c>
      <c r="AF39" s="1395" t="s">
        <v>5462</v>
      </c>
      <c r="AG39" s="1395">
        <v>4</v>
      </c>
      <c r="AH39" s="1395" t="str">
        <f t="shared" ca="1" si="83"/>
        <v>Emmanuel GORGETTE (iss)</v>
      </c>
      <c r="AI39" s="1395" t="str">
        <f t="shared" si="84"/>
        <v/>
      </c>
      <c r="AJ39" s="1395" t="str">
        <f t="shared" si="85"/>
        <v/>
      </c>
      <c r="AK39" s="1395" t="str">
        <f t="shared" si="86"/>
        <v>Quentin AUSSET (chp)</v>
      </c>
      <c r="AL39" s="2220" t="str">
        <f t="shared" si="87"/>
        <v/>
      </c>
      <c r="AM39" s="2220" t="str">
        <f t="shared" si="88"/>
        <v/>
      </c>
      <c r="AN39" s="2220" t="str">
        <f t="shared" si="89"/>
        <v/>
      </c>
      <c r="AO39" s="2220" t="str">
        <f t="shared" si="90"/>
        <v/>
      </c>
      <c r="AP39" s="2220" t="str">
        <f t="shared" si="91"/>
        <v/>
      </c>
    </row>
    <row r="40" spans="1:42" ht="15" x14ac:dyDescent="0.2">
      <c r="A40" s="789">
        <f>A31+P31</f>
        <v>0.49305555555555552</v>
      </c>
      <c r="B40" s="790"/>
      <c r="C40" s="791" t="str">
        <f t="shared" ref="C40" si="92">N_Session</f>
        <v xml:space="preserve">Session N° </v>
      </c>
      <c r="D40" s="792"/>
      <c r="E40" s="793">
        <f>E31+ 1</f>
        <v>5</v>
      </c>
      <c r="F40" s="794"/>
      <c r="G40" s="795" t="str">
        <f>"S" &amp; RIGHT(G31, LEN(G31)-1) + 1</f>
        <v>S5</v>
      </c>
      <c r="H40" s="794"/>
      <c r="I40" s="794"/>
      <c r="J40" s="794"/>
      <c r="K40" s="794"/>
      <c r="L40" s="791" t="str">
        <f t="shared" ref="L40" si="93">N_Duration</f>
        <v>Durée</v>
      </c>
      <c r="M40" s="796"/>
      <c r="N40" s="797" t="s">
        <v>1714</v>
      </c>
      <c r="O40" s="796"/>
      <c r="P40" s="785">
        <v>3.4722222222222224E-2</v>
      </c>
      <c r="Q40" s="799"/>
      <c r="R40" s="800"/>
      <c r="S40" s="796"/>
      <c r="T40" s="800"/>
      <c r="U40" s="796"/>
      <c r="V40" s="796"/>
      <c r="W40" s="796"/>
      <c r="X40" s="796"/>
      <c r="Y40" s="796"/>
      <c r="Z40" s="796"/>
      <c r="AA40" s="799"/>
      <c r="AB40" s="801"/>
      <c r="AC40" s="1394"/>
      <c r="AD40" s="1394"/>
      <c r="AE40" s="1394"/>
      <c r="AF40" s="1394"/>
      <c r="AG40" s="1394"/>
      <c r="AH40" s="1394"/>
      <c r="AI40" s="1394"/>
      <c r="AJ40" s="1394"/>
      <c r="AK40" s="1394"/>
      <c r="AL40" s="2219"/>
      <c r="AM40" s="2219"/>
      <c r="AN40" s="2219"/>
      <c r="AO40" s="2219"/>
      <c r="AP40" s="2219"/>
    </row>
    <row r="41" spans="1:42" outlineLevel="1" x14ac:dyDescent="0.2">
      <c r="A41" s="2227">
        <f t="shared" ref="A41:A48" ca="1" si="94">OFFSET(A41,-1,0)</f>
        <v>0.49305555555555552</v>
      </c>
      <c r="B41" s="815"/>
      <c r="C41" s="2226" t="str">
        <f>"D1_Tr1 - " &amp; N_Group &amp; " 1" &amp; " - " &amp; N_Round &amp; " 5"</f>
        <v>D1_Tr1 - Poule 1 - Tr 5</v>
      </c>
      <c r="D41" s="872"/>
      <c r="E41" s="119"/>
      <c r="F41" s="815"/>
      <c r="G41" s="817" t="s">
        <v>1715</v>
      </c>
      <c r="H41" s="817" t="str">
        <f t="shared" ref="H41:H48" si="95">IF(K41="","",SUBSTITUTE(MID(K41,1,SEARCH("!",K41,1)-1),"'",""))</f>
        <v>D1_Tr1</v>
      </c>
      <c r="I41" s="817">
        <f t="shared" ref="I41:I48" ca="1" si="96">IF(K41="","",CELL("row",INDIRECT(K41)))</f>
        <v>23</v>
      </c>
      <c r="J41" s="817">
        <f t="shared" ref="J41:J48" ca="1" si="97">IF(K41="","",CELL("col",INDIRECT(K41)))</f>
        <v>22</v>
      </c>
      <c r="K41" s="817" t="str">
        <f t="shared" ref="K41:K48" si="98">MID(Lire_Formule(L41),2,10000)</f>
        <v>D1_Tr1!V23</v>
      </c>
      <c r="L41" s="818" t="str">
        <f>D1_Tr1!V23</f>
        <v>Raphaël POMMIER (cae)</v>
      </c>
      <c r="M41" s="157">
        <v>8</v>
      </c>
      <c r="N41" s="394" t="s">
        <v>769</v>
      </c>
      <c r="O41" s="157">
        <v>3</v>
      </c>
      <c r="P41" s="818" t="str">
        <f t="shared" ref="P41:P48" ca="1" si="99">IF(K41="","",IF(G41="IT",INDIRECT(ADDRESS(I41+2,J41,4,TRUE,H41)),INDIRECT(ADDRESS(I41,J41+4,4,TRUE,H41))))</f>
        <v>Thierry VIVRON (iss)</v>
      </c>
      <c r="Q41" s="819"/>
      <c r="R41" s="397"/>
      <c r="S41" s="397"/>
      <c r="T41" s="397"/>
      <c r="U41" s="397"/>
      <c r="V41" s="820" t="str">
        <f t="shared" ref="V41:V48" ca="1" si="100">L41&amp;TEXT(A41,"hh:mm")</f>
        <v>Raphaël POMMIER (cae)11:50</v>
      </c>
      <c r="W41" s="820" t="str">
        <f t="shared" ref="W41:W48" ca="1" si="101">P41&amp;TEXT(A41,"hh:mm")</f>
        <v>Thierry VIVRON (iss)11:50</v>
      </c>
      <c r="X41" s="362">
        <f t="shared" ref="X41:X48" ca="1" si="102">IF(L41="",0,COUNTIF(PlayersAndHoursCol1,L41&amp;TEXT($A41,"hh:mm"))+COUNTIF(PlayersAndHoursCol2,L41&amp;TEXT($A41,"hh:mm")))</f>
        <v>1</v>
      </c>
      <c r="Y41" s="362">
        <f t="shared" ref="Y41:Y48" ca="1" si="103">IF(P41="",0,COUNTIF(PlayersAndHoursCol1,P41&amp;TEXT($A41,"hh:mm"))+COUNTIF(PlayersAndHoursCol2,P41&amp;TEXT($A41,"hh:mm")))</f>
        <v>1</v>
      </c>
      <c r="Z41" s="821" t="b">
        <f t="shared" ref="Z41:Z48" si="104">IF(AA41="",FALSE,NOT(AND(ISNA(MATCH(AA41&amp;TEXT($A41,"hh:mm"),PlayersAndHoursCol1,0)),ISNA(MATCH(AA41&amp;TEXT($A41,"hh:mm"),PlayersAndHoursCol2,0)),COUNTIF(AD:AD,AA41&amp;$A41)&lt;=1)))</f>
        <v>0</v>
      </c>
      <c r="AA41" s="2228"/>
      <c r="AB41" s="1327" t="s">
        <v>12955</v>
      </c>
      <c r="AD41" s="1395" t="str">
        <f t="shared" ref="AD41:AD48" ca="1" si="105">AA41&amp;A41</f>
        <v>0,493055555555556</v>
      </c>
      <c r="AE41" s="1395" t="str">
        <f>D1_Tr1!D1</f>
        <v>D1</v>
      </c>
      <c r="AF41" s="1395" t="s">
        <v>5462</v>
      </c>
      <c r="AG41" s="1395">
        <v>5</v>
      </c>
      <c r="AH41" s="1395" t="str">
        <f t="shared" ref="AH41:AH48" si="106">IF(OR(M41&gt;O41,R41&gt;T41),L41,IF(OR(M41&lt;O41,R41&lt;T41),P41,""))</f>
        <v>Raphaël POMMIER (cae)</v>
      </c>
      <c r="AI41" s="1395" t="str">
        <f t="shared" ref="AI41:AI48" si="107">IF(AND(M41&lt;&gt;"",M41=O41,R41=T41),L41,"")</f>
        <v/>
      </c>
      <c r="AJ41" s="1395" t="str">
        <f t="shared" ref="AJ41:AJ48" si="108">IF(AND(M41&lt;&gt;"",M41=O41,R41=T41),P41,"")</f>
        <v/>
      </c>
      <c r="AK41" s="1395" t="str">
        <f t="shared" ref="AK41:AK48" ca="1" si="109">IF(OR(M41&lt;O41,R41&lt;T41),L41,IF(OR(M41&gt;O41,R41&gt;T41),P41,""))</f>
        <v>Thierry VIVRON (iss)</v>
      </c>
      <c r="AL41" s="2220" t="str">
        <f t="shared" ref="AL41:AL48" si="110">IF(OR($AB41="",$AB41="V"),"",IF(MOD($AB41,10)=1,"XXX",""))</f>
        <v/>
      </c>
      <c r="AM41" s="2220" t="str">
        <f t="shared" ref="AM41:AM48" si="111">IF(OR($AB41="",$AB41="V"),"",IF(MOD($AB41,100)&gt;=10,"XXX",""))</f>
        <v/>
      </c>
      <c r="AN41" s="2220" t="str">
        <f t="shared" ref="AN41:AN48" si="112">IF(OR($AB41="",$AB41="V"),"",IF(MOD($AB41,1000)&gt;=100,"XXX",""))</f>
        <v/>
      </c>
      <c r="AO41" s="2220" t="str">
        <f t="shared" ref="AO41:AO48" si="113">IF(OR($AB41="",$AB41="V"),"",IF(MOD($AB41,10000)&gt;=1000,"XXX",""))</f>
        <v/>
      </c>
      <c r="AP41" s="2220" t="str">
        <f t="shared" ref="AP41:AP48" si="114">IF(OR($AB41="",$AB41="V"),"",IF(MOD($AB41,100000)&gt;=10000,"XXX",""))</f>
        <v/>
      </c>
    </row>
    <row r="42" spans="1:42" outlineLevel="1" x14ac:dyDescent="0.2">
      <c r="A42" s="2227">
        <f t="shared" ca="1" si="94"/>
        <v>0.49305555555555552</v>
      </c>
      <c r="B42" s="815"/>
      <c r="C42" s="2226" t="str">
        <f>"D1_Tr1 - " &amp; N_Group &amp; " 1" &amp; " - " &amp; N_Round &amp; " 5"</f>
        <v>D1_Tr1 - Poule 1 - Tr 5</v>
      </c>
      <c r="D42" s="872"/>
      <c r="E42" s="119"/>
      <c r="F42" s="815"/>
      <c r="G42" s="817" t="s">
        <v>1715</v>
      </c>
      <c r="H42" s="817" t="str">
        <f t="shared" si="95"/>
        <v>D1_Tr1</v>
      </c>
      <c r="I42" s="817">
        <f t="shared" ca="1" si="96"/>
        <v>24</v>
      </c>
      <c r="J42" s="817">
        <f t="shared" ca="1" si="97"/>
        <v>22</v>
      </c>
      <c r="K42" s="817" t="str">
        <f t="shared" si="98"/>
        <v>D1_Tr1!V24</v>
      </c>
      <c r="L42" s="818" t="str">
        <f>D1_Tr1!V24</f>
        <v>Théo MODESTE (iss)</v>
      </c>
      <c r="M42" s="157">
        <v>7</v>
      </c>
      <c r="N42" s="394" t="s">
        <v>769</v>
      </c>
      <c r="O42" s="157">
        <v>3</v>
      </c>
      <c r="P42" s="818" t="str">
        <f t="shared" ca="1" si="99"/>
        <v>Eric NASZALYI (iss)</v>
      </c>
      <c r="Q42" s="819"/>
      <c r="R42" s="397"/>
      <c r="S42" s="397"/>
      <c r="T42" s="397"/>
      <c r="U42" s="397"/>
      <c r="V42" s="820" t="str">
        <f t="shared" ca="1" si="100"/>
        <v>Théo MODESTE (iss)11:50</v>
      </c>
      <c r="W42" s="820" t="str">
        <f t="shared" ca="1" si="101"/>
        <v>Eric NASZALYI (iss)11:50</v>
      </c>
      <c r="X42" s="362">
        <f t="shared" ca="1" si="102"/>
        <v>1</v>
      </c>
      <c r="Y42" s="362">
        <f t="shared" ca="1" si="103"/>
        <v>1</v>
      </c>
      <c r="Z42" s="821" t="b">
        <f t="shared" si="104"/>
        <v>0</v>
      </c>
      <c r="AA42" s="2228"/>
      <c r="AB42" s="1327" t="s">
        <v>12955</v>
      </c>
      <c r="AD42" s="1395" t="str">
        <f t="shared" ca="1" si="105"/>
        <v>0,493055555555556</v>
      </c>
      <c r="AE42" s="1395" t="str">
        <f>D1_Tr1!D1</f>
        <v>D1</v>
      </c>
      <c r="AF42" s="1395" t="s">
        <v>5462</v>
      </c>
      <c r="AG42" s="1395">
        <v>5</v>
      </c>
      <c r="AH42" s="1395" t="str">
        <f t="shared" si="106"/>
        <v>Théo MODESTE (iss)</v>
      </c>
      <c r="AI42" s="1395" t="str">
        <f t="shared" si="107"/>
        <v/>
      </c>
      <c r="AJ42" s="1395" t="str">
        <f t="shared" si="108"/>
        <v/>
      </c>
      <c r="AK42" s="1395" t="str">
        <f t="shared" ca="1" si="109"/>
        <v>Eric NASZALYI (iss)</v>
      </c>
      <c r="AL42" s="2220" t="str">
        <f t="shared" si="110"/>
        <v/>
      </c>
      <c r="AM42" s="2220" t="str">
        <f t="shared" si="111"/>
        <v/>
      </c>
      <c r="AN42" s="2220" t="str">
        <f t="shared" si="112"/>
        <v/>
      </c>
      <c r="AO42" s="2220" t="str">
        <f t="shared" si="113"/>
        <v/>
      </c>
      <c r="AP42" s="2220" t="str">
        <f t="shared" si="114"/>
        <v/>
      </c>
    </row>
    <row r="43" spans="1:42" outlineLevel="1" x14ac:dyDescent="0.2">
      <c r="A43" s="2227">
        <f t="shared" ca="1" si="94"/>
        <v>0.49305555555555552</v>
      </c>
      <c r="B43" s="815"/>
      <c r="C43" s="2226" t="str">
        <f>"D1_Tr1 - " &amp; N_Group &amp; " 1" &amp; " - " &amp; N_Round &amp; " 5"</f>
        <v>D1_Tr1 - Poule 1 - Tr 5</v>
      </c>
      <c r="D43" s="872"/>
      <c r="E43" s="119"/>
      <c r="F43" s="815"/>
      <c r="G43" s="817" t="s">
        <v>1715</v>
      </c>
      <c r="H43" s="817" t="str">
        <f t="shared" si="95"/>
        <v>D1_Tr1</v>
      </c>
      <c r="I43" s="817">
        <f t="shared" ca="1" si="96"/>
        <v>25</v>
      </c>
      <c r="J43" s="817">
        <f t="shared" ca="1" si="97"/>
        <v>22</v>
      </c>
      <c r="K43" s="817" t="str">
        <f t="shared" si="98"/>
        <v>D1_Tr1!V25</v>
      </c>
      <c r="L43" s="818" t="str">
        <f>D1_Tr1!V25</f>
        <v>David LEROY (puy)</v>
      </c>
      <c r="M43" s="157">
        <v>6</v>
      </c>
      <c r="N43" s="394" t="s">
        <v>769</v>
      </c>
      <c r="O43" s="157">
        <v>3</v>
      </c>
      <c r="P43" s="818" t="str">
        <f t="shared" ca="1" si="99"/>
        <v>Cyprien BONNET (sym)</v>
      </c>
      <c r="Q43" s="819"/>
      <c r="R43" s="397"/>
      <c r="S43" s="397"/>
      <c r="T43" s="397"/>
      <c r="U43" s="397"/>
      <c r="V43" s="820" t="str">
        <f t="shared" ca="1" si="100"/>
        <v>David LEROY (puy)11:50</v>
      </c>
      <c r="W43" s="820" t="str">
        <f t="shared" ca="1" si="101"/>
        <v>Cyprien BONNET (sym)11:50</v>
      </c>
      <c r="X43" s="362">
        <f t="shared" ca="1" si="102"/>
        <v>1</v>
      </c>
      <c r="Y43" s="362">
        <f t="shared" ca="1" si="103"/>
        <v>1</v>
      </c>
      <c r="Z43" s="821" t="b">
        <f t="shared" si="104"/>
        <v>0</v>
      </c>
      <c r="AA43" s="2228"/>
      <c r="AB43" s="1327" t="s">
        <v>12955</v>
      </c>
      <c r="AD43" s="1395" t="str">
        <f t="shared" ca="1" si="105"/>
        <v>0,493055555555556</v>
      </c>
      <c r="AE43" s="1395" t="str">
        <f>D1_Tr1!D1</f>
        <v>D1</v>
      </c>
      <c r="AF43" s="1395" t="s">
        <v>5462</v>
      </c>
      <c r="AG43" s="1395">
        <v>5</v>
      </c>
      <c r="AH43" s="1395" t="str">
        <f t="shared" si="106"/>
        <v>David LEROY (puy)</v>
      </c>
      <c r="AI43" s="1395" t="str">
        <f t="shared" si="107"/>
        <v/>
      </c>
      <c r="AJ43" s="1395" t="str">
        <f t="shared" si="108"/>
        <v/>
      </c>
      <c r="AK43" s="1395" t="str">
        <f t="shared" ca="1" si="109"/>
        <v>Cyprien BONNET (sym)</v>
      </c>
      <c r="AL43" s="2220" t="str">
        <f t="shared" si="110"/>
        <v/>
      </c>
      <c r="AM43" s="2220" t="str">
        <f t="shared" si="111"/>
        <v/>
      </c>
      <c r="AN43" s="2220" t="str">
        <f t="shared" si="112"/>
        <v/>
      </c>
      <c r="AO43" s="2220" t="str">
        <f t="shared" si="113"/>
        <v/>
      </c>
      <c r="AP43" s="2220" t="str">
        <f t="shared" si="114"/>
        <v/>
      </c>
    </row>
    <row r="44" spans="1:42" outlineLevel="1" x14ac:dyDescent="0.2">
      <c r="A44" s="2227">
        <f t="shared" ca="1" si="94"/>
        <v>0.49305555555555552</v>
      </c>
      <c r="B44" s="815"/>
      <c r="C44" s="2226" t="str">
        <f>"D1_Tr1 - " &amp; N_Group &amp; " 1" &amp; " - " &amp; N_Round &amp; " 5"</f>
        <v>D1_Tr1 - Poule 1 - Tr 5</v>
      </c>
      <c r="D44" s="872"/>
      <c r="E44" s="119"/>
      <c r="F44" s="815"/>
      <c r="G44" s="817" t="s">
        <v>1715</v>
      </c>
      <c r="H44" s="817" t="str">
        <f t="shared" si="95"/>
        <v>D1_Tr1</v>
      </c>
      <c r="I44" s="817">
        <f t="shared" ca="1" si="96"/>
        <v>26</v>
      </c>
      <c r="J44" s="817">
        <f t="shared" ca="1" si="97"/>
        <v>22</v>
      </c>
      <c r="K44" s="817" t="str">
        <f t="shared" si="98"/>
        <v>D1_Tr1!V26</v>
      </c>
      <c r="L44" s="818" t="str">
        <f>D1_Tr1!V26</f>
        <v>Cédric PANDOLFI (sym)</v>
      </c>
      <c r="M44" s="157">
        <v>5</v>
      </c>
      <c r="N44" s="394" t="s">
        <v>769</v>
      </c>
      <c r="O44" s="157">
        <v>3</v>
      </c>
      <c r="P44" s="818" t="str">
        <f t="shared" ca="1" si="99"/>
        <v>Françoise GUYOT (chp)</v>
      </c>
      <c r="Q44" s="819"/>
      <c r="R44" s="397"/>
      <c r="S44" s="397"/>
      <c r="T44" s="397"/>
      <c r="U44" s="397"/>
      <c r="V44" s="820" t="str">
        <f t="shared" ca="1" si="100"/>
        <v>Cédric PANDOLFI (sym)11:50</v>
      </c>
      <c r="W44" s="820" t="str">
        <f t="shared" ca="1" si="101"/>
        <v>Françoise GUYOT (chp)11:50</v>
      </c>
      <c r="X44" s="362">
        <f t="shared" ca="1" si="102"/>
        <v>1</v>
      </c>
      <c r="Y44" s="362">
        <f t="shared" ca="1" si="103"/>
        <v>1</v>
      </c>
      <c r="Z44" s="821" t="b">
        <f t="shared" si="104"/>
        <v>0</v>
      </c>
      <c r="AA44" s="2228"/>
      <c r="AB44" s="1327" t="s">
        <v>12955</v>
      </c>
      <c r="AD44" s="1395" t="str">
        <f t="shared" ca="1" si="105"/>
        <v>0,493055555555556</v>
      </c>
      <c r="AE44" s="1395" t="str">
        <f>D1_Tr1!D1</f>
        <v>D1</v>
      </c>
      <c r="AF44" s="1395" t="s">
        <v>5462</v>
      </c>
      <c r="AG44" s="1395">
        <v>5</v>
      </c>
      <c r="AH44" s="1395" t="str">
        <f t="shared" si="106"/>
        <v>Cédric PANDOLFI (sym)</v>
      </c>
      <c r="AI44" s="1395" t="str">
        <f t="shared" si="107"/>
        <v/>
      </c>
      <c r="AJ44" s="1395" t="str">
        <f t="shared" si="108"/>
        <v/>
      </c>
      <c r="AK44" s="1395" t="str">
        <f t="shared" ca="1" si="109"/>
        <v>Françoise GUYOT (chp)</v>
      </c>
      <c r="AL44" s="2220" t="str">
        <f t="shared" si="110"/>
        <v/>
      </c>
      <c r="AM44" s="2220" t="str">
        <f t="shared" si="111"/>
        <v/>
      </c>
      <c r="AN44" s="2220" t="str">
        <f t="shared" si="112"/>
        <v/>
      </c>
      <c r="AO44" s="2220" t="str">
        <f t="shared" si="113"/>
        <v/>
      </c>
      <c r="AP44" s="2220" t="str">
        <f t="shared" si="114"/>
        <v/>
      </c>
    </row>
    <row r="45" spans="1:42" outlineLevel="1" x14ac:dyDescent="0.2">
      <c r="A45" s="2227">
        <f t="shared" ca="1" si="94"/>
        <v>0.49305555555555552</v>
      </c>
      <c r="B45" s="815"/>
      <c r="C45" s="2226" t="str">
        <f>"D1_Tr1 - " &amp; N_Group &amp; " 2" &amp; " - " &amp; N_Round &amp; " 5"</f>
        <v>D1_Tr1 - Poule 2 - Tr 5</v>
      </c>
      <c r="D45" s="872"/>
      <c r="E45" s="119"/>
      <c r="F45" s="815"/>
      <c r="G45" s="817" t="s">
        <v>1715</v>
      </c>
      <c r="H45" s="817" t="str">
        <f t="shared" si="95"/>
        <v>D1_Tr1</v>
      </c>
      <c r="I45" s="817">
        <f t="shared" ca="1" si="96"/>
        <v>55</v>
      </c>
      <c r="J45" s="817">
        <f t="shared" ca="1" si="97"/>
        <v>22</v>
      </c>
      <c r="K45" s="817" t="str">
        <f t="shared" si="98"/>
        <v>D1_Tr1!V55</v>
      </c>
      <c r="L45" s="818" t="str">
        <f>D1_Tr1!V55</f>
        <v>Stéphane POMMIER (cae)</v>
      </c>
      <c r="M45" s="157">
        <v>4</v>
      </c>
      <c r="N45" s="394" t="s">
        <v>769</v>
      </c>
      <c r="O45" s="157">
        <v>3</v>
      </c>
      <c r="P45" s="818" t="str">
        <f t="shared" ca="1" si="99"/>
        <v>Axel DONVAL (iss)</v>
      </c>
      <c r="Q45" s="819"/>
      <c r="R45" s="397"/>
      <c r="S45" s="397"/>
      <c r="T45" s="397"/>
      <c r="U45" s="397"/>
      <c r="V45" s="820" t="str">
        <f t="shared" ca="1" si="100"/>
        <v>Stéphane POMMIER (cae)11:50</v>
      </c>
      <c r="W45" s="820" t="str">
        <f t="shared" ca="1" si="101"/>
        <v>Axel DONVAL (iss)11:50</v>
      </c>
      <c r="X45" s="362">
        <f t="shared" ca="1" si="102"/>
        <v>1</v>
      </c>
      <c r="Y45" s="362">
        <f t="shared" ca="1" si="103"/>
        <v>1</v>
      </c>
      <c r="Z45" s="821" t="b">
        <f t="shared" si="104"/>
        <v>0</v>
      </c>
      <c r="AA45" s="2228"/>
      <c r="AB45" s="1327" t="s">
        <v>12955</v>
      </c>
      <c r="AD45" s="1395" t="str">
        <f t="shared" ca="1" si="105"/>
        <v>0,493055555555556</v>
      </c>
      <c r="AE45" s="1395" t="str">
        <f>D1_Tr1!D1</f>
        <v>D1</v>
      </c>
      <c r="AF45" s="1395" t="s">
        <v>5462</v>
      </c>
      <c r="AG45" s="1395">
        <v>5</v>
      </c>
      <c r="AH45" s="1395" t="str">
        <f t="shared" si="106"/>
        <v>Stéphane POMMIER (cae)</v>
      </c>
      <c r="AI45" s="1395" t="str">
        <f t="shared" si="107"/>
        <v/>
      </c>
      <c r="AJ45" s="1395" t="str">
        <f t="shared" si="108"/>
        <v/>
      </c>
      <c r="AK45" s="1395" t="str">
        <f t="shared" ca="1" si="109"/>
        <v>Axel DONVAL (iss)</v>
      </c>
      <c r="AL45" s="2220" t="str">
        <f t="shared" si="110"/>
        <v/>
      </c>
      <c r="AM45" s="2220" t="str">
        <f t="shared" si="111"/>
        <v/>
      </c>
      <c r="AN45" s="2220" t="str">
        <f t="shared" si="112"/>
        <v/>
      </c>
      <c r="AO45" s="2220" t="str">
        <f t="shared" si="113"/>
        <v/>
      </c>
      <c r="AP45" s="2220" t="str">
        <f t="shared" si="114"/>
        <v/>
      </c>
    </row>
    <row r="46" spans="1:42" outlineLevel="1" x14ac:dyDescent="0.2">
      <c r="A46" s="2227">
        <f t="shared" ca="1" si="94"/>
        <v>0.49305555555555552</v>
      </c>
      <c r="B46" s="815"/>
      <c r="C46" s="2226" t="str">
        <f>"D1_Tr1 - " &amp; N_Group &amp; " 2" &amp; " - " &amp; N_Round &amp; " 5"</f>
        <v>D1_Tr1 - Poule 2 - Tr 5</v>
      </c>
      <c r="D46" s="872"/>
      <c r="E46" s="119"/>
      <c r="F46" s="815"/>
      <c r="G46" s="817" t="s">
        <v>1715</v>
      </c>
      <c r="H46" s="817" t="str">
        <f t="shared" si="95"/>
        <v>D1_Tr1</v>
      </c>
      <c r="I46" s="817">
        <f t="shared" ca="1" si="96"/>
        <v>56</v>
      </c>
      <c r="J46" s="817">
        <f t="shared" ca="1" si="97"/>
        <v>22</v>
      </c>
      <c r="K46" s="817" t="str">
        <f t="shared" si="98"/>
        <v>D1_Tr1!V56</v>
      </c>
      <c r="L46" s="818" t="str">
        <f>D1_Tr1!V56</f>
        <v>Jean-Marie AMBERNY (iss)</v>
      </c>
      <c r="M46" s="157">
        <v>3</v>
      </c>
      <c r="N46" s="394" t="s">
        <v>769</v>
      </c>
      <c r="O46" s="157">
        <v>3</v>
      </c>
      <c r="P46" s="818" t="str">
        <f t="shared" ca="1" si="99"/>
        <v>Emmanuel GORGETTE (iss)</v>
      </c>
      <c r="Q46" s="819"/>
      <c r="R46" s="397"/>
      <c r="S46" s="397"/>
      <c r="T46" s="397"/>
      <c r="U46" s="397"/>
      <c r="V46" s="820" t="str">
        <f t="shared" ca="1" si="100"/>
        <v>Jean-Marie AMBERNY (iss)11:50</v>
      </c>
      <c r="W46" s="820" t="str">
        <f t="shared" ca="1" si="101"/>
        <v>Emmanuel GORGETTE (iss)11:50</v>
      </c>
      <c r="X46" s="362">
        <f t="shared" ca="1" si="102"/>
        <v>1</v>
      </c>
      <c r="Y46" s="362">
        <f t="shared" ca="1" si="103"/>
        <v>1</v>
      </c>
      <c r="Z46" s="821" t="b">
        <f t="shared" si="104"/>
        <v>0</v>
      </c>
      <c r="AA46" s="2228"/>
      <c r="AB46" s="1327" t="s">
        <v>12955</v>
      </c>
      <c r="AD46" s="1395" t="str">
        <f t="shared" ca="1" si="105"/>
        <v>0,493055555555556</v>
      </c>
      <c r="AE46" s="1395" t="str">
        <f>D1_Tr1!D1</f>
        <v>D1</v>
      </c>
      <c r="AF46" s="1395" t="s">
        <v>5462</v>
      </c>
      <c r="AG46" s="1395">
        <v>5</v>
      </c>
      <c r="AH46" s="1395" t="str">
        <f t="shared" si="106"/>
        <v/>
      </c>
      <c r="AI46" s="1395" t="str">
        <f t="shared" si="107"/>
        <v>Jean-Marie AMBERNY (iss)</v>
      </c>
      <c r="AJ46" s="1395" t="str">
        <f t="shared" ca="1" si="108"/>
        <v>Emmanuel GORGETTE (iss)</v>
      </c>
      <c r="AK46" s="1395" t="str">
        <f t="shared" si="109"/>
        <v/>
      </c>
      <c r="AL46" s="2220" t="str">
        <f t="shared" si="110"/>
        <v/>
      </c>
      <c r="AM46" s="2220" t="str">
        <f t="shared" si="111"/>
        <v/>
      </c>
      <c r="AN46" s="2220" t="str">
        <f t="shared" si="112"/>
        <v/>
      </c>
      <c r="AO46" s="2220" t="str">
        <f t="shared" si="113"/>
        <v/>
      </c>
      <c r="AP46" s="2220" t="str">
        <f t="shared" si="114"/>
        <v/>
      </c>
    </row>
    <row r="47" spans="1:42" outlineLevel="1" x14ac:dyDescent="0.2">
      <c r="A47" s="2227">
        <f t="shared" ca="1" si="94"/>
        <v>0.49305555555555552</v>
      </c>
      <c r="B47" s="815"/>
      <c r="C47" s="2226" t="str">
        <f>"D1_Tr1 - " &amp; N_Group &amp; " 2" &amp; " - " &amp; N_Round &amp; " 5"</f>
        <v>D1_Tr1 - Poule 2 - Tr 5</v>
      </c>
      <c r="D47" s="872"/>
      <c r="E47" s="119"/>
      <c r="F47" s="815"/>
      <c r="G47" s="817" t="s">
        <v>1715</v>
      </c>
      <c r="H47" s="817" t="str">
        <f t="shared" si="95"/>
        <v>D1_Tr1</v>
      </c>
      <c r="I47" s="817">
        <f t="shared" ca="1" si="96"/>
        <v>57</v>
      </c>
      <c r="J47" s="817">
        <f t="shared" ca="1" si="97"/>
        <v>22</v>
      </c>
      <c r="K47" s="817" t="str">
        <f t="shared" si="98"/>
        <v>D1_Tr1!V57</v>
      </c>
      <c r="L47" s="818" t="str">
        <f>D1_Tr1!V57</f>
        <v>Jean-François BALARD (puy)</v>
      </c>
      <c r="M47" s="157">
        <v>2</v>
      </c>
      <c r="N47" s="394" t="s">
        <v>769</v>
      </c>
      <c r="O47" s="157">
        <v>3</v>
      </c>
      <c r="P47" s="818" t="str">
        <f t="shared" ca="1" si="99"/>
        <v>Quentin AUSSET (chp)</v>
      </c>
      <c r="Q47" s="819"/>
      <c r="R47" s="397"/>
      <c r="S47" s="397"/>
      <c r="T47" s="397"/>
      <c r="U47" s="397"/>
      <c r="V47" s="820" t="str">
        <f t="shared" ca="1" si="100"/>
        <v>Jean-François BALARD (puy)11:50</v>
      </c>
      <c r="W47" s="820" t="str">
        <f t="shared" ca="1" si="101"/>
        <v>Quentin AUSSET (chp)11:50</v>
      </c>
      <c r="X47" s="362">
        <f t="shared" ca="1" si="102"/>
        <v>1</v>
      </c>
      <c r="Y47" s="362">
        <f t="shared" ca="1" si="103"/>
        <v>1</v>
      </c>
      <c r="Z47" s="821" t="b">
        <f t="shared" si="104"/>
        <v>0</v>
      </c>
      <c r="AA47" s="2228"/>
      <c r="AB47" s="1327" t="s">
        <v>12955</v>
      </c>
      <c r="AD47" s="1395" t="str">
        <f t="shared" ca="1" si="105"/>
        <v>0,493055555555556</v>
      </c>
      <c r="AE47" s="1395" t="str">
        <f>D1_Tr1!D1</f>
        <v>D1</v>
      </c>
      <c r="AF47" s="1395" t="s">
        <v>5462</v>
      </c>
      <c r="AG47" s="1395">
        <v>5</v>
      </c>
      <c r="AH47" s="1395" t="str">
        <f t="shared" ca="1" si="106"/>
        <v>Quentin AUSSET (chp)</v>
      </c>
      <c r="AI47" s="1395" t="str">
        <f t="shared" si="107"/>
        <v/>
      </c>
      <c r="AJ47" s="1395" t="str">
        <f t="shared" si="108"/>
        <v/>
      </c>
      <c r="AK47" s="1395" t="str">
        <f t="shared" si="109"/>
        <v>Jean-François BALARD (puy)</v>
      </c>
      <c r="AL47" s="2220" t="str">
        <f t="shared" si="110"/>
        <v/>
      </c>
      <c r="AM47" s="2220" t="str">
        <f t="shared" si="111"/>
        <v/>
      </c>
      <c r="AN47" s="2220" t="str">
        <f t="shared" si="112"/>
        <v/>
      </c>
      <c r="AO47" s="2220" t="str">
        <f t="shared" si="113"/>
        <v/>
      </c>
      <c r="AP47" s="2220" t="str">
        <f t="shared" si="114"/>
        <v/>
      </c>
    </row>
    <row r="48" spans="1:42" ht="13.5" outlineLevel="1" thickBot="1" x14ac:dyDescent="0.25">
      <c r="A48" s="2227">
        <f t="shared" ca="1" si="94"/>
        <v>0.49305555555555552</v>
      </c>
      <c r="B48" s="815"/>
      <c r="C48" s="2226" t="str">
        <f>"D1_Tr1 - " &amp; N_Group &amp; " 2" &amp; " - " &amp; N_Round &amp; " 5"</f>
        <v>D1_Tr1 - Poule 2 - Tr 5</v>
      </c>
      <c r="D48" s="872"/>
      <c r="E48" s="119"/>
      <c r="F48" s="815"/>
      <c r="G48" s="817" t="s">
        <v>1715</v>
      </c>
      <c r="H48" s="817" t="str">
        <f t="shared" si="95"/>
        <v>D1_Tr1</v>
      </c>
      <c r="I48" s="817">
        <f t="shared" ca="1" si="96"/>
        <v>58</v>
      </c>
      <c r="J48" s="817">
        <f t="shared" ca="1" si="97"/>
        <v>22</v>
      </c>
      <c r="K48" s="817" t="str">
        <f t="shared" si="98"/>
        <v>D1_Tr1!V58</v>
      </c>
      <c r="L48" s="818" t="str">
        <f>D1_Tr1!V58</f>
        <v>Mickaël BLANC (sym)</v>
      </c>
      <c r="M48" s="157">
        <v>1</v>
      </c>
      <c r="N48" s="394" t="s">
        <v>769</v>
      </c>
      <c r="O48" s="157">
        <v>3</v>
      </c>
      <c r="P48" s="818" t="str">
        <f t="shared" ca="1" si="99"/>
        <v>Audrey HERBAUT (chp)</v>
      </c>
      <c r="Q48" s="819"/>
      <c r="R48" s="397"/>
      <c r="S48" s="397"/>
      <c r="T48" s="397"/>
      <c r="U48" s="397"/>
      <c r="V48" s="820" t="str">
        <f t="shared" ca="1" si="100"/>
        <v>Mickaël BLANC (sym)11:50</v>
      </c>
      <c r="W48" s="820" t="str">
        <f t="shared" ca="1" si="101"/>
        <v>Audrey HERBAUT (chp)11:50</v>
      </c>
      <c r="X48" s="362">
        <f t="shared" ca="1" si="102"/>
        <v>1</v>
      </c>
      <c r="Y48" s="362">
        <f t="shared" ca="1" si="103"/>
        <v>1</v>
      </c>
      <c r="Z48" s="821" t="b">
        <f t="shared" si="104"/>
        <v>0</v>
      </c>
      <c r="AA48" s="2228"/>
      <c r="AB48" s="1327" t="s">
        <v>12955</v>
      </c>
      <c r="AD48" s="1395" t="str">
        <f t="shared" ca="1" si="105"/>
        <v>0,493055555555556</v>
      </c>
      <c r="AE48" s="1395" t="str">
        <f>D1_Tr1!D1</f>
        <v>D1</v>
      </c>
      <c r="AF48" s="1395" t="s">
        <v>5462</v>
      </c>
      <c r="AG48" s="1395">
        <v>5</v>
      </c>
      <c r="AH48" s="1395" t="str">
        <f t="shared" ca="1" si="106"/>
        <v>Audrey HERBAUT (chp)</v>
      </c>
      <c r="AI48" s="1395" t="str">
        <f t="shared" si="107"/>
        <v/>
      </c>
      <c r="AJ48" s="1395" t="str">
        <f t="shared" si="108"/>
        <v/>
      </c>
      <c r="AK48" s="1395" t="str">
        <f t="shared" si="109"/>
        <v>Mickaël BLANC (sym)</v>
      </c>
      <c r="AL48" s="2220" t="str">
        <f t="shared" si="110"/>
        <v/>
      </c>
      <c r="AM48" s="2220" t="str">
        <f t="shared" si="111"/>
        <v/>
      </c>
      <c r="AN48" s="2220" t="str">
        <f t="shared" si="112"/>
        <v/>
      </c>
      <c r="AO48" s="2220" t="str">
        <f t="shared" si="113"/>
        <v/>
      </c>
      <c r="AP48" s="2220" t="str">
        <f t="shared" si="114"/>
        <v/>
      </c>
    </row>
    <row r="49" spans="1:42" ht="15" x14ac:dyDescent="0.2">
      <c r="A49" s="789">
        <f>A40+P40</f>
        <v>0.52777777777777779</v>
      </c>
      <c r="B49" s="790"/>
      <c r="C49" s="791" t="str">
        <f t="shared" ref="C49" si="115">N_Session</f>
        <v xml:space="preserve">Session N° </v>
      </c>
      <c r="D49" s="792"/>
      <c r="E49" s="793">
        <f>E40+ 1</f>
        <v>6</v>
      </c>
      <c r="F49" s="794"/>
      <c r="G49" s="795" t="str">
        <f>"S" &amp; RIGHT(G40, LEN(G40)-1) + 1</f>
        <v>S6</v>
      </c>
      <c r="H49" s="794"/>
      <c r="I49" s="794"/>
      <c r="J49" s="794"/>
      <c r="K49" s="794"/>
      <c r="L49" s="791" t="str">
        <f t="shared" ref="L49" si="116">N_Duration</f>
        <v>Durée</v>
      </c>
      <c r="M49" s="796"/>
      <c r="N49" s="797" t="s">
        <v>1714</v>
      </c>
      <c r="O49" s="796"/>
      <c r="P49" s="785">
        <v>3.125E-2</v>
      </c>
      <c r="Q49" s="799"/>
      <c r="R49" s="800"/>
      <c r="S49" s="796"/>
      <c r="T49" s="800"/>
      <c r="U49" s="796"/>
      <c r="V49" s="796"/>
      <c r="W49" s="796"/>
      <c r="X49" s="796"/>
      <c r="Y49" s="796"/>
      <c r="Z49" s="796"/>
      <c r="AA49" s="799"/>
      <c r="AB49" s="801"/>
      <c r="AC49" s="1394"/>
      <c r="AD49" s="1394"/>
      <c r="AE49" s="1394"/>
      <c r="AF49" s="1394"/>
      <c r="AG49" s="1394"/>
      <c r="AH49" s="1394"/>
      <c r="AI49" s="1394"/>
      <c r="AJ49" s="1394"/>
      <c r="AK49" s="1394"/>
      <c r="AL49" s="2219"/>
      <c r="AM49" s="2219"/>
      <c r="AN49" s="2219"/>
      <c r="AO49" s="2219"/>
      <c r="AP49" s="2219"/>
    </row>
    <row r="50" spans="1:42" outlineLevel="1" x14ac:dyDescent="0.2">
      <c r="A50" s="2227">
        <f t="shared" ref="A50:A57" ca="1" si="117">OFFSET(A50,-1,0)</f>
        <v>0.52777777777777779</v>
      </c>
      <c r="B50" s="815"/>
      <c r="C50" s="2226" t="str">
        <f>"D1_Tr1 - " &amp; N_Group &amp; " 1" &amp; " - " &amp; N_Round &amp; " 6"</f>
        <v>D1_Tr1 - Poule 1 - Tr 6</v>
      </c>
      <c r="D50" s="872"/>
      <c r="E50" s="119"/>
      <c r="F50" s="815"/>
      <c r="G50" s="817" t="s">
        <v>1715</v>
      </c>
      <c r="H50" s="817" t="str">
        <f t="shared" ref="H50:H57" si="118">IF(K50="","",SUBSTITUTE(MID(K50,1,SEARCH("!",K50,1)-1),"'",""))</f>
        <v>D1_Tr1</v>
      </c>
      <c r="I50" s="817">
        <f t="shared" ref="I50:I57" ca="1" si="119">IF(K50="","",CELL("row",INDIRECT(K50)))</f>
        <v>27</v>
      </c>
      <c r="J50" s="817">
        <f t="shared" ref="J50:J57" ca="1" si="120">IF(K50="","",CELL("col",INDIRECT(K50)))</f>
        <v>22</v>
      </c>
      <c r="K50" s="817" t="str">
        <f t="shared" ref="K50:K57" si="121">MID(Lire_Formule(L50),2,10000)</f>
        <v>D1_Tr1!V27</v>
      </c>
      <c r="L50" s="818" t="str">
        <f>D1_Tr1!V27</f>
        <v>Eric NASZALYI (iss)</v>
      </c>
      <c r="M50" s="157">
        <v>8</v>
      </c>
      <c r="N50" s="394" t="s">
        <v>769</v>
      </c>
      <c r="O50" s="157">
        <v>3</v>
      </c>
      <c r="P50" s="818" t="str">
        <f t="shared" ref="P50:P57" ca="1" si="122">IF(K50="","",IF(G50="IT",INDIRECT(ADDRESS(I50+2,J50,4,TRUE,H50)),INDIRECT(ADDRESS(I50,J50+4,4,TRUE,H50))))</f>
        <v>Thierry VIVRON (iss)</v>
      </c>
      <c r="Q50" s="819"/>
      <c r="R50" s="397"/>
      <c r="S50" s="397"/>
      <c r="T50" s="397"/>
      <c r="U50" s="397"/>
      <c r="V50" s="820" t="str">
        <f t="shared" ref="V50:V57" ca="1" si="123">L50&amp;TEXT(A50,"hh:mm")</f>
        <v>Eric NASZALYI (iss)12:40</v>
      </c>
      <c r="W50" s="820" t="str">
        <f t="shared" ref="W50:W57" ca="1" si="124">P50&amp;TEXT(A50,"hh:mm")</f>
        <v>Thierry VIVRON (iss)12:40</v>
      </c>
      <c r="X50" s="362">
        <f t="shared" ref="X50:X57" ca="1" si="125">IF(L50="",0,COUNTIF(PlayersAndHoursCol1,L50&amp;TEXT($A50,"hh:mm"))+COUNTIF(PlayersAndHoursCol2,L50&amp;TEXT($A50,"hh:mm")))</f>
        <v>1</v>
      </c>
      <c r="Y50" s="362">
        <f t="shared" ref="Y50:Y57" ca="1" si="126">IF(P50="",0,COUNTIF(PlayersAndHoursCol1,P50&amp;TEXT($A50,"hh:mm"))+COUNTIF(PlayersAndHoursCol2,P50&amp;TEXT($A50,"hh:mm")))</f>
        <v>1</v>
      </c>
      <c r="Z50" s="821" t="b">
        <f t="shared" ref="Z50:Z57" si="127">IF(AA50="",FALSE,NOT(AND(ISNA(MATCH(AA50&amp;TEXT($A50,"hh:mm"),PlayersAndHoursCol1,0)),ISNA(MATCH(AA50&amp;TEXT($A50,"hh:mm"),PlayersAndHoursCol2,0)),COUNTIF(AD:AD,AA50&amp;$A50)&lt;=1)))</f>
        <v>0</v>
      </c>
      <c r="AA50" s="2228"/>
      <c r="AB50" s="1327" t="s">
        <v>12955</v>
      </c>
      <c r="AD50" s="1395" t="str">
        <f t="shared" ref="AD50:AD57" ca="1" si="128">AA50&amp;A50</f>
        <v>0,527777777777778</v>
      </c>
      <c r="AE50" s="1395" t="str">
        <f>D1_Tr1!D1</f>
        <v>D1</v>
      </c>
      <c r="AF50" s="1395" t="s">
        <v>5462</v>
      </c>
      <c r="AG50" s="1395">
        <v>6</v>
      </c>
      <c r="AH50" s="1395" t="str">
        <f t="shared" ref="AH50:AH57" si="129">IF(OR(M50&gt;O50,R50&gt;T50),L50,IF(OR(M50&lt;O50,R50&lt;T50),P50,""))</f>
        <v>Eric NASZALYI (iss)</v>
      </c>
      <c r="AI50" s="1395" t="str">
        <f t="shared" ref="AI50:AI57" si="130">IF(AND(M50&lt;&gt;"",M50=O50,R50=T50),L50,"")</f>
        <v/>
      </c>
      <c r="AJ50" s="1395" t="str">
        <f t="shared" ref="AJ50:AJ57" si="131">IF(AND(M50&lt;&gt;"",M50=O50,R50=T50),P50,"")</f>
        <v/>
      </c>
      <c r="AK50" s="1395" t="str">
        <f t="shared" ref="AK50:AK57" ca="1" si="132">IF(OR(M50&lt;O50,R50&lt;T50),L50,IF(OR(M50&gt;O50,R50&gt;T50),P50,""))</f>
        <v>Thierry VIVRON (iss)</v>
      </c>
      <c r="AL50" s="2220" t="str">
        <f t="shared" ref="AL50:AL57" si="133">IF(OR($AB50="",$AB50="V"),"",IF(MOD($AB50,10)=1,"XXX",""))</f>
        <v/>
      </c>
      <c r="AM50" s="2220" t="str">
        <f t="shared" ref="AM50:AM57" si="134">IF(OR($AB50="",$AB50="V"),"",IF(MOD($AB50,100)&gt;=10,"XXX",""))</f>
        <v/>
      </c>
      <c r="AN50" s="2220" t="str">
        <f t="shared" ref="AN50:AN57" si="135">IF(OR($AB50="",$AB50="V"),"",IF(MOD($AB50,1000)&gt;=100,"XXX",""))</f>
        <v/>
      </c>
      <c r="AO50" s="2220" t="str">
        <f t="shared" ref="AO50:AO57" si="136">IF(OR($AB50="",$AB50="V"),"",IF(MOD($AB50,10000)&gt;=1000,"XXX",""))</f>
        <v/>
      </c>
      <c r="AP50" s="2220" t="str">
        <f t="shared" ref="AP50:AP57" si="137">IF(OR($AB50="",$AB50="V"),"",IF(MOD($AB50,100000)&gt;=10000,"XXX",""))</f>
        <v/>
      </c>
    </row>
    <row r="51" spans="1:42" outlineLevel="1" x14ac:dyDescent="0.2">
      <c r="A51" s="2227">
        <f t="shared" ca="1" si="117"/>
        <v>0.52777777777777779</v>
      </c>
      <c r="B51" s="815"/>
      <c r="C51" s="2226" t="str">
        <f>"D1_Tr1 - " &amp; N_Group &amp; " 1" &amp; " - " &amp; N_Round &amp; " 6"</f>
        <v>D1_Tr1 - Poule 1 - Tr 6</v>
      </c>
      <c r="D51" s="872"/>
      <c r="E51" s="119"/>
      <c r="F51" s="815"/>
      <c r="G51" s="817" t="s">
        <v>1715</v>
      </c>
      <c r="H51" s="817" t="str">
        <f t="shared" si="118"/>
        <v>D1_Tr1</v>
      </c>
      <c r="I51" s="817">
        <f t="shared" ca="1" si="119"/>
        <v>28</v>
      </c>
      <c r="J51" s="817">
        <f t="shared" ca="1" si="120"/>
        <v>22</v>
      </c>
      <c r="K51" s="817" t="str">
        <f t="shared" si="121"/>
        <v>D1_Tr1!V28</v>
      </c>
      <c r="L51" s="818" t="str">
        <f>D1_Tr1!V28</f>
        <v>David LEROY (puy)</v>
      </c>
      <c r="M51" s="157">
        <v>7</v>
      </c>
      <c r="N51" s="394" t="s">
        <v>769</v>
      </c>
      <c r="O51" s="157">
        <v>3</v>
      </c>
      <c r="P51" s="818" t="str">
        <f t="shared" ca="1" si="122"/>
        <v>Théo MODESTE (iss)</v>
      </c>
      <c r="Q51" s="819"/>
      <c r="R51" s="397"/>
      <c r="S51" s="397"/>
      <c r="T51" s="397"/>
      <c r="U51" s="397"/>
      <c r="V51" s="820" t="str">
        <f t="shared" ca="1" si="123"/>
        <v>David LEROY (puy)12:40</v>
      </c>
      <c r="W51" s="820" t="str">
        <f t="shared" ca="1" si="124"/>
        <v>Théo MODESTE (iss)12:40</v>
      </c>
      <c r="X51" s="362">
        <f t="shared" ca="1" si="125"/>
        <v>1</v>
      </c>
      <c r="Y51" s="362">
        <f t="shared" ca="1" si="126"/>
        <v>1</v>
      </c>
      <c r="Z51" s="821" t="b">
        <f t="shared" si="127"/>
        <v>0</v>
      </c>
      <c r="AA51" s="2228"/>
      <c r="AB51" s="1327" t="s">
        <v>12955</v>
      </c>
      <c r="AD51" s="1395" t="str">
        <f t="shared" ca="1" si="128"/>
        <v>0,527777777777778</v>
      </c>
      <c r="AE51" s="1395" t="str">
        <f>D1_Tr1!D1</f>
        <v>D1</v>
      </c>
      <c r="AF51" s="1395" t="s">
        <v>5462</v>
      </c>
      <c r="AG51" s="1395">
        <v>6</v>
      </c>
      <c r="AH51" s="1395" t="str">
        <f t="shared" si="129"/>
        <v>David LEROY (puy)</v>
      </c>
      <c r="AI51" s="1395" t="str">
        <f t="shared" si="130"/>
        <v/>
      </c>
      <c r="AJ51" s="1395" t="str">
        <f t="shared" si="131"/>
        <v/>
      </c>
      <c r="AK51" s="1395" t="str">
        <f t="shared" ca="1" si="132"/>
        <v>Théo MODESTE (iss)</v>
      </c>
      <c r="AL51" s="2220" t="str">
        <f t="shared" si="133"/>
        <v/>
      </c>
      <c r="AM51" s="2220" t="str">
        <f t="shared" si="134"/>
        <v/>
      </c>
      <c r="AN51" s="2220" t="str">
        <f t="shared" si="135"/>
        <v/>
      </c>
      <c r="AO51" s="2220" t="str">
        <f t="shared" si="136"/>
        <v/>
      </c>
      <c r="AP51" s="2220" t="str">
        <f t="shared" si="137"/>
        <v/>
      </c>
    </row>
    <row r="52" spans="1:42" outlineLevel="1" x14ac:dyDescent="0.2">
      <c r="A52" s="2227">
        <f t="shared" ca="1" si="117"/>
        <v>0.52777777777777779</v>
      </c>
      <c r="B52" s="815"/>
      <c r="C52" s="2226" t="str">
        <f>"D1_Tr1 - " &amp; N_Group &amp; " 1" &amp; " - " &amp; N_Round &amp; " 6"</f>
        <v>D1_Tr1 - Poule 1 - Tr 6</v>
      </c>
      <c r="D52" s="872"/>
      <c r="E52" s="119"/>
      <c r="F52" s="815"/>
      <c r="G52" s="817" t="s">
        <v>1715</v>
      </c>
      <c r="H52" s="817" t="str">
        <f t="shared" si="118"/>
        <v>D1_Tr1</v>
      </c>
      <c r="I52" s="817">
        <f t="shared" ca="1" si="119"/>
        <v>29</v>
      </c>
      <c r="J52" s="817">
        <f t="shared" ca="1" si="120"/>
        <v>22</v>
      </c>
      <c r="K52" s="817" t="str">
        <f t="shared" si="121"/>
        <v>D1_Tr1!V29</v>
      </c>
      <c r="L52" s="818" t="str">
        <f>D1_Tr1!V29</f>
        <v>Françoise GUYOT (chp)</v>
      </c>
      <c r="M52" s="157">
        <v>6</v>
      </c>
      <c r="N52" s="394" t="s">
        <v>769</v>
      </c>
      <c r="O52" s="157">
        <v>3</v>
      </c>
      <c r="P52" s="818" t="str">
        <f t="shared" ca="1" si="122"/>
        <v>Raphaël POMMIER (cae)</v>
      </c>
      <c r="Q52" s="819"/>
      <c r="R52" s="397"/>
      <c r="S52" s="397"/>
      <c r="T52" s="397"/>
      <c r="U52" s="397"/>
      <c r="V52" s="820" t="str">
        <f t="shared" ca="1" si="123"/>
        <v>Françoise GUYOT (chp)12:40</v>
      </c>
      <c r="W52" s="820" t="str">
        <f t="shared" ca="1" si="124"/>
        <v>Raphaël POMMIER (cae)12:40</v>
      </c>
      <c r="X52" s="362">
        <f t="shared" ca="1" si="125"/>
        <v>1</v>
      </c>
      <c r="Y52" s="362">
        <f t="shared" ca="1" si="126"/>
        <v>1</v>
      </c>
      <c r="Z52" s="821" t="b">
        <f t="shared" si="127"/>
        <v>0</v>
      </c>
      <c r="AA52" s="2228"/>
      <c r="AB52" s="1327" t="s">
        <v>12955</v>
      </c>
      <c r="AD52" s="1395" t="str">
        <f t="shared" ca="1" si="128"/>
        <v>0,527777777777778</v>
      </c>
      <c r="AE52" s="1395" t="str">
        <f>D1_Tr1!D1</f>
        <v>D1</v>
      </c>
      <c r="AF52" s="1395" t="s">
        <v>5462</v>
      </c>
      <c r="AG52" s="1395">
        <v>6</v>
      </c>
      <c r="AH52" s="1395" t="str">
        <f t="shared" si="129"/>
        <v>Françoise GUYOT (chp)</v>
      </c>
      <c r="AI52" s="1395" t="str">
        <f t="shared" si="130"/>
        <v/>
      </c>
      <c r="AJ52" s="1395" t="str">
        <f t="shared" si="131"/>
        <v/>
      </c>
      <c r="AK52" s="1395" t="str">
        <f t="shared" ca="1" si="132"/>
        <v>Raphaël POMMIER (cae)</v>
      </c>
      <c r="AL52" s="2220" t="str">
        <f t="shared" si="133"/>
        <v/>
      </c>
      <c r="AM52" s="2220" t="str">
        <f t="shared" si="134"/>
        <v/>
      </c>
      <c r="AN52" s="2220" t="str">
        <f t="shared" si="135"/>
        <v/>
      </c>
      <c r="AO52" s="2220" t="str">
        <f t="shared" si="136"/>
        <v/>
      </c>
      <c r="AP52" s="2220" t="str">
        <f t="shared" si="137"/>
        <v/>
      </c>
    </row>
    <row r="53" spans="1:42" outlineLevel="1" x14ac:dyDescent="0.2">
      <c r="A53" s="2227">
        <f t="shared" ca="1" si="117"/>
        <v>0.52777777777777779</v>
      </c>
      <c r="B53" s="815"/>
      <c r="C53" s="2226" t="str">
        <f>"D1_Tr1 - " &amp; N_Group &amp; " 1" &amp; " - " &amp; N_Round &amp; " 6"</f>
        <v>D1_Tr1 - Poule 1 - Tr 6</v>
      </c>
      <c r="D53" s="872"/>
      <c r="E53" s="119"/>
      <c r="F53" s="815"/>
      <c r="G53" s="817" t="s">
        <v>1715</v>
      </c>
      <c r="H53" s="817" t="str">
        <f t="shared" si="118"/>
        <v>D1_Tr1</v>
      </c>
      <c r="I53" s="817">
        <f t="shared" ca="1" si="119"/>
        <v>30</v>
      </c>
      <c r="J53" s="817">
        <f t="shared" ca="1" si="120"/>
        <v>22</v>
      </c>
      <c r="K53" s="817" t="str">
        <f t="shared" si="121"/>
        <v>D1_Tr1!V30</v>
      </c>
      <c r="L53" s="818" t="str">
        <f>D1_Tr1!V30</f>
        <v>Cyprien BONNET (sym)</v>
      </c>
      <c r="M53" s="157">
        <v>5</v>
      </c>
      <c r="N53" s="394" t="s">
        <v>769</v>
      </c>
      <c r="O53" s="157">
        <v>3</v>
      </c>
      <c r="P53" s="818" t="str">
        <f t="shared" ca="1" si="122"/>
        <v>Cédric PANDOLFI (sym)</v>
      </c>
      <c r="Q53" s="819"/>
      <c r="R53" s="397"/>
      <c r="S53" s="397"/>
      <c r="T53" s="397"/>
      <c r="U53" s="397"/>
      <c r="V53" s="820" t="str">
        <f t="shared" ca="1" si="123"/>
        <v>Cyprien BONNET (sym)12:40</v>
      </c>
      <c r="W53" s="820" t="str">
        <f t="shared" ca="1" si="124"/>
        <v>Cédric PANDOLFI (sym)12:40</v>
      </c>
      <c r="X53" s="362">
        <f t="shared" ca="1" si="125"/>
        <v>1</v>
      </c>
      <c r="Y53" s="362">
        <f t="shared" ca="1" si="126"/>
        <v>1</v>
      </c>
      <c r="Z53" s="821" t="b">
        <f t="shared" si="127"/>
        <v>0</v>
      </c>
      <c r="AA53" s="2228"/>
      <c r="AB53" s="1327" t="s">
        <v>12955</v>
      </c>
      <c r="AD53" s="1395" t="str">
        <f t="shared" ca="1" si="128"/>
        <v>0,527777777777778</v>
      </c>
      <c r="AE53" s="1395" t="str">
        <f>D1_Tr1!D1</f>
        <v>D1</v>
      </c>
      <c r="AF53" s="1395" t="s">
        <v>5462</v>
      </c>
      <c r="AG53" s="1395">
        <v>6</v>
      </c>
      <c r="AH53" s="1395" t="str">
        <f t="shared" si="129"/>
        <v>Cyprien BONNET (sym)</v>
      </c>
      <c r="AI53" s="1395" t="str">
        <f t="shared" si="130"/>
        <v/>
      </c>
      <c r="AJ53" s="1395" t="str">
        <f t="shared" si="131"/>
        <v/>
      </c>
      <c r="AK53" s="1395" t="str">
        <f t="shared" ca="1" si="132"/>
        <v>Cédric PANDOLFI (sym)</v>
      </c>
      <c r="AL53" s="2220" t="str">
        <f t="shared" si="133"/>
        <v/>
      </c>
      <c r="AM53" s="2220" t="str">
        <f t="shared" si="134"/>
        <v/>
      </c>
      <c r="AN53" s="2220" t="str">
        <f t="shared" si="135"/>
        <v/>
      </c>
      <c r="AO53" s="2220" t="str">
        <f t="shared" si="136"/>
        <v/>
      </c>
      <c r="AP53" s="2220" t="str">
        <f t="shared" si="137"/>
        <v/>
      </c>
    </row>
    <row r="54" spans="1:42" outlineLevel="1" x14ac:dyDescent="0.2">
      <c r="A54" s="2227">
        <f t="shared" ca="1" si="117"/>
        <v>0.52777777777777779</v>
      </c>
      <c r="B54" s="815"/>
      <c r="C54" s="2226" t="str">
        <f>"D1_Tr1 - " &amp; N_Group &amp; " 2" &amp; " - " &amp; N_Round &amp; " 6"</f>
        <v>D1_Tr1 - Poule 2 - Tr 6</v>
      </c>
      <c r="D54" s="872"/>
      <c r="E54" s="119"/>
      <c r="F54" s="815"/>
      <c r="G54" s="817" t="s">
        <v>1715</v>
      </c>
      <c r="H54" s="817" t="str">
        <f t="shared" si="118"/>
        <v>D1_Tr1</v>
      </c>
      <c r="I54" s="817">
        <f t="shared" ca="1" si="119"/>
        <v>59</v>
      </c>
      <c r="J54" s="817">
        <f t="shared" ca="1" si="120"/>
        <v>22</v>
      </c>
      <c r="K54" s="817" t="str">
        <f t="shared" si="121"/>
        <v>D1_Tr1!V59</v>
      </c>
      <c r="L54" s="818" t="str">
        <f>D1_Tr1!V59</f>
        <v>Emmanuel GORGETTE (iss)</v>
      </c>
      <c r="M54" s="157">
        <v>4</v>
      </c>
      <c r="N54" s="394" t="s">
        <v>769</v>
      </c>
      <c r="O54" s="157">
        <v>3</v>
      </c>
      <c r="P54" s="818" t="str">
        <f t="shared" ca="1" si="122"/>
        <v>Axel DONVAL (iss)</v>
      </c>
      <c r="Q54" s="819"/>
      <c r="R54" s="397"/>
      <c r="S54" s="397"/>
      <c r="T54" s="397"/>
      <c r="U54" s="397"/>
      <c r="V54" s="820" t="str">
        <f t="shared" ca="1" si="123"/>
        <v>Emmanuel GORGETTE (iss)12:40</v>
      </c>
      <c r="W54" s="820" t="str">
        <f t="shared" ca="1" si="124"/>
        <v>Axel DONVAL (iss)12:40</v>
      </c>
      <c r="X54" s="362">
        <f t="shared" ca="1" si="125"/>
        <v>1</v>
      </c>
      <c r="Y54" s="362">
        <f t="shared" ca="1" si="126"/>
        <v>1</v>
      </c>
      <c r="Z54" s="821" t="b">
        <f t="shared" si="127"/>
        <v>0</v>
      </c>
      <c r="AA54" s="2228"/>
      <c r="AB54" s="1327" t="s">
        <v>12955</v>
      </c>
      <c r="AD54" s="1395" t="str">
        <f t="shared" ca="1" si="128"/>
        <v>0,527777777777778</v>
      </c>
      <c r="AE54" s="1395" t="str">
        <f>D1_Tr1!D1</f>
        <v>D1</v>
      </c>
      <c r="AF54" s="1395" t="s">
        <v>5462</v>
      </c>
      <c r="AG54" s="1395">
        <v>6</v>
      </c>
      <c r="AH54" s="1395" t="str">
        <f t="shared" si="129"/>
        <v>Emmanuel GORGETTE (iss)</v>
      </c>
      <c r="AI54" s="1395" t="str">
        <f t="shared" si="130"/>
        <v/>
      </c>
      <c r="AJ54" s="1395" t="str">
        <f t="shared" si="131"/>
        <v/>
      </c>
      <c r="AK54" s="1395" t="str">
        <f t="shared" ca="1" si="132"/>
        <v>Axel DONVAL (iss)</v>
      </c>
      <c r="AL54" s="2220" t="str">
        <f t="shared" si="133"/>
        <v/>
      </c>
      <c r="AM54" s="2220" t="str">
        <f t="shared" si="134"/>
        <v/>
      </c>
      <c r="AN54" s="2220" t="str">
        <f t="shared" si="135"/>
        <v/>
      </c>
      <c r="AO54" s="2220" t="str">
        <f t="shared" si="136"/>
        <v/>
      </c>
      <c r="AP54" s="2220" t="str">
        <f t="shared" si="137"/>
        <v/>
      </c>
    </row>
    <row r="55" spans="1:42" outlineLevel="1" x14ac:dyDescent="0.2">
      <c r="A55" s="2227">
        <f t="shared" ca="1" si="117"/>
        <v>0.52777777777777779</v>
      </c>
      <c r="B55" s="815"/>
      <c r="C55" s="2226" t="str">
        <f>"D1_Tr1 - " &amp; N_Group &amp; " 2" &amp; " - " &amp; N_Round &amp; " 6"</f>
        <v>D1_Tr1 - Poule 2 - Tr 6</v>
      </c>
      <c r="D55" s="872"/>
      <c r="E55" s="119"/>
      <c r="F55" s="815"/>
      <c r="G55" s="817" t="s">
        <v>1715</v>
      </c>
      <c r="H55" s="817" t="str">
        <f t="shared" si="118"/>
        <v>D1_Tr1</v>
      </c>
      <c r="I55" s="817">
        <f t="shared" ca="1" si="119"/>
        <v>60</v>
      </c>
      <c r="J55" s="817">
        <f t="shared" ca="1" si="120"/>
        <v>22</v>
      </c>
      <c r="K55" s="817" t="str">
        <f t="shared" si="121"/>
        <v>D1_Tr1!V60</v>
      </c>
      <c r="L55" s="818" t="str">
        <f>D1_Tr1!V60</f>
        <v>Jean-François BALARD (puy)</v>
      </c>
      <c r="M55" s="157">
        <v>3</v>
      </c>
      <c r="N55" s="394" t="s">
        <v>769</v>
      </c>
      <c r="O55" s="157">
        <v>3</v>
      </c>
      <c r="P55" s="818" t="str">
        <f t="shared" ca="1" si="122"/>
        <v>Jean-Marie AMBERNY (iss)</v>
      </c>
      <c r="Q55" s="819"/>
      <c r="R55" s="397"/>
      <c r="S55" s="397"/>
      <c r="T55" s="397"/>
      <c r="U55" s="397"/>
      <c r="V55" s="820" t="str">
        <f t="shared" ca="1" si="123"/>
        <v>Jean-François BALARD (puy)12:40</v>
      </c>
      <c r="W55" s="820" t="str">
        <f t="shared" ca="1" si="124"/>
        <v>Jean-Marie AMBERNY (iss)12:40</v>
      </c>
      <c r="X55" s="362">
        <f t="shared" ca="1" si="125"/>
        <v>1</v>
      </c>
      <c r="Y55" s="362">
        <f t="shared" ca="1" si="126"/>
        <v>1</v>
      </c>
      <c r="Z55" s="821" t="b">
        <f t="shared" si="127"/>
        <v>0</v>
      </c>
      <c r="AA55" s="2228"/>
      <c r="AB55" s="1327" t="s">
        <v>12955</v>
      </c>
      <c r="AD55" s="1395" t="str">
        <f t="shared" ca="1" si="128"/>
        <v>0,527777777777778</v>
      </c>
      <c r="AE55" s="1395" t="str">
        <f>D1_Tr1!D1</f>
        <v>D1</v>
      </c>
      <c r="AF55" s="1395" t="s">
        <v>5462</v>
      </c>
      <c r="AG55" s="1395">
        <v>6</v>
      </c>
      <c r="AH55" s="1395" t="str">
        <f t="shared" si="129"/>
        <v/>
      </c>
      <c r="AI55" s="1395" t="str">
        <f t="shared" si="130"/>
        <v>Jean-François BALARD (puy)</v>
      </c>
      <c r="AJ55" s="1395" t="str">
        <f t="shared" ca="1" si="131"/>
        <v>Jean-Marie AMBERNY (iss)</v>
      </c>
      <c r="AK55" s="1395" t="str">
        <f t="shared" si="132"/>
        <v/>
      </c>
      <c r="AL55" s="2220" t="str">
        <f t="shared" si="133"/>
        <v/>
      </c>
      <c r="AM55" s="2220" t="str">
        <f t="shared" si="134"/>
        <v/>
      </c>
      <c r="AN55" s="2220" t="str">
        <f t="shared" si="135"/>
        <v/>
      </c>
      <c r="AO55" s="2220" t="str">
        <f t="shared" si="136"/>
        <v/>
      </c>
      <c r="AP55" s="2220" t="str">
        <f t="shared" si="137"/>
        <v/>
      </c>
    </row>
    <row r="56" spans="1:42" outlineLevel="1" x14ac:dyDescent="0.2">
      <c r="A56" s="2227">
        <f t="shared" ca="1" si="117"/>
        <v>0.52777777777777779</v>
      </c>
      <c r="B56" s="815"/>
      <c r="C56" s="2226" t="str">
        <f>"D1_Tr1 - " &amp; N_Group &amp; " 2" &amp; " - " &amp; N_Round &amp; " 6"</f>
        <v>D1_Tr1 - Poule 2 - Tr 6</v>
      </c>
      <c r="D56" s="872"/>
      <c r="E56" s="119"/>
      <c r="F56" s="815"/>
      <c r="G56" s="817" t="s">
        <v>1715</v>
      </c>
      <c r="H56" s="817" t="str">
        <f t="shared" si="118"/>
        <v>D1_Tr1</v>
      </c>
      <c r="I56" s="817">
        <f t="shared" ca="1" si="119"/>
        <v>61</v>
      </c>
      <c r="J56" s="817">
        <f t="shared" ca="1" si="120"/>
        <v>22</v>
      </c>
      <c r="K56" s="817" t="str">
        <f t="shared" si="121"/>
        <v>D1_Tr1!V61</v>
      </c>
      <c r="L56" s="818" t="str">
        <f>D1_Tr1!V61</f>
        <v>Audrey HERBAUT (chp)</v>
      </c>
      <c r="M56" s="157">
        <v>2</v>
      </c>
      <c r="N56" s="394" t="s">
        <v>769</v>
      </c>
      <c r="O56" s="157">
        <v>3</v>
      </c>
      <c r="P56" s="818" t="str">
        <f t="shared" ca="1" si="122"/>
        <v>Stéphane POMMIER (cae)</v>
      </c>
      <c r="Q56" s="819"/>
      <c r="R56" s="397"/>
      <c r="S56" s="397"/>
      <c r="T56" s="397"/>
      <c r="U56" s="397"/>
      <c r="V56" s="820" t="str">
        <f t="shared" ca="1" si="123"/>
        <v>Audrey HERBAUT (chp)12:40</v>
      </c>
      <c r="W56" s="820" t="str">
        <f t="shared" ca="1" si="124"/>
        <v>Stéphane POMMIER (cae)12:40</v>
      </c>
      <c r="X56" s="362">
        <f t="shared" ca="1" si="125"/>
        <v>1</v>
      </c>
      <c r="Y56" s="362">
        <f t="shared" ca="1" si="126"/>
        <v>1</v>
      </c>
      <c r="Z56" s="821" t="b">
        <f t="shared" si="127"/>
        <v>0</v>
      </c>
      <c r="AA56" s="2228"/>
      <c r="AB56" s="1327" t="s">
        <v>12955</v>
      </c>
      <c r="AD56" s="1395" t="str">
        <f t="shared" ca="1" si="128"/>
        <v>0,527777777777778</v>
      </c>
      <c r="AE56" s="1395" t="str">
        <f>D1_Tr1!D1</f>
        <v>D1</v>
      </c>
      <c r="AF56" s="1395" t="s">
        <v>5462</v>
      </c>
      <c r="AG56" s="1395">
        <v>6</v>
      </c>
      <c r="AH56" s="1395" t="str">
        <f t="shared" ca="1" si="129"/>
        <v>Stéphane POMMIER (cae)</v>
      </c>
      <c r="AI56" s="1395" t="str">
        <f t="shared" si="130"/>
        <v/>
      </c>
      <c r="AJ56" s="1395" t="str">
        <f t="shared" si="131"/>
        <v/>
      </c>
      <c r="AK56" s="1395" t="str">
        <f t="shared" si="132"/>
        <v>Audrey HERBAUT (chp)</v>
      </c>
      <c r="AL56" s="2220" t="str">
        <f t="shared" si="133"/>
        <v/>
      </c>
      <c r="AM56" s="2220" t="str">
        <f t="shared" si="134"/>
        <v/>
      </c>
      <c r="AN56" s="2220" t="str">
        <f t="shared" si="135"/>
        <v/>
      </c>
      <c r="AO56" s="2220" t="str">
        <f t="shared" si="136"/>
        <v/>
      </c>
      <c r="AP56" s="2220" t="str">
        <f t="shared" si="137"/>
        <v/>
      </c>
    </row>
    <row r="57" spans="1:42" ht="13.5" outlineLevel="1" thickBot="1" x14ac:dyDescent="0.25">
      <c r="A57" s="2227">
        <f t="shared" ca="1" si="117"/>
        <v>0.52777777777777779</v>
      </c>
      <c r="B57" s="815"/>
      <c r="C57" s="2226" t="str">
        <f>"D1_Tr1 - " &amp; N_Group &amp; " 2" &amp; " - " &amp; N_Round &amp; " 6"</f>
        <v>D1_Tr1 - Poule 2 - Tr 6</v>
      </c>
      <c r="D57" s="872"/>
      <c r="E57" s="119"/>
      <c r="F57" s="815"/>
      <c r="G57" s="817" t="s">
        <v>1715</v>
      </c>
      <c r="H57" s="817" t="str">
        <f t="shared" si="118"/>
        <v>D1_Tr1</v>
      </c>
      <c r="I57" s="817">
        <f t="shared" ca="1" si="119"/>
        <v>62</v>
      </c>
      <c r="J57" s="817">
        <f t="shared" ca="1" si="120"/>
        <v>22</v>
      </c>
      <c r="K57" s="817" t="str">
        <f t="shared" si="121"/>
        <v>D1_Tr1!V62</v>
      </c>
      <c r="L57" s="818" t="str">
        <f>D1_Tr1!V62</f>
        <v>Quentin AUSSET (chp)</v>
      </c>
      <c r="M57" s="157">
        <v>1</v>
      </c>
      <c r="N57" s="394" t="s">
        <v>769</v>
      </c>
      <c r="O57" s="157">
        <v>3</v>
      </c>
      <c r="P57" s="818" t="str">
        <f t="shared" ca="1" si="122"/>
        <v>Mickaël BLANC (sym)</v>
      </c>
      <c r="Q57" s="819"/>
      <c r="R57" s="397"/>
      <c r="S57" s="397"/>
      <c r="T57" s="397"/>
      <c r="U57" s="397"/>
      <c r="V57" s="820" t="str">
        <f t="shared" ca="1" si="123"/>
        <v>Quentin AUSSET (chp)12:40</v>
      </c>
      <c r="W57" s="820" t="str">
        <f t="shared" ca="1" si="124"/>
        <v>Mickaël BLANC (sym)12:40</v>
      </c>
      <c r="X57" s="362">
        <f t="shared" ca="1" si="125"/>
        <v>1</v>
      </c>
      <c r="Y57" s="362">
        <f t="shared" ca="1" si="126"/>
        <v>1</v>
      </c>
      <c r="Z57" s="821" t="b">
        <f t="shared" si="127"/>
        <v>0</v>
      </c>
      <c r="AA57" s="2228"/>
      <c r="AB57" s="1327" t="s">
        <v>12955</v>
      </c>
      <c r="AD57" s="1395" t="str">
        <f t="shared" ca="1" si="128"/>
        <v>0,527777777777778</v>
      </c>
      <c r="AE57" s="1395" t="str">
        <f>D1_Tr1!D1</f>
        <v>D1</v>
      </c>
      <c r="AF57" s="1395" t="s">
        <v>5462</v>
      </c>
      <c r="AG57" s="1395">
        <v>6</v>
      </c>
      <c r="AH57" s="1395" t="str">
        <f t="shared" ca="1" si="129"/>
        <v>Mickaël BLANC (sym)</v>
      </c>
      <c r="AI57" s="1395" t="str">
        <f t="shared" si="130"/>
        <v/>
      </c>
      <c r="AJ57" s="1395" t="str">
        <f t="shared" si="131"/>
        <v/>
      </c>
      <c r="AK57" s="1395" t="str">
        <f t="shared" si="132"/>
        <v>Quentin AUSSET (chp)</v>
      </c>
      <c r="AL57" s="2220" t="str">
        <f t="shared" si="133"/>
        <v/>
      </c>
      <c r="AM57" s="2220" t="str">
        <f t="shared" si="134"/>
        <v/>
      </c>
      <c r="AN57" s="2220" t="str">
        <f t="shared" si="135"/>
        <v/>
      </c>
      <c r="AO57" s="2220" t="str">
        <f t="shared" si="136"/>
        <v/>
      </c>
      <c r="AP57" s="2220" t="str">
        <f t="shared" si="137"/>
        <v/>
      </c>
    </row>
    <row r="58" spans="1:42" ht="15" x14ac:dyDescent="0.2">
      <c r="A58" s="789">
        <f>A49+P49</f>
        <v>0.55902777777777779</v>
      </c>
      <c r="B58" s="790"/>
      <c r="C58" s="791" t="str">
        <f t="shared" ref="C58" si="138">N_Session</f>
        <v xml:space="preserve">Session N° </v>
      </c>
      <c r="D58" s="792"/>
      <c r="E58" s="793">
        <f>E49+ 1</f>
        <v>7</v>
      </c>
      <c r="F58" s="794"/>
      <c r="G58" s="795" t="str">
        <f>"S" &amp; RIGHT(G49, LEN(G49)-1) + 1</f>
        <v>S7</v>
      </c>
      <c r="H58" s="794"/>
      <c r="I58" s="794"/>
      <c r="J58" s="794"/>
      <c r="K58" s="794"/>
      <c r="L58" s="791" t="str">
        <f t="shared" ref="L58" si="139">N_Duration</f>
        <v>Durée</v>
      </c>
      <c r="M58" s="796"/>
      <c r="N58" s="797" t="s">
        <v>1714</v>
      </c>
      <c r="O58" s="796"/>
      <c r="P58" s="798">
        <v>2.7777777777777776E-2</v>
      </c>
      <c r="Q58" s="799"/>
      <c r="R58" s="800"/>
      <c r="S58" s="796"/>
      <c r="T58" s="800"/>
      <c r="U58" s="796"/>
      <c r="V58" s="796"/>
      <c r="W58" s="796"/>
      <c r="X58" s="796"/>
      <c r="Y58" s="796"/>
      <c r="Z58" s="796"/>
      <c r="AA58" s="799"/>
      <c r="AB58" s="801"/>
      <c r="AC58" s="1394"/>
      <c r="AD58" s="1394"/>
      <c r="AE58" s="1394"/>
      <c r="AF58" s="1394"/>
      <c r="AG58" s="1394"/>
      <c r="AH58" s="1394"/>
      <c r="AI58" s="1394"/>
      <c r="AJ58" s="1394"/>
      <c r="AK58" s="1394"/>
      <c r="AL58" s="2219"/>
      <c r="AM58" s="2219"/>
      <c r="AN58" s="2219"/>
      <c r="AO58" s="2219"/>
      <c r="AP58" s="2219"/>
    </row>
    <row r="59" spans="1:42" outlineLevel="1" x14ac:dyDescent="0.2">
      <c r="A59" s="2227">
        <f t="shared" ref="A59:A66" ca="1" si="140">OFFSET(A59,-1,0)</f>
        <v>0.55902777777777779</v>
      </c>
      <c r="B59" s="815"/>
      <c r="C59" s="2226" t="str">
        <f>"D1_Tr1 - " &amp; N_Group &amp; " 1" &amp; " - " &amp; N_Round &amp; " 7"</f>
        <v>D1_Tr1 - Poule 1 - Tr 7</v>
      </c>
      <c r="D59" s="872"/>
      <c r="E59" s="119" cm="1">
        <f t="array" aca="1" ref="E59" ca="1">MATCH(L59&amp;P59,D1_Tr1!V:V&amp;D1_Tr1!Z:Z,0)</f>
        <v>31</v>
      </c>
      <c r="F59" s="815"/>
      <c r="G59" s="817" t="s">
        <v>1715</v>
      </c>
      <c r="H59" s="817" t="str">
        <f t="shared" ref="H59:H66" si="141">IF(K59="","",SUBSTITUTE(MID(K59,1,SEARCH("!",K59,1)-1),"'",""))</f>
        <v>D1_Tr1</v>
      </c>
      <c r="I59" s="817">
        <f t="shared" ref="I59:I66" ca="1" si="142">IF(K59="","",CELL("row",INDIRECT(K59)))</f>
        <v>31</v>
      </c>
      <c r="J59" s="817">
        <f t="shared" ref="J59:J66" ca="1" si="143">IF(K59="","",CELL("col",INDIRECT(K59)))</f>
        <v>22</v>
      </c>
      <c r="K59" s="817" t="str">
        <f t="shared" ref="K59:K66" si="144">MID(Lire_Formule(L59),2,10000)</f>
        <v>D1_Tr1!V31</v>
      </c>
      <c r="L59" s="818" t="str">
        <f>D1_Tr1!V31</f>
        <v>Théo MODESTE (iss)</v>
      </c>
      <c r="M59" s="157">
        <v>8</v>
      </c>
      <c r="N59" s="394" t="s">
        <v>769</v>
      </c>
      <c r="O59" s="157">
        <v>3</v>
      </c>
      <c r="P59" s="818" t="str">
        <f t="shared" ref="P59:P66" ca="1" si="145">IF(K59="","",IF(G59="IT",INDIRECT(ADDRESS(I59+2,J59,4,TRUE,H59)),INDIRECT(ADDRESS(I59,J59+4,4,TRUE,H59))))</f>
        <v>Cyprien BONNET (sym)</v>
      </c>
      <c r="Q59" s="819"/>
      <c r="R59" s="397"/>
      <c r="S59" s="397"/>
      <c r="T59" s="397"/>
      <c r="U59" s="397"/>
      <c r="V59" s="820" t="str">
        <f t="shared" ref="V59:V66" ca="1" si="146">L59&amp;TEXT(A59,"hh:mm")</f>
        <v>Théo MODESTE (iss)13:25</v>
      </c>
      <c r="W59" s="820" t="str">
        <f t="shared" ref="W59:W66" ca="1" si="147">P59&amp;TEXT(A59,"hh:mm")</f>
        <v>Cyprien BONNET (sym)13:25</v>
      </c>
      <c r="X59" s="362">
        <f t="shared" ref="X59:X66" ca="1" si="148">IF(L59="",0,COUNTIF(PlayersAndHoursCol1,L59&amp;TEXT($A59,"hh:mm"))+COUNTIF(PlayersAndHoursCol2,L59&amp;TEXT($A59,"hh:mm")))</f>
        <v>1</v>
      </c>
      <c r="Y59" s="362">
        <f t="shared" ref="Y59:Y66" ca="1" si="149">IF(P59="",0,COUNTIF(PlayersAndHoursCol1,P59&amp;TEXT($A59,"hh:mm"))+COUNTIF(PlayersAndHoursCol2,P59&amp;TEXT($A59,"hh:mm")))</f>
        <v>1</v>
      </c>
      <c r="Z59" s="821" t="b">
        <f t="shared" ref="Z59:Z66" si="150">IF(AA59="",FALSE,NOT(AND(ISNA(MATCH(AA59&amp;TEXT($A59,"hh:mm"),PlayersAndHoursCol1,0)),ISNA(MATCH(AA59&amp;TEXT($A59,"hh:mm"),PlayersAndHoursCol2,0)),COUNTIF(AD:AD,AA59&amp;$A59)&lt;=1)))</f>
        <v>0</v>
      </c>
      <c r="AA59" s="2228"/>
      <c r="AB59" s="1327" t="s">
        <v>12955</v>
      </c>
      <c r="AD59" s="1395" t="str">
        <f t="shared" ref="AD59:AD66" ca="1" si="151">AA59&amp;A59</f>
        <v>0,559027777777778</v>
      </c>
      <c r="AE59" s="1395" t="str">
        <f>D1_Tr1!D1</f>
        <v>D1</v>
      </c>
      <c r="AF59" s="1395" t="s">
        <v>5462</v>
      </c>
      <c r="AG59" s="1395">
        <v>7</v>
      </c>
      <c r="AH59" s="1395" t="str">
        <f t="shared" ref="AH59:AH66" si="152">IF(OR(M59&gt;O59,R59&gt;T59),L59,IF(OR(M59&lt;O59,R59&lt;T59),P59,""))</f>
        <v>Théo MODESTE (iss)</v>
      </c>
      <c r="AI59" s="1395" t="str">
        <f t="shared" ref="AI59:AI66" si="153">IF(AND(M59&lt;&gt;"",M59=O59,R59=T59),L59,"")</f>
        <v/>
      </c>
      <c r="AJ59" s="1395" t="str">
        <f t="shared" ref="AJ59:AJ66" si="154">IF(AND(M59&lt;&gt;"",M59=O59,R59=T59),P59,"")</f>
        <v/>
      </c>
      <c r="AK59" s="1395" t="str">
        <f t="shared" ref="AK59:AK66" ca="1" si="155">IF(OR(M59&lt;O59,R59&lt;T59),L59,IF(OR(M59&gt;O59,R59&gt;T59),P59,""))</f>
        <v>Cyprien BONNET (sym)</v>
      </c>
      <c r="AL59" s="2220" t="str">
        <f t="shared" ref="AL59:AL66" si="156">IF(OR($AB59="",$AB59="V"),"",IF(MOD($AB59,10)=1,"XXX",""))</f>
        <v/>
      </c>
      <c r="AM59" s="2220" t="str">
        <f t="shared" ref="AM59:AM66" si="157">IF(OR($AB59="",$AB59="V"),"",IF(MOD($AB59,100)&gt;=10,"XXX",""))</f>
        <v/>
      </c>
      <c r="AN59" s="2220" t="str">
        <f t="shared" ref="AN59:AN66" si="158">IF(OR($AB59="",$AB59="V"),"",IF(MOD($AB59,1000)&gt;=100,"XXX",""))</f>
        <v/>
      </c>
      <c r="AO59" s="2220" t="str">
        <f t="shared" ref="AO59:AO66" si="159">IF(OR($AB59="",$AB59="V"),"",IF(MOD($AB59,10000)&gt;=1000,"XXX",""))</f>
        <v/>
      </c>
      <c r="AP59" s="2220" t="str">
        <f t="shared" ref="AP59:AP66" si="160">IF(OR($AB59="",$AB59="V"),"",IF(MOD($AB59,100000)&gt;=10000,"XXX",""))</f>
        <v/>
      </c>
    </row>
    <row r="60" spans="1:42" outlineLevel="1" x14ac:dyDescent="0.2">
      <c r="A60" s="2227">
        <f t="shared" ca="1" si="140"/>
        <v>0.55902777777777779</v>
      </c>
      <c r="B60" s="815"/>
      <c r="C60" s="2226" t="str">
        <f>"D1_Tr1 - " &amp; N_Group &amp; " 1" &amp; " - " &amp; N_Round &amp; " 7"</f>
        <v>D1_Tr1 - Poule 1 - Tr 7</v>
      </c>
      <c r="D60" s="872"/>
      <c r="E60" s="119"/>
      <c r="F60" s="815"/>
      <c r="G60" s="817" t="s">
        <v>1715</v>
      </c>
      <c r="H60" s="817" t="str">
        <f t="shared" si="141"/>
        <v>D1_Tr1</v>
      </c>
      <c r="I60" s="817">
        <f t="shared" ca="1" si="142"/>
        <v>32</v>
      </c>
      <c r="J60" s="817">
        <f t="shared" ca="1" si="143"/>
        <v>22</v>
      </c>
      <c r="K60" s="817" t="str">
        <f t="shared" si="144"/>
        <v>D1_Tr1!V32</v>
      </c>
      <c r="L60" s="818" t="str">
        <f>D1_Tr1!V32</f>
        <v>Eric NASZALYI (iss)</v>
      </c>
      <c r="M60" s="157">
        <v>7</v>
      </c>
      <c r="N60" s="394" t="s">
        <v>769</v>
      </c>
      <c r="O60" s="157">
        <v>3</v>
      </c>
      <c r="P60" s="818" t="str">
        <f t="shared" ca="1" si="145"/>
        <v>Françoise GUYOT (chp)</v>
      </c>
      <c r="Q60" s="819"/>
      <c r="R60" s="397"/>
      <c r="S60" s="397"/>
      <c r="T60" s="397"/>
      <c r="U60" s="397"/>
      <c r="V60" s="820" t="str">
        <f t="shared" ca="1" si="146"/>
        <v>Eric NASZALYI (iss)13:25</v>
      </c>
      <c r="W60" s="820" t="str">
        <f t="shared" ca="1" si="147"/>
        <v>Françoise GUYOT (chp)13:25</v>
      </c>
      <c r="X60" s="362">
        <f t="shared" ca="1" si="148"/>
        <v>1</v>
      </c>
      <c r="Y60" s="362">
        <f t="shared" ca="1" si="149"/>
        <v>1</v>
      </c>
      <c r="Z60" s="821" t="b">
        <f t="shared" si="150"/>
        <v>0</v>
      </c>
      <c r="AA60" s="2228"/>
      <c r="AB60" s="1327" t="s">
        <v>12955</v>
      </c>
      <c r="AD60" s="1395" t="str">
        <f t="shared" ca="1" si="151"/>
        <v>0,559027777777778</v>
      </c>
      <c r="AE60" s="1395" t="str">
        <f>D1_Tr1!D1</f>
        <v>D1</v>
      </c>
      <c r="AF60" s="1395" t="s">
        <v>5462</v>
      </c>
      <c r="AG60" s="1395">
        <v>7</v>
      </c>
      <c r="AH60" s="1395" t="str">
        <f t="shared" si="152"/>
        <v>Eric NASZALYI (iss)</v>
      </c>
      <c r="AI60" s="1395" t="str">
        <f t="shared" si="153"/>
        <v/>
      </c>
      <c r="AJ60" s="1395" t="str">
        <f t="shared" si="154"/>
        <v/>
      </c>
      <c r="AK60" s="1395" t="str">
        <f t="shared" ca="1" si="155"/>
        <v>Françoise GUYOT (chp)</v>
      </c>
      <c r="AL60" s="2220" t="str">
        <f t="shared" si="156"/>
        <v/>
      </c>
      <c r="AM60" s="2220" t="str">
        <f t="shared" si="157"/>
        <v/>
      </c>
      <c r="AN60" s="2220" t="str">
        <f t="shared" si="158"/>
        <v/>
      </c>
      <c r="AO60" s="2220" t="str">
        <f t="shared" si="159"/>
        <v/>
      </c>
      <c r="AP60" s="2220" t="str">
        <f t="shared" si="160"/>
        <v/>
      </c>
    </row>
    <row r="61" spans="1:42" outlineLevel="1" x14ac:dyDescent="0.2">
      <c r="A61" s="2227">
        <f t="shared" ca="1" si="140"/>
        <v>0.55902777777777779</v>
      </c>
      <c r="B61" s="815"/>
      <c r="C61" s="2226" t="str">
        <f>"D1_Tr1 - " &amp; N_Group &amp; " 1" &amp; " - " &amp; N_Round &amp; " 7"</f>
        <v>D1_Tr1 - Poule 1 - Tr 7</v>
      </c>
      <c r="D61" s="872"/>
      <c r="E61" s="119"/>
      <c r="F61" s="815"/>
      <c r="G61" s="817" t="s">
        <v>1715</v>
      </c>
      <c r="H61" s="817" t="str">
        <f t="shared" si="141"/>
        <v>D1_Tr1</v>
      </c>
      <c r="I61" s="817">
        <f t="shared" ca="1" si="142"/>
        <v>33</v>
      </c>
      <c r="J61" s="817">
        <f t="shared" ca="1" si="143"/>
        <v>22</v>
      </c>
      <c r="K61" s="817" t="str">
        <f t="shared" si="144"/>
        <v>D1_Tr1!V33</v>
      </c>
      <c r="L61" s="818" t="str">
        <f>D1_Tr1!V33</f>
        <v>Thierry VIVRON (iss)</v>
      </c>
      <c r="M61" s="157">
        <v>6</v>
      </c>
      <c r="N61" s="394" t="s">
        <v>769</v>
      </c>
      <c r="O61" s="157">
        <v>3</v>
      </c>
      <c r="P61" s="818" t="str">
        <f t="shared" ca="1" si="145"/>
        <v>David LEROY (puy)</v>
      </c>
      <c r="Q61" s="819"/>
      <c r="R61" s="397"/>
      <c r="S61" s="397"/>
      <c r="T61" s="397"/>
      <c r="U61" s="397"/>
      <c r="V61" s="820" t="str">
        <f t="shared" ca="1" si="146"/>
        <v>Thierry VIVRON (iss)13:25</v>
      </c>
      <c r="W61" s="820" t="str">
        <f t="shared" ca="1" si="147"/>
        <v>David LEROY (puy)13:25</v>
      </c>
      <c r="X61" s="362">
        <f t="shared" ca="1" si="148"/>
        <v>1</v>
      </c>
      <c r="Y61" s="362">
        <f t="shared" ca="1" si="149"/>
        <v>1</v>
      </c>
      <c r="Z61" s="821" t="b">
        <f t="shared" si="150"/>
        <v>0</v>
      </c>
      <c r="AA61" s="2228"/>
      <c r="AB61" s="1327" t="s">
        <v>12955</v>
      </c>
      <c r="AD61" s="1395" t="str">
        <f t="shared" ca="1" si="151"/>
        <v>0,559027777777778</v>
      </c>
      <c r="AE61" s="1395" t="str">
        <f>D1_Tr1!D1</f>
        <v>D1</v>
      </c>
      <c r="AF61" s="1395" t="s">
        <v>5462</v>
      </c>
      <c r="AG61" s="1395">
        <v>7</v>
      </c>
      <c r="AH61" s="1395" t="str">
        <f t="shared" si="152"/>
        <v>Thierry VIVRON (iss)</v>
      </c>
      <c r="AI61" s="1395" t="str">
        <f t="shared" si="153"/>
        <v/>
      </c>
      <c r="AJ61" s="1395" t="str">
        <f t="shared" si="154"/>
        <v/>
      </c>
      <c r="AK61" s="1395" t="str">
        <f t="shared" ca="1" si="155"/>
        <v>David LEROY (puy)</v>
      </c>
      <c r="AL61" s="2220" t="str">
        <f t="shared" si="156"/>
        <v/>
      </c>
      <c r="AM61" s="2220" t="str">
        <f t="shared" si="157"/>
        <v/>
      </c>
      <c r="AN61" s="2220" t="str">
        <f t="shared" si="158"/>
        <v/>
      </c>
      <c r="AO61" s="2220" t="str">
        <f t="shared" si="159"/>
        <v/>
      </c>
      <c r="AP61" s="2220" t="str">
        <f t="shared" si="160"/>
        <v/>
      </c>
    </row>
    <row r="62" spans="1:42" outlineLevel="1" x14ac:dyDescent="0.2">
      <c r="A62" s="2227">
        <f t="shared" ca="1" si="140"/>
        <v>0.55902777777777779</v>
      </c>
      <c r="B62" s="815"/>
      <c r="C62" s="2226" t="str">
        <f>"D1_Tr1 - " &amp; N_Group &amp; " 1" &amp; " - " &amp; N_Round &amp; " 7"</f>
        <v>D1_Tr1 - Poule 1 - Tr 7</v>
      </c>
      <c r="D62" s="872"/>
      <c r="E62" s="119"/>
      <c r="F62" s="815"/>
      <c r="G62" s="817" t="s">
        <v>1715</v>
      </c>
      <c r="H62" s="817" t="str">
        <f t="shared" si="141"/>
        <v>D1_Tr1</v>
      </c>
      <c r="I62" s="817">
        <f t="shared" ca="1" si="142"/>
        <v>34</v>
      </c>
      <c r="J62" s="817">
        <f t="shared" ca="1" si="143"/>
        <v>22</v>
      </c>
      <c r="K62" s="817" t="str">
        <f t="shared" si="144"/>
        <v>D1_Tr1!V34</v>
      </c>
      <c r="L62" s="818" t="str">
        <f>D1_Tr1!V34</f>
        <v>Cédric PANDOLFI (sym)</v>
      </c>
      <c r="M62" s="157">
        <v>5</v>
      </c>
      <c r="N62" s="394" t="s">
        <v>769</v>
      </c>
      <c r="O62" s="157">
        <v>3</v>
      </c>
      <c r="P62" s="818" t="str">
        <f t="shared" ca="1" si="145"/>
        <v>Raphaël POMMIER (cae)</v>
      </c>
      <c r="Q62" s="819"/>
      <c r="R62" s="397"/>
      <c r="S62" s="397"/>
      <c r="T62" s="397"/>
      <c r="U62" s="397"/>
      <c r="V62" s="820" t="str">
        <f t="shared" ca="1" si="146"/>
        <v>Cédric PANDOLFI (sym)13:25</v>
      </c>
      <c r="W62" s="820" t="str">
        <f t="shared" ca="1" si="147"/>
        <v>Raphaël POMMIER (cae)13:25</v>
      </c>
      <c r="X62" s="362">
        <f t="shared" ca="1" si="148"/>
        <v>1</v>
      </c>
      <c r="Y62" s="362">
        <f t="shared" ca="1" si="149"/>
        <v>1</v>
      </c>
      <c r="Z62" s="821" t="b">
        <f t="shared" si="150"/>
        <v>0</v>
      </c>
      <c r="AA62" s="2228"/>
      <c r="AB62" s="1327" t="s">
        <v>12955</v>
      </c>
      <c r="AD62" s="1395" t="str">
        <f t="shared" ca="1" si="151"/>
        <v>0,559027777777778</v>
      </c>
      <c r="AE62" s="1395" t="str">
        <f>D1_Tr1!D1</f>
        <v>D1</v>
      </c>
      <c r="AF62" s="1395" t="s">
        <v>5462</v>
      </c>
      <c r="AG62" s="1395">
        <v>7</v>
      </c>
      <c r="AH62" s="1395" t="str">
        <f t="shared" si="152"/>
        <v>Cédric PANDOLFI (sym)</v>
      </c>
      <c r="AI62" s="1395" t="str">
        <f t="shared" si="153"/>
        <v/>
      </c>
      <c r="AJ62" s="1395" t="str">
        <f t="shared" si="154"/>
        <v/>
      </c>
      <c r="AK62" s="1395" t="str">
        <f t="shared" ca="1" si="155"/>
        <v>Raphaël POMMIER (cae)</v>
      </c>
      <c r="AL62" s="2220" t="str">
        <f t="shared" si="156"/>
        <v/>
      </c>
      <c r="AM62" s="2220" t="str">
        <f t="shared" si="157"/>
        <v/>
      </c>
      <c r="AN62" s="2220" t="str">
        <f t="shared" si="158"/>
        <v/>
      </c>
      <c r="AO62" s="2220" t="str">
        <f t="shared" si="159"/>
        <v/>
      </c>
      <c r="AP62" s="2220" t="str">
        <f t="shared" si="160"/>
        <v/>
      </c>
    </row>
    <row r="63" spans="1:42" outlineLevel="1" x14ac:dyDescent="0.2">
      <c r="A63" s="2227">
        <f t="shared" ca="1" si="140"/>
        <v>0.55902777777777779</v>
      </c>
      <c r="B63" s="815"/>
      <c r="C63" s="2226" t="str">
        <f>"D1_Tr1 - " &amp; N_Group &amp; " 2" &amp; " - " &amp; N_Round &amp; " 7"</f>
        <v>D1_Tr1 - Poule 2 - Tr 7</v>
      </c>
      <c r="D63" s="872"/>
      <c r="E63" s="119"/>
      <c r="F63" s="815"/>
      <c r="G63" s="817" t="s">
        <v>1715</v>
      </c>
      <c r="H63" s="817" t="str">
        <f t="shared" si="141"/>
        <v>D1_Tr1</v>
      </c>
      <c r="I63" s="817">
        <f t="shared" ca="1" si="142"/>
        <v>63</v>
      </c>
      <c r="J63" s="817">
        <f t="shared" ca="1" si="143"/>
        <v>22</v>
      </c>
      <c r="K63" s="817" t="str">
        <f t="shared" si="144"/>
        <v>D1_Tr1!V63</v>
      </c>
      <c r="L63" s="818" t="str">
        <f>D1_Tr1!V63</f>
        <v>Jean-Marie AMBERNY (iss)</v>
      </c>
      <c r="M63" s="157">
        <v>4</v>
      </c>
      <c r="N63" s="394" t="s">
        <v>769</v>
      </c>
      <c r="O63" s="157">
        <v>3</v>
      </c>
      <c r="P63" s="818" t="str">
        <f t="shared" ca="1" si="145"/>
        <v>Quentin AUSSET (chp)</v>
      </c>
      <c r="Q63" s="819"/>
      <c r="R63" s="397"/>
      <c r="S63" s="397"/>
      <c r="T63" s="397"/>
      <c r="U63" s="397"/>
      <c r="V63" s="820" t="str">
        <f t="shared" ca="1" si="146"/>
        <v>Jean-Marie AMBERNY (iss)13:25</v>
      </c>
      <c r="W63" s="820" t="str">
        <f t="shared" ca="1" si="147"/>
        <v>Quentin AUSSET (chp)13:25</v>
      </c>
      <c r="X63" s="362">
        <f t="shared" ca="1" si="148"/>
        <v>1</v>
      </c>
      <c r="Y63" s="362">
        <f t="shared" ca="1" si="149"/>
        <v>1</v>
      </c>
      <c r="Z63" s="821" t="b">
        <f t="shared" si="150"/>
        <v>0</v>
      </c>
      <c r="AA63" s="2228"/>
      <c r="AB63" s="1327" t="s">
        <v>12955</v>
      </c>
      <c r="AD63" s="1395" t="str">
        <f t="shared" ca="1" si="151"/>
        <v>0,559027777777778</v>
      </c>
      <c r="AE63" s="1395" t="str">
        <f>D1_Tr1!D1</f>
        <v>D1</v>
      </c>
      <c r="AF63" s="1395" t="s">
        <v>5462</v>
      </c>
      <c r="AG63" s="1395">
        <v>7</v>
      </c>
      <c r="AH63" s="1395" t="str">
        <f t="shared" si="152"/>
        <v>Jean-Marie AMBERNY (iss)</v>
      </c>
      <c r="AI63" s="1395" t="str">
        <f t="shared" si="153"/>
        <v/>
      </c>
      <c r="AJ63" s="1395" t="str">
        <f t="shared" si="154"/>
        <v/>
      </c>
      <c r="AK63" s="1395" t="str">
        <f t="shared" ca="1" si="155"/>
        <v>Quentin AUSSET (chp)</v>
      </c>
      <c r="AL63" s="2220" t="str">
        <f t="shared" si="156"/>
        <v/>
      </c>
      <c r="AM63" s="2220" t="str">
        <f t="shared" si="157"/>
        <v/>
      </c>
      <c r="AN63" s="2220" t="str">
        <f t="shared" si="158"/>
        <v/>
      </c>
      <c r="AO63" s="2220" t="str">
        <f t="shared" si="159"/>
        <v/>
      </c>
      <c r="AP63" s="2220" t="str">
        <f t="shared" si="160"/>
        <v/>
      </c>
    </row>
    <row r="64" spans="1:42" outlineLevel="1" x14ac:dyDescent="0.2">
      <c r="A64" s="2227">
        <f t="shared" ca="1" si="140"/>
        <v>0.55902777777777779</v>
      </c>
      <c r="B64" s="815"/>
      <c r="C64" s="2226" t="str">
        <f>"D1_Tr1 - " &amp; N_Group &amp; " 2" &amp; " - " &amp; N_Round &amp; " 7"</f>
        <v>D1_Tr1 - Poule 2 - Tr 7</v>
      </c>
      <c r="D64" s="872"/>
      <c r="E64" s="119"/>
      <c r="F64" s="815"/>
      <c r="G64" s="817" t="s">
        <v>1715</v>
      </c>
      <c r="H64" s="817" t="str">
        <f t="shared" si="141"/>
        <v>D1_Tr1</v>
      </c>
      <c r="I64" s="817">
        <f t="shared" ca="1" si="142"/>
        <v>64</v>
      </c>
      <c r="J64" s="817">
        <f t="shared" ca="1" si="143"/>
        <v>22</v>
      </c>
      <c r="K64" s="817" t="str">
        <f t="shared" si="144"/>
        <v>D1_Tr1!V64</v>
      </c>
      <c r="L64" s="818" t="str">
        <f>D1_Tr1!V64</f>
        <v>Emmanuel GORGETTE (iss)</v>
      </c>
      <c r="M64" s="157">
        <v>3</v>
      </c>
      <c r="N64" s="394" t="s">
        <v>769</v>
      </c>
      <c r="O64" s="157">
        <v>3</v>
      </c>
      <c r="P64" s="818" t="str">
        <f t="shared" ca="1" si="145"/>
        <v>Audrey HERBAUT (chp)</v>
      </c>
      <c r="Q64" s="819"/>
      <c r="R64" s="397"/>
      <c r="S64" s="397"/>
      <c r="T64" s="397"/>
      <c r="U64" s="397"/>
      <c r="V64" s="820" t="str">
        <f t="shared" ca="1" si="146"/>
        <v>Emmanuel GORGETTE (iss)13:25</v>
      </c>
      <c r="W64" s="820" t="str">
        <f t="shared" ca="1" si="147"/>
        <v>Audrey HERBAUT (chp)13:25</v>
      </c>
      <c r="X64" s="362">
        <f t="shared" ca="1" si="148"/>
        <v>1</v>
      </c>
      <c r="Y64" s="362">
        <f t="shared" ca="1" si="149"/>
        <v>1</v>
      </c>
      <c r="Z64" s="821" t="b">
        <f t="shared" si="150"/>
        <v>0</v>
      </c>
      <c r="AA64" s="2228"/>
      <c r="AB64" s="1327" t="s">
        <v>12955</v>
      </c>
      <c r="AD64" s="1395" t="str">
        <f t="shared" ca="1" si="151"/>
        <v>0,559027777777778</v>
      </c>
      <c r="AE64" s="1395" t="str">
        <f>D1_Tr1!D1</f>
        <v>D1</v>
      </c>
      <c r="AF64" s="1395" t="s">
        <v>5462</v>
      </c>
      <c r="AG64" s="1395">
        <v>7</v>
      </c>
      <c r="AH64" s="1395" t="str">
        <f t="shared" si="152"/>
        <v/>
      </c>
      <c r="AI64" s="1395" t="str">
        <f t="shared" si="153"/>
        <v>Emmanuel GORGETTE (iss)</v>
      </c>
      <c r="AJ64" s="1395" t="str">
        <f t="shared" ca="1" si="154"/>
        <v>Audrey HERBAUT (chp)</v>
      </c>
      <c r="AK64" s="1395" t="str">
        <f t="shared" si="155"/>
        <v/>
      </c>
      <c r="AL64" s="2220" t="str">
        <f t="shared" si="156"/>
        <v/>
      </c>
      <c r="AM64" s="2220" t="str">
        <f t="shared" si="157"/>
        <v/>
      </c>
      <c r="AN64" s="2220" t="str">
        <f t="shared" si="158"/>
        <v/>
      </c>
      <c r="AO64" s="2220" t="str">
        <f t="shared" si="159"/>
        <v/>
      </c>
      <c r="AP64" s="2220" t="str">
        <f t="shared" si="160"/>
        <v/>
      </c>
    </row>
    <row r="65" spans="1:42" outlineLevel="1" x14ac:dyDescent="0.2">
      <c r="A65" s="2227">
        <f t="shared" ca="1" si="140"/>
        <v>0.55902777777777779</v>
      </c>
      <c r="B65" s="815"/>
      <c r="C65" s="2226" t="str">
        <f>"D1_Tr1 - " &amp; N_Group &amp; " 2" &amp; " - " &amp; N_Round &amp; " 7"</f>
        <v>D1_Tr1 - Poule 2 - Tr 7</v>
      </c>
      <c r="D65" s="872"/>
      <c r="E65" s="119"/>
      <c r="F65" s="815"/>
      <c r="G65" s="817" t="s">
        <v>1715</v>
      </c>
      <c r="H65" s="817" t="str">
        <f t="shared" si="141"/>
        <v>D1_Tr1</v>
      </c>
      <c r="I65" s="817">
        <f t="shared" ca="1" si="142"/>
        <v>65</v>
      </c>
      <c r="J65" s="817">
        <f t="shared" ca="1" si="143"/>
        <v>22</v>
      </c>
      <c r="K65" s="817" t="str">
        <f t="shared" si="144"/>
        <v>D1_Tr1!V65</v>
      </c>
      <c r="L65" s="818" t="str">
        <f>D1_Tr1!V65</f>
        <v>Axel DONVAL (iss)</v>
      </c>
      <c r="M65" s="157">
        <v>2</v>
      </c>
      <c r="N65" s="394" t="s">
        <v>769</v>
      </c>
      <c r="O65" s="157">
        <v>3</v>
      </c>
      <c r="P65" s="818" t="str">
        <f t="shared" ca="1" si="145"/>
        <v>Jean-François BALARD (puy)</v>
      </c>
      <c r="Q65" s="819"/>
      <c r="R65" s="397"/>
      <c r="S65" s="397"/>
      <c r="T65" s="397"/>
      <c r="U65" s="397"/>
      <c r="V65" s="820" t="str">
        <f t="shared" ca="1" si="146"/>
        <v>Axel DONVAL (iss)13:25</v>
      </c>
      <c r="W65" s="820" t="str">
        <f t="shared" ca="1" si="147"/>
        <v>Jean-François BALARD (puy)13:25</v>
      </c>
      <c r="X65" s="362">
        <f t="shared" ca="1" si="148"/>
        <v>1</v>
      </c>
      <c r="Y65" s="362">
        <f t="shared" ca="1" si="149"/>
        <v>1</v>
      </c>
      <c r="Z65" s="821" t="b">
        <f t="shared" si="150"/>
        <v>0</v>
      </c>
      <c r="AA65" s="2228"/>
      <c r="AB65" s="1327" t="s">
        <v>12955</v>
      </c>
      <c r="AD65" s="1395" t="str">
        <f t="shared" ca="1" si="151"/>
        <v>0,559027777777778</v>
      </c>
      <c r="AE65" s="1395" t="str">
        <f>D1_Tr1!D1</f>
        <v>D1</v>
      </c>
      <c r="AF65" s="1395" t="s">
        <v>5462</v>
      </c>
      <c r="AG65" s="1395">
        <v>7</v>
      </c>
      <c r="AH65" s="1395" t="str">
        <f t="shared" ca="1" si="152"/>
        <v>Jean-François BALARD (puy)</v>
      </c>
      <c r="AI65" s="1395" t="str">
        <f t="shared" si="153"/>
        <v/>
      </c>
      <c r="AJ65" s="1395" t="str">
        <f t="shared" si="154"/>
        <v/>
      </c>
      <c r="AK65" s="1395" t="str">
        <f t="shared" si="155"/>
        <v>Axel DONVAL (iss)</v>
      </c>
      <c r="AL65" s="2220" t="str">
        <f t="shared" si="156"/>
        <v/>
      </c>
      <c r="AM65" s="2220" t="str">
        <f t="shared" si="157"/>
        <v/>
      </c>
      <c r="AN65" s="2220" t="str">
        <f t="shared" si="158"/>
        <v/>
      </c>
      <c r="AO65" s="2220" t="str">
        <f t="shared" si="159"/>
        <v/>
      </c>
      <c r="AP65" s="2220" t="str">
        <f t="shared" si="160"/>
        <v/>
      </c>
    </row>
    <row r="66" spans="1:42" ht="13.5" outlineLevel="1" thickBot="1" x14ac:dyDescent="0.25">
      <c r="A66" s="2227">
        <f t="shared" ca="1" si="140"/>
        <v>0.55902777777777779</v>
      </c>
      <c r="B66" s="815"/>
      <c r="C66" s="2226" t="str">
        <f>"D1_Tr1 - " &amp; N_Group &amp; " 2" &amp; " - " &amp; N_Round &amp; " 7"</f>
        <v>D1_Tr1 - Poule 2 - Tr 7</v>
      </c>
      <c r="D66" s="872"/>
      <c r="E66" s="119"/>
      <c r="F66" s="815"/>
      <c r="G66" s="817" t="s">
        <v>1715</v>
      </c>
      <c r="H66" s="817" t="str">
        <f t="shared" si="141"/>
        <v>D1_Tr1</v>
      </c>
      <c r="I66" s="817">
        <f t="shared" ca="1" si="142"/>
        <v>66</v>
      </c>
      <c r="J66" s="817">
        <f t="shared" ca="1" si="143"/>
        <v>22</v>
      </c>
      <c r="K66" s="817" t="str">
        <f t="shared" si="144"/>
        <v>D1_Tr1!V66</v>
      </c>
      <c r="L66" s="818" t="str">
        <f>D1_Tr1!V66</f>
        <v>Mickaël BLANC (sym)</v>
      </c>
      <c r="M66" s="157">
        <v>1</v>
      </c>
      <c r="N66" s="394" t="s">
        <v>769</v>
      </c>
      <c r="O66" s="157">
        <v>3</v>
      </c>
      <c r="P66" s="818" t="str">
        <f t="shared" ca="1" si="145"/>
        <v>Stéphane POMMIER (cae)</v>
      </c>
      <c r="Q66" s="819"/>
      <c r="R66" s="397"/>
      <c r="S66" s="397"/>
      <c r="T66" s="397"/>
      <c r="U66" s="397"/>
      <c r="V66" s="820" t="str">
        <f t="shared" ca="1" si="146"/>
        <v>Mickaël BLANC (sym)13:25</v>
      </c>
      <c r="W66" s="820" t="str">
        <f t="shared" ca="1" si="147"/>
        <v>Stéphane POMMIER (cae)13:25</v>
      </c>
      <c r="X66" s="362">
        <f t="shared" ca="1" si="148"/>
        <v>1</v>
      </c>
      <c r="Y66" s="362">
        <f t="shared" ca="1" si="149"/>
        <v>1</v>
      </c>
      <c r="Z66" s="821" t="b">
        <f t="shared" si="150"/>
        <v>0</v>
      </c>
      <c r="AA66" s="2228"/>
      <c r="AB66" s="1327" t="s">
        <v>12955</v>
      </c>
      <c r="AD66" s="1395" t="str">
        <f t="shared" ca="1" si="151"/>
        <v>0,559027777777778</v>
      </c>
      <c r="AE66" s="1395" t="str">
        <f>D1_Tr1!D1</f>
        <v>D1</v>
      </c>
      <c r="AF66" s="1395" t="s">
        <v>5462</v>
      </c>
      <c r="AG66" s="1395">
        <v>7</v>
      </c>
      <c r="AH66" s="1395" t="str">
        <f t="shared" ca="1" si="152"/>
        <v>Stéphane POMMIER (cae)</v>
      </c>
      <c r="AI66" s="1395" t="str">
        <f t="shared" si="153"/>
        <v/>
      </c>
      <c r="AJ66" s="1395" t="str">
        <f t="shared" si="154"/>
        <v/>
      </c>
      <c r="AK66" s="1395" t="str">
        <f t="shared" si="155"/>
        <v>Mickaël BLANC (sym)</v>
      </c>
      <c r="AL66" s="2220" t="str">
        <f t="shared" si="156"/>
        <v/>
      </c>
      <c r="AM66" s="2220" t="str">
        <f t="shared" si="157"/>
        <v/>
      </c>
      <c r="AN66" s="2220" t="str">
        <f t="shared" si="158"/>
        <v/>
      </c>
      <c r="AO66" s="2220" t="str">
        <f t="shared" si="159"/>
        <v/>
      </c>
      <c r="AP66" s="2220" t="str">
        <f t="shared" si="160"/>
        <v/>
      </c>
    </row>
    <row r="67" spans="1:42" ht="15" x14ac:dyDescent="0.2">
      <c r="A67" s="789">
        <f>A58+P58</f>
        <v>0.58680555555555558</v>
      </c>
      <c r="B67" s="790"/>
      <c r="C67" s="791" t="str">
        <f t="shared" ref="C67" si="161">N_Session</f>
        <v xml:space="preserve">Session N° </v>
      </c>
      <c r="D67" s="792"/>
      <c r="E67" s="793">
        <f>E58+ 1</f>
        <v>8</v>
      </c>
      <c r="F67" s="794"/>
      <c r="G67" s="795" t="str">
        <f>"S" &amp; RIGHT(G58, LEN(G58)-1) + 1</f>
        <v>S8</v>
      </c>
      <c r="H67" s="794"/>
      <c r="I67" s="794"/>
      <c r="J67" s="794"/>
      <c r="K67" s="794"/>
      <c r="L67" s="791" t="str">
        <f t="shared" ref="L67" si="162">N_Duration</f>
        <v>Durée</v>
      </c>
      <c r="M67" s="796"/>
      <c r="N67" s="797" t="s">
        <v>1714</v>
      </c>
      <c r="O67" s="796"/>
      <c r="P67" s="798">
        <v>4.5138888888888888E-2</v>
      </c>
      <c r="Q67" s="799"/>
      <c r="R67" s="800"/>
      <c r="S67" s="796"/>
      <c r="T67" s="800"/>
      <c r="U67" s="796"/>
      <c r="V67" s="796"/>
      <c r="W67" s="796"/>
      <c r="X67" s="796"/>
      <c r="Y67" s="796"/>
      <c r="Z67" s="796"/>
      <c r="AA67" s="799"/>
      <c r="AB67" s="801"/>
      <c r="AC67" s="1394"/>
      <c r="AD67" s="1394"/>
      <c r="AE67" s="1394"/>
      <c r="AF67" s="1394"/>
      <c r="AG67" s="1394"/>
      <c r="AH67" s="1394"/>
      <c r="AI67" s="1394"/>
      <c r="AJ67" s="1394"/>
      <c r="AK67" s="1394"/>
      <c r="AL67" s="2219"/>
      <c r="AM67" s="2219"/>
      <c r="AN67" s="2219"/>
      <c r="AO67" s="2219"/>
      <c r="AP67" s="2219"/>
    </row>
    <row r="68" spans="1:42" outlineLevel="1" x14ac:dyDescent="0.2">
      <c r="A68" s="814">
        <f t="shared" ref="A68:A69" ca="1" si="163">OFFSET(A68,-1,0)</f>
        <v>0.58680555555555558</v>
      </c>
      <c r="B68" s="815"/>
      <c r="C68" s="2226" t="str">
        <f>"D1_Top8 - " &amp; N_Group &amp; " 1" &amp; " - " &amp; N_Round &amp; " 1"</f>
        <v>D1_Top8 - Poule 1 - Tr 1</v>
      </c>
      <c r="D68" s="872"/>
      <c r="E68" s="327"/>
      <c r="F68" s="815"/>
      <c r="G68" s="817" t="s">
        <v>1715</v>
      </c>
      <c r="H68" s="817" t="str">
        <f t="shared" ref="H68:H69" si="164">IF(K68="","",SUBSTITUTE(MID(K68,1,SEARCH("!",K68,1)-1),"'",""))</f>
        <v>D1_Top8</v>
      </c>
      <c r="I68" s="817">
        <f t="shared" ref="I68:I69" ca="1" si="165">IF(K68="","",CELL("row",INDIRECT(K68)))</f>
        <v>9</v>
      </c>
      <c r="J68" s="817">
        <f t="shared" ref="J68:J69" ca="1" si="166">IF(K68="","",CELL("col",INDIRECT(K68)))</f>
        <v>22</v>
      </c>
      <c r="K68" s="817" t="str">
        <f t="shared" ref="K68:K69" si="167">MID(Lire_Formule(L68),2,10000)</f>
        <v>D1_Top8!V9</v>
      </c>
      <c r="L68" s="818" t="str">
        <f>D1_Top8!V9</f>
        <v>Emmanuel GORGETTE (iss)</v>
      </c>
      <c r="M68" s="10" t="str" cm="1">
        <f t="array" aca="1" ref="M68" ca="1">IF(AND(ISNA(MATCH(L68&amp;P68,D1_Tr1!$V:$V&amp;D1_Tr1!$Z:$Z,0)),ISNA(MATCH(P68&amp;L68,D1_Tr1!$V:$V&amp;D1_Tr1!$Z:$Z,0))),"",IFERROR(INDEX(D1_Tr1!$W:$W,MATCH($L68&amp;$P68,D1_Tr1!$V:$V&amp;D1_Tr1!$Z:$Z,0)),0)+IFERROR(INDEX(D1_Tr1!$Y:$Y,MATCH($P68&amp;$L68,D1_Tr1!$V:$V&amp;D1_Tr1!$Z:$Z,0)),0))</f>
        <v/>
      </c>
      <c r="N68" s="394" t="s">
        <v>769</v>
      </c>
      <c r="O68" s="10" t="str" cm="1">
        <f t="array" aca="1" ref="O68" ca="1">IF(AND(ISNA(MATCH(L68&amp;P68,D1_Tr1!$V:$V&amp;D1_Tr1!$Z:$Z,0)),ISNA(MATCH(P68&amp;L68,D1_Tr1!$V:$V&amp;D1_Tr1!$Z:$Z,0))),"",IFERROR(INDEX(D1_Tr1!$Y:$Y,MATCH($L68&amp;$P68,D1_Tr1!$V:$V&amp;D1_Tr1!$Z:$Z,0)),0)+IFERROR(INDEX(D1_Tr1!$W:$W,MATCH($P68&amp;$L68,D1_Tr1!$V:$V&amp;D1_Tr1!$Z:$Z,0)),0))</f>
        <v/>
      </c>
      <c r="P68" s="818" t="str">
        <f t="shared" ref="P68:P69" ca="1" si="168">IF(K68="","",IF(G68="IT",INDIRECT(ADDRESS(I68+2,J68,4,TRUE,H68)),INDIRECT(ADDRESS(I68,J68+4,4,TRUE,H68))))</f>
        <v>David LEROY (puy)</v>
      </c>
      <c r="Q68" s="819"/>
      <c r="R68" s="397"/>
      <c r="S68" s="397"/>
      <c r="T68" s="397"/>
      <c r="U68" s="397"/>
      <c r="V68" s="820" t="str">
        <f t="shared" ref="V68:V69" ca="1" si="169">L68&amp;TEXT(A68,"hh:mm")</f>
        <v>Emmanuel GORGETTE (iss)14:05</v>
      </c>
      <c r="W68" s="820" t="str">
        <f t="shared" ref="W68:W69" ca="1" si="170">P68&amp;TEXT(A68,"hh:mm")</f>
        <v>David LEROY (puy)14:05</v>
      </c>
      <c r="X68" s="362">
        <f t="shared" ref="X68:X75" ca="1" si="171">IF(L68="",0,COUNTIF(PlayersAndHoursCol1,L68&amp;TEXT($A68,"hh:mm"))+COUNTIF(PlayersAndHoursCol2,L68&amp;TEXT($A68,"hh:mm")))</f>
        <v>1</v>
      </c>
      <c r="Y68" s="362">
        <f t="shared" ref="Y68:Y75" ca="1" si="172">IF(P68="",0,COUNTIF(PlayersAndHoursCol1,P68&amp;TEXT($A68,"hh:mm"))+COUNTIF(PlayersAndHoursCol2,P68&amp;TEXT($A68,"hh:mm")))</f>
        <v>1</v>
      </c>
      <c r="Z68" s="821" t="b">
        <f t="shared" ref="Z68:Z75" si="173">IF(AA68="",FALSE,NOT(AND(ISNA(MATCH(AA68&amp;TEXT($A68,"hh:mm"),PlayersAndHoursCol1,0)),ISNA(MATCH(AA68&amp;TEXT($A68,"hh:mm"),PlayersAndHoursCol2,0)),COUNTIF(AD:AD,AA68&amp;$A68)&lt;=1)))</f>
        <v>0</v>
      </c>
      <c r="AA68" s="1317"/>
      <c r="AB68" s="1327"/>
      <c r="AD68" s="1395" t="str">
        <f t="shared" ref="AD68:AD69" ca="1" si="174">AA68&amp;A68</f>
        <v>0,586805555555556</v>
      </c>
      <c r="AE68" s="1395" t="str">
        <f>D1_Top8!D1</f>
        <v>D1</v>
      </c>
      <c r="AF68" s="1395" t="s">
        <v>5462</v>
      </c>
      <c r="AG68" s="1395">
        <v>1</v>
      </c>
      <c r="AH68" s="1395" t="str">
        <f t="shared" ref="AH68:AH69" ca="1" si="175">IF(OR(M68&gt;O68,R68&gt;T68),L68,IF(OR(M68&lt;O68,R68&lt;T68),P68,""))</f>
        <v/>
      </c>
      <c r="AI68" s="1395" t="str">
        <f t="shared" ref="AI68:AI69" ca="1" si="176">IF(AND(M68&lt;&gt;"",M68=O68,R68=T68),L68,"")</f>
        <v/>
      </c>
      <c r="AJ68" s="1395" t="str">
        <f t="shared" ref="AJ68:AJ69" ca="1" si="177">IF(AND(M68&lt;&gt;"",M68=O68,R68=T68),P68,"")</f>
        <v/>
      </c>
      <c r="AK68" s="1395" t="str">
        <f t="shared" ref="AK68:AK69" ca="1" si="178">IF(OR(M68&lt;O68,R68&lt;T68),L68,IF(OR(M68&gt;O68,R68&gt;T68),P68,""))</f>
        <v/>
      </c>
      <c r="AL68" s="2220" t="str">
        <f t="shared" ref="AL68:AL75" si="179">IF(OR($AB68="",$AB68="V"),"",IF(MOD($AB68,10)=1,"XXX",""))</f>
        <v/>
      </c>
      <c r="AM68" s="2220" t="str">
        <f t="shared" ref="AM68:AM75" si="180">IF(OR($AB68="",$AB68="V"),"",IF(MOD($AB68,100)&gt;=10,"XXX",""))</f>
        <v/>
      </c>
      <c r="AN68" s="2220" t="str">
        <f t="shared" ref="AN68:AN75" si="181">IF(OR($AB68="",$AB68="V"),"",IF(MOD($AB68,1000)&gt;=100,"XXX",""))</f>
        <v/>
      </c>
      <c r="AO68" s="2220" t="str">
        <f t="shared" ref="AO68:AO75" si="182">IF(OR($AB68="",$AB68="V"),"",IF(MOD($AB68,10000)&gt;=1000,"XXX",""))</f>
        <v/>
      </c>
      <c r="AP68" s="2220" t="str">
        <f t="shared" ref="AP68:AP75" si="183">IF(OR($AB68="",$AB68="V"),"",IF(MOD($AB68,100000)&gt;=10000,"XXX",""))</f>
        <v/>
      </c>
    </row>
    <row r="69" spans="1:42" outlineLevel="1" x14ac:dyDescent="0.2">
      <c r="A69" s="814">
        <f t="shared" ca="1" si="163"/>
        <v>0.58680555555555558</v>
      </c>
      <c r="B69" s="815"/>
      <c r="C69" s="2226" t="str">
        <f>"D1_Top8 - " &amp; N_Group &amp; " 1" &amp; " - " &amp; N_Round &amp; " 1"</f>
        <v>D1_Top8 - Poule 1 - Tr 1</v>
      </c>
      <c r="D69" s="872"/>
      <c r="E69" s="327"/>
      <c r="F69" s="815"/>
      <c r="G69" s="817" t="s">
        <v>1715</v>
      </c>
      <c r="H69" s="817" t="str">
        <f t="shared" si="164"/>
        <v>D1_Top8</v>
      </c>
      <c r="I69" s="817">
        <f t="shared" ca="1" si="165"/>
        <v>10</v>
      </c>
      <c r="J69" s="817">
        <f t="shared" ca="1" si="166"/>
        <v>22</v>
      </c>
      <c r="K69" s="817" t="str">
        <f t="shared" si="167"/>
        <v>D1_Top8!V10</v>
      </c>
      <c r="L69" s="818" t="str">
        <f>D1_Top8!V10</f>
        <v>Théo MODESTE (iss)</v>
      </c>
      <c r="M69" s="10" t="str" cm="1">
        <f t="array" aca="1" ref="M69" ca="1">IF(AND(ISNA(MATCH(L69&amp;P69,D1_Tr1!$V:$V&amp;D1_Tr1!$Z:$Z,0)),ISNA(MATCH(P69&amp;L69,D1_Tr1!$V:$V&amp;D1_Tr1!$Z:$Z,0))),"",IFERROR(INDEX(D1_Tr1!$W:$W,MATCH($L69&amp;$P69,D1_Tr1!$V:$V&amp;D1_Tr1!$Z:$Z,0)),0)+IFERROR(INDEX(D1_Tr1!$Y:$Y,MATCH($P69&amp;$L69,D1_Tr1!$V:$V&amp;D1_Tr1!$Z:$Z,0)),0))</f>
        <v/>
      </c>
      <c r="N69" s="394" t="s">
        <v>769</v>
      </c>
      <c r="O69" s="10" t="str" cm="1">
        <f t="array" aca="1" ref="O69" ca="1">IF(AND(ISNA(MATCH(L69&amp;P69,D1_Tr1!$V:$V&amp;D1_Tr1!$Z:$Z,0)),ISNA(MATCH(P69&amp;L69,D1_Tr1!$V:$V&amp;D1_Tr1!$Z:$Z,0))),"",IFERROR(INDEX(D1_Tr1!$Y:$Y,MATCH($L69&amp;$P69,D1_Tr1!$V:$V&amp;D1_Tr1!$Z:$Z,0)),0)+IFERROR(INDEX(D1_Tr1!$W:$W,MATCH($P69&amp;$L69,D1_Tr1!$V:$V&amp;D1_Tr1!$Z:$Z,0)),0))</f>
        <v/>
      </c>
      <c r="P69" s="818" t="str">
        <f t="shared" ca="1" si="168"/>
        <v>Mickaël BLANC (sym)</v>
      </c>
      <c r="Q69" s="819"/>
      <c r="R69" s="397"/>
      <c r="S69" s="397"/>
      <c r="T69" s="397"/>
      <c r="U69" s="397"/>
      <c r="V69" s="820" t="str">
        <f t="shared" ca="1" si="169"/>
        <v>Théo MODESTE (iss)14:05</v>
      </c>
      <c r="W69" s="820" t="str">
        <f t="shared" ca="1" si="170"/>
        <v>Mickaël BLANC (sym)14:05</v>
      </c>
      <c r="X69" s="362">
        <f t="shared" ca="1" si="171"/>
        <v>1</v>
      </c>
      <c r="Y69" s="362">
        <f t="shared" ca="1" si="172"/>
        <v>1</v>
      </c>
      <c r="Z69" s="821" t="b">
        <f t="shared" si="173"/>
        <v>0</v>
      </c>
      <c r="AA69" s="1317"/>
      <c r="AB69" s="1327"/>
      <c r="AD69" s="1395" t="str">
        <f t="shared" ca="1" si="174"/>
        <v>0,586805555555556</v>
      </c>
      <c r="AE69" s="1395" t="str">
        <f>D1_Top8!D1</f>
        <v>D1</v>
      </c>
      <c r="AF69" s="1395" t="s">
        <v>5462</v>
      </c>
      <c r="AG69" s="1395">
        <v>1</v>
      </c>
      <c r="AH69" s="1395" t="str">
        <f t="shared" ca="1" si="175"/>
        <v/>
      </c>
      <c r="AI69" s="1395" t="str">
        <f t="shared" ca="1" si="176"/>
        <v/>
      </c>
      <c r="AJ69" s="1395" t="str">
        <f t="shared" ca="1" si="177"/>
        <v/>
      </c>
      <c r="AK69" s="1395" t="str">
        <f t="shared" ca="1" si="178"/>
        <v/>
      </c>
      <c r="AL69" s="2220" t="str">
        <f t="shared" si="179"/>
        <v/>
      </c>
      <c r="AM69" s="2220" t="str">
        <f t="shared" si="180"/>
        <v/>
      </c>
      <c r="AN69" s="2220" t="str">
        <f t="shared" si="181"/>
        <v/>
      </c>
      <c r="AO69" s="2220" t="str">
        <f t="shared" si="182"/>
        <v/>
      </c>
      <c r="AP69" s="2220" t="str">
        <f t="shared" si="183"/>
        <v/>
      </c>
    </row>
    <row r="70" spans="1:42" outlineLevel="1" x14ac:dyDescent="0.2">
      <c r="A70" s="814">
        <f t="shared" ref="A70:A75" ca="1" si="184">OFFSET(A70,-1,0)</f>
        <v>0.58680555555555558</v>
      </c>
      <c r="B70" s="815"/>
      <c r="C70" s="2226" t="str">
        <f>"D1_Top8 - " &amp; N_Group &amp; " 1" &amp; " - " &amp; N_Round &amp; " 2"</f>
        <v>D1_Top8 - Poule 1 - Tr 2</v>
      </c>
      <c r="D70" s="872"/>
      <c r="E70" s="327"/>
      <c r="F70" s="815"/>
      <c r="G70" s="817" t="s">
        <v>1715</v>
      </c>
      <c r="H70" s="817" t="str">
        <f t="shared" ref="H70:H75" si="185">IF(K70="","",SUBSTITUTE(MID(K70,1,SEARCH("!",K70,1)-1),"'",""))</f>
        <v>D1_Top8</v>
      </c>
      <c r="I70" s="817">
        <f t="shared" ref="I70:I75" ca="1" si="186">IF(K70="","",CELL("row",INDIRECT(K70)))</f>
        <v>13</v>
      </c>
      <c r="J70" s="817">
        <f t="shared" ref="J70:J75" ca="1" si="187">IF(K70="","",CELL("col",INDIRECT(K70)))</f>
        <v>22</v>
      </c>
      <c r="K70" s="817" t="str">
        <f t="shared" ref="K70:K75" si="188">MID(Lire_Formule(L70),2,10000)</f>
        <v>D1_Top8!V13</v>
      </c>
      <c r="L70" s="818" t="str">
        <f>D1_Top8!V13</f>
        <v>Eric NASZALYI (iss)</v>
      </c>
      <c r="M70" s="10" t="str" cm="1">
        <f t="array" aca="1" ref="M70" ca="1">IF(AND(ISNA(MATCH(L70&amp;P70,D1_Tr1!$V:$V&amp;D1_Tr1!$Z:$Z,0)),ISNA(MATCH(P70&amp;L70,D1_Tr1!$V:$V&amp;D1_Tr1!$Z:$Z,0))),"",IFERROR(INDEX(D1_Tr1!$W:$W,MATCH($L70&amp;$P70,D1_Tr1!$V:$V&amp;D1_Tr1!$Z:$Z,0)),0)+IFERROR(INDEX(D1_Tr1!$Y:$Y,MATCH($P70&amp;$L70,D1_Tr1!$V:$V&amp;D1_Tr1!$Z:$Z,0)),0))</f>
        <v/>
      </c>
      <c r="N70" s="394" t="s">
        <v>769</v>
      </c>
      <c r="O70" s="10" t="str" cm="1">
        <f t="array" aca="1" ref="O70" ca="1">IF(AND(ISNA(MATCH(L70&amp;P70,D1_Tr1!$V:$V&amp;D1_Tr1!$Z:$Z,0)),ISNA(MATCH(P70&amp;L70,D1_Tr1!$V:$V&amp;D1_Tr1!$Z:$Z,0))),"",IFERROR(INDEX(D1_Tr1!$Y:$Y,MATCH($L70&amp;$P70,D1_Tr1!$V:$V&amp;D1_Tr1!$Z:$Z,0)),0)+IFERROR(INDEX(D1_Tr1!$W:$W,MATCH($P70&amp;$L70,D1_Tr1!$V:$V&amp;D1_Tr1!$Z:$Z,0)),0))</f>
        <v/>
      </c>
      <c r="P70" s="818" t="str">
        <f t="shared" ref="P70:P75" ca="1" si="189">IF(K70="","",IF(G70="IT",INDIRECT(ADDRESS(I70+2,J70,4,TRUE,H70)),INDIRECT(ADDRESS(I70,J70+4,4,TRUE,H70))))</f>
        <v>Quentin AUSSET (chp)</v>
      </c>
      <c r="Q70" s="819"/>
      <c r="R70" s="397"/>
      <c r="S70" s="397"/>
      <c r="T70" s="397"/>
      <c r="U70" s="397"/>
      <c r="V70" s="820" t="str">
        <f t="shared" ref="V70:V75" ca="1" si="190">L70&amp;TEXT(A70,"hh:mm")</f>
        <v>Eric NASZALYI (iss)14:05</v>
      </c>
      <c r="W70" s="820" t="str">
        <f t="shared" ref="W70:W75" ca="1" si="191">P70&amp;TEXT(A70,"hh:mm")</f>
        <v>Quentin AUSSET (chp)14:05</v>
      </c>
      <c r="X70" s="362">
        <f t="shared" ca="1" si="171"/>
        <v>1</v>
      </c>
      <c r="Y70" s="362">
        <f t="shared" ca="1" si="172"/>
        <v>1</v>
      </c>
      <c r="Z70" s="821" t="b">
        <f t="shared" si="173"/>
        <v>0</v>
      </c>
      <c r="AA70" s="1317"/>
      <c r="AB70" s="1327"/>
      <c r="AD70" s="1395" t="str">
        <f t="shared" ref="AD70:AD75" ca="1" si="192">AA70&amp;A70</f>
        <v>0,586805555555556</v>
      </c>
      <c r="AE70" s="1395" t="str">
        <f>D1_Top8!D1</f>
        <v>D1</v>
      </c>
      <c r="AF70" s="1395" t="s">
        <v>5462</v>
      </c>
      <c r="AG70" s="1395">
        <v>2</v>
      </c>
      <c r="AH70" s="1395" t="str">
        <f t="shared" ref="AH70:AH75" ca="1" si="193">IF(OR(M70&gt;O70,R70&gt;T70),L70,IF(OR(M70&lt;O70,R70&lt;T70),P70,""))</f>
        <v/>
      </c>
      <c r="AI70" s="1395" t="str">
        <f t="shared" ref="AI70:AI75" ca="1" si="194">IF(AND(M70&lt;&gt;"",M70=O70,R70=T70),L70,"")</f>
        <v/>
      </c>
      <c r="AJ70" s="1395" t="str">
        <f t="shared" ref="AJ70:AJ75" ca="1" si="195">IF(AND(M70&lt;&gt;"",M70=O70,R70=T70),P70,"")</f>
        <v/>
      </c>
      <c r="AK70" s="1395" t="str">
        <f t="shared" ref="AK70:AK75" ca="1" si="196">IF(OR(M70&lt;O70,R70&lt;T70),L70,IF(OR(M70&gt;O70,R70&gt;T70),P70,""))</f>
        <v/>
      </c>
      <c r="AL70" s="2220" t="str">
        <f t="shared" si="179"/>
        <v/>
      </c>
      <c r="AM70" s="2220" t="str">
        <f t="shared" si="180"/>
        <v/>
      </c>
      <c r="AN70" s="2220" t="str">
        <f t="shared" si="181"/>
        <v/>
      </c>
      <c r="AO70" s="2220" t="str">
        <f t="shared" si="182"/>
        <v/>
      </c>
      <c r="AP70" s="2220" t="str">
        <f t="shared" si="183"/>
        <v/>
      </c>
    </row>
    <row r="71" spans="1:42" outlineLevel="1" x14ac:dyDescent="0.2">
      <c r="A71" s="814">
        <f t="shared" ca="1" si="184"/>
        <v>0.58680555555555558</v>
      </c>
      <c r="B71" s="815"/>
      <c r="C71" s="2226" t="str">
        <f>"D1_Top8 - " &amp; N_Group &amp; " 1" &amp; " - " &amp; N_Round &amp; " 4"</f>
        <v>D1_Top8 - Poule 1 - Tr 4</v>
      </c>
      <c r="D71" s="872"/>
      <c r="E71" s="327"/>
      <c r="F71" s="815"/>
      <c r="G71" s="817" t="s">
        <v>1715</v>
      </c>
      <c r="H71" s="817" t="str">
        <f t="shared" si="185"/>
        <v>D1_Top8</v>
      </c>
      <c r="I71" s="817">
        <f t="shared" ca="1" si="186"/>
        <v>19</v>
      </c>
      <c r="J71" s="817">
        <f t="shared" ca="1" si="187"/>
        <v>22</v>
      </c>
      <c r="K71" s="817" t="str">
        <f t="shared" si="188"/>
        <v>D1_Top8!V19</v>
      </c>
      <c r="L71" s="818" t="str">
        <f>D1_Top8!V19</f>
        <v>Raphaël POMMIER (cae)</v>
      </c>
      <c r="M71" s="10" t="str" cm="1">
        <f t="array" aca="1" ref="M71" ca="1">IF(AND(ISNA(MATCH(L71&amp;P71,D1_Tr1!$V:$V&amp;D1_Tr1!$Z:$Z,0)),ISNA(MATCH(P71&amp;L71,D1_Tr1!$V:$V&amp;D1_Tr1!$Z:$Z,0))),"",IFERROR(INDEX(D1_Tr1!$W:$W,MATCH($L71&amp;$P71,D1_Tr1!$V:$V&amp;D1_Tr1!$Z:$Z,0)),0)+IFERROR(INDEX(D1_Tr1!$Y:$Y,MATCH($P71&amp;$L71,D1_Tr1!$V:$V&amp;D1_Tr1!$Z:$Z,0)),0))</f>
        <v/>
      </c>
      <c r="N71" s="394" t="s">
        <v>769</v>
      </c>
      <c r="O71" s="10" t="str" cm="1">
        <f t="array" aca="1" ref="O71" ca="1">IF(AND(ISNA(MATCH(L71&amp;P71,D1_Tr1!$V:$V&amp;D1_Tr1!$Z:$Z,0)),ISNA(MATCH(P71&amp;L71,D1_Tr1!$V:$V&amp;D1_Tr1!$Z:$Z,0))),"",IFERROR(INDEX(D1_Tr1!$Y:$Y,MATCH($L71&amp;$P71,D1_Tr1!$V:$V&amp;D1_Tr1!$Z:$Z,0)),0)+IFERROR(INDEX(D1_Tr1!$W:$W,MATCH($P71&amp;$L71,D1_Tr1!$V:$V&amp;D1_Tr1!$Z:$Z,0)),0))</f>
        <v/>
      </c>
      <c r="P71" s="818" t="str">
        <f t="shared" ca="1" si="189"/>
        <v>Stéphane POMMIER (cae)</v>
      </c>
      <c r="Q71" s="819"/>
      <c r="R71" s="397"/>
      <c r="S71" s="397"/>
      <c r="T71" s="397"/>
      <c r="U71" s="397"/>
      <c r="V71" s="820" t="str">
        <f t="shared" ca="1" si="190"/>
        <v>Raphaël POMMIER (cae)14:05</v>
      </c>
      <c r="W71" s="820" t="str">
        <f t="shared" ca="1" si="191"/>
        <v>Stéphane POMMIER (cae)14:05</v>
      </c>
      <c r="X71" s="362">
        <f t="shared" ca="1" si="171"/>
        <v>1</v>
      </c>
      <c r="Y71" s="362">
        <f t="shared" ca="1" si="172"/>
        <v>1</v>
      </c>
      <c r="Z71" s="821" t="b">
        <f t="shared" si="173"/>
        <v>0</v>
      </c>
      <c r="AA71" s="1317"/>
      <c r="AB71" s="1327"/>
      <c r="AD71" s="1395" t="str">
        <f t="shared" ca="1" si="192"/>
        <v>0,586805555555556</v>
      </c>
      <c r="AE71" s="1395" t="str">
        <f>D1_Top8!D1</f>
        <v>D1</v>
      </c>
      <c r="AF71" s="1395" t="s">
        <v>5462</v>
      </c>
      <c r="AG71" s="1395">
        <v>4</v>
      </c>
      <c r="AH71" s="1395" t="str">
        <f t="shared" ca="1" si="193"/>
        <v/>
      </c>
      <c r="AI71" s="1395" t="str">
        <f t="shared" ca="1" si="194"/>
        <v/>
      </c>
      <c r="AJ71" s="1395" t="str">
        <f t="shared" ca="1" si="195"/>
        <v/>
      </c>
      <c r="AK71" s="1395" t="str">
        <f t="shared" ca="1" si="196"/>
        <v/>
      </c>
      <c r="AL71" s="2220" t="str">
        <f t="shared" si="179"/>
        <v/>
      </c>
      <c r="AM71" s="2220" t="str">
        <f t="shared" si="180"/>
        <v/>
      </c>
      <c r="AN71" s="2220" t="str">
        <f t="shared" si="181"/>
        <v/>
      </c>
      <c r="AO71" s="2220" t="str">
        <f t="shared" si="182"/>
        <v/>
      </c>
      <c r="AP71" s="2220" t="str">
        <f t="shared" si="183"/>
        <v/>
      </c>
    </row>
    <row r="72" spans="1:42" outlineLevel="1" x14ac:dyDescent="0.2">
      <c r="A72" s="814">
        <f t="shared" ca="1" si="184"/>
        <v>0.58680555555555558</v>
      </c>
      <c r="B72" s="815"/>
      <c r="C72" s="2226" t="str">
        <f>"D1_Last8 - " &amp; N_Group &amp; " 1" &amp; " - " &amp; N_Round &amp; " 1"</f>
        <v>D1_Last8 - Poule 1 - Tr 1</v>
      </c>
      <c r="D72" s="872"/>
      <c r="E72" s="327"/>
      <c r="F72" s="815"/>
      <c r="G72" s="817" t="s">
        <v>1715</v>
      </c>
      <c r="H72" s="817" t="str">
        <f t="shared" si="185"/>
        <v>D1_Last8</v>
      </c>
      <c r="I72" s="817">
        <f t="shared" ca="1" si="186"/>
        <v>9</v>
      </c>
      <c r="J72" s="817">
        <f t="shared" ca="1" si="187"/>
        <v>22</v>
      </c>
      <c r="K72" s="817" t="str">
        <f t="shared" si="188"/>
        <v>D1_Last8!V9</v>
      </c>
      <c r="L72" s="818" t="str">
        <f>D1_Last8!V9</f>
        <v>Jean-Marie AMBERNY (iss)</v>
      </c>
      <c r="M72" s="10" t="str" cm="1">
        <f t="array" aca="1" ref="M72" ca="1">IF(AND(ISNA(MATCH(L72&amp;P72,D1_Tr1!$V:$V&amp;D1_Tr1!$Z:$Z,0)),ISNA(MATCH(P72&amp;L72,D1_Tr1!$V:$V&amp;D1_Tr1!$Z:$Z,0))),"",IFERROR(INDEX(D1_Tr1!$W:$W,MATCH($L72&amp;$P72,D1_Tr1!$V:$V&amp;D1_Tr1!$Z:$Z,0)),0)+IFERROR(INDEX(D1_Tr1!$Y:$Y,MATCH($P72&amp;$L72,D1_Tr1!$V:$V&amp;D1_Tr1!$Z:$Z,0)),0))</f>
        <v/>
      </c>
      <c r="N72" s="394" t="s">
        <v>769</v>
      </c>
      <c r="O72" s="10" t="str" cm="1">
        <f t="array" aca="1" ref="O72" ca="1">IF(AND(ISNA(MATCH(L72&amp;P72,D1_Tr1!$V:$V&amp;D1_Tr1!$Z:$Z,0)),ISNA(MATCH(P72&amp;L72,D1_Tr1!$V:$V&amp;D1_Tr1!$Z:$Z,0))),"",IFERROR(INDEX(D1_Tr1!$Y:$Y,MATCH($L72&amp;$P72,D1_Tr1!$V:$V&amp;D1_Tr1!$Z:$Z,0)),0)+IFERROR(INDEX(D1_Tr1!$W:$W,MATCH($P72&amp;$L72,D1_Tr1!$V:$V&amp;D1_Tr1!$Z:$Z,0)),0))</f>
        <v/>
      </c>
      <c r="P72" s="818" t="str">
        <f t="shared" ca="1" si="189"/>
        <v>Françoise GUYOT (chp)</v>
      </c>
      <c r="Q72" s="819"/>
      <c r="R72" s="397"/>
      <c r="S72" s="397"/>
      <c r="T72" s="397"/>
      <c r="U72" s="397"/>
      <c r="V72" s="820" t="str">
        <f t="shared" ca="1" si="190"/>
        <v>Jean-Marie AMBERNY (iss)14:05</v>
      </c>
      <c r="W72" s="820" t="str">
        <f t="shared" ca="1" si="191"/>
        <v>Françoise GUYOT (chp)14:05</v>
      </c>
      <c r="X72" s="362">
        <f t="shared" ca="1" si="171"/>
        <v>1</v>
      </c>
      <c r="Y72" s="362">
        <f t="shared" ca="1" si="172"/>
        <v>1</v>
      </c>
      <c r="Z72" s="821" t="b">
        <f t="shared" si="173"/>
        <v>0</v>
      </c>
      <c r="AA72" s="1317"/>
      <c r="AB72" s="1327"/>
      <c r="AD72" s="1395" t="str">
        <f t="shared" ca="1" si="192"/>
        <v>0,586805555555556</v>
      </c>
      <c r="AE72" s="1395" t="str">
        <f>D1_Last8!D1</f>
        <v>D1</v>
      </c>
      <c r="AF72" s="1395" t="s">
        <v>5462</v>
      </c>
      <c r="AG72" s="1395">
        <v>1</v>
      </c>
      <c r="AH72" s="1395" t="str">
        <f t="shared" ca="1" si="193"/>
        <v/>
      </c>
      <c r="AI72" s="1395" t="str">
        <f t="shared" ca="1" si="194"/>
        <v/>
      </c>
      <c r="AJ72" s="1395" t="str">
        <f t="shared" ca="1" si="195"/>
        <v/>
      </c>
      <c r="AK72" s="1395" t="str">
        <f t="shared" ca="1" si="196"/>
        <v/>
      </c>
      <c r="AL72" s="2220" t="str">
        <f t="shared" si="179"/>
        <v/>
      </c>
      <c r="AM72" s="2220" t="str">
        <f t="shared" si="180"/>
        <v/>
      </c>
      <c r="AN72" s="2220" t="str">
        <f t="shared" si="181"/>
        <v/>
      </c>
      <c r="AO72" s="2220" t="str">
        <f t="shared" si="182"/>
        <v/>
      </c>
      <c r="AP72" s="2220" t="str">
        <f t="shared" si="183"/>
        <v/>
      </c>
    </row>
    <row r="73" spans="1:42" outlineLevel="1" x14ac:dyDescent="0.2">
      <c r="A73" s="814">
        <f t="shared" ca="1" si="184"/>
        <v>0.58680555555555558</v>
      </c>
      <c r="B73" s="815"/>
      <c r="C73" s="2226" t="str">
        <f>"D1_Last8 - " &amp; N_Group &amp; " 1" &amp; " - " &amp; N_Round &amp; " 1"</f>
        <v>D1_Last8 - Poule 1 - Tr 1</v>
      </c>
      <c r="D73" s="872"/>
      <c r="E73" s="327"/>
      <c r="F73" s="815"/>
      <c r="G73" s="817" t="s">
        <v>1715</v>
      </c>
      <c r="H73" s="817" t="str">
        <f t="shared" si="185"/>
        <v>D1_Last8</v>
      </c>
      <c r="I73" s="817">
        <f t="shared" ca="1" si="186"/>
        <v>10</v>
      </c>
      <c r="J73" s="817">
        <f t="shared" ca="1" si="187"/>
        <v>22</v>
      </c>
      <c r="K73" s="817" t="str">
        <f t="shared" si="188"/>
        <v>D1_Last8!V10</v>
      </c>
      <c r="L73" s="818" t="str">
        <f>D1_Last8!V10</f>
        <v>Cyprien BONNET (sym)</v>
      </c>
      <c r="M73" s="10" t="str" cm="1">
        <f t="array" aca="1" ref="M73" ca="1">IF(AND(ISNA(MATCH(L73&amp;P73,D1_Tr1!$V:$V&amp;D1_Tr1!$Z:$Z,0)),ISNA(MATCH(P73&amp;L73,D1_Tr1!$V:$V&amp;D1_Tr1!$Z:$Z,0))),"",IFERROR(INDEX(D1_Tr1!$W:$W,MATCH($L73&amp;$P73,D1_Tr1!$V:$V&amp;D1_Tr1!$Z:$Z,0)),0)+IFERROR(INDEX(D1_Tr1!$Y:$Y,MATCH($P73&amp;$L73,D1_Tr1!$V:$V&amp;D1_Tr1!$Z:$Z,0)),0))</f>
        <v/>
      </c>
      <c r="N73" s="394" t="s">
        <v>769</v>
      </c>
      <c r="O73" s="10" t="str" cm="1">
        <f t="array" aca="1" ref="O73" ca="1">IF(AND(ISNA(MATCH(L73&amp;P73,D1_Tr1!$V:$V&amp;D1_Tr1!$Z:$Z,0)),ISNA(MATCH(P73&amp;L73,D1_Tr1!$V:$V&amp;D1_Tr1!$Z:$Z,0))),"",IFERROR(INDEX(D1_Tr1!$Y:$Y,MATCH($L73&amp;$P73,D1_Tr1!$V:$V&amp;D1_Tr1!$Z:$Z,0)),0)+IFERROR(INDEX(D1_Tr1!$W:$W,MATCH($P73&amp;$L73,D1_Tr1!$V:$V&amp;D1_Tr1!$Z:$Z,0)),0))</f>
        <v/>
      </c>
      <c r="P73" s="818" t="str">
        <f t="shared" ca="1" si="189"/>
        <v>Axel DONVAL (iss)</v>
      </c>
      <c r="Q73" s="819"/>
      <c r="R73" s="397"/>
      <c r="S73" s="397"/>
      <c r="T73" s="397"/>
      <c r="U73" s="397"/>
      <c r="V73" s="820" t="str">
        <f t="shared" ca="1" si="190"/>
        <v>Cyprien BONNET (sym)14:05</v>
      </c>
      <c r="W73" s="820" t="str">
        <f t="shared" ca="1" si="191"/>
        <v>Axel DONVAL (iss)14:05</v>
      </c>
      <c r="X73" s="362">
        <f t="shared" ca="1" si="171"/>
        <v>1</v>
      </c>
      <c r="Y73" s="362">
        <f t="shared" ca="1" si="172"/>
        <v>1</v>
      </c>
      <c r="Z73" s="821" t="b">
        <f t="shared" si="173"/>
        <v>0</v>
      </c>
      <c r="AA73" s="1317"/>
      <c r="AB73" s="1327"/>
      <c r="AD73" s="1395" t="str">
        <f t="shared" ca="1" si="192"/>
        <v>0,586805555555556</v>
      </c>
      <c r="AE73" s="1395" t="str">
        <f>D1_Last8!D1</f>
        <v>D1</v>
      </c>
      <c r="AF73" s="1395" t="s">
        <v>5462</v>
      </c>
      <c r="AG73" s="1395">
        <v>1</v>
      </c>
      <c r="AH73" s="1395" t="str">
        <f t="shared" ca="1" si="193"/>
        <v/>
      </c>
      <c r="AI73" s="1395" t="str">
        <f t="shared" ca="1" si="194"/>
        <v/>
      </c>
      <c r="AJ73" s="1395" t="str">
        <f t="shared" ca="1" si="195"/>
        <v/>
      </c>
      <c r="AK73" s="1395" t="str">
        <f t="shared" ca="1" si="196"/>
        <v/>
      </c>
      <c r="AL73" s="2220" t="str">
        <f t="shared" si="179"/>
        <v/>
      </c>
      <c r="AM73" s="2220" t="str">
        <f t="shared" si="180"/>
        <v/>
      </c>
      <c r="AN73" s="2220" t="str">
        <f t="shared" si="181"/>
        <v/>
      </c>
      <c r="AO73" s="2220" t="str">
        <f t="shared" si="182"/>
        <v/>
      </c>
      <c r="AP73" s="2220" t="str">
        <f t="shared" si="183"/>
        <v/>
      </c>
    </row>
    <row r="74" spans="1:42" outlineLevel="1" x14ac:dyDescent="0.2">
      <c r="A74" s="814">
        <f t="shared" ca="1" si="184"/>
        <v>0.58680555555555558</v>
      </c>
      <c r="B74" s="815"/>
      <c r="C74" s="2226" t="str">
        <f>"D1_Last8 - " &amp; N_Group &amp; " 1" &amp; " - " &amp; N_Round &amp; " 2"</f>
        <v>D1_Last8 - Poule 1 - Tr 2</v>
      </c>
      <c r="D74" s="872"/>
      <c r="E74" s="327"/>
      <c r="F74" s="815"/>
      <c r="G74" s="817" t="s">
        <v>1715</v>
      </c>
      <c r="H74" s="817" t="str">
        <f t="shared" si="185"/>
        <v>D1_Last8</v>
      </c>
      <c r="I74" s="817">
        <f t="shared" ca="1" si="186"/>
        <v>13</v>
      </c>
      <c r="J74" s="817">
        <f t="shared" ca="1" si="187"/>
        <v>22</v>
      </c>
      <c r="K74" s="817" t="str">
        <f t="shared" si="188"/>
        <v>D1_Last8!V13</v>
      </c>
      <c r="L74" s="818" t="str">
        <f>D1_Last8!V13</f>
        <v>Cédric PANDOLFI (sym)</v>
      </c>
      <c r="M74" s="10" t="str" cm="1">
        <f t="array" aca="1" ref="M74" ca="1">IF(AND(ISNA(MATCH(L74&amp;P74,D1_Tr1!$V:$V&amp;D1_Tr1!$Z:$Z,0)),ISNA(MATCH(P74&amp;L74,D1_Tr1!$V:$V&amp;D1_Tr1!$Z:$Z,0))),"",IFERROR(INDEX(D1_Tr1!$W:$W,MATCH($L74&amp;$P74,D1_Tr1!$V:$V&amp;D1_Tr1!$Z:$Z,0)),0)+IFERROR(INDEX(D1_Tr1!$Y:$Y,MATCH($P74&amp;$L74,D1_Tr1!$V:$V&amp;D1_Tr1!$Z:$Z,0)),0))</f>
        <v/>
      </c>
      <c r="N74" s="394" t="s">
        <v>769</v>
      </c>
      <c r="O74" s="10" t="str" cm="1">
        <f t="array" aca="1" ref="O74" ca="1">IF(AND(ISNA(MATCH(L74&amp;P74,D1_Tr1!$V:$V&amp;D1_Tr1!$Z:$Z,0)),ISNA(MATCH(P74&amp;L74,D1_Tr1!$V:$V&amp;D1_Tr1!$Z:$Z,0))),"",IFERROR(INDEX(D1_Tr1!$Y:$Y,MATCH($L74&amp;$P74,D1_Tr1!$V:$V&amp;D1_Tr1!$Z:$Z,0)),0)+IFERROR(INDEX(D1_Tr1!$W:$W,MATCH($P74&amp;$L74,D1_Tr1!$V:$V&amp;D1_Tr1!$Z:$Z,0)),0))</f>
        <v/>
      </c>
      <c r="P74" s="818" t="str">
        <f t="shared" ca="1" si="189"/>
        <v>Jean-François BALARD (puy)</v>
      </c>
      <c r="Q74" s="819"/>
      <c r="R74" s="397"/>
      <c r="S74" s="397"/>
      <c r="T74" s="397"/>
      <c r="U74" s="397"/>
      <c r="V74" s="820" t="str">
        <f t="shared" ca="1" si="190"/>
        <v>Cédric PANDOLFI (sym)14:05</v>
      </c>
      <c r="W74" s="820" t="str">
        <f t="shared" ca="1" si="191"/>
        <v>Jean-François BALARD (puy)14:05</v>
      </c>
      <c r="X74" s="362">
        <f t="shared" ca="1" si="171"/>
        <v>1</v>
      </c>
      <c r="Y74" s="362">
        <f t="shared" ca="1" si="172"/>
        <v>1</v>
      </c>
      <c r="Z74" s="821" t="b">
        <f t="shared" si="173"/>
        <v>0</v>
      </c>
      <c r="AA74" s="1317"/>
      <c r="AB74" s="1327"/>
      <c r="AD74" s="1395" t="str">
        <f t="shared" ca="1" si="192"/>
        <v>0,586805555555556</v>
      </c>
      <c r="AE74" s="1395" t="str">
        <f>D1_Last8!D1</f>
        <v>D1</v>
      </c>
      <c r="AF74" s="1395" t="s">
        <v>5462</v>
      </c>
      <c r="AG74" s="1395">
        <v>2</v>
      </c>
      <c r="AH74" s="1395" t="str">
        <f t="shared" ca="1" si="193"/>
        <v/>
      </c>
      <c r="AI74" s="1395" t="str">
        <f t="shared" ca="1" si="194"/>
        <v/>
      </c>
      <c r="AJ74" s="1395" t="str">
        <f t="shared" ca="1" si="195"/>
        <v/>
      </c>
      <c r="AK74" s="1395" t="str">
        <f t="shared" ca="1" si="196"/>
        <v/>
      </c>
      <c r="AL74" s="2220" t="str">
        <f t="shared" si="179"/>
        <v/>
      </c>
      <c r="AM74" s="2220" t="str">
        <f t="shared" si="180"/>
        <v/>
      </c>
      <c r="AN74" s="2220" t="str">
        <f t="shared" si="181"/>
        <v/>
      </c>
      <c r="AO74" s="2220" t="str">
        <f t="shared" si="182"/>
        <v/>
      </c>
      <c r="AP74" s="2220" t="str">
        <f t="shared" si="183"/>
        <v/>
      </c>
    </row>
    <row r="75" spans="1:42" ht="13.5" outlineLevel="1" thickBot="1" x14ac:dyDescent="0.25">
      <c r="A75" s="814">
        <f t="shared" ca="1" si="184"/>
        <v>0.58680555555555558</v>
      </c>
      <c r="B75" s="815"/>
      <c r="C75" s="2226" t="str">
        <f>"D1_Last8 - " &amp; N_Group &amp; " 1" &amp; " - " &amp; N_Round &amp; " 4"</f>
        <v>D1_Last8 - Poule 1 - Tr 4</v>
      </c>
      <c r="D75" s="872"/>
      <c r="E75" s="327"/>
      <c r="F75" s="815"/>
      <c r="G75" s="817" t="s">
        <v>1715</v>
      </c>
      <c r="H75" s="817" t="str">
        <f t="shared" si="185"/>
        <v>D1_Last8</v>
      </c>
      <c r="I75" s="817">
        <f t="shared" ca="1" si="186"/>
        <v>19</v>
      </c>
      <c r="J75" s="817">
        <f t="shared" ca="1" si="187"/>
        <v>22</v>
      </c>
      <c r="K75" s="817" t="str">
        <f t="shared" si="188"/>
        <v>D1_Last8!V19</v>
      </c>
      <c r="L75" s="818" t="str">
        <f>D1_Last8!V19</f>
        <v>Thierry VIVRON (iss)</v>
      </c>
      <c r="M75" s="10" t="str" cm="1">
        <f t="array" aca="1" ref="M75" ca="1">IF(AND(ISNA(MATCH(L75&amp;P75,D1_Tr1!$V:$V&amp;D1_Tr1!$Z:$Z,0)),ISNA(MATCH(P75&amp;L75,D1_Tr1!$V:$V&amp;D1_Tr1!$Z:$Z,0))),"",IFERROR(INDEX(D1_Tr1!$W:$W,MATCH($L75&amp;$P75,D1_Tr1!$V:$V&amp;D1_Tr1!$Z:$Z,0)),0)+IFERROR(INDEX(D1_Tr1!$Y:$Y,MATCH($P75&amp;$L75,D1_Tr1!$V:$V&amp;D1_Tr1!$Z:$Z,0)),0))</f>
        <v/>
      </c>
      <c r="N75" s="394" t="s">
        <v>769</v>
      </c>
      <c r="O75" s="10" t="str" cm="1">
        <f t="array" aca="1" ref="O75" ca="1">IF(AND(ISNA(MATCH(L75&amp;P75,D1_Tr1!$V:$V&amp;D1_Tr1!$Z:$Z,0)),ISNA(MATCH(P75&amp;L75,D1_Tr1!$V:$V&amp;D1_Tr1!$Z:$Z,0))),"",IFERROR(INDEX(D1_Tr1!$Y:$Y,MATCH($L75&amp;$P75,D1_Tr1!$V:$V&amp;D1_Tr1!$Z:$Z,0)),0)+IFERROR(INDEX(D1_Tr1!$W:$W,MATCH($P75&amp;$L75,D1_Tr1!$V:$V&amp;D1_Tr1!$Z:$Z,0)),0))</f>
        <v/>
      </c>
      <c r="P75" s="818" t="str">
        <f t="shared" ca="1" si="189"/>
        <v>Audrey HERBAUT (chp)</v>
      </c>
      <c r="Q75" s="819"/>
      <c r="R75" s="397"/>
      <c r="S75" s="397"/>
      <c r="T75" s="397"/>
      <c r="U75" s="397"/>
      <c r="V75" s="820" t="str">
        <f t="shared" ca="1" si="190"/>
        <v>Thierry VIVRON (iss)14:05</v>
      </c>
      <c r="W75" s="820" t="str">
        <f t="shared" ca="1" si="191"/>
        <v>Audrey HERBAUT (chp)14:05</v>
      </c>
      <c r="X75" s="362">
        <f t="shared" ca="1" si="171"/>
        <v>1</v>
      </c>
      <c r="Y75" s="362">
        <f t="shared" ca="1" si="172"/>
        <v>1</v>
      </c>
      <c r="Z75" s="821" t="b">
        <f t="shared" si="173"/>
        <v>0</v>
      </c>
      <c r="AA75" s="1317"/>
      <c r="AB75" s="1327"/>
      <c r="AD75" s="1395" t="str">
        <f t="shared" ca="1" si="192"/>
        <v>0,586805555555556</v>
      </c>
      <c r="AE75" s="1395" t="str">
        <f>D1_Last8!D1</f>
        <v>D1</v>
      </c>
      <c r="AF75" s="1395" t="s">
        <v>5462</v>
      </c>
      <c r="AG75" s="1395">
        <v>4</v>
      </c>
      <c r="AH75" s="1395" t="str">
        <f t="shared" ca="1" si="193"/>
        <v/>
      </c>
      <c r="AI75" s="1395" t="str">
        <f t="shared" ca="1" si="194"/>
        <v/>
      </c>
      <c r="AJ75" s="1395" t="str">
        <f t="shared" ca="1" si="195"/>
        <v/>
      </c>
      <c r="AK75" s="1395" t="str">
        <f t="shared" ca="1" si="196"/>
        <v/>
      </c>
      <c r="AL75" s="2220" t="str">
        <f t="shared" si="179"/>
        <v/>
      </c>
      <c r="AM75" s="2220" t="str">
        <f t="shared" si="180"/>
        <v/>
      </c>
      <c r="AN75" s="2220" t="str">
        <f t="shared" si="181"/>
        <v/>
      </c>
      <c r="AO75" s="2220" t="str">
        <f t="shared" si="182"/>
        <v/>
      </c>
      <c r="AP75" s="2220" t="str">
        <f t="shared" si="183"/>
        <v/>
      </c>
    </row>
    <row r="76" spans="1:42" ht="15" x14ac:dyDescent="0.2">
      <c r="A76" s="789">
        <v>0.61805555555555602</v>
      </c>
      <c r="B76" s="790"/>
      <c r="C76" s="791" t="str">
        <f t="shared" ref="C76:C94" si="197">N_Session</f>
        <v xml:space="preserve">Session N° </v>
      </c>
      <c r="D76" s="792"/>
      <c r="E76" s="793">
        <f>E67+ 1</f>
        <v>9</v>
      </c>
      <c r="F76" s="794"/>
      <c r="G76" s="795" t="str">
        <f>"S" &amp; RIGHT(G67, LEN(G67)-1) + 1</f>
        <v>S9</v>
      </c>
      <c r="H76" s="794"/>
      <c r="I76" s="794"/>
      <c r="J76" s="794"/>
      <c r="K76" s="794"/>
      <c r="L76" s="791" t="str">
        <f t="shared" ref="L76:L94" si="198">N_Duration</f>
        <v>Durée</v>
      </c>
      <c r="M76" s="796"/>
      <c r="N76" s="797" t="s">
        <v>1714</v>
      </c>
      <c r="O76" s="796"/>
      <c r="P76" s="798">
        <v>2.7777777777777776E-2</v>
      </c>
      <c r="Q76" s="799"/>
      <c r="R76" s="800"/>
      <c r="S76" s="796"/>
      <c r="T76" s="800"/>
      <c r="U76" s="796"/>
      <c r="V76" s="796"/>
      <c r="W76" s="796"/>
      <c r="X76" s="796"/>
      <c r="Y76" s="796"/>
      <c r="Z76" s="796"/>
      <c r="AA76" s="799"/>
      <c r="AB76" s="801"/>
      <c r="AC76" s="1394"/>
      <c r="AD76" s="1394"/>
      <c r="AE76" s="1394"/>
      <c r="AF76" s="1394"/>
      <c r="AG76" s="1394"/>
      <c r="AH76" s="1394"/>
      <c r="AI76" s="1394"/>
      <c r="AJ76" s="1394"/>
      <c r="AK76" s="1394"/>
      <c r="AL76" s="2219"/>
      <c r="AM76" s="2219"/>
      <c r="AN76" s="2219"/>
      <c r="AO76" s="2219"/>
      <c r="AP76" s="2219"/>
    </row>
    <row r="77" spans="1:42" outlineLevel="1" x14ac:dyDescent="0.2">
      <c r="A77" s="814">
        <f ca="1">OFFSET(A77,-1,0)</f>
        <v>0.61805555555555602</v>
      </c>
      <c r="B77" s="815"/>
      <c r="C77" s="2226" t="str">
        <f>"D1_Top8 - " &amp; N_Group &amp; " 1" &amp; " - " &amp; N_Round &amp; " 2"</f>
        <v>D1_Top8 - Poule 1 - Tr 2</v>
      </c>
      <c r="D77" s="872"/>
      <c r="E77" s="327"/>
      <c r="F77" s="815"/>
      <c r="G77" s="817" t="s">
        <v>1715</v>
      </c>
      <c r="H77" s="817" t="str">
        <f>IF(K77="","",SUBSTITUTE(MID(K77,1,SEARCH("!",K77,1)-1),"'",""))</f>
        <v>D1_Top8</v>
      </c>
      <c r="I77" s="817">
        <f ca="1">IF(K77="","",CELL("row",INDIRECT(K77)))</f>
        <v>14</v>
      </c>
      <c r="J77" s="817">
        <f ca="1">IF(K77="","",CELL("col",INDIRECT(K77)))</f>
        <v>22</v>
      </c>
      <c r="K77" s="817" t="str">
        <f>MID(Lire_Formule(L77),2,10000)</f>
        <v>D1_Top8!V14</v>
      </c>
      <c r="L77" s="818" t="str">
        <f>D1_Top8!V14</f>
        <v>Mickaël BLANC (sym)</v>
      </c>
      <c r="M77" s="10" t="str" cm="1">
        <f t="array" aca="1" ref="M77" ca="1">IF(AND(ISNA(MATCH(L77&amp;P77,D1_Tr1!$V:$V&amp;D1_Tr1!$Z:$Z,0)),ISNA(MATCH(P77&amp;L77,D1_Tr1!$V:$V&amp;D1_Tr1!$Z:$Z,0))),"",IFERROR(INDEX(D1_Tr1!$W:$W,MATCH($L77&amp;$P77,D1_Tr1!$V:$V&amp;D1_Tr1!$Z:$Z,0)),0)+IFERROR(INDEX(D1_Tr1!$Y:$Y,MATCH($P77&amp;$L77,D1_Tr1!$V:$V&amp;D1_Tr1!$Z:$Z,0)),0))</f>
        <v/>
      </c>
      <c r="N77" s="394" t="s">
        <v>769</v>
      </c>
      <c r="O77" s="10" t="str" cm="1">
        <f t="array" aca="1" ref="O77" ca="1">IF(AND(ISNA(MATCH(L77&amp;P77,D1_Tr1!$V:$V&amp;D1_Tr1!$Z:$Z,0)),ISNA(MATCH(P77&amp;L77,D1_Tr1!$V:$V&amp;D1_Tr1!$Z:$Z,0))),"",IFERROR(INDEX(D1_Tr1!$Y:$Y,MATCH($L77&amp;$P77,D1_Tr1!$V:$V&amp;D1_Tr1!$Z:$Z,0)),0)+IFERROR(INDEX(D1_Tr1!$W:$W,MATCH($P77&amp;$L77,D1_Tr1!$V:$V&amp;D1_Tr1!$Z:$Z,0)),0))</f>
        <v/>
      </c>
      <c r="P77" s="818" t="str">
        <f ca="1">IF(K77="","",IF(G77="IT",INDIRECT(ADDRESS(I77+2,J77,4,TRUE,H77)),INDIRECT(ADDRESS(I77,J77+4,4,TRUE,H77))))</f>
        <v>David LEROY (puy)</v>
      </c>
      <c r="Q77" s="819"/>
      <c r="R77" s="397"/>
      <c r="S77" s="397"/>
      <c r="T77" s="397"/>
      <c r="U77" s="397"/>
      <c r="V77" s="820" t="str">
        <f ca="1">L77&amp;TEXT(A77,"hh:mm")</f>
        <v>Mickaël BLANC (sym)14:50</v>
      </c>
      <c r="W77" s="820" t="str">
        <f ca="1">P77&amp;TEXT(A77,"hh:mm")</f>
        <v>David LEROY (puy)14:50</v>
      </c>
      <c r="X77" s="362">
        <f t="shared" ref="X77:X84" ca="1" si="199">IF(L77="",0,COUNTIF(PlayersAndHoursCol1,L77&amp;TEXT($A77,"hh:mm"))+COUNTIF(PlayersAndHoursCol2,L77&amp;TEXT($A77,"hh:mm")))</f>
        <v>1</v>
      </c>
      <c r="Y77" s="362">
        <f t="shared" ref="Y77:Y84" ca="1" si="200">IF(P77="",0,COUNTIF(PlayersAndHoursCol1,P77&amp;TEXT($A77,"hh:mm"))+COUNTIF(PlayersAndHoursCol2,P77&amp;TEXT($A77,"hh:mm")))</f>
        <v>1</v>
      </c>
      <c r="Z77" s="821" t="b">
        <f t="shared" ref="Z77:Z84" si="201">IF(AA77="",FALSE,NOT(AND(ISNA(MATCH(AA77&amp;TEXT($A77,"hh:mm"),PlayersAndHoursCol1,0)),ISNA(MATCH(AA77&amp;TEXT($A77,"hh:mm"),PlayersAndHoursCol2,0)),COUNTIF(AD:AD,AA77&amp;$A77)&lt;=1)))</f>
        <v>0</v>
      </c>
      <c r="AA77" s="1317"/>
      <c r="AB77" s="1327"/>
      <c r="AD77" s="1395" t="str">
        <f ca="1">AA77&amp;A77</f>
        <v>0,618055555555556</v>
      </c>
      <c r="AE77" s="1395" t="str">
        <f>D1_Top8!D1</f>
        <v>D1</v>
      </c>
      <c r="AF77" s="1395" t="s">
        <v>5462</v>
      </c>
      <c r="AG77" s="1395">
        <v>2</v>
      </c>
      <c r="AH77" s="1395" t="str">
        <f ca="1">IF(OR(M77&gt;O77,R77&gt;T77),L77,IF(OR(M77&lt;O77,R77&lt;T77),P77,""))</f>
        <v/>
      </c>
      <c r="AI77" s="1395" t="str">
        <f ca="1">IF(AND(M77&lt;&gt;"",M77=O77,R77=T77),L77,"")</f>
        <v/>
      </c>
      <c r="AJ77" s="1395" t="str">
        <f ca="1">IF(AND(M77&lt;&gt;"",M77=O77,R77=T77),P77,"")</f>
        <v/>
      </c>
      <c r="AK77" s="1395" t="str">
        <f ca="1">IF(OR(M77&lt;O77,R77&lt;T77),L77,IF(OR(M77&gt;O77,R77&gt;T77),P77,""))</f>
        <v/>
      </c>
      <c r="AL77" s="2220" t="str">
        <f t="shared" ref="AL77:AL84" si="202">IF(OR($AB77="",$AB77="V"),"",IF(MOD($AB77,10)=1,"XXX",""))</f>
        <v/>
      </c>
      <c r="AM77" s="2220" t="str">
        <f t="shared" ref="AM77:AM84" si="203">IF(OR($AB77="",$AB77="V"),"",IF(MOD($AB77,100)&gt;=10,"XXX",""))</f>
        <v/>
      </c>
      <c r="AN77" s="2220" t="str">
        <f t="shared" ref="AN77:AN84" si="204">IF(OR($AB77="",$AB77="V"),"",IF(MOD($AB77,1000)&gt;=100,"XXX",""))</f>
        <v/>
      </c>
      <c r="AO77" s="2220" t="str">
        <f t="shared" ref="AO77:AO84" si="205">IF(OR($AB77="",$AB77="V"),"",IF(MOD($AB77,10000)&gt;=1000,"XXX",""))</f>
        <v/>
      </c>
      <c r="AP77" s="2220" t="str">
        <f t="shared" ref="AP77:AP84" si="206">IF(OR($AB77="",$AB77="V"),"",IF(MOD($AB77,100000)&gt;=10000,"XXX",""))</f>
        <v/>
      </c>
    </row>
    <row r="78" spans="1:42" outlineLevel="1" x14ac:dyDescent="0.2">
      <c r="A78" s="814">
        <f ca="1">OFFSET(A78,-1,0)</f>
        <v>0.61805555555555602</v>
      </c>
      <c r="B78" s="815"/>
      <c r="C78" s="2226" t="str">
        <f>"D1_Top8 - " &amp; N_Group &amp; " 1" &amp; " - " &amp; N_Round &amp; " 4"</f>
        <v>D1_Top8 - Poule 1 - Tr 4</v>
      </c>
      <c r="D78" s="872"/>
      <c r="E78" s="327"/>
      <c r="F78" s="815"/>
      <c r="G78" s="817" t="s">
        <v>1715</v>
      </c>
      <c r="H78" s="817" t="str">
        <f>IF(K78="","",SUBSTITUTE(MID(K78,1,SEARCH("!",K78,1)-1),"'",""))</f>
        <v>D1_Top8</v>
      </c>
      <c r="I78" s="817">
        <f ca="1">IF(K78="","",CELL("row",INDIRECT(K78)))</f>
        <v>21</v>
      </c>
      <c r="J78" s="817">
        <f ca="1">IF(K78="","",CELL("col",INDIRECT(K78)))</f>
        <v>22</v>
      </c>
      <c r="K78" s="817" t="str">
        <f>MID(Lire_Formule(L78),2,10000)</f>
        <v>D1_Top8!V21</v>
      </c>
      <c r="L78" s="818" t="str">
        <f>D1_Top8!V21</f>
        <v>Théo MODESTE (iss)</v>
      </c>
      <c r="M78" s="10" t="str" cm="1">
        <f t="array" aca="1" ref="M78" ca="1">IF(AND(ISNA(MATCH(L78&amp;P78,D1_Tr1!$V:$V&amp;D1_Tr1!$Z:$Z,0)),ISNA(MATCH(P78&amp;L78,D1_Tr1!$V:$V&amp;D1_Tr1!$Z:$Z,0))),"",IFERROR(INDEX(D1_Tr1!$W:$W,MATCH($L78&amp;$P78,D1_Tr1!$V:$V&amp;D1_Tr1!$Z:$Z,0)),0)+IFERROR(INDEX(D1_Tr1!$Y:$Y,MATCH($P78&amp;$L78,D1_Tr1!$V:$V&amp;D1_Tr1!$Z:$Z,0)),0))</f>
        <v/>
      </c>
      <c r="N78" s="394" t="s">
        <v>769</v>
      </c>
      <c r="O78" s="10" t="str" cm="1">
        <f t="array" aca="1" ref="O78" ca="1">IF(AND(ISNA(MATCH(L78&amp;P78,D1_Tr1!$V:$V&amp;D1_Tr1!$Z:$Z,0)),ISNA(MATCH(P78&amp;L78,D1_Tr1!$V:$V&amp;D1_Tr1!$Z:$Z,0))),"",IFERROR(INDEX(D1_Tr1!$Y:$Y,MATCH($L78&amp;$P78,D1_Tr1!$V:$V&amp;D1_Tr1!$Z:$Z,0)),0)+IFERROR(INDEX(D1_Tr1!$W:$W,MATCH($P78&amp;$L78,D1_Tr1!$V:$V&amp;D1_Tr1!$Z:$Z,0)),0))</f>
        <v/>
      </c>
      <c r="P78" s="818" t="str">
        <f ca="1">IF(K78="","",IF(G78="IT",INDIRECT(ADDRESS(I78+2,J78,4,TRUE,H78)),INDIRECT(ADDRESS(I78,J78+4,4,TRUE,H78))))</f>
        <v>Quentin AUSSET (chp)</v>
      </c>
      <c r="Q78" s="819"/>
      <c r="R78" s="397"/>
      <c r="S78" s="397"/>
      <c r="T78" s="397"/>
      <c r="U78" s="397"/>
      <c r="V78" s="820" t="str">
        <f ca="1">L78&amp;TEXT(A78,"hh:mm")</f>
        <v>Théo MODESTE (iss)14:50</v>
      </c>
      <c r="W78" s="820" t="str">
        <f ca="1">P78&amp;TEXT(A78,"hh:mm")</f>
        <v>Quentin AUSSET (chp)14:50</v>
      </c>
      <c r="X78" s="362">
        <f t="shared" ca="1" si="199"/>
        <v>1</v>
      </c>
      <c r="Y78" s="362">
        <f t="shared" ca="1" si="200"/>
        <v>1</v>
      </c>
      <c r="Z78" s="821" t="b">
        <f t="shared" si="201"/>
        <v>0</v>
      </c>
      <c r="AA78" s="1317"/>
      <c r="AB78" s="1327"/>
      <c r="AD78" s="1395" t="str">
        <f ca="1">AA78&amp;A78</f>
        <v>0,618055555555556</v>
      </c>
      <c r="AE78" s="1395" t="str">
        <f>D1_Top8!D1</f>
        <v>D1</v>
      </c>
      <c r="AF78" s="1395" t="s">
        <v>5462</v>
      </c>
      <c r="AG78" s="1395">
        <v>4</v>
      </c>
      <c r="AH78" s="1395" t="str">
        <f ca="1">IF(OR(M78&gt;O78,R78&gt;T78),L78,IF(OR(M78&lt;O78,R78&lt;T78),P78,""))</f>
        <v/>
      </c>
      <c r="AI78" s="1395" t="str">
        <f ca="1">IF(AND(M78&lt;&gt;"",M78=O78,R78=T78),L78,"")</f>
        <v/>
      </c>
      <c r="AJ78" s="1395" t="str">
        <f ca="1">IF(AND(M78&lt;&gt;"",M78=O78,R78=T78),P78,"")</f>
        <v/>
      </c>
      <c r="AK78" s="1395" t="str">
        <f ca="1">IF(OR(M78&lt;O78,R78&lt;T78),L78,IF(OR(M78&gt;O78,R78&gt;T78),P78,""))</f>
        <v/>
      </c>
      <c r="AL78" s="2220" t="str">
        <f t="shared" si="202"/>
        <v/>
      </c>
      <c r="AM78" s="2220" t="str">
        <f t="shared" si="203"/>
        <v/>
      </c>
      <c r="AN78" s="2220" t="str">
        <f t="shared" si="204"/>
        <v/>
      </c>
      <c r="AO78" s="2220" t="str">
        <f t="shared" si="205"/>
        <v/>
      </c>
      <c r="AP78" s="2220" t="str">
        <f t="shared" si="206"/>
        <v/>
      </c>
    </row>
    <row r="79" spans="1:42" outlineLevel="1" x14ac:dyDescent="0.2">
      <c r="A79" s="814">
        <f t="shared" ref="A79:A80" ca="1" si="207">OFFSET(A79,-1,0)</f>
        <v>0.61805555555555602</v>
      </c>
      <c r="B79" s="815"/>
      <c r="C79" s="2226" t="str">
        <f>"D1_Top8 - " &amp; N_Group &amp; " 1" &amp; " - " &amp; N_Round &amp; " 5"</f>
        <v>D1_Top8 - Poule 1 - Tr 5</v>
      </c>
      <c r="D79" s="872"/>
      <c r="E79" s="327"/>
      <c r="F79" s="815"/>
      <c r="G79" s="817" t="s">
        <v>1715</v>
      </c>
      <c r="H79" s="817" t="str">
        <f t="shared" ref="H79:H80" si="208">IF(K79="","",SUBSTITUTE(MID(K79,1,SEARCH("!",K79,1)-1),"'",""))</f>
        <v>D1_Top8</v>
      </c>
      <c r="I79" s="817">
        <f t="shared" ref="I79:I80" ca="1" si="209">IF(K79="","",CELL("row",INDIRECT(K79)))</f>
        <v>23</v>
      </c>
      <c r="J79" s="817">
        <f t="shared" ref="J79:J80" ca="1" si="210">IF(K79="","",CELL("col",INDIRECT(K79)))</f>
        <v>22</v>
      </c>
      <c r="K79" s="817" t="str">
        <f t="shared" ref="K79:K80" si="211">MID(Lire_Formule(L79),2,10000)</f>
        <v>D1_Top8!V23</v>
      </c>
      <c r="L79" s="818" t="str">
        <f>D1_Top8!V23</f>
        <v>Raphaël POMMIER (cae)</v>
      </c>
      <c r="M79" s="10" t="str" cm="1">
        <f t="array" aca="1" ref="M79" ca="1">IF(AND(ISNA(MATCH(L79&amp;P79,D1_Tr1!$V:$V&amp;D1_Tr1!$Z:$Z,0)),ISNA(MATCH(P79&amp;L79,D1_Tr1!$V:$V&amp;D1_Tr1!$Z:$Z,0))),"",IFERROR(INDEX(D1_Tr1!$W:$W,MATCH($L79&amp;$P79,D1_Tr1!$V:$V&amp;D1_Tr1!$Z:$Z,0)),0)+IFERROR(INDEX(D1_Tr1!$Y:$Y,MATCH($P79&amp;$L79,D1_Tr1!$V:$V&amp;D1_Tr1!$Z:$Z,0)),0))</f>
        <v/>
      </c>
      <c r="N79" s="394" t="s">
        <v>769</v>
      </c>
      <c r="O79" s="10" t="str" cm="1">
        <f t="array" aca="1" ref="O79" ca="1">IF(AND(ISNA(MATCH(L79&amp;P79,D1_Tr1!$V:$V&amp;D1_Tr1!$Z:$Z,0)),ISNA(MATCH(P79&amp;L79,D1_Tr1!$V:$V&amp;D1_Tr1!$Z:$Z,0))),"",IFERROR(INDEX(D1_Tr1!$Y:$Y,MATCH($L79&amp;$P79,D1_Tr1!$V:$V&amp;D1_Tr1!$Z:$Z,0)),0)+IFERROR(INDEX(D1_Tr1!$W:$W,MATCH($P79&amp;$L79,D1_Tr1!$V:$V&amp;D1_Tr1!$Z:$Z,0)),0))</f>
        <v/>
      </c>
      <c r="P79" s="818" t="str">
        <f t="shared" ref="P79:P80" ca="1" si="212">IF(K79="","",IF(G79="IT",INDIRECT(ADDRESS(I79+2,J79,4,TRUE,H79)),INDIRECT(ADDRESS(I79,J79+4,4,TRUE,H79))))</f>
        <v>Emmanuel GORGETTE (iss)</v>
      </c>
      <c r="Q79" s="819"/>
      <c r="R79" s="397"/>
      <c r="S79" s="397"/>
      <c r="T79" s="397"/>
      <c r="U79" s="397"/>
      <c r="V79" s="820" t="str">
        <f t="shared" ref="V79:V80" ca="1" si="213">L79&amp;TEXT(A79,"hh:mm")</f>
        <v>Raphaël POMMIER (cae)14:50</v>
      </c>
      <c r="W79" s="820" t="str">
        <f t="shared" ref="W79:W80" ca="1" si="214">P79&amp;TEXT(A79,"hh:mm")</f>
        <v>Emmanuel GORGETTE (iss)14:50</v>
      </c>
      <c r="X79" s="362">
        <f t="shared" ca="1" si="199"/>
        <v>1</v>
      </c>
      <c r="Y79" s="362">
        <f t="shared" ca="1" si="200"/>
        <v>1</v>
      </c>
      <c r="Z79" s="821" t="b">
        <f t="shared" si="201"/>
        <v>0</v>
      </c>
      <c r="AA79" s="1317"/>
      <c r="AB79" s="1327"/>
      <c r="AD79" s="1395" t="str">
        <f t="shared" ref="AD79:AD80" ca="1" si="215">AA79&amp;A79</f>
        <v>0,618055555555556</v>
      </c>
      <c r="AE79" s="1395" t="str">
        <f>D1_Top8!D1</f>
        <v>D1</v>
      </c>
      <c r="AF79" s="1395" t="s">
        <v>5462</v>
      </c>
      <c r="AG79" s="1395">
        <v>5</v>
      </c>
      <c r="AH79" s="1395" t="str">
        <f t="shared" ref="AH79:AH80" ca="1" si="216">IF(OR(M79&gt;O79,R79&gt;T79),L79,IF(OR(M79&lt;O79,R79&lt;T79),P79,""))</f>
        <v/>
      </c>
      <c r="AI79" s="1395" t="str">
        <f t="shared" ref="AI79:AI80" ca="1" si="217">IF(AND(M79&lt;&gt;"",M79=O79,R79=T79),L79,"")</f>
        <v/>
      </c>
      <c r="AJ79" s="1395" t="str">
        <f t="shared" ref="AJ79:AJ80" ca="1" si="218">IF(AND(M79&lt;&gt;"",M79=O79,R79=T79),P79,"")</f>
        <v/>
      </c>
      <c r="AK79" s="1395" t="str">
        <f t="shared" ref="AK79:AK80" ca="1" si="219">IF(OR(M79&lt;O79,R79&lt;T79),L79,IF(OR(M79&gt;O79,R79&gt;T79),P79,""))</f>
        <v/>
      </c>
      <c r="AL79" s="2220" t="str">
        <f t="shared" si="202"/>
        <v/>
      </c>
      <c r="AM79" s="2220" t="str">
        <f t="shared" si="203"/>
        <v/>
      </c>
      <c r="AN79" s="2220" t="str">
        <f t="shared" si="204"/>
        <v/>
      </c>
      <c r="AO79" s="2220" t="str">
        <f t="shared" si="205"/>
        <v/>
      </c>
      <c r="AP79" s="2220" t="str">
        <f t="shared" si="206"/>
        <v/>
      </c>
    </row>
    <row r="80" spans="1:42" outlineLevel="1" x14ac:dyDescent="0.2">
      <c r="A80" s="814">
        <f t="shared" ca="1" si="207"/>
        <v>0.61805555555555602</v>
      </c>
      <c r="B80" s="815"/>
      <c r="C80" s="2226" t="str">
        <f>"D1_Top8 - " &amp; N_Group &amp; " 1" &amp; " - " &amp; N_Round &amp; " 5"</f>
        <v>D1_Top8 - Poule 1 - Tr 5</v>
      </c>
      <c r="D80" s="872"/>
      <c r="E80" s="327"/>
      <c r="F80" s="815"/>
      <c r="G80" s="817" t="s">
        <v>1715</v>
      </c>
      <c r="H80" s="817" t="str">
        <f t="shared" si="208"/>
        <v>D1_Top8</v>
      </c>
      <c r="I80" s="817">
        <f t="shared" ca="1" si="209"/>
        <v>24</v>
      </c>
      <c r="J80" s="817">
        <f t="shared" ca="1" si="210"/>
        <v>22</v>
      </c>
      <c r="K80" s="817" t="str">
        <f t="shared" si="211"/>
        <v>D1_Top8!V24</v>
      </c>
      <c r="L80" s="818" t="str">
        <f>D1_Top8!V24</f>
        <v>Stéphane POMMIER (cae)</v>
      </c>
      <c r="M80" s="10" t="str" cm="1">
        <f t="array" aca="1" ref="M80" ca="1">IF(AND(ISNA(MATCH(L80&amp;P80,D1_Tr1!$V:$V&amp;D1_Tr1!$Z:$Z,0)),ISNA(MATCH(P80&amp;L80,D1_Tr1!$V:$V&amp;D1_Tr1!$Z:$Z,0))),"",IFERROR(INDEX(D1_Tr1!$W:$W,MATCH($L80&amp;$P80,D1_Tr1!$V:$V&amp;D1_Tr1!$Z:$Z,0)),0)+IFERROR(INDEX(D1_Tr1!$Y:$Y,MATCH($P80&amp;$L80,D1_Tr1!$V:$V&amp;D1_Tr1!$Z:$Z,0)),0))</f>
        <v/>
      </c>
      <c r="N80" s="394" t="s">
        <v>769</v>
      </c>
      <c r="O80" s="10" t="str" cm="1">
        <f t="array" aca="1" ref="O80" ca="1">IF(AND(ISNA(MATCH(L80&amp;P80,D1_Tr1!$V:$V&amp;D1_Tr1!$Z:$Z,0)),ISNA(MATCH(P80&amp;L80,D1_Tr1!$V:$V&amp;D1_Tr1!$Z:$Z,0))),"",IFERROR(INDEX(D1_Tr1!$Y:$Y,MATCH($L80&amp;$P80,D1_Tr1!$V:$V&amp;D1_Tr1!$Z:$Z,0)),0)+IFERROR(INDEX(D1_Tr1!$W:$W,MATCH($P80&amp;$L80,D1_Tr1!$V:$V&amp;D1_Tr1!$Z:$Z,0)),0))</f>
        <v/>
      </c>
      <c r="P80" s="818" t="str">
        <f t="shared" ca="1" si="212"/>
        <v>Eric NASZALYI (iss)</v>
      </c>
      <c r="Q80" s="819"/>
      <c r="R80" s="397"/>
      <c r="S80" s="397"/>
      <c r="T80" s="397"/>
      <c r="U80" s="397"/>
      <c r="V80" s="820" t="str">
        <f t="shared" ca="1" si="213"/>
        <v>Stéphane POMMIER (cae)14:50</v>
      </c>
      <c r="W80" s="820" t="str">
        <f t="shared" ca="1" si="214"/>
        <v>Eric NASZALYI (iss)14:50</v>
      </c>
      <c r="X80" s="362">
        <f t="shared" ca="1" si="199"/>
        <v>1</v>
      </c>
      <c r="Y80" s="362">
        <f t="shared" ca="1" si="200"/>
        <v>1</v>
      </c>
      <c r="Z80" s="821" t="b">
        <f t="shared" si="201"/>
        <v>0</v>
      </c>
      <c r="AA80" s="1317"/>
      <c r="AB80" s="1327"/>
      <c r="AD80" s="1395" t="str">
        <f t="shared" ca="1" si="215"/>
        <v>0,618055555555556</v>
      </c>
      <c r="AE80" s="1395" t="str">
        <f>D1_Top8!D1</f>
        <v>D1</v>
      </c>
      <c r="AF80" s="1395" t="s">
        <v>5462</v>
      </c>
      <c r="AG80" s="1395">
        <v>5</v>
      </c>
      <c r="AH80" s="1395" t="str">
        <f t="shared" ca="1" si="216"/>
        <v/>
      </c>
      <c r="AI80" s="1395" t="str">
        <f t="shared" ca="1" si="217"/>
        <v/>
      </c>
      <c r="AJ80" s="1395" t="str">
        <f t="shared" ca="1" si="218"/>
        <v/>
      </c>
      <c r="AK80" s="1395" t="str">
        <f t="shared" ca="1" si="219"/>
        <v/>
      </c>
      <c r="AL80" s="2220" t="str">
        <f t="shared" si="202"/>
        <v/>
      </c>
      <c r="AM80" s="2220" t="str">
        <f t="shared" si="203"/>
        <v/>
      </c>
      <c r="AN80" s="2220" t="str">
        <f t="shared" si="204"/>
        <v/>
      </c>
      <c r="AO80" s="2220" t="str">
        <f t="shared" si="205"/>
        <v/>
      </c>
      <c r="AP80" s="2220" t="str">
        <f t="shared" si="206"/>
        <v/>
      </c>
    </row>
    <row r="81" spans="1:42" outlineLevel="1" x14ac:dyDescent="0.2">
      <c r="A81" s="814">
        <f ca="1">OFFSET(A81,-1,0)</f>
        <v>0.61805555555555602</v>
      </c>
      <c r="B81" s="815"/>
      <c r="C81" s="2226" t="str">
        <f>"D1_Last8 - " &amp; N_Group &amp; " 1" &amp; " - " &amp; N_Round &amp; " 2"</f>
        <v>D1_Last8 - Poule 1 - Tr 2</v>
      </c>
      <c r="D81" s="872"/>
      <c r="E81" s="327"/>
      <c r="F81" s="815"/>
      <c r="G81" s="817" t="s">
        <v>1715</v>
      </c>
      <c r="H81" s="817" t="str">
        <f>IF(K81="","",SUBSTITUTE(MID(K81,1,SEARCH("!",K81,1)-1),"'",""))</f>
        <v>D1_Last8</v>
      </c>
      <c r="I81" s="817">
        <f ca="1">IF(K81="","",CELL("row",INDIRECT(K81)))</f>
        <v>14</v>
      </c>
      <c r="J81" s="817">
        <f ca="1">IF(K81="","",CELL("col",INDIRECT(K81)))</f>
        <v>22</v>
      </c>
      <c r="K81" s="817" t="str">
        <f>MID(Lire_Formule(L81),2,10000)</f>
        <v>D1_Last8!V14</v>
      </c>
      <c r="L81" s="818" t="str">
        <f>D1_Last8!V14</f>
        <v>Axel DONVAL (iss)</v>
      </c>
      <c r="M81" s="10" t="str" cm="1">
        <f t="array" aca="1" ref="M81" ca="1">IF(AND(ISNA(MATCH(L81&amp;P81,D1_Tr1!$V:$V&amp;D1_Tr1!$Z:$Z,0)),ISNA(MATCH(P81&amp;L81,D1_Tr1!$V:$V&amp;D1_Tr1!$Z:$Z,0))),"",IFERROR(INDEX(D1_Tr1!$W:$W,MATCH($L81&amp;$P81,D1_Tr1!$V:$V&amp;D1_Tr1!$Z:$Z,0)),0)+IFERROR(INDEX(D1_Tr1!$Y:$Y,MATCH($P81&amp;$L81,D1_Tr1!$V:$V&amp;D1_Tr1!$Z:$Z,0)),0))</f>
        <v/>
      </c>
      <c r="N81" s="394" t="s">
        <v>769</v>
      </c>
      <c r="O81" s="10" t="str" cm="1">
        <f t="array" aca="1" ref="O81" ca="1">IF(AND(ISNA(MATCH(L81&amp;P81,D1_Tr1!$V:$V&amp;D1_Tr1!$Z:$Z,0)),ISNA(MATCH(P81&amp;L81,D1_Tr1!$V:$V&amp;D1_Tr1!$Z:$Z,0))),"",IFERROR(INDEX(D1_Tr1!$Y:$Y,MATCH($L81&amp;$P81,D1_Tr1!$V:$V&amp;D1_Tr1!$Z:$Z,0)),0)+IFERROR(INDEX(D1_Tr1!$W:$W,MATCH($P81&amp;$L81,D1_Tr1!$V:$V&amp;D1_Tr1!$Z:$Z,0)),0))</f>
        <v/>
      </c>
      <c r="P81" s="818" t="str">
        <f ca="1">IF(K81="","",IF(G81="IT",INDIRECT(ADDRESS(I81+2,J81,4,TRUE,H81)),INDIRECT(ADDRESS(I81,J81+4,4,TRUE,H81))))</f>
        <v>Françoise GUYOT (chp)</v>
      </c>
      <c r="Q81" s="819"/>
      <c r="R81" s="397"/>
      <c r="S81" s="397"/>
      <c r="T81" s="397"/>
      <c r="U81" s="397"/>
      <c r="V81" s="820" t="str">
        <f ca="1">L81&amp;TEXT(A81,"hh:mm")</f>
        <v>Axel DONVAL (iss)14:50</v>
      </c>
      <c r="W81" s="820" t="str">
        <f ca="1">P81&amp;TEXT(A81,"hh:mm")</f>
        <v>Françoise GUYOT (chp)14:50</v>
      </c>
      <c r="X81" s="362">
        <f t="shared" ca="1" si="199"/>
        <v>1</v>
      </c>
      <c r="Y81" s="362">
        <f t="shared" ca="1" si="200"/>
        <v>1</v>
      </c>
      <c r="Z81" s="821" t="b">
        <f t="shared" si="201"/>
        <v>0</v>
      </c>
      <c r="AA81" s="1317"/>
      <c r="AB81" s="1327"/>
      <c r="AD81" s="1395" t="str">
        <f ca="1">AA81&amp;A81</f>
        <v>0,618055555555556</v>
      </c>
      <c r="AE81" s="1395" t="str">
        <f>D1_Last8!D1</f>
        <v>D1</v>
      </c>
      <c r="AF81" s="1395" t="s">
        <v>5462</v>
      </c>
      <c r="AG81" s="1395">
        <v>2</v>
      </c>
      <c r="AH81" s="1395" t="str">
        <f ca="1">IF(OR(M81&gt;O81,R81&gt;T81),L81,IF(OR(M81&lt;O81,R81&lt;T81),P81,""))</f>
        <v/>
      </c>
      <c r="AI81" s="1395" t="str">
        <f ca="1">IF(AND(M81&lt;&gt;"",M81=O81,R81=T81),L81,"")</f>
        <v/>
      </c>
      <c r="AJ81" s="1395" t="str">
        <f ca="1">IF(AND(M81&lt;&gt;"",M81=O81,R81=T81),P81,"")</f>
        <v/>
      </c>
      <c r="AK81" s="1395" t="str">
        <f ca="1">IF(OR(M81&lt;O81,R81&lt;T81),L81,IF(OR(M81&gt;O81,R81&gt;T81),P81,""))</f>
        <v/>
      </c>
      <c r="AL81" s="2220" t="str">
        <f t="shared" si="202"/>
        <v/>
      </c>
      <c r="AM81" s="2220" t="str">
        <f t="shared" si="203"/>
        <v/>
      </c>
      <c r="AN81" s="2220" t="str">
        <f t="shared" si="204"/>
        <v/>
      </c>
      <c r="AO81" s="2220" t="str">
        <f t="shared" si="205"/>
        <v/>
      </c>
      <c r="AP81" s="2220" t="str">
        <f t="shared" si="206"/>
        <v/>
      </c>
    </row>
    <row r="82" spans="1:42" outlineLevel="1" x14ac:dyDescent="0.2">
      <c r="A82" s="814">
        <f ca="1">OFFSET(A82,-1,0)</f>
        <v>0.61805555555555602</v>
      </c>
      <c r="B82" s="815"/>
      <c r="C82" s="2226" t="str">
        <f>"D1_Last8 - " &amp; N_Group &amp; " 1" &amp; " - " &amp; N_Round &amp; " 4"</f>
        <v>D1_Last8 - Poule 1 - Tr 4</v>
      </c>
      <c r="D82" s="872"/>
      <c r="E82" s="327"/>
      <c r="F82" s="815"/>
      <c r="G82" s="817" t="s">
        <v>1715</v>
      </c>
      <c r="H82" s="817" t="str">
        <f>IF(K82="","",SUBSTITUTE(MID(K82,1,SEARCH("!",K82,1)-1),"'",""))</f>
        <v>D1_Last8</v>
      </c>
      <c r="I82" s="817">
        <f ca="1">IF(K82="","",CELL("row",INDIRECT(K82)))</f>
        <v>21</v>
      </c>
      <c r="J82" s="817">
        <f ca="1">IF(K82="","",CELL("col",INDIRECT(K82)))</f>
        <v>22</v>
      </c>
      <c r="K82" s="817" t="str">
        <f>MID(Lire_Formule(L82),2,10000)</f>
        <v>D1_Last8!V21</v>
      </c>
      <c r="L82" s="818" t="str">
        <f>D1_Last8!V21</f>
        <v>Cyprien BONNET (sym)</v>
      </c>
      <c r="M82" s="10" t="str" cm="1">
        <f t="array" aca="1" ref="M82" ca="1">IF(AND(ISNA(MATCH(L82&amp;P82,D1_Tr1!$V:$V&amp;D1_Tr1!$Z:$Z,0)),ISNA(MATCH(P82&amp;L82,D1_Tr1!$V:$V&amp;D1_Tr1!$Z:$Z,0))),"",IFERROR(INDEX(D1_Tr1!$W:$W,MATCH($L82&amp;$P82,D1_Tr1!$V:$V&amp;D1_Tr1!$Z:$Z,0)),0)+IFERROR(INDEX(D1_Tr1!$Y:$Y,MATCH($P82&amp;$L82,D1_Tr1!$V:$V&amp;D1_Tr1!$Z:$Z,0)),0))</f>
        <v/>
      </c>
      <c r="N82" s="394" t="s">
        <v>769</v>
      </c>
      <c r="O82" s="10" t="str" cm="1">
        <f t="array" aca="1" ref="O82" ca="1">IF(AND(ISNA(MATCH(L82&amp;P82,D1_Tr1!$V:$V&amp;D1_Tr1!$Z:$Z,0)),ISNA(MATCH(P82&amp;L82,D1_Tr1!$V:$V&amp;D1_Tr1!$Z:$Z,0))),"",IFERROR(INDEX(D1_Tr1!$Y:$Y,MATCH($L82&amp;$P82,D1_Tr1!$V:$V&amp;D1_Tr1!$Z:$Z,0)),0)+IFERROR(INDEX(D1_Tr1!$W:$W,MATCH($P82&amp;$L82,D1_Tr1!$V:$V&amp;D1_Tr1!$Z:$Z,0)),0))</f>
        <v/>
      </c>
      <c r="P82" s="818" t="str">
        <f ca="1">IF(K82="","",IF(G82="IT",INDIRECT(ADDRESS(I82+2,J82,4,TRUE,H82)),INDIRECT(ADDRESS(I82,J82+4,4,TRUE,H82))))</f>
        <v>Jean-François BALARD (puy)</v>
      </c>
      <c r="Q82" s="819"/>
      <c r="R82" s="397"/>
      <c r="S82" s="397"/>
      <c r="T82" s="397"/>
      <c r="U82" s="397"/>
      <c r="V82" s="820" t="str">
        <f ca="1">L82&amp;TEXT(A82,"hh:mm")</f>
        <v>Cyprien BONNET (sym)14:50</v>
      </c>
      <c r="W82" s="820" t="str">
        <f ca="1">P82&amp;TEXT(A82,"hh:mm")</f>
        <v>Jean-François BALARD (puy)14:50</v>
      </c>
      <c r="X82" s="362">
        <f t="shared" ca="1" si="199"/>
        <v>1</v>
      </c>
      <c r="Y82" s="362">
        <f t="shared" ca="1" si="200"/>
        <v>1</v>
      </c>
      <c r="Z82" s="821" t="b">
        <f t="shared" si="201"/>
        <v>0</v>
      </c>
      <c r="AA82" s="1317"/>
      <c r="AB82" s="1327"/>
      <c r="AD82" s="1395" t="str">
        <f ca="1">AA82&amp;A82</f>
        <v>0,618055555555556</v>
      </c>
      <c r="AE82" s="1395" t="str">
        <f>D1_Last8!D1</f>
        <v>D1</v>
      </c>
      <c r="AF82" s="1395" t="s">
        <v>5462</v>
      </c>
      <c r="AG82" s="1395">
        <v>4</v>
      </c>
      <c r="AH82" s="1395" t="str">
        <f ca="1">IF(OR(M82&gt;O82,R82&gt;T82),L82,IF(OR(M82&lt;O82,R82&lt;T82),P82,""))</f>
        <v/>
      </c>
      <c r="AI82" s="1395" t="str">
        <f ca="1">IF(AND(M82&lt;&gt;"",M82=O82,R82=T82),L82,"")</f>
        <v/>
      </c>
      <c r="AJ82" s="1395" t="str">
        <f ca="1">IF(AND(M82&lt;&gt;"",M82=O82,R82=T82),P82,"")</f>
        <v/>
      </c>
      <c r="AK82" s="1395" t="str">
        <f ca="1">IF(OR(M82&lt;O82,R82&lt;T82),L82,IF(OR(M82&gt;O82,R82&gt;T82),P82,""))</f>
        <v/>
      </c>
      <c r="AL82" s="2220" t="str">
        <f t="shared" si="202"/>
        <v/>
      </c>
      <c r="AM82" s="2220" t="str">
        <f t="shared" si="203"/>
        <v/>
      </c>
      <c r="AN82" s="2220" t="str">
        <f t="shared" si="204"/>
        <v/>
      </c>
      <c r="AO82" s="2220" t="str">
        <f t="shared" si="205"/>
        <v/>
      </c>
      <c r="AP82" s="2220" t="str">
        <f t="shared" si="206"/>
        <v/>
      </c>
    </row>
    <row r="83" spans="1:42" outlineLevel="1" x14ac:dyDescent="0.2">
      <c r="A83" s="814">
        <f ca="1">OFFSET(A83,-1,0)</f>
        <v>0.61805555555555602</v>
      </c>
      <c r="B83" s="815"/>
      <c r="C83" s="2226" t="str">
        <f>"D1_Last8 - " &amp; N_Group &amp; " 1" &amp; " - " &amp; N_Round &amp; " 5"</f>
        <v>D1_Last8 - Poule 1 - Tr 5</v>
      </c>
      <c r="D83" s="872"/>
      <c r="E83" s="327"/>
      <c r="F83" s="815"/>
      <c r="G83" s="817" t="s">
        <v>1715</v>
      </c>
      <c r="H83" s="817" t="str">
        <f>IF(K83="","",SUBSTITUTE(MID(K83,1,SEARCH("!",K83,1)-1),"'",""))</f>
        <v>D1_Last8</v>
      </c>
      <c r="I83" s="817">
        <f ca="1">IF(K83="","",CELL("row",INDIRECT(K83)))</f>
        <v>23</v>
      </c>
      <c r="J83" s="817">
        <f ca="1">IF(K83="","",CELL("col",INDIRECT(K83)))</f>
        <v>22</v>
      </c>
      <c r="K83" s="817" t="str">
        <f>MID(Lire_Formule(L83),2,10000)</f>
        <v>D1_Last8!V23</v>
      </c>
      <c r="L83" s="818" t="str">
        <f>D1_Last8!V23</f>
        <v>Thierry VIVRON (iss)</v>
      </c>
      <c r="M83" s="10" t="str" cm="1">
        <f t="array" aca="1" ref="M83" ca="1">IF(AND(ISNA(MATCH(L83&amp;P83,D1_Tr1!$V:$V&amp;D1_Tr1!$Z:$Z,0)),ISNA(MATCH(P83&amp;L83,D1_Tr1!$V:$V&amp;D1_Tr1!$Z:$Z,0))),"",IFERROR(INDEX(D1_Tr1!$W:$W,MATCH($L83&amp;$P83,D1_Tr1!$V:$V&amp;D1_Tr1!$Z:$Z,0)),0)+IFERROR(INDEX(D1_Tr1!$Y:$Y,MATCH($P83&amp;$L83,D1_Tr1!$V:$V&amp;D1_Tr1!$Z:$Z,0)),0))</f>
        <v/>
      </c>
      <c r="N83" s="394" t="s">
        <v>769</v>
      </c>
      <c r="O83" s="10" t="str" cm="1">
        <f t="array" aca="1" ref="O83" ca="1">IF(AND(ISNA(MATCH(L83&amp;P83,D1_Tr1!$V:$V&amp;D1_Tr1!$Z:$Z,0)),ISNA(MATCH(P83&amp;L83,D1_Tr1!$V:$V&amp;D1_Tr1!$Z:$Z,0))),"",IFERROR(INDEX(D1_Tr1!$Y:$Y,MATCH($L83&amp;$P83,D1_Tr1!$V:$V&amp;D1_Tr1!$Z:$Z,0)),0)+IFERROR(INDEX(D1_Tr1!$W:$W,MATCH($P83&amp;$L83,D1_Tr1!$V:$V&amp;D1_Tr1!$Z:$Z,0)),0))</f>
        <v/>
      </c>
      <c r="P83" s="818" t="str">
        <f ca="1">IF(K83="","",IF(G83="IT",INDIRECT(ADDRESS(I83+2,J83,4,TRUE,H83)),INDIRECT(ADDRESS(I83,J83+4,4,TRUE,H83))))</f>
        <v>Jean-Marie AMBERNY (iss)</v>
      </c>
      <c r="Q83" s="819"/>
      <c r="R83" s="397"/>
      <c r="S83" s="397"/>
      <c r="T83" s="397"/>
      <c r="U83" s="397"/>
      <c r="V83" s="820" t="str">
        <f ca="1">L83&amp;TEXT(A83,"hh:mm")</f>
        <v>Thierry VIVRON (iss)14:50</v>
      </c>
      <c r="W83" s="820" t="str">
        <f ca="1">P83&amp;TEXT(A83,"hh:mm")</f>
        <v>Jean-Marie AMBERNY (iss)14:50</v>
      </c>
      <c r="X83" s="362">
        <f t="shared" ca="1" si="199"/>
        <v>1</v>
      </c>
      <c r="Y83" s="362">
        <f t="shared" ca="1" si="200"/>
        <v>1</v>
      </c>
      <c r="Z83" s="821" t="b">
        <f t="shared" si="201"/>
        <v>0</v>
      </c>
      <c r="AA83" s="1317"/>
      <c r="AB83" s="1327"/>
      <c r="AD83" s="1395" t="str">
        <f ca="1">AA83&amp;A83</f>
        <v>0,618055555555556</v>
      </c>
      <c r="AE83" s="1395" t="str">
        <f>D1_Last8!D1</f>
        <v>D1</v>
      </c>
      <c r="AF83" s="1395" t="s">
        <v>5462</v>
      </c>
      <c r="AG83" s="1395">
        <v>5</v>
      </c>
      <c r="AH83" s="1395" t="str">
        <f ca="1">IF(OR(M83&gt;O83,R83&gt;T83),L83,IF(OR(M83&lt;O83,R83&lt;T83),P83,""))</f>
        <v/>
      </c>
      <c r="AI83" s="1395" t="str">
        <f ca="1">IF(AND(M83&lt;&gt;"",M83=O83,R83=T83),L83,"")</f>
        <v/>
      </c>
      <c r="AJ83" s="1395" t="str">
        <f ca="1">IF(AND(M83&lt;&gt;"",M83=O83,R83=T83),P83,"")</f>
        <v/>
      </c>
      <c r="AK83" s="1395" t="str">
        <f ca="1">IF(OR(M83&lt;O83,R83&lt;T83),L83,IF(OR(M83&gt;O83,R83&gt;T83),P83,""))</f>
        <v/>
      </c>
      <c r="AL83" s="2220" t="str">
        <f t="shared" si="202"/>
        <v/>
      </c>
      <c r="AM83" s="2220" t="str">
        <f t="shared" si="203"/>
        <v/>
      </c>
      <c r="AN83" s="2220" t="str">
        <f t="shared" si="204"/>
        <v/>
      </c>
      <c r="AO83" s="2220" t="str">
        <f t="shared" si="205"/>
        <v/>
      </c>
      <c r="AP83" s="2220" t="str">
        <f t="shared" si="206"/>
        <v/>
      </c>
    </row>
    <row r="84" spans="1:42" ht="13.5" outlineLevel="1" thickBot="1" x14ac:dyDescent="0.25">
      <c r="A84" s="814">
        <f ca="1">OFFSET(A84,-1,0)</f>
        <v>0.61805555555555602</v>
      </c>
      <c r="B84" s="815"/>
      <c r="C84" s="2226" t="str">
        <f>"D1_Last8 - " &amp; N_Group &amp; " 1" &amp; " - " &amp; N_Round &amp; " 5"</f>
        <v>D1_Last8 - Poule 1 - Tr 5</v>
      </c>
      <c r="D84" s="872"/>
      <c r="E84" s="327"/>
      <c r="F84" s="815"/>
      <c r="G84" s="817" t="s">
        <v>1715</v>
      </c>
      <c r="H84" s="817" t="str">
        <f>IF(K84="","",SUBSTITUTE(MID(K84,1,SEARCH("!",K84,1)-1),"'",""))</f>
        <v>D1_Last8</v>
      </c>
      <c r="I84" s="817">
        <f ca="1">IF(K84="","",CELL("row",INDIRECT(K84)))</f>
        <v>24</v>
      </c>
      <c r="J84" s="817">
        <f ca="1">IF(K84="","",CELL("col",INDIRECT(K84)))</f>
        <v>22</v>
      </c>
      <c r="K84" s="817" t="str">
        <f>MID(Lire_Formule(L84),2,10000)</f>
        <v>D1_Last8!V24</v>
      </c>
      <c r="L84" s="818" t="str">
        <f>D1_Last8!V24</f>
        <v>Audrey HERBAUT (chp)</v>
      </c>
      <c r="M84" s="10" t="str" cm="1">
        <f t="array" aca="1" ref="M84" ca="1">IF(AND(ISNA(MATCH(L84&amp;P84,D1_Tr1!$V:$V&amp;D1_Tr1!$Z:$Z,0)),ISNA(MATCH(P84&amp;L84,D1_Tr1!$V:$V&amp;D1_Tr1!$Z:$Z,0))),"",IFERROR(INDEX(D1_Tr1!$W:$W,MATCH($L84&amp;$P84,D1_Tr1!$V:$V&amp;D1_Tr1!$Z:$Z,0)),0)+IFERROR(INDEX(D1_Tr1!$Y:$Y,MATCH($P84&amp;$L84,D1_Tr1!$V:$V&amp;D1_Tr1!$Z:$Z,0)),0))</f>
        <v/>
      </c>
      <c r="N84" s="394" t="s">
        <v>769</v>
      </c>
      <c r="O84" s="10" t="str" cm="1">
        <f t="array" aca="1" ref="O84" ca="1">IF(AND(ISNA(MATCH(L84&amp;P84,D1_Tr1!$V:$V&amp;D1_Tr1!$Z:$Z,0)),ISNA(MATCH(P84&amp;L84,D1_Tr1!$V:$V&amp;D1_Tr1!$Z:$Z,0))),"",IFERROR(INDEX(D1_Tr1!$Y:$Y,MATCH($L84&amp;$P84,D1_Tr1!$V:$V&amp;D1_Tr1!$Z:$Z,0)),0)+IFERROR(INDEX(D1_Tr1!$W:$W,MATCH($P84&amp;$L84,D1_Tr1!$V:$V&amp;D1_Tr1!$Z:$Z,0)),0))</f>
        <v/>
      </c>
      <c r="P84" s="818" t="str">
        <f ca="1">IF(K84="","",IF(G84="IT",INDIRECT(ADDRESS(I84+2,J84,4,TRUE,H84)),INDIRECT(ADDRESS(I84,J84+4,4,TRUE,H84))))</f>
        <v>Cédric PANDOLFI (sym)</v>
      </c>
      <c r="Q84" s="819"/>
      <c r="R84" s="397"/>
      <c r="S84" s="397"/>
      <c r="T84" s="397"/>
      <c r="U84" s="397"/>
      <c r="V84" s="820" t="str">
        <f ca="1">L84&amp;TEXT(A84,"hh:mm")</f>
        <v>Audrey HERBAUT (chp)14:50</v>
      </c>
      <c r="W84" s="820" t="str">
        <f ca="1">P84&amp;TEXT(A84,"hh:mm")</f>
        <v>Cédric PANDOLFI (sym)14:50</v>
      </c>
      <c r="X84" s="362">
        <f t="shared" ca="1" si="199"/>
        <v>1</v>
      </c>
      <c r="Y84" s="362">
        <f t="shared" ca="1" si="200"/>
        <v>1</v>
      </c>
      <c r="Z84" s="821" t="b">
        <f t="shared" si="201"/>
        <v>0</v>
      </c>
      <c r="AA84" s="1317"/>
      <c r="AB84" s="1327"/>
      <c r="AD84" s="1395" t="str">
        <f ca="1">AA84&amp;A84</f>
        <v>0,618055555555556</v>
      </c>
      <c r="AE84" s="1395" t="str">
        <f>D1_Last8!D1</f>
        <v>D1</v>
      </c>
      <c r="AF84" s="1395" t="s">
        <v>5462</v>
      </c>
      <c r="AG84" s="1395">
        <v>5</v>
      </c>
      <c r="AH84" s="1395" t="str">
        <f ca="1">IF(OR(M84&gt;O84,R84&gt;T84),L84,IF(OR(M84&lt;O84,R84&lt;T84),P84,""))</f>
        <v/>
      </c>
      <c r="AI84" s="1395" t="str">
        <f ca="1">IF(AND(M84&lt;&gt;"",M84=O84,R84=T84),L84,"")</f>
        <v/>
      </c>
      <c r="AJ84" s="1395" t="str">
        <f ca="1">IF(AND(M84&lt;&gt;"",M84=O84,R84=T84),P84,"")</f>
        <v/>
      </c>
      <c r="AK84" s="1395" t="str">
        <f ca="1">IF(OR(M84&lt;O84,R84&lt;T84),L84,IF(OR(M84&gt;O84,R84&gt;T84),P84,""))</f>
        <v/>
      </c>
      <c r="AL84" s="2220" t="str">
        <f t="shared" si="202"/>
        <v/>
      </c>
      <c r="AM84" s="2220" t="str">
        <f t="shared" si="203"/>
        <v/>
      </c>
      <c r="AN84" s="2220" t="str">
        <f t="shared" si="204"/>
        <v/>
      </c>
      <c r="AO84" s="2220" t="str">
        <f t="shared" si="205"/>
        <v/>
      </c>
      <c r="AP84" s="2220" t="str">
        <f t="shared" si="206"/>
        <v/>
      </c>
    </row>
    <row r="85" spans="1:42" ht="15" x14ac:dyDescent="0.2">
      <c r="A85" s="789">
        <f>A76+P76</f>
        <v>0.64583333333333381</v>
      </c>
      <c r="B85" s="790"/>
      <c r="C85" s="791" t="str">
        <f t="shared" si="197"/>
        <v xml:space="preserve">Session N° </v>
      </c>
      <c r="D85" s="792"/>
      <c r="E85" s="793">
        <f>E76+ 1</f>
        <v>10</v>
      </c>
      <c r="F85" s="794"/>
      <c r="G85" s="795" t="str">
        <f>"S" &amp; RIGHT(G76, LEN(G76)-1) + 1</f>
        <v>S10</v>
      </c>
      <c r="H85" s="794"/>
      <c r="I85" s="794"/>
      <c r="J85" s="794"/>
      <c r="K85" s="794"/>
      <c r="L85" s="791" t="str">
        <f t="shared" si="198"/>
        <v>Durée</v>
      </c>
      <c r="M85" s="796"/>
      <c r="N85" s="797" t="s">
        <v>1714</v>
      </c>
      <c r="O85" s="796"/>
      <c r="P85" s="798">
        <v>2.7777777777777776E-2</v>
      </c>
      <c r="Q85" s="799"/>
      <c r="R85" s="800"/>
      <c r="S85" s="796"/>
      <c r="T85" s="800"/>
      <c r="U85" s="796"/>
      <c r="V85" s="796"/>
      <c r="W85" s="796"/>
      <c r="X85" s="796"/>
      <c r="Y85" s="796"/>
      <c r="Z85" s="796"/>
      <c r="AA85" s="799"/>
      <c r="AB85" s="801"/>
      <c r="AC85" s="1394"/>
      <c r="AD85" s="1394"/>
      <c r="AE85" s="1394"/>
      <c r="AF85" s="1394"/>
      <c r="AG85" s="1394"/>
      <c r="AH85" s="1394"/>
      <c r="AI85" s="1394"/>
      <c r="AJ85" s="1394"/>
      <c r="AK85" s="1394"/>
      <c r="AL85" s="2219"/>
      <c r="AM85" s="2219"/>
      <c r="AN85" s="2219"/>
      <c r="AO85" s="2219"/>
      <c r="AP85" s="2219"/>
    </row>
    <row r="86" spans="1:42" outlineLevel="1" x14ac:dyDescent="0.2">
      <c r="A86" s="814">
        <f ca="1">OFFSET(A86,-1,0)</f>
        <v>0.64583333333333381</v>
      </c>
      <c r="B86" s="815"/>
      <c r="C86" s="2226" t="str">
        <f>"D1_Top8 - " &amp; N_Group &amp; " 1" &amp; " - " &amp; N_Round &amp; " 6"</f>
        <v>D1_Top8 - Poule 1 - Tr 6</v>
      </c>
      <c r="D86" s="872"/>
      <c r="E86" s="327"/>
      <c r="F86" s="815"/>
      <c r="G86" s="817" t="s">
        <v>1715</v>
      </c>
      <c r="H86" s="817" t="str">
        <f>IF(K86="","",SUBSTITUTE(MID(K86,1,SEARCH("!",K86,1)-1),"'",""))</f>
        <v>D1_Top8</v>
      </c>
      <c r="I86" s="817">
        <f ca="1">IF(K86="","",CELL("row",INDIRECT(K86)))</f>
        <v>27</v>
      </c>
      <c r="J86" s="817">
        <f ca="1">IF(K86="","",CELL("col",INDIRECT(K86)))</f>
        <v>22</v>
      </c>
      <c r="K86" s="817" t="str">
        <f>MID(Lire_Formule(L86),2,10000)</f>
        <v>D1_Top8!V27</v>
      </c>
      <c r="L86" s="818" t="str">
        <f>D1_Top8!V27</f>
        <v>Eric NASZALYI (iss)</v>
      </c>
      <c r="M86" s="10" t="str" cm="1">
        <f t="array" aca="1" ref="M86" ca="1">IF(AND(ISNA(MATCH(L86&amp;P86,D1_Tr1!$V:$V&amp;D1_Tr1!$Z:$Z,0)),ISNA(MATCH(P86&amp;L86,D1_Tr1!$V:$V&amp;D1_Tr1!$Z:$Z,0))),"",IFERROR(INDEX(D1_Tr1!$W:$W,MATCH($L86&amp;$P86,D1_Tr1!$V:$V&amp;D1_Tr1!$Z:$Z,0)),0)+IFERROR(INDEX(D1_Tr1!$Y:$Y,MATCH($P86&amp;$L86,D1_Tr1!$V:$V&amp;D1_Tr1!$Z:$Z,0)),0))</f>
        <v/>
      </c>
      <c r="N86" s="394" t="s">
        <v>769</v>
      </c>
      <c r="O86" s="10" t="str" cm="1">
        <f t="array" aca="1" ref="O86" ca="1">IF(AND(ISNA(MATCH(L86&amp;P86,D1_Tr1!$V:$V&amp;D1_Tr1!$Z:$Z,0)),ISNA(MATCH(P86&amp;L86,D1_Tr1!$V:$V&amp;D1_Tr1!$Z:$Z,0))),"",IFERROR(INDEX(D1_Tr1!$Y:$Y,MATCH($L86&amp;$P86,D1_Tr1!$V:$V&amp;D1_Tr1!$Z:$Z,0)),0)+IFERROR(INDEX(D1_Tr1!$W:$W,MATCH($P86&amp;$L86,D1_Tr1!$V:$V&amp;D1_Tr1!$Z:$Z,0)),0))</f>
        <v/>
      </c>
      <c r="P86" s="818" t="str">
        <f ca="1">IF(K86="","",IF(G86="IT",INDIRECT(ADDRESS(I86+2,J86,4,TRUE,H86)),INDIRECT(ADDRESS(I86,J86+4,4,TRUE,H86))))</f>
        <v>Emmanuel GORGETTE (iss)</v>
      </c>
      <c r="Q86" s="819"/>
      <c r="R86" s="397"/>
      <c r="S86" s="397"/>
      <c r="T86" s="397"/>
      <c r="U86" s="397"/>
      <c r="V86" s="820" t="str">
        <f ca="1">L86&amp;TEXT(A86,"hh:mm")</f>
        <v>Eric NASZALYI (iss)15:30</v>
      </c>
      <c r="W86" s="820" t="str">
        <f ca="1">P86&amp;TEXT(A86,"hh:mm")</f>
        <v>Emmanuel GORGETTE (iss)15:30</v>
      </c>
      <c r="X86" s="362">
        <f t="shared" ref="X86:X93" ca="1" si="220">IF(L86="",0,COUNTIF(PlayersAndHoursCol1,L86&amp;TEXT($A86,"hh:mm"))+COUNTIF(PlayersAndHoursCol2,L86&amp;TEXT($A86,"hh:mm")))</f>
        <v>1</v>
      </c>
      <c r="Y86" s="362">
        <f t="shared" ref="Y86:Y93" ca="1" si="221">IF(P86="",0,COUNTIF(PlayersAndHoursCol1,P86&amp;TEXT($A86,"hh:mm"))+COUNTIF(PlayersAndHoursCol2,P86&amp;TEXT($A86,"hh:mm")))</f>
        <v>1</v>
      </c>
      <c r="Z86" s="821" t="b">
        <f t="shared" ref="Z86:Z93" si="222">IF(AA86="",FALSE,NOT(AND(ISNA(MATCH(AA86&amp;TEXT($A86,"hh:mm"),PlayersAndHoursCol1,0)),ISNA(MATCH(AA86&amp;TEXT($A86,"hh:mm"),PlayersAndHoursCol2,0)),COUNTIF(AD:AD,AA86&amp;$A86)&lt;=1)))</f>
        <v>0</v>
      </c>
      <c r="AA86" s="1317"/>
      <c r="AB86" s="1327"/>
      <c r="AD86" s="1395" t="str">
        <f ca="1">AA86&amp;A86</f>
        <v>0,645833333333334</v>
      </c>
      <c r="AE86" s="1395" t="str">
        <f>D1_Top8!D1</f>
        <v>D1</v>
      </c>
      <c r="AF86" s="1395" t="s">
        <v>5462</v>
      </c>
      <c r="AG86" s="1395">
        <v>6</v>
      </c>
      <c r="AH86" s="1395" t="str">
        <f ca="1">IF(OR(M86&gt;O86,R86&gt;T86),L86,IF(OR(M86&lt;O86,R86&lt;T86),P86,""))</f>
        <v/>
      </c>
      <c r="AI86" s="1395" t="str">
        <f ca="1">IF(AND(M86&lt;&gt;"",M86=O86,R86=T86),L86,"")</f>
        <v/>
      </c>
      <c r="AJ86" s="1395" t="str">
        <f ca="1">IF(AND(M86&lt;&gt;"",M86=O86,R86=T86),P86,"")</f>
        <v/>
      </c>
      <c r="AK86" s="1395" t="str">
        <f ca="1">IF(OR(M86&lt;O86,R86&lt;T86),L86,IF(OR(M86&gt;O86,R86&gt;T86),P86,""))</f>
        <v/>
      </c>
      <c r="AL86" s="2220" t="str">
        <f t="shared" ref="AL86:AL93" si="223">IF(OR($AB86="",$AB86="V"),"",IF(MOD($AB86,10)=1,"XXX",""))</f>
        <v/>
      </c>
      <c r="AM86" s="2220" t="str">
        <f t="shared" ref="AM86:AM93" si="224">IF(OR($AB86="",$AB86="V"),"",IF(MOD($AB86,100)&gt;=10,"XXX",""))</f>
        <v/>
      </c>
      <c r="AN86" s="2220" t="str">
        <f t="shared" ref="AN86:AN93" si="225">IF(OR($AB86="",$AB86="V"),"",IF(MOD($AB86,1000)&gt;=100,"XXX",""))</f>
        <v/>
      </c>
      <c r="AO86" s="2220" t="str">
        <f t="shared" ref="AO86:AO93" si="226">IF(OR($AB86="",$AB86="V"),"",IF(MOD($AB86,10000)&gt;=1000,"XXX",""))</f>
        <v/>
      </c>
      <c r="AP86" s="2220" t="str">
        <f t="shared" ref="AP86:AP93" si="227">IF(OR($AB86="",$AB86="V"),"",IF(MOD($AB86,100000)&gt;=10000,"XXX",""))</f>
        <v/>
      </c>
    </row>
    <row r="87" spans="1:42" outlineLevel="1" x14ac:dyDescent="0.2">
      <c r="A87" s="814">
        <f ca="1">OFFSET(A87,-1,0)</f>
        <v>0.64583333333333381</v>
      </c>
      <c r="B87" s="815"/>
      <c r="C87" s="2226" t="str">
        <f>"D1_Top8 - " &amp; N_Group &amp; " 1" &amp; " - " &amp; N_Round &amp; " 6"</f>
        <v>D1_Top8 - Poule 1 - Tr 6</v>
      </c>
      <c r="D87" s="872"/>
      <c r="E87" s="327"/>
      <c r="F87" s="815"/>
      <c r="G87" s="817" t="s">
        <v>1715</v>
      </c>
      <c r="H87" s="817" t="str">
        <f>IF(K87="","",SUBSTITUTE(MID(K87,1,SEARCH("!",K87,1)-1),"'",""))</f>
        <v>D1_Top8</v>
      </c>
      <c r="I87" s="817">
        <f ca="1">IF(K87="","",CELL("row",INDIRECT(K87)))</f>
        <v>28</v>
      </c>
      <c r="J87" s="817">
        <f ca="1">IF(K87="","",CELL("col",INDIRECT(K87)))</f>
        <v>22</v>
      </c>
      <c r="K87" s="817" t="str">
        <f>MID(Lire_Formule(L87),2,10000)</f>
        <v>D1_Top8!V28</v>
      </c>
      <c r="L87" s="818" t="str">
        <f>D1_Top8!V28</f>
        <v>Théo MODESTE (iss)</v>
      </c>
      <c r="M87" s="10" t="str" cm="1">
        <f t="array" aca="1" ref="M87" ca="1">IF(AND(ISNA(MATCH(L87&amp;P87,D1_Tr1!$V:$V&amp;D1_Tr1!$Z:$Z,0)),ISNA(MATCH(P87&amp;L87,D1_Tr1!$V:$V&amp;D1_Tr1!$Z:$Z,0))),"",IFERROR(INDEX(D1_Tr1!$W:$W,MATCH($L87&amp;$P87,D1_Tr1!$V:$V&amp;D1_Tr1!$Z:$Z,0)),0)+IFERROR(INDEX(D1_Tr1!$Y:$Y,MATCH($P87&amp;$L87,D1_Tr1!$V:$V&amp;D1_Tr1!$Z:$Z,0)),0))</f>
        <v/>
      </c>
      <c r="N87" s="394" t="s">
        <v>769</v>
      </c>
      <c r="O87" s="10" t="str" cm="1">
        <f t="array" aca="1" ref="O87" ca="1">IF(AND(ISNA(MATCH(L87&amp;P87,D1_Tr1!$V:$V&amp;D1_Tr1!$Z:$Z,0)),ISNA(MATCH(P87&amp;L87,D1_Tr1!$V:$V&amp;D1_Tr1!$Z:$Z,0))),"",IFERROR(INDEX(D1_Tr1!$Y:$Y,MATCH($L87&amp;$P87,D1_Tr1!$V:$V&amp;D1_Tr1!$Z:$Z,0)),0)+IFERROR(INDEX(D1_Tr1!$W:$W,MATCH($P87&amp;$L87,D1_Tr1!$V:$V&amp;D1_Tr1!$Z:$Z,0)),0))</f>
        <v/>
      </c>
      <c r="P87" s="818" t="str">
        <f ca="1">IF(K87="","",IF(G87="IT",INDIRECT(ADDRESS(I87+2,J87,4,TRUE,H87)),INDIRECT(ADDRESS(I87,J87+4,4,TRUE,H87))))</f>
        <v>Stéphane POMMIER (cae)</v>
      </c>
      <c r="Q87" s="819"/>
      <c r="R87" s="397"/>
      <c r="S87" s="397"/>
      <c r="T87" s="397"/>
      <c r="U87" s="397"/>
      <c r="V87" s="820" t="str">
        <f ca="1">L87&amp;TEXT(A87,"hh:mm")</f>
        <v>Théo MODESTE (iss)15:30</v>
      </c>
      <c r="W87" s="820" t="str">
        <f ca="1">P87&amp;TEXT(A87,"hh:mm")</f>
        <v>Stéphane POMMIER (cae)15:30</v>
      </c>
      <c r="X87" s="362">
        <f t="shared" ca="1" si="220"/>
        <v>1</v>
      </c>
      <c r="Y87" s="362">
        <f t="shared" ca="1" si="221"/>
        <v>1</v>
      </c>
      <c r="Z87" s="821" t="b">
        <f t="shared" si="222"/>
        <v>0</v>
      </c>
      <c r="AA87" s="1317"/>
      <c r="AB87" s="1327"/>
      <c r="AD87" s="1395" t="str">
        <f ca="1">AA87&amp;A87</f>
        <v>0,645833333333334</v>
      </c>
      <c r="AE87" s="1395" t="str">
        <f>D1_Top8!D1</f>
        <v>D1</v>
      </c>
      <c r="AF87" s="1395" t="s">
        <v>5462</v>
      </c>
      <c r="AG87" s="1395">
        <v>6</v>
      </c>
      <c r="AH87" s="1395" t="str">
        <f ca="1">IF(OR(M87&gt;O87,R87&gt;T87),L87,IF(OR(M87&lt;O87,R87&lt;T87),P87,""))</f>
        <v/>
      </c>
      <c r="AI87" s="1395" t="str">
        <f ca="1">IF(AND(M87&lt;&gt;"",M87=O87,R87=T87),L87,"")</f>
        <v/>
      </c>
      <c r="AJ87" s="1395" t="str">
        <f ca="1">IF(AND(M87&lt;&gt;"",M87=O87,R87=T87),P87,"")</f>
        <v/>
      </c>
      <c r="AK87" s="1395" t="str">
        <f ca="1">IF(OR(M87&lt;O87,R87&lt;T87),L87,IF(OR(M87&gt;O87,R87&gt;T87),P87,""))</f>
        <v/>
      </c>
      <c r="AL87" s="2220" t="str">
        <f t="shared" si="223"/>
        <v/>
      </c>
      <c r="AM87" s="2220" t="str">
        <f t="shared" si="224"/>
        <v/>
      </c>
      <c r="AN87" s="2220" t="str">
        <f t="shared" si="225"/>
        <v/>
      </c>
      <c r="AO87" s="2220" t="str">
        <f t="shared" si="226"/>
        <v/>
      </c>
      <c r="AP87" s="2220" t="str">
        <f t="shared" si="227"/>
        <v/>
      </c>
    </row>
    <row r="88" spans="1:42" outlineLevel="1" x14ac:dyDescent="0.2">
      <c r="A88" s="814">
        <f ca="1">OFFSET(A88,-1,0)</f>
        <v>0.64583333333333381</v>
      </c>
      <c r="B88" s="815"/>
      <c r="C88" s="2226" t="str">
        <f>"D1_Top8 - " &amp; N_Group &amp; " 1" &amp; " - " &amp; N_Round &amp; " 6"</f>
        <v>D1_Top8 - Poule 1 - Tr 6</v>
      </c>
      <c r="D88" s="872"/>
      <c r="E88" s="327"/>
      <c r="F88" s="815"/>
      <c r="G88" s="817" t="s">
        <v>1715</v>
      </c>
      <c r="H88" s="817" t="str">
        <f>IF(K88="","",SUBSTITUTE(MID(K88,1,SEARCH("!",K88,1)-1),"'",""))</f>
        <v>D1_Top8</v>
      </c>
      <c r="I88" s="817">
        <f ca="1">IF(K88="","",CELL("row",INDIRECT(K88)))</f>
        <v>29</v>
      </c>
      <c r="J88" s="817">
        <f ca="1">IF(K88="","",CELL("col",INDIRECT(K88)))</f>
        <v>22</v>
      </c>
      <c r="K88" s="817" t="str">
        <f>MID(Lire_Formule(L88),2,10000)</f>
        <v>D1_Top8!V29</v>
      </c>
      <c r="L88" s="818" t="str">
        <f>D1_Top8!V29</f>
        <v>Mickaël BLANC (sym)</v>
      </c>
      <c r="M88" s="10" t="str" cm="1">
        <f t="array" aca="1" ref="M88" ca="1">IF(AND(ISNA(MATCH(L88&amp;P88,D1_Tr1!$V:$V&amp;D1_Tr1!$Z:$Z,0)),ISNA(MATCH(P88&amp;L88,D1_Tr1!$V:$V&amp;D1_Tr1!$Z:$Z,0))),"",IFERROR(INDEX(D1_Tr1!$W:$W,MATCH($L88&amp;$P88,D1_Tr1!$V:$V&amp;D1_Tr1!$Z:$Z,0)),0)+IFERROR(INDEX(D1_Tr1!$Y:$Y,MATCH($P88&amp;$L88,D1_Tr1!$V:$V&amp;D1_Tr1!$Z:$Z,0)),0))</f>
        <v/>
      </c>
      <c r="N88" s="394" t="s">
        <v>769</v>
      </c>
      <c r="O88" s="10" t="str" cm="1">
        <f t="array" aca="1" ref="O88" ca="1">IF(AND(ISNA(MATCH(L88&amp;P88,D1_Tr1!$V:$V&amp;D1_Tr1!$Z:$Z,0)),ISNA(MATCH(P88&amp;L88,D1_Tr1!$V:$V&amp;D1_Tr1!$Z:$Z,0))),"",IFERROR(INDEX(D1_Tr1!$Y:$Y,MATCH($L88&amp;$P88,D1_Tr1!$V:$V&amp;D1_Tr1!$Z:$Z,0)),0)+IFERROR(INDEX(D1_Tr1!$W:$W,MATCH($P88&amp;$L88,D1_Tr1!$V:$V&amp;D1_Tr1!$Z:$Z,0)),0))</f>
        <v/>
      </c>
      <c r="P88" s="818" t="str">
        <f ca="1">IF(K88="","",IF(G88="IT",INDIRECT(ADDRESS(I88+2,J88,4,TRUE,H88)),INDIRECT(ADDRESS(I88,J88+4,4,TRUE,H88))))</f>
        <v>Raphaël POMMIER (cae)</v>
      </c>
      <c r="Q88" s="819"/>
      <c r="R88" s="397"/>
      <c r="S88" s="397"/>
      <c r="T88" s="397"/>
      <c r="U88" s="397"/>
      <c r="V88" s="820" t="str">
        <f ca="1">L88&amp;TEXT(A88,"hh:mm")</f>
        <v>Mickaël BLANC (sym)15:30</v>
      </c>
      <c r="W88" s="820" t="str">
        <f ca="1">P88&amp;TEXT(A88,"hh:mm")</f>
        <v>Raphaël POMMIER (cae)15:30</v>
      </c>
      <c r="X88" s="362">
        <f t="shared" ca="1" si="220"/>
        <v>1</v>
      </c>
      <c r="Y88" s="362">
        <f t="shared" ca="1" si="221"/>
        <v>1</v>
      </c>
      <c r="Z88" s="821" t="b">
        <f t="shared" si="222"/>
        <v>0</v>
      </c>
      <c r="AA88" s="1317"/>
      <c r="AB88" s="1327"/>
      <c r="AD88" s="1395" t="str">
        <f ca="1">AA88&amp;A88</f>
        <v>0,645833333333334</v>
      </c>
      <c r="AE88" s="1395" t="str">
        <f>D1_Top8!D1</f>
        <v>D1</v>
      </c>
      <c r="AF88" s="1395" t="s">
        <v>5462</v>
      </c>
      <c r="AG88" s="1395">
        <v>6</v>
      </c>
      <c r="AH88" s="1395" t="str">
        <f ca="1">IF(OR(M88&gt;O88,R88&gt;T88),L88,IF(OR(M88&lt;O88,R88&lt;T88),P88,""))</f>
        <v/>
      </c>
      <c r="AI88" s="1395" t="str">
        <f ca="1">IF(AND(M88&lt;&gt;"",M88=O88,R88=T88),L88,"")</f>
        <v/>
      </c>
      <c r="AJ88" s="1395" t="str">
        <f ca="1">IF(AND(M88&lt;&gt;"",M88=O88,R88=T88),P88,"")</f>
        <v/>
      </c>
      <c r="AK88" s="1395" t="str">
        <f ca="1">IF(OR(M88&lt;O88,R88&lt;T88),L88,IF(OR(M88&gt;O88,R88&gt;T88),P88,""))</f>
        <v/>
      </c>
      <c r="AL88" s="2220" t="str">
        <f t="shared" si="223"/>
        <v/>
      </c>
      <c r="AM88" s="2220" t="str">
        <f t="shared" si="224"/>
        <v/>
      </c>
      <c r="AN88" s="2220" t="str">
        <f t="shared" si="225"/>
        <v/>
      </c>
      <c r="AO88" s="2220" t="str">
        <f t="shared" si="226"/>
        <v/>
      </c>
      <c r="AP88" s="2220" t="str">
        <f t="shared" si="227"/>
        <v/>
      </c>
    </row>
    <row r="89" spans="1:42" outlineLevel="1" x14ac:dyDescent="0.2">
      <c r="A89" s="814">
        <f ca="1">OFFSET(A89,-1,0)</f>
        <v>0.64583333333333381</v>
      </c>
      <c r="B89" s="815"/>
      <c r="C89" s="2226" t="str">
        <f>"D1_Top8 - " &amp; N_Group &amp; " 1" &amp; " - " &amp; N_Round &amp; " 6"</f>
        <v>D1_Top8 - Poule 1 - Tr 6</v>
      </c>
      <c r="D89" s="872"/>
      <c r="E89" s="327"/>
      <c r="F89" s="815"/>
      <c r="G89" s="817" t="s">
        <v>1715</v>
      </c>
      <c r="H89" s="817" t="str">
        <f>IF(K89="","",SUBSTITUTE(MID(K89,1,SEARCH("!",K89,1)-1),"'",""))</f>
        <v>D1_Top8</v>
      </c>
      <c r="I89" s="817">
        <f ca="1">IF(K89="","",CELL("row",INDIRECT(K89)))</f>
        <v>30</v>
      </c>
      <c r="J89" s="817">
        <f ca="1">IF(K89="","",CELL("col",INDIRECT(K89)))</f>
        <v>22</v>
      </c>
      <c r="K89" s="817" t="str">
        <f>MID(Lire_Formule(L89),2,10000)</f>
        <v>D1_Top8!V30</v>
      </c>
      <c r="L89" s="818" t="str">
        <f>D1_Top8!V30</f>
        <v>David LEROY (puy)</v>
      </c>
      <c r="M89" s="10" t="str" cm="1">
        <f t="array" aca="1" ref="M89" ca="1">IF(AND(ISNA(MATCH(L89&amp;P89,D1_Tr1!$V:$V&amp;D1_Tr1!$Z:$Z,0)),ISNA(MATCH(P89&amp;L89,D1_Tr1!$V:$V&amp;D1_Tr1!$Z:$Z,0))),"",IFERROR(INDEX(D1_Tr1!$W:$W,MATCH($L89&amp;$P89,D1_Tr1!$V:$V&amp;D1_Tr1!$Z:$Z,0)),0)+IFERROR(INDEX(D1_Tr1!$Y:$Y,MATCH($P89&amp;$L89,D1_Tr1!$V:$V&amp;D1_Tr1!$Z:$Z,0)),0))</f>
        <v/>
      </c>
      <c r="N89" s="394" t="s">
        <v>769</v>
      </c>
      <c r="O89" s="10" t="str" cm="1">
        <f t="array" aca="1" ref="O89" ca="1">IF(AND(ISNA(MATCH(L89&amp;P89,D1_Tr1!$V:$V&amp;D1_Tr1!$Z:$Z,0)),ISNA(MATCH(P89&amp;L89,D1_Tr1!$V:$V&amp;D1_Tr1!$Z:$Z,0))),"",IFERROR(INDEX(D1_Tr1!$Y:$Y,MATCH($L89&amp;$P89,D1_Tr1!$V:$V&amp;D1_Tr1!$Z:$Z,0)),0)+IFERROR(INDEX(D1_Tr1!$W:$W,MATCH($P89&amp;$L89,D1_Tr1!$V:$V&amp;D1_Tr1!$Z:$Z,0)),0))</f>
        <v/>
      </c>
      <c r="P89" s="818" t="str">
        <f ca="1">IF(K89="","",IF(G89="IT",INDIRECT(ADDRESS(I89+2,J89,4,TRUE,H89)),INDIRECT(ADDRESS(I89,J89+4,4,TRUE,H89))))</f>
        <v>Quentin AUSSET (chp)</v>
      </c>
      <c r="Q89" s="819"/>
      <c r="R89" s="397"/>
      <c r="S89" s="397"/>
      <c r="T89" s="397"/>
      <c r="U89" s="397"/>
      <c r="V89" s="820" t="str">
        <f ca="1">L89&amp;TEXT(A89,"hh:mm")</f>
        <v>David LEROY (puy)15:30</v>
      </c>
      <c r="W89" s="820" t="str">
        <f ca="1">P89&amp;TEXT(A89,"hh:mm")</f>
        <v>Quentin AUSSET (chp)15:30</v>
      </c>
      <c r="X89" s="362">
        <f t="shared" ca="1" si="220"/>
        <v>1</v>
      </c>
      <c r="Y89" s="362">
        <f t="shared" ca="1" si="221"/>
        <v>1</v>
      </c>
      <c r="Z89" s="821" t="b">
        <f t="shared" si="222"/>
        <v>0</v>
      </c>
      <c r="AA89" s="1317"/>
      <c r="AB89" s="1327"/>
      <c r="AD89" s="1395" t="str">
        <f ca="1">AA89&amp;A89</f>
        <v>0,645833333333334</v>
      </c>
      <c r="AE89" s="1395" t="str">
        <f>D1_Top8!D1</f>
        <v>D1</v>
      </c>
      <c r="AF89" s="1395" t="s">
        <v>5462</v>
      </c>
      <c r="AG89" s="1395">
        <v>6</v>
      </c>
      <c r="AH89" s="1395" t="str">
        <f ca="1">IF(OR(M89&gt;O89,R89&gt;T89),L89,IF(OR(M89&lt;O89,R89&lt;T89),P89,""))</f>
        <v/>
      </c>
      <c r="AI89" s="1395" t="str">
        <f ca="1">IF(AND(M89&lt;&gt;"",M89=O89,R89=T89),L89,"")</f>
        <v/>
      </c>
      <c r="AJ89" s="1395" t="str">
        <f ca="1">IF(AND(M89&lt;&gt;"",M89=O89,R89=T89),P89,"")</f>
        <v/>
      </c>
      <c r="AK89" s="1395" t="str">
        <f ca="1">IF(OR(M89&lt;O89,R89&lt;T89),L89,IF(OR(M89&gt;O89,R89&gt;T89),P89,""))</f>
        <v/>
      </c>
      <c r="AL89" s="2220" t="str">
        <f t="shared" si="223"/>
        <v/>
      </c>
      <c r="AM89" s="2220" t="str">
        <f t="shared" si="224"/>
        <v/>
      </c>
      <c r="AN89" s="2220" t="str">
        <f t="shared" si="225"/>
        <v/>
      </c>
      <c r="AO89" s="2220" t="str">
        <f t="shared" si="226"/>
        <v/>
      </c>
      <c r="AP89" s="2220" t="str">
        <f t="shared" si="227"/>
        <v/>
      </c>
    </row>
    <row r="90" spans="1:42" outlineLevel="1" x14ac:dyDescent="0.2">
      <c r="A90" s="814">
        <f t="shared" ref="A90:A93" ca="1" si="228">OFFSET(A90,-1,0)</f>
        <v>0.64583333333333381</v>
      </c>
      <c r="B90" s="815"/>
      <c r="C90" s="2226" t="str">
        <f>"D1_Last8 - " &amp; N_Group &amp; " 1" &amp; " - " &amp; N_Round &amp; " 6"</f>
        <v>D1_Last8 - Poule 1 - Tr 6</v>
      </c>
      <c r="D90" s="872"/>
      <c r="E90" s="327"/>
      <c r="F90" s="815"/>
      <c r="G90" s="817" t="s">
        <v>1715</v>
      </c>
      <c r="H90" s="817" t="str">
        <f t="shared" ref="H90:H93" si="229">IF(K90="","",SUBSTITUTE(MID(K90,1,SEARCH("!",K90,1)-1),"'",""))</f>
        <v>D1_Last8</v>
      </c>
      <c r="I90" s="817">
        <f t="shared" ref="I90:I93" ca="1" si="230">IF(K90="","",CELL("row",INDIRECT(K90)))</f>
        <v>27</v>
      </c>
      <c r="J90" s="817">
        <f t="shared" ref="J90:J93" ca="1" si="231">IF(K90="","",CELL("col",INDIRECT(K90)))</f>
        <v>22</v>
      </c>
      <c r="K90" s="817" t="str">
        <f t="shared" ref="K90:K93" si="232">MID(Lire_Formule(L90),2,10000)</f>
        <v>D1_Last8!V27</v>
      </c>
      <c r="L90" s="818" t="str">
        <f>D1_Last8!V27</f>
        <v>Cédric PANDOLFI (sym)</v>
      </c>
      <c r="M90" s="10" t="str" cm="1">
        <f t="array" aca="1" ref="M90" ca="1">IF(AND(ISNA(MATCH(L90&amp;P90,D1_Tr1!$V:$V&amp;D1_Tr1!$Z:$Z,0)),ISNA(MATCH(P90&amp;L90,D1_Tr1!$V:$V&amp;D1_Tr1!$Z:$Z,0))),"",IFERROR(INDEX(D1_Tr1!$W:$W,MATCH($L90&amp;$P90,D1_Tr1!$V:$V&amp;D1_Tr1!$Z:$Z,0)),0)+IFERROR(INDEX(D1_Tr1!$Y:$Y,MATCH($P90&amp;$L90,D1_Tr1!$V:$V&amp;D1_Tr1!$Z:$Z,0)),0))</f>
        <v/>
      </c>
      <c r="N90" s="394" t="s">
        <v>769</v>
      </c>
      <c r="O90" s="10" t="str" cm="1">
        <f t="array" aca="1" ref="O90" ca="1">IF(AND(ISNA(MATCH(L90&amp;P90,D1_Tr1!$V:$V&amp;D1_Tr1!$Z:$Z,0)),ISNA(MATCH(P90&amp;L90,D1_Tr1!$V:$V&amp;D1_Tr1!$Z:$Z,0))),"",IFERROR(INDEX(D1_Tr1!$Y:$Y,MATCH($L90&amp;$P90,D1_Tr1!$V:$V&amp;D1_Tr1!$Z:$Z,0)),0)+IFERROR(INDEX(D1_Tr1!$W:$W,MATCH($P90&amp;$L90,D1_Tr1!$V:$V&amp;D1_Tr1!$Z:$Z,0)),0))</f>
        <v/>
      </c>
      <c r="P90" s="818" t="str">
        <f t="shared" ref="P90:P93" ca="1" si="233">IF(K90="","",IF(G90="IT",INDIRECT(ADDRESS(I90+2,J90,4,TRUE,H90)),INDIRECT(ADDRESS(I90,J90+4,4,TRUE,H90))))</f>
        <v>Jean-Marie AMBERNY (iss)</v>
      </c>
      <c r="Q90" s="819"/>
      <c r="R90" s="397"/>
      <c r="S90" s="397"/>
      <c r="T90" s="397"/>
      <c r="U90" s="397"/>
      <c r="V90" s="820" t="str">
        <f t="shared" ref="V90:V93" ca="1" si="234">L90&amp;TEXT(A90,"hh:mm")</f>
        <v>Cédric PANDOLFI (sym)15:30</v>
      </c>
      <c r="W90" s="820" t="str">
        <f t="shared" ref="W90:W93" ca="1" si="235">P90&amp;TEXT(A90,"hh:mm")</f>
        <v>Jean-Marie AMBERNY (iss)15:30</v>
      </c>
      <c r="X90" s="362">
        <f t="shared" ca="1" si="220"/>
        <v>1</v>
      </c>
      <c r="Y90" s="362">
        <f t="shared" ca="1" si="221"/>
        <v>1</v>
      </c>
      <c r="Z90" s="821" t="b">
        <f t="shared" si="222"/>
        <v>0</v>
      </c>
      <c r="AA90" s="1317"/>
      <c r="AB90" s="1327"/>
      <c r="AD90" s="1395" t="str">
        <f t="shared" ref="AD90:AD93" ca="1" si="236">AA90&amp;A90</f>
        <v>0,645833333333334</v>
      </c>
      <c r="AE90" s="1395" t="str">
        <f>D1_Last8!D1</f>
        <v>D1</v>
      </c>
      <c r="AF90" s="1395" t="s">
        <v>5462</v>
      </c>
      <c r="AG90" s="1395">
        <v>6</v>
      </c>
      <c r="AH90" s="1395" t="str">
        <f t="shared" ref="AH90:AH93" ca="1" si="237">IF(OR(M90&gt;O90,R90&gt;T90),L90,IF(OR(M90&lt;O90,R90&lt;T90),P90,""))</f>
        <v/>
      </c>
      <c r="AI90" s="1395" t="str">
        <f t="shared" ref="AI90:AI93" ca="1" si="238">IF(AND(M90&lt;&gt;"",M90=O90,R90=T90),L90,"")</f>
        <v/>
      </c>
      <c r="AJ90" s="1395" t="str">
        <f t="shared" ref="AJ90:AJ93" ca="1" si="239">IF(AND(M90&lt;&gt;"",M90=O90,R90=T90),P90,"")</f>
        <v/>
      </c>
      <c r="AK90" s="1395" t="str">
        <f t="shared" ref="AK90:AK93" ca="1" si="240">IF(OR(M90&lt;O90,R90&lt;T90),L90,IF(OR(M90&gt;O90,R90&gt;T90),P90,""))</f>
        <v/>
      </c>
      <c r="AL90" s="2220" t="str">
        <f t="shared" si="223"/>
        <v/>
      </c>
      <c r="AM90" s="2220" t="str">
        <f t="shared" si="224"/>
        <v/>
      </c>
      <c r="AN90" s="2220" t="str">
        <f t="shared" si="225"/>
        <v/>
      </c>
      <c r="AO90" s="2220" t="str">
        <f t="shared" si="226"/>
        <v/>
      </c>
      <c r="AP90" s="2220" t="str">
        <f t="shared" si="227"/>
        <v/>
      </c>
    </row>
    <row r="91" spans="1:42" outlineLevel="1" x14ac:dyDescent="0.2">
      <c r="A91" s="814">
        <f t="shared" ca="1" si="228"/>
        <v>0.64583333333333381</v>
      </c>
      <c r="B91" s="815"/>
      <c r="C91" s="2226" t="str">
        <f>"D1_Last8 - " &amp; N_Group &amp; " 1" &amp; " - " &amp; N_Round &amp; " 6"</f>
        <v>D1_Last8 - Poule 1 - Tr 6</v>
      </c>
      <c r="D91" s="872"/>
      <c r="E91" s="327"/>
      <c r="F91" s="815"/>
      <c r="G91" s="817" t="s">
        <v>1715</v>
      </c>
      <c r="H91" s="817" t="str">
        <f t="shared" si="229"/>
        <v>D1_Last8</v>
      </c>
      <c r="I91" s="817">
        <f t="shared" ca="1" si="230"/>
        <v>28</v>
      </c>
      <c r="J91" s="817">
        <f t="shared" ca="1" si="231"/>
        <v>22</v>
      </c>
      <c r="K91" s="817" t="str">
        <f t="shared" si="232"/>
        <v>D1_Last8!V28</v>
      </c>
      <c r="L91" s="818" t="str">
        <f>D1_Last8!V28</f>
        <v>Cyprien BONNET (sym)</v>
      </c>
      <c r="M91" s="10" t="str" cm="1">
        <f t="array" aca="1" ref="M91" ca="1">IF(AND(ISNA(MATCH(L91&amp;P91,D1_Tr1!$V:$V&amp;D1_Tr1!$Z:$Z,0)),ISNA(MATCH(P91&amp;L91,D1_Tr1!$V:$V&amp;D1_Tr1!$Z:$Z,0))),"",IFERROR(INDEX(D1_Tr1!$W:$W,MATCH($L91&amp;$P91,D1_Tr1!$V:$V&amp;D1_Tr1!$Z:$Z,0)),0)+IFERROR(INDEX(D1_Tr1!$Y:$Y,MATCH($P91&amp;$L91,D1_Tr1!$V:$V&amp;D1_Tr1!$Z:$Z,0)),0))</f>
        <v/>
      </c>
      <c r="N91" s="394" t="s">
        <v>769</v>
      </c>
      <c r="O91" s="10" t="str" cm="1">
        <f t="array" aca="1" ref="O91" ca="1">IF(AND(ISNA(MATCH(L91&amp;P91,D1_Tr1!$V:$V&amp;D1_Tr1!$Z:$Z,0)),ISNA(MATCH(P91&amp;L91,D1_Tr1!$V:$V&amp;D1_Tr1!$Z:$Z,0))),"",IFERROR(INDEX(D1_Tr1!$Y:$Y,MATCH($L91&amp;$P91,D1_Tr1!$V:$V&amp;D1_Tr1!$Z:$Z,0)),0)+IFERROR(INDEX(D1_Tr1!$W:$W,MATCH($P91&amp;$L91,D1_Tr1!$V:$V&amp;D1_Tr1!$Z:$Z,0)),0))</f>
        <v/>
      </c>
      <c r="P91" s="818" t="str">
        <f t="shared" ca="1" si="233"/>
        <v>Audrey HERBAUT (chp)</v>
      </c>
      <c r="Q91" s="819"/>
      <c r="R91" s="397"/>
      <c r="S91" s="397"/>
      <c r="T91" s="397"/>
      <c r="U91" s="397"/>
      <c r="V91" s="820" t="str">
        <f t="shared" ca="1" si="234"/>
        <v>Cyprien BONNET (sym)15:30</v>
      </c>
      <c r="W91" s="820" t="str">
        <f t="shared" ca="1" si="235"/>
        <v>Audrey HERBAUT (chp)15:30</v>
      </c>
      <c r="X91" s="362">
        <f t="shared" ca="1" si="220"/>
        <v>1</v>
      </c>
      <c r="Y91" s="362">
        <f t="shared" ca="1" si="221"/>
        <v>1</v>
      </c>
      <c r="Z91" s="821" t="b">
        <f t="shared" si="222"/>
        <v>0</v>
      </c>
      <c r="AA91" s="1317"/>
      <c r="AB91" s="1327"/>
      <c r="AD91" s="1395" t="str">
        <f t="shared" ca="1" si="236"/>
        <v>0,645833333333334</v>
      </c>
      <c r="AE91" s="1395" t="str">
        <f>D1_Last8!D1</f>
        <v>D1</v>
      </c>
      <c r="AF91" s="1395" t="s">
        <v>5462</v>
      </c>
      <c r="AG91" s="1395">
        <v>6</v>
      </c>
      <c r="AH91" s="1395" t="str">
        <f t="shared" ca="1" si="237"/>
        <v/>
      </c>
      <c r="AI91" s="1395" t="str">
        <f t="shared" ca="1" si="238"/>
        <v/>
      </c>
      <c r="AJ91" s="1395" t="str">
        <f t="shared" ca="1" si="239"/>
        <v/>
      </c>
      <c r="AK91" s="1395" t="str">
        <f t="shared" ca="1" si="240"/>
        <v/>
      </c>
      <c r="AL91" s="2220" t="str">
        <f t="shared" si="223"/>
        <v/>
      </c>
      <c r="AM91" s="2220" t="str">
        <f t="shared" si="224"/>
        <v/>
      </c>
      <c r="AN91" s="2220" t="str">
        <f t="shared" si="225"/>
        <v/>
      </c>
      <c r="AO91" s="2220" t="str">
        <f t="shared" si="226"/>
        <v/>
      </c>
      <c r="AP91" s="2220" t="str">
        <f t="shared" si="227"/>
        <v/>
      </c>
    </row>
    <row r="92" spans="1:42" outlineLevel="1" x14ac:dyDescent="0.2">
      <c r="A92" s="814">
        <f t="shared" ca="1" si="228"/>
        <v>0.64583333333333381</v>
      </c>
      <c r="B92" s="815"/>
      <c r="C92" s="2226" t="str">
        <f>"D1_Last8 - " &amp; N_Group &amp; " 1" &amp; " - " &amp; N_Round &amp; " 6"</f>
        <v>D1_Last8 - Poule 1 - Tr 6</v>
      </c>
      <c r="D92" s="872"/>
      <c r="E92" s="327"/>
      <c r="F92" s="815"/>
      <c r="G92" s="817" t="s">
        <v>1715</v>
      </c>
      <c r="H92" s="817" t="str">
        <f t="shared" si="229"/>
        <v>D1_Last8</v>
      </c>
      <c r="I92" s="817">
        <f t="shared" ca="1" si="230"/>
        <v>29</v>
      </c>
      <c r="J92" s="817">
        <f t="shared" ca="1" si="231"/>
        <v>22</v>
      </c>
      <c r="K92" s="817" t="str">
        <f t="shared" si="232"/>
        <v>D1_Last8!V29</v>
      </c>
      <c r="L92" s="818" t="str">
        <f>D1_Last8!V29</f>
        <v>Axel DONVAL (iss)</v>
      </c>
      <c r="M92" s="10" t="str" cm="1">
        <f t="array" aca="1" ref="M92" ca="1">IF(AND(ISNA(MATCH(L92&amp;P92,D1_Tr1!$V:$V&amp;D1_Tr1!$Z:$Z,0)),ISNA(MATCH(P92&amp;L92,D1_Tr1!$V:$V&amp;D1_Tr1!$Z:$Z,0))),"",IFERROR(INDEX(D1_Tr1!$W:$W,MATCH($L92&amp;$P92,D1_Tr1!$V:$V&amp;D1_Tr1!$Z:$Z,0)),0)+IFERROR(INDEX(D1_Tr1!$Y:$Y,MATCH($P92&amp;$L92,D1_Tr1!$V:$V&amp;D1_Tr1!$Z:$Z,0)),0))</f>
        <v/>
      </c>
      <c r="N92" s="394" t="s">
        <v>769</v>
      </c>
      <c r="O92" s="10" t="str" cm="1">
        <f t="array" aca="1" ref="O92" ca="1">IF(AND(ISNA(MATCH(L92&amp;P92,D1_Tr1!$V:$V&amp;D1_Tr1!$Z:$Z,0)),ISNA(MATCH(P92&amp;L92,D1_Tr1!$V:$V&amp;D1_Tr1!$Z:$Z,0))),"",IFERROR(INDEX(D1_Tr1!$Y:$Y,MATCH($L92&amp;$P92,D1_Tr1!$V:$V&amp;D1_Tr1!$Z:$Z,0)),0)+IFERROR(INDEX(D1_Tr1!$W:$W,MATCH($P92&amp;$L92,D1_Tr1!$V:$V&amp;D1_Tr1!$Z:$Z,0)),0))</f>
        <v/>
      </c>
      <c r="P92" s="818" t="str">
        <f t="shared" ca="1" si="233"/>
        <v>Thierry VIVRON (iss)</v>
      </c>
      <c r="Q92" s="819"/>
      <c r="R92" s="397"/>
      <c r="S92" s="397"/>
      <c r="T92" s="397"/>
      <c r="U92" s="397"/>
      <c r="V92" s="820" t="str">
        <f t="shared" ca="1" si="234"/>
        <v>Axel DONVAL (iss)15:30</v>
      </c>
      <c r="W92" s="820" t="str">
        <f t="shared" ca="1" si="235"/>
        <v>Thierry VIVRON (iss)15:30</v>
      </c>
      <c r="X92" s="362">
        <f t="shared" ca="1" si="220"/>
        <v>1</v>
      </c>
      <c r="Y92" s="362">
        <f t="shared" ca="1" si="221"/>
        <v>1</v>
      </c>
      <c r="Z92" s="821" t="b">
        <f t="shared" si="222"/>
        <v>0</v>
      </c>
      <c r="AA92" s="1317"/>
      <c r="AB92" s="1327"/>
      <c r="AD92" s="1395" t="str">
        <f t="shared" ca="1" si="236"/>
        <v>0,645833333333334</v>
      </c>
      <c r="AE92" s="1395" t="str">
        <f>D1_Last8!D1</f>
        <v>D1</v>
      </c>
      <c r="AF92" s="1395" t="s">
        <v>5462</v>
      </c>
      <c r="AG92" s="1395">
        <v>6</v>
      </c>
      <c r="AH92" s="1395" t="str">
        <f t="shared" ca="1" si="237"/>
        <v/>
      </c>
      <c r="AI92" s="1395" t="str">
        <f t="shared" ca="1" si="238"/>
        <v/>
      </c>
      <c r="AJ92" s="1395" t="str">
        <f t="shared" ca="1" si="239"/>
        <v/>
      </c>
      <c r="AK92" s="1395" t="str">
        <f t="shared" ca="1" si="240"/>
        <v/>
      </c>
      <c r="AL92" s="2220" t="str">
        <f t="shared" si="223"/>
        <v/>
      </c>
      <c r="AM92" s="2220" t="str">
        <f t="shared" si="224"/>
        <v/>
      </c>
      <c r="AN92" s="2220" t="str">
        <f t="shared" si="225"/>
        <v/>
      </c>
      <c r="AO92" s="2220" t="str">
        <f t="shared" si="226"/>
        <v/>
      </c>
      <c r="AP92" s="2220" t="str">
        <f t="shared" si="227"/>
        <v/>
      </c>
    </row>
    <row r="93" spans="1:42" ht="13.5" outlineLevel="1" thickBot="1" x14ac:dyDescent="0.25">
      <c r="A93" s="814">
        <f t="shared" ca="1" si="228"/>
        <v>0.64583333333333381</v>
      </c>
      <c r="B93" s="815"/>
      <c r="C93" s="2226" t="str">
        <f>"D1_Last8 - " &amp; N_Group &amp; " 1" &amp; " - " &amp; N_Round &amp; " 6"</f>
        <v>D1_Last8 - Poule 1 - Tr 6</v>
      </c>
      <c r="D93" s="872"/>
      <c r="E93" s="327"/>
      <c r="F93" s="815"/>
      <c r="G93" s="817" t="s">
        <v>1715</v>
      </c>
      <c r="H93" s="817" t="str">
        <f t="shared" si="229"/>
        <v>D1_Last8</v>
      </c>
      <c r="I93" s="817">
        <f t="shared" ca="1" si="230"/>
        <v>30</v>
      </c>
      <c r="J93" s="817">
        <f t="shared" ca="1" si="231"/>
        <v>22</v>
      </c>
      <c r="K93" s="817" t="str">
        <f t="shared" si="232"/>
        <v>D1_Last8!V30</v>
      </c>
      <c r="L93" s="818" t="str">
        <f>D1_Last8!V30</f>
        <v>Françoise GUYOT (chp)</v>
      </c>
      <c r="M93" s="10" t="str" cm="1">
        <f t="array" aca="1" ref="M93" ca="1">IF(AND(ISNA(MATCH(L93&amp;P93,D1_Tr1!$V:$V&amp;D1_Tr1!$Z:$Z,0)),ISNA(MATCH(P93&amp;L93,D1_Tr1!$V:$V&amp;D1_Tr1!$Z:$Z,0))),"",IFERROR(INDEX(D1_Tr1!$W:$W,MATCH($L93&amp;$P93,D1_Tr1!$V:$V&amp;D1_Tr1!$Z:$Z,0)),0)+IFERROR(INDEX(D1_Tr1!$Y:$Y,MATCH($P93&amp;$L93,D1_Tr1!$V:$V&amp;D1_Tr1!$Z:$Z,0)),0))</f>
        <v/>
      </c>
      <c r="N93" s="394" t="s">
        <v>769</v>
      </c>
      <c r="O93" s="10" t="str" cm="1">
        <f t="array" aca="1" ref="O93" ca="1">IF(AND(ISNA(MATCH(L93&amp;P93,D1_Tr1!$V:$V&amp;D1_Tr1!$Z:$Z,0)),ISNA(MATCH(P93&amp;L93,D1_Tr1!$V:$V&amp;D1_Tr1!$Z:$Z,0))),"",IFERROR(INDEX(D1_Tr1!$Y:$Y,MATCH($L93&amp;$P93,D1_Tr1!$V:$V&amp;D1_Tr1!$Z:$Z,0)),0)+IFERROR(INDEX(D1_Tr1!$W:$W,MATCH($P93&amp;$L93,D1_Tr1!$V:$V&amp;D1_Tr1!$Z:$Z,0)),0))</f>
        <v/>
      </c>
      <c r="P93" s="818" t="str">
        <f t="shared" ca="1" si="233"/>
        <v>Jean-François BALARD (puy)</v>
      </c>
      <c r="Q93" s="819"/>
      <c r="R93" s="397"/>
      <c r="S93" s="397"/>
      <c r="T93" s="397"/>
      <c r="U93" s="397"/>
      <c r="V93" s="820" t="str">
        <f t="shared" ca="1" si="234"/>
        <v>Françoise GUYOT (chp)15:30</v>
      </c>
      <c r="W93" s="820" t="str">
        <f t="shared" ca="1" si="235"/>
        <v>Jean-François BALARD (puy)15:30</v>
      </c>
      <c r="X93" s="362">
        <f t="shared" ca="1" si="220"/>
        <v>1</v>
      </c>
      <c r="Y93" s="362">
        <f t="shared" ca="1" si="221"/>
        <v>1</v>
      </c>
      <c r="Z93" s="821" t="b">
        <f t="shared" si="222"/>
        <v>0</v>
      </c>
      <c r="AA93" s="1317"/>
      <c r="AB93" s="1327"/>
      <c r="AD93" s="1395" t="str">
        <f t="shared" ca="1" si="236"/>
        <v>0,645833333333334</v>
      </c>
      <c r="AE93" s="1395" t="str">
        <f>D1_Last8!D1</f>
        <v>D1</v>
      </c>
      <c r="AF93" s="1395" t="s">
        <v>5462</v>
      </c>
      <c r="AG93" s="1395">
        <v>6</v>
      </c>
      <c r="AH93" s="1395" t="str">
        <f t="shared" ca="1" si="237"/>
        <v/>
      </c>
      <c r="AI93" s="1395" t="str">
        <f t="shared" ca="1" si="238"/>
        <v/>
      </c>
      <c r="AJ93" s="1395" t="str">
        <f t="shared" ca="1" si="239"/>
        <v/>
      </c>
      <c r="AK93" s="1395" t="str">
        <f t="shared" ca="1" si="240"/>
        <v/>
      </c>
      <c r="AL93" s="2220" t="str">
        <f t="shared" si="223"/>
        <v/>
      </c>
      <c r="AM93" s="2220" t="str">
        <f t="shared" si="224"/>
        <v/>
      </c>
      <c r="AN93" s="2220" t="str">
        <f t="shared" si="225"/>
        <v/>
      </c>
      <c r="AO93" s="2220" t="str">
        <f t="shared" si="226"/>
        <v/>
      </c>
      <c r="AP93" s="2220" t="str">
        <f t="shared" si="227"/>
        <v/>
      </c>
    </row>
    <row r="94" spans="1:42" ht="15" x14ac:dyDescent="0.2">
      <c r="A94" s="789">
        <f>A85+P85</f>
        <v>0.6736111111111116</v>
      </c>
      <c r="B94" s="790"/>
      <c r="C94" s="791" t="str">
        <f t="shared" si="197"/>
        <v xml:space="preserve">Session N° </v>
      </c>
      <c r="D94" s="792"/>
      <c r="E94" s="793">
        <f>E85+ 1</f>
        <v>11</v>
      </c>
      <c r="F94" s="794"/>
      <c r="G94" s="795" t="str">
        <f>"S" &amp; RIGHT(G85, LEN(G85)-1) + 1</f>
        <v>S11</v>
      </c>
      <c r="H94" s="794"/>
      <c r="I94" s="794"/>
      <c r="J94" s="794"/>
      <c r="K94" s="794"/>
      <c r="L94" s="791" t="str">
        <f t="shared" si="198"/>
        <v>Durée</v>
      </c>
      <c r="M94" s="796"/>
      <c r="N94" s="797" t="s">
        <v>1714</v>
      </c>
      <c r="O94" s="796"/>
      <c r="P94" s="798">
        <v>2.7777777777777776E-2</v>
      </c>
      <c r="Q94" s="799"/>
      <c r="R94" s="800"/>
      <c r="S94" s="796"/>
      <c r="T94" s="800"/>
      <c r="U94" s="796"/>
      <c r="V94" s="796"/>
      <c r="W94" s="796"/>
      <c r="X94" s="796"/>
      <c r="Y94" s="796"/>
      <c r="Z94" s="796"/>
      <c r="AA94" s="799"/>
      <c r="AB94" s="801"/>
      <c r="AC94" s="1394"/>
      <c r="AD94" s="1394"/>
      <c r="AE94" s="1394"/>
      <c r="AF94" s="1394"/>
      <c r="AG94" s="1394"/>
      <c r="AH94" s="1394"/>
      <c r="AI94" s="1394"/>
      <c r="AJ94" s="1394"/>
      <c r="AK94" s="1394"/>
      <c r="AL94" s="2219"/>
      <c r="AM94" s="2219"/>
      <c r="AN94" s="2219"/>
      <c r="AO94" s="2219"/>
      <c r="AP94" s="2219"/>
    </row>
    <row r="95" spans="1:42" outlineLevel="1" x14ac:dyDescent="0.2">
      <c r="A95" s="814">
        <f ca="1">OFFSET(A95,-1,0)</f>
        <v>0.6736111111111116</v>
      </c>
      <c r="B95" s="815"/>
      <c r="C95" s="2226" t="str">
        <f>"D1_Top8 - " &amp; N_Group &amp; " 1" &amp; " - " &amp; N_Round &amp; " 7"</f>
        <v>D1_Top8 - Poule 1 - Tr 7</v>
      </c>
      <c r="D95" s="872"/>
      <c r="E95" s="327"/>
      <c r="F95" s="815"/>
      <c r="G95" s="817" t="s">
        <v>1715</v>
      </c>
      <c r="H95" s="817" t="str">
        <f>IF(K95="","",SUBSTITUTE(MID(K95,1,SEARCH("!",K95,1)-1),"'",""))</f>
        <v>D1_Top8</v>
      </c>
      <c r="I95" s="817">
        <f ca="1">IF(K95="","",CELL("row",INDIRECT(K95)))</f>
        <v>31</v>
      </c>
      <c r="J95" s="817">
        <f ca="1">IF(K95="","",CELL("col",INDIRECT(K95)))</f>
        <v>22</v>
      </c>
      <c r="K95" s="817" t="str">
        <f>MID(Lire_Formule(L95),2,10000)</f>
        <v>D1_Top8!V31</v>
      </c>
      <c r="L95" s="818" t="str">
        <f>D1_Top8!V31</f>
        <v>Stéphane POMMIER (cae)</v>
      </c>
      <c r="M95" s="10" t="str" cm="1">
        <f t="array" aca="1" ref="M95" ca="1">IF(AND(ISNA(MATCH(L95&amp;P95,D1_Tr1!$V:$V&amp;D1_Tr1!$Z:$Z,0)),ISNA(MATCH(P95&amp;L95,D1_Tr1!$V:$V&amp;D1_Tr1!$Z:$Z,0))),"",IFERROR(INDEX(D1_Tr1!$W:$W,MATCH($L95&amp;$P95,D1_Tr1!$V:$V&amp;D1_Tr1!$Z:$Z,0)),0)+IFERROR(INDEX(D1_Tr1!$Y:$Y,MATCH($P95&amp;$L95,D1_Tr1!$V:$V&amp;D1_Tr1!$Z:$Z,0)),0))</f>
        <v/>
      </c>
      <c r="N95" s="394" t="s">
        <v>769</v>
      </c>
      <c r="O95" s="10" t="str" cm="1">
        <f t="array" aca="1" ref="O95" ca="1">IF(AND(ISNA(MATCH(L95&amp;P95,D1_Tr1!$V:$V&amp;D1_Tr1!$Z:$Z,0)),ISNA(MATCH(P95&amp;L95,D1_Tr1!$V:$V&amp;D1_Tr1!$Z:$Z,0))),"",IFERROR(INDEX(D1_Tr1!$Y:$Y,MATCH($L95&amp;$P95,D1_Tr1!$V:$V&amp;D1_Tr1!$Z:$Z,0)),0)+IFERROR(INDEX(D1_Tr1!$W:$W,MATCH($P95&amp;$L95,D1_Tr1!$V:$V&amp;D1_Tr1!$Z:$Z,0)),0))</f>
        <v/>
      </c>
      <c r="P95" s="818" t="str">
        <f ca="1">IF(K95="","",IF(G95="IT",INDIRECT(ADDRESS(I95+2,J95,4,TRUE,H95)),INDIRECT(ADDRESS(I95,J95+4,4,TRUE,H95))))</f>
        <v>David LEROY (puy)</v>
      </c>
      <c r="Q95" s="819"/>
      <c r="R95" s="397"/>
      <c r="S95" s="397"/>
      <c r="T95" s="397"/>
      <c r="U95" s="397"/>
      <c r="V95" s="820" t="str">
        <f ca="1">L95&amp;TEXT(A95,"hh:mm")</f>
        <v>Stéphane POMMIER (cae)16:10</v>
      </c>
      <c r="W95" s="820" t="str">
        <f ca="1">P95&amp;TEXT(A95,"hh:mm")</f>
        <v>David LEROY (puy)16:10</v>
      </c>
      <c r="X95" s="362">
        <f t="shared" ref="X95:X102" ca="1" si="241">IF(L95="",0,COUNTIF(PlayersAndHoursCol1,L95&amp;TEXT($A95,"hh:mm"))+COUNTIF(PlayersAndHoursCol2,L95&amp;TEXT($A95,"hh:mm")))</f>
        <v>1</v>
      </c>
      <c r="Y95" s="362">
        <f t="shared" ref="Y95:Y102" ca="1" si="242">IF(P95="",0,COUNTIF(PlayersAndHoursCol1,P95&amp;TEXT($A95,"hh:mm"))+COUNTIF(PlayersAndHoursCol2,P95&amp;TEXT($A95,"hh:mm")))</f>
        <v>1</v>
      </c>
      <c r="Z95" s="821" t="b">
        <f t="shared" ref="Z95:Z102" si="243">IF(AA95="",FALSE,NOT(AND(ISNA(MATCH(AA95&amp;TEXT($A95,"hh:mm"),PlayersAndHoursCol1,0)),ISNA(MATCH(AA95&amp;TEXT($A95,"hh:mm"),PlayersAndHoursCol2,0)),COUNTIF(AD:AD,AA95&amp;$A95)&lt;=1)))</f>
        <v>0</v>
      </c>
      <c r="AA95" s="1317"/>
      <c r="AB95" s="1327"/>
      <c r="AD95" s="1395" t="str">
        <f ca="1">AA95&amp;A95</f>
        <v>0,673611111111112</v>
      </c>
      <c r="AE95" s="1395" t="str">
        <f>D1_Top8!D1</f>
        <v>D1</v>
      </c>
      <c r="AF95" s="1395" t="s">
        <v>5462</v>
      </c>
      <c r="AG95" s="1395">
        <v>7</v>
      </c>
      <c r="AH95" s="1395" t="str">
        <f ca="1">IF(OR(M95&gt;O95,R95&gt;T95),L95,IF(OR(M95&lt;O95,R95&lt;T95),P95,""))</f>
        <v/>
      </c>
      <c r="AI95" s="1395" t="str">
        <f ca="1">IF(AND(M95&lt;&gt;"",M95=O95,R95=T95),L95,"")</f>
        <v/>
      </c>
      <c r="AJ95" s="1395" t="str">
        <f ca="1">IF(AND(M95&lt;&gt;"",M95=O95,R95=T95),P95,"")</f>
        <v/>
      </c>
      <c r="AK95" s="1395" t="str">
        <f ca="1">IF(OR(M95&lt;O95,R95&lt;T95),L95,IF(OR(M95&gt;O95,R95&gt;T95),P95,""))</f>
        <v/>
      </c>
      <c r="AL95" s="2220" t="str">
        <f t="shared" ref="AL95:AL102" si="244">IF(OR($AB95="",$AB95="V"),"",IF(MOD($AB95,10)=1,"XXX",""))</f>
        <v/>
      </c>
      <c r="AM95" s="2220" t="str">
        <f t="shared" ref="AM95:AM102" si="245">IF(OR($AB95="",$AB95="V"),"",IF(MOD($AB95,100)&gt;=10,"XXX",""))</f>
        <v/>
      </c>
      <c r="AN95" s="2220" t="str">
        <f t="shared" ref="AN95:AN102" si="246">IF(OR($AB95="",$AB95="V"),"",IF(MOD($AB95,1000)&gt;=100,"XXX",""))</f>
        <v/>
      </c>
      <c r="AO95" s="2220" t="str">
        <f t="shared" ref="AO95:AO102" si="247">IF(OR($AB95="",$AB95="V"),"",IF(MOD($AB95,10000)&gt;=1000,"XXX",""))</f>
        <v/>
      </c>
      <c r="AP95" s="2220" t="str">
        <f t="shared" ref="AP95:AP102" si="248">IF(OR($AB95="",$AB95="V"),"",IF(MOD($AB95,100000)&gt;=10000,"XXX",""))</f>
        <v/>
      </c>
    </row>
    <row r="96" spans="1:42" outlineLevel="1" x14ac:dyDescent="0.2">
      <c r="A96" s="814">
        <f ca="1">OFFSET(A96,-1,0)</f>
        <v>0.6736111111111116</v>
      </c>
      <c r="B96" s="815"/>
      <c r="C96" s="2226" t="str">
        <f>"D1_Top8 - " &amp; N_Group &amp; " 1" &amp; " - " &amp; N_Round &amp; " 7"</f>
        <v>D1_Top8 - Poule 1 - Tr 7</v>
      </c>
      <c r="D96" s="872"/>
      <c r="E96" s="327"/>
      <c r="F96" s="815"/>
      <c r="G96" s="817" t="s">
        <v>1715</v>
      </c>
      <c r="H96" s="817" t="str">
        <f>IF(K96="","",SUBSTITUTE(MID(K96,1,SEARCH("!",K96,1)-1),"'",""))</f>
        <v>D1_Top8</v>
      </c>
      <c r="I96" s="817">
        <f ca="1">IF(K96="","",CELL("row",INDIRECT(K96)))</f>
        <v>32</v>
      </c>
      <c r="J96" s="817">
        <f ca="1">IF(K96="","",CELL("col",INDIRECT(K96)))</f>
        <v>22</v>
      </c>
      <c r="K96" s="817" t="str">
        <f>MID(Lire_Formule(L96),2,10000)</f>
        <v>D1_Top8!V32</v>
      </c>
      <c r="L96" s="818" t="str">
        <f>D1_Top8!V32</f>
        <v>Eric NASZALYI (iss)</v>
      </c>
      <c r="M96" s="10" t="str" cm="1">
        <f t="array" aca="1" ref="M96" ca="1">IF(AND(ISNA(MATCH(L96&amp;P96,D1_Tr1!$V:$V&amp;D1_Tr1!$Z:$Z,0)),ISNA(MATCH(P96&amp;L96,D1_Tr1!$V:$V&amp;D1_Tr1!$Z:$Z,0))),"",IFERROR(INDEX(D1_Tr1!$W:$W,MATCH($L96&amp;$P96,D1_Tr1!$V:$V&amp;D1_Tr1!$Z:$Z,0)),0)+IFERROR(INDEX(D1_Tr1!$Y:$Y,MATCH($P96&amp;$L96,D1_Tr1!$V:$V&amp;D1_Tr1!$Z:$Z,0)),0))</f>
        <v/>
      </c>
      <c r="N96" s="394" t="s">
        <v>769</v>
      </c>
      <c r="O96" s="10" t="str" cm="1">
        <f t="array" aca="1" ref="O96" ca="1">IF(AND(ISNA(MATCH(L96&amp;P96,D1_Tr1!$V:$V&amp;D1_Tr1!$Z:$Z,0)),ISNA(MATCH(P96&amp;L96,D1_Tr1!$V:$V&amp;D1_Tr1!$Z:$Z,0))),"",IFERROR(INDEX(D1_Tr1!$Y:$Y,MATCH($L96&amp;$P96,D1_Tr1!$V:$V&amp;D1_Tr1!$Z:$Z,0)),0)+IFERROR(INDEX(D1_Tr1!$W:$W,MATCH($P96&amp;$L96,D1_Tr1!$V:$V&amp;D1_Tr1!$Z:$Z,0)),0))</f>
        <v/>
      </c>
      <c r="P96" s="818" t="str">
        <f ca="1">IF(K96="","",IF(G96="IT",INDIRECT(ADDRESS(I96+2,J96,4,TRUE,H96)),INDIRECT(ADDRESS(I96,J96+4,4,TRUE,H96))))</f>
        <v>Mickaël BLANC (sym)</v>
      </c>
      <c r="Q96" s="819"/>
      <c r="R96" s="397"/>
      <c r="S96" s="397"/>
      <c r="T96" s="397"/>
      <c r="U96" s="397"/>
      <c r="V96" s="820" t="str">
        <f ca="1">L96&amp;TEXT(A96,"hh:mm")</f>
        <v>Eric NASZALYI (iss)16:10</v>
      </c>
      <c r="W96" s="820" t="str">
        <f ca="1">P96&amp;TEXT(A96,"hh:mm")</f>
        <v>Mickaël BLANC (sym)16:10</v>
      </c>
      <c r="X96" s="362">
        <f t="shared" ca="1" si="241"/>
        <v>1</v>
      </c>
      <c r="Y96" s="362">
        <f t="shared" ca="1" si="242"/>
        <v>1</v>
      </c>
      <c r="Z96" s="821" t="b">
        <f t="shared" si="243"/>
        <v>0</v>
      </c>
      <c r="AA96" s="1317"/>
      <c r="AB96" s="1327"/>
      <c r="AD96" s="1395" t="str">
        <f ca="1">AA96&amp;A96</f>
        <v>0,673611111111112</v>
      </c>
      <c r="AE96" s="1395" t="str">
        <f>D1_Top8!D1</f>
        <v>D1</v>
      </c>
      <c r="AF96" s="1395" t="s">
        <v>5462</v>
      </c>
      <c r="AG96" s="1395">
        <v>7</v>
      </c>
      <c r="AH96" s="1395" t="str">
        <f ca="1">IF(OR(M96&gt;O96,R96&gt;T96),L96,IF(OR(M96&lt;O96,R96&lt;T96),P96,""))</f>
        <v/>
      </c>
      <c r="AI96" s="1395" t="str">
        <f ca="1">IF(AND(M96&lt;&gt;"",M96=O96,R96=T96),L96,"")</f>
        <v/>
      </c>
      <c r="AJ96" s="1395" t="str">
        <f ca="1">IF(AND(M96&lt;&gt;"",M96=O96,R96=T96),P96,"")</f>
        <v/>
      </c>
      <c r="AK96" s="1395" t="str">
        <f ca="1">IF(OR(M96&lt;O96,R96&lt;T96),L96,IF(OR(M96&gt;O96,R96&gt;T96),P96,""))</f>
        <v/>
      </c>
      <c r="AL96" s="2220" t="str">
        <f t="shared" si="244"/>
        <v/>
      </c>
      <c r="AM96" s="2220" t="str">
        <f t="shared" si="245"/>
        <v/>
      </c>
      <c r="AN96" s="2220" t="str">
        <f t="shared" si="246"/>
        <v/>
      </c>
      <c r="AO96" s="2220" t="str">
        <f t="shared" si="247"/>
        <v/>
      </c>
      <c r="AP96" s="2220" t="str">
        <f t="shared" si="248"/>
        <v/>
      </c>
    </row>
    <row r="97" spans="1:42" outlineLevel="1" x14ac:dyDescent="0.2">
      <c r="A97" s="814">
        <f ca="1">OFFSET(A97,-1,0)</f>
        <v>0.6736111111111116</v>
      </c>
      <c r="B97" s="815"/>
      <c r="C97" s="2226" t="str">
        <f>"D1_Top8 - " &amp; N_Group &amp; " 1" &amp; " - " &amp; N_Round &amp; " 7"</f>
        <v>D1_Top8 - Poule 1 - Tr 7</v>
      </c>
      <c r="D97" s="872"/>
      <c r="E97" s="327"/>
      <c r="F97" s="815"/>
      <c r="G97" s="817" t="s">
        <v>1715</v>
      </c>
      <c r="H97" s="817" t="str">
        <f>IF(K97="","",SUBSTITUTE(MID(K97,1,SEARCH("!",K97,1)-1),"'",""))</f>
        <v>D1_Top8</v>
      </c>
      <c r="I97" s="817">
        <f ca="1">IF(K97="","",CELL("row",INDIRECT(K97)))</f>
        <v>33</v>
      </c>
      <c r="J97" s="817">
        <f ca="1">IF(K97="","",CELL("col",INDIRECT(K97)))</f>
        <v>22</v>
      </c>
      <c r="K97" s="817" t="str">
        <f>MID(Lire_Formule(L97),2,10000)</f>
        <v>D1_Top8!V33</v>
      </c>
      <c r="L97" s="818" t="str">
        <f>D1_Top8!V33</f>
        <v>Emmanuel GORGETTE (iss)</v>
      </c>
      <c r="M97" s="10" t="str" cm="1">
        <f t="array" aca="1" ref="M97" ca="1">IF(AND(ISNA(MATCH(L97&amp;P97,D1_Tr1!$V:$V&amp;D1_Tr1!$Z:$Z,0)),ISNA(MATCH(P97&amp;L97,D1_Tr1!$V:$V&amp;D1_Tr1!$Z:$Z,0))),"",IFERROR(INDEX(D1_Tr1!$W:$W,MATCH($L97&amp;$P97,D1_Tr1!$V:$V&amp;D1_Tr1!$Z:$Z,0)),0)+IFERROR(INDEX(D1_Tr1!$Y:$Y,MATCH($P97&amp;$L97,D1_Tr1!$V:$V&amp;D1_Tr1!$Z:$Z,0)),0))</f>
        <v/>
      </c>
      <c r="N97" s="394" t="s">
        <v>769</v>
      </c>
      <c r="O97" s="10" t="str" cm="1">
        <f t="array" aca="1" ref="O97" ca="1">IF(AND(ISNA(MATCH(L97&amp;P97,D1_Tr1!$V:$V&amp;D1_Tr1!$Z:$Z,0)),ISNA(MATCH(P97&amp;L97,D1_Tr1!$V:$V&amp;D1_Tr1!$Z:$Z,0))),"",IFERROR(INDEX(D1_Tr1!$Y:$Y,MATCH($L97&amp;$P97,D1_Tr1!$V:$V&amp;D1_Tr1!$Z:$Z,0)),0)+IFERROR(INDEX(D1_Tr1!$W:$W,MATCH($P97&amp;$L97,D1_Tr1!$V:$V&amp;D1_Tr1!$Z:$Z,0)),0))</f>
        <v/>
      </c>
      <c r="P97" s="818" t="str">
        <f ca="1">IF(K97="","",IF(G97="IT",INDIRECT(ADDRESS(I97+2,J97,4,TRUE,H97)),INDIRECT(ADDRESS(I97,J97+4,4,TRUE,H97))))</f>
        <v>Théo MODESTE (iss)</v>
      </c>
      <c r="Q97" s="819"/>
      <c r="R97" s="397"/>
      <c r="S97" s="397"/>
      <c r="T97" s="397"/>
      <c r="U97" s="397"/>
      <c r="V97" s="820" t="str">
        <f ca="1">L97&amp;TEXT(A97,"hh:mm")</f>
        <v>Emmanuel GORGETTE (iss)16:10</v>
      </c>
      <c r="W97" s="820" t="str">
        <f ca="1">P97&amp;TEXT(A97,"hh:mm")</f>
        <v>Théo MODESTE (iss)16:10</v>
      </c>
      <c r="X97" s="362">
        <f t="shared" ca="1" si="241"/>
        <v>1</v>
      </c>
      <c r="Y97" s="362">
        <f t="shared" ca="1" si="242"/>
        <v>1</v>
      </c>
      <c r="Z97" s="821" t="b">
        <f t="shared" si="243"/>
        <v>0</v>
      </c>
      <c r="AA97" s="1317"/>
      <c r="AB97" s="1327"/>
      <c r="AD97" s="1395" t="str">
        <f ca="1">AA97&amp;A97</f>
        <v>0,673611111111112</v>
      </c>
      <c r="AE97" s="1395" t="str">
        <f>D1_Top8!D1</f>
        <v>D1</v>
      </c>
      <c r="AF97" s="1395" t="s">
        <v>5462</v>
      </c>
      <c r="AG97" s="1395">
        <v>7</v>
      </c>
      <c r="AH97" s="1395" t="str">
        <f ca="1">IF(OR(M97&gt;O97,R97&gt;T97),L97,IF(OR(M97&lt;O97,R97&lt;T97),P97,""))</f>
        <v/>
      </c>
      <c r="AI97" s="1395" t="str">
        <f ca="1">IF(AND(M97&lt;&gt;"",M97=O97,R97=T97),L97,"")</f>
        <v/>
      </c>
      <c r="AJ97" s="1395" t="str">
        <f ca="1">IF(AND(M97&lt;&gt;"",M97=O97,R97=T97),P97,"")</f>
        <v/>
      </c>
      <c r="AK97" s="1395" t="str">
        <f ca="1">IF(OR(M97&lt;O97,R97&lt;T97),L97,IF(OR(M97&gt;O97,R97&gt;T97),P97,""))</f>
        <v/>
      </c>
      <c r="AL97" s="2220" t="str">
        <f t="shared" si="244"/>
        <v/>
      </c>
      <c r="AM97" s="2220" t="str">
        <f t="shared" si="245"/>
        <v/>
      </c>
      <c r="AN97" s="2220" t="str">
        <f t="shared" si="246"/>
        <v/>
      </c>
      <c r="AO97" s="2220" t="str">
        <f t="shared" si="247"/>
        <v/>
      </c>
      <c r="AP97" s="2220" t="str">
        <f t="shared" si="248"/>
        <v/>
      </c>
    </row>
    <row r="98" spans="1:42" outlineLevel="1" x14ac:dyDescent="0.2">
      <c r="A98" s="814">
        <f ca="1">OFFSET(A98,-1,0)</f>
        <v>0.6736111111111116</v>
      </c>
      <c r="B98" s="815"/>
      <c r="C98" s="2226" t="str">
        <f>"D1_Top8 - " &amp; N_Group &amp; " 1" &amp; " - " &amp; N_Round &amp; " 7"</f>
        <v>D1_Top8 - Poule 1 - Tr 7</v>
      </c>
      <c r="D98" s="872"/>
      <c r="E98" s="327"/>
      <c r="F98" s="815"/>
      <c r="G98" s="817" t="s">
        <v>1715</v>
      </c>
      <c r="H98" s="817" t="str">
        <f>IF(K98="","",SUBSTITUTE(MID(K98,1,SEARCH("!",K98,1)-1),"'",""))</f>
        <v>D1_Top8</v>
      </c>
      <c r="I98" s="817">
        <f ca="1">IF(K98="","",CELL("row",INDIRECT(K98)))</f>
        <v>34</v>
      </c>
      <c r="J98" s="817">
        <f ca="1">IF(K98="","",CELL("col",INDIRECT(K98)))</f>
        <v>22</v>
      </c>
      <c r="K98" s="817" t="str">
        <f>MID(Lire_Formule(L98),2,10000)</f>
        <v>D1_Top8!V34</v>
      </c>
      <c r="L98" s="818" t="str">
        <f>D1_Top8!V34</f>
        <v>Quentin AUSSET (chp)</v>
      </c>
      <c r="M98" s="10" t="str" cm="1">
        <f t="array" aca="1" ref="M98" ca="1">IF(AND(ISNA(MATCH(L98&amp;P98,D1_Tr1!$V:$V&amp;D1_Tr1!$Z:$Z,0)),ISNA(MATCH(P98&amp;L98,D1_Tr1!$V:$V&amp;D1_Tr1!$Z:$Z,0))),"",IFERROR(INDEX(D1_Tr1!$W:$W,MATCH($L98&amp;$P98,D1_Tr1!$V:$V&amp;D1_Tr1!$Z:$Z,0)),0)+IFERROR(INDEX(D1_Tr1!$Y:$Y,MATCH($P98&amp;$L98,D1_Tr1!$V:$V&amp;D1_Tr1!$Z:$Z,0)),0))</f>
        <v/>
      </c>
      <c r="N98" s="394" t="s">
        <v>769</v>
      </c>
      <c r="O98" s="10" t="str" cm="1">
        <f t="array" aca="1" ref="O98" ca="1">IF(AND(ISNA(MATCH(L98&amp;P98,D1_Tr1!$V:$V&amp;D1_Tr1!$Z:$Z,0)),ISNA(MATCH(P98&amp;L98,D1_Tr1!$V:$V&amp;D1_Tr1!$Z:$Z,0))),"",IFERROR(INDEX(D1_Tr1!$Y:$Y,MATCH($L98&amp;$P98,D1_Tr1!$V:$V&amp;D1_Tr1!$Z:$Z,0)),0)+IFERROR(INDEX(D1_Tr1!$W:$W,MATCH($P98&amp;$L98,D1_Tr1!$V:$V&amp;D1_Tr1!$Z:$Z,0)),0))</f>
        <v/>
      </c>
      <c r="P98" s="818" t="str">
        <f ca="1">IF(K98="","",IF(G98="IT",INDIRECT(ADDRESS(I98+2,J98,4,TRUE,H98)),INDIRECT(ADDRESS(I98,J98+4,4,TRUE,H98))))</f>
        <v>Raphaël POMMIER (cae)</v>
      </c>
      <c r="Q98" s="819"/>
      <c r="R98" s="397"/>
      <c r="S98" s="397"/>
      <c r="T98" s="397"/>
      <c r="U98" s="397"/>
      <c r="V98" s="820" t="str">
        <f ca="1">L98&amp;TEXT(A98,"hh:mm")</f>
        <v>Quentin AUSSET (chp)16:10</v>
      </c>
      <c r="W98" s="820" t="str">
        <f ca="1">P98&amp;TEXT(A98,"hh:mm")</f>
        <v>Raphaël POMMIER (cae)16:10</v>
      </c>
      <c r="X98" s="362">
        <f t="shared" ca="1" si="241"/>
        <v>1</v>
      </c>
      <c r="Y98" s="362">
        <f t="shared" ca="1" si="242"/>
        <v>1</v>
      </c>
      <c r="Z98" s="821" t="b">
        <f t="shared" si="243"/>
        <v>0</v>
      </c>
      <c r="AA98" s="1317"/>
      <c r="AB98" s="1327"/>
      <c r="AD98" s="1395" t="str">
        <f ca="1">AA98&amp;A98</f>
        <v>0,673611111111112</v>
      </c>
      <c r="AE98" s="1395" t="str">
        <f>D1_Top8!D1</f>
        <v>D1</v>
      </c>
      <c r="AF98" s="1395" t="s">
        <v>5462</v>
      </c>
      <c r="AG98" s="1395">
        <v>7</v>
      </c>
      <c r="AH98" s="1395" t="str">
        <f ca="1">IF(OR(M98&gt;O98,R98&gt;T98),L98,IF(OR(M98&lt;O98,R98&lt;T98),P98,""))</f>
        <v/>
      </c>
      <c r="AI98" s="1395" t="str">
        <f ca="1">IF(AND(M98&lt;&gt;"",M98=O98,R98=T98),L98,"")</f>
        <v/>
      </c>
      <c r="AJ98" s="1395" t="str">
        <f ca="1">IF(AND(M98&lt;&gt;"",M98=O98,R98=T98),P98,"")</f>
        <v/>
      </c>
      <c r="AK98" s="1395" t="str">
        <f ca="1">IF(OR(M98&lt;O98,R98&lt;T98),L98,IF(OR(M98&gt;O98,R98&gt;T98),P98,""))</f>
        <v/>
      </c>
      <c r="AL98" s="2220" t="str">
        <f t="shared" si="244"/>
        <v/>
      </c>
      <c r="AM98" s="2220" t="str">
        <f t="shared" si="245"/>
        <v/>
      </c>
      <c r="AN98" s="2220" t="str">
        <f t="shared" si="246"/>
        <v/>
      </c>
      <c r="AO98" s="2220" t="str">
        <f t="shared" si="247"/>
        <v/>
      </c>
      <c r="AP98" s="2220" t="str">
        <f t="shared" si="248"/>
        <v/>
      </c>
    </row>
    <row r="99" spans="1:42" outlineLevel="1" x14ac:dyDescent="0.2">
      <c r="A99" s="814">
        <f t="shared" ref="A99:A102" ca="1" si="249">OFFSET(A99,-1,0)</f>
        <v>0.6736111111111116</v>
      </c>
      <c r="B99" s="815"/>
      <c r="C99" s="2226" t="str">
        <f>"D1_Last8 - " &amp; N_Group &amp; " 1" &amp; " - " &amp; N_Round &amp; " 7"</f>
        <v>D1_Last8 - Poule 1 - Tr 7</v>
      </c>
      <c r="D99" s="872"/>
      <c r="E99" s="327"/>
      <c r="F99" s="815"/>
      <c r="G99" s="817" t="s">
        <v>1715</v>
      </c>
      <c r="H99" s="817" t="str">
        <f t="shared" ref="H99:H102" si="250">IF(K99="","",SUBSTITUTE(MID(K99,1,SEARCH("!",K99,1)-1),"'",""))</f>
        <v>D1_Last8</v>
      </c>
      <c r="I99" s="817">
        <f t="shared" ref="I99:I102" ca="1" si="251">IF(K99="","",CELL("row",INDIRECT(K99)))</f>
        <v>31</v>
      </c>
      <c r="J99" s="817">
        <f t="shared" ref="J99:J102" ca="1" si="252">IF(K99="","",CELL("col",INDIRECT(K99)))</f>
        <v>22</v>
      </c>
      <c r="K99" s="817" t="str">
        <f t="shared" ref="K99:K102" si="253">MID(Lire_Formule(L99),2,10000)</f>
        <v>D1_Last8!V31</v>
      </c>
      <c r="L99" s="818" t="str">
        <f>D1_Last8!V31</f>
        <v>Audrey HERBAUT (chp)</v>
      </c>
      <c r="M99" s="10" t="str" cm="1">
        <f t="array" aca="1" ref="M99" ca="1">IF(AND(ISNA(MATCH(L99&amp;P99,D1_Tr1!$V:$V&amp;D1_Tr1!$Z:$Z,0)),ISNA(MATCH(P99&amp;L99,D1_Tr1!$V:$V&amp;D1_Tr1!$Z:$Z,0))),"",IFERROR(INDEX(D1_Tr1!$W:$W,MATCH($L99&amp;$P99,D1_Tr1!$V:$V&amp;D1_Tr1!$Z:$Z,0)),0)+IFERROR(INDEX(D1_Tr1!$Y:$Y,MATCH($P99&amp;$L99,D1_Tr1!$V:$V&amp;D1_Tr1!$Z:$Z,0)),0))</f>
        <v/>
      </c>
      <c r="N99" s="394" t="s">
        <v>769</v>
      </c>
      <c r="O99" s="10" t="str" cm="1">
        <f t="array" aca="1" ref="O99" ca="1">IF(AND(ISNA(MATCH(L99&amp;P99,D1_Tr1!$V:$V&amp;D1_Tr1!$Z:$Z,0)),ISNA(MATCH(P99&amp;L99,D1_Tr1!$V:$V&amp;D1_Tr1!$Z:$Z,0))),"",IFERROR(INDEX(D1_Tr1!$Y:$Y,MATCH($L99&amp;$P99,D1_Tr1!$V:$V&amp;D1_Tr1!$Z:$Z,0)),0)+IFERROR(INDEX(D1_Tr1!$W:$W,MATCH($P99&amp;$L99,D1_Tr1!$V:$V&amp;D1_Tr1!$Z:$Z,0)),0))</f>
        <v/>
      </c>
      <c r="P99" s="818" t="str">
        <f t="shared" ref="P99:P102" ca="1" si="254">IF(K99="","",IF(G99="IT",INDIRECT(ADDRESS(I99+2,J99,4,TRUE,H99)),INDIRECT(ADDRESS(I99,J99+4,4,TRUE,H99))))</f>
        <v>Françoise GUYOT (chp)</v>
      </c>
      <c r="Q99" s="819"/>
      <c r="R99" s="397"/>
      <c r="S99" s="397"/>
      <c r="T99" s="397"/>
      <c r="U99" s="397"/>
      <c r="V99" s="820" t="str">
        <f t="shared" ref="V99:V102" ca="1" si="255">L99&amp;TEXT(A99,"hh:mm")</f>
        <v>Audrey HERBAUT (chp)16:10</v>
      </c>
      <c r="W99" s="820" t="str">
        <f t="shared" ref="W99:W102" ca="1" si="256">P99&amp;TEXT(A99,"hh:mm")</f>
        <v>Françoise GUYOT (chp)16:10</v>
      </c>
      <c r="X99" s="362">
        <f t="shared" ca="1" si="241"/>
        <v>1</v>
      </c>
      <c r="Y99" s="362">
        <f t="shared" ca="1" si="242"/>
        <v>1</v>
      </c>
      <c r="Z99" s="821" t="b">
        <f t="shared" si="243"/>
        <v>0</v>
      </c>
      <c r="AA99" s="1317"/>
      <c r="AB99" s="1327"/>
      <c r="AD99" s="1395" t="str">
        <f t="shared" ref="AD99:AD102" ca="1" si="257">AA99&amp;A99</f>
        <v>0,673611111111112</v>
      </c>
      <c r="AE99" s="1395" t="str">
        <f>D1_Last8!D1</f>
        <v>D1</v>
      </c>
      <c r="AF99" s="1395" t="s">
        <v>5462</v>
      </c>
      <c r="AG99" s="1395">
        <v>7</v>
      </c>
      <c r="AH99" s="1395" t="str">
        <f t="shared" ref="AH99:AH102" ca="1" si="258">IF(OR(M99&gt;O99,R99&gt;T99),L99,IF(OR(M99&lt;O99,R99&lt;T99),P99,""))</f>
        <v/>
      </c>
      <c r="AI99" s="1395" t="str">
        <f t="shared" ref="AI99:AI102" ca="1" si="259">IF(AND(M99&lt;&gt;"",M99=O99,R99=T99),L99,"")</f>
        <v/>
      </c>
      <c r="AJ99" s="1395" t="str">
        <f t="shared" ref="AJ99:AJ102" ca="1" si="260">IF(AND(M99&lt;&gt;"",M99=O99,R99=T99),P99,"")</f>
        <v/>
      </c>
      <c r="AK99" s="1395" t="str">
        <f t="shared" ref="AK99:AK102" ca="1" si="261">IF(OR(M99&lt;O99,R99&lt;T99),L99,IF(OR(M99&gt;O99,R99&gt;T99),P99,""))</f>
        <v/>
      </c>
      <c r="AL99" s="2220" t="str">
        <f t="shared" si="244"/>
        <v/>
      </c>
      <c r="AM99" s="2220" t="str">
        <f t="shared" si="245"/>
        <v/>
      </c>
      <c r="AN99" s="2220" t="str">
        <f t="shared" si="246"/>
        <v/>
      </c>
      <c r="AO99" s="2220" t="str">
        <f t="shared" si="247"/>
        <v/>
      </c>
      <c r="AP99" s="2220" t="str">
        <f t="shared" si="248"/>
        <v/>
      </c>
    </row>
    <row r="100" spans="1:42" outlineLevel="1" x14ac:dyDescent="0.2">
      <c r="A100" s="814">
        <f t="shared" ca="1" si="249"/>
        <v>0.6736111111111116</v>
      </c>
      <c r="B100" s="815"/>
      <c r="C100" s="2226" t="str">
        <f>"D1_Last8 - " &amp; N_Group &amp; " 1" &amp; " - " &amp; N_Round &amp; " 7"</f>
        <v>D1_Last8 - Poule 1 - Tr 7</v>
      </c>
      <c r="D100" s="872"/>
      <c r="E100" s="327"/>
      <c r="F100" s="815"/>
      <c r="G100" s="817" t="s">
        <v>1715</v>
      </c>
      <c r="H100" s="817" t="str">
        <f t="shared" si="250"/>
        <v>D1_Last8</v>
      </c>
      <c r="I100" s="817">
        <f t="shared" ca="1" si="251"/>
        <v>32</v>
      </c>
      <c r="J100" s="817">
        <f t="shared" ca="1" si="252"/>
        <v>22</v>
      </c>
      <c r="K100" s="817" t="str">
        <f t="shared" si="253"/>
        <v>D1_Last8!V32</v>
      </c>
      <c r="L100" s="818" t="str">
        <f>D1_Last8!V32</f>
        <v>Cédric PANDOLFI (sym)</v>
      </c>
      <c r="M100" s="10" t="str" cm="1">
        <f t="array" aca="1" ref="M100" ca="1">IF(AND(ISNA(MATCH(L100&amp;P100,D1_Tr1!$V:$V&amp;D1_Tr1!$Z:$Z,0)),ISNA(MATCH(P100&amp;L100,D1_Tr1!$V:$V&amp;D1_Tr1!$Z:$Z,0))),"",IFERROR(INDEX(D1_Tr1!$W:$W,MATCH($L100&amp;$P100,D1_Tr1!$V:$V&amp;D1_Tr1!$Z:$Z,0)),0)+IFERROR(INDEX(D1_Tr1!$Y:$Y,MATCH($P100&amp;$L100,D1_Tr1!$V:$V&amp;D1_Tr1!$Z:$Z,0)),0))</f>
        <v/>
      </c>
      <c r="N100" s="394" t="s">
        <v>769</v>
      </c>
      <c r="O100" s="10" t="str" cm="1">
        <f t="array" aca="1" ref="O100" ca="1">IF(AND(ISNA(MATCH(L100&amp;P100,D1_Tr1!$V:$V&amp;D1_Tr1!$Z:$Z,0)),ISNA(MATCH(P100&amp;L100,D1_Tr1!$V:$V&amp;D1_Tr1!$Z:$Z,0))),"",IFERROR(INDEX(D1_Tr1!$Y:$Y,MATCH($L100&amp;$P100,D1_Tr1!$V:$V&amp;D1_Tr1!$Z:$Z,0)),0)+IFERROR(INDEX(D1_Tr1!$W:$W,MATCH($P100&amp;$L100,D1_Tr1!$V:$V&amp;D1_Tr1!$Z:$Z,0)),0))</f>
        <v/>
      </c>
      <c r="P100" s="818" t="str">
        <f t="shared" ca="1" si="254"/>
        <v>Axel DONVAL (iss)</v>
      </c>
      <c r="Q100" s="819"/>
      <c r="R100" s="397"/>
      <c r="S100" s="397"/>
      <c r="T100" s="397"/>
      <c r="U100" s="397"/>
      <c r="V100" s="820" t="str">
        <f t="shared" ca="1" si="255"/>
        <v>Cédric PANDOLFI (sym)16:10</v>
      </c>
      <c r="W100" s="820" t="str">
        <f t="shared" ca="1" si="256"/>
        <v>Axel DONVAL (iss)16:10</v>
      </c>
      <c r="X100" s="362">
        <f t="shared" ca="1" si="241"/>
        <v>1</v>
      </c>
      <c r="Y100" s="362">
        <f t="shared" ca="1" si="242"/>
        <v>1</v>
      </c>
      <c r="Z100" s="821" t="b">
        <f t="shared" si="243"/>
        <v>0</v>
      </c>
      <c r="AA100" s="1317"/>
      <c r="AB100" s="1327"/>
      <c r="AD100" s="1395" t="str">
        <f t="shared" ca="1" si="257"/>
        <v>0,673611111111112</v>
      </c>
      <c r="AE100" s="1395" t="str">
        <f>D1_Last8!D1</f>
        <v>D1</v>
      </c>
      <c r="AF100" s="1395" t="s">
        <v>5462</v>
      </c>
      <c r="AG100" s="1395">
        <v>7</v>
      </c>
      <c r="AH100" s="1395" t="str">
        <f t="shared" ca="1" si="258"/>
        <v/>
      </c>
      <c r="AI100" s="1395" t="str">
        <f t="shared" ca="1" si="259"/>
        <v/>
      </c>
      <c r="AJ100" s="1395" t="str">
        <f t="shared" ca="1" si="260"/>
        <v/>
      </c>
      <c r="AK100" s="1395" t="str">
        <f t="shared" ca="1" si="261"/>
        <v/>
      </c>
      <c r="AL100" s="2220" t="str">
        <f t="shared" si="244"/>
        <v/>
      </c>
      <c r="AM100" s="2220" t="str">
        <f t="shared" si="245"/>
        <v/>
      </c>
      <c r="AN100" s="2220" t="str">
        <f t="shared" si="246"/>
        <v/>
      </c>
      <c r="AO100" s="2220" t="str">
        <f t="shared" si="247"/>
        <v/>
      </c>
      <c r="AP100" s="2220" t="str">
        <f t="shared" si="248"/>
        <v/>
      </c>
    </row>
    <row r="101" spans="1:42" outlineLevel="1" x14ac:dyDescent="0.2">
      <c r="A101" s="814">
        <f t="shared" ca="1" si="249"/>
        <v>0.6736111111111116</v>
      </c>
      <c r="B101" s="815"/>
      <c r="C101" s="2226" t="str">
        <f>"D1_Last8 - " &amp; N_Group &amp; " 1" &amp; " - " &amp; N_Round &amp; " 7"</f>
        <v>D1_Last8 - Poule 1 - Tr 7</v>
      </c>
      <c r="D101" s="872"/>
      <c r="E101" s="327"/>
      <c r="F101" s="815"/>
      <c r="G101" s="817" t="s">
        <v>1715</v>
      </c>
      <c r="H101" s="817" t="str">
        <f t="shared" si="250"/>
        <v>D1_Last8</v>
      </c>
      <c r="I101" s="817">
        <f t="shared" ca="1" si="251"/>
        <v>33</v>
      </c>
      <c r="J101" s="817">
        <f t="shared" ca="1" si="252"/>
        <v>22</v>
      </c>
      <c r="K101" s="817" t="str">
        <f t="shared" si="253"/>
        <v>D1_Last8!V33</v>
      </c>
      <c r="L101" s="818" t="str">
        <f>D1_Last8!V33</f>
        <v>Jean-Marie AMBERNY (iss)</v>
      </c>
      <c r="M101" s="10" t="str" cm="1">
        <f t="array" aca="1" ref="M101" ca="1">IF(AND(ISNA(MATCH(L101&amp;P101,D1_Tr1!$V:$V&amp;D1_Tr1!$Z:$Z,0)),ISNA(MATCH(P101&amp;L101,D1_Tr1!$V:$V&amp;D1_Tr1!$Z:$Z,0))),"",IFERROR(INDEX(D1_Tr1!$W:$W,MATCH($L101&amp;$P101,D1_Tr1!$V:$V&amp;D1_Tr1!$Z:$Z,0)),0)+IFERROR(INDEX(D1_Tr1!$Y:$Y,MATCH($P101&amp;$L101,D1_Tr1!$V:$V&amp;D1_Tr1!$Z:$Z,0)),0))</f>
        <v/>
      </c>
      <c r="N101" s="394" t="s">
        <v>769</v>
      </c>
      <c r="O101" s="10" t="str" cm="1">
        <f t="array" aca="1" ref="O101" ca="1">IF(AND(ISNA(MATCH(L101&amp;P101,D1_Tr1!$V:$V&amp;D1_Tr1!$Z:$Z,0)),ISNA(MATCH(P101&amp;L101,D1_Tr1!$V:$V&amp;D1_Tr1!$Z:$Z,0))),"",IFERROR(INDEX(D1_Tr1!$Y:$Y,MATCH($L101&amp;$P101,D1_Tr1!$V:$V&amp;D1_Tr1!$Z:$Z,0)),0)+IFERROR(INDEX(D1_Tr1!$W:$W,MATCH($P101&amp;$L101,D1_Tr1!$V:$V&amp;D1_Tr1!$Z:$Z,0)),0))</f>
        <v/>
      </c>
      <c r="P101" s="818" t="str">
        <f t="shared" ca="1" si="254"/>
        <v>Cyprien BONNET (sym)</v>
      </c>
      <c r="Q101" s="819"/>
      <c r="R101" s="397"/>
      <c r="S101" s="397"/>
      <c r="T101" s="397"/>
      <c r="U101" s="397"/>
      <c r="V101" s="820" t="str">
        <f t="shared" ca="1" si="255"/>
        <v>Jean-Marie AMBERNY (iss)16:10</v>
      </c>
      <c r="W101" s="820" t="str">
        <f t="shared" ca="1" si="256"/>
        <v>Cyprien BONNET (sym)16:10</v>
      </c>
      <c r="X101" s="362">
        <f t="shared" ca="1" si="241"/>
        <v>1</v>
      </c>
      <c r="Y101" s="362">
        <f t="shared" ca="1" si="242"/>
        <v>1</v>
      </c>
      <c r="Z101" s="821" t="b">
        <f t="shared" si="243"/>
        <v>0</v>
      </c>
      <c r="AA101" s="1317"/>
      <c r="AB101" s="1327"/>
      <c r="AD101" s="1395" t="str">
        <f t="shared" ca="1" si="257"/>
        <v>0,673611111111112</v>
      </c>
      <c r="AE101" s="1395" t="str">
        <f>D1_Last8!D1</f>
        <v>D1</v>
      </c>
      <c r="AF101" s="1395" t="s">
        <v>5462</v>
      </c>
      <c r="AG101" s="1395">
        <v>7</v>
      </c>
      <c r="AH101" s="1395" t="str">
        <f t="shared" ca="1" si="258"/>
        <v/>
      </c>
      <c r="AI101" s="1395" t="str">
        <f t="shared" ca="1" si="259"/>
        <v/>
      </c>
      <c r="AJ101" s="1395" t="str">
        <f t="shared" ca="1" si="260"/>
        <v/>
      </c>
      <c r="AK101" s="1395" t="str">
        <f t="shared" ca="1" si="261"/>
        <v/>
      </c>
      <c r="AL101" s="2220" t="str">
        <f t="shared" si="244"/>
        <v/>
      </c>
      <c r="AM101" s="2220" t="str">
        <f t="shared" si="245"/>
        <v/>
      </c>
      <c r="AN101" s="2220" t="str">
        <f t="shared" si="246"/>
        <v/>
      </c>
      <c r="AO101" s="2220" t="str">
        <f t="shared" si="247"/>
        <v/>
      </c>
      <c r="AP101" s="2220" t="str">
        <f t="shared" si="248"/>
        <v/>
      </c>
    </row>
    <row r="102" spans="1:42" ht="13.5" outlineLevel="1" thickBot="1" x14ac:dyDescent="0.25">
      <c r="A102" s="814">
        <f t="shared" ca="1" si="249"/>
        <v>0.6736111111111116</v>
      </c>
      <c r="B102" s="815"/>
      <c r="C102" s="2226" t="str">
        <f>"D1_Last8 - " &amp; N_Group &amp; " 1" &amp; " - " &amp; N_Round &amp; " 7"</f>
        <v>D1_Last8 - Poule 1 - Tr 7</v>
      </c>
      <c r="D102" s="872"/>
      <c r="E102" s="327"/>
      <c r="F102" s="815"/>
      <c r="G102" s="817" t="s">
        <v>1715</v>
      </c>
      <c r="H102" s="817" t="str">
        <f t="shared" si="250"/>
        <v>D1_Last8</v>
      </c>
      <c r="I102" s="817">
        <f t="shared" ca="1" si="251"/>
        <v>34</v>
      </c>
      <c r="J102" s="817">
        <f t="shared" ca="1" si="252"/>
        <v>22</v>
      </c>
      <c r="K102" s="817" t="str">
        <f t="shared" si="253"/>
        <v>D1_Last8!V34</v>
      </c>
      <c r="L102" s="818" t="str">
        <f>D1_Last8!V34</f>
        <v>Jean-François BALARD (puy)</v>
      </c>
      <c r="M102" s="10" t="str" cm="1">
        <f t="array" aca="1" ref="M102" ca="1">IF(AND(ISNA(MATCH(L102&amp;P102,D1_Tr1!$V:$V&amp;D1_Tr1!$Z:$Z,0)),ISNA(MATCH(P102&amp;L102,D1_Tr1!$V:$V&amp;D1_Tr1!$Z:$Z,0))),"",IFERROR(INDEX(D1_Tr1!$W:$W,MATCH($L102&amp;$P102,D1_Tr1!$V:$V&amp;D1_Tr1!$Z:$Z,0)),0)+IFERROR(INDEX(D1_Tr1!$Y:$Y,MATCH($P102&amp;$L102,D1_Tr1!$V:$V&amp;D1_Tr1!$Z:$Z,0)),0))</f>
        <v/>
      </c>
      <c r="N102" s="394" t="s">
        <v>769</v>
      </c>
      <c r="O102" s="10" t="str" cm="1">
        <f t="array" aca="1" ref="O102" ca="1">IF(AND(ISNA(MATCH(L102&amp;P102,D1_Tr1!$V:$V&amp;D1_Tr1!$Z:$Z,0)),ISNA(MATCH(P102&amp;L102,D1_Tr1!$V:$V&amp;D1_Tr1!$Z:$Z,0))),"",IFERROR(INDEX(D1_Tr1!$Y:$Y,MATCH($L102&amp;$P102,D1_Tr1!$V:$V&amp;D1_Tr1!$Z:$Z,0)),0)+IFERROR(INDEX(D1_Tr1!$W:$W,MATCH($P102&amp;$L102,D1_Tr1!$V:$V&amp;D1_Tr1!$Z:$Z,0)),0))</f>
        <v/>
      </c>
      <c r="P102" s="818" t="str">
        <f t="shared" ca="1" si="254"/>
        <v>Thierry VIVRON (iss)</v>
      </c>
      <c r="Q102" s="819"/>
      <c r="R102" s="397"/>
      <c r="S102" s="397"/>
      <c r="T102" s="397"/>
      <c r="U102" s="397"/>
      <c r="V102" s="820" t="str">
        <f t="shared" ca="1" si="255"/>
        <v>Jean-François BALARD (puy)16:10</v>
      </c>
      <c r="W102" s="820" t="str">
        <f t="shared" ca="1" si="256"/>
        <v>Thierry VIVRON (iss)16:10</v>
      </c>
      <c r="X102" s="362">
        <f t="shared" ca="1" si="241"/>
        <v>1</v>
      </c>
      <c r="Y102" s="362">
        <f t="shared" ca="1" si="242"/>
        <v>1</v>
      </c>
      <c r="Z102" s="821" t="b">
        <f t="shared" si="243"/>
        <v>0</v>
      </c>
      <c r="AA102" s="1317"/>
      <c r="AB102" s="1327"/>
      <c r="AD102" s="1395" t="str">
        <f t="shared" ca="1" si="257"/>
        <v>0,673611111111112</v>
      </c>
      <c r="AE102" s="1395" t="str">
        <f>D1_Last8!D1</f>
        <v>D1</v>
      </c>
      <c r="AF102" s="1395" t="s">
        <v>5462</v>
      </c>
      <c r="AG102" s="1395">
        <v>7</v>
      </c>
      <c r="AH102" s="1395" t="str">
        <f t="shared" ca="1" si="258"/>
        <v/>
      </c>
      <c r="AI102" s="1395" t="str">
        <f t="shared" ca="1" si="259"/>
        <v/>
      </c>
      <c r="AJ102" s="1395" t="str">
        <f t="shared" ca="1" si="260"/>
        <v/>
      </c>
      <c r="AK102" s="1395" t="str">
        <f t="shared" ca="1" si="261"/>
        <v/>
      </c>
      <c r="AL102" s="2220" t="str">
        <f t="shared" si="244"/>
        <v/>
      </c>
      <c r="AM102" s="2220" t="str">
        <f t="shared" si="245"/>
        <v/>
      </c>
      <c r="AN102" s="2220" t="str">
        <f t="shared" si="246"/>
        <v/>
      </c>
      <c r="AO102" s="2220" t="str">
        <f t="shared" si="247"/>
        <v/>
      </c>
      <c r="AP102" s="2220" t="str">
        <f t="shared" si="248"/>
        <v/>
      </c>
    </row>
    <row r="103" spans="1:42" ht="15.75" thickBot="1" x14ac:dyDescent="0.25">
      <c r="A103" s="789">
        <f>A94+P94</f>
        <v>0.70138888888888939</v>
      </c>
      <c r="B103" s="790"/>
      <c r="C103" s="791" t="str">
        <f t="shared" ref="C103" si="262">N_Session</f>
        <v xml:space="preserve">Session N° </v>
      </c>
      <c r="D103" s="792"/>
      <c r="E103" s="793">
        <f>E94+ 1</f>
        <v>12</v>
      </c>
      <c r="F103" s="794"/>
      <c r="G103" s="795" t="str">
        <f>"S" &amp; RIGHT(G94, LEN(G94)-1) + 1</f>
        <v>S12</v>
      </c>
      <c r="H103" s="794"/>
      <c r="I103" s="794"/>
      <c r="J103" s="794"/>
      <c r="K103" s="794"/>
      <c r="L103" s="791" t="str">
        <f t="shared" ref="L103" si="263">N_Duration</f>
        <v>Durée</v>
      </c>
      <c r="M103" s="796"/>
      <c r="N103" s="797" t="s">
        <v>1714</v>
      </c>
      <c r="O103" s="796"/>
      <c r="P103" s="798">
        <v>2.7777777777777776E-2</v>
      </c>
      <c r="Q103" s="799"/>
      <c r="R103" s="800"/>
      <c r="S103" s="796"/>
      <c r="T103" s="800"/>
      <c r="U103" s="796"/>
      <c r="V103" s="796"/>
      <c r="W103" s="796"/>
      <c r="X103" s="796"/>
      <c r="Y103" s="796"/>
      <c r="Z103" s="796"/>
      <c r="AA103" s="799"/>
      <c r="AB103" s="801"/>
      <c r="AC103" s="1394"/>
      <c r="AD103" s="1394"/>
      <c r="AE103" s="1394"/>
      <c r="AF103" s="1394"/>
      <c r="AG103" s="1394"/>
      <c r="AH103" s="1394"/>
      <c r="AI103" s="1394"/>
      <c r="AJ103" s="1394"/>
      <c r="AK103" s="1394"/>
      <c r="AL103" s="2219"/>
      <c r="AM103" s="2219"/>
      <c r="AN103" s="2219"/>
      <c r="AO103" s="2219"/>
      <c r="AP103" s="2219"/>
    </row>
    <row r="104" spans="1:42" s="1397" customFormat="1" ht="15.75" thickBot="1" x14ac:dyDescent="0.25">
      <c r="A104" s="789">
        <f>A103+P103</f>
        <v>0.72916666666666718</v>
      </c>
      <c r="B104" s="790"/>
      <c r="C104" s="791" t="str">
        <f t="shared" si="0"/>
        <v xml:space="preserve">Session N° </v>
      </c>
      <c r="D104" s="792"/>
      <c r="E104" s="793">
        <f>E103+ 1</f>
        <v>13</v>
      </c>
      <c r="F104" s="794"/>
      <c r="G104" s="795" t="str">
        <f>"S" &amp; RIGHT(G103, LEN(G103)-1) + 1</f>
        <v>S13</v>
      </c>
      <c r="H104" s="794"/>
      <c r="I104" s="794"/>
      <c r="J104" s="794"/>
      <c r="K104" s="794"/>
      <c r="L104" s="791" t="str">
        <f t="shared" si="1"/>
        <v>Durée</v>
      </c>
      <c r="M104" s="796"/>
      <c r="N104" s="797" t="s">
        <v>1714</v>
      </c>
      <c r="O104" s="796"/>
      <c r="P104" s="798">
        <v>4.5138888888888888E-2</v>
      </c>
      <c r="Q104" s="799"/>
      <c r="R104" s="800"/>
      <c r="S104" s="796"/>
      <c r="T104" s="800"/>
      <c r="U104" s="796"/>
      <c r="V104" s="796"/>
      <c r="W104" s="796"/>
      <c r="X104" s="796"/>
      <c r="Y104" s="796"/>
      <c r="Z104" s="796"/>
      <c r="AA104" s="799"/>
      <c r="AB104" s="801"/>
      <c r="AC104" s="1394"/>
      <c r="AD104" s="1394"/>
      <c r="AE104" s="1394"/>
      <c r="AF104" s="1394"/>
      <c r="AG104" s="1394"/>
      <c r="AH104" s="1394"/>
      <c r="AI104" s="1394"/>
      <c r="AJ104" s="1394"/>
      <c r="AK104" s="1394"/>
      <c r="AL104" s="2219"/>
      <c r="AM104" s="2219"/>
      <c r="AN104" s="2219"/>
      <c r="AO104" s="2219"/>
      <c r="AP104" s="2219"/>
    </row>
    <row r="105" spans="1:42" s="1397" customFormat="1" ht="15.75" thickBot="1" x14ac:dyDescent="0.25">
      <c r="A105" s="789">
        <v>0.71180555555555558</v>
      </c>
      <c r="B105" s="790"/>
      <c r="C105" s="791" t="str">
        <f t="shared" si="0"/>
        <v xml:space="preserve">Session N° </v>
      </c>
      <c r="D105" s="792"/>
      <c r="E105" s="793">
        <f>E104+1</f>
        <v>14</v>
      </c>
      <c r="F105" s="794"/>
      <c r="G105" s="795" t="str">
        <f>"S" &amp; RIGHT(G104, LEN(G104)-1) + 1</f>
        <v>S14</v>
      </c>
      <c r="H105" s="794"/>
      <c r="I105" s="794"/>
      <c r="J105" s="794"/>
      <c r="K105" s="794"/>
      <c r="L105" s="791" t="str">
        <f t="shared" si="1"/>
        <v>Durée</v>
      </c>
      <c r="M105" s="796"/>
      <c r="N105" s="797" t="s">
        <v>1714</v>
      </c>
      <c r="O105" s="796"/>
      <c r="P105" s="798">
        <v>4.5138888888888888E-2</v>
      </c>
      <c r="Q105" s="799"/>
      <c r="R105" s="800"/>
      <c r="S105" s="796"/>
      <c r="T105" s="800"/>
      <c r="U105" s="796"/>
      <c r="V105" s="796"/>
      <c r="W105" s="796"/>
      <c r="X105" s="796"/>
      <c r="Y105" s="796"/>
      <c r="Z105" s="796"/>
      <c r="AA105" s="799"/>
      <c r="AB105" s="801"/>
      <c r="AC105" s="1394"/>
      <c r="AD105" s="1394"/>
      <c r="AE105" s="1394"/>
      <c r="AF105" s="1394"/>
      <c r="AG105" s="1394"/>
      <c r="AH105" s="1394"/>
      <c r="AI105" s="1394"/>
      <c r="AJ105" s="1394"/>
      <c r="AK105" s="1394"/>
      <c r="AL105" s="2219"/>
      <c r="AM105" s="2219"/>
      <c r="AN105" s="2219"/>
      <c r="AO105" s="2219"/>
      <c r="AP105" s="2219"/>
    </row>
    <row r="106" spans="1:42" ht="15.75" thickBot="1" x14ac:dyDescent="0.25">
      <c r="A106" s="1393">
        <v>0.75694444444444442</v>
      </c>
      <c r="B106" s="790"/>
      <c r="C106" s="791" t="str">
        <f t="shared" si="0"/>
        <v xml:space="preserve">Session N° </v>
      </c>
      <c r="D106" s="792"/>
      <c r="E106" s="793">
        <f>E105+1</f>
        <v>15</v>
      </c>
      <c r="F106" s="794"/>
      <c r="G106" s="795" t="str">
        <f>"S" &amp; RIGHT(G105, LEN(G105)-1) + 1</f>
        <v>S15</v>
      </c>
      <c r="H106" s="794"/>
      <c r="I106" s="794"/>
      <c r="J106" s="794"/>
      <c r="K106" s="794"/>
      <c r="L106" s="791" t="str">
        <f t="shared" si="1"/>
        <v>Durée</v>
      </c>
      <c r="M106" s="796"/>
      <c r="N106" s="797" t="s">
        <v>1714</v>
      </c>
      <c r="O106" s="796"/>
      <c r="P106" s="798">
        <v>4.5138888888888888E-2</v>
      </c>
      <c r="Q106" s="799"/>
      <c r="R106" s="800"/>
      <c r="S106" s="796"/>
      <c r="T106" s="800"/>
      <c r="U106" s="796"/>
      <c r="V106" s="796"/>
      <c r="W106" s="796"/>
      <c r="X106" s="796"/>
      <c r="Y106" s="796"/>
      <c r="Z106" s="796"/>
      <c r="AA106" s="799"/>
      <c r="AB106" s="801"/>
      <c r="AC106" s="1394"/>
      <c r="AD106" s="1398"/>
      <c r="AE106" s="1398"/>
      <c r="AF106" s="1398"/>
      <c r="AG106" s="1398"/>
      <c r="AH106" s="1398"/>
      <c r="AI106" s="1398"/>
      <c r="AJ106" s="1398"/>
      <c r="AK106" s="1398"/>
      <c r="AL106" s="2219"/>
      <c r="AM106" s="2219"/>
      <c r="AN106" s="2219"/>
      <c r="AO106" s="2219"/>
      <c r="AP106" s="2219"/>
    </row>
    <row r="107" spans="1:42" s="1397" customFormat="1" ht="15" x14ac:dyDescent="0.2">
      <c r="A107" s="1393">
        <f>A106+P106</f>
        <v>0.80208333333333326</v>
      </c>
      <c r="B107" s="790"/>
      <c r="C107" s="791" t="str">
        <f t="shared" si="0"/>
        <v xml:space="preserve">Session N° </v>
      </c>
      <c r="D107" s="792"/>
      <c r="E107" s="793">
        <f>E106+1</f>
        <v>16</v>
      </c>
      <c r="F107" s="794"/>
      <c r="G107" s="795" t="str">
        <f>"S" &amp; RIGHT(G106, LEN(G106)-1) + 1</f>
        <v>S16</v>
      </c>
      <c r="H107" s="794"/>
      <c r="I107" s="794"/>
      <c r="J107" s="794"/>
      <c r="K107" s="794"/>
      <c r="L107" s="791" t="str">
        <f t="shared" si="1"/>
        <v>Durée</v>
      </c>
      <c r="M107" s="796"/>
      <c r="N107" s="797" t="s">
        <v>1714</v>
      </c>
      <c r="O107" s="796"/>
      <c r="P107" s="798">
        <v>4.5138888888888888E-2</v>
      </c>
      <c r="Q107" s="799"/>
      <c r="R107" s="800"/>
      <c r="S107" s="796"/>
      <c r="T107" s="800"/>
      <c r="U107" s="796"/>
      <c r="V107" s="796"/>
      <c r="W107" s="796"/>
      <c r="X107" s="796"/>
      <c r="Y107" s="796"/>
      <c r="Z107" s="796"/>
      <c r="AA107" s="799"/>
      <c r="AB107" s="801"/>
      <c r="AC107" s="1394"/>
      <c r="AD107" s="1394"/>
      <c r="AE107" s="1394"/>
      <c r="AF107" s="1394"/>
      <c r="AG107" s="1394"/>
      <c r="AH107" s="1394"/>
      <c r="AI107" s="1394"/>
      <c r="AJ107" s="1394"/>
      <c r="AK107" s="1394"/>
      <c r="AL107" s="2219"/>
      <c r="AM107" s="2219"/>
      <c r="AN107" s="2219"/>
      <c r="AO107" s="2219"/>
      <c r="AP107" s="2219"/>
    </row>
    <row r="108" spans="1:42" outlineLevel="1" x14ac:dyDescent="0.2">
      <c r="A108" s="814">
        <f t="shared" ref="A108:A117" ca="1" si="264">OFFSET(A108,-1,0)</f>
        <v>0.80208333333333326</v>
      </c>
      <c r="B108" s="815"/>
      <c r="C108" s="2226" t="str">
        <f>"D1_Top8 - " &amp; N_Group &amp; " 1" &amp; " - " &amp; N_Round &amp; " 5"</f>
        <v>D1_Top8 - Poule 1 - Tr 5</v>
      </c>
      <c r="D108" s="872"/>
      <c r="E108" s="327"/>
      <c r="F108" s="815"/>
      <c r="G108" s="817" t="s">
        <v>1715</v>
      </c>
      <c r="H108" s="817" t="str">
        <f t="shared" ref="H108:H115" si="265">IF(K108="","",SUBSTITUTE(MID(K108,1,SEARCH("!",K108,1)-1),"'",""))</f>
        <v>D1_Top8</v>
      </c>
      <c r="I108" s="817">
        <f t="shared" ref="I108:I115" ca="1" si="266">IF(K108="","",CELL("row",INDIRECT(K108)))</f>
        <v>25</v>
      </c>
      <c r="J108" s="817">
        <f t="shared" ref="J108:J115" ca="1" si="267">IF(K108="","",CELL("col",INDIRECT(K108)))</f>
        <v>22</v>
      </c>
      <c r="K108" s="817" t="str">
        <f t="shared" ref="K108:K115" si="268">MID(Lire_Formule(L108),2,10000)</f>
        <v>D1_Top8!V25</v>
      </c>
      <c r="L108" s="818" t="str">
        <f>D1_Top8!V25</f>
        <v>Théo MODESTE (iss)</v>
      </c>
      <c r="M108" s="10" cm="1">
        <f t="array" aca="1" ref="M108" ca="1">IF(AND(ISNA(MATCH(L108&amp;P108,D1_Tr1!$V:$V&amp;D1_Tr1!$Z:$Z,0)),ISNA(MATCH(P108&amp;L108,D1_Tr1!$V:$V&amp;D1_Tr1!$Z:$Z,0))),"",IFERROR(INDEX(D1_Tr1!$W:$W,MATCH($L108&amp;$P108,D1_Tr1!$V:$V&amp;D1_Tr1!$Z:$Z,0)),0)+IFERROR(INDEX(D1_Tr1!$Y:$Y,MATCH($P108&amp;$L108,D1_Tr1!$V:$V&amp;D1_Tr1!$Z:$Z,0)),0))</f>
        <v>3</v>
      </c>
      <c r="N108" s="394" t="s">
        <v>769</v>
      </c>
      <c r="O108" s="10" cm="1">
        <f t="array" aca="1" ref="O108" ca="1">IF(AND(ISNA(MATCH(L108&amp;P108,D1_Tr1!$V:$V&amp;D1_Tr1!$Z:$Z,0)),ISNA(MATCH(P108&amp;L108,D1_Tr1!$V:$V&amp;D1_Tr1!$Z:$Z,0))),"",IFERROR(INDEX(D1_Tr1!$Y:$Y,MATCH($L108&amp;$P108,D1_Tr1!$V:$V&amp;D1_Tr1!$Z:$Z,0)),0)+IFERROR(INDEX(D1_Tr1!$W:$W,MATCH($P108&amp;$L108,D1_Tr1!$V:$V&amp;D1_Tr1!$Z:$Z,0)),0))</f>
        <v>7</v>
      </c>
      <c r="P108" s="818" t="str">
        <f t="shared" ref="P108:P115" ca="1" si="269">IF(K108="","",IF(G108="IT",INDIRECT(ADDRESS(I108+2,J108,4,TRUE,H108)),INDIRECT(ADDRESS(I108,J108+4,4,TRUE,H108))))</f>
        <v>David LEROY (puy)</v>
      </c>
      <c r="Q108" s="819"/>
      <c r="R108" s="397"/>
      <c r="S108" s="397"/>
      <c r="T108" s="397"/>
      <c r="U108" s="397"/>
      <c r="V108" s="820" t="str">
        <f t="shared" ref="V108:V115" ca="1" si="270">L108&amp;TEXT(A108,"hh:mm")</f>
        <v>Théo MODESTE (iss)19:15</v>
      </c>
      <c r="W108" s="820" t="str">
        <f t="shared" ref="W108:W115" ca="1" si="271">P108&amp;TEXT(A108,"hh:mm")</f>
        <v>David LEROY (puy)19:15</v>
      </c>
      <c r="X108" s="362">
        <f t="shared" ref="X108:X131" ca="1" si="272">IF(L108="",0,COUNTIF(PlayersAndHoursCol1,L108&amp;TEXT($A108,"hh:mm"))+COUNTIF(PlayersAndHoursCol2,L108&amp;TEXT($A108,"hh:mm")))</f>
        <v>3</v>
      </c>
      <c r="Y108" s="362">
        <f t="shared" ref="Y108:Y131" ca="1" si="273">IF(P108="",0,COUNTIF(PlayersAndHoursCol1,P108&amp;TEXT($A108,"hh:mm"))+COUNTIF(PlayersAndHoursCol2,P108&amp;TEXT($A108,"hh:mm")))</f>
        <v>3</v>
      </c>
      <c r="Z108" s="821" t="b">
        <f t="shared" ref="Z108:Z131" si="274">IF(AA108="",FALSE,NOT(AND(ISNA(MATCH(AA108&amp;TEXT($A108,"hh:mm"),PlayersAndHoursCol1,0)),ISNA(MATCH(AA108&amp;TEXT($A108,"hh:mm"),PlayersAndHoursCol2,0)),COUNTIF(AD:AD,AA108&amp;$A108)&lt;=1)))</f>
        <v>0</v>
      </c>
      <c r="AA108" s="1317"/>
      <c r="AB108" s="1327"/>
      <c r="AD108" s="1395" t="str">
        <f t="shared" ref="AD108:AD115" ca="1" si="275">AA108&amp;A108</f>
        <v>0,802083333333333</v>
      </c>
      <c r="AE108" s="1395" t="str">
        <f>D1_Top8!D1</f>
        <v>D1</v>
      </c>
      <c r="AF108" s="1395" t="s">
        <v>5462</v>
      </c>
      <c r="AG108" s="1395">
        <v>5</v>
      </c>
      <c r="AH108" s="1395" t="str">
        <f t="shared" ref="AH108:AH115" ca="1" si="276">IF(OR(M108&gt;O108,R108&gt;T108),L108,IF(OR(M108&lt;O108,R108&lt;T108),P108,""))</f>
        <v>David LEROY (puy)</v>
      </c>
      <c r="AI108" s="1395" t="str">
        <f t="shared" ref="AI108:AI115" ca="1" si="277">IF(AND(M108&lt;&gt;"",M108=O108,R108=T108),L108,"")</f>
        <v/>
      </c>
      <c r="AJ108" s="1395" t="str">
        <f t="shared" ref="AJ108:AJ115" ca="1" si="278">IF(AND(M108&lt;&gt;"",M108=O108,R108=T108),P108,"")</f>
        <v/>
      </c>
      <c r="AK108" s="1395" t="str">
        <f t="shared" ref="AK108:AK115" ca="1" si="279">IF(OR(M108&lt;O108,R108&lt;T108),L108,IF(OR(M108&gt;O108,R108&gt;T108),P108,""))</f>
        <v>Théo MODESTE (iss)</v>
      </c>
      <c r="AL108" s="2220" t="str">
        <f t="shared" ref="AL108:AL131" si="280">IF(OR($AB108="",$AB108="V"),"",IF(MOD($AB108,10)=1,"XXX",""))</f>
        <v/>
      </c>
      <c r="AM108" s="2220" t="str">
        <f t="shared" ref="AM108:AM131" si="281">IF(OR($AB108="",$AB108="V"),"",IF(MOD($AB108,100)&gt;=10,"XXX",""))</f>
        <v/>
      </c>
      <c r="AN108" s="2220" t="str">
        <f t="shared" ref="AN108:AN131" si="282">IF(OR($AB108="",$AB108="V"),"",IF(MOD($AB108,1000)&gt;=100,"XXX",""))</f>
        <v/>
      </c>
      <c r="AO108" s="2220" t="str">
        <f t="shared" ref="AO108:AO131" si="283">IF(OR($AB108="",$AB108="V"),"",IF(MOD($AB108,10000)&gt;=1000,"XXX",""))</f>
        <v/>
      </c>
      <c r="AP108" s="2220" t="str">
        <f t="shared" ref="AP108:AP131" si="284">IF(OR($AB108="",$AB108="V"),"",IF(MOD($AB108,100000)&gt;=10000,"XXX",""))</f>
        <v/>
      </c>
    </row>
    <row r="109" spans="1:42" outlineLevel="1" x14ac:dyDescent="0.2">
      <c r="A109" s="814">
        <f t="shared" ca="1" si="264"/>
        <v>0.80208333333333326</v>
      </c>
      <c r="B109" s="815"/>
      <c r="C109" s="2226" t="str">
        <f>"D1_Top8 - " &amp; N_Group &amp; " 1" &amp; " - " &amp; N_Round &amp; " 5"</f>
        <v>D1_Top8 - Poule 1 - Tr 5</v>
      </c>
      <c r="D109" s="872"/>
      <c r="E109" s="327"/>
      <c r="F109" s="815"/>
      <c r="G109" s="817" t="s">
        <v>1715</v>
      </c>
      <c r="H109" s="817" t="str">
        <f t="shared" si="265"/>
        <v>D1_Top8</v>
      </c>
      <c r="I109" s="817">
        <f t="shared" ca="1" si="266"/>
        <v>26</v>
      </c>
      <c r="J109" s="817">
        <f t="shared" ca="1" si="267"/>
        <v>22</v>
      </c>
      <c r="K109" s="817" t="str">
        <f t="shared" si="268"/>
        <v>D1_Top8!V26</v>
      </c>
      <c r="L109" s="818" t="str">
        <f>D1_Top8!V26</f>
        <v>Quentin AUSSET (chp)</v>
      </c>
      <c r="M109" s="10" cm="1">
        <f t="array" aca="1" ref="M109" ca="1">IF(AND(ISNA(MATCH(L109&amp;P109,D1_Tr1!$V:$V&amp;D1_Tr1!$Z:$Z,0)),ISNA(MATCH(P109&amp;L109,D1_Tr1!$V:$V&amp;D1_Tr1!$Z:$Z,0))),"",IFERROR(INDEX(D1_Tr1!$W:$W,MATCH($L109&amp;$P109,D1_Tr1!$V:$V&amp;D1_Tr1!$Z:$Z,0)),0)+IFERROR(INDEX(D1_Tr1!$Y:$Y,MATCH($P109&amp;$L109,D1_Tr1!$V:$V&amp;D1_Tr1!$Z:$Z,0)),0))</f>
        <v>1</v>
      </c>
      <c r="N109" s="394" t="s">
        <v>769</v>
      </c>
      <c r="O109" s="10" cm="1">
        <f t="array" aca="1" ref="O109" ca="1">IF(AND(ISNA(MATCH(L109&amp;P109,D1_Tr1!$V:$V&amp;D1_Tr1!$Z:$Z,0)),ISNA(MATCH(P109&amp;L109,D1_Tr1!$V:$V&amp;D1_Tr1!$Z:$Z,0))),"",IFERROR(INDEX(D1_Tr1!$Y:$Y,MATCH($L109&amp;$P109,D1_Tr1!$V:$V&amp;D1_Tr1!$Z:$Z,0)),0)+IFERROR(INDEX(D1_Tr1!$W:$W,MATCH($P109&amp;$L109,D1_Tr1!$V:$V&amp;D1_Tr1!$Z:$Z,0)),0))</f>
        <v>3</v>
      </c>
      <c r="P109" s="818" t="str">
        <f t="shared" ca="1" si="269"/>
        <v>Mickaël BLANC (sym)</v>
      </c>
      <c r="Q109" s="819"/>
      <c r="R109" s="397"/>
      <c r="S109" s="397"/>
      <c r="T109" s="397"/>
      <c r="U109" s="397"/>
      <c r="V109" s="820" t="str">
        <f t="shared" ca="1" si="270"/>
        <v>Quentin AUSSET (chp)19:15</v>
      </c>
      <c r="W109" s="820" t="str">
        <f t="shared" ca="1" si="271"/>
        <v>Mickaël BLANC (sym)19:15</v>
      </c>
      <c r="X109" s="362">
        <f t="shared" ca="1" si="272"/>
        <v>3</v>
      </c>
      <c r="Y109" s="362">
        <f t="shared" ca="1" si="273"/>
        <v>3</v>
      </c>
      <c r="Z109" s="821" t="b">
        <f t="shared" si="274"/>
        <v>0</v>
      </c>
      <c r="AA109" s="1317"/>
      <c r="AB109" s="1327"/>
      <c r="AD109" s="1395" t="str">
        <f t="shared" ca="1" si="275"/>
        <v>0,802083333333333</v>
      </c>
      <c r="AE109" s="1395" t="str">
        <f>D1_Top8!D1</f>
        <v>D1</v>
      </c>
      <c r="AF109" s="1395" t="s">
        <v>5462</v>
      </c>
      <c r="AG109" s="1395">
        <v>5</v>
      </c>
      <c r="AH109" s="1395" t="str">
        <f t="shared" ca="1" si="276"/>
        <v>Mickaël BLANC (sym)</v>
      </c>
      <c r="AI109" s="1395" t="str">
        <f t="shared" ca="1" si="277"/>
        <v/>
      </c>
      <c r="AJ109" s="1395" t="str">
        <f t="shared" ca="1" si="278"/>
        <v/>
      </c>
      <c r="AK109" s="1395" t="str">
        <f t="shared" ca="1" si="279"/>
        <v>Quentin AUSSET (chp)</v>
      </c>
      <c r="AL109" s="2220" t="str">
        <f t="shared" si="280"/>
        <v/>
      </c>
      <c r="AM109" s="2220" t="str">
        <f t="shared" si="281"/>
        <v/>
      </c>
      <c r="AN109" s="2220" t="str">
        <f t="shared" si="282"/>
        <v/>
      </c>
      <c r="AO109" s="2220" t="str">
        <f t="shared" si="283"/>
        <v/>
      </c>
      <c r="AP109" s="2220" t="str">
        <f t="shared" si="284"/>
        <v/>
      </c>
    </row>
    <row r="110" spans="1:42" outlineLevel="1" x14ac:dyDescent="0.2">
      <c r="A110" s="814">
        <f t="shared" ca="1" si="264"/>
        <v>0.80208333333333326</v>
      </c>
      <c r="B110" s="815"/>
      <c r="C110" s="2226" t="str">
        <f>"D1_Last8 - " &amp; N_Group &amp; " 1" &amp; " - " &amp; N_Round &amp; " 5"</f>
        <v>D1_Last8 - Poule 1 - Tr 5</v>
      </c>
      <c r="D110" s="872"/>
      <c r="E110" s="327"/>
      <c r="F110" s="815"/>
      <c r="G110" s="817" t="s">
        <v>1715</v>
      </c>
      <c r="H110" s="817" t="str">
        <f t="shared" si="265"/>
        <v>D1_Last8</v>
      </c>
      <c r="I110" s="817">
        <f t="shared" ca="1" si="266"/>
        <v>25</v>
      </c>
      <c r="J110" s="817">
        <f t="shared" ca="1" si="267"/>
        <v>22</v>
      </c>
      <c r="K110" s="817" t="str">
        <f t="shared" si="268"/>
        <v>D1_Last8!V25</v>
      </c>
      <c r="L110" s="818" t="str">
        <f>D1_Last8!V25</f>
        <v>Cyprien BONNET (sym)</v>
      </c>
      <c r="M110" s="10" cm="1">
        <f t="array" aca="1" ref="M110" ca="1">IF(AND(ISNA(MATCH(L110&amp;P110,D1_Tr1!$V:$V&amp;D1_Tr1!$Z:$Z,0)),ISNA(MATCH(P110&amp;L110,D1_Tr1!$V:$V&amp;D1_Tr1!$Z:$Z,0))),"",IFERROR(INDEX(D1_Tr1!$W:$W,MATCH($L110&amp;$P110,D1_Tr1!$V:$V&amp;D1_Tr1!$Z:$Z,0)),0)+IFERROR(INDEX(D1_Tr1!$Y:$Y,MATCH($P110&amp;$L110,D1_Tr1!$V:$V&amp;D1_Tr1!$Z:$Z,0)),0))</f>
        <v>3</v>
      </c>
      <c r="N110" s="394" t="s">
        <v>769</v>
      </c>
      <c r="O110" s="10" cm="1">
        <f t="array" aca="1" ref="O110" ca="1">IF(AND(ISNA(MATCH(L110&amp;P110,D1_Tr1!$V:$V&amp;D1_Tr1!$Z:$Z,0)),ISNA(MATCH(P110&amp;L110,D1_Tr1!$V:$V&amp;D1_Tr1!$Z:$Z,0))),"",IFERROR(INDEX(D1_Tr1!$Y:$Y,MATCH($L110&amp;$P110,D1_Tr1!$V:$V&amp;D1_Tr1!$Z:$Z,0)),0)+IFERROR(INDEX(D1_Tr1!$W:$W,MATCH($P110&amp;$L110,D1_Tr1!$V:$V&amp;D1_Tr1!$Z:$Z,0)),0))</f>
        <v>5</v>
      </c>
      <c r="P110" s="818" t="str">
        <f t="shared" ca="1" si="269"/>
        <v>Françoise GUYOT (chp)</v>
      </c>
      <c r="Q110" s="819"/>
      <c r="R110" s="397"/>
      <c r="S110" s="397"/>
      <c r="T110" s="397"/>
      <c r="U110" s="397"/>
      <c r="V110" s="820" t="str">
        <f t="shared" ca="1" si="270"/>
        <v>Cyprien BONNET (sym)19:15</v>
      </c>
      <c r="W110" s="820" t="str">
        <f t="shared" ca="1" si="271"/>
        <v>Françoise GUYOT (chp)19:15</v>
      </c>
      <c r="X110" s="362">
        <f t="shared" ca="1" si="272"/>
        <v>3</v>
      </c>
      <c r="Y110" s="362">
        <f t="shared" ca="1" si="273"/>
        <v>3</v>
      </c>
      <c r="Z110" s="821" t="b">
        <f t="shared" si="274"/>
        <v>0</v>
      </c>
      <c r="AA110" s="1317"/>
      <c r="AB110" s="1327"/>
      <c r="AD110" s="1395" t="str">
        <f t="shared" ca="1" si="275"/>
        <v>0,802083333333333</v>
      </c>
      <c r="AE110" s="1395" t="str">
        <f>D1_Last8!D1</f>
        <v>D1</v>
      </c>
      <c r="AF110" s="1395" t="s">
        <v>5462</v>
      </c>
      <c r="AG110" s="1395">
        <v>5</v>
      </c>
      <c r="AH110" s="1395" t="str">
        <f t="shared" ca="1" si="276"/>
        <v>Françoise GUYOT (chp)</v>
      </c>
      <c r="AI110" s="1395" t="str">
        <f t="shared" ca="1" si="277"/>
        <v/>
      </c>
      <c r="AJ110" s="1395" t="str">
        <f t="shared" ca="1" si="278"/>
        <v/>
      </c>
      <c r="AK110" s="1395" t="str">
        <f t="shared" ca="1" si="279"/>
        <v>Cyprien BONNET (sym)</v>
      </c>
      <c r="AL110" s="2220" t="str">
        <f t="shared" si="280"/>
        <v/>
      </c>
      <c r="AM110" s="2220" t="str">
        <f t="shared" si="281"/>
        <v/>
      </c>
      <c r="AN110" s="2220" t="str">
        <f t="shared" si="282"/>
        <v/>
      </c>
      <c r="AO110" s="2220" t="str">
        <f t="shared" si="283"/>
        <v/>
      </c>
      <c r="AP110" s="2220" t="str">
        <f t="shared" si="284"/>
        <v/>
      </c>
    </row>
    <row r="111" spans="1:42" outlineLevel="1" x14ac:dyDescent="0.2">
      <c r="A111" s="814">
        <f t="shared" ca="1" si="264"/>
        <v>0.80208333333333326</v>
      </c>
      <c r="B111" s="815"/>
      <c r="C111" s="2226" t="str">
        <f>"D1_Last8 - " &amp; N_Group &amp; " 1" &amp; " - " &amp; N_Round &amp; " 5"</f>
        <v>D1_Last8 - Poule 1 - Tr 5</v>
      </c>
      <c r="D111" s="872"/>
      <c r="E111" s="327"/>
      <c r="F111" s="815"/>
      <c r="G111" s="817" t="s">
        <v>1715</v>
      </c>
      <c r="H111" s="817" t="str">
        <f t="shared" si="265"/>
        <v>D1_Last8</v>
      </c>
      <c r="I111" s="817">
        <f t="shared" ca="1" si="266"/>
        <v>26</v>
      </c>
      <c r="J111" s="817">
        <f t="shared" ca="1" si="267"/>
        <v>22</v>
      </c>
      <c r="K111" s="817" t="str">
        <f t="shared" si="268"/>
        <v>D1_Last8!V26</v>
      </c>
      <c r="L111" s="818" t="str">
        <f>D1_Last8!V26</f>
        <v>Jean-François BALARD (puy)</v>
      </c>
      <c r="M111" s="10" cm="1">
        <f t="array" aca="1" ref="M111" ca="1">IF(AND(ISNA(MATCH(L111&amp;P111,D1_Tr1!$V:$V&amp;D1_Tr1!$Z:$Z,0)),ISNA(MATCH(P111&amp;L111,D1_Tr1!$V:$V&amp;D1_Tr1!$Z:$Z,0))),"",IFERROR(INDEX(D1_Tr1!$W:$W,MATCH($L111&amp;$P111,D1_Tr1!$V:$V&amp;D1_Tr1!$Z:$Z,0)),0)+IFERROR(INDEX(D1_Tr1!$Y:$Y,MATCH($P111&amp;$L111,D1_Tr1!$V:$V&amp;D1_Tr1!$Z:$Z,0)),0))</f>
        <v>3</v>
      </c>
      <c r="N111" s="394" t="s">
        <v>769</v>
      </c>
      <c r="O111" s="10" cm="1">
        <f t="array" aca="1" ref="O111" ca="1">IF(AND(ISNA(MATCH(L111&amp;P111,D1_Tr1!$V:$V&amp;D1_Tr1!$Z:$Z,0)),ISNA(MATCH(P111&amp;L111,D1_Tr1!$V:$V&amp;D1_Tr1!$Z:$Z,0))),"",IFERROR(INDEX(D1_Tr1!$Y:$Y,MATCH($L111&amp;$P111,D1_Tr1!$V:$V&amp;D1_Tr1!$Z:$Z,0)),0)+IFERROR(INDEX(D1_Tr1!$W:$W,MATCH($P111&amp;$L111,D1_Tr1!$V:$V&amp;D1_Tr1!$Z:$Z,0)),0))</f>
        <v>2</v>
      </c>
      <c r="P111" s="818" t="str">
        <f t="shared" ca="1" si="269"/>
        <v>Axel DONVAL (iss)</v>
      </c>
      <c r="Q111" s="819"/>
      <c r="R111" s="397"/>
      <c r="S111" s="397"/>
      <c r="T111" s="397"/>
      <c r="U111" s="397"/>
      <c r="V111" s="820" t="str">
        <f t="shared" ca="1" si="270"/>
        <v>Jean-François BALARD (puy)19:15</v>
      </c>
      <c r="W111" s="820" t="str">
        <f t="shared" ca="1" si="271"/>
        <v>Axel DONVAL (iss)19:15</v>
      </c>
      <c r="X111" s="362">
        <f t="shared" ca="1" si="272"/>
        <v>3</v>
      </c>
      <c r="Y111" s="362">
        <f t="shared" ca="1" si="273"/>
        <v>3</v>
      </c>
      <c r="Z111" s="821" t="b">
        <f t="shared" si="274"/>
        <v>0</v>
      </c>
      <c r="AA111" s="1317"/>
      <c r="AB111" s="1327"/>
      <c r="AD111" s="1395" t="str">
        <f t="shared" ca="1" si="275"/>
        <v>0,802083333333333</v>
      </c>
      <c r="AE111" s="1395" t="str">
        <f>D1_Last8!D1</f>
        <v>D1</v>
      </c>
      <c r="AF111" s="1395" t="s">
        <v>5462</v>
      </c>
      <c r="AG111" s="1395">
        <v>5</v>
      </c>
      <c r="AH111" s="1395" t="str">
        <f t="shared" ca="1" si="276"/>
        <v>Jean-François BALARD (puy)</v>
      </c>
      <c r="AI111" s="1395" t="str">
        <f t="shared" ca="1" si="277"/>
        <v/>
      </c>
      <c r="AJ111" s="1395" t="str">
        <f t="shared" ca="1" si="278"/>
        <v/>
      </c>
      <c r="AK111" s="1395" t="str">
        <f t="shared" ca="1" si="279"/>
        <v>Axel DONVAL (iss)</v>
      </c>
      <c r="AL111" s="2220" t="str">
        <f t="shared" si="280"/>
        <v/>
      </c>
      <c r="AM111" s="2220" t="str">
        <f t="shared" si="281"/>
        <v/>
      </c>
      <c r="AN111" s="2220" t="str">
        <f t="shared" si="282"/>
        <v/>
      </c>
      <c r="AO111" s="2220" t="str">
        <f t="shared" si="283"/>
        <v/>
      </c>
      <c r="AP111" s="2220" t="str">
        <f t="shared" si="284"/>
        <v/>
      </c>
    </row>
    <row r="112" spans="1:42" outlineLevel="1" x14ac:dyDescent="0.2">
      <c r="A112" s="814">
        <f t="shared" ca="1" si="264"/>
        <v>0.80208333333333326</v>
      </c>
      <c r="B112" s="815"/>
      <c r="C112" s="2226" t="str">
        <f>"D1_Last8 - " &amp; N_Group &amp; " 1" &amp; " - " &amp; N_Round &amp; " 1"</f>
        <v>D1_Last8 - Poule 1 - Tr 1</v>
      </c>
      <c r="D112" s="872"/>
      <c r="E112" s="327"/>
      <c r="F112" s="815"/>
      <c r="G112" s="817" t="s">
        <v>1715</v>
      </c>
      <c r="H112" s="817" t="str">
        <f t="shared" si="265"/>
        <v>D1_Last8</v>
      </c>
      <c r="I112" s="817">
        <f t="shared" ca="1" si="266"/>
        <v>7</v>
      </c>
      <c r="J112" s="817">
        <f t="shared" ca="1" si="267"/>
        <v>22</v>
      </c>
      <c r="K112" s="817" t="str">
        <f t="shared" si="268"/>
        <v>D1_Last8!V7</v>
      </c>
      <c r="L112" s="818" t="str">
        <f>D1_Last8!V7</f>
        <v>Thierry VIVRON (iss)</v>
      </c>
      <c r="M112" s="10" cm="1">
        <f t="array" aca="1" ref="M112" ca="1">IF(AND(ISNA(MATCH(L112&amp;P112,D1_Tr1!$V:$V&amp;D1_Tr1!$Z:$Z,0)),ISNA(MATCH(P112&amp;L112,D1_Tr1!$V:$V&amp;D1_Tr1!$Z:$Z,0))),"",IFERROR(INDEX(D1_Tr1!$W:$W,MATCH($L112&amp;$P112,D1_Tr1!$V:$V&amp;D1_Tr1!$Z:$Z,0)),0)+IFERROR(INDEX(D1_Tr1!$Y:$Y,MATCH($P112&amp;$L112,D1_Tr1!$V:$V&amp;D1_Tr1!$Z:$Z,0)),0))</f>
        <v>3</v>
      </c>
      <c r="N112" s="394" t="s">
        <v>769</v>
      </c>
      <c r="O112" s="10" cm="1">
        <f t="array" aca="1" ref="O112" ca="1">IF(AND(ISNA(MATCH(L112&amp;P112,D1_Tr1!$V:$V&amp;D1_Tr1!$Z:$Z,0)),ISNA(MATCH(P112&amp;L112,D1_Tr1!$V:$V&amp;D1_Tr1!$Z:$Z,0))),"",IFERROR(INDEX(D1_Tr1!$Y:$Y,MATCH($L112&amp;$P112,D1_Tr1!$V:$V&amp;D1_Tr1!$Z:$Z,0)),0)+IFERROR(INDEX(D1_Tr1!$W:$W,MATCH($P112&amp;$L112,D1_Tr1!$V:$V&amp;D1_Tr1!$Z:$Z,0)),0))</f>
        <v>5</v>
      </c>
      <c r="P112" s="818" t="str">
        <f t="shared" ca="1" si="269"/>
        <v>Cédric PANDOLFI (sym)</v>
      </c>
      <c r="Q112" s="819"/>
      <c r="R112" s="397"/>
      <c r="S112" s="397"/>
      <c r="T112" s="397"/>
      <c r="U112" s="397"/>
      <c r="V112" s="820" t="str">
        <f t="shared" ca="1" si="270"/>
        <v>Thierry VIVRON (iss)19:15</v>
      </c>
      <c r="W112" s="820" t="str">
        <f t="shared" ca="1" si="271"/>
        <v>Cédric PANDOLFI (sym)19:15</v>
      </c>
      <c r="X112" s="362">
        <f t="shared" ca="1" si="272"/>
        <v>3</v>
      </c>
      <c r="Y112" s="362">
        <f t="shared" ca="1" si="273"/>
        <v>3</v>
      </c>
      <c r="Z112" s="821" t="b">
        <f t="shared" si="274"/>
        <v>0</v>
      </c>
      <c r="AA112" s="1317"/>
      <c r="AB112" s="1327"/>
      <c r="AD112" s="1395" t="str">
        <f t="shared" ca="1" si="275"/>
        <v>0,802083333333333</v>
      </c>
      <c r="AE112" s="1395" t="str">
        <f>D1_Last8!D1</f>
        <v>D1</v>
      </c>
      <c r="AF112" s="1395" t="s">
        <v>5462</v>
      </c>
      <c r="AG112" s="1395">
        <v>1</v>
      </c>
      <c r="AH112" s="1395" t="str">
        <f t="shared" ca="1" si="276"/>
        <v>Cédric PANDOLFI (sym)</v>
      </c>
      <c r="AI112" s="1395" t="str">
        <f t="shared" ca="1" si="277"/>
        <v/>
      </c>
      <c r="AJ112" s="1395" t="str">
        <f t="shared" ca="1" si="278"/>
        <v/>
      </c>
      <c r="AK112" s="1395" t="str">
        <f t="shared" ca="1" si="279"/>
        <v>Thierry VIVRON (iss)</v>
      </c>
      <c r="AL112" s="2220" t="str">
        <f t="shared" si="280"/>
        <v/>
      </c>
      <c r="AM112" s="2220" t="str">
        <f t="shared" si="281"/>
        <v/>
      </c>
      <c r="AN112" s="2220" t="str">
        <f t="shared" si="282"/>
        <v/>
      </c>
      <c r="AO112" s="2220" t="str">
        <f t="shared" si="283"/>
        <v/>
      </c>
      <c r="AP112" s="2220" t="str">
        <f t="shared" si="284"/>
        <v/>
      </c>
    </row>
    <row r="113" spans="1:42" outlineLevel="1" x14ac:dyDescent="0.2">
      <c r="A113" s="814">
        <f t="shared" ca="1" si="264"/>
        <v>0.80208333333333326</v>
      </c>
      <c r="B113" s="815"/>
      <c r="C113" s="2226" t="str">
        <f>"D1_Last8 - " &amp; N_Group &amp; " 1" &amp; " - " &amp; N_Round &amp; " 1"</f>
        <v>D1_Last8 - Poule 1 - Tr 1</v>
      </c>
      <c r="D113" s="872"/>
      <c r="E113" s="327"/>
      <c r="F113" s="815"/>
      <c r="G113" s="817" t="s">
        <v>1715</v>
      </c>
      <c r="H113" s="817" t="str">
        <f t="shared" si="265"/>
        <v>D1_Last8</v>
      </c>
      <c r="I113" s="817">
        <f t="shared" ca="1" si="266"/>
        <v>8</v>
      </c>
      <c r="J113" s="817">
        <f t="shared" ca="1" si="267"/>
        <v>22</v>
      </c>
      <c r="K113" s="817" t="str">
        <f t="shared" si="268"/>
        <v>D1_Last8!V8</v>
      </c>
      <c r="L113" s="818" t="str">
        <f>D1_Last8!V8</f>
        <v>Audrey HERBAUT (chp)</v>
      </c>
      <c r="M113" s="10" cm="1">
        <f t="array" aca="1" ref="M113" ca="1">IF(AND(ISNA(MATCH(L113&amp;P113,D1_Tr1!$V:$V&amp;D1_Tr1!$Z:$Z,0)),ISNA(MATCH(P113&amp;L113,D1_Tr1!$V:$V&amp;D1_Tr1!$Z:$Z,0))),"",IFERROR(INDEX(D1_Tr1!$W:$W,MATCH($L113&amp;$P113,D1_Tr1!$V:$V&amp;D1_Tr1!$Z:$Z,0)),0)+IFERROR(INDEX(D1_Tr1!$Y:$Y,MATCH($P113&amp;$L113,D1_Tr1!$V:$V&amp;D1_Tr1!$Z:$Z,0)),0))</f>
        <v>3</v>
      </c>
      <c r="N113" s="394" t="s">
        <v>769</v>
      </c>
      <c r="O113" s="10" cm="1">
        <f t="array" aca="1" ref="O113" ca="1">IF(AND(ISNA(MATCH(L113&amp;P113,D1_Tr1!$V:$V&amp;D1_Tr1!$Z:$Z,0)),ISNA(MATCH(P113&amp;L113,D1_Tr1!$V:$V&amp;D1_Tr1!$Z:$Z,0))),"",IFERROR(INDEX(D1_Tr1!$Y:$Y,MATCH($L113&amp;$P113,D1_Tr1!$V:$V&amp;D1_Tr1!$Z:$Z,0)),0)+IFERROR(INDEX(D1_Tr1!$W:$W,MATCH($P113&amp;$L113,D1_Tr1!$V:$V&amp;D1_Tr1!$Z:$Z,0)),0))</f>
        <v>1</v>
      </c>
      <c r="P113" s="818" t="str">
        <f t="shared" ca="1" si="269"/>
        <v>Jean-François BALARD (puy)</v>
      </c>
      <c r="Q113" s="819"/>
      <c r="R113" s="397"/>
      <c r="S113" s="397"/>
      <c r="T113" s="397"/>
      <c r="U113" s="397"/>
      <c r="V113" s="820" t="str">
        <f t="shared" ca="1" si="270"/>
        <v>Audrey HERBAUT (chp)19:15</v>
      </c>
      <c r="W113" s="820" t="str">
        <f t="shared" ca="1" si="271"/>
        <v>Jean-François BALARD (puy)19:15</v>
      </c>
      <c r="X113" s="362">
        <f t="shared" ca="1" si="272"/>
        <v>3</v>
      </c>
      <c r="Y113" s="362">
        <f t="shared" ca="1" si="273"/>
        <v>3</v>
      </c>
      <c r="Z113" s="821" t="b">
        <f t="shared" si="274"/>
        <v>0</v>
      </c>
      <c r="AA113" s="1317"/>
      <c r="AB113" s="1327"/>
      <c r="AD113" s="1395" t="str">
        <f t="shared" ca="1" si="275"/>
        <v>0,802083333333333</v>
      </c>
      <c r="AE113" s="1395" t="str">
        <f>D1_Last8!D1</f>
        <v>D1</v>
      </c>
      <c r="AF113" s="1395" t="s">
        <v>5462</v>
      </c>
      <c r="AG113" s="1395">
        <v>1</v>
      </c>
      <c r="AH113" s="1395" t="str">
        <f t="shared" ca="1" si="276"/>
        <v>Audrey HERBAUT (chp)</v>
      </c>
      <c r="AI113" s="1395" t="str">
        <f t="shared" ca="1" si="277"/>
        <v/>
      </c>
      <c r="AJ113" s="1395" t="str">
        <f t="shared" ca="1" si="278"/>
        <v/>
      </c>
      <c r="AK113" s="1395" t="str">
        <f t="shared" ca="1" si="279"/>
        <v>Jean-François BALARD (puy)</v>
      </c>
      <c r="AL113" s="2220" t="str">
        <f t="shared" si="280"/>
        <v/>
      </c>
      <c r="AM113" s="2220" t="str">
        <f t="shared" si="281"/>
        <v/>
      </c>
      <c r="AN113" s="2220" t="str">
        <f t="shared" si="282"/>
        <v/>
      </c>
      <c r="AO113" s="2220" t="str">
        <f t="shared" si="283"/>
        <v/>
      </c>
      <c r="AP113" s="2220" t="str">
        <f t="shared" si="284"/>
        <v/>
      </c>
    </row>
    <row r="114" spans="1:42" outlineLevel="1" x14ac:dyDescent="0.2">
      <c r="A114" s="814">
        <f t="shared" ca="1" si="264"/>
        <v>0.80208333333333326</v>
      </c>
      <c r="B114" s="815"/>
      <c r="C114" s="2226" t="str">
        <f>"D1_Top8 - " &amp; N_Group &amp; " 1" &amp; " - " &amp; N_Round &amp; " 1"</f>
        <v>D1_Top8 - Poule 1 - Tr 1</v>
      </c>
      <c r="D114" s="872"/>
      <c r="E114" s="327"/>
      <c r="F114" s="815"/>
      <c r="G114" s="817" t="s">
        <v>1715</v>
      </c>
      <c r="H114" s="817" t="str">
        <f t="shared" si="265"/>
        <v>D1_Top8</v>
      </c>
      <c r="I114" s="817">
        <f t="shared" ca="1" si="266"/>
        <v>7</v>
      </c>
      <c r="J114" s="817">
        <f t="shared" ca="1" si="267"/>
        <v>22</v>
      </c>
      <c r="K114" s="817" t="str">
        <f t="shared" si="268"/>
        <v>D1_Top8!V7</v>
      </c>
      <c r="L114" s="818" t="str">
        <f>D1_Top8!V7</f>
        <v>Raphaël POMMIER (cae)</v>
      </c>
      <c r="M114" s="10" cm="1">
        <f t="array" aca="1" ref="M114" ca="1">IF(AND(ISNA(MATCH(L114&amp;P114,D1_Tr1!$V:$V&amp;D1_Tr1!$Z:$Z,0)),ISNA(MATCH(P114&amp;L114,D1_Tr1!$V:$V&amp;D1_Tr1!$Z:$Z,0))),"",IFERROR(INDEX(D1_Tr1!$W:$W,MATCH($L114&amp;$P114,D1_Tr1!$V:$V&amp;D1_Tr1!$Z:$Z,0)),0)+IFERROR(INDEX(D1_Tr1!$Y:$Y,MATCH($P114&amp;$L114,D1_Tr1!$V:$V&amp;D1_Tr1!$Z:$Z,0)),0))</f>
        <v>8</v>
      </c>
      <c r="N114" s="394" t="s">
        <v>769</v>
      </c>
      <c r="O114" s="10" cm="1">
        <f t="array" aca="1" ref="O114" ca="1">IF(AND(ISNA(MATCH(L114&amp;P114,D1_Tr1!$V:$V&amp;D1_Tr1!$Z:$Z,0)),ISNA(MATCH(P114&amp;L114,D1_Tr1!$V:$V&amp;D1_Tr1!$Z:$Z,0))),"",IFERROR(INDEX(D1_Tr1!$Y:$Y,MATCH($L114&amp;$P114,D1_Tr1!$V:$V&amp;D1_Tr1!$Z:$Z,0)),0)+IFERROR(INDEX(D1_Tr1!$W:$W,MATCH($P114&amp;$L114,D1_Tr1!$V:$V&amp;D1_Tr1!$Z:$Z,0)),0))</f>
        <v>3</v>
      </c>
      <c r="P114" s="818" t="str">
        <f t="shared" ca="1" si="269"/>
        <v>Eric NASZALYI (iss)</v>
      </c>
      <c r="Q114" s="819"/>
      <c r="R114" s="397"/>
      <c r="S114" s="397"/>
      <c r="T114" s="397"/>
      <c r="U114" s="397"/>
      <c r="V114" s="820" t="str">
        <f t="shared" ca="1" si="270"/>
        <v>Raphaël POMMIER (cae)19:15</v>
      </c>
      <c r="W114" s="820" t="str">
        <f t="shared" ca="1" si="271"/>
        <v>Eric NASZALYI (iss)19:15</v>
      </c>
      <c r="X114" s="362">
        <f t="shared" ca="1" si="272"/>
        <v>3</v>
      </c>
      <c r="Y114" s="362">
        <f t="shared" ca="1" si="273"/>
        <v>3</v>
      </c>
      <c r="Z114" s="821" t="b">
        <f t="shared" si="274"/>
        <v>0</v>
      </c>
      <c r="AA114" s="1317"/>
      <c r="AB114" s="1327"/>
      <c r="AD114" s="1395" t="str">
        <f t="shared" ca="1" si="275"/>
        <v>0,802083333333333</v>
      </c>
      <c r="AE114" s="1395" t="str">
        <f>D1_Top8!D1</f>
        <v>D1</v>
      </c>
      <c r="AF114" s="1395" t="s">
        <v>5462</v>
      </c>
      <c r="AG114" s="1395">
        <v>1</v>
      </c>
      <c r="AH114" s="1395" t="str">
        <f t="shared" ca="1" si="276"/>
        <v>Raphaël POMMIER (cae)</v>
      </c>
      <c r="AI114" s="1395" t="str">
        <f t="shared" ca="1" si="277"/>
        <v/>
      </c>
      <c r="AJ114" s="1395" t="str">
        <f t="shared" ca="1" si="278"/>
        <v/>
      </c>
      <c r="AK114" s="1395" t="str">
        <f t="shared" ca="1" si="279"/>
        <v>Eric NASZALYI (iss)</v>
      </c>
      <c r="AL114" s="2220" t="str">
        <f t="shared" si="280"/>
        <v/>
      </c>
      <c r="AM114" s="2220" t="str">
        <f t="shared" si="281"/>
        <v/>
      </c>
      <c r="AN114" s="2220" t="str">
        <f t="shared" si="282"/>
        <v/>
      </c>
      <c r="AO114" s="2220" t="str">
        <f t="shared" si="283"/>
        <v/>
      </c>
      <c r="AP114" s="2220" t="str">
        <f t="shared" si="284"/>
        <v/>
      </c>
    </row>
    <row r="115" spans="1:42" outlineLevel="1" x14ac:dyDescent="0.2">
      <c r="A115" s="814">
        <f t="shared" ca="1" si="264"/>
        <v>0.80208333333333326</v>
      </c>
      <c r="B115" s="815"/>
      <c r="C115" s="2226" t="str">
        <f>"D1_Top8 - " &amp; N_Group &amp; " 1" &amp; " - " &amp; N_Round &amp; " 1"</f>
        <v>D1_Top8 - Poule 1 - Tr 1</v>
      </c>
      <c r="D115" s="872"/>
      <c r="E115" s="327"/>
      <c r="F115" s="815"/>
      <c r="G115" s="817" t="s">
        <v>1715</v>
      </c>
      <c r="H115" s="817" t="str">
        <f t="shared" si="265"/>
        <v>D1_Top8</v>
      </c>
      <c r="I115" s="817">
        <f t="shared" ca="1" si="266"/>
        <v>8</v>
      </c>
      <c r="J115" s="817">
        <f t="shared" ca="1" si="267"/>
        <v>22</v>
      </c>
      <c r="K115" s="817" t="str">
        <f t="shared" si="268"/>
        <v>D1_Top8!V8</v>
      </c>
      <c r="L115" s="818" t="str">
        <f>D1_Top8!V8</f>
        <v>Stéphane POMMIER (cae)</v>
      </c>
      <c r="M115" s="10" cm="1">
        <f t="array" aca="1" ref="M115" ca="1">IF(AND(ISNA(MATCH(L115&amp;P115,D1_Tr1!$V:$V&amp;D1_Tr1!$Z:$Z,0)),ISNA(MATCH(P115&amp;L115,D1_Tr1!$V:$V&amp;D1_Tr1!$Z:$Z,0))),"",IFERROR(INDEX(D1_Tr1!$W:$W,MATCH($L115&amp;$P115,D1_Tr1!$V:$V&amp;D1_Tr1!$Z:$Z,0)),0)+IFERROR(INDEX(D1_Tr1!$Y:$Y,MATCH($P115&amp;$L115,D1_Tr1!$V:$V&amp;D1_Tr1!$Z:$Z,0)),0))</f>
        <v>3</v>
      </c>
      <c r="N115" s="394" t="s">
        <v>769</v>
      </c>
      <c r="O115" s="10" cm="1">
        <f t="array" aca="1" ref="O115" ca="1">IF(AND(ISNA(MATCH(L115&amp;P115,D1_Tr1!$V:$V&amp;D1_Tr1!$Z:$Z,0)),ISNA(MATCH(P115&amp;L115,D1_Tr1!$V:$V&amp;D1_Tr1!$Z:$Z,0))),"",IFERROR(INDEX(D1_Tr1!$Y:$Y,MATCH($L115&amp;$P115,D1_Tr1!$V:$V&amp;D1_Tr1!$Z:$Z,0)),0)+IFERROR(INDEX(D1_Tr1!$W:$W,MATCH($P115&amp;$L115,D1_Tr1!$V:$V&amp;D1_Tr1!$Z:$Z,0)),0))</f>
        <v>2</v>
      </c>
      <c r="P115" s="818" t="str">
        <f t="shared" ca="1" si="269"/>
        <v>Quentin AUSSET (chp)</v>
      </c>
      <c r="Q115" s="819"/>
      <c r="R115" s="397"/>
      <c r="S115" s="397"/>
      <c r="T115" s="397"/>
      <c r="U115" s="397"/>
      <c r="V115" s="820" t="str">
        <f t="shared" ca="1" si="270"/>
        <v>Stéphane POMMIER (cae)19:15</v>
      </c>
      <c r="W115" s="820" t="str">
        <f t="shared" ca="1" si="271"/>
        <v>Quentin AUSSET (chp)19:15</v>
      </c>
      <c r="X115" s="362">
        <f t="shared" ca="1" si="272"/>
        <v>3</v>
      </c>
      <c r="Y115" s="362">
        <f t="shared" ca="1" si="273"/>
        <v>3</v>
      </c>
      <c r="Z115" s="821" t="b">
        <f t="shared" si="274"/>
        <v>0</v>
      </c>
      <c r="AA115" s="1317"/>
      <c r="AB115" s="1327"/>
      <c r="AD115" s="1395" t="str">
        <f t="shared" ca="1" si="275"/>
        <v>0,802083333333333</v>
      </c>
      <c r="AE115" s="1395" t="str">
        <f>D1_Top8!D1</f>
        <v>D1</v>
      </c>
      <c r="AF115" s="1395" t="s">
        <v>5462</v>
      </c>
      <c r="AG115" s="1395">
        <v>1</v>
      </c>
      <c r="AH115" s="1395" t="str">
        <f t="shared" ca="1" si="276"/>
        <v>Stéphane POMMIER (cae)</v>
      </c>
      <c r="AI115" s="1395" t="str">
        <f t="shared" ca="1" si="277"/>
        <v/>
      </c>
      <c r="AJ115" s="1395" t="str">
        <f t="shared" ca="1" si="278"/>
        <v/>
      </c>
      <c r="AK115" s="1395" t="str">
        <f t="shared" ca="1" si="279"/>
        <v>Quentin AUSSET (chp)</v>
      </c>
      <c r="AL115" s="2220" t="str">
        <f t="shared" si="280"/>
        <v/>
      </c>
      <c r="AM115" s="2220" t="str">
        <f t="shared" si="281"/>
        <v/>
      </c>
      <c r="AN115" s="2220" t="str">
        <f t="shared" si="282"/>
        <v/>
      </c>
      <c r="AO115" s="2220" t="str">
        <f t="shared" si="283"/>
        <v/>
      </c>
      <c r="AP115" s="2220" t="str">
        <f t="shared" si="284"/>
        <v/>
      </c>
    </row>
    <row r="116" spans="1:42" outlineLevel="1" x14ac:dyDescent="0.2">
      <c r="A116" s="814">
        <f t="shared" ca="1" si="264"/>
        <v>0.80208333333333326</v>
      </c>
      <c r="B116" s="815"/>
      <c r="C116" s="2226" t="str">
        <f>"D1_Last8 - " &amp; N_Group &amp; " 1" &amp; " - " &amp; N_Round &amp; " 2"</f>
        <v>D1_Last8 - Poule 1 - Tr 2</v>
      </c>
      <c r="D116" s="872"/>
      <c r="E116" s="327"/>
      <c r="F116" s="815"/>
      <c r="G116" s="817" t="s">
        <v>1715</v>
      </c>
      <c r="H116" s="817" t="str">
        <f t="shared" ref="H116:H119" si="285">IF(K116="","",SUBSTITUTE(MID(K116,1,SEARCH("!",K116,1)-1),"'",""))</f>
        <v>D1_Last8</v>
      </c>
      <c r="I116" s="817">
        <f t="shared" ref="I116:I119" ca="1" si="286">IF(K116="","",CELL("row",INDIRECT(K116)))</f>
        <v>11</v>
      </c>
      <c r="J116" s="817">
        <f t="shared" ref="J116:J119" ca="1" si="287">IF(K116="","",CELL("col",INDIRECT(K116)))</f>
        <v>22</v>
      </c>
      <c r="K116" s="817" t="str">
        <f t="shared" ref="K116:K119" si="288">MID(Lire_Formule(L116),2,10000)</f>
        <v>D1_Last8!V11</v>
      </c>
      <c r="L116" s="818" t="str">
        <f>D1_Last8!V11</f>
        <v>Thierry VIVRON (iss)</v>
      </c>
      <c r="M116" s="10" cm="1">
        <f t="array" aca="1" ref="M116" ca="1">IF(AND(ISNA(MATCH(L116&amp;P116,D1_Tr1!$V:$V&amp;D1_Tr1!$Z:$Z,0)),ISNA(MATCH(P116&amp;L116,D1_Tr1!$V:$V&amp;D1_Tr1!$Z:$Z,0))),"",IFERROR(INDEX(D1_Tr1!$W:$W,MATCH($L116&amp;$P116,D1_Tr1!$V:$V&amp;D1_Tr1!$Z:$Z,0)),0)+IFERROR(INDEX(D1_Tr1!$Y:$Y,MATCH($P116&amp;$L116,D1_Tr1!$V:$V&amp;D1_Tr1!$Z:$Z,0)),0))</f>
        <v>6</v>
      </c>
      <c r="N116" s="394" t="s">
        <v>769</v>
      </c>
      <c r="O116" s="10" cm="1">
        <f t="array" aca="1" ref="O116" ca="1">IF(AND(ISNA(MATCH(L116&amp;P116,D1_Tr1!$V:$V&amp;D1_Tr1!$Z:$Z,0)),ISNA(MATCH(P116&amp;L116,D1_Tr1!$V:$V&amp;D1_Tr1!$Z:$Z,0))),"",IFERROR(INDEX(D1_Tr1!$Y:$Y,MATCH($L116&amp;$P116,D1_Tr1!$V:$V&amp;D1_Tr1!$Z:$Z,0)),0)+IFERROR(INDEX(D1_Tr1!$W:$W,MATCH($P116&amp;$L116,D1_Tr1!$V:$V&amp;D1_Tr1!$Z:$Z,0)),0))</f>
        <v>3</v>
      </c>
      <c r="P116" s="818" t="str">
        <f t="shared" ref="P116:P119" ca="1" si="289">IF(K116="","",IF(G116="IT",INDIRECT(ADDRESS(I116+2,J116,4,TRUE,H116)),INDIRECT(ADDRESS(I116,J116+4,4,TRUE,H116))))</f>
        <v>Cyprien BONNET (sym)</v>
      </c>
      <c r="Q116" s="819"/>
      <c r="R116" s="397"/>
      <c r="S116" s="397"/>
      <c r="T116" s="397"/>
      <c r="U116" s="397"/>
      <c r="V116" s="820" t="str">
        <f t="shared" ref="V116:V119" ca="1" si="290">L116&amp;TEXT(A116,"hh:mm")</f>
        <v>Thierry VIVRON (iss)19:15</v>
      </c>
      <c r="W116" s="820" t="str">
        <f t="shared" ref="W116:W119" ca="1" si="291">P116&amp;TEXT(A116,"hh:mm")</f>
        <v>Cyprien BONNET (sym)19:15</v>
      </c>
      <c r="X116" s="362">
        <f t="shared" ca="1" si="272"/>
        <v>3</v>
      </c>
      <c r="Y116" s="362">
        <f t="shared" ca="1" si="273"/>
        <v>3</v>
      </c>
      <c r="Z116" s="821" t="b">
        <f t="shared" si="274"/>
        <v>0</v>
      </c>
      <c r="AA116" s="1317"/>
      <c r="AB116" s="1327"/>
      <c r="AD116" s="1395" t="str">
        <f t="shared" ref="AD116:AD119" ca="1" si="292">AA116&amp;A116</f>
        <v>0,802083333333333</v>
      </c>
      <c r="AE116" s="1395" t="str">
        <f>D1_Last8!D1</f>
        <v>D1</v>
      </c>
      <c r="AF116" s="1395" t="s">
        <v>5462</v>
      </c>
      <c r="AG116" s="1395">
        <v>2</v>
      </c>
      <c r="AH116" s="1395" t="str">
        <f t="shared" ref="AH116:AH119" ca="1" si="293">IF(OR(M116&gt;O116,R116&gt;T116),L116,IF(OR(M116&lt;O116,R116&lt;T116),P116,""))</f>
        <v>Thierry VIVRON (iss)</v>
      </c>
      <c r="AI116" s="1395" t="str">
        <f t="shared" ref="AI116:AI119" ca="1" si="294">IF(AND(M116&lt;&gt;"",M116=O116,R116=T116),L116,"")</f>
        <v/>
      </c>
      <c r="AJ116" s="1395" t="str">
        <f t="shared" ref="AJ116:AJ119" ca="1" si="295">IF(AND(M116&lt;&gt;"",M116=O116,R116=T116),P116,"")</f>
        <v/>
      </c>
      <c r="AK116" s="1395" t="str">
        <f t="shared" ref="AK116:AK119" ca="1" si="296">IF(OR(M116&lt;O116,R116&lt;T116),L116,IF(OR(M116&gt;O116,R116&gt;T116),P116,""))</f>
        <v>Cyprien BONNET (sym)</v>
      </c>
      <c r="AL116" s="2220" t="str">
        <f t="shared" si="280"/>
        <v/>
      </c>
      <c r="AM116" s="2220" t="str">
        <f t="shared" si="281"/>
        <v/>
      </c>
      <c r="AN116" s="2220" t="str">
        <f t="shared" si="282"/>
        <v/>
      </c>
      <c r="AO116" s="2220" t="str">
        <f t="shared" si="283"/>
        <v/>
      </c>
      <c r="AP116" s="2220" t="str">
        <f t="shared" si="284"/>
        <v/>
      </c>
    </row>
    <row r="117" spans="1:42" outlineLevel="1" x14ac:dyDescent="0.2">
      <c r="A117" s="814">
        <f t="shared" ca="1" si="264"/>
        <v>0.80208333333333326</v>
      </c>
      <c r="B117" s="815"/>
      <c r="C117" s="2226" t="str">
        <f>"D1_Last8 - " &amp; N_Group &amp; " 1" &amp; " - " &amp; N_Round &amp; " 2"</f>
        <v>D1_Last8 - Poule 1 - Tr 2</v>
      </c>
      <c r="D117" s="872"/>
      <c r="E117" s="327"/>
      <c r="F117" s="815"/>
      <c r="G117" s="817" t="s">
        <v>1715</v>
      </c>
      <c r="H117" s="817" t="str">
        <f t="shared" si="285"/>
        <v>D1_Last8</v>
      </c>
      <c r="I117" s="817">
        <f t="shared" ca="1" si="286"/>
        <v>12</v>
      </c>
      <c r="J117" s="817">
        <f t="shared" ca="1" si="287"/>
        <v>22</v>
      </c>
      <c r="K117" s="817" t="str">
        <f t="shared" si="288"/>
        <v>D1_Last8!V12</v>
      </c>
      <c r="L117" s="818" t="str">
        <f>D1_Last8!V12</f>
        <v>Audrey HERBAUT (chp)</v>
      </c>
      <c r="M117" s="10" cm="1">
        <f t="array" aca="1" ref="M117" ca="1">IF(AND(ISNA(MATCH(L117&amp;P117,D1_Tr1!$V:$V&amp;D1_Tr1!$Z:$Z,0)),ISNA(MATCH(P117&amp;L117,D1_Tr1!$V:$V&amp;D1_Tr1!$Z:$Z,0))),"",IFERROR(INDEX(D1_Tr1!$W:$W,MATCH($L117&amp;$P117,D1_Tr1!$V:$V&amp;D1_Tr1!$Z:$Z,0)),0)+IFERROR(INDEX(D1_Tr1!$Y:$Y,MATCH($P117&amp;$L117,D1_Tr1!$V:$V&amp;D1_Tr1!$Z:$Z,0)),0))</f>
        <v>3</v>
      </c>
      <c r="N117" s="394" t="s">
        <v>769</v>
      </c>
      <c r="O117" s="10" cm="1">
        <f t="array" aca="1" ref="O117" ca="1">IF(AND(ISNA(MATCH(L117&amp;P117,D1_Tr1!$V:$V&amp;D1_Tr1!$Z:$Z,0)),ISNA(MATCH(P117&amp;L117,D1_Tr1!$V:$V&amp;D1_Tr1!$Z:$Z,0))),"",IFERROR(INDEX(D1_Tr1!$Y:$Y,MATCH($L117&amp;$P117,D1_Tr1!$V:$V&amp;D1_Tr1!$Z:$Z,0)),0)+IFERROR(INDEX(D1_Tr1!$W:$W,MATCH($P117&amp;$L117,D1_Tr1!$V:$V&amp;D1_Tr1!$Z:$Z,0)),0))</f>
        <v>3</v>
      </c>
      <c r="P117" s="818" t="str">
        <f t="shared" ca="1" si="289"/>
        <v>Jean-Marie AMBERNY (iss)</v>
      </c>
      <c r="Q117" s="819"/>
      <c r="R117" s="397"/>
      <c r="S117" s="397"/>
      <c r="T117" s="397"/>
      <c r="U117" s="397"/>
      <c r="V117" s="820" t="str">
        <f t="shared" ca="1" si="290"/>
        <v>Audrey HERBAUT (chp)19:15</v>
      </c>
      <c r="W117" s="820" t="str">
        <f t="shared" ca="1" si="291"/>
        <v>Jean-Marie AMBERNY (iss)19:15</v>
      </c>
      <c r="X117" s="362">
        <f t="shared" ca="1" si="272"/>
        <v>3</v>
      </c>
      <c r="Y117" s="362">
        <f t="shared" ca="1" si="273"/>
        <v>3</v>
      </c>
      <c r="Z117" s="821" t="b">
        <f t="shared" si="274"/>
        <v>0</v>
      </c>
      <c r="AA117" s="1317"/>
      <c r="AB117" s="1327"/>
      <c r="AD117" s="1395" t="str">
        <f t="shared" ca="1" si="292"/>
        <v>0,802083333333333</v>
      </c>
      <c r="AE117" s="1395" t="str">
        <f>D1_Last8!D1</f>
        <v>D1</v>
      </c>
      <c r="AF117" s="1395" t="s">
        <v>5462</v>
      </c>
      <c r="AG117" s="1395">
        <v>2</v>
      </c>
      <c r="AH117" s="1395" t="str">
        <f t="shared" ca="1" si="293"/>
        <v/>
      </c>
      <c r="AI117" s="1395" t="str">
        <f t="shared" ca="1" si="294"/>
        <v>Audrey HERBAUT (chp)</v>
      </c>
      <c r="AJ117" s="1395" t="str">
        <f t="shared" ca="1" si="295"/>
        <v>Jean-Marie AMBERNY (iss)</v>
      </c>
      <c r="AK117" s="1395" t="str">
        <f t="shared" ca="1" si="296"/>
        <v/>
      </c>
      <c r="AL117" s="2220" t="str">
        <f t="shared" si="280"/>
        <v/>
      </c>
      <c r="AM117" s="2220" t="str">
        <f t="shared" si="281"/>
        <v/>
      </c>
      <c r="AN117" s="2220" t="str">
        <f t="shared" si="282"/>
        <v/>
      </c>
      <c r="AO117" s="2220" t="str">
        <f t="shared" si="283"/>
        <v/>
      </c>
      <c r="AP117" s="2220" t="str">
        <f t="shared" si="284"/>
        <v/>
      </c>
    </row>
    <row r="118" spans="1:42" outlineLevel="1" x14ac:dyDescent="0.2">
      <c r="A118" s="814">
        <f t="shared" ref="A118:A119" ca="1" si="297">OFFSET(A118,-1,0)</f>
        <v>0.80208333333333326</v>
      </c>
      <c r="B118" s="815"/>
      <c r="C118" s="2226" t="str">
        <f>"D1_Top8 - " &amp; N_Group &amp; " 1" &amp; " - " &amp; N_Round &amp; " 2"</f>
        <v>D1_Top8 - Poule 1 - Tr 2</v>
      </c>
      <c r="D118" s="872"/>
      <c r="E118" s="327"/>
      <c r="F118" s="815"/>
      <c r="G118" s="817" t="s">
        <v>1715</v>
      </c>
      <c r="H118" s="817" t="str">
        <f t="shared" si="285"/>
        <v>D1_Top8</v>
      </c>
      <c r="I118" s="817">
        <f t="shared" ca="1" si="286"/>
        <v>11</v>
      </c>
      <c r="J118" s="817">
        <f t="shared" ca="1" si="287"/>
        <v>22</v>
      </c>
      <c r="K118" s="817" t="str">
        <f t="shared" si="288"/>
        <v>D1_Top8!V11</v>
      </c>
      <c r="L118" s="818" t="str">
        <f>D1_Top8!V11</f>
        <v>Raphaël POMMIER (cae)</v>
      </c>
      <c r="M118" s="10" cm="1">
        <f t="array" aca="1" ref="M118" ca="1">IF(AND(ISNA(MATCH(L118&amp;P118,D1_Tr1!$V:$V&amp;D1_Tr1!$Z:$Z,0)),ISNA(MATCH(P118&amp;L118,D1_Tr1!$V:$V&amp;D1_Tr1!$Z:$Z,0))),"",IFERROR(INDEX(D1_Tr1!$W:$W,MATCH($L118&amp;$P118,D1_Tr1!$V:$V&amp;D1_Tr1!$Z:$Z,0)),0)+IFERROR(INDEX(D1_Tr1!$Y:$Y,MATCH($P118&amp;$L118,D1_Tr1!$V:$V&amp;D1_Tr1!$Z:$Z,0)),0))</f>
        <v>8</v>
      </c>
      <c r="N118" s="394" t="s">
        <v>769</v>
      </c>
      <c r="O118" s="10" cm="1">
        <f t="array" aca="1" ref="O118" ca="1">IF(AND(ISNA(MATCH(L118&amp;P118,D1_Tr1!$V:$V&amp;D1_Tr1!$Z:$Z,0)),ISNA(MATCH(P118&amp;L118,D1_Tr1!$V:$V&amp;D1_Tr1!$Z:$Z,0))),"",IFERROR(INDEX(D1_Tr1!$Y:$Y,MATCH($L118&amp;$P118,D1_Tr1!$V:$V&amp;D1_Tr1!$Z:$Z,0)),0)+IFERROR(INDEX(D1_Tr1!$W:$W,MATCH($P118&amp;$L118,D1_Tr1!$V:$V&amp;D1_Tr1!$Z:$Z,0)),0))</f>
        <v>3</v>
      </c>
      <c r="P118" s="818" t="str">
        <f t="shared" ca="1" si="289"/>
        <v>Théo MODESTE (iss)</v>
      </c>
      <c r="Q118" s="819"/>
      <c r="R118" s="397"/>
      <c r="S118" s="397"/>
      <c r="T118" s="397"/>
      <c r="U118" s="397"/>
      <c r="V118" s="820" t="str">
        <f t="shared" ca="1" si="290"/>
        <v>Raphaël POMMIER (cae)19:15</v>
      </c>
      <c r="W118" s="820" t="str">
        <f t="shared" ca="1" si="291"/>
        <v>Théo MODESTE (iss)19:15</v>
      </c>
      <c r="X118" s="362">
        <f t="shared" ca="1" si="272"/>
        <v>3</v>
      </c>
      <c r="Y118" s="362">
        <f t="shared" ca="1" si="273"/>
        <v>3</v>
      </c>
      <c r="Z118" s="821" t="b">
        <f t="shared" si="274"/>
        <v>0</v>
      </c>
      <c r="AA118" s="1317"/>
      <c r="AB118" s="1327"/>
      <c r="AD118" s="1395" t="str">
        <f t="shared" ca="1" si="292"/>
        <v>0,802083333333333</v>
      </c>
      <c r="AE118" s="1395" t="str">
        <f>D1_Top8!D1</f>
        <v>D1</v>
      </c>
      <c r="AF118" s="1395" t="s">
        <v>5462</v>
      </c>
      <c r="AG118" s="1395">
        <v>2</v>
      </c>
      <c r="AH118" s="1395" t="str">
        <f t="shared" ca="1" si="293"/>
        <v>Raphaël POMMIER (cae)</v>
      </c>
      <c r="AI118" s="1395" t="str">
        <f t="shared" ca="1" si="294"/>
        <v/>
      </c>
      <c r="AJ118" s="1395" t="str">
        <f t="shared" ca="1" si="295"/>
        <v/>
      </c>
      <c r="AK118" s="1395" t="str">
        <f t="shared" ca="1" si="296"/>
        <v>Théo MODESTE (iss)</v>
      </c>
      <c r="AL118" s="2220" t="str">
        <f t="shared" si="280"/>
        <v/>
      </c>
      <c r="AM118" s="2220" t="str">
        <f t="shared" si="281"/>
        <v/>
      </c>
      <c r="AN118" s="2220" t="str">
        <f t="shared" si="282"/>
        <v/>
      </c>
      <c r="AO118" s="2220" t="str">
        <f t="shared" si="283"/>
        <v/>
      </c>
      <c r="AP118" s="2220" t="str">
        <f t="shared" si="284"/>
        <v/>
      </c>
    </row>
    <row r="119" spans="1:42" outlineLevel="1" x14ac:dyDescent="0.2">
      <c r="A119" s="814">
        <f t="shared" ca="1" si="297"/>
        <v>0.80208333333333326</v>
      </c>
      <c r="B119" s="815"/>
      <c r="C119" s="2226" t="str">
        <f>"D1_Top8 - " &amp; N_Group &amp; " 1" &amp; " - " &amp; N_Round &amp; " 2"</f>
        <v>D1_Top8 - Poule 1 - Tr 2</v>
      </c>
      <c r="D119" s="872"/>
      <c r="E119" s="327"/>
      <c r="F119" s="815"/>
      <c r="G119" s="817" t="s">
        <v>1715</v>
      </c>
      <c r="H119" s="817" t="str">
        <f t="shared" si="285"/>
        <v>D1_Top8</v>
      </c>
      <c r="I119" s="817">
        <f t="shared" ca="1" si="286"/>
        <v>12</v>
      </c>
      <c r="J119" s="817">
        <f t="shared" ca="1" si="287"/>
        <v>22</v>
      </c>
      <c r="K119" s="817" t="str">
        <f t="shared" si="288"/>
        <v>D1_Top8!V12</v>
      </c>
      <c r="L119" s="818" t="str">
        <f>D1_Top8!V12</f>
        <v>Stéphane POMMIER (cae)</v>
      </c>
      <c r="M119" s="10" cm="1">
        <f t="array" aca="1" ref="M119" ca="1">IF(AND(ISNA(MATCH(L119&amp;P119,D1_Tr1!$V:$V&amp;D1_Tr1!$Z:$Z,0)),ISNA(MATCH(P119&amp;L119,D1_Tr1!$V:$V&amp;D1_Tr1!$Z:$Z,0))),"",IFERROR(INDEX(D1_Tr1!$W:$W,MATCH($L119&amp;$P119,D1_Tr1!$V:$V&amp;D1_Tr1!$Z:$Z,0)),0)+IFERROR(INDEX(D1_Tr1!$Y:$Y,MATCH($P119&amp;$L119,D1_Tr1!$V:$V&amp;D1_Tr1!$Z:$Z,0)),0))</f>
        <v>4</v>
      </c>
      <c r="N119" s="394" t="s">
        <v>769</v>
      </c>
      <c r="O119" s="10" cm="1">
        <f t="array" aca="1" ref="O119" ca="1">IF(AND(ISNA(MATCH(L119&amp;P119,D1_Tr1!$V:$V&amp;D1_Tr1!$Z:$Z,0)),ISNA(MATCH(P119&amp;L119,D1_Tr1!$V:$V&amp;D1_Tr1!$Z:$Z,0))),"",IFERROR(INDEX(D1_Tr1!$Y:$Y,MATCH($L119&amp;$P119,D1_Tr1!$V:$V&amp;D1_Tr1!$Z:$Z,0)),0)+IFERROR(INDEX(D1_Tr1!$W:$W,MATCH($P119&amp;$L119,D1_Tr1!$V:$V&amp;D1_Tr1!$Z:$Z,0)),0))</f>
        <v>3</v>
      </c>
      <c r="P119" s="818" t="str">
        <f t="shared" ca="1" si="289"/>
        <v>Emmanuel GORGETTE (iss)</v>
      </c>
      <c r="Q119" s="819"/>
      <c r="R119" s="397"/>
      <c r="S119" s="397"/>
      <c r="T119" s="397"/>
      <c r="U119" s="397"/>
      <c r="V119" s="820" t="str">
        <f t="shared" ca="1" si="290"/>
        <v>Stéphane POMMIER (cae)19:15</v>
      </c>
      <c r="W119" s="820" t="str">
        <f t="shared" ca="1" si="291"/>
        <v>Emmanuel GORGETTE (iss)19:15</v>
      </c>
      <c r="X119" s="362">
        <f t="shared" ca="1" si="272"/>
        <v>3</v>
      </c>
      <c r="Y119" s="362">
        <f t="shared" ca="1" si="273"/>
        <v>3</v>
      </c>
      <c r="Z119" s="821" t="b">
        <f t="shared" si="274"/>
        <v>0</v>
      </c>
      <c r="AA119" s="1317"/>
      <c r="AB119" s="1327"/>
      <c r="AD119" s="1395" t="str">
        <f t="shared" ca="1" si="292"/>
        <v>0,802083333333333</v>
      </c>
      <c r="AE119" s="1395" t="str">
        <f>D1_Top8!D1</f>
        <v>D1</v>
      </c>
      <c r="AF119" s="1395" t="s">
        <v>5462</v>
      </c>
      <c r="AG119" s="1395">
        <v>2</v>
      </c>
      <c r="AH119" s="1395" t="str">
        <f t="shared" ca="1" si="293"/>
        <v>Stéphane POMMIER (cae)</v>
      </c>
      <c r="AI119" s="1395" t="str">
        <f t="shared" ca="1" si="294"/>
        <v/>
      </c>
      <c r="AJ119" s="1395" t="str">
        <f t="shared" ca="1" si="295"/>
        <v/>
      </c>
      <c r="AK119" s="1395" t="str">
        <f t="shared" ca="1" si="296"/>
        <v>Emmanuel GORGETTE (iss)</v>
      </c>
      <c r="AL119" s="2220" t="str">
        <f t="shared" si="280"/>
        <v/>
      </c>
      <c r="AM119" s="2220" t="str">
        <f t="shared" si="281"/>
        <v/>
      </c>
      <c r="AN119" s="2220" t="str">
        <f t="shared" si="282"/>
        <v/>
      </c>
      <c r="AO119" s="2220" t="str">
        <f t="shared" si="283"/>
        <v/>
      </c>
      <c r="AP119" s="2220" t="str">
        <f t="shared" si="284"/>
        <v/>
      </c>
    </row>
    <row r="120" spans="1:42" outlineLevel="1" x14ac:dyDescent="0.2">
      <c r="A120" s="814">
        <f t="shared" ref="A120" ca="1" si="298">OFFSET(A120,-1,0)</f>
        <v>0.80208333333333326</v>
      </c>
      <c r="B120" s="815"/>
      <c r="C120" s="2226" t="str">
        <f>"D1_Last8 - " &amp; N_Group &amp; " 1" &amp; " - " &amp; N_Round &amp; " 3"</f>
        <v>D1_Last8 - Poule 1 - Tr 3</v>
      </c>
      <c r="D120" s="872"/>
      <c r="E120" s="327"/>
      <c r="F120" s="815"/>
      <c r="G120" s="817" t="s">
        <v>1715</v>
      </c>
      <c r="H120" s="817" t="str">
        <f t="shared" ref="H120" si="299">IF(K120="","",SUBSTITUTE(MID(K120,1,SEARCH("!",K120,1)-1),"'",""))</f>
        <v>D1_Last8</v>
      </c>
      <c r="I120" s="817">
        <f t="shared" ref="I120" ca="1" si="300">IF(K120="","",CELL("row",INDIRECT(K120)))</f>
        <v>15</v>
      </c>
      <c r="J120" s="817">
        <f t="shared" ref="J120" ca="1" si="301">IF(K120="","",CELL("col",INDIRECT(K120)))</f>
        <v>22</v>
      </c>
      <c r="K120" s="817" t="str">
        <f t="shared" ref="K120" si="302">MID(Lire_Formule(L120),2,10000)</f>
        <v>D1_Last8!V15</v>
      </c>
      <c r="L120" s="818" t="str">
        <f>D1_Last8!V15</f>
        <v>Cédric PANDOLFI (sym)</v>
      </c>
      <c r="M120" s="10" cm="1">
        <f t="array" aca="1" ref="M120" ca="1">IF(AND(ISNA(MATCH(L120&amp;P120,D1_Tr1!$V:$V&amp;D1_Tr1!$Z:$Z,0)),ISNA(MATCH(P120&amp;L120,D1_Tr1!$V:$V&amp;D1_Tr1!$Z:$Z,0))),"",IFERROR(INDEX(D1_Tr1!$W:$W,MATCH($L120&amp;$P120,D1_Tr1!$V:$V&amp;D1_Tr1!$Z:$Z,0)),0)+IFERROR(INDEX(D1_Tr1!$Y:$Y,MATCH($P120&amp;$L120,D1_Tr1!$V:$V&amp;D1_Tr1!$Z:$Z,0)),0))</f>
        <v>3</v>
      </c>
      <c r="N120" s="394" t="s">
        <v>769</v>
      </c>
      <c r="O120" s="10" cm="1">
        <f t="array" aca="1" ref="O120" ca="1">IF(AND(ISNA(MATCH(L120&amp;P120,D1_Tr1!$V:$V&amp;D1_Tr1!$Z:$Z,0)),ISNA(MATCH(P120&amp;L120,D1_Tr1!$V:$V&amp;D1_Tr1!$Z:$Z,0))),"",IFERROR(INDEX(D1_Tr1!$Y:$Y,MATCH($L120&amp;$P120,D1_Tr1!$V:$V&amp;D1_Tr1!$Z:$Z,0)),0)+IFERROR(INDEX(D1_Tr1!$W:$W,MATCH($P120&amp;$L120,D1_Tr1!$V:$V&amp;D1_Tr1!$Z:$Z,0)),0))</f>
        <v>5</v>
      </c>
      <c r="P120" s="818" t="str">
        <f t="shared" ref="P120" ca="1" si="303">IF(K120="","",IF(G120="IT",INDIRECT(ADDRESS(I120+2,J120,4,TRUE,H120)),INDIRECT(ADDRESS(I120,J120+4,4,TRUE,H120))))</f>
        <v>Cyprien BONNET (sym)</v>
      </c>
      <c r="Q120" s="819"/>
      <c r="R120" s="397"/>
      <c r="S120" s="397"/>
      <c r="T120" s="397"/>
      <c r="U120" s="397"/>
      <c r="V120" s="820" t="str">
        <f t="shared" ref="V120" ca="1" si="304">L120&amp;TEXT(A120,"hh:mm")</f>
        <v>Cédric PANDOLFI (sym)19:15</v>
      </c>
      <c r="W120" s="820" t="str">
        <f t="shared" ref="W120" ca="1" si="305">P120&amp;TEXT(A120,"hh:mm")</f>
        <v>Cyprien BONNET (sym)19:15</v>
      </c>
      <c r="X120" s="362">
        <f t="shared" ca="1" si="272"/>
        <v>3</v>
      </c>
      <c r="Y120" s="362">
        <f t="shared" ca="1" si="273"/>
        <v>3</v>
      </c>
      <c r="Z120" s="821" t="b">
        <f t="shared" si="274"/>
        <v>0</v>
      </c>
      <c r="AA120" s="1317"/>
      <c r="AB120" s="1327"/>
      <c r="AD120" s="1395" t="str">
        <f t="shared" ref="AD120" ca="1" si="306">AA120&amp;A120</f>
        <v>0,802083333333333</v>
      </c>
      <c r="AE120" s="1395" t="str">
        <f>D1_Last8!D1</f>
        <v>D1</v>
      </c>
      <c r="AF120" s="1395" t="s">
        <v>5462</v>
      </c>
      <c r="AG120" s="1395">
        <v>3</v>
      </c>
      <c r="AH120" s="1395" t="str">
        <f t="shared" ref="AH120" ca="1" si="307">IF(OR(M120&gt;O120,R120&gt;T120),L120,IF(OR(M120&lt;O120,R120&lt;T120),P120,""))</f>
        <v>Cyprien BONNET (sym)</v>
      </c>
      <c r="AI120" s="1395" t="str">
        <f t="shared" ref="AI120" ca="1" si="308">IF(AND(M120&lt;&gt;"",M120=O120,R120=T120),L120,"")</f>
        <v/>
      </c>
      <c r="AJ120" s="1395" t="str">
        <f t="shared" ref="AJ120" ca="1" si="309">IF(AND(M120&lt;&gt;"",M120=O120,R120=T120),P120,"")</f>
        <v/>
      </c>
      <c r="AK120" s="1395" t="str">
        <f t="shared" ref="AK120" ca="1" si="310">IF(OR(M120&lt;O120,R120&lt;T120),L120,IF(OR(M120&gt;O120,R120&gt;T120),P120,""))</f>
        <v>Cédric PANDOLFI (sym)</v>
      </c>
      <c r="AL120" s="2220" t="str">
        <f t="shared" si="280"/>
        <v/>
      </c>
      <c r="AM120" s="2220" t="str">
        <f t="shared" si="281"/>
        <v/>
      </c>
      <c r="AN120" s="2220" t="str">
        <f t="shared" si="282"/>
        <v/>
      </c>
      <c r="AO120" s="2220" t="str">
        <f t="shared" si="283"/>
        <v/>
      </c>
      <c r="AP120" s="2220" t="str">
        <f t="shared" si="284"/>
        <v/>
      </c>
    </row>
    <row r="121" spans="1:42" outlineLevel="1" x14ac:dyDescent="0.2">
      <c r="A121" s="814">
        <f t="shared" ref="A121:A127" ca="1" si="311">OFFSET(A121,-1,0)</f>
        <v>0.80208333333333326</v>
      </c>
      <c r="B121" s="815"/>
      <c r="C121" s="2226" t="str">
        <f>"D1_Last8 - " &amp; N_Group &amp; " 1" &amp; " - " &amp; N_Round &amp; " 3"</f>
        <v>D1_Last8 - Poule 1 - Tr 3</v>
      </c>
      <c r="D121" s="872"/>
      <c r="E121" s="327"/>
      <c r="F121" s="815"/>
      <c r="G121" s="817" t="s">
        <v>1715</v>
      </c>
      <c r="H121" s="817" t="str">
        <f t="shared" ref="H121:H127" si="312">IF(K121="","",SUBSTITUTE(MID(K121,1,SEARCH("!",K121,1)-1),"'",""))</f>
        <v>D1_Last8</v>
      </c>
      <c r="I121" s="817">
        <f t="shared" ref="I121:I127" ca="1" si="313">IF(K121="","",CELL("row",INDIRECT(K121)))</f>
        <v>16</v>
      </c>
      <c r="J121" s="817">
        <f t="shared" ref="J121:J127" ca="1" si="314">IF(K121="","",CELL("col",INDIRECT(K121)))</f>
        <v>22</v>
      </c>
      <c r="K121" s="817" t="str">
        <f t="shared" ref="K121:K127" si="315">MID(Lire_Formule(L121),2,10000)</f>
        <v>D1_Last8!V16</v>
      </c>
      <c r="L121" s="818" t="str">
        <f>D1_Last8!V16</f>
        <v>Axel DONVAL (iss)</v>
      </c>
      <c r="M121" s="10" cm="1">
        <f t="array" aca="1" ref="M121" ca="1">IF(AND(ISNA(MATCH(L121&amp;P121,D1_Tr1!$V:$V&amp;D1_Tr1!$Z:$Z,0)),ISNA(MATCH(P121&amp;L121,D1_Tr1!$V:$V&amp;D1_Tr1!$Z:$Z,0))),"",IFERROR(INDEX(D1_Tr1!$W:$W,MATCH($L121&amp;$P121,D1_Tr1!$V:$V&amp;D1_Tr1!$Z:$Z,0)),0)+IFERROR(INDEX(D1_Tr1!$Y:$Y,MATCH($P121&amp;$L121,D1_Tr1!$V:$V&amp;D1_Tr1!$Z:$Z,0)),0))</f>
        <v>3</v>
      </c>
      <c r="N121" s="394" t="s">
        <v>769</v>
      </c>
      <c r="O121" s="10" cm="1">
        <f t="array" aca="1" ref="O121" ca="1">IF(AND(ISNA(MATCH(L121&amp;P121,D1_Tr1!$V:$V&amp;D1_Tr1!$Z:$Z,0)),ISNA(MATCH(P121&amp;L121,D1_Tr1!$V:$V&amp;D1_Tr1!$Z:$Z,0))),"",IFERROR(INDEX(D1_Tr1!$Y:$Y,MATCH($L121&amp;$P121,D1_Tr1!$V:$V&amp;D1_Tr1!$Z:$Z,0)),0)+IFERROR(INDEX(D1_Tr1!$W:$W,MATCH($P121&amp;$L121,D1_Tr1!$V:$V&amp;D1_Tr1!$Z:$Z,0)),0))</f>
        <v>3</v>
      </c>
      <c r="P121" s="818" t="str">
        <f t="shared" ref="P121:P127" ca="1" si="316">IF(K121="","",IF(G121="IT",INDIRECT(ADDRESS(I121+2,J121,4,TRUE,H121)),INDIRECT(ADDRESS(I121,J121+4,4,TRUE,H121))))</f>
        <v>Audrey HERBAUT (chp)</v>
      </c>
      <c r="Q121" s="819"/>
      <c r="R121" s="397"/>
      <c r="S121" s="397"/>
      <c r="T121" s="397"/>
      <c r="U121" s="397"/>
      <c r="V121" s="820" t="str">
        <f t="shared" ref="V121:V127" ca="1" si="317">L121&amp;TEXT(A121,"hh:mm")</f>
        <v>Axel DONVAL (iss)19:15</v>
      </c>
      <c r="W121" s="820" t="str">
        <f t="shared" ref="W121:W127" ca="1" si="318">P121&amp;TEXT(A121,"hh:mm")</f>
        <v>Audrey HERBAUT (chp)19:15</v>
      </c>
      <c r="X121" s="362">
        <f t="shared" ca="1" si="272"/>
        <v>3</v>
      </c>
      <c r="Y121" s="362">
        <f t="shared" ca="1" si="273"/>
        <v>3</v>
      </c>
      <c r="Z121" s="821" t="b">
        <f t="shared" si="274"/>
        <v>0</v>
      </c>
      <c r="AA121" s="1317"/>
      <c r="AB121" s="1327"/>
      <c r="AD121" s="1395" t="str">
        <f t="shared" ref="AD121:AD127" ca="1" si="319">AA121&amp;A121</f>
        <v>0,802083333333333</v>
      </c>
      <c r="AE121" s="1395" t="str">
        <f>D1_Last8!D1</f>
        <v>D1</v>
      </c>
      <c r="AF121" s="1395" t="s">
        <v>5462</v>
      </c>
      <c r="AG121" s="1395">
        <v>3</v>
      </c>
      <c r="AH121" s="1395" t="str">
        <f t="shared" ref="AH121:AH127" ca="1" si="320">IF(OR(M121&gt;O121,R121&gt;T121),L121,IF(OR(M121&lt;O121,R121&lt;T121),P121,""))</f>
        <v/>
      </c>
      <c r="AI121" s="1395" t="str">
        <f t="shared" ref="AI121:AI127" ca="1" si="321">IF(AND(M121&lt;&gt;"",M121=O121,R121=T121),L121,"")</f>
        <v>Axel DONVAL (iss)</v>
      </c>
      <c r="AJ121" s="1395" t="str">
        <f t="shared" ref="AJ121:AJ127" ca="1" si="322">IF(AND(M121&lt;&gt;"",M121=O121,R121=T121),P121,"")</f>
        <v>Audrey HERBAUT (chp)</v>
      </c>
      <c r="AK121" s="1395" t="str">
        <f t="shared" ref="AK121:AK127" ca="1" si="323">IF(OR(M121&lt;O121,R121&lt;T121),L121,IF(OR(M121&gt;O121,R121&gt;T121),P121,""))</f>
        <v/>
      </c>
      <c r="AL121" s="2220" t="str">
        <f t="shared" si="280"/>
        <v/>
      </c>
      <c r="AM121" s="2220" t="str">
        <f t="shared" si="281"/>
        <v/>
      </c>
      <c r="AN121" s="2220" t="str">
        <f t="shared" si="282"/>
        <v/>
      </c>
      <c r="AO121" s="2220" t="str">
        <f t="shared" si="283"/>
        <v/>
      </c>
      <c r="AP121" s="2220" t="str">
        <f t="shared" si="284"/>
        <v/>
      </c>
    </row>
    <row r="122" spans="1:42" outlineLevel="1" x14ac:dyDescent="0.2">
      <c r="A122" s="814">
        <f t="shared" ca="1" si="311"/>
        <v>0.80208333333333326</v>
      </c>
      <c r="B122" s="815"/>
      <c r="C122" s="2226" t="str">
        <f>"D1_Last8 - " &amp; N_Group &amp; " 1" &amp; " - " &amp; N_Round &amp; " 3"</f>
        <v>D1_Last8 - Poule 1 - Tr 3</v>
      </c>
      <c r="D122" s="872"/>
      <c r="E122" s="327"/>
      <c r="F122" s="815"/>
      <c r="G122" s="817" t="s">
        <v>1715</v>
      </c>
      <c r="H122" s="817" t="str">
        <f t="shared" si="312"/>
        <v>D1_Last8</v>
      </c>
      <c r="I122" s="817">
        <f t="shared" ca="1" si="313"/>
        <v>17</v>
      </c>
      <c r="J122" s="817">
        <f t="shared" ca="1" si="314"/>
        <v>22</v>
      </c>
      <c r="K122" s="817" t="str">
        <f t="shared" si="315"/>
        <v>D1_Last8!V17</v>
      </c>
      <c r="L122" s="818" t="str">
        <f>D1_Last8!V17</f>
        <v>Françoise GUYOT (chp)</v>
      </c>
      <c r="M122" s="10" cm="1">
        <f t="array" aca="1" ref="M122" ca="1">IF(AND(ISNA(MATCH(L122&amp;P122,D1_Tr1!$V:$V&amp;D1_Tr1!$Z:$Z,0)),ISNA(MATCH(P122&amp;L122,D1_Tr1!$V:$V&amp;D1_Tr1!$Z:$Z,0))),"",IFERROR(INDEX(D1_Tr1!$W:$W,MATCH($L122&amp;$P122,D1_Tr1!$V:$V&amp;D1_Tr1!$Z:$Z,0)),0)+IFERROR(INDEX(D1_Tr1!$Y:$Y,MATCH($P122&amp;$L122,D1_Tr1!$V:$V&amp;D1_Tr1!$Z:$Z,0)),0))</f>
        <v>3</v>
      </c>
      <c r="N122" s="394" t="s">
        <v>769</v>
      </c>
      <c r="O122" s="10" cm="1">
        <f t="array" aca="1" ref="O122" ca="1">IF(AND(ISNA(MATCH(L122&amp;P122,D1_Tr1!$V:$V&amp;D1_Tr1!$Z:$Z,0)),ISNA(MATCH(P122&amp;L122,D1_Tr1!$V:$V&amp;D1_Tr1!$Z:$Z,0))),"",IFERROR(INDEX(D1_Tr1!$Y:$Y,MATCH($L122&amp;$P122,D1_Tr1!$V:$V&amp;D1_Tr1!$Z:$Z,0)),0)+IFERROR(INDEX(D1_Tr1!$W:$W,MATCH($P122&amp;$L122,D1_Tr1!$V:$V&amp;D1_Tr1!$Z:$Z,0)),0))</f>
        <v>7</v>
      </c>
      <c r="P122" s="818" t="str">
        <f t="shared" ca="1" si="316"/>
        <v>Thierry VIVRON (iss)</v>
      </c>
      <c r="Q122" s="819"/>
      <c r="R122" s="397"/>
      <c r="S122" s="397"/>
      <c r="T122" s="397"/>
      <c r="U122" s="397"/>
      <c r="V122" s="820" t="str">
        <f t="shared" ca="1" si="317"/>
        <v>Françoise GUYOT (chp)19:15</v>
      </c>
      <c r="W122" s="820" t="str">
        <f t="shared" ca="1" si="318"/>
        <v>Thierry VIVRON (iss)19:15</v>
      </c>
      <c r="X122" s="362">
        <f t="shared" ca="1" si="272"/>
        <v>3</v>
      </c>
      <c r="Y122" s="362">
        <f t="shared" ca="1" si="273"/>
        <v>3</v>
      </c>
      <c r="Z122" s="821" t="b">
        <f t="shared" si="274"/>
        <v>0</v>
      </c>
      <c r="AA122" s="1317"/>
      <c r="AB122" s="1327"/>
      <c r="AD122" s="1395" t="str">
        <f t="shared" ca="1" si="319"/>
        <v>0,802083333333333</v>
      </c>
      <c r="AE122" s="1395" t="str">
        <f>D1_Last8!D1</f>
        <v>D1</v>
      </c>
      <c r="AF122" s="1395" t="s">
        <v>5462</v>
      </c>
      <c r="AG122" s="1395">
        <v>3</v>
      </c>
      <c r="AH122" s="1395" t="str">
        <f t="shared" ca="1" si="320"/>
        <v>Thierry VIVRON (iss)</v>
      </c>
      <c r="AI122" s="1395" t="str">
        <f t="shared" ca="1" si="321"/>
        <v/>
      </c>
      <c r="AJ122" s="1395" t="str">
        <f t="shared" ca="1" si="322"/>
        <v/>
      </c>
      <c r="AK122" s="1395" t="str">
        <f t="shared" ca="1" si="323"/>
        <v>Françoise GUYOT (chp)</v>
      </c>
      <c r="AL122" s="2220" t="str">
        <f t="shared" si="280"/>
        <v/>
      </c>
      <c r="AM122" s="2220" t="str">
        <f t="shared" si="281"/>
        <v/>
      </c>
      <c r="AN122" s="2220" t="str">
        <f t="shared" si="282"/>
        <v/>
      </c>
      <c r="AO122" s="2220" t="str">
        <f t="shared" si="283"/>
        <v/>
      </c>
      <c r="AP122" s="2220" t="str">
        <f t="shared" si="284"/>
        <v/>
      </c>
    </row>
    <row r="123" spans="1:42" outlineLevel="1" x14ac:dyDescent="0.2">
      <c r="A123" s="814">
        <f t="shared" ca="1" si="311"/>
        <v>0.80208333333333326</v>
      </c>
      <c r="B123" s="815"/>
      <c r="C123" s="2226" t="str">
        <f>"D1_Last8 - " &amp; N_Group &amp; " 1" &amp; " - " &amp; N_Round &amp; " 3"</f>
        <v>D1_Last8 - Poule 1 - Tr 3</v>
      </c>
      <c r="D123" s="872"/>
      <c r="E123" s="327"/>
      <c r="F123" s="815"/>
      <c r="G123" s="817" t="s">
        <v>1715</v>
      </c>
      <c r="H123" s="817" t="str">
        <f t="shared" si="312"/>
        <v>D1_Last8</v>
      </c>
      <c r="I123" s="817">
        <f t="shared" ca="1" si="313"/>
        <v>18</v>
      </c>
      <c r="J123" s="817">
        <f t="shared" ca="1" si="314"/>
        <v>22</v>
      </c>
      <c r="K123" s="817" t="str">
        <f t="shared" si="315"/>
        <v>D1_Last8!V18</v>
      </c>
      <c r="L123" s="818" t="str">
        <f>D1_Last8!V18</f>
        <v>Jean-François BALARD (puy)</v>
      </c>
      <c r="M123" s="10" cm="1">
        <f t="array" aca="1" ref="M123" ca="1">IF(AND(ISNA(MATCH(L123&amp;P123,D1_Tr1!$V:$V&amp;D1_Tr1!$Z:$Z,0)),ISNA(MATCH(P123&amp;L123,D1_Tr1!$V:$V&amp;D1_Tr1!$Z:$Z,0))),"",IFERROR(INDEX(D1_Tr1!$W:$W,MATCH($L123&amp;$P123,D1_Tr1!$V:$V&amp;D1_Tr1!$Z:$Z,0)),0)+IFERROR(INDEX(D1_Tr1!$Y:$Y,MATCH($P123&amp;$L123,D1_Tr1!$V:$V&amp;D1_Tr1!$Z:$Z,0)),0))</f>
        <v>3</v>
      </c>
      <c r="N123" s="394" t="s">
        <v>769</v>
      </c>
      <c r="O123" s="10" cm="1">
        <f t="array" aca="1" ref="O123" ca="1">IF(AND(ISNA(MATCH(L123&amp;P123,D1_Tr1!$V:$V&amp;D1_Tr1!$Z:$Z,0)),ISNA(MATCH(P123&amp;L123,D1_Tr1!$V:$V&amp;D1_Tr1!$Z:$Z,0))),"",IFERROR(INDEX(D1_Tr1!$Y:$Y,MATCH($L123&amp;$P123,D1_Tr1!$V:$V&amp;D1_Tr1!$Z:$Z,0)),0)+IFERROR(INDEX(D1_Tr1!$W:$W,MATCH($P123&amp;$L123,D1_Tr1!$V:$V&amp;D1_Tr1!$Z:$Z,0)),0))</f>
        <v>3</v>
      </c>
      <c r="P123" s="818" t="str">
        <f t="shared" ca="1" si="316"/>
        <v>Jean-Marie AMBERNY (iss)</v>
      </c>
      <c r="Q123" s="819"/>
      <c r="R123" s="397"/>
      <c r="S123" s="397"/>
      <c r="T123" s="397"/>
      <c r="U123" s="397"/>
      <c r="V123" s="820" t="str">
        <f t="shared" ca="1" si="317"/>
        <v>Jean-François BALARD (puy)19:15</v>
      </c>
      <c r="W123" s="820" t="str">
        <f t="shared" ca="1" si="318"/>
        <v>Jean-Marie AMBERNY (iss)19:15</v>
      </c>
      <c r="X123" s="362">
        <f t="shared" ca="1" si="272"/>
        <v>3</v>
      </c>
      <c r="Y123" s="362">
        <f t="shared" ca="1" si="273"/>
        <v>3</v>
      </c>
      <c r="Z123" s="821" t="b">
        <f t="shared" si="274"/>
        <v>0</v>
      </c>
      <c r="AA123" s="1317"/>
      <c r="AB123" s="1327"/>
      <c r="AD123" s="1395" t="str">
        <f t="shared" ca="1" si="319"/>
        <v>0,802083333333333</v>
      </c>
      <c r="AE123" s="1395" t="str">
        <f>D1_Last8!D1</f>
        <v>D1</v>
      </c>
      <c r="AF123" s="1395" t="s">
        <v>5462</v>
      </c>
      <c r="AG123" s="1395">
        <v>3</v>
      </c>
      <c r="AH123" s="1395" t="str">
        <f t="shared" ca="1" si="320"/>
        <v/>
      </c>
      <c r="AI123" s="1395" t="str">
        <f t="shared" ca="1" si="321"/>
        <v>Jean-François BALARD (puy)</v>
      </c>
      <c r="AJ123" s="1395" t="str">
        <f t="shared" ca="1" si="322"/>
        <v>Jean-Marie AMBERNY (iss)</v>
      </c>
      <c r="AK123" s="1395" t="str">
        <f t="shared" ca="1" si="323"/>
        <v/>
      </c>
      <c r="AL123" s="2220" t="str">
        <f t="shared" si="280"/>
        <v/>
      </c>
      <c r="AM123" s="2220" t="str">
        <f t="shared" si="281"/>
        <v/>
      </c>
      <c r="AN123" s="2220" t="str">
        <f t="shared" si="282"/>
        <v/>
      </c>
      <c r="AO123" s="2220" t="str">
        <f t="shared" si="283"/>
        <v/>
      </c>
      <c r="AP123" s="2220" t="str">
        <f t="shared" si="284"/>
        <v/>
      </c>
    </row>
    <row r="124" spans="1:42" outlineLevel="1" x14ac:dyDescent="0.2">
      <c r="A124" s="814">
        <f t="shared" ca="1" si="311"/>
        <v>0.80208333333333326</v>
      </c>
      <c r="B124" s="815"/>
      <c r="C124" s="2226" t="str">
        <f>"D1_Top8 - " &amp; N_Group &amp; " 1" &amp; " - " &amp; N_Round &amp; " 3"</f>
        <v>D1_Top8 - Poule 1 - Tr 3</v>
      </c>
      <c r="D124" s="872"/>
      <c r="E124" s="327"/>
      <c r="F124" s="815"/>
      <c r="G124" s="817" t="s">
        <v>1715</v>
      </c>
      <c r="H124" s="817" t="str">
        <f t="shared" si="312"/>
        <v>D1_Top8</v>
      </c>
      <c r="I124" s="817">
        <f t="shared" ca="1" si="313"/>
        <v>15</v>
      </c>
      <c r="J124" s="817">
        <f t="shared" ca="1" si="314"/>
        <v>22</v>
      </c>
      <c r="K124" s="817" t="str">
        <f t="shared" si="315"/>
        <v>D1_Top8!V15</v>
      </c>
      <c r="L124" s="818" t="str">
        <f>D1_Top8!V15</f>
        <v>Eric NASZALYI (iss)</v>
      </c>
      <c r="M124" s="10" cm="1">
        <f t="array" aca="1" ref="M124" ca="1">IF(AND(ISNA(MATCH(L124&amp;P124,D1_Tr1!$V:$V&amp;D1_Tr1!$Z:$Z,0)),ISNA(MATCH(P124&amp;L124,D1_Tr1!$V:$V&amp;D1_Tr1!$Z:$Z,0))),"",IFERROR(INDEX(D1_Tr1!$W:$W,MATCH($L124&amp;$P124,D1_Tr1!$V:$V&amp;D1_Tr1!$Z:$Z,0)),0)+IFERROR(INDEX(D1_Tr1!$Y:$Y,MATCH($P124&amp;$L124,D1_Tr1!$V:$V&amp;D1_Tr1!$Z:$Z,0)),0))</f>
        <v>3</v>
      </c>
      <c r="N124" s="394" t="s">
        <v>769</v>
      </c>
      <c r="O124" s="10" cm="1">
        <f t="array" aca="1" ref="O124" ca="1">IF(AND(ISNA(MATCH(L124&amp;P124,D1_Tr1!$V:$V&amp;D1_Tr1!$Z:$Z,0)),ISNA(MATCH(P124&amp;L124,D1_Tr1!$V:$V&amp;D1_Tr1!$Z:$Z,0))),"",IFERROR(INDEX(D1_Tr1!$Y:$Y,MATCH($L124&amp;$P124,D1_Tr1!$V:$V&amp;D1_Tr1!$Z:$Z,0)),0)+IFERROR(INDEX(D1_Tr1!$W:$W,MATCH($P124&amp;$L124,D1_Tr1!$V:$V&amp;D1_Tr1!$Z:$Z,0)),0))</f>
        <v>7</v>
      </c>
      <c r="P124" s="818" t="str">
        <f t="shared" ca="1" si="316"/>
        <v>Théo MODESTE (iss)</v>
      </c>
      <c r="Q124" s="819"/>
      <c r="R124" s="397"/>
      <c r="S124" s="397"/>
      <c r="T124" s="397"/>
      <c r="U124" s="397"/>
      <c r="V124" s="820" t="str">
        <f t="shared" ca="1" si="317"/>
        <v>Eric NASZALYI (iss)19:15</v>
      </c>
      <c r="W124" s="820" t="str">
        <f t="shared" ca="1" si="318"/>
        <v>Théo MODESTE (iss)19:15</v>
      </c>
      <c r="X124" s="362">
        <f t="shared" ca="1" si="272"/>
        <v>3</v>
      </c>
      <c r="Y124" s="362">
        <f t="shared" ca="1" si="273"/>
        <v>3</v>
      </c>
      <c r="Z124" s="821" t="b">
        <f t="shared" si="274"/>
        <v>0</v>
      </c>
      <c r="AA124" s="1317"/>
      <c r="AB124" s="1327"/>
      <c r="AD124" s="1395" t="str">
        <f t="shared" ca="1" si="319"/>
        <v>0,802083333333333</v>
      </c>
      <c r="AE124" s="1395" t="str">
        <f>D1_Top8!D1</f>
        <v>D1</v>
      </c>
      <c r="AF124" s="1395" t="s">
        <v>5462</v>
      </c>
      <c r="AG124" s="1395">
        <v>3</v>
      </c>
      <c r="AH124" s="1395" t="str">
        <f t="shared" ca="1" si="320"/>
        <v>Théo MODESTE (iss)</v>
      </c>
      <c r="AI124" s="1395" t="str">
        <f t="shared" ca="1" si="321"/>
        <v/>
      </c>
      <c r="AJ124" s="1395" t="str">
        <f t="shared" ca="1" si="322"/>
        <v/>
      </c>
      <c r="AK124" s="1395" t="str">
        <f t="shared" ca="1" si="323"/>
        <v>Eric NASZALYI (iss)</v>
      </c>
      <c r="AL124" s="2220" t="str">
        <f t="shared" si="280"/>
        <v/>
      </c>
      <c r="AM124" s="2220" t="str">
        <f t="shared" si="281"/>
        <v/>
      </c>
      <c r="AN124" s="2220" t="str">
        <f t="shared" si="282"/>
        <v/>
      </c>
      <c r="AO124" s="2220" t="str">
        <f t="shared" si="283"/>
        <v/>
      </c>
      <c r="AP124" s="2220" t="str">
        <f t="shared" si="284"/>
        <v/>
      </c>
    </row>
    <row r="125" spans="1:42" outlineLevel="1" x14ac:dyDescent="0.2">
      <c r="A125" s="814">
        <f t="shared" ca="1" si="311"/>
        <v>0.80208333333333326</v>
      </c>
      <c r="B125" s="815"/>
      <c r="C125" s="2226" t="str">
        <f>"D1_Top8 - " &amp; N_Group &amp; " 1" &amp; " - " &amp; N_Round &amp; " 3"</f>
        <v>D1_Top8 - Poule 1 - Tr 3</v>
      </c>
      <c r="D125" s="872"/>
      <c r="E125" s="327"/>
      <c r="F125" s="815"/>
      <c r="G125" s="817" t="s">
        <v>1715</v>
      </c>
      <c r="H125" s="817" t="str">
        <f t="shared" si="312"/>
        <v>D1_Top8</v>
      </c>
      <c r="I125" s="817">
        <f t="shared" ca="1" si="313"/>
        <v>16</v>
      </c>
      <c r="J125" s="817">
        <f t="shared" ca="1" si="314"/>
        <v>22</v>
      </c>
      <c r="K125" s="817" t="str">
        <f t="shared" si="315"/>
        <v>D1_Top8!V16</v>
      </c>
      <c r="L125" s="818" t="str">
        <f>D1_Top8!V16</f>
        <v>Mickaël BLANC (sym)</v>
      </c>
      <c r="M125" s="10" cm="1">
        <f t="array" aca="1" ref="M125" ca="1">IF(AND(ISNA(MATCH(L125&amp;P125,D1_Tr1!$V:$V&amp;D1_Tr1!$Z:$Z,0)),ISNA(MATCH(P125&amp;L125,D1_Tr1!$V:$V&amp;D1_Tr1!$Z:$Z,0))),"",IFERROR(INDEX(D1_Tr1!$W:$W,MATCH($L125&amp;$P125,D1_Tr1!$V:$V&amp;D1_Tr1!$Z:$Z,0)),0)+IFERROR(INDEX(D1_Tr1!$Y:$Y,MATCH($P125&amp;$L125,D1_Tr1!$V:$V&amp;D1_Tr1!$Z:$Z,0)),0))</f>
        <v>1</v>
      </c>
      <c r="N125" s="394" t="s">
        <v>769</v>
      </c>
      <c r="O125" s="10" cm="1">
        <f t="array" aca="1" ref="O125" ca="1">IF(AND(ISNA(MATCH(L125&amp;P125,D1_Tr1!$V:$V&amp;D1_Tr1!$Z:$Z,0)),ISNA(MATCH(P125&amp;L125,D1_Tr1!$V:$V&amp;D1_Tr1!$Z:$Z,0))),"",IFERROR(INDEX(D1_Tr1!$Y:$Y,MATCH($L125&amp;$P125,D1_Tr1!$V:$V&amp;D1_Tr1!$Z:$Z,0)),0)+IFERROR(INDEX(D1_Tr1!$W:$W,MATCH($P125&amp;$L125,D1_Tr1!$V:$V&amp;D1_Tr1!$Z:$Z,0)),0))</f>
        <v>3</v>
      </c>
      <c r="P125" s="818" t="str">
        <f t="shared" ca="1" si="316"/>
        <v>Stéphane POMMIER (cae)</v>
      </c>
      <c r="Q125" s="819"/>
      <c r="R125" s="397"/>
      <c r="S125" s="397"/>
      <c r="T125" s="397"/>
      <c r="U125" s="397"/>
      <c r="V125" s="820" t="str">
        <f t="shared" ca="1" si="317"/>
        <v>Mickaël BLANC (sym)19:15</v>
      </c>
      <c r="W125" s="820" t="str">
        <f t="shared" ca="1" si="318"/>
        <v>Stéphane POMMIER (cae)19:15</v>
      </c>
      <c r="X125" s="362">
        <f t="shared" ca="1" si="272"/>
        <v>3</v>
      </c>
      <c r="Y125" s="362">
        <f t="shared" ca="1" si="273"/>
        <v>3</v>
      </c>
      <c r="Z125" s="821" t="b">
        <f t="shared" si="274"/>
        <v>0</v>
      </c>
      <c r="AA125" s="1317"/>
      <c r="AB125" s="1327"/>
      <c r="AD125" s="1395" t="str">
        <f t="shared" ca="1" si="319"/>
        <v>0,802083333333333</v>
      </c>
      <c r="AE125" s="1395" t="str">
        <f>D1_Top8!D1</f>
        <v>D1</v>
      </c>
      <c r="AF125" s="1395" t="s">
        <v>5462</v>
      </c>
      <c r="AG125" s="1395">
        <v>3</v>
      </c>
      <c r="AH125" s="1395" t="str">
        <f t="shared" ca="1" si="320"/>
        <v>Stéphane POMMIER (cae)</v>
      </c>
      <c r="AI125" s="1395" t="str">
        <f t="shared" ca="1" si="321"/>
        <v/>
      </c>
      <c r="AJ125" s="1395" t="str">
        <f t="shared" ca="1" si="322"/>
        <v/>
      </c>
      <c r="AK125" s="1395" t="str">
        <f t="shared" ca="1" si="323"/>
        <v>Mickaël BLANC (sym)</v>
      </c>
      <c r="AL125" s="2220" t="str">
        <f t="shared" si="280"/>
        <v/>
      </c>
      <c r="AM125" s="2220" t="str">
        <f t="shared" si="281"/>
        <v/>
      </c>
      <c r="AN125" s="2220" t="str">
        <f t="shared" si="282"/>
        <v/>
      </c>
      <c r="AO125" s="2220" t="str">
        <f t="shared" si="283"/>
        <v/>
      </c>
      <c r="AP125" s="2220" t="str">
        <f t="shared" si="284"/>
        <v/>
      </c>
    </row>
    <row r="126" spans="1:42" outlineLevel="1" x14ac:dyDescent="0.2">
      <c r="A126" s="814">
        <f t="shared" ca="1" si="311"/>
        <v>0.80208333333333326</v>
      </c>
      <c r="B126" s="815"/>
      <c r="C126" s="2226" t="str">
        <f>"D1_Top8 - " &amp; N_Group &amp; " 1" &amp; " - " &amp; N_Round &amp; " 3"</f>
        <v>D1_Top8 - Poule 1 - Tr 3</v>
      </c>
      <c r="D126" s="872"/>
      <c r="E126" s="327"/>
      <c r="F126" s="815"/>
      <c r="G126" s="817" t="s">
        <v>1715</v>
      </c>
      <c r="H126" s="817" t="str">
        <f t="shared" si="312"/>
        <v>D1_Top8</v>
      </c>
      <c r="I126" s="817">
        <f t="shared" ca="1" si="313"/>
        <v>17</v>
      </c>
      <c r="J126" s="817">
        <f t="shared" ca="1" si="314"/>
        <v>22</v>
      </c>
      <c r="K126" s="817" t="str">
        <f t="shared" si="315"/>
        <v>D1_Top8!V17</v>
      </c>
      <c r="L126" s="818" t="str">
        <f>D1_Top8!V17</f>
        <v>David LEROY (puy)</v>
      </c>
      <c r="M126" s="10" cm="1">
        <f t="array" aca="1" ref="M126" ca="1">IF(AND(ISNA(MATCH(L126&amp;P126,D1_Tr1!$V:$V&amp;D1_Tr1!$Z:$Z,0)),ISNA(MATCH(P126&amp;L126,D1_Tr1!$V:$V&amp;D1_Tr1!$Z:$Z,0))),"",IFERROR(INDEX(D1_Tr1!$W:$W,MATCH($L126&amp;$P126,D1_Tr1!$V:$V&amp;D1_Tr1!$Z:$Z,0)),0)+IFERROR(INDEX(D1_Tr1!$Y:$Y,MATCH($P126&amp;$L126,D1_Tr1!$V:$V&amp;D1_Tr1!$Z:$Z,0)),0))</f>
        <v>3</v>
      </c>
      <c r="N126" s="394" t="s">
        <v>769</v>
      </c>
      <c r="O126" s="10" cm="1">
        <f t="array" aca="1" ref="O126" ca="1">IF(AND(ISNA(MATCH(L126&amp;P126,D1_Tr1!$V:$V&amp;D1_Tr1!$Z:$Z,0)),ISNA(MATCH(P126&amp;L126,D1_Tr1!$V:$V&amp;D1_Tr1!$Z:$Z,0))),"",IFERROR(INDEX(D1_Tr1!$Y:$Y,MATCH($L126&amp;$P126,D1_Tr1!$V:$V&amp;D1_Tr1!$Z:$Z,0)),0)+IFERROR(INDEX(D1_Tr1!$W:$W,MATCH($P126&amp;$L126,D1_Tr1!$V:$V&amp;D1_Tr1!$Z:$Z,0)),0))</f>
        <v>8</v>
      </c>
      <c r="P126" s="818" t="str">
        <f t="shared" ca="1" si="316"/>
        <v>Raphaël POMMIER (cae)</v>
      </c>
      <c r="Q126" s="819"/>
      <c r="R126" s="397"/>
      <c r="S126" s="397"/>
      <c r="T126" s="397"/>
      <c r="U126" s="397"/>
      <c r="V126" s="820" t="str">
        <f t="shared" ca="1" si="317"/>
        <v>David LEROY (puy)19:15</v>
      </c>
      <c r="W126" s="820" t="str">
        <f t="shared" ca="1" si="318"/>
        <v>Raphaël POMMIER (cae)19:15</v>
      </c>
      <c r="X126" s="362">
        <f t="shared" ca="1" si="272"/>
        <v>3</v>
      </c>
      <c r="Y126" s="362">
        <f t="shared" ca="1" si="273"/>
        <v>3</v>
      </c>
      <c r="Z126" s="821" t="b">
        <f t="shared" si="274"/>
        <v>0</v>
      </c>
      <c r="AA126" s="1317"/>
      <c r="AB126" s="1327"/>
      <c r="AD126" s="1395" t="str">
        <f t="shared" ca="1" si="319"/>
        <v>0,802083333333333</v>
      </c>
      <c r="AE126" s="1395" t="str">
        <f>D1_Top8!D1</f>
        <v>D1</v>
      </c>
      <c r="AF126" s="1395" t="s">
        <v>5462</v>
      </c>
      <c r="AG126" s="1395">
        <v>3</v>
      </c>
      <c r="AH126" s="1395" t="str">
        <f t="shared" ca="1" si="320"/>
        <v>Raphaël POMMIER (cae)</v>
      </c>
      <c r="AI126" s="1395" t="str">
        <f t="shared" ca="1" si="321"/>
        <v/>
      </c>
      <c r="AJ126" s="1395" t="str">
        <f t="shared" ca="1" si="322"/>
        <v/>
      </c>
      <c r="AK126" s="1395" t="str">
        <f t="shared" ca="1" si="323"/>
        <v>David LEROY (puy)</v>
      </c>
      <c r="AL126" s="2220" t="str">
        <f t="shared" si="280"/>
        <v/>
      </c>
      <c r="AM126" s="2220" t="str">
        <f t="shared" si="281"/>
        <v/>
      </c>
      <c r="AN126" s="2220" t="str">
        <f t="shared" si="282"/>
        <v/>
      </c>
      <c r="AO126" s="2220" t="str">
        <f t="shared" si="283"/>
        <v/>
      </c>
      <c r="AP126" s="2220" t="str">
        <f t="shared" si="284"/>
        <v/>
      </c>
    </row>
    <row r="127" spans="1:42" outlineLevel="1" x14ac:dyDescent="0.2">
      <c r="A127" s="814">
        <f t="shared" ca="1" si="311"/>
        <v>0.80208333333333326</v>
      </c>
      <c r="B127" s="815"/>
      <c r="C127" s="2226" t="str">
        <f>"D1_Top8 - " &amp; N_Group &amp; " 1" &amp; " - " &amp; N_Round &amp; " 3"</f>
        <v>D1_Top8 - Poule 1 - Tr 3</v>
      </c>
      <c r="D127" s="872"/>
      <c r="E127" s="327"/>
      <c r="F127" s="815"/>
      <c r="G127" s="817" t="s">
        <v>1715</v>
      </c>
      <c r="H127" s="817" t="str">
        <f t="shared" si="312"/>
        <v>D1_Top8</v>
      </c>
      <c r="I127" s="817">
        <f t="shared" ca="1" si="313"/>
        <v>18</v>
      </c>
      <c r="J127" s="817">
        <f t="shared" ca="1" si="314"/>
        <v>22</v>
      </c>
      <c r="K127" s="817" t="str">
        <f t="shared" si="315"/>
        <v>D1_Top8!V18</v>
      </c>
      <c r="L127" s="818" t="str">
        <f>D1_Top8!V18</f>
        <v>Quentin AUSSET (chp)</v>
      </c>
      <c r="M127" s="10" cm="1">
        <f t="array" aca="1" ref="M127" ca="1">IF(AND(ISNA(MATCH(L127&amp;P127,D1_Tr1!$V:$V&amp;D1_Tr1!$Z:$Z,0)),ISNA(MATCH(P127&amp;L127,D1_Tr1!$V:$V&amp;D1_Tr1!$Z:$Z,0))),"",IFERROR(INDEX(D1_Tr1!$W:$W,MATCH($L127&amp;$P127,D1_Tr1!$V:$V&amp;D1_Tr1!$Z:$Z,0)),0)+IFERROR(INDEX(D1_Tr1!$Y:$Y,MATCH($P127&amp;$L127,D1_Tr1!$V:$V&amp;D1_Tr1!$Z:$Z,0)),0))</f>
        <v>1</v>
      </c>
      <c r="N127" s="394" t="s">
        <v>769</v>
      </c>
      <c r="O127" s="10" cm="1">
        <f t="array" aca="1" ref="O127" ca="1">IF(AND(ISNA(MATCH(L127&amp;P127,D1_Tr1!$V:$V&amp;D1_Tr1!$Z:$Z,0)),ISNA(MATCH(P127&amp;L127,D1_Tr1!$V:$V&amp;D1_Tr1!$Z:$Z,0))),"",IFERROR(INDEX(D1_Tr1!$Y:$Y,MATCH($L127&amp;$P127,D1_Tr1!$V:$V&amp;D1_Tr1!$Z:$Z,0)),0)+IFERROR(INDEX(D1_Tr1!$W:$W,MATCH($P127&amp;$L127,D1_Tr1!$V:$V&amp;D1_Tr1!$Z:$Z,0)),0))</f>
        <v>3</v>
      </c>
      <c r="P127" s="818" t="str">
        <f t="shared" ca="1" si="316"/>
        <v>Emmanuel GORGETTE (iss)</v>
      </c>
      <c r="Q127" s="819"/>
      <c r="R127" s="397"/>
      <c r="S127" s="397"/>
      <c r="T127" s="397"/>
      <c r="U127" s="397"/>
      <c r="V127" s="820" t="str">
        <f t="shared" ca="1" si="317"/>
        <v>Quentin AUSSET (chp)19:15</v>
      </c>
      <c r="W127" s="820" t="str">
        <f t="shared" ca="1" si="318"/>
        <v>Emmanuel GORGETTE (iss)19:15</v>
      </c>
      <c r="X127" s="362">
        <f t="shared" ca="1" si="272"/>
        <v>3</v>
      </c>
      <c r="Y127" s="362">
        <f t="shared" ca="1" si="273"/>
        <v>3</v>
      </c>
      <c r="Z127" s="821" t="b">
        <f t="shared" si="274"/>
        <v>0</v>
      </c>
      <c r="AA127" s="1317"/>
      <c r="AB127" s="1327"/>
      <c r="AD127" s="1395" t="str">
        <f t="shared" ca="1" si="319"/>
        <v>0,802083333333333</v>
      </c>
      <c r="AE127" s="1395" t="str">
        <f>D1_Top8!D1</f>
        <v>D1</v>
      </c>
      <c r="AF127" s="1395" t="s">
        <v>5462</v>
      </c>
      <c r="AG127" s="1395">
        <v>3</v>
      </c>
      <c r="AH127" s="1395" t="str">
        <f t="shared" ca="1" si="320"/>
        <v>Emmanuel GORGETTE (iss)</v>
      </c>
      <c r="AI127" s="1395" t="str">
        <f t="shared" ca="1" si="321"/>
        <v/>
      </c>
      <c r="AJ127" s="1395" t="str">
        <f t="shared" ca="1" si="322"/>
        <v/>
      </c>
      <c r="AK127" s="1395" t="str">
        <f t="shared" ca="1" si="323"/>
        <v>Quentin AUSSET (chp)</v>
      </c>
      <c r="AL127" s="2220" t="str">
        <f t="shared" si="280"/>
        <v/>
      </c>
      <c r="AM127" s="2220" t="str">
        <f t="shared" si="281"/>
        <v/>
      </c>
      <c r="AN127" s="2220" t="str">
        <f t="shared" si="282"/>
        <v/>
      </c>
      <c r="AO127" s="2220" t="str">
        <f t="shared" si="283"/>
        <v/>
      </c>
      <c r="AP127" s="2220" t="str">
        <f t="shared" si="284"/>
        <v/>
      </c>
    </row>
    <row r="128" spans="1:42" outlineLevel="1" x14ac:dyDescent="0.2">
      <c r="A128" s="814">
        <f t="shared" ref="A128" ca="1" si="324">OFFSET(A128,-1,0)</f>
        <v>0.80208333333333326</v>
      </c>
      <c r="B128" s="815"/>
      <c r="C128" s="2226" t="str">
        <f>"D1_Last8 - " &amp; N_Group &amp; " 1" &amp; " - " &amp; N_Round &amp; " 4"</f>
        <v>D1_Last8 - Poule 1 - Tr 4</v>
      </c>
      <c r="D128" s="872"/>
      <c r="E128" s="327"/>
      <c r="F128" s="815"/>
      <c r="G128" s="817" t="s">
        <v>1715</v>
      </c>
      <c r="H128" s="817" t="str">
        <f t="shared" ref="H128" si="325">IF(K128="","",SUBSTITUTE(MID(K128,1,SEARCH("!",K128,1)-1),"'",""))</f>
        <v>D1_Last8</v>
      </c>
      <c r="I128" s="817">
        <f t="shared" ref="I128" ca="1" si="326">IF(K128="","",CELL("row",INDIRECT(K128)))</f>
        <v>20</v>
      </c>
      <c r="J128" s="817">
        <f t="shared" ref="J128" ca="1" si="327">IF(K128="","",CELL("col",INDIRECT(K128)))</f>
        <v>22</v>
      </c>
      <c r="K128" s="817" t="str">
        <f t="shared" ref="K128" si="328">MID(Lire_Formule(L128),2,10000)</f>
        <v>D1_Last8!V20</v>
      </c>
      <c r="L128" s="818" t="str">
        <f>D1_Last8!V20</f>
        <v>Jean-Marie AMBERNY (iss)</v>
      </c>
      <c r="M128" s="10" cm="1">
        <f t="array" aca="1" ref="M128" ca="1">IF(AND(ISNA(MATCH(L128&amp;P128,D1_Tr1!$V:$V&amp;D1_Tr1!$Z:$Z,0)),ISNA(MATCH(P128&amp;L128,D1_Tr1!$V:$V&amp;D1_Tr1!$Z:$Z,0))),"",IFERROR(INDEX(D1_Tr1!$W:$W,MATCH($L128&amp;$P128,D1_Tr1!$V:$V&amp;D1_Tr1!$Z:$Z,0)),0)+IFERROR(INDEX(D1_Tr1!$Y:$Y,MATCH($P128&amp;$L128,D1_Tr1!$V:$V&amp;D1_Tr1!$Z:$Z,0)),0))</f>
        <v>3</v>
      </c>
      <c r="N128" s="394" t="s">
        <v>769</v>
      </c>
      <c r="O128" s="10" cm="1">
        <f t="array" aca="1" ref="O128" ca="1">IF(AND(ISNA(MATCH(L128&amp;P128,D1_Tr1!$V:$V&amp;D1_Tr1!$Z:$Z,0)),ISNA(MATCH(P128&amp;L128,D1_Tr1!$V:$V&amp;D1_Tr1!$Z:$Z,0))),"",IFERROR(INDEX(D1_Tr1!$Y:$Y,MATCH($L128&amp;$P128,D1_Tr1!$V:$V&amp;D1_Tr1!$Z:$Z,0)),0)+IFERROR(INDEX(D1_Tr1!$W:$W,MATCH($P128&amp;$L128,D1_Tr1!$V:$V&amp;D1_Tr1!$Z:$Z,0)),0))</f>
        <v>3</v>
      </c>
      <c r="P128" s="818" t="str">
        <f t="shared" ref="P128" ca="1" si="329">IF(K128="","",IF(G128="IT",INDIRECT(ADDRESS(I128+2,J128,4,TRUE,H128)),INDIRECT(ADDRESS(I128,J128+4,4,TRUE,H128))))</f>
        <v>Axel DONVAL (iss)</v>
      </c>
      <c r="Q128" s="819"/>
      <c r="R128" s="397"/>
      <c r="S128" s="397"/>
      <c r="T128" s="397"/>
      <c r="U128" s="397"/>
      <c r="V128" s="820" t="str">
        <f t="shared" ref="V128" ca="1" si="330">L128&amp;TEXT(A128,"hh:mm")</f>
        <v>Jean-Marie AMBERNY (iss)19:15</v>
      </c>
      <c r="W128" s="820" t="str">
        <f t="shared" ref="W128" ca="1" si="331">P128&amp;TEXT(A128,"hh:mm")</f>
        <v>Axel DONVAL (iss)19:15</v>
      </c>
      <c r="X128" s="362">
        <f t="shared" ca="1" si="272"/>
        <v>3</v>
      </c>
      <c r="Y128" s="362">
        <f t="shared" ca="1" si="273"/>
        <v>3</v>
      </c>
      <c r="Z128" s="821" t="b">
        <f t="shared" si="274"/>
        <v>0</v>
      </c>
      <c r="AA128" s="1317"/>
      <c r="AB128" s="1327"/>
      <c r="AD128" s="1395" t="str">
        <f t="shared" ref="AD128" ca="1" si="332">AA128&amp;A128</f>
        <v>0,802083333333333</v>
      </c>
      <c r="AE128" s="1395" t="str">
        <f>D1_Last8!D1</f>
        <v>D1</v>
      </c>
      <c r="AF128" s="1395" t="s">
        <v>5462</v>
      </c>
      <c r="AG128" s="1395">
        <v>4</v>
      </c>
      <c r="AH128" s="1395" t="str">
        <f t="shared" ref="AH128" ca="1" si="333">IF(OR(M128&gt;O128,R128&gt;T128),L128,IF(OR(M128&lt;O128,R128&lt;T128),P128,""))</f>
        <v/>
      </c>
      <c r="AI128" s="1395" t="str">
        <f t="shared" ref="AI128" ca="1" si="334">IF(AND(M128&lt;&gt;"",M128=O128,R128=T128),L128,"")</f>
        <v>Jean-Marie AMBERNY (iss)</v>
      </c>
      <c r="AJ128" s="1395" t="str">
        <f t="shared" ref="AJ128" ca="1" si="335">IF(AND(M128&lt;&gt;"",M128=O128,R128=T128),P128,"")</f>
        <v>Axel DONVAL (iss)</v>
      </c>
      <c r="AK128" s="1395" t="str">
        <f t="shared" ref="AK128" ca="1" si="336">IF(OR(M128&lt;O128,R128&lt;T128),L128,IF(OR(M128&gt;O128,R128&gt;T128),P128,""))</f>
        <v/>
      </c>
      <c r="AL128" s="2220" t="str">
        <f t="shared" si="280"/>
        <v/>
      </c>
      <c r="AM128" s="2220" t="str">
        <f t="shared" si="281"/>
        <v/>
      </c>
      <c r="AN128" s="2220" t="str">
        <f t="shared" si="282"/>
        <v/>
      </c>
      <c r="AO128" s="2220" t="str">
        <f t="shared" si="283"/>
        <v/>
      </c>
      <c r="AP128" s="2220" t="str">
        <f t="shared" si="284"/>
        <v/>
      </c>
    </row>
    <row r="129" spans="1:42" outlineLevel="1" x14ac:dyDescent="0.2">
      <c r="A129" s="814">
        <f ca="1">OFFSET(A129,-1,0)</f>
        <v>0.80208333333333326</v>
      </c>
      <c r="B129" s="815"/>
      <c r="C129" s="2226" t="str">
        <f>"D1_Last8 - " &amp; N_Group &amp; " 1" &amp; " - " &amp; N_Round &amp; " 4"</f>
        <v>D1_Last8 - Poule 1 - Tr 4</v>
      </c>
      <c r="D129" s="872"/>
      <c r="E129" s="327"/>
      <c r="F129" s="815"/>
      <c r="G129" s="817" t="s">
        <v>1715</v>
      </c>
      <c r="H129" s="817" t="str">
        <f>IF(K129="","",SUBSTITUTE(MID(K129,1,SEARCH("!",K129,1)-1),"'",""))</f>
        <v>D1_Last8</v>
      </c>
      <c r="I129" s="817">
        <f ca="1">IF(K129="","",CELL("row",INDIRECT(K129)))</f>
        <v>22</v>
      </c>
      <c r="J129" s="817">
        <f ca="1">IF(K129="","",CELL("col",INDIRECT(K129)))</f>
        <v>22</v>
      </c>
      <c r="K129" s="817" t="str">
        <f>MID(Lire_Formule(L129),2,10000)</f>
        <v>D1_Last8!V22</v>
      </c>
      <c r="L129" s="818" t="str">
        <f>D1_Last8!V22</f>
        <v>Françoise GUYOT (chp)</v>
      </c>
      <c r="M129" s="10" cm="1">
        <f t="array" aca="1" ref="M129" ca="1">IF(AND(ISNA(MATCH(L129&amp;P129,D1_Tr1!$V:$V&amp;D1_Tr1!$Z:$Z,0)),ISNA(MATCH(P129&amp;L129,D1_Tr1!$V:$V&amp;D1_Tr1!$Z:$Z,0))),"",IFERROR(INDEX(D1_Tr1!$W:$W,MATCH($L129&amp;$P129,D1_Tr1!$V:$V&amp;D1_Tr1!$Z:$Z,0)),0)+IFERROR(INDEX(D1_Tr1!$Y:$Y,MATCH($P129&amp;$L129,D1_Tr1!$V:$V&amp;D1_Tr1!$Z:$Z,0)),0))</f>
        <v>3</v>
      </c>
      <c r="N129" s="394" t="s">
        <v>769</v>
      </c>
      <c r="O129" s="10" cm="1">
        <f t="array" aca="1" ref="O129" ca="1">IF(AND(ISNA(MATCH(L129&amp;P129,D1_Tr1!$V:$V&amp;D1_Tr1!$Z:$Z,0)),ISNA(MATCH(P129&amp;L129,D1_Tr1!$V:$V&amp;D1_Tr1!$Z:$Z,0))),"",IFERROR(INDEX(D1_Tr1!$Y:$Y,MATCH($L129&amp;$P129,D1_Tr1!$V:$V&amp;D1_Tr1!$Z:$Z,0)),0)+IFERROR(INDEX(D1_Tr1!$W:$W,MATCH($P129&amp;$L129,D1_Tr1!$V:$V&amp;D1_Tr1!$Z:$Z,0)),0))</f>
        <v>5</v>
      </c>
      <c r="P129" s="818" t="str">
        <f ca="1">IF(K129="","",IF(G129="IT",INDIRECT(ADDRESS(I129+2,J129,4,TRUE,H129)),INDIRECT(ADDRESS(I129,J129+4,4,TRUE,H129))))</f>
        <v>Cédric PANDOLFI (sym)</v>
      </c>
      <c r="Q129" s="819"/>
      <c r="R129" s="397"/>
      <c r="S129" s="397"/>
      <c r="T129" s="397"/>
      <c r="U129" s="397"/>
      <c r="V129" s="820" t="str">
        <f ca="1">L129&amp;TEXT(A129,"hh:mm")</f>
        <v>Françoise GUYOT (chp)19:15</v>
      </c>
      <c r="W129" s="820" t="str">
        <f ca="1">P129&amp;TEXT(A129,"hh:mm")</f>
        <v>Cédric PANDOLFI (sym)19:15</v>
      </c>
      <c r="X129" s="362">
        <f t="shared" ca="1" si="272"/>
        <v>3</v>
      </c>
      <c r="Y129" s="362">
        <f t="shared" ca="1" si="273"/>
        <v>3</v>
      </c>
      <c r="Z129" s="821" t="b">
        <f t="shared" si="274"/>
        <v>0</v>
      </c>
      <c r="AA129" s="1317"/>
      <c r="AB129" s="1327"/>
      <c r="AD129" s="1395" t="str">
        <f ca="1">AA129&amp;A129</f>
        <v>0,802083333333333</v>
      </c>
      <c r="AE129" s="1395" t="str">
        <f>D1_Last8!D1</f>
        <v>D1</v>
      </c>
      <c r="AF129" s="1395" t="s">
        <v>5462</v>
      </c>
      <c r="AG129" s="1395">
        <v>4</v>
      </c>
      <c r="AH129" s="1395" t="str">
        <f ca="1">IF(OR(M129&gt;O129,R129&gt;T129),L129,IF(OR(M129&lt;O129,R129&lt;T129),P129,""))</f>
        <v>Cédric PANDOLFI (sym)</v>
      </c>
      <c r="AI129" s="1395" t="str">
        <f ca="1">IF(AND(M129&lt;&gt;"",M129=O129,R129=T129),L129,"")</f>
        <v/>
      </c>
      <c r="AJ129" s="1395" t="str">
        <f ca="1">IF(AND(M129&lt;&gt;"",M129=O129,R129=T129),P129,"")</f>
        <v/>
      </c>
      <c r="AK129" s="1395" t="str">
        <f ca="1">IF(OR(M129&lt;O129,R129&lt;T129),L129,IF(OR(M129&gt;O129,R129&gt;T129),P129,""))</f>
        <v>Françoise GUYOT (chp)</v>
      </c>
      <c r="AL129" s="2220" t="str">
        <f t="shared" si="280"/>
        <v/>
      </c>
      <c r="AM129" s="2220" t="str">
        <f t="shared" si="281"/>
        <v/>
      </c>
      <c r="AN129" s="2220" t="str">
        <f t="shared" si="282"/>
        <v/>
      </c>
      <c r="AO129" s="2220" t="str">
        <f t="shared" si="283"/>
        <v/>
      </c>
      <c r="AP129" s="2220" t="str">
        <f t="shared" si="284"/>
        <v/>
      </c>
    </row>
    <row r="130" spans="1:42" outlineLevel="1" x14ac:dyDescent="0.2">
      <c r="A130" s="814">
        <f ca="1">OFFSET(A130,-1,0)</f>
        <v>0.80208333333333326</v>
      </c>
      <c r="B130" s="815"/>
      <c r="C130" s="2226" t="str">
        <f>"D1_Top8 - " &amp; N_Group &amp; " 1" &amp; " - " &amp; N_Round &amp; " 4"</f>
        <v>D1_Top8 - Poule 1 - Tr 4</v>
      </c>
      <c r="D130" s="872"/>
      <c r="E130" s="327"/>
      <c r="F130" s="815"/>
      <c r="G130" s="817" t="s">
        <v>1715</v>
      </c>
      <c r="H130" s="817" t="str">
        <f>IF(K130="","",SUBSTITUTE(MID(K130,1,SEARCH("!",K130,1)-1),"'",""))</f>
        <v>D1_Top8</v>
      </c>
      <c r="I130" s="817">
        <f ca="1">IF(K130="","",CELL("row",INDIRECT(K130)))</f>
        <v>20</v>
      </c>
      <c r="J130" s="817">
        <f ca="1">IF(K130="","",CELL("col",INDIRECT(K130)))</f>
        <v>22</v>
      </c>
      <c r="K130" s="817" t="str">
        <f>MID(Lire_Formule(L130),2,10000)</f>
        <v>D1_Top8!V20</v>
      </c>
      <c r="L130" s="818" t="str">
        <f>D1_Top8!V20</f>
        <v>Emmanuel GORGETTE (iss)</v>
      </c>
      <c r="M130" s="10" cm="1">
        <f t="array" aca="1" ref="M130" ca="1">IF(AND(ISNA(MATCH(L130&amp;P130,D1_Tr1!$V:$V&amp;D1_Tr1!$Z:$Z,0)),ISNA(MATCH(P130&amp;L130,D1_Tr1!$V:$V&amp;D1_Tr1!$Z:$Z,0))),"",IFERROR(INDEX(D1_Tr1!$W:$W,MATCH($L130&amp;$P130,D1_Tr1!$V:$V&amp;D1_Tr1!$Z:$Z,0)),0)+IFERROR(INDEX(D1_Tr1!$Y:$Y,MATCH($P130&amp;$L130,D1_Tr1!$V:$V&amp;D1_Tr1!$Z:$Z,0)),0))</f>
        <v>2</v>
      </c>
      <c r="N130" s="394" t="s">
        <v>769</v>
      </c>
      <c r="O130" s="10" cm="1">
        <f t="array" aca="1" ref="O130" ca="1">IF(AND(ISNA(MATCH(L130&amp;P130,D1_Tr1!$V:$V&amp;D1_Tr1!$Z:$Z,0)),ISNA(MATCH(P130&amp;L130,D1_Tr1!$V:$V&amp;D1_Tr1!$Z:$Z,0))),"",IFERROR(INDEX(D1_Tr1!$Y:$Y,MATCH($L130&amp;$P130,D1_Tr1!$V:$V&amp;D1_Tr1!$Z:$Z,0)),0)+IFERROR(INDEX(D1_Tr1!$W:$W,MATCH($P130&amp;$L130,D1_Tr1!$V:$V&amp;D1_Tr1!$Z:$Z,0)),0))</f>
        <v>3</v>
      </c>
      <c r="P130" s="818" t="str">
        <f ca="1">IF(K130="","",IF(G130="IT",INDIRECT(ADDRESS(I130+2,J130,4,TRUE,H130)),INDIRECT(ADDRESS(I130,J130+4,4,TRUE,H130))))</f>
        <v>Mickaël BLANC (sym)</v>
      </c>
      <c r="Q130" s="819"/>
      <c r="R130" s="397"/>
      <c r="S130" s="397"/>
      <c r="T130" s="397"/>
      <c r="U130" s="397"/>
      <c r="V130" s="820" t="str">
        <f ca="1">L130&amp;TEXT(A130,"hh:mm")</f>
        <v>Emmanuel GORGETTE (iss)19:15</v>
      </c>
      <c r="W130" s="820" t="str">
        <f ca="1">P130&amp;TEXT(A130,"hh:mm")</f>
        <v>Mickaël BLANC (sym)19:15</v>
      </c>
      <c r="X130" s="362">
        <f t="shared" ca="1" si="272"/>
        <v>3</v>
      </c>
      <c r="Y130" s="362">
        <f t="shared" ca="1" si="273"/>
        <v>3</v>
      </c>
      <c r="Z130" s="821" t="b">
        <f t="shared" si="274"/>
        <v>0</v>
      </c>
      <c r="AA130" s="1317"/>
      <c r="AB130" s="1327"/>
      <c r="AD130" s="1395" t="str">
        <f ca="1">AA130&amp;A130</f>
        <v>0,802083333333333</v>
      </c>
      <c r="AE130" s="1395" t="str">
        <f>D1_Top8!D1</f>
        <v>D1</v>
      </c>
      <c r="AF130" s="1395" t="s">
        <v>5462</v>
      </c>
      <c r="AG130" s="1395">
        <v>4</v>
      </c>
      <c r="AH130" s="1395" t="str">
        <f ca="1">IF(OR(M130&gt;O130,R130&gt;T130),L130,IF(OR(M130&lt;O130,R130&lt;T130),P130,""))</f>
        <v>Mickaël BLANC (sym)</v>
      </c>
      <c r="AI130" s="1395" t="str">
        <f ca="1">IF(AND(M130&lt;&gt;"",M130=O130,R130=T130),L130,"")</f>
        <v/>
      </c>
      <c r="AJ130" s="1395" t="str">
        <f ca="1">IF(AND(M130&lt;&gt;"",M130=O130,R130=T130),P130,"")</f>
        <v/>
      </c>
      <c r="AK130" s="1395" t="str">
        <f ca="1">IF(OR(M130&lt;O130,R130&lt;T130),L130,IF(OR(M130&gt;O130,R130&gt;T130),P130,""))</f>
        <v>Emmanuel GORGETTE (iss)</v>
      </c>
      <c r="AL130" s="2220" t="str">
        <f t="shared" si="280"/>
        <v/>
      </c>
      <c r="AM130" s="2220" t="str">
        <f t="shared" si="281"/>
        <v/>
      </c>
      <c r="AN130" s="2220" t="str">
        <f t="shared" si="282"/>
        <v/>
      </c>
      <c r="AO130" s="2220" t="str">
        <f t="shared" si="283"/>
        <v/>
      </c>
      <c r="AP130" s="2220" t="str">
        <f t="shared" si="284"/>
        <v/>
      </c>
    </row>
    <row r="131" spans="1:42" ht="13.5" outlineLevel="1" thickBot="1" x14ac:dyDescent="0.25">
      <c r="A131" s="814">
        <f ca="1">OFFSET(A131,-1,0)</f>
        <v>0.80208333333333326</v>
      </c>
      <c r="B131" s="815"/>
      <c r="C131" s="2226" t="str">
        <f>"D1_Top8 - " &amp; N_Group &amp; " 1" &amp; " - " &amp; N_Round &amp; " 4"</f>
        <v>D1_Top8 - Poule 1 - Tr 4</v>
      </c>
      <c r="D131" s="872"/>
      <c r="E131" s="327"/>
      <c r="F131" s="815"/>
      <c r="G131" s="817" t="s">
        <v>1715</v>
      </c>
      <c r="H131" s="817" t="str">
        <f>IF(K131="","",SUBSTITUTE(MID(K131,1,SEARCH("!",K131,1)-1),"'",""))</f>
        <v>D1_Top8</v>
      </c>
      <c r="I131" s="817">
        <f ca="1">IF(K131="","",CELL("row",INDIRECT(K131)))</f>
        <v>22</v>
      </c>
      <c r="J131" s="817">
        <f ca="1">IF(K131="","",CELL("col",INDIRECT(K131)))</f>
        <v>22</v>
      </c>
      <c r="K131" s="817" t="str">
        <f>MID(Lire_Formule(L131),2,10000)</f>
        <v>D1_Top8!V22</v>
      </c>
      <c r="L131" s="818" t="str">
        <f>D1_Top8!V22</f>
        <v>David LEROY (puy)</v>
      </c>
      <c r="M131" s="10" cm="1">
        <f t="array" aca="1" ref="M131" ca="1">IF(AND(ISNA(MATCH(L131&amp;P131,D1_Tr1!$V:$V&amp;D1_Tr1!$Z:$Z,0)),ISNA(MATCH(P131&amp;L131,D1_Tr1!$V:$V&amp;D1_Tr1!$Z:$Z,0))),"",IFERROR(INDEX(D1_Tr1!$W:$W,MATCH($L131&amp;$P131,D1_Tr1!$V:$V&amp;D1_Tr1!$Z:$Z,0)),0)+IFERROR(INDEX(D1_Tr1!$Y:$Y,MATCH($P131&amp;$L131,D1_Tr1!$V:$V&amp;D1_Tr1!$Z:$Z,0)),0))</f>
        <v>3</v>
      </c>
      <c r="N131" s="394" t="s">
        <v>769</v>
      </c>
      <c r="O131" s="10" cm="1">
        <f t="array" aca="1" ref="O131" ca="1">IF(AND(ISNA(MATCH(L131&amp;P131,D1_Tr1!$V:$V&amp;D1_Tr1!$Z:$Z,0)),ISNA(MATCH(P131&amp;L131,D1_Tr1!$V:$V&amp;D1_Tr1!$Z:$Z,0))),"",IFERROR(INDEX(D1_Tr1!$Y:$Y,MATCH($L131&amp;$P131,D1_Tr1!$V:$V&amp;D1_Tr1!$Z:$Z,0)),0)+IFERROR(INDEX(D1_Tr1!$W:$W,MATCH($P131&amp;$L131,D1_Tr1!$V:$V&amp;D1_Tr1!$Z:$Z,0)),0))</f>
        <v>8</v>
      </c>
      <c r="P131" s="818" t="str">
        <f ca="1">IF(K131="","",IF(G131="IT",INDIRECT(ADDRESS(I131+2,J131,4,TRUE,H131)),INDIRECT(ADDRESS(I131,J131+4,4,TRUE,H131))))</f>
        <v>Eric NASZALYI (iss)</v>
      </c>
      <c r="Q131" s="819"/>
      <c r="R131" s="397"/>
      <c r="S131" s="397"/>
      <c r="T131" s="397"/>
      <c r="U131" s="397"/>
      <c r="V131" s="820" t="str">
        <f ca="1">L131&amp;TEXT(A131,"hh:mm")</f>
        <v>David LEROY (puy)19:15</v>
      </c>
      <c r="W131" s="820" t="str">
        <f ca="1">P131&amp;TEXT(A131,"hh:mm")</f>
        <v>Eric NASZALYI (iss)19:15</v>
      </c>
      <c r="X131" s="362">
        <f t="shared" ca="1" si="272"/>
        <v>3</v>
      </c>
      <c r="Y131" s="362">
        <f t="shared" ca="1" si="273"/>
        <v>3</v>
      </c>
      <c r="Z131" s="821" t="b">
        <f t="shared" si="274"/>
        <v>0</v>
      </c>
      <c r="AA131" s="1317"/>
      <c r="AB131" s="1327"/>
      <c r="AD131" s="1395" t="str">
        <f ca="1">AA131&amp;A131</f>
        <v>0,802083333333333</v>
      </c>
      <c r="AE131" s="1395" t="str">
        <f>D1_Top8!D1</f>
        <v>D1</v>
      </c>
      <c r="AF131" s="1395" t="s">
        <v>5462</v>
      </c>
      <c r="AG131" s="1395">
        <v>4</v>
      </c>
      <c r="AH131" s="1395" t="str">
        <f ca="1">IF(OR(M131&gt;O131,R131&gt;T131),L131,IF(OR(M131&lt;O131,R131&lt;T131),P131,""))</f>
        <v>Eric NASZALYI (iss)</v>
      </c>
      <c r="AI131" s="1395" t="str">
        <f ca="1">IF(AND(M131&lt;&gt;"",M131=O131,R131=T131),L131,"")</f>
        <v/>
      </c>
      <c r="AJ131" s="1395" t="str">
        <f ca="1">IF(AND(M131&lt;&gt;"",M131=O131,R131=T131),P131,"")</f>
        <v/>
      </c>
      <c r="AK131" s="1395" t="str">
        <f ca="1">IF(OR(M131&lt;O131,R131&lt;T131),L131,IF(OR(M131&gt;O131,R131&gt;T131),P131,""))</f>
        <v>David LEROY (puy)</v>
      </c>
      <c r="AL131" s="2220" t="str">
        <f t="shared" si="280"/>
        <v/>
      </c>
      <c r="AM131" s="2220" t="str">
        <f t="shared" si="281"/>
        <v/>
      </c>
      <c r="AN131" s="2220" t="str">
        <f t="shared" si="282"/>
        <v/>
      </c>
      <c r="AO131" s="2220" t="str">
        <f t="shared" si="283"/>
        <v/>
      </c>
      <c r="AP131" s="2220" t="str">
        <f t="shared" si="284"/>
        <v/>
      </c>
    </row>
    <row r="132" spans="1:42" s="1397" customFormat="1" ht="15.75" thickBot="1" x14ac:dyDescent="0.25">
      <c r="A132" s="1393">
        <f>A107+P107</f>
        <v>0.8472222222222221</v>
      </c>
      <c r="B132" s="790"/>
      <c r="C132" s="791" t="str">
        <f t="shared" si="0"/>
        <v xml:space="preserve">Session N° </v>
      </c>
      <c r="D132" s="792"/>
      <c r="E132" s="793">
        <f>E107+1</f>
        <v>17</v>
      </c>
      <c r="F132" s="794"/>
      <c r="G132" s="795" t="str">
        <f>"S" &amp; RIGHT(G107, LEN(G107)-1) + 1</f>
        <v>S17</v>
      </c>
      <c r="H132" s="794"/>
      <c r="I132" s="794"/>
      <c r="J132" s="794"/>
      <c r="K132" s="794"/>
      <c r="L132" s="791" t="str">
        <f t="shared" si="1"/>
        <v>Durée</v>
      </c>
      <c r="M132" s="796"/>
      <c r="N132" s="797" t="s">
        <v>1714</v>
      </c>
      <c r="O132" s="796"/>
      <c r="P132" s="798">
        <v>4.5138888888888888E-2</v>
      </c>
      <c r="Q132" s="799"/>
      <c r="R132" s="800"/>
      <c r="S132" s="796"/>
      <c r="T132" s="800"/>
      <c r="U132" s="796"/>
      <c r="V132" s="796"/>
      <c r="W132" s="796"/>
      <c r="X132" s="796"/>
      <c r="Y132" s="796"/>
      <c r="Z132" s="796"/>
      <c r="AA132" s="799"/>
      <c r="AB132" s="801"/>
      <c r="AC132" s="1394"/>
      <c r="AD132" s="1394"/>
      <c r="AE132" s="1394"/>
      <c r="AF132" s="1394"/>
      <c r="AG132" s="1394"/>
      <c r="AH132" s="1394"/>
      <c r="AI132" s="1394"/>
      <c r="AJ132" s="1394"/>
      <c r="AK132" s="1394"/>
      <c r="AL132" s="2219"/>
      <c r="AM132" s="2219"/>
      <c r="AN132" s="2219"/>
      <c r="AO132" s="2219"/>
      <c r="AP132" s="2219"/>
    </row>
    <row r="133" spans="1:42" ht="15" x14ac:dyDescent="0.2">
      <c r="A133" s="789">
        <f t="shared" ref="A133" si="337">A132+P132</f>
        <v>0.89236111111111094</v>
      </c>
      <c r="B133" s="790"/>
      <c r="C133" s="791" t="str">
        <f t="shared" ref="C133" si="338">N_Session</f>
        <v xml:space="preserve">Session N° </v>
      </c>
      <c r="D133" s="792"/>
      <c r="E133" s="793">
        <f t="shared" ref="E133" si="339">E132+1</f>
        <v>18</v>
      </c>
      <c r="F133" s="794"/>
      <c r="G133" s="795" t="str">
        <f>"S" &amp; RIGHT(G132, LEN(G132)-1) + 1</f>
        <v>S18</v>
      </c>
      <c r="H133" s="794"/>
      <c r="I133" s="794"/>
      <c r="J133" s="794"/>
      <c r="K133" s="794"/>
      <c r="L133" s="791" t="str">
        <f t="shared" ref="L133" si="340">N_Duration</f>
        <v>Durée</v>
      </c>
      <c r="M133" s="796"/>
      <c r="N133" s="797" t="s">
        <v>1714</v>
      </c>
      <c r="O133" s="796"/>
      <c r="P133" s="798">
        <v>4.5138888888888888E-2</v>
      </c>
      <c r="Q133" s="799"/>
      <c r="R133" s="800"/>
      <c r="S133" s="796"/>
      <c r="T133" s="800"/>
      <c r="U133" s="796"/>
      <c r="V133" s="796"/>
      <c r="W133" s="796"/>
      <c r="X133" s="796"/>
      <c r="Y133" s="796"/>
      <c r="Z133" s="796"/>
      <c r="AA133" s="799"/>
      <c r="AB133" s="801"/>
      <c r="AC133" s="1394"/>
      <c r="AD133" s="1394"/>
      <c r="AE133" s="1394"/>
      <c r="AF133" s="1394"/>
      <c r="AG133" s="1394"/>
      <c r="AH133" s="1394"/>
      <c r="AI133" s="1394"/>
      <c r="AJ133" s="1394"/>
      <c r="AK133" s="1394"/>
      <c r="AL133" s="2219"/>
      <c r="AM133" s="2219"/>
      <c r="AN133" s="2219"/>
      <c r="AO133" s="2219"/>
      <c r="AP133" s="2219"/>
    </row>
    <row r="134" spans="1:42" ht="21" thickBot="1" x14ac:dyDescent="0.25">
      <c r="A134" s="1390" t="str">
        <f>N_End_Planning</f>
        <v>FIN DU PLANNING</v>
      </c>
      <c r="B134" s="1391"/>
      <c r="C134" s="1391"/>
      <c r="D134" s="1391"/>
      <c r="E134" s="1391"/>
      <c r="F134" s="1391"/>
      <c r="G134" s="1391"/>
      <c r="H134" s="1391"/>
      <c r="I134" s="1391"/>
      <c r="J134" s="1391"/>
      <c r="K134" s="1391"/>
      <c r="L134" s="1391"/>
      <c r="M134" s="1391"/>
      <c r="N134" s="1391"/>
      <c r="O134" s="1391"/>
      <c r="P134" s="1391"/>
      <c r="Q134" s="1391"/>
      <c r="R134" s="1391"/>
      <c r="S134" s="1391"/>
      <c r="T134" s="1391"/>
      <c r="U134" s="1391"/>
      <c r="V134" s="1391"/>
      <c r="W134" s="1391"/>
      <c r="X134" s="1391"/>
      <c r="Y134" s="1391"/>
      <c r="Z134" s="1391"/>
      <c r="AA134" s="1391"/>
      <c r="AB134" s="1392"/>
    </row>
    <row r="135" spans="1:42" ht="15.75" thickTop="1" x14ac:dyDescent="0.2">
      <c r="A135" s="1399" t="str">
        <f>N_Insert_above</f>
        <v>Insérez des lignes au dessus de cette zone</v>
      </c>
      <c r="B135" s="1400"/>
      <c r="C135" s="1400"/>
      <c r="D135" s="1400"/>
      <c r="E135" s="1400"/>
      <c r="F135" s="1400"/>
      <c r="G135" s="1400"/>
      <c r="H135" s="1400"/>
      <c r="I135" s="1400"/>
      <c r="J135" s="1400"/>
      <c r="K135" s="1400"/>
      <c r="L135" s="1400"/>
      <c r="M135" s="1400"/>
      <c r="N135" s="1400"/>
      <c r="O135" s="1400"/>
      <c r="P135" s="1400"/>
      <c r="Q135" s="1400"/>
      <c r="R135" s="1400"/>
      <c r="S135" s="1400"/>
      <c r="T135" s="1400"/>
      <c r="U135" s="1400"/>
      <c r="V135" s="1400"/>
      <c r="W135" s="1400"/>
      <c r="X135" s="1400"/>
      <c r="Y135" s="1400"/>
      <c r="Z135" s="1400"/>
      <c r="AA135" s="1400"/>
      <c r="AB135" s="1401"/>
    </row>
  </sheetData>
  <sheetProtection formatColumns="0" formatRows="0" selectLockedCells="1"/>
  <dataConsolidate/>
  <customSheetViews>
    <customSheetView guid="{13F24B0A-7740-483A-BEF7-5257F8522605}" showGridLines="0" fitToPage="1" printArea="1" hiddenColumns="1">
      <pane ySplit="3" topLeftCell="A4" activePane="bottomLeft" state="frozen"/>
      <selection pane="bottomLeft" activeCell="O3" sqref="O3:O135"/>
      <pageMargins left="0.39370078740157483" right="0.31496062992125984" top="0.94488188976377963" bottom="0.70866141732283472" header="0.31496062992125984" footer="0.31496062992125984"/>
      <printOptions horizontalCentered="1"/>
      <pageSetup paperSize="9" scale="83" fitToHeight="12" orientation="landscape" r:id="rId1"/>
      <headerFooter alignWithMargins="0">
        <oddHeader>&amp;L&amp;14_x000D_Sept. 1st, 2018&amp;C&amp;18FISTF World Cup 2018 - Gibraltar - Individuals Competition&amp;R&amp;14_x000D_&amp;A</oddHeader>
        <oddFooter>&amp;L&amp;8 Produced by GMFT 6.3.2&amp;R&amp;14&amp;P / &amp;N</oddFooter>
      </headerFooter>
    </customSheetView>
  </customSheetViews>
  <mergeCells count="8">
    <mergeCell ref="AP1:AP3"/>
    <mergeCell ref="AH2:AK2"/>
    <mergeCell ref="AE2:AG2"/>
    <mergeCell ref="R3:T3"/>
    <mergeCell ref="AL1:AL3"/>
    <mergeCell ref="AM1:AM3"/>
    <mergeCell ref="AN1:AN3"/>
    <mergeCell ref="AO1:AO3"/>
  </mergeCells>
  <phoneticPr fontId="0" type="noConversion"/>
  <conditionalFormatting sqref="AA77:AA84 AA3:AA75 AA95:AA102 AA86:AA93 AA104:AA134">
    <cfRule type="expression" dxfId="14" priority="5" stopIfTrue="1">
      <formula>Z3</formula>
    </cfRule>
  </conditionalFormatting>
  <conditionalFormatting sqref="L77:L84 L3:L75 L95:L102 L86:L93 L104:L134">
    <cfRule type="expression" dxfId="13" priority="4" stopIfTrue="1">
      <formula>X3&gt;1</formula>
    </cfRule>
  </conditionalFormatting>
  <conditionalFormatting sqref="P77:P84 P3:P75 P95:P102 P86:P93 P104:P134">
    <cfRule type="expression" dxfId="12" priority="3" stopIfTrue="1">
      <formula>Y3&gt;1</formula>
    </cfRule>
  </conditionalFormatting>
  <conditionalFormatting sqref="O77:O84 M77:M84 O3:O75 M3:M75 O95:O102 M95:M102 O86:O93 M86:M93 O104:O134 M104:M134">
    <cfRule type="expression" dxfId="11" priority="2" stopIfTrue="1">
      <formula>$AB3="V"</formula>
    </cfRule>
  </conditionalFormatting>
  <conditionalFormatting sqref="AB104:AB134 AB95:AB102 AB3:AB75 AB86:AB93 AB77:AB84">
    <cfRule type="iconSet" priority="310">
      <iconSet iconSet="4TrafficLights" showValue="0" reverse="1">
        <cfvo type="percent" val="0"/>
        <cfvo type="num" val="1"/>
        <cfvo type="num" val="1000"/>
        <cfvo type="num" val="10000"/>
      </iconSet>
    </cfRule>
  </conditionalFormatting>
  <dataValidations count="5">
    <dataValidation type="whole" allowBlank="1" showInputMessage="1" showErrorMessage="1" errorTitle="Erreur de saisie" error="Vous devez tapez un nombre entier entre 0 et 100" sqref="O3 M3 M5:M12 M32:M39 M23:M30 M14:M21 O23:O30 O14:O21 O32:O39 M50:M57 O5:O12 M41:M48 O50:O57 O41:O48 M59:M66 O59:O66 O77:O84 O68:O75 O95:O102 O86:O93 O108:O131 O108:O119" xr:uid="{00000000-0002-0000-1D00-000000000000}">
      <formula1>0</formula1>
      <formula2>100</formula2>
    </dataValidation>
    <dataValidation allowBlank="1" showInputMessage="1" showErrorMessage="1" promptTitle="Format" prompt="HH:MM_x000a_ex. : 09:15" sqref="A4" xr:uid="{00000000-0002-0000-1D00-000001000000}"/>
    <dataValidation type="list" allowBlank="1" showInputMessage="1" showErrorMessage="1" sqref="P4 P13 P49 P40 P31 P22 P58:P106 P107:P133" xr:uid="{00000000-0002-0000-1D00-000002000000}">
      <formula1>Durations_List</formula1>
    </dataValidation>
    <dataValidation type="list" allowBlank="1" showInputMessage="1" sqref="AA14:AA21 AA41:AA48 AA32:AA39 AA23:AA30 AA5:AA12 AA50:AA57 AA59:AA66 AA77:AA84 AA68:AA75 AA95:AA102 AA86:AA93 AA108:AA131" xr:uid="{94373572-00A3-481B-BF9D-8DA116708BE8}">
      <formula1>OFFSET(Sessions_Hours,1,MATCH(A5,Sessions_Hours,0)-1,Nb_Referees,1)</formula1>
    </dataValidation>
    <dataValidation type="whole" allowBlank="1" showInputMessage="1" errorTitle="Erreur de saisie" error="Vous devez tapez un nombre entier entre 0 et 100" sqref="M77:M84 M68:M75 M95:M102 M86:M93 M108:M131 M108:M119" xr:uid="{2DF6FA59-8655-4F8A-B894-AB25EB7BC104}">
      <formula1>0</formula1>
      <formula2>100</formula2>
    </dataValidation>
  </dataValidations>
  <printOptions horizontalCentered="1"/>
  <pageMargins left="0.39370078740157483" right="0.31496062992125984" top="0.94488188976377963" bottom="0.70866141732283472" header="0.31496062992125984" footer="0.31496062992125984"/>
  <pageSetup paperSize="9" scale="84" fitToHeight="12" orientation="landscape" r:id="rId2"/>
  <headerFooter alignWithMargins="0">
    <oddHeader>&amp;L&amp;14_x000D_&lt;Event Date(s)&gt;&amp;C&amp;18&lt;FEDERATION&gt; &lt;Event Name&gt;&lt;YYYY&gt; - &lt;Location&gt; - &lt;Individuals/Teams&gt; Competition&amp;R&amp;14_x000D_&amp;A</oddHeader>
    <oddFooter>&amp;L&amp;8 Produced by GMFT 14&amp;R&amp;14&amp;P / &amp;N</oddFooter>
  </headerFooter>
  <rowBreaks count="1" manualBreakCount="1">
    <brk id="103" max="26"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t_Refereeing">
    <tabColor rgb="FFFFC000"/>
    <pageSetUpPr fitToPage="1"/>
  </sheetPr>
  <dimension ref="A1:AD638"/>
  <sheetViews>
    <sheetView showGridLines="0" workbookViewId="0">
      <pane ySplit="6" topLeftCell="A7" activePane="bottomLeft" state="frozen"/>
      <selection activeCell="G6" sqref="G6:P249"/>
      <selection pane="bottomLeft" activeCell="C7" sqref="C7"/>
    </sheetView>
  </sheetViews>
  <sheetFormatPr baseColWidth="10" defaultColWidth="3.140625" defaultRowHeight="12.75" x14ac:dyDescent="0.2"/>
  <cols>
    <col min="1" max="1" width="3.28515625" style="1397" customWidth="1"/>
    <col min="2" max="2" width="31.42578125" style="1397" customWidth="1"/>
    <col min="3" max="3" width="11.140625" style="1397" bestFit="1" customWidth="1"/>
    <col min="4" max="4" width="11.28515625" style="1397" customWidth="1"/>
    <col min="5" max="5" width="15" style="1397" customWidth="1"/>
    <col min="6" max="6" width="10.5703125" style="1397" customWidth="1"/>
    <col min="7" max="7" width="10.42578125" style="1397" customWidth="1"/>
    <col min="8" max="8" width="10.5703125" style="1397" customWidth="1"/>
    <col min="9" max="9" width="10.7109375" style="1397" customWidth="1"/>
    <col min="10" max="10" width="9.28515625" style="1450" hidden="1" customWidth="1"/>
    <col min="11" max="30" width="8" style="1450" hidden="1" customWidth="1"/>
    <col min="31" max="255" width="11.42578125" style="7" customWidth="1"/>
    <col min="256" max="16384" width="3.140625" style="7"/>
  </cols>
  <sheetData>
    <row r="1" spans="1:30" ht="36" thickBot="1" x14ac:dyDescent="0.55000000000000004">
      <c r="A1" s="1852"/>
      <c r="B1" s="2512" t="str">
        <f>N_RefereeSheetTitle</f>
        <v>Liste des arbitres pour utilisation dans le planning</v>
      </c>
      <c r="C1" s="2512"/>
      <c r="D1" s="2512"/>
      <c r="E1" s="2512"/>
      <c r="F1" s="2512"/>
      <c r="G1" s="2512"/>
      <c r="H1" s="2512"/>
      <c r="I1" s="2512"/>
      <c r="J1" s="1397"/>
      <c r="K1" s="1397"/>
      <c r="L1" s="1397"/>
      <c r="M1" s="1397"/>
      <c r="N1" s="1397"/>
      <c r="O1" s="1397"/>
      <c r="P1" s="1397"/>
      <c r="Q1" s="1397"/>
      <c r="R1" s="1397"/>
      <c r="S1" s="1397"/>
      <c r="T1" s="1397"/>
      <c r="U1" s="1397"/>
      <c r="V1" s="1397"/>
      <c r="W1" s="1397"/>
      <c r="X1" s="1397"/>
      <c r="Y1" s="1397"/>
      <c r="Z1" s="1397"/>
      <c r="AA1" s="1397"/>
      <c r="AB1" s="1397"/>
      <c r="AC1" s="1397"/>
      <c r="AD1" s="1397"/>
    </row>
    <row r="2" spans="1:30" ht="29.25" customHeight="1" x14ac:dyDescent="0.2">
      <c r="A2" s="7"/>
      <c r="B2" s="2513" t="str">
        <f>N_RefereeListReason</f>
        <v>Cette liste vous permet d'adapter la "liste de valeurs" disponible dans les champs "Abitre" de la feuille Planning afin qu'elle soit plus facile à utiliser.</v>
      </c>
      <c r="C2" s="2514"/>
      <c r="D2" s="2514"/>
      <c r="E2" s="2514"/>
      <c r="F2" s="2514"/>
      <c r="G2" s="2514"/>
      <c r="H2" s="2514"/>
      <c r="I2" s="2515"/>
    </row>
    <row r="3" spans="1:30" ht="29.25" customHeight="1" x14ac:dyDescent="0.2">
      <c r="A3" s="1394"/>
      <c r="B3" s="2506" t="str">
        <f>N_RefereeList</f>
        <v>Utiliser les filtres ci-dessous pour trier la liste des arbitres (le filtrage n'a pas d'effet)</v>
      </c>
      <c r="C3" s="2507"/>
      <c r="D3" s="2507"/>
      <c r="E3" s="2507"/>
      <c r="F3" s="2507"/>
      <c r="G3" s="2507"/>
      <c r="H3" s="2507"/>
      <c r="I3" s="2508"/>
    </row>
    <row r="4" spans="1:30" ht="29.25" customHeight="1" x14ac:dyDescent="0.2">
      <c r="A4" s="1394"/>
      <c r="B4" s="2506" t="str">
        <f>N_RefereeListAdapt</f>
        <v>Vous pouvez effacer des lignes ou ajouter des caractéristiques dans les critères supplémentaires (1 à 4).</v>
      </c>
      <c r="C4" s="2507"/>
      <c r="D4" s="2507"/>
      <c r="E4" s="2507"/>
      <c r="F4" s="2507"/>
      <c r="G4" s="2507"/>
      <c r="H4" s="2507"/>
      <c r="I4" s="2508"/>
    </row>
    <row r="5" spans="1:30" ht="29.25" customHeight="1" thickBot="1" x14ac:dyDescent="0.25">
      <c r="A5" s="7"/>
      <c r="B5" s="2509" t="str">
        <f>N_RefereeListValidate</f>
        <v>Lorsque vous validez les inscriptions dans la feuille "Checkin" cette liste est complètement réinitialisée et vos saisies complémentaires dans les critères supplémentaires sont effacés.</v>
      </c>
      <c r="C5" s="2510"/>
      <c r="D5" s="2510"/>
      <c r="E5" s="2510"/>
      <c r="F5" s="2510"/>
      <c r="G5" s="2510"/>
      <c r="H5" s="2510"/>
      <c r="I5" s="2511"/>
      <c r="J5" s="1450">
        <v>1</v>
      </c>
      <c r="K5" s="1450">
        <v>2</v>
      </c>
      <c r="L5" s="1450">
        <v>3</v>
      </c>
      <c r="M5" s="1450">
        <v>4</v>
      </c>
      <c r="N5" s="1450">
        <v>5</v>
      </c>
      <c r="O5" s="1450">
        <v>6</v>
      </c>
      <c r="P5" s="1450">
        <v>7</v>
      </c>
      <c r="Q5" s="1450">
        <v>8</v>
      </c>
      <c r="R5" s="1450">
        <v>9</v>
      </c>
      <c r="S5" s="1450">
        <v>10</v>
      </c>
      <c r="T5" s="1450">
        <v>11</v>
      </c>
      <c r="U5" s="1450">
        <v>12</v>
      </c>
      <c r="V5" s="1450">
        <v>13</v>
      </c>
      <c r="W5" s="1450">
        <v>14</v>
      </c>
      <c r="X5" s="1450">
        <v>15</v>
      </c>
      <c r="Y5" s="1450">
        <v>16</v>
      </c>
      <c r="Z5" s="1450">
        <v>17</v>
      </c>
      <c r="AA5" s="1450">
        <v>18</v>
      </c>
      <c r="AB5" s="1450">
        <v>19</v>
      </c>
      <c r="AC5" s="1450">
        <v>20</v>
      </c>
      <c r="AD5" s="1450">
        <v>21</v>
      </c>
    </row>
    <row r="6" spans="1:30" ht="26.25" thickBot="1" x14ac:dyDescent="0.25">
      <c r="A6" s="1887">
        <f>COUNTA(RefereeList_NameFirstname)</f>
        <v>56</v>
      </c>
      <c r="B6" s="415" t="str">
        <f>N_Referee</f>
        <v>Referee</v>
      </c>
      <c r="C6" s="399" t="str">
        <f>N_Category</f>
        <v>Catégorie</v>
      </c>
      <c r="D6" s="400" t="str">
        <f>N_Nb_Refereeing</f>
        <v>Nb Matches arbitrés</v>
      </c>
      <c r="E6" s="400" t="str">
        <f>N_LastHourRefereeing</f>
        <v>Session de dernier arbitrage</v>
      </c>
      <c r="F6" s="400" t="str">
        <f>N_YourCriteria &amp; " " &amp; COLUMN(F6)  - 5</f>
        <v>Votre critère 1</v>
      </c>
      <c r="G6" s="400" t="str">
        <f>N_YourCriteria &amp; " " &amp; COLUMN(G6)  - 5</f>
        <v>Votre critère 2</v>
      </c>
      <c r="H6" s="400" t="str">
        <f>N_YourCriteria &amp; " " &amp; COLUMN(H6)  - 5</f>
        <v>Votre critère 3</v>
      </c>
      <c r="I6" s="416" t="str">
        <f>N_YourCriteria &amp; " " &amp; COLUMN(I6)  - 5</f>
        <v>Votre critère 4</v>
      </c>
      <c r="J6" s="1451">
        <f>INDEX(Planning!$A:$A,MATCH("S"&amp;J5,Planning!$G:$G,0))</f>
        <v>0.35416666666666669</v>
      </c>
      <c r="K6" s="1451">
        <f>INDEX(Planning!$A:$A,MATCH("S"&amp;K5,Planning!$G:$G,0))</f>
        <v>0.3888888888888889</v>
      </c>
      <c r="L6" s="1451">
        <f>INDEX(Planning!$A:$A,MATCH("S"&amp;L5,Planning!$G:$G,0))</f>
        <v>0.4236111111111111</v>
      </c>
      <c r="M6" s="1451">
        <f>INDEX(Planning!$A:$A,MATCH("S"&amp;M5,Planning!$G:$G,0))</f>
        <v>0.45833333333333331</v>
      </c>
      <c r="N6" s="1451">
        <f>INDEX(Planning!$A:$A,MATCH("S"&amp;N5,Planning!$G:$G,0))</f>
        <v>0.49305555555555552</v>
      </c>
      <c r="O6" s="1451">
        <f>INDEX(Planning!$A:$A,MATCH("S"&amp;O5,Planning!$G:$G,0))</f>
        <v>0.52777777777777779</v>
      </c>
      <c r="P6" s="1451">
        <f>INDEX(Planning!$A:$A,MATCH("S"&amp;P5,Planning!$G:$G,0))</f>
        <v>0.55902777777777779</v>
      </c>
      <c r="Q6" s="1451">
        <f>INDEX(Planning!$A:$A,MATCH("S"&amp;Q5,Planning!$G:$G,0))</f>
        <v>0.58680555555555558</v>
      </c>
      <c r="R6" s="1451">
        <f>INDEX(Planning!$A:$A,MATCH("S"&amp;R5,Planning!$G:$G,0))</f>
        <v>0.61805555555555602</v>
      </c>
      <c r="S6" s="1451">
        <f>INDEX(Planning!$A:$A,MATCH("S"&amp;S5,Planning!$G:$G,0))</f>
        <v>0.64583333333333381</v>
      </c>
      <c r="T6" s="1451">
        <f>INDEX(Planning!$A:$A,MATCH("S"&amp;T5,Planning!$G:$G,0))</f>
        <v>0.6736111111111116</v>
      </c>
      <c r="U6" s="1451">
        <f>INDEX(Planning!$A:$A,MATCH("S"&amp;U5,Planning!$G:$G,0))</f>
        <v>0.70138888888888939</v>
      </c>
      <c r="V6" s="1451">
        <f>INDEX(Planning!$A:$A,MATCH("S"&amp;V5,Planning!$G:$G,0))</f>
        <v>0.72916666666666718</v>
      </c>
      <c r="W6" s="1451">
        <f>INDEX(Planning!$A:$A,MATCH("S"&amp;W5,Planning!$G:$G,0))</f>
        <v>0.71180555555555558</v>
      </c>
      <c r="X6" s="1451">
        <f>INDEX(Planning!$A:$A,MATCH("S"&amp;X5,Planning!$G:$G,0))</f>
        <v>0.75694444444444442</v>
      </c>
      <c r="Y6" s="1451">
        <f>INDEX(Planning!$A:$A,MATCH("S"&amp;Y5,Planning!$G:$G,0))</f>
        <v>0.80208333333333326</v>
      </c>
      <c r="Z6" s="1451">
        <f>INDEX(Planning!$A:$A,MATCH("S"&amp;Z5,Planning!$G:$G,0))</f>
        <v>0.8472222222222221</v>
      </c>
      <c r="AA6" s="1451">
        <f>INDEX(Planning!$A:$A,MATCH("S"&amp;AA5,Planning!$G:$G,0))</f>
        <v>0.89236111111111094</v>
      </c>
      <c r="AB6" s="1451" t="e">
        <f>INDEX(Planning!$A:$A,MATCH("S"&amp;AB5,Planning!$G:$G,0))</f>
        <v>#N/A</v>
      </c>
      <c r="AC6" s="1451" t="e">
        <f>INDEX(Planning!$A:$A,MATCH("S"&amp;AC5,Planning!$G:$G,0))</f>
        <v>#N/A</v>
      </c>
      <c r="AD6" s="1451" t="e">
        <f>INDEX(Planning!$A:$A,MATCH("S"&amp;AD5,Planning!$G:$G,0))</f>
        <v>#N/A</v>
      </c>
    </row>
    <row r="7" spans="1:30" x14ac:dyDescent="0.2">
      <c r="A7" s="1887"/>
      <c r="B7" s="438" t="s">
        <v>18224</v>
      </c>
      <c r="C7" s="439" t="s">
        <v>5299</v>
      </c>
      <c r="D7" s="439">
        <v>0</v>
      </c>
      <c r="E7" s="439">
        <v>0</v>
      </c>
      <c r="F7" s="440"/>
      <c r="G7" s="441"/>
      <c r="H7" s="442"/>
      <c r="I7" s="443"/>
      <c r="J7" s="1450" t="s">
        <v>18224</v>
      </c>
      <c r="K7" s="1450" t="s">
        <v>18224</v>
      </c>
      <c r="L7" s="1450" t="s">
        <v>18224</v>
      </c>
      <c r="M7" s="1450" t="s">
        <v>18224</v>
      </c>
      <c r="N7" s="1450" t="s">
        <v>18224</v>
      </c>
      <c r="O7" s="1450" t="s">
        <v>18224</v>
      </c>
      <c r="P7" s="1450" t="s">
        <v>18224</v>
      </c>
      <c r="Q7" s="1450" t="s">
        <v>18224</v>
      </c>
      <c r="R7" s="1450" t="s">
        <v>18224</v>
      </c>
      <c r="S7" s="1450" t="s">
        <v>18224</v>
      </c>
      <c r="T7" s="1450" t="s">
        <v>18224</v>
      </c>
      <c r="U7" s="1450" t="s">
        <v>18224</v>
      </c>
      <c r="V7" s="1450" t="s">
        <v>18224</v>
      </c>
      <c r="W7" s="1450" t="s">
        <v>18224</v>
      </c>
      <c r="X7" s="1450" t="s">
        <v>18224</v>
      </c>
      <c r="Y7" s="1450" t="s">
        <v>18224</v>
      </c>
      <c r="Z7" s="1450" t="s">
        <v>18224</v>
      </c>
      <c r="AA7" s="1450" t="s">
        <v>18224</v>
      </c>
      <c r="AB7" s="1450" t="s">
        <v>18224</v>
      </c>
      <c r="AC7" s="1450" t="s">
        <v>18224</v>
      </c>
      <c r="AD7" s="1450" t="s">
        <v>18224</v>
      </c>
    </row>
    <row r="8" spans="1:30" x14ac:dyDescent="0.2">
      <c r="A8" s="1887"/>
      <c r="B8" s="444" t="s">
        <v>18228</v>
      </c>
      <c r="C8" s="445" t="s">
        <v>5299</v>
      </c>
      <c r="D8" s="445">
        <v>0</v>
      </c>
      <c r="E8" s="445">
        <v>0</v>
      </c>
      <c r="F8" s="446"/>
      <c r="G8" s="447"/>
      <c r="H8" s="448"/>
      <c r="I8" s="449"/>
      <c r="J8" s="1450" t="s">
        <v>18228</v>
      </c>
      <c r="K8" s="1450" t="s">
        <v>18228</v>
      </c>
      <c r="L8" s="1450" t="s">
        <v>18228</v>
      </c>
      <c r="M8" s="1450" t="s">
        <v>18228</v>
      </c>
      <c r="N8" s="1450" t="s">
        <v>18228</v>
      </c>
      <c r="O8" s="1450" t="s">
        <v>18228</v>
      </c>
      <c r="P8" s="1450" t="s">
        <v>18228</v>
      </c>
      <c r="Q8" s="1450" t="s">
        <v>18228</v>
      </c>
      <c r="R8" s="1450" t="s">
        <v>18228</v>
      </c>
      <c r="S8" s="1450" t="s">
        <v>18228</v>
      </c>
      <c r="T8" s="1450" t="s">
        <v>18228</v>
      </c>
      <c r="U8" s="1450" t="s">
        <v>18228</v>
      </c>
      <c r="V8" s="1450" t="s">
        <v>18228</v>
      </c>
      <c r="W8" s="1450" t="s">
        <v>18228</v>
      </c>
      <c r="X8" s="1450" t="s">
        <v>18228</v>
      </c>
      <c r="Y8" s="1450" t="s">
        <v>18228</v>
      </c>
      <c r="Z8" s="1450" t="s">
        <v>18228</v>
      </c>
      <c r="AA8" s="1450" t="s">
        <v>18228</v>
      </c>
      <c r="AB8" s="1450" t="s">
        <v>18228</v>
      </c>
      <c r="AC8" s="1450" t="s">
        <v>18228</v>
      </c>
      <c r="AD8" s="1450" t="s">
        <v>18228</v>
      </c>
    </row>
    <row r="9" spans="1:30" x14ac:dyDescent="0.2">
      <c r="A9" s="1887"/>
      <c r="B9" s="444" t="s">
        <v>18231</v>
      </c>
      <c r="C9" s="445" t="s">
        <v>5300</v>
      </c>
      <c r="D9" s="445">
        <v>0</v>
      </c>
      <c r="E9" s="445">
        <v>0</v>
      </c>
      <c r="F9" s="446"/>
      <c r="G9" s="447"/>
      <c r="H9" s="448"/>
      <c r="I9" s="449"/>
      <c r="J9" s="1450" t="s">
        <v>18231</v>
      </c>
      <c r="K9" s="1450" t="s">
        <v>18231</v>
      </c>
      <c r="L9" s="1450" t="s">
        <v>18231</v>
      </c>
      <c r="M9" s="1450" t="s">
        <v>18231</v>
      </c>
      <c r="N9" s="1450" t="s">
        <v>18231</v>
      </c>
      <c r="O9" s="1450" t="s">
        <v>18231</v>
      </c>
      <c r="P9" s="1450" t="s">
        <v>18231</v>
      </c>
      <c r="Q9" s="1450" t="s">
        <v>18231</v>
      </c>
      <c r="R9" s="1450" t="s">
        <v>18231</v>
      </c>
      <c r="S9" s="1450" t="s">
        <v>18231</v>
      </c>
      <c r="T9" s="1450" t="s">
        <v>18231</v>
      </c>
      <c r="U9" s="1450" t="s">
        <v>18231</v>
      </c>
      <c r="V9" s="1450" t="s">
        <v>18231</v>
      </c>
      <c r="W9" s="1450" t="s">
        <v>18231</v>
      </c>
      <c r="X9" s="1450" t="s">
        <v>18231</v>
      </c>
      <c r="Y9" s="1450" t="s">
        <v>18231</v>
      </c>
      <c r="Z9" s="1450" t="s">
        <v>18231</v>
      </c>
      <c r="AA9" s="1450" t="s">
        <v>18231</v>
      </c>
      <c r="AB9" s="1450" t="s">
        <v>18231</v>
      </c>
      <c r="AC9" s="1450" t="s">
        <v>18231</v>
      </c>
      <c r="AD9" s="1450" t="s">
        <v>18231</v>
      </c>
    </row>
    <row r="10" spans="1:30" x14ac:dyDescent="0.2">
      <c r="A10" s="1887"/>
      <c r="B10" s="444" t="s">
        <v>18234</v>
      </c>
      <c r="C10" s="445" t="s">
        <v>5300</v>
      </c>
      <c r="D10" s="445">
        <v>0</v>
      </c>
      <c r="E10" s="445">
        <v>0</v>
      </c>
      <c r="F10" s="446"/>
      <c r="G10" s="447"/>
      <c r="H10" s="448"/>
      <c r="I10" s="449"/>
      <c r="J10" s="1450" t="s">
        <v>18234</v>
      </c>
      <c r="K10" s="1450" t="s">
        <v>18234</v>
      </c>
      <c r="L10" s="1450" t="s">
        <v>18234</v>
      </c>
      <c r="M10" s="1450" t="s">
        <v>18234</v>
      </c>
      <c r="N10" s="1450" t="s">
        <v>18234</v>
      </c>
      <c r="O10" s="1450" t="s">
        <v>18234</v>
      </c>
      <c r="P10" s="1450" t="s">
        <v>18234</v>
      </c>
      <c r="Q10" s="1450" t="s">
        <v>18234</v>
      </c>
      <c r="R10" s="1450" t="s">
        <v>18234</v>
      </c>
      <c r="S10" s="1450" t="s">
        <v>18234</v>
      </c>
      <c r="T10" s="1450" t="s">
        <v>18234</v>
      </c>
      <c r="U10" s="1450" t="s">
        <v>18234</v>
      </c>
      <c r="V10" s="1450" t="s">
        <v>18234</v>
      </c>
      <c r="W10" s="1450" t="s">
        <v>18234</v>
      </c>
      <c r="X10" s="1450" t="s">
        <v>18234</v>
      </c>
      <c r="Y10" s="1450" t="s">
        <v>18234</v>
      </c>
      <c r="Z10" s="1450" t="s">
        <v>18234</v>
      </c>
      <c r="AA10" s="1450" t="s">
        <v>18234</v>
      </c>
      <c r="AB10" s="1450" t="s">
        <v>18234</v>
      </c>
      <c r="AC10" s="1450" t="s">
        <v>18234</v>
      </c>
      <c r="AD10" s="1450" t="s">
        <v>18234</v>
      </c>
    </row>
    <row r="11" spans="1:30" x14ac:dyDescent="0.2">
      <c r="A11" s="1887"/>
      <c r="B11" s="444" t="s">
        <v>18237</v>
      </c>
      <c r="C11" s="445" t="s">
        <v>5299</v>
      </c>
      <c r="D11" s="445">
        <v>0</v>
      </c>
      <c r="E11" s="445">
        <v>0</v>
      </c>
      <c r="F11" s="446"/>
      <c r="G11" s="447"/>
      <c r="H11" s="448"/>
      <c r="I11" s="449"/>
      <c r="J11" s="1450" t="s">
        <v>18237</v>
      </c>
      <c r="K11" s="1450" t="s">
        <v>18237</v>
      </c>
      <c r="L11" s="1450" t="s">
        <v>18237</v>
      </c>
      <c r="M11" s="1450" t="s">
        <v>18237</v>
      </c>
      <c r="N11" s="1450" t="s">
        <v>18237</v>
      </c>
      <c r="O11" s="1450" t="s">
        <v>18237</v>
      </c>
      <c r="P11" s="1450" t="s">
        <v>18237</v>
      </c>
      <c r="Q11" s="1450" t="s">
        <v>18237</v>
      </c>
      <c r="R11" s="1450" t="s">
        <v>18237</v>
      </c>
      <c r="S11" s="1450" t="s">
        <v>18237</v>
      </c>
      <c r="T11" s="1450" t="s">
        <v>18237</v>
      </c>
      <c r="U11" s="1450" t="s">
        <v>18237</v>
      </c>
      <c r="V11" s="1450" t="s">
        <v>18237</v>
      </c>
      <c r="W11" s="1450" t="s">
        <v>18237</v>
      </c>
      <c r="X11" s="1450" t="s">
        <v>18237</v>
      </c>
      <c r="Y11" s="1450" t="s">
        <v>18237</v>
      </c>
      <c r="Z11" s="1450" t="s">
        <v>18237</v>
      </c>
      <c r="AA11" s="1450" t="s">
        <v>18237</v>
      </c>
      <c r="AB11" s="1450" t="s">
        <v>18237</v>
      </c>
      <c r="AC11" s="1450" t="s">
        <v>18237</v>
      </c>
      <c r="AD11" s="1450" t="s">
        <v>18237</v>
      </c>
    </row>
    <row r="12" spans="1:30" x14ac:dyDescent="0.2">
      <c r="A12" s="1887"/>
      <c r="B12" s="444" t="s">
        <v>18240</v>
      </c>
      <c r="C12" s="445" t="s">
        <v>5300</v>
      </c>
      <c r="D12" s="445">
        <v>0</v>
      </c>
      <c r="E12" s="445">
        <v>0</v>
      </c>
      <c r="F12" s="446"/>
      <c r="G12" s="447"/>
      <c r="H12" s="448"/>
      <c r="I12" s="449"/>
      <c r="J12" s="1450" t="s">
        <v>18240</v>
      </c>
      <c r="K12" s="1450" t="s">
        <v>18240</v>
      </c>
      <c r="L12" s="1450" t="s">
        <v>18240</v>
      </c>
      <c r="M12" s="1450" t="s">
        <v>18240</v>
      </c>
      <c r="N12" s="1450" t="s">
        <v>18240</v>
      </c>
      <c r="O12" s="1450" t="s">
        <v>18240</v>
      </c>
      <c r="P12" s="1450" t="s">
        <v>18240</v>
      </c>
      <c r="Q12" s="1450" t="s">
        <v>18240</v>
      </c>
      <c r="R12" s="1450" t="s">
        <v>18240</v>
      </c>
      <c r="S12" s="1450" t="s">
        <v>18240</v>
      </c>
      <c r="T12" s="1450" t="s">
        <v>18240</v>
      </c>
      <c r="U12" s="1450" t="s">
        <v>18240</v>
      </c>
      <c r="V12" s="1450" t="s">
        <v>18240</v>
      </c>
      <c r="W12" s="1450" t="s">
        <v>18240</v>
      </c>
      <c r="X12" s="1450" t="s">
        <v>18240</v>
      </c>
      <c r="Y12" s="1450" t="s">
        <v>18240</v>
      </c>
      <c r="Z12" s="1450" t="s">
        <v>18240</v>
      </c>
      <c r="AA12" s="1450" t="s">
        <v>18240</v>
      </c>
      <c r="AB12" s="1450" t="s">
        <v>18240</v>
      </c>
      <c r="AC12" s="1450" t="s">
        <v>18240</v>
      </c>
      <c r="AD12" s="1450" t="s">
        <v>18240</v>
      </c>
    </row>
    <row r="13" spans="1:30" x14ac:dyDescent="0.2">
      <c r="A13" s="1887"/>
      <c r="B13" s="444" t="s">
        <v>18243</v>
      </c>
      <c r="C13" s="445" t="s">
        <v>5299</v>
      </c>
      <c r="D13" s="445">
        <v>0</v>
      </c>
      <c r="E13" s="445">
        <v>0</v>
      </c>
      <c r="F13" s="446"/>
      <c r="G13" s="447"/>
      <c r="H13" s="448"/>
      <c r="I13" s="449"/>
      <c r="J13" s="1450" t="s">
        <v>18243</v>
      </c>
      <c r="K13" s="1450" t="s">
        <v>18243</v>
      </c>
      <c r="L13" s="1450" t="s">
        <v>18243</v>
      </c>
      <c r="M13" s="1450" t="s">
        <v>18243</v>
      </c>
      <c r="N13" s="1450" t="s">
        <v>18243</v>
      </c>
      <c r="O13" s="1450" t="s">
        <v>18243</v>
      </c>
      <c r="P13" s="1450" t="s">
        <v>18243</v>
      </c>
      <c r="Q13" s="1450" t="s">
        <v>18243</v>
      </c>
      <c r="R13" s="1450" t="s">
        <v>18243</v>
      </c>
      <c r="S13" s="1450" t="s">
        <v>18243</v>
      </c>
      <c r="T13" s="1450" t="s">
        <v>18243</v>
      </c>
      <c r="U13" s="1450" t="s">
        <v>18243</v>
      </c>
      <c r="V13" s="1450" t="s">
        <v>18243</v>
      </c>
      <c r="W13" s="1450" t="s">
        <v>18243</v>
      </c>
      <c r="X13" s="1450" t="s">
        <v>18243</v>
      </c>
      <c r="Y13" s="1450" t="s">
        <v>18243</v>
      </c>
      <c r="Z13" s="1450" t="s">
        <v>18243</v>
      </c>
      <c r="AA13" s="1450" t="s">
        <v>18243</v>
      </c>
      <c r="AB13" s="1450" t="s">
        <v>18243</v>
      </c>
      <c r="AC13" s="1450" t="s">
        <v>18243</v>
      </c>
      <c r="AD13" s="1450" t="s">
        <v>18243</v>
      </c>
    </row>
    <row r="14" spans="1:30" x14ac:dyDescent="0.2">
      <c r="A14" s="1887"/>
      <c r="B14" s="444" t="s">
        <v>18246</v>
      </c>
      <c r="C14" s="445" t="s">
        <v>5299</v>
      </c>
      <c r="D14" s="445">
        <v>0</v>
      </c>
      <c r="E14" s="445">
        <v>0</v>
      </c>
      <c r="F14" s="446"/>
      <c r="G14" s="447"/>
      <c r="H14" s="448"/>
      <c r="I14" s="449"/>
      <c r="J14" s="1450" t="s">
        <v>18246</v>
      </c>
      <c r="K14" s="1450" t="s">
        <v>18246</v>
      </c>
      <c r="L14" s="1450" t="s">
        <v>18246</v>
      </c>
      <c r="M14" s="1450" t="s">
        <v>18246</v>
      </c>
      <c r="N14" s="1450" t="s">
        <v>18246</v>
      </c>
      <c r="O14" s="1450" t="s">
        <v>18246</v>
      </c>
      <c r="P14" s="1450" t="s">
        <v>18246</v>
      </c>
      <c r="Q14" s="1450" t="s">
        <v>18246</v>
      </c>
      <c r="R14" s="1450" t="s">
        <v>18246</v>
      </c>
      <c r="S14" s="1450" t="s">
        <v>18246</v>
      </c>
      <c r="T14" s="1450" t="s">
        <v>18246</v>
      </c>
      <c r="U14" s="1450" t="s">
        <v>18246</v>
      </c>
      <c r="V14" s="1450" t="s">
        <v>18246</v>
      </c>
      <c r="W14" s="1450" t="s">
        <v>18246</v>
      </c>
      <c r="X14" s="1450" t="s">
        <v>18246</v>
      </c>
      <c r="Y14" s="1450" t="s">
        <v>18246</v>
      </c>
      <c r="Z14" s="1450" t="s">
        <v>18246</v>
      </c>
      <c r="AA14" s="1450" t="s">
        <v>18246</v>
      </c>
      <c r="AB14" s="1450" t="s">
        <v>18246</v>
      </c>
      <c r="AC14" s="1450" t="s">
        <v>18246</v>
      </c>
      <c r="AD14" s="1450" t="s">
        <v>18246</v>
      </c>
    </row>
    <row r="15" spans="1:30" x14ac:dyDescent="0.2">
      <c r="A15" s="1887"/>
      <c r="B15" s="444" t="s">
        <v>18249</v>
      </c>
      <c r="C15" s="445" t="s">
        <v>5300</v>
      </c>
      <c r="D15" s="445">
        <v>0</v>
      </c>
      <c r="E15" s="445">
        <v>0</v>
      </c>
      <c r="F15" s="446"/>
      <c r="G15" s="447"/>
      <c r="H15" s="448"/>
      <c r="I15" s="449"/>
      <c r="J15" s="1450" t="s">
        <v>18249</v>
      </c>
      <c r="K15" s="1450" t="s">
        <v>18249</v>
      </c>
      <c r="L15" s="1450" t="s">
        <v>18249</v>
      </c>
      <c r="M15" s="1450" t="s">
        <v>18249</v>
      </c>
      <c r="N15" s="1450" t="s">
        <v>18249</v>
      </c>
      <c r="O15" s="1450" t="s">
        <v>18249</v>
      </c>
      <c r="P15" s="1450" t="s">
        <v>18249</v>
      </c>
      <c r="Q15" s="1450" t="s">
        <v>18249</v>
      </c>
      <c r="R15" s="1450" t="s">
        <v>18249</v>
      </c>
      <c r="S15" s="1450" t="s">
        <v>18249</v>
      </c>
      <c r="T15" s="1450" t="s">
        <v>18249</v>
      </c>
      <c r="U15" s="1450" t="s">
        <v>18249</v>
      </c>
      <c r="V15" s="1450" t="s">
        <v>18249</v>
      </c>
      <c r="W15" s="1450" t="s">
        <v>18249</v>
      </c>
      <c r="X15" s="1450" t="s">
        <v>18249</v>
      </c>
      <c r="Y15" s="1450" t="s">
        <v>18249</v>
      </c>
      <c r="Z15" s="1450" t="s">
        <v>18249</v>
      </c>
      <c r="AA15" s="1450" t="s">
        <v>18249</v>
      </c>
      <c r="AB15" s="1450" t="s">
        <v>18249</v>
      </c>
      <c r="AC15" s="1450" t="s">
        <v>18249</v>
      </c>
      <c r="AD15" s="1450" t="s">
        <v>18249</v>
      </c>
    </row>
    <row r="16" spans="1:30" x14ac:dyDescent="0.2">
      <c r="A16" s="1887"/>
      <c r="B16" s="444" t="s">
        <v>18252</v>
      </c>
      <c r="C16" s="445" t="s">
        <v>5300</v>
      </c>
      <c r="D16" s="445">
        <v>0</v>
      </c>
      <c r="E16" s="445">
        <v>0</v>
      </c>
      <c r="F16" s="446"/>
      <c r="G16" s="447"/>
      <c r="H16" s="448"/>
      <c r="I16" s="449"/>
      <c r="J16" s="1450" t="s">
        <v>18252</v>
      </c>
      <c r="K16" s="1450" t="s">
        <v>18252</v>
      </c>
      <c r="L16" s="1450" t="s">
        <v>18252</v>
      </c>
      <c r="M16" s="1450" t="s">
        <v>18252</v>
      </c>
      <c r="N16" s="1450" t="s">
        <v>18252</v>
      </c>
      <c r="O16" s="1450" t="s">
        <v>18252</v>
      </c>
      <c r="P16" s="1450" t="s">
        <v>18252</v>
      </c>
      <c r="Q16" s="1450" t="s">
        <v>18252</v>
      </c>
      <c r="R16" s="1450" t="s">
        <v>18252</v>
      </c>
      <c r="S16" s="1450" t="s">
        <v>18252</v>
      </c>
      <c r="T16" s="1450" t="s">
        <v>18252</v>
      </c>
      <c r="U16" s="1450" t="s">
        <v>18252</v>
      </c>
      <c r="V16" s="1450" t="s">
        <v>18252</v>
      </c>
      <c r="W16" s="1450" t="s">
        <v>18252</v>
      </c>
      <c r="X16" s="1450" t="s">
        <v>18252</v>
      </c>
      <c r="Y16" s="1450" t="s">
        <v>18252</v>
      </c>
      <c r="Z16" s="1450" t="s">
        <v>18252</v>
      </c>
      <c r="AA16" s="1450" t="s">
        <v>18252</v>
      </c>
      <c r="AB16" s="1450" t="s">
        <v>18252</v>
      </c>
      <c r="AC16" s="1450" t="s">
        <v>18252</v>
      </c>
      <c r="AD16" s="1450" t="s">
        <v>18252</v>
      </c>
    </row>
    <row r="17" spans="1:30" x14ac:dyDescent="0.2">
      <c r="A17" s="1887"/>
      <c r="B17" s="444" t="s">
        <v>18255</v>
      </c>
      <c r="C17" s="445" t="s">
        <v>5299</v>
      </c>
      <c r="D17" s="445">
        <v>0</v>
      </c>
      <c r="E17" s="445">
        <v>0</v>
      </c>
      <c r="F17" s="446"/>
      <c r="G17" s="447"/>
      <c r="H17" s="448"/>
      <c r="I17" s="449"/>
      <c r="J17" s="1450" t="s">
        <v>18255</v>
      </c>
      <c r="K17" s="1450" t="s">
        <v>18255</v>
      </c>
      <c r="L17" s="1450" t="s">
        <v>18255</v>
      </c>
      <c r="M17" s="1450" t="s">
        <v>18255</v>
      </c>
      <c r="N17" s="1450" t="s">
        <v>18255</v>
      </c>
      <c r="O17" s="1450" t="s">
        <v>18255</v>
      </c>
      <c r="P17" s="1450" t="s">
        <v>18255</v>
      </c>
      <c r="Q17" s="1450" t="s">
        <v>18255</v>
      </c>
      <c r="R17" s="1450" t="s">
        <v>18255</v>
      </c>
      <c r="S17" s="1450" t="s">
        <v>18255</v>
      </c>
      <c r="T17" s="1450" t="s">
        <v>18255</v>
      </c>
      <c r="U17" s="1450" t="s">
        <v>18255</v>
      </c>
      <c r="V17" s="1450" t="s">
        <v>18255</v>
      </c>
      <c r="W17" s="1450" t="s">
        <v>18255</v>
      </c>
      <c r="X17" s="1450" t="s">
        <v>18255</v>
      </c>
      <c r="Y17" s="1450" t="s">
        <v>18255</v>
      </c>
      <c r="Z17" s="1450" t="s">
        <v>18255</v>
      </c>
      <c r="AA17" s="1450" t="s">
        <v>18255</v>
      </c>
      <c r="AB17" s="1450" t="s">
        <v>18255</v>
      </c>
      <c r="AC17" s="1450" t="s">
        <v>18255</v>
      </c>
      <c r="AD17" s="1450" t="s">
        <v>18255</v>
      </c>
    </row>
    <row r="18" spans="1:30" x14ac:dyDescent="0.2">
      <c r="A18" s="1887"/>
      <c r="B18" s="444" t="s">
        <v>18258</v>
      </c>
      <c r="C18" s="445" t="s">
        <v>5299</v>
      </c>
      <c r="D18" s="445">
        <v>0</v>
      </c>
      <c r="E18" s="445">
        <v>0</v>
      </c>
      <c r="F18" s="446"/>
      <c r="G18" s="447"/>
      <c r="H18" s="448"/>
      <c r="I18" s="449"/>
      <c r="J18" s="1450" t="s">
        <v>18258</v>
      </c>
      <c r="K18" s="1450" t="s">
        <v>18258</v>
      </c>
      <c r="L18" s="1450" t="s">
        <v>18258</v>
      </c>
      <c r="M18" s="1450" t="s">
        <v>18258</v>
      </c>
      <c r="N18" s="1450" t="s">
        <v>18258</v>
      </c>
      <c r="O18" s="1450" t="s">
        <v>18258</v>
      </c>
      <c r="P18" s="1450" t="s">
        <v>18258</v>
      </c>
      <c r="Q18" s="1450" t="s">
        <v>18258</v>
      </c>
      <c r="R18" s="1450" t="s">
        <v>18258</v>
      </c>
      <c r="S18" s="1450" t="s">
        <v>18258</v>
      </c>
      <c r="T18" s="1450" t="s">
        <v>18258</v>
      </c>
      <c r="U18" s="1450" t="s">
        <v>18258</v>
      </c>
      <c r="V18" s="1450" t="s">
        <v>18258</v>
      </c>
      <c r="W18" s="1450" t="s">
        <v>18258</v>
      </c>
      <c r="X18" s="1450" t="s">
        <v>18258</v>
      </c>
      <c r="Y18" s="1450" t="s">
        <v>18258</v>
      </c>
      <c r="Z18" s="1450" t="s">
        <v>18258</v>
      </c>
      <c r="AA18" s="1450" t="s">
        <v>18258</v>
      </c>
      <c r="AB18" s="1450" t="s">
        <v>18258</v>
      </c>
      <c r="AC18" s="1450" t="s">
        <v>18258</v>
      </c>
      <c r="AD18" s="1450" t="s">
        <v>18258</v>
      </c>
    </row>
    <row r="19" spans="1:30" x14ac:dyDescent="0.2">
      <c r="A19" s="1887"/>
      <c r="B19" s="444" t="s">
        <v>18261</v>
      </c>
      <c r="C19" s="445" t="s">
        <v>5300</v>
      </c>
      <c r="D19" s="445">
        <v>0</v>
      </c>
      <c r="E19" s="445">
        <v>0</v>
      </c>
      <c r="F19" s="446"/>
      <c r="G19" s="447"/>
      <c r="H19" s="448"/>
      <c r="I19" s="449"/>
      <c r="J19" s="1450" t="s">
        <v>18261</v>
      </c>
      <c r="K19" s="1450" t="s">
        <v>18261</v>
      </c>
      <c r="L19" s="1450" t="s">
        <v>18261</v>
      </c>
      <c r="M19" s="1450" t="s">
        <v>18261</v>
      </c>
      <c r="N19" s="1450" t="s">
        <v>18261</v>
      </c>
      <c r="O19" s="1450" t="s">
        <v>18261</v>
      </c>
      <c r="P19" s="1450" t="s">
        <v>18261</v>
      </c>
      <c r="Q19" s="1450" t="s">
        <v>18261</v>
      </c>
      <c r="R19" s="1450" t="s">
        <v>18261</v>
      </c>
      <c r="S19" s="1450" t="s">
        <v>18261</v>
      </c>
      <c r="T19" s="1450" t="s">
        <v>18261</v>
      </c>
      <c r="U19" s="1450" t="s">
        <v>18261</v>
      </c>
      <c r="V19" s="1450" t="s">
        <v>18261</v>
      </c>
      <c r="W19" s="1450" t="s">
        <v>18261</v>
      </c>
      <c r="X19" s="1450" t="s">
        <v>18261</v>
      </c>
      <c r="Y19" s="1450" t="s">
        <v>18261</v>
      </c>
      <c r="Z19" s="1450" t="s">
        <v>18261</v>
      </c>
      <c r="AA19" s="1450" t="s">
        <v>18261</v>
      </c>
      <c r="AB19" s="1450" t="s">
        <v>18261</v>
      </c>
      <c r="AC19" s="1450" t="s">
        <v>18261</v>
      </c>
      <c r="AD19" s="1450" t="s">
        <v>18261</v>
      </c>
    </row>
    <row r="20" spans="1:30" x14ac:dyDescent="0.2">
      <c r="A20" s="1887"/>
      <c r="B20" s="444" t="s">
        <v>18264</v>
      </c>
      <c r="C20" s="445" t="s">
        <v>5299</v>
      </c>
      <c r="D20" s="445">
        <v>0</v>
      </c>
      <c r="E20" s="445">
        <v>0</v>
      </c>
      <c r="F20" s="446"/>
      <c r="G20" s="447"/>
      <c r="H20" s="448"/>
      <c r="I20" s="449"/>
      <c r="J20" s="1450" t="s">
        <v>18264</v>
      </c>
      <c r="K20" s="1450" t="s">
        <v>18264</v>
      </c>
      <c r="L20" s="1450" t="s">
        <v>18264</v>
      </c>
      <c r="M20" s="1450" t="s">
        <v>18264</v>
      </c>
      <c r="N20" s="1450" t="s">
        <v>18264</v>
      </c>
      <c r="O20" s="1450" t="s">
        <v>18264</v>
      </c>
      <c r="P20" s="1450" t="s">
        <v>18264</v>
      </c>
      <c r="Q20" s="1450" t="s">
        <v>18264</v>
      </c>
      <c r="R20" s="1450" t="s">
        <v>18264</v>
      </c>
      <c r="S20" s="1450" t="s">
        <v>18264</v>
      </c>
      <c r="T20" s="1450" t="s">
        <v>18264</v>
      </c>
      <c r="U20" s="1450" t="s">
        <v>18264</v>
      </c>
      <c r="V20" s="1450" t="s">
        <v>18264</v>
      </c>
      <c r="W20" s="1450" t="s">
        <v>18264</v>
      </c>
      <c r="X20" s="1450" t="s">
        <v>18264</v>
      </c>
      <c r="Y20" s="1450" t="s">
        <v>18264</v>
      </c>
      <c r="Z20" s="1450" t="s">
        <v>18264</v>
      </c>
      <c r="AA20" s="1450" t="s">
        <v>18264</v>
      </c>
      <c r="AB20" s="1450" t="s">
        <v>18264</v>
      </c>
      <c r="AC20" s="1450" t="s">
        <v>18264</v>
      </c>
      <c r="AD20" s="1450" t="s">
        <v>18264</v>
      </c>
    </row>
    <row r="21" spans="1:30" x14ac:dyDescent="0.2">
      <c r="A21" s="1887"/>
      <c r="B21" s="444" t="s">
        <v>18267</v>
      </c>
      <c r="C21" s="445" t="s">
        <v>13210</v>
      </c>
      <c r="D21" s="445">
        <v>0</v>
      </c>
      <c r="E21" s="445">
        <v>0</v>
      </c>
      <c r="F21" s="446"/>
      <c r="G21" s="447"/>
      <c r="H21" s="448"/>
      <c r="I21" s="449"/>
      <c r="J21" s="1450" t="s">
        <v>18267</v>
      </c>
      <c r="K21" s="1450" t="s">
        <v>18267</v>
      </c>
      <c r="L21" s="1450" t="s">
        <v>18267</v>
      </c>
      <c r="M21" s="1450" t="s">
        <v>18267</v>
      </c>
      <c r="N21" s="1450" t="s">
        <v>18267</v>
      </c>
      <c r="O21" s="1450" t="s">
        <v>18267</v>
      </c>
      <c r="P21" s="1450" t="s">
        <v>18267</v>
      </c>
      <c r="Q21" s="1450" t="s">
        <v>18267</v>
      </c>
      <c r="R21" s="1450" t="s">
        <v>18267</v>
      </c>
      <c r="S21" s="1450" t="s">
        <v>18267</v>
      </c>
      <c r="T21" s="1450" t="s">
        <v>18267</v>
      </c>
      <c r="U21" s="1450" t="s">
        <v>18267</v>
      </c>
      <c r="V21" s="1450" t="s">
        <v>18267</v>
      </c>
      <c r="W21" s="1450" t="s">
        <v>18267</v>
      </c>
      <c r="X21" s="1450" t="s">
        <v>18267</v>
      </c>
      <c r="Y21" s="1450" t="s">
        <v>18267</v>
      </c>
      <c r="Z21" s="1450" t="s">
        <v>18267</v>
      </c>
      <c r="AA21" s="1450" t="s">
        <v>18267</v>
      </c>
      <c r="AB21" s="1450" t="s">
        <v>18267</v>
      </c>
      <c r="AC21" s="1450" t="s">
        <v>18267</v>
      </c>
      <c r="AD21" s="1450" t="s">
        <v>18267</v>
      </c>
    </row>
    <row r="22" spans="1:30" x14ac:dyDescent="0.2">
      <c r="A22" s="1887"/>
      <c r="B22" s="444" t="s">
        <v>18270</v>
      </c>
      <c r="C22" s="445" t="s">
        <v>5299</v>
      </c>
      <c r="D22" s="445">
        <v>0</v>
      </c>
      <c r="E22" s="445">
        <v>0</v>
      </c>
      <c r="F22" s="446"/>
      <c r="G22" s="447"/>
      <c r="H22" s="448"/>
      <c r="I22" s="449"/>
      <c r="J22" s="1450" t="s">
        <v>18270</v>
      </c>
      <c r="K22" s="1450" t="s">
        <v>18270</v>
      </c>
      <c r="L22" s="1450" t="s">
        <v>18270</v>
      </c>
      <c r="M22" s="1450" t="s">
        <v>18270</v>
      </c>
      <c r="N22" s="1450" t="s">
        <v>18270</v>
      </c>
      <c r="O22" s="1450" t="s">
        <v>18270</v>
      </c>
      <c r="P22" s="1450" t="s">
        <v>18270</v>
      </c>
      <c r="Q22" s="1450" t="s">
        <v>18270</v>
      </c>
      <c r="R22" s="1450" t="s">
        <v>18270</v>
      </c>
      <c r="S22" s="1450" t="s">
        <v>18270</v>
      </c>
      <c r="T22" s="1450" t="s">
        <v>18270</v>
      </c>
      <c r="U22" s="1450" t="s">
        <v>18270</v>
      </c>
      <c r="V22" s="1450" t="s">
        <v>18270</v>
      </c>
      <c r="W22" s="1450" t="s">
        <v>18270</v>
      </c>
      <c r="X22" s="1450" t="s">
        <v>18270</v>
      </c>
      <c r="Y22" s="1450" t="s">
        <v>18270</v>
      </c>
      <c r="Z22" s="1450" t="s">
        <v>18270</v>
      </c>
      <c r="AA22" s="1450" t="s">
        <v>18270</v>
      </c>
      <c r="AB22" s="1450" t="s">
        <v>18270</v>
      </c>
      <c r="AC22" s="1450" t="s">
        <v>18270</v>
      </c>
      <c r="AD22" s="1450" t="s">
        <v>18270</v>
      </c>
    </row>
    <row r="23" spans="1:30" x14ac:dyDescent="0.2">
      <c r="A23" s="1887"/>
      <c r="B23" s="444" t="s">
        <v>18273</v>
      </c>
      <c r="C23" s="445" t="s">
        <v>5299</v>
      </c>
      <c r="D23" s="445">
        <v>0</v>
      </c>
      <c r="E23" s="445">
        <v>0</v>
      </c>
      <c r="F23" s="446"/>
      <c r="G23" s="447"/>
      <c r="H23" s="448"/>
      <c r="I23" s="449"/>
      <c r="J23" s="1450" t="s">
        <v>18273</v>
      </c>
      <c r="K23" s="1450" t="s">
        <v>18273</v>
      </c>
      <c r="L23" s="1450" t="s">
        <v>18273</v>
      </c>
      <c r="M23" s="1450" t="s">
        <v>18273</v>
      </c>
      <c r="N23" s="1450" t="s">
        <v>18273</v>
      </c>
      <c r="O23" s="1450" t="s">
        <v>18273</v>
      </c>
      <c r="P23" s="1450" t="s">
        <v>18273</v>
      </c>
      <c r="Q23" s="1450" t="s">
        <v>18273</v>
      </c>
      <c r="R23" s="1450" t="s">
        <v>18273</v>
      </c>
      <c r="S23" s="1450" t="s">
        <v>18273</v>
      </c>
      <c r="T23" s="1450" t="s">
        <v>18273</v>
      </c>
      <c r="U23" s="1450" t="s">
        <v>18273</v>
      </c>
      <c r="V23" s="1450" t="s">
        <v>18273</v>
      </c>
      <c r="W23" s="1450" t="s">
        <v>18273</v>
      </c>
      <c r="X23" s="1450" t="s">
        <v>18273</v>
      </c>
      <c r="Y23" s="1450" t="s">
        <v>18273</v>
      </c>
      <c r="Z23" s="1450" t="s">
        <v>18273</v>
      </c>
      <c r="AA23" s="1450" t="s">
        <v>18273</v>
      </c>
      <c r="AB23" s="1450" t="s">
        <v>18273</v>
      </c>
      <c r="AC23" s="1450" t="s">
        <v>18273</v>
      </c>
      <c r="AD23" s="1450" t="s">
        <v>18273</v>
      </c>
    </row>
    <row r="24" spans="1:30" x14ac:dyDescent="0.2">
      <c r="A24" s="1887"/>
      <c r="B24" s="444" t="s">
        <v>18275</v>
      </c>
      <c r="C24" s="445" t="s">
        <v>5299</v>
      </c>
      <c r="D24" s="445">
        <v>0</v>
      </c>
      <c r="E24" s="445">
        <v>0</v>
      </c>
      <c r="F24" s="446"/>
      <c r="G24" s="447"/>
      <c r="H24" s="448"/>
      <c r="I24" s="449"/>
      <c r="J24" s="1450" t="s">
        <v>18275</v>
      </c>
      <c r="K24" s="1450" t="s">
        <v>18275</v>
      </c>
      <c r="L24" s="1450" t="s">
        <v>18275</v>
      </c>
      <c r="M24" s="1450" t="s">
        <v>18275</v>
      </c>
      <c r="N24" s="1450" t="s">
        <v>18275</v>
      </c>
      <c r="O24" s="1450" t="s">
        <v>18275</v>
      </c>
      <c r="P24" s="1450" t="s">
        <v>18275</v>
      </c>
      <c r="Q24" s="1450" t="s">
        <v>18275</v>
      </c>
      <c r="R24" s="1450" t="s">
        <v>18275</v>
      </c>
      <c r="S24" s="1450" t="s">
        <v>18275</v>
      </c>
      <c r="T24" s="1450" t="s">
        <v>18275</v>
      </c>
      <c r="U24" s="1450" t="s">
        <v>18275</v>
      </c>
      <c r="V24" s="1450" t="s">
        <v>18275</v>
      </c>
      <c r="W24" s="1450" t="s">
        <v>18275</v>
      </c>
      <c r="X24" s="1450" t="s">
        <v>18275</v>
      </c>
      <c r="Y24" s="1450" t="s">
        <v>18275</v>
      </c>
      <c r="Z24" s="1450" t="s">
        <v>18275</v>
      </c>
      <c r="AA24" s="1450" t="s">
        <v>18275</v>
      </c>
      <c r="AB24" s="1450" t="s">
        <v>18275</v>
      </c>
      <c r="AC24" s="1450" t="s">
        <v>18275</v>
      </c>
      <c r="AD24" s="1450" t="s">
        <v>18275</v>
      </c>
    </row>
    <row r="25" spans="1:30" x14ac:dyDescent="0.2">
      <c r="A25" s="1887"/>
      <c r="B25" s="444" t="s">
        <v>18278</v>
      </c>
      <c r="C25" s="445" t="s">
        <v>5299</v>
      </c>
      <c r="D25" s="445">
        <v>0</v>
      </c>
      <c r="E25" s="445">
        <v>0</v>
      </c>
      <c r="F25" s="446"/>
      <c r="G25" s="447"/>
      <c r="H25" s="448"/>
      <c r="I25" s="449"/>
      <c r="J25" s="1450" t="s">
        <v>18278</v>
      </c>
      <c r="K25" s="1450" t="s">
        <v>18278</v>
      </c>
      <c r="L25" s="1450" t="s">
        <v>18278</v>
      </c>
      <c r="M25" s="1450" t="s">
        <v>18278</v>
      </c>
      <c r="N25" s="1450" t="s">
        <v>18278</v>
      </c>
      <c r="O25" s="1450" t="s">
        <v>18278</v>
      </c>
      <c r="P25" s="1450" t="s">
        <v>18278</v>
      </c>
      <c r="Q25" s="1450" t="s">
        <v>18278</v>
      </c>
      <c r="R25" s="1450" t="s">
        <v>18278</v>
      </c>
      <c r="S25" s="1450" t="s">
        <v>18278</v>
      </c>
      <c r="T25" s="1450" t="s">
        <v>18278</v>
      </c>
      <c r="U25" s="1450" t="s">
        <v>18278</v>
      </c>
      <c r="V25" s="1450" t="s">
        <v>18278</v>
      </c>
      <c r="W25" s="1450" t="s">
        <v>18278</v>
      </c>
      <c r="X25" s="1450" t="s">
        <v>18278</v>
      </c>
      <c r="Y25" s="1450" t="s">
        <v>18278</v>
      </c>
      <c r="Z25" s="1450" t="s">
        <v>18278</v>
      </c>
      <c r="AA25" s="1450" t="s">
        <v>18278</v>
      </c>
      <c r="AB25" s="1450" t="s">
        <v>18278</v>
      </c>
      <c r="AC25" s="1450" t="s">
        <v>18278</v>
      </c>
      <c r="AD25" s="1450" t="s">
        <v>18278</v>
      </c>
    </row>
    <row r="26" spans="1:30" x14ac:dyDescent="0.2">
      <c r="A26" s="1887"/>
      <c r="B26" s="444" t="s">
        <v>18281</v>
      </c>
      <c r="C26" s="445" t="s">
        <v>5300</v>
      </c>
      <c r="D26" s="445">
        <v>0</v>
      </c>
      <c r="E26" s="445">
        <v>0</v>
      </c>
      <c r="F26" s="446"/>
      <c r="G26" s="447"/>
      <c r="H26" s="448"/>
      <c r="I26" s="449"/>
      <c r="J26" s="1450" t="s">
        <v>18281</v>
      </c>
      <c r="K26" s="1450" t="s">
        <v>18281</v>
      </c>
      <c r="L26" s="1450" t="s">
        <v>18281</v>
      </c>
      <c r="M26" s="1450" t="s">
        <v>18281</v>
      </c>
      <c r="N26" s="1450" t="s">
        <v>18281</v>
      </c>
      <c r="O26" s="1450" t="s">
        <v>18281</v>
      </c>
      <c r="P26" s="1450" t="s">
        <v>18281</v>
      </c>
      <c r="Q26" s="1450" t="s">
        <v>18281</v>
      </c>
      <c r="R26" s="1450" t="s">
        <v>18281</v>
      </c>
      <c r="S26" s="1450" t="s">
        <v>18281</v>
      </c>
      <c r="T26" s="1450" t="s">
        <v>18281</v>
      </c>
      <c r="U26" s="1450" t="s">
        <v>18281</v>
      </c>
      <c r="V26" s="1450" t="s">
        <v>18281</v>
      </c>
      <c r="W26" s="1450" t="s">
        <v>18281</v>
      </c>
      <c r="X26" s="1450" t="s">
        <v>18281</v>
      </c>
      <c r="Y26" s="1450" t="s">
        <v>18281</v>
      </c>
      <c r="Z26" s="1450" t="s">
        <v>18281</v>
      </c>
      <c r="AA26" s="1450" t="s">
        <v>18281</v>
      </c>
      <c r="AB26" s="1450" t="s">
        <v>18281</v>
      </c>
      <c r="AC26" s="1450" t="s">
        <v>18281</v>
      </c>
      <c r="AD26" s="1450" t="s">
        <v>18281</v>
      </c>
    </row>
    <row r="27" spans="1:30" x14ac:dyDescent="0.2">
      <c r="A27" s="1887"/>
      <c r="B27" s="444" t="s">
        <v>18284</v>
      </c>
      <c r="C27" s="445" t="s">
        <v>5299</v>
      </c>
      <c r="D27" s="445">
        <v>0</v>
      </c>
      <c r="E27" s="445">
        <v>0</v>
      </c>
      <c r="F27" s="446"/>
      <c r="G27" s="447"/>
      <c r="H27" s="448"/>
      <c r="I27" s="449"/>
      <c r="J27" s="1450" t="s">
        <v>18284</v>
      </c>
      <c r="K27" s="1450" t="s">
        <v>18284</v>
      </c>
      <c r="L27" s="1450" t="s">
        <v>18284</v>
      </c>
      <c r="M27" s="1450" t="s">
        <v>18284</v>
      </c>
      <c r="N27" s="1450" t="s">
        <v>18284</v>
      </c>
      <c r="O27" s="1450" t="s">
        <v>18284</v>
      </c>
      <c r="P27" s="1450" t="s">
        <v>18284</v>
      </c>
      <c r="Q27" s="1450" t="s">
        <v>18284</v>
      </c>
      <c r="R27" s="1450" t="s">
        <v>18284</v>
      </c>
      <c r="S27" s="1450" t="s">
        <v>18284</v>
      </c>
      <c r="T27" s="1450" t="s">
        <v>18284</v>
      </c>
      <c r="U27" s="1450" t="s">
        <v>18284</v>
      </c>
      <c r="V27" s="1450" t="s">
        <v>18284</v>
      </c>
      <c r="W27" s="1450" t="s">
        <v>18284</v>
      </c>
      <c r="X27" s="1450" t="s">
        <v>18284</v>
      </c>
      <c r="Y27" s="1450" t="s">
        <v>18284</v>
      </c>
      <c r="Z27" s="1450" t="s">
        <v>18284</v>
      </c>
      <c r="AA27" s="1450" t="s">
        <v>18284</v>
      </c>
      <c r="AB27" s="1450" t="s">
        <v>18284</v>
      </c>
      <c r="AC27" s="1450" t="s">
        <v>18284</v>
      </c>
      <c r="AD27" s="1450" t="s">
        <v>18284</v>
      </c>
    </row>
    <row r="28" spans="1:30" x14ac:dyDescent="0.2">
      <c r="A28" s="1887"/>
      <c r="B28" s="444" t="s">
        <v>18287</v>
      </c>
      <c r="C28" s="445" t="s">
        <v>5299</v>
      </c>
      <c r="D28" s="445">
        <v>0</v>
      </c>
      <c r="E28" s="445">
        <v>0</v>
      </c>
      <c r="F28" s="446"/>
      <c r="G28" s="447"/>
      <c r="H28" s="448"/>
      <c r="I28" s="449"/>
      <c r="J28" s="1450" t="s">
        <v>18287</v>
      </c>
      <c r="K28" s="1450" t="s">
        <v>18287</v>
      </c>
      <c r="L28" s="1450" t="s">
        <v>18287</v>
      </c>
      <c r="M28" s="1450" t="s">
        <v>18287</v>
      </c>
      <c r="N28" s="1450" t="s">
        <v>18287</v>
      </c>
      <c r="O28" s="1450" t="s">
        <v>18287</v>
      </c>
      <c r="P28" s="1450" t="s">
        <v>18287</v>
      </c>
      <c r="Q28" s="1450" t="s">
        <v>18287</v>
      </c>
      <c r="R28" s="1450" t="s">
        <v>18287</v>
      </c>
      <c r="S28" s="1450" t="s">
        <v>18287</v>
      </c>
      <c r="T28" s="1450" t="s">
        <v>18287</v>
      </c>
      <c r="U28" s="1450" t="s">
        <v>18287</v>
      </c>
      <c r="V28" s="1450" t="s">
        <v>18287</v>
      </c>
      <c r="W28" s="1450" t="s">
        <v>18287</v>
      </c>
      <c r="X28" s="1450" t="s">
        <v>18287</v>
      </c>
      <c r="Y28" s="1450" t="s">
        <v>18287</v>
      </c>
      <c r="Z28" s="1450" t="s">
        <v>18287</v>
      </c>
      <c r="AA28" s="1450" t="s">
        <v>18287</v>
      </c>
      <c r="AB28" s="1450" t="s">
        <v>18287</v>
      </c>
      <c r="AC28" s="1450" t="s">
        <v>18287</v>
      </c>
      <c r="AD28" s="1450" t="s">
        <v>18287</v>
      </c>
    </row>
    <row r="29" spans="1:30" x14ac:dyDescent="0.2">
      <c r="A29" s="1887"/>
      <c r="B29" s="444" t="s">
        <v>18290</v>
      </c>
      <c r="C29" s="445" t="s">
        <v>5300</v>
      </c>
      <c r="D29" s="445">
        <v>0</v>
      </c>
      <c r="E29" s="445">
        <v>0</v>
      </c>
      <c r="F29" s="446"/>
      <c r="G29" s="447"/>
      <c r="H29" s="448"/>
      <c r="I29" s="449"/>
      <c r="J29" s="1450" t="s">
        <v>18290</v>
      </c>
      <c r="K29" s="1450" t="s">
        <v>18290</v>
      </c>
      <c r="L29" s="1450" t="s">
        <v>18290</v>
      </c>
      <c r="M29" s="1450" t="s">
        <v>18290</v>
      </c>
      <c r="N29" s="1450" t="s">
        <v>18290</v>
      </c>
      <c r="O29" s="1450" t="s">
        <v>18290</v>
      </c>
      <c r="P29" s="1450" t="s">
        <v>18290</v>
      </c>
      <c r="Q29" s="1450" t="s">
        <v>18290</v>
      </c>
      <c r="R29" s="1450" t="s">
        <v>18290</v>
      </c>
      <c r="S29" s="1450" t="s">
        <v>18290</v>
      </c>
      <c r="T29" s="1450" t="s">
        <v>18290</v>
      </c>
      <c r="U29" s="1450" t="s">
        <v>18290</v>
      </c>
      <c r="V29" s="1450" t="s">
        <v>18290</v>
      </c>
      <c r="W29" s="1450" t="s">
        <v>18290</v>
      </c>
      <c r="X29" s="1450" t="s">
        <v>18290</v>
      </c>
      <c r="Y29" s="1450" t="s">
        <v>18290</v>
      </c>
      <c r="Z29" s="1450" t="s">
        <v>18290</v>
      </c>
      <c r="AA29" s="1450" t="s">
        <v>18290</v>
      </c>
      <c r="AB29" s="1450" t="s">
        <v>18290</v>
      </c>
      <c r="AC29" s="1450" t="s">
        <v>18290</v>
      </c>
      <c r="AD29" s="1450" t="s">
        <v>18290</v>
      </c>
    </row>
    <row r="30" spans="1:30" x14ac:dyDescent="0.2">
      <c r="A30" s="1887"/>
      <c r="B30" s="444" t="s">
        <v>18293</v>
      </c>
      <c r="C30" s="445" t="s">
        <v>5300</v>
      </c>
      <c r="D30" s="445">
        <v>0</v>
      </c>
      <c r="E30" s="445">
        <v>0</v>
      </c>
      <c r="F30" s="446"/>
      <c r="G30" s="447"/>
      <c r="H30" s="448"/>
      <c r="I30" s="449"/>
      <c r="J30" s="1450" t="s">
        <v>18293</v>
      </c>
      <c r="K30" s="1450" t="s">
        <v>18293</v>
      </c>
      <c r="L30" s="1450" t="s">
        <v>18293</v>
      </c>
      <c r="M30" s="1450" t="s">
        <v>18293</v>
      </c>
      <c r="N30" s="1450" t="s">
        <v>18293</v>
      </c>
      <c r="O30" s="1450" t="s">
        <v>18293</v>
      </c>
      <c r="P30" s="1450" t="s">
        <v>18293</v>
      </c>
      <c r="Q30" s="1450" t="s">
        <v>18293</v>
      </c>
      <c r="R30" s="1450" t="s">
        <v>18293</v>
      </c>
      <c r="S30" s="1450" t="s">
        <v>18293</v>
      </c>
      <c r="T30" s="1450" t="s">
        <v>18293</v>
      </c>
      <c r="U30" s="1450" t="s">
        <v>18293</v>
      </c>
      <c r="V30" s="1450" t="s">
        <v>18293</v>
      </c>
      <c r="W30" s="1450" t="s">
        <v>18293</v>
      </c>
      <c r="X30" s="1450" t="s">
        <v>18293</v>
      </c>
      <c r="Y30" s="1450" t="s">
        <v>18293</v>
      </c>
      <c r="Z30" s="1450" t="s">
        <v>18293</v>
      </c>
      <c r="AA30" s="1450" t="s">
        <v>18293</v>
      </c>
      <c r="AB30" s="1450" t="s">
        <v>18293</v>
      </c>
      <c r="AC30" s="1450" t="s">
        <v>18293</v>
      </c>
      <c r="AD30" s="1450" t="s">
        <v>18293</v>
      </c>
    </row>
    <row r="31" spans="1:30" x14ac:dyDescent="0.2">
      <c r="A31" s="1887"/>
      <c r="B31" s="444" t="s">
        <v>18296</v>
      </c>
      <c r="C31" s="445" t="s">
        <v>5300</v>
      </c>
      <c r="D31" s="445">
        <v>0</v>
      </c>
      <c r="E31" s="445">
        <v>0</v>
      </c>
      <c r="F31" s="446"/>
      <c r="G31" s="447"/>
      <c r="H31" s="448"/>
      <c r="I31" s="449"/>
      <c r="J31" s="1450" t="s">
        <v>18296</v>
      </c>
      <c r="K31" s="1450" t="s">
        <v>18296</v>
      </c>
      <c r="L31" s="1450" t="s">
        <v>18296</v>
      </c>
      <c r="M31" s="1450" t="s">
        <v>18296</v>
      </c>
      <c r="N31" s="1450" t="s">
        <v>18296</v>
      </c>
      <c r="O31" s="1450" t="s">
        <v>18296</v>
      </c>
      <c r="P31" s="1450" t="s">
        <v>18296</v>
      </c>
      <c r="Q31" s="1450" t="s">
        <v>18296</v>
      </c>
      <c r="R31" s="1450" t="s">
        <v>18296</v>
      </c>
      <c r="S31" s="1450" t="s">
        <v>18296</v>
      </c>
      <c r="T31" s="1450" t="s">
        <v>18296</v>
      </c>
      <c r="U31" s="1450" t="s">
        <v>18296</v>
      </c>
      <c r="V31" s="1450" t="s">
        <v>18296</v>
      </c>
      <c r="W31" s="1450" t="s">
        <v>18296</v>
      </c>
      <c r="X31" s="1450" t="s">
        <v>18296</v>
      </c>
      <c r="Y31" s="1450" t="s">
        <v>18296</v>
      </c>
      <c r="Z31" s="1450" t="s">
        <v>18296</v>
      </c>
      <c r="AA31" s="1450" t="s">
        <v>18296</v>
      </c>
      <c r="AB31" s="1450" t="s">
        <v>18296</v>
      </c>
      <c r="AC31" s="1450" t="s">
        <v>18296</v>
      </c>
      <c r="AD31" s="1450" t="s">
        <v>18296</v>
      </c>
    </row>
    <row r="32" spans="1:30" x14ac:dyDescent="0.2">
      <c r="A32" s="1887"/>
      <c r="B32" s="444" t="s">
        <v>18299</v>
      </c>
      <c r="C32" s="445" t="s">
        <v>5299</v>
      </c>
      <c r="D32" s="445">
        <v>0</v>
      </c>
      <c r="E32" s="445">
        <v>0</v>
      </c>
      <c r="F32" s="446"/>
      <c r="G32" s="447"/>
      <c r="H32" s="448"/>
      <c r="I32" s="449"/>
      <c r="J32" s="1450" t="s">
        <v>18299</v>
      </c>
      <c r="K32" s="1450" t="s">
        <v>18299</v>
      </c>
      <c r="L32" s="1450" t="s">
        <v>18299</v>
      </c>
      <c r="M32" s="1450" t="s">
        <v>18299</v>
      </c>
      <c r="N32" s="1450" t="s">
        <v>18299</v>
      </c>
      <c r="O32" s="1450" t="s">
        <v>18299</v>
      </c>
      <c r="P32" s="1450" t="s">
        <v>18299</v>
      </c>
      <c r="Q32" s="1450" t="s">
        <v>18299</v>
      </c>
      <c r="R32" s="1450" t="s">
        <v>18299</v>
      </c>
      <c r="S32" s="1450" t="s">
        <v>18299</v>
      </c>
      <c r="T32" s="1450" t="s">
        <v>18299</v>
      </c>
      <c r="U32" s="1450" t="s">
        <v>18299</v>
      </c>
      <c r="V32" s="1450" t="s">
        <v>18299</v>
      </c>
      <c r="W32" s="1450" t="s">
        <v>18299</v>
      </c>
      <c r="X32" s="1450" t="s">
        <v>18299</v>
      </c>
      <c r="Y32" s="1450" t="s">
        <v>18299</v>
      </c>
      <c r="Z32" s="1450" t="s">
        <v>18299</v>
      </c>
      <c r="AA32" s="1450" t="s">
        <v>18299</v>
      </c>
      <c r="AB32" s="1450" t="s">
        <v>18299</v>
      </c>
      <c r="AC32" s="1450" t="s">
        <v>18299</v>
      </c>
      <c r="AD32" s="1450" t="s">
        <v>18299</v>
      </c>
    </row>
    <row r="33" spans="1:30" x14ac:dyDescent="0.2">
      <c r="A33" s="1887"/>
      <c r="B33" s="444" t="s">
        <v>18302</v>
      </c>
      <c r="C33" s="445" t="s">
        <v>5300</v>
      </c>
      <c r="D33" s="445">
        <v>0</v>
      </c>
      <c r="E33" s="445">
        <v>0</v>
      </c>
      <c r="F33" s="446"/>
      <c r="G33" s="447"/>
      <c r="H33" s="448"/>
      <c r="I33" s="449"/>
      <c r="J33" s="1450" t="s">
        <v>18302</v>
      </c>
      <c r="K33" s="1450" t="s">
        <v>18302</v>
      </c>
      <c r="L33" s="1450" t="s">
        <v>18302</v>
      </c>
      <c r="M33" s="1450" t="s">
        <v>18302</v>
      </c>
      <c r="N33" s="1450" t="s">
        <v>18302</v>
      </c>
      <c r="O33" s="1450" t="s">
        <v>18302</v>
      </c>
      <c r="P33" s="1450" t="s">
        <v>18302</v>
      </c>
      <c r="Q33" s="1450" t="s">
        <v>18302</v>
      </c>
      <c r="R33" s="1450" t="s">
        <v>18302</v>
      </c>
      <c r="S33" s="1450" t="s">
        <v>18302</v>
      </c>
      <c r="T33" s="1450" t="s">
        <v>18302</v>
      </c>
      <c r="U33" s="1450" t="s">
        <v>18302</v>
      </c>
      <c r="V33" s="1450" t="s">
        <v>18302</v>
      </c>
      <c r="W33" s="1450" t="s">
        <v>18302</v>
      </c>
      <c r="X33" s="1450" t="s">
        <v>18302</v>
      </c>
      <c r="Y33" s="1450" t="s">
        <v>18302</v>
      </c>
      <c r="Z33" s="1450" t="s">
        <v>18302</v>
      </c>
      <c r="AA33" s="1450" t="s">
        <v>18302</v>
      </c>
      <c r="AB33" s="1450" t="s">
        <v>18302</v>
      </c>
      <c r="AC33" s="1450" t="s">
        <v>18302</v>
      </c>
      <c r="AD33" s="1450" t="s">
        <v>18302</v>
      </c>
    </row>
    <row r="34" spans="1:30" x14ac:dyDescent="0.2">
      <c r="A34" s="1887"/>
      <c r="B34" s="444" t="s">
        <v>18305</v>
      </c>
      <c r="C34" s="445" t="s">
        <v>5300</v>
      </c>
      <c r="D34" s="445">
        <v>0</v>
      </c>
      <c r="E34" s="445">
        <v>0</v>
      </c>
      <c r="F34" s="446"/>
      <c r="G34" s="447"/>
      <c r="H34" s="448"/>
      <c r="I34" s="449"/>
      <c r="J34" s="1450" t="s">
        <v>18305</v>
      </c>
      <c r="K34" s="1450" t="s">
        <v>18305</v>
      </c>
      <c r="L34" s="1450" t="s">
        <v>18305</v>
      </c>
      <c r="M34" s="1450" t="s">
        <v>18305</v>
      </c>
      <c r="N34" s="1450" t="s">
        <v>18305</v>
      </c>
      <c r="O34" s="1450" t="s">
        <v>18305</v>
      </c>
      <c r="P34" s="1450" t="s">
        <v>18305</v>
      </c>
      <c r="Q34" s="1450" t="s">
        <v>18305</v>
      </c>
      <c r="R34" s="1450" t="s">
        <v>18305</v>
      </c>
      <c r="S34" s="1450" t="s">
        <v>18305</v>
      </c>
      <c r="T34" s="1450" t="s">
        <v>18305</v>
      </c>
      <c r="U34" s="1450" t="s">
        <v>18305</v>
      </c>
      <c r="V34" s="1450" t="s">
        <v>18305</v>
      </c>
      <c r="W34" s="1450" t="s">
        <v>18305</v>
      </c>
      <c r="X34" s="1450" t="s">
        <v>18305</v>
      </c>
      <c r="Y34" s="1450" t="s">
        <v>18305</v>
      </c>
      <c r="Z34" s="1450" t="s">
        <v>18305</v>
      </c>
      <c r="AA34" s="1450" t="s">
        <v>18305</v>
      </c>
      <c r="AB34" s="1450" t="s">
        <v>18305</v>
      </c>
      <c r="AC34" s="1450" t="s">
        <v>18305</v>
      </c>
      <c r="AD34" s="1450" t="s">
        <v>18305</v>
      </c>
    </row>
    <row r="35" spans="1:30" x14ac:dyDescent="0.2">
      <c r="A35" s="1887"/>
      <c r="B35" s="444" t="s">
        <v>18308</v>
      </c>
      <c r="C35" s="445" t="s">
        <v>5299</v>
      </c>
      <c r="D35" s="445">
        <v>0</v>
      </c>
      <c r="E35" s="445">
        <v>0</v>
      </c>
      <c r="F35" s="446"/>
      <c r="G35" s="447"/>
      <c r="H35" s="448"/>
      <c r="I35" s="449"/>
      <c r="J35" s="1450" t="s">
        <v>18308</v>
      </c>
      <c r="K35" s="1450" t="s">
        <v>18308</v>
      </c>
      <c r="L35" s="1450" t="s">
        <v>18308</v>
      </c>
      <c r="M35" s="1450" t="s">
        <v>18308</v>
      </c>
      <c r="N35" s="1450" t="s">
        <v>18308</v>
      </c>
      <c r="O35" s="1450" t="s">
        <v>18308</v>
      </c>
      <c r="P35" s="1450" t="s">
        <v>18308</v>
      </c>
      <c r="Q35" s="1450" t="s">
        <v>18308</v>
      </c>
      <c r="R35" s="1450" t="s">
        <v>18308</v>
      </c>
      <c r="S35" s="1450" t="s">
        <v>18308</v>
      </c>
      <c r="T35" s="1450" t="s">
        <v>18308</v>
      </c>
      <c r="U35" s="1450" t="s">
        <v>18308</v>
      </c>
      <c r="V35" s="1450" t="s">
        <v>18308</v>
      </c>
      <c r="W35" s="1450" t="s">
        <v>18308</v>
      </c>
      <c r="X35" s="1450" t="s">
        <v>18308</v>
      </c>
      <c r="Y35" s="1450" t="s">
        <v>18308</v>
      </c>
      <c r="Z35" s="1450" t="s">
        <v>18308</v>
      </c>
      <c r="AA35" s="1450" t="s">
        <v>18308</v>
      </c>
      <c r="AB35" s="1450" t="s">
        <v>18308</v>
      </c>
      <c r="AC35" s="1450" t="s">
        <v>18308</v>
      </c>
      <c r="AD35" s="1450" t="s">
        <v>18308</v>
      </c>
    </row>
    <row r="36" spans="1:30" x14ac:dyDescent="0.2">
      <c r="A36" s="1887"/>
      <c r="B36" s="444" t="s">
        <v>18311</v>
      </c>
      <c r="C36" s="445" t="s">
        <v>5300</v>
      </c>
      <c r="D36" s="445">
        <v>0</v>
      </c>
      <c r="E36" s="445">
        <v>0</v>
      </c>
      <c r="F36" s="446"/>
      <c r="G36" s="447"/>
      <c r="H36" s="448"/>
      <c r="I36" s="449"/>
      <c r="J36" s="1450" t="s">
        <v>18311</v>
      </c>
      <c r="K36" s="1450" t="s">
        <v>18311</v>
      </c>
      <c r="L36" s="1450" t="s">
        <v>18311</v>
      </c>
      <c r="M36" s="1450" t="s">
        <v>18311</v>
      </c>
      <c r="N36" s="1450" t="s">
        <v>18311</v>
      </c>
      <c r="O36" s="1450" t="s">
        <v>18311</v>
      </c>
      <c r="P36" s="1450" t="s">
        <v>18311</v>
      </c>
      <c r="Q36" s="1450" t="s">
        <v>18311</v>
      </c>
      <c r="R36" s="1450" t="s">
        <v>18311</v>
      </c>
      <c r="S36" s="1450" t="s">
        <v>18311</v>
      </c>
      <c r="T36" s="1450" t="s">
        <v>18311</v>
      </c>
      <c r="U36" s="1450" t="s">
        <v>18311</v>
      </c>
      <c r="V36" s="1450" t="s">
        <v>18311</v>
      </c>
      <c r="W36" s="1450" t="s">
        <v>18311</v>
      </c>
      <c r="X36" s="1450" t="s">
        <v>18311</v>
      </c>
      <c r="Y36" s="1450" t="s">
        <v>18311</v>
      </c>
      <c r="Z36" s="1450" t="s">
        <v>18311</v>
      </c>
      <c r="AA36" s="1450" t="s">
        <v>18311</v>
      </c>
      <c r="AB36" s="1450" t="s">
        <v>18311</v>
      </c>
      <c r="AC36" s="1450" t="s">
        <v>18311</v>
      </c>
      <c r="AD36" s="1450" t="s">
        <v>18311</v>
      </c>
    </row>
    <row r="37" spans="1:30" x14ac:dyDescent="0.2">
      <c r="A37" s="1887"/>
      <c r="B37" s="444" t="s">
        <v>18314</v>
      </c>
      <c r="C37" s="445" t="s">
        <v>5300</v>
      </c>
      <c r="D37" s="445">
        <v>0</v>
      </c>
      <c r="E37" s="445">
        <v>0</v>
      </c>
      <c r="F37" s="446"/>
      <c r="G37" s="447"/>
      <c r="H37" s="448"/>
      <c r="I37" s="449"/>
      <c r="J37" s="1450" t="s">
        <v>18314</v>
      </c>
      <c r="K37" s="1450" t="s">
        <v>18314</v>
      </c>
      <c r="L37" s="1450" t="s">
        <v>18314</v>
      </c>
      <c r="M37" s="1450" t="s">
        <v>18314</v>
      </c>
      <c r="N37" s="1450" t="s">
        <v>18314</v>
      </c>
      <c r="O37" s="1450" t="s">
        <v>18314</v>
      </c>
      <c r="P37" s="1450" t="s">
        <v>18314</v>
      </c>
      <c r="Q37" s="1450" t="s">
        <v>18314</v>
      </c>
      <c r="R37" s="1450" t="s">
        <v>18314</v>
      </c>
      <c r="S37" s="1450" t="s">
        <v>18314</v>
      </c>
      <c r="T37" s="1450" t="s">
        <v>18314</v>
      </c>
      <c r="U37" s="1450" t="s">
        <v>18314</v>
      </c>
      <c r="V37" s="1450" t="s">
        <v>18314</v>
      </c>
      <c r="W37" s="1450" t="s">
        <v>18314</v>
      </c>
      <c r="X37" s="1450" t="s">
        <v>18314</v>
      </c>
      <c r="Y37" s="1450" t="s">
        <v>18314</v>
      </c>
      <c r="Z37" s="1450" t="s">
        <v>18314</v>
      </c>
      <c r="AA37" s="1450" t="s">
        <v>18314</v>
      </c>
      <c r="AB37" s="1450" t="s">
        <v>18314</v>
      </c>
      <c r="AC37" s="1450" t="s">
        <v>18314</v>
      </c>
      <c r="AD37" s="1450" t="s">
        <v>18314</v>
      </c>
    </row>
    <row r="38" spans="1:30" x14ac:dyDescent="0.2">
      <c r="A38" s="1887"/>
      <c r="B38" s="444" t="s">
        <v>18318</v>
      </c>
      <c r="C38" s="445" t="s">
        <v>5300</v>
      </c>
      <c r="D38" s="445">
        <v>0</v>
      </c>
      <c r="E38" s="445">
        <v>0</v>
      </c>
      <c r="F38" s="446"/>
      <c r="G38" s="447"/>
      <c r="H38" s="448"/>
      <c r="I38" s="449"/>
      <c r="J38" s="1450" t="s">
        <v>18318</v>
      </c>
      <c r="K38" s="1450" t="s">
        <v>18318</v>
      </c>
      <c r="L38" s="1450" t="s">
        <v>18318</v>
      </c>
      <c r="M38" s="1450" t="s">
        <v>18318</v>
      </c>
      <c r="N38" s="1450" t="s">
        <v>18318</v>
      </c>
      <c r="O38" s="1450" t="s">
        <v>18318</v>
      </c>
      <c r="P38" s="1450" t="s">
        <v>18318</v>
      </c>
      <c r="Q38" s="1450" t="s">
        <v>18318</v>
      </c>
      <c r="R38" s="1450" t="s">
        <v>18318</v>
      </c>
      <c r="S38" s="1450" t="s">
        <v>18318</v>
      </c>
      <c r="T38" s="1450" t="s">
        <v>18318</v>
      </c>
      <c r="U38" s="1450" t="s">
        <v>18318</v>
      </c>
      <c r="V38" s="1450" t="s">
        <v>18318</v>
      </c>
      <c r="W38" s="1450" t="s">
        <v>18318</v>
      </c>
      <c r="X38" s="1450" t="s">
        <v>18318</v>
      </c>
      <c r="Y38" s="1450" t="s">
        <v>18318</v>
      </c>
      <c r="Z38" s="1450" t="s">
        <v>18318</v>
      </c>
      <c r="AA38" s="1450" t="s">
        <v>18318</v>
      </c>
      <c r="AB38" s="1450" t="s">
        <v>18318</v>
      </c>
      <c r="AC38" s="1450" t="s">
        <v>18318</v>
      </c>
      <c r="AD38" s="1450" t="s">
        <v>18318</v>
      </c>
    </row>
    <row r="39" spans="1:30" x14ac:dyDescent="0.2">
      <c r="A39" s="1887"/>
      <c r="B39" s="444" t="s">
        <v>18320</v>
      </c>
      <c r="C39" s="445" t="s">
        <v>5299</v>
      </c>
      <c r="D39" s="445">
        <v>0</v>
      </c>
      <c r="E39" s="445">
        <v>0</v>
      </c>
      <c r="F39" s="446"/>
      <c r="G39" s="447"/>
      <c r="H39" s="448"/>
      <c r="I39" s="449"/>
      <c r="J39" s="1450" t="s">
        <v>18320</v>
      </c>
      <c r="K39" s="1450" t="s">
        <v>18320</v>
      </c>
      <c r="L39" s="1450" t="s">
        <v>18320</v>
      </c>
      <c r="M39" s="1450" t="s">
        <v>18320</v>
      </c>
      <c r="N39" s="1450" t="s">
        <v>18320</v>
      </c>
      <c r="O39" s="1450" t="s">
        <v>18320</v>
      </c>
      <c r="P39" s="1450" t="s">
        <v>18320</v>
      </c>
      <c r="Q39" s="1450" t="s">
        <v>18320</v>
      </c>
      <c r="R39" s="1450" t="s">
        <v>18320</v>
      </c>
      <c r="S39" s="1450" t="s">
        <v>18320</v>
      </c>
      <c r="T39" s="1450" t="s">
        <v>18320</v>
      </c>
      <c r="U39" s="1450" t="s">
        <v>18320</v>
      </c>
      <c r="V39" s="1450" t="s">
        <v>18320</v>
      </c>
      <c r="W39" s="1450" t="s">
        <v>18320</v>
      </c>
      <c r="X39" s="1450" t="s">
        <v>18320</v>
      </c>
      <c r="Y39" s="1450" t="s">
        <v>18320</v>
      </c>
      <c r="Z39" s="1450" t="s">
        <v>18320</v>
      </c>
      <c r="AA39" s="1450" t="s">
        <v>18320</v>
      </c>
      <c r="AB39" s="1450" t="s">
        <v>18320</v>
      </c>
      <c r="AC39" s="1450" t="s">
        <v>18320</v>
      </c>
      <c r="AD39" s="1450" t="s">
        <v>18320</v>
      </c>
    </row>
    <row r="40" spans="1:30" x14ac:dyDescent="0.2">
      <c r="A40" s="1887"/>
      <c r="B40" s="444" t="s">
        <v>18323</v>
      </c>
      <c r="C40" s="445" t="s">
        <v>5300</v>
      </c>
      <c r="D40" s="445">
        <v>0</v>
      </c>
      <c r="E40" s="445">
        <v>0</v>
      </c>
      <c r="F40" s="446"/>
      <c r="G40" s="447"/>
      <c r="H40" s="448"/>
      <c r="I40" s="449"/>
      <c r="J40" s="1450" t="s">
        <v>18323</v>
      </c>
      <c r="K40" s="1450" t="s">
        <v>18323</v>
      </c>
      <c r="L40" s="1450" t="s">
        <v>18323</v>
      </c>
      <c r="M40" s="1450" t="s">
        <v>18323</v>
      </c>
      <c r="N40" s="1450" t="s">
        <v>18323</v>
      </c>
      <c r="O40" s="1450" t="s">
        <v>18323</v>
      </c>
      <c r="P40" s="1450" t="s">
        <v>18323</v>
      </c>
      <c r="Q40" s="1450" t="s">
        <v>18323</v>
      </c>
      <c r="R40" s="1450" t="s">
        <v>18323</v>
      </c>
      <c r="S40" s="1450" t="s">
        <v>18323</v>
      </c>
      <c r="T40" s="1450" t="s">
        <v>18323</v>
      </c>
      <c r="U40" s="1450" t="s">
        <v>18323</v>
      </c>
      <c r="V40" s="1450" t="s">
        <v>18323</v>
      </c>
      <c r="W40" s="1450" t="s">
        <v>18323</v>
      </c>
      <c r="X40" s="1450" t="s">
        <v>18323</v>
      </c>
      <c r="Y40" s="1450" t="s">
        <v>18323</v>
      </c>
      <c r="Z40" s="1450" t="s">
        <v>18323</v>
      </c>
      <c r="AA40" s="1450" t="s">
        <v>18323</v>
      </c>
      <c r="AB40" s="1450" t="s">
        <v>18323</v>
      </c>
      <c r="AC40" s="1450" t="s">
        <v>18323</v>
      </c>
      <c r="AD40" s="1450" t="s">
        <v>18323</v>
      </c>
    </row>
    <row r="41" spans="1:30" x14ac:dyDescent="0.2">
      <c r="A41" s="1887"/>
      <c r="B41" s="444" t="s">
        <v>18326</v>
      </c>
      <c r="C41" s="445" t="s">
        <v>5300</v>
      </c>
      <c r="D41" s="445">
        <v>0</v>
      </c>
      <c r="E41" s="445">
        <v>0</v>
      </c>
      <c r="F41" s="446"/>
      <c r="G41" s="447"/>
      <c r="H41" s="448"/>
      <c r="I41" s="449"/>
      <c r="J41" s="1450" t="s">
        <v>18326</v>
      </c>
      <c r="K41" s="1450" t="s">
        <v>18326</v>
      </c>
      <c r="L41" s="1450" t="s">
        <v>18326</v>
      </c>
      <c r="M41" s="1450" t="s">
        <v>18326</v>
      </c>
      <c r="N41" s="1450" t="s">
        <v>18326</v>
      </c>
      <c r="O41" s="1450" t="s">
        <v>18326</v>
      </c>
      <c r="P41" s="1450" t="s">
        <v>18326</v>
      </c>
      <c r="Q41" s="1450" t="s">
        <v>18326</v>
      </c>
      <c r="R41" s="1450" t="s">
        <v>18326</v>
      </c>
      <c r="S41" s="1450" t="s">
        <v>18326</v>
      </c>
      <c r="T41" s="1450" t="s">
        <v>18326</v>
      </c>
      <c r="U41" s="1450" t="s">
        <v>18326</v>
      </c>
      <c r="V41" s="1450" t="s">
        <v>18326</v>
      </c>
      <c r="W41" s="1450" t="s">
        <v>18326</v>
      </c>
      <c r="X41" s="1450" t="s">
        <v>18326</v>
      </c>
      <c r="Y41" s="1450" t="s">
        <v>18326</v>
      </c>
      <c r="Z41" s="1450" t="s">
        <v>18326</v>
      </c>
      <c r="AA41" s="1450" t="s">
        <v>18326</v>
      </c>
      <c r="AB41" s="1450" t="s">
        <v>18326</v>
      </c>
      <c r="AC41" s="1450" t="s">
        <v>18326</v>
      </c>
      <c r="AD41" s="1450" t="s">
        <v>18326</v>
      </c>
    </row>
    <row r="42" spans="1:30" x14ac:dyDescent="0.2">
      <c r="A42" s="1887"/>
      <c r="B42" s="444" t="s">
        <v>18329</v>
      </c>
      <c r="C42" s="445" t="s">
        <v>5300</v>
      </c>
      <c r="D42" s="445">
        <v>0</v>
      </c>
      <c r="E42" s="445">
        <v>0</v>
      </c>
      <c r="F42" s="446"/>
      <c r="G42" s="447"/>
      <c r="H42" s="448"/>
      <c r="I42" s="449"/>
      <c r="J42" s="1450" t="s">
        <v>18329</v>
      </c>
      <c r="K42" s="1450" t="s">
        <v>18329</v>
      </c>
      <c r="L42" s="1450" t="s">
        <v>18329</v>
      </c>
      <c r="M42" s="1450" t="s">
        <v>18329</v>
      </c>
      <c r="N42" s="1450" t="s">
        <v>18329</v>
      </c>
      <c r="O42" s="1450" t="s">
        <v>18329</v>
      </c>
      <c r="P42" s="1450" t="s">
        <v>18329</v>
      </c>
      <c r="Q42" s="1450" t="s">
        <v>18329</v>
      </c>
      <c r="R42" s="1450" t="s">
        <v>18329</v>
      </c>
      <c r="S42" s="1450" t="s">
        <v>18329</v>
      </c>
      <c r="T42" s="1450" t="s">
        <v>18329</v>
      </c>
      <c r="U42" s="1450" t="s">
        <v>18329</v>
      </c>
      <c r="V42" s="1450" t="s">
        <v>18329</v>
      </c>
      <c r="W42" s="1450" t="s">
        <v>18329</v>
      </c>
      <c r="X42" s="1450" t="s">
        <v>18329</v>
      </c>
      <c r="Y42" s="1450" t="s">
        <v>18329</v>
      </c>
      <c r="Z42" s="1450" t="s">
        <v>18329</v>
      </c>
      <c r="AA42" s="1450" t="s">
        <v>18329</v>
      </c>
      <c r="AB42" s="1450" t="s">
        <v>18329</v>
      </c>
      <c r="AC42" s="1450" t="s">
        <v>18329</v>
      </c>
      <c r="AD42" s="1450" t="s">
        <v>18329</v>
      </c>
    </row>
    <row r="43" spans="1:30" x14ac:dyDescent="0.2">
      <c r="A43" s="1887"/>
      <c r="B43" s="444" t="s">
        <v>18332</v>
      </c>
      <c r="C43" s="445" t="s">
        <v>13210</v>
      </c>
      <c r="D43" s="445">
        <v>0</v>
      </c>
      <c r="E43" s="445">
        <v>0</v>
      </c>
      <c r="F43" s="446"/>
      <c r="G43" s="447"/>
      <c r="H43" s="448"/>
      <c r="I43" s="449"/>
      <c r="J43" s="1450" t="s">
        <v>18332</v>
      </c>
      <c r="K43" s="1450" t="s">
        <v>18332</v>
      </c>
      <c r="L43" s="1450" t="s">
        <v>18332</v>
      </c>
      <c r="M43" s="1450" t="s">
        <v>18332</v>
      </c>
      <c r="N43" s="1450" t="s">
        <v>18332</v>
      </c>
      <c r="O43" s="1450" t="s">
        <v>18332</v>
      </c>
      <c r="P43" s="1450" t="s">
        <v>18332</v>
      </c>
      <c r="Q43" s="1450" t="s">
        <v>18332</v>
      </c>
      <c r="R43" s="1450" t="s">
        <v>18332</v>
      </c>
      <c r="S43" s="1450" t="s">
        <v>18332</v>
      </c>
      <c r="T43" s="1450" t="s">
        <v>18332</v>
      </c>
      <c r="U43" s="1450" t="s">
        <v>18332</v>
      </c>
      <c r="V43" s="1450" t="s">
        <v>18332</v>
      </c>
      <c r="W43" s="1450" t="s">
        <v>18332</v>
      </c>
      <c r="X43" s="1450" t="s">
        <v>18332</v>
      </c>
      <c r="Y43" s="1450" t="s">
        <v>18332</v>
      </c>
      <c r="Z43" s="1450" t="s">
        <v>18332</v>
      </c>
      <c r="AA43" s="1450" t="s">
        <v>18332</v>
      </c>
      <c r="AB43" s="1450" t="s">
        <v>18332</v>
      </c>
      <c r="AC43" s="1450" t="s">
        <v>18332</v>
      </c>
      <c r="AD43" s="1450" t="s">
        <v>18332</v>
      </c>
    </row>
    <row r="44" spans="1:30" x14ac:dyDescent="0.2">
      <c r="A44" s="1887"/>
      <c r="B44" s="444" t="s">
        <v>18335</v>
      </c>
      <c r="C44" s="445" t="s">
        <v>5299</v>
      </c>
      <c r="D44" s="445">
        <v>0</v>
      </c>
      <c r="E44" s="445">
        <v>0</v>
      </c>
      <c r="F44" s="446"/>
      <c r="G44" s="447"/>
      <c r="H44" s="448"/>
      <c r="I44" s="449"/>
      <c r="J44" s="1450" t="s">
        <v>18335</v>
      </c>
      <c r="K44" s="1450" t="s">
        <v>18335</v>
      </c>
      <c r="L44" s="1450" t="s">
        <v>18335</v>
      </c>
      <c r="M44" s="1450" t="s">
        <v>18335</v>
      </c>
      <c r="N44" s="1450" t="s">
        <v>18335</v>
      </c>
      <c r="O44" s="1450" t="s">
        <v>18335</v>
      </c>
      <c r="P44" s="1450" t="s">
        <v>18335</v>
      </c>
      <c r="Q44" s="1450" t="s">
        <v>18335</v>
      </c>
      <c r="R44" s="1450" t="s">
        <v>18335</v>
      </c>
      <c r="S44" s="1450" t="s">
        <v>18335</v>
      </c>
      <c r="T44" s="1450" t="s">
        <v>18335</v>
      </c>
      <c r="U44" s="1450" t="s">
        <v>18335</v>
      </c>
      <c r="V44" s="1450" t="s">
        <v>18335</v>
      </c>
      <c r="W44" s="1450" t="s">
        <v>18335</v>
      </c>
      <c r="X44" s="1450" t="s">
        <v>18335</v>
      </c>
      <c r="Y44" s="1450" t="s">
        <v>18335</v>
      </c>
      <c r="Z44" s="1450" t="s">
        <v>18335</v>
      </c>
      <c r="AA44" s="1450" t="s">
        <v>18335</v>
      </c>
      <c r="AB44" s="1450" t="s">
        <v>18335</v>
      </c>
      <c r="AC44" s="1450" t="s">
        <v>18335</v>
      </c>
      <c r="AD44" s="1450" t="s">
        <v>18335</v>
      </c>
    </row>
    <row r="45" spans="1:30" x14ac:dyDescent="0.2">
      <c r="A45" s="1887"/>
      <c r="B45" s="444" t="s">
        <v>18338</v>
      </c>
      <c r="C45" s="445" t="s">
        <v>5300</v>
      </c>
      <c r="D45" s="445">
        <v>0</v>
      </c>
      <c r="E45" s="445">
        <v>0</v>
      </c>
      <c r="F45" s="446"/>
      <c r="G45" s="447"/>
      <c r="H45" s="448"/>
      <c r="I45" s="449"/>
      <c r="J45" s="1450" t="s">
        <v>18338</v>
      </c>
      <c r="K45" s="1450" t="s">
        <v>18338</v>
      </c>
      <c r="L45" s="1450" t="s">
        <v>18338</v>
      </c>
      <c r="M45" s="1450" t="s">
        <v>18338</v>
      </c>
      <c r="N45" s="1450" t="s">
        <v>18338</v>
      </c>
      <c r="O45" s="1450" t="s">
        <v>18338</v>
      </c>
      <c r="P45" s="1450" t="s">
        <v>18338</v>
      </c>
      <c r="Q45" s="1450" t="s">
        <v>18338</v>
      </c>
      <c r="R45" s="1450" t="s">
        <v>18338</v>
      </c>
      <c r="S45" s="1450" t="s">
        <v>18338</v>
      </c>
      <c r="T45" s="1450" t="s">
        <v>18338</v>
      </c>
      <c r="U45" s="1450" t="s">
        <v>18338</v>
      </c>
      <c r="V45" s="1450" t="s">
        <v>18338</v>
      </c>
      <c r="W45" s="1450" t="s">
        <v>18338</v>
      </c>
      <c r="X45" s="1450" t="s">
        <v>18338</v>
      </c>
      <c r="Y45" s="1450" t="s">
        <v>18338</v>
      </c>
      <c r="Z45" s="1450" t="s">
        <v>18338</v>
      </c>
      <c r="AA45" s="1450" t="s">
        <v>18338</v>
      </c>
      <c r="AB45" s="1450" t="s">
        <v>18338</v>
      </c>
      <c r="AC45" s="1450" t="s">
        <v>18338</v>
      </c>
      <c r="AD45" s="1450" t="s">
        <v>18338</v>
      </c>
    </row>
    <row r="46" spans="1:30" x14ac:dyDescent="0.2">
      <c r="A46" s="1887"/>
      <c r="B46" s="444" t="s">
        <v>18341</v>
      </c>
      <c r="C46" s="445" t="s">
        <v>5300</v>
      </c>
      <c r="D46" s="445">
        <v>0</v>
      </c>
      <c r="E46" s="445">
        <v>0</v>
      </c>
      <c r="F46" s="446"/>
      <c r="G46" s="447"/>
      <c r="H46" s="448"/>
      <c r="I46" s="449"/>
      <c r="J46" s="1450" t="s">
        <v>18341</v>
      </c>
      <c r="K46" s="1450" t="s">
        <v>18341</v>
      </c>
      <c r="L46" s="1450" t="s">
        <v>18341</v>
      </c>
      <c r="M46" s="1450" t="s">
        <v>18341</v>
      </c>
      <c r="N46" s="1450" t="s">
        <v>18341</v>
      </c>
      <c r="O46" s="1450" t="s">
        <v>18341</v>
      </c>
      <c r="P46" s="1450" t="s">
        <v>18341</v>
      </c>
      <c r="Q46" s="1450" t="s">
        <v>18341</v>
      </c>
      <c r="R46" s="1450" t="s">
        <v>18341</v>
      </c>
      <c r="S46" s="1450" t="s">
        <v>18341</v>
      </c>
      <c r="T46" s="1450" t="s">
        <v>18341</v>
      </c>
      <c r="U46" s="1450" t="s">
        <v>18341</v>
      </c>
      <c r="V46" s="1450" t="s">
        <v>18341</v>
      </c>
      <c r="W46" s="1450" t="s">
        <v>18341</v>
      </c>
      <c r="X46" s="1450" t="s">
        <v>18341</v>
      </c>
      <c r="Y46" s="1450" t="s">
        <v>18341</v>
      </c>
      <c r="Z46" s="1450" t="s">
        <v>18341</v>
      </c>
      <c r="AA46" s="1450" t="s">
        <v>18341</v>
      </c>
      <c r="AB46" s="1450" t="s">
        <v>18341</v>
      </c>
      <c r="AC46" s="1450" t="s">
        <v>18341</v>
      </c>
      <c r="AD46" s="1450" t="s">
        <v>18341</v>
      </c>
    </row>
    <row r="47" spans="1:30" x14ac:dyDescent="0.2">
      <c r="A47" s="1887"/>
      <c r="B47" s="444" t="s">
        <v>18344</v>
      </c>
      <c r="C47" s="445" t="s">
        <v>5300</v>
      </c>
      <c r="D47" s="445">
        <v>0</v>
      </c>
      <c r="E47" s="445">
        <v>0</v>
      </c>
      <c r="F47" s="446"/>
      <c r="G47" s="447"/>
      <c r="H47" s="448"/>
      <c r="I47" s="449"/>
      <c r="J47" s="1450" t="s">
        <v>18344</v>
      </c>
      <c r="K47" s="1450" t="s">
        <v>18344</v>
      </c>
      <c r="L47" s="1450" t="s">
        <v>18344</v>
      </c>
      <c r="M47" s="1450" t="s">
        <v>18344</v>
      </c>
      <c r="N47" s="1450" t="s">
        <v>18344</v>
      </c>
      <c r="O47" s="1450" t="s">
        <v>18344</v>
      </c>
      <c r="P47" s="1450" t="s">
        <v>18344</v>
      </c>
      <c r="Q47" s="1450" t="s">
        <v>18344</v>
      </c>
      <c r="R47" s="1450" t="s">
        <v>18344</v>
      </c>
      <c r="S47" s="1450" t="s">
        <v>18344</v>
      </c>
      <c r="T47" s="1450" t="s">
        <v>18344</v>
      </c>
      <c r="U47" s="1450" t="s">
        <v>18344</v>
      </c>
      <c r="V47" s="1450" t="s">
        <v>18344</v>
      </c>
      <c r="W47" s="1450" t="s">
        <v>18344</v>
      </c>
      <c r="X47" s="1450" t="s">
        <v>18344</v>
      </c>
      <c r="Y47" s="1450" t="s">
        <v>18344</v>
      </c>
      <c r="Z47" s="1450" t="s">
        <v>18344</v>
      </c>
      <c r="AA47" s="1450" t="s">
        <v>18344</v>
      </c>
      <c r="AB47" s="1450" t="s">
        <v>18344</v>
      </c>
      <c r="AC47" s="1450" t="s">
        <v>18344</v>
      </c>
      <c r="AD47" s="1450" t="s">
        <v>18344</v>
      </c>
    </row>
    <row r="48" spans="1:30" x14ac:dyDescent="0.2">
      <c r="A48" s="1887"/>
      <c r="B48" s="444" t="s">
        <v>18347</v>
      </c>
      <c r="C48" s="445" t="s">
        <v>13211</v>
      </c>
      <c r="D48" s="445">
        <v>0</v>
      </c>
      <c r="E48" s="445">
        <v>0</v>
      </c>
      <c r="F48" s="446"/>
      <c r="G48" s="447"/>
      <c r="H48" s="448"/>
      <c r="I48" s="449"/>
      <c r="J48" s="1450" t="s">
        <v>18347</v>
      </c>
      <c r="K48" s="1450" t="s">
        <v>18347</v>
      </c>
      <c r="L48" s="1450" t="s">
        <v>18347</v>
      </c>
      <c r="M48" s="1450" t="s">
        <v>18347</v>
      </c>
      <c r="N48" s="1450" t="s">
        <v>18347</v>
      </c>
      <c r="O48" s="1450" t="s">
        <v>18347</v>
      </c>
      <c r="P48" s="1450" t="s">
        <v>18347</v>
      </c>
      <c r="Q48" s="1450" t="s">
        <v>18347</v>
      </c>
      <c r="R48" s="1450" t="s">
        <v>18347</v>
      </c>
      <c r="S48" s="1450" t="s">
        <v>18347</v>
      </c>
      <c r="T48" s="1450" t="s">
        <v>18347</v>
      </c>
      <c r="U48" s="1450" t="s">
        <v>18347</v>
      </c>
      <c r="V48" s="1450" t="s">
        <v>18347</v>
      </c>
      <c r="W48" s="1450" t="s">
        <v>18347</v>
      </c>
      <c r="X48" s="1450" t="s">
        <v>18347</v>
      </c>
      <c r="Y48" s="1450" t="s">
        <v>18347</v>
      </c>
      <c r="Z48" s="1450" t="s">
        <v>18347</v>
      </c>
      <c r="AA48" s="1450" t="s">
        <v>18347</v>
      </c>
      <c r="AB48" s="1450" t="s">
        <v>18347</v>
      </c>
      <c r="AC48" s="1450" t="s">
        <v>18347</v>
      </c>
      <c r="AD48" s="1450" t="s">
        <v>18347</v>
      </c>
    </row>
    <row r="49" spans="1:30" x14ac:dyDescent="0.2">
      <c r="A49" s="1887"/>
      <c r="B49" s="444" t="s">
        <v>18350</v>
      </c>
      <c r="C49" s="445" t="s">
        <v>5299</v>
      </c>
      <c r="D49" s="445">
        <v>0</v>
      </c>
      <c r="E49" s="445">
        <v>0</v>
      </c>
      <c r="F49" s="446"/>
      <c r="G49" s="447"/>
      <c r="H49" s="448"/>
      <c r="I49" s="449"/>
      <c r="J49" s="1450" t="s">
        <v>18350</v>
      </c>
      <c r="K49" s="1450" t="s">
        <v>18350</v>
      </c>
      <c r="L49" s="1450" t="s">
        <v>18350</v>
      </c>
      <c r="M49" s="1450" t="s">
        <v>18350</v>
      </c>
      <c r="N49" s="1450" t="s">
        <v>18350</v>
      </c>
      <c r="O49" s="1450" t="s">
        <v>18350</v>
      </c>
      <c r="P49" s="1450" t="s">
        <v>18350</v>
      </c>
      <c r="Q49" s="1450" t="s">
        <v>18350</v>
      </c>
      <c r="R49" s="1450" t="s">
        <v>18350</v>
      </c>
      <c r="S49" s="1450" t="s">
        <v>18350</v>
      </c>
      <c r="T49" s="1450" t="s">
        <v>18350</v>
      </c>
      <c r="U49" s="1450" t="s">
        <v>18350</v>
      </c>
      <c r="V49" s="1450" t="s">
        <v>18350</v>
      </c>
      <c r="W49" s="1450" t="s">
        <v>18350</v>
      </c>
      <c r="X49" s="1450" t="s">
        <v>18350</v>
      </c>
      <c r="Y49" s="1450" t="s">
        <v>18350</v>
      </c>
      <c r="Z49" s="1450" t="s">
        <v>18350</v>
      </c>
      <c r="AA49" s="1450" t="s">
        <v>18350</v>
      </c>
      <c r="AB49" s="1450" t="s">
        <v>18350</v>
      </c>
      <c r="AC49" s="1450" t="s">
        <v>18350</v>
      </c>
      <c r="AD49" s="1450" t="s">
        <v>18350</v>
      </c>
    </row>
    <row r="50" spans="1:30" x14ac:dyDescent="0.2">
      <c r="A50" s="1887"/>
      <c r="B50" s="444" t="s">
        <v>18353</v>
      </c>
      <c r="C50" s="445" t="s">
        <v>5299</v>
      </c>
      <c r="D50" s="445">
        <v>0</v>
      </c>
      <c r="E50" s="445">
        <v>0</v>
      </c>
      <c r="F50" s="446"/>
      <c r="G50" s="447"/>
      <c r="H50" s="448"/>
      <c r="I50" s="449"/>
      <c r="J50" s="1450" t="s">
        <v>18353</v>
      </c>
      <c r="K50" s="1450" t="s">
        <v>18353</v>
      </c>
      <c r="L50" s="1450" t="s">
        <v>18353</v>
      </c>
      <c r="M50" s="1450" t="s">
        <v>18353</v>
      </c>
      <c r="N50" s="1450" t="s">
        <v>18353</v>
      </c>
      <c r="O50" s="1450" t="s">
        <v>18353</v>
      </c>
      <c r="P50" s="1450" t="s">
        <v>18353</v>
      </c>
      <c r="Q50" s="1450" t="s">
        <v>18353</v>
      </c>
      <c r="R50" s="1450" t="s">
        <v>18353</v>
      </c>
      <c r="S50" s="1450" t="s">
        <v>18353</v>
      </c>
      <c r="T50" s="1450" t="s">
        <v>18353</v>
      </c>
      <c r="U50" s="1450" t="s">
        <v>18353</v>
      </c>
      <c r="V50" s="1450" t="s">
        <v>18353</v>
      </c>
      <c r="W50" s="1450" t="s">
        <v>18353</v>
      </c>
      <c r="X50" s="1450" t="s">
        <v>18353</v>
      </c>
      <c r="Y50" s="1450" t="s">
        <v>18353</v>
      </c>
      <c r="Z50" s="1450" t="s">
        <v>18353</v>
      </c>
      <c r="AA50" s="1450" t="s">
        <v>18353</v>
      </c>
      <c r="AB50" s="1450" t="s">
        <v>18353</v>
      </c>
      <c r="AC50" s="1450" t="s">
        <v>18353</v>
      </c>
      <c r="AD50" s="1450" t="s">
        <v>18353</v>
      </c>
    </row>
    <row r="51" spans="1:30" x14ac:dyDescent="0.2">
      <c r="A51" s="1887"/>
      <c r="B51" s="444" t="s">
        <v>18356</v>
      </c>
      <c r="C51" s="445" t="s">
        <v>5299</v>
      </c>
      <c r="D51" s="445">
        <v>0</v>
      </c>
      <c r="E51" s="445">
        <v>0</v>
      </c>
      <c r="F51" s="446"/>
      <c r="G51" s="447"/>
      <c r="H51" s="448"/>
      <c r="I51" s="449"/>
      <c r="J51" s="1450" t="s">
        <v>18356</v>
      </c>
      <c r="K51" s="1450" t="s">
        <v>18356</v>
      </c>
      <c r="L51" s="1450" t="s">
        <v>18356</v>
      </c>
      <c r="M51" s="1450" t="s">
        <v>18356</v>
      </c>
      <c r="N51" s="1450" t="s">
        <v>18356</v>
      </c>
      <c r="O51" s="1450" t="s">
        <v>18356</v>
      </c>
      <c r="P51" s="1450" t="s">
        <v>18356</v>
      </c>
      <c r="Q51" s="1450" t="s">
        <v>18356</v>
      </c>
      <c r="R51" s="1450" t="s">
        <v>18356</v>
      </c>
      <c r="S51" s="1450" t="s">
        <v>18356</v>
      </c>
      <c r="T51" s="1450" t="s">
        <v>18356</v>
      </c>
      <c r="U51" s="1450" t="s">
        <v>18356</v>
      </c>
      <c r="V51" s="1450" t="s">
        <v>18356</v>
      </c>
      <c r="W51" s="1450" t="s">
        <v>18356</v>
      </c>
      <c r="X51" s="1450" t="s">
        <v>18356</v>
      </c>
      <c r="Y51" s="1450" t="s">
        <v>18356</v>
      </c>
      <c r="Z51" s="1450" t="s">
        <v>18356</v>
      </c>
      <c r="AA51" s="1450" t="s">
        <v>18356</v>
      </c>
      <c r="AB51" s="1450" t="s">
        <v>18356</v>
      </c>
      <c r="AC51" s="1450" t="s">
        <v>18356</v>
      </c>
      <c r="AD51" s="1450" t="s">
        <v>18356</v>
      </c>
    </row>
    <row r="52" spans="1:30" x14ac:dyDescent="0.2">
      <c r="A52" s="1887"/>
      <c r="B52" s="444" t="s">
        <v>18358</v>
      </c>
      <c r="C52" s="445" t="s">
        <v>5299</v>
      </c>
      <c r="D52" s="445">
        <v>0</v>
      </c>
      <c r="E52" s="445">
        <v>0</v>
      </c>
      <c r="F52" s="446"/>
      <c r="G52" s="447"/>
      <c r="H52" s="448"/>
      <c r="I52" s="449"/>
      <c r="J52" s="1450" t="s">
        <v>18358</v>
      </c>
      <c r="K52" s="1450" t="s">
        <v>18358</v>
      </c>
      <c r="L52" s="1450" t="s">
        <v>18358</v>
      </c>
      <c r="M52" s="1450" t="s">
        <v>18358</v>
      </c>
      <c r="N52" s="1450" t="s">
        <v>18358</v>
      </c>
      <c r="O52" s="1450" t="s">
        <v>18358</v>
      </c>
      <c r="P52" s="1450" t="s">
        <v>18358</v>
      </c>
      <c r="Q52" s="1450" t="s">
        <v>18358</v>
      </c>
      <c r="R52" s="1450" t="s">
        <v>18358</v>
      </c>
      <c r="S52" s="1450" t="s">
        <v>18358</v>
      </c>
      <c r="T52" s="1450" t="s">
        <v>18358</v>
      </c>
      <c r="U52" s="1450" t="s">
        <v>18358</v>
      </c>
      <c r="V52" s="1450" t="s">
        <v>18358</v>
      </c>
      <c r="W52" s="1450" t="s">
        <v>18358</v>
      </c>
      <c r="X52" s="1450" t="s">
        <v>18358</v>
      </c>
      <c r="Y52" s="1450" t="s">
        <v>18358</v>
      </c>
      <c r="Z52" s="1450" t="s">
        <v>18358</v>
      </c>
      <c r="AA52" s="1450" t="s">
        <v>18358</v>
      </c>
      <c r="AB52" s="1450" t="s">
        <v>18358</v>
      </c>
      <c r="AC52" s="1450" t="s">
        <v>18358</v>
      </c>
      <c r="AD52" s="1450" t="s">
        <v>18358</v>
      </c>
    </row>
    <row r="53" spans="1:30" x14ac:dyDescent="0.2">
      <c r="A53" s="1887"/>
      <c r="B53" s="444" t="s">
        <v>18362</v>
      </c>
      <c r="C53" s="445" t="s">
        <v>5300</v>
      </c>
      <c r="D53" s="445">
        <v>0</v>
      </c>
      <c r="E53" s="445">
        <v>0</v>
      </c>
      <c r="F53" s="446"/>
      <c r="G53" s="447"/>
      <c r="H53" s="448"/>
      <c r="I53" s="449"/>
      <c r="J53" s="1450" t="s">
        <v>18362</v>
      </c>
      <c r="K53" s="1450" t="s">
        <v>18362</v>
      </c>
      <c r="L53" s="1450" t="s">
        <v>18362</v>
      </c>
      <c r="M53" s="1450" t="s">
        <v>18362</v>
      </c>
      <c r="N53" s="1450" t="s">
        <v>18362</v>
      </c>
      <c r="O53" s="1450" t="s">
        <v>18362</v>
      </c>
      <c r="P53" s="1450" t="s">
        <v>18362</v>
      </c>
      <c r="Q53" s="1450" t="s">
        <v>18362</v>
      </c>
      <c r="R53" s="1450" t="s">
        <v>18362</v>
      </c>
      <c r="S53" s="1450" t="s">
        <v>18362</v>
      </c>
      <c r="T53" s="1450" t="s">
        <v>18362</v>
      </c>
      <c r="U53" s="1450" t="s">
        <v>18362</v>
      </c>
      <c r="V53" s="1450" t="s">
        <v>18362</v>
      </c>
      <c r="W53" s="1450" t="s">
        <v>18362</v>
      </c>
      <c r="X53" s="1450" t="s">
        <v>18362</v>
      </c>
      <c r="Y53" s="1450" t="s">
        <v>18362</v>
      </c>
      <c r="Z53" s="1450" t="s">
        <v>18362</v>
      </c>
      <c r="AA53" s="1450" t="s">
        <v>18362</v>
      </c>
      <c r="AB53" s="1450" t="s">
        <v>18362</v>
      </c>
      <c r="AC53" s="1450" t="s">
        <v>18362</v>
      </c>
      <c r="AD53" s="1450" t="s">
        <v>18362</v>
      </c>
    </row>
    <row r="54" spans="1:30" x14ac:dyDescent="0.2">
      <c r="A54" s="1887"/>
      <c r="B54" s="444" t="s">
        <v>18365</v>
      </c>
      <c r="C54" s="445" t="s">
        <v>5300</v>
      </c>
      <c r="D54" s="445">
        <v>0</v>
      </c>
      <c r="E54" s="445">
        <v>0</v>
      </c>
      <c r="F54" s="446"/>
      <c r="G54" s="447"/>
      <c r="H54" s="448"/>
      <c r="I54" s="449"/>
      <c r="J54" s="1450" t="s">
        <v>18365</v>
      </c>
      <c r="K54" s="1450" t="s">
        <v>18365</v>
      </c>
      <c r="L54" s="1450" t="s">
        <v>18365</v>
      </c>
      <c r="M54" s="1450" t="s">
        <v>18365</v>
      </c>
      <c r="N54" s="1450" t="s">
        <v>18365</v>
      </c>
      <c r="O54" s="1450" t="s">
        <v>18365</v>
      </c>
      <c r="P54" s="1450" t="s">
        <v>18365</v>
      </c>
      <c r="Q54" s="1450" t="s">
        <v>18365</v>
      </c>
      <c r="R54" s="1450" t="s">
        <v>18365</v>
      </c>
      <c r="S54" s="1450" t="s">
        <v>18365</v>
      </c>
      <c r="T54" s="1450" t="s">
        <v>18365</v>
      </c>
      <c r="U54" s="1450" t="s">
        <v>18365</v>
      </c>
      <c r="V54" s="1450" t="s">
        <v>18365</v>
      </c>
      <c r="W54" s="1450" t="s">
        <v>18365</v>
      </c>
      <c r="X54" s="1450" t="s">
        <v>18365</v>
      </c>
      <c r="Y54" s="1450" t="s">
        <v>18365</v>
      </c>
      <c r="Z54" s="1450" t="s">
        <v>18365</v>
      </c>
      <c r="AA54" s="1450" t="s">
        <v>18365</v>
      </c>
      <c r="AB54" s="1450" t="s">
        <v>18365</v>
      </c>
      <c r="AC54" s="1450" t="s">
        <v>18365</v>
      </c>
      <c r="AD54" s="1450" t="s">
        <v>18365</v>
      </c>
    </row>
    <row r="55" spans="1:30" x14ac:dyDescent="0.2">
      <c r="A55" s="1887"/>
      <c r="B55" s="444" t="s">
        <v>18368</v>
      </c>
      <c r="C55" s="445" t="s">
        <v>5300</v>
      </c>
      <c r="D55" s="445">
        <v>0</v>
      </c>
      <c r="E55" s="445">
        <v>0</v>
      </c>
      <c r="F55" s="446"/>
      <c r="G55" s="447"/>
      <c r="H55" s="448"/>
      <c r="I55" s="449"/>
      <c r="J55" s="1450" t="s">
        <v>18368</v>
      </c>
      <c r="K55" s="1450" t="s">
        <v>18368</v>
      </c>
      <c r="L55" s="1450" t="s">
        <v>18368</v>
      </c>
      <c r="M55" s="1450" t="s">
        <v>18368</v>
      </c>
      <c r="N55" s="1450" t="s">
        <v>18368</v>
      </c>
      <c r="O55" s="1450" t="s">
        <v>18368</v>
      </c>
      <c r="P55" s="1450" t="s">
        <v>18368</v>
      </c>
      <c r="Q55" s="1450" t="s">
        <v>18368</v>
      </c>
      <c r="R55" s="1450" t="s">
        <v>18368</v>
      </c>
      <c r="S55" s="1450" t="s">
        <v>18368</v>
      </c>
      <c r="T55" s="1450" t="s">
        <v>18368</v>
      </c>
      <c r="U55" s="1450" t="s">
        <v>18368</v>
      </c>
      <c r="V55" s="1450" t="s">
        <v>18368</v>
      </c>
      <c r="W55" s="1450" t="s">
        <v>18368</v>
      </c>
      <c r="X55" s="1450" t="s">
        <v>18368</v>
      </c>
      <c r="Y55" s="1450" t="s">
        <v>18368</v>
      </c>
      <c r="Z55" s="1450" t="s">
        <v>18368</v>
      </c>
      <c r="AA55" s="1450" t="s">
        <v>18368</v>
      </c>
      <c r="AB55" s="1450" t="s">
        <v>18368</v>
      </c>
      <c r="AC55" s="1450" t="s">
        <v>18368</v>
      </c>
      <c r="AD55" s="1450" t="s">
        <v>18368</v>
      </c>
    </row>
    <row r="56" spans="1:30" x14ac:dyDescent="0.2">
      <c r="A56" s="1887"/>
      <c r="B56" s="444" t="s">
        <v>18371</v>
      </c>
      <c r="C56" s="445" t="s">
        <v>5300</v>
      </c>
      <c r="D56" s="445">
        <v>0</v>
      </c>
      <c r="E56" s="445">
        <v>0</v>
      </c>
      <c r="F56" s="446"/>
      <c r="G56" s="447"/>
      <c r="H56" s="448"/>
      <c r="I56" s="449"/>
      <c r="J56" s="1450" t="s">
        <v>18371</v>
      </c>
      <c r="K56" s="1450" t="s">
        <v>18371</v>
      </c>
      <c r="L56" s="1450" t="s">
        <v>18371</v>
      </c>
      <c r="M56" s="1450" t="s">
        <v>18371</v>
      </c>
      <c r="N56" s="1450" t="s">
        <v>18371</v>
      </c>
      <c r="O56" s="1450" t="s">
        <v>18371</v>
      </c>
      <c r="P56" s="1450" t="s">
        <v>18371</v>
      </c>
      <c r="Q56" s="1450" t="s">
        <v>18371</v>
      </c>
      <c r="R56" s="1450" t="s">
        <v>18371</v>
      </c>
      <c r="S56" s="1450" t="s">
        <v>18371</v>
      </c>
      <c r="T56" s="1450" t="s">
        <v>18371</v>
      </c>
      <c r="U56" s="1450" t="s">
        <v>18371</v>
      </c>
      <c r="V56" s="1450" t="s">
        <v>18371</v>
      </c>
      <c r="W56" s="1450" t="s">
        <v>18371</v>
      </c>
      <c r="X56" s="1450" t="s">
        <v>18371</v>
      </c>
      <c r="Y56" s="1450" t="s">
        <v>18371</v>
      </c>
      <c r="Z56" s="1450" t="s">
        <v>18371</v>
      </c>
      <c r="AA56" s="1450" t="s">
        <v>18371</v>
      </c>
      <c r="AB56" s="1450" t="s">
        <v>18371</v>
      </c>
      <c r="AC56" s="1450" t="s">
        <v>18371</v>
      </c>
      <c r="AD56" s="1450" t="s">
        <v>18371</v>
      </c>
    </row>
    <row r="57" spans="1:30" x14ac:dyDescent="0.2">
      <c r="A57" s="1887"/>
      <c r="B57" s="444" t="s">
        <v>18374</v>
      </c>
      <c r="C57" s="445" t="s">
        <v>5300</v>
      </c>
      <c r="D57" s="445">
        <v>0</v>
      </c>
      <c r="E57" s="445">
        <v>0</v>
      </c>
      <c r="F57" s="446"/>
      <c r="G57" s="447"/>
      <c r="H57" s="448"/>
      <c r="I57" s="449"/>
      <c r="J57" s="1450" t="s">
        <v>18374</v>
      </c>
      <c r="K57" s="1450" t="s">
        <v>18374</v>
      </c>
      <c r="L57" s="1450" t="s">
        <v>18374</v>
      </c>
      <c r="M57" s="1450" t="s">
        <v>18374</v>
      </c>
      <c r="N57" s="1450" t="s">
        <v>18374</v>
      </c>
      <c r="O57" s="1450" t="s">
        <v>18374</v>
      </c>
      <c r="P57" s="1450" t="s">
        <v>18374</v>
      </c>
      <c r="Q57" s="1450" t="s">
        <v>18374</v>
      </c>
      <c r="R57" s="1450" t="s">
        <v>18374</v>
      </c>
      <c r="S57" s="1450" t="s">
        <v>18374</v>
      </c>
      <c r="T57" s="1450" t="s">
        <v>18374</v>
      </c>
      <c r="U57" s="1450" t="s">
        <v>18374</v>
      </c>
      <c r="V57" s="1450" t="s">
        <v>18374</v>
      </c>
      <c r="W57" s="1450" t="s">
        <v>18374</v>
      </c>
      <c r="X57" s="1450" t="s">
        <v>18374</v>
      </c>
      <c r="Y57" s="1450" t="s">
        <v>18374</v>
      </c>
      <c r="Z57" s="1450" t="s">
        <v>18374</v>
      </c>
      <c r="AA57" s="1450" t="s">
        <v>18374</v>
      </c>
      <c r="AB57" s="1450" t="s">
        <v>18374</v>
      </c>
      <c r="AC57" s="1450" t="s">
        <v>18374</v>
      </c>
      <c r="AD57" s="1450" t="s">
        <v>18374</v>
      </c>
    </row>
    <row r="58" spans="1:30" x14ac:dyDescent="0.2">
      <c r="A58" s="1887"/>
      <c r="B58" s="444" t="s">
        <v>18377</v>
      </c>
      <c r="C58" s="445" t="s">
        <v>13210</v>
      </c>
      <c r="D58" s="445">
        <v>0</v>
      </c>
      <c r="E58" s="445">
        <v>0</v>
      </c>
      <c r="F58" s="446"/>
      <c r="G58" s="447"/>
      <c r="H58" s="448"/>
      <c r="I58" s="449"/>
      <c r="J58" s="1450" t="s">
        <v>18377</v>
      </c>
      <c r="K58" s="1450" t="s">
        <v>18377</v>
      </c>
      <c r="L58" s="1450" t="s">
        <v>18377</v>
      </c>
      <c r="M58" s="1450" t="s">
        <v>18377</v>
      </c>
      <c r="N58" s="1450" t="s">
        <v>18377</v>
      </c>
      <c r="O58" s="1450" t="s">
        <v>18377</v>
      </c>
      <c r="P58" s="1450" t="s">
        <v>18377</v>
      </c>
      <c r="Q58" s="1450" t="s">
        <v>18377</v>
      </c>
      <c r="R58" s="1450" t="s">
        <v>18377</v>
      </c>
      <c r="S58" s="1450" t="s">
        <v>18377</v>
      </c>
      <c r="T58" s="1450" t="s">
        <v>18377</v>
      </c>
      <c r="U58" s="1450" t="s">
        <v>18377</v>
      </c>
      <c r="V58" s="1450" t="s">
        <v>18377</v>
      </c>
      <c r="W58" s="1450" t="s">
        <v>18377</v>
      </c>
      <c r="X58" s="1450" t="s">
        <v>18377</v>
      </c>
      <c r="Y58" s="1450" t="s">
        <v>18377</v>
      </c>
      <c r="Z58" s="1450" t="s">
        <v>18377</v>
      </c>
      <c r="AA58" s="1450" t="s">
        <v>18377</v>
      </c>
      <c r="AB58" s="1450" t="s">
        <v>18377</v>
      </c>
      <c r="AC58" s="1450" t="s">
        <v>18377</v>
      </c>
      <c r="AD58" s="1450" t="s">
        <v>18377</v>
      </c>
    </row>
    <row r="59" spans="1:30" x14ac:dyDescent="0.2">
      <c r="A59" s="1887"/>
      <c r="B59" s="444" t="s">
        <v>18380</v>
      </c>
      <c r="C59" s="445" t="s">
        <v>5299</v>
      </c>
      <c r="D59" s="445">
        <v>0</v>
      </c>
      <c r="E59" s="445">
        <v>0</v>
      </c>
      <c r="F59" s="446"/>
      <c r="G59" s="447"/>
      <c r="H59" s="448"/>
      <c r="I59" s="449"/>
      <c r="J59" s="1450" t="s">
        <v>18380</v>
      </c>
      <c r="K59" s="1450" t="s">
        <v>18380</v>
      </c>
      <c r="L59" s="1450" t="s">
        <v>18380</v>
      </c>
      <c r="M59" s="1450" t="s">
        <v>18380</v>
      </c>
      <c r="N59" s="1450" t="s">
        <v>18380</v>
      </c>
      <c r="O59" s="1450" t="s">
        <v>18380</v>
      </c>
      <c r="P59" s="1450" t="s">
        <v>18380</v>
      </c>
      <c r="Q59" s="1450" t="s">
        <v>18380</v>
      </c>
      <c r="R59" s="1450" t="s">
        <v>18380</v>
      </c>
      <c r="S59" s="1450" t="s">
        <v>18380</v>
      </c>
      <c r="T59" s="1450" t="s">
        <v>18380</v>
      </c>
      <c r="U59" s="1450" t="s">
        <v>18380</v>
      </c>
      <c r="V59" s="1450" t="s">
        <v>18380</v>
      </c>
      <c r="W59" s="1450" t="s">
        <v>18380</v>
      </c>
      <c r="X59" s="1450" t="s">
        <v>18380</v>
      </c>
      <c r="Y59" s="1450" t="s">
        <v>18380</v>
      </c>
      <c r="Z59" s="1450" t="s">
        <v>18380</v>
      </c>
      <c r="AA59" s="1450" t="s">
        <v>18380</v>
      </c>
      <c r="AB59" s="1450" t="s">
        <v>18380</v>
      </c>
      <c r="AC59" s="1450" t="s">
        <v>18380</v>
      </c>
      <c r="AD59" s="1450" t="s">
        <v>18380</v>
      </c>
    </row>
    <row r="60" spans="1:30" x14ac:dyDescent="0.2">
      <c r="A60" s="1887"/>
      <c r="B60" s="444" t="s">
        <v>18383</v>
      </c>
      <c r="C60" s="445" t="s">
        <v>5300</v>
      </c>
      <c r="D60" s="445">
        <v>0</v>
      </c>
      <c r="E60" s="445">
        <v>0</v>
      </c>
      <c r="F60" s="446"/>
      <c r="G60" s="447"/>
      <c r="H60" s="448"/>
      <c r="I60" s="449"/>
      <c r="J60" s="1450" t="s">
        <v>18383</v>
      </c>
      <c r="K60" s="1450" t="s">
        <v>18383</v>
      </c>
      <c r="L60" s="1450" t="s">
        <v>18383</v>
      </c>
      <c r="M60" s="1450" t="s">
        <v>18383</v>
      </c>
      <c r="N60" s="1450" t="s">
        <v>18383</v>
      </c>
      <c r="O60" s="1450" t="s">
        <v>18383</v>
      </c>
      <c r="P60" s="1450" t="s">
        <v>18383</v>
      </c>
      <c r="Q60" s="1450" t="s">
        <v>18383</v>
      </c>
      <c r="R60" s="1450" t="s">
        <v>18383</v>
      </c>
      <c r="S60" s="1450" t="s">
        <v>18383</v>
      </c>
      <c r="T60" s="1450" t="s">
        <v>18383</v>
      </c>
      <c r="U60" s="1450" t="s">
        <v>18383</v>
      </c>
      <c r="V60" s="1450" t="s">
        <v>18383</v>
      </c>
      <c r="W60" s="1450" t="s">
        <v>18383</v>
      </c>
      <c r="X60" s="1450" t="s">
        <v>18383</v>
      </c>
      <c r="Y60" s="1450" t="s">
        <v>18383</v>
      </c>
      <c r="Z60" s="1450" t="s">
        <v>18383</v>
      </c>
      <c r="AA60" s="1450" t="s">
        <v>18383</v>
      </c>
      <c r="AB60" s="1450" t="s">
        <v>18383</v>
      </c>
      <c r="AC60" s="1450" t="s">
        <v>18383</v>
      </c>
      <c r="AD60" s="1450" t="s">
        <v>18383</v>
      </c>
    </row>
    <row r="61" spans="1:30" x14ac:dyDescent="0.2">
      <c r="A61" s="1887"/>
      <c r="B61" s="444" t="s">
        <v>18386</v>
      </c>
      <c r="C61" s="445" t="s">
        <v>5300</v>
      </c>
      <c r="D61" s="445">
        <v>0</v>
      </c>
      <c r="E61" s="445">
        <v>0</v>
      </c>
      <c r="F61" s="446"/>
      <c r="G61" s="447"/>
      <c r="H61" s="448"/>
      <c r="I61" s="449"/>
      <c r="J61" s="1450" t="s">
        <v>18386</v>
      </c>
      <c r="K61" s="1450" t="s">
        <v>18386</v>
      </c>
      <c r="L61" s="1450" t="s">
        <v>18386</v>
      </c>
      <c r="M61" s="1450" t="s">
        <v>18386</v>
      </c>
      <c r="N61" s="1450" t="s">
        <v>18386</v>
      </c>
      <c r="O61" s="1450" t="s">
        <v>18386</v>
      </c>
      <c r="P61" s="1450" t="s">
        <v>18386</v>
      </c>
      <c r="Q61" s="1450" t="s">
        <v>18386</v>
      </c>
      <c r="R61" s="1450" t="s">
        <v>18386</v>
      </c>
      <c r="S61" s="1450" t="s">
        <v>18386</v>
      </c>
      <c r="T61" s="1450" t="s">
        <v>18386</v>
      </c>
      <c r="U61" s="1450" t="s">
        <v>18386</v>
      </c>
      <c r="V61" s="1450" t="s">
        <v>18386</v>
      </c>
      <c r="W61" s="1450" t="s">
        <v>18386</v>
      </c>
      <c r="X61" s="1450" t="s">
        <v>18386</v>
      </c>
      <c r="Y61" s="1450" t="s">
        <v>18386</v>
      </c>
      <c r="Z61" s="1450" t="s">
        <v>18386</v>
      </c>
      <c r="AA61" s="1450" t="s">
        <v>18386</v>
      </c>
      <c r="AB61" s="1450" t="s">
        <v>18386</v>
      </c>
      <c r="AC61" s="1450" t="s">
        <v>18386</v>
      </c>
      <c r="AD61" s="1450" t="s">
        <v>18386</v>
      </c>
    </row>
    <row r="62" spans="1:30" x14ac:dyDescent="0.2">
      <c r="A62" s="1887"/>
      <c r="B62" s="444" t="s">
        <v>18389</v>
      </c>
      <c r="C62" s="445" t="s">
        <v>5299</v>
      </c>
      <c r="D62" s="445">
        <v>0</v>
      </c>
      <c r="E62" s="445">
        <v>0</v>
      </c>
      <c r="F62" s="446"/>
      <c r="G62" s="447"/>
      <c r="H62" s="448"/>
      <c r="I62" s="449"/>
      <c r="J62" s="1450" t="s">
        <v>18389</v>
      </c>
      <c r="K62" s="1450" t="s">
        <v>18389</v>
      </c>
      <c r="L62" s="1450" t="s">
        <v>18389</v>
      </c>
      <c r="M62" s="1450" t="s">
        <v>18389</v>
      </c>
      <c r="N62" s="1450" t="s">
        <v>18389</v>
      </c>
      <c r="O62" s="1450" t="s">
        <v>18389</v>
      </c>
      <c r="P62" s="1450" t="s">
        <v>18389</v>
      </c>
      <c r="Q62" s="1450" t="s">
        <v>18389</v>
      </c>
      <c r="R62" s="1450" t="s">
        <v>18389</v>
      </c>
      <c r="S62" s="1450" t="s">
        <v>18389</v>
      </c>
      <c r="T62" s="1450" t="s">
        <v>18389</v>
      </c>
      <c r="U62" s="1450" t="s">
        <v>18389</v>
      </c>
      <c r="V62" s="1450" t="s">
        <v>18389</v>
      </c>
      <c r="W62" s="1450" t="s">
        <v>18389</v>
      </c>
      <c r="X62" s="1450" t="s">
        <v>18389</v>
      </c>
      <c r="Y62" s="1450" t="s">
        <v>18389</v>
      </c>
      <c r="Z62" s="1450" t="s">
        <v>18389</v>
      </c>
      <c r="AA62" s="1450" t="s">
        <v>18389</v>
      </c>
      <c r="AB62" s="1450" t="s">
        <v>18389</v>
      </c>
      <c r="AC62" s="1450" t="s">
        <v>18389</v>
      </c>
      <c r="AD62" s="1450" t="s">
        <v>18389</v>
      </c>
    </row>
    <row r="63" spans="1:30" x14ac:dyDescent="0.2">
      <c r="A63" s="1887"/>
      <c r="B63" s="444"/>
      <c r="C63" s="445"/>
      <c r="D63" s="445"/>
      <c r="E63" s="445"/>
      <c r="F63" s="446"/>
      <c r="G63" s="447"/>
      <c r="H63" s="448"/>
      <c r="I63" s="449"/>
    </row>
    <row r="64" spans="1:30" x14ac:dyDescent="0.2">
      <c r="A64" s="1887"/>
      <c r="B64" s="444"/>
      <c r="C64" s="445"/>
      <c r="D64" s="445"/>
      <c r="E64" s="445"/>
      <c r="F64" s="446"/>
      <c r="G64" s="447"/>
      <c r="H64" s="448"/>
      <c r="I64" s="449"/>
    </row>
    <row r="65" spans="1:9" x14ac:dyDescent="0.2">
      <c r="A65" s="1887"/>
      <c r="B65" s="444"/>
      <c r="C65" s="445"/>
      <c r="D65" s="445"/>
      <c r="E65" s="445"/>
      <c r="F65" s="446"/>
      <c r="G65" s="447"/>
      <c r="H65" s="448"/>
      <c r="I65" s="449"/>
    </row>
    <row r="66" spans="1:9" x14ac:dyDescent="0.2">
      <c r="A66" s="1887"/>
      <c r="B66" s="444"/>
      <c r="C66" s="445"/>
      <c r="D66" s="445"/>
      <c r="E66" s="445"/>
      <c r="F66" s="446"/>
      <c r="G66" s="447"/>
      <c r="H66" s="448"/>
      <c r="I66" s="449"/>
    </row>
    <row r="67" spans="1:9" x14ac:dyDescent="0.2">
      <c r="A67" s="1887"/>
      <c r="B67" s="444"/>
      <c r="C67" s="445"/>
      <c r="D67" s="445"/>
      <c r="E67" s="445"/>
      <c r="F67" s="446"/>
      <c r="G67" s="447"/>
      <c r="H67" s="448"/>
      <c r="I67" s="449"/>
    </row>
    <row r="68" spans="1:9" x14ac:dyDescent="0.2">
      <c r="A68" s="1887"/>
      <c r="B68" s="444"/>
      <c r="C68" s="445"/>
      <c r="D68" s="445"/>
      <c r="E68" s="445"/>
      <c r="F68" s="446"/>
      <c r="G68" s="447"/>
      <c r="H68" s="448"/>
      <c r="I68" s="449"/>
    </row>
    <row r="69" spans="1:9" x14ac:dyDescent="0.2">
      <c r="A69" s="1887"/>
      <c r="B69" s="444"/>
      <c r="C69" s="445"/>
      <c r="D69" s="445"/>
      <c r="E69" s="445"/>
      <c r="F69" s="446"/>
      <c r="G69" s="447"/>
      <c r="H69" s="448"/>
      <c r="I69" s="449"/>
    </row>
    <row r="70" spans="1:9" x14ac:dyDescent="0.2">
      <c r="A70" s="1887"/>
      <c r="B70" s="444"/>
      <c r="C70" s="445"/>
      <c r="D70" s="445"/>
      <c r="E70" s="445"/>
      <c r="F70" s="446"/>
      <c r="G70" s="447"/>
      <c r="H70" s="448"/>
      <c r="I70" s="449"/>
    </row>
    <row r="71" spans="1:9" x14ac:dyDescent="0.2">
      <c r="A71" s="1887"/>
      <c r="B71" s="444"/>
      <c r="C71" s="445"/>
      <c r="D71" s="445"/>
      <c r="E71" s="445"/>
      <c r="F71" s="446"/>
      <c r="G71" s="447"/>
      <c r="H71" s="448"/>
      <c r="I71" s="449"/>
    </row>
    <row r="72" spans="1:9" x14ac:dyDescent="0.2">
      <c r="A72" s="1887"/>
      <c r="B72" s="444"/>
      <c r="C72" s="445"/>
      <c r="D72" s="445"/>
      <c r="E72" s="445"/>
      <c r="F72" s="446"/>
      <c r="G72" s="447"/>
      <c r="H72" s="448"/>
      <c r="I72" s="449"/>
    </row>
    <row r="73" spans="1:9" x14ac:dyDescent="0.2">
      <c r="A73" s="1887"/>
      <c r="B73" s="444"/>
      <c r="C73" s="445"/>
      <c r="D73" s="445"/>
      <c r="E73" s="445"/>
      <c r="F73" s="446"/>
      <c r="G73" s="447"/>
      <c r="H73" s="448"/>
      <c r="I73" s="449"/>
    </row>
    <row r="74" spans="1:9" x14ac:dyDescent="0.2">
      <c r="A74" s="1887"/>
      <c r="B74" s="444"/>
      <c r="C74" s="445"/>
      <c r="D74" s="445"/>
      <c r="E74" s="445"/>
      <c r="F74" s="446"/>
      <c r="G74" s="447"/>
      <c r="H74" s="448"/>
      <c r="I74" s="449"/>
    </row>
    <row r="75" spans="1:9" x14ac:dyDescent="0.2">
      <c r="A75" s="1887"/>
      <c r="B75" s="444"/>
      <c r="C75" s="445"/>
      <c r="D75" s="445"/>
      <c r="E75" s="445"/>
      <c r="F75" s="446"/>
      <c r="G75" s="447"/>
      <c r="H75" s="448"/>
      <c r="I75" s="449"/>
    </row>
    <row r="76" spans="1:9" x14ac:dyDescent="0.2">
      <c r="A76" s="1887"/>
      <c r="B76" s="444"/>
      <c r="C76" s="445"/>
      <c r="D76" s="445"/>
      <c r="E76" s="445"/>
      <c r="F76" s="446"/>
      <c r="G76" s="447"/>
      <c r="H76" s="448"/>
      <c r="I76" s="449"/>
    </row>
    <row r="77" spans="1:9" x14ac:dyDescent="0.2">
      <c r="A77" s="1887"/>
      <c r="B77" s="444"/>
      <c r="C77" s="445"/>
      <c r="D77" s="445"/>
      <c r="E77" s="445"/>
      <c r="F77" s="446"/>
      <c r="G77" s="447"/>
      <c r="H77" s="448"/>
      <c r="I77" s="449"/>
    </row>
    <row r="78" spans="1:9" x14ac:dyDescent="0.2">
      <c r="A78" s="1887"/>
      <c r="B78" s="444"/>
      <c r="C78" s="445"/>
      <c r="D78" s="445"/>
      <c r="E78" s="445"/>
      <c r="F78" s="446"/>
      <c r="G78" s="447"/>
      <c r="H78" s="448"/>
      <c r="I78" s="449"/>
    </row>
    <row r="79" spans="1:9" x14ac:dyDescent="0.2">
      <c r="A79" s="1887"/>
      <c r="B79" s="444"/>
      <c r="C79" s="445"/>
      <c r="D79" s="445"/>
      <c r="E79" s="445"/>
      <c r="F79" s="446"/>
      <c r="G79" s="447"/>
      <c r="H79" s="448"/>
      <c r="I79" s="449"/>
    </row>
    <row r="80" spans="1:9" x14ac:dyDescent="0.2">
      <c r="A80" s="1887"/>
      <c r="B80" s="444"/>
      <c r="C80" s="445"/>
      <c r="D80" s="445"/>
      <c r="E80" s="445"/>
      <c r="F80" s="446"/>
      <c r="G80" s="447"/>
      <c r="H80" s="448"/>
      <c r="I80" s="449"/>
    </row>
    <row r="81" spans="1:9" x14ac:dyDescent="0.2">
      <c r="A81" s="1887"/>
      <c r="B81" s="444"/>
      <c r="C81" s="445"/>
      <c r="D81" s="445"/>
      <c r="E81" s="445"/>
      <c r="F81" s="446"/>
      <c r="G81" s="447"/>
      <c r="H81" s="448"/>
      <c r="I81" s="449"/>
    </row>
    <row r="82" spans="1:9" x14ac:dyDescent="0.2">
      <c r="A82" s="1887"/>
      <c r="B82" s="444"/>
      <c r="C82" s="445"/>
      <c r="D82" s="445"/>
      <c r="E82" s="445"/>
      <c r="F82" s="446"/>
      <c r="G82" s="447"/>
      <c r="H82" s="448"/>
      <c r="I82" s="449"/>
    </row>
    <row r="83" spans="1:9" x14ac:dyDescent="0.2">
      <c r="A83" s="1887"/>
      <c r="B83" s="444"/>
      <c r="C83" s="445"/>
      <c r="D83" s="445"/>
      <c r="E83" s="445"/>
      <c r="F83" s="446"/>
      <c r="G83" s="447"/>
      <c r="H83" s="448"/>
      <c r="I83" s="449"/>
    </row>
    <row r="84" spans="1:9" x14ac:dyDescent="0.2">
      <c r="A84" s="1887"/>
      <c r="B84" s="444"/>
      <c r="C84" s="445"/>
      <c r="D84" s="445"/>
      <c r="E84" s="445"/>
      <c r="F84" s="446"/>
      <c r="G84" s="447"/>
      <c r="H84" s="448"/>
      <c r="I84" s="449"/>
    </row>
    <row r="85" spans="1:9" x14ac:dyDescent="0.2">
      <c r="A85" s="1887"/>
      <c r="B85" s="444"/>
      <c r="C85" s="445"/>
      <c r="D85" s="445"/>
      <c r="E85" s="445"/>
      <c r="F85" s="446"/>
      <c r="G85" s="447"/>
      <c r="H85" s="448"/>
      <c r="I85" s="449"/>
    </row>
    <row r="86" spans="1:9" x14ac:dyDescent="0.2">
      <c r="A86" s="1887"/>
      <c r="B86" s="444"/>
      <c r="C86" s="445"/>
      <c r="D86" s="445"/>
      <c r="E86" s="445"/>
      <c r="F86" s="446"/>
      <c r="G86" s="447"/>
      <c r="H86" s="448"/>
      <c r="I86" s="449"/>
    </row>
    <row r="87" spans="1:9" x14ac:dyDescent="0.2">
      <c r="A87" s="1887"/>
      <c r="B87" s="444"/>
      <c r="C87" s="445"/>
      <c r="D87" s="445"/>
      <c r="E87" s="445"/>
      <c r="F87" s="446"/>
      <c r="G87" s="447"/>
      <c r="H87" s="448"/>
      <c r="I87" s="449"/>
    </row>
    <row r="88" spans="1:9" x14ac:dyDescent="0.2">
      <c r="A88" s="1887"/>
      <c r="B88" s="444"/>
      <c r="C88" s="445"/>
      <c r="D88" s="445"/>
      <c r="E88" s="445"/>
      <c r="F88" s="446"/>
      <c r="G88" s="447"/>
      <c r="H88" s="448"/>
      <c r="I88" s="449"/>
    </row>
    <row r="89" spans="1:9" x14ac:dyDescent="0.2">
      <c r="A89" s="1887"/>
      <c r="B89" s="444"/>
      <c r="C89" s="445"/>
      <c r="D89" s="445"/>
      <c r="E89" s="445"/>
      <c r="F89" s="446"/>
      <c r="G89" s="447"/>
      <c r="H89" s="448"/>
      <c r="I89" s="449"/>
    </row>
    <row r="90" spans="1:9" x14ac:dyDescent="0.2">
      <c r="A90" s="1887"/>
      <c r="B90" s="444"/>
      <c r="C90" s="445"/>
      <c r="D90" s="445"/>
      <c r="E90" s="445"/>
      <c r="F90" s="446"/>
      <c r="G90" s="447"/>
      <c r="H90" s="448"/>
      <c r="I90" s="449"/>
    </row>
    <row r="91" spans="1:9" x14ac:dyDescent="0.2">
      <c r="A91" s="1887"/>
      <c r="B91" s="444"/>
      <c r="C91" s="445"/>
      <c r="D91" s="445"/>
      <c r="E91" s="445"/>
      <c r="F91" s="446"/>
      <c r="G91" s="447"/>
      <c r="H91" s="448"/>
      <c r="I91" s="449"/>
    </row>
    <row r="92" spans="1:9" x14ac:dyDescent="0.2">
      <c r="A92" s="1887"/>
      <c r="B92" s="444"/>
      <c r="C92" s="445"/>
      <c r="D92" s="445"/>
      <c r="E92" s="445"/>
      <c r="F92" s="446"/>
      <c r="G92" s="447"/>
      <c r="H92" s="448"/>
      <c r="I92" s="449"/>
    </row>
    <row r="93" spans="1:9" x14ac:dyDescent="0.2">
      <c r="A93" s="1887"/>
      <c r="B93" s="444"/>
      <c r="C93" s="445"/>
      <c r="D93" s="445"/>
      <c r="E93" s="445"/>
      <c r="F93" s="446"/>
      <c r="G93" s="447"/>
      <c r="H93" s="448"/>
      <c r="I93" s="449"/>
    </row>
    <row r="94" spans="1:9" x14ac:dyDescent="0.2">
      <c r="A94" s="1887"/>
      <c r="B94" s="444"/>
      <c r="C94" s="445"/>
      <c r="D94" s="445"/>
      <c r="E94" s="445"/>
      <c r="F94" s="446"/>
      <c r="G94" s="447"/>
      <c r="H94" s="448"/>
      <c r="I94" s="449"/>
    </row>
    <row r="95" spans="1:9" x14ac:dyDescent="0.2">
      <c r="A95" s="1887"/>
      <c r="B95" s="444"/>
      <c r="C95" s="445"/>
      <c r="D95" s="445"/>
      <c r="E95" s="445"/>
      <c r="F95" s="446"/>
      <c r="G95" s="447"/>
      <c r="H95" s="448"/>
      <c r="I95" s="449"/>
    </row>
    <row r="96" spans="1:9" x14ac:dyDescent="0.2">
      <c r="A96" s="1887"/>
      <c r="B96" s="444"/>
      <c r="C96" s="445"/>
      <c r="D96" s="445"/>
      <c r="E96" s="445"/>
      <c r="F96" s="446"/>
      <c r="G96" s="447"/>
      <c r="H96" s="448"/>
      <c r="I96" s="449"/>
    </row>
    <row r="97" spans="1:9" x14ac:dyDescent="0.2">
      <c r="A97" s="1887"/>
      <c r="B97" s="444"/>
      <c r="C97" s="445"/>
      <c r="D97" s="445"/>
      <c r="E97" s="445"/>
      <c r="F97" s="446"/>
      <c r="G97" s="447"/>
      <c r="H97" s="448"/>
      <c r="I97" s="449"/>
    </row>
    <row r="98" spans="1:9" x14ac:dyDescent="0.2">
      <c r="A98" s="1887"/>
      <c r="B98" s="444"/>
      <c r="C98" s="445"/>
      <c r="D98" s="445"/>
      <c r="E98" s="445"/>
      <c r="F98" s="446"/>
      <c r="G98" s="447"/>
      <c r="H98" s="448"/>
      <c r="I98" s="449"/>
    </row>
    <row r="99" spans="1:9" x14ac:dyDescent="0.2">
      <c r="A99" s="1887"/>
      <c r="B99" s="444"/>
      <c r="C99" s="445"/>
      <c r="D99" s="445"/>
      <c r="E99" s="445"/>
      <c r="F99" s="446"/>
      <c r="G99" s="447"/>
      <c r="H99" s="448"/>
      <c r="I99" s="449"/>
    </row>
    <row r="100" spans="1:9" x14ac:dyDescent="0.2">
      <c r="A100" s="1887"/>
      <c r="B100" s="444"/>
      <c r="C100" s="445"/>
      <c r="D100" s="445"/>
      <c r="E100" s="445"/>
      <c r="F100" s="446"/>
      <c r="G100" s="447"/>
      <c r="H100" s="448"/>
      <c r="I100" s="449"/>
    </row>
    <row r="101" spans="1:9" x14ac:dyDescent="0.2">
      <c r="A101" s="1887"/>
      <c r="B101" s="444"/>
      <c r="C101" s="445"/>
      <c r="D101" s="445"/>
      <c r="E101" s="445"/>
      <c r="F101" s="446"/>
      <c r="G101" s="447"/>
      <c r="H101" s="448"/>
      <c r="I101" s="449"/>
    </row>
    <row r="102" spans="1:9" x14ac:dyDescent="0.2">
      <c r="A102" s="1887"/>
      <c r="B102" s="444"/>
      <c r="C102" s="445"/>
      <c r="D102" s="445"/>
      <c r="E102" s="445"/>
      <c r="F102" s="446"/>
      <c r="G102" s="447"/>
      <c r="H102" s="448"/>
      <c r="I102" s="449"/>
    </row>
    <row r="103" spans="1:9" x14ac:dyDescent="0.2">
      <c r="A103" s="1887"/>
      <c r="B103" s="444"/>
      <c r="C103" s="445"/>
      <c r="D103" s="445"/>
      <c r="E103" s="445"/>
      <c r="F103" s="446"/>
      <c r="G103" s="447"/>
      <c r="H103" s="448"/>
      <c r="I103" s="449"/>
    </row>
    <row r="104" spans="1:9" x14ac:dyDescent="0.2">
      <c r="A104" s="1887"/>
      <c r="B104" s="444"/>
      <c r="C104" s="445"/>
      <c r="D104" s="445"/>
      <c r="E104" s="445"/>
      <c r="F104" s="446"/>
      <c r="G104" s="447"/>
      <c r="H104" s="448"/>
      <c r="I104" s="449"/>
    </row>
    <row r="105" spans="1:9" x14ac:dyDescent="0.2">
      <c r="A105" s="1887"/>
      <c r="B105" s="444"/>
      <c r="C105" s="445"/>
      <c r="D105" s="445"/>
      <c r="E105" s="445"/>
      <c r="F105" s="446"/>
      <c r="G105" s="447"/>
      <c r="H105" s="448"/>
      <c r="I105" s="449"/>
    </row>
    <row r="106" spans="1:9" x14ac:dyDescent="0.2">
      <c r="A106" s="1887"/>
      <c r="B106" s="444"/>
      <c r="C106" s="445"/>
      <c r="D106" s="445"/>
      <c r="E106" s="445"/>
      <c r="F106" s="446"/>
      <c r="G106" s="447"/>
      <c r="H106" s="448"/>
      <c r="I106" s="449"/>
    </row>
    <row r="107" spans="1:9" x14ac:dyDescent="0.2">
      <c r="A107" s="1887"/>
      <c r="B107" s="444"/>
      <c r="C107" s="445"/>
      <c r="D107" s="445"/>
      <c r="E107" s="445"/>
      <c r="F107" s="446"/>
      <c r="G107" s="447"/>
      <c r="H107" s="448"/>
      <c r="I107" s="449"/>
    </row>
    <row r="108" spans="1:9" x14ac:dyDescent="0.2">
      <c r="A108" s="1887"/>
      <c r="B108" s="444"/>
      <c r="C108" s="445"/>
      <c r="D108" s="445"/>
      <c r="E108" s="445"/>
      <c r="F108" s="446"/>
      <c r="G108" s="447"/>
      <c r="H108" s="448"/>
      <c r="I108" s="449"/>
    </row>
    <row r="109" spans="1:9" x14ac:dyDescent="0.2">
      <c r="A109" s="1887"/>
      <c r="B109" s="444"/>
      <c r="C109" s="445"/>
      <c r="D109" s="445"/>
      <c r="E109" s="445"/>
      <c r="F109" s="446"/>
      <c r="G109" s="447"/>
      <c r="H109" s="448"/>
      <c r="I109" s="449"/>
    </row>
    <row r="110" spans="1:9" x14ac:dyDescent="0.2">
      <c r="A110" s="1887"/>
      <c r="B110" s="444"/>
      <c r="C110" s="445"/>
      <c r="D110" s="445"/>
      <c r="E110" s="445"/>
      <c r="F110" s="446"/>
      <c r="G110" s="447"/>
      <c r="H110" s="448"/>
      <c r="I110" s="449"/>
    </row>
    <row r="111" spans="1:9" x14ac:dyDescent="0.2">
      <c r="A111" s="1887"/>
      <c r="B111" s="444"/>
      <c r="C111" s="445"/>
      <c r="D111" s="445"/>
      <c r="E111" s="445"/>
      <c r="F111" s="446"/>
      <c r="G111" s="447"/>
      <c r="H111" s="448"/>
      <c r="I111" s="449"/>
    </row>
    <row r="112" spans="1:9" x14ac:dyDescent="0.2">
      <c r="A112" s="1887"/>
      <c r="B112" s="444"/>
      <c r="C112" s="445"/>
      <c r="D112" s="445"/>
      <c r="E112" s="445"/>
      <c r="F112" s="446"/>
      <c r="G112" s="447"/>
      <c r="H112" s="448"/>
      <c r="I112" s="449"/>
    </row>
    <row r="113" spans="1:9" x14ac:dyDescent="0.2">
      <c r="A113" s="1887"/>
      <c r="B113" s="444"/>
      <c r="C113" s="445"/>
      <c r="D113" s="445"/>
      <c r="E113" s="445"/>
      <c r="F113" s="446"/>
      <c r="G113" s="447"/>
      <c r="H113" s="448"/>
      <c r="I113" s="449"/>
    </row>
    <row r="114" spans="1:9" x14ac:dyDescent="0.2">
      <c r="A114" s="1887"/>
      <c r="B114" s="444"/>
      <c r="C114" s="445"/>
      <c r="D114" s="445"/>
      <c r="E114" s="445"/>
      <c r="F114" s="446"/>
      <c r="G114" s="447"/>
      <c r="H114" s="448"/>
      <c r="I114" s="449"/>
    </row>
    <row r="115" spans="1:9" x14ac:dyDescent="0.2">
      <c r="A115" s="1887"/>
      <c r="B115" s="444"/>
      <c r="C115" s="445"/>
      <c r="D115" s="445"/>
      <c r="E115" s="445"/>
      <c r="F115" s="446"/>
      <c r="G115" s="447"/>
      <c r="H115" s="448"/>
      <c r="I115" s="449"/>
    </row>
    <row r="116" spans="1:9" x14ac:dyDescent="0.2">
      <c r="A116" s="1887"/>
      <c r="B116" s="444"/>
      <c r="C116" s="445"/>
      <c r="D116" s="445"/>
      <c r="E116" s="445"/>
      <c r="F116" s="446"/>
      <c r="G116" s="447"/>
      <c r="H116" s="448"/>
      <c r="I116" s="449"/>
    </row>
    <row r="117" spans="1:9" x14ac:dyDescent="0.2">
      <c r="A117" s="1887"/>
      <c r="B117" s="444"/>
      <c r="C117" s="445"/>
      <c r="D117" s="445"/>
      <c r="E117" s="445"/>
      <c r="F117" s="446"/>
      <c r="G117" s="447"/>
      <c r="H117" s="448"/>
      <c r="I117" s="449"/>
    </row>
    <row r="118" spans="1:9" x14ac:dyDescent="0.2">
      <c r="A118" s="1887"/>
      <c r="B118" s="444"/>
      <c r="C118" s="445"/>
      <c r="D118" s="445"/>
      <c r="E118" s="445"/>
      <c r="F118" s="446"/>
      <c r="G118" s="447"/>
      <c r="H118" s="448"/>
      <c r="I118" s="449"/>
    </row>
    <row r="119" spans="1:9" x14ac:dyDescent="0.2">
      <c r="A119" s="1887"/>
      <c r="B119" s="444"/>
      <c r="C119" s="445"/>
      <c r="D119" s="445"/>
      <c r="E119" s="445"/>
      <c r="F119" s="446"/>
      <c r="G119" s="447"/>
      <c r="H119" s="448"/>
      <c r="I119" s="449"/>
    </row>
    <row r="120" spans="1:9" x14ac:dyDescent="0.2">
      <c r="A120" s="1887"/>
      <c r="B120" s="444"/>
      <c r="C120" s="445"/>
      <c r="D120" s="445"/>
      <c r="E120" s="445"/>
      <c r="F120" s="446"/>
      <c r="G120" s="447"/>
      <c r="H120" s="448"/>
      <c r="I120" s="449"/>
    </row>
    <row r="121" spans="1:9" x14ac:dyDescent="0.2">
      <c r="A121" s="1887"/>
      <c r="B121" s="444"/>
      <c r="C121" s="445"/>
      <c r="D121" s="445"/>
      <c r="E121" s="445"/>
      <c r="F121" s="446"/>
      <c r="G121" s="447"/>
      <c r="H121" s="448"/>
      <c r="I121" s="449"/>
    </row>
    <row r="122" spans="1:9" x14ac:dyDescent="0.2">
      <c r="A122" s="1887"/>
      <c r="B122" s="444"/>
      <c r="C122" s="445"/>
      <c r="D122" s="445"/>
      <c r="E122" s="445"/>
      <c r="F122" s="446"/>
      <c r="G122" s="447"/>
      <c r="H122" s="448"/>
      <c r="I122" s="449"/>
    </row>
    <row r="123" spans="1:9" x14ac:dyDescent="0.2">
      <c r="A123" s="1887"/>
      <c r="B123" s="444"/>
      <c r="C123" s="445"/>
      <c r="D123" s="445"/>
      <c r="E123" s="445"/>
      <c r="F123" s="446"/>
      <c r="G123" s="447"/>
      <c r="H123" s="448"/>
      <c r="I123" s="449"/>
    </row>
    <row r="124" spans="1:9" x14ac:dyDescent="0.2">
      <c r="A124" s="1887"/>
      <c r="B124" s="444"/>
      <c r="C124" s="445"/>
      <c r="D124" s="445"/>
      <c r="E124" s="445"/>
      <c r="F124" s="446"/>
      <c r="G124" s="447"/>
      <c r="H124" s="448"/>
      <c r="I124" s="449"/>
    </row>
    <row r="125" spans="1:9" x14ac:dyDescent="0.2">
      <c r="A125" s="1887"/>
      <c r="B125" s="444"/>
      <c r="C125" s="445"/>
      <c r="D125" s="445"/>
      <c r="E125" s="445"/>
      <c r="F125" s="446"/>
      <c r="G125" s="447"/>
      <c r="H125" s="448"/>
      <c r="I125" s="449"/>
    </row>
    <row r="126" spans="1:9" x14ac:dyDescent="0.2">
      <c r="A126" s="1887"/>
      <c r="B126" s="444"/>
      <c r="C126" s="445"/>
      <c r="D126" s="445"/>
      <c r="E126" s="445"/>
      <c r="F126" s="446"/>
      <c r="G126" s="447"/>
      <c r="H126" s="448"/>
      <c r="I126" s="449"/>
    </row>
    <row r="127" spans="1:9" x14ac:dyDescent="0.2">
      <c r="A127" s="1887"/>
      <c r="B127" s="444"/>
      <c r="C127" s="445"/>
      <c r="D127" s="445"/>
      <c r="E127" s="445"/>
      <c r="F127" s="446"/>
      <c r="G127" s="447"/>
      <c r="H127" s="448"/>
      <c r="I127" s="449"/>
    </row>
    <row r="128" spans="1:9" x14ac:dyDescent="0.2">
      <c r="A128" s="1887"/>
      <c r="B128" s="444"/>
      <c r="C128" s="445"/>
      <c r="D128" s="445"/>
      <c r="E128" s="445"/>
      <c r="F128" s="446"/>
      <c r="G128" s="447"/>
      <c r="H128" s="448"/>
      <c r="I128" s="449"/>
    </row>
    <row r="129" spans="1:9" x14ac:dyDescent="0.2">
      <c r="A129" s="1887"/>
      <c r="B129" s="444"/>
      <c r="C129" s="445"/>
      <c r="D129" s="445"/>
      <c r="E129" s="445"/>
      <c r="F129" s="446"/>
      <c r="G129" s="447"/>
      <c r="H129" s="448"/>
      <c r="I129" s="449"/>
    </row>
    <row r="130" spans="1:9" x14ac:dyDescent="0.2">
      <c r="A130" s="1887"/>
      <c r="B130" s="444"/>
      <c r="C130" s="445"/>
      <c r="D130" s="445"/>
      <c r="E130" s="445"/>
      <c r="F130" s="446"/>
      <c r="G130" s="447"/>
      <c r="H130" s="448"/>
      <c r="I130" s="449"/>
    </row>
    <row r="131" spans="1:9" x14ac:dyDescent="0.2">
      <c r="A131" s="1887"/>
      <c r="B131" s="444"/>
      <c r="C131" s="445"/>
      <c r="D131" s="445"/>
      <c r="E131" s="445"/>
      <c r="F131" s="446"/>
      <c r="G131" s="447"/>
      <c r="H131" s="448"/>
      <c r="I131" s="449"/>
    </row>
    <row r="132" spans="1:9" x14ac:dyDescent="0.2">
      <c r="A132" s="1887"/>
      <c r="B132" s="444"/>
      <c r="C132" s="445"/>
      <c r="D132" s="445"/>
      <c r="E132" s="445"/>
      <c r="F132" s="446"/>
      <c r="G132" s="447"/>
      <c r="H132" s="448"/>
      <c r="I132" s="449"/>
    </row>
    <row r="133" spans="1:9" x14ac:dyDescent="0.2">
      <c r="A133" s="1887"/>
      <c r="B133" s="444"/>
      <c r="C133" s="445"/>
      <c r="D133" s="445"/>
      <c r="E133" s="445"/>
      <c r="F133" s="446"/>
      <c r="G133" s="447"/>
      <c r="H133" s="448"/>
      <c r="I133" s="449"/>
    </row>
    <row r="134" spans="1:9" x14ac:dyDescent="0.2">
      <c r="A134" s="1887"/>
      <c r="B134" s="444"/>
      <c r="C134" s="445"/>
      <c r="D134" s="445"/>
      <c r="E134" s="445"/>
      <c r="F134" s="446"/>
      <c r="G134" s="447"/>
      <c r="H134" s="448"/>
      <c r="I134" s="449"/>
    </row>
    <row r="135" spans="1:9" x14ac:dyDescent="0.2">
      <c r="A135" s="1887"/>
      <c r="B135" s="444"/>
      <c r="C135" s="445"/>
      <c r="D135" s="445"/>
      <c r="E135" s="445"/>
      <c r="F135" s="446"/>
      <c r="G135" s="447"/>
      <c r="H135" s="448"/>
      <c r="I135" s="449"/>
    </row>
    <row r="136" spans="1:9" x14ac:dyDescent="0.2">
      <c r="A136" s="1887"/>
      <c r="B136" s="444"/>
      <c r="C136" s="445"/>
      <c r="D136" s="445"/>
      <c r="E136" s="445"/>
      <c r="F136" s="446"/>
      <c r="G136" s="447"/>
      <c r="H136" s="448"/>
      <c r="I136" s="449"/>
    </row>
    <row r="137" spans="1:9" x14ac:dyDescent="0.2">
      <c r="A137" s="1887"/>
      <c r="B137" s="444"/>
      <c r="C137" s="445"/>
      <c r="D137" s="445"/>
      <c r="E137" s="445"/>
      <c r="F137" s="446"/>
      <c r="G137" s="447"/>
      <c r="H137" s="448"/>
      <c r="I137" s="449"/>
    </row>
    <row r="138" spans="1:9" x14ac:dyDescent="0.2">
      <c r="A138" s="1887"/>
      <c r="B138" s="444"/>
      <c r="C138" s="445"/>
      <c r="D138" s="445"/>
      <c r="E138" s="445"/>
      <c r="F138" s="446"/>
      <c r="G138" s="447"/>
      <c r="H138" s="448"/>
      <c r="I138" s="449"/>
    </row>
    <row r="139" spans="1:9" x14ac:dyDescent="0.2">
      <c r="A139" s="1887"/>
      <c r="B139" s="444"/>
      <c r="C139" s="445"/>
      <c r="D139" s="445"/>
      <c r="E139" s="445"/>
      <c r="F139" s="446"/>
      <c r="G139" s="447"/>
      <c r="H139" s="448"/>
      <c r="I139" s="449"/>
    </row>
    <row r="140" spans="1:9" x14ac:dyDescent="0.2">
      <c r="A140" s="1887"/>
      <c r="B140" s="444"/>
      <c r="C140" s="445"/>
      <c r="D140" s="445"/>
      <c r="E140" s="445"/>
      <c r="F140" s="446"/>
      <c r="G140" s="447"/>
      <c r="H140" s="448"/>
      <c r="I140" s="449"/>
    </row>
    <row r="141" spans="1:9" x14ac:dyDescent="0.2">
      <c r="A141" s="1887"/>
      <c r="B141" s="444"/>
      <c r="C141" s="445"/>
      <c r="D141" s="445"/>
      <c r="E141" s="445"/>
      <c r="F141" s="446"/>
      <c r="G141" s="447"/>
      <c r="H141" s="448"/>
      <c r="I141" s="449"/>
    </row>
    <row r="142" spans="1:9" x14ac:dyDescent="0.2">
      <c r="A142" s="1887"/>
      <c r="B142" s="444"/>
      <c r="C142" s="445"/>
      <c r="D142" s="445"/>
      <c r="E142" s="445"/>
      <c r="F142" s="446"/>
      <c r="G142" s="447"/>
      <c r="H142" s="448"/>
      <c r="I142" s="449"/>
    </row>
    <row r="143" spans="1:9" x14ac:dyDescent="0.2">
      <c r="A143" s="1887"/>
      <c r="B143" s="444"/>
      <c r="C143" s="445"/>
      <c r="D143" s="445"/>
      <c r="E143" s="445"/>
      <c r="F143" s="446"/>
      <c r="G143" s="447"/>
      <c r="H143" s="448"/>
      <c r="I143" s="449"/>
    </row>
    <row r="144" spans="1:9" x14ac:dyDescent="0.2">
      <c r="A144" s="1887"/>
      <c r="B144" s="444"/>
      <c r="C144" s="445"/>
      <c r="D144" s="445"/>
      <c r="E144" s="445"/>
      <c r="F144" s="446"/>
      <c r="G144" s="447"/>
      <c r="H144" s="448"/>
      <c r="I144" s="449"/>
    </row>
    <row r="145" spans="1:9" x14ac:dyDescent="0.2">
      <c r="A145" s="1887"/>
      <c r="B145" s="444"/>
      <c r="C145" s="445"/>
      <c r="D145" s="445"/>
      <c r="E145" s="445"/>
      <c r="F145" s="446"/>
      <c r="G145" s="447"/>
      <c r="H145" s="448"/>
      <c r="I145" s="449"/>
    </row>
    <row r="146" spans="1:9" x14ac:dyDescent="0.2">
      <c r="A146" s="1887"/>
      <c r="B146" s="444"/>
      <c r="C146" s="445"/>
      <c r="D146" s="445"/>
      <c r="E146" s="445"/>
      <c r="F146" s="446"/>
      <c r="G146" s="447"/>
      <c r="H146" s="448"/>
      <c r="I146" s="449"/>
    </row>
    <row r="147" spans="1:9" x14ac:dyDescent="0.2">
      <c r="A147" s="1887"/>
      <c r="B147" s="444"/>
      <c r="C147" s="445"/>
      <c r="D147" s="445"/>
      <c r="E147" s="445"/>
      <c r="F147" s="446"/>
      <c r="G147" s="447"/>
      <c r="H147" s="448"/>
      <c r="I147" s="449"/>
    </row>
    <row r="148" spans="1:9" x14ac:dyDescent="0.2">
      <c r="A148" s="1887"/>
      <c r="B148" s="444"/>
      <c r="C148" s="445"/>
      <c r="D148" s="445"/>
      <c r="E148" s="445"/>
      <c r="F148" s="446"/>
      <c r="G148" s="447"/>
      <c r="H148" s="448"/>
      <c r="I148" s="449"/>
    </row>
    <row r="149" spans="1:9" x14ac:dyDescent="0.2">
      <c r="A149" s="1887"/>
      <c r="B149" s="444"/>
      <c r="C149" s="445"/>
      <c r="D149" s="445"/>
      <c r="E149" s="445"/>
      <c r="F149" s="446"/>
      <c r="G149" s="447"/>
      <c r="H149" s="448"/>
      <c r="I149" s="449"/>
    </row>
    <row r="150" spans="1:9" x14ac:dyDescent="0.2">
      <c r="A150" s="1887"/>
      <c r="B150" s="444"/>
      <c r="C150" s="445"/>
      <c r="D150" s="445"/>
      <c r="E150" s="445"/>
      <c r="F150" s="446"/>
      <c r="G150" s="447"/>
      <c r="H150" s="448"/>
      <c r="I150" s="449"/>
    </row>
    <row r="151" spans="1:9" x14ac:dyDescent="0.2">
      <c r="A151" s="1887"/>
      <c r="B151" s="444"/>
      <c r="C151" s="445"/>
      <c r="D151" s="445"/>
      <c r="E151" s="445"/>
      <c r="F151" s="446"/>
      <c r="G151" s="447"/>
      <c r="H151" s="448"/>
      <c r="I151" s="449"/>
    </row>
    <row r="152" spans="1:9" x14ac:dyDescent="0.2">
      <c r="A152" s="1887"/>
      <c r="B152" s="444"/>
      <c r="C152" s="445"/>
      <c r="D152" s="445"/>
      <c r="E152" s="445"/>
      <c r="F152" s="446"/>
      <c r="G152" s="447"/>
      <c r="H152" s="448"/>
      <c r="I152" s="449"/>
    </row>
    <row r="153" spans="1:9" x14ac:dyDescent="0.2">
      <c r="A153" s="1887"/>
      <c r="B153" s="444"/>
      <c r="C153" s="445"/>
      <c r="D153" s="445"/>
      <c r="E153" s="445"/>
      <c r="F153" s="446"/>
      <c r="G153" s="447"/>
      <c r="H153" s="448"/>
      <c r="I153" s="449"/>
    </row>
    <row r="154" spans="1:9" x14ac:dyDescent="0.2">
      <c r="A154" s="1887"/>
      <c r="B154" s="444"/>
      <c r="C154" s="445"/>
      <c r="D154" s="445"/>
      <c r="E154" s="445"/>
      <c r="F154" s="446"/>
      <c r="G154" s="447"/>
      <c r="H154" s="448"/>
      <c r="I154" s="449"/>
    </row>
    <row r="155" spans="1:9" x14ac:dyDescent="0.2">
      <c r="A155" s="1887"/>
      <c r="B155" s="444"/>
      <c r="C155" s="445"/>
      <c r="D155" s="445"/>
      <c r="E155" s="445"/>
      <c r="F155" s="446"/>
      <c r="G155" s="447"/>
      <c r="H155" s="448"/>
      <c r="I155" s="449"/>
    </row>
    <row r="156" spans="1:9" x14ac:dyDescent="0.2">
      <c r="A156" s="1887"/>
      <c r="B156" s="444"/>
      <c r="C156" s="445"/>
      <c r="D156" s="445"/>
      <c r="E156" s="445"/>
      <c r="F156" s="446"/>
      <c r="G156" s="447"/>
      <c r="H156" s="448"/>
      <c r="I156" s="449"/>
    </row>
    <row r="157" spans="1:9" x14ac:dyDescent="0.2">
      <c r="A157" s="1887"/>
      <c r="B157" s="444"/>
      <c r="C157" s="445"/>
      <c r="D157" s="445"/>
      <c r="E157" s="445"/>
      <c r="F157" s="446"/>
      <c r="G157" s="447"/>
      <c r="H157" s="448"/>
      <c r="I157" s="449"/>
    </row>
    <row r="158" spans="1:9" x14ac:dyDescent="0.2">
      <c r="A158" s="1887"/>
      <c r="B158" s="444"/>
      <c r="C158" s="445"/>
      <c r="D158" s="445"/>
      <c r="E158" s="445"/>
      <c r="F158" s="446"/>
      <c r="G158" s="447"/>
      <c r="H158" s="448"/>
      <c r="I158" s="449"/>
    </row>
    <row r="159" spans="1:9" x14ac:dyDescent="0.2">
      <c r="A159" s="1887"/>
      <c r="B159" s="444"/>
      <c r="C159" s="445"/>
      <c r="D159" s="445"/>
      <c r="E159" s="445"/>
      <c r="F159" s="446"/>
      <c r="G159" s="447"/>
      <c r="H159" s="448"/>
      <c r="I159" s="449"/>
    </row>
    <row r="160" spans="1:9" x14ac:dyDescent="0.2">
      <c r="A160" s="1887"/>
      <c r="B160" s="444"/>
      <c r="C160" s="445"/>
      <c r="D160" s="445"/>
      <c r="E160" s="445"/>
      <c r="F160" s="446"/>
      <c r="G160" s="447"/>
      <c r="H160" s="448"/>
      <c r="I160" s="449"/>
    </row>
    <row r="161" spans="1:9" x14ac:dyDescent="0.2">
      <c r="A161" s="1887"/>
      <c r="B161" s="444"/>
      <c r="C161" s="445"/>
      <c r="D161" s="445"/>
      <c r="E161" s="445"/>
      <c r="F161" s="446"/>
      <c r="G161" s="447"/>
      <c r="H161" s="448"/>
      <c r="I161" s="449"/>
    </row>
    <row r="162" spans="1:9" x14ac:dyDescent="0.2">
      <c r="A162" s="1887"/>
      <c r="B162" s="444"/>
      <c r="C162" s="445"/>
      <c r="D162" s="445"/>
      <c r="E162" s="445"/>
      <c r="F162" s="446"/>
      <c r="G162" s="447"/>
      <c r="H162" s="448"/>
      <c r="I162" s="449"/>
    </row>
    <row r="163" spans="1:9" x14ac:dyDescent="0.2">
      <c r="A163" s="1887"/>
      <c r="B163" s="444"/>
      <c r="C163" s="445"/>
      <c r="D163" s="445"/>
      <c r="E163" s="445"/>
      <c r="F163" s="446"/>
      <c r="G163" s="447"/>
      <c r="H163" s="448"/>
      <c r="I163" s="449"/>
    </row>
    <row r="164" spans="1:9" x14ac:dyDescent="0.2">
      <c r="A164" s="1887"/>
      <c r="B164" s="444"/>
      <c r="C164" s="445"/>
      <c r="D164" s="445"/>
      <c r="E164" s="445"/>
      <c r="F164" s="446"/>
      <c r="G164" s="447"/>
      <c r="H164" s="448"/>
      <c r="I164" s="449"/>
    </row>
    <row r="165" spans="1:9" x14ac:dyDescent="0.2">
      <c r="A165" s="1887"/>
      <c r="B165" s="444"/>
      <c r="C165" s="445"/>
      <c r="D165" s="445"/>
      <c r="E165" s="445"/>
      <c r="F165" s="446"/>
      <c r="G165" s="447"/>
      <c r="H165" s="448"/>
      <c r="I165" s="449"/>
    </row>
    <row r="166" spans="1:9" x14ac:dyDescent="0.2">
      <c r="A166" s="1887"/>
      <c r="B166" s="444"/>
      <c r="C166" s="445"/>
      <c r="D166" s="445"/>
      <c r="E166" s="445"/>
      <c r="F166" s="446"/>
      <c r="G166" s="447"/>
      <c r="H166" s="448"/>
      <c r="I166" s="449"/>
    </row>
    <row r="167" spans="1:9" x14ac:dyDescent="0.2">
      <c r="A167" s="1887"/>
      <c r="B167" s="444"/>
      <c r="C167" s="445"/>
      <c r="D167" s="445"/>
      <c r="E167" s="445"/>
      <c r="F167" s="446"/>
      <c r="G167" s="447"/>
      <c r="H167" s="448"/>
      <c r="I167" s="449"/>
    </row>
    <row r="168" spans="1:9" x14ac:dyDescent="0.2">
      <c r="A168" s="1887"/>
      <c r="B168" s="444"/>
      <c r="C168" s="445"/>
      <c r="D168" s="445"/>
      <c r="E168" s="445"/>
      <c r="F168" s="446"/>
      <c r="G168" s="447"/>
      <c r="H168" s="448"/>
      <c r="I168" s="449"/>
    </row>
    <row r="169" spans="1:9" x14ac:dyDescent="0.2">
      <c r="A169" s="1887"/>
      <c r="B169" s="444"/>
      <c r="C169" s="445"/>
      <c r="D169" s="445"/>
      <c r="E169" s="445"/>
      <c r="F169" s="446"/>
      <c r="G169" s="447"/>
      <c r="H169" s="448"/>
      <c r="I169" s="449"/>
    </row>
    <row r="170" spans="1:9" x14ac:dyDescent="0.2">
      <c r="A170" s="1887"/>
      <c r="B170" s="444"/>
      <c r="C170" s="445"/>
      <c r="D170" s="445"/>
      <c r="E170" s="445"/>
      <c r="F170" s="446"/>
      <c r="G170" s="447"/>
      <c r="H170" s="448"/>
      <c r="I170" s="449"/>
    </row>
    <row r="171" spans="1:9" x14ac:dyDescent="0.2">
      <c r="A171" s="1887"/>
      <c r="B171" s="444"/>
      <c r="C171" s="445"/>
      <c r="D171" s="445"/>
      <c r="E171" s="445"/>
      <c r="F171" s="446"/>
      <c r="G171" s="447"/>
      <c r="H171" s="448"/>
      <c r="I171" s="449"/>
    </row>
    <row r="172" spans="1:9" x14ac:dyDescent="0.2">
      <c r="A172" s="1887"/>
      <c r="B172" s="444"/>
      <c r="C172" s="445"/>
      <c r="D172" s="445"/>
      <c r="E172" s="445"/>
      <c r="F172" s="446"/>
      <c r="G172" s="447"/>
      <c r="H172" s="448"/>
      <c r="I172" s="449"/>
    </row>
    <row r="173" spans="1:9" x14ac:dyDescent="0.2">
      <c r="A173" s="1887"/>
      <c r="B173" s="444"/>
      <c r="C173" s="445"/>
      <c r="D173" s="445"/>
      <c r="E173" s="445"/>
      <c r="F173" s="446"/>
      <c r="G173" s="447"/>
      <c r="H173" s="448"/>
      <c r="I173" s="449"/>
    </row>
    <row r="174" spans="1:9" x14ac:dyDescent="0.2">
      <c r="A174" s="1887"/>
      <c r="B174" s="444"/>
      <c r="C174" s="445"/>
      <c r="D174" s="445"/>
      <c r="E174" s="445"/>
      <c r="F174" s="446"/>
      <c r="G174" s="447"/>
      <c r="H174" s="448"/>
      <c r="I174" s="449"/>
    </row>
    <row r="175" spans="1:9" x14ac:dyDescent="0.2">
      <c r="A175" s="1887"/>
      <c r="B175" s="444"/>
      <c r="C175" s="445"/>
      <c r="D175" s="445"/>
      <c r="E175" s="445"/>
      <c r="F175" s="446"/>
      <c r="G175" s="447"/>
      <c r="H175" s="448"/>
      <c r="I175" s="449"/>
    </row>
    <row r="176" spans="1:9" x14ac:dyDescent="0.2">
      <c r="A176" s="1887"/>
      <c r="B176" s="444"/>
      <c r="C176" s="445"/>
      <c r="D176" s="445"/>
      <c r="E176" s="445"/>
      <c r="F176" s="446"/>
      <c r="G176" s="447"/>
      <c r="H176" s="448"/>
      <c r="I176" s="449"/>
    </row>
    <row r="177" spans="1:9" x14ac:dyDescent="0.2">
      <c r="A177" s="7"/>
      <c r="B177" s="444"/>
      <c r="C177" s="445"/>
      <c r="D177" s="445"/>
      <c r="E177" s="445"/>
      <c r="F177" s="446"/>
      <c r="G177" s="447"/>
      <c r="H177" s="448"/>
      <c r="I177" s="449"/>
    </row>
    <row r="178" spans="1:9" x14ac:dyDescent="0.2">
      <c r="A178" s="7"/>
      <c r="B178" s="444"/>
      <c r="C178" s="445"/>
      <c r="D178" s="445"/>
      <c r="E178" s="445"/>
      <c r="F178" s="446"/>
      <c r="G178" s="447"/>
      <c r="H178" s="448"/>
      <c r="I178" s="449"/>
    </row>
    <row r="179" spans="1:9" x14ac:dyDescent="0.2">
      <c r="A179" s="7"/>
      <c r="B179" s="444"/>
      <c r="C179" s="445"/>
      <c r="D179" s="445"/>
      <c r="E179" s="445"/>
      <c r="F179" s="446"/>
      <c r="G179" s="447"/>
      <c r="H179" s="448"/>
      <c r="I179" s="449"/>
    </row>
    <row r="180" spans="1:9" x14ac:dyDescent="0.2">
      <c r="A180" s="7"/>
      <c r="B180" s="444"/>
      <c r="C180" s="445"/>
      <c r="D180" s="445"/>
      <c r="E180" s="445"/>
      <c r="F180" s="446"/>
      <c r="G180" s="447"/>
      <c r="H180" s="448"/>
      <c r="I180" s="449"/>
    </row>
    <row r="181" spans="1:9" x14ac:dyDescent="0.2">
      <c r="A181" s="7"/>
      <c r="B181" s="444"/>
      <c r="C181" s="445"/>
      <c r="D181" s="445"/>
      <c r="E181" s="445"/>
      <c r="F181" s="446"/>
      <c r="G181" s="447"/>
      <c r="H181" s="448"/>
      <c r="I181" s="449"/>
    </row>
    <row r="182" spans="1:9" x14ac:dyDescent="0.2">
      <c r="A182" s="7"/>
      <c r="B182" s="444"/>
      <c r="C182" s="445"/>
      <c r="D182" s="445"/>
      <c r="E182" s="445"/>
      <c r="F182" s="446"/>
      <c r="G182" s="447"/>
      <c r="H182" s="448"/>
      <c r="I182" s="449"/>
    </row>
    <row r="183" spans="1:9" x14ac:dyDescent="0.2">
      <c r="A183" s="7"/>
      <c r="B183" s="444"/>
      <c r="C183" s="445"/>
      <c r="D183" s="445"/>
      <c r="E183" s="445"/>
      <c r="F183" s="446"/>
      <c r="G183" s="447"/>
      <c r="H183" s="448"/>
      <c r="I183" s="449"/>
    </row>
    <row r="184" spans="1:9" x14ac:dyDescent="0.2">
      <c r="A184" s="7"/>
      <c r="B184" s="444"/>
      <c r="C184" s="445"/>
      <c r="D184" s="445"/>
      <c r="E184" s="445"/>
      <c r="F184" s="446"/>
      <c r="G184" s="447"/>
      <c r="H184" s="448"/>
      <c r="I184" s="449"/>
    </row>
    <row r="185" spans="1:9" x14ac:dyDescent="0.2">
      <c r="A185" s="7"/>
      <c r="B185" s="444"/>
      <c r="C185" s="445"/>
      <c r="D185" s="445"/>
      <c r="E185" s="445"/>
      <c r="F185" s="446"/>
      <c r="G185" s="447"/>
      <c r="H185" s="448"/>
      <c r="I185" s="449"/>
    </row>
    <row r="186" spans="1:9" x14ac:dyDescent="0.2">
      <c r="A186" s="7"/>
      <c r="B186" s="444"/>
      <c r="C186" s="445"/>
      <c r="D186" s="445"/>
      <c r="E186" s="445"/>
      <c r="F186" s="446"/>
      <c r="G186" s="447"/>
      <c r="H186" s="448"/>
      <c r="I186" s="449"/>
    </row>
    <row r="187" spans="1:9" x14ac:dyDescent="0.2">
      <c r="A187" s="7"/>
      <c r="B187" s="444"/>
      <c r="C187" s="445"/>
      <c r="D187" s="445"/>
      <c r="E187" s="445"/>
      <c r="F187" s="446"/>
      <c r="G187" s="447"/>
      <c r="H187" s="448"/>
      <c r="I187" s="449"/>
    </row>
    <row r="188" spans="1:9" x14ac:dyDescent="0.2">
      <c r="A188" s="7"/>
      <c r="B188" s="444"/>
      <c r="C188" s="445"/>
      <c r="D188" s="445"/>
      <c r="E188" s="445"/>
      <c r="F188" s="446"/>
      <c r="G188" s="447"/>
      <c r="H188" s="448"/>
      <c r="I188" s="449"/>
    </row>
    <row r="189" spans="1:9" x14ac:dyDescent="0.2">
      <c r="A189" s="7"/>
      <c r="B189" s="444"/>
      <c r="C189" s="445"/>
      <c r="D189" s="445"/>
      <c r="E189" s="445"/>
      <c r="F189" s="446"/>
      <c r="G189" s="447"/>
      <c r="H189" s="448"/>
      <c r="I189" s="449"/>
    </row>
    <row r="190" spans="1:9" x14ac:dyDescent="0.2">
      <c r="A190" s="7"/>
      <c r="B190" s="444"/>
      <c r="C190" s="445"/>
      <c r="D190" s="445"/>
      <c r="E190" s="445"/>
      <c r="F190" s="446"/>
      <c r="G190" s="447"/>
      <c r="H190" s="448"/>
      <c r="I190" s="449"/>
    </row>
    <row r="191" spans="1:9" x14ac:dyDescent="0.2">
      <c r="A191" s="7"/>
      <c r="B191" s="444"/>
      <c r="C191" s="445"/>
      <c r="D191" s="445"/>
      <c r="E191" s="445"/>
      <c r="F191" s="446"/>
      <c r="G191" s="447"/>
      <c r="H191" s="448"/>
      <c r="I191" s="449"/>
    </row>
    <row r="192" spans="1:9" x14ac:dyDescent="0.2">
      <c r="A192" s="7"/>
      <c r="B192" s="444"/>
      <c r="C192" s="445"/>
      <c r="D192" s="445"/>
      <c r="E192" s="445"/>
      <c r="F192" s="446"/>
      <c r="G192" s="447"/>
      <c r="H192" s="448"/>
      <c r="I192" s="449"/>
    </row>
    <row r="193" spans="1:9" x14ac:dyDescent="0.2">
      <c r="A193" s="7"/>
      <c r="B193" s="444"/>
      <c r="C193" s="445"/>
      <c r="D193" s="445"/>
      <c r="E193" s="445"/>
      <c r="F193" s="446"/>
      <c r="G193" s="447"/>
      <c r="H193" s="448"/>
      <c r="I193" s="449"/>
    </row>
    <row r="194" spans="1:9" x14ac:dyDescent="0.2">
      <c r="A194" s="7"/>
      <c r="B194" s="444"/>
      <c r="C194" s="445"/>
      <c r="D194" s="445"/>
      <c r="E194" s="445"/>
      <c r="F194" s="446"/>
      <c r="G194" s="447"/>
      <c r="H194" s="448"/>
      <c r="I194" s="449"/>
    </row>
    <row r="195" spans="1:9" x14ac:dyDescent="0.2">
      <c r="A195" s="7"/>
      <c r="B195" s="444"/>
      <c r="C195" s="445"/>
      <c r="D195" s="445"/>
      <c r="E195" s="445"/>
      <c r="F195" s="446"/>
      <c r="G195" s="447"/>
      <c r="H195" s="448"/>
      <c r="I195" s="449"/>
    </row>
    <row r="196" spans="1:9" x14ac:dyDescent="0.2">
      <c r="A196" s="7"/>
      <c r="B196" s="444"/>
      <c r="C196" s="445"/>
      <c r="D196" s="445"/>
      <c r="E196" s="445"/>
      <c r="F196" s="446"/>
      <c r="G196" s="447"/>
      <c r="H196" s="448"/>
      <c r="I196" s="449"/>
    </row>
    <row r="197" spans="1:9" x14ac:dyDescent="0.2">
      <c r="A197" s="7"/>
      <c r="B197" s="444"/>
      <c r="C197" s="445"/>
      <c r="D197" s="445"/>
      <c r="E197" s="445"/>
      <c r="F197" s="446"/>
      <c r="G197" s="447"/>
      <c r="H197" s="448"/>
      <c r="I197" s="449"/>
    </row>
    <row r="198" spans="1:9" x14ac:dyDescent="0.2">
      <c r="A198" s="7"/>
      <c r="B198" s="444"/>
      <c r="C198" s="445"/>
      <c r="D198" s="445"/>
      <c r="E198" s="445"/>
      <c r="F198" s="446"/>
      <c r="G198" s="447"/>
      <c r="H198" s="448"/>
      <c r="I198" s="449"/>
    </row>
    <row r="199" spans="1:9" x14ac:dyDescent="0.2">
      <c r="A199" s="7"/>
      <c r="B199" s="444"/>
      <c r="C199" s="445"/>
      <c r="D199" s="445"/>
      <c r="E199" s="445"/>
      <c r="F199" s="446"/>
      <c r="G199" s="447"/>
      <c r="H199" s="448"/>
      <c r="I199" s="449"/>
    </row>
    <row r="200" spans="1:9" x14ac:dyDescent="0.2">
      <c r="A200" s="7"/>
      <c r="B200" s="444"/>
      <c r="C200" s="445"/>
      <c r="D200" s="445"/>
      <c r="E200" s="445"/>
      <c r="F200" s="446"/>
      <c r="G200" s="447"/>
      <c r="H200" s="448"/>
      <c r="I200" s="449"/>
    </row>
    <row r="201" spans="1:9" x14ac:dyDescent="0.2">
      <c r="A201" s="7"/>
      <c r="B201" s="444"/>
      <c r="C201" s="445"/>
      <c r="D201" s="445"/>
      <c r="E201" s="445"/>
      <c r="F201" s="446"/>
      <c r="G201" s="447"/>
      <c r="H201" s="448"/>
      <c r="I201" s="449"/>
    </row>
    <row r="202" spans="1:9" x14ac:dyDescent="0.2">
      <c r="A202" s="7"/>
      <c r="B202" s="444"/>
      <c r="C202" s="445"/>
      <c r="D202" s="445"/>
      <c r="E202" s="445"/>
      <c r="F202" s="446"/>
      <c r="G202" s="447"/>
      <c r="H202" s="448"/>
      <c r="I202" s="449"/>
    </row>
    <row r="203" spans="1:9" x14ac:dyDescent="0.2">
      <c r="A203" s="7"/>
      <c r="B203" s="444"/>
      <c r="C203" s="445"/>
      <c r="D203" s="445"/>
      <c r="E203" s="445"/>
      <c r="F203" s="446"/>
      <c r="G203" s="447"/>
      <c r="H203" s="448"/>
      <c r="I203" s="449"/>
    </row>
    <row r="204" spans="1:9" x14ac:dyDescent="0.2">
      <c r="A204" s="7"/>
      <c r="B204" s="444"/>
      <c r="C204" s="445"/>
      <c r="D204" s="445"/>
      <c r="E204" s="445"/>
      <c r="F204" s="446"/>
      <c r="G204" s="447"/>
      <c r="H204" s="448"/>
      <c r="I204" s="449"/>
    </row>
    <row r="205" spans="1:9" x14ac:dyDescent="0.2">
      <c r="A205" s="7"/>
      <c r="B205" s="444"/>
      <c r="C205" s="445"/>
      <c r="D205" s="445"/>
      <c r="E205" s="445"/>
      <c r="F205" s="446"/>
      <c r="G205" s="447"/>
      <c r="H205" s="448"/>
      <c r="I205" s="449"/>
    </row>
    <row r="206" spans="1:9" x14ac:dyDescent="0.2">
      <c r="A206" s="7"/>
      <c r="B206" s="444"/>
      <c r="C206" s="445"/>
      <c r="D206" s="445"/>
      <c r="E206" s="445"/>
      <c r="F206" s="446"/>
      <c r="G206" s="447"/>
      <c r="H206" s="448"/>
      <c r="I206" s="449"/>
    </row>
    <row r="207" spans="1:9" x14ac:dyDescent="0.2">
      <c r="A207" s="7"/>
      <c r="B207" s="444"/>
      <c r="C207" s="445"/>
      <c r="D207" s="445"/>
      <c r="E207" s="445"/>
      <c r="F207" s="446"/>
      <c r="G207" s="447"/>
      <c r="H207" s="448"/>
      <c r="I207" s="449"/>
    </row>
    <row r="208" spans="1:9" x14ac:dyDescent="0.2">
      <c r="A208" s="7"/>
      <c r="B208" s="444"/>
      <c r="C208" s="445"/>
      <c r="D208" s="445"/>
      <c r="E208" s="445"/>
      <c r="F208" s="446"/>
      <c r="G208" s="447"/>
      <c r="H208" s="448"/>
      <c r="I208" s="449"/>
    </row>
    <row r="209" spans="1:9" x14ac:dyDescent="0.2">
      <c r="A209" s="7"/>
      <c r="B209" s="444"/>
      <c r="C209" s="445"/>
      <c r="D209" s="445"/>
      <c r="E209" s="445"/>
      <c r="F209" s="446"/>
      <c r="G209" s="447"/>
      <c r="H209" s="448"/>
      <c r="I209" s="449"/>
    </row>
    <row r="210" spans="1:9" x14ac:dyDescent="0.2">
      <c r="A210" s="7"/>
      <c r="B210" s="444"/>
      <c r="C210" s="445"/>
      <c r="D210" s="445"/>
      <c r="E210" s="445"/>
      <c r="F210" s="446"/>
      <c r="G210" s="447"/>
      <c r="H210" s="448"/>
      <c r="I210" s="449"/>
    </row>
    <row r="211" spans="1:9" x14ac:dyDescent="0.2">
      <c r="A211" s="7"/>
      <c r="B211" s="444"/>
      <c r="C211" s="445"/>
      <c r="D211" s="445"/>
      <c r="E211" s="445"/>
      <c r="F211" s="446"/>
      <c r="G211" s="447"/>
      <c r="H211" s="448"/>
      <c r="I211" s="449"/>
    </row>
    <row r="212" spans="1:9" x14ac:dyDescent="0.2">
      <c r="A212" s="7"/>
      <c r="B212" s="444"/>
      <c r="C212" s="445"/>
      <c r="D212" s="445"/>
      <c r="E212" s="445"/>
      <c r="F212" s="446"/>
      <c r="G212" s="447"/>
      <c r="H212" s="448"/>
      <c r="I212" s="449"/>
    </row>
    <row r="213" spans="1:9" x14ac:dyDescent="0.2">
      <c r="A213" s="7"/>
      <c r="B213" s="444"/>
      <c r="C213" s="445"/>
      <c r="D213" s="445"/>
      <c r="E213" s="445"/>
      <c r="F213" s="446"/>
      <c r="G213" s="447"/>
      <c r="H213" s="448"/>
      <c r="I213" s="449"/>
    </row>
    <row r="214" spans="1:9" x14ac:dyDescent="0.2">
      <c r="A214" s="7"/>
      <c r="B214" s="444"/>
      <c r="C214" s="445"/>
      <c r="D214" s="445"/>
      <c r="E214" s="445"/>
      <c r="F214" s="446"/>
      <c r="G214" s="447"/>
      <c r="H214" s="448"/>
      <c r="I214" s="449"/>
    </row>
    <row r="215" spans="1:9" x14ac:dyDescent="0.2">
      <c r="A215" s="7"/>
      <c r="B215" s="444"/>
      <c r="C215" s="445"/>
      <c r="D215" s="445"/>
      <c r="E215" s="445"/>
      <c r="F215" s="446"/>
      <c r="G215" s="447"/>
      <c r="H215" s="448"/>
      <c r="I215" s="449"/>
    </row>
    <row r="216" spans="1:9" x14ac:dyDescent="0.2">
      <c r="A216" s="7"/>
      <c r="B216" s="444"/>
      <c r="C216" s="445"/>
      <c r="D216" s="445"/>
      <c r="E216" s="445"/>
      <c r="F216" s="446"/>
      <c r="G216" s="447"/>
      <c r="H216" s="448"/>
      <c r="I216" s="449"/>
    </row>
    <row r="217" spans="1:9" x14ac:dyDescent="0.2">
      <c r="A217" s="7"/>
      <c r="B217" s="444"/>
      <c r="C217" s="445"/>
      <c r="D217" s="445"/>
      <c r="E217" s="445"/>
      <c r="F217" s="446"/>
      <c r="G217" s="447"/>
      <c r="H217" s="448"/>
      <c r="I217" s="449"/>
    </row>
    <row r="218" spans="1:9" x14ac:dyDescent="0.2">
      <c r="A218" s="7"/>
      <c r="B218" s="444"/>
      <c r="C218" s="445"/>
      <c r="D218" s="445"/>
      <c r="E218" s="445"/>
      <c r="F218" s="446"/>
      <c r="G218" s="447"/>
      <c r="H218" s="448"/>
      <c r="I218" s="449"/>
    </row>
    <row r="219" spans="1:9" x14ac:dyDescent="0.2">
      <c r="A219" s="7"/>
      <c r="B219" s="444"/>
      <c r="C219" s="445"/>
      <c r="D219" s="445"/>
      <c r="E219" s="445"/>
      <c r="F219" s="446"/>
      <c r="G219" s="447"/>
      <c r="H219" s="448"/>
      <c r="I219" s="449"/>
    </row>
    <row r="220" spans="1:9" x14ac:dyDescent="0.2">
      <c r="A220" s="7"/>
      <c r="B220" s="444"/>
      <c r="C220" s="445"/>
      <c r="D220" s="445"/>
      <c r="E220" s="445"/>
      <c r="F220" s="446"/>
      <c r="G220" s="447"/>
      <c r="H220" s="448"/>
      <c r="I220" s="449"/>
    </row>
    <row r="221" spans="1:9" x14ac:dyDescent="0.2">
      <c r="A221" s="7"/>
      <c r="B221" s="444"/>
      <c r="C221" s="445"/>
      <c r="D221" s="445"/>
      <c r="E221" s="445"/>
      <c r="F221" s="446"/>
      <c r="G221" s="447"/>
      <c r="H221" s="448"/>
      <c r="I221" s="449"/>
    </row>
    <row r="222" spans="1:9" x14ac:dyDescent="0.2">
      <c r="A222" s="7"/>
      <c r="B222" s="444"/>
      <c r="C222" s="445"/>
      <c r="D222" s="445"/>
      <c r="E222" s="445"/>
      <c r="F222" s="446"/>
      <c r="G222" s="447"/>
      <c r="H222" s="448"/>
      <c r="I222" s="449"/>
    </row>
    <row r="223" spans="1:9" x14ac:dyDescent="0.2">
      <c r="A223" s="7"/>
      <c r="B223" s="444"/>
      <c r="C223" s="445"/>
      <c r="D223" s="445"/>
      <c r="E223" s="445"/>
      <c r="F223" s="446"/>
      <c r="G223" s="447"/>
      <c r="H223" s="448"/>
      <c r="I223" s="449"/>
    </row>
    <row r="224" spans="1:9" x14ac:dyDescent="0.2">
      <c r="A224" s="7"/>
      <c r="B224" s="444"/>
      <c r="C224" s="445"/>
      <c r="D224" s="445"/>
      <c r="E224" s="445"/>
      <c r="F224" s="446"/>
      <c r="G224" s="447"/>
      <c r="H224" s="448"/>
      <c r="I224" s="449"/>
    </row>
    <row r="225" spans="1:9" x14ac:dyDescent="0.2">
      <c r="A225" s="7"/>
      <c r="B225" s="444"/>
      <c r="C225" s="445"/>
      <c r="D225" s="445"/>
      <c r="E225" s="445"/>
      <c r="F225" s="446"/>
      <c r="G225" s="447"/>
      <c r="H225" s="448"/>
      <c r="I225" s="449"/>
    </row>
    <row r="226" spans="1:9" x14ac:dyDescent="0.2">
      <c r="A226" s="7"/>
      <c r="B226" s="444"/>
      <c r="C226" s="445"/>
      <c r="D226" s="445"/>
      <c r="E226" s="445"/>
      <c r="F226" s="446"/>
      <c r="G226" s="447"/>
      <c r="H226" s="448"/>
      <c r="I226" s="449"/>
    </row>
    <row r="227" spans="1:9" x14ac:dyDescent="0.2">
      <c r="A227" s="7"/>
      <c r="B227" s="444"/>
      <c r="C227" s="445"/>
      <c r="D227" s="445"/>
      <c r="E227" s="445"/>
      <c r="F227" s="446"/>
      <c r="G227" s="447"/>
      <c r="H227" s="448"/>
      <c r="I227" s="449"/>
    </row>
    <row r="228" spans="1:9" x14ac:dyDescent="0.2">
      <c r="A228" s="7"/>
      <c r="B228" s="444"/>
      <c r="C228" s="445"/>
      <c r="D228" s="445"/>
      <c r="E228" s="445"/>
      <c r="F228" s="446"/>
      <c r="G228" s="447"/>
      <c r="H228" s="448"/>
      <c r="I228" s="449"/>
    </row>
    <row r="229" spans="1:9" x14ac:dyDescent="0.2">
      <c r="A229" s="7"/>
      <c r="B229" s="444"/>
      <c r="C229" s="445"/>
      <c r="D229" s="445"/>
      <c r="E229" s="445"/>
      <c r="F229" s="446"/>
      <c r="G229" s="447"/>
      <c r="H229" s="448"/>
      <c r="I229" s="449"/>
    </row>
    <row r="230" spans="1:9" x14ac:dyDescent="0.2">
      <c r="A230" s="7"/>
      <c r="B230" s="444"/>
      <c r="C230" s="445"/>
      <c r="D230" s="445"/>
      <c r="E230" s="445"/>
      <c r="F230" s="446"/>
      <c r="G230" s="447"/>
      <c r="H230" s="448"/>
      <c r="I230" s="449"/>
    </row>
    <row r="231" spans="1:9" x14ac:dyDescent="0.2">
      <c r="A231" s="7"/>
      <c r="B231" s="444"/>
      <c r="C231" s="445"/>
      <c r="D231" s="445"/>
      <c r="E231" s="445"/>
      <c r="F231" s="446"/>
      <c r="G231" s="447"/>
      <c r="H231" s="448"/>
      <c r="I231" s="449"/>
    </row>
    <row r="232" spans="1:9" x14ac:dyDescent="0.2">
      <c r="A232" s="7"/>
      <c r="B232" s="444"/>
      <c r="C232" s="445"/>
      <c r="D232" s="445"/>
      <c r="E232" s="445"/>
      <c r="F232" s="446"/>
      <c r="G232" s="447"/>
      <c r="H232" s="448"/>
      <c r="I232" s="449"/>
    </row>
    <row r="233" spans="1:9" x14ac:dyDescent="0.2">
      <c r="A233" s="7"/>
      <c r="B233" s="444"/>
      <c r="C233" s="445"/>
      <c r="D233" s="445"/>
      <c r="E233" s="445"/>
      <c r="F233" s="446"/>
      <c r="G233" s="447"/>
      <c r="H233" s="448"/>
      <c r="I233" s="449"/>
    </row>
    <row r="234" spans="1:9" x14ac:dyDescent="0.2">
      <c r="A234" s="7"/>
      <c r="B234" s="444"/>
      <c r="C234" s="445"/>
      <c r="D234" s="445"/>
      <c r="E234" s="445"/>
      <c r="F234" s="446"/>
      <c r="G234" s="447"/>
      <c r="H234" s="448"/>
      <c r="I234" s="449"/>
    </row>
    <row r="235" spans="1:9" x14ac:dyDescent="0.2">
      <c r="A235" s="7"/>
      <c r="B235" s="444"/>
      <c r="C235" s="445"/>
      <c r="D235" s="445"/>
      <c r="E235" s="445"/>
      <c r="F235" s="446"/>
      <c r="G235" s="447"/>
      <c r="H235" s="448"/>
      <c r="I235" s="449"/>
    </row>
    <row r="236" spans="1:9" x14ac:dyDescent="0.2">
      <c r="A236" s="7"/>
      <c r="B236" s="444"/>
      <c r="C236" s="445"/>
      <c r="D236" s="445"/>
      <c r="E236" s="445"/>
      <c r="F236" s="446"/>
      <c r="G236" s="447"/>
      <c r="H236" s="448"/>
      <c r="I236" s="449"/>
    </row>
    <row r="237" spans="1:9" x14ac:dyDescent="0.2">
      <c r="A237" s="7"/>
      <c r="B237" s="444"/>
      <c r="C237" s="445"/>
      <c r="D237" s="445"/>
      <c r="E237" s="445"/>
      <c r="F237" s="446"/>
      <c r="G237" s="447"/>
      <c r="H237" s="448"/>
      <c r="I237" s="449"/>
    </row>
    <row r="238" spans="1:9" x14ac:dyDescent="0.2">
      <c r="A238" s="7"/>
      <c r="B238" s="444"/>
      <c r="C238" s="445"/>
      <c r="D238" s="445"/>
      <c r="E238" s="445"/>
      <c r="F238" s="446"/>
      <c r="G238" s="447"/>
      <c r="H238" s="448"/>
      <c r="I238" s="449"/>
    </row>
    <row r="239" spans="1:9" x14ac:dyDescent="0.2">
      <c r="A239" s="7"/>
      <c r="B239" s="444"/>
      <c r="C239" s="445"/>
      <c r="D239" s="445"/>
      <c r="E239" s="445"/>
      <c r="F239" s="446"/>
      <c r="G239" s="447"/>
      <c r="H239" s="448"/>
      <c r="I239" s="449"/>
    </row>
    <row r="240" spans="1:9" x14ac:dyDescent="0.2">
      <c r="A240" s="7"/>
      <c r="B240" s="444"/>
      <c r="C240" s="445"/>
      <c r="D240" s="445"/>
      <c r="E240" s="445"/>
      <c r="F240" s="446"/>
      <c r="G240" s="447"/>
      <c r="H240" s="448"/>
      <c r="I240" s="449"/>
    </row>
    <row r="241" spans="1:9" x14ac:dyDescent="0.2">
      <c r="A241" s="7"/>
      <c r="B241" s="444"/>
      <c r="C241" s="445"/>
      <c r="D241" s="445"/>
      <c r="E241" s="445"/>
      <c r="F241" s="446"/>
      <c r="G241" s="447"/>
      <c r="H241" s="448"/>
      <c r="I241" s="449"/>
    </row>
    <row r="242" spans="1:9" x14ac:dyDescent="0.2">
      <c r="A242" s="7"/>
      <c r="B242" s="444"/>
      <c r="C242" s="445"/>
      <c r="D242" s="445"/>
      <c r="E242" s="445"/>
      <c r="F242" s="446"/>
      <c r="G242" s="447"/>
      <c r="H242" s="448"/>
      <c r="I242" s="449"/>
    </row>
    <row r="243" spans="1:9" x14ac:dyDescent="0.2">
      <c r="A243" s="7"/>
      <c r="B243" s="444"/>
      <c r="C243" s="445"/>
      <c r="D243" s="445"/>
      <c r="E243" s="445"/>
      <c r="F243" s="446"/>
      <c r="G243" s="447"/>
      <c r="H243" s="448"/>
      <c r="I243" s="449"/>
    </row>
    <row r="244" spans="1:9" x14ac:dyDescent="0.2">
      <c r="A244" s="7"/>
      <c r="B244" s="444"/>
      <c r="C244" s="445"/>
      <c r="D244" s="445"/>
      <c r="E244" s="445"/>
      <c r="F244" s="446"/>
      <c r="G244" s="447"/>
      <c r="H244" s="448"/>
      <c r="I244" s="449"/>
    </row>
    <row r="245" spans="1:9" x14ac:dyDescent="0.2">
      <c r="A245" s="7"/>
      <c r="B245" s="444"/>
      <c r="C245" s="445"/>
      <c r="D245" s="445"/>
      <c r="E245" s="445"/>
      <c r="F245" s="446"/>
      <c r="G245" s="447"/>
      <c r="H245" s="448"/>
      <c r="I245" s="449"/>
    </row>
    <row r="246" spans="1:9" x14ac:dyDescent="0.2">
      <c r="A246" s="7"/>
      <c r="B246" s="444"/>
      <c r="C246" s="445"/>
      <c r="D246" s="445"/>
      <c r="E246" s="445"/>
      <c r="F246" s="446"/>
      <c r="G246" s="447"/>
      <c r="H246" s="448"/>
      <c r="I246" s="449"/>
    </row>
    <row r="247" spans="1:9" x14ac:dyDescent="0.2">
      <c r="A247" s="7"/>
      <c r="B247" s="444"/>
      <c r="C247" s="445"/>
      <c r="D247" s="445"/>
      <c r="E247" s="445"/>
      <c r="F247" s="446"/>
      <c r="G247" s="447"/>
      <c r="H247" s="448"/>
      <c r="I247" s="449"/>
    </row>
    <row r="248" spans="1:9" x14ac:dyDescent="0.2">
      <c r="A248" s="7"/>
      <c r="B248" s="444"/>
      <c r="C248" s="445"/>
      <c r="D248" s="445"/>
      <c r="E248" s="445"/>
      <c r="F248" s="446"/>
      <c r="G248" s="447"/>
      <c r="H248" s="448"/>
      <c r="I248" s="449"/>
    </row>
    <row r="249" spans="1:9" x14ac:dyDescent="0.2">
      <c r="A249" s="7"/>
      <c r="B249" s="444"/>
      <c r="C249" s="445"/>
      <c r="D249" s="445"/>
      <c r="E249" s="445"/>
      <c r="F249" s="446"/>
      <c r="G249" s="447"/>
      <c r="H249" s="448"/>
      <c r="I249" s="449"/>
    </row>
    <row r="250" spans="1:9" x14ac:dyDescent="0.2">
      <c r="A250" s="7"/>
      <c r="B250" s="444"/>
      <c r="C250" s="445"/>
      <c r="D250" s="445"/>
      <c r="E250" s="445"/>
      <c r="F250" s="446"/>
      <c r="G250" s="447"/>
      <c r="H250" s="448"/>
      <c r="I250" s="449"/>
    </row>
    <row r="251" spans="1:9" x14ac:dyDescent="0.2">
      <c r="A251" s="7"/>
      <c r="B251" s="444"/>
      <c r="C251" s="445"/>
      <c r="D251" s="445"/>
      <c r="E251" s="445"/>
      <c r="F251" s="446"/>
      <c r="G251" s="447"/>
      <c r="H251" s="448"/>
      <c r="I251" s="449"/>
    </row>
    <row r="252" spans="1:9" x14ac:dyDescent="0.2">
      <c r="A252" s="7"/>
      <c r="B252" s="444"/>
      <c r="C252" s="445"/>
      <c r="D252" s="445"/>
      <c r="E252" s="445"/>
      <c r="F252" s="446"/>
      <c r="G252" s="447"/>
      <c r="H252" s="448"/>
      <c r="I252" s="449"/>
    </row>
    <row r="253" spans="1:9" x14ac:dyDescent="0.2">
      <c r="A253" s="7"/>
      <c r="B253" s="444"/>
      <c r="C253" s="445"/>
      <c r="D253" s="445"/>
      <c r="E253" s="445"/>
      <c r="F253" s="446"/>
      <c r="G253" s="447"/>
      <c r="H253" s="448"/>
      <c r="I253" s="449"/>
    </row>
    <row r="254" spans="1:9" x14ac:dyDescent="0.2">
      <c r="A254" s="7"/>
      <c r="B254" s="444"/>
      <c r="C254" s="445"/>
      <c r="D254" s="445"/>
      <c r="E254" s="445"/>
      <c r="F254" s="446"/>
      <c r="G254" s="447"/>
      <c r="H254" s="448"/>
      <c r="I254" s="449"/>
    </row>
    <row r="255" spans="1:9" x14ac:dyDescent="0.2">
      <c r="A255" s="7"/>
      <c r="B255" s="444"/>
      <c r="C255" s="445"/>
      <c r="D255" s="445"/>
      <c r="E255" s="445"/>
      <c r="F255" s="446"/>
      <c r="G255" s="447"/>
      <c r="H255" s="448"/>
      <c r="I255" s="449"/>
    </row>
    <row r="256" spans="1:9" x14ac:dyDescent="0.2">
      <c r="A256" s="7"/>
      <c r="B256" s="444"/>
      <c r="C256" s="445"/>
      <c r="D256" s="445"/>
      <c r="E256" s="445"/>
      <c r="F256" s="446"/>
      <c r="G256" s="447"/>
      <c r="H256" s="448"/>
      <c r="I256" s="449"/>
    </row>
    <row r="257" spans="1:9" x14ac:dyDescent="0.2">
      <c r="A257" s="7"/>
      <c r="B257" s="444"/>
      <c r="C257" s="445"/>
      <c r="D257" s="445"/>
      <c r="E257" s="445"/>
      <c r="F257" s="446"/>
      <c r="G257" s="447"/>
      <c r="H257" s="448"/>
      <c r="I257" s="449"/>
    </row>
    <row r="258" spans="1:9" x14ac:dyDescent="0.2">
      <c r="A258" s="7"/>
      <c r="B258" s="444"/>
      <c r="C258" s="445"/>
      <c r="D258" s="445"/>
      <c r="E258" s="445"/>
      <c r="F258" s="446"/>
      <c r="G258" s="447"/>
      <c r="H258" s="448"/>
      <c r="I258" s="449"/>
    </row>
    <row r="259" spans="1:9" x14ac:dyDescent="0.2">
      <c r="A259" s="7"/>
      <c r="B259" s="444"/>
      <c r="C259" s="445"/>
      <c r="D259" s="445"/>
      <c r="E259" s="445"/>
      <c r="F259" s="446"/>
      <c r="G259" s="447"/>
      <c r="H259" s="448"/>
      <c r="I259" s="449"/>
    </row>
    <row r="260" spans="1:9" x14ac:dyDescent="0.2">
      <c r="A260" s="7"/>
      <c r="B260" s="444"/>
      <c r="C260" s="445"/>
      <c r="D260" s="445"/>
      <c r="E260" s="445"/>
      <c r="F260" s="446"/>
      <c r="G260" s="447"/>
      <c r="H260" s="448"/>
      <c r="I260" s="449"/>
    </row>
    <row r="261" spans="1:9" x14ac:dyDescent="0.2">
      <c r="A261" s="7"/>
      <c r="B261" s="444"/>
      <c r="C261" s="445"/>
      <c r="D261" s="445"/>
      <c r="E261" s="445"/>
      <c r="F261" s="446"/>
      <c r="G261" s="447"/>
      <c r="H261" s="448"/>
      <c r="I261" s="449"/>
    </row>
    <row r="262" spans="1:9" x14ac:dyDescent="0.2">
      <c r="A262" s="7"/>
      <c r="B262" s="444"/>
      <c r="C262" s="445"/>
      <c r="D262" s="445"/>
      <c r="E262" s="445"/>
      <c r="F262" s="446"/>
      <c r="G262" s="447"/>
      <c r="H262" s="448"/>
      <c r="I262" s="449"/>
    </row>
    <row r="263" spans="1:9" x14ac:dyDescent="0.2">
      <c r="A263" s="7"/>
      <c r="B263" s="444"/>
      <c r="C263" s="445"/>
      <c r="D263" s="445"/>
      <c r="E263" s="445"/>
      <c r="F263" s="446"/>
      <c r="G263" s="447"/>
      <c r="H263" s="448"/>
      <c r="I263" s="449"/>
    </row>
    <row r="264" spans="1:9" x14ac:dyDescent="0.2">
      <c r="A264" s="7"/>
      <c r="B264" s="444"/>
      <c r="C264" s="445"/>
      <c r="D264" s="445"/>
      <c r="E264" s="445"/>
      <c r="F264" s="446"/>
      <c r="G264" s="447"/>
      <c r="H264" s="448"/>
      <c r="I264" s="449"/>
    </row>
    <row r="265" spans="1:9" x14ac:dyDescent="0.2">
      <c r="A265" s="7"/>
      <c r="B265" s="444"/>
      <c r="C265" s="445"/>
      <c r="D265" s="445"/>
      <c r="E265" s="445"/>
      <c r="F265" s="446"/>
      <c r="G265" s="447"/>
      <c r="H265" s="448"/>
      <c r="I265" s="449"/>
    </row>
    <row r="266" spans="1:9" x14ac:dyDescent="0.2">
      <c r="A266" s="7"/>
      <c r="B266" s="444"/>
      <c r="C266" s="445"/>
      <c r="D266" s="445"/>
      <c r="E266" s="445"/>
      <c r="F266" s="446"/>
      <c r="G266" s="447"/>
      <c r="H266" s="448"/>
      <c r="I266" s="449"/>
    </row>
    <row r="267" spans="1:9" x14ac:dyDescent="0.2">
      <c r="A267" s="7"/>
      <c r="B267" s="444"/>
      <c r="C267" s="445"/>
      <c r="D267" s="445"/>
      <c r="E267" s="445"/>
      <c r="F267" s="446"/>
      <c r="G267" s="447"/>
      <c r="H267" s="448"/>
      <c r="I267" s="449"/>
    </row>
    <row r="268" spans="1:9" x14ac:dyDescent="0.2">
      <c r="A268" s="7"/>
      <c r="B268" s="444"/>
      <c r="C268" s="445"/>
      <c r="D268" s="445"/>
      <c r="E268" s="445"/>
      <c r="F268" s="446"/>
      <c r="G268" s="447"/>
      <c r="H268" s="448"/>
      <c r="I268" s="449"/>
    </row>
    <row r="269" spans="1:9" x14ac:dyDescent="0.2">
      <c r="A269" s="7"/>
      <c r="B269" s="444"/>
      <c r="C269" s="445"/>
      <c r="D269" s="445"/>
      <c r="E269" s="445"/>
      <c r="F269" s="446"/>
      <c r="G269" s="447"/>
      <c r="H269" s="448"/>
      <c r="I269" s="449"/>
    </row>
    <row r="270" spans="1:9" x14ac:dyDescent="0.2">
      <c r="A270" s="7"/>
      <c r="B270" s="444"/>
      <c r="C270" s="445"/>
      <c r="D270" s="445"/>
      <c r="E270" s="445"/>
      <c r="F270" s="446"/>
      <c r="G270" s="447"/>
      <c r="H270" s="448"/>
      <c r="I270" s="449"/>
    </row>
    <row r="271" spans="1:9" x14ac:dyDescent="0.2">
      <c r="A271" s="7"/>
      <c r="B271" s="444"/>
      <c r="C271" s="445"/>
      <c r="D271" s="445"/>
      <c r="E271" s="445"/>
      <c r="F271" s="446"/>
      <c r="G271" s="447"/>
      <c r="H271" s="448"/>
      <c r="I271" s="449"/>
    </row>
    <row r="272" spans="1:9" x14ac:dyDescent="0.2">
      <c r="A272" s="7"/>
      <c r="B272" s="444"/>
      <c r="C272" s="445"/>
      <c r="D272" s="445"/>
      <c r="E272" s="445"/>
      <c r="F272" s="446"/>
      <c r="G272" s="447"/>
      <c r="H272" s="448"/>
      <c r="I272" s="449"/>
    </row>
    <row r="273" spans="1:9" x14ac:dyDescent="0.2">
      <c r="A273" s="7"/>
      <c r="B273" s="444"/>
      <c r="C273" s="445"/>
      <c r="D273" s="445"/>
      <c r="E273" s="445"/>
      <c r="F273" s="446"/>
      <c r="G273" s="447"/>
      <c r="H273" s="448"/>
      <c r="I273" s="449"/>
    </row>
    <row r="274" spans="1:9" x14ac:dyDescent="0.2">
      <c r="A274" s="7"/>
      <c r="B274" s="444"/>
      <c r="C274" s="445"/>
      <c r="D274" s="445"/>
      <c r="E274" s="445"/>
      <c r="F274" s="446"/>
      <c r="G274" s="447"/>
      <c r="H274" s="448"/>
      <c r="I274" s="449"/>
    </row>
    <row r="275" spans="1:9" x14ac:dyDescent="0.2">
      <c r="A275" s="7"/>
      <c r="B275" s="444"/>
      <c r="C275" s="445"/>
      <c r="D275" s="445"/>
      <c r="E275" s="445"/>
      <c r="F275" s="446"/>
      <c r="G275" s="447"/>
      <c r="H275" s="448"/>
      <c r="I275" s="449"/>
    </row>
    <row r="276" spans="1:9" x14ac:dyDescent="0.2">
      <c r="A276" s="7"/>
      <c r="B276" s="444"/>
      <c r="C276" s="445"/>
      <c r="D276" s="445"/>
      <c r="E276" s="445"/>
      <c r="F276" s="446"/>
      <c r="G276" s="447"/>
      <c r="H276" s="448"/>
      <c r="I276" s="449"/>
    </row>
    <row r="277" spans="1:9" x14ac:dyDescent="0.2">
      <c r="A277" s="7"/>
      <c r="B277" s="444"/>
      <c r="C277" s="445"/>
      <c r="D277" s="445"/>
      <c r="E277" s="445"/>
      <c r="F277" s="446"/>
      <c r="G277" s="447"/>
      <c r="H277" s="448"/>
      <c r="I277" s="449"/>
    </row>
    <row r="278" spans="1:9" x14ac:dyDescent="0.2">
      <c r="A278" s="7"/>
      <c r="B278" s="444"/>
      <c r="C278" s="445"/>
      <c r="D278" s="445"/>
      <c r="E278" s="445"/>
      <c r="F278" s="446"/>
      <c r="G278" s="447"/>
      <c r="H278" s="448"/>
      <c r="I278" s="449"/>
    </row>
    <row r="279" spans="1:9" x14ac:dyDescent="0.2">
      <c r="A279" s="7"/>
      <c r="B279" s="444"/>
      <c r="C279" s="445"/>
      <c r="D279" s="445"/>
      <c r="E279" s="445"/>
      <c r="F279" s="446"/>
      <c r="G279" s="447"/>
      <c r="H279" s="448"/>
      <c r="I279" s="449"/>
    </row>
    <row r="280" spans="1:9" x14ac:dyDescent="0.2">
      <c r="A280" s="7"/>
      <c r="B280" s="444"/>
      <c r="C280" s="445"/>
      <c r="D280" s="445"/>
      <c r="E280" s="445"/>
      <c r="F280" s="446"/>
      <c r="G280" s="447"/>
      <c r="H280" s="448"/>
      <c r="I280" s="449"/>
    </row>
    <row r="281" spans="1:9" x14ac:dyDescent="0.2">
      <c r="A281" s="7"/>
      <c r="B281" s="444"/>
      <c r="C281" s="445"/>
      <c r="D281" s="445"/>
      <c r="E281" s="445"/>
      <c r="F281" s="446"/>
      <c r="G281" s="447"/>
      <c r="H281" s="448"/>
      <c r="I281" s="449"/>
    </row>
    <row r="282" spans="1:9" x14ac:dyDescent="0.2">
      <c r="A282" s="7"/>
      <c r="B282" s="444"/>
      <c r="C282" s="445"/>
      <c r="D282" s="445"/>
      <c r="E282" s="445"/>
      <c r="F282" s="446"/>
      <c r="G282" s="447"/>
      <c r="H282" s="448"/>
      <c r="I282" s="449"/>
    </row>
    <row r="283" spans="1:9" x14ac:dyDescent="0.2">
      <c r="A283" s="7"/>
      <c r="B283" s="444"/>
      <c r="C283" s="445"/>
      <c r="D283" s="445"/>
      <c r="E283" s="445"/>
      <c r="F283" s="446"/>
      <c r="G283" s="447"/>
      <c r="H283" s="448"/>
      <c r="I283" s="449"/>
    </row>
    <row r="284" spans="1:9" x14ac:dyDescent="0.2">
      <c r="A284" s="7"/>
      <c r="B284" s="444"/>
      <c r="C284" s="445"/>
      <c r="D284" s="445"/>
      <c r="E284" s="445"/>
      <c r="F284" s="446"/>
      <c r="G284" s="447"/>
      <c r="H284" s="448"/>
      <c r="I284" s="449"/>
    </row>
    <row r="285" spans="1:9" x14ac:dyDescent="0.2">
      <c r="A285" s="7"/>
      <c r="B285" s="444"/>
      <c r="C285" s="445"/>
      <c r="D285" s="445"/>
      <c r="E285" s="445"/>
      <c r="F285" s="446"/>
      <c r="G285" s="447"/>
      <c r="H285" s="448"/>
      <c r="I285" s="449"/>
    </row>
    <row r="286" spans="1:9" x14ac:dyDescent="0.2">
      <c r="A286" s="7"/>
      <c r="B286" s="444"/>
      <c r="C286" s="445"/>
      <c r="D286" s="445"/>
      <c r="E286" s="445"/>
      <c r="F286" s="446"/>
      <c r="G286" s="447"/>
      <c r="H286" s="448"/>
      <c r="I286" s="449"/>
    </row>
    <row r="287" spans="1:9" x14ac:dyDescent="0.2">
      <c r="A287" s="7"/>
      <c r="B287" s="444"/>
      <c r="C287" s="445"/>
      <c r="D287" s="445"/>
      <c r="E287" s="445"/>
      <c r="F287" s="446"/>
      <c r="G287" s="447"/>
      <c r="H287" s="448"/>
      <c r="I287" s="449"/>
    </row>
    <row r="288" spans="1:9" x14ac:dyDescent="0.2">
      <c r="A288" s="7"/>
      <c r="B288" s="444"/>
      <c r="C288" s="445"/>
      <c r="D288" s="445"/>
      <c r="E288" s="445"/>
      <c r="F288" s="446"/>
      <c r="G288" s="447"/>
      <c r="H288" s="448"/>
      <c r="I288" s="449"/>
    </row>
    <row r="289" spans="1:9" x14ac:dyDescent="0.2">
      <c r="A289" s="7"/>
      <c r="B289" s="444"/>
      <c r="C289" s="445"/>
      <c r="D289" s="445"/>
      <c r="E289" s="445"/>
      <c r="F289" s="446"/>
      <c r="G289" s="447"/>
      <c r="H289" s="448"/>
      <c r="I289" s="449"/>
    </row>
    <row r="290" spans="1:9" x14ac:dyDescent="0.2">
      <c r="A290" s="7"/>
      <c r="B290" s="444"/>
      <c r="C290" s="445"/>
      <c r="D290" s="445"/>
      <c r="E290" s="445"/>
      <c r="F290" s="446"/>
      <c r="G290" s="447"/>
      <c r="H290" s="448"/>
      <c r="I290" s="449"/>
    </row>
    <row r="291" spans="1:9" x14ac:dyDescent="0.2">
      <c r="A291" s="7"/>
      <c r="B291" s="444"/>
      <c r="C291" s="445"/>
      <c r="D291" s="445"/>
      <c r="E291" s="445"/>
      <c r="F291" s="446"/>
      <c r="G291" s="447"/>
      <c r="H291" s="448"/>
      <c r="I291" s="449"/>
    </row>
    <row r="292" spans="1:9" x14ac:dyDescent="0.2">
      <c r="A292" s="7"/>
      <c r="B292" s="444"/>
      <c r="C292" s="445"/>
      <c r="D292" s="445"/>
      <c r="E292" s="445"/>
      <c r="F292" s="446"/>
      <c r="G292" s="447"/>
      <c r="H292" s="448"/>
      <c r="I292" s="449"/>
    </row>
    <row r="293" spans="1:9" x14ac:dyDescent="0.2">
      <c r="A293" s="7"/>
      <c r="B293" s="444"/>
      <c r="C293" s="445"/>
      <c r="D293" s="445"/>
      <c r="E293" s="445"/>
      <c r="F293" s="446"/>
      <c r="G293" s="447"/>
      <c r="H293" s="448"/>
      <c r="I293" s="449"/>
    </row>
    <row r="294" spans="1:9" x14ac:dyDescent="0.2">
      <c r="A294" s="7"/>
      <c r="B294" s="444"/>
      <c r="C294" s="445"/>
      <c r="D294" s="445"/>
      <c r="E294" s="445"/>
      <c r="F294" s="446"/>
      <c r="G294" s="447"/>
      <c r="H294" s="448"/>
      <c r="I294" s="449"/>
    </row>
    <row r="295" spans="1:9" x14ac:dyDescent="0.2">
      <c r="A295" s="7"/>
      <c r="B295" s="444"/>
      <c r="C295" s="445"/>
      <c r="D295" s="445"/>
      <c r="E295" s="445"/>
      <c r="F295" s="446"/>
      <c r="G295" s="447"/>
      <c r="H295" s="448"/>
      <c r="I295" s="449"/>
    </row>
    <row r="296" spans="1:9" x14ac:dyDescent="0.2">
      <c r="A296" s="7"/>
      <c r="B296" s="444"/>
      <c r="C296" s="445"/>
      <c r="D296" s="445"/>
      <c r="E296" s="445"/>
      <c r="F296" s="446"/>
      <c r="G296" s="447"/>
      <c r="H296" s="448"/>
      <c r="I296" s="449"/>
    </row>
    <row r="297" spans="1:9" x14ac:dyDescent="0.2">
      <c r="A297" s="7"/>
      <c r="B297" s="444"/>
      <c r="C297" s="445"/>
      <c r="D297" s="445"/>
      <c r="E297" s="445"/>
      <c r="F297" s="446"/>
      <c r="G297" s="447"/>
      <c r="H297" s="448"/>
      <c r="I297" s="449"/>
    </row>
    <row r="298" spans="1:9" x14ac:dyDescent="0.2">
      <c r="A298" s="7"/>
      <c r="B298" s="444"/>
      <c r="C298" s="445"/>
      <c r="D298" s="445"/>
      <c r="E298" s="445"/>
      <c r="F298" s="446"/>
      <c r="G298" s="447"/>
      <c r="H298" s="448"/>
      <c r="I298" s="449"/>
    </row>
    <row r="299" spans="1:9" x14ac:dyDescent="0.2">
      <c r="A299" s="7"/>
      <c r="B299" s="444"/>
      <c r="C299" s="445"/>
      <c r="D299" s="445"/>
      <c r="E299" s="445"/>
      <c r="F299" s="446"/>
      <c r="G299" s="447"/>
      <c r="H299" s="448"/>
      <c r="I299" s="449"/>
    </row>
    <row r="300" spans="1:9" x14ac:dyDescent="0.2">
      <c r="A300" s="7"/>
      <c r="B300" s="444"/>
      <c r="C300" s="445"/>
      <c r="D300" s="445"/>
      <c r="E300" s="445"/>
      <c r="F300" s="446"/>
      <c r="G300" s="447"/>
      <c r="H300" s="448"/>
      <c r="I300" s="449"/>
    </row>
    <row r="301" spans="1:9" x14ac:dyDescent="0.2">
      <c r="A301" s="7"/>
      <c r="B301" s="444"/>
      <c r="C301" s="445"/>
      <c r="D301" s="445"/>
      <c r="E301" s="445"/>
      <c r="F301" s="446"/>
      <c r="G301" s="447"/>
      <c r="H301" s="448"/>
      <c r="I301" s="449"/>
    </row>
    <row r="302" spans="1:9" x14ac:dyDescent="0.2">
      <c r="A302" s="7"/>
      <c r="B302" s="444"/>
      <c r="C302" s="445"/>
      <c r="D302" s="445"/>
      <c r="E302" s="445"/>
      <c r="F302" s="446"/>
      <c r="G302" s="447"/>
      <c r="H302" s="448"/>
      <c r="I302" s="449"/>
    </row>
    <row r="303" spans="1:9" x14ac:dyDescent="0.2">
      <c r="A303" s="7"/>
      <c r="B303" s="444"/>
      <c r="C303" s="445"/>
      <c r="D303" s="445"/>
      <c r="E303" s="445"/>
      <c r="F303" s="446"/>
      <c r="G303" s="447"/>
      <c r="H303" s="448"/>
      <c r="I303" s="449"/>
    </row>
    <row r="304" spans="1:9" x14ac:dyDescent="0.2">
      <c r="A304" s="7"/>
      <c r="B304" s="444"/>
      <c r="C304" s="445"/>
      <c r="D304" s="445"/>
      <c r="E304" s="445"/>
      <c r="F304" s="446"/>
      <c r="G304" s="447"/>
      <c r="H304" s="448"/>
      <c r="I304" s="449"/>
    </row>
    <row r="305" spans="1:9" x14ac:dyDescent="0.2">
      <c r="A305" s="7"/>
      <c r="B305" s="444"/>
      <c r="C305" s="445"/>
      <c r="D305" s="445"/>
      <c r="E305" s="445"/>
      <c r="F305" s="446"/>
      <c r="G305" s="447"/>
      <c r="H305" s="448"/>
      <c r="I305" s="449"/>
    </row>
    <row r="306" spans="1:9" x14ac:dyDescent="0.2">
      <c r="A306" s="7"/>
      <c r="B306" s="444"/>
      <c r="C306" s="445"/>
      <c r="D306" s="445"/>
      <c r="E306" s="445"/>
      <c r="F306" s="446"/>
      <c r="G306" s="447"/>
      <c r="H306" s="448"/>
      <c r="I306" s="449"/>
    </row>
    <row r="307" spans="1:9" x14ac:dyDescent="0.2">
      <c r="A307" s="7"/>
      <c r="B307" s="444"/>
      <c r="C307" s="445"/>
      <c r="D307" s="445"/>
      <c r="E307" s="445"/>
      <c r="F307" s="446"/>
      <c r="G307" s="447"/>
      <c r="H307" s="448"/>
      <c r="I307" s="449"/>
    </row>
    <row r="308" spans="1:9" x14ac:dyDescent="0.2">
      <c r="A308" s="7"/>
      <c r="B308" s="444"/>
      <c r="C308" s="445"/>
      <c r="D308" s="445"/>
      <c r="E308" s="445"/>
      <c r="F308" s="446"/>
      <c r="G308" s="447"/>
      <c r="H308" s="448"/>
      <c r="I308" s="449"/>
    </row>
    <row r="309" spans="1:9" x14ac:dyDescent="0.2">
      <c r="A309" s="7"/>
      <c r="B309" s="444"/>
      <c r="C309" s="445"/>
      <c r="D309" s="445"/>
      <c r="E309" s="445"/>
      <c r="F309" s="446"/>
      <c r="G309" s="447"/>
      <c r="H309" s="448"/>
      <c r="I309" s="449"/>
    </row>
    <row r="310" spans="1:9" x14ac:dyDescent="0.2">
      <c r="A310" s="7"/>
      <c r="B310" s="444"/>
      <c r="C310" s="445"/>
      <c r="D310" s="445"/>
      <c r="E310" s="445"/>
      <c r="F310" s="446"/>
      <c r="G310" s="447"/>
      <c r="H310" s="448"/>
      <c r="I310" s="449"/>
    </row>
    <row r="311" spans="1:9" x14ac:dyDescent="0.2">
      <c r="A311" s="7"/>
      <c r="B311" s="444"/>
      <c r="C311" s="445"/>
      <c r="D311" s="445"/>
      <c r="E311" s="445"/>
      <c r="F311" s="446"/>
      <c r="G311" s="447"/>
      <c r="H311" s="448"/>
      <c r="I311" s="449"/>
    </row>
    <row r="312" spans="1:9" x14ac:dyDescent="0.2">
      <c r="A312" s="7"/>
      <c r="B312" s="444"/>
      <c r="C312" s="445"/>
      <c r="D312" s="445"/>
      <c r="E312" s="445"/>
      <c r="F312" s="446"/>
      <c r="G312" s="447"/>
      <c r="H312" s="448"/>
      <c r="I312" s="449"/>
    </row>
    <row r="313" spans="1:9" x14ac:dyDescent="0.2">
      <c r="A313" s="7"/>
      <c r="B313" s="444"/>
      <c r="C313" s="445"/>
      <c r="D313" s="445"/>
      <c r="E313" s="445"/>
      <c r="F313" s="446"/>
      <c r="G313" s="447"/>
      <c r="H313" s="448"/>
      <c r="I313" s="449"/>
    </row>
    <row r="314" spans="1:9" x14ac:dyDescent="0.2">
      <c r="A314" s="7"/>
      <c r="B314" s="444"/>
      <c r="C314" s="445"/>
      <c r="D314" s="445"/>
      <c r="E314" s="445"/>
      <c r="F314" s="446"/>
      <c r="G314" s="447"/>
      <c r="H314" s="448"/>
      <c r="I314" s="449"/>
    </row>
    <row r="315" spans="1:9" x14ac:dyDescent="0.2">
      <c r="A315" s="7"/>
      <c r="B315" s="444"/>
      <c r="C315" s="445"/>
      <c r="D315" s="445"/>
      <c r="E315" s="445"/>
      <c r="F315" s="446"/>
      <c r="G315" s="447"/>
      <c r="H315" s="448"/>
      <c r="I315" s="449"/>
    </row>
    <row r="316" spans="1:9" x14ac:dyDescent="0.2">
      <c r="A316" s="7"/>
      <c r="B316" s="444"/>
      <c r="C316" s="445"/>
      <c r="D316" s="445"/>
      <c r="E316" s="445"/>
      <c r="F316" s="446"/>
      <c r="G316" s="447"/>
      <c r="H316" s="448"/>
      <c r="I316" s="449"/>
    </row>
    <row r="317" spans="1:9" x14ac:dyDescent="0.2">
      <c r="A317" s="7"/>
      <c r="B317" s="444"/>
      <c r="C317" s="445"/>
      <c r="D317" s="445"/>
      <c r="E317" s="445"/>
      <c r="F317" s="446"/>
      <c r="G317" s="447"/>
      <c r="H317" s="448"/>
      <c r="I317" s="449"/>
    </row>
    <row r="318" spans="1:9" x14ac:dyDescent="0.2">
      <c r="A318" s="7"/>
      <c r="B318" s="444"/>
      <c r="C318" s="445"/>
      <c r="D318" s="445"/>
      <c r="E318" s="445"/>
      <c r="F318" s="446"/>
      <c r="G318" s="447"/>
      <c r="H318" s="448"/>
      <c r="I318" s="449"/>
    </row>
    <row r="319" spans="1:9" x14ac:dyDescent="0.2">
      <c r="A319" s="7"/>
      <c r="B319" s="444"/>
      <c r="C319" s="445"/>
      <c r="D319" s="445"/>
      <c r="E319" s="445"/>
      <c r="F319" s="446"/>
      <c r="G319" s="447"/>
      <c r="H319" s="448"/>
      <c r="I319" s="449"/>
    </row>
    <row r="320" spans="1:9" x14ac:dyDescent="0.2">
      <c r="A320" s="7"/>
      <c r="B320" s="444"/>
      <c r="C320" s="445"/>
      <c r="D320" s="445"/>
      <c r="E320" s="445"/>
      <c r="F320" s="446"/>
      <c r="G320" s="447"/>
      <c r="H320" s="448"/>
      <c r="I320" s="449"/>
    </row>
    <row r="321" spans="1:9" x14ac:dyDescent="0.2">
      <c r="A321" s="7"/>
      <c r="B321" s="444"/>
      <c r="C321" s="445"/>
      <c r="D321" s="445"/>
      <c r="E321" s="445"/>
      <c r="F321" s="446"/>
      <c r="G321" s="447"/>
      <c r="H321" s="448"/>
      <c r="I321" s="449"/>
    </row>
    <row r="322" spans="1:9" x14ac:dyDescent="0.2">
      <c r="A322" s="7"/>
      <c r="B322" s="444"/>
      <c r="C322" s="445"/>
      <c r="D322" s="445"/>
      <c r="E322" s="445"/>
      <c r="F322" s="446"/>
      <c r="G322" s="447"/>
      <c r="H322" s="448"/>
      <c r="I322" s="449"/>
    </row>
    <row r="323" spans="1:9" x14ac:dyDescent="0.2">
      <c r="A323" s="7"/>
      <c r="B323" s="444"/>
      <c r="C323" s="445"/>
      <c r="D323" s="445"/>
      <c r="E323" s="445"/>
      <c r="F323" s="446"/>
      <c r="G323" s="447"/>
      <c r="H323" s="448"/>
      <c r="I323" s="449"/>
    </row>
    <row r="324" spans="1:9" x14ac:dyDescent="0.2">
      <c r="A324" s="7"/>
      <c r="B324" s="444"/>
      <c r="C324" s="445"/>
      <c r="D324" s="445"/>
      <c r="E324" s="445"/>
      <c r="F324" s="446"/>
      <c r="G324" s="447"/>
      <c r="H324" s="448"/>
      <c r="I324" s="449"/>
    </row>
    <row r="325" spans="1:9" x14ac:dyDescent="0.2">
      <c r="A325" s="7"/>
      <c r="B325" s="444"/>
      <c r="C325" s="445"/>
      <c r="D325" s="445"/>
      <c r="E325" s="445"/>
      <c r="F325" s="446"/>
      <c r="G325" s="447"/>
      <c r="H325" s="448"/>
      <c r="I325" s="449"/>
    </row>
    <row r="326" spans="1:9" x14ac:dyDescent="0.2">
      <c r="A326" s="7"/>
      <c r="B326" s="444"/>
      <c r="C326" s="445"/>
      <c r="D326" s="445"/>
      <c r="E326" s="445"/>
      <c r="F326" s="446"/>
      <c r="G326" s="447"/>
      <c r="H326" s="448"/>
      <c r="I326" s="449"/>
    </row>
    <row r="327" spans="1:9" x14ac:dyDescent="0.2">
      <c r="A327" s="7"/>
      <c r="B327" s="444"/>
      <c r="C327" s="445"/>
      <c r="D327" s="445"/>
      <c r="E327" s="445"/>
      <c r="F327" s="446"/>
      <c r="G327" s="447"/>
      <c r="H327" s="448"/>
      <c r="I327" s="449"/>
    </row>
    <row r="328" spans="1:9" x14ac:dyDescent="0.2">
      <c r="A328" s="7"/>
      <c r="B328" s="444"/>
      <c r="C328" s="445"/>
      <c r="D328" s="445"/>
      <c r="E328" s="445"/>
      <c r="F328" s="446"/>
      <c r="G328" s="447"/>
      <c r="H328" s="448"/>
      <c r="I328" s="449"/>
    </row>
    <row r="329" spans="1:9" x14ac:dyDescent="0.2">
      <c r="A329" s="7"/>
      <c r="B329" s="444"/>
      <c r="C329" s="445"/>
      <c r="D329" s="445"/>
      <c r="E329" s="445"/>
      <c r="F329" s="446"/>
      <c r="G329" s="447"/>
      <c r="H329" s="448"/>
      <c r="I329" s="449"/>
    </row>
    <row r="330" spans="1:9" x14ac:dyDescent="0.2">
      <c r="A330" s="7"/>
      <c r="B330" s="444"/>
      <c r="C330" s="445"/>
      <c r="D330" s="445"/>
      <c r="E330" s="445"/>
      <c r="F330" s="446"/>
      <c r="G330" s="447"/>
      <c r="H330" s="448"/>
      <c r="I330" s="449"/>
    </row>
    <row r="331" spans="1:9" x14ac:dyDescent="0.2">
      <c r="A331" s="7"/>
      <c r="B331" s="444"/>
      <c r="C331" s="445"/>
      <c r="D331" s="445"/>
      <c r="E331" s="445"/>
      <c r="F331" s="446"/>
      <c r="G331" s="447"/>
      <c r="H331" s="448"/>
      <c r="I331" s="449"/>
    </row>
    <row r="332" spans="1:9" x14ac:dyDescent="0.2">
      <c r="A332" s="7"/>
      <c r="B332" s="444"/>
      <c r="C332" s="445"/>
      <c r="D332" s="445"/>
      <c r="E332" s="445"/>
      <c r="F332" s="446"/>
      <c r="G332" s="447"/>
      <c r="H332" s="448"/>
      <c r="I332" s="449"/>
    </row>
    <row r="333" spans="1:9" x14ac:dyDescent="0.2">
      <c r="A333" s="7"/>
      <c r="B333" s="444"/>
      <c r="C333" s="445"/>
      <c r="D333" s="445"/>
      <c r="E333" s="445"/>
      <c r="F333" s="446"/>
      <c r="G333" s="447"/>
      <c r="H333" s="448"/>
      <c r="I333" s="449"/>
    </row>
    <row r="334" spans="1:9" x14ac:dyDescent="0.2">
      <c r="A334" s="7"/>
      <c r="B334" s="444"/>
      <c r="C334" s="445"/>
      <c r="D334" s="445"/>
      <c r="E334" s="445"/>
      <c r="F334" s="446"/>
      <c r="G334" s="447"/>
      <c r="H334" s="448"/>
      <c r="I334" s="449"/>
    </row>
    <row r="335" spans="1:9" x14ac:dyDescent="0.2">
      <c r="A335" s="7"/>
      <c r="B335" s="444"/>
      <c r="C335" s="445"/>
      <c r="D335" s="445"/>
      <c r="E335" s="445"/>
      <c r="F335" s="446"/>
      <c r="G335" s="447"/>
      <c r="H335" s="448"/>
      <c r="I335" s="449"/>
    </row>
    <row r="336" spans="1:9" x14ac:dyDescent="0.2">
      <c r="A336" s="7"/>
      <c r="B336" s="444"/>
      <c r="C336" s="445"/>
      <c r="D336" s="445"/>
      <c r="E336" s="445"/>
      <c r="F336" s="446"/>
      <c r="G336" s="447"/>
      <c r="H336" s="448"/>
      <c r="I336" s="449"/>
    </row>
    <row r="337" spans="1:9" x14ac:dyDescent="0.2">
      <c r="A337" s="7"/>
      <c r="B337" s="444"/>
      <c r="C337" s="445"/>
      <c r="D337" s="445"/>
      <c r="E337" s="445"/>
      <c r="F337" s="446"/>
      <c r="G337" s="447"/>
      <c r="H337" s="448"/>
      <c r="I337" s="449"/>
    </row>
    <row r="338" spans="1:9" x14ac:dyDescent="0.2">
      <c r="A338" s="7"/>
      <c r="B338" s="444"/>
      <c r="C338" s="445"/>
      <c r="D338" s="445"/>
      <c r="E338" s="445"/>
      <c r="F338" s="446"/>
      <c r="G338" s="447"/>
      <c r="H338" s="448"/>
      <c r="I338" s="449"/>
    </row>
    <row r="339" spans="1:9" x14ac:dyDescent="0.2">
      <c r="A339" s="7"/>
      <c r="B339" s="444"/>
      <c r="C339" s="445"/>
      <c r="D339" s="445"/>
      <c r="E339" s="445"/>
      <c r="F339" s="446"/>
      <c r="G339" s="447"/>
      <c r="H339" s="448"/>
      <c r="I339" s="449"/>
    </row>
    <row r="340" spans="1:9" x14ac:dyDescent="0.2">
      <c r="A340" s="7"/>
      <c r="B340" s="444"/>
      <c r="C340" s="445"/>
      <c r="D340" s="445"/>
      <c r="E340" s="445"/>
      <c r="F340" s="446"/>
      <c r="G340" s="447"/>
      <c r="H340" s="448"/>
      <c r="I340" s="449"/>
    </row>
    <row r="341" spans="1:9" x14ac:dyDescent="0.2">
      <c r="A341" s="7"/>
      <c r="B341" s="444"/>
      <c r="C341" s="445"/>
      <c r="D341" s="445"/>
      <c r="E341" s="445"/>
      <c r="F341" s="446"/>
      <c r="G341" s="447"/>
      <c r="H341" s="448"/>
      <c r="I341" s="449"/>
    </row>
    <row r="342" spans="1:9" x14ac:dyDescent="0.2">
      <c r="A342" s="7"/>
      <c r="B342" s="444"/>
      <c r="C342" s="445"/>
      <c r="D342" s="445"/>
      <c r="E342" s="445"/>
      <c r="F342" s="446"/>
      <c r="G342" s="447"/>
      <c r="H342" s="448"/>
      <c r="I342" s="449"/>
    </row>
    <row r="343" spans="1:9" x14ac:dyDescent="0.2">
      <c r="A343" s="7"/>
      <c r="B343" s="444"/>
      <c r="C343" s="445"/>
      <c r="D343" s="445"/>
      <c r="E343" s="445"/>
      <c r="F343" s="446"/>
      <c r="G343" s="447"/>
      <c r="H343" s="448"/>
      <c r="I343" s="449"/>
    </row>
    <row r="344" spans="1:9" x14ac:dyDescent="0.2">
      <c r="A344" s="7"/>
      <c r="B344" s="444"/>
      <c r="C344" s="445"/>
      <c r="D344" s="445"/>
      <c r="E344" s="445"/>
      <c r="F344" s="446"/>
      <c r="G344" s="447"/>
      <c r="H344" s="448"/>
      <c r="I344" s="449"/>
    </row>
    <row r="345" spans="1:9" x14ac:dyDescent="0.2">
      <c r="A345" s="7"/>
      <c r="B345" s="444"/>
      <c r="C345" s="445"/>
      <c r="D345" s="445"/>
      <c r="E345" s="445"/>
      <c r="F345" s="446"/>
      <c r="G345" s="447"/>
      <c r="H345" s="448"/>
      <c r="I345" s="449"/>
    </row>
    <row r="346" spans="1:9" x14ac:dyDescent="0.2">
      <c r="A346" s="7"/>
      <c r="B346" s="444"/>
      <c r="C346" s="445"/>
      <c r="D346" s="445"/>
      <c r="E346" s="445"/>
      <c r="F346" s="446"/>
      <c r="G346" s="447"/>
      <c r="H346" s="448"/>
      <c r="I346" s="449"/>
    </row>
    <row r="347" spans="1:9" x14ac:dyDescent="0.2">
      <c r="A347" s="7"/>
      <c r="B347" s="444"/>
      <c r="C347" s="445"/>
      <c r="D347" s="445"/>
      <c r="E347" s="445"/>
      <c r="F347" s="446"/>
      <c r="G347" s="447"/>
      <c r="H347" s="448"/>
      <c r="I347" s="449"/>
    </row>
    <row r="348" spans="1:9" x14ac:dyDescent="0.2">
      <c r="A348" s="7"/>
      <c r="B348" s="444"/>
      <c r="C348" s="445"/>
      <c r="D348" s="445"/>
      <c r="E348" s="445"/>
      <c r="F348" s="446"/>
      <c r="G348" s="447"/>
      <c r="H348" s="448"/>
      <c r="I348" s="449"/>
    </row>
    <row r="349" spans="1:9" x14ac:dyDescent="0.2">
      <c r="A349" s="7"/>
      <c r="B349" s="444"/>
      <c r="C349" s="445"/>
      <c r="D349" s="445"/>
      <c r="E349" s="445"/>
      <c r="F349" s="446"/>
      <c r="G349" s="447"/>
      <c r="H349" s="448"/>
      <c r="I349" s="449"/>
    </row>
    <row r="350" spans="1:9" x14ac:dyDescent="0.2">
      <c r="A350" s="7"/>
      <c r="B350" s="444"/>
      <c r="C350" s="445"/>
      <c r="D350" s="445"/>
      <c r="E350" s="445"/>
      <c r="F350" s="446"/>
      <c r="G350" s="447"/>
      <c r="H350" s="448"/>
      <c r="I350" s="449"/>
    </row>
    <row r="351" spans="1:9" x14ac:dyDescent="0.2">
      <c r="A351" s="7"/>
      <c r="B351" s="444"/>
      <c r="C351" s="445"/>
      <c r="D351" s="445"/>
      <c r="E351" s="445"/>
      <c r="F351" s="446"/>
      <c r="G351" s="447"/>
      <c r="H351" s="448"/>
      <c r="I351" s="449"/>
    </row>
    <row r="352" spans="1:9" x14ac:dyDescent="0.2">
      <c r="A352" s="7"/>
      <c r="B352" s="444"/>
      <c r="C352" s="445"/>
      <c r="D352" s="445"/>
      <c r="E352" s="445"/>
      <c r="F352" s="446"/>
      <c r="G352" s="447"/>
      <c r="H352" s="448"/>
      <c r="I352" s="449"/>
    </row>
    <row r="353" spans="1:9" x14ac:dyDescent="0.2">
      <c r="A353" s="7"/>
      <c r="B353" s="444"/>
      <c r="C353" s="445"/>
      <c r="D353" s="445"/>
      <c r="E353" s="445"/>
      <c r="F353" s="446"/>
      <c r="G353" s="447"/>
      <c r="H353" s="448"/>
      <c r="I353" s="449"/>
    </row>
    <row r="354" spans="1:9" x14ac:dyDescent="0.2">
      <c r="A354" s="7"/>
      <c r="B354" s="444"/>
      <c r="C354" s="445"/>
      <c r="D354" s="445"/>
      <c r="E354" s="445"/>
      <c r="F354" s="446"/>
      <c r="G354" s="447"/>
      <c r="H354" s="448"/>
      <c r="I354" s="449"/>
    </row>
    <row r="355" spans="1:9" x14ac:dyDescent="0.2">
      <c r="A355" s="7"/>
      <c r="B355" s="444"/>
      <c r="C355" s="445"/>
      <c r="D355" s="445"/>
      <c r="E355" s="445"/>
      <c r="F355" s="446"/>
      <c r="G355" s="447"/>
      <c r="H355" s="448"/>
      <c r="I355" s="449"/>
    </row>
    <row r="356" spans="1:9" x14ac:dyDescent="0.2">
      <c r="A356" s="7"/>
      <c r="B356" s="444"/>
      <c r="C356" s="445"/>
      <c r="D356" s="445"/>
      <c r="E356" s="445"/>
      <c r="F356" s="446"/>
      <c r="G356" s="447"/>
      <c r="H356" s="448"/>
      <c r="I356" s="449"/>
    </row>
    <row r="357" spans="1:9" x14ac:dyDescent="0.2">
      <c r="A357" s="7"/>
      <c r="B357" s="444"/>
      <c r="C357" s="445"/>
      <c r="D357" s="445"/>
      <c r="E357" s="445"/>
      <c r="F357" s="446"/>
      <c r="G357" s="447"/>
      <c r="H357" s="448"/>
      <c r="I357" s="449"/>
    </row>
    <row r="358" spans="1:9" x14ac:dyDescent="0.2">
      <c r="A358" s="7"/>
      <c r="B358" s="444"/>
      <c r="C358" s="445"/>
      <c r="D358" s="445"/>
      <c r="E358" s="445"/>
      <c r="F358" s="446"/>
      <c r="G358" s="447"/>
      <c r="H358" s="448"/>
      <c r="I358" s="449"/>
    </row>
    <row r="359" spans="1:9" x14ac:dyDescent="0.2">
      <c r="A359" s="7"/>
      <c r="B359" s="444"/>
      <c r="C359" s="445"/>
      <c r="D359" s="445"/>
      <c r="E359" s="445"/>
      <c r="F359" s="446"/>
      <c r="G359" s="447"/>
      <c r="H359" s="448"/>
      <c r="I359" s="449"/>
    </row>
    <row r="360" spans="1:9" x14ac:dyDescent="0.2">
      <c r="A360" s="7"/>
      <c r="B360" s="444"/>
      <c r="C360" s="445"/>
      <c r="D360" s="445"/>
      <c r="E360" s="445"/>
      <c r="F360" s="446"/>
      <c r="G360" s="447"/>
      <c r="H360" s="448"/>
      <c r="I360" s="449"/>
    </row>
    <row r="361" spans="1:9" x14ac:dyDescent="0.2">
      <c r="A361" s="7"/>
      <c r="B361" s="444"/>
      <c r="C361" s="445"/>
      <c r="D361" s="445"/>
      <c r="E361" s="445"/>
      <c r="F361" s="446"/>
      <c r="G361" s="447"/>
      <c r="H361" s="448"/>
      <c r="I361" s="449"/>
    </row>
    <row r="362" spans="1:9" x14ac:dyDescent="0.2">
      <c r="A362" s="7"/>
      <c r="B362" s="444"/>
      <c r="C362" s="445"/>
      <c r="D362" s="445"/>
      <c r="E362" s="445"/>
      <c r="F362" s="446"/>
      <c r="G362" s="447"/>
      <c r="H362" s="448"/>
      <c r="I362" s="449"/>
    </row>
    <row r="363" spans="1:9" x14ac:dyDescent="0.2">
      <c r="A363" s="7"/>
      <c r="B363" s="444"/>
      <c r="C363" s="445"/>
      <c r="D363" s="445"/>
      <c r="E363" s="445"/>
      <c r="F363" s="446"/>
      <c r="G363" s="447"/>
      <c r="H363" s="448"/>
      <c r="I363" s="449"/>
    </row>
    <row r="364" spans="1:9" x14ac:dyDescent="0.2">
      <c r="A364" s="7"/>
      <c r="B364" s="444"/>
      <c r="C364" s="445"/>
      <c r="D364" s="445"/>
      <c r="E364" s="445"/>
      <c r="F364" s="446"/>
      <c r="G364" s="447"/>
      <c r="H364" s="448"/>
      <c r="I364" s="449"/>
    </row>
    <row r="365" spans="1:9" x14ac:dyDescent="0.2">
      <c r="B365" s="444"/>
      <c r="C365" s="445"/>
      <c r="D365" s="445"/>
      <c r="E365" s="445"/>
      <c r="F365" s="446"/>
      <c r="G365" s="447"/>
      <c r="H365" s="448"/>
      <c r="I365" s="449"/>
    </row>
    <row r="366" spans="1:9" x14ac:dyDescent="0.2">
      <c r="B366" s="444"/>
      <c r="C366" s="445"/>
      <c r="D366" s="445"/>
      <c r="E366" s="445"/>
      <c r="F366" s="446"/>
      <c r="G366" s="447"/>
      <c r="H366" s="448"/>
      <c r="I366" s="449"/>
    </row>
    <row r="367" spans="1:9" x14ac:dyDescent="0.2">
      <c r="B367" s="444"/>
      <c r="C367" s="445"/>
      <c r="D367" s="445"/>
      <c r="E367" s="445"/>
      <c r="F367" s="446"/>
      <c r="G367" s="447"/>
      <c r="H367" s="448"/>
      <c r="I367" s="449"/>
    </row>
    <row r="368" spans="1:9" x14ac:dyDescent="0.2">
      <c r="B368" s="444"/>
      <c r="C368" s="445"/>
      <c r="D368" s="445"/>
      <c r="E368" s="445"/>
      <c r="F368" s="446"/>
      <c r="G368" s="447"/>
      <c r="H368" s="448"/>
      <c r="I368" s="449"/>
    </row>
    <row r="369" spans="2:9" x14ac:dyDescent="0.2">
      <c r="B369" s="444"/>
      <c r="C369" s="445"/>
      <c r="D369" s="445"/>
      <c r="E369" s="445"/>
      <c r="F369" s="446"/>
      <c r="G369" s="447"/>
      <c r="H369" s="448"/>
      <c r="I369" s="449"/>
    </row>
    <row r="370" spans="2:9" x14ac:dyDescent="0.2">
      <c r="B370" s="444"/>
      <c r="C370" s="445"/>
      <c r="D370" s="445"/>
      <c r="E370" s="445"/>
      <c r="F370" s="446"/>
      <c r="G370" s="447"/>
      <c r="H370" s="448"/>
      <c r="I370" s="449"/>
    </row>
    <row r="371" spans="2:9" x14ac:dyDescent="0.2">
      <c r="B371" s="444"/>
      <c r="C371" s="445"/>
      <c r="D371" s="445"/>
      <c r="E371" s="445"/>
      <c r="F371" s="446"/>
      <c r="G371" s="447"/>
      <c r="H371" s="448"/>
      <c r="I371" s="449"/>
    </row>
    <row r="372" spans="2:9" x14ac:dyDescent="0.2">
      <c r="B372" s="444"/>
      <c r="C372" s="445"/>
      <c r="D372" s="445"/>
      <c r="E372" s="445"/>
      <c r="F372" s="446"/>
      <c r="G372" s="447"/>
      <c r="H372" s="448"/>
      <c r="I372" s="449"/>
    </row>
    <row r="373" spans="2:9" x14ac:dyDescent="0.2">
      <c r="B373" s="444"/>
      <c r="C373" s="445"/>
      <c r="D373" s="445"/>
      <c r="E373" s="445"/>
      <c r="F373" s="446"/>
      <c r="G373" s="447"/>
      <c r="H373" s="448"/>
      <c r="I373" s="449"/>
    </row>
    <row r="374" spans="2:9" x14ac:dyDescent="0.2">
      <c r="B374" s="444"/>
      <c r="C374" s="445"/>
      <c r="D374" s="445"/>
      <c r="E374" s="445"/>
      <c r="F374" s="446"/>
      <c r="G374" s="447"/>
      <c r="H374" s="448"/>
      <c r="I374" s="449"/>
    </row>
    <row r="375" spans="2:9" x14ac:dyDescent="0.2">
      <c r="B375" s="444"/>
      <c r="C375" s="445"/>
      <c r="D375" s="445"/>
      <c r="E375" s="445"/>
      <c r="F375" s="446"/>
      <c r="G375" s="447"/>
      <c r="H375" s="448"/>
      <c r="I375" s="449"/>
    </row>
    <row r="376" spans="2:9" x14ac:dyDescent="0.2">
      <c r="B376" s="444"/>
      <c r="C376" s="445"/>
      <c r="D376" s="445"/>
      <c r="E376" s="445"/>
      <c r="F376" s="446"/>
      <c r="G376" s="447"/>
      <c r="H376" s="448"/>
      <c r="I376" s="449"/>
    </row>
    <row r="377" spans="2:9" x14ac:dyDescent="0.2">
      <c r="B377" s="444"/>
      <c r="C377" s="445"/>
      <c r="D377" s="445"/>
      <c r="E377" s="445"/>
      <c r="F377" s="446"/>
      <c r="G377" s="447"/>
      <c r="H377" s="448"/>
      <c r="I377" s="449"/>
    </row>
    <row r="378" spans="2:9" x14ac:dyDescent="0.2">
      <c r="B378" s="444"/>
      <c r="C378" s="445"/>
      <c r="D378" s="445"/>
      <c r="E378" s="445"/>
      <c r="F378" s="446"/>
      <c r="G378" s="447"/>
      <c r="H378" s="448"/>
      <c r="I378" s="449"/>
    </row>
    <row r="379" spans="2:9" x14ac:dyDescent="0.2">
      <c r="B379" s="444"/>
      <c r="C379" s="445"/>
      <c r="D379" s="445"/>
      <c r="E379" s="445"/>
      <c r="F379" s="446"/>
      <c r="G379" s="447"/>
      <c r="H379" s="448"/>
      <c r="I379" s="449"/>
    </row>
    <row r="380" spans="2:9" x14ac:dyDescent="0.2">
      <c r="B380" s="444"/>
      <c r="C380" s="445"/>
      <c r="D380" s="445"/>
      <c r="E380" s="445"/>
      <c r="F380" s="446"/>
      <c r="G380" s="447"/>
      <c r="H380" s="448"/>
      <c r="I380" s="449"/>
    </row>
    <row r="381" spans="2:9" x14ac:dyDescent="0.2">
      <c r="B381" s="444"/>
      <c r="C381" s="445"/>
      <c r="D381" s="445"/>
      <c r="E381" s="445"/>
      <c r="F381" s="446"/>
      <c r="G381" s="447"/>
      <c r="H381" s="448"/>
      <c r="I381" s="449"/>
    </row>
    <row r="382" spans="2:9" x14ac:dyDescent="0.2">
      <c r="B382" s="444"/>
      <c r="C382" s="445"/>
      <c r="D382" s="445"/>
      <c r="E382" s="445"/>
      <c r="F382" s="446"/>
      <c r="G382" s="447"/>
      <c r="H382" s="448"/>
      <c r="I382" s="449"/>
    </row>
    <row r="383" spans="2:9" x14ac:dyDescent="0.2">
      <c r="B383" s="444"/>
      <c r="C383" s="445"/>
      <c r="D383" s="445"/>
      <c r="E383" s="445"/>
      <c r="F383" s="446"/>
      <c r="G383" s="447"/>
      <c r="H383" s="448"/>
      <c r="I383" s="449"/>
    </row>
    <row r="384" spans="2:9" x14ac:dyDescent="0.2">
      <c r="B384" s="444"/>
      <c r="C384" s="445"/>
      <c r="D384" s="445"/>
      <c r="E384" s="445"/>
      <c r="F384" s="446"/>
      <c r="G384" s="447"/>
      <c r="H384" s="448"/>
      <c r="I384" s="449"/>
    </row>
    <row r="385" spans="2:9" x14ac:dyDescent="0.2">
      <c r="B385" s="444"/>
      <c r="C385" s="445"/>
      <c r="D385" s="445"/>
      <c r="E385" s="445"/>
      <c r="F385" s="446"/>
      <c r="G385" s="447"/>
      <c r="H385" s="448"/>
      <c r="I385" s="449"/>
    </row>
    <row r="386" spans="2:9" x14ac:dyDescent="0.2">
      <c r="B386" s="444"/>
      <c r="C386" s="445"/>
      <c r="D386" s="445"/>
      <c r="E386" s="445"/>
      <c r="F386" s="446"/>
      <c r="G386" s="447"/>
      <c r="H386" s="448"/>
      <c r="I386" s="449"/>
    </row>
    <row r="387" spans="2:9" x14ac:dyDescent="0.2">
      <c r="B387" s="444"/>
      <c r="C387" s="445"/>
      <c r="D387" s="445"/>
      <c r="E387" s="445"/>
      <c r="F387" s="446"/>
      <c r="G387" s="447"/>
      <c r="H387" s="448"/>
      <c r="I387" s="449"/>
    </row>
    <row r="388" spans="2:9" x14ac:dyDescent="0.2">
      <c r="B388" s="444"/>
      <c r="C388" s="445"/>
      <c r="D388" s="445"/>
      <c r="E388" s="445"/>
      <c r="F388" s="446"/>
      <c r="G388" s="447"/>
      <c r="H388" s="448"/>
      <c r="I388" s="449"/>
    </row>
    <row r="389" spans="2:9" x14ac:dyDescent="0.2">
      <c r="B389" s="444"/>
      <c r="C389" s="445"/>
      <c r="D389" s="445"/>
      <c r="E389" s="445"/>
      <c r="F389" s="446"/>
      <c r="G389" s="447"/>
      <c r="H389" s="448"/>
      <c r="I389" s="449"/>
    </row>
    <row r="390" spans="2:9" x14ac:dyDescent="0.2">
      <c r="B390" s="444"/>
      <c r="C390" s="445"/>
      <c r="D390" s="445"/>
      <c r="E390" s="445"/>
      <c r="F390" s="446"/>
      <c r="G390" s="447"/>
      <c r="H390" s="448"/>
      <c r="I390" s="449"/>
    </row>
    <row r="391" spans="2:9" x14ac:dyDescent="0.2">
      <c r="B391" s="444"/>
      <c r="C391" s="445"/>
      <c r="D391" s="445"/>
      <c r="E391" s="445"/>
      <c r="F391" s="446"/>
      <c r="G391" s="447"/>
      <c r="H391" s="448"/>
      <c r="I391" s="449"/>
    </row>
    <row r="392" spans="2:9" x14ac:dyDescent="0.2">
      <c r="B392" s="444"/>
      <c r="C392" s="445"/>
      <c r="D392" s="445"/>
      <c r="E392" s="445"/>
      <c r="F392" s="446"/>
      <c r="G392" s="447"/>
      <c r="H392" s="448"/>
      <c r="I392" s="449"/>
    </row>
    <row r="393" spans="2:9" x14ac:dyDescent="0.2">
      <c r="B393" s="444"/>
      <c r="C393" s="445"/>
      <c r="D393" s="445"/>
      <c r="E393" s="445"/>
      <c r="F393" s="446"/>
      <c r="G393" s="447"/>
      <c r="H393" s="448"/>
      <c r="I393" s="449"/>
    </row>
    <row r="394" spans="2:9" x14ac:dyDescent="0.2">
      <c r="B394" s="444"/>
      <c r="C394" s="445"/>
      <c r="D394" s="445"/>
      <c r="E394" s="445"/>
      <c r="F394" s="446"/>
      <c r="G394" s="447"/>
      <c r="H394" s="448"/>
      <c r="I394" s="449"/>
    </row>
    <row r="395" spans="2:9" x14ac:dyDescent="0.2">
      <c r="B395" s="444"/>
      <c r="C395" s="445"/>
      <c r="D395" s="445"/>
      <c r="E395" s="445"/>
      <c r="F395" s="446"/>
      <c r="G395" s="447"/>
      <c r="H395" s="448"/>
      <c r="I395" s="449"/>
    </row>
    <row r="396" spans="2:9" x14ac:dyDescent="0.2">
      <c r="B396" s="444"/>
      <c r="C396" s="445"/>
      <c r="D396" s="445"/>
      <c r="E396" s="445"/>
      <c r="F396" s="446"/>
      <c r="G396" s="447"/>
      <c r="H396" s="448"/>
      <c r="I396" s="449"/>
    </row>
    <row r="397" spans="2:9" x14ac:dyDescent="0.2">
      <c r="B397" s="444"/>
      <c r="C397" s="445"/>
      <c r="D397" s="445"/>
      <c r="E397" s="445"/>
      <c r="F397" s="446"/>
      <c r="G397" s="447"/>
      <c r="H397" s="448"/>
      <c r="I397" s="449"/>
    </row>
    <row r="398" spans="2:9" x14ac:dyDescent="0.2">
      <c r="B398" s="444"/>
      <c r="C398" s="445"/>
      <c r="D398" s="445"/>
      <c r="E398" s="445"/>
      <c r="F398" s="446"/>
      <c r="G398" s="447"/>
      <c r="H398" s="448"/>
      <c r="I398" s="449"/>
    </row>
    <row r="399" spans="2:9" x14ac:dyDescent="0.2">
      <c r="B399" s="444"/>
      <c r="C399" s="445"/>
      <c r="D399" s="445"/>
      <c r="E399" s="445"/>
      <c r="F399" s="446"/>
      <c r="G399" s="447"/>
      <c r="H399" s="448"/>
      <c r="I399" s="449"/>
    </row>
    <row r="400" spans="2:9" x14ac:dyDescent="0.2">
      <c r="B400" s="444"/>
      <c r="C400" s="445"/>
      <c r="D400" s="445"/>
      <c r="E400" s="445"/>
      <c r="F400" s="446"/>
      <c r="G400" s="447"/>
      <c r="H400" s="448"/>
      <c r="I400" s="449"/>
    </row>
    <row r="401" spans="2:9" x14ac:dyDescent="0.2">
      <c r="B401" s="444"/>
      <c r="C401" s="445"/>
      <c r="D401" s="445"/>
      <c r="E401" s="445"/>
      <c r="F401" s="446"/>
      <c r="G401" s="447"/>
      <c r="H401" s="448"/>
      <c r="I401" s="449"/>
    </row>
    <row r="402" spans="2:9" x14ac:dyDescent="0.2">
      <c r="B402" s="444"/>
      <c r="C402" s="445"/>
      <c r="D402" s="445"/>
      <c r="E402" s="445"/>
      <c r="F402" s="446"/>
      <c r="G402" s="447"/>
      <c r="H402" s="448"/>
      <c r="I402" s="449"/>
    </row>
    <row r="403" spans="2:9" x14ac:dyDescent="0.2">
      <c r="B403" s="444"/>
      <c r="C403" s="445"/>
      <c r="D403" s="445"/>
      <c r="E403" s="445"/>
      <c r="F403" s="446"/>
      <c r="G403" s="447"/>
      <c r="H403" s="448"/>
      <c r="I403" s="449"/>
    </row>
    <row r="404" spans="2:9" x14ac:dyDescent="0.2">
      <c r="B404" s="444"/>
      <c r="C404" s="445"/>
      <c r="D404" s="445"/>
      <c r="E404" s="445"/>
      <c r="F404" s="446"/>
      <c r="G404" s="447"/>
      <c r="H404" s="448"/>
      <c r="I404" s="449"/>
    </row>
    <row r="405" spans="2:9" x14ac:dyDescent="0.2">
      <c r="B405" s="444"/>
      <c r="C405" s="445"/>
      <c r="D405" s="445"/>
      <c r="E405" s="445"/>
      <c r="F405" s="446"/>
      <c r="G405" s="447"/>
      <c r="H405" s="448"/>
      <c r="I405" s="449"/>
    </row>
    <row r="406" spans="2:9" x14ac:dyDescent="0.2">
      <c r="B406" s="444"/>
      <c r="C406" s="445"/>
      <c r="D406" s="445"/>
      <c r="E406" s="445"/>
      <c r="F406" s="446"/>
      <c r="G406" s="447"/>
      <c r="H406" s="448"/>
      <c r="I406" s="449"/>
    </row>
    <row r="407" spans="2:9" x14ac:dyDescent="0.2">
      <c r="B407" s="444"/>
      <c r="C407" s="445"/>
      <c r="D407" s="445"/>
      <c r="E407" s="445"/>
      <c r="F407" s="446"/>
      <c r="G407" s="447"/>
      <c r="H407" s="448"/>
      <c r="I407" s="449"/>
    </row>
    <row r="408" spans="2:9" x14ac:dyDescent="0.2">
      <c r="B408" s="444"/>
      <c r="C408" s="445"/>
      <c r="D408" s="445"/>
      <c r="E408" s="445"/>
      <c r="F408" s="446"/>
      <c r="G408" s="447"/>
      <c r="H408" s="448"/>
      <c r="I408" s="449"/>
    </row>
    <row r="409" spans="2:9" x14ac:dyDescent="0.2">
      <c r="B409" s="444"/>
      <c r="C409" s="445"/>
      <c r="D409" s="445"/>
      <c r="E409" s="445"/>
      <c r="F409" s="446"/>
      <c r="G409" s="447"/>
      <c r="H409" s="448"/>
      <c r="I409" s="449"/>
    </row>
    <row r="410" spans="2:9" x14ac:dyDescent="0.2">
      <c r="B410" s="444"/>
      <c r="C410" s="445"/>
      <c r="D410" s="445"/>
      <c r="E410" s="445"/>
      <c r="F410" s="446"/>
      <c r="G410" s="447"/>
      <c r="H410" s="448"/>
      <c r="I410" s="449"/>
    </row>
    <row r="411" spans="2:9" x14ac:dyDescent="0.2">
      <c r="B411" s="444"/>
      <c r="C411" s="445"/>
      <c r="D411" s="445"/>
      <c r="E411" s="445"/>
      <c r="F411" s="446"/>
      <c r="G411" s="447"/>
      <c r="H411" s="448"/>
      <c r="I411" s="449"/>
    </row>
    <row r="412" spans="2:9" x14ac:dyDescent="0.2">
      <c r="B412" s="444"/>
      <c r="C412" s="445"/>
      <c r="D412" s="445"/>
      <c r="E412" s="445"/>
      <c r="F412" s="446"/>
      <c r="G412" s="447"/>
      <c r="H412" s="448"/>
      <c r="I412" s="449"/>
    </row>
    <row r="413" spans="2:9" x14ac:dyDescent="0.2">
      <c r="B413" s="444"/>
      <c r="C413" s="445"/>
      <c r="D413" s="445"/>
      <c r="E413" s="445"/>
      <c r="F413" s="446"/>
      <c r="G413" s="447"/>
      <c r="H413" s="448"/>
      <c r="I413" s="449"/>
    </row>
    <row r="414" spans="2:9" x14ac:dyDescent="0.2">
      <c r="B414" s="444"/>
      <c r="C414" s="445"/>
      <c r="D414" s="445"/>
      <c r="E414" s="445"/>
      <c r="F414" s="446"/>
      <c r="G414" s="447"/>
      <c r="H414" s="448"/>
      <c r="I414" s="449"/>
    </row>
    <row r="415" spans="2:9" x14ac:dyDescent="0.2">
      <c r="B415" s="444"/>
      <c r="C415" s="445"/>
      <c r="D415" s="445"/>
      <c r="E415" s="445"/>
      <c r="F415" s="446"/>
      <c r="G415" s="447"/>
      <c r="H415" s="448"/>
      <c r="I415" s="449"/>
    </row>
    <row r="416" spans="2:9" x14ac:dyDescent="0.2">
      <c r="B416" s="444"/>
      <c r="C416" s="445"/>
      <c r="D416" s="445"/>
      <c r="E416" s="445"/>
      <c r="F416" s="446"/>
      <c r="G416" s="447"/>
      <c r="H416" s="448"/>
      <c r="I416" s="449"/>
    </row>
    <row r="417" spans="2:9" x14ac:dyDescent="0.2">
      <c r="B417" s="444"/>
      <c r="C417" s="445"/>
      <c r="D417" s="445"/>
      <c r="E417" s="445"/>
      <c r="F417" s="446"/>
      <c r="G417" s="447"/>
      <c r="H417" s="448"/>
      <c r="I417" s="449"/>
    </row>
    <row r="418" spans="2:9" x14ac:dyDescent="0.2">
      <c r="B418" s="444"/>
      <c r="C418" s="445"/>
      <c r="D418" s="445"/>
      <c r="E418" s="445"/>
      <c r="F418" s="446"/>
      <c r="G418" s="447"/>
      <c r="H418" s="448"/>
      <c r="I418" s="449"/>
    </row>
    <row r="419" spans="2:9" x14ac:dyDescent="0.2">
      <c r="B419" s="444"/>
      <c r="C419" s="445"/>
      <c r="D419" s="445"/>
      <c r="E419" s="445"/>
      <c r="F419" s="446"/>
      <c r="G419" s="447"/>
      <c r="H419" s="448"/>
      <c r="I419" s="449"/>
    </row>
    <row r="420" spans="2:9" x14ac:dyDescent="0.2">
      <c r="B420" s="444"/>
      <c r="C420" s="445"/>
      <c r="D420" s="445"/>
      <c r="E420" s="445"/>
      <c r="F420" s="446"/>
      <c r="G420" s="447"/>
      <c r="H420" s="448"/>
      <c r="I420" s="449"/>
    </row>
    <row r="421" spans="2:9" x14ac:dyDescent="0.2">
      <c r="B421" s="444"/>
      <c r="C421" s="445"/>
      <c r="D421" s="445"/>
      <c r="E421" s="445"/>
      <c r="F421" s="446"/>
      <c r="G421" s="447"/>
      <c r="H421" s="448"/>
      <c r="I421" s="449"/>
    </row>
    <row r="422" spans="2:9" x14ac:dyDescent="0.2">
      <c r="B422" s="444"/>
      <c r="C422" s="445"/>
      <c r="D422" s="445"/>
      <c r="E422" s="445"/>
      <c r="F422" s="446"/>
      <c r="G422" s="447"/>
      <c r="H422" s="448"/>
      <c r="I422" s="449"/>
    </row>
    <row r="423" spans="2:9" x14ac:dyDescent="0.2">
      <c r="B423" s="444"/>
      <c r="C423" s="445"/>
      <c r="D423" s="445"/>
      <c r="E423" s="445"/>
      <c r="F423" s="446"/>
      <c r="G423" s="447"/>
      <c r="H423" s="448"/>
      <c r="I423" s="449"/>
    </row>
    <row r="424" spans="2:9" x14ac:dyDescent="0.2">
      <c r="B424" s="444"/>
      <c r="C424" s="445"/>
      <c r="D424" s="445"/>
      <c r="E424" s="445"/>
      <c r="F424" s="446"/>
      <c r="G424" s="447"/>
      <c r="H424" s="448"/>
      <c r="I424" s="449"/>
    </row>
    <row r="425" spans="2:9" x14ac:dyDescent="0.2">
      <c r="B425" s="444"/>
      <c r="C425" s="445"/>
      <c r="D425" s="445"/>
      <c r="E425" s="445"/>
      <c r="F425" s="446"/>
      <c r="G425" s="447"/>
      <c r="H425" s="448"/>
      <c r="I425" s="449"/>
    </row>
    <row r="426" spans="2:9" x14ac:dyDescent="0.2">
      <c r="B426" s="444"/>
      <c r="C426" s="445"/>
      <c r="D426" s="445"/>
      <c r="E426" s="445"/>
      <c r="F426" s="446"/>
      <c r="G426" s="447"/>
      <c r="H426" s="448"/>
      <c r="I426" s="449"/>
    </row>
    <row r="427" spans="2:9" x14ac:dyDescent="0.2">
      <c r="B427" s="444"/>
      <c r="C427" s="445"/>
      <c r="D427" s="445"/>
      <c r="E427" s="445"/>
      <c r="F427" s="446"/>
      <c r="G427" s="447"/>
      <c r="H427" s="448"/>
      <c r="I427" s="449"/>
    </row>
    <row r="428" spans="2:9" x14ac:dyDescent="0.2">
      <c r="B428" s="444"/>
      <c r="C428" s="445"/>
      <c r="D428" s="445"/>
      <c r="E428" s="445"/>
      <c r="F428" s="446"/>
      <c r="G428" s="447"/>
      <c r="H428" s="448"/>
      <c r="I428" s="449"/>
    </row>
    <row r="429" spans="2:9" x14ac:dyDescent="0.2">
      <c r="B429" s="444"/>
      <c r="C429" s="445"/>
      <c r="D429" s="445"/>
      <c r="E429" s="445"/>
      <c r="F429" s="446"/>
      <c r="G429" s="447"/>
      <c r="H429" s="448"/>
      <c r="I429" s="449"/>
    </row>
    <row r="430" spans="2:9" x14ac:dyDescent="0.2">
      <c r="B430" s="444"/>
      <c r="C430" s="445"/>
      <c r="D430" s="445"/>
      <c r="E430" s="445"/>
      <c r="F430" s="446"/>
      <c r="G430" s="447"/>
      <c r="H430" s="448"/>
      <c r="I430" s="449"/>
    </row>
    <row r="431" spans="2:9" x14ac:dyDescent="0.2">
      <c r="B431" s="444"/>
      <c r="C431" s="445"/>
      <c r="D431" s="445"/>
      <c r="E431" s="445"/>
      <c r="F431" s="446"/>
      <c r="G431" s="447"/>
      <c r="H431" s="448"/>
      <c r="I431" s="449"/>
    </row>
    <row r="432" spans="2:9" x14ac:dyDescent="0.2">
      <c r="B432" s="444"/>
      <c r="C432" s="445"/>
      <c r="D432" s="445"/>
      <c r="E432" s="445"/>
      <c r="F432" s="446"/>
      <c r="G432" s="447"/>
      <c r="H432" s="448"/>
      <c r="I432" s="449"/>
    </row>
    <row r="433" spans="2:9" x14ac:dyDescent="0.2">
      <c r="B433" s="444"/>
      <c r="C433" s="445"/>
      <c r="D433" s="445"/>
      <c r="E433" s="445"/>
      <c r="F433" s="446"/>
      <c r="G433" s="447"/>
      <c r="H433" s="448"/>
      <c r="I433" s="449"/>
    </row>
    <row r="434" spans="2:9" x14ac:dyDescent="0.2">
      <c r="B434" s="444"/>
      <c r="C434" s="445"/>
      <c r="D434" s="445"/>
      <c r="E434" s="445"/>
      <c r="F434" s="446"/>
      <c r="G434" s="447"/>
      <c r="H434" s="448"/>
      <c r="I434" s="449"/>
    </row>
    <row r="435" spans="2:9" x14ac:dyDescent="0.2">
      <c r="B435" s="444"/>
      <c r="C435" s="445"/>
      <c r="D435" s="445"/>
      <c r="E435" s="445"/>
      <c r="F435" s="446"/>
      <c r="G435" s="447"/>
      <c r="H435" s="448"/>
      <c r="I435" s="449"/>
    </row>
    <row r="436" spans="2:9" x14ac:dyDescent="0.2">
      <c r="B436" s="444"/>
      <c r="C436" s="445"/>
      <c r="D436" s="445"/>
      <c r="E436" s="445"/>
      <c r="F436" s="446"/>
      <c r="G436" s="447"/>
      <c r="H436" s="448"/>
      <c r="I436" s="449"/>
    </row>
    <row r="437" spans="2:9" x14ac:dyDescent="0.2">
      <c r="B437" s="444"/>
      <c r="C437" s="445"/>
      <c r="D437" s="445"/>
      <c r="E437" s="445"/>
      <c r="F437" s="446"/>
      <c r="G437" s="447"/>
      <c r="H437" s="448"/>
      <c r="I437" s="449"/>
    </row>
    <row r="438" spans="2:9" x14ac:dyDescent="0.2">
      <c r="B438" s="444"/>
      <c r="C438" s="445"/>
      <c r="D438" s="445"/>
      <c r="E438" s="445"/>
      <c r="F438" s="446"/>
      <c r="G438" s="447"/>
      <c r="H438" s="448"/>
      <c r="I438" s="449"/>
    </row>
    <row r="439" spans="2:9" x14ac:dyDescent="0.2">
      <c r="B439" s="444"/>
      <c r="C439" s="445"/>
      <c r="D439" s="445"/>
      <c r="E439" s="445"/>
      <c r="F439" s="446"/>
      <c r="G439" s="447"/>
      <c r="H439" s="448"/>
      <c r="I439" s="449"/>
    </row>
    <row r="440" spans="2:9" x14ac:dyDescent="0.2">
      <c r="B440" s="444"/>
      <c r="C440" s="445"/>
      <c r="D440" s="445"/>
      <c r="E440" s="445"/>
      <c r="F440" s="446"/>
      <c r="G440" s="447"/>
      <c r="H440" s="448"/>
      <c r="I440" s="449"/>
    </row>
    <row r="441" spans="2:9" x14ac:dyDescent="0.2">
      <c r="B441" s="444"/>
      <c r="C441" s="445"/>
      <c r="D441" s="445"/>
      <c r="E441" s="445"/>
      <c r="F441" s="446"/>
      <c r="G441" s="447"/>
      <c r="H441" s="448"/>
      <c r="I441" s="449"/>
    </row>
    <row r="442" spans="2:9" x14ac:dyDescent="0.2">
      <c r="B442" s="444"/>
      <c r="C442" s="445"/>
      <c r="D442" s="445"/>
      <c r="E442" s="445"/>
      <c r="F442" s="446"/>
      <c r="G442" s="447"/>
      <c r="H442" s="448"/>
      <c r="I442" s="449"/>
    </row>
    <row r="443" spans="2:9" x14ac:dyDescent="0.2">
      <c r="B443" s="444"/>
      <c r="C443" s="445"/>
      <c r="D443" s="445"/>
      <c r="E443" s="445"/>
      <c r="F443" s="446"/>
      <c r="G443" s="447"/>
      <c r="H443" s="448"/>
      <c r="I443" s="449"/>
    </row>
    <row r="444" spans="2:9" x14ac:dyDescent="0.2">
      <c r="B444" s="444"/>
      <c r="C444" s="445"/>
      <c r="D444" s="445"/>
      <c r="E444" s="445"/>
      <c r="F444" s="446"/>
      <c r="G444" s="447"/>
      <c r="H444" s="448"/>
      <c r="I444" s="449"/>
    </row>
    <row r="445" spans="2:9" x14ac:dyDescent="0.2">
      <c r="B445" s="444"/>
      <c r="C445" s="445"/>
      <c r="D445" s="445"/>
      <c r="E445" s="445"/>
      <c r="F445" s="446"/>
      <c r="G445" s="447"/>
      <c r="H445" s="448"/>
      <c r="I445" s="449"/>
    </row>
    <row r="446" spans="2:9" x14ac:dyDescent="0.2">
      <c r="B446" s="444"/>
      <c r="C446" s="445"/>
      <c r="D446" s="445"/>
      <c r="E446" s="445"/>
      <c r="F446" s="446"/>
      <c r="G446" s="447"/>
      <c r="H446" s="448"/>
      <c r="I446" s="449"/>
    </row>
    <row r="447" spans="2:9" x14ac:dyDescent="0.2">
      <c r="B447" s="444"/>
      <c r="C447" s="445"/>
      <c r="D447" s="445"/>
      <c r="E447" s="445"/>
      <c r="F447" s="446"/>
      <c r="G447" s="447"/>
      <c r="H447" s="448"/>
      <c r="I447" s="449"/>
    </row>
    <row r="448" spans="2:9" x14ac:dyDescent="0.2">
      <c r="B448" s="444"/>
      <c r="C448" s="445"/>
      <c r="D448" s="445"/>
      <c r="E448" s="445"/>
      <c r="F448" s="446"/>
      <c r="G448" s="447"/>
      <c r="H448" s="448"/>
      <c r="I448" s="449"/>
    </row>
    <row r="449" spans="2:9" x14ac:dyDescent="0.2">
      <c r="B449" s="444"/>
      <c r="C449" s="445"/>
      <c r="D449" s="445"/>
      <c r="E449" s="445"/>
      <c r="F449" s="446"/>
      <c r="G449" s="447"/>
      <c r="H449" s="448"/>
      <c r="I449" s="449"/>
    </row>
    <row r="450" spans="2:9" x14ac:dyDescent="0.2">
      <c r="B450" s="444"/>
      <c r="C450" s="445"/>
      <c r="D450" s="445"/>
      <c r="E450" s="445"/>
      <c r="F450" s="446"/>
      <c r="G450" s="447"/>
      <c r="H450" s="448"/>
      <c r="I450" s="449"/>
    </row>
    <row r="451" spans="2:9" x14ac:dyDescent="0.2">
      <c r="B451" s="444"/>
      <c r="C451" s="445"/>
      <c r="D451" s="445"/>
      <c r="E451" s="445"/>
      <c r="F451" s="446"/>
      <c r="G451" s="447"/>
      <c r="H451" s="448"/>
      <c r="I451" s="449"/>
    </row>
    <row r="452" spans="2:9" x14ac:dyDescent="0.2">
      <c r="B452" s="444"/>
      <c r="C452" s="445"/>
      <c r="D452" s="445"/>
      <c r="E452" s="445"/>
      <c r="F452" s="446"/>
      <c r="G452" s="447"/>
      <c r="H452" s="448"/>
      <c r="I452" s="449"/>
    </row>
    <row r="453" spans="2:9" x14ac:dyDescent="0.2">
      <c r="B453" s="444"/>
      <c r="C453" s="445"/>
      <c r="D453" s="445"/>
      <c r="E453" s="445"/>
      <c r="F453" s="446"/>
      <c r="G453" s="447"/>
      <c r="H453" s="448"/>
      <c r="I453" s="449"/>
    </row>
    <row r="454" spans="2:9" x14ac:dyDescent="0.2">
      <c r="B454" s="444"/>
      <c r="C454" s="445"/>
      <c r="D454" s="445"/>
      <c r="E454" s="445"/>
      <c r="F454" s="446"/>
      <c r="G454" s="447"/>
      <c r="H454" s="448"/>
      <c r="I454" s="449"/>
    </row>
    <row r="455" spans="2:9" x14ac:dyDescent="0.2">
      <c r="B455" s="444"/>
      <c r="C455" s="445"/>
      <c r="D455" s="445"/>
      <c r="E455" s="445"/>
      <c r="F455" s="446"/>
      <c r="G455" s="447"/>
      <c r="H455" s="448"/>
      <c r="I455" s="449"/>
    </row>
    <row r="456" spans="2:9" x14ac:dyDescent="0.2">
      <c r="B456" s="444"/>
      <c r="C456" s="445"/>
      <c r="D456" s="445"/>
      <c r="E456" s="445"/>
      <c r="F456" s="446"/>
      <c r="G456" s="447"/>
      <c r="H456" s="448"/>
      <c r="I456" s="449"/>
    </row>
    <row r="457" spans="2:9" x14ac:dyDescent="0.2">
      <c r="B457" s="444"/>
      <c r="C457" s="445"/>
      <c r="D457" s="445"/>
      <c r="E457" s="445"/>
      <c r="F457" s="446"/>
      <c r="G457" s="447"/>
      <c r="H457" s="448"/>
      <c r="I457" s="449"/>
    </row>
    <row r="458" spans="2:9" x14ac:dyDescent="0.2">
      <c r="B458" s="444"/>
      <c r="C458" s="445"/>
      <c r="D458" s="445"/>
      <c r="E458" s="445"/>
      <c r="F458" s="446"/>
      <c r="G458" s="447"/>
      <c r="H458" s="448"/>
      <c r="I458" s="449"/>
    </row>
    <row r="459" spans="2:9" x14ac:dyDescent="0.2">
      <c r="B459" s="444"/>
      <c r="C459" s="445"/>
      <c r="D459" s="445"/>
      <c r="E459" s="445"/>
      <c r="F459" s="446"/>
      <c r="G459" s="447"/>
      <c r="H459" s="448"/>
      <c r="I459" s="449"/>
    </row>
    <row r="460" spans="2:9" x14ac:dyDescent="0.2">
      <c r="B460" s="444"/>
      <c r="C460" s="445"/>
      <c r="D460" s="445"/>
      <c r="E460" s="445"/>
      <c r="F460" s="446"/>
      <c r="G460" s="447"/>
      <c r="H460" s="448"/>
      <c r="I460" s="449"/>
    </row>
    <row r="461" spans="2:9" x14ac:dyDescent="0.2">
      <c r="B461" s="444"/>
      <c r="C461" s="445"/>
      <c r="D461" s="445"/>
      <c r="E461" s="445"/>
      <c r="F461" s="446"/>
      <c r="G461" s="447"/>
      <c r="H461" s="448"/>
      <c r="I461" s="449"/>
    </row>
    <row r="462" spans="2:9" x14ac:dyDescent="0.2">
      <c r="B462" s="444"/>
      <c r="C462" s="445"/>
      <c r="D462" s="445"/>
      <c r="E462" s="445"/>
      <c r="F462" s="446"/>
      <c r="G462" s="447"/>
      <c r="H462" s="448"/>
      <c r="I462" s="449"/>
    </row>
    <row r="463" spans="2:9" x14ac:dyDescent="0.2">
      <c r="B463" s="444"/>
      <c r="C463" s="445"/>
      <c r="D463" s="445"/>
      <c r="E463" s="445"/>
      <c r="F463" s="446"/>
      <c r="G463" s="447"/>
      <c r="H463" s="448"/>
      <c r="I463" s="449"/>
    </row>
    <row r="464" spans="2:9" x14ac:dyDescent="0.2">
      <c r="B464" s="444"/>
      <c r="C464" s="445"/>
      <c r="D464" s="445"/>
      <c r="E464" s="445"/>
      <c r="F464" s="446"/>
      <c r="G464" s="447"/>
      <c r="H464" s="448"/>
      <c r="I464" s="449"/>
    </row>
    <row r="465" spans="2:9" x14ac:dyDescent="0.2">
      <c r="B465" s="444"/>
      <c r="C465" s="445"/>
      <c r="D465" s="445"/>
      <c r="E465" s="445"/>
      <c r="F465" s="446"/>
      <c r="G465" s="447"/>
      <c r="H465" s="448"/>
      <c r="I465" s="449"/>
    </row>
    <row r="466" spans="2:9" x14ac:dyDescent="0.2">
      <c r="B466" s="444"/>
      <c r="C466" s="445"/>
      <c r="D466" s="445"/>
      <c r="E466" s="445"/>
      <c r="F466" s="446"/>
      <c r="G466" s="447"/>
      <c r="H466" s="448"/>
      <c r="I466" s="449"/>
    </row>
    <row r="467" spans="2:9" x14ac:dyDescent="0.2">
      <c r="B467" s="444"/>
      <c r="C467" s="445"/>
      <c r="D467" s="445"/>
      <c r="E467" s="445"/>
      <c r="F467" s="446"/>
      <c r="G467" s="447"/>
      <c r="H467" s="448"/>
      <c r="I467" s="449"/>
    </row>
    <row r="468" spans="2:9" x14ac:dyDescent="0.2">
      <c r="B468" s="444"/>
      <c r="C468" s="445"/>
      <c r="D468" s="445"/>
      <c r="E468" s="445"/>
      <c r="F468" s="446"/>
      <c r="G468" s="447"/>
      <c r="H468" s="448"/>
      <c r="I468" s="449"/>
    </row>
    <row r="469" spans="2:9" x14ac:dyDescent="0.2">
      <c r="B469" s="444"/>
      <c r="C469" s="445"/>
      <c r="D469" s="445"/>
      <c r="E469" s="445"/>
      <c r="F469" s="446"/>
      <c r="G469" s="447"/>
      <c r="H469" s="448"/>
      <c r="I469" s="449"/>
    </row>
    <row r="470" spans="2:9" x14ac:dyDescent="0.2">
      <c r="B470" s="444"/>
      <c r="C470" s="445"/>
      <c r="D470" s="445"/>
      <c r="E470" s="445"/>
      <c r="F470" s="446"/>
      <c r="G470" s="447"/>
      <c r="H470" s="448"/>
      <c r="I470" s="449"/>
    </row>
    <row r="471" spans="2:9" x14ac:dyDescent="0.2">
      <c r="B471" s="444"/>
      <c r="C471" s="445"/>
      <c r="D471" s="445"/>
      <c r="E471" s="445"/>
      <c r="F471" s="446"/>
      <c r="G471" s="447"/>
      <c r="H471" s="448"/>
      <c r="I471" s="449"/>
    </row>
    <row r="472" spans="2:9" x14ac:dyDescent="0.2">
      <c r="B472" s="444"/>
      <c r="C472" s="445"/>
      <c r="D472" s="445"/>
      <c r="E472" s="445"/>
      <c r="F472" s="446"/>
      <c r="G472" s="447"/>
      <c r="H472" s="448"/>
      <c r="I472" s="449"/>
    </row>
    <row r="473" spans="2:9" x14ac:dyDescent="0.2">
      <c r="B473" s="444"/>
      <c r="C473" s="445"/>
      <c r="D473" s="445"/>
      <c r="E473" s="445"/>
      <c r="F473" s="446"/>
      <c r="G473" s="447"/>
      <c r="H473" s="448"/>
      <c r="I473" s="449"/>
    </row>
    <row r="474" spans="2:9" x14ac:dyDescent="0.2">
      <c r="B474" s="444"/>
      <c r="C474" s="445"/>
      <c r="D474" s="445"/>
      <c r="E474" s="445"/>
      <c r="F474" s="446"/>
      <c r="G474" s="447"/>
      <c r="H474" s="448"/>
      <c r="I474" s="449"/>
    </row>
    <row r="475" spans="2:9" x14ac:dyDescent="0.2">
      <c r="B475" s="444"/>
      <c r="C475" s="445"/>
      <c r="D475" s="445"/>
      <c r="E475" s="445"/>
      <c r="F475" s="446"/>
      <c r="G475" s="447"/>
      <c r="H475" s="448"/>
      <c r="I475" s="449"/>
    </row>
    <row r="476" spans="2:9" x14ac:dyDescent="0.2">
      <c r="B476" s="444"/>
      <c r="C476" s="445"/>
      <c r="D476" s="445"/>
      <c r="E476" s="445"/>
      <c r="F476" s="446"/>
      <c r="G476" s="447"/>
      <c r="H476" s="448"/>
      <c r="I476" s="449"/>
    </row>
    <row r="477" spans="2:9" x14ac:dyDescent="0.2">
      <c r="B477" s="444"/>
      <c r="C477" s="445"/>
      <c r="D477" s="445"/>
      <c r="E477" s="445"/>
      <c r="F477" s="446"/>
      <c r="G477" s="447"/>
      <c r="H477" s="448"/>
      <c r="I477" s="449"/>
    </row>
    <row r="478" spans="2:9" x14ac:dyDescent="0.2">
      <c r="B478" s="444"/>
      <c r="C478" s="445"/>
      <c r="D478" s="445"/>
      <c r="E478" s="445"/>
      <c r="F478" s="446"/>
      <c r="G478" s="447"/>
      <c r="H478" s="448"/>
      <c r="I478" s="449"/>
    </row>
    <row r="479" spans="2:9" x14ac:dyDescent="0.2">
      <c r="B479" s="444"/>
      <c r="C479" s="445"/>
      <c r="D479" s="445"/>
      <c r="E479" s="445"/>
      <c r="F479" s="446"/>
      <c r="G479" s="447"/>
      <c r="H479" s="448"/>
      <c r="I479" s="449"/>
    </row>
    <row r="480" spans="2:9" x14ac:dyDescent="0.2">
      <c r="B480" s="444"/>
      <c r="C480" s="445"/>
      <c r="D480" s="445"/>
      <c r="E480" s="445"/>
      <c r="F480" s="446"/>
      <c r="G480" s="447"/>
      <c r="H480" s="448"/>
      <c r="I480" s="449"/>
    </row>
    <row r="481" spans="2:9" x14ac:dyDescent="0.2">
      <c r="B481" s="444"/>
      <c r="C481" s="445"/>
      <c r="D481" s="445"/>
      <c r="E481" s="445"/>
      <c r="F481" s="446"/>
      <c r="G481" s="447"/>
      <c r="H481" s="448"/>
      <c r="I481" s="449"/>
    </row>
    <row r="482" spans="2:9" x14ac:dyDescent="0.2">
      <c r="B482" s="444"/>
      <c r="C482" s="445"/>
      <c r="D482" s="445"/>
      <c r="E482" s="445"/>
      <c r="F482" s="446"/>
      <c r="G482" s="447"/>
      <c r="H482" s="448"/>
      <c r="I482" s="449"/>
    </row>
    <row r="483" spans="2:9" x14ac:dyDescent="0.2">
      <c r="B483" s="444"/>
      <c r="C483" s="445"/>
      <c r="D483" s="445"/>
      <c r="E483" s="445"/>
      <c r="F483" s="446"/>
      <c r="G483" s="447"/>
      <c r="H483" s="448"/>
      <c r="I483" s="449"/>
    </row>
    <row r="484" spans="2:9" x14ac:dyDescent="0.2">
      <c r="B484" s="444"/>
      <c r="C484" s="445"/>
      <c r="D484" s="445"/>
      <c r="E484" s="445"/>
      <c r="F484" s="446"/>
      <c r="G484" s="447"/>
      <c r="H484" s="448"/>
      <c r="I484" s="449"/>
    </row>
    <row r="485" spans="2:9" x14ac:dyDescent="0.2">
      <c r="B485" s="444"/>
      <c r="C485" s="445"/>
      <c r="D485" s="445"/>
      <c r="E485" s="445"/>
      <c r="F485" s="446"/>
      <c r="G485" s="447"/>
      <c r="H485" s="448"/>
      <c r="I485" s="449"/>
    </row>
    <row r="486" spans="2:9" x14ac:dyDescent="0.2">
      <c r="B486" s="444"/>
      <c r="C486" s="445"/>
      <c r="D486" s="445"/>
      <c r="E486" s="445"/>
      <c r="F486" s="446"/>
      <c r="G486" s="447"/>
      <c r="H486" s="448"/>
      <c r="I486" s="449"/>
    </row>
    <row r="487" spans="2:9" x14ac:dyDescent="0.2">
      <c r="B487" s="444"/>
      <c r="C487" s="445"/>
      <c r="D487" s="445"/>
      <c r="E487" s="445"/>
      <c r="F487" s="446"/>
      <c r="G487" s="447"/>
      <c r="H487" s="448"/>
      <c r="I487" s="449"/>
    </row>
    <row r="488" spans="2:9" x14ac:dyDescent="0.2">
      <c r="B488" s="444"/>
      <c r="C488" s="445"/>
      <c r="D488" s="445"/>
      <c r="E488" s="445"/>
      <c r="F488" s="446"/>
      <c r="G488" s="447"/>
      <c r="H488" s="448"/>
      <c r="I488" s="449"/>
    </row>
    <row r="489" spans="2:9" x14ac:dyDescent="0.2">
      <c r="B489" s="444"/>
      <c r="C489" s="445"/>
      <c r="D489" s="445"/>
      <c r="E489" s="445"/>
      <c r="F489" s="446"/>
      <c r="G489" s="447"/>
      <c r="H489" s="448"/>
      <c r="I489" s="449"/>
    </row>
    <row r="490" spans="2:9" x14ac:dyDescent="0.2">
      <c r="B490" s="444"/>
      <c r="C490" s="445"/>
      <c r="D490" s="445"/>
      <c r="E490" s="445"/>
      <c r="F490" s="446"/>
      <c r="G490" s="447"/>
      <c r="H490" s="448"/>
      <c r="I490" s="449"/>
    </row>
    <row r="491" spans="2:9" x14ac:dyDescent="0.2">
      <c r="B491" s="444"/>
      <c r="C491" s="445"/>
      <c r="D491" s="445"/>
      <c r="E491" s="445"/>
      <c r="F491" s="446"/>
      <c r="G491" s="447"/>
      <c r="H491" s="448"/>
      <c r="I491" s="449"/>
    </row>
    <row r="492" spans="2:9" x14ac:dyDescent="0.2">
      <c r="B492" s="444"/>
      <c r="C492" s="445"/>
      <c r="D492" s="445"/>
      <c r="E492" s="445"/>
      <c r="F492" s="446"/>
      <c r="G492" s="447"/>
      <c r="H492" s="448"/>
      <c r="I492" s="449"/>
    </row>
    <row r="493" spans="2:9" x14ac:dyDescent="0.2">
      <c r="B493" s="444"/>
      <c r="C493" s="445"/>
      <c r="D493" s="445"/>
      <c r="E493" s="445"/>
      <c r="F493" s="446"/>
      <c r="G493" s="447"/>
      <c r="H493" s="448"/>
      <c r="I493" s="449"/>
    </row>
    <row r="494" spans="2:9" x14ac:dyDescent="0.2">
      <c r="B494" s="444"/>
      <c r="C494" s="445"/>
      <c r="D494" s="445"/>
      <c r="E494" s="445"/>
      <c r="F494" s="446"/>
      <c r="G494" s="447"/>
      <c r="H494" s="448"/>
      <c r="I494" s="449"/>
    </row>
    <row r="495" spans="2:9" x14ac:dyDescent="0.2">
      <c r="B495" s="444"/>
      <c r="C495" s="445"/>
      <c r="D495" s="445"/>
      <c r="E495" s="445"/>
      <c r="F495" s="446"/>
      <c r="G495" s="447"/>
      <c r="H495" s="448"/>
      <c r="I495" s="449"/>
    </row>
    <row r="496" spans="2:9" x14ac:dyDescent="0.2">
      <c r="B496" s="444"/>
      <c r="C496" s="445"/>
      <c r="D496" s="445"/>
      <c r="E496" s="445"/>
      <c r="F496" s="446"/>
      <c r="G496" s="447"/>
      <c r="H496" s="448"/>
      <c r="I496" s="449"/>
    </row>
    <row r="497" spans="2:9" x14ac:dyDescent="0.2">
      <c r="B497" s="444"/>
      <c r="C497" s="445"/>
      <c r="D497" s="445"/>
      <c r="E497" s="445"/>
      <c r="F497" s="446"/>
      <c r="G497" s="447"/>
      <c r="H497" s="448"/>
      <c r="I497" s="449"/>
    </row>
    <row r="498" spans="2:9" x14ac:dyDescent="0.2">
      <c r="B498" s="444"/>
      <c r="C498" s="445"/>
      <c r="D498" s="445"/>
      <c r="E498" s="445"/>
      <c r="F498" s="446"/>
      <c r="G498" s="447"/>
      <c r="H498" s="448"/>
      <c r="I498" s="449"/>
    </row>
    <row r="499" spans="2:9" x14ac:dyDescent="0.2">
      <c r="B499" s="444"/>
      <c r="C499" s="445"/>
      <c r="D499" s="445"/>
      <c r="E499" s="445"/>
      <c r="F499" s="446"/>
      <c r="G499" s="447"/>
      <c r="H499" s="448"/>
      <c r="I499" s="449"/>
    </row>
    <row r="500" spans="2:9" x14ac:dyDescent="0.2">
      <c r="B500" s="444"/>
      <c r="C500" s="445"/>
      <c r="D500" s="445"/>
      <c r="E500" s="445"/>
      <c r="F500" s="446"/>
      <c r="G500" s="447"/>
      <c r="H500" s="448"/>
      <c r="I500" s="449"/>
    </row>
    <row r="501" spans="2:9" x14ac:dyDescent="0.2">
      <c r="B501" s="444"/>
      <c r="C501" s="445"/>
      <c r="D501" s="445"/>
      <c r="E501" s="445"/>
      <c r="F501" s="446"/>
      <c r="G501" s="447"/>
      <c r="H501" s="448"/>
      <c r="I501" s="449"/>
    </row>
    <row r="502" spans="2:9" x14ac:dyDescent="0.2">
      <c r="B502" s="444"/>
      <c r="C502" s="445"/>
      <c r="D502" s="445"/>
      <c r="E502" s="445"/>
      <c r="F502" s="446"/>
      <c r="G502" s="447"/>
      <c r="H502" s="448"/>
      <c r="I502" s="449"/>
    </row>
    <row r="503" spans="2:9" x14ac:dyDescent="0.2">
      <c r="B503" s="444"/>
      <c r="C503" s="445"/>
      <c r="D503" s="445"/>
      <c r="E503" s="445"/>
      <c r="F503" s="446"/>
      <c r="G503" s="447"/>
      <c r="H503" s="448"/>
      <c r="I503" s="449"/>
    </row>
    <row r="504" spans="2:9" x14ac:dyDescent="0.2">
      <c r="B504" s="444"/>
      <c r="C504" s="445"/>
      <c r="D504" s="445"/>
      <c r="E504" s="445"/>
      <c r="F504" s="446"/>
      <c r="G504" s="447"/>
      <c r="H504" s="448"/>
      <c r="I504" s="449"/>
    </row>
    <row r="505" spans="2:9" x14ac:dyDescent="0.2">
      <c r="B505" s="444"/>
      <c r="C505" s="445"/>
      <c r="D505" s="445"/>
      <c r="E505" s="445"/>
      <c r="F505" s="446"/>
      <c r="G505" s="447"/>
      <c r="H505" s="448"/>
      <c r="I505" s="449"/>
    </row>
    <row r="506" spans="2:9" x14ac:dyDescent="0.2">
      <c r="B506" s="444"/>
      <c r="C506" s="445"/>
      <c r="D506" s="445"/>
      <c r="E506" s="445"/>
      <c r="F506" s="446"/>
      <c r="G506" s="447"/>
      <c r="H506" s="448"/>
      <c r="I506" s="449"/>
    </row>
    <row r="507" spans="2:9" x14ac:dyDescent="0.2">
      <c r="B507" s="444"/>
      <c r="C507" s="445"/>
      <c r="D507" s="445"/>
      <c r="E507" s="445"/>
      <c r="F507" s="446"/>
      <c r="G507" s="447"/>
      <c r="H507" s="448"/>
      <c r="I507" s="449"/>
    </row>
    <row r="508" spans="2:9" x14ac:dyDescent="0.2">
      <c r="B508" s="444"/>
      <c r="C508" s="445"/>
      <c r="D508" s="445"/>
      <c r="E508" s="445"/>
      <c r="F508" s="446"/>
      <c r="G508" s="447"/>
      <c r="H508" s="448"/>
      <c r="I508" s="449"/>
    </row>
    <row r="509" spans="2:9" x14ac:dyDescent="0.2">
      <c r="B509" s="444"/>
      <c r="C509" s="445"/>
      <c r="D509" s="445"/>
      <c r="E509" s="445"/>
      <c r="F509" s="446"/>
      <c r="G509" s="447"/>
      <c r="H509" s="448"/>
      <c r="I509" s="449"/>
    </row>
    <row r="510" spans="2:9" x14ac:dyDescent="0.2">
      <c r="B510" s="444"/>
      <c r="C510" s="445"/>
      <c r="D510" s="445"/>
      <c r="E510" s="445"/>
      <c r="F510" s="446"/>
      <c r="G510" s="447"/>
      <c r="H510" s="448"/>
      <c r="I510" s="449"/>
    </row>
    <row r="511" spans="2:9" x14ac:dyDescent="0.2">
      <c r="B511" s="444"/>
      <c r="C511" s="445"/>
      <c r="D511" s="445"/>
      <c r="E511" s="445"/>
      <c r="F511" s="446"/>
      <c r="G511" s="447"/>
      <c r="H511" s="448"/>
      <c r="I511" s="449"/>
    </row>
    <row r="512" spans="2:9" x14ac:dyDescent="0.2">
      <c r="B512" s="444"/>
      <c r="C512" s="445"/>
      <c r="D512" s="445"/>
      <c r="E512" s="445"/>
      <c r="F512" s="446"/>
      <c r="G512" s="447"/>
      <c r="H512" s="448"/>
      <c r="I512" s="449"/>
    </row>
    <row r="513" spans="2:9" x14ac:dyDescent="0.2">
      <c r="B513" s="444"/>
      <c r="C513" s="445"/>
      <c r="D513" s="445"/>
      <c r="E513" s="445"/>
      <c r="F513" s="446"/>
      <c r="G513" s="447"/>
      <c r="H513" s="448"/>
      <c r="I513" s="449"/>
    </row>
    <row r="514" spans="2:9" x14ac:dyDescent="0.2">
      <c r="B514" s="444"/>
      <c r="C514" s="445"/>
      <c r="D514" s="445"/>
      <c r="E514" s="445"/>
      <c r="F514" s="446"/>
      <c r="G514" s="447"/>
      <c r="H514" s="448"/>
      <c r="I514" s="449"/>
    </row>
    <row r="515" spans="2:9" x14ac:dyDescent="0.2">
      <c r="B515" s="444"/>
      <c r="C515" s="445"/>
      <c r="D515" s="445"/>
      <c r="E515" s="445"/>
      <c r="F515" s="446"/>
      <c r="G515" s="447"/>
      <c r="H515" s="448"/>
      <c r="I515" s="449"/>
    </row>
    <row r="516" spans="2:9" x14ac:dyDescent="0.2">
      <c r="B516" s="444"/>
      <c r="C516" s="445"/>
      <c r="D516" s="445"/>
      <c r="E516" s="445"/>
      <c r="F516" s="446"/>
      <c r="G516" s="447"/>
      <c r="H516" s="448"/>
      <c r="I516" s="449"/>
    </row>
    <row r="517" spans="2:9" x14ac:dyDescent="0.2">
      <c r="B517" s="444"/>
      <c r="C517" s="445"/>
      <c r="D517" s="445"/>
      <c r="E517" s="445"/>
      <c r="F517" s="446"/>
      <c r="G517" s="447"/>
      <c r="H517" s="448"/>
      <c r="I517" s="449"/>
    </row>
    <row r="518" spans="2:9" x14ac:dyDescent="0.2">
      <c r="B518" s="444"/>
      <c r="C518" s="445"/>
      <c r="D518" s="445"/>
      <c r="E518" s="445"/>
      <c r="F518" s="446"/>
      <c r="G518" s="447"/>
      <c r="H518" s="448"/>
      <c r="I518" s="449"/>
    </row>
    <row r="519" spans="2:9" x14ac:dyDescent="0.2">
      <c r="B519" s="444"/>
      <c r="C519" s="445"/>
      <c r="D519" s="445"/>
      <c r="E519" s="445"/>
      <c r="F519" s="446"/>
      <c r="G519" s="447"/>
      <c r="H519" s="448"/>
      <c r="I519" s="449"/>
    </row>
    <row r="520" spans="2:9" x14ac:dyDescent="0.2">
      <c r="B520" s="444"/>
      <c r="C520" s="445"/>
      <c r="D520" s="445"/>
      <c r="E520" s="445"/>
      <c r="F520" s="446"/>
      <c r="G520" s="447"/>
      <c r="H520" s="448"/>
      <c r="I520" s="449"/>
    </row>
    <row r="521" spans="2:9" x14ac:dyDescent="0.2">
      <c r="B521" s="444"/>
      <c r="C521" s="445"/>
      <c r="D521" s="445"/>
      <c r="E521" s="445"/>
      <c r="F521" s="446"/>
      <c r="G521" s="447"/>
      <c r="H521" s="448"/>
      <c r="I521" s="449"/>
    </row>
    <row r="522" spans="2:9" x14ac:dyDescent="0.2">
      <c r="B522" s="444"/>
      <c r="C522" s="445"/>
      <c r="D522" s="445"/>
      <c r="E522" s="445"/>
      <c r="F522" s="446"/>
      <c r="G522" s="447"/>
      <c r="H522" s="448"/>
      <c r="I522" s="449"/>
    </row>
    <row r="523" spans="2:9" x14ac:dyDescent="0.2">
      <c r="B523" s="444"/>
      <c r="C523" s="445"/>
      <c r="D523" s="445"/>
      <c r="E523" s="445"/>
      <c r="F523" s="446"/>
      <c r="G523" s="447"/>
      <c r="H523" s="448"/>
      <c r="I523" s="449"/>
    </row>
    <row r="524" spans="2:9" x14ac:dyDescent="0.2">
      <c r="B524" s="444"/>
      <c r="C524" s="445"/>
      <c r="D524" s="445"/>
      <c r="E524" s="445"/>
      <c r="F524" s="446"/>
      <c r="G524" s="447"/>
      <c r="H524" s="448"/>
      <c r="I524" s="449"/>
    </row>
    <row r="525" spans="2:9" x14ac:dyDescent="0.2">
      <c r="B525" s="444"/>
      <c r="C525" s="445"/>
      <c r="D525" s="445"/>
      <c r="E525" s="445"/>
      <c r="F525" s="446"/>
      <c r="G525" s="447"/>
      <c r="H525" s="448"/>
      <c r="I525" s="449"/>
    </row>
    <row r="526" spans="2:9" x14ac:dyDescent="0.2">
      <c r="B526" s="444"/>
      <c r="C526" s="445"/>
      <c r="D526" s="445"/>
      <c r="E526" s="445"/>
      <c r="F526" s="446"/>
      <c r="G526" s="447"/>
      <c r="H526" s="448"/>
      <c r="I526" s="449"/>
    </row>
    <row r="527" spans="2:9" x14ac:dyDescent="0.2">
      <c r="B527" s="444"/>
      <c r="C527" s="445"/>
      <c r="D527" s="445"/>
      <c r="E527" s="445"/>
      <c r="F527" s="446"/>
      <c r="G527" s="447"/>
      <c r="H527" s="448"/>
      <c r="I527" s="449"/>
    </row>
    <row r="528" spans="2:9" x14ac:dyDescent="0.2">
      <c r="B528" s="444"/>
      <c r="C528" s="445"/>
      <c r="D528" s="445"/>
      <c r="E528" s="445"/>
      <c r="F528" s="446"/>
      <c r="G528" s="447"/>
      <c r="H528" s="448"/>
      <c r="I528" s="449"/>
    </row>
    <row r="529" spans="2:9" x14ac:dyDescent="0.2">
      <c r="B529" s="444"/>
      <c r="C529" s="445"/>
      <c r="D529" s="445"/>
      <c r="E529" s="445"/>
      <c r="F529" s="446"/>
      <c r="G529" s="447"/>
      <c r="H529" s="448"/>
      <c r="I529" s="449"/>
    </row>
    <row r="530" spans="2:9" x14ac:dyDescent="0.2">
      <c r="B530" s="444"/>
      <c r="C530" s="445"/>
      <c r="D530" s="445"/>
      <c r="E530" s="445"/>
      <c r="F530" s="446"/>
      <c r="G530" s="447"/>
      <c r="H530" s="448"/>
      <c r="I530" s="449"/>
    </row>
    <row r="531" spans="2:9" x14ac:dyDescent="0.2">
      <c r="B531" s="444"/>
      <c r="C531" s="445"/>
      <c r="D531" s="445"/>
      <c r="E531" s="445"/>
      <c r="F531" s="446"/>
      <c r="G531" s="447"/>
      <c r="H531" s="448"/>
      <c r="I531" s="449"/>
    </row>
    <row r="532" spans="2:9" x14ac:dyDescent="0.2">
      <c r="B532" s="444"/>
      <c r="C532" s="445"/>
      <c r="D532" s="445"/>
      <c r="E532" s="445"/>
      <c r="F532" s="446"/>
      <c r="G532" s="447"/>
      <c r="H532" s="448"/>
      <c r="I532" s="449"/>
    </row>
    <row r="533" spans="2:9" x14ac:dyDescent="0.2">
      <c r="B533" s="444"/>
      <c r="C533" s="445"/>
      <c r="D533" s="445"/>
      <c r="E533" s="445"/>
      <c r="F533" s="446"/>
      <c r="G533" s="447"/>
      <c r="H533" s="448"/>
      <c r="I533" s="449"/>
    </row>
    <row r="534" spans="2:9" x14ac:dyDescent="0.2">
      <c r="B534" s="444"/>
      <c r="C534" s="445"/>
      <c r="D534" s="445"/>
      <c r="E534" s="445"/>
      <c r="F534" s="446"/>
      <c r="G534" s="447"/>
      <c r="H534" s="448"/>
      <c r="I534" s="449"/>
    </row>
    <row r="535" spans="2:9" x14ac:dyDescent="0.2">
      <c r="B535" s="444"/>
      <c r="C535" s="445"/>
      <c r="D535" s="445"/>
      <c r="E535" s="445"/>
      <c r="F535" s="446"/>
      <c r="G535" s="447"/>
      <c r="H535" s="448"/>
      <c r="I535" s="449"/>
    </row>
    <row r="536" spans="2:9" x14ac:dyDescent="0.2">
      <c r="B536" s="444"/>
      <c r="C536" s="445"/>
      <c r="D536" s="445"/>
      <c r="E536" s="445"/>
      <c r="F536" s="446"/>
      <c r="G536" s="447"/>
      <c r="H536" s="448"/>
      <c r="I536" s="449"/>
    </row>
    <row r="537" spans="2:9" x14ac:dyDescent="0.2">
      <c r="B537" s="444"/>
      <c r="C537" s="445"/>
      <c r="D537" s="445"/>
      <c r="E537" s="445"/>
      <c r="F537" s="446"/>
      <c r="G537" s="447"/>
      <c r="H537" s="448"/>
      <c r="I537" s="449"/>
    </row>
    <row r="538" spans="2:9" x14ac:dyDescent="0.2">
      <c r="B538" s="444"/>
      <c r="C538" s="445"/>
      <c r="D538" s="445"/>
      <c r="E538" s="445"/>
      <c r="F538" s="446"/>
      <c r="G538" s="447"/>
      <c r="H538" s="448"/>
      <c r="I538" s="449"/>
    </row>
    <row r="539" spans="2:9" x14ac:dyDescent="0.2">
      <c r="B539" s="444"/>
      <c r="C539" s="445"/>
      <c r="D539" s="445"/>
      <c r="E539" s="445"/>
      <c r="F539" s="446"/>
      <c r="G539" s="447"/>
      <c r="H539" s="448"/>
      <c r="I539" s="449"/>
    </row>
    <row r="540" spans="2:9" x14ac:dyDescent="0.2">
      <c r="B540" s="444"/>
      <c r="C540" s="445"/>
      <c r="D540" s="445"/>
      <c r="E540" s="445"/>
      <c r="F540" s="446"/>
      <c r="G540" s="447"/>
      <c r="H540" s="448"/>
      <c r="I540" s="449"/>
    </row>
    <row r="541" spans="2:9" x14ac:dyDescent="0.2">
      <c r="B541" s="444"/>
      <c r="C541" s="445"/>
      <c r="D541" s="445"/>
      <c r="E541" s="445"/>
      <c r="F541" s="446"/>
      <c r="G541" s="447"/>
      <c r="H541" s="448"/>
      <c r="I541" s="449"/>
    </row>
    <row r="542" spans="2:9" x14ac:dyDescent="0.2">
      <c r="B542" s="444"/>
      <c r="C542" s="445"/>
      <c r="D542" s="445"/>
      <c r="E542" s="445"/>
      <c r="F542" s="446"/>
      <c r="G542" s="447"/>
      <c r="H542" s="448"/>
      <c r="I542" s="449"/>
    </row>
    <row r="543" spans="2:9" x14ac:dyDescent="0.2">
      <c r="B543" s="444"/>
      <c r="C543" s="445"/>
      <c r="D543" s="445"/>
      <c r="E543" s="445"/>
      <c r="F543" s="446"/>
      <c r="G543" s="447"/>
      <c r="H543" s="448"/>
      <c r="I543" s="449"/>
    </row>
    <row r="544" spans="2:9" x14ac:dyDescent="0.2">
      <c r="B544" s="444"/>
      <c r="C544" s="445"/>
      <c r="D544" s="445"/>
      <c r="E544" s="445"/>
      <c r="F544" s="446"/>
      <c r="G544" s="447"/>
      <c r="H544" s="448"/>
      <c r="I544" s="449"/>
    </row>
    <row r="545" spans="2:9" x14ac:dyDescent="0.2">
      <c r="B545" s="444"/>
      <c r="C545" s="445"/>
      <c r="D545" s="445"/>
      <c r="E545" s="445"/>
      <c r="F545" s="446"/>
      <c r="G545" s="447"/>
      <c r="H545" s="448"/>
      <c r="I545" s="449"/>
    </row>
    <row r="546" spans="2:9" x14ac:dyDescent="0.2">
      <c r="B546" s="444"/>
      <c r="C546" s="445"/>
      <c r="D546" s="445"/>
      <c r="E546" s="445"/>
      <c r="F546" s="446"/>
      <c r="G546" s="447"/>
      <c r="H546" s="448"/>
      <c r="I546" s="449"/>
    </row>
    <row r="547" spans="2:9" x14ac:dyDescent="0.2">
      <c r="B547" s="444"/>
      <c r="C547" s="445"/>
      <c r="D547" s="445"/>
      <c r="E547" s="445"/>
      <c r="F547" s="446"/>
      <c r="G547" s="447"/>
      <c r="H547" s="448"/>
      <c r="I547" s="449"/>
    </row>
    <row r="548" spans="2:9" x14ac:dyDescent="0.2">
      <c r="B548" s="444"/>
      <c r="C548" s="445"/>
      <c r="D548" s="445"/>
      <c r="E548" s="445"/>
      <c r="F548" s="446"/>
      <c r="G548" s="447"/>
      <c r="H548" s="448"/>
      <c r="I548" s="449"/>
    </row>
    <row r="549" spans="2:9" x14ac:dyDescent="0.2">
      <c r="B549" s="444"/>
      <c r="C549" s="445"/>
      <c r="D549" s="445"/>
      <c r="E549" s="445"/>
      <c r="F549" s="446"/>
      <c r="G549" s="447"/>
      <c r="H549" s="448"/>
      <c r="I549" s="449"/>
    </row>
    <row r="550" spans="2:9" x14ac:dyDescent="0.2">
      <c r="B550" s="444"/>
      <c r="C550" s="445"/>
      <c r="D550" s="445"/>
      <c r="E550" s="445"/>
      <c r="F550" s="446"/>
      <c r="G550" s="447"/>
      <c r="H550" s="448"/>
      <c r="I550" s="449"/>
    </row>
    <row r="551" spans="2:9" x14ac:dyDescent="0.2">
      <c r="B551" s="444"/>
      <c r="C551" s="445"/>
      <c r="D551" s="445"/>
      <c r="E551" s="445"/>
      <c r="F551" s="446"/>
      <c r="G551" s="447"/>
      <c r="H551" s="448"/>
      <c r="I551" s="449"/>
    </row>
    <row r="552" spans="2:9" x14ac:dyDescent="0.2">
      <c r="B552" s="444"/>
      <c r="C552" s="445"/>
      <c r="D552" s="445"/>
      <c r="E552" s="445"/>
      <c r="F552" s="446"/>
      <c r="G552" s="447"/>
      <c r="H552" s="448"/>
      <c r="I552" s="449"/>
    </row>
    <row r="553" spans="2:9" x14ac:dyDescent="0.2">
      <c r="B553" s="444"/>
      <c r="C553" s="445"/>
      <c r="D553" s="445"/>
      <c r="E553" s="445"/>
      <c r="F553" s="446"/>
      <c r="G553" s="447"/>
      <c r="H553" s="448"/>
      <c r="I553" s="449"/>
    </row>
    <row r="554" spans="2:9" x14ac:dyDescent="0.2">
      <c r="B554" s="444"/>
      <c r="C554" s="445"/>
      <c r="D554" s="445"/>
      <c r="E554" s="445"/>
      <c r="F554" s="446"/>
      <c r="G554" s="447"/>
      <c r="H554" s="448"/>
      <c r="I554" s="449"/>
    </row>
    <row r="555" spans="2:9" x14ac:dyDescent="0.2">
      <c r="B555" s="444"/>
      <c r="C555" s="445"/>
      <c r="D555" s="445"/>
      <c r="E555" s="445"/>
      <c r="F555" s="446"/>
      <c r="G555" s="447"/>
      <c r="H555" s="448"/>
      <c r="I555" s="449"/>
    </row>
    <row r="556" spans="2:9" x14ac:dyDescent="0.2">
      <c r="B556" s="444"/>
      <c r="C556" s="445"/>
      <c r="D556" s="445"/>
      <c r="E556" s="445"/>
      <c r="F556" s="446"/>
      <c r="G556" s="447"/>
      <c r="H556" s="448"/>
      <c r="I556" s="449"/>
    </row>
    <row r="557" spans="2:9" x14ac:dyDescent="0.2">
      <c r="B557" s="444"/>
      <c r="C557" s="445"/>
      <c r="D557" s="445"/>
      <c r="E557" s="445"/>
      <c r="F557" s="446"/>
      <c r="G557" s="447"/>
      <c r="H557" s="448"/>
      <c r="I557" s="449"/>
    </row>
    <row r="558" spans="2:9" x14ac:dyDescent="0.2">
      <c r="B558" s="444"/>
      <c r="C558" s="445"/>
      <c r="D558" s="445"/>
      <c r="E558" s="445"/>
      <c r="F558" s="446"/>
      <c r="G558" s="447"/>
      <c r="H558" s="448"/>
      <c r="I558" s="449"/>
    </row>
    <row r="559" spans="2:9" x14ac:dyDescent="0.2">
      <c r="B559" s="444"/>
      <c r="C559" s="445"/>
      <c r="D559" s="445"/>
      <c r="E559" s="445"/>
      <c r="F559" s="446"/>
      <c r="G559" s="447"/>
      <c r="H559" s="448"/>
      <c r="I559" s="449"/>
    </row>
    <row r="560" spans="2:9" x14ac:dyDescent="0.2">
      <c r="B560" s="444"/>
      <c r="C560" s="445"/>
      <c r="D560" s="445"/>
      <c r="E560" s="445"/>
      <c r="F560" s="446"/>
      <c r="G560" s="447"/>
      <c r="H560" s="448"/>
      <c r="I560" s="449"/>
    </row>
    <row r="561" spans="2:9" x14ac:dyDescent="0.2">
      <c r="B561" s="444"/>
      <c r="C561" s="445"/>
      <c r="D561" s="445"/>
      <c r="E561" s="445"/>
      <c r="F561" s="446"/>
      <c r="G561" s="447"/>
      <c r="H561" s="448"/>
      <c r="I561" s="449"/>
    </row>
    <row r="562" spans="2:9" x14ac:dyDescent="0.2">
      <c r="B562" s="444"/>
      <c r="C562" s="445"/>
      <c r="D562" s="445"/>
      <c r="E562" s="445"/>
      <c r="F562" s="446"/>
      <c r="G562" s="447"/>
      <c r="H562" s="448"/>
      <c r="I562" s="449"/>
    </row>
    <row r="563" spans="2:9" x14ac:dyDescent="0.2">
      <c r="B563" s="444"/>
      <c r="C563" s="445"/>
      <c r="D563" s="445"/>
      <c r="E563" s="445"/>
      <c r="F563" s="446"/>
      <c r="G563" s="447"/>
      <c r="H563" s="448"/>
      <c r="I563" s="449"/>
    </row>
    <row r="564" spans="2:9" x14ac:dyDescent="0.2">
      <c r="B564" s="444"/>
      <c r="C564" s="445"/>
      <c r="D564" s="445"/>
      <c r="E564" s="445"/>
      <c r="F564" s="446"/>
      <c r="G564" s="447"/>
      <c r="H564" s="448"/>
      <c r="I564" s="449"/>
    </row>
    <row r="565" spans="2:9" x14ac:dyDescent="0.2">
      <c r="B565" s="444"/>
      <c r="C565" s="445"/>
      <c r="D565" s="445"/>
      <c r="E565" s="445"/>
      <c r="F565" s="446"/>
      <c r="G565" s="447"/>
      <c r="H565" s="448"/>
      <c r="I565" s="449"/>
    </row>
    <row r="566" spans="2:9" x14ac:dyDescent="0.2">
      <c r="B566" s="444"/>
      <c r="C566" s="445"/>
      <c r="D566" s="445"/>
      <c r="E566" s="445"/>
      <c r="F566" s="446"/>
      <c r="G566" s="447"/>
      <c r="H566" s="448"/>
      <c r="I566" s="449"/>
    </row>
    <row r="567" spans="2:9" x14ac:dyDescent="0.2">
      <c r="B567" s="444"/>
      <c r="C567" s="445"/>
      <c r="D567" s="445"/>
      <c r="E567" s="445"/>
      <c r="F567" s="446"/>
      <c r="G567" s="447"/>
      <c r="H567" s="448"/>
      <c r="I567" s="449"/>
    </row>
    <row r="568" spans="2:9" x14ac:dyDescent="0.2">
      <c r="B568" s="444"/>
      <c r="C568" s="445"/>
      <c r="D568" s="445"/>
      <c r="E568" s="445"/>
      <c r="F568" s="446"/>
      <c r="G568" s="447"/>
      <c r="H568" s="448"/>
      <c r="I568" s="449"/>
    </row>
    <row r="569" spans="2:9" x14ac:dyDescent="0.2">
      <c r="B569" s="444"/>
      <c r="C569" s="445"/>
      <c r="D569" s="445"/>
      <c r="E569" s="445"/>
      <c r="F569" s="446"/>
      <c r="G569" s="447"/>
      <c r="H569" s="448"/>
      <c r="I569" s="449"/>
    </row>
    <row r="570" spans="2:9" x14ac:dyDescent="0.2">
      <c r="B570" s="444"/>
      <c r="C570" s="445"/>
      <c r="D570" s="445"/>
      <c r="E570" s="445"/>
      <c r="F570" s="446"/>
      <c r="G570" s="447"/>
      <c r="H570" s="448"/>
      <c r="I570" s="449"/>
    </row>
    <row r="571" spans="2:9" x14ac:dyDescent="0.2">
      <c r="B571" s="444"/>
      <c r="C571" s="445"/>
      <c r="D571" s="445"/>
      <c r="E571" s="445"/>
      <c r="F571" s="446"/>
      <c r="G571" s="447"/>
      <c r="H571" s="448"/>
      <c r="I571" s="449"/>
    </row>
    <row r="572" spans="2:9" x14ac:dyDescent="0.2">
      <c r="B572" s="444"/>
      <c r="C572" s="445"/>
      <c r="D572" s="445"/>
      <c r="E572" s="445"/>
      <c r="F572" s="446"/>
      <c r="G572" s="447"/>
      <c r="H572" s="448"/>
      <c r="I572" s="449"/>
    </row>
    <row r="573" spans="2:9" x14ac:dyDescent="0.2">
      <c r="B573" s="444"/>
      <c r="C573" s="445"/>
      <c r="D573" s="445"/>
      <c r="E573" s="445"/>
      <c r="F573" s="446"/>
      <c r="G573" s="447"/>
      <c r="H573" s="448"/>
      <c r="I573" s="449"/>
    </row>
    <row r="574" spans="2:9" x14ac:dyDescent="0.2">
      <c r="B574" s="444"/>
      <c r="C574" s="445"/>
      <c r="D574" s="445"/>
      <c r="E574" s="445"/>
      <c r="F574" s="446"/>
      <c r="G574" s="447"/>
      <c r="H574" s="448"/>
      <c r="I574" s="449"/>
    </row>
    <row r="575" spans="2:9" x14ac:dyDescent="0.2">
      <c r="B575" s="444"/>
      <c r="C575" s="445"/>
      <c r="D575" s="445"/>
      <c r="E575" s="445"/>
      <c r="F575" s="446"/>
      <c r="G575" s="447"/>
      <c r="H575" s="448"/>
      <c r="I575" s="449"/>
    </row>
    <row r="576" spans="2:9" x14ac:dyDescent="0.2">
      <c r="B576" s="444"/>
      <c r="C576" s="445"/>
      <c r="D576" s="445"/>
      <c r="E576" s="445"/>
      <c r="F576" s="446"/>
      <c r="G576" s="447"/>
      <c r="H576" s="448"/>
      <c r="I576" s="449"/>
    </row>
    <row r="577" spans="2:9" x14ac:dyDescent="0.2">
      <c r="B577" s="444"/>
      <c r="C577" s="445"/>
      <c r="D577" s="445"/>
      <c r="E577" s="445"/>
      <c r="F577" s="446"/>
      <c r="G577" s="447"/>
      <c r="H577" s="448"/>
      <c r="I577" s="449"/>
    </row>
    <row r="578" spans="2:9" x14ac:dyDescent="0.2">
      <c r="B578" s="444"/>
      <c r="C578" s="445"/>
      <c r="D578" s="445"/>
      <c r="E578" s="445"/>
      <c r="F578" s="446"/>
      <c r="G578" s="447"/>
      <c r="H578" s="448"/>
      <c r="I578" s="449"/>
    </row>
    <row r="579" spans="2:9" x14ac:dyDescent="0.2">
      <c r="B579" s="444"/>
      <c r="C579" s="445"/>
      <c r="D579" s="445"/>
      <c r="E579" s="445"/>
      <c r="F579" s="446"/>
      <c r="G579" s="447"/>
      <c r="H579" s="448"/>
      <c r="I579" s="449"/>
    </row>
    <row r="580" spans="2:9" x14ac:dyDescent="0.2">
      <c r="B580" s="444"/>
      <c r="C580" s="445"/>
      <c r="D580" s="445"/>
      <c r="E580" s="445"/>
      <c r="F580" s="446"/>
      <c r="G580" s="447"/>
      <c r="H580" s="448"/>
      <c r="I580" s="449"/>
    </row>
    <row r="581" spans="2:9" x14ac:dyDescent="0.2">
      <c r="B581" s="444"/>
      <c r="C581" s="445"/>
      <c r="D581" s="445"/>
      <c r="E581" s="445"/>
      <c r="F581" s="446"/>
      <c r="G581" s="447"/>
      <c r="H581" s="448"/>
      <c r="I581" s="449"/>
    </row>
    <row r="582" spans="2:9" x14ac:dyDescent="0.2">
      <c r="B582" s="444"/>
      <c r="C582" s="445"/>
      <c r="D582" s="445"/>
      <c r="E582" s="445"/>
      <c r="F582" s="446"/>
      <c r="G582" s="447"/>
      <c r="H582" s="448"/>
      <c r="I582" s="449"/>
    </row>
    <row r="583" spans="2:9" x14ac:dyDescent="0.2">
      <c r="B583" s="444"/>
      <c r="C583" s="445"/>
      <c r="D583" s="445"/>
      <c r="E583" s="445"/>
      <c r="F583" s="446"/>
      <c r="G583" s="447"/>
      <c r="H583" s="448"/>
      <c r="I583" s="449"/>
    </row>
    <row r="584" spans="2:9" x14ac:dyDescent="0.2">
      <c r="B584" s="444"/>
      <c r="C584" s="445"/>
      <c r="D584" s="445"/>
      <c r="E584" s="445"/>
      <c r="F584" s="446"/>
      <c r="G584" s="447"/>
      <c r="H584" s="448"/>
      <c r="I584" s="449"/>
    </row>
    <row r="585" spans="2:9" x14ac:dyDescent="0.2">
      <c r="B585" s="444"/>
      <c r="C585" s="445"/>
      <c r="D585" s="445"/>
      <c r="E585" s="445"/>
      <c r="F585" s="446"/>
      <c r="G585" s="447"/>
      <c r="H585" s="448"/>
      <c r="I585" s="449"/>
    </row>
    <row r="586" spans="2:9" x14ac:dyDescent="0.2">
      <c r="B586" s="444"/>
      <c r="C586" s="445"/>
      <c r="D586" s="445"/>
      <c r="E586" s="445"/>
      <c r="F586" s="446"/>
      <c r="G586" s="447"/>
      <c r="H586" s="448"/>
      <c r="I586" s="449"/>
    </row>
    <row r="587" spans="2:9" x14ac:dyDescent="0.2">
      <c r="B587" s="444"/>
      <c r="C587" s="445"/>
      <c r="D587" s="445"/>
      <c r="E587" s="445"/>
      <c r="F587" s="446"/>
      <c r="G587" s="447"/>
      <c r="H587" s="448"/>
      <c r="I587" s="449"/>
    </row>
    <row r="588" spans="2:9" x14ac:dyDescent="0.2">
      <c r="B588" s="444"/>
      <c r="C588" s="445"/>
      <c r="D588" s="445"/>
      <c r="E588" s="445"/>
      <c r="F588" s="446"/>
      <c r="G588" s="447"/>
      <c r="H588" s="448"/>
      <c r="I588" s="449"/>
    </row>
    <row r="589" spans="2:9" x14ac:dyDescent="0.2">
      <c r="B589" s="444"/>
      <c r="C589" s="445"/>
      <c r="D589" s="445"/>
      <c r="E589" s="445"/>
      <c r="F589" s="446"/>
      <c r="G589" s="447"/>
      <c r="H589" s="448"/>
      <c r="I589" s="449"/>
    </row>
    <row r="590" spans="2:9" x14ac:dyDescent="0.2">
      <c r="B590" s="444"/>
      <c r="C590" s="445"/>
      <c r="D590" s="445"/>
      <c r="E590" s="445"/>
      <c r="F590" s="446"/>
      <c r="G590" s="447"/>
      <c r="H590" s="448"/>
      <c r="I590" s="449"/>
    </row>
    <row r="591" spans="2:9" x14ac:dyDescent="0.2">
      <c r="B591" s="444"/>
      <c r="C591" s="445"/>
      <c r="D591" s="445"/>
      <c r="E591" s="445"/>
      <c r="F591" s="446"/>
      <c r="G591" s="447"/>
      <c r="H591" s="448"/>
      <c r="I591" s="449"/>
    </row>
    <row r="592" spans="2:9" x14ac:dyDescent="0.2">
      <c r="B592" s="444"/>
      <c r="C592" s="445"/>
      <c r="D592" s="445"/>
      <c r="E592" s="445"/>
      <c r="F592" s="446"/>
      <c r="G592" s="447"/>
      <c r="H592" s="448"/>
      <c r="I592" s="449"/>
    </row>
    <row r="593" spans="2:9" x14ac:dyDescent="0.2">
      <c r="B593" s="444"/>
      <c r="C593" s="445"/>
      <c r="D593" s="445"/>
      <c r="E593" s="445"/>
      <c r="F593" s="446"/>
      <c r="G593" s="447"/>
      <c r="H593" s="448"/>
      <c r="I593" s="449"/>
    </row>
    <row r="594" spans="2:9" x14ac:dyDescent="0.2">
      <c r="B594" s="444"/>
      <c r="C594" s="445"/>
      <c r="D594" s="445"/>
      <c r="E594" s="445"/>
      <c r="F594" s="446"/>
      <c r="G594" s="447"/>
      <c r="H594" s="448"/>
      <c r="I594" s="449"/>
    </row>
    <row r="595" spans="2:9" x14ac:dyDescent="0.2">
      <c r="B595" s="444"/>
      <c r="C595" s="445"/>
      <c r="D595" s="445"/>
      <c r="E595" s="445"/>
      <c r="F595" s="446"/>
      <c r="G595" s="447"/>
      <c r="H595" s="448"/>
      <c r="I595" s="449"/>
    </row>
    <row r="596" spans="2:9" x14ac:dyDescent="0.2">
      <c r="B596" s="444"/>
      <c r="C596" s="445"/>
      <c r="D596" s="445"/>
      <c r="E596" s="445"/>
      <c r="F596" s="446"/>
      <c r="G596" s="447"/>
      <c r="H596" s="448"/>
      <c r="I596" s="449"/>
    </row>
    <row r="597" spans="2:9" x14ac:dyDescent="0.2">
      <c r="B597" s="444"/>
      <c r="C597" s="445"/>
      <c r="D597" s="445"/>
      <c r="E597" s="445"/>
      <c r="F597" s="446"/>
      <c r="G597" s="447"/>
      <c r="H597" s="448"/>
      <c r="I597" s="449"/>
    </row>
    <row r="598" spans="2:9" x14ac:dyDescent="0.2">
      <c r="B598" s="444"/>
      <c r="C598" s="445"/>
      <c r="D598" s="445"/>
      <c r="E598" s="445"/>
      <c r="F598" s="446"/>
      <c r="G598" s="447"/>
      <c r="H598" s="448"/>
      <c r="I598" s="449"/>
    </row>
    <row r="599" spans="2:9" x14ac:dyDescent="0.2">
      <c r="B599" s="444"/>
      <c r="C599" s="445"/>
      <c r="D599" s="445"/>
      <c r="E599" s="445"/>
      <c r="F599" s="446"/>
      <c r="G599" s="447"/>
      <c r="H599" s="448"/>
      <c r="I599" s="449"/>
    </row>
    <row r="600" spans="2:9" x14ac:dyDescent="0.2">
      <c r="B600" s="444"/>
      <c r="C600" s="445"/>
      <c r="D600" s="445"/>
      <c r="E600" s="445"/>
      <c r="F600" s="446"/>
      <c r="G600" s="447"/>
      <c r="H600" s="448"/>
      <c r="I600" s="449"/>
    </row>
    <row r="601" spans="2:9" x14ac:dyDescent="0.2">
      <c r="B601" s="444"/>
      <c r="C601" s="445"/>
      <c r="D601" s="445"/>
      <c r="E601" s="445"/>
      <c r="F601" s="446"/>
      <c r="G601" s="447"/>
      <c r="H601" s="448"/>
      <c r="I601" s="449"/>
    </row>
    <row r="602" spans="2:9" x14ac:dyDescent="0.2">
      <c r="B602" s="444"/>
      <c r="C602" s="445"/>
      <c r="D602" s="445"/>
      <c r="E602" s="445"/>
      <c r="F602" s="446"/>
      <c r="G602" s="447"/>
      <c r="H602" s="448"/>
      <c r="I602" s="449"/>
    </row>
    <row r="603" spans="2:9" x14ac:dyDescent="0.2">
      <c r="B603" s="444"/>
      <c r="C603" s="445"/>
      <c r="D603" s="445"/>
      <c r="E603" s="445"/>
      <c r="F603" s="446"/>
      <c r="G603" s="447"/>
      <c r="H603" s="448"/>
      <c r="I603" s="449"/>
    </row>
    <row r="604" spans="2:9" x14ac:dyDescent="0.2">
      <c r="B604" s="444"/>
      <c r="C604" s="445"/>
      <c r="D604" s="445"/>
      <c r="E604" s="445"/>
      <c r="F604" s="446"/>
      <c r="G604" s="447"/>
      <c r="H604" s="448"/>
      <c r="I604" s="449"/>
    </row>
    <row r="605" spans="2:9" x14ac:dyDescent="0.2">
      <c r="B605" s="444"/>
      <c r="C605" s="445"/>
      <c r="D605" s="445"/>
      <c r="E605" s="445"/>
      <c r="F605" s="446"/>
      <c r="G605" s="447"/>
      <c r="H605" s="448"/>
      <c r="I605" s="449"/>
    </row>
    <row r="606" spans="2:9" x14ac:dyDescent="0.2">
      <c r="B606" s="444"/>
      <c r="C606" s="445"/>
      <c r="D606" s="445"/>
      <c r="E606" s="445"/>
      <c r="F606" s="446"/>
      <c r="G606" s="447"/>
      <c r="H606" s="448"/>
      <c r="I606" s="449"/>
    </row>
    <row r="607" spans="2:9" x14ac:dyDescent="0.2">
      <c r="B607" s="444"/>
      <c r="C607" s="445"/>
      <c r="D607" s="445"/>
      <c r="E607" s="445"/>
      <c r="F607" s="446"/>
      <c r="G607" s="447"/>
      <c r="H607" s="448"/>
      <c r="I607" s="449"/>
    </row>
    <row r="608" spans="2:9" x14ac:dyDescent="0.2">
      <c r="B608" s="444"/>
      <c r="C608" s="445"/>
      <c r="D608" s="445"/>
      <c r="E608" s="445"/>
      <c r="F608" s="446"/>
      <c r="G608" s="447"/>
      <c r="H608" s="448"/>
      <c r="I608" s="449"/>
    </row>
    <row r="609" spans="2:9" x14ac:dyDescent="0.2">
      <c r="B609" s="444"/>
      <c r="C609" s="445"/>
      <c r="D609" s="445"/>
      <c r="E609" s="445"/>
      <c r="F609" s="446"/>
      <c r="G609" s="447"/>
      <c r="H609" s="448"/>
      <c r="I609" s="449"/>
    </row>
    <row r="610" spans="2:9" x14ac:dyDescent="0.2">
      <c r="B610" s="444"/>
      <c r="C610" s="445"/>
      <c r="D610" s="445"/>
      <c r="E610" s="445"/>
      <c r="F610" s="446"/>
      <c r="G610" s="447"/>
      <c r="H610" s="448"/>
      <c r="I610" s="449"/>
    </row>
    <row r="611" spans="2:9" x14ac:dyDescent="0.2">
      <c r="B611" s="444"/>
      <c r="C611" s="445"/>
      <c r="D611" s="445"/>
      <c r="E611" s="445"/>
      <c r="F611" s="446"/>
      <c r="G611" s="447"/>
      <c r="H611" s="448"/>
      <c r="I611" s="449"/>
    </row>
    <row r="612" spans="2:9" x14ac:dyDescent="0.2">
      <c r="B612" s="444"/>
      <c r="C612" s="445"/>
      <c r="D612" s="445"/>
      <c r="E612" s="445"/>
      <c r="F612" s="446"/>
      <c r="G612" s="447"/>
      <c r="H612" s="448"/>
      <c r="I612" s="449"/>
    </row>
    <row r="613" spans="2:9" x14ac:dyDescent="0.2">
      <c r="B613" s="444"/>
      <c r="C613" s="445"/>
      <c r="D613" s="445"/>
      <c r="E613" s="445"/>
      <c r="F613" s="446"/>
      <c r="G613" s="447"/>
      <c r="H613" s="448"/>
      <c r="I613" s="449"/>
    </row>
    <row r="614" spans="2:9" x14ac:dyDescent="0.2">
      <c r="B614" s="444"/>
      <c r="C614" s="445"/>
      <c r="D614" s="445"/>
      <c r="E614" s="445"/>
      <c r="F614" s="446"/>
      <c r="G614" s="447"/>
      <c r="H614" s="448"/>
      <c r="I614" s="449"/>
    </row>
    <row r="615" spans="2:9" x14ac:dyDescent="0.2">
      <c r="B615" s="444"/>
      <c r="C615" s="445"/>
      <c r="D615" s="445"/>
      <c r="E615" s="445"/>
      <c r="F615" s="446"/>
      <c r="G615" s="447"/>
      <c r="H615" s="448"/>
      <c r="I615" s="449"/>
    </row>
    <row r="616" spans="2:9" x14ac:dyDescent="0.2">
      <c r="B616" s="444"/>
      <c r="C616" s="445"/>
      <c r="D616" s="445"/>
      <c r="E616" s="445"/>
      <c r="F616" s="446"/>
      <c r="G616" s="447"/>
      <c r="H616" s="448"/>
      <c r="I616" s="449"/>
    </row>
    <row r="617" spans="2:9" x14ac:dyDescent="0.2">
      <c r="B617" s="444"/>
      <c r="C617" s="445"/>
      <c r="D617" s="445"/>
      <c r="E617" s="445"/>
      <c r="F617" s="446"/>
      <c r="G617" s="447"/>
      <c r="H617" s="448"/>
      <c r="I617" s="449"/>
    </row>
    <row r="618" spans="2:9" x14ac:dyDescent="0.2">
      <c r="B618" s="444"/>
      <c r="C618" s="445"/>
      <c r="D618" s="445"/>
      <c r="E618" s="445"/>
      <c r="F618" s="446"/>
      <c r="G618" s="447"/>
      <c r="H618" s="448"/>
      <c r="I618" s="449"/>
    </row>
    <row r="619" spans="2:9" x14ac:dyDescent="0.2">
      <c r="B619" s="444"/>
      <c r="C619" s="445"/>
      <c r="D619" s="445"/>
      <c r="E619" s="445"/>
      <c r="F619" s="446"/>
      <c r="G619" s="447"/>
      <c r="H619" s="448"/>
      <c r="I619" s="449"/>
    </row>
    <row r="620" spans="2:9" x14ac:dyDescent="0.2">
      <c r="B620" s="444"/>
      <c r="C620" s="445"/>
      <c r="D620" s="445"/>
      <c r="E620" s="445"/>
      <c r="F620" s="446"/>
      <c r="G620" s="447"/>
      <c r="H620" s="448"/>
      <c r="I620" s="449"/>
    </row>
    <row r="621" spans="2:9" x14ac:dyDescent="0.2">
      <c r="B621" s="444"/>
      <c r="C621" s="445"/>
      <c r="D621" s="445"/>
      <c r="E621" s="445"/>
      <c r="F621" s="446"/>
      <c r="G621" s="447"/>
      <c r="H621" s="448"/>
      <c r="I621" s="449"/>
    </row>
    <row r="622" spans="2:9" x14ac:dyDescent="0.2">
      <c r="B622" s="444"/>
      <c r="C622" s="445"/>
      <c r="D622" s="445"/>
      <c r="E622" s="445"/>
      <c r="F622" s="446"/>
      <c r="G622" s="447"/>
      <c r="H622" s="448"/>
      <c r="I622" s="449"/>
    </row>
    <row r="623" spans="2:9" x14ac:dyDescent="0.2">
      <c r="B623" s="444"/>
      <c r="C623" s="445"/>
      <c r="D623" s="445"/>
      <c r="E623" s="445"/>
      <c r="F623" s="446"/>
      <c r="G623" s="447"/>
      <c r="H623" s="448"/>
      <c r="I623" s="449"/>
    </row>
    <row r="624" spans="2:9" x14ac:dyDescent="0.2">
      <c r="B624" s="444"/>
      <c r="C624" s="445"/>
      <c r="D624" s="445"/>
      <c r="E624" s="445"/>
      <c r="F624" s="446"/>
      <c r="G624" s="447"/>
      <c r="H624" s="448"/>
      <c r="I624" s="449"/>
    </row>
    <row r="625" spans="2:9" x14ac:dyDescent="0.2">
      <c r="B625" s="444"/>
      <c r="C625" s="445"/>
      <c r="D625" s="445"/>
      <c r="E625" s="445"/>
      <c r="F625" s="446"/>
      <c r="G625" s="447"/>
      <c r="H625" s="448"/>
      <c r="I625" s="449"/>
    </row>
    <row r="626" spans="2:9" x14ac:dyDescent="0.2">
      <c r="B626" s="444"/>
      <c r="C626" s="445"/>
      <c r="D626" s="445"/>
      <c r="E626" s="445"/>
      <c r="F626" s="446"/>
      <c r="G626" s="447"/>
      <c r="H626" s="448"/>
      <c r="I626" s="449"/>
    </row>
    <row r="627" spans="2:9" x14ac:dyDescent="0.2">
      <c r="B627" s="444"/>
      <c r="C627" s="445"/>
      <c r="D627" s="445"/>
      <c r="E627" s="445"/>
      <c r="F627" s="446"/>
      <c r="G627" s="447"/>
      <c r="H627" s="448"/>
      <c r="I627" s="449"/>
    </row>
    <row r="628" spans="2:9" x14ac:dyDescent="0.2">
      <c r="B628" s="444"/>
      <c r="C628" s="445"/>
      <c r="D628" s="445"/>
      <c r="E628" s="445"/>
      <c r="F628" s="446"/>
      <c r="G628" s="447"/>
      <c r="H628" s="448"/>
      <c r="I628" s="449"/>
    </row>
    <row r="629" spans="2:9" x14ac:dyDescent="0.2">
      <c r="B629" s="444"/>
      <c r="C629" s="445"/>
      <c r="D629" s="445"/>
      <c r="E629" s="445"/>
      <c r="F629" s="446"/>
      <c r="G629" s="447"/>
      <c r="H629" s="448"/>
      <c r="I629" s="449"/>
    </row>
    <row r="630" spans="2:9" x14ac:dyDescent="0.2">
      <c r="B630" s="444"/>
      <c r="C630" s="445"/>
      <c r="D630" s="445"/>
      <c r="E630" s="445"/>
      <c r="F630" s="446"/>
      <c r="G630" s="447"/>
      <c r="H630" s="448"/>
      <c r="I630" s="449"/>
    </row>
    <row r="631" spans="2:9" x14ac:dyDescent="0.2">
      <c r="B631" s="444"/>
      <c r="C631" s="445"/>
      <c r="D631" s="445"/>
      <c r="E631" s="445"/>
      <c r="F631" s="446"/>
      <c r="G631" s="447"/>
      <c r="H631" s="448"/>
      <c r="I631" s="449"/>
    </row>
    <row r="632" spans="2:9" x14ac:dyDescent="0.2">
      <c r="B632" s="444"/>
      <c r="C632" s="445"/>
      <c r="D632" s="445"/>
      <c r="E632" s="445"/>
      <c r="F632" s="446"/>
      <c r="G632" s="447"/>
      <c r="H632" s="448"/>
      <c r="I632" s="449"/>
    </row>
    <row r="633" spans="2:9" x14ac:dyDescent="0.2">
      <c r="B633" s="444"/>
      <c r="C633" s="445"/>
      <c r="D633" s="445"/>
      <c r="E633" s="445"/>
      <c r="F633" s="446"/>
      <c r="G633" s="447"/>
      <c r="H633" s="448"/>
      <c r="I633" s="449"/>
    </row>
    <row r="634" spans="2:9" x14ac:dyDescent="0.2">
      <c r="B634" s="444"/>
      <c r="C634" s="445"/>
      <c r="D634" s="445"/>
      <c r="E634" s="445"/>
      <c r="F634" s="446"/>
      <c r="G634" s="447"/>
      <c r="H634" s="448"/>
      <c r="I634" s="449"/>
    </row>
    <row r="635" spans="2:9" x14ac:dyDescent="0.2">
      <c r="B635" s="444"/>
      <c r="C635" s="445"/>
      <c r="D635" s="445"/>
      <c r="E635" s="445"/>
      <c r="F635" s="446"/>
      <c r="G635" s="447"/>
      <c r="H635" s="448"/>
      <c r="I635" s="449"/>
    </row>
    <row r="636" spans="2:9" x14ac:dyDescent="0.2">
      <c r="B636" s="444"/>
      <c r="C636" s="445"/>
      <c r="D636" s="445"/>
      <c r="E636" s="445"/>
      <c r="F636" s="446"/>
      <c r="G636" s="447"/>
      <c r="H636" s="448"/>
      <c r="I636" s="449"/>
    </row>
    <row r="637" spans="2:9" x14ac:dyDescent="0.2">
      <c r="B637" s="444"/>
      <c r="C637" s="445"/>
      <c r="D637" s="445"/>
      <c r="E637" s="445"/>
      <c r="F637" s="446"/>
      <c r="G637" s="447"/>
      <c r="H637" s="448"/>
      <c r="I637" s="449"/>
    </row>
    <row r="638" spans="2:9" x14ac:dyDescent="0.2">
      <c r="B638" s="444"/>
      <c r="C638" s="445"/>
      <c r="D638" s="445"/>
      <c r="E638" s="445"/>
      <c r="F638" s="446"/>
      <c r="G638" s="447"/>
      <c r="H638" s="448"/>
      <c r="I638" s="449"/>
    </row>
  </sheetData>
  <sheetProtection sheet="1" objects="1" scenarios="1" formatColumns="0" formatRows="0" sort="0" autoFilter="0"/>
  <autoFilter ref="B6:AD235" xr:uid="{00000000-0009-0000-0000-00001E000000}"/>
  <dataConsolidate/>
  <customSheetViews>
    <customSheetView guid="{13F24B0A-7740-483A-BEF7-5257F8522605}" showGridLines="0" fitToPage="1" showAutoFilter="1" hiddenColumns="1" state="hidden">
      <pane ySplit="6" topLeftCell="A7" activePane="bottomLeft" state="frozen"/>
      <selection pane="bottomLeft" activeCell="AK5" sqref="AK5"/>
      <pageMargins left="0.78740157480314965" right="0.78740157480314965" top="0.98425196850393704" bottom="0.98425196850393704" header="0.51181102362204722" footer="0.51181102362204722"/>
      <printOptions horizontalCentered="1"/>
      <pageSetup paperSize="9" scale="74" fitToHeight="20" orientation="portrait" r:id="rId1"/>
      <headerFooter alignWithMargins="0"/>
      <autoFilter ref="B6:AD235" xr:uid="{FDF80811-CFAF-4357-A185-FB2BAA8F0FB2}">
        <sortState xmlns:xlrd2="http://schemas.microsoft.com/office/spreadsheetml/2017/richdata2" ref="B7:AD277">
          <sortCondition ref="C6"/>
        </sortState>
      </autoFilter>
    </customSheetView>
  </customSheetViews>
  <mergeCells count="5">
    <mergeCell ref="B3:I3"/>
    <mergeCell ref="B5:I5"/>
    <mergeCell ref="B1:I1"/>
    <mergeCell ref="B2:I2"/>
    <mergeCell ref="B4:I4"/>
  </mergeCells>
  <phoneticPr fontId="72" type="noConversion"/>
  <conditionalFormatting sqref="B6:I6">
    <cfRule type="expression" dxfId="10" priority="9" stopIfTrue="1">
      <formula>TRUE</formula>
    </cfRule>
  </conditionalFormatting>
  <printOptions horizontalCentered="1"/>
  <pageMargins left="0.78740157480314965" right="0.78740157480314965" top="0.98425196850393704" bottom="0.98425196850393704" header="0.51181102362204722" footer="0.51181102362204722"/>
  <pageSetup paperSize="9" scale="74" fitToHeight="20" orientation="portrait" r:id="rId2"/>
  <headerFooter alignWithMargins="0"/>
  <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t_Timeline">
    <tabColor rgb="FFFFC000"/>
    <pageSetUpPr fitToPage="1"/>
  </sheetPr>
  <dimension ref="A1:Q337"/>
  <sheetViews>
    <sheetView showGridLines="0" workbookViewId="0">
      <pane ySplit="4" topLeftCell="A5" activePane="bottomLeft" state="frozen"/>
      <selection activeCell="N33" sqref="N33"/>
      <selection pane="bottomLeft" activeCell="A277" sqref="A277"/>
    </sheetView>
  </sheetViews>
  <sheetFormatPr baseColWidth="10" defaultColWidth="11.42578125" defaultRowHeight="12.75" x14ac:dyDescent="0.2"/>
  <cols>
    <col min="1" max="1" width="3.140625" style="1397" customWidth="1"/>
    <col min="2" max="2" width="7.28515625" style="1397" bestFit="1" customWidth="1"/>
    <col min="3" max="4" width="4.5703125" style="1397" bestFit="1" customWidth="1"/>
    <col min="5" max="16" width="5.5703125" style="1397" bestFit="1" customWidth="1"/>
    <col min="17" max="17" width="2.42578125" style="1397" customWidth="1"/>
    <col min="18" max="16384" width="11.42578125" style="7"/>
  </cols>
  <sheetData>
    <row r="1" spans="1:17" ht="36" thickBot="1" x14ac:dyDescent="0.55000000000000004">
      <c r="A1" s="1852"/>
      <c r="B1" s="2512" t="str">
        <f>N_PlayerTimeline</f>
        <v>Feuille de route des joueurs</v>
      </c>
      <c r="C1" s="2512"/>
      <c r="D1" s="2512"/>
      <c r="E1" s="2512"/>
      <c r="F1" s="2512"/>
      <c r="G1" s="2512"/>
      <c r="H1" s="2512"/>
      <c r="I1" s="2512"/>
      <c r="J1" s="2512"/>
      <c r="K1" s="2512"/>
      <c r="L1" s="2512"/>
      <c r="M1" s="2512"/>
      <c r="N1" s="2512"/>
      <c r="O1" s="2512"/>
      <c r="P1" s="2512"/>
      <c r="Q1" s="7"/>
    </row>
    <row r="2" spans="1:17" ht="30.75" thickBot="1" x14ac:dyDescent="0.45">
      <c r="A2" s="1888"/>
      <c r="B2" s="900" t="str">
        <f>N_TimelineDescription</f>
        <v>Cette feuille présente le planning de chaque participant qu'il soit joueur ou arbitre.</v>
      </c>
      <c r="C2" s="901"/>
      <c r="D2" s="901"/>
      <c r="E2" s="901"/>
      <c r="F2" s="901"/>
      <c r="G2" s="901"/>
      <c r="H2" s="901"/>
      <c r="I2" s="901"/>
      <c r="J2" s="901"/>
      <c r="K2" s="901"/>
      <c r="L2" s="901"/>
      <c r="M2" s="901"/>
      <c r="N2" s="901"/>
      <c r="O2" s="901"/>
      <c r="P2" s="902"/>
      <c r="Q2" s="7"/>
    </row>
    <row r="3" spans="1:17" x14ac:dyDescent="0.2">
      <c r="A3" s="1889">
        <f>COUNTA(RefereeList_NameFirstname)</f>
        <v>56</v>
      </c>
      <c r="B3" s="1538"/>
      <c r="C3" s="1539" t="str">
        <f>N_Round</f>
        <v>Tr</v>
      </c>
      <c r="D3" s="1539"/>
      <c r="E3" s="1539"/>
      <c r="F3" s="1539"/>
      <c r="G3" s="1539"/>
      <c r="H3" s="1539"/>
      <c r="I3" s="1539"/>
      <c r="J3" s="1539"/>
      <c r="K3" s="1539"/>
      <c r="L3" s="1539"/>
      <c r="M3" s="1539"/>
      <c r="N3" s="1539"/>
      <c r="O3" s="1539"/>
      <c r="P3" s="1540"/>
      <c r="Q3" s="7"/>
    </row>
    <row r="4" spans="1:17" ht="26.25" thickBot="1" x14ac:dyDescent="0.25">
      <c r="A4" s="1889">
        <f>COUNTA(RefereeList_NameFirstname)</f>
        <v>56</v>
      </c>
      <c r="B4" s="1541" t="str">
        <f>N_Joueurs</f>
        <v>Joueurs</v>
      </c>
      <c r="C4" s="1543">
        <f>INDEX(Planning!$A:$A,MATCH("S" &amp; COLUMN(C4)-COLUMN($B4),Planning!$G:$G,0))</f>
        <v>0.35416666666666669</v>
      </c>
      <c r="D4" s="1543">
        <f>INDEX(Planning!$A:$A,MATCH("S" &amp; COLUMN(D4)-COLUMN($B4),Planning!$G:$G,0))</f>
        <v>0.3888888888888889</v>
      </c>
      <c r="E4" s="1543">
        <f>INDEX(Planning!$A:$A,MATCH("S" &amp; COLUMN(E4)-COLUMN($B4),Planning!$G:$G,0))</f>
        <v>0.4236111111111111</v>
      </c>
      <c r="F4" s="1543">
        <f>INDEX(Planning!$A:$A,MATCH("S" &amp; COLUMN(F4)-COLUMN($B4),Planning!$G:$G,0))</f>
        <v>0.45833333333333331</v>
      </c>
      <c r="G4" s="1543">
        <f>INDEX(Planning!$A:$A,MATCH("S" &amp; COLUMN(G4)-COLUMN($B4),Planning!$G:$G,0))</f>
        <v>0.49305555555555552</v>
      </c>
      <c r="H4" s="1543">
        <f>INDEX(Planning!$A:$A,MATCH("S" &amp; COLUMN(H4)-COLUMN($B4),Planning!$G:$G,0))</f>
        <v>0.52777777777777779</v>
      </c>
      <c r="I4" s="1543">
        <f>INDEX(Planning!$A:$A,MATCH("S" &amp; COLUMN(I4)-COLUMN($B4),Planning!$G:$G,0))</f>
        <v>0.55902777777777779</v>
      </c>
      <c r="J4" s="1543">
        <f>INDEX(Planning!$A:$A,MATCH("S" &amp; COLUMN(J4)-COLUMN($B4),Planning!$G:$G,0))</f>
        <v>0.58680555555555558</v>
      </c>
      <c r="K4" s="1543">
        <f>INDEX(Planning!$A:$A,MATCH("S" &amp; COLUMN(K4)-COLUMN($B4),Planning!$G:$G,0))</f>
        <v>0.61805555555555602</v>
      </c>
      <c r="L4" s="1543">
        <f>INDEX(Planning!$A:$A,MATCH("S" &amp; COLUMN(L4)-COLUMN($B4),Planning!$G:$G,0))</f>
        <v>0.64583333333333381</v>
      </c>
      <c r="M4" s="1543">
        <f>INDEX(Planning!$A:$A,MATCH("S" &amp; COLUMN(M4)-COLUMN($B4),Planning!$G:$G,0))</f>
        <v>0.6736111111111116</v>
      </c>
      <c r="N4" s="1543">
        <f>INDEX(Planning!$A:$A,MATCH("S" &amp; COLUMN(N4)-COLUMN($B4),Planning!$G:$G,0))</f>
        <v>0.70138888888888939</v>
      </c>
      <c r="O4" s="1543">
        <f>INDEX(Planning!$A:$A,MATCH("S" &amp; COLUMN(O4)-COLUMN($B4),Planning!$G:$G,0))</f>
        <v>0.72916666666666718</v>
      </c>
      <c r="P4" s="1542">
        <f>INDEX(Planning!$A:$A,MATCH("S" &amp; COLUMN(P4)-COLUMN($B4),Planning!$G:$G,0))</f>
        <v>0.71180555555555558</v>
      </c>
      <c r="Q4" s="7"/>
    </row>
    <row r="5" spans="1:17" ht="51" x14ac:dyDescent="0.2">
      <c r="A5" s="1887"/>
      <c r="B5" s="1546" t="s">
        <v>18290</v>
      </c>
      <c r="C5" s="1547"/>
      <c r="D5" s="1547"/>
      <c r="E5" s="1548"/>
      <c r="F5" s="1547"/>
      <c r="G5" s="1548"/>
      <c r="H5" s="1547"/>
      <c r="I5" s="1547"/>
      <c r="J5" s="1548"/>
      <c r="K5" s="1547"/>
      <c r="L5" s="1547"/>
      <c r="M5" s="1548"/>
      <c r="N5" s="1545"/>
      <c r="O5" s="1545"/>
      <c r="P5" s="1545"/>
      <c r="Q5" s="7"/>
    </row>
    <row r="6" spans="1:17" ht="51" x14ac:dyDescent="0.2">
      <c r="A6" s="1887"/>
      <c r="B6" s="1549" t="s">
        <v>18264</v>
      </c>
      <c r="C6" s="1550"/>
      <c r="D6" s="1550"/>
      <c r="E6" s="1551"/>
      <c r="F6" s="1550"/>
      <c r="G6" s="1551"/>
      <c r="H6" s="1550"/>
      <c r="I6" s="1550"/>
      <c r="J6" s="1551"/>
      <c r="K6" s="1550"/>
      <c r="L6" s="1550"/>
      <c r="M6" s="1551"/>
      <c r="N6" s="1544"/>
      <c r="O6" s="1544"/>
      <c r="P6" s="1544"/>
      <c r="Q6" s="7"/>
    </row>
    <row r="7" spans="1:17" ht="51" x14ac:dyDescent="0.2">
      <c r="A7" s="1887"/>
      <c r="B7" s="1549" t="s">
        <v>18258</v>
      </c>
      <c r="C7" s="1550"/>
      <c r="D7" s="1550"/>
      <c r="E7" s="1551"/>
      <c r="F7" s="1550"/>
      <c r="G7" s="1551"/>
      <c r="H7" s="1550"/>
      <c r="I7" s="1550"/>
      <c r="J7" s="1551"/>
      <c r="K7" s="1550"/>
      <c r="L7" s="1550"/>
      <c r="M7" s="1551"/>
      <c r="N7" s="1544"/>
      <c r="O7" s="1544"/>
      <c r="P7" s="1544"/>
      <c r="Q7" s="7"/>
    </row>
    <row r="8" spans="1:17" ht="63.75" x14ac:dyDescent="0.2">
      <c r="A8" s="1887"/>
      <c r="B8" s="1549" t="s">
        <v>18287</v>
      </c>
      <c r="C8" s="1550"/>
      <c r="D8" s="1550"/>
      <c r="E8" s="1551"/>
      <c r="F8" s="1550"/>
      <c r="G8" s="1551"/>
      <c r="H8" s="1550"/>
      <c r="I8" s="1550"/>
      <c r="J8" s="1551"/>
      <c r="K8" s="1550"/>
      <c r="L8" s="1550"/>
      <c r="M8" s="1551"/>
      <c r="N8" s="1544"/>
      <c r="O8" s="1544"/>
      <c r="P8" s="1544"/>
      <c r="Q8" s="7"/>
    </row>
    <row r="9" spans="1:17" ht="51" x14ac:dyDescent="0.2">
      <c r="A9" s="1887"/>
      <c r="B9" s="1549" t="s">
        <v>18246</v>
      </c>
      <c r="C9" s="1550"/>
      <c r="D9" s="1550"/>
      <c r="E9" s="1551"/>
      <c r="F9" s="1550"/>
      <c r="G9" s="1551"/>
      <c r="H9" s="1550"/>
      <c r="I9" s="1550"/>
      <c r="J9" s="1551"/>
      <c r="K9" s="1550"/>
      <c r="L9" s="1550"/>
      <c r="M9" s="1551"/>
      <c r="N9" s="1544"/>
      <c r="O9" s="1544"/>
      <c r="P9" s="1544"/>
      <c r="Q9" s="7"/>
    </row>
    <row r="10" spans="1:17" ht="63.75" x14ac:dyDescent="0.2">
      <c r="A10" s="1887"/>
      <c r="B10" s="1549" t="s">
        <v>18362</v>
      </c>
      <c r="C10" s="1550"/>
      <c r="D10" s="1550"/>
      <c r="E10" s="1551"/>
      <c r="F10" s="1550"/>
      <c r="G10" s="1551"/>
      <c r="H10" s="1550"/>
      <c r="I10" s="1550"/>
      <c r="J10" s="1551"/>
      <c r="K10" s="1550"/>
      <c r="L10" s="1550"/>
      <c r="M10" s="1551"/>
      <c r="N10" s="1544"/>
      <c r="O10" s="1544"/>
      <c r="P10" s="1544"/>
      <c r="Q10" s="7"/>
    </row>
    <row r="11" spans="1:17" ht="63.75" x14ac:dyDescent="0.2">
      <c r="A11" s="1887"/>
      <c r="B11" s="1549" t="s">
        <v>18323</v>
      </c>
      <c r="C11" s="1550"/>
      <c r="D11" s="1550"/>
      <c r="E11" s="1551"/>
      <c r="F11" s="1550"/>
      <c r="G11" s="1551"/>
      <c r="H11" s="1550"/>
      <c r="I11" s="1550"/>
      <c r="J11" s="1551"/>
      <c r="K11" s="1550"/>
      <c r="L11" s="1550"/>
      <c r="M11" s="1551"/>
      <c r="N11" s="1544"/>
      <c r="O11" s="1544"/>
      <c r="P11" s="1544"/>
      <c r="Q11" s="7"/>
    </row>
    <row r="12" spans="1:17" ht="51" x14ac:dyDescent="0.2">
      <c r="A12" s="1887"/>
      <c r="B12" s="1549" t="s">
        <v>18243</v>
      </c>
      <c r="C12" s="1550"/>
      <c r="D12" s="1550"/>
      <c r="E12" s="1551"/>
      <c r="F12" s="1550"/>
      <c r="G12" s="1551"/>
      <c r="H12" s="1550"/>
      <c r="I12" s="1550"/>
      <c r="J12" s="1551"/>
      <c r="K12" s="1550"/>
      <c r="L12" s="1550"/>
      <c r="M12" s="1551"/>
      <c r="N12" s="1544"/>
      <c r="O12" s="1544"/>
      <c r="P12" s="1544"/>
      <c r="Q12" s="7"/>
    </row>
    <row r="13" spans="1:17" ht="38.25" x14ac:dyDescent="0.2">
      <c r="A13" s="1887"/>
      <c r="B13" s="1549" t="s">
        <v>18237</v>
      </c>
      <c r="C13" s="1550"/>
      <c r="D13" s="1550"/>
      <c r="E13" s="1551"/>
      <c r="F13" s="1550"/>
      <c r="G13" s="1551"/>
      <c r="H13" s="1550"/>
      <c r="I13" s="1550"/>
      <c r="J13" s="1551"/>
      <c r="K13" s="1550"/>
      <c r="L13" s="1550"/>
      <c r="M13" s="1551"/>
      <c r="N13" s="1544"/>
      <c r="O13" s="1544"/>
      <c r="P13" s="1544"/>
      <c r="Q13" s="7"/>
    </row>
    <row r="14" spans="1:17" ht="63.75" x14ac:dyDescent="0.2">
      <c r="A14" s="1887"/>
      <c r="B14" s="1549" t="s">
        <v>18371</v>
      </c>
      <c r="C14" s="1550"/>
      <c r="D14" s="1550"/>
      <c r="E14" s="1551"/>
      <c r="F14" s="1550"/>
      <c r="G14" s="1551"/>
      <c r="H14" s="1550"/>
      <c r="I14" s="1550"/>
      <c r="J14" s="1551"/>
      <c r="K14" s="1550"/>
      <c r="L14" s="1550"/>
      <c r="M14" s="1551"/>
      <c r="N14" s="1544"/>
      <c r="O14" s="1544"/>
      <c r="P14" s="1544"/>
      <c r="Q14" s="7"/>
    </row>
    <row r="15" spans="1:17" ht="38.25" x14ac:dyDescent="0.2">
      <c r="A15" s="1887"/>
      <c r="B15" s="1549" t="s">
        <v>18318</v>
      </c>
      <c r="C15" s="1550"/>
      <c r="D15" s="1550"/>
      <c r="E15" s="1551"/>
      <c r="F15" s="1550"/>
      <c r="G15" s="1551"/>
      <c r="H15" s="1550"/>
      <c r="I15" s="1550"/>
      <c r="J15" s="1551"/>
      <c r="K15" s="1550"/>
      <c r="L15" s="1550"/>
      <c r="M15" s="1551"/>
      <c r="N15" s="1544"/>
      <c r="O15" s="1544"/>
      <c r="P15" s="1544"/>
      <c r="Q15" s="7"/>
    </row>
    <row r="16" spans="1:17" ht="63.75" x14ac:dyDescent="0.2">
      <c r="A16" s="1887"/>
      <c r="B16" s="1549" t="s">
        <v>18255</v>
      </c>
      <c r="C16" s="1550"/>
      <c r="D16" s="1550"/>
      <c r="E16" s="1551"/>
      <c r="F16" s="1550"/>
      <c r="G16" s="1551"/>
      <c r="H16" s="1550"/>
      <c r="I16" s="1550"/>
      <c r="J16" s="1551"/>
      <c r="K16" s="1550"/>
      <c r="L16" s="1550"/>
      <c r="M16" s="1551"/>
      <c r="N16" s="1544"/>
      <c r="O16" s="1544"/>
      <c r="P16" s="1544"/>
      <c r="Q16" s="7"/>
    </row>
    <row r="17" spans="1:17" ht="63.75" x14ac:dyDescent="0.2">
      <c r="A17" s="1887"/>
      <c r="B17" s="1549" t="s">
        <v>18356</v>
      </c>
      <c r="C17" s="1550"/>
      <c r="D17" s="1550"/>
      <c r="E17" s="1551"/>
      <c r="F17" s="1550"/>
      <c r="G17" s="1551"/>
      <c r="H17" s="1550"/>
      <c r="I17" s="1550"/>
      <c r="J17" s="1551"/>
      <c r="K17" s="1550"/>
      <c r="L17" s="1550"/>
      <c r="M17" s="1551"/>
      <c r="N17" s="1544"/>
      <c r="O17" s="1544"/>
      <c r="P17" s="1544"/>
      <c r="Q17" s="7"/>
    </row>
    <row r="18" spans="1:17" ht="51" x14ac:dyDescent="0.2">
      <c r="A18" s="1887"/>
      <c r="B18" s="1549" t="s">
        <v>18231</v>
      </c>
      <c r="C18" s="1550"/>
      <c r="D18" s="1550"/>
      <c r="E18" s="1551"/>
      <c r="F18" s="1550"/>
      <c r="G18" s="1551"/>
      <c r="H18" s="1550"/>
      <c r="I18" s="1550"/>
      <c r="J18" s="1551"/>
      <c r="K18" s="1550"/>
      <c r="L18" s="1550"/>
      <c r="M18" s="1551"/>
      <c r="N18" s="1544"/>
      <c r="O18" s="1544"/>
      <c r="P18" s="1544"/>
      <c r="Q18" s="7"/>
    </row>
    <row r="19" spans="1:17" ht="51" x14ac:dyDescent="0.2">
      <c r="A19" s="1887"/>
      <c r="B19" s="1549" t="s">
        <v>18308</v>
      </c>
      <c r="C19" s="1550"/>
      <c r="D19" s="1550"/>
      <c r="E19" s="1551"/>
      <c r="F19" s="1550"/>
      <c r="G19" s="1551"/>
      <c r="H19" s="1550"/>
      <c r="I19" s="1550"/>
      <c r="J19" s="1551"/>
      <c r="K19" s="1550"/>
      <c r="L19" s="1550"/>
      <c r="M19" s="1551"/>
      <c r="N19" s="1544"/>
      <c r="O19" s="1544"/>
      <c r="P19" s="1544"/>
      <c r="Q19" s="7"/>
    </row>
    <row r="20" spans="1:17" ht="51" x14ac:dyDescent="0.2">
      <c r="A20" s="1887"/>
      <c r="B20" s="1549" t="s">
        <v>18240</v>
      </c>
      <c r="C20" s="1550"/>
      <c r="D20" s="1550"/>
      <c r="E20" s="1551"/>
      <c r="F20" s="1550"/>
      <c r="G20" s="1551"/>
      <c r="H20" s="1550"/>
      <c r="I20" s="1550"/>
      <c r="J20" s="1551"/>
      <c r="K20" s="1550"/>
      <c r="L20" s="1550"/>
      <c r="M20" s="1551"/>
      <c r="N20" s="1544"/>
      <c r="O20" s="1544"/>
      <c r="P20" s="1544"/>
      <c r="Q20" s="7"/>
    </row>
    <row r="21" spans="1:17" ht="51" x14ac:dyDescent="0.2">
      <c r="A21" s="1887"/>
      <c r="B21" s="1549" t="s">
        <v>18305</v>
      </c>
      <c r="C21" s="1550"/>
      <c r="D21" s="1550"/>
      <c r="E21" s="1551"/>
      <c r="F21" s="1550"/>
      <c r="G21" s="1551"/>
      <c r="H21" s="1550"/>
      <c r="I21" s="1550"/>
      <c r="J21" s="1551"/>
      <c r="K21" s="1550"/>
      <c r="L21" s="1550"/>
      <c r="M21" s="1551"/>
      <c r="N21" s="1544"/>
      <c r="O21" s="1544"/>
      <c r="P21" s="1544"/>
      <c r="Q21" s="7"/>
    </row>
    <row r="22" spans="1:17" ht="63.75" x14ac:dyDescent="0.2">
      <c r="A22" s="1887"/>
      <c r="B22" s="1549" t="s">
        <v>18261</v>
      </c>
      <c r="C22" s="1550"/>
      <c r="D22" s="1550"/>
      <c r="E22" s="1551"/>
      <c r="F22" s="1550"/>
      <c r="G22" s="1551"/>
      <c r="H22" s="1550"/>
      <c r="I22" s="1550"/>
      <c r="J22" s="1551"/>
      <c r="K22" s="1550"/>
      <c r="L22" s="1550"/>
      <c r="M22" s="1551"/>
      <c r="N22" s="1544"/>
      <c r="O22" s="1544"/>
      <c r="P22" s="1544"/>
      <c r="Q22" s="7"/>
    </row>
    <row r="23" spans="1:17" ht="76.5" x14ac:dyDescent="0.2">
      <c r="A23" s="1887"/>
      <c r="B23" s="1549" t="s">
        <v>18329</v>
      </c>
      <c r="C23" s="1550"/>
      <c r="D23" s="1550"/>
      <c r="E23" s="1551"/>
      <c r="F23" s="1550"/>
      <c r="G23" s="1551"/>
      <c r="H23" s="1550"/>
      <c r="I23" s="1550"/>
      <c r="J23" s="1551"/>
      <c r="K23" s="1550"/>
      <c r="L23" s="1550"/>
      <c r="M23" s="1551"/>
      <c r="N23" s="1544"/>
      <c r="O23" s="1544"/>
      <c r="P23" s="1544"/>
      <c r="Q23" s="7"/>
    </row>
    <row r="24" spans="1:17" ht="63.75" x14ac:dyDescent="0.2">
      <c r="A24" s="1887"/>
      <c r="B24" s="1549" t="s">
        <v>18252</v>
      </c>
      <c r="C24" s="1550"/>
      <c r="D24" s="1550"/>
      <c r="E24" s="1551"/>
      <c r="F24" s="1550"/>
      <c r="G24" s="1551"/>
      <c r="H24" s="1550"/>
      <c r="I24" s="1550"/>
      <c r="J24" s="1551"/>
      <c r="K24" s="1550"/>
      <c r="L24" s="1550"/>
      <c r="M24" s="1551"/>
      <c r="N24" s="1544"/>
      <c r="O24" s="1544"/>
      <c r="P24" s="1544"/>
      <c r="Q24" s="7"/>
    </row>
    <row r="25" spans="1:17" ht="63.75" x14ac:dyDescent="0.2">
      <c r="A25" s="1887"/>
      <c r="B25" s="1549" t="s">
        <v>18338</v>
      </c>
      <c r="C25" s="1550"/>
      <c r="D25" s="1550"/>
      <c r="E25" s="1551"/>
      <c r="F25" s="1550"/>
      <c r="G25" s="1551"/>
      <c r="H25" s="1550"/>
      <c r="I25" s="1550"/>
      <c r="J25" s="1551"/>
      <c r="K25" s="1550"/>
      <c r="L25" s="1550"/>
      <c r="M25" s="1551"/>
      <c r="N25" s="1544"/>
      <c r="O25" s="1544"/>
      <c r="P25" s="1544"/>
      <c r="Q25" s="7"/>
    </row>
    <row r="26" spans="1:17" ht="38.25" x14ac:dyDescent="0.2">
      <c r="A26" s="1887"/>
      <c r="B26" s="1549" t="s">
        <v>18284</v>
      </c>
      <c r="C26" s="1550"/>
      <c r="D26" s="1550"/>
      <c r="E26" s="1551"/>
      <c r="F26" s="1550"/>
      <c r="G26" s="1551"/>
      <c r="H26" s="1550"/>
      <c r="I26" s="1550"/>
      <c r="J26" s="1551"/>
      <c r="K26" s="1550"/>
      <c r="L26" s="1550"/>
      <c r="M26" s="1551"/>
      <c r="N26" s="1544"/>
      <c r="O26" s="1544"/>
      <c r="P26" s="1544"/>
      <c r="Q26" s="7"/>
    </row>
    <row r="27" spans="1:17" ht="51" x14ac:dyDescent="0.2">
      <c r="A27" s="1887"/>
      <c r="B27" s="1549" t="s">
        <v>18299</v>
      </c>
      <c r="C27" s="1550"/>
      <c r="D27" s="1550"/>
      <c r="E27" s="1551"/>
      <c r="F27" s="1550"/>
      <c r="G27" s="1551"/>
      <c r="H27" s="1550"/>
      <c r="I27" s="1550"/>
      <c r="J27" s="1551"/>
      <c r="K27" s="1550"/>
      <c r="L27" s="1550"/>
      <c r="M27" s="1551"/>
      <c r="N27" s="1544"/>
      <c r="O27" s="1544"/>
      <c r="P27" s="1544"/>
      <c r="Q27" s="7"/>
    </row>
    <row r="28" spans="1:17" ht="51" x14ac:dyDescent="0.2">
      <c r="A28" s="1887"/>
      <c r="B28" s="1549" t="s">
        <v>18326</v>
      </c>
      <c r="C28" s="1550"/>
      <c r="D28" s="1550"/>
      <c r="E28" s="1551"/>
      <c r="F28" s="1550"/>
      <c r="G28" s="1551"/>
      <c r="H28" s="1550"/>
      <c r="I28" s="1550"/>
      <c r="J28" s="1551"/>
      <c r="K28" s="1550"/>
      <c r="L28" s="1550"/>
      <c r="M28" s="1551"/>
      <c r="N28" s="1544"/>
      <c r="O28" s="1544"/>
      <c r="P28" s="1544"/>
      <c r="Q28" s="7"/>
    </row>
    <row r="29" spans="1:17" ht="38.25" x14ac:dyDescent="0.2">
      <c r="A29" s="1887"/>
      <c r="B29" s="1549" t="s">
        <v>18383</v>
      </c>
      <c r="C29" s="1550"/>
      <c r="D29" s="1550"/>
      <c r="E29" s="1551"/>
      <c r="F29" s="1550"/>
      <c r="G29" s="1551"/>
      <c r="H29" s="1550"/>
      <c r="I29" s="1550"/>
      <c r="J29" s="1551"/>
      <c r="K29" s="1550"/>
      <c r="L29" s="1550"/>
      <c r="M29" s="1551"/>
      <c r="N29" s="1544"/>
      <c r="O29" s="1544"/>
      <c r="P29" s="1544"/>
      <c r="Q29" s="7"/>
    </row>
    <row r="30" spans="1:17" ht="38.25" x14ac:dyDescent="0.2">
      <c r="A30" s="1887"/>
      <c r="B30" s="1549" t="s">
        <v>18386</v>
      </c>
      <c r="C30" s="1550"/>
      <c r="D30" s="1550"/>
      <c r="E30" s="1551"/>
      <c r="F30" s="1550"/>
      <c r="G30" s="1551"/>
      <c r="H30" s="1550"/>
      <c r="I30" s="1550"/>
      <c r="J30" s="1551"/>
      <c r="K30" s="1550"/>
      <c r="L30" s="1550"/>
      <c r="M30" s="1551"/>
      <c r="N30" s="1544"/>
      <c r="O30" s="1544"/>
      <c r="P30" s="1544"/>
      <c r="Q30" s="7"/>
    </row>
    <row r="31" spans="1:17" ht="51" x14ac:dyDescent="0.2">
      <c r="A31" s="1887"/>
      <c r="B31" s="1549" t="s">
        <v>18377</v>
      </c>
      <c r="C31" s="1550"/>
      <c r="D31" s="1550"/>
      <c r="E31" s="1551"/>
      <c r="F31" s="1550"/>
      <c r="G31" s="1551"/>
      <c r="H31" s="1550"/>
      <c r="I31" s="1550"/>
      <c r="J31" s="1551"/>
      <c r="K31" s="1550"/>
      <c r="L31" s="1550"/>
      <c r="M31" s="1551"/>
      <c r="N31" s="1544"/>
      <c r="O31" s="1544"/>
      <c r="P31" s="1544"/>
      <c r="Q31" s="7"/>
    </row>
    <row r="32" spans="1:17" ht="51" x14ac:dyDescent="0.2">
      <c r="A32" s="1887"/>
      <c r="B32" s="1549" t="s">
        <v>18344</v>
      </c>
      <c r="C32" s="1550"/>
      <c r="D32" s="1550"/>
      <c r="E32" s="1551"/>
      <c r="F32" s="1550"/>
      <c r="G32" s="1551"/>
      <c r="H32" s="1550"/>
      <c r="I32" s="1550"/>
      <c r="J32" s="1551"/>
      <c r="K32" s="1550"/>
      <c r="L32" s="1550"/>
      <c r="M32" s="1551"/>
      <c r="N32" s="1544"/>
      <c r="O32" s="1544"/>
      <c r="P32" s="1544"/>
      <c r="Q32" s="7"/>
    </row>
    <row r="33" spans="1:17" ht="51" x14ac:dyDescent="0.2">
      <c r="A33" s="1887"/>
      <c r="B33" s="1549" t="s">
        <v>18320</v>
      </c>
      <c r="C33" s="1550"/>
      <c r="D33" s="1550"/>
      <c r="E33" s="1551"/>
      <c r="F33" s="1550"/>
      <c r="G33" s="1551"/>
      <c r="H33" s="1550"/>
      <c r="I33" s="1550"/>
      <c r="J33" s="1551"/>
      <c r="K33" s="1550"/>
      <c r="L33" s="1550"/>
      <c r="M33" s="1551"/>
      <c r="N33" s="1544"/>
      <c r="O33" s="1544"/>
      <c r="P33" s="1544"/>
      <c r="Q33" s="7"/>
    </row>
    <row r="34" spans="1:17" ht="38.25" x14ac:dyDescent="0.2">
      <c r="A34" s="1887"/>
      <c r="B34" s="1549" t="s">
        <v>18347</v>
      </c>
      <c r="C34" s="1550"/>
      <c r="D34" s="1550"/>
      <c r="E34" s="1551"/>
      <c r="F34" s="1550"/>
      <c r="G34" s="1551"/>
      <c r="H34" s="1550"/>
      <c r="I34" s="1550"/>
      <c r="J34" s="1551"/>
      <c r="K34" s="1550"/>
      <c r="L34" s="1550"/>
      <c r="M34" s="1551"/>
      <c r="N34" s="1544"/>
      <c r="O34" s="1544"/>
      <c r="P34" s="1544"/>
      <c r="Q34" s="7"/>
    </row>
    <row r="35" spans="1:17" ht="51" x14ac:dyDescent="0.2">
      <c r="A35" s="1887"/>
      <c r="B35" s="1549" t="s">
        <v>18302</v>
      </c>
      <c r="C35" s="1550"/>
      <c r="D35" s="1550"/>
      <c r="E35" s="1551"/>
      <c r="F35" s="1550"/>
      <c r="G35" s="1551"/>
      <c r="H35" s="1550"/>
      <c r="I35" s="1550"/>
      <c r="J35" s="1551"/>
      <c r="K35" s="1550"/>
      <c r="L35" s="1550"/>
      <c r="M35" s="1551"/>
      <c r="N35" s="1544"/>
      <c r="O35" s="1544"/>
      <c r="P35" s="1544"/>
      <c r="Q35" s="7"/>
    </row>
    <row r="36" spans="1:17" ht="38.25" x14ac:dyDescent="0.2">
      <c r="A36" s="1887"/>
      <c r="B36" s="1549" t="s">
        <v>18350</v>
      </c>
      <c r="C36" s="1550"/>
      <c r="D36" s="1550"/>
      <c r="E36" s="1551"/>
      <c r="F36" s="1550"/>
      <c r="G36" s="1551"/>
      <c r="H36" s="1550"/>
      <c r="I36" s="1550"/>
      <c r="J36" s="1551"/>
      <c r="K36" s="1550"/>
      <c r="L36" s="1550"/>
      <c r="M36" s="1551"/>
      <c r="N36" s="1544"/>
      <c r="O36" s="1544"/>
      <c r="P36" s="1544"/>
      <c r="Q36" s="7"/>
    </row>
    <row r="37" spans="1:17" ht="51" x14ac:dyDescent="0.2">
      <c r="A37" s="1887"/>
      <c r="B37" s="1549" t="s">
        <v>18270</v>
      </c>
      <c r="C37" s="1550"/>
      <c r="D37" s="1550"/>
      <c r="E37" s="1551"/>
      <c r="F37" s="1550"/>
      <c r="G37" s="1551"/>
      <c r="H37" s="1550"/>
      <c r="I37" s="1550"/>
      <c r="J37" s="1551"/>
      <c r="K37" s="1550"/>
      <c r="L37" s="1550"/>
      <c r="M37" s="1551"/>
      <c r="N37" s="1544"/>
      <c r="O37" s="1544"/>
      <c r="P37" s="1544"/>
      <c r="Q37" s="7"/>
    </row>
    <row r="38" spans="1:17" ht="51" x14ac:dyDescent="0.2">
      <c r="A38" s="1887"/>
      <c r="B38" s="1549" t="s">
        <v>18358</v>
      </c>
      <c r="C38" s="1550"/>
      <c r="D38" s="1550"/>
      <c r="E38" s="1551"/>
      <c r="F38" s="1550"/>
      <c r="G38" s="1551"/>
      <c r="H38" s="1550"/>
      <c r="I38" s="1550"/>
      <c r="J38" s="1551"/>
      <c r="K38" s="1550"/>
      <c r="L38" s="1550"/>
      <c r="M38" s="1551"/>
      <c r="N38" s="1544"/>
      <c r="O38" s="1544"/>
      <c r="P38" s="1544"/>
      <c r="Q38" s="7"/>
    </row>
    <row r="39" spans="1:17" ht="38.25" x14ac:dyDescent="0.2">
      <c r="A39" s="1887"/>
      <c r="B39" s="1549" t="s">
        <v>18311</v>
      </c>
      <c r="C39" s="1550"/>
      <c r="D39" s="1550"/>
      <c r="E39" s="1551"/>
      <c r="F39" s="1550"/>
      <c r="G39" s="1551"/>
      <c r="H39" s="1550"/>
      <c r="I39" s="1550"/>
      <c r="J39" s="1551"/>
      <c r="K39" s="1550"/>
      <c r="L39" s="1550"/>
      <c r="M39" s="1551"/>
      <c r="N39" s="1544"/>
      <c r="O39" s="1544"/>
      <c r="P39" s="1544"/>
      <c r="Q39" s="7"/>
    </row>
    <row r="40" spans="1:17" ht="38.25" x14ac:dyDescent="0.2">
      <c r="A40" s="1887"/>
      <c r="B40" s="1549" t="s">
        <v>18273</v>
      </c>
      <c r="C40" s="1550"/>
      <c r="D40" s="1550"/>
      <c r="E40" s="1551"/>
      <c r="F40" s="1550"/>
      <c r="G40" s="1551"/>
      <c r="H40" s="1550"/>
      <c r="I40" s="1550"/>
      <c r="J40" s="1551"/>
      <c r="K40" s="1550"/>
      <c r="L40" s="1550"/>
      <c r="M40" s="1551"/>
      <c r="N40" s="1544"/>
      <c r="O40" s="1544"/>
      <c r="P40" s="1544"/>
      <c r="Q40" s="7"/>
    </row>
    <row r="41" spans="1:17" ht="38.25" x14ac:dyDescent="0.2">
      <c r="A41" s="1887"/>
      <c r="B41" s="1549" t="s">
        <v>18335</v>
      </c>
      <c r="C41" s="1550"/>
      <c r="D41" s="1550"/>
      <c r="E41" s="1551"/>
      <c r="F41" s="1550"/>
      <c r="G41" s="1551"/>
      <c r="H41" s="1550"/>
      <c r="I41" s="1550"/>
      <c r="J41" s="1551"/>
      <c r="K41" s="1550"/>
      <c r="L41" s="1550"/>
      <c r="M41" s="1551"/>
      <c r="N41" s="1544"/>
      <c r="O41" s="1544"/>
      <c r="P41" s="1544"/>
      <c r="Q41" s="7"/>
    </row>
    <row r="42" spans="1:17" ht="63.75" x14ac:dyDescent="0.2">
      <c r="A42" s="1887"/>
      <c r="B42" s="1549" t="s">
        <v>18267</v>
      </c>
      <c r="C42" s="1550"/>
      <c r="D42" s="1550"/>
      <c r="E42" s="1551"/>
      <c r="F42" s="1550"/>
      <c r="G42" s="1551"/>
      <c r="H42" s="1550"/>
      <c r="I42" s="1550"/>
      <c r="J42" s="1551"/>
      <c r="K42" s="1550"/>
      <c r="L42" s="1550"/>
      <c r="M42" s="1551"/>
      <c r="N42" s="1544"/>
      <c r="O42" s="1544"/>
      <c r="P42" s="1544"/>
      <c r="Q42" s="7"/>
    </row>
    <row r="43" spans="1:17" ht="38.25" x14ac:dyDescent="0.2">
      <c r="A43" s="1887"/>
      <c r="B43" s="1549" t="s">
        <v>18332</v>
      </c>
      <c r="C43" s="1550"/>
      <c r="D43" s="1550"/>
      <c r="E43" s="1551"/>
      <c r="F43" s="1550"/>
      <c r="G43" s="1551"/>
      <c r="H43" s="1550"/>
      <c r="I43" s="1550"/>
      <c r="J43" s="1551"/>
      <c r="K43" s="1550"/>
      <c r="L43" s="1550"/>
      <c r="M43" s="1551"/>
      <c r="N43" s="1544"/>
      <c r="O43" s="1544"/>
      <c r="P43" s="1544"/>
      <c r="Q43" s="7"/>
    </row>
    <row r="44" spans="1:17" ht="63.75" x14ac:dyDescent="0.2">
      <c r="A44" s="1887"/>
      <c r="B44" s="1549" t="s">
        <v>18224</v>
      </c>
      <c r="C44" s="1550"/>
      <c r="D44" s="1550"/>
      <c r="E44" s="1551"/>
      <c r="F44" s="1550"/>
      <c r="G44" s="1551"/>
      <c r="H44" s="1550"/>
      <c r="I44" s="1550"/>
      <c r="J44" s="1551"/>
      <c r="K44" s="1550"/>
      <c r="L44" s="1550"/>
      <c r="M44" s="1551"/>
      <c r="N44" s="1544"/>
      <c r="O44" s="1544"/>
      <c r="P44" s="1544"/>
      <c r="Q44" s="7"/>
    </row>
    <row r="45" spans="1:17" ht="38.25" x14ac:dyDescent="0.2">
      <c r="A45" s="1887"/>
      <c r="B45" s="1549" t="s">
        <v>18278</v>
      </c>
      <c r="C45" s="1550"/>
      <c r="D45" s="1550"/>
      <c r="E45" s="1551"/>
      <c r="F45" s="1550"/>
      <c r="G45" s="1551"/>
      <c r="H45" s="1550"/>
      <c r="I45" s="1550"/>
      <c r="J45" s="1551"/>
      <c r="K45" s="1550"/>
      <c r="L45" s="1550"/>
      <c r="M45" s="1551"/>
      <c r="N45" s="1544"/>
      <c r="O45" s="1544"/>
      <c r="P45" s="1544"/>
      <c r="Q45" s="7"/>
    </row>
    <row r="46" spans="1:17" ht="38.25" x14ac:dyDescent="0.2">
      <c r="A46" s="1887"/>
      <c r="B46" s="1549" t="s">
        <v>18353</v>
      </c>
      <c r="C46" s="1550"/>
      <c r="D46" s="1550"/>
      <c r="E46" s="1551"/>
      <c r="F46" s="1550"/>
      <c r="G46" s="1551"/>
      <c r="H46" s="1550"/>
      <c r="I46" s="1550"/>
      <c r="J46" s="1551"/>
      <c r="K46" s="1550"/>
      <c r="L46" s="1550"/>
      <c r="M46" s="1551"/>
      <c r="N46" s="1544"/>
      <c r="O46" s="1544"/>
      <c r="P46" s="1544"/>
      <c r="Q46" s="7"/>
    </row>
    <row r="47" spans="1:17" ht="51" x14ac:dyDescent="0.2">
      <c r="A47" s="1887"/>
      <c r="B47" s="1549" t="s">
        <v>18296</v>
      </c>
      <c r="C47" s="1550"/>
      <c r="D47" s="1550"/>
      <c r="E47" s="1551"/>
      <c r="F47" s="1550"/>
      <c r="G47" s="1551"/>
      <c r="H47" s="1550"/>
      <c r="I47" s="1550"/>
      <c r="J47" s="1551"/>
      <c r="K47" s="1550"/>
      <c r="L47" s="1550"/>
      <c r="M47" s="1551"/>
      <c r="N47" s="1544"/>
      <c r="O47" s="1544"/>
      <c r="P47" s="1544"/>
      <c r="Q47" s="7"/>
    </row>
    <row r="48" spans="1:17" ht="63.75" x14ac:dyDescent="0.2">
      <c r="A48" s="1887"/>
      <c r="B48" s="1549" t="s">
        <v>18389</v>
      </c>
      <c r="C48" s="1550"/>
      <c r="D48" s="1550"/>
      <c r="E48" s="1551"/>
      <c r="F48" s="1550"/>
      <c r="G48" s="1551"/>
      <c r="H48" s="1550"/>
      <c r="I48" s="1550"/>
      <c r="J48" s="1551"/>
      <c r="K48" s="1550"/>
      <c r="L48" s="1550"/>
      <c r="M48" s="1551"/>
      <c r="N48" s="1544"/>
      <c r="O48" s="1544"/>
      <c r="P48" s="1544"/>
      <c r="Q48" s="7"/>
    </row>
    <row r="49" spans="1:17" ht="51" x14ac:dyDescent="0.2">
      <c r="A49" s="1887"/>
      <c r="B49" s="1549" t="s">
        <v>18374</v>
      </c>
      <c r="C49" s="1550"/>
      <c r="D49" s="1550"/>
      <c r="E49" s="1551"/>
      <c r="F49" s="1550"/>
      <c r="G49" s="1551"/>
      <c r="H49" s="1550"/>
      <c r="I49" s="1550"/>
      <c r="J49" s="1551"/>
      <c r="K49" s="1550"/>
      <c r="L49" s="1550"/>
      <c r="M49" s="1551"/>
      <c r="N49" s="1544"/>
      <c r="O49" s="1544"/>
      <c r="P49" s="1544"/>
      <c r="Q49" s="7"/>
    </row>
    <row r="50" spans="1:17" ht="51" x14ac:dyDescent="0.2">
      <c r="A50" s="1887"/>
      <c r="B50" s="1549" t="s">
        <v>18341</v>
      </c>
      <c r="C50" s="1550"/>
      <c r="D50" s="1550"/>
      <c r="E50" s="1551"/>
      <c r="F50" s="1550"/>
      <c r="G50" s="1551"/>
      <c r="H50" s="1550"/>
      <c r="I50" s="1550"/>
      <c r="J50" s="1551"/>
      <c r="K50" s="1550"/>
      <c r="L50" s="1550"/>
      <c r="M50" s="1551"/>
      <c r="N50" s="1544"/>
      <c r="O50" s="1544"/>
      <c r="P50" s="1544"/>
      <c r="Q50" s="7"/>
    </row>
    <row r="51" spans="1:17" ht="51" x14ac:dyDescent="0.2">
      <c r="A51" s="1887"/>
      <c r="B51" s="1549" t="s">
        <v>18380</v>
      </c>
      <c r="C51" s="1550"/>
      <c r="D51" s="1550"/>
      <c r="E51" s="1551"/>
      <c r="F51" s="1550"/>
      <c r="G51" s="1551"/>
      <c r="H51" s="1550"/>
      <c r="I51" s="1550"/>
      <c r="J51" s="1551"/>
      <c r="K51" s="1550"/>
      <c r="L51" s="1550"/>
      <c r="M51" s="1551"/>
      <c r="N51" s="1544"/>
      <c r="O51" s="1544"/>
      <c r="P51" s="1544"/>
      <c r="Q51" s="7"/>
    </row>
    <row r="52" spans="1:17" ht="63.75" x14ac:dyDescent="0.2">
      <c r="A52" s="1887"/>
      <c r="B52" s="1549" t="s">
        <v>18249</v>
      </c>
      <c r="C52" s="1550"/>
      <c r="D52" s="1550"/>
      <c r="E52" s="1551"/>
      <c r="F52" s="1550"/>
      <c r="G52" s="1551"/>
      <c r="H52" s="1550"/>
      <c r="I52" s="1550"/>
      <c r="J52" s="1551"/>
      <c r="K52" s="1550"/>
      <c r="L52" s="1550"/>
      <c r="M52" s="1551"/>
      <c r="N52" s="1544"/>
      <c r="O52" s="1544"/>
      <c r="P52" s="1544"/>
      <c r="Q52" s="7"/>
    </row>
    <row r="53" spans="1:17" ht="51" x14ac:dyDescent="0.2">
      <c r="A53" s="1887"/>
      <c r="B53" s="1549" t="s">
        <v>18228</v>
      </c>
      <c r="C53" s="1550"/>
      <c r="D53" s="1550"/>
      <c r="E53" s="1551"/>
      <c r="F53" s="1550"/>
      <c r="G53" s="1551"/>
      <c r="H53" s="1550"/>
      <c r="I53" s="1550"/>
      <c r="J53" s="1551"/>
      <c r="K53" s="1550"/>
      <c r="L53" s="1550"/>
      <c r="M53" s="1551"/>
      <c r="N53" s="1544"/>
      <c r="O53" s="1544"/>
      <c r="P53" s="1544"/>
      <c r="Q53" s="7"/>
    </row>
    <row r="54" spans="1:17" ht="51" x14ac:dyDescent="0.2">
      <c r="A54" s="1887"/>
      <c r="B54" s="1549" t="s">
        <v>18293</v>
      </c>
      <c r="C54" s="1550"/>
      <c r="D54" s="1550"/>
      <c r="E54" s="1551"/>
      <c r="F54" s="1550"/>
      <c r="G54" s="1551"/>
      <c r="H54" s="1550"/>
      <c r="I54" s="1550"/>
      <c r="J54" s="1551"/>
      <c r="K54" s="1550"/>
      <c r="L54" s="1550"/>
      <c r="M54" s="1551"/>
      <c r="N54" s="1544"/>
      <c r="O54" s="1544"/>
      <c r="P54" s="1544"/>
      <c r="Q54" s="7"/>
    </row>
    <row r="55" spans="1:17" ht="51" x14ac:dyDescent="0.2">
      <c r="A55" s="1887"/>
      <c r="B55" s="1549" t="s">
        <v>18314</v>
      </c>
      <c r="C55" s="1550"/>
      <c r="D55" s="1550"/>
      <c r="E55" s="1551"/>
      <c r="F55" s="1550"/>
      <c r="G55" s="1551"/>
      <c r="H55" s="1550"/>
      <c r="I55" s="1550"/>
      <c r="J55" s="1551"/>
      <c r="K55" s="1550"/>
      <c r="L55" s="1550"/>
      <c r="M55" s="1551"/>
      <c r="N55" s="1544"/>
      <c r="O55" s="1544"/>
      <c r="P55" s="1544"/>
      <c r="Q55" s="7"/>
    </row>
    <row r="56" spans="1:17" ht="38.25" x14ac:dyDescent="0.2">
      <c r="A56" s="1887"/>
      <c r="B56" s="1549" t="s">
        <v>18234</v>
      </c>
      <c r="C56" s="1550"/>
      <c r="D56" s="1550"/>
      <c r="E56" s="1551"/>
      <c r="F56" s="1550"/>
      <c r="G56" s="1551"/>
      <c r="H56" s="1550"/>
      <c r="I56" s="1550"/>
      <c r="J56" s="1551"/>
      <c r="K56" s="1550"/>
      <c r="L56" s="1550"/>
      <c r="M56" s="1551"/>
      <c r="N56" s="1544"/>
      <c r="O56" s="1544"/>
      <c r="P56" s="1544"/>
      <c r="Q56" s="7"/>
    </row>
    <row r="57" spans="1:17" ht="51" x14ac:dyDescent="0.2">
      <c r="A57" s="1887"/>
      <c r="B57" s="1549" t="s">
        <v>18275</v>
      </c>
      <c r="C57" s="1550"/>
      <c r="D57" s="1550"/>
      <c r="E57" s="1551"/>
      <c r="F57" s="1550"/>
      <c r="G57" s="1551"/>
      <c r="H57" s="1550"/>
      <c r="I57" s="1550"/>
      <c r="J57" s="1551"/>
      <c r="K57" s="1550"/>
      <c r="L57" s="1550"/>
      <c r="M57" s="1551"/>
      <c r="N57" s="1544"/>
      <c r="O57" s="1544"/>
      <c r="P57" s="1544"/>
      <c r="Q57" s="7"/>
    </row>
    <row r="58" spans="1:17" ht="51" x14ac:dyDescent="0.2">
      <c r="A58" s="1887"/>
      <c r="B58" s="1549" t="s">
        <v>18368</v>
      </c>
      <c r="C58" s="1550"/>
      <c r="D58" s="1550"/>
      <c r="E58" s="1551"/>
      <c r="F58" s="1550"/>
      <c r="G58" s="1551"/>
      <c r="H58" s="1550"/>
      <c r="I58" s="1550"/>
      <c r="J58" s="1551"/>
      <c r="K58" s="1550"/>
      <c r="L58" s="1550"/>
      <c r="M58" s="1551"/>
      <c r="N58" s="1544"/>
      <c r="O58" s="1544"/>
      <c r="P58" s="1544"/>
      <c r="Q58" s="7"/>
    </row>
    <row r="59" spans="1:17" ht="38.25" x14ac:dyDescent="0.2">
      <c r="A59" s="1887"/>
      <c r="B59" s="1549" t="s">
        <v>18281</v>
      </c>
      <c r="C59" s="1550"/>
      <c r="D59" s="1550"/>
      <c r="E59" s="1551"/>
      <c r="F59" s="1550"/>
      <c r="G59" s="1551"/>
      <c r="H59" s="1550"/>
      <c r="I59" s="1550"/>
      <c r="J59" s="1551"/>
      <c r="K59" s="1550"/>
      <c r="L59" s="1550"/>
      <c r="M59" s="1551"/>
      <c r="N59" s="1544"/>
      <c r="O59" s="1544"/>
      <c r="P59" s="1544"/>
      <c r="Q59" s="7"/>
    </row>
    <row r="60" spans="1:17" ht="51" x14ac:dyDescent="0.2">
      <c r="A60" s="1887"/>
      <c r="B60" s="1549" t="s">
        <v>18365</v>
      </c>
      <c r="C60" s="1550"/>
      <c r="D60" s="1550"/>
      <c r="E60" s="1551"/>
      <c r="F60" s="1550"/>
      <c r="G60" s="1551"/>
      <c r="H60" s="1550"/>
      <c r="I60" s="1550"/>
      <c r="J60" s="1551"/>
      <c r="K60" s="1550"/>
      <c r="L60" s="1550"/>
      <c r="M60" s="1551"/>
      <c r="N60" s="1544"/>
      <c r="O60" s="1544"/>
      <c r="P60" s="1544"/>
      <c r="Q60" s="7"/>
    </row>
    <row r="61" spans="1:17" x14ac:dyDescent="0.2">
      <c r="A61" s="1887"/>
      <c r="B61" s="1549"/>
      <c r="C61" s="1550"/>
      <c r="D61" s="1550"/>
      <c r="E61" s="1551"/>
      <c r="F61" s="1550"/>
      <c r="G61" s="1551"/>
      <c r="H61" s="1550"/>
      <c r="I61" s="1550"/>
      <c r="J61" s="1551"/>
      <c r="K61" s="1550"/>
      <c r="L61" s="1550"/>
      <c r="M61" s="1551"/>
      <c r="N61" s="1544"/>
      <c r="O61" s="1544"/>
      <c r="P61" s="1544"/>
      <c r="Q61" s="7"/>
    </row>
    <row r="62" spans="1:17" x14ac:dyDescent="0.2">
      <c r="A62" s="1887"/>
      <c r="B62" s="1549"/>
      <c r="C62" s="1550"/>
      <c r="D62" s="1550"/>
      <c r="E62" s="1551"/>
      <c r="F62" s="1550"/>
      <c r="G62" s="1551"/>
      <c r="H62" s="1550"/>
      <c r="I62" s="1550"/>
      <c r="J62" s="1551"/>
      <c r="K62" s="1550"/>
      <c r="L62" s="1550"/>
      <c r="M62" s="1551"/>
      <c r="N62" s="1544"/>
      <c r="O62" s="1544"/>
      <c r="P62" s="1544"/>
      <c r="Q62" s="7"/>
    </row>
    <row r="63" spans="1:17" x14ac:dyDescent="0.2">
      <c r="A63" s="1887"/>
      <c r="B63" s="1549"/>
      <c r="C63" s="1550"/>
      <c r="D63" s="1550"/>
      <c r="E63" s="1551"/>
      <c r="F63" s="1550"/>
      <c r="G63" s="1551"/>
      <c r="H63" s="1550"/>
      <c r="I63" s="1550"/>
      <c r="J63" s="1551"/>
      <c r="K63" s="1550"/>
      <c r="L63" s="1550"/>
      <c r="M63" s="1551"/>
      <c r="N63" s="1544"/>
      <c r="O63" s="1544"/>
      <c r="P63" s="1544"/>
      <c r="Q63" s="7"/>
    </row>
    <row r="64" spans="1:17" x14ac:dyDescent="0.2">
      <c r="A64" s="1887"/>
      <c r="B64" s="1549"/>
      <c r="C64" s="1550"/>
      <c r="D64" s="1550"/>
      <c r="E64" s="1551"/>
      <c r="F64" s="1550"/>
      <c r="G64" s="1551"/>
      <c r="H64" s="1550"/>
      <c r="I64" s="1550"/>
      <c r="J64" s="1551"/>
      <c r="K64" s="1550"/>
      <c r="L64" s="1550"/>
      <c r="M64" s="1551"/>
      <c r="N64" s="1544"/>
      <c r="O64" s="1544"/>
      <c r="P64" s="1544"/>
      <c r="Q64" s="7"/>
    </row>
    <row r="65" spans="1:17" x14ac:dyDescent="0.2">
      <c r="A65" s="1887"/>
      <c r="B65" s="1549"/>
      <c r="C65" s="1550"/>
      <c r="D65" s="1550"/>
      <c r="E65" s="1551"/>
      <c r="F65" s="1550"/>
      <c r="G65" s="1551"/>
      <c r="H65" s="1550"/>
      <c r="I65" s="1550"/>
      <c r="J65" s="1551"/>
      <c r="K65" s="1550"/>
      <c r="L65" s="1550"/>
      <c r="M65" s="1551"/>
      <c r="N65" s="1544"/>
      <c r="O65" s="1544"/>
      <c r="P65" s="1544"/>
      <c r="Q65" s="7"/>
    </row>
    <row r="66" spans="1:17" x14ac:dyDescent="0.2">
      <c r="A66" s="1887"/>
      <c r="B66" s="1549"/>
      <c r="C66" s="1550"/>
      <c r="D66" s="1550"/>
      <c r="E66" s="1551"/>
      <c r="F66" s="1550"/>
      <c r="G66" s="1551"/>
      <c r="H66" s="1550"/>
      <c r="I66" s="1550"/>
      <c r="J66" s="1551"/>
      <c r="K66" s="1550"/>
      <c r="L66" s="1550"/>
      <c r="M66" s="1551"/>
      <c r="N66" s="1544"/>
      <c r="O66" s="1544"/>
      <c r="P66" s="1544"/>
      <c r="Q66" s="7"/>
    </row>
    <row r="67" spans="1:17" x14ac:dyDescent="0.2">
      <c r="A67" s="1887"/>
      <c r="B67" s="1549"/>
      <c r="C67" s="1550"/>
      <c r="D67" s="1550"/>
      <c r="E67" s="1551"/>
      <c r="F67" s="1550"/>
      <c r="G67" s="1551"/>
      <c r="H67" s="1550"/>
      <c r="I67" s="1550"/>
      <c r="J67" s="1551"/>
      <c r="K67" s="1550"/>
      <c r="L67" s="1550"/>
      <c r="M67" s="1551"/>
      <c r="N67" s="1544"/>
      <c r="O67" s="1544"/>
      <c r="P67" s="1544"/>
      <c r="Q67" s="7"/>
    </row>
    <row r="68" spans="1:17" x14ac:dyDescent="0.2">
      <c r="A68" s="1887"/>
      <c r="B68" s="1549"/>
      <c r="C68" s="1550"/>
      <c r="D68" s="1550"/>
      <c r="E68" s="1551"/>
      <c r="F68" s="1550"/>
      <c r="G68" s="1551"/>
      <c r="H68" s="1550"/>
      <c r="I68" s="1550"/>
      <c r="J68" s="1551"/>
      <c r="K68" s="1550"/>
      <c r="L68" s="1550"/>
      <c r="M68" s="1551"/>
      <c r="N68" s="1544"/>
      <c r="O68" s="1544"/>
      <c r="P68" s="1544"/>
      <c r="Q68" s="7"/>
    </row>
    <row r="69" spans="1:17" x14ac:dyDescent="0.2">
      <c r="A69" s="1887"/>
      <c r="B69" s="1549"/>
      <c r="C69" s="1550"/>
      <c r="D69" s="1550"/>
      <c r="E69" s="1551"/>
      <c r="F69" s="1550"/>
      <c r="G69" s="1551"/>
      <c r="H69" s="1550"/>
      <c r="I69" s="1550"/>
      <c r="J69" s="1551"/>
      <c r="K69" s="1550"/>
      <c r="L69" s="1550"/>
      <c r="M69" s="1551"/>
      <c r="N69" s="1544"/>
      <c r="O69" s="1544"/>
      <c r="P69" s="1544"/>
      <c r="Q69" s="7"/>
    </row>
    <row r="70" spans="1:17" x14ac:dyDescent="0.2">
      <c r="A70" s="1887"/>
      <c r="B70" s="1549"/>
      <c r="C70" s="1550"/>
      <c r="D70" s="1550"/>
      <c r="E70" s="1551"/>
      <c r="F70" s="1550"/>
      <c r="G70" s="1551"/>
      <c r="H70" s="1550"/>
      <c r="I70" s="1550"/>
      <c r="J70" s="1551"/>
      <c r="K70" s="1550"/>
      <c r="L70" s="1550"/>
      <c r="M70" s="1551"/>
      <c r="N70" s="1544"/>
      <c r="O70" s="1544"/>
      <c r="P70" s="1544"/>
      <c r="Q70" s="7"/>
    </row>
    <row r="71" spans="1:17" x14ac:dyDescent="0.2">
      <c r="A71" s="1887"/>
      <c r="B71" s="1549"/>
      <c r="C71" s="1550"/>
      <c r="D71" s="1550"/>
      <c r="E71" s="1551"/>
      <c r="F71" s="1550"/>
      <c r="G71" s="1551"/>
      <c r="H71" s="1550"/>
      <c r="I71" s="1550"/>
      <c r="J71" s="1551"/>
      <c r="K71" s="1550"/>
      <c r="L71" s="1550"/>
      <c r="M71" s="1551"/>
      <c r="N71" s="1544"/>
      <c r="O71" s="1544"/>
      <c r="P71" s="1544"/>
      <c r="Q71" s="7"/>
    </row>
    <row r="72" spans="1:17" x14ac:dyDescent="0.2">
      <c r="A72" s="1887"/>
      <c r="B72" s="1549"/>
      <c r="C72" s="1550"/>
      <c r="D72" s="1550"/>
      <c r="E72" s="1551"/>
      <c r="F72" s="1550"/>
      <c r="G72" s="1551"/>
      <c r="H72" s="1550"/>
      <c r="I72" s="1550"/>
      <c r="J72" s="1551"/>
      <c r="K72" s="1550"/>
      <c r="L72" s="1550"/>
      <c r="M72" s="1551"/>
      <c r="N72" s="1544"/>
      <c r="O72" s="1544"/>
      <c r="P72" s="1544"/>
      <c r="Q72" s="7"/>
    </row>
    <row r="73" spans="1:17" x14ac:dyDescent="0.2">
      <c r="A73" s="1887"/>
      <c r="B73" s="1549"/>
      <c r="C73" s="1550"/>
      <c r="D73" s="1550"/>
      <c r="E73" s="1551"/>
      <c r="F73" s="1550"/>
      <c r="G73" s="1551"/>
      <c r="H73" s="1550"/>
      <c r="I73" s="1550"/>
      <c r="J73" s="1551"/>
      <c r="K73" s="1550"/>
      <c r="L73" s="1550"/>
      <c r="M73" s="1551"/>
      <c r="N73" s="1544"/>
      <c r="O73" s="1544"/>
      <c r="P73" s="1544"/>
      <c r="Q73" s="7"/>
    </row>
    <row r="74" spans="1:17" x14ac:dyDescent="0.2">
      <c r="A74" s="1887"/>
      <c r="B74" s="1549"/>
      <c r="C74" s="1550"/>
      <c r="D74" s="1550"/>
      <c r="E74" s="1551"/>
      <c r="F74" s="1550"/>
      <c r="G74" s="1551"/>
      <c r="H74" s="1550"/>
      <c r="I74" s="1550"/>
      <c r="J74" s="1551"/>
      <c r="K74" s="1550"/>
      <c r="L74" s="1550"/>
      <c r="M74" s="1551"/>
      <c r="N74" s="1544"/>
      <c r="O74" s="1544"/>
      <c r="P74" s="1544"/>
      <c r="Q74" s="7"/>
    </row>
    <row r="75" spans="1:17" x14ac:dyDescent="0.2">
      <c r="A75" s="1887"/>
      <c r="B75" s="1549"/>
      <c r="C75" s="1550"/>
      <c r="D75" s="1550"/>
      <c r="E75" s="1551"/>
      <c r="F75" s="1550"/>
      <c r="G75" s="1551"/>
      <c r="H75" s="1550"/>
      <c r="I75" s="1550"/>
      <c r="J75" s="1551"/>
      <c r="K75" s="1550"/>
      <c r="L75" s="1550"/>
      <c r="M75" s="1551"/>
      <c r="N75" s="1544"/>
      <c r="O75" s="1544"/>
      <c r="P75" s="1544"/>
      <c r="Q75" s="7"/>
    </row>
    <row r="76" spans="1:17" x14ac:dyDescent="0.2">
      <c r="A76" s="1887"/>
      <c r="B76" s="1549"/>
      <c r="C76" s="1550"/>
      <c r="D76" s="1550"/>
      <c r="E76" s="1551"/>
      <c r="F76" s="1550"/>
      <c r="G76" s="1551"/>
      <c r="H76" s="1550"/>
      <c r="I76" s="1550"/>
      <c r="J76" s="1551"/>
      <c r="K76" s="1550"/>
      <c r="L76" s="1550"/>
      <c r="M76" s="1551"/>
      <c r="N76" s="1544"/>
      <c r="O76" s="1544"/>
      <c r="P76" s="1544"/>
      <c r="Q76" s="7"/>
    </row>
    <row r="77" spans="1:17" x14ac:dyDescent="0.2">
      <c r="A77" s="1887"/>
      <c r="B77" s="1549"/>
      <c r="C77" s="1550"/>
      <c r="D77" s="1550"/>
      <c r="E77" s="1551"/>
      <c r="F77" s="1550"/>
      <c r="G77" s="1551"/>
      <c r="H77" s="1550"/>
      <c r="I77" s="1550"/>
      <c r="J77" s="1551"/>
      <c r="K77" s="1550"/>
      <c r="L77" s="1550"/>
      <c r="M77" s="1551"/>
      <c r="N77" s="1544"/>
      <c r="O77" s="1544"/>
      <c r="P77" s="1544"/>
      <c r="Q77" s="7"/>
    </row>
    <row r="78" spans="1:17" x14ac:dyDescent="0.2">
      <c r="A78" s="1887"/>
      <c r="B78" s="1549"/>
      <c r="C78" s="1550"/>
      <c r="D78" s="1550"/>
      <c r="E78" s="1551"/>
      <c r="F78" s="1550"/>
      <c r="G78" s="1551"/>
      <c r="H78" s="1550"/>
      <c r="I78" s="1550"/>
      <c r="J78" s="1551"/>
      <c r="K78" s="1550"/>
      <c r="L78" s="1550"/>
      <c r="M78" s="1551"/>
      <c r="N78" s="1544"/>
      <c r="O78" s="1544"/>
      <c r="P78" s="1544"/>
      <c r="Q78" s="7"/>
    </row>
    <row r="79" spans="1:17" x14ac:dyDescent="0.2">
      <c r="A79" s="1887"/>
      <c r="B79" s="1549"/>
      <c r="C79" s="1550"/>
      <c r="D79" s="1550"/>
      <c r="E79" s="1551"/>
      <c r="F79" s="1550"/>
      <c r="G79" s="1551"/>
      <c r="H79" s="1550"/>
      <c r="I79" s="1550"/>
      <c r="J79" s="1551"/>
      <c r="K79" s="1550"/>
      <c r="L79" s="1550"/>
      <c r="M79" s="1551"/>
      <c r="N79" s="1544"/>
      <c r="O79" s="1544"/>
      <c r="P79" s="1544"/>
      <c r="Q79" s="7"/>
    </row>
    <row r="80" spans="1:17" x14ac:dyDescent="0.2">
      <c r="A80" s="1887"/>
      <c r="B80" s="1549"/>
      <c r="C80" s="1550"/>
      <c r="D80" s="1550"/>
      <c r="E80" s="1551"/>
      <c r="F80" s="1550"/>
      <c r="G80" s="1551"/>
      <c r="H80" s="1550"/>
      <c r="I80" s="1550"/>
      <c r="J80" s="1551"/>
      <c r="K80" s="1550"/>
      <c r="L80" s="1550"/>
      <c r="M80" s="1551"/>
      <c r="N80" s="1544"/>
      <c r="O80" s="1544"/>
      <c r="P80" s="1544"/>
      <c r="Q80" s="7"/>
    </row>
    <row r="81" spans="1:17" x14ac:dyDescent="0.2">
      <c r="A81" s="1887"/>
      <c r="B81" s="1549"/>
      <c r="C81" s="1550"/>
      <c r="D81" s="1550"/>
      <c r="E81" s="1551"/>
      <c r="F81" s="1550"/>
      <c r="G81" s="1551"/>
      <c r="H81" s="1550"/>
      <c r="I81" s="1550"/>
      <c r="J81" s="1551"/>
      <c r="K81" s="1550"/>
      <c r="L81" s="1550"/>
      <c r="M81" s="1551"/>
      <c r="N81" s="1544"/>
      <c r="O81" s="1544"/>
      <c r="P81" s="1544"/>
      <c r="Q81" s="7"/>
    </row>
    <row r="82" spans="1:17" x14ac:dyDescent="0.2">
      <c r="A82" s="1887"/>
      <c r="B82" s="1549"/>
      <c r="C82" s="1550"/>
      <c r="D82" s="1550"/>
      <c r="E82" s="1551"/>
      <c r="F82" s="1550"/>
      <c r="G82" s="1551"/>
      <c r="H82" s="1550"/>
      <c r="I82" s="1550"/>
      <c r="J82" s="1551"/>
      <c r="K82" s="1550"/>
      <c r="L82" s="1550"/>
      <c r="M82" s="1551"/>
      <c r="N82" s="1544"/>
      <c r="O82" s="1544"/>
      <c r="P82" s="1544"/>
      <c r="Q82" s="7"/>
    </row>
    <row r="83" spans="1:17" x14ac:dyDescent="0.2">
      <c r="A83" s="1887"/>
      <c r="B83" s="1549"/>
      <c r="C83" s="1550"/>
      <c r="D83" s="1550"/>
      <c r="E83" s="1551"/>
      <c r="F83" s="1550"/>
      <c r="G83" s="1551"/>
      <c r="H83" s="1550"/>
      <c r="I83" s="1550"/>
      <c r="J83" s="1551"/>
      <c r="K83" s="1550"/>
      <c r="L83" s="1550"/>
      <c r="M83" s="1551"/>
      <c r="N83" s="1544"/>
      <c r="O83" s="1544"/>
      <c r="P83" s="1544"/>
      <c r="Q83" s="7"/>
    </row>
    <row r="84" spans="1:17" x14ac:dyDescent="0.2">
      <c r="A84" s="1887"/>
      <c r="B84" s="1549"/>
      <c r="C84" s="1550"/>
      <c r="D84" s="1550"/>
      <c r="E84" s="1551"/>
      <c r="F84" s="1550"/>
      <c r="G84" s="1551"/>
      <c r="H84" s="1550"/>
      <c r="I84" s="1550"/>
      <c r="J84" s="1551"/>
      <c r="K84" s="1550"/>
      <c r="L84" s="1550"/>
      <c r="M84" s="1551"/>
      <c r="N84" s="1544"/>
      <c r="O84" s="1544"/>
      <c r="P84" s="1544"/>
      <c r="Q84" s="7"/>
    </row>
    <row r="85" spans="1:17" x14ac:dyDescent="0.2">
      <c r="A85" s="1887"/>
      <c r="B85" s="1549"/>
      <c r="C85" s="1550"/>
      <c r="D85" s="1550"/>
      <c r="E85" s="1551"/>
      <c r="F85" s="1550"/>
      <c r="G85" s="1551"/>
      <c r="H85" s="1550"/>
      <c r="I85" s="1550"/>
      <c r="J85" s="1551"/>
      <c r="K85" s="1550"/>
      <c r="L85" s="1550"/>
      <c r="M85" s="1551"/>
      <c r="N85" s="1544"/>
      <c r="O85" s="1544"/>
      <c r="P85" s="1544"/>
      <c r="Q85" s="7"/>
    </row>
    <row r="86" spans="1:17" x14ac:dyDescent="0.2">
      <c r="A86" s="1887"/>
      <c r="B86" s="1549"/>
      <c r="C86" s="1550"/>
      <c r="D86" s="1550"/>
      <c r="E86" s="1551"/>
      <c r="F86" s="1550"/>
      <c r="G86" s="1551"/>
      <c r="H86" s="1550"/>
      <c r="I86" s="1550"/>
      <c r="J86" s="1551"/>
      <c r="K86" s="1550"/>
      <c r="L86" s="1550"/>
      <c r="M86" s="1551"/>
      <c r="N86" s="1544"/>
      <c r="O86" s="1544"/>
      <c r="P86" s="1544"/>
      <c r="Q86" s="7"/>
    </row>
    <row r="87" spans="1:17" x14ac:dyDescent="0.2">
      <c r="A87" s="1887"/>
      <c r="B87" s="1549"/>
      <c r="C87" s="1550"/>
      <c r="D87" s="1550"/>
      <c r="E87" s="1551"/>
      <c r="F87" s="1550"/>
      <c r="G87" s="1551"/>
      <c r="H87" s="1550"/>
      <c r="I87" s="1550"/>
      <c r="J87" s="1551"/>
      <c r="K87" s="1550"/>
      <c r="L87" s="1550"/>
      <c r="M87" s="1551"/>
      <c r="N87" s="1544"/>
      <c r="O87" s="1544"/>
      <c r="P87" s="1544"/>
      <c r="Q87" s="7"/>
    </row>
    <row r="88" spans="1:17" x14ac:dyDescent="0.2">
      <c r="A88" s="1887"/>
      <c r="B88" s="1549"/>
      <c r="C88" s="1550"/>
      <c r="D88" s="1550"/>
      <c r="E88" s="1551"/>
      <c r="F88" s="1550"/>
      <c r="G88" s="1551"/>
      <c r="H88" s="1550"/>
      <c r="I88" s="1550"/>
      <c r="J88" s="1551"/>
      <c r="K88" s="1550"/>
      <c r="L88" s="1550"/>
      <c r="M88" s="1551"/>
      <c r="N88" s="1544"/>
      <c r="O88" s="1544"/>
      <c r="P88" s="1544"/>
      <c r="Q88" s="7"/>
    </row>
    <row r="89" spans="1:17" x14ac:dyDescent="0.2">
      <c r="A89" s="1887"/>
      <c r="B89" s="1549"/>
      <c r="C89" s="1550"/>
      <c r="D89" s="1550"/>
      <c r="E89" s="1551"/>
      <c r="F89" s="1550"/>
      <c r="G89" s="1551"/>
      <c r="H89" s="1550"/>
      <c r="I89" s="1550"/>
      <c r="J89" s="1551"/>
      <c r="K89" s="1550"/>
      <c r="L89" s="1550"/>
      <c r="M89" s="1551"/>
      <c r="N89" s="1544"/>
      <c r="O89" s="1544"/>
      <c r="P89" s="1544"/>
      <c r="Q89" s="7"/>
    </row>
    <row r="90" spans="1:17" x14ac:dyDescent="0.2">
      <c r="A90" s="1887"/>
      <c r="B90" s="1549"/>
      <c r="C90" s="1550"/>
      <c r="D90" s="1550"/>
      <c r="E90" s="1551"/>
      <c r="F90" s="1550"/>
      <c r="G90" s="1551"/>
      <c r="H90" s="1550"/>
      <c r="I90" s="1550"/>
      <c r="J90" s="1551"/>
      <c r="K90" s="1550"/>
      <c r="L90" s="1550"/>
      <c r="M90" s="1551"/>
      <c r="N90" s="1544"/>
      <c r="O90" s="1544"/>
      <c r="P90" s="1544"/>
      <c r="Q90" s="7"/>
    </row>
    <row r="91" spans="1:17" x14ac:dyDescent="0.2">
      <c r="A91" s="1887"/>
      <c r="B91" s="1549"/>
      <c r="C91" s="1550"/>
      <c r="D91" s="1550"/>
      <c r="E91" s="1551"/>
      <c r="F91" s="1550"/>
      <c r="G91" s="1551"/>
      <c r="H91" s="1550"/>
      <c r="I91" s="1550"/>
      <c r="J91" s="1551"/>
      <c r="K91" s="1550"/>
      <c r="L91" s="1550"/>
      <c r="M91" s="1551"/>
      <c r="N91" s="1544"/>
      <c r="O91" s="1544"/>
      <c r="P91" s="1544"/>
      <c r="Q91" s="7"/>
    </row>
    <row r="92" spans="1:17" x14ac:dyDescent="0.2">
      <c r="A92" s="1887"/>
      <c r="B92" s="1549"/>
      <c r="C92" s="1550"/>
      <c r="D92" s="1550"/>
      <c r="E92" s="1551"/>
      <c r="F92" s="1550"/>
      <c r="G92" s="1551"/>
      <c r="H92" s="1550"/>
      <c r="I92" s="1550"/>
      <c r="J92" s="1551"/>
      <c r="K92" s="1550"/>
      <c r="L92" s="1550"/>
      <c r="M92" s="1551"/>
      <c r="N92" s="1544"/>
      <c r="O92" s="1544"/>
      <c r="P92" s="1544"/>
      <c r="Q92" s="7"/>
    </row>
    <row r="93" spans="1:17" x14ac:dyDescent="0.2">
      <c r="A93" s="1887"/>
      <c r="B93" s="1549"/>
      <c r="C93" s="1550"/>
      <c r="D93" s="1550"/>
      <c r="E93" s="1551"/>
      <c r="F93" s="1550"/>
      <c r="G93" s="1551"/>
      <c r="H93" s="1550"/>
      <c r="I93" s="1550"/>
      <c r="J93" s="1551"/>
      <c r="K93" s="1550"/>
      <c r="L93" s="1550"/>
      <c r="M93" s="1551"/>
      <c r="N93" s="1544"/>
      <c r="O93" s="1544"/>
      <c r="P93" s="1544"/>
      <c r="Q93" s="7"/>
    </row>
    <row r="94" spans="1:17" x14ac:dyDescent="0.2">
      <c r="A94" s="1887"/>
      <c r="B94" s="1549"/>
      <c r="C94" s="1550"/>
      <c r="D94" s="1550"/>
      <c r="E94" s="1551"/>
      <c r="F94" s="1550"/>
      <c r="G94" s="1551"/>
      <c r="H94" s="1550"/>
      <c r="I94" s="1550"/>
      <c r="J94" s="1551"/>
      <c r="K94" s="1550"/>
      <c r="L94" s="1550"/>
      <c r="M94" s="1551"/>
      <c r="N94" s="1544"/>
      <c r="O94" s="1544"/>
      <c r="P94" s="1544"/>
      <c r="Q94" s="7"/>
    </row>
    <row r="95" spans="1:17" x14ac:dyDescent="0.2">
      <c r="A95" s="1887"/>
      <c r="B95" s="1549"/>
      <c r="C95" s="1550"/>
      <c r="D95" s="1550"/>
      <c r="E95" s="1551"/>
      <c r="F95" s="1550"/>
      <c r="G95" s="1551"/>
      <c r="H95" s="1550"/>
      <c r="I95" s="1550"/>
      <c r="J95" s="1551"/>
      <c r="K95" s="1550"/>
      <c r="L95" s="1550"/>
      <c r="M95" s="1551"/>
      <c r="N95" s="1544"/>
      <c r="O95" s="1544"/>
      <c r="P95" s="1544"/>
      <c r="Q95" s="7"/>
    </row>
    <row r="96" spans="1:17" x14ac:dyDescent="0.2">
      <c r="A96" s="1887"/>
      <c r="B96" s="1549"/>
      <c r="C96" s="1550"/>
      <c r="D96" s="1550"/>
      <c r="E96" s="1551"/>
      <c r="F96" s="1550"/>
      <c r="G96" s="1551"/>
      <c r="H96" s="1550"/>
      <c r="I96" s="1550"/>
      <c r="J96" s="1551"/>
      <c r="K96" s="1550"/>
      <c r="L96" s="1550"/>
      <c r="M96" s="1551"/>
      <c r="N96" s="1544"/>
      <c r="O96" s="1544"/>
      <c r="P96" s="1544"/>
      <c r="Q96" s="7"/>
    </row>
    <row r="97" spans="1:17" x14ac:dyDescent="0.2">
      <c r="A97" s="1887"/>
      <c r="B97" s="1549"/>
      <c r="C97" s="1550"/>
      <c r="D97" s="1550"/>
      <c r="E97" s="1551"/>
      <c r="F97" s="1550"/>
      <c r="G97" s="1551"/>
      <c r="H97" s="1550"/>
      <c r="I97" s="1550"/>
      <c r="J97" s="1551"/>
      <c r="K97" s="1550"/>
      <c r="L97" s="1550"/>
      <c r="M97" s="1551"/>
      <c r="N97" s="1544"/>
      <c r="O97" s="1544"/>
      <c r="P97" s="1544"/>
      <c r="Q97" s="7"/>
    </row>
    <row r="98" spans="1:17" x14ac:dyDescent="0.2">
      <c r="A98" s="1887"/>
      <c r="B98" s="1549"/>
      <c r="C98" s="1550"/>
      <c r="D98" s="1550"/>
      <c r="E98" s="1551"/>
      <c r="F98" s="1550"/>
      <c r="G98" s="1551"/>
      <c r="H98" s="1550"/>
      <c r="I98" s="1550"/>
      <c r="J98" s="1551"/>
      <c r="K98" s="1550"/>
      <c r="L98" s="1550"/>
      <c r="M98" s="1551"/>
      <c r="N98" s="1544"/>
      <c r="O98" s="1544"/>
      <c r="P98" s="1544"/>
      <c r="Q98" s="7"/>
    </row>
    <row r="99" spans="1:17" x14ac:dyDescent="0.2">
      <c r="A99" s="1887"/>
      <c r="B99" s="1549"/>
      <c r="C99" s="1550"/>
      <c r="D99" s="1550"/>
      <c r="E99" s="1551"/>
      <c r="F99" s="1550"/>
      <c r="G99" s="1551"/>
      <c r="H99" s="1550"/>
      <c r="I99" s="1550"/>
      <c r="J99" s="1551"/>
      <c r="K99" s="1550"/>
      <c r="L99" s="1550"/>
      <c r="M99" s="1551"/>
      <c r="N99" s="1544"/>
      <c r="O99" s="1544"/>
      <c r="P99" s="1544"/>
      <c r="Q99" s="7"/>
    </row>
    <row r="100" spans="1:17" x14ac:dyDescent="0.2">
      <c r="A100" s="1887"/>
      <c r="B100" s="1549"/>
      <c r="C100" s="1550"/>
      <c r="D100" s="1550"/>
      <c r="E100" s="1551"/>
      <c r="F100" s="1550"/>
      <c r="G100" s="1551"/>
      <c r="H100" s="1550"/>
      <c r="I100" s="1550"/>
      <c r="J100" s="1551"/>
      <c r="K100" s="1550"/>
      <c r="L100" s="1550"/>
      <c r="M100" s="1551"/>
      <c r="N100" s="1544"/>
      <c r="O100" s="1544"/>
      <c r="P100" s="1544"/>
      <c r="Q100" s="7"/>
    </row>
    <row r="101" spans="1:17" x14ac:dyDescent="0.2">
      <c r="A101" s="1887"/>
      <c r="B101" s="1549"/>
      <c r="C101" s="1550"/>
      <c r="D101" s="1550"/>
      <c r="E101" s="1551"/>
      <c r="F101" s="1550"/>
      <c r="G101" s="1551"/>
      <c r="H101" s="1550"/>
      <c r="I101" s="1550"/>
      <c r="J101" s="1551"/>
      <c r="K101" s="1550"/>
      <c r="L101" s="1550"/>
      <c r="M101" s="1551"/>
      <c r="N101" s="1544"/>
      <c r="O101" s="1544"/>
      <c r="P101" s="1544"/>
      <c r="Q101" s="7"/>
    </row>
    <row r="102" spans="1:17" x14ac:dyDescent="0.2">
      <c r="A102" s="1887"/>
      <c r="B102" s="1549"/>
      <c r="C102" s="1550"/>
      <c r="D102" s="1550"/>
      <c r="E102" s="1551"/>
      <c r="F102" s="1550"/>
      <c r="G102" s="1551"/>
      <c r="H102" s="1550"/>
      <c r="I102" s="1550"/>
      <c r="J102" s="1551"/>
      <c r="K102" s="1550"/>
      <c r="L102" s="1550"/>
      <c r="M102" s="1551"/>
      <c r="N102" s="1544"/>
      <c r="O102" s="1544"/>
      <c r="P102" s="1544"/>
      <c r="Q102" s="7"/>
    </row>
    <row r="103" spans="1:17" x14ac:dyDescent="0.2">
      <c r="A103" s="1887"/>
      <c r="B103" s="1549"/>
      <c r="C103" s="1550"/>
      <c r="D103" s="1550"/>
      <c r="E103" s="1551"/>
      <c r="F103" s="1550"/>
      <c r="G103" s="1551"/>
      <c r="H103" s="1550"/>
      <c r="I103" s="1550"/>
      <c r="J103" s="1551"/>
      <c r="K103" s="1550"/>
      <c r="L103" s="1550"/>
      <c r="M103" s="1551"/>
      <c r="N103" s="1544"/>
      <c r="O103" s="1544"/>
      <c r="P103" s="1544"/>
      <c r="Q103" s="7"/>
    </row>
    <row r="104" spans="1:17" x14ac:dyDescent="0.2">
      <c r="A104" s="1887"/>
      <c r="B104" s="1549"/>
      <c r="C104" s="1550"/>
      <c r="D104" s="1550"/>
      <c r="E104" s="1551"/>
      <c r="F104" s="1550"/>
      <c r="G104" s="1551"/>
      <c r="H104" s="1550"/>
      <c r="I104" s="1550"/>
      <c r="J104" s="1551"/>
      <c r="K104" s="1550"/>
      <c r="L104" s="1550"/>
      <c r="M104" s="1551"/>
      <c r="N104" s="1544"/>
      <c r="O104" s="1544"/>
      <c r="P104" s="1544"/>
      <c r="Q104" s="7"/>
    </row>
    <row r="105" spans="1:17" x14ac:dyDescent="0.2">
      <c r="A105" s="1887"/>
      <c r="B105" s="1549"/>
      <c r="C105" s="1550"/>
      <c r="D105" s="1550"/>
      <c r="E105" s="1551"/>
      <c r="F105" s="1550"/>
      <c r="G105" s="1551"/>
      <c r="H105" s="1550"/>
      <c r="I105" s="1550"/>
      <c r="J105" s="1551"/>
      <c r="K105" s="1550"/>
      <c r="L105" s="1550"/>
      <c r="M105" s="1551"/>
      <c r="N105" s="1544"/>
      <c r="O105" s="1544"/>
      <c r="P105" s="1544"/>
      <c r="Q105" s="7"/>
    </row>
    <row r="106" spans="1:17" x14ac:dyDescent="0.2">
      <c r="A106" s="1887"/>
      <c r="B106" s="1549"/>
      <c r="C106" s="1550"/>
      <c r="D106" s="1550"/>
      <c r="E106" s="1551"/>
      <c r="F106" s="1550"/>
      <c r="G106" s="1551"/>
      <c r="H106" s="1550"/>
      <c r="I106" s="1550"/>
      <c r="J106" s="1551"/>
      <c r="K106" s="1550"/>
      <c r="L106" s="1550"/>
      <c r="M106" s="1551"/>
      <c r="N106" s="1544"/>
      <c r="O106" s="1544"/>
      <c r="P106" s="1544"/>
      <c r="Q106" s="7"/>
    </row>
    <row r="107" spans="1:17" x14ac:dyDescent="0.2">
      <c r="A107" s="1887"/>
      <c r="B107" s="1549"/>
      <c r="C107" s="1550"/>
      <c r="D107" s="1550"/>
      <c r="E107" s="1551"/>
      <c r="F107" s="1550"/>
      <c r="G107" s="1551"/>
      <c r="H107" s="1550"/>
      <c r="I107" s="1550"/>
      <c r="J107" s="1551"/>
      <c r="K107" s="1550"/>
      <c r="L107" s="1550"/>
      <c r="M107" s="1551"/>
      <c r="N107" s="1544"/>
      <c r="O107" s="1544"/>
      <c r="P107" s="1544"/>
      <c r="Q107" s="7"/>
    </row>
    <row r="108" spans="1:17" x14ac:dyDescent="0.2">
      <c r="A108" s="1887"/>
      <c r="B108" s="1549"/>
      <c r="C108" s="1550"/>
      <c r="D108" s="1550"/>
      <c r="E108" s="1551"/>
      <c r="F108" s="1550"/>
      <c r="G108" s="1551"/>
      <c r="H108" s="1550"/>
      <c r="I108" s="1550"/>
      <c r="J108" s="1551"/>
      <c r="K108" s="1550"/>
      <c r="L108" s="1550"/>
      <c r="M108" s="1551"/>
      <c r="N108" s="1544"/>
      <c r="O108" s="1544"/>
      <c r="P108" s="1544"/>
      <c r="Q108" s="7"/>
    </row>
    <row r="109" spans="1:17" x14ac:dyDescent="0.2">
      <c r="A109" s="1887"/>
      <c r="B109" s="1549"/>
      <c r="C109" s="1550"/>
      <c r="D109" s="1550"/>
      <c r="E109" s="1551"/>
      <c r="F109" s="1550"/>
      <c r="G109" s="1551"/>
      <c r="H109" s="1550"/>
      <c r="I109" s="1550"/>
      <c r="J109" s="1551"/>
      <c r="K109" s="1550"/>
      <c r="L109" s="1550"/>
      <c r="M109" s="1551"/>
      <c r="N109" s="1544"/>
      <c r="O109" s="1544"/>
      <c r="P109" s="1544"/>
      <c r="Q109" s="7"/>
    </row>
    <row r="110" spans="1:17" x14ac:dyDescent="0.2">
      <c r="A110" s="1887"/>
      <c r="B110" s="1549"/>
      <c r="C110" s="1550"/>
      <c r="D110" s="1550"/>
      <c r="E110" s="1551"/>
      <c r="F110" s="1550"/>
      <c r="G110" s="1551"/>
      <c r="H110" s="1550"/>
      <c r="I110" s="1550"/>
      <c r="J110" s="1551"/>
      <c r="K110" s="1550"/>
      <c r="L110" s="1550"/>
      <c r="M110" s="1551"/>
      <c r="N110" s="1544"/>
      <c r="O110" s="1544"/>
      <c r="P110" s="1544"/>
      <c r="Q110" s="7"/>
    </row>
    <row r="111" spans="1:17" x14ac:dyDescent="0.2">
      <c r="A111" s="1887"/>
      <c r="B111" s="1549"/>
      <c r="C111" s="1550"/>
      <c r="D111" s="1550"/>
      <c r="E111" s="1551"/>
      <c r="F111" s="1550"/>
      <c r="G111" s="1551"/>
      <c r="H111" s="1550"/>
      <c r="I111" s="1550"/>
      <c r="J111" s="1551"/>
      <c r="K111" s="1550"/>
      <c r="L111" s="1550"/>
      <c r="M111" s="1551"/>
      <c r="N111" s="1544"/>
      <c r="O111" s="1544"/>
      <c r="P111" s="1544"/>
      <c r="Q111" s="7"/>
    </row>
    <row r="112" spans="1:17" x14ac:dyDescent="0.2">
      <c r="A112" s="1887"/>
      <c r="B112" s="1549"/>
      <c r="C112" s="1550"/>
      <c r="D112" s="1550"/>
      <c r="E112" s="1551"/>
      <c r="F112" s="1550"/>
      <c r="G112" s="1551"/>
      <c r="H112" s="1550"/>
      <c r="I112" s="1550"/>
      <c r="J112" s="1551"/>
      <c r="K112" s="1550"/>
      <c r="L112" s="1550"/>
      <c r="M112" s="1551"/>
      <c r="N112" s="1544"/>
      <c r="O112" s="1544"/>
      <c r="P112" s="1544"/>
      <c r="Q112" s="7"/>
    </row>
    <row r="113" spans="1:17" x14ac:dyDescent="0.2">
      <c r="A113" s="1887"/>
      <c r="B113" s="1549"/>
      <c r="C113" s="1550"/>
      <c r="D113" s="1550"/>
      <c r="E113" s="1551"/>
      <c r="F113" s="1550"/>
      <c r="G113" s="1551"/>
      <c r="H113" s="1550"/>
      <c r="I113" s="1550"/>
      <c r="J113" s="1551"/>
      <c r="K113" s="1550"/>
      <c r="L113" s="1550"/>
      <c r="M113" s="1551"/>
      <c r="N113" s="1544"/>
      <c r="O113" s="1544"/>
      <c r="P113" s="1544"/>
      <c r="Q113" s="7"/>
    </row>
    <row r="114" spans="1:17" x14ac:dyDescent="0.2">
      <c r="A114" s="1887"/>
      <c r="B114" s="1549"/>
      <c r="C114" s="1550"/>
      <c r="D114" s="1550"/>
      <c r="E114" s="1551"/>
      <c r="F114" s="1550"/>
      <c r="G114" s="1551"/>
      <c r="H114" s="1550"/>
      <c r="I114" s="1550"/>
      <c r="J114" s="1551"/>
      <c r="K114" s="1550"/>
      <c r="L114" s="1550"/>
      <c r="M114" s="1551"/>
      <c r="N114" s="1544"/>
      <c r="O114" s="1544"/>
      <c r="P114" s="1544"/>
      <c r="Q114" s="7"/>
    </row>
    <row r="115" spans="1:17" x14ac:dyDescent="0.2">
      <c r="A115" s="1887"/>
      <c r="B115" s="1549"/>
      <c r="C115" s="1550"/>
      <c r="D115" s="1550"/>
      <c r="E115" s="1551"/>
      <c r="F115" s="1550"/>
      <c r="G115" s="1551"/>
      <c r="H115" s="1550"/>
      <c r="I115" s="1550"/>
      <c r="J115" s="1551"/>
      <c r="K115" s="1550"/>
      <c r="L115" s="1550"/>
      <c r="M115" s="1551"/>
      <c r="N115" s="1544"/>
      <c r="O115" s="1544"/>
      <c r="P115" s="1544"/>
      <c r="Q115" s="7"/>
    </row>
    <row r="116" spans="1:17" x14ac:dyDescent="0.2">
      <c r="A116" s="1887"/>
      <c r="B116" s="1549"/>
      <c r="C116" s="1550"/>
      <c r="D116" s="1550"/>
      <c r="E116" s="1551"/>
      <c r="F116" s="1550"/>
      <c r="G116" s="1551"/>
      <c r="H116" s="1550"/>
      <c r="I116" s="1550"/>
      <c r="J116" s="1551"/>
      <c r="K116" s="1550"/>
      <c r="L116" s="1550"/>
      <c r="M116" s="1551"/>
      <c r="N116" s="1544"/>
      <c r="O116" s="1544"/>
      <c r="P116" s="1544"/>
      <c r="Q116" s="7"/>
    </row>
    <row r="117" spans="1:17" x14ac:dyDescent="0.2">
      <c r="A117" s="1887"/>
      <c r="B117" s="1549"/>
      <c r="C117" s="1550"/>
      <c r="D117" s="1550"/>
      <c r="E117" s="1551"/>
      <c r="F117" s="1550"/>
      <c r="G117" s="1551"/>
      <c r="H117" s="1550"/>
      <c r="I117" s="1550"/>
      <c r="J117" s="1551"/>
      <c r="K117" s="1550"/>
      <c r="L117" s="1550"/>
      <c r="M117" s="1551"/>
      <c r="N117" s="1544"/>
      <c r="O117" s="1544"/>
      <c r="P117" s="1544"/>
      <c r="Q117" s="7"/>
    </row>
    <row r="118" spans="1:17" x14ac:dyDescent="0.2">
      <c r="A118" s="1887"/>
      <c r="B118" s="1549"/>
      <c r="C118" s="1550"/>
      <c r="D118" s="1550"/>
      <c r="E118" s="1551"/>
      <c r="F118" s="1550"/>
      <c r="G118" s="1551"/>
      <c r="H118" s="1550"/>
      <c r="I118" s="1550"/>
      <c r="J118" s="1551"/>
      <c r="K118" s="1550"/>
      <c r="L118" s="1550"/>
      <c r="M118" s="1551"/>
      <c r="N118" s="1544"/>
      <c r="O118" s="1544"/>
      <c r="P118" s="1544"/>
      <c r="Q118" s="7"/>
    </row>
    <row r="119" spans="1:17" x14ac:dyDescent="0.2">
      <c r="A119" s="1887"/>
      <c r="B119" s="1549"/>
      <c r="C119" s="1550"/>
      <c r="D119" s="1550"/>
      <c r="E119" s="1551"/>
      <c r="F119" s="1550"/>
      <c r="G119" s="1551"/>
      <c r="H119" s="1550"/>
      <c r="I119" s="1550"/>
      <c r="J119" s="1551"/>
      <c r="K119" s="1550"/>
      <c r="L119" s="1550"/>
      <c r="M119" s="1551"/>
      <c r="N119" s="1544"/>
      <c r="O119" s="1544"/>
      <c r="P119" s="1544"/>
      <c r="Q119" s="7"/>
    </row>
    <row r="120" spans="1:17" x14ac:dyDescent="0.2">
      <c r="A120" s="1887"/>
      <c r="B120" s="1549"/>
      <c r="C120" s="1550"/>
      <c r="D120" s="1550"/>
      <c r="E120" s="1551"/>
      <c r="F120" s="1550"/>
      <c r="G120" s="1551"/>
      <c r="H120" s="1550"/>
      <c r="I120" s="1550"/>
      <c r="J120" s="1551"/>
      <c r="K120" s="1550"/>
      <c r="L120" s="1550"/>
      <c r="M120" s="1551"/>
      <c r="N120" s="1544"/>
      <c r="O120" s="1544"/>
      <c r="P120" s="1544"/>
      <c r="Q120" s="7"/>
    </row>
    <row r="121" spans="1:17" x14ac:dyDescent="0.2">
      <c r="A121" s="1887"/>
      <c r="B121" s="1549"/>
      <c r="C121" s="1550"/>
      <c r="D121" s="1550"/>
      <c r="E121" s="1551"/>
      <c r="F121" s="1550"/>
      <c r="G121" s="1551"/>
      <c r="H121" s="1550"/>
      <c r="I121" s="1550"/>
      <c r="J121" s="1551"/>
      <c r="K121" s="1550"/>
      <c r="L121" s="1550"/>
      <c r="M121" s="1551"/>
      <c r="N121" s="1544"/>
      <c r="O121" s="1544"/>
      <c r="P121" s="1544"/>
      <c r="Q121" s="7"/>
    </row>
    <row r="122" spans="1:17" x14ac:dyDescent="0.2">
      <c r="A122" s="1887"/>
      <c r="B122" s="1549"/>
      <c r="C122" s="1550"/>
      <c r="D122" s="1550"/>
      <c r="E122" s="1551"/>
      <c r="F122" s="1550"/>
      <c r="G122" s="1551"/>
      <c r="H122" s="1550"/>
      <c r="I122" s="1550"/>
      <c r="J122" s="1551"/>
      <c r="K122" s="1550"/>
      <c r="L122" s="1550"/>
      <c r="M122" s="1551"/>
      <c r="N122" s="1544"/>
      <c r="O122" s="1544"/>
      <c r="P122" s="1544"/>
      <c r="Q122" s="7"/>
    </row>
    <row r="123" spans="1:17" x14ac:dyDescent="0.2">
      <c r="A123" s="1887"/>
      <c r="B123" s="1549"/>
      <c r="C123" s="1550"/>
      <c r="D123" s="1550"/>
      <c r="E123" s="1551"/>
      <c r="F123" s="1550"/>
      <c r="G123" s="1551"/>
      <c r="H123" s="1550"/>
      <c r="I123" s="1550"/>
      <c r="J123" s="1551"/>
      <c r="K123" s="1550"/>
      <c r="L123" s="1550"/>
      <c r="M123" s="1551"/>
      <c r="N123" s="1544"/>
      <c r="O123" s="1544"/>
      <c r="P123" s="1544"/>
      <c r="Q123" s="7"/>
    </row>
    <row r="124" spans="1:17" x14ac:dyDescent="0.2">
      <c r="A124" s="1887"/>
      <c r="B124" s="1549"/>
      <c r="C124" s="1550"/>
      <c r="D124" s="1550"/>
      <c r="E124" s="1551"/>
      <c r="F124" s="1550"/>
      <c r="G124" s="1551"/>
      <c r="H124" s="1550"/>
      <c r="I124" s="1550"/>
      <c r="J124" s="1551"/>
      <c r="K124" s="1550"/>
      <c r="L124" s="1550"/>
      <c r="M124" s="1551"/>
      <c r="N124" s="1544"/>
      <c r="O124" s="1544"/>
      <c r="P124" s="1544"/>
      <c r="Q124" s="7"/>
    </row>
    <row r="125" spans="1:17" x14ac:dyDescent="0.2">
      <c r="A125" s="1887"/>
      <c r="B125" s="1549"/>
      <c r="C125" s="1550"/>
      <c r="D125" s="1550"/>
      <c r="E125" s="1551"/>
      <c r="F125" s="1550"/>
      <c r="G125" s="1551"/>
      <c r="H125" s="1550"/>
      <c r="I125" s="1550"/>
      <c r="J125" s="1551"/>
      <c r="K125" s="1550"/>
      <c r="L125" s="1550"/>
      <c r="M125" s="1551"/>
      <c r="N125" s="1544"/>
      <c r="O125" s="1544"/>
      <c r="P125" s="1544"/>
      <c r="Q125" s="7"/>
    </row>
    <row r="126" spans="1:17" x14ac:dyDescent="0.2">
      <c r="A126" s="1887"/>
      <c r="B126" s="1549"/>
      <c r="C126" s="1550"/>
      <c r="D126" s="1550"/>
      <c r="E126" s="1551"/>
      <c r="F126" s="1550"/>
      <c r="G126" s="1551"/>
      <c r="H126" s="1550"/>
      <c r="I126" s="1550"/>
      <c r="J126" s="1551"/>
      <c r="K126" s="1550"/>
      <c r="L126" s="1550"/>
      <c r="M126" s="1551"/>
      <c r="N126" s="1544"/>
      <c r="O126" s="1544"/>
      <c r="P126" s="1544"/>
      <c r="Q126" s="7"/>
    </row>
    <row r="127" spans="1:17" x14ac:dyDescent="0.2">
      <c r="A127" s="1887"/>
      <c r="B127" s="1549"/>
      <c r="C127" s="1550"/>
      <c r="D127" s="1550"/>
      <c r="E127" s="1551"/>
      <c r="F127" s="1550"/>
      <c r="G127" s="1551"/>
      <c r="H127" s="1550"/>
      <c r="I127" s="1550"/>
      <c r="J127" s="1551"/>
      <c r="K127" s="1550"/>
      <c r="L127" s="1550"/>
      <c r="M127" s="1551"/>
      <c r="N127" s="1544"/>
      <c r="O127" s="1544"/>
      <c r="P127" s="1544"/>
      <c r="Q127" s="7"/>
    </row>
    <row r="128" spans="1:17" x14ac:dyDescent="0.2">
      <c r="A128" s="1887"/>
      <c r="B128" s="1549"/>
      <c r="C128" s="1550"/>
      <c r="D128" s="1550"/>
      <c r="E128" s="1551"/>
      <c r="F128" s="1550"/>
      <c r="G128" s="1551"/>
      <c r="H128" s="1550"/>
      <c r="I128" s="1550"/>
      <c r="J128" s="1551"/>
      <c r="K128" s="1550"/>
      <c r="L128" s="1550"/>
      <c r="M128" s="1551"/>
      <c r="N128" s="1544"/>
      <c r="O128" s="1544"/>
      <c r="P128" s="1544"/>
      <c r="Q128" s="7"/>
    </row>
    <row r="129" spans="1:17" x14ac:dyDescent="0.2">
      <c r="A129" s="1887"/>
      <c r="B129" s="1549"/>
      <c r="C129" s="1550"/>
      <c r="D129" s="1550"/>
      <c r="E129" s="1551"/>
      <c r="F129" s="1550"/>
      <c r="G129" s="1551"/>
      <c r="H129" s="1550"/>
      <c r="I129" s="1550"/>
      <c r="J129" s="1551"/>
      <c r="K129" s="1550"/>
      <c r="L129" s="1550"/>
      <c r="M129" s="1551"/>
      <c r="N129" s="1544"/>
      <c r="O129" s="1544"/>
      <c r="P129" s="1544"/>
      <c r="Q129" s="7"/>
    </row>
    <row r="130" spans="1:17" x14ac:dyDescent="0.2">
      <c r="A130" s="1887"/>
      <c r="B130" s="1549"/>
      <c r="C130" s="1550"/>
      <c r="D130" s="1550"/>
      <c r="E130" s="1551"/>
      <c r="F130" s="1550"/>
      <c r="G130" s="1551"/>
      <c r="H130" s="1550"/>
      <c r="I130" s="1550"/>
      <c r="J130" s="1551"/>
      <c r="K130" s="1550"/>
      <c r="L130" s="1550"/>
      <c r="M130" s="1551"/>
      <c r="N130" s="1544"/>
      <c r="O130" s="1544"/>
      <c r="P130" s="1544"/>
      <c r="Q130" s="7"/>
    </row>
    <row r="131" spans="1:17" x14ac:dyDescent="0.2">
      <c r="A131" s="1887"/>
      <c r="B131" s="1549"/>
      <c r="C131" s="1550"/>
      <c r="D131" s="1550"/>
      <c r="E131" s="1551"/>
      <c r="F131" s="1550"/>
      <c r="G131" s="1551"/>
      <c r="H131" s="1550"/>
      <c r="I131" s="1550"/>
      <c r="J131" s="1551"/>
      <c r="K131" s="1550"/>
      <c r="L131" s="1550"/>
      <c r="M131" s="1551"/>
      <c r="N131" s="1544"/>
      <c r="O131" s="1544"/>
      <c r="P131" s="1544"/>
      <c r="Q131" s="7"/>
    </row>
    <row r="132" spans="1:17" x14ac:dyDescent="0.2">
      <c r="A132" s="1887"/>
      <c r="B132" s="1549"/>
      <c r="C132" s="1550"/>
      <c r="D132" s="1550"/>
      <c r="E132" s="1551"/>
      <c r="F132" s="1550"/>
      <c r="G132" s="1551"/>
      <c r="H132" s="1550"/>
      <c r="I132" s="1550"/>
      <c r="J132" s="1551"/>
      <c r="K132" s="1550"/>
      <c r="L132" s="1550"/>
      <c r="M132" s="1551"/>
      <c r="N132" s="1544"/>
      <c r="O132" s="1544"/>
      <c r="P132" s="1544"/>
      <c r="Q132" s="7"/>
    </row>
    <row r="133" spans="1:17" x14ac:dyDescent="0.2">
      <c r="A133" s="1887"/>
      <c r="B133" s="1549"/>
      <c r="C133" s="1550"/>
      <c r="D133" s="1550"/>
      <c r="E133" s="1551"/>
      <c r="F133" s="1550"/>
      <c r="G133" s="1551"/>
      <c r="H133" s="1550"/>
      <c r="I133" s="1550"/>
      <c r="J133" s="1551"/>
      <c r="K133" s="1550"/>
      <c r="L133" s="1550"/>
      <c r="M133" s="1551"/>
      <c r="N133" s="1544"/>
      <c r="O133" s="1544"/>
      <c r="P133" s="1544"/>
      <c r="Q133" s="7"/>
    </row>
    <row r="134" spans="1:17" x14ac:dyDescent="0.2">
      <c r="A134" s="1887"/>
      <c r="B134" s="1549"/>
      <c r="C134" s="1550"/>
      <c r="D134" s="1550"/>
      <c r="E134" s="1551"/>
      <c r="F134" s="1550"/>
      <c r="G134" s="1551"/>
      <c r="H134" s="1550"/>
      <c r="I134" s="1550"/>
      <c r="J134" s="1551"/>
      <c r="K134" s="1550"/>
      <c r="L134" s="1550"/>
      <c r="M134" s="1551"/>
      <c r="N134" s="1544"/>
      <c r="O134" s="1544"/>
      <c r="P134" s="1544"/>
      <c r="Q134" s="7"/>
    </row>
    <row r="135" spans="1:17" x14ac:dyDescent="0.2">
      <c r="A135" s="1887"/>
      <c r="B135" s="1549"/>
      <c r="C135" s="1550"/>
      <c r="D135" s="1550"/>
      <c r="E135" s="1551"/>
      <c r="F135" s="1550"/>
      <c r="G135" s="1551"/>
      <c r="H135" s="1550"/>
      <c r="I135" s="1550"/>
      <c r="J135" s="1551"/>
      <c r="K135" s="1550"/>
      <c r="L135" s="1550"/>
      <c r="M135" s="1551"/>
      <c r="N135" s="1544"/>
      <c r="O135" s="1544"/>
      <c r="P135" s="1544"/>
      <c r="Q135" s="7"/>
    </row>
    <row r="136" spans="1:17" x14ac:dyDescent="0.2">
      <c r="A136" s="1887"/>
      <c r="B136" s="1549"/>
      <c r="C136" s="1550"/>
      <c r="D136" s="1550"/>
      <c r="E136" s="1551"/>
      <c r="F136" s="1550"/>
      <c r="G136" s="1551"/>
      <c r="H136" s="1550"/>
      <c r="I136" s="1550"/>
      <c r="J136" s="1551"/>
      <c r="K136" s="1550"/>
      <c r="L136" s="1550"/>
      <c r="M136" s="1551"/>
      <c r="N136" s="1544"/>
      <c r="O136" s="1544"/>
      <c r="P136" s="1544"/>
      <c r="Q136" s="7"/>
    </row>
    <row r="137" spans="1:17" x14ac:dyDescent="0.2">
      <c r="A137" s="1887"/>
      <c r="B137" s="1549"/>
      <c r="C137" s="1550"/>
      <c r="D137" s="1550"/>
      <c r="E137" s="1551"/>
      <c r="F137" s="1550"/>
      <c r="G137" s="1551"/>
      <c r="H137" s="1550"/>
      <c r="I137" s="1550"/>
      <c r="J137" s="1551"/>
      <c r="K137" s="1550"/>
      <c r="L137" s="1550"/>
      <c r="M137" s="1551"/>
      <c r="N137" s="1544"/>
      <c r="O137" s="1544"/>
      <c r="P137" s="1544"/>
      <c r="Q137" s="7"/>
    </row>
    <row r="138" spans="1:17" x14ac:dyDescent="0.2">
      <c r="A138" s="1887"/>
      <c r="B138" s="1549"/>
      <c r="C138" s="1550"/>
      <c r="D138" s="1550"/>
      <c r="E138" s="1551"/>
      <c r="F138" s="1550"/>
      <c r="G138" s="1551"/>
      <c r="H138" s="1550"/>
      <c r="I138" s="1550"/>
      <c r="J138" s="1551"/>
      <c r="K138" s="1550"/>
      <c r="L138" s="1550"/>
      <c r="M138" s="1551"/>
      <c r="N138" s="1544"/>
      <c r="O138" s="1544"/>
      <c r="P138" s="1544"/>
      <c r="Q138" s="7"/>
    </row>
    <row r="139" spans="1:17" x14ac:dyDescent="0.2">
      <c r="A139" s="1887"/>
      <c r="B139" s="1549"/>
      <c r="C139" s="1550"/>
      <c r="D139" s="1550"/>
      <c r="E139" s="1551"/>
      <c r="F139" s="1550"/>
      <c r="G139" s="1551"/>
      <c r="H139" s="1550"/>
      <c r="I139" s="1550"/>
      <c r="J139" s="1551"/>
      <c r="K139" s="1550"/>
      <c r="L139" s="1550"/>
      <c r="M139" s="1551"/>
      <c r="N139" s="1544"/>
      <c r="O139" s="1544"/>
      <c r="P139" s="1544"/>
      <c r="Q139" s="7"/>
    </row>
    <row r="140" spans="1:17" x14ac:dyDescent="0.2">
      <c r="A140" s="1887"/>
      <c r="B140" s="1549"/>
      <c r="C140" s="1550"/>
      <c r="D140" s="1550"/>
      <c r="E140" s="1551"/>
      <c r="F140" s="1550"/>
      <c r="G140" s="1551"/>
      <c r="H140" s="1550"/>
      <c r="I140" s="1550"/>
      <c r="J140" s="1551"/>
      <c r="K140" s="1550"/>
      <c r="L140" s="1550"/>
      <c r="M140" s="1551"/>
      <c r="N140" s="1544"/>
      <c r="O140" s="1544"/>
      <c r="P140" s="1544"/>
      <c r="Q140" s="7"/>
    </row>
    <row r="141" spans="1:17" x14ac:dyDescent="0.2">
      <c r="A141" s="1887"/>
      <c r="B141" s="1549"/>
      <c r="C141" s="1550"/>
      <c r="D141" s="1550"/>
      <c r="E141" s="1551"/>
      <c r="F141" s="1550"/>
      <c r="G141" s="1551"/>
      <c r="H141" s="1550"/>
      <c r="I141" s="1550"/>
      <c r="J141" s="1551"/>
      <c r="K141" s="1550"/>
      <c r="L141" s="1550"/>
      <c r="M141" s="1551"/>
      <c r="N141" s="1544"/>
      <c r="O141" s="1544"/>
      <c r="P141" s="1544"/>
      <c r="Q141" s="7"/>
    </row>
    <row r="142" spans="1:17" x14ac:dyDescent="0.2">
      <c r="A142" s="1887"/>
      <c r="B142" s="1549"/>
      <c r="C142" s="1550"/>
      <c r="D142" s="1550"/>
      <c r="E142" s="1551"/>
      <c r="F142" s="1550"/>
      <c r="G142" s="1551"/>
      <c r="H142" s="1550"/>
      <c r="I142" s="1550"/>
      <c r="J142" s="1551"/>
      <c r="K142" s="1550"/>
      <c r="L142" s="1550"/>
      <c r="M142" s="1551"/>
      <c r="N142" s="1544"/>
      <c r="O142" s="1544"/>
      <c r="P142" s="1544"/>
      <c r="Q142" s="7"/>
    </row>
    <row r="143" spans="1:17" x14ac:dyDescent="0.2">
      <c r="A143" s="1887"/>
      <c r="B143" s="1549"/>
      <c r="C143" s="1550"/>
      <c r="D143" s="1550"/>
      <c r="E143" s="1551"/>
      <c r="F143" s="1550"/>
      <c r="G143" s="1551"/>
      <c r="H143" s="1550"/>
      <c r="I143" s="1550"/>
      <c r="J143" s="1551"/>
      <c r="K143" s="1550"/>
      <c r="L143" s="1550"/>
      <c r="M143" s="1551"/>
      <c r="N143" s="1544"/>
      <c r="O143" s="1544"/>
      <c r="P143" s="1544"/>
      <c r="Q143" s="7"/>
    </row>
    <row r="144" spans="1:17" x14ac:dyDescent="0.2">
      <c r="A144" s="1887"/>
      <c r="B144" s="1549"/>
      <c r="C144" s="1550"/>
      <c r="D144" s="1550"/>
      <c r="E144" s="1551"/>
      <c r="F144" s="1550"/>
      <c r="G144" s="1551"/>
      <c r="H144" s="1550"/>
      <c r="I144" s="1550"/>
      <c r="J144" s="1551"/>
      <c r="K144" s="1550"/>
      <c r="L144" s="1550"/>
      <c r="M144" s="1551"/>
      <c r="N144" s="1544"/>
      <c r="O144" s="1544"/>
      <c r="P144" s="1544"/>
      <c r="Q144" s="7"/>
    </row>
    <row r="145" spans="1:17" x14ac:dyDescent="0.2">
      <c r="A145" s="1887"/>
      <c r="B145" s="1549"/>
      <c r="C145" s="1550"/>
      <c r="D145" s="1550"/>
      <c r="E145" s="1551"/>
      <c r="F145" s="1550"/>
      <c r="G145" s="1551"/>
      <c r="H145" s="1550"/>
      <c r="I145" s="1550"/>
      <c r="J145" s="1551"/>
      <c r="K145" s="1550"/>
      <c r="L145" s="1550"/>
      <c r="M145" s="1551"/>
      <c r="N145" s="1544"/>
      <c r="O145" s="1544"/>
      <c r="P145" s="1544"/>
      <c r="Q145" s="7"/>
    </row>
    <row r="146" spans="1:17" x14ac:dyDescent="0.2">
      <c r="A146" s="1887"/>
      <c r="B146" s="1549"/>
      <c r="C146" s="1550"/>
      <c r="D146" s="1550"/>
      <c r="E146" s="1551"/>
      <c r="F146" s="1550"/>
      <c r="G146" s="1551"/>
      <c r="H146" s="1550"/>
      <c r="I146" s="1550"/>
      <c r="J146" s="1551"/>
      <c r="K146" s="1550"/>
      <c r="L146" s="1550"/>
      <c r="M146" s="1551"/>
      <c r="N146" s="1544"/>
      <c r="O146" s="1544"/>
      <c r="P146" s="1544"/>
      <c r="Q146" s="7"/>
    </row>
    <row r="147" spans="1:17" x14ac:dyDescent="0.2">
      <c r="A147" s="1887"/>
      <c r="B147" s="1549"/>
      <c r="C147" s="1550"/>
      <c r="D147" s="1550"/>
      <c r="E147" s="1551"/>
      <c r="F147" s="1550"/>
      <c r="G147" s="1551"/>
      <c r="H147" s="1550"/>
      <c r="I147" s="1550"/>
      <c r="J147" s="1551"/>
      <c r="K147" s="1550"/>
      <c r="L147" s="1550"/>
      <c r="M147" s="1551"/>
      <c r="N147" s="1544"/>
      <c r="O147" s="1544"/>
      <c r="P147" s="1544"/>
      <c r="Q147" s="7"/>
    </row>
    <row r="148" spans="1:17" x14ac:dyDescent="0.2">
      <c r="A148" s="1887"/>
      <c r="B148" s="1549"/>
      <c r="C148" s="1550"/>
      <c r="D148" s="1550"/>
      <c r="E148" s="1551"/>
      <c r="F148" s="1550"/>
      <c r="G148" s="1551"/>
      <c r="H148" s="1550"/>
      <c r="I148" s="1550"/>
      <c r="J148" s="1551"/>
      <c r="K148" s="1550"/>
      <c r="L148" s="1550"/>
      <c r="M148" s="1551"/>
      <c r="N148" s="1544"/>
      <c r="O148" s="1544"/>
      <c r="P148" s="1544"/>
      <c r="Q148" s="7"/>
    </row>
    <row r="149" spans="1:17" x14ac:dyDescent="0.2">
      <c r="A149" s="1887"/>
      <c r="B149" s="1549"/>
      <c r="C149" s="1550"/>
      <c r="D149" s="1550"/>
      <c r="E149" s="1551"/>
      <c r="F149" s="1550"/>
      <c r="G149" s="1551"/>
      <c r="H149" s="1550"/>
      <c r="I149" s="1550"/>
      <c r="J149" s="1551"/>
      <c r="K149" s="1550"/>
      <c r="L149" s="1550"/>
      <c r="M149" s="1551"/>
      <c r="N149" s="1544"/>
      <c r="O149" s="1544"/>
      <c r="P149" s="1544"/>
      <c r="Q149" s="7"/>
    </row>
    <row r="150" spans="1:17" x14ac:dyDescent="0.2">
      <c r="A150" s="1887"/>
      <c r="B150" s="1549"/>
      <c r="C150" s="1550"/>
      <c r="D150" s="1550"/>
      <c r="E150" s="1551"/>
      <c r="F150" s="1550"/>
      <c r="G150" s="1551"/>
      <c r="H150" s="1550"/>
      <c r="I150" s="1550"/>
      <c r="J150" s="1551"/>
      <c r="K150" s="1550"/>
      <c r="L150" s="1550"/>
      <c r="M150" s="1551"/>
      <c r="N150" s="1544"/>
      <c r="O150" s="1544"/>
      <c r="P150" s="1544"/>
      <c r="Q150" s="7"/>
    </row>
    <row r="151" spans="1:17" x14ac:dyDescent="0.2">
      <c r="A151" s="1887"/>
      <c r="B151" s="1549"/>
      <c r="C151" s="1550"/>
      <c r="D151" s="1550"/>
      <c r="E151" s="1551"/>
      <c r="F151" s="1550"/>
      <c r="G151" s="1551"/>
      <c r="H151" s="1550"/>
      <c r="I151" s="1550"/>
      <c r="J151" s="1551"/>
      <c r="K151" s="1550"/>
      <c r="L151" s="1550"/>
      <c r="M151" s="1551"/>
      <c r="N151" s="1544"/>
      <c r="O151" s="1544"/>
      <c r="P151" s="1544"/>
      <c r="Q151" s="7"/>
    </row>
    <row r="152" spans="1:17" x14ac:dyDescent="0.2">
      <c r="A152" s="1887"/>
      <c r="B152" s="1549"/>
      <c r="C152" s="1550"/>
      <c r="D152" s="1550"/>
      <c r="E152" s="1551"/>
      <c r="F152" s="1550"/>
      <c r="G152" s="1551"/>
      <c r="H152" s="1550"/>
      <c r="I152" s="1550"/>
      <c r="J152" s="1551"/>
      <c r="K152" s="1550"/>
      <c r="L152" s="1550"/>
      <c r="M152" s="1551"/>
      <c r="N152" s="1544"/>
      <c r="O152" s="1544"/>
      <c r="P152" s="1544"/>
      <c r="Q152" s="7"/>
    </row>
    <row r="153" spans="1:17" x14ac:dyDescent="0.2">
      <c r="A153" s="1887"/>
      <c r="B153" s="1549"/>
      <c r="C153" s="1550"/>
      <c r="D153" s="1550"/>
      <c r="E153" s="1551"/>
      <c r="F153" s="1550"/>
      <c r="G153" s="1551"/>
      <c r="H153" s="1550"/>
      <c r="I153" s="1550"/>
      <c r="J153" s="1551"/>
      <c r="K153" s="1550"/>
      <c r="L153" s="1550"/>
      <c r="M153" s="1551"/>
      <c r="N153" s="1544"/>
      <c r="O153" s="1544"/>
      <c r="P153" s="1544"/>
      <c r="Q153" s="7"/>
    </row>
    <row r="154" spans="1:17" x14ac:dyDescent="0.2">
      <c r="A154" s="1887"/>
      <c r="B154" s="1549"/>
      <c r="C154" s="1550"/>
      <c r="D154" s="1550"/>
      <c r="E154" s="1551"/>
      <c r="F154" s="1550"/>
      <c r="G154" s="1551"/>
      <c r="H154" s="1550"/>
      <c r="I154" s="1550"/>
      <c r="J154" s="1551"/>
      <c r="K154" s="1550"/>
      <c r="L154" s="1550"/>
      <c r="M154" s="1551"/>
      <c r="N154" s="1544"/>
      <c r="O154" s="1544"/>
      <c r="P154" s="1544"/>
      <c r="Q154" s="7"/>
    </row>
    <row r="155" spans="1:17" x14ac:dyDescent="0.2">
      <c r="A155" s="1887"/>
      <c r="B155" s="1549"/>
      <c r="C155" s="1550"/>
      <c r="D155" s="1550"/>
      <c r="E155" s="1551"/>
      <c r="F155" s="1550"/>
      <c r="G155" s="1551"/>
      <c r="H155" s="1550"/>
      <c r="I155" s="1550"/>
      <c r="J155" s="1551"/>
      <c r="K155" s="1550"/>
      <c r="L155" s="1550"/>
      <c r="M155" s="1551"/>
      <c r="N155" s="1544"/>
      <c r="O155" s="1544"/>
      <c r="P155" s="1544"/>
      <c r="Q155" s="7"/>
    </row>
    <row r="156" spans="1:17" x14ac:dyDescent="0.2">
      <c r="A156" s="1887"/>
      <c r="B156" s="1549"/>
      <c r="C156" s="1550"/>
      <c r="D156" s="1550"/>
      <c r="E156" s="1551"/>
      <c r="F156" s="1550"/>
      <c r="G156" s="1551"/>
      <c r="H156" s="1550"/>
      <c r="I156" s="1550"/>
      <c r="J156" s="1551"/>
      <c r="K156" s="1550"/>
      <c r="L156" s="1550"/>
      <c r="M156" s="1551"/>
      <c r="N156" s="1544"/>
      <c r="O156" s="1544"/>
      <c r="P156" s="1544"/>
      <c r="Q156" s="7"/>
    </row>
    <row r="157" spans="1:17" x14ac:dyDescent="0.2">
      <c r="A157" s="1887"/>
      <c r="B157" s="1549"/>
      <c r="C157" s="1550"/>
      <c r="D157" s="1550"/>
      <c r="E157" s="1551"/>
      <c r="F157" s="1550"/>
      <c r="G157" s="1551"/>
      <c r="H157" s="1550"/>
      <c r="I157" s="1550"/>
      <c r="J157" s="1551"/>
      <c r="K157" s="1550"/>
      <c r="L157" s="1550"/>
      <c r="M157" s="1551"/>
      <c r="N157" s="1544"/>
      <c r="O157" s="1544"/>
      <c r="P157" s="1544"/>
      <c r="Q157" s="7"/>
    </row>
    <row r="158" spans="1:17" x14ac:dyDescent="0.2">
      <c r="A158" s="1887"/>
      <c r="B158" s="1549"/>
      <c r="C158" s="1550"/>
      <c r="D158" s="1550"/>
      <c r="E158" s="1551"/>
      <c r="F158" s="1550"/>
      <c r="G158" s="1551"/>
      <c r="H158" s="1550"/>
      <c r="I158" s="1550"/>
      <c r="J158" s="1551"/>
      <c r="K158" s="1550"/>
      <c r="L158" s="1550"/>
      <c r="M158" s="1551"/>
      <c r="N158" s="1544"/>
      <c r="O158" s="1544"/>
      <c r="P158" s="1544"/>
      <c r="Q158" s="7"/>
    </row>
    <row r="159" spans="1:17" x14ac:dyDescent="0.2">
      <c r="A159" s="1887"/>
      <c r="B159" s="1549"/>
      <c r="C159" s="1550"/>
      <c r="D159" s="1550"/>
      <c r="E159" s="1551"/>
      <c r="F159" s="1550"/>
      <c r="G159" s="1551"/>
      <c r="H159" s="1550"/>
      <c r="I159" s="1550"/>
      <c r="J159" s="1551"/>
      <c r="K159" s="1550"/>
      <c r="L159" s="1550"/>
      <c r="M159" s="1551"/>
      <c r="N159" s="1544"/>
      <c r="O159" s="1544"/>
      <c r="P159" s="1544"/>
      <c r="Q159" s="7"/>
    </row>
    <row r="160" spans="1:17" x14ac:dyDescent="0.2">
      <c r="A160" s="1887"/>
      <c r="B160" s="1549"/>
      <c r="C160" s="1550"/>
      <c r="D160" s="1550"/>
      <c r="E160" s="1551"/>
      <c r="F160" s="1550"/>
      <c r="G160" s="1551"/>
      <c r="H160" s="1550"/>
      <c r="I160" s="1550"/>
      <c r="J160" s="1551"/>
      <c r="K160" s="1550"/>
      <c r="L160" s="1550"/>
      <c r="M160" s="1551"/>
      <c r="N160" s="1544"/>
      <c r="O160" s="1544"/>
      <c r="P160" s="1544"/>
      <c r="Q160" s="7"/>
    </row>
    <row r="161" spans="1:17" x14ac:dyDescent="0.2">
      <c r="A161" s="1887"/>
      <c r="B161" s="1549"/>
      <c r="C161" s="1550"/>
      <c r="D161" s="1550"/>
      <c r="E161" s="1551"/>
      <c r="F161" s="1550"/>
      <c r="G161" s="1551"/>
      <c r="H161" s="1550"/>
      <c r="I161" s="1550"/>
      <c r="J161" s="1551"/>
      <c r="K161" s="1550"/>
      <c r="L161" s="1550"/>
      <c r="M161" s="1551"/>
      <c r="N161" s="1544"/>
      <c r="O161" s="1544"/>
      <c r="P161" s="1544"/>
      <c r="Q161" s="7"/>
    </row>
    <row r="162" spans="1:17" x14ac:dyDescent="0.2">
      <c r="A162" s="1887"/>
      <c r="B162" s="1549"/>
      <c r="C162" s="1550"/>
      <c r="D162" s="1550"/>
      <c r="E162" s="1551"/>
      <c r="F162" s="1550"/>
      <c r="G162" s="1551"/>
      <c r="H162" s="1550"/>
      <c r="I162" s="1550"/>
      <c r="J162" s="1551"/>
      <c r="K162" s="1550"/>
      <c r="L162" s="1550"/>
      <c r="M162" s="1551"/>
      <c r="N162" s="1544"/>
      <c r="O162" s="1544"/>
      <c r="P162" s="1544"/>
      <c r="Q162" s="7"/>
    </row>
    <row r="163" spans="1:17" x14ac:dyDescent="0.2">
      <c r="A163" s="1887"/>
      <c r="B163" s="1549"/>
      <c r="C163" s="1550"/>
      <c r="D163" s="1550"/>
      <c r="E163" s="1551"/>
      <c r="F163" s="1550"/>
      <c r="G163" s="1551"/>
      <c r="H163" s="1550"/>
      <c r="I163" s="1550"/>
      <c r="J163" s="1551"/>
      <c r="K163" s="1550"/>
      <c r="L163" s="1550"/>
      <c r="M163" s="1551"/>
      <c r="N163" s="1544"/>
      <c r="O163" s="1544"/>
      <c r="P163" s="1544"/>
      <c r="Q163" s="7"/>
    </row>
    <row r="164" spans="1:17" x14ac:dyDescent="0.2">
      <c r="A164" s="1887"/>
      <c r="B164" s="1549"/>
      <c r="C164" s="1550"/>
      <c r="D164" s="1550"/>
      <c r="E164" s="1551"/>
      <c r="F164" s="1550"/>
      <c r="G164" s="1551"/>
      <c r="H164" s="1550"/>
      <c r="I164" s="1550"/>
      <c r="J164" s="1551"/>
      <c r="K164" s="1550"/>
      <c r="L164" s="1550"/>
      <c r="M164" s="1551"/>
      <c r="N164" s="1544"/>
      <c r="O164" s="1544"/>
      <c r="P164" s="1544"/>
      <c r="Q164" s="7"/>
    </row>
    <row r="165" spans="1:17" x14ac:dyDescent="0.2">
      <c r="A165" s="1887"/>
      <c r="B165" s="1549"/>
      <c r="C165" s="1550"/>
      <c r="D165" s="1550"/>
      <c r="E165" s="1551"/>
      <c r="F165" s="1550"/>
      <c r="G165" s="1551"/>
      <c r="H165" s="1550"/>
      <c r="I165" s="1550"/>
      <c r="J165" s="1551"/>
      <c r="K165" s="1550"/>
      <c r="L165" s="1550"/>
      <c r="M165" s="1551"/>
      <c r="N165" s="1544"/>
      <c r="O165" s="1544"/>
      <c r="P165" s="1544"/>
      <c r="Q165" s="7"/>
    </row>
    <row r="166" spans="1:17" x14ac:dyDescent="0.2">
      <c r="A166" s="1887"/>
      <c r="B166" s="1549"/>
      <c r="C166" s="1550"/>
      <c r="D166" s="1550"/>
      <c r="E166" s="1551"/>
      <c r="F166" s="1550"/>
      <c r="G166" s="1551"/>
      <c r="H166" s="1550"/>
      <c r="I166" s="1550"/>
      <c r="J166" s="1551"/>
      <c r="K166" s="1550"/>
      <c r="L166" s="1550"/>
      <c r="M166" s="1551"/>
      <c r="N166" s="1544"/>
      <c r="O166" s="1544"/>
      <c r="P166" s="1544"/>
      <c r="Q166" s="7"/>
    </row>
    <row r="167" spans="1:17" x14ac:dyDescent="0.2">
      <c r="A167" s="1887"/>
      <c r="B167" s="1549"/>
      <c r="C167" s="1550"/>
      <c r="D167" s="1550"/>
      <c r="E167" s="1551"/>
      <c r="F167" s="1550"/>
      <c r="G167" s="1551"/>
      <c r="H167" s="1550"/>
      <c r="I167" s="1550"/>
      <c r="J167" s="1551"/>
      <c r="K167" s="1550"/>
      <c r="L167" s="1550"/>
      <c r="M167" s="1551"/>
      <c r="N167" s="1544"/>
      <c r="O167" s="1544"/>
      <c r="P167" s="1544"/>
      <c r="Q167" s="7"/>
    </row>
    <row r="168" spans="1:17" x14ac:dyDescent="0.2">
      <c r="A168" s="1887"/>
      <c r="B168" s="1549"/>
      <c r="C168" s="1550"/>
      <c r="D168" s="1550"/>
      <c r="E168" s="1551"/>
      <c r="F168" s="1550"/>
      <c r="G168" s="1551"/>
      <c r="H168" s="1550"/>
      <c r="I168" s="1550"/>
      <c r="J168" s="1551"/>
      <c r="K168" s="1550"/>
      <c r="L168" s="1550"/>
      <c r="M168" s="1551"/>
      <c r="N168" s="1544"/>
      <c r="O168" s="1544"/>
      <c r="P168" s="1544"/>
      <c r="Q168" s="7"/>
    </row>
    <row r="169" spans="1:17" x14ac:dyDescent="0.2">
      <c r="A169" s="1887"/>
      <c r="B169" s="1549"/>
      <c r="C169" s="1550"/>
      <c r="D169" s="1550"/>
      <c r="E169" s="1551"/>
      <c r="F169" s="1550"/>
      <c r="G169" s="1551"/>
      <c r="H169" s="1550"/>
      <c r="I169" s="1550"/>
      <c r="J169" s="1551"/>
      <c r="K169" s="1550"/>
      <c r="L169" s="1550"/>
      <c r="M169" s="1551"/>
      <c r="N169" s="1544"/>
      <c r="O169" s="1544"/>
      <c r="P169" s="1544"/>
      <c r="Q169" s="7"/>
    </row>
    <row r="170" spans="1:17" x14ac:dyDescent="0.2">
      <c r="A170" s="1887"/>
      <c r="B170" s="1549"/>
      <c r="C170" s="1550"/>
      <c r="D170" s="1550"/>
      <c r="E170" s="1551"/>
      <c r="F170" s="1550"/>
      <c r="G170" s="1551"/>
      <c r="H170" s="1550"/>
      <c r="I170" s="1550"/>
      <c r="J170" s="1551"/>
      <c r="K170" s="1550"/>
      <c r="L170" s="1550"/>
      <c r="M170" s="1551"/>
      <c r="N170" s="1544"/>
      <c r="O170" s="1544"/>
      <c r="P170" s="1544"/>
      <c r="Q170" s="7"/>
    </row>
    <row r="171" spans="1:17" x14ac:dyDescent="0.2">
      <c r="A171" s="1887"/>
      <c r="B171" s="1549"/>
      <c r="C171" s="1550"/>
      <c r="D171" s="1550"/>
      <c r="E171" s="1551"/>
      <c r="F171" s="1550"/>
      <c r="G171" s="1551"/>
      <c r="H171" s="1550"/>
      <c r="I171" s="1550"/>
      <c r="J171" s="1551"/>
      <c r="K171" s="1550"/>
      <c r="L171" s="1550"/>
      <c r="M171" s="1551"/>
      <c r="N171" s="1544"/>
      <c r="O171" s="1544"/>
      <c r="P171" s="1544"/>
      <c r="Q171" s="7"/>
    </row>
    <row r="172" spans="1:17" x14ac:dyDescent="0.2">
      <c r="A172" s="1887"/>
      <c r="B172" s="1549"/>
      <c r="C172" s="1550"/>
      <c r="D172" s="1550"/>
      <c r="E172" s="1551"/>
      <c r="F172" s="1550"/>
      <c r="G172" s="1551"/>
      <c r="H172" s="1550"/>
      <c r="I172" s="1550"/>
      <c r="J172" s="1551"/>
      <c r="K172" s="1550"/>
      <c r="L172" s="1550"/>
      <c r="M172" s="1551"/>
      <c r="N172" s="1544"/>
      <c r="O172" s="1544"/>
      <c r="P172" s="1544"/>
      <c r="Q172" s="7"/>
    </row>
    <row r="173" spans="1:17" x14ac:dyDescent="0.2">
      <c r="A173" s="1887"/>
      <c r="B173" s="1549"/>
      <c r="C173" s="1550"/>
      <c r="D173" s="1550"/>
      <c r="E173" s="1551"/>
      <c r="F173" s="1550"/>
      <c r="G173" s="1551"/>
      <c r="H173" s="1550"/>
      <c r="I173" s="1550"/>
      <c r="J173" s="1551"/>
      <c r="K173" s="1550"/>
      <c r="L173" s="1550"/>
      <c r="M173" s="1551"/>
      <c r="N173" s="1544"/>
      <c r="O173" s="1544"/>
      <c r="P173" s="1544"/>
      <c r="Q173" s="7"/>
    </row>
    <row r="174" spans="1:17" x14ac:dyDescent="0.2">
      <c r="A174" s="1887"/>
      <c r="B174" s="1549"/>
      <c r="C174" s="1550"/>
      <c r="D174" s="1550"/>
      <c r="E174" s="1551"/>
      <c r="F174" s="1550"/>
      <c r="G174" s="1551"/>
      <c r="H174" s="1550"/>
      <c r="I174" s="1550"/>
      <c r="J174" s="1551"/>
      <c r="K174" s="1550"/>
      <c r="L174" s="1550"/>
      <c r="M174" s="1551"/>
      <c r="N174" s="1544"/>
      <c r="O174" s="1544"/>
      <c r="P174" s="1544"/>
      <c r="Q174" s="7"/>
    </row>
    <row r="175" spans="1:17" x14ac:dyDescent="0.2">
      <c r="A175" s="1887"/>
      <c r="B175" s="1549"/>
      <c r="C175" s="1550"/>
      <c r="D175" s="1550"/>
      <c r="E175" s="1551"/>
      <c r="F175" s="1550"/>
      <c r="G175" s="1551"/>
      <c r="H175" s="1550"/>
      <c r="I175" s="1550"/>
      <c r="J175" s="1551"/>
      <c r="K175" s="1550"/>
      <c r="L175" s="1550"/>
      <c r="M175" s="1551"/>
      <c r="N175" s="1544"/>
      <c r="O175" s="1544"/>
      <c r="P175" s="1544"/>
      <c r="Q175" s="7"/>
    </row>
    <row r="176" spans="1:17" x14ac:dyDescent="0.2">
      <c r="A176" s="1887"/>
      <c r="B176" s="1549"/>
      <c r="C176" s="1550"/>
      <c r="D176" s="1550"/>
      <c r="E176" s="1551"/>
      <c r="F176" s="1550"/>
      <c r="G176" s="1551"/>
      <c r="H176" s="1550"/>
      <c r="I176" s="1550"/>
      <c r="J176" s="1551"/>
      <c r="K176" s="1550"/>
      <c r="L176" s="1550"/>
      <c r="M176" s="1551"/>
      <c r="N176" s="1544"/>
      <c r="O176" s="1544"/>
      <c r="P176" s="1544"/>
      <c r="Q176" s="7"/>
    </row>
    <row r="177" spans="1:17" x14ac:dyDescent="0.2">
      <c r="A177" s="1887"/>
      <c r="B177" s="1549"/>
      <c r="C177" s="1550"/>
      <c r="D177" s="1550"/>
      <c r="E177" s="1551"/>
      <c r="F177" s="1550"/>
      <c r="G177" s="1551"/>
      <c r="H177" s="1550"/>
      <c r="I177" s="1550"/>
      <c r="J177" s="1551"/>
      <c r="K177" s="1550"/>
      <c r="L177" s="1550"/>
      <c r="M177" s="1551"/>
      <c r="N177" s="1544"/>
      <c r="O177" s="1544"/>
      <c r="P177" s="1544"/>
      <c r="Q177" s="7"/>
    </row>
    <row r="178" spans="1:17" x14ac:dyDescent="0.2">
      <c r="A178" s="7"/>
      <c r="B178" s="1549"/>
      <c r="C178" s="1550"/>
      <c r="D178" s="1550"/>
      <c r="E178" s="1551"/>
      <c r="F178" s="1550"/>
      <c r="G178" s="1551"/>
      <c r="H178" s="1550"/>
      <c r="I178" s="1550"/>
      <c r="J178" s="1551"/>
      <c r="K178" s="1550"/>
      <c r="L178" s="1550"/>
      <c r="M178" s="1551"/>
      <c r="N178" s="1544"/>
      <c r="O178" s="1544"/>
      <c r="P178" s="1544"/>
      <c r="Q178" s="7"/>
    </row>
    <row r="179" spans="1:17" x14ac:dyDescent="0.2">
      <c r="A179" s="7"/>
      <c r="B179" s="1549"/>
      <c r="C179" s="1550"/>
      <c r="D179" s="1550"/>
      <c r="E179" s="1551"/>
      <c r="F179" s="1550"/>
      <c r="G179" s="1551"/>
      <c r="H179" s="1550"/>
      <c r="I179" s="1550"/>
      <c r="J179" s="1551"/>
      <c r="K179" s="1550"/>
      <c r="L179" s="1550"/>
      <c r="M179" s="1551"/>
      <c r="N179" s="1544"/>
      <c r="O179" s="1544"/>
      <c r="P179" s="1544"/>
      <c r="Q179" s="7"/>
    </row>
    <row r="180" spans="1:17" x14ac:dyDescent="0.2">
      <c r="A180" s="7"/>
      <c r="B180" s="1549"/>
      <c r="C180" s="1550"/>
      <c r="D180" s="1550"/>
      <c r="E180" s="1551"/>
      <c r="F180" s="1550"/>
      <c r="G180" s="1551"/>
      <c r="H180" s="1550"/>
      <c r="I180" s="1550"/>
      <c r="J180" s="1551"/>
      <c r="K180" s="1550"/>
      <c r="L180" s="1550"/>
      <c r="M180" s="1551"/>
      <c r="N180" s="1544"/>
      <c r="O180" s="1544"/>
      <c r="P180" s="1544"/>
      <c r="Q180" s="7"/>
    </row>
    <row r="181" spans="1:17" x14ac:dyDescent="0.2">
      <c r="A181" s="7"/>
      <c r="B181" s="1549"/>
      <c r="C181" s="1550"/>
      <c r="D181" s="1550"/>
      <c r="E181" s="1551"/>
      <c r="F181" s="1550"/>
      <c r="G181" s="1551"/>
      <c r="H181" s="1550"/>
      <c r="I181" s="1550"/>
      <c r="J181" s="1551"/>
      <c r="K181" s="1550"/>
      <c r="L181" s="1550"/>
      <c r="M181" s="1551"/>
      <c r="N181" s="1544"/>
      <c r="O181" s="1544"/>
      <c r="P181" s="1544"/>
      <c r="Q181" s="7"/>
    </row>
    <row r="182" spans="1:17" x14ac:dyDescent="0.2">
      <c r="A182" s="7"/>
      <c r="B182" s="1549"/>
      <c r="C182" s="1550"/>
      <c r="D182" s="1550"/>
      <c r="E182" s="1551"/>
      <c r="F182" s="1550"/>
      <c r="G182" s="1551"/>
      <c r="H182" s="1550"/>
      <c r="I182" s="1550"/>
      <c r="J182" s="1551"/>
      <c r="K182" s="1550"/>
      <c r="L182" s="1550"/>
      <c r="M182" s="1551"/>
      <c r="N182" s="1544"/>
      <c r="O182" s="1544"/>
      <c r="P182" s="1544"/>
      <c r="Q182" s="7"/>
    </row>
    <row r="183" spans="1:17" x14ac:dyDescent="0.2">
      <c r="A183" s="7"/>
      <c r="B183" s="1549"/>
      <c r="C183" s="1550"/>
      <c r="D183" s="1550"/>
      <c r="E183" s="1551"/>
      <c r="F183" s="1550"/>
      <c r="G183" s="1551"/>
      <c r="H183" s="1550"/>
      <c r="I183" s="1550"/>
      <c r="J183" s="1551"/>
      <c r="K183" s="1550"/>
      <c r="L183" s="1550"/>
      <c r="M183" s="1551"/>
      <c r="N183" s="1544"/>
      <c r="O183" s="1544"/>
      <c r="P183" s="1544"/>
      <c r="Q183" s="7"/>
    </row>
    <row r="184" spans="1:17" x14ac:dyDescent="0.2">
      <c r="A184" s="7"/>
      <c r="B184" s="1549"/>
      <c r="C184" s="1550"/>
      <c r="D184" s="1550"/>
      <c r="E184" s="1551"/>
      <c r="F184" s="1550"/>
      <c r="G184" s="1551"/>
      <c r="H184" s="1550"/>
      <c r="I184" s="1550"/>
      <c r="J184" s="1551"/>
      <c r="K184" s="1550"/>
      <c r="L184" s="1550"/>
      <c r="M184" s="1551"/>
      <c r="N184" s="1544"/>
      <c r="O184" s="1544"/>
      <c r="P184" s="1544"/>
      <c r="Q184" s="7"/>
    </row>
    <row r="185" spans="1:17" x14ac:dyDescent="0.2">
      <c r="A185" s="7"/>
      <c r="B185" s="1549"/>
      <c r="C185" s="1550"/>
      <c r="D185" s="1550"/>
      <c r="E185" s="1551"/>
      <c r="F185" s="1550"/>
      <c r="G185" s="1551"/>
      <c r="H185" s="1550"/>
      <c r="I185" s="1550"/>
      <c r="J185" s="1551"/>
      <c r="K185" s="1550"/>
      <c r="L185" s="1550"/>
      <c r="M185" s="1551"/>
      <c r="N185" s="1544"/>
      <c r="O185" s="1544"/>
      <c r="P185" s="1544"/>
      <c r="Q185" s="7"/>
    </row>
    <row r="186" spans="1:17" x14ac:dyDescent="0.2">
      <c r="A186" s="7"/>
      <c r="B186" s="1549"/>
      <c r="C186" s="1550"/>
      <c r="D186" s="1550"/>
      <c r="E186" s="1551"/>
      <c r="F186" s="1550"/>
      <c r="G186" s="1551"/>
      <c r="H186" s="1550"/>
      <c r="I186" s="1550"/>
      <c r="J186" s="1551"/>
      <c r="K186" s="1550"/>
      <c r="L186" s="1550"/>
      <c r="M186" s="1551"/>
      <c r="N186" s="1544"/>
      <c r="O186" s="1544"/>
      <c r="P186" s="1544"/>
      <c r="Q186" s="7"/>
    </row>
    <row r="187" spans="1:17" x14ac:dyDescent="0.2">
      <c r="A187" s="7"/>
      <c r="B187" s="1549"/>
      <c r="C187" s="1550"/>
      <c r="D187" s="1550"/>
      <c r="E187" s="1551"/>
      <c r="F187" s="1550"/>
      <c r="G187" s="1551"/>
      <c r="H187" s="1550"/>
      <c r="I187" s="1550"/>
      <c r="J187" s="1551"/>
      <c r="K187" s="1550"/>
      <c r="L187" s="1550"/>
      <c r="M187" s="1551"/>
      <c r="N187" s="1544"/>
      <c r="O187" s="1544"/>
      <c r="P187" s="1544"/>
      <c r="Q187" s="7"/>
    </row>
    <row r="188" spans="1:17" x14ac:dyDescent="0.2">
      <c r="A188" s="7"/>
      <c r="B188" s="1549"/>
      <c r="C188" s="1550"/>
      <c r="D188" s="1550"/>
      <c r="E188" s="1551"/>
      <c r="F188" s="1550"/>
      <c r="G188" s="1551"/>
      <c r="H188" s="1550"/>
      <c r="I188" s="1550"/>
      <c r="J188" s="1551"/>
      <c r="K188" s="1550"/>
      <c r="L188" s="1550"/>
      <c r="M188" s="1551"/>
      <c r="N188" s="1544"/>
      <c r="O188" s="1544"/>
      <c r="P188" s="1544"/>
      <c r="Q188" s="7"/>
    </row>
    <row r="189" spans="1:17" x14ac:dyDescent="0.2">
      <c r="A189" s="7"/>
      <c r="B189" s="1549"/>
      <c r="C189" s="1550"/>
      <c r="D189" s="1550"/>
      <c r="E189" s="1551"/>
      <c r="F189" s="1550"/>
      <c r="G189" s="1551"/>
      <c r="H189" s="1550"/>
      <c r="I189" s="1550"/>
      <c r="J189" s="1551"/>
      <c r="K189" s="1550"/>
      <c r="L189" s="1550"/>
      <c r="M189" s="1551"/>
      <c r="N189" s="1544"/>
      <c r="O189" s="1544"/>
      <c r="P189" s="1544"/>
      <c r="Q189" s="7"/>
    </row>
    <row r="190" spans="1:17" x14ac:dyDescent="0.2">
      <c r="A190" s="7"/>
      <c r="B190" s="1549"/>
      <c r="C190" s="1550"/>
      <c r="D190" s="1550"/>
      <c r="E190" s="1551"/>
      <c r="F190" s="1550"/>
      <c r="G190" s="1551"/>
      <c r="H190" s="1550"/>
      <c r="I190" s="1550"/>
      <c r="J190" s="1551"/>
      <c r="K190" s="1550"/>
      <c r="L190" s="1550"/>
      <c r="M190" s="1551"/>
      <c r="N190" s="1544"/>
      <c r="O190" s="1544"/>
      <c r="P190" s="1544"/>
      <c r="Q190" s="7"/>
    </row>
    <row r="191" spans="1:17" x14ac:dyDescent="0.2">
      <c r="A191" s="7"/>
      <c r="B191" s="1549"/>
      <c r="C191" s="1550"/>
      <c r="D191" s="1550"/>
      <c r="E191" s="1551"/>
      <c r="F191" s="1550"/>
      <c r="G191" s="1551"/>
      <c r="H191" s="1550"/>
      <c r="I191" s="1550"/>
      <c r="J191" s="1551"/>
      <c r="K191" s="1550"/>
      <c r="L191" s="1550"/>
      <c r="M191" s="1551"/>
      <c r="N191" s="1544"/>
      <c r="O191" s="1544"/>
      <c r="P191" s="1544"/>
      <c r="Q191" s="7"/>
    </row>
    <row r="192" spans="1:17" x14ac:dyDescent="0.2">
      <c r="A192" s="7"/>
      <c r="B192" s="1549"/>
      <c r="C192" s="1550"/>
      <c r="D192" s="1550"/>
      <c r="E192" s="1551"/>
      <c r="F192" s="1550"/>
      <c r="G192" s="1551"/>
      <c r="H192" s="1550"/>
      <c r="I192" s="1550"/>
      <c r="J192" s="1551"/>
      <c r="K192" s="1550"/>
      <c r="L192" s="1550"/>
      <c r="M192" s="1551"/>
      <c r="N192" s="1544"/>
      <c r="O192" s="1544"/>
      <c r="P192" s="1544"/>
      <c r="Q192" s="7"/>
    </row>
    <row r="193" spans="2:16" s="7" customFormat="1" x14ac:dyDescent="0.2">
      <c r="B193" s="1549"/>
      <c r="C193" s="1550"/>
      <c r="D193" s="1550"/>
      <c r="E193" s="1551"/>
      <c r="F193" s="1550"/>
      <c r="G193" s="1551"/>
      <c r="H193" s="1550"/>
      <c r="I193" s="1550"/>
      <c r="J193" s="1551"/>
      <c r="K193" s="1550"/>
      <c r="L193" s="1550"/>
      <c r="M193" s="1551"/>
      <c r="N193" s="1544"/>
      <c r="O193" s="1544"/>
      <c r="P193" s="1544"/>
    </row>
    <row r="194" spans="2:16" s="7" customFormat="1" x14ac:dyDescent="0.2">
      <c r="B194" s="1549"/>
      <c r="C194" s="1550"/>
      <c r="D194" s="1550"/>
      <c r="E194" s="1551"/>
      <c r="F194" s="1550"/>
      <c r="G194" s="1551"/>
      <c r="H194" s="1550"/>
      <c r="I194" s="1550"/>
      <c r="J194" s="1551"/>
      <c r="K194" s="1550"/>
      <c r="L194" s="1550"/>
      <c r="M194" s="1551"/>
      <c r="N194" s="1544"/>
      <c r="O194" s="1544"/>
      <c r="P194" s="1544"/>
    </row>
    <row r="195" spans="2:16" s="7" customFormat="1" x14ac:dyDescent="0.2">
      <c r="B195" s="1549"/>
      <c r="C195" s="1550"/>
      <c r="D195" s="1550"/>
      <c r="E195" s="1551"/>
      <c r="F195" s="1550"/>
      <c r="G195" s="1551"/>
      <c r="H195" s="1550"/>
      <c r="I195" s="1550"/>
      <c r="J195" s="1551"/>
      <c r="K195" s="1550"/>
      <c r="L195" s="1550"/>
      <c r="M195" s="1551"/>
      <c r="N195" s="1544"/>
      <c r="O195" s="1544"/>
      <c r="P195" s="1544"/>
    </row>
    <row r="196" spans="2:16" s="7" customFormat="1" x14ac:dyDescent="0.2">
      <c r="B196" s="1549"/>
      <c r="C196" s="1550"/>
      <c r="D196" s="1550"/>
      <c r="E196" s="1551"/>
      <c r="F196" s="1550"/>
      <c r="G196" s="1551"/>
      <c r="H196" s="1550"/>
      <c r="I196" s="1550"/>
      <c r="J196" s="1551"/>
      <c r="K196" s="1550"/>
      <c r="L196" s="1550"/>
      <c r="M196" s="1551"/>
      <c r="N196" s="1544"/>
      <c r="O196" s="1544"/>
      <c r="P196" s="1544"/>
    </row>
    <row r="197" spans="2:16" s="7" customFormat="1" x14ac:dyDescent="0.2">
      <c r="B197" s="1549"/>
      <c r="C197" s="1550"/>
      <c r="D197" s="1550"/>
      <c r="E197" s="1551"/>
      <c r="F197" s="1550"/>
      <c r="G197" s="1551"/>
      <c r="H197" s="1550"/>
      <c r="I197" s="1550"/>
      <c r="J197" s="1551"/>
      <c r="K197" s="1550"/>
      <c r="L197" s="1550"/>
      <c r="M197" s="1551"/>
      <c r="N197" s="1544"/>
      <c r="O197" s="1544"/>
      <c r="P197" s="1544"/>
    </row>
    <row r="198" spans="2:16" s="7" customFormat="1" x14ac:dyDescent="0.2">
      <c r="B198" s="1549"/>
      <c r="C198" s="1550"/>
      <c r="D198" s="1550"/>
      <c r="E198" s="1551"/>
      <c r="F198" s="1550"/>
      <c r="G198" s="1551"/>
      <c r="H198" s="1550"/>
      <c r="I198" s="1550"/>
      <c r="J198" s="1551"/>
      <c r="K198" s="1550"/>
      <c r="L198" s="1550"/>
      <c r="M198" s="1551"/>
      <c r="N198" s="1544"/>
      <c r="O198" s="1544"/>
      <c r="P198" s="1544"/>
    </row>
    <row r="199" spans="2:16" s="7" customFormat="1" x14ac:dyDescent="0.2">
      <c r="B199" s="1549"/>
      <c r="C199" s="1550"/>
      <c r="D199" s="1550"/>
      <c r="E199" s="1551"/>
      <c r="F199" s="1550"/>
      <c r="G199" s="1551"/>
      <c r="H199" s="1550"/>
      <c r="I199" s="1550"/>
      <c r="J199" s="1551"/>
      <c r="K199" s="1550"/>
      <c r="L199" s="1550"/>
      <c r="M199" s="1551"/>
      <c r="N199" s="1544"/>
      <c r="O199" s="1544"/>
      <c r="P199" s="1544"/>
    </row>
    <row r="200" spans="2:16" s="7" customFormat="1" x14ac:dyDescent="0.2">
      <c r="B200" s="1549"/>
      <c r="C200" s="1550"/>
      <c r="D200" s="1550"/>
      <c r="E200" s="1551"/>
      <c r="F200" s="1550"/>
      <c r="G200" s="1551"/>
      <c r="H200" s="1550"/>
      <c r="I200" s="1550"/>
      <c r="J200" s="1551"/>
      <c r="K200" s="1550"/>
      <c r="L200" s="1550"/>
      <c r="M200" s="1551"/>
      <c r="N200" s="1544"/>
      <c r="O200" s="1544"/>
      <c r="P200" s="1544"/>
    </row>
    <row r="201" spans="2:16" s="7" customFormat="1" x14ac:dyDescent="0.2">
      <c r="B201" s="1549"/>
      <c r="C201" s="1550"/>
      <c r="D201" s="1550"/>
      <c r="E201" s="1551"/>
      <c r="F201" s="1550"/>
      <c r="G201" s="1551"/>
      <c r="H201" s="1550"/>
      <c r="I201" s="1550"/>
      <c r="J201" s="1551"/>
      <c r="K201" s="1550"/>
      <c r="L201" s="1550"/>
      <c r="M201" s="1551"/>
      <c r="N201" s="1544"/>
      <c r="O201" s="1544"/>
      <c r="P201" s="1544"/>
    </row>
    <row r="202" spans="2:16" s="7" customFormat="1" x14ac:dyDescent="0.2">
      <c r="B202" s="1549"/>
      <c r="C202" s="1550"/>
      <c r="D202" s="1550"/>
      <c r="E202" s="1551"/>
      <c r="F202" s="1550"/>
      <c r="G202" s="1551"/>
      <c r="H202" s="1550"/>
      <c r="I202" s="1550"/>
      <c r="J202" s="1551"/>
      <c r="K202" s="1550"/>
      <c r="L202" s="1550"/>
      <c r="M202" s="1551"/>
      <c r="N202" s="1544"/>
      <c r="O202" s="1544"/>
      <c r="P202" s="1544"/>
    </row>
    <row r="203" spans="2:16" s="7" customFormat="1" x14ac:dyDescent="0.2">
      <c r="B203" s="1549"/>
      <c r="C203" s="1550"/>
      <c r="D203" s="1550"/>
      <c r="E203" s="1551"/>
      <c r="F203" s="1550"/>
      <c r="G203" s="1551"/>
      <c r="H203" s="1550"/>
      <c r="I203" s="1550"/>
      <c r="J203" s="1551"/>
      <c r="K203" s="1550"/>
      <c r="L203" s="1550"/>
      <c r="M203" s="1551"/>
      <c r="N203" s="1544"/>
      <c r="O203" s="1544"/>
      <c r="P203" s="1544"/>
    </row>
    <row r="204" spans="2:16" s="7" customFormat="1" x14ac:dyDescent="0.2">
      <c r="B204" s="1549"/>
      <c r="C204" s="1550"/>
      <c r="D204" s="1550"/>
      <c r="E204" s="1551"/>
      <c r="F204" s="1550"/>
      <c r="G204" s="1551"/>
      <c r="H204" s="1550"/>
      <c r="I204" s="1550"/>
      <c r="J204" s="1551"/>
      <c r="K204" s="1550"/>
      <c r="L204" s="1550"/>
      <c r="M204" s="1551"/>
      <c r="N204" s="1544"/>
      <c r="O204" s="1544"/>
      <c r="P204" s="1544"/>
    </row>
    <row r="205" spans="2:16" s="7" customFormat="1" x14ac:dyDescent="0.2">
      <c r="B205" s="1549"/>
      <c r="C205" s="1550"/>
      <c r="D205" s="1550"/>
      <c r="E205" s="1551"/>
      <c r="F205" s="1550"/>
      <c r="G205" s="1551"/>
      <c r="H205" s="1550"/>
      <c r="I205" s="1550"/>
      <c r="J205" s="1551"/>
      <c r="K205" s="1550"/>
      <c r="L205" s="1550"/>
      <c r="M205" s="1551"/>
      <c r="N205" s="1544"/>
      <c r="O205" s="1544"/>
      <c r="P205" s="1544"/>
    </row>
    <row r="206" spans="2:16" s="7" customFormat="1" x14ac:dyDescent="0.2">
      <c r="B206" s="1549"/>
      <c r="C206" s="1550"/>
      <c r="D206" s="1550"/>
      <c r="E206" s="1551"/>
      <c r="F206" s="1550"/>
      <c r="G206" s="1551"/>
      <c r="H206" s="1550"/>
      <c r="I206" s="1550"/>
      <c r="J206" s="1551"/>
      <c r="K206" s="1550"/>
      <c r="L206" s="1550"/>
      <c r="M206" s="1551"/>
      <c r="N206" s="1544"/>
      <c r="O206" s="1544"/>
      <c r="P206" s="1544"/>
    </row>
    <row r="207" spans="2:16" s="7" customFormat="1" x14ac:dyDescent="0.2">
      <c r="B207" s="1549"/>
      <c r="C207" s="1550"/>
      <c r="D207" s="1550"/>
      <c r="E207" s="1551"/>
      <c r="F207" s="1550"/>
      <c r="G207" s="1551"/>
      <c r="H207" s="1550"/>
      <c r="I207" s="1550"/>
      <c r="J207" s="1551"/>
      <c r="K207" s="1550"/>
      <c r="L207" s="1550"/>
      <c r="M207" s="1551"/>
      <c r="N207" s="1544"/>
      <c r="O207" s="1544"/>
      <c r="P207" s="1544"/>
    </row>
    <row r="208" spans="2:16" s="7" customFormat="1" x14ac:dyDescent="0.2">
      <c r="B208" s="1549"/>
      <c r="C208" s="1550"/>
      <c r="D208" s="1550"/>
      <c r="E208" s="1551"/>
      <c r="F208" s="1550"/>
      <c r="G208" s="1551"/>
      <c r="H208" s="1550"/>
      <c r="I208" s="1550"/>
      <c r="J208" s="1551"/>
      <c r="K208" s="1550"/>
      <c r="L208" s="1550"/>
      <c r="M208" s="1551"/>
      <c r="N208" s="1544"/>
      <c r="O208" s="1544"/>
      <c r="P208" s="1544"/>
    </row>
    <row r="209" spans="2:16" s="7" customFormat="1" x14ac:dyDescent="0.2">
      <c r="B209" s="1549"/>
      <c r="C209" s="1550"/>
      <c r="D209" s="1550"/>
      <c r="E209" s="1551"/>
      <c r="F209" s="1550"/>
      <c r="G209" s="1551"/>
      <c r="H209" s="1550"/>
      <c r="I209" s="1550"/>
      <c r="J209" s="1551"/>
      <c r="K209" s="1550"/>
      <c r="L209" s="1550"/>
      <c r="M209" s="1551"/>
      <c r="N209" s="1544"/>
      <c r="O209" s="1544"/>
      <c r="P209" s="1544"/>
    </row>
    <row r="210" spans="2:16" s="7" customFormat="1" x14ac:dyDescent="0.2">
      <c r="B210" s="1549"/>
      <c r="C210" s="1550"/>
      <c r="D210" s="1550"/>
      <c r="E210" s="1551"/>
      <c r="F210" s="1550"/>
      <c r="G210" s="1551"/>
      <c r="H210" s="1550"/>
      <c r="I210" s="1550"/>
      <c r="J210" s="1551"/>
      <c r="K210" s="1550"/>
      <c r="L210" s="1550"/>
      <c r="M210" s="1551"/>
      <c r="N210" s="1544"/>
      <c r="O210" s="1544"/>
      <c r="P210" s="1544"/>
    </row>
    <row r="211" spans="2:16" s="7" customFormat="1" x14ac:dyDescent="0.2">
      <c r="B211" s="1549"/>
      <c r="C211" s="1550"/>
      <c r="D211" s="1550"/>
      <c r="E211" s="1551"/>
      <c r="F211" s="1550"/>
      <c r="G211" s="1551"/>
      <c r="H211" s="1550"/>
      <c r="I211" s="1550"/>
      <c r="J211" s="1551"/>
      <c r="K211" s="1550"/>
      <c r="L211" s="1550"/>
      <c r="M211" s="1551"/>
      <c r="N211" s="1544"/>
      <c r="O211" s="1544"/>
      <c r="P211" s="1544"/>
    </row>
    <row r="212" spans="2:16" s="7" customFormat="1" x14ac:dyDescent="0.2">
      <c r="B212" s="1549"/>
      <c r="C212" s="1550"/>
      <c r="D212" s="1550"/>
      <c r="E212" s="1551"/>
      <c r="F212" s="1550"/>
      <c r="G212" s="1551"/>
      <c r="H212" s="1550"/>
      <c r="I212" s="1550"/>
      <c r="J212" s="1551"/>
      <c r="K212" s="1550"/>
      <c r="L212" s="1550"/>
      <c r="M212" s="1551"/>
      <c r="N212" s="1544"/>
      <c r="O212" s="1544"/>
      <c r="P212" s="1544"/>
    </row>
    <row r="213" spans="2:16" s="7" customFormat="1" x14ac:dyDescent="0.2">
      <c r="B213" s="1549"/>
      <c r="C213" s="1550"/>
      <c r="D213" s="1550"/>
      <c r="E213" s="1551"/>
      <c r="F213" s="1550"/>
      <c r="G213" s="1551"/>
      <c r="H213" s="1550"/>
      <c r="I213" s="1550"/>
      <c r="J213" s="1551"/>
      <c r="K213" s="1550"/>
      <c r="L213" s="1550"/>
      <c r="M213" s="1551"/>
      <c r="N213" s="1544"/>
      <c r="O213" s="1544"/>
      <c r="P213" s="1544"/>
    </row>
    <row r="214" spans="2:16" s="7" customFormat="1" x14ac:dyDescent="0.2">
      <c r="B214" s="1549"/>
      <c r="C214" s="1550"/>
      <c r="D214" s="1550"/>
      <c r="E214" s="1551"/>
      <c r="F214" s="1550"/>
      <c r="G214" s="1551"/>
      <c r="H214" s="1550"/>
      <c r="I214" s="1550"/>
      <c r="J214" s="1551"/>
      <c r="K214" s="1550"/>
      <c r="L214" s="1550"/>
      <c r="M214" s="1551"/>
      <c r="N214" s="1544"/>
      <c r="O214" s="1544"/>
      <c r="P214" s="1544"/>
    </row>
    <row r="215" spans="2:16" s="7" customFormat="1" x14ac:dyDescent="0.2">
      <c r="B215" s="1549"/>
      <c r="C215" s="1550"/>
      <c r="D215" s="1550"/>
      <c r="E215" s="1551"/>
      <c r="F215" s="1550"/>
      <c r="G215" s="1551"/>
      <c r="H215" s="1550"/>
      <c r="I215" s="1550"/>
      <c r="J215" s="1551"/>
      <c r="K215" s="1550"/>
      <c r="L215" s="1550"/>
      <c r="M215" s="1551"/>
      <c r="N215" s="1544"/>
      <c r="O215" s="1544"/>
      <c r="P215" s="1544"/>
    </row>
    <row r="216" spans="2:16" s="7" customFormat="1" x14ac:dyDescent="0.2">
      <c r="B216" s="1549"/>
      <c r="C216" s="1550"/>
      <c r="D216" s="1550"/>
      <c r="E216" s="1551"/>
      <c r="F216" s="1550"/>
      <c r="G216" s="1551"/>
      <c r="H216" s="1550"/>
      <c r="I216" s="1550"/>
      <c r="J216" s="1551"/>
      <c r="K216" s="1550"/>
      <c r="L216" s="1550"/>
      <c r="M216" s="1551"/>
      <c r="N216" s="1544"/>
      <c r="O216" s="1544"/>
      <c r="P216" s="1544"/>
    </row>
    <row r="217" spans="2:16" s="7" customFormat="1" x14ac:dyDescent="0.2">
      <c r="B217" s="1549"/>
      <c r="C217" s="1550"/>
      <c r="D217" s="1550"/>
      <c r="E217" s="1551"/>
      <c r="F217" s="1550"/>
      <c r="G217" s="1551"/>
      <c r="H217" s="1550"/>
      <c r="I217" s="1550"/>
      <c r="J217" s="1551"/>
      <c r="K217" s="1550"/>
      <c r="L217" s="1550"/>
      <c r="M217" s="1551"/>
      <c r="N217" s="1544"/>
      <c r="O217" s="1544"/>
      <c r="P217" s="1544"/>
    </row>
    <row r="218" spans="2:16" s="7" customFormat="1" x14ac:dyDescent="0.2">
      <c r="B218" s="1549"/>
      <c r="C218" s="1550"/>
      <c r="D218" s="1550"/>
      <c r="E218" s="1551"/>
      <c r="F218" s="1550"/>
      <c r="G218" s="1551"/>
      <c r="H218" s="1550"/>
      <c r="I218" s="1550"/>
      <c r="J218" s="1551"/>
      <c r="K218" s="1550"/>
      <c r="L218" s="1550"/>
      <c r="M218" s="1551"/>
      <c r="N218" s="1544"/>
      <c r="O218" s="1544"/>
      <c r="P218" s="1544"/>
    </row>
    <row r="219" spans="2:16" s="7" customFormat="1" x14ac:dyDescent="0.2">
      <c r="B219" s="1549"/>
      <c r="C219" s="1550"/>
      <c r="D219" s="1550"/>
      <c r="E219" s="1551"/>
      <c r="F219" s="1550"/>
      <c r="G219" s="1551"/>
      <c r="H219" s="1550"/>
      <c r="I219" s="1550"/>
      <c r="J219" s="1551"/>
      <c r="K219" s="1550"/>
      <c r="L219" s="1550"/>
      <c r="M219" s="1551"/>
      <c r="N219" s="1544"/>
      <c r="O219" s="1544"/>
      <c r="P219" s="1544"/>
    </row>
    <row r="220" spans="2:16" s="7" customFormat="1" x14ac:dyDescent="0.2">
      <c r="B220" s="1549"/>
      <c r="C220" s="1550"/>
      <c r="D220" s="1550"/>
      <c r="E220" s="1551"/>
      <c r="F220" s="1550"/>
      <c r="G220" s="1551"/>
      <c r="H220" s="1550"/>
      <c r="I220" s="1550"/>
      <c r="J220" s="1551"/>
      <c r="K220" s="1550"/>
      <c r="L220" s="1550"/>
      <c r="M220" s="1551"/>
      <c r="N220" s="1544"/>
      <c r="O220" s="1544"/>
      <c r="P220" s="1544"/>
    </row>
    <row r="221" spans="2:16" s="7" customFormat="1" x14ac:dyDescent="0.2">
      <c r="B221" s="1549"/>
      <c r="C221" s="1550"/>
      <c r="D221" s="1550"/>
      <c r="E221" s="1551"/>
      <c r="F221" s="1550"/>
      <c r="G221" s="1551"/>
      <c r="H221" s="1550"/>
      <c r="I221" s="1550"/>
      <c r="J221" s="1551"/>
      <c r="K221" s="1550"/>
      <c r="L221" s="1550"/>
      <c r="M221" s="1551"/>
      <c r="N221" s="1544"/>
      <c r="O221" s="1544"/>
      <c r="P221" s="1544"/>
    </row>
    <row r="222" spans="2:16" s="7" customFormat="1" x14ac:dyDescent="0.2">
      <c r="B222" s="1549"/>
      <c r="C222" s="1550"/>
      <c r="D222" s="1550"/>
      <c r="E222" s="1551"/>
      <c r="F222" s="1550"/>
      <c r="G222" s="1551"/>
      <c r="H222" s="1550"/>
      <c r="I222" s="1550"/>
      <c r="J222" s="1551"/>
      <c r="K222" s="1550"/>
      <c r="L222" s="1550"/>
      <c r="M222" s="1551"/>
      <c r="N222" s="1544"/>
      <c r="O222" s="1544"/>
      <c r="P222" s="1544"/>
    </row>
    <row r="223" spans="2:16" s="7" customFormat="1" x14ac:dyDescent="0.2">
      <c r="B223" s="1549"/>
      <c r="C223" s="1550"/>
      <c r="D223" s="1550"/>
      <c r="E223" s="1551"/>
      <c r="F223" s="1550"/>
      <c r="G223" s="1551"/>
      <c r="H223" s="1550"/>
      <c r="I223" s="1550"/>
      <c r="J223" s="1551"/>
      <c r="K223" s="1550"/>
      <c r="L223" s="1550"/>
      <c r="M223" s="1551"/>
      <c r="N223" s="1544"/>
      <c r="O223" s="1544"/>
      <c r="P223" s="1544"/>
    </row>
    <row r="224" spans="2:16" s="7" customFormat="1" x14ac:dyDescent="0.2">
      <c r="B224" s="1549"/>
      <c r="C224" s="1550"/>
      <c r="D224" s="1550"/>
      <c r="E224" s="1551"/>
      <c r="F224" s="1550"/>
      <c r="G224" s="1551"/>
      <c r="H224" s="1550"/>
      <c r="I224" s="1550"/>
      <c r="J224" s="1551"/>
      <c r="K224" s="1550"/>
      <c r="L224" s="1550"/>
      <c r="M224" s="1551"/>
      <c r="N224" s="1544"/>
      <c r="O224" s="1544"/>
      <c r="P224" s="1544"/>
    </row>
    <row r="225" spans="2:16" s="7" customFormat="1" x14ac:dyDescent="0.2">
      <c r="B225" s="1549"/>
      <c r="C225" s="1550"/>
      <c r="D225" s="1550"/>
      <c r="E225" s="1551"/>
      <c r="F225" s="1550"/>
      <c r="G225" s="1551"/>
      <c r="H225" s="1550"/>
      <c r="I225" s="1550"/>
      <c r="J225" s="1551"/>
      <c r="K225" s="1550"/>
      <c r="L225" s="1550"/>
      <c r="M225" s="1551"/>
      <c r="N225" s="1544"/>
      <c r="O225" s="1544"/>
      <c r="P225" s="1544"/>
    </row>
    <row r="226" spans="2:16" s="7" customFormat="1" x14ac:dyDescent="0.2">
      <c r="B226" s="1549"/>
      <c r="C226" s="1550"/>
      <c r="D226" s="1550"/>
      <c r="E226" s="1551"/>
      <c r="F226" s="1550"/>
      <c r="G226" s="1551"/>
      <c r="H226" s="1550"/>
      <c r="I226" s="1550"/>
      <c r="J226" s="1551"/>
      <c r="K226" s="1550"/>
      <c r="L226" s="1550"/>
      <c r="M226" s="1551"/>
      <c r="N226" s="1544"/>
      <c r="O226" s="1544"/>
      <c r="P226" s="1544"/>
    </row>
    <row r="227" spans="2:16" s="7" customFormat="1" x14ac:dyDescent="0.2">
      <c r="B227" s="1549"/>
      <c r="C227" s="1550"/>
      <c r="D227" s="1550"/>
      <c r="E227" s="1551"/>
      <c r="F227" s="1550"/>
      <c r="G227" s="1551"/>
      <c r="H227" s="1550"/>
      <c r="I227" s="1550"/>
      <c r="J227" s="1551"/>
      <c r="K227" s="1550"/>
      <c r="L227" s="1550"/>
      <c r="M227" s="1551"/>
      <c r="N227" s="1544"/>
      <c r="O227" s="1544"/>
      <c r="P227" s="1544"/>
    </row>
    <row r="228" spans="2:16" s="7" customFormat="1" x14ac:dyDescent="0.2">
      <c r="B228" s="1549"/>
      <c r="C228" s="1550"/>
      <c r="D228" s="1550"/>
      <c r="E228" s="1551"/>
      <c r="F228" s="1550"/>
      <c r="G228" s="1551"/>
      <c r="H228" s="1550"/>
      <c r="I228" s="1550"/>
      <c r="J228" s="1551"/>
      <c r="K228" s="1550"/>
      <c r="L228" s="1550"/>
      <c r="M228" s="1551"/>
      <c r="N228" s="1544"/>
      <c r="O228" s="1544"/>
      <c r="P228" s="1544"/>
    </row>
    <row r="229" spans="2:16" s="7" customFormat="1" x14ac:dyDescent="0.2">
      <c r="B229" s="1549"/>
      <c r="C229" s="1550"/>
      <c r="D229" s="1550"/>
      <c r="E229" s="1551"/>
      <c r="F229" s="1550"/>
      <c r="G229" s="1551"/>
      <c r="H229" s="1550"/>
      <c r="I229" s="1550"/>
      <c r="J229" s="1551"/>
      <c r="K229" s="1550"/>
      <c r="L229" s="1550"/>
      <c r="M229" s="1551"/>
      <c r="N229" s="1544"/>
      <c r="O229" s="1544"/>
      <c r="P229" s="1544"/>
    </row>
    <row r="230" spans="2:16" s="7" customFormat="1" x14ac:dyDescent="0.2">
      <c r="B230" s="1549"/>
      <c r="C230" s="1550"/>
      <c r="D230" s="1550"/>
      <c r="E230" s="1551"/>
      <c r="F230" s="1550"/>
      <c r="G230" s="1551"/>
      <c r="H230" s="1550"/>
      <c r="I230" s="1550"/>
      <c r="J230" s="1551"/>
      <c r="K230" s="1550"/>
      <c r="L230" s="1550"/>
      <c r="M230" s="1551"/>
      <c r="N230" s="1544"/>
      <c r="O230" s="1544"/>
      <c r="P230" s="1544"/>
    </row>
    <row r="231" spans="2:16" s="7" customFormat="1" x14ac:dyDescent="0.2">
      <c r="B231" s="1549"/>
      <c r="C231" s="1550"/>
      <c r="D231" s="1550"/>
      <c r="E231" s="1551"/>
      <c r="F231" s="1550"/>
      <c r="G231" s="1551"/>
      <c r="H231" s="1550"/>
      <c r="I231" s="1550"/>
      <c r="J231" s="1551"/>
      <c r="K231" s="1550"/>
      <c r="L231" s="1550"/>
      <c r="M231" s="1551"/>
      <c r="N231" s="1544"/>
      <c r="O231" s="1544"/>
      <c r="P231" s="1544"/>
    </row>
    <row r="232" spans="2:16" s="7" customFormat="1" x14ac:dyDescent="0.2">
      <c r="B232" s="1549"/>
      <c r="C232" s="1550"/>
      <c r="D232" s="1550"/>
      <c r="E232" s="1551"/>
      <c r="F232" s="1550"/>
      <c r="G232" s="1551"/>
      <c r="H232" s="1550"/>
      <c r="I232" s="1550"/>
      <c r="J232" s="1551"/>
      <c r="K232" s="1550"/>
      <c r="L232" s="1550"/>
      <c r="M232" s="1551"/>
      <c r="N232" s="1544"/>
      <c r="O232" s="1544"/>
      <c r="P232" s="1544"/>
    </row>
    <row r="233" spans="2:16" s="7" customFormat="1" x14ac:dyDescent="0.2">
      <c r="B233" s="1549"/>
      <c r="C233" s="1550"/>
      <c r="D233" s="1550"/>
      <c r="E233" s="1551"/>
      <c r="F233" s="1550"/>
      <c r="G233" s="1551"/>
      <c r="H233" s="1550"/>
      <c r="I233" s="1550"/>
      <c r="J233" s="1551"/>
      <c r="K233" s="1550"/>
      <c r="L233" s="1550"/>
      <c r="M233" s="1551"/>
      <c r="N233" s="1544"/>
      <c r="O233" s="1544"/>
      <c r="P233" s="1544"/>
    </row>
    <row r="234" spans="2:16" s="7" customFormat="1" x14ac:dyDescent="0.2">
      <c r="B234" s="1549"/>
      <c r="C234" s="1550"/>
      <c r="D234" s="1550"/>
      <c r="E234" s="1551"/>
      <c r="F234" s="1550"/>
      <c r="G234" s="1551"/>
      <c r="H234" s="1550"/>
      <c r="I234" s="1550"/>
      <c r="J234" s="1551"/>
      <c r="K234" s="1550"/>
      <c r="L234" s="1550"/>
      <c r="M234" s="1551"/>
      <c r="N234" s="1544"/>
      <c r="O234" s="1544"/>
      <c r="P234" s="1544"/>
    </row>
    <row r="235" spans="2:16" s="7" customFormat="1" x14ac:dyDescent="0.2">
      <c r="B235" s="1549"/>
      <c r="C235" s="1550"/>
      <c r="D235" s="1550"/>
      <c r="E235" s="1551"/>
      <c r="F235" s="1550"/>
      <c r="G235" s="1551"/>
      <c r="H235" s="1550"/>
      <c r="I235" s="1550"/>
      <c r="J235" s="1551"/>
      <c r="K235" s="1550"/>
      <c r="L235" s="1550"/>
      <c r="M235" s="1551"/>
      <c r="N235" s="1544"/>
      <c r="O235" s="1544"/>
      <c r="P235" s="1544"/>
    </row>
    <row r="236" spans="2:16" s="7" customFormat="1" x14ac:dyDescent="0.2">
      <c r="B236" s="1549"/>
      <c r="C236" s="1550"/>
      <c r="D236" s="1550"/>
      <c r="E236" s="1551"/>
      <c r="F236" s="1550"/>
      <c r="G236" s="1551"/>
      <c r="H236" s="1550"/>
      <c r="I236" s="1550"/>
      <c r="J236" s="1551"/>
      <c r="K236" s="1550"/>
      <c r="L236" s="1550"/>
      <c r="M236" s="1551"/>
      <c r="N236" s="1544"/>
      <c r="O236" s="1544"/>
      <c r="P236" s="1544"/>
    </row>
    <row r="237" spans="2:16" s="7" customFormat="1" x14ac:dyDescent="0.2">
      <c r="B237" s="1549"/>
      <c r="C237" s="1550"/>
      <c r="D237" s="1550"/>
      <c r="E237" s="1551"/>
      <c r="F237" s="1550"/>
      <c r="G237" s="1551"/>
      <c r="H237" s="1550"/>
      <c r="I237" s="1550"/>
      <c r="J237" s="1551"/>
      <c r="K237" s="1550"/>
      <c r="L237" s="1550"/>
      <c r="M237" s="1551"/>
      <c r="N237" s="1544"/>
      <c r="O237" s="1544"/>
      <c r="P237" s="1544"/>
    </row>
    <row r="238" spans="2:16" s="7" customFormat="1" x14ac:dyDescent="0.2">
      <c r="B238" s="1549"/>
      <c r="C238" s="1550"/>
      <c r="D238" s="1550"/>
      <c r="E238" s="1551"/>
      <c r="F238" s="1550"/>
      <c r="G238" s="1551"/>
      <c r="H238" s="1550"/>
      <c r="I238" s="1550"/>
      <c r="J238" s="1551"/>
      <c r="K238" s="1550"/>
      <c r="L238" s="1550"/>
      <c r="M238" s="1551"/>
      <c r="N238" s="1544"/>
      <c r="O238" s="1544"/>
      <c r="P238" s="1544"/>
    </row>
    <row r="239" spans="2:16" s="7" customFormat="1" x14ac:dyDescent="0.2">
      <c r="B239" s="1549"/>
      <c r="C239" s="1550"/>
      <c r="D239" s="1550"/>
      <c r="E239" s="1551"/>
      <c r="F239" s="1550"/>
      <c r="G239" s="1551"/>
      <c r="H239" s="1550"/>
      <c r="I239" s="1550"/>
      <c r="J239" s="1551"/>
      <c r="K239" s="1550"/>
      <c r="L239" s="1550"/>
      <c r="M239" s="1551"/>
      <c r="N239" s="1544"/>
      <c r="O239" s="1544"/>
      <c r="P239" s="1544"/>
    </row>
    <row r="240" spans="2:16" s="7" customFormat="1" x14ac:dyDescent="0.2">
      <c r="B240" s="1549"/>
      <c r="C240" s="1550"/>
      <c r="D240" s="1550"/>
      <c r="E240" s="1551"/>
      <c r="F240" s="1550"/>
      <c r="G240" s="1551"/>
      <c r="H240" s="1550"/>
      <c r="I240" s="1550"/>
      <c r="J240" s="1551"/>
      <c r="K240" s="1550"/>
      <c r="L240" s="1550"/>
      <c r="M240" s="1551"/>
      <c r="N240" s="1544"/>
      <c r="O240" s="1544"/>
      <c r="P240" s="1544"/>
    </row>
    <row r="241" spans="2:16" s="7" customFormat="1" x14ac:dyDescent="0.2">
      <c r="B241" s="1549"/>
      <c r="C241" s="1550"/>
      <c r="D241" s="1550"/>
      <c r="E241" s="1551"/>
      <c r="F241" s="1550"/>
      <c r="G241" s="1551"/>
      <c r="H241" s="1550"/>
      <c r="I241" s="1550"/>
      <c r="J241" s="1551"/>
      <c r="K241" s="1550"/>
      <c r="L241" s="1550"/>
      <c r="M241" s="1551"/>
      <c r="N241" s="1544"/>
      <c r="O241" s="1544"/>
      <c r="P241" s="1544"/>
    </row>
    <row r="242" spans="2:16" s="7" customFormat="1" x14ac:dyDescent="0.2">
      <c r="B242" s="1549"/>
      <c r="C242" s="1550"/>
      <c r="D242" s="1550"/>
      <c r="E242" s="1551"/>
      <c r="F242" s="1550"/>
      <c r="G242" s="1551"/>
      <c r="H242" s="1550"/>
      <c r="I242" s="1550"/>
      <c r="J242" s="1551"/>
      <c r="K242" s="1550"/>
      <c r="L242" s="1550"/>
      <c r="M242" s="1551"/>
      <c r="N242" s="1544"/>
      <c r="O242" s="1544"/>
      <c r="P242" s="1544"/>
    </row>
    <row r="243" spans="2:16" s="7" customFormat="1" x14ac:dyDescent="0.2">
      <c r="B243" s="1549"/>
      <c r="C243" s="1550"/>
      <c r="D243" s="1550"/>
      <c r="E243" s="1551"/>
      <c r="F243" s="1550"/>
      <c r="G243" s="1551"/>
      <c r="H243" s="1550"/>
      <c r="I243" s="1550"/>
      <c r="J243" s="1551"/>
      <c r="K243" s="1550"/>
      <c r="L243" s="1550"/>
      <c r="M243" s="1551"/>
      <c r="N243" s="1544"/>
      <c r="O243" s="1544"/>
      <c r="P243" s="1544"/>
    </row>
    <row r="244" spans="2:16" s="7" customFormat="1" x14ac:dyDescent="0.2">
      <c r="B244" s="1549"/>
      <c r="C244" s="1550"/>
      <c r="D244" s="1550"/>
      <c r="E244" s="1551"/>
      <c r="F244" s="1550"/>
      <c r="G244" s="1551"/>
      <c r="H244" s="1550"/>
      <c r="I244" s="1550"/>
      <c r="J244" s="1551"/>
      <c r="K244" s="1550"/>
      <c r="L244" s="1550"/>
      <c r="M244" s="1551"/>
      <c r="N244" s="1544"/>
      <c r="O244" s="1544"/>
      <c r="P244" s="1544"/>
    </row>
    <row r="245" spans="2:16" s="7" customFormat="1" x14ac:dyDescent="0.2">
      <c r="B245" s="1549"/>
      <c r="C245" s="1550"/>
      <c r="D245" s="1550"/>
      <c r="E245" s="1551"/>
      <c r="F245" s="1550"/>
      <c r="G245" s="1551"/>
      <c r="H245" s="1550"/>
      <c r="I245" s="1550"/>
      <c r="J245" s="1551"/>
      <c r="K245" s="1550"/>
      <c r="L245" s="1550"/>
      <c r="M245" s="1551"/>
      <c r="N245" s="1544"/>
      <c r="O245" s="1544"/>
      <c r="P245" s="1544"/>
    </row>
    <row r="246" spans="2:16" s="7" customFormat="1" x14ac:dyDescent="0.2">
      <c r="B246" s="1549"/>
      <c r="C246" s="1550"/>
      <c r="D246" s="1550"/>
      <c r="E246" s="1551"/>
      <c r="F246" s="1550"/>
      <c r="G246" s="1551"/>
      <c r="H246" s="1550"/>
      <c r="I246" s="1550"/>
      <c r="J246" s="1551"/>
      <c r="K246" s="1550"/>
      <c r="L246" s="1550"/>
      <c r="M246" s="1551"/>
      <c r="N246" s="1544"/>
      <c r="O246" s="1544"/>
      <c r="P246" s="1544"/>
    </row>
    <row r="247" spans="2:16" s="7" customFormat="1" x14ac:dyDescent="0.2">
      <c r="B247" s="1549"/>
      <c r="C247" s="1550"/>
      <c r="D247" s="1550"/>
      <c r="E247" s="1551"/>
      <c r="F247" s="1550"/>
      <c r="G247" s="1551"/>
      <c r="H247" s="1550"/>
      <c r="I247" s="1550"/>
      <c r="J247" s="1551"/>
      <c r="K247" s="1550"/>
      <c r="L247" s="1550"/>
      <c r="M247" s="1551"/>
      <c r="N247" s="1544"/>
      <c r="O247" s="1544"/>
      <c r="P247" s="1544"/>
    </row>
    <row r="248" spans="2:16" s="7" customFormat="1" x14ac:dyDescent="0.2">
      <c r="B248" s="1549"/>
      <c r="C248" s="1550"/>
      <c r="D248" s="1550"/>
      <c r="E248" s="1551"/>
      <c r="F248" s="1550"/>
      <c r="G248" s="1551"/>
      <c r="H248" s="1550"/>
      <c r="I248" s="1550"/>
      <c r="J248" s="1551"/>
      <c r="K248" s="1550"/>
      <c r="L248" s="1550"/>
      <c r="M248" s="1551"/>
      <c r="N248" s="1544"/>
      <c r="O248" s="1544"/>
      <c r="P248" s="1544"/>
    </row>
    <row r="249" spans="2:16" s="7" customFormat="1" x14ac:dyDescent="0.2">
      <c r="B249" s="1549"/>
      <c r="C249" s="1550"/>
      <c r="D249" s="1550"/>
      <c r="E249" s="1551"/>
      <c r="F249" s="1550"/>
      <c r="G249" s="1551"/>
      <c r="H249" s="1550"/>
      <c r="I249" s="1550"/>
      <c r="J249" s="1551"/>
      <c r="K249" s="1550"/>
      <c r="L249" s="1550"/>
      <c r="M249" s="1551"/>
      <c r="N249" s="1544"/>
      <c r="O249" s="1544"/>
      <c r="P249" s="1544"/>
    </row>
    <row r="250" spans="2:16" s="7" customFormat="1" x14ac:dyDescent="0.2">
      <c r="B250" s="1549"/>
      <c r="C250" s="1550"/>
      <c r="D250" s="1550"/>
      <c r="E250" s="1551"/>
      <c r="F250" s="1550"/>
      <c r="G250" s="1551"/>
      <c r="H250" s="1550"/>
      <c r="I250" s="1550"/>
      <c r="J250" s="1551"/>
      <c r="K250" s="1550"/>
      <c r="L250" s="1550"/>
      <c r="M250" s="1551"/>
      <c r="N250" s="1544"/>
      <c r="O250" s="1544"/>
      <c r="P250" s="1544"/>
    </row>
    <row r="251" spans="2:16" s="7" customFormat="1" x14ac:dyDescent="0.2">
      <c r="B251" s="1549"/>
      <c r="C251" s="1550"/>
      <c r="D251" s="1550"/>
      <c r="E251" s="1551"/>
      <c r="F251" s="1550"/>
      <c r="G251" s="1551"/>
      <c r="H251" s="1550"/>
      <c r="I251" s="1550"/>
      <c r="J251" s="1551"/>
      <c r="K251" s="1550"/>
      <c r="L251" s="1550"/>
      <c r="M251" s="1551"/>
      <c r="N251" s="1544"/>
      <c r="O251" s="1544"/>
      <c r="P251" s="1544"/>
    </row>
    <row r="252" spans="2:16" s="7" customFormat="1" x14ac:dyDescent="0.2">
      <c r="B252" s="1549"/>
      <c r="C252" s="1550"/>
      <c r="D252" s="1550"/>
      <c r="E252" s="1551"/>
      <c r="F252" s="1550"/>
      <c r="G252" s="1551"/>
      <c r="H252" s="1550"/>
      <c r="I252" s="1550"/>
      <c r="J252" s="1551"/>
      <c r="K252" s="1550"/>
      <c r="L252" s="1550"/>
      <c r="M252" s="1551"/>
      <c r="N252" s="1544"/>
      <c r="O252" s="1544"/>
      <c r="P252" s="1544"/>
    </row>
    <row r="253" spans="2:16" s="7" customFormat="1" x14ac:dyDescent="0.2">
      <c r="B253" s="1549"/>
      <c r="C253" s="1550"/>
      <c r="D253" s="1550"/>
      <c r="E253" s="1551"/>
      <c r="F253" s="1550"/>
      <c r="G253" s="1551"/>
      <c r="H253" s="1550"/>
      <c r="I253" s="1550"/>
      <c r="J253" s="1551"/>
      <c r="K253" s="1550"/>
      <c r="L253" s="1550"/>
      <c r="M253" s="1551"/>
      <c r="N253" s="1544"/>
      <c r="O253" s="1544"/>
      <c r="P253" s="1544"/>
    </row>
    <row r="254" spans="2:16" s="7" customFormat="1" x14ac:dyDescent="0.2">
      <c r="B254" s="1549"/>
      <c r="C254" s="1550"/>
      <c r="D254" s="1550"/>
      <c r="E254" s="1551"/>
      <c r="F254" s="1550"/>
      <c r="G254" s="1551"/>
      <c r="H254" s="1550"/>
      <c r="I254" s="1550"/>
      <c r="J254" s="1551"/>
      <c r="K254" s="1550"/>
      <c r="L254" s="1550"/>
      <c r="M254" s="1551"/>
      <c r="N254" s="1544"/>
      <c r="O254" s="1544"/>
      <c r="P254" s="1544"/>
    </row>
    <row r="255" spans="2:16" s="7" customFormat="1" x14ac:dyDescent="0.2">
      <c r="B255" s="1549"/>
      <c r="C255" s="1550"/>
      <c r="D255" s="1550"/>
      <c r="E255" s="1551"/>
      <c r="F255" s="1550"/>
      <c r="G255" s="1551"/>
      <c r="H255" s="1550"/>
      <c r="I255" s="1550"/>
      <c r="J255" s="1551"/>
      <c r="K255" s="1550"/>
      <c r="L255" s="1550"/>
      <c r="M255" s="1551"/>
      <c r="N255" s="1544"/>
      <c r="O255" s="1544"/>
      <c r="P255" s="1544"/>
    </row>
    <row r="256" spans="2:16" s="7" customFormat="1" x14ac:dyDescent="0.2">
      <c r="B256" s="1549"/>
      <c r="C256" s="1550"/>
      <c r="D256" s="1550"/>
      <c r="E256" s="1551"/>
      <c r="F256" s="1550"/>
      <c r="G256" s="1551"/>
      <c r="H256" s="1550"/>
      <c r="I256" s="1550"/>
      <c r="J256" s="1551"/>
      <c r="K256" s="1550"/>
      <c r="L256" s="1550"/>
      <c r="M256" s="1551"/>
      <c r="N256" s="1544"/>
      <c r="O256" s="1544"/>
      <c r="P256" s="1544"/>
    </row>
    <row r="257" spans="2:16" s="7" customFormat="1" x14ac:dyDescent="0.2">
      <c r="B257" s="1549"/>
      <c r="C257" s="1550"/>
      <c r="D257" s="1550"/>
      <c r="E257" s="1551"/>
      <c r="F257" s="1550"/>
      <c r="G257" s="1551"/>
      <c r="H257" s="1550"/>
      <c r="I257" s="1550"/>
      <c r="J257" s="1551"/>
      <c r="K257" s="1550"/>
      <c r="L257" s="1550"/>
      <c r="M257" s="1551"/>
      <c r="N257" s="1544"/>
      <c r="O257" s="1544"/>
      <c r="P257" s="1544"/>
    </row>
    <row r="258" spans="2:16" s="7" customFormat="1" x14ac:dyDescent="0.2">
      <c r="B258" s="1549"/>
      <c r="C258" s="1550"/>
      <c r="D258" s="1550"/>
      <c r="E258" s="1551"/>
      <c r="F258" s="1550"/>
      <c r="G258" s="1551"/>
      <c r="H258" s="1550"/>
      <c r="I258" s="1550"/>
      <c r="J258" s="1551"/>
      <c r="K258" s="1550"/>
      <c r="L258" s="1550"/>
      <c r="M258" s="1551"/>
      <c r="N258" s="1544"/>
      <c r="O258" s="1544"/>
      <c r="P258" s="1544"/>
    </row>
    <row r="259" spans="2:16" s="7" customFormat="1" x14ac:dyDescent="0.2">
      <c r="B259" s="1549"/>
      <c r="C259" s="1550"/>
      <c r="D259" s="1550"/>
      <c r="E259" s="1551"/>
      <c r="F259" s="1550"/>
      <c r="G259" s="1551"/>
      <c r="H259" s="1550"/>
      <c r="I259" s="1550"/>
      <c r="J259" s="1551"/>
      <c r="K259" s="1550"/>
      <c r="L259" s="1550"/>
      <c r="M259" s="1551"/>
      <c r="N259" s="1544"/>
      <c r="O259" s="1544"/>
      <c r="P259" s="1544"/>
    </row>
    <row r="260" spans="2:16" s="7" customFormat="1" x14ac:dyDescent="0.2">
      <c r="B260" s="1549"/>
      <c r="C260" s="1550"/>
      <c r="D260" s="1550"/>
      <c r="E260" s="1551"/>
      <c r="F260" s="1550"/>
      <c r="G260" s="1551"/>
      <c r="H260" s="1550"/>
      <c r="I260" s="1550"/>
      <c r="J260" s="1551"/>
      <c r="K260" s="1550"/>
      <c r="L260" s="1550"/>
      <c r="M260" s="1551"/>
      <c r="N260" s="1544"/>
      <c r="O260" s="1544"/>
      <c r="P260" s="1544"/>
    </row>
    <row r="261" spans="2:16" s="7" customFormat="1" x14ac:dyDescent="0.2">
      <c r="B261" s="1549"/>
      <c r="C261" s="1550"/>
      <c r="D261" s="1550"/>
      <c r="E261" s="1551"/>
      <c r="F261" s="1550"/>
      <c r="G261" s="1551"/>
      <c r="H261" s="1550"/>
      <c r="I261" s="1550"/>
      <c r="J261" s="1551"/>
      <c r="K261" s="1550"/>
      <c r="L261" s="1550"/>
      <c r="M261" s="1551"/>
      <c r="N261" s="1544"/>
      <c r="O261" s="1544"/>
      <c r="P261" s="1544"/>
    </row>
    <row r="262" spans="2:16" s="7" customFormat="1" x14ac:dyDescent="0.2">
      <c r="B262" s="1549"/>
      <c r="C262" s="1550"/>
      <c r="D262" s="1550"/>
      <c r="E262" s="1551"/>
      <c r="F262" s="1550"/>
      <c r="G262" s="1551"/>
      <c r="H262" s="1550"/>
      <c r="I262" s="1550"/>
      <c r="J262" s="1551"/>
      <c r="K262" s="1550"/>
      <c r="L262" s="1550"/>
      <c r="M262" s="1551"/>
      <c r="N262" s="1544"/>
      <c r="O262" s="1544"/>
      <c r="P262" s="1544"/>
    </row>
    <row r="263" spans="2:16" s="7" customFormat="1" x14ac:dyDescent="0.2">
      <c r="B263" s="1549"/>
      <c r="C263" s="1550"/>
      <c r="D263" s="1550"/>
      <c r="E263" s="1551"/>
      <c r="F263" s="1550"/>
      <c r="G263" s="1551"/>
      <c r="H263" s="1550"/>
      <c r="I263" s="1550"/>
      <c r="J263" s="1551"/>
      <c r="K263" s="1550"/>
      <c r="L263" s="1550"/>
      <c r="M263" s="1551"/>
      <c r="N263" s="1544"/>
      <c r="O263" s="1544"/>
      <c r="P263" s="1544"/>
    </row>
    <row r="264" spans="2:16" s="7" customFormat="1" x14ac:dyDescent="0.2">
      <c r="B264" s="1549"/>
      <c r="C264" s="1550"/>
      <c r="D264" s="1550"/>
      <c r="E264" s="1551"/>
      <c r="F264" s="1550"/>
      <c r="G264" s="1551"/>
      <c r="H264" s="1550"/>
      <c r="I264" s="1550"/>
      <c r="J264" s="1551"/>
      <c r="K264" s="1550"/>
      <c r="L264" s="1550"/>
      <c r="M264" s="1551"/>
      <c r="N264" s="1544"/>
      <c r="O264" s="1544"/>
      <c r="P264" s="1544"/>
    </row>
    <row r="265" spans="2:16" s="7" customFormat="1" x14ac:dyDescent="0.2">
      <c r="B265" s="1549"/>
      <c r="C265" s="1550"/>
      <c r="D265" s="1550"/>
      <c r="E265" s="1551"/>
      <c r="F265" s="1550"/>
      <c r="G265" s="1551"/>
      <c r="H265" s="1550"/>
      <c r="I265" s="1550"/>
      <c r="J265" s="1551"/>
      <c r="K265" s="1550"/>
      <c r="L265" s="1550"/>
      <c r="M265" s="1551"/>
      <c r="N265" s="1544"/>
      <c r="O265" s="1544"/>
      <c r="P265" s="1544"/>
    </row>
    <row r="266" spans="2:16" s="7" customFormat="1" x14ac:dyDescent="0.2">
      <c r="B266" s="1549"/>
      <c r="C266" s="1550"/>
      <c r="D266" s="1550"/>
      <c r="E266" s="1551"/>
      <c r="F266" s="1550"/>
      <c r="G266" s="1551"/>
      <c r="H266" s="1550"/>
      <c r="I266" s="1550"/>
      <c r="J266" s="1551"/>
      <c r="K266" s="1550"/>
      <c r="L266" s="1550"/>
      <c r="M266" s="1551"/>
      <c r="N266" s="1544"/>
      <c r="O266" s="1544"/>
      <c r="P266" s="1544"/>
    </row>
    <row r="267" spans="2:16" s="7" customFormat="1" x14ac:dyDescent="0.2">
      <c r="B267" s="1549"/>
      <c r="C267" s="1550"/>
      <c r="D267" s="1550"/>
      <c r="E267" s="1551"/>
      <c r="F267" s="1550"/>
      <c r="G267" s="1551"/>
      <c r="H267" s="1550"/>
      <c r="I267" s="1550"/>
      <c r="J267" s="1551"/>
      <c r="K267" s="1550"/>
      <c r="L267" s="1550"/>
      <c r="M267" s="1551"/>
      <c r="N267" s="1544"/>
      <c r="O267" s="1544"/>
      <c r="P267" s="1544"/>
    </row>
    <row r="268" spans="2:16" s="7" customFormat="1" x14ac:dyDescent="0.2">
      <c r="B268" s="1549"/>
      <c r="C268" s="1550"/>
      <c r="D268" s="1550"/>
      <c r="E268" s="1551"/>
      <c r="F268" s="1550"/>
      <c r="G268" s="1551"/>
      <c r="H268" s="1550"/>
      <c r="I268" s="1550"/>
      <c r="J268" s="1551"/>
      <c r="K268" s="1550"/>
      <c r="L268" s="1550"/>
      <c r="M268" s="1551"/>
      <c r="N268" s="1544"/>
      <c r="O268" s="1544"/>
      <c r="P268" s="1544"/>
    </row>
    <row r="269" spans="2:16" s="7" customFormat="1" x14ac:dyDescent="0.2">
      <c r="B269" s="1549"/>
      <c r="C269" s="1550"/>
      <c r="D269" s="1550"/>
      <c r="E269" s="1551"/>
      <c r="F269" s="1550"/>
      <c r="G269" s="1551"/>
      <c r="H269" s="1550"/>
      <c r="I269" s="1550"/>
      <c r="J269" s="1551"/>
      <c r="K269" s="1550"/>
      <c r="L269" s="1550"/>
      <c r="M269" s="1551"/>
      <c r="N269" s="1544"/>
      <c r="O269" s="1544"/>
      <c r="P269" s="1544"/>
    </row>
    <row r="270" spans="2:16" s="7" customFormat="1" x14ac:dyDescent="0.2">
      <c r="B270" s="1549"/>
      <c r="C270" s="1550"/>
      <c r="D270" s="1550"/>
      <c r="E270" s="1551"/>
      <c r="F270" s="1550"/>
      <c r="G270" s="1551"/>
      <c r="H270" s="1550"/>
      <c r="I270" s="1550"/>
      <c r="J270" s="1551"/>
      <c r="K270" s="1550"/>
      <c r="L270" s="1550"/>
      <c r="M270" s="1551"/>
      <c r="N270" s="1544"/>
      <c r="O270" s="1544"/>
      <c r="P270" s="1544"/>
    </row>
    <row r="271" spans="2:16" s="7" customFormat="1" x14ac:dyDescent="0.2">
      <c r="B271" s="1549"/>
      <c r="C271" s="1550"/>
      <c r="D271" s="1550"/>
      <c r="E271" s="1551"/>
      <c r="F271" s="1550"/>
      <c r="G271" s="1551"/>
      <c r="H271" s="1550"/>
      <c r="I271" s="1550"/>
      <c r="J271" s="1551"/>
      <c r="K271" s="1550"/>
      <c r="L271" s="1550"/>
      <c r="M271" s="1551"/>
      <c r="N271" s="1544"/>
      <c r="O271" s="1544"/>
      <c r="P271" s="1544"/>
    </row>
    <row r="272" spans="2:16" s="7" customFormat="1" x14ac:dyDescent="0.2">
      <c r="B272" s="1549"/>
      <c r="C272" s="1550"/>
      <c r="D272" s="1550"/>
      <c r="E272" s="1551"/>
      <c r="F272" s="1550"/>
      <c r="G272" s="1551"/>
      <c r="H272" s="1550"/>
      <c r="I272" s="1550"/>
      <c r="J272" s="1551"/>
      <c r="K272" s="1550"/>
      <c r="L272" s="1550"/>
      <c r="M272" s="1551"/>
      <c r="N272" s="1544"/>
      <c r="O272" s="1544"/>
      <c r="P272" s="1544"/>
    </row>
    <row r="273" spans="1:17" x14ac:dyDescent="0.2">
      <c r="A273" s="7"/>
      <c r="B273" s="1549"/>
      <c r="C273" s="1550"/>
      <c r="D273" s="1550"/>
      <c r="E273" s="1551"/>
      <c r="F273" s="1550"/>
      <c r="G273" s="1551"/>
      <c r="H273" s="1550"/>
      <c r="I273" s="1550"/>
      <c r="J273" s="1551"/>
      <c r="K273" s="1550"/>
      <c r="L273" s="1550"/>
      <c r="M273" s="1551"/>
      <c r="N273" s="1544"/>
      <c r="O273" s="1544"/>
      <c r="P273" s="1544"/>
      <c r="Q273" s="7"/>
    </row>
    <row r="274" spans="1:17" x14ac:dyDescent="0.2">
      <c r="A274" s="7"/>
      <c r="B274" s="1549"/>
      <c r="C274" s="1550"/>
      <c r="D274" s="1550"/>
      <c r="E274" s="1551"/>
      <c r="F274" s="1550"/>
      <c r="G274" s="1551"/>
      <c r="H274" s="1550"/>
      <c r="I274" s="1550"/>
      <c r="J274" s="1551"/>
      <c r="K274" s="1550"/>
      <c r="L274" s="1550"/>
      <c r="M274" s="1551"/>
      <c r="N274" s="1544"/>
      <c r="O274" s="1544"/>
      <c r="P274" s="1544"/>
      <c r="Q274" s="7"/>
    </row>
    <row r="275" spans="1:17" x14ac:dyDescent="0.2">
      <c r="A275" s="7"/>
      <c r="B275" s="1549"/>
      <c r="C275" s="1550"/>
      <c r="D275" s="1550"/>
      <c r="E275" s="1551"/>
      <c r="F275" s="1550"/>
      <c r="G275" s="1551"/>
      <c r="H275" s="1550"/>
      <c r="I275" s="1550"/>
      <c r="J275" s="1551"/>
      <c r="K275" s="1550"/>
      <c r="L275" s="1550"/>
      <c r="M275" s="1551"/>
      <c r="N275" s="1544"/>
      <c r="O275" s="1544"/>
      <c r="P275" s="1544"/>
      <c r="Q275" s="7"/>
    </row>
    <row r="276" spans="1:17" x14ac:dyDescent="0.2">
      <c r="A276" s="7"/>
      <c r="B276" s="1549"/>
      <c r="C276" s="1550"/>
      <c r="D276" s="1550"/>
      <c r="E276" s="1551"/>
      <c r="F276" s="1550"/>
      <c r="G276" s="1551"/>
      <c r="H276" s="1550"/>
      <c r="I276" s="1550"/>
      <c r="J276" s="1551"/>
      <c r="K276" s="1550"/>
      <c r="L276" s="1550"/>
      <c r="M276" s="1551"/>
      <c r="N276" s="1544"/>
      <c r="O276" s="1544"/>
      <c r="P276" s="1544"/>
      <c r="Q276" s="7"/>
    </row>
    <row r="277" spans="1:17" x14ac:dyDescent="0.2">
      <c r="B277" s="1549"/>
      <c r="C277" s="1550"/>
      <c r="D277" s="1550"/>
      <c r="E277" s="1551"/>
      <c r="F277" s="1550"/>
      <c r="G277" s="1551"/>
      <c r="H277" s="1550"/>
      <c r="I277" s="1550"/>
      <c r="J277" s="1551"/>
      <c r="K277" s="1550"/>
      <c r="L277" s="1550"/>
      <c r="M277" s="1551"/>
      <c r="N277" s="1544"/>
      <c r="O277" s="1544"/>
      <c r="P277" s="1544"/>
    </row>
    <row r="278" spans="1:17" x14ac:dyDescent="0.2">
      <c r="B278" s="1549"/>
      <c r="C278" s="1550"/>
      <c r="D278" s="1550"/>
      <c r="E278" s="1551"/>
      <c r="F278" s="1550"/>
      <c r="G278" s="1551"/>
      <c r="H278" s="1550"/>
      <c r="I278" s="1550"/>
      <c r="J278" s="1551"/>
      <c r="K278" s="1550"/>
      <c r="L278" s="1550"/>
      <c r="M278" s="1551"/>
      <c r="N278" s="1544"/>
      <c r="O278" s="1544"/>
      <c r="P278" s="1544"/>
    </row>
    <row r="279" spans="1:17" x14ac:dyDescent="0.2">
      <c r="B279" s="1549"/>
      <c r="C279" s="1550"/>
      <c r="D279" s="1550"/>
      <c r="E279" s="1551"/>
      <c r="F279" s="1550"/>
      <c r="G279" s="1551"/>
      <c r="H279" s="1550"/>
      <c r="I279" s="1550"/>
      <c r="J279" s="1551"/>
      <c r="K279" s="1550"/>
      <c r="L279" s="1550"/>
      <c r="M279" s="1551"/>
      <c r="N279" s="1544"/>
      <c r="O279" s="1544"/>
      <c r="P279" s="1544"/>
    </row>
    <row r="280" spans="1:17" x14ac:dyDescent="0.2">
      <c r="B280" s="1549"/>
      <c r="C280" s="1550"/>
      <c r="D280" s="1550"/>
      <c r="E280" s="1551"/>
      <c r="F280" s="1550"/>
      <c r="G280" s="1551"/>
      <c r="H280" s="1550"/>
      <c r="I280" s="1550"/>
      <c r="J280" s="1551"/>
      <c r="K280" s="1550"/>
      <c r="L280" s="1550"/>
      <c r="M280" s="1551"/>
      <c r="N280" s="1544"/>
      <c r="O280" s="1544"/>
      <c r="P280" s="1544"/>
    </row>
    <row r="281" spans="1:17" x14ac:dyDescent="0.2">
      <c r="B281" s="1549"/>
      <c r="C281" s="1550"/>
      <c r="D281" s="1550"/>
      <c r="E281" s="1551"/>
      <c r="F281" s="1550"/>
      <c r="G281" s="1551"/>
      <c r="H281" s="1550"/>
      <c r="I281" s="1550"/>
      <c r="J281" s="1551"/>
      <c r="K281" s="1550"/>
      <c r="L281" s="1550"/>
      <c r="M281" s="1551"/>
      <c r="N281" s="1544"/>
      <c r="O281" s="1544"/>
      <c r="P281" s="1544"/>
    </row>
    <row r="282" spans="1:17" x14ac:dyDescent="0.2">
      <c r="B282" s="1549"/>
      <c r="C282" s="1550"/>
      <c r="D282" s="1550"/>
      <c r="E282" s="1551"/>
      <c r="F282" s="1550"/>
      <c r="G282" s="1551"/>
      <c r="H282" s="1550"/>
      <c r="I282" s="1550"/>
      <c r="J282" s="1551"/>
      <c r="K282" s="1550"/>
      <c r="L282" s="1550"/>
      <c r="M282" s="1551"/>
      <c r="N282" s="1544"/>
      <c r="O282" s="1544"/>
      <c r="P282" s="1544"/>
    </row>
    <row r="283" spans="1:17" x14ac:dyDescent="0.2">
      <c r="B283" s="1549"/>
      <c r="C283" s="1550"/>
      <c r="D283" s="1550"/>
      <c r="E283" s="1551"/>
      <c r="F283" s="1550"/>
      <c r="G283" s="1551"/>
      <c r="H283" s="1550"/>
      <c r="I283" s="1550"/>
      <c r="J283" s="1551"/>
      <c r="K283" s="1550"/>
      <c r="L283" s="1550"/>
      <c r="M283" s="1551"/>
      <c r="N283" s="1544"/>
      <c r="O283" s="1544"/>
      <c r="P283" s="1544"/>
    </row>
    <row r="284" spans="1:17" x14ac:dyDescent="0.2">
      <c r="B284" s="1549"/>
      <c r="C284" s="1550"/>
      <c r="D284" s="1550"/>
      <c r="E284" s="1551"/>
      <c r="F284" s="1550"/>
      <c r="G284" s="1551"/>
      <c r="H284" s="1550"/>
      <c r="I284" s="1550"/>
      <c r="J284" s="1551"/>
      <c r="K284" s="1550"/>
      <c r="L284" s="1550"/>
      <c r="M284" s="1551"/>
      <c r="N284" s="1544"/>
      <c r="O284" s="1544"/>
      <c r="P284" s="1544"/>
    </row>
    <row r="285" spans="1:17" x14ac:dyDescent="0.2">
      <c r="B285" s="1549"/>
      <c r="C285" s="1550"/>
      <c r="D285" s="1550"/>
      <c r="E285" s="1551"/>
      <c r="F285" s="1550"/>
      <c r="G285" s="1551"/>
      <c r="H285" s="1550"/>
      <c r="I285" s="1550"/>
      <c r="J285" s="1551"/>
      <c r="K285" s="1550"/>
      <c r="L285" s="1550"/>
      <c r="M285" s="1551"/>
      <c r="N285" s="1544"/>
      <c r="O285" s="1544"/>
      <c r="P285" s="1544"/>
    </row>
    <row r="286" spans="1:17" x14ac:dyDescent="0.2">
      <c r="B286" s="1549"/>
      <c r="C286" s="1550"/>
      <c r="D286" s="1550"/>
      <c r="E286" s="1551"/>
      <c r="F286" s="1550"/>
      <c r="G286" s="1551"/>
      <c r="H286" s="1550"/>
      <c r="I286" s="1550"/>
      <c r="J286" s="1551"/>
      <c r="K286" s="1550"/>
      <c r="L286" s="1550"/>
      <c r="M286" s="1551"/>
      <c r="N286" s="1544"/>
      <c r="O286" s="1544"/>
      <c r="P286" s="1544"/>
    </row>
    <row r="287" spans="1:17" x14ac:dyDescent="0.2">
      <c r="B287" s="1549"/>
      <c r="C287" s="1550"/>
      <c r="D287" s="1550"/>
      <c r="E287" s="1551"/>
      <c r="F287" s="1550"/>
      <c r="G287" s="1551"/>
      <c r="H287" s="1550"/>
      <c r="I287" s="1550"/>
      <c r="J287" s="1551"/>
      <c r="K287" s="1550"/>
      <c r="L287" s="1550"/>
      <c r="M287" s="1551"/>
      <c r="N287" s="1544"/>
      <c r="O287" s="1544"/>
      <c r="P287" s="1544"/>
    </row>
    <row r="288" spans="1:17" x14ac:dyDescent="0.2">
      <c r="B288" s="1549"/>
      <c r="C288" s="1550"/>
      <c r="D288" s="1550"/>
      <c r="E288" s="1551"/>
      <c r="F288" s="1550"/>
      <c r="G288" s="1551"/>
      <c r="H288" s="1550"/>
      <c r="I288" s="1550"/>
      <c r="J288" s="1551"/>
      <c r="K288" s="1550"/>
      <c r="L288" s="1550"/>
      <c r="M288" s="1551"/>
      <c r="N288" s="1544"/>
      <c r="O288" s="1544"/>
      <c r="P288" s="1544"/>
    </row>
    <row r="289" spans="2:16" x14ac:dyDescent="0.2">
      <c r="B289" s="1549"/>
      <c r="C289" s="1550"/>
      <c r="D289" s="1550"/>
      <c r="E289" s="1551"/>
      <c r="F289" s="1550"/>
      <c r="G289" s="1551"/>
      <c r="H289" s="1550"/>
      <c r="I289" s="1550"/>
      <c r="J289" s="1551"/>
      <c r="K289" s="1550"/>
      <c r="L289" s="1550"/>
      <c r="M289" s="1551"/>
      <c r="N289" s="1544"/>
      <c r="O289" s="1544"/>
      <c r="P289" s="1544"/>
    </row>
    <row r="290" spans="2:16" x14ac:dyDescent="0.2">
      <c r="B290" s="1549"/>
      <c r="C290" s="1550"/>
      <c r="D290" s="1550"/>
      <c r="E290" s="1551"/>
      <c r="F290" s="1550"/>
      <c r="G290" s="1551"/>
      <c r="H290" s="1550"/>
      <c r="I290" s="1550"/>
      <c r="J290" s="1551"/>
      <c r="K290" s="1550"/>
      <c r="L290" s="1550"/>
      <c r="M290" s="1551"/>
      <c r="N290" s="1544"/>
      <c r="O290" s="1544"/>
      <c r="P290" s="1544"/>
    </row>
    <row r="291" spans="2:16" x14ac:dyDescent="0.2">
      <c r="B291" s="1549"/>
      <c r="C291" s="1550"/>
      <c r="D291" s="1550"/>
      <c r="E291" s="1551"/>
      <c r="F291" s="1550"/>
      <c r="G291" s="1551"/>
      <c r="H291" s="1550"/>
      <c r="I291" s="1550"/>
      <c r="J291" s="1551"/>
      <c r="K291" s="1550"/>
      <c r="L291" s="1550"/>
      <c r="M291" s="1551"/>
      <c r="N291" s="1544"/>
      <c r="O291" s="1544"/>
      <c r="P291" s="1544"/>
    </row>
    <row r="292" spans="2:16" x14ac:dyDescent="0.2">
      <c r="B292" s="1549"/>
      <c r="C292" s="1550"/>
      <c r="D292" s="1550"/>
      <c r="E292" s="1551"/>
      <c r="F292" s="1550"/>
      <c r="G292" s="1551"/>
      <c r="H292" s="1550"/>
      <c r="I292" s="1550"/>
      <c r="J292" s="1551"/>
      <c r="K292" s="1550"/>
      <c r="L292" s="1550"/>
      <c r="M292" s="1551"/>
      <c r="N292" s="1544"/>
      <c r="O292" s="1544"/>
      <c r="P292" s="1544"/>
    </row>
    <row r="293" spans="2:16" x14ac:dyDescent="0.2">
      <c r="B293" s="1549"/>
      <c r="C293" s="1550"/>
      <c r="D293" s="1550"/>
      <c r="E293" s="1551"/>
      <c r="F293" s="1550"/>
      <c r="G293" s="1551"/>
      <c r="H293" s="1550"/>
      <c r="I293" s="1550"/>
      <c r="J293" s="1551"/>
      <c r="K293" s="1550"/>
      <c r="L293" s="1550"/>
      <c r="M293" s="1551"/>
      <c r="N293" s="1544"/>
      <c r="O293" s="1544"/>
      <c r="P293" s="1544"/>
    </row>
    <row r="294" spans="2:16" x14ac:dyDescent="0.2">
      <c r="B294" s="1549"/>
      <c r="C294" s="1550"/>
      <c r="D294" s="1550"/>
      <c r="E294" s="1551"/>
      <c r="F294" s="1550"/>
      <c r="G294" s="1551"/>
      <c r="H294" s="1550"/>
      <c r="I294" s="1550"/>
      <c r="J294" s="1551"/>
      <c r="K294" s="1550"/>
      <c r="L294" s="1550"/>
      <c r="M294" s="1551"/>
      <c r="N294" s="1544"/>
      <c r="O294" s="1544"/>
      <c r="P294" s="1544"/>
    </row>
    <row r="295" spans="2:16" x14ac:dyDescent="0.2">
      <c r="B295" s="1549"/>
      <c r="C295" s="1550"/>
      <c r="D295" s="1550"/>
      <c r="E295" s="1551"/>
      <c r="F295" s="1550"/>
      <c r="G295" s="1551"/>
      <c r="H295" s="1550"/>
      <c r="I295" s="1550"/>
      <c r="J295" s="1551"/>
      <c r="K295" s="1550"/>
      <c r="L295" s="1550"/>
      <c r="M295" s="1551"/>
      <c r="N295" s="1544"/>
      <c r="O295" s="1544"/>
      <c r="P295" s="1544"/>
    </row>
    <row r="296" spans="2:16" x14ac:dyDescent="0.2">
      <c r="B296" s="1549"/>
      <c r="C296" s="1550"/>
      <c r="D296" s="1550"/>
      <c r="E296" s="1551"/>
      <c r="F296" s="1550"/>
      <c r="G296" s="1551"/>
      <c r="H296" s="1550"/>
      <c r="I296" s="1550"/>
      <c r="J296" s="1551"/>
      <c r="K296" s="1550"/>
      <c r="L296" s="1550"/>
      <c r="M296" s="1551"/>
      <c r="N296" s="1544"/>
      <c r="O296" s="1544"/>
      <c r="P296" s="1544"/>
    </row>
    <row r="297" spans="2:16" x14ac:dyDescent="0.2">
      <c r="B297" s="1549"/>
      <c r="C297" s="1550"/>
      <c r="D297" s="1550"/>
      <c r="E297" s="1551"/>
      <c r="F297" s="1550"/>
      <c r="G297" s="1551"/>
      <c r="H297" s="1550"/>
      <c r="I297" s="1550"/>
      <c r="J297" s="1551"/>
      <c r="K297" s="1550"/>
      <c r="L297" s="1550"/>
      <c r="M297" s="1551"/>
      <c r="N297" s="1544"/>
      <c r="O297" s="1544"/>
      <c r="P297" s="1544"/>
    </row>
    <row r="298" spans="2:16" x14ac:dyDescent="0.2">
      <c r="B298" s="1549"/>
      <c r="C298" s="1550"/>
      <c r="D298" s="1550"/>
      <c r="E298" s="1551"/>
      <c r="F298" s="1550"/>
      <c r="G298" s="1551"/>
      <c r="H298" s="1550"/>
      <c r="I298" s="1550"/>
      <c r="J298" s="1551"/>
      <c r="K298" s="1550"/>
      <c r="L298" s="1550"/>
      <c r="M298" s="1551"/>
      <c r="N298" s="1544"/>
      <c r="O298" s="1544"/>
      <c r="P298" s="1544"/>
    </row>
    <row r="299" spans="2:16" x14ac:dyDescent="0.2">
      <c r="B299" s="1549"/>
      <c r="C299" s="1550"/>
      <c r="D299" s="1550"/>
      <c r="E299" s="1551"/>
      <c r="F299" s="1550"/>
      <c r="G299" s="1551"/>
      <c r="H299" s="1550"/>
      <c r="I299" s="1550"/>
      <c r="J299" s="1551"/>
      <c r="K299" s="1550"/>
      <c r="L299" s="1550"/>
      <c r="M299" s="1551"/>
      <c r="N299" s="1544"/>
      <c r="O299" s="1544"/>
      <c r="P299" s="1544"/>
    </row>
    <row r="300" spans="2:16" x14ac:dyDescent="0.2">
      <c r="B300" s="1549"/>
      <c r="C300" s="1550"/>
      <c r="D300" s="1550"/>
      <c r="E300" s="1551"/>
      <c r="F300" s="1550"/>
      <c r="G300" s="1551"/>
      <c r="H300" s="1550"/>
      <c r="I300" s="1550"/>
      <c r="J300" s="1551"/>
      <c r="K300" s="1550"/>
      <c r="L300" s="1550"/>
      <c r="M300" s="1551"/>
      <c r="N300" s="1544"/>
      <c r="O300" s="1544"/>
      <c r="P300" s="1544"/>
    </row>
    <row r="301" spans="2:16" x14ac:dyDescent="0.2">
      <c r="B301" s="1549"/>
      <c r="C301" s="1550"/>
      <c r="D301" s="1550"/>
      <c r="E301" s="1551"/>
      <c r="F301" s="1550"/>
      <c r="G301" s="1551"/>
      <c r="H301" s="1550"/>
      <c r="I301" s="1550"/>
      <c r="J301" s="1551"/>
      <c r="K301" s="1550"/>
      <c r="L301" s="1550"/>
      <c r="M301" s="1551"/>
      <c r="N301" s="1544"/>
      <c r="O301" s="1544"/>
      <c r="P301" s="1544"/>
    </row>
    <row r="302" spans="2:16" x14ac:dyDescent="0.2">
      <c r="B302" s="1549"/>
      <c r="C302" s="1550"/>
      <c r="D302" s="1550"/>
      <c r="E302" s="1551"/>
      <c r="F302" s="1550"/>
      <c r="G302" s="1551"/>
      <c r="H302" s="1550"/>
      <c r="I302" s="1550"/>
      <c r="J302" s="1551"/>
      <c r="K302" s="1550"/>
      <c r="L302" s="1550"/>
      <c r="M302" s="1551"/>
      <c r="N302" s="1544"/>
      <c r="O302" s="1544"/>
      <c r="P302" s="1544"/>
    </row>
    <row r="303" spans="2:16" x14ac:dyDescent="0.2">
      <c r="B303" s="1549"/>
      <c r="C303" s="1550"/>
      <c r="D303" s="1550"/>
      <c r="E303" s="1551"/>
      <c r="F303" s="1550"/>
      <c r="G303" s="1551"/>
      <c r="H303" s="1550"/>
      <c r="I303" s="1550"/>
      <c r="J303" s="1551"/>
      <c r="K303" s="1550"/>
      <c r="L303" s="1550"/>
      <c r="M303" s="1551"/>
      <c r="N303" s="1544"/>
      <c r="O303" s="1544"/>
      <c r="P303" s="1544"/>
    </row>
    <row r="304" spans="2:16" x14ac:dyDescent="0.2">
      <c r="B304" s="1549"/>
      <c r="C304" s="1550"/>
      <c r="D304" s="1550"/>
      <c r="E304" s="1551"/>
      <c r="F304" s="1550"/>
      <c r="G304" s="1551"/>
      <c r="H304" s="1550"/>
      <c r="I304" s="1550"/>
      <c r="J304" s="1551"/>
      <c r="K304" s="1550"/>
      <c r="L304" s="1550"/>
      <c r="M304" s="1551"/>
      <c r="N304" s="1544"/>
      <c r="O304" s="1544"/>
      <c r="P304" s="1544"/>
    </row>
    <row r="305" spans="2:16" x14ac:dyDescent="0.2">
      <c r="B305" s="1549"/>
      <c r="C305" s="1550"/>
      <c r="D305" s="1550"/>
      <c r="E305" s="1551"/>
      <c r="F305" s="1550"/>
      <c r="G305" s="1551"/>
      <c r="H305" s="1550"/>
      <c r="I305" s="1550"/>
      <c r="J305" s="1551"/>
      <c r="K305" s="1550"/>
      <c r="L305" s="1550"/>
      <c r="M305" s="1551"/>
      <c r="N305" s="1544"/>
      <c r="O305" s="1544"/>
      <c r="P305" s="1544"/>
    </row>
    <row r="306" spans="2:16" x14ac:dyDescent="0.2">
      <c r="B306" s="1549"/>
      <c r="C306" s="1550"/>
      <c r="D306" s="1550"/>
      <c r="E306" s="1551"/>
      <c r="F306" s="1550"/>
      <c r="G306" s="1551"/>
      <c r="H306" s="1550"/>
      <c r="I306" s="1550"/>
      <c r="J306" s="1551"/>
      <c r="K306" s="1550"/>
      <c r="L306" s="1550"/>
      <c r="M306" s="1551"/>
      <c r="N306" s="1544"/>
      <c r="O306" s="1544"/>
      <c r="P306" s="1544"/>
    </row>
    <row r="307" spans="2:16" x14ac:dyDescent="0.2">
      <c r="B307" s="1549"/>
      <c r="C307" s="1550"/>
      <c r="D307" s="1550"/>
      <c r="E307" s="1551"/>
      <c r="F307" s="1550"/>
      <c r="G307" s="1551"/>
      <c r="H307" s="1550"/>
      <c r="I307" s="1550"/>
      <c r="J307" s="1551"/>
      <c r="K307" s="1550"/>
      <c r="L307" s="1550"/>
      <c r="M307" s="1551"/>
      <c r="N307" s="1544"/>
      <c r="O307" s="1544"/>
      <c r="P307" s="1544"/>
    </row>
    <row r="308" spans="2:16" x14ac:dyDescent="0.2">
      <c r="B308" s="1549"/>
      <c r="C308" s="1550"/>
      <c r="D308" s="1550"/>
      <c r="E308" s="1551"/>
      <c r="F308" s="1550"/>
      <c r="G308" s="1551"/>
      <c r="H308" s="1550"/>
      <c r="I308" s="1550"/>
      <c r="J308" s="1551"/>
      <c r="K308" s="1550"/>
      <c r="L308" s="1550"/>
      <c r="M308" s="1551"/>
      <c r="N308" s="1544"/>
      <c r="O308" s="1544"/>
      <c r="P308" s="1544"/>
    </row>
    <row r="309" spans="2:16" x14ac:dyDescent="0.2">
      <c r="B309" s="1549"/>
      <c r="C309" s="1550"/>
      <c r="D309" s="1550"/>
      <c r="E309" s="1551"/>
      <c r="F309" s="1550"/>
      <c r="G309" s="1551"/>
      <c r="H309" s="1550"/>
      <c r="I309" s="1550"/>
      <c r="J309" s="1551"/>
      <c r="K309" s="1550"/>
      <c r="L309" s="1550"/>
      <c r="M309" s="1551"/>
      <c r="N309" s="1544"/>
      <c r="O309" s="1544"/>
      <c r="P309" s="1544"/>
    </row>
    <row r="310" spans="2:16" x14ac:dyDescent="0.2">
      <c r="B310" s="1549"/>
      <c r="C310" s="1550"/>
      <c r="D310" s="1550"/>
      <c r="E310" s="1551"/>
      <c r="F310" s="1550"/>
      <c r="G310" s="1551"/>
      <c r="H310" s="1550"/>
      <c r="I310" s="1550"/>
      <c r="J310" s="1551"/>
      <c r="K310" s="1550"/>
      <c r="L310" s="1550"/>
      <c r="M310" s="1551"/>
      <c r="N310" s="1544"/>
      <c r="O310" s="1544"/>
      <c r="P310" s="1544"/>
    </row>
    <row r="311" spans="2:16" x14ac:dyDescent="0.2">
      <c r="B311" s="1549"/>
      <c r="C311" s="1550"/>
      <c r="D311" s="1550"/>
      <c r="E311" s="1551"/>
      <c r="F311" s="1550"/>
      <c r="G311" s="1551"/>
      <c r="H311" s="1550"/>
      <c r="I311" s="1550"/>
      <c r="J311" s="1551"/>
      <c r="K311" s="1550"/>
      <c r="L311" s="1550"/>
      <c r="M311" s="1551"/>
      <c r="N311" s="1544"/>
      <c r="O311" s="1544"/>
      <c r="P311" s="1544"/>
    </row>
    <row r="312" spans="2:16" x14ac:dyDescent="0.2">
      <c r="B312" s="1549"/>
      <c r="C312" s="1550"/>
      <c r="D312" s="1550"/>
      <c r="E312" s="1551"/>
      <c r="F312" s="1550"/>
      <c r="G312" s="1551"/>
      <c r="H312" s="1550"/>
      <c r="I312" s="1550"/>
      <c r="J312" s="1551"/>
      <c r="K312" s="1550"/>
      <c r="L312" s="1550"/>
      <c r="M312" s="1551"/>
      <c r="N312" s="1544"/>
      <c r="O312" s="1544"/>
      <c r="P312" s="1544"/>
    </row>
    <row r="313" spans="2:16" x14ac:dyDescent="0.2">
      <c r="B313" s="1549"/>
      <c r="C313" s="1550"/>
      <c r="D313" s="1550"/>
      <c r="E313" s="1551"/>
      <c r="F313" s="1550"/>
      <c r="G313" s="1551"/>
      <c r="H313" s="1550"/>
      <c r="I313" s="1550"/>
      <c r="J313" s="1551"/>
      <c r="K313" s="1550"/>
      <c r="L313" s="1550"/>
      <c r="M313" s="1551"/>
      <c r="N313" s="1544"/>
      <c r="O313" s="1544"/>
      <c r="P313" s="1544"/>
    </row>
    <row r="314" spans="2:16" x14ac:dyDescent="0.2">
      <c r="B314" s="1549"/>
      <c r="C314" s="1550"/>
      <c r="D314" s="1550"/>
      <c r="E314" s="1551"/>
      <c r="F314" s="1550"/>
      <c r="G314" s="1551"/>
      <c r="H314" s="1550"/>
      <c r="I314" s="1550"/>
      <c r="J314" s="1551"/>
      <c r="K314" s="1550"/>
      <c r="L314" s="1550"/>
      <c r="M314" s="1551"/>
      <c r="N314" s="1544"/>
      <c r="O314" s="1544"/>
      <c r="P314" s="1544"/>
    </row>
    <row r="315" spans="2:16" x14ac:dyDescent="0.2">
      <c r="B315" s="1549"/>
      <c r="C315" s="1550"/>
      <c r="D315" s="1550"/>
      <c r="E315" s="1551"/>
      <c r="F315" s="1550"/>
      <c r="G315" s="1551"/>
      <c r="H315" s="1550"/>
      <c r="I315" s="1550"/>
      <c r="J315" s="1551"/>
      <c r="K315" s="1550"/>
      <c r="L315" s="1550"/>
      <c r="M315" s="1551"/>
      <c r="N315" s="1544"/>
      <c r="O315" s="1544"/>
      <c r="P315" s="1544"/>
    </row>
    <row r="316" spans="2:16" x14ac:dyDescent="0.2">
      <c r="B316" s="1549"/>
      <c r="C316" s="1550"/>
      <c r="D316" s="1550"/>
      <c r="E316" s="1551"/>
      <c r="F316" s="1550"/>
      <c r="G316" s="1551"/>
      <c r="H316" s="1550"/>
      <c r="I316" s="1550"/>
      <c r="J316" s="1551"/>
      <c r="K316" s="1550"/>
      <c r="L316" s="1550"/>
      <c r="M316" s="1551"/>
      <c r="N316" s="1544"/>
      <c r="O316" s="1544"/>
      <c r="P316" s="1544"/>
    </row>
    <row r="317" spans="2:16" x14ac:dyDescent="0.2">
      <c r="B317" s="1549"/>
      <c r="C317" s="1550"/>
      <c r="D317" s="1550"/>
      <c r="E317" s="1551"/>
      <c r="F317" s="1550"/>
      <c r="G317" s="1551"/>
      <c r="H317" s="1550"/>
      <c r="I317" s="1550"/>
      <c r="J317" s="1551"/>
      <c r="K317" s="1550"/>
      <c r="L317" s="1550"/>
      <c r="M317" s="1551"/>
      <c r="N317" s="1544"/>
      <c r="O317" s="1544"/>
      <c r="P317" s="1544"/>
    </row>
    <row r="318" spans="2:16" x14ac:dyDescent="0.2">
      <c r="B318" s="1549"/>
      <c r="C318" s="1550"/>
      <c r="D318" s="1550"/>
      <c r="E318" s="1551"/>
      <c r="F318" s="1550"/>
      <c r="G318" s="1551"/>
      <c r="H318" s="1550"/>
      <c r="I318" s="1550"/>
      <c r="J318" s="1551"/>
      <c r="K318" s="1550"/>
      <c r="L318" s="1550"/>
      <c r="M318" s="1551"/>
      <c r="N318" s="1544"/>
      <c r="O318" s="1544"/>
      <c r="P318" s="1544"/>
    </row>
    <row r="319" spans="2:16" x14ac:dyDescent="0.2">
      <c r="B319" s="1549"/>
      <c r="C319" s="1550"/>
      <c r="D319" s="1550"/>
      <c r="E319" s="1551"/>
      <c r="F319" s="1550"/>
      <c r="G319" s="1551"/>
      <c r="H319" s="1550"/>
      <c r="I319" s="1550"/>
      <c r="J319" s="1551"/>
      <c r="K319" s="1550"/>
      <c r="L319" s="1550"/>
      <c r="M319" s="1551"/>
      <c r="N319" s="1544"/>
      <c r="O319" s="1544"/>
      <c r="P319" s="1544"/>
    </row>
    <row r="320" spans="2:16" x14ac:dyDescent="0.2">
      <c r="B320" s="1549"/>
      <c r="C320" s="1550"/>
      <c r="D320" s="1550"/>
      <c r="E320" s="1551"/>
      <c r="F320" s="1550"/>
      <c r="G320" s="1551"/>
      <c r="H320" s="1550"/>
      <c r="I320" s="1550"/>
      <c r="J320" s="1551"/>
      <c r="K320" s="1550"/>
      <c r="L320" s="1550"/>
      <c r="M320" s="1551"/>
      <c r="N320" s="1544"/>
      <c r="O320" s="1544"/>
      <c r="P320" s="1544"/>
    </row>
    <row r="321" spans="2:16" x14ac:dyDescent="0.2">
      <c r="B321" s="1549"/>
      <c r="C321" s="1550"/>
      <c r="D321" s="1550"/>
      <c r="E321" s="1551"/>
      <c r="F321" s="1550"/>
      <c r="G321" s="1551"/>
      <c r="H321" s="1550"/>
      <c r="I321" s="1550"/>
      <c r="J321" s="1551"/>
      <c r="K321" s="1550"/>
      <c r="L321" s="1550"/>
      <c r="M321" s="1551"/>
      <c r="N321" s="1544"/>
      <c r="O321" s="1544"/>
      <c r="P321" s="1544"/>
    </row>
    <row r="322" spans="2:16" x14ac:dyDescent="0.2">
      <c r="B322" s="1549"/>
      <c r="C322" s="1550"/>
      <c r="D322" s="1550"/>
      <c r="E322" s="1551"/>
      <c r="F322" s="1550"/>
      <c r="G322" s="1551"/>
      <c r="H322" s="1550"/>
      <c r="I322" s="1550"/>
      <c r="J322" s="1551"/>
      <c r="K322" s="1550"/>
      <c r="L322" s="1550"/>
      <c r="M322" s="1551"/>
      <c r="N322" s="1544"/>
      <c r="O322" s="1544"/>
      <c r="P322" s="1544"/>
    </row>
    <row r="323" spans="2:16" x14ac:dyDescent="0.2">
      <c r="B323" s="1549"/>
      <c r="C323" s="1550"/>
      <c r="D323" s="1550"/>
      <c r="E323" s="1551"/>
      <c r="F323" s="1550"/>
      <c r="G323" s="1551"/>
      <c r="H323" s="1550"/>
      <c r="I323" s="1550"/>
      <c r="J323" s="1551"/>
      <c r="K323" s="1550"/>
      <c r="L323" s="1550"/>
      <c r="M323" s="1551"/>
      <c r="N323" s="1544"/>
      <c r="O323" s="1544"/>
      <c r="P323" s="1544"/>
    </row>
    <row r="324" spans="2:16" x14ac:dyDescent="0.2">
      <c r="B324" s="1549"/>
      <c r="C324" s="1550"/>
      <c r="D324" s="1550"/>
      <c r="E324" s="1551"/>
      <c r="F324" s="1550"/>
      <c r="G324" s="1551"/>
      <c r="H324" s="1550"/>
      <c r="I324" s="1550"/>
      <c r="J324" s="1551"/>
      <c r="K324" s="1550"/>
      <c r="L324" s="1550"/>
      <c r="M324" s="1551"/>
      <c r="N324" s="1544"/>
      <c r="O324" s="1544"/>
      <c r="P324" s="1544"/>
    </row>
    <row r="325" spans="2:16" x14ac:dyDescent="0.2">
      <c r="B325" s="1549"/>
      <c r="C325" s="1550"/>
      <c r="D325" s="1550"/>
      <c r="E325" s="1551"/>
      <c r="F325" s="1550"/>
      <c r="G325" s="1551"/>
      <c r="H325" s="1550"/>
      <c r="I325" s="1550"/>
      <c r="J325" s="1551"/>
      <c r="K325" s="1550"/>
      <c r="L325" s="1550"/>
      <c r="M325" s="1551"/>
      <c r="N325" s="1544"/>
      <c r="O325" s="1544"/>
      <c r="P325" s="1544"/>
    </row>
    <row r="326" spans="2:16" x14ac:dyDescent="0.2">
      <c r="B326" s="1549"/>
      <c r="C326" s="1550"/>
      <c r="D326" s="1550"/>
      <c r="E326" s="1551"/>
      <c r="F326" s="1550"/>
      <c r="G326" s="1551"/>
      <c r="H326" s="1550"/>
      <c r="I326" s="1550"/>
      <c r="J326" s="1551"/>
      <c r="K326" s="1550"/>
      <c r="L326" s="1550"/>
      <c r="M326" s="1551"/>
      <c r="N326" s="1544"/>
      <c r="O326" s="1544"/>
      <c r="P326" s="1544"/>
    </row>
    <row r="327" spans="2:16" x14ac:dyDescent="0.2">
      <c r="B327" s="1549"/>
      <c r="C327" s="1550"/>
      <c r="D327" s="1550"/>
      <c r="E327" s="1551"/>
      <c r="F327" s="1550"/>
      <c r="G327" s="1551"/>
      <c r="H327" s="1550"/>
      <c r="I327" s="1550"/>
      <c r="J327" s="1551"/>
      <c r="K327" s="1550"/>
      <c r="L327" s="1550"/>
      <c r="M327" s="1551"/>
      <c r="N327" s="1544"/>
      <c r="O327" s="1544"/>
      <c r="P327" s="1544"/>
    </row>
    <row r="328" spans="2:16" x14ac:dyDescent="0.2">
      <c r="B328" s="1549"/>
      <c r="C328" s="1550"/>
      <c r="D328" s="1550"/>
      <c r="E328" s="1551"/>
      <c r="F328" s="1550"/>
      <c r="G328" s="1551"/>
      <c r="H328" s="1550"/>
      <c r="I328" s="1550"/>
      <c r="J328" s="1551"/>
      <c r="K328" s="1550"/>
      <c r="L328" s="1550"/>
      <c r="M328" s="1551"/>
      <c r="N328" s="1544"/>
      <c r="O328" s="1544"/>
      <c r="P328" s="1544"/>
    </row>
    <row r="329" spans="2:16" x14ac:dyDescent="0.2">
      <c r="B329" s="1549"/>
      <c r="C329" s="1550"/>
      <c r="D329" s="1550"/>
      <c r="E329" s="1551"/>
      <c r="F329" s="1550"/>
      <c r="G329" s="1551"/>
      <c r="H329" s="1550"/>
      <c r="I329" s="1550"/>
      <c r="J329" s="1551"/>
      <c r="K329" s="1550"/>
      <c r="L329" s="1550"/>
      <c r="M329" s="1551"/>
      <c r="N329" s="1544"/>
      <c r="O329" s="1544"/>
      <c r="P329" s="1544"/>
    </row>
    <row r="330" spans="2:16" x14ac:dyDescent="0.2">
      <c r="B330" s="1549"/>
      <c r="C330" s="1550"/>
      <c r="D330" s="1550"/>
      <c r="E330" s="1551"/>
      <c r="F330" s="1550"/>
      <c r="G330" s="1551"/>
      <c r="H330" s="1550"/>
      <c r="I330" s="1550"/>
      <c r="J330" s="1551"/>
      <c r="K330" s="1550"/>
      <c r="L330" s="1550"/>
      <c r="M330" s="1551"/>
      <c r="N330" s="1544"/>
      <c r="O330" s="1544"/>
      <c r="P330" s="1544"/>
    </row>
    <row r="331" spans="2:16" x14ac:dyDescent="0.2">
      <c r="B331" s="1549"/>
      <c r="C331" s="1550"/>
      <c r="D331" s="1550"/>
      <c r="E331" s="1551"/>
      <c r="F331" s="1550"/>
      <c r="G331" s="1551"/>
      <c r="H331" s="1550"/>
      <c r="I331" s="1550"/>
      <c r="J331" s="1551"/>
      <c r="K331" s="1550"/>
      <c r="L331" s="1550"/>
      <c r="M331" s="1551"/>
      <c r="N331" s="1544"/>
      <c r="O331" s="1544"/>
      <c r="P331" s="1544"/>
    </row>
    <row r="332" spans="2:16" x14ac:dyDescent="0.2">
      <c r="B332" s="1549"/>
      <c r="C332" s="1550"/>
      <c r="D332" s="1550"/>
      <c r="E332" s="1551"/>
      <c r="F332" s="1550"/>
      <c r="G332" s="1551"/>
      <c r="H332" s="1550"/>
      <c r="I332" s="1550"/>
      <c r="J332" s="1551"/>
      <c r="K332" s="1550"/>
      <c r="L332" s="1550"/>
      <c r="M332" s="1551"/>
      <c r="N332" s="1544"/>
      <c r="O332" s="1544"/>
      <c r="P332" s="1544"/>
    </row>
    <row r="333" spans="2:16" x14ac:dyDescent="0.2">
      <c r="B333" s="1549"/>
      <c r="C333" s="1550"/>
      <c r="D333" s="1550"/>
      <c r="E333" s="1551"/>
      <c r="F333" s="1550"/>
      <c r="G333" s="1551"/>
      <c r="H333" s="1550"/>
      <c r="I333" s="1550"/>
      <c r="J333" s="1551"/>
      <c r="K333" s="1550"/>
      <c r="L333" s="1550"/>
      <c r="M333" s="1551"/>
      <c r="N333" s="1544"/>
      <c r="O333" s="1544"/>
      <c r="P333" s="1544"/>
    </row>
    <row r="334" spans="2:16" x14ac:dyDescent="0.2">
      <c r="B334" s="1549"/>
      <c r="C334" s="1550"/>
      <c r="D334" s="1550"/>
      <c r="E334" s="1551"/>
      <c r="F334" s="1550"/>
      <c r="G334" s="1551"/>
      <c r="H334" s="1550"/>
      <c r="I334" s="1550"/>
      <c r="J334" s="1551"/>
      <c r="K334" s="1550"/>
      <c r="L334" s="1550"/>
      <c r="M334" s="1551"/>
      <c r="N334" s="1544"/>
      <c r="O334" s="1544"/>
      <c r="P334" s="1544"/>
    </row>
    <row r="335" spans="2:16" x14ac:dyDescent="0.2">
      <c r="B335" s="1549"/>
      <c r="C335" s="1550"/>
      <c r="D335" s="1550"/>
      <c r="E335" s="1551"/>
      <c r="F335" s="1550"/>
      <c r="G335" s="1551"/>
      <c r="H335" s="1550"/>
      <c r="I335" s="1550"/>
      <c r="J335" s="1551"/>
      <c r="K335" s="1550"/>
      <c r="L335" s="1550"/>
      <c r="M335" s="1551"/>
      <c r="N335" s="1544"/>
      <c r="O335" s="1544"/>
      <c r="P335" s="1544"/>
    </row>
    <row r="336" spans="2:16" x14ac:dyDescent="0.2">
      <c r="B336" s="1549"/>
      <c r="C336" s="1550"/>
      <c r="D336" s="1550"/>
      <c r="E336" s="1551"/>
      <c r="F336" s="1550"/>
      <c r="G336" s="1551"/>
      <c r="H336" s="1550"/>
      <c r="I336" s="1550"/>
      <c r="J336" s="1551"/>
      <c r="K336" s="1550"/>
      <c r="L336" s="1550"/>
      <c r="M336" s="1551"/>
      <c r="N336" s="1544"/>
      <c r="O336" s="1544"/>
      <c r="P336" s="1544"/>
    </row>
    <row r="337" spans="2:16" x14ac:dyDescent="0.2">
      <c r="B337" s="1549"/>
      <c r="C337" s="1550"/>
      <c r="D337" s="1550"/>
      <c r="E337" s="1551"/>
      <c r="F337" s="1550"/>
      <c r="G337" s="1551"/>
      <c r="H337" s="1550"/>
      <c r="I337" s="1550"/>
      <c r="J337" s="1551"/>
      <c r="K337" s="1550"/>
      <c r="L337" s="1550"/>
      <c r="M337" s="1551"/>
      <c r="N337" s="1544"/>
      <c r="O337" s="1544"/>
      <c r="P337" s="1544"/>
    </row>
  </sheetData>
  <sheetProtection sheet="1" objects="1" scenarios="1" formatColumns="0" formatRows="0" selectLockedCells="1"/>
  <sortState xmlns:xlrd2="http://schemas.microsoft.com/office/spreadsheetml/2017/richdata2" ref="B5:B60">
    <sortCondition ref="B5"/>
  </sortState>
  <dataConsolidate/>
  <customSheetViews>
    <customSheetView guid="{13F24B0A-7740-483A-BEF7-5257F8522605}" showGridLines="0" fitToPage="1" state="hidden">
      <pane ySplit="4" topLeftCell="A5" activePane="bottomLeft" state="frozen"/>
      <selection pane="bottomLeft" activeCell="A277" sqref="A277"/>
      <pageMargins left="0.78740157480314965" right="0.78740157480314965" top="0.98425196850393704" bottom="0.98425196850393704" header="0.51181102362204722" footer="0.51181102362204722"/>
      <printOptions horizontalCentered="1"/>
      <pageSetup paperSize="9" scale="86" fitToHeight="20" orientation="portrait" r:id="rId1"/>
      <headerFooter alignWithMargins="0">
        <oddHeader>&amp;L&amp;14_x000D_Sept. 1st, 2018&amp;C&amp;18FISTF World Cup 2018 - Gibraltar - Individuals Competition&amp;R&amp;14_x000D_&amp;A</oddHeader>
        <oddFooter>&amp;L&amp;8 Produced by GMFT 6.3.2&amp;R&amp;14&amp;P / &amp;N</oddFooter>
      </headerFooter>
    </customSheetView>
  </customSheetViews>
  <mergeCells count="1">
    <mergeCell ref="B1:P1"/>
  </mergeCells>
  <conditionalFormatting sqref="C4:P4">
    <cfRule type="expression" dxfId="9" priority="1" stopIfTrue="1">
      <formula>ISNA(C4)</formula>
    </cfRule>
  </conditionalFormatting>
  <printOptions horizontalCentered="1"/>
  <pageMargins left="0.78740157480314965" right="0.78740157480314965" top="0.98425196850393704" bottom="0.98425196850393704" header="0.51181102362204722" footer="0.51181102362204722"/>
  <pageSetup paperSize="9" fitToHeight="20" orientation="portrait" r:id="rId2"/>
  <headerFooter alignWithMargins="0">
    <oddHeader>&amp;L&amp;14_x000D_&lt;Event Date(s)&gt;&amp;C&amp;18&lt;FEDERATION&gt; &lt;Event Name&gt;&lt;YYYY&gt; - &lt;Location&gt; - &lt;Individuals/Teams&gt; Competition&amp;R&amp;14_x000D_&amp;A</oddHeader>
    <oddFooter>&amp;L&amp;8 Produced by GMFT 14&amp;R&amp;14&amp;P / &amp;N</oddFooter>
  </headerFooter>
  <ignoredErrors>
    <ignoredError sqref="O4:P4" evalError="1"/>
  </ignoredErrors>
  <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t_Stats">
    <tabColor rgb="FFFFC000"/>
    <pageSetUpPr fitToPage="1"/>
  </sheetPr>
  <dimension ref="A1:L337"/>
  <sheetViews>
    <sheetView showGridLines="0" workbookViewId="0">
      <pane ySplit="4" topLeftCell="A5" activePane="bottomLeft" state="frozen"/>
      <selection activeCell="N33" sqref="N33"/>
      <selection pane="bottomLeft" activeCell="L290" sqref="L290"/>
    </sheetView>
  </sheetViews>
  <sheetFormatPr baseColWidth="10" defaultColWidth="2.5703125" defaultRowHeight="12.75" x14ac:dyDescent="0.2"/>
  <cols>
    <col min="1" max="1" width="3.140625" style="1397" customWidth="1"/>
    <col min="2" max="2" width="29.28515625" style="1397" bestFit="1" customWidth="1"/>
    <col min="3" max="3" width="10.7109375" style="1397" bestFit="1" customWidth="1"/>
    <col min="4" max="4" width="11.140625" style="1397" customWidth="1"/>
    <col min="5" max="5" width="9.42578125" style="1397" customWidth="1"/>
    <col min="6" max="6" width="10" style="1397" customWidth="1"/>
    <col min="7" max="7" width="11.28515625" style="1397" bestFit="1" customWidth="1"/>
    <col min="8" max="8" width="8" style="1397" customWidth="1"/>
    <col min="9" max="9" width="9" style="1397" customWidth="1"/>
    <col min="10" max="10" width="8" style="1397" customWidth="1"/>
    <col min="11" max="11" width="9.5703125" style="1397" customWidth="1"/>
    <col min="12" max="12" width="2.42578125" style="1397" customWidth="1"/>
    <col min="13" max="16384" width="2.5703125" style="7"/>
  </cols>
  <sheetData>
    <row r="1" spans="1:12" ht="36" thickBot="1" x14ac:dyDescent="0.55000000000000004">
      <c r="A1" s="1852"/>
      <c r="B1" s="2512" t="str">
        <f>N_PlayerStatistics</f>
        <v>Statistiques des joueurs</v>
      </c>
      <c r="C1" s="2512"/>
      <c r="D1" s="2512"/>
      <c r="E1" s="2512"/>
      <c r="F1" s="2512"/>
      <c r="G1" s="2512"/>
      <c r="H1" s="2512"/>
      <c r="I1" s="2512"/>
      <c r="J1" s="2512"/>
      <c r="K1" s="2512"/>
      <c r="L1" s="7"/>
    </row>
    <row r="2" spans="1:12" ht="24.75" thickBot="1" x14ac:dyDescent="0.25">
      <c r="A2" s="7"/>
      <c r="B2" s="900" t="str">
        <f>N_PlayerStatisticsDescription</f>
        <v>Cette feuille présente les statistiques des joueurs sur l'ensemble de la compétition. 
Elle permet d'établir, notamment, le classement du plus grand nombre de buts marqués sur une épreuve.</v>
      </c>
      <c r="C2" s="901"/>
      <c r="D2" s="901"/>
      <c r="E2" s="901"/>
      <c r="F2" s="901"/>
      <c r="G2" s="901"/>
      <c r="H2" s="901"/>
      <c r="I2" s="901"/>
      <c r="J2" s="901"/>
      <c r="K2" s="902"/>
      <c r="L2" s="7"/>
    </row>
    <row r="3" spans="1:12" ht="13.5" thickBot="1" x14ac:dyDescent="0.25">
      <c r="A3" s="7"/>
      <c r="B3" s="906" t="str">
        <f>N_Epreuve</f>
        <v>Epreuve</v>
      </c>
      <c r="C3" s="2516"/>
      <c r="D3" s="2517"/>
      <c r="E3" s="2518"/>
      <c r="F3" s="903" t="str">
        <f>N_Let_Empty_for_all</f>
        <v>Laisser vide pour toutes les épreuves</v>
      </c>
      <c r="G3" s="903"/>
      <c r="H3" s="903"/>
      <c r="I3" s="898"/>
      <c r="J3" s="898"/>
      <c r="K3" s="899"/>
      <c r="L3" s="7"/>
    </row>
    <row r="4" spans="1:12" ht="39" thickBot="1" x14ac:dyDescent="0.25">
      <c r="A4" s="1887">
        <f>COUNTA(RefereeList_NameFirstname)</f>
        <v>56</v>
      </c>
      <c r="B4" s="1462" t="str">
        <f>N_Joueurs</f>
        <v>Joueurs</v>
      </c>
      <c r="C4" s="1463" t="str">
        <f>N_Category</f>
        <v>Catégorie</v>
      </c>
      <c r="D4" s="1464" t="str">
        <f>N_Nb_Matches</f>
        <v>Matches joués</v>
      </c>
      <c r="E4" s="1465" t="str">
        <f>N_Nb_Goals</f>
        <v>Total Buts</v>
      </c>
      <c r="F4" s="1466" t="str">
        <f>N_Average_Goals</f>
        <v>Moyenne
Buts</v>
      </c>
      <c r="G4" s="1465" t="str">
        <f>N_GoalsConceded</f>
        <v>Buts contre</v>
      </c>
      <c r="H4" s="1466" t="str">
        <f>N_Average_Goals</f>
        <v>Moyenne
Buts</v>
      </c>
      <c r="I4" s="1463" t="str">
        <f>N_Wins</f>
        <v>Total Victoires</v>
      </c>
      <c r="J4" s="1463" t="str">
        <f>N_Loses</f>
        <v>Total Défaites</v>
      </c>
      <c r="K4" s="1467" t="str">
        <f>N_Draws</f>
        <v>Total Nuls</v>
      </c>
      <c r="L4" s="7"/>
    </row>
    <row r="5" spans="1:12" x14ac:dyDescent="0.2">
      <c r="A5" s="1887"/>
      <c r="B5" s="438" t="s">
        <v>18224</v>
      </c>
      <c r="C5" s="904" t="s">
        <v>5299</v>
      </c>
      <c r="D5" s="439">
        <v>0</v>
      </c>
      <c r="E5" s="907">
        <v>0</v>
      </c>
      <c r="F5" s="908"/>
      <c r="G5" s="907">
        <v>0</v>
      </c>
      <c r="H5" s="908"/>
      <c r="I5" s="439">
        <v>0</v>
      </c>
      <c r="J5" s="439">
        <v>0</v>
      </c>
      <c r="K5" s="904">
        <v>0</v>
      </c>
      <c r="L5" s="7"/>
    </row>
    <row r="6" spans="1:12" x14ac:dyDescent="0.2">
      <c r="A6" s="1887"/>
      <c r="B6" s="444" t="s">
        <v>18228</v>
      </c>
      <c r="C6" s="905" t="s">
        <v>5299</v>
      </c>
      <c r="D6" s="445">
        <v>0</v>
      </c>
      <c r="E6" s="909">
        <v>0</v>
      </c>
      <c r="F6" s="910"/>
      <c r="G6" s="909">
        <v>0</v>
      </c>
      <c r="H6" s="910"/>
      <c r="I6" s="445">
        <v>0</v>
      </c>
      <c r="J6" s="445">
        <v>0</v>
      </c>
      <c r="K6" s="905">
        <v>0</v>
      </c>
      <c r="L6" s="7"/>
    </row>
    <row r="7" spans="1:12" x14ac:dyDescent="0.2">
      <c r="A7" s="1887"/>
      <c r="B7" s="444" t="s">
        <v>18231</v>
      </c>
      <c r="C7" s="905" t="s">
        <v>5300</v>
      </c>
      <c r="D7" s="445">
        <v>0</v>
      </c>
      <c r="E7" s="909">
        <v>0</v>
      </c>
      <c r="F7" s="910"/>
      <c r="G7" s="909">
        <v>0</v>
      </c>
      <c r="H7" s="910"/>
      <c r="I7" s="445">
        <v>0</v>
      </c>
      <c r="J7" s="445">
        <v>0</v>
      </c>
      <c r="K7" s="905">
        <v>0</v>
      </c>
      <c r="L7" s="7"/>
    </row>
    <row r="8" spans="1:12" x14ac:dyDescent="0.2">
      <c r="A8" s="1887"/>
      <c r="B8" s="444" t="s">
        <v>18234</v>
      </c>
      <c r="C8" s="905" t="s">
        <v>5300</v>
      </c>
      <c r="D8" s="445">
        <v>0</v>
      </c>
      <c r="E8" s="909">
        <v>0</v>
      </c>
      <c r="F8" s="910"/>
      <c r="G8" s="909">
        <v>0</v>
      </c>
      <c r="H8" s="910"/>
      <c r="I8" s="445">
        <v>0</v>
      </c>
      <c r="J8" s="445">
        <v>0</v>
      </c>
      <c r="K8" s="905">
        <v>0</v>
      </c>
      <c r="L8" s="7"/>
    </row>
    <row r="9" spans="1:12" x14ac:dyDescent="0.2">
      <c r="A9" s="1887"/>
      <c r="B9" s="444" t="s">
        <v>18237</v>
      </c>
      <c r="C9" s="905" t="s">
        <v>5299</v>
      </c>
      <c r="D9" s="445">
        <v>0</v>
      </c>
      <c r="E9" s="909">
        <v>0</v>
      </c>
      <c r="F9" s="910"/>
      <c r="G9" s="909">
        <v>0</v>
      </c>
      <c r="H9" s="910"/>
      <c r="I9" s="445">
        <v>0</v>
      </c>
      <c r="J9" s="445">
        <v>0</v>
      </c>
      <c r="K9" s="905">
        <v>0</v>
      </c>
      <c r="L9" s="7"/>
    </row>
    <row r="10" spans="1:12" x14ac:dyDescent="0.2">
      <c r="A10" s="1887"/>
      <c r="B10" s="444" t="s">
        <v>18240</v>
      </c>
      <c r="C10" s="905" t="s">
        <v>5300</v>
      </c>
      <c r="D10" s="445">
        <v>0</v>
      </c>
      <c r="E10" s="909">
        <v>0</v>
      </c>
      <c r="F10" s="910"/>
      <c r="G10" s="909">
        <v>0</v>
      </c>
      <c r="H10" s="910"/>
      <c r="I10" s="445">
        <v>0</v>
      </c>
      <c r="J10" s="445">
        <v>0</v>
      </c>
      <c r="K10" s="905">
        <v>0</v>
      </c>
      <c r="L10" s="7"/>
    </row>
    <row r="11" spans="1:12" x14ac:dyDescent="0.2">
      <c r="A11" s="1887"/>
      <c r="B11" s="444" t="s">
        <v>18243</v>
      </c>
      <c r="C11" s="905" t="s">
        <v>5299</v>
      </c>
      <c r="D11" s="445">
        <v>0</v>
      </c>
      <c r="E11" s="909">
        <v>0</v>
      </c>
      <c r="F11" s="910"/>
      <c r="G11" s="909">
        <v>0</v>
      </c>
      <c r="H11" s="910"/>
      <c r="I11" s="445">
        <v>0</v>
      </c>
      <c r="J11" s="445">
        <v>0</v>
      </c>
      <c r="K11" s="905">
        <v>0</v>
      </c>
      <c r="L11" s="7"/>
    </row>
    <row r="12" spans="1:12" x14ac:dyDescent="0.2">
      <c r="A12" s="1887"/>
      <c r="B12" s="444" t="s">
        <v>18246</v>
      </c>
      <c r="C12" s="905" t="s">
        <v>5299</v>
      </c>
      <c r="D12" s="445">
        <v>0</v>
      </c>
      <c r="E12" s="909">
        <v>0</v>
      </c>
      <c r="F12" s="910"/>
      <c r="G12" s="909">
        <v>0</v>
      </c>
      <c r="H12" s="910"/>
      <c r="I12" s="445">
        <v>0</v>
      </c>
      <c r="J12" s="445">
        <v>0</v>
      </c>
      <c r="K12" s="905">
        <v>0</v>
      </c>
      <c r="L12" s="7"/>
    </row>
    <row r="13" spans="1:12" x14ac:dyDescent="0.2">
      <c r="A13" s="1887"/>
      <c r="B13" s="444" t="s">
        <v>18249</v>
      </c>
      <c r="C13" s="905" t="s">
        <v>5300</v>
      </c>
      <c r="D13" s="445">
        <v>0</v>
      </c>
      <c r="E13" s="909">
        <v>0</v>
      </c>
      <c r="F13" s="910"/>
      <c r="G13" s="909">
        <v>0</v>
      </c>
      <c r="H13" s="910"/>
      <c r="I13" s="445">
        <v>0</v>
      </c>
      <c r="J13" s="445">
        <v>0</v>
      </c>
      <c r="K13" s="905">
        <v>0</v>
      </c>
      <c r="L13" s="7"/>
    </row>
    <row r="14" spans="1:12" x14ac:dyDescent="0.2">
      <c r="A14" s="1887"/>
      <c r="B14" s="444" t="s">
        <v>18252</v>
      </c>
      <c r="C14" s="905" t="s">
        <v>5300</v>
      </c>
      <c r="D14" s="445">
        <v>0</v>
      </c>
      <c r="E14" s="909">
        <v>0</v>
      </c>
      <c r="F14" s="910"/>
      <c r="G14" s="909">
        <v>0</v>
      </c>
      <c r="H14" s="910"/>
      <c r="I14" s="445">
        <v>0</v>
      </c>
      <c r="J14" s="445">
        <v>0</v>
      </c>
      <c r="K14" s="905">
        <v>0</v>
      </c>
      <c r="L14" s="7"/>
    </row>
    <row r="15" spans="1:12" x14ac:dyDescent="0.2">
      <c r="A15" s="1887"/>
      <c r="B15" s="444" t="s">
        <v>18255</v>
      </c>
      <c r="C15" s="905" t="s">
        <v>5299</v>
      </c>
      <c r="D15" s="445">
        <v>0</v>
      </c>
      <c r="E15" s="909">
        <v>0</v>
      </c>
      <c r="F15" s="910"/>
      <c r="G15" s="909">
        <v>0</v>
      </c>
      <c r="H15" s="910"/>
      <c r="I15" s="445">
        <v>0</v>
      </c>
      <c r="J15" s="445">
        <v>0</v>
      </c>
      <c r="K15" s="905">
        <v>0</v>
      </c>
      <c r="L15" s="7"/>
    </row>
    <row r="16" spans="1:12" x14ac:dyDescent="0.2">
      <c r="A16" s="1887"/>
      <c r="B16" s="444" t="s">
        <v>18258</v>
      </c>
      <c r="C16" s="905" t="s">
        <v>5299</v>
      </c>
      <c r="D16" s="445">
        <v>0</v>
      </c>
      <c r="E16" s="909">
        <v>0</v>
      </c>
      <c r="F16" s="910"/>
      <c r="G16" s="909">
        <v>0</v>
      </c>
      <c r="H16" s="910"/>
      <c r="I16" s="445">
        <v>0</v>
      </c>
      <c r="J16" s="445">
        <v>0</v>
      </c>
      <c r="K16" s="905">
        <v>0</v>
      </c>
      <c r="L16" s="7"/>
    </row>
    <row r="17" spans="1:12" x14ac:dyDescent="0.2">
      <c r="A17" s="1887"/>
      <c r="B17" s="444" t="s">
        <v>18261</v>
      </c>
      <c r="C17" s="905" t="s">
        <v>5300</v>
      </c>
      <c r="D17" s="445">
        <v>0</v>
      </c>
      <c r="E17" s="909">
        <v>0</v>
      </c>
      <c r="F17" s="910"/>
      <c r="G17" s="909">
        <v>0</v>
      </c>
      <c r="H17" s="910"/>
      <c r="I17" s="445">
        <v>0</v>
      </c>
      <c r="J17" s="445">
        <v>0</v>
      </c>
      <c r="K17" s="905">
        <v>0</v>
      </c>
      <c r="L17" s="7"/>
    </row>
    <row r="18" spans="1:12" x14ac:dyDescent="0.2">
      <c r="A18" s="1887"/>
      <c r="B18" s="444" t="s">
        <v>18264</v>
      </c>
      <c r="C18" s="905" t="s">
        <v>5299</v>
      </c>
      <c r="D18" s="445">
        <v>0</v>
      </c>
      <c r="E18" s="909">
        <v>0</v>
      </c>
      <c r="F18" s="910"/>
      <c r="G18" s="909">
        <v>0</v>
      </c>
      <c r="H18" s="910"/>
      <c r="I18" s="445">
        <v>0</v>
      </c>
      <c r="J18" s="445">
        <v>0</v>
      </c>
      <c r="K18" s="905">
        <v>0</v>
      </c>
      <c r="L18" s="7"/>
    </row>
    <row r="19" spans="1:12" x14ac:dyDescent="0.2">
      <c r="A19" s="1887"/>
      <c r="B19" s="444" t="s">
        <v>18267</v>
      </c>
      <c r="C19" s="905" t="s">
        <v>13210</v>
      </c>
      <c r="D19" s="445">
        <v>0</v>
      </c>
      <c r="E19" s="909">
        <v>0</v>
      </c>
      <c r="F19" s="910"/>
      <c r="G19" s="909">
        <v>0</v>
      </c>
      <c r="H19" s="910"/>
      <c r="I19" s="445">
        <v>0</v>
      </c>
      <c r="J19" s="445">
        <v>0</v>
      </c>
      <c r="K19" s="905">
        <v>0</v>
      </c>
      <c r="L19" s="7"/>
    </row>
    <row r="20" spans="1:12" x14ac:dyDescent="0.2">
      <c r="A20" s="1887"/>
      <c r="B20" s="444" t="s">
        <v>18270</v>
      </c>
      <c r="C20" s="905" t="s">
        <v>5299</v>
      </c>
      <c r="D20" s="445">
        <v>0</v>
      </c>
      <c r="E20" s="909">
        <v>0</v>
      </c>
      <c r="F20" s="910"/>
      <c r="G20" s="909">
        <v>0</v>
      </c>
      <c r="H20" s="910"/>
      <c r="I20" s="445">
        <v>0</v>
      </c>
      <c r="J20" s="445">
        <v>0</v>
      </c>
      <c r="K20" s="905">
        <v>0</v>
      </c>
      <c r="L20" s="7"/>
    </row>
    <row r="21" spans="1:12" x14ac:dyDescent="0.2">
      <c r="A21" s="1887"/>
      <c r="B21" s="444" t="s">
        <v>18273</v>
      </c>
      <c r="C21" s="905" t="s">
        <v>5299</v>
      </c>
      <c r="D21" s="445">
        <v>0</v>
      </c>
      <c r="E21" s="909">
        <v>0</v>
      </c>
      <c r="F21" s="910"/>
      <c r="G21" s="909">
        <v>0</v>
      </c>
      <c r="H21" s="910"/>
      <c r="I21" s="445">
        <v>0</v>
      </c>
      <c r="J21" s="445">
        <v>0</v>
      </c>
      <c r="K21" s="905">
        <v>0</v>
      </c>
      <c r="L21" s="7"/>
    </row>
    <row r="22" spans="1:12" x14ac:dyDescent="0.2">
      <c r="A22" s="1887"/>
      <c r="B22" s="444" t="s">
        <v>18275</v>
      </c>
      <c r="C22" s="905" t="s">
        <v>5299</v>
      </c>
      <c r="D22" s="445">
        <v>0</v>
      </c>
      <c r="E22" s="909">
        <v>0</v>
      </c>
      <c r="F22" s="910"/>
      <c r="G22" s="909">
        <v>0</v>
      </c>
      <c r="H22" s="910"/>
      <c r="I22" s="445">
        <v>0</v>
      </c>
      <c r="J22" s="445">
        <v>0</v>
      </c>
      <c r="K22" s="905">
        <v>0</v>
      </c>
      <c r="L22" s="7"/>
    </row>
    <row r="23" spans="1:12" x14ac:dyDescent="0.2">
      <c r="A23" s="1887"/>
      <c r="B23" s="444" t="s">
        <v>18278</v>
      </c>
      <c r="C23" s="905" t="s">
        <v>5299</v>
      </c>
      <c r="D23" s="445">
        <v>0</v>
      </c>
      <c r="E23" s="909">
        <v>0</v>
      </c>
      <c r="F23" s="910"/>
      <c r="G23" s="909">
        <v>0</v>
      </c>
      <c r="H23" s="910"/>
      <c r="I23" s="445">
        <v>0</v>
      </c>
      <c r="J23" s="445">
        <v>0</v>
      </c>
      <c r="K23" s="905">
        <v>0</v>
      </c>
      <c r="L23" s="7"/>
    </row>
    <row r="24" spans="1:12" x14ac:dyDescent="0.2">
      <c r="A24" s="1887"/>
      <c r="B24" s="444" t="s">
        <v>18281</v>
      </c>
      <c r="C24" s="905" t="s">
        <v>5300</v>
      </c>
      <c r="D24" s="445">
        <v>0</v>
      </c>
      <c r="E24" s="909">
        <v>0</v>
      </c>
      <c r="F24" s="910"/>
      <c r="G24" s="909">
        <v>0</v>
      </c>
      <c r="H24" s="910"/>
      <c r="I24" s="445">
        <v>0</v>
      </c>
      <c r="J24" s="445">
        <v>0</v>
      </c>
      <c r="K24" s="905">
        <v>0</v>
      </c>
      <c r="L24" s="7"/>
    </row>
    <row r="25" spans="1:12" x14ac:dyDescent="0.2">
      <c r="A25" s="1887"/>
      <c r="B25" s="444" t="s">
        <v>18284</v>
      </c>
      <c r="C25" s="905" t="s">
        <v>5299</v>
      </c>
      <c r="D25" s="445">
        <v>0</v>
      </c>
      <c r="E25" s="909">
        <v>0</v>
      </c>
      <c r="F25" s="910"/>
      <c r="G25" s="909">
        <v>0</v>
      </c>
      <c r="H25" s="910"/>
      <c r="I25" s="445">
        <v>0</v>
      </c>
      <c r="J25" s="445">
        <v>0</v>
      </c>
      <c r="K25" s="905">
        <v>0</v>
      </c>
      <c r="L25" s="7"/>
    </row>
    <row r="26" spans="1:12" x14ac:dyDescent="0.2">
      <c r="A26" s="1887"/>
      <c r="B26" s="444" t="s">
        <v>18287</v>
      </c>
      <c r="C26" s="905" t="s">
        <v>5299</v>
      </c>
      <c r="D26" s="445">
        <v>0</v>
      </c>
      <c r="E26" s="909">
        <v>0</v>
      </c>
      <c r="F26" s="910"/>
      <c r="G26" s="909">
        <v>0</v>
      </c>
      <c r="H26" s="910"/>
      <c r="I26" s="445">
        <v>0</v>
      </c>
      <c r="J26" s="445">
        <v>0</v>
      </c>
      <c r="K26" s="905">
        <v>0</v>
      </c>
      <c r="L26" s="7"/>
    </row>
    <row r="27" spans="1:12" x14ac:dyDescent="0.2">
      <c r="A27" s="1887"/>
      <c r="B27" s="444" t="s">
        <v>18290</v>
      </c>
      <c r="C27" s="905" t="s">
        <v>5300</v>
      </c>
      <c r="D27" s="445">
        <v>0</v>
      </c>
      <c r="E27" s="909">
        <v>0</v>
      </c>
      <c r="F27" s="910"/>
      <c r="G27" s="909">
        <v>0</v>
      </c>
      <c r="H27" s="910"/>
      <c r="I27" s="445">
        <v>0</v>
      </c>
      <c r="J27" s="445">
        <v>0</v>
      </c>
      <c r="K27" s="905">
        <v>0</v>
      </c>
      <c r="L27" s="7"/>
    </row>
    <row r="28" spans="1:12" x14ac:dyDescent="0.2">
      <c r="A28" s="1887"/>
      <c r="B28" s="444" t="s">
        <v>18293</v>
      </c>
      <c r="C28" s="905" t="s">
        <v>5300</v>
      </c>
      <c r="D28" s="445">
        <v>0</v>
      </c>
      <c r="E28" s="909">
        <v>0</v>
      </c>
      <c r="F28" s="910"/>
      <c r="G28" s="909">
        <v>0</v>
      </c>
      <c r="H28" s="910"/>
      <c r="I28" s="445">
        <v>0</v>
      </c>
      <c r="J28" s="445">
        <v>0</v>
      </c>
      <c r="K28" s="905">
        <v>0</v>
      </c>
      <c r="L28" s="7"/>
    </row>
    <row r="29" spans="1:12" x14ac:dyDescent="0.2">
      <c r="A29" s="1887"/>
      <c r="B29" s="444" t="s">
        <v>18296</v>
      </c>
      <c r="C29" s="905" t="s">
        <v>5300</v>
      </c>
      <c r="D29" s="445">
        <v>0</v>
      </c>
      <c r="E29" s="909">
        <v>0</v>
      </c>
      <c r="F29" s="910"/>
      <c r="G29" s="909">
        <v>0</v>
      </c>
      <c r="H29" s="910"/>
      <c r="I29" s="445">
        <v>0</v>
      </c>
      <c r="J29" s="445">
        <v>0</v>
      </c>
      <c r="K29" s="905">
        <v>0</v>
      </c>
      <c r="L29" s="7"/>
    </row>
    <row r="30" spans="1:12" x14ac:dyDescent="0.2">
      <c r="A30" s="1887"/>
      <c r="B30" s="444" t="s">
        <v>18299</v>
      </c>
      <c r="C30" s="905" t="s">
        <v>5299</v>
      </c>
      <c r="D30" s="445">
        <v>0</v>
      </c>
      <c r="E30" s="909">
        <v>0</v>
      </c>
      <c r="F30" s="910"/>
      <c r="G30" s="909">
        <v>0</v>
      </c>
      <c r="H30" s="910"/>
      <c r="I30" s="445">
        <v>0</v>
      </c>
      <c r="J30" s="445">
        <v>0</v>
      </c>
      <c r="K30" s="905">
        <v>0</v>
      </c>
      <c r="L30" s="7"/>
    </row>
    <row r="31" spans="1:12" x14ac:dyDescent="0.2">
      <c r="A31" s="1887"/>
      <c r="B31" s="444" t="s">
        <v>18302</v>
      </c>
      <c r="C31" s="905" t="s">
        <v>5300</v>
      </c>
      <c r="D31" s="445">
        <v>0</v>
      </c>
      <c r="E31" s="909">
        <v>0</v>
      </c>
      <c r="F31" s="910"/>
      <c r="G31" s="909">
        <v>0</v>
      </c>
      <c r="H31" s="910"/>
      <c r="I31" s="445">
        <v>0</v>
      </c>
      <c r="J31" s="445">
        <v>0</v>
      </c>
      <c r="K31" s="905">
        <v>0</v>
      </c>
      <c r="L31" s="7"/>
    </row>
    <row r="32" spans="1:12" x14ac:dyDescent="0.2">
      <c r="A32" s="1887"/>
      <c r="B32" s="444" t="s">
        <v>18305</v>
      </c>
      <c r="C32" s="905" t="s">
        <v>5300</v>
      </c>
      <c r="D32" s="445">
        <v>0</v>
      </c>
      <c r="E32" s="909">
        <v>0</v>
      </c>
      <c r="F32" s="910"/>
      <c r="G32" s="909">
        <v>0</v>
      </c>
      <c r="H32" s="910"/>
      <c r="I32" s="445">
        <v>0</v>
      </c>
      <c r="J32" s="445">
        <v>0</v>
      </c>
      <c r="K32" s="905">
        <v>0</v>
      </c>
      <c r="L32" s="7"/>
    </row>
    <row r="33" spans="1:12" x14ac:dyDescent="0.2">
      <c r="A33" s="1887"/>
      <c r="B33" s="444" t="s">
        <v>18308</v>
      </c>
      <c r="C33" s="905" t="s">
        <v>5299</v>
      </c>
      <c r="D33" s="445">
        <v>0</v>
      </c>
      <c r="E33" s="909">
        <v>0</v>
      </c>
      <c r="F33" s="910"/>
      <c r="G33" s="909">
        <v>0</v>
      </c>
      <c r="H33" s="910"/>
      <c r="I33" s="445">
        <v>0</v>
      </c>
      <c r="J33" s="445">
        <v>0</v>
      </c>
      <c r="K33" s="905">
        <v>0</v>
      </c>
      <c r="L33" s="7"/>
    </row>
    <row r="34" spans="1:12" x14ac:dyDescent="0.2">
      <c r="A34" s="1887"/>
      <c r="B34" s="444" t="s">
        <v>18311</v>
      </c>
      <c r="C34" s="905" t="s">
        <v>5300</v>
      </c>
      <c r="D34" s="445">
        <v>0</v>
      </c>
      <c r="E34" s="909">
        <v>0</v>
      </c>
      <c r="F34" s="910"/>
      <c r="G34" s="909">
        <v>0</v>
      </c>
      <c r="H34" s="910"/>
      <c r="I34" s="445">
        <v>0</v>
      </c>
      <c r="J34" s="445">
        <v>0</v>
      </c>
      <c r="K34" s="905">
        <v>0</v>
      </c>
      <c r="L34" s="7"/>
    </row>
    <row r="35" spans="1:12" x14ac:dyDescent="0.2">
      <c r="A35" s="1887"/>
      <c r="B35" s="444" t="s">
        <v>18314</v>
      </c>
      <c r="C35" s="905" t="s">
        <v>5300</v>
      </c>
      <c r="D35" s="445">
        <v>0</v>
      </c>
      <c r="E35" s="909">
        <v>0</v>
      </c>
      <c r="F35" s="910"/>
      <c r="G35" s="909">
        <v>0</v>
      </c>
      <c r="H35" s="910"/>
      <c r="I35" s="445">
        <v>0</v>
      </c>
      <c r="J35" s="445">
        <v>0</v>
      </c>
      <c r="K35" s="905">
        <v>0</v>
      </c>
      <c r="L35" s="7"/>
    </row>
    <row r="36" spans="1:12" x14ac:dyDescent="0.2">
      <c r="A36" s="1887"/>
      <c r="B36" s="444" t="s">
        <v>18318</v>
      </c>
      <c r="C36" s="905" t="s">
        <v>5300</v>
      </c>
      <c r="D36" s="445">
        <v>0</v>
      </c>
      <c r="E36" s="909">
        <v>0</v>
      </c>
      <c r="F36" s="910"/>
      <c r="G36" s="909">
        <v>0</v>
      </c>
      <c r="H36" s="910"/>
      <c r="I36" s="445">
        <v>0</v>
      </c>
      <c r="J36" s="445">
        <v>0</v>
      </c>
      <c r="K36" s="905">
        <v>0</v>
      </c>
      <c r="L36" s="7"/>
    </row>
    <row r="37" spans="1:12" x14ac:dyDescent="0.2">
      <c r="A37" s="1887"/>
      <c r="B37" s="444" t="s">
        <v>18320</v>
      </c>
      <c r="C37" s="905" t="s">
        <v>5299</v>
      </c>
      <c r="D37" s="445">
        <v>0</v>
      </c>
      <c r="E37" s="909">
        <v>0</v>
      </c>
      <c r="F37" s="910"/>
      <c r="G37" s="909">
        <v>0</v>
      </c>
      <c r="H37" s="910"/>
      <c r="I37" s="445">
        <v>0</v>
      </c>
      <c r="J37" s="445">
        <v>0</v>
      </c>
      <c r="K37" s="905">
        <v>0</v>
      </c>
      <c r="L37" s="7"/>
    </row>
    <row r="38" spans="1:12" x14ac:dyDescent="0.2">
      <c r="A38" s="1887"/>
      <c r="B38" s="444" t="s">
        <v>18323</v>
      </c>
      <c r="C38" s="905" t="s">
        <v>5300</v>
      </c>
      <c r="D38" s="445">
        <v>0</v>
      </c>
      <c r="E38" s="909">
        <v>0</v>
      </c>
      <c r="F38" s="910"/>
      <c r="G38" s="909">
        <v>0</v>
      </c>
      <c r="H38" s="910"/>
      <c r="I38" s="445">
        <v>0</v>
      </c>
      <c r="J38" s="445">
        <v>0</v>
      </c>
      <c r="K38" s="905">
        <v>0</v>
      </c>
      <c r="L38" s="7"/>
    </row>
    <row r="39" spans="1:12" x14ac:dyDescent="0.2">
      <c r="A39" s="1887"/>
      <c r="B39" s="444" t="s">
        <v>18326</v>
      </c>
      <c r="C39" s="905" t="s">
        <v>5300</v>
      </c>
      <c r="D39" s="445">
        <v>0</v>
      </c>
      <c r="E39" s="909">
        <v>0</v>
      </c>
      <c r="F39" s="910"/>
      <c r="G39" s="909">
        <v>0</v>
      </c>
      <c r="H39" s="910"/>
      <c r="I39" s="445">
        <v>0</v>
      </c>
      <c r="J39" s="445">
        <v>0</v>
      </c>
      <c r="K39" s="905">
        <v>0</v>
      </c>
      <c r="L39" s="7"/>
    </row>
    <row r="40" spans="1:12" x14ac:dyDescent="0.2">
      <c r="A40" s="1887"/>
      <c r="B40" s="444" t="s">
        <v>18329</v>
      </c>
      <c r="C40" s="905" t="s">
        <v>5300</v>
      </c>
      <c r="D40" s="445">
        <v>0</v>
      </c>
      <c r="E40" s="909">
        <v>0</v>
      </c>
      <c r="F40" s="910"/>
      <c r="G40" s="909">
        <v>0</v>
      </c>
      <c r="H40" s="910"/>
      <c r="I40" s="445">
        <v>0</v>
      </c>
      <c r="J40" s="445">
        <v>0</v>
      </c>
      <c r="K40" s="905">
        <v>0</v>
      </c>
      <c r="L40" s="7"/>
    </row>
    <row r="41" spans="1:12" x14ac:dyDescent="0.2">
      <c r="A41" s="1887"/>
      <c r="B41" s="444" t="s">
        <v>18332</v>
      </c>
      <c r="C41" s="905" t="s">
        <v>13210</v>
      </c>
      <c r="D41" s="445">
        <v>0</v>
      </c>
      <c r="E41" s="909">
        <v>0</v>
      </c>
      <c r="F41" s="910"/>
      <c r="G41" s="909">
        <v>0</v>
      </c>
      <c r="H41" s="910"/>
      <c r="I41" s="445">
        <v>0</v>
      </c>
      <c r="J41" s="445">
        <v>0</v>
      </c>
      <c r="K41" s="905">
        <v>0</v>
      </c>
      <c r="L41" s="7"/>
    </row>
    <row r="42" spans="1:12" x14ac:dyDescent="0.2">
      <c r="A42" s="1887"/>
      <c r="B42" s="444" t="s">
        <v>18335</v>
      </c>
      <c r="C42" s="905" t="s">
        <v>5299</v>
      </c>
      <c r="D42" s="445">
        <v>0</v>
      </c>
      <c r="E42" s="909">
        <v>0</v>
      </c>
      <c r="F42" s="910"/>
      <c r="G42" s="909">
        <v>0</v>
      </c>
      <c r="H42" s="910"/>
      <c r="I42" s="445">
        <v>0</v>
      </c>
      <c r="J42" s="445">
        <v>0</v>
      </c>
      <c r="K42" s="905">
        <v>0</v>
      </c>
      <c r="L42" s="7"/>
    </row>
    <row r="43" spans="1:12" x14ac:dyDescent="0.2">
      <c r="A43" s="1887"/>
      <c r="B43" s="444" t="s">
        <v>18338</v>
      </c>
      <c r="C43" s="905" t="s">
        <v>5300</v>
      </c>
      <c r="D43" s="445">
        <v>0</v>
      </c>
      <c r="E43" s="909">
        <v>0</v>
      </c>
      <c r="F43" s="910"/>
      <c r="G43" s="909">
        <v>0</v>
      </c>
      <c r="H43" s="910"/>
      <c r="I43" s="445">
        <v>0</v>
      </c>
      <c r="J43" s="445">
        <v>0</v>
      </c>
      <c r="K43" s="905">
        <v>0</v>
      </c>
      <c r="L43" s="7"/>
    </row>
    <row r="44" spans="1:12" x14ac:dyDescent="0.2">
      <c r="A44" s="1887"/>
      <c r="B44" s="444" t="s">
        <v>18341</v>
      </c>
      <c r="C44" s="905" t="s">
        <v>5300</v>
      </c>
      <c r="D44" s="445">
        <v>0</v>
      </c>
      <c r="E44" s="909">
        <v>0</v>
      </c>
      <c r="F44" s="910"/>
      <c r="G44" s="909">
        <v>0</v>
      </c>
      <c r="H44" s="910"/>
      <c r="I44" s="445">
        <v>0</v>
      </c>
      <c r="J44" s="445">
        <v>0</v>
      </c>
      <c r="K44" s="905">
        <v>0</v>
      </c>
      <c r="L44" s="7"/>
    </row>
    <row r="45" spans="1:12" x14ac:dyDescent="0.2">
      <c r="A45" s="1887"/>
      <c r="B45" s="444" t="s">
        <v>18344</v>
      </c>
      <c r="C45" s="905" t="s">
        <v>5300</v>
      </c>
      <c r="D45" s="445">
        <v>0</v>
      </c>
      <c r="E45" s="909">
        <v>0</v>
      </c>
      <c r="F45" s="910"/>
      <c r="G45" s="909">
        <v>0</v>
      </c>
      <c r="H45" s="910"/>
      <c r="I45" s="445">
        <v>0</v>
      </c>
      <c r="J45" s="445">
        <v>0</v>
      </c>
      <c r="K45" s="905">
        <v>0</v>
      </c>
      <c r="L45" s="7"/>
    </row>
    <row r="46" spans="1:12" x14ac:dyDescent="0.2">
      <c r="A46" s="1887"/>
      <c r="B46" s="444" t="s">
        <v>18347</v>
      </c>
      <c r="C46" s="905" t="s">
        <v>13211</v>
      </c>
      <c r="D46" s="445">
        <v>0</v>
      </c>
      <c r="E46" s="909">
        <v>0</v>
      </c>
      <c r="F46" s="910"/>
      <c r="G46" s="909">
        <v>0</v>
      </c>
      <c r="H46" s="910"/>
      <c r="I46" s="445">
        <v>0</v>
      </c>
      <c r="J46" s="445">
        <v>0</v>
      </c>
      <c r="K46" s="905">
        <v>0</v>
      </c>
      <c r="L46" s="7"/>
    </row>
    <row r="47" spans="1:12" x14ac:dyDescent="0.2">
      <c r="A47" s="1887"/>
      <c r="B47" s="444" t="s">
        <v>18350</v>
      </c>
      <c r="C47" s="905" t="s">
        <v>5299</v>
      </c>
      <c r="D47" s="445">
        <v>0</v>
      </c>
      <c r="E47" s="909">
        <v>0</v>
      </c>
      <c r="F47" s="910"/>
      <c r="G47" s="909">
        <v>0</v>
      </c>
      <c r="H47" s="910"/>
      <c r="I47" s="445">
        <v>0</v>
      </c>
      <c r="J47" s="445">
        <v>0</v>
      </c>
      <c r="K47" s="905">
        <v>0</v>
      </c>
      <c r="L47" s="7"/>
    </row>
    <row r="48" spans="1:12" x14ac:dyDescent="0.2">
      <c r="A48" s="1887"/>
      <c r="B48" s="444" t="s">
        <v>18353</v>
      </c>
      <c r="C48" s="905" t="s">
        <v>5299</v>
      </c>
      <c r="D48" s="445">
        <v>0</v>
      </c>
      <c r="E48" s="909">
        <v>0</v>
      </c>
      <c r="F48" s="910"/>
      <c r="G48" s="909">
        <v>0</v>
      </c>
      <c r="H48" s="910"/>
      <c r="I48" s="445">
        <v>0</v>
      </c>
      <c r="J48" s="445">
        <v>0</v>
      </c>
      <c r="K48" s="905">
        <v>0</v>
      </c>
      <c r="L48" s="7"/>
    </row>
    <row r="49" spans="1:12" x14ac:dyDescent="0.2">
      <c r="A49" s="1887"/>
      <c r="B49" s="444" t="s">
        <v>18356</v>
      </c>
      <c r="C49" s="905" t="s">
        <v>5299</v>
      </c>
      <c r="D49" s="445">
        <v>0</v>
      </c>
      <c r="E49" s="909">
        <v>0</v>
      </c>
      <c r="F49" s="910"/>
      <c r="G49" s="909">
        <v>0</v>
      </c>
      <c r="H49" s="910"/>
      <c r="I49" s="445">
        <v>0</v>
      </c>
      <c r="J49" s="445">
        <v>0</v>
      </c>
      <c r="K49" s="905">
        <v>0</v>
      </c>
      <c r="L49" s="7"/>
    </row>
    <row r="50" spans="1:12" x14ac:dyDescent="0.2">
      <c r="A50" s="1887"/>
      <c r="B50" s="444" t="s">
        <v>18358</v>
      </c>
      <c r="C50" s="905" t="s">
        <v>5299</v>
      </c>
      <c r="D50" s="445">
        <v>0</v>
      </c>
      <c r="E50" s="909">
        <v>0</v>
      </c>
      <c r="F50" s="910"/>
      <c r="G50" s="909">
        <v>0</v>
      </c>
      <c r="H50" s="910"/>
      <c r="I50" s="445">
        <v>0</v>
      </c>
      <c r="J50" s="445">
        <v>0</v>
      </c>
      <c r="K50" s="905">
        <v>0</v>
      </c>
      <c r="L50" s="7"/>
    </row>
    <row r="51" spans="1:12" x14ac:dyDescent="0.2">
      <c r="A51" s="1887"/>
      <c r="B51" s="444" t="s">
        <v>18362</v>
      </c>
      <c r="C51" s="905" t="s">
        <v>5300</v>
      </c>
      <c r="D51" s="445">
        <v>0</v>
      </c>
      <c r="E51" s="909">
        <v>0</v>
      </c>
      <c r="F51" s="910"/>
      <c r="G51" s="909">
        <v>0</v>
      </c>
      <c r="H51" s="910"/>
      <c r="I51" s="445">
        <v>0</v>
      </c>
      <c r="J51" s="445">
        <v>0</v>
      </c>
      <c r="K51" s="905">
        <v>0</v>
      </c>
      <c r="L51" s="7"/>
    </row>
    <row r="52" spans="1:12" x14ac:dyDescent="0.2">
      <c r="A52" s="1887"/>
      <c r="B52" s="444" t="s">
        <v>18365</v>
      </c>
      <c r="C52" s="905" t="s">
        <v>5300</v>
      </c>
      <c r="D52" s="445">
        <v>0</v>
      </c>
      <c r="E52" s="909">
        <v>0</v>
      </c>
      <c r="F52" s="910"/>
      <c r="G52" s="909">
        <v>0</v>
      </c>
      <c r="H52" s="910"/>
      <c r="I52" s="445">
        <v>0</v>
      </c>
      <c r="J52" s="445">
        <v>0</v>
      </c>
      <c r="K52" s="905">
        <v>0</v>
      </c>
      <c r="L52" s="7"/>
    </row>
    <row r="53" spans="1:12" x14ac:dyDescent="0.2">
      <c r="A53" s="1887"/>
      <c r="B53" s="444" t="s">
        <v>18368</v>
      </c>
      <c r="C53" s="905" t="s">
        <v>5300</v>
      </c>
      <c r="D53" s="445">
        <v>0</v>
      </c>
      <c r="E53" s="909">
        <v>0</v>
      </c>
      <c r="F53" s="910"/>
      <c r="G53" s="909">
        <v>0</v>
      </c>
      <c r="H53" s="910"/>
      <c r="I53" s="445">
        <v>0</v>
      </c>
      <c r="J53" s="445">
        <v>0</v>
      </c>
      <c r="K53" s="905">
        <v>0</v>
      </c>
      <c r="L53" s="7"/>
    </row>
    <row r="54" spans="1:12" x14ac:dyDescent="0.2">
      <c r="A54" s="1887"/>
      <c r="B54" s="444" t="s">
        <v>18371</v>
      </c>
      <c r="C54" s="905" t="s">
        <v>5300</v>
      </c>
      <c r="D54" s="445">
        <v>0</v>
      </c>
      <c r="E54" s="909">
        <v>0</v>
      </c>
      <c r="F54" s="910"/>
      <c r="G54" s="909">
        <v>0</v>
      </c>
      <c r="H54" s="910"/>
      <c r="I54" s="445">
        <v>0</v>
      </c>
      <c r="J54" s="445">
        <v>0</v>
      </c>
      <c r="K54" s="905">
        <v>0</v>
      </c>
      <c r="L54" s="7"/>
    </row>
    <row r="55" spans="1:12" x14ac:dyDescent="0.2">
      <c r="A55" s="1887"/>
      <c r="B55" s="444" t="s">
        <v>18374</v>
      </c>
      <c r="C55" s="905" t="s">
        <v>5300</v>
      </c>
      <c r="D55" s="445">
        <v>0</v>
      </c>
      <c r="E55" s="909">
        <v>0</v>
      </c>
      <c r="F55" s="910"/>
      <c r="G55" s="909">
        <v>0</v>
      </c>
      <c r="H55" s="910"/>
      <c r="I55" s="445">
        <v>0</v>
      </c>
      <c r="J55" s="445">
        <v>0</v>
      </c>
      <c r="K55" s="905">
        <v>0</v>
      </c>
      <c r="L55" s="7"/>
    </row>
    <row r="56" spans="1:12" x14ac:dyDescent="0.2">
      <c r="A56" s="1887"/>
      <c r="B56" s="444" t="s">
        <v>18377</v>
      </c>
      <c r="C56" s="905" t="s">
        <v>13210</v>
      </c>
      <c r="D56" s="445">
        <v>0</v>
      </c>
      <c r="E56" s="909">
        <v>0</v>
      </c>
      <c r="F56" s="910"/>
      <c r="G56" s="909">
        <v>0</v>
      </c>
      <c r="H56" s="910"/>
      <c r="I56" s="445">
        <v>0</v>
      </c>
      <c r="J56" s="445">
        <v>0</v>
      </c>
      <c r="K56" s="905">
        <v>0</v>
      </c>
      <c r="L56" s="7"/>
    </row>
    <row r="57" spans="1:12" x14ac:dyDescent="0.2">
      <c r="A57" s="1887"/>
      <c r="B57" s="444" t="s">
        <v>18380</v>
      </c>
      <c r="C57" s="905" t="s">
        <v>5299</v>
      </c>
      <c r="D57" s="445">
        <v>0</v>
      </c>
      <c r="E57" s="909">
        <v>0</v>
      </c>
      <c r="F57" s="910"/>
      <c r="G57" s="909">
        <v>0</v>
      </c>
      <c r="H57" s="910"/>
      <c r="I57" s="445">
        <v>0</v>
      </c>
      <c r="J57" s="445">
        <v>0</v>
      </c>
      <c r="K57" s="905">
        <v>0</v>
      </c>
      <c r="L57" s="7"/>
    </row>
    <row r="58" spans="1:12" x14ac:dyDescent="0.2">
      <c r="A58" s="1887"/>
      <c r="B58" s="444" t="s">
        <v>18383</v>
      </c>
      <c r="C58" s="905" t="s">
        <v>5300</v>
      </c>
      <c r="D58" s="445">
        <v>0</v>
      </c>
      <c r="E58" s="909">
        <v>0</v>
      </c>
      <c r="F58" s="910"/>
      <c r="G58" s="909">
        <v>0</v>
      </c>
      <c r="H58" s="910"/>
      <c r="I58" s="445">
        <v>0</v>
      </c>
      <c r="J58" s="445">
        <v>0</v>
      </c>
      <c r="K58" s="905">
        <v>0</v>
      </c>
      <c r="L58" s="7"/>
    </row>
    <row r="59" spans="1:12" x14ac:dyDescent="0.2">
      <c r="A59" s="1887"/>
      <c r="B59" s="444" t="s">
        <v>18386</v>
      </c>
      <c r="C59" s="905" t="s">
        <v>5300</v>
      </c>
      <c r="D59" s="445">
        <v>0</v>
      </c>
      <c r="E59" s="909">
        <v>0</v>
      </c>
      <c r="F59" s="910"/>
      <c r="G59" s="909">
        <v>0</v>
      </c>
      <c r="H59" s="910"/>
      <c r="I59" s="445">
        <v>0</v>
      </c>
      <c r="J59" s="445">
        <v>0</v>
      </c>
      <c r="K59" s="905">
        <v>0</v>
      </c>
      <c r="L59" s="7"/>
    </row>
    <row r="60" spans="1:12" x14ac:dyDescent="0.2">
      <c r="A60" s="1887"/>
      <c r="B60" s="444" t="s">
        <v>18389</v>
      </c>
      <c r="C60" s="905" t="s">
        <v>5299</v>
      </c>
      <c r="D60" s="445">
        <v>0</v>
      </c>
      <c r="E60" s="909">
        <v>0</v>
      </c>
      <c r="F60" s="910"/>
      <c r="G60" s="909">
        <v>0</v>
      </c>
      <c r="H60" s="910"/>
      <c r="I60" s="445">
        <v>0</v>
      </c>
      <c r="J60" s="445">
        <v>0</v>
      </c>
      <c r="K60" s="905">
        <v>0</v>
      </c>
      <c r="L60" s="7"/>
    </row>
    <row r="61" spans="1:12" x14ac:dyDescent="0.2">
      <c r="A61" s="1887"/>
      <c r="B61" s="444"/>
      <c r="C61" s="905"/>
      <c r="D61" s="445"/>
      <c r="E61" s="909"/>
      <c r="F61" s="910"/>
      <c r="G61" s="909"/>
      <c r="H61" s="910"/>
      <c r="I61" s="445"/>
      <c r="J61" s="445"/>
      <c r="K61" s="905"/>
      <c r="L61" s="7"/>
    </row>
    <row r="62" spans="1:12" x14ac:dyDescent="0.2">
      <c r="A62" s="1887"/>
      <c r="B62" s="444"/>
      <c r="C62" s="905"/>
      <c r="D62" s="445"/>
      <c r="E62" s="909"/>
      <c r="F62" s="910"/>
      <c r="G62" s="909"/>
      <c r="H62" s="910"/>
      <c r="I62" s="445"/>
      <c r="J62" s="445"/>
      <c r="K62" s="905"/>
      <c r="L62" s="7"/>
    </row>
    <row r="63" spans="1:12" x14ac:dyDescent="0.2">
      <c r="A63" s="1887"/>
      <c r="B63" s="444"/>
      <c r="C63" s="905"/>
      <c r="D63" s="445"/>
      <c r="E63" s="909"/>
      <c r="F63" s="910"/>
      <c r="G63" s="909"/>
      <c r="H63" s="910"/>
      <c r="I63" s="445"/>
      <c r="J63" s="445"/>
      <c r="K63" s="905"/>
      <c r="L63" s="7"/>
    </row>
    <row r="64" spans="1:12" x14ac:dyDescent="0.2">
      <c r="A64" s="1887"/>
      <c r="B64" s="444"/>
      <c r="C64" s="905"/>
      <c r="D64" s="445"/>
      <c r="E64" s="909"/>
      <c r="F64" s="910"/>
      <c r="G64" s="909"/>
      <c r="H64" s="910"/>
      <c r="I64" s="445"/>
      <c r="J64" s="445"/>
      <c r="K64" s="905"/>
      <c r="L64" s="7"/>
    </row>
    <row r="65" spans="1:12" x14ac:dyDescent="0.2">
      <c r="A65" s="1887"/>
      <c r="B65" s="444"/>
      <c r="C65" s="905"/>
      <c r="D65" s="445"/>
      <c r="E65" s="909"/>
      <c r="F65" s="910"/>
      <c r="G65" s="909"/>
      <c r="H65" s="910"/>
      <c r="I65" s="445"/>
      <c r="J65" s="445"/>
      <c r="K65" s="905"/>
      <c r="L65" s="7"/>
    </row>
    <row r="66" spans="1:12" x14ac:dyDescent="0.2">
      <c r="A66" s="1887"/>
      <c r="B66" s="444"/>
      <c r="C66" s="905"/>
      <c r="D66" s="445"/>
      <c r="E66" s="909"/>
      <c r="F66" s="910"/>
      <c r="G66" s="909"/>
      <c r="H66" s="910"/>
      <c r="I66" s="445"/>
      <c r="J66" s="445"/>
      <c r="K66" s="905"/>
      <c r="L66" s="7"/>
    </row>
    <row r="67" spans="1:12" x14ac:dyDescent="0.2">
      <c r="A67" s="1887"/>
      <c r="B67" s="444"/>
      <c r="C67" s="905"/>
      <c r="D67" s="445"/>
      <c r="E67" s="909"/>
      <c r="F67" s="910"/>
      <c r="G67" s="909"/>
      <c r="H67" s="910"/>
      <c r="I67" s="445"/>
      <c r="J67" s="445"/>
      <c r="K67" s="905"/>
      <c r="L67" s="7"/>
    </row>
    <row r="68" spans="1:12" x14ac:dyDescent="0.2">
      <c r="A68" s="1887"/>
      <c r="B68" s="444"/>
      <c r="C68" s="905"/>
      <c r="D68" s="445"/>
      <c r="E68" s="909"/>
      <c r="F68" s="910"/>
      <c r="G68" s="909"/>
      <c r="H68" s="910"/>
      <c r="I68" s="445"/>
      <c r="J68" s="445"/>
      <c r="K68" s="905"/>
      <c r="L68" s="7"/>
    </row>
    <row r="69" spans="1:12" x14ac:dyDescent="0.2">
      <c r="A69" s="1887"/>
      <c r="B69" s="444"/>
      <c r="C69" s="905"/>
      <c r="D69" s="445"/>
      <c r="E69" s="909"/>
      <c r="F69" s="910"/>
      <c r="G69" s="909"/>
      <c r="H69" s="910"/>
      <c r="I69" s="445"/>
      <c r="J69" s="445"/>
      <c r="K69" s="905"/>
      <c r="L69" s="7"/>
    </row>
    <row r="70" spans="1:12" x14ac:dyDescent="0.2">
      <c r="A70" s="1887"/>
      <c r="B70" s="444"/>
      <c r="C70" s="905"/>
      <c r="D70" s="445"/>
      <c r="E70" s="909"/>
      <c r="F70" s="910"/>
      <c r="G70" s="909"/>
      <c r="H70" s="910"/>
      <c r="I70" s="445"/>
      <c r="J70" s="445"/>
      <c r="K70" s="905"/>
      <c r="L70" s="7"/>
    </row>
    <row r="71" spans="1:12" x14ac:dyDescent="0.2">
      <c r="A71" s="1887"/>
      <c r="B71" s="444"/>
      <c r="C71" s="905"/>
      <c r="D71" s="445"/>
      <c r="E71" s="909"/>
      <c r="F71" s="910"/>
      <c r="G71" s="909"/>
      <c r="H71" s="910"/>
      <c r="I71" s="445"/>
      <c r="J71" s="445"/>
      <c r="K71" s="905"/>
      <c r="L71" s="7"/>
    </row>
    <row r="72" spans="1:12" x14ac:dyDescent="0.2">
      <c r="A72" s="1887"/>
      <c r="B72" s="444"/>
      <c r="C72" s="905"/>
      <c r="D72" s="445"/>
      <c r="E72" s="909"/>
      <c r="F72" s="910"/>
      <c r="G72" s="909"/>
      <c r="H72" s="910"/>
      <c r="I72" s="445"/>
      <c r="J72" s="445"/>
      <c r="K72" s="905"/>
      <c r="L72" s="7"/>
    </row>
    <row r="73" spans="1:12" x14ac:dyDescent="0.2">
      <c r="A73" s="1887"/>
      <c r="B73" s="444"/>
      <c r="C73" s="905"/>
      <c r="D73" s="445"/>
      <c r="E73" s="909"/>
      <c r="F73" s="910"/>
      <c r="G73" s="909"/>
      <c r="H73" s="910"/>
      <c r="I73" s="445"/>
      <c r="J73" s="445"/>
      <c r="K73" s="905"/>
      <c r="L73" s="7"/>
    </row>
    <row r="74" spans="1:12" x14ac:dyDescent="0.2">
      <c r="A74" s="1887"/>
      <c r="B74" s="444"/>
      <c r="C74" s="905"/>
      <c r="D74" s="445"/>
      <c r="E74" s="909"/>
      <c r="F74" s="910"/>
      <c r="G74" s="909"/>
      <c r="H74" s="910"/>
      <c r="I74" s="445"/>
      <c r="J74" s="445"/>
      <c r="K74" s="905"/>
      <c r="L74" s="7"/>
    </row>
    <row r="75" spans="1:12" x14ac:dyDescent="0.2">
      <c r="A75" s="1887"/>
      <c r="B75" s="444"/>
      <c r="C75" s="905"/>
      <c r="D75" s="445"/>
      <c r="E75" s="909"/>
      <c r="F75" s="910"/>
      <c r="G75" s="909"/>
      <c r="H75" s="910"/>
      <c r="I75" s="445"/>
      <c r="J75" s="445"/>
      <c r="K75" s="905"/>
      <c r="L75" s="7"/>
    </row>
    <row r="76" spans="1:12" x14ac:dyDescent="0.2">
      <c r="A76" s="1887"/>
      <c r="B76" s="444"/>
      <c r="C76" s="905"/>
      <c r="D76" s="445"/>
      <c r="E76" s="909"/>
      <c r="F76" s="910"/>
      <c r="G76" s="909"/>
      <c r="H76" s="910"/>
      <c r="I76" s="445"/>
      <c r="J76" s="445"/>
      <c r="K76" s="905"/>
      <c r="L76" s="7"/>
    </row>
    <row r="77" spans="1:12" x14ac:dyDescent="0.2">
      <c r="A77" s="1887"/>
      <c r="B77" s="444"/>
      <c r="C77" s="905"/>
      <c r="D77" s="445"/>
      <c r="E77" s="909"/>
      <c r="F77" s="910"/>
      <c r="G77" s="909"/>
      <c r="H77" s="910"/>
      <c r="I77" s="445"/>
      <c r="J77" s="445"/>
      <c r="K77" s="905"/>
      <c r="L77" s="7"/>
    </row>
    <row r="78" spans="1:12" x14ac:dyDescent="0.2">
      <c r="A78" s="1887"/>
      <c r="B78" s="444"/>
      <c r="C78" s="905"/>
      <c r="D78" s="445"/>
      <c r="E78" s="909"/>
      <c r="F78" s="910"/>
      <c r="G78" s="909"/>
      <c r="H78" s="910"/>
      <c r="I78" s="445"/>
      <c r="J78" s="445"/>
      <c r="K78" s="905"/>
      <c r="L78" s="7"/>
    </row>
    <row r="79" spans="1:12" x14ac:dyDescent="0.2">
      <c r="A79" s="1887"/>
      <c r="B79" s="444"/>
      <c r="C79" s="905"/>
      <c r="D79" s="445"/>
      <c r="E79" s="909"/>
      <c r="F79" s="910"/>
      <c r="G79" s="909"/>
      <c r="H79" s="910"/>
      <c r="I79" s="445"/>
      <c r="J79" s="445"/>
      <c r="K79" s="905"/>
      <c r="L79" s="7"/>
    </row>
    <row r="80" spans="1:12" x14ac:dyDescent="0.2">
      <c r="A80" s="1887"/>
      <c r="B80" s="444"/>
      <c r="C80" s="905"/>
      <c r="D80" s="445"/>
      <c r="E80" s="909"/>
      <c r="F80" s="910"/>
      <c r="G80" s="909"/>
      <c r="H80" s="910"/>
      <c r="I80" s="445"/>
      <c r="J80" s="445"/>
      <c r="K80" s="905"/>
      <c r="L80" s="7"/>
    </row>
    <row r="81" spans="1:12" x14ac:dyDescent="0.2">
      <c r="A81" s="1887"/>
      <c r="B81" s="444"/>
      <c r="C81" s="905"/>
      <c r="D81" s="445"/>
      <c r="E81" s="909"/>
      <c r="F81" s="910"/>
      <c r="G81" s="909"/>
      <c r="H81" s="910"/>
      <c r="I81" s="445"/>
      <c r="J81" s="445"/>
      <c r="K81" s="905"/>
      <c r="L81" s="7"/>
    </row>
    <row r="82" spans="1:12" x14ac:dyDescent="0.2">
      <c r="A82" s="1887"/>
      <c r="B82" s="444"/>
      <c r="C82" s="905"/>
      <c r="D82" s="445"/>
      <c r="E82" s="909"/>
      <c r="F82" s="910"/>
      <c r="G82" s="909"/>
      <c r="H82" s="910"/>
      <c r="I82" s="445"/>
      <c r="J82" s="445"/>
      <c r="K82" s="905"/>
      <c r="L82" s="7"/>
    </row>
    <row r="83" spans="1:12" x14ac:dyDescent="0.2">
      <c r="A83" s="1887"/>
      <c r="B83" s="444"/>
      <c r="C83" s="905"/>
      <c r="D83" s="445"/>
      <c r="E83" s="909"/>
      <c r="F83" s="910"/>
      <c r="G83" s="909"/>
      <c r="H83" s="910"/>
      <c r="I83" s="445"/>
      <c r="J83" s="445"/>
      <c r="K83" s="905"/>
      <c r="L83" s="7"/>
    </row>
    <row r="84" spans="1:12" x14ac:dyDescent="0.2">
      <c r="A84" s="1887"/>
      <c r="B84" s="444"/>
      <c r="C84" s="905"/>
      <c r="D84" s="445"/>
      <c r="E84" s="909"/>
      <c r="F84" s="910"/>
      <c r="G84" s="909"/>
      <c r="H84" s="910"/>
      <c r="I84" s="445"/>
      <c r="J84" s="445"/>
      <c r="K84" s="905"/>
      <c r="L84" s="7"/>
    </row>
    <row r="85" spans="1:12" x14ac:dyDescent="0.2">
      <c r="A85" s="1887"/>
      <c r="B85" s="444"/>
      <c r="C85" s="905"/>
      <c r="D85" s="445"/>
      <c r="E85" s="909"/>
      <c r="F85" s="910"/>
      <c r="G85" s="909"/>
      <c r="H85" s="910"/>
      <c r="I85" s="445"/>
      <c r="J85" s="445"/>
      <c r="K85" s="905"/>
      <c r="L85" s="7"/>
    </row>
    <row r="86" spans="1:12" x14ac:dyDescent="0.2">
      <c r="A86" s="1887"/>
      <c r="B86" s="444"/>
      <c r="C86" s="905"/>
      <c r="D86" s="445"/>
      <c r="E86" s="909"/>
      <c r="F86" s="910"/>
      <c r="G86" s="909"/>
      <c r="H86" s="910"/>
      <c r="I86" s="445"/>
      <c r="J86" s="445"/>
      <c r="K86" s="905"/>
      <c r="L86" s="7"/>
    </row>
    <row r="87" spans="1:12" x14ac:dyDescent="0.2">
      <c r="A87" s="1887"/>
      <c r="B87" s="444"/>
      <c r="C87" s="905"/>
      <c r="D87" s="445"/>
      <c r="E87" s="909"/>
      <c r="F87" s="910"/>
      <c r="G87" s="909"/>
      <c r="H87" s="910"/>
      <c r="I87" s="445"/>
      <c r="J87" s="445"/>
      <c r="K87" s="905"/>
      <c r="L87" s="7"/>
    </row>
    <row r="88" spans="1:12" x14ac:dyDescent="0.2">
      <c r="A88" s="1887"/>
      <c r="B88" s="444"/>
      <c r="C88" s="905"/>
      <c r="D88" s="445"/>
      <c r="E88" s="909"/>
      <c r="F88" s="910"/>
      <c r="G88" s="909"/>
      <c r="H88" s="910"/>
      <c r="I88" s="445"/>
      <c r="J88" s="445"/>
      <c r="K88" s="905"/>
      <c r="L88" s="7"/>
    </row>
    <row r="89" spans="1:12" x14ac:dyDescent="0.2">
      <c r="A89" s="1887"/>
      <c r="B89" s="444"/>
      <c r="C89" s="905"/>
      <c r="D89" s="445"/>
      <c r="E89" s="909"/>
      <c r="F89" s="910"/>
      <c r="G89" s="909"/>
      <c r="H89" s="910"/>
      <c r="I89" s="445"/>
      <c r="J89" s="445"/>
      <c r="K89" s="905"/>
      <c r="L89" s="7"/>
    </row>
    <row r="90" spans="1:12" x14ac:dyDescent="0.2">
      <c r="A90" s="1887"/>
      <c r="B90" s="444"/>
      <c r="C90" s="905"/>
      <c r="D90" s="445"/>
      <c r="E90" s="909"/>
      <c r="F90" s="910"/>
      <c r="G90" s="909"/>
      <c r="H90" s="910"/>
      <c r="I90" s="445"/>
      <c r="J90" s="445"/>
      <c r="K90" s="905"/>
      <c r="L90" s="7"/>
    </row>
    <row r="91" spans="1:12" x14ac:dyDescent="0.2">
      <c r="A91" s="1887"/>
      <c r="B91" s="444"/>
      <c r="C91" s="905"/>
      <c r="D91" s="445"/>
      <c r="E91" s="909"/>
      <c r="F91" s="910"/>
      <c r="G91" s="909"/>
      <c r="H91" s="910"/>
      <c r="I91" s="445"/>
      <c r="J91" s="445"/>
      <c r="K91" s="905"/>
      <c r="L91" s="7"/>
    </row>
    <row r="92" spans="1:12" x14ac:dyDescent="0.2">
      <c r="A92" s="1887"/>
      <c r="B92" s="444"/>
      <c r="C92" s="905"/>
      <c r="D92" s="445"/>
      <c r="E92" s="909"/>
      <c r="F92" s="910"/>
      <c r="G92" s="909"/>
      <c r="H92" s="910"/>
      <c r="I92" s="445"/>
      <c r="J92" s="445"/>
      <c r="K92" s="905"/>
      <c r="L92" s="7"/>
    </row>
    <row r="93" spans="1:12" x14ac:dyDescent="0.2">
      <c r="A93" s="1887"/>
      <c r="B93" s="444"/>
      <c r="C93" s="905"/>
      <c r="D93" s="445"/>
      <c r="E93" s="909"/>
      <c r="F93" s="910"/>
      <c r="G93" s="909"/>
      <c r="H93" s="910"/>
      <c r="I93" s="445"/>
      <c r="J93" s="445"/>
      <c r="K93" s="905"/>
      <c r="L93" s="7"/>
    </row>
    <row r="94" spans="1:12" x14ac:dyDescent="0.2">
      <c r="A94" s="1887"/>
      <c r="B94" s="444"/>
      <c r="C94" s="905"/>
      <c r="D94" s="445"/>
      <c r="E94" s="909"/>
      <c r="F94" s="910"/>
      <c r="G94" s="909"/>
      <c r="H94" s="910"/>
      <c r="I94" s="445"/>
      <c r="J94" s="445"/>
      <c r="K94" s="905"/>
      <c r="L94" s="7"/>
    </row>
    <row r="95" spans="1:12" x14ac:dyDescent="0.2">
      <c r="A95" s="1887"/>
      <c r="B95" s="444"/>
      <c r="C95" s="905"/>
      <c r="D95" s="445"/>
      <c r="E95" s="909"/>
      <c r="F95" s="910"/>
      <c r="G95" s="909"/>
      <c r="H95" s="910"/>
      <c r="I95" s="445"/>
      <c r="J95" s="445"/>
      <c r="K95" s="905"/>
      <c r="L95" s="7"/>
    </row>
    <row r="96" spans="1:12" x14ac:dyDescent="0.2">
      <c r="A96" s="1887"/>
      <c r="B96" s="444"/>
      <c r="C96" s="905"/>
      <c r="D96" s="445"/>
      <c r="E96" s="909"/>
      <c r="F96" s="910"/>
      <c r="G96" s="909"/>
      <c r="H96" s="910"/>
      <c r="I96" s="445"/>
      <c r="J96" s="445"/>
      <c r="K96" s="905"/>
      <c r="L96" s="7"/>
    </row>
    <row r="97" spans="1:12" x14ac:dyDescent="0.2">
      <c r="A97" s="1887"/>
      <c r="B97" s="444"/>
      <c r="C97" s="905"/>
      <c r="D97" s="445"/>
      <c r="E97" s="909"/>
      <c r="F97" s="910"/>
      <c r="G97" s="909"/>
      <c r="H97" s="910"/>
      <c r="I97" s="445"/>
      <c r="J97" s="445"/>
      <c r="K97" s="905"/>
      <c r="L97" s="7"/>
    </row>
    <row r="98" spans="1:12" x14ac:dyDescent="0.2">
      <c r="A98" s="1887"/>
      <c r="B98" s="444"/>
      <c r="C98" s="905"/>
      <c r="D98" s="445"/>
      <c r="E98" s="909"/>
      <c r="F98" s="910"/>
      <c r="G98" s="909"/>
      <c r="H98" s="910"/>
      <c r="I98" s="445"/>
      <c r="J98" s="445"/>
      <c r="K98" s="905"/>
      <c r="L98" s="7"/>
    </row>
    <row r="99" spans="1:12" x14ac:dyDescent="0.2">
      <c r="A99" s="1887"/>
      <c r="B99" s="444"/>
      <c r="C99" s="905"/>
      <c r="D99" s="445"/>
      <c r="E99" s="909"/>
      <c r="F99" s="910"/>
      <c r="G99" s="909"/>
      <c r="H99" s="910"/>
      <c r="I99" s="445"/>
      <c r="J99" s="445"/>
      <c r="K99" s="905"/>
      <c r="L99" s="7"/>
    </row>
    <row r="100" spans="1:12" x14ac:dyDescent="0.2">
      <c r="A100" s="1887"/>
      <c r="B100" s="444"/>
      <c r="C100" s="905"/>
      <c r="D100" s="445"/>
      <c r="E100" s="909"/>
      <c r="F100" s="910"/>
      <c r="G100" s="909"/>
      <c r="H100" s="910"/>
      <c r="I100" s="445"/>
      <c r="J100" s="445"/>
      <c r="K100" s="905"/>
      <c r="L100" s="7"/>
    </row>
    <row r="101" spans="1:12" x14ac:dyDescent="0.2">
      <c r="A101" s="1887"/>
      <c r="B101" s="444"/>
      <c r="C101" s="905"/>
      <c r="D101" s="445"/>
      <c r="E101" s="909"/>
      <c r="F101" s="910"/>
      <c r="G101" s="909"/>
      <c r="H101" s="910"/>
      <c r="I101" s="445"/>
      <c r="J101" s="445"/>
      <c r="K101" s="905"/>
      <c r="L101" s="7"/>
    </row>
    <row r="102" spans="1:12" x14ac:dyDescent="0.2">
      <c r="A102" s="1887"/>
      <c r="B102" s="444"/>
      <c r="C102" s="905"/>
      <c r="D102" s="445"/>
      <c r="E102" s="909"/>
      <c r="F102" s="910"/>
      <c r="G102" s="909"/>
      <c r="H102" s="910"/>
      <c r="I102" s="445"/>
      <c r="J102" s="445"/>
      <c r="K102" s="905"/>
      <c r="L102" s="7"/>
    </row>
    <row r="103" spans="1:12" x14ac:dyDescent="0.2">
      <c r="A103" s="1887"/>
      <c r="B103" s="444"/>
      <c r="C103" s="905"/>
      <c r="D103" s="445"/>
      <c r="E103" s="909"/>
      <c r="F103" s="910"/>
      <c r="G103" s="909"/>
      <c r="H103" s="910"/>
      <c r="I103" s="445"/>
      <c r="J103" s="445"/>
      <c r="K103" s="905"/>
      <c r="L103" s="7"/>
    </row>
    <row r="104" spans="1:12" x14ac:dyDescent="0.2">
      <c r="A104" s="1887"/>
      <c r="B104" s="444"/>
      <c r="C104" s="905"/>
      <c r="D104" s="445"/>
      <c r="E104" s="909"/>
      <c r="F104" s="910"/>
      <c r="G104" s="909"/>
      <c r="H104" s="910"/>
      <c r="I104" s="445"/>
      <c r="J104" s="445"/>
      <c r="K104" s="905"/>
      <c r="L104" s="7"/>
    </row>
    <row r="105" spans="1:12" x14ac:dyDescent="0.2">
      <c r="A105" s="1887"/>
      <c r="B105" s="444"/>
      <c r="C105" s="905"/>
      <c r="D105" s="445"/>
      <c r="E105" s="909"/>
      <c r="F105" s="910"/>
      <c r="G105" s="909"/>
      <c r="H105" s="910"/>
      <c r="I105" s="445"/>
      <c r="J105" s="445"/>
      <c r="K105" s="905"/>
      <c r="L105" s="7"/>
    </row>
    <row r="106" spans="1:12" x14ac:dyDescent="0.2">
      <c r="A106" s="1887"/>
      <c r="B106" s="444"/>
      <c r="C106" s="905"/>
      <c r="D106" s="445"/>
      <c r="E106" s="909"/>
      <c r="F106" s="910"/>
      <c r="G106" s="909"/>
      <c r="H106" s="910"/>
      <c r="I106" s="445"/>
      <c r="J106" s="445"/>
      <c r="K106" s="905"/>
      <c r="L106" s="7"/>
    </row>
    <row r="107" spans="1:12" x14ac:dyDescent="0.2">
      <c r="A107" s="1887"/>
      <c r="B107" s="444"/>
      <c r="C107" s="905"/>
      <c r="D107" s="445"/>
      <c r="E107" s="909"/>
      <c r="F107" s="910"/>
      <c r="G107" s="909"/>
      <c r="H107" s="910"/>
      <c r="I107" s="445"/>
      <c r="J107" s="445"/>
      <c r="K107" s="905"/>
      <c r="L107" s="7"/>
    </row>
    <row r="108" spans="1:12" x14ac:dyDescent="0.2">
      <c r="A108" s="1887"/>
      <c r="B108" s="444"/>
      <c r="C108" s="905"/>
      <c r="D108" s="445"/>
      <c r="E108" s="909"/>
      <c r="F108" s="910"/>
      <c r="G108" s="909"/>
      <c r="H108" s="910"/>
      <c r="I108" s="445"/>
      <c r="J108" s="445"/>
      <c r="K108" s="905"/>
      <c r="L108" s="7"/>
    </row>
    <row r="109" spans="1:12" x14ac:dyDescent="0.2">
      <c r="A109" s="1887"/>
      <c r="B109" s="444"/>
      <c r="C109" s="905"/>
      <c r="D109" s="445"/>
      <c r="E109" s="909"/>
      <c r="F109" s="910"/>
      <c r="G109" s="909"/>
      <c r="H109" s="910"/>
      <c r="I109" s="445"/>
      <c r="J109" s="445"/>
      <c r="K109" s="905"/>
      <c r="L109" s="7"/>
    </row>
    <row r="110" spans="1:12" x14ac:dyDescent="0.2">
      <c r="A110" s="1887"/>
      <c r="B110" s="444"/>
      <c r="C110" s="905"/>
      <c r="D110" s="445"/>
      <c r="E110" s="909"/>
      <c r="F110" s="910"/>
      <c r="G110" s="909"/>
      <c r="H110" s="910"/>
      <c r="I110" s="445"/>
      <c r="J110" s="445"/>
      <c r="K110" s="905"/>
      <c r="L110" s="7"/>
    </row>
    <row r="111" spans="1:12" x14ac:dyDescent="0.2">
      <c r="A111" s="1887"/>
      <c r="B111" s="444"/>
      <c r="C111" s="905"/>
      <c r="D111" s="445"/>
      <c r="E111" s="909"/>
      <c r="F111" s="910"/>
      <c r="G111" s="909"/>
      <c r="H111" s="910"/>
      <c r="I111" s="445"/>
      <c r="J111" s="445"/>
      <c r="K111" s="905"/>
      <c r="L111" s="7"/>
    </row>
    <row r="112" spans="1:12" x14ac:dyDescent="0.2">
      <c r="A112" s="1887"/>
      <c r="B112" s="444"/>
      <c r="C112" s="905"/>
      <c r="D112" s="445"/>
      <c r="E112" s="909"/>
      <c r="F112" s="910"/>
      <c r="G112" s="909"/>
      <c r="H112" s="910"/>
      <c r="I112" s="445"/>
      <c r="J112" s="445"/>
      <c r="K112" s="905"/>
      <c r="L112" s="7"/>
    </row>
    <row r="113" spans="1:12" x14ac:dyDescent="0.2">
      <c r="A113" s="1887"/>
      <c r="B113" s="444"/>
      <c r="C113" s="905"/>
      <c r="D113" s="445"/>
      <c r="E113" s="909"/>
      <c r="F113" s="910"/>
      <c r="G113" s="909"/>
      <c r="H113" s="910"/>
      <c r="I113" s="445"/>
      <c r="J113" s="445"/>
      <c r="K113" s="905"/>
      <c r="L113" s="7"/>
    </row>
    <row r="114" spans="1:12" x14ac:dyDescent="0.2">
      <c r="A114" s="1887"/>
      <c r="B114" s="444"/>
      <c r="C114" s="905"/>
      <c r="D114" s="445"/>
      <c r="E114" s="909"/>
      <c r="F114" s="910"/>
      <c r="G114" s="909"/>
      <c r="H114" s="910"/>
      <c r="I114" s="445"/>
      <c r="J114" s="445"/>
      <c r="K114" s="905"/>
      <c r="L114" s="7"/>
    </row>
    <row r="115" spans="1:12" x14ac:dyDescent="0.2">
      <c r="A115" s="1887"/>
      <c r="B115" s="444"/>
      <c r="C115" s="905"/>
      <c r="D115" s="445"/>
      <c r="E115" s="909"/>
      <c r="F115" s="910"/>
      <c r="G115" s="909"/>
      <c r="H115" s="910"/>
      <c r="I115" s="445"/>
      <c r="J115" s="445"/>
      <c r="K115" s="905"/>
      <c r="L115" s="7"/>
    </row>
    <row r="116" spans="1:12" x14ac:dyDescent="0.2">
      <c r="A116" s="1887"/>
      <c r="B116" s="444"/>
      <c r="C116" s="905"/>
      <c r="D116" s="445"/>
      <c r="E116" s="909"/>
      <c r="F116" s="910"/>
      <c r="G116" s="909"/>
      <c r="H116" s="910"/>
      <c r="I116" s="445"/>
      <c r="J116" s="445"/>
      <c r="K116" s="905"/>
      <c r="L116" s="7"/>
    </row>
    <row r="117" spans="1:12" x14ac:dyDescent="0.2">
      <c r="A117" s="1887"/>
      <c r="B117" s="444"/>
      <c r="C117" s="905"/>
      <c r="D117" s="445"/>
      <c r="E117" s="909"/>
      <c r="F117" s="910"/>
      <c r="G117" s="909"/>
      <c r="H117" s="910"/>
      <c r="I117" s="445"/>
      <c r="J117" s="445"/>
      <c r="K117" s="905"/>
      <c r="L117" s="7"/>
    </row>
    <row r="118" spans="1:12" x14ac:dyDescent="0.2">
      <c r="A118" s="1887"/>
      <c r="B118" s="444"/>
      <c r="C118" s="905"/>
      <c r="D118" s="445"/>
      <c r="E118" s="909"/>
      <c r="F118" s="910"/>
      <c r="G118" s="909"/>
      <c r="H118" s="910"/>
      <c r="I118" s="445"/>
      <c r="J118" s="445"/>
      <c r="K118" s="905"/>
      <c r="L118" s="7"/>
    </row>
    <row r="119" spans="1:12" x14ac:dyDescent="0.2">
      <c r="A119" s="1887"/>
      <c r="B119" s="444"/>
      <c r="C119" s="905"/>
      <c r="D119" s="445"/>
      <c r="E119" s="909"/>
      <c r="F119" s="910"/>
      <c r="G119" s="909"/>
      <c r="H119" s="910"/>
      <c r="I119" s="445"/>
      <c r="J119" s="445"/>
      <c r="K119" s="905"/>
      <c r="L119" s="7"/>
    </row>
    <row r="120" spans="1:12" x14ac:dyDescent="0.2">
      <c r="A120" s="1887"/>
      <c r="B120" s="444"/>
      <c r="C120" s="905"/>
      <c r="D120" s="445"/>
      <c r="E120" s="909"/>
      <c r="F120" s="910"/>
      <c r="G120" s="909"/>
      <c r="H120" s="910"/>
      <c r="I120" s="445"/>
      <c r="J120" s="445"/>
      <c r="K120" s="905"/>
      <c r="L120" s="7"/>
    </row>
    <row r="121" spans="1:12" x14ac:dyDescent="0.2">
      <c r="A121" s="1887"/>
      <c r="B121" s="444"/>
      <c r="C121" s="905"/>
      <c r="D121" s="445"/>
      <c r="E121" s="909"/>
      <c r="F121" s="910"/>
      <c r="G121" s="909"/>
      <c r="H121" s="910"/>
      <c r="I121" s="445"/>
      <c r="J121" s="445"/>
      <c r="K121" s="905"/>
      <c r="L121" s="7"/>
    </row>
    <row r="122" spans="1:12" x14ac:dyDescent="0.2">
      <c r="A122" s="1887"/>
      <c r="B122" s="444"/>
      <c r="C122" s="905"/>
      <c r="D122" s="445"/>
      <c r="E122" s="909"/>
      <c r="F122" s="910"/>
      <c r="G122" s="909"/>
      <c r="H122" s="910"/>
      <c r="I122" s="445"/>
      <c r="J122" s="445"/>
      <c r="K122" s="905"/>
      <c r="L122" s="7"/>
    </row>
    <row r="123" spans="1:12" x14ac:dyDescent="0.2">
      <c r="A123" s="1887"/>
      <c r="B123" s="444"/>
      <c r="C123" s="905"/>
      <c r="D123" s="445"/>
      <c r="E123" s="909"/>
      <c r="F123" s="910"/>
      <c r="G123" s="909"/>
      <c r="H123" s="910"/>
      <c r="I123" s="445"/>
      <c r="J123" s="445"/>
      <c r="K123" s="905"/>
      <c r="L123" s="7"/>
    </row>
    <row r="124" spans="1:12" x14ac:dyDescent="0.2">
      <c r="A124" s="1887"/>
      <c r="B124" s="444"/>
      <c r="C124" s="905"/>
      <c r="D124" s="445"/>
      <c r="E124" s="909"/>
      <c r="F124" s="910"/>
      <c r="G124" s="909"/>
      <c r="H124" s="910"/>
      <c r="I124" s="445"/>
      <c r="J124" s="445"/>
      <c r="K124" s="905"/>
      <c r="L124" s="7"/>
    </row>
    <row r="125" spans="1:12" x14ac:dyDescent="0.2">
      <c r="A125" s="1887"/>
      <c r="B125" s="444"/>
      <c r="C125" s="905"/>
      <c r="D125" s="445"/>
      <c r="E125" s="909"/>
      <c r="F125" s="910"/>
      <c r="G125" s="909"/>
      <c r="H125" s="910"/>
      <c r="I125" s="445"/>
      <c r="J125" s="445"/>
      <c r="K125" s="905"/>
      <c r="L125" s="7"/>
    </row>
    <row r="126" spans="1:12" x14ac:dyDescent="0.2">
      <c r="A126" s="1887"/>
      <c r="B126" s="444"/>
      <c r="C126" s="905"/>
      <c r="D126" s="445"/>
      <c r="E126" s="909"/>
      <c r="F126" s="910"/>
      <c r="G126" s="909"/>
      <c r="H126" s="910"/>
      <c r="I126" s="445"/>
      <c r="J126" s="445"/>
      <c r="K126" s="905"/>
      <c r="L126" s="7"/>
    </row>
    <row r="127" spans="1:12" x14ac:dyDescent="0.2">
      <c r="A127" s="1887"/>
      <c r="B127" s="444"/>
      <c r="C127" s="905"/>
      <c r="D127" s="445"/>
      <c r="E127" s="909"/>
      <c r="F127" s="910"/>
      <c r="G127" s="909"/>
      <c r="H127" s="910"/>
      <c r="I127" s="445"/>
      <c r="J127" s="445"/>
      <c r="K127" s="905"/>
      <c r="L127" s="7"/>
    </row>
    <row r="128" spans="1:12" x14ac:dyDescent="0.2">
      <c r="A128" s="1887"/>
      <c r="B128" s="444"/>
      <c r="C128" s="905"/>
      <c r="D128" s="445"/>
      <c r="E128" s="909"/>
      <c r="F128" s="910"/>
      <c r="G128" s="909"/>
      <c r="H128" s="910"/>
      <c r="I128" s="445"/>
      <c r="J128" s="445"/>
      <c r="K128" s="905"/>
      <c r="L128" s="7"/>
    </row>
    <row r="129" spans="1:12" x14ac:dyDescent="0.2">
      <c r="A129" s="1887"/>
      <c r="B129" s="444"/>
      <c r="C129" s="905"/>
      <c r="D129" s="445"/>
      <c r="E129" s="909"/>
      <c r="F129" s="910"/>
      <c r="G129" s="909"/>
      <c r="H129" s="910"/>
      <c r="I129" s="445"/>
      <c r="J129" s="445"/>
      <c r="K129" s="905"/>
      <c r="L129" s="7"/>
    </row>
    <row r="130" spans="1:12" x14ac:dyDescent="0.2">
      <c r="A130" s="1887"/>
      <c r="B130" s="444"/>
      <c r="C130" s="905"/>
      <c r="D130" s="445"/>
      <c r="E130" s="909"/>
      <c r="F130" s="910"/>
      <c r="G130" s="909"/>
      <c r="H130" s="910"/>
      <c r="I130" s="445"/>
      <c r="J130" s="445"/>
      <c r="K130" s="905"/>
      <c r="L130" s="7"/>
    </row>
    <row r="131" spans="1:12" x14ac:dyDescent="0.2">
      <c r="A131" s="1887"/>
      <c r="B131" s="444"/>
      <c r="C131" s="905"/>
      <c r="D131" s="445"/>
      <c r="E131" s="909"/>
      <c r="F131" s="910"/>
      <c r="G131" s="909"/>
      <c r="H131" s="910"/>
      <c r="I131" s="445"/>
      <c r="J131" s="445"/>
      <c r="K131" s="905"/>
      <c r="L131" s="7"/>
    </row>
    <row r="132" spans="1:12" x14ac:dyDescent="0.2">
      <c r="A132" s="1887"/>
      <c r="B132" s="444"/>
      <c r="C132" s="905"/>
      <c r="D132" s="445"/>
      <c r="E132" s="909"/>
      <c r="F132" s="910"/>
      <c r="G132" s="909"/>
      <c r="H132" s="910"/>
      <c r="I132" s="445"/>
      <c r="J132" s="445"/>
      <c r="K132" s="905"/>
      <c r="L132" s="7"/>
    </row>
    <row r="133" spans="1:12" x14ac:dyDescent="0.2">
      <c r="A133" s="1887"/>
      <c r="B133" s="444"/>
      <c r="C133" s="905"/>
      <c r="D133" s="445"/>
      <c r="E133" s="909"/>
      <c r="F133" s="910"/>
      <c r="G133" s="909"/>
      <c r="H133" s="910"/>
      <c r="I133" s="445"/>
      <c r="J133" s="445"/>
      <c r="K133" s="905"/>
      <c r="L133" s="7"/>
    </row>
    <row r="134" spans="1:12" x14ac:dyDescent="0.2">
      <c r="A134" s="1887"/>
      <c r="B134" s="444"/>
      <c r="C134" s="905"/>
      <c r="D134" s="445"/>
      <c r="E134" s="909"/>
      <c r="F134" s="910"/>
      <c r="G134" s="909"/>
      <c r="H134" s="910"/>
      <c r="I134" s="445"/>
      <c r="J134" s="445"/>
      <c r="K134" s="905"/>
      <c r="L134" s="7"/>
    </row>
    <row r="135" spans="1:12" x14ac:dyDescent="0.2">
      <c r="A135" s="1887"/>
      <c r="B135" s="444"/>
      <c r="C135" s="905"/>
      <c r="D135" s="445"/>
      <c r="E135" s="909"/>
      <c r="F135" s="910"/>
      <c r="G135" s="909"/>
      <c r="H135" s="910"/>
      <c r="I135" s="445"/>
      <c r="J135" s="445"/>
      <c r="K135" s="905"/>
      <c r="L135" s="7"/>
    </row>
    <row r="136" spans="1:12" x14ac:dyDescent="0.2">
      <c r="A136" s="1887"/>
      <c r="B136" s="444"/>
      <c r="C136" s="905"/>
      <c r="D136" s="445"/>
      <c r="E136" s="909"/>
      <c r="F136" s="910"/>
      <c r="G136" s="909"/>
      <c r="H136" s="910"/>
      <c r="I136" s="445"/>
      <c r="J136" s="445"/>
      <c r="K136" s="905"/>
      <c r="L136" s="7"/>
    </row>
    <row r="137" spans="1:12" x14ac:dyDescent="0.2">
      <c r="A137" s="1887"/>
      <c r="B137" s="444"/>
      <c r="C137" s="905"/>
      <c r="D137" s="445"/>
      <c r="E137" s="909"/>
      <c r="F137" s="910"/>
      <c r="G137" s="909"/>
      <c r="H137" s="910"/>
      <c r="I137" s="445"/>
      <c r="J137" s="445"/>
      <c r="K137" s="905"/>
      <c r="L137" s="7"/>
    </row>
    <row r="138" spans="1:12" x14ac:dyDescent="0.2">
      <c r="A138" s="1887"/>
      <c r="B138" s="444"/>
      <c r="C138" s="905"/>
      <c r="D138" s="445"/>
      <c r="E138" s="909"/>
      <c r="F138" s="910"/>
      <c r="G138" s="909"/>
      <c r="H138" s="910"/>
      <c r="I138" s="445"/>
      <c r="J138" s="445"/>
      <c r="K138" s="905"/>
      <c r="L138" s="7"/>
    </row>
    <row r="139" spans="1:12" x14ac:dyDescent="0.2">
      <c r="A139" s="1887"/>
      <c r="B139" s="444"/>
      <c r="C139" s="905"/>
      <c r="D139" s="445"/>
      <c r="E139" s="909"/>
      <c r="F139" s="910"/>
      <c r="G139" s="909"/>
      <c r="H139" s="910"/>
      <c r="I139" s="445"/>
      <c r="J139" s="445"/>
      <c r="K139" s="905"/>
      <c r="L139" s="7"/>
    </row>
    <row r="140" spans="1:12" x14ac:dyDescent="0.2">
      <c r="A140" s="1887"/>
      <c r="B140" s="444"/>
      <c r="C140" s="905"/>
      <c r="D140" s="445"/>
      <c r="E140" s="909"/>
      <c r="F140" s="910"/>
      <c r="G140" s="909"/>
      <c r="H140" s="910"/>
      <c r="I140" s="445"/>
      <c r="J140" s="445"/>
      <c r="K140" s="905"/>
      <c r="L140" s="7"/>
    </row>
    <row r="141" spans="1:12" x14ac:dyDescent="0.2">
      <c r="A141" s="1887"/>
      <c r="B141" s="444"/>
      <c r="C141" s="905"/>
      <c r="D141" s="445"/>
      <c r="E141" s="909"/>
      <c r="F141" s="910"/>
      <c r="G141" s="909"/>
      <c r="H141" s="910"/>
      <c r="I141" s="445"/>
      <c r="J141" s="445"/>
      <c r="K141" s="905"/>
      <c r="L141" s="7"/>
    </row>
    <row r="142" spans="1:12" x14ac:dyDescent="0.2">
      <c r="A142" s="1887"/>
      <c r="B142" s="444"/>
      <c r="C142" s="905"/>
      <c r="D142" s="445"/>
      <c r="E142" s="909"/>
      <c r="F142" s="910"/>
      <c r="G142" s="909"/>
      <c r="H142" s="910"/>
      <c r="I142" s="445"/>
      <c r="J142" s="445"/>
      <c r="K142" s="905"/>
      <c r="L142" s="7"/>
    </row>
    <row r="143" spans="1:12" x14ac:dyDescent="0.2">
      <c r="A143" s="1887"/>
      <c r="B143" s="444"/>
      <c r="C143" s="905"/>
      <c r="D143" s="445"/>
      <c r="E143" s="909"/>
      <c r="F143" s="910"/>
      <c r="G143" s="909"/>
      <c r="H143" s="910"/>
      <c r="I143" s="445"/>
      <c r="J143" s="445"/>
      <c r="K143" s="905"/>
      <c r="L143" s="7"/>
    </row>
    <row r="144" spans="1:12" x14ac:dyDescent="0.2">
      <c r="A144" s="1887"/>
      <c r="B144" s="444"/>
      <c r="C144" s="905"/>
      <c r="D144" s="445"/>
      <c r="E144" s="909"/>
      <c r="F144" s="910"/>
      <c r="G144" s="909"/>
      <c r="H144" s="910"/>
      <c r="I144" s="445"/>
      <c r="J144" s="445"/>
      <c r="K144" s="905"/>
      <c r="L144" s="7"/>
    </row>
    <row r="145" spans="1:12" x14ac:dyDescent="0.2">
      <c r="A145" s="1887"/>
      <c r="B145" s="444"/>
      <c r="C145" s="905"/>
      <c r="D145" s="445"/>
      <c r="E145" s="909"/>
      <c r="F145" s="910"/>
      <c r="G145" s="909"/>
      <c r="H145" s="910"/>
      <c r="I145" s="445"/>
      <c r="J145" s="445"/>
      <c r="K145" s="905"/>
      <c r="L145" s="7"/>
    </row>
    <row r="146" spans="1:12" x14ac:dyDescent="0.2">
      <c r="A146" s="1887"/>
      <c r="B146" s="444"/>
      <c r="C146" s="905"/>
      <c r="D146" s="445"/>
      <c r="E146" s="909"/>
      <c r="F146" s="910"/>
      <c r="G146" s="909"/>
      <c r="H146" s="910"/>
      <c r="I146" s="445"/>
      <c r="J146" s="445"/>
      <c r="K146" s="905"/>
      <c r="L146" s="7"/>
    </row>
    <row r="147" spans="1:12" x14ac:dyDescent="0.2">
      <c r="A147" s="1887"/>
      <c r="B147" s="444"/>
      <c r="C147" s="905"/>
      <c r="D147" s="445"/>
      <c r="E147" s="909"/>
      <c r="F147" s="910"/>
      <c r="G147" s="909"/>
      <c r="H147" s="910"/>
      <c r="I147" s="445"/>
      <c r="J147" s="445"/>
      <c r="K147" s="905"/>
      <c r="L147" s="7"/>
    </row>
    <row r="148" spans="1:12" x14ac:dyDescent="0.2">
      <c r="A148" s="1887"/>
      <c r="B148" s="444"/>
      <c r="C148" s="905"/>
      <c r="D148" s="445"/>
      <c r="E148" s="909"/>
      <c r="F148" s="910"/>
      <c r="G148" s="909"/>
      <c r="H148" s="910"/>
      <c r="I148" s="445"/>
      <c r="J148" s="445"/>
      <c r="K148" s="905"/>
      <c r="L148" s="7"/>
    </row>
    <row r="149" spans="1:12" x14ac:dyDescent="0.2">
      <c r="A149" s="1887"/>
      <c r="B149" s="444"/>
      <c r="C149" s="905"/>
      <c r="D149" s="445"/>
      <c r="E149" s="909"/>
      <c r="F149" s="910"/>
      <c r="G149" s="909"/>
      <c r="H149" s="910"/>
      <c r="I149" s="445"/>
      <c r="J149" s="445"/>
      <c r="K149" s="905"/>
      <c r="L149" s="7"/>
    </row>
    <row r="150" spans="1:12" x14ac:dyDescent="0.2">
      <c r="A150" s="1887"/>
      <c r="B150" s="444"/>
      <c r="C150" s="905"/>
      <c r="D150" s="445"/>
      <c r="E150" s="909"/>
      <c r="F150" s="910"/>
      <c r="G150" s="909"/>
      <c r="H150" s="910"/>
      <c r="I150" s="445"/>
      <c r="J150" s="445"/>
      <c r="K150" s="905"/>
      <c r="L150" s="7"/>
    </row>
    <row r="151" spans="1:12" x14ac:dyDescent="0.2">
      <c r="A151" s="1887"/>
      <c r="B151" s="444"/>
      <c r="C151" s="905"/>
      <c r="D151" s="445"/>
      <c r="E151" s="909"/>
      <c r="F151" s="910"/>
      <c r="G151" s="909"/>
      <c r="H151" s="910"/>
      <c r="I151" s="445"/>
      <c r="J151" s="445"/>
      <c r="K151" s="905"/>
      <c r="L151" s="7"/>
    </row>
    <row r="152" spans="1:12" x14ac:dyDescent="0.2">
      <c r="A152" s="1887"/>
      <c r="B152" s="444"/>
      <c r="C152" s="905"/>
      <c r="D152" s="445"/>
      <c r="E152" s="909"/>
      <c r="F152" s="910"/>
      <c r="G152" s="909"/>
      <c r="H152" s="910"/>
      <c r="I152" s="445"/>
      <c r="J152" s="445"/>
      <c r="K152" s="905"/>
      <c r="L152" s="7"/>
    </row>
    <row r="153" spans="1:12" x14ac:dyDescent="0.2">
      <c r="A153" s="1887"/>
      <c r="B153" s="444"/>
      <c r="C153" s="905"/>
      <c r="D153" s="445"/>
      <c r="E153" s="909"/>
      <c r="F153" s="910"/>
      <c r="G153" s="909"/>
      <c r="H153" s="910"/>
      <c r="I153" s="445"/>
      <c r="J153" s="445"/>
      <c r="K153" s="905"/>
      <c r="L153" s="7"/>
    </row>
    <row r="154" spans="1:12" x14ac:dyDescent="0.2">
      <c r="A154" s="1887"/>
      <c r="B154" s="444"/>
      <c r="C154" s="905"/>
      <c r="D154" s="445"/>
      <c r="E154" s="909"/>
      <c r="F154" s="910"/>
      <c r="G154" s="909"/>
      <c r="H154" s="910"/>
      <c r="I154" s="445"/>
      <c r="J154" s="445"/>
      <c r="K154" s="905"/>
      <c r="L154" s="7"/>
    </row>
    <row r="155" spans="1:12" x14ac:dyDescent="0.2">
      <c r="A155" s="1887"/>
      <c r="B155" s="444"/>
      <c r="C155" s="905"/>
      <c r="D155" s="445"/>
      <c r="E155" s="909"/>
      <c r="F155" s="910"/>
      <c r="G155" s="909"/>
      <c r="H155" s="910"/>
      <c r="I155" s="445"/>
      <c r="J155" s="445"/>
      <c r="K155" s="905"/>
      <c r="L155" s="7"/>
    </row>
    <row r="156" spans="1:12" x14ac:dyDescent="0.2">
      <c r="A156" s="1887"/>
      <c r="B156" s="444"/>
      <c r="C156" s="905"/>
      <c r="D156" s="445"/>
      <c r="E156" s="909"/>
      <c r="F156" s="910"/>
      <c r="G156" s="909"/>
      <c r="H156" s="910"/>
      <c r="I156" s="445"/>
      <c r="J156" s="445"/>
      <c r="K156" s="905"/>
      <c r="L156" s="7"/>
    </row>
    <row r="157" spans="1:12" x14ac:dyDescent="0.2">
      <c r="A157" s="1887"/>
      <c r="B157" s="444"/>
      <c r="C157" s="905"/>
      <c r="D157" s="445"/>
      <c r="E157" s="909"/>
      <c r="F157" s="910"/>
      <c r="G157" s="909"/>
      <c r="H157" s="910"/>
      <c r="I157" s="445"/>
      <c r="J157" s="445"/>
      <c r="K157" s="905"/>
      <c r="L157" s="7"/>
    </row>
    <row r="158" spans="1:12" x14ac:dyDescent="0.2">
      <c r="A158" s="1887"/>
      <c r="B158" s="444"/>
      <c r="C158" s="905"/>
      <c r="D158" s="445"/>
      <c r="E158" s="909"/>
      <c r="F158" s="910"/>
      <c r="G158" s="909"/>
      <c r="H158" s="910"/>
      <c r="I158" s="445"/>
      <c r="J158" s="445"/>
      <c r="K158" s="905"/>
      <c r="L158" s="7"/>
    </row>
    <row r="159" spans="1:12" x14ac:dyDescent="0.2">
      <c r="A159" s="1887"/>
      <c r="B159" s="444"/>
      <c r="C159" s="905"/>
      <c r="D159" s="445"/>
      <c r="E159" s="909"/>
      <c r="F159" s="910"/>
      <c r="G159" s="909"/>
      <c r="H159" s="910"/>
      <c r="I159" s="445"/>
      <c r="J159" s="445"/>
      <c r="K159" s="905"/>
      <c r="L159" s="7"/>
    </row>
    <row r="160" spans="1:12" x14ac:dyDescent="0.2">
      <c r="A160" s="1887"/>
      <c r="B160" s="444"/>
      <c r="C160" s="905"/>
      <c r="D160" s="445"/>
      <c r="E160" s="909"/>
      <c r="F160" s="910"/>
      <c r="G160" s="909"/>
      <c r="H160" s="910"/>
      <c r="I160" s="445"/>
      <c r="J160" s="445"/>
      <c r="K160" s="905"/>
      <c r="L160" s="7"/>
    </row>
    <row r="161" spans="1:12" x14ac:dyDescent="0.2">
      <c r="A161" s="1887"/>
      <c r="B161" s="444"/>
      <c r="C161" s="905"/>
      <c r="D161" s="445"/>
      <c r="E161" s="909"/>
      <c r="F161" s="910"/>
      <c r="G161" s="909"/>
      <c r="H161" s="910"/>
      <c r="I161" s="445"/>
      <c r="J161" s="445"/>
      <c r="K161" s="905"/>
      <c r="L161" s="7"/>
    </row>
    <row r="162" spans="1:12" x14ac:dyDescent="0.2">
      <c r="A162" s="1887"/>
      <c r="B162" s="444"/>
      <c r="C162" s="905"/>
      <c r="D162" s="445"/>
      <c r="E162" s="909"/>
      <c r="F162" s="910"/>
      <c r="G162" s="909"/>
      <c r="H162" s="910"/>
      <c r="I162" s="445"/>
      <c r="J162" s="445"/>
      <c r="K162" s="905"/>
      <c r="L162" s="7"/>
    </row>
    <row r="163" spans="1:12" x14ac:dyDescent="0.2">
      <c r="A163" s="1887"/>
      <c r="B163" s="444"/>
      <c r="C163" s="905"/>
      <c r="D163" s="445"/>
      <c r="E163" s="909"/>
      <c r="F163" s="910"/>
      <c r="G163" s="909"/>
      <c r="H163" s="910"/>
      <c r="I163" s="445"/>
      <c r="J163" s="445"/>
      <c r="K163" s="905"/>
      <c r="L163" s="7"/>
    </row>
    <row r="164" spans="1:12" x14ac:dyDescent="0.2">
      <c r="A164" s="1887"/>
      <c r="B164" s="444"/>
      <c r="C164" s="905"/>
      <c r="D164" s="445"/>
      <c r="E164" s="909"/>
      <c r="F164" s="910"/>
      <c r="G164" s="909"/>
      <c r="H164" s="910"/>
      <c r="I164" s="445"/>
      <c r="J164" s="445"/>
      <c r="K164" s="905"/>
      <c r="L164" s="7"/>
    </row>
    <row r="165" spans="1:12" x14ac:dyDescent="0.2">
      <c r="A165" s="1887"/>
      <c r="B165" s="444"/>
      <c r="C165" s="905"/>
      <c r="D165" s="445"/>
      <c r="E165" s="909"/>
      <c r="F165" s="910"/>
      <c r="G165" s="909"/>
      <c r="H165" s="910"/>
      <c r="I165" s="445"/>
      <c r="J165" s="445"/>
      <c r="K165" s="905"/>
      <c r="L165" s="7"/>
    </row>
    <row r="166" spans="1:12" x14ac:dyDescent="0.2">
      <c r="A166" s="1887"/>
      <c r="B166" s="444"/>
      <c r="C166" s="905"/>
      <c r="D166" s="445"/>
      <c r="E166" s="909"/>
      <c r="F166" s="910"/>
      <c r="G166" s="909"/>
      <c r="H166" s="910"/>
      <c r="I166" s="445"/>
      <c r="J166" s="445"/>
      <c r="K166" s="905"/>
      <c r="L166" s="7"/>
    </row>
    <row r="167" spans="1:12" x14ac:dyDescent="0.2">
      <c r="A167" s="1887"/>
      <c r="B167" s="444"/>
      <c r="C167" s="905"/>
      <c r="D167" s="445"/>
      <c r="E167" s="909"/>
      <c r="F167" s="910"/>
      <c r="G167" s="909"/>
      <c r="H167" s="910"/>
      <c r="I167" s="445"/>
      <c r="J167" s="445"/>
      <c r="K167" s="905"/>
      <c r="L167" s="7"/>
    </row>
    <row r="168" spans="1:12" x14ac:dyDescent="0.2">
      <c r="A168" s="1887"/>
      <c r="B168" s="444"/>
      <c r="C168" s="905"/>
      <c r="D168" s="445"/>
      <c r="E168" s="909"/>
      <c r="F168" s="910"/>
      <c r="G168" s="909"/>
      <c r="H168" s="910"/>
      <c r="I168" s="445"/>
      <c r="J168" s="445"/>
      <c r="K168" s="905"/>
      <c r="L168" s="7"/>
    </row>
    <row r="169" spans="1:12" x14ac:dyDescent="0.2">
      <c r="A169" s="1887"/>
      <c r="B169" s="444"/>
      <c r="C169" s="905"/>
      <c r="D169" s="445"/>
      <c r="E169" s="909"/>
      <c r="F169" s="910"/>
      <c r="G169" s="909"/>
      <c r="H169" s="910"/>
      <c r="I169" s="445"/>
      <c r="J169" s="445"/>
      <c r="K169" s="905"/>
      <c r="L169" s="7"/>
    </row>
    <row r="170" spans="1:12" x14ac:dyDescent="0.2">
      <c r="A170" s="1887"/>
      <c r="B170" s="444"/>
      <c r="C170" s="905"/>
      <c r="D170" s="445"/>
      <c r="E170" s="909"/>
      <c r="F170" s="910"/>
      <c r="G170" s="909"/>
      <c r="H170" s="910"/>
      <c r="I170" s="445"/>
      <c r="J170" s="445"/>
      <c r="K170" s="905"/>
      <c r="L170" s="7"/>
    </row>
    <row r="171" spans="1:12" x14ac:dyDescent="0.2">
      <c r="A171" s="1887"/>
      <c r="B171" s="444"/>
      <c r="C171" s="905"/>
      <c r="D171" s="445"/>
      <c r="E171" s="909"/>
      <c r="F171" s="910"/>
      <c r="G171" s="909"/>
      <c r="H171" s="910"/>
      <c r="I171" s="445"/>
      <c r="J171" s="445"/>
      <c r="K171" s="905"/>
      <c r="L171" s="7"/>
    </row>
    <row r="172" spans="1:12" x14ac:dyDescent="0.2">
      <c r="A172" s="1887"/>
      <c r="B172" s="444"/>
      <c r="C172" s="905"/>
      <c r="D172" s="445"/>
      <c r="E172" s="909"/>
      <c r="F172" s="910"/>
      <c r="G172" s="909"/>
      <c r="H172" s="910"/>
      <c r="I172" s="445"/>
      <c r="J172" s="445"/>
      <c r="K172" s="905"/>
      <c r="L172" s="7"/>
    </row>
    <row r="173" spans="1:12" x14ac:dyDescent="0.2">
      <c r="A173" s="1887"/>
      <c r="B173" s="444"/>
      <c r="C173" s="905"/>
      <c r="D173" s="445"/>
      <c r="E173" s="909"/>
      <c r="F173" s="910"/>
      <c r="G173" s="909"/>
      <c r="H173" s="910"/>
      <c r="I173" s="445"/>
      <c r="J173" s="445"/>
      <c r="K173" s="905"/>
      <c r="L173" s="7"/>
    </row>
    <row r="174" spans="1:12" x14ac:dyDescent="0.2">
      <c r="A174" s="1887"/>
      <c r="B174" s="444"/>
      <c r="C174" s="905"/>
      <c r="D174" s="445"/>
      <c r="E174" s="909"/>
      <c r="F174" s="910"/>
      <c r="G174" s="909"/>
      <c r="H174" s="910"/>
      <c r="I174" s="445"/>
      <c r="J174" s="445"/>
      <c r="K174" s="905"/>
      <c r="L174" s="7"/>
    </row>
    <row r="175" spans="1:12" x14ac:dyDescent="0.2">
      <c r="A175" s="1887"/>
      <c r="B175" s="444"/>
      <c r="C175" s="905"/>
      <c r="D175" s="445"/>
      <c r="E175" s="909"/>
      <c r="F175" s="910"/>
      <c r="G175" s="909"/>
      <c r="H175" s="910"/>
      <c r="I175" s="445"/>
      <c r="J175" s="445"/>
      <c r="K175" s="905"/>
      <c r="L175" s="7"/>
    </row>
    <row r="176" spans="1:12" x14ac:dyDescent="0.2">
      <c r="A176" s="1887"/>
      <c r="B176" s="444"/>
      <c r="C176" s="905"/>
      <c r="D176" s="445"/>
      <c r="E176" s="909"/>
      <c r="F176" s="910"/>
      <c r="G176" s="909"/>
      <c r="H176" s="910"/>
      <c r="I176" s="445"/>
      <c r="J176" s="445"/>
      <c r="K176" s="905"/>
      <c r="L176" s="7"/>
    </row>
    <row r="177" spans="1:12" x14ac:dyDescent="0.2">
      <c r="A177" s="1887"/>
      <c r="B177" s="444"/>
      <c r="C177" s="905"/>
      <c r="D177" s="445"/>
      <c r="E177" s="909"/>
      <c r="F177" s="910"/>
      <c r="G177" s="909"/>
      <c r="H177" s="910"/>
      <c r="I177" s="445"/>
      <c r="J177" s="445"/>
      <c r="K177" s="905"/>
      <c r="L177" s="7"/>
    </row>
    <row r="178" spans="1:12" x14ac:dyDescent="0.2">
      <c r="A178" s="1887"/>
      <c r="B178" s="444"/>
      <c r="C178" s="905"/>
      <c r="D178" s="445"/>
      <c r="E178" s="909"/>
      <c r="F178" s="910"/>
      <c r="G178" s="909"/>
      <c r="H178" s="910"/>
      <c r="I178" s="445"/>
      <c r="J178" s="445"/>
      <c r="K178" s="905"/>
      <c r="L178" s="7"/>
    </row>
    <row r="179" spans="1:12" x14ac:dyDescent="0.2">
      <c r="A179" s="7"/>
      <c r="B179" s="444"/>
      <c r="C179" s="905"/>
      <c r="D179" s="445"/>
      <c r="E179" s="909"/>
      <c r="F179" s="910"/>
      <c r="G179" s="909"/>
      <c r="H179" s="910"/>
      <c r="I179" s="445"/>
      <c r="J179" s="445"/>
      <c r="K179" s="905"/>
      <c r="L179" s="7"/>
    </row>
    <row r="180" spans="1:12" x14ac:dyDescent="0.2">
      <c r="A180" s="7"/>
      <c r="B180" s="444"/>
      <c r="C180" s="905"/>
      <c r="D180" s="445"/>
      <c r="E180" s="909"/>
      <c r="F180" s="910"/>
      <c r="G180" s="909"/>
      <c r="H180" s="910"/>
      <c r="I180" s="445"/>
      <c r="J180" s="445"/>
      <c r="K180" s="905"/>
      <c r="L180" s="7"/>
    </row>
    <row r="181" spans="1:12" x14ac:dyDescent="0.2">
      <c r="A181" s="7"/>
      <c r="B181" s="444"/>
      <c r="C181" s="905"/>
      <c r="D181" s="445"/>
      <c r="E181" s="909"/>
      <c r="F181" s="910"/>
      <c r="G181" s="909"/>
      <c r="H181" s="910"/>
      <c r="I181" s="445"/>
      <c r="J181" s="445"/>
      <c r="K181" s="905"/>
      <c r="L181" s="7"/>
    </row>
    <row r="182" spans="1:12" x14ac:dyDescent="0.2">
      <c r="A182" s="7"/>
      <c r="B182" s="444"/>
      <c r="C182" s="905"/>
      <c r="D182" s="445"/>
      <c r="E182" s="909"/>
      <c r="F182" s="910"/>
      <c r="G182" s="909"/>
      <c r="H182" s="910"/>
      <c r="I182" s="445"/>
      <c r="J182" s="445"/>
      <c r="K182" s="905"/>
      <c r="L182" s="7"/>
    </row>
    <row r="183" spans="1:12" x14ac:dyDescent="0.2">
      <c r="A183" s="7"/>
      <c r="B183" s="444"/>
      <c r="C183" s="905"/>
      <c r="D183" s="445"/>
      <c r="E183" s="909"/>
      <c r="F183" s="910"/>
      <c r="G183" s="909"/>
      <c r="H183" s="910"/>
      <c r="I183" s="445"/>
      <c r="J183" s="445"/>
      <c r="K183" s="905"/>
      <c r="L183" s="7"/>
    </row>
    <row r="184" spans="1:12" x14ac:dyDescent="0.2">
      <c r="A184" s="7"/>
      <c r="B184" s="444"/>
      <c r="C184" s="905"/>
      <c r="D184" s="445"/>
      <c r="E184" s="909"/>
      <c r="F184" s="910"/>
      <c r="G184" s="909"/>
      <c r="H184" s="910"/>
      <c r="I184" s="445"/>
      <c r="J184" s="445"/>
      <c r="K184" s="905"/>
      <c r="L184" s="7"/>
    </row>
    <row r="185" spans="1:12" x14ac:dyDescent="0.2">
      <c r="A185" s="7"/>
      <c r="B185" s="444"/>
      <c r="C185" s="905"/>
      <c r="D185" s="445"/>
      <c r="E185" s="909"/>
      <c r="F185" s="910"/>
      <c r="G185" s="909"/>
      <c r="H185" s="910"/>
      <c r="I185" s="445"/>
      <c r="J185" s="445"/>
      <c r="K185" s="905"/>
      <c r="L185" s="7"/>
    </row>
    <row r="186" spans="1:12" x14ac:dyDescent="0.2">
      <c r="A186" s="7"/>
      <c r="B186" s="444"/>
      <c r="C186" s="905"/>
      <c r="D186" s="445"/>
      <c r="E186" s="909"/>
      <c r="F186" s="910"/>
      <c r="G186" s="909"/>
      <c r="H186" s="910"/>
      <c r="I186" s="445"/>
      <c r="J186" s="445"/>
      <c r="K186" s="905"/>
      <c r="L186" s="7"/>
    </row>
    <row r="187" spans="1:12" x14ac:dyDescent="0.2">
      <c r="A187" s="7"/>
      <c r="B187" s="444"/>
      <c r="C187" s="905"/>
      <c r="D187" s="445"/>
      <c r="E187" s="909"/>
      <c r="F187" s="910"/>
      <c r="G187" s="909"/>
      <c r="H187" s="910"/>
      <c r="I187" s="445"/>
      <c r="J187" s="445"/>
      <c r="K187" s="905"/>
      <c r="L187" s="7"/>
    </row>
    <row r="188" spans="1:12" x14ac:dyDescent="0.2">
      <c r="A188" s="7"/>
      <c r="B188" s="444"/>
      <c r="C188" s="905"/>
      <c r="D188" s="445"/>
      <c r="E188" s="909"/>
      <c r="F188" s="910"/>
      <c r="G188" s="909"/>
      <c r="H188" s="910"/>
      <c r="I188" s="445"/>
      <c r="J188" s="445"/>
      <c r="K188" s="905"/>
      <c r="L188" s="7"/>
    </row>
    <row r="189" spans="1:12" x14ac:dyDescent="0.2">
      <c r="A189" s="7"/>
      <c r="B189" s="444"/>
      <c r="C189" s="905"/>
      <c r="D189" s="445"/>
      <c r="E189" s="909"/>
      <c r="F189" s="910"/>
      <c r="G189" s="909"/>
      <c r="H189" s="910"/>
      <c r="I189" s="445"/>
      <c r="J189" s="445"/>
      <c r="K189" s="905"/>
      <c r="L189" s="7"/>
    </row>
    <row r="190" spans="1:12" x14ac:dyDescent="0.2">
      <c r="A190" s="7"/>
      <c r="B190" s="444"/>
      <c r="C190" s="905"/>
      <c r="D190" s="445"/>
      <c r="E190" s="909"/>
      <c r="F190" s="910"/>
      <c r="G190" s="909"/>
      <c r="H190" s="910"/>
      <c r="I190" s="445"/>
      <c r="J190" s="445"/>
      <c r="K190" s="905"/>
      <c r="L190" s="7"/>
    </row>
    <row r="191" spans="1:12" x14ac:dyDescent="0.2">
      <c r="A191" s="7"/>
      <c r="B191" s="444"/>
      <c r="C191" s="905"/>
      <c r="D191" s="445"/>
      <c r="E191" s="909"/>
      <c r="F191" s="910"/>
      <c r="G191" s="909"/>
      <c r="H191" s="910"/>
      <c r="I191" s="445"/>
      <c r="J191" s="445"/>
      <c r="K191" s="905"/>
      <c r="L191" s="7"/>
    </row>
    <row r="192" spans="1:12" x14ac:dyDescent="0.2">
      <c r="A192" s="7"/>
      <c r="B192" s="444"/>
      <c r="C192" s="905"/>
      <c r="D192" s="445"/>
      <c r="E192" s="909"/>
      <c r="F192" s="910"/>
      <c r="G192" s="909"/>
      <c r="H192" s="910"/>
      <c r="I192" s="445"/>
      <c r="J192" s="445"/>
      <c r="K192" s="905"/>
      <c r="L192" s="7"/>
    </row>
    <row r="193" spans="2:11" s="7" customFormat="1" x14ac:dyDescent="0.2">
      <c r="B193" s="444"/>
      <c r="C193" s="905"/>
      <c r="D193" s="445"/>
      <c r="E193" s="909"/>
      <c r="F193" s="910"/>
      <c r="G193" s="909"/>
      <c r="H193" s="910"/>
      <c r="I193" s="445"/>
      <c r="J193" s="445"/>
      <c r="K193" s="905"/>
    </row>
    <row r="194" spans="2:11" s="7" customFormat="1" x14ac:dyDescent="0.2">
      <c r="B194" s="444"/>
      <c r="C194" s="905"/>
      <c r="D194" s="445"/>
      <c r="E194" s="909"/>
      <c r="F194" s="910"/>
      <c r="G194" s="909"/>
      <c r="H194" s="910"/>
      <c r="I194" s="445"/>
      <c r="J194" s="445"/>
      <c r="K194" s="905"/>
    </row>
    <row r="195" spans="2:11" s="7" customFormat="1" x14ac:dyDescent="0.2">
      <c r="B195" s="444"/>
      <c r="C195" s="905"/>
      <c r="D195" s="445"/>
      <c r="E195" s="909"/>
      <c r="F195" s="910"/>
      <c r="G195" s="909"/>
      <c r="H195" s="910"/>
      <c r="I195" s="445"/>
      <c r="J195" s="445"/>
      <c r="K195" s="905"/>
    </row>
    <row r="196" spans="2:11" s="7" customFormat="1" x14ac:dyDescent="0.2">
      <c r="B196" s="444"/>
      <c r="C196" s="905"/>
      <c r="D196" s="445"/>
      <c r="E196" s="909"/>
      <c r="F196" s="910"/>
      <c r="G196" s="909"/>
      <c r="H196" s="910"/>
      <c r="I196" s="445"/>
      <c r="J196" s="445"/>
      <c r="K196" s="905"/>
    </row>
    <row r="197" spans="2:11" s="7" customFormat="1" x14ac:dyDescent="0.2">
      <c r="B197" s="444"/>
      <c r="C197" s="905"/>
      <c r="D197" s="445"/>
      <c r="E197" s="909"/>
      <c r="F197" s="910"/>
      <c r="G197" s="909"/>
      <c r="H197" s="910"/>
      <c r="I197" s="445"/>
      <c r="J197" s="445"/>
      <c r="K197" s="905"/>
    </row>
    <row r="198" spans="2:11" s="7" customFormat="1" x14ac:dyDescent="0.2">
      <c r="B198" s="444"/>
      <c r="C198" s="905"/>
      <c r="D198" s="445"/>
      <c r="E198" s="909"/>
      <c r="F198" s="910"/>
      <c r="G198" s="909"/>
      <c r="H198" s="910"/>
      <c r="I198" s="445"/>
      <c r="J198" s="445"/>
      <c r="K198" s="905"/>
    </row>
    <row r="199" spans="2:11" s="7" customFormat="1" x14ac:dyDescent="0.2">
      <c r="B199" s="444"/>
      <c r="C199" s="905"/>
      <c r="D199" s="445"/>
      <c r="E199" s="909"/>
      <c r="F199" s="910"/>
      <c r="G199" s="909"/>
      <c r="H199" s="910"/>
      <c r="I199" s="445"/>
      <c r="J199" s="445"/>
      <c r="K199" s="905"/>
    </row>
    <row r="200" spans="2:11" s="7" customFormat="1" x14ac:dyDescent="0.2">
      <c r="B200" s="444"/>
      <c r="C200" s="905"/>
      <c r="D200" s="445"/>
      <c r="E200" s="909"/>
      <c r="F200" s="910"/>
      <c r="G200" s="909"/>
      <c r="H200" s="910"/>
      <c r="I200" s="445"/>
      <c r="J200" s="445"/>
      <c r="K200" s="905"/>
    </row>
    <row r="201" spans="2:11" s="7" customFormat="1" x14ac:dyDescent="0.2">
      <c r="B201" s="444"/>
      <c r="C201" s="905"/>
      <c r="D201" s="445"/>
      <c r="E201" s="909"/>
      <c r="F201" s="910"/>
      <c r="G201" s="909"/>
      <c r="H201" s="910"/>
      <c r="I201" s="445"/>
      <c r="J201" s="445"/>
      <c r="K201" s="905"/>
    </row>
    <row r="202" spans="2:11" s="7" customFormat="1" x14ac:dyDescent="0.2">
      <c r="B202" s="444"/>
      <c r="C202" s="905"/>
      <c r="D202" s="445"/>
      <c r="E202" s="909"/>
      <c r="F202" s="910"/>
      <c r="G202" s="909"/>
      <c r="H202" s="910"/>
      <c r="I202" s="445"/>
      <c r="J202" s="445"/>
      <c r="K202" s="905"/>
    </row>
    <row r="203" spans="2:11" s="7" customFormat="1" x14ac:dyDescent="0.2">
      <c r="B203" s="444"/>
      <c r="C203" s="905"/>
      <c r="D203" s="445"/>
      <c r="E203" s="909"/>
      <c r="F203" s="910"/>
      <c r="G203" s="909"/>
      <c r="H203" s="910"/>
      <c r="I203" s="445"/>
      <c r="J203" s="445"/>
      <c r="K203" s="905"/>
    </row>
    <row r="204" spans="2:11" s="7" customFormat="1" x14ac:dyDescent="0.2">
      <c r="B204" s="444"/>
      <c r="C204" s="905"/>
      <c r="D204" s="445"/>
      <c r="E204" s="909"/>
      <c r="F204" s="910"/>
      <c r="G204" s="909"/>
      <c r="H204" s="910"/>
      <c r="I204" s="445"/>
      <c r="J204" s="445"/>
      <c r="K204" s="905"/>
    </row>
    <row r="205" spans="2:11" s="7" customFormat="1" x14ac:dyDescent="0.2">
      <c r="B205" s="444"/>
      <c r="C205" s="905"/>
      <c r="D205" s="445"/>
      <c r="E205" s="909"/>
      <c r="F205" s="910"/>
      <c r="G205" s="909"/>
      <c r="H205" s="910"/>
      <c r="I205" s="445"/>
      <c r="J205" s="445"/>
      <c r="K205" s="905"/>
    </row>
    <row r="206" spans="2:11" s="7" customFormat="1" x14ac:dyDescent="0.2">
      <c r="B206" s="444"/>
      <c r="C206" s="905"/>
      <c r="D206" s="445"/>
      <c r="E206" s="909"/>
      <c r="F206" s="910"/>
      <c r="G206" s="909"/>
      <c r="H206" s="910"/>
      <c r="I206" s="445"/>
      <c r="J206" s="445"/>
      <c r="K206" s="905"/>
    </row>
    <row r="207" spans="2:11" s="7" customFormat="1" x14ac:dyDescent="0.2">
      <c r="B207" s="444"/>
      <c r="C207" s="905"/>
      <c r="D207" s="445"/>
      <c r="E207" s="909"/>
      <c r="F207" s="910"/>
      <c r="G207" s="909"/>
      <c r="H207" s="910"/>
      <c r="I207" s="445"/>
      <c r="J207" s="445"/>
      <c r="K207" s="905"/>
    </row>
    <row r="208" spans="2:11" s="7" customFormat="1" x14ac:dyDescent="0.2">
      <c r="B208" s="444"/>
      <c r="C208" s="905"/>
      <c r="D208" s="445"/>
      <c r="E208" s="909"/>
      <c r="F208" s="910"/>
      <c r="G208" s="909"/>
      <c r="H208" s="910"/>
      <c r="I208" s="445"/>
      <c r="J208" s="445"/>
      <c r="K208" s="905"/>
    </row>
    <row r="209" spans="2:11" s="7" customFormat="1" x14ac:dyDescent="0.2">
      <c r="B209" s="444"/>
      <c r="C209" s="905"/>
      <c r="D209" s="445"/>
      <c r="E209" s="909"/>
      <c r="F209" s="910"/>
      <c r="G209" s="909"/>
      <c r="H209" s="910"/>
      <c r="I209" s="445"/>
      <c r="J209" s="445"/>
      <c r="K209" s="905"/>
    </row>
    <row r="210" spans="2:11" s="7" customFormat="1" x14ac:dyDescent="0.2">
      <c r="B210" s="444"/>
      <c r="C210" s="905"/>
      <c r="D210" s="445"/>
      <c r="E210" s="909"/>
      <c r="F210" s="910"/>
      <c r="G210" s="909"/>
      <c r="H210" s="910"/>
      <c r="I210" s="445"/>
      <c r="J210" s="445"/>
      <c r="K210" s="905"/>
    </row>
    <row r="211" spans="2:11" s="7" customFormat="1" x14ac:dyDescent="0.2">
      <c r="B211" s="444"/>
      <c r="C211" s="905"/>
      <c r="D211" s="445"/>
      <c r="E211" s="909"/>
      <c r="F211" s="910"/>
      <c r="G211" s="909"/>
      <c r="H211" s="910"/>
      <c r="I211" s="445"/>
      <c r="J211" s="445"/>
      <c r="K211" s="905"/>
    </row>
    <row r="212" spans="2:11" s="7" customFormat="1" x14ac:dyDescent="0.2">
      <c r="B212" s="444"/>
      <c r="C212" s="905"/>
      <c r="D212" s="445"/>
      <c r="E212" s="909"/>
      <c r="F212" s="910"/>
      <c r="G212" s="909"/>
      <c r="H212" s="910"/>
      <c r="I212" s="445"/>
      <c r="J212" s="445"/>
      <c r="K212" s="905"/>
    </row>
    <row r="213" spans="2:11" s="7" customFormat="1" x14ac:dyDescent="0.2">
      <c r="B213" s="444"/>
      <c r="C213" s="905"/>
      <c r="D213" s="445"/>
      <c r="E213" s="909"/>
      <c r="F213" s="910"/>
      <c r="G213" s="909"/>
      <c r="H213" s="910"/>
      <c r="I213" s="445"/>
      <c r="J213" s="445"/>
      <c r="K213" s="905"/>
    </row>
    <row r="214" spans="2:11" s="7" customFormat="1" x14ac:dyDescent="0.2">
      <c r="B214" s="444"/>
      <c r="C214" s="905"/>
      <c r="D214" s="445"/>
      <c r="E214" s="909"/>
      <c r="F214" s="910"/>
      <c r="G214" s="909"/>
      <c r="H214" s="910"/>
      <c r="I214" s="445"/>
      <c r="J214" s="445"/>
      <c r="K214" s="905"/>
    </row>
    <row r="215" spans="2:11" s="7" customFormat="1" x14ac:dyDescent="0.2">
      <c r="B215" s="444"/>
      <c r="C215" s="905"/>
      <c r="D215" s="445"/>
      <c r="E215" s="909"/>
      <c r="F215" s="910"/>
      <c r="G215" s="909"/>
      <c r="H215" s="910"/>
      <c r="I215" s="445"/>
      <c r="J215" s="445"/>
      <c r="K215" s="905"/>
    </row>
    <row r="216" spans="2:11" s="7" customFormat="1" x14ac:dyDescent="0.2">
      <c r="B216" s="444"/>
      <c r="C216" s="905"/>
      <c r="D216" s="445"/>
      <c r="E216" s="909"/>
      <c r="F216" s="910"/>
      <c r="G216" s="909"/>
      <c r="H216" s="910"/>
      <c r="I216" s="445"/>
      <c r="J216" s="445"/>
      <c r="K216" s="905"/>
    </row>
    <row r="217" spans="2:11" s="7" customFormat="1" x14ac:dyDescent="0.2">
      <c r="B217" s="444"/>
      <c r="C217" s="905"/>
      <c r="D217" s="445"/>
      <c r="E217" s="909"/>
      <c r="F217" s="910"/>
      <c r="G217" s="909"/>
      <c r="H217" s="910"/>
      <c r="I217" s="445"/>
      <c r="J217" s="445"/>
      <c r="K217" s="905"/>
    </row>
    <row r="218" spans="2:11" s="7" customFormat="1" x14ac:dyDescent="0.2">
      <c r="B218" s="444"/>
      <c r="C218" s="905"/>
      <c r="D218" s="445"/>
      <c r="E218" s="909"/>
      <c r="F218" s="910"/>
      <c r="G218" s="909"/>
      <c r="H218" s="910"/>
      <c r="I218" s="445"/>
      <c r="J218" s="445"/>
      <c r="K218" s="905"/>
    </row>
    <row r="219" spans="2:11" s="7" customFormat="1" x14ac:dyDescent="0.2">
      <c r="B219" s="444"/>
      <c r="C219" s="905"/>
      <c r="D219" s="445"/>
      <c r="E219" s="909"/>
      <c r="F219" s="910"/>
      <c r="G219" s="909"/>
      <c r="H219" s="910"/>
      <c r="I219" s="445"/>
      <c r="J219" s="445"/>
      <c r="K219" s="905"/>
    </row>
    <row r="220" spans="2:11" s="7" customFormat="1" x14ac:dyDescent="0.2">
      <c r="B220" s="444"/>
      <c r="C220" s="905"/>
      <c r="D220" s="445"/>
      <c r="E220" s="909"/>
      <c r="F220" s="910"/>
      <c r="G220" s="909"/>
      <c r="H220" s="910"/>
      <c r="I220" s="445"/>
      <c r="J220" s="445"/>
      <c r="K220" s="905"/>
    </row>
    <row r="221" spans="2:11" s="7" customFormat="1" x14ac:dyDescent="0.2">
      <c r="B221" s="444"/>
      <c r="C221" s="905"/>
      <c r="D221" s="445"/>
      <c r="E221" s="909"/>
      <c r="F221" s="910"/>
      <c r="G221" s="909"/>
      <c r="H221" s="910"/>
      <c r="I221" s="445"/>
      <c r="J221" s="445"/>
      <c r="K221" s="905"/>
    </row>
    <row r="222" spans="2:11" s="7" customFormat="1" x14ac:dyDescent="0.2">
      <c r="B222" s="444"/>
      <c r="C222" s="905"/>
      <c r="D222" s="445"/>
      <c r="E222" s="909"/>
      <c r="F222" s="910"/>
      <c r="G222" s="909"/>
      <c r="H222" s="910"/>
      <c r="I222" s="445"/>
      <c r="J222" s="445"/>
      <c r="K222" s="905"/>
    </row>
    <row r="223" spans="2:11" s="7" customFormat="1" x14ac:dyDescent="0.2">
      <c r="B223" s="444"/>
      <c r="C223" s="905"/>
      <c r="D223" s="445"/>
      <c r="E223" s="909"/>
      <c r="F223" s="910"/>
      <c r="G223" s="909"/>
      <c r="H223" s="910"/>
      <c r="I223" s="445"/>
      <c r="J223" s="445"/>
      <c r="K223" s="905"/>
    </row>
    <row r="224" spans="2:11" s="7" customFormat="1" x14ac:dyDescent="0.2">
      <c r="B224" s="444"/>
      <c r="C224" s="905"/>
      <c r="D224" s="445"/>
      <c r="E224" s="909"/>
      <c r="F224" s="910"/>
      <c r="G224" s="909"/>
      <c r="H224" s="910"/>
      <c r="I224" s="445"/>
      <c r="J224" s="445"/>
      <c r="K224" s="905"/>
    </row>
    <row r="225" spans="2:11" s="7" customFormat="1" x14ac:dyDescent="0.2">
      <c r="B225" s="444"/>
      <c r="C225" s="905"/>
      <c r="D225" s="445"/>
      <c r="E225" s="909"/>
      <c r="F225" s="910"/>
      <c r="G225" s="909"/>
      <c r="H225" s="910"/>
      <c r="I225" s="445"/>
      <c r="J225" s="445"/>
      <c r="K225" s="905"/>
    </row>
    <row r="226" spans="2:11" s="7" customFormat="1" x14ac:dyDescent="0.2">
      <c r="B226" s="444"/>
      <c r="C226" s="905"/>
      <c r="D226" s="445"/>
      <c r="E226" s="909"/>
      <c r="F226" s="910"/>
      <c r="G226" s="909"/>
      <c r="H226" s="910"/>
      <c r="I226" s="445"/>
      <c r="J226" s="445"/>
      <c r="K226" s="905"/>
    </row>
    <row r="227" spans="2:11" s="7" customFormat="1" x14ac:dyDescent="0.2">
      <c r="B227" s="444"/>
      <c r="C227" s="905"/>
      <c r="D227" s="445"/>
      <c r="E227" s="909"/>
      <c r="F227" s="910"/>
      <c r="G227" s="909"/>
      <c r="H227" s="910"/>
      <c r="I227" s="445"/>
      <c r="J227" s="445"/>
      <c r="K227" s="905"/>
    </row>
    <row r="228" spans="2:11" s="7" customFormat="1" x14ac:dyDescent="0.2">
      <c r="B228" s="444"/>
      <c r="C228" s="905"/>
      <c r="D228" s="445"/>
      <c r="E228" s="909"/>
      <c r="F228" s="910"/>
      <c r="G228" s="909"/>
      <c r="H228" s="910"/>
      <c r="I228" s="445"/>
      <c r="J228" s="445"/>
      <c r="K228" s="905"/>
    </row>
    <row r="229" spans="2:11" s="7" customFormat="1" x14ac:dyDescent="0.2">
      <c r="B229" s="444"/>
      <c r="C229" s="905"/>
      <c r="D229" s="445"/>
      <c r="E229" s="909"/>
      <c r="F229" s="910"/>
      <c r="G229" s="909"/>
      <c r="H229" s="910"/>
      <c r="I229" s="445"/>
      <c r="J229" s="445"/>
      <c r="K229" s="905"/>
    </row>
    <row r="230" spans="2:11" s="7" customFormat="1" x14ac:dyDescent="0.2">
      <c r="B230" s="444"/>
      <c r="C230" s="905"/>
      <c r="D230" s="445"/>
      <c r="E230" s="909"/>
      <c r="F230" s="910"/>
      <c r="G230" s="909"/>
      <c r="H230" s="910"/>
      <c r="I230" s="445"/>
      <c r="J230" s="445"/>
      <c r="K230" s="905"/>
    </row>
    <row r="231" spans="2:11" s="7" customFormat="1" x14ac:dyDescent="0.2">
      <c r="B231" s="444"/>
      <c r="C231" s="905"/>
      <c r="D231" s="445"/>
      <c r="E231" s="909"/>
      <c r="F231" s="910"/>
      <c r="G231" s="909"/>
      <c r="H231" s="910"/>
      <c r="I231" s="445"/>
      <c r="J231" s="445"/>
      <c r="K231" s="905"/>
    </row>
    <row r="232" spans="2:11" s="7" customFormat="1" x14ac:dyDescent="0.2">
      <c r="B232" s="444"/>
      <c r="C232" s="905"/>
      <c r="D232" s="445"/>
      <c r="E232" s="909"/>
      <c r="F232" s="910"/>
      <c r="G232" s="909"/>
      <c r="H232" s="910"/>
      <c r="I232" s="445"/>
      <c r="J232" s="445"/>
      <c r="K232" s="905"/>
    </row>
    <row r="233" spans="2:11" s="7" customFormat="1" x14ac:dyDescent="0.2">
      <c r="B233" s="444"/>
      <c r="C233" s="905"/>
      <c r="D233" s="445"/>
      <c r="E233" s="909"/>
      <c r="F233" s="910"/>
      <c r="G233" s="909"/>
      <c r="H233" s="910"/>
      <c r="I233" s="445"/>
      <c r="J233" s="445"/>
      <c r="K233" s="905"/>
    </row>
    <row r="234" spans="2:11" s="7" customFormat="1" x14ac:dyDescent="0.2">
      <c r="B234" s="444"/>
      <c r="C234" s="905"/>
      <c r="D234" s="445"/>
      <c r="E234" s="909"/>
      <c r="F234" s="910"/>
      <c r="G234" s="909"/>
      <c r="H234" s="910"/>
      <c r="I234" s="445"/>
      <c r="J234" s="445"/>
      <c r="K234" s="905"/>
    </row>
    <row r="235" spans="2:11" s="7" customFormat="1" x14ac:dyDescent="0.2">
      <c r="B235" s="444"/>
      <c r="C235" s="905"/>
      <c r="D235" s="445"/>
      <c r="E235" s="909"/>
      <c r="F235" s="910"/>
      <c r="G235" s="909"/>
      <c r="H235" s="910"/>
      <c r="I235" s="445"/>
      <c r="J235" s="445"/>
      <c r="K235" s="905"/>
    </row>
    <row r="236" spans="2:11" s="7" customFormat="1" x14ac:dyDescent="0.2">
      <c r="B236" s="444"/>
      <c r="C236" s="905"/>
      <c r="D236" s="445"/>
      <c r="E236" s="909"/>
      <c r="F236" s="910"/>
      <c r="G236" s="909"/>
      <c r="H236" s="910"/>
      <c r="I236" s="445"/>
      <c r="J236" s="445"/>
      <c r="K236" s="905"/>
    </row>
    <row r="237" spans="2:11" s="7" customFormat="1" x14ac:dyDescent="0.2">
      <c r="B237" s="444"/>
      <c r="C237" s="905"/>
      <c r="D237" s="445"/>
      <c r="E237" s="909"/>
      <c r="F237" s="910"/>
      <c r="G237" s="909"/>
      <c r="H237" s="910"/>
      <c r="I237" s="445"/>
      <c r="J237" s="445"/>
      <c r="K237" s="905"/>
    </row>
    <row r="238" spans="2:11" s="7" customFormat="1" x14ac:dyDescent="0.2">
      <c r="B238" s="444"/>
      <c r="C238" s="905"/>
      <c r="D238" s="445"/>
      <c r="E238" s="909"/>
      <c r="F238" s="910"/>
      <c r="G238" s="909"/>
      <c r="H238" s="910"/>
      <c r="I238" s="445"/>
      <c r="J238" s="445"/>
      <c r="K238" s="905"/>
    </row>
    <row r="239" spans="2:11" s="7" customFormat="1" x14ac:dyDescent="0.2">
      <c r="B239" s="444"/>
      <c r="C239" s="905"/>
      <c r="D239" s="445"/>
      <c r="E239" s="909"/>
      <c r="F239" s="910"/>
      <c r="G239" s="909"/>
      <c r="H239" s="910"/>
      <c r="I239" s="445"/>
      <c r="J239" s="445"/>
      <c r="K239" s="905"/>
    </row>
    <row r="240" spans="2:11" s="7" customFormat="1" x14ac:dyDescent="0.2">
      <c r="B240" s="444"/>
      <c r="C240" s="905"/>
      <c r="D240" s="445"/>
      <c r="E240" s="909"/>
      <c r="F240" s="910"/>
      <c r="G240" s="909"/>
      <c r="H240" s="910"/>
      <c r="I240" s="445"/>
      <c r="J240" s="445"/>
      <c r="K240" s="905"/>
    </row>
    <row r="241" spans="2:11" s="7" customFormat="1" x14ac:dyDescent="0.2">
      <c r="B241" s="444"/>
      <c r="C241" s="905"/>
      <c r="D241" s="445"/>
      <c r="E241" s="909"/>
      <c r="F241" s="910"/>
      <c r="G241" s="909"/>
      <c r="H241" s="910"/>
      <c r="I241" s="445"/>
      <c r="J241" s="445"/>
      <c r="K241" s="905"/>
    </row>
    <row r="242" spans="2:11" s="7" customFormat="1" x14ac:dyDescent="0.2">
      <c r="B242" s="444"/>
      <c r="C242" s="905"/>
      <c r="D242" s="445"/>
      <c r="E242" s="909"/>
      <c r="F242" s="910"/>
      <c r="G242" s="909"/>
      <c r="H242" s="910"/>
      <c r="I242" s="445"/>
      <c r="J242" s="445"/>
      <c r="K242" s="905"/>
    </row>
    <row r="243" spans="2:11" s="7" customFormat="1" x14ac:dyDescent="0.2">
      <c r="B243" s="444"/>
      <c r="C243" s="905"/>
      <c r="D243" s="445"/>
      <c r="E243" s="909"/>
      <c r="F243" s="910"/>
      <c r="G243" s="909"/>
      <c r="H243" s="910"/>
      <c r="I243" s="445"/>
      <c r="J243" s="445"/>
      <c r="K243" s="905"/>
    </row>
    <row r="244" spans="2:11" s="7" customFormat="1" x14ac:dyDescent="0.2">
      <c r="B244" s="444"/>
      <c r="C244" s="905"/>
      <c r="D244" s="445"/>
      <c r="E244" s="909"/>
      <c r="F244" s="910"/>
      <c r="G244" s="909"/>
      <c r="H244" s="910"/>
      <c r="I244" s="445"/>
      <c r="J244" s="445"/>
      <c r="K244" s="905"/>
    </row>
    <row r="245" spans="2:11" s="7" customFormat="1" x14ac:dyDescent="0.2">
      <c r="B245" s="444"/>
      <c r="C245" s="905"/>
      <c r="D245" s="445"/>
      <c r="E245" s="909"/>
      <c r="F245" s="910"/>
      <c r="G245" s="909"/>
      <c r="H245" s="910"/>
      <c r="I245" s="445"/>
      <c r="J245" s="445"/>
      <c r="K245" s="905"/>
    </row>
    <row r="246" spans="2:11" s="7" customFormat="1" x14ac:dyDescent="0.2">
      <c r="B246" s="444"/>
      <c r="C246" s="905"/>
      <c r="D246" s="445"/>
      <c r="E246" s="909"/>
      <c r="F246" s="910"/>
      <c r="G246" s="909"/>
      <c r="H246" s="910"/>
      <c r="I246" s="445"/>
      <c r="J246" s="445"/>
      <c r="K246" s="905"/>
    </row>
    <row r="247" spans="2:11" s="7" customFormat="1" x14ac:dyDescent="0.2">
      <c r="B247" s="444"/>
      <c r="C247" s="905"/>
      <c r="D247" s="445"/>
      <c r="E247" s="909"/>
      <c r="F247" s="910"/>
      <c r="G247" s="909"/>
      <c r="H247" s="910"/>
      <c r="I247" s="445"/>
      <c r="J247" s="445"/>
      <c r="K247" s="905"/>
    </row>
    <row r="248" spans="2:11" s="7" customFormat="1" x14ac:dyDescent="0.2">
      <c r="B248" s="444"/>
      <c r="C248" s="905"/>
      <c r="D248" s="445"/>
      <c r="E248" s="909"/>
      <c r="F248" s="910"/>
      <c r="G248" s="909"/>
      <c r="H248" s="910"/>
      <c r="I248" s="445"/>
      <c r="J248" s="445"/>
      <c r="K248" s="905"/>
    </row>
    <row r="249" spans="2:11" s="7" customFormat="1" x14ac:dyDescent="0.2">
      <c r="B249" s="444"/>
      <c r="C249" s="905"/>
      <c r="D249" s="445"/>
      <c r="E249" s="909"/>
      <c r="F249" s="910"/>
      <c r="G249" s="909"/>
      <c r="H249" s="910"/>
      <c r="I249" s="445"/>
      <c r="J249" s="445"/>
      <c r="K249" s="905"/>
    </row>
    <row r="250" spans="2:11" s="7" customFormat="1" x14ac:dyDescent="0.2">
      <c r="B250" s="444"/>
      <c r="C250" s="905"/>
      <c r="D250" s="445"/>
      <c r="E250" s="909"/>
      <c r="F250" s="910"/>
      <c r="G250" s="909"/>
      <c r="H250" s="910"/>
      <c r="I250" s="445"/>
      <c r="J250" s="445"/>
      <c r="K250" s="905"/>
    </row>
    <row r="251" spans="2:11" s="7" customFormat="1" x14ac:dyDescent="0.2">
      <c r="B251" s="444"/>
      <c r="C251" s="905"/>
      <c r="D251" s="445"/>
      <c r="E251" s="909"/>
      <c r="F251" s="910"/>
      <c r="G251" s="909"/>
      <c r="H251" s="910"/>
      <c r="I251" s="445"/>
      <c r="J251" s="445"/>
      <c r="K251" s="905"/>
    </row>
    <row r="252" spans="2:11" s="7" customFormat="1" x14ac:dyDescent="0.2">
      <c r="B252" s="444"/>
      <c r="C252" s="905"/>
      <c r="D252" s="445"/>
      <c r="E252" s="909"/>
      <c r="F252" s="910"/>
      <c r="G252" s="909"/>
      <c r="H252" s="910"/>
      <c r="I252" s="445"/>
      <c r="J252" s="445"/>
      <c r="K252" s="905"/>
    </row>
    <row r="253" spans="2:11" s="7" customFormat="1" x14ac:dyDescent="0.2">
      <c r="B253" s="444"/>
      <c r="C253" s="905"/>
      <c r="D253" s="445"/>
      <c r="E253" s="909"/>
      <c r="F253" s="910"/>
      <c r="G253" s="909"/>
      <c r="H253" s="910"/>
      <c r="I253" s="445"/>
      <c r="J253" s="445"/>
      <c r="K253" s="905"/>
    </row>
    <row r="254" spans="2:11" s="7" customFormat="1" x14ac:dyDescent="0.2">
      <c r="B254" s="444"/>
      <c r="C254" s="905"/>
      <c r="D254" s="445"/>
      <c r="E254" s="909"/>
      <c r="F254" s="910"/>
      <c r="G254" s="909"/>
      <c r="H254" s="910"/>
      <c r="I254" s="445"/>
      <c r="J254" s="445"/>
      <c r="K254" s="905"/>
    </row>
    <row r="255" spans="2:11" s="7" customFormat="1" x14ac:dyDescent="0.2">
      <c r="B255" s="444"/>
      <c r="C255" s="905"/>
      <c r="D255" s="445"/>
      <c r="E255" s="909"/>
      <c r="F255" s="910"/>
      <c r="G255" s="909"/>
      <c r="H255" s="910"/>
      <c r="I255" s="445"/>
      <c r="J255" s="445"/>
      <c r="K255" s="905"/>
    </row>
    <row r="256" spans="2:11" s="7" customFormat="1" x14ac:dyDescent="0.2">
      <c r="B256" s="444"/>
      <c r="C256" s="905"/>
      <c r="D256" s="445"/>
      <c r="E256" s="909"/>
      <c r="F256" s="910"/>
      <c r="G256" s="909"/>
      <c r="H256" s="910"/>
      <c r="I256" s="445"/>
      <c r="J256" s="445"/>
      <c r="K256" s="905"/>
    </row>
    <row r="257" spans="2:11" s="7" customFormat="1" x14ac:dyDescent="0.2">
      <c r="B257" s="444"/>
      <c r="C257" s="905"/>
      <c r="D257" s="445"/>
      <c r="E257" s="909"/>
      <c r="F257" s="910"/>
      <c r="G257" s="909"/>
      <c r="H257" s="910"/>
      <c r="I257" s="445"/>
      <c r="J257" s="445"/>
      <c r="K257" s="905"/>
    </row>
    <row r="258" spans="2:11" s="7" customFormat="1" x14ac:dyDescent="0.2">
      <c r="B258" s="444"/>
      <c r="C258" s="905"/>
      <c r="D258" s="445"/>
      <c r="E258" s="909"/>
      <c r="F258" s="910"/>
      <c r="G258" s="909"/>
      <c r="H258" s="910"/>
      <c r="I258" s="445"/>
      <c r="J258" s="445"/>
      <c r="K258" s="905"/>
    </row>
    <row r="259" spans="2:11" s="7" customFormat="1" x14ac:dyDescent="0.2">
      <c r="B259" s="444"/>
      <c r="C259" s="905"/>
      <c r="D259" s="445"/>
      <c r="E259" s="909"/>
      <c r="F259" s="910"/>
      <c r="G259" s="909"/>
      <c r="H259" s="910"/>
      <c r="I259" s="445"/>
      <c r="J259" s="445"/>
      <c r="K259" s="905"/>
    </row>
    <row r="260" spans="2:11" s="7" customFormat="1" x14ac:dyDescent="0.2">
      <c r="B260" s="444"/>
      <c r="C260" s="905"/>
      <c r="D260" s="445"/>
      <c r="E260" s="909"/>
      <c r="F260" s="910"/>
      <c r="G260" s="909"/>
      <c r="H260" s="910"/>
      <c r="I260" s="445"/>
      <c r="J260" s="445"/>
      <c r="K260" s="905"/>
    </row>
    <row r="261" spans="2:11" s="7" customFormat="1" x14ac:dyDescent="0.2">
      <c r="B261" s="444"/>
      <c r="C261" s="905"/>
      <c r="D261" s="445"/>
      <c r="E261" s="909"/>
      <c r="F261" s="910"/>
      <c r="G261" s="909"/>
      <c r="H261" s="910"/>
      <c r="I261" s="445"/>
      <c r="J261" s="445"/>
      <c r="K261" s="905"/>
    </row>
    <row r="262" spans="2:11" s="7" customFormat="1" x14ac:dyDescent="0.2">
      <c r="B262" s="444"/>
      <c r="C262" s="905"/>
      <c r="D262" s="445"/>
      <c r="E262" s="909"/>
      <c r="F262" s="910"/>
      <c r="G262" s="909"/>
      <c r="H262" s="910"/>
      <c r="I262" s="445"/>
      <c r="J262" s="445"/>
      <c r="K262" s="905"/>
    </row>
    <row r="263" spans="2:11" s="7" customFormat="1" x14ac:dyDescent="0.2">
      <c r="B263" s="444"/>
      <c r="C263" s="905"/>
      <c r="D263" s="445"/>
      <c r="E263" s="909"/>
      <c r="F263" s="910"/>
      <c r="G263" s="909"/>
      <c r="H263" s="910"/>
      <c r="I263" s="445"/>
      <c r="J263" s="445"/>
      <c r="K263" s="905"/>
    </row>
    <row r="264" spans="2:11" s="7" customFormat="1" x14ac:dyDescent="0.2">
      <c r="B264" s="444"/>
      <c r="C264" s="905"/>
      <c r="D264" s="445"/>
      <c r="E264" s="909"/>
      <c r="F264" s="910"/>
      <c r="G264" s="909"/>
      <c r="H264" s="910"/>
      <c r="I264" s="445"/>
      <c r="J264" s="445"/>
      <c r="K264" s="905"/>
    </row>
    <row r="265" spans="2:11" s="7" customFormat="1" x14ac:dyDescent="0.2">
      <c r="B265" s="444"/>
      <c r="C265" s="905"/>
      <c r="D265" s="445"/>
      <c r="E265" s="909"/>
      <c r="F265" s="910"/>
      <c r="G265" s="909"/>
      <c r="H265" s="910"/>
      <c r="I265" s="445"/>
      <c r="J265" s="445"/>
      <c r="K265" s="905"/>
    </row>
    <row r="266" spans="2:11" s="7" customFormat="1" x14ac:dyDescent="0.2">
      <c r="B266" s="444"/>
      <c r="C266" s="905"/>
      <c r="D266" s="445"/>
      <c r="E266" s="909"/>
      <c r="F266" s="910"/>
      <c r="G266" s="909"/>
      <c r="H266" s="910"/>
      <c r="I266" s="445"/>
      <c r="J266" s="445"/>
      <c r="K266" s="905"/>
    </row>
    <row r="267" spans="2:11" s="7" customFormat="1" x14ac:dyDescent="0.2">
      <c r="B267" s="444"/>
      <c r="C267" s="905"/>
      <c r="D267" s="445"/>
      <c r="E267" s="909"/>
      <c r="F267" s="910"/>
      <c r="G267" s="909"/>
      <c r="H267" s="910"/>
      <c r="I267" s="445"/>
      <c r="J267" s="445"/>
      <c r="K267" s="905"/>
    </row>
    <row r="268" spans="2:11" s="7" customFormat="1" x14ac:dyDescent="0.2">
      <c r="B268" s="444"/>
      <c r="C268" s="905"/>
      <c r="D268" s="445"/>
      <c r="E268" s="909"/>
      <c r="F268" s="910"/>
      <c r="G268" s="909"/>
      <c r="H268" s="910"/>
      <c r="I268" s="445"/>
      <c r="J268" s="445"/>
      <c r="K268" s="905"/>
    </row>
    <row r="269" spans="2:11" s="7" customFormat="1" x14ac:dyDescent="0.2">
      <c r="B269" s="444"/>
      <c r="C269" s="905"/>
      <c r="D269" s="445"/>
      <c r="E269" s="909"/>
      <c r="F269" s="910"/>
      <c r="G269" s="909"/>
      <c r="H269" s="910"/>
      <c r="I269" s="445"/>
      <c r="J269" s="445"/>
      <c r="K269" s="905"/>
    </row>
    <row r="270" spans="2:11" s="7" customFormat="1" x14ac:dyDescent="0.2">
      <c r="B270" s="444"/>
      <c r="C270" s="905"/>
      <c r="D270" s="445"/>
      <c r="E270" s="909"/>
      <c r="F270" s="910"/>
      <c r="G270" s="909"/>
      <c r="H270" s="910"/>
      <c r="I270" s="445"/>
      <c r="J270" s="445"/>
      <c r="K270" s="905"/>
    </row>
    <row r="271" spans="2:11" s="7" customFormat="1" x14ac:dyDescent="0.2">
      <c r="B271" s="444"/>
      <c r="C271" s="905"/>
      <c r="D271" s="445"/>
      <c r="E271" s="909"/>
      <c r="F271" s="910"/>
      <c r="G271" s="909"/>
      <c r="H271" s="910"/>
      <c r="I271" s="445"/>
      <c r="J271" s="445"/>
      <c r="K271" s="905"/>
    </row>
    <row r="272" spans="2:11" s="7" customFormat="1" x14ac:dyDescent="0.2">
      <c r="B272" s="444"/>
      <c r="C272" s="905"/>
      <c r="D272" s="445"/>
      <c r="E272" s="909"/>
      <c r="F272" s="910"/>
      <c r="G272" s="909"/>
      <c r="H272" s="910"/>
      <c r="I272" s="445"/>
      <c r="J272" s="445"/>
      <c r="K272" s="905"/>
    </row>
    <row r="273" spans="2:11" s="7" customFormat="1" x14ac:dyDescent="0.2">
      <c r="B273" s="444"/>
      <c r="C273" s="905"/>
      <c r="D273" s="445"/>
      <c r="E273" s="909"/>
      <c r="F273" s="910"/>
      <c r="G273" s="909"/>
      <c r="H273" s="910"/>
      <c r="I273" s="445"/>
      <c r="J273" s="445"/>
      <c r="K273" s="905"/>
    </row>
    <row r="274" spans="2:11" s="7" customFormat="1" x14ac:dyDescent="0.2">
      <c r="B274" s="444"/>
      <c r="C274" s="905"/>
      <c r="D274" s="445"/>
      <c r="E274" s="909"/>
      <c r="F274" s="910"/>
      <c r="G274" s="909"/>
      <c r="H274" s="910"/>
      <c r="I274" s="445"/>
      <c r="J274" s="445"/>
      <c r="K274" s="905"/>
    </row>
    <row r="275" spans="2:11" s="7" customFormat="1" x14ac:dyDescent="0.2">
      <c r="B275" s="444"/>
      <c r="C275" s="905"/>
      <c r="D275" s="445"/>
      <c r="E275" s="909"/>
      <c r="F275" s="910"/>
      <c r="G275" s="909"/>
      <c r="H275" s="910"/>
      <c r="I275" s="445"/>
      <c r="J275" s="445"/>
      <c r="K275" s="905"/>
    </row>
    <row r="276" spans="2:11" s="7" customFormat="1" x14ac:dyDescent="0.2">
      <c r="B276" s="444"/>
      <c r="C276" s="905"/>
      <c r="D276" s="445"/>
      <c r="E276" s="909"/>
      <c r="F276" s="910"/>
      <c r="G276" s="909"/>
      <c r="H276" s="910"/>
      <c r="I276" s="445"/>
      <c r="J276" s="445"/>
      <c r="K276" s="905"/>
    </row>
    <row r="277" spans="2:11" s="7" customFormat="1" x14ac:dyDescent="0.2">
      <c r="B277" s="444" t="s">
        <v>17055</v>
      </c>
      <c r="C277" s="905" t="s">
        <v>13211</v>
      </c>
      <c r="D277" s="445">
        <v>0</v>
      </c>
      <c r="E277" s="909">
        <v>0</v>
      </c>
      <c r="F277" s="910"/>
      <c r="G277" s="909">
        <v>0</v>
      </c>
      <c r="H277" s="910"/>
      <c r="I277" s="445">
        <v>0</v>
      </c>
      <c r="J277" s="445">
        <v>0</v>
      </c>
      <c r="K277" s="905">
        <v>0</v>
      </c>
    </row>
    <row r="278" spans="2:11" s="7" customFormat="1" x14ac:dyDescent="0.2">
      <c r="B278" s="444" t="s">
        <v>17056</v>
      </c>
      <c r="C278" s="905" t="s">
        <v>13211</v>
      </c>
      <c r="D278" s="445">
        <v>0</v>
      </c>
      <c r="E278" s="909">
        <v>0</v>
      </c>
      <c r="F278" s="910"/>
      <c r="G278" s="909">
        <v>0</v>
      </c>
      <c r="H278" s="910"/>
      <c r="I278" s="445">
        <v>0</v>
      </c>
      <c r="J278" s="445">
        <v>0</v>
      </c>
      <c r="K278" s="905">
        <v>0</v>
      </c>
    </row>
    <row r="279" spans="2:11" s="7" customFormat="1" x14ac:dyDescent="0.2">
      <c r="B279" s="444" t="s">
        <v>17057</v>
      </c>
      <c r="C279" s="905" t="s">
        <v>1563</v>
      </c>
      <c r="D279" s="445">
        <v>0</v>
      </c>
      <c r="E279" s="909">
        <v>0</v>
      </c>
      <c r="F279" s="910"/>
      <c r="G279" s="909">
        <v>0</v>
      </c>
      <c r="H279" s="910"/>
      <c r="I279" s="445">
        <v>0</v>
      </c>
      <c r="J279" s="445">
        <v>0</v>
      </c>
      <c r="K279" s="905">
        <v>0</v>
      </c>
    </row>
    <row r="280" spans="2:11" s="7" customFormat="1" x14ac:dyDescent="0.2">
      <c r="B280" s="444" t="s">
        <v>17019</v>
      </c>
      <c r="C280" s="905" t="s">
        <v>5299</v>
      </c>
      <c r="D280" s="445">
        <v>3</v>
      </c>
      <c r="E280" s="909">
        <v>0</v>
      </c>
      <c r="F280" s="910">
        <v>0</v>
      </c>
      <c r="G280" s="909">
        <v>0</v>
      </c>
      <c r="H280" s="910">
        <v>0</v>
      </c>
      <c r="I280" s="445">
        <v>0</v>
      </c>
      <c r="J280" s="445">
        <v>0</v>
      </c>
      <c r="K280" s="905">
        <v>0</v>
      </c>
    </row>
    <row r="281" spans="2:11" s="7" customFormat="1" x14ac:dyDescent="0.2">
      <c r="B281" s="444" t="s">
        <v>17020</v>
      </c>
      <c r="C281" s="905" t="s">
        <v>5299</v>
      </c>
      <c r="D281" s="445">
        <v>0</v>
      </c>
      <c r="E281" s="909">
        <v>0</v>
      </c>
      <c r="F281" s="910"/>
      <c r="G281" s="909">
        <v>0</v>
      </c>
      <c r="H281" s="910"/>
      <c r="I281" s="445">
        <v>0</v>
      </c>
      <c r="J281" s="445">
        <v>0</v>
      </c>
      <c r="K281" s="905">
        <v>0</v>
      </c>
    </row>
    <row r="282" spans="2:11" s="7" customFormat="1" x14ac:dyDescent="0.2">
      <c r="B282" s="444" t="s">
        <v>17021</v>
      </c>
      <c r="C282" s="905" t="s">
        <v>5299</v>
      </c>
      <c r="D282" s="445">
        <v>0</v>
      </c>
      <c r="E282" s="909">
        <v>0</v>
      </c>
      <c r="F282" s="910"/>
      <c r="G282" s="909">
        <v>0</v>
      </c>
      <c r="H282" s="910"/>
      <c r="I282" s="445">
        <v>0</v>
      </c>
      <c r="J282" s="445">
        <v>0</v>
      </c>
      <c r="K282" s="905">
        <v>0</v>
      </c>
    </row>
    <row r="283" spans="2:11" s="7" customFormat="1" x14ac:dyDescent="0.2">
      <c r="B283" s="444" t="s">
        <v>17022</v>
      </c>
      <c r="C283" s="905" t="s">
        <v>5299</v>
      </c>
      <c r="D283" s="445">
        <v>0</v>
      </c>
      <c r="E283" s="909">
        <v>0</v>
      </c>
      <c r="F283" s="910"/>
      <c r="G283" s="909">
        <v>0</v>
      </c>
      <c r="H283" s="910"/>
      <c r="I283" s="445">
        <v>0</v>
      </c>
      <c r="J283" s="445">
        <v>0</v>
      </c>
      <c r="K283" s="905">
        <v>0</v>
      </c>
    </row>
    <row r="284" spans="2:11" s="7" customFormat="1" x14ac:dyDescent="0.2">
      <c r="B284" s="444" t="s">
        <v>17023</v>
      </c>
      <c r="C284" s="905" t="s">
        <v>5299</v>
      </c>
      <c r="D284" s="445">
        <v>0</v>
      </c>
      <c r="E284" s="909">
        <v>0</v>
      </c>
      <c r="F284" s="910"/>
      <c r="G284" s="909">
        <v>0</v>
      </c>
      <c r="H284" s="910"/>
      <c r="I284" s="445">
        <v>0</v>
      </c>
      <c r="J284" s="445">
        <v>0</v>
      </c>
      <c r="K284" s="905">
        <v>0</v>
      </c>
    </row>
    <row r="285" spans="2:11" s="7" customFormat="1" x14ac:dyDescent="0.2">
      <c r="B285" s="444" t="s">
        <v>17024</v>
      </c>
      <c r="C285" s="905" t="s">
        <v>5299</v>
      </c>
      <c r="D285" s="445">
        <v>0</v>
      </c>
      <c r="E285" s="909">
        <v>0</v>
      </c>
      <c r="F285" s="910"/>
      <c r="G285" s="909">
        <v>0</v>
      </c>
      <c r="H285" s="910"/>
      <c r="I285" s="445">
        <v>0</v>
      </c>
      <c r="J285" s="445">
        <v>0</v>
      </c>
      <c r="K285" s="905">
        <v>0</v>
      </c>
    </row>
    <row r="286" spans="2:11" s="7" customFormat="1" x14ac:dyDescent="0.2">
      <c r="B286" s="444" t="s">
        <v>17060</v>
      </c>
      <c r="C286" s="905" t="s">
        <v>5300</v>
      </c>
      <c r="D286" s="445">
        <v>0</v>
      </c>
      <c r="E286" s="909">
        <v>0</v>
      </c>
      <c r="F286" s="910"/>
      <c r="G286" s="909">
        <v>0</v>
      </c>
      <c r="H286" s="910"/>
      <c r="I286" s="445">
        <v>0</v>
      </c>
      <c r="J286" s="445">
        <v>0</v>
      </c>
      <c r="K286" s="905">
        <v>0</v>
      </c>
    </row>
    <row r="287" spans="2:11" s="7" customFormat="1" x14ac:dyDescent="0.2">
      <c r="B287" s="444" t="s">
        <v>17025</v>
      </c>
      <c r="C287" s="905" t="s">
        <v>5300</v>
      </c>
      <c r="D287" s="445">
        <v>0</v>
      </c>
      <c r="E287" s="909">
        <v>0</v>
      </c>
      <c r="F287" s="910"/>
      <c r="G287" s="909">
        <v>0</v>
      </c>
      <c r="H287" s="910"/>
      <c r="I287" s="445">
        <v>0</v>
      </c>
      <c r="J287" s="445">
        <v>0</v>
      </c>
      <c r="K287" s="905">
        <v>0</v>
      </c>
    </row>
    <row r="288" spans="2:11" s="7" customFormat="1" x14ac:dyDescent="0.2">
      <c r="B288" s="444" t="s">
        <v>17026</v>
      </c>
      <c r="C288" s="905" t="s">
        <v>5300</v>
      </c>
      <c r="D288" s="445">
        <v>0</v>
      </c>
      <c r="E288" s="909">
        <v>0</v>
      </c>
      <c r="F288" s="910"/>
      <c r="G288" s="909">
        <v>0</v>
      </c>
      <c r="H288" s="910"/>
      <c r="I288" s="445">
        <v>0</v>
      </c>
      <c r="J288" s="445">
        <v>0</v>
      </c>
      <c r="K288" s="905">
        <v>0</v>
      </c>
    </row>
    <row r="289" spans="2:11" s="7" customFormat="1" x14ac:dyDescent="0.2">
      <c r="B289" s="444" t="s">
        <v>17027</v>
      </c>
      <c r="C289" s="905" t="s">
        <v>5300</v>
      </c>
      <c r="D289" s="445">
        <v>0</v>
      </c>
      <c r="E289" s="909">
        <v>0</v>
      </c>
      <c r="F289" s="910"/>
      <c r="G289" s="909">
        <v>0</v>
      </c>
      <c r="H289" s="910"/>
      <c r="I289" s="445">
        <v>0</v>
      </c>
      <c r="J289" s="445">
        <v>0</v>
      </c>
      <c r="K289" s="905">
        <v>0</v>
      </c>
    </row>
    <row r="290" spans="2:11" x14ac:dyDescent="0.2">
      <c r="B290" s="1397" t="s">
        <v>17028</v>
      </c>
      <c r="C290" s="1397" t="s">
        <v>5300</v>
      </c>
      <c r="D290" s="1397">
        <v>0</v>
      </c>
      <c r="E290" s="1397">
        <v>0</v>
      </c>
      <c r="G290" s="1397">
        <v>0</v>
      </c>
      <c r="I290" s="1397">
        <v>0</v>
      </c>
      <c r="J290" s="1397">
        <v>0</v>
      </c>
      <c r="K290" s="1397">
        <v>0</v>
      </c>
    </row>
    <row r="291" spans="2:11" x14ac:dyDescent="0.2">
      <c r="B291" s="1397" t="s">
        <v>17029</v>
      </c>
      <c r="C291" s="1397" t="s">
        <v>5299</v>
      </c>
      <c r="D291" s="1397">
        <v>2</v>
      </c>
      <c r="E291" s="1397">
        <v>0</v>
      </c>
      <c r="F291" s="1397">
        <v>0</v>
      </c>
      <c r="G291" s="1397">
        <v>0</v>
      </c>
      <c r="H291" s="1397">
        <v>0</v>
      </c>
      <c r="I291" s="1397">
        <v>0</v>
      </c>
      <c r="J291" s="1397">
        <v>0</v>
      </c>
      <c r="K291" s="1397">
        <v>0</v>
      </c>
    </row>
    <row r="292" spans="2:11" x14ac:dyDescent="0.2">
      <c r="B292" s="1397" t="s">
        <v>17030</v>
      </c>
      <c r="C292" s="1397" t="s">
        <v>5300</v>
      </c>
      <c r="D292" s="1397">
        <v>3</v>
      </c>
      <c r="E292" s="1397">
        <v>0</v>
      </c>
      <c r="F292" s="1397">
        <v>0</v>
      </c>
      <c r="G292" s="1397">
        <v>0</v>
      </c>
      <c r="H292" s="1397">
        <v>0</v>
      </c>
      <c r="I292" s="1397">
        <v>0</v>
      </c>
      <c r="J292" s="1397">
        <v>0</v>
      </c>
      <c r="K292" s="1397">
        <v>0</v>
      </c>
    </row>
    <row r="293" spans="2:11" x14ac:dyDescent="0.2">
      <c r="B293" s="1397" t="s">
        <v>17031</v>
      </c>
      <c r="C293" s="1397" t="s">
        <v>5299</v>
      </c>
      <c r="D293" s="1397">
        <v>0</v>
      </c>
      <c r="E293" s="1397">
        <v>0</v>
      </c>
      <c r="G293" s="1397">
        <v>0</v>
      </c>
      <c r="I293" s="1397">
        <v>0</v>
      </c>
      <c r="J293" s="1397">
        <v>0</v>
      </c>
      <c r="K293" s="1397">
        <v>0</v>
      </c>
    </row>
    <row r="294" spans="2:11" x14ac:dyDescent="0.2">
      <c r="B294" s="1397" t="s">
        <v>17465</v>
      </c>
      <c r="C294" s="1397" t="s">
        <v>13210</v>
      </c>
      <c r="D294" s="1397">
        <v>0</v>
      </c>
      <c r="E294" s="1397">
        <v>0</v>
      </c>
      <c r="G294" s="1397">
        <v>0</v>
      </c>
      <c r="I294" s="1397">
        <v>0</v>
      </c>
      <c r="J294" s="1397">
        <v>0</v>
      </c>
      <c r="K294" s="1397">
        <v>0</v>
      </c>
    </row>
    <row r="295" spans="2:11" x14ac:dyDescent="0.2">
      <c r="B295" s="1397" t="s">
        <v>17032</v>
      </c>
      <c r="C295" s="1397" t="s">
        <v>13210</v>
      </c>
      <c r="D295" s="1397">
        <v>3</v>
      </c>
      <c r="E295" s="1397">
        <v>0</v>
      </c>
      <c r="F295" s="1397">
        <v>0</v>
      </c>
      <c r="G295" s="1397">
        <v>0</v>
      </c>
      <c r="H295" s="1397">
        <v>0</v>
      </c>
      <c r="I295" s="1397">
        <v>0</v>
      </c>
      <c r="J295" s="1397">
        <v>0</v>
      </c>
      <c r="K295" s="1397">
        <v>0</v>
      </c>
    </row>
    <row r="296" spans="2:11" x14ac:dyDescent="0.2">
      <c r="B296" s="1397" t="s">
        <v>17033</v>
      </c>
      <c r="C296" s="1397" t="s">
        <v>13210</v>
      </c>
      <c r="D296" s="1397">
        <v>0</v>
      </c>
      <c r="E296" s="1397">
        <v>0</v>
      </c>
      <c r="G296" s="1397">
        <v>0</v>
      </c>
      <c r="I296" s="1397">
        <v>0</v>
      </c>
      <c r="J296" s="1397">
        <v>0</v>
      </c>
      <c r="K296" s="1397">
        <v>0</v>
      </c>
    </row>
    <row r="297" spans="2:11" x14ac:dyDescent="0.2">
      <c r="B297" s="1397" t="s">
        <v>17034</v>
      </c>
      <c r="C297" s="1397" t="s">
        <v>13211</v>
      </c>
      <c r="D297" s="1397">
        <v>2</v>
      </c>
      <c r="E297" s="1397">
        <v>0</v>
      </c>
      <c r="F297" s="1397">
        <v>0</v>
      </c>
      <c r="G297" s="1397">
        <v>0</v>
      </c>
      <c r="H297" s="1397">
        <v>0</v>
      </c>
      <c r="I297" s="1397">
        <v>0</v>
      </c>
      <c r="J297" s="1397">
        <v>0</v>
      </c>
      <c r="K297" s="1397">
        <v>0</v>
      </c>
    </row>
    <row r="298" spans="2:11" x14ac:dyDescent="0.2">
      <c r="B298" s="1397" t="s">
        <v>17035</v>
      </c>
      <c r="C298" s="1397" t="s">
        <v>13211</v>
      </c>
      <c r="D298" s="1397">
        <v>0</v>
      </c>
      <c r="E298" s="1397">
        <v>0</v>
      </c>
      <c r="G298" s="1397">
        <v>0</v>
      </c>
      <c r="I298" s="1397">
        <v>0</v>
      </c>
      <c r="J298" s="1397">
        <v>0</v>
      </c>
      <c r="K298" s="1397">
        <v>0</v>
      </c>
    </row>
    <row r="299" spans="2:11" x14ac:dyDescent="0.2">
      <c r="B299" s="1397" t="s">
        <v>17036</v>
      </c>
      <c r="C299" s="1397" t="s">
        <v>13211</v>
      </c>
      <c r="D299" s="1397">
        <v>0</v>
      </c>
      <c r="E299" s="1397">
        <v>0</v>
      </c>
      <c r="G299" s="1397">
        <v>0</v>
      </c>
      <c r="I299" s="1397">
        <v>0</v>
      </c>
      <c r="J299" s="1397">
        <v>0</v>
      </c>
      <c r="K299" s="1397">
        <v>0</v>
      </c>
    </row>
    <row r="300" spans="2:11" x14ac:dyDescent="0.2">
      <c r="B300" s="1397" t="s">
        <v>17037</v>
      </c>
      <c r="C300" s="1397" t="s">
        <v>13211</v>
      </c>
      <c r="D300" s="1397">
        <v>0</v>
      </c>
      <c r="E300" s="1397">
        <v>0</v>
      </c>
      <c r="G300" s="1397">
        <v>0</v>
      </c>
      <c r="I300" s="1397">
        <v>0</v>
      </c>
      <c r="J300" s="1397">
        <v>0</v>
      </c>
      <c r="K300" s="1397">
        <v>0</v>
      </c>
    </row>
    <row r="301" spans="2:11" x14ac:dyDescent="0.2">
      <c r="B301" s="1397" t="s">
        <v>17038</v>
      </c>
      <c r="C301" s="1397" t="s">
        <v>1563</v>
      </c>
      <c r="D301" s="1397">
        <v>0</v>
      </c>
      <c r="E301" s="1397">
        <v>0</v>
      </c>
      <c r="G301" s="1397">
        <v>0</v>
      </c>
      <c r="I301" s="1397">
        <v>0</v>
      </c>
      <c r="J301" s="1397">
        <v>0</v>
      </c>
      <c r="K301" s="1397">
        <v>0</v>
      </c>
    </row>
    <row r="302" spans="2:11" x14ac:dyDescent="0.2">
      <c r="B302" s="1397" t="s">
        <v>17039</v>
      </c>
      <c r="C302" s="1397" t="s">
        <v>1563</v>
      </c>
      <c r="D302" s="1397">
        <v>0</v>
      </c>
      <c r="E302" s="1397">
        <v>0</v>
      </c>
      <c r="G302" s="1397">
        <v>0</v>
      </c>
      <c r="I302" s="1397">
        <v>0</v>
      </c>
      <c r="J302" s="1397">
        <v>0</v>
      </c>
      <c r="K302" s="1397">
        <v>0</v>
      </c>
    </row>
    <row r="303" spans="2:11" x14ac:dyDescent="0.2">
      <c r="B303" s="1397" t="s">
        <v>17040</v>
      </c>
      <c r="C303" s="1397" t="s">
        <v>1563</v>
      </c>
      <c r="D303" s="1397">
        <v>0</v>
      </c>
      <c r="E303" s="1397">
        <v>0</v>
      </c>
      <c r="G303" s="1397">
        <v>0</v>
      </c>
      <c r="I303" s="1397">
        <v>0</v>
      </c>
      <c r="J303" s="1397">
        <v>0</v>
      </c>
      <c r="K303" s="1397">
        <v>0</v>
      </c>
    </row>
    <row r="304" spans="2:11" x14ac:dyDescent="0.2">
      <c r="B304" s="1397" t="s">
        <v>17041</v>
      </c>
      <c r="C304" s="1397" t="s">
        <v>1563</v>
      </c>
      <c r="D304" s="1397">
        <v>0</v>
      </c>
      <c r="E304" s="1397">
        <v>0</v>
      </c>
      <c r="G304" s="1397">
        <v>0</v>
      </c>
      <c r="I304" s="1397">
        <v>0</v>
      </c>
      <c r="J304" s="1397">
        <v>0</v>
      </c>
      <c r="K304" s="1397">
        <v>0</v>
      </c>
    </row>
    <row r="305" spans="2:11" x14ac:dyDescent="0.2">
      <c r="B305" s="1397" t="s">
        <v>17042</v>
      </c>
      <c r="C305" s="1397" t="s">
        <v>1563</v>
      </c>
      <c r="D305" s="1397">
        <v>0</v>
      </c>
      <c r="E305" s="1397">
        <v>0</v>
      </c>
      <c r="G305" s="1397">
        <v>0</v>
      </c>
      <c r="I305" s="1397">
        <v>0</v>
      </c>
      <c r="J305" s="1397">
        <v>0</v>
      </c>
      <c r="K305" s="1397">
        <v>0</v>
      </c>
    </row>
    <row r="306" spans="2:11" x14ac:dyDescent="0.2">
      <c r="B306" s="1397" t="s">
        <v>17043</v>
      </c>
      <c r="C306" s="1397" t="s">
        <v>5299</v>
      </c>
      <c r="D306" s="1397">
        <v>0</v>
      </c>
      <c r="E306" s="1397">
        <v>0</v>
      </c>
      <c r="G306" s="1397">
        <v>0</v>
      </c>
      <c r="I306" s="1397">
        <v>0</v>
      </c>
      <c r="J306" s="1397">
        <v>0</v>
      </c>
      <c r="K306" s="1397">
        <v>0</v>
      </c>
    </row>
    <row r="307" spans="2:11" x14ac:dyDescent="0.2">
      <c r="B307" s="1397" t="s">
        <v>17044</v>
      </c>
      <c r="C307" s="1397" t="s">
        <v>5299</v>
      </c>
      <c r="D307" s="1397">
        <v>0</v>
      </c>
      <c r="E307" s="1397">
        <v>0</v>
      </c>
      <c r="G307" s="1397">
        <v>0</v>
      </c>
      <c r="I307" s="1397">
        <v>0</v>
      </c>
      <c r="J307" s="1397">
        <v>0</v>
      </c>
      <c r="K307" s="1397">
        <v>0</v>
      </c>
    </row>
    <row r="308" spans="2:11" x14ac:dyDescent="0.2">
      <c r="B308" s="1397" t="s">
        <v>17045</v>
      </c>
      <c r="C308" s="1397" t="s">
        <v>5299</v>
      </c>
      <c r="D308" s="1397">
        <v>0</v>
      </c>
      <c r="E308" s="1397">
        <v>0</v>
      </c>
      <c r="G308" s="1397">
        <v>0</v>
      </c>
      <c r="I308" s="1397">
        <v>0</v>
      </c>
      <c r="J308" s="1397">
        <v>0</v>
      </c>
      <c r="K308" s="1397">
        <v>0</v>
      </c>
    </row>
    <row r="309" spans="2:11" x14ac:dyDescent="0.2">
      <c r="B309" s="1397" t="s">
        <v>17046</v>
      </c>
      <c r="C309" s="1397" t="s">
        <v>5300</v>
      </c>
      <c r="D309" s="1397">
        <v>0</v>
      </c>
      <c r="E309" s="1397">
        <v>0</v>
      </c>
      <c r="G309" s="1397">
        <v>0</v>
      </c>
      <c r="I309" s="1397">
        <v>0</v>
      </c>
      <c r="J309" s="1397">
        <v>0</v>
      </c>
      <c r="K309" s="1397">
        <v>0</v>
      </c>
    </row>
    <row r="310" spans="2:11" x14ac:dyDescent="0.2">
      <c r="B310" s="1397" t="s">
        <v>17047</v>
      </c>
      <c r="C310" s="1397" t="s">
        <v>13210</v>
      </c>
      <c r="D310" s="1397">
        <v>0</v>
      </c>
      <c r="E310" s="1397">
        <v>0</v>
      </c>
      <c r="G310" s="1397">
        <v>0</v>
      </c>
      <c r="I310" s="1397">
        <v>0</v>
      </c>
      <c r="J310" s="1397">
        <v>0</v>
      </c>
      <c r="K310" s="1397">
        <v>0</v>
      </c>
    </row>
    <row r="311" spans="2:11" x14ac:dyDescent="0.2">
      <c r="B311" s="1397" t="s">
        <v>17048</v>
      </c>
      <c r="C311" s="1397" t="s">
        <v>5300</v>
      </c>
      <c r="D311" s="1397">
        <v>0</v>
      </c>
      <c r="E311" s="1397">
        <v>0</v>
      </c>
      <c r="G311" s="1397">
        <v>0</v>
      </c>
      <c r="I311" s="1397">
        <v>0</v>
      </c>
      <c r="J311" s="1397">
        <v>0</v>
      </c>
      <c r="K311" s="1397">
        <v>0</v>
      </c>
    </row>
    <row r="312" spans="2:11" x14ac:dyDescent="0.2">
      <c r="B312" s="1397" t="s">
        <v>17049</v>
      </c>
      <c r="C312" s="1397" t="s">
        <v>5300</v>
      </c>
      <c r="D312" s="1397">
        <v>0</v>
      </c>
      <c r="E312" s="1397">
        <v>0</v>
      </c>
      <c r="G312" s="1397">
        <v>0</v>
      </c>
      <c r="I312" s="1397">
        <v>0</v>
      </c>
      <c r="J312" s="1397">
        <v>0</v>
      </c>
      <c r="K312" s="1397">
        <v>0</v>
      </c>
    </row>
    <row r="313" spans="2:11" x14ac:dyDescent="0.2">
      <c r="B313" s="1397" t="s">
        <v>17050</v>
      </c>
      <c r="C313" s="1397" t="s">
        <v>5300</v>
      </c>
      <c r="D313" s="1397">
        <v>0</v>
      </c>
      <c r="E313" s="1397">
        <v>0</v>
      </c>
      <c r="G313" s="1397">
        <v>0</v>
      </c>
      <c r="I313" s="1397">
        <v>0</v>
      </c>
      <c r="J313" s="1397">
        <v>0</v>
      </c>
      <c r="K313" s="1397">
        <v>0</v>
      </c>
    </row>
    <row r="314" spans="2:11" x14ac:dyDescent="0.2">
      <c r="B314" s="1397" t="s">
        <v>17051</v>
      </c>
      <c r="C314" s="1397" t="s">
        <v>5299</v>
      </c>
      <c r="D314" s="1397">
        <v>0</v>
      </c>
      <c r="E314" s="1397">
        <v>0</v>
      </c>
      <c r="G314" s="1397">
        <v>0</v>
      </c>
      <c r="I314" s="1397">
        <v>0</v>
      </c>
      <c r="J314" s="1397">
        <v>0</v>
      </c>
      <c r="K314" s="1397">
        <v>0</v>
      </c>
    </row>
    <row r="315" spans="2:11" x14ac:dyDescent="0.2">
      <c r="B315" s="1397" t="s">
        <v>17052</v>
      </c>
      <c r="C315" s="1397" t="s">
        <v>5299</v>
      </c>
      <c r="D315" s="1397">
        <v>0</v>
      </c>
      <c r="E315" s="1397">
        <v>0</v>
      </c>
      <c r="G315" s="1397">
        <v>0</v>
      </c>
      <c r="I315" s="1397">
        <v>0</v>
      </c>
      <c r="J315" s="1397">
        <v>0</v>
      </c>
      <c r="K315" s="1397">
        <v>0</v>
      </c>
    </row>
    <row r="316" spans="2:11" x14ac:dyDescent="0.2">
      <c r="B316" s="1397" t="s">
        <v>17053</v>
      </c>
      <c r="C316" s="1397" t="s">
        <v>13211</v>
      </c>
      <c r="D316" s="1397">
        <v>0</v>
      </c>
      <c r="E316" s="1397">
        <v>0</v>
      </c>
      <c r="G316" s="1397">
        <v>0</v>
      </c>
      <c r="I316" s="1397">
        <v>0</v>
      </c>
      <c r="J316" s="1397">
        <v>0</v>
      </c>
      <c r="K316" s="1397">
        <v>0</v>
      </c>
    </row>
    <row r="317" spans="2:11" x14ac:dyDescent="0.2">
      <c r="B317" s="1397" t="s">
        <v>17058</v>
      </c>
      <c r="C317" s="1397" t="s">
        <v>5299</v>
      </c>
      <c r="D317" s="1397">
        <v>0</v>
      </c>
      <c r="E317" s="1397">
        <v>0</v>
      </c>
      <c r="G317" s="1397">
        <v>0</v>
      </c>
      <c r="I317" s="1397">
        <v>0</v>
      </c>
      <c r="J317" s="1397">
        <v>0</v>
      </c>
      <c r="K317" s="1397">
        <v>0</v>
      </c>
    </row>
    <row r="318" spans="2:11" x14ac:dyDescent="0.2">
      <c r="B318" s="1397" t="s">
        <v>17017</v>
      </c>
      <c r="C318" s="1397" t="s">
        <v>13211</v>
      </c>
      <c r="D318" s="1397">
        <v>0</v>
      </c>
      <c r="E318" s="1397">
        <v>0</v>
      </c>
      <c r="G318" s="1397">
        <v>0</v>
      </c>
      <c r="I318" s="1397">
        <v>0</v>
      </c>
      <c r="J318" s="1397">
        <v>0</v>
      </c>
      <c r="K318" s="1397">
        <v>0</v>
      </c>
    </row>
    <row r="319" spans="2:11" x14ac:dyDescent="0.2">
      <c r="B319" s="1397" t="s">
        <v>17018</v>
      </c>
      <c r="C319" s="1397" t="s">
        <v>1563</v>
      </c>
      <c r="D319" s="1397">
        <v>0</v>
      </c>
      <c r="E319" s="1397">
        <v>0</v>
      </c>
      <c r="G319" s="1397">
        <v>0</v>
      </c>
      <c r="I319" s="1397">
        <v>0</v>
      </c>
      <c r="J319" s="1397">
        <v>0</v>
      </c>
      <c r="K319" s="1397">
        <v>0</v>
      </c>
    </row>
    <row r="320" spans="2:11" x14ac:dyDescent="0.2">
      <c r="B320" s="1397" t="s">
        <v>17054</v>
      </c>
      <c r="C320" s="1397" t="s">
        <v>1563</v>
      </c>
      <c r="D320" s="1397">
        <v>0</v>
      </c>
      <c r="E320" s="1397">
        <v>0</v>
      </c>
      <c r="G320" s="1397">
        <v>0</v>
      </c>
      <c r="I320" s="1397">
        <v>0</v>
      </c>
      <c r="J320" s="1397">
        <v>0</v>
      </c>
      <c r="K320" s="1397">
        <v>0</v>
      </c>
    </row>
    <row r="321" spans="2:11" x14ac:dyDescent="0.2">
      <c r="B321" s="1397" t="s">
        <v>17466</v>
      </c>
      <c r="C321" s="1397" t="s">
        <v>13210</v>
      </c>
      <c r="D321" s="1397">
        <v>0</v>
      </c>
      <c r="E321" s="1397">
        <v>0</v>
      </c>
      <c r="G321" s="1397">
        <v>0</v>
      </c>
      <c r="I321" s="1397">
        <v>0</v>
      </c>
      <c r="J321" s="1397">
        <v>0</v>
      </c>
      <c r="K321" s="1397">
        <v>0</v>
      </c>
    </row>
    <row r="322" spans="2:11" x14ac:dyDescent="0.2">
      <c r="B322" s="1397" t="s">
        <v>17467</v>
      </c>
      <c r="C322" s="1397" t="s">
        <v>5299</v>
      </c>
      <c r="D322" s="1397">
        <v>0</v>
      </c>
      <c r="E322" s="1397">
        <v>0</v>
      </c>
      <c r="G322" s="1397">
        <v>0</v>
      </c>
      <c r="I322" s="1397">
        <v>0</v>
      </c>
      <c r="J322" s="1397">
        <v>0</v>
      </c>
      <c r="K322" s="1397">
        <v>0</v>
      </c>
    </row>
    <row r="323" spans="2:11" x14ac:dyDescent="0.2">
      <c r="B323" s="1397" t="s">
        <v>17466</v>
      </c>
      <c r="C323" s="1397" t="s">
        <v>13210</v>
      </c>
      <c r="D323" s="1397">
        <v>0</v>
      </c>
      <c r="E323" s="1397">
        <v>0</v>
      </c>
      <c r="G323" s="1397">
        <v>0</v>
      </c>
      <c r="I323" s="1397">
        <v>0</v>
      </c>
      <c r="J323" s="1397">
        <v>0</v>
      </c>
      <c r="K323" s="1397">
        <v>0</v>
      </c>
    </row>
    <row r="324" spans="2:11" x14ac:dyDescent="0.2">
      <c r="B324" s="1397" t="s">
        <v>17467</v>
      </c>
      <c r="C324" s="1397" t="s">
        <v>5299</v>
      </c>
      <c r="D324" s="1397">
        <v>0</v>
      </c>
      <c r="E324" s="1397">
        <v>0</v>
      </c>
      <c r="G324" s="1397">
        <v>0</v>
      </c>
      <c r="I324" s="1397">
        <v>0</v>
      </c>
      <c r="J324" s="1397">
        <v>0</v>
      </c>
      <c r="K324" s="1397">
        <v>0</v>
      </c>
    </row>
    <row r="325" spans="2:11" x14ac:dyDescent="0.2">
      <c r="B325" s="1397" t="s">
        <v>17467</v>
      </c>
      <c r="C325" s="1397" t="s">
        <v>5299</v>
      </c>
      <c r="D325" s="1397">
        <v>0</v>
      </c>
      <c r="E325" s="1397">
        <v>0</v>
      </c>
      <c r="G325" s="1397">
        <v>0</v>
      </c>
      <c r="I325" s="1397">
        <v>0</v>
      </c>
      <c r="J325" s="1397">
        <v>0</v>
      </c>
      <c r="K325" s="1397">
        <v>0</v>
      </c>
    </row>
    <row r="326" spans="2:11" x14ac:dyDescent="0.2">
      <c r="B326" s="1397" t="s">
        <v>17467</v>
      </c>
      <c r="C326" s="1397" t="s">
        <v>5299</v>
      </c>
      <c r="D326" s="1397">
        <v>0</v>
      </c>
      <c r="E326" s="1397">
        <v>0</v>
      </c>
      <c r="G326" s="1397">
        <v>0</v>
      </c>
      <c r="I326" s="1397">
        <v>0</v>
      </c>
      <c r="J326" s="1397">
        <v>0</v>
      </c>
      <c r="K326" s="1397">
        <v>0</v>
      </c>
    </row>
    <row r="327" spans="2:11" x14ac:dyDescent="0.2">
      <c r="B327" s="1397" t="s">
        <v>17017</v>
      </c>
      <c r="C327" s="1397" t="s">
        <v>13211</v>
      </c>
      <c r="D327" s="1397">
        <v>0</v>
      </c>
      <c r="E327" s="1397">
        <v>0</v>
      </c>
      <c r="G327" s="1397">
        <v>0</v>
      </c>
      <c r="I327" s="1397">
        <v>0</v>
      </c>
      <c r="J327" s="1397">
        <v>0</v>
      </c>
      <c r="K327" s="1397">
        <v>0</v>
      </c>
    </row>
    <row r="328" spans="2:11" x14ac:dyDescent="0.2">
      <c r="B328" s="1397" t="s">
        <v>17018</v>
      </c>
      <c r="C328" s="1397" t="s">
        <v>1563</v>
      </c>
      <c r="D328" s="1397">
        <v>0</v>
      </c>
      <c r="E328" s="1397">
        <v>0</v>
      </c>
      <c r="G328" s="1397">
        <v>0</v>
      </c>
      <c r="I328" s="1397">
        <v>0</v>
      </c>
      <c r="J328" s="1397">
        <v>0</v>
      </c>
      <c r="K328" s="1397">
        <v>0</v>
      </c>
    </row>
    <row r="329" spans="2:11" x14ac:dyDescent="0.2">
      <c r="B329" s="1397" t="s">
        <v>17054</v>
      </c>
      <c r="C329" s="1397" t="s">
        <v>1563</v>
      </c>
      <c r="D329" s="1397">
        <v>0</v>
      </c>
      <c r="E329" s="1397">
        <v>0</v>
      </c>
      <c r="G329" s="1397">
        <v>0</v>
      </c>
      <c r="I329" s="1397">
        <v>0</v>
      </c>
      <c r="J329" s="1397">
        <v>0</v>
      </c>
      <c r="K329" s="1397">
        <v>0</v>
      </c>
    </row>
    <row r="330" spans="2:11" x14ac:dyDescent="0.2">
      <c r="B330" s="1397" t="s">
        <v>17466</v>
      </c>
      <c r="C330" s="1397" t="s">
        <v>13210</v>
      </c>
      <c r="D330" s="1397">
        <v>0</v>
      </c>
      <c r="E330" s="1397">
        <v>0</v>
      </c>
      <c r="G330" s="1397">
        <v>0</v>
      </c>
      <c r="I330" s="1397">
        <v>0</v>
      </c>
      <c r="J330" s="1397">
        <v>0</v>
      </c>
      <c r="K330" s="1397">
        <v>0</v>
      </c>
    </row>
    <row r="331" spans="2:11" x14ac:dyDescent="0.2">
      <c r="B331" s="1397" t="s">
        <v>17467</v>
      </c>
      <c r="C331" s="1397" t="s">
        <v>5299</v>
      </c>
      <c r="D331" s="1397">
        <v>0</v>
      </c>
      <c r="E331" s="1397">
        <v>0</v>
      </c>
      <c r="G331" s="1397">
        <v>0</v>
      </c>
      <c r="I331" s="1397">
        <v>0</v>
      </c>
      <c r="J331" s="1397">
        <v>0</v>
      </c>
      <c r="K331" s="1397">
        <v>0</v>
      </c>
    </row>
    <row r="332" spans="2:11" x14ac:dyDescent="0.2">
      <c r="B332" s="1397" t="s">
        <v>17467</v>
      </c>
      <c r="C332" s="1397" t="s">
        <v>5299</v>
      </c>
      <c r="D332" s="1397">
        <v>0</v>
      </c>
      <c r="E332" s="1397">
        <v>0</v>
      </c>
      <c r="G332" s="1397">
        <v>0</v>
      </c>
      <c r="I332" s="1397">
        <v>0</v>
      </c>
      <c r="J332" s="1397">
        <v>0</v>
      </c>
      <c r="K332" s="1397">
        <v>0</v>
      </c>
    </row>
    <row r="333" spans="2:11" x14ac:dyDescent="0.2">
      <c r="B333" s="1397" t="s">
        <v>17059</v>
      </c>
      <c r="C333" s="1397" t="s">
        <v>5300</v>
      </c>
      <c r="D333" s="1397">
        <v>0</v>
      </c>
      <c r="E333" s="1397">
        <v>0</v>
      </c>
      <c r="G333" s="1397">
        <v>0</v>
      </c>
      <c r="I333" s="1397">
        <v>0</v>
      </c>
      <c r="J333" s="1397">
        <v>0</v>
      </c>
      <c r="K333" s="1397">
        <v>0</v>
      </c>
    </row>
    <row r="334" spans="2:11" x14ac:dyDescent="0.2">
      <c r="B334" s="1397" t="s">
        <v>17017</v>
      </c>
      <c r="C334" s="1397" t="s">
        <v>13211</v>
      </c>
      <c r="D334" s="1397">
        <v>0</v>
      </c>
      <c r="E334" s="1397">
        <v>0</v>
      </c>
      <c r="G334" s="1397">
        <v>0</v>
      </c>
      <c r="I334" s="1397">
        <v>0</v>
      </c>
      <c r="J334" s="1397">
        <v>0</v>
      </c>
      <c r="K334" s="1397">
        <v>0</v>
      </c>
    </row>
    <row r="335" spans="2:11" x14ac:dyDescent="0.2">
      <c r="B335" s="1397" t="s">
        <v>17018</v>
      </c>
      <c r="C335" s="1397" t="s">
        <v>1563</v>
      </c>
      <c r="D335" s="1397">
        <v>0</v>
      </c>
      <c r="E335" s="1397">
        <v>0</v>
      </c>
      <c r="G335" s="1397">
        <v>0</v>
      </c>
      <c r="I335" s="1397">
        <v>0</v>
      </c>
      <c r="J335" s="1397">
        <v>0</v>
      </c>
      <c r="K335" s="1397">
        <v>0</v>
      </c>
    </row>
    <row r="336" spans="2:11" x14ac:dyDescent="0.2">
      <c r="B336" s="1397" t="s">
        <v>17054</v>
      </c>
      <c r="C336" s="1397" t="s">
        <v>1563</v>
      </c>
      <c r="D336" s="1397">
        <v>0</v>
      </c>
      <c r="E336" s="1397">
        <v>0</v>
      </c>
      <c r="G336" s="1397">
        <v>0</v>
      </c>
      <c r="I336" s="1397">
        <v>0</v>
      </c>
      <c r="J336" s="1397">
        <v>0</v>
      </c>
      <c r="K336" s="1397">
        <v>0</v>
      </c>
    </row>
    <row r="337" spans="2:11" x14ac:dyDescent="0.2">
      <c r="B337" s="1397" t="s">
        <v>17054</v>
      </c>
      <c r="C337" s="1397" t="s">
        <v>1563</v>
      </c>
      <c r="D337" s="1397">
        <v>0</v>
      </c>
      <c r="E337" s="1397">
        <v>0</v>
      </c>
      <c r="G337" s="1397">
        <v>0</v>
      </c>
      <c r="I337" s="1397">
        <v>0</v>
      </c>
      <c r="J337" s="1397">
        <v>0</v>
      </c>
      <c r="K337" s="1397">
        <v>0</v>
      </c>
    </row>
  </sheetData>
  <sheetProtection sheet="1" objects="1" scenarios="1" formatColumns="0" formatRows="0" selectLockedCells="1"/>
  <autoFilter ref="B4:K21" xr:uid="{00000000-0009-0000-0000-000020000000}">
    <sortState xmlns:xlrd2="http://schemas.microsoft.com/office/spreadsheetml/2017/richdata2" ref="B5:K32">
      <sortCondition descending="1" ref="E4:E20"/>
    </sortState>
  </autoFilter>
  <dataConsolidate/>
  <customSheetViews>
    <customSheetView guid="{13F24B0A-7740-483A-BEF7-5257F8522605}" showGridLines="0" fitToPage="1" showAutoFilter="1" state="hidden">
      <pane ySplit="4" topLeftCell="A5" activePane="bottomLeft" state="frozen"/>
      <selection pane="bottomLeft" activeCell="A290" sqref="A290"/>
      <pageMargins left="0.78740157480314965" right="0.78740157480314965" top="0.98425196850393704" bottom="0.98425196850393704" header="0.51181102362204722" footer="0.51181102362204722"/>
      <printOptions horizontalCentered="1"/>
      <pageSetup paperSize="9" scale="74" fitToHeight="20" orientation="portrait" r:id="rId1"/>
      <headerFooter alignWithMargins="0">
        <oddHeader>&amp;L&amp;14_x000D_Sept. 1st, 2018&amp;C&amp;18FISTF World Cup 2018 - Gibraltar - Individuals Competition&amp;R&amp;14_x000D_&amp;A</oddHeader>
        <oddFooter>&amp;L&amp;8 Produced by GMFT 6.3.2&amp;R&amp;14&amp;P / &amp;N</oddFooter>
      </headerFooter>
      <autoFilter ref="B4:K21" xr:uid="{D97E2A52-E4D3-4F5E-9A77-CC7CAAAFB30C}">
        <sortState xmlns:xlrd2="http://schemas.microsoft.com/office/spreadsheetml/2017/richdata2" ref="B5:K32">
          <sortCondition descending="1" ref="E4:E20"/>
        </sortState>
      </autoFilter>
    </customSheetView>
  </customSheetViews>
  <mergeCells count="2">
    <mergeCell ref="B1:K1"/>
    <mergeCell ref="C3:E3"/>
  </mergeCells>
  <dataValidations count="1">
    <dataValidation type="list" allowBlank="1" showInputMessage="1" showErrorMessage="1" sqref="C3:E3" xr:uid="{00000000-0002-0000-2000-000000000000}">
      <formula1>CompetitionSheetList</formula1>
    </dataValidation>
  </dataValidations>
  <printOptions horizontalCentered="1"/>
  <pageMargins left="0.78740157480314965" right="0.78740157480314965" top="0.98425196850393704" bottom="0.98425196850393704" header="0.51181102362204722" footer="0.51181102362204722"/>
  <pageSetup paperSize="9" scale="74" fitToHeight="20" orientation="portrait" r:id="rId2"/>
  <headerFooter alignWithMargins="0">
    <oddHeader>&amp;L&amp;14_x000D_&lt;Event Date(s)&gt;&amp;C&amp;18&lt;FEDERATION&gt; &lt;Event Name&gt;&lt;YYYY&gt; - &lt;Location&gt; - &lt;Individuals/Teams&gt; Competition&amp;R&amp;14_x000D_&amp;A</oddHeader>
    <oddFooter>&amp;L&amp;8 Produced by GMFT 14&amp;R&amp;14&amp;P / &amp;N</oddFooter>
  </headerFooter>
  <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t_Venue">
    <pageSetUpPr fitToPage="1"/>
  </sheetPr>
  <dimension ref="A1:DB52"/>
  <sheetViews>
    <sheetView showGridLines="0" zoomScale="85" zoomScaleNormal="85" zoomScaleSheetLayoutView="100" workbookViewId="0">
      <pane ySplit="1" topLeftCell="A2" activePane="bottomLeft" state="frozen"/>
      <selection pane="bottomLeft" activeCell="BX21" sqref="BX21"/>
    </sheetView>
  </sheetViews>
  <sheetFormatPr baseColWidth="10" defaultColWidth="11.42578125" defaultRowHeight="15" x14ac:dyDescent="0.2"/>
  <cols>
    <col min="1" max="1" width="3.140625" style="706" customWidth="1"/>
    <col min="2" max="2" width="3" style="677" bestFit="1" customWidth="1"/>
    <col min="3" max="8" width="3.85546875" style="677" customWidth="1"/>
    <col min="9" max="11" width="2.42578125" style="677" customWidth="1"/>
    <col min="12" max="17" width="3.85546875" style="677" customWidth="1"/>
    <col min="18" max="19" width="2.7109375" style="677" customWidth="1"/>
    <col min="20" max="24" width="3.85546875" style="677" customWidth="1"/>
    <col min="25" max="25" width="3.85546875" style="1507" customWidth="1"/>
    <col min="26" max="28" width="2.42578125" style="677" customWidth="1"/>
    <col min="29" max="34" width="3.85546875" style="677" customWidth="1"/>
    <col min="35" max="36" width="2.7109375" style="677" customWidth="1"/>
    <col min="37" max="41" width="3.85546875" style="677" customWidth="1"/>
    <col min="42" max="42" width="3.85546875" style="1507" customWidth="1"/>
    <col min="43" max="45" width="2.42578125" style="677" customWidth="1"/>
    <col min="46" max="51" width="3.85546875" style="677" customWidth="1"/>
    <col min="52" max="53" width="2.7109375" style="677" customWidth="1"/>
    <col min="54" max="59" width="3.85546875" style="677" customWidth="1"/>
    <col min="60" max="62" width="2.42578125" style="677" customWidth="1"/>
    <col min="63" max="63" width="3.85546875" style="677" customWidth="1"/>
    <col min="64" max="68" width="3.85546875" style="1518" customWidth="1"/>
    <col min="69" max="90" width="3" style="1518" bestFit="1" customWidth="1"/>
    <col min="91" max="91" width="3.5703125" style="1518" customWidth="1"/>
    <col min="92" max="99" width="4.7109375" style="1518" customWidth="1"/>
    <col min="100" max="104" width="11.42578125" style="1518"/>
    <col min="105" max="105" width="8.140625" style="1518" hidden="1" customWidth="1"/>
    <col min="106" max="106" width="0" style="1518" hidden="1" customWidth="1"/>
    <col min="107" max="16384" width="11.42578125" style="1518"/>
  </cols>
  <sheetData>
    <row r="1" spans="1:106" s="1901" customFormat="1" ht="23.25" x14ac:dyDescent="0.35">
      <c r="B1" s="1898" t="str">
        <f>N_VenueTitle</f>
        <v>Plan de Salle</v>
      </c>
      <c r="C1" s="1898"/>
      <c r="D1" s="1898"/>
      <c r="E1" s="1899"/>
      <c r="F1" s="1899"/>
      <c r="G1" s="1899"/>
      <c r="H1" s="1900"/>
      <c r="I1" s="1900"/>
      <c r="J1" s="1900"/>
      <c r="K1" s="1900"/>
      <c r="L1" s="1900"/>
      <c r="M1" s="1899"/>
      <c r="N1" s="1900"/>
      <c r="O1" s="1899"/>
      <c r="P1" s="1899"/>
      <c r="Q1" s="1899"/>
      <c r="R1" s="1899"/>
      <c r="S1" s="1899"/>
      <c r="T1" s="1899"/>
      <c r="U1" s="1900"/>
      <c r="V1" s="1900"/>
      <c r="W1" s="1899"/>
      <c r="X1" s="1899"/>
      <c r="Y1" s="1899"/>
      <c r="Z1" s="1899"/>
      <c r="AA1" s="1900"/>
      <c r="AB1" s="1900"/>
      <c r="AC1" s="1900"/>
      <c r="AD1" s="1899"/>
      <c r="AE1" s="1900"/>
      <c r="AF1" s="1900"/>
      <c r="AG1" s="1900"/>
      <c r="AH1" s="1899"/>
      <c r="AI1" s="1899"/>
      <c r="AJ1" s="1899"/>
      <c r="AK1" s="1899"/>
      <c r="BD1" s="1900"/>
      <c r="BE1" s="1900"/>
      <c r="BF1" s="1900"/>
      <c r="BG1" s="1900"/>
      <c r="BH1" s="1900"/>
      <c r="BI1" s="1899"/>
      <c r="BJ1" s="1900"/>
      <c r="BK1" s="1902"/>
      <c r="BM1" s="1900"/>
      <c r="BN1" s="1900"/>
      <c r="BO1" s="1900"/>
      <c r="BP1" s="1900"/>
      <c r="DA1" s="1896" t="s">
        <v>8769</v>
      </c>
      <c r="DB1" s="1897">
        <v>1</v>
      </c>
    </row>
    <row r="2" spans="1:106" ht="23.25" x14ac:dyDescent="0.35">
      <c r="A2" s="2128" t="s">
        <v>2838</v>
      </c>
      <c r="B2" s="2152" t="str">
        <f>N_VenueTitle</f>
        <v>Plan de Salle</v>
      </c>
      <c r="C2" s="2129"/>
      <c r="D2" s="2129"/>
      <c r="E2" s="2129"/>
      <c r="F2" s="2129"/>
      <c r="G2" s="2129"/>
      <c r="H2" s="2129"/>
      <c r="I2" s="2129"/>
      <c r="J2" s="2129"/>
      <c r="K2" s="2129"/>
      <c r="L2" s="2129"/>
      <c r="M2" s="2129"/>
      <c r="N2" s="2129"/>
      <c r="O2" s="2129"/>
      <c r="P2" s="2129"/>
      <c r="Q2" s="2129"/>
      <c r="R2" s="2129"/>
      <c r="S2" s="2129"/>
      <c r="T2" s="2129"/>
      <c r="U2" s="2129"/>
      <c r="V2" s="2129"/>
      <c r="W2" s="2129"/>
      <c r="X2" s="2129"/>
      <c r="Y2" s="2129"/>
      <c r="Z2" s="2129"/>
      <c r="AA2" s="2129"/>
      <c r="AB2" s="2129"/>
      <c r="AC2" s="2129"/>
      <c r="AD2" s="2129"/>
      <c r="AE2" s="2129"/>
      <c r="AF2" s="2129"/>
      <c r="AG2" s="2129"/>
      <c r="AH2" s="2129"/>
      <c r="AI2" s="2129"/>
      <c r="AJ2" s="2129"/>
      <c r="AK2" s="2129"/>
      <c r="AL2" s="2129"/>
      <c r="AM2" s="2129"/>
      <c r="AN2" s="2129"/>
      <c r="AO2" s="2129"/>
      <c r="AP2" s="2129"/>
      <c r="AQ2" s="2129"/>
      <c r="AR2" s="2129"/>
      <c r="AS2" s="2129"/>
      <c r="AT2" s="2129"/>
      <c r="AU2" s="2129"/>
      <c r="AV2" s="2129"/>
      <c r="AW2" s="2129"/>
      <c r="AX2" s="2129"/>
      <c r="AY2" s="2129"/>
      <c r="AZ2" s="2129"/>
      <c r="BA2" s="2129"/>
      <c r="BB2" s="2129"/>
      <c r="BC2" s="2129"/>
      <c r="BD2" s="2129"/>
      <c r="BE2" s="2129"/>
      <c r="BF2" s="2129"/>
      <c r="BG2" s="2129"/>
      <c r="BH2" s="2129"/>
      <c r="BI2" s="2129"/>
      <c r="BJ2" s="2129"/>
      <c r="BK2" s="2129"/>
      <c r="BL2" s="2129"/>
      <c r="BM2" s="2129"/>
      <c r="BN2" s="2129"/>
      <c r="BO2" s="2129"/>
      <c r="BP2" s="2129"/>
      <c r="BQ2" s="2129"/>
    </row>
    <row r="3" spans="1:106" x14ac:dyDescent="0.2">
      <c r="B3" s="1506"/>
      <c r="C3" s="1506"/>
      <c r="D3" s="1506"/>
      <c r="E3" s="1506"/>
      <c r="F3" s="1506"/>
      <c r="G3" s="1506"/>
      <c r="H3" s="1506"/>
      <c r="I3" s="1506"/>
      <c r="J3" s="1506"/>
      <c r="K3" s="1506"/>
      <c r="L3" s="1506"/>
      <c r="M3" s="1506"/>
      <c r="N3" s="1506"/>
      <c r="O3" s="1506"/>
      <c r="P3" s="1506"/>
      <c r="Q3" s="1506"/>
      <c r="R3" s="1506"/>
      <c r="S3" s="1506"/>
      <c r="T3" s="1506"/>
      <c r="U3" s="1506"/>
      <c r="V3" s="2153"/>
      <c r="W3" s="2153"/>
      <c r="X3" s="2153"/>
      <c r="Y3" s="2153"/>
      <c r="Z3" s="1506"/>
      <c r="AA3" s="1506"/>
      <c r="AB3" s="1506"/>
      <c r="AC3" s="1506"/>
      <c r="AD3" s="1506"/>
      <c r="AE3" s="1506"/>
      <c r="AF3" s="1506"/>
      <c r="AG3" s="1506"/>
      <c r="AH3" s="1506"/>
      <c r="AI3" s="1506"/>
      <c r="AJ3" s="1506"/>
      <c r="AK3" s="1506"/>
      <c r="AL3" s="1506"/>
      <c r="AM3" s="1559"/>
      <c r="AN3" s="1506"/>
      <c r="AO3" s="1506"/>
      <c r="AP3" s="1506"/>
      <c r="AQ3" s="1506"/>
      <c r="AR3" s="1506"/>
      <c r="AS3" s="1506"/>
      <c r="AT3" s="1506"/>
      <c r="AU3" s="1506"/>
      <c r="AV3" s="1506"/>
      <c r="AW3" s="1506"/>
      <c r="AX3" s="1506"/>
      <c r="AY3" s="1506"/>
      <c r="AZ3" s="1506"/>
      <c r="BA3" s="1506"/>
      <c r="BB3" s="1506"/>
      <c r="BC3" s="1506"/>
      <c r="BD3" s="1559"/>
      <c r="BE3" s="1506"/>
      <c r="BF3" s="1506"/>
      <c r="BG3" s="1506"/>
      <c r="BH3" s="1506"/>
      <c r="BI3" s="1506"/>
      <c r="BJ3" s="1506"/>
      <c r="BK3" s="1506"/>
      <c r="BL3" s="1506"/>
      <c r="BM3" s="1506"/>
      <c r="BN3" s="1506"/>
      <c r="BO3" s="1506"/>
      <c r="BP3" s="1506"/>
      <c r="BQ3" s="1508"/>
    </row>
    <row r="4" spans="1:106" s="436" customFormat="1" ht="15" customHeight="1" x14ac:dyDescent="0.15">
      <c r="A4" s="706"/>
      <c r="B4" s="1506"/>
      <c r="C4" s="1506"/>
      <c r="D4" s="1506"/>
      <c r="E4" s="1506"/>
      <c r="F4" s="2139"/>
      <c r="G4" s="1506"/>
      <c r="H4" s="1506"/>
      <c r="I4" s="1506"/>
      <c r="J4" s="1506"/>
      <c r="K4" s="1506"/>
      <c r="L4" s="1506"/>
      <c r="M4" s="1506"/>
      <c r="N4" s="1506"/>
      <c r="O4" s="1506"/>
      <c r="P4" s="1506"/>
      <c r="Q4" s="1506"/>
      <c r="R4" s="1506"/>
      <c r="S4" s="1506"/>
      <c r="T4" s="1506"/>
      <c r="U4" s="1506"/>
      <c r="V4" s="2153"/>
      <c r="W4" s="2153"/>
      <c r="X4" s="2153"/>
      <c r="Y4" s="2153"/>
      <c r="Z4" s="1506"/>
      <c r="AA4" s="1506"/>
      <c r="AB4" s="1506"/>
      <c r="AC4" s="1506"/>
      <c r="AD4" s="1506"/>
      <c r="AE4" s="1506"/>
      <c r="AF4" s="1506"/>
      <c r="AG4" s="1506"/>
      <c r="AH4" s="1506"/>
      <c r="AI4" s="1506"/>
      <c r="AJ4" s="1506"/>
      <c r="AK4" s="1506"/>
      <c r="AL4" s="1506"/>
      <c r="AM4" s="1506"/>
      <c r="AN4" s="1506"/>
      <c r="AO4" s="1506"/>
      <c r="AP4" s="1506"/>
      <c r="AQ4" s="1506"/>
      <c r="AR4" s="1506"/>
      <c r="AS4" s="1506"/>
      <c r="AT4" s="1506"/>
      <c r="AU4" s="1506"/>
      <c r="AV4" s="1506"/>
      <c r="AW4" s="1506"/>
      <c r="AX4" s="1506"/>
      <c r="AY4" s="1506"/>
      <c r="AZ4" s="1506"/>
      <c r="BA4" s="1506"/>
      <c r="BB4" s="2153"/>
      <c r="BC4" s="2153"/>
      <c r="BD4" s="2154"/>
      <c r="BE4" s="2153"/>
      <c r="BF4" s="2153"/>
      <c r="BG4" s="2153"/>
      <c r="BH4" s="2153"/>
      <c r="BI4" s="2153"/>
      <c r="BJ4" s="2153"/>
      <c r="BK4" s="2153"/>
      <c r="BL4" s="2153"/>
      <c r="BM4" s="2153"/>
      <c r="BN4" s="2153"/>
      <c r="BO4" s="2153"/>
      <c r="BP4" s="2153"/>
      <c r="BQ4" s="1508"/>
    </row>
    <row r="5" spans="1:106" ht="15" customHeight="1" x14ac:dyDescent="0.2">
      <c r="A5" s="2155"/>
      <c r="B5" s="1555"/>
      <c r="C5" s="120"/>
      <c r="D5" s="120"/>
      <c r="E5" s="120"/>
      <c r="F5" s="120"/>
      <c r="G5" s="120"/>
      <c r="H5" s="120"/>
      <c r="I5" s="120"/>
      <c r="J5" s="120"/>
      <c r="K5" s="120"/>
      <c r="L5" s="120"/>
      <c r="M5" s="120"/>
      <c r="N5" s="120"/>
      <c r="O5" s="120"/>
      <c r="P5" s="120"/>
      <c r="Q5" s="120"/>
      <c r="R5" s="1555"/>
      <c r="S5" s="1555"/>
      <c r="T5" s="647"/>
      <c r="U5" s="647"/>
      <c r="V5" s="120"/>
      <c r="W5" s="120"/>
      <c r="X5" s="120"/>
      <c r="Y5" s="120"/>
      <c r="Z5" s="120"/>
      <c r="AA5" s="120"/>
      <c r="AB5" s="1506"/>
      <c r="AC5" s="1506"/>
      <c r="AD5" s="1506"/>
      <c r="AE5" s="1506"/>
      <c r="AF5" s="1506"/>
      <c r="AG5" s="1506"/>
      <c r="AH5" s="1506"/>
      <c r="AI5" s="1506"/>
      <c r="AJ5" s="1506"/>
      <c r="AK5" s="1506"/>
      <c r="AL5" s="1506"/>
      <c r="AM5" s="1506"/>
      <c r="AN5" s="1506"/>
      <c r="AO5" s="1506"/>
      <c r="AP5" s="1506"/>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row>
    <row r="6" spans="1:106" s="120" customFormat="1" ht="12.75" x14ac:dyDescent="0.2">
      <c r="A6" s="267"/>
      <c r="B6" s="267"/>
      <c r="C6" s="267"/>
      <c r="D6" s="267"/>
      <c r="E6" s="267"/>
      <c r="F6" s="267"/>
      <c r="G6" s="267"/>
      <c r="H6" s="267"/>
      <c r="I6" s="267"/>
      <c r="J6" s="267"/>
      <c r="K6" s="267"/>
      <c r="L6" s="267"/>
      <c r="M6" s="267"/>
      <c r="N6" s="267"/>
      <c r="O6" s="267"/>
      <c r="P6" s="267"/>
      <c r="Q6" s="267"/>
      <c r="R6" s="1559"/>
      <c r="S6" s="1559" t="s">
        <v>2838</v>
      </c>
      <c r="T6" s="267"/>
      <c r="U6" s="267"/>
      <c r="V6" s="267"/>
      <c r="W6" s="267"/>
      <c r="X6" s="267"/>
      <c r="Y6" s="267"/>
      <c r="Z6" s="267"/>
      <c r="AA6" s="267"/>
      <c r="AB6" s="267"/>
      <c r="AC6" s="267"/>
      <c r="AD6" s="267"/>
      <c r="AE6" s="267"/>
      <c r="AF6" s="267"/>
      <c r="AG6" s="267"/>
      <c r="AH6" s="267"/>
      <c r="AI6" s="267"/>
      <c r="AJ6" s="267"/>
      <c r="AK6" s="267"/>
      <c r="AL6" s="267"/>
      <c r="AM6" s="267"/>
      <c r="AN6" s="267"/>
      <c r="AO6" s="267"/>
      <c r="AP6" s="267"/>
      <c r="AQ6" s="267"/>
      <c r="AR6" s="267"/>
      <c r="AS6" s="267"/>
      <c r="AT6" s="267"/>
      <c r="AU6" s="267"/>
      <c r="AV6" s="267"/>
      <c r="AW6" s="267"/>
      <c r="AX6" s="267"/>
      <c r="AY6" s="267"/>
      <c r="AZ6" s="267"/>
      <c r="BA6" s="267"/>
      <c r="BB6" s="267"/>
      <c r="BC6" s="267"/>
      <c r="BD6" s="267"/>
      <c r="BE6" s="267"/>
      <c r="BF6" s="267"/>
      <c r="BG6" s="267"/>
      <c r="BH6" s="267"/>
      <c r="BI6" s="267"/>
      <c r="BJ6" s="267"/>
      <c r="BK6" s="267"/>
      <c r="BL6" s="267"/>
      <c r="BM6" s="267"/>
      <c r="BN6" s="267"/>
      <c r="BO6" s="267"/>
      <c r="BP6" s="267"/>
      <c r="BQ6" s="267"/>
      <c r="BU6" s="1555"/>
      <c r="BV6" s="1555"/>
    </row>
    <row r="7" spans="1:106" s="267" customFormat="1" ht="12" thickBot="1" x14ac:dyDescent="0.25">
      <c r="R7" s="1559"/>
      <c r="S7" s="1559" t="s">
        <v>2838</v>
      </c>
      <c r="AE7" s="1559"/>
      <c r="AF7" s="1559" t="s">
        <v>2838</v>
      </c>
      <c r="BU7" s="1559"/>
      <c r="BV7" s="1559" t="s">
        <v>2838</v>
      </c>
    </row>
    <row r="8" spans="1:106" s="7" customFormat="1" x14ac:dyDescent="0.2">
      <c r="A8" s="2130"/>
      <c r="B8" s="2130"/>
      <c r="C8" s="2164" t="s">
        <v>11487</v>
      </c>
      <c r="D8" s="2165"/>
      <c r="E8" s="2165"/>
      <c r="F8" s="2165"/>
      <c r="G8" s="2165"/>
      <c r="H8" s="2165"/>
      <c r="I8" s="2165"/>
      <c r="J8" s="2165"/>
      <c r="K8" s="2165"/>
      <c r="L8" s="2165"/>
      <c r="M8" s="2165"/>
      <c r="N8" s="2165"/>
      <c r="O8" s="2165"/>
      <c r="P8" s="2165"/>
      <c r="Q8" s="2166"/>
      <c r="R8" s="1631"/>
      <c r="S8" s="1631" t="s">
        <v>2838</v>
      </c>
      <c r="T8" s="2170" t="s">
        <v>11488</v>
      </c>
      <c r="U8" s="2165"/>
      <c r="V8" s="2165"/>
      <c r="W8" s="2165"/>
      <c r="X8" s="2165"/>
      <c r="Y8" s="2165"/>
      <c r="Z8" s="2165"/>
      <c r="AA8" s="2165"/>
      <c r="AB8" s="2165"/>
      <c r="AC8" s="2165"/>
      <c r="AD8" s="2165"/>
      <c r="AE8" s="2165"/>
      <c r="AF8" s="2165"/>
      <c r="AG8" s="2165"/>
      <c r="AH8" s="2166"/>
      <c r="AI8" s="2131"/>
      <c r="AJ8" s="2132"/>
      <c r="AK8" s="2164" t="s">
        <v>11489</v>
      </c>
      <c r="AL8" s="2165"/>
      <c r="AM8" s="2165"/>
      <c r="AN8" s="2165"/>
      <c r="AO8" s="2165"/>
      <c r="AP8" s="2165"/>
      <c r="AQ8" s="2165"/>
      <c r="AR8" s="2165"/>
      <c r="AS8" s="2165"/>
      <c r="AT8" s="2165"/>
      <c r="AU8" s="2165"/>
      <c r="AV8" s="2165"/>
      <c r="AW8" s="2165"/>
      <c r="AX8" s="2165"/>
      <c r="AY8" s="2166"/>
      <c r="AZ8" s="2130"/>
      <c r="BA8" s="2130"/>
      <c r="BB8" s="2164" t="s">
        <v>11490</v>
      </c>
      <c r="BC8" s="2165"/>
      <c r="BD8" s="2165"/>
      <c r="BE8" s="2165"/>
      <c r="BF8" s="2165"/>
      <c r="BG8" s="2165"/>
      <c r="BH8" s="2165"/>
      <c r="BI8" s="2165"/>
      <c r="BJ8" s="2165"/>
      <c r="BK8" s="2165"/>
      <c r="BL8" s="2165"/>
      <c r="BM8" s="2165"/>
      <c r="BN8" s="2165"/>
      <c r="BO8" s="2165"/>
      <c r="BP8" s="2166"/>
      <c r="BQ8" s="2130"/>
      <c r="BV8" s="1555"/>
    </row>
    <row r="9" spans="1:106" s="7" customFormat="1" ht="15.75" thickBot="1" x14ac:dyDescent="0.25">
      <c r="A9" s="2130"/>
      <c r="B9" s="2130"/>
      <c r="C9" s="2162"/>
      <c r="D9" s="2156"/>
      <c r="E9" s="2156"/>
      <c r="F9" s="2156"/>
      <c r="G9" s="2156"/>
      <c r="H9" s="2156"/>
      <c r="I9" s="2157"/>
      <c r="J9" s="2158"/>
      <c r="K9" s="2157"/>
      <c r="L9" s="2156"/>
      <c r="M9" s="2156"/>
      <c r="N9" s="2156"/>
      <c r="O9" s="2156"/>
      <c r="P9" s="2156"/>
      <c r="Q9" s="2167"/>
      <c r="R9" s="1631"/>
      <c r="S9" s="1631" t="s">
        <v>2838</v>
      </c>
      <c r="T9" s="2162"/>
      <c r="U9" s="2156"/>
      <c r="V9" s="2156"/>
      <c r="W9" s="2156"/>
      <c r="X9" s="2156"/>
      <c r="Y9" s="2156"/>
      <c r="Z9" s="2157"/>
      <c r="AA9" s="2158"/>
      <c r="AB9" s="2157"/>
      <c r="AC9" s="2156"/>
      <c r="AD9" s="2156"/>
      <c r="AE9" s="2156"/>
      <c r="AF9" s="2156"/>
      <c r="AG9" s="2156"/>
      <c r="AH9" s="2167"/>
      <c r="AI9" s="1631" t="s">
        <v>2838</v>
      </c>
      <c r="AJ9" s="1631"/>
      <c r="AK9" s="2162"/>
      <c r="AL9" s="2156"/>
      <c r="AM9" s="2156"/>
      <c r="AN9" s="2156"/>
      <c r="AO9" s="2156"/>
      <c r="AP9" s="2156"/>
      <c r="AQ9" s="2157"/>
      <c r="AR9" s="2158"/>
      <c r="AS9" s="2157"/>
      <c r="AT9" s="2156"/>
      <c r="AU9" s="2156"/>
      <c r="AV9" s="2156"/>
      <c r="AW9" s="2156"/>
      <c r="AX9" s="2156"/>
      <c r="AY9" s="2167"/>
      <c r="AZ9" s="2130"/>
      <c r="BA9" s="2130"/>
      <c r="BB9" s="2162"/>
      <c r="BC9" s="2156"/>
      <c r="BD9" s="2156"/>
      <c r="BE9" s="2156"/>
      <c r="BF9" s="2156"/>
      <c r="BG9" s="2156"/>
      <c r="BH9" s="2157"/>
      <c r="BI9" s="2158"/>
      <c r="BJ9" s="2157"/>
      <c r="BK9" s="2156"/>
      <c r="BL9" s="2156"/>
      <c r="BM9" s="2156"/>
      <c r="BN9" s="2156"/>
      <c r="BO9" s="2156"/>
      <c r="BP9" s="2167"/>
      <c r="BQ9" s="2130"/>
      <c r="BV9" s="1556"/>
    </row>
    <row r="10" spans="1:106" s="267" customFormat="1" x14ac:dyDescent="0.2">
      <c r="A10" s="1552"/>
      <c r="B10" s="1552"/>
      <c r="C10" s="2162"/>
      <c r="D10" s="2519">
        <v>21</v>
      </c>
      <c r="E10" s="2520"/>
      <c r="F10" s="2520"/>
      <c r="G10" s="2520"/>
      <c r="H10" s="2521"/>
      <c r="I10" s="2158"/>
      <c r="J10" s="2158"/>
      <c r="K10" s="2158"/>
      <c r="L10" s="2519">
        <v>24</v>
      </c>
      <c r="M10" s="2520"/>
      <c r="N10" s="2520"/>
      <c r="O10" s="2520"/>
      <c r="P10" s="2521"/>
      <c r="Q10" s="2168"/>
      <c r="R10" s="1554"/>
      <c r="S10" s="1554"/>
      <c r="T10" s="2162"/>
      <c r="U10" s="2519">
        <v>1</v>
      </c>
      <c r="V10" s="2520"/>
      <c r="W10" s="2520"/>
      <c r="X10" s="2520"/>
      <c r="Y10" s="2521"/>
      <c r="Z10" s="2158"/>
      <c r="AA10" s="2158"/>
      <c r="AB10" s="2158"/>
      <c r="AC10" s="2519">
        <v>4</v>
      </c>
      <c r="AD10" s="2520"/>
      <c r="AE10" s="2520"/>
      <c r="AF10" s="2520"/>
      <c r="AG10" s="2521"/>
      <c r="AH10" s="2168"/>
      <c r="AI10" s="1616" t="s">
        <v>2838</v>
      </c>
      <c r="AJ10" s="1554"/>
      <c r="AK10" s="2162"/>
      <c r="AL10" s="2519">
        <v>5</v>
      </c>
      <c r="AM10" s="2520"/>
      <c r="AN10" s="2520"/>
      <c r="AO10" s="2520"/>
      <c r="AP10" s="2521"/>
      <c r="AQ10" s="2158"/>
      <c r="AR10" s="2158"/>
      <c r="AS10" s="2158"/>
      <c r="AT10" s="2519">
        <v>8</v>
      </c>
      <c r="AU10" s="2520"/>
      <c r="AV10" s="2520"/>
      <c r="AW10" s="2520"/>
      <c r="AX10" s="2521"/>
      <c r="AY10" s="2168"/>
      <c r="AZ10" s="1518"/>
      <c r="BA10" s="1518"/>
      <c r="BB10" s="2162"/>
      <c r="BC10" s="2519">
        <v>29</v>
      </c>
      <c r="BD10" s="2520"/>
      <c r="BE10" s="2520"/>
      <c r="BF10" s="2520"/>
      <c r="BG10" s="2521"/>
      <c r="BH10" s="2158"/>
      <c r="BI10" s="2158"/>
      <c r="BJ10" s="2158"/>
      <c r="BK10" s="2519">
        <v>30</v>
      </c>
      <c r="BL10" s="2520"/>
      <c r="BM10" s="2520"/>
      <c r="BN10" s="2520"/>
      <c r="BO10" s="2521"/>
      <c r="BP10" s="2168"/>
      <c r="BQ10" s="1518"/>
      <c r="BU10" s="1559"/>
      <c r="BV10" s="1559" t="s">
        <v>2838</v>
      </c>
    </row>
    <row r="11" spans="1:106" s="267" customFormat="1" ht="15.75" thickBot="1" x14ac:dyDescent="0.25">
      <c r="A11" s="1518"/>
      <c r="B11" s="1553"/>
      <c r="C11" s="2162"/>
      <c r="D11" s="2522"/>
      <c r="E11" s="2523"/>
      <c r="F11" s="2523"/>
      <c r="G11" s="2523"/>
      <c r="H11" s="2524"/>
      <c r="I11" s="2158"/>
      <c r="J11" s="2158"/>
      <c r="K11" s="2158"/>
      <c r="L11" s="2522"/>
      <c r="M11" s="2523"/>
      <c r="N11" s="2523"/>
      <c r="O11" s="2523"/>
      <c r="P11" s="2524"/>
      <c r="Q11" s="2168"/>
      <c r="R11" s="1553"/>
      <c r="S11" s="1553"/>
      <c r="T11" s="2162"/>
      <c r="U11" s="2522"/>
      <c r="V11" s="2523"/>
      <c r="W11" s="2523"/>
      <c r="X11" s="2523"/>
      <c r="Y11" s="2524"/>
      <c r="Z11" s="2158"/>
      <c r="AA11" s="2158"/>
      <c r="AB11" s="2158"/>
      <c r="AC11" s="2522"/>
      <c r="AD11" s="2523"/>
      <c r="AE11" s="2523"/>
      <c r="AF11" s="2523"/>
      <c r="AG11" s="2524"/>
      <c r="AH11" s="2168"/>
      <c r="AI11" s="1616" t="s">
        <v>2838</v>
      </c>
      <c r="AJ11" s="1553"/>
      <c r="AK11" s="2162"/>
      <c r="AL11" s="2522"/>
      <c r="AM11" s="2523"/>
      <c r="AN11" s="2523"/>
      <c r="AO11" s="2523"/>
      <c r="AP11" s="2524"/>
      <c r="AQ11" s="2158"/>
      <c r="AR11" s="2158"/>
      <c r="AS11" s="2158"/>
      <c r="AT11" s="2522"/>
      <c r="AU11" s="2523"/>
      <c r="AV11" s="2523"/>
      <c r="AW11" s="2523"/>
      <c r="AX11" s="2524"/>
      <c r="AY11" s="2168"/>
      <c r="AZ11" s="1518"/>
      <c r="BA11" s="1518"/>
      <c r="BB11" s="2162"/>
      <c r="BC11" s="2522"/>
      <c r="BD11" s="2523"/>
      <c r="BE11" s="2523"/>
      <c r="BF11" s="2523"/>
      <c r="BG11" s="2524"/>
      <c r="BH11" s="2158"/>
      <c r="BI11" s="2158"/>
      <c r="BJ11" s="2158"/>
      <c r="BK11" s="2522"/>
      <c r="BL11" s="2523"/>
      <c r="BM11" s="2523"/>
      <c r="BN11" s="2523"/>
      <c r="BO11" s="2524"/>
      <c r="BP11" s="2168"/>
      <c r="BQ11" s="1518"/>
      <c r="BU11" s="1559"/>
      <c r="BV11" s="1559" t="s">
        <v>2838</v>
      </c>
    </row>
    <row r="12" spans="1:106" x14ac:dyDescent="0.2">
      <c r="A12" s="1560"/>
      <c r="B12" s="1559"/>
      <c r="C12" s="2162"/>
      <c r="D12" s="2156"/>
      <c r="E12" s="2156"/>
      <c r="F12" s="2156"/>
      <c r="G12" s="2156"/>
      <c r="H12" s="2156"/>
      <c r="I12" s="2157"/>
      <c r="J12" s="2158"/>
      <c r="K12" s="2157"/>
      <c r="L12" s="2156"/>
      <c r="M12" s="2156"/>
      <c r="N12" s="2156"/>
      <c r="O12" s="2156"/>
      <c r="P12" s="2156"/>
      <c r="Q12" s="2167"/>
      <c r="R12" s="1559"/>
      <c r="S12" s="1559"/>
      <c r="T12" s="2162"/>
      <c r="U12" s="2156"/>
      <c r="V12" s="2156"/>
      <c r="W12" s="2156"/>
      <c r="X12" s="2156"/>
      <c r="Y12" s="2156"/>
      <c r="Z12" s="2157"/>
      <c r="AA12" s="2158"/>
      <c r="AB12" s="2157"/>
      <c r="AC12" s="2156"/>
      <c r="AD12" s="2156"/>
      <c r="AE12" s="2156"/>
      <c r="AF12" s="2156"/>
      <c r="AG12" s="2156"/>
      <c r="AH12" s="2167"/>
      <c r="AI12" s="1559" t="s">
        <v>2838</v>
      </c>
      <c r="AJ12" s="1559"/>
      <c r="AK12" s="2162"/>
      <c r="AL12" s="2156"/>
      <c r="AM12" s="2156"/>
      <c r="AN12" s="2156"/>
      <c r="AO12" s="2156"/>
      <c r="AP12" s="2156"/>
      <c r="AQ12" s="2157"/>
      <c r="AR12" s="2158"/>
      <c r="AS12" s="2157"/>
      <c r="AT12" s="2156"/>
      <c r="AU12" s="2156"/>
      <c r="AV12" s="2156"/>
      <c r="AW12" s="2156"/>
      <c r="AX12" s="2156"/>
      <c r="AY12" s="2167"/>
      <c r="AZ12" s="267"/>
      <c r="BA12" s="267"/>
      <c r="BB12" s="2162"/>
      <c r="BC12" s="2156"/>
      <c r="BD12" s="2156"/>
      <c r="BE12" s="2156"/>
      <c r="BF12" s="2156"/>
      <c r="BG12" s="2156"/>
      <c r="BH12" s="2157"/>
      <c r="BI12" s="2158"/>
      <c r="BJ12" s="2157"/>
      <c r="BK12" s="2156"/>
      <c r="BL12" s="2156"/>
      <c r="BM12" s="2156"/>
      <c r="BN12" s="2156"/>
      <c r="BO12" s="2156"/>
      <c r="BP12" s="2167"/>
      <c r="BQ12" s="267"/>
      <c r="BU12" s="1554"/>
      <c r="BV12" s="1554"/>
    </row>
    <row r="13" spans="1:106" x14ac:dyDescent="0.2">
      <c r="A13" s="2133"/>
      <c r="B13" s="1631"/>
      <c r="C13" s="2162"/>
      <c r="D13" s="2156"/>
      <c r="E13" s="2156"/>
      <c r="F13" s="2156"/>
      <c r="G13" s="2156"/>
      <c r="H13" s="2156"/>
      <c r="I13" s="2157"/>
      <c r="J13" s="2158"/>
      <c r="K13" s="2157"/>
      <c r="L13" s="2156"/>
      <c r="M13" s="2156"/>
      <c r="N13" s="2156"/>
      <c r="O13" s="2156"/>
      <c r="P13" s="2156"/>
      <c r="Q13" s="2167"/>
      <c r="R13" s="1631"/>
      <c r="S13" s="1631"/>
      <c r="T13" s="2162"/>
      <c r="U13" s="2156"/>
      <c r="V13" s="2156"/>
      <c r="W13" s="2156"/>
      <c r="X13" s="2156"/>
      <c r="Y13" s="2156"/>
      <c r="Z13" s="2157"/>
      <c r="AA13" s="2158"/>
      <c r="AB13" s="2157"/>
      <c r="AC13" s="2156"/>
      <c r="AD13" s="2156"/>
      <c r="AE13" s="2156"/>
      <c r="AF13" s="2156"/>
      <c r="AG13" s="2156"/>
      <c r="AH13" s="2167"/>
      <c r="AI13" s="1631" t="s">
        <v>2838</v>
      </c>
      <c r="AJ13" s="1631"/>
      <c r="AK13" s="2162"/>
      <c r="AL13" s="2156"/>
      <c r="AM13" s="2156"/>
      <c r="AN13" s="2156"/>
      <c r="AO13" s="2156"/>
      <c r="AP13" s="2156"/>
      <c r="AQ13" s="2157"/>
      <c r="AR13" s="2158"/>
      <c r="AS13" s="2157"/>
      <c r="AT13" s="2156"/>
      <c r="AU13" s="2156"/>
      <c r="AV13" s="2156"/>
      <c r="AW13" s="2156"/>
      <c r="AX13" s="2156"/>
      <c r="AY13" s="2167"/>
      <c r="AZ13" s="2130"/>
      <c r="BA13" s="2130"/>
      <c r="BB13" s="2162"/>
      <c r="BC13" s="2156"/>
      <c r="BD13" s="2156"/>
      <c r="BE13" s="2156"/>
      <c r="BF13" s="2156"/>
      <c r="BG13" s="2156"/>
      <c r="BH13" s="2157"/>
      <c r="BI13" s="2158"/>
      <c r="BJ13" s="2157"/>
      <c r="BK13" s="2156"/>
      <c r="BL13" s="2156"/>
      <c r="BM13" s="2156"/>
      <c r="BN13" s="2156"/>
      <c r="BO13" s="2156"/>
      <c r="BP13" s="2167"/>
      <c r="BQ13" s="2130"/>
      <c r="BU13" s="1553"/>
      <c r="BV13" s="1553"/>
    </row>
    <row r="14" spans="1:106" s="267" customFormat="1" ht="15.75" thickBot="1" x14ac:dyDescent="0.25">
      <c r="A14" s="705"/>
      <c r="B14" s="1506"/>
      <c r="C14" s="2162"/>
      <c r="D14" s="2156"/>
      <c r="E14" s="2156"/>
      <c r="F14" s="2156"/>
      <c r="G14" s="2156"/>
      <c r="H14" s="2156"/>
      <c r="I14" s="2157"/>
      <c r="J14" s="2158"/>
      <c r="K14" s="2157"/>
      <c r="L14" s="2156"/>
      <c r="M14" s="2156"/>
      <c r="N14" s="2156"/>
      <c r="O14" s="2156"/>
      <c r="P14" s="2156"/>
      <c r="Q14" s="2167"/>
      <c r="R14" s="1506"/>
      <c r="S14" s="1506"/>
      <c r="T14" s="2162"/>
      <c r="U14" s="2156"/>
      <c r="V14" s="2156"/>
      <c r="W14" s="2156"/>
      <c r="X14" s="2156"/>
      <c r="Y14" s="2156"/>
      <c r="Z14" s="2157"/>
      <c r="AA14" s="2158"/>
      <c r="AB14" s="2157"/>
      <c r="AC14" s="2156"/>
      <c r="AD14" s="2156"/>
      <c r="AE14" s="2156"/>
      <c r="AF14" s="2156"/>
      <c r="AG14" s="2156"/>
      <c r="AH14" s="2167"/>
      <c r="AI14" s="1559" t="s">
        <v>2838</v>
      </c>
      <c r="AJ14" s="1559"/>
      <c r="AK14" s="2162"/>
      <c r="AL14" s="2156"/>
      <c r="AM14" s="2156"/>
      <c r="AN14" s="2156"/>
      <c r="AO14" s="2156"/>
      <c r="AP14" s="2156"/>
      <c r="AQ14" s="2157"/>
      <c r="AR14" s="2158"/>
      <c r="AS14" s="2157"/>
      <c r="AT14" s="2156"/>
      <c r="AU14" s="2156"/>
      <c r="AV14" s="2156"/>
      <c r="AW14" s="2156"/>
      <c r="AX14" s="2156"/>
      <c r="AY14" s="2167"/>
      <c r="AZ14" s="1506"/>
      <c r="BA14" s="1506"/>
      <c r="BB14" s="2162"/>
      <c r="BC14" s="2156"/>
      <c r="BD14" s="2156"/>
      <c r="BE14" s="2156"/>
      <c r="BF14" s="2156"/>
      <c r="BG14" s="2156"/>
      <c r="BH14" s="2157"/>
      <c r="BI14" s="2158"/>
      <c r="BJ14" s="2157"/>
      <c r="BK14" s="2156"/>
      <c r="BL14" s="2156"/>
      <c r="BM14" s="2156"/>
      <c r="BN14" s="2156"/>
      <c r="BO14" s="2156"/>
      <c r="BP14" s="2167"/>
      <c r="BQ14" s="1506"/>
      <c r="BU14" s="1559"/>
      <c r="BV14" s="1559"/>
    </row>
    <row r="15" spans="1:106" s="436" customFormat="1" x14ac:dyDescent="0.25">
      <c r="A15" s="1557"/>
      <c r="B15" s="1554"/>
      <c r="C15" s="2162"/>
      <c r="D15" s="2519">
        <v>22</v>
      </c>
      <c r="E15" s="2520"/>
      <c r="F15" s="2520"/>
      <c r="G15" s="2520"/>
      <c r="H15" s="2521"/>
      <c r="I15" s="2158"/>
      <c r="J15" s="2158"/>
      <c r="K15" s="2158"/>
      <c r="L15" s="2519">
        <v>23</v>
      </c>
      <c r="M15" s="2520"/>
      <c r="N15" s="2520"/>
      <c r="O15" s="2520"/>
      <c r="P15" s="2521"/>
      <c r="Q15" s="2168"/>
      <c r="R15" s="1519"/>
      <c r="S15" s="1519"/>
      <c r="T15" s="2162"/>
      <c r="U15" s="2519">
        <v>2</v>
      </c>
      <c r="V15" s="2520"/>
      <c r="W15" s="2520"/>
      <c r="X15" s="2520"/>
      <c r="Y15" s="2521"/>
      <c r="Z15" s="2158"/>
      <c r="AA15" s="2158"/>
      <c r="AB15" s="2158"/>
      <c r="AC15" s="2519">
        <v>3</v>
      </c>
      <c r="AD15" s="2520"/>
      <c r="AE15" s="2520"/>
      <c r="AF15" s="2520"/>
      <c r="AG15" s="2521"/>
      <c r="AH15" s="2168"/>
      <c r="AI15" s="1616" t="s">
        <v>2838</v>
      </c>
      <c r="AJ15" s="1554"/>
      <c r="AK15" s="2162"/>
      <c r="AL15" s="2519">
        <v>6</v>
      </c>
      <c r="AM15" s="2520"/>
      <c r="AN15" s="2520"/>
      <c r="AO15" s="2520"/>
      <c r="AP15" s="2521"/>
      <c r="AQ15" s="2158"/>
      <c r="AR15" s="2158"/>
      <c r="AS15" s="2158"/>
      <c r="AT15" s="2519">
        <v>7</v>
      </c>
      <c r="AU15" s="2520"/>
      <c r="AV15" s="2520"/>
      <c r="AW15" s="2520"/>
      <c r="AX15" s="2521"/>
      <c r="AY15" s="2168"/>
      <c r="AZ15" s="1519"/>
      <c r="BA15" s="1519"/>
      <c r="BB15" s="2162"/>
      <c r="BC15" s="2519">
        <v>32</v>
      </c>
      <c r="BD15" s="2520"/>
      <c r="BE15" s="2520"/>
      <c r="BF15" s="2520"/>
      <c r="BG15" s="2521"/>
      <c r="BH15" s="2158"/>
      <c r="BI15" s="2158"/>
      <c r="BJ15" s="2158"/>
      <c r="BK15" s="2519">
        <v>31</v>
      </c>
      <c r="BL15" s="2520"/>
      <c r="BM15" s="2520"/>
      <c r="BN15" s="2520"/>
      <c r="BO15" s="2521"/>
      <c r="BP15" s="2168"/>
      <c r="BQ15" s="1519"/>
      <c r="BU15" s="1561"/>
      <c r="BV15" s="1561"/>
    </row>
    <row r="16" spans="1:106" s="7" customFormat="1" ht="15.75" thickBot="1" x14ac:dyDescent="0.25">
      <c r="A16" s="2134"/>
      <c r="B16" s="1616"/>
      <c r="C16" s="2162"/>
      <c r="D16" s="2522"/>
      <c r="E16" s="2523"/>
      <c r="F16" s="2523"/>
      <c r="G16" s="2523"/>
      <c r="H16" s="2524"/>
      <c r="I16" s="2158"/>
      <c r="J16" s="2158"/>
      <c r="K16" s="2158"/>
      <c r="L16" s="2522"/>
      <c r="M16" s="2523"/>
      <c r="N16" s="2523"/>
      <c r="O16" s="2523"/>
      <c r="P16" s="2524"/>
      <c r="Q16" s="2168"/>
      <c r="R16" s="1518"/>
      <c r="S16" s="1518"/>
      <c r="T16" s="2162"/>
      <c r="U16" s="2522"/>
      <c r="V16" s="2523"/>
      <c r="W16" s="2523"/>
      <c r="X16" s="2523"/>
      <c r="Y16" s="2524"/>
      <c r="Z16" s="2158"/>
      <c r="AA16" s="2158"/>
      <c r="AB16" s="2158"/>
      <c r="AC16" s="2522"/>
      <c r="AD16" s="2523"/>
      <c r="AE16" s="2523"/>
      <c r="AF16" s="2523"/>
      <c r="AG16" s="2524"/>
      <c r="AH16" s="2168"/>
      <c r="AI16" s="1616" t="s">
        <v>2838</v>
      </c>
      <c r="AJ16" s="1553"/>
      <c r="AK16" s="2162"/>
      <c r="AL16" s="2522"/>
      <c r="AM16" s="2523"/>
      <c r="AN16" s="2523"/>
      <c r="AO16" s="2523"/>
      <c r="AP16" s="2524"/>
      <c r="AQ16" s="2158"/>
      <c r="AR16" s="2158"/>
      <c r="AS16" s="2158"/>
      <c r="AT16" s="2522"/>
      <c r="AU16" s="2523"/>
      <c r="AV16" s="2523"/>
      <c r="AW16" s="2523"/>
      <c r="AX16" s="2524"/>
      <c r="AY16" s="2168"/>
      <c r="AZ16" s="1518"/>
      <c r="BA16" s="1518"/>
      <c r="BB16" s="2162"/>
      <c r="BC16" s="2522"/>
      <c r="BD16" s="2523"/>
      <c r="BE16" s="2523"/>
      <c r="BF16" s="2523"/>
      <c r="BG16" s="2524"/>
      <c r="BH16" s="2158"/>
      <c r="BI16" s="2158"/>
      <c r="BJ16" s="2158"/>
      <c r="BK16" s="2522"/>
      <c r="BL16" s="2523"/>
      <c r="BM16" s="2523"/>
      <c r="BN16" s="2523"/>
      <c r="BO16" s="2524"/>
      <c r="BP16" s="2168"/>
      <c r="BQ16" s="1518"/>
      <c r="BR16" s="1556"/>
      <c r="BS16" s="1556"/>
      <c r="BT16" s="1556"/>
      <c r="BU16" s="1556"/>
      <c r="BV16" s="1556"/>
      <c r="BW16" s="1558"/>
      <c r="BX16" s="1556"/>
      <c r="BY16" s="1556"/>
      <c r="BZ16" s="1556"/>
      <c r="CA16" s="1556"/>
      <c r="CB16" s="1556"/>
      <c r="CC16" s="1556"/>
      <c r="CD16" s="1556"/>
      <c r="CE16" s="1556"/>
      <c r="CF16" s="1556"/>
      <c r="CG16" s="1556"/>
      <c r="CH16" s="1556"/>
      <c r="CI16" s="1556"/>
      <c r="CJ16" s="1556"/>
      <c r="CK16" s="1556"/>
    </row>
    <row r="17" spans="1:95" s="120" customFormat="1" x14ac:dyDescent="0.2">
      <c r="A17" s="2135"/>
      <c r="B17" s="2132"/>
      <c r="C17" s="2162"/>
      <c r="D17" s="2159"/>
      <c r="E17" s="2159"/>
      <c r="F17" s="2159"/>
      <c r="G17" s="2159"/>
      <c r="H17" s="2159"/>
      <c r="I17" s="2157"/>
      <c r="J17" s="2158"/>
      <c r="K17" s="2157"/>
      <c r="L17" s="2159"/>
      <c r="M17" s="2159"/>
      <c r="N17" s="2159"/>
      <c r="O17" s="2159"/>
      <c r="P17" s="2159"/>
      <c r="Q17" s="2167"/>
      <c r="R17" s="2136"/>
      <c r="S17" s="2136"/>
      <c r="T17" s="2162"/>
      <c r="U17" s="2159"/>
      <c r="V17" s="2159"/>
      <c r="W17" s="2159"/>
      <c r="X17" s="2159"/>
      <c r="Y17" s="2159"/>
      <c r="Z17" s="2157"/>
      <c r="AA17" s="2158"/>
      <c r="AB17" s="2157"/>
      <c r="AC17" s="2159"/>
      <c r="AD17" s="2159"/>
      <c r="AE17" s="2159"/>
      <c r="AF17" s="2159"/>
      <c r="AG17" s="2159"/>
      <c r="AH17" s="2167"/>
      <c r="AI17" s="1631"/>
      <c r="AJ17" s="2131"/>
      <c r="AK17" s="2162"/>
      <c r="AL17" s="2159"/>
      <c r="AM17" s="2159"/>
      <c r="AN17" s="2159"/>
      <c r="AO17" s="2159"/>
      <c r="AP17" s="2159"/>
      <c r="AQ17" s="2157"/>
      <c r="AR17" s="2158"/>
      <c r="AS17" s="2157"/>
      <c r="AT17" s="2159"/>
      <c r="AU17" s="2159"/>
      <c r="AV17" s="2159"/>
      <c r="AW17" s="2159"/>
      <c r="AX17" s="2159"/>
      <c r="AY17" s="2167"/>
      <c r="AZ17" s="2136"/>
      <c r="BA17" s="2136"/>
      <c r="BB17" s="2162"/>
      <c r="BC17" s="2159"/>
      <c r="BD17" s="2159"/>
      <c r="BE17" s="2159"/>
      <c r="BF17" s="2159"/>
      <c r="BG17" s="2159"/>
      <c r="BH17" s="2157"/>
      <c r="BI17" s="2158"/>
      <c r="BJ17" s="2157"/>
      <c r="BK17" s="2159"/>
      <c r="BL17" s="2159"/>
      <c r="BM17" s="2159"/>
      <c r="BN17" s="2159"/>
      <c r="BO17" s="2159"/>
      <c r="BP17" s="2167"/>
      <c r="BQ17" s="2136"/>
      <c r="BU17" s="1555"/>
      <c r="BV17" s="1555"/>
    </row>
    <row r="18" spans="1:95" s="267" customFormat="1" ht="15.75" thickBot="1" x14ac:dyDescent="0.25">
      <c r="A18" s="705"/>
      <c r="B18" s="1506"/>
      <c r="C18" s="2163"/>
      <c r="D18" s="2160"/>
      <c r="E18" s="2160"/>
      <c r="F18" s="2160"/>
      <c r="G18" s="2160"/>
      <c r="H18" s="2160"/>
      <c r="I18" s="2161"/>
      <c r="J18" s="2161"/>
      <c r="K18" s="2161"/>
      <c r="L18" s="2160"/>
      <c r="M18" s="2160"/>
      <c r="N18" s="2160"/>
      <c r="O18" s="2160"/>
      <c r="P18" s="2160"/>
      <c r="Q18" s="2169"/>
      <c r="R18" s="705"/>
      <c r="S18" s="705"/>
      <c r="T18" s="2163"/>
      <c r="U18" s="2160"/>
      <c r="V18" s="2160"/>
      <c r="W18" s="2160"/>
      <c r="X18" s="2160"/>
      <c r="Y18" s="2160"/>
      <c r="Z18" s="2161"/>
      <c r="AA18" s="2161"/>
      <c r="AB18" s="2161"/>
      <c r="AC18" s="2160"/>
      <c r="AD18" s="2160"/>
      <c r="AE18" s="2160"/>
      <c r="AF18" s="2160"/>
      <c r="AG18" s="2160"/>
      <c r="AH18" s="2169"/>
      <c r="AI18" s="1559"/>
      <c r="AJ18" s="1617"/>
      <c r="AK18" s="2163"/>
      <c r="AL18" s="2160"/>
      <c r="AM18" s="2160"/>
      <c r="AN18" s="2160"/>
      <c r="AO18" s="2160"/>
      <c r="AP18" s="2160"/>
      <c r="AQ18" s="2161"/>
      <c r="AR18" s="2161"/>
      <c r="AS18" s="2161"/>
      <c r="AT18" s="2160"/>
      <c r="AU18" s="2160"/>
      <c r="AV18" s="2160"/>
      <c r="AW18" s="2160"/>
      <c r="AX18" s="2160"/>
      <c r="AY18" s="2169"/>
      <c r="AZ18" s="705"/>
      <c r="BA18" s="705"/>
      <c r="BB18" s="2163"/>
      <c r="BC18" s="2160"/>
      <c r="BD18" s="2160"/>
      <c r="BE18" s="2160"/>
      <c r="BF18" s="2160"/>
      <c r="BG18" s="2160"/>
      <c r="BH18" s="2161"/>
      <c r="BI18" s="2161"/>
      <c r="BJ18" s="2161"/>
      <c r="BK18" s="2160"/>
      <c r="BL18" s="2160"/>
      <c r="BM18" s="2160"/>
      <c r="BN18" s="2160"/>
      <c r="BO18" s="2160"/>
      <c r="BP18" s="2169"/>
      <c r="BQ18" s="705"/>
      <c r="BU18" s="1559"/>
      <c r="BV18" s="1559" t="s">
        <v>2838</v>
      </c>
    </row>
    <row r="19" spans="1:95" ht="15.75" thickBot="1" x14ac:dyDescent="0.25">
      <c r="A19" s="1560"/>
      <c r="B19" s="1559"/>
      <c r="C19" s="267"/>
      <c r="D19" s="267"/>
      <c r="E19" s="267"/>
      <c r="F19" s="267"/>
      <c r="G19" s="267"/>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1556"/>
      <c r="AJ19" s="1615"/>
      <c r="AK19" s="267"/>
      <c r="AL19" s="267"/>
      <c r="AM19" s="267"/>
      <c r="AN19" s="267"/>
      <c r="AO19" s="267"/>
      <c r="AP19" s="267"/>
      <c r="AQ19" s="267"/>
      <c r="AR19" s="267"/>
      <c r="AS19" s="267"/>
      <c r="AT19" s="267"/>
      <c r="AU19" s="267"/>
      <c r="AV19" s="267"/>
      <c r="AW19" s="267"/>
      <c r="AX19" s="267"/>
      <c r="AY19" s="267"/>
      <c r="AZ19" s="267"/>
      <c r="BA19" s="267"/>
      <c r="BB19" s="267"/>
      <c r="BC19" s="267"/>
      <c r="BD19" s="267"/>
      <c r="BE19" s="267"/>
      <c r="BF19" s="267"/>
      <c r="BG19" s="267"/>
      <c r="BH19" s="267"/>
      <c r="BI19" s="267"/>
      <c r="BJ19" s="267"/>
      <c r="BK19" s="267"/>
      <c r="BL19" s="267"/>
      <c r="BM19" s="267"/>
      <c r="BN19" s="267"/>
      <c r="BO19" s="267"/>
      <c r="BP19" s="267"/>
      <c r="BQ19" s="267"/>
      <c r="BU19" s="1554"/>
      <c r="BV19" s="1554"/>
    </row>
    <row r="20" spans="1:95" x14ac:dyDescent="0.2">
      <c r="A20" s="2133"/>
      <c r="B20" s="1631"/>
      <c r="C20" s="2164" t="s">
        <v>11483</v>
      </c>
      <c r="D20" s="2165"/>
      <c r="E20" s="2165"/>
      <c r="F20" s="2165"/>
      <c r="G20" s="2165"/>
      <c r="H20" s="2165"/>
      <c r="I20" s="2165"/>
      <c r="J20" s="2165"/>
      <c r="K20" s="2165"/>
      <c r="L20" s="2165"/>
      <c r="M20" s="2165"/>
      <c r="N20" s="2165"/>
      <c r="O20" s="2165"/>
      <c r="P20" s="2165"/>
      <c r="Q20" s="2166"/>
      <c r="R20" s="2130"/>
      <c r="S20" s="2130"/>
      <c r="T20" s="2164" t="s">
        <v>11484</v>
      </c>
      <c r="U20" s="2165"/>
      <c r="V20" s="2165"/>
      <c r="W20" s="2165"/>
      <c r="X20" s="2165"/>
      <c r="Y20" s="2165"/>
      <c r="Z20" s="2165"/>
      <c r="AA20" s="2165"/>
      <c r="AB20" s="2165"/>
      <c r="AC20" s="2165"/>
      <c r="AD20" s="2165"/>
      <c r="AE20" s="2165"/>
      <c r="AF20" s="2165"/>
      <c r="AG20" s="2165"/>
      <c r="AH20" s="2166"/>
      <c r="AI20" s="2132"/>
      <c r="AJ20" s="2131"/>
      <c r="AK20" s="2164" t="s">
        <v>11485</v>
      </c>
      <c r="AL20" s="2165"/>
      <c r="AM20" s="2165"/>
      <c r="AN20" s="2165"/>
      <c r="AO20" s="2165"/>
      <c r="AP20" s="2165"/>
      <c r="AQ20" s="2165"/>
      <c r="AR20" s="2165"/>
      <c r="AS20" s="2165"/>
      <c r="AT20" s="2165"/>
      <c r="AU20" s="2165"/>
      <c r="AV20" s="2165"/>
      <c r="AW20" s="2165"/>
      <c r="AX20" s="2165"/>
      <c r="AY20" s="2166"/>
      <c r="AZ20" s="2130"/>
      <c r="BA20" s="2130"/>
      <c r="BB20" s="2164" t="s">
        <v>11486</v>
      </c>
      <c r="BC20" s="2165"/>
      <c r="BD20" s="2165"/>
      <c r="BE20" s="2165"/>
      <c r="BF20" s="2165"/>
      <c r="BG20" s="2165"/>
      <c r="BH20" s="2165"/>
      <c r="BI20" s="2165"/>
      <c r="BJ20" s="2165"/>
      <c r="BK20" s="2165"/>
      <c r="BL20" s="2165"/>
      <c r="BM20" s="2165"/>
      <c r="BN20" s="2165"/>
      <c r="BO20" s="2165"/>
      <c r="BP20" s="2166"/>
      <c r="BQ20" s="2130"/>
      <c r="BU20" s="1553"/>
      <c r="BV20" s="1553"/>
    </row>
    <row r="21" spans="1:95" s="267" customFormat="1" ht="26.25" customHeight="1" thickBot="1" x14ac:dyDescent="0.25">
      <c r="A21" s="2133"/>
      <c r="B21" s="1631"/>
      <c r="C21" s="2162"/>
      <c r="D21" s="2156"/>
      <c r="E21" s="2156"/>
      <c r="F21" s="2156"/>
      <c r="G21" s="2156"/>
      <c r="H21" s="2156"/>
      <c r="I21" s="2157"/>
      <c r="J21" s="2158"/>
      <c r="K21" s="2157"/>
      <c r="L21" s="2156"/>
      <c r="M21" s="2156"/>
      <c r="N21" s="2156"/>
      <c r="O21" s="2156"/>
      <c r="P21" s="2156"/>
      <c r="Q21" s="2167"/>
      <c r="R21" s="2130"/>
      <c r="S21" s="2130"/>
      <c r="T21" s="2162"/>
      <c r="U21" s="2156"/>
      <c r="V21" s="2156"/>
      <c r="W21" s="2156"/>
      <c r="X21" s="2156"/>
      <c r="Y21" s="2156"/>
      <c r="Z21" s="2157"/>
      <c r="AA21" s="2158"/>
      <c r="AB21" s="2157"/>
      <c r="AC21" s="2156"/>
      <c r="AD21" s="2156"/>
      <c r="AE21" s="2156"/>
      <c r="AF21" s="2156"/>
      <c r="AG21" s="2156"/>
      <c r="AH21" s="2167"/>
      <c r="AI21" s="1631"/>
      <c r="AJ21" s="1631"/>
      <c r="AK21" s="2162"/>
      <c r="AL21" s="2156"/>
      <c r="AM21" s="2156"/>
      <c r="AN21" s="2156"/>
      <c r="AO21" s="2156"/>
      <c r="AP21" s="2156"/>
      <c r="AQ21" s="2157"/>
      <c r="AR21" s="2158"/>
      <c r="AS21" s="2157"/>
      <c r="AT21" s="2156"/>
      <c r="AU21" s="2156"/>
      <c r="AV21" s="2156"/>
      <c r="AW21" s="2156"/>
      <c r="AX21" s="2156"/>
      <c r="AY21" s="2167"/>
      <c r="AZ21" s="2130"/>
      <c r="BA21" s="2130"/>
      <c r="BB21" s="2162"/>
      <c r="BC21" s="2156"/>
      <c r="BD21" s="2156"/>
      <c r="BE21" s="2156"/>
      <c r="BF21" s="2156"/>
      <c r="BG21" s="2156"/>
      <c r="BH21" s="2157"/>
      <c r="BI21" s="2158"/>
      <c r="BJ21" s="2157"/>
      <c r="BK21" s="2156"/>
      <c r="BL21" s="2156"/>
      <c r="BM21" s="2156"/>
      <c r="BN21" s="2156"/>
      <c r="BO21" s="2156"/>
      <c r="BP21" s="2167"/>
      <c r="BQ21" s="2130"/>
      <c r="BU21" s="1559"/>
      <c r="BV21" s="1559" t="s">
        <v>2838</v>
      </c>
    </row>
    <row r="22" spans="1:95" s="267" customFormat="1" x14ac:dyDescent="0.2">
      <c r="A22" s="1557"/>
      <c r="B22" s="1554"/>
      <c r="C22" s="2162"/>
      <c r="D22" s="2519">
        <v>19</v>
      </c>
      <c r="E22" s="2520"/>
      <c r="F22" s="2520"/>
      <c r="G22" s="2520"/>
      <c r="H22" s="2521"/>
      <c r="I22" s="2158"/>
      <c r="J22" s="2158"/>
      <c r="K22" s="2158"/>
      <c r="L22" s="2519">
        <v>18</v>
      </c>
      <c r="M22" s="2520"/>
      <c r="N22" s="2520"/>
      <c r="O22" s="2520"/>
      <c r="P22" s="2521"/>
      <c r="Q22" s="2168"/>
      <c r="R22" s="2153"/>
      <c r="S22" s="2153"/>
      <c r="T22" s="2162"/>
      <c r="U22" s="2519">
        <v>15</v>
      </c>
      <c r="V22" s="2520"/>
      <c r="W22" s="2520"/>
      <c r="X22" s="2520"/>
      <c r="Y22" s="2521"/>
      <c r="Z22" s="2158"/>
      <c r="AA22" s="2158"/>
      <c r="AB22" s="2158"/>
      <c r="AC22" s="2519">
        <v>14</v>
      </c>
      <c r="AD22" s="2520"/>
      <c r="AE22" s="2520"/>
      <c r="AF22" s="2520"/>
      <c r="AG22" s="2521"/>
      <c r="AH22" s="2168"/>
      <c r="AI22" s="1616"/>
      <c r="AJ22" s="1554"/>
      <c r="AK22" s="2162"/>
      <c r="AL22" s="2519">
        <v>11</v>
      </c>
      <c r="AM22" s="2520"/>
      <c r="AN22" s="2520"/>
      <c r="AO22" s="2520"/>
      <c r="AP22" s="2521"/>
      <c r="AQ22" s="2158"/>
      <c r="AR22" s="2158"/>
      <c r="AS22" s="2158"/>
      <c r="AT22" s="2519">
        <v>10</v>
      </c>
      <c r="AU22" s="2520"/>
      <c r="AV22" s="2520"/>
      <c r="AW22" s="2520"/>
      <c r="AX22" s="2521"/>
      <c r="AY22" s="2168"/>
      <c r="AZ22" s="2153"/>
      <c r="BA22" s="2153"/>
      <c r="BB22" s="2162"/>
      <c r="BC22" s="2519">
        <v>25</v>
      </c>
      <c r="BD22" s="2520"/>
      <c r="BE22" s="2520"/>
      <c r="BF22" s="2520"/>
      <c r="BG22" s="2521"/>
      <c r="BH22" s="2158"/>
      <c r="BI22" s="2158"/>
      <c r="BJ22" s="2158"/>
      <c r="BK22" s="2519">
        <v>26</v>
      </c>
      <c r="BL22" s="2520"/>
      <c r="BM22" s="2520"/>
      <c r="BN22" s="2520"/>
      <c r="BO22" s="2521"/>
      <c r="BP22" s="2168"/>
      <c r="BQ22" s="677"/>
      <c r="BU22" s="1559"/>
      <c r="BV22" s="1559" t="s">
        <v>2838</v>
      </c>
    </row>
    <row r="23" spans="1:95" ht="15.75" thickBot="1" x14ac:dyDescent="0.25">
      <c r="A23" s="1552"/>
      <c r="B23" s="1553"/>
      <c r="C23" s="2162"/>
      <c r="D23" s="2522"/>
      <c r="E23" s="2523"/>
      <c r="F23" s="2523"/>
      <c r="G23" s="2523"/>
      <c r="H23" s="2524"/>
      <c r="I23" s="2158"/>
      <c r="J23" s="2158"/>
      <c r="K23" s="2158"/>
      <c r="L23" s="2522"/>
      <c r="M23" s="2523"/>
      <c r="N23" s="2523"/>
      <c r="O23" s="2523"/>
      <c r="P23" s="2524"/>
      <c r="Q23" s="2168"/>
      <c r="R23" s="2153"/>
      <c r="S23" s="2153"/>
      <c r="T23" s="2162"/>
      <c r="U23" s="2522"/>
      <c r="V23" s="2523"/>
      <c r="W23" s="2523"/>
      <c r="X23" s="2523"/>
      <c r="Y23" s="2524"/>
      <c r="Z23" s="2158"/>
      <c r="AA23" s="2158"/>
      <c r="AB23" s="2158"/>
      <c r="AC23" s="2522"/>
      <c r="AD23" s="2523"/>
      <c r="AE23" s="2523"/>
      <c r="AF23" s="2523"/>
      <c r="AG23" s="2524"/>
      <c r="AH23" s="2168"/>
      <c r="AI23" s="1616"/>
      <c r="AJ23" s="1553"/>
      <c r="AK23" s="2162"/>
      <c r="AL23" s="2522"/>
      <c r="AM23" s="2523"/>
      <c r="AN23" s="2523"/>
      <c r="AO23" s="2523"/>
      <c r="AP23" s="2524"/>
      <c r="AQ23" s="2158"/>
      <c r="AR23" s="2158"/>
      <c r="AS23" s="2158"/>
      <c r="AT23" s="2522"/>
      <c r="AU23" s="2523"/>
      <c r="AV23" s="2523"/>
      <c r="AW23" s="2523"/>
      <c r="AX23" s="2524"/>
      <c r="AY23" s="2168"/>
      <c r="AZ23" s="2153"/>
      <c r="BA23" s="2153"/>
      <c r="BB23" s="2162"/>
      <c r="BC23" s="2522"/>
      <c r="BD23" s="2523"/>
      <c r="BE23" s="2523"/>
      <c r="BF23" s="2523"/>
      <c r="BG23" s="2524"/>
      <c r="BH23" s="2158"/>
      <c r="BI23" s="2158"/>
      <c r="BJ23" s="2158"/>
      <c r="BK23" s="2522"/>
      <c r="BL23" s="2523"/>
      <c r="BM23" s="2523"/>
      <c r="BN23" s="2523"/>
      <c r="BO23" s="2524"/>
      <c r="BP23" s="2168"/>
      <c r="BQ23" s="677"/>
      <c r="BU23" s="1554"/>
      <c r="BV23" s="1554"/>
    </row>
    <row r="24" spans="1:95" x14ac:dyDescent="0.2">
      <c r="A24" s="1560"/>
      <c r="B24" s="1559"/>
      <c r="C24" s="2162"/>
      <c r="D24" s="2156"/>
      <c r="E24" s="2156"/>
      <c r="F24" s="2156"/>
      <c r="G24" s="2156"/>
      <c r="H24" s="2156"/>
      <c r="I24" s="2157"/>
      <c r="J24" s="2158"/>
      <c r="K24" s="2157"/>
      <c r="L24" s="2156"/>
      <c r="M24" s="2156"/>
      <c r="N24" s="2156"/>
      <c r="O24" s="2156"/>
      <c r="P24" s="2156"/>
      <c r="Q24" s="2167"/>
      <c r="R24" s="267"/>
      <c r="S24" s="267"/>
      <c r="T24" s="2162"/>
      <c r="U24" s="2156"/>
      <c r="V24" s="2156"/>
      <c r="W24" s="2156"/>
      <c r="X24" s="2156"/>
      <c r="Y24" s="2156"/>
      <c r="Z24" s="2157"/>
      <c r="AA24" s="2158"/>
      <c r="AB24" s="2157"/>
      <c r="AC24" s="2156"/>
      <c r="AD24" s="2156"/>
      <c r="AE24" s="2156"/>
      <c r="AF24" s="2156"/>
      <c r="AG24" s="2156"/>
      <c r="AH24" s="2167"/>
      <c r="AI24" s="1506"/>
      <c r="AJ24" s="1559"/>
      <c r="AK24" s="2162"/>
      <c r="AL24" s="2156"/>
      <c r="AM24" s="2156"/>
      <c r="AN24" s="2156"/>
      <c r="AO24" s="2156"/>
      <c r="AP24" s="2156"/>
      <c r="AQ24" s="2157"/>
      <c r="AR24" s="2158"/>
      <c r="AS24" s="2157"/>
      <c r="AT24" s="2156"/>
      <c r="AU24" s="2156"/>
      <c r="AV24" s="2156"/>
      <c r="AW24" s="2156"/>
      <c r="AX24" s="2156"/>
      <c r="AY24" s="2167"/>
      <c r="AZ24" s="267"/>
      <c r="BA24" s="267"/>
      <c r="BB24" s="2162"/>
      <c r="BC24" s="2156"/>
      <c r="BD24" s="2156"/>
      <c r="BE24" s="2156"/>
      <c r="BF24" s="2156"/>
      <c r="BG24" s="2156"/>
      <c r="BH24" s="2157"/>
      <c r="BI24" s="2158"/>
      <c r="BJ24" s="2157"/>
      <c r="BK24" s="2156"/>
      <c r="BL24" s="2156"/>
      <c r="BM24" s="2156"/>
      <c r="BN24" s="2156"/>
      <c r="BO24" s="2156"/>
      <c r="BP24" s="2167"/>
      <c r="BQ24" s="267"/>
      <c r="BU24" s="1553"/>
      <c r="BV24" s="1553"/>
    </row>
    <row r="25" spans="1:95" s="267" customFormat="1" x14ac:dyDescent="0.2">
      <c r="A25" s="2137"/>
      <c r="B25" s="2131"/>
      <c r="C25" s="2162"/>
      <c r="D25" s="2156"/>
      <c r="E25" s="2156"/>
      <c r="F25" s="2156"/>
      <c r="G25" s="2156"/>
      <c r="H25" s="2156"/>
      <c r="I25" s="2157"/>
      <c r="J25" s="2158"/>
      <c r="K25" s="2157"/>
      <c r="L25" s="2156"/>
      <c r="M25" s="2156"/>
      <c r="N25" s="2156"/>
      <c r="O25" s="2156"/>
      <c r="P25" s="2156"/>
      <c r="Q25" s="2167"/>
      <c r="R25" s="2138"/>
      <c r="S25" s="2138"/>
      <c r="T25" s="2162"/>
      <c r="U25" s="2156"/>
      <c r="V25" s="2156"/>
      <c r="W25" s="2156"/>
      <c r="X25" s="2156"/>
      <c r="Y25" s="2156"/>
      <c r="Z25" s="2157"/>
      <c r="AA25" s="2158"/>
      <c r="AB25" s="2157"/>
      <c r="AC25" s="2156"/>
      <c r="AD25" s="2156"/>
      <c r="AE25" s="2156"/>
      <c r="AF25" s="2156"/>
      <c r="AG25" s="2156"/>
      <c r="AH25" s="2167"/>
      <c r="AI25" s="2131"/>
      <c r="AJ25" s="2131"/>
      <c r="AK25" s="2162"/>
      <c r="AL25" s="2156"/>
      <c r="AM25" s="2156"/>
      <c r="AN25" s="2156"/>
      <c r="AO25" s="2156"/>
      <c r="AP25" s="2156"/>
      <c r="AQ25" s="2157"/>
      <c r="AR25" s="2158"/>
      <c r="AS25" s="2157"/>
      <c r="AT25" s="2156"/>
      <c r="AU25" s="2156"/>
      <c r="AV25" s="2156"/>
      <c r="AW25" s="2156"/>
      <c r="AX25" s="2156"/>
      <c r="AY25" s="2167"/>
      <c r="AZ25" s="2138"/>
      <c r="BA25" s="2138"/>
      <c r="BB25" s="2162"/>
      <c r="BC25" s="2156"/>
      <c r="BD25" s="2156"/>
      <c r="BE25" s="2156"/>
      <c r="BF25" s="2156"/>
      <c r="BG25" s="2156"/>
      <c r="BH25" s="2157"/>
      <c r="BI25" s="2158"/>
      <c r="BJ25" s="2157"/>
      <c r="BK25" s="2156"/>
      <c r="BL25" s="2156"/>
      <c r="BM25" s="2156"/>
      <c r="BN25" s="2156"/>
      <c r="BO25" s="2156"/>
      <c r="BP25" s="2167"/>
      <c r="BQ25" s="2138"/>
      <c r="BU25" s="1559"/>
      <c r="BV25" s="1559"/>
    </row>
    <row r="26" spans="1:95" s="436" customFormat="1" ht="15.75" thickBot="1" x14ac:dyDescent="0.25">
      <c r="A26" s="705"/>
      <c r="B26" s="1506"/>
      <c r="C26" s="2162"/>
      <c r="D26" s="2156"/>
      <c r="E26" s="2156"/>
      <c r="F26" s="2156"/>
      <c r="G26" s="2156"/>
      <c r="H26" s="2156"/>
      <c r="I26" s="2157"/>
      <c r="J26" s="2158"/>
      <c r="K26" s="2157"/>
      <c r="L26" s="2156"/>
      <c r="M26" s="2156"/>
      <c r="N26" s="2156"/>
      <c r="O26" s="2156"/>
      <c r="P26" s="2156"/>
      <c r="Q26" s="2167"/>
      <c r="R26" s="267"/>
      <c r="S26" s="267"/>
      <c r="T26" s="2162"/>
      <c r="U26" s="2156"/>
      <c r="V26" s="2156"/>
      <c r="W26" s="2156"/>
      <c r="X26" s="2156"/>
      <c r="Y26" s="2156"/>
      <c r="Z26" s="2157"/>
      <c r="AA26" s="2158"/>
      <c r="AB26" s="2157"/>
      <c r="AC26" s="2156"/>
      <c r="AD26" s="2156"/>
      <c r="AE26" s="2156"/>
      <c r="AF26" s="2156"/>
      <c r="AG26" s="2156"/>
      <c r="AH26" s="2167"/>
      <c r="AI26" s="1506"/>
      <c r="AJ26" s="1559"/>
      <c r="AK26" s="2162"/>
      <c r="AL26" s="2156"/>
      <c r="AM26" s="2156"/>
      <c r="AN26" s="2156"/>
      <c r="AO26" s="2156"/>
      <c r="AP26" s="2156"/>
      <c r="AQ26" s="2157"/>
      <c r="AR26" s="2158"/>
      <c r="AS26" s="2157"/>
      <c r="AT26" s="2156"/>
      <c r="AU26" s="2156"/>
      <c r="AV26" s="2156"/>
      <c r="AW26" s="2156"/>
      <c r="AX26" s="2156"/>
      <c r="AY26" s="2167"/>
      <c r="AZ26" s="267"/>
      <c r="BA26" s="267"/>
      <c r="BB26" s="2162"/>
      <c r="BC26" s="2156"/>
      <c r="BD26" s="2156"/>
      <c r="BE26" s="2156"/>
      <c r="BF26" s="2156"/>
      <c r="BG26" s="2156"/>
      <c r="BH26" s="2157"/>
      <c r="BI26" s="2158"/>
      <c r="BJ26" s="2157"/>
      <c r="BK26" s="2156"/>
      <c r="BL26" s="2156"/>
      <c r="BM26" s="2156"/>
      <c r="BN26" s="2156"/>
      <c r="BO26" s="2156"/>
      <c r="BP26" s="2167"/>
      <c r="BQ26" s="267"/>
      <c r="BU26" s="1561"/>
      <c r="BV26" s="1561"/>
    </row>
    <row r="27" spans="1:95" s="7" customFormat="1" x14ac:dyDescent="0.25">
      <c r="A27" s="1557"/>
      <c r="B27" s="1554"/>
      <c r="C27" s="2162"/>
      <c r="D27" s="2519">
        <v>20</v>
      </c>
      <c r="E27" s="2520"/>
      <c r="F27" s="2520"/>
      <c r="G27" s="2520"/>
      <c r="H27" s="2521"/>
      <c r="I27" s="2158"/>
      <c r="J27" s="2158"/>
      <c r="K27" s="2158"/>
      <c r="L27" s="2519">
        <v>17</v>
      </c>
      <c r="M27" s="2520"/>
      <c r="N27" s="2520"/>
      <c r="O27" s="2520"/>
      <c r="P27" s="2521"/>
      <c r="Q27" s="2168"/>
      <c r="R27" s="1519"/>
      <c r="S27" s="1519"/>
      <c r="T27" s="2162"/>
      <c r="U27" s="2519">
        <v>16</v>
      </c>
      <c r="V27" s="2520"/>
      <c r="W27" s="2520"/>
      <c r="X27" s="2520"/>
      <c r="Y27" s="2521"/>
      <c r="Z27" s="2158"/>
      <c r="AA27" s="2158"/>
      <c r="AB27" s="2158"/>
      <c r="AC27" s="2519">
        <v>13</v>
      </c>
      <c r="AD27" s="2520"/>
      <c r="AE27" s="2520"/>
      <c r="AF27" s="2520"/>
      <c r="AG27" s="2521"/>
      <c r="AH27" s="2168"/>
      <c r="AI27" s="1616"/>
      <c r="AJ27" s="1554"/>
      <c r="AK27" s="2162"/>
      <c r="AL27" s="2519">
        <v>12</v>
      </c>
      <c r="AM27" s="2520"/>
      <c r="AN27" s="2520"/>
      <c r="AO27" s="2520"/>
      <c r="AP27" s="2521"/>
      <c r="AQ27" s="2158"/>
      <c r="AR27" s="2158"/>
      <c r="AS27" s="2158"/>
      <c r="AT27" s="2519">
        <v>9</v>
      </c>
      <c r="AU27" s="2520"/>
      <c r="AV27" s="2520"/>
      <c r="AW27" s="2520"/>
      <c r="AX27" s="2521"/>
      <c r="AY27" s="2168"/>
      <c r="AZ27" s="1519"/>
      <c r="BA27" s="1519"/>
      <c r="BB27" s="2162"/>
      <c r="BC27" s="2519">
        <v>28</v>
      </c>
      <c r="BD27" s="2520"/>
      <c r="BE27" s="2520"/>
      <c r="BF27" s="2520"/>
      <c r="BG27" s="2521"/>
      <c r="BH27" s="2158"/>
      <c r="BI27" s="2158"/>
      <c r="BJ27" s="2158"/>
      <c r="BK27" s="2519">
        <v>27</v>
      </c>
      <c r="BL27" s="2520"/>
      <c r="BM27" s="2520"/>
      <c r="BN27" s="2520"/>
      <c r="BO27" s="2521"/>
      <c r="BP27" s="2168"/>
      <c r="BQ27" s="1519"/>
      <c r="CQ27" s="7" t="s">
        <v>2838</v>
      </c>
    </row>
    <row r="28" spans="1:95" s="120" customFormat="1" ht="15.75" thickBot="1" x14ac:dyDescent="0.25">
      <c r="A28" s="2134"/>
      <c r="B28" s="1616"/>
      <c r="C28" s="2162"/>
      <c r="D28" s="2522"/>
      <c r="E28" s="2523"/>
      <c r="F28" s="2523"/>
      <c r="G28" s="2523"/>
      <c r="H28" s="2524"/>
      <c r="I28" s="2158"/>
      <c r="J28" s="2158"/>
      <c r="K28" s="2158"/>
      <c r="L28" s="2522"/>
      <c r="M28" s="2523"/>
      <c r="N28" s="2523"/>
      <c r="O28" s="2523"/>
      <c r="P28" s="2524"/>
      <c r="Q28" s="2168"/>
      <c r="R28" s="1518"/>
      <c r="S28" s="1518"/>
      <c r="T28" s="2162"/>
      <c r="U28" s="2522"/>
      <c r="V28" s="2523"/>
      <c r="W28" s="2523"/>
      <c r="X28" s="2523"/>
      <c r="Y28" s="2524"/>
      <c r="Z28" s="2158"/>
      <c r="AA28" s="2158"/>
      <c r="AB28" s="2158"/>
      <c r="AC28" s="2522"/>
      <c r="AD28" s="2523"/>
      <c r="AE28" s="2523"/>
      <c r="AF28" s="2523"/>
      <c r="AG28" s="2524"/>
      <c r="AH28" s="2168"/>
      <c r="AI28" s="1616"/>
      <c r="AJ28" s="1553"/>
      <c r="AK28" s="2162"/>
      <c r="AL28" s="2522"/>
      <c r="AM28" s="2523"/>
      <c r="AN28" s="2523"/>
      <c r="AO28" s="2523"/>
      <c r="AP28" s="2524"/>
      <c r="AQ28" s="2158"/>
      <c r="AR28" s="2158"/>
      <c r="AS28" s="2158"/>
      <c r="AT28" s="2522"/>
      <c r="AU28" s="2523"/>
      <c r="AV28" s="2523"/>
      <c r="AW28" s="2523"/>
      <c r="AX28" s="2524"/>
      <c r="AY28" s="2168"/>
      <c r="AZ28" s="1518"/>
      <c r="BA28" s="1518"/>
      <c r="BB28" s="2162"/>
      <c r="BC28" s="2522"/>
      <c r="BD28" s="2523"/>
      <c r="BE28" s="2523"/>
      <c r="BF28" s="2523"/>
      <c r="BG28" s="2524"/>
      <c r="BH28" s="2158"/>
      <c r="BI28" s="2158"/>
      <c r="BJ28" s="2158"/>
      <c r="BK28" s="2522"/>
      <c r="BL28" s="2523"/>
      <c r="BM28" s="2523"/>
      <c r="BN28" s="2523"/>
      <c r="BO28" s="2524"/>
      <c r="BP28" s="2168"/>
      <c r="BQ28" s="1518"/>
    </row>
    <row r="29" spans="1:95" s="267" customFormat="1" x14ac:dyDescent="0.2">
      <c r="A29" s="2135"/>
      <c r="B29" s="2132"/>
      <c r="C29" s="2162"/>
      <c r="D29" s="2159"/>
      <c r="E29" s="2159"/>
      <c r="F29" s="2159"/>
      <c r="G29" s="2159"/>
      <c r="H29" s="2159"/>
      <c r="I29" s="2157"/>
      <c r="J29" s="2158"/>
      <c r="K29" s="2157"/>
      <c r="L29" s="2159"/>
      <c r="M29" s="2159"/>
      <c r="N29" s="2159"/>
      <c r="O29" s="2159"/>
      <c r="P29" s="2159"/>
      <c r="Q29" s="2167"/>
      <c r="R29" s="2136"/>
      <c r="S29" s="2136"/>
      <c r="T29" s="2162"/>
      <c r="U29" s="2159"/>
      <c r="V29" s="2159"/>
      <c r="W29" s="2159"/>
      <c r="X29" s="2159"/>
      <c r="Y29" s="2159"/>
      <c r="Z29" s="2157"/>
      <c r="AA29" s="2158"/>
      <c r="AB29" s="2157"/>
      <c r="AC29" s="2159"/>
      <c r="AD29" s="2159"/>
      <c r="AE29" s="2159"/>
      <c r="AF29" s="2159"/>
      <c r="AG29" s="2159"/>
      <c r="AH29" s="2167"/>
      <c r="AI29" s="1631"/>
      <c r="AJ29" s="2131"/>
      <c r="AK29" s="2162"/>
      <c r="AL29" s="2159"/>
      <c r="AM29" s="2159"/>
      <c r="AN29" s="2159"/>
      <c r="AO29" s="2159"/>
      <c r="AP29" s="2159"/>
      <c r="AQ29" s="2157"/>
      <c r="AR29" s="2158"/>
      <c r="AS29" s="2157"/>
      <c r="AT29" s="2159"/>
      <c r="AU29" s="2159"/>
      <c r="AV29" s="2159"/>
      <c r="AW29" s="2159"/>
      <c r="AX29" s="2159"/>
      <c r="AY29" s="2167"/>
      <c r="AZ29" s="2136"/>
      <c r="BA29" s="2136"/>
      <c r="BB29" s="2162"/>
      <c r="BC29" s="2159"/>
      <c r="BD29" s="2159"/>
      <c r="BE29" s="2159"/>
      <c r="BF29" s="2159"/>
      <c r="BG29" s="2159"/>
      <c r="BH29" s="2157"/>
      <c r="BI29" s="2158"/>
      <c r="BJ29" s="2157"/>
      <c r="BK29" s="2159"/>
      <c r="BL29" s="2159"/>
      <c r="BM29" s="2159"/>
      <c r="BN29" s="2159"/>
      <c r="BO29" s="2159"/>
      <c r="BP29" s="2167"/>
      <c r="BQ29" s="2136"/>
      <c r="BU29" s="1559"/>
      <c r="BV29" s="1559"/>
    </row>
    <row r="30" spans="1:95" ht="15.75" thickBot="1" x14ac:dyDescent="0.25">
      <c r="A30" s="705"/>
      <c r="B30" s="1506"/>
      <c r="C30" s="2163"/>
      <c r="D30" s="2160"/>
      <c r="E30" s="2160"/>
      <c r="F30" s="2160"/>
      <c r="G30" s="2160"/>
      <c r="H30" s="2160"/>
      <c r="I30" s="2161"/>
      <c r="J30" s="2161"/>
      <c r="K30" s="2161"/>
      <c r="L30" s="2160"/>
      <c r="M30" s="2160"/>
      <c r="N30" s="2160"/>
      <c r="O30" s="2160"/>
      <c r="P30" s="2160"/>
      <c r="Q30" s="2169"/>
      <c r="R30" s="705"/>
      <c r="S30" s="705"/>
      <c r="T30" s="2163"/>
      <c r="U30" s="2160"/>
      <c r="V30" s="2160"/>
      <c r="W30" s="2160"/>
      <c r="X30" s="2160"/>
      <c r="Y30" s="2160"/>
      <c r="Z30" s="2161"/>
      <c r="AA30" s="2161"/>
      <c r="AB30" s="2161"/>
      <c r="AC30" s="2160"/>
      <c r="AD30" s="2160"/>
      <c r="AE30" s="2160"/>
      <c r="AF30" s="2160"/>
      <c r="AG30" s="2160"/>
      <c r="AH30" s="2169"/>
      <c r="AI30" s="1559"/>
      <c r="AJ30" s="1617"/>
      <c r="AK30" s="2163"/>
      <c r="AL30" s="2160"/>
      <c r="AM30" s="2160"/>
      <c r="AN30" s="2160"/>
      <c r="AO30" s="2160"/>
      <c r="AP30" s="2160"/>
      <c r="AQ30" s="2161"/>
      <c r="AR30" s="2161"/>
      <c r="AS30" s="2161"/>
      <c r="AT30" s="2160"/>
      <c r="AU30" s="2160"/>
      <c r="AV30" s="2160"/>
      <c r="AW30" s="2160"/>
      <c r="AX30" s="2160"/>
      <c r="AY30" s="2169"/>
      <c r="AZ30" s="705"/>
      <c r="BA30" s="705"/>
      <c r="BB30" s="2163"/>
      <c r="BC30" s="2160"/>
      <c r="BD30" s="2160"/>
      <c r="BE30" s="2160"/>
      <c r="BF30" s="2160"/>
      <c r="BG30" s="2160"/>
      <c r="BH30" s="2161"/>
      <c r="BI30" s="2161"/>
      <c r="BJ30" s="2161"/>
      <c r="BK30" s="2160"/>
      <c r="BL30" s="2160"/>
      <c r="BM30" s="2160"/>
      <c r="BN30" s="2160"/>
      <c r="BO30" s="2160"/>
      <c r="BP30" s="2169"/>
      <c r="BQ30" s="705"/>
      <c r="BU30" s="1554"/>
      <c r="BV30" s="1554"/>
    </row>
    <row r="31" spans="1:95" thickBot="1" x14ac:dyDescent="0.25">
      <c r="A31" s="705"/>
      <c r="B31" s="1506"/>
      <c r="C31" s="267"/>
      <c r="D31" s="267"/>
      <c r="E31" s="267"/>
      <c r="F31" s="267"/>
      <c r="G31" s="267"/>
      <c r="H31" s="267"/>
      <c r="I31" s="267"/>
      <c r="J31" s="267"/>
      <c r="K31" s="267"/>
      <c r="L31" s="267"/>
      <c r="M31" s="267"/>
      <c r="N31" s="267"/>
      <c r="O31" s="267"/>
      <c r="P31" s="267"/>
      <c r="Q31" s="267"/>
      <c r="R31" s="267"/>
      <c r="S31" s="267"/>
      <c r="T31" s="267"/>
      <c r="U31" s="267"/>
      <c r="V31" s="267"/>
      <c r="W31" s="267"/>
      <c r="X31" s="267"/>
      <c r="Y31" s="267"/>
      <c r="Z31" s="267"/>
      <c r="AA31" s="267"/>
      <c r="AB31" s="267"/>
      <c r="AC31" s="267"/>
      <c r="AD31" s="267"/>
      <c r="AE31" s="267"/>
      <c r="AF31" s="267"/>
      <c r="AG31" s="267"/>
      <c r="AH31" s="267"/>
      <c r="AI31" s="267"/>
      <c r="AJ31" s="267"/>
      <c r="AK31" s="267"/>
      <c r="AL31" s="267"/>
      <c r="AM31" s="267"/>
      <c r="AN31" s="267"/>
      <c r="AO31" s="267"/>
      <c r="AP31" s="267"/>
      <c r="AQ31" s="267"/>
      <c r="AR31" s="267"/>
      <c r="AS31" s="267"/>
      <c r="AT31" s="267"/>
      <c r="AU31" s="267"/>
      <c r="AV31" s="267"/>
      <c r="AW31" s="267"/>
      <c r="AX31" s="267"/>
      <c r="AY31" s="267"/>
      <c r="AZ31" s="267"/>
      <c r="BA31" s="267"/>
      <c r="BB31" s="267"/>
      <c r="BC31" s="267"/>
      <c r="BD31" s="267"/>
      <c r="BE31" s="267"/>
      <c r="BF31" s="267"/>
      <c r="BG31" s="267"/>
      <c r="BH31" s="267"/>
      <c r="BI31" s="267"/>
      <c r="BJ31" s="267"/>
      <c r="BK31" s="267"/>
      <c r="BL31" s="267"/>
      <c r="BM31" s="267"/>
      <c r="BN31" s="267"/>
      <c r="BO31" s="267"/>
      <c r="BP31" s="267"/>
      <c r="BQ31" s="267"/>
      <c r="BU31" s="1553"/>
      <c r="BV31" s="1553"/>
    </row>
    <row r="32" spans="1:95" s="267" customFormat="1" x14ac:dyDescent="0.2">
      <c r="A32" s="2133"/>
      <c r="B32" s="1631"/>
      <c r="C32" s="2164" t="s">
        <v>11491</v>
      </c>
      <c r="D32" s="2165"/>
      <c r="E32" s="2165"/>
      <c r="F32" s="2165"/>
      <c r="G32" s="2165"/>
      <c r="H32" s="2165"/>
      <c r="I32" s="2165"/>
      <c r="J32" s="2165"/>
      <c r="K32" s="2165"/>
      <c r="L32" s="2165"/>
      <c r="M32" s="2165"/>
      <c r="N32" s="2165"/>
      <c r="O32" s="2165"/>
      <c r="P32" s="2165"/>
      <c r="Q32" s="2166"/>
      <c r="R32" s="2130"/>
      <c r="S32" s="2130"/>
      <c r="T32" s="2164" t="s">
        <v>11492</v>
      </c>
      <c r="U32" s="2165"/>
      <c r="V32" s="2165"/>
      <c r="W32" s="2165"/>
      <c r="X32" s="2165"/>
      <c r="Y32" s="2165"/>
      <c r="Z32" s="2165"/>
      <c r="AA32" s="2165"/>
      <c r="AB32" s="2165"/>
      <c r="AC32" s="2165"/>
      <c r="AD32" s="2165"/>
      <c r="AE32" s="2165"/>
      <c r="AF32" s="2165"/>
      <c r="AG32" s="2165"/>
      <c r="AH32" s="2166"/>
      <c r="AI32" s="2130"/>
      <c r="AJ32" s="2130"/>
      <c r="AK32" s="2164" t="s">
        <v>11493</v>
      </c>
      <c r="AL32" s="2165"/>
      <c r="AM32" s="2165"/>
      <c r="AN32" s="2165"/>
      <c r="AO32" s="2165"/>
      <c r="AP32" s="2165"/>
      <c r="AQ32" s="2165"/>
      <c r="AR32" s="2165"/>
      <c r="AS32" s="2165"/>
      <c r="AT32" s="2165"/>
      <c r="AU32" s="2165"/>
      <c r="AV32" s="2165"/>
      <c r="AW32" s="2165"/>
      <c r="AX32" s="2165"/>
      <c r="AY32" s="2166"/>
      <c r="AZ32" s="2130"/>
      <c r="BA32" s="2130"/>
      <c r="BB32" s="2164" t="s">
        <v>11494</v>
      </c>
      <c r="BC32" s="2165"/>
      <c r="BD32" s="2165"/>
      <c r="BE32" s="2165"/>
      <c r="BF32" s="2165"/>
      <c r="BG32" s="2165"/>
      <c r="BH32" s="2165"/>
      <c r="BI32" s="2165"/>
      <c r="BJ32" s="2165"/>
      <c r="BK32" s="2165"/>
      <c r="BL32" s="2165"/>
      <c r="BM32" s="2165"/>
      <c r="BN32" s="2165"/>
      <c r="BO32" s="2165"/>
      <c r="BP32" s="2166"/>
      <c r="BQ32" s="2130"/>
    </row>
    <row r="33" spans="1:74" s="267" customFormat="1" ht="15.75" thickBot="1" x14ac:dyDescent="0.25">
      <c r="A33" s="2136"/>
      <c r="B33" s="2139"/>
      <c r="C33" s="2162"/>
      <c r="D33" s="2156"/>
      <c r="E33" s="2156"/>
      <c r="F33" s="2156"/>
      <c r="G33" s="2156"/>
      <c r="H33" s="2156"/>
      <c r="I33" s="2157"/>
      <c r="J33" s="2158"/>
      <c r="K33" s="2157"/>
      <c r="L33" s="2156"/>
      <c r="M33" s="2156"/>
      <c r="N33" s="2156"/>
      <c r="O33" s="2156"/>
      <c r="P33" s="2156"/>
      <c r="Q33" s="2167"/>
      <c r="R33" s="2130"/>
      <c r="S33" s="2130"/>
      <c r="T33" s="2162"/>
      <c r="U33" s="2156"/>
      <c r="V33" s="2156"/>
      <c r="W33" s="2156"/>
      <c r="X33" s="2156"/>
      <c r="Y33" s="2156"/>
      <c r="Z33" s="2157"/>
      <c r="AA33" s="2158"/>
      <c r="AB33" s="2157"/>
      <c r="AC33" s="2156"/>
      <c r="AD33" s="2156"/>
      <c r="AE33" s="2156"/>
      <c r="AF33" s="2156"/>
      <c r="AG33" s="2156"/>
      <c r="AH33" s="2167"/>
      <c r="AI33" s="2130"/>
      <c r="AJ33" s="2130"/>
      <c r="AK33" s="2162"/>
      <c r="AL33" s="2156"/>
      <c r="AM33" s="2156"/>
      <c r="AN33" s="2156"/>
      <c r="AO33" s="2156"/>
      <c r="AP33" s="2156"/>
      <c r="AQ33" s="2157"/>
      <c r="AR33" s="2158"/>
      <c r="AS33" s="2157"/>
      <c r="AT33" s="2156"/>
      <c r="AU33" s="2156"/>
      <c r="AV33" s="2156"/>
      <c r="AW33" s="2156"/>
      <c r="AX33" s="2156"/>
      <c r="AY33" s="2167"/>
      <c r="AZ33" s="2130"/>
      <c r="BA33" s="2130"/>
      <c r="BB33" s="2162"/>
      <c r="BC33" s="2156"/>
      <c r="BD33" s="2156"/>
      <c r="BE33" s="2156"/>
      <c r="BF33" s="2156"/>
      <c r="BG33" s="2156"/>
      <c r="BH33" s="2157"/>
      <c r="BI33" s="2158"/>
      <c r="BJ33" s="2157"/>
      <c r="BK33" s="2156"/>
      <c r="BL33" s="2156"/>
      <c r="BM33" s="2156"/>
      <c r="BN33" s="2156"/>
      <c r="BO33" s="2156"/>
      <c r="BP33" s="2167"/>
      <c r="BQ33" s="2130"/>
      <c r="BU33" s="1559"/>
      <c r="BV33" s="1559"/>
    </row>
    <row r="34" spans="1:74" x14ac:dyDescent="0.2">
      <c r="A34" s="1557"/>
      <c r="B34" s="1554"/>
      <c r="C34" s="2162"/>
      <c r="D34" s="2519">
        <v>47</v>
      </c>
      <c r="E34" s="2525"/>
      <c r="F34" s="2525"/>
      <c r="G34" s="2525"/>
      <c r="H34" s="2526"/>
      <c r="I34" s="2158"/>
      <c r="J34" s="2158"/>
      <c r="K34" s="2158"/>
      <c r="L34" s="2519">
        <v>46</v>
      </c>
      <c r="M34" s="2520"/>
      <c r="N34" s="2520"/>
      <c r="O34" s="2520"/>
      <c r="P34" s="2521"/>
      <c r="Q34" s="2168"/>
      <c r="R34" s="1552"/>
      <c r="S34" s="1552"/>
      <c r="T34" s="2162"/>
      <c r="U34" s="2519">
        <v>43</v>
      </c>
      <c r="V34" s="2525"/>
      <c r="W34" s="2525"/>
      <c r="X34" s="2525"/>
      <c r="Y34" s="2526"/>
      <c r="Z34" s="2158"/>
      <c r="AA34" s="2158"/>
      <c r="AB34" s="2158"/>
      <c r="AC34" s="2519">
        <v>42</v>
      </c>
      <c r="AD34" s="2520"/>
      <c r="AE34" s="2520"/>
      <c r="AF34" s="2520"/>
      <c r="AG34" s="2521"/>
      <c r="AH34" s="2168"/>
      <c r="AI34" s="1552"/>
      <c r="AJ34" s="1552"/>
      <c r="AK34" s="2162"/>
      <c r="AL34" s="2519">
        <v>39</v>
      </c>
      <c r="AM34" s="2525"/>
      <c r="AN34" s="2525"/>
      <c r="AO34" s="2525"/>
      <c r="AP34" s="2526"/>
      <c r="AQ34" s="2158"/>
      <c r="AR34" s="2158"/>
      <c r="AS34" s="2158"/>
      <c r="AT34" s="2519">
        <v>38</v>
      </c>
      <c r="AU34" s="2520"/>
      <c r="AV34" s="2520"/>
      <c r="AW34" s="2520"/>
      <c r="AX34" s="2521"/>
      <c r="AY34" s="2168"/>
      <c r="AZ34" s="1552"/>
      <c r="BA34" s="1552"/>
      <c r="BB34" s="2162"/>
      <c r="BC34" s="2519">
        <v>33</v>
      </c>
      <c r="BD34" s="2525"/>
      <c r="BE34" s="2525"/>
      <c r="BF34" s="2525"/>
      <c r="BG34" s="2526"/>
      <c r="BH34" s="2158"/>
      <c r="BI34" s="2158"/>
      <c r="BJ34" s="2158"/>
      <c r="BK34" s="2519">
        <v>34</v>
      </c>
      <c r="BL34" s="2520"/>
      <c r="BM34" s="2520"/>
      <c r="BN34" s="2520"/>
      <c r="BO34" s="2521"/>
      <c r="BP34" s="2168"/>
      <c r="BQ34" s="1552"/>
      <c r="BU34" s="1554"/>
      <c r="BV34" s="1554"/>
    </row>
    <row r="35" spans="1:74" ht="15.75" thickBot="1" x14ac:dyDescent="0.25">
      <c r="A35" s="1552"/>
      <c r="B35" s="1553"/>
      <c r="C35" s="2162"/>
      <c r="D35" s="2527"/>
      <c r="E35" s="2528"/>
      <c r="F35" s="2528"/>
      <c r="G35" s="2528"/>
      <c r="H35" s="2529"/>
      <c r="I35" s="2158"/>
      <c r="J35" s="2158"/>
      <c r="K35" s="2158"/>
      <c r="L35" s="2522"/>
      <c r="M35" s="2523"/>
      <c r="N35" s="2523"/>
      <c r="O35" s="2523"/>
      <c r="P35" s="2524"/>
      <c r="Q35" s="2168"/>
      <c r="R35" s="1552"/>
      <c r="S35" s="1552"/>
      <c r="T35" s="2162"/>
      <c r="U35" s="2527"/>
      <c r="V35" s="2528"/>
      <c r="W35" s="2528"/>
      <c r="X35" s="2528"/>
      <c r="Y35" s="2529"/>
      <c r="Z35" s="2158"/>
      <c r="AA35" s="2158"/>
      <c r="AB35" s="2158"/>
      <c r="AC35" s="2522"/>
      <c r="AD35" s="2523"/>
      <c r="AE35" s="2523"/>
      <c r="AF35" s="2523"/>
      <c r="AG35" s="2524"/>
      <c r="AH35" s="2168"/>
      <c r="AI35" s="1552"/>
      <c r="AJ35" s="1552"/>
      <c r="AK35" s="2162"/>
      <c r="AL35" s="2527"/>
      <c r="AM35" s="2528"/>
      <c r="AN35" s="2528"/>
      <c r="AO35" s="2528"/>
      <c r="AP35" s="2529"/>
      <c r="AQ35" s="2158"/>
      <c r="AR35" s="2158"/>
      <c r="AS35" s="2158"/>
      <c r="AT35" s="2522"/>
      <c r="AU35" s="2523"/>
      <c r="AV35" s="2523"/>
      <c r="AW35" s="2523"/>
      <c r="AX35" s="2524"/>
      <c r="AY35" s="2168"/>
      <c r="AZ35" s="1552"/>
      <c r="BA35" s="1552"/>
      <c r="BB35" s="2162"/>
      <c r="BC35" s="2527"/>
      <c r="BD35" s="2528"/>
      <c r="BE35" s="2528"/>
      <c r="BF35" s="2528"/>
      <c r="BG35" s="2529"/>
      <c r="BH35" s="2158"/>
      <c r="BI35" s="2158"/>
      <c r="BJ35" s="2158"/>
      <c r="BK35" s="2522"/>
      <c r="BL35" s="2523"/>
      <c r="BM35" s="2523"/>
      <c r="BN35" s="2523"/>
      <c r="BO35" s="2524"/>
      <c r="BP35" s="2168"/>
      <c r="BQ35" s="1552"/>
      <c r="BU35" s="1553"/>
      <c r="BV35" s="1553"/>
    </row>
    <row r="36" spans="1:74" s="267" customFormat="1" x14ac:dyDescent="0.2">
      <c r="A36" s="1560"/>
      <c r="B36" s="1559"/>
      <c r="C36" s="2162"/>
      <c r="D36" s="2156"/>
      <c r="E36" s="2156"/>
      <c r="F36" s="2156"/>
      <c r="G36" s="2156"/>
      <c r="H36" s="2156"/>
      <c r="I36" s="2157"/>
      <c r="J36" s="2158"/>
      <c r="K36" s="2157"/>
      <c r="L36" s="2156"/>
      <c r="M36" s="2156"/>
      <c r="N36" s="2156"/>
      <c r="O36" s="2156"/>
      <c r="P36" s="2156"/>
      <c r="Q36" s="2167"/>
      <c r="T36" s="2162"/>
      <c r="U36" s="2156"/>
      <c r="V36" s="2156"/>
      <c r="W36" s="2156"/>
      <c r="X36" s="2156"/>
      <c r="Y36" s="2156"/>
      <c r="Z36" s="2157"/>
      <c r="AA36" s="2158"/>
      <c r="AB36" s="2157"/>
      <c r="AC36" s="2156"/>
      <c r="AD36" s="2156"/>
      <c r="AE36" s="2156"/>
      <c r="AF36" s="2156"/>
      <c r="AG36" s="2156"/>
      <c r="AH36" s="2167"/>
      <c r="AK36" s="2162"/>
      <c r="AL36" s="2156"/>
      <c r="AM36" s="2156"/>
      <c r="AN36" s="2156"/>
      <c r="AO36" s="2156"/>
      <c r="AP36" s="2156"/>
      <c r="AQ36" s="2157"/>
      <c r="AR36" s="2158"/>
      <c r="AS36" s="2157"/>
      <c r="AT36" s="2156"/>
      <c r="AU36" s="2156"/>
      <c r="AV36" s="2156"/>
      <c r="AW36" s="2156"/>
      <c r="AX36" s="2156"/>
      <c r="AY36" s="2167"/>
      <c r="BB36" s="2162"/>
      <c r="BC36" s="2156"/>
      <c r="BD36" s="2156"/>
      <c r="BE36" s="2156"/>
      <c r="BF36" s="2156"/>
      <c r="BG36" s="2156"/>
      <c r="BH36" s="2157"/>
      <c r="BI36" s="2158"/>
      <c r="BJ36" s="2157"/>
      <c r="BK36" s="2156"/>
      <c r="BL36" s="2156"/>
      <c r="BM36" s="2156"/>
      <c r="BN36" s="2156"/>
      <c r="BO36" s="2156"/>
      <c r="BP36" s="2167"/>
      <c r="BU36" s="1559"/>
      <c r="BV36" s="1559"/>
    </row>
    <row r="37" spans="1:74" s="436" customFormat="1" x14ac:dyDescent="0.2">
      <c r="A37" s="2136"/>
      <c r="B37" s="2139"/>
      <c r="C37" s="2162"/>
      <c r="D37" s="2156"/>
      <c r="E37" s="2156"/>
      <c r="F37" s="2156"/>
      <c r="G37" s="2156"/>
      <c r="H37" s="2156"/>
      <c r="I37" s="2157"/>
      <c r="J37" s="2158"/>
      <c r="K37" s="2157"/>
      <c r="L37" s="2156"/>
      <c r="M37" s="2156"/>
      <c r="N37" s="2156"/>
      <c r="O37" s="2156"/>
      <c r="P37" s="2156"/>
      <c r="Q37" s="2167"/>
      <c r="R37" s="2130"/>
      <c r="S37" s="2130"/>
      <c r="T37" s="2162"/>
      <c r="U37" s="2156"/>
      <c r="V37" s="2156"/>
      <c r="W37" s="2156"/>
      <c r="X37" s="2156"/>
      <c r="Y37" s="2156"/>
      <c r="Z37" s="2157"/>
      <c r="AA37" s="2158"/>
      <c r="AB37" s="2157"/>
      <c r="AC37" s="2156"/>
      <c r="AD37" s="2156"/>
      <c r="AE37" s="2156"/>
      <c r="AF37" s="2156"/>
      <c r="AG37" s="2156"/>
      <c r="AH37" s="2167"/>
      <c r="AI37" s="2130"/>
      <c r="AJ37" s="2130"/>
      <c r="AK37" s="2162"/>
      <c r="AL37" s="2156"/>
      <c r="AM37" s="2156"/>
      <c r="AN37" s="2156"/>
      <c r="AO37" s="2156"/>
      <c r="AP37" s="2156"/>
      <c r="AQ37" s="2157"/>
      <c r="AR37" s="2158"/>
      <c r="AS37" s="2157"/>
      <c r="AT37" s="2156"/>
      <c r="AU37" s="2156"/>
      <c r="AV37" s="2156"/>
      <c r="AW37" s="2156"/>
      <c r="AX37" s="2156"/>
      <c r="AY37" s="2167"/>
      <c r="AZ37" s="2130"/>
      <c r="BA37" s="2130"/>
      <c r="BB37" s="2162"/>
      <c r="BC37" s="2156"/>
      <c r="BD37" s="2156"/>
      <c r="BE37" s="2156"/>
      <c r="BF37" s="2156"/>
      <c r="BG37" s="2156"/>
      <c r="BH37" s="2157"/>
      <c r="BI37" s="2158"/>
      <c r="BJ37" s="2157"/>
      <c r="BK37" s="2156"/>
      <c r="BL37" s="2156"/>
      <c r="BM37" s="2156"/>
      <c r="BN37" s="2156"/>
      <c r="BO37" s="2156"/>
      <c r="BP37" s="2167"/>
      <c r="BQ37" s="2130"/>
    </row>
    <row r="38" spans="1:74" s="436" customFormat="1" ht="15.75" thickBot="1" x14ac:dyDescent="0.2">
      <c r="A38" s="705"/>
      <c r="B38" s="1506"/>
      <c r="C38" s="2162"/>
      <c r="D38" s="2156"/>
      <c r="E38" s="2156"/>
      <c r="F38" s="2156"/>
      <c r="G38" s="2156"/>
      <c r="H38" s="2156"/>
      <c r="I38" s="2157"/>
      <c r="J38" s="2158"/>
      <c r="K38" s="2157"/>
      <c r="L38" s="2156"/>
      <c r="M38" s="2156"/>
      <c r="N38" s="2156"/>
      <c r="O38" s="2156"/>
      <c r="P38" s="2156"/>
      <c r="Q38" s="2167"/>
      <c r="R38" s="705"/>
      <c r="S38" s="705"/>
      <c r="T38" s="2162"/>
      <c r="U38" s="2156"/>
      <c r="V38" s="2156"/>
      <c r="W38" s="2156"/>
      <c r="X38" s="2156"/>
      <c r="Y38" s="2156"/>
      <c r="Z38" s="2157"/>
      <c r="AA38" s="2158"/>
      <c r="AB38" s="2157"/>
      <c r="AC38" s="2156"/>
      <c r="AD38" s="2156"/>
      <c r="AE38" s="2156"/>
      <c r="AF38" s="2156"/>
      <c r="AG38" s="2156"/>
      <c r="AH38" s="2167"/>
      <c r="AI38" s="705"/>
      <c r="AJ38" s="705"/>
      <c r="AK38" s="2162"/>
      <c r="AL38" s="2156"/>
      <c r="AM38" s="2156"/>
      <c r="AN38" s="2156"/>
      <c r="AO38" s="2156"/>
      <c r="AP38" s="2156"/>
      <c r="AQ38" s="2157"/>
      <c r="AR38" s="2158"/>
      <c r="AS38" s="2157"/>
      <c r="AT38" s="2156"/>
      <c r="AU38" s="2156"/>
      <c r="AV38" s="2156"/>
      <c r="AW38" s="2156"/>
      <c r="AX38" s="2156"/>
      <c r="AY38" s="2167"/>
      <c r="AZ38" s="705"/>
      <c r="BA38" s="705"/>
      <c r="BB38" s="2162"/>
      <c r="BC38" s="2156"/>
      <c r="BD38" s="2156"/>
      <c r="BE38" s="2156"/>
      <c r="BF38" s="2156"/>
      <c r="BG38" s="2156"/>
      <c r="BH38" s="2157"/>
      <c r="BI38" s="2158"/>
      <c r="BJ38" s="2157"/>
      <c r="BK38" s="2156"/>
      <c r="BL38" s="2156"/>
      <c r="BM38" s="2156"/>
      <c r="BN38" s="2156"/>
      <c r="BO38" s="2156"/>
      <c r="BP38" s="2167"/>
      <c r="BQ38" s="705"/>
    </row>
    <row r="39" spans="1:74" s="120" customFormat="1" x14ac:dyDescent="0.2">
      <c r="A39" s="1552"/>
      <c r="B39" s="1553"/>
      <c r="C39" s="2162"/>
      <c r="D39" s="2519">
        <v>48</v>
      </c>
      <c r="E39" s="2520"/>
      <c r="F39" s="2520"/>
      <c r="G39" s="2520"/>
      <c r="H39" s="2521"/>
      <c r="I39" s="2158"/>
      <c r="J39" s="2158"/>
      <c r="K39" s="2158"/>
      <c r="L39" s="2519">
        <v>45</v>
      </c>
      <c r="M39" s="2520"/>
      <c r="N39" s="2520"/>
      <c r="O39" s="2520"/>
      <c r="P39" s="2521"/>
      <c r="Q39" s="2168"/>
      <c r="R39" s="1518"/>
      <c r="S39" s="1518"/>
      <c r="T39" s="2162"/>
      <c r="U39" s="2519">
        <v>44</v>
      </c>
      <c r="V39" s="2520"/>
      <c r="W39" s="2520"/>
      <c r="X39" s="2520"/>
      <c r="Y39" s="2521"/>
      <c r="Z39" s="2158"/>
      <c r="AA39" s="2158"/>
      <c r="AB39" s="2158"/>
      <c r="AC39" s="2519">
        <v>41</v>
      </c>
      <c r="AD39" s="2520"/>
      <c r="AE39" s="2520"/>
      <c r="AF39" s="2520"/>
      <c r="AG39" s="2521"/>
      <c r="AH39" s="2168"/>
      <c r="AI39" s="2153"/>
      <c r="AJ39" s="2153"/>
      <c r="AK39" s="2162"/>
      <c r="AL39" s="2519">
        <v>40</v>
      </c>
      <c r="AM39" s="2520"/>
      <c r="AN39" s="2520"/>
      <c r="AO39" s="2520"/>
      <c r="AP39" s="2521"/>
      <c r="AQ39" s="2158"/>
      <c r="AR39" s="2158"/>
      <c r="AS39" s="2158"/>
      <c r="AT39" s="2519">
        <v>37</v>
      </c>
      <c r="AU39" s="2520"/>
      <c r="AV39" s="2520"/>
      <c r="AW39" s="2520"/>
      <c r="AX39" s="2521"/>
      <c r="AY39" s="2168"/>
      <c r="AZ39" s="1518"/>
      <c r="BA39" s="1518"/>
      <c r="BB39" s="2162"/>
      <c r="BC39" s="2519">
        <v>36</v>
      </c>
      <c r="BD39" s="2520"/>
      <c r="BE39" s="2520"/>
      <c r="BF39" s="2520"/>
      <c r="BG39" s="2521"/>
      <c r="BH39" s="2158"/>
      <c r="BI39" s="2158"/>
      <c r="BJ39" s="2158"/>
      <c r="BK39" s="2519">
        <v>35</v>
      </c>
      <c r="BL39" s="2520"/>
      <c r="BM39" s="2520"/>
      <c r="BN39" s="2520"/>
      <c r="BO39" s="2521"/>
      <c r="BP39" s="2168"/>
      <c r="BQ39" s="1518"/>
    </row>
    <row r="40" spans="1:74" s="267" customFormat="1" ht="15.75" thickBot="1" x14ac:dyDescent="0.25">
      <c r="A40" s="1552"/>
      <c r="B40" s="1553"/>
      <c r="C40" s="2162"/>
      <c r="D40" s="2522"/>
      <c r="E40" s="2523"/>
      <c r="F40" s="2523"/>
      <c r="G40" s="2523"/>
      <c r="H40" s="2524"/>
      <c r="I40" s="2158"/>
      <c r="J40" s="2158"/>
      <c r="K40" s="2158"/>
      <c r="L40" s="2522"/>
      <c r="M40" s="2523"/>
      <c r="N40" s="2523"/>
      <c r="O40" s="2523"/>
      <c r="P40" s="2524"/>
      <c r="Q40" s="2168"/>
      <c r="R40" s="1518"/>
      <c r="S40" s="1518"/>
      <c r="T40" s="2162"/>
      <c r="U40" s="2522"/>
      <c r="V40" s="2523"/>
      <c r="W40" s="2523"/>
      <c r="X40" s="2523"/>
      <c r="Y40" s="2524"/>
      <c r="Z40" s="2158"/>
      <c r="AA40" s="2158"/>
      <c r="AB40" s="2158"/>
      <c r="AC40" s="2522"/>
      <c r="AD40" s="2523"/>
      <c r="AE40" s="2523"/>
      <c r="AF40" s="2523"/>
      <c r="AG40" s="2524"/>
      <c r="AH40" s="2168"/>
      <c r="AI40" s="2153"/>
      <c r="AJ40" s="2153"/>
      <c r="AK40" s="2162"/>
      <c r="AL40" s="2522"/>
      <c r="AM40" s="2523"/>
      <c r="AN40" s="2523"/>
      <c r="AO40" s="2523"/>
      <c r="AP40" s="2524"/>
      <c r="AQ40" s="2158"/>
      <c r="AR40" s="2158"/>
      <c r="AS40" s="2158"/>
      <c r="AT40" s="2522"/>
      <c r="AU40" s="2523"/>
      <c r="AV40" s="2523"/>
      <c r="AW40" s="2523"/>
      <c r="AX40" s="2524"/>
      <c r="AY40" s="2168"/>
      <c r="AZ40" s="1518"/>
      <c r="BA40" s="1518"/>
      <c r="BB40" s="2162"/>
      <c r="BC40" s="2522"/>
      <c r="BD40" s="2523"/>
      <c r="BE40" s="2523"/>
      <c r="BF40" s="2523"/>
      <c r="BG40" s="2524"/>
      <c r="BH40" s="2158"/>
      <c r="BI40" s="2158"/>
      <c r="BJ40" s="2158"/>
      <c r="BK40" s="2522"/>
      <c r="BL40" s="2523"/>
      <c r="BM40" s="2523"/>
      <c r="BN40" s="2523"/>
      <c r="BO40" s="2524"/>
      <c r="BP40" s="2168"/>
      <c r="BQ40" s="1518"/>
      <c r="BU40" s="1559"/>
      <c r="BV40" s="1559"/>
    </row>
    <row r="41" spans="1:74" x14ac:dyDescent="0.2">
      <c r="A41" s="2136"/>
      <c r="B41" s="2136"/>
      <c r="C41" s="2162"/>
      <c r="D41" s="2159"/>
      <c r="E41" s="2159"/>
      <c r="F41" s="2159"/>
      <c r="G41" s="2159"/>
      <c r="H41" s="2159"/>
      <c r="I41" s="2157"/>
      <c r="J41" s="2158"/>
      <c r="K41" s="2157"/>
      <c r="L41" s="2159"/>
      <c r="M41" s="2159"/>
      <c r="N41" s="2159"/>
      <c r="O41" s="2159"/>
      <c r="P41" s="2159"/>
      <c r="Q41" s="2167"/>
      <c r="R41" s="2136"/>
      <c r="S41" s="2136"/>
      <c r="T41" s="2162"/>
      <c r="U41" s="2159"/>
      <c r="V41" s="2159"/>
      <c r="W41" s="2159"/>
      <c r="X41" s="2159"/>
      <c r="Y41" s="2159"/>
      <c r="Z41" s="2157"/>
      <c r="AA41" s="2158"/>
      <c r="AB41" s="2157"/>
      <c r="AC41" s="2159"/>
      <c r="AD41" s="2159"/>
      <c r="AE41" s="2159"/>
      <c r="AF41" s="2159"/>
      <c r="AG41" s="2159"/>
      <c r="AH41" s="2167"/>
      <c r="AI41" s="2130"/>
      <c r="AJ41" s="2130"/>
      <c r="AK41" s="2162"/>
      <c r="AL41" s="2159"/>
      <c r="AM41" s="2159"/>
      <c r="AN41" s="2159"/>
      <c r="AO41" s="2159"/>
      <c r="AP41" s="2159"/>
      <c r="AQ41" s="2157"/>
      <c r="AR41" s="2158"/>
      <c r="AS41" s="2157"/>
      <c r="AT41" s="2159"/>
      <c r="AU41" s="2159"/>
      <c r="AV41" s="2159"/>
      <c r="AW41" s="2159"/>
      <c r="AX41" s="2159"/>
      <c r="AY41" s="2167"/>
      <c r="AZ41" s="2136"/>
      <c r="BA41" s="2136"/>
      <c r="BB41" s="2162"/>
      <c r="BC41" s="2159"/>
      <c r="BD41" s="2159"/>
      <c r="BE41" s="2159"/>
      <c r="BF41" s="2159"/>
      <c r="BG41" s="2159"/>
      <c r="BH41" s="2157"/>
      <c r="BI41" s="2158"/>
      <c r="BJ41" s="2157"/>
      <c r="BK41" s="2159"/>
      <c r="BL41" s="2159"/>
      <c r="BM41" s="2159"/>
      <c r="BN41" s="2159"/>
      <c r="BO41" s="2159"/>
      <c r="BP41" s="2167"/>
      <c r="BQ41" s="2136"/>
      <c r="BU41" s="1554"/>
      <c r="BV41" s="1554"/>
    </row>
    <row r="42" spans="1:74" ht="15.75" thickBot="1" x14ac:dyDescent="0.25">
      <c r="A42" s="2136"/>
      <c r="B42" s="2136"/>
      <c r="C42" s="2163"/>
      <c r="D42" s="2160"/>
      <c r="E42" s="2160"/>
      <c r="F42" s="2160"/>
      <c r="G42" s="2160"/>
      <c r="H42" s="2160"/>
      <c r="I42" s="2161"/>
      <c r="J42" s="2161"/>
      <c r="K42" s="2161"/>
      <c r="L42" s="2160"/>
      <c r="M42" s="2160"/>
      <c r="N42" s="2160"/>
      <c r="O42" s="2160"/>
      <c r="P42" s="2160"/>
      <c r="Q42" s="2169"/>
      <c r="R42" s="2136"/>
      <c r="S42" s="2136"/>
      <c r="T42" s="2163"/>
      <c r="U42" s="2160"/>
      <c r="V42" s="2160"/>
      <c r="W42" s="2160"/>
      <c r="X42" s="2160"/>
      <c r="Y42" s="2160"/>
      <c r="Z42" s="2161"/>
      <c r="AA42" s="2161"/>
      <c r="AB42" s="2161"/>
      <c r="AC42" s="2160"/>
      <c r="AD42" s="2160"/>
      <c r="AE42" s="2160"/>
      <c r="AF42" s="2160"/>
      <c r="AG42" s="2160"/>
      <c r="AH42" s="2169"/>
      <c r="AI42" s="2130"/>
      <c r="AJ42" s="2130"/>
      <c r="AK42" s="2163"/>
      <c r="AL42" s="2160"/>
      <c r="AM42" s="2160"/>
      <c r="AN42" s="2160"/>
      <c r="AO42" s="2160"/>
      <c r="AP42" s="2160"/>
      <c r="AQ42" s="2161"/>
      <c r="AR42" s="2161"/>
      <c r="AS42" s="2161"/>
      <c r="AT42" s="2160"/>
      <c r="AU42" s="2160"/>
      <c r="AV42" s="2160"/>
      <c r="AW42" s="2160"/>
      <c r="AX42" s="2160"/>
      <c r="AY42" s="2169"/>
      <c r="AZ42" s="2136"/>
      <c r="BA42" s="2136"/>
      <c r="BB42" s="2163"/>
      <c r="BC42" s="2160"/>
      <c r="BD42" s="2160"/>
      <c r="BE42" s="2160"/>
      <c r="BF42" s="2160"/>
      <c r="BG42" s="2160"/>
      <c r="BH42" s="2161"/>
      <c r="BI42" s="2161"/>
      <c r="BJ42" s="2161"/>
      <c r="BK42" s="2160"/>
      <c r="BL42" s="2160"/>
      <c r="BM42" s="2160"/>
      <c r="BN42" s="2160"/>
      <c r="BO42" s="2160"/>
      <c r="BP42" s="2169"/>
      <c r="BQ42" s="2136"/>
      <c r="BU42" s="1553"/>
      <c r="BV42" s="1553"/>
    </row>
    <row r="43" spans="1:74" s="267" customFormat="1" ht="15.75" thickBot="1" x14ac:dyDescent="0.25">
      <c r="A43" s="706"/>
      <c r="B43" s="677"/>
      <c r="C43" s="677"/>
      <c r="D43" s="677"/>
      <c r="E43" s="677"/>
      <c r="F43" s="677"/>
      <c r="G43" s="677"/>
      <c r="H43" s="677"/>
      <c r="I43" s="677"/>
      <c r="J43" s="677"/>
      <c r="K43" s="677"/>
      <c r="L43" s="677"/>
      <c r="M43" s="677"/>
      <c r="N43" s="677"/>
      <c r="O43" s="677"/>
      <c r="P43" s="677"/>
      <c r="Q43" s="677"/>
      <c r="R43" s="677"/>
      <c r="S43" s="677"/>
      <c r="T43" s="677"/>
      <c r="U43" s="677"/>
      <c r="V43" s="677"/>
      <c r="W43" s="677"/>
      <c r="X43" s="677"/>
      <c r="Y43" s="1518"/>
      <c r="Z43" s="1518"/>
      <c r="AA43" s="1518"/>
      <c r="AB43" s="1518"/>
      <c r="AC43" s="1518"/>
      <c r="AD43" s="1518"/>
      <c r="AE43" s="1518"/>
      <c r="AF43" s="1518"/>
      <c r="AG43" s="1518"/>
      <c r="AH43" s="1518"/>
      <c r="AI43" s="1518"/>
      <c r="AJ43" s="1518"/>
      <c r="AK43" s="1518"/>
      <c r="AL43" s="1518"/>
      <c r="AM43" s="1518"/>
      <c r="AN43" s="1518"/>
      <c r="AO43" s="1518"/>
      <c r="AP43" s="1518"/>
      <c r="AQ43" s="1518"/>
      <c r="AR43" s="1518"/>
      <c r="AS43" s="677"/>
      <c r="AT43" s="677"/>
      <c r="AU43" s="677"/>
      <c r="AV43" s="677"/>
      <c r="AW43" s="677"/>
      <c r="AX43" s="677"/>
      <c r="AY43" s="677"/>
      <c r="AZ43" s="677"/>
      <c r="BA43" s="677"/>
      <c r="BB43" s="677"/>
      <c r="BC43" s="677"/>
      <c r="BD43" s="1507"/>
      <c r="BE43" s="677"/>
      <c r="BF43" s="677"/>
      <c r="BG43" s="677"/>
      <c r="BH43" s="677"/>
      <c r="BI43" s="677"/>
      <c r="BJ43" s="677"/>
      <c r="BK43" s="677"/>
      <c r="BL43" s="677"/>
      <c r="BM43" s="677"/>
      <c r="BN43" s="677"/>
      <c r="BO43" s="677"/>
      <c r="BP43" s="677"/>
      <c r="BQ43" s="677"/>
    </row>
    <row r="44" spans="1:74" s="267" customFormat="1" ht="15.75" thickBot="1" x14ac:dyDescent="0.25">
      <c r="A44" s="706"/>
      <c r="B44" s="677"/>
      <c r="C44" s="677"/>
      <c r="D44" s="2530" t="str">
        <f>CheckIn!H5</f>
        <v>Open</v>
      </c>
      <c r="E44" s="2531"/>
      <c r="F44" s="2531"/>
      <c r="G44" s="2531"/>
      <c r="H44" s="2532"/>
      <c r="I44" s="677"/>
      <c r="J44" s="677"/>
      <c r="K44" s="677"/>
      <c r="L44" s="2533" t="s">
        <v>9734</v>
      </c>
      <c r="M44" s="2534"/>
      <c r="N44" s="2534"/>
      <c r="O44" s="2534"/>
      <c r="P44" s="2535"/>
      <c r="Q44" s="677"/>
      <c r="R44" s="677"/>
      <c r="S44" s="2536" t="str">
        <f>CheckIn!N5</f>
        <v>D1</v>
      </c>
      <c r="T44" s="2537"/>
      <c r="U44" s="2537"/>
      <c r="V44" s="2537"/>
      <c r="W44" s="2538"/>
      <c r="X44" s="677"/>
      <c r="Y44" s="677"/>
      <c r="Z44" s="2539" t="s">
        <v>11499</v>
      </c>
      <c r="AA44" s="2540"/>
      <c r="AB44" s="2540"/>
      <c r="AC44" s="2540"/>
      <c r="AD44" s="2540"/>
      <c r="AE44" s="2540"/>
      <c r="AF44" s="2540"/>
      <c r="AG44" s="2540"/>
      <c r="AH44" s="2540"/>
      <c r="AI44" s="2540"/>
      <c r="AJ44" s="2540"/>
      <c r="AK44" s="2540"/>
      <c r="AL44" s="2540"/>
      <c r="AM44" s="2540"/>
      <c r="AN44" s="2540"/>
      <c r="AO44" s="2540"/>
      <c r="AP44" s="2540"/>
      <c r="AQ44" s="2540"/>
      <c r="AR44" s="2540"/>
      <c r="AS44" s="2541"/>
      <c r="AT44" s="677"/>
      <c r="AU44" s="677"/>
      <c r="AV44" s="677"/>
      <c r="AW44" s="677"/>
      <c r="AX44" s="677"/>
      <c r="AY44" s="677"/>
      <c r="AZ44" s="677"/>
      <c r="BA44" s="677"/>
      <c r="BB44" s="677"/>
      <c r="BC44" s="677"/>
      <c r="BD44" s="1507"/>
      <c r="BE44" s="677"/>
      <c r="BF44" s="677"/>
      <c r="BG44" s="677"/>
      <c r="BH44" s="677"/>
      <c r="BI44" s="677"/>
      <c r="BJ44" s="677"/>
      <c r="BK44" s="677"/>
      <c r="BL44" s="677"/>
      <c r="BM44" s="677"/>
      <c r="BN44" s="677"/>
      <c r="BO44" s="677"/>
      <c r="BP44" s="677"/>
      <c r="BQ44" s="677"/>
      <c r="BU44" s="1559"/>
      <c r="BV44" s="1559"/>
    </row>
    <row r="45" spans="1:74" ht="15.75" thickBot="1" x14ac:dyDescent="0.25">
      <c r="D45" s="2548" t="str">
        <f>CheckIn!K5</f>
        <v>U20</v>
      </c>
      <c r="E45" s="2549"/>
      <c r="F45" s="2549"/>
      <c r="G45" s="2549"/>
      <c r="H45" s="2550"/>
      <c r="L45" s="2551" t="str">
        <f>CheckIn!J5</f>
        <v>Women</v>
      </c>
      <c r="M45" s="2552"/>
      <c r="N45" s="2552"/>
      <c r="O45" s="2552"/>
      <c r="P45" s="2553"/>
      <c r="S45" s="2554" t="s">
        <v>7774</v>
      </c>
      <c r="T45" s="2555"/>
      <c r="U45" s="2555"/>
      <c r="V45" s="2555"/>
      <c r="W45" s="2556"/>
      <c r="Y45" s="677"/>
      <c r="Z45" s="2542"/>
      <c r="AA45" s="2543"/>
      <c r="AB45" s="2543"/>
      <c r="AC45" s="2543"/>
      <c r="AD45" s="2543"/>
      <c r="AE45" s="2543"/>
      <c r="AF45" s="2543"/>
      <c r="AG45" s="2543"/>
      <c r="AH45" s="2543"/>
      <c r="AI45" s="2543"/>
      <c r="AJ45" s="2543"/>
      <c r="AK45" s="2543"/>
      <c r="AL45" s="2543"/>
      <c r="AM45" s="2543"/>
      <c r="AN45" s="2543"/>
      <c r="AO45" s="2543"/>
      <c r="AP45" s="2543"/>
      <c r="AQ45" s="2543"/>
      <c r="AR45" s="2543"/>
      <c r="AS45" s="2544"/>
      <c r="BL45" s="677"/>
      <c r="BM45" s="677"/>
      <c r="BN45" s="677"/>
      <c r="BO45" s="677"/>
      <c r="BP45" s="677"/>
      <c r="BQ45" s="677"/>
      <c r="BU45" s="1554"/>
      <c r="BV45" s="1554"/>
    </row>
    <row r="46" spans="1:74" ht="15.75" thickBot="1" x14ac:dyDescent="0.25">
      <c r="D46" s="2557" t="str">
        <f>CheckIn!L5</f>
        <v>U16</v>
      </c>
      <c r="E46" s="2558"/>
      <c r="F46" s="2558"/>
      <c r="G46" s="2558"/>
      <c r="H46" s="2559"/>
      <c r="L46" s="2560" t="str">
        <f>CheckIn!M5</f>
        <v>U12</v>
      </c>
      <c r="M46" s="2561"/>
      <c r="N46" s="2561"/>
      <c r="O46" s="2561"/>
      <c r="P46" s="2562"/>
      <c r="S46" s="2554" t="s">
        <v>9630</v>
      </c>
      <c r="T46" s="2555"/>
      <c r="U46" s="2555"/>
      <c r="V46" s="2555"/>
      <c r="W46" s="2556"/>
      <c r="Y46" s="677"/>
      <c r="Z46" s="2542"/>
      <c r="AA46" s="2543"/>
      <c r="AB46" s="2543"/>
      <c r="AC46" s="2543"/>
      <c r="AD46" s="2543"/>
      <c r="AE46" s="2543"/>
      <c r="AF46" s="2543"/>
      <c r="AG46" s="2543"/>
      <c r="AH46" s="2543"/>
      <c r="AI46" s="2543"/>
      <c r="AJ46" s="2543"/>
      <c r="AK46" s="2543"/>
      <c r="AL46" s="2543"/>
      <c r="AM46" s="2543"/>
      <c r="AN46" s="2543"/>
      <c r="AO46" s="2543"/>
      <c r="AP46" s="2543"/>
      <c r="AQ46" s="2543"/>
      <c r="AR46" s="2543"/>
      <c r="AS46" s="2544"/>
      <c r="BL46" s="677"/>
      <c r="BM46" s="677"/>
      <c r="BN46" s="677"/>
      <c r="BO46" s="677"/>
      <c r="BP46" s="677"/>
      <c r="BQ46" s="677">
        <v>3</v>
      </c>
      <c r="BU46" s="1553"/>
      <c r="BV46" s="1553"/>
    </row>
    <row r="47" spans="1:74" s="267" customFormat="1" ht="15.75" thickBot="1" x14ac:dyDescent="0.25">
      <c r="A47" s="706"/>
      <c r="B47" s="677"/>
      <c r="C47" s="677"/>
      <c r="I47" s="677"/>
      <c r="J47" s="677"/>
      <c r="K47" s="677"/>
      <c r="L47" s="2563" t="str">
        <f>CheckIn!U5</f>
        <v>___</v>
      </c>
      <c r="M47" s="2564"/>
      <c r="N47" s="2564"/>
      <c r="O47" s="2564"/>
      <c r="P47" s="2565"/>
      <c r="Q47" s="677"/>
      <c r="R47" s="677"/>
      <c r="X47" s="677"/>
      <c r="Y47" s="677"/>
      <c r="Z47" s="2545"/>
      <c r="AA47" s="2546"/>
      <c r="AB47" s="2546"/>
      <c r="AC47" s="2546"/>
      <c r="AD47" s="2546"/>
      <c r="AE47" s="2546"/>
      <c r="AF47" s="2546"/>
      <c r="AG47" s="2546"/>
      <c r="AH47" s="2546"/>
      <c r="AI47" s="2546"/>
      <c r="AJ47" s="2546"/>
      <c r="AK47" s="2546"/>
      <c r="AL47" s="2546"/>
      <c r="AM47" s="2546"/>
      <c r="AN47" s="2546"/>
      <c r="AO47" s="2546"/>
      <c r="AP47" s="2546"/>
      <c r="AQ47" s="2546"/>
      <c r="AR47" s="2546"/>
      <c r="AS47" s="2547"/>
      <c r="AT47" s="677"/>
      <c r="AU47" s="677"/>
      <c r="AV47" s="677"/>
      <c r="AW47" s="677"/>
      <c r="AX47" s="677"/>
      <c r="AY47" s="677"/>
      <c r="AZ47" s="1555"/>
      <c r="BA47" s="1555"/>
      <c r="BB47" s="677"/>
      <c r="BC47" s="677"/>
      <c r="BD47" s="677"/>
      <c r="BE47" s="677"/>
      <c r="BF47" s="677"/>
      <c r="BG47" s="677"/>
      <c r="BH47" s="677"/>
      <c r="BI47" s="677"/>
      <c r="BJ47" s="677"/>
      <c r="BK47" s="677"/>
      <c r="BL47" s="677"/>
      <c r="BM47" s="677"/>
      <c r="BN47" s="677"/>
      <c r="BO47" s="677"/>
      <c r="BP47" s="677"/>
      <c r="BQ47" s="1555"/>
      <c r="BU47" s="1559"/>
      <c r="BV47" s="1559"/>
    </row>
    <row r="48" spans="1:74" x14ac:dyDescent="0.2">
      <c r="D48" s="1518"/>
      <c r="E48" s="1518"/>
      <c r="F48" s="1518"/>
      <c r="G48" s="1518"/>
      <c r="H48" s="1518"/>
      <c r="T48" s="1518"/>
      <c r="U48" s="1518"/>
      <c r="V48" s="1518"/>
      <c r="W48" s="1518"/>
      <c r="X48" s="1518"/>
      <c r="Y48" s="1518"/>
      <c r="Z48" s="1518"/>
      <c r="AA48" s="1518"/>
      <c r="AB48" s="1518"/>
      <c r="AC48" s="1518"/>
      <c r="AD48" s="1518"/>
      <c r="AE48" s="1518"/>
      <c r="AF48" s="1518"/>
      <c r="AJ48" s="1518"/>
      <c r="AK48" s="1518"/>
      <c r="AL48" s="1518"/>
      <c r="AM48" s="1518"/>
      <c r="AN48" s="1518"/>
      <c r="AO48" s="1518"/>
      <c r="AP48" s="1518"/>
      <c r="AQ48" s="1518"/>
      <c r="AR48" s="1518"/>
      <c r="AS48" s="1518"/>
      <c r="AT48" s="1518"/>
      <c r="AU48" s="1518"/>
      <c r="AV48" s="1518"/>
      <c r="AZ48" s="1518"/>
      <c r="BA48" s="1518"/>
      <c r="BB48" s="1518"/>
      <c r="BL48" s="677"/>
      <c r="BM48" s="677"/>
      <c r="BN48" s="677"/>
      <c r="BO48" s="677"/>
    </row>
    <row r="49" spans="4:67" x14ac:dyDescent="0.2">
      <c r="D49" s="1518"/>
      <c r="E49" s="1518"/>
      <c r="F49" s="1518"/>
      <c r="G49" s="1518"/>
      <c r="H49" s="1518"/>
      <c r="BL49" s="677"/>
      <c r="BM49" s="677"/>
      <c r="BN49" s="677"/>
      <c r="BO49" s="677"/>
    </row>
    <row r="50" spans="4:67" x14ac:dyDescent="0.2">
      <c r="D50" s="267"/>
      <c r="E50" s="267"/>
      <c r="F50" s="267"/>
      <c r="G50" s="267"/>
      <c r="H50" s="267"/>
    </row>
    <row r="51" spans="4:67" x14ac:dyDescent="0.2">
      <c r="D51" s="1518"/>
      <c r="E51" s="1518"/>
      <c r="F51" s="1518"/>
      <c r="G51" s="1518"/>
      <c r="H51" s="1518"/>
    </row>
    <row r="52" spans="4:67" x14ac:dyDescent="0.2">
      <c r="D52" s="1518"/>
      <c r="E52" s="1518"/>
      <c r="F52" s="1518"/>
      <c r="G52" s="1518"/>
      <c r="H52" s="1518"/>
    </row>
  </sheetData>
  <sheetProtection formatColumns="0" formatRows="0"/>
  <dataConsolidate/>
  <customSheetViews>
    <customSheetView guid="{13F24B0A-7740-483A-BEF7-5257F8522605}" showGridLines="0" fitToPage="1" hiddenColumns="1" state="hidden">
      <pane ySplit="1" topLeftCell="A2" activePane="bottomLeft" state="frozen"/>
      <selection pane="bottomLeft" activeCell="BG52" sqref="BG52:BK53"/>
      <pageMargins left="0.11811023622047245" right="0.11811023622047245" top="0.74803149606299213" bottom="0.74803149606299213" header="0.31496062992125984" footer="0.31496062992125984"/>
      <printOptions horizontalCentered="1"/>
      <pageSetup paperSize="9" scale="59" orientation="landscape" r:id="rId1"/>
      <headerFooter>
        <oddHeader>&amp;L&amp;14
Sept. 1st, 2018&amp;C&amp;18FISTF World Cup 2018 - Gibraltar - Individuals Competition&amp;R&amp;14
&amp;A</oddHeader>
        <oddFooter>&amp;L&amp;8 Produced by GMFT 6.3.2&amp;R&amp;14&amp;P / &amp;N</oddFooter>
      </headerFooter>
    </customSheetView>
  </customSheetViews>
  <mergeCells count="59">
    <mergeCell ref="BK39:BO40"/>
    <mergeCell ref="D44:H44"/>
    <mergeCell ref="L44:P44"/>
    <mergeCell ref="S44:W44"/>
    <mergeCell ref="Z44:AS47"/>
    <mergeCell ref="D45:H45"/>
    <mergeCell ref="L45:P45"/>
    <mergeCell ref="S45:W45"/>
    <mergeCell ref="D46:H46"/>
    <mergeCell ref="L46:P46"/>
    <mergeCell ref="S46:W46"/>
    <mergeCell ref="L47:P47"/>
    <mergeCell ref="D39:H40"/>
    <mergeCell ref="L39:P40"/>
    <mergeCell ref="U39:Y40"/>
    <mergeCell ref="AC39:AG40"/>
    <mergeCell ref="AL39:AP40"/>
    <mergeCell ref="AT22:AX23"/>
    <mergeCell ref="BC22:BG23"/>
    <mergeCell ref="AT34:AX35"/>
    <mergeCell ref="BC34:BG35"/>
    <mergeCell ref="AT39:AX40"/>
    <mergeCell ref="BC39:BG40"/>
    <mergeCell ref="BK22:BO23"/>
    <mergeCell ref="D27:H28"/>
    <mergeCell ref="L27:P28"/>
    <mergeCell ref="U27:Y28"/>
    <mergeCell ref="AC27:AG28"/>
    <mergeCell ref="AL27:AP28"/>
    <mergeCell ref="AT27:AX28"/>
    <mergeCell ref="BC27:BG28"/>
    <mergeCell ref="BK27:BO28"/>
    <mergeCell ref="D22:H23"/>
    <mergeCell ref="L22:P23"/>
    <mergeCell ref="U22:Y23"/>
    <mergeCell ref="AC22:AG23"/>
    <mergeCell ref="AL22:AP23"/>
    <mergeCell ref="AT10:AX11"/>
    <mergeCell ref="BC10:BG11"/>
    <mergeCell ref="BK10:BO11"/>
    <mergeCell ref="D15:H16"/>
    <mergeCell ref="L15:P16"/>
    <mergeCell ref="U15:Y16"/>
    <mergeCell ref="AC15:AG16"/>
    <mergeCell ref="AL15:AP16"/>
    <mergeCell ref="AT15:AX16"/>
    <mergeCell ref="BC15:BG16"/>
    <mergeCell ref="BK15:BO16"/>
    <mergeCell ref="D10:H11"/>
    <mergeCell ref="L10:P11"/>
    <mergeCell ref="U10:Y11"/>
    <mergeCell ref="AC10:AG11"/>
    <mergeCell ref="AL10:AP11"/>
    <mergeCell ref="BK34:BO35"/>
    <mergeCell ref="D34:H35"/>
    <mergeCell ref="L34:P35"/>
    <mergeCell ref="U34:Y35"/>
    <mergeCell ref="AC34:AG35"/>
    <mergeCell ref="AL34:AP35"/>
  </mergeCells>
  <dataValidations count="1">
    <dataValidation type="list" allowBlank="1" showInputMessage="1" showErrorMessage="1" sqref="DA1" xr:uid="{00000000-0002-0000-2100-000000000000}">
      <formula1>N_TableDisplay</formula1>
    </dataValidation>
  </dataValidations>
  <printOptions horizontalCentered="1"/>
  <pageMargins left="0.11811023622047245" right="0.11811023622047245" top="0.74803149606299213" bottom="0.74803149606299213" header="0.31496062992125984" footer="0.31496062992125984"/>
  <pageSetup paperSize="9" scale="63" orientation="landscape" r:id="rId2"/>
  <headerFooter>
    <oddHeader>&amp;L&amp;14_x000D_&lt;Event Date(s)&gt;&amp;C&amp;18&lt;FEDERATION&gt; &lt;Event Name&gt;&lt;YYYY&gt; - &lt;Location&gt; - &lt;Individuals/Teams&gt; Competition&amp;R&amp;14_x000D_&amp;A</oddHeader>
    <oddFooter>&amp;L&amp;8 Produced by GMFT 14&amp;R&amp;14&amp;P / &amp;N</oddFooter>
  </headerFooter>
  <drawing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t_Scoresheet_Models"/>
  <dimension ref="A1:N132"/>
  <sheetViews>
    <sheetView showGridLines="0" zoomScaleSheetLayoutView="205" workbookViewId="0">
      <selection activeCell="R17" sqref="R17"/>
    </sheetView>
  </sheetViews>
  <sheetFormatPr baseColWidth="10" defaultColWidth="11.42578125" defaultRowHeight="14.25" x14ac:dyDescent="0.2"/>
  <cols>
    <col min="1" max="1" width="1.140625" style="1627" customWidth="1"/>
    <col min="2" max="2" width="7.42578125" style="1627" customWidth="1"/>
    <col min="3" max="3" width="9.42578125" style="1627" customWidth="1"/>
    <col min="4" max="4" width="3" style="1627" bestFit="1" customWidth="1"/>
    <col min="5" max="5" width="20.42578125" style="1627" customWidth="1"/>
    <col min="6" max="6" width="4.28515625" style="1627" customWidth="1"/>
    <col min="7" max="7" width="6.42578125" style="1627" customWidth="1"/>
    <col min="8" max="8" width="4.7109375" style="1627" customWidth="1"/>
    <col min="9" max="9" width="6.42578125" style="1627" customWidth="1"/>
    <col min="10" max="10" width="4.28515625" style="1627" customWidth="1"/>
    <col min="11" max="11" width="20.42578125" style="1627" customWidth="1"/>
    <col min="12" max="12" width="1.28515625" style="1627" customWidth="1"/>
    <col min="13" max="13" width="9.28515625" style="1627" customWidth="1"/>
    <col min="14" max="14" width="2.42578125" style="1627" customWidth="1"/>
    <col min="15" max="16384" width="11.42578125" style="1627"/>
  </cols>
  <sheetData>
    <row r="1" spans="1:14" ht="15" x14ac:dyDescent="0.2">
      <c r="C1" s="1628"/>
      <c r="D1" s="1629"/>
      <c r="E1" s="1628"/>
      <c r="F1" s="1628"/>
      <c r="G1" s="1628"/>
      <c r="H1" s="1628"/>
      <c r="I1" s="1628"/>
    </row>
    <row r="2" spans="1:14" ht="15" x14ac:dyDescent="0.2">
      <c r="C2" s="1628"/>
      <c r="D2" s="1629"/>
      <c r="E2" s="1628"/>
      <c r="F2" s="1628"/>
      <c r="G2" s="1628"/>
      <c r="H2" s="1628"/>
      <c r="I2" s="1628"/>
    </row>
    <row r="3" spans="1:14" ht="15" thickBot="1" x14ac:dyDescent="0.25">
      <c r="G3" s="1630"/>
    </row>
    <row r="4" spans="1:14" ht="20.25" x14ac:dyDescent="0.2">
      <c r="A4" s="1828" t="str">
        <f>N_Session</f>
        <v xml:space="preserve">Session N° </v>
      </c>
      <c r="B4" s="1829"/>
      <c r="C4" s="1830" t="str">
        <f>N_Heure</f>
        <v>Heure</v>
      </c>
      <c r="D4" s="2568"/>
      <c r="E4" s="2568"/>
      <c r="F4" s="2568"/>
      <c r="G4" s="2568"/>
      <c r="H4" s="2568"/>
      <c r="I4" s="2568"/>
      <c r="J4" s="2568"/>
      <c r="K4" s="2568"/>
      <c r="L4" s="2568"/>
      <c r="M4" s="1831" t="str">
        <f>N_Table</f>
        <v>Table</v>
      </c>
      <c r="N4" s="1832"/>
    </row>
    <row r="5" spans="1:14" ht="18.75" thickBot="1" x14ac:dyDescent="0.25">
      <c r="A5" s="1833">
        <v>13</v>
      </c>
      <c r="B5" s="1834"/>
      <c r="C5" s="1835"/>
      <c r="D5" s="2566"/>
      <c r="E5" s="2566"/>
      <c r="F5" s="2566"/>
      <c r="G5" s="2566"/>
      <c r="H5" s="2566"/>
      <c r="I5" s="2566"/>
      <c r="J5" s="2566"/>
      <c r="K5" s="2566"/>
      <c r="L5" s="2566"/>
      <c r="M5" s="1836"/>
      <c r="N5" s="1837"/>
    </row>
    <row r="6" spans="1:14" s="1631" customFormat="1" ht="15" x14ac:dyDescent="0.2">
      <c r="A6" s="1763"/>
      <c r="B6" s="1764"/>
      <c r="C6" s="1765"/>
      <c r="D6" s="1766"/>
      <c r="E6" s="1764" t="str">
        <f>N_Player1</f>
        <v>Joueur N° 1</v>
      </c>
      <c r="F6" s="1764"/>
      <c r="G6" s="1764"/>
      <c r="H6" s="1764"/>
      <c r="I6" s="1764"/>
      <c r="J6" s="1764"/>
      <c r="K6" s="1764" t="str">
        <f>N_Player2</f>
        <v>Joueur N° 2</v>
      </c>
      <c r="L6" s="1764"/>
      <c r="M6" s="1764" t="str">
        <f>N_MS</f>
        <v>MS</v>
      </c>
      <c r="N6" s="1767"/>
    </row>
    <row r="7" spans="1:14" ht="25.5" x14ac:dyDescent="0.2">
      <c r="A7" s="1768"/>
      <c r="B7" s="1616"/>
      <c r="C7" s="1616"/>
      <c r="D7" s="1632"/>
      <c r="E7" s="1633"/>
      <c r="F7" s="1634"/>
      <c r="G7" s="1635"/>
      <c r="H7" s="1636" t="s">
        <v>769</v>
      </c>
      <c r="I7" s="1635"/>
      <c r="J7" s="1634"/>
      <c r="K7" s="1633"/>
      <c r="L7" s="1634"/>
      <c r="M7" s="1714"/>
      <c r="N7" s="1769"/>
    </row>
    <row r="8" spans="1:14" s="1642" customFormat="1" ht="6.75" x14ac:dyDescent="0.15">
      <c r="A8" s="1770"/>
      <c r="B8" s="1637"/>
      <c r="C8" s="1638"/>
      <c r="D8" s="1639"/>
      <c r="E8" s="1640"/>
      <c r="F8" s="1639"/>
      <c r="G8" s="1641"/>
      <c r="H8" s="1641"/>
      <c r="I8" s="1641"/>
      <c r="J8" s="1639"/>
      <c r="K8" s="1640"/>
      <c r="L8" s="1639"/>
      <c r="M8" s="1641"/>
      <c r="N8" s="1771"/>
    </row>
    <row r="9" spans="1:14" ht="20.25" x14ac:dyDescent="0.2">
      <c r="A9" s="1772"/>
      <c r="B9" s="1643"/>
      <c r="C9" s="1643"/>
      <c r="D9" s="1644"/>
      <c r="E9" s="1645"/>
      <c r="F9" s="1645" t="str">
        <f>N_Shout_Out&amp;"   "</f>
        <v xml:space="preserve">Tirs au but   </v>
      </c>
      <c r="G9" s="1635"/>
      <c r="H9" s="1636" t="s">
        <v>769</v>
      </c>
      <c r="I9" s="1635"/>
      <c r="J9" s="1643"/>
      <c r="K9" s="1643"/>
      <c r="L9" s="1643"/>
      <c r="M9" s="1646" t="str">
        <f>N_FillWithX</f>
        <v>Remplir avec un "X"</v>
      </c>
      <c r="N9" s="1773"/>
    </row>
    <row r="10" spans="1:14" s="1642" customFormat="1" ht="6.75" x14ac:dyDescent="0.15">
      <c r="A10" s="1770"/>
      <c r="B10" s="1637"/>
      <c r="C10" s="1638"/>
      <c r="D10" s="1639"/>
      <c r="E10" s="1640"/>
      <c r="F10" s="1639"/>
      <c r="G10" s="1641"/>
      <c r="H10" s="1641"/>
      <c r="I10" s="1641"/>
      <c r="J10" s="1639"/>
      <c r="K10" s="1640"/>
      <c r="L10" s="1639"/>
      <c r="M10" s="1641"/>
      <c r="N10" s="1771"/>
    </row>
    <row r="11" spans="1:14" ht="23.25" x14ac:dyDescent="0.2">
      <c r="A11" s="1768"/>
      <c r="B11" s="1647"/>
      <c r="C11" s="1616"/>
      <c r="D11" s="1634"/>
      <c r="E11" s="1636"/>
      <c r="F11" s="1636"/>
      <c r="G11" s="2569"/>
      <c r="H11" s="2569"/>
      <c r="I11" s="2569"/>
      <c r="J11" s="1636"/>
      <c r="K11" s="1636"/>
      <c r="L11" s="1634"/>
      <c r="M11" s="1634"/>
      <c r="N11" s="1769"/>
    </row>
    <row r="12" spans="1:14" s="1651" customFormat="1" ht="11.25" x14ac:dyDescent="0.2">
      <c r="A12" s="1768"/>
      <c r="B12" s="1649"/>
      <c r="C12" s="1649"/>
      <c r="D12" s="1634"/>
      <c r="E12" s="1634"/>
      <c r="F12" s="1650"/>
      <c r="G12" s="2569"/>
      <c r="H12" s="2569"/>
      <c r="I12" s="2569"/>
      <c r="J12" s="1650"/>
      <c r="K12" s="1634"/>
      <c r="L12" s="1636"/>
      <c r="M12" s="1636"/>
      <c r="N12" s="1774"/>
    </row>
    <row r="13" spans="1:14" s="1652" customFormat="1" ht="15" thickBot="1" x14ac:dyDescent="0.25">
      <c r="A13" s="1775"/>
      <c r="B13" s="1776"/>
      <c r="C13" s="1777" t="str">
        <f>N_Visa</f>
        <v>Signature</v>
      </c>
      <c r="D13" s="1777"/>
      <c r="E13" s="1778"/>
      <c r="F13" s="1779"/>
      <c r="G13" s="1779"/>
      <c r="H13" s="1779" t="str">
        <f>N_Referee</f>
        <v>Referee</v>
      </c>
      <c r="I13" s="1780"/>
      <c r="J13" s="1781"/>
      <c r="K13" s="1777" t="str">
        <f>N_Visa</f>
        <v>Signature</v>
      </c>
      <c r="L13" s="1777"/>
      <c r="M13" s="1777"/>
      <c r="N13" s="1782"/>
    </row>
    <row r="14" spans="1:14" s="1653" customFormat="1" ht="11.25" x14ac:dyDescent="0.15">
      <c r="A14" s="1561"/>
      <c r="B14" s="1761" t="str">
        <f>N_GMFT &amp; " v" &amp; Version_Outil</f>
        <v>GMFT - Gestion des Matches de Football de Table v14.3.1</v>
      </c>
      <c r="C14" s="1673"/>
      <c r="D14" s="1673"/>
      <c r="E14" s="1675"/>
      <c r="F14" s="1673"/>
      <c r="G14" s="1673"/>
      <c r="H14" s="1762"/>
      <c r="I14" s="1673"/>
      <c r="J14" s="1673"/>
      <c r="K14" s="1675"/>
      <c r="L14" s="1673"/>
      <c r="N14" s="1673"/>
    </row>
    <row r="15" spans="1:14" x14ac:dyDescent="0.2">
      <c r="B15" s="1654"/>
      <c r="C15" s="1654"/>
      <c r="D15" s="1654"/>
      <c r="E15" s="1654"/>
      <c r="F15" s="1654"/>
      <c r="G15" s="1654"/>
      <c r="H15" s="1655"/>
      <c r="I15" s="1654"/>
      <c r="J15" s="1654"/>
      <c r="K15" s="1654"/>
      <c r="L15" s="1654"/>
      <c r="M15" s="1654"/>
      <c r="N15" s="1654"/>
    </row>
    <row r="16" spans="1:14" x14ac:dyDescent="0.2">
      <c r="A16" s="1656"/>
      <c r="B16" s="1656"/>
      <c r="C16" s="1656"/>
      <c r="D16" s="1656"/>
      <c r="E16" s="1656"/>
      <c r="F16" s="1656"/>
      <c r="G16" s="1657"/>
      <c r="H16" s="1656"/>
      <c r="I16" s="1656"/>
      <c r="J16" s="1656"/>
      <c r="K16" s="1656"/>
      <c r="L16" s="1656"/>
      <c r="M16" s="1656"/>
      <c r="N16" s="1656"/>
    </row>
    <row r="17" spans="1:14" s="1661" customFormat="1" ht="45" thickBot="1" x14ac:dyDescent="0.6">
      <c r="A17" s="1658"/>
      <c r="B17" s="1659"/>
      <c r="C17" s="1659"/>
      <c r="D17" s="1659"/>
      <c r="E17" s="1659"/>
      <c r="F17" s="1659"/>
      <c r="G17" s="1659"/>
      <c r="H17" s="1660"/>
      <c r="I17" s="1659"/>
      <c r="J17" s="1659"/>
      <c r="K17" s="1659"/>
      <c r="L17" s="1659"/>
      <c r="M17" s="1659"/>
      <c r="N17" s="1659"/>
    </row>
    <row r="18" spans="1:14" ht="22.5" customHeight="1" x14ac:dyDescent="0.2">
      <c r="A18" s="1828" t="str">
        <f>N_Session</f>
        <v xml:space="preserve">Session N° </v>
      </c>
      <c r="B18" s="1829"/>
      <c r="C18" s="1830" t="str">
        <f>N_Heure</f>
        <v>Heure</v>
      </c>
      <c r="D18" s="2568"/>
      <c r="E18" s="2568"/>
      <c r="F18" s="2568"/>
      <c r="G18" s="2568"/>
      <c r="H18" s="2568"/>
      <c r="I18" s="2568"/>
      <c r="J18" s="2568"/>
      <c r="K18" s="2568"/>
      <c r="L18" s="2568"/>
      <c r="M18" s="1831" t="str">
        <f>N_Tables</f>
        <v>Tables</v>
      </c>
      <c r="N18" s="1832"/>
    </row>
    <row r="19" spans="1:14" ht="18.75" thickBot="1" x14ac:dyDescent="0.25">
      <c r="A19" s="1833">
        <v>1</v>
      </c>
      <c r="B19" s="1834"/>
      <c r="C19" s="1835"/>
      <c r="D19" s="2566"/>
      <c r="E19" s="2566"/>
      <c r="F19" s="2566"/>
      <c r="G19" s="2566"/>
      <c r="H19" s="2566"/>
      <c r="I19" s="2566"/>
      <c r="J19" s="2566"/>
      <c r="K19" s="2566"/>
      <c r="L19" s="2566"/>
      <c r="M19" s="1836"/>
      <c r="N19" s="1837"/>
    </row>
    <row r="20" spans="1:14" s="1664" customFormat="1" ht="18" customHeight="1" x14ac:dyDescent="0.2">
      <c r="A20" s="1783"/>
      <c r="B20" s="1784"/>
      <c r="C20" s="1784"/>
      <c r="D20" s="1785"/>
      <c r="E20" s="1786" t="str">
        <f>N_Team1</f>
        <v>Equipe N° 1</v>
      </c>
      <c r="F20" s="1786"/>
      <c r="G20" s="1786"/>
      <c r="H20" s="1786"/>
      <c r="I20" s="1786"/>
      <c r="J20" s="1786"/>
      <c r="K20" s="1786" t="str">
        <f>N_Team2</f>
        <v>Equipe N° 2</v>
      </c>
      <c r="L20" s="1786"/>
      <c r="M20" s="1786" t="str">
        <f>N_MS</f>
        <v>MS</v>
      </c>
      <c r="N20" s="1787"/>
    </row>
    <row r="21" spans="1:14" ht="34.5" x14ac:dyDescent="0.45">
      <c r="A21" s="1788"/>
      <c r="D21" s="1632"/>
      <c r="E21" s="1665"/>
      <c r="F21" s="1634"/>
      <c r="G21" s="1635"/>
      <c r="H21" s="1636" t="s">
        <v>769</v>
      </c>
      <c r="I21" s="1635"/>
      <c r="J21" s="1634"/>
      <c r="K21" s="1666"/>
      <c r="L21" s="1634"/>
      <c r="M21" s="1635"/>
      <c r="N21" s="1769"/>
    </row>
    <row r="22" spans="1:14" s="1653" customFormat="1" ht="8.25" x14ac:dyDescent="0.15">
      <c r="A22" s="1789"/>
      <c r="B22" s="1667"/>
      <c r="C22" s="1667"/>
      <c r="D22" s="1667"/>
      <c r="E22" s="1667"/>
      <c r="F22" s="1667"/>
      <c r="G22" s="1667"/>
      <c r="H22" s="1668"/>
      <c r="I22" s="1667"/>
      <c r="J22" s="1667"/>
      <c r="K22" s="1667"/>
      <c r="L22" s="1667"/>
      <c r="M22" s="1667"/>
      <c r="N22" s="1790"/>
    </row>
    <row r="23" spans="1:14" ht="23.25" x14ac:dyDescent="0.2">
      <c r="A23" s="1791"/>
      <c r="B23" s="1669"/>
      <c r="C23" s="1669"/>
      <c r="D23" s="1647"/>
      <c r="E23" s="1670"/>
      <c r="F23" s="1645" t="str">
        <f>N_Buts&amp;"   "</f>
        <v xml:space="preserve">Buts   </v>
      </c>
      <c r="G23" s="1635"/>
      <c r="H23" s="1636" t="s">
        <v>769</v>
      </c>
      <c r="I23" s="1636"/>
      <c r="J23" s="1634"/>
      <c r="K23" s="1671"/>
      <c r="L23" s="1634"/>
      <c r="M23" s="1646" t="str">
        <f>N_FillWithX</f>
        <v>Remplir avec un "X"</v>
      </c>
      <c r="N23" s="1769"/>
    </row>
    <row r="24" spans="1:14" s="1653" customFormat="1" ht="8.25" x14ac:dyDescent="0.15">
      <c r="A24" s="1789"/>
      <c r="B24" s="1672"/>
      <c r="C24" s="1672"/>
      <c r="D24" s="1673"/>
      <c r="E24" s="1674"/>
      <c r="F24" s="1673"/>
      <c r="G24" s="1675"/>
      <c r="H24" s="1675"/>
      <c r="I24" s="1675"/>
      <c r="J24" s="1673"/>
      <c r="K24" s="1676"/>
      <c r="L24" s="1673"/>
      <c r="M24" s="1675"/>
      <c r="N24" s="1792"/>
    </row>
    <row r="25" spans="1:14" ht="20.25" x14ac:dyDescent="0.3">
      <c r="A25" s="1789"/>
      <c r="C25" s="1669"/>
      <c r="D25" s="1677"/>
      <c r="E25" s="1670"/>
      <c r="F25" s="1645" t="str">
        <f>N_Shout_Out&amp;"   "</f>
        <v xml:space="preserve">Tirs au but   </v>
      </c>
      <c r="G25" s="1635"/>
      <c r="H25" s="1636" t="s">
        <v>769</v>
      </c>
      <c r="I25" s="1635"/>
      <c r="J25" s="1667"/>
      <c r="K25" s="1667"/>
      <c r="L25" s="1667"/>
      <c r="M25" s="1667"/>
      <c r="N25" s="1790"/>
    </row>
    <row r="26" spans="1:14" s="1653" customFormat="1" ht="8.25" x14ac:dyDescent="0.15">
      <c r="A26" s="1789"/>
      <c r="C26" s="1678"/>
      <c r="D26" s="1667"/>
      <c r="E26" s="1675"/>
      <c r="F26" s="1673"/>
      <c r="G26" s="1673"/>
      <c r="H26" s="1675"/>
      <c r="I26" s="1673"/>
      <c r="J26" s="1673"/>
      <c r="K26" s="1675"/>
      <c r="L26" s="1673"/>
      <c r="M26" s="1675"/>
      <c r="N26" s="1793"/>
    </row>
    <row r="27" spans="1:14" ht="25.5" x14ac:dyDescent="0.35">
      <c r="A27" s="1794"/>
      <c r="B27" s="1679"/>
      <c r="C27" s="1679"/>
      <c r="D27" s="1680"/>
      <c r="E27" s="1663"/>
      <c r="F27" s="2570"/>
      <c r="G27" s="2570"/>
      <c r="H27" s="2570"/>
      <c r="I27" s="2570"/>
      <c r="J27" s="2570"/>
      <c r="K27" s="1663"/>
      <c r="L27" s="1662"/>
      <c r="M27" s="1663"/>
      <c r="N27" s="1774"/>
    </row>
    <row r="28" spans="1:14" ht="23.25" x14ac:dyDescent="0.35">
      <c r="A28" s="1795"/>
      <c r="B28" s="1679"/>
      <c r="C28" s="1679"/>
      <c r="D28" s="1680"/>
      <c r="E28" s="1663"/>
      <c r="F28" s="1662"/>
      <c r="G28" s="1662"/>
      <c r="H28" s="1681" t="str">
        <f>N_Referee</f>
        <v>Referee</v>
      </c>
      <c r="I28" s="1662"/>
      <c r="J28" s="1662"/>
      <c r="K28" s="1663"/>
      <c r="L28" s="1662"/>
      <c r="M28" s="1663"/>
      <c r="N28" s="1774"/>
    </row>
    <row r="29" spans="1:14" s="1653" customFormat="1" ht="15" x14ac:dyDescent="0.2">
      <c r="A29" s="1789"/>
      <c r="B29" s="1669" t="str">
        <f>N_Referees</f>
        <v>Arbitres</v>
      </c>
      <c r="C29" s="1672"/>
      <c r="D29" s="1667"/>
      <c r="E29" s="1663" t="str">
        <f>N_Joueurs</f>
        <v>Joueurs</v>
      </c>
      <c r="F29" s="1662"/>
      <c r="G29" s="1662"/>
      <c r="H29" s="1663"/>
      <c r="I29" s="1662"/>
      <c r="J29" s="1662"/>
      <c r="K29" s="1663" t="str">
        <f>N_Joueurs</f>
        <v>Joueurs</v>
      </c>
      <c r="L29" s="1662"/>
      <c r="M29" s="1663" t="str">
        <f>N_MS</f>
        <v>MS</v>
      </c>
      <c r="N29" s="1790"/>
    </row>
    <row r="30" spans="1:14" ht="25.5" x14ac:dyDescent="0.35">
      <c r="A30" s="1794"/>
      <c r="B30" s="1682"/>
      <c r="C30" s="1682"/>
      <c r="D30" s="1683">
        <v>1</v>
      </c>
      <c r="E30" s="1684"/>
      <c r="F30" s="1634"/>
      <c r="G30" s="1636"/>
      <c r="H30" s="1636" t="s">
        <v>769</v>
      </c>
      <c r="I30" s="1636"/>
      <c r="J30" s="1634"/>
      <c r="K30" s="1684"/>
      <c r="L30" s="1634"/>
      <c r="M30" s="1636"/>
      <c r="N30" s="1769"/>
    </row>
    <row r="31" spans="1:14" s="1651" customFormat="1" ht="12.75" x14ac:dyDescent="0.2">
      <c r="A31" s="1796"/>
      <c r="B31" s="1682"/>
      <c r="C31" s="1682"/>
      <c r="D31" s="1685"/>
      <c r="E31" s="1684"/>
      <c r="F31" s="1634"/>
      <c r="G31" s="1636"/>
      <c r="H31" s="1636"/>
      <c r="I31" s="1636"/>
      <c r="J31" s="1634"/>
      <c r="K31" s="1684"/>
      <c r="L31" s="1634"/>
      <c r="M31" s="1636"/>
      <c r="N31" s="1769"/>
    </row>
    <row r="32" spans="1:14" ht="25.5" x14ac:dyDescent="0.35">
      <c r="A32" s="1794"/>
      <c r="B32" s="1682"/>
      <c r="C32" s="1682"/>
      <c r="D32" s="1683">
        <v>2</v>
      </c>
      <c r="E32" s="1684"/>
      <c r="F32" s="1634"/>
      <c r="G32" s="1636"/>
      <c r="H32" s="1636" t="s">
        <v>769</v>
      </c>
      <c r="I32" s="1636"/>
      <c r="J32" s="1634"/>
      <c r="K32" s="1684"/>
      <c r="L32" s="1634"/>
      <c r="M32" s="1636"/>
      <c r="N32" s="1769"/>
    </row>
    <row r="33" spans="1:14" s="1651" customFormat="1" ht="12.75" x14ac:dyDescent="0.2">
      <c r="A33" s="1796"/>
      <c r="B33" s="1682"/>
      <c r="C33" s="1682"/>
      <c r="D33" s="1685"/>
      <c r="E33" s="1684"/>
      <c r="F33" s="1634"/>
      <c r="G33" s="1636"/>
      <c r="H33" s="1636"/>
      <c r="I33" s="1636"/>
      <c r="J33" s="1634"/>
      <c r="K33" s="1684"/>
      <c r="L33" s="1634"/>
      <c r="M33" s="1636"/>
      <c r="N33" s="1769"/>
    </row>
    <row r="34" spans="1:14" ht="25.5" x14ac:dyDescent="0.35">
      <c r="A34" s="1794"/>
      <c r="B34" s="1686"/>
      <c r="C34" s="1686"/>
      <c r="D34" s="1683">
        <v>3</v>
      </c>
      <c r="E34" s="1684"/>
      <c r="F34" s="1634"/>
      <c r="G34" s="1636"/>
      <c r="H34" s="1636" t="s">
        <v>769</v>
      </c>
      <c r="I34" s="1636"/>
      <c r="J34" s="1634"/>
      <c r="K34" s="1684"/>
      <c r="L34" s="1634"/>
      <c r="M34" s="1636"/>
      <c r="N34" s="1769"/>
    </row>
    <row r="35" spans="1:14" s="1651" customFormat="1" ht="12.75" x14ac:dyDescent="0.2">
      <c r="A35" s="1796"/>
      <c r="B35" s="1682"/>
      <c r="C35" s="1682"/>
      <c r="D35" s="1685"/>
      <c r="E35" s="1684"/>
      <c r="F35" s="1634"/>
      <c r="G35" s="1636"/>
      <c r="H35" s="1636"/>
      <c r="I35" s="1636"/>
      <c r="J35" s="1634"/>
      <c r="K35" s="1684"/>
      <c r="L35" s="1634"/>
      <c r="M35" s="1636"/>
      <c r="N35" s="1769"/>
    </row>
    <row r="36" spans="1:14" ht="25.5" x14ac:dyDescent="0.35">
      <c r="A36" s="1794"/>
      <c r="B36" s="1686"/>
      <c r="C36" s="1686"/>
      <c r="D36" s="1683">
        <v>4</v>
      </c>
      <c r="E36" s="1684"/>
      <c r="F36" s="1634"/>
      <c r="G36" s="1636"/>
      <c r="H36" s="1636" t="s">
        <v>769</v>
      </c>
      <c r="I36" s="1636"/>
      <c r="J36" s="1634"/>
      <c r="K36" s="1684"/>
      <c r="L36" s="1634"/>
      <c r="M36" s="1636"/>
      <c r="N36" s="1769"/>
    </row>
    <row r="37" spans="1:14" x14ac:dyDescent="0.2">
      <c r="A37" s="1789"/>
      <c r="B37" s="1667"/>
      <c r="C37" s="1667"/>
      <c r="D37" s="1667"/>
      <c r="E37" s="1667"/>
      <c r="F37" s="1667"/>
      <c r="G37" s="1667"/>
      <c r="H37" s="1668"/>
      <c r="I37" s="1667"/>
      <c r="J37" s="1667"/>
      <c r="K37" s="1667"/>
      <c r="L37" s="1667"/>
      <c r="M37" s="1646" t="str">
        <f>N_FillWithX</f>
        <v>Remplir avec un "X"</v>
      </c>
      <c r="N37" s="1790"/>
    </row>
    <row r="38" spans="1:14" ht="23.25" x14ac:dyDescent="0.35">
      <c r="A38" s="1797"/>
      <c r="B38" s="1634"/>
      <c r="C38" s="1670" t="str">
        <f>N_Différentiel</f>
        <v>Différentiel</v>
      </c>
      <c r="D38" s="1687"/>
      <c r="E38" s="1684"/>
      <c r="F38" s="1686"/>
      <c r="G38" s="1636"/>
      <c r="H38" s="1636" t="s">
        <v>769</v>
      </c>
      <c r="I38" s="1636"/>
      <c r="J38" s="1687"/>
      <c r="K38" s="1684"/>
      <c r="L38" s="1686"/>
      <c r="M38" s="1643"/>
      <c r="N38" s="1773"/>
    </row>
    <row r="39" spans="1:14" ht="15" thickBot="1" x14ac:dyDescent="0.25">
      <c r="A39" s="1789"/>
      <c r="B39" s="1667"/>
      <c r="C39" s="1667"/>
      <c r="D39" s="1667"/>
      <c r="E39" s="1667"/>
      <c r="F39" s="1667"/>
      <c r="G39" s="1667"/>
      <c r="H39" s="1818"/>
      <c r="I39" s="1667"/>
      <c r="J39" s="1667"/>
      <c r="K39" s="1667"/>
      <c r="L39" s="1667"/>
      <c r="M39" s="1667"/>
      <c r="N39" s="1790"/>
    </row>
    <row r="40" spans="1:14" s="1651" customFormat="1" ht="11.25" x14ac:dyDescent="0.2">
      <c r="A40" s="1819"/>
      <c r="B40" s="1820"/>
      <c r="C40" s="1820"/>
      <c r="D40" s="1820"/>
      <c r="E40" s="1820"/>
      <c r="F40" s="1820"/>
      <c r="G40" s="1820"/>
      <c r="H40" s="1821"/>
      <c r="I40" s="1820"/>
      <c r="J40" s="1820"/>
      <c r="K40" s="1820"/>
      <c r="L40" s="1820"/>
      <c r="M40" s="1820"/>
      <c r="N40" s="1822"/>
    </row>
    <row r="41" spans="1:14" ht="23.25" x14ac:dyDescent="0.35">
      <c r="A41" s="1797"/>
      <c r="B41" s="1634"/>
      <c r="C41" s="1662" t="str">
        <f>N_Substitute</f>
        <v>Remplaçant</v>
      </c>
      <c r="D41" s="1687"/>
      <c r="E41" s="1684"/>
      <c r="F41" s="1686"/>
      <c r="G41" s="1636"/>
      <c r="H41" s="1636" t="s">
        <v>7670</v>
      </c>
      <c r="I41" s="1636"/>
      <c r="J41" s="1687"/>
      <c r="K41" s="1648"/>
      <c r="L41" s="1686"/>
      <c r="M41" s="1688"/>
      <c r="N41" s="1798"/>
    </row>
    <row r="42" spans="1:14" s="1653" customFormat="1" ht="8.25" x14ac:dyDescent="0.15">
      <c r="A42" s="1789"/>
      <c r="B42" s="1667"/>
      <c r="C42" s="1667"/>
      <c r="D42" s="1667"/>
      <c r="E42" s="1667"/>
      <c r="F42" s="1667"/>
      <c r="G42" s="1667"/>
      <c r="H42" s="1668"/>
      <c r="I42" s="1667"/>
      <c r="J42" s="1667"/>
      <c r="K42" s="1667"/>
      <c r="L42" s="1667"/>
      <c r="M42" s="1667"/>
      <c r="N42" s="1790"/>
    </row>
    <row r="43" spans="1:14" ht="23.25" x14ac:dyDescent="0.35">
      <c r="A43" s="1797"/>
      <c r="B43" s="1634"/>
      <c r="C43" s="1662" t="str">
        <f>N_Substitute</f>
        <v>Remplaçant</v>
      </c>
      <c r="D43" s="1687"/>
      <c r="E43" s="1684"/>
      <c r="F43" s="1686"/>
      <c r="G43" s="1636"/>
      <c r="H43" s="1636" t="s">
        <v>7670</v>
      </c>
      <c r="I43" s="1636"/>
      <c r="J43" s="1687"/>
      <c r="K43" s="1648"/>
      <c r="L43" s="1686"/>
      <c r="M43" s="1688"/>
      <c r="N43" s="1798"/>
    </row>
    <row r="44" spans="1:14" ht="33.75" thickBot="1" x14ac:dyDescent="0.5">
      <c r="A44" s="1799"/>
      <c r="B44" s="1689"/>
      <c r="C44" s="1689"/>
      <c r="D44" s="1689"/>
      <c r="E44" s="1689"/>
      <c r="F44" s="1689"/>
      <c r="G44" s="1689"/>
      <c r="H44" s="1690" t="str">
        <f>"(**) " &amp; N_SubstituteCodeRule</f>
        <v>(**) Utiliser les codes S1 à S4 en fonction du N° de match concerné par le remplacement</v>
      </c>
      <c r="I44" s="1689"/>
      <c r="J44" s="1689"/>
      <c r="K44" s="1689"/>
      <c r="L44" s="1689"/>
      <c r="M44" s="1689"/>
      <c r="N44" s="1800"/>
    </row>
    <row r="45" spans="1:14" s="1693" customFormat="1" ht="12.75" thickTop="1" x14ac:dyDescent="0.2">
      <c r="A45" s="1801"/>
      <c r="B45" s="1691"/>
      <c r="C45" s="1691"/>
      <c r="D45" s="1691"/>
      <c r="E45" s="1691"/>
      <c r="F45" s="1691"/>
      <c r="G45" s="1691"/>
      <c r="H45" s="1692"/>
      <c r="I45" s="1691"/>
      <c r="J45" s="1691"/>
      <c r="K45" s="1691"/>
      <c r="L45" s="1691"/>
      <c r="M45" s="1691"/>
      <c r="N45" s="1802"/>
    </row>
    <row r="46" spans="1:14" ht="20.25" x14ac:dyDescent="0.3">
      <c r="A46" s="1803"/>
      <c r="B46" s="1677"/>
      <c r="C46" s="1677"/>
      <c r="D46" s="1677"/>
      <c r="E46" s="1677"/>
      <c r="F46" s="1677"/>
      <c r="G46" s="1677"/>
      <c r="H46" s="1694" t="str">
        <f>N_TeamsRegisteredPlayers</f>
        <v>Liste des joueurs inscrits dans chaque équipe</v>
      </c>
      <c r="I46" s="1677"/>
      <c r="J46" s="1677"/>
      <c r="K46" s="1677"/>
      <c r="L46" s="1677"/>
      <c r="M46" s="1677"/>
      <c r="N46" s="1804"/>
    </row>
    <row r="47" spans="1:14" s="1693" customFormat="1" ht="12" x14ac:dyDescent="0.2">
      <c r="A47" s="1805"/>
      <c r="B47" s="1695"/>
      <c r="C47" s="1695"/>
      <c r="D47" s="1695"/>
      <c r="E47" s="1695"/>
      <c r="F47" s="1695"/>
      <c r="G47" s="1695"/>
      <c r="H47" s="1696"/>
      <c r="I47" s="1695"/>
      <c r="J47" s="1695"/>
      <c r="K47" s="1695"/>
      <c r="L47" s="1695"/>
      <c r="M47" s="1695"/>
      <c r="N47" s="1806"/>
    </row>
    <row r="48" spans="1:14" ht="20.25" x14ac:dyDescent="0.3">
      <c r="A48" s="1795"/>
      <c r="B48" s="1697"/>
      <c r="C48" s="1697"/>
      <c r="D48" s="1677"/>
      <c r="E48" s="1698"/>
      <c r="F48" s="1697"/>
      <c r="G48" s="1697"/>
      <c r="H48" s="1699">
        <v>1</v>
      </c>
      <c r="I48" s="1697"/>
      <c r="J48" s="1697"/>
      <c r="K48" s="1700"/>
      <c r="L48" s="1697"/>
      <c r="M48" s="1697"/>
      <c r="N48" s="1807"/>
    </row>
    <row r="49" spans="1:14" ht="20.25" x14ac:dyDescent="0.3">
      <c r="A49" s="1795"/>
      <c r="B49" s="1697"/>
      <c r="C49" s="1697"/>
      <c r="D49" s="1677"/>
      <c r="E49" s="1698"/>
      <c r="F49" s="1697"/>
      <c r="G49" s="1697"/>
      <c r="H49" s="1699">
        <v>2</v>
      </c>
      <c r="I49" s="1697"/>
      <c r="J49" s="1697"/>
      <c r="K49" s="1700"/>
      <c r="L49" s="1697"/>
      <c r="M49" s="1697"/>
      <c r="N49" s="1807"/>
    </row>
    <row r="50" spans="1:14" ht="20.25" x14ac:dyDescent="0.3">
      <c r="A50" s="1795"/>
      <c r="B50" s="1697"/>
      <c r="C50" s="1697"/>
      <c r="D50" s="1677"/>
      <c r="E50" s="1698"/>
      <c r="F50" s="1697"/>
      <c r="G50" s="1697"/>
      <c r="H50" s="1699">
        <v>3</v>
      </c>
      <c r="I50" s="1697"/>
      <c r="J50" s="1697"/>
      <c r="K50" s="1700"/>
      <c r="L50" s="1697"/>
      <c r="M50" s="1697"/>
      <c r="N50" s="1807"/>
    </row>
    <row r="51" spans="1:14" ht="20.25" x14ac:dyDescent="0.3">
      <c r="A51" s="1795"/>
      <c r="B51" s="1697"/>
      <c r="C51" s="1697"/>
      <c r="D51" s="1677"/>
      <c r="E51" s="1698"/>
      <c r="F51" s="1697"/>
      <c r="G51" s="1697"/>
      <c r="H51" s="1699">
        <v>4</v>
      </c>
      <c r="I51" s="1697"/>
      <c r="J51" s="1697"/>
      <c r="K51" s="1700"/>
      <c r="L51" s="1697"/>
      <c r="M51" s="1697"/>
      <c r="N51" s="1807"/>
    </row>
    <row r="52" spans="1:14" ht="20.25" x14ac:dyDescent="0.3">
      <c r="A52" s="1795"/>
      <c r="B52" s="1697"/>
      <c r="C52" s="1697"/>
      <c r="D52" s="1677"/>
      <c r="E52" s="1698"/>
      <c r="F52" s="1697"/>
      <c r="G52" s="1697"/>
      <c r="H52" s="1699">
        <v>5</v>
      </c>
      <c r="I52" s="1697"/>
      <c r="J52" s="1697"/>
      <c r="K52" s="1700"/>
      <c r="L52" s="1697"/>
      <c r="M52" s="1697"/>
      <c r="N52" s="1807"/>
    </row>
    <row r="53" spans="1:14" ht="20.25" x14ac:dyDescent="0.3">
      <c r="A53" s="1795"/>
      <c r="B53" s="1697"/>
      <c r="C53" s="1697"/>
      <c r="D53" s="1677"/>
      <c r="E53" s="1698"/>
      <c r="F53" s="1697"/>
      <c r="G53" s="1697"/>
      <c r="H53" s="1699">
        <v>6</v>
      </c>
      <c r="I53" s="1697"/>
      <c r="J53" s="1697"/>
      <c r="K53" s="1700"/>
      <c r="L53" s="1697"/>
      <c r="M53" s="1697"/>
      <c r="N53" s="1807"/>
    </row>
    <row r="54" spans="1:14" ht="20.25" x14ac:dyDescent="0.3">
      <c r="A54" s="1795"/>
      <c r="B54" s="1697"/>
      <c r="C54" s="1697"/>
      <c r="D54" s="1677"/>
      <c r="E54" s="1698"/>
      <c r="F54" s="1697"/>
      <c r="G54" s="1697"/>
      <c r="H54" s="1699">
        <v>7</v>
      </c>
      <c r="I54" s="1697"/>
      <c r="J54" s="1697"/>
      <c r="K54" s="1700"/>
      <c r="L54" s="1697"/>
      <c r="M54" s="1697"/>
      <c r="N54" s="1807"/>
    </row>
    <row r="55" spans="1:14" ht="20.25" x14ac:dyDescent="0.3">
      <c r="A55" s="1795"/>
      <c r="B55" s="1697"/>
      <c r="C55" s="1697"/>
      <c r="D55" s="1677"/>
      <c r="E55" s="1698"/>
      <c r="F55" s="1697"/>
      <c r="G55" s="1697"/>
      <c r="H55" s="1699">
        <v>8</v>
      </c>
      <c r="I55" s="1697"/>
      <c r="J55" s="1697"/>
      <c r="K55" s="1700"/>
      <c r="L55" s="1697"/>
      <c r="M55" s="1697"/>
      <c r="N55" s="1807"/>
    </row>
    <row r="56" spans="1:14" ht="20.25" x14ac:dyDescent="0.3">
      <c r="A56" s="1795"/>
      <c r="B56" s="1697"/>
      <c r="C56" s="1697"/>
      <c r="D56" s="1677"/>
      <c r="E56" s="1698"/>
      <c r="F56" s="1697"/>
      <c r="G56" s="1697"/>
      <c r="H56" s="1699">
        <v>9</v>
      </c>
      <c r="I56" s="1697"/>
      <c r="J56" s="1697"/>
      <c r="K56" s="1700"/>
      <c r="L56" s="1697"/>
      <c r="M56" s="1697"/>
      <c r="N56" s="1807"/>
    </row>
    <row r="57" spans="1:14" ht="20.25" x14ac:dyDescent="0.3">
      <c r="A57" s="1795"/>
      <c r="B57" s="1697"/>
      <c r="C57" s="1697"/>
      <c r="D57" s="1677"/>
      <c r="E57" s="1698"/>
      <c r="F57" s="1697"/>
      <c r="G57" s="1697"/>
      <c r="H57" s="1699">
        <v>10</v>
      </c>
      <c r="I57" s="1697"/>
      <c r="J57" s="1697"/>
      <c r="K57" s="1700"/>
      <c r="L57" s="1697"/>
      <c r="M57" s="1697"/>
      <c r="N57" s="1807"/>
    </row>
    <row r="58" spans="1:14" s="1704" customFormat="1" ht="59.25" x14ac:dyDescent="0.75">
      <c r="A58" s="1808"/>
      <c r="B58" s="1701"/>
      <c r="C58" s="1702"/>
      <c r="D58" s="1702"/>
      <c r="E58" s="1703"/>
      <c r="F58" s="1701"/>
      <c r="G58" s="1701"/>
      <c r="H58" s="1702"/>
      <c r="I58" s="1701"/>
      <c r="J58" s="1701"/>
      <c r="L58" s="1702"/>
      <c r="M58" s="1702"/>
      <c r="N58" s="1809"/>
    </row>
    <row r="59" spans="1:14" ht="15" x14ac:dyDescent="0.2">
      <c r="A59" s="1796"/>
      <c r="B59" s="1670"/>
      <c r="C59" s="1670"/>
      <c r="D59" s="1670"/>
      <c r="E59" s="1670"/>
      <c r="F59" s="1670"/>
      <c r="G59" s="1686"/>
      <c r="H59" s="1686"/>
      <c r="I59" s="1670"/>
      <c r="J59" s="1670"/>
      <c r="K59" s="1670"/>
      <c r="L59" s="1670"/>
      <c r="M59" s="1670"/>
      <c r="N59" s="1810"/>
    </row>
    <row r="60" spans="1:14" ht="15" thickBot="1" x14ac:dyDescent="0.25">
      <c r="A60" s="1811"/>
      <c r="B60" s="1812"/>
      <c r="C60" s="1813" t="str">
        <f>N_Visa</f>
        <v>Signature</v>
      </c>
      <c r="D60" s="1813"/>
      <c r="E60" s="1813"/>
      <c r="F60" s="1812"/>
      <c r="G60" s="1814"/>
      <c r="H60" s="1815"/>
      <c r="I60" s="1812"/>
      <c r="J60" s="1813" t="str">
        <f>N_Visa</f>
        <v>Signature</v>
      </c>
      <c r="K60" s="1816"/>
      <c r="L60" s="1813"/>
      <c r="M60" s="1813"/>
      <c r="N60" s="1817"/>
    </row>
    <row r="61" spans="1:14" s="1651" customFormat="1" ht="44.25" x14ac:dyDescent="0.55000000000000004">
      <c r="A61" s="1658"/>
      <c r="B61" s="1687"/>
      <c r="C61" s="1687"/>
      <c r="D61" s="1687"/>
      <c r="E61" s="1687"/>
      <c r="F61" s="1687"/>
      <c r="G61" s="1687"/>
      <c r="H61" s="1686"/>
      <c r="I61" s="1687"/>
      <c r="J61" s="1687"/>
      <c r="K61" s="1687"/>
      <c r="L61" s="1687"/>
      <c r="M61" s="1705" t="str">
        <f>N_GMFT &amp; " v" &amp; Version_Outil</f>
        <v>GMFT - Gestion des Matches de Football de Table v14.3.1</v>
      </c>
      <c r="N61" s="1687"/>
    </row>
    <row r="62" spans="1:14" x14ac:dyDescent="0.2">
      <c r="A62" s="1656"/>
      <c r="B62" s="1656"/>
      <c r="C62" s="1656"/>
      <c r="D62" s="1656"/>
      <c r="E62" s="1656"/>
      <c r="F62" s="1656"/>
      <c r="G62" s="1657"/>
      <c r="H62" s="1656"/>
      <c r="I62" s="1656"/>
      <c r="J62" s="1656"/>
      <c r="K62" s="1656"/>
      <c r="L62" s="1656"/>
      <c r="M62" s="1656"/>
      <c r="N62" s="1656"/>
    </row>
    <row r="63" spans="1:14" ht="15.75" customHeight="1" thickBot="1" x14ac:dyDescent="0.25">
      <c r="A63" s="1664"/>
      <c r="B63" s="1706"/>
      <c r="C63" s="1706"/>
      <c r="D63" s="1706"/>
      <c r="E63" s="1706"/>
      <c r="F63" s="1706"/>
      <c r="G63" s="1706"/>
      <c r="H63" s="1707"/>
      <c r="I63" s="1706"/>
      <c r="J63" s="1706"/>
      <c r="K63" s="1706"/>
      <c r="L63" s="1706"/>
      <c r="M63" s="1706"/>
      <c r="N63" s="1706"/>
    </row>
    <row r="64" spans="1:14" ht="24" x14ac:dyDescent="0.2">
      <c r="A64" s="1828"/>
      <c r="B64" s="1829" t="str">
        <f>N_Session</f>
        <v xml:space="preserve">Session N° </v>
      </c>
      <c r="C64" s="1830"/>
      <c r="D64" s="2571"/>
      <c r="E64" s="2571"/>
      <c r="F64" s="2571"/>
      <c r="G64" s="2571"/>
      <c r="H64" s="2571"/>
      <c r="I64" s="2571"/>
      <c r="J64" s="2571"/>
      <c r="K64" s="2571"/>
      <c r="L64" s="2571"/>
      <c r="M64" s="1831"/>
      <c r="N64" s="1832"/>
    </row>
    <row r="65" spans="1:14" ht="18.75" thickBot="1" x14ac:dyDescent="0.25">
      <c r="A65" s="1833"/>
      <c r="B65" s="1834">
        <v>1</v>
      </c>
      <c r="C65" s="1835"/>
      <c r="D65" s="2566"/>
      <c r="E65" s="2566"/>
      <c r="F65" s="2566"/>
      <c r="G65" s="2566"/>
      <c r="H65" s="2566"/>
      <c r="I65" s="2566"/>
      <c r="J65" s="2566"/>
      <c r="K65" s="2566"/>
      <c r="L65" s="2566"/>
      <c r="M65" s="1836"/>
      <c r="N65" s="1837"/>
    </row>
    <row r="66" spans="1:14" ht="14.25" customHeight="1" x14ac:dyDescent="0.2">
      <c r="A66" s="1708"/>
      <c r="B66" s="1655" t="str">
        <f>N_Heure</f>
        <v>Heure</v>
      </c>
      <c r="C66" s="1655" t="str">
        <f>N_Table</f>
        <v>Table</v>
      </c>
      <c r="D66" s="1654"/>
      <c r="E66" s="1709" t="str">
        <f>N_Team1</f>
        <v>Equipe N° 1</v>
      </c>
      <c r="F66" s="1655"/>
      <c r="G66" s="1655"/>
      <c r="H66" s="1655"/>
      <c r="I66" s="1655"/>
      <c r="J66" s="1655"/>
      <c r="K66" s="1709" t="str">
        <f>N_Team2</f>
        <v>Equipe N° 2</v>
      </c>
      <c r="L66" s="1655"/>
      <c r="M66" s="1655" t="str">
        <f>N_MS</f>
        <v>MS</v>
      </c>
      <c r="N66" s="1655"/>
    </row>
    <row r="67" spans="1:14" ht="23.25" customHeight="1" x14ac:dyDescent="0.3">
      <c r="A67" s="1710"/>
      <c r="B67" s="1711"/>
      <c r="C67" s="1712"/>
      <c r="D67" s="1647"/>
      <c r="E67" s="1713"/>
      <c r="F67" s="1634"/>
      <c r="G67" s="1714"/>
      <c r="H67" s="1636" t="s">
        <v>769</v>
      </c>
      <c r="I67" s="1714"/>
      <c r="J67" s="1634"/>
      <c r="K67" s="1713"/>
      <c r="L67" s="1634"/>
      <c r="M67" s="1714"/>
      <c r="N67" s="1634"/>
    </row>
    <row r="68" spans="1:14" ht="18" customHeight="1" x14ac:dyDescent="0.25">
      <c r="A68" s="1715"/>
      <c r="C68" s="1716"/>
      <c r="D68" s="1643"/>
      <c r="E68" s="1717" t="str">
        <f>N_Buts</f>
        <v>Buts</v>
      </c>
      <c r="F68" s="1643"/>
      <c r="G68" s="1718"/>
      <c r="H68" s="1636" t="s">
        <v>769</v>
      </c>
      <c r="I68" s="1718"/>
      <c r="J68" s="1643"/>
      <c r="K68" s="1719"/>
      <c r="L68" s="1643"/>
      <c r="M68" s="1720"/>
      <c r="N68" s="1643"/>
    </row>
    <row r="69" spans="1:14" ht="18" customHeight="1" thickBot="1" x14ac:dyDescent="0.3">
      <c r="A69" s="1715"/>
      <c r="B69" s="1721" t="str">
        <f>N_Referee</f>
        <v>Referee</v>
      </c>
      <c r="C69" s="1721"/>
      <c r="D69" s="1643"/>
      <c r="E69" s="1717" t="str">
        <f>N_Diff.</f>
        <v>Diff.</v>
      </c>
      <c r="F69" s="1643"/>
      <c r="G69" s="1714"/>
      <c r="H69" s="1636" t="s">
        <v>769</v>
      </c>
      <c r="I69" s="1714"/>
      <c r="J69" s="1643"/>
      <c r="K69" s="1719"/>
      <c r="L69" s="1643"/>
      <c r="M69" s="1720"/>
      <c r="N69" s="1643"/>
    </row>
    <row r="70" spans="1:14" ht="12.75" customHeight="1" thickBot="1" x14ac:dyDescent="0.25">
      <c r="A70" s="1722"/>
      <c r="B70" s="1723"/>
      <c r="C70" s="1724"/>
      <c r="D70" s="1689"/>
      <c r="E70" s="1716" t="str">
        <f>N_Joueurs</f>
        <v>Joueurs</v>
      </c>
      <c r="F70" s="1689"/>
      <c r="G70" s="1689"/>
      <c r="H70" s="1686"/>
      <c r="I70" s="1689"/>
      <c r="J70" s="1689"/>
      <c r="K70" s="1716" t="str">
        <f>N_Joueurs</f>
        <v>Joueurs</v>
      </c>
      <c r="L70" s="1689"/>
      <c r="M70" s="1716" t="str">
        <f>N_MS</f>
        <v>MS</v>
      </c>
      <c r="N70" s="1689"/>
    </row>
    <row r="71" spans="1:14" ht="18" customHeight="1" x14ac:dyDescent="0.25">
      <c r="A71" s="1715"/>
      <c r="B71" s="1725"/>
      <c r="C71" s="1726"/>
      <c r="D71" s="1634" t="s">
        <v>1151</v>
      </c>
      <c r="E71" s="1727"/>
      <c r="F71" s="1643"/>
      <c r="G71" s="1728"/>
      <c r="H71" s="1636" t="s">
        <v>769</v>
      </c>
      <c r="I71" s="1728"/>
      <c r="J71" s="1643"/>
      <c r="K71" s="1727"/>
      <c r="L71" s="1643"/>
      <c r="M71" s="1718"/>
      <c r="N71" s="1643"/>
    </row>
    <row r="72" spans="1:14" ht="18" x14ac:dyDescent="0.25">
      <c r="A72" s="1715"/>
      <c r="B72" s="1729"/>
      <c r="C72" s="1730"/>
      <c r="D72" s="1634" t="s">
        <v>1152</v>
      </c>
      <c r="E72" s="1731"/>
      <c r="F72" s="1732"/>
      <c r="G72" s="1718"/>
      <c r="H72" s="1636" t="s">
        <v>769</v>
      </c>
      <c r="I72" s="1718"/>
      <c r="J72" s="1732"/>
      <c r="K72" s="1731"/>
      <c r="L72" s="1643"/>
      <c r="M72" s="1718"/>
      <c r="N72" s="1643"/>
    </row>
    <row r="73" spans="1:14" ht="21" customHeight="1" thickBot="1" x14ac:dyDescent="0.35">
      <c r="A73" s="1710"/>
      <c r="B73" s="1644"/>
      <c r="C73" s="1688" t="str">
        <f>N_Différentiel</f>
        <v>Différentiel</v>
      </c>
      <c r="D73" s="1677"/>
      <c r="E73" s="1733"/>
      <c r="F73" s="1686"/>
      <c r="G73" s="1734"/>
      <c r="H73" s="1636" t="s">
        <v>769</v>
      </c>
      <c r="I73" s="1734"/>
      <c r="J73" s="1687"/>
      <c r="K73" s="1733"/>
      <c r="L73" s="1735"/>
      <c r="M73" s="1644"/>
      <c r="N73" s="1644"/>
    </row>
    <row r="74" spans="1:14" ht="21.75" thickTop="1" thickBot="1" x14ac:dyDescent="0.35">
      <c r="A74" s="1736"/>
      <c r="B74" s="1737"/>
      <c r="C74" s="1738" t="str">
        <f>N_Substitute</f>
        <v>Remplaçant</v>
      </c>
      <c r="D74" s="1739"/>
      <c r="E74" s="1740"/>
      <c r="F74" s="1741"/>
      <c r="G74" s="1742"/>
      <c r="H74" s="1742"/>
      <c r="I74" s="1742"/>
      <c r="J74" s="1743"/>
      <c r="K74" s="1740"/>
      <c r="L74" s="1744"/>
      <c r="M74" s="2567"/>
      <c r="N74" s="2567"/>
    </row>
    <row r="75" spans="1:14" ht="15" customHeight="1" x14ac:dyDescent="0.2">
      <c r="A75" s="1664"/>
      <c r="B75" s="1697"/>
      <c r="C75" s="1697"/>
      <c r="D75" s="1697"/>
      <c r="E75" s="1697"/>
      <c r="F75" s="1697"/>
      <c r="G75" s="1697"/>
      <c r="H75" s="1694"/>
      <c r="I75" s="1697"/>
      <c r="J75" s="1697"/>
      <c r="K75" s="1697"/>
      <c r="L75" s="1697"/>
      <c r="M75" s="1674" t="str">
        <f>N_GMFT &amp; " v" &amp; Version_Outil</f>
        <v>GMFT - Gestion des Matches de Football de Table v14.3.1</v>
      </c>
      <c r="N75" s="1697"/>
    </row>
    <row r="76" spans="1:14" x14ac:dyDescent="0.2">
      <c r="A76" s="1654"/>
      <c r="B76" s="1654"/>
      <c r="C76" s="1654"/>
      <c r="D76" s="1654"/>
      <c r="E76" s="1654"/>
      <c r="F76" s="1654"/>
      <c r="G76" s="1655"/>
      <c r="H76" s="1654"/>
      <c r="I76" s="1654"/>
      <c r="J76" s="1654"/>
      <c r="K76" s="1654"/>
      <c r="L76" s="1654"/>
      <c r="M76" s="1654"/>
      <c r="N76" s="1654"/>
    </row>
    <row r="77" spans="1:14" x14ac:dyDescent="0.2">
      <c r="G77" s="1630"/>
    </row>
    <row r="78" spans="1:14" ht="15" thickBot="1" x14ac:dyDescent="0.25">
      <c r="G78" s="1630"/>
    </row>
    <row r="79" spans="1:14" ht="26.25" customHeight="1" thickBot="1" x14ac:dyDescent="0.25">
      <c r="E79" s="1745" t="s">
        <v>3866</v>
      </c>
      <c r="F79" s="1746"/>
      <c r="G79" s="1746"/>
      <c r="H79" s="1746"/>
      <c r="I79" s="1746"/>
      <c r="J79" s="1747"/>
      <c r="K79" s="1746"/>
      <c r="L79" s="1746"/>
      <c r="M79" s="1746"/>
      <c r="N79" s="1746"/>
    </row>
    <row r="80" spans="1:14" x14ac:dyDescent="0.2">
      <c r="E80" s="1748" t="s">
        <v>3724</v>
      </c>
      <c r="F80" s="1749"/>
      <c r="G80" s="1749"/>
      <c r="H80" s="1749"/>
      <c r="I80" s="1749"/>
      <c r="J80" s="1750"/>
      <c r="K80" s="1749"/>
      <c r="L80" s="1749"/>
      <c r="M80" s="1749"/>
      <c r="N80" s="1749"/>
    </row>
    <row r="81" spans="5:14" x14ac:dyDescent="0.2">
      <c r="E81" s="1751" t="s">
        <v>3865</v>
      </c>
      <c r="F81" s="1752"/>
      <c r="G81" s="1752"/>
      <c r="H81" s="1752"/>
      <c r="I81" s="1752"/>
      <c r="J81" s="1753"/>
      <c r="K81" s="1752"/>
      <c r="L81" s="1752"/>
      <c r="M81" s="1752"/>
      <c r="N81" s="1752"/>
    </row>
    <row r="82" spans="5:14" x14ac:dyDescent="0.2">
      <c r="E82" s="1754"/>
      <c r="F82" s="1752"/>
      <c r="G82" s="1752"/>
      <c r="H82" s="1752"/>
      <c r="I82" s="1752"/>
      <c r="J82" s="1753"/>
      <c r="K82" s="1752"/>
      <c r="L82" s="1752"/>
      <c r="M82" s="1752"/>
      <c r="N82" s="1752"/>
    </row>
    <row r="83" spans="5:14" x14ac:dyDescent="0.2">
      <c r="E83" s="1755" t="s">
        <v>3795</v>
      </c>
      <c r="F83" s="1752"/>
      <c r="G83" s="1752"/>
      <c r="H83" s="1752"/>
      <c r="I83" s="1752"/>
      <c r="J83" s="1753"/>
      <c r="K83" s="1752"/>
      <c r="L83" s="1752"/>
      <c r="M83" s="1752"/>
      <c r="N83" s="1752"/>
    </row>
    <row r="84" spans="5:14" x14ac:dyDescent="0.2">
      <c r="E84" s="1754"/>
      <c r="F84" s="1752"/>
      <c r="G84" s="1752"/>
      <c r="H84" s="1752"/>
      <c r="I84" s="1752"/>
      <c r="J84" s="1753"/>
      <c r="K84" s="1752"/>
      <c r="L84" s="1752"/>
      <c r="M84" s="1752"/>
      <c r="N84" s="1752"/>
    </row>
    <row r="85" spans="5:14" x14ac:dyDescent="0.2">
      <c r="E85" s="1756"/>
      <c r="F85" s="1752"/>
      <c r="G85" s="1757" t="s">
        <v>3835</v>
      </c>
      <c r="H85" s="1752"/>
      <c r="I85" s="1752"/>
      <c r="J85" s="1753"/>
      <c r="K85" s="1752"/>
      <c r="L85" s="1752"/>
      <c r="M85" s="1752"/>
      <c r="N85" s="1752"/>
    </row>
    <row r="86" spans="5:14" x14ac:dyDescent="0.2">
      <c r="E86" s="863" t="s">
        <v>3832</v>
      </c>
      <c r="F86" s="1752" t="s">
        <v>3726</v>
      </c>
      <c r="G86" s="1752" t="s">
        <v>3864</v>
      </c>
      <c r="H86" s="1752"/>
      <c r="I86" s="1752"/>
      <c r="J86" s="1753"/>
      <c r="K86" s="1752"/>
      <c r="L86" s="1752"/>
      <c r="M86" s="1752"/>
      <c r="N86" s="1752"/>
    </row>
    <row r="87" spans="5:14" x14ac:dyDescent="0.2">
      <c r="E87" s="863"/>
      <c r="F87" s="1752"/>
      <c r="G87" s="1752"/>
      <c r="H87" s="1752"/>
      <c r="I87" s="1752"/>
      <c r="J87" s="1753"/>
      <c r="K87" s="1752"/>
      <c r="L87" s="1752"/>
      <c r="M87" s="1752"/>
      <c r="N87" s="1752"/>
    </row>
    <row r="88" spans="5:14" x14ac:dyDescent="0.2">
      <c r="E88" s="863" t="s">
        <v>3903</v>
      </c>
      <c r="F88" s="1752"/>
      <c r="G88" s="1752" t="s">
        <v>3902</v>
      </c>
      <c r="H88" s="1752"/>
      <c r="I88" s="1752"/>
      <c r="J88" s="1753"/>
      <c r="K88" s="1752"/>
      <c r="L88" s="1752"/>
      <c r="M88" s="1752"/>
      <c r="N88" s="1752"/>
    </row>
    <row r="89" spans="5:14" x14ac:dyDescent="0.2">
      <c r="E89" s="863" t="s">
        <v>3833</v>
      </c>
      <c r="F89" s="1752"/>
      <c r="G89" s="1752" t="s">
        <v>3834</v>
      </c>
      <c r="H89" s="1752"/>
      <c r="I89" s="1752"/>
      <c r="J89" s="1753"/>
      <c r="K89" s="1752"/>
      <c r="L89" s="1752"/>
      <c r="M89" s="1752"/>
      <c r="N89" s="1752"/>
    </row>
    <row r="90" spans="5:14" x14ac:dyDescent="0.2">
      <c r="E90" s="863" t="s">
        <v>3836</v>
      </c>
      <c r="F90" s="1752"/>
      <c r="G90" s="1752" t="str">
        <f>N_Catégorie</f>
        <v>Stade de l'épreuve</v>
      </c>
      <c r="H90" s="1752"/>
      <c r="I90" s="1752"/>
      <c r="J90" s="1753"/>
      <c r="K90" s="1752"/>
      <c r="L90" s="1752"/>
      <c r="M90" s="1752"/>
      <c r="N90" s="1752"/>
    </row>
    <row r="91" spans="5:14" x14ac:dyDescent="0.2">
      <c r="E91" s="863" t="s">
        <v>3837</v>
      </c>
      <c r="F91" s="1752"/>
      <c r="G91" s="1752" t="str">
        <f>N_Heure</f>
        <v>Heure</v>
      </c>
      <c r="H91" s="1752"/>
      <c r="I91" s="1752"/>
      <c r="J91" s="1753"/>
      <c r="K91" s="1752"/>
      <c r="L91" s="1752"/>
      <c r="M91" s="1752"/>
      <c r="N91" s="1752"/>
    </row>
    <row r="92" spans="5:14" x14ac:dyDescent="0.2">
      <c r="E92" s="863" t="s">
        <v>3840</v>
      </c>
      <c r="F92" s="1752"/>
      <c r="G92" s="1752" t="str">
        <f>N_Table</f>
        <v>Table</v>
      </c>
      <c r="H92" s="1752"/>
      <c r="I92" s="1752"/>
      <c r="J92" s="1753"/>
      <c r="K92" s="1752"/>
      <c r="L92" s="1752"/>
      <c r="M92" s="1752"/>
      <c r="N92" s="1752"/>
    </row>
    <row r="93" spans="5:14" x14ac:dyDescent="0.2">
      <c r="E93" s="863" t="s">
        <v>3841</v>
      </c>
      <c r="F93" s="1752"/>
      <c r="G93" s="1752" t="str">
        <f>N_Player1</f>
        <v>Joueur N° 1</v>
      </c>
      <c r="H93" s="1752"/>
      <c r="I93" s="1752"/>
      <c r="J93" s="1753"/>
      <c r="K93" s="1752"/>
      <c r="L93" s="1752"/>
      <c r="M93" s="1752"/>
      <c r="N93" s="1752"/>
    </row>
    <row r="94" spans="5:14" x14ac:dyDescent="0.2">
      <c r="E94" s="863" t="s">
        <v>3842</v>
      </c>
      <c r="F94" s="1752"/>
      <c r="G94" s="1752" t="str">
        <f>N_Player2</f>
        <v>Joueur N° 2</v>
      </c>
      <c r="H94" s="1752"/>
      <c r="I94" s="1752"/>
      <c r="J94" s="1753"/>
      <c r="K94" s="1752"/>
      <c r="L94" s="1752"/>
      <c r="M94" s="1752"/>
      <c r="N94" s="1752"/>
    </row>
    <row r="95" spans="5:14" x14ac:dyDescent="0.2">
      <c r="E95" s="864" t="s">
        <v>3843</v>
      </c>
      <c r="F95" s="1752"/>
      <c r="G95" s="1752" t="str">
        <f>N_Referee</f>
        <v>Referee</v>
      </c>
      <c r="H95" s="1752"/>
      <c r="I95" s="1752"/>
      <c r="J95" s="1753"/>
      <c r="K95" s="1752"/>
      <c r="L95" s="1752"/>
      <c r="M95" s="1752"/>
      <c r="N95" s="1752"/>
    </row>
    <row r="96" spans="5:14" x14ac:dyDescent="0.2">
      <c r="E96" s="863" t="s">
        <v>3839</v>
      </c>
      <c r="F96" s="1752"/>
      <c r="G96" s="1752" t="s">
        <v>3838</v>
      </c>
      <c r="H96" s="1752"/>
      <c r="I96" s="1752"/>
      <c r="J96" s="1753"/>
      <c r="K96" s="1752"/>
      <c r="L96" s="1752"/>
      <c r="M96" s="1752"/>
      <c r="N96" s="1752"/>
    </row>
    <row r="97" spans="5:14" x14ac:dyDescent="0.2">
      <c r="E97" s="1754"/>
      <c r="F97" s="1752"/>
      <c r="G97" s="1752"/>
      <c r="H97" s="1752"/>
      <c r="I97" s="1752"/>
      <c r="J97" s="1753"/>
      <c r="K97" s="1752"/>
      <c r="L97" s="1752"/>
      <c r="M97" s="1752"/>
      <c r="N97" s="1752"/>
    </row>
    <row r="98" spans="5:14" x14ac:dyDescent="0.2">
      <c r="E98" s="1756"/>
      <c r="F98" s="1752"/>
      <c r="G98" s="1757" t="s">
        <v>3844</v>
      </c>
      <c r="H98" s="1752"/>
      <c r="I98" s="1752"/>
      <c r="J98" s="1753"/>
      <c r="K98" s="1752"/>
      <c r="L98" s="1752"/>
      <c r="M98" s="1752"/>
      <c r="N98" s="1752"/>
    </row>
    <row r="99" spans="5:14" x14ac:dyDescent="0.2">
      <c r="E99" s="863" t="s">
        <v>3853</v>
      </c>
      <c r="F99" s="1752" t="s">
        <v>3726</v>
      </c>
      <c r="G99" s="1752" t="s">
        <v>3864</v>
      </c>
      <c r="H99" s="1752"/>
      <c r="I99" s="1752"/>
      <c r="J99" s="1753"/>
      <c r="K99" s="1752"/>
      <c r="L99" s="1752"/>
      <c r="M99" s="1752"/>
      <c r="N99" s="1752"/>
    </row>
    <row r="100" spans="5:14" x14ac:dyDescent="0.2">
      <c r="E100" s="863"/>
      <c r="F100" s="1752"/>
      <c r="G100" s="1752"/>
      <c r="H100" s="1752"/>
      <c r="I100" s="1752"/>
      <c r="J100" s="1753"/>
      <c r="K100" s="1752"/>
      <c r="L100" s="1752"/>
      <c r="M100" s="1752"/>
      <c r="N100" s="1752"/>
    </row>
    <row r="101" spans="5:14" x14ac:dyDescent="0.2">
      <c r="E101" s="863" t="s">
        <v>3905</v>
      </c>
      <c r="F101" s="1752"/>
      <c r="G101" s="1752" t="s">
        <v>3902</v>
      </c>
      <c r="H101" s="1752"/>
      <c r="I101" s="1752"/>
      <c r="J101" s="1753"/>
      <c r="K101" s="1752"/>
      <c r="L101" s="1752"/>
      <c r="M101" s="1752"/>
      <c r="N101" s="1752"/>
    </row>
    <row r="102" spans="5:14" x14ac:dyDescent="0.2">
      <c r="E102" s="863" t="s">
        <v>3845</v>
      </c>
      <c r="F102" s="1752"/>
      <c r="G102" s="1752" t="s">
        <v>3834</v>
      </c>
      <c r="H102" s="1752"/>
      <c r="I102" s="1752"/>
      <c r="J102" s="1753"/>
      <c r="K102" s="1752"/>
      <c r="L102" s="1752"/>
      <c r="M102" s="1752"/>
      <c r="N102" s="1752"/>
    </row>
    <row r="103" spans="5:14" x14ac:dyDescent="0.2">
      <c r="E103" s="863" t="s">
        <v>3846</v>
      </c>
      <c r="F103" s="1752"/>
      <c r="G103" s="1752" t="str">
        <f>N_Catégorie</f>
        <v>Stade de l'épreuve</v>
      </c>
      <c r="H103" s="1752"/>
      <c r="I103" s="1752"/>
      <c r="J103" s="1753"/>
      <c r="K103" s="1752"/>
      <c r="L103" s="1752"/>
      <c r="M103" s="1752"/>
      <c r="N103" s="1752"/>
    </row>
    <row r="104" spans="5:14" x14ac:dyDescent="0.2">
      <c r="E104" s="863" t="s">
        <v>3847</v>
      </c>
      <c r="F104" s="1752"/>
      <c r="G104" s="1752" t="str">
        <f>N_Heure</f>
        <v>Heure</v>
      </c>
      <c r="H104" s="1752"/>
      <c r="I104" s="1752"/>
      <c r="J104" s="1753"/>
      <c r="K104" s="1752"/>
      <c r="L104" s="1752"/>
      <c r="M104" s="1752"/>
      <c r="N104" s="1752"/>
    </row>
    <row r="105" spans="5:14" x14ac:dyDescent="0.2">
      <c r="E105" s="863" t="s">
        <v>3848</v>
      </c>
      <c r="F105" s="1752"/>
      <c r="G105" s="1752" t="str">
        <f>N_Table</f>
        <v>Table</v>
      </c>
      <c r="H105" s="1752"/>
      <c r="I105" s="1752"/>
      <c r="J105" s="1753"/>
      <c r="K105" s="1752"/>
      <c r="L105" s="1752"/>
      <c r="M105" s="1752"/>
      <c r="N105" s="1752"/>
    </row>
    <row r="106" spans="5:14" x14ac:dyDescent="0.2">
      <c r="E106" s="863" t="s">
        <v>3851</v>
      </c>
      <c r="F106" s="1752"/>
      <c r="G106" s="1752" t="str">
        <f>N_Team1</f>
        <v>Equipe N° 1</v>
      </c>
      <c r="H106" s="1752"/>
      <c r="I106" s="1752"/>
      <c r="J106" s="1753"/>
      <c r="K106" s="1752"/>
      <c r="L106" s="1752"/>
      <c r="M106" s="1752"/>
      <c r="N106" s="1752"/>
    </row>
    <row r="107" spans="5:14" x14ac:dyDescent="0.2">
      <c r="E107" s="863" t="s">
        <v>3852</v>
      </c>
      <c r="F107" s="1752"/>
      <c r="G107" s="1752" t="str">
        <f>N_Team2</f>
        <v>Equipe N° 2</v>
      </c>
      <c r="H107" s="1752"/>
      <c r="I107" s="1752"/>
      <c r="J107" s="1753"/>
      <c r="K107" s="1752"/>
      <c r="L107" s="1752"/>
      <c r="M107" s="1752"/>
      <c r="N107" s="1752"/>
    </row>
    <row r="108" spans="5:14" x14ac:dyDescent="0.2">
      <c r="E108" s="864" t="s">
        <v>3849</v>
      </c>
      <c r="F108" s="1752"/>
      <c r="G108" s="1752" t="str">
        <f>N_Referee</f>
        <v>Referee</v>
      </c>
      <c r="H108" s="1752"/>
      <c r="I108" s="1752"/>
      <c r="J108" s="1753"/>
      <c r="K108" s="1752"/>
      <c r="L108" s="1752"/>
      <c r="M108" s="1752"/>
      <c r="N108" s="1752"/>
    </row>
    <row r="109" spans="5:14" x14ac:dyDescent="0.2">
      <c r="E109" s="864" t="s">
        <v>7652</v>
      </c>
      <c r="F109" s="1752"/>
      <c r="G109" s="1752" t="s">
        <v>7651</v>
      </c>
      <c r="H109" s="1752"/>
      <c r="I109" s="1752"/>
      <c r="J109" s="1753"/>
      <c r="K109" s="1752"/>
      <c r="L109" s="1752"/>
      <c r="M109" s="1752"/>
      <c r="N109" s="1752"/>
    </row>
    <row r="110" spans="5:14" x14ac:dyDescent="0.2">
      <c r="E110" s="864" t="s">
        <v>7653</v>
      </c>
      <c r="F110" s="1752"/>
      <c r="G110" s="1752" t="s">
        <v>7654</v>
      </c>
      <c r="H110" s="1752"/>
      <c r="I110" s="1752"/>
      <c r="J110" s="1753"/>
      <c r="K110" s="1752"/>
      <c r="L110" s="1752"/>
      <c r="M110" s="1752"/>
      <c r="N110" s="1752"/>
    </row>
    <row r="111" spans="5:14" x14ac:dyDescent="0.2">
      <c r="E111" s="864" t="s">
        <v>7655</v>
      </c>
      <c r="F111" s="1752"/>
      <c r="G111" s="1752" t="s">
        <v>7656</v>
      </c>
      <c r="H111" s="1752"/>
      <c r="I111" s="1752"/>
      <c r="J111" s="1753"/>
      <c r="K111" s="1752"/>
      <c r="L111" s="1752"/>
      <c r="M111" s="1752"/>
      <c r="N111" s="1752"/>
    </row>
    <row r="112" spans="5:14" x14ac:dyDescent="0.2">
      <c r="E112" s="864" t="s">
        <v>7658</v>
      </c>
      <c r="F112" s="1752"/>
      <c r="G112" s="1752" t="s">
        <v>7657</v>
      </c>
      <c r="H112" s="1752"/>
      <c r="I112" s="1752"/>
      <c r="J112" s="1753"/>
      <c r="K112" s="1752"/>
      <c r="L112" s="1752"/>
      <c r="M112" s="1752"/>
      <c r="N112" s="1752"/>
    </row>
    <row r="113" spans="5:14" x14ac:dyDescent="0.2">
      <c r="E113" s="864" t="s">
        <v>7662</v>
      </c>
      <c r="F113" s="1752"/>
      <c r="G113" s="1752" t="s">
        <v>7659</v>
      </c>
      <c r="H113" s="1752"/>
      <c r="I113" s="1752"/>
      <c r="J113" s="1753"/>
      <c r="K113" s="1752"/>
      <c r="L113" s="1752"/>
      <c r="M113" s="1752"/>
      <c r="N113" s="1752"/>
    </row>
    <row r="114" spans="5:14" x14ac:dyDescent="0.2">
      <c r="E114" s="864" t="s">
        <v>7663</v>
      </c>
      <c r="F114" s="1752"/>
      <c r="G114" s="1752" t="s">
        <v>7660</v>
      </c>
      <c r="H114" s="1752"/>
      <c r="I114" s="1752"/>
      <c r="J114" s="1753"/>
      <c r="K114" s="1752"/>
      <c r="L114" s="1752"/>
      <c r="M114" s="1752"/>
      <c r="N114" s="1752"/>
    </row>
    <row r="115" spans="5:14" x14ac:dyDescent="0.2">
      <c r="E115" s="864" t="s">
        <v>7655</v>
      </c>
      <c r="F115" s="1752"/>
      <c r="G115" s="1752" t="s">
        <v>7656</v>
      </c>
      <c r="H115" s="1752"/>
      <c r="I115" s="1752"/>
      <c r="J115" s="1753"/>
      <c r="K115" s="1752"/>
      <c r="L115" s="1752"/>
      <c r="M115" s="1752"/>
      <c r="N115" s="1752"/>
    </row>
    <row r="116" spans="5:14" x14ac:dyDescent="0.2">
      <c r="E116" s="864" t="s">
        <v>7664</v>
      </c>
      <c r="F116" s="1752"/>
      <c r="G116" s="1752" t="s">
        <v>7661</v>
      </c>
      <c r="H116" s="1752"/>
      <c r="I116" s="1752"/>
      <c r="J116" s="1753"/>
      <c r="K116" s="1752"/>
      <c r="L116" s="1752"/>
      <c r="M116" s="1752"/>
      <c r="N116" s="1752"/>
    </row>
    <row r="117" spans="5:14" x14ac:dyDescent="0.2">
      <c r="E117" s="863" t="s">
        <v>3850</v>
      </c>
      <c r="F117" s="1752"/>
      <c r="G117" s="1752" t="s">
        <v>3838</v>
      </c>
      <c r="H117" s="1752"/>
      <c r="I117" s="1752"/>
      <c r="J117" s="1753"/>
      <c r="K117" s="1752"/>
      <c r="L117" s="1752"/>
      <c r="M117" s="1752"/>
      <c r="N117" s="1752"/>
    </row>
    <row r="118" spans="5:14" x14ac:dyDescent="0.2">
      <c r="E118" s="1754"/>
      <c r="F118" s="1752"/>
      <c r="G118" s="1752"/>
      <c r="H118" s="1752"/>
      <c r="I118" s="1752"/>
      <c r="J118" s="1753"/>
      <c r="K118" s="1752"/>
      <c r="L118" s="1752"/>
      <c r="M118" s="1752"/>
      <c r="N118" s="1752"/>
    </row>
    <row r="119" spans="5:14" x14ac:dyDescent="0.2">
      <c r="E119" s="1756"/>
      <c r="F119" s="1752"/>
      <c r="G119" s="1757" t="s">
        <v>3854</v>
      </c>
      <c r="H119" s="1752"/>
      <c r="I119" s="1752"/>
      <c r="J119" s="1753"/>
      <c r="K119" s="1752"/>
      <c r="L119" s="1752"/>
      <c r="M119" s="1752"/>
      <c r="N119" s="1752"/>
    </row>
    <row r="120" spans="5:14" x14ac:dyDescent="0.2">
      <c r="E120" s="863" t="s">
        <v>3855</v>
      </c>
      <c r="F120" s="1752" t="s">
        <v>3726</v>
      </c>
      <c r="G120" s="1752" t="s">
        <v>3864</v>
      </c>
      <c r="H120" s="1752"/>
      <c r="I120" s="1752"/>
      <c r="J120" s="1753"/>
      <c r="K120" s="1752"/>
      <c r="L120" s="1752"/>
      <c r="M120" s="1752"/>
      <c r="N120" s="1752"/>
    </row>
    <row r="121" spans="5:14" x14ac:dyDescent="0.2">
      <c r="E121" s="863"/>
      <c r="F121" s="1752"/>
      <c r="G121" s="1752"/>
      <c r="H121" s="1752"/>
      <c r="I121" s="1752"/>
      <c r="J121" s="1753"/>
      <c r="K121" s="1752"/>
      <c r="L121" s="1752"/>
      <c r="M121" s="1752"/>
      <c r="N121" s="1752"/>
    </row>
    <row r="122" spans="5:14" x14ac:dyDescent="0.2">
      <c r="E122" s="863" t="s">
        <v>3904</v>
      </c>
      <c r="F122" s="1752"/>
      <c r="G122" s="1752" t="s">
        <v>3902</v>
      </c>
      <c r="H122" s="1752"/>
      <c r="I122" s="1752"/>
      <c r="J122" s="1753"/>
      <c r="K122" s="1752"/>
      <c r="L122" s="1752"/>
      <c r="M122" s="1752"/>
      <c r="N122" s="1752"/>
    </row>
    <row r="123" spans="5:14" x14ac:dyDescent="0.2">
      <c r="E123" s="863" t="s">
        <v>3856</v>
      </c>
      <c r="F123" s="1752"/>
      <c r="G123" s="1752" t="s">
        <v>3834</v>
      </c>
      <c r="H123" s="1752"/>
      <c r="I123" s="1752"/>
      <c r="J123" s="1753"/>
      <c r="K123" s="1752"/>
      <c r="L123" s="1752"/>
      <c r="M123" s="1752"/>
      <c r="N123" s="1752"/>
    </row>
    <row r="124" spans="5:14" x14ac:dyDescent="0.2">
      <c r="E124" s="863" t="s">
        <v>3857</v>
      </c>
      <c r="F124" s="1752"/>
      <c r="G124" s="1752" t="str">
        <f>N_Catégorie</f>
        <v>Stade de l'épreuve</v>
      </c>
      <c r="H124" s="1752"/>
      <c r="I124" s="1752"/>
      <c r="J124" s="1753"/>
      <c r="K124" s="1752"/>
      <c r="L124" s="1752"/>
      <c r="M124" s="1752"/>
      <c r="N124" s="1752"/>
    </row>
    <row r="125" spans="5:14" x14ac:dyDescent="0.2">
      <c r="E125" s="863" t="s">
        <v>3858</v>
      </c>
      <c r="F125" s="1752"/>
      <c r="G125" s="1752" t="str">
        <f>N_Heure</f>
        <v>Heure</v>
      </c>
      <c r="H125" s="1752"/>
      <c r="I125" s="1752"/>
      <c r="J125" s="1753"/>
      <c r="K125" s="1752"/>
      <c r="L125" s="1752"/>
      <c r="M125" s="1752"/>
      <c r="N125" s="1752"/>
    </row>
    <row r="126" spans="5:14" x14ac:dyDescent="0.2">
      <c r="E126" s="863" t="s">
        <v>3859</v>
      </c>
      <c r="F126" s="1752"/>
      <c r="G126" s="1752" t="str">
        <f>N_Table</f>
        <v>Table</v>
      </c>
      <c r="H126" s="1752"/>
      <c r="I126" s="1752"/>
      <c r="J126" s="1753"/>
      <c r="K126" s="1752"/>
      <c r="L126" s="1752"/>
      <c r="M126" s="1752"/>
      <c r="N126" s="1752"/>
    </row>
    <row r="127" spans="5:14" x14ac:dyDescent="0.2">
      <c r="E127" s="863" t="s">
        <v>3860</v>
      </c>
      <c r="F127" s="1752"/>
      <c r="G127" s="1752" t="str">
        <f>N_Team1</f>
        <v>Equipe N° 1</v>
      </c>
      <c r="H127" s="1752"/>
      <c r="I127" s="1752"/>
      <c r="J127" s="1753"/>
      <c r="K127" s="1752"/>
      <c r="L127" s="1752"/>
      <c r="M127" s="1752"/>
      <c r="N127" s="1752"/>
    </row>
    <row r="128" spans="5:14" x14ac:dyDescent="0.2">
      <c r="E128" s="863" t="s">
        <v>3861</v>
      </c>
      <c r="F128" s="1752"/>
      <c r="G128" s="1752" t="str">
        <f>N_Team2</f>
        <v>Equipe N° 2</v>
      </c>
      <c r="H128" s="1752"/>
      <c r="I128" s="1752"/>
      <c r="J128" s="1753"/>
      <c r="K128" s="1752"/>
      <c r="L128" s="1752"/>
      <c r="M128" s="1752"/>
      <c r="N128" s="1752"/>
    </row>
    <row r="129" spans="5:14" x14ac:dyDescent="0.2">
      <c r="E129" s="864" t="s">
        <v>3862</v>
      </c>
      <c r="F129" s="1752"/>
      <c r="G129" s="1752" t="str">
        <f>N_Referee</f>
        <v>Referee</v>
      </c>
      <c r="H129" s="1752"/>
      <c r="I129" s="1752"/>
      <c r="J129" s="1753"/>
      <c r="K129" s="1752"/>
      <c r="L129" s="1752"/>
      <c r="M129" s="1752"/>
      <c r="N129" s="1752"/>
    </row>
    <row r="130" spans="5:14" x14ac:dyDescent="0.2">
      <c r="E130" s="863" t="s">
        <v>3863</v>
      </c>
      <c r="F130" s="1752"/>
      <c r="G130" s="1752" t="s">
        <v>3838</v>
      </c>
      <c r="H130" s="1752"/>
      <c r="I130" s="1752"/>
      <c r="J130" s="1753"/>
      <c r="K130" s="1752"/>
      <c r="L130" s="1752"/>
      <c r="M130" s="1752"/>
      <c r="N130" s="1752"/>
    </row>
    <row r="131" spans="5:14" ht="15" thickBot="1" x14ac:dyDescent="0.25">
      <c r="E131" s="1758"/>
      <c r="F131" s="1759"/>
      <c r="G131" s="1759"/>
      <c r="H131" s="1759"/>
      <c r="I131" s="1759"/>
      <c r="J131" s="1760"/>
      <c r="K131" s="1759"/>
      <c r="L131" s="1759"/>
      <c r="M131" s="1759"/>
      <c r="N131" s="1759"/>
    </row>
    <row r="132" spans="5:14" x14ac:dyDescent="0.2">
      <c r="G132" s="1630"/>
    </row>
  </sheetData>
  <sheetProtection formatColumns="0" formatRows="0" selectLockedCells="1"/>
  <dataConsolidate/>
  <customSheetViews>
    <customSheetView guid="{13F24B0A-7740-483A-BEF7-5257F8522605}" showGridLines="0" state="hidden" topLeftCell="B1">
      <selection activeCell="B67" sqref="B67"/>
      <rowBreaks count="3" manualBreakCount="3">
        <brk id="14" max="13" man="1"/>
        <brk id="61" max="18" man="1"/>
        <brk id="62" max="16383" man="1"/>
      </rowBreaks>
      <pageMargins left="7.874015748031496E-2" right="7.874015748031496E-2" top="0.19685039370078741" bottom="0.19685039370078741" header="0" footer="0"/>
      <printOptions horizontalCentered="1"/>
      <pageSetup paperSize="9" scale="88" orientation="portrait" r:id="rId1"/>
    </customSheetView>
  </customSheetViews>
  <mergeCells count="9">
    <mergeCell ref="D65:L65"/>
    <mergeCell ref="M74:N74"/>
    <mergeCell ref="D4:L4"/>
    <mergeCell ref="D5:L5"/>
    <mergeCell ref="G11:I12"/>
    <mergeCell ref="D18:L18"/>
    <mergeCell ref="D19:L19"/>
    <mergeCell ref="F27:J27"/>
    <mergeCell ref="D64:L64"/>
  </mergeCells>
  <hyperlinks>
    <hyperlink ref="E86" location="Scoresheet_IndScoresheet" display="Scoresheet_IndScoresheet" xr:uid="{00000000-0004-0000-2200-000000000000}"/>
    <hyperlink ref="E89" location="Scoresheet_Ind_TournamentName" display="Scoresheet_Ind_TournamentName" xr:uid="{00000000-0004-0000-2200-000001000000}"/>
    <hyperlink ref="E96" location="Scoresheet_Ind_Copyright" display="Scoresheet_Ind_Copyright" xr:uid="{00000000-0004-0000-2200-000002000000}"/>
    <hyperlink ref="E90" location="Scoresheet_Ind_StageName" display="Scoresheet_Ind_StageName" xr:uid="{00000000-0004-0000-2200-000003000000}"/>
    <hyperlink ref="E91" location="Scoresheet_Ind_Time" display="Scoresheet_Ind_Time" xr:uid="{00000000-0004-0000-2200-000004000000}"/>
    <hyperlink ref="E92" location="Scoresheet_Ind_Table" display="Scoresheet_Ind_Table" xr:uid="{00000000-0004-0000-2200-000005000000}"/>
    <hyperlink ref="E93" location="Scoresheet_Ind_Player1" display="Scoresheet_Ind_Player1" xr:uid="{00000000-0004-0000-2200-000006000000}"/>
    <hyperlink ref="E94" location="Scoresheet_Ind_Player2" display="Scoresheet_Ind_Player2" xr:uid="{00000000-0004-0000-2200-000007000000}"/>
    <hyperlink ref="E95" location="Scoresheet_Ind_Referee" display="Scoresheet_Ind_Referee" xr:uid="{00000000-0004-0000-2200-000008000000}"/>
    <hyperlink ref="E99" location="Scoresheet_TeamScoresheet" display="Scoresheet_TeamScoresheet" xr:uid="{00000000-0004-0000-2200-000009000000}"/>
    <hyperlink ref="E102" location="Scoresheet_Team_TournamentName" display="Scoresheet_Team_TournamentName" xr:uid="{00000000-0004-0000-2200-00000A000000}"/>
    <hyperlink ref="E117" location="Scoresheet_Team_Copyright" display="Scoresheet_Team_Copyright" xr:uid="{00000000-0004-0000-2200-00000B000000}"/>
    <hyperlink ref="E103" location="Scoresheet_Team_StageName" display="Scoresheet_Team_StageName" xr:uid="{00000000-0004-0000-2200-00000C000000}"/>
    <hyperlink ref="E104" location="Scoresheet_Team_Time" display="Scoresheet_Team_Time" xr:uid="{00000000-0004-0000-2200-00000D000000}"/>
    <hyperlink ref="E105" location="Scoresheet_Team_Table" display="Scoresheet_Team_Table" xr:uid="{00000000-0004-0000-2200-00000E000000}"/>
    <hyperlink ref="E106" location="Scoresheet_Team_Team1" display="Scoresheet_Team_Team1" xr:uid="{00000000-0004-0000-2200-00000F000000}"/>
    <hyperlink ref="E107" location="Scoresheet_Team_Team2" display="Scoresheet_Team_Team2" xr:uid="{00000000-0004-0000-2200-000010000000}"/>
    <hyperlink ref="E110" location="Scoresheet_Team_Referee" display="Scoresheet_Team_Referee" xr:uid="{00000000-0004-0000-2200-000011000000}"/>
    <hyperlink ref="E120" location="Scoresheet_DbleScoresheet" display="Scoresheet_DbleScoresheet" xr:uid="{00000000-0004-0000-2200-000012000000}"/>
    <hyperlink ref="E123" location="Scoresheet_Dble_TournamentName" display="Scoresheet_Dble_TournamentName" xr:uid="{00000000-0004-0000-2200-000013000000}"/>
    <hyperlink ref="E130" location="Scoresheet_Dble_Copyright" display="Scoresheet_Dble_Copyright" xr:uid="{00000000-0004-0000-2200-000014000000}"/>
    <hyperlink ref="E124" location="Scoresheet_Dble_StageName" display="Scoresheet_Dble_StageName" xr:uid="{00000000-0004-0000-2200-000015000000}"/>
    <hyperlink ref="E125" location="Scoresheet_Dble_Time" display="Scoresheet_Dble_Time" xr:uid="{00000000-0004-0000-2200-000016000000}"/>
    <hyperlink ref="E126" location="Scoresheet_Dble_Table" display="Scoresheet_Dble_Table" xr:uid="{00000000-0004-0000-2200-000017000000}"/>
    <hyperlink ref="E127" location="Scoresheet_Dble_Team1" display="Scoresheet_Dble_Team1" xr:uid="{00000000-0004-0000-2200-000018000000}"/>
    <hyperlink ref="E128" location="Scoresheet_Dble_Team2" display="Scoresheet_Dble_Team2" xr:uid="{00000000-0004-0000-2200-000019000000}"/>
    <hyperlink ref="E129" location="Scoresheet_Dble_Referee" display="Scoresheet_Dble_Referee" xr:uid="{00000000-0004-0000-2200-00001A000000}"/>
    <hyperlink ref="E88" location="Scoresheet_Ind_SessionNb" display="Scoresheet_Ind_SessionNb" xr:uid="{00000000-0004-0000-2200-00001B000000}"/>
    <hyperlink ref="E101" location="Scoresheet_Team_SessionNb" display="Scoresheet_Team_SessionNb" xr:uid="{00000000-0004-0000-2200-00001C000000}"/>
    <hyperlink ref="E122" location="Scoresheet_Dble_SessionNb" display="Scoresheet_Dble_SessionNb" xr:uid="{00000000-0004-0000-2200-00001D000000}"/>
    <hyperlink ref="E108" location="Scoresheet_Team_Referee" display="Scoresheet_Team_Referee" xr:uid="{00000000-0004-0000-2200-00001E000000}"/>
    <hyperlink ref="E109" location="Scoresheet_Team_Referee" display="Scoresheet_Team_Referee" xr:uid="{00000000-0004-0000-2200-00001F000000}"/>
    <hyperlink ref="E112" location="Scoresheet_Team_Referee" display="Scoresheet_Team_Referee" xr:uid="{00000000-0004-0000-2200-000020000000}"/>
    <hyperlink ref="E111" location="Scoresheet_Team_Referee" display="Scoresheet_Team_Referee" xr:uid="{00000000-0004-0000-2200-000021000000}"/>
    <hyperlink ref="E114" location="Scoresheet_Team_Referee" display="Scoresheet_Team_Referee" xr:uid="{00000000-0004-0000-2200-000022000000}"/>
    <hyperlink ref="E113" location="Scoresheet_Team_Referee" display="Scoresheet_Team_Referee" xr:uid="{00000000-0004-0000-2200-000023000000}"/>
    <hyperlink ref="E116" location="Scoresheet_Team_Referee" display="Scoresheet_Team_Referee" xr:uid="{00000000-0004-0000-2200-000024000000}"/>
    <hyperlink ref="E115" location="Scoresheet_Team_Referee" display="Scoresheet_Team_Referee" xr:uid="{00000000-0004-0000-2200-000025000000}"/>
  </hyperlinks>
  <printOptions horizontalCentered="1"/>
  <pageMargins left="7.874015748031496E-2" right="7.874015748031496E-2" top="0.19685039370078741" bottom="0.19685039370078741" header="0" footer="0"/>
  <pageSetup paperSize="9" scale="88" orientation="portrait" r:id="rId2"/>
  <rowBreaks count="3" manualBreakCount="3">
    <brk id="14" max="13" man="1"/>
    <brk id="61" max="18" man="1"/>
    <brk id="62" max="16383" man="1"/>
  </rowBreaks>
  <drawing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t_Podium">
    <pageSetUpPr fitToPage="1"/>
  </sheetPr>
  <dimension ref="A1:I47"/>
  <sheetViews>
    <sheetView showGridLines="0" topLeftCell="A25" workbookViewId="0">
      <selection activeCell="T30" sqref="T30"/>
    </sheetView>
  </sheetViews>
  <sheetFormatPr baseColWidth="10" defaultColWidth="11.42578125" defaultRowHeight="12.75" x14ac:dyDescent="0.2"/>
  <cols>
    <col min="1" max="1" width="3.7109375" style="1558" customWidth="1"/>
    <col min="2" max="2" width="3.28515625" style="1558" customWidth="1"/>
    <col min="3" max="3" width="8.28515625" style="1558" customWidth="1"/>
    <col min="4" max="4" width="8.5703125" style="1558" customWidth="1"/>
    <col min="5" max="5" width="3.5703125" style="1558" customWidth="1"/>
    <col min="6" max="6" width="9.42578125" style="1558" customWidth="1"/>
    <col min="7" max="7" width="11.85546875" style="1558" customWidth="1"/>
    <col min="8" max="8" width="64.5703125" style="1558" customWidth="1"/>
    <col min="9" max="9" width="3.5703125" style="1558" customWidth="1"/>
    <col min="10" max="16384" width="11.42578125" style="1558"/>
  </cols>
  <sheetData>
    <row r="1" spans="1:9" ht="13.5" thickTop="1" x14ac:dyDescent="0.2">
      <c r="A1" s="1585"/>
      <c r="B1" s="1586"/>
      <c r="C1" s="1586"/>
      <c r="D1" s="1586"/>
      <c r="E1" s="1586"/>
      <c r="F1" s="1586"/>
      <c r="G1" s="1586"/>
      <c r="H1" s="1586"/>
      <c r="I1" s="1587"/>
    </row>
    <row r="2" spans="1:9" ht="20.25" x14ac:dyDescent="0.2">
      <c r="A2" s="1588"/>
      <c r="B2" s="1596" t="str">
        <f>Tournament_Title</f>
        <v>&lt;FEDERATION&gt; &lt;Event Name&gt;&lt;YYYY&gt; - &lt;Location&gt; - &lt;Individuals/Teams&gt; Competition</v>
      </c>
      <c r="C2" s="1590"/>
      <c r="D2" s="1590"/>
      <c r="E2" s="1590"/>
      <c r="F2" s="1590"/>
      <c r="G2" s="1590"/>
      <c r="H2" s="1590"/>
      <c r="I2" s="1591"/>
    </row>
    <row r="3" spans="1:9" ht="20.25" x14ac:dyDescent="0.2">
      <c r="A3" s="1588"/>
      <c r="B3" s="2150" t="str">
        <f>Tournament_Date</f>
        <v>&lt;Event Date(s)&gt;</v>
      </c>
      <c r="C3" s="1590"/>
      <c r="D3" s="1590"/>
      <c r="E3" s="1590"/>
      <c r="F3" s="1590"/>
      <c r="G3" s="1590"/>
      <c r="H3" s="1590"/>
      <c r="I3" s="1591"/>
    </row>
    <row r="4" spans="1:9" ht="21" thickBot="1" x14ac:dyDescent="0.25">
      <c r="A4" s="1588"/>
      <c r="B4" s="1589"/>
      <c r="C4" s="1590"/>
      <c r="D4" s="1590"/>
      <c r="E4" s="1590"/>
      <c r="F4" s="1590"/>
      <c r="G4" s="1590"/>
      <c r="H4" s="1590"/>
      <c r="I4" s="1591"/>
    </row>
    <row r="5" spans="1:9" ht="21.75" thickTop="1" thickBot="1" x14ac:dyDescent="0.25">
      <c r="A5" s="1606"/>
      <c r="B5" s="2572" t="s">
        <v>889</v>
      </c>
      <c r="C5" s="2573"/>
      <c r="D5" s="2573"/>
      <c r="E5" s="2574"/>
      <c r="F5" s="1597"/>
      <c r="G5" s="1597"/>
      <c r="H5" s="1598"/>
      <c r="I5" s="1591"/>
    </row>
    <row r="6" spans="1:9" ht="25.5" x14ac:dyDescent="0.2">
      <c r="A6" s="1588"/>
      <c r="B6" s="1604"/>
      <c r="D6" s="1605" t="s">
        <v>9728</v>
      </c>
      <c r="F6" s="1608" t="str">
        <f ca="1">IF(B5="","",IFERROR(INDIRECT(B5 &amp; "!DisQual_P_4_1"),""))</f>
        <v/>
      </c>
      <c r="G6" s="1601"/>
      <c r="H6" s="1602"/>
      <c r="I6" s="1591"/>
    </row>
    <row r="7" spans="1:9" ht="25.5" x14ac:dyDescent="0.2">
      <c r="A7" s="1588"/>
      <c r="B7" s="1604"/>
      <c r="D7" s="1605" t="s">
        <v>9728</v>
      </c>
      <c r="F7" s="1608" t="str">
        <f ca="1">IF(B5="","",IFERROR(INDIRECT(B5 &amp; "!DisQual_P_4_2"),""))</f>
        <v/>
      </c>
      <c r="G7" s="1601"/>
      <c r="H7" s="1602"/>
      <c r="I7" s="1591"/>
    </row>
    <row r="8" spans="1:9" ht="33" x14ac:dyDescent="0.2">
      <c r="A8" s="1588"/>
      <c r="B8" s="1611"/>
      <c r="D8" s="1613" t="s">
        <v>9727</v>
      </c>
      <c r="E8" s="1592"/>
      <c r="G8" s="1609" t="e">
        <f ca="1">IF(B5="","",INDIRECT(B5&amp;"!DisQual_Last2"))</f>
        <v>#REF!</v>
      </c>
      <c r="H8" s="1603"/>
      <c r="I8" s="1591"/>
    </row>
    <row r="9" spans="1:9" ht="45" thickBot="1" x14ac:dyDescent="0.25">
      <c r="A9" s="1588"/>
      <c r="B9" s="1612"/>
      <c r="C9" s="1599"/>
      <c r="D9" s="1614" t="s">
        <v>1550</v>
      </c>
      <c r="E9" s="1599"/>
      <c r="F9" s="1600"/>
      <c r="G9" s="1599"/>
      <c r="H9" s="1610" t="e">
        <f ca="1">IF(B5="","",INDIRECT(B5&amp;"!Winner"))</f>
        <v>#REF!</v>
      </c>
      <c r="I9" s="1591"/>
    </row>
    <row r="10" spans="1:9" ht="14.25" thickTop="1" thickBot="1" x14ac:dyDescent="0.25">
      <c r="A10" s="1588"/>
      <c r="I10" s="1591"/>
    </row>
    <row r="11" spans="1:9" ht="21.75" thickTop="1" thickBot="1" x14ac:dyDescent="0.25">
      <c r="A11" s="1606"/>
      <c r="B11" s="2572" t="str">
        <f ca="1">OFFSET(EventSheetTable,(ROW()+1)/6-1,0,1)</f>
        <v>D1_Top8</v>
      </c>
      <c r="C11" s="2573"/>
      <c r="D11" s="2573"/>
      <c r="E11" s="2574"/>
      <c r="F11" s="1597"/>
      <c r="G11" s="1597"/>
      <c r="H11" s="1598"/>
      <c r="I11" s="1591"/>
    </row>
    <row r="12" spans="1:9" ht="25.5" x14ac:dyDescent="0.2">
      <c r="A12" s="1588"/>
      <c r="B12" s="1604"/>
      <c r="D12" s="1605" t="s">
        <v>9728</v>
      </c>
      <c r="F12" s="1608" t="str">
        <f ca="1">IF(B11="","",IFERROR(INDIRECT(B11 &amp; "!DisQual_P_4_1"),""))</f>
        <v/>
      </c>
      <c r="G12" s="1601"/>
      <c r="H12" s="1602"/>
      <c r="I12" s="1591"/>
    </row>
    <row r="13" spans="1:9" ht="25.5" x14ac:dyDescent="0.2">
      <c r="A13" s="1588"/>
      <c r="B13" s="1604"/>
      <c r="D13" s="1605" t="s">
        <v>9728</v>
      </c>
      <c r="F13" s="1608" t="str">
        <f ca="1">IF(B11="","",IFERROR(INDIRECT(B11 &amp; "!DisQual_P_4_2"),""))</f>
        <v/>
      </c>
      <c r="G13" s="1601"/>
      <c r="H13" s="1602"/>
      <c r="I13" s="1591"/>
    </row>
    <row r="14" spans="1:9" ht="33" x14ac:dyDescent="0.2">
      <c r="A14" s="1588"/>
      <c r="B14" s="1611"/>
      <c r="D14" s="1613" t="s">
        <v>9727</v>
      </c>
      <c r="E14" s="1592"/>
      <c r="G14" s="1609" t="e">
        <f ca="1">IF(B11="","",INDIRECT(B11&amp;"!DisQual_Last2"))</f>
        <v>#REF!</v>
      </c>
      <c r="H14" s="1603"/>
      <c r="I14" s="1591"/>
    </row>
    <row r="15" spans="1:9" ht="45" thickBot="1" x14ac:dyDescent="0.25">
      <c r="A15" s="1588"/>
      <c r="B15" s="1612"/>
      <c r="C15" s="1599"/>
      <c r="D15" s="1614" t="s">
        <v>1550</v>
      </c>
      <c r="E15" s="1599"/>
      <c r="F15" s="1600"/>
      <c r="G15" s="1599"/>
      <c r="H15" s="1610" t="e">
        <f ca="1">IF(B11="","",INDIRECT(B11&amp;"!Winner"))</f>
        <v>#REF!</v>
      </c>
      <c r="I15" s="1591"/>
    </row>
    <row r="16" spans="1:9" ht="14.25" thickTop="1" thickBot="1" x14ac:dyDescent="0.25">
      <c r="A16" s="1588"/>
      <c r="I16" s="1591"/>
    </row>
    <row r="17" spans="1:9" ht="21.75" thickTop="1" thickBot="1" x14ac:dyDescent="0.25">
      <c r="A17" s="1606"/>
      <c r="B17" s="2572" t="str">
        <f ca="1">OFFSET(EventSheetTable,(ROW()+1)/6-1,0,1)</f>
        <v>D1_Last8</v>
      </c>
      <c r="C17" s="2573"/>
      <c r="D17" s="2573"/>
      <c r="E17" s="2574"/>
      <c r="F17" s="1597"/>
      <c r="G17" s="1597"/>
      <c r="H17" s="1598"/>
      <c r="I17" s="1591"/>
    </row>
    <row r="18" spans="1:9" ht="25.5" x14ac:dyDescent="0.2">
      <c r="A18" s="1588"/>
      <c r="B18" s="1604"/>
      <c r="D18" s="1605" t="s">
        <v>9728</v>
      </c>
      <c r="F18" s="1608" t="str">
        <f ca="1">IF(B17="","",IFERROR(INDIRECT(B17 &amp; "!DisQual_P_4_1"),""))</f>
        <v/>
      </c>
      <c r="G18" s="1601"/>
      <c r="H18" s="1602"/>
      <c r="I18" s="1591"/>
    </row>
    <row r="19" spans="1:9" ht="25.5" x14ac:dyDescent="0.2">
      <c r="A19" s="1588"/>
      <c r="B19" s="1604"/>
      <c r="D19" s="1605" t="s">
        <v>9728</v>
      </c>
      <c r="F19" s="1608" t="str">
        <f ca="1">IF(B17="","",IFERROR(INDIRECT(B17 &amp; "!DisQual_P_4_2"),""))</f>
        <v/>
      </c>
      <c r="G19" s="1601"/>
      <c r="H19" s="1602"/>
      <c r="I19" s="1591"/>
    </row>
    <row r="20" spans="1:9" ht="33" x14ac:dyDescent="0.2">
      <c r="A20" s="1588"/>
      <c r="B20" s="1611"/>
      <c r="D20" s="1613" t="s">
        <v>9727</v>
      </c>
      <c r="E20" s="1592"/>
      <c r="G20" s="1609" t="e">
        <f ca="1">IF(B17="","",INDIRECT(B17&amp;"!DisQual_Last2"))</f>
        <v>#REF!</v>
      </c>
      <c r="H20" s="1603"/>
      <c r="I20" s="1591"/>
    </row>
    <row r="21" spans="1:9" ht="45" thickBot="1" x14ac:dyDescent="0.25">
      <c r="A21" s="1588"/>
      <c r="B21" s="1612"/>
      <c r="C21" s="1599"/>
      <c r="D21" s="1614" t="s">
        <v>1550</v>
      </c>
      <c r="E21" s="1599"/>
      <c r="F21" s="1600"/>
      <c r="G21" s="1599"/>
      <c r="H21" s="1610" t="e">
        <f ca="1">IF(B17="","",INDIRECT(B17&amp;"!Winner"))</f>
        <v>#REF!</v>
      </c>
      <c r="I21" s="1591"/>
    </row>
    <row r="22" spans="1:9" ht="14.25" thickTop="1" thickBot="1" x14ac:dyDescent="0.25">
      <c r="A22" s="1588"/>
      <c r="I22" s="1591"/>
    </row>
    <row r="23" spans="1:9" ht="21.75" thickTop="1" thickBot="1" x14ac:dyDescent="0.25">
      <c r="A23" s="1606"/>
      <c r="B23" s="2572" t="str">
        <f ca="1">OFFSET(EventSheetTable,(ROW()+1)/6-1,0,1)</f>
        <v/>
      </c>
      <c r="C23" s="2573"/>
      <c r="D23" s="2573"/>
      <c r="E23" s="2574"/>
      <c r="F23" s="1597"/>
      <c r="G23" s="1597"/>
      <c r="H23" s="1598"/>
      <c r="I23" s="1591"/>
    </row>
    <row r="24" spans="1:9" ht="25.5" x14ac:dyDescent="0.2">
      <c r="A24" s="1588"/>
      <c r="B24" s="1604"/>
      <c r="D24" s="1605" t="s">
        <v>9728</v>
      </c>
      <c r="F24" s="1608" t="str">
        <f ca="1">IF(B23="","",IFERROR(INDIRECT(B23 &amp; "!DisQual_P_4_1"),""))</f>
        <v/>
      </c>
      <c r="G24" s="1601"/>
      <c r="H24" s="1602"/>
      <c r="I24" s="1591"/>
    </row>
    <row r="25" spans="1:9" ht="25.5" x14ac:dyDescent="0.2">
      <c r="A25" s="1588"/>
      <c r="B25" s="1604"/>
      <c r="D25" s="1605" t="s">
        <v>9728</v>
      </c>
      <c r="F25" s="1608" t="str">
        <f ca="1">IF(B23="","",IFERROR(INDIRECT(B23 &amp; "!DisQual_P_4_2"),""))</f>
        <v/>
      </c>
      <c r="G25" s="1601"/>
      <c r="H25" s="1602"/>
      <c r="I25" s="1591"/>
    </row>
    <row r="26" spans="1:9" ht="33" x14ac:dyDescent="0.2">
      <c r="A26" s="1588"/>
      <c r="B26" s="1611"/>
      <c r="D26" s="1613" t="s">
        <v>9727</v>
      </c>
      <c r="E26" s="1592"/>
      <c r="G26" s="1609" t="str">
        <f ca="1">IF(B23="","",INDIRECT(B23&amp;"!DisQual_Last2"))</f>
        <v/>
      </c>
      <c r="H26" s="1603"/>
      <c r="I26" s="1591"/>
    </row>
    <row r="27" spans="1:9" ht="45" thickBot="1" x14ac:dyDescent="0.25">
      <c r="A27" s="1588"/>
      <c r="B27" s="1612"/>
      <c r="C27" s="1599"/>
      <c r="D27" s="1614" t="s">
        <v>1550</v>
      </c>
      <c r="E27" s="1599"/>
      <c r="F27" s="1600"/>
      <c r="G27" s="1599"/>
      <c r="H27" s="1610" t="str">
        <f ca="1">IF(B23="","",INDIRECT(B23&amp;"!Winner"))</f>
        <v/>
      </c>
      <c r="I27" s="1591"/>
    </row>
    <row r="28" spans="1:9" ht="14.25" thickTop="1" thickBot="1" x14ac:dyDescent="0.25">
      <c r="A28" s="1588"/>
      <c r="I28" s="1591"/>
    </row>
    <row r="29" spans="1:9" ht="21.75" thickTop="1" thickBot="1" x14ac:dyDescent="0.25">
      <c r="A29" s="1606"/>
      <c r="B29" s="2572" t="str">
        <f ca="1">OFFSET(EventSheetTable,(ROW()+1)/6-1,0,1)</f>
        <v/>
      </c>
      <c r="C29" s="2573"/>
      <c r="D29" s="2573"/>
      <c r="E29" s="2574"/>
      <c r="F29" s="1597"/>
      <c r="G29" s="1597"/>
      <c r="H29" s="1598"/>
      <c r="I29" s="1591"/>
    </row>
    <row r="30" spans="1:9" ht="25.5" x14ac:dyDescent="0.2">
      <c r="A30" s="1588"/>
      <c r="B30" s="1604"/>
      <c r="D30" s="1605" t="s">
        <v>9728</v>
      </c>
      <c r="F30" s="1608" t="str">
        <f ca="1">IF(B29="","",IFERROR(INDIRECT(B29 &amp; "!DisQual_P_4_1"),""))</f>
        <v/>
      </c>
      <c r="G30" s="1601"/>
      <c r="H30" s="1602"/>
      <c r="I30" s="1591"/>
    </row>
    <row r="31" spans="1:9" ht="25.5" x14ac:dyDescent="0.2">
      <c r="A31" s="1588"/>
      <c r="B31" s="1604"/>
      <c r="D31" s="1605" t="s">
        <v>9728</v>
      </c>
      <c r="F31" s="1608" t="str">
        <f ca="1">IF(B29="","",IFERROR(INDIRECT(B29 &amp; "!DisQual_P_4_2"),""))</f>
        <v/>
      </c>
      <c r="G31" s="1601"/>
      <c r="H31" s="1602"/>
      <c r="I31" s="1591"/>
    </row>
    <row r="32" spans="1:9" ht="33" x14ac:dyDescent="0.2">
      <c r="A32" s="1588"/>
      <c r="B32" s="1611"/>
      <c r="D32" s="1613" t="s">
        <v>9727</v>
      </c>
      <c r="E32" s="1592"/>
      <c r="G32" s="1609" t="str">
        <f ca="1">IF(B29="","",INDIRECT(B29&amp;"!DisQual_Last2"))</f>
        <v/>
      </c>
      <c r="H32" s="1603"/>
      <c r="I32" s="1591"/>
    </row>
    <row r="33" spans="1:9" ht="45" thickBot="1" x14ac:dyDescent="0.25">
      <c r="A33" s="1588"/>
      <c r="B33" s="1612"/>
      <c r="C33" s="1599"/>
      <c r="D33" s="1614" t="s">
        <v>1550</v>
      </c>
      <c r="E33" s="1599"/>
      <c r="F33" s="1600"/>
      <c r="G33" s="1599"/>
      <c r="H33" s="1610" t="str">
        <f ca="1">IF(B29="","",INDIRECT(B29&amp;"!Winner"))</f>
        <v/>
      </c>
      <c r="I33" s="1591"/>
    </row>
    <row r="34" spans="1:9" ht="14.25" thickTop="1" thickBot="1" x14ac:dyDescent="0.25">
      <c r="A34" s="1588"/>
      <c r="I34" s="1591"/>
    </row>
    <row r="35" spans="1:9" ht="21.75" thickTop="1" thickBot="1" x14ac:dyDescent="0.25">
      <c r="A35" s="1606"/>
      <c r="B35" s="2572" t="str">
        <f ca="1">OFFSET(EventSheetTable,(ROW()+1)/6-1,0,1)</f>
        <v/>
      </c>
      <c r="C35" s="2573"/>
      <c r="D35" s="2573"/>
      <c r="E35" s="2574"/>
      <c r="F35" s="1597"/>
      <c r="G35" s="1597"/>
      <c r="H35" s="1598"/>
      <c r="I35" s="1591"/>
    </row>
    <row r="36" spans="1:9" ht="25.5" x14ac:dyDescent="0.2">
      <c r="A36" s="1588"/>
      <c r="B36" s="1604"/>
      <c r="D36" s="1605" t="s">
        <v>9728</v>
      </c>
      <c r="F36" s="1608" t="str">
        <f ca="1">IF(B35="","",IFERROR(INDIRECT(B35 &amp; "!DisQual_P_4_1"),""))</f>
        <v/>
      </c>
      <c r="G36" s="1601"/>
      <c r="H36" s="1602"/>
      <c r="I36" s="1591"/>
    </row>
    <row r="37" spans="1:9" ht="25.5" x14ac:dyDescent="0.2">
      <c r="A37" s="1588"/>
      <c r="B37" s="1604"/>
      <c r="D37" s="1605" t="s">
        <v>9728</v>
      </c>
      <c r="F37" s="1608" t="str">
        <f ca="1">IF(B35="","",IFERROR(INDIRECT(B35 &amp; "!DisQual_P_4_2"),""))</f>
        <v/>
      </c>
      <c r="G37" s="1601"/>
      <c r="H37" s="1602"/>
      <c r="I37" s="1591"/>
    </row>
    <row r="38" spans="1:9" ht="33" x14ac:dyDescent="0.2">
      <c r="A38" s="1588"/>
      <c r="B38" s="1611"/>
      <c r="D38" s="1613" t="s">
        <v>9727</v>
      </c>
      <c r="E38" s="1592"/>
      <c r="G38" s="1609" t="str">
        <f ca="1">IF(B35="","",INDIRECT(B35&amp;"!DisQual_Last2"))</f>
        <v/>
      </c>
      <c r="H38" s="1603"/>
      <c r="I38" s="1591"/>
    </row>
    <row r="39" spans="1:9" ht="45" thickBot="1" x14ac:dyDescent="0.25">
      <c r="A39" s="1588"/>
      <c r="B39" s="1612"/>
      <c r="C39" s="1599"/>
      <c r="D39" s="1614" t="s">
        <v>1550</v>
      </c>
      <c r="E39" s="1599"/>
      <c r="F39" s="1600"/>
      <c r="G39" s="1599"/>
      <c r="H39" s="1610" t="str">
        <f ca="1">IF(B35="","",INDIRECT(B35&amp;"!Winner"))</f>
        <v/>
      </c>
      <c r="I39" s="1591"/>
    </row>
    <row r="40" spans="1:9" ht="14.25" thickTop="1" thickBot="1" x14ac:dyDescent="0.25">
      <c r="A40" s="1588"/>
      <c r="I40" s="1591"/>
    </row>
    <row r="41" spans="1:9" ht="21.75" thickTop="1" thickBot="1" x14ac:dyDescent="0.25">
      <c r="A41" s="1606"/>
      <c r="B41" s="2572" t="str">
        <f ca="1">OFFSET(EventSheetTable,(ROW()+1)/6-1,0,1)</f>
        <v/>
      </c>
      <c r="C41" s="2573"/>
      <c r="D41" s="2573"/>
      <c r="E41" s="2574"/>
      <c r="F41" s="1597"/>
      <c r="G41" s="1597"/>
      <c r="H41" s="1598"/>
      <c r="I41" s="1591"/>
    </row>
    <row r="42" spans="1:9" ht="25.5" x14ac:dyDescent="0.2">
      <c r="A42" s="1588"/>
      <c r="B42" s="1604"/>
      <c r="D42" s="1605" t="s">
        <v>9728</v>
      </c>
      <c r="F42" s="1608" t="str">
        <f ca="1">IF(B41="","",IFERROR(INDIRECT(B41 &amp; "!DisQual_P_4_1"),""))</f>
        <v/>
      </c>
      <c r="G42" s="1601"/>
      <c r="H42" s="1602"/>
      <c r="I42" s="1591"/>
    </row>
    <row r="43" spans="1:9" ht="25.5" x14ac:dyDescent="0.2">
      <c r="A43" s="1588"/>
      <c r="B43" s="1604"/>
      <c r="D43" s="1605" t="s">
        <v>9728</v>
      </c>
      <c r="F43" s="1608" t="str">
        <f ca="1">IF(B41="","",IFERROR(INDIRECT(B41 &amp; "!DisQual_P_4_2"),""))</f>
        <v/>
      </c>
      <c r="G43" s="1601"/>
      <c r="H43" s="1602"/>
      <c r="I43" s="1591"/>
    </row>
    <row r="44" spans="1:9" ht="33" x14ac:dyDescent="0.2">
      <c r="A44" s="1588"/>
      <c r="B44" s="1611"/>
      <c r="D44" s="1613" t="s">
        <v>9727</v>
      </c>
      <c r="E44" s="1592"/>
      <c r="G44" s="1609" t="str">
        <f ca="1">IF(B41="","",INDIRECT(B41&amp;"!DisQual_Last2"))</f>
        <v/>
      </c>
      <c r="H44" s="1603"/>
      <c r="I44" s="1591"/>
    </row>
    <row r="45" spans="1:9" ht="45" thickBot="1" x14ac:dyDescent="0.25">
      <c r="A45" s="1588"/>
      <c r="B45" s="1612"/>
      <c r="C45" s="1599"/>
      <c r="D45" s="1614" t="s">
        <v>1550</v>
      </c>
      <c r="E45" s="1599"/>
      <c r="F45" s="1600"/>
      <c r="G45" s="1599"/>
      <c r="H45" s="1610" t="str">
        <f ca="1">IF(B41="","",INDIRECT(B41&amp;"!Winner"))</f>
        <v/>
      </c>
      <c r="I45" s="1591"/>
    </row>
    <row r="46" spans="1:9" ht="14.25" thickTop="1" thickBot="1" x14ac:dyDescent="0.25">
      <c r="A46" s="1593"/>
      <c r="B46" s="1594"/>
      <c r="C46" s="1594"/>
      <c r="D46" s="1594"/>
      <c r="E46" s="1594"/>
      <c r="F46" s="1594"/>
      <c r="G46" s="1594"/>
      <c r="H46" s="1594"/>
      <c r="I46" s="1595"/>
    </row>
    <row r="47" spans="1:9" ht="13.5" thickTop="1" x14ac:dyDescent="0.2">
      <c r="H47" s="1607" t="str">
        <f>N_GMFT &amp; " v" &amp; Version_Outil</f>
        <v>GMFT - Gestion des Matches de Football de Table v14.3.1</v>
      </c>
    </row>
  </sheetData>
  <customSheetViews>
    <customSheetView guid="{13F24B0A-7740-483A-BEF7-5257F8522605}" showGridLines="0" fitToPage="1" state="hidden">
      <selection activeCell="F12" sqref="F12"/>
      <pageMargins left="0.51181102362204722" right="0.51181102362204722" top="0.55118110236220474" bottom="0.55118110236220474" header="0.31496062992125984" footer="0.31496062992125984"/>
      <printOptions horizontalCentered="1"/>
      <pageSetup paperSize="9" scale="73" orientation="portrait" r:id="rId1"/>
    </customSheetView>
  </customSheetViews>
  <mergeCells count="7">
    <mergeCell ref="B41:E41"/>
    <mergeCell ref="B35:E35"/>
    <mergeCell ref="B5:E5"/>
    <mergeCell ref="B11:E11"/>
    <mergeCell ref="B17:E17"/>
    <mergeCell ref="B23:E23"/>
    <mergeCell ref="B29:E29"/>
  </mergeCells>
  <dataValidations disablePrompts="1" count="1">
    <dataValidation type="list" allowBlank="1" showInputMessage="1" showErrorMessage="1" sqref="B35:E35 B17:E17 B23:E23 B5:E5 B11:E11 B29:E29 B41:E41" xr:uid="{00000000-0002-0000-2300-000000000000}">
      <formula1>OFFSET(EventSheetTable,0,0,NbEvents)</formula1>
    </dataValidation>
  </dataValidations>
  <printOptions horizontalCentered="1"/>
  <pageMargins left="0.51181102362204722" right="0.51181102362204722" top="0.55118110236220474" bottom="0.55118110236220474" header="0.31496062992125984" footer="0.31496062992125984"/>
  <pageSetup paperSize="9" scale="63" orientation="portrait" r:id="rId2"/>
  <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61193-6AB4-4B82-872D-05DA6807F4ED}">
  <sheetPr codeName="sht_IndGroups1">
    <tabColor rgb="FF00FF00"/>
    <outlinePr summaryBelow="0" summaryRight="0"/>
    <pageSetUpPr fitToPage="1"/>
  </sheetPr>
  <dimension ref="A1:CE67"/>
  <sheetViews>
    <sheetView showGridLines="0" tabSelected="1" defaultGridColor="0" colorId="18" zoomScale="130" zoomScaleNormal="130" workbookViewId="0">
      <selection activeCell="B43" sqref="B43"/>
    </sheetView>
  </sheetViews>
  <sheetFormatPr baseColWidth="10" defaultColWidth="11.42578125" defaultRowHeight="12.75" outlineLevelRow="2" outlineLevelCol="1" x14ac:dyDescent="0.2"/>
  <cols>
    <col min="1" max="1" width="3.7109375" style="7" customWidth="1"/>
    <col min="2" max="2" width="5.85546875" style="7" bestFit="1" customWidth="1"/>
    <col min="3" max="3" width="4.5703125" style="7" hidden="1" customWidth="1"/>
    <col min="4" max="4" width="5" style="7" hidden="1" customWidth="1"/>
    <col min="5" max="5" width="4.85546875" style="7" hidden="1" customWidth="1"/>
    <col min="6" max="6" width="5" style="7" hidden="1" customWidth="1"/>
    <col min="7" max="7" width="26.85546875" style="7" customWidth="1"/>
    <col min="8" max="8" width="8.42578125" style="7" bestFit="1" customWidth="1"/>
    <col min="9" max="9" width="8.5703125" style="7" bestFit="1" customWidth="1"/>
    <col min="10" max="10" width="4.140625" style="7" hidden="1" customWidth="1"/>
    <col min="11" max="11" width="4" style="7" hidden="1" customWidth="1"/>
    <col min="12" max="12" width="2.85546875" style="7" hidden="1" customWidth="1"/>
    <col min="13" max="14" width="2.28515625" style="7" hidden="1" customWidth="1"/>
    <col min="15" max="15" width="3.5703125" style="7" hidden="1" customWidth="1"/>
    <col min="16" max="16" width="3.7109375" style="7" hidden="1" customWidth="1"/>
    <col min="17" max="17" width="4.140625" style="7" hidden="1" customWidth="1"/>
    <col min="18" max="18" width="6.42578125" style="7" bestFit="1" customWidth="1" collapsed="1"/>
    <col min="19" max="19" width="5.85546875" style="7" hidden="1" customWidth="1" outlineLevel="1"/>
    <col min="20" max="20" width="6.140625" style="7" hidden="1" customWidth="1" outlineLevel="1"/>
    <col min="21" max="21" width="8.5703125" style="7" hidden="1" customWidth="1" outlineLevel="1"/>
    <col min="22" max="22" width="25.5703125" style="7" bestFit="1" customWidth="1"/>
    <col min="23" max="23" width="4" style="7" customWidth="1"/>
    <col min="24" max="24" width="1.85546875" style="7" bestFit="1" customWidth="1"/>
    <col min="25" max="25" width="3.7109375" style="7" customWidth="1"/>
    <col min="26" max="26" width="25.5703125" style="7" bestFit="1" customWidth="1"/>
    <col min="27" max="27" width="4.140625" style="7" hidden="1" customWidth="1"/>
    <col min="28" max="28" width="2.140625" style="7" hidden="1" customWidth="1"/>
    <col min="29" max="29" width="1.85546875" style="7" hidden="1" customWidth="1"/>
    <col min="30" max="30" width="2.140625" style="7" hidden="1" customWidth="1"/>
    <col min="31" max="31" width="2.85546875" style="7" hidden="1" customWidth="1"/>
    <col min="32" max="33" width="2.28515625" style="7" hidden="1" customWidth="1"/>
    <col min="34" max="34" width="2.140625" style="7" hidden="1" customWidth="1"/>
    <col min="35" max="35" width="8.5703125" style="7" hidden="1" customWidth="1"/>
    <col min="36" max="36" width="9.5703125" style="7" hidden="1" customWidth="1"/>
    <col min="37" max="37" width="6.140625" style="7" hidden="1" customWidth="1"/>
    <col min="38" max="39" width="3.42578125" style="7" customWidth="1"/>
    <col min="40" max="40" width="5.7109375" style="7" bestFit="1" customWidth="1"/>
    <col min="41" max="41" width="25.5703125" style="7" bestFit="1" customWidth="1"/>
    <col min="42" max="42" width="4.140625" style="7" bestFit="1" customWidth="1"/>
    <col min="43" max="43" width="4" style="7" bestFit="1" customWidth="1"/>
    <col min="44" max="44" width="2.85546875" style="7" bestFit="1" customWidth="1"/>
    <col min="45" max="46" width="2.28515625" style="7" bestFit="1" customWidth="1"/>
    <col min="47" max="48" width="3" style="7" bestFit="1" customWidth="1"/>
    <col min="49" max="49" width="4.140625" style="7" bestFit="1" customWidth="1" collapsed="1"/>
    <col min="50" max="50" width="3.7109375" style="7" hidden="1" customWidth="1" outlineLevel="1"/>
    <col min="51" max="77" width="3.5703125" style="7" hidden="1" customWidth="1" outlineLevel="1"/>
    <col min="78" max="80" width="11.5703125" style="7" hidden="1" customWidth="1"/>
    <col min="81" max="81" width="3.28515625" style="7" customWidth="1"/>
    <col min="82" max="82" width="3" style="7" customWidth="1"/>
    <col min="83" max="16384" width="11.42578125" style="7"/>
  </cols>
  <sheetData>
    <row r="1" spans="1:83" x14ac:dyDescent="0.2">
      <c r="A1"/>
      <c r="B1" s="1"/>
      <c r="D1" s="1268" t="s">
        <v>18217</v>
      </c>
      <c r="E1"/>
      <c r="F1"/>
      <c r="G1" s="1"/>
      <c r="H1" s="1"/>
      <c r="I1"/>
      <c r="J1"/>
      <c r="K1"/>
      <c r="L1"/>
      <c r="M1"/>
      <c r="N1"/>
      <c r="O1"/>
      <c r="P1"/>
      <c r="Q1" s="334"/>
      <c r="R1" s="1"/>
      <c r="S1" s="1"/>
      <c r="T1"/>
      <c r="U1" s="871"/>
      <c r="V1" s="123"/>
      <c r="W1" s="123"/>
      <c r="X1" s="123"/>
      <c r="Y1" s="123"/>
      <c r="Z1" s="123"/>
      <c r="AA1" s="963"/>
      <c r="AB1" s="963"/>
      <c r="AC1" s="963"/>
      <c r="AD1" s="964"/>
      <c r="AE1" s="964"/>
      <c r="AF1" s="964"/>
      <c r="AG1" s="964"/>
      <c r="AH1" s="964"/>
      <c r="AI1" s="964"/>
      <c r="AJ1" s="964"/>
      <c r="AK1"/>
      <c r="AL1"/>
      <c r="AN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c r="BZ1" s="1396"/>
      <c r="CA1" s="1396"/>
      <c r="CB1"/>
      <c r="CC1"/>
      <c r="CD1"/>
      <c r="CE1"/>
    </row>
    <row r="2" spans="1:83" ht="20.25" x14ac:dyDescent="0.3">
      <c r="A2"/>
      <c r="B2" s="1"/>
      <c r="C2" s="1495" t="s">
        <v>1586</v>
      </c>
      <c r="D2" s="833" t="s">
        <v>954</v>
      </c>
      <c r="E2"/>
      <c r="F2"/>
      <c r="G2" s="1"/>
      <c r="H2" s="1"/>
      <c r="I2"/>
      <c r="J2"/>
      <c r="K2"/>
      <c r="L2"/>
      <c r="M2"/>
      <c r="N2"/>
      <c r="O2"/>
      <c r="P2"/>
      <c r="Q2" s="334"/>
      <c r="R2" s="1"/>
      <c r="S2" s="1"/>
      <c r="T2"/>
      <c r="U2" s="6"/>
      <c r="V2" s="2086" t="str">
        <f>SHEETNAME(A1)</f>
        <v>D1_Tr1</v>
      </c>
      <c r="W2" s="2086"/>
      <c r="X2" s="2086"/>
      <c r="Y2" s="2086"/>
      <c r="Z2" s="2086"/>
      <c r="AA2" s="123"/>
      <c r="AB2" s="963"/>
      <c r="AC2" s="963"/>
      <c r="AD2" s="964"/>
      <c r="AE2" s="964"/>
      <c r="AF2" s="964"/>
      <c r="AG2" s="964"/>
      <c r="AH2" s="964"/>
      <c r="AI2" s="964"/>
      <c r="AJ2" s="964"/>
      <c r="AK2" s="964"/>
      <c r="AL2"/>
      <c r="AN2"/>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c r="BZ2"/>
      <c r="CA2" s="1396"/>
      <c r="CB2" s="1396"/>
      <c r="CC2"/>
      <c r="CD2"/>
      <c r="CE2"/>
    </row>
    <row r="3" spans="1:83" ht="13.5" thickBot="1" x14ac:dyDescent="0.25">
      <c r="A3"/>
      <c r="B3" s="1"/>
      <c r="C3" s="2085" t="b">
        <v>1</v>
      </c>
      <c r="D3"/>
      <c r="E3"/>
      <c r="F3"/>
      <c r="G3" s="1"/>
      <c r="H3" s="1"/>
      <c r="I3" s="1"/>
      <c r="J3"/>
      <c r="K3"/>
      <c r="L3"/>
      <c r="M3"/>
      <c r="N3"/>
      <c r="O3"/>
      <c r="P3"/>
      <c r="Q3"/>
      <c r="R3" s="334"/>
      <c r="S3" s="1"/>
      <c r="T3" s="1"/>
      <c r="U3"/>
      <c r="V3" s="6"/>
      <c r="W3" s="1"/>
      <c r="X3" s="1"/>
      <c r="Y3" s="1"/>
      <c r="Z3" s="16"/>
      <c r="AA3" s="123"/>
      <c r="AB3" s="963"/>
      <c r="AC3" s="963"/>
      <c r="AD3" s="963"/>
      <c r="AE3" s="964"/>
      <c r="AF3" s="964"/>
      <c r="AG3" s="964"/>
      <c r="AH3" s="964"/>
      <c r="AI3" s="964"/>
      <c r="AJ3" s="964"/>
      <c r="AK3" s="964"/>
      <c r="AL3"/>
      <c r="AM3"/>
      <c r="AO3"/>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c r="CA3" s="1396"/>
      <c r="CB3" s="1396"/>
      <c r="CC3"/>
      <c r="CD3"/>
      <c r="CE3"/>
    </row>
    <row r="4" spans="1:83" ht="13.5" thickBot="1" x14ac:dyDescent="0.25">
      <c r="A4"/>
      <c r="B4" s="282" t="str">
        <f>N_Group &amp; " 1"</f>
        <v>Poule 1</v>
      </c>
      <c r="C4" s="283"/>
      <c r="D4" s="283"/>
      <c r="E4" s="283"/>
      <c r="F4" s="283"/>
      <c r="G4" s="283"/>
      <c r="H4" s="283"/>
      <c r="I4" s="283"/>
      <c r="J4" s="283"/>
      <c r="K4" s="283"/>
      <c r="L4" s="283"/>
      <c r="M4" s="283"/>
      <c r="N4" s="283"/>
      <c r="O4" s="283"/>
      <c r="P4" s="283"/>
      <c r="Q4" s="283"/>
      <c r="R4" s="357"/>
      <c r="S4" s="283"/>
      <c r="T4" s="283"/>
      <c r="U4" s="283"/>
      <c r="V4" s="283"/>
      <c r="W4" s="992"/>
      <c r="X4" s="992"/>
      <c r="Y4" s="992"/>
      <c r="Z4" s="283"/>
      <c r="AA4" s="283"/>
      <c r="AB4" s="965"/>
      <c r="AC4" s="965"/>
      <c r="AD4" s="965"/>
      <c r="AE4" s="966"/>
      <c r="AF4" s="966"/>
      <c r="AG4" s="966"/>
      <c r="AH4" s="966"/>
      <c r="AI4" s="966"/>
      <c r="AJ4" s="966"/>
      <c r="AK4" s="965"/>
      <c r="AL4" s="283"/>
      <c r="AM4" s="282" t="str">
        <f>B4</f>
        <v>Poule 1</v>
      </c>
      <c r="AN4" s="283"/>
      <c r="AO4" s="283"/>
      <c r="AP4" s="283"/>
      <c r="AQ4" s="283"/>
      <c r="AR4" s="283"/>
      <c r="AS4" s="283"/>
      <c r="AT4" s="283"/>
      <c r="AU4" s="283"/>
      <c r="AV4" s="283"/>
      <c r="AW4" s="283"/>
      <c r="AX4" s="283"/>
      <c r="AY4" s="283"/>
      <c r="AZ4" s="283"/>
      <c r="BA4" s="283"/>
      <c r="BB4" s="283"/>
      <c r="BC4" s="283"/>
      <c r="BD4" s="283"/>
      <c r="BE4" s="283"/>
      <c r="BF4" s="283"/>
      <c r="BG4" s="283"/>
      <c r="BH4" s="283"/>
      <c r="BI4" s="283"/>
      <c r="BJ4" s="283"/>
      <c r="BK4" s="283"/>
      <c r="BL4" s="283"/>
      <c r="BM4" s="283"/>
      <c r="BN4" s="283"/>
      <c r="BO4" s="283"/>
      <c r="BP4" s="283"/>
      <c r="BQ4" s="283"/>
      <c r="BR4" s="283"/>
      <c r="BS4" s="283"/>
      <c r="BT4" s="283"/>
      <c r="BU4" s="283"/>
      <c r="BV4" s="283"/>
      <c r="BW4" s="283"/>
      <c r="BX4" s="283"/>
      <c r="BY4" s="283"/>
      <c r="BZ4" s="1395"/>
      <c r="CA4" s="1450"/>
      <c r="CB4" s="1450"/>
      <c r="CC4" s="284"/>
      <c r="CD4"/>
      <c r="CE4"/>
    </row>
    <row r="5" spans="1:83" ht="13.5" outlineLevel="1" thickBot="1" x14ac:dyDescent="0.25">
      <c r="A5"/>
      <c r="B5" s="1"/>
      <c r="C5"/>
      <c r="D5"/>
      <c r="E5"/>
      <c r="F5"/>
      <c r="G5" s="1"/>
      <c r="H5" s="1"/>
      <c r="I5" s="1"/>
      <c r="J5"/>
      <c r="K5"/>
      <c r="L5"/>
      <c r="M5"/>
      <c r="N5"/>
      <c r="O5"/>
      <c r="P5"/>
      <c r="Q5"/>
      <c r="R5" s="334"/>
      <c r="S5" s="1"/>
      <c r="T5" s="1"/>
      <c r="U5"/>
      <c r="V5" s="6"/>
      <c r="W5" s="1"/>
      <c r="X5" s="1"/>
      <c r="Y5" s="1"/>
      <c r="Z5" s="16"/>
      <c r="AA5" s="123"/>
      <c r="AB5" s="963"/>
      <c r="AC5" s="963"/>
      <c r="AD5" s="963"/>
      <c r="AE5" s="964"/>
      <c r="AF5" s="964"/>
      <c r="AG5" s="964"/>
      <c r="AH5" s="964"/>
      <c r="AI5" s="964"/>
      <c r="AJ5" s="964"/>
      <c r="AK5" s="964"/>
      <c r="AL5"/>
      <c r="AM5"/>
      <c r="AN5" s="833"/>
      <c r="AO5"/>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395"/>
      <c r="CA5" s="1450"/>
      <c r="CB5" s="1450"/>
      <c r="CC5"/>
      <c r="CD5"/>
      <c r="CE5"/>
    </row>
    <row r="6" spans="1:83" ht="13.5" outlineLevel="1" thickBot="1" x14ac:dyDescent="0.25">
      <c r="A6"/>
      <c r="B6" s="18" t="str">
        <f>N_Tirage</f>
        <v>Tirage</v>
      </c>
      <c r="C6" s="307" t="s">
        <v>787</v>
      </c>
      <c r="D6" s="308" t="s">
        <v>831</v>
      </c>
      <c r="E6" s="308" t="s">
        <v>832</v>
      </c>
      <c r="F6" s="309" t="s">
        <v>833</v>
      </c>
      <c r="G6" s="22" t="str">
        <f>N_Joueurs</f>
        <v>Joueurs</v>
      </c>
      <c r="H6" s="3" t="str">
        <f>N_RankPoints</f>
        <v>Pt. Clas.</v>
      </c>
      <c r="I6" s="3" t="str">
        <f>N_Diff_Part</f>
        <v>Diff-Part</v>
      </c>
      <c r="J6" s="311" t="str">
        <f>N_Pts</f>
        <v>Pts</v>
      </c>
      <c r="K6" s="311" t="str">
        <f>N_J</f>
        <v>J</v>
      </c>
      <c r="L6" s="308" t="str">
        <f>N_G</f>
        <v>G</v>
      </c>
      <c r="M6" s="308" t="str">
        <f>N_N</f>
        <v>N</v>
      </c>
      <c r="N6" s="308" t="str">
        <f>N_P</f>
        <v>P</v>
      </c>
      <c r="O6" s="308" t="str">
        <f>N_BP</f>
        <v>BP</v>
      </c>
      <c r="P6" s="308" t="str">
        <f>N_BC</f>
        <v>BC</v>
      </c>
      <c r="Q6" s="309" t="str">
        <f>N_Diff.</f>
        <v>Diff.</v>
      </c>
      <c r="R6" s="334"/>
      <c r="S6" s="3" t="str">
        <f>N_Heure</f>
        <v>Heure</v>
      </c>
      <c r="T6" s="22" t="str">
        <f>N_Table</f>
        <v>Table</v>
      </c>
      <c r="U6" s="22" t="str">
        <f>N_Arbitre</f>
        <v>Arbitre</v>
      </c>
      <c r="V6" s="293" t="str">
        <f>N_Matches</f>
        <v>Matches</v>
      </c>
      <c r="W6" s="294"/>
      <c r="X6" s="294"/>
      <c r="Y6" s="294"/>
      <c r="Z6" s="295"/>
      <c r="AA6" s="8"/>
      <c r="AB6" s="1461" t="str">
        <f>IF(MaxScore,N_MaxScore,"")</f>
        <v>Score Max</v>
      </c>
      <c r="AC6" s="1461"/>
      <c r="AD6" s="1461"/>
      <c r="AE6" s="964" t="str">
        <f>N_G</f>
        <v>G</v>
      </c>
      <c r="AF6" s="964" t="str">
        <f>N_N</f>
        <v>N</v>
      </c>
      <c r="AG6" s="964" t="str">
        <f>N_N</f>
        <v>N</v>
      </c>
      <c r="AH6" s="964" t="str">
        <f>N_P</f>
        <v>P</v>
      </c>
      <c r="AI6" s="964" t="s">
        <v>1560</v>
      </c>
      <c r="AJ6" s="964" t="s">
        <v>3714</v>
      </c>
      <c r="AK6" s="964" t="str">
        <f>IF(COUNTA(W7:W34)=0,"","OK")</f>
        <v>OK</v>
      </c>
      <c r="AL6"/>
      <c r="AM6"/>
      <c r="AN6" s="289" t="str">
        <f>N_Cla.</f>
        <v>Cla.</v>
      </c>
      <c r="AO6" s="70" t="str">
        <f>N_Joueurs</f>
        <v>Joueurs</v>
      </c>
      <c r="AP6" s="23" t="str">
        <f>N_Pts</f>
        <v>Pts</v>
      </c>
      <c r="AQ6" s="23" t="str">
        <f>N_J</f>
        <v>J</v>
      </c>
      <c r="AR6" s="20" t="str">
        <f>N_G</f>
        <v>G</v>
      </c>
      <c r="AS6" s="20" t="str">
        <f>N_N</f>
        <v>N</v>
      </c>
      <c r="AT6" s="20" t="str">
        <f>N_P</f>
        <v>P</v>
      </c>
      <c r="AU6" s="20" t="str">
        <f>N_BP</f>
        <v>BP</v>
      </c>
      <c r="AV6" s="20" t="str">
        <f>N_BC</f>
        <v>BC</v>
      </c>
      <c r="AW6" s="21" t="str">
        <f>N_Diff.</f>
        <v>Diff.</v>
      </c>
      <c r="AX6" s="287" t="str">
        <f>N_Matches</f>
        <v>Matches</v>
      </c>
      <c r="AY6" s="287"/>
      <c r="AZ6" s="287"/>
      <c r="BA6" s="287"/>
      <c r="BB6" s="287"/>
      <c r="BC6" s="287"/>
      <c r="BD6" s="287"/>
      <c r="BE6" s="287"/>
      <c r="BF6" s="287"/>
      <c r="BG6" s="287"/>
      <c r="BH6" s="287"/>
      <c r="BI6" s="287"/>
      <c r="BJ6" s="287"/>
      <c r="BK6" s="287"/>
      <c r="BL6" s="287"/>
      <c r="BM6" s="287"/>
      <c r="BN6" s="287"/>
      <c r="BO6" s="287"/>
      <c r="BP6" s="287"/>
      <c r="BQ6" s="287"/>
      <c r="BR6" s="287"/>
      <c r="BS6" s="287"/>
      <c r="BT6" s="287"/>
      <c r="BU6" s="287"/>
      <c r="BV6" s="287"/>
      <c r="BW6" s="287"/>
      <c r="BX6" s="287"/>
      <c r="BY6" s="288"/>
      <c r="BZ6" s="1395"/>
      <c r="CA6" s="1450"/>
      <c r="CB6" s="1450"/>
      <c r="CC6"/>
      <c r="CD6"/>
      <c r="CE6"/>
    </row>
    <row r="7" spans="1:83" outlineLevel="1" x14ac:dyDescent="0.2">
      <c r="A7" s="270"/>
      <c r="B7" s="543">
        <v>1</v>
      </c>
      <c r="C7" s="549">
        <f>IF(AK6="","",RANK(F7,F7:F14)*1000+ROW())</f>
        <v>1007</v>
      </c>
      <c r="D7" s="550">
        <f t="shared" ref="D7:D14" si="0">IF(L7="","",CritClassInd1_Points*J7+CritClassInd1_Matches*L7+CritClassInd1_Attaque*O7+CritClassInd1_DiffButs*Q7)</f>
        <v>120000000000</v>
      </c>
      <c r="E7" s="550">
        <f>IF(L7="","",Nb_Diff_Part(D7,D7:D14,G7,G7:G14,AI7:AI34)*CritClassInd_DiffPart+Nb_Goal_Part(D7,D7:D14,G7,G7:G14,V7:Z34)*CritClassInd_GoalPart+Nb_Score_Part(D7,D7:D14,G7,G7:G14,V7:Z34)*CritClassInd_ScorePart)</f>
        <v>315240000</v>
      </c>
      <c r="F7" s="551">
        <f t="shared" ref="F7:F14" si="1">IF(L7="","",D7+E7+CritClassInd2_Points*J7+CritClassInd2_Matches*L7+CritClassInd2_Attaque*O7+CritClassInd2_DiffButs*Q7+CritClassInd_Ranking*H7+I7)</f>
        <v>120315241229</v>
      </c>
      <c r="G7" s="476" t="s">
        <v>18224</v>
      </c>
      <c r="H7" s="499">
        <f t="shared" ref="H7:H14" si="2">GMFTRANKINGPOINTS(G7,Particular_Category)</f>
        <v>0</v>
      </c>
      <c r="I7" s="500"/>
      <c r="J7" s="555">
        <f>IF(AK6="","",(L7*Points_Victoire)+M7*Points_Null)</f>
        <v>12</v>
      </c>
      <c r="K7" s="556">
        <f t="shared" ref="K7:K14" si="3">IF(L7="","",SUM(L7:N7))</f>
        <v>7</v>
      </c>
      <c r="L7" s="556">
        <f>IF(AK6="","",COUNTIF(AE7:AE34,G7))</f>
        <v>4</v>
      </c>
      <c r="M7" s="556">
        <f>IF(AK6="","",COUNTIF(AF7:AG34,G7))</f>
        <v>0</v>
      </c>
      <c r="N7" s="556">
        <f>IF(AK6="","",COUNTIF(AH7:AH34,G7))</f>
        <v>3</v>
      </c>
      <c r="O7" s="556">
        <f>IF(AK6="","",SUMIF(V7:V34,G7,AB7:AB34)+SUMIF(Z7:Z34,G7,AD7:AD34))</f>
        <v>29</v>
      </c>
      <c r="P7" s="556">
        <f>IF(AK6="","",SUMIF(V7:V34,G7,AD7:AD34)+SUMIF(Z7:Z34,G7,AB7:AB34))</f>
        <v>17</v>
      </c>
      <c r="Q7" s="557">
        <f>IF(AK6="","",O7-P7)</f>
        <v>12</v>
      </c>
      <c r="R7" s="558" t="s">
        <v>1726</v>
      </c>
      <c r="S7" s="611">
        <v>0.35416666666666669</v>
      </c>
      <c r="T7" s="617"/>
      <c r="U7" s="1502"/>
      <c r="V7" s="479" t="str">
        <f>IF(G7="","",G7)</f>
        <v>Raphaël POMMIER (cae)</v>
      </c>
      <c r="W7" s="480">
        <v>8</v>
      </c>
      <c r="X7" s="481" t="s">
        <v>769</v>
      </c>
      <c r="Y7" s="480">
        <v>3</v>
      </c>
      <c r="Z7" s="482" t="str">
        <f>IF(G9="","",G9)</f>
        <v>Eric NASZALYI (iss)</v>
      </c>
      <c r="AA7" s="839"/>
      <c r="AB7" s="1459">
        <f t="shared" ref="AB7:AB34" si="4">IF(MaxScore,MaxGoals(W7,Y7,MaxGoalsValue),IF(W7="","",W7))</f>
        <v>5</v>
      </c>
      <c r="AC7" s="1460" t="str">
        <f t="shared" ref="AC7:AC34" si="5">IF(MaxScore,"-",IF(W7="","","-"))</f>
        <v>-</v>
      </c>
      <c r="AD7" s="1459">
        <f t="shared" ref="AD7:AD34" si="6">IF(MaxScore,MaxGoals(Y7,W7,MaxGoalsValue),IF(Y7="","",Y7))</f>
        <v>0</v>
      </c>
      <c r="AE7" s="968" t="str">
        <f t="shared" ref="AE7:AE34" si="7">IF(W7="","",IF(W7&gt;Y7,V7,IF(W7=Y7,"",Z7)))</f>
        <v>Raphaël POMMIER (cae)</v>
      </c>
      <c r="AF7" s="968" t="str">
        <f t="shared" ref="AF7:AF34" si="8">IF(W7="","",IF(W7=Y7,V7,""))</f>
        <v/>
      </c>
      <c r="AG7" s="968" t="str">
        <f t="shared" ref="AG7:AG34" si="9">IF(W7="","",IF(W7=Y7,Z7,""))</f>
        <v/>
      </c>
      <c r="AH7" s="968" t="str">
        <f t="shared" ref="AH7:AH34" si="10">IF(W7="","",IF(W7&lt;Y7,V7,IF(W7=Y7,"",Z7)))</f>
        <v>Eric NASZALYI (iss)</v>
      </c>
      <c r="AI7" s="968" t="str">
        <f t="shared" ref="AI7:AI34" si="11">CONCATENATE(AE7,AH7)</f>
        <v>Raphaël POMMIER (cae)Eric NASZALYI (iss)</v>
      </c>
      <c r="AJ7" s="968"/>
      <c r="AK7" s="968">
        <f>IF(AK6="","",SMALL(C7:C14,1))</f>
        <v>1007</v>
      </c>
      <c r="AL7" s="270"/>
      <c r="AM7" s="270"/>
      <c r="AN7" s="543">
        <f>IF(AK6="","",INT(AK7/1000))</f>
        <v>1</v>
      </c>
      <c r="AO7" s="527" t="str">
        <f>IF(AK6="",IF(HidePlayerFormulas,"","("&amp;G7&amp;")"),VLOOKUP(AK7,C7:Q14,5,FALSE))</f>
        <v>Raphaël POMMIER (cae)</v>
      </c>
      <c r="AP7" s="528">
        <f>VLOOKUP(AK7,C7:Q14,8,FALSE)</f>
        <v>12</v>
      </c>
      <c r="AQ7" s="528">
        <f>VLOOKUP(AK7,C7:Q14,9,FALSE)</f>
        <v>7</v>
      </c>
      <c r="AR7" s="528">
        <f>VLOOKUP(AK7,C7:Q14,10,FALSE)</f>
        <v>4</v>
      </c>
      <c r="AS7" s="528">
        <f>VLOOKUP(AK7,C7:Q14,11,FALSE)</f>
        <v>0</v>
      </c>
      <c r="AT7" s="528">
        <f>VLOOKUP(AK7,C7:Q14,12,FALSE)</f>
        <v>3</v>
      </c>
      <c r="AU7" s="528">
        <f>VLOOKUP(AK7,C7:Q14,13,FALSE)</f>
        <v>29</v>
      </c>
      <c r="AV7" s="528">
        <f>VLOOKUP(AK7,C7:Q14,14,FALSE)</f>
        <v>17</v>
      </c>
      <c r="AW7" s="529">
        <f>VLOOKUP(AK7,C7:Q14,15,FALSE)</f>
        <v>12</v>
      </c>
      <c r="AX7" s="544" t="str">
        <f>IF(W31="","",IF(AO7=V31,W31,IF(AO7=Z31,Y31,"")))</f>
        <v/>
      </c>
      <c r="AY7" s="518" t="str">
        <f>IF(W32="","",IF(AO7=V32,W32,IF(AO7=Z32,Y32,"")))</f>
        <v/>
      </c>
      <c r="AZ7" s="518" t="str">
        <f>IF(W33="","",IF(AO7=V33,W33,IF(AO7=Z33,Y33,"")))</f>
        <v/>
      </c>
      <c r="BA7" s="518">
        <f>IF(W34="","",IF(AO7=V34,W34,IF(AO7=Z34,Y34,"")))</f>
        <v>3</v>
      </c>
      <c r="BB7" s="518" t="str">
        <f>IF(W27="","",IF(AO7=V27,W27,IF(AO7=Z27,Y27,"")))</f>
        <v/>
      </c>
      <c r="BC7" s="518" t="str">
        <f>IF(W28="","",IF(AO7=V28,W28,IF(AO7=Z28,Y28,"")))</f>
        <v/>
      </c>
      <c r="BD7" s="518">
        <f>IF(W29="","",IF(AO7=V29,W29,IF(AO7=Z29,Y29,"")))</f>
        <v>3</v>
      </c>
      <c r="BE7" s="518" t="str">
        <f>IF(W30="","",IF(AO7=V30,W30,IF(AO7=Z30,Y30,"")))</f>
        <v/>
      </c>
      <c r="BF7" s="518">
        <f>IF(W23="","",IF(AO7=V23,W23,IF(AO7=Z23,Y23,"")))</f>
        <v>8</v>
      </c>
      <c r="BG7" s="518" t="str">
        <f>IF(W24="","",IF(AO7=V24,W24,IF(AO7=Z24,Y24,"")))</f>
        <v/>
      </c>
      <c r="BH7" s="518" t="str">
        <f>IF(W25="","",IF(AO7=V25,W25,IF(AO7=Z25,Y25,"")))</f>
        <v/>
      </c>
      <c r="BI7" s="518" t="str">
        <f>IF(W26="","",IF(AO7=V26,W26,IF(AO7=Z26,Y26,"")))</f>
        <v/>
      </c>
      <c r="BJ7" s="518">
        <f>IF(W19="","",IF(AO7=V19,W19,IF(AO7=Z19,Y19,"")))</f>
        <v>8</v>
      </c>
      <c r="BK7" s="518" t="str">
        <f>IF(W20="","",IF(AO7=V20,W20,IF(AO7=Z20,Y20,"")))</f>
        <v/>
      </c>
      <c r="BL7" s="518" t="str">
        <f>IF(W21="","",IF(AO7=V21,W21,IF(AO7=Z21,Y21,"")))</f>
        <v/>
      </c>
      <c r="BM7" s="518" t="str">
        <f>IF(W22="","",IF(AO7=V22,W22,IF(AO7=Z22,Y22,"")))</f>
        <v/>
      </c>
      <c r="BN7" s="518" t="str">
        <f>IF(W15="","",IF(AO7=V15,W15,IF(AO7=Z15,Y15,"")))</f>
        <v/>
      </c>
      <c r="BO7" s="518" t="str">
        <f>IF(W16="","",IF(AO7=V16,W16,IF(AO7=Z16,Y16,"")))</f>
        <v/>
      </c>
      <c r="BP7" s="518">
        <f>IF(W17="","",IF(AO7=V17,W17,IF(AO7=Z17,Y17,"")))</f>
        <v>3</v>
      </c>
      <c r="BQ7" s="518" t="str">
        <f>IF(W18="","",IF(AO7=V18,W18,IF(AO7=Z18,Y18,"")))</f>
        <v/>
      </c>
      <c r="BR7" s="518">
        <f>IF(W11="","",IF(AO7=V11,W11,IF(AO7=Z11,Y11,"")))</f>
        <v>8</v>
      </c>
      <c r="BS7" s="518" t="str">
        <f>IF(W12="","",IF(AO7=V12,W12,IF(AO7=Z12,Y12,"")))</f>
        <v/>
      </c>
      <c r="BT7" s="518" t="str">
        <f>IF(W13="","",IF(AO7=V13,W13,IF(AO7=Z13,Y13,"")))</f>
        <v/>
      </c>
      <c r="BU7" s="518" t="str">
        <f>IF(W14="","",IF(AO7=V14,W14,IF(AO7=Z14,Y14,"")))</f>
        <v/>
      </c>
      <c r="BV7" s="518">
        <f>IF(W7="","",IF(AO7=V7,W7,IF(AO7=Z7,Y7,"")))</f>
        <v>8</v>
      </c>
      <c r="BW7" s="518" t="str">
        <f>IF(W8="","",IF(AO7=V8,W8,IF(AO7=Z8,Y8,"")))</f>
        <v/>
      </c>
      <c r="BX7" s="518" t="str">
        <f>IF(W9="","",IF(AO7=V9,W9,IF(AO7=Z9,Y9,"")))</f>
        <v/>
      </c>
      <c r="BY7" s="519" t="str">
        <f>IF(W10="","",IF(AO7=V10,W10,IF(AO7=Z10,Y10,"")))</f>
        <v/>
      </c>
      <c r="BZ7" s="1395" t="b">
        <f t="shared" ref="BZ7:BZ14" si="12">IF(G7="[---WithDraw---]",FALSE,IF(COUNTIF(PlayerNamesWithinGroups,G7)&gt;1,TRUE,FALSE))</f>
        <v>0</v>
      </c>
      <c r="CA7" s="1450" t="b">
        <f t="shared" ref="CA7:CA14" si="13">AND(LEFT($AO7,1) = "(", RIGHT($AO7,1) =")")</f>
        <v>0</v>
      </c>
      <c r="CB7" s="1450" t="b">
        <f t="shared" ref="CB7:CB14" si="14">IF(OR($AN7=$AN6,$AN7=$AN8),TRUE,FALSE)</f>
        <v>0</v>
      </c>
      <c r="CC7" s="270"/>
      <c r="CD7" s="270"/>
      <c r="CE7"/>
    </row>
    <row r="8" spans="1:83" outlineLevel="1" x14ac:dyDescent="0.2">
      <c r="A8" s="270"/>
      <c r="B8" s="545">
        <v>2</v>
      </c>
      <c r="C8" s="560">
        <f>IF(AK6="","",RANK(F8,F7:F14)*1000+ROW())</f>
        <v>3008</v>
      </c>
      <c r="D8" s="561">
        <f t="shared" si="0"/>
        <v>120000000000</v>
      </c>
      <c r="E8" s="561">
        <f>IF(L8="","",Nb_Diff_Part(D8,D7:D14,G8,G7:G14,AI7:AI34)*CritClassInd_DiffPart+Nb_Goal_Part(D8,D7:D14,G8,G7:G14,V7:Z34)*CritClassInd_GoalPart+Nb_Score_Part(D8,D7:D14,G8,G7:G14,V7:Z34)*CritClassInd_ScorePart)</f>
        <v>-104870000</v>
      </c>
      <c r="F8" s="562">
        <f t="shared" si="1"/>
        <v>119895130432</v>
      </c>
      <c r="G8" s="477" t="s">
        <v>18228</v>
      </c>
      <c r="H8" s="501">
        <f t="shared" si="2"/>
        <v>0</v>
      </c>
      <c r="I8" s="502"/>
      <c r="J8" s="560">
        <f>IF(AK6="","",(L8*Points_Victoire)+M8*Points_Null)</f>
        <v>12</v>
      </c>
      <c r="K8" s="556">
        <f t="shared" si="3"/>
        <v>7</v>
      </c>
      <c r="L8" s="563">
        <f>IF(AK6="","",COUNTIF(AE7:AE34,G8))</f>
        <v>4</v>
      </c>
      <c r="M8" s="563">
        <f>IF(AK6="","",COUNTIF(AF7:AG34,G8))</f>
        <v>0</v>
      </c>
      <c r="N8" s="563">
        <f>IF(AK6="","",COUNTIF(AH7:AH34,G8))</f>
        <v>3</v>
      </c>
      <c r="O8" s="563">
        <f>IF(AK6="","",SUMIF(V7:V34,G8,AB7:AB34)+SUMIF(Z7:Z34,G8,AD7:AD34))</f>
        <v>32</v>
      </c>
      <c r="P8" s="563">
        <f>IF(AK6="","",SUMIF(V7:V34,G8,AD7:AD34)+SUMIF(Z7:Z34,G8,AB7:AB34))</f>
        <v>28</v>
      </c>
      <c r="Q8" s="557">
        <f>IF(AK6="","",O8-P8)</f>
        <v>4</v>
      </c>
      <c r="R8" s="558" t="s">
        <v>1726</v>
      </c>
      <c r="S8" s="613">
        <v>0.35416666666666669</v>
      </c>
      <c r="T8" s="618"/>
      <c r="U8" s="1504"/>
      <c r="V8" s="483" t="str">
        <f>IF(G8="","",G8)</f>
        <v>Théo MODESTE (iss)</v>
      </c>
      <c r="W8" s="484">
        <v>7</v>
      </c>
      <c r="X8" s="485" t="s">
        <v>769</v>
      </c>
      <c r="Y8" s="484">
        <v>3</v>
      </c>
      <c r="Z8" s="486" t="str">
        <f>IF(G14="","",G14)</f>
        <v>Cédric PANDOLFI (sym)</v>
      </c>
      <c r="AA8" s="839"/>
      <c r="AB8" s="1459">
        <f t="shared" si="4"/>
        <v>7</v>
      </c>
      <c r="AC8" s="1460" t="str">
        <f t="shared" si="5"/>
        <v>-</v>
      </c>
      <c r="AD8" s="1459">
        <f t="shared" si="6"/>
        <v>3</v>
      </c>
      <c r="AE8" s="968" t="str">
        <f t="shared" si="7"/>
        <v>Théo MODESTE (iss)</v>
      </c>
      <c r="AF8" s="968" t="str">
        <f t="shared" si="8"/>
        <v/>
      </c>
      <c r="AG8" s="968" t="str">
        <f t="shared" si="9"/>
        <v/>
      </c>
      <c r="AH8" s="968" t="str">
        <f t="shared" si="10"/>
        <v>Cédric PANDOLFI (sym)</v>
      </c>
      <c r="AI8" s="968" t="str">
        <f t="shared" si="11"/>
        <v>Théo MODESTE (iss)Cédric PANDOLFI (sym)</v>
      </c>
      <c r="AJ8" s="968"/>
      <c r="AK8" s="968">
        <f>IF(AK6="","",SMALL(C7:C14,2))</f>
        <v>2009</v>
      </c>
      <c r="AL8" s="270"/>
      <c r="AM8" s="270"/>
      <c r="AN8" s="545">
        <f>IF(AK6="","",INT(AK8/1000))</f>
        <v>2</v>
      </c>
      <c r="AO8" s="510" t="str">
        <f>IF(AK6="",IF(HidePlayerFormulas,"","("&amp;G8&amp;")"),VLOOKUP(AK8,C7:Q14,5,FALSE))</f>
        <v>Eric NASZALYI (iss)</v>
      </c>
      <c r="AP8" s="511">
        <f>VLOOKUP(AK8,C7:Q14,8,FALSE)</f>
        <v>12</v>
      </c>
      <c r="AQ8" s="511">
        <f>VLOOKUP(AK8,C7:Q14,9,FALSE)</f>
        <v>7</v>
      </c>
      <c r="AR8" s="511">
        <f>VLOOKUP(AK8,C7:Q14,10,FALSE)</f>
        <v>4</v>
      </c>
      <c r="AS8" s="511">
        <f>VLOOKUP(AK8,C7:Q14,11,FALSE)</f>
        <v>0</v>
      </c>
      <c r="AT8" s="511">
        <f>VLOOKUP(AK8,C7:Q14,12,FALSE)</f>
        <v>3</v>
      </c>
      <c r="AU8" s="511">
        <f>VLOOKUP(AK8,C7:Q14,13,FALSE)</f>
        <v>29</v>
      </c>
      <c r="AV8" s="511">
        <f>VLOOKUP(AK8,C7:Q14,14,FALSE)</f>
        <v>23</v>
      </c>
      <c r="AW8" s="512">
        <f>VLOOKUP(AK8,C7:Q14,15,FALSE)</f>
        <v>6</v>
      </c>
      <c r="AX8" s="546" t="str">
        <f>IF(W31="","",IF(AO8=V31,W31,IF(AO8=Z31,Y31,"")))</f>
        <v/>
      </c>
      <c r="AY8" s="521">
        <f>IF(W32="","",IF(AO8=V32,W32,IF(AO8=Z32,Y32,"")))</f>
        <v>7</v>
      </c>
      <c r="AZ8" s="521" t="str">
        <f>IF(W33="","",IF(AO8=V33,W33,IF(AO8=Z33,Y33,"")))</f>
        <v/>
      </c>
      <c r="BA8" s="521" t="str">
        <f>IF(W34="","",IF(AO8=V34,W34,IF(AO8=Z34,Y34,"")))</f>
        <v/>
      </c>
      <c r="BB8" s="521">
        <f>IF(W27="","",IF(AO8=V27,W27,IF(AO8=Z27,Y27,"")))</f>
        <v>8</v>
      </c>
      <c r="BC8" s="521" t="str">
        <f>IF(W28="","",IF(AO8=V28,W28,IF(AO8=Z28,Y28,"")))</f>
        <v/>
      </c>
      <c r="BD8" s="521" t="str">
        <f>IF(W29="","",IF(AO8=V29,W29,IF(AO8=Z29,Y29,"")))</f>
        <v/>
      </c>
      <c r="BE8" s="521" t="str">
        <f>IF(W30="","",IF(AO8=V30,W30,IF(AO8=Z30,Y30,"")))</f>
        <v/>
      </c>
      <c r="BF8" s="521" t="str">
        <f>IF(W23="","",IF(AO8=V23,W23,IF(AO8=Z23,Y23,"")))</f>
        <v/>
      </c>
      <c r="BG8" s="521">
        <f>IF(W24="","",IF(AO8=V24,W24,IF(AO8=Z24,Y24,"")))</f>
        <v>3</v>
      </c>
      <c r="BH8" s="521" t="str">
        <f>IF(W25="","",IF(AO8=V25,W25,IF(AO8=Z25,Y25,"")))</f>
        <v/>
      </c>
      <c r="BI8" s="521" t="str">
        <f>IF(W26="","",IF(AO8=V26,W26,IF(AO8=Z26,Y26,"")))</f>
        <v/>
      </c>
      <c r="BJ8" s="521" t="str">
        <f>IF(W19="","",IF(AO8=V19,W19,IF(AO8=Z19,Y19,"")))</f>
        <v/>
      </c>
      <c r="BK8" s="521" t="str">
        <f>IF(W20="","",IF(AO8=V20,W20,IF(AO8=Z20,Y20,"")))</f>
        <v/>
      </c>
      <c r="BL8" s="521" t="str">
        <f>IF(W21="","",IF(AO8=V21,W21,IF(AO8=Z21,Y21,"")))</f>
        <v/>
      </c>
      <c r="BM8" s="521">
        <f>IF(W22="","",IF(AO8=V22,W22,IF(AO8=Z22,Y22,"")))</f>
        <v>3</v>
      </c>
      <c r="BN8" s="521">
        <f>IF(W15="","",IF(AO8=V15,W15,IF(AO8=Z15,Y15,"")))</f>
        <v>8</v>
      </c>
      <c r="BO8" s="521" t="str">
        <f>IF(W16="","",IF(AO8=V16,W16,IF(AO8=Z16,Y16,"")))</f>
        <v/>
      </c>
      <c r="BP8" s="521" t="str">
        <f>IF(W17="","",IF(AO8=V17,W17,IF(AO8=Z17,Y17,"")))</f>
        <v/>
      </c>
      <c r="BQ8" s="521" t="str">
        <f>IF(W18="","",IF(AO8=V18,W18,IF(AO8=Z18,Y18,"")))</f>
        <v/>
      </c>
      <c r="BR8" s="521" t="str">
        <f>IF(W11="","",IF(AO8=V11,W11,IF(AO8=Z11,Y11,"")))</f>
        <v/>
      </c>
      <c r="BS8" s="521" t="str">
        <f>IF(W12="","",IF(AO8=V12,W12,IF(AO8=Z12,Y12,"")))</f>
        <v/>
      </c>
      <c r="BT8" s="521">
        <f>IF(W13="","",IF(AO8=V13,W13,IF(AO8=Z13,Y13,"")))</f>
        <v>6</v>
      </c>
      <c r="BU8" s="521" t="str">
        <f>IF(W14="","",IF(AO8=V14,W14,IF(AO8=Z14,Y14,"")))</f>
        <v/>
      </c>
      <c r="BV8" s="521">
        <f>IF(W7="","",IF(AO8=V7,W7,IF(AO8=Z7,Y7,"")))</f>
        <v>3</v>
      </c>
      <c r="BW8" s="521" t="str">
        <f>IF(W8="","",IF(AO8=V8,W8,IF(AO8=Z8,Y8,"")))</f>
        <v/>
      </c>
      <c r="BX8" s="521" t="str">
        <f>IF(W9="","",IF(AO8=V9,W9,IF(AO8=Z9,Y9,"")))</f>
        <v/>
      </c>
      <c r="BY8" s="522" t="str">
        <f>IF(W10="","",IF(AO8=V10,W10,IF(AO8=Z10,Y10,"")))</f>
        <v/>
      </c>
      <c r="BZ8" s="1395" t="b">
        <f t="shared" si="12"/>
        <v>0</v>
      </c>
      <c r="CA8" s="1450" t="b">
        <f t="shared" si="13"/>
        <v>0</v>
      </c>
      <c r="CB8" s="1450" t="b">
        <f t="shared" si="14"/>
        <v>0</v>
      </c>
      <c r="CC8" s="270"/>
      <c r="CD8" s="270"/>
      <c r="CE8"/>
    </row>
    <row r="9" spans="1:83" outlineLevel="1" x14ac:dyDescent="0.2">
      <c r="A9" s="270"/>
      <c r="B9" s="545">
        <v>3</v>
      </c>
      <c r="C9" s="560">
        <f>IF(AK6="","",RANK(F9,F7:F14)*1000+ROW())</f>
        <v>2009</v>
      </c>
      <c r="D9" s="561">
        <f t="shared" si="0"/>
        <v>120000000000</v>
      </c>
      <c r="E9" s="561">
        <f>IF(L9="","",Nb_Diff_Part(D9,D7:D14,G9,G7:G14,AI7:AI34)*CritClassInd_DiffPart+Nb_Goal_Part(D9,D7:D14,G9,G7:G14,V7:Z34)*CritClassInd_GoalPart+Nb_Score_Part(D9,D7:D14,G9,G7:G14,V7:Z34)*CritClassInd_ScorePart)</f>
        <v>-103860000</v>
      </c>
      <c r="F9" s="562">
        <f t="shared" si="1"/>
        <v>119896140629</v>
      </c>
      <c r="G9" s="477" t="s">
        <v>18231</v>
      </c>
      <c r="H9" s="501">
        <f t="shared" si="2"/>
        <v>0</v>
      </c>
      <c r="I9" s="502"/>
      <c r="J9" s="560">
        <f>IF(AK6="","",(L9*Points_Victoire)+M9*Points_Null)</f>
        <v>12</v>
      </c>
      <c r="K9" s="563">
        <f t="shared" si="3"/>
        <v>7</v>
      </c>
      <c r="L9" s="563">
        <f>IF(AK6="","",COUNTIF(AE7:AE34,G9))</f>
        <v>4</v>
      </c>
      <c r="M9" s="563">
        <f>IF(AK6="","",COUNTIF(AF7:AG34,G9))</f>
        <v>0</v>
      </c>
      <c r="N9" s="563">
        <f>IF(AK6="","",COUNTIF(AH7:AH34,G9))</f>
        <v>3</v>
      </c>
      <c r="O9" s="563">
        <f>IF(AK6="","",SUMIF(V7:V34,G9,AB7:AB34)+SUMIF(Z7:Z34,G9,AD7:AD34))</f>
        <v>29</v>
      </c>
      <c r="P9" s="563">
        <f>IF(AK6="","",SUMIF(V7:V34,G9,AD7:AD34)+SUMIF(Z7:Z34,G9,AB7:AB34))</f>
        <v>23</v>
      </c>
      <c r="Q9" s="564">
        <f>IF(AK6="","",O9-P9)</f>
        <v>6</v>
      </c>
      <c r="R9" s="558" t="s">
        <v>1726</v>
      </c>
      <c r="S9" s="613">
        <v>0.35416666666666669</v>
      </c>
      <c r="T9" s="618"/>
      <c r="U9" s="1504"/>
      <c r="V9" s="483" t="str">
        <f>IF(G10="","",G10)</f>
        <v>Thierry VIVRON (iss)</v>
      </c>
      <c r="W9" s="484">
        <v>6</v>
      </c>
      <c r="X9" s="485" t="s">
        <v>769</v>
      </c>
      <c r="Y9" s="484">
        <v>3</v>
      </c>
      <c r="Z9" s="486" t="str">
        <f>IF(G13="","",G13)</f>
        <v>Cyprien BONNET (sym)</v>
      </c>
      <c r="AA9" s="839"/>
      <c r="AB9" s="1459">
        <f t="shared" si="4"/>
        <v>6</v>
      </c>
      <c r="AC9" s="1460" t="str">
        <f t="shared" si="5"/>
        <v>-</v>
      </c>
      <c r="AD9" s="1459">
        <f t="shared" si="6"/>
        <v>3</v>
      </c>
      <c r="AE9" s="968" t="str">
        <f t="shared" si="7"/>
        <v>Thierry VIVRON (iss)</v>
      </c>
      <c r="AF9" s="968" t="str">
        <f t="shared" si="8"/>
        <v/>
      </c>
      <c r="AG9" s="968" t="str">
        <f t="shared" si="9"/>
        <v/>
      </c>
      <c r="AH9" s="968" t="str">
        <f t="shared" si="10"/>
        <v>Cyprien BONNET (sym)</v>
      </c>
      <c r="AI9" s="968" t="str">
        <f t="shared" si="11"/>
        <v>Thierry VIVRON (iss)Cyprien BONNET (sym)</v>
      </c>
      <c r="AJ9" s="968"/>
      <c r="AK9" s="968">
        <f>IF(AK6="","",SMALL(C7:C14,3))</f>
        <v>3008</v>
      </c>
      <c r="AL9" s="270"/>
      <c r="AM9" s="270"/>
      <c r="AN9" s="545">
        <f>IF(AK6="","",INT(AK9/1000))</f>
        <v>3</v>
      </c>
      <c r="AO9" s="510" t="str">
        <f>IF(AK6="",IF(HidePlayerFormulas,"","("&amp;G9&amp;")"),VLOOKUP(AK9,C7:Q14,5,FALSE))</f>
        <v>Théo MODESTE (iss)</v>
      </c>
      <c r="AP9" s="511">
        <f>VLOOKUP(AK9,C7:Q14,8,FALSE)</f>
        <v>12</v>
      </c>
      <c r="AQ9" s="511">
        <f>VLOOKUP(AK9,C7:Q14,9,FALSE)</f>
        <v>7</v>
      </c>
      <c r="AR9" s="511">
        <f>VLOOKUP(AK9,C7:Q14,10,FALSE)</f>
        <v>4</v>
      </c>
      <c r="AS9" s="511">
        <f>VLOOKUP(AK9,C7:Q14,11,FALSE)</f>
        <v>0</v>
      </c>
      <c r="AT9" s="511">
        <f>VLOOKUP(AK9,C7:Q14,12,FALSE)</f>
        <v>3</v>
      </c>
      <c r="AU9" s="511">
        <f>VLOOKUP(AK9,C7:Q14,13,FALSE)</f>
        <v>32</v>
      </c>
      <c r="AV9" s="511">
        <f>VLOOKUP(AK9,C7:Q14,14,FALSE)</f>
        <v>28</v>
      </c>
      <c r="AW9" s="512">
        <f>VLOOKUP(AK9,C7:Q14,15,FALSE)</f>
        <v>4</v>
      </c>
      <c r="AX9" s="546">
        <f>IF(W31="","",IF(AO9=V31,W31,IF(AO9=Z31,Y31,"")))</f>
        <v>8</v>
      </c>
      <c r="AY9" s="521" t="str">
        <f>IF(W32="","",IF(AO9=V32,W32,IF(AO9=Z32,Y32,"")))</f>
        <v/>
      </c>
      <c r="AZ9" s="521" t="str">
        <f>IF(W33="","",IF(AO9=V33,W33,IF(AO9=Z33,Y33,"")))</f>
        <v/>
      </c>
      <c r="BA9" s="521" t="str">
        <f>IF(W34="","",IF(AO9=V34,W34,IF(AO9=Z34,Y34,"")))</f>
        <v/>
      </c>
      <c r="BB9" s="521" t="str">
        <f>IF(W27="","",IF(AO9=V27,W27,IF(AO9=Z27,Y27,"")))</f>
        <v/>
      </c>
      <c r="BC9" s="521">
        <f>IF(W28="","",IF(AO9=V28,W28,IF(AO9=Z28,Y28,"")))</f>
        <v>3</v>
      </c>
      <c r="BD9" s="521" t="str">
        <f>IF(W29="","",IF(AO9=V29,W29,IF(AO9=Z29,Y29,"")))</f>
        <v/>
      </c>
      <c r="BE9" s="521" t="str">
        <f>IF(W30="","",IF(AO9=V30,W30,IF(AO9=Z30,Y30,"")))</f>
        <v/>
      </c>
      <c r="BF9" s="521" t="str">
        <f>IF(W23="","",IF(AO9=V23,W23,IF(AO9=Z23,Y23,"")))</f>
        <v/>
      </c>
      <c r="BG9" s="521">
        <f>IF(W24="","",IF(AO9=V24,W24,IF(AO9=Z24,Y24,"")))</f>
        <v>7</v>
      </c>
      <c r="BH9" s="521" t="str">
        <f>IF(W25="","",IF(AO9=V25,W25,IF(AO9=Z25,Y25,"")))</f>
        <v/>
      </c>
      <c r="BI9" s="521" t="str">
        <f>IF(W26="","",IF(AO9=V26,W26,IF(AO9=Z26,Y26,"")))</f>
        <v/>
      </c>
      <c r="BJ9" s="521">
        <f>IF(W19="","",IF(AO9=V19,W19,IF(AO9=Z19,Y19,"")))</f>
        <v>3</v>
      </c>
      <c r="BK9" s="521" t="str">
        <f>IF(W20="","",IF(AO9=V20,W20,IF(AO9=Z20,Y20,"")))</f>
        <v/>
      </c>
      <c r="BL9" s="521" t="str">
        <f>IF(W21="","",IF(AO9=V21,W21,IF(AO9=Z21,Y21,"")))</f>
        <v/>
      </c>
      <c r="BM9" s="521" t="str">
        <f>IF(W22="","",IF(AO9=V22,W22,IF(AO9=Z22,Y22,"")))</f>
        <v/>
      </c>
      <c r="BN9" s="521" t="str">
        <f>IF(W15="","",IF(AO9=V15,W15,IF(AO9=Z15,Y15,"")))</f>
        <v/>
      </c>
      <c r="BO9" s="521">
        <f>IF(W16="","",IF(AO9=V16,W16,IF(AO9=Z16,Y16,"")))</f>
        <v>3</v>
      </c>
      <c r="BP9" s="521" t="str">
        <f>IF(W17="","",IF(AO9=V17,W17,IF(AO9=Z17,Y17,"")))</f>
        <v/>
      </c>
      <c r="BQ9" s="521" t="str">
        <f>IF(W18="","",IF(AO9=V18,W18,IF(AO9=Z18,Y18,"")))</f>
        <v/>
      </c>
      <c r="BR9" s="521" t="str">
        <f>IF(W11="","",IF(AO9=V11,W11,IF(AO9=Z11,Y11,"")))</f>
        <v/>
      </c>
      <c r="BS9" s="521">
        <f>IF(W12="","",IF(AO9=V12,W12,IF(AO9=Z12,Y12,"")))</f>
        <v>7</v>
      </c>
      <c r="BT9" s="521" t="str">
        <f>IF(W13="","",IF(AO9=V13,W13,IF(AO9=Z13,Y13,"")))</f>
        <v/>
      </c>
      <c r="BU9" s="521" t="str">
        <f>IF(W14="","",IF(AO9=V14,W14,IF(AO9=Z14,Y14,"")))</f>
        <v/>
      </c>
      <c r="BV9" s="521" t="str">
        <f>IF(W7="","",IF(AO9=V7,W7,IF(AO9=Z7,Y7,"")))</f>
        <v/>
      </c>
      <c r="BW9" s="521">
        <f>IF(W8="","",IF(AO9=V8,W8,IF(AO9=Z8,Y8,"")))</f>
        <v>7</v>
      </c>
      <c r="BX9" s="521" t="str">
        <f>IF(W9="","",IF(AO9=V9,W9,IF(AO9=Z9,Y9,"")))</f>
        <v/>
      </c>
      <c r="BY9" s="522" t="str">
        <f>IF(W10="","",IF(AO9=V10,W10,IF(AO9=Z10,Y10,"")))</f>
        <v/>
      </c>
      <c r="BZ9" s="1395" t="b">
        <f t="shared" si="12"/>
        <v>0</v>
      </c>
      <c r="CA9" s="1450" t="b">
        <f t="shared" si="13"/>
        <v>0</v>
      </c>
      <c r="CB9" s="1450" t="b">
        <f t="shared" si="14"/>
        <v>0</v>
      </c>
      <c r="CC9" s="270"/>
      <c r="CD9" s="270"/>
      <c r="CE9"/>
    </row>
    <row r="10" spans="1:83" ht="13.5" outlineLevel="1" thickBot="1" x14ac:dyDescent="0.25">
      <c r="A10" s="270"/>
      <c r="B10" s="545">
        <v>4</v>
      </c>
      <c r="C10" s="560">
        <f>IF(AK6="","",RANK(F10,F7:F14)*1000+ROW())</f>
        <v>5010</v>
      </c>
      <c r="D10" s="561">
        <f t="shared" si="0"/>
        <v>90000000000</v>
      </c>
      <c r="E10" s="561">
        <f>IF(L10="","",Nb_Diff_Part(D10,D7:D14,G10,G7:G14,AI7:AI34)*CritClassInd_DiffPart+Nb_Goal_Part(D10,D7:D14,G10,G7:G14,V7:Z34)*CritClassInd_GoalPart+Nb_Score_Part(D10,D7:D14,G10,G7:G14,V7:Z34)*CritClassInd_ScorePart)</f>
        <v>105160000</v>
      </c>
      <c r="F10" s="562">
        <f t="shared" si="1"/>
        <v>90105159425</v>
      </c>
      <c r="G10" s="477" t="s">
        <v>18234</v>
      </c>
      <c r="H10" s="501">
        <f t="shared" si="2"/>
        <v>0</v>
      </c>
      <c r="I10" s="502"/>
      <c r="J10" s="560">
        <f>IF(AK6="","",(L10*Points_Victoire)+M10*Points_Null)</f>
        <v>9</v>
      </c>
      <c r="K10" s="563">
        <f t="shared" si="3"/>
        <v>7</v>
      </c>
      <c r="L10" s="563">
        <f>IF(AK6="","",COUNTIF(AE7:AE34,G10))</f>
        <v>3</v>
      </c>
      <c r="M10" s="563">
        <f>IF(AK6="","",COUNTIF(AF7:AG34,G10))</f>
        <v>0</v>
      </c>
      <c r="N10" s="563">
        <f>IF(AK6="","",COUNTIF(AH7:AH34,G10))</f>
        <v>4</v>
      </c>
      <c r="O10" s="563">
        <f>IF(AK6="","",SUMIF(V7:V34,G10,AB7:AB34)+SUMIF(Z7:Z34,G10,AD7:AD34))</f>
        <v>25</v>
      </c>
      <c r="P10" s="563">
        <f>IF(AK6="","",SUMIF(V7:V34,G10,AD7:AD34)+SUMIF(Z7:Z34,G10,AB7:AB34))</f>
        <v>31</v>
      </c>
      <c r="Q10" s="564">
        <f>IF(AK6="","",O10-P10)</f>
        <v>-6</v>
      </c>
      <c r="R10" s="558" t="s">
        <v>1726</v>
      </c>
      <c r="S10" s="615">
        <v>0.35416666666666669</v>
      </c>
      <c r="T10" s="619"/>
      <c r="U10" s="1503"/>
      <c r="V10" s="487" t="str">
        <f>IF(G11="","",G11)</f>
        <v>David LEROY (puy)</v>
      </c>
      <c r="W10" s="488">
        <v>5</v>
      </c>
      <c r="X10" s="489" t="s">
        <v>769</v>
      </c>
      <c r="Y10" s="488">
        <v>3</v>
      </c>
      <c r="Z10" s="490" t="str">
        <f>IF(G12="","",G12)</f>
        <v>Françoise GUYOT (chp)</v>
      </c>
      <c r="AA10" s="839"/>
      <c r="AB10" s="1459">
        <f t="shared" si="4"/>
        <v>5</v>
      </c>
      <c r="AC10" s="1460" t="str">
        <f t="shared" si="5"/>
        <v>-</v>
      </c>
      <c r="AD10" s="1459">
        <f t="shared" si="6"/>
        <v>3</v>
      </c>
      <c r="AE10" s="968" t="str">
        <f t="shared" si="7"/>
        <v>David LEROY (puy)</v>
      </c>
      <c r="AF10" s="968" t="str">
        <f t="shared" si="8"/>
        <v/>
      </c>
      <c r="AG10" s="968" t="str">
        <f t="shared" si="9"/>
        <v/>
      </c>
      <c r="AH10" s="968" t="str">
        <f t="shared" si="10"/>
        <v>Françoise GUYOT (chp)</v>
      </c>
      <c r="AI10" s="968" t="str">
        <f t="shared" si="11"/>
        <v>David LEROY (puy)Françoise GUYOT (chp)</v>
      </c>
      <c r="AJ10" s="968"/>
      <c r="AK10" s="968">
        <f>IF(AK6="","",SMALL(C7:C14,4))</f>
        <v>4011</v>
      </c>
      <c r="AL10" s="270"/>
      <c r="AM10" s="270"/>
      <c r="AN10" s="545">
        <f>IF(AK6="","",INT(AK10/1000))</f>
        <v>4</v>
      </c>
      <c r="AO10" s="510" t="str">
        <f>IF(AK6="",IF(HidePlayerFormulas,"","("&amp;G10&amp;")"),VLOOKUP(AK10,C7:Q14,5,FALSE))</f>
        <v>David LEROY (puy)</v>
      </c>
      <c r="AP10" s="511">
        <f>VLOOKUP(AK10,C7:Q14,8,FALSE)</f>
        <v>12</v>
      </c>
      <c r="AQ10" s="511">
        <f>VLOOKUP(AK10,C7:Q14,9,FALSE)</f>
        <v>7</v>
      </c>
      <c r="AR10" s="511">
        <f>VLOOKUP(AK10,C7:Q14,10,FALSE)</f>
        <v>4</v>
      </c>
      <c r="AS10" s="511">
        <f>VLOOKUP(AK10,C7:Q14,11,FALSE)</f>
        <v>0</v>
      </c>
      <c r="AT10" s="511">
        <f>VLOOKUP(AK10,C7:Q14,12,FALSE)</f>
        <v>3</v>
      </c>
      <c r="AU10" s="511">
        <f>VLOOKUP(AK10,C7:Q14,13,FALSE)</f>
        <v>27</v>
      </c>
      <c r="AV10" s="511">
        <f>VLOOKUP(AK10,C7:Q14,14,FALSE)</f>
        <v>28</v>
      </c>
      <c r="AW10" s="512">
        <f>VLOOKUP(AK10,C7:Q14,15,FALSE)</f>
        <v>-1</v>
      </c>
      <c r="AX10" s="546" t="str">
        <f>IF(W31="","",IF(AO10=V31,W31,IF(AO10=Z31,Y31,"")))</f>
        <v/>
      </c>
      <c r="AY10" s="521" t="str">
        <f>IF(W32="","",IF(AO10=V32,W32,IF(AO10=Z32,Y32,"")))</f>
        <v/>
      </c>
      <c r="AZ10" s="521">
        <f>IF(W33="","",IF(AO10=V33,W33,IF(AO10=Z33,Y33,"")))</f>
        <v>3</v>
      </c>
      <c r="BA10" s="521" t="str">
        <f>IF(W34="","",IF(AO10=V34,W34,IF(AO10=Z34,Y34,"")))</f>
        <v/>
      </c>
      <c r="BB10" s="521" t="str">
        <f>IF(W27="","",IF(AO10=V27,W27,IF(AO10=Z27,Y27,"")))</f>
        <v/>
      </c>
      <c r="BC10" s="521">
        <f>IF(W28="","",IF(AO10=V28,W28,IF(AO10=Z28,Y28,"")))</f>
        <v>7</v>
      </c>
      <c r="BD10" s="521" t="str">
        <f>IF(W29="","",IF(AO10=V29,W29,IF(AO10=Z29,Y29,"")))</f>
        <v/>
      </c>
      <c r="BE10" s="521" t="str">
        <f>IF(W30="","",IF(AO10=V30,W30,IF(AO10=Z30,Y30,"")))</f>
        <v/>
      </c>
      <c r="BF10" s="521" t="str">
        <f>IF(W23="","",IF(AO10=V23,W23,IF(AO10=Z23,Y23,"")))</f>
        <v/>
      </c>
      <c r="BG10" s="521" t="str">
        <f>IF(W24="","",IF(AO10=V24,W24,IF(AO10=Z24,Y24,"")))</f>
        <v/>
      </c>
      <c r="BH10" s="521">
        <f>IF(W25="","",IF(AO10=V25,W25,IF(AO10=Z25,Y25,"")))</f>
        <v>6</v>
      </c>
      <c r="BI10" s="521" t="str">
        <f>IF(W26="","",IF(AO10=V26,W26,IF(AO10=Z26,Y26,"")))</f>
        <v/>
      </c>
      <c r="BJ10" s="521" t="str">
        <f>IF(W19="","",IF(AO10=V19,W19,IF(AO10=Z19,Y19,"")))</f>
        <v/>
      </c>
      <c r="BK10" s="521" t="str">
        <f>IF(W20="","",IF(AO10=V20,W20,IF(AO10=Z20,Y20,"")))</f>
        <v/>
      </c>
      <c r="BL10" s="521">
        <f>IF(W21="","",IF(AO10=V21,W21,IF(AO10=Z21,Y21,"")))</f>
        <v>6</v>
      </c>
      <c r="BM10" s="521" t="str">
        <f>IF(W22="","",IF(AO10=V22,W22,IF(AO10=Z22,Y22,"")))</f>
        <v/>
      </c>
      <c r="BN10" s="521">
        <f>IF(W15="","",IF(AO10=V15,W15,IF(AO10=Z15,Y15,"")))</f>
        <v>3</v>
      </c>
      <c r="BO10" s="521" t="str">
        <f>IF(W16="","",IF(AO10=V16,W16,IF(AO10=Z16,Y16,"")))</f>
        <v/>
      </c>
      <c r="BP10" s="521" t="str">
        <f>IF(W17="","",IF(AO10=V17,W17,IF(AO10=Z17,Y17,"")))</f>
        <v/>
      </c>
      <c r="BQ10" s="521" t="str">
        <f>IF(W18="","",IF(AO10=V18,W18,IF(AO10=Z18,Y18,"")))</f>
        <v/>
      </c>
      <c r="BR10" s="521">
        <f>IF(W11="","",IF(AO10=V11,W11,IF(AO10=Z11,Y11,"")))</f>
        <v>3</v>
      </c>
      <c r="BS10" s="521" t="str">
        <f>IF(W12="","",IF(AO10=V12,W12,IF(AO10=Z12,Y12,"")))</f>
        <v/>
      </c>
      <c r="BT10" s="521" t="str">
        <f>IF(W13="","",IF(AO10=V13,W13,IF(AO10=Z13,Y13,"")))</f>
        <v/>
      </c>
      <c r="BU10" s="521" t="str">
        <f>IF(W14="","",IF(AO10=V14,W14,IF(AO10=Z14,Y14,"")))</f>
        <v/>
      </c>
      <c r="BV10" s="521" t="str">
        <f>IF(W7="","",IF(AO10=V7,W7,IF(AO10=Z7,Y7,"")))</f>
        <v/>
      </c>
      <c r="BW10" s="521" t="str">
        <f>IF(W8="","",IF(AO10=V8,W8,IF(AO10=Z8,Y8,"")))</f>
        <v/>
      </c>
      <c r="BX10" s="521" t="str">
        <f>IF(W9="","",IF(AO10=V9,W9,IF(AO10=Z9,Y9,"")))</f>
        <v/>
      </c>
      <c r="BY10" s="522">
        <f>IF(W10="","",IF(AO10=V10,W10,IF(AO10=Z10,Y10,"")))</f>
        <v>5</v>
      </c>
      <c r="BZ10" s="1395" t="b">
        <f t="shared" si="12"/>
        <v>0</v>
      </c>
      <c r="CA10" s="1450" t="b">
        <f t="shared" si="13"/>
        <v>0</v>
      </c>
      <c r="CB10" s="1450" t="b">
        <f t="shared" si="14"/>
        <v>0</v>
      </c>
      <c r="CC10" s="270"/>
      <c r="CD10" s="270"/>
      <c r="CE10"/>
    </row>
    <row r="11" spans="1:83" outlineLevel="1" x14ac:dyDescent="0.2">
      <c r="A11" s="270"/>
      <c r="B11" s="545">
        <v>5</v>
      </c>
      <c r="C11" s="560">
        <f>IF(AK6="","",RANK(F11,F7:F14)*1000+ROW())</f>
        <v>4011</v>
      </c>
      <c r="D11" s="561">
        <f t="shared" si="0"/>
        <v>120000000000</v>
      </c>
      <c r="E11" s="561">
        <f>IF(L11="","",Nb_Diff_Part(D11,D7:D14,G11,G7:G14,AI7:AI34)*CritClassInd_DiffPart+Nb_Goal_Part(D11,D7:D14,G11,G7:G14,V7:Z34)*CritClassInd_GoalPart+Nb_Score_Part(D11,D7:D14,G11,G7:G14,V7:Z34)*CritClassInd_ScorePart)</f>
        <v>-105870000</v>
      </c>
      <c r="F11" s="562">
        <f t="shared" si="1"/>
        <v>119894129927</v>
      </c>
      <c r="G11" s="477" t="s">
        <v>18237</v>
      </c>
      <c r="H11" s="501">
        <f t="shared" si="2"/>
        <v>0</v>
      </c>
      <c r="I11" s="502"/>
      <c r="J11" s="560">
        <f>IF(AK6="","",(L11*Points_Victoire)+M11*Points_Null)</f>
        <v>12</v>
      </c>
      <c r="K11" s="563">
        <f t="shared" si="3"/>
        <v>7</v>
      </c>
      <c r="L11" s="563">
        <f>IF(AK6="","",COUNTIF(AE7:AE34,G11))</f>
        <v>4</v>
      </c>
      <c r="M11" s="563">
        <f>IF(AK6="","",COUNTIF(AF7:AG34,G11))</f>
        <v>0</v>
      </c>
      <c r="N11" s="563">
        <f>IF(AK6="","",COUNTIF(AH7:AH34,G11))</f>
        <v>3</v>
      </c>
      <c r="O11" s="563">
        <f>IF(AK6="","",SUMIF(V7:V34,G11,AB7:AB34)+SUMIF(Z7:Z34,G11,AD7:AD34))</f>
        <v>27</v>
      </c>
      <c r="P11" s="563">
        <f>IF(AK6="","",SUMIF(V7:V34,G11,AD7:AD34)+SUMIF(Z7:Z34,G11,AB7:AB34))</f>
        <v>28</v>
      </c>
      <c r="Q11" s="564">
        <f>IF(AK6="","",O11-P11)</f>
        <v>-1</v>
      </c>
      <c r="R11" s="558" t="s">
        <v>1727</v>
      </c>
      <c r="S11" s="611">
        <v>0.3888888888888889</v>
      </c>
      <c r="T11" s="617"/>
      <c r="U11" s="1502"/>
      <c r="V11" s="479" t="str">
        <f>IF(G7="","",G7)</f>
        <v>Raphaël POMMIER (cae)</v>
      </c>
      <c r="W11" s="480">
        <v>8</v>
      </c>
      <c r="X11" s="481" t="s">
        <v>769</v>
      </c>
      <c r="Y11" s="480">
        <v>3</v>
      </c>
      <c r="Z11" s="482" t="str">
        <f>IF(G11="","",G11)</f>
        <v>David LEROY (puy)</v>
      </c>
      <c r="AA11" s="839"/>
      <c r="AB11" s="1459">
        <f t="shared" si="4"/>
        <v>5</v>
      </c>
      <c r="AC11" s="1460" t="str">
        <f t="shared" si="5"/>
        <v>-</v>
      </c>
      <c r="AD11" s="1459">
        <f t="shared" si="6"/>
        <v>0</v>
      </c>
      <c r="AE11" s="968" t="str">
        <f t="shared" si="7"/>
        <v>Raphaël POMMIER (cae)</v>
      </c>
      <c r="AF11" s="968" t="str">
        <f t="shared" si="8"/>
        <v/>
      </c>
      <c r="AG11" s="968" t="str">
        <f t="shared" si="9"/>
        <v/>
      </c>
      <c r="AH11" s="968" t="str">
        <f t="shared" si="10"/>
        <v>David LEROY (puy)</v>
      </c>
      <c r="AI11" s="968" t="str">
        <f t="shared" si="11"/>
        <v>Raphaël POMMIER (cae)David LEROY (puy)</v>
      </c>
      <c r="AJ11" s="968"/>
      <c r="AK11" s="968">
        <f>IF(AK6="","",SMALL(C7:C14,5))</f>
        <v>5010</v>
      </c>
      <c r="AL11" s="270"/>
      <c r="AM11" s="270"/>
      <c r="AN11" s="545">
        <f>IF(AK6="","",INT(AK11/1000))</f>
        <v>5</v>
      </c>
      <c r="AO11" s="510" t="str">
        <f>IF(AK6="",IF(HidePlayerFormulas,"","("&amp;G11&amp;")"),VLOOKUP(AK11,C7:Q14,5,FALSE))</f>
        <v>Thierry VIVRON (iss)</v>
      </c>
      <c r="AP11" s="511">
        <f>VLOOKUP(AK11,C7:Q14,8,FALSE)</f>
        <v>9</v>
      </c>
      <c r="AQ11" s="511">
        <f>VLOOKUP(AK11,C7:Q14,9,FALSE)</f>
        <v>7</v>
      </c>
      <c r="AR11" s="511">
        <f>VLOOKUP(AK11,C7:Q14,10,FALSE)</f>
        <v>3</v>
      </c>
      <c r="AS11" s="511">
        <f>VLOOKUP(AK11,C7:Q14,11,FALSE)</f>
        <v>0</v>
      </c>
      <c r="AT11" s="511">
        <f>VLOOKUP(AK11,C7:Q14,12,FALSE)</f>
        <v>4</v>
      </c>
      <c r="AU11" s="511">
        <f>VLOOKUP(AK11,C7:Q14,13,FALSE)</f>
        <v>25</v>
      </c>
      <c r="AV11" s="511">
        <f>VLOOKUP(AK11,C7:Q14,14,FALSE)</f>
        <v>31</v>
      </c>
      <c r="AW11" s="512">
        <f>VLOOKUP(AK11,C7:Q14,15,FALSE)</f>
        <v>-6</v>
      </c>
      <c r="AX11" s="546" t="str">
        <f>IF(W31="","",IF(AO11=V31,W31,IF(AO11=Z31,Y31,"")))</f>
        <v/>
      </c>
      <c r="AY11" s="521" t="str">
        <f>IF(W32="","",IF(AO11=V32,W32,IF(AO11=Z32,Y32,"")))</f>
        <v/>
      </c>
      <c r="AZ11" s="521">
        <f>IF(W33="","",IF(AO11=V33,W33,IF(AO11=Z33,Y33,"")))</f>
        <v>6</v>
      </c>
      <c r="BA11" s="521" t="str">
        <f>IF(W34="","",IF(AO11=V34,W34,IF(AO11=Z34,Y34,"")))</f>
        <v/>
      </c>
      <c r="BB11" s="521">
        <f>IF(W27="","",IF(AO11=V27,W27,IF(AO11=Z27,Y27,"")))</f>
        <v>3</v>
      </c>
      <c r="BC11" s="521" t="str">
        <f>IF(W28="","",IF(AO11=V28,W28,IF(AO11=Z28,Y28,"")))</f>
        <v/>
      </c>
      <c r="BD11" s="521" t="str">
        <f>IF(W29="","",IF(AO11=V29,W29,IF(AO11=Z29,Y29,"")))</f>
        <v/>
      </c>
      <c r="BE11" s="521" t="str">
        <f>IF(W30="","",IF(AO11=V30,W30,IF(AO11=Z30,Y30,"")))</f>
        <v/>
      </c>
      <c r="BF11" s="521">
        <f>IF(W23="","",IF(AO11=V23,W23,IF(AO11=Z23,Y23,"")))</f>
        <v>3</v>
      </c>
      <c r="BG11" s="521" t="str">
        <f>IF(W24="","",IF(AO11=V24,W24,IF(AO11=Z24,Y24,"")))</f>
        <v/>
      </c>
      <c r="BH11" s="521" t="str">
        <f>IF(W25="","",IF(AO11=V25,W25,IF(AO11=Z25,Y25,"")))</f>
        <v/>
      </c>
      <c r="BI11" s="521" t="str">
        <f>IF(W26="","",IF(AO11=V26,W26,IF(AO11=Z26,Y26,"")))</f>
        <v/>
      </c>
      <c r="BJ11" s="521" t="str">
        <f>IF(W19="","",IF(AO11=V19,W19,IF(AO11=Z19,Y19,"")))</f>
        <v/>
      </c>
      <c r="BK11" s="521">
        <f>IF(W20="","",IF(AO11=V20,W20,IF(AO11=Z20,Y20,"")))</f>
        <v>7</v>
      </c>
      <c r="BL11" s="521" t="str">
        <f>IF(W21="","",IF(AO11=V21,W21,IF(AO11=Z21,Y21,"")))</f>
        <v/>
      </c>
      <c r="BM11" s="521" t="str">
        <f>IF(W22="","",IF(AO11=V22,W22,IF(AO11=Z22,Y22,"")))</f>
        <v/>
      </c>
      <c r="BN11" s="521" t="str">
        <f>IF(W15="","",IF(AO11=V15,W15,IF(AO11=Z15,Y15,"")))</f>
        <v/>
      </c>
      <c r="BO11" s="521" t="str">
        <f>IF(W16="","",IF(AO11=V16,W16,IF(AO11=Z16,Y16,"")))</f>
        <v/>
      </c>
      <c r="BP11" s="521" t="str">
        <f>IF(W17="","",IF(AO11=V17,W17,IF(AO11=Z17,Y17,"")))</f>
        <v/>
      </c>
      <c r="BQ11" s="521">
        <f>IF(W18="","",IF(AO11=V18,W18,IF(AO11=Z18,Y18,"")))</f>
        <v>3</v>
      </c>
      <c r="BR11" s="521" t="str">
        <f>IF(W11="","",IF(AO11=V11,W11,IF(AO11=Z11,Y11,"")))</f>
        <v/>
      </c>
      <c r="BS11" s="521">
        <f>IF(W12="","",IF(AO11=V12,W12,IF(AO11=Z12,Y12,"")))</f>
        <v>3</v>
      </c>
      <c r="BT11" s="521" t="str">
        <f>IF(W13="","",IF(AO11=V13,W13,IF(AO11=Z13,Y13,"")))</f>
        <v/>
      </c>
      <c r="BU11" s="521" t="str">
        <f>IF(W14="","",IF(AO11=V14,W14,IF(AO11=Z14,Y14,"")))</f>
        <v/>
      </c>
      <c r="BV11" s="521" t="str">
        <f>IF(W7="","",IF(AO11=V7,W7,IF(AO11=Z7,Y7,"")))</f>
        <v/>
      </c>
      <c r="BW11" s="521" t="str">
        <f>IF(W8="","",IF(AO11=V8,W8,IF(AO11=Z8,Y8,"")))</f>
        <v/>
      </c>
      <c r="BX11" s="521">
        <f>IF(W9="","",IF(AO11=V9,W9,IF(AO11=Z9,Y9,"")))</f>
        <v>6</v>
      </c>
      <c r="BY11" s="522" t="str">
        <f>IF(W10="","",IF(AO11=V10,W10,IF(AO11=Z10,Y10,"")))</f>
        <v/>
      </c>
      <c r="BZ11" s="1395" t="b">
        <f t="shared" si="12"/>
        <v>0</v>
      </c>
      <c r="CA11" s="1450" t="b">
        <f t="shared" si="13"/>
        <v>0</v>
      </c>
      <c r="CB11" s="1450" t="b">
        <f t="shared" si="14"/>
        <v>0</v>
      </c>
      <c r="CC11" s="270"/>
      <c r="CD11" s="270"/>
      <c r="CE11"/>
    </row>
    <row r="12" spans="1:83" outlineLevel="1" x14ac:dyDescent="0.2">
      <c r="A12" s="270"/>
      <c r="B12" s="545">
        <v>6</v>
      </c>
      <c r="C12" s="560">
        <f>IF(AK6="","",RANK(F12,F7:F14)*1000+ROW())</f>
        <v>8012</v>
      </c>
      <c r="D12" s="561">
        <f t="shared" si="0"/>
        <v>90000000000</v>
      </c>
      <c r="E12" s="561">
        <f>IF(L12="","",Nb_Diff_Part(D12,D7:D14,G12,G7:G14,AI7:AI34)*CritClassInd_DiffPart+Nb_Goal_Part(D12,D7:D14,G12,G7:G14,V7:Z34)*CritClassInd_GoalPart+Nb_Score_Part(D12,D7:D14,G12,G7:G14,V7:Z34)*CritClassInd_ScorePart)</f>
        <v>-103890000</v>
      </c>
      <c r="F12" s="562">
        <f t="shared" si="1"/>
        <v>89896109730</v>
      </c>
      <c r="G12" s="477" t="s">
        <v>18240</v>
      </c>
      <c r="H12" s="501">
        <f t="shared" si="2"/>
        <v>0</v>
      </c>
      <c r="I12" s="502"/>
      <c r="J12" s="560">
        <f>IF(AK6="","",(L12*Points_Victoire)+M12*Points_Null)</f>
        <v>9</v>
      </c>
      <c r="K12" s="563">
        <f t="shared" si="3"/>
        <v>7</v>
      </c>
      <c r="L12" s="563">
        <f>IF(AK6="","",COUNTIF(AE7:AE34,G12))</f>
        <v>3</v>
      </c>
      <c r="M12" s="563">
        <f>IF(AK6="","",COUNTIF(AF7:AG34,G12))</f>
        <v>0</v>
      </c>
      <c r="N12" s="563">
        <f>IF(AK6="","",COUNTIF(AH7:AH34,G12))</f>
        <v>4</v>
      </c>
      <c r="O12" s="563">
        <f>IF(AK6="","",SUMIF(V7:V34,G12,AB7:AB34)+SUMIF(Z7:Z34,G12,AD7:AD34))</f>
        <v>30</v>
      </c>
      <c r="P12" s="563">
        <f>IF(AK6="","",SUMIF(V7:V34,G12,AD7:AD34)+SUMIF(Z7:Z34,G12,AB7:AB34))</f>
        <v>33</v>
      </c>
      <c r="Q12" s="564">
        <f>IF(AK6="","",O12-P12)</f>
        <v>-3</v>
      </c>
      <c r="R12" s="558" t="s">
        <v>1727</v>
      </c>
      <c r="S12" s="613">
        <v>0.3888888888888889</v>
      </c>
      <c r="T12" s="618"/>
      <c r="U12" s="1504"/>
      <c r="V12" s="483" t="str">
        <f>IF(G8="","",G8)</f>
        <v>Théo MODESTE (iss)</v>
      </c>
      <c r="W12" s="484">
        <v>7</v>
      </c>
      <c r="X12" s="485" t="s">
        <v>769</v>
      </c>
      <c r="Y12" s="484">
        <v>3</v>
      </c>
      <c r="Z12" s="486" t="str">
        <f>IF(G10="","",G10)</f>
        <v>Thierry VIVRON (iss)</v>
      </c>
      <c r="AA12" s="839"/>
      <c r="AB12" s="1459">
        <f t="shared" si="4"/>
        <v>7</v>
      </c>
      <c r="AC12" s="1460" t="str">
        <f t="shared" si="5"/>
        <v>-</v>
      </c>
      <c r="AD12" s="1459">
        <f t="shared" si="6"/>
        <v>3</v>
      </c>
      <c r="AE12" s="968" t="str">
        <f t="shared" si="7"/>
        <v>Théo MODESTE (iss)</v>
      </c>
      <c r="AF12" s="968" t="str">
        <f t="shared" si="8"/>
        <v/>
      </c>
      <c r="AG12" s="968" t="str">
        <f t="shared" si="9"/>
        <v/>
      </c>
      <c r="AH12" s="968" t="str">
        <f t="shared" si="10"/>
        <v>Thierry VIVRON (iss)</v>
      </c>
      <c r="AI12" s="968" t="str">
        <f t="shared" si="11"/>
        <v>Théo MODESTE (iss)Thierry VIVRON (iss)</v>
      </c>
      <c r="AJ12" s="968"/>
      <c r="AK12" s="968">
        <f>IF(AK6="","",SMALL(C7:C14,6))</f>
        <v>6014</v>
      </c>
      <c r="AL12" s="270"/>
      <c r="AM12" s="270"/>
      <c r="AN12" s="545">
        <f>IF(AK6="","",INT(AK12/1000))</f>
        <v>6</v>
      </c>
      <c r="AO12" s="510" t="str">
        <f>IF(AK6="",IF(HidePlayerFormulas,"","("&amp;G12&amp;")"),VLOOKUP(AK12,C7:Q14,5,FALSE))</f>
        <v>Cédric PANDOLFI (sym)</v>
      </c>
      <c r="AP12" s="511">
        <f>VLOOKUP(AK12,C7:Q14,8,FALSE)</f>
        <v>9</v>
      </c>
      <c r="AQ12" s="511">
        <f>VLOOKUP(AK12,C7:Q14,9,FALSE)</f>
        <v>7</v>
      </c>
      <c r="AR12" s="511">
        <f>VLOOKUP(AK12,C7:Q14,10,FALSE)</f>
        <v>3</v>
      </c>
      <c r="AS12" s="511">
        <f>VLOOKUP(AK12,C7:Q14,11,FALSE)</f>
        <v>0</v>
      </c>
      <c r="AT12" s="511">
        <f>VLOOKUP(AK12,C7:Q14,12,FALSE)</f>
        <v>4</v>
      </c>
      <c r="AU12" s="511">
        <f>VLOOKUP(AK12,C7:Q14,13,FALSE)</f>
        <v>27</v>
      </c>
      <c r="AV12" s="511">
        <f>VLOOKUP(AK12,C7:Q14,14,FALSE)</f>
        <v>33</v>
      </c>
      <c r="AW12" s="512">
        <f>VLOOKUP(AK12,C7:Q14,15,FALSE)</f>
        <v>-6</v>
      </c>
      <c r="AX12" s="546" t="str">
        <f>IF(W31="","",IF(AO12=V31,W31,IF(AO12=Z31,Y31,"")))</f>
        <v/>
      </c>
      <c r="AY12" s="521" t="str">
        <f>IF(W32="","",IF(AO12=V32,W32,IF(AO12=Z32,Y32,"")))</f>
        <v/>
      </c>
      <c r="AZ12" s="521" t="str">
        <f>IF(W33="","",IF(AO12=V33,W33,IF(AO12=Z33,Y33,"")))</f>
        <v/>
      </c>
      <c r="BA12" s="521">
        <f>IF(W34="","",IF(AO12=V34,W34,IF(AO12=Z34,Y34,"")))</f>
        <v>5</v>
      </c>
      <c r="BB12" s="521" t="str">
        <f>IF(W27="","",IF(AO12=V27,W27,IF(AO12=Z27,Y27,"")))</f>
        <v/>
      </c>
      <c r="BC12" s="521" t="str">
        <f>IF(W28="","",IF(AO12=V28,W28,IF(AO12=Z28,Y28,"")))</f>
        <v/>
      </c>
      <c r="BD12" s="521" t="str">
        <f>IF(W29="","",IF(AO12=V29,W29,IF(AO12=Z29,Y29,"")))</f>
        <v/>
      </c>
      <c r="BE12" s="521">
        <f>IF(W30="","",IF(AO12=V30,W30,IF(AO12=Z30,Y30,"")))</f>
        <v>3</v>
      </c>
      <c r="BF12" s="521" t="str">
        <f>IF(W23="","",IF(AO12=V23,W23,IF(AO12=Z23,Y23,"")))</f>
        <v/>
      </c>
      <c r="BG12" s="521" t="str">
        <f>IF(W24="","",IF(AO12=V24,W24,IF(AO12=Z24,Y24,"")))</f>
        <v/>
      </c>
      <c r="BH12" s="521" t="str">
        <f>IF(W25="","",IF(AO12=V25,W25,IF(AO12=Z25,Y25,"")))</f>
        <v/>
      </c>
      <c r="BI12" s="521">
        <f>IF(W26="","",IF(AO12=V26,W26,IF(AO12=Z26,Y26,"")))</f>
        <v>5</v>
      </c>
      <c r="BJ12" s="521" t="str">
        <f>IF(W19="","",IF(AO12=V19,W19,IF(AO12=Z19,Y19,"")))</f>
        <v/>
      </c>
      <c r="BK12" s="521" t="str">
        <f>IF(W20="","",IF(AO12=V20,W20,IF(AO12=Z20,Y20,"")))</f>
        <v/>
      </c>
      <c r="BL12" s="521">
        <f>IF(W21="","",IF(AO12=V21,W21,IF(AO12=Z21,Y21,"")))</f>
        <v>3</v>
      </c>
      <c r="BM12" s="521" t="str">
        <f>IF(W22="","",IF(AO12=V22,W22,IF(AO12=Z22,Y22,"")))</f>
        <v/>
      </c>
      <c r="BN12" s="521" t="str">
        <f>IF(W15="","",IF(AO12=V15,W15,IF(AO12=Z15,Y15,"")))</f>
        <v/>
      </c>
      <c r="BO12" s="521" t="str">
        <f>IF(W16="","",IF(AO12=V16,W16,IF(AO12=Z16,Y16,"")))</f>
        <v/>
      </c>
      <c r="BP12" s="521" t="str">
        <f>IF(W17="","",IF(AO12=V17,W17,IF(AO12=Z17,Y17,"")))</f>
        <v/>
      </c>
      <c r="BQ12" s="521">
        <f>IF(W18="","",IF(AO12=V18,W18,IF(AO12=Z18,Y18,"")))</f>
        <v>5</v>
      </c>
      <c r="BR12" s="521" t="str">
        <f>IF(W11="","",IF(AO12=V11,W11,IF(AO12=Z11,Y11,"")))</f>
        <v/>
      </c>
      <c r="BS12" s="521" t="str">
        <f>IF(W12="","",IF(AO12=V12,W12,IF(AO12=Z12,Y12,"")))</f>
        <v/>
      </c>
      <c r="BT12" s="521">
        <f>IF(W13="","",IF(AO12=V13,W13,IF(AO12=Z13,Y13,"")))</f>
        <v>3</v>
      </c>
      <c r="BU12" s="521" t="str">
        <f>IF(W14="","",IF(AO12=V14,W14,IF(AO12=Z14,Y14,"")))</f>
        <v/>
      </c>
      <c r="BV12" s="521" t="str">
        <f>IF(W7="","",IF(AO12=V7,W7,IF(AO12=Z7,Y7,"")))</f>
        <v/>
      </c>
      <c r="BW12" s="521">
        <f>IF(W8="","",IF(AO12=V8,W8,IF(AO12=Z8,Y8,"")))</f>
        <v>3</v>
      </c>
      <c r="BX12" s="521" t="str">
        <f>IF(W9="","",IF(AO12=V9,W9,IF(AO12=Z9,Y9,"")))</f>
        <v/>
      </c>
      <c r="BY12" s="522" t="str">
        <f>IF(W10="","",IF(AO12=V10,W10,IF(AO12=Z10,Y10,"")))</f>
        <v/>
      </c>
      <c r="BZ12" s="1395" t="b">
        <f t="shared" si="12"/>
        <v>0</v>
      </c>
      <c r="CA12" s="1450" t="b">
        <f t="shared" si="13"/>
        <v>0</v>
      </c>
      <c r="CB12" s="1450" t="b">
        <f t="shared" si="14"/>
        <v>0</v>
      </c>
      <c r="CC12" s="270"/>
      <c r="CD12" s="270"/>
      <c r="CE12"/>
    </row>
    <row r="13" spans="1:83" outlineLevel="1" x14ac:dyDescent="0.2">
      <c r="A13" s="270"/>
      <c r="B13" s="545">
        <v>7</v>
      </c>
      <c r="C13" s="560">
        <f>IF(AK6="","",RANK(F13,F7:F14)*1000+ROW())</f>
        <v>7013</v>
      </c>
      <c r="D13" s="561">
        <f t="shared" si="0"/>
        <v>90000000000</v>
      </c>
      <c r="E13" s="561">
        <f>IF(L13="","",Nb_Diff_Part(D13,D7:D14,G13,G7:G14,AI7:AI34)*CritClassInd_DiffPart+Nb_Goal_Part(D13,D7:D14,G13,G7:G14,V7:Z34)*CritClassInd_GoalPart+Nb_Score_Part(D13,D7:D14,G13,G7:G14,V7:Z34)*CritClassInd_ScorePart)</f>
        <v>-102890000</v>
      </c>
      <c r="F13" s="562">
        <f t="shared" si="1"/>
        <v>89897109425</v>
      </c>
      <c r="G13" s="477" t="s">
        <v>18243</v>
      </c>
      <c r="H13" s="501">
        <f t="shared" si="2"/>
        <v>0</v>
      </c>
      <c r="I13" s="502"/>
      <c r="J13" s="560">
        <f>IF(AK6="","",(L13*Points_Victoire)+M13*Points_Null)</f>
        <v>9</v>
      </c>
      <c r="K13" s="563">
        <f t="shared" si="3"/>
        <v>7</v>
      </c>
      <c r="L13" s="563">
        <f>IF(AK6="","",COUNTIF(AE7:AE34,G13))</f>
        <v>3</v>
      </c>
      <c r="M13" s="563">
        <f>IF(AK6="","",COUNTIF(AF7:AG34,G13))</f>
        <v>0</v>
      </c>
      <c r="N13" s="563">
        <f>IF(AK6="","",COUNTIF(AH7:AH34,G13))</f>
        <v>4</v>
      </c>
      <c r="O13" s="563">
        <f>IF(AK6="","",SUMIF(V7:V34,G13,AB7:AB34)+SUMIF(Z7:Z34,G13,AD7:AD34))</f>
        <v>25</v>
      </c>
      <c r="P13" s="563">
        <f>IF(AK6="","",SUMIF(V7:V34,G13,AD7:AD34)+SUMIF(Z7:Z34,G13,AB7:AB34))</f>
        <v>31</v>
      </c>
      <c r="Q13" s="564">
        <f>IF(AK6="","",O13-P13)</f>
        <v>-6</v>
      </c>
      <c r="R13" s="558" t="s">
        <v>1727</v>
      </c>
      <c r="S13" s="613">
        <v>0.3888888888888889</v>
      </c>
      <c r="T13" s="618"/>
      <c r="U13" s="1504"/>
      <c r="V13" s="483" t="str">
        <f>IF(G9="","",G9)</f>
        <v>Eric NASZALYI (iss)</v>
      </c>
      <c r="W13" s="484">
        <v>6</v>
      </c>
      <c r="X13" s="485" t="s">
        <v>769</v>
      </c>
      <c r="Y13" s="484">
        <v>3</v>
      </c>
      <c r="Z13" s="486" t="str">
        <f>IF(G14="","",G14)</f>
        <v>Cédric PANDOLFI (sym)</v>
      </c>
      <c r="AA13" s="839"/>
      <c r="AB13" s="1459">
        <f t="shared" si="4"/>
        <v>6</v>
      </c>
      <c r="AC13" s="1460" t="str">
        <f t="shared" si="5"/>
        <v>-</v>
      </c>
      <c r="AD13" s="1459">
        <f t="shared" si="6"/>
        <v>3</v>
      </c>
      <c r="AE13" s="968" t="str">
        <f t="shared" si="7"/>
        <v>Eric NASZALYI (iss)</v>
      </c>
      <c r="AF13" s="968" t="str">
        <f t="shared" si="8"/>
        <v/>
      </c>
      <c r="AG13" s="968" t="str">
        <f t="shared" si="9"/>
        <v/>
      </c>
      <c r="AH13" s="968" t="str">
        <f t="shared" si="10"/>
        <v>Cédric PANDOLFI (sym)</v>
      </c>
      <c r="AI13" s="968" t="str">
        <f t="shared" si="11"/>
        <v>Eric NASZALYI (iss)Cédric PANDOLFI (sym)</v>
      </c>
      <c r="AJ13" s="968"/>
      <c r="AK13" s="968">
        <f>IF(AK6="","",SMALL(C7:C14,7))</f>
        <v>7013</v>
      </c>
      <c r="AL13" s="270"/>
      <c r="AM13" s="270"/>
      <c r="AN13" s="545">
        <f>IF(AK6="","",INT(AK13/1000))</f>
        <v>7</v>
      </c>
      <c r="AO13" s="510" t="str">
        <f>IF(AK6="",IF(HidePlayerFormulas,"","("&amp;G13&amp;")"),VLOOKUP(AK13,C7:Q14,5,FALSE))</f>
        <v>Cyprien BONNET (sym)</v>
      </c>
      <c r="AP13" s="511">
        <f>VLOOKUP(AK13,C7:Q14,8,FALSE)</f>
        <v>9</v>
      </c>
      <c r="AQ13" s="511">
        <f>VLOOKUP(AK13,C7:Q14,9,FALSE)</f>
        <v>7</v>
      </c>
      <c r="AR13" s="511">
        <f>VLOOKUP(AK13,C7:Q14,10,FALSE)</f>
        <v>3</v>
      </c>
      <c r="AS13" s="511">
        <f>VLOOKUP(AK13,C7:Q14,11,FALSE)</f>
        <v>0</v>
      </c>
      <c r="AT13" s="511">
        <f>VLOOKUP(AK13,C7:Q14,12,FALSE)</f>
        <v>4</v>
      </c>
      <c r="AU13" s="511">
        <f>VLOOKUP(AK13,C7:Q14,13,FALSE)</f>
        <v>25</v>
      </c>
      <c r="AV13" s="511">
        <f>VLOOKUP(AK13,C7:Q14,14,FALSE)</f>
        <v>31</v>
      </c>
      <c r="AW13" s="512">
        <f>VLOOKUP(AK13,C7:Q14,15,FALSE)</f>
        <v>-6</v>
      </c>
      <c r="AX13" s="546">
        <f>IF(W31="","",IF(AO13=V31,W31,IF(AO13=Z31,Y31,"")))</f>
        <v>3</v>
      </c>
      <c r="AY13" s="521" t="str">
        <f>IF(W32="","",IF(AO13=V32,W32,IF(AO13=Z32,Y32,"")))</f>
        <v/>
      </c>
      <c r="AZ13" s="521" t="str">
        <f>IF(W33="","",IF(AO13=V33,W33,IF(AO13=Z33,Y33,"")))</f>
        <v/>
      </c>
      <c r="BA13" s="521" t="str">
        <f>IF(W34="","",IF(AO13=V34,W34,IF(AO13=Z34,Y34,"")))</f>
        <v/>
      </c>
      <c r="BB13" s="521" t="str">
        <f>IF(W27="","",IF(AO13=V27,W27,IF(AO13=Z27,Y27,"")))</f>
        <v/>
      </c>
      <c r="BC13" s="521" t="str">
        <f>IF(W28="","",IF(AO13=V28,W28,IF(AO13=Z28,Y28,"")))</f>
        <v/>
      </c>
      <c r="BD13" s="521" t="str">
        <f>IF(W29="","",IF(AO13=V29,W29,IF(AO13=Z29,Y29,"")))</f>
        <v/>
      </c>
      <c r="BE13" s="521">
        <f>IF(W30="","",IF(AO13=V30,W30,IF(AO13=Z30,Y30,"")))</f>
        <v>5</v>
      </c>
      <c r="BF13" s="521" t="str">
        <f>IF(W23="","",IF(AO13=V23,W23,IF(AO13=Z23,Y23,"")))</f>
        <v/>
      </c>
      <c r="BG13" s="521" t="str">
        <f>IF(W24="","",IF(AO13=V24,W24,IF(AO13=Z24,Y24,"")))</f>
        <v/>
      </c>
      <c r="BH13" s="521">
        <f>IF(W25="","",IF(AO13=V25,W25,IF(AO13=Z25,Y25,"")))</f>
        <v>3</v>
      </c>
      <c r="BI13" s="521" t="str">
        <f>IF(W26="","",IF(AO13=V26,W26,IF(AO13=Z26,Y26,"")))</f>
        <v/>
      </c>
      <c r="BJ13" s="521" t="str">
        <f>IF(W19="","",IF(AO13=V19,W19,IF(AO13=Z19,Y19,"")))</f>
        <v/>
      </c>
      <c r="BK13" s="521" t="str">
        <f>IF(W20="","",IF(AO13=V20,W20,IF(AO13=Z20,Y20,"")))</f>
        <v/>
      </c>
      <c r="BL13" s="521" t="str">
        <f>IF(W21="","",IF(AO13=V21,W21,IF(AO13=Z21,Y21,"")))</f>
        <v/>
      </c>
      <c r="BM13" s="521">
        <f>IF(W22="","",IF(AO13=V22,W22,IF(AO13=Z22,Y22,"")))</f>
        <v>5</v>
      </c>
      <c r="BN13" s="521" t="str">
        <f>IF(W15="","",IF(AO13=V15,W15,IF(AO13=Z15,Y15,"")))</f>
        <v/>
      </c>
      <c r="BO13" s="521" t="str">
        <f>IF(W16="","",IF(AO13=V16,W16,IF(AO13=Z16,Y16,"")))</f>
        <v/>
      </c>
      <c r="BP13" s="521">
        <f>IF(W17="","",IF(AO13=V17,W17,IF(AO13=Z17,Y17,"")))</f>
        <v>6</v>
      </c>
      <c r="BQ13" s="521" t="str">
        <f>IF(W18="","",IF(AO13=V18,W18,IF(AO13=Z18,Y18,"")))</f>
        <v/>
      </c>
      <c r="BR13" s="521" t="str">
        <f>IF(W11="","",IF(AO13=V11,W11,IF(AO13=Z11,Y11,"")))</f>
        <v/>
      </c>
      <c r="BS13" s="521" t="str">
        <f>IF(W12="","",IF(AO13=V12,W12,IF(AO13=Z12,Y12,"")))</f>
        <v/>
      </c>
      <c r="BT13" s="521" t="str">
        <f>IF(W13="","",IF(AO13=V13,W13,IF(AO13=Z13,Y13,"")))</f>
        <v/>
      </c>
      <c r="BU13" s="521">
        <f>IF(W14="","",IF(AO13=V14,W14,IF(AO13=Z14,Y14,"")))</f>
        <v>3</v>
      </c>
      <c r="BV13" s="521" t="str">
        <f>IF(W7="","",IF(AO13=V7,W7,IF(AO13=Z7,Y7,"")))</f>
        <v/>
      </c>
      <c r="BW13" s="521" t="str">
        <f>IF(W8="","",IF(AO13=V8,W8,IF(AO13=Z8,Y8,"")))</f>
        <v/>
      </c>
      <c r="BX13" s="521">
        <f>IF(W9="","",IF(AO13=V9,W9,IF(AO13=Z9,Y9,"")))</f>
        <v>3</v>
      </c>
      <c r="BY13" s="522" t="str">
        <f>IF(W10="","",IF(AO13=V10,W10,IF(AO13=Z10,Y10,"")))</f>
        <v/>
      </c>
      <c r="BZ13" s="1395" t="b">
        <f t="shared" si="12"/>
        <v>0</v>
      </c>
      <c r="CA13" s="1450" t="b">
        <f t="shared" si="13"/>
        <v>0</v>
      </c>
      <c r="CB13" s="1450" t="b">
        <f t="shared" si="14"/>
        <v>0</v>
      </c>
      <c r="CC13" s="270"/>
      <c r="CD13" s="270"/>
      <c r="CE13"/>
    </row>
    <row r="14" spans="1:83" ht="13.5" outlineLevel="1" thickBot="1" x14ac:dyDescent="0.25">
      <c r="A14" s="270"/>
      <c r="B14" s="588">
        <v>8</v>
      </c>
      <c r="C14" s="565">
        <f>IF(AK6="","",RANK(F14,F7:F14)*1000+ROW())</f>
        <v>6014</v>
      </c>
      <c r="D14" s="566">
        <f t="shared" si="0"/>
        <v>90000000000</v>
      </c>
      <c r="E14" s="566">
        <f>IF(L14="","",Nb_Diff_Part(D14,D7:D14,G14,G7:G14,AI7:AI34)*CritClassInd_DiffPart+Nb_Goal_Part(D14,D7:D14,G14,G7:G14,V7:Z34)*CritClassInd_GoalPart+Nb_Score_Part(D14,D7:D14,G14,G7:G14,V7:Z34)*CritClassInd_ScorePart)</f>
        <v>102130000</v>
      </c>
      <c r="F14" s="567">
        <f t="shared" si="1"/>
        <v>90102129427</v>
      </c>
      <c r="G14" s="478" t="s">
        <v>18246</v>
      </c>
      <c r="H14" s="503">
        <f t="shared" si="2"/>
        <v>0</v>
      </c>
      <c r="I14" s="504"/>
      <c r="J14" s="585">
        <f>IF(AK6="","",(L14*Points_Victoire)+M14*Points_Null)</f>
        <v>9</v>
      </c>
      <c r="K14" s="586">
        <f t="shared" si="3"/>
        <v>7</v>
      </c>
      <c r="L14" s="586">
        <f>IF(AK6="","",COUNTIF(AE7:AE34,G14))</f>
        <v>3</v>
      </c>
      <c r="M14" s="586">
        <f>IF(AK6="","",COUNTIF(AF7:AG34,G14))</f>
        <v>0</v>
      </c>
      <c r="N14" s="586">
        <f>IF(AK6="","",COUNTIF(AH7:AH34,G14))</f>
        <v>4</v>
      </c>
      <c r="O14" s="586">
        <f>IF(AK6="","",SUMIF(V7:V34,G14,AB7:AB34)+SUMIF(Z7:Z34,G14,AD7:AD34))</f>
        <v>27</v>
      </c>
      <c r="P14" s="586">
        <f>IF(AK6="","",SUMIF(V7:V34,G14,AD7:AD34)+SUMIF(Z7:Z34,G14,AB7:AB34))</f>
        <v>33</v>
      </c>
      <c r="Q14" s="587">
        <f>IF(AK6="","",O14-P14)</f>
        <v>-6</v>
      </c>
      <c r="R14" s="558" t="s">
        <v>1727</v>
      </c>
      <c r="S14" s="615">
        <v>0.3888888888888889</v>
      </c>
      <c r="T14" s="619"/>
      <c r="U14" s="1503"/>
      <c r="V14" s="487" t="str">
        <f>IF(G12="","",G12)</f>
        <v>Françoise GUYOT (chp)</v>
      </c>
      <c r="W14" s="488">
        <v>5</v>
      </c>
      <c r="X14" s="489" t="s">
        <v>769</v>
      </c>
      <c r="Y14" s="488">
        <v>3</v>
      </c>
      <c r="Z14" s="490" t="str">
        <f>IF(G13="","",G13)</f>
        <v>Cyprien BONNET (sym)</v>
      </c>
      <c r="AA14" s="839"/>
      <c r="AB14" s="1459">
        <f t="shared" si="4"/>
        <v>5</v>
      </c>
      <c r="AC14" s="1460" t="str">
        <f t="shared" si="5"/>
        <v>-</v>
      </c>
      <c r="AD14" s="1459">
        <f t="shared" si="6"/>
        <v>3</v>
      </c>
      <c r="AE14" s="968" t="str">
        <f t="shared" si="7"/>
        <v>Françoise GUYOT (chp)</v>
      </c>
      <c r="AF14" s="968" t="str">
        <f t="shared" si="8"/>
        <v/>
      </c>
      <c r="AG14" s="968" t="str">
        <f t="shared" si="9"/>
        <v/>
      </c>
      <c r="AH14" s="968" t="str">
        <f t="shared" si="10"/>
        <v>Cyprien BONNET (sym)</v>
      </c>
      <c r="AI14" s="968" t="str">
        <f t="shared" si="11"/>
        <v>Françoise GUYOT (chp)Cyprien BONNET (sym)</v>
      </c>
      <c r="AJ14" s="968"/>
      <c r="AK14" s="968">
        <f>IF(AK6="","",SMALL(C7:C14,8))</f>
        <v>8012</v>
      </c>
      <c r="AL14" s="270"/>
      <c r="AM14" s="270"/>
      <c r="AN14" s="547">
        <f>IF(AK6="","",INT(AK14/1000))</f>
        <v>8</v>
      </c>
      <c r="AO14" s="514" t="str">
        <f>IF(AK6="",IF(HidePlayerFormulas,"","("&amp;G14&amp;")"),VLOOKUP(AK14,C7:Q14,5,FALSE))</f>
        <v>Françoise GUYOT (chp)</v>
      </c>
      <c r="AP14" s="515">
        <f>VLOOKUP(AK14,C7:Q14,8,FALSE)</f>
        <v>9</v>
      </c>
      <c r="AQ14" s="515">
        <f>VLOOKUP(AK14,C7:Q14,9,FALSE)</f>
        <v>7</v>
      </c>
      <c r="AR14" s="515">
        <f>VLOOKUP(AK14,C7:Q14,10,FALSE)</f>
        <v>3</v>
      </c>
      <c r="AS14" s="515">
        <f>VLOOKUP(AK14,C7:Q14,11,FALSE)</f>
        <v>0</v>
      </c>
      <c r="AT14" s="515">
        <f>VLOOKUP(AK14,C7:Q14,12,FALSE)</f>
        <v>4</v>
      </c>
      <c r="AU14" s="515">
        <f>VLOOKUP(AK14,C7:Q14,13,FALSE)</f>
        <v>30</v>
      </c>
      <c r="AV14" s="515">
        <f>VLOOKUP(AK14,C7:Q14,14,FALSE)</f>
        <v>33</v>
      </c>
      <c r="AW14" s="516">
        <f>VLOOKUP(AK14,C7:Q14,15,FALSE)</f>
        <v>-3</v>
      </c>
      <c r="AX14" s="548" t="str">
        <f>IF(W31="","",IF(AO14=V31,W31,IF(AO14=Z31,Y31,"")))</f>
        <v/>
      </c>
      <c r="AY14" s="524">
        <f>IF(W32="","",IF(AO14=V32,W32,IF(AO14=Z32,Y32,"")))</f>
        <v>3</v>
      </c>
      <c r="AZ14" s="524" t="str">
        <f>IF(W33="","",IF(AO14=V33,W33,IF(AO14=Z33,Y33,"")))</f>
        <v/>
      </c>
      <c r="BA14" s="524" t="str">
        <f>IF(W34="","",IF(AO14=V34,W34,IF(AO14=Z34,Y34,"")))</f>
        <v/>
      </c>
      <c r="BB14" s="524" t="str">
        <f>IF(W27="","",IF(AO14=V27,W27,IF(AO14=Z27,Y27,"")))</f>
        <v/>
      </c>
      <c r="BC14" s="524" t="str">
        <f>IF(W28="","",IF(AO14=V28,W28,IF(AO14=Z28,Y28,"")))</f>
        <v/>
      </c>
      <c r="BD14" s="524">
        <f>IF(W29="","",IF(AO14=V29,W29,IF(AO14=Z29,Y29,"")))</f>
        <v>6</v>
      </c>
      <c r="BE14" s="524" t="str">
        <f>IF(W30="","",IF(AO14=V30,W30,IF(AO14=Z30,Y30,"")))</f>
        <v/>
      </c>
      <c r="BF14" s="524" t="str">
        <f>IF(W23="","",IF(AO14=V23,W23,IF(AO14=Z23,Y23,"")))</f>
        <v/>
      </c>
      <c r="BG14" s="524" t="str">
        <f>IF(W24="","",IF(AO14=V24,W24,IF(AO14=Z24,Y24,"")))</f>
        <v/>
      </c>
      <c r="BH14" s="524" t="str">
        <f>IF(W25="","",IF(AO14=V25,W25,IF(AO14=Z25,Y25,"")))</f>
        <v/>
      </c>
      <c r="BI14" s="524">
        <f>IF(W26="","",IF(AO14=V26,W26,IF(AO14=Z26,Y26,"")))</f>
        <v>3</v>
      </c>
      <c r="BJ14" s="524" t="str">
        <f>IF(W19="","",IF(AO14=V19,W19,IF(AO14=Z19,Y19,"")))</f>
        <v/>
      </c>
      <c r="BK14" s="524">
        <f>IF(W20="","",IF(AO14=V20,W20,IF(AO14=Z20,Y20,"")))</f>
        <v>3</v>
      </c>
      <c r="BL14" s="524" t="str">
        <f>IF(W21="","",IF(AO14=V21,W21,IF(AO14=Z21,Y21,"")))</f>
        <v/>
      </c>
      <c r="BM14" s="524" t="str">
        <f>IF(W22="","",IF(AO14=V22,W22,IF(AO14=Z22,Y22,"")))</f>
        <v/>
      </c>
      <c r="BN14" s="524" t="str">
        <f>IF(W15="","",IF(AO14=V15,W15,IF(AO14=Z15,Y15,"")))</f>
        <v/>
      </c>
      <c r="BO14" s="524">
        <f>IF(W16="","",IF(AO14=V16,W16,IF(AO14=Z16,Y16,"")))</f>
        <v>7</v>
      </c>
      <c r="BP14" s="524" t="str">
        <f>IF(W17="","",IF(AO14=V17,W17,IF(AO14=Z17,Y17,"")))</f>
        <v/>
      </c>
      <c r="BQ14" s="524" t="str">
        <f>IF(W18="","",IF(AO14=V18,W18,IF(AO14=Z18,Y18,"")))</f>
        <v/>
      </c>
      <c r="BR14" s="524" t="str">
        <f>IF(W11="","",IF(AO14=V11,W11,IF(AO14=Z11,Y11,"")))</f>
        <v/>
      </c>
      <c r="BS14" s="524" t="str">
        <f>IF(W12="","",IF(AO14=V12,W12,IF(AO14=Z12,Y12,"")))</f>
        <v/>
      </c>
      <c r="BT14" s="524" t="str">
        <f>IF(W13="","",IF(AO14=V13,W13,IF(AO14=Z13,Y13,"")))</f>
        <v/>
      </c>
      <c r="BU14" s="524">
        <f>IF(W14="","",IF(AO14=V14,W14,IF(AO14=Z14,Y14,"")))</f>
        <v>5</v>
      </c>
      <c r="BV14" s="524" t="str">
        <f>IF(W7="","",IF(AO14=V7,W7,IF(AO14=Z7,Y7,"")))</f>
        <v/>
      </c>
      <c r="BW14" s="524" t="str">
        <f>IF(W8="","",IF(AO14=V8,W8,IF(AO14=Z8,Y8,"")))</f>
        <v/>
      </c>
      <c r="BX14" s="524" t="str">
        <f>IF(W9="","",IF(AO14=V9,W9,IF(AO14=Z9,Y9,"")))</f>
        <v/>
      </c>
      <c r="BY14" s="525">
        <f>IF(W10="","",IF(AO14=V10,W10,IF(AO14=Z10,Y10,"")))</f>
        <v>3</v>
      </c>
      <c r="BZ14" s="1395" t="b">
        <f t="shared" si="12"/>
        <v>0</v>
      </c>
      <c r="CA14" s="1450" t="b">
        <f t="shared" si="13"/>
        <v>0</v>
      </c>
      <c r="CB14" s="1450" t="b">
        <f t="shared" si="14"/>
        <v>0</v>
      </c>
      <c r="CC14" s="270"/>
      <c r="CD14" s="270"/>
      <c r="CE14"/>
    </row>
    <row r="15" spans="1:83" outlineLevel="2" x14ac:dyDescent="0.2">
      <c r="A15" s="270"/>
      <c r="B15" s="271"/>
      <c r="C15" s="270"/>
      <c r="D15" s="270"/>
      <c r="E15" s="270"/>
      <c r="F15" s="270"/>
      <c r="G15" s="271"/>
      <c r="H15" s="271"/>
      <c r="I15" s="271"/>
      <c r="J15" s="270"/>
      <c r="K15" s="270"/>
      <c r="L15" s="270"/>
      <c r="M15" s="270"/>
      <c r="N15" s="270"/>
      <c r="O15" s="270"/>
      <c r="P15" s="270"/>
      <c r="Q15" s="270"/>
      <c r="R15" s="558" t="s">
        <v>1728</v>
      </c>
      <c r="S15" s="611">
        <v>0.4236111111111111</v>
      </c>
      <c r="T15" s="617"/>
      <c r="U15" s="1502"/>
      <c r="V15" s="479" t="str">
        <f>IF(G9="","",G9)</f>
        <v>Eric NASZALYI (iss)</v>
      </c>
      <c r="W15" s="480">
        <v>8</v>
      </c>
      <c r="X15" s="481" t="s">
        <v>769</v>
      </c>
      <c r="Y15" s="480">
        <v>3</v>
      </c>
      <c r="Z15" s="482" t="str">
        <f>IF(G11="","",G11)</f>
        <v>David LEROY (puy)</v>
      </c>
      <c r="AA15" s="839"/>
      <c r="AB15" s="1459">
        <f t="shared" si="4"/>
        <v>5</v>
      </c>
      <c r="AC15" s="1460" t="str">
        <f t="shared" si="5"/>
        <v>-</v>
      </c>
      <c r="AD15" s="1459">
        <f t="shared" si="6"/>
        <v>0</v>
      </c>
      <c r="AE15" s="968" t="str">
        <f t="shared" si="7"/>
        <v>Eric NASZALYI (iss)</v>
      </c>
      <c r="AF15" s="968" t="str">
        <f t="shared" si="8"/>
        <v/>
      </c>
      <c r="AG15" s="968" t="str">
        <f t="shared" si="9"/>
        <v/>
      </c>
      <c r="AH15" s="968" t="str">
        <f t="shared" si="10"/>
        <v>David LEROY (puy)</v>
      </c>
      <c r="AI15" s="968" t="str">
        <f t="shared" si="11"/>
        <v>Eric NASZALYI (iss)David LEROY (puy)</v>
      </c>
      <c r="AJ15" s="968"/>
      <c r="AK15" s="968"/>
      <c r="AL15" s="270"/>
      <c r="AM15" s="270"/>
      <c r="AN15" s="575"/>
      <c r="AO15" s="270"/>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c r="CA15" s="1396"/>
      <c r="CB15" s="1396"/>
      <c r="CC15" s="270"/>
      <c r="CD15" s="270"/>
      <c r="CE15"/>
    </row>
    <row r="16" spans="1:83" outlineLevel="2" x14ac:dyDescent="0.2">
      <c r="A16" s="270"/>
      <c r="B16" s="271"/>
      <c r="C16" s="270"/>
      <c r="D16" s="270"/>
      <c r="E16" s="270"/>
      <c r="F16" s="270"/>
      <c r="G16" s="271"/>
      <c r="H16" s="271"/>
      <c r="I16" s="271"/>
      <c r="J16" s="270"/>
      <c r="K16" s="270"/>
      <c r="L16" s="270"/>
      <c r="M16" s="270"/>
      <c r="N16" s="270"/>
      <c r="O16" s="270"/>
      <c r="P16" s="270"/>
      <c r="Q16" s="270"/>
      <c r="R16" s="558" t="s">
        <v>1728</v>
      </c>
      <c r="S16" s="613">
        <v>0.4236111111111111</v>
      </c>
      <c r="T16" s="618"/>
      <c r="U16" s="1504"/>
      <c r="V16" s="491" t="str">
        <f>IF(G12="","",G12)</f>
        <v>Françoise GUYOT (chp)</v>
      </c>
      <c r="W16" s="492">
        <v>7</v>
      </c>
      <c r="X16" s="493" t="s">
        <v>769</v>
      </c>
      <c r="Y16" s="492">
        <v>3</v>
      </c>
      <c r="Z16" s="494" t="str">
        <f>IF(G8="","",G8)</f>
        <v>Théo MODESTE (iss)</v>
      </c>
      <c r="AA16" s="839"/>
      <c r="AB16" s="1459">
        <f t="shared" si="4"/>
        <v>7</v>
      </c>
      <c r="AC16" s="1460" t="str">
        <f t="shared" si="5"/>
        <v>-</v>
      </c>
      <c r="AD16" s="1459">
        <f t="shared" si="6"/>
        <v>3</v>
      </c>
      <c r="AE16" s="968" t="str">
        <f t="shared" si="7"/>
        <v>Françoise GUYOT (chp)</v>
      </c>
      <c r="AF16" s="968" t="str">
        <f t="shared" si="8"/>
        <v/>
      </c>
      <c r="AG16" s="968" t="str">
        <f t="shared" si="9"/>
        <v/>
      </c>
      <c r="AH16" s="968" t="str">
        <f t="shared" si="10"/>
        <v>Théo MODESTE (iss)</v>
      </c>
      <c r="AI16" s="968" t="str">
        <f t="shared" si="11"/>
        <v>Françoise GUYOT (chp)Théo MODESTE (iss)</v>
      </c>
      <c r="AJ16" s="968"/>
      <c r="AK16" s="968"/>
      <c r="AL16" s="270"/>
      <c r="AM16" s="270"/>
      <c r="AN16" s="575"/>
      <c r="AO16" s="270"/>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c r="CA16" s="1396"/>
      <c r="CB16" s="1396"/>
      <c r="CC16" s="270"/>
      <c r="CD16" s="270"/>
      <c r="CE16"/>
    </row>
    <row r="17" spans="1:83" outlineLevel="2" x14ac:dyDescent="0.2">
      <c r="A17" s="270"/>
      <c r="B17" s="271"/>
      <c r="C17" s="270"/>
      <c r="D17" s="270"/>
      <c r="E17" s="270"/>
      <c r="F17" s="270"/>
      <c r="G17" s="271"/>
      <c r="H17" s="271"/>
      <c r="I17" s="271"/>
      <c r="J17" s="270"/>
      <c r="K17" s="270"/>
      <c r="L17" s="270"/>
      <c r="M17" s="270"/>
      <c r="N17" s="270"/>
      <c r="O17" s="270"/>
      <c r="P17" s="270"/>
      <c r="Q17" s="270"/>
      <c r="R17" s="558" t="s">
        <v>1728</v>
      </c>
      <c r="S17" s="613">
        <v>0.4236111111111111</v>
      </c>
      <c r="T17" s="618"/>
      <c r="U17" s="1504"/>
      <c r="V17" s="491" t="str">
        <f>IF(G13="","",G13)</f>
        <v>Cyprien BONNET (sym)</v>
      </c>
      <c r="W17" s="492">
        <v>6</v>
      </c>
      <c r="X17" s="493" t="s">
        <v>769</v>
      </c>
      <c r="Y17" s="492">
        <v>3</v>
      </c>
      <c r="Z17" s="494" t="str">
        <f>IF(G7="","",G7)</f>
        <v>Raphaël POMMIER (cae)</v>
      </c>
      <c r="AA17" s="839"/>
      <c r="AB17" s="1459">
        <f t="shared" si="4"/>
        <v>6</v>
      </c>
      <c r="AC17" s="1460" t="str">
        <f t="shared" si="5"/>
        <v>-</v>
      </c>
      <c r="AD17" s="1459">
        <f t="shared" si="6"/>
        <v>3</v>
      </c>
      <c r="AE17" s="968" t="str">
        <f t="shared" si="7"/>
        <v>Cyprien BONNET (sym)</v>
      </c>
      <c r="AF17" s="968" t="str">
        <f t="shared" si="8"/>
        <v/>
      </c>
      <c r="AG17" s="968" t="str">
        <f t="shared" si="9"/>
        <v/>
      </c>
      <c r="AH17" s="968" t="str">
        <f t="shared" si="10"/>
        <v>Raphaël POMMIER (cae)</v>
      </c>
      <c r="AI17" s="968" t="str">
        <f t="shared" si="11"/>
        <v>Cyprien BONNET (sym)Raphaël POMMIER (cae)</v>
      </c>
      <c r="AJ17" s="968"/>
      <c r="AK17" s="968"/>
      <c r="AL17" s="270"/>
      <c r="AM17" s="270"/>
      <c r="AN17" s="575"/>
      <c r="AO17" s="270"/>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c r="CA17" s="1396"/>
      <c r="CB17" s="1396"/>
      <c r="CC17" s="270"/>
      <c r="CD17" s="270"/>
      <c r="CE17"/>
    </row>
    <row r="18" spans="1:83" ht="13.5" outlineLevel="2" thickBot="1" x14ac:dyDescent="0.25">
      <c r="A18" s="270"/>
      <c r="B18" s="271"/>
      <c r="C18" s="270"/>
      <c r="D18" s="270"/>
      <c r="E18" s="270"/>
      <c r="F18" s="270"/>
      <c r="G18" s="271"/>
      <c r="H18" s="271"/>
      <c r="I18" s="271"/>
      <c r="J18" s="270"/>
      <c r="K18" s="270"/>
      <c r="L18" s="270"/>
      <c r="M18" s="270"/>
      <c r="N18" s="270"/>
      <c r="O18" s="270"/>
      <c r="P18" s="270"/>
      <c r="Q18" s="270"/>
      <c r="R18" s="558" t="s">
        <v>1728</v>
      </c>
      <c r="S18" s="615">
        <v>0.4236111111111111</v>
      </c>
      <c r="T18" s="619"/>
      <c r="U18" s="1503"/>
      <c r="V18" s="495" t="str">
        <f>IF(G14="","",G14)</f>
        <v>Cédric PANDOLFI (sym)</v>
      </c>
      <c r="W18" s="496">
        <v>5</v>
      </c>
      <c r="X18" s="497" t="s">
        <v>769</v>
      </c>
      <c r="Y18" s="496">
        <v>3</v>
      </c>
      <c r="Z18" s="498" t="str">
        <f>IF(G10="","",G10)</f>
        <v>Thierry VIVRON (iss)</v>
      </c>
      <c r="AA18" s="839"/>
      <c r="AB18" s="1459">
        <f t="shared" si="4"/>
        <v>5</v>
      </c>
      <c r="AC18" s="1460" t="str">
        <f t="shared" si="5"/>
        <v>-</v>
      </c>
      <c r="AD18" s="1459">
        <f t="shared" si="6"/>
        <v>3</v>
      </c>
      <c r="AE18" s="968" t="str">
        <f t="shared" si="7"/>
        <v>Cédric PANDOLFI (sym)</v>
      </c>
      <c r="AF18" s="968" t="str">
        <f t="shared" si="8"/>
        <v/>
      </c>
      <c r="AG18" s="968" t="str">
        <f t="shared" si="9"/>
        <v/>
      </c>
      <c r="AH18" s="968" t="str">
        <f t="shared" si="10"/>
        <v>Thierry VIVRON (iss)</v>
      </c>
      <c r="AI18" s="968" t="str">
        <f t="shared" si="11"/>
        <v>Cédric PANDOLFI (sym)Thierry VIVRON (iss)</v>
      </c>
      <c r="AJ18" s="968"/>
      <c r="AK18" s="968"/>
      <c r="AL18" s="270"/>
      <c r="AM18" s="270"/>
      <c r="AN18" s="575"/>
      <c r="AO18" s="270"/>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c r="CA18" s="1396"/>
      <c r="CB18" s="1396"/>
      <c r="CC18" s="270"/>
      <c r="CD18" s="270"/>
      <c r="CE18"/>
    </row>
    <row r="19" spans="1:83" outlineLevel="2" x14ac:dyDescent="0.2">
      <c r="A19" s="270"/>
      <c r="B19" s="271"/>
      <c r="C19" s="270"/>
      <c r="D19" s="270"/>
      <c r="E19" s="270"/>
      <c r="F19" s="270"/>
      <c r="G19" s="271"/>
      <c r="H19" s="271"/>
      <c r="I19" s="271"/>
      <c r="J19" s="270"/>
      <c r="K19" s="270"/>
      <c r="L19" s="270"/>
      <c r="M19" s="270"/>
      <c r="N19" s="270"/>
      <c r="O19" s="270"/>
      <c r="P19" s="270"/>
      <c r="Q19" s="270"/>
      <c r="R19" s="558" t="s">
        <v>1729</v>
      </c>
      <c r="S19" s="611">
        <v>0.45833333333333331</v>
      </c>
      <c r="T19" s="617"/>
      <c r="U19" s="1502"/>
      <c r="V19" s="479" t="str">
        <f>IF(G7="","",G7)</f>
        <v>Raphaël POMMIER (cae)</v>
      </c>
      <c r="W19" s="480">
        <v>8</v>
      </c>
      <c r="X19" s="481" t="s">
        <v>769</v>
      </c>
      <c r="Y19" s="480">
        <v>3</v>
      </c>
      <c r="Z19" s="482" t="str">
        <f>IF(G8="","",G8)</f>
        <v>Théo MODESTE (iss)</v>
      </c>
      <c r="AA19" s="839"/>
      <c r="AB19" s="1459">
        <f t="shared" si="4"/>
        <v>5</v>
      </c>
      <c r="AC19" s="1460" t="str">
        <f t="shared" si="5"/>
        <v>-</v>
      </c>
      <c r="AD19" s="1459">
        <f t="shared" si="6"/>
        <v>0</v>
      </c>
      <c r="AE19" s="968" t="str">
        <f t="shared" si="7"/>
        <v>Raphaël POMMIER (cae)</v>
      </c>
      <c r="AF19" s="968" t="str">
        <f t="shared" si="8"/>
        <v/>
      </c>
      <c r="AG19" s="968" t="str">
        <f t="shared" si="9"/>
        <v/>
      </c>
      <c r="AH19" s="968" t="str">
        <f t="shared" si="10"/>
        <v>Théo MODESTE (iss)</v>
      </c>
      <c r="AI19" s="968" t="str">
        <f t="shared" si="11"/>
        <v>Raphaël POMMIER (cae)Théo MODESTE (iss)</v>
      </c>
      <c r="AJ19" s="968"/>
      <c r="AK19" s="968"/>
      <c r="AL19" s="270"/>
      <c r="AM19" s="270"/>
      <c r="AN19" s="575"/>
      <c r="AO19" s="270"/>
      <c r="AP19" s="271"/>
      <c r="AQ19" s="271"/>
      <c r="AR19" s="271"/>
      <c r="AS19" s="271"/>
      <c r="AT19" s="271"/>
      <c r="AU19" s="271"/>
      <c r="AV19" s="271"/>
      <c r="AW19" s="271"/>
      <c r="AX19" s="271"/>
      <c r="AY19" s="271"/>
      <c r="AZ19" s="271"/>
      <c r="BA19" s="271"/>
      <c r="BB19" s="271"/>
      <c r="BC19" s="271"/>
      <c r="BD19" s="271"/>
      <c r="BE19" s="271"/>
      <c r="BF19" s="271"/>
      <c r="BG19" s="271"/>
      <c r="BH19" s="271"/>
      <c r="BI19" s="271"/>
      <c r="BJ19" s="271"/>
      <c r="BK19" s="271"/>
      <c r="BL19" s="271"/>
      <c r="BM19" s="271"/>
      <c r="BN19" s="271"/>
      <c r="BO19" s="271"/>
      <c r="BP19" s="271"/>
      <c r="BQ19" s="271"/>
      <c r="BR19" s="271"/>
      <c r="BS19" s="271"/>
      <c r="BT19" s="271"/>
      <c r="BU19" s="271"/>
      <c r="BV19" s="271"/>
      <c r="BW19" s="271"/>
      <c r="BX19" s="271"/>
      <c r="BY19" s="271"/>
      <c r="BZ19"/>
      <c r="CA19" s="1396"/>
      <c r="CB19" s="1396"/>
      <c r="CC19" s="270"/>
      <c r="CD19" s="270"/>
      <c r="CE19"/>
    </row>
    <row r="20" spans="1:83" outlineLevel="2" x14ac:dyDescent="0.2">
      <c r="A20" s="270"/>
      <c r="B20" s="271"/>
      <c r="C20" s="270"/>
      <c r="D20" s="270"/>
      <c r="E20" s="270"/>
      <c r="F20" s="270"/>
      <c r="G20" s="271"/>
      <c r="H20" s="271"/>
      <c r="I20" s="271"/>
      <c r="J20" s="270"/>
      <c r="K20" s="270"/>
      <c r="L20" s="270"/>
      <c r="M20" s="270"/>
      <c r="N20" s="270"/>
      <c r="O20" s="270"/>
      <c r="P20" s="270"/>
      <c r="Q20" s="270"/>
      <c r="R20" s="558" t="s">
        <v>1729</v>
      </c>
      <c r="S20" s="613">
        <v>0.45833333333333331</v>
      </c>
      <c r="T20" s="618"/>
      <c r="U20" s="1504"/>
      <c r="V20" s="491" t="str">
        <f>IF(G10="","",G10)</f>
        <v>Thierry VIVRON (iss)</v>
      </c>
      <c r="W20" s="492">
        <v>7</v>
      </c>
      <c r="X20" s="493" t="s">
        <v>769</v>
      </c>
      <c r="Y20" s="492">
        <v>3</v>
      </c>
      <c r="Z20" s="494" t="str">
        <f>IF(G12="","",G12)</f>
        <v>Françoise GUYOT (chp)</v>
      </c>
      <c r="AA20" s="839"/>
      <c r="AB20" s="1459">
        <f t="shared" si="4"/>
        <v>7</v>
      </c>
      <c r="AC20" s="1460" t="str">
        <f t="shared" si="5"/>
        <v>-</v>
      </c>
      <c r="AD20" s="1459">
        <f t="shared" si="6"/>
        <v>3</v>
      </c>
      <c r="AE20" s="968" t="str">
        <f t="shared" si="7"/>
        <v>Thierry VIVRON (iss)</v>
      </c>
      <c r="AF20" s="968" t="str">
        <f t="shared" si="8"/>
        <v/>
      </c>
      <c r="AG20" s="968" t="str">
        <f t="shared" si="9"/>
        <v/>
      </c>
      <c r="AH20" s="968" t="str">
        <f t="shared" si="10"/>
        <v>Françoise GUYOT (chp)</v>
      </c>
      <c r="AI20" s="968" t="str">
        <f t="shared" si="11"/>
        <v>Thierry VIVRON (iss)Françoise GUYOT (chp)</v>
      </c>
      <c r="AJ20" s="968"/>
      <c r="AK20" s="968"/>
      <c r="AL20" s="270"/>
      <c r="AM20" s="270"/>
      <c r="AN20" s="575"/>
      <c r="AO20" s="270"/>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c r="CA20" s="1396"/>
      <c r="CB20" s="1396"/>
      <c r="CC20" s="270"/>
      <c r="CD20" s="270"/>
      <c r="CE20"/>
    </row>
    <row r="21" spans="1:83" outlineLevel="2" x14ac:dyDescent="0.2">
      <c r="A21" s="270"/>
      <c r="B21" s="271"/>
      <c r="C21" s="270"/>
      <c r="D21" s="270"/>
      <c r="E21" s="270"/>
      <c r="F21" s="270"/>
      <c r="G21" s="271"/>
      <c r="H21" s="271"/>
      <c r="I21" s="271"/>
      <c r="J21" s="270"/>
      <c r="K21" s="270"/>
      <c r="L21" s="270"/>
      <c r="M21" s="270"/>
      <c r="N21" s="270"/>
      <c r="O21" s="270"/>
      <c r="P21" s="270"/>
      <c r="Q21" s="270"/>
      <c r="R21" s="558" t="s">
        <v>1729</v>
      </c>
      <c r="S21" s="613">
        <v>0.45833333333333331</v>
      </c>
      <c r="T21" s="618"/>
      <c r="U21" s="1504"/>
      <c r="V21" s="491" t="str">
        <f>IF(G11="","",G11)</f>
        <v>David LEROY (puy)</v>
      </c>
      <c r="W21" s="492">
        <v>6</v>
      </c>
      <c r="X21" s="493" t="s">
        <v>769</v>
      </c>
      <c r="Y21" s="492">
        <v>3</v>
      </c>
      <c r="Z21" s="494" t="str">
        <f>IF(G14="","",G14)</f>
        <v>Cédric PANDOLFI (sym)</v>
      </c>
      <c r="AA21" s="839"/>
      <c r="AB21" s="1459">
        <f t="shared" si="4"/>
        <v>6</v>
      </c>
      <c r="AC21" s="1460" t="str">
        <f t="shared" si="5"/>
        <v>-</v>
      </c>
      <c r="AD21" s="1459">
        <f t="shared" si="6"/>
        <v>3</v>
      </c>
      <c r="AE21" s="968" t="str">
        <f t="shared" si="7"/>
        <v>David LEROY (puy)</v>
      </c>
      <c r="AF21" s="968" t="str">
        <f t="shared" si="8"/>
        <v/>
      </c>
      <c r="AG21" s="968" t="str">
        <f t="shared" si="9"/>
        <v/>
      </c>
      <c r="AH21" s="968" t="str">
        <f t="shared" si="10"/>
        <v>Cédric PANDOLFI (sym)</v>
      </c>
      <c r="AI21" s="968" t="str">
        <f t="shared" si="11"/>
        <v>David LEROY (puy)Cédric PANDOLFI (sym)</v>
      </c>
      <c r="AJ21" s="968"/>
      <c r="AK21" s="968"/>
      <c r="AL21" s="270"/>
      <c r="AM21" s="270"/>
      <c r="AN21" s="575"/>
      <c r="AO21" s="270"/>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c r="CA21" s="1396"/>
      <c r="CB21" s="1396"/>
      <c r="CC21" s="270"/>
      <c r="CD21" s="270"/>
      <c r="CE21"/>
    </row>
    <row r="22" spans="1:83" ht="13.5" outlineLevel="2" thickBot="1" x14ac:dyDescent="0.25">
      <c r="A22" s="270"/>
      <c r="B22" s="271"/>
      <c r="C22" s="270"/>
      <c r="D22" s="270"/>
      <c r="E22" s="270"/>
      <c r="F22" s="270"/>
      <c r="G22" s="271"/>
      <c r="H22" s="271"/>
      <c r="I22" s="271"/>
      <c r="J22" s="270"/>
      <c r="K22" s="270"/>
      <c r="L22" s="270"/>
      <c r="M22" s="270"/>
      <c r="N22" s="270"/>
      <c r="O22" s="270"/>
      <c r="P22" s="270"/>
      <c r="Q22" s="270"/>
      <c r="R22" s="558" t="s">
        <v>1729</v>
      </c>
      <c r="S22" s="615">
        <v>0.45833333333333331</v>
      </c>
      <c r="T22" s="619"/>
      <c r="U22" s="1503"/>
      <c r="V22" s="495" t="str">
        <f>IF(G13="","",G13)</f>
        <v>Cyprien BONNET (sym)</v>
      </c>
      <c r="W22" s="496">
        <v>5</v>
      </c>
      <c r="X22" s="497" t="s">
        <v>769</v>
      </c>
      <c r="Y22" s="496">
        <v>3</v>
      </c>
      <c r="Z22" s="498" t="str">
        <f>IF(G9="","",G9)</f>
        <v>Eric NASZALYI (iss)</v>
      </c>
      <c r="AA22" s="839"/>
      <c r="AB22" s="1459">
        <f t="shared" si="4"/>
        <v>5</v>
      </c>
      <c r="AC22" s="1460" t="str">
        <f t="shared" si="5"/>
        <v>-</v>
      </c>
      <c r="AD22" s="1459">
        <f t="shared" si="6"/>
        <v>3</v>
      </c>
      <c r="AE22" s="968" t="str">
        <f t="shared" si="7"/>
        <v>Cyprien BONNET (sym)</v>
      </c>
      <c r="AF22" s="968" t="str">
        <f t="shared" si="8"/>
        <v/>
      </c>
      <c r="AG22" s="968" t="str">
        <f t="shared" si="9"/>
        <v/>
      </c>
      <c r="AH22" s="968" t="str">
        <f t="shared" si="10"/>
        <v>Eric NASZALYI (iss)</v>
      </c>
      <c r="AI22" s="968" t="str">
        <f t="shared" si="11"/>
        <v>Cyprien BONNET (sym)Eric NASZALYI (iss)</v>
      </c>
      <c r="AJ22" s="968"/>
      <c r="AK22" s="968"/>
      <c r="AL22" s="270"/>
      <c r="AM22" s="270"/>
      <c r="AN22" s="575"/>
      <c r="AO22" s="270"/>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c r="CA22" s="1396"/>
      <c r="CB22" s="1396"/>
      <c r="CC22" s="270"/>
      <c r="CD22" s="270"/>
      <c r="CE22"/>
    </row>
    <row r="23" spans="1:83" outlineLevel="2" x14ac:dyDescent="0.2">
      <c r="A23" s="270"/>
      <c r="B23" s="271"/>
      <c r="C23" s="270"/>
      <c r="D23" s="270"/>
      <c r="E23" s="270"/>
      <c r="F23" s="270"/>
      <c r="G23" s="271"/>
      <c r="H23" s="271"/>
      <c r="I23" s="271"/>
      <c r="J23" s="270"/>
      <c r="K23" s="270"/>
      <c r="L23" s="270"/>
      <c r="M23" s="270"/>
      <c r="N23" s="270"/>
      <c r="O23" s="270"/>
      <c r="P23" s="270"/>
      <c r="Q23" s="270"/>
      <c r="R23" s="558" t="s">
        <v>1730</v>
      </c>
      <c r="S23" s="611">
        <v>0.49305555555555552</v>
      </c>
      <c r="T23" s="617"/>
      <c r="U23" s="1502"/>
      <c r="V23" s="479" t="str">
        <f>IF(G7="","",G7)</f>
        <v>Raphaël POMMIER (cae)</v>
      </c>
      <c r="W23" s="480">
        <v>8</v>
      </c>
      <c r="X23" s="481" t="s">
        <v>769</v>
      </c>
      <c r="Y23" s="480">
        <v>3</v>
      </c>
      <c r="Z23" s="482" t="str">
        <f>IF(G10="","",G10)</f>
        <v>Thierry VIVRON (iss)</v>
      </c>
      <c r="AA23" s="839"/>
      <c r="AB23" s="1459">
        <f t="shared" si="4"/>
        <v>5</v>
      </c>
      <c r="AC23" s="1460" t="str">
        <f t="shared" si="5"/>
        <v>-</v>
      </c>
      <c r="AD23" s="1459">
        <f t="shared" si="6"/>
        <v>0</v>
      </c>
      <c r="AE23" s="968" t="str">
        <f t="shared" si="7"/>
        <v>Raphaël POMMIER (cae)</v>
      </c>
      <c r="AF23" s="968" t="str">
        <f t="shared" si="8"/>
        <v/>
      </c>
      <c r="AG23" s="968" t="str">
        <f t="shared" si="9"/>
        <v/>
      </c>
      <c r="AH23" s="968" t="str">
        <f t="shared" si="10"/>
        <v>Thierry VIVRON (iss)</v>
      </c>
      <c r="AI23" s="968" t="str">
        <f t="shared" si="11"/>
        <v>Raphaël POMMIER (cae)Thierry VIVRON (iss)</v>
      </c>
      <c r="AJ23" s="968"/>
      <c r="AK23" s="968"/>
      <c r="AL23" s="270"/>
      <c r="AM23" s="270"/>
      <c r="AN23" s="575"/>
      <c r="AO23" s="270"/>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c r="CA23" s="1396"/>
      <c r="CB23" s="1396"/>
      <c r="CC23" s="270"/>
      <c r="CD23" s="270"/>
      <c r="CE23"/>
    </row>
    <row r="24" spans="1:83" outlineLevel="2" x14ac:dyDescent="0.2">
      <c r="A24" s="270"/>
      <c r="B24" s="271"/>
      <c r="C24" s="270"/>
      <c r="D24" s="270"/>
      <c r="E24" s="270"/>
      <c r="F24" s="270"/>
      <c r="G24" s="271"/>
      <c r="H24" s="271"/>
      <c r="I24" s="271"/>
      <c r="J24" s="270"/>
      <c r="K24" s="270"/>
      <c r="L24" s="270"/>
      <c r="M24" s="270"/>
      <c r="N24" s="270"/>
      <c r="O24" s="270"/>
      <c r="P24" s="270"/>
      <c r="Q24" s="270"/>
      <c r="R24" s="558" t="s">
        <v>1730</v>
      </c>
      <c r="S24" s="613">
        <v>0.49305555555555552</v>
      </c>
      <c r="T24" s="618"/>
      <c r="U24" s="1504"/>
      <c r="V24" s="491" t="str">
        <f>IF(G8="","",G8)</f>
        <v>Théo MODESTE (iss)</v>
      </c>
      <c r="W24" s="492">
        <v>7</v>
      </c>
      <c r="X24" s="493" t="s">
        <v>769</v>
      </c>
      <c r="Y24" s="492">
        <v>3</v>
      </c>
      <c r="Z24" s="494" t="str">
        <f>IF(G9="","",G9)</f>
        <v>Eric NASZALYI (iss)</v>
      </c>
      <c r="AA24" s="839"/>
      <c r="AB24" s="1459">
        <f t="shared" si="4"/>
        <v>7</v>
      </c>
      <c r="AC24" s="1460" t="str">
        <f t="shared" si="5"/>
        <v>-</v>
      </c>
      <c r="AD24" s="1459">
        <f t="shared" si="6"/>
        <v>3</v>
      </c>
      <c r="AE24" s="968" t="str">
        <f t="shared" si="7"/>
        <v>Théo MODESTE (iss)</v>
      </c>
      <c r="AF24" s="968" t="str">
        <f t="shared" si="8"/>
        <v/>
      </c>
      <c r="AG24" s="968" t="str">
        <f t="shared" si="9"/>
        <v/>
      </c>
      <c r="AH24" s="968" t="str">
        <f t="shared" si="10"/>
        <v>Eric NASZALYI (iss)</v>
      </c>
      <c r="AI24" s="968" t="str">
        <f t="shared" si="11"/>
        <v>Théo MODESTE (iss)Eric NASZALYI (iss)</v>
      </c>
      <c r="AJ24" s="968"/>
      <c r="AK24" s="968"/>
      <c r="AL24" s="270"/>
      <c r="AM24" s="270"/>
      <c r="AN24" s="575"/>
      <c r="AO24" s="270"/>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c r="CA24" s="1396"/>
      <c r="CB24" s="1396"/>
      <c r="CC24" s="270"/>
      <c r="CD24" s="270"/>
      <c r="CE24"/>
    </row>
    <row r="25" spans="1:83" outlineLevel="2" x14ac:dyDescent="0.2">
      <c r="A25" s="270"/>
      <c r="B25" s="271"/>
      <c r="C25" s="270"/>
      <c r="D25" s="270"/>
      <c r="E25" s="270"/>
      <c r="F25" s="270"/>
      <c r="G25" s="271"/>
      <c r="H25" s="271"/>
      <c r="I25" s="271"/>
      <c r="J25" s="270"/>
      <c r="K25" s="270"/>
      <c r="L25" s="270"/>
      <c r="M25" s="270"/>
      <c r="N25" s="270"/>
      <c r="O25" s="270"/>
      <c r="P25" s="270"/>
      <c r="Q25" s="270"/>
      <c r="R25" s="558" t="s">
        <v>1730</v>
      </c>
      <c r="S25" s="613">
        <v>0.49305555555555552</v>
      </c>
      <c r="T25" s="618"/>
      <c r="U25" s="1504"/>
      <c r="V25" s="491" t="str">
        <f>IF(G11="","",G11)</f>
        <v>David LEROY (puy)</v>
      </c>
      <c r="W25" s="492">
        <v>6</v>
      </c>
      <c r="X25" s="493" t="s">
        <v>769</v>
      </c>
      <c r="Y25" s="492">
        <v>3</v>
      </c>
      <c r="Z25" s="494" t="str">
        <f>IF(G13="","",G13)</f>
        <v>Cyprien BONNET (sym)</v>
      </c>
      <c r="AA25" s="839"/>
      <c r="AB25" s="1459">
        <f t="shared" si="4"/>
        <v>6</v>
      </c>
      <c r="AC25" s="1460" t="str">
        <f t="shared" si="5"/>
        <v>-</v>
      </c>
      <c r="AD25" s="1459">
        <f t="shared" si="6"/>
        <v>3</v>
      </c>
      <c r="AE25" s="968" t="str">
        <f t="shared" si="7"/>
        <v>David LEROY (puy)</v>
      </c>
      <c r="AF25" s="968" t="str">
        <f t="shared" si="8"/>
        <v/>
      </c>
      <c r="AG25" s="968" t="str">
        <f t="shared" si="9"/>
        <v/>
      </c>
      <c r="AH25" s="968" t="str">
        <f t="shared" si="10"/>
        <v>Cyprien BONNET (sym)</v>
      </c>
      <c r="AI25" s="968" t="str">
        <f t="shared" si="11"/>
        <v>David LEROY (puy)Cyprien BONNET (sym)</v>
      </c>
      <c r="AJ25" s="968"/>
      <c r="AK25" s="968"/>
      <c r="AL25" s="270"/>
      <c r="AM25" s="270"/>
      <c r="AN25" s="575"/>
      <c r="AO25" s="270"/>
      <c r="AP25" s="271"/>
      <c r="AQ25" s="271"/>
      <c r="AR25" s="271"/>
      <c r="AS25" s="271"/>
      <c r="AT25" s="271"/>
      <c r="AU25" s="271"/>
      <c r="AV25" s="271"/>
      <c r="AW25" s="271"/>
      <c r="AX25" s="271"/>
      <c r="AY25" s="271"/>
      <c r="AZ25" s="271"/>
      <c r="BA25" s="271"/>
      <c r="BB25" s="271"/>
      <c r="BC25" s="271"/>
      <c r="BD25" s="271"/>
      <c r="BE25" s="271"/>
      <c r="BF25" s="271"/>
      <c r="BG25" s="271"/>
      <c r="BH25" s="271"/>
      <c r="BI25" s="271"/>
      <c r="BJ25" s="271"/>
      <c r="BK25" s="271"/>
      <c r="BL25" s="271"/>
      <c r="BM25" s="271"/>
      <c r="BN25" s="271"/>
      <c r="BO25" s="271"/>
      <c r="BP25" s="271"/>
      <c r="BQ25" s="271"/>
      <c r="BR25" s="271"/>
      <c r="BS25" s="271"/>
      <c r="BT25" s="271"/>
      <c r="BU25" s="271"/>
      <c r="BV25" s="271"/>
      <c r="BW25" s="271"/>
      <c r="BX25" s="271"/>
      <c r="BY25" s="271"/>
      <c r="BZ25"/>
      <c r="CA25" s="1396"/>
      <c r="CB25" s="1396"/>
      <c r="CC25" s="270"/>
      <c r="CD25" s="270"/>
      <c r="CE25"/>
    </row>
    <row r="26" spans="1:83" ht="13.5" outlineLevel="2" thickBot="1" x14ac:dyDescent="0.25">
      <c r="A26" s="270"/>
      <c r="B26" s="271"/>
      <c r="C26" s="270"/>
      <c r="D26" s="270"/>
      <c r="E26" s="270"/>
      <c r="F26" s="270"/>
      <c r="G26" s="271"/>
      <c r="H26" s="271"/>
      <c r="I26" s="271"/>
      <c r="J26" s="270"/>
      <c r="K26" s="270"/>
      <c r="L26" s="270"/>
      <c r="M26" s="270"/>
      <c r="N26" s="270"/>
      <c r="O26" s="270"/>
      <c r="P26" s="270"/>
      <c r="Q26" s="270"/>
      <c r="R26" s="558" t="s">
        <v>1730</v>
      </c>
      <c r="S26" s="615">
        <v>0.49305555555555552</v>
      </c>
      <c r="T26" s="619"/>
      <c r="U26" s="1503"/>
      <c r="V26" s="495" t="str">
        <f>IF(G14="","",G14)</f>
        <v>Cédric PANDOLFI (sym)</v>
      </c>
      <c r="W26" s="496">
        <v>5</v>
      </c>
      <c r="X26" s="497" t="s">
        <v>769</v>
      </c>
      <c r="Y26" s="496">
        <v>3</v>
      </c>
      <c r="Z26" s="498" t="str">
        <f>IF(G12="","",G12)</f>
        <v>Françoise GUYOT (chp)</v>
      </c>
      <c r="AA26" s="839"/>
      <c r="AB26" s="1459">
        <f t="shared" si="4"/>
        <v>5</v>
      </c>
      <c r="AC26" s="1460" t="str">
        <f t="shared" si="5"/>
        <v>-</v>
      </c>
      <c r="AD26" s="1459">
        <f t="shared" si="6"/>
        <v>3</v>
      </c>
      <c r="AE26" s="968" t="str">
        <f t="shared" si="7"/>
        <v>Cédric PANDOLFI (sym)</v>
      </c>
      <c r="AF26" s="968" t="str">
        <f t="shared" si="8"/>
        <v/>
      </c>
      <c r="AG26" s="968" t="str">
        <f t="shared" si="9"/>
        <v/>
      </c>
      <c r="AH26" s="968" t="str">
        <f t="shared" si="10"/>
        <v>Françoise GUYOT (chp)</v>
      </c>
      <c r="AI26" s="968" t="str">
        <f t="shared" si="11"/>
        <v>Cédric PANDOLFI (sym)Françoise GUYOT (chp)</v>
      </c>
      <c r="AJ26" s="968"/>
      <c r="AK26" s="968"/>
      <c r="AL26" s="270"/>
      <c r="AM26" s="270"/>
      <c r="AN26" s="575"/>
      <c r="AO26" s="270"/>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c r="CA26" s="1396"/>
      <c r="CB26" s="1396"/>
      <c r="CC26" s="270"/>
      <c r="CD26" s="270"/>
      <c r="CE26"/>
    </row>
    <row r="27" spans="1:83" outlineLevel="2" x14ac:dyDescent="0.2">
      <c r="A27" s="270"/>
      <c r="B27" s="271"/>
      <c r="C27" s="270"/>
      <c r="D27" s="270"/>
      <c r="E27" s="270"/>
      <c r="F27" s="270"/>
      <c r="G27" s="271"/>
      <c r="H27" s="271"/>
      <c r="I27" s="271"/>
      <c r="J27" s="270"/>
      <c r="K27" s="270"/>
      <c r="L27" s="270"/>
      <c r="M27" s="270"/>
      <c r="N27" s="270"/>
      <c r="O27" s="270"/>
      <c r="P27" s="270"/>
      <c r="Q27" s="270"/>
      <c r="R27" s="558" t="s">
        <v>1731</v>
      </c>
      <c r="S27" s="611">
        <v>0.52777777777777779</v>
      </c>
      <c r="T27" s="617"/>
      <c r="U27" s="1502"/>
      <c r="V27" s="479" t="str">
        <f>IF(G9="","",G9)</f>
        <v>Eric NASZALYI (iss)</v>
      </c>
      <c r="W27" s="480">
        <v>8</v>
      </c>
      <c r="X27" s="481" t="s">
        <v>769</v>
      </c>
      <c r="Y27" s="480">
        <v>3</v>
      </c>
      <c r="Z27" s="482" t="str">
        <f>IF(G10="","",G10)</f>
        <v>Thierry VIVRON (iss)</v>
      </c>
      <c r="AA27" s="839"/>
      <c r="AB27" s="1459">
        <f t="shared" si="4"/>
        <v>5</v>
      </c>
      <c r="AC27" s="1460" t="str">
        <f t="shared" si="5"/>
        <v>-</v>
      </c>
      <c r="AD27" s="1459">
        <f t="shared" si="6"/>
        <v>0</v>
      </c>
      <c r="AE27" s="968" t="str">
        <f t="shared" si="7"/>
        <v>Eric NASZALYI (iss)</v>
      </c>
      <c r="AF27" s="968" t="str">
        <f t="shared" si="8"/>
        <v/>
      </c>
      <c r="AG27" s="968" t="str">
        <f t="shared" si="9"/>
        <v/>
      </c>
      <c r="AH27" s="968" t="str">
        <f t="shared" si="10"/>
        <v>Thierry VIVRON (iss)</v>
      </c>
      <c r="AI27" s="968" t="str">
        <f t="shared" si="11"/>
        <v>Eric NASZALYI (iss)Thierry VIVRON (iss)</v>
      </c>
      <c r="AJ27" s="968"/>
      <c r="AK27" s="968"/>
      <c r="AL27" s="270"/>
      <c r="AM27" s="270"/>
      <c r="AN27" s="575"/>
      <c r="AO27" s="270"/>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c r="CA27" s="1396"/>
      <c r="CB27" s="1396"/>
      <c r="CC27" s="270"/>
      <c r="CD27" s="270"/>
      <c r="CE27"/>
    </row>
    <row r="28" spans="1:83" outlineLevel="2" x14ac:dyDescent="0.2">
      <c r="A28" s="270"/>
      <c r="B28" s="271"/>
      <c r="C28" s="270"/>
      <c r="D28" s="270"/>
      <c r="E28" s="270"/>
      <c r="F28" s="270"/>
      <c r="G28" s="271"/>
      <c r="H28" s="271"/>
      <c r="I28" s="271"/>
      <c r="J28" s="270"/>
      <c r="K28" s="270"/>
      <c r="L28" s="270"/>
      <c r="M28" s="270"/>
      <c r="N28" s="270"/>
      <c r="O28" s="270"/>
      <c r="P28" s="270"/>
      <c r="Q28" s="270"/>
      <c r="R28" s="558" t="s">
        <v>1731</v>
      </c>
      <c r="S28" s="613">
        <v>0.52777777777777779</v>
      </c>
      <c r="T28" s="618"/>
      <c r="U28" s="1504"/>
      <c r="V28" s="491" t="str">
        <f>IF(G11="","",G11)</f>
        <v>David LEROY (puy)</v>
      </c>
      <c r="W28" s="492">
        <v>7</v>
      </c>
      <c r="X28" s="493" t="s">
        <v>769</v>
      </c>
      <c r="Y28" s="492">
        <v>3</v>
      </c>
      <c r="Z28" s="494" t="str">
        <f>IF(G8="","",G8)</f>
        <v>Théo MODESTE (iss)</v>
      </c>
      <c r="AA28" s="839"/>
      <c r="AB28" s="1459">
        <f t="shared" si="4"/>
        <v>7</v>
      </c>
      <c r="AC28" s="1460" t="str">
        <f t="shared" si="5"/>
        <v>-</v>
      </c>
      <c r="AD28" s="1459">
        <f t="shared" si="6"/>
        <v>3</v>
      </c>
      <c r="AE28" s="968" t="str">
        <f t="shared" si="7"/>
        <v>David LEROY (puy)</v>
      </c>
      <c r="AF28" s="968" t="str">
        <f t="shared" si="8"/>
        <v/>
      </c>
      <c r="AG28" s="968" t="str">
        <f t="shared" si="9"/>
        <v/>
      </c>
      <c r="AH28" s="968" t="str">
        <f t="shared" si="10"/>
        <v>Théo MODESTE (iss)</v>
      </c>
      <c r="AI28" s="968" t="str">
        <f t="shared" si="11"/>
        <v>David LEROY (puy)Théo MODESTE (iss)</v>
      </c>
      <c r="AJ28" s="968"/>
      <c r="AK28" s="968"/>
      <c r="AL28" s="270"/>
      <c r="AM28" s="270"/>
      <c r="AN28" s="575"/>
      <c r="AO28" s="270"/>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c r="CA28" s="1396"/>
      <c r="CB28" s="1396"/>
      <c r="CC28" s="270"/>
      <c r="CD28" s="270"/>
      <c r="CE28"/>
    </row>
    <row r="29" spans="1:83" outlineLevel="2" x14ac:dyDescent="0.2">
      <c r="A29" s="270"/>
      <c r="B29" s="271"/>
      <c r="C29" s="270"/>
      <c r="D29" s="270"/>
      <c r="E29" s="270"/>
      <c r="F29" s="270"/>
      <c r="G29" s="271"/>
      <c r="H29" s="271"/>
      <c r="I29" s="271"/>
      <c r="J29" s="270"/>
      <c r="K29" s="270"/>
      <c r="L29" s="270"/>
      <c r="M29" s="270"/>
      <c r="N29" s="270"/>
      <c r="O29" s="270"/>
      <c r="P29" s="270"/>
      <c r="Q29" s="270"/>
      <c r="R29" s="558" t="s">
        <v>1731</v>
      </c>
      <c r="S29" s="613">
        <v>0.52777777777777779</v>
      </c>
      <c r="T29" s="623"/>
      <c r="U29" s="1504"/>
      <c r="V29" s="491" t="str">
        <f>IF(G12="","",G12)</f>
        <v>Françoise GUYOT (chp)</v>
      </c>
      <c r="W29" s="492">
        <v>6</v>
      </c>
      <c r="X29" s="493" t="s">
        <v>769</v>
      </c>
      <c r="Y29" s="492">
        <v>3</v>
      </c>
      <c r="Z29" s="494" t="str">
        <f>IF(G7="","",G7)</f>
        <v>Raphaël POMMIER (cae)</v>
      </c>
      <c r="AA29" s="839"/>
      <c r="AB29" s="1459">
        <f t="shared" si="4"/>
        <v>6</v>
      </c>
      <c r="AC29" s="1460" t="str">
        <f t="shared" si="5"/>
        <v>-</v>
      </c>
      <c r="AD29" s="1459">
        <f t="shared" si="6"/>
        <v>3</v>
      </c>
      <c r="AE29" s="968" t="str">
        <f t="shared" si="7"/>
        <v>Françoise GUYOT (chp)</v>
      </c>
      <c r="AF29" s="968" t="str">
        <f t="shared" si="8"/>
        <v/>
      </c>
      <c r="AG29" s="968" t="str">
        <f t="shared" si="9"/>
        <v/>
      </c>
      <c r="AH29" s="968" t="str">
        <f t="shared" si="10"/>
        <v>Raphaël POMMIER (cae)</v>
      </c>
      <c r="AI29" s="968" t="str">
        <f t="shared" si="11"/>
        <v>Françoise GUYOT (chp)Raphaël POMMIER (cae)</v>
      </c>
      <c r="AJ29" s="968"/>
      <c r="AK29" s="968"/>
      <c r="AL29" s="270"/>
      <c r="AM29" s="270"/>
      <c r="AN29" s="575"/>
      <c r="AO29" s="270"/>
      <c r="AP29" s="271"/>
      <c r="AQ29" s="271"/>
      <c r="AR29" s="271"/>
      <c r="AS29" s="271"/>
      <c r="AT29" s="271"/>
      <c r="AU29" s="271"/>
      <c r="AV29" s="271"/>
      <c r="AW29" s="271"/>
      <c r="AX29" s="271"/>
      <c r="AY29" s="271"/>
      <c r="AZ29" s="271"/>
      <c r="BA29" s="271"/>
      <c r="BB29" s="271"/>
      <c r="BC29" s="271"/>
      <c r="BD29" s="271"/>
      <c r="BE29" s="271"/>
      <c r="BF29" s="271"/>
      <c r="BG29" s="271"/>
      <c r="BH29" s="271"/>
      <c r="BI29" s="271"/>
      <c r="BJ29" s="271"/>
      <c r="BK29" s="271"/>
      <c r="BL29" s="271"/>
      <c r="BM29" s="271"/>
      <c r="BN29" s="271"/>
      <c r="BO29" s="271"/>
      <c r="BP29" s="271"/>
      <c r="BQ29" s="271"/>
      <c r="BR29" s="271"/>
      <c r="BS29" s="271"/>
      <c r="BT29" s="271"/>
      <c r="BU29" s="271"/>
      <c r="BV29" s="271"/>
      <c r="BW29" s="271"/>
      <c r="BX29" s="271"/>
      <c r="BY29" s="271"/>
      <c r="BZ29"/>
      <c r="CA29" s="1396"/>
      <c r="CB29" s="1396"/>
      <c r="CC29" s="270"/>
      <c r="CD29" s="270"/>
      <c r="CE29"/>
    </row>
    <row r="30" spans="1:83" ht="13.5" outlineLevel="2" thickBot="1" x14ac:dyDescent="0.25">
      <c r="A30" s="270"/>
      <c r="B30" s="271"/>
      <c r="C30" s="270"/>
      <c r="D30" s="270"/>
      <c r="E30" s="270"/>
      <c r="F30" s="270"/>
      <c r="G30" s="271"/>
      <c r="H30" s="271"/>
      <c r="I30" s="271"/>
      <c r="J30" s="270"/>
      <c r="K30" s="270"/>
      <c r="L30" s="270"/>
      <c r="M30" s="270"/>
      <c r="N30" s="270"/>
      <c r="O30" s="270"/>
      <c r="P30" s="270"/>
      <c r="Q30" s="270"/>
      <c r="R30" s="558" t="s">
        <v>1731</v>
      </c>
      <c r="S30" s="615">
        <v>0.52777777777777779</v>
      </c>
      <c r="T30" s="619"/>
      <c r="U30" s="1503"/>
      <c r="V30" s="495" t="str">
        <f>IF(G13="","",G13)</f>
        <v>Cyprien BONNET (sym)</v>
      </c>
      <c r="W30" s="496">
        <v>5</v>
      </c>
      <c r="X30" s="497" t="s">
        <v>769</v>
      </c>
      <c r="Y30" s="496">
        <v>3</v>
      </c>
      <c r="Z30" s="498" t="str">
        <f>IF(G14="","",G14)</f>
        <v>Cédric PANDOLFI (sym)</v>
      </c>
      <c r="AA30" s="839"/>
      <c r="AB30" s="1459">
        <f t="shared" si="4"/>
        <v>5</v>
      </c>
      <c r="AC30" s="1460" t="str">
        <f t="shared" si="5"/>
        <v>-</v>
      </c>
      <c r="AD30" s="1459">
        <f t="shared" si="6"/>
        <v>3</v>
      </c>
      <c r="AE30" s="968" t="str">
        <f t="shared" si="7"/>
        <v>Cyprien BONNET (sym)</v>
      </c>
      <c r="AF30" s="968" t="str">
        <f t="shared" si="8"/>
        <v/>
      </c>
      <c r="AG30" s="968" t="str">
        <f t="shared" si="9"/>
        <v/>
      </c>
      <c r="AH30" s="968" t="str">
        <f t="shared" si="10"/>
        <v>Cédric PANDOLFI (sym)</v>
      </c>
      <c r="AI30" s="968" t="str">
        <f t="shared" si="11"/>
        <v>Cyprien BONNET (sym)Cédric PANDOLFI (sym)</v>
      </c>
      <c r="AJ30" s="968"/>
      <c r="AK30" s="968"/>
      <c r="AL30" s="270"/>
      <c r="AM30" s="270"/>
      <c r="AN30" s="575"/>
      <c r="AO30" s="270"/>
      <c r="AP30" s="271"/>
      <c r="AQ30" s="271"/>
      <c r="AR30" s="271"/>
      <c r="AS30" s="271"/>
      <c r="AT30" s="271"/>
      <c r="AU30" s="271"/>
      <c r="AV30" s="271"/>
      <c r="AW30" s="271"/>
      <c r="AX30" s="271"/>
      <c r="AY30" s="271"/>
      <c r="AZ30" s="271"/>
      <c r="BA30" s="271"/>
      <c r="BB30" s="271"/>
      <c r="BC30" s="271"/>
      <c r="BD30" s="271"/>
      <c r="BE30" s="271"/>
      <c r="BF30" s="271"/>
      <c r="BG30" s="271"/>
      <c r="BH30" s="271"/>
      <c r="BI30" s="271"/>
      <c r="BJ30" s="271"/>
      <c r="BK30" s="271"/>
      <c r="BL30" s="271"/>
      <c r="BM30" s="271"/>
      <c r="BN30" s="271"/>
      <c r="BO30" s="271"/>
      <c r="BP30" s="271"/>
      <c r="BQ30" s="271"/>
      <c r="BR30" s="271"/>
      <c r="BS30" s="271"/>
      <c r="BT30" s="271"/>
      <c r="BU30" s="271"/>
      <c r="BV30" s="271"/>
      <c r="BW30" s="271"/>
      <c r="BX30" s="271"/>
      <c r="BY30" s="271"/>
      <c r="BZ30"/>
      <c r="CA30" s="1396"/>
      <c r="CB30" s="1396"/>
      <c r="CC30" s="270"/>
      <c r="CD30" s="270"/>
      <c r="CE30"/>
    </row>
    <row r="31" spans="1:83" outlineLevel="2" x14ac:dyDescent="0.2">
      <c r="A31" s="270"/>
      <c r="B31" s="271"/>
      <c r="C31" s="270"/>
      <c r="D31" s="270"/>
      <c r="E31" s="270"/>
      <c r="F31" s="270"/>
      <c r="G31" s="271"/>
      <c r="H31" s="271"/>
      <c r="I31" s="271"/>
      <c r="J31" s="270"/>
      <c r="K31" s="270"/>
      <c r="L31" s="270"/>
      <c r="M31" s="270"/>
      <c r="N31" s="270"/>
      <c r="O31" s="270"/>
      <c r="P31" s="270"/>
      <c r="Q31" s="270"/>
      <c r="R31" s="558" t="s">
        <v>1740</v>
      </c>
      <c r="S31" s="611">
        <v>0.55902777777777779</v>
      </c>
      <c r="T31" s="617">
        <v>31</v>
      </c>
      <c r="U31" s="1502"/>
      <c r="V31" s="479" t="str">
        <f>IF(G8="","",G8)</f>
        <v>Théo MODESTE (iss)</v>
      </c>
      <c r="W31" s="480">
        <v>8</v>
      </c>
      <c r="X31" s="481" t="s">
        <v>769</v>
      </c>
      <c r="Y31" s="480">
        <v>3</v>
      </c>
      <c r="Z31" s="482" t="str">
        <f>IF(G13="","",G13)</f>
        <v>Cyprien BONNET (sym)</v>
      </c>
      <c r="AA31" s="839"/>
      <c r="AB31" s="1459">
        <f t="shared" si="4"/>
        <v>5</v>
      </c>
      <c r="AC31" s="1460" t="str">
        <f t="shared" si="5"/>
        <v>-</v>
      </c>
      <c r="AD31" s="1459">
        <f t="shared" si="6"/>
        <v>0</v>
      </c>
      <c r="AE31" s="968" t="str">
        <f t="shared" si="7"/>
        <v>Théo MODESTE (iss)</v>
      </c>
      <c r="AF31" s="968" t="str">
        <f t="shared" si="8"/>
        <v/>
      </c>
      <c r="AG31" s="968" t="str">
        <f t="shared" si="9"/>
        <v/>
      </c>
      <c r="AH31" s="968" t="str">
        <f t="shared" si="10"/>
        <v>Cyprien BONNET (sym)</v>
      </c>
      <c r="AI31" s="968" t="str">
        <f t="shared" si="11"/>
        <v>Théo MODESTE (iss)Cyprien BONNET (sym)</v>
      </c>
      <c r="AJ31" s="968"/>
      <c r="AK31" s="968"/>
      <c r="AL31" s="270"/>
      <c r="AM31" s="270"/>
      <c r="AN31" s="575"/>
      <c r="AO31" s="270"/>
      <c r="AP31" s="271"/>
      <c r="AQ31" s="271"/>
      <c r="AR31" s="271"/>
      <c r="AS31" s="271"/>
      <c r="AT31" s="271"/>
      <c r="AU31" s="271"/>
      <c r="AV31" s="271"/>
      <c r="AW31" s="271"/>
      <c r="AX31" s="271"/>
      <c r="AY31" s="271"/>
      <c r="AZ31" s="271"/>
      <c r="BA31" s="271"/>
      <c r="BB31" s="271"/>
      <c r="BC31" s="271"/>
      <c r="BD31" s="271"/>
      <c r="BE31" s="271"/>
      <c r="BF31" s="271"/>
      <c r="BG31" s="271"/>
      <c r="BH31" s="271"/>
      <c r="BI31" s="271"/>
      <c r="BJ31" s="271"/>
      <c r="BK31" s="271"/>
      <c r="BL31" s="271"/>
      <c r="BM31" s="271"/>
      <c r="BN31" s="271"/>
      <c r="BO31" s="271"/>
      <c r="BP31" s="271"/>
      <c r="BQ31" s="271"/>
      <c r="BR31" s="271"/>
      <c r="BS31" s="271"/>
      <c r="BT31" s="271"/>
      <c r="BU31" s="271"/>
      <c r="BV31" s="271"/>
      <c r="BW31" s="271"/>
      <c r="BX31" s="271"/>
      <c r="BY31" s="271"/>
      <c r="BZ31"/>
      <c r="CA31" s="1396"/>
      <c r="CB31" s="1396"/>
      <c r="CC31" s="270"/>
      <c r="CD31" s="270"/>
      <c r="CE31"/>
    </row>
    <row r="32" spans="1:83" outlineLevel="2" x14ac:dyDescent="0.2">
      <c r="A32" s="270"/>
      <c r="B32" s="271"/>
      <c r="C32" s="270"/>
      <c r="D32" s="270"/>
      <c r="E32" s="270"/>
      <c r="F32" s="270"/>
      <c r="G32" s="271"/>
      <c r="H32" s="271"/>
      <c r="I32" s="271"/>
      <c r="J32" s="270"/>
      <c r="K32" s="270"/>
      <c r="L32" s="270"/>
      <c r="M32" s="270"/>
      <c r="N32" s="270"/>
      <c r="O32" s="270"/>
      <c r="P32" s="270"/>
      <c r="Q32" s="270"/>
      <c r="R32" s="558" t="s">
        <v>1740</v>
      </c>
      <c r="S32" s="613">
        <v>0.55902777777777779</v>
      </c>
      <c r="T32" s="618"/>
      <c r="U32" s="1504"/>
      <c r="V32" s="491" t="str">
        <f>IF(G9="","",G9)</f>
        <v>Eric NASZALYI (iss)</v>
      </c>
      <c r="W32" s="492">
        <v>7</v>
      </c>
      <c r="X32" s="493" t="s">
        <v>769</v>
      </c>
      <c r="Y32" s="492">
        <v>3</v>
      </c>
      <c r="Z32" s="494" t="str">
        <f>IF(G12="","",G12)</f>
        <v>Françoise GUYOT (chp)</v>
      </c>
      <c r="AA32" s="839"/>
      <c r="AB32" s="1459">
        <f t="shared" si="4"/>
        <v>7</v>
      </c>
      <c r="AC32" s="1460" t="str">
        <f t="shared" si="5"/>
        <v>-</v>
      </c>
      <c r="AD32" s="1459">
        <f t="shared" si="6"/>
        <v>3</v>
      </c>
      <c r="AE32" s="968" t="str">
        <f t="shared" si="7"/>
        <v>Eric NASZALYI (iss)</v>
      </c>
      <c r="AF32" s="968" t="str">
        <f t="shared" si="8"/>
        <v/>
      </c>
      <c r="AG32" s="968" t="str">
        <f t="shared" si="9"/>
        <v/>
      </c>
      <c r="AH32" s="968" t="str">
        <f t="shared" si="10"/>
        <v>Françoise GUYOT (chp)</v>
      </c>
      <c r="AI32" s="968" t="str">
        <f t="shared" si="11"/>
        <v>Eric NASZALYI (iss)Françoise GUYOT (chp)</v>
      </c>
      <c r="AJ32" s="968"/>
      <c r="AK32" s="968"/>
      <c r="AL32" s="270"/>
      <c r="AM32" s="270"/>
      <c r="AN32" s="575"/>
      <c r="AO32" s="270"/>
      <c r="AP32" s="271"/>
      <c r="AQ32" s="271"/>
      <c r="AR32" s="271"/>
      <c r="AS32" s="271"/>
      <c r="AT32" s="271"/>
      <c r="AU32" s="271"/>
      <c r="AV32" s="271"/>
      <c r="AW32" s="271"/>
      <c r="AX32" s="271"/>
      <c r="AY32" s="271"/>
      <c r="AZ32" s="271"/>
      <c r="BA32" s="271"/>
      <c r="BB32" s="271"/>
      <c r="BC32" s="271"/>
      <c r="BD32" s="271"/>
      <c r="BE32" s="271"/>
      <c r="BF32" s="271"/>
      <c r="BG32" s="271"/>
      <c r="BH32" s="271"/>
      <c r="BI32" s="271"/>
      <c r="BJ32" s="271"/>
      <c r="BK32" s="271"/>
      <c r="BL32" s="271"/>
      <c r="BM32" s="271"/>
      <c r="BN32" s="271"/>
      <c r="BO32" s="271"/>
      <c r="BP32" s="271"/>
      <c r="BQ32" s="271"/>
      <c r="BR32" s="271"/>
      <c r="BS32" s="271"/>
      <c r="BT32" s="271"/>
      <c r="BU32" s="271"/>
      <c r="BV32" s="271"/>
      <c r="BW32" s="271"/>
      <c r="BX32" s="271"/>
      <c r="BY32" s="271"/>
      <c r="BZ32"/>
      <c r="CA32" s="1396"/>
      <c r="CB32" s="1396"/>
      <c r="CC32" s="270"/>
      <c r="CD32" s="270"/>
      <c r="CE32"/>
    </row>
    <row r="33" spans="1:83" outlineLevel="2" x14ac:dyDescent="0.2">
      <c r="A33" s="270"/>
      <c r="B33" s="271"/>
      <c r="C33" s="270"/>
      <c r="D33" s="270"/>
      <c r="E33" s="270"/>
      <c r="F33" s="270"/>
      <c r="G33" s="271"/>
      <c r="H33" s="271"/>
      <c r="I33" s="271"/>
      <c r="J33" s="270"/>
      <c r="K33" s="270"/>
      <c r="L33" s="270"/>
      <c r="M33" s="270"/>
      <c r="N33" s="270"/>
      <c r="O33" s="270"/>
      <c r="P33" s="270"/>
      <c r="Q33" s="270"/>
      <c r="R33" s="558" t="s">
        <v>1740</v>
      </c>
      <c r="S33" s="613">
        <v>0.55902777777777779</v>
      </c>
      <c r="T33" s="618"/>
      <c r="U33" s="1504"/>
      <c r="V33" s="491" t="str">
        <f>IF(G10="","",G10)</f>
        <v>Thierry VIVRON (iss)</v>
      </c>
      <c r="W33" s="492">
        <v>6</v>
      </c>
      <c r="X33" s="493" t="s">
        <v>769</v>
      </c>
      <c r="Y33" s="492">
        <v>3</v>
      </c>
      <c r="Z33" s="494" t="str">
        <f>IF(G11="","",G11)</f>
        <v>David LEROY (puy)</v>
      </c>
      <c r="AA33" s="839"/>
      <c r="AB33" s="1459">
        <f t="shared" si="4"/>
        <v>6</v>
      </c>
      <c r="AC33" s="1460" t="str">
        <f t="shared" si="5"/>
        <v>-</v>
      </c>
      <c r="AD33" s="1459">
        <f t="shared" si="6"/>
        <v>3</v>
      </c>
      <c r="AE33" s="968" t="str">
        <f t="shared" si="7"/>
        <v>Thierry VIVRON (iss)</v>
      </c>
      <c r="AF33" s="968" t="str">
        <f t="shared" si="8"/>
        <v/>
      </c>
      <c r="AG33" s="968" t="str">
        <f t="shared" si="9"/>
        <v/>
      </c>
      <c r="AH33" s="968" t="str">
        <f t="shared" si="10"/>
        <v>David LEROY (puy)</v>
      </c>
      <c r="AI33" s="968" t="str">
        <f t="shared" si="11"/>
        <v>Thierry VIVRON (iss)David LEROY (puy)</v>
      </c>
      <c r="AJ33" s="968"/>
      <c r="AK33" s="968"/>
      <c r="AL33" s="270"/>
      <c r="AM33" s="270"/>
      <c r="AN33" s="575"/>
      <c r="AO33" s="270"/>
      <c r="AP33" s="271"/>
      <c r="AQ33" s="271"/>
      <c r="AR33" s="271"/>
      <c r="AS33" s="271"/>
      <c r="AT33" s="271"/>
      <c r="AU33" s="271"/>
      <c r="AV33" s="271"/>
      <c r="AW33" s="271"/>
      <c r="AX33" s="271"/>
      <c r="AY33" s="271"/>
      <c r="AZ33" s="271"/>
      <c r="BA33" s="271"/>
      <c r="BB33" s="271"/>
      <c r="BC33" s="271"/>
      <c r="BD33" s="271"/>
      <c r="BE33" s="271"/>
      <c r="BF33" s="271"/>
      <c r="BG33" s="271"/>
      <c r="BH33" s="271"/>
      <c r="BI33" s="271"/>
      <c r="BJ33" s="271"/>
      <c r="BK33" s="271"/>
      <c r="BL33" s="271"/>
      <c r="BM33" s="271"/>
      <c r="BN33" s="271"/>
      <c r="BO33" s="271"/>
      <c r="BP33" s="271"/>
      <c r="BQ33" s="271"/>
      <c r="BR33" s="271"/>
      <c r="BS33" s="271"/>
      <c r="BT33" s="271"/>
      <c r="BU33" s="271"/>
      <c r="BV33" s="271"/>
      <c r="BW33" s="271"/>
      <c r="BX33" s="271"/>
      <c r="BY33" s="271"/>
      <c r="BZ33"/>
      <c r="CA33" s="1396"/>
      <c r="CB33" s="1396"/>
      <c r="CC33" s="270"/>
      <c r="CD33" s="270"/>
      <c r="CE33"/>
    </row>
    <row r="34" spans="1:83" ht="13.5" outlineLevel="2" thickBot="1" x14ac:dyDescent="0.25">
      <c r="A34" s="270"/>
      <c r="B34" s="271"/>
      <c r="C34" s="270"/>
      <c r="D34" s="270"/>
      <c r="E34" s="270"/>
      <c r="F34" s="270"/>
      <c r="G34" s="271"/>
      <c r="H34" s="271"/>
      <c r="I34" s="271"/>
      <c r="J34" s="270"/>
      <c r="K34" s="270"/>
      <c r="L34" s="270"/>
      <c r="M34" s="270"/>
      <c r="N34" s="270"/>
      <c r="O34" s="270"/>
      <c r="P34" s="270"/>
      <c r="Q34" s="270"/>
      <c r="R34" s="558" t="s">
        <v>1740</v>
      </c>
      <c r="S34" s="615">
        <v>0.55902777777777779</v>
      </c>
      <c r="T34" s="619"/>
      <c r="U34" s="1503"/>
      <c r="V34" s="495" t="str">
        <f>IF(G14="","",G14)</f>
        <v>Cédric PANDOLFI (sym)</v>
      </c>
      <c r="W34" s="496">
        <v>5</v>
      </c>
      <c r="X34" s="497" t="s">
        <v>769</v>
      </c>
      <c r="Y34" s="496">
        <v>3</v>
      </c>
      <c r="Z34" s="498" t="str">
        <f>IF(G7="","",G7)</f>
        <v>Raphaël POMMIER (cae)</v>
      </c>
      <c r="AA34" s="839"/>
      <c r="AB34" s="1459">
        <f t="shared" si="4"/>
        <v>5</v>
      </c>
      <c r="AC34" s="1460" t="str">
        <f t="shared" si="5"/>
        <v>-</v>
      </c>
      <c r="AD34" s="1459">
        <f t="shared" si="6"/>
        <v>3</v>
      </c>
      <c r="AE34" s="968" t="str">
        <f t="shared" si="7"/>
        <v>Cédric PANDOLFI (sym)</v>
      </c>
      <c r="AF34" s="968" t="str">
        <f t="shared" si="8"/>
        <v/>
      </c>
      <c r="AG34" s="968" t="str">
        <f t="shared" si="9"/>
        <v/>
      </c>
      <c r="AH34" s="968" t="str">
        <f t="shared" si="10"/>
        <v>Raphaël POMMIER (cae)</v>
      </c>
      <c r="AI34" s="968" t="str">
        <f t="shared" si="11"/>
        <v>Cédric PANDOLFI (sym)Raphaël POMMIER (cae)</v>
      </c>
      <c r="AJ34" s="968"/>
      <c r="AK34" s="968"/>
      <c r="AL34" s="270"/>
      <c r="AM34" s="270"/>
      <c r="AN34" s="575"/>
      <c r="AO34" s="270"/>
      <c r="AP34" s="271"/>
      <c r="AQ34" s="271"/>
      <c r="AR34" s="271"/>
      <c r="AS34" s="271"/>
      <c r="AT34" s="271"/>
      <c r="AU34" s="271"/>
      <c r="AV34" s="271"/>
      <c r="AW34" s="271"/>
      <c r="AX34" s="271"/>
      <c r="AY34" s="271"/>
      <c r="AZ34" s="271"/>
      <c r="BA34" s="271"/>
      <c r="BB34" s="271"/>
      <c r="BC34" s="271"/>
      <c r="BD34" s="271"/>
      <c r="BE34" s="271"/>
      <c r="BF34" s="271"/>
      <c r="BG34" s="271"/>
      <c r="BH34" s="271"/>
      <c r="BI34" s="271"/>
      <c r="BJ34" s="271"/>
      <c r="BK34" s="271"/>
      <c r="BL34" s="271"/>
      <c r="BM34" s="271"/>
      <c r="BN34" s="271"/>
      <c r="BO34" s="271"/>
      <c r="BP34" s="271"/>
      <c r="BQ34" s="271"/>
      <c r="BR34" s="271"/>
      <c r="BS34" s="271"/>
      <c r="BT34" s="271"/>
      <c r="BU34" s="271"/>
      <c r="BV34" s="271"/>
      <c r="BW34" s="271"/>
      <c r="BX34" s="271"/>
      <c r="BY34" s="271"/>
      <c r="BZ34"/>
      <c r="CA34" s="1396"/>
      <c r="CB34" s="1396"/>
      <c r="CC34" s="270"/>
      <c r="CD34" s="270"/>
      <c r="CE34"/>
    </row>
    <row r="35" spans="1:83" ht="13.5" outlineLevel="1" thickBot="1" x14ac:dyDescent="0.25">
      <c r="A35"/>
      <c r="B35" s="1"/>
      <c r="C35"/>
      <c r="D35"/>
      <c r="E35"/>
      <c r="F35"/>
      <c r="G35" s="1"/>
      <c r="H35" s="1"/>
      <c r="I35" s="1"/>
      <c r="J35"/>
      <c r="K35"/>
      <c r="L35"/>
      <c r="M35"/>
      <c r="N35"/>
      <c r="O35"/>
      <c r="P35"/>
      <c r="Q35"/>
      <c r="R35" s="334"/>
      <c r="S35" s="1"/>
      <c r="T35" s="1"/>
      <c r="U35"/>
      <c r="V35" s="6"/>
      <c r="W35" s="1"/>
      <c r="X35" s="1"/>
      <c r="Y35" s="1"/>
      <c r="Z35" s="16"/>
      <c r="AA35" s="123"/>
      <c r="AB35" s="963"/>
      <c r="AC35" s="963"/>
      <c r="AD35" s="963"/>
      <c r="AE35" s="964"/>
      <c r="AF35" s="964"/>
      <c r="AG35" s="964"/>
      <c r="AH35" s="964"/>
      <c r="AI35" s="964"/>
      <c r="AJ35" s="964"/>
      <c r="AK35" s="964"/>
      <c r="AL35"/>
      <c r="AM35"/>
      <c r="AO35"/>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c r="CA35" s="1396"/>
      <c r="CB35" s="1396"/>
      <c r="CC35"/>
      <c r="CD35"/>
      <c r="CE35"/>
    </row>
    <row r="36" spans="1:83" ht="13.5" thickBot="1" x14ac:dyDescent="0.25">
      <c r="A36"/>
      <c r="B36" s="282" t="str">
        <f>N_Group &amp; " 2"</f>
        <v>Poule 2</v>
      </c>
      <c r="C36" s="283"/>
      <c r="D36" s="283"/>
      <c r="E36" s="283"/>
      <c r="F36" s="283"/>
      <c r="G36" s="283"/>
      <c r="H36" s="283"/>
      <c r="I36" s="283"/>
      <c r="J36" s="283"/>
      <c r="K36" s="283"/>
      <c r="L36" s="283"/>
      <c r="M36" s="283"/>
      <c r="N36" s="283"/>
      <c r="O36" s="283"/>
      <c r="P36" s="283"/>
      <c r="Q36" s="283"/>
      <c r="R36" s="357"/>
      <c r="S36" s="283"/>
      <c r="T36" s="283"/>
      <c r="U36" s="283"/>
      <c r="V36" s="283"/>
      <c r="W36" s="992"/>
      <c r="X36" s="992"/>
      <c r="Y36" s="992"/>
      <c r="Z36" s="283"/>
      <c r="AA36" s="283"/>
      <c r="AB36" s="965"/>
      <c r="AC36" s="965"/>
      <c r="AD36" s="965"/>
      <c r="AE36" s="966"/>
      <c r="AF36" s="966"/>
      <c r="AG36" s="966"/>
      <c r="AH36" s="966"/>
      <c r="AI36" s="966"/>
      <c r="AJ36" s="966"/>
      <c r="AK36" s="965"/>
      <c r="AL36" s="283"/>
      <c r="AM36" s="282" t="str">
        <f>B36</f>
        <v>Poule 2</v>
      </c>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1395"/>
      <c r="CA36" s="1450"/>
      <c r="CB36" s="1450"/>
      <c r="CC36" s="284"/>
      <c r="CD36"/>
      <c r="CE36"/>
    </row>
    <row r="37" spans="1:83" ht="13.5" outlineLevel="1" thickBot="1" x14ac:dyDescent="0.25">
      <c r="A37"/>
      <c r="B37" s="1"/>
      <c r="C37"/>
      <c r="D37"/>
      <c r="E37"/>
      <c r="F37"/>
      <c r="G37" s="1"/>
      <c r="H37" s="1"/>
      <c r="I37" s="1"/>
      <c r="J37"/>
      <c r="K37"/>
      <c r="L37"/>
      <c r="M37"/>
      <c r="N37"/>
      <c r="O37"/>
      <c r="P37"/>
      <c r="Q37"/>
      <c r="R37" s="334"/>
      <c r="S37" s="1"/>
      <c r="T37" s="1"/>
      <c r="U37"/>
      <c r="V37" s="6"/>
      <c r="W37" s="1"/>
      <c r="X37" s="1"/>
      <c r="Y37" s="1"/>
      <c r="Z37" s="16"/>
      <c r="AA37" s="123"/>
      <c r="AB37" s="963"/>
      <c r="AC37" s="963"/>
      <c r="AD37" s="963"/>
      <c r="AE37" s="964"/>
      <c r="AF37" s="964"/>
      <c r="AG37" s="964"/>
      <c r="AH37" s="964"/>
      <c r="AI37" s="964"/>
      <c r="AJ37" s="964"/>
      <c r="AK37" s="964"/>
      <c r="AL37"/>
      <c r="AM37"/>
      <c r="AN37" s="833"/>
      <c r="AO37"/>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395"/>
      <c r="CA37" s="1450"/>
      <c r="CB37" s="1450"/>
      <c r="CC37"/>
      <c r="CD37"/>
      <c r="CE37"/>
    </row>
    <row r="38" spans="1:83" ht="13.5" outlineLevel="1" thickBot="1" x14ac:dyDescent="0.25">
      <c r="A38"/>
      <c r="B38" s="18" t="str">
        <f>N_Tirage</f>
        <v>Tirage</v>
      </c>
      <c r="C38" s="307" t="s">
        <v>787</v>
      </c>
      <c r="D38" s="308" t="s">
        <v>831</v>
      </c>
      <c r="E38" s="308" t="s">
        <v>832</v>
      </c>
      <c r="F38" s="309" t="s">
        <v>833</v>
      </c>
      <c r="G38" s="22" t="str">
        <f>N_Joueurs</f>
        <v>Joueurs</v>
      </c>
      <c r="H38" s="3" t="str">
        <f>N_RankPoints</f>
        <v>Pt. Clas.</v>
      </c>
      <c r="I38" s="3" t="str">
        <f>N_Diff_Part</f>
        <v>Diff-Part</v>
      </c>
      <c r="J38" s="311" t="str">
        <f>N_Pts</f>
        <v>Pts</v>
      </c>
      <c r="K38" s="311" t="str">
        <f>N_J</f>
        <v>J</v>
      </c>
      <c r="L38" s="308" t="str">
        <f>N_G</f>
        <v>G</v>
      </c>
      <c r="M38" s="308" t="str">
        <f>N_N</f>
        <v>N</v>
      </c>
      <c r="N38" s="308" t="str">
        <f>N_P</f>
        <v>P</v>
      </c>
      <c r="O38" s="308" t="str">
        <f>N_BP</f>
        <v>BP</v>
      </c>
      <c r="P38" s="308" t="str">
        <f>N_BC</f>
        <v>BC</v>
      </c>
      <c r="Q38" s="309" t="str">
        <f>N_Diff.</f>
        <v>Diff.</v>
      </c>
      <c r="R38" s="334"/>
      <c r="S38" s="3" t="str">
        <f>N_Heure</f>
        <v>Heure</v>
      </c>
      <c r="T38" s="22" t="str">
        <f>N_Table</f>
        <v>Table</v>
      </c>
      <c r="U38" s="22" t="str">
        <f>N_Arbitre</f>
        <v>Arbitre</v>
      </c>
      <c r="V38" s="293" t="str">
        <f>N_Matches</f>
        <v>Matches</v>
      </c>
      <c r="W38" s="294"/>
      <c r="X38" s="294"/>
      <c r="Y38" s="294"/>
      <c r="Z38" s="295"/>
      <c r="AA38" s="8"/>
      <c r="AB38" s="1461" t="str">
        <f>IF(MaxScore,N_MaxScore,"")</f>
        <v>Score Max</v>
      </c>
      <c r="AC38" s="1461"/>
      <c r="AD38" s="1461"/>
      <c r="AE38" s="964" t="str">
        <f>N_G</f>
        <v>G</v>
      </c>
      <c r="AF38" s="964" t="str">
        <f>N_N</f>
        <v>N</v>
      </c>
      <c r="AG38" s="964" t="str">
        <f>N_N</f>
        <v>N</v>
      </c>
      <c r="AH38" s="964" t="str">
        <f>N_P</f>
        <v>P</v>
      </c>
      <c r="AI38" s="964" t="s">
        <v>1560</v>
      </c>
      <c r="AJ38" s="964" t="s">
        <v>3714</v>
      </c>
      <c r="AK38" s="964" t="str">
        <f>IF(COUNTA(W39:W66)=0,"","OK")</f>
        <v>OK</v>
      </c>
      <c r="AL38"/>
      <c r="AM38"/>
      <c r="AN38" s="289" t="str">
        <f>N_Cla.</f>
        <v>Cla.</v>
      </c>
      <c r="AO38" s="70" t="str">
        <f>N_Joueurs</f>
        <v>Joueurs</v>
      </c>
      <c r="AP38" s="23" t="str">
        <f>N_Pts</f>
        <v>Pts</v>
      </c>
      <c r="AQ38" s="23" t="str">
        <f>N_J</f>
        <v>J</v>
      </c>
      <c r="AR38" s="20" t="str">
        <f>N_G</f>
        <v>G</v>
      </c>
      <c r="AS38" s="20" t="str">
        <f>N_N</f>
        <v>N</v>
      </c>
      <c r="AT38" s="20" t="str">
        <f>N_P</f>
        <v>P</v>
      </c>
      <c r="AU38" s="20" t="str">
        <f>N_BP</f>
        <v>BP</v>
      </c>
      <c r="AV38" s="20" t="str">
        <f>N_BC</f>
        <v>BC</v>
      </c>
      <c r="AW38" s="21" t="str">
        <f>N_Diff.</f>
        <v>Diff.</v>
      </c>
      <c r="AX38" s="287" t="str">
        <f>N_Matches</f>
        <v>Matches</v>
      </c>
      <c r="AY38" s="287"/>
      <c r="AZ38" s="287"/>
      <c r="BA38" s="287"/>
      <c r="BB38" s="287"/>
      <c r="BC38" s="287"/>
      <c r="BD38" s="287"/>
      <c r="BE38" s="287"/>
      <c r="BF38" s="287"/>
      <c r="BG38" s="287"/>
      <c r="BH38" s="287"/>
      <c r="BI38" s="287"/>
      <c r="BJ38" s="287"/>
      <c r="BK38" s="287"/>
      <c r="BL38" s="287"/>
      <c r="BM38" s="287"/>
      <c r="BN38" s="287"/>
      <c r="BO38" s="287"/>
      <c r="BP38" s="287"/>
      <c r="BQ38" s="287"/>
      <c r="BR38" s="287"/>
      <c r="BS38" s="287"/>
      <c r="BT38" s="287"/>
      <c r="BU38" s="287"/>
      <c r="BV38" s="287"/>
      <c r="BW38" s="287"/>
      <c r="BX38" s="287"/>
      <c r="BY38" s="288"/>
      <c r="BZ38" s="1395"/>
      <c r="CA38" s="1450"/>
      <c r="CB38" s="1450"/>
      <c r="CC38"/>
      <c r="CD38"/>
      <c r="CE38"/>
    </row>
    <row r="39" spans="1:83" outlineLevel="1" x14ac:dyDescent="0.2">
      <c r="A39" s="270"/>
      <c r="B39" s="543">
        <v>1</v>
      </c>
      <c r="C39" s="549">
        <f>IF(AK38="","",RANK(F39,F39:F46)*1000+ROW())</f>
        <v>1039</v>
      </c>
      <c r="D39" s="550">
        <f t="shared" ref="D39:D46" si="15">IF(L39="","",CritClassInd1_Points*J39+CritClassInd1_Matches*L39+CritClassInd1_Attaque*O39+CritClassInd1_DiffButs*Q39)</f>
        <v>210000000000</v>
      </c>
      <c r="E39" s="550">
        <f>IF(L39="","",Nb_Diff_Part(D39,D39:D46,G39,G39:G46,AI39:AI66)*CritClassInd_DiffPart+Nb_Goal_Part(D39,D39:D46,G39,G39:G46,V39:Z66)*CritClassInd_GoalPart+Nb_Score_Part(D39,D39:D46,G39,G39:G46,V39:Z66)*CritClassInd_ScorePart)</f>
        <v>0</v>
      </c>
      <c r="F39" s="551">
        <f t="shared" ref="F39:F46" si="16">IF(L39="","",D39+E39+CritClassInd2_Points*J39+CritClassInd2_Matches*L39+CritClassInd2_Attaque*O39+CritClassInd2_DiffButs*Q39+CritClassInd_Ranking*H39+I39)</f>
        <v>210000000825</v>
      </c>
      <c r="G39" s="476" t="s">
        <v>18249</v>
      </c>
      <c r="H39" s="499">
        <f t="shared" ref="H39:H46" si="17">GMFTRANKINGPOINTS(G39,Particular_Category)</f>
        <v>0</v>
      </c>
      <c r="I39" s="500"/>
      <c r="J39" s="555">
        <f>IF(AK38="","",(L39*Points_Victoire)+M39*Points_Null)</f>
        <v>21</v>
      </c>
      <c r="K39" s="556">
        <f t="shared" ref="K39:K46" si="18">IF(L39="","",SUM(L39:N39))</f>
        <v>7</v>
      </c>
      <c r="L39" s="556">
        <f>IF(AK38="","",COUNTIF(AE39:AE66,G39))</f>
        <v>7</v>
      </c>
      <c r="M39" s="556">
        <f>IF(AK38="","",COUNTIF(AF39:AG66,G39))</f>
        <v>0</v>
      </c>
      <c r="N39" s="556">
        <f>IF(AK38="","",COUNTIF(AH39:AH66,G39))</f>
        <v>0</v>
      </c>
      <c r="O39" s="556">
        <f>IF(AK38="","",SUMIF(V39:V66,G39,AB39:AB66)+SUMIF(Z39:Z66,G39,AD39:AD66))</f>
        <v>25</v>
      </c>
      <c r="P39" s="556">
        <f>IF(AK38="","",SUMIF(V39:V66,G39,AD39:AD66)+SUMIF(Z39:Z66,G39,AB39:AB66))</f>
        <v>17</v>
      </c>
      <c r="Q39" s="557">
        <f>IF(AK38="","",O39-P39)</f>
        <v>8</v>
      </c>
      <c r="R39" s="558" t="s">
        <v>1726</v>
      </c>
      <c r="S39" s="611">
        <v>0.35416666666666669</v>
      </c>
      <c r="T39" s="617"/>
      <c r="U39" s="1502"/>
      <c r="V39" s="479" t="str">
        <f>IF(G39="","",G39)</f>
        <v>Stéphane POMMIER (cae)</v>
      </c>
      <c r="W39" s="480">
        <v>4</v>
      </c>
      <c r="X39" s="481" t="s">
        <v>769</v>
      </c>
      <c r="Y39" s="480">
        <v>3</v>
      </c>
      <c r="Z39" s="482" t="str">
        <f>IF(G41="","",G41)</f>
        <v>Emmanuel GORGETTE (iss)</v>
      </c>
      <c r="AA39" s="839"/>
      <c r="AB39" s="1459">
        <f t="shared" ref="AB39:AB66" si="19">IF(MaxScore,MaxGoals(W39,Y39,MaxGoalsValue),IF(W39="","",W39))</f>
        <v>4</v>
      </c>
      <c r="AC39" s="1460" t="str">
        <f t="shared" ref="AC39:AC66" si="20">IF(MaxScore,"-",IF(W39="","","-"))</f>
        <v>-</v>
      </c>
      <c r="AD39" s="1459">
        <f t="shared" ref="AD39:AD66" si="21">IF(MaxScore,MaxGoals(Y39,W39,MaxGoalsValue),IF(Y39="","",Y39))</f>
        <v>3</v>
      </c>
      <c r="AE39" s="968" t="str">
        <f t="shared" ref="AE39:AE66" si="22">IF(W39="","",IF(W39&gt;Y39,V39,IF(W39=Y39,"",Z39)))</f>
        <v>Stéphane POMMIER (cae)</v>
      </c>
      <c r="AF39" s="968" t="str">
        <f t="shared" ref="AF39:AF66" si="23">IF(W39="","",IF(W39=Y39,V39,""))</f>
        <v/>
      </c>
      <c r="AG39" s="968" t="str">
        <f t="shared" ref="AG39:AG66" si="24">IF(W39="","",IF(W39=Y39,Z39,""))</f>
        <v/>
      </c>
      <c r="AH39" s="968" t="str">
        <f t="shared" ref="AH39:AH66" si="25">IF(W39="","",IF(W39&lt;Y39,V39,IF(W39=Y39,"",Z39)))</f>
        <v>Emmanuel GORGETTE (iss)</v>
      </c>
      <c r="AI39" s="968" t="str">
        <f t="shared" ref="AI39:AI66" si="26">CONCATENATE(AE39,AH39)</f>
        <v>Stéphane POMMIER (cae)Emmanuel GORGETTE (iss)</v>
      </c>
      <c r="AJ39" s="968"/>
      <c r="AK39" s="968">
        <f>IF(AK38="","",SMALL(C39:C46,1))</f>
        <v>1039</v>
      </c>
      <c r="AL39" s="270"/>
      <c r="AM39" s="270"/>
      <c r="AN39" s="543">
        <f>IF(AK38="","",INT(AK39/1000))</f>
        <v>1</v>
      </c>
      <c r="AO39" s="527" t="str">
        <f>IF(AK38="",IF(HidePlayerFormulas,"","("&amp;G39&amp;")"),VLOOKUP(AK39,C39:Q46,5,FALSE))</f>
        <v>Stéphane POMMIER (cae)</v>
      </c>
      <c r="AP39" s="528">
        <f>VLOOKUP(AK39,C39:Q46,8,FALSE)</f>
        <v>21</v>
      </c>
      <c r="AQ39" s="528">
        <f>VLOOKUP(AK39,C39:Q46,9,FALSE)</f>
        <v>7</v>
      </c>
      <c r="AR39" s="528">
        <f>VLOOKUP(AK39,C39:Q46,10,FALSE)</f>
        <v>7</v>
      </c>
      <c r="AS39" s="528">
        <f>VLOOKUP(AK39,C39:Q46,11,FALSE)</f>
        <v>0</v>
      </c>
      <c r="AT39" s="528">
        <f>VLOOKUP(AK39,C39:Q46,12,FALSE)</f>
        <v>0</v>
      </c>
      <c r="AU39" s="528">
        <f>VLOOKUP(AK39,C39:Q46,13,FALSE)</f>
        <v>25</v>
      </c>
      <c r="AV39" s="528">
        <f>VLOOKUP(AK39,C39:Q46,14,FALSE)</f>
        <v>17</v>
      </c>
      <c r="AW39" s="529">
        <f>VLOOKUP(AK39,C39:Q46,15,FALSE)</f>
        <v>8</v>
      </c>
      <c r="AX39" s="544" t="str">
        <f>IF(W63="","",IF(AO39=V63,W63,IF(AO39=Z63,Y63,"")))</f>
        <v/>
      </c>
      <c r="AY39" s="518" t="str">
        <f>IF(W64="","",IF(AO39=V64,W64,IF(AO39=Z64,Y64,"")))</f>
        <v/>
      </c>
      <c r="AZ39" s="518" t="str">
        <f>IF(W65="","",IF(AO39=V65,W65,IF(AO39=Z65,Y65,"")))</f>
        <v/>
      </c>
      <c r="BA39" s="518">
        <f>IF(W66="","",IF(AO39=V66,W66,IF(AO39=Z66,Y66,"")))</f>
        <v>3</v>
      </c>
      <c r="BB39" s="518" t="str">
        <f>IF(W59="","",IF(AO39=V59,W59,IF(AO39=Z59,Y59,"")))</f>
        <v/>
      </c>
      <c r="BC39" s="518" t="str">
        <f>IF(W60="","",IF(AO39=V60,W60,IF(AO39=Z60,Y60,"")))</f>
        <v/>
      </c>
      <c r="BD39" s="518">
        <f>IF(W61="","",IF(AO39=V61,W61,IF(AO39=Z61,Y61,"")))</f>
        <v>3</v>
      </c>
      <c r="BE39" s="518" t="str">
        <f>IF(W62="","",IF(AO39=V62,W62,IF(AO39=Z62,Y62,"")))</f>
        <v/>
      </c>
      <c r="BF39" s="518">
        <f>IF(W55="","",IF(AO39=V55,W55,IF(AO39=Z55,Y55,"")))</f>
        <v>4</v>
      </c>
      <c r="BG39" s="518" t="str">
        <f>IF(W56="","",IF(AO39=V56,W56,IF(AO39=Z56,Y56,"")))</f>
        <v/>
      </c>
      <c r="BH39" s="518" t="str">
        <f>IF(W57="","",IF(AO39=V57,W57,IF(AO39=Z57,Y57,"")))</f>
        <v/>
      </c>
      <c r="BI39" s="518" t="str">
        <f>IF(W58="","",IF(AO39=V58,W58,IF(AO39=Z58,Y58,"")))</f>
        <v/>
      </c>
      <c r="BJ39" s="518">
        <f>IF(W51="","",IF(AO39=V51,W51,IF(AO39=Z51,Y51,"")))</f>
        <v>4</v>
      </c>
      <c r="BK39" s="518" t="str">
        <f>IF(W52="","",IF(AO39=V52,W52,IF(AO39=Z52,Y52,"")))</f>
        <v/>
      </c>
      <c r="BL39" s="518" t="str">
        <f>IF(W53="","",IF(AO39=V53,W53,IF(AO39=Z53,Y53,"")))</f>
        <v/>
      </c>
      <c r="BM39" s="518" t="str">
        <f>IF(W54="","",IF(AO39=V54,W54,IF(AO39=Z54,Y54,"")))</f>
        <v/>
      </c>
      <c r="BN39" s="518" t="str">
        <f>IF(W47="","",IF(AO39=V47,W47,IF(AO39=Z47,Y47,"")))</f>
        <v/>
      </c>
      <c r="BO39" s="518" t="str">
        <f>IF(W48="","",IF(AO39=V48,W48,IF(AO39=Z48,Y48,"")))</f>
        <v/>
      </c>
      <c r="BP39" s="518">
        <f>IF(W49="","",IF(AO39=V49,W49,IF(AO39=Z49,Y49,"")))</f>
        <v>3</v>
      </c>
      <c r="BQ39" s="518" t="str">
        <f>IF(W50="","",IF(AO39=V50,W50,IF(AO39=Z50,Y50,"")))</f>
        <v/>
      </c>
      <c r="BR39" s="518">
        <f>IF(W43="","",IF(AO39=V43,W43,IF(AO39=Z43,Y43,"")))</f>
        <v>4</v>
      </c>
      <c r="BS39" s="518" t="str">
        <f>IF(W44="","",IF(AO39=V44,W44,IF(AO39=Z44,Y44,"")))</f>
        <v/>
      </c>
      <c r="BT39" s="518" t="str">
        <f>IF(W45="","",IF(AO39=V45,W45,IF(AO39=Z45,Y45,"")))</f>
        <v/>
      </c>
      <c r="BU39" s="518" t="str">
        <f>IF(W46="","",IF(AO39=V46,W46,IF(AO39=Z46,Y46,"")))</f>
        <v/>
      </c>
      <c r="BV39" s="518">
        <f>IF(W39="","",IF(AO39=V39,W39,IF(AO39=Z39,Y39,"")))</f>
        <v>4</v>
      </c>
      <c r="BW39" s="518" t="str">
        <f>IF(W40="","",IF(AO39=V40,W40,IF(AO39=Z40,Y40,"")))</f>
        <v/>
      </c>
      <c r="BX39" s="518" t="str">
        <f>IF(W41="","",IF(AO39=V41,W41,IF(AO39=Z41,Y41,"")))</f>
        <v/>
      </c>
      <c r="BY39" s="519" t="str">
        <f>IF(W42="","",IF(AO39=V42,W42,IF(AO39=Z42,Y42,"")))</f>
        <v/>
      </c>
      <c r="BZ39" s="1395" t="b">
        <f t="shared" ref="BZ39:BZ46" si="27">IF(G39="[---WithDraw---]",FALSE,IF(COUNTIF(PlayerNamesWithinGroups,G39)&gt;1,TRUE,FALSE))</f>
        <v>0</v>
      </c>
      <c r="CA39" s="1450" t="b">
        <f t="shared" ref="CA39:CA46" si="28">AND(LEFT($AO39,1) = "(", RIGHT($AO39,1) =")")</f>
        <v>0</v>
      </c>
      <c r="CB39" s="1450" t="b">
        <f t="shared" ref="CB39:CB46" si="29">IF(OR($AN39=$AN38,$AN39=$AN40),TRUE,FALSE)</f>
        <v>0</v>
      </c>
      <c r="CC39" s="270"/>
      <c r="CD39" s="270"/>
      <c r="CE39"/>
    </row>
    <row r="40" spans="1:83" outlineLevel="1" x14ac:dyDescent="0.2">
      <c r="A40" s="270"/>
      <c r="B40" s="545">
        <v>2</v>
      </c>
      <c r="C40" s="560">
        <f>IF(AK38="","",RANK(F40,F39:F46)*1000+ROW())</f>
        <v>6040</v>
      </c>
      <c r="D40" s="561">
        <f t="shared" si="15"/>
        <v>80000000000</v>
      </c>
      <c r="E40" s="561">
        <f>IF(L40="","",Nb_Diff_Part(D40,D39:D46,G40,G39:G46,AI39:AI66)*CritClassInd_DiffPart+Nb_Goal_Part(D40,D39:D46,G40,G39:G46,V39:Z66)*CritClassInd_GoalPart+Nb_Score_Part(D40,D39:D46,G40,G39:G46,V39:Z66)*CritClassInd_ScorePart)</f>
        <v>0</v>
      </c>
      <c r="F40" s="562">
        <f t="shared" si="16"/>
        <v>80000000022</v>
      </c>
      <c r="G40" s="477" t="s">
        <v>18252</v>
      </c>
      <c r="H40" s="501">
        <f t="shared" si="17"/>
        <v>0</v>
      </c>
      <c r="I40" s="502"/>
      <c r="J40" s="560">
        <f>IF(AK38="","",(L40*Points_Victoire)+M40*Points_Null)</f>
        <v>8</v>
      </c>
      <c r="K40" s="556">
        <f t="shared" si="18"/>
        <v>7</v>
      </c>
      <c r="L40" s="563">
        <f>IF(AK38="","",COUNTIF(AE39:AE66,G40))</f>
        <v>1</v>
      </c>
      <c r="M40" s="563">
        <f>IF(AK38="","",COUNTIF(AF39:AG66,G40))</f>
        <v>5</v>
      </c>
      <c r="N40" s="563">
        <f>IF(AK38="","",COUNTIF(AH39:AH66,G40))</f>
        <v>1</v>
      </c>
      <c r="O40" s="563">
        <f>IF(AK38="","",SUMIF(V39:V66,G40,AB39:AB66)+SUMIF(Z39:Z66,G40,AD39:AD66))</f>
        <v>22</v>
      </c>
      <c r="P40" s="563">
        <f>IF(AK38="","",SUMIF(V39:V66,G40,AD39:AD66)+SUMIF(Z39:Z66,G40,AB39:AB66))</f>
        <v>22</v>
      </c>
      <c r="Q40" s="557">
        <f>IF(AK38="","",O40-P40)</f>
        <v>0</v>
      </c>
      <c r="R40" s="558" t="s">
        <v>1726</v>
      </c>
      <c r="S40" s="613">
        <v>0.35416666666666669</v>
      </c>
      <c r="T40" s="618"/>
      <c r="U40" s="1504"/>
      <c r="V40" s="483" t="str">
        <f>IF(G40="","",G40)</f>
        <v>Jean-Marie AMBERNY (iss)</v>
      </c>
      <c r="W40" s="484">
        <v>3</v>
      </c>
      <c r="X40" s="485" t="s">
        <v>769</v>
      </c>
      <c r="Y40" s="484">
        <v>3</v>
      </c>
      <c r="Z40" s="486" t="str">
        <f>IF(G46="","",G46)</f>
        <v>Mickaël BLANC (sym)</v>
      </c>
      <c r="AA40" s="839"/>
      <c r="AB40" s="1459">
        <f t="shared" si="19"/>
        <v>3</v>
      </c>
      <c r="AC40" s="1460" t="str">
        <f t="shared" si="20"/>
        <v>-</v>
      </c>
      <c r="AD40" s="1459">
        <f t="shared" si="21"/>
        <v>3</v>
      </c>
      <c r="AE40" s="968" t="str">
        <f t="shared" si="22"/>
        <v/>
      </c>
      <c r="AF40" s="968" t="str">
        <f t="shared" si="23"/>
        <v>Jean-Marie AMBERNY (iss)</v>
      </c>
      <c r="AG40" s="968" t="str">
        <f t="shared" si="24"/>
        <v>Mickaël BLANC (sym)</v>
      </c>
      <c r="AH40" s="968" t="str">
        <f t="shared" si="25"/>
        <v/>
      </c>
      <c r="AI40" s="968" t="str">
        <f t="shared" si="26"/>
        <v/>
      </c>
      <c r="AJ40" s="968"/>
      <c r="AK40" s="968">
        <f>IF(AK38="","",SMALL(C39:C46,2))</f>
        <v>2041</v>
      </c>
      <c r="AL40" s="270"/>
      <c r="AM40" s="270"/>
      <c r="AN40" s="545">
        <f>IF(AK38="","",INT(AK40/1000))</f>
        <v>2</v>
      </c>
      <c r="AO40" s="510" t="str">
        <f>IF(AK38="",IF(HidePlayerFormulas,"","("&amp;G40&amp;")"),VLOOKUP(AK40,C39:Q46,5,FALSE))</f>
        <v>Emmanuel GORGETTE (iss)</v>
      </c>
      <c r="AP40" s="511">
        <f>VLOOKUP(AK40,C39:Q46,8,FALSE)</f>
        <v>11</v>
      </c>
      <c r="AQ40" s="511">
        <f>VLOOKUP(AK40,C39:Q46,9,FALSE)</f>
        <v>7</v>
      </c>
      <c r="AR40" s="511">
        <f>VLOOKUP(AK40,C39:Q46,10,FALSE)</f>
        <v>3</v>
      </c>
      <c r="AS40" s="511">
        <f>VLOOKUP(AK40,C39:Q46,11,FALSE)</f>
        <v>2</v>
      </c>
      <c r="AT40" s="511">
        <f>VLOOKUP(AK40,C39:Q46,12,FALSE)</f>
        <v>2</v>
      </c>
      <c r="AU40" s="511">
        <f>VLOOKUP(AK40,C39:Q46,13,FALSE)</f>
        <v>22</v>
      </c>
      <c r="AV40" s="511">
        <f>VLOOKUP(AK40,C39:Q46,14,FALSE)</f>
        <v>20</v>
      </c>
      <c r="AW40" s="512">
        <f>VLOOKUP(AK40,C39:Q46,15,FALSE)</f>
        <v>2</v>
      </c>
      <c r="AX40" s="546" t="str">
        <f>IF(W63="","",IF(AO40=V63,W63,IF(AO40=Z63,Y63,"")))</f>
        <v/>
      </c>
      <c r="AY40" s="521">
        <f>IF(W64="","",IF(AO40=V64,W64,IF(AO40=Z64,Y64,"")))</f>
        <v>3</v>
      </c>
      <c r="AZ40" s="521" t="str">
        <f>IF(W65="","",IF(AO40=V65,W65,IF(AO40=Z65,Y65,"")))</f>
        <v/>
      </c>
      <c r="BA40" s="521" t="str">
        <f>IF(W66="","",IF(AO40=V66,W66,IF(AO40=Z66,Y66,"")))</f>
        <v/>
      </c>
      <c r="BB40" s="521">
        <f>IF(W59="","",IF(AO40=V59,W59,IF(AO40=Z59,Y59,"")))</f>
        <v>4</v>
      </c>
      <c r="BC40" s="521" t="str">
        <f>IF(W60="","",IF(AO40=V60,W60,IF(AO40=Z60,Y60,"")))</f>
        <v/>
      </c>
      <c r="BD40" s="521" t="str">
        <f>IF(W61="","",IF(AO40=V61,W61,IF(AO40=Z61,Y61,"")))</f>
        <v/>
      </c>
      <c r="BE40" s="521" t="str">
        <f>IF(W62="","",IF(AO40=V62,W62,IF(AO40=Z62,Y62,"")))</f>
        <v/>
      </c>
      <c r="BF40" s="521" t="str">
        <f>IF(W55="","",IF(AO40=V55,W55,IF(AO40=Z55,Y55,"")))</f>
        <v/>
      </c>
      <c r="BG40" s="521">
        <f>IF(W56="","",IF(AO40=V56,W56,IF(AO40=Z56,Y56,"")))</f>
        <v>3</v>
      </c>
      <c r="BH40" s="521" t="str">
        <f>IF(W57="","",IF(AO40=V57,W57,IF(AO40=Z57,Y57,"")))</f>
        <v/>
      </c>
      <c r="BI40" s="521" t="str">
        <f>IF(W58="","",IF(AO40=V58,W58,IF(AO40=Z58,Y58,"")))</f>
        <v/>
      </c>
      <c r="BJ40" s="521" t="str">
        <f>IF(W51="","",IF(AO40=V51,W51,IF(AO40=Z51,Y51,"")))</f>
        <v/>
      </c>
      <c r="BK40" s="521" t="str">
        <f>IF(W52="","",IF(AO40=V52,W52,IF(AO40=Z52,Y52,"")))</f>
        <v/>
      </c>
      <c r="BL40" s="521" t="str">
        <f>IF(W53="","",IF(AO40=V53,W53,IF(AO40=Z53,Y53,"")))</f>
        <v/>
      </c>
      <c r="BM40" s="521">
        <f>IF(W54="","",IF(AO40=V54,W54,IF(AO40=Z54,Y54,"")))</f>
        <v>3</v>
      </c>
      <c r="BN40" s="521">
        <f>IF(W47="","",IF(AO40=V47,W47,IF(AO40=Z47,Y47,"")))</f>
        <v>4</v>
      </c>
      <c r="BO40" s="521" t="str">
        <f>IF(W48="","",IF(AO40=V48,W48,IF(AO40=Z48,Y48,"")))</f>
        <v/>
      </c>
      <c r="BP40" s="521" t="str">
        <f>IF(W49="","",IF(AO40=V49,W49,IF(AO40=Z49,Y49,"")))</f>
        <v/>
      </c>
      <c r="BQ40" s="521" t="str">
        <f>IF(W50="","",IF(AO40=V50,W50,IF(AO40=Z50,Y50,"")))</f>
        <v/>
      </c>
      <c r="BR40" s="521" t="str">
        <f>IF(W43="","",IF(AO40=V43,W43,IF(AO40=Z43,Y43,"")))</f>
        <v/>
      </c>
      <c r="BS40" s="521" t="str">
        <f>IF(W44="","",IF(AO40=V44,W44,IF(AO40=Z44,Y44,"")))</f>
        <v/>
      </c>
      <c r="BT40" s="521">
        <f>IF(W45="","",IF(AO40=V45,W45,IF(AO40=Z45,Y45,"")))</f>
        <v>2</v>
      </c>
      <c r="BU40" s="521" t="str">
        <f>IF(W46="","",IF(AO40=V46,W46,IF(AO40=Z46,Y46,"")))</f>
        <v/>
      </c>
      <c r="BV40" s="521">
        <f>IF(W39="","",IF(AO40=V39,W39,IF(AO40=Z39,Y39,"")))</f>
        <v>3</v>
      </c>
      <c r="BW40" s="521" t="str">
        <f>IF(W40="","",IF(AO40=V40,W40,IF(AO40=Z40,Y40,"")))</f>
        <v/>
      </c>
      <c r="BX40" s="521" t="str">
        <f>IF(W41="","",IF(AO40=V41,W41,IF(AO40=Z41,Y41,"")))</f>
        <v/>
      </c>
      <c r="BY40" s="522" t="str">
        <f>IF(W42="","",IF(AO40=V42,W42,IF(AO40=Z42,Y42,"")))</f>
        <v/>
      </c>
      <c r="BZ40" s="1395" t="b">
        <f t="shared" si="27"/>
        <v>0</v>
      </c>
      <c r="CA40" s="1450" t="b">
        <f t="shared" si="28"/>
        <v>0</v>
      </c>
      <c r="CB40" s="1450" t="b">
        <f t="shared" si="29"/>
        <v>0</v>
      </c>
      <c r="CC40" s="270"/>
      <c r="CD40" s="270"/>
      <c r="CE40"/>
    </row>
    <row r="41" spans="1:83" outlineLevel="1" x14ac:dyDescent="0.2">
      <c r="A41" s="270"/>
      <c r="B41" s="545">
        <v>3</v>
      </c>
      <c r="C41" s="560">
        <f>IF(AK38="","",RANK(F41,F39:F46)*1000+ROW())</f>
        <v>2041</v>
      </c>
      <c r="D41" s="561">
        <f t="shared" si="15"/>
        <v>110000000000</v>
      </c>
      <c r="E41" s="561">
        <f>IF(L41="","",Nb_Diff_Part(D41,D39:D46,G41,G39:G46,AI39:AI66)*CritClassInd_DiffPart+Nb_Goal_Part(D41,D39:D46,G41,G39:G46,V39:Z66)*CritClassInd_GoalPart+Nb_Score_Part(D41,D39:D46,G41,G39:G46,V39:Z66)*CritClassInd_ScorePart)</f>
        <v>0</v>
      </c>
      <c r="F41" s="562">
        <f t="shared" si="16"/>
        <v>110000000222</v>
      </c>
      <c r="G41" s="477" t="s">
        <v>18255</v>
      </c>
      <c r="H41" s="501">
        <f t="shared" si="17"/>
        <v>0</v>
      </c>
      <c r="I41" s="502"/>
      <c r="J41" s="560">
        <f>IF(AK38="","",(L41*Points_Victoire)+M41*Points_Null)</f>
        <v>11</v>
      </c>
      <c r="K41" s="563">
        <f t="shared" si="18"/>
        <v>7</v>
      </c>
      <c r="L41" s="563">
        <f>IF(AK38="","",COUNTIF(AE39:AE66,G41))</f>
        <v>3</v>
      </c>
      <c r="M41" s="563">
        <f>IF(AK38="","",COUNTIF(AF39:AG66,G41))</f>
        <v>2</v>
      </c>
      <c r="N41" s="563">
        <f>IF(AK38="","",COUNTIF(AH39:AH66,G41))</f>
        <v>2</v>
      </c>
      <c r="O41" s="563">
        <f>IF(AK38="","",SUMIF(V39:V66,G41,AB39:AB66)+SUMIF(Z39:Z66,G41,AD39:AD66))</f>
        <v>22</v>
      </c>
      <c r="P41" s="563">
        <f>IF(AK38="","",SUMIF(V39:V66,G41,AD39:AD66)+SUMIF(Z39:Z66,G41,AB39:AB66))</f>
        <v>20</v>
      </c>
      <c r="Q41" s="564">
        <f>IF(AK38="","",O41-P41)</f>
        <v>2</v>
      </c>
      <c r="R41" s="558" t="s">
        <v>1726</v>
      </c>
      <c r="S41" s="613">
        <v>0.35416666666666669</v>
      </c>
      <c r="T41" s="618"/>
      <c r="U41" s="1504"/>
      <c r="V41" s="483" t="str">
        <f>IF(G42="","",G42)</f>
        <v>Axel DONVAL (iss)</v>
      </c>
      <c r="W41" s="484">
        <v>2</v>
      </c>
      <c r="X41" s="485" t="s">
        <v>769</v>
      </c>
      <c r="Y41" s="484">
        <v>3</v>
      </c>
      <c r="Z41" s="486" t="str">
        <f>IF(G45="","",G45)</f>
        <v>Quentin AUSSET (chp)</v>
      </c>
      <c r="AA41" s="839"/>
      <c r="AB41" s="1459">
        <f t="shared" si="19"/>
        <v>2</v>
      </c>
      <c r="AC41" s="1460" t="str">
        <f t="shared" si="20"/>
        <v>-</v>
      </c>
      <c r="AD41" s="1459">
        <f t="shared" si="21"/>
        <v>3</v>
      </c>
      <c r="AE41" s="968" t="str">
        <f t="shared" si="22"/>
        <v>Quentin AUSSET (chp)</v>
      </c>
      <c r="AF41" s="968" t="str">
        <f t="shared" si="23"/>
        <v/>
      </c>
      <c r="AG41" s="968" t="str">
        <f t="shared" si="24"/>
        <v/>
      </c>
      <c r="AH41" s="968" t="str">
        <f t="shared" si="25"/>
        <v>Axel DONVAL (iss)</v>
      </c>
      <c r="AI41" s="968" t="str">
        <f t="shared" si="26"/>
        <v>Quentin AUSSET (chp)Axel DONVAL (iss)</v>
      </c>
      <c r="AJ41" s="968"/>
      <c r="AK41" s="968">
        <f>IF(AK38="","",SMALL(C39:C46,3))</f>
        <v>3046</v>
      </c>
      <c r="AL41" s="270"/>
      <c r="AM41" s="270"/>
      <c r="AN41" s="545">
        <f>IF(AK38="","",INT(AK41/1000))</f>
        <v>3</v>
      </c>
      <c r="AO41" s="510" t="str">
        <f>IF(AK38="",IF(HidePlayerFormulas,"","("&amp;G41&amp;")"),VLOOKUP(AK41,C39:Q46,5,FALSE))</f>
        <v>Mickaël BLANC (sym)</v>
      </c>
      <c r="AP41" s="511">
        <f>VLOOKUP(AK41,C39:Q46,8,FALSE)</f>
        <v>10</v>
      </c>
      <c r="AQ41" s="511">
        <f>VLOOKUP(AK41,C39:Q46,9,FALSE)</f>
        <v>7</v>
      </c>
      <c r="AR41" s="511">
        <f>VLOOKUP(AK41,C39:Q46,10,FALSE)</f>
        <v>3</v>
      </c>
      <c r="AS41" s="511">
        <f>VLOOKUP(AK41,C39:Q46,11,FALSE)</f>
        <v>1</v>
      </c>
      <c r="AT41" s="511">
        <f>VLOOKUP(AK41,C39:Q46,12,FALSE)</f>
        <v>3</v>
      </c>
      <c r="AU41" s="511">
        <f>VLOOKUP(AK41,C39:Q46,13,FALSE)</f>
        <v>15</v>
      </c>
      <c r="AV41" s="511">
        <f>VLOOKUP(AK41,C39:Q46,14,FALSE)</f>
        <v>17</v>
      </c>
      <c r="AW41" s="512">
        <f>VLOOKUP(AK41,C39:Q46,15,FALSE)</f>
        <v>-2</v>
      </c>
      <c r="AX41" s="546" t="str">
        <f>IF(W63="","",IF(AO41=V63,W63,IF(AO41=Z63,Y63,"")))</f>
        <v/>
      </c>
      <c r="AY41" s="521" t="str">
        <f>IF(W64="","",IF(AO41=V64,W64,IF(AO41=Z64,Y64,"")))</f>
        <v/>
      </c>
      <c r="AZ41" s="521" t="str">
        <f>IF(W65="","",IF(AO41=V65,W65,IF(AO41=Z65,Y65,"")))</f>
        <v/>
      </c>
      <c r="BA41" s="521">
        <f>IF(W66="","",IF(AO41=V66,W66,IF(AO41=Z66,Y66,"")))</f>
        <v>1</v>
      </c>
      <c r="BB41" s="521" t="str">
        <f>IF(W59="","",IF(AO41=V59,W59,IF(AO41=Z59,Y59,"")))</f>
        <v/>
      </c>
      <c r="BC41" s="521" t="str">
        <f>IF(W60="","",IF(AO41=V60,W60,IF(AO41=Z60,Y60,"")))</f>
        <v/>
      </c>
      <c r="BD41" s="521" t="str">
        <f>IF(W61="","",IF(AO41=V61,W61,IF(AO41=Z61,Y61,"")))</f>
        <v/>
      </c>
      <c r="BE41" s="521">
        <f>IF(W62="","",IF(AO41=V62,W62,IF(AO41=Z62,Y62,"")))</f>
        <v>3</v>
      </c>
      <c r="BF41" s="521" t="str">
        <f>IF(W55="","",IF(AO41=V55,W55,IF(AO41=Z55,Y55,"")))</f>
        <v/>
      </c>
      <c r="BG41" s="521" t="str">
        <f>IF(W56="","",IF(AO41=V56,W56,IF(AO41=Z56,Y56,"")))</f>
        <v/>
      </c>
      <c r="BH41" s="521" t="str">
        <f>IF(W57="","",IF(AO41=V57,W57,IF(AO41=Z57,Y57,"")))</f>
        <v/>
      </c>
      <c r="BI41" s="521">
        <f>IF(W58="","",IF(AO41=V58,W58,IF(AO41=Z58,Y58,"")))</f>
        <v>1</v>
      </c>
      <c r="BJ41" s="521" t="str">
        <f>IF(W51="","",IF(AO41=V51,W51,IF(AO41=Z51,Y51,"")))</f>
        <v/>
      </c>
      <c r="BK41" s="521" t="str">
        <f>IF(W52="","",IF(AO41=V52,W52,IF(AO41=Z52,Y52,"")))</f>
        <v/>
      </c>
      <c r="BL41" s="521">
        <f>IF(W53="","",IF(AO41=V53,W53,IF(AO41=Z53,Y53,"")))</f>
        <v>3</v>
      </c>
      <c r="BM41" s="521" t="str">
        <f>IF(W54="","",IF(AO41=V54,W54,IF(AO41=Z54,Y54,"")))</f>
        <v/>
      </c>
      <c r="BN41" s="521" t="str">
        <f>IF(W47="","",IF(AO41=V47,W47,IF(AO41=Z47,Y47,"")))</f>
        <v/>
      </c>
      <c r="BO41" s="521" t="str">
        <f>IF(W48="","",IF(AO41=V48,W48,IF(AO41=Z48,Y48,"")))</f>
        <v/>
      </c>
      <c r="BP41" s="521" t="str">
        <f>IF(W49="","",IF(AO41=V49,W49,IF(AO41=Z49,Y49,"")))</f>
        <v/>
      </c>
      <c r="BQ41" s="521">
        <f>IF(W50="","",IF(AO41=V50,W50,IF(AO41=Z50,Y50,"")))</f>
        <v>1</v>
      </c>
      <c r="BR41" s="521" t="str">
        <f>IF(W43="","",IF(AO41=V43,W43,IF(AO41=Z43,Y43,"")))</f>
        <v/>
      </c>
      <c r="BS41" s="521" t="str">
        <f>IF(W44="","",IF(AO41=V44,W44,IF(AO41=Z44,Y44,"")))</f>
        <v/>
      </c>
      <c r="BT41" s="521">
        <f>IF(W45="","",IF(AO41=V45,W45,IF(AO41=Z45,Y45,"")))</f>
        <v>3</v>
      </c>
      <c r="BU41" s="521" t="str">
        <f>IF(W46="","",IF(AO41=V46,W46,IF(AO41=Z46,Y46,"")))</f>
        <v/>
      </c>
      <c r="BV41" s="521" t="str">
        <f>IF(W39="","",IF(AO41=V39,W39,IF(AO41=Z39,Y39,"")))</f>
        <v/>
      </c>
      <c r="BW41" s="521">
        <f>IF(W40="","",IF(AO41=V40,W40,IF(AO41=Z40,Y40,"")))</f>
        <v>3</v>
      </c>
      <c r="BX41" s="521" t="str">
        <f>IF(W41="","",IF(AO41=V41,W41,IF(AO41=Z41,Y41,"")))</f>
        <v/>
      </c>
      <c r="BY41" s="522" t="str">
        <f>IF(W42="","",IF(AO41=V42,W42,IF(AO41=Z42,Y42,"")))</f>
        <v/>
      </c>
      <c r="BZ41" s="1395" t="b">
        <f t="shared" si="27"/>
        <v>0</v>
      </c>
      <c r="CA41" s="1450" t="b">
        <f t="shared" si="28"/>
        <v>0</v>
      </c>
      <c r="CB41" s="1450" t="b">
        <f t="shared" si="29"/>
        <v>0</v>
      </c>
      <c r="CC41" s="270"/>
      <c r="CD41" s="270"/>
      <c r="CE41"/>
    </row>
    <row r="42" spans="1:83" ht="13.5" outlineLevel="1" thickBot="1" x14ac:dyDescent="0.25">
      <c r="A42" s="270"/>
      <c r="B42" s="545">
        <v>4</v>
      </c>
      <c r="C42" s="560">
        <f>IF(AK38="","",RANK(F42,F39:F46)*1000+ROW())</f>
        <v>7042</v>
      </c>
      <c r="D42" s="561">
        <f t="shared" si="15"/>
        <v>50000000000</v>
      </c>
      <c r="E42" s="561">
        <f>IF(L42="","",Nb_Diff_Part(D42,D39:D46,G42,G39:G46,AI39:AI66)*CritClassInd_DiffPart+Nb_Goal_Part(D42,D39:D46,G42,G39:G46,V39:Z66)*CritClassInd_GoalPart+Nb_Score_Part(D42,D39:D46,G42,G39:G46,V39:Z66)*CritClassInd_ScorePart)</f>
        <v>0</v>
      </c>
      <c r="F42" s="562">
        <f t="shared" si="16"/>
        <v>49999999819</v>
      </c>
      <c r="G42" s="477" t="s">
        <v>18258</v>
      </c>
      <c r="H42" s="501">
        <f t="shared" si="17"/>
        <v>0</v>
      </c>
      <c r="I42" s="502"/>
      <c r="J42" s="560">
        <f>IF(AK38="","",(L42*Points_Victoire)+M42*Points_Null)</f>
        <v>5</v>
      </c>
      <c r="K42" s="563">
        <f t="shared" si="18"/>
        <v>7</v>
      </c>
      <c r="L42" s="563">
        <f>IF(AK38="","",COUNTIF(AE39:AE66,G42))</f>
        <v>1</v>
      </c>
      <c r="M42" s="563">
        <f>IF(AK38="","",COUNTIF(AF39:AG66,G42))</f>
        <v>2</v>
      </c>
      <c r="N42" s="563">
        <f>IF(AK38="","",COUNTIF(AH39:AH66,G42))</f>
        <v>4</v>
      </c>
      <c r="O42" s="563">
        <f>IF(AK38="","",SUMIF(V39:V66,G42,AB39:AB66)+SUMIF(Z39:Z66,G42,AD39:AD66))</f>
        <v>19</v>
      </c>
      <c r="P42" s="563">
        <f>IF(AK38="","",SUMIF(V39:V66,G42,AD39:AD66)+SUMIF(Z39:Z66,G42,AB39:AB66))</f>
        <v>21</v>
      </c>
      <c r="Q42" s="564">
        <f>IF(AK38="","",O42-P42)</f>
        <v>-2</v>
      </c>
      <c r="R42" s="558" t="s">
        <v>1726</v>
      </c>
      <c r="S42" s="615">
        <v>0.35416666666666669</v>
      </c>
      <c r="T42" s="619"/>
      <c r="U42" s="1503"/>
      <c r="V42" s="487" t="str">
        <f>IF(G43="","",G43)</f>
        <v>Jean-François BALARD (puy)</v>
      </c>
      <c r="W42" s="488">
        <v>1</v>
      </c>
      <c r="X42" s="489" t="s">
        <v>769</v>
      </c>
      <c r="Y42" s="488">
        <v>3</v>
      </c>
      <c r="Z42" s="490" t="str">
        <f>IF(G44="","",G44)</f>
        <v>Audrey HERBAUT (chp)</v>
      </c>
      <c r="AA42" s="839"/>
      <c r="AB42" s="1459">
        <f t="shared" si="19"/>
        <v>1</v>
      </c>
      <c r="AC42" s="1460" t="str">
        <f t="shared" si="20"/>
        <v>-</v>
      </c>
      <c r="AD42" s="1459">
        <f t="shared" si="21"/>
        <v>3</v>
      </c>
      <c r="AE42" s="968" t="str">
        <f t="shared" si="22"/>
        <v>Audrey HERBAUT (chp)</v>
      </c>
      <c r="AF42" s="968" t="str">
        <f t="shared" si="23"/>
        <v/>
      </c>
      <c r="AG42" s="968" t="str">
        <f t="shared" si="24"/>
        <v/>
      </c>
      <c r="AH42" s="968" t="str">
        <f t="shared" si="25"/>
        <v>Jean-François BALARD (puy)</v>
      </c>
      <c r="AI42" s="968" t="str">
        <f t="shared" si="26"/>
        <v>Audrey HERBAUT (chp)Jean-François BALARD (puy)</v>
      </c>
      <c r="AJ42" s="968"/>
      <c r="AK42" s="968">
        <f>IF(AK38="","",SMALL(C39:C46,4))</f>
        <v>4045</v>
      </c>
      <c r="AL42" s="270"/>
      <c r="AM42" s="270"/>
      <c r="AN42" s="545">
        <f>IF(AK38="","",INT(AK42/1000))</f>
        <v>4</v>
      </c>
      <c r="AO42" s="510" t="str">
        <f>IF(AK38="",IF(HidePlayerFormulas,"","("&amp;G42&amp;")"),VLOOKUP(AK42,C39:Q46,5,FALSE))</f>
        <v>Quentin AUSSET (chp)</v>
      </c>
      <c r="AP42" s="511">
        <f>VLOOKUP(AK42,C39:Q46,8,FALSE)</f>
        <v>9</v>
      </c>
      <c r="AQ42" s="511">
        <f>VLOOKUP(AK42,C39:Q46,9,FALSE)</f>
        <v>7</v>
      </c>
      <c r="AR42" s="511">
        <f>VLOOKUP(AK42,C39:Q46,10,FALSE)</f>
        <v>3</v>
      </c>
      <c r="AS42" s="511">
        <f>VLOOKUP(AK42,C39:Q46,11,FALSE)</f>
        <v>0</v>
      </c>
      <c r="AT42" s="511">
        <f>VLOOKUP(AK42,C39:Q46,12,FALSE)</f>
        <v>4</v>
      </c>
      <c r="AU42" s="511">
        <f>VLOOKUP(AK42,C39:Q46,13,FALSE)</f>
        <v>16</v>
      </c>
      <c r="AV42" s="511">
        <f>VLOOKUP(AK42,C39:Q46,14,FALSE)</f>
        <v>18</v>
      </c>
      <c r="AW42" s="512">
        <f>VLOOKUP(AK42,C39:Q46,15,FALSE)</f>
        <v>-2</v>
      </c>
      <c r="AX42" s="546">
        <f>IF(W63="","",IF(AO42=V63,W63,IF(AO42=Z63,Y63,"")))</f>
        <v>3</v>
      </c>
      <c r="AY42" s="521" t="str">
        <f>IF(W64="","",IF(AO42=V64,W64,IF(AO42=Z64,Y64,"")))</f>
        <v/>
      </c>
      <c r="AZ42" s="521" t="str">
        <f>IF(W65="","",IF(AO42=V65,W65,IF(AO42=Z65,Y65,"")))</f>
        <v/>
      </c>
      <c r="BA42" s="521" t="str">
        <f>IF(W66="","",IF(AO42=V66,W66,IF(AO42=Z66,Y66,"")))</f>
        <v/>
      </c>
      <c r="BB42" s="521" t="str">
        <f>IF(W59="","",IF(AO42=V59,W59,IF(AO42=Z59,Y59,"")))</f>
        <v/>
      </c>
      <c r="BC42" s="521" t="str">
        <f>IF(W60="","",IF(AO42=V60,W60,IF(AO42=Z60,Y60,"")))</f>
        <v/>
      </c>
      <c r="BD42" s="521" t="str">
        <f>IF(W61="","",IF(AO42=V61,W61,IF(AO42=Z61,Y61,"")))</f>
        <v/>
      </c>
      <c r="BE42" s="521">
        <f>IF(W62="","",IF(AO42=V62,W62,IF(AO42=Z62,Y62,"")))</f>
        <v>1</v>
      </c>
      <c r="BF42" s="521" t="str">
        <f>IF(W55="","",IF(AO42=V55,W55,IF(AO42=Z55,Y55,"")))</f>
        <v/>
      </c>
      <c r="BG42" s="521" t="str">
        <f>IF(W56="","",IF(AO42=V56,W56,IF(AO42=Z56,Y56,"")))</f>
        <v/>
      </c>
      <c r="BH42" s="521">
        <f>IF(W57="","",IF(AO42=V57,W57,IF(AO42=Z57,Y57,"")))</f>
        <v>3</v>
      </c>
      <c r="BI42" s="521" t="str">
        <f>IF(W58="","",IF(AO42=V58,W58,IF(AO42=Z58,Y58,"")))</f>
        <v/>
      </c>
      <c r="BJ42" s="521" t="str">
        <f>IF(W51="","",IF(AO42=V51,W51,IF(AO42=Z51,Y51,"")))</f>
        <v/>
      </c>
      <c r="BK42" s="521" t="str">
        <f>IF(W52="","",IF(AO42=V52,W52,IF(AO42=Z52,Y52,"")))</f>
        <v/>
      </c>
      <c r="BL42" s="521" t="str">
        <f>IF(W53="","",IF(AO42=V53,W53,IF(AO42=Z53,Y53,"")))</f>
        <v/>
      </c>
      <c r="BM42" s="521">
        <f>IF(W54="","",IF(AO42=V54,W54,IF(AO42=Z54,Y54,"")))</f>
        <v>1</v>
      </c>
      <c r="BN42" s="521" t="str">
        <f>IF(W47="","",IF(AO42=V47,W47,IF(AO42=Z47,Y47,"")))</f>
        <v/>
      </c>
      <c r="BO42" s="521" t="str">
        <f>IF(W48="","",IF(AO42=V48,W48,IF(AO42=Z48,Y48,"")))</f>
        <v/>
      </c>
      <c r="BP42" s="521">
        <f>IF(W49="","",IF(AO42=V49,W49,IF(AO42=Z49,Y49,"")))</f>
        <v>2</v>
      </c>
      <c r="BQ42" s="521" t="str">
        <f>IF(W50="","",IF(AO42=V50,W50,IF(AO42=Z50,Y50,"")))</f>
        <v/>
      </c>
      <c r="BR42" s="521" t="str">
        <f>IF(W43="","",IF(AO42=V43,W43,IF(AO42=Z43,Y43,"")))</f>
        <v/>
      </c>
      <c r="BS42" s="521" t="str">
        <f>IF(W44="","",IF(AO42=V44,W44,IF(AO42=Z44,Y44,"")))</f>
        <v/>
      </c>
      <c r="BT42" s="521" t="str">
        <f>IF(W45="","",IF(AO42=V45,W45,IF(AO42=Z45,Y45,"")))</f>
        <v/>
      </c>
      <c r="BU42" s="521">
        <f>IF(W46="","",IF(AO42=V46,W46,IF(AO42=Z46,Y46,"")))</f>
        <v>3</v>
      </c>
      <c r="BV42" s="521" t="str">
        <f>IF(W39="","",IF(AO42=V39,W39,IF(AO42=Z39,Y39,"")))</f>
        <v/>
      </c>
      <c r="BW42" s="521" t="str">
        <f>IF(W40="","",IF(AO42=V40,W40,IF(AO42=Z40,Y40,"")))</f>
        <v/>
      </c>
      <c r="BX42" s="521">
        <f>IF(W41="","",IF(AO42=V41,W41,IF(AO42=Z41,Y41,"")))</f>
        <v>3</v>
      </c>
      <c r="BY42" s="522" t="str">
        <f>IF(W42="","",IF(AO42=V42,W42,IF(AO42=Z42,Y42,"")))</f>
        <v/>
      </c>
      <c r="BZ42" s="1395" t="b">
        <f t="shared" si="27"/>
        <v>0</v>
      </c>
      <c r="CA42" s="1450" t="b">
        <f t="shared" si="28"/>
        <v>0</v>
      </c>
      <c r="CB42" s="1450" t="b">
        <f t="shared" si="29"/>
        <v>0</v>
      </c>
      <c r="CC42" s="270"/>
      <c r="CD42" s="270"/>
      <c r="CE42"/>
    </row>
    <row r="43" spans="1:83" outlineLevel="1" x14ac:dyDescent="0.2">
      <c r="A43" s="270"/>
      <c r="B43" s="545">
        <v>5</v>
      </c>
      <c r="C43" s="560">
        <f>IF(AK38="","",RANK(F43,F39:F46)*1000+ROW())</f>
        <v>8043</v>
      </c>
      <c r="D43" s="561">
        <f t="shared" si="15"/>
        <v>40000000000</v>
      </c>
      <c r="E43" s="561">
        <f>IF(L43="","",Nb_Diff_Part(D43,D39:D46,G43,G39:G46,AI39:AI66)*CritClassInd_DiffPart+Nb_Goal_Part(D43,D39:D46,G43,G39:G46,V39:Z66)*CritClassInd_GoalPart+Nb_Score_Part(D43,D39:D46,G43,G39:G46,V39:Z66)*CritClassInd_ScorePart)</f>
        <v>0</v>
      </c>
      <c r="F43" s="562">
        <f t="shared" si="16"/>
        <v>39999999517</v>
      </c>
      <c r="G43" s="477" t="s">
        <v>18261</v>
      </c>
      <c r="H43" s="501">
        <f t="shared" si="17"/>
        <v>0</v>
      </c>
      <c r="I43" s="502"/>
      <c r="J43" s="560">
        <f>IF(AK38="","",(L43*Points_Victoire)+M43*Points_Null)</f>
        <v>4</v>
      </c>
      <c r="K43" s="563">
        <f t="shared" si="18"/>
        <v>7</v>
      </c>
      <c r="L43" s="563">
        <f>IF(AK38="","",COUNTIF(AE39:AE66,G43))</f>
        <v>1</v>
      </c>
      <c r="M43" s="563">
        <f>IF(AK38="","",COUNTIF(AF39:AG66,G43))</f>
        <v>1</v>
      </c>
      <c r="N43" s="563">
        <f>IF(AK38="","",COUNTIF(AH39:AH66,G43))</f>
        <v>5</v>
      </c>
      <c r="O43" s="563">
        <f>IF(AK38="","",SUMIF(V39:V66,G43,AB39:AB66)+SUMIF(Z39:Z66,G43,AD39:AD66))</f>
        <v>17</v>
      </c>
      <c r="P43" s="563">
        <f>IF(AK38="","",SUMIF(V39:V66,G43,AD39:AD66)+SUMIF(Z39:Z66,G43,AB39:AB66))</f>
        <v>22</v>
      </c>
      <c r="Q43" s="564">
        <f>IF(AK38="","",O43-P43)</f>
        <v>-5</v>
      </c>
      <c r="R43" s="558" t="s">
        <v>1727</v>
      </c>
      <c r="S43" s="611">
        <v>0.3888888888888889</v>
      </c>
      <c r="T43" s="617"/>
      <c r="U43" s="1502"/>
      <c r="V43" s="479" t="str">
        <f>IF(G39="","",G39)</f>
        <v>Stéphane POMMIER (cae)</v>
      </c>
      <c r="W43" s="480">
        <v>4</v>
      </c>
      <c r="X43" s="481" t="s">
        <v>769</v>
      </c>
      <c r="Y43" s="480">
        <v>3</v>
      </c>
      <c r="Z43" s="482" t="str">
        <f>IF(G43="","",G43)</f>
        <v>Jean-François BALARD (puy)</v>
      </c>
      <c r="AA43" s="839"/>
      <c r="AB43" s="1459">
        <f t="shared" si="19"/>
        <v>4</v>
      </c>
      <c r="AC43" s="1460" t="str">
        <f t="shared" si="20"/>
        <v>-</v>
      </c>
      <c r="AD43" s="1459">
        <f t="shared" si="21"/>
        <v>3</v>
      </c>
      <c r="AE43" s="968" t="str">
        <f t="shared" si="22"/>
        <v>Stéphane POMMIER (cae)</v>
      </c>
      <c r="AF43" s="968" t="str">
        <f t="shared" si="23"/>
        <v/>
      </c>
      <c r="AG43" s="968" t="str">
        <f t="shared" si="24"/>
        <v/>
      </c>
      <c r="AH43" s="968" t="str">
        <f t="shared" si="25"/>
        <v>Jean-François BALARD (puy)</v>
      </c>
      <c r="AI43" s="968" t="str">
        <f t="shared" si="26"/>
        <v>Stéphane POMMIER (cae)Jean-François BALARD (puy)</v>
      </c>
      <c r="AJ43" s="968"/>
      <c r="AK43" s="968">
        <f>IF(AK38="","",SMALL(C39:C46,5))</f>
        <v>5044</v>
      </c>
      <c r="AL43" s="270"/>
      <c r="AM43" s="270"/>
      <c r="AN43" s="545">
        <f>IF(AK38="","",INT(AK43/1000))</f>
        <v>5</v>
      </c>
      <c r="AO43" s="510" t="str">
        <f>IF(AK38="",IF(HidePlayerFormulas,"","("&amp;G43&amp;")"),VLOOKUP(AK43,C39:Q46,5,FALSE))</f>
        <v>Audrey HERBAUT (chp)</v>
      </c>
      <c r="AP43" s="511">
        <f>VLOOKUP(AK43,C39:Q46,8,FALSE)</f>
        <v>9</v>
      </c>
      <c r="AQ43" s="511">
        <f>VLOOKUP(AK43,C39:Q46,9,FALSE)</f>
        <v>7</v>
      </c>
      <c r="AR43" s="511">
        <f>VLOOKUP(AK43,C39:Q46,10,FALSE)</f>
        <v>2</v>
      </c>
      <c r="AS43" s="511">
        <f>VLOOKUP(AK43,C39:Q46,11,FALSE)</f>
        <v>3</v>
      </c>
      <c r="AT43" s="511">
        <f>VLOOKUP(AK43,C39:Q46,12,FALSE)</f>
        <v>2</v>
      </c>
      <c r="AU43" s="511">
        <f>VLOOKUP(AK43,C39:Q46,13,FALSE)</f>
        <v>18</v>
      </c>
      <c r="AV43" s="511">
        <f>VLOOKUP(AK43,C39:Q46,14,FALSE)</f>
        <v>17</v>
      </c>
      <c r="AW43" s="512">
        <f>VLOOKUP(AK43,C39:Q46,15,FALSE)</f>
        <v>1</v>
      </c>
      <c r="AX43" s="546" t="str">
        <f>IF(W63="","",IF(AO43=V63,W63,IF(AO43=Z63,Y63,"")))</f>
        <v/>
      </c>
      <c r="AY43" s="521">
        <f>IF(W64="","",IF(AO43=V64,W64,IF(AO43=Z64,Y64,"")))</f>
        <v>3</v>
      </c>
      <c r="AZ43" s="521" t="str">
        <f>IF(W65="","",IF(AO43=V65,W65,IF(AO43=Z65,Y65,"")))</f>
        <v/>
      </c>
      <c r="BA43" s="521" t="str">
        <f>IF(W66="","",IF(AO43=V66,W66,IF(AO43=Z66,Y66,"")))</f>
        <v/>
      </c>
      <c r="BB43" s="521" t="str">
        <f>IF(W59="","",IF(AO43=V59,W59,IF(AO43=Z59,Y59,"")))</f>
        <v/>
      </c>
      <c r="BC43" s="521" t="str">
        <f>IF(W60="","",IF(AO43=V60,W60,IF(AO43=Z60,Y60,"")))</f>
        <v/>
      </c>
      <c r="BD43" s="521">
        <f>IF(W61="","",IF(AO43=V61,W61,IF(AO43=Z61,Y61,"")))</f>
        <v>2</v>
      </c>
      <c r="BE43" s="521" t="str">
        <f>IF(W62="","",IF(AO43=V62,W62,IF(AO43=Z62,Y62,"")))</f>
        <v/>
      </c>
      <c r="BF43" s="521" t="str">
        <f>IF(W55="","",IF(AO43=V55,W55,IF(AO43=Z55,Y55,"")))</f>
        <v/>
      </c>
      <c r="BG43" s="521" t="str">
        <f>IF(W56="","",IF(AO43=V56,W56,IF(AO43=Z56,Y56,"")))</f>
        <v/>
      </c>
      <c r="BH43" s="521" t="str">
        <f>IF(W57="","",IF(AO43=V57,W57,IF(AO43=Z57,Y57,"")))</f>
        <v/>
      </c>
      <c r="BI43" s="521">
        <f>IF(W58="","",IF(AO43=V58,W58,IF(AO43=Z58,Y58,"")))</f>
        <v>3</v>
      </c>
      <c r="BJ43" s="521" t="str">
        <f>IF(W51="","",IF(AO43=V51,W51,IF(AO43=Z51,Y51,"")))</f>
        <v/>
      </c>
      <c r="BK43" s="521">
        <f>IF(W52="","",IF(AO43=V52,W52,IF(AO43=Z52,Y52,"")))</f>
        <v>3</v>
      </c>
      <c r="BL43" s="521" t="str">
        <f>IF(W53="","",IF(AO43=V53,W53,IF(AO43=Z53,Y53,"")))</f>
        <v/>
      </c>
      <c r="BM43" s="521" t="str">
        <f>IF(W54="","",IF(AO43=V54,W54,IF(AO43=Z54,Y54,"")))</f>
        <v/>
      </c>
      <c r="BN43" s="521" t="str">
        <f>IF(W47="","",IF(AO43=V47,W47,IF(AO43=Z47,Y47,"")))</f>
        <v/>
      </c>
      <c r="BO43" s="521">
        <f>IF(W48="","",IF(AO43=V48,W48,IF(AO43=Z48,Y48,"")))</f>
        <v>3</v>
      </c>
      <c r="BP43" s="521" t="str">
        <f>IF(W49="","",IF(AO43=V49,W49,IF(AO43=Z49,Y49,"")))</f>
        <v/>
      </c>
      <c r="BQ43" s="521" t="str">
        <f>IF(W50="","",IF(AO43=V50,W50,IF(AO43=Z50,Y50,"")))</f>
        <v/>
      </c>
      <c r="BR43" s="521" t="str">
        <f>IF(W43="","",IF(AO43=V43,W43,IF(AO43=Z43,Y43,"")))</f>
        <v/>
      </c>
      <c r="BS43" s="521" t="str">
        <f>IF(W44="","",IF(AO43=V44,W44,IF(AO43=Z44,Y44,"")))</f>
        <v/>
      </c>
      <c r="BT43" s="521" t="str">
        <f>IF(W45="","",IF(AO43=V45,W45,IF(AO43=Z45,Y45,"")))</f>
        <v/>
      </c>
      <c r="BU43" s="521">
        <f>IF(W46="","",IF(AO43=V46,W46,IF(AO43=Z46,Y46,"")))</f>
        <v>1</v>
      </c>
      <c r="BV43" s="521" t="str">
        <f>IF(W39="","",IF(AO43=V39,W39,IF(AO43=Z39,Y39,"")))</f>
        <v/>
      </c>
      <c r="BW43" s="521" t="str">
        <f>IF(W40="","",IF(AO43=V40,W40,IF(AO43=Z40,Y40,"")))</f>
        <v/>
      </c>
      <c r="BX43" s="521" t="str">
        <f>IF(W41="","",IF(AO43=V41,W41,IF(AO43=Z41,Y41,"")))</f>
        <v/>
      </c>
      <c r="BY43" s="522">
        <f>IF(W42="","",IF(AO43=V42,W42,IF(AO43=Z42,Y42,"")))</f>
        <v>3</v>
      </c>
      <c r="BZ43" s="1395" t="b">
        <f t="shared" si="27"/>
        <v>0</v>
      </c>
      <c r="CA43" s="1450" t="b">
        <f t="shared" si="28"/>
        <v>0</v>
      </c>
      <c r="CB43" s="1450" t="b">
        <f t="shared" si="29"/>
        <v>0</v>
      </c>
      <c r="CC43" s="270"/>
      <c r="CD43" s="270"/>
      <c r="CE43"/>
    </row>
    <row r="44" spans="1:83" outlineLevel="1" x14ac:dyDescent="0.2">
      <c r="A44" s="270"/>
      <c r="B44" s="545">
        <v>6</v>
      </c>
      <c r="C44" s="560">
        <f>IF(AK38="","",RANK(F44,F39:F46)*1000+ROW())</f>
        <v>5044</v>
      </c>
      <c r="D44" s="561">
        <f t="shared" si="15"/>
        <v>90000000000</v>
      </c>
      <c r="E44" s="561">
        <f>IF(L44="","",Nb_Diff_Part(D44,D39:D46,G44,G39:G46,AI39:AI66)*CritClassInd_DiffPart+Nb_Goal_Part(D44,D39:D46,G44,G39:G46,V39:Z66)*CritClassInd_GoalPart+Nb_Score_Part(D44,D39:D46,G44,G39:G46,V39:Z66)*CritClassInd_ScorePart)</f>
        <v>-101990000</v>
      </c>
      <c r="F44" s="562">
        <f t="shared" si="16"/>
        <v>89898010118</v>
      </c>
      <c r="G44" s="477" t="s">
        <v>18264</v>
      </c>
      <c r="H44" s="501">
        <f t="shared" si="17"/>
        <v>0</v>
      </c>
      <c r="I44" s="502"/>
      <c r="J44" s="560">
        <f>IF(AK38="","",(L44*Points_Victoire)+M44*Points_Null)</f>
        <v>9</v>
      </c>
      <c r="K44" s="563">
        <f t="shared" si="18"/>
        <v>7</v>
      </c>
      <c r="L44" s="563">
        <f>IF(AK38="","",COUNTIF(AE39:AE66,G44))</f>
        <v>2</v>
      </c>
      <c r="M44" s="563">
        <f>IF(AK38="","",COUNTIF(AF39:AG66,G44))</f>
        <v>3</v>
      </c>
      <c r="N44" s="563">
        <f>IF(AK38="","",COUNTIF(AH39:AH66,G44))</f>
        <v>2</v>
      </c>
      <c r="O44" s="563">
        <f>IF(AK38="","",SUMIF(V39:V66,G44,AB39:AB66)+SUMIF(Z39:Z66,G44,AD39:AD66))</f>
        <v>18</v>
      </c>
      <c r="P44" s="563">
        <f>IF(AK38="","",SUMIF(V39:V66,G44,AD39:AD66)+SUMIF(Z39:Z66,G44,AB39:AB66))</f>
        <v>17</v>
      </c>
      <c r="Q44" s="564">
        <f>IF(AK38="","",O44-P44)</f>
        <v>1</v>
      </c>
      <c r="R44" s="558" t="s">
        <v>1727</v>
      </c>
      <c r="S44" s="613">
        <v>0.3888888888888889</v>
      </c>
      <c r="T44" s="618"/>
      <c r="U44" s="1504"/>
      <c r="V44" s="483" t="str">
        <f>IF(G40="","",G40)</f>
        <v>Jean-Marie AMBERNY (iss)</v>
      </c>
      <c r="W44" s="484">
        <v>3</v>
      </c>
      <c r="X44" s="485" t="s">
        <v>769</v>
      </c>
      <c r="Y44" s="484">
        <v>3</v>
      </c>
      <c r="Z44" s="486" t="str">
        <f>IF(G42="","",G42)</f>
        <v>Axel DONVAL (iss)</v>
      </c>
      <c r="AA44" s="839"/>
      <c r="AB44" s="1459">
        <f t="shared" si="19"/>
        <v>3</v>
      </c>
      <c r="AC44" s="1460" t="str">
        <f t="shared" si="20"/>
        <v>-</v>
      </c>
      <c r="AD44" s="1459">
        <f t="shared" si="21"/>
        <v>3</v>
      </c>
      <c r="AE44" s="968" t="str">
        <f t="shared" si="22"/>
        <v/>
      </c>
      <c r="AF44" s="968" t="str">
        <f t="shared" si="23"/>
        <v>Jean-Marie AMBERNY (iss)</v>
      </c>
      <c r="AG44" s="968" t="str">
        <f t="shared" si="24"/>
        <v>Axel DONVAL (iss)</v>
      </c>
      <c r="AH44" s="968" t="str">
        <f t="shared" si="25"/>
        <v/>
      </c>
      <c r="AI44" s="968" t="str">
        <f t="shared" si="26"/>
        <v/>
      </c>
      <c r="AJ44" s="968"/>
      <c r="AK44" s="968">
        <f>IF(AK38="","",SMALL(C39:C46,6))</f>
        <v>6040</v>
      </c>
      <c r="AL44" s="270"/>
      <c r="AM44" s="270"/>
      <c r="AN44" s="545">
        <f>IF(AK38="","",INT(AK44/1000))</f>
        <v>6</v>
      </c>
      <c r="AO44" s="510" t="str">
        <f>IF(AK38="",IF(HidePlayerFormulas,"","("&amp;G44&amp;")"),VLOOKUP(AK44,C39:Q46,5,FALSE))</f>
        <v>Jean-Marie AMBERNY (iss)</v>
      </c>
      <c r="AP44" s="511">
        <f>VLOOKUP(AK44,C39:Q46,8,FALSE)</f>
        <v>8</v>
      </c>
      <c r="AQ44" s="511">
        <f>VLOOKUP(AK44,C39:Q46,9,FALSE)</f>
        <v>7</v>
      </c>
      <c r="AR44" s="511">
        <f>VLOOKUP(AK44,C39:Q46,10,FALSE)</f>
        <v>1</v>
      </c>
      <c r="AS44" s="511">
        <f>VLOOKUP(AK44,C39:Q46,11,FALSE)</f>
        <v>5</v>
      </c>
      <c r="AT44" s="511">
        <f>VLOOKUP(AK44,C39:Q46,12,FALSE)</f>
        <v>1</v>
      </c>
      <c r="AU44" s="511">
        <f>VLOOKUP(AK44,C39:Q46,13,FALSE)</f>
        <v>22</v>
      </c>
      <c r="AV44" s="511">
        <f>VLOOKUP(AK44,C39:Q46,14,FALSE)</f>
        <v>22</v>
      </c>
      <c r="AW44" s="512">
        <f>VLOOKUP(AK44,C39:Q46,15,FALSE)</f>
        <v>0</v>
      </c>
      <c r="AX44" s="546">
        <f>IF(W63="","",IF(AO44=V63,W63,IF(AO44=Z63,Y63,"")))</f>
        <v>4</v>
      </c>
      <c r="AY44" s="521" t="str">
        <f>IF(W64="","",IF(AO44=V64,W64,IF(AO44=Z64,Y64,"")))</f>
        <v/>
      </c>
      <c r="AZ44" s="521" t="str">
        <f>IF(W65="","",IF(AO44=V65,W65,IF(AO44=Z65,Y65,"")))</f>
        <v/>
      </c>
      <c r="BA44" s="521" t="str">
        <f>IF(W66="","",IF(AO44=V66,W66,IF(AO44=Z66,Y66,"")))</f>
        <v/>
      </c>
      <c r="BB44" s="521" t="str">
        <f>IF(W59="","",IF(AO44=V59,W59,IF(AO44=Z59,Y59,"")))</f>
        <v/>
      </c>
      <c r="BC44" s="521">
        <f>IF(W60="","",IF(AO44=V60,W60,IF(AO44=Z60,Y60,"")))</f>
        <v>3</v>
      </c>
      <c r="BD44" s="521" t="str">
        <f>IF(W61="","",IF(AO44=V61,W61,IF(AO44=Z61,Y61,"")))</f>
        <v/>
      </c>
      <c r="BE44" s="521" t="str">
        <f>IF(W62="","",IF(AO44=V62,W62,IF(AO44=Z62,Y62,"")))</f>
        <v/>
      </c>
      <c r="BF44" s="521" t="str">
        <f>IF(W55="","",IF(AO44=V55,W55,IF(AO44=Z55,Y55,"")))</f>
        <v/>
      </c>
      <c r="BG44" s="521">
        <f>IF(W56="","",IF(AO44=V56,W56,IF(AO44=Z56,Y56,"")))</f>
        <v>3</v>
      </c>
      <c r="BH44" s="521" t="str">
        <f>IF(W57="","",IF(AO44=V57,W57,IF(AO44=Z57,Y57,"")))</f>
        <v/>
      </c>
      <c r="BI44" s="521" t="str">
        <f>IF(W58="","",IF(AO44=V58,W58,IF(AO44=Z58,Y58,"")))</f>
        <v/>
      </c>
      <c r="BJ44" s="521">
        <f>IF(W51="","",IF(AO44=V51,W51,IF(AO44=Z51,Y51,"")))</f>
        <v>3</v>
      </c>
      <c r="BK44" s="521" t="str">
        <f>IF(W52="","",IF(AO44=V52,W52,IF(AO44=Z52,Y52,"")))</f>
        <v/>
      </c>
      <c r="BL44" s="521" t="str">
        <f>IF(W53="","",IF(AO44=V53,W53,IF(AO44=Z53,Y53,"")))</f>
        <v/>
      </c>
      <c r="BM44" s="521" t="str">
        <f>IF(W54="","",IF(AO44=V54,W54,IF(AO44=Z54,Y54,"")))</f>
        <v/>
      </c>
      <c r="BN44" s="521" t="str">
        <f>IF(W47="","",IF(AO44=V47,W47,IF(AO44=Z47,Y47,"")))</f>
        <v/>
      </c>
      <c r="BO44" s="521">
        <f>IF(W48="","",IF(AO44=V48,W48,IF(AO44=Z48,Y48,"")))</f>
        <v>3</v>
      </c>
      <c r="BP44" s="521" t="str">
        <f>IF(W49="","",IF(AO44=V49,W49,IF(AO44=Z49,Y49,"")))</f>
        <v/>
      </c>
      <c r="BQ44" s="521" t="str">
        <f>IF(W50="","",IF(AO44=V50,W50,IF(AO44=Z50,Y50,"")))</f>
        <v/>
      </c>
      <c r="BR44" s="521" t="str">
        <f>IF(W43="","",IF(AO44=V43,W43,IF(AO44=Z43,Y43,"")))</f>
        <v/>
      </c>
      <c r="BS44" s="521">
        <f>IF(W44="","",IF(AO44=V44,W44,IF(AO44=Z44,Y44,"")))</f>
        <v>3</v>
      </c>
      <c r="BT44" s="521" t="str">
        <f>IF(W45="","",IF(AO44=V45,W45,IF(AO44=Z45,Y45,"")))</f>
        <v/>
      </c>
      <c r="BU44" s="521" t="str">
        <f>IF(W46="","",IF(AO44=V46,W46,IF(AO44=Z46,Y46,"")))</f>
        <v/>
      </c>
      <c r="BV44" s="521" t="str">
        <f>IF(W39="","",IF(AO44=V39,W39,IF(AO44=Z39,Y39,"")))</f>
        <v/>
      </c>
      <c r="BW44" s="521">
        <f>IF(W40="","",IF(AO44=V40,W40,IF(AO44=Z40,Y40,"")))</f>
        <v>3</v>
      </c>
      <c r="BX44" s="521" t="str">
        <f>IF(W41="","",IF(AO44=V41,W41,IF(AO44=Z41,Y41,"")))</f>
        <v/>
      </c>
      <c r="BY44" s="522" t="str">
        <f>IF(W42="","",IF(AO44=V42,W42,IF(AO44=Z42,Y42,"")))</f>
        <v/>
      </c>
      <c r="BZ44" s="1395" t="b">
        <f t="shared" si="27"/>
        <v>0</v>
      </c>
      <c r="CA44" s="1450" t="b">
        <f t="shared" si="28"/>
        <v>0</v>
      </c>
      <c r="CB44" s="1450" t="b">
        <f t="shared" si="29"/>
        <v>0</v>
      </c>
      <c r="CC44" s="270"/>
      <c r="CD44" s="270"/>
      <c r="CE44"/>
    </row>
    <row r="45" spans="1:83" outlineLevel="1" x14ac:dyDescent="0.2">
      <c r="A45" s="270"/>
      <c r="B45" s="545">
        <v>7</v>
      </c>
      <c r="C45" s="560">
        <f>IF(AK38="","",RANK(F45,F39:F46)*1000+ROW())</f>
        <v>4045</v>
      </c>
      <c r="D45" s="561">
        <f t="shared" si="15"/>
        <v>90000000000</v>
      </c>
      <c r="E45" s="561">
        <f>IF(L45="","",Nb_Diff_Part(D45,D39:D46,G45,G39:G46,AI39:AI66)*CritClassInd_DiffPart+Nb_Goal_Part(D45,D39:D46,G45,G39:G46,V39:Z66)*CritClassInd_GoalPart+Nb_Score_Part(D45,D39:D46,G45,G39:G46,V39:Z66)*CritClassInd_ScorePart)</f>
        <v>102030000</v>
      </c>
      <c r="F45" s="562">
        <f t="shared" si="16"/>
        <v>90102029816</v>
      </c>
      <c r="G45" s="477" t="s">
        <v>18267</v>
      </c>
      <c r="H45" s="501">
        <f t="shared" si="17"/>
        <v>0</v>
      </c>
      <c r="I45" s="502"/>
      <c r="J45" s="560">
        <f>IF(AK38="","",(L45*Points_Victoire)+M45*Points_Null)</f>
        <v>9</v>
      </c>
      <c r="K45" s="563">
        <f t="shared" si="18"/>
        <v>7</v>
      </c>
      <c r="L45" s="563">
        <f>IF(AK38="","",COUNTIF(AE39:AE66,G45))</f>
        <v>3</v>
      </c>
      <c r="M45" s="563">
        <f>IF(AK38="","",COUNTIF(AF39:AG66,G45))</f>
        <v>0</v>
      </c>
      <c r="N45" s="563">
        <f>IF(AK38="","",COUNTIF(AH39:AH66,G45))</f>
        <v>4</v>
      </c>
      <c r="O45" s="563">
        <f>IF(AK38="","",SUMIF(V39:V66,G45,AB39:AB66)+SUMIF(Z39:Z66,G45,AD39:AD66))</f>
        <v>16</v>
      </c>
      <c r="P45" s="563">
        <f>IF(AK38="","",SUMIF(V39:V66,G45,AD39:AD66)+SUMIF(Z39:Z66,G45,AB39:AB66))</f>
        <v>18</v>
      </c>
      <c r="Q45" s="564">
        <f>IF(AK38="","",O45-P45)</f>
        <v>-2</v>
      </c>
      <c r="R45" s="558" t="s">
        <v>1727</v>
      </c>
      <c r="S45" s="613">
        <v>0.3888888888888889</v>
      </c>
      <c r="T45" s="618"/>
      <c r="U45" s="1504"/>
      <c r="V45" s="483" t="str">
        <f>IF(G41="","",G41)</f>
        <v>Emmanuel GORGETTE (iss)</v>
      </c>
      <c r="W45" s="484">
        <v>2</v>
      </c>
      <c r="X45" s="485" t="s">
        <v>769</v>
      </c>
      <c r="Y45" s="484">
        <v>3</v>
      </c>
      <c r="Z45" s="486" t="str">
        <f>IF(G46="","",G46)</f>
        <v>Mickaël BLANC (sym)</v>
      </c>
      <c r="AA45" s="839"/>
      <c r="AB45" s="1459">
        <f t="shared" si="19"/>
        <v>2</v>
      </c>
      <c r="AC45" s="1460" t="str">
        <f t="shared" si="20"/>
        <v>-</v>
      </c>
      <c r="AD45" s="1459">
        <f t="shared" si="21"/>
        <v>3</v>
      </c>
      <c r="AE45" s="968" t="str">
        <f t="shared" si="22"/>
        <v>Mickaël BLANC (sym)</v>
      </c>
      <c r="AF45" s="968" t="str">
        <f t="shared" si="23"/>
        <v/>
      </c>
      <c r="AG45" s="968" t="str">
        <f t="shared" si="24"/>
        <v/>
      </c>
      <c r="AH45" s="968" t="str">
        <f t="shared" si="25"/>
        <v>Emmanuel GORGETTE (iss)</v>
      </c>
      <c r="AI45" s="968" t="str">
        <f t="shared" si="26"/>
        <v>Mickaël BLANC (sym)Emmanuel GORGETTE (iss)</v>
      </c>
      <c r="AJ45" s="968"/>
      <c r="AK45" s="968">
        <f>IF(AK38="","",SMALL(C39:C46,7))</f>
        <v>7042</v>
      </c>
      <c r="AL45" s="270"/>
      <c r="AM45" s="270"/>
      <c r="AN45" s="545">
        <f>IF(AK38="","",INT(AK45/1000))</f>
        <v>7</v>
      </c>
      <c r="AO45" s="510" t="str">
        <f>IF(AK38="",IF(HidePlayerFormulas,"","("&amp;G45&amp;")"),VLOOKUP(AK45,C39:Q46,5,FALSE))</f>
        <v>Axel DONVAL (iss)</v>
      </c>
      <c r="AP45" s="511">
        <f>VLOOKUP(AK45,C39:Q46,8,FALSE)</f>
        <v>5</v>
      </c>
      <c r="AQ45" s="511">
        <f>VLOOKUP(AK45,C39:Q46,9,FALSE)</f>
        <v>7</v>
      </c>
      <c r="AR45" s="511">
        <f>VLOOKUP(AK45,C39:Q46,10,FALSE)</f>
        <v>1</v>
      </c>
      <c r="AS45" s="511">
        <f>VLOOKUP(AK45,C39:Q46,11,FALSE)</f>
        <v>2</v>
      </c>
      <c r="AT45" s="511">
        <f>VLOOKUP(AK45,C39:Q46,12,FALSE)</f>
        <v>4</v>
      </c>
      <c r="AU45" s="511">
        <f>VLOOKUP(AK45,C39:Q46,13,FALSE)</f>
        <v>19</v>
      </c>
      <c r="AV45" s="511">
        <f>VLOOKUP(AK45,C39:Q46,14,FALSE)</f>
        <v>21</v>
      </c>
      <c r="AW45" s="512">
        <f>VLOOKUP(AK45,C39:Q46,15,FALSE)</f>
        <v>-2</v>
      </c>
      <c r="AX45" s="546" t="str">
        <f>IF(W63="","",IF(AO45=V63,W63,IF(AO45=Z63,Y63,"")))</f>
        <v/>
      </c>
      <c r="AY45" s="521" t="str">
        <f>IF(W64="","",IF(AO45=V64,W64,IF(AO45=Z64,Y64,"")))</f>
        <v/>
      </c>
      <c r="AZ45" s="521">
        <f>IF(W65="","",IF(AO45=V65,W65,IF(AO45=Z65,Y65,"")))</f>
        <v>2</v>
      </c>
      <c r="BA45" s="521" t="str">
        <f>IF(W66="","",IF(AO45=V66,W66,IF(AO45=Z66,Y66,"")))</f>
        <v/>
      </c>
      <c r="BB45" s="521">
        <f>IF(W59="","",IF(AO45=V59,W59,IF(AO45=Z59,Y59,"")))</f>
        <v>3</v>
      </c>
      <c r="BC45" s="521" t="str">
        <f>IF(W60="","",IF(AO45=V60,W60,IF(AO45=Z60,Y60,"")))</f>
        <v/>
      </c>
      <c r="BD45" s="521" t="str">
        <f>IF(W61="","",IF(AO45=V61,W61,IF(AO45=Z61,Y61,"")))</f>
        <v/>
      </c>
      <c r="BE45" s="521" t="str">
        <f>IF(W62="","",IF(AO45=V62,W62,IF(AO45=Z62,Y62,"")))</f>
        <v/>
      </c>
      <c r="BF45" s="521">
        <f>IF(W55="","",IF(AO45=V55,W55,IF(AO45=Z55,Y55,"")))</f>
        <v>3</v>
      </c>
      <c r="BG45" s="521" t="str">
        <f>IF(W56="","",IF(AO45=V56,W56,IF(AO45=Z56,Y56,"")))</f>
        <v/>
      </c>
      <c r="BH45" s="521" t="str">
        <f>IF(W57="","",IF(AO45=V57,W57,IF(AO45=Z57,Y57,"")))</f>
        <v/>
      </c>
      <c r="BI45" s="521" t="str">
        <f>IF(W58="","",IF(AO45=V58,W58,IF(AO45=Z58,Y58,"")))</f>
        <v/>
      </c>
      <c r="BJ45" s="521" t="str">
        <f>IF(W51="","",IF(AO45=V51,W51,IF(AO45=Z51,Y51,"")))</f>
        <v/>
      </c>
      <c r="BK45" s="521">
        <f>IF(W52="","",IF(AO45=V52,W52,IF(AO45=Z52,Y52,"")))</f>
        <v>3</v>
      </c>
      <c r="BL45" s="521" t="str">
        <f>IF(W53="","",IF(AO45=V53,W53,IF(AO45=Z53,Y53,"")))</f>
        <v/>
      </c>
      <c r="BM45" s="521" t="str">
        <f>IF(W54="","",IF(AO45=V54,W54,IF(AO45=Z54,Y54,"")))</f>
        <v/>
      </c>
      <c r="BN45" s="521" t="str">
        <f>IF(W47="","",IF(AO45=V47,W47,IF(AO45=Z47,Y47,"")))</f>
        <v/>
      </c>
      <c r="BO45" s="521" t="str">
        <f>IF(W48="","",IF(AO45=V48,W48,IF(AO45=Z48,Y48,"")))</f>
        <v/>
      </c>
      <c r="BP45" s="521" t="str">
        <f>IF(W49="","",IF(AO45=V49,W49,IF(AO45=Z49,Y49,"")))</f>
        <v/>
      </c>
      <c r="BQ45" s="521">
        <f>IF(W50="","",IF(AO45=V50,W50,IF(AO45=Z50,Y50,"")))</f>
        <v>3</v>
      </c>
      <c r="BR45" s="521" t="str">
        <f>IF(W43="","",IF(AO45=V43,W43,IF(AO45=Z43,Y43,"")))</f>
        <v/>
      </c>
      <c r="BS45" s="521">
        <f>IF(W44="","",IF(AO45=V44,W44,IF(AO45=Z44,Y44,"")))</f>
        <v>3</v>
      </c>
      <c r="BT45" s="521" t="str">
        <f>IF(W45="","",IF(AO45=V45,W45,IF(AO45=Z45,Y45,"")))</f>
        <v/>
      </c>
      <c r="BU45" s="521" t="str">
        <f>IF(W46="","",IF(AO45=V46,W46,IF(AO45=Z46,Y46,"")))</f>
        <v/>
      </c>
      <c r="BV45" s="521" t="str">
        <f>IF(W39="","",IF(AO45=V39,W39,IF(AO45=Z39,Y39,"")))</f>
        <v/>
      </c>
      <c r="BW45" s="521" t="str">
        <f>IF(W40="","",IF(AO45=V40,W40,IF(AO45=Z40,Y40,"")))</f>
        <v/>
      </c>
      <c r="BX45" s="521">
        <f>IF(W41="","",IF(AO45=V41,W41,IF(AO45=Z41,Y41,"")))</f>
        <v>2</v>
      </c>
      <c r="BY45" s="522" t="str">
        <f>IF(W42="","",IF(AO45=V42,W42,IF(AO45=Z42,Y42,"")))</f>
        <v/>
      </c>
      <c r="BZ45" s="1395" t="b">
        <f t="shared" si="27"/>
        <v>0</v>
      </c>
      <c r="CA45" s="1450" t="b">
        <f t="shared" si="28"/>
        <v>0</v>
      </c>
      <c r="CB45" s="1450" t="b">
        <f t="shared" si="29"/>
        <v>0</v>
      </c>
      <c r="CC45" s="270"/>
      <c r="CD45" s="270"/>
      <c r="CE45"/>
    </row>
    <row r="46" spans="1:83" ht="13.5" outlineLevel="1" thickBot="1" x14ac:dyDescent="0.25">
      <c r="A46" s="270"/>
      <c r="B46" s="588">
        <v>8</v>
      </c>
      <c r="C46" s="565">
        <f>IF(AK38="","",RANK(F46,F39:F46)*1000+ROW())</f>
        <v>3046</v>
      </c>
      <c r="D46" s="566">
        <f t="shared" si="15"/>
        <v>100000000000</v>
      </c>
      <c r="E46" s="566">
        <f>IF(L46="","",Nb_Diff_Part(D46,D39:D46,G46,G39:G46,AI39:AI66)*CritClassInd_DiffPart+Nb_Goal_Part(D46,D39:D46,G46,G39:G46,V39:Z66)*CritClassInd_GoalPart+Nb_Score_Part(D46,D39:D46,G46,G39:G46,V39:Z66)*CritClassInd_ScorePart)</f>
        <v>0</v>
      </c>
      <c r="F46" s="567">
        <f t="shared" si="16"/>
        <v>99999999815</v>
      </c>
      <c r="G46" s="478" t="s">
        <v>18270</v>
      </c>
      <c r="H46" s="503">
        <f t="shared" si="17"/>
        <v>0</v>
      </c>
      <c r="I46" s="504"/>
      <c r="J46" s="585">
        <f>IF(AK38="","",(L46*Points_Victoire)+M46*Points_Null)</f>
        <v>10</v>
      </c>
      <c r="K46" s="586">
        <f t="shared" si="18"/>
        <v>7</v>
      </c>
      <c r="L46" s="586">
        <f>IF(AK38="","",COUNTIF(AE39:AE66,G46))</f>
        <v>3</v>
      </c>
      <c r="M46" s="586">
        <f>IF(AK38="","",COUNTIF(AF39:AG66,G46))</f>
        <v>1</v>
      </c>
      <c r="N46" s="586">
        <f>IF(AK38="","",COUNTIF(AH39:AH66,G46))</f>
        <v>3</v>
      </c>
      <c r="O46" s="586">
        <f>IF(AK38="","",SUMIF(V39:V66,G46,AB39:AB66)+SUMIF(Z39:Z66,G46,AD39:AD66))</f>
        <v>15</v>
      </c>
      <c r="P46" s="586">
        <f>IF(AK38="","",SUMIF(V39:V66,G46,AD39:AD66)+SUMIF(Z39:Z66,G46,AB39:AB66))</f>
        <v>17</v>
      </c>
      <c r="Q46" s="587">
        <f>IF(AK38="","",O46-P46)</f>
        <v>-2</v>
      </c>
      <c r="R46" s="558" t="s">
        <v>1727</v>
      </c>
      <c r="S46" s="615">
        <v>0.3888888888888889</v>
      </c>
      <c r="T46" s="619"/>
      <c r="U46" s="1503"/>
      <c r="V46" s="487" t="str">
        <f>IF(G44="","",G44)</f>
        <v>Audrey HERBAUT (chp)</v>
      </c>
      <c r="W46" s="488">
        <v>1</v>
      </c>
      <c r="X46" s="489" t="s">
        <v>769</v>
      </c>
      <c r="Y46" s="488">
        <v>3</v>
      </c>
      <c r="Z46" s="490" t="str">
        <f>IF(G45="","",G45)</f>
        <v>Quentin AUSSET (chp)</v>
      </c>
      <c r="AA46" s="839"/>
      <c r="AB46" s="1459">
        <f t="shared" si="19"/>
        <v>1</v>
      </c>
      <c r="AC46" s="1460" t="str">
        <f t="shared" si="20"/>
        <v>-</v>
      </c>
      <c r="AD46" s="1459">
        <f t="shared" si="21"/>
        <v>3</v>
      </c>
      <c r="AE46" s="968" t="str">
        <f t="shared" si="22"/>
        <v>Quentin AUSSET (chp)</v>
      </c>
      <c r="AF46" s="968" t="str">
        <f t="shared" si="23"/>
        <v/>
      </c>
      <c r="AG46" s="968" t="str">
        <f t="shared" si="24"/>
        <v/>
      </c>
      <c r="AH46" s="968" t="str">
        <f t="shared" si="25"/>
        <v>Audrey HERBAUT (chp)</v>
      </c>
      <c r="AI46" s="968" t="str">
        <f t="shared" si="26"/>
        <v>Quentin AUSSET (chp)Audrey HERBAUT (chp)</v>
      </c>
      <c r="AJ46" s="968"/>
      <c r="AK46" s="968">
        <f>IF(AK38="","",SMALL(C39:C46,8))</f>
        <v>8043</v>
      </c>
      <c r="AL46" s="270"/>
      <c r="AM46" s="270"/>
      <c r="AN46" s="547">
        <f>IF(AK38="","",INT(AK46/1000))</f>
        <v>8</v>
      </c>
      <c r="AO46" s="514" t="str">
        <f>IF(AK38="",IF(HidePlayerFormulas,"","("&amp;G46&amp;")"),VLOOKUP(AK46,C39:Q46,5,FALSE))</f>
        <v>Jean-François BALARD (puy)</v>
      </c>
      <c r="AP46" s="515">
        <f>VLOOKUP(AK46,C39:Q46,8,FALSE)</f>
        <v>4</v>
      </c>
      <c r="AQ46" s="515">
        <f>VLOOKUP(AK46,C39:Q46,9,FALSE)</f>
        <v>7</v>
      </c>
      <c r="AR46" s="515">
        <f>VLOOKUP(AK46,C39:Q46,10,FALSE)</f>
        <v>1</v>
      </c>
      <c r="AS46" s="515">
        <f>VLOOKUP(AK46,C39:Q46,11,FALSE)</f>
        <v>1</v>
      </c>
      <c r="AT46" s="515">
        <f>VLOOKUP(AK46,C39:Q46,12,FALSE)</f>
        <v>5</v>
      </c>
      <c r="AU46" s="515">
        <f>VLOOKUP(AK46,C39:Q46,13,FALSE)</f>
        <v>17</v>
      </c>
      <c r="AV46" s="515">
        <f>VLOOKUP(AK46,C39:Q46,14,FALSE)</f>
        <v>22</v>
      </c>
      <c r="AW46" s="516">
        <f>VLOOKUP(AK46,C39:Q46,15,FALSE)</f>
        <v>-5</v>
      </c>
      <c r="AX46" s="548" t="str">
        <f>IF(W63="","",IF(AO46=V63,W63,IF(AO46=Z63,Y63,"")))</f>
        <v/>
      </c>
      <c r="AY46" s="524" t="str">
        <f>IF(W64="","",IF(AO46=V64,W64,IF(AO46=Z64,Y64,"")))</f>
        <v/>
      </c>
      <c r="AZ46" s="524">
        <f>IF(W65="","",IF(AO46=V65,W65,IF(AO46=Z65,Y65,"")))</f>
        <v>3</v>
      </c>
      <c r="BA46" s="524" t="str">
        <f>IF(W66="","",IF(AO46=V66,W66,IF(AO46=Z66,Y66,"")))</f>
        <v/>
      </c>
      <c r="BB46" s="524" t="str">
        <f>IF(W59="","",IF(AO46=V59,W59,IF(AO46=Z59,Y59,"")))</f>
        <v/>
      </c>
      <c r="BC46" s="524">
        <f>IF(W60="","",IF(AO46=V60,W60,IF(AO46=Z60,Y60,"")))</f>
        <v>3</v>
      </c>
      <c r="BD46" s="524" t="str">
        <f>IF(W61="","",IF(AO46=V61,W61,IF(AO46=Z61,Y61,"")))</f>
        <v/>
      </c>
      <c r="BE46" s="524" t="str">
        <f>IF(W62="","",IF(AO46=V62,W62,IF(AO46=Z62,Y62,"")))</f>
        <v/>
      </c>
      <c r="BF46" s="524" t="str">
        <f>IF(W55="","",IF(AO46=V55,W55,IF(AO46=Z55,Y55,"")))</f>
        <v/>
      </c>
      <c r="BG46" s="524" t="str">
        <f>IF(W56="","",IF(AO46=V56,W56,IF(AO46=Z56,Y56,"")))</f>
        <v/>
      </c>
      <c r="BH46" s="524">
        <f>IF(W57="","",IF(AO46=V57,W57,IF(AO46=Z57,Y57,"")))</f>
        <v>2</v>
      </c>
      <c r="BI46" s="524" t="str">
        <f>IF(W58="","",IF(AO46=V58,W58,IF(AO46=Z58,Y58,"")))</f>
        <v/>
      </c>
      <c r="BJ46" s="524" t="str">
        <f>IF(W51="","",IF(AO46=V51,W51,IF(AO46=Z51,Y51,"")))</f>
        <v/>
      </c>
      <c r="BK46" s="524" t="str">
        <f>IF(W52="","",IF(AO46=V52,W52,IF(AO46=Z52,Y52,"")))</f>
        <v/>
      </c>
      <c r="BL46" s="524">
        <f>IF(W53="","",IF(AO46=V53,W53,IF(AO46=Z53,Y53,"")))</f>
        <v>2</v>
      </c>
      <c r="BM46" s="524" t="str">
        <f>IF(W54="","",IF(AO46=V54,W54,IF(AO46=Z54,Y54,"")))</f>
        <v/>
      </c>
      <c r="BN46" s="524">
        <f>IF(W47="","",IF(AO46=V47,W47,IF(AO46=Z47,Y47,"")))</f>
        <v>3</v>
      </c>
      <c r="BO46" s="524" t="str">
        <f>IF(W48="","",IF(AO46=V48,W48,IF(AO46=Z48,Y48,"")))</f>
        <v/>
      </c>
      <c r="BP46" s="524" t="str">
        <f>IF(W49="","",IF(AO46=V49,W49,IF(AO46=Z49,Y49,"")))</f>
        <v/>
      </c>
      <c r="BQ46" s="524" t="str">
        <f>IF(W50="","",IF(AO46=V50,W50,IF(AO46=Z50,Y50,"")))</f>
        <v/>
      </c>
      <c r="BR46" s="524">
        <f>IF(W43="","",IF(AO46=V43,W43,IF(AO46=Z43,Y43,"")))</f>
        <v>3</v>
      </c>
      <c r="BS46" s="524" t="str">
        <f>IF(W44="","",IF(AO46=V44,W44,IF(AO46=Z44,Y44,"")))</f>
        <v/>
      </c>
      <c r="BT46" s="524" t="str">
        <f>IF(W45="","",IF(AO46=V45,W45,IF(AO46=Z45,Y45,"")))</f>
        <v/>
      </c>
      <c r="BU46" s="524" t="str">
        <f>IF(W46="","",IF(AO46=V46,W46,IF(AO46=Z46,Y46,"")))</f>
        <v/>
      </c>
      <c r="BV46" s="524" t="str">
        <f>IF(W39="","",IF(AO46=V39,W39,IF(AO46=Z39,Y39,"")))</f>
        <v/>
      </c>
      <c r="BW46" s="524" t="str">
        <f>IF(W40="","",IF(AO46=V40,W40,IF(AO46=Z40,Y40,"")))</f>
        <v/>
      </c>
      <c r="BX46" s="524" t="str">
        <f>IF(W41="","",IF(AO46=V41,W41,IF(AO46=Z41,Y41,"")))</f>
        <v/>
      </c>
      <c r="BY46" s="525">
        <f>IF(W42="","",IF(AO46=V42,W42,IF(AO46=Z42,Y42,"")))</f>
        <v>1</v>
      </c>
      <c r="BZ46" s="1395" t="b">
        <f t="shared" si="27"/>
        <v>0</v>
      </c>
      <c r="CA46" s="1450" t="b">
        <f t="shared" si="28"/>
        <v>0</v>
      </c>
      <c r="CB46" s="1450" t="b">
        <f t="shared" si="29"/>
        <v>0</v>
      </c>
      <c r="CC46" s="270"/>
      <c r="CD46" s="270"/>
      <c r="CE46"/>
    </row>
    <row r="47" spans="1:83" outlineLevel="2" x14ac:dyDescent="0.2">
      <c r="A47" s="270"/>
      <c r="B47" s="271"/>
      <c r="C47" s="270"/>
      <c r="D47" s="270"/>
      <c r="E47" s="270"/>
      <c r="F47" s="270"/>
      <c r="G47" s="271"/>
      <c r="H47" s="271"/>
      <c r="I47" s="271"/>
      <c r="J47" s="270"/>
      <c r="K47" s="270"/>
      <c r="L47" s="270"/>
      <c r="M47" s="270"/>
      <c r="N47" s="270"/>
      <c r="O47" s="270"/>
      <c r="P47" s="270"/>
      <c r="Q47" s="270"/>
      <c r="R47" s="558" t="s">
        <v>1728</v>
      </c>
      <c r="S47" s="611">
        <v>0.4236111111111111</v>
      </c>
      <c r="T47" s="617"/>
      <c r="U47" s="1502"/>
      <c r="V47" s="479" t="str">
        <f>IF(G41="","",G41)</f>
        <v>Emmanuel GORGETTE (iss)</v>
      </c>
      <c r="W47" s="480">
        <v>4</v>
      </c>
      <c r="X47" s="481" t="s">
        <v>769</v>
      </c>
      <c r="Y47" s="480">
        <v>3</v>
      </c>
      <c r="Z47" s="482" t="str">
        <f>IF(G43="","",G43)</f>
        <v>Jean-François BALARD (puy)</v>
      </c>
      <c r="AA47" s="839"/>
      <c r="AB47" s="1459">
        <f t="shared" si="19"/>
        <v>4</v>
      </c>
      <c r="AC47" s="1460" t="str">
        <f t="shared" si="20"/>
        <v>-</v>
      </c>
      <c r="AD47" s="1459">
        <f t="shared" si="21"/>
        <v>3</v>
      </c>
      <c r="AE47" s="968" t="str">
        <f t="shared" si="22"/>
        <v>Emmanuel GORGETTE (iss)</v>
      </c>
      <c r="AF47" s="968" t="str">
        <f t="shared" si="23"/>
        <v/>
      </c>
      <c r="AG47" s="968" t="str">
        <f t="shared" si="24"/>
        <v/>
      </c>
      <c r="AH47" s="968" t="str">
        <f t="shared" si="25"/>
        <v>Jean-François BALARD (puy)</v>
      </c>
      <c r="AI47" s="968" t="str">
        <f t="shared" si="26"/>
        <v>Emmanuel GORGETTE (iss)Jean-François BALARD (puy)</v>
      </c>
      <c r="AJ47" s="968"/>
      <c r="AK47" s="968"/>
      <c r="AL47" s="270"/>
      <c r="AM47" s="270"/>
      <c r="AN47" s="575"/>
      <c r="AO47" s="270"/>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c r="CA47" s="1396"/>
      <c r="CB47" s="1396"/>
      <c r="CC47" s="270"/>
      <c r="CD47" s="270"/>
      <c r="CE47"/>
    </row>
    <row r="48" spans="1:83" outlineLevel="2" x14ac:dyDescent="0.2">
      <c r="A48" s="270"/>
      <c r="B48" s="271"/>
      <c r="C48" s="270"/>
      <c r="D48" s="270"/>
      <c r="E48" s="270"/>
      <c r="F48" s="270"/>
      <c r="G48" s="271"/>
      <c r="H48" s="271"/>
      <c r="I48" s="271"/>
      <c r="J48" s="270"/>
      <c r="K48" s="270"/>
      <c r="L48" s="270"/>
      <c r="M48" s="270"/>
      <c r="N48" s="270"/>
      <c r="O48" s="270"/>
      <c r="P48" s="270"/>
      <c r="Q48" s="270"/>
      <c r="R48" s="558" t="s">
        <v>1728</v>
      </c>
      <c r="S48" s="613">
        <v>0.4236111111111111</v>
      </c>
      <c r="T48" s="618"/>
      <c r="U48" s="1504"/>
      <c r="V48" s="491" t="str">
        <f>IF(G44="","",G44)</f>
        <v>Audrey HERBAUT (chp)</v>
      </c>
      <c r="W48" s="492">
        <v>3</v>
      </c>
      <c r="X48" s="493" t="s">
        <v>769</v>
      </c>
      <c r="Y48" s="492">
        <v>3</v>
      </c>
      <c r="Z48" s="494" t="str">
        <f>IF(G40="","",G40)</f>
        <v>Jean-Marie AMBERNY (iss)</v>
      </c>
      <c r="AA48" s="839"/>
      <c r="AB48" s="1459">
        <f t="shared" si="19"/>
        <v>3</v>
      </c>
      <c r="AC48" s="1460" t="str">
        <f t="shared" si="20"/>
        <v>-</v>
      </c>
      <c r="AD48" s="1459">
        <f t="shared" si="21"/>
        <v>3</v>
      </c>
      <c r="AE48" s="968" t="str">
        <f t="shared" si="22"/>
        <v/>
      </c>
      <c r="AF48" s="968" t="str">
        <f t="shared" si="23"/>
        <v>Audrey HERBAUT (chp)</v>
      </c>
      <c r="AG48" s="968" t="str">
        <f t="shared" si="24"/>
        <v>Jean-Marie AMBERNY (iss)</v>
      </c>
      <c r="AH48" s="968" t="str">
        <f t="shared" si="25"/>
        <v/>
      </c>
      <c r="AI48" s="968" t="str">
        <f t="shared" si="26"/>
        <v/>
      </c>
      <c r="AJ48" s="968"/>
      <c r="AK48" s="968"/>
      <c r="AL48" s="270"/>
      <c r="AM48" s="270"/>
      <c r="AN48" s="575"/>
      <c r="AO48" s="270"/>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c r="CA48" s="1396"/>
      <c r="CB48" s="1396"/>
      <c r="CC48" s="270"/>
      <c r="CD48" s="270"/>
      <c r="CE48"/>
    </row>
    <row r="49" spans="1:83" outlineLevel="2" x14ac:dyDescent="0.2">
      <c r="A49" s="270"/>
      <c r="B49" s="271"/>
      <c r="C49" s="270"/>
      <c r="D49" s="270"/>
      <c r="E49" s="270"/>
      <c r="F49" s="270"/>
      <c r="G49" s="271"/>
      <c r="H49" s="271"/>
      <c r="I49" s="271"/>
      <c r="J49" s="270"/>
      <c r="K49" s="270"/>
      <c r="L49" s="270"/>
      <c r="M49" s="270"/>
      <c r="N49" s="270"/>
      <c r="O49" s="270"/>
      <c r="P49" s="270"/>
      <c r="Q49" s="270"/>
      <c r="R49" s="558" t="s">
        <v>1728</v>
      </c>
      <c r="S49" s="613">
        <v>0.4236111111111111</v>
      </c>
      <c r="T49" s="618"/>
      <c r="U49" s="1504"/>
      <c r="V49" s="491" t="str">
        <f>IF(G45="","",G45)</f>
        <v>Quentin AUSSET (chp)</v>
      </c>
      <c r="W49" s="492">
        <v>2</v>
      </c>
      <c r="X49" s="493" t="s">
        <v>769</v>
      </c>
      <c r="Y49" s="492">
        <v>3</v>
      </c>
      <c r="Z49" s="494" t="str">
        <f>IF(G39="","",G39)</f>
        <v>Stéphane POMMIER (cae)</v>
      </c>
      <c r="AA49" s="839"/>
      <c r="AB49" s="1459">
        <f t="shared" si="19"/>
        <v>2</v>
      </c>
      <c r="AC49" s="1460" t="str">
        <f t="shared" si="20"/>
        <v>-</v>
      </c>
      <c r="AD49" s="1459">
        <f t="shared" si="21"/>
        <v>3</v>
      </c>
      <c r="AE49" s="968" t="str">
        <f t="shared" si="22"/>
        <v>Stéphane POMMIER (cae)</v>
      </c>
      <c r="AF49" s="968" t="str">
        <f t="shared" si="23"/>
        <v/>
      </c>
      <c r="AG49" s="968" t="str">
        <f t="shared" si="24"/>
        <v/>
      </c>
      <c r="AH49" s="968" t="str">
        <f t="shared" si="25"/>
        <v>Quentin AUSSET (chp)</v>
      </c>
      <c r="AI49" s="968" t="str">
        <f t="shared" si="26"/>
        <v>Stéphane POMMIER (cae)Quentin AUSSET (chp)</v>
      </c>
      <c r="AJ49" s="968"/>
      <c r="AK49" s="968"/>
      <c r="AL49" s="270"/>
      <c r="AM49" s="270"/>
      <c r="AN49" s="575"/>
      <c r="AO49" s="270"/>
      <c r="AP49" s="271"/>
      <c r="AQ49" s="271"/>
      <c r="AR49" s="271"/>
      <c r="AS49" s="271"/>
      <c r="AT49" s="271"/>
      <c r="AU49" s="271"/>
      <c r="AV49" s="271"/>
      <c r="AW49" s="271"/>
      <c r="AX49" s="271"/>
      <c r="AY49" s="271"/>
      <c r="AZ49" s="271"/>
      <c r="BA49" s="271"/>
      <c r="BB49" s="271"/>
      <c r="BC49" s="271"/>
      <c r="BD49" s="271"/>
      <c r="BE49" s="271"/>
      <c r="BF49" s="271"/>
      <c r="BG49" s="271"/>
      <c r="BH49" s="271"/>
      <c r="BI49" s="271"/>
      <c r="BJ49" s="271"/>
      <c r="BK49" s="271"/>
      <c r="BL49" s="271"/>
      <c r="BM49" s="271"/>
      <c r="BN49" s="271"/>
      <c r="BO49" s="271"/>
      <c r="BP49" s="271"/>
      <c r="BQ49" s="271"/>
      <c r="BR49" s="271"/>
      <c r="BS49" s="271"/>
      <c r="BT49" s="271"/>
      <c r="BU49" s="271"/>
      <c r="BV49" s="271"/>
      <c r="BW49" s="271"/>
      <c r="BX49" s="271"/>
      <c r="BY49" s="271"/>
      <c r="BZ49"/>
      <c r="CA49" s="1396"/>
      <c r="CB49" s="1396"/>
      <c r="CC49" s="270"/>
      <c r="CD49" s="270"/>
      <c r="CE49"/>
    </row>
    <row r="50" spans="1:83" ht="13.5" outlineLevel="2" thickBot="1" x14ac:dyDescent="0.25">
      <c r="A50" s="270"/>
      <c r="B50" s="271"/>
      <c r="C50" s="270"/>
      <c r="D50" s="270"/>
      <c r="E50" s="270"/>
      <c r="F50" s="270"/>
      <c r="G50" s="271"/>
      <c r="H50" s="271"/>
      <c r="I50" s="271"/>
      <c r="J50" s="270"/>
      <c r="K50" s="270"/>
      <c r="L50" s="270"/>
      <c r="M50" s="270"/>
      <c r="N50" s="270"/>
      <c r="O50" s="270"/>
      <c r="P50" s="270"/>
      <c r="Q50" s="270"/>
      <c r="R50" s="558" t="s">
        <v>1728</v>
      </c>
      <c r="S50" s="615">
        <v>0.4236111111111111</v>
      </c>
      <c r="T50" s="619"/>
      <c r="U50" s="1503"/>
      <c r="V50" s="495" t="str">
        <f>IF(G46="","",G46)</f>
        <v>Mickaël BLANC (sym)</v>
      </c>
      <c r="W50" s="496">
        <v>1</v>
      </c>
      <c r="X50" s="497" t="s">
        <v>769</v>
      </c>
      <c r="Y50" s="496">
        <v>3</v>
      </c>
      <c r="Z50" s="498" t="str">
        <f>IF(G42="","",G42)</f>
        <v>Axel DONVAL (iss)</v>
      </c>
      <c r="AA50" s="839"/>
      <c r="AB50" s="1459">
        <f t="shared" si="19"/>
        <v>1</v>
      </c>
      <c r="AC50" s="1460" t="str">
        <f t="shared" si="20"/>
        <v>-</v>
      </c>
      <c r="AD50" s="1459">
        <f t="shared" si="21"/>
        <v>3</v>
      </c>
      <c r="AE50" s="968" t="str">
        <f t="shared" si="22"/>
        <v>Axel DONVAL (iss)</v>
      </c>
      <c r="AF50" s="968" t="str">
        <f t="shared" si="23"/>
        <v/>
      </c>
      <c r="AG50" s="968" t="str">
        <f t="shared" si="24"/>
        <v/>
      </c>
      <c r="AH50" s="968" t="str">
        <f t="shared" si="25"/>
        <v>Mickaël BLANC (sym)</v>
      </c>
      <c r="AI50" s="968" t="str">
        <f t="shared" si="26"/>
        <v>Axel DONVAL (iss)Mickaël BLANC (sym)</v>
      </c>
      <c r="AJ50" s="968"/>
      <c r="AK50" s="968"/>
      <c r="AL50" s="270"/>
      <c r="AM50" s="270"/>
      <c r="AN50" s="575"/>
      <c r="AO50" s="270"/>
      <c r="AP50" s="271"/>
      <c r="AQ50" s="271"/>
      <c r="AR50" s="271"/>
      <c r="AS50" s="271"/>
      <c r="AT50" s="271"/>
      <c r="AU50" s="271"/>
      <c r="AV50" s="271"/>
      <c r="AW50" s="271"/>
      <c r="AX50" s="271"/>
      <c r="AY50" s="271"/>
      <c r="AZ50" s="271"/>
      <c r="BA50" s="271"/>
      <c r="BB50" s="271"/>
      <c r="BC50" s="271"/>
      <c r="BD50" s="271"/>
      <c r="BE50" s="271"/>
      <c r="BF50" s="271"/>
      <c r="BG50" s="271"/>
      <c r="BH50" s="271"/>
      <c r="BI50" s="271"/>
      <c r="BJ50" s="271"/>
      <c r="BK50" s="271"/>
      <c r="BL50" s="271"/>
      <c r="BM50" s="271"/>
      <c r="BN50" s="271"/>
      <c r="BO50" s="271"/>
      <c r="BP50" s="271"/>
      <c r="BQ50" s="271"/>
      <c r="BR50" s="271"/>
      <c r="BS50" s="271"/>
      <c r="BT50" s="271"/>
      <c r="BU50" s="271"/>
      <c r="BV50" s="271"/>
      <c r="BW50" s="271"/>
      <c r="BX50" s="271"/>
      <c r="BY50" s="271"/>
      <c r="BZ50"/>
      <c r="CA50" s="1396"/>
      <c r="CB50" s="1396"/>
      <c r="CC50" s="270"/>
      <c r="CD50" s="270"/>
      <c r="CE50"/>
    </row>
    <row r="51" spans="1:83" outlineLevel="2" x14ac:dyDescent="0.2">
      <c r="A51" s="270"/>
      <c r="B51" s="271"/>
      <c r="C51" s="270"/>
      <c r="D51" s="270"/>
      <c r="E51" s="270"/>
      <c r="F51" s="270"/>
      <c r="G51" s="271"/>
      <c r="H51" s="271"/>
      <c r="I51" s="271"/>
      <c r="J51" s="270"/>
      <c r="K51" s="270"/>
      <c r="L51" s="270"/>
      <c r="M51" s="270"/>
      <c r="N51" s="270"/>
      <c r="O51" s="270"/>
      <c r="P51" s="270"/>
      <c r="Q51" s="270"/>
      <c r="R51" s="558" t="s">
        <v>1729</v>
      </c>
      <c r="S51" s="611">
        <v>0.45833333333333331</v>
      </c>
      <c r="T51" s="617"/>
      <c r="U51" s="1502"/>
      <c r="V51" s="479" t="str">
        <f>IF(G39="","",G39)</f>
        <v>Stéphane POMMIER (cae)</v>
      </c>
      <c r="W51" s="480">
        <v>4</v>
      </c>
      <c r="X51" s="481" t="s">
        <v>769</v>
      </c>
      <c r="Y51" s="480">
        <v>3</v>
      </c>
      <c r="Z51" s="482" t="str">
        <f>IF(G40="","",G40)</f>
        <v>Jean-Marie AMBERNY (iss)</v>
      </c>
      <c r="AA51" s="839"/>
      <c r="AB51" s="1459">
        <f t="shared" si="19"/>
        <v>4</v>
      </c>
      <c r="AC51" s="1460" t="str">
        <f t="shared" si="20"/>
        <v>-</v>
      </c>
      <c r="AD51" s="1459">
        <f t="shared" si="21"/>
        <v>3</v>
      </c>
      <c r="AE51" s="968" t="str">
        <f t="shared" si="22"/>
        <v>Stéphane POMMIER (cae)</v>
      </c>
      <c r="AF51" s="968" t="str">
        <f t="shared" si="23"/>
        <v/>
      </c>
      <c r="AG51" s="968" t="str">
        <f t="shared" si="24"/>
        <v/>
      </c>
      <c r="AH51" s="968" t="str">
        <f t="shared" si="25"/>
        <v>Jean-Marie AMBERNY (iss)</v>
      </c>
      <c r="AI51" s="968" t="str">
        <f t="shared" si="26"/>
        <v>Stéphane POMMIER (cae)Jean-Marie AMBERNY (iss)</v>
      </c>
      <c r="AJ51" s="968"/>
      <c r="AK51" s="968"/>
      <c r="AL51" s="270"/>
      <c r="AM51" s="270"/>
      <c r="AN51" s="575"/>
      <c r="AO51" s="270"/>
      <c r="AP51" s="271"/>
      <c r="AQ51" s="271"/>
      <c r="AR51" s="271"/>
      <c r="AS51" s="271"/>
      <c r="AT51" s="271"/>
      <c r="AU51" s="271"/>
      <c r="AV51" s="271"/>
      <c r="AW51" s="271"/>
      <c r="AX51" s="271"/>
      <c r="AY51" s="271"/>
      <c r="AZ51" s="271"/>
      <c r="BA51" s="271"/>
      <c r="BB51" s="271"/>
      <c r="BC51" s="271"/>
      <c r="BD51" s="271"/>
      <c r="BE51" s="271"/>
      <c r="BF51" s="271"/>
      <c r="BG51" s="271"/>
      <c r="BH51" s="271"/>
      <c r="BI51" s="271"/>
      <c r="BJ51" s="271"/>
      <c r="BK51" s="271"/>
      <c r="BL51" s="271"/>
      <c r="BM51" s="271"/>
      <c r="BN51" s="271"/>
      <c r="BO51" s="271"/>
      <c r="BP51" s="271"/>
      <c r="BQ51" s="271"/>
      <c r="BR51" s="271"/>
      <c r="BS51" s="271"/>
      <c r="BT51" s="271"/>
      <c r="BU51" s="271"/>
      <c r="BV51" s="271"/>
      <c r="BW51" s="271"/>
      <c r="BX51" s="271"/>
      <c r="BY51" s="271"/>
      <c r="BZ51"/>
      <c r="CA51" s="1396"/>
      <c r="CB51" s="1396"/>
      <c r="CC51" s="270"/>
      <c r="CD51" s="270"/>
      <c r="CE51"/>
    </row>
    <row r="52" spans="1:83" outlineLevel="2" x14ac:dyDescent="0.2">
      <c r="A52" s="270"/>
      <c r="B52" s="271"/>
      <c r="C52" s="270"/>
      <c r="D52" s="270"/>
      <c r="E52" s="270"/>
      <c r="F52" s="270"/>
      <c r="G52" s="271"/>
      <c r="H52" s="271"/>
      <c r="I52" s="271"/>
      <c r="J52" s="270"/>
      <c r="K52" s="270"/>
      <c r="L52" s="270"/>
      <c r="M52" s="270"/>
      <c r="N52" s="270"/>
      <c r="O52" s="270"/>
      <c r="P52" s="270"/>
      <c r="Q52" s="270"/>
      <c r="R52" s="558" t="s">
        <v>1729</v>
      </c>
      <c r="S52" s="613">
        <v>0.45833333333333331</v>
      </c>
      <c r="T52" s="618"/>
      <c r="U52" s="1504"/>
      <c r="V52" s="491" t="str">
        <f>IF(G42="","",G42)</f>
        <v>Axel DONVAL (iss)</v>
      </c>
      <c r="W52" s="492">
        <v>3</v>
      </c>
      <c r="X52" s="493" t="s">
        <v>769</v>
      </c>
      <c r="Y52" s="492">
        <v>3</v>
      </c>
      <c r="Z52" s="494" t="str">
        <f>IF(G44="","",G44)</f>
        <v>Audrey HERBAUT (chp)</v>
      </c>
      <c r="AA52" s="839"/>
      <c r="AB52" s="1459">
        <f t="shared" si="19"/>
        <v>3</v>
      </c>
      <c r="AC52" s="1460" t="str">
        <f t="shared" si="20"/>
        <v>-</v>
      </c>
      <c r="AD52" s="1459">
        <f t="shared" si="21"/>
        <v>3</v>
      </c>
      <c r="AE52" s="968" t="str">
        <f t="shared" si="22"/>
        <v/>
      </c>
      <c r="AF52" s="968" t="str">
        <f t="shared" si="23"/>
        <v>Axel DONVAL (iss)</v>
      </c>
      <c r="AG52" s="968" t="str">
        <f t="shared" si="24"/>
        <v>Audrey HERBAUT (chp)</v>
      </c>
      <c r="AH52" s="968" t="str">
        <f t="shared" si="25"/>
        <v/>
      </c>
      <c r="AI52" s="968" t="str">
        <f t="shared" si="26"/>
        <v/>
      </c>
      <c r="AJ52" s="968"/>
      <c r="AK52" s="968"/>
      <c r="AL52" s="270"/>
      <c r="AM52" s="270"/>
      <c r="AN52" s="575"/>
      <c r="AO52" s="270"/>
      <c r="AP52" s="271"/>
      <c r="AQ52" s="271"/>
      <c r="AR52" s="271"/>
      <c r="AS52" s="271"/>
      <c r="AT52" s="271"/>
      <c r="AU52" s="271"/>
      <c r="AV52" s="271"/>
      <c r="AW52" s="271"/>
      <c r="AX52" s="271"/>
      <c r="AY52" s="271"/>
      <c r="AZ52" s="271"/>
      <c r="BA52" s="271"/>
      <c r="BB52" s="271"/>
      <c r="BC52" s="271"/>
      <c r="BD52" s="271"/>
      <c r="BE52" s="271"/>
      <c r="BF52" s="271"/>
      <c r="BG52" s="271"/>
      <c r="BH52" s="271"/>
      <c r="BI52" s="271"/>
      <c r="BJ52" s="271"/>
      <c r="BK52" s="271"/>
      <c r="BL52" s="271"/>
      <c r="BM52" s="271"/>
      <c r="BN52" s="271"/>
      <c r="BO52" s="271"/>
      <c r="BP52" s="271"/>
      <c r="BQ52" s="271"/>
      <c r="BR52" s="271"/>
      <c r="BS52" s="271"/>
      <c r="BT52" s="271"/>
      <c r="BU52" s="271"/>
      <c r="BV52" s="271"/>
      <c r="BW52" s="271"/>
      <c r="BX52" s="271"/>
      <c r="BY52" s="271"/>
      <c r="BZ52"/>
      <c r="CA52" s="1396"/>
      <c r="CB52" s="1396"/>
      <c r="CC52" s="270"/>
      <c r="CD52" s="270"/>
      <c r="CE52"/>
    </row>
    <row r="53" spans="1:83" outlineLevel="2" x14ac:dyDescent="0.2">
      <c r="A53" s="270"/>
      <c r="B53" s="271"/>
      <c r="C53" s="270"/>
      <c r="D53" s="270"/>
      <c r="E53" s="270"/>
      <c r="F53" s="270"/>
      <c r="G53" s="271"/>
      <c r="H53" s="271"/>
      <c r="I53" s="271"/>
      <c r="J53" s="270"/>
      <c r="K53" s="270"/>
      <c r="L53" s="270"/>
      <c r="M53" s="270"/>
      <c r="N53" s="270"/>
      <c r="O53" s="270"/>
      <c r="P53" s="270"/>
      <c r="Q53" s="270"/>
      <c r="R53" s="558" t="s">
        <v>1729</v>
      </c>
      <c r="S53" s="613">
        <v>0.45833333333333331</v>
      </c>
      <c r="T53" s="618"/>
      <c r="U53" s="1504"/>
      <c r="V53" s="491" t="str">
        <f>IF(G43="","",G43)</f>
        <v>Jean-François BALARD (puy)</v>
      </c>
      <c r="W53" s="492">
        <v>2</v>
      </c>
      <c r="X53" s="493" t="s">
        <v>769</v>
      </c>
      <c r="Y53" s="492">
        <v>3</v>
      </c>
      <c r="Z53" s="494" t="str">
        <f>IF(G46="","",G46)</f>
        <v>Mickaël BLANC (sym)</v>
      </c>
      <c r="AA53" s="839"/>
      <c r="AB53" s="1459">
        <f t="shared" si="19"/>
        <v>2</v>
      </c>
      <c r="AC53" s="1460" t="str">
        <f t="shared" si="20"/>
        <v>-</v>
      </c>
      <c r="AD53" s="1459">
        <f t="shared" si="21"/>
        <v>3</v>
      </c>
      <c r="AE53" s="968" t="str">
        <f t="shared" si="22"/>
        <v>Mickaël BLANC (sym)</v>
      </c>
      <c r="AF53" s="968" t="str">
        <f t="shared" si="23"/>
        <v/>
      </c>
      <c r="AG53" s="968" t="str">
        <f t="shared" si="24"/>
        <v/>
      </c>
      <c r="AH53" s="968" t="str">
        <f t="shared" si="25"/>
        <v>Jean-François BALARD (puy)</v>
      </c>
      <c r="AI53" s="968" t="str">
        <f t="shared" si="26"/>
        <v>Mickaël BLANC (sym)Jean-François BALARD (puy)</v>
      </c>
      <c r="AJ53" s="968"/>
      <c r="AK53" s="968"/>
      <c r="AL53" s="270"/>
      <c r="AM53" s="270"/>
      <c r="AN53" s="575"/>
      <c r="AO53" s="270"/>
      <c r="AP53" s="271"/>
      <c r="AQ53" s="271"/>
      <c r="AR53" s="271"/>
      <c r="AS53" s="271"/>
      <c r="AT53" s="271"/>
      <c r="AU53" s="271"/>
      <c r="AV53" s="271"/>
      <c r="AW53" s="271"/>
      <c r="AX53" s="271"/>
      <c r="AY53" s="271"/>
      <c r="AZ53" s="271"/>
      <c r="BA53" s="271"/>
      <c r="BB53" s="271"/>
      <c r="BC53" s="271"/>
      <c r="BD53" s="271"/>
      <c r="BE53" s="271"/>
      <c r="BF53" s="271"/>
      <c r="BG53" s="271"/>
      <c r="BH53" s="271"/>
      <c r="BI53" s="271"/>
      <c r="BJ53" s="271"/>
      <c r="BK53" s="271"/>
      <c r="BL53" s="271"/>
      <c r="BM53" s="271"/>
      <c r="BN53" s="271"/>
      <c r="BO53" s="271"/>
      <c r="BP53" s="271"/>
      <c r="BQ53" s="271"/>
      <c r="BR53" s="271"/>
      <c r="BS53" s="271"/>
      <c r="BT53" s="271"/>
      <c r="BU53" s="271"/>
      <c r="BV53" s="271"/>
      <c r="BW53" s="271"/>
      <c r="BX53" s="271"/>
      <c r="BY53" s="271"/>
      <c r="BZ53"/>
      <c r="CA53" s="1396"/>
      <c r="CB53" s="1396"/>
      <c r="CC53" s="270"/>
      <c r="CD53" s="270"/>
      <c r="CE53"/>
    </row>
    <row r="54" spans="1:83" ht="13.5" outlineLevel="2" thickBot="1" x14ac:dyDescent="0.25">
      <c r="A54" s="270"/>
      <c r="B54" s="271"/>
      <c r="C54" s="270"/>
      <c r="D54" s="270"/>
      <c r="E54" s="270"/>
      <c r="F54" s="270"/>
      <c r="G54" s="271"/>
      <c r="H54" s="271"/>
      <c r="I54" s="271"/>
      <c r="J54" s="270"/>
      <c r="K54" s="270"/>
      <c r="L54" s="270"/>
      <c r="M54" s="270"/>
      <c r="N54" s="270"/>
      <c r="O54" s="270"/>
      <c r="P54" s="270"/>
      <c r="Q54" s="270"/>
      <c r="R54" s="558" t="s">
        <v>1729</v>
      </c>
      <c r="S54" s="615">
        <v>0.45833333333333331</v>
      </c>
      <c r="T54" s="619"/>
      <c r="U54" s="1503"/>
      <c r="V54" s="495" t="str">
        <f>IF(G45="","",G45)</f>
        <v>Quentin AUSSET (chp)</v>
      </c>
      <c r="W54" s="496">
        <v>1</v>
      </c>
      <c r="X54" s="497" t="s">
        <v>769</v>
      </c>
      <c r="Y54" s="496">
        <v>3</v>
      </c>
      <c r="Z54" s="498" t="str">
        <f>IF(G41="","",G41)</f>
        <v>Emmanuel GORGETTE (iss)</v>
      </c>
      <c r="AA54" s="839"/>
      <c r="AB54" s="1459">
        <f t="shared" si="19"/>
        <v>1</v>
      </c>
      <c r="AC54" s="1460" t="str">
        <f t="shared" si="20"/>
        <v>-</v>
      </c>
      <c r="AD54" s="1459">
        <f t="shared" si="21"/>
        <v>3</v>
      </c>
      <c r="AE54" s="968" t="str">
        <f t="shared" si="22"/>
        <v>Emmanuel GORGETTE (iss)</v>
      </c>
      <c r="AF54" s="968" t="str">
        <f t="shared" si="23"/>
        <v/>
      </c>
      <c r="AG54" s="968" t="str">
        <f t="shared" si="24"/>
        <v/>
      </c>
      <c r="AH54" s="968" t="str">
        <f t="shared" si="25"/>
        <v>Quentin AUSSET (chp)</v>
      </c>
      <c r="AI54" s="968" t="str">
        <f t="shared" si="26"/>
        <v>Emmanuel GORGETTE (iss)Quentin AUSSET (chp)</v>
      </c>
      <c r="AJ54" s="968"/>
      <c r="AK54" s="968"/>
      <c r="AL54" s="270"/>
      <c r="AM54" s="270"/>
      <c r="AN54" s="575"/>
      <c r="AO54" s="270"/>
      <c r="AP54" s="271"/>
      <c r="AQ54" s="271"/>
      <c r="AR54" s="271"/>
      <c r="AS54" s="271"/>
      <c r="AT54" s="271"/>
      <c r="AU54" s="271"/>
      <c r="AV54" s="271"/>
      <c r="AW54" s="271"/>
      <c r="AX54" s="271"/>
      <c r="AY54" s="271"/>
      <c r="AZ54" s="271"/>
      <c r="BA54" s="271"/>
      <c r="BB54" s="271"/>
      <c r="BC54" s="271"/>
      <c r="BD54" s="271"/>
      <c r="BE54" s="271"/>
      <c r="BF54" s="271"/>
      <c r="BG54" s="271"/>
      <c r="BH54" s="271"/>
      <c r="BI54" s="271"/>
      <c r="BJ54" s="271"/>
      <c r="BK54" s="271"/>
      <c r="BL54" s="271"/>
      <c r="BM54" s="271"/>
      <c r="BN54" s="271"/>
      <c r="BO54" s="271"/>
      <c r="BP54" s="271"/>
      <c r="BQ54" s="271"/>
      <c r="BR54" s="271"/>
      <c r="BS54" s="271"/>
      <c r="BT54" s="271"/>
      <c r="BU54" s="271"/>
      <c r="BV54" s="271"/>
      <c r="BW54" s="271"/>
      <c r="BX54" s="271"/>
      <c r="BY54" s="271"/>
      <c r="BZ54"/>
      <c r="CA54" s="1396"/>
      <c r="CB54" s="1396"/>
      <c r="CC54" s="270"/>
      <c r="CD54" s="270"/>
      <c r="CE54"/>
    </row>
    <row r="55" spans="1:83" outlineLevel="2" x14ac:dyDescent="0.2">
      <c r="A55" s="270"/>
      <c r="B55" s="271"/>
      <c r="C55" s="270"/>
      <c r="D55" s="270"/>
      <c r="E55" s="270"/>
      <c r="F55" s="270"/>
      <c r="G55" s="271"/>
      <c r="H55" s="271"/>
      <c r="I55" s="271"/>
      <c r="J55" s="270"/>
      <c r="K55" s="270"/>
      <c r="L55" s="270"/>
      <c r="M55" s="270"/>
      <c r="N55" s="270"/>
      <c r="O55" s="270"/>
      <c r="P55" s="270"/>
      <c r="Q55" s="270"/>
      <c r="R55" s="558" t="s">
        <v>1730</v>
      </c>
      <c r="S55" s="611">
        <v>0.49305555555555552</v>
      </c>
      <c r="T55" s="617"/>
      <c r="U55" s="1502"/>
      <c r="V55" s="479" t="str">
        <f>IF(G39="","",G39)</f>
        <v>Stéphane POMMIER (cae)</v>
      </c>
      <c r="W55" s="480">
        <v>4</v>
      </c>
      <c r="X55" s="481" t="s">
        <v>769</v>
      </c>
      <c r="Y55" s="480">
        <v>3</v>
      </c>
      <c r="Z55" s="482" t="str">
        <f>IF(G42="","",G42)</f>
        <v>Axel DONVAL (iss)</v>
      </c>
      <c r="AA55" s="839"/>
      <c r="AB55" s="1459">
        <f t="shared" si="19"/>
        <v>4</v>
      </c>
      <c r="AC55" s="1460" t="str">
        <f t="shared" si="20"/>
        <v>-</v>
      </c>
      <c r="AD55" s="1459">
        <f t="shared" si="21"/>
        <v>3</v>
      </c>
      <c r="AE55" s="968" t="str">
        <f t="shared" si="22"/>
        <v>Stéphane POMMIER (cae)</v>
      </c>
      <c r="AF55" s="968" t="str">
        <f t="shared" si="23"/>
        <v/>
      </c>
      <c r="AG55" s="968" t="str">
        <f t="shared" si="24"/>
        <v/>
      </c>
      <c r="AH55" s="968" t="str">
        <f t="shared" si="25"/>
        <v>Axel DONVAL (iss)</v>
      </c>
      <c r="AI55" s="968" t="str">
        <f t="shared" si="26"/>
        <v>Stéphane POMMIER (cae)Axel DONVAL (iss)</v>
      </c>
      <c r="AJ55" s="968"/>
      <c r="AK55" s="968"/>
      <c r="AL55" s="270"/>
      <c r="AM55" s="270"/>
      <c r="AN55" s="575"/>
      <c r="AO55" s="270"/>
      <c r="AP55" s="271"/>
      <c r="AQ55" s="271"/>
      <c r="AR55" s="271"/>
      <c r="AS55" s="271"/>
      <c r="AT55" s="271"/>
      <c r="AU55" s="271"/>
      <c r="AV55" s="271"/>
      <c r="AW55" s="271"/>
      <c r="AX55" s="271"/>
      <c r="AY55" s="271"/>
      <c r="AZ55" s="271"/>
      <c r="BA55" s="271"/>
      <c r="BB55" s="271"/>
      <c r="BC55" s="271"/>
      <c r="BD55" s="271"/>
      <c r="BE55" s="271"/>
      <c r="BF55" s="271"/>
      <c r="BG55" s="271"/>
      <c r="BH55" s="271"/>
      <c r="BI55" s="271"/>
      <c r="BJ55" s="271"/>
      <c r="BK55" s="271"/>
      <c r="BL55" s="271"/>
      <c r="BM55" s="271"/>
      <c r="BN55" s="271"/>
      <c r="BO55" s="271"/>
      <c r="BP55" s="271"/>
      <c r="BQ55" s="271"/>
      <c r="BR55" s="271"/>
      <c r="BS55" s="271"/>
      <c r="BT55" s="271"/>
      <c r="BU55" s="271"/>
      <c r="BV55" s="271"/>
      <c r="BW55" s="271"/>
      <c r="BX55" s="271"/>
      <c r="BY55" s="271"/>
      <c r="BZ55"/>
      <c r="CA55" s="1396"/>
      <c r="CB55" s="1396"/>
      <c r="CC55" s="270"/>
      <c r="CD55" s="270"/>
      <c r="CE55"/>
    </row>
    <row r="56" spans="1:83" outlineLevel="2" x14ac:dyDescent="0.2">
      <c r="A56" s="270"/>
      <c r="B56" s="271"/>
      <c r="C56" s="270"/>
      <c r="D56" s="270"/>
      <c r="E56" s="270"/>
      <c r="F56" s="270"/>
      <c r="G56" s="271"/>
      <c r="H56" s="271"/>
      <c r="I56" s="271"/>
      <c r="J56" s="270"/>
      <c r="K56" s="270"/>
      <c r="L56" s="270"/>
      <c r="M56" s="270"/>
      <c r="N56" s="270"/>
      <c r="O56" s="270"/>
      <c r="P56" s="270"/>
      <c r="Q56" s="270"/>
      <c r="R56" s="558" t="s">
        <v>1730</v>
      </c>
      <c r="S56" s="613">
        <v>0.49305555555555552</v>
      </c>
      <c r="T56" s="618"/>
      <c r="U56" s="1504"/>
      <c r="V56" s="491" t="str">
        <f>IF(G40="","",G40)</f>
        <v>Jean-Marie AMBERNY (iss)</v>
      </c>
      <c r="W56" s="492">
        <v>3</v>
      </c>
      <c r="X56" s="493" t="s">
        <v>769</v>
      </c>
      <c r="Y56" s="492">
        <v>3</v>
      </c>
      <c r="Z56" s="494" t="str">
        <f>IF(G41="","",G41)</f>
        <v>Emmanuel GORGETTE (iss)</v>
      </c>
      <c r="AA56" s="839"/>
      <c r="AB56" s="1459">
        <f t="shared" si="19"/>
        <v>3</v>
      </c>
      <c r="AC56" s="1460" t="str">
        <f t="shared" si="20"/>
        <v>-</v>
      </c>
      <c r="AD56" s="1459">
        <f t="shared" si="21"/>
        <v>3</v>
      </c>
      <c r="AE56" s="968" t="str">
        <f t="shared" si="22"/>
        <v/>
      </c>
      <c r="AF56" s="968" t="str">
        <f t="shared" si="23"/>
        <v>Jean-Marie AMBERNY (iss)</v>
      </c>
      <c r="AG56" s="968" t="str">
        <f t="shared" si="24"/>
        <v>Emmanuel GORGETTE (iss)</v>
      </c>
      <c r="AH56" s="968" t="str">
        <f t="shared" si="25"/>
        <v/>
      </c>
      <c r="AI56" s="968" t="str">
        <f t="shared" si="26"/>
        <v/>
      </c>
      <c r="AJ56" s="968"/>
      <c r="AK56" s="968"/>
      <c r="AL56" s="270"/>
      <c r="AM56" s="270"/>
      <c r="AN56" s="575"/>
      <c r="AO56" s="270"/>
      <c r="AP56" s="271"/>
      <c r="AQ56" s="271"/>
      <c r="AR56" s="271"/>
      <c r="AS56" s="271"/>
      <c r="AT56" s="271"/>
      <c r="AU56" s="271"/>
      <c r="AV56" s="271"/>
      <c r="AW56" s="271"/>
      <c r="AX56" s="271"/>
      <c r="AY56" s="271"/>
      <c r="AZ56" s="271"/>
      <c r="BA56" s="271"/>
      <c r="BB56" s="271"/>
      <c r="BC56" s="271"/>
      <c r="BD56" s="271"/>
      <c r="BE56" s="271"/>
      <c r="BF56" s="271"/>
      <c r="BG56" s="271"/>
      <c r="BH56" s="271"/>
      <c r="BI56" s="271"/>
      <c r="BJ56" s="271"/>
      <c r="BK56" s="271"/>
      <c r="BL56" s="271"/>
      <c r="BM56" s="271"/>
      <c r="BN56" s="271"/>
      <c r="BO56" s="271"/>
      <c r="BP56" s="271"/>
      <c r="BQ56" s="271"/>
      <c r="BR56" s="271"/>
      <c r="BS56" s="271"/>
      <c r="BT56" s="271"/>
      <c r="BU56" s="271"/>
      <c r="BV56" s="271"/>
      <c r="BW56" s="271"/>
      <c r="BX56" s="271"/>
      <c r="BY56" s="271"/>
      <c r="BZ56"/>
      <c r="CA56" s="1396"/>
      <c r="CB56" s="1396"/>
      <c r="CC56" s="270"/>
      <c r="CD56" s="270"/>
      <c r="CE56"/>
    </row>
    <row r="57" spans="1:83" outlineLevel="2" x14ac:dyDescent="0.2">
      <c r="A57" s="270"/>
      <c r="B57" s="271"/>
      <c r="C57" s="270"/>
      <c r="D57" s="270"/>
      <c r="E57" s="270"/>
      <c r="F57" s="270"/>
      <c r="G57" s="271"/>
      <c r="H57" s="271"/>
      <c r="I57" s="271"/>
      <c r="J57" s="270"/>
      <c r="K57" s="270"/>
      <c r="L57" s="270"/>
      <c r="M57" s="270"/>
      <c r="N57" s="270"/>
      <c r="O57" s="270"/>
      <c r="P57" s="270"/>
      <c r="Q57" s="270"/>
      <c r="R57" s="558" t="s">
        <v>1730</v>
      </c>
      <c r="S57" s="613">
        <v>0.49305555555555552</v>
      </c>
      <c r="T57" s="618"/>
      <c r="U57" s="1504"/>
      <c r="V57" s="491" t="str">
        <f>IF(G43="","",G43)</f>
        <v>Jean-François BALARD (puy)</v>
      </c>
      <c r="W57" s="492">
        <v>2</v>
      </c>
      <c r="X57" s="493" t="s">
        <v>769</v>
      </c>
      <c r="Y57" s="492">
        <v>3</v>
      </c>
      <c r="Z57" s="494" t="str">
        <f>IF(G45="","",G45)</f>
        <v>Quentin AUSSET (chp)</v>
      </c>
      <c r="AA57" s="839"/>
      <c r="AB57" s="1459">
        <f t="shared" si="19"/>
        <v>2</v>
      </c>
      <c r="AC57" s="1460" t="str">
        <f t="shared" si="20"/>
        <v>-</v>
      </c>
      <c r="AD57" s="1459">
        <f t="shared" si="21"/>
        <v>3</v>
      </c>
      <c r="AE57" s="968" t="str">
        <f t="shared" si="22"/>
        <v>Quentin AUSSET (chp)</v>
      </c>
      <c r="AF57" s="968" t="str">
        <f t="shared" si="23"/>
        <v/>
      </c>
      <c r="AG57" s="968" t="str">
        <f t="shared" si="24"/>
        <v/>
      </c>
      <c r="AH57" s="968" t="str">
        <f t="shared" si="25"/>
        <v>Jean-François BALARD (puy)</v>
      </c>
      <c r="AI57" s="968" t="str">
        <f t="shared" si="26"/>
        <v>Quentin AUSSET (chp)Jean-François BALARD (puy)</v>
      </c>
      <c r="AJ57" s="968"/>
      <c r="AK57" s="968"/>
      <c r="AL57" s="270"/>
      <c r="AM57" s="270"/>
      <c r="AN57" s="575"/>
      <c r="AO57" s="270"/>
      <c r="AP57" s="271"/>
      <c r="AQ57" s="271"/>
      <c r="AR57" s="271"/>
      <c r="AS57" s="271"/>
      <c r="AT57" s="271"/>
      <c r="AU57" s="271"/>
      <c r="AV57" s="271"/>
      <c r="AW57" s="271"/>
      <c r="AX57" s="271"/>
      <c r="AY57" s="271"/>
      <c r="AZ57" s="271"/>
      <c r="BA57" s="271"/>
      <c r="BB57" s="271"/>
      <c r="BC57" s="271"/>
      <c r="BD57" s="271"/>
      <c r="BE57" s="271"/>
      <c r="BF57" s="271"/>
      <c r="BG57" s="271"/>
      <c r="BH57" s="271"/>
      <c r="BI57" s="271"/>
      <c r="BJ57" s="271"/>
      <c r="BK57" s="271"/>
      <c r="BL57" s="271"/>
      <c r="BM57" s="271"/>
      <c r="BN57" s="271"/>
      <c r="BO57" s="271"/>
      <c r="BP57" s="271"/>
      <c r="BQ57" s="271"/>
      <c r="BR57" s="271"/>
      <c r="BS57" s="271"/>
      <c r="BT57" s="271"/>
      <c r="BU57" s="271"/>
      <c r="BV57" s="271"/>
      <c r="BW57" s="271"/>
      <c r="BX57" s="271"/>
      <c r="BY57" s="271"/>
      <c r="BZ57"/>
      <c r="CA57" s="1396"/>
      <c r="CB57" s="1396"/>
      <c r="CC57" s="270"/>
      <c r="CD57" s="270"/>
      <c r="CE57"/>
    </row>
    <row r="58" spans="1:83" ht="13.5" outlineLevel="2" thickBot="1" x14ac:dyDescent="0.25">
      <c r="A58" s="270"/>
      <c r="B58" s="271"/>
      <c r="C58" s="270"/>
      <c r="D58" s="270"/>
      <c r="E58" s="270"/>
      <c r="F58" s="270"/>
      <c r="G58" s="271"/>
      <c r="H58" s="271"/>
      <c r="I58" s="271"/>
      <c r="J58" s="270"/>
      <c r="K58" s="270"/>
      <c r="L58" s="270"/>
      <c r="M58" s="270"/>
      <c r="N58" s="270"/>
      <c r="O58" s="270"/>
      <c r="P58" s="270"/>
      <c r="Q58" s="270"/>
      <c r="R58" s="558" t="s">
        <v>1730</v>
      </c>
      <c r="S58" s="615">
        <v>0.49305555555555552</v>
      </c>
      <c r="T58" s="619"/>
      <c r="U58" s="1503"/>
      <c r="V58" s="495" t="str">
        <f>IF(G46="","",G46)</f>
        <v>Mickaël BLANC (sym)</v>
      </c>
      <c r="W58" s="496">
        <v>1</v>
      </c>
      <c r="X58" s="497" t="s">
        <v>769</v>
      </c>
      <c r="Y58" s="496">
        <v>3</v>
      </c>
      <c r="Z58" s="498" t="str">
        <f>IF(G44="","",G44)</f>
        <v>Audrey HERBAUT (chp)</v>
      </c>
      <c r="AA58" s="839"/>
      <c r="AB58" s="1459">
        <f t="shared" si="19"/>
        <v>1</v>
      </c>
      <c r="AC58" s="1460" t="str">
        <f t="shared" si="20"/>
        <v>-</v>
      </c>
      <c r="AD58" s="1459">
        <f t="shared" si="21"/>
        <v>3</v>
      </c>
      <c r="AE58" s="968" t="str">
        <f t="shared" si="22"/>
        <v>Audrey HERBAUT (chp)</v>
      </c>
      <c r="AF58" s="968" t="str">
        <f t="shared" si="23"/>
        <v/>
      </c>
      <c r="AG58" s="968" t="str">
        <f t="shared" si="24"/>
        <v/>
      </c>
      <c r="AH58" s="968" t="str">
        <f t="shared" si="25"/>
        <v>Mickaël BLANC (sym)</v>
      </c>
      <c r="AI58" s="968" t="str">
        <f t="shared" si="26"/>
        <v>Audrey HERBAUT (chp)Mickaël BLANC (sym)</v>
      </c>
      <c r="AJ58" s="968"/>
      <c r="AK58" s="968"/>
      <c r="AL58" s="270"/>
      <c r="AM58" s="270"/>
      <c r="AN58" s="575"/>
      <c r="AO58" s="270"/>
      <c r="AP58" s="271"/>
      <c r="AQ58" s="271"/>
      <c r="AR58" s="271"/>
      <c r="AS58" s="271"/>
      <c r="AT58" s="271"/>
      <c r="AU58" s="271"/>
      <c r="AV58" s="271"/>
      <c r="AW58" s="271"/>
      <c r="AX58" s="271"/>
      <c r="AY58" s="271"/>
      <c r="AZ58" s="271"/>
      <c r="BA58" s="271"/>
      <c r="BB58" s="271"/>
      <c r="BC58" s="271"/>
      <c r="BD58" s="271"/>
      <c r="BE58" s="271"/>
      <c r="BF58" s="271"/>
      <c r="BG58" s="271"/>
      <c r="BH58" s="271"/>
      <c r="BI58" s="271"/>
      <c r="BJ58" s="271"/>
      <c r="BK58" s="271"/>
      <c r="BL58" s="271"/>
      <c r="BM58" s="271"/>
      <c r="BN58" s="271"/>
      <c r="BO58" s="271"/>
      <c r="BP58" s="271"/>
      <c r="BQ58" s="271"/>
      <c r="BR58" s="271"/>
      <c r="BS58" s="271"/>
      <c r="BT58" s="271"/>
      <c r="BU58" s="271"/>
      <c r="BV58" s="271"/>
      <c r="BW58" s="271"/>
      <c r="BX58" s="271"/>
      <c r="BY58" s="271"/>
      <c r="BZ58"/>
      <c r="CA58" s="1396"/>
      <c r="CB58" s="1396"/>
      <c r="CC58" s="270"/>
      <c r="CD58" s="270"/>
      <c r="CE58"/>
    </row>
    <row r="59" spans="1:83" outlineLevel="2" x14ac:dyDescent="0.2">
      <c r="A59" s="270"/>
      <c r="B59" s="271"/>
      <c r="C59" s="270"/>
      <c r="D59" s="270"/>
      <c r="E59" s="270"/>
      <c r="F59" s="270"/>
      <c r="G59" s="271"/>
      <c r="H59" s="271"/>
      <c r="I59" s="271"/>
      <c r="J59" s="270"/>
      <c r="K59" s="270"/>
      <c r="L59" s="270"/>
      <c r="M59" s="270"/>
      <c r="N59" s="270"/>
      <c r="O59" s="270"/>
      <c r="P59" s="270"/>
      <c r="Q59" s="270"/>
      <c r="R59" s="558" t="s">
        <v>1731</v>
      </c>
      <c r="S59" s="611">
        <v>0.52777777777777779</v>
      </c>
      <c r="T59" s="617"/>
      <c r="U59" s="1502"/>
      <c r="V59" s="479" t="str">
        <f>IF(G41="","",G41)</f>
        <v>Emmanuel GORGETTE (iss)</v>
      </c>
      <c r="W59" s="480">
        <v>4</v>
      </c>
      <c r="X59" s="481" t="s">
        <v>769</v>
      </c>
      <c r="Y59" s="480">
        <v>3</v>
      </c>
      <c r="Z59" s="482" t="str">
        <f>IF(G42="","",G42)</f>
        <v>Axel DONVAL (iss)</v>
      </c>
      <c r="AA59" s="839"/>
      <c r="AB59" s="1459">
        <f t="shared" si="19"/>
        <v>4</v>
      </c>
      <c r="AC59" s="1460" t="str">
        <f t="shared" si="20"/>
        <v>-</v>
      </c>
      <c r="AD59" s="1459">
        <f t="shared" si="21"/>
        <v>3</v>
      </c>
      <c r="AE59" s="968" t="str">
        <f t="shared" si="22"/>
        <v>Emmanuel GORGETTE (iss)</v>
      </c>
      <c r="AF59" s="968" t="str">
        <f t="shared" si="23"/>
        <v/>
      </c>
      <c r="AG59" s="968" t="str">
        <f t="shared" si="24"/>
        <v/>
      </c>
      <c r="AH59" s="968" t="str">
        <f t="shared" si="25"/>
        <v>Axel DONVAL (iss)</v>
      </c>
      <c r="AI59" s="968" t="str">
        <f t="shared" si="26"/>
        <v>Emmanuel GORGETTE (iss)Axel DONVAL (iss)</v>
      </c>
      <c r="AJ59" s="968"/>
      <c r="AK59" s="968"/>
      <c r="AL59" s="270"/>
      <c r="AM59" s="270"/>
      <c r="AN59" s="575"/>
      <c r="AO59" s="270"/>
      <c r="AP59" s="271"/>
      <c r="AQ59" s="271"/>
      <c r="AR59" s="271"/>
      <c r="AS59" s="271"/>
      <c r="AT59" s="271"/>
      <c r="AU59" s="271"/>
      <c r="AV59" s="271"/>
      <c r="AW59" s="271"/>
      <c r="AX59" s="271"/>
      <c r="AY59" s="271"/>
      <c r="AZ59" s="271"/>
      <c r="BA59" s="271"/>
      <c r="BB59" s="271"/>
      <c r="BC59" s="271"/>
      <c r="BD59" s="271"/>
      <c r="BE59" s="271"/>
      <c r="BF59" s="271"/>
      <c r="BG59" s="271"/>
      <c r="BH59" s="271"/>
      <c r="BI59" s="271"/>
      <c r="BJ59" s="271"/>
      <c r="BK59" s="271"/>
      <c r="BL59" s="271"/>
      <c r="BM59" s="271"/>
      <c r="BN59" s="271"/>
      <c r="BO59" s="271"/>
      <c r="BP59" s="271"/>
      <c r="BQ59" s="271"/>
      <c r="BR59" s="271"/>
      <c r="BS59" s="271"/>
      <c r="BT59" s="271"/>
      <c r="BU59" s="271"/>
      <c r="BV59" s="271"/>
      <c r="BW59" s="271"/>
      <c r="BX59" s="271"/>
      <c r="BY59" s="271"/>
      <c r="BZ59"/>
      <c r="CA59" s="1396"/>
      <c r="CB59" s="1396"/>
      <c r="CC59" s="270"/>
      <c r="CD59" s="270"/>
      <c r="CE59"/>
    </row>
    <row r="60" spans="1:83" outlineLevel="2" x14ac:dyDescent="0.2">
      <c r="A60" s="270"/>
      <c r="B60" s="271"/>
      <c r="C60" s="270"/>
      <c r="D60" s="270"/>
      <c r="E60" s="270"/>
      <c r="F60" s="270"/>
      <c r="G60" s="271"/>
      <c r="H60" s="271"/>
      <c r="I60" s="271"/>
      <c r="J60" s="270"/>
      <c r="K60" s="270"/>
      <c r="L60" s="270"/>
      <c r="M60" s="270"/>
      <c r="N60" s="270"/>
      <c r="O60" s="270"/>
      <c r="P60" s="270"/>
      <c r="Q60" s="270"/>
      <c r="R60" s="558" t="s">
        <v>1731</v>
      </c>
      <c r="S60" s="613">
        <v>0.52777777777777779</v>
      </c>
      <c r="T60" s="618"/>
      <c r="U60" s="1504"/>
      <c r="V60" s="491" t="str">
        <f>IF(G43="","",G43)</f>
        <v>Jean-François BALARD (puy)</v>
      </c>
      <c r="W60" s="492">
        <v>3</v>
      </c>
      <c r="X60" s="493" t="s">
        <v>769</v>
      </c>
      <c r="Y60" s="492">
        <v>3</v>
      </c>
      <c r="Z60" s="494" t="str">
        <f>IF(G40="","",G40)</f>
        <v>Jean-Marie AMBERNY (iss)</v>
      </c>
      <c r="AA60" s="839"/>
      <c r="AB60" s="1459">
        <f t="shared" si="19"/>
        <v>3</v>
      </c>
      <c r="AC60" s="1460" t="str">
        <f t="shared" si="20"/>
        <v>-</v>
      </c>
      <c r="AD60" s="1459">
        <f t="shared" si="21"/>
        <v>3</v>
      </c>
      <c r="AE60" s="968" t="str">
        <f t="shared" si="22"/>
        <v/>
      </c>
      <c r="AF60" s="968" t="str">
        <f t="shared" si="23"/>
        <v>Jean-François BALARD (puy)</v>
      </c>
      <c r="AG60" s="968" t="str">
        <f t="shared" si="24"/>
        <v>Jean-Marie AMBERNY (iss)</v>
      </c>
      <c r="AH60" s="968" t="str">
        <f t="shared" si="25"/>
        <v/>
      </c>
      <c r="AI60" s="968" t="str">
        <f t="shared" si="26"/>
        <v/>
      </c>
      <c r="AJ60" s="968"/>
      <c r="AK60" s="968"/>
      <c r="AL60" s="270"/>
      <c r="AM60" s="270"/>
      <c r="AN60" s="575"/>
      <c r="AO60" s="270"/>
      <c r="AP60" s="271"/>
      <c r="AQ60" s="271"/>
      <c r="AR60" s="271"/>
      <c r="AS60" s="271"/>
      <c r="AT60" s="271"/>
      <c r="AU60" s="271"/>
      <c r="AV60" s="271"/>
      <c r="AW60" s="271"/>
      <c r="AX60" s="271"/>
      <c r="AY60" s="271"/>
      <c r="AZ60" s="271"/>
      <c r="BA60" s="271"/>
      <c r="BB60" s="271"/>
      <c r="BC60" s="271"/>
      <c r="BD60" s="271"/>
      <c r="BE60" s="271"/>
      <c r="BF60" s="271"/>
      <c r="BG60" s="271"/>
      <c r="BH60" s="271"/>
      <c r="BI60" s="271"/>
      <c r="BJ60" s="271"/>
      <c r="BK60" s="271"/>
      <c r="BL60" s="271"/>
      <c r="BM60" s="271"/>
      <c r="BN60" s="271"/>
      <c r="BO60" s="271"/>
      <c r="BP60" s="271"/>
      <c r="BQ60" s="271"/>
      <c r="BR60" s="271"/>
      <c r="BS60" s="271"/>
      <c r="BT60" s="271"/>
      <c r="BU60" s="271"/>
      <c r="BV60" s="271"/>
      <c r="BW60" s="271"/>
      <c r="BX60" s="271"/>
      <c r="BY60" s="271"/>
      <c r="BZ60"/>
      <c r="CA60" s="1396"/>
      <c r="CB60" s="1396"/>
      <c r="CC60" s="270"/>
      <c r="CD60" s="270"/>
      <c r="CE60"/>
    </row>
    <row r="61" spans="1:83" outlineLevel="2" x14ac:dyDescent="0.2">
      <c r="A61" s="270"/>
      <c r="B61" s="271"/>
      <c r="C61" s="270"/>
      <c r="D61" s="270"/>
      <c r="E61" s="270"/>
      <c r="F61" s="270"/>
      <c r="G61" s="271"/>
      <c r="H61" s="271"/>
      <c r="I61" s="271"/>
      <c r="J61" s="270"/>
      <c r="K61" s="270"/>
      <c r="L61" s="270"/>
      <c r="M61" s="270"/>
      <c r="N61" s="270"/>
      <c r="O61" s="270"/>
      <c r="P61" s="270"/>
      <c r="Q61" s="270"/>
      <c r="R61" s="558" t="s">
        <v>1731</v>
      </c>
      <c r="S61" s="613">
        <v>0.52777777777777779</v>
      </c>
      <c r="T61" s="623"/>
      <c r="U61" s="1504"/>
      <c r="V61" s="491" t="str">
        <f>IF(G44="","",G44)</f>
        <v>Audrey HERBAUT (chp)</v>
      </c>
      <c r="W61" s="492">
        <v>2</v>
      </c>
      <c r="X61" s="493" t="s">
        <v>769</v>
      </c>
      <c r="Y61" s="492">
        <v>3</v>
      </c>
      <c r="Z61" s="494" t="str">
        <f>IF(G39="","",G39)</f>
        <v>Stéphane POMMIER (cae)</v>
      </c>
      <c r="AA61" s="839"/>
      <c r="AB61" s="1459">
        <f t="shared" si="19"/>
        <v>2</v>
      </c>
      <c r="AC61" s="1460" t="str">
        <f t="shared" si="20"/>
        <v>-</v>
      </c>
      <c r="AD61" s="1459">
        <f t="shared" si="21"/>
        <v>3</v>
      </c>
      <c r="AE61" s="968" t="str">
        <f t="shared" si="22"/>
        <v>Stéphane POMMIER (cae)</v>
      </c>
      <c r="AF61" s="968" t="str">
        <f t="shared" si="23"/>
        <v/>
      </c>
      <c r="AG61" s="968" t="str">
        <f t="shared" si="24"/>
        <v/>
      </c>
      <c r="AH61" s="968" t="str">
        <f t="shared" si="25"/>
        <v>Audrey HERBAUT (chp)</v>
      </c>
      <c r="AI61" s="968" t="str">
        <f t="shared" si="26"/>
        <v>Stéphane POMMIER (cae)Audrey HERBAUT (chp)</v>
      </c>
      <c r="AJ61" s="968"/>
      <c r="AK61" s="968"/>
      <c r="AL61" s="270"/>
      <c r="AM61" s="270"/>
      <c r="AN61" s="575"/>
      <c r="AO61" s="270"/>
      <c r="AP61" s="271"/>
      <c r="AQ61" s="271"/>
      <c r="AR61" s="271"/>
      <c r="AS61" s="271"/>
      <c r="AT61" s="271"/>
      <c r="AU61" s="271"/>
      <c r="AV61" s="271"/>
      <c r="AW61" s="271"/>
      <c r="AX61" s="271"/>
      <c r="AY61" s="271"/>
      <c r="AZ61" s="271"/>
      <c r="BA61" s="271"/>
      <c r="BB61" s="271"/>
      <c r="BC61" s="271"/>
      <c r="BD61" s="271"/>
      <c r="BE61" s="271"/>
      <c r="BF61" s="271"/>
      <c r="BG61" s="271"/>
      <c r="BH61" s="271"/>
      <c r="BI61" s="271"/>
      <c r="BJ61" s="271"/>
      <c r="BK61" s="271"/>
      <c r="BL61" s="271"/>
      <c r="BM61" s="271"/>
      <c r="BN61" s="271"/>
      <c r="BO61" s="271"/>
      <c r="BP61" s="271"/>
      <c r="BQ61" s="271"/>
      <c r="BR61" s="271"/>
      <c r="BS61" s="271"/>
      <c r="BT61" s="271"/>
      <c r="BU61" s="271"/>
      <c r="BV61" s="271"/>
      <c r="BW61" s="271"/>
      <c r="BX61" s="271"/>
      <c r="BY61" s="271"/>
      <c r="BZ61"/>
      <c r="CA61" s="1396"/>
      <c r="CB61" s="1396"/>
      <c r="CC61" s="270"/>
      <c r="CD61" s="270"/>
      <c r="CE61"/>
    </row>
    <row r="62" spans="1:83" ht="13.5" outlineLevel="2" thickBot="1" x14ac:dyDescent="0.25">
      <c r="A62" s="270"/>
      <c r="B62" s="271"/>
      <c r="C62" s="270"/>
      <c r="D62" s="270"/>
      <c r="E62" s="270"/>
      <c r="F62" s="270"/>
      <c r="G62" s="271"/>
      <c r="H62" s="271"/>
      <c r="I62" s="271"/>
      <c r="J62" s="270"/>
      <c r="K62" s="270"/>
      <c r="L62" s="270"/>
      <c r="M62" s="270"/>
      <c r="N62" s="270"/>
      <c r="O62" s="270"/>
      <c r="P62" s="270"/>
      <c r="Q62" s="270"/>
      <c r="R62" s="558" t="s">
        <v>1731</v>
      </c>
      <c r="S62" s="615">
        <v>0.52777777777777779</v>
      </c>
      <c r="T62" s="619"/>
      <c r="U62" s="1503"/>
      <c r="V62" s="495" t="str">
        <f>IF(G45="","",G45)</f>
        <v>Quentin AUSSET (chp)</v>
      </c>
      <c r="W62" s="496">
        <v>1</v>
      </c>
      <c r="X62" s="497" t="s">
        <v>769</v>
      </c>
      <c r="Y62" s="496">
        <v>3</v>
      </c>
      <c r="Z62" s="498" t="str">
        <f>IF(G46="","",G46)</f>
        <v>Mickaël BLANC (sym)</v>
      </c>
      <c r="AA62" s="839"/>
      <c r="AB62" s="1459">
        <f t="shared" si="19"/>
        <v>1</v>
      </c>
      <c r="AC62" s="1460" t="str">
        <f t="shared" si="20"/>
        <v>-</v>
      </c>
      <c r="AD62" s="1459">
        <f t="shared" si="21"/>
        <v>3</v>
      </c>
      <c r="AE62" s="968" t="str">
        <f t="shared" si="22"/>
        <v>Mickaël BLANC (sym)</v>
      </c>
      <c r="AF62" s="968" t="str">
        <f t="shared" si="23"/>
        <v/>
      </c>
      <c r="AG62" s="968" t="str">
        <f t="shared" si="24"/>
        <v/>
      </c>
      <c r="AH62" s="968" t="str">
        <f t="shared" si="25"/>
        <v>Quentin AUSSET (chp)</v>
      </c>
      <c r="AI62" s="968" t="str">
        <f t="shared" si="26"/>
        <v>Mickaël BLANC (sym)Quentin AUSSET (chp)</v>
      </c>
      <c r="AJ62" s="968"/>
      <c r="AK62" s="968"/>
      <c r="AL62" s="270"/>
      <c r="AM62" s="270"/>
      <c r="AN62" s="575"/>
      <c r="AO62" s="270"/>
      <c r="AP62" s="271"/>
      <c r="AQ62" s="271"/>
      <c r="AR62" s="271"/>
      <c r="AS62" s="271"/>
      <c r="AT62" s="271"/>
      <c r="AU62" s="271"/>
      <c r="AV62" s="271"/>
      <c r="AW62" s="271"/>
      <c r="AX62" s="271"/>
      <c r="AY62" s="271"/>
      <c r="AZ62" s="271"/>
      <c r="BA62" s="271"/>
      <c r="BB62" s="271"/>
      <c r="BC62" s="271"/>
      <c r="BD62" s="271"/>
      <c r="BE62" s="271"/>
      <c r="BF62" s="271"/>
      <c r="BG62" s="271"/>
      <c r="BH62" s="271"/>
      <c r="BI62" s="271"/>
      <c r="BJ62" s="271"/>
      <c r="BK62" s="271"/>
      <c r="BL62" s="271"/>
      <c r="BM62" s="271"/>
      <c r="BN62" s="271"/>
      <c r="BO62" s="271"/>
      <c r="BP62" s="271"/>
      <c r="BQ62" s="271"/>
      <c r="BR62" s="271"/>
      <c r="BS62" s="271"/>
      <c r="BT62" s="271"/>
      <c r="BU62" s="271"/>
      <c r="BV62" s="271"/>
      <c r="BW62" s="271"/>
      <c r="BX62" s="271"/>
      <c r="BY62" s="271"/>
      <c r="BZ62"/>
      <c r="CA62" s="1396"/>
      <c r="CB62" s="1396"/>
      <c r="CC62" s="270"/>
      <c r="CD62" s="270"/>
      <c r="CE62"/>
    </row>
    <row r="63" spans="1:83" outlineLevel="2" x14ac:dyDescent="0.2">
      <c r="A63" s="270"/>
      <c r="B63" s="271"/>
      <c r="C63" s="270"/>
      <c r="D63" s="270"/>
      <c r="E63" s="270"/>
      <c r="F63" s="270"/>
      <c r="G63" s="271"/>
      <c r="H63" s="271"/>
      <c r="I63" s="271"/>
      <c r="J63" s="270"/>
      <c r="K63" s="270"/>
      <c r="L63" s="270"/>
      <c r="M63" s="270"/>
      <c r="N63" s="270"/>
      <c r="O63" s="270"/>
      <c r="P63" s="270"/>
      <c r="Q63" s="270"/>
      <c r="R63" s="558" t="s">
        <v>1740</v>
      </c>
      <c r="S63" s="611">
        <v>0.55902777777777779</v>
      </c>
      <c r="T63" s="617"/>
      <c r="U63" s="1502"/>
      <c r="V63" s="479" t="str">
        <f>IF(G40="","",G40)</f>
        <v>Jean-Marie AMBERNY (iss)</v>
      </c>
      <c r="W63" s="480">
        <v>4</v>
      </c>
      <c r="X63" s="481" t="s">
        <v>769</v>
      </c>
      <c r="Y63" s="480">
        <v>3</v>
      </c>
      <c r="Z63" s="482" t="str">
        <f>IF(G45="","",G45)</f>
        <v>Quentin AUSSET (chp)</v>
      </c>
      <c r="AA63" s="839"/>
      <c r="AB63" s="1459">
        <f t="shared" si="19"/>
        <v>4</v>
      </c>
      <c r="AC63" s="1460" t="str">
        <f t="shared" si="20"/>
        <v>-</v>
      </c>
      <c r="AD63" s="1459">
        <f t="shared" si="21"/>
        <v>3</v>
      </c>
      <c r="AE63" s="968" t="str">
        <f t="shared" si="22"/>
        <v>Jean-Marie AMBERNY (iss)</v>
      </c>
      <c r="AF63" s="968" t="str">
        <f t="shared" si="23"/>
        <v/>
      </c>
      <c r="AG63" s="968" t="str">
        <f t="shared" si="24"/>
        <v/>
      </c>
      <c r="AH63" s="968" t="str">
        <f t="shared" si="25"/>
        <v>Quentin AUSSET (chp)</v>
      </c>
      <c r="AI63" s="968" t="str">
        <f t="shared" si="26"/>
        <v>Jean-Marie AMBERNY (iss)Quentin AUSSET (chp)</v>
      </c>
      <c r="AJ63" s="968"/>
      <c r="AK63" s="968"/>
      <c r="AL63" s="270"/>
      <c r="AM63" s="270"/>
      <c r="AN63" s="575"/>
      <c r="AO63" s="270"/>
      <c r="AP63" s="271"/>
      <c r="AQ63" s="271"/>
      <c r="AR63" s="271"/>
      <c r="AS63" s="271"/>
      <c r="AT63" s="271"/>
      <c r="AU63" s="271"/>
      <c r="AV63" s="271"/>
      <c r="AW63" s="271"/>
      <c r="AX63" s="271"/>
      <c r="AY63" s="271"/>
      <c r="AZ63" s="271"/>
      <c r="BA63" s="271"/>
      <c r="BB63" s="271"/>
      <c r="BC63" s="271"/>
      <c r="BD63" s="271"/>
      <c r="BE63" s="271"/>
      <c r="BF63" s="271"/>
      <c r="BG63" s="271"/>
      <c r="BH63" s="271"/>
      <c r="BI63" s="271"/>
      <c r="BJ63" s="271"/>
      <c r="BK63" s="271"/>
      <c r="BL63" s="271"/>
      <c r="BM63" s="271"/>
      <c r="BN63" s="271"/>
      <c r="BO63" s="271"/>
      <c r="BP63" s="271"/>
      <c r="BQ63" s="271"/>
      <c r="BR63" s="271"/>
      <c r="BS63" s="271"/>
      <c r="BT63" s="271"/>
      <c r="BU63" s="271"/>
      <c r="BV63" s="271"/>
      <c r="BW63" s="271"/>
      <c r="BX63" s="271"/>
      <c r="BY63" s="271"/>
      <c r="BZ63"/>
      <c r="CA63" s="1396"/>
      <c r="CB63" s="1396"/>
      <c r="CC63" s="270"/>
      <c r="CD63" s="270"/>
      <c r="CE63"/>
    </row>
    <row r="64" spans="1:83" outlineLevel="2" x14ac:dyDescent="0.2">
      <c r="A64" s="270"/>
      <c r="B64" s="271"/>
      <c r="C64" s="270"/>
      <c r="D64" s="270"/>
      <c r="E64" s="270"/>
      <c r="F64" s="270"/>
      <c r="G64" s="271"/>
      <c r="H64" s="271"/>
      <c r="I64" s="271"/>
      <c r="J64" s="270"/>
      <c r="K64" s="270"/>
      <c r="L64" s="270"/>
      <c r="M64" s="270"/>
      <c r="N64" s="270"/>
      <c r="O64" s="270"/>
      <c r="P64" s="270"/>
      <c r="Q64" s="270"/>
      <c r="R64" s="558" t="s">
        <v>1740</v>
      </c>
      <c r="S64" s="613">
        <v>0.55902777777777779</v>
      </c>
      <c r="T64" s="618"/>
      <c r="U64" s="1504"/>
      <c r="V64" s="491" t="str">
        <f>IF(G41="","",G41)</f>
        <v>Emmanuel GORGETTE (iss)</v>
      </c>
      <c r="W64" s="492">
        <v>3</v>
      </c>
      <c r="X64" s="493" t="s">
        <v>769</v>
      </c>
      <c r="Y64" s="492">
        <v>3</v>
      </c>
      <c r="Z64" s="494" t="str">
        <f>IF(G44="","",G44)</f>
        <v>Audrey HERBAUT (chp)</v>
      </c>
      <c r="AA64" s="839"/>
      <c r="AB64" s="1459">
        <f t="shared" si="19"/>
        <v>3</v>
      </c>
      <c r="AC64" s="1460" t="str">
        <f t="shared" si="20"/>
        <v>-</v>
      </c>
      <c r="AD64" s="1459">
        <f t="shared" si="21"/>
        <v>3</v>
      </c>
      <c r="AE64" s="968" t="str">
        <f t="shared" si="22"/>
        <v/>
      </c>
      <c r="AF64" s="968" t="str">
        <f t="shared" si="23"/>
        <v>Emmanuel GORGETTE (iss)</v>
      </c>
      <c r="AG64" s="968" t="str">
        <f t="shared" si="24"/>
        <v>Audrey HERBAUT (chp)</v>
      </c>
      <c r="AH64" s="968" t="str">
        <f t="shared" si="25"/>
        <v/>
      </c>
      <c r="AI64" s="968" t="str">
        <f t="shared" si="26"/>
        <v/>
      </c>
      <c r="AJ64" s="968"/>
      <c r="AK64" s="968"/>
      <c r="AL64" s="270"/>
      <c r="AM64" s="270"/>
      <c r="AN64" s="575"/>
      <c r="AO64" s="270"/>
      <c r="AP64" s="271"/>
      <c r="AQ64" s="271"/>
      <c r="AR64" s="271"/>
      <c r="AS64" s="271"/>
      <c r="AT64" s="271"/>
      <c r="AU64" s="271"/>
      <c r="AV64" s="271"/>
      <c r="AW64" s="271"/>
      <c r="AX64" s="271"/>
      <c r="AY64" s="271"/>
      <c r="AZ64" s="271"/>
      <c r="BA64" s="271"/>
      <c r="BB64" s="271"/>
      <c r="BC64" s="271"/>
      <c r="BD64" s="271"/>
      <c r="BE64" s="271"/>
      <c r="BF64" s="271"/>
      <c r="BG64" s="271"/>
      <c r="BH64" s="271"/>
      <c r="BI64" s="271"/>
      <c r="BJ64" s="271"/>
      <c r="BK64" s="271"/>
      <c r="BL64" s="271"/>
      <c r="BM64" s="271"/>
      <c r="BN64" s="271"/>
      <c r="BO64" s="271"/>
      <c r="BP64" s="271"/>
      <c r="BQ64" s="271"/>
      <c r="BR64" s="271"/>
      <c r="BS64" s="271"/>
      <c r="BT64" s="271"/>
      <c r="BU64" s="271"/>
      <c r="BV64" s="271"/>
      <c r="BW64" s="271"/>
      <c r="BX64" s="271"/>
      <c r="BY64" s="271"/>
      <c r="BZ64"/>
      <c r="CA64" s="1396"/>
      <c r="CB64" s="1396"/>
      <c r="CC64" s="270"/>
      <c r="CD64" s="270"/>
      <c r="CE64"/>
    </row>
    <row r="65" spans="1:83" outlineLevel="2" x14ac:dyDescent="0.2">
      <c r="A65" s="270"/>
      <c r="B65" s="271"/>
      <c r="C65" s="270"/>
      <c r="D65" s="270"/>
      <c r="E65" s="270"/>
      <c r="F65" s="270"/>
      <c r="G65" s="271"/>
      <c r="H65" s="271"/>
      <c r="I65" s="271"/>
      <c r="J65" s="270"/>
      <c r="K65" s="270"/>
      <c r="L65" s="270"/>
      <c r="M65" s="270"/>
      <c r="N65" s="270"/>
      <c r="O65" s="270"/>
      <c r="P65" s="270"/>
      <c r="Q65" s="270"/>
      <c r="R65" s="558" t="s">
        <v>1740</v>
      </c>
      <c r="S65" s="613">
        <v>0.55902777777777779</v>
      </c>
      <c r="T65" s="618"/>
      <c r="U65" s="1504"/>
      <c r="V65" s="491" t="str">
        <f>IF(G42="","",G42)</f>
        <v>Axel DONVAL (iss)</v>
      </c>
      <c r="W65" s="492">
        <v>2</v>
      </c>
      <c r="X65" s="493" t="s">
        <v>769</v>
      </c>
      <c r="Y65" s="492">
        <v>3</v>
      </c>
      <c r="Z65" s="494" t="str">
        <f>IF(G43="","",G43)</f>
        <v>Jean-François BALARD (puy)</v>
      </c>
      <c r="AA65" s="839"/>
      <c r="AB65" s="1459">
        <f t="shared" si="19"/>
        <v>2</v>
      </c>
      <c r="AC65" s="1460" t="str">
        <f t="shared" si="20"/>
        <v>-</v>
      </c>
      <c r="AD65" s="1459">
        <f t="shared" si="21"/>
        <v>3</v>
      </c>
      <c r="AE65" s="968" t="str">
        <f t="shared" si="22"/>
        <v>Jean-François BALARD (puy)</v>
      </c>
      <c r="AF65" s="968" t="str">
        <f t="shared" si="23"/>
        <v/>
      </c>
      <c r="AG65" s="968" t="str">
        <f t="shared" si="24"/>
        <v/>
      </c>
      <c r="AH65" s="968" t="str">
        <f t="shared" si="25"/>
        <v>Axel DONVAL (iss)</v>
      </c>
      <c r="AI65" s="968" t="str">
        <f t="shared" si="26"/>
        <v>Jean-François BALARD (puy)Axel DONVAL (iss)</v>
      </c>
      <c r="AJ65" s="968"/>
      <c r="AK65" s="968"/>
      <c r="AL65" s="270"/>
      <c r="AM65" s="270"/>
      <c r="AN65" s="575"/>
      <c r="AO65" s="270"/>
      <c r="AP65" s="271"/>
      <c r="AQ65" s="271"/>
      <c r="AR65" s="271"/>
      <c r="AS65" s="271"/>
      <c r="AT65" s="271"/>
      <c r="AU65" s="271"/>
      <c r="AV65" s="271"/>
      <c r="AW65" s="271"/>
      <c r="AX65" s="271"/>
      <c r="AY65" s="271"/>
      <c r="AZ65" s="271"/>
      <c r="BA65" s="271"/>
      <c r="BB65" s="271"/>
      <c r="BC65" s="271"/>
      <c r="BD65" s="271"/>
      <c r="BE65" s="271"/>
      <c r="BF65" s="271"/>
      <c r="BG65" s="271"/>
      <c r="BH65" s="271"/>
      <c r="BI65" s="271"/>
      <c r="BJ65" s="271"/>
      <c r="BK65" s="271"/>
      <c r="BL65" s="271"/>
      <c r="BM65" s="271"/>
      <c r="BN65" s="271"/>
      <c r="BO65" s="271"/>
      <c r="BP65" s="271"/>
      <c r="BQ65" s="271"/>
      <c r="BR65" s="271"/>
      <c r="BS65" s="271"/>
      <c r="BT65" s="271"/>
      <c r="BU65" s="271"/>
      <c r="BV65" s="271"/>
      <c r="BW65" s="271"/>
      <c r="BX65" s="271"/>
      <c r="BY65" s="271"/>
      <c r="BZ65"/>
      <c r="CA65" s="1396"/>
      <c r="CB65" s="1396"/>
      <c r="CC65" s="270"/>
      <c r="CD65" s="270"/>
      <c r="CE65"/>
    </row>
    <row r="66" spans="1:83" ht="13.5" outlineLevel="2" thickBot="1" x14ac:dyDescent="0.25">
      <c r="A66" s="270"/>
      <c r="B66" s="271"/>
      <c r="C66" s="270"/>
      <c r="D66" s="270"/>
      <c r="E66" s="270"/>
      <c r="F66" s="270"/>
      <c r="G66" s="271"/>
      <c r="H66" s="271"/>
      <c r="I66" s="271"/>
      <c r="J66" s="270"/>
      <c r="K66" s="270"/>
      <c r="L66" s="270"/>
      <c r="M66" s="270"/>
      <c r="N66" s="270"/>
      <c r="O66" s="270"/>
      <c r="P66" s="270"/>
      <c r="Q66" s="270"/>
      <c r="R66" s="558" t="s">
        <v>1740</v>
      </c>
      <c r="S66" s="615">
        <v>0.55902777777777779</v>
      </c>
      <c r="T66" s="619"/>
      <c r="U66" s="1503"/>
      <c r="V66" s="495" t="str">
        <f>IF(G46="","",G46)</f>
        <v>Mickaël BLANC (sym)</v>
      </c>
      <c r="W66" s="496">
        <v>1</v>
      </c>
      <c r="X66" s="497" t="s">
        <v>769</v>
      </c>
      <c r="Y66" s="496">
        <v>3</v>
      </c>
      <c r="Z66" s="498" t="str">
        <f>IF(G39="","",G39)</f>
        <v>Stéphane POMMIER (cae)</v>
      </c>
      <c r="AA66" s="839"/>
      <c r="AB66" s="1459">
        <f t="shared" si="19"/>
        <v>1</v>
      </c>
      <c r="AC66" s="1460" t="str">
        <f t="shared" si="20"/>
        <v>-</v>
      </c>
      <c r="AD66" s="1459">
        <f t="shared" si="21"/>
        <v>3</v>
      </c>
      <c r="AE66" s="968" t="str">
        <f t="shared" si="22"/>
        <v>Stéphane POMMIER (cae)</v>
      </c>
      <c r="AF66" s="968" t="str">
        <f t="shared" si="23"/>
        <v/>
      </c>
      <c r="AG66" s="968" t="str">
        <f t="shared" si="24"/>
        <v/>
      </c>
      <c r="AH66" s="968" t="str">
        <f t="shared" si="25"/>
        <v>Mickaël BLANC (sym)</v>
      </c>
      <c r="AI66" s="968" t="str">
        <f t="shared" si="26"/>
        <v>Stéphane POMMIER (cae)Mickaël BLANC (sym)</v>
      </c>
      <c r="AJ66" s="968"/>
      <c r="AK66" s="968"/>
      <c r="AL66" s="270"/>
      <c r="AM66" s="270"/>
      <c r="AN66" s="575"/>
      <c r="AO66" s="270"/>
      <c r="AP66" s="271"/>
      <c r="AQ66" s="271"/>
      <c r="AR66" s="271"/>
      <c r="AS66" s="271"/>
      <c r="AT66" s="271"/>
      <c r="AU66" s="271"/>
      <c r="AV66" s="271"/>
      <c r="AW66" s="271"/>
      <c r="AX66" s="271"/>
      <c r="AY66" s="271"/>
      <c r="AZ66" s="271"/>
      <c r="BA66" s="271"/>
      <c r="BB66" s="271"/>
      <c r="BC66" s="271"/>
      <c r="BD66" s="271"/>
      <c r="BE66" s="271"/>
      <c r="BF66" s="271"/>
      <c r="BG66" s="271"/>
      <c r="BH66" s="271"/>
      <c r="BI66" s="271"/>
      <c r="BJ66" s="271"/>
      <c r="BK66" s="271"/>
      <c r="BL66" s="271"/>
      <c r="BM66" s="271"/>
      <c r="BN66" s="271"/>
      <c r="BO66" s="271"/>
      <c r="BP66" s="271"/>
      <c r="BQ66" s="271"/>
      <c r="BR66" s="271"/>
      <c r="BS66" s="271"/>
      <c r="BT66" s="271"/>
      <c r="BU66" s="271"/>
      <c r="BV66" s="271"/>
      <c r="BW66" s="271"/>
      <c r="BX66" s="271"/>
      <c r="BY66" s="271"/>
      <c r="BZ66"/>
      <c r="CA66" s="1396"/>
      <c r="CB66" s="1396"/>
      <c r="CC66" s="270"/>
      <c r="CD66" s="270"/>
      <c r="CE66"/>
    </row>
    <row r="67" spans="1:83" outlineLevel="1" x14ac:dyDescent="0.2">
      <c r="A67"/>
      <c r="B67" s="1"/>
      <c r="C67"/>
      <c r="D67"/>
      <c r="E67"/>
      <c r="F67"/>
      <c r="G67" s="1"/>
      <c r="H67" s="1"/>
      <c r="I67" s="1"/>
      <c r="J67"/>
      <c r="K67"/>
      <c r="L67"/>
      <c r="M67"/>
      <c r="N67"/>
      <c r="O67"/>
      <c r="P67"/>
      <c r="Q67"/>
      <c r="R67" s="334"/>
      <c r="S67" s="1"/>
      <c r="T67" s="1"/>
      <c r="U67"/>
      <c r="V67" s="6"/>
      <c r="W67" s="1"/>
      <c r="X67" s="1"/>
      <c r="Y67" s="1"/>
      <c r="Z67" s="16"/>
      <c r="AA67" s="123"/>
      <c r="AB67" s="963"/>
      <c r="AC67" s="963"/>
      <c r="AD67" s="963"/>
      <c r="AE67" s="964"/>
      <c r="AF67" s="964"/>
      <c r="AG67" s="964"/>
      <c r="AH67" s="964"/>
      <c r="AI67" s="964"/>
      <c r="AJ67" s="964"/>
      <c r="AK67" s="964"/>
      <c r="AL67"/>
      <c r="AM67"/>
      <c r="AO67"/>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c r="CA67" s="1396"/>
      <c r="CB67" s="1396"/>
      <c r="CC67"/>
      <c r="CD67"/>
      <c r="CE67"/>
    </row>
  </sheetData>
  <sheetProtection formatColumns="0" formatRows="0"/>
  <dataConsolidate/>
  <conditionalFormatting sqref="G3:G46">
    <cfRule type="expression" dxfId="8" priority="3" stopIfTrue="1">
      <formula>$BZ3</formula>
    </cfRule>
  </conditionalFormatting>
  <conditionalFormatting sqref="AN3:AW46">
    <cfRule type="expression" dxfId="7" priority="2" stopIfTrue="1">
      <formula>$CB3</formula>
    </cfRule>
  </conditionalFormatting>
  <conditionalFormatting sqref="AO3:AO46">
    <cfRule type="expression" dxfId="6" priority="1">
      <formula>$CA3</formula>
    </cfRule>
  </conditionalFormatting>
  <dataValidations count="59">
    <dataValidation type="list" allowBlank="1" showInputMessage="1" sqref="G39:G46 G7:G14" xr:uid="{6C42A97A-AE9B-41B1-ADC3-D9173EBDA622}">
      <formula1>OFFSET(List_headers,1,MATCH(Particular_Category,List_headers,0)-1,OFFSET(List_headers,-1,MATCH(Particular_Category,List_headers,0)-1,1,1)+1,1)</formula1>
    </dataValidation>
    <dataValidation type="list" allowBlank="1" showInputMessage="1" showErrorMessage="1" sqref="U39:U66 U7:U34" xr:uid="{53FFE7D2-2C1B-478C-89E6-DD8E1A50CB8F}">
      <formula1>List_Referee</formula1>
    </dataValidation>
    <dataValidation type="whole" allowBlank="1" showInputMessage="1" showErrorMessage="1" errorTitle="Erreur de saisie" error="Vous devez tapez un nombre entier entre 0 et 100" sqref="Y39:Y66 W39:W66 Y7:Y34 W7:W34" xr:uid="{66F74210-C156-4A72-BC9F-1290B168375B}">
      <formula1>0</formula1>
      <formula2>100</formula2>
    </dataValidation>
    <dataValidation type="list" allowBlank="1" showInputMessage="1" showErrorMessage="1" sqref="Z66 Z34" xr:uid="{27A9212D-A07D-42AA-B67F-6880623604BA}">
      <formula1>G7:G14</formula1>
    </dataValidation>
    <dataValidation type="list" allowBlank="1" showInputMessage="1" showErrorMessage="1" sqref="Z65 Z33" xr:uid="{A70D101B-A106-4DB3-80B7-4E86040F2FFC}">
      <formula1>G7:G14</formula1>
    </dataValidation>
    <dataValidation type="list" allowBlank="1" showInputMessage="1" showErrorMessage="1" sqref="Z64 Z32" xr:uid="{D5318E44-09CD-42F3-BF41-FBCB37E28B25}">
      <formula1>G7:G14</formula1>
    </dataValidation>
    <dataValidation type="list" allowBlank="1" showInputMessage="1" showErrorMessage="1" sqref="Z63 Z31" xr:uid="{09B6093E-16F3-419A-9C37-DD5B81713354}">
      <formula1>G7:G14</formula1>
    </dataValidation>
    <dataValidation type="list" allowBlank="1" showInputMessage="1" showErrorMessage="1" sqref="Z62 Z30" xr:uid="{2EF264A0-1FC7-4E4B-B8EF-113CBCDD2B38}">
      <formula1>G7:G14</formula1>
    </dataValidation>
    <dataValidation type="list" allowBlank="1" showInputMessage="1" showErrorMessage="1" sqref="Z61 Z29" xr:uid="{87CB7B9B-DE2A-4875-B85E-08CB0958B346}">
      <formula1>G7:G14</formula1>
    </dataValidation>
    <dataValidation type="list" allowBlank="1" showInputMessage="1" showErrorMessage="1" sqref="Z60 Z28" xr:uid="{28F4CA4E-BEFB-443A-9EC7-9D3E06995EEF}">
      <formula1>G7:G14</formula1>
    </dataValidation>
    <dataValidation type="list" allowBlank="1" showInputMessage="1" showErrorMessage="1" sqref="Z59 Z27" xr:uid="{31D1B897-F0F4-49B3-BC9B-F3EC5A626461}">
      <formula1>G7:G14</formula1>
    </dataValidation>
    <dataValidation type="list" allowBlank="1" showInputMessage="1" showErrorMessage="1" sqref="Z58 Z26" xr:uid="{CED51F94-FADE-4A61-9E29-FDFF17FDAE91}">
      <formula1>G7:G14</formula1>
    </dataValidation>
    <dataValidation type="list" allowBlank="1" showInputMessage="1" showErrorMessage="1" sqref="Z57 Z25" xr:uid="{4492A0A2-4264-4453-BD24-691D021DFA1D}">
      <formula1>G7:G14</formula1>
    </dataValidation>
    <dataValidation type="list" allowBlank="1" showInputMessage="1" showErrorMessage="1" sqref="Z56 Z24" xr:uid="{2A5CE55A-869E-4008-B4FB-7DB1B2515FC8}">
      <formula1>G7:G14</formula1>
    </dataValidation>
    <dataValidation type="list" allowBlank="1" showInputMessage="1" showErrorMessage="1" sqref="Z55 Z23" xr:uid="{84E2085B-D91F-4F27-A3E3-05A35A82CD99}">
      <formula1>G7:G14</formula1>
    </dataValidation>
    <dataValidation type="list" allowBlank="1" showInputMessage="1" showErrorMessage="1" sqref="Z54 Z22" xr:uid="{D14B9F22-2FF8-486C-A32A-4E58B244AF20}">
      <formula1>G7:G14</formula1>
    </dataValidation>
    <dataValidation type="list" allowBlank="1" showInputMessage="1" showErrorMessage="1" sqref="Z53 Z21" xr:uid="{3EDD3B32-9B0B-4CB3-837D-0B1ED029DECE}">
      <formula1>G7:G14</formula1>
    </dataValidation>
    <dataValidation type="list" allowBlank="1" showInputMessage="1" showErrorMessage="1" sqref="Z52 Z20" xr:uid="{9F02F55A-A8A1-4D56-A3B2-3CFA86A92536}">
      <formula1>G7:G14</formula1>
    </dataValidation>
    <dataValidation type="list" allowBlank="1" showInputMessage="1" showErrorMessage="1" sqref="Z51 Z19" xr:uid="{696C5659-25CF-4158-96F8-C8BFF9E84876}">
      <formula1>G7:G14</formula1>
    </dataValidation>
    <dataValidation type="list" allowBlank="1" showInputMessage="1" showErrorMessage="1" sqref="Z50 Z18" xr:uid="{DF5DE29E-8821-492F-BBCD-0796A6A3A3C8}">
      <formula1>G7:G14</formula1>
    </dataValidation>
    <dataValidation type="list" allowBlank="1" showInputMessage="1" showErrorMessage="1" sqref="Z49 Z17" xr:uid="{8B6E7BB1-C6E0-406B-A4F4-6331DC147161}">
      <formula1>G7:G14</formula1>
    </dataValidation>
    <dataValidation type="list" allowBlank="1" showInputMessage="1" showErrorMessage="1" sqref="Z48 Z16" xr:uid="{3E40380F-E588-479D-AB98-5D256FE5C04E}">
      <formula1>G7:G14</formula1>
    </dataValidation>
    <dataValidation type="list" allowBlank="1" showInputMessage="1" showErrorMessage="1" sqref="Z47 Z15" xr:uid="{9AEAD092-CC1F-4306-801A-4A102AE64533}">
      <formula1>G7:G14</formula1>
    </dataValidation>
    <dataValidation type="list" allowBlank="1" showInputMessage="1" showErrorMessage="1" sqref="Z46 Z14" xr:uid="{5063E2A2-8B77-4F7F-A55A-D5A15527918E}">
      <formula1>G7:G14</formula1>
    </dataValidation>
    <dataValidation type="list" allowBlank="1" showInputMessage="1" showErrorMessage="1" sqref="Z45 Z13" xr:uid="{A1FC5429-E8EF-4237-9540-F35635322096}">
      <formula1>G7:G14</formula1>
    </dataValidation>
    <dataValidation type="list" allowBlank="1" showInputMessage="1" showErrorMessage="1" sqref="Z44 Z12" xr:uid="{B602DFA1-CB7B-4B14-9202-E001CA5FBBC0}">
      <formula1>G7:G14</formula1>
    </dataValidation>
    <dataValidation type="list" allowBlank="1" showInputMessage="1" showErrorMessage="1" sqref="Z43 Z11" xr:uid="{5BB295D4-7DDD-4C91-A131-CB6B4CC7E3D7}">
      <formula1>G7:G14</formula1>
    </dataValidation>
    <dataValidation type="list" allowBlank="1" showInputMessage="1" showErrorMessage="1" sqref="Z42 Z10" xr:uid="{681672C3-1E15-4142-8F17-5A093553371E}">
      <formula1>G7:G14</formula1>
    </dataValidation>
    <dataValidation type="list" allowBlank="1" showInputMessage="1" showErrorMessage="1" sqref="Z41 Z9" xr:uid="{5B80025F-F266-470F-9D28-52D915667A4F}">
      <formula1>G7:G14</formula1>
    </dataValidation>
    <dataValidation type="list" allowBlank="1" showInputMessage="1" showErrorMessage="1" sqref="Z40 Z8" xr:uid="{2B41EFA0-AD5F-4CEC-8847-D21C555AD88C}">
      <formula1>G7:G14</formula1>
    </dataValidation>
    <dataValidation type="list" allowBlank="1" showInputMessage="1" showErrorMessage="1" sqref="Z39 Z7" xr:uid="{6955A961-2183-45F0-A9A8-86FE3F67D7C9}">
      <formula1>G7:G14</formula1>
    </dataValidation>
    <dataValidation type="list" allowBlank="1" showInputMessage="1" showErrorMessage="1" sqref="V66 V34" xr:uid="{D7884EED-E2D6-4AB8-B36D-6D6D4E80DBCC}">
      <formula1>G7:G14</formula1>
    </dataValidation>
    <dataValidation type="list" allowBlank="1" showInputMessage="1" showErrorMessage="1" sqref="V65 V33" xr:uid="{ABCA2E51-3240-4BAB-BBE6-F2159E05D223}">
      <formula1>G7:G14</formula1>
    </dataValidation>
    <dataValidation type="list" allowBlank="1" showInputMessage="1" showErrorMessage="1" sqref="V64 V32" xr:uid="{B068E248-4E22-4B08-8BAF-19FD1C1B5ABE}">
      <formula1>G7:G14</formula1>
    </dataValidation>
    <dataValidation type="list" allowBlank="1" showInputMessage="1" showErrorMessage="1" sqref="V63 V31" xr:uid="{513DE000-E8A7-4500-9545-F43A9C5B6F05}">
      <formula1>G7:G14</formula1>
    </dataValidation>
    <dataValidation type="list" allowBlank="1" showInputMessage="1" showErrorMessage="1" sqref="V62 V30" xr:uid="{4AE85796-149D-4CE1-8DA5-D2195B14F22F}">
      <formula1>G7:G14</formula1>
    </dataValidation>
    <dataValidation type="list" allowBlank="1" showInputMessage="1" showErrorMessage="1" sqref="V61 V29" xr:uid="{0A30CFC9-5850-41EE-8EA8-7E24BBDC1899}">
      <formula1>G7:G14</formula1>
    </dataValidation>
    <dataValidation type="list" allowBlank="1" showInputMessage="1" showErrorMessage="1" sqref="V60 V28" xr:uid="{9E8D5ACF-E8D5-46E9-BCFF-321A03C67D94}">
      <formula1>G7:G14</formula1>
    </dataValidation>
    <dataValidation type="list" allowBlank="1" showInputMessage="1" showErrorMessage="1" sqref="V59 V27" xr:uid="{98EA072C-3A83-4DA4-9C7C-09470C021782}">
      <formula1>G7:G14</formula1>
    </dataValidation>
    <dataValidation type="list" allowBlank="1" showInputMessage="1" showErrorMessage="1" sqref="V58 V26" xr:uid="{2C110C02-8D5B-43E6-BC57-E2075CAFBDC4}">
      <formula1>G7:G14</formula1>
    </dataValidation>
    <dataValidation type="list" allowBlank="1" showInputMessage="1" showErrorMessage="1" sqref="V57 V25" xr:uid="{5F9787A9-408A-412F-9E04-A402BE24B661}">
      <formula1>G7:G14</formula1>
    </dataValidation>
    <dataValidation type="list" allowBlank="1" showInputMessage="1" showErrorMessage="1" sqref="V56 V24" xr:uid="{C0589629-F8A2-4610-A123-4BCA56DB58B7}">
      <formula1>G7:G14</formula1>
    </dataValidation>
    <dataValidation type="list" allowBlank="1" showInputMessage="1" showErrorMessage="1" sqref="V55 V23" xr:uid="{DA72F9C4-4B8F-43B0-A5F7-33FA12D12AAE}">
      <formula1>G7:G14</formula1>
    </dataValidation>
    <dataValidation type="list" allowBlank="1" showInputMessage="1" showErrorMessage="1" sqref="V54 V22" xr:uid="{3E4933D9-79A7-4889-BC74-2EA5035B98C2}">
      <formula1>G7:G14</formula1>
    </dataValidation>
    <dataValidation type="list" allowBlank="1" showInputMessage="1" showErrorMessage="1" sqref="V53 V21" xr:uid="{67607ED7-69A6-4D53-8D2A-19E9E702018D}">
      <formula1>G7:G14</formula1>
    </dataValidation>
    <dataValidation type="list" allowBlank="1" showInputMessage="1" showErrorMessage="1" sqref="V52 V20" xr:uid="{55B78375-EA70-4D2A-BDF9-DFAF642AF9AF}">
      <formula1>G7:G14</formula1>
    </dataValidation>
    <dataValidation type="list" allowBlank="1" showInputMessage="1" showErrorMessage="1" sqref="V51 V19" xr:uid="{47AFA62C-AFDC-4DB3-A001-F12AB44D732B}">
      <formula1>G7:G14</formula1>
    </dataValidation>
    <dataValidation type="list" allowBlank="1" showInputMessage="1" showErrorMessage="1" sqref="V50 V18" xr:uid="{D7328DD0-EE79-4C94-BC49-874631467C2E}">
      <formula1>G7:G14</formula1>
    </dataValidation>
    <dataValidation type="list" allowBlank="1" showInputMessage="1" showErrorMessage="1" sqref="V49 V17" xr:uid="{181E0284-75DC-4EEB-839C-58D4136AFEFC}">
      <formula1>G7:G14</formula1>
    </dataValidation>
    <dataValidation type="list" allowBlank="1" showInputMessage="1" showErrorMessage="1" sqref="V48 V16" xr:uid="{8084A7CE-6E85-437E-B2BC-0EB7F8528EE2}">
      <formula1>G7:G14</formula1>
    </dataValidation>
    <dataValidation type="list" allowBlank="1" showInputMessage="1" showErrorMessage="1" sqref="V47 V15" xr:uid="{2F768BDB-624C-47BE-A9D2-BB49A1CA50A6}">
      <formula1>G7:G14</formula1>
    </dataValidation>
    <dataValidation type="list" allowBlank="1" showInputMessage="1" showErrorMessage="1" sqref="V46 V14" xr:uid="{C5A2B68E-B0B1-415D-AD1F-AD61B892FFCA}">
      <formula1>G7:G14</formula1>
    </dataValidation>
    <dataValidation type="list" allowBlank="1" showInputMessage="1" showErrorMessage="1" sqref="V45 V13" xr:uid="{C3F18771-086E-4892-8CD7-472165824B26}">
      <formula1>G7:G14</formula1>
    </dataValidation>
    <dataValidation type="list" allowBlank="1" showInputMessage="1" showErrorMessage="1" sqref="V44 V12" xr:uid="{90F0C951-2B7B-40DF-AB72-3D417B374FC8}">
      <formula1>G7:G14</formula1>
    </dataValidation>
    <dataValidation type="list" allowBlank="1" showInputMessage="1" showErrorMessage="1" sqref="V43 V11" xr:uid="{C3923CA6-4B7A-44B4-8CFA-87B7831316C7}">
      <formula1>G7:G14</formula1>
    </dataValidation>
    <dataValidation type="list" allowBlank="1" showInputMessage="1" showErrorMessage="1" sqref="V42 V10" xr:uid="{CBAD66B0-2C03-4862-9D56-4BFCC05CC671}">
      <formula1>G7:G14</formula1>
    </dataValidation>
    <dataValidation type="list" allowBlank="1" showInputMessage="1" showErrorMessage="1" sqref="V41 V9" xr:uid="{43C4BB48-D461-4116-9AE9-209335ECF34A}">
      <formula1>G7:G14</formula1>
    </dataValidation>
    <dataValidation type="list" allowBlank="1" showInputMessage="1" showErrorMessage="1" sqref="V40 V8" xr:uid="{0EFF6242-3941-409B-9D66-1C162F8D4CC1}">
      <formula1>G7:G14</formula1>
    </dataValidation>
    <dataValidation type="list" allowBlank="1" showInputMessage="1" showErrorMessage="1" sqref="V39 V7" xr:uid="{A376E014-ADF0-4A63-B6A3-0826CC9D0D0E}">
      <formula1>G7:G14</formula1>
    </dataValidation>
  </dataValidations>
  <printOptions horizontalCentered="1"/>
  <pageMargins left="0.59055118110236227" right="0.59055118110236227" top="0.94488188976377963" bottom="0.70866141732283472" header="0.31496062992125984" footer="0.31496062992125984"/>
  <pageSetup paperSize="9" fitToHeight="20" orientation="landscape"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DB3D-57B2-4534-AFFE-AAA15BF13365}">
  <sheetPr codeName="sht_IndGroups2">
    <tabColor rgb="FF00FF00"/>
    <outlinePr summaryBelow="0" summaryRight="0"/>
    <pageSetUpPr fitToPage="1"/>
  </sheetPr>
  <dimension ref="A1:CE35"/>
  <sheetViews>
    <sheetView showGridLines="0" defaultGridColor="0" colorId="18" zoomScale="130" zoomScaleNormal="130" workbookViewId="0">
      <selection activeCell="AO21" sqref="AO21"/>
    </sheetView>
  </sheetViews>
  <sheetFormatPr baseColWidth="10" defaultColWidth="11.42578125" defaultRowHeight="12.75" outlineLevelRow="2" outlineLevelCol="1" x14ac:dyDescent="0.2"/>
  <cols>
    <col min="1" max="1" width="3.7109375" style="7" customWidth="1"/>
    <col min="2" max="2" width="5.85546875" style="7" bestFit="1" customWidth="1"/>
    <col min="3" max="3" width="4.5703125" style="7" hidden="1" customWidth="1"/>
    <col min="4" max="4" width="5" style="7" hidden="1" customWidth="1"/>
    <col min="5" max="5" width="4.85546875" style="7" hidden="1" customWidth="1"/>
    <col min="6" max="6" width="5" style="7" hidden="1" customWidth="1"/>
    <col min="7" max="7" width="25" style="7" bestFit="1" customWidth="1"/>
    <col min="8" max="8" width="6.42578125" style="7" bestFit="1" customWidth="1"/>
    <col min="9" max="9" width="8.5703125" style="7" bestFit="1" customWidth="1"/>
    <col min="10" max="10" width="4.140625" style="7" hidden="1" customWidth="1"/>
    <col min="11" max="11" width="4" style="7" hidden="1" customWidth="1"/>
    <col min="12" max="12" width="2.85546875" style="7" hidden="1" customWidth="1"/>
    <col min="13" max="14" width="2.28515625" style="7" hidden="1" customWidth="1"/>
    <col min="15" max="15" width="3.5703125" style="7" hidden="1" customWidth="1"/>
    <col min="16" max="16" width="3.7109375" style="7" hidden="1" customWidth="1"/>
    <col min="17" max="17" width="4.140625" style="7" hidden="1" customWidth="1"/>
    <col min="18" max="18" width="6.42578125" style="7" bestFit="1" customWidth="1" collapsed="1"/>
    <col min="19" max="19" width="5.85546875" style="7" hidden="1" customWidth="1" outlineLevel="1"/>
    <col min="20" max="20" width="6.140625" style="7" hidden="1" customWidth="1" outlineLevel="1"/>
    <col min="21" max="21" width="8.5703125" style="7" hidden="1" customWidth="1" outlineLevel="1"/>
    <col min="22" max="22" width="25" style="7" bestFit="1" customWidth="1"/>
    <col min="23" max="23" width="4" style="7" customWidth="1"/>
    <col min="24" max="24" width="1.85546875" style="7" bestFit="1" customWidth="1"/>
    <col min="25" max="25" width="3.7109375" style="7" customWidth="1"/>
    <col min="26" max="26" width="25" style="7" bestFit="1" customWidth="1"/>
    <col min="27" max="27" width="4.140625" style="7" hidden="1" customWidth="1"/>
    <col min="28" max="28" width="2" style="7" hidden="1" customWidth="1"/>
    <col min="29" max="29" width="1.85546875" style="7" hidden="1" customWidth="1"/>
    <col min="30" max="30" width="2.140625" style="7" hidden="1" customWidth="1"/>
    <col min="31" max="31" width="2.85546875" style="7" hidden="1" customWidth="1"/>
    <col min="32" max="33" width="2.28515625" style="7" hidden="1" customWidth="1"/>
    <col min="34" max="34" width="2.140625" style="7" hidden="1" customWidth="1"/>
    <col min="35" max="35" width="8.5703125" style="7" hidden="1" customWidth="1"/>
    <col min="36" max="36" width="9.5703125" style="7" hidden="1" customWidth="1"/>
    <col min="37" max="37" width="6.140625" style="7" hidden="1" customWidth="1"/>
    <col min="38" max="39" width="3.42578125" style="7" customWidth="1"/>
    <col min="40" max="40" width="5.7109375" style="7" bestFit="1" customWidth="1"/>
    <col min="41" max="41" width="25" style="7" bestFit="1" customWidth="1"/>
    <col min="42" max="42" width="4.140625" style="7" bestFit="1" customWidth="1"/>
    <col min="43" max="43" width="4" style="7" bestFit="1" customWidth="1"/>
    <col min="44" max="44" width="2.85546875" style="7" bestFit="1" customWidth="1"/>
    <col min="45" max="46" width="2.28515625" style="7" bestFit="1" customWidth="1"/>
    <col min="47" max="48" width="3" style="7" bestFit="1" customWidth="1"/>
    <col min="49" max="49" width="4.140625" style="7" bestFit="1" customWidth="1" collapsed="1"/>
    <col min="50" max="50" width="3.7109375" style="7" hidden="1" customWidth="1" outlineLevel="1"/>
    <col min="51" max="77" width="3.5703125" style="7" hidden="1" customWidth="1" outlineLevel="1"/>
    <col min="78" max="80" width="11.5703125" style="7" hidden="1" customWidth="1"/>
    <col min="81" max="81" width="3.28515625" style="7" customWidth="1"/>
    <col min="82" max="82" width="3" style="7" customWidth="1"/>
    <col min="83" max="16384" width="11.42578125" style="7"/>
  </cols>
  <sheetData>
    <row r="1" spans="1:83" x14ac:dyDescent="0.2">
      <c r="A1"/>
      <c r="B1" s="1"/>
      <c r="D1" s="1268" t="s">
        <v>18217</v>
      </c>
      <c r="E1"/>
      <c r="F1"/>
      <c r="G1" s="1"/>
      <c r="H1" s="1"/>
      <c r="I1"/>
      <c r="J1"/>
      <c r="K1"/>
      <c r="L1"/>
      <c r="M1"/>
      <c r="N1"/>
      <c r="O1"/>
      <c r="P1"/>
      <c r="Q1" s="334"/>
      <c r="R1" s="1"/>
      <c r="S1" s="1"/>
      <c r="T1"/>
      <c r="U1" s="871"/>
      <c r="V1" s="123"/>
      <c r="W1" s="123"/>
      <c r="X1" s="123"/>
      <c r="Y1" s="123"/>
      <c r="Z1" s="123"/>
      <c r="AA1" s="963"/>
      <c r="AB1" s="963"/>
      <c r="AC1" s="963"/>
      <c r="AD1" s="964"/>
      <c r="AE1" s="964"/>
      <c r="AF1" s="964"/>
      <c r="AG1" s="964"/>
      <c r="AH1" s="964"/>
      <c r="AI1" s="964"/>
      <c r="AJ1" s="964"/>
      <c r="AK1"/>
      <c r="AL1"/>
      <c r="AN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c r="BZ1" s="1396"/>
      <c r="CA1" s="1396"/>
      <c r="CB1"/>
      <c r="CC1"/>
      <c r="CD1"/>
      <c r="CE1"/>
    </row>
    <row r="2" spans="1:83" ht="20.25" x14ac:dyDescent="0.3">
      <c r="A2"/>
      <c r="B2" s="1"/>
      <c r="C2" s="1495" t="s">
        <v>1586</v>
      </c>
      <c r="D2" s="833" t="s">
        <v>954</v>
      </c>
      <c r="E2"/>
      <c r="F2"/>
      <c r="G2" s="1"/>
      <c r="H2" s="1"/>
      <c r="I2"/>
      <c r="J2"/>
      <c r="K2"/>
      <c r="L2"/>
      <c r="M2"/>
      <c r="N2"/>
      <c r="O2"/>
      <c r="P2"/>
      <c r="Q2" s="334"/>
      <c r="R2" s="1"/>
      <c r="S2" s="1"/>
      <c r="T2"/>
      <c r="U2" s="6"/>
      <c r="V2" s="2086" t="str">
        <f>SHEETNAME(A1)</f>
        <v>D1_Top8</v>
      </c>
      <c r="W2" s="2086"/>
      <c r="X2" s="2086"/>
      <c r="Y2" s="2086"/>
      <c r="Z2" s="2086"/>
      <c r="AA2" s="123"/>
      <c r="AB2" s="963"/>
      <c r="AC2" s="963"/>
      <c r="AD2" s="964"/>
      <c r="AE2" s="964"/>
      <c r="AF2" s="964"/>
      <c r="AG2" s="964"/>
      <c r="AH2" s="964"/>
      <c r="AI2" s="964"/>
      <c r="AJ2" s="964"/>
      <c r="AK2" s="964"/>
      <c r="AL2"/>
      <c r="AN2"/>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c r="BZ2"/>
      <c r="CA2" s="1396"/>
      <c r="CB2" s="1396"/>
      <c r="CC2"/>
      <c r="CD2"/>
      <c r="CE2"/>
    </row>
    <row r="3" spans="1:83" ht="13.5" thickBot="1" x14ac:dyDescent="0.25">
      <c r="A3"/>
      <c r="B3" s="1"/>
      <c r="C3" s="2085" t="b">
        <v>0</v>
      </c>
      <c r="D3"/>
      <c r="E3"/>
      <c r="F3"/>
      <c r="G3" s="1"/>
      <c r="H3" s="1"/>
      <c r="I3" s="1"/>
      <c r="J3"/>
      <c r="K3"/>
      <c r="L3"/>
      <c r="M3"/>
      <c r="N3"/>
      <c r="O3"/>
      <c r="P3"/>
      <c r="Q3"/>
      <c r="R3" s="334"/>
      <c r="S3" s="1"/>
      <c r="T3" s="1"/>
      <c r="U3"/>
      <c r="V3" s="6"/>
      <c r="W3" s="1"/>
      <c r="X3" s="1"/>
      <c r="Y3" s="1"/>
      <c r="Z3" s="16"/>
      <c r="AA3" s="123"/>
      <c r="AB3" s="963"/>
      <c r="AC3" s="963"/>
      <c r="AD3" s="963"/>
      <c r="AE3" s="964"/>
      <c r="AF3" s="964"/>
      <c r="AG3" s="964"/>
      <c r="AH3" s="964"/>
      <c r="AI3" s="964"/>
      <c r="AJ3" s="964"/>
      <c r="AK3" s="964"/>
      <c r="AL3"/>
      <c r="AM3"/>
      <c r="AO3"/>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c r="CA3" s="1396"/>
      <c r="CB3" s="1396"/>
      <c r="CC3"/>
      <c r="CD3"/>
      <c r="CE3"/>
    </row>
    <row r="4" spans="1:83" ht="13.5" thickBot="1" x14ac:dyDescent="0.25">
      <c r="A4"/>
      <c r="B4" s="282" t="str">
        <f>N_Group &amp; " 1"</f>
        <v>Poule 1</v>
      </c>
      <c r="C4" s="283"/>
      <c r="D4" s="283"/>
      <c r="E4" s="283"/>
      <c r="F4" s="283"/>
      <c r="G4" s="283"/>
      <c r="H4" s="283"/>
      <c r="I4" s="283"/>
      <c r="J4" s="283"/>
      <c r="K4" s="283"/>
      <c r="L4" s="283"/>
      <c r="M4" s="283"/>
      <c r="N4" s="283"/>
      <c r="O4" s="283"/>
      <c r="P4" s="283"/>
      <c r="Q4" s="283"/>
      <c r="R4" s="357"/>
      <c r="S4" s="283"/>
      <c r="T4" s="283"/>
      <c r="U4" s="283"/>
      <c r="V4" s="283"/>
      <c r="W4" s="992"/>
      <c r="X4" s="992"/>
      <c r="Y4" s="992"/>
      <c r="Z4" s="283"/>
      <c r="AA4" s="283"/>
      <c r="AB4" s="965"/>
      <c r="AC4" s="965"/>
      <c r="AD4" s="965"/>
      <c r="AE4" s="966"/>
      <c r="AF4" s="966"/>
      <c r="AG4" s="966"/>
      <c r="AH4" s="966"/>
      <c r="AI4" s="966"/>
      <c r="AJ4" s="966"/>
      <c r="AK4" s="965"/>
      <c r="AL4" s="283"/>
      <c r="AM4" s="282" t="str">
        <f>B4</f>
        <v>Poule 1</v>
      </c>
      <c r="AN4" s="283"/>
      <c r="AO4" s="283"/>
      <c r="AP4" s="283"/>
      <c r="AQ4" s="283"/>
      <c r="AR4" s="283"/>
      <c r="AS4" s="283"/>
      <c r="AT4" s="283"/>
      <c r="AU4" s="283"/>
      <c r="AV4" s="283"/>
      <c r="AW4" s="283"/>
      <c r="AX4" s="283"/>
      <c r="AY4" s="283"/>
      <c r="AZ4" s="283"/>
      <c r="BA4" s="283"/>
      <c r="BB4" s="283"/>
      <c r="BC4" s="283"/>
      <c r="BD4" s="283"/>
      <c r="BE4" s="283"/>
      <c r="BF4" s="283"/>
      <c r="BG4" s="283"/>
      <c r="BH4" s="283"/>
      <c r="BI4" s="283"/>
      <c r="BJ4" s="283"/>
      <c r="BK4" s="283"/>
      <c r="BL4" s="283"/>
      <c r="BM4" s="283"/>
      <c r="BN4" s="283"/>
      <c r="BO4" s="283"/>
      <c r="BP4" s="283"/>
      <c r="BQ4" s="283"/>
      <c r="BR4" s="283"/>
      <c r="BS4" s="283"/>
      <c r="BT4" s="283"/>
      <c r="BU4" s="283"/>
      <c r="BV4" s="283"/>
      <c r="BW4" s="283"/>
      <c r="BX4" s="283"/>
      <c r="BY4" s="283"/>
      <c r="BZ4" s="1395"/>
      <c r="CA4" s="1450"/>
      <c r="CB4" s="1450"/>
      <c r="CC4" s="284"/>
      <c r="CD4"/>
      <c r="CE4"/>
    </row>
    <row r="5" spans="1:83" ht="13.5" outlineLevel="1" thickBot="1" x14ac:dyDescent="0.25">
      <c r="A5"/>
      <c r="B5" s="1"/>
      <c r="C5"/>
      <c r="D5"/>
      <c r="E5"/>
      <c r="F5"/>
      <c r="G5" s="1"/>
      <c r="H5" s="1"/>
      <c r="I5" s="1"/>
      <c r="J5"/>
      <c r="K5"/>
      <c r="L5"/>
      <c r="M5"/>
      <c r="N5"/>
      <c r="O5"/>
      <c r="P5"/>
      <c r="Q5"/>
      <c r="R5" s="334"/>
      <c r="S5" s="1"/>
      <c r="T5" s="1"/>
      <c r="U5"/>
      <c r="V5" s="6"/>
      <c r="W5" s="1"/>
      <c r="X5" s="1"/>
      <c r="Y5" s="1"/>
      <c r="Z5" s="16"/>
      <c r="AA5" s="123"/>
      <c r="AB5" s="963"/>
      <c r="AC5" s="963"/>
      <c r="AD5" s="963"/>
      <c r="AE5" s="964"/>
      <c r="AF5" s="964"/>
      <c r="AG5" s="964"/>
      <c r="AH5" s="964"/>
      <c r="AI5" s="964"/>
      <c r="AJ5" s="964"/>
      <c r="AK5" s="964"/>
      <c r="AL5"/>
      <c r="AM5"/>
      <c r="AN5" s="833"/>
      <c r="AO5"/>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395"/>
      <c r="CA5" s="1450"/>
      <c r="CB5" s="1450"/>
      <c r="CC5"/>
      <c r="CD5"/>
      <c r="CE5"/>
    </row>
    <row r="6" spans="1:83" ht="13.5" outlineLevel="1" thickBot="1" x14ac:dyDescent="0.25">
      <c r="A6"/>
      <c r="B6" s="18" t="str">
        <f>N_Tirage</f>
        <v>Tirage</v>
      </c>
      <c r="C6" s="307" t="s">
        <v>787</v>
      </c>
      <c r="D6" s="308" t="s">
        <v>831</v>
      </c>
      <c r="E6" s="308" t="s">
        <v>832</v>
      </c>
      <c r="F6" s="309" t="s">
        <v>833</v>
      </c>
      <c r="G6" s="22" t="str">
        <f>N_Joueurs</f>
        <v>Joueurs</v>
      </c>
      <c r="H6" s="3" t="str">
        <f>N_RankPoints</f>
        <v>Pt. Clas.</v>
      </c>
      <c r="I6" s="3" t="str">
        <f>N_Diff_Part</f>
        <v>Diff-Part</v>
      </c>
      <c r="J6" s="311" t="str">
        <f>N_Pts</f>
        <v>Pts</v>
      </c>
      <c r="K6" s="311" t="str">
        <f>N_J</f>
        <v>J</v>
      </c>
      <c r="L6" s="308" t="str">
        <f>N_G</f>
        <v>G</v>
      </c>
      <c r="M6" s="308" t="str">
        <f>N_N</f>
        <v>N</v>
      </c>
      <c r="N6" s="308" t="str">
        <f>N_P</f>
        <v>P</v>
      </c>
      <c r="O6" s="308" t="str">
        <f>N_BP</f>
        <v>BP</v>
      </c>
      <c r="P6" s="308" t="str">
        <f>N_BC</f>
        <v>BC</v>
      </c>
      <c r="Q6" s="309" t="str">
        <f>N_Diff.</f>
        <v>Diff.</v>
      </c>
      <c r="R6" s="334"/>
      <c r="S6" s="3" t="str">
        <f>N_Heure</f>
        <v>Heure</v>
      </c>
      <c r="T6" s="22" t="str">
        <f>N_Table</f>
        <v>Table</v>
      </c>
      <c r="U6" s="22" t="str">
        <f>N_Arbitre</f>
        <v>Arbitre</v>
      </c>
      <c r="V6" s="293" t="str">
        <f>N_Matches</f>
        <v>Matches</v>
      </c>
      <c r="W6" s="294"/>
      <c r="X6" s="294"/>
      <c r="Y6" s="294"/>
      <c r="Z6" s="295"/>
      <c r="AA6" s="8"/>
      <c r="AB6" s="1461" t="str">
        <f>IF(MaxScore,N_MaxScore,"")</f>
        <v/>
      </c>
      <c r="AC6" s="1461"/>
      <c r="AD6" s="1461"/>
      <c r="AE6" s="964" t="str">
        <f>N_G</f>
        <v>G</v>
      </c>
      <c r="AF6" s="964" t="str">
        <f>N_N</f>
        <v>N</v>
      </c>
      <c r="AG6" s="964" t="str">
        <f>N_N</f>
        <v>N</v>
      </c>
      <c r="AH6" s="964" t="str">
        <f>N_P</f>
        <v>P</v>
      </c>
      <c r="AI6" s="964" t="s">
        <v>1560</v>
      </c>
      <c r="AJ6" s="964" t="s">
        <v>3714</v>
      </c>
      <c r="AK6" s="964" t="str">
        <f>IF(COUNTA(W7:W34)=0,"","OK")</f>
        <v>OK</v>
      </c>
      <c r="AL6"/>
      <c r="AM6"/>
      <c r="AN6" s="289" t="str">
        <f>N_Cla.</f>
        <v>Cla.</v>
      </c>
      <c r="AO6" s="70" t="str">
        <f>N_Joueurs</f>
        <v>Joueurs</v>
      </c>
      <c r="AP6" s="23" t="str">
        <f>N_Pts</f>
        <v>Pts</v>
      </c>
      <c r="AQ6" s="23" t="str">
        <f>N_J</f>
        <v>J</v>
      </c>
      <c r="AR6" s="20" t="str">
        <f>N_G</f>
        <v>G</v>
      </c>
      <c r="AS6" s="20" t="str">
        <f>N_N</f>
        <v>N</v>
      </c>
      <c r="AT6" s="20" t="str">
        <f>N_P</f>
        <v>P</v>
      </c>
      <c r="AU6" s="20" t="str">
        <f>N_BP</f>
        <v>BP</v>
      </c>
      <c r="AV6" s="20" t="str">
        <f>N_BC</f>
        <v>BC</v>
      </c>
      <c r="AW6" s="21" t="str">
        <f>N_Diff.</f>
        <v>Diff.</v>
      </c>
      <c r="AX6" s="287" t="str">
        <f>N_Matches</f>
        <v>Matches</v>
      </c>
      <c r="AY6" s="287"/>
      <c r="AZ6" s="287"/>
      <c r="BA6" s="287"/>
      <c r="BB6" s="287"/>
      <c r="BC6" s="287"/>
      <c r="BD6" s="287"/>
      <c r="BE6" s="287"/>
      <c r="BF6" s="287"/>
      <c r="BG6" s="287"/>
      <c r="BH6" s="287"/>
      <c r="BI6" s="287"/>
      <c r="BJ6" s="287"/>
      <c r="BK6" s="287"/>
      <c r="BL6" s="287"/>
      <c r="BM6" s="287"/>
      <c r="BN6" s="287"/>
      <c r="BO6" s="287"/>
      <c r="BP6" s="287"/>
      <c r="BQ6" s="287"/>
      <c r="BR6" s="287"/>
      <c r="BS6" s="287"/>
      <c r="BT6" s="287"/>
      <c r="BU6" s="287"/>
      <c r="BV6" s="287"/>
      <c r="BW6" s="287"/>
      <c r="BX6" s="287"/>
      <c r="BY6" s="288"/>
      <c r="BZ6" s="1395"/>
      <c r="CA6" s="1450"/>
      <c r="CB6" s="1450"/>
      <c r="CC6"/>
      <c r="CD6"/>
      <c r="CE6"/>
    </row>
    <row r="7" spans="1:83" outlineLevel="1" x14ac:dyDescent="0.2">
      <c r="A7" s="270"/>
      <c r="B7" s="543">
        <v>1</v>
      </c>
      <c r="C7" s="549">
        <f>IF(AK6="","",RANK(F7,F7:F14)*1000+ROW())</f>
        <v>1007</v>
      </c>
      <c r="D7" s="550">
        <f t="shared" ref="D7:D14" si="0">IF(L7="","",CritClassInd1_Points*J7+CritClassInd1_Matches*L7+CritClassInd1_Attaque*O7+CritClassInd1_DiffButs*Q7)</f>
        <v>90000000000</v>
      </c>
      <c r="E7" s="550">
        <f>IF(L7="","",Nb_Diff_Part(D7,D7:D14,G7,G7:G14,AI7:AI34)*CritClassInd_DiffPart+Nb_Goal_Part(D7,D7:D14,G7,G7:G14,V7:Z34)*CritClassInd_GoalPart+Nb_Score_Part(D7,D7:D14,G7,G7:G14,V7:Z34)*CritClassInd_ScorePart)</f>
        <v>0</v>
      </c>
      <c r="F7" s="551">
        <f t="shared" ref="F7:F14" si="1">IF(L7="","",D7+E7+CritClassInd2_Points*J7+CritClassInd2_Matches*L7+CritClassInd2_Attaque*O7+CritClassInd2_DiffButs*Q7+CritClassInd_Ranking*H7+I7)</f>
        <v>90000001524</v>
      </c>
      <c r="G7" s="476" t="str">
        <f>D1_Tr1!P_1A</f>
        <v>Raphaël POMMIER (cae)</v>
      </c>
      <c r="H7" s="499">
        <f t="shared" ref="H7:H14" si="2">GMFTRANKINGPOINTS(G7,Particular_Category)</f>
        <v>0</v>
      </c>
      <c r="I7" s="500"/>
      <c r="J7" s="555">
        <f>IF(AK6="","",(L7*Points_Victoire)+M7*Points_Null)</f>
        <v>9</v>
      </c>
      <c r="K7" s="556">
        <f t="shared" ref="K7:K14" si="3">IF(L7="","",SUM(L7:N7))</f>
        <v>3</v>
      </c>
      <c r="L7" s="556">
        <f>IF(AK6="","",COUNTIF(AE7:AE34,G7))</f>
        <v>3</v>
      </c>
      <c r="M7" s="556">
        <f>IF(AK6="","",COUNTIF(AF7:AG34,G7))</f>
        <v>0</v>
      </c>
      <c r="N7" s="556">
        <f>IF(AK6="","",COUNTIF(AH7:AH34,G7))</f>
        <v>0</v>
      </c>
      <c r="O7" s="556">
        <f>IF(AK6="","",SUMIF(V7:V34,G7,AB7:AB34)+SUMIF(Z7:Z34,G7,AD7:AD34))</f>
        <v>24</v>
      </c>
      <c r="P7" s="556">
        <f>IF(AK6="","",SUMIF(V7:V34,G7,AD7:AD34)+SUMIF(Z7:Z34,G7,AB7:AB34))</f>
        <v>9</v>
      </c>
      <c r="Q7" s="557">
        <f>IF(AK6="","",O7-P7)</f>
        <v>15</v>
      </c>
      <c r="R7" s="558" t="s">
        <v>1726</v>
      </c>
      <c r="S7" s="611">
        <v>0.58680555555555558</v>
      </c>
      <c r="T7" s="617"/>
      <c r="U7" s="1502"/>
      <c r="V7" s="479" t="str">
        <f>IF(G7="","",G7)</f>
        <v>Raphaël POMMIER (cae)</v>
      </c>
      <c r="W7" s="480">
        <v>8</v>
      </c>
      <c r="X7" s="481" t="s">
        <v>769</v>
      </c>
      <c r="Y7" s="480">
        <v>3</v>
      </c>
      <c r="Z7" s="482" t="str">
        <f>IF(G9="","",G9)</f>
        <v>Eric NASZALYI (iss)</v>
      </c>
      <c r="AA7" s="839"/>
      <c r="AB7" s="1459">
        <f t="shared" ref="AB7:AB34" si="4">IF(MaxScore,MaxGoals(W7,Y7,MaxGoalsValue),IF(W7="","",W7))</f>
        <v>8</v>
      </c>
      <c r="AC7" s="1460" t="str">
        <f t="shared" ref="AC7:AC34" si="5">IF(MaxScore,"-",IF(W7="","","-"))</f>
        <v>-</v>
      </c>
      <c r="AD7" s="1459">
        <f t="shared" ref="AD7:AD34" si="6">IF(MaxScore,MaxGoals(Y7,W7,MaxGoalsValue),IF(Y7="","",Y7))</f>
        <v>3</v>
      </c>
      <c r="AE7" s="968" t="str">
        <f t="shared" ref="AE7:AE34" si="7">IF(W7="","",IF(W7&gt;Y7,V7,IF(W7=Y7,"",Z7)))</f>
        <v>Raphaël POMMIER (cae)</v>
      </c>
      <c r="AF7" s="968" t="str">
        <f t="shared" ref="AF7:AF34" si="8">IF(W7="","",IF(W7=Y7,V7,""))</f>
        <v/>
      </c>
      <c r="AG7" s="968" t="str">
        <f t="shared" ref="AG7:AG34" si="9">IF(W7="","",IF(W7=Y7,Z7,""))</f>
        <v/>
      </c>
      <c r="AH7" s="968" t="str">
        <f t="shared" ref="AH7:AH34" si="10">IF(W7="","",IF(W7&lt;Y7,V7,IF(W7=Y7,"",Z7)))</f>
        <v>Eric NASZALYI (iss)</v>
      </c>
      <c r="AI7" s="968" t="str">
        <f t="shared" ref="AI7:AI34" si="11">CONCATENATE(AE7,AH7)</f>
        <v>Raphaël POMMIER (cae)Eric NASZALYI (iss)</v>
      </c>
      <c r="AJ7" s="968"/>
      <c r="AK7" s="968">
        <f>IF(AK6="","",SMALL(C7:C14,1))</f>
        <v>1007</v>
      </c>
      <c r="AL7" s="270"/>
      <c r="AM7" s="270"/>
      <c r="AN7" s="543">
        <f>IF(AK6="","",INT(AK7/1000))</f>
        <v>1</v>
      </c>
      <c r="AO7" s="527" t="str">
        <f>IF(AK6="",IF(HidePlayerFormulas,"","("&amp;G7&amp;")"),VLOOKUP(AK7,C7:Q14,5,FALSE))</f>
        <v>Raphaël POMMIER (cae)</v>
      </c>
      <c r="AP7" s="528">
        <f>VLOOKUP(AK7,C7:Q14,8,FALSE)</f>
        <v>9</v>
      </c>
      <c r="AQ7" s="528">
        <f>VLOOKUP(AK7,C7:Q14,9,FALSE)</f>
        <v>3</v>
      </c>
      <c r="AR7" s="528">
        <f>VLOOKUP(AK7,C7:Q14,10,FALSE)</f>
        <v>3</v>
      </c>
      <c r="AS7" s="528">
        <f>VLOOKUP(AK7,C7:Q14,11,FALSE)</f>
        <v>0</v>
      </c>
      <c r="AT7" s="528">
        <f>VLOOKUP(AK7,C7:Q14,12,FALSE)</f>
        <v>0</v>
      </c>
      <c r="AU7" s="528">
        <f>VLOOKUP(AK7,C7:Q14,13,FALSE)</f>
        <v>24</v>
      </c>
      <c r="AV7" s="528">
        <f>VLOOKUP(AK7,C7:Q14,14,FALSE)</f>
        <v>9</v>
      </c>
      <c r="AW7" s="529">
        <f>VLOOKUP(AK7,C7:Q14,15,FALSE)</f>
        <v>15</v>
      </c>
      <c r="AX7" s="544" t="str">
        <f>IF(W31="","",IF(AO7=V31,W31,IF(AO7=Z31,Y31,"")))</f>
        <v/>
      </c>
      <c r="AY7" s="518" t="str">
        <f>IF(W32="","",IF(AO7=V32,W32,IF(AO7=Z32,Y32,"")))</f>
        <v/>
      </c>
      <c r="AZ7" s="518" t="str">
        <f>IF(W33="","",IF(AO7=V33,W33,IF(AO7=Z33,Y33,"")))</f>
        <v/>
      </c>
      <c r="BA7" s="518" t="str">
        <f>IF(W34="","",IF(AO7=V34,W34,IF(AO7=Z34,Y34,"")))</f>
        <v/>
      </c>
      <c r="BB7" s="518" t="str">
        <f>IF(W27="","",IF(AO7=V27,W27,IF(AO7=Z27,Y27,"")))</f>
        <v/>
      </c>
      <c r="BC7" s="518" t="str">
        <f>IF(W28="","",IF(AO7=V28,W28,IF(AO7=Z28,Y28,"")))</f>
        <v/>
      </c>
      <c r="BD7" s="518" t="str">
        <f>IF(W29="","",IF(AO7=V29,W29,IF(AO7=Z29,Y29,"")))</f>
        <v/>
      </c>
      <c r="BE7" s="518" t="str">
        <f>IF(W30="","",IF(AO7=V30,W30,IF(AO7=Z30,Y30,"")))</f>
        <v/>
      </c>
      <c r="BF7" s="518" t="str">
        <f>IF(W23="","",IF(AO7=V23,W23,IF(AO7=Z23,Y23,"")))</f>
        <v/>
      </c>
      <c r="BG7" s="518" t="str">
        <f>IF(W24="","",IF(AO7=V24,W24,IF(AO7=Z24,Y24,"")))</f>
        <v/>
      </c>
      <c r="BH7" s="518" t="str">
        <f>IF(W25="","",IF(AO7=V25,W25,IF(AO7=Z25,Y25,"")))</f>
        <v/>
      </c>
      <c r="BI7" s="518" t="str">
        <f>IF(W26="","",IF(AO7=V26,W26,IF(AO7=Z26,Y26,"")))</f>
        <v/>
      </c>
      <c r="BJ7" s="518" t="str">
        <f>IF(W19="","",IF(AO7=V19,W19,IF(AO7=Z19,Y19,"")))</f>
        <v/>
      </c>
      <c r="BK7" s="518" t="str">
        <f>IF(W20="","",IF(AO7=V20,W20,IF(AO7=Z20,Y20,"")))</f>
        <v/>
      </c>
      <c r="BL7" s="518" t="str">
        <f>IF(W21="","",IF(AO7=V21,W21,IF(AO7=Z21,Y21,"")))</f>
        <v/>
      </c>
      <c r="BM7" s="518" t="str">
        <f>IF(W22="","",IF(AO7=V22,W22,IF(AO7=Z22,Y22,"")))</f>
        <v/>
      </c>
      <c r="BN7" s="518" t="str">
        <f>IF(W15="","",IF(AO7=V15,W15,IF(AO7=Z15,Y15,"")))</f>
        <v/>
      </c>
      <c r="BO7" s="518" t="str">
        <f>IF(W16="","",IF(AO7=V16,W16,IF(AO7=Z16,Y16,"")))</f>
        <v/>
      </c>
      <c r="BP7" s="518">
        <f>IF(W17="","",IF(AO7=V17,W17,IF(AO7=Z17,Y17,"")))</f>
        <v>8</v>
      </c>
      <c r="BQ7" s="518" t="str">
        <f>IF(W18="","",IF(AO7=V18,W18,IF(AO7=Z18,Y18,"")))</f>
        <v/>
      </c>
      <c r="BR7" s="518">
        <f>IF(W11="","",IF(AO7=V11,W11,IF(AO7=Z11,Y11,"")))</f>
        <v>8</v>
      </c>
      <c r="BS7" s="518" t="str">
        <f>IF(W12="","",IF(AO7=V12,W12,IF(AO7=Z12,Y12,"")))</f>
        <v/>
      </c>
      <c r="BT7" s="518" t="str">
        <f>IF(W13="","",IF(AO7=V13,W13,IF(AO7=Z13,Y13,"")))</f>
        <v/>
      </c>
      <c r="BU7" s="518" t="str">
        <f>IF(W14="","",IF(AO7=V14,W14,IF(AO7=Z14,Y14,"")))</f>
        <v/>
      </c>
      <c r="BV7" s="518">
        <f>IF(W7="","",IF(AO7=V7,W7,IF(AO7=Z7,Y7,"")))</f>
        <v>8</v>
      </c>
      <c r="BW7" s="518" t="str">
        <f>IF(W8="","",IF(AO7=V8,W8,IF(AO7=Z8,Y8,"")))</f>
        <v/>
      </c>
      <c r="BX7" s="518" t="str">
        <f>IF(W9="","",IF(AO7=V9,W9,IF(AO7=Z9,Y9,"")))</f>
        <v/>
      </c>
      <c r="BY7" s="519" t="str">
        <f>IF(W10="","",IF(AO7=V10,W10,IF(AO7=Z10,Y10,"")))</f>
        <v/>
      </c>
      <c r="BZ7" s="1395" t="b">
        <f t="shared" ref="BZ7:BZ14" si="12">IF(G7="[---WithDraw---]",FALSE,IF(COUNTIF(PlayerNamesWithinGroups,G7)&gt;1,TRUE,FALSE))</f>
        <v>0</v>
      </c>
      <c r="CA7" s="1450" t="b">
        <f t="shared" ref="CA7:CA14" si="13">AND(LEFT($AO7,1) = "(", RIGHT($AO7,1) =")")</f>
        <v>0</v>
      </c>
      <c r="CB7" s="1450" t="b">
        <f t="shared" ref="CB7:CB14" si="14">IF(OR($AN7=$AN6,$AN7=$AN8),TRUE,FALSE)</f>
        <v>0</v>
      </c>
      <c r="CC7" s="270"/>
      <c r="CD7" s="270"/>
      <c r="CE7"/>
    </row>
    <row r="8" spans="1:83" outlineLevel="1" x14ac:dyDescent="0.2">
      <c r="A8" s="270"/>
      <c r="B8" s="545">
        <v>2</v>
      </c>
      <c r="C8" s="560">
        <f>IF(AK6="","",RANK(F8,F7:F14)*1000+ROW())</f>
        <v>2008</v>
      </c>
      <c r="D8" s="561">
        <f t="shared" si="0"/>
        <v>90000000000</v>
      </c>
      <c r="E8" s="561">
        <f>IF(L8="","",Nb_Diff_Part(D8,D7:D14,G8,G7:G14,AI7:AI34)*CritClassInd_DiffPart+Nb_Goal_Part(D8,D7:D14,G8,G7:G14,V7:Z34)*CritClassInd_GoalPart+Nb_Score_Part(D8,D7:D14,G8,G7:G14,V7:Z34)*CritClassInd_ScorePart)</f>
        <v>0</v>
      </c>
      <c r="F8" s="562">
        <f t="shared" si="1"/>
        <v>90000000410</v>
      </c>
      <c r="G8" s="477" t="str">
        <f>D1_Tr1!P_2A</f>
        <v>Stéphane POMMIER (cae)</v>
      </c>
      <c r="H8" s="501">
        <f t="shared" si="2"/>
        <v>0</v>
      </c>
      <c r="I8" s="502"/>
      <c r="J8" s="560">
        <f>IF(AK6="","",(L8*Points_Victoire)+M8*Points_Null)</f>
        <v>9</v>
      </c>
      <c r="K8" s="556">
        <f t="shared" si="3"/>
        <v>3</v>
      </c>
      <c r="L8" s="563">
        <f>IF(AK6="","",COUNTIF(AE7:AE34,G8))</f>
        <v>3</v>
      </c>
      <c r="M8" s="563">
        <f>IF(AK6="","",COUNTIF(AF7:AG34,G8))</f>
        <v>0</v>
      </c>
      <c r="N8" s="563">
        <f>IF(AK6="","",COUNTIF(AH7:AH34,G8))</f>
        <v>0</v>
      </c>
      <c r="O8" s="563">
        <f>IF(AK6="","",SUMIF(V7:V34,G8,AB7:AB34)+SUMIF(Z7:Z34,G8,AD7:AD34))</f>
        <v>10</v>
      </c>
      <c r="P8" s="563">
        <f>IF(AK6="","",SUMIF(V7:V34,G8,AD7:AD34)+SUMIF(Z7:Z34,G8,AB7:AB34))</f>
        <v>6</v>
      </c>
      <c r="Q8" s="557">
        <f>IF(AK6="","",O8-P8)</f>
        <v>4</v>
      </c>
      <c r="R8" s="558" t="s">
        <v>1726</v>
      </c>
      <c r="S8" s="613">
        <v>0.58680555555555558</v>
      </c>
      <c r="T8" s="618"/>
      <c r="U8" s="1504"/>
      <c r="V8" s="483" t="str">
        <f>IF(G8="","",G8)</f>
        <v>Stéphane POMMIER (cae)</v>
      </c>
      <c r="W8" s="484">
        <v>3</v>
      </c>
      <c r="X8" s="485" t="s">
        <v>769</v>
      </c>
      <c r="Y8" s="484">
        <v>2</v>
      </c>
      <c r="Z8" s="486" t="str">
        <f>IF(G14="","",G14)</f>
        <v>Quentin AUSSET (chp)</v>
      </c>
      <c r="AA8" s="839"/>
      <c r="AB8" s="1459">
        <f t="shared" si="4"/>
        <v>3</v>
      </c>
      <c r="AC8" s="1460" t="str">
        <f t="shared" si="5"/>
        <v>-</v>
      </c>
      <c r="AD8" s="1459">
        <f t="shared" si="6"/>
        <v>2</v>
      </c>
      <c r="AE8" s="968" t="str">
        <f t="shared" si="7"/>
        <v>Stéphane POMMIER (cae)</v>
      </c>
      <c r="AF8" s="968" t="str">
        <f t="shared" si="8"/>
        <v/>
      </c>
      <c r="AG8" s="968" t="str">
        <f t="shared" si="9"/>
        <v/>
      </c>
      <c r="AH8" s="968" t="str">
        <f t="shared" si="10"/>
        <v>Quentin AUSSET (chp)</v>
      </c>
      <c r="AI8" s="968" t="str">
        <f t="shared" si="11"/>
        <v>Stéphane POMMIER (cae)Quentin AUSSET (chp)</v>
      </c>
      <c r="AJ8" s="968"/>
      <c r="AK8" s="968">
        <f>IF(AK6="","",SMALL(C7:C14,2))</f>
        <v>2008</v>
      </c>
      <c r="AL8" s="270"/>
      <c r="AM8" s="270"/>
      <c r="AN8" s="545">
        <f>IF(AK6="","",INT(AK8/1000))</f>
        <v>2</v>
      </c>
      <c r="AO8" s="510" t="str">
        <f>IF(AK6="",IF(HidePlayerFormulas,"","("&amp;G8&amp;")"),VLOOKUP(AK8,C7:Q14,5,FALSE))</f>
        <v>Stéphane POMMIER (cae)</v>
      </c>
      <c r="AP8" s="511">
        <f>VLOOKUP(AK8,C7:Q14,8,FALSE)</f>
        <v>9</v>
      </c>
      <c r="AQ8" s="511">
        <f>VLOOKUP(AK8,C7:Q14,9,FALSE)</f>
        <v>3</v>
      </c>
      <c r="AR8" s="511">
        <f>VLOOKUP(AK8,C7:Q14,10,FALSE)</f>
        <v>3</v>
      </c>
      <c r="AS8" s="511">
        <f>VLOOKUP(AK8,C7:Q14,11,FALSE)</f>
        <v>0</v>
      </c>
      <c r="AT8" s="511">
        <f>VLOOKUP(AK8,C7:Q14,12,FALSE)</f>
        <v>0</v>
      </c>
      <c r="AU8" s="511">
        <f>VLOOKUP(AK8,C7:Q14,13,FALSE)</f>
        <v>10</v>
      </c>
      <c r="AV8" s="511">
        <f>VLOOKUP(AK8,C7:Q14,14,FALSE)</f>
        <v>6</v>
      </c>
      <c r="AW8" s="512">
        <f>VLOOKUP(AK8,C7:Q14,15,FALSE)</f>
        <v>4</v>
      </c>
      <c r="AX8" s="546" t="str">
        <f>IF(W31="","",IF(AO8=V31,W31,IF(AO8=Z31,Y31,"")))</f>
        <v/>
      </c>
      <c r="AY8" s="521" t="str">
        <f>IF(W32="","",IF(AO8=V32,W32,IF(AO8=Z32,Y32,"")))</f>
        <v/>
      </c>
      <c r="AZ8" s="521" t="str">
        <f>IF(W33="","",IF(AO8=V33,W33,IF(AO8=Z33,Y33,"")))</f>
        <v/>
      </c>
      <c r="BA8" s="521" t="str">
        <f>IF(W34="","",IF(AO8=V34,W34,IF(AO8=Z34,Y34,"")))</f>
        <v/>
      </c>
      <c r="BB8" s="521" t="str">
        <f>IF(W27="","",IF(AO8=V27,W27,IF(AO8=Z27,Y27,"")))</f>
        <v/>
      </c>
      <c r="BC8" s="521" t="str">
        <f>IF(W28="","",IF(AO8=V28,W28,IF(AO8=Z28,Y28,"")))</f>
        <v/>
      </c>
      <c r="BD8" s="521" t="str">
        <f>IF(W29="","",IF(AO8=V29,W29,IF(AO8=Z29,Y29,"")))</f>
        <v/>
      </c>
      <c r="BE8" s="521" t="str">
        <f>IF(W30="","",IF(AO8=V30,W30,IF(AO8=Z30,Y30,"")))</f>
        <v/>
      </c>
      <c r="BF8" s="521" t="str">
        <f>IF(W23="","",IF(AO8=V23,W23,IF(AO8=Z23,Y23,"")))</f>
        <v/>
      </c>
      <c r="BG8" s="521" t="str">
        <f>IF(W24="","",IF(AO8=V24,W24,IF(AO8=Z24,Y24,"")))</f>
        <v/>
      </c>
      <c r="BH8" s="521" t="str">
        <f>IF(W25="","",IF(AO8=V25,W25,IF(AO8=Z25,Y25,"")))</f>
        <v/>
      </c>
      <c r="BI8" s="521" t="str">
        <f>IF(W26="","",IF(AO8=V26,W26,IF(AO8=Z26,Y26,"")))</f>
        <v/>
      </c>
      <c r="BJ8" s="521" t="str">
        <f>IF(W19="","",IF(AO8=V19,W19,IF(AO8=Z19,Y19,"")))</f>
        <v/>
      </c>
      <c r="BK8" s="521" t="str">
        <f>IF(W20="","",IF(AO8=V20,W20,IF(AO8=Z20,Y20,"")))</f>
        <v/>
      </c>
      <c r="BL8" s="521" t="str">
        <f>IF(W21="","",IF(AO8=V21,W21,IF(AO8=Z21,Y21,"")))</f>
        <v/>
      </c>
      <c r="BM8" s="521" t="str">
        <f>IF(W22="","",IF(AO8=V22,W22,IF(AO8=Z22,Y22,"")))</f>
        <v/>
      </c>
      <c r="BN8" s="521" t="str">
        <f>IF(W15="","",IF(AO8=V15,W15,IF(AO8=Z15,Y15,"")))</f>
        <v/>
      </c>
      <c r="BO8" s="521">
        <f>IF(W16="","",IF(AO8=V16,W16,IF(AO8=Z16,Y16,"")))</f>
        <v>3</v>
      </c>
      <c r="BP8" s="521" t="str">
        <f>IF(W17="","",IF(AO8=V17,W17,IF(AO8=Z17,Y17,"")))</f>
        <v/>
      </c>
      <c r="BQ8" s="521" t="str">
        <f>IF(W18="","",IF(AO8=V18,W18,IF(AO8=Z18,Y18,"")))</f>
        <v/>
      </c>
      <c r="BR8" s="521" t="str">
        <f>IF(W11="","",IF(AO8=V11,W11,IF(AO8=Z11,Y11,"")))</f>
        <v/>
      </c>
      <c r="BS8" s="521">
        <f>IF(W12="","",IF(AO8=V12,W12,IF(AO8=Z12,Y12,"")))</f>
        <v>4</v>
      </c>
      <c r="BT8" s="521" t="str">
        <f>IF(W13="","",IF(AO8=V13,W13,IF(AO8=Z13,Y13,"")))</f>
        <v/>
      </c>
      <c r="BU8" s="521" t="str">
        <f>IF(W14="","",IF(AO8=V14,W14,IF(AO8=Z14,Y14,"")))</f>
        <v/>
      </c>
      <c r="BV8" s="521" t="str">
        <f>IF(W7="","",IF(AO8=V7,W7,IF(AO8=Z7,Y7,"")))</f>
        <v/>
      </c>
      <c r="BW8" s="521">
        <f>IF(W8="","",IF(AO8=V8,W8,IF(AO8=Z8,Y8,"")))</f>
        <v>3</v>
      </c>
      <c r="BX8" s="521" t="str">
        <f>IF(W9="","",IF(AO8=V9,W9,IF(AO8=Z9,Y9,"")))</f>
        <v/>
      </c>
      <c r="BY8" s="522" t="str">
        <f>IF(W10="","",IF(AO8=V10,W10,IF(AO8=Z10,Y10,"")))</f>
        <v/>
      </c>
      <c r="BZ8" s="1395" t="b">
        <f t="shared" si="12"/>
        <v>0</v>
      </c>
      <c r="CA8" s="1450" t="b">
        <f t="shared" si="13"/>
        <v>0</v>
      </c>
      <c r="CB8" s="1450" t="b">
        <f t="shared" si="14"/>
        <v>0</v>
      </c>
      <c r="CC8" s="270"/>
      <c r="CD8" s="270"/>
      <c r="CE8"/>
    </row>
    <row r="9" spans="1:83" outlineLevel="1" x14ac:dyDescent="0.2">
      <c r="A9" s="270"/>
      <c r="B9" s="545">
        <v>3</v>
      </c>
      <c r="C9" s="560">
        <f>IF(AK6="","",RANK(F9,F7:F14)*1000+ROW())</f>
        <v>4009</v>
      </c>
      <c r="D9" s="561">
        <f t="shared" si="0"/>
        <v>30000000000</v>
      </c>
      <c r="E9" s="561">
        <f>IF(L9="","",Nb_Diff_Part(D9,D7:D14,G9,G7:G14,AI7:AI34)*CritClassInd_DiffPart+Nb_Goal_Part(D9,D7:D14,G9,G7:G14,V7:Z34)*CritClassInd_GoalPart+Nb_Score_Part(D9,D7:D14,G9,G7:G14,V7:Z34)*CritClassInd_ScorePart)</f>
        <v>1110000</v>
      </c>
      <c r="F9" s="562">
        <f t="shared" si="1"/>
        <v>30001109614</v>
      </c>
      <c r="G9" s="477" t="str">
        <f>D1_Tr1!P_1B</f>
        <v>Eric NASZALYI (iss)</v>
      </c>
      <c r="H9" s="501">
        <f t="shared" si="2"/>
        <v>0</v>
      </c>
      <c r="I9" s="502"/>
      <c r="J9" s="560">
        <f>IF(AK6="","",(L9*Points_Victoire)+M9*Points_Null)</f>
        <v>3</v>
      </c>
      <c r="K9" s="563">
        <f t="shared" si="3"/>
        <v>3</v>
      </c>
      <c r="L9" s="563">
        <f>IF(AK6="","",COUNTIF(AE7:AE34,G9))</f>
        <v>1</v>
      </c>
      <c r="M9" s="563">
        <f>IF(AK6="","",COUNTIF(AF7:AG34,G9))</f>
        <v>0</v>
      </c>
      <c r="N9" s="563">
        <f>IF(AK6="","",COUNTIF(AH7:AH34,G9))</f>
        <v>2</v>
      </c>
      <c r="O9" s="563">
        <f>IF(AK6="","",SUMIF(V7:V34,G9,AB7:AB34)+SUMIF(Z7:Z34,G9,AD7:AD34))</f>
        <v>14</v>
      </c>
      <c r="P9" s="563">
        <f>IF(AK6="","",SUMIF(V7:V34,G9,AD7:AD34)+SUMIF(Z7:Z34,G9,AB7:AB34))</f>
        <v>18</v>
      </c>
      <c r="Q9" s="564">
        <f>IF(AK6="","",O9-P9)</f>
        <v>-4</v>
      </c>
      <c r="R9" s="558" t="s">
        <v>1726</v>
      </c>
      <c r="S9" s="613"/>
      <c r="T9" s="618"/>
      <c r="U9" s="1504"/>
      <c r="V9" s="483" t="str">
        <f>IF(G10="","",G10)</f>
        <v>Emmanuel GORGETTE (iss)</v>
      </c>
      <c r="W9" s="484" t="s">
        <v>898</v>
      </c>
      <c r="X9" s="485" t="s">
        <v>769</v>
      </c>
      <c r="Y9" s="484" t="s">
        <v>898</v>
      </c>
      <c r="Z9" s="486" t="str">
        <f>IF(G13="","",G13)</f>
        <v>David LEROY (puy)</v>
      </c>
      <c r="AA9" s="839"/>
      <c r="AB9" s="1459" t="str">
        <f>IF(MaxScore,MaxGoals(W9,Y9,MaxGoalsValue),IF(W9="","",W9))</f>
        <v/>
      </c>
      <c r="AC9" s="1460" t="str">
        <f t="shared" si="5"/>
        <v/>
      </c>
      <c r="AD9" s="1459" t="str">
        <f t="shared" si="6"/>
        <v/>
      </c>
      <c r="AE9" s="968" t="str">
        <f t="shared" si="7"/>
        <v/>
      </c>
      <c r="AF9" s="968" t="str">
        <f t="shared" si="8"/>
        <v/>
      </c>
      <c r="AG9" s="968" t="str">
        <f t="shared" si="9"/>
        <v/>
      </c>
      <c r="AH9" s="968" t="str">
        <f t="shared" si="10"/>
        <v/>
      </c>
      <c r="AI9" s="968" t="str">
        <f t="shared" si="11"/>
        <v/>
      </c>
      <c r="AJ9" s="968"/>
      <c r="AK9" s="968">
        <f>IF(AK6="","",SMALL(C7:C14,3))</f>
        <v>3012</v>
      </c>
      <c r="AL9" s="270"/>
      <c r="AM9" s="270"/>
      <c r="AN9" s="545">
        <f>IF(AK6="","",INT(AK9/1000))</f>
        <v>3</v>
      </c>
      <c r="AO9" s="510" t="str">
        <f>IF(AK6="",IF(HidePlayerFormulas,"","("&amp;G9&amp;")"),VLOOKUP(AK9,C7:Q14,5,FALSE))</f>
        <v>Mickaël BLANC (sym)</v>
      </c>
      <c r="AP9" s="511">
        <f>VLOOKUP(AK9,C7:Q14,8,FALSE)</f>
        <v>6</v>
      </c>
      <c r="AQ9" s="511">
        <f>VLOOKUP(AK9,C7:Q14,9,FALSE)</f>
        <v>3</v>
      </c>
      <c r="AR9" s="511">
        <f>VLOOKUP(AK9,C7:Q14,10,FALSE)</f>
        <v>2</v>
      </c>
      <c r="AS9" s="511">
        <f>VLOOKUP(AK9,C7:Q14,11,FALSE)</f>
        <v>0</v>
      </c>
      <c r="AT9" s="511">
        <f>VLOOKUP(AK9,C7:Q14,12,FALSE)</f>
        <v>1</v>
      </c>
      <c r="AU9" s="511">
        <f>VLOOKUP(AK9,C7:Q14,13,FALSE)</f>
        <v>7</v>
      </c>
      <c r="AV9" s="511">
        <f>VLOOKUP(AK9,C7:Q14,14,FALSE)</f>
        <v>6</v>
      </c>
      <c r="AW9" s="512">
        <f>VLOOKUP(AK9,C7:Q14,15,FALSE)</f>
        <v>1</v>
      </c>
      <c r="AX9" s="546" t="str">
        <f>IF(W31="","",IF(AO9=V31,W31,IF(AO9=Z31,Y31,"")))</f>
        <v/>
      </c>
      <c r="AY9" s="521" t="str">
        <f>IF(W32="","",IF(AO9=V32,W32,IF(AO9=Z32,Y32,"")))</f>
        <v/>
      </c>
      <c r="AZ9" s="521" t="str">
        <f>IF(W33="","",IF(AO9=V33,W33,IF(AO9=Z33,Y33,"")))</f>
        <v/>
      </c>
      <c r="BA9" s="521" t="str">
        <f>IF(W34="","",IF(AO9=V34,W34,IF(AO9=Z34,Y34,"")))</f>
        <v/>
      </c>
      <c r="BB9" s="521" t="str">
        <f>IF(W27="","",IF(AO9=V27,W27,IF(AO9=Z27,Y27,"")))</f>
        <v/>
      </c>
      <c r="BC9" s="521" t="str">
        <f>IF(W28="","",IF(AO9=V28,W28,IF(AO9=Z28,Y28,"")))</f>
        <v/>
      </c>
      <c r="BD9" s="521" t="str">
        <f>IF(W29="","",IF(AO9=V29,W29,IF(AO9=Z29,Y29,"")))</f>
        <v/>
      </c>
      <c r="BE9" s="521" t="str">
        <f>IF(W30="","",IF(AO9=V30,W30,IF(AO9=Z30,Y30,"")))</f>
        <v/>
      </c>
      <c r="BF9" s="521" t="str">
        <f>IF(W23="","",IF(AO9=V23,W23,IF(AO9=Z23,Y23,"")))</f>
        <v/>
      </c>
      <c r="BG9" s="521" t="str">
        <f>IF(W24="","",IF(AO9=V24,W24,IF(AO9=Z24,Y24,"")))</f>
        <v/>
      </c>
      <c r="BH9" s="521" t="str">
        <f>IF(W25="","",IF(AO9=V25,W25,IF(AO9=Z25,Y25,"")))</f>
        <v/>
      </c>
      <c r="BI9" s="521">
        <f>IF(W26="","",IF(AO9=V26,W26,IF(AO9=Z26,Y26,"")))</f>
        <v>3</v>
      </c>
      <c r="BJ9" s="521" t="str">
        <f>IF(W19="","",IF(AO9=V19,W19,IF(AO9=Z19,Y19,"")))</f>
        <v/>
      </c>
      <c r="BK9" s="521">
        <f>IF(W20="","",IF(AO9=V20,W20,IF(AO9=Z20,Y20,"")))</f>
        <v>3</v>
      </c>
      <c r="BL9" s="521" t="str">
        <f>IF(W21="","",IF(AO9=V21,W21,IF(AO9=Z21,Y21,"")))</f>
        <v/>
      </c>
      <c r="BM9" s="521" t="str">
        <f>IF(W22="","",IF(AO9=V22,W22,IF(AO9=Z22,Y22,"")))</f>
        <v/>
      </c>
      <c r="BN9" s="521" t="str">
        <f>IF(W15="","",IF(AO9=V15,W15,IF(AO9=Z15,Y15,"")))</f>
        <v/>
      </c>
      <c r="BO9" s="521">
        <f>IF(W16="","",IF(AO9=V16,W16,IF(AO9=Z16,Y16,"")))</f>
        <v>1</v>
      </c>
      <c r="BP9" s="521" t="str">
        <f>IF(W17="","",IF(AO9=V17,W17,IF(AO9=Z17,Y17,"")))</f>
        <v/>
      </c>
      <c r="BQ9" s="521" t="str">
        <f>IF(W18="","",IF(AO9=V18,W18,IF(AO9=Z18,Y18,"")))</f>
        <v/>
      </c>
      <c r="BR9" s="521" t="str">
        <f>IF(W11="","",IF(AO9=V11,W11,IF(AO9=Z11,Y11,"")))</f>
        <v/>
      </c>
      <c r="BS9" s="521" t="str">
        <f>IF(W12="","",IF(AO9=V12,W12,IF(AO9=Z12,Y12,"")))</f>
        <v/>
      </c>
      <c r="BT9" s="521" t="str">
        <f>IF(W13="","",IF(AO9=V13,W13,IF(AO9=Z13,Y13,"")))</f>
        <v/>
      </c>
      <c r="BU9" s="521" t="str">
        <f>IF(W14="","",IF(AO9=V14,W14,IF(AO9=Z14,Y14,"")))</f>
        <v/>
      </c>
      <c r="BV9" s="521" t="str">
        <f>IF(W7="","",IF(AO9=V7,W7,IF(AO9=Z7,Y7,"")))</f>
        <v/>
      </c>
      <c r="BW9" s="521" t="str">
        <f>IF(W8="","",IF(AO9=V8,W8,IF(AO9=Z8,Y8,"")))</f>
        <v/>
      </c>
      <c r="BX9" s="521" t="str">
        <f>IF(W9="","",IF(AO9=V9,W9,IF(AO9=Z9,Y9,"")))</f>
        <v/>
      </c>
      <c r="BY9" s="522" t="str">
        <f>IF(W10="","",IF(AO9=V10,W10,IF(AO9=Z10,Y10,"")))</f>
        <v/>
      </c>
      <c r="BZ9" s="1395" t="b">
        <f t="shared" si="12"/>
        <v>0</v>
      </c>
      <c r="CA9" s="1450" t="b">
        <f t="shared" si="13"/>
        <v>0</v>
      </c>
      <c r="CB9" s="1450" t="b">
        <f t="shared" si="14"/>
        <v>0</v>
      </c>
      <c r="CC9" s="270"/>
      <c r="CD9" s="270"/>
      <c r="CE9"/>
    </row>
    <row r="10" spans="1:83" ht="13.5" outlineLevel="1" thickBot="1" x14ac:dyDescent="0.25">
      <c r="A10" s="270"/>
      <c r="B10" s="545">
        <v>4</v>
      </c>
      <c r="C10" s="560">
        <f>IF(AK6="","",RANK(F10,F7:F14)*1000+ROW())</f>
        <v>6010</v>
      </c>
      <c r="D10" s="561">
        <f t="shared" si="0"/>
        <v>30000000000</v>
      </c>
      <c r="E10" s="561">
        <f>IF(L10="","",Nb_Diff_Part(D10,D7:D14,G10,G7:G14,AI7:AI34)*CritClassInd_DiffPart+Nb_Goal_Part(D10,D7:D14,G10,G7:G14,V7:Z34)*CritClassInd_GoalPart+Nb_Score_Part(D10,D7:D14,G10,G7:G14,V7:Z34)*CritClassInd_ScorePart)</f>
        <v>0</v>
      </c>
      <c r="F10" s="562">
        <f t="shared" si="1"/>
        <v>30000000008</v>
      </c>
      <c r="G10" s="477" t="str">
        <f>D1_Tr1!P_2B</f>
        <v>Emmanuel GORGETTE (iss)</v>
      </c>
      <c r="H10" s="501">
        <f t="shared" si="2"/>
        <v>0</v>
      </c>
      <c r="I10" s="502"/>
      <c r="J10" s="560">
        <f>IF(AK6="","",(L10*Points_Victoire)+M10*Points_Null)</f>
        <v>3</v>
      </c>
      <c r="K10" s="563">
        <f t="shared" si="3"/>
        <v>3</v>
      </c>
      <c r="L10" s="563">
        <f>IF(AK6="","",COUNTIF(AE7:AE34,G10))</f>
        <v>1</v>
      </c>
      <c r="M10" s="563">
        <f>IF(AK6="","",COUNTIF(AF7:AG34,G10))</f>
        <v>0</v>
      </c>
      <c r="N10" s="563">
        <f>IF(AK6="","",COUNTIF(AH7:AH34,G10))</f>
        <v>2</v>
      </c>
      <c r="O10" s="563">
        <f>IF(AK6="","",SUMIF(V7:V34,G10,AB7:AB34)+SUMIF(Z7:Z34,G10,AD7:AD34))</f>
        <v>8</v>
      </c>
      <c r="P10" s="563">
        <f>IF(AK6="","",SUMIF(V7:V34,G10,AD7:AD34)+SUMIF(Z7:Z34,G10,AB7:AB34))</f>
        <v>8</v>
      </c>
      <c r="Q10" s="564">
        <f>IF(AK6="","",O10-P10)</f>
        <v>0</v>
      </c>
      <c r="R10" s="558" t="s">
        <v>1726</v>
      </c>
      <c r="S10" s="615"/>
      <c r="T10" s="619"/>
      <c r="U10" s="1503"/>
      <c r="V10" s="487" t="str">
        <f>IF(G11="","",G11)</f>
        <v>Théo MODESTE (iss)</v>
      </c>
      <c r="W10" s="488" t="s">
        <v>898</v>
      </c>
      <c r="X10" s="489" t="s">
        <v>769</v>
      </c>
      <c r="Y10" s="488" t="s">
        <v>898</v>
      </c>
      <c r="Z10" s="490" t="str">
        <f>IF(G12="","",G12)</f>
        <v>Mickaël BLANC (sym)</v>
      </c>
      <c r="AA10" s="839"/>
      <c r="AB10" s="1459" t="str">
        <f t="shared" si="4"/>
        <v/>
      </c>
      <c r="AC10" s="1460" t="str">
        <f t="shared" si="5"/>
        <v/>
      </c>
      <c r="AD10" s="1459" t="str">
        <f t="shared" si="6"/>
        <v/>
      </c>
      <c r="AE10" s="968" t="str">
        <f t="shared" si="7"/>
        <v/>
      </c>
      <c r="AF10" s="968" t="str">
        <f t="shared" si="8"/>
        <v/>
      </c>
      <c r="AG10" s="968" t="str">
        <f t="shared" si="9"/>
        <v/>
      </c>
      <c r="AH10" s="968" t="str">
        <f t="shared" si="10"/>
        <v/>
      </c>
      <c r="AI10" s="968" t="str">
        <f t="shared" si="11"/>
        <v/>
      </c>
      <c r="AJ10" s="968"/>
      <c r="AK10" s="968">
        <f>IF(AK6="","",SMALL(C7:C14,4))</f>
        <v>4009</v>
      </c>
      <c r="AL10" s="270"/>
      <c r="AM10" s="270"/>
      <c r="AN10" s="545">
        <f>IF(AK6="","",INT(AK10/1000))</f>
        <v>4</v>
      </c>
      <c r="AO10" s="510" t="str">
        <f>IF(AK6="",IF(HidePlayerFormulas,"","("&amp;G10&amp;")"),VLOOKUP(AK10,C7:Q14,5,FALSE))</f>
        <v>Eric NASZALYI (iss)</v>
      </c>
      <c r="AP10" s="511">
        <f>VLOOKUP(AK10,C7:Q14,8,FALSE)</f>
        <v>3</v>
      </c>
      <c r="AQ10" s="511">
        <f>VLOOKUP(AK10,C7:Q14,9,FALSE)</f>
        <v>3</v>
      </c>
      <c r="AR10" s="511">
        <f>VLOOKUP(AK10,C7:Q14,10,FALSE)</f>
        <v>1</v>
      </c>
      <c r="AS10" s="511">
        <f>VLOOKUP(AK10,C7:Q14,11,FALSE)</f>
        <v>0</v>
      </c>
      <c r="AT10" s="511">
        <f>VLOOKUP(AK10,C7:Q14,12,FALSE)</f>
        <v>2</v>
      </c>
      <c r="AU10" s="511">
        <f>VLOOKUP(AK10,C7:Q14,13,FALSE)</f>
        <v>14</v>
      </c>
      <c r="AV10" s="511">
        <f>VLOOKUP(AK10,C7:Q14,14,FALSE)</f>
        <v>18</v>
      </c>
      <c r="AW10" s="512">
        <f>VLOOKUP(AK10,C7:Q14,15,FALSE)</f>
        <v>-4</v>
      </c>
      <c r="AX10" s="546" t="str">
        <f>IF(W31="","",IF(AO10=V31,W31,IF(AO10=Z31,Y31,"")))</f>
        <v/>
      </c>
      <c r="AY10" s="521" t="str">
        <f>IF(W32="","",IF(AO10=V32,W32,IF(AO10=Z32,Y32,"")))</f>
        <v/>
      </c>
      <c r="AZ10" s="521" t="str">
        <f>IF(W33="","",IF(AO10=V33,W33,IF(AO10=Z33,Y33,"")))</f>
        <v/>
      </c>
      <c r="BA10" s="521" t="str">
        <f>IF(W34="","",IF(AO10=V34,W34,IF(AO10=Z34,Y34,"")))</f>
        <v/>
      </c>
      <c r="BB10" s="521" t="str">
        <f>IF(W27="","",IF(AO10=V27,W27,IF(AO10=Z27,Y27,"")))</f>
        <v/>
      </c>
      <c r="BC10" s="521" t="str">
        <f>IF(W28="","",IF(AO10=V28,W28,IF(AO10=Z28,Y28,"")))</f>
        <v/>
      </c>
      <c r="BD10" s="521" t="str">
        <f>IF(W29="","",IF(AO10=V29,W29,IF(AO10=Z29,Y29,"")))</f>
        <v/>
      </c>
      <c r="BE10" s="521" t="str">
        <f>IF(W30="","",IF(AO10=V30,W30,IF(AO10=Z30,Y30,"")))</f>
        <v/>
      </c>
      <c r="BF10" s="521" t="str">
        <f>IF(W23="","",IF(AO10=V23,W23,IF(AO10=Z23,Y23,"")))</f>
        <v/>
      </c>
      <c r="BG10" s="521" t="str">
        <f>IF(W24="","",IF(AO10=V24,W24,IF(AO10=Z24,Y24,"")))</f>
        <v/>
      </c>
      <c r="BH10" s="521" t="str">
        <f>IF(W25="","",IF(AO10=V25,W25,IF(AO10=Z25,Y25,"")))</f>
        <v/>
      </c>
      <c r="BI10" s="521" t="str">
        <f>IF(W26="","",IF(AO10=V26,W26,IF(AO10=Z26,Y26,"")))</f>
        <v/>
      </c>
      <c r="BJ10" s="521" t="str">
        <f>IF(W19="","",IF(AO10=V19,W19,IF(AO10=Z19,Y19,"")))</f>
        <v/>
      </c>
      <c r="BK10" s="521" t="str">
        <f>IF(W20="","",IF(AO10=V20,W20,IF(AO10=Z20,Y20,"")))</f>
        <v/>
      </c>
      <c r="BL10" s="521" t="str">
        <f>IF(W21="","",IF(AO10=V21,W21,IF(AO10=Z21,Y21,"")))</f>
        <v/>
      </c>
      <c r="BM10" s="521">
        <f>IF(W22="","",IF(AO10=V22,W22,IF(AO10=Z22,Y22,"")))</f>
        <v>8</v>
      </c>
      <c r="BN10" s="521">
        <f>IF(W15="","",IF(AO10=V15,W15,IF(AO10=Z15,Y15,"")))</f>
        <v>3</v>
      </c>
      <c r="BO10" s="521" t="str">
        <f>IF(W16="","",IF(AO10=V16,W16,IF(AO10=Z16,Y16,"")))</f>
        <v/>
      </c>
      <c r="BP10" s="521" t="str">
        <f>IF(W17="","",IF(AO10=V17,W17,IF(AO10=Z17,Y17,"")))</f>
        <v/>
      </c>
      <c r="BQ10" s="521" t="str">
        <f>IF(W18="","",IF(AO10=V18,W18,IF(AO10=Z18,Y18,"")))</f>
        <v/>
      </c>
      <c r="BR10" s="521" t="str">
        <f>IF(W11="","",IF(AO10=V11,W11,IF(AO10=Z11,Y11,"")))</f>
        <v/>
      </c>
      <c r="BS10" s="521" t="str">
        <f>IF(W12="","",IF(AO10=V12,W12,IF(AO10=Z12,Y12,"")))</f>
        <v/>
      </c>
      <c r="BT10" s="521" t="str">
        <f>IF(W13="","",IF(AO10=V13,W13,IF(AO10=Z13,Y13,"")))</f>
        <v/>
      </c>
      <c r="BU10" s="521" t="str">
        <f>IF(W14="","",IF(AO10=V14,W14,IF(AO10=Z14,Y14,"")))</f>
        <v/>
      </c>
      <c r="BV10" s="521">
        <f>IF(W7="","",IF(AO10=V7,W7,IF(AO10=Z7,Y7,"")))</f>
        <v>3</v>
      </c>
      <c r="BW10" s="521" t="str">
        <f>IF(W8="","",IF(AO10=V8,W8,IF(AO10=Z8,Y8,"")))</f>
        <v/>
      </c>
      <c r="BX10" s="521" t="str">
        <f>IF(W9="","",IF(AO10=V9,W9,IF(AO10=Z9,Y9,"")))</f>
        <v/>
      </c>
      <c r="BY10" s="522" t="str">
        <f>IF(W10="","",IF(AO10=V10,W10,IF(AO10=Z10,Y10,"")))</f>
        <v/>
      </c>
      <c r="BZ10" s="1395" t="b">
        <f t="shared" si="12"/>
        <v>0</v>
      </c>
      <c r="CA10" s="1450" t="b">
        <f t="shared" si="13"/>
        <v>0</v>
      </c>
      <c r="CB10" s="1450" t="b">
        <f t="shared" si="14"/>
        <v>0</v>
      </c>
      <c r="CC10" s="270"/>
      <c r="CD10" s="270"/>
      <c r="CE10"/>
    </row>
    <row r="11" spans="1:83" outlineLevel="1" x14ac:dyDescent="0.2">
      <c r="A11" s="270"/>
      <c r="B11" s="545">
        <v>5</v>
      </c>
      <c r="C11" s="560">
        <f>IF(AK6="","",RANK(F11,F7:F14)*1000+ROW())</f>
        <v>5011</v>
      </c>
      <c r="D11" s="561">
        <f t="shared" si="0"/>
        <v>30000000000</v>
      </c>
      <c r="E11" s="561">
        <f>IF(L11="","",Nb_Diff_Part(D11,D7:D14,G11,G7:G14,AI7:AI34)*CritClassInd_DiffPart+Nb_Goal_Part(D11,D7:D14,G11,G7:G14,V7:Z34)*CritClassInd_GoalPart+Nb_Score_Part(D11,D7:D14,G11,G7:G14,V7:Z34)*CritClassInd_ScorePart)</f>
        <v>100000</v>
      </c>
      <c r="F11" s="562">
        <f t="shared" si="1"/>
        <v>30000099513</v>
      </c>
      <c r="G11" s="477" t="str">
        <f>D1_Tr1!P_1C</f>
        <v>Théo MODESTE (iss)</v>
      </c>
      <c r="H11" s="501">
        <f t="shared" si="2"/>
        <v>0</v>
      </c>
      <c r="I11" s="502"/>
      <c r="J11" s="560">
        <f>IF(AK6="","",(L11*Points_Victoire)+M11*Points_Null)</f>
        <v>3</v>
      </c>
      <c r="K11" s="563">
        <f t="shared" si="3"/>
        <v>3</v>
      </c>
      <c r="L11" s="563">
        <f>IF(AK6="","",COUNTIF(AE7:AE34,G11))</f>
        <v>1</v>
      </c>
      <c r="M11" s="563">
        <f>IF(AK6="","",COUNTIF(AF7:AG34,G11))</f>
        <v>0</v>
      </c>
      <c r="N11" s="563">
        <f>IF(AK6="","",COUNTIF(AH7:AH34,G11))</f>
        <v>2</v>
      </c>
      <c r="O11" s="563">
        <f>IF(AK6="","",SUMIF(V7:V34,G11,AB7:AB34)+SUMIF(Z7:Z34,G11,AD7:AD34))</f>
        <v>13</v>
      </c>
      <c r="P11" s="563">
        <f>IF(AK6="","",SUMIF(V7:V34,G11,AD7:AD34)+SUMIF(Z7:Z34,G11,AB7:AB34))</f>
        <v>18</v>
      </c>
      <c r="Q11" s="564">
        <f>IF(AK6="","",O11-P11)</f>
        <v>-5</v>
      </c>
      <c r="R11" s="558" t="s">
        <v>1727</v>
      </c>
      <c r="S11" s="611">
        <v>0.61805555555555602</v>
      </c>
      <c r="T11" s="617"/>
      <c r="U11" s="1502"/>
      <c r="V11" s="479" t="str">
        <f>IF(G7="","",G7)</f>
        <v>Raphaël POMMIER (cae)</v>
      </c>
      <c r="W11" s="480">
        <v>8</v>
      </c>
      <c r="X11" s="481" t="s">
        <v>769</v>
      </c>
      <c r="Y11" s="480">
        <v>3</v>
      </c>
      <c r="Z11" s="482" t="str">
        <f>IF(G11="","",G11)</f>
        <v>Théo MODESTE (iss)</v>
      </c>
      <c r="AA11" s="839"/>
      <c r="AB11" s="1459">
        <f t="shared" si="4"/>
        <v>8</v>
      </c>
      <c r="AC11" s="1460" t="str">
        <f t="shared" si="5"/>
        <v>-</v>
      </c>
      <c r="AD11" s="1459">
        <f t="shared" si="6"/>
        <v>3</v>
      </c>
      <c r="AE11" s="968" t="str">
        <f t="shared" si="7"/>
        <v>Raphaël POMMIER (cae)</v>
      </c>
      <c r="AF11" s="968" t="str">
        <f t="shared" si="8"/>
        <v/>
      </c>
      <c r="AG11" s="968" t="str">
        <f t="shared" si="9"/>
        <v/>
      </c>
      <c r="AH11" s="968" t="str">
        <f t="shared" si="10"/>
        <v>Théo MODESTE (iss)</v>
      </c>
      <c r="AI11" s="968" t="str">
        <f t="shared" si="11"/>
        <v>Raphaël POMMIER (cae)Théo MODESTE (iss)</v>
      </c>
      <c r="AJ11" s="968"/>
      <c r="AK11" s="968">
        <f>IF(AK6="","",SMALL(C7:C14,5))</f>
        <v>5011</v>
      </c>
      <c r="AL11" s="270"/>
      <c r="AM11" s="270"/>
      <c r="AN11" s="545">
        <f>IF(AK6="","",INT(AK11/1000))</f>
        <v>5</v>
      </c>
      <c r="AO11" s="510" t="str">
        <f>IF(AK6="",IF(HidePlayerFormulas,"","("&amp;G11&amp;")"),VLOOKUP(AK11,C7:Q14,5,FALSE))</f>
        <v>Théo MODESTE (iss)</v>
      </c>
      <c r="AP11" s="511">
        <f>VLOOKUP(AK11,C7:Q14,8,FALSE)</f>
        <v>3</v>
      </c>
      <c r="AQ11" s="511">
        <f>VLOOKUP(AK11,C7:Q14,9,FALSE)</f>
        <v>3</v>
      </c>
      <c r="AR11" s="511">
        <f>VLOOKUP(AK11,C7:Q14,10,FALSE)</f>
        <v>1</v>
      </c>
      <c r="AS11" s="511">
        <f>VLOOKUP(AK11,C7:Q14,11,FALSE)</f>
        <v>0</v>
      </c>
      <c r="AT11" s="511">
        <f>VLOOKUP(AK11,C7:Q14,12,FALSE)</f>
        <v>2</v>
      </c>
      <c r="AU11" s="511">
        <f>VLOOKUP(AK11,C7:Q14,13,FALSE)</f>
        <v>13</v>
      </c>
      <c r="AV11" s="511">
        <f>VLOOKUP(AK11,C7:Q14,14,FALSE)</f>
        <v>18</v>
      </c>
      <c r="AW11" s="512">
        <f>VLOOKUP(AK11,C7:Q14,15,FALSE)</f>
        <v>-5</v>
      </c>
      <c r="AX11" s="546" t="str">
        <f>IF(W31="","",IF(AO11=V31,W31,IF(AO11=Z31,Y31,"")))</f>
        <v/>
      </c>
      <c r="AY11" s="521" t="str">
        <f>IF(W32="","",IF(AO11=V32,W32,IF(AO11=Z32,Y32,"")))</f>
        <v/>
      </c>
      <c r="AZ11" s="521" t="str">
        <f>IF(W33="","",IF(AO11=V33,W33,IF(AO11=Z33,Y33,"")))</f>
        <v/>
      </c>
      <c r="BA11" s="521" t="str">
        <f>IF(W34="","",IF(AO11=V34,W34,IF(AO11=Z34,Y34,"")))</f>
        <v/>
      </c>
      <c r="BB11" s="521" t="str">
        <f>IF(W27="","",IF(AO11=V27,W27,IF(AO11=Z27,Y27,"")))</f>
        <v/>
      </c>
      <c r="BC11" s="521" t="str">
        <f>IF(W28="","",IF(AO11=V28,W28,IF(AO11=Z28,Y28,"")))</f>
        <v/>
      </c>
      <c r="BD11" s="521" t="str">
        <f>IF(W29="","",IF(AO11=V29,W29,IF(AO11=Z29,Y29,"")))</f>
        <v/>
      </c>
      <c r="BE11" s="521" t="str">
        <f>IF(W30="","",IF(AO11=V30,W30,IF(AO11=Z30,Y30,"")))</f>
        <v/>
      </c>
      <c r="BF11" s="521" t="str">
        <f>IF(W23="","",IF(AO11=V23,W23,IF(AO11=Z23,Y23,"")))</f>
        <v/>
      </c>
      <c r="BG11" s="521" t="str">
        <f>IF(W24="","",IF(AO11=V24,W24,IF(AO11=Z24,Y24,"")))</f>
        <v/>
      </c>
      <c r="BH11" s="521">
        <f>IF(W25="","",IF(AO11=V25,W25,IF(AO11=Z25,Y25,"")))</f>
        <v>3</v>
      </c>
      <c r="BI11" s="521" t="str">
        <f>IF(W26="","",IF(AO11=V26,W26,IF(AO11=Z26,Y26,"")))</f>
        <v/>
      </c>
      <c r="BJ11" s="521" t="str">
        <f>IF(W19="","",IF(AO11=V19,W19,IF(AO11=Z19,Y19,"")))</f>
        <v/>
      </c>
      <c r="BK11" s="521" t="str">
        <f>IF(W20="","",IF(AO11=V20,W20,IF(AO11=Z20,Y20,"")))</f>
        <v/>
      </c>
      <c r="BL11" s="521" t="str">
        <f>IF(W21="","",IF(AO11=V21,W21,IF(AO11=Z21,Y21,"")))</f>
        <v/>
      </c>
      <c r="BM11" s="521" t="str">
        <f>IF(W22="","",IF(AO11=V22,W22,IF(AO11=Z22,Y22,"")))</f>
        <v/>
      </c>
      <c r="BN11" s="521">
        <f>IF(W15="","",IF(AO11=V15,W15,IF(AO11=Z15,Y15,"")))</f>
        <v>7</v>
      </c>
      <c r="BO11" s="521" t="str">
        <f>IF(W16="","",IF(AO11=V16,W16,IF(AO11=Z16,Y16,"")))</f>
        <v/>
      </c>
      <c r="BP11" s="521" t="str">
        <f>IF(W17="","",IF(AO11=V17,W17,IF(AO11=Z17,Y17,"")))</f>
        <v/>
      </c>
      <c r="BQ11" s="521" t="str">
        <f>IF(W18="","",IF(AO11=V18,W18,IF(AO11=Z18,Y18,"")))</f>
        <v/>
      </c>
      <c r="BR11" s="521">
        <f>IF(W11="","",IF(AO11=V11,W11,IF(AO11=Z11,Y11,"")))</f>
        <v>3</v>
      </c>
      <c r="BS11" s="521" t="str">
        <f>IF(W12="","",IF(AO11=V12,W12,IF(AO11=Z12,Y12,"")))</f>
        <v/>
      </c>
      <c r="BT11" s="521" t="str">
        <f>IF(W13="","",IF(AO11=V13,W13,IF(AO11=Z13,Y13,"")))</f>
        <v/>
      </c>
      <c r="BU11" s="521" t="str">
        <f>IF(W14="","",IF(AO11=V14,W14,IF(AO11=Z14,Y14,"")))</f>
        <v/>
      </c>
      <c r="BV11" s="521" t="str">
        <f>IF(W7="","",IF(AO11=V7,W7,IF(AO11=Z7,Y7,"")))</f>
        <v/>
      </c>
      <c r="BW11" s="521" t="str">
        <f>IF(W8="","",IF(AO11=V8,W8,IF(AO11=Z8,Y8,"")))</f>
        <v/>
      </c>
      <c r="BX11" s="521" t="str">
        <f>IF(W9="","",IF(AO11=V9,W9,IF(AO11=Z9,Y9,"")))</f>
        <v/>
      </c>
      <c r="BY11" s="522" t="str">
        <f>IF(W10="","",IF(AO11=V10,W10,IF(AO11=Z10,Y10,"")))</f>
        <v/>
      </c>
      <c r="BZ11" s="1395" t="b">
        <f t="shared" si="12"/>
        <v>0</v>
      </c>
      <c r="CA11" s="1450" t="b">
        <f t="shared" si="13"/>
        <v>0</v>
      </c>
      <c r="CB11" s="1450" t="b">
        <f t="shared" si="14"/>
        <v>0</v>
      </c>
      <c r="CC11" s="270"/>
      <c r="CD11" s="270"/>
      <c r="CE11"/>
    </row>
    <row r="12" spans="1:83" outlineLevel="1" x14ac:dyDescent="0.2">
      <c r="A12" s="270"/>
      <c r="B12" s="545">
        <v>6</v>
      </c>
      <c r="C12" s="560">
        <f>IF(AK6="","",RANK(F12,F7:F14)*1000+ROW())</f>
        <v>3012</v>
      </c>
      <c r="D12" s="561">
        <f t="shared" si="0"/>
        <v>60000000000</v>
      </c>
      <c r="E12" s="561">
        <f>IF(L12="","",Nb_Diff_Part(D12,D7:D14,G12,G7:G14,AI7:AI34)*CritClassInd_DiffPart+Nb_Goal_Part(D12,D7:D14,G12,G7:G14,V7:Z34)*CritClassInd_GoalPart+Nb_Score_Part(D12,D7:D14,G12,G7:G14,V7:Z34)*CritClassInd_ScorePart)</f>
        <v>0</v>
      </c>
      <c r="F12" s="562">
        <f t="shared" si="1"/>
        <v>60000000107</v>
      </c>
      <c r="G12" s="477" t="str">
        <f>D1_Tr1!P_2C</f>
        <v>Mickaël BLANC (sym)</v>
      </c>
      <c r="H12" s="501">
        <f t="shared" si="2"/>
        <v>0</v>
      </c>
      <c r="I12" s="502"/>
      <c r="J12" s="560">
        <f>IF(AK6="","",(L12*Points_Victoire)+M12*Points_Null)</f>
        <v>6</v>
      </c>
      <c r="K12" s="563">
        <f t="shared" si="3"/>
        <v>3</v>
      </c>
      <c r="L12" s="563">
        <f>IF(AK6="","",COUNTIF(AE7:AE34,G12))</f>
        <v>2</v>
      </c>
      <c r="M12" s="563">
        <f>IF(AK6="","",COUNTIF(AF7:AG34,G12))</f>
        <v>0</v>
      </c>
      <c r="N12" s="563">
        <f>IF(AK6="","",COUNTIF(AH7:AH34,G12))</f>
        <v>1</v>
      </c>
      <c r="O12" s="563">
        <f>IF(AK6="","",SUMIF(V7:V34,G12,AB7:AB34)+SUMIF(Z7:Z34,G12,AD7:AD34))</f>
        <v>7</v>
      </c>
      <c r="P12" s="563">
        <f>IF(AK6="","",SUMIF(V7:V34,G12,AD7:AD34)+SUMIF(Z7:Z34,G12,AB7:AB34))</f>
        <v>6</v>
      </c>
      <c r="Q12" s="564">
        <f>IF(AK6="","",O12-P12)</f>
        <v>1</v>
      </c>
      <c r="R12" s="558" t="s">
        <v>1727</v>
      </c>
      <c r="S12" s="613">
        <v>0.61805555555555602</v>
      </c>
      <c r="T12" s="618"/>
      <c r="U12" s="1504"/>
      <c r="V12" s="483" t="str">
        <f>IF(G8="","",G8)</f>
        <v>Stéphane POMMIER (cae)</v>
      </c>
      <c r="W12" s="484">
        <v>4</v>
      </c>
      <c r="X12" s="485" t="s">
        <v>769</v>
      </c>
      <c r="Y12" s="484">
        <v>3</v>
      </c>
      <c r="Z12" s="486" t="str">
        <f>IF(G10="","",G10)</f>
        <v>Emmanuel GORGETTE (iss)</v>
      </c>
      <c r="AA12" s="839"/>
      <c r="AB12" s="1459">
        <f t="shared" si="4"/>
        <v>4</v>
      </c>
      <c r="AC12" s="1460" t="str">
        <f t="shared" si="5"/>
        <v>-</v>
      </c>
      <c r="AD12" s="1459">
        <f t="shared" si="6"/>
        <v>3</v>
      </c>
      <c r="AE12" s="968" t="str">
        <f t="shared" si="7"/>
        <v>Stéphane POMMIER (cae)</v>
      </c>
      <c r="AF12" s="968" t="str">
        <f t="shared" si="8"/>
        <v/>
      </c>
      <c r="AG12" s="968" t="str">
        <f t="shared" si="9"/>
        <v/>
      </c>
      <c r="AH12" s="968" t="str">
        <f t="shared" si="10"/>
        <v>Emmanuel GORGETTE (iss)</v>
      </c>
      <c r="AI12" s="968" t="str">
        <f t="shared" si="11"/>
        <v>Stéphane POMMIER (cae)Emmanuel GORGETTE (iss)</v>
      </c>
      <c r="AJ12" s="968"/>
      <c r="AK12" s="968">
        <f>IF(AK6="","",SMALL(C7:C14,6))</f>
        <v>6010</v>
      </c>
      <c r="AL12" s="270"/>
      <c r="AM12" s="270"/>
      <c r="AN12" s="545">
        <f>IF(AK6="","",INT(AK12/1000))</f>
        <v>6</v>
      </c>
      <c r="AO12" s="510" t="str">
        <f>IF(AK6="",IF(HidePlayerFormulas,"","("&amp;G12&amp;")"),VLOOKUP(AK12,C7:Q14,5,FALSE))</f>
        <v>Emmanuel GORGETTE (iss)</v>
      </c>
      <c r="AP12" s="511">
        <f>VLOOKUP(AK12,C7:Q14,8,FALSE)</f>
        <v>3</v>
      </c>
      <c r="AQ12" s="511">
        <f>VLOOKUP(AK12,C7:Q14,9,FALSE)</f>
        <v>3</v>
      </c>
      <c r="AR12" s="511">
        <f>VLOOKUP(AK12,C7:Q14,10,FALSE)</f>
        <v>1</v>
      </c>
      <c r="AS12" s="511">
        <f>VLOOKUP(AK12,C7:Q14,11,FALSE)</f>
        <v>0</v>
      </c>
      <c r="AT12" s="511">
        <f>VLOOKUP(AK12,C7:Q14,12,FALSE)</f>
        <v>2</v>
      </c>
      <c r="AU12" s="511">
        <f>VLOOKUP(AK12,C7:Q14,13,FALSE)</f>
        <v>8</v>
      </c>
      <c r="AV12" s="511">
        <f>VLOOKUP(AK12,C7:Q14,14,FALSE)</f>
        <v>8</v>
      </c>
      <c r="AW12" s="512">
        <f>VLOOKUP(AK12,C7:Q14,15,FALSE)</f>
        <v>0</v>
      </c>
      <c r="AX12" s="546" t="str">
        <f>IF(W31="","",IF(AO12=V31,W31,IF(AO12=Z31,Y31,"")))</f>
        <v/>
      </c>
      <c r="AY12" s="521" t="str">
        <f>IF(W32="","",IF(AO12=V32,W32,IF(AO12=Z32,Y32,"")))</f>
        <v/>
      </c>
      <c r="AZ12" s="521" t="str">
        <f>IF(W33="","",IF(AO12=V33,W33,IF(AO12=Z33,Y33,"")))</f>
        <v/>
      </c>
      <c r="BA12" s="521" t="str">
        <f>IF(W34="","",IF(AO12=V34,W34,IF(AO12=Z34,Y34,"")))</f>
        <v/>
      </c>
      <c r="BB12" s="521" t="str">
        <f>IF(W27="","",IF(AO12=V27,W27,IF(AO12=Z27,Y27,"")))</f>
        <v/>
      </c>
      <c r="BC12" s="521" t="str">
        <f>IF(W28="","",IF(AO12=V28,W28,IF(AO12=Z28,Y28,"")))</f>
        <v/>
      </c>
      <c r="BD12" s="521" t="str">
        <f>IF(W29="","",IF(AO12=V29,W29,IF(AO12=Z29,Y29,"")))</f>
        <v/>
      </c>
      <c r="BE12" s="521" t="str">
        <f>IF(W30="","",IF(AO12=V30,W30,IF(AO12=Z30,Y30,"")))</f>
        <v/>
      </c>
      <c r="BF12" s="521" t="str">
        <f>IF(W23="","",IF(AO12=V23,W23,IF(AO12=Z23,Y23,"")))</f>
        <v/>
      </c>
      <c r="BG12" s="521" t="str">
        <f>IF(W24="","",IF(AO12=V24,W24,IF(AO12=Z24,Y24,"")))</f>
        <v/>
      </c>
      <c r="BH12" s="521" t="str">
        <f>IF(W25="","",IF(AO12=V25,W25,IF(AO12=Z25,Y25,"")))</f>
        <v/>
      </c>
      <c r="BI12" s="521" t="str">
        <f>IF(W26="","",IF(AO12=V26,W26,IF(AO12=Z26,Y26,"")))</f>
        <v/>
      </c>
      <c r="BJ12" s="521" t="str">
        <f>IF(W19="","",IF(AO12=V19,W19,IF(AO12=Z19,Y19,"")))</f>
        <v/>
      </c>
      <c r="BK12" s="521">
        <f>IF(W20="","",IF(AO12=V20,W20,IF(AO12=Z20,Y20,"")))</f>
        <v>2</v>
      </c>
      <c r="BL12" s="521" t="str">
        <f>IF(W21="","",IF(AO12=V21,W21,IF(AO12=Z21,Y21,"")))</f>
        <v/>
      </c>
      <c r="BM12" s="521" t="str">
        <f>IF(W22="","",IF(AO12=V22,W22,IF(AO12=Z22,Y22,"")))</f>
        <v/>
      </c>
      <c r="BN12" s="521" t="str">
        <f>IF(W15="","",IF(AO12=V15,W15,IF(AO12=Z15,Y15,"")))</f>
        <v/>
      </c>
      <c r="BO12" s="521" t="str">
        <f>IF(W16="","",IF(AO12=V16,W16,IF(AO12=Z16,Y16,"")))</f>
        <v/>
      </c>
      <c r="BP12" s="521" t="str">
        <f>IF(W17="","",IF(AO12=V17,W17,IF(AO12=Z17,Y17,"")))</f>
        <v/>
      </c>
      <c r="BQ12" s="521">
        <f>IF(W18="","",IF(AO12=V18,W18,IF(AO12=Z18,Y18,"")))</f>
        <v>3</v>
      </c>
      <c r="BR12" s="521" t="str">
        <f>IF(W11="","",IF(AO12=V11,W11,IF(AO12=Z11,Y11,"")))</f>
        <v/>
      </c>
      <c r="BS12" s="521">
        <f>IF(W12="","",IF(AO12=V12,W12,IF(AO12=Z12,Y12,"")))</f>
        <v>3</v>
      </c>
      <c r="BT12" s="521" t="str">
        <f>IF(W13="","",IF(AO12=V13,W13,IF(AO12=Z13,Y13,"")))</f>
        <v/>
      </c>
      <c r="BU12" s="521" t="str">
        <f>IF(W14="","",IF(AO12=V14,W14,IF(AO12=Z14,Y14,"")))</f>
        <v/>
      </c>
      <c r="BV12" s="521" t="str">
        <f>IF(W7="","",IF(AO12=V7,W7,IF(AO12=Z7,Y7,"")))</f>
        <v/>
      </c>
      <c r="BW12" s="521" t="str">
        <f>IF(W8="","",IF(AO12=V8,W8,IF(AO12=Z8,Y8,"")))</f>
        <v/>
      </c>
      <c r="BX12" s="521" t="str">
        <f>IF(W9="","",IF(AO12=V9,W9,IF(AO12=Z9,Y9,"")))</f>
        <v/>
      </c>
      <c r="BY12" s="522" t="str">
        <f>IF(W10="","",IF(AO12=V10,W10,IF(AO12=Z10,Y10,"")))</f>
        <v/>
      </c>
      <c r="BZ12" s="1395" t="b">
        <f t="shared" si="12"/>
        <v>0</v>
      </c>
      <c r="CA12" s="1450" t="b">
        <f t="shared" si="13"/>
        <v>0</v>
      </c>
      <c r="CB12" s="1450" t="b">
        <f t="shared" si="14"/>
        <v>0</v>
      </c>
      <c r="CC12" s="270"/>
      <c r="CD12" s="270"/>
      <c r="CE12"/>
    </row>
    <row r="13" spans="1:83" outlineLevel="1" x14ac:dyDescent="0.2">
      <c r="A13" s="270"/>
      <c r="B13" s="545">
        <v>7</v>
      </c>
      <c r="C13" s="560">
        <f>IF(AK6="","",RANK(F13,F7:F14)*1000+ROW())</f>
        <v>7013</v>
      </c>
      <c r="D13" s="561">
        <f t="shared" si="0"/>
        <v>30000000000</v>
      </c>
      <c r="E13" s="561">
        <f>IF(L13="","",Nb_Diff_Part(D13,D7:D14,G13,G7:G14,AI7:AI34)*CritClassInd_DiffPart+Nb_Goal_Part(D13,D7:D14,G13,G7:G14,V7:Z34)*CritClassInd_GoalPart+Nb_Score_Part(D13,D7:D14,G13,G7:G14,V7:Z34)*CritClassInd_ScorePart)</f>
        <v>-900000</v>
      </c>
      <c r="F13" s="562">
        <f t="shared" si="1"/>
        <v>29999099413</v>
      </c>
      <c r="G13" s="477" t="str">
        <f>D1_Tr1!P_1D</f>
        <v>David LEROY (puy)</v>
      </c>
      <c r="H13" s="501">
        <f t="shared" si="2"/>
        <v>0</v>
      </c>
      <c r="I13" s="502"/>
      <c r="J13" s="560">
        <f>IF(AK6="","",(L13*Points_Victoire)+M13*Points_Null)</f>
        <v>3</v>
      </c>
      <c r="K13" s="563">
        <f t="shared" si="3"/>
        <v>3</v>
      </c>
      <c r="L13" s="563">
        <f>IF(AK6="","",COUNTIF(AE7:AE34,G13))</f>
        <v>1</v>
      </c>
      <c r="M13" s="563">
        <f>IF(AK6="","",COUNTIF(AF7:AG34,G13))</f>
        <v>0</v>
      </c>
      <c r="N13" s="563">
        <f>IF(AK6="","",COUNTIF(AH7:AH34,G13))</f>
        <v>2</v>
      </c>
      <c r="O13" s="563">
        <f>IF(AK6="","",SUMIF(V7:V34,G13,AB7:AB34)+SUMIF(Z7:Z34,G13,AD7:AD34))</f>
        <v>13</v>
      </c>
      <c r="P13" s="563">
        <f>IF(AK6="","",SUMIF(V7:V34,G13,AD7:AD34)+SUMIF(Z7:Z34,G13,AB7:AB34))</f>
        <v>19</v>
      </c>
      <c r="Q13" s="564">
        <f>IF(AK6="","",O13-P13)</f>
        <v>-6</v>
      </c>
      <c r="R13" s="558" t="s">
        <v>1727</v>
      </c>
      <c r="S13" s="613"/>
      <c r="T13" s="618"/>
      <c r="U13" s="1504"/>
      <c r="V13" s="483" t="str">
        <f>IF(G9="","",G9)</f>
        <v>Eric NASZALYI (iss)</v>
      </c>
      <c r="W13" s="484" t="s">
        <v>898</v>
      </c>
      <c r="X13" s="485" t="s">
        <v>769</v>
      </c>
      <c r="Y13" s="484" t="s">
        <v>898</v>
      </c>
      <c r="Z13" s="486" t="str">
        <f>IF(G14="","",G14)</f>
        <v>Quentin AUSSET (chp)</v>
      </c>
      <c r="AA13" s="839"/>
      <c r="AB13" s="1459" t="str">
        <f t="shared" si="4"/>
        <v/>
      </c>
      <c r="AC13" s="1460" t="str">
        <f t="shared" si="5"/>
        <v/>
      </c>
      <c r="AD13" s="1459" t="str">
        <f t="shared" si="6"/>
        <v/>
      </c>
      <c r="AE13" s="968" t="str">
        <f t="shared" si="7"/>
        <v/>
      </c>
      <c r="AF13" s="968" t="str">
        <f t="shared" si="8"/>
        <v/>
      </c>
      <c r="AG13" s="968" t="str">
        <f t="shared" si="9"/>
        <v/>
      </c>
      <c r="AH13" s="968" t="str">
        <f t="shared" si="10"/>
        <v/>
      </c>
      <c r="AI13" s="968" t="str">
        <f t="shared" si="11"/>
        <v/>
      </c>
      <c r="AJ13" s="968"/>
      <c r="AK13" s="968">
        <f>IF(AK6="","",SMALL(C7:C14,7))</f>
        <v>7013</v>
      </c>
      <c r="AL13" s="270"/>
      <c r="AM13" s="270"/>
      <c r="AN13" s="545">
        <f>IF(AK6="","",INT(AK13/1000))</f>
        <v>7</v>
      </c>
      <c r="AO13" s="510" t="str">
        <f>IF(AK6="",IF(HidePlayerFormulas,"","("&amp;G13&amp;")"),VLOOKUP(AK13,C7:Q14,5,FALSE))</f>
        <v>David LEROY (puy)</v>
      </c>
      <c r="AP13" s="511">
        <f>VLOOKUP(AK13,C7:Q14,8,FALSE)</f>
        <v>3</v>
      </c>
      <c r="AQ13" s="511">
        <f>VLOOKUP(AK13,C7:Q14,9,FALSE)</f>
        <v>3</v>
      </c>
      <c r="AR13" s="511">
        <f>VLOOKUP(AK13,C7:Q14,10,FALSE)</f>
        <v>1</v>
      </c>
      <c r="AS13" s="511">
        <f>VLOOKUP(AK13,C7:Q14,11,FALSE)</f>
        <v>0</v>
      </c>
      <c r="AT13" s="511">
        <f>VLOOKUP(AK13,C7:Q14,12,FALSE)</f>
        <v>2</v>
      </c>
      <c r="AU13" s="511">
        <f>VLOOKUP(AK13,C7:Q14,13,FALSE)</f>
        <v>13</v>
      </c>
      <c r="AV13" s="511">
        <f>VLOOKUP(AK13,C7:Q14,14,FALSE)</f>
        <v>19</v>
      </c>
      <c r="AW13" s="512">
        <f>VLOOKUP(AK13,C7:Q14,15,FALSE)</f>
        <v>-6</v>
      </c>
      <c r="AX13" s="546" t="str">
        <f>IF(W31="","",IF(AO13=V31,W31,IF(AO13=Z31,Y31,"")))</f>
        <v/>
      </c>
      <c r="AY13" s="521" t="str">
        <f>IF(W32="","",IF(AO13=V32,W32,IF(AO13=Z32,Y32,"")))</f>
        <v/>
      </c>
      <c r="AZ13" s="521" t="str">
        <f>IF(W33="","",IF(AO13=V33,W33,IF(AO13=Z33,Y33,"")))</f>
        <v/>
      </c>
      <c r="BA13" s="521" t="str">
        <f>IF(W34="","",IF(AO13=V34,W34,IF(AO13=Z34,Y34,"")))</f>
        <v/>
      </c>
      <c r="BB13" s="521" t="str">
        <f>IF(W27="","",IF(AO13=V27,W27,IF(AO13=Z27,Y27,"")))</f>
        <v/>
      </c>
      <c r="BC13" s="521" t="str">
        <f>IF(W28="","",IF(AO13=V28,W28,IF(AO13=Z28,Y28,"")))</f>
        <v/>
      </c>
      <c r="BD13" s="521" t="str">
        <f>IF(W29="","",IF(AO13=V29,W29,IF(AO13=Z29,Y29,"")))</f>
        <v/>
      </c>
      <c r="BE13" s="521" t="str">
        <f>IF(W30="","",IF(AO13=V30,W30,IF(AO13=Z30,Y30,"")))</f>
        <v/>
      </c>
      <c r="BF13" s="521" t="str">
        <f>IF(W23="","",IF(AO13=V23,W23,IF(AO13=Z23,Y23,"")))</f>
        <v/>
      </c>
      <c r="BG13" s="521" t="str">
        <f>IF(W24="","",IF(AO13=V24,W24,IF(AO13=Z24,Y24,"")))</f>
        <v/>
      </c>
      <c r="BH13" s="521">
        <f>IF(W25="","",IF(AO13=V25,W25,IF(AO13=Z25,Y25,"")))</f>
        <v>7</v>
      </c>
      <c r="BI13" s="521" t="str">
        <f>IF(W26="","",IF(AO13=V26,W26,IF(AO13=Z26,Y26,"")))</f>
        <v/>
      </c>
      <c r="BJ13" s="521" t="str">
        <f>IF(W19="","",IF(AO13=V19,W19,IF(AO13=Z19,Y19,"")))</f>
        <v/>
      </c>
      <c r="BK13" s="521" t="str">
        <f>IF(W20="","",IF(AO13=V20,W20,IF(AO13=Z20,Y20,"")))</f>
        <v/>
      </c>
      <c r="BL13" s="521" t="str">
        <f>IF(W21="","",IF(AO13=V21,W21,IF(AO13=Z21,Y21,"")))</f>
        <v/>
      </c>
      <c r="BM13" s="521">
        <f>IF(W22="","",IF(AO13=V22,W22,IF(AO13=Z22,Y22,"")))</f>
        <v>3</v>
      </c>
      <c r="BN13" s="521" t="str">
        <f>IF(W15="","",IF(AO13=V15,W15,IF(AO13=Z15,Y15,"")))</f>
        <v/>
      </c>
      <c r="BO13" s="521" t="str">
        <f>IF(W16="","",IF(AO13=V16,W16,IF(AO13=Z16,Y16,"")))</f>
        <v/>
      </c>
      <c r="BP13" s="521">
        <f>IF(W17="","",IF(AO13=V17,W17,IF(AO13=Z17,Y17,"")))</f>
        <v>3</v>
      </c>
      <c r="BQ13" s="521" t="str">
        <f>IF(W18="","",IF(AO13=V18,W18,IF(AO13=Z18,Y18,"")))</f>
        <v/>
      </c>
      <c r="BR13" s="521" t="str">
        <f>IF(W11="","",IF(AO13=V11,W11,IF(AO13=Z11,Y11,"")))</f>
        <v/>
      </c>
      <c r="BS13" s="521" t="str">
        <f>IF(W12="","",IF(AO13=V12,W12,IF(AO13=Z12,Y12,"")))</f>
        <v/>
      </c>
      <c r="BT13" s="521" t="str">
        <f>IF(W13="","",IF(AO13=V13,W13,IF(AO13=Z13,Y13,"")))</f>
        <v/>
      </c>
      <c r="BU13" s="521" t="str">
        <f>IF(W14="","",IF(AO13=V14,W14,IF(AO13=Z14,Y14,"")))</f>
        <v/>
      </c>
      <c r="BV13" s="521" t="str">
        <f>IF(W7="","",IF(AO13=V7,W7,IF(AO13=Z7,Y7,"")))</f>
        <v/>
      </c>
      <c r="BW13" s="521" t="str">
        <f>IF(W8="","",IF(AO13=V8,W8,IF(AO13=Z8,Y8,"")))</f>
        <v/>
      </c>
      <c r="BX13" s="521" t="str">
        <f>IF(W9="","",IF(AO13=V9,W9,IF(AO13=Z9,Y9,"")))</f>
        <v/>
      </c>
      <c r="BY13" s="522" t="str">
        <f>IF(W10="","",IF(AO13=V10,W10,IF(AO13=Z10,Y10,"")))</f>
        <v/>
      </c>
      <c r="BZ13" s="1395" t="b">
        <f t="shared" si="12"/>
        <v>0</v>
      </c>
      <c r="CA13" s="1450" t="b">
        <f t="shared" si="13"/>
        <v>0</v>
      </c>
      <c r="CB13" s="1450" t="b">
        <f t="shared" si="14"/>
        <v>0</v>
      </c>
      <c r="CC13" s="270"/>
      <c r="CD13" s="270"/>
      <c r="CE13"/>
    </row>
    <row r="14" spans="1:83" ht="13.5" outlineLevel="1" thickBot="1" x14ac:dyDescent="0.25">
      <c r="A14" s="270"/>
      <c r="B14" s="588">
        <v>8</v>
      </c>
      <c r="C14" s="565">
        <f>IF(AK6="","",RANK(F14,F7:F14)*1000+ROW())</f>
        <v>8014</v>
      </c>
      <c r="D14" s="566">
        <f t="shared" si="0"/>
        <v>0</v>
      </c>
      <c r="E14" s="566">
        <f>IF(L14="","",Nb_Diff_Part(D14,D7:D14,G14,G7:G14,AI7:AI34)*CritClassInd_DiffPart+Nb_Goal_Part(D14,D7:D14,G14,G7:G14,V7:Z34)*CritClassInd_GoalPart+Nb_Score_Part(D14,D7:D14,G14,G7:G14,V7:Z34)*CritClassInd_ScorePart)</f>
        <v>0</v>
      </c>
      <c r="F14" s="567">
        <f t="shared" si="1"/>
        <v>-496</v>
      </c>
      <c r="G14" s="478" t="str">
        <f>D1_Tr1!P_2D</f>
        <v>Quentin AUSSET (chp)</v>
      </c>
      <c r="H14" s="503">
        <f t="shared" si="2"/>
        <v>0</v>
      </c>
      <c r="I14" s="504"/>
      <c r="J14" s="585">
        <f>IF(AK6="","",(L14*Points_Victoire)+M14*Points_Null)</f>
        <v>0</v>
      </c>
      <c r="K14" s="586">
        <f t="shared" si="3"/>
        <v>3</v>
      </c>
      <c r="L14" s="586">
        <f>IF(AK6="","",COUNTIF(AE7:AE34,G14))</f>
        <v>0</v>
      </c>
      <c r="M14" s="586">
        <f>IF(AK6="","",COUNTIF(AF7:AG34,G14))</f>
        <v>0</v>
      </c>
      <c r="N14" s="586">
        <f>IF(AK6="","",COUNTIF(AH7:AH34,G14))</f>
        <v>3</v>
      </c>
      <c r="O14" s="586">
        <f>IF(AK6="","",SUMIF(V7:V34,G14,AB7:AB34)+SUMIF(Z7:Z34,G14,AD7:AD34))</f>
        <v>4</v>
      </c>
      <c r="P14" s="586">
        <f>IF(AK6="","",SUMIF(V7:V34,G14,AD7:AD34)+SUMIF(Z7:Z34,G14,AB7:AB34))</f>
        <v>9</v>
      </c>
      <c r="Q14" s="587">
        <f>IF(AK6="","",O14-P14)</f>
        <v>-5</v>
      </c>
      <c r="R14" s="558" t="s">
        <v>1727</v>
      </c>
      <c r="S14" s="615"/>
      <c r="T14" s="619"/>
      <c r="U14" s="1503"/>
      <c r="V14" s="487" t="str">
        <f>IF(G12="","",G12)</f>
        <v>Mickaël BLANC (sym)</v>
      </c>
      <c r="W14" s="488" t="s">
        <v>898</v>
      </c>
      <c r="X14" s="489" t="s">
        <v>769</v>
      </c>
      <c r="Y14" s="488" t="s">
        <v>898</v>
      </c>
      <c r="Z14" s="490" t="str">
        <f>IF(G13="","",G13)</f>
        <v>David LEROY (puy)</v>
      </c>
      <c r="AA14" s="839"/>
      <c r="AB14" s="1459" t="str">
        <f t="shared" si="4"/>
        <v/>
      </c>
      <c r="AC14" s="1460" t="str">
        <f t="shared" si="5"/>
        <v/>
      </c>
      <c r="AD14" s="1459" t="str">
        <f t="shared" si="6"/>
        <v/>
      </c>
      <c r="AE14" s="968" t="str">
        <f t="shared" si="7"/>
        <v/>
      </c>
      <c r="AF14" s="968" t="str">
        <f t="shared" si="8"/>
        <v/>
      </c>
      <c r="AG14" s="968" t="str">
        <f t="shared" si="9"/>
        <v/>
      </c>
      <c r="AH14" s="968" t="str">
        <f t="shared" si="10"/>
        <v/>
      </c>
      <c r="AI14" s="968" t="str">
        <f t="shared" si="11"/>
        <v/>
      </c>
      <c r="AJ14" s="968"/>
      <c r="AK14" s="968">
        <f>IF(AK6="","",SMALL(C7:C14,8))</f>
        <v>8014</v>
      </c>
      <c r="AL14" s="270"/>
      <c r="AM14" s="270"/>
      <c r="AN14" s="547">
        <f>IF(AK6="","",INT(AK14/1000))</f>
        <v>8</v>
      </c>
      <c r="AO14" s="514" t="str">
        <f>IF(AK6="",IF(HidePlayerFormulas,"","("&amp;G14&amp;")"),VLOOKUP(AK14,C7:Q14,5,FALSE))</f>
        <v>Quentin AUSSET (chp)</v>
      </c>
      <c r="AP14" s="515">
        <f>VLOOKUP(AK14,C7:Q14,8,FALSE)</f>
        <v>0</v>
      </c>
      <c r="AQ14" s="515">
        <f>VLOOKUP(AK14,C7:Q14,9,FALSE)</f>
        <v>3</v>
      </c>
      <c r="AR14" s="515">
        <f>VLOOKUP(AK14,C7:Q14,10,FALSE)</f>
        <v>0</v>
      </c>
      <c r="AS14" s="515">
        <f>VLOOKUP(AK14,C7:Q14,11,FALSE)</f>
        <v>0</v>
      </c>
      <c r="AT14" s="515">
        <f>VLOOKUP(AK14,C7:Q14,12,FALSE)</f>
        <v>3</v>
      </c>
      <c r="AU14" s="515">
        <f>VLOOKUP(AK14,C7:Q14,13,FALSE)</f>
        <v>4</v>
      </c>
      <c r="AV14" s="515">
        <f>VLOOKUP(AK14,C7:Q14,14,FALSE)</f>
        <v>9</v>
      </c>
      <c r="AW14" s="516">
        <f>VLOOKUP(AK14,C7:Q14,15,FALSE)</f>
        <v>-5</v>
      </c>
      <c r="AX14" s="548" t="str">
        <f>IF(W31="","",IF(AO14=V31,W31,IF(AO14=Z31,Y31,"")))</f>
        <v/>
      </c>
      <c r="AY14" s="524" t="str">
        <f>IF(W32="","",IF(AO14=V32,W32,IF(AO14=Z32,Y32,"")))</f>
        <v/>
      </c>
      <c r="AZ14" s="524" t="str">
        <f>IF(W33="","",IF(AO14=V33,W33,IF(AO14=Z33,Y33,"")))</f>
        <v/>
      </c>
      <c r="BA14" s="524" t="str">
        <f>IF(W34="","",IF(AO14=V34,W34,IF(AO14=Z34,Y34,"")))</f>
        <v/>
      </c>
      <c r="BB14" s="524" t="str">
        <f>IF(W27="","",IF(AO14=V27,W27,IF(AO14=Z27,Y27,"")))</f>
        <v/>
      </c>
      <c r="BC14" s="524" t="str">
        <f>IF(W28="","",IF(AO14=V28,W28,IF(AO14=Z28,Y28,"")))</f>
        <v/>
      </c>
      <c r="BD14" s="524" t="str">
        <f>IF(W29="","",IF(AO14=V29,W29,IF(AO14=Z29,Y29,"")))</f>
        <v/>
      </c>
      <c r="BE14" s="524" t="str">
        <f>IF(W30="","",IF(AO14=V30,W30,IF(AO14=Z30,Y30,"")))</f>
        <v/>
      </c>
      <c r="BF14" s="524" t="str">
        <f>IF(W23="","",IF(AO14=V23,W23,IF(AO14=Z23,Y23,"")))</f>
        <v/>
      </c>
      <c r="BG14" s="524" t="str">
        <f>IF(W24="","",IF(AO14=V24,W24,IF(AO14=Z24,Y24,"")))</f>
        <v/>
      </c>
      <c r="BH14" s="524" t="str">
        <f>IF(W25="","",IF(AO14=V25,W25,IF(AO14=Z25,Y25,"")))</f>
        <v/>
      </c>
      <c r="BI14" s="524">
        <f>IF(W26="","",IF(AO14=V26,W26,IF(AO14=Z26,Y26,"")))</f>
        <v>1</v>
      </c>
      <c r="BJ14" s="524" t="str">
        <f>IF(W19="","",IF(AO14=V19,W19,IF(AO14=Z19,Y19,"")))</f>
        <v/>
      </c>
      <c r="BK14" s="524" t="str">
        <f>IF(W20="","",IF(AO14=V20,W20,IF(AO14=Z20,Y20,"")))</f>
        <v/>
      </c>
      <c r="BL14" s="524" t="str">
        <f>IF(W21="","",IF(AO14=V21,W21,IF(AO14=Z21,Y21,"")))</f>
        <v/>
      </c>
      <c r="BM14" s="524" t="str">
        <f>IF(W22="","",IF(AO14=V22,W22,IF(AO14=Z22,Y22,"")))</f>
        <v/>
      </c>
      <c r="BN14" s="524" t="str">
        <f>IF(W15="","",IF(AO14=V15,W15,IF(AO14=Z15,Y15,"")))</f>
        <v/>
      </c>
      <c r="BO14" s="524" t="str">
        <f>IF(W16="","",IF(AO14=V16,W16,IF(AO14=Z16,Y16,"")))</f>
        <v/>
      </c>
      <c r="BP14" s="524" t="str">
        <f>IF(W17="","",IF(AO14=V17,W17,IF(AO14=Z17,Y17,"")))</f>
        <v/>
      </c>
      <c r="BQ14" s="524">
        <f>IF(W18="","",IF(AO14=V18,W18,IF(AO14=Z18,Y18,"")))</f>
        <v>1</v>
      </c>
      <c r="BR14" s="524" t="str">
        <f>IF(W11="","",IF(AO14=V11,W11,IF(AO14=Z11,Y11,"")))</f>
        <v/>
      </c>
      <c r="BS14" s="524" t="str">
        <f>IF(W12="","",IF(AO14=V12,W12,IF(AO14=Z12,Y12,"")))</f>
        <v/>
      </c>
      <c r="BT14" s="524" t="str">
        <f>IF(W13="","",IF(AO14=V13,W13,IF(AO14=Z13,Y13,"")))</f>
        <v/>
      </c>
      <c r="BU14" s="524" t="str">
        <f>IF(W14="","",IF(AO14=V14,W14,IF(AO14=Z14,Y14,"")))</f>
        <v/>
      </c>
      <c r="BV14" s="524" t="str">
        <f>IF(W7="","",IF(AO14=V7,W7,IF(AO14=Z7,Y7,"")))</f>
        <v/>
      </c>
      <c r="BW14" s="524">
        <f>IF(W8="","",IF(AO14=V8,W8,IF(AO14=Z8,Y8,"")))</f>
        <v>2</v>
      </c>
      <c r="BX14" s="524" t="str">
        <f>IF(W9="","",IF(AO14=V9,W9,IF(AO14=Z9,Y9,"")))</f>
        <v/>
      </c>
      <c r="BY14" s="525" t="str">
        <f>IF(W10="","",IF(AO14=V10,W10,IF(AO14=Z10,Y10,"")))</f>
        <v/>
      </c>
      <c r="BZ14" s="1395" t="b">
        <f t="shared" si="12"/>
        <v>0</v>
      </c>
      <c r="CA14" s="1450" t="b">
        <f t="shared" si="13"/>
        <v>0</v>
      </c>
      <c r="CB14" s="1450" t="b">
        <f t="shared" si="14"/>
        <v>0</v>
      </c>
      <c r="CC14" s="270"/>
      <c r="CD14" s="270"/>
      <c r="CE14"/>
    </row>
    <row r="15" spans="1:83" outlineLevel="2" x14ac:dyDescent="0.2">
      <c r="A15" s="270"/>
      <c r="B15" s="271"/>
      <c r="C15" s="270"/>
      <c r="D15" s="270"/>
      <c r="E15" s="270"/>
      <c r="F15" s="270"/>
      <c r="G15" s="271"/>
      <c r="H15" s="271"/>
      <c r="I15" s="271"/>
      <c r="J15" s="270"/>
      <c r="K15" s="270"/>
      <c r="L15" s="270"/>
      <c r="M15" s="270"/>
      <c r="N15" s="270"/>
      <c r="O15" s="270"/>
      <c r="P15" s="270"/>
      <c r="Q15" s="270"/>
      <c r="R15" s="558" t="s">
        <v>1728</v>
      </c>
      <c r="S15" s="611">
        <v>0.64583333333333381</v>
      </c>
      <c r="T15" s="617"/>
      <c r="U15" s="1502"/>
      <c r="V15" s="479" t="str">
        <f>IF(G9="","",G9)</f>
        <v>Eric NASZALYI (iss)</v>
      </c>
      <c r="W15" s="480">
        <v>3</v>
      </c>
      <c r="X15" s="481" t="s">
        <v>769</v>
      </c>
      <c r="Y15" s="480">
        <v>7</v>
      </c>
      <c r="Z15" s="482" t="str">
        <f>IF(G11="","",G11)</f>
        <v>Théo MODESTE (iss)</v>
      </c>
      <c r="AA15" s="839"/>
      <c r="AB15" s="1459">
        <f t="shared" si="4"/>
        <v>3</v>
      </c>
      <c r="AC15" s="1460" t="str">
        <f t="shared" si="5"/>
        <v>-</v>
      </c>
      <c r="AD15" s="1459">
        <f t="shared" si="6"/>
        <v>7</v>
      </c>
      <c r="AE15" s="968" t="str">
        <f t="shared" si="7"/>
        <v>Théo MODESTE (iss)</v>
      </c>
      <c r="AF15" s="968" t="str">
        <f t="shared" si="8"/>
        <v/>
      </c>
      <c r="AG15" s="968" t="str">
        <f t="shared" si="9"/>
        <v/>
      </c>
      <c r="AH15" s="968" t="str">
        <f t="shared" si="10"/>
        <v>Eric NASZALYI (iss)</v>
      </c>
      <c r="AI15" s="968" t="str">
        <f t="shared" si="11"/>
        <v>Théo MODESTE (iss)Eric NASZALYI (iss)</v>
      </c>
      <c r="AJ15" s="968"/>
      <c r="AK15" s="968"/>
      <c r="AL15" s="270"/>
      <c r="AM15" s="270"/>
      <c r="AN15" s="575"/>
      <c r="AO15" s="270"/>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c r="CA15" s="1396"/>
      <c r="CB15" s="1396"/>
      <c r="CC15" s="270"/>
      <c r="CD15" s="270"/>
      <c r="CE15"/>
    </row>
    <row r="16" spans="1:83" outlineLevel="2" x14ac:dyDescent="0.2">
      <c r="A16" s="270"/>
      <c r="B16" s="271"/>
      <c r="C16" s="270"/>
      <c r="D16" s="270"/>
      <c r="E16" s="270"/>
      <c r="F16" s="270"/>
      <c r="G16" s="271"/>
      <c r="H16" s="271"/>
      <c r="I16" s="271"/>
      <c r="J16" s="270"/>
      <c r="K16" s="270"/>
      <c r="L16" s="270"/>
      <c r="M16" s="270"/>
      <c r="N16" s="270"/>
      <c r="O16" s="270"/>
      <c r="P16" s="270"/>
      <c r="Q16" s="270"/>
      <c r="R16" s="558" t="s">
        <v>1728</v>
      </c>
      <c r="S16" s="613">
        <v>0.64583333333333381</v>
      </c>
      <c r="T16" s="618"/>
      <c r="U16" s="1504"/>
      <c r="V16" s="491" t="str">
        <f>IF(G12="","",G12)</f>
        <v>Mickaël BLANC (sym)</v>
      </c>
      <c r="W16" s="492">
        <v>1</v>
      </c>
      <c r="X16" s="493" t="s">
        <v>769</v>
      </c>
      <c r="Y16" s="492">
        <v>3</v>
      </c>
      <c r="Z16" s="494" t="str">
        <f>IF(G8="","",G8)</f>
        <v>Stéphane POMMIER (cae)</v>
      </c>
      <c r="AA16" s="839"/>
      <c r="AB16" s="1459">
        <f t="shared" si="4"/>
        <v>1</v>
      </c>
      <c r="AC16" s="1460" t="str">
        <f t="shared" si="5"/>
        <v>-</v>
      </c>
      <c r="AD16" s="1459">
        <f t="shared" si="6"/>
        <v>3</v>
      </c>
      <c r="AE16" s="968" t="str">
        <f t="shared" si="7"/>
        <v>Stéphane POMMIER (cae)</v>
      </c>
      <c r="AF16" s="968" t="str">
        <f t="shared" si="8"/>
        <v/>
      </c>
      <c r="AG16" s="968" t="str">
        <f t="shared" si="9"/>
        <v/>
      </c>
      <c r="AH16" s="968" t="str">
        <f t="shared" si="10"/>
        <v>Mickaël BLANC (sym)</v>
      </c>
      <c r="AI16" s="968" t="str">
        <f t="shared" si="11"/>
        <v>Stéphane POMMIER (cae)Mickaël BLANC (sym)</v>
      </c>
      <c r="AJ16" s="968"/>
      <c r="AK16" s="968"/>
      <c r="AL16" s="270"/>
      <c r="AM16" s="270"/>
      <c r="AN16" s="575"/>
      <c r="AO16" s="270"/>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c r="CA16" s="1396"/>
      <c r="CB16" s="1396"/>
      <c r="CC16" s="270"/>
      <c r="CD16" s="270"/>
      <c r="CE16"/>
    </row>
    <row r="17" spans="1:83" outlineLevel="2" x14ac:dyDescent="0.2">
      <c r="A17" s="270"/>
      <c r="B17" s="271"/>
      <c r="C17" s="270"/>
      <c r="D17" s="270"/>
      <c r="E17" s="270"/>
      <c r="F17" s="270"/>
      <c r="G17" s="271"/>
      <c r="H17" s="271"/>
      <c r="I17" s="271"/>
      <c r="J17" s="270"/>
      <c r="K17" s="270"/>
      <c r="L17" s="270"/>
      <c r="M17" s="270"/>
      <c r="N17" s="270"/>
      <c r="O17" s="270"/>
      <c r="P17" s="270"/>
      <c r="Q17" s="270"/>
      <c r="R17" s="558" t="s">
        <v>1728</v>
      </c>
      <c r="S17" s="613">
        <v>0.64583333333333381</v>
      </c>
      <c r="T17" s="618"/>
      <c r="U17" s="1504"/>
      <c r="V17" s="491" t="str">
        <f>IF(G13="","",G13)</f>
        <v>David LEROY (puy)</v>
      </c>
      <c r="W17" s="492">
        <v>3</v>
      </c>
      <c r="X17" s="493" t="s">
        <v>769</v>
      </c>
      <c r="Y17" s="492">
        <v>8</v>
      </c>
      <c r="Z17" s="494" t="str">
        <f>IF(G7="","",G7)</f>
        <v>Raphaël POMMIER (cae)</v>
      </c>
      <c r="AA17" s="839"/>
      <c r="AB17" s="1459">
        <f t="shared" si="4"/>
        <v>3</v>
      </c>
      <c r="AC17" s="1460" t="str">
        <f t="shared" si="5"/>
        <v>-</v>
      </c>
      <c r="AD17" s="1459">
        <f t="shared" si="6"/>
        <v>8</v>
      </c>
      <c r="AE17" s="968" t="str">
        <f t="shared" si="7"/>
        <v>Raphaël POMMIER (cae)</v>
      </c>
      <c r="AF17" s="968" t="str">
        <f t="shared" si="8"/>
        <v/>
      </c>
      <c r="AG17" s="968" t="str">
        <f t="shared" si="9"/>
        <v/>
      </c>
      <c r="AH17" s="968" t="str">
        <f t="shared" si="10"/>
        <v>David LEROY (puy)</v>
      </c>
      <c r="AI17" s="968" t="str">
        <f t="shared" si="11"/>
        <v>Raphaël POMMIER (cae)David LEROY (puy)</v>
      </c>
      <c r="AJ17" s="968"/>
      <c r="AK17" s="968"/>
      <c r="AL17" s="270"/>
      <c r="AM17" s="270"/>
      <c r="AN17" s="575"/>
      <c r="AO17" s="270"/>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c r="CA17" s="1396"/>
      <c r="CB17" s="1396"/>
      <c r="CC17" s="270"/>
      <c r="CD17" s="270"/>
      <c r="CE17"/>
    </row>
    <row r="18" spans="1:83" ht="13.5" outlineLevel="2" thickBot="1" x14ac:dyDescent="0.25">
      <c r="A18" s="270"/>
      <c r="B18" s="271"/>
      <c r="C18" s="270"/>
      <c r="D18" s="270"/>
      <c r="E18" s="270"/>
      <c r="F18" s="270"/>
      <c r="G18" s="271"/>
      <c r="H18" s="271"/>
      <c r="I18" s="271"/>
      <c r="J18" s="270"/>
      <c r="K18" s="270"/>
      <c r="L18" s="270"/>
      <c r="M18" s="270"/>
      <c r="N18" s="270"/>
      <c r="O18" s="270"/>
      <c r="P18" s="270"/>
      <c r="Q18" s="270"/>
      <c r="R18" s="558" t="s">
        <v>1728</v>
      </c>
      <c r="S18" s="615">
        <v>0.64583333333333381</v>
      </c>
      <c r="T18" s="619"/>
      <c r="U18" s="1503"/>
      <c r="V18" s="495" t="str">
        <f>IF(G14="","",G14)</f>
        <v>Quentin AUSSET (chp)</v>
      </c>
      <c r="W18" s="496">
        <v>1</v>
      </c>
      <c r="X18" s="497" t="s">
        <v>769</v>
      </c>
      <c r="Y18" s="496">
        <v>3</v>
      </c>
      <c r="Z18" s="498" t="str">
        <f>IF(G10="","",G10)</f>
        <v>Emmanuel GORGETTE (iss)</v>
      </c>
      <c r="AA18" s="839"/>
      <c r="AB18" s="1459">
        <f t="shared" si="4"/>
        <v>1</v>
      </c>
      <c r="AC18" s="1460" t="str">
        <f t="shared" si="5"/>
        <v>-</v>
      </c>
      <c r="AD18" s="1459">
        <f t="shared" si="6"/>
        <v>3</v>
      </c>
      <c r="AE18" s="968" t="str">
        <f t="shared" si="7"/>
        <v>Emmanuel GORGETTE (iss)</v>
      </c>
      <c r="AF18" s="968" t="str">
        <f t="shared" si="8"/>
        <v/>
      </c>
      <c r="AG18" s="968" t="str">
        <f t="shared" si="9"/>
        <v/>
      </c>
      <c r="AH18" s="968" t="str">
        <f t="shared" si="10"/>
        <v>Quentin AUSSET (chp)</v>
      </c>
      <c r="AI18" s="968" t="str">
        <f t="shared" si="11"/>
        <v>Emmanuel GORGETTE (iss)Quentin AUSSET (chp)</v>
      </c>
      <c r="AJ18" s="968"/>
      <c r="AK18" s="968"/>
      <c r="AL18" s="270"/>
      <c r="AM18" s="270"/>
      <c r="AN18" s="575"/>
      <c r="AO18" s="270"/>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c r="CA18" s="1396"/>
      <c r="CB18" s="1396"/>
      <c r="CC18" s="270"/>
      <c r="CD18" s="270"/>
      <c r="CE18"/>
    </row>
    <row r="19" spans="1:83" outlineLevel="2" x14ac:dyDescent="0.2">
      <c r="A19" s="270"/>
      <c r="B19" s="271"/>
      <c r="C19" s="270"/>
      <c r="D19" s="270"/>
      <c r="E19" s="270"/>
      <c r="F19" s="270"/>
      <c r="G19" s="271"/>
      <c r="H19" s="271"/>
      <c r="I19" s="271"/>
      <c r="J19" s="270"/>
      <c r="K19" s="270"/>
      <c r="L19" s="270"/>
      <c r="M19" s="270"/>
      <c r="N19" s="270"/>
      <c r="O19" s="270"/>
      <c r="P19" s="270"/>
      <c r="Q19" s="270"/>
      <c r="R19" s="558" t="s">
        <v>1729</v>
      </c>
      <c r="S19" s="611"/>
      <c r="T19" s="617"/>
      <c r="U19" s="1502"/>
      <c r="V19" s="479" t="str">
        <f>IF(G7="","",G7)</f>
        <v>Raphaël POMMIER (cae)</v>
      </c>
      <c r="W19" s="480" t="s">
        <v>898</v>
      </c>
      <c r="X19" s="481" t="s">
        <v>769</v>
      </c>
      <c r="Y19" s="480" t="s">
        <v>898</v>
      </c>
      <c r="Z19" s="482" t="str">
        <f>IF(G8="","",G8)</f>
        <v>Stéphane POMMIER (cae)</v>
      </c>
      <c r="AA19" s="839"/>
      <c r="AB19" s="1459" t="str">
        <f t="shared" si="4"/>
        <v/>
      </c>
      <c r="AC19" s="1460" t="str">
        <f t="shared" si="5"/>
        <v/>
      </c>
      <c r="AD19" s="1459" t="str">
        <f t="shared" si="6"/>
        <v/>
      </c>
      <c r="AE19" s="968" t="str">
        <f t="shared" si="7"/>
        <v/>
      </c>
      <c r="AF19" s="968" t="str">
        <f t="shared" si="8"/>
        <v/>
      </c>
      <c r="AG19" s="968" t="str">
        <f t="shared" si="9"/>
        <v/>
      </c>
      <c r="AH19" s="968" t="str">
        <f t="shared" si="10"/>
        <v/>
      </c>
      <c r="AI19" s="968" t="str">
        <f t="shared" si="11"/>
        <v/>
      </c>
      <c r="AJ19" s="968"/>
      <c r="AK19" s="968"/>
      <c r="AL19" s="270"/>
      <c r="AM19" s="270"/>
      <c r="AN19" s="575"/>
      <c r="AO19" s="270"/>
      <c r="AP19" s="271"/>
      <c r="AQ19" s="271"/>
      <c r="AR19" s="271"/>
      <c r="AS19" s="271"/>
      <c r="AT19" s="271"/>
      <c r="AU19" s="271"/>
      <c r="AV19" s="271"/>
      <c r="AW19" s="271"/>
      <c r="AX19" s="271"/>
      <c r="AY19" s="271"/>
      <c r="AZ19" s="271"/>
      <c r="BA19" s="271"/>
      <c r="BB19" s="271"/>
      <c r="BC19" s="271"/>
      <c r="BD19" s="271"/>
      <c r="BE19" s="271"/>
      <c r="BF19" s="271"/>
      <c r="BG19" s="271"/>
      <c r="BH19" s="271"/>
      <c r="BI19" s="271"/>
      <c r="BJ19" s="271"/>
      <c r="BK19" s="271"/>
      <c r="BL19" s="271"/>
      <c r="BM19" s="271"/>
      <c r="BN19" s="271"/>
      <c r="BO19" s="271"/>
      <c r="BP19" s="271"/>
      <c r="BQ19" s="271"/>
      <c r="BR19" s="271"/>
      <c r="BS19" s="271"/>
      <c r="BT19" s="271"/>
      <c r="BU19" s="271"/>
      <c r="BV19" s="271"/>
      <c r="BW19" s="271"/>
      <c r="BX19" s="271"/>
      <c r="BY19" s="271"/>
      <c r="BZ19"/>
      <c r="CA19" s="1396"/>
      <c r="CB19" s="1396"/>
      <c r="CC19" s="270"/>
      <c r="CD19" s="270"/>
      <c r="CE19"/>
    </row>
    <row r="20" spans="1:83" outlineLevel="2" x14ac:dyDescent="0.2">
      <c r="A20" s="270"/>
      <c r="B20" s="271"/>
      <c r="C20" s="270"/>
      <c r="D20" s="270"/>
      <c r="E20" s="270"/>
      <c r="F20" s="270"/>
      <c r="G20" s="271"/>
      <c r="H20" s="271"/>
      <c r="I20" s="271"/>
      <c r="J20" s="270"/>
      <c r="K20" s="270"/>
      <c r="L20" s="270"/>
      <c r="M20" s="270"/>
      <c r="N20" s="270"/>
      <c r="O20" s="270"/>
      <c r="P20" s="270"/>
      <c r="Q20" s="270"/>
      <c r="R20" s="558" t="s">
        <v>1729</v>
      </c>
      <c r="S20" s="613">
        <v>0.71180555555555558</v>
      </c>
      <c r="T20" s="618"/>
      <c r="U20" s="1504"/>
      <c r="V20" s="491" t="str">
        <f>IF(G10="","",G10)</f>
        <v>Emmanuel GORGETTE (iss)</v>
      </c>
      <c r="W20" s="492">
        <v>2</v>
      </c>
      <c r="X20" s="493" t="s">
        <v>769</v>
      </c>
      <c r="Y20" s="492">
        <v>3</v>
      </c>
      <c r="Z20" s="494" t="str">
        <f>IF(G12="","",G12)</f>
        <v>Mickaël BLANC (sym)</v>
      </c>
      <c r="AA20" s="839"/>
      <c r="AB20" s="1459">
        <f t="shared" si="4"/>
        <v>2</v>
      </c>
      <c r="AC20" s="1460" t="str">
        <f t="shared" si="5"/>
        <v>-</v>
      </c>
      <c r="AD20" s="1459">
        <f t="shared" si="6"/>
        <v>3</v>
      </c>
      <c r="AE20" s="968" t="str">
        <f t="shared" si="7"/>
        <v>Mickaël BLANC (sym)</v>
      </c>
      <c r="AF20" s="968" t="str">
        <f t="shared" si="8"/>
        <v/>
      </c>
      <c r="AG20" s="968" t="str">
        <f t="shared" si="9"/>
        <v/>
      </c>
      <c r="AH20" s="968" t="str">
        <f t="shared" si="10"/>
        <v>Emmanuel GORGETTE (iss)</v>
      </c>
      <c r="AI20" s="968" t="str">
        <f t="shared" si="11"/>
        <v>Mickaël BLANC (sym)Emmanuel GORGETTE (iss)</v>
      </c>
      <c r="AJ20" s="968"/>
      <c r="AK20" s="968"/>
      <c r="AL20" s="270"/>
      <c r="AM20" s="270"/>
      <c r="AN20" s="575"/>
      <c r="AO20" s="270"/>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c r="CA20" s="1396"/>
      <c r="CB20" s="1396"/>
      <c r="CC20" s="270"/>
      <c r="CD20" s="270"/>
      <c r="CE20"/>
    </row>
    <row r="21" spans="1:83" outlineLevel="2" x14ac:dyDescent="0.2">
      <c r="A21" s="270"/>
      <c r="B21" s="271"/>
      <c r="C21" s="270"/>
      <c r="D21" s="270"/>
      <c r="E21" s="270"/>
      <c r="F21" s="270"/>
      <c r="G21" s="271"/>
      <c r="H21" s="271"/>
      <c r="I21" s="271"/>
      <c r="J21" s="270"/>
      <c r="K21" s="270"/>
      <c r="L21" s="270"/>
      <c r="M21" s="270"/>
      <c r="N21" s="270"/>
      <c r="O21" s="270"/>
      <c r="P21" s="270"/>
      <c r="Q21" s="270"/>
      <c r="R21" s="558" t="s">
        <v>1729</v>
      </c>
      <c r="S21" s="613"/>
      <c r="T21" s="618"/>
      <c r="U21" s="1504"/>
      <c r="V21" s="491" t="str">
        <f>IF(G11="","",G11)</f>
        <v>Théo MODESTE (iss)</v>
      </c>
      <c r="W21" s="492" t="s">
        <v>898</v>
      </c>
      <c r="X21" s="493" t="s">
        <v>769</v>
      </c>
      <c r="Y21" s="492" t="s">
        <v>898</v>
      </c>
      <c r="Z21" s="494" t="str">
        <f>IF(G14="","",G14)</f>
        <v>Quentin AUSSET (chp)</v>
      </c>
      <c r="AA21" s="839"/>
      <c r="AB21" s="1459" t="str">
        <f t="shared" si="4"/>
        <v/>
      </c>
      <c r="AC21" s="1460" t="str">
        <f t="shared" si="5"/>
        <v/>
      </c>
      <c r="AD21" s="1459" t="str">
        <f t="shared" si="6"/>
        <v/>
      </c>
      <c r="AE21" s="968" t="str">
        <f t="shared" si="7"/>
        <v/>
      </c>
      <c r="AF21" s="968" t="str">
        <f t="shared" si="8"/>
        <v/>
      </c>
      <c r="AG21" s="968" t="str">
        <f t="shared" si="9"/>
        <v/>
      </c>
      <c r="AH21" s="968" t="str">
        <f t="shared" si="10"/>
        <v/>
      </c>
      <c r="AI21" s="968" t="str">
        <f t="shared" si="11"/>
        <v/>
      </c>
      <c r="AJ21" s="968"/>
      <c r="AK21" s="968"/>
      <c r="AL21" s="270"/>
      <c r="AM21" s="270"/>
      <c r="AN21" s="575"/>
      <c r="AO21" s="270"/>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c r="CA21" s="1396"/>
      <c r="CB21" s="1396"/>
      <c r="CC21" s="270"/>
      <c r="CD21" s="270"/>
      <c r="CE21"/>
    </row>
    <row r="22" spans="1:83" ht="13.5" outlineLevel="2" thickBot="1" x14ac:dyDescent="0.25">
      <c r="A22" s="270"/>
      <c r="B22" s="271"/>
      <c r="C22" s="270"/>
      <c r="D22" s="270"/>
      <c r="E22" s="270"/>
      <c r="F22" s="270"/>
      <c r="G22" s="271"/>
      <c r="H22" s="271"/>
      <c r="I22" s="271"/>
      <c r="J22" s="270"/>
      <c r="K22" s="270"/>
      <c r="L22" s="270"/>
      <c r="M22" s="270"/>
      <c r="N22" s="270"/>
      <c r="O22" s="270"/>
      <c r="P22" s="270"/>
      <c r="Q22" s="270"/>
      <c r="R22" s="558" t="s">
        <v>1729</v>
      </c>
      <c r="S22" s="615">
        <v>0.71180555555555558</v>
      </c>
      <c r="T22" s="619"/>
      <c r="U22" s="1503"/>
      <c r="V22" s="495" t="str">
        <f>IF(G13="","",G13)</f>
        <v>David LEROY (puy)</v>
      </c>
      <c r="W22" s="496">
        <v>3</v>
      </c>
      <c r="X22" s="497" t="s">
        <v>769</v>
      </c>
      <c r="Y22" s="496">
        <v>8</v>
      </c>
      <c r="Z22" s="498" t="str">
        <f>IF(G9="","",G9)</f>
        <v>Eric NASZALYI (iss)</v>
      </c>
      <c r="AA22" s="839"/>
      <c r="AB22" s="1459">
        <f t="shared" si="4"/>
        <v>3</v>
      </c>
      <c r="AC22" s="1460" t="str">
        <f t="shared" si="5"/>
        <v>-</v>
      </c>
      <c r="AD22" s="1459">
        <f t="shared" si="6"/>
        <v>8</v>
      </c>
      <c r="AE22" s="968" t="str">
        <f t="shared" si="7"/>
        <v>Eric NASZALYI (iss)</v>
      </c>
      <c r="AF22" s="968" t="str">
        <f t="shared" si="8"/>
        <v/>
      </c>
      <c r="AG22" s="968" t="str">
        <f t="shared" si="9"/>
        <v/>
      </c>
      <c r="AH22" s="968" t="str">
        <f t="shared" si="10"/>
        <v>David LEROY (puy)</v>
      </c>
      <c r="AI22" s="968" t="str">
        <f t="shared" si="11"/>
        <v>Eric NASZALYI (iss)David LEROY (puy)</v>
      </c>
      <c r="AJ22" s="968"/>
      <c r="AK22" s="968"/>
      <c r="AL22" s="270"/>
      <c r="AM22" s="270"/>
      <c r="AN22" s="575"/>
      <c r="AO22" s="270"/>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c r="CA22" s="1396"/>
      <c r="CB22" s="1396"/>
      <c r="CC22" s="270"/>
      <c r="CD22" s="270"/>
      <c r="CE22"/>
    </row>
    <row r="23" spans="1:83" outlineLevel="2" x14ac:dyDescent="0.2">
      <c r="A23" s="270"/>
      <c r="B23" s="271"/>
      <c r="C23" s="270"/>
      <c r="D23" s="270"/>
      <c r="E23" s="270"/>
      <c r="F23" s="270"/>
      <c r="G23" s="271"/>
      <c r="H23" s="271"/>
      <c r="I23" s="271"/>
      <c r="J23" s="270"/>
      <c r="K23" s="270"/>
      <c r="L23" s="270"/>
      <c r="M23" s="270"/>
      <c r="N23" s="270"/>
      <c r="O23" s="270"/>
      <c r="P23" s="270"/>
      <c r="Q23" s="270"/>
      <c r="R23" s="558" t="s">
        <v>1730</v>
      </c>
      <c r="S23" s="611"/>
      <c r="T23" s="617"/>
      <c r="U23" s="1502"/>
      <c r="V23" s="479" t="str">
        <f>IF(G7="","",G7)</f>
        <v>Raphaël POMMIER (cae)</v>
      </c>
      <c r="W23" s="480" t="s">
        <v>898</v>
      </c>
      <c r="X23" s="481" t="s">
        <v>769</v>
      </c>
      <c r="Y23" s="480" t="s">
        <v>898</v>
      </c>
      <c r="Z23" s="482" t="str">
        <f>IF(G10="","",G10)</f>
        <v>Emmanuel GORGETTE (iss)</v>
      </c>
      <c r="AA23" s="839"/>
      <c r="AB23" s="1459" t="str">
        <f t="shared" si="4"/>
        <v/>
      </c>
      <c r="AC23" s="1460" t="str">
        <f t="shared" si="5"/>
        <v/>
      </c>
      <c r="AD23" s="1459" t="str">
        <f t="shared" si="6"/>
        <v/>
      </c>
      <c r="AE23" s="968" t="str">
        <f t="shared" si="7"/>
        <v/>
      </c>
      <c r="AF23" s="968" t="str">
        <f t="shared" si="8"/>
        <v/>
      </c>
      <c r="AG23" s="968" t="str">
        <f t="shared" si="9"/>
        <v/>
      </c>
      <c r="AH23" s="968" t="str">
        <f t="shared" si="10"/>
        <v/>
      </c>
      <c r="AI23" s="968" t="str">
        <f t="shared" si="11"/>
        <v/>
      </c>
      <c r="AJ23" s="968"/>
      <c r="AK23" s="968"/>
      <c r="AL23" s="270"/>
      <c r="AM23" s="270"/>
      <c r="AN23" s="575"/>
      <c r="AO23" s="270"/>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c r="CA23" s="1396"/>
      <c r="CB23" s="1396"/>
      <c r="CC23" s="270"/>
      <c r="CD23" s="270"/>
      <c r="CE23"/>
    </row>
    <row r="24" spans="1:83" outlineLevel="2" x14ac:dyDescent="0.2">
      <c r="A24" s="270"/>
      <c r="B24" s="271"/>
      <c r="C24" s="270"/>
      <c r="D24" s="270"/>
      <c r="E24" s="270"/>
      <c r="F24" s="270"/>
      <c r="G24" s="271"/>
      <c r="H24" s="271"/>
      <c r="I24" s="271"/>
      <c r="J24" s="270"/>
      <c r="K24" s="270"/>
      <c r="L24" s="270"/>
      <c r="M24" s="270"/>
      <c r="N24" s="270"/>
      <c r="O24" s="270"/>
      <c r="P24" s="270"/>
      <c r="Q24" s="270"/>
      <c r="R24" s="558" t="s">
        <v>1730</v>
      </c>
      <c r="S24" s="613"/>
      <c r="T24" s="618"/>
      <c r="U24" s="1504"/>
      <c r="V24" s="491" t="str">
        <f>IF(G8="","",G8)</f>
        <v>Stéphane POMMIER (cae)</v>
      </c>
      <c r="W24" s="492" t="s">
        <v>898</v>
      </c>
      <c r="X24" s="493" t="s">
        <v>769</v>
      </c>
      <c r="Y24" s="492" t="s">
        <v>898</v>
      </c>
      <c r="Z24" s="494" t="str">
        <f>IF(G9="","",G9)</f>
        <v>Eric NASZALYI (iss)</v>
      </c>
      <c r="AA24" s="839"/>
      <c r="AB24" s="1459" t="str">
        <f t="shared" si="4"/>
        <v/>
      </c>
      <c r="AC24" s="1460" t="str">
        <f t="shared" si="5"/>
        <v/>
      </c>
      <c r="AD24" s="1459" t="str">
        <f t="shared" si="6"/>
        <v/>
      </c>
      <c r="AE24" s="968" t="str">
        <f t="shared" si="7"/>
        <v/>
      </c>
      <c r="AF24" s="968" t="str">
        <f t="shared" si="8"/>
        <v/>
      </c>
      <c r="AG24" s="968" t="str">
        <f t="shared" si="9"/>
        <v/>
      </c>
      <c r="AH24" s="968" t="str">
        <f t="shared" si="10"/>
        <v/>
      </c>
      <c r="AI24" s="968" t="str">
        <f t="shared" si="11"/>
        <v/>
      </c>
      <c r="AJ24" s="968"/>
      <c r="AK24" s="968"/>
      <c r="AL24" s="270"/>
      <c r="AM24" s="270"/>
      <c r="AN24" s="575"/>
      <c r="AO24" s="270"/>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c r="CA24" s="1396"/>
      <c r="CB24" s="1396"/>
      <c r="CC24" s="270"/>
      <c r="CD24" s="270"/>
      <c r="CE24"/>
    </row>
    <row r="25" spans="1:83" outlineLevel="2" x14ac:dyDescent="0.2">
      <c r="A25" s="270"/>
      <c r="B25" s="271"/>
      <c r="C25" s="270"/>
      <c r="D25" s="270"/>
      <c r="E25" s="270"/>
      <c r="F25" s="270"/>
      <c r="G25" s="271"/>
      <c r="H25" s="271"/>
      <c r="I25" s="271"/>
      <c r="J25" s="270"/>
      <c r="K25" s="270"/>
      <c r="L25" s="270"/>
      <c r="M25" s="270"/>
      <c r="N25" s="270"/>
      <c r="O25" s="270"/>
      <c r="P25" s="270"/>
      <c r="Q25" s="270"/>
      <c r="R25" s="558" t="s">
        <v>1730</v>
      </c>
      <c r="S25" s="613">
        <v>0.75694444444444442</v>
      </c>
      <c r="T25" s="618"/>
      <c r="U25" s="1504"/>
      <c r="V25" s="491" t="str">
        <f>IF(G11="","",G11)</f>
        <v>Théo MODESTE (iss)</v>
      </c>
      <c r="W25" s="492">
        <v>3</v>
      </c>
      <c r="X25" s="493" t="s">
        <v>769</v>
      </c>
      <c r="Y25" s="492">
        <v>7</v>
      </c>
      <c r="Z25" s="494" t="str">
        <f>IF(G13="","",G13)</f>
        <v>David LEROY (puy)</v>
      </c>
      <c r="AA25" s="839"/>
      <c r="AB25" s="1459">
        <f t="shared" si="4"/>
        <v>3</v>
      </c>
      <c r="AC25" s="1460" t="str">
        <f t="shared" si="5"/>
        <v>-</v>
      </c>
      <c r="AD25" s="1459">
        <f t="shared" si="6"/>
        <v>7</v>
      </c>
      <c r="AE25" s="968" t="str">
        <f t="shared" si="7"/>
        <v>David LEROY (puy)</v>
      </c>
      <c r="AF25" s="968" t="str">
        <f t="shared" si="8"/>
        <v/>
      </c>
      <c r="AG25" s="968" t="str">
        <f t="shared" si="9"/>
        <v/>
      </c>
      <c r="AH25" s="968" t="str">
        <f t="shared" si="10"/>
        <v>Théo MODESTE (iss)</v>
      </c>
      <c r="AI25" s="968" t="str">
        <f t="shared" si="11"/>
        <v>David LEROY (puy)Théo MODESTE (iss)</v>
      </c>
      <c r="AJ25" s="968"/>
      <c r="AK25" s="968"/>
      <c r="AL25" s="270"/>
      <c r="AM25" s="270"/>
      <c r="AN25" s="575"/>
      <c r="AO25" s="270"/>
      <c r="AP25" s="271"/>
      <c r="AQ25" s="271"/>
      <c r="AR25" s="271"/>
      <c r="AS25" s="271"/>
      <c r="AT25" s="271"/>
      <c r="AU25" s="271"/>
      <c r="AV25" s="271"/>
      <c r="AW25" s="271"/>
      <c r="AX25" s="271"/>
      <c r="AY25" s="271"/>
      <c r="AZ25" s="271"/>
      <c r="BA25" s="271"/>
      <c r="BB25" s="271"/>
      <c r="BC25" s="271"/>
      <c r="BD25" s="271"/>
      <c r="BE25" s="271"/>
      <c r="BF25" s="271"/>
      <c r="BG25" s="271"/>
      <c r="BH25" s="271"/>
      <c r="BI25" s="271"/>
      <c r="BJ25" s="271"/>
      <c r="BK25" s="271"/>
      <c r="BL25" s="271"/>
      <c r="BM25" s="271"/>
      <c r="BN25" s="271"/>
      <c r="BO25" s="271"/>
      <c r="BP25" s="271"/>
      <c r="BQ25" s="271"/>
      <c r="BR25" s="271"/>
      <c r="BS25" s="271"/>
      <c r="BT25" s="271"/>
      <c r="BU25" s="271"/>
      <c r="BV25" s="271"/>
      <c r="BW25" s="271"/>
      <c r="BX25" s="271"/>
      <c r="BY25" s="271"/>
      <c r="BZ25"/>
      <c r="CA25" s="1396"/>
      <c r="CB25" s="1396"/>
      <c r="CC25" s="270"/>
      <c r="CD25" s="270"/>
      <c r="CE25"/>
    </row>
    <row r="26" spans="1:83" ht="13.5" outlineLevel="2" thickBot="1" x14ac:dyDescent="0.25">
      <c r="A26" s="270"/>
      <c r="B26" s="271"/>
      <c r="C26" s="270"/>
      <c r="D26" s="270"/>
      <c r="E26" s="270"/>
      <c r="F26" s="270"/>
      <c r="G26" s="271"/>
      <c r="H26" s="271"/>
      <c r="I26" s="271"/>
      <c r="J26" s="270"/>
      <c r="K26" s="270"/>
      <c r="L26" s="270"/>
      <c r="M26" s="270"/>
      <c r="N26" s="270"/>
      <c r="O26" s="270"/>
      <c r="P26" s="270"/>
      <c r="Q26" s="270"/>
      <c r="R26" s="558" t="s">
        <v>1730</v>
      </c>
      <c r="S26" s="615">
        <v>0.75694444444444442</v>
      </c>
      <c r="T26" s="619"/>
      <c r="U26" s="1503"/>
      <c r="V26" s="495" t="str">
        <f>IF(G14="","",G14)</f>
        <v>Quentin AUSSET (chp)</v>
      </c>
      <c r="W26" s="496">
        <v>1</v>
      </c>
      <c r="X26" s="497" t="s">
        <v>769</v>
      </c>
      <c r="Y26" s="496">
        <v>3</v>
      </c>
      <c r="Z26" s="498" t="str">
        <f>IF(G12="","",G12)</f>
        <v>Mickaël BLANC (sym)</v>
      </c>
      <c r="AA26" s="839"/>
      <c r="AB26" s="1459">
        <f t="shared" si="4"/>
        <v>1</v>
      </c>
      <c r="AC26" s="1460" t="str">
        <f t="shared" si="5"/>
        <v>-</v>
      </c>
      <c r="AD26" s="1459">
        <f t="shared" si="6"/>
        <v>3</v>
      </c>
      <c r="AE26" s="968" t="str">
        <f t="shared" si="7"/>
        <v>Mickaël BLANC (sym)</v>
      </c>
      <c r="AF26" s="968" t="str">
        <f t="shared" si="8"/>
        <v/>
      </c>
      <c r="AG26" s="968" t="str">
        <f t="shared" si="9"/>
        <v/>
      </c>
      <c r="AH26" s="968" t="str">
        <f t="shared" si="10"/>
        <v>Quentin AUSSET (chp)</v>
      </c>
      <c r="AI26" s="968" t="str">
        <f t="shared" si="11"/>
        <v>Mickaël BLANC (sym)Quentin AUSSET (chp)</v>
      </c>
      <c r="AJ26" s="968"/>
      <c r="AK26" s="968"/>
      <c r="AL26" s="270"/>
      <c r="AM26" s="270"/>
      <c r="AN26" s="575"/>
      <c r="AO26" s="270"/>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c r="CA26" s="1396"/>
      <c r="CB26" s="1396"/>
      <c r="CC26" s="270"/>
      <c r="CD26" s="270"/>
      <c r="CE26"/>
    </row>
    <row r="27" spans="1:83" outlineLevel="2" x14ac:dyDescent="0.2">
      <c r="A27" s="270"/>
      <c r="B27" s="271"/>
      <c r="C27" s="270"/>
      <c r="D27" s="270"/>
      <c r="E27" s="270"/>
      <c r="F27" s="270"/>
      <c r="G27" s="271"/>
      <c r="H27" s="271"/>
      <c r="I27" s="271"/>
      <c r="J27" s="270"/>
      <c r="K27" s="270"/>
      <c r="L27" s="270"/>
      <c r="M27" s="270"/>
      <c r="N27" s="270"/>
      <c r="O27" s="270"/>
      <c r="P27" s="270"/>
      <c r="Q27" s="270"/>
      <c r="R27" s="558" t="s">
        <v>1731</v>
      </c>
      <c r="S27" s="611"/>
      <c r="T27" s="617"/>
      <c r="U27" s="1502"/>
      <c r="V27" s="479" t="str">
        <f>IF(G9="","",G9)</f>
        <v>Eric NASZALYI (iss)</v>
      </c>
      <c r="W27" s="480" t="s">
        <v>898</v>
      </c>
      <c r="X27" s="481" t="s">
        <v>769</v>
      </c>
      <c r="Y27" s="480" t="s">
        <v>898</v>
      </c>
      <c r="Z27" s="482" t="str">
        <f>IF(G10="","",G10)</f>
        <v>Emmanuel GORGETTE (iss)</v>
      </c>
      <c r="AA27" s="839"/>
      <c r="AB27" s="1459" t="str">
        <f t="shared" si="4"/>
        <v/>
      </c>
      <c r="AC27" s="1460" t="str">
        <f t="shared" si="5"/>
        <v/>
      </c>
      <c r="AD27" s="1459" t="str">
        <f t="shared" si="6"/>
        <v/>
      </c>
      <c r="AE27" s="968" t="str">
        <f t="shared" si="7"/>
        <v/>
      </c>
      <c r="AF27" s="968" t="str">
        <f t="shared" si="8"/>
        <v/>
      </c>
      <c r="AG27" s="968" t="str">
        <f t="shared" si="9"/>
        <v/>
      </c>
      <c r="AH27" s="968" t="str">
        <f t="shared" si="10"/>
        <v/>
      </c>
      <c r="AI27" s="968" t="str">
        <f t="shared" si="11"/>
        <v/>
      </c>
      <c r="AJ27" s="968"/>
      <c r="AK27" s="968"/>
      <c r="AL27" s="270"/>
      <c r="AM27" s="270"/>
      <c r="AN27" s="575"/>
      <c r="AO27" s="270"/>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c r="CA27" s="1396"/>
      <c r="CB27" s="1396"/>
      <c r="CC27" s="270"/>
      <c r="CD27" s="270"/>
      <c r="CE27"/>
    </row>
    <row r="28" spans="1:83" outlineLevel="2" x14ac:dyDescent="0.2">
      <c r="A28" s="270"/>
      <c r="B28" s="271"/>
      <c r="C28" s="270"/>
      <c r="D28" s="270"/>
      <c r="E28" s="270"/>
      <c r="F28" s="270"/>
      <c r="G28" s="271"/>
      <c r="H28" s="271"/>
      <c r="I28" s="271"/>
      <c r="J28" s="270"/>
      <c r="K28" s="270"/>
      <c r="L28" s="270"/>
      <c r="M28" s="270"/>
      <c r="N28" s="270"/>
      <c r="O28" s="270"/>
      <c r="P28" s="270"/>
      <c r="Q28" s="270"/>
      <c r="R28" s="558" t="s">
        <v>1731</v>
      </c>
      <c r="S28" s="613"/>
      <c r="T28" s="618"/>
      <c r="U28" s="1504"/>
      <c r="V28" s="491" t="str">
        <f>IF(G11="","",G11)</f>
        <v>Théo MODESTE (iss)</v>
      </c>
      <c r="W28" s="492" t="s">
        <v>898</v>
      </c>
      <c r="X28" s="493" t="s">
        <v>769</v>
      </c>
      <c r="Y28" s="492" t="s">
        <v>898</v>
      </c>
      <c r="Z28" s="494" t="str">
        <f>IF(G8="","",G8)</f>
        <v>Stéphane POMMIER (cae)</v>
      </c>
      <c r="AA28" s="839"/>
      <c r="AB28" s="1459" t="str">
        <f t="shared" si="4"/>
        <v/>
      </c>
      <c r="AC28" s="1460" t="str">
        <f t="shared" si="5"/>
        <v/>
      </c>
      <c r="AD28" s="1459" t="str">
        <f t="shared" si="6"/>
        <v/>
      </c>
      <c r="AE28" s="968" t="str">
        <f t="shared" si="7"/>
        <v/>
      </c>
      <c r="AF28" s="968" t="str">
        <f t="shared" si="8"/>
        <v/>
      </c>
      <c r="AG28" s="968" t="str">
        <f t="shared" si="9"/>
        <v/>
      </c>
      <c r="AH28" s="968" t="str">
        <f t="shared" si="10"/>
        <v/>
      </c>
      <c r="AI28" s="968" t="str">
        <f t="shared" si="11"/>
        <v/>
      </c>
      <c r="AJ28" s="968"/>
      <c r="AK28" s="968"/>
      <c r="AL28" s="270"/>
      <c r="AM28" s="270"/>
      <c r="AN28" s="575"/>
      <c r="AO28" s="270"/>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c r="CA28" s="1396"/>
      <c r="CB28" s="1396"/>
      <c r="CC28" s="270"/>
      <c r="CD28" s="270"/>
      <c r="CE28"/>
    </row>
    <row r="29" spans="1:83" outlineLevel="2" x14ac:dyDescent="0.2">
      <c r="A29" s="270"/>
      <c r="B29" s="271"/>
      <c r="C29" s="270"/>
      <c r="D29" s="270"/>
      <c r="E29" s="270"/>
      <c r="F29" s="270"/>
      <c r="G29" s="271"/>
      <c r="H29" s="271"/>
      <c r="I29" s="271"/>
      <c r="J29" s="270"/>
      <c r="K29" s="270"/>
      <c r="L29" s="270"/>
      <c r="M29" s="270"/>
      <c r="N29" s="270"/>
      <c r="O29" s="270"/>
      <c r="P29" s="270"/>
      <c r="Q29" s="270"/>
      <c r="R29" s="558" t="s">
        <v>1731</v>
      </c>
      <c r="S29" s="613"/>
      <c r="T29" s="623"/>
      <c r="U29" s="1504"/>
      <c r="V29" s="491" t="str">
        <f>IF(G12="","",G12)</f>
        <v>Mickaël BLANC (sym)</v>
      </c>
      <c r="W29" s="492" t="s">
        <v>898</v>
      </c>
      <c r="X29" s="493" t="s">
        <v>769</v>
      </c>
      <c r="Y29" s="492" t="s">
        <v>898</v>
      </c>
      <c r="Z29" s="494" t="str">
        <f>IF(G7="","",G7)</f>
        <v>Raphaël POMMIER (cae)</v>
      </c>
      <c r="AA29" s="839"/>
      <c r="AB29" s="1459" t="str">
        <f t="shared" si="4"/>
        <v/>
      </c>
      <c r="AC29" s="1460" t="str">
        <f t="shared" si="5"/>
        <v/>
      </c>
      <c r="AD29" s="1459" t="str">
        <f t="shared" si="6"/>
        <v/>
      </c>
      <c r="AE29" s="968" t="str">
        <f t="shared" si="7"/>
        <v/>
      </c>
      <c r="AF29" s="968" t="str">
        <f t="shared" si="8"/>
        <v/>
      </c>
      <c r="AG29" s="968" t="str">
        <f t="shared" si="9"/>
        <v/>
      </c>
      <c r="AH29" s="968" t="str">
        <f t="shared" si="10"/>
        <v/>
      </c>
      <c r="AI29" s="968" t="str">
        <f t="shared" si="11"/>
        <v/>
      </c>
      <c r="AJ29" s="968"/>
      <c r="AK29" s="968"/>
      <c r="AL29" s="270"/>
      <c r="AM29" s="270"/>
      <c r="AN29" s="575"/>
      <c r="AO29" s="270"/>
      <c r="AP29" s="271"/>
      <c r="AQ29" s="271"/>
      <c r="AR29" s="271"/>
      <c r="AS29" s="271"/>
      <c r="AT29" s="271"/>
      <c r="AU29" s="271"/>
      <c r="AV29" s="271"/>
      <c r="AW29" s="271"/>
      <c r="AX29" s="271"/>
      <c r="AY29" s="271"/>
      <c r="AZ29" s="271"/>
      <c r="BA29" s="271"/>
      <c r="BB29" s="271"/>
      <c r="BC29" s="271"/>
      <c r="BD29" s="271"/>
      <c r="BE29" s="271"/>
      <c r="BF29" s="271"/>
      <c r="BG29" s="271"/>
      <c r="BH29" s="271"/>
      <c r="BI29" s="271"/>
      <c r="BJ29" s="271"/>
      <c r="BK29" s="271"/>
      <c r="BL29" s="271"/>
      <c r="BM29" s="271"/>
      <c r="BN29" s="271"/>
      <c r="BO29" s="271"/>
      <c r="BP29" s="271"/>
      <c r="BQ29" s="271"/>
      <c r="BR29" s="271"/>
      <c r="BS29" s="271"/>
      <c r="BT29" s="271"/>
      <c r="BU29" s="271"/>
      <c r="BV29" s="271"/>
      <c r="BW29" s="271"/>
      <c r="BX29" s="271"/>
      <c r="BY29" s="271"/>
      <c r="BZ29"/>
      <c r="CA29" s="1396"/>
      <c r="CB29" s="1396"/>
      <c r="CC29" s="270"/>
      <c r="CD29" s="270"/>
      <c r="CE29"/>
    </row>
    <row r="30" spans="1:83" ht="13.5" outlineLevel="2" thickBot="1" x14ac:dyDescent="0.25">
      <c r="A30" s="270"/>
      <c r="B30" s="271"/>
      <c r="C30" s="270"/>
      <c r="D30" s="270"/>
      <c r="E30" s="270"/>
      <c r="F30" s="270"/>
      <c r="G30" s="271"/>
      <c r="H30" s="271"/>
      <c r="I30" s="271"/>
      <c r="J30" s="270"/>
      <c r="K30" s="270"/>
      <c r="L30" s="270"/>
      <c r="M30" s="270"/>
      <c r="N30" s="270"/>
      <c r="O30" s="270"/>
      <c r="P30" s="270"/>
      <c r="Q30" s="270"/>
      <c r="R30" s="558" t="s">
        <v>1731</v>
      </c>
      <c r="S30" s="615"/>
      <c r="T30" s="619"/>
      <c r="U30" s="1503"/>
      <c r="V30" s="495" t="str">
        <f>IF(G13="","",G13)</f>
        <v>David LEROY (puy)</v>
      </c>
      <c r="W30" s="496" t="s">
        <v>898</v>
      </c>
      <c r="X30" s="497" t="s">
        <v>769</v>
      </c>
      <c r="Y30" s="496" t="s">
        <v>898</v>
      </c>
      <c r="Z30" s="498" t="str">
        <f>IF(G14="","",G14)</f>
        <v>Quentin AUSSET (chp)</v>
      </c>
      <c r="AA30" s="839"/>
      <c r="AB30" s="1459" t="str">
        <f t="shared" si="4"/>
        <v/>
      </c>
      <c r="AC30" s="1460" t="str">
        <f t="shared" si="5"/>
        <v/>
      </c>
      <c r="AD30" s="1459" t="str">
        <f t="shared" si="6"/>
        <v/>
      </c>
      <c r="AE30" s="968" t="str">
        <f t="shared" si="7"/>
        <v/>
      </c>
      <c r="AF30" s="968" t="str">
        <f t="shared" si="8"/>
        <v/>
      </c>
      <c r="AG30" s="968" t="str">
        <f t="shared" si="9"/>
        <v/>
      </c>
      <c r="AH30" s="968" t="str">
        <f t="shared" si="10"/>
        <v/>
      </c>
      <c r="AI30" s="968" t="str">
        <f t="shared" si="11"/>
        <v/>
      </c>
      <c r="AJ30" s="968"/>
      <c r="AK30" s="968"/>
      <c r="AL30" s="270"/>
      <c r="AM30" s="270"/>
      <c r="AN30" s="575"/>
      <c r="AO30" s="270"/>
      <c r="AP30" s="271"/>
      <c r="AQ30" s="271"/>
      <c r="AR30" s="271"/>
      <c r="AS30" s="271"/>
      <c r="AT30" s="271"/>
      <c r="AU30" s="271"/>
      <c r="AV30" s="271"/>
      <c r="AW30" s="271"/>
      <c r="AX30" s="271"/>
      <c r="AY30" s="271"/>
      <c r="AZ30" s="271"/>
      <c r="BA30" s="271"/>
      <c r="BB30" s="271"/>
      <c r="BC30" s="271"/>
      <c r="BD30" s="271"/>
      <c r="BE30" s="271"/>
      <c r="BF30" s="271"/>
      <c r="BG30" s="271"/>
      <c r="BH30" s="271"/>
      <c r="BI30" s="271"/>
      <c r="BJ30" s="271"/>
      <c r="BK30" s="271"/>
      <c r="BL30" s="271"/>
      <c r="BM30" s="271"/>
      <c r="BN30" s="271"/>
      <c r="BO30" s="271"/>
      <c r="BP30" s="271"/>
      <c r="BQ30" s="271"/>
      <c r="BR30" s="271"/>
      <c r="BS30" s="271"/>
      <c r="BT30" s="271"/>
      <c r="BU30" s="271"/>
      <c r="BV30" s="271"/>
      <c r="BW30" s="271"/>
      <c r="BX30" s="271"/>
      <c r="BY30" s="271"/>
      <c r="BZ30"/>
      <c r="CA30" s="1396"/>
      <c r="CB30" s="1396"/>
      <c r="CC30" s="270"/>
      <c r="CD30" s="270"/>
      <c r="CE30"/>
    </row>
    <row r="31" spans="1:83" outlineLevel="2" x14ac:dyDescent="0.2">
      <c r="A31" s="270"/>
      <c r="B31" s="271"/>
      <c r="C31" s="270"/>
      <c r="D31" s="270"/>
      <c r="E31" s="270"/>
      <c r="F31" s="270"/>
      <c r="G31" s="271"/>
      <c r="H31" s="271"/>
      <c r="I31" s="271"/>
      <c r="J31" s="270"/>
      <c r="K31" s="270"/>
      <c r="L31" s="270"/>
      <c r="M31" s="270"/>
      <c r="N31" s="270"/>
      <c r="O31" s="270"/>
      <c r="P31" s="270"/>
      <c r="Q31" s="270"/>
      <c r="R31" s="558" t="s">
        <v>1740</v>
      </c>
      <c r="S31" s="611"/>
      <c r="T31" s="617"/>
      <c r="U31" s="1502"/>
      <c r="V31" s="479" t="str">
        <f>IF(G8="","",G8)</f>
        <v>Stéphane POMMIER (cae)</v>
      </c>
      <c r="W31" s="480" t="s">
        <v>898</v>
      </c>
      <c r="X31" s="481" t="s">
        <v>769</v>
      </c>
      <c r="Y31" s="480" t="s">
        <v>898</v>
      </c>
      <c r="Z31" s="482" t="str">
        <f>IF(G13="","",G13)</f>
        <v>David LEROY (puy)</v>
      </c>
      <c r="AA31" s="839"/>
      <c r="AB31" s="1459" t="str">
        <f t="shared" si="4"/>
        <v/>
      </c>
      <c r="AC31" s="1460" t="str">
        <f t="shared" si="5"/>
        <v/>
      </c>
      <c r="AD31" s="1459" t="str">
        <f t="shared" si="6"/>
        <v/>
      </c>
      <c r="AE31" s="968" t="str">
        <f t="shared" si="7"/>
        <v/>
      </c>
      <c r="AF31" s="968" t="str">
        <f t="shared" si="8"/>
        <v/>
      </c>
      <c r="AG31" s="968" t="str">
        <f t="shared" si="9"/>
        <v/>
      </c>
      <c r="AH31" s="968" t="str">
        <f t="shared" si="10"/>
        <v/>
      </c>
      <c r="AI31" s="968" t="str">
        <f t="shared" si="11"/>
        <v/>
      </c>
      <c r="AJ31" s="968"/>
      <c r="AK31" s="968"/>
      <c r="AL31" s="270"/>
      <c r="AM31" s="270"/>
      <c r="AN31" s="575"/>
      <c r="AO31" s="270"/>
      <c r="AP31" s="271"/>
      <c r="AQ31" s="271"/>
      <c r="AR31" s="271"/>
      <c r="AS31" s="271"/>
      <c r="AT31" s="271"/>
      <c r="AU31" s="271"/>
      <c r="AV31" s="271"/>
      <c r="AW31" s="271"/>
      <c r="AX31" s="271"/>
      <c r="AY31" s="271"/>
      <c r="AZ31" s="271"/>
      <c r="BA31" s="271"/>
      <c r="BB31" s="271"/>
      <c r="BC31" s="271"/>
      <c r="BD31" s="271"/>
      <c r="BE31" s="271"/>
      <c r="BF31" s="271"/>
      <c r="BG31" s="271"/>
      <c r="BH31" s="271"/>
      <c r="BI31" s="271"/>
      <c r="BJ31" s="271"/>
      <c r="BK31" s="271"/>
      <c r="BL31" s="271"/>
      <c r="BM31" s="271"/>
      <c r="BN31" s="271"/>
      <c r="BO31" s="271"/>
      <c r="BP31" s="271"/>
      <c r="BQ31" s="271"/>
      <c r="BR31" s="271"/>
      <c r="BS31" s="271"/>
      <c r="BT31" s="271"/>
      <c r="BU31" s="271"/>
      <c r="BV31" s="271"/>
      <c r="BW31" s="271"/>
      <c r="BX31" s="271"/>
      <c r="BY31" s="271"/>
      <c r="BZ31"/>
      <c r="CA31" s="1396"/>
      <c r="CB31" s="1396"/>
      <c r="CC31" s="270"/>
      <c r="CD31" s="270"/>
      <c r="CE31"/>
    </row>
    <row r="32" spans="1:83" outlineLevel="2" x14ac:dyDescent="0.2">
      <c r="A32" s="270"/>
      <c r="B32" s="271"/>
      <c r="C32" s="270"/>
      <c r="D32" s="270"/>
      <c r="E32" s="270"/>
      <c r="F32" s="270"/>
      <c r="G32" s="271"/>
      <c r="H32" s="271"/>
      <c r="I32" s="271"/>
      <c r="J32" s="270"/>
      <c r="K32" s="270"/>
      <c r="L32" s="270"/>
      <c r="M32" s="270"/>
      <c r="N32" s="270"/>
      <c r="O32" s="270"/>
      <c r="P32" s="270"/>
      <c r="Q32" s="270"/>
      <c r="R32" s="558" t="s">
        <v>1740</v>
      </c>
      <c r="S32" s="613"/>
      <c r="T32" s="618"/>
      <c r="U32" s="1504"/>
      <c r="V32" s="491" t="str">
        <f>IF(G9="","",G9)</f>
        <v>Eric NASZALYI (iss)</v>
      </c>
      <c r="W32" s="492" t="s">
        <v>898</v>
      </c>
      <c r="X32" s="493" t="s">
        <v>769</v>
      </c>
      <c r="Y32" s="492" t="s">
        <v>898</v>
      </c>
      <c r="Z32" s="494" t="str">
        <f>IF(G12="","",G12)</f>
        <v>Mickaël BLANC (sym)</v>
      </c>
      <c r="AA32" s="839"/>
      <c r="AB32" s="1459" t="str">
        <f t="shared" si="4"/>
        <v/>
      </c>
      <c r="AC32" s="1460" t="str">
        <f t="shared" si="5"/>
        <v/>
      </c>
      <c r="AD32" s="1459" t="str">
        <f t="shared" si="6"/>
        <v/>
      </c>
      <c r="AE32" s="968" t="str">
        <f t="shared" si="7"/>
        <v/>
      </c>
      <c r="AF32" s="968" t="str">
        <f t="shared" si="8"/>
        <v/>
      </c>
      <c r="AG32" s="968" t="str">
        <f t="shared" si="9"/>
        <v/>
      </c>
      <c r="AH32" s="968" t="str">
        <f t="shared" si="10"/>
        <v/>
      </c>
      <c r="AI32" s="968" t="str">
        <f t="shared" si="11"/>
        <v/>
      </c>
      <c r="AJ32" s="968"/>
      <c r="AK32" s="968"/>
      <c r="AL32" s="270"/>
      <c r="AM32" s="270"/>
      <c r="AN32" s="575"/>
      <c r="AO32" s="270"/>
      <c r="AP32" s="271"/>
      <c r="AQ32" s="271"/>
      <c r="AR32" s="271"/>
      <c r="AS32" s="271"/>
      <c r="AT32" s="271"/>
      <c r="AU32" s="271"/>
      <c r="AV32" s="271"/>
      <c r="AW32" s="271"/>
      <c r="AX32" s="271"/>
      <c r="AY32" s="271"/>
      <c r="AZ32" s="271"/>
      <c r="BA32" s="271"/>
      <c r="BB32" s="271"/>
      <c r="BC32" s="271"/>
      <c r="BD32" s="271"/>
      <c r="BE32" s="271"/>
      <c r="BF32" s="271"/>
      <c r="BG32" s="271"/>
      <c r="BH32" s="271"/>
      <c r="BI32" s="271"/>
      <c r="BJ32" s="271"/>
      <c r="BK32" s="271"/>
      <c r="BL32" s="271"/>
      <c r="BM32" s="271"/>
      <c r="BN32" s="271"/>
      <c r="BO32" s="271"/>
      <c r="BP32" s="271"/>
      <c r="BQ32" s="271"/>
      <c r="BR32" s="271"/>
      <c r="BS32" s="271"/>
      <c r="BT32" s="271"/>
      <c r="BU32" s="271"/>
      <c r="BV32" s="271"/>
      <c r="BW32" s="271"/>
      <c r="BX32" s="271"/>
      <c r="BY32" s="271"/>
      <c r="BZ32"/>
      <c r="CA32" s="1396"/>
      <c r="CB32" s="1396"/>
      <c r="CC32" s="270"/>
      <c r="CD32" s="270"/>
      <c r="CE32"/>
    </row>
    <row r="33" spans="1:83" outlineLevel="2" x14ac:dyDescent="0.2">
      <c r="A33" s="270"/>
      <c r="B33" s="271"/>
      <c r="C33" s="270"/>
      <c r="D33" s="270"/>
      <c r="E33" s="270"/>
      <c r="F33" s="270"/>
      <c r="G33" s="271"/>
      <c r="H33" s="271"/>
      <c r="I33" s="271"/>
      <c r="J33" s="270"/>
      <c r="K33" s="270"/>
      <c r="L33" s="270"/>
      <c r="M33" s="270"/>
      <c r="N33" s="270"/>
      <c r="O33" s="270"/>
      <c r="P33" s="270"/>
      <c r="Q33" s="270"/>
      <c r="R33" s="558" t="s">
        <v>1740</v>
      </c>
      <c r="S33" s="613"/>
      <c r="T33" s="618"/>
      <c r="U33" s="1504"/>
      <c r="V33" s="491" t="str">
        <f>IF(G10="","",G10)</f>
        <v>Emmanuel GORGETTE (iss)</v>
      </c>
      <c r="W33" s="492" t="s">
        <v>898</v>
      </c>
      <c r="X33" s="493" t="s">
        <v>769</v>
      </c>
      <c r="Y33" s="492" t="s">
        <v>898</v>
      </c>
      <c r="Z33" s="494" t="str">
        <f>IF(G11="","",G11)</f>
        <v>Théo MODESTE (iss)</v>
      </c>
      <c r="AA33" s="839"/>
      <c r="AB33" s="1459" t="str">
        <f t="shared" si="4"/>
        <v/>
      </c>
      <c r="AC33" s="1460" t="str">
        <f t="shared" si="5"/>
        <v/>
      </c>
      <c r="AD33" s="1459" t="str">
        <f t="shared" si="6"/>
        <v/>
      </c>
      <c r="AE33" s="968" t="str">
        <f t="shared" si="7"/>
        <v/>
      </c>
      <c r="AF33" s="968" t="str">
        <f t="shared" si="8"/>
        <v/>
      </c>
      <c r="AG33" s="968" t="str">
        <f t="shared" si="9"/>
        <v/>
      </c>
      <c r="AH33" s="968" t="str">
        <f t="shared" si="10"/>
        <v/>
      </c>
      <c r="AI33" s="968" t="str">
        <f t="shared" si="11"/>
        <v/>
      </c>
      <c r="AJ33" s="968"/>
      <c r="AK33" s="968"/>
      <c r="AL33" s="270"/>
      <c r="AM33" s="270"/>
      <c r="AN33" s="575"/>
      <c r="AO33" s="270"/>
      <c r="AP33" s="271"/>
      <c r="AQ33" s="271"/>
      <c r="AR33" s="271"/>
      <c r="AS33" s="271"/>
      <c r="AT33" s="271"/>
      <c r="AU33" s="271"/>
      <c r="AV33" s="271"/>
      <c r="AW33" s="271"/>
      <c r="AX33" s="271"/>
      <c r="AY33" s="271"/>
      <c r="AZ33" s="271"/>
      <c r="BA33" s="271"/>
      <c r="BB33" s="271"/>
      <c r="BC33" s="271"/>
      <c r="BD33" s="271"/>
      <c r="BE33" s="271"/>
      <c r="BF33" s="271"/>
      <c r="BG33" s="271"/>
      <c r="BH33" s="271"/>
      <c r="BI33" s="271"/>
      <c r="BJ33" s="271"/>
      <c r="BK33" s="271"/>
      <c r="BL33" s="271"/>
      <c r="BM33" s="271"/>
      <c r="BN33" s="271"/>
      <c r="BO33" s="271"/>
      <c r="BP33" s="271"/>
      <c r="BQ33" s="271"/>
      <c r="BR33" s="271"/>
      <c r="BS33" s="271"/>
      <c r="BT33" s="271"/>
      <c r="BU33" s="271"/>
      <c r="BV33" s="271"/>
      <c r="BW33" s="271"/>
      <c r="BX33" s="271"/>
      <c r="BY33" s="271"/>
      <c r="BZ33"/>
      <c r="CA33" s="1396"/>
      <c r="CB33" s="1396"/>
      <c r="CC33" s="270"/>
      <c r="CD33" s="270"/>
      <c r="CE33"/>
    </row>
    <row r="34" spans="1:83" ht="13.5" outlineLevel="2" thickBot="1" x14ac:dyDescent="0.25">
      <c r="A34" s="270"/>
      <c r="B34" s="271"/>
      <c r="C34" s="270"/>
      <c r="D34" s="270"/>
      <c r="E34" s="270"/>
      <c r="F34" s="270"/>
      <c r="G34" s="271"/>
      <c r="H34" s="271"/>
      <c r="I34" s="271"/>
      <c r="J34" s="270"/>
      <c r="K34" s="270"/>
      <c r="L34" s="270"/>
      <c r="M34" s="270"/>
      <c r="N34" s="270"/>
      <c r="O34" s="270"/>
      <c r="P34" s="270"/>
      <c r="Q34" s="270"/>
      <c r="R34" s="558" t="s">
        <v>1740</v>
      </c>
      <c r="S34" s="615"/>
      <c r="T34" s="619"/>
      <c r="U34" s="1503"/>
      <c r="V34" s="495" t="str">
        <f>IF(G14="","",G14)</f>
        <v>Quentin AUSSET (chp)</v>
      </c>
      <c r="W34" s="496" t="s">
        <v>898</v>
      </c>
      <c r="X34" s="497" t="s">
        <v>769</v>
      </c>
      <c r="Y34" s="496" t="s">
        <v>898</v>
      </c>
      <c r="Z34" s="498" t="str">
        <f>IF(G7="","",G7)</f>
        <v>Raphaël POMMIER (cae)</v>
      </c>
      <c r="AA34" s="839"/>
      <c r="AB34" s="1459" t="str">
        <f t="shared" si="4"/>
        <v/>
      </c>
      <c r="AC34" s="1460" t="str">
        <f t="shared" si="5"/>
        <v/>
      </c>
      <c r="AD34" s="1459" t="str">
        <f t="shared" si="6"/>
        <v/>
      </c>
      <c r="AE34" s="968" t="str">
        <f t="shared" si="7"/>
        <v/>
      </c>
      <c r="AF34" s="968" t="str">
        <f t="shared" si="8"/>
        <v/>
      </c>
      <c r="AG34" s="968" t="str">
        <f t="shared" si="9"/>
        <v/>
      </c>
      <c r="AH34" s="968" t="str">
        <f t="shared" si="10"/>
        <v/>
      </c>
      <c r="AI34" s="968" t="str">
        <f t="shared" si="11"/>
        <v/>
      </c>
      <c r="AJ34" s="968"/>
      <c r="AK34" s="968"/>
      <c r="AL34" s="270"/>
      <c r="AM34" s="270"/>
      <c r="AN34" s="575"/>
      <c r="AO34" s="270"/>
      <c r="AP34" s="271"/>
      <c r="AQ34" s="271"/>
      <c r="AR34" s="271"/>
      <c r="AS34" s="271"/>
      <c r="AT34" s="271"/>
      <c r="AU34" s="271"/>
      <c r="AV34" s="271"/>
      <c r="AW34" s="271"/>
      <c r="AX34" s="271"/>
      <c r="AY34" s="271"/>
      <c r="AZ34" s="271"/>
      <c r="BA34" s="271"/>
      <c r="BB34" s="271"/>
      <c r="BC34" s="271"/>
      <c r="BD34" s="271"/>
      <c r="BE34" s="271"/>
      <c r="BF34" s="271"/>
      <c r="BG34" s="271"/>
      <c r="BH34" s="271"/>
      <c r="BI34" s="271"/>
      <c r="BJ34" s="271"/>
      <c r="BK34" s="271"/>
      <c r="BL34" s="271"/>
      <c r="BM34" s="271"/>
      <c r="BN34" s="271"/>
      <c r="BO34" s="271"/>
      <c r="BP34" s="271"/>
      <c r="BQ34" s="271"/>
      <c r="BR34" s="271"/>
      <c r="BS34" s="271"/>
      <c r="BT34" s="271"/>
      <c r="BU34" s="271"/>
      <c r="BV34" s="271"/>
      <c r="BW34" s="271"/>
      <c r="BX34" s="271"/>
      <c r="BY34" s="271"/>
      <c r="BZ34"/>
      <c r="CA34" s="1396"/>
      <c r="CB34" s="1396"/>
      <c r="CC34" s="270"/>
      <c r="CD34" s="270"/>
      <c r="CE34"/>
    </row>
    <row r="35" spans="1:83" outlineLevel="1" x14ac:dyDescent="0.2">
      <c r="A35"/>
      <c r="B35" s="1"/>
      <c r="C35"/>
      <c r="D35"/>
      <c r="E35"/>
      <c r="F35"/>
      <c r="G35" s="1"/>
      <c r="H35" s="1"/>
      <c r="I35" s="1"/>
      <c r="J35"/>
      <c r="K35"/>
      <c r="L35"/>
      <c r="M35"/>
      <c r="N35"/>
      <c r="O35"/>
      <c r="P35"/>
      <c r="Q35"/>
      <c r="R35" s="334"/>
      <c r="S35" s="1"/>
      <c r="T35" s="1"/>
      <c r="U35"/>
      <c r="V35" s="6"/>
      <c r="W35" s="1"/>
      <c r="X35" s="1"/>
      <c r="Y35" s="1"/>
      <c r="Z35" s="16"/>
      <c r="AA35" s="123"/>
      <c r="AB35" s="963"/>
      <c r="AC35" s="963"/>
      <c r="AD35" s="963"/>
      <c r="AE35" s="964"/>
      <c r="AF35" s="964"/>
      <c r="AG35" s="964"/>
      <c r="AH35" s="964"/>
      <c r="AI35" s="964"/>
      <c r="AJ35" s="964"/>
      <c r="AK35" s="964"/>
      <c r="AL35"/>
      <c r="AM35"/>
      <c r="AO35"/>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c r="CA35" s="1396"/>
      <c r="CB35" s="1396"/>
      <c r="CC35"/>
      <c r="CD35"/>
      <c r="CE35"/>
    </row>
  </sheetData>
  <sheetProtection formatColumns="0" formatRows="0"/>
  <dataConsolidate/>
  <conditionalFormatting sqref="G3:G14">
    <cfRule type="expression" dxfId="5" priority="3" stopIfTrue="1">
      <formula>$BZ3</formula>
    </cfRule>
  </conditionalFormatting>
  <conditionalFormatting sqref="AN3:AW14">
    <cfRule type="expression" dxfId="4" priority="2" stopIfTrue="1">
      <formula>$CB3</formula>
    </cfRule>
  </conditionalFormatting>
  <conditionalFormatting sqref="AO3:AO14">
    <cfRule type="expression" dxfId="3" priority="1">
      <formula>$CA3</formula>
    </cfRule>
  </conditionalFormatting>
  <dataValidations count="59">
    <dataValidation type="list" allowBlank="1" showInputMessage="1" sqref="G7:G14" xr:uid="{3E25A946-F8E3-454C-BB6D-5E82FD7E0FB1}">
      <formula1>OFFSET(List_headers,1,MATCH(Particular_Category,List_headers,0)-1,OFFSET(List_headers,-1,MATCH(Particular_Category,List_headers,0)-1,1,1)+1,1)</formula1>
    </dataValidation>
    <dataValidation type="list" allowBlank="1" showInputMessage="1" showErrorMessage="1" sqref="U7:U34" xr:uid="{FCBF97AA-9704-418A-9CD8-2DFFA2C96E01}">
      <formula1>List_Referee</formula1>
    </dataValidation>
    <dataValidation type="whole" allowBlank="1" showInputMessage="1" showErrorMessage="1" errorTitle="Erreur de saisie" error="Vous devez tapez un nombre entier entre 0 et 100" sqref="Y7:Y34 W7:W34" xr:uid="{737C3E74-CDE4-46D8-9FE9-53E49AB84EDF}">
      <formula1>0</formula1>
      <formula2>100</formula2>
    </dataValidation>
    <dataValidation type="list" allowBlank="1" showInputMessage="1" showErrorMessage="1" sqref="Z34" xr:uid="{696B2EEB-7F0B-4F9C-BB49-FEEEE718249C}">
      <formula1>G7:G14</formula1>
    </dataValidation>
    <dataValidation type="list" allowBlank="1" showInputMessage="1" showErrorMessage="1" sqref="Z33" xr:uid="{1B9EB50D-683B-422E-87A0-3583778D9B0F}">
      <formula1>G7:G14</formula1>
    </dataValidation>
    <dataValidation type="list" allowBlank="1" showInputMessage="1" showErrorMessage="1" sqref="Z32" xr:uid="{7BFAA413-7667-4BB8-B5ED-3EAFE81E4712}">
      <formula1>G7:G14</formula1>
    </dataValidation>
    <dataValidation type="list" allowBlank="1" showInputMessage="1" showErrorMessage="1" sqref="Z31" xr:uid="{5356EE6C-3244-418E-A025-49756B1AC3D2}">
      <formula1>G7:G14</formula1>
    </dataValidation>
    <dataValidation type="list" allowBlank="1" showInputMessage="1" showErrorMessage="1" sqref="Z30" xr:uid="{C82617F7-0F0E-4074-AB53-C5BDB18DF932}">
      <formula1>G7:G14</formula1>
    </dataValidation>
    <dataValidation type="list" allowBlank="1" showInputMessage="1" showErrorMessage="1" sqref="Z29" xr:uid="{6A0FBC27-585C-4232-84FC-8E1A4EE8D741}">
      <formula1>G7:G14</formula1>
    </dataValidation>
    <dataValidation type="list" allowBlank="1" showInputMessage="1" showErrorMessage="1" sqref="Z28" xr:uid="{DA6451B9-AF52-4271-8B38-106F02E4F40E}">
      <formula1>G7:G14</formula1>
    </dataValidation>
    <dataValidation type="list" allowBlank="1" showInputMessage="1" showErrorMessage="1" sqref="Z27" xr:uid="{F6959FA4-EE39-40AA-B671-801279F2A96D}">
      <formula1>G7:G14</formula1>
    </dataValidation>
    <dataValidation type="list" allowBlank="1" showInputMessage="1" showErrorMessage="1" sqref="Z26" xr:uid="{0EC4CAFB-17C1-4AA5-BE22-BAF9A2BDA284}">
      <formula1>G7:G14</formula1>
    </dataValidation>
    <dataValidation type="list" allowBlank="1" showInputMessage="1" showErrorMessage="1" sqref="Z25" xr:uid="{3193121C-14E0-49D0-AA5A-4994AD090E4B}">
      <formula1>G7:G14</formula1>
    </dataValidation>
    <dataValidation type="list" allowBlank="1" showInputMessage="1" showErrorMessage="1" sqref="Z24" xr:uid="{FAC258AB-A095-46CB-B7F1-2F3B6CDC758B}">
      <formula1>G7:G14</formula1>
    </dataValidation>
    <dataValidation type="list" allowBlank="1" showInputMessage="1" showErrorMessage="1" sqref="Z23" xr:uid="{3716A53B-8C24-4AF4-A06C-3C0603CCFCE6}">
      <formula1>G7:G14</formula1>
    </dataValidation>
    <dataValidation type="list" allowBlank="1" showInputMessage="1" showErrorMessage="1" sqref="Z22" xr:uid="{40597574-A9F0-40F3-B28D-C642C5B5A659}">
      <formula1>G7:G14</formula1>
    </dataValidation>
    <dataValidation type="list" allowBlank="1" showInputMessage="1" showErrorMessage="1" sqref="Z21" xr:uid="{A0B84F6C-5D69-49A9-8CBD-822E9E4E07C3}">
      <formula1>G7:G14</formula1>
    </dataValidation>
    <dataValidation type="list" allowBlank="1" showInputMessage="1" showErrorMessage="1" sqref="Z20" xr:uid="{04F90E3F-7DC1-491E-A7CD-78180559C220}">
      <formula1>G7:G14</formula1>
    </dataValidation>
    <dataValidation type="list" allowBlank="1" showInputMessage="1" showErrorMessage="1" sqref="Z19" xr:uid="{5A16162C-3565-477A-8E97-82F5B2E62052}">
      <formula1>G7:G14</formula1>
    </dataValidation>
    <dataValidation type="list" allowBlank="1" showInputMessage="1" showErrorMessage="1" sqref="Z18" xr:uid="{066F36BC-895E-41CB-A26D-129EEFEE3CC8}">
      <formula1>G7:G14</formula1>
    </dataValidation>
    <dataValidation type="list" allowBlank="1" showInputMessage="1" showErrorMessage="1" sqref="Z17" xr:uid="{66C100E0-8279-4378-BC37-8D83BD99BE56}">
      <formula1>G7:G14</formula1>
    </dataValidation>
    <dataValidation type="list" allowBlank="1" showInputMessage="1" showErrorMessage="1" sqref="Z16" xr:uid="{322BFFF6-1124-4A85-9CB7-756C81FB6AD0}">
      <formula1>G7:G14</formula1>
    </dataValidation>
    <dataValidation type="list" allowBlank="1" showInputMessage="1" showErrorMessage="1" sqref="Z15" xr:uid="{968EA51D-CAF3-4322-9687-C6F1028C05E8}">
      <formula1>G7:G14</formula1>
    </dataValidation>
    <dataValidation type="list" allowBlank="1" showInputMessage="1" showErrorMessage="1" sqref="Z14" xr:uid="{AA670762-847B-4363-B35E-6675FA95BBA2}">
      <formula1>G7:G14</formula1>
    </dataValidation>
    <dataValidation type="list" allowBlank="1" showInputMessage="1" showErrorMessage="1" sqref="Z13" xr:uid="{FAEC1117-26A7-4FAE-A8C6-A606EA44B49A}">
      <formula1>G7:G14</formula1>
    </dataValidation>
    <dataValidation type="list" allowBlank="1" showInputMessage="1" showErrorMessage="1" sqref="Z12" xr:uid="{2C01EE2E-9EF1-41A7-B50F-CF9F2CA6C815}">
      <formula1>G7:G14</formula1>
    </dataValidation>
    <dataValidation type="list" allowBlank="1" showInputMessage="1" showErrorMessage="1" sqref="Z11" xr:uid="{131BB4EC-C801-4525-B973-11487060229D}">
      <formula1>G7:G14</formula1>
    </dataValidation>
    <dataValidation type="list" allowBlank="1" showInputMessage="1" showErrorMessage="1" sqref="Z10" xr:uid="{8044A474-B824-411E-B793-E6BD77BFF5CB}">
      <formula1>G7:G14</formula1>
    </dataValidation>
    <dataValidation type="list" allowBlank="1" showInputMessage="1" showErrorMessage="1" sqref="Z9" xr:uid="{846780BB-82EB-4012-93BA-2A113BB86CFA}">
      <formula1>G7:G14</formula1>
    </dataValidation>
    <dataValidation type="list" allowBlank="1" showInputMessage="1" showErrorMessage="1" sqref="Z8" xr:uid="{D7CE35F7-16FB-4486-B84E-D7705658ED02}">
      <formula1>G7:G14</formula1>
    </dataValidation>
    <dataValidation type="list" allowBlank="1" showInputMessage="1" showErrorMessage="1" sqref="Z7" xr:uid="{CCDCFFBD-C63B-46DC-B0E1-01969C1BEADD}">
      <formula1>G7:G14</formula1>
    </dataValidation>
    <dataValidation type="list" allowBlank="1" showInputMessage="1" showErrorMessage="1" sqref="V34" xr:uid="{A1E0DECA-0826-4363-857D-AEEBBAF575F7}">
      <formula1>G7:G14</formula1>
    </dataValidation>
    <dataValidation type="list" allowBlank="1" showInputMessage="1" showErrorMessage="1" sqref="V33" xr:uid="{07823939-BEBA-4B01-8A6C-015D74ED16FB}">
      <formula1>G7:G14</formula1>
    </dataValidation>
    <dataValidation type="list" allowBlank="1" showInputMessage="1" showErrorMessage="1" sqref="V32" xr:uid="{A02DA2E7-38A1-43F0-A0F7-0A684E7F8A5E}">
      <formula1>G7:G14</formula1>
    </dataValidation>
    <dataValidation type="list" allowBlank="1" showInputMessage="1" showErrorMessage="1" sqref="V31" xr:uid="{FF9849B3-BA51-476D-863A-4F78B04D6342}">
      <formula1>G7:G14</formula1>
    </dataValidation>
    <dataValidation type="list" allowBlank="1" showInputMessage="1" showErrorMessage="1" sqref="V30" xr:uid="{5073475E-94E8-4FBC-A29B-6223CF200999}">
      <formula1>G7:G14</formula1>
    </dataValidation>
    <dataValidation type="list" allowBlank="1" showInputMessage="1" showErrorMessage="1" sqref="V29" xr:uid="{24303B24-2B72-48D4-900F-ADAB01795CEE}">
      <formula1>G7:G14</formula1>
    </dataValidation>
    <dataValidation type="list" allowBlank="1" showInputMessage="1" showErrorMessage="1" sqref="V28" xr:uid="{311CE83F-D772-46C1-A141-CBEFB44307BD}">
      <formula1>G7:G14</formula1>
    </dataValidation>
    <dataValidation type="list" allowBlank="1" showInputMessage="1" showErrorMessage="1" sqref="V27" xr:uid="{A79B6DAC-3FFB-4894-A6E0-5D0A1B4C115A}">
      <formula1>G7:G14</formula1>
    </dataValidation>
    <dataValidation type="list" allowBlank="1" showInputMessage="1" showErrorMessage="1" sqref="V26" xr:uid="{45CF25DE-6672-4492-982D-6820E164B720}">
      <formula1>G7:G14</formula1>
    </dataValidation>
    <dataValidation type="list" allowBlank="1" showInputMessage="1" showErrorMessage="1" sqref="V25" xr:uid="{8A934394-40B5-4822-A90D-58112CDDAABC}">
      <formula1>G7:G14</formula1>
    </dataValidation>
    <dataValidation type="list" allowBlank="1" showInputMessage="1" showErrorMessage="1" sqref="V24" xr:uid="{A2010431-5F86-46D3-A9F9-D8646D2D10BD}">
      <formula1>G7:G14</formula1>
    </dataValidation>
    <dataValidation type="list" allowBlank="1" showInputMessage="1" showErrorMessage="1" sqref="V23" xr:uid="{96211449-087C-4141-921A-8FCA494E8D64}">
      <formula1>G7:G14</formula1>
    </dataValidation>
    <dataValidation type="list" allowBlank="1" showInputMessage="1" showErrorMessage="1" sqref="V22" xr:uid="{63494A17-8A9E-42D3-B7EC-43D40E9C2349}">
      <formula1>G7:G14</formula1>
    </dataValidation>
    <dataValidation type="list" allowBlank="1" showInputMessage="1" showErrorMessage="1" sqref="V21" xr:uid="{126D1B77-9DAB-4613-91D7-348AF2D139D1}">
      <formula1>G7:G14</formula1>
    </dataValidation>
    <dataValidation type="list" allowBlank="1" showInputMessage="1" showErrorMessage="1" sqref="V20" xr:uid="{170AB98B-5436-4161-B37A-F1C21440372D}">
      <formula1>G7:G14</formula1>
    </dataValidation>
    <dataValidation type="list" allowBlank="1" showInputMessage="1" showErrorMessage="1" sqref="V19" xr:uid="{1483AC2C-7873-4E11-A00D-ABF638938CA2}">
      <formula1>G7:G14</formula1>
    </dataValidation>
    <dataValidation type="list" allowBlank="1" showInputMessage="1" showErrorMessage="1" sqref="V18" xr:uid="{9FE1465E-2AB2-4876-8D5C-A2424B6AEBDC}">
      <formula1>G7:G14</formula1>
    </dataValidation>
    <dataValidation type="list" allowBlank="1" showInputMessage="1" showErrorMessage="1" sqref="V17" xr:uid="{25BCED8A-4190-4170-99C5-FA3E3306C4E8}">
      <formula1>G7:G14</formula1>
    </dataValidation>
    <dataValidation type="list" allowBlank="1" showInputMessage="1" showErrorMessage="1" sqref="V16" xr:uid="{F52EE670-DB4C-4C72-A5AF-C1BFA8B7176E}">
      <formula1>G7:G14</formula1>
    </dataValidation>
    <dataValidation type="list" allowBlank="1" showInputMessage="1" showErrorMessage="1" sqref="V15" xr:uid="{2B859EDE-829B-4BAE-A6E1-45518262C507}">
      <formula1>G7:G14</formula1>
    </dataValidation>
    <dataValidation type="list" allowBlank="1" showInputMessage="1" showErrorMessage="1" sqref="V14" xr:uid="{C0BD634B-E62E-44ED-B27A-1BBF76FA13B7}">
      <formula1>G7:G14</formula1>
    </dataValidation>
    <dataValidation type="list" allowBlank="1" showInputMessage="1" showErrorMessage="1" sqref="V13" xr:uid="{1F6A988B-273C-4386-B0A5-729EE44B8AF3}">
      <formula1>G7:G14</formula1>
    </dataValidation>
    <dataValidation type="list" allowBlank="1" showInputMessage="1" showErrorMessage="1" sqref="V12" xr:uid="{1DC0CDA1-314C-45EA-B77F-8D5154816E94}">
      <formula1>G7:G14</formula1>
    </dataValidation>
    <dataValidation type="list" allowBlank="1" showInputMessage="1" showErrorMessage="1" sqref="V11" xr:uid="{44C46921-A4EE-4F92-8D88-93BE07265C55}">
      <formula1>G7:G14</formula1>
    </dataValidation>
    <dataValidation type="list" allowBlank="1" showInputMessage="1" showErrorMessage="1" sqref="V10" xr:uid="{7F4D6ED2-D340-4F64-8146-3474B5ACFBE2}">
      <formula1>G7:G14</formula1>
    </dataValidation>
    <dataValidation type="list" allowBlank="1" showInputMessage="1" showErrorMessage="1" sqref="V9" xr:uid="{90D28478-EB63-4E22-BE50-B28042FF7BE6}">
      <formula1>G7:G14</formula1>
    </dataValidation>
    <dataValidation type="list" allowBlank="1" showInputMessage="1" showErrorMessage="1" sqref="V8" xr:uid="{B840BF34-EDEA-498C-BEF1-34A49DE727FF}">
      <formula1>G7:G14</formula1>
    </dataValidation>
    <dataValidation type="list" allowBlank="1" showInputMessage="1" showErrorMessage="1" sqref="V7" xr:uid="{ED11C7E5-1A07-40F0-A943-92AEA93CE599}">
      <formula1>G7:G14</formula1>
    </dataValidation>
  </dataValidations>
  <printOptions horizontalCentered="1"/>
  <pageMargins left="0.59055118110236227" right="0.59055118110236227" top="0.94488188976377963" bottom="0.70866141732283472" header="0.31496062992125984" footer="0.31496062992125984"/>
  <pageSetup paperSize="9" fitToHeight="20" orientation="landscape"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54BC2-D275-4DB6-A827-CADA3A053B44}">
  <sheetPr codeName="sht_IndGroups3">
    <tabColor rgb="FF00FF00"/>
    <outlinePr summaryBelow="0" summaryRight="0"/>
    <pageSetUpPr fitToPage="1"/>
  </sheetPr>
  <dimension ref="A1:CE35"/>
  <sheetViews>
    <sheetView showGridLines="0" defaultGridColor="0" colorId="18" zoomScale="130" zoomScaleNormal="130" workbookViewId="0">
      <selection activeCell="AN7" sqref="AN7"/>
    </sheetView>
  </sheetViews>
  <sheetFormatPr baseColWidth="10" defaultColWidth="11.42578125" defaultRowHeight="12.75" outlineLevelRow="2" outlineLevelCol="1" x14ac:dyDescent="0.2"/>
  <cols>
    <col min="1" max="1" width="3.7109375" style="7" customWidth="1"/>
    <col min="2" max="2" width="5.85546875" style="7" bestFit="1" customWidth="1"/>
    <col min="3" max="3" width="4.5703125" style="7" hidden="1" customWidth="1"/>
    <col min="4" max="4" width="5" style="7" hidden="1" customWidth="1"/>
    <col min="5" max="5" width="4.85546875" style="7" hidden="1" customWidth="1"/>
    <col min="6" max="6" width="5" style="7" hidden="1" customWidth="1"/>
    <col min="7" max="7" width="25.5703125" style="7" bestFit="1" customWidth="1"/>
    <col min="8" max="8" width="6.42578125" style="7" bestFit="1" customWidth="1"/>
    <col min="9" max="9" width="8.5703125" style="7" bestFit="1" customWidth="1"/>
    <col min="10" max="10" width="4.140625" style="7" hidden="1" customWidth="1"/>
    <col min="11" max="11" width="4" style="7" hidden="1" customWidth="1"/>
    <col min="12" max="12" width="2.85546875" style="7" hidden="1" customWidth="1"/>
    <col min="13" max="14" width="2.28515625" style="7" hidden="1" customWidth="1"/>
    <col min="15" max="15" width="3.5703125" style="7" hidden="1" customWidth="1"/>
    <col min="16" max="16" width="3.7109375" style="7" hidden="1" customWidth="1"/>
    <col min="17" max="17" width="4.140625" style="7" hidden="1" customWidth="1"/>
    <col min="18" max="18" width="6.42578125" style="7" bestFit="1" customWidth="1" collapsed="1"/>
    <col min="19" max="19" width="5.85546875" style="7" hidden="1" customWidth="1" outlineLevel="1"/>
    <col min="20" max="20" width="6.140625" style="7" hidden="1" customWidth="1" outlineLevel="1"/>
    <col min="21" max="21" width="8.5703125" style="7" hidden="1" customWidth="1" outlineLevel="1"/>
    <col min="22" max="22" width="25.5703125" style="7" bestFit="1" customWidth="1"/>
    <col min="23" max="23" width="4" style="7" customWidth="1"/>
    <col min="24" max="24" width="1.85546875" style="7" bestFit="1" customWidth="1"/>
    <col min="25" max="25" width="3.7109375" style="7" customWidth="1"/>
    <col min="26" max="26" width="25.5703125" style="7" bestFit="1" customWidth="1"/>
    <col min="27" max="27" width="4.140625" style="7" hidden="1" customWidth="1"/>
    <col min="28" max="28" width="2.140625" style="7" hidden="1" customWidth="1"/>
    <col min="29" max="29" width="1.85546875" style="7" hidden="1" customWidth="1"/>
    <col min="30" max="30" width="2.140625" style="7" hidden="1" customWidth="1"/>
    <col min="31" max="31" width="2.85546875" style="7" hidden="1" customWidth="1"/>
    <col min="32" max="33" width="2.28515625" style="7" hidden="1" customWidth="1"/>
    <col min="34" max="34" width="2.140625" style="7" hidden="1" customWidth="1"/>
    <col min="35" max="35" width="8.5703125" style="7" hidden="1" customWidth="1"/>
    <col min="36" max="36" width="9.5703125" style="7" hidden="1" customWidth="1"/>
    <col min="37" max="37" width="6.140625" style="7" hidden="1" customWidth="1"/>
    <col min="38" max="39" width="3.42578125" style="7" customWidth="1"/>
    <col min="40" max="40" width="9.85546875" style="7" bestFit="1" customWidth="1"/>
    <col min="41" max="41" width="25.5703125" style="7" bestFit="1" customWidth="1"/>
    <col min="42" max="42" width="4.140625" style="7" bestFit="1" customWidth="1"/>
    <col min="43" max="43" width="4" style="7" bestFit="1" customWidth="1"/>
    <col min="44" max="44" width="2.85546875" style="7" bestFit="1" customWidth="1"/>
    <col min="45" max="46" width="2.28515625" style="7" bestFit="1" customWidth="1"/>
    <col min="47" max="48" width="3" style="7" bestFit="1" customWidth="1"/>
    <col min="49" max="49" width="4.140625" style="7" bestFit="1" customWidth="1" collapsed="1"/>
    <col min="50" max="50" width="3.7109375" style="7" hidden="1" customWidth="1" outlineLevel="1"/>
    <col min="51" max="77" width="3.5703125" style="7" hidden="1" customWidth="1" outlineLevel="1"/>
    <col min="78" max="80" width="11.5703125" style="7" hidden="1" customWidth="1"/>
    <col min="81" max="81" width="3.28515625" style="7" customWidth="1"/>
    <col min="82" max="82" width="3" style="7" customWidth="1"/>
    <col min="83" max="16384" width="11.42578125" style="7"/>
  </cols>
  <sheetData>
    <row r="1" spans="1:83" x14ac:dyDescent="0.2">
      <c r="A1"/>
      <c r="B1" s="1"/>
      <c r="D1" s="1268" t="s">
        <v>18217</v>
      </c>
      <c r="E1"/>
      <c r="F1"/>
      <c r="G1" s="1"/>
      <c r="H1" s="1"/>
      <c r="I1"/>
      <c r="J1"/>
      <c r="K1"/>
      <c r="L1"/>
      <c r="M1"/>
      <c r="N1"/>
      <c r="O1"/>
      <c r="P1"/>
      <c r="Q1" s="334"/>
      <c r="R1" s="1"/>
      <c r="S1" s="1"/>
      <c r="T1"/>
      <c r="U1" s="871"/>
      <c r="V1" s="123"/>
      <c r="W1" s="123"/>
      <c r="X1" s="123"/>
      <c r="Y1" s="123"/>
      <c r="Z1" s="123"/>
      <c r="AA1" s="963"/>
      <c r="AB1" s="963"/>
      <c r="AC1" s="963"/>
      <c r="AD1" s="964"/>
      <c r="AE1" s="964"/>
      <c r="AF1" s="964"/>
      <c r="AG1" s="964"/>
      <c r="AH1" s="964"/>
      <c r="AI1" s="964"/>
      <c r="AJ1" s="964"/>
      <c r="AK1"/>
      <c r="AL1"/>
      <c r="AN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c r="BZ1" s="1396"/>
      <c r="CA1" s="1396"/>
      <c r="CB1"/>
      <c r="CC1"/>
      <c r="CD1"/>
      <c r="CE1"/>
    </row>
    <row r="2" spans="1:83" ht="20.25" x14ac:dyDescent="0.3">
      <c r="A2"/>
      <c r="B2" s="1"/>
      <c r="C2" s="1495" t="s">
        <v>1586</v>
      </c>
      <c r="D2" s="833" t="s">
        <v>954</v>
      </c>
      <c r="E2"/>
      <c r="F2"/>
      <c r="G2" s="1"/>
      <c r="H2" s="1"/>
      <c r="I2"/>
      <c r="J2"/>
      <c r="K2"/>
      <c r="L2"/>
      <c r="M2"/>
      <c r="N2"/>
      <c r="O2"/>
      <c r="P2"/>
      <c r="Q2" s="334"/>
      <c r="R2" s="1"/>
      <c r="S2" s="1"/>
      <c r="T2"/>
      <c r="U2" s="6"/>
      <c r="V2" s="2086" t="str">
        <f>SHEETNAME(A1)</f>
        <v>D1_Last8</v>
      </c>
      <c r="W2" s="2086"/>
      <c r="X2" s="2086"/>
      <c r="Y2" s="2086"/>
      <c r="Z2" s="2086"/>
      <c r="AA2" s="123"/>
      <c r="AB2" s="963"/>
      <c r="AC2" s="963"/>
      <c r="AD2" s="964"/>
      <c r="AE2" s="964"/>
      <c r="AF2" s="964"/>
      <c r="AG2" s="964"/>
      <c r="AH2" s="964"/>
      <c r="AI2" s="964"/>
      <c r="AJ2" s="964"/>
      <c r="AK2" s="964"/>
      <c r="AL2"/>
      <c r="AN2"/>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c r="BZ2"/>
      <c r="CA2" s="1396"/>
      <c r="CB2" s="1396"/>
      <c r="CC2"/>
      <c r="CD2"/>
      <c r="CE2"/>
    </row>
    <row r="3" spans="1:83" ht="13.5" thickBot="1" x14ac:dyDescent="0.25">
      <c r="A3"/>
      <c r="B3" s="1"/>
      <c r="C3" s="2085" t="b">
        <v>0</v>
      </c>
      <c r="D3"/>
      <c r="E3"/>
      <c r="F3"/>
      <c r="G3" s="1"/>
      <c r="H3" s="1"/>
      <c r="I3" s="1"/>
      <c r="J3"/>
      <c r="K3"/>
      <c r="L3"/>
      <c r="M3"/>
      <c r="N3"/>
      <c r="O3"/>
      <c r="P3"/>
      <c r="Q3"/>
      <c r="R3" s="334"/>
      <c r="S3" s="1"/>
      <c r="T3" s="1"/>
      <c r="U3"/>
      <c r="V3" s="6"/>
      <c r="W3" s="1"/>
      <c r="X3" s="1"/>
      <c r="Y3" s="1"/>
      <c r="Z3" s="16"/>
      <c r="AA3" s="123"/>
      <c r="AB3" s="963"/>
      <c r="AC3" s="963"/>
      <c r="AD3" s="963"/>
      <c r="AE3" s="964"/>
      <c r="AF3" s="964"/>
      <c r="AG3" s="964"/>
      <c r="AH3" s="964"/>
      <c r="AI3" s="964"/>
      <c r="AJ3" s="964"/>
      <c r="AK3" s="964"/>
      <c r="AL3"/>
      <c r="AM3"/>
      <c r="AO3"/>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c r="CA3" s="1396"/>
      <c r="CB3" s="1396"/>
      <c r="CC3"/>
      <c r="CD3"/>
      <c r="CE3"/>
    </row>
    <row r="4" spans="1:83" ht="13.5" thickBot="1" x14ac:dyDescent="0.25">
      <c r="A4"/>
      <c r="B4" s="282" t="str">
        <f>N_Group &amp; " 1"</f>
        <v>Poule 1</v>
      </c>
      <c r="C4" s="283"/>
      <c r="D4" s="283"/>
      <c r="E4" s="283"/>
      <c r="F4" s="283"/>
      <c r="G4" s="283"/>
      <c r="H4" s="283"/>
      <c r="I4" s="283"/>
      <c r="J4" s="283"/>
      <c r="K4" s="283"/>
      <c r="L4" s="283"/>
      <c r="M4" s="283"/>
      <c r="N4" s="283"/>
      <c r="O4" s="283"/>
      <c r="P4" s="283"/>
      <c r="Q4" s="283"/>
      <c r="R4" s="357"/>
      <c r="S4" s="283"/>
      <c r="T4" s="283"/>
      <c r="U4" s="283"/>
      <c r="V4" s="283"/>
      <c r="W4" s="992"/>
      <c r="X4" s="992"/>
      <c r="Y4" s="992"/>
      <c r="Z4" s="283"/>
      <c r="AA4" s="283"/>
      <c r="AB4" s="965"/>
      <c r="AC4" s="965"/>
      <c r="AD4" s="965"/>
      <c r="AE4" s="966"/>
      <c r="AF4" s="966"/>
      <c r="AG4" s="966"/>
      <c r="AH4" s="966"/>
      <c r="AI4" s="966"/>
      <c r="AJ4" s="966"/>
      <c r="AK4" s="965"/>
      <c r="AL4" s="283"/>
      <c r="AM4" s="282" t="str">
        <f>B4</f>
        <v>Poule 1</v>
      </c>
      <c r="AN4" s="283"/>
      <c r="AO4" s="283"/>
      <c r="AP4" s="283"/>
      <c r="AQ4" s="283"/>
      <c r="AR4" s="283"/>
      <c r="AS4" s="283"/>
      <c r="AT4" s="283"/>
      <c r="AU4" s="283"/>
      <c r="AV4" s="283"/>
      <c r="AW4" s="283"/>
      <c r="AX4" s="283"/>
      <c r="AY4" s="283"/>
      <c r="AZ4" s="283"/>
      <c r="BA4" s="283"/>
      <c r="BB4" s="283"/>
      <c r="BC4" s="283"/>
      <c r="BD4" s="283"/>
      <c r="BE4" s="283"/>
      <c r="BF4" s="283"/>
      <c r="BG4" s="283"/>
      <c r="BH4" s="283"/>
      <c r="BI4" s="283"/>
      <c r="BJ4" s="283"/>
      <c r="BK4" s="283"/>
      <c r="BL4" s="283"/>
      <c r="BM4" s="283"/>
      <c r="BN4" s="283"/>
      <c r="BO4" s="283"/>
      <c r="BP4" s="283"/>
      <c r="BQ4" s="283"/>
      <c r="BR4" s="283"/>
      <c r="BS4" s="283"/>
      <c r="BT4" s="283"/>
      <c r="BU4" s="283"/>
      <c r="BV4" s="283"/>
      <c r="BW4" s="283"/>
      <c r="BX4" s="283"/>
      <c r="BY4" s="283"/>
      <c r="BZ4" s="1395"/>
      <c r="CA4" s="1450"/>
      <c r="CB4" s="1450"/>
      <c r="CC4" s="284"/>
      <c r="CD4"/>
      <c r="CE4"/>
    </row>
    <row r="5" spans="1:83" ht="13.5" outlineLevel="1" thickBot="1" x14ac:dyDescent="0.25">
      <c r="A5"/>
      <c r="B5" s="1"/>
      <c r="C5"/>
      <c r="D5"/>
      <c r="E5"/>
      <c r="F5"/>
      <c r="G5" s="1"/>
      <c r="H5" s="1"/>
      <c r="I5" s="1"/>
      <c r="J5"/>
      <c r="K5"/>
      <c r="L5"/>
      <c r="M5"/>
      <c r="N5"/>
      <c r="O5"/>
      <c r="P5"/>
      <c r="Q5"/>
      <c r="R5" s="334"/>
      <c r="S5" s="1"/>
      <c r="T5" s="1"/>
      <c r="U5"/>
      <c r="V5" s="6"/>
      <c r="W5" s="1"/>
      <c r="X5" s="1"/>
      <c r="Y5" s="1"/>
      <c r="Z5" s="16"/>
      <c r="AA5" s="123"/>
      <c r="AB5" s="963"/>
      <c r="AC5" s="963"/>
      <c r="AD5" s="963"/>
      <c r="AE5" s="964"/>
      <c r="AF5" s="964"/>
      <c r="AG5" s="964"/>
      <c r="AH5" s="964"/>
      <c r="AI5" s="964"/>
      <c r="AJ5" s="964"/>
      <c r="AK5" s="964"/>
      <c r="AL5"/>
      <c r="AM5"/>
      <c r="AN5" s="833"/>
      <c r="AO5"/>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395"/>
      <c r="CA5" s="1450"/>
      <c r="CB5" s="1450"/>
      <c r="CC5"/>
      <c r="CD5"/>
      <c r="CE5"/>
    </row>
    <row r="6" spans="1:83" ht="13.5" outlineLevel="1" thickBot="1" x14ac:dyDescent="0.25">
      <c r="A6"/>
      <c r="B6" s="18" t="str">
        <f>N_Tirage</f>
        <v>Tirage</v>
      </c>
      <c r="C6" s="307" t="s">
        <v>787</v>
      </c>
      <c r="D6" s="308" t="s">
        <v>831</v>
      </c>
      <c r="E6" s="308" t="s">
        <v>832</v>
      </c>
      <c r="F6" s="309" t="s">
        <v>833</v>
      </c>
      <c r="G6" s="22" t="str">
        <f>N_Joueurs</f>
        <v>Joueurs</v>
      </c>
      <c r="H6" s="3" t="str">
        <f>N_RankPoints</f>
        <v>Pt. Clas.</v>
      </c>
      <c r="I6" s="3" t="str">
        <f>N_Diff_Part</f>
        <v>Diff-Part</v>
      </c>
      <c r="J6" s="311" t="str">
        <f>N_Pts</f>
        <v>Pts</v>
      </c>
      <c r="K6" s="311" t="str">
        <f>N_J</f>
        <v>J</v>
      </c>
      <c r="L6" s="308" t="str">
        <f>N_G</f>
        <v>G</v>
      </c>
      <c r="M6" s="308" t="str">
        <f>N_N</f>
        <v>N</v>
      </c>
      <c r="N6" s="308" t="str">
        <f>N_P</f>
        <v>P</v>
      </c>
      <c r="O6" s="308" t="str">
        <f>N_BP</f>
        <v>BP</v>
      </c>
      <c r="P6" s="308" t="str">
        <f>N_BC</f>
        <v>BC</v>
      </c>
      <c r="Q6" s="309" t="str">
        <f>N_Diff.</f>
        <v>Diff.</v>
      </c>
      <c r="R6" s="334"/>
      <c r="S6" s="3" t="str">
        <f>N_Heure</f>
        <v>Heure</v>
      </c>
      <c r="T6" s="22" t="str">
        <f>N_Table</f>
        <v>Table</v>
      </c>
      <c r="U6" s="22" t="str">
        <f>N_Arbitre</f>
        <v>Arbitre</v>
      </c>
      <c r="V6" s="293" t="str">
        <f>N_Matches</f>
        <v>Matches</v>
      </c>
      <c r="W6" s="294"/>
      <c r="X6" s="294"/>
      <c r="Y6" s="294"/>
      <c r="Z6" s="295"/>
      <c r="AA6" s="8"/>
      <c r="AB6" s="1461" t="str">
        <f>IF(MaxScore,N_MaxScore,"")</f>
        <v/>
      </c>
      <c r="AC6" s="1461"/>
      <c r="AD6" s="1461"/>
      <c r="AE6" s="964" t="str">
        <f>N_G</f>
        <v>G</v>
      </c>
      <c r="AF6" s="964" t="str">
        <f>N_N</f>
        <v>N</v>
      </c>
      <c r="AG6" s="964" t="str">
        <f>N_N</f>
        <v>N</v>
      </c>
      <c r="AH6" s="964" t="str">
        <f>N_P</f>
        <v>P</v>
      </c>
      <c r="AI6" s="964" t="s">
        <v>1560</v>
      </c>
      <c r="AJ6" s="964" t="s">
        <v>3714</v>
      </c>
      <c r="AK6" s="964" t="str">
        <f>IF(COUNTA(W7:W34)=0,"","OK")</f>
        <v>OK</v>
      </c>
      <c r="AL6"/>
      <c r="AM6"/>
      <c r="AN6" s="289" t="str">
        <f>N_Cla.</f>
        <v>Cla.</v>
      </c>
      <c r="AO6" s="70" t="str">
        <f>N_Joueurs</f>
        <v>Joueurs</v>
      </c>
      <c r="AP6" s="23" t="str">
        <f>N_Pts</f>
        <v>Pts</v>
      </c>
      <c r="AQ6" s="23" t="str">
        <f>N_J</f>
        <v>J</v>
      </c>
      <c r="AR6" s="20" t="str">
        <f>N_G</f>
        <v>G</v>
      </c>
      <c r="AS6" s="20" t="str">
        <f>N_N</f>
        <v>N</v>
      </c>
      <c r="AT6" s="20" t="str">
        <f>N_P</f>
        <v>P</v>
      </c>
      <c r="AU6" s="20" t="str">
        <f>N_BP</f>
        <v>BP</v>
      </c>
      <c r="AV6" s="20" t="str">
        <f>N_BC</f>
        <v>BC</v>
      </c>
      <c r="AW6" s="21" t="str">
        <f>N_Diff.</f>
        <v>Diff.</v>
      </c>
      <c r="AX6" s="287" t="str">
        <f>N_Matches</f>
        <v>Matches</v>
      </c>
      <c r="AY6" s="287"/>
      <c r="AZ6" s="287"/>
      <c r="BA6" s="287"/>
      <c r="BB6" s="287"/>
      <c r="BC6" s="287"/>
      <c r="BD6" s="287"/>
      <c r="BE6" s="287"/>
      <c r="BF6" s="287"/>
      <c r="BG6" s="287"/>
      <c r="BH6" s="287"/>
      <c r="BI6" s="287"/>
      <c r="BJ6" s="287"/>
      <c r="BK6" s="287"/>
      <c r="BL6" s="287"/>
      <c r="BM6" s="287"/>
      <c r="BN6" s="287"/>
      <c r="BO6" s="287"/>
      <c r="BP6" s="287"/>
      <c r="BQ6" s="287"/>
      <c r="BR6" s="287"/>
      <c r="BS6" s="287"/>
      <c r="BT6" s="287"/>
      <c r="BU6" s="287"/>
      <c r="BV6" s="287"/>
      <c r="BW6" s="287"/>
      <c r="BX6" s="287"/>
      <c r="BY6" s="288"/>
      <c r="BZ6" s="1395"/>
      <c r="CA6" s="1450"/>
      <c r="CB6" s="1450"/>
      <c r="CC6"/>
      <c r="CD6"/>
      <c r="CE6"/>
    </row>
    <row r="7" spans="1:83" outlineLevel="1" x14ac:dyDescent="0.2">
      <c r="A7" s="270"/>
      <c r="B7" s="543">
        <v>1</v>
      </c>
      <c r="C7" s="549">
        <f>IF(AK6="","",RANK(F7,F7:F14)*1000+ROW())</f>
        <v>2007</v>
      </c>
      <c r="D7" s="550">
        <f t="shared" ref="D7:D14" si="0">IF(L7="","",CritClassInd1_Points*J7+CritClassInd1_Matches*L7+CritClassInd1_Attaque*O7+CritClassInd1_DiffButs*Q7)</f>
        <v>60000000000</v>
      </c>
      <c r="E7" s="550">
        <f>IF(L7="","",Nb_Diff_Part(D7,D7:D14,G7,G7:G14,AI7:AI34)*CritClassInd_DiffPart+Nb_Goal_Part(D7,D7:D14,G7,G7:G14,V7:Z34)*CritClassInd_GoalPart+Nb_Score_Part(D7,D7:D14,G7,G7:G14,V7:Z34)*CritClassInd_ScorePart)</f>
        <v>-101970000</v>
      </c>
      <c r="F7" s="551">
        <f t="shared" ref="F7:F14" si="1">IF(L7="","",D7+E7+CritClassInd2_Points*J7+CritClassInd2_Matches*L7+CritClassInd2_Attaque*O7+CritClassInd2_DiffButs*Q7+CritClassInd_Ranking*H7+I7)</f>
        <v>59898030516</v>
      </c>
      <c r="G7" s="476" t="str">
        <f>D1_Tr1!P_1E</f>
        <v>Thierry VIVRON (iss)</v>
      </c>
      <c r="H7" s="499">
        <f t="shared" ref="H7:H14" si="2">GMFTRANKINGPOINTS(G7,Particular_Category)</f>
        <v>0</v>
      </c>
      <c r="I7" s="500"/>
      <c r="J7" s="555">
        <f>IF(AK6="","",(L7*Points_Victoire)+M7*Points_Null)</f>
        <v>6</v>
      </c>
      <c r="K7" s="556">
        <f t="shared" ref="K7:K14" si="3">IF(L7="","",SUM(L7:N7))</f>
        <v>3</v>
      </c>
      <c r="L7" s="556">
        <f>IF(AK6="","",COUNTIF(AE7:AE34,G7))</f>
        <v>2</v>
      </c>
      <c r="M7" s="556">
        <f>IF(AK6="","",COUNTIF(AF7:AG34,G7))</f>
        <v>0</v>
      </c>
      <c r="N7" s="556">
        <f>IF(AK6="","",COUNTIF(AH7:AH34,G7))</f>
        <v>1</v>
      </c>
      <c r="O7" s="556">
        <f>IF(AK6="","",SUMIF(V7:V34,G7,AB7:AB34)+SUMIF(Z7:Z34,G7,AD7:AD34))</f>
        <v>16</v>
      </c>
      <c r="P7" s="556">
        <f>IF(AK6="","",SUMIF(V7:V34,G7,AD7:AD34)+SUMIF(Z7:Z34,G7,AB7:AB34))</f>
        <v>11</v>
      </c>
      <c r="Q7" s="557">
        <f>IF(AK6="","",O7-P7)</f>
        <v>5</v>
      </c>
      <c r="R7" s="558" t="s">
        <v>1726</v>
      </c>
      <c r="S7" s="611">
        <v>0.58680555555555558</v>
      </c>
      <c r="T7" s="617"/>
      <c r="U7" s="1502"/>
      <c r="V7" s="479" t="str">
        <f>IF(G7="","",G7)</f>
        <v>Thierry VIVRON (iss)</v>
      </c>
      <c r="W7" s="480">
        <v>3</v>
      </c>
      <c r="X7" s="481" t="s">
        <v>769</v>
      </c>
      <c r="Y7" s="480">
        <v>5</v>
      </c>
      <c r="Z7" s="482" t="str">
        <f>IF(G9="","",G9)</f>
        <v>Cédric PANDOLFI (sym)</v>
      </c>
      <c r="AA7" s="839"/>
      <c r="AB7" s="1459">
        <f t="shared" ref="AB7:AB34" si="4">IF(MaxScore,MaxGoals(W7,Y7,MaxGoalsValue),IF(W7="","",W7))</f>
        <v>3</v>
      </c>
      <c r="AC7" s="1460" t="str">
        <f t="shared" ref="AC7:AC34" si="5">IF(MaxScore,"-",IF(W7="","","-"))</f>
        <v>-</v>
      </c>
      <c r="AD7" s="1459">
        <f t="shared" ref="AD7:AD34" si="6">IF(MaxScore,MaxGoals(Y7,W7,MaxGoalsValue),IF(Y7="","",Y7))</f>
        <v>5</v>
      </c>
      <c r="AE7" s="968" t="str">
        <f t="shared" ref="AE7:AE34" si="7">IF(W7="","",IF(W7&gt;Y7,V7,IF(W7=Y7,"",Z7)))</f>
        <v>Cédric PANDOLFI (sym)</v>
      </c>
      <c r="AF7" s="968" t="str">
        <f t="shared" ref="AF7:AF34" si="8">IF(W7="","",IF(W7=Y7,V7,""))</f>
        <v/>
      </c>
      <c r="AG7" s="968" t="str">
        <f t="shared" ref="AG7:AG34" si="9">IF(W7="","",IF(W7=Y7,Z7,""))</f>
        <v/>
      </c>
      <c r="AH7" s="968" t="str">
        <f t="shared" ref="AH7:AH34" si="10">IF(W7="","",IF(W7&lt;Y7,V7,IF(W7=Y7,"",Z7)))</f>
        <v>Thierry VIVRON (iss)</v>
      </c>
      <c r="AI7" s="968" t="str">
        <f t="shared" ref="AI7:AI34" si="11">CONCATENATE(AE7,AH7)</f>
        <v>Cédric PANDOLFI (sym)Thierry VIVRON (iss)</v>
      </c>
      <c r="AJ7" s="968"/>
      <c r="AK7" s="968">
        <f>IF(AK6="","",SMALL(C7:C14,1))</f>
        <v>1009</v>
      </c>
      <c r="AL7" s="270"/>
      <c r="AM7" s="270"/>
      <c r="AN7" s="543">
        <f>IF(AK6="","",INT(AK7/1000))</f>
        <v>1</v>
      </c>
      <c r="AO7" s="527" t="str">
        <f>IF(AK6="",IF(HidePlayerFormulas,"","("&amp;G7&amp;")"),VLOOKUP(AK7,C7:Q14,5,FALSE))</f>
        <v>Cédric PANDOLFI (sym)</v>
      </c>
      <c r="AP7" s="528">
        <f>VLOOKUP(AK7,C7:Q14,8,FALSE)</f>
        <v>6</v>
      </c>
      <c r="AQ7" s="528">
        <f>VLOOKUP(AK7,C7:Q14,9,FALSE)</f>
        <v>3</v>
      </c>
      <c r="AR7" s="528">
        <f>VLOOKUP(AK7,C7:Q14,10,FALSE)</f>
        <v>2</v>
      </c>
      <c r="AS7" s="528">
        <f>VLOOKUP(AK7,C7:Q14,11,FALSE)</f>
        <v>0</v>
      </c>
      <c r="AT7" s="528">
        <f>VLOOKUP(AK7,C7:Q14,12,FALSE)</f>
        <v>1</v>
      </c>
      <c r="AU7" s="528">
        <f>VLOOKUP(AK7,C7:Q14,13,FALSE)</f>
        <v>13</v>
      </c>
      <c r="AV7" s="528">
        <f>VLOOKUP(AK7,C7:Q14,14,FALSE)</f>
        <v>11</v>
      </c>
      <c r="AW7" s="529">
        <f>VLOOKUP(AK7,C7:Q14,15,FALSE)</f>
        <v>2</v>
      </c>
      <c r="AX7" s="544" t="str">
        <f>IF(W31="","",IF(AO7=V31,W31,IF(AO7=Z31,Y31,"")))</f>
        <v/>
      </c>
      <c r="AY7" s="518" t="str">
        <f>IF(W32="","",IF(AO7=V32,W32,IF(AO7=Z32,Y32,"")))</f>
        <v/>
      </c>
      <c r="AZ7" s="518" t="str">
        <f>IF(W33="","",IF(AO7=V33,W33,IF(AO7=Z33,Y33,"")))</f>
        <v/>
      </c>
      <c r="BA7" s="518" t="str">
        <f>IF(W34="","",IF(AO7=V34,W34,IF(AO7=Z34,Y34,"")))</f>
        <v/>
      </c>
      <c r="BB7" s="518" t="str">
        <f>IF(W27="","",IF(AO7=V27,W27,IF(AO7=Z27,Y27,"")))</f>
        <v/>
      </c>
      <c r="BC7" s="518" t="str">
        <f>IF(W28="","",IF(AO7=V28,W28,IF(AO7=Z28,Y28,"")))</f>
        <v/>
      </c>
      <c r="BD7" s="518" t="str">
        <f>IF(W29="","",IF(AO7=V29,W29,IF(AO7=Z29,Y29,"")))</f>
        <v/>
      </c>
      <c r="BE7" s="518" t="str">
        <f>IF(W30="","",IF(AO7=V30,W30,IF(AO7=Z30,Y30,"")))</f>
        <v/>
      </c>
      <c r="BF7" s="518" t="str">
        <f>IF(W23="","",IF(AO7=V23,W23,IF(AO7=Z23,Y23,"")))</f>
        <v/>
      </c>
      <c r="BG7" s="518" t="str">
        <f>IF(W24="","",IF(AO7=V24,W24,IF(AO7=Z24,Y24,"")))</f>
        <v/>
      </c>
      <c r="BH7" s="518" t="str">
        <f>IF(W25="","",IF(AO7=V25,W25,IF(AO7=Z25,Y25,"")))</f>
        <v/>
      </c>
      <c r="BI7" s="518" t="str">
        <f>IF(W26="","",IF(AO7=V26,W26,IF(AO7=Z26,Y26,"")))</f>
        <v/>
      </c>
      <c r="BJ7" s="518" t="str">
        <f>IF(W19="","",IF(AO7=V19,W19,IF(AO7=Z19,Y19,"")))</f>
        <v/>
      </c>
      <c r="BK7" s="518" t="str">
        <f>IF(W20="","",IF(AO7=V20,W20,IF(AO7=Z20,Y20,"")))</f>
        <v/>
      </c>
      <c r="BL7" s="518" t="str">
        <f>IF(W21="","",IF(AO7=V21,W21,IF(AO7=Z21,Y21,"")))</f>
        <v/>
      </c>
      <c r="BM7" s="518">
        <f>IF(W22="","",IF(AO7=V22,W22,IF(AO7=Z22,Y22,"")))</f>
        <v>5</v>
      </c>
      <c r="BN7" s="518">
        <f>IF(W15="","",IF(AO7=V15,W15,IF(AO7=Z15,Y15,"")))</f>
        <v>3</v>
      </c>
      <c r="BO7" s="518" t="str">
        <f>IF(W16="","",IF(AO7=V16,W16,IF(AO7=Z16,Y16,"")))</f>
        <v/>
      </c>
      <c r="BP7" s="518" t="str">
        <f>IF(W17="","",IF(AO7=V17,W17,IF(AO7=Z17,Y17,"")))</f>
        <v/>
      </c>
      <c r="BQ7" s="518" t="str">
        <f>IF(W18="","",IF(AO7=V18,W18,IF(AO7=Z18,Y18,"")))</f>
        <v/>
      </c>
      <c r="BR7" s="518" t="str">
        <f>IF(W11="","",IF(AO7=V11,W11,IF(AO7=Z11,Y11,"")))</f>
        <v/>
      </c>
      <c r="BS7" s="518" t="str">
        <f>IF(W12="","",IF(AO7=V12,W12,IF(AO7=Z12,Y12,"")))</f>
        <v/>
      </c>
      <c r="BT7" s="518" t="str">
        <f>IF(W13="","",IF(AO7=V13,W13,IF(AO7=Z13,Y13,"")))</f>
        <v/>
      </c>
      <c r="BU7" s="518" t="str">
        <f>IF(W14="","",IF(AO7=V14,W14,IF(AO7=Z14,Y14,"")))</f>
        <v/>
      </c>
      <c r="BV7" s="518">
        <f>IF(W7="","",IF(AO7=V7,W7,IF(AO7=Z7,Y7,"")))</f>
        <v>5</v>
      </c>
      <c r="BW7" s="518" t="str">
        <f>IF(W8="","",IF(AO7=V8,W8,IF(AO7=Z8,Y8,"")))</f>
        <v/>
      </c>
      <c r="BX7" s="518" t="str">
        <f>IF(W9="","",IF(AO7=V9,W9,IF(AO7=Z9,Y9,"")))</f>
        <v/>
      </c>
      <c r="BY7" s="519" t="str">
        <f>IF(W10="","",IF(AO7=V10,W10,IF(AO7=Z10,Y10,"")))</f>
        <v/>
      </c>
      <c r="BZ7" s="1395" t="b">
        <f t="shared" ref="BZ7:BZ14" si="12">IF(G7="[---WithDraw---]",FALSE,IF(COUNTIF(PlayerNamesWithinGroups,G7)&gt;1,TRUE,FALSE))</f>
        <v>0</v>
      </c>
      <c r="CA7" s="1450" t="b">
        <f t="shared" ref="CA7:CA14" si="13">AND(LEFT($AO7,1) = "(", RIGHT($AO7,1) =")")</f>
        <v>0</v>
      </c>
      <c r="CB7" s="1450" t="b">
        <f t="shared" ref="CB7:CB14" si="14">IF(OR($AN7=$AN6,$AN7=$AN8),TRUE,FALSE)</f>
        <v>0</v>
      </c>
      <c r="CC7" s="270"/>
      <c r="CD7" s="270"/>
      <c r="CE7"/>
    </row>
    <row r="8" spans="1:83" outlineLevel="1" x14ac:dyDescent="0.2">
      <c r="A8" s="270"/>
      <c r="B8" s="545">
        <v>2</v>
      </c>
      <c r="C8" s="560">
        <f>IF(AK6="","",RANK(F8,F7:F14)*1000+ROW())</f>
        <v>3008</v>
      </c>
      <c r="D8" s="561">
        <f t="shared" si="0"/>
        <v>50000000000</v>
      </c>
      <c r="E8" s="561">
        <f>IF(L8="","",Nb_Diff_Part(D8,D7:D14,G8,G7:G14,AI7:AI34)*CritClassInd_DiffPart+Nb_Goal_Part(D8,D7:D14,G8,G7:G14,V7:Z34)*CritClassInd_GoalPart+Nb_Score_Part(D8,D7:D14,G8,G7:G14,V7:Z34)*CritClassInd_ScorePart)</f>
        <v>0</v>
      </c>
      <c r="F8" s="562">
        <f t="shared" si="1"/>
        <v>50000000209</v>
      </c>
      <c r="G8" s="477" t="str">
        <f>D1_Tr1!P_2E</f>
        <v>Audrey HERBAUT (chp)</v>
      </c>
      <c r="H8" s="501">
        <f t="shared" si="2"/>
        <v>0</v>
      </c>
      <c r="I8" s="502"/>
      <c r="J8" s="560">
        <f>IF(AK6="","",(L8*Points_Victoire)+M8*Points_Null)</f>
        <v>5</v>
      </c>
      <c r="K8" s="556">
        <f t="shared" si="3"/>
        <v>3</v>
      </c>
      <c r="L8" s="563">
        <f>IF(AK6="","",COUNTIF(AE7:AE34,G8))</f>
        <v>1</v>
      </c>
      <c r="M8" s="563">
        <f>IF(AK6="","",COUNTIF(AF7:AG34,G8))</f>
        <v>2</v>
      </c>
      <c r="N8" s="563">
        <f>IF(AK6="","",COUNTIF(AH7:AH34,G8))</f>
        <v>0</v>
      </c>
      <c r="O8" s="563">
        <f>IF(AK6="","",SUMIF(V7:V34,G8,AB7:AB34)+SUMIF(Z7:Z34,G8,AD7:AD34))</f>
        <v>9</v>
      </c>
      <c r="P8" s="563">
        <f>IF(AK6="","",SUMIF(V7:V34,G8,AD7:AD34)+SUMIF(Z7:Z34,G8,AB7:AB34))</f>
        <v>7</v>
      </c>
      <c r="Q8" s="557">
        <f>IF(AK6="","",O8-P8)</f>
        <v>2</v>
      </c>
      <c r="R8" s="558" t="s">
        <v>1726</v>
      </c>
      <c r="S8" s="613">
        <v>0.58680555555555558</v>
      </c>
      <c r="T8" s="618"/>
      <c r="U8" s="1504"/>
      <c r="V8" s="483" t="str">
        <f>IF(G8="","",G8)</f>
        <v>Audrey HERBAUT (chp)</v>
      </c>
      <c r="W8" s="484">
        <v>3</v>
      </c>
      <c r="X8" s="485" t="s">
        <v>769</v>
      </c>
      <c r="Y8" s="484">
        <v>1</v>
      </c>
      <c r="Z8" s="486" t="str">
        <f>IF(G14="","",G14)</f>
        <v>Jean-François BALARD (puy)</v>
      </c>
      <c r="AA8" s="839"/>
      <c r="AB8" s="1459">
        <f t="shared" si="4"/>
        <v>3</v>
      </c>
      <c r="AC8" s="1460" t="str">
        <f t="shared" si="5"/>
        <v>-</v>
      </c>
      <c r="AD8" s="1459">
        <f t="shared" si="6"/>
        <v>1</v>
      </c>
      <c r="AE8" s="968" t="str">
        <f t="shared" si="7"/>
        <v>Audrey HERBAUT (chp)</v>
      </c>
      <c r="AF8" s="968" t="str">
        <f t="shared" si="8"/>
        <v/>
      </c>
      <c r="AG8" s="968" t="str">
        <f t="shared" si="9"/>
        <v/>
      </c>
      <c r="AH8" s="968" t="str">
        <f t="shared" si="10"/>
        <v>Jean-François BALARD (puy)</v>
      </c>
      <c r="AI8" s="968" t="str">
        <f t="shared" si="11"/>
        <v>Audrey HERBAUT (chp)Jean-François BALARD (puy)</v>
      </c>
      <c r="AJ8" s="968"/>
      <c r="AK8" s="968">
        <f>IF(AK6="","",SMALL(C7:C14,2))</f>
        <v>2007</v>
      </c>
      <c r="AL8" s="270"/>
      <c r="AM8" s="270"/>
      <c r="AN8" s="545">
        <f>IF(AK6="","",INT(AK8/1000))</f>
        <v>2</v>
      </c>
      <c r="AO8" s="510" t="str">
        <f>IF(AK6="",IF(HidePlayerFormulas,"","("&amp;G8&amp;")"),VLOOKUP(AK8,C7:Q14,5,FALSE))</f>
        <v>Thierry VIVRON (iss)</v>
      </c>
      <c r="AP8" s="511">
        <f>VLOOKUP(AK8,C7:Q14,8,FALSE)</f>
        <v>6</v>
      </c>
      <c r="AQ8" s="511">
        <f>VLOOKUP(AK8,C7:Q14,9,FALSE)</f>
        <v>3</v>
      </c>
      <c r="AR8" s="511">
        <f>VLOOKUP(AK8,C7:Q14,10,FALSE)</f>
        <v>2</v>
      </c>
      <c r="AS8" s="511">
        <f>VLOOKUP(AK8,C7:Q14,11,FALSE)</f>
        <v>0</v>
      </c>
      <c r="AT8" s="511">
        <f>VLOOKUP(AK8,C7:Q14,12,FALSE)</f>
        <v>1</v>
      </c>
      <c r="AU8" s="511">
        <f>VLOOKUP(AK8,C7:Q14,13,FALSE)</f>
        <v>16</v>
      </c>
      <c r="AV8" s="511">
        <f>VLOOKUP(AK8,C7:Q14,14,FALSE)</f>
        <v>11</v>
      </c>
      <c r="AW8" s="512">
        <f>VLOOKUP(AK8,C7:Q14,15,FALSE)</f>
        <v>5</v>
      </c>
      <c r="AX8" s="546" t="str">
        <f>IF(W31="","",IF(AO8=V31,W31,IF(AO8=Z31,Y31,"")))</f>
        <v/>
      </c>
      <c r="AY8" s="521" t="str">
        <f>IF(W32="","",IF(AO8=V32,W32,IF(AO8=Z32,Y32,"")))</f>
        <v/>
      </c>
      <c r="AZ8" s="521" t="str">
        <f>IF(W33="","",IF(AO8=V33,W33,IF(AO8=Z33,Y33,"")))</f>
        <v/>
      </c>
      <c r="BA8" s="521" t="str">
        <f>IF(W34="","",IF(AO8=V34,W34,IF(AO8=Z34,Y34,"")))</f>
        <v/>
      </c>
      <c r="BB8" s="521" t="str">
        <f>IF(W27="","",IF(AO8=V27,W27,IF(AO8=Z27,Y27,"")))</f>
        <v/>
      </c>
      <c r="BC8" s="521" t="str">
        <f>IF(W28="","",IF(AO8=V28,W28,IF(AO8=Z28,Y28,"")))</f>
        <v/>
      </c>
      <c r="BD8" s="521" t="str">
        <f>IF(W29="","",IF(AO8=V29,W29,IF(AO8=Z29,Y29,"")))</f>
        <v/>
      </c>
      <c r="BE8" s="521" t="str">
        <f>IF(W30="","",IF(AO8=V30,W30,IF(AO8=Z30,Y30,"")))</f>
        <v/>
      </c>
      <c r="BF8" s="521" t="str">
        <f>IF(W23="","",IF(AO8=V23,W23,IF(AO8=Z23,Y23,"")))</f>
        <v/>
      </c>
      <c r="BG8" s="521" t="str">
        <f>IF(W24="","",IF(AO8=V24,W24,IF(AO8=Z24,Y24,"")))</f>
        <v/>
      </c>
      <c r="BH8" s="521" t="str">
        <f>IF(W25="","",IF(AO8=V25,W25,IF(AO8=Z25,Y25,"")))</f>
        <v/>
      </c>
      <c r="BI8" s="521" t="str">
        <f>IF(W26="","",IF(AO8=V26,W26,IF(AO8=Z26,Y26,"")))</f>
        <v/>
      </c>
      <c r="BJ8" s="521" t="str">
        <f>IF(W19="","",IF(AO8=V19,W19,IF(AO8=Z19,Y19,"")))</f>
        <v/>
      </c>
      <c r="BK8" s="521" t="str">
        <f>IF(W20="","",IF(AO8=V20,W20,IF(AO8=Z20,Y20,"")))</f>
        <v/>
      </c>
      <c r="BL8" s="521" t="str">
        <f>IF(W21="","",IF(AO8=V21,W21,IF(AO8=Z21,Y21,"")))</f>
        <v/>
      </c>
      <c r="BM8" s="521" t="str">
        <f>IF(W22="","",IF(AO8=V22,W22,IF(AO8=Z22,Y22,"")))</f>
        <v/>
      </c>
      <c r="BN8" s="521" t="str">
        <f>IF(W15="","",IF(AO8=V15,W15,IF(AO8=Z15,Y15,"")))</f>
        <v/>
      </c>
      <c r="BO8" s="521" t="str">
        <f>IF(W16="","",IF(AO8=V16,W16,IF(AO8=Z16,Y16,"")))</f>
        <v/>
      </c>
      <c r="BP8" s="521">
        <f>IF(W17="","",IF(AO8=V17,W17,IF(AO8=Z17,Y17,"")))</f>
        <v>7</v>
      </c>
      <c r="BQ8" s="521" t="str">
        <f>IF(W18="","",IF(AO8=V18,W18,IF(AO8=Z18,Y18,"")))</f>
        <v/>
      </c>
      <c r="BR8" s="521">
        <f>IF(W11="","",IF(AO8=V11,W11,IF(AO8=Z11,Y11,"")))</f>
        <v>6</v>
      </c>
      <c r="BS8" s="521" t="str">
        <f>IF(W12="","",IF(AO8=V12,W12,IF(AO8=Z12,Y12,"")))</f>
        <v/>
      </c>
      <c r="BT8" s="521" t="str">
        <f>IF(W13="","",IF(AO8=V13,W13,IF(AO8=Z13,Y13,"")))</f>
        <v/>
      </c>
      <c r="BU8" s="521" t="str">
        <f>IF(W14="","",IF(AO8=V14,W14,IF(AO8=Z14,Y14,"")))</f>
        <v/>
      </c>
      <c r="BV8" s="521">
        <f>IF(W7="","",IF(AO8=V7,W7,IF(AO8=Z7,Y7,"")))</f>
        <v>3</v>
      </c>
      <c r="BW8" s="521" t="str">
        <f>IF(W8="","",IF(AO8=V8,W8,IF(AO8=Z8,Y8,"")))</f>
        <v/>
      </c>
      <c r="BX8" s="521" t="str">
        <f>IF(W9="","",IF(AO8=V9,W9,IF(AO8=Z9,Y9,"")))</f>
        <v/>
      </c>
      <c r="BY8" s="522" t="str">
        <f>IF(W10="","",IF(AO8=V10,W10,IF(AO8=Z10,Y10,"")))</f>
        <v/>
      </c>
      <c r="BZ8" s="1395" t="b">
        <f t="shared" si="12"/>
        <v>0</v>
      </c>
      <c r="CA8" s="1450" t="b">
        <f t="shared" si="13"/>
        <v>0</v>
      </c>
      <c r="CB8" s="1450" t="b">
        <f t="shared" si="14"/>
        <v>0</v>
      </c>
      <c r="CC8" s="270"/>
      <c r="CD8" s="270"/>
      <c r="CE8"/>
    </row>
    <row r="9" spans="1:83" outlineLevel="1" x14ac:dyDescent="0.2">
      <c r="A9" s="270"/>
      <c r="B9" s="545">
        <v>3</v>
      </c>
      <c r="C9" s="560">
        <f>IF(AK6="","",RANK(F9,F7:F14)*1000+ROW())</f>
        <v>1009</v>
      </c>
      <c r="D9" s="561">
        <f t="shared" si="0"/>
        <v>60000000000</v>
      </c>
      <c r="E9" s="561">
        <f>IF(L9="","",Nb_Diff_Part(D9,D7:D14,G9,G7:G14,AI7:AI34)*CritClassInd_DiffPart+Nb_Goal_Part(D9,D7:D14,G9,G7:G14,V7:Z34)*CritClassInd_GoalPart+Nb_Score_Part(D9,D7:D14,G9,G7:G14,V7:Z34)*CritClassInd_ScorePart)</f>
        <v>102050000</v>
      </c>
      <c r="F9" s="562">
        <f t="shared" si="1"/>
        <v>60102050213</v>
      </c>
      <c r="G9" s="477" t="str">
        <f>D1_Tr1!P_1F</f>
        <v>Cédric PANDOLFI (sym)</v>
      </c>
      <c r="H9" s="501">
        <f t="shared" si="2"/>
        <v>0</v>
      </c>
      <c r="I9" s="502"/>
      <c r="J9" s="560">
        <f>IF(AK6="","",(L9*Points_Victoire)+M9*Points_Null)</f>
        <v>6</v>
      </c>
      <c r="K9" s="563">
        <f t="shared" si="3"/>
        <v>3</v>
      </c>
      <c r="L9" s="563">
        <f>IF(AK6="","",COUNTIF(AE7:AE34,G9))</f>
        <v>2</v>
      </c>
      <c r="M9" s="563">
        <f>IF(AK6="","",COUNTIF(AF7:AG34,G9))</f>
        <v>0</v>
      </c>
      <c r="N9" s="563">
        <f>IF(AK6="","",COUNTIF(AH7:AH34,G9))</f>
        <v>1</v>
      </c>
      <c r="O9" s="563">
        <f>IF(AK6="","",SUMIF(V7:V34,G9,AB7:AB34)+SUMIF(Z7:Z34,G9,AD7:AD34))</f>
        <v>13</v>
      </c>
      <c r="P9" s="563">
        <f>IF(AK6="","",SUMIF(V7:V34,G9,AD7:AD34)+SUMIF(Z7:Z34,G9,AB7:AB34))</f>
        <v>11</v>
      </c>
      <c r="Q9" s="564">
        <f>IF(AK6="","",O9-P9)</f>
        <v>2</v>
      </c>
      <c r="R9" s="558" t="s">
        <v>1726</v>
      </c>
      <c r="S9" s="613"/>
      <c r="T9" s="618"/>
      <c r="U9" s="1504"/>
      <c r="V9" s="483" t="str">
        <f>IF(G10="","",G10)</f>
        <v>Jean-Marie AMBERNY (iss)</v>
      </c>
      <c r="W9" s="484" t="s">
        <v>898</v>
      </c>
      <c r="X9" s="485" t="s">
        <v>769</v>
      </c>
      <c r="Y9" s="484" t="s">
        <v>898</v>
      </c>
      <c r="Z9" s="486" t="str">
        <f>IF(G13="","",G13)</f>
        <v>Françoise GUYOT (chp)</v>
      </c>
      <c r="AA9" s="839"/>
      <c r="AB9" s="1459" t="str">
        <f t="shared" si="4"/>
        <v/>
      </c>
      <c r="AC9" s="1460" t="str">
        <f t="shared" si="5"/>
        <v/>
      </c>
      <c r="AD9" s="1459" t="str">
        <f t="shared" si="6"/>
        <v/>
      </c>
      <c r="AE9" s="968" t="str">
        <f t="shared" si="7"/>
        <v/>
      </c>
      <c r="AF9" s="968" t="str">
        <f t="shared" si="8"/>
        <v/>
      </c>
      <c r="AG9" s="968" t="str">
        <f t="shared" si="9"/>
        <v/>
      </c>
      <c r="AH9" s="968" t="str">
        <f t="shared" si="10"/>
        <v/>
      </c>
      <c r="AI9" s="968" t="str">
        <f t="shared" si="11"/>
        <v/>
      </c>
      <c r="AJ9" s="968"/>
      <c r="AK9" s="968">
        <f>IF(AK6="","",SMALL(C7:C14,3))</f>
        <v>3008</v>
      </c>
      <c r="AL9" s="270"/>
      <c r="AM9" s="270"/>
      <c r="AN9" s="545">
        <f>IF(AK6="","",INT(AK9/1000))</f>
        <v>3</v>
      </c>
      <c r="AO9" s="510" t="str">
        <f>IF(AK6="",IF(HidePlayerFormulas,"","("&amp;G9&amp;")"),VLOOKUP(AK9,C7:Q14,5,FALSE))</f>
        <v>Audrey HERBAUT (chp)</v>
      </c>
      <c r="AP9" s="511">
        <f>VLOOKUP(AK9,C7:Q14,8,FALSE)</f>
        <v>5</v>
      </c>
      <c r="AQ9" s="511">
        <f>VLOOKUP(AK9,C7:Q14,9,FALSE)</f>
        <v>3</v>
      </c>
      <c r="AR9" s="511">
        <f>VLOOKUP(AK9,C7:Q14,10,FALSE)</f>
        <v>1</v>
      </c>
      <c r="AS9" s="511">
        <f>VLOOKUP(AK9,C7:Q14,11,FALSE)</f>
        <v>2</v>
      </c>
      <c r="AT9" s="511">
        <f>VLOOKUP(AK9,C7:Q14,12,FALSE)</f>
        <v>0</v>
      </c>
      <c r="AU9" s="511">
        <f>VLOOKUP(AK9,C7:Q14,13,FALSE)</f>
        <v>9</v>
      </c>
      <c r="AV9" s="511">
        <f>VLOOKUP(AK9,C7:Q14,14,FALSE)</f>
        <v>7</v>
      </c>
      <c r="AW9" s="512">
        <f>VLOOKUP(AK9,C7:Q14,15,FALSE)</f>
        <v>2</v>
      </c>
      <c r="AX9" s="546" t="str">
        <f>IF(W31="","",IF(AO9=V31,W31,IF(AO9=Z31,Y31,"")))</f>
        <v/>
      </c>
      <c r="AY9" s="521" t="str">
        <f>IF(W32="","",IF(AO9=V32,W32,IF(AO9=Z32,Y32,"")))</f>
        <v/>
      </c>
      <c r="AZ9" s="521" t="str">
        <f>IF(W33="","",IF(AO9=V33,W33,IF(AO9=Z33,Y33,"")))</f>
        <v/>
      </c>
      <c r="BA9" s="521" t="str">
        <f>IF(W34="","",IF(AO9=V34,W34,IF(AO9=Z34,Y34,"")))</f>
        <v/>
      </c>
      <c r="BB9" s="521" t="str">
        <f>IF(W27="","",IF(AO9=V27,W27,IF(AO9=Z27,Y27,"")))</f>
        <v/>
      </c>
      <c r="BC9" s="521" t="str">
        <f>IF(W28="","",IF(AO9=V28,W28,IF(AO9=Z28,Y28,"")))</f>
        <v/>
      </c>
      <c r="BD9" s="521" t="str">
        <f>IF(W29="","",IF(AO9=V29,W29,IF(AO9=Z29,Y29,"")))</f>
        <v/>
      </c>
      <c r="BE9" s="521" t="str">
        <f>IF(W30="","",IF(AO9=V30,W30,IF(AO9=Z30,Y30,"")))</f>
        <v/>
      </c>
      <c r="BF9" s="521" t="str">
        <f>IF(W23="","",IF(AO9=V23,W23,IF(AO9=Z23,Y23,"")))</f>
        <v/>
      </c>
      <c r="BG9" s="521" t="str">
        <f>IF(W24="","",IF(AO9=V24,W24,IF(AO9=Z24,Y24,"")))</f>
        <v/>
      </c>
      <c r="BH9" s="521" t="str">
        <f>IF(W25="","",IF(AO9=V25,W25,IF(AO9=Z25,Y25,"")))</f>
        <v/>
      </c>
      <c r="BI9" s="521" t="str">
        <f>IF(W26="","",IF(AO9=V26,W26,IF(AO9=Z26,Y26,"")))</f>
        <v/>
      </c>
      <c r="BJ9" s="521" t="str">
        <f>IF(W19="","",IF(AO9=V19,W19,IF(AO9=Z19,Y19,"")))</f>
        <v/>
      </c>
      <c r="BK9" s="521" t="str">
        <f>IF(W20="","",IF(AO9=V20,W20,IF(AO9=Z20,Y20,"")))</f>
        <v/>
      </c>
      <c r="BL9" s="521" t="str">
        <f>IF(W21="","",IF(AO9=V21,W21,IF(AO9=Z21,Y21,"")))</f>
        <v/>
      </c>
      <c r="BM9" s="521" t="str">
        <f>IF(W22="","",IF(AO9=V22,W22,IF(AO9=Z22,Y22,"")))</f>
        <v/>
      </c>
      <c r="BN9" s="521" t="str">
        <f>IF(W15="","",IF(AO9=V15,W15,IF(AO9=Z15,Y15,"")))</f>
        <v/>
      </c>
      <c r="BO9" s="521">
        <f>IF(W16="","",IF(AO9=V16,W16,IF(AO9=Z16,Y16,"")))</f>
        <v>3</v>
      </c>
      <c r="BP9" s="521" t="str">
        <f>IF(W17="","",IF(AO9=V17,W17,IF(AO9=Z17,Y17,"")))</f>
        <v/>
      </c>
      <c r="BQ9" s="521" t="str">
        <f>IF(W18="","",IF(AO9=V18,W18,IF(AO9=Z18,Y18,"")))</f>
        <v/>
      </c>
      <c r="BR9" s="521" t="str">
        <f>IF(W11="","",IF(AO9=V11,W11,IF(AO9=Z11,Y11,"")))</f>
        <v/>
      </c>
      <c r="BS9" s="521">
        <f>IF(W12="","",IF(AO9=V12,W12,IF(AO9=Z12,Y12,"")))</f>
        <v>3</v>
      </c>
      <c r="BT9" s="521" t="str">
        <f>IF(W13="","",IF(AO9=V13,W13,IF(AO9=Z13,Y13,"")))</f>
        <v/>
      </c>
      <c r="BU9" s="521" t="str">
        <f>IF(W14="","",IF(AO9=V14,W14,IF(AO9=Z14,Y14,"")))</f>
        <v/>
      </c>
      <c r="BV9" s="521" t="str">
        <f>IF(W7="","",IF(AO9=V7,W7,IF(AO9=Z7,Y7,"")))</f>
        <v/>
      </c>
      <c r="BW9" s="521">
        <f>IF(W8="","",IF(AO9=V8,W8,IF(AO9=Z8,Y8,"")))</f>
        <v>3</v>
      </c>
      <c r="BX9" s="521" t="str">
        <f>IF(W9="","",IF(AO9=V9,W9,IF(AO9=Z9,Y9,"")))</f>
        <v/>
      </c>
      <c r="BY9" s="522" t="str">
        <f>IF(W10="","",IF(AO9=V10,W10,IF(AO9=Z10,Y10,"")))</f>
        <v/>
      </c>
      <c r="BZ9" s="1395" t="b">
        <f t="shared" si="12"/>
        <v>0</v>
      </c>
      <c r="CA9" s="1450" t="b">
        <f t="shared" si="13"/>
        <v>0</v>
      </c>
      <c r="CB9" s="1450" t="b">
        <f t="shared" si="14"/>
        <v>0</v>
      </c>
      <c r="CC9" s="270"/>
      <c r="CD9" s="270"/>
      <c r="CE9"/>
    </row>
    <row r="10" spans="1:83" ht="13.5" outlineLevel="1" thickBot="1" x14ac:dyDescent="0.25">
      <c r="A10" s="270"/>
      <c r="B10" s="545">
        <v>4</v>
      </c>
      <c r="C10" s="560">
        <f>IF(AK6="","",RANK(F10,F7:F14)*1000+ROW())</f>
        <v>6010</v>
      </c>
      <c r="D10" s="561">
        <f t="shared" si="0"/>
        <v>30000000000</v>
      </c>
      <c r="E10" s="561">
        <f>IF(L10="","",Nb_Diff_Part(D10,D7:D14,G10,G7:G14,AI7:AI34)*CritClassInd_DiffPart+Nb_Goal_Part(D10,D7:D14,G10,G7:G14,V7:Z34)*CritClassInd_GoalPart+Nb_Score_Part(D10,D7:D14,G10,G7:G14,V7:Z34)*CritClassInd_ScorePart)</f>
        <v>0</v>
      </c>
      <c r="F10" s="562">
        <f t="shared" si="1"/>
        <v>30000000009</v>
      </c>
      <c r="G10" s="477" t="str">
        <f>D1_Tr1!P_2F</f>
        <v>Jean-Marie AMBERNY (iss)</v>
      </c>
      <c r="H10" s="501">
        <f t="shared" si="2"/>
        <v>0</v>
      </c>
      <c r="I10" s="502"/>
      <c r="J10" s="560">
        <f>IF(AK6="","",(L10*Points_Victoire)+M10*Points_Null)</f>
        <v>3</v>
      </c>
      <c r="K10" s="563">
        <f t="shared" si="3"/>
        <v>3</v>
      </c>
      <c r="L10" s="563">
        <f>IF(AK6="","",COUNTIF(AE7:AE34,G10))</f>
        <v>0</v>
      </c>
      <c r="M10" s="563">
        <f>IF(AK6="","",COUNTIF(AF7:AG34,G10))</f>
        <v>3</v>
      </c>
      <c r="N10" s="563">
        <f>IF(AK6="","",COUNTIF(AH7:AH34,G10))</f>
        <v>0</v>
      </c>
      <c r="O10" s="563">
        <f>IF(AK6="","",SUMIF(V7:V34,G10,AB7:AB34)+SUMIF(Z7:Z34,G10,AD7:AD34))</f>
        <v>9</v>
      </c>
      <c r="P10" s="563">
        <f>IF(AK6="","",SUMIF(V7:V34,G10,AD7:AD34)+SUMIF(Z7:Z34,G10,AB7:AB34))</f>
        <v>9</v>
      </c>
      <c r="Q10" s="564">
        <f>IF(AK6="","",O10-P10)</f>
        <v>0</v>
      </c>
      <c r="R10" s="558" t="s">
        <v>1726</v>
      </c>
      <c r="S10" s="615"/>
      <c r="T10" s="619"/>
      <c r="U10" s="1503"/>
      <c r="V10" s="487" t="str">
        <f>IF(G11="","",G11)</f>
        <v>Cyprien BONNET (sym)</v>
      </c>
      <c r="W10" s="488" t="s">
        <v>898</v>
      </c>
      <c r="X10" s="489" t="s">
        <v>769</v>
      </c>
      <c r="Y10" s="488" t="s">
        <v>898</v>
      </c>
      <c r="Z10" s="490" t="str">
        <f>IF(G12="","",G12)</f>
        <v>Axel DONVAL (iss)</v>
      </c>
      <c r="AA10" s="839"/>
      <c r="AB10" s="1459" t="str">
        <f t="shared" si="4"/>
        <v/>
      </c>
      <c r="AC10" s="1460" t="str">
        <f t="shared" si="5"/>
        <v/>
      </c>
      <c r="AD10" s="1459" t="str">
        <f t="shared" si="6"/>
        <v/>
      </c>
      <c r="AE10" s="968" t="str">
        <f t="shared" si="7"/>
        <v/>
      </c>
      <c r="AF10" s="968" t="str">
        <f t="shared" si="8"/>
        <v/>
      </c>
      <c r="AG10" s="968" t="str">
        <f t="shared" si="9"/>
        <v/>
      </c>
      <c r="AH10" s="968" t="str">
        <f t="shared" si="10"/>
        <v/>
      </c>
      <c r="AI10" s="968" t="str">
        <f t="shared" si="11"/>
        <v/>
      </c>
      <c r="AJ10" s="968"/>
      <c r="AK10" s="968">
        <f>IF(AK6="","",SMALL(C7:C14,4))</f>
        <v>4014</v>
      </c>
      <c r="AL10" s="270"/>
      <c r="AM10" s="270"/>
      <c r="AN10" s="545">
        <f>IF(AK6="","",INT(AK10/1000))</f>
        <v>4</v>
      </c>
      <c r="AO10" s="510" t="str">
        <f>IF(AK6="",IF(HidePlayerFormulas,"","("&amp;G10&amp;")"),VLOOKUP(AK10,C7:Q14,5,FALSE))</f>
        <v>Jean-François BALARD (puy)</v>
      </c>
      <c r="AP10" s="511">
        <f>VLOOKUP(AK10,C7:Q14,8,FALSE)</f>
        <v>4</v>
      </c>
      <c r="AQ10" s="511">
        <f>VLOOKUP(AK10,C7:Q14,9,FALSE)</f>
        <v>3</v>
      </c>
      <c r="AR10" s="511">
        <f>VLOOKUP(AK10,C7:Q14,10,FALSE)</f>
        <v>1</v>
      </c>
      <c r="AS10" s="511">
        <f>VLOOKUP(AK10,C7:Q14,11,FALSE)</f>
        <v>1</v>
      </c>
      <c r="AT10" s="511">
        <f>VLOOKUP(AK10,C7:Q14,12,FALSE)</f>
        <v>1</v>
      </c>
      <c r="AU10" s="511">
        <f>VLOOKUP(AK10,C7:Q14,13,FALSE)</f>
        <v>7</v>
      </c>
      <c r="AV10" s="511">
        <f>VLOOKUP(AK10,C7:Q14,14,FALSE)</f>
        <v>8</v>
      </c>
      <c r="AW10" s="512">
        <f>VLOOKUP(AK10,C7:Q14,15,FALSE)</f>
        <v>-1</v>
      </c>
      <c r="AX10" s="546" t="str">
        <f>IF(W31="","",IF(AO10=V31,W31,IF(AO10=Z31,Y31,"")))</f>
        <v/>
      </c>
      <c r="AY10" s="521" t="str">
        <f>IF(W32="","",IF(AO10=V32,W32,IF(AO10=Z32,Y32,"")))</f>
        <v/>
      </c>
      <c r="AZ10" s="521" t="str">
        <f>IF(W33="","",IF(AO10=V33,W33,IF(AO10=Z33,Y33,"")))</f>
        <v/>
      </c>
      <c r="BA10" s="521" t="str">
        <f>IF(W34="","",IF(AO10=V34,W34,IF(AO10=Z34,Y34,"")))</f>
        <v/>
      </c>
      <c r="BB10" s="521" t="str">
        <f>IF(W27="","",IF(AO10=V27,W27,IF(AO10=Z27,Y27,"")))</f>
        <v/>
      </c>
      <c r="BC10" s="521" t="str">
        <f>IF(W28="","",IF(AO10=V28,W28,IF(AO10=Z28,Y28,"")))</f>
        <v/>
      </c>
      <c r="BD10" s="521" t="str">
        <f>IF(W29="","",IF(AO10=V29,W29,IF(AO10=Z29,Y29,"")))</f>
        <v/>
      </c>
      <c r="BE10" s="521" t="str">
        <f>IF(W30="","",IF(AO10=V30,W30,IF(AO10=Z30,Y30,"")))</f>
        <v/>
      </c>
      <c r="BF10" s="521" t="str">
        <f>IF(W23="","",IF(AO10=V23,W23,IF(AO10=Z23,Y23,"")))</f>
        <v/>
      </c>
      <c r="BG10" s="521" t="str">
        <f>IF(W24="","",IF(AO10=V24,W24,IF(AO10=Z24,Y24,"")))</f>
        <v/>
      </c>
      <c r="BH10" s="521" t="str">
        <f>IF(W25="","",IF(AO10=V25,W25,IF(AO10=Z25,Y25,"")))</f>
        <v/>
      </c>
      <c r="BI10" s="521">
        <f>IF(W26="","",IF(AO10=V26,W26,IF(AO10=Z26,Y26,"")))</f>
        <v>3</v>
      </c>
      <c r="BJ10" s="521" t="str">
        <f>IF(W19="","",IF(AO10=V19,W19,IF(AO10=Z19,Y19,"")))</f>
        <v/>
      </c>
      <c r="BK10" s="521" t="str">
        <f>IF(W20="","",IF(AO10=V20,W20,IF(AO10=Z20,Y20,"")))</f>
        <v/>
      </c>
      <c r="BL10" s="521" t="str">
        <f>IF(W21="","",IF(AO10=V21,W21,IF(AO10=Z21,Y21,"")))</f>
        <v/>
      </c>
      <c r="BM10" s="521" t="str">
        <f>IF(W22="","",IF(AO10=V22,W22,IF(AO10=Z22,Y22,"")))</f>
        <v/>
      </c>
      <c r="BN10" s="521" t="str">
        <f>IF(W15="","",IF(AO10=V15,W15,IF(AO10=Z15,Y15,"")))</f>
        <v/>
      </c>
      <c r="BO10" s="521" t="str">
        <f>IF(W16="","",IF(AO10=V16,W16,IF(AO10=Z16,Y16,"")))</f>
        <v/>
      </c>
      <c r="BP10" s="521" t="str">
        <f>IF(W17="","",IF(AO10=V17,W17,IF(AO10=Z17,Y17,"")))</f>
        <v/>
      </c>
      <c r="BQ10" s="521">
        <f>IF(W18="","",IF(AO10=V18,W18,IF(AO10=Z18,Y18,"")))</f>
        <v>3</v>
      </c>
      <c r="BR10" s="521" t="str">
        <f>IF(W11="","",IF(AO10=V11,W11,IF(AO10=Z11,Y11,"")))</f>
        <v/>
      </c>
      <c r="BS10" s="521" t="str">
        <f>IF(W12="","",IF(AO10=V12,W12,IF(AO10=Z12,Y12,"")))</f>
        <v/>
      </c>
      <c r="BT10" s="521" t="str">
        <f>IF(W13="","",IF(AO10=V13,W13,IF(AO10=Z13,Y13,"")))</f>
        <v/>
      </c>
      <c r="BU10" s="521" t="str">
        <f>IF(W14="","",IF(AO10=V14,W14,IF(AO10=Z14,Y14,"")))</f>
        <v/>
      </c>
      <c r="BV10" s="521" t="str">
        <f>IF(W7="","",IF(AO10=V7,W7,IF(AO10=Z7,Y7,"")))</f>
        <v/>
      </c>
      <c r="BW10" s="521">
        <f>IF(W8="","",IF(AO10=V8,W8,IF(AO10=Z8,Y8,"")))</f>
        <v>1</v>
      </c>
      <c r="BX10" s="521" t="str">
        <f>IF(W9="","",IF(AO10=V9,W9,IF(AO10=Z9,Y9,"")))</f>
        <v/>
      </c>
      <c r="BY10" s="522" t="str">
        <f>IF(W10="","",IF(AO10=V10,W10,IF(AO10=Z10,Y10,"")))</f>
        <v/>
      </c>
      <c r="BZ10" s="1395" t="b">
        <f t="shared" si="12"/>
        <v>0</v>
      </c>
      <c r="CA10" s="1450" t="b">
        <f t="shared" si="13"/>
        <v>0</v>
      </c>
      <c r="CB10" s="1450" t="b">
        <f t="shared" si="14"/>
        <v>0</v>
      </c>
      <c r="CC10" s="270"/>
      <c r="CD10" s="270"/>
      <c r="CE10"/>
    </row>
    <row r="11" spans="1:83" outlineLevel="1" x14ac:dyDescent="0.2">
      <c r="A11" s="270"/>
      <c r="B11" s="545">
        <v>5</v>
      </c>
      <c r="C11" s="560">
        <f>IF(AK6="","",RANK(F11,F7:F14)*1000+ROW())</f>
        <v>7011</v>
      </c>
      <c r="D11" s="561">
        <f t="shared" si="0"/>
        <v>30000000000</v>
      </c>
      <c r="E11" s="561">
        <f>IF(L11="","",Nb_Diff_Part(D11,D7:D14,G11,G7:G14,AI7:AI34)*CritClassInd_DiffPart+Nb_Goal_Part(D11,D7:D14,G11,G7:G14,V7:Z34)*CritClassInd_GoalPart+Nb_Score_Part(D11,D7:D14,G11,G7:G14,V7:Z34)*CritClassInd_ScorePart)</f>
        <v>-101970000</v>
      </c>
      <c r="F11" s="562">
        <f t="shared" si="1"/>
        <v>29898029711</v>
      </c>
      <c r="G11" s="477" t="str">
        <f>D1_Tr1!P_1G</f>
        <v>Cyprien BONNET (sym)</v>
      </c>
      <c r="H11" s="501">
        <f t="shared" si="2"/>
        <v>0</v>
      </c>
      <c r="I11" s="502"/>
      <c r="J11" s="560">
        <f>IF(AK6="","",(L11*Points_Victoire)+M11*Points_Null)</f>
        <v>3</v>
      </c>
      <c r="K11" s="563">
        <f t="shared" si="3"/>
        <v>3</v>
      </c>
      <c r="L11" s="563">
        <f>IF(AK6="","",COUNTIF(AE7:AE34,G11))</f>
        <v>1</v>
      </c>
      <c r="M11" s="563">
        <f>IF(AK6="","",COUNTIF(AF7:AG34,G11))</f>
        <v>0</v>
      </c>
      <c r="N11" s="563">
        <f>IF(AK6="","",COUNTIF(AH7:AH34,G11))</f>
        <v>2</v>
      </c>
      <c r="O11" s="563">
        <f>IF(AK6="","",SUMIF(V7:V34,G11,AB7:AB34)+SUMIF(Z7:Z34,G11,AD7:AD34))</f>
        <v>11</v>
      </c>
      <c r="P11" s="563">
        <f>IF(AK6="","",SUMIF(V7:V34,G11,AD7:AD34)+SUMIF(Z7:Z34,G11,AB7:AB34))</f>
        <v>14</v>
      </c>
      <c r="Q11" s="564">
        <f>IF(AK6="","",O11-P11)</f>
        <v>-3</v>
      </c>
      <c r="R11" s="558" t="s">
        <v>1727</v>
      </c>
      <c r="S11" s="611">
        <v>0.61805555555555602</v>
      </c>
      <c r="T11" s="617"/>
      <c r="U11" s="1502"/>
      <c r="V11" s="479" t="str">
        <f>IF(G7="","",G7)</f>
        <v>Thierry VIVRON (iss)</v>
      </c>
      <c r="W11" s="480">
        <v>6</v>
      </c>
      <c r="X11" s="481" t="s">
        <v>769</v>
      </c>
      <c r="Y11" s="480">
        <v>3</v>
      </c>
      <c r="Z11" s="482" t="str">
        <f>IF(G11="","",G11)</f>
        <v>Cyprien BONNET (sym)</v>
      </c>
      <c r="AA11" s="839"/>
      <c r="AB11" s="1459">
        <f t="shared" si="4"/>
        <v>6</v>
      </c>
      <c r="AC11" s="1460" t="str">
        <f t="shared" si="5"/>
        <v>-</v>
      </c>
      <c r="AD11" s="1459">
        <f t="shared" si="6"/>
        <v>3</v>
      </c>
      <c r="AE11" s="968" t="str">
        <f t="shared" si="7"/>
        <v>Thierry VIVRON (iss)</v>
      </c>
      <c r="AF11" s="968" t="str">
        <f t="shared" si="8"/>
        <v/>
      </c>
      <c r="AG11" s="968" t="str">
        <f t="shared" si="9"/>
        <v/>
      </c>
      <c r="AH11" s="968" t="str">
        <f t="shared" si="10"/>
        <v>Cyprien BONNET (sym)</v>
      </c>
      <c r="AI11" s="968" t="str">
        <f t="shared" si="11"/>
        <v>Thierry VIVRON (iss)Cyprien BONNET (sym)</v>
      </c>
      <c r="AJ11" s="968"/>
      <c r="AK11" s="968">
        <f>IF(AK6="","",SMALL(C7:C14,5))</f>
        <v>5013</v>
      </c>
      <c r="AL11" s="270"/>
      <c r="AM11" s="270"/>
      <c r="AN11" s="545">
        <f>IF(AK6="","",INT(AK11/1000))</f>
        <v>5</v>
      </c>
      <c r="AO11" s="510" t="str">
        <f>IF(AK6="",IF(HidePlayerFormulas,"","("&amp;G11&amp;")"),VLOOKUP(AK11,C7:Q14,5,FALSE))</f>
        <v>Françoise GUYOT (chp)</v>
      </c>
      <c r="AP11" s="511">
        <f>VLOOKUP(AK11,C7:Q14,8,FALSE)</f>
        <v>3</v>
      </c>
      <c r="AQ11" s="511">
        <f>VLOOKUP(AK11,C7:Q14,9,FALSE)</f>
        <v>3</v>
      </c>
      <c r="AR11" s="511">
        <f>VLOOKUP(AK11,C7:Q14,10,FALSE)</f>
        <v>1</v>
      </c>
      <c r="AS11" s="511">
        <f>VLOOKUP(AK11,C7:Q14,11,FALSE)</f>
        <v>0</v>
      </c>
      <c r="AT11" s="511">
        <f>VLOOKUP(AK11,C7:Q14,12,FALSE)</f>
        <v>2</v>
      </c>
      <c r="AU11" s="511">
        <f>VLOOKUP(AK11,C7:Q14,13,FALSE)</f>
        <v>11</v>
      </c>
      <c r="AV11" s="511">
        <f>VLOOKUP(AK11,C7:Q14,14,FALSE)</f>
        <v>15</v>
      </c>
      <c r="AW11" s="512">
        <f>VLOOKUP(AK11,C7:Q14,15,FALSE)</f>
        <v>-4</v>
      </c>
      <c r="AX11" s="546" t="str">
        <f>IF(W31="","",IF(AO11=V31,W31,IF(AO11=Z31,Y31,"")))</f>
        <v/>
      </c>
      <c r="AY11" s="521" t="str">
        <f>IF(W32="","",IF(AO11=V32,W32,IF(AO11=Z32,Y32,"")))</f>
        <v/>
      </c>
      <c r="AZ11" s="521" t="str">
        <f>IF(W33="","",IF(AO11=V33,W33,IF(AO11=Z33,Y33,"")))</f>
        <v/>
      </c>
      <c r="BA11" s="521" t="str">
        <f>IF(W34="","",IF(AO11=V34,W34,IF(AO11=Z34,Y34,"")))</f>
        <v/>
      </c>
      <c r="BB11" s="521" t="str">
        <f>IF(W27="","",IF(AO11=V27,W27,IF(AO11=Z27,Y27,"")))</f>
        <v/>
      </c>
      <c r="BC11" s="521" t="str">
        <f>IF(W28="","",IF(AO11=V28,W28,IF(AO11=Z28,Y28,"")))</f>
        <v/>
      </c>
      <c r="BD11" s="521" t="str">
        <f>IF(W29="","",IF(AO11=V29,W29,IF(AO11=Z29,Y29,"")))</f>
        <v/>
      </c>
      <c r="BE11" s="521" t="str">
        <f>IF(W30="","",IF(AO11=V30,W30,IF(AO11=Z30,Y30,"")))</f>
        <v/>
      </c>
      <c r="BF11" s="521" t="str">
        <f>IF(W23="","",IF(AO11=V23,W23,IF(AO11=Z23,Y23,"")))</f>
        <v/>
      </c>
      <c r="BG11" s="521" t="str">
        <f>IF(W24="","",IF(AO11=V24,W24,IF(AO11=Z24,Y24,"")))</f>
        <v/>
      </c>
      <c r="BH11" s="521">
        <f>IF(W25="","",IF(AO11=V25,W25,IF(AO11=Z25,Y25,"")))</f>
        <v>5</v>
      </c>
      <c r="BI11" s="521" t="str">
        <f>IF(W26="","",IF(AO11=V26,W26,IF(AO11=Z26,Y26,"")))</f>
        <v/>
      </c>
      <c r="BJ11" s="521" t="str">
        <f>IF(W19="","",IF(AO11=V19,W19,IF(AO11=Z19,Y19,"")))</f>
        <v/>
      </c>
      <c r="BK11" s="521" t="str">
        <f>IF(W20="","",IF(AO11=V20,W20,IF(AO11=Z20,Y20,"")))</f>
        <v/>
      </c>
      <c r="BL11" s="521" t="str">
        <f>IF(W21="","",IF(AO11=V21,W21,IF(AO11=Z21,Y21,"")))</f>
        <v/>
      </c>
      <c r="BM11" s="521">
        <f>IF(W22="","",IF(AO11=V22,W22,IF(AO11=Z22,Y22,"")))</f>
        <v>3</v>
      </c>
      <c r="BN11" s="521" t="str">
        <f>IF(W15="","",IF(AO11=V15,W15,IF(AO11=Z15,Y15,"")))</f>
        <v/>
      </c>
      <c r="BO11" s="521" t="str">
        <f>IF(W16="","",IF(AO11=V16,W16,IF(AO11=Z16,Y16,"")))</f>
        <v/>
      </c>
      <c r="BP11" s="521">
        <f>IF(W17="","",IF(AO11=V17,W17,IF(AO11=Z17,Y17,"")))</f>
        <v>3</v>
      </c>
      <c r="BQ11" s="521" t="str">
        <f>IF(W18="","",IF(AO11=V18,W18,IF(AO11=Z18,Y18,"")))</f>
        <v/>
      </c>
      <c r="BR11" s="521" t="str">
        <f>IF(W11="","",IF(AO11=V11,W11,IF(AO11=Z11,Y11,"")))</f>
        <v/>
      </c>
      <c r="BS11" s="521" t="str">
        <f>IF(W12="","",IF(AO11=V12,W12,IF(AO11=Z12,Y12,"")))</f>
        <v/>
      </c>
      <c r="BT11" s="521" t="str">
        <f>IF(W13="","",IF(AO11=V13,W13,IF(AO11=Z13,Y13,"")))</f>
        <v/>
      </c>
      <c r="BU11" s="521" t="str">
        <f>IF(W14="","",IF(AO11=V14,W14,IF(AO11=Z14,Y14,"")))</f>
        <v/>
      </c>
      <c r="BV11" s="521" t="str">
        <f>IF(W7="","",IF(AO11=V7,W7,IF(AO11=Z7,Y7,"")))</f>
        <v/>
      </c>
      <c r="BW11" s="521" t="str">
        <f>IF(W8="","",IF(AO11=V8,W8,IF(AO11=Z8,Y8,"")))</f>
        <v/>
      </c>
      <c r="BX11" s="521" t="str">
        <f>IF(W9="","",IF(AO11=V9,W9,IF(AO11=Z9,Y9,"")))</f>
        <v/>
      </c>
      <c r="BY11" s="522" t="str">
        <f>IF(W10="","",IF(AO11=V10,W10,IF(AO11=Z10,Y10,"")))</f>
        <v/>
      </c>
      <c r="BZ11" s="1395" t="b">
        <f t="shared" si="12"/>
        <v>0</v>
      </c>
      <c r="CA11" s="1450" t="b">
        <f t="shared" si="13"/>
        <v>0</v>
      </c>
      <c r="CB11" s="1450" t="b">
        <f t="shared" si="14"/>
        <v>0</v>
      </c>
      <c r="CC11" s="270"/>
      <c r="CD11" s="270"/>
      <c r="CE11"/>
    </row>
    <row r="12" spans="1:83" outlineLevel="1" x14ac:dyDescent="0.2">
      <c r="A12" s="270"/>
      <c r="B12" s="545">
        <v>6</v>
      </c>
      <c r="C12" s="560">
        <f>IF(AK6="","",RANK(F12,F7:F14)*1000+ROW())</f>
        <v>8012</v>
      </c>
      <c r="D12" s="561">
        <f t="shared" si="0"/>
        <v>20000000000</v>
      </c>
      <c r="E12" s="561">
        <f>IF(L12="","",Nb_Diff_Part(D12,D7:D14,G12,G7:G14,AI7:AI34)*CritClassInd_DiffPart+Nb_Goal_Part(D12,D7:D14,G12,G7:G14,V7:Z34)*CritClassInd_GoalPart+Nb_Score_Part(D12,D7:D14,G12,G7:G14,V7:Z34)*CritClassInd_ScorePart)</f>
        <v>0</v>
      </c>
      <c r="F12" s="562">
        <f t="shared" si="1"/>
        <v>19999999908</v>
      </c>
      <c r="G12" s="477" t="str">
        <f>D1_Tr1!P_2G</f>
        <v>Axel DONVAL (iss)</v>
      </c>
      <c r="H12" s="501">
        <f t="shared" si="2"/>
        <v>0</v>
      </c>
      <c r="I12" s="502"/>
      <c r="J12" s="560">
        <f>IF(AK6="","",(L12*Points_Victoire)+M12*Points_Null)</f>
        <v>2</v>
      </c>
      <c r="K12" s="563">
        <f t="shared" si="3"/>
        <v>3</v>
      </c>
      <c r="L12" s="563">
        <f>IF(AK6="","",COUNTIF(AE7:AE34,G12))</f>
        <v>0</v>
      </c>
      <c r="M12" s="563">
        <f>IF(AK6="","",COUNTIF(AF7:AG34,G12))</f>
        <v>2</v>
      </c>
      <c r="N12" s="563">
        <f>IF(AK6="","",COUNTIF(AH7:AH34,G12))</f>
        <v>1</v>
      </c>
      <c r="O12" s="563">
        <f>IF(AK6="","",SUMIF(V7:V34,G12,AB7:AB34)+SUMIF(Z7:Z34,G12,AD7:AD34))</f>
        <v>8</v>
      </c>
      <c r="P12" s="563">
        <f>IF(AK6="","",SUMIF(V7:V34,G12,AD7:AD34)+SUMIF(Z7:Z34,G12,AB7:AB34))</f>
        <v>9</v>
      </c>
      <c r="Q12" s="564">
        <f>IF(AK6="","",O12-P12)</f>
        <v>-1</v>
      </c>
      <c r="R12" s="558" t="s">
        <v>1727</v>
      </c>
      <c r="S12" s="613">
        <v>0.61805555555555602</v>
      </c>
      <c r="T12" s="618"/>
      <c r="U12" s="1504"/>
      <c r="V12" s="483" t="str">
        <f>IF(G8="","",G8)</f>
        <v>Audrey HERBAUT (chp)</v>
      </c>
      <c r="W12" s="484">
        <v>3</v>
      </c>
      <c r="X12" s="485" t="s">
        <v>769</v>
      </c>
      <c r="Y12" s="484">
        <v>3</v>
      </c>
      <c r="Z12" s="486" t="str">
        <f>IF(G10="","",G10)</f>
        <v>Jean-Marie AMBERNY (iss)</v>
      </c>
      <c r="AA12" s="839"/>
      <c r="AB12" s="1459">
        <f t="shared" si="4"/>
        <v>3</v>
      </c>
      <c r="AC12" s="1460" t="str">
        <f t="shared" si="5"/>
        <v>-</v>
      </c>
      <c r="AD12" s="1459">
        <f t="shared" si="6"/>
        <v>3</v>
      </c>
      <c r="AE12" s="968" t="str">
        <f t="shared" si="7"/>
        <v/>
      </c>
      <c r="AF12" s="968" t="str">
        <f t="shared" si="8"/>
        <v>Audrey HERBAUT (chp)</v>
      </c>
      <c r="AG12" s="968" t="str">
        <f t="shared" si="9"/>
        <v>Jean-Marie AMBERNY (iss)</v>
      </c>
      <c r="AH12" s="968" t="str">
        <f t="shared" si="10"/>
        <v/>
      </c>
      <c r="AI12" s="968" t="str">
        <f t="shared" si="11"/>
        <v/>
      </c>
      <c r="AJ12" s="968"/>
      <c r="AK12" s="968">
        <f>IF(AK6="","",SMALL(C7:C14,6))</f>
        <v>6010</v>
      </c>
      <c r="AL12" s="270"/>
      <c r="AM12" s="270"/>
      <c r="AN12" s="545">
        <f>IF(AK6="","",INT(AK12/1000))</f>
        <v>6</v>
      </c>
      <c r="AO12" s="510" t="str">
        <f>IF(AK6="",IF(HidePlayerFormulas,"","("&amp;G12&amp;")"),VLOOKUP(AK12,C7:Q14,5,FALSE))</f>
        <v>Jean-Marie AMBERNY (iss)</v>
      </c>
      <c r="AP12" s="511">
        <f>VLOOKUP(AK12,C7:Q14,8,FALSE)</f>
        <v>3</v>
      </c>
      <c r="AQ12" s="511">
        <f>VLOOKUP(AK12,C7:Q14,9,FALSE)</f>
        <v>3</v>
      </c>
      <c r="AR12" s="511">
        <f>VLOOKUP(AK12,C7:Q14,10,FALSE)</f>
        <v>0</v>
      </c>
      <c r="AS12" s="511">
        <f>VLOOKUP(AK12,C7:Q14,11,FALSE)</f>
        <v>3</v>
      </c>
      <c r="AT12" s="511">
        <f>VLOOKUP(AK12,C7:Q14,12,FALSE)</f>
        <v>0</v>
      </c>
      <c r="AU12" s="511">
        <f>VLOOKUP(AK12,C7:Q14,13,FALSE)</f>
        <v>9</v>
      </c>
      <c r="AV12" s="511">
        <f>VLOOKUP(AK12,C7:Q14,14,FALSE)</f>
        <v>9</v>
      </c>
      <c r="AW12" s="512">
        <f>VLOOKUP(AK12,C7:Q14,15,FALSE)</f>
        <v>0</v>
      </c>
      <c r="AX12" s="546" t="str">
        <f>IF(W31="","",IF(AO12=V31,W31,IF(AO12=Z31,Y31,"")))</f>
        <v/>
      </c>
      <c r="AY12" s="521" t="str">
        <f>IF(W32="","",IF(AO12=V32,W32,IF(AO12=Z32,Y32,"")))</f>
        <v/>
      </c>
      <c r="AZ12" s="521" t="str">
        <f>IF(W33="","",IF(AO12=V33,W33,IF(AO12=Z33,Y33,"")))</f>
        <v/>
      </c>
      <c r="BA12" s="521" t="str">
        <f>IF(W34="","",IF(AO12=V34,W34,IF(AO12=Z34,Y34,"")))</f>
        <v/>
      </c>
      <c r="BB12" s="521" t="str">
        <f>IF(W27="","",IF(AO12=V27,W27,IF(AO12=Z27,Y27,"")))</f>
        <v/>
      </c>
      <c r="BC12" s="521" t="str">
        <f>IF(W28="","",IF(AO12=V28,W28,IF(AO12=Z28,Y28,"")))</f>
        <v/>
      </c>
      <c r="BD12" s="521" t="str">
        <f>IF(W29="","",IF(AO12=V29,W29,IF(AO12=Z29,Y29,"")))</f>
        <v/>
      </c>
      <c r="BE12" s="521" t="str">
        <f>IF(W30="","",IF(AO12=V30,W30,IF(AO12=Z30,Y30,"")))</f>
        <v/>
      </c>
      <c r="BF12" s="521" t="str">
        <f>IF(W23="","",IF(AO12=V23,W23,IF(AO12=Z23,Y23,"")))</f>
        <v/>
      </c>
      <c r="BG12" s="521" t="str">
        <f>IF(W24="","",IF(AO12=V24,W24,IF(AO12=Z24,Y24,"")))</f>
        <v/>
      </c>
      <c r="BH12" s="521" t="str">
        <f>IF(W25="","",IF(AO12=V25,W25,IF(AO12=Z25,Y25,"")))</f>
        <v/>
      </c>
      <c r="BI12" s="521" t="str">
        <f>IF(W26="","",IF(AO12=V26,W26,IF(AO12=Z26,Y26,"")))</f>
        <v/>
      </c>
      <c r="BJ12" s="521" t="str">
        <f>IF(W19="","",IF(AO12=V19,W19,IF(AO12=Z19,Y19,"")))</f>
        <v/>
      </c>
      <c r="BK12" s="521">
        <f>IF(W20="","",IF(AO12=V20,W20,IF(AO12=Z20,Y20,"")))</f>
        <v>3</v>
      </c>
      <c r="BL12" s="521" t="str">
        <f>IF(W21="","",IF(AO12=V21,W21,IF(AO12=Z21,Y21,"")))</f>
        <v/>
      </c>
      <c r="BM12" s="521" t="str">
        <f>IF(W22="","",IF(AO12=V22,W22,IF(AO12=Z22,Y22,"")))</f>
        <v/>
      </c>
      <c r="BN12" s="521" t="str">
        <f>IF(W15="","",IF(AO12=V15,W15,IF(AO12=Z15,Y15,"")))</f>
        <v/>
      </c>
      <c r="BO12" s="521" t="str">
        <f>IF(W16="","",IF(AO12=V16,W16,IF(AO12=Z16,Y16,"")))</f>
        <v/>
      </c>
      <c r="BP12" s="521" t="str">
        <f>IF(W17="","",IF(AO12=V17,W17,IF(AO12=Z17,Y17,"")))</f>
        <v/>
      </c>
      <c r="BQ12" s="521">
        <f>IF(W18="","",IF(AO12=V18,W18,IF(AO12=Z18,Y18,"")))</f>
        <v>3</v>
      </c>
      <c r="BR12" s="521" t="str">
        <f>IF(W11="","",IF(AO12=V11,W11,IF(AO12=Z11,Y11,"")))</f>
        <v/>
      </c>
      <c r="BS12" s="521">
        <f>IF(W12="","",IF(AO12=V12,W12,IF(AO12=Z12,Y12,"")))</f>
        <v>3</v>
      </c>
      <c r="BT12" s="521" t="str">
        <f>IF(W13="","",IF(AO12=V13,W13,IF(AO12=Z13,Y13,"")))</f>
        <v/>
      </c>
      <c r="BU12" s="521" t="str">
        <f>IF(W14="","",IF(AO12=V14,W14,IF(AO12=Z14,Y14,"")))</f>
        <v/>
      </c>
      <c r="BV12" s="521" t="str">
        <f>IF(W7="","",IF(AO12=V7,W7,IF(AO12=Z7,Y7,"")))</f>
        <v/>
      </c>
      <c r="BW12" s="521" t="str">
        <f>IF(W8="","",IF(AO12=V8,W8,IF(AO12=Z8,Y8,"")))</f>
        <v/>
      </c>
      <c r="BX12" s="521" t="str">
        <f>IF(W9="","",IF(AO12=V9,W9,IF(AO12=Z9,Y9,"")))</f>
        <v/>
      </c>
      <c r="BY12" s="522" t="str">
        <f>IF(W10="","",IF(AO12=V10,W10,IF(AO12=Z10,Y10,"")))</f>
        <v/>
      </c>
      <c r="BZ12" s="1395" t="b">
        <f t="shared" si="12"/>
        <v>0</v>
      </c>
      <c r="CA12" s="1450" t="b">
        <f t="shared" si="13"/>
        <v>0</v>
      </c>
      <c r="CB12" s="1450" t="b">
        <f t="shared" si="14"/>
        <v>0</v>
      </c>
      <c r="CC12" s="270"/>
      <c r="CD12" s="270"/>
      <c r="CE12"/>
    </row>
    <row r="13" spans="1:83" outlineLevel="1" x14ac:dyDescent="0.2">
      <c r="A13" s="270"/>
      <c r="B13" s="545">
        <v>7</v>
      </c>
      <c r="C13" s="560">
        <f>IF(AK6="","",RANK(F13,F7:F14)*1000+ROW())</f>
        <v>5013</v>
      </c>
      <c r="D13" s="561">
        <f t="shared" si="0"/>
        <v>30000000000</v>
      </c>
      <c r="E13" s="561">
        <f>IF(L13="","",Nb_Diff_Part(D13,D7:D14,G13,G7:G14,AI7:AI34)*CritClassInd_DiffPart+Nb_Goal_Part(D13,D7:D14,G13,G7:G14,V7:Z34)*CritClassInd_GoalPart+Nb_Score_Part(D13,D7:D14,G13,G7:G14,V7:Z34)*CritClassInd_ScorePart)</f>
        <v>102050000</v>
      </c>
      <c r="F13" s="562">
        <f t="shared" si="1"/>
        <v>30102049611</v>
      </c>
      <c r="G13" s="477" t="str">
        <f>D1_Tr1!P_1H</f>
        <v>Françoise GUYOT (chp)</v>
      </c>
      <c r="H13" s="501">
        <f t="shared" si="2"/>
        <v>0</v>
      </c>
      <c r="I13" s="502"/>
      <c r="J13" s="560">
        <f>IF(AK6="","",(L13*Points_Victoire)+M13*Points_Null)</f>
        <v>3</v>
      </c>
      <c r="K13" s="563">
        <f t="shared" si="3"/>
        <v>3</v>
      </c>
      <c r="L13" s="563">
        <f>IF(AK6="","",COUNTIF(AE7:AE34,G13))</f>
        <v>1</v>
      </c>
      <c r="M13" s="563">
        <f>IF(AK6="","",COUNTIF(AF7:AG34,G13))</f>
        <v>0</v>
      </c>
      <c r="N13" s="563">
        <f>IF(AK6="","",COUNTIF(AH7:AH34,G13))</f>
        <v>2</v>
      </c>
      <c r="O13" s="563">
        <f>IF(AK6="","",SUMIF(V7:V34,G13,AB7:AB34)+SUMIF(Z7:Z34,G13,AD7:AD34))</f>
        <v>11</v>
      </c>
      <c r="P13" s="563">
        <f>IF(AK6="","",SUMIF(V7:V34,G13,AD7:AD34)+SUMIF(Z7:Z34,G13,AB7:AB34))</f>
        <v>15</v>
      </c>
      <c r="Q13" s="564">
        <f>IF(AK6="","",O13-P13)</f>
        <v>-4</v>
      </c>
      <c r="R13" s="558" t="s">
        <v>1727</v>
      </c>
      <c r="S13" s="613"/>
      <c r="T13" s="618"/>
      <c r="U13" s="1504"/>
      <c r="V13" s="483" t="str">
        <f>IF(G9="","",G9)</f>
        <v>Cédric PANDOLFI (sym)</v>
      </c>
      <c r="W13" s="484" t="s">
        <v>898</v>
      </c>
      <c r="X13" s="485" t="s">
        <v>769</v>
      </c>
      <c r="Y13" s="484" t="s">
        <v>898</v>
      </c>
      <c r="Z13" s="486" t="str">
        <f>IF(G14="","",G14)</f>
        <v>Jean-François BALARD (puy)</v>
      </c>
      <c r="AA13" s="839"/>
      <c r="AB13" s="1459" t="str">
        <f t="shared" si="4"/>
        <v/>
      </c>
      <c r="AC13" s="1460" t="str">
        <f t="shared" si="5"/>
        <v/>
      </c>
      <c r="AD13" s="1459" t="str">
        <f t="shared" si="6"/>
        <v/>
      </c>
      <c r="AE13" s="968" t="str">
        <f t="shared" si="7"/>
        <v/>
      </c>
      <c r="AF13" s="968" t="str">
        <f t="shared" si="8"/>
        <v/>
      </c>
      <c r="AG13" s="968" t="str">
        <f t="shared" si="9"/>
        <v/>
      </c>
      <c r="AH13" s="968" t="str">
        <f t="shared" si="10"/>
        <v/>
      </c>
      <c r="AI13" s="968" t="str">
        <f t="shared" si="11"/>
        <v/>
      </c>
      <c r="AJ13" s="968"/>
      <c r="AK13" s="968">
        <f>IF(AK6="","",SMALL(C7:C14,7))</f>
        <v>7011</v>
      </c>
      <c r="AL13" s="270"/>
      <c r="AM13" s="270"/>
      <c r="AN13" s="545">
        <f>IF(AK6="","",INT(AK13/1000))</f>
        <v>7</v>
      </c>
      <c r="AO13" s="510" t="str">
        <f>IF(AK6="",IF(HidePlayerFormulas,"","("&amp;G13&amp;")"),VLOOKUP(AK13,C7:Q14,5,FALSE))</f>
        <v>Cyprien BONNET (sym)</v>
      </c>
      <c r="AP13" s="511">
        <f>VLOOKUP(AK13,C7:Q14,8,FALSE)</f>
        <v>3</v>
      </c>
      <c r="AQ13" s="511">
        <f>VLOOKUP(AK13,C7:Q14,9,FALSE)</f>
        <v>3</v>
      </c>
      <c r="AR13" s="511">
        <f>VLOOKUP(AK13,C7:Q14,10,FALSE)</f>
        <v>1</v>
      </c>
      <c r="AS13" s="511">
        <f>VLOOKUP(AK13,C7:Q14,11,FALSE)</f>
        <v>0</v>
      </c>
      <c r="AT13" s="511">
        <f>VLOOKUP(AK13,C7:Q14,12,FALSE)</f>
        <v>2</v>
      </c>
      <c r="AU13" s="511">
        <f>VLOOKUP(AK13,C7:Q14,13,FALSE)</f>
        <v>11</v>
      </c>
      <c r="AV13" s="511">
        <f>VLOOKUP(AK13,C7:Q14,14,FALSE)</f>
        <v>14</v>
      </c>
      <c r="AW13" s="512">
        <f>VLOOKUP(AK13,C7:Q14,15,FALSE)</f>
        <v>-3</v>
      </c>
      <c r="AX13" s="546" t="str">
        <f>IF(W31="","",IF(AO13=V31,W31,IF(AO13=Z31,Y31,"")))</f>
        <v/>
      </c>
      <c r="AY13" s="521" t="str">
        <f>IF(W32="","",IF(AO13=V32,W32,IF(AO13=Z32,Y32,"")))</f>
        <v/>
      </c>
      <c r="AZ13" s="521" t="str">
        <f>IF(W33="","",IF(AO13=V33,W33,IF(AO13=Z33,Y33,"")))</f>
        <v/>
      </c>
      <c r="BA13" s="521" t="str">
        <f>IF(W34="","",IF(AO13=V34,W34,IF(AO13=Z34,Y34,"")))</f>
        <v/>
      </c>
      <c r="BB13" s="521" t="str">
        <f>IF(W27="","",IF(AO13=V27,W27,IF(AO13=Z27,Y27,"")))</f>
        <v/>
      </c>
      <c r="BC13" s="521" t="str">
        <f>IF(W28="","",IF(AO13=V28,W28,IF(AO13=Z28,Y28,"")))</f>
        <v/>
      </c>
      <c r="BD13" s="521" t="str">
        <f>IF(W29="","",IF(AO13=V29,W29,IF(AO13=Z29,Y29,"")))</f>
        <v/>
      </c>
      <c r="BE13" s="521" t="str">
        <f>IF(W30="","",IF(AO13=V30,W30,IF(AO13=Z30,Y30,"")))</f>
        <v/>
      </c>
      <c r="BF13" s="521" t="str">
        <f>IF(W23="","",IF(AO13=V23,W23,IF(AO13=Z23,Y23,"")))</f>
        <v/>
      </c>
      <c r="BG13" s="521" t="str">
        <f>IF(W24="","",IF(AO13=V24,W24,IF(AO13=Z24,Y24,"")))</f>
        <v/>
      </c>
      <c r="BH13" s="521">
        <f>IF(W25="","",IF(AO13=V25,W25,IF(AO13=Z25,Y25,"")))</f>
        <v>3</v>
      </c>
      <c r="BI13" s="521" t="str">
        <f>IF(W26="","",IF(AO13=V26,W26,IF(AO13=Z26,Y26,"")))</f>
        <v/>
      </c>
      <c r="BJ13" s="521" t="str">
        <f>IF(W19="","",IF(AO13=V19,W19,IF(AO13=Z19,Y19,"")))</f>
        <v/>
      </c>
      <c r="BK13" s="521" t="str">
        <f>IF(W20="","",IF(AO13=V20,W20,IF(AO13=Z20,Y20,"")))</f>
        <v/>
      </c>
      <c r="BL13" s="521" t="str">
        <f>IF(W21="","",IF(AO13=V21,W21,IF(AO13=Z21,Y21,"")))</f>
        <v/>
      </c>
      <c r="BM13" s="521" t="str">
        <f>IF(W22="","",IF(AO13=V22,W22,IF(AO13=Z22,Y22,"")))</f>
        <v/>
      </c>
      <c r="BN13" s="521">
        <f>IF(W15="","",IF(AO13=V15,W15,IF(AO13=Z15,Y15,"")))</f>
        <v>5</v>
      </c>
      <c r="BO13" s="521" t="str">
        <f>IF(W16="","",IF(AO13=V16,W16,IF(AO13=Z16,Y16,"")))</f>
        <v/>
      </c>
      <c r="BP13" s="521" t="str">
        <f>IF(W17="","",IF(AO13=V17,W17,IF(AO13=Z17,Y17,"")))</f>
        <v/>
      </c>
      <c r="BQ13" s="521" t="str">
        <f>IF(W18="","",IF(AO13=V18,W18,IF(AO13=Z18,Y18,"")))</f>
        <v/>
      </c>
      <c r="BR13" s="521">
        <f>IF(W11="","",IF(AO13=V11,W11,IF(AO13=Z11,Y11,"")))</f>
        <v>3</v>
      </c>
      <c r="BS13" s="521" t="str">
        <f>IF(W12="","",IF(AO13=V12,W12,IF(AO13=Z12,Y12,"")))</f>
        <v/>
      </c>
      <c r="BT13" s="521" t="str">
        <f>IF(W13="","",IF(AO13=V13,W13,IF(AO13=Z13,Y13,"")))</f>
        <v/>
      </c>
      <c r="BU13" s="521" t="str">
        <f>IF(W14="","",IF(AO13=V14,W14,IF(AO13=Z14,Y14,"")))</f>
        <v/>
      </c>
      <c r="BV13" s="521" t="str">
        <f>IF(W7="","",IF(AO13=V7,W7,IF(AO13=Z7,Y7,"")))</f>
        <v/>
      </c>
      <c r="BW13" s="521" t="str">
        <f>IF(W8="","",IF(AO13=V8,W8,IF(AO13=Z8,Y8,"")))</f>
        <v/>
      </c>
      <c r="BX13" s="521" t="str">
        <f>IF(W9="","",IF(AO13=V9,W9,IF(AO13=Z9,Y9,"")))</f>
        <v/>
      </c>
      <c r="BY13" s="522" t="str">
        <f>IF(W10="","",IF(AO13=V10,W10,IF(AO13=Z10,Y10,"")))</f>
        <v/>
      </c>
      <c r="BZ13" s="1395" t="b">
        <f t="shared" si="12"/>
        <v>0</v>
      </c>
      <c r="CA13" s="1450" t="b">
        <f t="shared" si="13"/>
        <v>0</v>
      </c>
      <c r="CB13" s="1450" t="b">
        <f t="shared" si="14"/>
        <v>0</v>
      </c>
      <c r="CC13" s="270"/>
      <c r="CD13" s="270"/>
      <c r="CE13"/>
    </row>
    <row r="14" spans="1:83" ht="13.5" outlineLevel="1" thickBot="1" x14ac:dyDescent="0.25">
      <c r="A14" s="270"/>
      <c r="B14" s="588">
        <v>8</v>
      </c>
      <c r="C14" s="565">
        <f>IF(AK6="","",RANK(F14,F7:F14)*1000+ROW())</f>
        <v>4014</v>
      </c>
      <c r="D14" s="566">
        <f t="shared" si="0"/>
        <v>40000000000</v>
      </c>
      <c r="E14" s="566">
        <f>IF(L14="","",Nb_Diff_Part(D14,D7:D14,G14,G7:G14,AI7:AI34)*CritClassInd_DiffPart+Nb_Goal_Part(D14,D7:D14,G14,G7:G14,V7:Z34)*CritClassInd_GoalPart+Nb_Score_Part(D14,D7:D14,G14,G7:G14,V7:Z34)*CritClassInd_ScorePart)</f>
        <v>0</v>
      </c>
      <c r="F14" s="567">
        <f t="shared" si="1"/>
        <v>39999999907</v>
      </c>
      <c r="G14" s="478" t="str">
        <f>D1_Tr1!P_2H</f>
        <v>Jean-François BALARD (puy)</v>
      </c>
      <c r="H14" s="503">
        <f t="shared" si="2"/>
        <v>0</v>
      </c>
      <c r="I14" s="504"/>
      <c r="J14" s="585">
        <f>IF(AK6="","",(L14*Points_Victoire)+M14*Points_Null)</f>
        <v>4</v>
      </c>
      <c r="K14" s="586">
        <f t="shared" si="3"/>
        <v>3</v>
      </c>
      <c r="L14" s="586">
        <f>IF(AK6="","",COUNTIF(AE7:AE34,G14))</f>
        <v>1</v>
      </c>
      <c r="M14" s="586">
        <f>IF(AK6="","",COUNTIF(AF7:AG34,G14))</f>
        <v>1</v>
      </c>
      <c r="N14" s="586">
        <f>IF(AK6="","",COUNTIF(AH7:AH34,G14))</f>
        <v>1</v>
      </c>
      <c r="O14" s="586">
        <f>IF(AK6="","",SUMIF(V7:V34,G14,AB7:AB34)+SUMIF(Z7:Z34,G14,AD7:AD34))</f>
        <v>7</v>
      </c>
      <c r="P14" s="586">
        <f>IF(AK6="","",SUMIF(V7:V34,G14,AD7:AD34)+SUMIF(Z7:Z34,G14,AB7:AB34))</f>
        <v>8</v>
      </c>
      <c r="Q14" s="587">
        <f>IF(AK6="","",O14-P14)</f>
        <v>-1</v>
      </c>
      <c r="R14" s="558" t="s">
        <v>1727</v>
      </c>
      <c r="S14" s="615"/>
      <c r="T14" s="619"/>
      <c r="U14" s="1503"/>
      <c r="V14" s="487" t="str">
        <f>IF(G12="","",G12)</f>
        <v>Axel DONVAL (iss)</v>
      </c>
      <c r="W14" s="488" t="s">
        <v>898</v>
      </c>
      <c r="X14" s="489" t="s">
        <v>769</v>
      </c>
      <c r="Y14" s="488" t="s">
        <v>898</v>
      </c>
      <c r="Z14" s="490" t="str">
        <f>IF(G13="","",G13)</f>
        <v>Françoise GUYOT (chp)</v>
      </c>
      <c r="AA14" s="839"/>
      <c r="AB14" s="1459" t="str">
        <f t="shared" si="4"/>
        <v/>
      </c>
      <c r="AC14" s="1460" t="str">
        <f t="shared" si="5"/>
        <v/>
      </c>
      <c r="AD14" s="1459" t="str">
        <f t="shared" si="6"/>
        <v/>
      </c>
      <c r="AE14" s="968" t="str">
        <f t="shared" si="7"/>
        <v/>
      </c>
      <c r="AF14" s="968" t="str">
        <f t="shared" si="8"/>
        <v/>
      </c>
      <c r="AG14" s="968" t="str">
        <f t="shared" si="9"/>
        <v/>
      </c>
      <c r="AH14" s="968" t="str">
        <f t="shared" si="10"/>
        <v/>
      </c>
      <c r="AI14" s="968" t="str">
        <f t="shared" si="11"/>
        <v/>
      </c>
      <c r="AJ14" s="968"/>
      <c r="AK14" s="968">
        <f>IF(AK6="","",SMALL(C7:C14,8))</f>
        <v>8012</v>
      </c>
      <c r="AL14" s="270"/>
      <c r="AM14" s="270"/>
      <c r="AN14" s="547">
        <f>IF(AK6="","",INT(AK14/1000))</f>
        <v>8</v>
      </c>
      <c r="AO14" s="514" t="str">
        <f>IF(AK6="",IF(HidePlayerFormulas,"","("&amp;G14&amp;")"),VLOOKUP(AK14,C7:Q14,5,FALSE))</f>
        <v>Axel DONVAL (iss)</v>
      </c>
      <c r="AP14" s="515">
        <f>VLOOKUP(AK14,C7:Q14,8,FALSE)</f>
        <v>2</v>
      </c>
      <c r="AQ14" s="515">
        <f>VLOOKUP(AK14,C7:Q14,9,FALSE)</f>
        <v>3</v>
      </c>
      <c r="AR14" s="515">
        <f>VLOOKUP(AK14,C7:Q14,10,FALSE)</f>
        <v>0</v>
      </c>
      <c r="AS14" s="515">
        <f>VLOOKUP(AK14,C7:Q14,11,FALSE)</f>
        <v>2</v>
      </c>
      <c r="AT14" s="515">
        <f>VLOOKUP(AK14,C7:Q14,12,FALSE)</f>
        <v>1</v>
      </c>
      <c r="AU14" s="515">
        <f>VLOOKUP(AK14,C7:Q14,13,FALSE)</f>
        <v>8</v>
      </c>
      <c r="AV14" s="515">
        <f>VLOOKUP(AK14,C7:Q14,14,FALSE)</f>
        <v>9</v>
      </c>
      <c r="AW14" s="516">
        <f>VLOOKUP(AK14,C7:Q14,15,FALSE)</f>
        <v>-1</v>
      </c>
      <c r="AX14" s="548" t="str">
        <f>IF(W31="","",IF(AO14=V31,W31,IF(AO14=Z31,Y31,"")))</f>
        <v/>
      </c>
      <c r="AY14" s="524" t="str">
        <f>IF(W32="","",IF(AO14=V32,W32,IF(AO14=Z32,Y32,"")))</f>
        <v/>
      </c>
      <c r="AZ14" s="524" t="str">
        <f>IF(W33="","",IF(AO14=V33,W33,IF(AO14=Z33,Y33,"")))</f>
        <v/>
      </c>
      <c r="BA14" s="524" t="str">
        <f>IF(W34="","",IF(AO14=V34,W34,IF(AO14=Z34,Y34,"")))</f>
        <v/>
      </c>
      <c r="BB14" s="524" t="str">
        <f>IF(W27="","",IF(AO14=V27,W27,IF(AO14=Z27,Y27,"")))</f>
        <v/>
      </c>
      <c r="BC14" s="524" t="str">
        <f>IF(W28="","",IF(AO14=V28,W28,IF(AO14=Z28,Y28,"")))</f>
        <v/>
      </c>
      <c r="BD14" s="524" t="str">
        <f>IF(W29="","",IF(AO14=V29,W29,IF(AO14=Z29,Y29,"")))</f>
        <v/>
      </c>
      <c r="BE14" s="524" t="str">
        <f>IF(W30="","",IF(AO14=V30,W30,IF(AO14=Z30,Y30,"")))</f>
        <v/>
      </c>
      <c r="BF14" s="524" t="str">
        <f>IF(W23="","",IF(AO14=V23,W23,IF(AO14=Z23,Y23,"")))</f>
        <v/>
      </c>
      <c r="BG14" s="524" t="str">
        <f>IF(W24="","",IF(AO14=V24,W24,IF(AO14=Z24,Y24,"")))</f>
        <v/>
      </c>
      <c r="BH14" s="524" t="str">
        <f>IF(W25="","",IF(AO14=V25,W25,IF(AO14=Z25,Y25,"")))</f>
        <v/>
      </c>
      <c r="BI14" s="524">
        <f>IF(W26="","",IF(AO14=V26,W26,IF(AO14=Z26,Y26,"")))</f>
        <v>2</v>
      </c>
      <c r="BJ14" s="524" t="str">
        <f>IF(W19="","",IF(AO14=V19,W19,IF(AO14=Z19,Y19,"")))</f>
        <v/>
      </c>
      <c r="BK14" s="524">
        <f>IF(W20="","",IF(AO14=V20,W20,IF(AO14=Z20,Y20,"")))</f>
        <v>3</v>
      </c>
      <c r="BL14" s="524" t="str">
        <f>IF(W21="","",IF(AO14=V21,W21,IF(AO14=Z21,Y21,"")))</f>
        <v/>
      </c>
      <c r="BM14" s="524" t="str">
        <f>IF(W22="","",IF(AO14=V22,W22,IF(AO14=Z22,Y22,"")))</f>
        <v/>
      </c>
      <c r="BN14" s="524" t="str">
        <f>IF(W15="","",IF(AO14=V15,W15,IF(AO14=Z15,Y15,"")))</f>
        <v/>
      </c>
      <c r="BO14" s="524">
        <f>IF(W16="","",IF(AO14=V16,W16,IF(AO14=Z16,Y16,"")))</f>
        <v>3</v>
      </c>
      <c r="BP14" s="524" t="str">
        <f>IF(W17="","",IF(AO14=V17,W17,IF(AO14=Z17,Y17,"")))</f>
        <v/>
      </c>
      <c r="BQ14" s="524" t="str">
        <f>IF(W18="","",IF(AO14=V18,W18,IF(AO14=Z18,Y18,"")))</f>
        <v/>
      </c>
      <c r="BR14" s="524" t="str">
        <f>IF(W11="","",IF(AO14=V11,W11,IF(AO14=Z11,Y11,"")))</f>
        <v/>
      </c>
      <c r="BS14" s="524" t="str">
        <f>IF(W12="","",IF(AO14=V12,W12,IF(AO14=Z12,Y12,"")))</f>
        <v/>
      </c>
      <c r="BT14" s="524" t="str">
        <f>IF(W13="","",IF(AO14=V13,W13,IF(AO14=Z13,Y13,"")))</f>
        <v/>
      </c>
      <c r="BU14" s="524" t="str">
        <f>IF(W14="","",IF(AO14=V14,W14,IF(AO14=Z14,Y14,"")))</f>
        <v/>
      </c>
      <c r="BV14" s="524" t="str">
        <f>IF(W7="","",IF(AO14=V7,W7,IF(AO14=Z7,Y7,"")))</f>
        <v/>
      </c>
      <c r="BW14" s="524" t="str">
        <f>IF(W8="","",IF(AO14=V8,W8,IF(AO14=Z8,Y8,"")))</f>
        <v/>
      </c>
      <c r="BX14" s="524" t="str">
        <f>IF(W9="","",IF(AO14=V9,W9,IF(AO14=Z9,Y9,"")))</f>
        <v/>
      </c>
      <c r="BY14" s="525" t="str">
        <f>IF(W10="","",IF(AO14=V10,W10,IF(AO14=Z10,Y10,"")))</f>
        <v/>
      </c>
      <c r="BZ14" s="1395" t="b">
        <f t="shared" si="12"/>
        <v>0</v>
      </c>
      <c r="CA14" s="1450" t="b">
        <f t="shared" si="13"/>
        <v>0</v>
      </c>
      <c r="CB14" s="1450" t="b">
        <f t="shared" si="14"/>
        <v>0</v>
      </c>
      <c r="CC14" s="270"/>
      <c r="CD14" s="270"/>
      <c r="CE14"/>
    </row>
    <row r="15" spans="1:83" outlineLevel="2" x14ac:dyDescent="0.2">
      <c r="A15" s="270"/>
      <c r="B15" s="271"/>
      <c r="C15" s="270"/>
      <c r="D15" s="270"/>
      <c r="E15" s="270"/>
      <c r="F15" s="270"/>
      <c r="G15" s="271"/>
      <c r="H15" s="271"/>
      <c r="I15" s="271"/>
      <c r="J15" s="270"/>
      <c r="K15" s="270"/>
      <c r="L15" s="270"/>
      <c r="M15" s="270"/>
      <c r="N15" s="270"/>
      <c r="O15" s="270"/>
      <c r="P15" s="270"/>
      <c r="Q15" s="270"/>
      <c r="R15" s="558" t="s">
        <v>1728</v>
      </c>
      <c r="S15" s="611">
        <v>0.64583333333333381</v>
      </c>
      <c r="T15" s="617"/>
      <c r="U15" s="1502"/>
      <c r="V15" s="479" t="str">
        <f>IF(G9="","",G9)</f>
        <v>Cédric PANDOLFI (sym)</v>
      </c>
      <c r="W15" s="480">
        <v>3</v>
      </c>
      <c r="X15" s="481" t="s">
        <v>769</v>
      </c>
      <c r="Y15" s="480">
        <v>5</v>
      </c>
      <c r="Z15" s="482" t="str">
        <f>IF(G11="","",G11)</f>
        <v>Cyprien BONNET (sym)</v>
      </c>
      <c r="AA15" s="839"/>
      <c r="AB15" s="1459">
        <f t="shared" si="4"/>
        <v>3</v>
      </c>
      <c r="AC15" s="1460" t="str">
        <f t="shared" si="5"/>
        <v>-</v>
      </c>
      <c r="AD15" s="1459">
        <f t="shared" si="6"/>
        <v>5</v>
      </c>
      <c r="AE15" s="968" t="str">
        <f t="shared" si="7"/>
        <v>Cyprien BONNET (sym)</v>
      </c>
      <c r="AF15" s="968" t="str">
        <f t="shared" si="8"/>
        <v/>
      </c>
      <c r="AG15" s="968" t="str">
        <f t="shared" si="9"/>
        <v/>
      </c>
      <c r="AH15" s="968" t="str">
        <f t="shared" si="10"/>
        <v>Cédric PANDOLFI (sym)</v>
      </c>
      <c r="AI15" s="968" t="str">
        <f t="shared" si="11"/>
        <v>Cyprien BONNET (sym)Cédric PANDOLFI (sym)</v>
      </c>
      <c r="AJ15" s="968"/>
      <c r="AK15" s="968"/>
      <c r="AL15" s="270"/>
      <c r="AM15" s="270"/>
      <c r="AN15" s="575"/>
      <c r="AO15" s="270"/>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c r="CA15" s="1396"/>
      <c r="CB15" s="1396"/>
      <c r="CC15" s="270"/>
      <c r="CD15" s="270"/>
      <c r="CE15"/>
    </row>
    <row r="16" spans="1:83" outlineLevel="2" x14ac:dyDescent="0.2">
      <c r="A16" s="270"/>
      <c r="B16" s="271"/>
      <c r="C16" s="270"/>
      <c r="D16" s="270"/>
      <c r="E16" s="270"/>
      <c r="F16" s="270"/>
      <c r="G16" s="271"/>
      <c r="H16" s="271"/>
      <c r="I16" s="271"/>
      <c r="J16" s="270"/>
      <c r="K16" s="270"/>
      <c r="L16" s="270"/>
      <c r="M16" s="270"/>
      <c r="N16" s="270"/>
      <c r="O16" s="270"/>
      <c r="P16" s="270"/>
      <c r="Q16" s="270"/>
      <c r="R16" s="558" t="s">
        <v>1728</v>
      </c>
      <c r="S16" s="613">
        <v>0.64583333333333381</v>
      </c>
      <c r="T16" s="618"/>
      <c r="U16" s="1504"/>
      <c r="V16" s="491" t="str">
        <f>IF(G12="","",G12)</f>
        <v>Axel DONVAL (iss)</v>
      </c>
      <c r="W16" s="492">
        <v>3</v>
      </c>
      <c r="X16" s="493" t="s">
        <v>769</v>
      </c>
      <c r="Y16" s="492">
        <v>3</v>
      </c>
      <c r="Z16" s="494" t="str">
        <f>IF(G8="","",G8)</f>
        <v>Audrey HERBAUT (chp)</v>
      </c>
      <c r="AA16" s="839"/>
      <c r="AB16" s="1459">
        <f t="shared" si="4"/>
        <v>3</v>
      </c>
      <c r="AC16" s="1460" t="str">
        <f t="shared" si="5"/>
        <v>-</v>
      </c>
      <c r="AD16" s="1459">
        <f t="shared" si="6"/>
        <v>3</v>
      </c>
      <c r="AE16" s="968" t="str">
        <f t="shared" si="7"/>
        <v/>
      </c>
      <c r="AF16" s="968" t="str">
        <f t="shared" si="8"/>
        <v>Axel DONVAL (iss)</v>
      </c>
      <c r="AG16" s="968" t="str">
        <f t="shared" si="9"/>
        <v>Audrey HERBAUT (chp)</v>
      </c>
      <c r="AH16" s="968" t="str">
        <f t="shared" si="10"/>
        <v/>
      </c>
      <c r="AI16" s="968" t="str">
        <f t="shared" si="11"/>
        <v/>
      </c>
      <c r="AJ16" s="968"/>
      <c r="AK16" s="968"/>
      <c r="AL16" s="270"/>
      <c r="AM16" s="270"/>
      <c r="AN16" s="575"/>
      <c r="AO16" s="270"/>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c r="CA16" s="1396"/>
      <c r="CB16" s="1396"/>
      <c r="CC16" s="270"/>
      <c r="CD16" s="270"/>
      <c r="CE16"/>
    </row>
    <row r="17" spans="1:83" outlineLevel="2" x14ac:dyDescent="0.2">
      <c r="A17" s="270"/>
      <c r="B17" s="271"/>
      <c r="C17" s="270"/>
      <c r="D17" s="270"/>
      <c r="E17" s="270"/>
      <c r="F17" s="270"/>
      <c r="G17" s="271"/>
      <c r="H17" s="271"/>
      <c r="I17" s="271"/>
      <c r="J17" s="270"/>
      <c r="K17" s="270"/>
      <c r="L17" s="270"/>
      <c r="M17" s="270"/>
      <c r="N17" s="270"/>
      <c r="O17" s="270"/>
      <c r="P17" s="270"/>
      <c r="Q17" s="270"/>
      <c r="R17" s="558" t="s">
        <v>1728</v>
      </c>
      <c r="S17" s="613">
        <v>0.64583333333333381</v>
      </c>
      <c r="T17" s="618"/>
      <c r="U17" s="1504"/>
      <c r="V17" s="491" t="str">
        <f>IF(G13="","",G13)</f>
        <v>Françoise GUYOT (chp)</v>
      </c>
      <c r="W17" s="492">
        <v>3</v>
      </c>
      <c r="X17" s="493" t="s">
        <v>769</v>
      </c>
      <c r="Y17" s="492">
        <v>7</v>
      </c>
      <c r="Z17" s="494" t="str">
        <f>IF(G7="","",G7)</f>
        <v>Thierry VIVRON (iss)</v>
      </c>
      <c r="AA17" s="839"/>
      <c r="AB17" s="1459">
        <f t="shared" si="4"/>
        <v>3</v>
      </c>
      <c r="AC17" s="1460" t="str">
        <f t="shared" si="5"/>
        <v>-</v>
      </c>
      <c r="AD17" s="1459">
        <f t="shared" si="6"/>
        <v>7</v>
      </c>
      <c r="AE17" s="968" t="str">
        <f t="shared" si="7"/>
        <v>Thierry VIVRON (iss)</v>
      </c>
      <c r="AF17" s="968" t="str">
        <f t="shared" si="8"/>
        <v/>
      </c>
      <c r="AG17" s="968" t="str">
        <f t="shared" si="9"/>
        <v/>
      </c>
      <c r="AH17" s="968" t="str">
        <f t="shared" si="10"/>
        <v>Françoise GUYOT (chp)</v>
      </c>
      <c r="AI17" s="968" t="str">
        <f t="shared" si="11"/>
        <v>Thierry VIVRON (iss)Françoise GUYOT (chp)</v>
      </c>
      <c r="AJ17" s="968"/>
      <c r="AK17" s="968"/>
      <c r="AL17" s="270"/>
      <c r="AM17" s="270"/>
      <c r="AN17" s="575"/>
      <c r="AO17" s="270"/>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c r="CA17" s="1396"/>
      <c r="CB17" s="1396"/>
      <c r="CC17" s="270"/>
      <c r="CD17" s="270"/>
      <c r="CE17"/>
    </row>
    <row r="18" spans="1:83" ht="13.5" outlineLevel="2" thickBot="1" x14ac:dyDescent="0.25">
      <c r="A18" s="270"/>
      <c r="B18" s="271"/>
      <c r="C18" s="270"/>
      <c r="D18" s="270"/>
      <c r="E18" s="270"/>
      <c r="F18" s="270"/>
      <c r="G18" s="271"/>
      <c r="H18" s="271"/>
      <c r="I18" s="271"/>
      <c r="J18" s="270"/>
      <c r="K18" s="270"/>
      <c r="L18" s="270"/>
      <c r="M18" s="270"/>
      <c r="N18" s="270"/>
      <c r="O18" s="270"/>
      <c r="P18" s="270"/>
      <c r="Q18" s="270"/>
      <c r="R18" s="558" t="s">
        <v>1728</v>
      </c>
      <c r="S18" s="615">
        <v>0.64583333333333381</v>
      </c>
      <c r="T18" s="619"/>
      <c r="U18" s="1503"/>
      <c r="V18" s="495" t="str">
        <f>IF(G14="","",G14)</f>
        <v>Jean-François BALARD (puy)</v>
      </c>
      <c r="W18" s="496">
        <v>3</v>
      </c>
      <c r="X18" s="497" t="s">
        <v>769</v>
      </c>
      <c r="Y18" s="496">
        <v>3</v>
      </c>
      <c r="Z18" s="498" t="str">
        <f>IF(G10="","",G10)</f>
        <v>Jean-Marie AMBERNY (iss)</v>
      </c>
      <c r="AA18" s="839"/>
      <c r="AB18" s="1459">
        <f t="shared" si="4"/>
        <v>3</v>
      </c>
      <c r="AC18" s="1460" t="str">
        <f t="shared" si="5"/>
        <v>-</v>
      </c>
      <c r="AD18" s="1459">
        <f t="shared" si="6"/>
        <v>3</v>
      </c>
      <c r="AE18" s="968" t="str">
        <f t="shared" si="7"/>
        <v/>
      </c>
      <c r="AF18" s="968" t="str">
        <f t="shared" si="8"/>
        <v>Jean-François BALARD (puy)</v>
      </c>
      <c r="AG18" s="968" t="str">
        <f t="shared" si="9"/>
        <v>Jean-Marie AMBERNY (iss)</v>
      </c>
      <c r="AH18" s="968" t="str">
        <f t="shared" si="10"/>
        <v/>
      </c>
      <c r="AI18" s="968" t="str">
        <f t="shared" si="11"/>
        <v/>
      </c>
      <c r="AJ18" s="968"/>
      <c r="AK18" s="968"/>
      <c r="AL18" s="270"/>
      <c r="AM18" s="270"/>
      <c r="AN18" s="575"/>
      <c r="AO18" s="270"/>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c r="CA18" s="1396"/>
      <c r="CB18" s="1396"/>
      <c r="CC18" s="270"/>
      <c r="CD18" s="270"/>
      <c r="CE18"/>
    </row>
    <row r="19" spans="1:83" outlineLevel="2" x14ac:dyDescent="0.2">
      <c r="A19" s="270"/>
      <c r="B19" s="271"/>
      <c r="C19" s="270"/>
      <c r="D19" s="270"/>
      <c r="E19" s="270"/>
      <c r="F19" s="270"/>
      <c r="G19" s="271"/>
      <c r="H19" s="271"/>
      <c r="I19" s="271"/>
      <c r="J19" s="270"/>
      <c r="K19" s="270"/>
      <c r="L19" s="270"/>
      <c r="M19" s="270"/>
      <c r="N19" s="270"/>
      <c r="O19" s="270"/>
      <c r="P19" s="270"/>
      <c r="Q19" s="270"/>
      <c r="R19" s="558" t="s">
        <v>1729</v>
      </c>
      <c r="S19" s="611"/>
      <c r="T19" s="617"/>
      <c r="U19" s="1502"/>
      <c r="V19" s="479" t="str">
        <f>IF(G7="","",G7)</f>
        <v>Thierry VIVRON (iss)</v>
      </c>
      <c r="W19" s="480" t="s">
        <v>898</v>
      </c>
      <c r="X19" s="481" t="s">
        <v>769</v>
      </c>
      <c r="Y19" s="480" t="s">
        <v>898</v>
      </c>
      <c r="Z19" s="482" t="str">
        <f>IF(G8="","",G8)</f>
        <v>Audrey HERBAUT (chp)</v>
      </c>
      <c r="AA19" s="839"/>
      <c r="AB19" s="1459" t="str">
        <f t="shared" si="4"/>
        <v/>
      </c>
      <c r="AC19" s="1460" t="str">
        <f t="shared" si="5"/>
        <v/>
      </c>
      <c r="AD19" s="1459" t="str">
        <f t="shared" si="6"/>
        <v/>
      </c>
      <c r="AE19" s="968" t="str">
        <f t="shared" si="7"/>
        <v/>
      </c>
      <c r="AF19" s="968" t="str">
        <f t="shared" si="8"/>
        <v/>
      </c>
      <c r="AG19" s="968" t="str">
        <f t="shared" si="9"/>
        <v/>
      </c>
      <c r="AH19" s="968" t="str">
        <f t="shared" si="10"/>
        <v/>
      </c>
      <c r="AI19" s="968" t="str">
        <f t="shared" si="11"/>
        <v/>
      </c>
      <c r="AJ19" s="968"/>
      <c r="AK19" s="968"/>
      <c r="AL19" s="270"/>
      <c r="AM19" s="270"/>
      <c r="AN19" s="575"/>
      <c r="AO19" s="270"/>
      <c r="AP19" s="271"/>
      <c r="AQ19" s="271"/>
      <c r="AR19" s="271"/>
      <c r="AS19" s="271"/>
      <c r="AT19" s="271"/>
      <c r="AU19" s="271"/>
      <c r="AV19" s="271"/>
      <c r="AW19" s="271"/>
      <c r="AX19" s="271"/>
      <c r="AY19" s="271"/>
      <c r="AZ19" s="271"/>
      <c r="BA19" s="271"/>
      <c r="BB19" s="271"/>
      <c r="BC19" s="271"/>
      <c r="BD19" s="271"/>
      <c r="BE19" s="271"/>
      <c r="BF19" s="271"/>
      <c r="BG19" s="271"/>
      <c r="BH19" s="271"/>
      <c r="BI19" s="271"/>
      <c r="BJ19" s="271"/>
      <c r="BK19" s="271"/>
      <c r="BL19" s="271"/>
      <c r="BM19" s="271"/>
      <c r="BN19" s="271"/>
      <c r="BO19" s="271"/>
      <c r="BP19" s="271"/>
      <c r="BQ19" s="271"/>
      <c r="BR19" s="271"/>
      <c r="BS19" s="271"/>
      <c r="BT19" s="271"/>
      <c r="BU19" s="271"/>
      <c r="BV19" s="271"/>
      <c r="BW19" s="271"/>
      <c r="BX19" s="271"/>
      <c r="BY19" s="271"/>
      <c r="BZ19"/>
      <c r="CA19" s="1396"/>
      <c r="CB19" s="1396"/>
      <c r="CC19" s="270"/>
      <c r="CD19" s="270"/>
      <c r="CE19"/>
    </row>
    <row r="20" spans="1:83" outlineLevel="2" x14ac:dyDescent="0.2">
      <c r="A20" s="270"/>
      <c r="B20" s="271"/>
      <c r="C20" s="270"/>
      <c r="D20" s="270"/>
      <c r="E20" s="270"/>
      <c r="F20" s="270"/>
      <c r="G20" s="271"/>
      <c r="H20" s="271"/>
      <c r="I20" s="271"/>
      <c r="J20" s="270"/>
      <c r="K20" s="270"/>
      <c r="L20" s="270"/>
      <c r="M20" s="270"/>
      <c r="N20" s="270"/>
      <c r="O20" s="270"/>
      <c r="P20" s="270"/>
      <c r="Q20" s="270"/>
      <c r="R20" s="558" t="s">
        <v>1729</v>
      </c>
      <c r="S20" s="613">
        <v>0.71180555555555558</v>
      </c>
      <c r="T20" s="618"/>
      <c r="U20" s="1504"/>
      <c r="V20" s="491" t="str">
        <f>IF(G10="","",G10)</f>
        <v>Jean-Marie AMBERNY (iss)</v>
      </c>
      <c r="W20" s="492">
        <v>3</v>
      </c>
      <c r="X20" s="493" t="s">
        <v>769</v>
      </c>
      <c r="Y20" s="492">
        <v>3</v>
      </c>
      <c r="Z20" s="494" t="str">
        <f>IF(G12="","",G12)</f>
        <v>Axel DONVAL (iss)</v>
      </c>
      <c r="AA20" s="839"/>
      <c r="AB20" s="1459">
        <f t="shared" si="4"/>
        <v>3</v>
      </c>
      <c r="AC20" s="1460" t="str">
        <f t="shared" si="5"/>
        <v>-</v>
      </c>
      <c r="AD20" s="1459">
        <f t="shared" si="6"/>
        <v>3</v>
      </c>
      <c r="AE20" s="968" t="str">
        <f t="shared" si="7"/>
        <v/>
      </c>
      <c r="AF20" s="968" t="str">
        <f t="shared" si="8"/>
        <v>Jean-Marie AMBERNY (iss)</v>
      </c>
      <c r="AG20" s="968" t="str">
        <f t="shared" si="9"/>
        <v>Axel DONVAL (iss)</v>
      </c>
      <c r="AH20" s="968" t="str">
        <f t="shared" si="10"/>
        <v/>
      </c>
      <c r="AI20" s="968" t="str">
        <f t="shared" si="11"/>
        <v/>
      </c>
      <c r="AJ20" s="968"/>
      <c r="AK20" s="968"/>
      <c r="AL20" s="270"/>
      <c r="AM20" s="270"/>
      <c r="AN20" s="575"/>
      <c r="AO20" s="270"/>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c r="CA20" s="1396"/>
      <c r="CB20" s="1396"/>
      <c r="CC20" s="270"/>
      <c r="CD20" s="270"/>
      <c r="CE20"/>
    </row>
    <row r="21" spans="1:83" outlineLevel="2" x14ac:dyDescent="0.2">
      <c r="A21" s="270"/>
      <c r="B21" s="271"/>
      <c r="C21" s="270"/>
      <c r="D21" s="270"/>
      <c r="E21" s="270"/>
      <c r="F21" s="270"/>
      <c r="G21" s="271"/>
      <c r="H21" s="271"/>
      <c r="I21" s="271"/>
      <c r="J21" s="270"/>
      <c r="K21" s="270"/>
      <c r="L21" s="270"/>
      <c r="M21" s="270"/>
      <c r="N21" s="270"/>
      <c r="O21" s="270"/>
      <c r="P21" s="270"/>
      <c r="Q21" s="270"/>
      <c r="R21" s="558" t="s">
        <v>1729</v>
      </c>
      <c r="S21" s="613"/>
      <c r="T21" s="618"/>
      <c r="U21" s="1504"/>
      <c r="V21" s="491" t="str">
        <f>IF(G11="","",G11)</f>
        <v>Cyprien BONNET (sym)</v>
      </c>
      <c r="W21" s="492" t="s">
        <v>898</v>
      </c>
      <c r="X21" s="493" t="s">
        <v>769</v>
      </c>
      <c r="Y21" s="492" t="s">
        <v>898</v>
      </c>
      <c r="Z21" s="494" t="str">
        <f>IF(G14="","",G14)</f>
        <v>Jean-François BALARD (puy)</v>
      </c>
      <c r="AA21" s="839"/>
      <c r="AB21" s="1459" t="str">
        <f t="shared" si="4"/>
        <v/>
      </c>
      <c r="AC21" s="1460" t="str">
        <f t="shared" si="5"/>
        <v/>
      </c>
      <c r="AD21" s="1459" t="str">
        <f t="shared" si="6"/>
        <v/>
      </c>
      <c r="AE21" s="968" t="str">
        <f t="shared" si="7"/>
        <v/>
      </c>
      <c r="AF21" s="968" t="str">
        <f t="shared" si="8"/>
        <v/>
      </c>
      <c r="AG21" s="968" t="str">
        <f t="shared" si="9"/>
        <v/>
      </c>
      <c r="AH21" s="968" t="str">
        <f t="shared" si="10"/>
        <v/>
      </c>
      <c r="AI21" s="968" t="str">
        <f t="shared" si="11"/>
        <v/>
      </c>
      <c r="AJ21" s="968"/>
      <c r="AK21" s="968"/>
      <c r="AL21" s="270"/>
      <c r="AM21" s="270"/>
      <c r="AN21" s="575"/>
      <c r="AO21" s="270"/>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c r="CA21" s="1396"/>
      <c r="CB21" s="1396"/>
      <c r="CC21" s="270"/>
      <c r="CD21" s="270"/>
      <c r="CE21"/>
    </row>
    <row r="22" spans="1:83" ht="13.5" outlineLevel="2" thickBot="1" x14ac:dyDescent="0.25">
      <c r="A22" s="270"/>
      <c r="B22" s="271"/>
      <c r="C22" s="270"/>
      <c r="D22" s="270"/>
      <c r="E22" s="270"/>
      <c r="F22" s="270"/>
      <c r="G22" s="271"/>
      <c r="H22" s="271"/>
      <c r="I22" s="271"/>
      <c r="J22" s="270"/>
      <c r="K22" s="270"/>
      <c r="L22" s="270"/>
      <c r="M22" s="270"/>
      <c r="N22" s="270"/>
      <c r="O22" s="270"/>
      <c r="P22" s="270"/>
      <c r="Q22" s="270"/>
      <c r="R22" s="558" t="s">
        <v>1729</v>
      </c>
      <c r="S22" s="615">
        <v>0.71180555555555558</v>
      </c>
      <c r="T22" s="619"/>
      <c r="U22" s="1503"/>
      <c r="V22" s="495" t="str">
        <f>IF(G13="","",G13)</f>
        <v>Françoise GUYOT (chp)</v>
      </c>
      <c r="W22" s="496">
        <v>3</v>
      </c>
      <c r="X22" s="497" t="s">
        <v>769</v>
      </c>
      <c r="Y22" s="496">
        <v>5</v>
      </c>
      <c r="Z22" s="498" t="str">
        <f>IF(G9="","",G9)</f>
        <v>Cédric PANDOLFI (sym)</v>
      </c>
      <c r="AA22" s="839"/>
      <c r="AB22" s="1459">
        <f t="shared" si="4"/>
        <v>3</v>
      </c>
      <c r="AC22" s="1460" t="str">
        <f t="shared" si="5"/>
        <v>-</v>
      </c>
      <c r="AD22" s="1459">
        <f t="shared" si="6"/>
        <v>5</v>
      </c>
      <c r="AE22" s="968" t="str">
        <f t="shared" si="7"/>
        <v>Cédric PANDOLFI (sym)</v>
      </c>
      <c r="AF22" s="968" t="str">
        <f t="shared" si="8"/>
        <v/>
      </c>
      <c r="AG22" s="968" t="str">
        <f t="shared" si="9"/>
        <v/>
      </c>
      <c r="AH22" s="968" t="str">
        <f t="shared" si="10"/>
        <v>Françoise GUYOT (chp)</v>
      </c>
      <c r="AI22" s="968" t="str">
        <f t="shared" si="11"/>
        <v>Cédric PANDOLFI (sym)Françoise GUYOT (chp)</v>
      </c>
      <c r="AJ22" s="968"/>
      <c r="AK22" s="968"/>
      <c r="AL22" s="270"/>
      <c r="AM22" s="270"/>
      <c r="AN22" s="575"/>
      <c r="AO22" s="270"/>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c r="CA22" s="1396"/>
      <c r="CB22" s="1396"/>
      <c r="CC22" s="270"/>
      <c r="CD22" s="270"/>
      <c r="CE22"/>
    </row>
    <row r="23" spans="1:83" outlineLevel="2" x14ac:dyDescent="0.2">
      <c r="A23" s="270"/>
      <c r="B23" s="271"/>
      <c r="C23" s="270"/>
      <c r="D23" s="270"/>
      <c r="E23" s="270"/>
      <c r="F23" s="270"/>
      <c r="G23" s="271"/>
      <c r="H23" s="271"/>
      <c r="I23" s="271"/>
      <c r="J23" s="270"/>
      <c r="K23" s="270"/>
      <c r="L23" s="270"/>
      <c r="M23" s="270"/>
      <c r="N23" s="270"/>
      <c r="O23" s="270"/>
      <c r="P23" s="270"/>
      <c r="Q23" s="270"/>
      <c r="R23" s="558" t="s">
        <v>1730</v>
      </c>
      <c r="S23" s="611"/>
      <c r="T23" s="617"/>
      <c r="U23" s="1502"/>
      <c r="V23" s="479" t="str">
        <f>IF(G7="","",G7)</f>
        <v>Thierry VIVRON (iss)</v>
      </c>
      <c r="W23" s="480" t="s">
        <v>898</v>
      </c>
      <c r="X23" s="481" t="s">
        <v>769</v>
      </c>
      <c r="Y23" s="480" t="s">
        <v>898</v>
      </c>
      <c r="Z23" s="482" t="str">
        <f>IF(G10="","",G10)</f>
        <v>Jean-Marie AMBERNY (iss)</v>
      </c>
      <c r="AA23" s="839"/>
      <c r="AB23" s="1459" t="str">
        <f t="shared" si="4"/>
        <v/>
      </c>
      <c r="AC23" s="1460" t="str">
        <f t="shared" si="5"/>
        <v/>
      </c>
      <c r="AD23" s="1459" t="str">
        <f t="shared" si="6"/>
        <v/>
      </c>
      <c r="AE23" s="968" t="str">
        <f t="shared" si="7"/>
        <v/>
      </c>
      <c r="AF23" s="968" t="str">
        <f t="shared" si="8"/>
        <v/>
      </c>
      <c r="AG23" s="968" t="str">
        <f t="shared" si="9"/>
        <v/>
      </c>
      <c r="AH23" s="968" t="str">
        <f t="shared" si="10"/>
        <v/>
      </c>
      <c r="AI23" s="968" t="str">
        <f t="shared" si="11"/>
        <v/>
      </c>
      <c r="AJ23" s="968"/>
      <c r="AK23" s="968"/>
      <c r="AL23" s="270"/>
      <c r="AM23" s="270"/>
      <c r="AN23" s="575"/>
      <c r="AO23" s="270"/>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c r="CA23" s="1396"/>
      <c r="CB23" s="1396"/>
      <c r="CC23" s="270"/>
      <c r="CD23" s="270"/>
      <c r="CE23"/>
    </row>
    <row r="24" spans="1:83" outlineLevel="2" x14ac:dyDescent="0.2">
      <c r="A24" s="270"/>
      <c r="B24" s="271"/>
      <c r="C24" s="270"/>
      <c r="D24" s="270"/>
      <c r="E24" s="270"/>
      <c r="F24" s="270"/>
      <c r="G24" s="271"/>
      <c r="H24" s="271"/>
      <c r="I24" s="271"/>
      <c r="J24" s="270"/>
      <c r="K24" s="270"/>
      <c r="L24" s="270"/>
      <c r="M24" s="270"/>
      <c r="N24" s="270"/>
      <c r="O24" s="270"/>
      <c r="P24" s="270"/>
      <c r="Q24" s="270"/>
      <c r="R24" s="558" t="s">
        <v>1730</v>
      </c>
      <c r="S24" s="613"/>
      <c r="T24" s="618"/>
      <c r="U24" s="1504"/>
      <c r="V24" s="491" t="str">
        <f>IF(G8="","",G8)</f>
        <v>Audrey HERBAUT (chp)</v>
      </c>
      <c r="W24" s="492" t="s">
        <v>898</v>
      </c>
      <c r="X24" s="493" t="s">
        <v>769</v>
      </c>
      <c r="Y24" s="492" t="s">
        <v>898</v>
      </c>
      <c r="Z24" s="494" t="str">
        <f>IF(G9="","",G9)</f>
        <v>Cédric PANDOLFI (sym)</v>
      </c>
      <c r="AA24" s="839"/>
      <c r="AB24" s="1459" t="str">
        <f t="shared" si="4"/>
        <v/>
      </c>
      <c r="AC24" s="1460" t="str">
        <f t="shared" si="5"/>
        <v/>
      </c>
      <c r="AD24" s="1459" t="str">
        <f t="shared" si="6"/>
        <v/>
      </c>
      <c r="AE24" s="968" t="str">
        <f t="shared" si="7"/>
        <v/>
      </c>
      <c r="AF24" s="968" t="str">
        <f t="shared" si="8"/>
        <v/>
      </c>
      <c r="AG24" s="968" t="str">
        <f t="shared" si="9"/>
        <v/>
      </c>
      <c r="AH24" s="968" t="str">
        <f t="shared" si="10"/>
        <v/>
      </c>
      <c r="AI24" s="968" t="str">
        <f t="shared" si="11"/>
        <v/>
      </c>
      <c r="AJ24" s="968"/>
      <c r="AK24" s="968"/>
      <c r="AL24" s="270"/>
      <c r="AM24" s="270"/>
      <c r="AN24" s="575"/>
      <c r="AO24" s="270"/>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c r="CA24" s="1396"/>
      <c r="CB24" s="1396"/>
      <c r="CC24" s="270"/>
      <c r="CD24" s="270"/>
      <c r="CE24"/>
    </row>
    <row r="25" spans="1:83" outlineLevel="2" x14ac:dyDescent="0.2">
      <c r="A25" s="270"/>
      <c r="B25" s="271"/>
      <c r="C25" s="270"/>
      <c r="D25" s="270"/>
      <c r="E25" s="270"/>
      <c r="F25" s="270"/>
      <c r="G25" s="271"/>
      <c r="H25" s="271"/>
      <c r="I25" s="271"/>
      <c r="J25" s="270"/>
      <c r="K25" s="270"/>
      <c r="L25" s="270"/>
      <c r="M25" s="270"/>
      <c r="N25" s="270"/>
      <c r="O25" s="270"/>
      <c r="P25" s="270"/>
      <c r="Q25" s="270"/>
      <c r="R25" s="558" t="s">
        <v>1730</v>
      </c>
      <c r="S25" s="613">
        <v>0.75694444444444442</v>
      </c>
      <c r="T25" s="618"/>
      <c r="U25" s="1504"/>
      <c r="V25" s="491" t="str">
        <f>IF(G11="","",G11)</f>
        <v>Cyprien BONNET (sym)</v>
      </c>
      <c r="W25" s="492">
        <v>3</v>
      </c>
      <c r="X25" s="493" t="s">
        <v>769</v>
      </c>
      <c r="Y25" s="492">
        <v>5</v>
      </c>
      <c r="Z25" s="494" t="str">
        <f>IF(G13="","",G13)</f>
        <v>Françoise GUYOT (chp)</v>
      </c>
      <c r="AA25" s="839"/>
      <c r="AB25" s="1459">
        <f t="shared" si="4"/>
        <v>3</v>
      </c>
      <c r="AC25" s="1460" t="str">
        <f t="shared" si="5"/>
        <v>-</v>
      </c>
      <c r="AD25" s="1459">
        <f t="shared" si="6"/>
        <v>5</v>
      </c>
      <c r="AE25" s="968" t="str">
        <f t="shared" si="7"/>
        <v>Françoise GUYOT (chp)</v>
      </c>
      <c r="AF25" s="968" t="str">
        <f t="shared" si="8"/>
        <v/>
      </c>
      <c r="AG25" s="968" t="str">
        <f t="shared" si="9"/>
        <v/>
      </c>
      <c r="AH25" s="968" t="str">
        <f t="shared" si="10"/>
        <v>Cyprien BONNET (sym)</v>
      </c>
      <c r="AI25" s="968" t="str">
        <f t="shared" si="11"/>
        <v>Françoise GUYOT (chp)Cyprien BONNET (sym)</v>
      </c>
      <c r="AJ25" s="968"/>
      <c r="AK25" s="968"/>
      <c r="AL25" s="270"/>
      <c r="AM25" s="270"/>
      <c r="AN25" s="575"/>
      <c r="AO25" s="270"/>
      <c r="AP25" s="271"/>
      <c r="AQ25" s="271"/>
      <c r="AR25" s="271"/>
      <c r="AS25" s="271"/>
      <c r="AT25" s="271"/>
      <c r="AU25" s="271"/>
      <c r="AV25" s="271"/>
      <c r="AW25" s="271"/>
      <c r="AX25" s="271"/>
      <c r="AY25" s="271"/>
      <c r="AZ25" s="271"/>
      <c r="BA25" s="271"/>
      <c r="BB25" s="271"/>
      <c r="BC25" s="271"/>
      <c r="BD25" s="271"/>
      <c r="BE25" s="271"/>
      <c r="BF25" s="271"/>
      <c r="BG25" s="271"/>
      <c r="BH25" s="271"/>
      <c r="BI25" s="271"/>
      <c r="BJ25" s="271"/>
      <c r="BK25" s="271"/>
      <c r="BL25" s="271"/>
      <c r="BM25" s="271"/>
      <c r="BN25" s="271"/>
      <c r="BO25" s="271"/>
      <c r="BP25" s="271"/>
      <c r="BQ25" s="271"/>
      <c r="BR25" s="271"/>
      <c r="BS25" s="271"/>
      <c r="BT25" s="271"/>
      <c r="BU25" s="271"/>
      <c r="BV25" s="271"/>
      <c r="BW25" s="271"/>
      <c r="BX25" s="271"/>
      <c r="BY25" s="271"/>
      <c r="BZ25"/>
      <c r="CA25" s="1396"/>
      <c r="CB25" s="1396"/>
      <c r="CC25" s="270"/>
      <c r="CD25" s="270"/>
      <c r="CE25"/>
    </row>
    <row r="26" spans="1:83" ht="13.5" outlineLevel="2" thickBot="1" x14ac:dyDescent="0.25">
      <c r="A26" s="270"/>
      <c r="B26" s="271"/>
      <c r="C26" s="270"/>
      <c r="D26" s="270"/>
      <c r="E26" s="270"/>
      <c r="F26" s="270"/>
      <c r="G26" s="271"/>
      <c r="H26" s="271"/>
      <c r="I26" s="271"/>
      <c r="J26" s="270"/>
      <c r="K26" s="270"/>
      <c r="L26" s="270"/>
      <c r="M26" s="270"/>
      <c r="N26" s="270"/>
      <c r="O26" s="270"/>
      <c r="P26" s="270"/>
      <c r="Q26" s="270"/>
      <c r="R26" s="558" t="s">
        <v>1730</v>
      </c>
      <c r="S26" s="615">
        <v>0.75694444444444442</v>
      </c>
      <c r="T26" s="619"/>
      <c r="U26" s="1503"/>
      <c r="V26" s="495" t="str">
        <f>IF(G14="","",G14)</f>
        <v>Jean-François BALARD (puy)</v>
      </c>
      <c r="W26" s="496">
        <v>3</v>
      </c>
      <c r="X26" s="497" t="s">
        <v>769</v>
      </c>
      <c r="Y26" s="496">
        <v>2</v>
      </c>
      <c r="Z26" s="498" t="str">
        <f>IF(G12="","",G12)</f>
        <v>Axel DONVAL (iss)</v>
      </c>
      <c r="AA26" s="839"/>
      <c r="AB26" s="1459">
        <f t="shared" si="4"/>
        <v>3</v>
      </c>
      <c r="AC26" s="1460" t="str">
        <f t="shared" si="5"/>
        <v>-</v>
      </c>
      <c r="AD26" s="1459">
        <f t="shared" si="6"/>
        <v>2</v>
      </c>
      <c r="AE26" s="968" t="str">
        <f t="shared" si="7"/>
        <v>Jean-François BALARD (puy)</v>
      </c>
      <c r="AF26" s="968" t="str">
        <f t="shared" si="8"/>
        <v/>
      </c>
      <c r="AG26" s="968" t="str">
        <f t="shared" si="9"/>
        <v/>
      </c>
      <c r="AH26" s="968" t="str">
        <f t="shared" si="10"/>
        <v>Axel DONVAL (iss)</v>
      </c>
      <c r="AI26" s="968" t="str">
        <f t="shared" si="11"/>
        <v>Jean-François BALARD (puy)Axel DONVAL (iss)</v>
      </c>
      <c r="AJ26" s="968"/>
      <c r="AK26" s="968"/>
      <c r="AL26" s="270"/>
      <c r="AM26" s="270"/>
      <c r="AN26" s="575"/>
      <c r="AO26" s="270"/>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c r="CA26" s="1396"/>
      <c r="CB26" s="1396"/>
      <c r="CC26" s="270"/>
      <c r="CD26" s="270"/>
      <c r="CE26"/>
    </row>
    <row r="27" spans="1:83" outlineLevel="2" x14ac:dyDescent="0.2">
      <c r="A27" s="270"/>
      <c r="B27" s="271"/>
      <c r="C27" s="270"/>
      <c r="D27" s="270"/>
      <c r="E27" s="270"/>
      <c r="F27" s="270"/>
      <c r="G27" s="271"/>
      <c r="H27" s="271"/>
      <c r="I27" s="271"/>
      <c r="J27" s="270"/>
      <c r="K27" s="270"/>
      <c r="L27" s="270"/>
      <c r="M27" s="270"/>
      <c r="N27" s="270"/>
      <c r="O27" s="270"/>
      <c r="P27" s="270"/>
      <c r="Q27" s="270"/>
      <c r="R27" s="558" t="s">
        <v>1731</v>
      </c>
      <c r="S27" s="611"/>
      <c r="T27" s="617"/>
      <c r="U27" s="1502"/>
      <c r="V27" s="479" t="str">
        <f>IF(G9="","",G9)</f>
        <v>Cédric PANDOLFI (sym)</v>
      </c>
      <c r="W27" s="480" t="s">
        <v>898</v>
      </c>
      <c r="X27" s="481" t="s">
        <v>769</v>
      </c>
      <c r="Y27" s="480" t="s">
        <v>898</v>
      </c>
      <c r="Z27" s="482" t="str">
        <f>IF(G10="","",G10)</f>
        <v>Jean-Marie AMBERNY (iss)</v>
      </c>
      <c r="AA27" s="839"/>
      <c r="AB27" s="1459" t="str">
        <f t="shared" si="4"/>
        <v/>
      </c>
      <c r="AC27" s="1460" t="str">
        <f t="shared" si="5"/>
        <v/>
      </c>
      <c r="AD27" s="1459" t="str">
        <f t="shared" si="6"/>
        <v/>
      </c>
      <c r="AE27" s="968" t="str">
        <f t="shared" si="7"/>
        <v/>
      </c>
      <c r="AF27" s="968" t="str">
        <f t="shared" si="8"/>
        <v/>
      </c>
      <c r="AG27" s="968" t="str">
        <f t="shared" si="9"/>
        <v/>
      </c>
      <c r="AH27" s="968" t="str">
        <f t="shared" si="10"/>
        <v/>
      </c>
      <c r="AI27" s="968" t="str">
        <f t="shared" si="11"/>
        <v/>
      </c>
      <c r="AJ27" s="968"/>
      <c r="AK27" s="968"/>
      <c r="AL27" s="270"/>
      <c r="AM27" s="270"/>
      <c r="AN27" s="575"/>
      <c r="AO27" s="270"/>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c r="CA27" s="1396"/>
      <c r="CB27" s="1396"/>
      <c r="CC27" s="270"/>
      <c r="CD27" s="270"/>
      <c r="CE27"/>
    </row>
    <row r="28" spans="1:83" outlineLevel="2" x14ac:dyDescent="0.2">
      <c r="A28" s="270"/>
      <c r="B28" s="271"/>
      <c r="C28" s="270"/>
      <c r="D28" s="270"/>
      <c r="E28" s="270"/>
      <c r="F28" s="270"/>
      <c r="G28" s="271"/>
      <c r="H28" s="271"/>
      <c r="I28" s="271"/>
      <c r="J28" s="270"/>
      <c r="K28" s="270"/>
      <c r="L28" s="270"/>
      <c r="M28" s="270"/>
      <c r="N28" s="270"/>
      <c r="O28" s="270"/>
      <c r="P28" s="270"/>
      <c r="Q28" s="270"/>
      <c r="R28" s="558" t="s">
        <v>1731</v>
      </c>
      <c r="S28" s="613"/>
      <c r="T28" s="618"/>
      <c r="U28" s="1504"/>
      <c r="V28" s="491" t="str">
        <f>IF(G11="","",G11)</f>
        <v>Cyprien BONNET (sym)</v>
      </c>
      <c r="W28" s="492" t="s">
        <v>898</v>
      </c>
      <c r="X28" s="493" t="s">
        <v>769</v>
      </c>
      <c r="Y28" s="492" t="s">
        <v>898</v>
      </c>
      <c r="Z28" s="494" t="str">
        <f>IF(G8="","",G8)</f>
        <v>Audrey HERBAUT (chp)</v>
      </c>
      <c r="AA28" s="839"/>
      <c r="AB28" s="1459" t="str">
        <f t="shared" si="4"/>
        <v/>
      </c>
      <c r="AC28" s="1460" t="str">
        <f t="shared" si="5"/>
        <v/>
      </c>
      <c r="AD28" s="1459" t="str">
        <f t="shared" si="6"/>
        <v/>
      </c>
      <c r="AE28" s="968" t="str">
        <f t="shared" si="7"/>
        <v/>
      </c>
      <c r="AF28" s="968" t="str">
        <f t="shared" si="8"/>
        <v/>
      </c>
      <c r="AG28" s="968" t="str">
        <f t="shared" si="9"/>
        <v/>
      </c>
      <c r="AH28" s="968" t="str">
        <f t="shared" si="10"/>
        <v/>
      </c>
      <c r="AI28" s="968" t="str">
        <f t="shared" si="11"/>
        <v/>
      </c>
      <c r="AJ28" s="968"/>
      <c r="AK28" s="968"/>
      <c r="AL28" s="270"/>
      <c r="AM28" s="270"/>
      <c r="AN28" s="575"/>
      <c r="AO28" s="270"/>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c r="CA28" s="1396"/>
      <c r="CB28" s="1396"/>
      <c r="CC28" s="270"/>
      <c r="CD28" s="270"/>
      <c r="CE28"/>
    </row>
    <row r="29" spans="1:83" outlineLevel="2" x14ac:dyDescent="0.2">
      <c r="A29" s="270"/>
      <c r="B29" s="271"/>
      <c r="C29" s="270"/>
      <c r="D29" s="270"/>
      <c r="E29" s="270"/>
      <c r="F29" s="270"/>
      <c r="G29" s="271"/>
      <c r="H29" s="271"/>
      <c r="I29" s="271"/>
      <c r="J29" s="270"/>
      <c r="K29" s="270"/>
      <c r="L29" s="270"/>
      <c r="M29" s="270"/>
      <c r="N29" s="270"/>
      <c r="O29" s="270"/>
      <c r="P29" s="270"/>
      <c r="Q29" s="270"/>
      <c r="R29" s="558" t="s">
        <v>1731</v>
      </c>
      <c r="S29" s="613"/>
      <c r="T29" s="623"/>
      <c r="U29" s="1504"/>
      <c r="V29" s="491" t="str">
        <f>IF(G12="","",G12)</f>
        <v>Axel DONVAL (iss)</v>
      </c>
      <c r="W29" s="492" t="s">
        <v>898</v>
      </c>
      <c r="X29" s="493" t="s">
        <v>769</v>
      </c>
      <c r="Y29" s="492" t="s">
        <v>898</v>
      </c>
      <c r="Z29" s="494" t="str">
        <f>IF(G7="","",G7)</f>
        <v>Thierry VIVRON (iss)</v>
      </c>
      <c r="AA29" s="839"/>
      <c r="AB29" s="1459" t="str">
        <f t="shared" si="4"/>
        <v/>
      </c>
      <c r="AC29" s="1460" t="str">
        <f t="shared" si="5"/>
        <v/>
      </c>
      <c r="AD29" s="1459" t="str">
        <f t="shared" si="6"/>
        <v/>
      </c>
      <c r="AE29" s="968" t="str">
        <f t="shared" si="7"/>
        <v/>
      </c>
      <c r="AF29" s="968" t="str">
        <f t="shared" si="8"/>
        <v/>
      </c>
      <c r="AG29" s="968" t="str">
        <f t="shared" si="9"/>
        <v/>
      </c>
      <c r="AH29" s="968" t="str">
        <f t="shared" si="10"/>
        <v/>
      </c>
      <c r="AI29" s="968" t="str">
        <f t="shared" si="11"/>
        <v/>
      </c>
      <c r="AJ29" s="968"/>
      <c r="AK29" s="968"/>
      <c r="AL29" s="270"/>
      <c r="AM29" s="270"/>
      <c r="AN29" s="575"/>
      <c r="AO29" s="270"/>
      <c r="AP29" s="271"/>
      <c r="AQ29" s="271"/>
      <c r="AR29" s="271"/>
      <c r="AS29" s="271"/>
      <c r="AT29" s="271"/>
      <c r="AU29" s="271"/>
      <c r="AV29" s="271"/>
      <c r="AW29" s="271"/>
      <c r="AX29" s="271"/>
      <c r="AY29" s="271"/>
      <c r="AZ29" s="271"/>
      <c r="BA29" s="271"/>
      <c r="BB29" s="271"/>
      <c r="BC29" s="271"/>
      <c r="BD29" s="271"/>
      <c r="BE29" s="271"/>
      <c r="BF29" s="271"/>
      <c r="BG29" s="271"/>
      <c r="BH29" s="271"/>
      <c r="BI29" s="271"/>
      <c r="BJ29" s="271"/>
      <c r="BK29" s="271"/>
      <c r="BL29" s="271"/>
      <c r="BM29" s="271"/>
      <c r="BN29" s="271"/>
      <c r="BO29" s="271"/>
      <c r="BP29" s="271"/>
      <c r="BQ29" s="271"/>
      <c r="BR29" s="271"/>
      <c r="BS29" s="271"/>
      <c r="BT29" s="271"/>
      <c r="BU29" s="271"/>
      <c r="BV29" s="271"/>
      <c r="BW29" s="271"/>
      <c r="BX29" s="271"/>
      <c r="BY29" s="271"/>
      <c r="BZ29"/>
      <c r="CA29" s="1396"/>
      <c r="CB29" s="1396"/>
      <c r="CC29" s="270"/>
      <c r="CD29" s="270"/>
      <c r="CE29"/>
    </row>
    <row r="30" spans="1:83" ht="13.5" outlineLevel="2" thickBot="1" x14ac:dyDescent="0.25">
      <c r="A30" s="270"/>
      <c r="B30" s="271"/>
      <c r="C30" s="270"/>
      <c r="D30" s="270"/>
      <c r="E30" s="270"/>
      <c r="F30" s="270"/>
      <c r="G30" s="271"/>
      <c r="H30" s="271"/>
      <c r="I30" s="271"/>
      <c r="J30" s="270"/>
      <c r="K30" s="270"/>
      <c r="L30" s="270"/>
      <c r="M30" s="270"/>
      <c r="N30" s="270"/>
      <c r="O30" s="270"/>
      <c r="P30" s="270"/>
      <c r="Q30" s="270"/>
      <c r="R30" s="558" t="s">
        <v>1731</v>
      </c>
      <c r="S30" s="615"/>
      <c r="T30" s="619"/>
      <c r="U30" s="1503"/>
      <c r="V30" s="495" t="str">
        <f>IF(G13="","",G13)</f>
        <v>Françoise GUYOT (chp)</v>
      </c>
      <c r="W30" s="496" t="s">
        <v>898</v>
      </c>
      <c r="X30" s="497" t="s">
        <v>769</v>
      </c>
      <c r="Y30" s="496" t="s">
        <v>898</v>
      </c>
      <c r="Z30" s="498" t="str">
        <f>IF(G14="","",G14)</f>
        <v>Jean-François BALARD (puy)</v>
      </c>
      <c r="AA30" s="839"/>
      <c r="AB30" s="1459" t="str">
        <f t="shared" si="4"/>
        <v/>
      </c>
      <c r="AC30" s="1460" t="str">
        <f t="shared" si="5"/>
        <v/>
      </c>
      <c r="AD30" s="1459" t="str">
        <f t="shared" si="6"/>
        <v/>
      </c>
      <c r="AE30" s="968" t="str">
        <f t="shared" si="7"/>
        <v/>
      </c>
      <c r="AF30" s="968" t="str">
        <f t="shared" si="8"/>
        <v/>
      </c>
      <c r="AG30" s="968" t="str">
        <f t="shared" si="9"/>
        <v/>
      </c>
      <c r="AH30" s="968" t="str">
        <f t="shared" si="10"/>
        <v/>
      </c>
      <c r="AI30" s="968" t="str">
        <f t="shared" si="11"/>
        <v/>
      </c>
      <c r="AJ30" s="968"/>
      <c r="AK30" s="968"/>
      <c r="AL30" s="270"/>
      <c r="AM30" s="270"/>
      <c r="AN30" s="575"/>
      <c r="AO30" s="270"/>
      <c r="AP30" s="271"/>
      <c r="AQ30" s="271"/>
      <c r="AR30" s="271"/>
      <c r="AS30" s="271"/>
      <c r="AT30" s="271"/>
      <c r="AU30" s="271"/>
      <c r="AV30" s="271"/>
      <c r="AW30" s="271"/>
      <c r="AX30" s="271"/>
      <c r="AY30" s="271"/>
      <c r="AZ30" s="271"/>
      <c r="BA30" s="271"/>
      <c r="BB30" s="271"/>
      <c r="BC30" s="271"/>
      <c r="BD30" s="271"/>
      <c r="BE30" s="271"/>
      <c r="BF30" s="271"/>
      <c r="BG30" s="271"/>
      <c r="BH30" s="271"/>
      <c r="BI30" s="271"/>
      <c r="BJ30" s="271"/>
      <c r="BK30" s="271"/>
      <c r="BL30" s="271"/>
      <c r="BM30" s="271"/>
      <c r="BN30" s="271"/>
      <c r="BO30" s="271"/>
      <c r="BP30" s="271"/>
      <c r="BQ30" s="271"/>
      <c r="BR30" s="271"/>
      <c r="BS30" s="271"/>
      <c r="BT30" s="271"/>
      <c r="BU30" s="271"/>
      <c r="BV30" s="271"/>
      <c r="BW30" s="271"/>
      <c r="BX30" s="271"/>
      <c r="BY30" s="271"/>
      <c r="BZ30"/>
      <c r="CA30" s="1396"/>
      <c r="CB30" s="1396"/>
      <c r="CC30" s="270"/>
      <c r="CD30" s="270"/>
      <c r="CE30"/>
    </row>
    <row r="31" spans="1:83" outlineLevel="2" x14ac:dyDescent="0.2">
      <c r="A31" s="270"/>
      <c r="B31" s="271"/>
      <c r="C31" s="270"/>
      <c r="D31" s="270"/>
      <c r="E31" s="270"/>
      <c r="F31" s="270"/>
      <c r="G31" s="271"/>
      <c r="H31" s="271"/>
      <c r="I31" s="271"/>
      <c r="J31" s="270"/>
      <c r="K31" s="270"/>
      <c r="L31" s="270"/>
      <c r="M31" s="270"/>
      <c r="N31" s="270"/>
      <c r="O31" s="270"/>
      <c r="P31" s="270"/>
      <c r="Q31" s="270"/>
      <c r="R31" s="558" t="s">
        <v>1740</v>
      </c>
      <c r="S31" s="611"/>
      <c r="T31" s="617"/>
      <c r="U31" s="1502"/>
      <c r="V31" s="479" t="str">
        <f>IF(G8="","",G8)</f>
        <v>Audrey HERBAUT (chp)</v>
      </c>
      <c r="W31" s="480" t="s">
        <v>898</v>
      </c>
      <c r="X31" s="481" t="s">
        <v>769</v>
      </c>
      <c r="Y31" s="480" t="s">
        <v>898</v>
      </c>
      <c r="Z31" s="482" t="str">
        <f>IF(G13="","",G13)</f>
        <v>Françoise GUYOT (chp)</v>
      </c>
      <c r="AA31" s="839"/>
      <c r="AB31" s="1459" t="str">
        <f t="shared" si="4"/>
        <v/>
      </c>
      <c r="AC31" s="1460" t="str">
        <f t="shared" si="5"/>
        <v/>
      </c>
      <c r="AD31" s="1459" t="str">
        <f t="shared" si="6"/>
        <v/>
      </c>
      <c r="AE31" s="968" t="str">
        <f t="shared" si="7"/>
        <v/>
      </c>
      <c r="AF31" s="968" t="str">
        <f t="shared" si="8"/>
        <v/>
      </c>
      <c r="AG31" s="968" t="str">
        <f t="shared" si="9"/>
        <v/>
      </c>
      <c r="AH31" s="968" t="str">
        <f t="shared" si="10"/>
        <v/>
      </c>
      <c r="AI31" s="968" t="str">
        <f t="shared" si="11"/>
        <v/>
      </c>
      <c r="AJ31" s="968"/>
      <c r="AK31" s="968"/>
      <c r="AL31" s="270"/>
      <c r="AM31" s="270"/>
      <c r="AN31" s="575"/>
      <c r="AO31" s="270"/>
      <c r="AP31" s="271"/>
      <c r="AQ31" s="271"/>
      <c r="AR31" s="271"/>
      <c r="AS31" s="271"/>
      <c r="AT31" s="271"/>
      <c r="AU31" s="271"/>
      <c r="AV31" s="271"/>
      <c r="AW31" s="271"/>
      <c r="AX31" s="271"/>
      <c r="AY31" s="271"/>
      <c r="AZ31" s="271"/>
      <c r="BA31" s="271"/>
      <c r="BB31" s="271"/>
      <c r="BC31" s="271"/>
      <c r="BD31" s="271"/>
      <c r="BE31" s="271"/>
      <c r="BF31" s="271"/>
      <c r="BG31" s="271"/>
      <c r="BH31" s="271"/>
      <c r="BI31" s="271"/>
      <c r="BJ31" s="271"/>
      <c r="BK31" s="271"/>
      <c r="BL31" s="271"/>
      <c r="BM31" s="271"/>
      <c r="BN31" s="271"/>
      <c r="BO31" s="271"/>
      <c r="BP31" s="271"/>
      <c r="BQ31" s="271"/>
      <c r="BR31" s="271"/>
      <c r="BS31" s="271"/>
      <c r="BT31" s="271"/>
      <c r="BU31" s="271"/>
      <c r="BV31" s="271"/>
      <c r="BW31" s="271"/>
      <c r="BX31" s="271"/>
      <c r="BY31" s="271"/>
      <c r="BZ31"/>
      <c r="CA31" s="1396"/>
      <c r="CB31" s="1396"/>
      <c r="CC31" s="270"/>
      <c r="CD31" s="270"/>
      <c r="CE31"/>
    </row>
    <row r="32" spans="1:83" outlineLevel="2" x14ac:dyDescent="0.2">
      <c r="A32" s="270"/>
      <c r="B32" s="271"/>
      <c r="C32" s="270"/>
      <c r="D32" s="270"/>
      <c r="E32" s="270"/>
      <c r="F32" s="270"/>
      <c r="G32" s="271"/>
      <c r="H32" s="271"/>
      <c r="I32" s="271"/>
      <c r="J32" s="270"/>
      <c r="K32" s="270"/>
      <c r="L32" s="270"/>
      <c r="M32" s="270"/>
      <c r="N32" s="270"/>
      <c r="O32" s="270"/>
      <c r="P32" s="270"/>
      <c r="Q32" s="270"/>
      <c r="R32" s="558" t="s">
        <v>1740</v>
      </c>
      <c r="S32" s="613"/>
      <c r="T32" s="618"/>
      <c r="U32" s="1504"/>
      <c r="V32" s="491" t="str">
        <f>IF(G9="","",G9)</f>
        <v>Cédric PANDOLFI (sym)</v>
      </c>
      <c r="W32" s="492" t="s">
        <v>898</v>
      </c>
      <c r="X32" s="493" t="s">
        <v>769</v>
      </c>
      <c r="Y32" s="492" t="s">
        <v>898</v>
      </c>
      <c r="Z32" s="494" t="str">
        <f>IF(G12="","",G12)</f>
        <v>Axel DONVAL (iss)</v>
      </c>
      <c r="AA32" s="839"/>
      <c r="AB32" s="1459" t="str">
        <f t="shared" si="4"/>
        <v/>
      </c>
      <c r="AC32" s="1460" t="str">
        <f t="shared" si="5"/>
        <v/>
      </c>
      <c r="AD32" s="1459" t="str">
        <f t="shared" si="6"/>
        <v/>
      </c>
      <c r="AE32" s="968" t="str">
        <f t="shared" si="7"/>
        <v/>
      </c>
      <c r="AF32" s="968" t="str">
        <f t="shared" si="8"/>
        <v/>
      </c>
      <c r="AG32" s="968" t="str">
        <f t="shared" si="9"/>
        <v/>
      </c>
      <c r="AH32" s="968" t="str">
        <f t="shared" si="10"/>
        <v/>
      </c>
      <c r="AI32" s="968" t="str">
        <f t="shared" si="11"/>
        <v/>
      </c>
      <c r="AJ32" s="968"/>
      <c r="AK32" s="968"/>
      <c r="AL32" s="270"/>
      <c r="AM32" s="270"/>
      <c r="AN32" s="575"/>
      <c r="AO32" s="270"/>
      <c r="AP32" s="271"/>
      <c r="AQ32" s="271"/>
      <c r="AR32" s="271"/>
      <c r="AS32" s="271"/>
      <c r="AT32" s="271"/>
      <c r="AU32" s="271"/>
      <c r="AV32" s="271"/>
      <c r="AW32" s="271"/>
      <c r="AX32" s="271"/>
      <c r="AY32" s="271"/>
      <c r="AZ32" s="271"/>
      <c r="BA32" s="271"/>
      <c r="BB32" s="271"/>
      <c r="BC32" s="271"/>
      <c r="BD32" s="271"/>
      <c r="BE32" s="271"/>
      <c r="BF32" s="271"/>
      <c r="BG32" s="271"/>
      <c r="BH32" s="271"/>
      <c r="BI32" s="271"/>
      <c r="BJ32" s="271"/>
      <c r="BK32" s="271"/>
      <c r="BL32" s="271"/>
      <c r="BM32" s="271"/>
      <c r="BN32" s="271"/>
      <c r="BO32" s="271"/>
      <c r="BP32" s="271"/>
      <c r="BQ32" s="271"/>
      <c r="BR32" s="271"/>
      <c r="BS32" s="271"/>
      <c r="BT32" s="271"/>
      <c r="BU32" s="271"/>
      <c r="BV32" s="271"/>
      <c r="BW32" s="271"/>
      <c r="BX32" s="271"/>
      <c r="BY32" s="271"/>
      <c r="BZ32"/>
      <c r="CA32" s="1396"/>
      <c r="CB32" s="1396"/>
      <c r="CC32" s="270"/>
      <c r="CD32" s="270"/>
      <c r="CE32"/>
    </row>
    <row r="33" spans="1:83" outlineLevel="2" x14ac:dyDescent="0.2">
      <c r="A33" s="270"/>
      <c r="B33" s="271"/>
      <c r="C33" s="270"/>
      <c r="D33" s="270"/>
      <c r="E33" s="270"/>
      <c r="F33" s="270"/>
      <c r="G33" s="271"/>
      <c r="H33" s="271"/>
      <c r="I33" s="271"/>
      <c r="J33" s="270"/>
      <c r="K33" s="270"/>
      <c r="L33" s="270"/>
      <c r="M33" s="270"/>
      <c r="N33" s="270"/>
      <c r="O33" s="270"/>
      <c r="P33" s="270"/>
      <c r="Q33" s="270"/>
      <c r="R33" s="558" t="s">
        <v>1740</v>
      </c>
      <c r="S33" s="613"/>
      <c r="T33" s="618"/>
      <c r="U33" s="1504"/>
      <c r="V33" s="491" t="str">
        <f>IF(G10="","",G10)</f>
        <v>Jean-Marie AMBERNY (iss)</v>
      </c>
      <c r="W33" s="492" t="s">
        <v>898</v>
      </c>
      <c r="X33" s="493" t="s">
        <v>769</v>
      </c>
      <c r="Y33" s="492" t="s">
        <v>898</v>
      </c>
      <c r="Z33" s="494" t="str">
        <f>IF(G11="","",G11)</f>
        <v>Cyprien BONNET (sym)</v>
      </c>
      <c r="AA33" s="839"/>
      <c r="AB33" s="1459" t="str">
        <f t="shared" si="4"/>
        <v/>
      </c>
      <c r="AC33" s="1460" t="str">
        <f t="shared" si="5"/>
        <v/>
      </c>
      <c r="AD33" s="1459" t="str">
        <f t="shared" si="6"/>
        <v/>
      </c>
      <c r="AE33" s="968" t="str">
        <f t="shared" si="7"/>
        <v/>
      </c>
      <c r="AF33" s="968" t="str">
        <f t="shared" si="8"/>
        <v/>
      </c>
      <c r="AG33" s="968" t="str">
        <f t="shared" si="9"/>
        <v/>
      </c>
      <c r="AH33" s="968" t="str">
        <f t="shared" si="10"/>
        <v/>
      </c>
      <c r="AI33" s="968" t="str">
        <f t="shared" si="11"/>
        <v/>
      </c>
      <c r="AJ33" s="968"/>
      <c r="AK33" s="968"/>
      <c r="AL33" s="270"/>
      <c r="AM33" s="270"/>
      <c r="AN33" s="575"/>
      <c r="AO33" s="270"/>
      <c r="AP33" s="271"/>
      <c r="AQ33" s="271"/>
      <c r="AR33" s="271"/>
      <c r="AS33" s="271"/>
      <c r="AT33" s="271"/>
      <c r="AU33" s="271"/>
      <c r="AV33" s="271"/>
      <c r="AW33" s="271"/>
      <c r="AX33" s="271"/>
      <c r="AY33" s="271"/>
      <c r="AZ33" s="271"/>
      <c r="BA33" s="271"/>
      <c r="BB33" s="271"/>
      <c r="BC33" s="271"/>
      <c r="BD33" s="271"/>
      <c r="BE33" s="271"/>
      <c r="BF33" s="271"/>
      <c r="BG33" s="271"/>
      <c r="BH33" s="271"/>
      <c r="BI33" s="271"/>
      <c r="BJ33" s="271"/>
      <c r="BK33" s="271"/>
      <c r="BL33" s="271"/>
      <c r="BM33" s="271"/>
      <c r="BN33" s="271"/>
      <c r="BO33" s="271"/>
      <c r="BP33" s="271"/>
      <c r="BQ33" s="271"/>
      <c r="BR33" s="271"/>
      <c r="BS33" s="271"/>
      <c r="BT33" s="271"/>
      <c r="BU33" s="271"/>
      <c r="BV33" s="271"/>
      <c r="BW33" s="271"/>
      <c r="BX33" s="271"/>
      <c r="BY33" s="271"/>
      <c r="BZ33"/>
      <c r="CA33" s="1396"/>
      <c r="CB33" s="1396"/>
      <c r="CC33" s="270"/>
      <c r="CD33" s="270"/>
      <c r="CE33"/>
    </row>
    <row r="34" spans="1:83" ht="13.5" outlineLevel="2" thickBot="1" x14ac:dyDescent="0.25">
      <c r="A34" s="270"/>
      <c r="B34" s="271"/>
      <c r="C34" s="270"/>
      <c r="D34" s="270"/>
      <c r="E34" s="270"/>
      <c r="F34" s="270"/>
      <c r="G34" s="271"/>
      <c r="H34" s="271"/>
      <c r="I34" s="271"/>
      <c r="J34" s="270"/>
      <c r="K34" s="270"/>
      <c r="L34" s="270"/>
      <c r="M34" s="270"/>
      <c r="N34" s="270"/>
      <c r="O34" s="270"/>
      <c r="P34" s="270"/>
      <c r="Q34" s="270"/>
      <c r="R34" s="558" t="s">
        <v>1740</v>
      </c>
      <c r="S34" s="615"/>
      <c r="T34" s="619"/>
      <c r="U34" s="1503"/>
      <c r="V34" s="495" t="str">
        <f>IF(G14="","",G14)</f>
        <v>Jean-François BALARD (puy)</v>
      </c>
      <c r="W34" s="496" t="s">
        <v>898</v>
      </c>
      <c r="X34" s="497" t="s">
        <v>769</v>
      </c>
      <c r="Y34" s="496" t="s">
        <v>898</v>
      </c>
      <c r="Z34" s="498" t="str">
        <f>IF(G7="","",G7)</f>
        <v>Thierry VIVRON (iss)</v>
      </c>
      <c r="AA34" s="839"/>
      <c r="AB34" s="1459" t="str">
        <f t="shared" si="4"/>
        <v/>
      </c>
      <c r="AC34" s="1460" t="str">
        <f t="shared" si="5"/>
        <v/>
      </c>
      <c r="AD34" s="1459" t="str">
        <f t="shared" si="6"/>
        <v/>
      </c>
      <c r="AE34" s="968" t="str">
        <f t="shared" si="7"/>
        <v/>
      </c>
      <c r="AF34" s="968" t="str">
        <f t="shared" si="8"/>
        <v/>
      </c>
      <c r="AG34" s="968" t="str">
        <f t="shared" si="9"/>
        <v/>
      </c>
      <c r="AH34" s="968" t="str">
        <f t="shared" si="10"/>
        <v/>
      </c>
      <c r="AI34" s="968" t="str">
        <f t="shared" si="11"/>
        <v/>
      </c>
      <c r="AJ34" s="968"/>
      <c r="AK34" s="968"/>
      <c r="AL34" s="270"/>
      <c r="AM34" s="270"/>
      <c r="AN34" s="575"/>
      <c r="AO34" s="270"/>
      <c r="AP34" s="271"/>
      <c r="AQ34" s="271"/>
      <c r="AR34" s="271"/>
      <c r="AS34" s="271"/>
      <c r="AT34" s="271"/>
      <c r="AU34" s="271"/>
      <c r="AV34" s="271"/>
      <c r="AW34" s="271"/>
      <c r="AX34" s="271"/>
      <c r="AY34" s="271"/>
      <c r="AZ34" s="271"/>
      <c r="BA34" s="271"/>
      <c r="BB34" s="271"/>
      <c r="BC34" s="271"/>
      <c r="BD34" s="271"/>
      <c r="BE34" s="271"/>
      <c r="BF34" s="271"/>
      <c r="BG34" s="271"/>
      <c r="BH34" s="271"/>
      <c r="BI34" s="271"/>
      <c r="BJ34" s="271"/>
      <c r="BK34" s="271"/>
      <c r="BL34" s="271"/>
      <c r="BM34" s="271"/>
      <c r="BN34" s="271"/>
      <c r="BO34" s="271"/>
      <c r="BP34" s="271"/>
      <c r="BQ34" s="271"/>
      <c r="BR34" s="271"/>
      <c r="BS34" s="271"/>
      <c r="BT34" s="271"/>
      <c r="BU34" s="271"/>
      <c r="BV34" s="271"/>
      <c r="BW34" s="271"/>
      <c r="BX34" s="271"/>
      <c r="BY34" s="271"/>
      <c r="BZ34"/>
      <c r="CA34" s="1396"/>
      <c r="CB34" s="1396"/>
      <c r="CC34" s="270"/>
      <c r="CD34" s="270"/>
      <c r="CE34"/>
    </row>
    <row r="35" spans="1:83" outlineLevel="1" x14ac:dyDescent="0.2">
      <c r="A35"/>
      <c r="B35" s="1"/>
      <c r="C35"/>
      <c r="D35"/>
      <c r="E35"/>
      <c r="F35"/>
      <c r="G35" s="1"/>
      <c r="H35" s="1"/>
      <c r="I35" s="1"/>
      <c r="J35"/>
      <c r="K35"/>
      <c r="L35"/>
      <c r="M35"/>
      <c r="N35"/>
      <c r="O35"/>
      <c r="P35"/>
      <c r="Q35"/>
      <c r="R35" s="334"/>
      <c r="S35" s="1"/>
      <c r="T35" s="1"/>
      <c r="U35"/>
      <c r="V35" s="6"/>
      <c r="W35" s="1"/>
      <c r="X35" s="1"/>
      <c r="Y35" s="1"/>
      <c r="Z35" s="16"/>
      <c r="AA35" s="123"/>
      <c r="AB35" s="963"/>
      <c r="AC35" s="963"/>
      <c r="AD35" s="963"/>
      <c r="AE35" s="964"/>
      <c r="AF35" s="964"/>
      <c r="AG35" s="964"/>
      <c r="AH35" s="964"/>
      <c r="AI35" s="964"/>
      <c r="AJ35" s="964"/>
      <c r="AK35" s="964"/>
      <c r="AL35"/>
      <c r="AM35"/>
      <c r="AO35"/>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c r="CA35" s="1396"/>
      <c r="CB35" s="1396"/>
      <c r="CC35"/>
      <c r="CD35"/>
      <c r="CE35"/>
    </row>
  </sheetData>
  <sheetProtection formatColumns="0" formatRows="0"/>
  <dataConsolidate/>
  <conditionalFormatting sqref="G3:G14">
    <cfRule type="expression" dxfId="2" priority="3" stopIfTrue="1">
      <formula>$BZ3</formula>
    </cfRule>
  </conditionalFormatting>
  <conditionalFormatting sqref="AN3:AW14">
    <cfRule type="expression" dxfId="1" priority="2" stopIfTrue="1">
      <formula>$CB3</formula>
    </cfRule>
  </conditionalFormatting>
  <conditionalFormatting sqref="AO3:AO14">
    <cfRule type="expression" dxfId="0" priority="1">
      <formula>$CA3</formula>
    </cfRule>
  </conditionalFormatting>
  <dataValidations count="59">
    <dataValidation type="list" allowBlank="1" showInputMessage="1" sqref="G7:G14" xr:uid="{C5AA9880-E6B5-48BE-BB34-7C07EB999F52}">
      <formula1>OFFSET(List_headers,1,MATCH(Particular_Category,List_headers,0)-1,OFFSET(List_headers,-1,MATCH(Particular_Category,List_headers,0)-1,1,1)+1,1)</formula1>
    </dataValidation>
    <dataValidation type="list" allowBlank="1" showInputMessage="1" showErrorMessage="1" sqref="U7:U34" xr:uid="{02B181BB-16C5-44C9-8FDC-1E26DA7BA3CC}">
      <formula1>List_Referee</formula1>
    </dataValidation>
    <dataValidation type="whole" allowBlank="1" showInputMessage="1" showErrorMessage="1" errorTitle="Erreur de saisie" error="Vous devez tapez un nombre entier entre 0 et 100" sqref="Y7:Y34 W7:W34" xr:uid="{1A42A342-1DA6-474B-882E-B3AFE0EBAAAE}">
      <formula1>0</formula1>
      <formula2>100</formula2>
    </dataValidation>
    <dataValidation type="list" allowBlank="1" showInputMessage="1" showErrorMessage="1" sqref="Z34" xr:uid="{F279C5E1-806F-4CD6-B682-4343A97DE50C}">
      <formula1>G7:G14</formula1>
    </dataValidation>
    <dataValidation type="list" allowBlank="1" showInputMessage="1" showErrorMessage="1" sqref="Z33" xr:uid="{D30F11E1-6B94-4A5F-BE26-521227BC2B6A}">
      <formula1>G7:G14</formula1>
    </dataValidation>
    <dataValidation type="list" allowBlank="1" showInputMessage="1" showErrorMessage="1" sqref="Z32" xr:uid="{1FF2DE8A-BA93-4873-95D6-7D8CB578E3CA}">
      <formula1>G7:G14</formula1>
    </dataValidation>
    <dataValidation type="list" allowBlank="1" showInputMessage="1" showErrorMessage="1" sqref="Z31" xr:uid="{CD148E63-7338-413E-84F2-6144934C4976}">
      <formula1>G7:G14</formula1>
    </dataValidation>
    <dataValidation type="list" allowBlank="1" showInputMessage="1" showErrorMessage="1" sqref="Z30" xr:uid="{7570D934-3180-4A8C-8086-D412AF61486C}">
      <formula1>G7:G14</formula1>
    </dataValidation>
    <dataValidation type="list" allowBlank="1" showInputMessage="1" showErrorMessage="1" sqref="Z29" xr:uid="{CECDB9FC-953C-4627-AF26-DA46D9301751}">
      <formula1>G7:G14</formula1>
    </dataValidation>
    <dataValidation type="list" allowBlank="1" showInputMessage="1" showErrorMessage="1" sqref="Z28" xr:uid="{9DC67E05-5293-40DA-9926-7C854179106C}">
      <formula1>G7:G14</formula1>
    </dataValidation>
    <dataValidation type="list" allowBlank="1" showInputMessage="1" showErrorMessage="1" sqref="Z27" xr:uid="{4F070C6D-BCB7-4BCA-93B9-A03AA177AB05}">
      <formula1>G7:G14</formula1>
    </dataValidation>
    <dataValidation type="list" allowBlank="1" showInputMessage="1" showErrorMessage="1" sqref="Z26" xr:uid="{B802340C-1BA4-468B-89D1-0D242A66A079}">
      <formula1>G7:G14</formula1>
    </dataValidation>
    <dataValidation type="list" allowBlank="1" showInputMessage="1" showErrorMessage="1" sqref="Z25" xr:uid="{CF022F12-E872-434A-B321-8F364CD642D3}">
      <formula1>G7:G14</formula1>
    </dataValidation>
    <dataValidation type="list" allowBlank="1" showInputMessage="1" showErrorMessage="1" sqref="Z24" xr:uid="{132CB94C-66EE-4DC6-8A7D-FC072426C52A}">
      <formula1>G7:G14</formula1>
    </dataValidation>
    <dataValidation type="list" allowBlank="1" showInputMessage="1" showErrorMessage="1" sqref="Z23" xr:uid="{2FDE4063-49C9-418E-B67A-855F236D494B}">
      <formula1>G7:G14</formula1>
    </dataValidation>
    <dataValidation type="list" allowBlank="1" showInputMessage="1" showErrorMessage="1" sqref="Z22" xr:uid="{38C3ED70-DBAE-4B0C-A72A-1F61F78FF1BC}">
      <formula1>G7:G14</formula1>
    </dataValidation>
    <dataValidation type="list" allowBlank="1" showInputMessage="1" showErrorMessage="1" sqref="Z21" xr:uid="{827EABE0-B2A5-4088-817C-2EC6AC38B185}">
      <formula1>G7:G14</formula1>
    </dataValidation>
    <dataValidation type="list" allowBlank="1" showInputMessage="1" showErrorMessage="1" sqref="Z20" xr:uid="{30D95778-06FC-44E5-9A86-B3CCA8C90CA7}">
      <formula1>G7:G14</formula1>
    </dataValidation>
    <dataValidation type="list" allowBlank="1" showInputMessage="1" showErrorMessage="1" sqref="Z19" xr:uid="{50654A58-57A1-4817-BFC9-AB450D1C344B}">
      <formula1>G7:G14</formula1>
    </dataValidation>
    <dataValidation type="list" allowBlank="1" showInputMessage="1" showErrorMessage="1" sqref="Z18" xr:uid="{6CB2C7D6-B2D9-4F8D-98DA-2F1B70E2B96E}">
      <formula1>G7:G14</formula1>
    </dataValidation>
    <dataValidation type="list" allowBlank="1" showInputMessage="1" showErrorMessage="1" sqref="Z17" xr:uid="{EA44636C-212C-4469-82C7-3B7355A2E18A}">
      <formula1>G7:G14</formula1>
    </dataValidation>
    <dataValidation type="list" allowBlank="1" showInputMessage="1" showErrorMessage="1" sqref="Z16" xr:uid="{8570045F-D183-4725-8990-66D919F8C34F}">
      <formula1>G7:G14</formula1>
    </dataValidation>
    <dataValidation type="list" allowBlank="1" showInputMessage="1" showErrorMessage="1" sqref="Z15" xr:uid="{635CCB46-0980-42C2-A142-A0F4731B26A9}">
      <formula1>G7:G14</formula1>
    </dataValidation>
    <dataValidation type="list" allowBlank="1" showInputMessage="1" showErrorMessage="1" sqref="Z14" xr:uid="{4760F519-52D1-4064-856E-864508408AC3}">
      <formula1>G7:G14</formula1>
    </dataValidation>
    <dataValidation type="list" allowBlank="1" showInputMessage="1" showErrorMessage="1" sqref="Z13" xr:uid="{B4793F61-8851-4F09-829F-78905B18148C}">
      <formula1>G7:G14</formula1>
    </dataValidation>
    <dataValidation type="list" allowBlank="1" showInputMessage="1" showErrorMessage="1" sqref="Z12" xr:uid="{9935A29D-74CF-4DFD-98DD-EB101D05B5C4}">
      <formula1>G7:G14</formula1>
    </dataValidation>
    <dataValidation type="list" allowBlank="1" showInputMessage="1" showErrorMessage="1" sqref="Z11" xr:uid="{DD79B6FB-0658-474E-A518-7B24691B61A0}">
      <formula1>G7:G14</formula1>
    </dataValidation>
    <dataValidation type="list" allowBlank="1" showInputMessage="1" showErrorMessage="1" sqref="Z10" xr:uid="{CDED11B5-6690-4818-8B3A-B23CE2356505}">
      <formula1>G7:G14</formula1>
    </dataValidation>
    <dataValidation type="list" allowBlank="1" showInputMessage="1" showErrorMessage="1" sqref="Z9" xr:uid="{8B57B94A-DD69-4356-8A32-76BD43990429}">
      <formula1>G7:G14</formula1>
    </dataValidation>
    <dataValidation type="list" allowBlank="1" showInputMessage="1" showErrorMessage="1" sqref="Z8" xr:uid="{825016F3-8C59-4543-B47E-984EAC58E3F0}">
      <formula1>G7:G14</formula1>
    </dataValidation>
    <dataValidation type="list" allowBlank="1" showInputMessage="1" showErrorMessage="1" sqref="Z7" xr:uid="{D396C7E7-011C-43F9-B609-3ADA5EF5771C}">
      <formula1>G7:G14</formula1>
    </dataValidation>
    <dataValidation type="list" allowBlank="1" showInputMessage="1" showErrorMessage="1" sqref="V34" xr:uid="{A6586740-A901-43DD-9628-3138860A9B60}">
      <formula1>G7:G14</formula1>
    </dataValidation>
    <dataValidation type="list" allowBlank="1" showInputMessage="1" showErrorMessage="1" sqref="V33" xr:uid="{0902DAA7-49C7-4253-A00D-D7848B183A54}">
      <formula1>G7:G14</formula1>
    </dataValidation>
    <dataValidation type="list" allowBlank="1" showInputMessage="1" showErrorMessage="1" sqref="V32" xr:uid="{01927139-59DF-439A-A24F-F6933B8834EB}">
      <formula1>G7:G14</formula1>
    </dataValidation>
    <dataValidation type="list" allowBlank="1" showInputMessage="1" showErrorMessage="1" sqref="V31" xr:uid="{588DE19D-8782-4A47-BFAF-0B5CCE33A3F5}">
      <formula1>G7:G14</formula1>
    </dataValidation>
    <dataValidation type="list" allowBlank="1" showInputMessage="1" showErrorMessage="1" sqref="V30" xr:uid="{B000568D-3A12-4E94-A46C-60C23B6DEE3B}">
      <formula1>G7:G14</formula1>
    </dataValidation>
    <dataValidation type="list" allowBlank="1" showInputMessage="1" showErrorMessage="1" sqref="V29" xr:uid="{8A5EFA9D-1BA8-425E-A79C-A1FABD6E3105}">
      <formula1>G7:G14</formula1>
    </dataValidation>
    <dataValidation type="list" allowBlank="1" showInputMessage="1" showErrorMessage="1" sqref="V28" xr:uid="{E1E25358-D7A4-4AA0-A5A3-BE5B7C72030A}">
      <formula1>G7:G14</formula1>
    </dataValidation>
    <dataValidation type="list" allowBlank="1" showInputMessage="1" showErrorMessage="1" sqref="V27" xr:uid="{52135D3D-7376-4DD4-A33D-D595FBF927A3}">
      <formula1>G7:G14</formula1>
    </dataValidation>
    <dataValidation type="list" allowBlank="1" showInputMessage="1" showErrorMessage="1" sqref="V26" xr:uid="{220E9A68-315B-4424-A88A-DC0046CF985F}">
      <formula1>G7:G14</formula1>
    </dataValidation>
    <dataValidation type="list" allowBlank="1" showInputMessage="1" showErrorMessage="1" sqref="V25" xr:uid="{AC77AEC6-E84A-4EDE-9FF8-0D0ABED09931}">
      <formula1>G7:G14</formula1>
    </dataValidation>
    <dataValidation type="list" allowBlank="1" showInputMessage="1" showErrorMessage="1" sqref="V24" xr:uid="{DC51D481-09DB-4D11-AFC1-9624DB101A23}">
      <formula1>G7:G14</formula1>
    </dataValidation>
    <dataValidation type="list" allowBlank="1" showInputMessage="1" showErrorMessage="1" sqref="V23" xr:uid="{31EA82C3-BF8A-40E9-BD3F-769F222326A1}">
      <formula1>G7:G14</formula1>
    </dataValidation>
    <dataValidation type="list" allowBlank="1" showInputMessage="1" showErrorMessage="1" sqref="V22" xr:uid="{171D7499-D5DC-4D1A-8A69-C6111C626437}">
      <formula1>G7:G14</formula1>
    </dataValidation>
    <dataValidation type="list" allowBlank="1" showInputMessage="1" showErrorMessage="1" sqref="V21" xr:uid="{D80E15C4-2E04-48F6-963C-A6FFF0BC0B0E}">
      <formula1>G7:G14</formula1>
    </dataValidation>
    <dataValidation type="list" allowBlank="1" showInputMessage="1" showErrorMessage="1" sqref="V20" xr:uid="{FA94E1F3-A5AE-48FF-AB90-B74C0DE62E43}">
      <formula1>G7:G14</formula1>
    </dataValidation>
    <dataValidation type="list" allowBlank="1" showInputMessage="1" showErrorMessage="1" sqref="V19" xr:uid="{6AADC3C4-4DE3-4DAA-8F60-CE0D2DEE5BD4}">
      <formula1>G7:G14</formula1>
    </dataValidation>
    <dataValidation type="list" allowBlank="1" showInputMessage="1" showErrorMessage="1" sqref="V18" xr:uid="{F5F79A58-0486-4CE5-833C-2B809503C134}">
      <formula1>G7:G14</formula1>
    </dataValidation>
    <dataValidation type="list" allowBlank="1" showInputMessage="1" showErrorMessage="1" sqref="V17" xr:uid="{EA748E0A-B32E-4FB9-9B00-5A768B0B87BD}">
      <formula1>G7:G14</formula1>
    </dataValidation>
    <dataValidation type="list" allowBlank="1" showInputMessage="1" showErrorMessage="1" sqref="V16" xr:uid="{700E74A3-A9A4-4097-BE72-0474B7E09D3C}">
      <formula1>G7:G14</formula1>
    </dataValidation>
    <dataValidation type="list" allowBlank="1" showInputMessage="1" showErrorMessage="1" sqref="V15" xr:uid="{37D9F613-16FE-4618-9F7E-F735E9D5BDCF}">
      <formula1>G7:G14</formula1>
    </dataValidation>
    <dataValidation type="list" allowBlank="1" showInputMessage="1" showErrorMessage="1" sqref="V14" xr:uid="{C324BEC9-71A9-4704-949B-98BB06226056}">
      <formula1>G7:G14</formula1>
    </dataValidation>
    <dataValidation type="list" allowBlank="1" showInputMessage="1" showErrorMessage="1" sqref="V13" xr:uid="{493D414A-2249-471A-9E88-A50E4F9E6C0A}">
      <formula1>G7:G14</formula1>
    </dataValidation>
    <dataValidation type="list" allowBlank="1" showInputMessage="1" showErrorMessage="1" sqref="V12" xr:uid="{B6F19EC6-B770-496A-B99F-A5027AD79223}">
      <formula1>G7:G14</formula1>
    </dataValidation>
    <dataValidation type="list" allowBlank="1" showInputMessage="1" showErrorMessage="1" sqref="V11" xr:uid="{E954AD79-FCD0-4E94-B51F-F5E8E689848F}">
      <formula1>G7:G14</formula1>
    </dataValidation>
    <dataValidation type="list" allowBlank="1" showInputMessage="1" showErrorMessage="1" sqref="V10" xr:uid="{992114DD-40F8-420D-ABE3-ABC3E3A3760C}">
      <formula1>G7:G14</formula1>
    </dataValidation>
    <dataValidation type="list" allowBlank="1" showInputMessage="1" showErrorMessage="1" sqref="V9" xr:uid="{6CDD16CC-8D58-4A5E-AD3B-2FCF897C1F78}">
      <formula1>G7:G14</formula1>
    </dataValidation>
    <dataValidation type="list" allowBlank="1" showInputMessage="1" showErrorMessage="1" sqref="V8" xr:uid="{A480C92D-7135-4195-9535-9D0DD27B4E15}">
      <formula1>G7:G14</formula1>
    </dataValidation>
    <dataValidation type="list" allowBlank="1" showInputMessage="1" showErrorMessage="1" sqref="V7" xr:uid="{EE387D54-3E2B-4D35-8FB4-1F29A39BE34D}">
      <formula1>G7:G14</formula1>
    </dataValidation>
  </dataValidations>
  <printOptions horizontalCentered="1"/>
  <pageMargins left="0.59055118110236227" right="0.59055118110236227" top="0.94488188976377963" bottom="0.70866141732283472" header="0.31496062992125984" footer="0.31496062992125984"/>
  <pageSetup paperSize="9" fitToHeight="20" orientation="landscape" r:id="rId1"/>
  <headerFooter alignWithMargins="0"/>
</worksheet>
</file>

<file path=customUI/customUI.xml><?xml version="1.0" encoding="utf-8"?>
<customUI xmlns="http://schemas.microsoft.com/office/2006/01/customui" onLoad="RibbonLoad">
  <ribbon>
    <tabs>
      <tab idMso="TabHome" getVisible="GetTabsMsoVisible"/>
      <tab idMso="TabInsert" getVisible="GetTabsMsoVisible"/>
      <tab idMso="TabPageLayoutExcel" getVisible="GetTabsMsoVisible"/>
      <tab idMso="TabFormulas" getVisible="GetTabsMsoVisible"/>
      <tab idMso="TabData" getVisible="GetTabsMsoVisible"/>
      <tab idMso="TabReview" getVisible="GetTabsMsoVisible"/>
      <tab idMso="TabView" getVisible="GetTabsMsoVisible"/>
      <tab idMso="TabDeveloper" getVisible="GetTabsMsoVisible"/>
      <tab idMso="TabAddIns" getVisible="GetTabsMsoVisible"/>
      <tab idMso="HelpTab" getVisible="GetTabsMsoVisible"/>
      <tab id="GmftTabGMFT" label="GMFT" getVisible="GetTabVisible">
        <group id="GmftGroupHome" getLabel="GetLabel">
          <button id="GmftHome" showLabel="false" imageMso="BlogHomePage" size="normal" onAction="GoHome" getScreentip="GetScreentip" getSupertip="GetSupertip"/>
          <dropDown id="LanguageDropDown" getLabel="GetLabel" showLabel="false" sizeString="XX" getItemCount="LanguageGetItemCount" getItemID="LanguageGetItemID" getItemLabel="LanguageGetItemLabel" getSelectedItemID="LanguageGetSelectedID" onAction="ChangeLanguage"/>
          <button id="GmftParameters" imageMso="ComAddInsDialog" onAction="ShowWorksheet" size="normal" getScreentip="GetScreentip" getSupertip="GetSupertip"/>
          <button id="GmftVersion" showLabel="false" imageMso="Help" size="normal" onAction="ShowRelease" getScreentip="GetScreentip" getSupertip="GetSupertip"/>
          <toggleButton id="GmftLockUnlockWB" showLabel="false" imageMso="Lock" getPressed="LockWBGetPressed" onAction="ToggleLockUnlockWB" size="normal" getScreentip="GetScreentip" getSupertip="GetSupertip"/>
          <toggleButton id="GmftViewHideRibbonTabs" showLabel="false" imageMso="RmsNavigationBar" getPressed="ViewHideRibbonTabsGetPressed" onAction="ToggleViewHideRibbonTabs" size="normal" getScreentip="GetScreentip" getSupertip="GetSupertip"/>
        </group>
        <group id="GmftGroupCalculation" getLabel="GetLabel">
          <button id="GmftCalculateNow" getLabel="GetLabel" imageMso="CalculateNow" onAction="CalculateNow" size="normal"/>
          <toggleButton id="GmftCalculationMode" getLabel="CalculatorGetLabel" imageMso="TableSharePointListsModifyColumnsAndSettings" getPressed="CalculatorGetPressed" onAction="ToggleCalculationMode" size="normal"/>
          <toggleButton id="GmftLockUnlockSheet" getLabel="GetLockUnlockLabel" imageMso="Lock" getPressed="LockSheetGetPressed" onAction="ToggleLockUnlockSheet" size="normal"/>
        </group>
        <group id="GmftGroupNavigation" getLabel="GetLabel">
          <menu id="GmftMenuNav" getLabel="GetLabel" itemSize="normal">
            <menuSeparator id="GmftMenuSepDatabase" getTitle="GetLabel"/>
            <button id="GmftDBLicences" label="Players" onAction="ShowWorksheet"/>
            <button id="GmftDBClubs" label="Clubs" onAction="ShowWorksheet"/>
            <button id="GmftDBRanking" label="Ranking" onAction="ShowWorksheet"/>
            <button id="GmftDBRankingTeams" label="RankingTeams" onAction="ShowWorksheet"/>
            <menuSeparator id="GmftMenuSepRegistrations" getTitle="GetLabel"/>
            <button id="GmftCheckin" label="Checkin" onAction="ShowWorksheet"/>
            <button id="GmftTeams" label="Teams" onAction="ShowWorksheet"/>
            <button id="GmftDoubles" label="Doubles" onAction="ShowWorksheet"/>
            <button id="GmftLists" label="Lists" onAction="ShowWorksheet"/>
            <menuSeparator id="GmftMenuSepPlanningEvent" getTitle="GetLabel"/>
            <button id="GmftPlanning" label="Planning" onAction="ShowWorksheet"/>
            <button id="GmftEvents" label="Events" onAction="ShowWorksheet"/>
            <button id="GmftDraws" label="Draws" onAction="ShowWorksheet"/>
            <menuSeparator id="GmftMenuSepCompData" getTitle="GetLabel"/>
            <button id="GmftRefereeing" label="Refereeing" onAction="ShowWorksheet"/>
            <button id="GmftTimeline" label="Timeline" onAction="ShowWorksheet"/>
            <button id="GmftStats" label="Stats" onAction="ShowWorksheet"/>
            <button id="GmftPodium" label="Podium" onAction="ShowWorksheet"/>
            <menuSeparator id="GmftMenuSepVenue" getTitle="GetLabel"/>
            <button id="GmftVenue" label="Venue" onAction="ShowWorksheet"/>
          </menu>
          <menu id="GmftMenuNavHide" getLabel="GetLabel" itemSize="normal">
            <button id="GmftHideRegistrations" getLabel="GetLabel" onAction="HideWorksheet"/>
            <button id="GmftHideDatabase" getLabel="GetLabel" onAction="HideWorksheet"/>
            <button id="GmftHidePlanning" getLabel="GetLabel" onAction="HideWorksheet"/>
            <button id="GmftHideEvents" getLabel="GetLabel" onAction="HideWorksheet"/>
            <button id="GmftHideDraws" getLabel="GetLabel" onAction="HideWorksheet"/>
            <button id="GmftHideCompetitionData" getLabel="GetLabel" onAction="HideWorksheet"/>
            <button id="GmftHideVenue" getLabel="GetLabel" onAction="HideWorksheet"/>
          </menu>
        </group>
        <group id="GmftGroupListMgt" getLabel="GetLabel" getVisible="GetGroupVisible">
          <editBox id="GmftNumberOfRowsToAdd" getLabel="GetLabel" getText="GmftInitNumberOfRows" onChange="GmftCheckNumeric" maxLength="3" sizeString="XXX" getScreentip="GetScreentip" getSupertip="GetSupertip"/>
          <button id="GmftListsAddRows" getLabel="GetLabel" imageMso="GoToNewRecord" onAction="GmftListsAddRows" size="normal" getScreentip="GetScreentip" getSupertip="GetSupertip"/>
          <button id="GmftListsRemoveRows" getLabel="GetLabel" imageMso="RecordsDeleteRecord" onAction="GmftListsRemoveRows" size="normal" getScreentip="GetScreentip" getSupertip="GetSupertip"/>
        </group>
        <group id="GmftGroupCheckIn" getLabel="GetLabel" getVisible="GetGroupVisible">
          <button id="GmftCalculateCheckin" getLabel="GetLabel" imageMso="AccessRelinkLists" onAction="GmftCalculateCheckin" size="normal" getScreentip="GetScreentip" getSupertip="GetSupertip"/>
          <button id="GmftMAJListes" getLabel="GetLabel" imageMso="AcceptInvitation" onAction="GmftMAJListes" size="normal" getScreentip="GetScreentip" getSupertip="GetSupertip"/>
          <button id="GmftCheckinForm" getLabel="GetLabel" imageMso="AccessFormWizard" onAction="GmftCheckinForm" size="normal" getScreentip="GetScreentip" getSupertip="GetSupertip"/>
        </group>
        <group id="GmftGroupLicences" getLabel="GetLabel" getVisible="GetGroupVisible">
          <button id="GmftImportLicenses" getLabel="GetLabel" imageMso="ImportExcel" onAction="GmftImportFISTF_Players" size="large" getScreentip="GetScreentip" getSupertip="GetSupertip"/>
        </group>
        <group id="GmftGroupClubs" getLabel="GetLabel" getVisible="GetGroupVisible">
          <button id="GmftImportClubs" getLabel="GetLabel" imageMso="ImportExcel" onAction="GmftImportFISTF_Clubs" size="large" getScreentip="GetScreentip" getSupertip="GetSupertip"/>
        </group>
        <group id="GmftGroupRanking" getLabel="GetLabel" getVisible="GetGroupVisible">
          <button id="GmftImportRanking" getLabel="GetLabel" imageMso="ImportExcel" onAction="GmftImportFISTF_WR" size="large" getScreentip="GetScreentip" getSupertip="GetSupertip"/>
        </group>
        <group id="GmftGroupRankingTeams" getLabel="GetLabel" getVisible="GetGroupVisible">
          <button id="GmftImportRankingTeams" getLabel="GetLabel" imageMso="ImportExcel" onAction="GmftImportFISTF_WR_Teams" size="large" getScreentip="GetScreentip" getSupertip="GetSupertip"/>
        </group>
        <group id="GmftGroupTeams" getLabel="GetLabel" getVisible="GetGroupVisible">
          <button id="GmftSortPlayersInTeams" getLabel="GetLabel" imageMso="SortFilterMenu" onAction="GmftSortTeamMembers" size="large" getScreentip="GetScreentip" getSupertip="GetSupertip"/>
          <button id="GmftTeamsForm" getLabel="GetLabel" imageMso="AccessFormWizard" onAction="GmftTeamsForm" size="normal" getScreentip="GetScreentip" getSupertip="GetSupertip"/>
        </group>
        <group id="GmftGroupRefereeing" getLabel="GetLabel" getVisible="GetGroupVisible">
          <button id="GmftUpdateRefereeing" getLabel="GetLabel" imageMso="Refresh" onAction="GmftUpdateRefereeing" size="large" getScreentip="GetScreentip" getSupertip="GetSupertip"/>
        </group>
        <group id="GmftGroupTimeline" getLabel="GetLabel" getVisible="GetGroupVisible">
          <button id="GmftUpdatePlayerTimelineFromTimeline" getLabel="GetLabel" imageMso="Refresh" onAction="GmftUpdatePlayerTimelineFromTimeline" size="large" getScreentip="GetScreentip" getSupertip="GetSupertip"/>
        </group>
        <group id="GmftGroupStats" getLabel="GetLabel" getVisible="GetGroupVisible">
          <button id="GmftUpdateStatistics" getLabel="GetLabel" imageMso="Refresh" onAction="GmftUpdateStatistics" size="large" getScreentip="GetScreentip" getSupertip="GetSupertip"/>
        </group>
        <group id="GmftGroupVenueDefinition" getLabel="GetLabel" getVisible="GetGroupVisible">
          <button id="GmftCreateTableName" getLabel="GetLabel" imageMso="TableDrawTable" onAction="GmftCreateTableName" size="normal" getScreentip="GetScreentip" getSupertip="GetSupertip"/>
          <button id="GmftCreateGroupOfTablesName" getLabel="GetLabel" imageMso="TableDrawTable" onAction="GmftCreateGroupOfTablesName" size="normal" getScreentip="GetScreentip" getSupertip="GetSupertip"/>
          <button id="GmftCreateModel" getLabel="GetLabel" imageMso="TableDrawTable" onAction="GmftCreateModel" size="normal" getScreentip="GetScreentip" getSupertip="GetSupertip"/>
          <separator id="SeparatorGroupVenue01"/>
          <button id="GmftUndefineTableNames" getLabel="GetLabel" imageMso="TableEraser" onAction="GmftUndefineTableNames" size="normal" getScreentip="GetScreentip" getSupertip="GetSupertip"/>
          <button id="GmftUndefineGroupOfTableNames" getLabel="GetLabel" imageMso="TableEraser" onAction="GmftUndefineGroupOfTableNames" size="normal" getScreentip="GetScreentip" getSupertip="GetSupertip"/>
          <button id="GmftUndefineModels" getLabel="GetLabel" imageMso="TableEraser" onAction="GmftUndefineModels" size="normal" getScreentip="GetScreentip" getSupertip="GetSupertip"/>
        </group>
        <group id="GmftGroupVenueShow" getLabel="GetLabel" getVisible="GetGroupVisible">
          <dropDown id="TableDisplayDropDown" getLabel="GetLabel" showLabel="true" getItemCount="TableDisplayGetItemCount" getItemID="TableDisplayGetItemID" getItemLabel="TableDisplayGetItemLabel" getSelectedItemID="TableDisplayGetSelectedID" onAction="ChangeTableDisplay" getScreentip="GetScreentip" getSupertip="GetSupertip"/>
          <editBox id="GmftSession_Number" getLabel="GetLabel" getText="GmftInitSession_Number" onChange="GmftCheckNumericForSessionNumber" maxLength="3" sizeString="XXX" getScreentip="GetScreentip" getSupertip="GetSupertip"/>
        </group>
        <group id="GmftGroupHomeCreateEvents" getLabel="GetLabel" getVisible="GetGroupVisible">
          <labelControl id="GmftNewEvent_FISTF" getLabel="GetLabel" getScreentip="GetScreentip" getSupertip="GetSupertip"/>
          <labelControl id="GmftNewEvent_Predefined" getLabel="GetLabel" getScreentip="GetScreentip" getSupertip="GetSupertip"/>
          <labelControl id="GmftNewEvent_Custom" getLabel="GetLabel" getScreentip="GetScreentip" getSupertip="GetSupertip"/>
          <separator id="SeparatorGroupHome01"/>
          <button id="GmftNewOfficialEvent_Individuals" imageMso="CondolatoryEvent" onAction="GmftNewOfficialEvent_Individuals" size="normal"/>
          <button id="GmftNewEventWithFormulas_Individuals" imageMso="CondolatoryEvent" onAction="GmftNewEventWithFormulas_Individuals" size="normal"/>
          <button id="GmftNewEvent_Individuals" imageMso="CondolatoryEvent" onAction="GmftNewEvent_Individuals" size="normal"/>
          <separator id="SeparatorGroupHome02"/>
          <button id="GmftNewOfficialEvent_Teams" imageMso="AccessOnlineLists" onAction="GmftNewOfficialEvent_Teams" size="normal"/>
          <button id="GmftNewEventWithFormulas_Teams" imageMso="AccessOnlineLists" onAction="GmftNewEventWithFormulas_Teams" size="normal"/>
          <button id="GmftNewEvent_Teams" imageMso="AccessOnlineLists" onAction="GmftNewEvent_Teams" size="normal"/>
          <separator id="SeparatorGroupHome03"/>
          <button id="GmftNewOfficialEvent_Doubles" imageMso="OutlookGears" onAction="GmftNewOfficialEvent_Doubles" size="normal"/>
          <button id="GmftNewEventWithFormulas_Doubles" imageMso="OutlookGears" onAction="GmftNewEventWithFormulas_Doubles" size="normal"/>
          <button id="GmftNewEvent_Doubles" imageMso="OutlookGears" onAction="GmftNewEvent_Doubles" size="normal"/>
        </group>
        <group id="GmftGroupHomePrinting" getLabel="GetLabel" getVisible="GetGroupVisible">
          <button id="GmftInitLayout" getLabel="GetLabel" imageMso="AdpDiagramAutosizeSelectedTables" onAction="GmftInitLayout" size="normal" getScreentip="GetScreentip" getSupertip="GetSupertip"/>
          <box id="box" boxStyle="horizontal">
            <button id="GmftViewPageBreaks" getLabel="GetLabel" imageMso="ViewPageBreakPreviewView" onAction="GmftViewPageBreaks" size="normal" getScreentip="GetScreentip" getSupertip="GetSupertip"/>
            <button id="GmftViewNormal" getLabel="GetLabel" imageMso="ViewNormalViewExcel" onAction="GmftViewNormal" size="normal" getScreentip="GetScreentip" getSupertip="GetSupertip"/>
          </box>
          <box id="box2" boxStyle="horizontal">
            <button id="GmftPrintResults" getLabel="GetLabel" imageMso="FilePrint" onAction="GmftPrintResults" size="normal" getScreentip="GetScreentip" getSupertip="GetSupertip"/>
            <button id="GmftSaveResultsAsPDF" getLabel="GetLabel" imageMso="FileSaveAsPdfOrXps" onAction="GmftSaveResultsAsPDF" size="normal" getScreentip="GetScreentip" getSupertip="GetSupertip"/>
          </box>
        </group>
        <group id="GmftGroupPlanningMoveMatches" getLabel="GetLabel" getVisible="GetGroupVisible">
          <button id="GmftMoveMatchesUp" getLabel="GetLabel" imageMso="OutlineMoveUp" onAction="GmftMoveMatchesUp" size="normal" getScreentip="GetScreentip" getSupertip="GetSupertip"/>
          <button id="GmftMoveMatchesDown" getLabel="GetLabel" imageMso="OutlineMoveDown" onAction="GmftMoveMatchesDown" size="normal" getScreentip="GetScreentip" getSupertip="GetSupertip"/>
          <button id="GmftDeleteMatches" getLabel="GetLabel" imageMso="Delete" onAction="GmftDeleteMatches" size="normal" getScreentip="GetScreentip" getSupertip="GetSupertip"/>
          <separator id="GmftGroupPlanningMoveMatches05"/>
          <button id="GmftMoveMatchesSessionUp" getLabel="GetLabel" imageMso="ShapeUpArrow" onAction="GmftMoveMatchesSessionUp" size="normal" getScreentip="GetScreentip" getSupertip="GetSupertip"/>
          <button id="GmftMoveMatchesSessionDown" getLabel="GetLabel" imageMso="ShapeDownArrow" onAction="GmftMoveMatchesSessionDown" size="normal" getScreentip="GetScreentip" getSupertip="GetSupertip"/>
          <button id="GmftMoveMatchesToParticularSession" getLabel="GetLabel" imageMso="TraceDependentRemoveArrows" onAction="GmftMoveMatchesToParticularSession" size="normal" getScreentip="GetScreentip" getSupertip="GetSupertip"/>
        </group>
        <group id="GmftGroupPlanningSessionMgt" getLabel="GetLabel" getVisible="GetGroupVisible">
          <button id="GmftPlanning_InsertSession" getLabel="GetLabel" imageMso="BreakInsertDialog" onAction="GmftPlanning_InsertSession" size="normal" getScreentip="GetScreentip" getSupertip="GetSupertip"/>
          <button id="GmftPlanning_DeleteThisSession" getLabel="GetLabel" imageMso="TableDeleteRows" onAction="GmftPlanning_DeleteThisSession" size="normal" getScreentip="GetScreentip" getSupertip="GetSupertip"/>
          <separator id="GmftGroupPlanningSessionMgtSep01"/>
          <button id="GmftPlanning_AddSession" getLabel="GetLabel" imageMso="SmartArtAddShapeBelow" onAction="GmftPlanning_AddSession" size="normal" getScreentip="GetScreentip" getSupertip="GetSupertip"/>
          <button id="GmftPlanning_DeleteSession" getLabel="GetLabel" imageMso="HeaderFooterRemoveFooterWord" onAction="GmftPlanning_DeleteSession" size="normal" getScreentip="GetScreentip" getSupertip="GetSupertip"/>
        </group>
        <group id="GmftGroupPlanningRecord" getLabel="GetLabel" getVisible="GetGroupVisible">
          <button id="GmftRecopier_matches" getLabel="GetLabel" imageMso="Copy" onAction="GmftRecopier_matches" size="large" getScreentip="GetScreentip" getSupertip="GetSupertip"/>
          <button id="GmftValider_matches" getLabel="GetLabel" imageMso="ReviewAcceptChangeAndMoveToNext" onAction="GmftValider_matches" size="large" getScreentip="GetScreentip" getSupertip="GetSupertip"/>
        </group>
        <group id="GmftGroupPlanningReferees" getLabel="GetLabel" getVisible="GetGroupVisible">
          <button id="GmftAssignReferees" getLabel="GetLabel" imageMso="NewDistributionList" onAction="GmftAssignReferees" size="large" getScreentip="GetScreentip" getSupertip="GetSupertip"/>
          <button id="GmftSwitchReferees" getLabel="GetLabel" imageMso="RecurrenceEdit" onAction="GmftSwitchReferees" size="large" getScreentip="GetScreentip" getSupertip="GetSupertip"/>
        </group>
        <group id="GmftGroupPlanningExports" getLabel="GetLabel" getVisible="GetGroupVisible">
          <button id="GmftScoresheetsExport" getLabel="GetLabel" imageMso="DataFormExcel" onAction="GmftScoresheetsExport" size="normal" getScreentip="GetScreentip" getSupertip="GetSupertip"/>
          <button id="GmftPlanningExport" getLabel="GetLabel" imageMso="HeaderFooterCurrentTimeInsert" onAction="GmftPlanningExport" size="normal" getScreentip="GetScreentip" getSupertip="GetSupertip"/>
          <box id="GmftScorerTable" boxStyle="horizontal">
            <labelControl id="GmftScorerTableLabel" getLabel="GetLabel"/>
            <button id="GmftScorerTableExport" imageMso="ExportSharePointList" onAction="GmftScorerTableExport" size="normal" getScreentip="GetScreentip" getSupertip="GetSupertip"/>
            <button id="GmftImportScorerTable" imageMso="ImportSharePointList" onAction="GmftImportScorerTable" size="normal" getScreentip="GetScreentip" getSupertip="GetSupertip"/>
          </box>
          <button id="GmftResultExport" getLabel="GetLabel" imageMso="MacroDefault" onAction="GmftResultExport" size="normal" getScreentip="GetScreentip" getSupertip="GetSupertip"/>
        </group>
        <group id="GmftGroupPlanningDashboard" getLabel="GetLabel" getVisible="GetGroupVisible">
          <button id="GmftOpenDashboard" getLabel="GetLabel" imageMso="SlideShowRehearseTimings" onAction="GmftOpenDashboard" size="large" getScreentip="GetScreentip" getSupertip="GetSupertip"/>
        </group>
        <group id="GmftGroupHomeExport" getLabel="GetLabel" getVisible="GetGroupVisible">
          <button id="GmftWebSiteExport" getLabel="GetLabel" imageMso="HyperlinkInsert" onAction="GmftWebSiteExport" size="large" getScreentip="GetScreentip" getSupertip="GetSupertip"/>
          <button id="GmftRegistrationsExport" getLabel="GetLabel" imageMso="ReviewAcceptChange" onAction="GmftRegistrationsExport" size="large" getScreentip="GetScreentip" getSupertip="GetSupertip"/>
          <button id="GmftFISTFExport" getLabel="GetLabel" imageMso="PublishToPdfOrEdoc" onAction="GmftFISTFExport" size="large" getScreentip="GetScreentip" getSupertip="GetSupertip"/>
        </group>
        <group id="GmftGroupParameters" getLabel="GetLabel" getVisible="GetGroupVisible">
          <button id="GmftShowNationalities" getLabel="GetLabel" imageMso="NewDistributionList" onAction="GmftShowNationalities" size="large" getScreentip="GetScreentip" getSupertip="GetSupertip"/>
          <button id="GmftShowREsultModel" getLabel="GetLabel" imageMso="CreateTableInDesignView" onAction="GmftShowREsultModel" size="large" getScreentip="GetScreentip" getSupertip="GetSupertip"/>
          <button id="GmftShowScoresheetModel" getLabel="GetLabel" imageMso="ViewsFormView" onAction="GmftShowScoresheetModel" size="large" getScreentip="GetScreentip" getSupertip="GetSupertip"/>
          <button id="GmftShowPlanningModel" getLabel="GetLabel" imageMso="ShowSchedulingPage" onAction="GmftShowPlanningModel" size="large" getScreentip="GetScreentip" getSupertip="GetSupertip"/>
          <button id="GmftShowDrawModel" getLabel="GetLabel" imageMso="FileCreateDocumentWorkspace" onAction="GmftShowDrawModel" size="large" getScreentip="GetScreentip" getSupertip="GetSupertip"/>
        </group>
        <group id="GmftGroupEvent" getLabel="GetLabel" getVisible="GetGroupVisible">
          <checkBox id="GmftMaxScore" getLabel="GetMaxScoreLabel" onAction="GmftSetMaxScore" getPressed="GmftMaxScoreGetPressed" getScreentip="GetScreentip" getSupertip="GetSupertip"/>
          <dropDown id="CategoryDropDown" showLabel="false" sizeString="XXXXXXXXXXX" getScreentip="GetScreentip" getSupertip="GetSupertip" getItemCount="CategoryGetItemCount" getItemID="CategoryGetItemID" getItemLabel="CategoryGetItemLabel" getSelectedItemID="CategoryGetSelectedID" onAction="ChangeCategory"/>
          <separator id="GmftGroupEventSep01"/>
          <button id="GmftCreateDrawSheet" getLabel="GetLabel" imageMso="FileCreateDocumentWorkspace" onAction="GmftCreateDrawSheet" size="large" getScreentip="GetScreentip" getSupertip="GetSupertip"/>
          <button id="GmftDelete_This_sheet" getLabel="GetLabel" imageMso="Delete" onAction="GmftDelete_This_sheet" size="large" getScreentip="GetScreentip" getSupertip="GetSupertip"/>
        </group>
        <group id="GmftGroupDraw" getLabel="GetLabel" getVisible="GetGroupVisible">
          <button id="GmftDefineFirstSeeds" getLabel="GetLabel" imageMso="DiagramTargetInsertClassic" onAction="GmftDefineFirstSeeds" size="normal" getScreentip="GetScreentip" getSupertip="GetSupertip"/>
          <button id="GmftMakeNextDrawInSecondPot" getLabel="GetLabel" imageMso="DiagramTargetInsertClassic" onAction="GmftMakeNextDrawInSecondPot" size="normal" getScreentip="GetScreentip" getSupertip="GetSupertip"/>
          <button id="GmftMakeNextDraw" getLabel="GetLabel" imageMso="DiagramTargetInsertClassic" onAction="GmftMakeNextDraw" size="normal" getScreentip="GetScreentip" getSupertip="GetSupertip"/>
          <button id="GmftMakeAllDraw" getLabel="GetLabel" imageMso="DiagramTargetInsertClassic" onAction="GmftMakeAllDraw" size="normal" getScreentip="GetScreentip" getSupertip="GetSupertip"/>
          <separator id="GmftGroupDrawSep01"/>
          <button id="GmftMakeWithDraw" getLabel="GetLabel" imageMso="DistributionListRemoveMember" onAction="GmftMakeWithDraw" size="large" getScreentip="GetScreentip" getSupertip="GetSupertip"/>
          <separator id="GmftGroupDrawSep02"/>
          <button id="GmftValidateDraw" getLabel="GetLabel" imageMso="ReviewAcceptChangeAndMoveToNext" onAction="GmftValidateDraw" size="large" getScreentip="GetScreentip" getSupertip="GetSupertip"/>
          <separator id="GmftGroupDrawSep03"/>
          <button id="GmftDeleteDraw" getLabel="GetLabel" imageMso="Delete" onAction="GmftDelete_This_sheet" size="large" getScreentip="GetScreentip" getSupertip="GetSupertip"/>
        </group>
      </tab>
    </tabs>
  </ribbon>
</customUI>
</file>

<file path=customUI/customUI14.xml><?xml version="1.0" encoding="utf-8"?>
<customUI xmlns="http://schemas.microsoft.com/office/2009/07/customui" onLoad="RibbonLoad">
  <ribbon>
    <tabs>
      <tab idMso="TabHome" getVisible="GetTabsMsoVisible"/>
      <tab idMso="TabInsert" getVisible="GetTabsMsoVisible"/>
      <tab idMso="TabPageLayoutExcel" getVisible="GetTabsMsoVisible"/>
      <tab idMso="TabFormulas" getVisible="GetTabsMsoVisible"/>
      <tab idMso="TabData" getVisible="GetTabsMsoVisible"/>
      <tab idMso="TabReview" getVisible="GetTabsMsoVisible"/>
      <tab idMso="TabView" getVisible="GetTabsMsoVisible"/>
      <tab idMso="TabDeveloper" getVisible="GetTabsMsoVisible"/>
      <tab idMso="TabAddIns" getVisible="GetTabsMsoVisible"/>
      <tab idMso="HelpTab" getVisible="GetTabsMsoVisible"/>
      <tab id="GmftTabGMFT" label="GMFT" getVisible="GetTabVisible">
        <group id="GmftGroupHome" getLabel="GetLabel">
          <button id="GmftHome" showLabel="false" imageMso="BlogHomePage" size="normal" onAction="GoHome" getScreentip="GetScreentip" getSupertip="GetSupertip"/>
          <dropDown id="LanguageDropDown" getLabel="GetLabel" showLabel="false" sizeString="XX" getItemCount="LanguageGetItemCount" getItemID="LanguageGetItemID" getItemLabel="LanguageGetItemLabel" getSelectedItemID="LanguageGetSelectedID" onAction="ChangeLanguage"/>
          <button id="GmftParameters" imageMso="ComAddInsDialog" onAction="ShowWorksheet" size="normal" getScreentip="GetScreentip" getSupertip="GetSupertip"/>
          <button id="GmftVersion" showLabel="false" imageMso="Help" size="normal" onAction="ShowRelease" getScreentip="GetScreentip" getSupertip="GetSupertip"/>
          <toggleButton id="GmftLockUnlockWB" showLabel="false" imageMso="Lock" getPressed="LockWBGetPressed" onAction="ToggleLockUnlockWB" size="normal" getScreentip="GetScreentip" getSupertip="GetSupertip"/>
          <toggleButton id="GmftViewHideRibbonTabs" showLabel="false" imageMso="RmsNavigationBar" getPressed="ViewHideRibbonTabsGetPressed" onAction="ToggleViewHideRibbonTabs" size="normal" getScreentip="GetScreentip" getSupertip="GetSupertip"/>
        </group>
        <group id="GmftGroupCalculation" getLabel="GetLabel">
          <button id="GmftCalculateNow" getLabel="GetLabel" imageMso="CalculateNow" onAction="CalculateNow" size="normal"/>
          <toggleButton id="GmftCalculationMode" getLabel="CalculatorGetLabel" imageMso="TableSharePointListsModifyColumnsAndSettings" getPressed="CalculatorGetPressed" onAction="ToggleCalculationMode" size="normal"/>
          <toggleButton id="GmftLockUnlockSheet" getLabel="GetLockUnlockLabel" imageMso="Lock" getPressed="LockSheetGetPressed" onAction="ToggleLockUnlockSheet" size="normal"/>
        </group>
        <group id="GmftGroupNavigation" getLabel="GetLabel">
          <menu id="GmftMenuNav" getLabel="GetLabel" itemSize="normal">
            <menuSeparator id="GmftMenuSepDatabase" getTitle="GetLabel"/>
            <button id="GmftDBLicences" label="Players" onAction="ShowWorksheet"/>
            <button id="GmftDBClubs" label="Clubs" onAction="ShowWorksheet"/>
            <button id="GmftDBRanking" label="Ranking" onAction="ShowWorksheet"/>
            <button id="GmftDBRankingTeams" label="RankingTeams" onAction="ShowWorksheet"/>
            <menuSeparator id="GmftMenuSepRegistrations" getTitle="GetLabel"/>
            <button id="GmftCheckin" label="Checkin" onAction="ShowWorksheet"/>
            <button id="GmftTeams" label="Teams" onAction="ShowWorksheet"/>
            <button id="GmftDoubles" label="Doubles" onAction="ShowWorksheet"/>
            <button id="GmftLists" label="Lists" onAction="ShowWorksheet"/>
            <menuSeparator id="GmftMenuSepPlanningEvent" getTitle="GetLabel"/>
            <button id="GmftPlanning" label="Planning" onAction="ShowWorksheet"/>
            <button id="GmftEvents" label="Events" onAction="ShowWorksheet"/>
            <button id="GmftDraws" label="Draws" onAction="ShowWorksheet"/>
            <menuSeparator id="GmftMenuSepCompData" getTitle="GetLabel"/>
            <button id="GmftRefereeing" label="Refereeing" onAction="ShowWorksheet"/>
            <button id="GmftTimeline" label="Timeline" onAction="ShowWorksheet"/>
            <button id="GmftStats" label="Stats" onAction="ShowWorksheet"/>
            <button id="GmftPodium" label="Podium" onAction="ShowWorksheet"/>
            <menuSeparator id="GmftMenuSepVenue" getTitle="GetLabel"/>
            <button id="GmftVenue" label="Venue" onAction="ShowWorksheet"/>
          </menu>
          <menu id="GmftMenuNavHide" getLabel="GetLabel" itemSize="normal">
            <button id="GmftHideRegistrations" getLabel="GetLabel" onAction="HideWorksheet"/>
            <button id="GmftHideDatabase" getLabel="GetLabel" onAction="HideWorksheet"/>
            <button id="GmftHidePlanning" getLabel="GetLabel" onAction="HideWorksheet"/>
            <button id="GmftHideEvents" getLabel="GetLabel" onAction="HideWorksheet"/>
            <button id="GmftHideDraws" getLabel="GetLabel" onAction="HideWorksheet"/>
            <button id="GmftHideCompetitionData" getLabel="GetLabel" onAction="HideWorksheet"/>
            <button id="GmftHideVenue" getLabel="GetLabel" onAction="HideWorksheet"/>
          </menu>
        </group>
        <group id="GmftGroupListMgt" getLabel="GetLabel" getVisible="GetGroupVisible">
          <editBox id="GmftNumberOfRowsToAdd" getLabel="GetLabel" getText="GmftInitNumberOfRows" onChange="GmftCheckNumeric" maxLength="3" sizeString="XXX" getScreentip="GetScreentip" getSupertip="GetSupertip"/>
          <button id="GmftListsAddRows" getLabel="GetLabel" imageMso="GoToNewRecord" onAction="GmftListsAddRows" size="normal" getScreentip="GetScreentip" getSupertip="GetSupertip"/>
          <button id="GmftListsRemoveRows" getLabel="GetLabel" imageMso="RecordsDeleteRecord" onAction="GmftListsRemoveRows" size="normal" getScreentip="GetScreentip" getSupertip="GetSupertip"/>
        </group>
        <group id="GmftGroupCheckIn" getLabel="GetLabel" getVisible="GetGroupVisible">
          <button id="GmftCalculateCheckin" getLabel="GetLabel" imageMso="AccessRelinkLists" onAction="GmftCalculateCheckin" size="normal" getScreentip="GetScreentip" getSupertip="GetSupertip"/>
          <button id="GmftMAJListes" getLabel="GetLabel" imageMso="AcceptInvitation" onAction="GmftMAJListes" size="normal" getScreentip="GetScreentip" getSupertip="GetSupertip"/>
          <button id="GmftCheckinForm" getLabel="GetLabel" imageMso="AccessFormWizard" onAction="GmftCheckinForm" size="normal" getScreentip="GetScreentip" getSupertip="GetSupertip"/>
        </group>
        <group id="GmftGroupLicences" getLabel="GetLabel" getVisible="GetGroupVisible">
          <button id="GmftImportLicenses" getLabel="GetLabel" imageMso="ImportExcel" onAction="GmftImportFISTF_Players" size="large" getScreentip="GetScreentip" getSupertip="GetSupertip"/>
        </group>
        <group id="GmftGroupClubs" getLabel="GetLabel" getVisible="GetGroupVisible">
          <button id="GmftImportClubs" getLabel="GetLabel" imageMso="ImportExcel" onAction="GmftImportFISTF_Clubs" size="large" getScreentip="GetScreentip" getSupertip="GetSupertip"/>
        </group>
        <group id="GmftGroupRanking" getLabel="GetLabel" getVisible="GetGroupVisible">
          <button id="GmftImportRanking" getLabel="GetLabel" imageMso="ImportExcel" onAction="GmftImportFISTF_WR" size="large" getScreentip="GetScreentip" getSupertip="GetSupertip"/>
        </group>
        <group id="GmftGroupRankingTeams" getLabel="GetLabel" getVisible="GetGroupVisible">
          <button id="GmftImportRankingTeams" getLabel="GetLabel" imageMso="ImportExcel" onAction="GmftImportFISTF_WR_Teams" size="large" getScreentip="GetScreentip" getSupertip="GetSupertip"/>
        </group>
        <group id="GmftGroupTeams" getLabel="GetLabel" getVisible="GetGroupVisible">
          <button id="GmftSortPlayersInTeams" getLabel="GetLabel" imageMso="SortFilterMenu" onAction="GmftSortTeamMembers" size="large" getScreentip="GetScreentip" getSupertip="GetSupertip"/>
          <button id="GmftTeamsForm" getLabel="GetLabel" imageMso="AccessFormWizard" onAction="GmftTeamsForm" size="normal" getScreentip="GetScreentip" getSupertip="GetSupertip"/>
        </group>
        <group id="GmftGroupRefereeing" getLabel="GetLabel" getVisible="GetGroupVisible">
          <button id="GmftUpdateRefereeing" getLabel="GetLabel" imageMso="Refresh" onAction="GmftUpdateRefereeing" size="large" getScreentip="GetScreentip" getSupertip="GetSupertip"/>
        </group>
        <group id="GmftGroupTimeline" getLabel="GetLabel" getVisible="GetGroupVisible">
          <button id="GmftUpdatePlayerTimelineFromTimeline" getLabel="GetLabel" imageMso="Refresh" onAction="GmftUpdatePlayerTimelineFromTimeline" size="large" getScreentip="GetScreentip" getSupertip="GetSupertip"/>
        </group>
        <group id="GmftGroupStats" getLabel="GetLabel" getVisible="GetGroupVisible">
          <button id="GmftUpdateStatistics" getLabel="GetLabel" imageMso="Refresh" onAction="GmftUpdateStatistics" size="large" getScreentip="GetScreentip" getSupertip="GetSupertip"/>
        </group>
        <group id="GmftGroupVenueDefinition" getLabel="GetLabel" getVisible="GetGroupVisible">
          <button id="GmftCreateTableName" getLabel="GetLabel" imageMso="TableDrawTable" onAction="GmftCreateTableName" size="normal" getScreentip="GetScreentip" getSupertip="GetSupertip"/>
          <button id="GmftCreateGroupOfTablesName" getLabel="GetLabel" imageMso="TableDrawTable" onAction="GmftCreateGroupOfTablesName" size="normal" getScreentip="GetScreentip" getSupertip="GetSupertip"/>
          <button id="GmftCreateModel" getLabel="GetLabel" imageMso="TableDrawTable" onAction="GmftCreateModel" size="normal" getScreentip="GetScreentip" getSupertip="GetSupertip"/>
          <separator id="SeparatorGroupVenue01"/>
          <button id="GmftUndefineTableNames" getLabel="GetLabel" imageMso="TableEraser" onAction="GmftUndefineTableNames" size="normal" getScreentip="GetScreentip" getSupertip="GetSupertip"/>
          <button id="GmftUndefineGroupOfTableNames" getLabel="GetLabel" imageMso="TableEraser" onAction="GmftUndefineGroupOfTableNames" size="normal" getScreentip="GetScreentip" getSupertip="GetSupertip"/>
          <button id="GmftUndefineModels" getLabel="GetLabel" imageMso="TableEraser" onAction="GmftUndefineModels" size="normal" getScreentip="GetScreentip" getSupertip="GetSupertip"/>
        </group>
        <group id="GmftGroupVenueShow" getLabel="GetLabel" getVisible="GetGroupVisible">
          <dropDown id="TableDisplayDropDown" getLabel="GetLabel" showLabel="true" getItemCount="TableDisplayGetItemCount" getItemID="TableDisplayGetItemID" getItemLabel="TableDisplayGetItemLabel" getSelectedItemID="TableDisplayGetSelectedID" onAction="ChangeTableDisplay" getScreentip="GetScreentip" getSupertip="GetSupertip"/>
          <editBox id="GmftSession_Number" getLabel="GetLabel" getText="GmftInitSession_Number" onChange="GmftCheckNumericForSessionNumber" maxLength="3" sizeString="XXX" getScreentip="GetScreentip" getSupertip="GetSupertip"/>
        </group>
        <group id="GmftGroupHomeCreateEvents" getLabel="GetLabel" getVisible="GetGroupVisible">
          <labelControl id="GmftNewEvent_FISTF" getLabel="GetLabel" getScreentip="GetScreentip" getSupertip="GetSupertip"/>
          <labelControl id="GmftNewEvent_Predefined" getLabel="GetLabel" getScreentip="GetScreentip" getSupertip="GetSupertip"/>
          <labelControl id="GmftNewEvent_Custom" getLabel="GetLabel" getScreentip="GetScreentip" getSupertip="GetSupertip"/>
          <separator id="SeparatorGroupHome01"/>
          <button id="GmftNewOfficialEvent_Individuals" imageMso="CondolatoryEvent" onAction="GmftNewOfficialEvent_Individuals" size="normal"/>
          <button id="GmftNewEventWithFormulas_Individuals" imageMso="CondolatoryEvent" onAction="GmftNewEventWithFormulas_Individuals" size="normal"/>
          <button id="GmftNewEvent_Individuals" imageMso="CondolatoryEvent" onAction="GmftNewEvent_Individuals" size="normal"/>
          <separator id="SeparatorGroupHome02"/>
          <button id="GmftNewOfficialEvent_Teams" imageMso="AccessOnlineLists" onAction="GmftNewOfficialEvent_Teams" size="normal"/>
          <button id="GmftNewEventWithFormulas_Teams" imageMso="AccessOnlineLists" onAction="GmftNewEventWithFormulas_Teams" size="normal"/>
          <button id="GmftNewEvent_Teams" imageMso="AccessOnlineLists" onAction="GmftNewEvent_Teams" size="normal"/>
          <separator id="SeparatorGroupHome03"/>
          <button id="GmftNewOfficialEvent_Doubles" imageMso="OutlookGears" onAction="GmftNewOfficialEvent_Doubles" size="normal"/>
          <button id="GmftNewEventWithFormulas_Doubles" imageMso="OutlookGears" onAction="GmftNewEventWithFormulas_Doubles" size="normal"/>
          <button id="GmftNewEvent_Doubles" imageMso="OutlookGears" onAction="GmftNewEvent_Doubles" size="normal"/>
        </group>
        <group id="GmftGroupHomePrinting" getLabel="GetLabel" getVisible="GetGroupVisible">
          <button id="GmftInitLayout" getLabel="GetLabel" imageMso="AdpDiagramAutosizeSelectedTables" onAction="GmftInitLayout" size="normal" getScreentip="GetScreentip" getSupertip="GetSupertip"/>
          <box id="box" boxStyle="horizontal">
            <button id="GmftViewPageBreaks" getLabel="GetLabel" imageMso="ViewPageBreakPreviewView" onAction="GmftViewPageBreaks" size="normal" getScreentip="GetScreentip" getSupertip="GetSupertip"/>
            <button id="GmftViewNormal" getLabel="GetLabel" imageMso="ViewNormalViewExcel" onAction="GmftViewNormal" size="normal" getScreentip="GetScreentip" getSupertip="GetSupertip"/>
          </box>
          <box id="box2" boxStyle="horizontal">
            <button id="GmftPrintResults" getLabel="GetLabel" imageMso="FilePrint" onAction="GmftPrintResults" size="normal" getScreentip="GetScreentip" getSupertip="GetSupertip"/>
            <button id="GmftSaveResultsAsPDF" getLabel="GetLabel" imageMso="FileSaveAsPdfOrXps" onAction="GmftSaveResultsAsPDF" size="normal" getScreentip="GetScreentip" getSupertip="GetSupertip"/>
          </box>
        </group>
        <group id="GmftGroupPlanningMoveMatches" getLabel="GetLabel" getVisible="GetGroupVisible">
          <button id="GmftMoveMatchesUp" getLabel="GetLabel" imageMso="OutlineMoveUp" onAction="GmftMoveMatchesUp" size="normal" getScreentip="GetScreentip" getSupertip="GetSupertip"/>
          <button id="GmftMoveMatchesDown" getLabel="GetLabel" imageMso="OutlineMoveDown" onAction="GmftMoveMatchesDown" size="normal" getScreentip="GetScreentip" getSupertip="GetSupertip"/>
          <button id="GmftDeleteMatches" getLabel="GetLabel" imageMso="Delete" onAction="GmftDeleteMatches" size="normal" getScreentip="GetScreentip" getSupertip="GetSupertip"/>
          <separator id="GmftGroupPlanningMoveMatches05"/>
          <button id="GmftMoveMatchesSessionUp" getLabel="GetLabel" imageMso="ShapeUpArrow" onAction="GmftMoveMatchesSessionUp" size="normal" getScreentip="GetScreentip" getSupertip="GetSupertip"/>
          <button id="GmftMoveMatchesSessionDown" getLabel="GetLabel" imageMso="ShapeDownArrow" onAction="GmftMoveMatchesSessionDown" size="normal" getScreentip="GetScreentip" getSupertip="GetSupertip"/>
          <button id="GmftMoveMatchesToParticularSession" getLabel="GetLabel" imageMso="TraceDependentRemoveArrows" onAction="GmftMoveMatchesToParticularSession" size="normal" getScreentip="GetScreentip" getSupertip="GetSupertip"/>
        </group>
        <group id="GmftGroupPlanningSessionMgt" getLabel="GetLabel" getVisible="GetGroupVisible">
          <button id="GmftPlanning_InsertSession" getLabel="GetLabel" imageMso="BreakInsertDialog" onAction="GmftPlanning_InsertSession" size="normal" getScreentip="GetScreentip" getSupertip="GetSupertip"/>
          <button id="GmftPlanning_DeleteThisSession" getLabel="GetLabel" imageMso="TableDeleteRows" onAction="GmftPlanning_DeleteThisSession" size="normal" getScreentip="GetScreentip" getSupertip="GetSupertip"/>
          <separator id="GmftGroupPlanningSessionMgtSep01"/>
          <button id="GmftPlanning_AddSession" getLabel="GetLabel" imageMso="SmartArtAddShapeBelow" onAction="GmftPlanning_AddSession" size="normal" getScreentip="GetScreentip" getSupertip="GetSupertip"/>
          <button id="GmftPlanning_DeleteSession" getLabel="GetLabel" imageMso="HeaderFooterRemoveFooterWord" onAction="GmftPlanning_DeleteSession" size="normal" getScreentip="GetScreentip" getSupertip="GetSupertip"/>
        </group>
        <group id="GmftGroupPlanningRecord" getLabel="GetLabel" getVisible="GetGroupVisible">
          <button id="GmftRecopier_matches" getLabel="GetLabel" imageMso="Copy" onAction="GmftRecopier_matches" size="large" getScreentip="GetScreentip" getSupertip="GetSupertip"/>
          <button id="GmftValider_matches" getLabel="GetLabel" imageMso="ReviewAcceptChangeAndMoveToNext" onAction="GmftValider_matches" size="large" getScreentip="GetScreentip" getSupertip="GetSupertip"/>
        </group>
        <group id="GmftGroupPlanningReferees" getLabel="GetLabel" getVisible="GetGroupVisible">
          <button id="GmftAssignReferees" getLabel="GetLabel" imageMso="NewDistributionList" onAction="GmftAssignReferees" size="large" getScreentip="GetScreentip" getSupertip="GetSupertip"/>
          <button id="GmftSwitchReferees" getLabel="GetLabel" imageMso="RecurrenceEdit" onAction="GmftSwitchReferees" size="large" getScreentip="GetScreentip" getSupertip="GetSupertip"/>
        </group>
        <group id="GmftGroupPlanningExports" getLabel="GetLabel" getVisible="GetGroupVisible">
          <button id="GmftScoresheetsExport" getLabel="GetLabel" imageMso="DataFormExcel" onAction="GmftScoresheetsExport" size="normal" getScreentip="GetScreentip" getSupertip="GetSupertip"/>
          <button id="GmftPlanningExport" getLabel="GetLabel" imageMso="HeaderFooterCurrentTimeInsert" onAction="GmftPlanningExport" size="normal" getScreentip="GetScreentip" getSupertip="GetSupertip"/>
          <box id="GmftScorerTable" boxStyle="horizontal">
            <labelControl id="GmftScorerTableLabel" getLabel="GetLabel"/>
            <button id="GmftScorerTableExport" imageMso="ExportSharePointList" onAction="GmftScorerTableExport" size="normal" getScreentip="GetScreentip" getSupertip="GetSupertip"/>
            <button id="GmftImportScorerTable" imageMso="ImportSharePointList" onAction="GmftImportScorerTable" size="normal" getScreentip="GetScreentip" getSupertip="GetSupertip"/>
          </box>
          <button id="GmftResultExport" getLabel="GetLabel" imageMso="MacroDefault" onAction="GmftResultExport" size="normal" getScreentip="GetScreentip" getSupertip="GetSupertip"/>
        </group>
        <group id="GmftGroupPlanningDashboard" getLabel="GetLabel" getVisible="GetGroupVisible">
          <button id="GmftOpenDashboard" getLabel="GetLabel" imageMso="SlideShowRehearseTimings" onAction="GmftOpenDashboard" size="large" getScreentip="GetScreentip" getSupertip="GetSupertip"/>
        </group>
        <group id="GmftGroupHomeExport" getLabel="GetLabel" getVisible="GetGroupVisible">
          <button id="GmftWebSiteExport" getLabel="GetLabel" imageMso="HyperlinkInsert" onAction="GmftWebSiteExport" size="large" getScreentip="GetScreentip" getSupertip="GetSupertip"/>
          <button id="GmftRegistrationsExport" getLabel="GetLabel" imageMso="ReviewAcceptChange" onAction="GmftRegistrationsExport" size="large" getScreentip="GetScreentip" getSupertip="GetSupertip"/>
          <button id="GmftFISTFExport" getLabel="GetLabel" imageMso="PublishToPdfOrEdoc" onAction="GmftFISTFExport" size="large" getScreentip="GetScreentip" getSupertip="GetSupertip"/>
        </group>
        <group id="GmftGroupParameters" getLabel="GetLabel" getVisible="GetGroupVisible">
          <button id="GmftShowNationalities" getLabel="GetLabel" imageMso="NewDistributionList" onAction="GmftShowNationalities" size="large" getScreentip="GetScreentip" getSupertip="GetSupertip"/>
          <button id="GmftShowREsultModel" getLabel="GetLabel" imageMso="CreateTableInDesignView" onAction="GmftShowREsultModel" size="large" getScreentip="GetScreentip" getSupertip="GetSupertip"/>
          <button id="GmftShowScoresheetModel" getLabel="GetLabel" imageMso="ViewsFormView" onAction="GmftShowScoresheetModel" size="large" getScreentip="GetScreentip" getSupertip="GetSupertip"/>
          <button id="GmftShowPlanningModel" getLabel="GetLabel" imageMso="ShowSchedulingPage" onAction="GmftShowPlanningModel" size="large" getScreentip="GetScreentip" getSupertip="GetSupertip"/>
          <button id="GmftShowDrawModel" getLabel="GetLabel" imageMso="FileCreateDocumentWorkspace" onAction="GmftShowDrawModel" size="large" getScreentip="GetScreentip" getSupertip="GetSupertip"/>
        </group>
        <group id="GmftGroupEvent" getLabel="GetLabel" getVisible="GetGroupVisible">
          <checkBox id="GmftMaxScore" getLabel="GetMaxScoreLabel" onAction="GmftSetMaxScore" getPressed="GmftMaxScoreGetPressed" getScreentip="GetScreentip" getSupertip="GetSupertip"/>
          <dropDown id="CategoryDropDown" showLabel="false" sizeString="XXXXXXXXXXX" getScreentip="GetScreentip" getSupertip="GetSupertip" getItemCount="CategoryGetItemCount" getItemID="CategoryGetItemID" getItemLabel="CategoryGetItemLabel" getSelectedItemID="CategoryGetSelectedID" onAction="ChangeCategory"/>
          <separator id="GmftGroupEventSep01"/>
          <button id="GmftCreateDrawSheet" getLabel="GetLabel" imageMso="FileCreateDocumentWorkspace" onAction="GmftCreateDrawSheet" size="large" getScreentip="GetScreentip" getSupertip="GetSupertip"/>
          <button id="GmftDelete_This_sheet" getLabel="GetLabel" imageMso="Delete" onAction="GmftDelete_This_sheet" size="large" getScreentip="GetScreentip" getSupertip="GetSupertip"/>
        </group>
        <group id="GmftGroupDraw" getLabel="GetLabel" getVisible="GetGroupVisible">
          <button id="GmftDefineFirstSeeds" getLabel="GetLabel" imageMso="DiagramTargetInsertClassic" onAction="GmftDefineFirstSeeds" size="normal" getScreentip="GetScreentip" getSupertip="GetSupertip"/>
          <button id="GmftMakeNextDrawInSecondPot" getLabel="GetLabel" imageMso="DiagramTargetInsertClassic" onAction="GmftMakeNextDrawInSecondPot" size="normal" getScreentip="GetScreentip" getSupertip="GetSupertip"/>
          <button id="GmftMakeNextDraw" getLabel="GetLabel" imageMso="DiagramTargetInsertClassic" onAction="GmftMakeNextDraw" size="normal" getScreentip="GetScreentip" getSupertip="GetSupertip"/>
          <button id="GmftMakeAllDraw" getLabel="GetLabel" imageMso="DiagramTargetInsertClassic" onAction="GmftMakeAllDraw" size="normal" getScreentip="GetScreentip" getSupertip="GetSupertip"/>
          <separator id="GmftGroupDrawSep01"/>
          <button id="GmftMakeWithDraw" getLabel="GetLabel" imageMso="DistributionListRemoveMember" onAction="GmftMakeWithDraw" size="large" getScreentip="GetScreentip" getSupertip="GetSupertip"/>
          <separator id="GmftGroupDrawSep02"/>
          <button id="GmftValidateDraw" getLabel="GetLabel" imageMso="ReviewAcceptChangeAndMoveToNext" onAction="GmftValidateDraw" size="large" getScreentip="GetScreentip" getSupertip="GetSupertip"/>
          <separator id="GmftGroupDrawSep03"/>
          <button id="GmftDeleteDraw" getLabel="GetLabel" imageMso="Delete" onAction="GmftDelete_This_sheet" size="large" getScreentip="GetScreentip" getSupertip="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39</vt:i4>
      </vt:variant>
      <vt:variant>
        <vt:lpstr>Plages nommées</vt:lpstr>
      </vt:variant>
      <vt:variant>
        <vt:i4>1551</vt:i4>
      </vt:variant>
    </vt:vector>
  </HeadingPairs>
  <TitlesOfParts>
    <vt:vector size="1590" baseType="lpstr">
      <vt:lpstr>Release-TODO</vt:lpstr>
      <vt:lpstr>language</vt:lpstr>
      <vt:lpstr>Home</vt:lpstr>
      <vt:lpstr>Parameters</vt:lpstr>
      <vt:lpstr>Licences</vt:lpstr>
      <vt:lpstr>Clubs</vt:lpstr>
      <vt:lpstr>Nationalities</vt:lpstr>
      <vt:lpstr>Ranking</vt:lpstr>
      <vt:lpstr>RankingTeams</vt:lpstr>
      <vt:lpstr>CheckIn</vt:lpstr>
      <vt:lpstr>Teams</vt:lpstr>
      <vt:lpstr>Doubles</vt:lpstr>
      <vt:lpstr>Lists</vt:lpstr>
      <vt:lpstr>FISTFFormulas</vt:lpstr>
      <vt:lpstr>CompetitionFormulas</vt:lpstr>
      <vt:lpstr>PlanningModel</vt:lpstr>
      <vt:lpstr>ExportScorerTableModel</vt:lpstr>
      <vt:lpstr>ExportPlanningModel</vt:lpstr>
      <vt:lpstr>Ind Groups</vt:lpstr>
      <vt:lpstr>Dble Groups</vt:lpstr>
      <vt:lpstr>Team Groups</vt:lpstr>
      <vt:lpstr>Ind FDL</vt:lpstr>
      <vt:lpstr>Team FDL</vt:lpstr>
      <vt:lpstr>Dble FDL</vt:lpstr>
      <vt:lpstr>Ind by Sel. Match</vt:lpstr>
      <vt:lpstr>Team by Sel. Match</vt:lpstr>
      <vt:lpstr>Dble by Sel. Match</vt:lpstr>
      <vt:lpstr>DrawModel</vt:lpstr>
      <vt:lpstr>ExportResultsModel</vt:lpstr>
      <vt:lpstr>Planning</vt:lpstr>
      <vt:lpstr>Refereeing</vt:lpstr>
      <vt:lpstr>Timeline</vt:lpstr>
      <vt:lpstr>Stats</vt:lpstr>
      <vt:lpstr>Venue</vt:lpstr>
      <vt:lpstr>Scoresheet_Models</vt:lpstr>
      <vt:lpstr>Podium</vt:lpstr>
      <vt:lpstr>D1_Tr1</vt:lpstr>
      <vt:lpstr>D1_Top8</vt:lpstr>
      <vt:lpstr>D1_Last8</vt:lpstr>
      <vt:lpstr>Category_List</vt:lpstr>
      <vt:lpstr>Check_Referee_Club_InGroup</vt:lpstr>
      <vt:lpstr>Check_Referee_Nat_InGroup</vt:lpstr>
      <vt:lpstr>Check_Referee_SameClub</vt:lpstr>
      <vt:lpstr>Check_Referee_SameGroup</vt:lpstr>
      <vt:lpstr>Check_Referee_SameNat</vt:lpstr>
      <vt:lpstr>Checked_Players</vt:lpstr>
      <vt:lpstr>Checked_Referee</vt:lpstr>
      <vt:lpstr>D1_Last8!CompetitionArea</vt:lpstr>
      <vt:lpstr>D1_Top8!CompetitionArea</vt:lpstr>
      <vt:lpstr>D1_Tr1!CompetitionArea</vt:lpstr>
      <vt:lpstr>CompetitorsExportToWebSite</vt:lpstr>
      <vt:lpstr>D1_Last8!ConditionalFormatFormulass</vt:lpstr>
      <vt:lpstr>D1_Top8!ConditionalFormatFormulass</vt:lpstr>
      <vt:lpstr>D1_Tr1!ConditionalFormatFormulass</vt:lpstr>
      <vt:lpstr>'Ind Groups'!ConditionalFormatFormulass</vt:lpstr>
      <vt:lpstr>CritClassEq_DiffPart</vt:lpstr>
      <vt:lpstr>CritClassEq_GoalPart</vt:lpstr>
      <vt:lpstr>CritClassEq_IndsPart</vt:lpstr>
      <vt:lpstr>CritClassEq_ScorePart</vt:lpstr>
      <vt:lpstr>CritClassEq_WinsPart</vt:lpstr>
      <vt:lpstr>CritClassEq1_Attaque</vt:lpstr>
      <vt:lpstr>CritClassEq1_DiffButs</vt:lpstr>
      <vt:lpstr>CritClassEq1_DiffMatches</vt:lpstr>
      <vt:lpstr>CritClassEq1_DiffRencontres</vt:lpstr>
      <vt:lpstr>CritClassEq1_Matches</vt:lpstr>
      <vt:lpstr>CritClassEq1_Points</vt:lpstr>
      <vt:lpstr>CritClassEq2_Attaque</vt:lpstr>
      <vt:lpstr>CritClassEq2_DiffButs</vt:lpstr>
      <vt:lpstr>CritClassEq2_DiffMatches</vt:lpstr>
      <vt:lpstr>CritClassEq2_DiffRencontres</vt:lpstr>
      <vt:lpstr>CritClassEq2_Matches</vt:lpstr>
      <vt:lpstr>CritClassEq2_Points</vt:lpstr>
      <vt:lpstr>CritClassInd_DiffPart</vt:lpstr>
      <vt:lpstr>CritClassInd_GoalPart</vt:lpstr>
      <vt:lpstr>CritClassInd_Ranking</vt:lpstr>
      <vt:lpstr>CritClassInd_ScorePart</vt:lpstr>
      <vt:lpstr>CritClassInd1_Attaque</vt:lpstr>
      <vt:lpstr>CritClassInd1_DiffButs</vt:lpstr>
      <vt:lpstr>CritClassInd1_Matches</vt:lpstr>
      <vt:lpstr>CritClassInd1_Points</vt:lpstr>
      <vt:lpstr>CritClassInd2_Attaque</vt:lpstr>
      <vt:lpstr>CritClassInd2_DiffButs</vt:lpstr>
      <vt:lpstr>CritClassInd2_Matches</vt:lpstr>
      <vt:lpstr>CritClassInd2_Points</vt:lpstr>
      <vt:lpstr>DashboardSessionTitle</vt:lpstr>
      <vt:lpstr>DashboardTemplateFileName</vt:lpstr>
      <vt:lpstr>DashboardTemplatePath</vt:lpstr>
      <vt:lpstr>Dble_Elim_Type_Last16</vt:lpstr>
      <vt:lpstr>Dble_Elim_Type_Last2</vt:lpstr>
      <vt:lpstr>Dble_Elim_Type_Last4</vt:lpstr>
      <vt:lpstr>Dble_Elim_Type_Last8</vt:lpstr>
      <vt:lpstr>Dble_Elim_Type_PlayOff_Head</vt:lpstr>
      <vt:lpstr>Dble_Elim_Type_PlayOff_PreQualified_Footer</vt:lpstr>
      <vt:lpstr>Dble_Elim_Type_PlayOff_PreQualified_Head</vt:lpstr>
      <vt:lpstr>Dble_Elim_Type_PlayOff_PreQualified_Line</vt:lpstr>
      <vt:lpstr>Dble_Elim_Type_PlayOffMatch_Head</vt:lpstr>
      <vt:lpstr>Dble_Elim_Type_PlayOffMatch_Line</vt:lpstr>
      <vt:lpstr>Dble_Elim_Type_Third</vt:lpstr>
      <vt:lpstr>Dble_Group_Type_3</vt:lpstr>
      <vt:lpstr>Dble_Group_Type_3FS</vt:lpstr>
      <vt:lpstr>Dble_Group_Type_4</vt:lpstr>
      <vt:lpstr>Dble_Group_Type_5</vt:lpstr>
      <vt:lpstr>Dble_Group_Type_6</vt:lpstr>
      <vt:lpstr>Planning!Debut_matches</vt:lpstr>
      <vt:lpstr>PlanningModel!Debut_matches</vt:lpstr>
      <vt:lpstr>DefaultExportIndMatches</vt:lpstr>
      <vt:lpstr>DefaultNumberOfSessions</vt:lpstr>
      <vt:lpstr>DefaultStartSessionNumber</vt:lpstr>
      <vt:lpstr>DisqualifiedUsed</vt:lpstr>
      <vt:lpstr>DrawModel!DrawAreaToClear</vt:lpstr>
      <vt:lpstr>DrawModel!DrawCurrentDraw</vt:lpstr>
      <vt:lpstr>DrawModel!DrawEventName</vt:lpstr>
      <vt:lpstr>DrawGroupColumn1</vt:lpstr>
      <vt:lpstr>DrawGroupColumn2</vt:lpstr>
      <vt:lpstr>DrawGroupColumn3</vt:lpstr>
      <vt:lpstr>DrawGroupColumn4</vt:lpstr>
      <vt:lpstr>DrawGroupDrawColumn1</vt:lpstr>
      <vt:lpstr>DrawGroupDrawColumn2</vt:lpstr>
      <vt:lpstr>DrawGroupDrawColumn3</vt:lpstr>
      <vt:lpstr>DrawGroupDrawColumn4</vt:lpstr>
      <vt:lpstr>DrawGroupEvenLine</vt:lpstr>
      <vt:lpstr>DrawGroupevenLineDraw</vt:lpstr>
      <vt:lpstr>DrawGroupFirstLine</vt:lpstr>
      <vt:lpstr>DrawGroupFirstLineDraw</vt:lpstr>
      <vt:lpstr>DrawGroupHeader</vt:lpstr>
      <vt:lpstr>DrawGroupHeaderDraw</vt:lpstr>
      <vt:lpstr>DrawGroupLastLine</vt:lpstr>
      <vt:lpstr>DrawGroupLastLineDraw</vt:lpstr>
      <vt:lpstr>DrawGroupOddLine</vt:lpstr>
      <vt:lpstr>DrawGroupOddLineDraw</vt:lpstr>
      <vt:lpstr>DrawModel!DrawGroupSize</vt:lpstr>
      <vt:lpstr>DrawModel!DrawHeaderDrawArea</vt:lpstr>
      <vt:lpstr>DrawModel!DrawNbGroups</vt:lpstr>
      <vt:lpstr>DrawModel!DrawNbParticipants</vt:lpstr>
      <vt:lpstr>DrawModel!DrawParticipantsListAlphbetical</vt:lpstr>
      <vt:lpstr>DrawModel!DrawParticipantsListByName</vt:lpstr>
      <vt:lpstr>DrawModel!DrawParticipantsLists</vt:lpstr>
      <vt:lpstr>DrawModel!DrawParticipantsRankingList</vt:lpstr>
      <vt:lpstr>DrawModel!DrawTournamentTitle</vt:lpstr>
      <vt:lpstr>Durations_List</vt:lpstr>
      <vt:lpstr>Stats!Event</vt:lpstr>
      <vt:lpstr>Event_Type_List</vt:lpstr>
      <vt:lpstr>Event1</vt:lpstr>
      <vt:lpstr>Event10</vt:lpstr>
      <vt:lpstr>Event11</vt:lpstr>
      <vt:lpstr>Event12</vt:lpstr>
      <vt:lpstr>Event13</vt:lpstr>
      <vt:lpstr>Event14</vt:lpstr>
      <vt:lpstr>Event2</vt:lpstr>
      <vt:lpstr>Event3</vt:lpstr>
      <vt:lpstr>Event4</vt:lpstr>
      <vt:lpstr>Event5</vt:lpstr>
      <vt:lpstr>Event6</vt:lpstr>
      <vt:lpstr>Event7</vt:lpstr>
      <vt:lpstr>Event8</vt:lpstr>
      <vt:lpstr>Event9</vt:lpstr>
      <vt:lpstr>EventList_1</vt:lpstr>
      <vt:lpstr>EventList_10</vt:lpstr>
      <vt:lpstr>EventList_11</vt:lpstr>
      <vt:lpstr>EventList_12</vt:lpstr>
      <vt:lpstr>EventList_13</vt:lpstr>
      <vt:lpstr>EventList_14</vt:lpstr>
      <vt:lpstr>EventList_2</vt:lpstr>
      <vt:lpstr>EventList_3</vt:lpstr>
      <vt:lpstr>EventList_4</vt:lpstr>
      <vt:lpstr>EventList_5</vt:lpstr>
      <vt:lpstr>EventList_6</vt:lpstr>
      <vt:lpstr>EventList_7</vt:lpstr>
      <vt:lpstr>EventList_8</vt:lpstr>
      <vt:lpstr>EventList_9</vt:lpstr>
      <vt:lpstr>EventSheetNameToShow</vt:lpstr>
      <vt:lpstr>EventSheetTable</vt:lpstr>
      <vt:lpstr>ExportGroupsToWebSite</vt:lpstr>
      <vt:lpstr>ExportIndivRegistrationsToWebSite</vt:lpstr>
      <vt:lpstr>ExportIndivToWebSite</vt:lpstr>
      <vt:lpstr>ExportMatchesToWebSite</vt:lpstr>
      <vt:lpstr>ExportPlanning_Category</vt:lpstr>
      <vt:lpstr>ExportPlanning_Group</vt:lpstr>
      <vt:lpstr>ExportPlanning_Player1</vt:lpstr>
      <vt:lpstr>ExportPlanning_Player2</vt:lpstr>
      <vt:lpstr>ExportPlanning_Referee</vt:lpstr>
      <vt:lpstr>ExportPlanning_Round</vt:lpstr>
      <vt:lpstr>ExportPlanning_Session</vt:lpstr>
      <vt:lpstr>ExportPlanning_Stage</vt:lpstr>
      <vt:lpstr>ExportPlanning_Table</vt:lpstr>
      <vt:lpstr>ExportPlanning_Time</vt:lpstr>
      <vt:lpstr>ExportPlanningBreak</vt:lpstr>
      <vt:lpstr>ExportPlanningFooter</vt:lpstr>
      <vt:lpstr>ExportPlanningHeader</vt:lpstr>
      <vt:lpstr>ExportPlanningMatch</vt:lpstr>
      <vt:lpstr>ExportPlanningToWebSite</vt:lpstr>
      <vt:lpstr>ExportResultsToWebSite</vt:lpstr>
      <vt:lpstr>ExportScorerDoubleElimMatch</vt:lpstr>
      <vt:lpstr>ExportScorerDoubleGroupMatch</vt:lpstr>
      <vt:lpstr>ExportScorerIndElimMatch</vt:lpstr>
      <vt:lpstr>ExportScorerIndGroupMatch</vt:lpstr>
      <vt:lpstr>ExportScorerTableBreak</vt:lpstr>
      <vt:lpstr>ExportScorerTableFooter</vt:lpstr>
      <vt:lpstr>ExportScorerTableHeader</vt:lpstr>
      <vt:lpstr>ExportScorerTeamElimMatch</vt:lpstr>
      <vt:lpstr>ExportScorerTeamGroupMatch</vt:lpstr>
      <vt:lpstr>ExportStatsToWebSite</vt:lpstr>
      <vt:lpstr>ExportTeamsRegistrationsToWebSite</vt:lpstr>
      <vt:lpstr>ExportTeamsToWebSite</vt:lpstr>
      <vt:lpstr>ExpPlanning_Header</vt:lpstr>
      <vt:lpstr>Planning!Fin_Planning</vt:lpstr>
      <vt:lpstr>PlanningModel!Fin_Planning</vt:lpstr>
      <vt:lpstr>FISTF_Category_List</vt:lpstr>
      <vt:lpstr>Following_Session</vt:lpstr>
      <vt:lpstr>Full_Planning</vt:lpstr>
      <vt:lpstr>FullCheckinList</vt:lpstr>
      <vt:lpstr>FullClubList</vt:lpstr>
      <vt:lpstr>FullDoubleList</vt:lpstr>
      <vt:lpstr>FullLicencedPlayerList</vt:lpstr>
      <vt:lpstr>FullPlayersRankingList</vt:lpstr>
      <vt:lpstr>FullTeamList</vt:lpstr>
      <vt:lpstr>FullTeamsRankingList</vt:lpstr>
      <vt:lpstr>GenerateConfigurationFile</vt:lpstr>
      <vt:lpstr>Venue!GroupOfTables_AREA_A_5_to_8</vt:lpstr>
      <vt:lpstr>Venue!GroupOfTables_AREA_B_9_to_12</vt:lpstr>
      <vt:lpstr>Venue!GroupOfTables_AREA_C_13_to_16</vt:lpstr>
      <vt:lpstr>Venue!GroupOfTables_AREA_CENTRAL_1_to_4</vt:lpstr>
      <vt:lpstr>Venue!GroupOfTables_AREA_D_17_to_20</vt:lpstr>
      <vt:lpstr>Venue!GroupOfTables_AREA_E_21_to_24</vt:lpstr>
      <vt:lpstr>Venue!GroupOfTables_AREA_F_25_to_28</vt:lpstr>
      <vt:lpstr>Venue!GroupOfTables_AREA_G_29_to_32</vt:lpstr>
      <vt:lpstr>Venue!GroupOfTables_AREA_H_33_to_36</vt:lpstr>
      <vt:lpstr>Venue!GroupOfTables_AREA_I_37_to_40</vt:lpstr>
      <vt:lpstr>Venue!GroupOfTables_AREA_J_41_to_44</vt:lpstr>
      <vt:lpstr>Venue!GroupOfTables_AREA_K_45_to_48</vt:lpstr>
      <vt:lpstr>GroupsOf10MatchOrganisationList</vt:lpstr>
      <vt:lpstr>GroupsOf3MatchOrganisationList</vt:lpstr>
      <vt:lpstr>GroupsOf4MatchOrganisationList</vt:lpstr>
      <vt:lpstr>GroupsOf5MatchOrganisationList</vt:lpstr>
      <vt:lpstr>GroupsOf6MatchOrganisationList</vt:lpstr>
      <vt:lpstr>GroupsOf7MatchOrganisationList</vt:lpstr>
      <vt:lpstr>GroupsOf8MatchOrganisationList</vt:lpstr>
      <vt:lpstr>GroupsOf9MatchOrganisationList</vt:lpstr>
      <vt:lpstr>HidePlayerFormulas</vt:lpstr>
      <vt:lpstr>CheckIn!Impression_des_titres</vt:lpstr>
      <vt:lpstr>Clubs!Impression_des_titres</vt:lpstr>
      <vt:lpstr>ExportPlanningModel!Impression_des_titres</vt:lpstr>
      <vt:lpstr>ExportResultsModel!Impression_des_titres</vt:lpstr>
      <vt:lpstr>ExportScorerTableModel!Impression_des_titres</vt:lpstr>
      <vt:lpstr>Lists!Impression_des_titres</vt:lpstr>
      <vt:lpstr>Planning!Impression_des_titres</vt:lpstr>
      <vt:lpstr>PlanningModel!Impression_des_titres</vt:lpstr>
      <vt:lpstr>Ranking!Impression_des_titres</vt:lpstr>
      <vt:lpstr>RankingTeams!Impression_des_titres</vt:lpstr>
      <vt:lpstr>Refereeing!Impression_des_titres</vt:lpstr>
      <vt:lpstr>Stats!Impression_des_titres</vt:lpstr>
      <vt:lpstr>Timeline!Impression_des_titres</vt:lpstr>
      <vt:lpstr>Ind_Elim_Type_Last128</vt:lpstr>
      <vt:lpstr>Ind_Elim_Type_Last16</vt:lpstr>
      <vt:lpstr>Ind_Elim_Type_Last2</vt:lpstr>
      <vt:lpstr>Ind_Elim_Type_Last256</vt:lpstr>
      <vt:lpstr>Ind_Elim_Type_Last32</vt:lpstr>
      <vt:lpstr>Ind_Elim_Type_Last4</vt:lpstr>
      <vt:lpstr>Ind_Elim_Type_Last64</vt:lpstr>
      <vt:lpstr>Ind_Elim_Type_Last8</vt:lpstr>
      <vt:lpstr>Ind_Elim_Type_PlayOff_Head</vt:lpstr>
      <vt:lpstr>Ind_Elim_Type_PlayOff_PreQualified_Footer</vt:lpstr>
      <vt:lpstr>Ind_Elim_Type_PlayOff_PreQualified_Head</vt:lpstr>
      <vt:lpstr>Ind_Elim_Type_PlayOff_PreQualified_Line</vt:lpstr>
      <vt:lpstr>Ind_Elim_Type_PlayOffMatch_Head</vt:lpstr>
      <vt:lpstr>Ind_Elim_Type_PlayOffMatch_Line</vt:lpstr>
      <vt:lpstr>Ind_Elim_Type_Third</vt:lpstr>
      <vt:lpstr>Ind_Group_Type_10</vt:lpstr>
      <vt:lpstr>Ind_Group_Type_11</vt:lpstr>
      <vt:lpstr>Ind_Group_Type_12</vt:lpstr>
      <vt:lpstr>Ind_Group_Type_13</vt:lpstr>
      <vt:lpstr>Ind_Group_Type_14</vt:lpstr>
      <vt:lpstr>Ind_Group_Type_15</vt:lpstr>
      <vt:lpstr>Ind_Group_Type_16</vt:lpstr>
      <vt:lpstr>Ind_Group_Type_17</vt:lpstr>
      <vt:lpstr>Ind_Group_Type_18</vt:lpstr>
      <vt:lpstr>Ind_Group_Type_19</vt:lpstr>
      <vt:lpstr>Ind_Group_Type_20</vt:lpstr>
      <vt:lpstr>Ind_Group_Type_3</vt:lpstr>
      <vt:lpstr>Ind_Group_Type_3FS</vt:lpstr>
      <vt:lpstr>Ind_Group_Type_4</vt:lpstr>
      <vt:lpstr>Ind_Group_Type_4FS</vt:lpstr>
      <vt:lpstr>Ind_Group_Type_5</vt:lpstr>
      <vt:lpstr>Ind_Group_Type_5FS</vt:lpstr>
      <vt:lpstr>Ind_Group_Type_6</vt:lpstr>
      <vt:lpstr>Ind_Group_Type_6SR</vt:lpstr>
      <vt:lpstr>Ind_Group_Type_7</vt:lpstr>
      <vt:lpstr>Ind_Group_Type_8</vt:lpstr>
      <vt:lpstr>Ind_Group_Type_9</vt:lpstr>
      <vt:lpstr>Inscrits_Open</vt:lpstr>
      <vt:lpstr>Inter_matches</vt:lpstr>
      <vt:lpstr>Inter_matches_elim</vt:lpstr>
      <vt:lpstr>Language</vt:lpstr>
      <vt:lpstr>LanguageList</vt:lpstr>
      <vt:lpstr>Planning!Last_Session</vt:lpstr>
      <vt:lpstr>PlanningModel!Last_Session</vt:lpstr>
      <vt:lpstr>Licenced_Clubs</vt:lpstr>
      <vt:lpstr>List_Categories</vt:lpstr>
      <vt:lpstr>List_Categories_All</vt:lpstr>
      <vt:lpstr>List_Doubles</vt:lpstr>
      <vt:lpstr>List_headers</vt:lpstr>
      <vt:lpstr>List_Teams</vt:lpstr>
      <vt:lpstr>Liste_Clubs</vt:lpstr>
      <vt:lpstr>Liste_Doubles</vt:lpstr>
      <vt:lpstr>Liste_Equipes</vt:lpstr>
      <vt:lpstr>Liste_Inscrits</vt:lpstr>
      <vt:lpstr>Liste_licenciés</vt:lpstr>
      <vt:lpstr>Liste_licenciés_noms_prénoms</vt:lpstr>
      <vt:lpstr>Liste_Nb_Equipiers</vt:lpstr>
      <vt:lpstr>Liste_Nb_Equipiers_Doubles</vt:lpstr>
      <vt:lpstr>ListIndividualCategories</vt:lpstr>
      <vt:lpstr>'Dble FDL'!ListOfTeams</vt:lpstr>
      <vt:lpstr>'Dble Groups'!ListOfTeams</vt:lpstr>
      <vt:lpstr>'Team FDL'!ListOfTeams</vt:lpstr>
      <vt:lpstr>'Team Groups'!ListOfTeams</vt:lpstr>
      <vt:lpstr>MatchFormulaList</vt:lpstr>
      <vt:lpstr>MaxGoalsValue</vt:lpstr>
      <vt:lpstr>D1_Last8!MaxScore</vt:lpstr>
      <vt:lpstr>D1_Top8!MaxScore</vt:lpstr>
      <vt:lpstr>D1_Tr1!MaxScore</vt:lpstr>
      <vt:lpstr>'Dble Groups'!MaxScore</vt:lpstr>
      <vt:lpstr>'Ind Groups'!MaxScore</vt:lpstr>
      <vt:lpstr>'Team Groups'!MaxScore</vt:lpstr>
      <vt:lpstr>mess_egalite</vt:lpstr>
      <vt:lpstr>mess_erreur_marque</vt:lpstr>
      <vt:lpstr>Venue!Model_Consolation</vt:lpstr>
      <vt:lpstr>Venue!Model_Free</vt:lpstr>
      <vt:lpstr>Venue!Model_FreeGroup</vt:lpstr>
      <vt:lpstr>Venue!Model_Ladies</vt:lpstr>
      <vt:lpstr>Venue!Model_Open</vt:lpstr>
      <vt:lpstr>Venue!Model_Team</vt:lpstr>
      <vt:lpstr>Venue!Model_U12</vt:lpstr>
      <vt:lpstr>Venue!Model_U15</vt:lpstr>
      <vt:lpstr>Venue!Model_U19</vt:lpstr>
      <vt:lpstr>Venue!Model_Veterans</vt:lpstr>
      <vt:lpstr>ModifiableCells</vt:lpstr>
      <vt:lpstr>ModifiableFormulas</vt:lpstr>
      <vt:lpstr>ModifiableFormulas1</vt:lpstr>
      <vt:lpstr>ModifiableFormulas2</vt:lpstr>
      <vt:lpstr>N__1_128_DE_FINALE</vt:lpstr>
      <vt:lpstr>N__1_16_DE_FINALE</vt:lpstr>
      <vt:lpstr>N__1_32_DE_FINALE</vt:lpstr>
      <vt:lpstr>N__1_64_DE_FINALE</vt:lpstr>
      <vt:lpstr>N__1_8_DE_FINALE</vt:lpstr>
      <vt:lpstr>N__2èmes_de_Poule</vt:lpstr>
      <vt:lpstr>N__3èmes_de_Poule</vt:lpstr>
      <vt:lpstr>N_1st_Name</vt:lpstr>
      <vt:lpstr>N_1st_Round</vt:lpstr>
      <vt:lpstr>N_Abbreviation</vt:lpstr>
      <vt:lpstr>N_AboutForm_Caption</vt:lpstr>
      <vt:lpstr>N_AboutForm_DescriptionLabel</vt:lpstr>
      <vt:lpstr>N_AboutForm_NoWarrantyLabel</vt:lpstr>
      <vt:lpstr>N_AboutForm_SloganLabel</vt:lpstr>
      <vt:lpstr>N_AboutForm_VersionLabel</vt:lpstr>
      <vt:lpstr>N_AboutForm_WelcomeLabel</vt:lpstr>
      <vt:lpstr>N_Action</vt:lpstr>
      <vt:lpstr>N_AdaptPlanning</vt:lpstr>
      <vt:lpstr>N_Add_Delete_Last_Session</vt:lpstr>
      <vt:lpstr>N_Add_Delete_Session</vt:lpstr>
      <vt:lpstr>N_AlreadyRefereed</vt:lpstr>
      <vt:lpstr>N_AlreadyRefereed_Title</vt:lpstr>
      <vt:lpstr>N_Applicable</vt:lpstr>
      <vt:lpstr>N_Arbitre</vt:lpstr>
      <vt:lpstr>N_AssignReferees</vt:lpstr>
      <vt:lpstr>N_Average_Goals</vt:lpstr>
      <vt:lpstr>N_BadDashBoardFile</vt:lpstr>
      <vt:lpstr>N_BadDirectoryPath</vt:lpstr>
      <vt:lpstr>N_BadMatchTypeIndicator</vt:lpstr>
      <vt:lpstr>N_BadSessionNo</vt:lpstr>
      <vt:lpstr>N_BadSwitchRefereesHour</vt:lpstr>
      <vt:lpstr>N_BadSwitchRefereesPlanning</vt:lpstr>
      <vt:lpstr>N_BadSwitchRefereesSelection</vt:lpstr>
      <vt:lpstr>N_BadSwitchRefereesSession</vt:lpstr>
      <vt:lpstr>N_BARRAGES</vt:lpstr>
      <vt:lpstr>N_BC</vt:lpstr>
      <vt:lpstr>N_Best_Attack</vt:lpstr>
      <vt:lpstr>N_BP</vt:lpstr>
      <vt:lpstr>N_Break1</vt:lpstr>
      <vt:lpstr>N_Break2</vt:lpstr>
      <vt:lpstr>N_Break3</vt:lpstr>
      <vt:lpstr>N_Break4</vt:lpstr>
      <vt:lpstr>N_Buts</vt:lpstr>
      <vt:lpstr>N_calculation_ind_rank</vt:lpstr>
      <vt:lpstr>N_Calculation_team_rank</vt:lpstr>
      <vt:lpstr>N_CalculationAuto</vt:lpstr>
      <vt:lpstr>N_CalculationManual</vt:lpstr>
      <vt:lpstr>N_CalculationMode</vt:lpstr>
      <vt:lpstr>N_CantDeleteFirstSession</vt:lpstr>
      <vt:lpstr>N_Catégorie</vt:lpstr>
      <vt:lpstr>N_Category</vt:lpstr>
      <vt:lpstr>N_Checkin</vt:lpstr>
      <vt:lpstr>N_CheckinForm_Caption</vt:lpstr>
      <vt:lpstr>N_CheckinForm_Title</vt:lpstr>
      <vt:lpstr>N_CheckinForm_Validate</vt:lpstr>
      <vt:lpstr>N_CheckingReferees</vt:lpstr>
      <vt:lpstr>N_CheckReferee_Club_InGroup</vt:lpstr>
      <vt:lpstr>N_CheckReferee_Nat_InGroup</vt:lpstr>
      <vt:lpstr>N_CheckReferee_SameClub</vt:lpstr>
      <vt:lpstr>N_CheckReferee_SameGroup</vt:lpstr>
      <vt:lpstr>N_CheckReferee_SameNat</vt:lpstr>
      <vt:lpstr>N_ChkBoxConfirmGlobalSave_Label</vt:lpstr>
      <vt:lpstr>N_Cla.</vt:lpstr>
      <vt:lpstr>N_Class._2èmes_de_Poule</vt:lpstr>
      <vt:lpstr>N_Class._3èmes_de_Poule</vt:lpstr>
      <vt:lpstr>N_ClosePreviousVersionOfFISTFExportFirst</vt:lpstr>
      <vt:lpstr>N_Club</vt:lpstr>
      <vt:lpstr>N_Club_list</vt:lpstr>
      <vt:lpstr>N_Club_Name</vt:lpstr>
      <vt:lpstr>N_ClubName</vt:lpstr>
      <vt:lpstr>N_ClubsSheetTitle</vt:lpstr>
      <vt:lpstr>N_CompetitionFormula</vt:lpstr>
      <vt:lpstr>N_ConditionalFormatLabel</vt:lpstr>
      <vt:lpstr>N_ConfirmDeleteSheet</vt:lpstr>
      <vt:lpstr>N_ConfirmDeletion</vt:lpstr>
      <vt:lpstr>N_ConfirmFullPlanning</vt:lpstr>
      <vt:lpstr>N_ConfirmOneSession</vt:lpstr>
      <vt:lpstr>N_ConfirmRefereeSelection</vt:lpstr>
      <vt:lpstr>N_ContinuousSelectionInSession</vt:lpstr>
      <vt:lpstr>N_Copy_Unvalidate</vt:lpstr>
      <vt:lpstr>N_Copy_Validate</vt:lpstr>
      <vt:lpstr>N_CreateEventBefore</vt:lpstr>
      <vt:lpstr>N_Criteria</vt:lpstr>
      <vt:lpstr>N_Criteria_after_diff</vt:lpstr>
      <vt:lpstr>N_Criteria_before_diff</vt:lpstr>
      <vt:lpstr>N_Criteria_on_WR</vt:lpstr>
      <vt:lpstr>N_DashboardTemplatePath</vt:lpstr>
      <vt:lpstr>N_DateOfBirth</vt:lpstr>
      <vt:lpstr>N_DefaultCompetitorsExportToWebSite</vt:lpstr>
      <vt:lpstr>N_DefaultExportIndMAtches</vt:lpstr>
      <vt:lpstr>N_DefaultNumberOfSessions</vt:lpstr>
      <vt:lpstr>N_DefaultRefereesCategories</vt:lpstr>
      <vt:lpstr>N_DefaultStartSessionNmber</vt:lpstr>
      <vt:lpstr>N_DefineDoubles</vt:lpstr>
      <vt:lpstr>N_DefineTeams</vt:lpstr>
      <vt:lpstr>N_Delay_Group</vt:lpstr>
      <vt:lpstr>N_Delay_Sel_Match</vt:lpstr>
      <vt:lpstr>N_Delete_Bad_Ref</vt:lpstr>
      <vt:lpstr>N_DeleteCheckin</vt:lpstr>
      <vt:lpstr>N_DeleteSheet</vt:lpstr>
      <vt:lpstr>N_DEMI_FINALE</vt:lpstr>
      <vt:lpstr>N_Diff</vt:lpstr>
      <vt:lpstr>N_Diff.</vt:lpstr>
      <vt:lpstr>N_Diff_B</vt:lpstr>
      <vt:lpstr>N_Diff_M</vt:lpstr>
      <vt:lpstr>N_Diff_Part</vt:lpstr>
      <vt:lpstr>N_Diff_R</vt:lpstr>
      <vt:lpstr>N_Différentiel</vt:lpstr>
      <vt:lpstr>N_Dispatch_Results</vt:lpstr>
      <vt:lpstr>N_Disqualified</vt:lpstr>
      <vt:lpstr>N_DisqualifiedFrom</vt:lpstr>
      <vt:lpstr>N_Double</vt:lpstr>
      <vt:lpstr>N_Double_FDL</vt:lpstr>
      <vt:lpstr>N_DoubleCheckin</vt:lpstr>
      <vt:lpstr>N_Doubles</vt:lpstr>
      <vt:lpstr>N_DownNotPossible</vt:lpstr>
      <vt:lpstr>N_Draw</vt:lpstr>
      <vt:lpstr>N_Drawing</vt:lpstr>
      <vt:lpstr>N_DrawManage</vt:lpstr>
      <vt:lpstr>N_DrawPlayerSelection</vt:lpstr>
      <vt:lpstr>N_Draws</vt:lpstr>
      <vt:lpstr>N_Duration</vt:lpstr>
      <vt:lpstr>N_Encounter_Diff</vt:lpstr>
      <vt:lpstr>N_End_Planning</vt:lpstr>
      <vt:lpstr>N_EndEvent</vt:lpstr>
      <vt:lpstr>N_Epreuve</vt:lpstr>
      <vt:lpstr>N_Equality_Group</vt:lpstr>
      <vt:lpstr>N_Equipes</vt:lpstr>
      <vt:lpstr>N_ERROR_Sel_Match</vt:lpstr>
      <vt:lpstr>N_ErrorCheckRefereeTarget</vt:lpstr>
      <vt:lpstr>N_Event_Category</vt:lpstr>
      <vt:lpstr>N_Event_Category_List</vt:lpstr>
      <vt:lpstr>N_Event_participation</vt:lpstr>
      <vt:lpstr>N_Event_Type</vt:lpstr>
      <vt:lpstr>N_EventDate</vt:lpstr>
      <vt:lpstr>N_EventModelsNotDefined</vt:lpstr>
      <vt:lpstr>N_EventNameEmpty</vt:lpstr>
      <vt:lpstr>N_EventPlayed</vt:lpstr>
      <vt:lpstr>N_Events</vt:lpstr>
      <vt:lpstr>N_ExcludeCategories</vt:lpstr>
      <vt:lpstr>N_ExportDataToWebSite</vt:lpstr>
      <vt:lpstr>N_ExportDecorationToWebSite</vt:lpstr>
      <vt:lpstr>N_ExportForm_CommentPatterns</vt:lpstr>
      <vt:lpstr>N_ExportForm_ExportIndMatches</vt:lpstr>
      <vt:lpstr>N_ExportForm_NumberOfSessions</vt:lpstr>
      <vt:lpstr>N_ExportForm_Planning_Caption</vt:lpstr>
      <vt:lpstr>N_ExportForm_Planning_Title</vt:lpstr>
      <vt:lpstr>N_ExportForm_PlayerOrTeamPattern</vt:lpstr>
      <vt:lpstr>N_ExportForm_Result_Caption</vt:lpstr>
      <vt:lpstr>N_ExportForm_Result_Title</vt:lpstr>
      <vt:lpstr>N_ExportForm_ScorerTable_Caption</vt:lpstr>
      <vt:lpstr>N_ExportForm_ScorerTable_Title</vt:lpstr>
      <vt:lpstr>N_ExportForm_Scores_Caption</vt:lpstr>
      <vt:lpstr>N_ExportForm_Scores_Title</vt:lpstr>
      <vt:lpstr>N_ExportForm_StagePattern</vt:lpstr>
      <vt:lpstr>N_ExportForm_StartSession</vt:lpstr>
      <vt:lpstr>N_ExportForm_TablePattern</vt:lpstr>
      <vt:lpstr>N_ExportGroups</vt:lpstr>
      <vt:lpstr>N_Exporting</vt:lpstr>
      <vt:lpstr>N_ExportMatches</vt:lpstr>
      <vt:lpstr>N_ExportPlanning</vt:lpstr>
      <vt:lpstr>N_ExportResults</vt:lpstr>
      <vt:lpstr>N_ExportScorerTable</vt:lpstr>
      <vt:lpstr>N_ExportScoresheets</vt:lpstr>
      <vt:lpstr>N_ExportStats</vt:lpstr>
      <vt:lpstr>N_ExportTypeOfEventToWebSite</vt:lpstr>
      <vt:lpstr>N_Family_Name</vt:lpstr>
      <vt:lpstr>N_FillIn_Players_And_Clubs</vt:lpstr>
      <vt:lpstr>N_FillinFormula</vt:lpstr>
      <vt:lpstr>N_FillinPlayers</vt:lpstr>
      <vt:lpstr>N_FillWithX</vt:lpstr>
      <vt:lpstr>N_FilterFrame</vt:lpstr>
      <vt:lpstr>N_FINALE</vt:lpstr>
      <vt:lpstr>N_Finalist</vt:lpstr>
      <vt:lpstr>N_FirstSessionToExport</vt:lpstr>
      <vt:lpstr>N_FISTF_Categories</vt:lpstr>
      <vt:lpstr>N_FISTF_Category_List</vt:lpstr>
      <vt:lpstr>N_FISTFCompetitionFormula</vt:lpstr>
      <vt:lpstr>N_G</vt:lpstr>
      <vt:lpstr>N_GenerateConfigurationFile</vt:lpstr>
      <vt:lpstr>N_GetFISTFClubsFile</vt:lpstr>
      <vt:lpstr>N_GetFISTFScoreSheetTemplateFile</vt:lpstr>
      <vt:lpstr>N_GetFISTFWorldRankingFile</vt:lpstr>
      <vt:lpstr>N_GetScorerTableFile</vt:lpstr>
      <vt:lpstr>N_GetScoreSheetFileName</vt:lpstr>
      <vt:lpstr>N_GetSessionNumber</vt:lpstr>
      <vt:lpstr>N_GMFT</vt:lpstr>
      <vt:lpstr>N_GMFT_Version</vt:lpstr>
      <vt:lpstr>N_Goal_Diff</vt:lpstr>
      <vt:lpstr>N_GoalsConceded</vt:lpstr>
      <vt:lpstr>N_Group</vt:lpstr>
      <vt:lpstr>N_Group_10</vt:lpstr>
      <vt:lpstr>N_Group_11</vt:lpstr>
      <vt:lpstr>N_Group_12</vt:lpstr>
      <vt:lpstr>N_Group_13</vt:lpstr>
      <vt:lpstr>N_Group_14</vt:lpstr>
      <vt:lpstr>N_Group_15</vt:lpstr>
      <vt:lpstr>N_Group_16</vt:lpstr>
      <vt:lpstr>N_Group_17</vt:lpstr>
      <vt:lpstr>N_Group_18</vt:lpstr>
      <vt:lpstr>N_Group_19</vt:lpstr>
      <vt:lpstr>N_Group_20</vt:lpstr>
      <vt:lpstr>N_Group_3</vt:lpstr>
      <vt:lpstr>N_Group_3_2Leg</vt:lpstr>
      <vt:lpstr>N_Group_4</vt:lpstr>
      <vt:lpstr>N_Group_4_2leg</vt:lpstr>
      <vt:lpstr>N_Group_5</vt:lpstr>
      <vt:lpstr>N_Group_5_2leg</vt:lpstr>
      <vt:lpstr>N_Group_6</vt:lpstr>
      <vt:lpstr>N_Group_6_Self_Refereeing</vt:lpstr>
      <vt:lpstr>N_Group_7</vt:lpstr>
      <vt:lpstr>N_Group_8</vt:lpstr>
      <vt:lpstr>N_Group_9</vt:lpstr>
      <vt:lpstr>N_Groups</vt:lpstr>
      <vt:lpstr>N_HalfTimeScore</vt:lpstr>
      <vt:lpstr>N_Heure</vt:lpstr>
      <vt:lpstr>N_HideIt</vt:lpstr>
      <vt:lpstr>N_HidePlayerFormulas</vt:lpstr>
      <vt:lpstr>N_Import_FISTF_Clubs</vt:lpstr>
      <vt:lpstr>N_Import_FISTF_File</vt:lpstr>
      <vt:lpstr>N_Import_FISTF_Players</vt:lpstr>
      <vt:lpstr>N_Individual_FDL</vt:lpstr>
      <vt:lpstr>N_Individuals</vt:lpstr>
      <vt:lpstr>N_Insert_above</vt:lpstr>
      <vt:lpstr>N_Insert_team_line</vt:lpstr>
      <vt:lpstr>N_Insert_Upper</vt:lpstr>
      <vt:lpstr>N_InvalidSessionNumber</vt:lpstr>
      <vt:lpstr>N_J</vt:lpstr>
      <vt:lpstr>N_Joueurs</vt:lpstr>
      <vt:lpstr>N_Ladies</vt:lpstr>
      <vt:lpstr>N_Language</vt:lpstr>
      <vt:lpstr>N_LastHourRefereeing</vt:lpstr>
      <vt:lpstr>N_LastMatches</vt:lpstr>
      <vt:lpstr>N_Layout</vt:lpstr>
      <vt:lpstr>N_Let_Empty_for_all</vt:lpstr>
      <vt:lpstr>N_Licence</vt:lpstr>
      <vt:lpstr>N_LicencesSheetTitle</vt:lpstr>
      <vt:lpstr>N_Lists</vt:lpstr>
      <vt:lpstr>N_ListsMessage</vt:lpstr>
      <vt:lpstr>N_ListsSheet</vt:lpstr>
      <vt:lpstr>N_LockSheets</vt:lpstr>
      <vt:lpstr>N_Loser</vt:lpstr>
      <vt:lpstr>N_Loses</vt:lpstr>
      <vt:lpstr>N_ManagePodium</vt:lpstr>
      <vt:lpstr>N_ManageRefereeList</vt:lpstr>
      <vt:lpstr>N_ManageStats</vt:lpstr>
      <vt:lpstr>N_ManageTimeline</vt:lpstr>
      <vt:lpstr>N_ManageVenue</vt:lpstr>
      <vt:lpstr>N_Match_Diff</vt:lpstr>
      <vt:lpstr>N_Matches</vt:lpstr>
      <vt:lpstr>N_MatchFormsSheetExists</vt:lpstr>
      <vt:lpstr>N_MatchFormula</vt:lpstr>
      <vt:lpstr>N_MatchForumlaNotFound</vt:lpstr>
      <vt:lpstr>N_MatchOrganisationFor10</vt:lpstr>
      <vt:lpstr>N_MatchOrganisationFor3</vt:lpstr>
      <vt:lpstr>N_MatchOrganisationFor4</vt:lpstr>
      <vt:lpstr>N_MatchOrganisationFor5</vt:lpstr>
      <vt:lpstr>N_MatchOrganisationFor6</vt:lpstr>
      <vt:lpstr>N_MatchOrganisationFor7</vt:lpstr>
      <vt:lpstr>N_MatchOrganisationFor8</vt:lpstr>
      <vt:lpstr>N_MatchOrganisationFor9</vt:lpstr>
      <vt:lpstr>N_MaxGoals</vt:lpstr>
      <vt:lpstr>N_MaxNumberOfEvents</vt:lpstr>
      <vt:lpstr>N_MaxScore</vt:lpstr>
      <vt:lpstr>N_MC</vt:lpstr>
      <vt:lpstr>N_Membres</vt:lpstr>
      <vt:lpstr>N_ModifyingWithDrawLabel</vt:lpstr>
      <vt:lpstr>N_Most_Ind_Match_Wins</vt:lpstr>
      <vt:lpstr>N_Move_Delete_Matches</vt:lpstr>
      <vt:lpstr>N_Move_Matches_To_Session</vt:lpstr>
      <vt:lpstr>N_MP</vt:lpstr>
      <vt:lpstr>N_MS</vt:lpstr>
      <vt:lpstr>N_MsgConfirmGlobalSave_Label</vt:lpstr>
      <vt:lpstr>N_MultiRowSelection</vt:lpstr>
      <vt:lpstr>N_N</vt:lpstr>
      <vt:lpstr>N_N__de_table</vt:lpstr>
      <vt:lpstr>N_Name</vt:lpstr>
      <vt:lpstr>N_Name_1stname</vt:lpstr>
      <vt:lpstr>N_Nationality</vt:lpstr>
      <vt:lpstr>N_NationalityCodes</vt:lpstr>
      <vt:lpstr>N_Nb_Goals</vt:lpstr>
      <vt:lpstr>N_Nb_Matches</vt:lpstr>
      <vt:lpstr>N_nb_max_members</vt:lpstr>
      <vt:lpstr>N_Nb_Refereeing</vt:lpstr>
      <vt:lpstr>N_Nb_Team_Members</vt:lpstr>
      <vt:lpstr>N_NbGroupsOf</vt:lpstr>
      <vt:lpstr>N_NbLastPlayers</vt:lpstr>
      <vt:lpstr>N_NbMatchImported</vt:lpstr>
      <vt:lpstr>N_NbMatchProceed</vt:lpstr>
      <vt:lpstr>N_NbMaxRefereing</vt:lpstr>
      <vt:lpstr>N_NbOfSession</vt:lpstr>
      <vt:lpstr>N_NbOfSessionToExport</vt:lpstr>
      <vt:lpstr>N_NbPlayerMax128</vt:lpstr>
      <vt:lpstr>N_NbPlayerMax64</vt:lpstr>
      <vt:lpstr>N_NbPlayerMin10</vt:lpstr>
      <vt:lpstr>N_NbPlayerMin3</vt:lpstr>
      <vt:lpstr>N_NbPlayerMin4</vt:lpstr>
      <vt:lpstr>N_NbPlayerMin5</vt:lpstr>
      <vt:lpstr>N_NbPlayerMin6</vt:lpstr>
      <vt:lpstr>N_NbPlayerMin7</vt:lpstr>
      <vt:lpstr>N_NbPlayerMin8</vt:lpstr>
      <vt:lpstr>N_NbPlayerMin9</vt:lpstr>
      <vt:lpstr>N_NbPlayers</vt:lpstr>
      <vt:lpstr>N_NbPlayOffMatches</vt:lpstr>
      <vt:lpstr>N_NbPointsInRanking</vt:lpstr>
      <vt:lpstr>N_NbRowtoAdd</vt:lpstr>
      <vt:lpstr>N_NbTeams</vt:lpstr>
      <vt:lpstr>N_NewEvent</vt:lpstr>
      <vt:lpstr>N_NewEventFISTF</vt:lpstr>
      <vt:lpstr>N_NewEventForm_Caption</vt:lpstr>
      <vt:lpstr>N_NewEventForm_Category</vt:lpstr>
      <vt:lpstr>N_NewEventForm_Elim_16</vt:lpstr>
      <vt:lpstr>N_NewEventForm_Elim_32</vt:lpstr>
      <vt:lpstr>N_NewEventForm_Elim_64</vt:lpstr>
      <vt:lpstr>N_NewEventForm_Elim_8</vt:lpstr>
      <vt:lpstr>N_NewEventForm_Elim_Final</vt:lpstr>
      <vt:lpstr>N_NewEventForm_Elim_Quart</vt:lpstr>
      <vt:lpstr>N_NewEventForm_Elim_Semi</vt:lpstr>
      <vt:lpstr>N_NewEventForm_Elim_Third</vt:lpstr>
      <vt:lpstr>N_NewEventForm_EventName</vt:lpstr>
      <vt:lpstr>N_NewEventForm_Exit</vt:lpstr>
      <vt:lpstr>N_NewEventForm_FinalPhase</vt:lpstr>
      <vt:lpstr>N_NewEventForm_FullDraw</vt:lpstr>
      <vt:lpstr>N_NewEventForm_GroupOf_10</vt:lpstr>
      <vt:lpstr>N_NewEventForm_GroupOf_11</vt:lpstr>
      <vt:lpstr>N_NewEventForm_GroupOf_12</vt:lpstr>
      <vt:lpstr>N_NewEventForm_GroupOf_13</vt:lpstr>
      <vt:lpstr>N_NewEventForm_GroupOf_14</vt:lpstr>
      <vt:lpstr>N_NewEventForm_GroupOf_15</vt:lpstr>
      <vt:lpstr>N_NewEventForm_GroupOf_16</vt:lpstr>
      <vt:lpstr>N_NewEventForm_GroupOf_17</vt:lpstr>
      <vt:lpstr>N_NewEventForm_GroupOf_18</vt:lpstr>
      <vt:lpstr>N_NewEventForm_GroupOf_19</vt:lpstr>
      <vt:lpstr>N_NewEventForm_GroupOf_20</vt:lpstr>
      <vt:lpstr>N_NewEventForm_GroupOf_3</vt:lpstr>
      <vt:lpstr>N_NewEventForm_GroupOf_4</vt:lpstr>
      <vt:lpstr>N_NewEventForm_GroupOf_5</vt:lpstr>
      <vt:lpstr>N_NewEventForm_GroupOf_6</vt:lpstr>
      <vt:lpstr>N_NewEventForm_GroupOf_7</vt:lpstr>
      <vt:lpstr>N_NewEventForm_GroupOf_8</vt:lpstr>
      <vt:lpstr>N_NewEventForm_GroupOf_9</vt:lpstr>
      <vt:lpstr>N_NewEventForm_GroupOf_X_FS</vt:lpstr>
      <vt:lpstr>N_NewEventForm_GroupPhase</vt:lpstr>
      <vt:lpstr>N_NewEventForm_Hide</vt:lpstr>
      <vt:lpstr>N_NewEventForm_NbMatchPlayOff</vt:lpstr>
      <vt:lpstr>N_NewEventForm_NbPreQualified</vt:lpstr>
      <vt:lpstr>N_NewEventForm_PlayOffPhase</vt:lpstr>
      <vt:lpstr>N_NewEventForm_SessionNumber</vt:lpstr>
      <vt:lpstr>N_NewEventForm_SheetExists</vt:lpstr>
      <vt:lpstr>N_NewEventForm_Title</vt:lpstr>
      <vt:lpstr>N_NewEventForm_Validate</vt:lpstr>
      <vt:lpstr>N_NewEventFormForDoubles_Caption</vt:lpstr>
      <vt:lpstr>N_NewEventFormForDoubles_Title</vt:lpstr>
      <vt:lpstr>N_NewEventFormForTeams_Caption</vt:lpstr>
      <vt:lpstr>N_NewEventFormForTeams_Title</vt:lpstr>
      <vt:lpstr>N_NewEventPersonnalized</vt:lpstr>
      <vt:lpstr>N_NewEventWithFormulas</vt:lpstr>
      <vt:lpstr>N_NewEventWithFormulasForm_Caption</vt:lpstr>
      <vt:lpstr>N_NewEventWithFormulasForm_Title</vt:lpstr>
      <vt:lpstr>N_NewEventWithFormulasFormForDoubles_Caption</vt:lpstr>
      <vt:lpstr>N_NewEventWithFormulasFormForDoubles_Title</vt:lpstr>
      <vt:lpstr>N_NewEventWithFormulasFormForTeams_Caption</vt:lpstr>
      <vt:lpstr>N_NewEventWithFormulasFormForTeams_Title</vt:lpstr>
      <vt:lpstr>N_NewOfficialEventForm_Caption</vt:lpstr>
      <vt:lpstr>N_NewOfficialEventForm_GroupSizeOf10</vt:lpstr>
      <vt:lpstr>N_NewOfficialEventForm_GroupSizeOf3</vt:lpstr>
      <vt:lpstr>N_NewOfficialEventForm_GroupSizeOf4</vt:lpstr>
      <vt:lpstr>N_NewOfficialEventForm_GroupSizeOf5</vt:lpstr>
      <vt:lpstr>N_NewOfficialEventForm_GroupSizeOf6</vt:lpstr>
      <vt:lpstr>N_NewOfficialEventForm_GroupSizeOf7</vt:lpstr>
      <vt:lpstr>N_NewOfficialEventForm_GroupSizeOf8</vt:lpstr>
      <vt:lpstr>N_NewOfficialEventForm_GroupSizeOf9</vt:lpstr>
      <vt:lpstr>N_NewOfficialEventForm_GroupsOf</vt:lpstr>
      <vt:lpstr>N_NewOfficialEventForm_NbPlayersInvolved</vt:lpstr>
      <vt:lpstr>N_NewOfficialEventForm_Title</vt:lpstr>
      <vt:lpstr>N_NewOfficialEventFormForDoubles_Caption</vt:lpstr>
      <vt:lpstr>N_NewOfficialEventFormForDoubles_Title</vt:lpstr>
      <vt:lpstr>N_NewOfficialEventFormForTeams_Caption</vt:lpstr>
      <vt:lpstr>N_NewOfficialEventFormForTeams_Title</vt:lpstr>
      <vt:lpstr>N_NoDisqualifiedForTheMoment</vt:lpstr>
      <vt:lpstr>N_NoDrawWithWithdraw</vt:lpstr>
      <vt:lpstr>N_NoEventToPrint</vt:lpstr>
      <vt:lpstr>N_NoIndivAndTeamMatch</vt:lpstr>
      <vt:lpstr>N_Nom_double</vt:lpstr>
      <vt:lpstr>N_Nom_équipe</vt:lpstr>
      <vt:lpstr>N_NonNumeric</vt:lpstr>
      <vt:lpstr>N_NormalView</vt:lpstr>
      <vt:lpstr>N_NotAFistfLicencesFile</vt:lpstr>
      <vt:lpstr>N_NotAFistfSSFile</vt:lpstr>
      <vt:lpstr>N_NotAFistfWRFile</vt:lpstr>
      <vt:lpstr>N_NotAScorerTableFile</vt:lpstr>
      <vt:lpstr>N_NotEnoughClubListLines</vt:lpstr>
      <vt:lpstr>N_NotEnoughMatchesInATeamMatch</vt:lpstr>
      <vt:lpstr>N_NotEnoughPlayerListLines</vt:lpstr>
      <vt:lpstr>N_Nothing</vt:lpstr>
      <vt:lpstr>N_NothingSelected</vt:lpstr>
      <vt:lpstr>N_NotOnlyMatchSelected</vt:lpstr>
      <vt:lpstr>N_NotSameTypeOfReferees</vt:lpstr>
      <vt:lpstr>N_NotSessionRow</vt:lpstr>
      <vt:lpstr>N_Only2Members</vt:lpstr>
      <vt:lpstr>N_OnlyOneLineSelection</vt:lpstr>
      <vt:lpstr>N_OnlyParticularEventNames</vt:lpstr>
      <vt:lpstr>N_Open</vt:lpstr>
      <vt:lpstr>N_OpenDashboard</vt:lpstr>
      <vt:lpstr>N_Order</vt:lpstr>
      <vt:lpstr>N_P</vt:lpstr>
      <vt:lpstr>N_PageBreak</vt:lpstr>
      <vt:lpstr>N_Parameter</vt:lpstr>
      <vt:lpstr>N_ParticipantsAlphabeticals</vt:lpstr>
      <vt:lpstr>N_ParticipantsRanking</vt:lpstr>
      <vt:lpstr>N_Particular_Attack</vt:lpstr>
      <vt:lpstr>N_particular_diff</vt:lpstr>
      <vt:lpstr>N_Particular_Difference</vt:lpstr>
      <vt:lpstr>N_Particular_Goals</vt:lpstr>
      <vt:lpstr>N_Particular_More_Wins</vt:lpstr>
      <vt:lpstr>N_Particular_Win_Diff</vt:lpstr>
      <vt:lpstr>N_PathToTemplateDirName_Label</vt:lpstr>
      <vt:lpstr>N_PathToTemplateFileName_Label</vt:lpstr>
      <vt:lpstr>N_PathToTemplatePath_Label</vt:lpstr>
      <vt:lpstr>N_PathToTemplateTitle_Label</vt:lpstr>
      <vt:lpstr>N_Petite_FINALE</vt:lpstr>
      <vt:lpstr>N_Planning</vt:lpstr>
      <vt:lpstr>N_PlanningTitle</vt:lpstr>
      <vt:lpstr>N_Play</vt:lpstr>
      <vt:lpstr>N_Player_list</vt:lpstr>
      <vt:lpstr>N_Player1</vt:lpstr>
      <vt:lpstr>N_Player2</vt:lpstr>
      <vt:lpstr>N_PlayerCheckin</vt:lpstr>
      <vt:lpstr>N_PlayerName</vt:lpstr>
      <vt:lpstr>N_Players</vt:lpstr>
      <vt:lpstr>N_PlayerStatistics</vt:lpstr>
      <vt:lpstr>N_PlayerStatisticsDescription</vt:lpstr>
      <vt:lpstr>N_PlayerTimeline</vt:lpstr>
      <vt:lpstr>N_PlayOffMatches</vt:lpstr>
      <vt:lpstr>N_Points</vt:lpstr>
      <vt:lpstr>N_Poule</vt:lpstr>
      <vt:lpstr>N_Pre_Qualified</vt:lpstr>
      <vt:lpstr>N_Printing</vt:lpstr>
      <vt:lpstr>N_printing_sheet</vt:lpstr>
      <vt:lpstr>N_PrintStats</vt:lpstr>
      <vt:lpstr>N_PrintVenue</vt:lpstr>
      <vt:lpstr>N_Pts</vt:lpstr>
      <vt:lpstr>N_QualifiedPlayers</vt:lpstr>
      <vt:lpstr>N_Qualifiés</vt:lpstr>
      <vt:lpstr>N_QUART_DE_FINALE</vt:lpstr>
      <vt:lpstr>N_Rank</vt:lpstr>
      <vt:lpstr>N_RankedPlayers_list</vt:lpstr>
      <vt:lpstr>N_RankedTeams_list</vt:lpstr>
      <vt:lpstr>N_Ranking</vt:lpstr>
      <vt:lpstr>N_RankingAsLicenceList</vt:lpstr>
      <vt:lpstr>N_RankingSheetTitle</vt:lpstr>
      <vt:lpstr>N_RankingTeamSheetTitle</vt:lpstr>
      <vt:lpstr>N_RankPoints</vt:lpstr>
      <vt:lpstr>N_Refer</vt:lpstr>
      <vt:lpstr>N_Referee</vt:lpstr>
      <vt:lpstr>N_RefereeChecking</vt:lpstr>
      <vt:lpstr>N_RefereeList</vt:lpstr>
      <vt:lpstr>N_RefereeListAdapt</vt:lpstr>
      <vt:lpstr>N_RefereeListReason</vt:lpstr>
      <vt:lpstr>N_RefereeListValidate</vt:lpstr>
      <vt:lpstr>N_Referees</vt:lpstr>
      <vt:lpstr>N_RefereeSameClubAsOneInGroup</vt:lpstr>
      <vt:lpstr>N_RefereeSameClubAsPlayer1</vt:lpstr>
      <vt:lpstr>N_RefereeSameClubAsPlayer2</vt:lpstr>
      <vt:lpstr>N_RefereeSameNationalityAsOneInGroup</vt:lpstr>
      <vt:lpstr>N_RefereeSameNationalityAsPlayer1</vt:lpstr>
      <vt:lpstr>N_RefereeSameNationalityAsPlayer2</vt:lpstr>
      <vt:lpstr>N_RefereesCategory_Caption</vt:lpstr>
      <vt:lpstr>N_RefereesCategory_Title</vt:lpstr>
      <vt:lpstr>N_RefereeSheetTitle</vt:lpstr>
      <vt:lpstr>N_RefereeWithinGroup</vt:lpstr>
      <vt:lpstr>N_RefereeWithinStage</vt:lpstr>
      <vt:lpstr>N_RefForIndiv</vt:lpstr>
      <vt:lpstr>N_RefForTeams</vt:lpstr>
      <vt:lpstr>N_RegistrationExport_ExportCompetitors</vt:lpstr>
      <vt:lpstr>N_RegistrationExportForm_Caption</vt:lpstr>
      <vt:lpstr>N_RegistrationExportForm_Title</vt:lpstr>
      <vt:lpstr>N_RegistrationExportForm_WebSiteRootPath</vt:lpstr>
      <vt:lpstr>N_res_Diff</vt:lpstr>
      <vt:lpstr>N_res_MS</vt:lpstr>
      <vt:lpstr>N_Results_Export</vt:lpstr>
      <vt:lpstr>N_RG</vt:lpstr>
      <vt:lpstr>N_Rib_GmftAssignReferees</vt:lpstr>
      <vt:lpstr>N_Rib_GmftCalculateCheckin</vt:lpstr>
      <vt:lpstr>N_Rib_GmftCalculateNow</vt:lpstr>
      <vt:lpstr>N_Rib_GmftCheckin</vt:lpstr>
      <vt:lpstr>N_Rib_GmftCheckinForm</vt:lpstr>
      <vt:lpstr>N_Rib_GmftClubs</vt:lpstr>
      <vt:lpstr>N_Rib_GmftCreateDrawSheet</vt:lpstr>
      <vt:lpstr>N_Rib_GmftCreateGroupOfTablesName</vt:lpstr>
      <vt:lpstr>N_Rib_GmftCreateModel</vt:lpstr>
      <vt:lpstr>N_Rib_GmftCreateTableName</vt:lpstr>
      <vt:lpstr>N_Rib_GmftDatabaseSheets</vt:lpstr>
      <vt:lpstr>N_Rib_GmftDefineFirstSeeds</vt:lpstr>
      <vt:lpstr>N_Rib_GmftDelete_This_sheet</vt:lpstr>
      <vt:lpstr>N_Rib_GmftDeleteDraw</vt:lpstr>
      <vt:lpstr>N_Rib_GmftDeleteMatches</vt:lpstr>
      <vt:lpstr>N_Rib_GmftDoubles</vt:lpstr>
      <vt:lpstr>N_Rib_GmftFISTFExport</vt:lpstr>
      <vt:lpstr>N_Rib_GmftGroupCalculation</vt:lpstr>
      <vt:lpstr>N_Rib_GmftGroupCheckIn</vt:lpstr>
      <vt:lpstr>N_Rib_GmftGroupClubs</vt:lpstr>
      <vt:lpstr>N_Rib_GmftGroupDraw</vt:lpstr>
      <vt:lpstr>N_Rib_GmftGroupEvent</vt:lpstr>
      <vt:lpstr>N_Rib_GmftGroupHome</vt:lpstr>
      <vt:lpstr>N_Rib_GmftGroupHomeCreateEvents</vt:lpstr>
      <vt:lpstr>N_Rib_GmftGroupHomeExport</vt:lpstr>
      <vt:lpstr>N_Rib_GmftGroupHomePrinting</vt:lpstr>
      <vt:lpstr>N_Rib_GmftGroupLicences</vt:lpstr>
      <vt:lpstr>N_Rib_GmftGroupListMgt</vt:lpstr>
      <vt:lpstr>N_Rib_GmftGroupNavigation</vt:lpstr>
      <vt:lpstr>N_Rib_GmftGroupParameters</vt:lpstr>
      <vt:lpstr>N_Rib_GmftGroupPlanningDashboard</vt:lpstr>
      <vt:lpstr>N_Rib_GmftGroupPlanningExports</vt:lpstr>
      <vt:lpstr>N_Rib_GmftGroupPlanningMoveMatches</vt:lpstr>
      <vt:lpstr>N_Rib_GmftGroupPlanningRecord</vt:lpstr>
      <vt:lpstr>N_Rib_GmftGroupPlanningReferees</vt:lpstr>
      <vt:lpstr>N_Rib_GmftGroupPlanningSessionMgt</vt:lpstr>
      <vt:lpstr>N_Rib_GmftGroupRanking</vt:lpstr>
      <vt:lpstr>N_Rib_GmftGroupRankingTeams</vt:lpstr>
      <vt:lpstr>N_Rib_GmftGroupRefereeing</vt:lpstr>
      <vt:lpstr>N_Rib_GmftGroupStats</vt:lpstr>
      <vt:lpstr>N_Rib_GmftGroupTeams</vt:lpstr>
      <vt:lpstr>N_Rib_GmftGroupTimeline</vt:lpstr>
      <vt:lpstr>N_Rib_GmftGroupVenueDefinition</vt:lpstr>
      <vt:lpstr>N_Rib_GmftGroupVenueShow</vt:lpstr>
      <vt:lpstr>N_Rib_GmftHideCompetitionData</vt:lpstr>
      <vt:lpstr>N_Rib_GmftHideDatabase</vt:lpstr>
      <vt:lpstr>N_Rib_GmftHideDraws</vt:lpstr>
      <vt:lpstr>N_Rib_GmftHideEvents</vt:lpstr>
      <vt:lpstr>N_Rib_GmftHidePlanning</vt:lpstr>
      <vt:lpstr>N_Rib_GmftHideRegistrations</vt:lpstr>
      <vt:lpstr>N_Rib_GmftHideVenue</vt:lpstr>
      <vt:lpstr>N_Rib_GmftHome</vt:lpstr>
      <vt:lpstr>N_Rib_GmftImportClubs</vt:lpstr>
      <vt:lpstr>N_Rib_GmftImportLicenses</vt:lpstr>
      <vt:lpstr>N_Rib_GmftImportRanking</vt:lpstr>
      <vt:lpstr>N_Rib_GmftImportRankingTeams</vt:lpstr>
      <vt:lpstr>N_Rib_GmftInitLayout</vt:lpstr>
      <vt:lpstr>N_Rib_GmftLicences</vt:lpstr>
      <vt:lpstr>N_Rib_GmftLists</vt:lpstr>
      <vt:lpstr>N_Rib_GmftListsAddRows</vt:lpstr>
      <vt:lpstr>N_Rib_GmftListsRemoveRows</vt:lpstr>
      <vt:lpstr>N_Rib_GmftLockSheet</vt:lpstr>
      <vt:lpstr>N_Rib_GmftMAJListes</vt:lpstr>
      <vt:lpstr>N_Rib_GmftMakeAllDraw</vt:lpstr>
      <vt:lpstr>N_Rib_GmftMakeNextDraw</vt:lpstr>
      <vt:lpstr>N_Rib_GmftMakeNextDrawInSecondPot</vt:lpstr>
      <vt:lpstr>N_Rib_GmftMakeWithDraw</vt:lpstr>
      <vt:lpstr>N_Rib_GmftMaxScore</vt:lpstr>
      <vt:lpstr>N_Rib_GmftMaxScoreDeactivated</vt:lpstr>
      <vt:lpstr>N_Rib_GmftMenuNav</vt:lpstr>
      <vt:lpstr>N_Rib_GmftMenuNavHide</vt:lpstr>
      <vt:lpstr>N_Rib_GmftMenuSepCompData</vt:lpstr>
      <vt:lpstr>N_Rib_GmftMenuSepDatabase</vt:lpstr>
      <vt:lpstr>N_Rib_GmftMenuSepPlanningEvent</vt:lpstr>
      <vt:lpstr>N_Rib_GmftMenuSepRegistrations</vt:lpstr>
      <vt:lpstr>N_Rib_GmftMenuSepVenue</vt:lpstr>
      <vt:lpstr>N_Rib_GmftMoveMatchesDown</vt:lpstr>
      <vt:lpstr>N_Rib_GmftMoveMatchesSessionDown</vt:lpstr>
      <vt:lpstr>N_Rib_GmftMoveMatchesSessionUp</vt:lpstr>
      <vt:lpstr>N_Rib_GmftMoveMatchesToParticularSession</vt:lpstr>
      <vt:lpstr>N_Rib_GmftMoveMatchesUp</vt:lpstr>
      <vt:lpstr>N_Rib_GmftNewEvent_Custom</vt:lpstr>
      <vt:lpstr>N_Rib_GmftNewEvent_FISTF</vt:lpstr>
      <vt:lpstr>N_Rib_GmftNewEvent_Predefined</vt:lpstr>
      <vt:lpstr>N_Rib_GmftNumberOfRowsToAdd</vt:lpstr>
      <vt:lpstr>N_Rib_GmftOpenDashboard</vt:lpstr>
      <vt:lpstr>N_Rib_GmftPlanning_AddSession</vt:lpstr>
      <vt:lpstr>N_Rib_GmftPlanning_DeleteSession</vt:lpstr>
      <vt:lpstr>N_Rib_GmftPlanning_DeleteThisSession</vt:lpstr>
      <vt:lpstr>N_Rib_GmftPlanning_InsertSession</vt:lpstr>
      <vt:lpstr>N_Rib_GmftPlanningExport</vt:lpstr>
      <vt:lpstr>N_Rib_GmftPrintResults</vt:lpstr>
      <vt:lpstr>N_Rib_GmftRankingPlayers</vt:lpstr>
      <vt:lpstr>N_Rib_GmftRankingTeams</vt:lpstr>
      <vt:lpstr>N_Rib_GmftRecopier_matches</vt:lpstr>
      <vt:lpstr>N_Rib_GmftRegistrationsExport</vt:lpstr>
      <vt:lpstr>N_Rib_GmftRegistrationSheets</vt:lpstr>
      <vt:lpstr>N_Rib_GmftResultExport</vt:lpstr>
      <vt:lpstr>N_Rib_GmftSaveResultsAsPDF</vt:lpstr>
      <vt:lpstr>N_Rib_GmftScorerTableLabel</vt:lpstr>
      <vt:lpstr>N_Rib_GmftScoresheetsExport</vt:lpstr>
      <vt:lpstr>N_Rib_GmftSession_Number</vt:lpstr>
      <vt:lpstr>N_Rib_GmftShowDrawModel</vt:lpstr>
      <vt:lpstr>N_Rib_GmftShowNationalities</vt:lpstr>
      <vt:lpstr>N_Rib_GmftShowPlanningModel</vt:lpstr>
      <vt:lpstr>N_Rib_GmftShowREsultModel</vt:lpstr>
      <vt:lpstr>N_Rib_GmftShowScoresheetModel</vt:lpstr>
      <vt:lpstr>N_Rib_GmftSortPlayersInTeams</vt:lpstr>
      <vt:lpstr>N_Rib_GmftSwitchReferees</vt:lpstr>
      <vt:lpstr>N_Rib_GmftTabsHidden</vt:lpstr>
      <vt:lpstr>N_Rib_GmftTabsVisible</vt:lpstr>
      <vt:lpstr>N_Rib_GmftTeams</vt:lpstr>
      <vt:lpstr>N_Rib_GmftTeamsForm</vt:lpstr>
      <vt:lpstr>N_Rib_GmftUndefineGroupOfTableNames</vt:lpstr>
      <vt:lpstr>N_Rib_GmftUndefineModels</vt:lpstr>
      <vt:lpstr>N_Rib_GmftUndefineTableNames</vt:lpstr>
      <vt:lpstr>N_Rib_GmftUnlockSheet</vt:lpstr>
      <vt:lpstr>N_Rib_GmftUpdatePlayerTimelineFromTimeline</vt:lpstr>
      <vt:lpstr>N_Rib_GmftUpdateRefereeing</vt:lpstr>
      <vt:lpstr>N_Rib_GmftUpdateStatistics</vt:lpstr>
      <vt:lpstr>N_Rib_GmftValidateDraw</vt:lpstr>
      <vt:lpstr>N_Rib_GmftValider_matches</vt:lpstr>
      <vt:lpstr>N_Rib_GmftViewNormal</vt:lpstr>
      <vt:lpstr>N_Rib_GmftViewPageBreaks</vt:lpstr>
      <vt:lpstr>N_Rib_GmftWebSiteExport</vt:lpstr>
      <vt:lpstr>N_Rib_LanguageDropDown</vt:lpstr>
      <vt:lpstr>N_Rib_ScrTip_CategoryDropDown</vt:lpstr>
      <vt:lpstr>N_Rib_ScrTip_GmftAssignReferees</vt:lpstr>
      <vt:lpstr>N_Rib_ScrTip_GmftCalculateCheckin</vt:lpstr>
      <vt:lpstr>N_Rib_ScrTip_GmftCheckinForm</vt:lpstr>
      <vt:lpstr>N_Rib_ScrTip_GmftCreateDrawSheet</vt:lpstr>
      <vt:lpstr>N_Rib_ScrTip_GmftCreateGroupOfTablesName</vt:lpstr>
      <vt:lpstr>N_Rib_ScrTip_GmftCreateModel</vt:lpstr>
      <vt:lpstr>N_Rib_ScrTip_GmftCreateTableName</vt:lpstr>
      <vt:lpstr>N_Rib_ScrTip_GmftDefineFirstSeeds</vt:lpstr>
      <vt:lpstr>N_Rib_ScrTip_GmftDelete_This_sheet</vt:lpstr>
      <vt:lpstr>N_Rib_ScrTip_GmftDeleteDraw</vt:lpstr>
      <vt:lpstr>N_Rib_ScrTip_GmftDeleteMatches</vt:lpstr>
      <vt:lpstr>N_Rib_ScrTip_GmftFISTFExport</vt:lpstr>
      <vt:lpstr>N_Rib_ScrTip_GmftHome</vt:lpstr>
      <vt:lpstr>N_Rib_ScrTip_GmftImportClubs</vt:lpstr>
      <vt:lpstr>N_Rib_ScrTip_GmftImportLicenses</vt:lpstr>
      <vt:lpstr>N_Rib_ScrTip_GmftImportRanking</vt:lpstr>
      <vt:lpstr>N_Rib_ScrTip_GmftImportRankingTeams</vt:lpstr>
      <vt:lpstr>N_Rib_ScrTip_GmftImportScorerTable</vt:lpstr>
      <vt:lpstr>N_Rib_ScrTip_GmftInitLayout</vt:lpstr>
      <vt:lpstr>N_Rib_ScrTip_GmftListsAddRows</vt:lpstr>
      <vt:lpstr>N_Rib_ScrTip_GmftListsRemoveRows</vt:lpstr>
      <vt:lpstr>N_Rib_ScrTip_GmftLockUnlockWB</vt:lpstr>
      <vt:lpstr>N_Rib_ScrTip_GmftMAJListes</vt:lpstr>
      <vt:lpstr>N_Rib_ScrTip_GmftMakeAllDraw</vt:lpstr>
      <vt:lpstr>N_Rib_ScrTip_GmftMakeNextDraw</vt:lpstr>
      <vt:lpstr>N_Rib_ScrTip_GmftMakeNextDrawInSecondPot</vt:lpstr>
      <vt:lpstr>N_Rib_ScrTip_GmftMakeWithDraw</vt:lpstr>
      <vt:lpstr>N_Rib_ScrTip_GmftMaxScore</vt:lpstr>
      <vt:lpstr>N_Rib_ScrTip_GmftMoveMatchesDown</vt:lpstr>
      <vt:lpstr>N_Rib_ScrTip_GmftMoveMatchesSessionDown</vt:lpstr>
      <vt:lpstr>N_Rib_ScrTip_GmftMoveMatchesSessionUp</vt:lpstr>
      <vt:lpstr>N_Rib_ScrTip_GmftMoveMatchesToParticularSession</vt:lpstr>
      <vt:lpstr>N_Rib_ScrTip_GmftMoveMatchesUp</vt:lpstr>
      <vt:lpstr>N_Rib_ScrTip_GmftNewEvent_Custom</vt:lpstr>
      <vt:lpstr>N_Rib_ScrTip_GmftNewEvent_FISTF</vt:lpstr>
      <vt:lpstr>N_Rib_ScrTip_GmftNewEvent_Predefined</vt:lpstr>
      <vt:lpstr>N_Rib_ScrTip_GmftNumberOfRowsToAdd</vt:lpstr>
      <vt:lpstr>N_Rib_ScrTip_GmftOpenDashboard</vt:lpstr>
      <vt:lpstr>N_Rib_ScrTip_GmftParameters</vt:lpstr>
      <vt:lpstr>N_Rib_ScrTip_GmftPlanning_AddSession</vt:lpstr>
      <vt:lpstr>N_Rib_ScrTip_GmftPlanning_DeleteSession</vt:lpstr>
      <vt:lpstr>N_Rib_ScrTip_GmftPlanning_DeleteThisSession</vt:lpstr>
      <vt:lpstr>N_Rib_ScrTip_GmftPlanning_InsertSession</vt:lpstr>
      <vt:lpstr>N_Rib_ScrTip_GmftPlanningExport</vt:lpstr>
      <vt:lpstr>N_Rib_ScrTip_GmftPrintResults</vt:lpstr>
      <vt:lpstr>N_Rib_ScrTip_GmftRecopier_matches</vt:lpstr>
      <vt:lpstr>N_Rib_ScrTip_GmftRegistrationsExport</vt:lpstr>
      <vt:lpstr>N_Rib_ScrTip_GmftResultExport</vt:lpstr>
      <vt:lpstr>N_Rib_ScrTip_GmftSaveResultsAsPDF</vt:lpstr>
      <vt:lpstr>N_Rib_ScrTip_GmftScorerTableExport</vt:lpstr>
      <vt:lpstr>N_Rib_ScrTip_GmftScoresheetsExport</vt:lpstr>
      <vt:lpstr>N_Rib_ScrTip_GmftSession_Number</vt:lpstr>
      <vt:lpstr>N_Rib_ScrTip_GmftShowDrawModel</vt:lpstr>
      <vt:lpstr>N_Rib_ScrTip_GmftShowNationalities</vt:lpstr>
      <vt:lpstr>N_Rib_ScrTip_GmftShowPlanningModel</vt:lpstr>
      <vt:lpstr>N_Rib_ScrTip_GmftShowREsultModel</vt:lpstr>
      <vt:lpstr>N_Rib_ScrTip_GmftShowScoresheetModel</vt:lpstr>
      <vt:lpstr>N_Rib_ScrTip_GmftSortPlayersInTeams</vt:lpstr>
      <vt:lpstr>N_Rib_ScrTip_GmftSwitchReferees</vt:lpstr>
      <vt:lpstr>N_Rib_ScrTip_GmftTeamsForm</vt:lpstr>
      <vt:lpstr>N_Rib_ScrTip_GmftUndefineGroupOfTableNames</vt:lpstr>
      <vt:lpstr>N_Rib_ScrTip_GmftUndefineModels</vt:lpstr>
      <vt:lpstr>N_Rib_ScrTip_GmftUndefineTableNames</vt:lpstr>
      <vt:lpstr>N_Rib_ScrTip_GmftUpdatePlayerTimelineFromTimeline</vt:lpstr>
      <vt:lpstr>N_Rib_ScrTip_GmftUpdateRefereeing</vt:lpstr>
      <vt:lpstr>N_Rib_ScrTip_GmftUpdateStatistics</vt:lpstr>
      <vt:lpstr>N_Rib_ScrTip_GmftValidateDraw</vt:lpstr>
      <vt:lpstr>N_Rib_ScrTip_GmftValider_matches</vt:lpstr>
      <vt:lpstr>N_Rib_ScrTip_GmftVersion</vt:lpstr>
      <vt:lpstr>N_Rib_ScrTip_GmftViewHideRibbonTabs</vt:lpstr>
      <vt:lpstr>N_Rib_ScrTip_GmftViewNormal</vt:lpstr>
      <vt:lpstr>N_Rib_ScrTip_GmftViewPageBreaks</vt:lpstr>
      <vt:lpstr>N_Rib_ScrTip_GmftWebSiteExport</vt:lpstr>
      <vt:lpstr>N_Rib_ScrTip_TableDisplayDropDown</vt:lpstr>
      <vt:lpstr>N_Rib_SupTip_CategoryDropDown</vt:lpstr>
      <vt:lpstr>N_Rib_SupTip_GmftAssignReferees</vt:lpstr>
      <vt:lpstr>N_Rib_SupTip_GmftCalculateCheckin</vt:lpstr>
      <vt:lpstr>N_Rib_SupTip_GmftCheckinForm</vt:lpstr>
      <vt:lpstr>N_Rib_SupTip_GmftCreateDrawSheet</vt:lpstr>
      <vt:lpstr>N_Rib_SupTip_GmftCreateGroupOfTablesName</vt:lpstr>
      <vt:lpstr>N_Rib_SupTip_GmftCreateModel</vt:lpstr>
      <vt:lpstr>N_Rib_SupTip_GmftCreateTableName</vt:lpstr>
      <vt:lpstr>N_Rib_SupTip_GmftDefineFirstSeeds</vt:lpstr>
      <vt:lpstr>N_Rib_SupTip_GmftDelete_This_sheet</vt:lpstr>
      <vt:lpstr>N_Rib_SupTip_GmftDeleteDraw</vt:lpstr>
      <vt:lpstr>N_Rib_SupTip_GmftDeleteMatches</vt:lpstr>
      <vt:lpstr>N_Rib_SupTip_GmftFISTFExport</vt:lpstr>
      <vt:lpstr>N_Rib_SupTip_GmftHome</vt:lpstr>
      <vt:lpstr>N_Rib_SupTip_GmftImportClubs</vt:lpstr>
      <vt:lpstr>N_Rib_SupTip_GmftImportLicenses</vt:lpstr>
      <vt:lpstr>N_Rib_SupTip_GmftImportRanking</vt:lpstr>
      <vt:lpstr>N_Rib_SupTip_GmftImportRankingTeams</vt:lpstr>
      <vt:lpstr>N_Rib_SupTip_GmftImportScorerTable</vt:lpstr>
      <vt:lpstr>N_Rib_SupTip_GmftInitLayout</vt:lpstr>
      <vt:lpstr>N_Rib_SupTip_GmftListsAddRows</vt:lpstr>
      <vt:lpstr>N_Rib_SupTip_GmftListsRemoveRows</vt:lpstr>
      <vt:lpstr>N_Rib_SupTip_GmftLockUnlockWB</vt:lpstr>
      <vt:lpstr>N_Rib_SupTip_GmftMAJListes</vt:lpstr>
      <vt:lpstr>N_Rib_SupTip_GmftMakeAllDraw</vt:lpstr>
      <vt:lpstr>N_Rib_SupTip_GmftMakeNextDraw</vt:lpstr>
      <vt:lpstr>N_Rib_SupTip_GmftMakeNextDrawInSecondPot</vt:lpstr>
      <vt:lpstr>N_Rib_SupTip_GmftMakeWithDraw</vt:lpstr>
      <vt:lpstr>N_Rib_SupTip_GmftMaxScore</vt:lpstr>
      <vt:lpstr>N_Rib_SupTip_GmftMoveMatchesDown</vt:lpstr>
      <vt:lpstr>N_Rib_SupTip_GmftMoveMatchesSessionDown</vt:lpstr>
      <vt:lpstr>N_Rib_SupTip_GmftMoveMatchesSessionUp</vt:lpstr>
      <vt:lpstr>N_Rib_SupTip_GmftMoveMatchesToParticularSession</vt:lpstr>
      <vt:lpstr>N_Rib_SupTip_GmftMoveMatchesUp</vt:lpstr>
      <vt:lpstr>N_Rib_SupTip_GmftNewEvent_Custom</vt:lpstr>
      <vt:lpstr>N_Rib_SupTip_GmftNewEvent_FISTF</vt:lpstr>
      <vt:lpstr>N_Rib_SupTip_GmftNewEvent_Predefined</vt:lpstr>
      <vt:lpstr>N_Rib_SupTip_GmftNumberOfRowsToAdd</vt:lpstr>
      <vt:lpstr>N_Rib_SupTip_GmftOpenDashboard</vt:lpstr>
      <vt:lpstr>N_Rib_SupTip_GmftParameters</vt:lpstr>
      <vt:lpstr>N_Rib_SupTip_GmftPlanning_AddSession</vt:lpstr>
      <vt:lpstr>N_Rib_SupTip_GmftPlanning_DeleteSession</vt:lpstr>
      <vt:lpstr>N_Rib_SupTip_GmftPlanning_DeleteThisSession</vt:lpstr>
      <vt:lpstr>N_Rib_SupTip_GmftPlanning_InsertSession</vt:lpstr>
      <vt:lpstr>N_Rib_SupTip_GmftPlanningExport</vt:lpstr>
      <vt:lpstr>N_Rib_SupTip_GmftPrintResults</vt:lpstr>
      <vt:lpstr>N_Rib_SupTip_GmftRecopier_matches</vt:lpstr>
      <vt:lpstr>N_Rib_SupTip_GmftRegistrationsExport</vt:lpstr>
      <vt:lpstr>N_Rib_SupTip_GmftResultExport</vt:lpstr>
      <vt:lpstr>N_Rib_SupTip_GmftSaveResultsAsPDF</vt:lpstr>
      <vt:lpstr>N_Rib_SupTip_GmftScorerTableExport</vt:lpstr>
      <vt:lpstr>N_Rib_SupTip_GmftScoresheetsExport</vt:lpstr>
      <vt:lpstr>N_Rib_SupTip_GmftSession_Number</vt:lpstr>
      <vt:lpstr>N_Rib_SupTip_GmftShowDrawModel</vt:lpstr>
      <vt:lpstr>N_Rib_SupTip_GmftShowNationalities</vt:lpstr>
      <vt:lpstr>N_Rib_SupTip_GmftShowPlanningModel</vt:lpstr>
      <vt:lpstr>N_Rib_SupTip_GmftShowREsultModel</vt:lpstr>
      <vt:lpstr>N_Rib_SupTip_GmftShowScoresheetModel</vt:lpstr>
      <vt:lpstr>N_Rib_SupTip_GmftSortPlayersInTeams</vt:lpstr>
      <vt:lpstr>N_Rib_SupTip_GmftSwitchReferees</vt:lpstr>
      <vt:lpstr>N_Rib_SupTip_GmftTeamsForm</vt:lpstr>
      <vt:lpstr>N_Rib_SupTip_GmftUndefineGroupOfTableNames</vt:lpstr>
      <vt:lpstr>N_Rib_SupTip_GmftUndefineModels</vt:lpstr>
      <vt:lpstr>N_Rib_SupTip_GmftUndefineTableNames</vt:lpstr>
      <vt:lpstr>N_Rib_SupTip_GmftUpdatePlayerTimelineFromTimeline</vt:lpstr>
      <vt:lpstr>N_Rib_SupTip_GmftUpdateRefereeing</vt:lpstr>
      <vt:lpstr>N_Rib_SupTip_GmftUpdateStatistics</vt:lpstr>
      <vt:lpstr>N_Rib_SupTip_GmftValidateDraw</vt:lpstr>
      <vt:lpstr>N_Rib_SupTip_GmftValider_matches</vt:lpstr>
      <vt:lpstr>N_Rib_SupTip_GmftVersion</vt:lpstr>
      <vt:lpstr>N_Rib_SupTip_GmftViewHideRibbonTabs</vt:lpstr>
      <vt:lpstr>N_Rib_SupTip_GmftViewNormal</vt:lpstr>
      <vt:lpstr>N_Rib_SupTip_GmftViewPageBreaks</vt:lpstr>
      <vt:lpstr>N_Rib_SupTip_GmftWebSiteExport</vt:lpstr>
      <vt:lpstr>N_Rib_SupTip_TableDisplayDropDown</vt:lpstr>
      <vt:lpstr>N_Rib_TableDisplayDropDown</vt:lpstr>
      <vt:lpstr>N_RJ</vt:lpstr>
      <vt:lpstr>N_RN</vt:lpstr>
      <vt:lpstr>N_Round</vt:lpstr>
      <vt:lpstr>N_Row</vt:lpstr>
      <vt:lpstr>N_RP</vt:lpstr>
      <vt:lpstr>N_SaveFiles</vt:lpstr>
      <vt:lpstr>N_ScorerTable</vt:lpstr>
      <vt:lpstr>N_Scores</vt:lpstr>
      <vt:lpstr>N_ScoreSheet</vt:lpstr>
      <vt:lpstr>N_SelectionOnOneSession</vt:lpstr>
      <vt:lpstr>N_SelectionOutside</vt:lpstr>
      <vt:lpstr>N_SelectionOutsidePlanning</vt:lpstr>
      <vt:lpstr>N_Serie</vt:lpstr>
      <vt:lpstr>N_Session</vt:lpstr>
      <vt:lpstr>N_SessionTitle</vt:lpstr>
      <vt:lpstr>N_SessionTitle_Label</vt:lpstr>
      <vt:lpstr>N_SessionUpNotPossible</vt:lpstr>
      <vt:lpstr>N_SetCalculationMode_Label</vt:lpstr>
      <vt:lpstr>N_Shout_Out</vt:lpstr>
      <vt:lpstr>N_Show</vt:lpstr>
      <vt:lpstr>N_ShowDashboard_Title</vt:lpstr>
      <vt:lpstr>N_ShowIt</vt:lpstr>
      <vt:lpstr>N_SortByNameFirstname</vt:lpstr>
      <vt:lpstr>N_SortTeamMembers</vt:lpstr>
      <vt:lpstr>N_Stade_Epreuve</vt:lpstr>
      <vt:lpstr>N_Stages</vt:lpstr>
      <vt:lpstr>N_StartPrint</vt:lpstr>
      <vt:lpstr>N_StartSession</vt:lpstr>
      <vt:lpstr>N_Substitue</vt:lpstr>
      <vt:lpstr>N_Substitute</vt:lpstr>
      <vt:lpstr>N_Substitute_Codes</vt:lpstr>
      <vt:lpstr>N_SubstituteCodeRule</vt:lpstr>
      <vt:lpstr>N_SwitchReferees</vt:lpstr>
      <vt:lpstr>N_Table</vt:lpstr>
      <vt:lpstr>N_TableDisplay</vt:lpstr>
      <vt:lpstr>N_Tables</vt:lpstr>
      <vt:lpstr>N_Team</vt:lpstr>
      <vt:lpstr>N_Team_FDL</vt:lpstr>
      <vt:lpstr>N_Team1</vt:lpstr>
      <vt:lpstr>N_Team2</vt:lpstr>
      <vt:lpstr>N_TeamCheckin</vt:lpstr>
      <vt:lpstr>N_TeamNumber</vt:lpstr>
      <vt:lpstr>N_Teams</vt:lpstr>
      <vt:lpstr>N_TeamsRegisteredPlayers</vt:lpstr>
      <vt:lpstr>N_THIRD</vt:lpstr>
      <vt:lpstr>N_ThirdLoser</vt:lpstr>
      <vt:lpstr>N_ThirdWinner</vt:lpstr>
      <vt:lpstr>N_TimelineDescription</vt:lpstr>
      <vt:lpstr>N_Tirage</vt:lpstr>
      <vt:lpstr>N_ToBeDone</vt:lpstr>
      <vt:lpstr>N_ToBeDrawn</vt:lpstr>
      <vt:lpstr>N_ToBeDrawnLeft</vt:lpstr>
      <vt:lpstr>N_ToMuchFormulas</vt:lpstr>
      <vt:lpstr>N_Total_buts</vt:lpstr>
      <vt:lpstr>N_TotalNbClubs</vt:lpstr>
      <vt:lpstr>N_TotalNbClubsLines</vt:lpstr>
      <vt:lpstr>N_TotalNbGroups</vt:lpstr>
      <vt:lpstr>N_TotalNbPlayers</vt:lpstr>
      <vt:lpstr>N_TotalNbPlayersLines</vt:lpstr>
      <vt:lpstr>N_TotalNbRankedPlayers</vt:lpstr>
      <vt:lpstr>N_TotalNbRankingLines</vt:lpstr>
      <vt:lpstr>N_Trigram</vt:lpstr>
      <vt:lpstr>N_Type_Match</vt:lpstr>
      <vt:lpstr>N_U12</vt:lpstr>
      <vt:lpstr>N_U15</vt:lpstr>
      <vt:lpstr>N_U16</vt:lpstr>
      <vt:lpstr>N_U19</vt:lpstr>
      <vt:lpstr>N_U20</vt:lpstr>
      <vt:lpstr>N_U40</vt:lpstr>
      <vt:lpstr>N_UnknownPlayer</vt:lpstr>
      <vt:lpstr>N_UpNotPossible</vt:lpstr>
      <vt:lpstr>N_UseCategories</vt:lpstr>
      <vt:lpstr>N_UseDisqualified</vt:lpstr>
      <vt:lpstr>N_VAINQUEUR</vt:lpstr>
      <vt:lpstr>N_ValidateRegistered</vt:lpstr>
      <vt:lpstr>N_VenueTitle</vt:lpstr>
      <vt:lpstr>N_Veterans</vt:lpstr>
      <vt:lpstr>N_Visa</vt:lpstr>
      <vt:lpstr>N_Web_Club</vt:lpstr>
      <vt:lpstr>N_Web_MatchNo</vt:lpstr>
      <vt:lpstr>N_Web_Nation</vt:lpstr>
      <vt:lpstr>N_Web_PlayerName</vt:lpstr>
      <vt:lpstr>N_Web_Ranking</vt:lpstr>
      <vt:lpstr>N_Web_Rk</vt:lpstr>
      <vt:lpstr>N_Web_Stage</vt:lpstr>
      <vt:lpstr>N_WebChangingImages</vt:lpstr>
      <vt:lpstr>N_WebEventDescriptionLabel</vt:lpstr>
      <vt:lpstr>N_WebEventTitleLabel</vt:lpstr>
      <vt:lpstr>N_WebNavBarTitleLabel</vt:lpstr>
      <vt:lpstr>N_WebSiteExport_ExportCompetitonData</vt:lpstr>
      <vt:lpstr>N_WebSiteExport_ExportCompetitors</vt:lpstr>
      <vt:lpstr>N_WebSiteExport_ExportGroups</vt:lpstr>
      <vt:lpstr>N_WebSiteExport_ExportMatches</vt:lpstr>
      <vt:lpstr>N_WebSiteExport_ExportPlanning</vt:lpstr>
      <vt:lpstr>N_WebSiteExport_ExportResults</vt:lpstr>
      <vt:lpstr>N_WebSiteExport_ExportStats</vt:lpstr>
      <vt:lpstr>N_WebSiteExport_ExportWebDecoration</vt:lpstr>
      <vt:lpstr>N_WebSiteExportForm_Caption</vt:lpstr>
      <vt:lpstr>N_WebSiteExportForm_Title</vt:lpstr>
      <vt:lpstr>N_WebSiteExportForm_WebSiteRootPath</vt:lpstr>
      <vt:lpstr>N_Win</vt:lpstr>
      <vt:lpstr>N_Winner</vt:lpstr>
      <vt:lpstr>N_Wins</vt:lpstr>
      <vt:lpstr>N_Withdraw</vt:lpstr>
      <vt:lpstr>N_Won_Matches</vt:lpstr>
      <vt:lpstr>N_Worksheet</vt:lpstr>
      <vt:lpstr>N_YouMustSelectIndivOrTeam</vt:lpstr>
      <vt:lpstr>N_YourCriteria</vt:lpstr>
      <vt:lpstr>DrawModel!NatClubColNum</vt:lpstr>
      <vt:lpstr>Nationalities</vt:lpstr>
      <vt:lpstr>Nationality_Codes</vt:lpstr>
      <vt:lpstr>NationalityDoublesFormat</vt:lpstr>
      <vt:lpstr>NationalityTrigram</vt:lpstr>
      <vt:lpstr>Nb_Max_Equipiers</vt:lpstr>
      <vt:lpstr>Nb_Referees</vt:lpstr>
      <vt:lpstr>NbEvents</vt:lpstr>
      <vt:lpstr>NbLanguages</vt:lpstr>
      <vt:lpstr>NbLicences</vt:lpstr>
      <vt:lpstr>NbMaxRefereing</vt:lpstr>
      <vt:lpstr>'Dble FDL'!NbOfTeams</vt:lpstr>
      <vt:lpstr>'Dble Groups'!NbOfTeams</vt:lpstr>
      <vt:lpstr>'Team FDL'!NbOfTeams</vt:lpstr>
      <vt:lpstr>'Team Groups'!NbOfTeams</vt:lpstr>
      <vt:lpstr>NbRankedPlayers</vt:lpstr>
      <vt:lpstr>NbRankedTeams</vt:lpstr>
      <vt:lpstr>NbTeams</vt:lpstr>
      <vt:lpstr>NoDrawWithWithdraw</vt:lpstr>
      <vt:lpstr>CheckIn!NumberOfRowsToAdd</vt:lpstr>
      <vt:lpstr>Clubs!NumberOfRowsToAdd</vt:lpstr>
      <vt:lpstr>Licences!NumberOfRowsToAdd</vt:lpstr>
      <vt:lpstr>Ranking!NumberOfRowsToAdd</vt:lpstr>
      <vt:lpstr>RankingTeams!NumberOfRowsToAdd</vt:lpstr>
      <vt:lpstr>Teams!NumberOfRowsToAdd</vt:lpstr>
      <vt:lpstr>NumberOfRowsToAdd</vt:lpstr>
      <vt:lpstr>NumbersDoublesFormat</vt:lpstr>
      <vt:lpstr>D1_Last8!P_1A</vt:lpstr>
      <vt:lpstr>D1_Top8!P_1A</vt:lpstr>
      <vt:lpstr>D1_Tr1!P_1A</vt:lpstr>
      <vt:lpstr>D1_Last8!P_1B</vt:lpstr>
      <vt:lpstr>D1_Top8!P_1B</vt:lpstr>
      <vt:lpstr>D1_Tr1!P_1B</vt:lpstr>
      <vt:lpstr>D1_Last8!P_1C</vt:lpstr>
      <vt:lpstr>D1_Top8!P_1C</vt:lpstr>
      <vt:lpstr>D1_Tr1!P_1C</vt:lpstr>
      <vt:lpstr>D1_Last8!P_1D</vt:lpstr>
      <vt:lpstr>D1_Top8!P_1D</vt:lpstr>
      <vt:lpstr>D1_Tr1!P_1D</vt:lpstr>
      <vt:lpstr>D1_Last8!P_1E</vt:lpstr>
      <vt:lpstr>D1_Top8!P_1E</vt:lpstr>
      <vt:lpstr>D1_Tr1!P_1E</vt:lpstr>
      <vt:lpstr>D1_Last8!P_1F</vt:lpstr>
      <vt:lpstr>D1_Top8!P_1F</vt:lpstr>
      <vt:lpstr>D1_Tr1!P_1F</vt:lpstr>
      <vt:lpstr>D1_Last8!P_1G</vt:lpstr>
      <vt:lpstr>D1_Top8!P_1G</vt:lpstr>
      <vt:lpstr>D1_Tr1!P_1G</vt:lpstr>
      <vt:lpstr>D1_Last8!P_1H</vt:lpstr>
      <vt:lpstr>D1_Top8!P_1H</vt:lpstr>
      <vt:lpstr>D1_Tr1!P_1H</vt:lpstr>
      <vt:lpstr>D1_Tr1!P_2A</vt:lpstr>
      <vt:lpstr>D1_Tr1!P_2B</vt:lpstr>
      <vt:lpstr>D1_Tr1!P_2C</vt:lpstr>
      <vt:lpstr>D1_Tr1!P_2D</vt:lpstr>
      <vt:lpstr>D1_Tr1!P_2E</vt:lpstr>
      <vt:lpstr>D1_Tr1!P_2F</vt:lpstr>
      <vt:lpstr>D1_Tr1!P_2G</vt:lpstr>
      <vt:lpstr>D1_Tr1!P_2H</vt:lpstr>
      <vt:lpstr>D1_Last8!Particular_Category</vt:lpstr>
      <vt:lpstr>D1_Top8!Particular_Category</vt:lpstr>
      <vt:lpstr>D1_Tr1!Particular_Category</vt:lpstr>
      <vt:lpstr>'Dble FDL'!Particular_Category</vt:lpstr>
      <vt:lpstr>'Dble Groups'!Particular_Category</vt:lpstr>
      <vt:lpstr>'Ind FDL'!Particular_Category</vt:lpstr>
      <vt:lpstr>'Ind Groups'!Particular_Category</vt:lpstr>
      <vt:lpstr>'Team FDL'!Particular_Category</vt:lpstr>
      <vt:lpstr>'Team Groups'!Particular_Category</vt:lpstr>
      <vt:lpstr>PL_Check</vt:lpstr>
      <vt:lpstr>PL_Diff1</vt:lpstr>
      <vt:lpstr>PL_Diff2</vt:lpstr>
      <vt:lpstr>PL_Draws1</vt:lpstr>
      <vt:lpstr>PL_Draws2</vt:lpstr>
      <vt:lpstr>PL_Goals1</vt:lpstr>
      <vt:lpstr>PL_Goals2</vt:lpstr>
      <vt:lpstr>PL_Hours</vt:lpstr>
      <vt:lpstr>PL_Losers</vt:lpstr>
      <vt:lpstr>PL_Player1</vt:lpstr>
      <vt:lpstr>PL_Player2</vt:lpstr>
      <vt:lpstr>PL_Referees</vt:lpstr>
      <vt:lpstr>PL_SessionTable</vt:lpstr>
      <vt:lpstr>PL_Stage</vt:lpstr>
      <vt:lpstr>PL_Winners</vt:lpstr>
      <vt:lpstr>Planning!Planning_complet</vt:lpstr>
      <vt:lpstr>PlanningModel!Planning_complet</vt:lpstr>
      <vt:lpstr>Planning_Dble_Elim_Match</vt:lpstr>
      <vt:lpstr>Planning_Dble_Group_Match</vt:lpstr>
      <vt:lpstr>Planning_Dble_Tab_Match</vt:lpstr>
      <vt:lpstr>Planning_Ind_Elim_Match</vt:lpstr>
      <vt:lpstr>Planning_Ind_Elim_Match_SR</vt:lpstr>
      <vt:lpstr>Planning_Ind_Group_Match</vt:lpstr>
      <vt:lpstr>Planning_Ind_Group_Match_SR</vt:lpstr>
      <vt:lpstr>Planning_Ind_Tab_Match</vt:lpstr>
      <vt:lpstr>Planning_Ind_Tab_Match_SR</vt:lpstr>
      <vt:lpstr>PlanningModel!Planning_Match_Lines_Templates</vt:lpstr>
      <vt:lpstr>Planning_Team_Elim_Match</vt:lpstr>
      <vt:lpstr>Planning_Team_Group_Match</vt:lpstr>
      <vt:lpstr>Planning_Team_Tab_Match</vt:lpstr>
      <vt:lpstr>D1_Last8!PlayerNamesWithinGroups</vt:lpstr>
      <vt:lpstr>D1_Top8!PlayerNamesWithinGroups</vt:lpstr>
      <vt:lpstr>D1_Tr1!PlayerNamesWithinGroups</vt:lpstr>
      <vt:lpstr>'Dble Groups'!PlayerNamesWithinGroups</vt:lpstr>
      <vt:lpstr>'Ind Groups'!PlayerNamesWithinGroups</vt:lpstr>
      <vt:lpstr>'Team Groups'!PlayerNamesWithinGroups</vt:lpstr>
      <vt:lpstr>D1_Last8!PlayerNamesWithinGroups_CDF</vt:lpstr>
      <vt:lpstr>D1_Top8!PlayerNamesWithinGroups_CDF</vt:lpstr>
      <vt:lpstr>D1_Tr1!PlayerNamesWithinGroups_CDF</vt:lpstr>
      <vt:lpstr>D1_Last8!PlayerNamesWithinRanking</vt:lpstr>
      <vt:lpstr>D1_Top8!PlayerNamesWithinRanking</vt:lpstr>
      <vt:lpstr>D1_Tr1!PlayerNamesWithinRanking</vt:lpstr>
      <vt:lpstr>D1_Last8!PlayerNamesWithinRanking_CDF</vt:lpstr>
      <vt:lpstr>D1_Top8!PlayerNamesWithinRanking_CDF</vt:lpstr>
      <vt:lpstr>D1_Tr1!PlayerNamesWithinRanking_CDF</vt:lpstr>
      <vt:lpstr>ExportScorerTableModel!PlayersAndHoursCol1</vt:lpstr>
      <vt:lpstr>Planning!PlayersAndHoursCol1</vt:lpstr>
      <vt:lpstr>PlanningModel!PlayersAndHoursCol1</vt:lpstr>
      <vt:lpstr>ExportScorerTableModel!PlayersAndHoursCol2</vt:lpstr>
      <vt:lpstr>Planning!PlayersAndHoursCol2</vt:lpstr>
      <vt:lpstr>PlanningModel!PlayersAndHoursCol2</vt:lpstr>
      <vt:lpstr>Points_Null</vt:lpstr>
      <vt:lpstr>Points_Victoire</vt:lpstr>
      <vt:lpstr>PrintStats</vt:lpstr>
      <vt:lpstr>PrintVenue</vt:lpstr>
      <vt:lpstr>Protection_Feuilles</vt:lpstr>
      <vt:lpstr>RankingAsLicencesList</vt:lpstr>
      <vt:lpstr>RankingCategories</vt:lpstr>
      <vt:lpstr>RankingData</vt:lpstr>
      <vt:lpstr>RankingDataTeams</vt:lpstr>
      <vt:lpstr>D1_Last8!RankingTables</vt:lpstr>
      <vt:lpstr>D1_Top8!RankingTables</vt:lpstr>
      <vt:lpstr>D1_Tr1!RankingTables</vt:lpstr>
      <vt:lpstr>D1_Last8!RankingTables_CDF</vt:lpstr>
      <vt:lpstr>D1_Top8!RankingTables_CDF</vt:lpstr>
      <vt:lpstr>D1_Tr1!RankingTables_CDF</vt:lpstr>
      <vt:lpstr>RefereeDisqualifiedEvent</vt:lpstr>
      <vt:lpstr>RefereeFISTFCategories</vt:lpstr>
      <vt:lpstr>RefereeList_NameFirstname</vt:lpstr>
      <vt:lpstr>RefereeList_Visible</vt:lpstr>
      <vt:lpstr>RefereesCategories</vt:lpstr>
      <vt:lpstr>RefereesHours</vt:lpstr>
      <vt:lpstr>RegistrationsExportToWebSite</vt:lpstr>
      <vt:lpstr>RegistrationsTheme</vt:lpstr>
      <vt:lpstr>RegistrationsWebSiteRootDirName</vt:lpstr>
      <vt:lpstr>RegistrationsWebSiteRootPath</vt:lpstr>
      <vt:lpstr>ReleaseHistory</vt:lpstr>
      <vt:lpstr>Results_Group_EvenLine</vt:lpstr>
      <vt:lpstr>Results_Group_EvenLine_Team</vt:lpstr>
      <vt:lpstr>Results_Group_FirstLine</vt:lpstr>
      <vt:lpstr>Results_Group_FirstLine_Team</vt:lpstr>
      <vt:lpstr>Results_Group_Header</vt:lpstr>
      <vt:lpstr>Results_Group_Header_Team</vt:lpstr>
      <vt:lpstr>Results_Group_LastLine</vt:lpstr>
      <vt:lpstr>Results_Group_LastLine_Team</vt:lpstr>
      <vt:lpstr>Results_Group_OddLine</vt:lpstr>
      <vt:lpstr>Results_Group_OddLine_Team</vt:lpstr>
      <vt:lpstr>Results_Match_Even</vt:lpstr>
      <vt:lpstr>Results_Match_First</vt:lpstr>
      <vt:lpstr>Results_Match_Odd</vt:lpstr>
      <vt:lpstr>Results_Match_Team_Even</vt:lpstr>
      <vt:lpstr>Results_Match_Team_First</vt:lpstr>
      <vt:lpstr>Results_Match_Team_Odd</vt:lpstr>
      <vt:lpstr>Results_Match_TeamLastMatch</vt:lpstr>
      <vt:lpstr>Results_Match_TeamMatch</vt:lpstr>
      <vt:lpstr>Results_Match_TeamShouts</vt:lpstr>
      <vt:lpstr>Results_Match_TeamSubstitute</vt:lpstr>
      <vt:lpstr>Results_Match_TeamSubstituteEnd</vt:lpstr>
      <vt:lpstr>Results_Session_Header</vt:lpstr>
      <vt:lpstr>RibbonPtr</vt:lpstr>
      <vt:lpstr>RibbonTabsMsoVisible</vt:lpstr>
      <vt:lpstr>Scoresheet_Dble_Copyright</vt:lpstr>
      <vt:lpstr>Scoresheet_Dble_GD1</vt:lpstr>
      <vt:lpstr>Scoresheet_Dble_GD2</vt:lpstr>
      <vt:lpstr>Scoresheet_Dble_Referee</vt:lpstr>
      <vt:lpstr>Scoresheet_Dble_Referee_M1</vt:lpstr>
      <vt:lpstr>Scoresheet_Dble_Referee_M2</vt:lpstr>
      <vt:lpstr>Scoresheet_Dble_SD</vt:lpstr>
      <vt:lpstr>Scoresheet_Dble_SD_M1</vt:lpstr>
      <vt:lpstr>Scoresheet_Dble_SD_M2</vt:lpstr>
      <vt:lpstr>Scoresheet_Dble_SessionNb</vt:lpstr>
      <vt:lpstr>Scoresheet_Dble_StageName</vt:lpstr>
      <vt:lpstr>Scoresheet_Dble_Table</vt:lpstr>
      <vt:lpstr>Scoresheet_Dble_Team1</vt:lpstr>
      <vt:lpstr>Scoresheet_Dble_Team1_DIFF</vt:lpstr>
      <vt:lpstr>Scoresheet_Dble_Team1_DIFF_Goals</vt:lpstr>
      <vt:lpstr>Scoresheet_Dble_Team1_PL1</vt:lpstr>
      <vt:lpstr>Scoresheet_Dble_Team1_PL2</vt:lpstr>
      <vt:lpstr>Scoresheet_Dble_Team1_S1</vt:lpstr>
      <vt:lpstr>Scoresheet_Dble_Team2</vt:lpstr>
      <vt:lpstr>Scoresheet_Dble_Team2_DIFF</vt:lpstr>
      <vt:lpstr>Scoresheet_Dble_Team2_DIFF_Goals</vt:lpstr>
      <vt:lpstr>Scoresheet_Dble_Team2_PL1</vt:lpstr>
      <vt:lpstr>Scoresheet_Dble_Team2_PL2</vt:lpstr>
      <vt:lpstr>Scoresheet_Dble_Team2_S1</vt:lpstr>
      <vt:lpstr>Scoresheet_Dble_Time</vt:lpstr>
      <vt:lpstr>Scoresheet_Dble_TournamentName</vt:lpstr>
      <vt:lpstr>Scoresheet_DbleScoresheet</vt:lpstr>
      <vt:lpstr>Scoresheet_Ind_Copyright</vt:lpstr>
      <vt:lpstr>Scoresheet_Ind_GD1</vt:lpstr>
      <vt:lpstr>Scoresheet_Ind_GD2</vt:lpstr>
      <vt:lpstr>Scoresheet_Ind_Player1</vt:lpstr>
      <vt:lpstr>Scoresheet_Ind_Player2</vt:lpstr>
      <vt:lpstr>Scoresheet_Ind_Referee</vt:lpstr>
      <vt:lpstr>Scoresheet_Ind_SD</vt:lpstr>
      <vt:lpstr>Scoresheet_Ind_SessionNb</vt:lpstr>
      <vt:lpstr>Scoresheet_Ind_StageName</vt:lpstr>
      <vt:lpstr>Scoresheet_Ind_Table</vt:lpstr>
      <vt:lpstr>Scoresheet_Ind_Time</vt:lpstr>
      <vt:lpstr>Scoresheet_Ind_TournamentName</vt:lpstr>
      <vt:lpstr>Scoresheet_IndScoresheet</vt:lpstr>
      <vt:lpstr>Scoresheet_Team_Copyright</vt:lpstr>
      <vt:lpstr>Scoresheet_Team_GD1</vt:lpstr>
      <vt:lpstr>Scoresheet_Team_GD2</vt:lpstr>
      <vt:lpstr>Scoresheet_Team_Referee</vt:lpstr>
      <vt:lpstr>Scoresheet_Team_Referee_M1</vt:lpstr>
      <vt:lpstr>Scoresheet_Team_Referee_M2</vt:lpstr>
      <vt:lpstr>Scoresheet_Team_Referee_M3</vt:lpstr>
      <vt:lpstr>Scoresheet_Team_Referee_M4</vt:lpstr>
      <vt:lpstr>Scoresheet_Team_SD</vt:lpstr>
      <vt:lpstr>Scoresheet_Team_SD_M1</vt:lpstr>
      <vt:lpstr>Scoresheet_Team_SD_M2</vt:lpstr>
      <vt:lpstr>Scoresheet_Team_SD_M3</vt:lpstr>
      <vt:lpstr>Scoresheet_Team_SD_M4</vt:lpstr>
      <vt:lpstr>Scoresheet_Team_SessionNb</vt:lpstr>
      <vt:lpstr>Scoresheet_Team_StageName</vt:lpstr>
      <vt:lpstr>Scoresheet_Team_Table</vt:lpstr>
      <vt:lpstr>Scoresheet_Team_Team1</vt:lpstr>
      <vt:lpstr>Scoresheet_Team_Team1_DIFF</vt:lpstr>
      <vt:lpstr>Scoresheet_Team_Team1_DIFF_Goals</vt:lpstr>
      <vt:lpstr>Scoresheet_Team_Team1_PL1</vt:lpstr>
      <vt:lpstr>Scoresheet_Team_Team1_PL2</vt:lpstr>
      <vt:lpstr>Scoresheet_Team_Team1_PL3</vt:lpstr>
      <vt:lpstr>Scoresheet_Team_Team1_PL4</vt:lpstr>
      <vt:lpstr>Scoresheet_Team_Team1_Player1</vt:lpstr>
      <vt:lpstr>Scoresheet_Team_Team1_Player10</vt:lpstr>
      <vt:lpstr>Scoresheet_Team_Team1_Player2</vt:lpstr>
      <vt:lpstr>Scoresheet_Team_Team1_Player3</vt:lpstr>
      <vt:lpstr>Scoresheet_Team_Team1_Player4</vt:lpstr>
      <vt:lpstr>Scoresheet_Team_Team1_Player5</vt:lpstr>
      <vt:lpstr>Scoresheet_Team_Team1_Player6</vt:lpstr>
      <vt:lpstr>Scoresheet_Team_Team1_Player7</vt:lpstr>
      <vt:lpstr>Scoresheet_Team_Team1_Player8</vt:lpstr>
      <vt:lpstr>Scoresheet_Team_Team1_Player9</vt:lpstr>
      <vt:lpstr>Scoresheet_Team_Team1_S1</vt:lpstr>
      <vt:lpstr>Scoresheet_Team_Team1_S2</vt:lpstr>
      <vt:lpstr>Scoresheet_Team_Team2</vt:lpstr>
      <vt:lpstr>Scoresheet_Team_Team2_DIFF</vt:lpstr>
      <vt:lpstr>Scoresheet_Team_Team2_DIFF_Goals</vt:lpstr>
      <vt:lpstr>Scoresheet_Team_Team2_PL1</vt:lpstr>
      <vt:lpstr>Scoresheet_Team_Team2_PL2</vt:lpstr>
      <vt:lpstr>Scoresheet_Team_Team2_PL3</vt:lpstr>
      <vt:lpstr>Scoresheet_Team_Team2_PL4</vt:lpstr>
      <vt:lpstr>Scoresheet_Team_Team2_Player1</vt:lpstr>
      <vt:lpstr>Scoresheet_Team_Team2_Player10</vt:lpstr>
      <vt:lpstr>Scoresheet_Team_Team2_Player2</vt:lpstr>
      <vt:lpstr>Scoresheet_Team_Team2_Player3</vt:lpstr>
      <vt:lpstr>Scoresheet_Team_Team2_Player4</vt:lpstr>
      <vt:lpstr>Scoresheet_Team_Team2_Player5</vt:lpstr>
      <vt:lpstr>Scoresheet_Team_Team2_Player6</vt:lpstr>
      <vt:lpstr>Scoresheet_Team_Team2_Player7</vt:lpstr>
      <vt:lpstr>Scoresheet_Team_Team2_Player8</vt:lpstr>
      <vt:lpstr>Scoresheet_Team_Team2_Player9</vt:lpstr>
      <vt:lpstr>Scoresheet_Team_Team2_S1</vt:lpstr>
      <vt:lpstr>Scoresheet_Team_Team2_S2</vt:lpstr>
      <vt:lpstr>Scoresheet_Team_Time</vt:lpstr>
      <vt:lpstr>Scoresheet_Team_TournamentName</vt:lpstr>
      <vt:lpstr>Scoresheet_TeamScoresheet</vt:lpstr>
      <vt:lpstr>Planning!Session_1</vt:lpstr>
      <vt:lpstr>PlanningModel!Session_1</vt:lpstr>
      <vt:lpstr>Venue!Session_Number</vt:lpstr>
      <vt:lpstr>Sessions_Hours</vt:lpstr>
      <vt:lpstr>Sessions_Hours_Teams</vt:lpstr>
      <vt:lpstr>D1_Last8!Sheet_Type</vt:lpstr>
      <vt:lpstr>D1_Top8!Sheet_Type</vt:lpstr>
      <vt:lpstr>D1_Tr1!Sheet_Type</vt:lpstr>
      <vt:lpstr>'Dble Groups'!Sheet_Type</vt:lpstr>
      <vt:lpstr>'Ind Groups'!Sheet_Type</vt:lpstr>
      <vt:lpstr>'Team Groups'!Sheet_Type</vt:lpstr>
      <vt:lpstr>StatList_NameFirstname</vt:lpstr>
      <vt:lpstr>StatList_Visible</vt:lpstr>
      <vt:lpstr>Substitute_Codes</vt:lpstr>
      <vt:lpstr>Venue!Table_1</vt:lpstr>
      <vt:lpstr>Venue!Table_10</vt:lpstr>
      <vt:lpstr>Venue!Table_11</vt:lpstr>
      <vt:lpstr>Venue!Table_12</vt:lpstr>
      <vt:lpstr>Venue!Table_13</vt:lpstr>
      <vt:lpstr>Venue!Table_14</vt:lpstr>
      <vt:lpstr>Venue!Table_15</vt:lpstr>
      <vt:lpstr>Venue!Table_16</vt:lpstr>
      <vt:lpstr>Venue!Table_17</vt:lpstr>
      <vt:lpstr>Venue!Table_18</vt:lpstr>
      <vt:lpstr>Venue!Table_19</vt:lpstr>
      <vt:lpstr>Venue!Table_2</vt:lpstr>
      <vt:lpstr>Venue!Table_20</vt:lpstr>
      <vt:lpstr>Venue!Table_21</vt:lpstr>
      <vt:lpstr>Venue!Table_22</vt:lpstr>
      <vt:lpstr>Venue!Table_23</vt:lpstr>
      <vt:lpstr>Venue!Table_24</vt:lpstr>
      <vt:lpstr>Venue!Table_25</vt:lpstr>
      <vt:lpstr>Venue!Table_26</vt:lpstr>
      <vt:lpstr>Venue!Table_27</vt:lpstr>
      <vt:lpstr>Venue!Table_28</vt:lpstr>
      <vt:lpstr>Venue!Table_29</vt:lpstr>
      <vt:lpstr>Venue!Table_3</vt:lpstr>
      <vt:lpstr>Venue!Table_30</vt:lpstr>
      <vt:lpstr>Venue!Table_31</vt:lpstr>
      <vt:lpstr>Venue!Table_32</vt:lpstr>
      <vt:lpstr>Venue!Table_33</vt:lpstr>
      <vt:lpstr>Venue!Table_34</vt:lpstr>
      <vt:lpstr>Venue!Table_35</vt:lpstr>
      <vt:lpstr>Venue!Table_36</vt:lpstr>
      <vt:lpstr>Venue!Table_37</vt:lpstr>
      <vt:lpstr>Venue!Table_38</vt:lpstr>
      <vt:lpstr>Venue!Table_39</vt:lpstr>
      <vt:lpstr>Venue!Table_4</vt:lpstr>
      <vt:lpstr>Venue!Table_40</vt:lpstr>
      <vt:lpstr>Venue!Table_41</vt:lpstr>
      <vt:lpstr>Venue!Table_42</vt:lpstr>
      <vt:lpstr>Venue!Table_43</vt:lpstr>
      <vt:lpstr>Venue!Table_44</vt:lpstr>
      <vt:lpstr>Venue!Table_45</vt:lpstr>
      <vt:lpstr>Venue!Table_46</vt:lpstr>
      <vt:lpstr>Venue!Table_47</vt:lpstr>
      <vt:lpstr>Venue!Table_48</vt:lpstr>
      <vt:lpstr>Venue!Table_5</vt:lpstr>
      <vt:lpstr>Venue!Table_6</vt:lpstr>
      <vt:lpstr>Venue!Table_7</vt:lpstr>
      <vt:lpstr>Venue!Table_8</vt:lpstr>
      <vt:lpstr>Venue!Table_9</vt:lpstr>
      <vt:lpstr>Venue!TableDisplay</vt:lpstr>
      <vt:lpstr>Team_Elim_Type_Last16</vt:lpstr>
      <vt:lpstr>Team_Elim_Type_Last2</vt:lpstr>
      <vt:lpstr>Team_Elim_Type_Last4</vt:lpstr>
      <vt:lpstr>Team_Elim_Type_Last8</vt:lpstr>
      <vt:lpstr>Team_Elim_Type_PlayOff_Head</vt:lpstr>
      <vt:lpstr>Team_Elim_Type_PlayOff_PreQualified_Footer</vt:lpstr>
      <vt:lpstr>Team_Elim_Type_PlayOff_PreQualified_Head</vt:lpstr>
      <vt:lpstr>Team_Elim_Type_PlayOff_PreQualified_Line</vt:lpstr>
      <vt:lpstr>Team_Elim_Type_PlayOffMatch_Head</vt:lpstr>
      <vt:lpstr>Team_Elim_Type_PlayOffMatch_Line</vt:lpstr>
      <vt:lpstr>Team_Elim_Type_Third</vt:lpstr>
      <vt:lpstr>'Team Groups'!Team_Group_Type_3</vt:lpstr>
      <vt:lpstr>'Team Groups'!Team_Group_Type_3FS</vt:lpstr>
      <vt:lpstr>'Team Groups'!Team_Group_Type_4</vt:lpstr>
      <vt:lpstr>'Team Groups'!Team_Group_Type_5</vt:lpstr>
      <vt:lpstr>'Team Groups'!Team_Group_Type_6</vt:lpstr>
      <vt:lpstr>'Team Groups'!Team_Group_Type_7</vt:lpstr>
      <vt:lpstr>'Team Groups'!Team_Group_Type_8</vt:lpstr>
      <vt:lpstr>Team_List</vt:lpstr>
      <vt:lpstr>TimelineList_NameFirstname</vt:lpstr>
      <vt:lpstr>TimelineList_Visible</vt:lpstr>
      <vt:lpstr>Tournament_Date</vt:lpstr>
      <vt:lpstr>ExportResultsModel!Tournament_Title</vt:lpstr>
      <vt:lpstr>Tournament_Title</vt:lpstr>
      <vt:lpstr>UnofficialMatchOrganisationList</vt:lpstr>
      <vt:lpstr>UseExclusionCriteria</vt:lpstr>
      <vt:lpstr>Version_Outil</vt:lpstr>
      <vt:lpstr>VerticalLanguageList</vt:lpstr>
      <vt:lpstr>WebEventDescription</vt:lpstr>
      <vt:lpstr>WebEventTitle</vt:lpstr>
      <vt:lpstr>WebNavBarTitle</vt:lpstr>
      <vt:lpstr>WebSiteRootDirName</vt:lpstr>
      <vt:lpstr>WebSiteRootPath</vt:lpstr>
      <vt:lpstr>WithdrawLabel</vt:lpstr>
      <vt:lpstr>CheckIn!Zone_d_impression</vt:lpstr>
      <vt:lpstr>Clubs!Zone_d_impression</vt:lpstr>
      <vt:lpstr>'Dble by Sel. Match'!Zone_d_impression</vt:lpstr>
      <vt:lpstr>DrawModel!Zone_d_impression</vt:lpstr>
      <vt:lpstr>ExportPlanningModel!Zone_d_impression</vt:lpstr>
      <vt:lpstr>ExportScorerTableModel!Zone_d_impression</vt:lpstr>
      <vt:lpstr>Home!Zone_d_impression</vt:lpstr>
      <vt:lpstr>Licences!Zone_d_impression</vt:lpstr>
      <vt:lpstr>Lists!Zone_d_impression</vt:lpstr>
      <vt:lpstr>Parameters!Zone_d_impression</vt:lpstr>
      <vt:lpstr>Planning!Zone_d_impression</vt:lpstr>
      <vt:lpstr>PlanningModel!Zone_d_impression</vt:lpstr>
      <vt:lpstr>Podium!Zone_d_impression</vt:lpstr>
      <vt:lpstr>Ranking!Zone_d_impression</vt:lpstr>
      <vt:lpstr>RankingTeams!Zone_d_impression</vt:lpstr>
      <vt:lpstr>Refereeing!Zone_d_impression</vt:lpstr>
      <vt:lpstr>Scoresheet_Models!Zone_d_impression</vt:lpstr>
      <vt:lpstr>Stats!Zone_d_impression</vt:lpstr>
      <vt:lpstr>'Team by Sel. Match'!Zone_d_impression</vt:lpstr>
      <vt:lpstr>Timeline!Zone_d_impression</vt:lpstr>
      <vt:lpstr>Venue!Zone_d_impression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FISTF Eland Cables World Cup 2024 - Tunbridge Wells - Individuals Competition</dc:title>
  <dc:subject>Gestion des Matches de Football de Table</dc:subject>
  <dc:creator>TROUILLARD Roger</dc:creator>
  <cp:keywords>Table Soccer; Subbuteo; FISTF3FTS</cp:keywords>
  <cp:lastModifiedBy>Roger Sturmy</cp:lastModifiedBy>
  <cp:lastPrinted>2024-09-22T23:32:58Z</cp:lastPrinted>
  <dcterms:created xsi:type="dcterms:W3CDTF">2008-05-17T19:20:50Z</dcterms:created>
  <dcterms:modified xsi:type="dcterms:W3CDTF">2025-03-03T23:23:44Z</dcterms:modified>
</cp:coreProperties>
</file>